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82bb72cdec8ea5d4/AOK-2026/Master_Estimator_AI/"/>
    </mc:Choice>
  </mc:AlternateContent>
  <xr:revisionPtr revIDLastSave="60" documentId="8_{B8B6F3EE-706D-4EA1-A282-47328A98B590}" xr6:coauthVersionLast="47" xr6:coauthVersionMax="47" xr10:uidLastSave="{2C57AE4E-A861-4D7C-9DE4-6B13E2343018}"/>
  <bookViews>
    <workbookView xWindow="-108" yWindow="-108" windowWidth="23256" windowHeight="13896" firstSheet="18" activeTab="19" xr2:uid="{00000000-000D-0000-FFFF-FFFF00000000}"/>
  </bookViews>
  <sheets>
    <sheet name="README" sheetId="1" r:id="rId1"/>
    <sheet name="00_Project" sheetId="2" r:id="rId2"/>
    <sheet name="A_Corridor" sheetId="3" r:id="rId3"/>
    <sheet name="B_Drainage" sheetId="4" r:id="rId4"/>
    <sheet name="C_Pavement" sheetId="5" r:id="rId5"/>
    <sheet name="D_Points" sheetId="6" r:id="rId6"/>
    <sheet name="E_Rules" sheetId="7" r:id="rId7"/>
    <sheet name="F_Road_Data" sheetId="8" r:id="rId8"/>
    <sheet name="01_Stations" sheetId="9" r:id="rId9"/>
    <sheet name="02_Culverts" sheetId="10" r:id="rId10"/>
    <sheet name="03_Pipe_Engine" sheetId="11" r:id="rId11"/>
    <sheet name="04_Box_Engine" sheetId="12" r:id="rId12"/>
    <sheet name="04a_Box_Dims" sheetId="13" r:id="rId13"/>
    <sheet name="04b_Box_Bars" sheetId="14" r:id="rId14"/>
    <sheet name="04c_Box_Takeoff" sheetId="15" r:id="rId15"/>
    <sheet name="04e_Box_Abstract" sheetId="16" r:id="rId16"/>
    <sheet name="05_UCulv_Engine" sheetId="17" r:id="rId17"/>
    <sheet name="06_Road_Engine" sheetId="18" r:id="rId18"/>
    <sheet name="07_Items" sheetId="19" r:id="rId19"/>
    <sheet name="08_Rates" sheetId="20" r:id="rId20"/>
    <sheet name="20_Line_Diagram" sheetId="21" r:id="rId21"/>
    <sheet name="21_Takeoff_Road" sheetId="22" r:id="rId22"/>
    <sheet name="22_Takeoff_Culvert" sheetId="23" r:id="rId23"/>
    <sheet name="10_BOQ" sheetId="24" r:id="rId24"/>
    <sheet name="90_Checks" sheetId="25" r:id="rId25"/>
  </sheets>
  <definedNames>
    <definedName name="A_Pitch">'06_Road_Engine'!$D$20</definedName>
    <definedName name="BX_ang">'04a_Box_Dims'!$B$8</definedName>
    <definedName name="BX_apL">'04a_Box_Dims'!$B$7</definedName>
    <definedName name="BX_bat">'04a_Box_Dims'!$G$10</definedName>
    <definedName name="BX_blind">'04a_Box_Dims'!$B$16</definedName>
    <definedName name="BX_ch">'04a_Box_Dims'!$B$6</definedName>
    <definedName name="BX_exX">'04a_Box_Dims'!$B$18</definedName>
    <definedName name="BX_frb">'04a_Box_Dims'!$B$10</definedName>
    <definedName name="BX_Hcov">'04a_Box_Dims'!$B$5</definedName>
    <definedName name="BX_hemin">'04a_Box_Dims'!$G$9</definedName>
    <definedName name="BX_hh">'04a_Box_Dims'!$B$9</definedName>
    <definedName name="BX_hook">'04b_Box_Bars'!$B$4</definedName>
    <definedName name="BX_Lnom">'04a_Box_Dims'!$G$11</definedName>
    <definedName name="BX_rho">'04b_Box_Bars'!$B$6</definedName>
    <definedName name="BX_tdiv">'04a_Box_Dims'!$B$14</definedName>
    <definedName name="BX_tinc">'04a_Box_Dims'!$B$15</definedName>
    <definedName name="BX_tmin">'04a_Box_Dims'!$B$13</definedName>
    <definedName name="BX_tmin2">'04a_Box_Dims'!$G$5</definedName>
    <definedName name="BX_tpf">'04a_Box_Dims'!$G$8</definedName>
    <definedName name="BX_tpmax">'04a_Box_Dims'!$G$7</definedName>
    <definedName name="BX_tpmin">'04a_Box_Dims'!$G$6</definedName>
    <definedName name="BX_twD">'04a_Box_Dims'!$B$12</definedName>
    <definedName name="BX_twW">'04a_Box_Dims'!$B$11</definedName>
    <definedName name="BX_work">'04a_Box_Dims'!$B$17</definedName>
    <definedName name="BX_wwbend">'04b_Box_Bars'!$B$5</definedName>
    <definedName name="H_Cut">'06_Road_Engine'!$D$15</definedName>
    <definedName name="H_FillW">'06_Road_Engine'!$D$18</definedName>
    <definedName name="H_Raise">'06_Road_Engine'!$D$12</definedName>
    <definedName name="L_Base">'06_Road_Engine'!$D$38</definedName>
    <definedName name="L_Blading">'06_Road_Engine'!$D$34</definedName>
    <definedName name="L_Cut">'06_Road_Engine'!$D$14</definedName>
    <definedName name="L_DitchCL">'06_Road_Engine'!$D$21</definedName>
    <definedName name="L_DitchEC">'06_Road_Engine'!$D$23</definedName>
    <definedName name="L_DitchRE">'06_Road_Engine'!$D$22</definedName>
    <definedName name="L_EB">'06_Road_Engine'!$D$6</definedName>
    <definedName name="L_FillW">'06_Road_Engine'!$D$17</definedName>
    <definedName name="L_GB">'06_Road_Engine'!$D$7</definedName>
    <definedName name="L_Kerb">'06_Road_Engine'!$D$29</definedName>
    <definedName name="L_LB">'06_Road_Engine'!$D$9</definedName>
    <definedName name="L_Prime">'06_Road_Engine'!$D$39</definedName>
    <definedName name="L_Raise">'06_Road_Engine'!$D$11</definedName>
    <definedName name="L_Reshape">'06_Road_Engine'!$D$35</definedName>
    <definedName name="L_RetW">'06_Road_Engine'!$D$33</definedName>
    <definedName name="L_SB">'06_Road_Engine'!$D$8</definedName>
    <definedName name="L_Scarify">'06_Road_Engine'!$D$36</definedName>
    <definedName name="L_Scour">'06_Road_Engine'!$D$30</definedName>
    <definedName name="L_Seal1">'06_Road_Engine'!$D$40</definedName>
    <definedName name="L_Seal2">'06_Road_Engine'!$D$41</definedName>
    <definedName name="L_Subbase">'06_Road_Engine'!$D$37</definedName>
    <definedName name="L_TB">'06_Road_Engine'!$D$10</definedName>
    <definedName name="L_Town">'06_Road_Engine'!$D$5</definedName>
    <definedName name="L_Trap">'06_Road_Engine'!$D$28</definedName>
    <definedName name="L_Turn">'06_Road_Engine'!$D$32</definedName>
    <definedName name="L_UD45">'06_Road_Engine'!$D$24</definedName>
    <definedName name="L_UD60">'06_Road_Engine'!$D$25</definedName>
    <definedName name="L_UD75">'06_Road_Engine'!$D$26</definedName>
    <definedName name="L_UD90">'06_Road_Engine'!$D$27</definedName>
    <definedName name="P_BaseT">'00_Project'!$C$25</definedName>
    <definedName name="P_BinderPct">'00_Project'!$C$32</definedName>
    <definedName name="P_CentreLnF">'00_Project'!$C$51</definedName>
    <definedName name="P_Chip10">'00_Project'!$C$34</definedName>
    <definedName name="P_Chip14">'00_Project'!$C$35</definedName>
    <definedName name="P_ClearW">'00_Project'!$C$20</definedName>
    <definedName name="P_CoarseLean">'00_Project'!$C$43</definedName>
    <definedName name="P_CoarseStr">'00_Project'!$C$45</definedName>
    <definedName name="P_CutterPct">'00_Project'!$C$33</definedName>
    <definedName name="P_CW">'00_Project'!$C$16</definedName>
    <definedName name="P_District">'00_Project'!$C$9</definedName>
    <definedName name="P_EdgeLnF">'00_Project'!$C$52</definedName>
    <definedName name="P_ExtCW">'00_Project'!$C$19</definedName>
    <definedName name="P_FineLean">'00_Project'!$C$42</definedName>
    <definedName name="P_FineStr">'00_Project'!$C$44</definedName>
    <definedName name="P_FW">'00_Project'!$C$18</definedName>
    <definedName name="P_HaulChip">'00_Project'!$C$39</definedName>
    <definedName name="P_HaulCoarse">'00_Project'!$C$38</definedName>
    <definedName name="P_HaulFill">'00_Project'!$C$40</definedName>
    <definedName name="P_HaulSand">'00_Project'!$C$37</definedName>
    <definedName name="P_Interval">'00_Project'!$C$13</definedName>
    <definedName name="P_LaneLineF">'00_Project'!$C$50</definedName>
    <definedName name="P_Length_km">'00_Project'!$C$12</definedName>
    <definedName name="P_NStations">'00_Project'!$C$14</definedName>
    <definedName name="P_OH_Base">'00_Project'!$C$27</definedName>
    <definedName name="P_OH_Sub">'00_Project'!$C$26</definedName>
    <definedName name="P_PedXF">'00_Project'!$C$53</definedName>
    <definedName name="P_PrimeRate">'00_Project'!$C$29</definedName>
    <definedName name="P_PrimeW">'00_Project'!$C$21</definedName>
    <definedName name="P_Programme">'00_Project'!$C$10</definedName>
    <definedName name="P_RampsPerKm">'00_Project'!$C$49</definedName>
    <definedName name="P_Region">'00_Project'!$C$8</definedName>
    <definedName name="P_RoadCode">'00_Project'!$C$7</definedName>
    <definedName name="P_RoadName">'00_Project'!$C$6</definedName>
    <definedName name="P_Seal1Rate">'00_Project'!$C$30</definedName>
    <definedName name="P_Seal2Rate">'00_Project'!$C$31</definedName>
    <definedName name="P_SealW">'00_Project'!$C$22</definedName>
    <definedName name="P_SignsPerKm">'00_Project'!$C$47</definedName>
    <definedName name="P_StopPerKm">'00_Project'!$C$48</definedName>
    <definedName name="P_SubbaseT">'00_Project'!$C$24</definedName>
    <definedName name="P_SW">'00_Project'!$C$17</definedName>
    <definedName name="_xlnm.Print_Titles" localSheetId="2">A_Corridor!$1:$4</definedName>
    <definedName name="_xlnm.Print_Titles" localSheetId="3">B_Drainage!$1:$4</definedName>
    <definedName name="_xlnm.Print_Titles" localSheetId="4">C_Pavement!$1:$4</definedName>
    <definedName name="_xlnm.Print_Titles" localSheetId="5">D_Points!$1:$4</definedName>
    <definedName name="S_Scour">'06_Road_Engine'!$D$31</definedName>
    <definedName name="V_Gully">'06_Road_Engine'!$D$13</definedName>
    <definedName name="W_Cut">'06_Road_Engine'!$D$16</definedName>
    <definedName name="W_FillW">'06_Road_Engine'!$D$19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2" i="25" l="1"/>
  <c r="C211" i="25"/>
  <c r="C210" i="25"/>
  <c r="C204" i="25"/>
  <c r="C203" i="25"/>
  <c r="C202" i="25"/>
  <c r="B177" i="25" a="1"/>
  <c r="B177" i="25"/>
  <c r="B176" i="25" a="1"/>
  <c r="B176" i="25"/>
  <c r="B175" i="25" a="1"/>
  <c r="B175" i="25"/>
  <c r="B174" i="25" a="1"/>
  <c r="B174" i="25"/>
  <c r="B173" i="25" a="1"/>
  <c r="B173" i="25" s="1"/>
  <c r="B172" i="25" a="1"/>
  <c r="B172" i="25" s="1"/>
  <c r="B171" i="25" a="1"/>
  <c r="B171" i="25"/>
  <c r="B170" i="25" a="1"/>
  <c r="B170" i="25"/>
  <c r="B169" i="25" a="1"/>
  <c r="B169" i="25"/>
  <c r="B168" i="25" a="1"/>
  <c r="B168" i="25" s="1"/>
  <c r="B167" i="25" a="1"/>
  <c r="B167" i="25" s="1"/>
  <c r="B166" i="25" a="1"/>
  <c r="B166" i="25" s="1"/>
  <c r="B165" i="25" a="1"/>
  <c r="B165" i="25"/>
  <c r="B164" i="25" a="1"/>
  <c r="B164" i="25"/>
  <c r="B163" i="25" a="1"/>
  <c r="B163" i="25"/>
  <c r="B162" i="25" a="1"/>
  <c r="B162" i="25" s="1"/>
  <c r="B161" i="25" a="1"/>
  <c r="B161" i="25"/>
  <c r="B160" i="25" a="1"/>
  <c r="B160" i="25" s="1"/>
  <c r="B159" i="25" a="1"/>
  <c r="B159" i="25" s="1"/>
  <c r="B158" i="25" a="1"/>
  <c r="B158" i="25" s="1"/>
  <c r="D157" i="25"/>
  <c r="B157" i="25" a="1"/>
  <c r="B157" i="25"/>
  <c r="F156" i="25"/>
  <c r="D156" i="25"/>
  <c r="E156" i="25" s="1"/>
  <c r="B156" i="25" a="1"/>
  <c r="B156" i="25"/>
  <c r="B155" i="25" a="1"/>
  <c r="B155" i="25"/>
  <c r="B154" i="25" a="1"/>
  <c r="B154" i="25" s="1"/>
  <c r="B153" i="25" a="1"/>
  <c r="B153" i="25" s="1"/>
  <c r="B152" i="25" a="1"/>
  <c r="B152" i="25" s="1"/>
  <c r="B151" i="25" a="1"/>
  <c r="B151" i="25" s="1"/>
  <c r="B150" i="25" a="1"/>
  <c r="B150" i="25"/>
  <c r="B149" i="25" a="1"/>
  <c r="B149" i="25"/>
  <c r="B148" i="25" a="1"/>
  <c r="B148" i="25" s="1"/>
  <c r="B147" i="25" a="1"/>
  <c r="B147" i="25"/>
  <c r="B146" i="25" a="1"/>
  <c r="B146" i="25" s="1"/>
  <c r="B145" i="25" a="1"/>
  <c r="B145" i="25" s="1"/>
  <c r="B144" i="25" a="1"/>
  <c r="B144" i="25" s="1"/>
  <c r="B143" i="25" a="1"/>
  <c r="B143" i="25"/>
  <c r="B142" i="25" a="1"/>
  <c r="B142" i="25"/>
  <c r="B141" i="25" a="1"/>
  <c r="B141" i="25"/>
  <c r="B140" i="25" a="1"/>
  <c r="B140" i="25"/>
  <c r="B139" i="25" a="1"/>
  <c r="B139" i="25" s="1"/>
  <c r="B138" i="25" a="1"/>
  <c r="B138" i="25" s="1"/>
  <c r="B137" i="25" a="1"/>
  <c r="B137" i="25"/>
  <c r="B136" i="25" a="1"/>
  <c r="B136" i="25"/>
  <c r="B135" i="25" a="1"/>
  <c r="B135" i="25"/>
  <c r="B134" i="25" a="1"/>
  <c r="B134" i="25"/>
  <c r="B133" i="25" a="1"/>
  <c r="B133" i="25"/>
  <c r="B132" i="25" a="1"/>
  <c r="B132" i="25" s="1"/>
  <c r="B131" i="25" a="1"/>
  <c r="B131" i="25" s="1"/>
  <c r="B130" i="25" a="1"/>
  <c r="B130" i="25" s="1"/>
  <c r="B129" i="25" a="1"/>
  <c r="B129" i="25"/>
  <c r="B128" i="25" a="1"/>
  <c r="B128" i="25"/>
  <c r="B127" i="25" a="1"/>
  <c r="B127" i="25"/>
  <c r="B126" i="25" a="1"/>
  <c r="B126" i="25" s="1"/>
  <c r="B125" i="25" a="1"/>
  <c r="B125" i="25" s="1"/>
  <c r="B124" i="25" a="1"/>
  <c r="B124" i="25" s="1"/>
  <c r="B123" i="25" a="1"/>
  <c r="B123" i="25"/>
  <c r="B122" i="25" a="1"/>
  <c r="B122" i="25"/>
  <c r="B121" i="25" a="1"/>
  <c r="B121" i="25"/>
  <c r="B120" i="25" a="1"/>
  <c r="B120" i="25"/>
  <c r="B119" i="25" a="1"/>
  <c r="B119" i="25"/>
  <c r="B118" i="25" a="1"/>
  <c r="B118" i="25"/>
  <c r="B117" i="25" a="1"/>
  <c r="B117" i="25" s="1"/>
  <c r="B116" i="25" a="1"/>
  <c r="B116" i="25" s="1"/>
  <c r="B115" i="25" a="1"/>
  <c r="B115" i="25" s="1"/>
  <c r="B114" i="25" a="1"/>
  <c r="B114" i="25"/>
  <c r="B113" i="25" a="1"/>
  <c r="B113" i="25"/>
  <c r="B112" i="25" a="1"/>
  <c r="B112" i="25"/>
  <c r="B111" i="25" a="1"/>
  <c r="B111" i="25" s="1"/>
  <c r="B110" i="25" a="1"/>
  <c r="B110" i="25" s="1"/>
  <c r="B109" i="25" a="1"/>
  <c r="B109" i="25"/>
  <c r="B108" i="25" a="1"/>
  <c r="B108" i="25"/>
  <c r="B107" i="25" a="1"/>
  <c r="B107" i="25"/>
  <c r="B106" i="25" a="1"/>
  <c r="B106" i="25" s="1"/>
  <c r="B105" i="25" a="1"/>
  <c r="B105" i="25"/>
  <c r="B104" i="25" a="1"/>
  <c r="B104" i="25" s="1"/>
  <c r="B103" i="25" a="1"/>
  <c r="B103" i="25" s="1"/>
  <c r="B102" i="25" a="1"/>
  <c r="B102" i="25" s="1"/>
  <c r="B101" i="25" a="1"/>
  <c r="B101" i="25" s="1"/>
  <c r="B100" i="25" a="1"/>
  <c r="B100" i="25"/>
  <c r="B99" i="25" a="1"/>
  <c r="B99" i="25"/>
  <c r="B98" i="25" a="1"/>
  <c r="B98" i="25"/>
  <c r="B97" i="25" a="1"/>
  <c r="B97" i="25" s="1"/>
  <c r="B96" i="25" a="1"/>
  <c r="B96" i="25" s="1"/>
  <c r="B95" i="25" a="1"/>
  <c r="B95" i="25"/>
  <c r="F94" i="25"/>
  <c r="D94" i="25"/>
  <c r="E94" i="25" s="1"/>
  <c r="B94" i="25" a="1"/>
  <c r="B94" i="25"/>
  <c r="B93" i="25" a="1"/>
  <c r="B93" i="25"/>
  <c r="B92" i="25" a="1"/>
  <c r="B92" i="25"/>
  <c r="B91" i="25" a="1"/>
  <c r="B91" i="25"/>
  <c r="B90" i="25" a="1"/>
  <c r="B90" i="25" s="1"/>
  <c r="B89" i="25" a="1"/>
  <c r="B89" i="25" s="1"/>
  <c r="B88" i="25" a="1"/>
  <c r="B88" i="25" s="1"/>
  <c r="B87" i="25" a="1"/>
  <c r="B87" i="25" s="1"/>
  <c r="B86" i="25" a="1"/>
  <c r="B86" i="25"/>
  <c r="B85" i="25" a="1"/>
  <c r="B85" i="25"/>
  <c r="B84" i="25" a="1"/>
  <c r="B84" i="25"/>
  <c r="B83" i="25" a="1"/>
  <c r="B83" i="25" s="1"/>
  <c r="B82" i="25" a="1"/>
  <c r="B82" i="25" s="1"/>
  <c r="B81" i="25" a="1"/>
  <c r="B81" i="25"/>
  <c r="B80" i="25" a="1"/>
  <c r="B80" i="25"/>
  <c r="B79" i="25" a="1"/>
  <c r="B79" i="25"/>
  <c r="B78" i="25" a="1"/>
  <c r="B78" i="25" s="1"/>
  <c r="B77" i="25" a="1"/>
  <c r="B77" i="25"/>
  <c r="B76" i="25" a="1"/>
  <c r="B76" i="25"/>
  <c r="B75" i="25" a="1"/>
  <c r="B75" i="25" s="1"/>
  <c r="B74" i="25" a="1"/>
  <c r="B74" i="25" s="1"/>
  <c r="B73" i="25" a="1"/>
  <c r="B73" i="25" s="1"/>
  <c r="B72" i="25" a="1"/>
  <c r="B72" i="25"/>
  <c r="B71" i="25" a="1"/>
  <c r="B71" i="25"/>
  <c r="B70" i="25" a="1"/>
  <c r="B70" i="25"/>
  <c r="B69" i="25" a="1"/>
  <c r="B69" i="25" s="1"/>
  <c r="B68" i="25" a="1"/>
  <c r="B68" i="25" s="1"/>
  <c r="B67" i="25" a="1"/>
  <c r="B67" i="25"/>
  <c r="B66" i="25" a="1"/>
  <c r="B66" i="25"/>
  <c r="B65" i="25" a="1"/>
  <c r="B65" i="25"/>
  <c r="B64" i="25" a="1"/>
  <c r="B64" i="25"/>
  <c r="B63" i="25" a="1"/>
  <c r="B63" i="25"/>
  <c r="B62" i="25" a="1"/>
  <c r="B62" i="25"/>
  <c r="B61" i="25" a="1"/>
  <c r="B61" i="25" s="1"/>
  <c r="B60" i="25" a="1"/>
  <c r="B60" i="25" s="1"/>
  <c r="B59" i="25" a="1"/>
  <c r="B59" i="25"/>
  <c r="B58" i="25" a="1"/>
  <c r="B58" i="25" s="1"/>
  <c r="B57" i="25" a="1"/>
  <c r="B57" i="25"/>
  <c r="B56" i="25" a="1"/>
  <c r="B56" i="25"/>
  <c r="B55" i="25" a="1"/>
  <c r="B55" i="25" s="1"/>
  <c r="B54" i="25" a="1"/>
  <c r="B54" i="25" s="1"/>
  <c r="B53" i="25" a="1"/>
  <c r="B53" i="25" s="1"/>
  <c r="B52" i="25" a="1"/>
  <c r="B52" i="25"/>
  <c r="B51" i="25" a="1"/>
  <c r="B51" i="25"/>
  <c r="B50" i="25" a="1"/>
  <c r="B50" i="25"/>
  <c r="B49" i="25" a="1"/>
  <c r="B49" i="25"/>
  <c r="B48" i="25" a="1"/>
  <c r="B48" i="25" s="1"/>
  <c r="B47" i="25" a="1"/>
  <c r="B47" i="25" s="1"/>
  <c r="B46" i="25" a="1"/>
  <c r="B46" i="25" s="1"/>
  <c r="B45" i="25" a="1"/>
  <c r="B45" i="25"/>
  <c r="B44" i="25" a="1"/>
  <c r="B44" i="25"/>
  <c r="B43" i="25" a="1"/>
  <c r="B43" i="25"/>
  <c r="B42" i="25" a="1"/>
  <c r="B42" i="25"/>
  <c r="B41" i="25" a="1"/>
  <c r="B41" i="25" s="1"/>
  <c r="B40" i="25" a="1"/>
  <c r="B40" i="25" s="1"/>
  <c r="B39" i="25" a="1"/>
  <c r="B39" i="25"/>
  <c r="B38" i="25" a="1"/>
  <c r="B38" i="25"/>
  <c r="B37" i="25" a="1"/>
  <c r="B37" i="25"/>
  <c r="B36" i="25" a="1"/>
  <c r="B36" i="25" s="1"/>
  <c r="B35" i="25" a="1"/>
  <c r="B35" i="25"/>
  <c r="B34" i="25" a="1"/>
  <c r="B34" i="25" s="1"/>
  <c r="B33" i="25" a="1"/>
  <c r="B33" i="25" s="1"/>
  <c r="B32" i="25" a="1"/>
  <c r="B32" i="25" s="1"/>
  <c r="D31" i="25"/>
  <c r="B31" i="25" a="1"/>
  <c r="B31" i="25"/>
  <c r="F30" i="25"/>
  <c r="E30" i="25"/>
  <c r="D30" i="25"/>
  <c r="B30" i="25" a="1"/>
  <c r="B30" i="25" s="1"/>
  <c r="D29" i="25"/>
  <c r="B29" i="25" a="1"/>
  <c r="B29" i="25"/>
  <c r="E28" i="25"/>
  <c r="D28" i="25"/>
  <c r="F28" i="25" s="1"/>
  <c r="B28" i="25" a="1"/>
  <c r="B28" i="25"/>
  <c r="F27" i="25"/>
  <c r="E27" i="25"/>
  <c r="D27" i="25"/>
  <c r="B27" i="25" a="1"/>
  <c r="B27" i="25" s="1"/>
  <c r="E26" i="25"/>
  <c r="D26" i="25"/>
  <c r="F26" i="25" s="1"/>
  <c r="B26" i="25" a="1"/>
  <c r="B26" i="25" s="1"/>
  <c r="D25" i="25"/>
  <c r="B25" i="25" a="1"/>
  <c r="B25" i="25" s="1"/>
  <c r="F24" i="25"/>
  <c r="D24" i="25"/>
  <c r="E24" i="25" s="1"/>
  <c r="B24" i="25" a="1"/>
  <c r="B24" i="25"/>
  <c r="F23" i="25"/>
  <c r="D23" i="25"/>
  <c r="E23" i="25" s="1"/>
  <c r="B23" i="25" a="1"/>
  <c r="B23" i="25"/>
  <c r="E22" i="25"/>
  <c r="D22" i="25"/>
  <c r="F22" i="25" s="1"/>
  <c r="B22" i="25" a="1"/>
  <c r="B22" i="25" s="1"/>
  <c r="F21" i="25"/>
  <c r="E21" i="25"/>
  <c r="D21" i="25"/>
  <c r="B21" i="25" a="1"/>
  <c r="B21" i="25"/>
  <c r="F20" i="25"/>
  <c r="E20" i="25"/>
  <c r="D20" i="25"/>
  <c r="B20" i="25" a="1"/>
  <c r="B20" i="25"/>
  <c r="C14" i="25"/>
  <c r="C11" i="25"/>
  <c r="C10" i="25"/>
  <c r="C8" i="25"/>
  <c r="C7" i="25"/>
  <c r="B318" i="24"/>
  <c r="B317" i="24"/>
  <c r="B316" i="24"/>
  <c r="B315" i="24"/>
  <c r="B314" i="24"/>
  <c r="B313" i="24"/>
  <c r="B312" i="24"/>
  <c r="B311" i="24"/>
  <c r="B310" i="24"/>
  <c r="B309" i="24"/>
  <c r="B308" i="24"/>
  <c r="K298" i="24" a="1"/>
  <c r="K298" i="24" s="1"/>
  <c r="E298" i="24"/>
  <c r="D298" i="24"/>
  <c r="C298" i="24" a="1"/>
  <c r="C298" i="24"/>
  <c r="B298" i="24" a="1"/>
  <c r="B298" i="24" s="1"/>
  <c r="K297" i="24" a="1"/>
  <c r="K297" i="24" s="1"/>
  <c r="E297" i="24"/>
  <c r="D297" i="24"/>
  <c r="C297" i="24" a="1"/>
  <c r="C297" i="24"/>
  <c r="B297" i="24" a="1"/>
  <c r="B297" i="24"/>
  <c r="K295" i="24" a="1"/>
  <c r="K295" i="24" s="1"/>
  <c r="E295" i="24"/>
  <c r="D295" i="24"/>
  <c r="C295" i="24" a="1"/>
  <c r="C295" i="24"/>
  <c r="B295" i="24" a="1"/>
  <c r="B295" i="24"/>
  <c r="B290" i="24"/>
  <c r="B289" i="24"/>
  <c r="K279" i="24" a="1"/>
  <c r="K279" i="24" s="1"/>
  <c r="E279" i="24"/>
  <c r="C279" i="24" a="1"/>
  <c r="C279" i="24"/>
  <c r="B279" i="24" a="1"/>
  <c r="B279" i="24"/>
  <c r="K277" i="24" a="1"/>
  <c r="K277" i="24" s="1"/>
  <c r="E277" i="24"/>
  <c r="C277" i="24" a="1"/>
  <c r="C277" i="24"/>
  <c r="B277" i="24" a="1"/>
  <c r="B277" i="24"/>
  <c r="K276" i="24" a="1"/>
  <c r="K276" i="24" s="1"/>
  <c r="E276" i="24"/>
  <c r="C276" i="24" a="1"/>
  <c r="C276" i="24"/>
  <c r="B276" i="24" a="1"/>
  <c r="B276" i="24" s="1"/>
  <c r="K275" i="24" a="1"/>
  <c r="K275" i="24" s="1"/>
  <c r="E275" i="24"/>
  <c r="C275" i="24" a="1"/>
  <c r="C275" i="24" s="1"/>
  <c r="B275" i="24" a="1"/>
  <c r="B275" i="24"/>
  <c r="K274" i="24" a="1"/>
  <c r="K274" i="24" s="1"/>
  <c r="E274" i="24"/>
  <c r="C274" i="24" a="1"/>
  <c r="C274" i="24" s="1"/>
  <c r="B274" i="24" a="1"/>
  <c r="B274" i="24" s="1"/>
  <c r="K273" i="24" a="1"/>
  <c r="K273" i="24" s="1"/>
  <c r="E273" i="24"/>
  <c r="C273" i="24" a="1"/>
  <c r="C273" i="24"/>
  <c r="B273" i="24" a="1"/>
  <c r="B273" i="24" s="1"/>
  <c r="K271" i="24" a="1"/>
  <c r="K271" i="24" s="1"/>
  <c r="E271" i="24"/>
  <c r="C271" i="24" a="1"/>
  <c r="C271" i="24"/>
  <c r="B271" i="24" a="1"/>
  <c r="B271" i="24"/>
  <c r="K269" i="24" a="1"/>
  <c r="K269" i="24" s="1"/>
  <c r="E269" i="24"/>
  <c r="C269" i="24" a="1"/>
  <c r="C269" i="24" s="1"/>
  <c r="B269" i="24" a="1"/>
  <c r="B269" i="24"/>
  <c r="K268" i="24" a="1"/>
  <c r="K268" i="24" s="1"/>
  <c r="E268" i="24"/>
  <c r="C268" i="24" a="1"/>
  <c r="C268" i="24" s="1"/>
  <c r="B268" i="24" a="1"/>
  <c r="B268" i="24"/>
  <c r="K267" i="24" a="1"/>
  <c r="K267" i="24" s="1"/>
  <c r="E267" i="24"/>
  <c r="D267" i="24"/>
  <c r="C267" i="24" a="1"/>
  <c r="C267" i="24"/>
  <c r="B267" i="24" a="1"/>
  <c r="B267" i="24"/>
  <c r="K260" i="24" a="1"/>
  <c r="K260" i="24" s="1"/>
  <c r="E260" i="24"/>
  <c r="D260" i="24"/>
  <c r="C260" i="24" a="1"/>
  <c r="C260" i="24"/>
  <c r="B260" i="24" a="1"/>
  <c r="B260" i="24"/>
  <c r="K259" i="24" a="1"/>
  <c r="K259" i="24" s="1"/>
  <c r="E259" i="24"/>
  <c r="C259" i="24" a="1"/>
  <c r="C259" i="24"/>
  <c r="B259" i="24" a="1"/>
  <c r="B259" i="24"/>
  <c r="K258" i="24" a="1"/>
  <c r="K258" i="24" s="1"/>
  <c r="E258" i="24"/>
  <c r="D258" i="24"/>
  <c r="C258" i="24" a="1"/>
  <c r="C258" i="24"/>
  <c r="B258" i="24" a="1"/>
  <c r="B258" i="24"/>
  <c r="K257" i="24" a="1"/>
  <c r="K257" i="24" s="1"/>
  <c r="E257" i="24"/>
  <c r="C257" i="24" a="1"/>
  <c r="C257" i="24"/>
  <c r="B257" i="24" a="1"/>
  <c r="B257" i="24"/>
  <c r="K256" i="24" a="1"/>
  <c r="K256" i="24" s="1"/>
  <c r="E256" i="24"/>
  <c r="C256" i="24" a="1"/>
  <c r="C256" i="24" s="1"/>
  <c r="B256" i="24" a="1"/>
  <c r="B256" i="24"/>
  <c r="K255" i="24" a="1"/>
  <c r="K255" i="24" s="1"/>
  <c r="E255" i="24"/>
  <c r="C255" i="24" a="1"/>
  <c r="C255" i="24" s="1"/>
  <c r="B255" i="24" a="1"/>
  <c r="B255" i="24" s="1"/>
  <c r="K254" i="24" a="1"/>
  <c r="K254" i="24" s="1"/>
  <c r="E254" i="24"/>
  <c r="C254" i="24" a="1"/>
  <c r="C254" i="24" s="1"/>
  <c r="B254" i="24" a="1"/>
  <c r="B254" i="24" s="1"/>
  <c r="K253" i="24" a="1"/>
  <c r="K253" i="24" s="1"/>
  <c r="E253" i="24"/>
  <c r="C253" i="24" a="1"/>
  <c r="C253" i="24"/>
  <c r="B253" i="24" a="1"/>
  <c r="B253" i="24"/>
  <c r="K252" i="24" a="1"/>
  <c r="K252" i="24" s="1"/>
  <c r="E252" i="24"/>
  <c r="D252" i="24"/>
  <c r="C252" i="24" a="1"/>
  <c r="C252" i="24"/>
  <c r="B252" i="24" a="1"/>
  <c r="B252" i="24"/>
  <c r="K251" i="24" a="1"/>
  <c r="K251" i="24" s="1"/>
  <c r="E251" i="24"/>
  <c r="C251" i="24" a="1"/>
  <c r="C251" i="24"/>
  <c r="B251" i="24" a="1"/>
  <c r="B251" i="24"/>
  <c r="K250" i="24" a="1"/>
  <c r="K250" i="24" s="1"/>
  <c r="E250" i="24"/>
  <c r="C250" i="24" a="1"/>
  <c r="C250" i="24"/>
  <c r="B250" i="24" a="1"/>
  <c r="B250" i="24"/>
  <c r="K249" i="24" a="1"/>
  <c r="K249" i="24" s="1"/>
  <c r="E249" i="24"/>
  <c r="C249" i="24" a="1"/>
  <c r="C249" i="24"/>
  <c r="B249" i="24" a="1"/>
  <c r="B249" i="24"/>
  <c r="K242" i="24" a="1"/>
  <c r="K242" i="24" s="1"/>
  <c r="E242" i="24"/>
  <c r="D242" i="24"/>
  <c r="C242" i="24" a="1"/>
  <c r="C242" i="24"/>
  <c r="B242" i="24" a="1"/>
  <c r="B242" i="24"/>
  <c r="K241" i="24" a="1"/>
  <c r="K241" i="24" s="1"/>
  <c r="E241" i="24"/>
  <c r="D241" i="24"/>
  <c r="C241" i="24" a="1"/>
  <c r="C241" i="24"/>
  <c r="B241" i="24" a="1"/>
  <c r="B241" i="24" s="1"/>
  <c r="K240" i="24" a="1"/>
  <c r="K240" i="24" s="1"/>
  <c r="E240" i="24"/>
  <c r="D240" i="24"/>
  <c r="C240" i="24" a="1"/>
  <c r="C240" i="24" s="1"/>
  <c r="B240" i="24" a="1"/>
  <c r="B240" i="24"/>
  <c r="K238" i="24" a="1"/>
  <c r="K238" i="24" s="1"/>
  <c r="E238" i="24"/>
  <c r="D238" i="24"/>
  <c r="C238" i="24" a="1"/>
  <c r="C238" i="24" s="1"/>
  <c r="B238" i="24" a="1"/>
  <c r="B238" i="24"/>
  <c r="K237" i="24" a="1"/>
  <c r="K237" i="24" s="1"/>
  <c r="E237" i="24"/>
  <c r="D237" i="24"/>
  <c r="C237" i="24" a="1"/>
  <c r="C237" i="24"/>
  <c r="B237" i="24" a="1"/>
  <c r="B237" i="24"/>
  <c r="K236" i="24" a="1"/>
  <c r="K236" i="24" s="1"/>
  <c r="E236" i="24"/>
  <c r="D236" i="24"/>
  <c r="C236" i="24" a="1"/>
  <c r="C236" i="24"/>
  <c r="B236" i="24" a="1"/>
  <c r="B236" i="24"/>
  <c r="K234" i="24" a="1"/>
  <c r="K234" i="24" s="1"/>
  <c r="E234" i="24"/>
  <c r="D234" i="24"/>
  <c r="C234" i="24" a="1"/>
  <c r="C234" i="24"/>
  <c r="B234" i="24" a="1"/>
  <c r="B234" i="24"/>
  <c r="K233" i="24" a="1"/>
  <c r="K233" i="24" s="1"/>
  <c r="E233" i="24"/>
  <c r="D233" i="24"/>
  <c r="C233" i="24" a="1"/>
  <c r="C233" i="24" s="1"/>
  <c r="B233" i="24" a="1"/>
  <c r="B233" i="24" s="1"/>
  <c r="K232" i="24" a="1"/>
  <c r="K232" i="24" s="1"/>
  <c r="E232" i="24"/>
  <c r="D232" i="24"/>
  <c r="C232" i="24" a="1"/>
  <c r="C232" i="24"/>
  <c r="B232" i="24" a="1"/>
  <c r="B232" i="24"/>
  <c r="K230" i="24" a="1"/>
  <c r="K230" i="24" s="1"/>
  <c r="E230" i="24"/>
  <c r="D230" i="24"/>
  <c r="C230" i="24" a="1"/>
  <c r="C230" i="24" s="1"/>
  <c r="B230" i="24" a="1"/>
  <c r="B230" i="24" s="1"/>
  <c r="K229" i="24" a="1"/>
  <c r="K229" i="24" s="1"/>
  <c r="E229" i="24"/>
  <c r="D229" i="24"/>
  <c r="C229" i="24" a="1"/>
  <c r="C229" i="24"/>
  <c r="B229" i="24" a="1"/>
  <c r="B229" i="24"/>
  <c r="K228" i="24" a="1"/>
  <c r="K228" i="24" s="1"/>
  <c r="E228" i="24"/>
  <c r="D228" i="24"/>
  <c r="C228" i="24" a="1"/>
  <c r="C228" i="24" s="1"/>
  <c r="B228" i="24" a="1"/>
  <c r="B228" i="24" s="1"/>
  <c r="K223" i="24" a="1"/>
  <c r="K223" i="24" s="1"/>
  <c r="E223" i="24"/>
  <c r="D223" i="24"/>
  <c r="C223" i="24" a="1"/>
  <c r="C223" i="24"/>
  <c r="B223" i="24" a="1"/>
  <c r="B223" i="24"/>
  <c r="K222" i="24" a="1"/>
  <c r="K222" i="24" s="1"/>
  <c r="E222" i="24"/>
  <c r="D222" i="24"/>
  <c r="C222" i="24" a="1"/>
  <c r="C222" i="24" s="1"/>
  <c r="B222" i="24" a="1"/>
  <c r="B222" i="24" s="1"/>
  <c r="K221" i="24" a="1"/>
  <c r="K221" i="24" s="1"/>
  <c r="E221" i="24"/>
  <c r="D221" i="24"/>
  <c r="C221" i="24" a="1"/>
  <c r="C221" i="24" s="1"/>
  <c r="B221" i="24" a="1"/>
  <c r="B221" i="24"/>
  <c r="K219" i="24" a="1"/>
  <c r="K219" i="24" s="1"/>
  <c r="E219" i="24"/>
  <c r="D219" i="24"/>
  <c r="C219" i="24" a="1"/>
  <c r="C219" i="24"/>
  <c r="B219" i="24" a="1"/>
  <c r="B219" i="24" s="1"/>
  <c r="K218" i="24" a="1"/>
  <c r="K218" i="24" s="1"/>
  <c r="E218" i="24"/>
  <c r="D218" i="24"/>
  <c r="C218" i="24" a="1"/>
  <c r="C218" i="24"/>
  <c r="B218" i="24" a="1"/>
  <c r="B218" i="24"/>
  <c r="K217" i="24" a="1"/>
  <c r="K217" i="24" s="1"/>
  <c r="E217" i="24"/>
  <c r="D217" i="24"/>
  <c r="C217" i="24" a="1"/>
  <c r="C217" i="24"/>
  <c r="B217" i="24" a="1"/>
  <c r="B217" i="24" s="1"/>
  <c r="K215" i="24" a="1"/>
  <c r="K215" i="24" s="1"/>
  <c r="E215" i="24"/>
  <c r="D215" i="24"/>
  <c r="C215" i="24" a="1"/>
  <c r="C215" i="24"/>
  <c r="B215" i="24" a="1"/>
  <c r="B215" i="24"/>
  <c r="K214" i="24" a="1"/>
  <c r="K214" i="24" s="1"/>
  <c r="E214" i="24"/>
  <c r="D214" i="24"/>
  <c r="C214" i="24" a="1"/>
  <c r="C214" i="24" s="1"/>
  <c r="B214" i="24" a="1"/>
  <c r="B214" i="24" s="1"/>
  <c r="K213" i="24" a="1"/>
  <c r="K213" i="24" s="1"/>
  <c r="E213" i="24"/>
  <c r="D213" i="24"/>
  <c r="C213" i="24" a="1"/>
  <c r="C213" i="24"/>
  <c r="B213" i="24" a="1"/>
  <c r="B213" i="24" s="1"/>
  <c r="K211" i="24" a="1"/>
  <c r="K211" i="24" s="1"/>
  <c r="E211" i="24"/>
  <c r="D211" i="24"/>
  <c r="C211" i="24" a="1"/>
  <c r="C211" i="24" s="1"/>
  <c r="B211" i="24" a="1"/>
  <c r="B211" i="24" s="1"/>
  <c r="K210" i="24" a="1"/>
  <c r="K210" i="24" s="1"/>
  <c r="E210" i="24"/>
  <c r="D210" i="24"/>
  <c r="C210" i="24" a="1"/>
  <c r="C210" i="24"/>
  <c r="B210" i="24" a="1"/>
  <c r="B210" i="24"/>
  <c r="K209" i="24" a="1"/>
  <c r="K209" i="24" s="1"/>
  <c r="E209" i="24"/>
  <c r="D209" i="24"/>
  <c r="C209" i="24" a="1"/>
  <c r="C209" i="24" s="1"/>
  <c r="B209" i="24" a="1"/>
  <c r="B209" i="24" s="1"/>
  <c r="K204" i="24" a="1"/>
  <c r="K204" i="24" s="1"/>
  <c r="E204" i="24"/>
  <c r="D204" i="24"/>
  <c r="C204" i="24" a="1"/>
  <c r="C204" i="24" s="1"/>
  <c r="B204" i="24" a="1"/>
  <c r="B204" i="24" s="1"/>
  <c r="K203" i="24" a="1"/>
  <c r="K203" i="24" s="1"/>
  <c r="E203" i="24"/>
  <c r="D203" i="24"/>
  <c r="C203" i="24" a="1"/>
  <c r="C203" i="24" s="1"/>
  <c r="B203" i="24" a="1"/>
  <c r="B203" i="24" s="1"/>
  <c r="K202" i="24" a="1"/>
  <c r="K202" i="24" s="1"/>
  <c r="E202" i="24"/>
  <c r="D202" i="24"/>
  <c r="C202" i="24" a="1"/>
  <c r="C202" i="24"/>
  <c r="B202" i="24" a="1"/>
  <c r="B202" i="24"/>
  <c r="K201" i="24" a="1"/>
  <c r="K201" i="24" s="1"/>
  <c r="E201" i="24"/>
  <c r="D201" i="24"/>
  <c r="C201" i="24" a="1"/>
  <c r="C201" i="24" s="1"/>
  <c r="B201" i="24" a="1"/>
  <c r="B201" i="24"/>
  <c r="K199" i="24" a="1"/>
  <c r="K199" i="24" s="1"/>
  <c r="E199" i="24"/>
  <c r="D199" i="24"/>
  <c r="C199" i="24" a="1"/>
  <c r="C199" i="24"/>
  <c r="B199" i="24" a="1"/>
  <c r="B199" i="24" s="1"/>
  <c r="K198" i="24" a="1"/>
  <c r="K198" i="24" s="1"/>
  <c r="E198" i="24"/>
  <c r="D198" i="24"/>
  <c r="C198" i="24" a="1"/>
  <c r="C198" i="24" s="1"/>
  <c r="B198" i="24" a="1"/>
  <c r="B198" i="24"/>
  <c r="K197" i="24" a="1"/>
  <c r="K197" i="24" s="1"/>
  <c r="E197" i="24"/>
  <c r="D197" i="24"/>
  <c r="C197" i="24" a="1"/>
  <c r="C197" i="24" s="1"/>
  <c r="B197" i="24" a="1"/>
  <c r="B197" i="24" s="1"/>
  <c r="K195" i="24" a="1"/>
  <c r="K195" i="24" s="1"/>
  <c r="E195" i="24"/>
  <c r="D195" i="24"/>
  <c r="C195" i="24" a="1"/>
  <c r="C195" i="24" s="1"/>
  <c r="B195" i="24" a="1"/>
  <c r="B195" i="24" s="1"/>
  <c r="K194" i="24" a="1"/>
  <c r="K194" i="24" s="1"/>
  <c r="E194" i="24"/>
  <c r="D194" i="24"/>
  <c r="C194" i="24" a="1"/>
  <c r="C194" i="24"/>
  <c r="B194" i="24" a="1"/>
  <c r="B194" i="24" s="1"/>
  <c r="K193" i="24" a="1"/>
  <c r="K193" i="24" s="1"/>
  <c r="E193" i="24"/>
  <c r="D193" i="24"/>
  <c r="C193" i="24" a="1"/>
  <c r="C193" i="24"/>
  <c r="B193" i="24" a="1"/>
  <c r="B193" i="24" s="1"/>
  <c r="K191" i="24" a="1"/>
  <c r="K191" i="24" s="1"/>
  <c r="E191" i="24"/>
  <c r="D191" i="24"/>
  <c r="C191" i="24" a="1"/>
  <c r="C191" i="24"/>
  <c r="B191" i="24" a="1"/>
  <c r="B191" i="24" s="1"/>
  <c r="K190" i="24" a="1"/>
  <c r="K190" i="24" s="1"/>
  <c r="E190" i="24"/>
  <c r="D190" i="24"/>
  <c r="C190" i="24" a="1"/>
  <c r="C190" i="24"/>
  <c r="B190" i="24" a="1"/>
  <c r="B190" i="24" s="1"/>
  <c r="K189" i="24" a="1"/>
  <c r="K189" i="24" s="1"/>
  <c r="E189" i="24"/>
  <c r="D189" i="24"/>
  <c r="C189" i="24" a="1"/>
  <c r="C189" i="24" s="1"/>
  <c r="B189" i="24" a="1"/>
  <c r="B189" i="24"/>
  <c r="K181" i="24" a="1"/>
  <c r="K181" i="24" s="1"/>
  <c r="E181" i="24"/>
  <c r="D181" i="24"/>
  <c r="C181" i="24" a="1"/>
  <c r="C181" i="24"/>
  <c r="B181" i="24" a="1"/>
  <c r="B181" i="24"/>
  <c r="K180" i="24" a="1"/>
  <c r="K180" i="24" s="1"/>
  <c r="E180" i="24"/>
  <c r="D180" i="24"/>
  <c r="C180" i="24" a="1"/>
  <c r="C180" i="24"/>
  <c r="B180" i="24" a="1"/>
  <c r="B180" i="24"/>
  <c r="K179" i="24" a="1"/>
  <c r="K179" i="24" s="1"/>
  <c r="D179" i="24"/>
  <c r="C179" i="24" a="1"/>
  <c r="C179" i="24" s="1"/>
  <c r="B179" i="24" a="1"/>
  <c r="B179" i="24"/>
  <c r="K178" i="24" a="1"/>
  <c r="K178" i="24" s="1"/>
  <c r="D178" i="24"/>
  <c r="C178" i="24" a="1"/>
  <c r="C178" i="24" s="1"/>
  <c r="B178" i="24" a="1"/>
  <c r="B178" i="24" s="1"/>
  <c r="K177" i="24" a="1"/>
  <c r="K177" i="24" s="1"/>
  <c r="D177" i="24"/>
  <c r="C177" i="24" a="1"/>
  <c r="C177" i="24"/>
  <c r="B177" i="24" a="1"/>
  <c r="B177" i="24" s="1"/>
  <c r="K176" i="24" a="1"/>
  <c r="K176" i="24" s="1"/>
  <c r="D176" i="24"/>
  <c r="C176" i="24" a="1"/>
  <c r="C176" i="24"/>
  <c r="B176" i="24" a="1"/>
  <c r="B176" i="24" s="1"/>
  <c r="K175" i="24" a="1"/>
  <c r="K175" i="24" s="1"/>
  <c r="D175" i="24"/>
  <c r="C175" i="24" a="1"/>
  <c r="C175" i="24" s="1"/>
  <c r="B175" i="24" a="1"/>
  <c r="B175" i="24" s="1"/>
  <c r="K174" i="24" a="1"/>
  <c r="K174" i="24" s="1"/>
  <c r="E174" i="24"/>
  <c r="D174" i="24"/>
  <c r="C174" i="24" a="1"/>
  <c r="C174" i="24" s="1"/>
  <c r="B174" i="24" a="1"/>
  <c r="B174" i="24" s="1"/>
  <c r="K173" i="24" a="1"/>
  <c r="K173" i="24" s="1"/>
  <c r="D173" i="24"/>
  <c r="C173" i="24" a="1"/>
  <c r="C173" i="24"/>
  <c r="B173" i="24" a="1"/>
  <c r="B173" i="24" s="1"/>
  <c r="K172" i="24" a="1"/>
  <c r="K172" i="24" s="1"/>
  <c r="D172" i="24"/>
  <c r="C172" i="24" a="1"/>
  <c r="C172" i="24"/>
  <c r="B172" i="24" a="1"/>
  <c r="B172" i="24"/>
  <c r="K171" i="24" a="1"/>
  <c r="K171" i="24" s="1"/>
  <c r="D171" i="24"/>
  <c r="C171" i="24" a="1"/>
  <c r="C171" i="24"/>
  <c r="B171" i="24" a="1"/>
  <c r="B171" i="24" s="1"/>
  <c r="K170" i="24" a="1"/>
  <c r="K170" i="24" s="1"/>
  <c r="D170" i="24"/>
  <c r="C170" i="24" a="1"/>
  <c r="C170" i="24"/>
  <c r="B170" i="24" a="1"/>
  <c r="B170" i="24" s="1"/>
  <c r="K169" i="24" a="1"/>
  <c r="K169" i="24" s="1"/>
  <c r="D169" i="24"/>
  <c r="C169" i="24" a="1"/>
  <c r="C169" i="24" s="1"/>
  <c r="B169" i="24" a="1"/>
  <c r="B169" i="24"/>
  <c r="K168" i="24" a="1"/>
  <c r="K168" i="24" s="1"/>
  <c r="D168" i="24"/>
  <c r="C168" i="24" a="1"/>
  <c r="C168" i="24"/>
  <c r="B168" i="24" a="1"/>
  <c r="B168" i="24" s="1"/>
  <c r="K167" i="24" a="1"/>
  <c r="K167" i="24" s="1"/>
  <c r="D167" i="24"/>
  <c r="C167" i="24" a="1"/>
  <c r="C167" i="24" s="1"/>
  <c r="B167" i="24" a="1"/>
  <c r="B167" i="24" s="1"/>
  <c r="K160" i="24" a="1"/>
  <c r="K160" i="24" s="1"/>
  <c r="E160" i="24"/>
  <c r="D160" i="24"/>
  <c r="C160" i="24" a="1"/>
  <c r="C160" i="24" s="1"/>
  <c r="B160" i="24" a="1"/>
  <c r="B160" i="24"/>
  <c r="K159" i="24" a="1"/>
  <c r="K159" i="24" s="1"/>
  <c r="E159" i="24"/>
  <c r="D159" i="24"/>
  <c r="C159" i="24" a="1"/>
  <c r="C159" i="24"/>
  <c r="B159" i="24" a="1"/>
  <c r="B159" i="24" s="1"/>
  <c r="K158" i="24" a="1"/>
  <c r="K158" i="24" s="1"/>
  <c r="E158" i="24"/>
  <c r="D158" i="24"/>
  <c r="C158" i="24" a="1"/>
  <c r="C158" i="24" s="1"/>
  <c r="B158" i="24" a="1"/>
  <c r="B158" i="24"/>
  <c r="K157" i="24" a="1"/>
  <c r="K157" i="24" s="1"/>
  <c r="E157" i="24"/>
  <c r="D157" i="24"/>
  <c r="C157" i="24" a="1"/>
  <c r="C157" i="24"/>
  <c r="B157" i="24" a="1"/>
  <c r="B157" i="24" s="1"/>
  <c r="K156" i="24" a="1"/>
  <c r="K156" i="24" s="1"/>
  <c r="E156" i="24"/>
  <c r="D156" i="24"/>
  <c r="C156" i="24" a="1"/>
  <c r="C156" i="24" s="1"/>
  <c r="B156" i="24" a="1"/>
  <c r="B156" i="24"/>
  <c r="K155" i="24" a="1"/>
  <c r="K155" i="24" s="1"/>
  <c r="E155" i="24"/>
  <c r="D155" i="24"/>
  <c r="C155" i="24" a="1"/>
  <c r="C155" i="24"/>
  <c r="B155" i="24" a="1"/>
  <c r="B155" i="24" s="1"/>
  <c r="K154" i="24" a="1"/>
  <c r="K154" i="24" s="1"/>
  <c r="E154" i="24"/>
  <c r="D154" i="24"/>
  <c r="C154" i="24" a="1"/>
  <c r="C154" i="24"/>
  <c r="B154" i="24" a="1"/>
  <c r="B154" i="24" s="1"/>
  <c r="K153" i="24" a="1"/>
  <c r="K153" i="24" s="1"/>
  <c r="E153" i="24"/>
  <c r="D153" i="24"/>
  <c r="C153" i="24" a="1"/>
  <c r="C153" i="24" s="1"/>
  <c r="B153" i="24" a="1"/>
  <c r="B153" i="24"/>
  <c r="K152" i="24" a="1"/>
  <c r="K152" i="24" s="1"/>
  <c r="E152" i="24"/>
  <c r="D152" i="24"/>
  <c r="C152" i="24" a="1"/>
  <c r="C152" i="24"/>
  <c r="B152" i="24" a="1"/>
  <c r="B152" i="24" s="1"/>
  <c r="K151" i="24" a="1"/>
  <c r="K151" i="24" s="1"/>
  <c r="E151" i="24"/>
  <c r="D151" i="24"/>
  <c r="C151" i="24" a="1"/>
  <c r="C151" i="24" s="1"/>
  <c r="B151" i="24" a="1"/>
  <c r="B151" i="24"/>
  <c r="K150" i="24" a="1"/>
  <c r="K150" i="24" s="1"/>
  <c r="E150" i="24"/>
  <c r="D150" i="24"/>
  <c r="C150" i="24" a="1"/>
  <c r="C150" i="24" s="1"/>
  <c r="B150" i="24" a="1"/>
  <c r="B150" i="24" s="1"/>
  <c r="K149" i="24" a="1"/>
  <c r="K149" i="24" s="1"/>
  <c r="E149" i="24"/>
  <c r="D149" i="24"/>
  <c r="C149" i="24" a="1"/>
  <c r="C149" i="24" s="1"/>
  <c r="B149" i="24" a="1"/>
  <c r="B149" i="24"/>
  <c r="K148" i="24" a="1"/>
  <c r="K148" i="24" s="1"/>
  <c r="E148" i="24"/>
  <c r="D148" i="24"/>
  <c r="C148" i="24" a="1"/>
  <c r="C148" i="24"/>
  <c r="B148" i="24" a="1"/>
  <c r="B148" i="24"/>
  <c r="K141" i="24" a="1"/>
  <c r="K141" i="24" s="1"/>
  <c r="E141" i="24"/>
  <c r="D141" i="24"/>
  <c r="C141" i="24" a="1"/>
  <c r="C141" i="24" s="1"/>
  <c r="B141" i="24" a="1"/>
  <c r="B141" i="24"/>
  <c r="K140" i="24" a="1"/>
  <c r="K140" i="24" s="1"/>
  <c r="E140" i="24"/>
  <c r="D140" i="24"/>
  <c r="C140" i="24" a="1"/>
  <c r="C140" i="24" s="1"/>
  <c r="B140" i="24" a="1"/>
  <c r="B140" i="24"/>
  <c r="K139" i="24" a="1"/>
  <c r="K139" i="24" s="1"/>
  <c r="E139" i="24"/>
  <c r="D139" i="24"/>
  <c r="C139" i="24" a="1"/>
  <c r="C139" i="24"/>
  <c r="B139" i="24" a="1"/>
  <c r="B139" i="24" s="1"/>
  <c r="K138" i="24" a="1"/>
  <c r="K138" i="24" s="1"/>
  <c r="E138" i="24"/>
  <c r="D138" i="24"/>
  <c r="C138" i="24" a="1"/>
  <c r="C138" i="24"/>
  <c r="B138" i="24" a="1"/>
  <c r="B138" i="24" s="1"/>
  <c r="K137" i="24" a="1"/>
  <c r="K137" i="24" s="1"/>
  <c r="E137" i="24"/>
  <c r="D137" i="24"/>
  <c r="C137" i="24" a="1"/>
  <c r="C137" i="24"/>
  <c r="B137" i="24" a="1"/>
  <c r="B137" i="24"/>
  <c r="K129" i="24" a="1"/>
  <c r="K129" i="24" s="1"/>
  <c r="E129" i="24"/>
  <c r="D129" i="24"/>
  <c r="C129" i="24" a="1"/>
  <c r="C129" i="24"/>
  <c r="B129" i="24" a="1"/>
  <c r="B129" i="24" s="1"/>
  <c r="K127" i="24" a="1"/>
  <c r="K127" i="24" s="1"/>
  <c r="E127" i="24"/>
  <c r="D127" i="24"/>
  <c r="C127" i="24" a="1"/>
  <c r="C127" i="24" s="1"/>
  <c r="B127" i="24" a="1"/>
  <c r="B127" i="24"/>
  <c r="K126" i="24" a="1"/>
  <c r="K126" i="24" s="1"/>
  <c r="E126" i="24"/>
  <c r="D126" i="24"/>
  <c r="C126" i="24" a="1"/>
  <c r="C126" i="24"/>
  <c r="B126" i="24" a="1"/>
  <c r="B126" i="24" s="1"/>
  <c r="K125" i="24" a="1"/>
  <c r="K125" i="24" s="1"/>
  <c r="E125" i="24"/>
  <c r="D125" i="24"/>
  <c r="C125" i="24" a="1"/>
  <c r="C125" i="24"/>
  <c r="B125" i="24" a="1"/>
  <c r="B125" i="24" s="1"/>
  <c r="K124" i="24" a="1"/>
  <c r="K124" i="24" s="1"/>
  <c r="E124" i="24"/>
  <c r="D124" i="24"/>
  <c r="C124" i="24" a="1"/>
  <c r="C124" i="24" s="1"/>
  <c r="B124" i="24" a="1"/>
  <c r="B124" i="24"/>
  <c r="K123" i="24" a="1"/>
  <c r="K123" i="24" s="1"/>
  <c r="E123" i="24"/>
  <c r="D123" i="24"/>
  <c r="C123" i="24" a="1"/>
  <c r="C123" i="24" s="1"/>
  <c r="B123" i="24" a="1"/>
  <c r="B123" i="24" s="1"/>
  <c r="K122" i="24" a="1"/>
  <c r="K122" i="24" s="1"/>
  <c r="E122" i="24"/>
  <c r="D122" i="24"/>
  <c r="C122" i="24" a="1"/>
  <c r="C122" i="24"/>
  <c r="B122" i="24" a="1"/>
  <c r="B122" i="24"/>
  <c r="K120" i="24" a="1"/>
  <c r="K120" i="24" s="1"/>
  <c r="E120" i="24"/>
  <c r="D120" i="24"/>
  <c r="C120" i="24" a="1"/>
  <c r="C120" i="24"/>
  <c r="B120" i="24" a="1"/>
  <c r="B120" i="24"/>
  <c r="K119" i="24" a="1"/>
  <c r="K119" i="24" s="1"/>
  <c r="E119" i="24"/>
  <c r="D119" i="24"/>
  <c r="C119" i="24" a="1"/>
  <c r="C119" i="24"/>
  <c r="B119" i="24" a="1"/>
  <c r="B119" i="24"/>
  <c r="K118" i="24" a="1"/>
  <c r="K118" i="24" s="1"/>
  <c r="E118" i="24"/>
  <c r="D118" i="24"/>
  <c r="C118" i="24" a="1"/>
  <c r="C118" i="24"/>
  <c r="B118" i="24" a="1"/>
  <c r="B118" i="24" s="1"/>
  <c r="K117" i="24" a="1"/>
  <c r="K117" i="24" s="1"/>
  <c r="E117" i="24"/>
  <c r="D117" i="24"/>
  <c r="C117" i="24" a="1"/>
  <c r="C117" i="24"/>
  <c r="B117" i="24" a="1"/>
  <c r="B117" i="24"/>
  <c r="K116" i="24" a="1"/>
  <c r="K116" i="24" s="1"/>
  <c r="E116" i="24"/>
  <c r="D116" i="24"/>
  <c r="C116" i="24" a="1"/>
  <c r="C116" i="24"/>
  <c r="B116" i="24" a="1"/>
  <c r="B116" i="24"/>
  <c r="K115" i="24" a="1"/>
  <c r="K115" i="24" s="1"/>
  <c r="E115" i="24"/>
  <c r="D115" i="24"/>
  <c r="C115" i="24" a="1"/>
  <c r="C115" i="24"/>
  <c r="B115" i="24" a="1"/>
  <c r="B115" i="24"/>
  <c r="K108" i="24" a="1"/>
  <c r="K108" i="24" s="1"/>
  <c r="E108" i="24"/>
  <c r="D108" i="24"/>
  <c r="C108" i="24" a="1"/>
  <c r="C108" i="24" s="1"/>
  <c r="B108" i="24" a="1"/>
  <c r="B108" i="24"/>
  <c r="K107" i="24" a="1"/>
  <c r="K107" i="24" s="1"/>
  <c r="E107" i="24"/>
  <c r="D107" i="24"/>
  <c r="C107" i="24" a="1"/>
  <c r="C107" i="24" s="1"/>
  <c r="B107" i="24" a="1"/>
  <c r="B107" i="24"/>
  <c r="K106" i="24" a="1"/>
  <c r="K106" i="24" s="1"/>
  <c r="E106" i="24"/>
  <c r="D106" i="24"/>
  <c r="C106" i="24" a="1"/>
  <c r="C106" i="24"/>
  <c r="B106" i="24" a="1"/>
  <c r="B106" i="24"/>
  <c r="K105" i="24" a="1"/>
  <c r="K105" i="24" s="1"/>
  <c r="E105" i="24"/>
  <c r="D105" i="24"/>
  <c r="C105" i="24" a="1"/>
  <c r="C105" i="24" s="1"/>
  <c r="B105" i="24" a="1"/>
  <c r="B105" i="24"/>
  <c r="K104" i="24" a="1"/>
  <c r="K104" i="24" s="1"/>
  <c r="E104" i="24"/>
  <c r="D104" i="24"/>
  <c r="C104" i="24" a="1"/>
  <c r="C104" i="24"/>
  <c r="B104" i="24" a="1"/>
  <c r="B104" i="24" s="1"/>
  <c r="K103" i="24" a="1"/>
  <c r="K103" i="24" s="1"/>
  <c r="E103" i="24"/>
  <c r="D103" i="24"/>
  <c r="C103" i="24" a="1"/>
  <c r="C103" i="24"/>
  <c r="B103" i="24" a="1"/>
  <c r="B103" i="24"/>
  <c r="K101" i="24" a="1"/>
  <c r="K101" i="24" s="1"/>
  <c r="E101" i="24"/>
  <c r="D101" i="24"/>
  <c r="C101" i="24" a="1"/>
  <c r="C101" i="24"/>
  <c r="B101" i="24" a="1"/>
  <c r="B101" i="24"/>
  <c r="K100" i="24" a="1"/>
  <c r="K100" i="24" s="1"/>
  <c r="E100" i="24"/>
  <c r="D100" i="24"/>
  <c r="C100" i="24" a="1"/>
  <c r="C100" i="24" s="1"/>
  <c r="B100" i="24" a="1"/>
  <c r="B100" i="24"/>
  <c r="K99" i="24" a="1"/>
  <c r="K99" i="24" s="1"/>
  <c r="E99" i="24"/>
  <c r="D99" i="24"/>
  <c r="C99" i="24" a="1"/>
  <c r="C99" i="24" s="1"/>
  <c r="B99" i="24" a="1"/>
  <c r="B99" i="24" s="1"/>
  <c r="K97" i="24" a="1"/>
  <c r="K97" i="24" s="1"/>
  <c r="E97" i="24"/>
  <c r="D97" i="24"/>
  <c r="C97" i="24" a="1"/>
  <c r="C97" i="24" s="1"/>
  <c r="B97" i="24" a="1"/>
  <c r="B97" i="24"/>
  <c r="K96" i="24" a="1"/>
  <c r="K96" i="24" s="1"/>
  <c r="E96" i="24"/>
  <c r="D96" i="24"/>
  <c r="C96" i="24" a="1"/>
  <c r="C96" i="24"/>
  <c r="B96" i="24" a="1"/>
  <c r="B96" i="24"/>
  <c r="K95" i="24" a="1"/>
  <c r="K95" i="24" s="1"/>
  <c r="E95" i="24"/>
  <c r="D95" i="24"/>
  <c r="C95" i="24" a="1"/>
  <c r="C95" i="24"/>
  <c r="B95" i="24" a="1"/>
  <c r="B95" i="24"/>
  <c r="K94" i="24" a="1"/>
  <c r="K94" i="24" s="1"/>
  <c r="E94" i="24"/>
  <c r="D94" i="24"/>
  <c r="C94" i="24" a="1"/>
  <c r="C94" i="24"/>
  <c r="B94" i="24" a="1"/>
  <c r="B94" i="24"/>
  <c r="K93" i="24" a="1"/>
  <c r="K93" i="24" s="1"/>
  <c r="E93" i="24"/>
  <c r="D93" i="24"/>
  <c r="C93" i="24" a="1"/>
  <c r="C93" i="24"/>
  <c r="B93" i="24" a="1"/>
  <c r="B93" i="24"/>
  <c r="K92" i="24" a="1"/>
  <c r="K92" i="24" s="1"/>
  <c r="E92" i="24"/>
  <c r="D92" i="24"/>
  <c r="C92" i="24" a="1"/>
  <c r="C92" i="24" s="1"/>
  <c r="B92" i="24" a="1"/>
  <c r="B92" i="24"/>
  <c r="K85" i="24" a="1"/>
  <c r="K85" i="24" s="1"/>
  <c r="E85" i="24"/>
  <c r="D85" i="24"/>
  <c r="C85" i="24" a="1"/>
  <c r="C85" i="24"/>
  <c r="B85" i="24" a="1"/>
  <c r="B85" i="24"/>
  <c r="K84" i="24" a="1"/>
  <c r="K84" i="24" s="1"/>
  <c r="E84" i="24"/>
  <c r="D84" i="24"/>
  <c r="C84" i="24" a="1"/>
  <c r="C84" i="24"/>
  <c r="B84" i="24" a="1"/>
  <c r="B84" i="24"/>
  <c r="K82" i="24" a="1"/>
  <c r="K82" i="24" s="1"/>
  <c r="E82" i="24"/>
  <c r="D82" i="24"/>
  <c r="C82" i="24" a="1"/>
  <c r="C82" i="24" s="1"/>
  <c r="B82" i="24" a="1"/>
  <c r="B82" i="24" s="1"/>
  <c r="K81" i="24" a="1"/>
  <c r="K81" i="24" s="1"/>
  <c r="E81" i="24"/>
  <c r="D81" i="24"/>
  <c r="C81" i="24" a="1"/>
  <c r="C81" i="24" s="1"/>
  <c r="B81" i="24" a="1"/>
  <c r="B81" i="24"/>
  <c r="K80" i="24" a="1"/>
  <c r="K80" i="24" s="1"/>
  <c r="E80" i="24"/>
  <c r="C80" i="24" a="1"/>
  <c r="C80" i="24"/>
  <c r="B80" i="24" a="1"/>
  <c r="B80" i="24" s="1"/>
  <c r="K79" i="24" a="1"/>
  <c r="K79" i="24" s="1"/>
  <c r="E79" i="24"/>
  <c r="D79" i="24"/>
  <c r="C79" i="24" a="1"/>
  <c r="C79" i="24" s="1"/>
  <c r="B79" i="24" a="1"/>
  <c r="B79" i="24" s="1"/>
  <c r="K78" i="24" a="1"/>
  <c r="K78" i="24" s="1"/>
  <c r="E78" i="24"/>
  <c r="D78" i="24"/>
  <c r="C78" i="24" a="1"/>
  <c r="C78" i="24"/>
  <c r="B78" i="24" a="1"/>
  <c r="B78" i="24" s="1"/>
  <c r="K76" i="24" a="1"/>
  <c r="K76" i="24" s="1"/>
  <c r="E76" i="24"/>
  <c r="C76" i="24" a="1"/>
  <c r="C76" i="24" s="1"/>
  <c r="B76" i="24" a="1"/>
  <c r="B76" i="24" s="1"/>
  <c r="K75" i="24" a="1"/>
  <c r="K75" i="24" s="1"/>
  <c r="E75" i="24"/>
  <c r="D75" i="24"/>
  <c r="C75" i="24" a="1"/>
  <c r="C75" i="24"/>
  <c r="B75" i="24" a="1"/>
  <c r="B75" i="24" s="1"/>
  <c r="K74" i="24" a="1"/>
  <c r="K74" i="24" s="1"/>
  <c r="E74" i="24"/>
  <c r="D74" i="24"/>
  <c r="C74" i="24" a="1"/>
  <c r="C74" i="24"/>
  <c r="B74" i="24" a="1"/>
  <c r="B74" i="24" s="1"/>
  <c r="K72" i="24" a="1"/>
  <c r="K72" i="24" s="1"/>
  <c r="E72" i="24"/>
  <c r="C72" i="24" a="1"/>
  <c r="C72" i="24"/>
  <c r="B72" i="24" a="1"/>
  <c r="B72" i="24" s="1"/>
  <c r="K70" i="24" a="1"/>
  <c r="K70" i="24" s="1"/>
  <c r="E70" i="24"/>
  <c r="D70" i="24"/>
  <c r="C70" i="24" a="1"/>
  <c r="C70" i="24" s="1"/>
  <c r="B70" i="24" a="1"/>
  <c r="B70" i="24"/>
  <c r="K69" i="24" a="1"/>
  <c r="K69" i="24" s="1"/>
  <c r="E69" i="24"/>
  <c r="D69" i="24"/>
  <c r="C69" i="24" a="1"/>
  <c r="C69" i="24" s="1"/>
  <c r="B69" i="24" a="1"/>
  <c r="B69" i="24"/>
  <c r="K67" i="24" a="1"/>
  <c r="K67" i="24" s="1"/>
  <c r="E67" i="24"/>
  <c r="D67" i="24"/>
  <c r="C67" i="24" a="1"/>
  <c r="C67" i="24"/>
  <c r="B67" i="24" a="1"/>
  <c r="B67" i="24" s="1"/>
  <c r="K66" i="24" a="1"/>
  <c r="K66" i="24" s="1"/>
  <c r="E66" i="24"/>
  <c r="D66" i="24"/>
  <c r="C66" i="24" a="1"/>
  <c r="C66" i="24" s="1"/>
  <c r="B66" i="24" a="1"/>
  <c r="B66" i="24"/>
  <c r="K65" i="24" a="1"/>
  <c r="K65" i="24" s="1"/>
  <c r="E65" i="24"/>
  <c r="D65" i="24"/>
  <c r="C65" i="24" a="1"/>
  <c r="C65" i="24"/>
  <c r="B65" i="24" a="1"/>
  <c r="B65" i="24" s="1"/>
  <c r="K59" i="24" a="1"/>
  <c r="K59" i="24" s="1"/>
  <c r="E59" i="24"/>
  <c r="D59" i="24"/>
  <c r="C59" i="24" a="1"/>
  <c r="C59" i="24" s="1"/>
  <c r="B59" i="24" a="1"/>
  <c r="B59" i="24"/>
  <c r="K58" i="24" a="1"/>
  <c r="K58" i="24" s="1"/>
  <c r="E58" i="24"/>
  <c r="D58" i="24"/>
  <c r="C58" i="24" a="1"/>
  <c r="C58" i="24"/>
  <c r="B58" i="24" a="1"/>
  <c r="B58" i="24" s="1"/>
  <c r="K57" i="24" a="1"/>
  <c r="K57" i="24" s="1"/>
  <c r="E57" i="24"/>
  <c r="D57" i="24"/>
  <c r="C57" i="24" a="1"/>
  <c r="C57" i="24"/>
  <c r="B57" i="24" a="1"/>
  <c r="B57" i="24"/>
  <c r="K56" i="24" a="1"/>
  <c r="K56" i="24" s="1"/>
  <c r="E56" i="24"/>
  <c r="C56" i="24" a="1"/>
  <c r="C56" i="24"/>
  <c r="B56" i="24" a="1"/>
  <c r="B56" i="24"/>
  <c r="K55" i="24" a="1"/>
  <c r="K55" i="24" s="1"/>
  <c r="E55" i="24"/>
  <c r="C55" i="24" a="1"/>
  <c r="C55" i="24" s="1"/>
  <c r="B55" i="24" a="1"/>
  <c r="B55" i="24"/>
  <c r="K54" i="24" a="1"/>
  <c r="K54" i="24" s="1"/>
  <c r="E54" i="24"/>
  <c r="C54" i="24" a="1"/>
  <c r="C54" i="24" s="1"/>
  <c r="B54" i="24" a="1"/>
  <c r="B54" i="24" s="1"/>
  <c r="K53" i="24" a="1"/>
  <c r="K53" i="24" s="1"/>
  <c r="E53" i="24"/>
  <c r="C53" i="24" a="1"/>
  <c r="C53" i="24" s="1"/>
  <c r="B53" i="24" a="1"/>
  <c r="B53" i="24"/>
  <c r="K52" i="24" a="1"/>
  <c r="K52" i="24" s="1"/>
  <c r="E52" i="24"/>
  <c r="C52" i="24" a="1"/>
  <c r="C52" i="24" s="1"/>
  <c r="B52" i="24" a="1"/>
  <c r="B52" i="24" s="1"/>
  <c r="K45" i="24" a="1"/>
  <c r="K45" i="24" s="1"/>
  <c r="E45" i="24"/>
  <c r="D45" i="24"/>
  <c r="C45" i="24" a="1"/>
  <c r="C45" i="24"/>
  <c r="B45" i="24" a="1"/>
  <c r="B45" i="24" s="1"/>
  <c r="K44" i="24" a="1"/>
  <c r="K44" i="24" s="1"/>
  <c r="E44" i="24"/>
  <c r="D44" i="24"/>
  <c r="C44" i="24" a="1"/>
  <c r="C44" i="24"/>
  <c r="B44" i="24" a="1"/>
  <c r="B44" i="24" s="1"/>
  <c r="K43" i="24" a="1"/>
  <c r="K43" i="24" s="1"/>
  <c r="E43" i="24"/>
  <c r="D43" i="24"/>
  <c r="C43" i="24" a="1"/>
  <c r="C43" i="24" s="1"/>
  <c r="B43" i="24" a="1"/>
  <c r="B43" i="24"/>
  <c r="K42" i="24" a="1"/>
  <c r="K42" i="24" s="1"/>
  <c r="E42" i="24"/>
  <c r="D42" i="24"/>
  <c r="C42" i="24" a="1"/>
  <c r="C42" i="24" s="1"/>
  <c r="B42" i="24" a="1"/>
  <c r="B42" i="24"/>
  <c r="K41" i="24" a="1"/>
  <c r="K41" i="24" s="1"/>
  <c r="E41" i="24"/>
  <c r="D41" i="24"/>
  <c r="C41" i="24" a="1"/>
  <c r="C41" i="24"/>
  <c r="B41" i="24" a="1"/>
  <c r="B41" i="24" s="1"/>
  <c r="K40" i="24" a="1"/>
  <c r="K40" i="24" s="1"/>
  <c r="E40" i="24"/>
  <c r="D40" i="24"/>
  <c r="C40" i="24" a="1"/>
  <c r="C40" i="24" s="1"/>
  <c r="B40" i="24" a="1"/>
  <c r="B40" i="24"/>
  <c r="K39" i="24" a="1"/>
  <c r="K39" i="24" s="1"/>
  <c r="E39" i="24"/>
  <c r="D39" i="24"/>
  <c r="C39" i="24" a="1"/>
  <c r="C39" i="24" s="1"/>
  <c r="B39" i="24" a="1"/>
  <c r="B39" i="24"/>
  <c r="K38" i="24" a="1"/>
  <c r="K38" i="24" s="1"/>
  <c r="E38" i="24"/>
  <c r="D38" i="24"/>
  <c r="C38" i="24" a="1"/>
  <c r="C38" i="24"/>
  <c r="B38" i="24" a="1"/>
  <c r="B38" i="24" s="1"/>
  <c r="K37" i="24" a="1"/>
  <c r="K37" i="24" s="1"/>
  <c r="E37" i="24"/>
  <c r="D37" i="24"/>
  <c r="C37" i="24" a="1"/>
  <c r="C37" i="24" s="1"/>
  <c r="B37" i="24" a="1"/>
  <c r="B37" i="24"/>
  <c r="K36" i="24" a="1"/>
  <c r="K36" i="24" s="1"/>
  <c r="E36" i="24"/>
  <c r="D36" i="24"/>
  <c r="C36" i="24" a="1"/>
  <c r="C36" i="24"/>
  <c r="B36" i="24" a="1"/>
  <c r="B36" i="24" s="1"/>
  <c r="K35" i="24" a="1"/>
  <c r="K35" i="24" s="1"/>
  <c r="E35" i="24"/>
  <c r="D35" i="24"/>
  <c r="C35" i="24" a="1"/>
  <c r="C35" i="24" s="1"/>
  <c r="B35" i="24" a="1"/>
  <c r="B35" i="24"/>
  <c r="K33" i="24" a="1"/>
  <c r="K33" i="24" s="1"/>
  <c r="E33" i="24"/>
  <c r="D33" i="24"/>
  <c r="C33" i="24" a="1"/>
  <c r="C33" i="24" s="1"/>
  <c r="B33" i="24" a="1"/>
  <c r="B33" i="24"/>
  <c r="K32" i="24" a="1"/>
  <c r="K32" i="24" s="1"/>
  <c r="E32" i="24"/>
  <c r="D32" i="24"/>
  <c r="C32" i="24" a="1"/>
  <c r="C32" i="24" s="1"/>
  <c r="B32" i="24" a="1"/>
  <c r="B32" i="24"/>
  <c r="K31" i="24" a="1"/>
  <c r="K31" i="24" s="1"/>
  <c r="E31" i="24"/>
  <c r="D31" i="24"/>
  <c r="C31" i="24" a="1"/>
  <c r="C31" i="24" s="1"/>
  <c r="B31" i="24" a="1"/>
  <c r="B31" i="24" s="1"/>
  <c r="K29" i="24" a="1"/>
  <c r="K29" i="24" s="1"/>
  <c r="E29" i="24"/>
  <c r="D29" i="24"/>
  <c r="C29" i="24" a="1"/>
  <c r="C29" i="24"/>
  <c r="B29" i="24" a="1"/>
  <c r="B29" i="24" s="1"/>
  <c r="K28" i="24" a="1"/>
  <c r="K28" i="24" s="1"/>
  <c r="E28" i="24"/>
  <c r="D28" i="24"/>
  <c r="C28" i="24" a="1"/>
  <c r="C28" i="24"/>
  <c r="B28" i="24" a="1"/>
  <c r="B28" i="24"/>
  <c r="K27" i="24" a="1"/>
  <c r="K27" i="24" s="1"/>
  <c r="E27" i="24"/>
  <c r="D27" i="24"/>
  <c r="C27" i="24" a="1"/>
  <c r="C27" i="24"/>
  <c r="B27" i="24" a="1"/>
  <c r="B27" i="24" s="1"/>
  <c r="K26" i="24" a="1"/>
  <c r="K26" i="24" s="1"/>
  <c r="E26" i="24"/>
  <c r="D26" i="24"/>
  <c r="C26" i="24" a="1"/>
  <c r="C26" i="24"/>
  <c r="B26" i="24" a="1"/>
  <c r="B26" i="24" s="1"/>
  <c r="K25" i="24" a="1"/>
  <c r="K25" i="24" s="1"/>
  <c r="E25" i="24"/>
  <c r="D25" i="24"/>
  <c r="C25" i="24" a="1"/>
  <c r="C25" i="24" s="1"/>
  <c r="B25" i="24" a="1"/>
  <c r="B25" i="24" s="1"/>
  <c r="K24" i="24" a="1"/>
  <c r="K24" i="24" s="1"/>
  <c r="E24" i="24"/>
  <c r="D24" i="24"/>
  <c r="C24" i="24" a="1"/>
  <c r="C24" i="24"/>
  <c r="B24" i="24" a="1"/>
  <c r="B24" i="24"/>
  <c r="K23" i="24" a="1"/>
  <c r="K23" i="24" s="1"/>
  <c r="E23" i="24"/>
  <c r="D23" i="24"/>
  <c r="C23" i="24" a="1"/>
  <c r="C23" i="24" s="1"/>
  <c r="B23" i="24" a="1"/>
  <c r="B23" i="24" s="1"/>
  <c r="K21" i="24" a="1"/>
  <c r="K21" i="24" s="1"/>
  <c r="E21" i="24"/>
  <c r="D21" i="24"/>
  <c r="C21" i="24" a="1"/>
  <c r="C21" i="24"/>
  <c r="B21" i="24" a="1"/>
  <c r="B21" i="24" s="1"/>
  <c r="K20" i="24" a="1"/>
  <c r="K20" i="24" s="1"/>
  <c r="E20" i="24"/>
  <c r="D20" i="24"/>
  <c r="C20" i="24" a="1"/>
  <c r="C20" i="24"/>
  <c r="B20" i="24" a="1"/>
  <c r="B20" i="24"/>
  <c r="K19" i="24" a="1"/>
  <c r="K19" i="24" s="1"/>
  <c r="E19" i="24"/>
  <c r="D19" i="24"/>
  <c r="C19" i="24" a="1"/>
  <c r="C19" i="24" s="1"/>
  <c r="B19" i="24" a="1"/>
  <c r="B19" i="24"/>
  <c r="K18" i="24" a="1"/>
  <c r="K18" i="24" s="1"/>
  <c r="E18" i="24"/>
  <c r="D18" i="24"/>
  <c r="C18" i="24" a="1"/>
  <c r="C18" i="24"/>
  <c r="B18" i="24" a="1"/>
  <c r="B18" i="24"/>
  <c r="K16" i="24" a="1"/>
  <c r="K16" i="24" s="1"/>
  <c r="E16" i="24"/>
  <c r="D16" i="24"/>
  <c r="C16" i="24" a="1"/>
  <c r="C16" i="24" s="1"/>
  <c r="B16" i="24" a="1"/>
  <c r="B16" i="24"/>
  <c r="K15" i="24" a="1"/>
  <c r="K15" i="24" s="1"/>
  <c r="E15" i="24"/>
  <c r="D15" i="24"/>
  <c r="C15" i="24" a="1"/>
  <c r="C15" i="24"/>
  <c r="B15" i="24" a="1"/>
  <c r="B15" i="24"/>
  <c r="K14" i="24" a="1"/>
  <c r="K14" i="24" s="1"/>
  <c r="E14" i="24"/>
  <c r="D14" i="24"/>
  <c r="C14" i="24" a="1"/>
  <c r="C14" i="24"/>
  <c r="B14" i="24" a="1"/>
  <c r="B14" i="24" s="1"/>
  <c r="K13" i="24" a="1"/>
  <c r="K13" i="24" s="1"/>
  <c r="E13" i="24"/>
  <c r="D13" i="24"/>
  <c r="C13" i="24" a="1"/>
  <c r="C13" i="24"/>
  <c r="B13" i="24" a="1"/>
  <c r="B13" i="24" s="1"/>
  <c r="K12" i="24" a="1"/>
  <c r="K12" i="24" s="1"/>
  <c r="E12" i="24"/>
  <c r="D12" i="24"/>
  <c r="C12" i="24" a="1"/>
  <c r="C12" i="24"/>
  <c r="B12" i="24" a="1"/>
  <c r="B12" i="24"/>
  <c r="A2" i="24"/>
  <c r="D1511" i="23"/>
  <c r="D1494" i="23"/>
  <c r="D1477" i="23"/>
  <c r="D1460" i="23"/>
  <c r="D1443" i="23"/>
  <c r="D1426" i="23"/>
  <c r="D1409" i="23"/>
  <c r="D1392" i="23"/>
  <c r="D1375" i="23"/>
  <c r="D1358" i="23"/>
  <c r="D1341" i="23"/>
  <c r="D1324" i="23"/>
  <c r="B1303" i="23"/>
  <c r="D1295" i="23"/>
  <c r="D1289" i="23"/>
  <c r="D1288" i="23"/>
  <c r="D1285" i="23"/>
  <c r="D1284" i="23"/>
  <c r="D1279" i="23"/>
  <c r="D1274" i="23"/>
  <c r="D1273" i="23"/>
  <c r="D1267" i="23"/>
  <c r="D1266" i="23"/>
  <c r="D1262" i="23"/>
  <c r="D1261" i="23"/>
  <c r="D1257" i="23"/>
  <c r="D1250" i="23"/>
  <c r="D1244" i="23"/>
  <c r="D1243" i="23"/>
  <c r="D1239" i="23"/>
  <c r="D1238" i="23"/>
  <c r="D1234" i="23"/>
  <c r="D1229" i="23"/>
  <c r="B1216" i="23"/>
  <c r="D1208" i="23"/>
  <c r="D1202" i="23"/>
  <c r="D1201" i="23"/>
  <c r="D1198" i="23"/>
  <c r="D1197" i="23"/>
  <c r="D1192" i="23"/>
  <c r="D1187" i="23"/>
  <c r="D1186" i="23"/>
  <c r="D1180" i="23"/>
  <c r="D1179" i="23"/>
  <c r="D1175" i="23"/>
  <c r="D1174" i="23"/>
  <c r="D1170" i="23"/>
  <c r="D1163" i="23"/>
  <c r="D1157" i="23"/>
  <c r="D1156" i="23"/>
  <c r="D1152" i="23"/>
  <c r="D1151" i="23"/>
  <c r="D1147" i="23"/>
  <c r="D1142" i="23"/>
  <c r="B1129" i="23"/>
  <c r="D1121" i="23"/>
  <c r="D1115" i="23"/>
  <c r="D1114" i="23"/>
  <c r="D1111" i="23"/>
  <c r="D1110" i="23"/>
  <c r="D1105" i="23"/>
  <c r="D1100" i="23"/>
  <c r="D1099" i="23"/>
  <c r="D1093" i="23"/>
  <c r="D1092" i="23"/>
  <c r="D1088" i="23"/>
  <c r="D1087" i="23"/>
  <c r="D1083" i="23"/>
  <c r="D1076" i="23"/>
  <c r="D1070" i="23"/>
  <c r="D1069" i="23"/>
  <c r="D1065" i="23"/>
  <c r="D1064" i="23"/>
  <c r="D1060" i="23"/>
  <c r="D1055" i="23"/>
  <c r="B1042" i="23"/>
  <c r="D1034" i="23"/>
  <c r="D1028" i="23"/>
  <c r="D1027" i="23"/>
  <c r="D1024" i="23"/>
  <c r="D1023" i="23"/>
  <c r="D1018" i="23"/>
  <c r="D1013" i="23"/>
  <c r="D1012" i="23"/>
  <c r="D1006" i="23"/>
  <c r="D1005" i="23"/>
  <c r="D1001" i="23"/>
  <c r="D1000" i="23"/>
  <c r="D996" i="23"/>
  <c r="D989" i="23"/>
  <c r="D983" i="23"/>
  <c r="D982" i="23"/>
  <c r="D978" i="23"/>
  <c r="D977" i="23"/>
  <c r="D973" i="23"/>
  <c r="D968" i="23"/>
  <c r="B955" i="23"/>
  <c r="D947" i="23"/>
  <c r="D941" i="23"/>
  <c r="D940" i="23"/>
  <c r="D937" i="23"/>
  <c r="D936" i="23"/>
  <c r="D931" i="23"/>
  <c r="D926" i="23"/>
  <c r="D925" i="23"/>
  <c r="D919" i="23"/>
  <c r="D918" i="23"/>
  <c r="D914" i="23"/>
  <c r="D913" i="23"/>
  <c r="D909" i="23"/>
  <c r="D902" i="23"/>
  <c r="D896" i="23"/>
  <c r="D895" i="23"/>
  <c r="D891" i="23"/>
  <c r="D890" i="23"/>
  <c r="D886" i="23"/>
  <c r="D881" i="23"/>
  <c r="B868" i="23"/>
  <c r="D860" i="23"/>
  <c r="D854" i="23"/>
  <c r="D853" i="23"/>
  <c r="D850" i="23"/>
  <c r="D849" i="23"/>
  <c r="D844" i="23"/>
  <c r="D839" i="23"/>
  <c r="D838" i="23"/>
  <c r="D832" i="23"/>
  <c r="D831" i="23"/>
  <c r="D827" i="23"/>
  <c r="D826" i="23"/>
  <c r="D822" i="23"/>
  <c r="D815" i="23"/>
  <c r="D809" i="23"/>
  <c r="D808" i="23"/>
  <c r="D804" i="23"/>
  <c r="D803" i="23"/>
  <c r="D799" i="23"/>
  <c r="D794" i="23"/>
  <c r="B781" i="23"/>
  <c r="D773" i="23"/>
  <c r="D767" i="23"/>
  <c r="D766" i="23"/>
  <c r="D763" i="23"/>
  <c r="D762" i="23"/>
  <c r="D757" i="23"/>
  <c r="D752" i="23"/>
  <c r="D751" i="23"/>
  <c r="D745" i="23"/>
  <c r="D744" i="23"/>
  <c r="D740" i="23"/>
  <c r="D739" i="23"/>
  <c r="D735" i="23"/>
  <c r="D728" i="23"/>
  <c r="D722" i="23"/>
  <c r="D721" i="23"/>
  <c r="D717" i="23"/>
  <c r="D716" i="23"/>
  <c r="D712" i="23"/>
  <c r="D707" i="23"/>
  <c r="B694" i="23"/>
  <c r="D686" i="23"/>
  <c r="D680" i="23"/>
  <c r="D679" i="23"/>
  <c r="D676" i="23"/>
  <c r="D675" i="23"/>
  <c r="D670" i="23"/>
  <c r="D665" i="23"/>
  <c r="D664" i="23"/>
  <c r="D658" i="23"/>
  <c r="D657" i="23"/>
  <c r="D653" i="23"/>
  <c r="D652" i="23"/>
  <c r="D648" i="23"/>
  <c r="D641" i="23"/>
  <c r="D635" i="23"/>
  <c r="D634" i="23"/>
  <c r="D630" i="23"/>
  <c r="D629" i="23"/>
  <c r="D625" i="23"/>
  <c r="D620" i="23"/>
  <c r="B607" i="23"/>
  <c r="D599" i="23"/>
  <c r="D593" i="23"/>
  <c r="D592" i="23"/>
  <c r="D589" i="23"/>
  <c r="D588" i="23"/>
  <c r="D583" i="23"/>
  <c r="D578" i="23"/>
  <c r="D577" i="23"/>
  <c r="D571" i="23"/>
  <c r="D570" i="23"/>
  <c r="D566" i="23"/>
  <c r="D565" i="23"/>
  <c r="D561" i="23"/>
  <c r="D554" i="23"/>
  <c r="D548" i="23"/>
  <c r="D547" i="23"/>
  <c r="D543" i="23"/>
  <c r="D542" i="23"/>
  <c r="D538" i="23"/>
  <c r="D533" i="23"/>
  <c r="B520" i="23"/>
  <c r="D512" i="23"/>
  <c r="D506" i="23"/>
  <c r="D505" i="23"/>
  <c r="D502" i="23"/>
  <c r="D501" i="23"/>
  <c r="D496" i="23"/>
  <c r="D491" i="23"/>
  <c r="D490" i="23"/>
  <c r="D484" i="23"/>
  <c r="D483" i="23"/>
  <c r="D479" i="23"/>
  <c r="D478" i="23"/>
  <c r="D474" i="23"/>
  <c r="D467" i="23"/>
  <c r="D461" i="23"/>
  <c r="D460" i="23"/>
  <c r="D456" i="23"/>
  <c r="D455" i="23"/>
  <c r="D451" i="23"/>
  <c r="D446" i="23"/>
  <c r="B433" i="23"/>
  <c r="D425" i="23"/>
  <c r="D419" i="23"/>
  <c r="D418" i="23"/>
  <c r="D415" i="23"/>
  <c r="D414" i="23"/>
  <c r="D409" i="23"/>
  <c r="D404" i="23"/>
  <c r="D403" i="23"/>
  <c r="D397" i="23"/>
  <c r="D396" i="23"/>
  <c r="D392" i="23"/>
  <c r="D391" i="23"/>
  <c r="D387" i="23"/>
  <c r="D380" i="23"/>
  <c r="D374" i="23"/>
  <c r="D373" i="23"/>
  <c r="D369" i="23"/>
  <c r="D368" i="23"/>
  <c r="D364" i="23"/>
  <c r="D359" i="23"/>
  <c r="B346" i="23"/>
  <c r="D338" i="23"/>
  <c r="D332" i="23"/>
  <c r="D331" i="23"/>
  <c r="D328" i="23"/>
  <c r="D327" i="23"/>
  <c r="D322" i="23"/>
  <c r="D317" i="23"/>
  <c r="D316" i="23"/>
  <c r="D310" i="23"/>
  <c r="D309" i="23"/>
  <c r="D305" i="23"/>
  <c r="D304" i="23"/>
  <c r="D300" i="23"/>
  <c r="D293" i="23"/>
  <c r="D287" i="23"/>
  <c r="D286" i="23"/>
  <c r="D282" i="23"/>
  <c r="D281" i="23"/>
  <c r="D277" i="23"/>
  <c r="D272" i="23"/>
  <c r="B259" i="23"/>
  <c r="D251" i="23"/>
  <c r="D245" i="23"/>
  <c r="D244" i="23"/>
  <c r="D241" i="23"/>
  <c r="D240" i="23"/>
  <c r="D235" i="23"/>
  <c r="D230" i="23"/>
  <c r="D229" i="23"/>
  <c r="D223" i="23"/>
  <c r="D222" i="23"/>
  <c r="D218" i="23"/>
  <c r="D217" i="23"/>
  <c r="D213" i="23"/>
  <c r="D206" i="23"/>
  <c r="D200" i="23"/>
  <c r="D199" i="23"/>
  <c r="D195" i="23"/>
  <c r="D194" i="23"/>
  <c r="D190" i="23"/>
  <c r="D185" i="23"/>
  <c r="B172" i="23"/>
  <c r="D164" i="23"/>
  <c r="D158" i="23"/>
  <c r="D157" i="23"/>
  <c r="D154" i="23"/>
  <c r="D153" i="23"/>
  <c r="D148" i="23"/>
  <c r="D143" i="23"/>
  <c r="D142" i="23"/>
  <c r="D136" i="23"/>
  <c r="D135" i="23"/>
  <c r="D131" i="23"/>
  <c r="D130" i="23"/>
  <c r="D126" i="23"/>
  <c r="D119" i="23"/>
  <c r="D113" i="23"/>
  <c r="D112" i="23"/>
  <c r="D108" i="23"/>
  <c r="D107" i="23"/>
  <c r="D103" i="23"/>
  <c r="D98" i="23"/>
  <c r="B85" i="23"/>
  <c r="D77" i="23"/>
  <c r="D71" i="23"/>
  <c r="D70" i="23"/>
  <c r="D67" i="23"/>
  <c r="D66" i="23"/>
  <c r="D61" i="23"/>
  <c r="D56" i="23"/>
  <c r="D55" i="23"/>
  <c r="D49" i="23"/>
  <c r="D48" i="23"/>
  <c r="D44" i="23"/>
  <c r="D43" i="23"/>
  <c r="D39" i="23"/>
  <c r="D32" i="23"/>
  <c r="D26" i="23"/>
  <c r="D25" i="23"/>
  <c r="D21" i="23"/>
  <c r="D20" i="23"/>
  <c r="D16" i="23"/>
  <c r="D11" i="23"/>
  <c r="A3" i="23"/>
  <c r="B31" i="22"/>
  <c r="B25" i="22"/>
  <c r="B19" i="22"/>
  <c r="B13" i="22"/>
  <c r="B7" i="22"/>
  <c r="A3" i="22"/>
  <c r="C5" i="21"/>
  <c r="L4" i="21"/>
  <c r="C4" i="21"/>
  <c r="C3" i="21"/>
  <c r="C198" i="20" a="1"/>
  <c r="C198" i="20" s="1"/>
  <c r="B198" i="20" a="1"/>
  <c r="B198" i="20" s="1"/>
  <c r="C197" i="20" a="1"/>
  <c r="C197" i="20" s="1"/>
  <c r="B197" i="20" a="1"/>
  <c r="B197" i="20"/>
  <c r="C196" i="20" a="1"/>
  <c r="C196" i="20" s="1"/>
  <c r="B196" i="20" a="1"/>
  <c r="B196" i="20"/>
  <c r="C195" i="20" a="1"/>
  <c r="C195" i="20" s="1"/>
  <c r="B195" i="20" a="1"/>
  <c r="B195" i="20" s="1"/>
  <c r="C194" i="20" a="1"/>
  <c r="C194" i="20" s="1"/>
  <c r="B194" i="20" a="1"/>
  <c r="B194" i="20" s="1"/>
  <c r="C193" i="20" a="1"/>
  <c r="C193" i="20"/>
  <c r="B193" i="20" a="1"/>
  <c r="B193" i="20"/>
  <c r="C192" i="20" a="1"/>
  <c r="C192" i="20"/>
  <c r="B192" i="20" a="1"/>
  <c r="B192" i="20" s="1"/>
  <c r="C191" i="20" a="1"/>
  <c r="C191" i="20" s="1"/>
  <c r="B191" i="20" a="1"/>
  <c r="B191" i="20" s="1"/>
  <c r="C190" i="20" a="1"/>
  <c r="C190" i="20" s="1"/>
  <c r="B190" i="20" a="1"/>
  <c r="B190" i="20"/>
  <c r="C189" i="20" a="1"/>
  <c r="C189" i="20" s="1"/>
  <c r="B189" i="20" a="1"/>
  <c r="B189" i="20" s="1"/>
  <c r="C188" i="20" a="1"/>
  <c r="C188" i="20" s="1"/>
  <c r="B188" i="20" a="1"/>
  <c r="B188" i="20" s="1"/>
  <c r="C187" i="20" a="1"/>
  <c r="C187" i="20" s="1"/>
  <c r="B187" i="20" a="1"/>
  <c r="B187" i="20" s="1"/>
  <c r="C186" i="20" a="1"/>
  <c r="C186" i="20"/>
  <c r="B186" i="20" a="1"/>
  <c r="B186" i="20"/>
  <c r="C185" i="20" a="1"/>
  <c r="C185" i="20"/>
  <c r="B185" i="20" a="1"/>
  <c r="B185" i="20" s="1"/>
  <c r="C184" i="20" a="1"/>
  <c r="C184" i="20" s="1"/>
  <c r="B184" i="20" a="1"/>
  <c r="B184" i="20" s="1"/>
  <c r="C183" i="20" a="1"/>
  <c r="C183" i="20" s="1"/>
  <c r="B183" i="20" a="1"/>
  <c r="B183" i="20"/>
  <c r="C182" i="20" a="1"/>
  <c r="C182" i="20"/>
  <c r="B182" i="20" a="1"/>
  <c r="B182" i="20"/>
  <c r="C181" i="20" a="1"/>
  <c r="C181" i="20"/>
  <c r="B181" i="20" a="1"/>
  <c r="B181" i="20" s="1"/>
  <c r="C180" i="20" a="1"/>
  <c r="C180" i="20" s="1"/>
  <c r="B180" i="20" a="1"/>
  <c r="B180" i="20" s="1"/>
  <c r="C179" i="20" a="1"/>
  <c r="C179" i="20"/>
  <c r="B179" i="20" a="1"/>
  <c r="B179" i="20" s="1"/>
  <c r="C178" i="20" a="1"/>
  <c r="C178" i="20" s="1"/>
  <c r="B178" i="20" a="1"/>
  <c r="B178" i="20" s="1"/>
  <c r="C177" i="20" a="1"/>
  <c r="C177" i="20" s="1"/>
  <c r="B177" i="20" a="1"/>
  <c r="B177" i="20" s="1"/>
  <c r="C176" i="20" a="1"/>
  <c r="C176" i="20" s="1"/>
  <c r="B176" i="20" a="1"/>
  <c r="B176" i="20"/>
  <c r="C175" i="20" a="1"/>
  <c r="C175" i="20" s="1"/>
  <c r="B175" i="20" a="1"/>
  <c r="B175" i="20" s="1"/>
  <c r="C174" i="20" a="1"/>
  <c r="C174" i="20"/>
  <c r="B174" i="20" a="1"/>
  <c r="B174" i="20" s="1"/>
  <c r="C173" i="20" a="1"/>
  <c r="C173" i="20" s="1"/>
  <c r="B173" i="20" a="1"/>
  <c r="B173" i="20" s="1"/>
  <c r="C172" i="20" a="1"/>
  <c r="C172" i="20"/>
  <c r="B172" i="20" a="1"/>
  <c r="B172" i="20"/>
  <c r="C171" i="20" a="1"/>
  <c r="C171" i="20"/>
  <c r="B171" i="20" a="1"/>
  <c r="B171" i="20"/>
  <c r="C170" i="20" a="1"/>
  <c r="C170" i="20" s="1"/>
  <c r="B170" i="20" a="1"/>
  <c r="B170" i="20" s="1"/>
  <c r="C169" i="20" a="1"/>
  <c r="C169" i="20" s="1"/>
  <c r="B169" i="20" a="1"/>
  <c r="B169" i="20"/>
  <c r="C168" i="20" a="1"/>
  <c r="C168" i="20" s="1"/>
  <c r="B168" i="20" a="1"/>
  <c r="B168" i="20"/>
  <c r="C167" i="20" a="1"/>
  <c r="C167" i="20"/>
  <c r="B167" i="20" a="1"/>
  <c r="B167" i="20" s="1"/>
  <c r="C166" i="20" a="1"/>
  <c r="C166" i="20" s="1"/>
  <c r="B166" i="20" a="1"/>
  <c r="B166" i="20" s="1"/>
  <c r="C165" i="20" a="1"/>
  <c r="C165" i="20"/>
  <c r="B165" i="20" a="1"/>
  <c r="B165" i="20" s="1"/>
  <c r="C164" i="20" a="1"/>
  <c r="C164" i="20" s="1"/>
  <c r="B164" i="20" a="1"/>
  <c r="B164" i="20" s="1"/>
  <c r="C163" i="20" a="1"/>
  <c r="C163" i="20" s="1"/>
  <c r="B163" i="20" a="1"/>
  <c r="B163" i="20" s="1"/>
  <c r="C162" i="20" a="1"/>
  <c r="C162" i="20" s="1"/>
  <c r="B162" i="20" a="1"/>
  <c r="B162" i="20"/>
  <c r="C161" i="20" a="1"/>
  <c r="C161" i="20" s="1"/>
  <c r="B161" i="20" a="1"/>
  <c r="B161" i="20" s="1"/>
  <c r="C160" i="20" a="1"/>
  <c r="C160" i="20"/>
  <c r="B160" i="20" a="1"/>
  <c r="B160" i="20" s="1"/>
  <c r="C159" i="20" a="1"/>
  <c r="C159" i="20" s="1"/>
  <c r="B159" i="20" a="1"/>
  <c r="B159" i="20" s="1"/>
  <c r="C158" i="20" a="1"/>
  <c r="C158" i="20"/>
  <c r="B158" i="20" a="1"/>
  <c r="B158" i="20"/>
  <c r="C157" i="20" a="1"/>
  <c r="C157" i="20"/>
  <c r="B157" i="20" a="1"/>
  <c r="B157" i="20"/>
  <c r="C156" i="20" a="1"/>
  <c r="C156" i="20" s="1"/>
  <c r="B156" i="20" a="1"/>
  <c r="B156" i="20" s="1"/>
  <c r="C155" i="20" a="1"/>
  <c r="C155" i="20" s="1"/>
  <c r="B155" i="20" a="1"/>
  <c r="B155" i="20"/>
  <c r="C154" i="20" a="1"/>
  <c r="C154" i="20" s="1"/>
  <c r="B154" i="20" a="1"/>
  <c r="B154" i="20" s="1"/>
  <c r="C153" i="20" a="1"/>
  <c r="C153" i="20" s="1"/>
  <c r="B153" i="20" a="1"/>
  <c r="B153" i="20" s="1"/>
  <c r="C152" i="20" a="1"/>
  <c r="C152" i="20" s="1"/>
  <c r="B152" i="20" a="1"/>
  <c r="B152" i="20" s="1"/>
  <c r="C151" i="20" a="1"/>
  <c r="C151" i="20"/>
  <c r="B151" i="20" a="1"/>
  <c r="B151" i="20" s="1"/>
  <c r="C150" i="20" a="1"/>
  <c r="C150" i="20"/>
  <c r="B150" i="20" a="1"/>
  <c r="B150" i="20" s="1"/>
  <c r="C149" i="20" a="1"/>
  <c r="C149" i="20" s="1"/>
  <c r="B149" i="20" a="1"/>
  <c r="B149" i="20" s="1"/>
  <c r="C148" i="20" a="1"/>
  <c r="C148" i="20" s="1"/>
  <c r="B148" i="20" a="1"/>
  <c r="B148" i="20"/>
  <c r="C147" i="20" a="1"/>
  <c r="C147" i="20" s="1"/>
  <c r="B147" i="20" a="1"/>
  <c r="B147" i="20"/>
  <c r="C146" i="20" a="1"/>
  <c r="C146" i="20"/>
  <c r="B146" i="20" a="1"/>
  <c r="B146" i="20" s="1"/>
  <c r="C145" i="20" a="1"/>
  <c r="C145" i="20" s="1"/>
  <c r="B145" i="20" a="1"/>
  <c r="B145" i="20" s="1"/>
  <c r="C144" i="20" a="1"/>
  <c r="C144" i="20"/>
  <c r="B144" i="20" a="1"/>
  <c r="B144" i="20"/>
  <c r="C143" i="20" a="1"/>
  <c r="C143" i="20"/>
  <c r="B143" i="20" a="1"/>
  <c r="B143" i="20" s="1"/>
  <c r="C142" i="20" a="1"/>
  <c r="C142" i="20" s="1"/>
  <c r="B142" i="20" a="1"/>
  <c r="B142" i="20" s="1"/>
  <c r="C141" i="20" a="1"/>
  <c r="C141" i="20" s="1"/>
  <c r="B141" i="20" a="1"/>
  <c r="B141" i="20"/>
  <c r="C140" i="20" a="1"/>
  <c r="C140" i="20" s="1"/>
  <c r="B140" i="20" a="1"/>
  <c r="B140" i="20" s="1"/>
  <c r="C139" i="20" a="1"/>
  <c r="C139" i="20" s="1"/>
  <c r="B139" i="20" a="1"/>
  <c r="B139" i="20" s="1"/>
  <c r="C138" i="20" a="1"/>
  <c r="C138" i="20" s="1"/>
  <c r="B138" i="20" a="1"/>
  <c r="B138" i="20" s="1"/>
  <c r="C137" i="20" a="1"/>
  <c r="C137" i="20"/>
  <c r="B137" i="20" a="1"/>
  <c r="B137" i="20"/>
  <c r="C136" i="20" a="1"/>
  <c r="C136" i="20"/>
  <c r="B136" i="20" a="1"/>
  <c r="B136" i="20"/>
  <c r="C135" i="20" a="1"/>
  <c r="C135" i="20" s="1"/>
  <c r="B135" i="20" a="1"/>
  <c r="B135" i="20" s="1"/>
  <c r="C134" i="20" a="1"/>
  <c r="C134" i="20" s="1"/>
  <c r="B134" i="20" a="1"/>
  <c r="B134" i="20"/>
  <c r="C133" i="20" a="1"/>
  <c r="C133" i="20"/>
  <c r="B133" i="20" a="1"/>
  <c r="B133" i="20" s="1"/>
  <c r="C132" i="20" a="1"/>
  <c r="C132" i="20" s="1"/>
  <c r="B132" i="20" a="1"/>
  <c r="B132" i="20" s="1"/>
  <c r="C131" i="20" a="1"/>
  <c r="C131" i="20" s="1"/>
  <c r="B131" i="20" a="1"/>
  <c r="B131" i="20" s="1"/>
  <c r="C130" i="20" a="1"/>
  <c r="C130" i="20"/>
  <c r="B130" i="20" a="1"/>
  <c r="B130" i="20" s="1"/>
  <c r="C129" i="20" a="1"/>
  <c r="C129" i="20" s="1"/>
  <c r="B129" i="20" a="1"/>
  <c r="B129" i="20" s="1"/>
  <c r="C128" i="20" a="1"/>
  <c r="C128" i="20" s="1"/>
  <c r="B128" i="20" a="1"/>
  <c r="B128" i="20" s="1"/>
  <c r="C127" i="20" a="1"/>
  <c r="C127" i="20" s="1"/>
  <c r="B127" i="20" a="1"/>
  <c r="B127" i="20" s="1"/>
  <c r="C126" i="20" a="1"/>
  <c r="C126" i="20" s="1"/>
  <c r="B126" i="20" a="1"/>
  <c r="B126" i="20" s="1"/>
  <c r="C125" i="20" a="1"/>
  <c r="C125" i="20" s="1"/>
  <c r="B125" i="20" a="1"/>
  <c r="B125" i="20" s="1"/>
  <c r="C124" i="20" a="1"/>
  <c r="C124" i="20" s="1"/>
  <c r="B124" i="20" a="1"/>
  <c r="B124" i="20" s="1"/>
  <c r="C123" i="20" a="1"/>
  <c r="C123" i="20"/>
  <c r="B123" i="20" a="1"/>
  <c r="B123" i="20"/>
  <c r="C122" i="20" a="1"/>
  <c r="C122" i="20" s="1"/>
  <c r="B122" i="20" a="1"/>
  <c r="B122" i="20"/>
  <c r="C121" i="20" a="1"/>
  <c r="C121" i="20" s="1"/>
  <c r="B121" i="20" a="1"/>
  <c r="B121" i="20" s="1"/>
  <c r="C120" i="20" a="1"/>
  <c r="C120" i="20" s="1"/>
  <c r="B120" i="20" a="1"/>
  <c r="B120" i="20"/>
  <c r="C119" i="20" a="1"/>
  <c r="C119" i="20" s="1"/>
  <c r="B119" i="20" a="1"/>
  <c r="B119" i="20" s="1"/>
  <c r="C118" i="20" a="1"/>
  <c r="C118" i="20"/>
  <c r="B118" i="20" a="1"/>
  <c r="B118" i="20" s="1"/>
  <c r="C117" i="20" a="1"/>
  <c r="C117" i="20" s="1"/>
  <c r="B117" i="20" a="1"/>
  <c r="B117" i="20" s="1"/>
  <c r="C116" i="20" a="1"/>
  <c r="C116" i="20" s="1"/>
  <c r="B116" i="20" a="1"/>
  <c r="B116" i="20" s="1"/>
  <c r="C115" i="20" a="1"/>
  <c r="C115" i="20" s="1"/>
  <c r="B115" i="20" a="1"/>
  <c r="B115" i="20" s="1"/>
  <c r="C114" i="20" a="1"/>
  <c r="C114" i="20" s="1"/>
  <c r="B114" i="20" a="1"/>
  <c r="B114" i="20" s="1"/>
  <c r="C113" i="20" a="1"/>
  <c r="C113" i="20" s="1"/>
  <c r="B113" i="20" a="1"/>
  <c r="B113" i="20" s="1"/>
  <c r="C112" i="20" a="1"/>
  <c r="C112" i="20" s="1"/>
  <c r="B112" i="20" a="1"/>
  <c r="B112" i="20" s="1"/>
  <c r="C111" i="20" a="1"/>
  <c r="C111" i="20"/>
  <c r="B111" i="20" a="1"/>
  <c r="B111" i="20" s="1"/>
  <c r="C110" i="20" a="1"/>
  <c r="C110" i="20" s="1"/>
  <c r="B110" i="20" a="1"/>
  <c r="B110" i="20" s="1"/>
  <c r="C109" i="20" a="1"/>
  <c r="C109" i="20" s="1"/>
  <c r="B109" i="20" a="1"/>
  <c r="B109" i="20" s="1"/>
  <c r="C108" i="20" a="1"/>
  <c r="C108" i="20"/>
  <c r="B108" i="20" a="1"/>
  <c r="B108" i="20" s="1"/>
  <c r="C107" i="20" a="1"/>
  <c r="C107" i="20" s="1"/>
  <c r="B107" i="20" a="1"/>
  <c r="B107" i="20" s="1"/>
  <c r="C106" i="20" a="1"/>
  <c r="C106" i="20" s="1"/>
  <c r="B106" i="20" a="1"/>
  <c r="B106" i="20"/>
  <c r="C105" i="20" a="1"/>
  <c r="C105" i="20"/>
  <c r="B105" i="20" a="1"/>
  <c r="B105" i="20" s="1"/>
  <c r="C104" i="20" a="1"/>
  <c r="C104" i="20" s="1"/>
  <c r="B104" i="20" a="1"/>
  <c r="B104" i="20" s="1"/>
  <c r="C103" i="20" a="1"/>
  <c r="C103" i="20" s="1"/>
  <c r="B103" i="20" a="1"/>
  <c r="B103" i="20" s="1"/>
  <c r="C102" i="20" a="1"/>
  <c r="C102" i="20" s="1"/>
  <c r="B102" i="20" a="1"/>
  <c r="B102" i="20"/>
  <c r="C101" i="20" a="1"/>
  <c r="C101" i="20" s="1"/>
  <c r="B101" i="20" a="1"/>
  <c r="B101" i="20" s="1"/>
  <c r="C100" i="20" a="1"/>
  <c r="C100" i="20" s="1"/>
  <c r="B100" i="20" a="1"/>
  <c r="B100" i="20" s="1"/>
  <c r="C99" i="20" a="1"/>
  <c r="C99" i="20" s="1"/>
  <c r="B99" i="20" a="1"/>
  <c r="B99" i="20" s="1"/>
  <c r="C98" i="20" a="1"/>
  <c r="C98" i="20" s="1"/>
  <c r="B98" i="20" a="1"/>
  <c r="B98" i="20"/>
  <c r="C97" i="20" a="1"/>
  <c r="C97" i="20"/>
  <c r="B97" i="20" a="1"/>
  <c r="B97" i="20" s="1"/>
  <c r="C96" i="20" a="1"/>
  <c r="C96" i="20" s="1"/>
  <c r="B96" i="20" a="1"/>
  <c r="B96" i="20" s="1"/>
  <c r="C95" i="20" a="1"/>
  <c r="C95" i="20" s="1"/>
  <c r="B95" i="20" a="1"/>
  <c r="B95" i="20"/>
  <c r="C94" i="20" a="1"/>
  <c r="C94" i="20" s="1"/>
  <c r="B94" i="20" a="1"/>
  <c r="B94" i="20" s="1"/>
  <c r="C93" i="20" a="1"/>
  <c r="C93" i="20" s="1"/>
  <c r="B93" i="20" a="1"/>
  <c r="B93" i="20" s="1"/>
  <c r="C92" i="20" a="1"/>
  <c r="C92" i="20" s="1"/>
  <c r="B92" i="20" a="1"/>
  <c r="B92" i="20" s="1"/>
  <c r="C91" i="20" a="1"/>
  <c r="C91" i="20" s="1"/>
  <c r="B91" i="20" a="1"/>
  <c r="B91" i="20" s="1"/>
  <c r="C90" i="20" a="1"/>
  <c r="C90" i="20" s="1"/>
  <c r="B90" i="20" a="1"/>
  <c r="B90" i="20" s="1"/>
  <c r="C89" i="20" a="1"/>
  <c r="C89" i="20" s="1"/>
  <c r="B89" i="20" a="1"/>
  <c r="B89" i="20" s="1"/>
  <c r="C88" i="20" a="1"/>
  <c r="C88" i="20" s="1"/>
  <c r="B88" i="20" a="1"/>
  <c r="B88" i="20"/>
  <c r="C87" i="20" a="1"/>
  <c r="C87" i="20"/>
  <c r="B87" i="20" a="1"/>
  <c r="B87" i="20" s="1"/>
  <c r="C86" i="20" a="1"/>
  <c r="C86" i="20" s="1"/>
  <c r="B86" i="20" a="1"/>
  <c r="B86" i="20" s="1"/>
  <c r="C85" i="20" a="1"/>
  <c r="C85" i="20" s="1"/>
  <c r="B85" i="20" a="1"/>
  <c r="B85" i="20" s="1"/>
  <c r="C84" i="20" a="1"/>
  <c r="C84" i="20"/>
  <c r="B84" i="20" a="1"/>
  <c r="B84" i="20" s="1"/>
  <c r="C83" i="20" a="1"/>
  <c r="C83" i="20"/>
  <c r="B83" i="20" a="1"/>
  <c r="B83" i="20" s="1"/>
  <c r="C82" i="20" a="1"/>
  <c r="C82" i="20" s="1"/>
  <c r="B82" i="20" a="1"/>
  <c r="B82" i="20" s="1"/>
  <c r="C81" i="20" a="1"/>
  <c r="C81" i="20"/>
  <c r="B81" i="20" a="1"/>
  <c r="B81" i="20" s="1"/>
  <c r="C80" i="20" a="1"/>
  <c r="C80" i="20" s="1"/>
  <c r="B80" i="20" a="1"/>
  <c r="B80" i="20"/>
  <c r="C79" i="20" a="1"/>
  <c r="C79" i="20" s="1"/>
  <c r="B79" i="20" a="1"/>
  <c r="B79" i="20" s="1"/>
  <c r="C78" i="20" a="1"/>
  <c r="C78" i="20" s="1"/>
  <c r="B78" i="20" a="1"/>
  <c r="B78" i="20"/>
  <c r="C77" i="20" a="1"/>
  <c r="C77" i="20" s="1"/>
  <c r="B77" i="20" a="1"/>
  <c r="B77" i="20" s="1"/>
  <c r="C76" i="20" a="1"/>
  <c r="C76" i="20" s="1"/>
  <c r="B76" i="20" a="1"/>
  <c r="B76" i="20" s="1"/>
  <c r="C75" i="20" a="1"/>
  <c r="C75" i="20" s="1"/>
  <c r="B75" i="20" a="1"/>
  <c r="B75" i="20" s="1"/>
  <c r="C74" i="20" a="1"/>
  <c r="C74" i="20" s="1"/>
  <c r="B74" i="20" a="1"/>
  <c r="B74" i="20" s="1"/>
  <c r="C73" i="20" a="1"/>
  <c r="C73" i="20" s="1"/>
  <c r="B73" i="20" a="1"/>
  <c r="B73" i="20"/>
  <c r="C72" i="20" a="1"/>
  <c r="C72" i="20" s="1"/>
  <c r="B72" i="20" a="1"/>
  <c r="B72" i="20" s="1"/>
  <c r="C71" i="20" a="1"/>
  <c r="C71" i="20" s="1"/>
  <c r="B71" i="20" a="1"/>
  <c r="B71" i="20"/>
  <c r="C70" i="20" a="1"/>
  <c r="C70" i="20"/>
  <c r="B70" i="20" a="1"/>
  <c r="B70" i="20"/>
  <c r="C69" i="20" a="1"/>
  <c r="C69" i="20" s="1"/>
  <c r="B69" i="20" a="1"/>
  <c r="B69" i="20" s="1"/>
  <c r="C68" i="20" a="1"/>
  <c r="C68" i="20" s="1"/>
  <c r="B68" i="20" a="1"/>
  <c r="B68" i="20" s="1"/>
  <c r="C67" i="20" a="1"/>
  <c r="C67" i="20" s="1"/>
  <c r="B67" i="20" a="1"/>
  <c r="B67" i="20" s="1"/>
  <c r="C66" i="20" a="1"/>
  <c r="C66" i="20" s="1"/>
  <c r="B66" i="20" a="1"/>
  <c r="B66" i="20" s="1"/>
  <c r="C65" i="20" a="1"/>
  <c r="C65" i="20" s="1"/>
  <c r="B65" i="20" a="1"/>
  <c r="B65" i="20" s="1"/>
  <c r="C64" i="20" a="1"/>
  <c r="C64" i="20" s="1"/>
  <c r="B64" i="20" a="1"/>
  <c r="B64" i="20" s="1"/>
  <c r="C63" i="20" a="1"/>
  <c r="C63" i="20" s="1"/>
  <c r="B63" i="20" a="1"/>
  <c r="B63" i="20" s="1"/>
  <c r="C62" i="20" a="1"/>
  <c r="C62" i="20"/>
  <c r="B62" i="20" a="1"/>
  <c r="B62" i="20" s="1"/>
  <c r="C61" i="20" a="1"/>
  <c r="C61" i="20" s="1"/>
  <c r="B61" i="20" a="1"/>
  <c r="B61" i="20" s="1"/>
  <c r="C60" i="20" a="1"/>
  <c r="C60" i="20"/>
  <c r="B60" i="20" a="1"/>
  <c r="B60" i="20"/>
  <c r="C59" i="20" a="1"/>
  <c r="C59" i="20"/>
  <c r="B59" i="20" a="1"/>
  <c r="B59" i="20" s="1"/>
  <c r="C58" i="20" a="1"/>
  <c r="C58" i="20" s="1"/>
  <c r="B58" i="20" a="1"/>
  <c r="B58" i="20" s="1"/>
  <c r="C57" i="20" a="1"/>
  <c r="C57" i="20" s="1"/>
  <c r="B57" i="20" a="1"/>
  <c r="B57" i="20" s="1"/>
  <c r="C56" i="20" a="1"/>
  <c r="C56" i="20"/>
  <c r="B56" i="20" a="1"/>
  <c r="B56" i="20"/>
  <c r="C55" i="20" a="1"/>
  <c r="C55" i="20" s="1"/>
  <c r="B55" i="20" a="1"/>
  <c r="B55" i="20" s="1"/>
  <c r="C54" i="20" a="1"/>
  <c r="C54" i="20" s="1"/>
  <c r="B54" i="20" a="1"/>
  <c r="B54" i="20" s="1"/>
  <c r="C53" i="20" a="1"/>
  <c r="C53" i="20" s="1"/>
  <c r="B53" i="20" a="1"/>
  <c r="B53" i="20" s="1"/>
  <c r="C52" i="20" a="1"/>
  <c r="C52" i="20"/>
  <c r="B52" i="20" a="1"/>
  <c r="B52" i="20" s="1"/>
  <c r="C51" i="20" a="1"/>
  <c r="C51" i="20" s="1"/>
  <c r="B51" i="20" a="1"/>
  <c r="B51" i="20" s="1"/>
  <c r="C50" i="20" a="1"/>
  <c r="C50" i="20" s="1"/>
  <c r="B50" i="20" a="1"/>
  <c r="B50" i="20" s="1"/>
  <c r="C49" i="20" a="1"/>
  <c r="C49" i="20" s="1"/>
  <c r="B49" i="20" a="1"/>
  <c r="B49" i="20"/>
  <c r="C48" i="20" a="1"/>
  <c r="C48" i="20" s="1"/>
  <c r="B48" i="20" a="1"/>
  <c r="B48" i="20" s="1"/>
  <c r="C47" i="20" a="1"/>
  <c r="C47" i="20" s="1"/>
  <c r="B47" i="20" a="1"/>
  <c r="B47" i="20" s="1"/>
  <c r="C46" i="20" a="1"/>
  <c r="C46" i="20"/>
  <c r="B46" i="20" a="1"/>
  <c r="B46" i="20"/>
  <c r="C45" i="20" a="1"/>
  <c r="C45" i="20" s="1"/>
  <c r="B45" i="20" a="1"/>
  <c r="B45" i="20" s="1"/>
  <c r="C44" i="20" a="1"/>
  <c r="C44" i="20" s="1"/>
  <c r="B44" i="20" a="1"/>
  <c r="B44" i="20" s="1"/>
  <c r="C43" i="20" a="1"/>
  <c r="C43" i="20" s="1"/>
  <c r="B43" i="20" a="1"/>
  <c r="B43" i="20" s="1"/>
  <c r="C42" i="20" a="1"/>
  <c r="C42" i="20" s="1"/>
  <c r="B42" i="20" a="1"/>
  <c r="B42" i="20" s="1"/>
  <c r="C41" i="20" a="1"/>
  <c r="C41" i="20" s="1"/>
  <c r="B41" i="20" a="1"/>
  <c r="B41" i="20" s="1"/>
  <c r="C40" i="20" a="1"/>
  <c r="C40" i="20" s="1"/>
  <c r="B40" i="20" a="1"/>
  <c r="B40" i="20" s="1"/>
  <c r="C39" i="20" a="1"/>
  <c r="C39" i="20"/>
  <c r="B39" i="20" a="1"/>
  <c r="B39" i="20" s="1"/>
  <c r="C38" i="20" a="1"/>
  <c r="C38" i="20" s="1"/>
  <c r="B38" i="20" a="1"/>
  <c r="B38" i="20" s="1"/>
  <c r="C37" i="20" a="1"/>
  <c r="C37" i="20" s="1"/>
  <c r="B37" i="20" a="1"/>
  <c r="B37" i="20" s="1"/>
  <c r="C36" i="20" a="1"/>
  <c r="C36" i="20" s="1"/>
  <c r="B36" i="20" a="1"/>
  <c r="B36" i="20" s="1"/>
  <c r="C35" i="20" a="1"/>
  <c r="C35" i="20" s="1"/>
  <c r="B35" i="20" a="1"/>
  <c r="B35" i="20" s="1"/>
  <c r="C34" i="20" a="1"/>
  <c r="C34" i="20" s="1"/>
  <c r="B34" i="20" a="1"/>
  <c r="B34" i="20" s="1"/>
  <c r="C33" i="20" a="1"/>
  <c r="C33" i="20" s="1"/>
  <c r="B33" i="20" a="1"/>
  <c r="B33" i="20"/>
  <c r="C32" i="20" a="1"/>
  <c r="C32" i="20" s="1"/>
  <c r="B32" i="20" a="1"/>
  <c r="B32" i="20" s="1"/>
  <c r="C31" i="20" a="1"/>
  <c r="C31" i="20"/>
  <c r="B31" i="20" a="1"/>
  <c r="B31" i="20" s="1"/>
  <c r="C30" i="20" a="1"/>
  <c r="C30" i="20" s="1"/>
  <c r="B30" i="20" a="1"/>
  <c r="B30" i="20" s="1"/>
  <c r="C29" i="20" a="1"/>
  <c r="C29" i="20" s="1"/>
  <c r="B29" i="20" a="1"/>
  <c r="B29" i="20"/>
  <c r="C28" i="20" a="1"/>
  <c r="C28" i="20" s="1"/>
  <c r="B28" i="20" a="1"/>
  <c r="B28" i="20" s="1"/>
  <c r="C27" i="20" a="1"/>
  <c r="C27" i="20"/>
  <c r="B27" i="20" a="1"/>
  <c r="B27" i="20" s="1"/>
  <c r="C26" i="20" a="1"/>
  <c r="C26" i="20" s="1"/>
  <c r="B26" i="20" a="1"/>
  <c r="B26" i="20"/>
  <c r="C25" i="20" a="1"/>
  <c r="C25" i="20" s="1"/>
  <c r="B25" i="20" a="1"/>
  <c r="B25" i="20"/>
  <c r="C24" i="20" a="1"/>
  <c r="C24" i="20" s="1"/>
  <c r="B24" i="20" a="1"/>
  <c r="B24" i="20" s="1"/>
  <c r="C23" i="20" a="1"/>
  <c r="C23" i="20" s="1"/>
  <c r="B23" i="20" a="1"/>
  <c r="B23" i="20" s="1"/>
  <c r="C22" i="20" a="1"/>
  <c r="C22" i="20"/>
  <c r="B22" i="20" a="1"/>
  <c r="B22" i="20"/>
  <c r="C21" i="20" a="1"/>
  <c r="C21" i="20"/>
  <c r="B21" i="20" a="1"/>
  <c r="B21" i="20"/>
  <c r="C20" i="20" a="1"/>
  <c r="C20" i="20" s="1"/>
  <c r="B20" i="20" a="1"/>
  <c r="B20" i="20" s="1"/>
  <c r="C19" i="20" a="1"/>
  <c r="C19" i="20"/>
  <c r="B19" i="20" a="1"/>
  <c r="B19" i="20" s="1"/>
  <c r="C18" i="20" a="1"/>
  <c r="C18" i="20"/>
  <c r="B18" i="20" a="1"/>
  <c r="B18" i="20" s="1"/>
  <c r="C17" i="20" a="1"/>
  <c r="C17" i="20" s="1"/>
  <c r="B17" i="20" a="1"/>
  <c r="B17" i="20" s="1"/>
  <c r="C16" i="20" a="1"/>
  <c r="C16" i="20" s="1"/>
  <c r="B16" i="20" a="1"/>
  <c r="B16" i="20" s="1"/>
  <c r="C15" i="20" a="1"/>
  <c r="C15" i="20" s="1"/>
  <c r="B15" i="20" a="1"/>
  <c r="B15" i="20" s="1"/>
  <c r="C14" i="20" a="1"/>
  <c r="C14" i="20" s="1"/>
  <c r="B14" i="20" a="1"/>
  <c r="B14" i="20"/>
  <c r="C13" i="20" a="1"/>
  <c r="C13" i="20"/>
  <c r="B13" i="20" a="1"/>
  <c r="B13" i="20" s="1"/>
  <c r="C12" i="20" a="1"/>
  <c r="C12" i="20"/>
  <c r="B12" i="20" a="1"/>
  <c r="B12" i="20"/>
  <c r="C11" i="20" a="1"/>
  <c r="C11" i="20"/>
  <c r="B11" i="20" a="1"/>
  <c r="B11" i="20" s="1"/>
  <c r="C10" i="20" a="1"/>
  <c r="C10" i="20" s="1"/>
  <c r="B10" i="20" a="1"/>
  <c r="B10" i="20" s="1"/>
  <c r="C9" i="20" a="1"/>
  <c r="C9" i="20" s="1"/>
  <c r="B9" i="20" a="1"/>
  <c r="B9" i="20" s="1"/>
  <c r="K17" i="17"/>
  <c r="K16" i="17"/>
  <c r="K15" i="17"/>
  <c r="K14" i="17"/>
  <c r="K13" i="17"/>
  <c r="K12" i="17"/>
  <c r="K11" i="17"/>
  <c r="K10" i="17"/>
  <c r="K9" i="17"/>
  <c r="K8" i="17"/>
  <c r="K7" i="17"/>
  <c r="K6" i="17"/>
  <c r="F27" i="16"/>
  <c r="E27" i="16"/>
  <c r="C27" i="16"/>
  <c r="B27" i="16"/>
  <c r="A27" i="16"/>
  <c r="F26" i="16"/>
  <c r="E26" i="16"/>
  <c r="C26" i="16"/>
  <c r="B26" i="16"/>
  <c r="A26" i="16"/>
  <c r="F25" i="16"/>
  <c r="E25" i="16"/>
  <c r="C25" i="16"/>
  <c r="B25" i="16"/>
  <c r="A25" i="16"/>
  <c r="F24" i="16"/>
  <c r="E24" i="16"/>
  <c r="C24" i="16"/>
  <c r="B24" i="16"/>
  <c r="A24" i="16"/>
  <c r="F23" i="16"/>
  <c r="E23" i="16"/>
  <c r="C23" i="16"/>
  <c r="B23" i="16"/>
  <c r="A23" i="16"/>
  <c r="F22" i="16"/>
  <c r="E22" i="16"/>
  <c r="C22" i="16"/>
  <c r="B22" i="16"/>
  <c r="A22" i="16"/>
  <c r="F21" i="16"/>
  <c r="E21" i="16"/>
  <c r="C21" i="16"/>
  <c r="B21" i="16"/>
  <c r="A21" i="16"/>
  <c r="F20" i="16"/>
  <c r="E20" i="16"/>
  <c r="C20" i="16"/>
  <c r="B20" i="16"/>
  <c r="A20" i="16"/>
  <c r="F19" i="16"/>
  <c r="E19" i="16"/>
  <c r="C19" i="16"/>
  <c r="B19" i="16"/>
  <c r="A19" i="16"/>
  <c r="F18" i="16"/>
  <c r="E18" i="16"/>
  <c r="C18" i="16"/>
  <c r="B18" i="16"/>
  <c r="A18" i="16"/>
  <c r="F17" i="16"/>
  <c r="E17" i="16"/>
  <c r="C17" i="16"/>
  <c r="B17" i="16"/>
  <c r="A17" i="16"/>
  <c r="F16" i="16"/>
  <c r="E16" i="16"/>
  <c r="C16" i="16"/>
  <c r="B16" i="16"/>
  <c r="A16" i="16"/>
  <c r="F15" i="16"/>
  <c r="E15" i="16"/>
  <c r="C15" i="16"/>
  <c r="B15" i="16"/>
  <c r="A15" i="16"/>
  <c r="F14" i="16"/>
  <c r="E14" i="16"/>
  <c r="C14" i="16"/>
  <c r="B14" i="16"/>
  <c r="A14" i="16"/>
  <c r="F13" i="16"/>
  <c r="E13" i="16"/>
  <c r="C13" i="16"/>
  <c r="B13" i="16"/>
  <c r="A13" i="16"/>
  <c r="F12" i="16"/>
  <c r="E12" i="16"/>
  <c r="C12" i="16"/>
  <c r="B12" i="16"/>
  <c r="A12" i="16"/>
  <c r="F11" i="16"/>
  <c r="E11" i="16"/>
  <c r="C11" i="16"/>
  <c r="B11" i="16"/>
  <c r="A11" i="16"/>
  <c r="F10" i="16"/>
  <c r="E10" i="16"/>
  <c r="C10" i="16"/>
  <c r="B10" i="16"/>
  <c r="A10" i="16"/>
  <c r="F9" i="16"/>
  <c r="E9" i="16"/>
  <c r="C9" i="16"/>
  <c r="B9" i="16"/>
  <c r="A9" i="16"/>
  <c r="F8" i="16"/>
  <c r="E8" i="16"/>
  <c r="C8" i="16"/>
  <c r="B8" i="16"/>
  <c r="A8" i="16"/>
  <c r="F7" i="16"/>
  <c r="E7" i="16"/>
  <c r="C7" i="16"/>
  <c r="B7" i="16"/>
  <c r="A7" i="16"/>
  <c r="F6" i="16"/>
  <c r="E6" i="16"/>
  <c r="C6" i="16"/>
  <c r="B6" i="16"/>
  <c r="A6" i="16"/>
  <c r="F5" i="16"/>
  <c r="E5" i="16"/>
  <c r="C5" i="16"/>
  <c r="B5" i="16"/>
  <c r="A5" i="16"/>
  <c r="D2853" i="15"/>
  <c r="F2853" i="15" s="1"/>
  <c r="AF23" i="15" s="1"/>
  <c r="F2848" i="15"/>
  <c r="AA23" i="15" s="1"/>
  <c r="A2842" i="15"/>
  <c r="C2841" i="15"/>
  <c r="A2840" i="15"/>
  <c r="C2839" i="15"/>
  <c r="A2838" i="15"/>
  <c r="A2832" i="15"/>
  <c r="A2826" i="15"/>
  <c r="C2820" i="15"/>
  <c r="A2820" i="15"/>
  <c r="A2818" i="15"/>
  <c r="A2812" i="15"/>
  <c r="A2806" i="15"/>
  <c r="A2804" i="15"/>
  <c r="C2803" i="15"/>
  <c r="A2802" i="15"/>
  <c r="A2790" i="15"/>
  <c r="A2787" i="15"/>
  <c r="H2786" i="15"/>
  <c r="A2784" i="15"/>
  <c r="C2782" i="15"/>
  <c r="A2781" i="15"/>
  <c r="C2779" i="15"/>
  <c r="A2778" i="15"/>
  <c r="A2766" i="15"/>
  <c r="C2754" i="15"/>
  <c r="A2754" i="15"/>
  <c r="A2751" i="15"/>
  <c r="A2748" i="15"/>
  <c r="A2745" i="15"/>
  <c r="C2736" i="15"/>
  <c r="A2734" i="15"/>
  <c r="C2733" i="15"/>
  <c r="A2731" i="15"/>
  <c r="C2730" i="15"/>
  <c r="C2728" i="15"/>
  <c r="A2728" i="15"/>
  <c r="C2727" i="15"/>
  <c r="A2725" i="15"/>
  <c r="A2718" i="15"/>
  <c r="A2715" i="15"/>
  <c r="C2712" i="15"/>
  <c r="A2712" i="15"/>
  <c r="A2709" i="15"/>
  <c r="F2698" i="15"/>
  <c r="C2692" i="15"/>
  <c r="A2692" i="15"/>
  <c r="C2691" i="15"/>
  <c r="A2690" i="15"/>
  <c r="C2689" i="15"/>
  <c r="A2688" i="15"/>
  <c r="A2682" i="15"/>
  <c r="A2676" i="15"/>
  <c r="A2670" i="15"/>
  <c r="A2668" i="15"/>
  <c r="A2662" i="15"/>
  <c r="A2656" i="15"/>
  <c r="C2654" i="15"/>
  <c r="A2654" i="15"/>
  <c r="C2653" i="15"/>
  <c r="A2652" i="15"/>
  <c r="A2640" i="15"/>
  <c r="A2637" i="15"/>
  <c r="H2636" i="15"/>
  <c r="C2636" i="15"/>
  <c r="C2635" i="15"/>
  <c r="A2634" i="15"/>
  <c r="C2632" i="15"/>
  <c r="A2631" i="15"/>
  <c r="C2629" i="15"/>
  <c r="A2628" i="15"/>
  <c r="C2618" i="15"/>
  <c r="A2616" i="15"/>
  <c r="C2604" i="15"/>
  <c r="A2604" i="15"/>
  <c r="A2601" i="15"/>
  <c r="A2598" i="15"/>
  <c r="A2595" i="15"/>
  <c r="C2586" i="15"/>
  <c r="C2584" i="15"/>
  <c r="A2584" i="15"/>
  <c r="C2583" i="15"/>
  <c r="A2581" i="15"/>
  <c r="C2580" i="15"/>
  <c r="A2578" i="15"/>
  <c r="C2577" i="15"/>
  <c r="A2575" i="15"/>
  <c r="A2568" i="15"/>
  <c r="A2565" i="15"/>
  <c r="C2562" i="15"/>
  <c r="A2562" i="15"/>
  <c r="A2559" i="15"/>
  <c r="F2548" i="15"/>
  <c r="AA21" i="15" s="1"/>
  <c r="A2542" i="15"/>
  <c r="C2541" i="15"/>
  <c r="A2540" i="15"/>
  <c r="C2539" i="15"/>
  <c r="A2538" i="15"/>
  <c r="A2532" i="15"/>
  <c r="C2527" i="15"/>
  <c r="A2526" i="15"/>
  <c r="A2520" i="15"/>
  <c r="A2518" i="15"/>
  <c r="A2512" i="15"/>
  <c r="A2506" i="15"/>
  <c r="C2504" i="15"/>
  <c r="A2504" i="15"/>
  <c r="C2503" i="15"/>
  <c r="A2502" i="15"/>
  <c r="C2490" i="15"/>
  <c r="A2490" i="15"/>
  <c r="A2487" i="15"/>
  <c r="A2484" i="15"/>
  <c r="C2483" i="15"/>
  <c r="C2482" i="15"/>
  <c r="A2481" i="15"/>
  <c r="C2479" i="15"/>
  <c r="A2478" i="15"/>
  <c r="C2467" i="15"/>
  <c r="A2466" i="15"/>
  <c r="A2454" i="15"/>
  <c r="A2451" i="15"/>
  <c r="H2450" i="15"/>
  <c r="C2450" i="15"/>
  <c r="C2449" i="15"/>
  <c r="A2448" i="15"/>
  <c r="A2445" i="15"/>
  <c r="C2436" i="15"/>
  <c r="A2434" i="15"/>
  <c r="C2433" i="15"/>
  <c r="A2431" i="15"/>
  <c r="C2430" i="15"/>
  <c r="A2428" i="15"/>
  <c r="C2427" i="15"/>
  <c r="A2425" i="15"/>
  <c r="C2418" i="15"/>
  <c r="A2418" i="15"/>
  <c r="A2415" i="15"/>
  <c r="C2412" i="15"/>
  <c r="A2412" i="15"/>
  <c r="C2411" i="15"/>
  <c r="C2410" i="15"/>
  <c r="A2409" i="15"/>
  <c r="F2398" i="15"/>
  <c r="AA20" i="15" s="1"/>
  <c r="A2392" i="15"/>
  <c r="C2391" i="15"/>
  <c r="A2390" i="15"/>
  <c r="C2389" i="15"/>
  <c r="A2388" i="15"/>
  <c r="A2382" i="15"/>
  <c r="A2376" i="15"/>
  <c r="A2370" i="15"/>
  <c r="A2368" i="15"/>
  <c r="A2362" i="15"/>
  <c r="A2356" i="15"/>
  <c r="A2354" i="15"/>
  <c r="C2353" i="15"/>
  <c r="A2352" i="15"/>
  <c r="A2340" i="15"/>
  <c r="A2337" i="15"/>
  <c r="C2335" i="15"/>
  <c r="A2334" i="15"/>
  <c r="H2333" i="15"/>
  <c r="C2333" i="15"/>
  <c r="C2332" i="15"/>
  <c r="A2331" i="15"/>
  <c r="C2329" i="15"/>
  <c r="A2328" i="15"/>
  <c r="H2318" i="15"/>
  <c r="D2323" i="15" s="1"/>
  <c r="F2323" i="15" s="1"/>
  <c r="Q20" i="15" s="1"/>
  <c r="C2318" i="15"/>
  <c r="A2316" i="15"/>
  <c r="H2306" i="15"/>
  <c r="C2306" i="15"/>
  <c r="C2304" i="15"/>
  <c r="A2304" i="15"/>
  <c r="A2301" i="15"/>
  <c r="A2298" i="15"/>
  <c r="H2297" i="15"/>
  <c r="A2295" i="15"/>
  <c r="C2286" i="15"/>
  <c r="A2284" i="15"/>
  <c r="C2283" i="15"/>
  <c r="A2281" i="15"/>
  <c r="C2280" i="15"/>
  <c r="A2278" i="15"/>
  <c r="C2277" i="15"/>
  <c r="A2275" i="15"/>
  <c r="A2268" i="15"/>
  <c r="A2265" i="15"/>
  <c r="A2262" i="15"/>
  <c r="A2259" i="15"/>
  <c r="D2252" i="15"/>
  <c r="F2252" i="15" s="1"/>
  <c r="F2251" i="15"/>
  <c r="F2248" i="15"/>
  <c r="AA19" i="15" s="1"/>
  <c r="A2242" i="15"/>
  <c r="C2241" i="15"/>
  <c r="A2240" i="15"/>
  <c r="C2239" i="15"/>
  <c r="A2238" i="15"/>
  <c r="C2233" i="15"/>
  <c r="A2232" i="15"/>
  <c r="A2226" i="15"/>
  <c r="A2220" i="15"/>
  <c r="C2219" i="15"/>
  <c r="A2218" i="15"/>
  <c r="A2212" i="15"/>
  <c r="A2206" i="15"/>
  <c r="A2204" i="15"/>
  <c r="C2203" i="15"/>
  <c r="A2202" i="15"/>
  <c r="A2190" i="15"/>
  <c r="C2189" i="15"/>
  <c r="C2188" i="15"/>
  <c r="A2187" i="15"/>
  <c r="H2186" i="15"/>
  <c r="A2184" i="15"/>
  <c r="C2182" i="15"/>
  <c r="A2181" i="15"/>
  <c r="H2180" i="15"/>
  <c r="C2180" i="15"/>
  <c r="C2179" i="15"/>
  <c r="A2178" i="15"/>
  <c r="A2166" i="15"/>
  <c r="A2154" i="15"/>
  <c r="A2151" i="15"/>
  <c r="A2148" i="15"/>
  <c r="H2147" i="15"/>
  <c r="A2145" i="15"/>
  <c r="C2136" i="15"/>
  <c r="C2134" i="15"/>
  <c r="A2134" i="15"/>
  <c r="C2133" i="15"/>
  <c r="A2131" i="15"/>
  <c r="C2130" i="15"/>
  <c r="A2128" i="15"/>
  <c r="C2127" i="15"/>
  <c r="A2125" i="15"/>
  <c r="C2118" i="15"/>
  <c r="A2118" i="15"/>
  <c r="A2115" i="15"/>
  <c r="A2112" i="15"/>
  <c r="A2109" i="15"/>
  <c r="F2103" i="15"/>
  <c r="AF18" i="15" s="1"/>
  <c r="F2098" i="15"/>
  <c r="A2092" i="15"/>
  <c r="C2091" i="15"/>
  <c r="A2090" i="15"/>
  <c r="C2089" i="15"/>
  <c r="A2088" i="15"/>
  <c r="C2083" i="15"/>
  <c r="C2082" i="15"/>
  <c r="A2082" i="15"/>
  <c r="D2083" i="15" s="1"/>
  <c r="D2084" i="15" s="1"/>
  <c r="F2084" i="15" s="1"/>
  <c r="A2076" i="15"/>
  <c r="A2070" i="15"/>
  <c r="C2069" i="15"/>
  <c r="C2068" i="15"/>
  <c r="A2068" i="15"/>
  <c r="D2069" i="15" s="1"/>
  <c r="A2062" i="15"/>
  <c r="A2056" i="15"/>
  <c r="A2054" i="15"/>
  <c r="C2053" i="15"/>
  <c r="A2052" i="15"/>
  <c r="A2040" i="15"/>
  <c r="C2038" i="15"/>
  <c r="A2037" i="15"/>
  <c r="A2034" i="15"/>
  <c r="C2032" i="15"/>
  <c r="A2031" i="15"/>
  <c r="C2030" i="15"/>
  <c r="C2029" i="15"/>
  <c r="A2028" i="15"/>
  <c r="A2016" i="15"/>
  <c r="A2004" i="15"/>
  <c r="A2001" i="15"/>
  <c r="A1998" i="15"/>
  <c r="C1997" i="15"/>
  <c r="C1996" i="15"/>
  <c r="A1995" i="15"/>
  <c r="C1986" i="15"/>
  <c r="A1984" i="15"/>
  <c r="C1983" i="15"/>
  <c r="A1981" i="15"/>
  <c r="C1980" i="15"/>
  <c r="A1978" i="15"/>
  <c r="C1977" i="15"/>
  <c r="C1976" i="15"/>
  <c r="A1975" i="15"/>
  <c r="A1968" i="15"/>
  <c r="A1965" i="15"/>
  <c r="A1962" i="15"/>
  <c r="C1960" i="15"/>
  <c r="A1959" i="15"/>
  <c r="F1948" i="15"/>
  <c r="AA17" i="15" s="1"/>
  <c r="A1942" i="15"/>
  <c r="C1941" i="15"/>
  <c r="A1940" i="15"/>
  <c r="C1939" i="15"/>
  <c r="A1938" i="15"/>
  <c r="C1933" i="15"/>
  <c r="A1932" i="15"/>
  <c r="A1926" i="15"/>
  <c r="A1920" i="15"/>
  <c r="C1919" i="15"/>
  <c r="A1918" i="15"/>
  <c r="A1912" i="15"/>
  <c r="A1906" i="15"/>
  <c r="A1904" i="15"/>
  <c r="C1903" i="15"/>
  <c r="A1902" i="15"/>
  <c r="A1890" i="15"/>
  <c r="C1888" i="15"/>
  <c r="A1887" i="15"/>
  <c r="C1885" i="15"/>
  <c r="A1884" i="15"/>
  <c r="C1882" i="15"/>
  <c r="A1881" i="15"/>
  <c r="C1879" i="15"/>
  <c r="A1878" i="15"/>
  <c r="D1873" i="15"/>
  <c r="F1873" i="15" s="1"/>
  <c r="Q17" i="15" s="1"/>
  <c r="A1866" i="15"/>
  <c r="H1856" i="15"/>
  <c r="A1854" i="15"/>
  <c r="A1851" i="15"/>
  <c r="A1848" i="15"/>
  <c r="A1845" i="15"/>
  <c r="C1836" i="15"/>
  <c r="C1834" i="15"/>
  <c r="A1834" i="15"/>
  <c r="C1833" i="15"/>
  <c r="C1832" i="15"/>
  <c r="A1831" i="15"/>
  <c r="C1830" i="15"/>
  <c r="A1828" i="15"/>
  <c r="C1827" i="15"/>
  <c r="A1825" i="15"/>
  <c r="C1820" i="15"/>
  <c r="C1818" i="15"/>
  <c r="A1818" i="15"/>
  <c r="A1815" i="15"/>
  <c r="A1812" i="15"/>
  <c r="A1809" i="15"/>
  <c r="F1798" i="15"/>
  <c r="AA16" i="15" s="1"/>
  <c r="A1792" i="15"/>
  <c r="C1791" i="15"/>
  <c r="A1790" i="15"/>
  <c r="C1789" i="15"/>
  <c r="A1788" i="15"/>
  <c r="C1783" i="15"/>
  <c r="A1782" i="15"/>
  <c r="A1776" i="15"/>
  <c r="A1770" i="15"/>
  <c r="C1769" i="15"/>
  <c r="A1768" i="15"/>
  <c r="A1762" i="15"/>
  <c r="A1756" i="15"/>
  <c r="A1754" i="15"/>
  <c r="C1753" i="15"/>
  <c r="A1752" i="15"/>
  <c r="A1740" i="15"/>
  <c r="C1739" i="15"/>
  <c r="C1738" i="15"/>
  <c r="A1737" i="15"/>
  <c r="A1734" i="15"/>
  <c r="C1732" i="15"/>
  <c r="A1731" i="15"/>
  <c r="H1730" i="15"/>
  <c r="C1730" i="15"/>
  <c r="C1729" i="15"/>
  <c r="A1728" i="15"/>
  <c r="A1716" i="15"/>
  <c r="A1704" i="15"/>
  <c r="A1701" i="15"/>
  <c r="A1698" i="15"/>
  <c r="H1697" i="15"/>
  <c r="C1697" i="15"/>
  <c r="A1695" i="15"/>
  <c r="C1686" i="15"/>
  <c r="A1684" i="15"/>
  <c r="C1683" i="15"/>
  <c r="C1682" i="15"/>
  <c r="A1681" i="15"/>
  <c r="C1680" i="15"/>
  <c r="A1678" i="15"/>
  <c r="C1677" i="15"/>
  <c r="A1675" i="15"/>
  <c r="A1668" i="15"/>
  <c r="C1667" i="15"/>
  <c r="A1665" i="15"/>
  <c r="A1662" i="15"/>
  <c r="A1659" i="15"/>
  <c r="F1648" i="15"/>
  <c r="C1642" i="15"/>
  <c r="A1642" i="15"/>
  <c r="C1641" i="15"/>
  <c r="A1640" i="15"/>
  <c r="C1639" i="15"/>
  <c r="A1638" i="15"/>
  <c r="C1633" i="15"/>
  <c r="A1632" i="15"/>
  <c r="A1626" i="15"/>
  <c r="A1620" i="15"/>
  <c r="C1619" i="15"/>
  <c r="A1618" i="15"/>
  <c r="A1612" i="15"/>
  <c r="A1606" i="15"/>
  <c r="A1604" i="15"/>
  <c r="C1603" i="15"/>
  <c r="A1602" i="15"/>
  <c r="A1590" i="15"/>
  <c r="C1588" i="15"/>
  <c r="A1587" i="15"/>
  <c r="A1584" i="15"/>
  <c r="C1582" i="15"/>
  <c r="A1581" i="15"/>
  <c r="C1579" i="15"/>
  <c r="A1578" i="15"/>
  <c r="C1568" i="15"/>
  <c r="A1566" i="15"/>
  <c r="A1554" i="15"/>
  <c r="H1553" i="15"/>
  <c r="C1553" i="15"/>
  <c r="C1552" i="15"/>
  <c r="A1551" i="15"/>
  <c r="A1548" i="15"/>
  <c r="C1547" i="15"/>
  <c r="A1545" i="15"/>
  <c r="C1536" i="15"/>
  <c r="A1534" i="15"/>
  <c r="C1533" i="15"/>
  <c r="C1532" i="15"/>
  <c r="A1531" i="15"/>
  <c r="C1530" i="15"/>
  <c r="A1528" i="15"/>
  <c r="C1527" i="15"/>
  <c r="A1525" i="15"/>
  <c r="A1518" i="15"/>
  <c r="C1516" i="15"/>
  <c r="A1515" i="15"/>
  <c r="A1512" i="15"/>
  <c r="A1509" i="15"/>
  <c r="F1503" i="15"/>
  <c r="AF14" i="15" s="1"/>
  <c r="F1498" i="15"/>
  <c r="A1492" i="15"/>
  <c r="C1491" i="15"/>
  <c r="A1490" i="15"/>
  <c r="C1489" i="15"/>
  <c r="A1488" i="15"/>
  <c r="C1483" i="15"/>
  <c r="A1482" i="15"/>
  <c r="A1476" i="15"/>
  <c r="A1470" i="15"/>
  <c r="A1468" i="15"/>
  <c r="A1462" i="15"/>
  <c r="A1456" i="15"/>
  <c r="A1454" i="15"/>
  <c r="C1453" i="15"/>
  <c r="A1452" i="15"/>
  <c r="A1440" i="15"/>
  <c r="C1438" i="15"/>
  <c r="A1437" i="15"/>
  <c r="A1434" i="15"/>
  <c r="C1432" i="15"/>
  <c r="A1431" i="15"/>
  <c r="C1429" i="15"/>
  <c r="A1428" i="15"/>
  <c r="A1416" i="15"/>
  <c r="A1404" i="15"/>
  <c r="C1403" i="15"/>
  <c r="C1402" i="15"/>
  <c r="A1401" i="15"/>
  <c r="A1398" i="15"/>
  <c r="A1395" i="15"/>
  <c r="C1386" i="15"/>
  <c r="A1384" i="15"/>
  <c r="C1383" i="15"/>
  <c r="C1382" i="15"/>
  <c r="A1381" i="15"/>
  <c r="C1380" i="15"/>
  <c r="A1378" i="15"/>
  <c r="C1377" i="15"/>
  <c r="A1375" i="15"/>
  <c r="A1368" i="15"/>
  <c r="C1367" i="15"/>
  <c r="C1366" i="15"/>
  <c r="A1365" i="15"/>
  <c r="A1362" i="15"/>
  <c r="A1359" i="15"/>
  <c r="D1353" i="15"/>
  <c r="F1353" i="15" s="1"/>
  <c r="F1348" i="15"/>
  <c r="AA13" i="15" s="1"/>
  <c r="C1342" i="15"/>
  <c r="A1342" i="15"/>
  <c r="C1341" i="15"/>
  <c r="A1340" i="15"/>
  <c r="C1339" i="15"/>
  <c r="A1338" i="15"/>
  <c r="A1332" i="15"/>
  <c r="A1326" i="15"/>
  <c r="A1320" i="15"/>
  <c r="C1319" i="15"/>
  <c r="A1318" i="15"/>
  <c r="C1312" i="15"/>
  <c r="A1312" i="15"/>
  <c r="A1306" i="15"/>
  <c r="A1304" i="15"/>
  <c r="C1303" i="15"/>
  <c r="A1302" i="15"/>
  <c r="A1290" i="15"/>
  <c r="C1289" i="15"/>
  <c r="A1287" i="15"/>
  <c r="A1284" i="15"/>
  <c r="C1282" i="15"/>
  <c r="A1281" i="15"/>
  <c r="H1280" i="15"/>
  <c r="C1279" i="15"/>
  <c r="A1278" i="15"/>
  <c r="A1266" i="15"/>
  <c r="A1254" i="15"/>
  <c r="H1253" i="15"/>
  <c r="C1252" i="15"/>
  <c r="A1251" i="15"/>
  <c r="A1248" i="15"/>
  <c r="A1245" i="15"/>
  <c r="C1236" i="15"/>
  <c r="A1234" i="15"/>
  <c r="C1233" i="15"/>
  <c r="A1231" i="15"/>
  <c r="C1230" i="15"/>
  <c r="C1228" i="15"/>
  <c r="A1228" i="15"/>
  <c r="C1227" i="15"/>
  <c r="A1225" i="15"/>
  <c r="A1218" i="15"/>
  <c r="C1217" i="15"/>
  <c r="C1216" i="15"/>
  <c r="A1215" i="15"/>
  <c r="A1212" i="15"/>
  <c r="A1209" i="15"/>
  <c r="F1198" i="15"/>
  <c r="A1192" i="15"/>
  <c r="C1191" i="15"/>
  <c r="A1190" i="15"/>
  <c r="C1189" i="15"/>
  <c r="A1188" i="15"/>
  <c r="A1182" i="15"/>
  <c r="A1176" i="15"/>
  <c r="A1170" i="15"/>
  <c r="A1168" i="15"/>
  <c r="A1162" i="15"/>
  <c r="A1156" i="15"/>
  <c r="A1154" i="15"/>
  <c r="C1153" i="15"/>
  <c r="A1152" i="15"/>
  <c r="A1140" i="15"/>
  <c r="A1137" i="15"/>
  <c r="H1136" i="15"/>
  <c r="C1136" i="15"/>
  <c r="C1135" i="15"/>
  <c r="A1134" i="15"/>
  <c r="C1132" i="15"/>
  <c r="A1131" i="15"/>
  <c r="H1130" i="15"/>
  <c r="C1129" i="15"/>
  <c r="A1128" i="15"/>
  <c r="A1116" i="15"/>
  <c r="A1104" i="15"/>
  <c r="H1103" i="15"/>
  <c r="C1103" i="15"/>
  <c r="C1102" i="15"/>
  <c r="A1101" i="15"/>
  <c r="A1098" i="15"/>
  <c r="A1095" i="15"/>
  <c r="C1086" i="15"/>
  <c r="A1084" i="15"/>
  <c r="C1083" i="15"/>
  <c r="A1081" i="15"/>
  <c r="C1080" i="15"/>
  <c r="C1078" i="15"/>
  <c r="A1078" i="15"/>
  <c r="C1077" i="15"/>
  <c r="A1075" i="15"/>
  <c r="A1068" i="15"/>
  <c r="C1066" i="15"/>
  <c r="A1065" i="15"/>
  <c r="A1062" i="15"/>
  <c r="A1059" i="15"/>
  <c r="F1048" i="15"/>
  <c r="A1042" i="15"/>
  <c r="C1041" i="15"/>
  <c r="A1040" i="15"/>
  <c r="C1039" i="15"/>
  <c r="A1038" i="15"/>
  <c r="A1032" i="15"/>
  <c r="A1026" i="15"/>
  <c r="A1020" i="15"/>
  <c r="A1018" i="15"/>
  <c r="A1012" i="15"/>
  <c r="A1006" i="15"/>
  <c r="A1004" i="15"/>
  <c r="C1003" i="15"/>
  <c r="A1002" i="15"/>
  <c r="A990" i="15"/>
  <c r="A987" i="15"/>
  <c r="H986" i="15"/>
  <c r="C986" i="15"/>
  <c r="C985" i="15"/>
  <c r="A984" i="15"/>
  <c r="C982" i="15"/>
  <c r="A981" i="15"/>
  <c r="C979" i="15"/>
  <c r="A978" i="15"/>
  <c r="A966" i="15"/>
  <c r="A954" i="15"/>
  <c r="A951" i="15"/>
  <c r="C948" i="15"/>
  <c r="A948" i="15"/>
  <c r="A945" i="15"/>
  <c r="C936" i="15"/>
  <c r="A934" i="15"/>
  <c r="C933" i="15"/>
  <c r="A931" i="15"/>
  <c r="C930" i="15"/>
  <c r="C928" i="15"/>
  <c r="A928" i="15"/>
  <c r="C927" i="15"/>
  <c r="A925" i="15"/>
  <c r="A918" i="15"/>
  <c r="C917" i="15"/>
  <c r="A915" i="15"/>
  <c r="A912" i="15"/>
  <c r="A909" i="15"/>
  <c r="F902" i="15"/>
  <c r="AE10" i="15" s="1"/>
  <c r="F898" i="15"/>
  <c r="AA10" i="15" s="1"/>
  <c r="C892" i="15"/>
  <c r="A892" i="15"/>
  <c r="C891" i="15"/>
  <c r="A890" i="15"/>
  <c r="C889" i="15"/>
  <c r="A888" i="15"/>
  <c r="A882" i="15"/>
  <c r="A876" i="15"/>
  <c r="A870" i="15"/>
  <c r="A868" i="15"/>
  <c r="A862" i="15"/>
  <c r="A856" i="15"/>
  <c r="C854" i="15"/>
  <c r="A854" i="15"/>
  <c r="C853" i="15"/>
  <c r="A852" i="15"/>
  <c r="C840" i="15"/>
  <c r="A840" i="15"/>
  <c r="A837" i="15"/>
  <c r="C835" i="15"/>
  <c r="A834" i="15"/>
  <c r="C832" i="15"/>
  <c r="A831" i="15"/>
  <c r="C829" i="15"/>
  <c r="A828" i="15"/>
  <c r="A816" i="15"/>
  <c r="C804" i="15"/>
  <c r="A804" i="15"/>
  <c r="A801" i="15"/>
  <c r="C798" i="15"/>
  <c r="A798" i="15"/>
  <c r="A795" i="15"/>
  <c r="C786" i="15"/>
  <c r="C784" i="15"/>
  <c r="A784" i="15"/>
  <c r="C783" i="15"/>
  <c r="A781" i="15"/>
  <c r="C780" i="15"/>
  <c r="A778" i="15"/>
  <c r="C777" i="15"/>
  <c r="A775" i="15"/>
  <c r="A768" i="15"/>
  <c r="A765" i="15"/>
  <c r="C762" i="15"/>
  <c r="A762" i="15"/>
  <c r="A759" i="15"/>
  <c r="D753" i="15"/>
  <c r="F753" i="15" s="1"/>
  <c r="AF9" i="15" s="1"/>
  <c r="D752" i="15"/>
  <c r="F752" i="15" s="1"/>
  <c r="AE9" i="15" s="1"/>
  <c r="F748" i="15"/>
  <c r="AA9" i="15" s="1"/>
  <c r="C742" i="15"/>
  <c r="A742" i="15"/>
  <c r="C741" i="15"/>
  <c r="A740" i="15"/>
  <c r="C739" i="15"/>
  <c r="A738" i="15"/>
  <c r="A732" i="15"/>
  <c r="A726" i="15"/>
  <c r="A720" i="15"/>
  <c r="A718" i="15"/>
  <c r="C712" i="15"/>
  <c r="A712" i="15"/>
  <c r="A706" i="15"/>
  <c r="C704" i="15"/>
  <c r="A704" i="15"/>
  <c r="C703" i="15"/>
  <c r="A702" i="15"/>
  <c r="A690" i="15"/>
  <c r="A687" i="15"/>
  <c r="A684" i="15"/>
  <c r="C682" i="15"/>
  <c r="A681" i="15"/>
  <c r="C679" i="15"/>
  <c r="A678" i="15"/>
  <c r="C668" i="15"/>
  <c r="A666" i="15"/>
  <c r="C654" i="15"/>
  <c r="A654" i="15"/>
  <c r="A651" i="15"/>
  <c r="C648" i="15"/>
  <c r="A648" i="15"/>
  <c r="H647" i="15"/>
  <c r="C647" i="15"/>
  <c r="A645" i="15"/>
  <c r="C636" i="15"/>
  <c r="C634" i="15"/>
  <c r="A634" i="15"/>
  <c r="C633" i="15"/>
  <c r="C632" i="15"/>
  <c r="A631" i="15"/>
  <c r="C630" i="15"/>
  <c r="A628" i="15"/>
  <c r="C627" i="15"/>
  <c r="A625" i="15"/>
  <c r="A618" i="15"/>
  <c r="A615" i="15"/>
  <c r="C612" i="15"/>
  <c r="A612" i="15"/>
  <c r="A609" i="15"/>
  <c r="F598" i="15"/>
  <c r="A592" i="15"/>
  <c r="C591" i="15"/>
  <c r="A590" i="15"/>
  <c r="C589" i="15"/>
  <c r="A588" i="15"/>
  <c r="A582" i="15"/>
  <c r="A576" i="15"/>
  <c r="C570" i="15"/>
  <c r="A570" i="15"/>
  <c r="A568" i="15"/>
  <c r="C562" i="15"/>
  <c r="A562" i="15"/>
  <c r="A556" i="15"/>
  <c r="A554" i="15"/>
  <c r="C553" i="15"/>
  <c r="A552" i="15"/>
  <c r="A540" i="15"/>
  <c r="A537" i="15"/>
  <c r="H536" i="15"/>
  <c r="A534" i="15"/>
  <c r="C532" i="15"/>
  <c r="A531" i="15"/>
  <c r="C529" i="15"/>
  <c r="A528" i="15"/>
  <c r="A516" i="15"/>
  <c r="C504" i="15"/>
  <c r="A504" i="15"/>
  <c r="C503" i="15"/>
  <c r="A501" i="15"/>
  <c r="A498" i="15"/>
  <c r="A495" i="15"/>
  <c r="C486" i="15"/>
  <c r="A484" i="15"/>
  <c r="C483" i="15"/>
  <c r="A481" i="15"/>
  <c r="C480" i="15"/>
  <c r="A478" i="15"/>
  <c r="C477" i="15"/>
  <c r="A475" i="15"/>
  <c r="C468" i="15"/>
  <c r="A468" i="15"/>
  <c r="A465" i="15"/>
  <c r="C462" i="15"/>
  <c r="A462" i="15"/>
  <c r="A459" i="15"/>
  <c r="F448" i="15"/>
  <c r="AA7" i="15" s="1"/>
  <c r="A442" i="15"/>
  <c r="C441" i="15"/>
  <c r="A440" i="15"/>
  <c r="C439" i="15"/>
  <c r="A438" i="15"/>
  <c r="C433" i="15"/>
  <c r="A432" i="15"/>
  <c r="A426" i="15"/>
  <c r="C420" i="15"/>
  <c r="A420" i="15"/>
  <c r="C419" i="15"/>
  <c r="A418" i="15"/>
  <c r="C412" i="15"/>
  <c r="A412" i="15"/>
  <c r="C407" i="15"/>
  <c r="A406" i="15"/>
  <c r="A404" i="15"/>
  <c r="C403" i="15"/>
  <c r="A402" i="15"/>
  <c r="A390" i="15"/>
  <c r="C389" i="15"/>
  <c r="C387" i="15"/>
  <c r="A387" i="15"/>
  <c r="C386" i="15"/>
  <c r="C385" i="15"/>
  <c r="A384" i="15"/>
  <c r="C382" i="15"/>
  <c r="A381" i="15"/>
  <c r="H380" i="15"/>
  <c r="C379" i="15"/>
  <c r="A378" i="15"/>
  <c r="C368" i="15"/>
  <c r="C367" i="15"/>
  <c r="A366" i="15"/>
  <c r="A354" i="15"/>
  <c r="C353" i="15"/>
  <c r="C351" i="15"/>
  <c r="A351" i="15"/>
  <c r="A348" i="15"/>
  <c r="C346" i="15"/>
  <c r="A345" i="15"/>
  <c r="C336" i="15"/>
  <c r="A334" i="15"/>
  <c r="C333" i="15"/>
  <c r="A331" i="15"/>
  <c r="C330" i="15"/>
  <c r="C328" i="15"/>
  <c r="A328" i="15"/>
  <c r="C327" i="15"/>
  <c r="A325" i="15"/>
  <c r="C318" i="15"/>
  <c r="A318" i="15"/>
  <c r="A315" i="15"/>
  <c r="A312" i="15"/>
  <c r="C311" i="15"/>
  <c r="C310" i="15"/>
  <c r="A309" i="15"/>
  <c r="D303" i="15"/>
  <c r="F303" i="15" s="1"/>
  <c r="AF6" i="15" s="1"/>
  <c r="F298" i="15"/>
  <c r="AA6" i="15" s="1"/>
  <c r="C292" i="15"/>
  <c r="A292" i="15"/>
  <c r="C291" i="15"/>
  <c r="A290" i="15"/>
  <c r="C289" i="15"/>
  <c r="A288" i="15"/>
  <c r="A282" i="15"/>
  <c r="A276" i="15"/>
  <c r="A270" i="15"/>
  <c r="C269" i="15"/>
  <c r="A268" i="15"/>
  <c r="A262" i="15"/>
  <c r="A256" i="15"/>
  <c r="A254" i="15"/>
  <c r="C253" i="15"/>
  <c r="A252" i="15"/>
  <c r="C240" i="15"/>
  <c r="A240" i="15"/>
  <c r="A237" i="15"/>
  <c r="H236" i="15"/>
  <c r="A234" i="15"/>
  <c r="H233" i="15"/>
  <c r="C232" i="15"/>
  <c r="A231" i="15"/>
  <c r="C230" i="15"/>
  <c r="C229" i="15"/>
  <c r="A228" i="15"/>
  <c r="A216" i="15"/>
  <c r="A204" i="15"/>
  <c r="C203" i="15"/>
  <c r="A201" i="15"/>
  <c r="H200" i="15"/>
  <c r="A198" i="15"/>
  <c r="A195" i="15"/>
  <c r="C186" i="15"/>
  <c r="C184" i="15"/>
  <c r="A184" i="15"/>
  <c r="C183" i="15"/>
  <c r="A181" i="15"/>
  <c r="C180" i="15"/>
  <c r="A178" i="15"/>
  <c r="C177" i="15"/>
  <c r="A175" i="15"/>
  <c r="A168" i="15"/>
  <c r="A165" i="15"/>
  <c r="A162" i="15"/>
  <c r="A159" i="15"/>
  <c r="F153" i="15"/>
  <c r="AF5" i="15" s="1"/>
  <c r="D153" i="15"/>
  <c r="F148" i="15"/>
  <c r="C142" i="15"/>
  <c r="A142" i="15"/>
  <c r="C141" i="15"/>
  <c r="A140" i="15"/>
  <c r="C139" i="15"/>
  <c r="A138" i="15"/>
  <c r="C133" i="15"/>
  <c r="C132" i="15"/>
  <c r="A132" i="15"/>
  <c r="C127" i="15"/>
  <c r="A126" i="15"/>
  <c r="A120" i="15"/>
  <c r="C119" i="15"/>
  <c r="C118" i="15"/>
  <c r="A118" i="15"/>
  <c r="D119" i="15" s="1"/>
  <c r="C113" i="15"/>
  <c r="A112" i="15"/>
  <c r="A106" i="15"/>
  <c r="C104" i="15"/>
  <c r="A104" i="15"/>
  <c r="C103" i="15"/>
  <c r="A102" i="15"/>
  <c r="C90" i="15"/>
  <c r="A90" i="15"/>
  <c r="C89" i="15"/>
  <c r="A87" i="15"/>
  <c r="A84" i="15"/>
  <c r="H83" i="15"/>
  <c r="C82" i="15"/>
  <c r="A81" i="15"/>
  <c r="C79" i="15"/>
  <c r="A78" i="15"/>
  <c r="H68" i="15"/>
  <c r="D74" i="15" s="1"/>
  <c r="F74" i="15" s="1"/>
  <c r="R5" i="15" s="1"/>
  <c r="C68" i="15"/>
  <c r="A66" i="15"/>
  <c r="C54" i="15"/>
  <c r="A54" i="15"/>
  <c r="A51" i="15"/>
  <c r="C48" i="15"/>
  <c r="A48" i="15"/>
  <c r="H47" i="15"/>
  <c r="C47" i="15"/>
  <c r="A45" i="15"/>
  <c r="C36" i="15"/>
  <c r="C34" i="15"/>
  <c r="A34" i="15"/>
  <c r="C33" i="15"/>
  <c r="A31" i="15"/>
  <c r="C30" i="15"/>
  <c r="A28" i="15"/>
  <c r="C27" i="15"/>
  <c r="C26" i="15"/>
  <c r="A25" i="15"/>
  <c r="J23" i="15"/>
  <c r="AE22" i="15"/>
  <c r="AA22" i="15"/>
  <c r="J22" i="15"/>
  <c r="J21" i="15"/>
  <c r="AE20" i="15"/>
  <c r="J20" i="15"/>
  <c r="AE19" i="15"/>
  <c r="AD19" i="15"/>
  <c r="J19" i="15"/>
  <c r="AA18" i="15"/>
  <c r="Y18" i="15"/>
  <c r="K18" i="15"/>
  <c r="J18" i="15"/>
  <c r="C18" i="15"/>
  <c r="A18" i="15"/>
  <c r="K17" i="15"/>
  <c r="J17" i="15"/>
  <c r="AD16" i="15"/>
  <c r="J16" i="15"/>
  <c r="AA15" i="15"/>
  <c r="K15" i="15"/>
  <c r="J15" i="15"/>
  <c r="A15" i="15"/>
  <c r="AA14" i="15"/>
  <c r="K14" i="15"/>
  <c r="J14" i="15"/>
  <c r="AF13" i="15"/>
  <c r="J13" i="15"/>
  <c r="AD12" i="15"/>
  <c r="AA12" i="15"/>
  <c r="K12" i="15"/>
  <c r="J12" i="15"/>
  <c r="A12" i="15"/>
  <c r="AA11" i="15"/>
  <c r="K11" i="15"/>
  <c r="J11" i="15"/>
  <c r="J10" i="15"/>
  <c r="C10" i="15"/>
  <c r="J9" i="15"/>
  <c r="A9" i="15"/>
  <c r="AF8" i="15"/>
  <c r="AA8" i="15"/>
  <c r="J8" i="15"/>
  <c r="J7" i="15"/>
  <c r="J6" i="15"/>
  <c r="AA5" i="15"/>
  <c r="K5" i="15"/>
  <c r="J5" i="15"/>
  <c r="M312" i="14"/>
  <c r="J312" i="14"/>
  <c r="H312" i="14"/>
  <c r="F312" i="14"/>
  <c r="M311" i="14"/>
  <c r="J311" i="14"/>
  <c r="F311" i="14"/>
  <c r="M310" i="14"/>
  <c r="J310" i="14"/>
  <c r="F310" i="14"/>
  <c r="M309" i="14"/>
  <c r="J309" i="14"/>
  <c r="K309" i="14" s="1"/>
  <c r="I309" i="14"/>
  <c r="F309" i="14"/>
  <c r="M308" i="14"/>
  <c r="J308" i="14"/>
  <c r="H308" i="14"/>
  <c r="G308" i="14"/>
  <c r="F308" i="14"/>
  <c r="M307" i="14"/>
  <c r="J307" i="14"/>
  <c r="H307" i="14"/>
  <c r="F307" i="14"/>
  <c r="M306" i="14"/>
  <c r="J306" i="14"/>
  <c r="F306" i="14"/>
  <c r="M305" i="14"/>
  <c r="J305" i="14"/>
  <c r="F305" i="14"/>
  <c r="M304" i="14"/>
  <c r="J304" i="14"/>
  <c r="F304" i="14"/>
  <c r="M303" i="14"/>
  <c r="J303" i="14"/>
  <c r="F303" i="14"/>
  <c r="M302" i="14"/>
  <c r="J302" i="14"/>
  <c r="F302" i="14"/>
  <c r="M301" i="14"/>
  <c r="J301" i="14"/>
  <c r="F301" i="14"/>
  <c r="M300" i="14"/>
  <c r="J300" i="14"/>
  <c r="F300" i="14"/>
  <c r="M299" i="14"/>
  <c r="J299" i="14"/>
  <c r="F299" i="14"/>
  <c r="M296" i="14"/>
  <c r="J296" i="14"/>
  <c r="F296" i="14"/>
  <c r="H296" i="14" s="1"/>
  <c r="M295" i="14"/>
  <c r="J295" i="14"/>
  <c r="F295" i="14"/>
  <c r="M294" i="14"/>
  <c r="J294" i="14"/>
  <c r="F294" i="14"/>
  <c r="M293" i="14"/>
  <c r="J293" i="14"/>
  <c r="F293" i="14"/>
  <c r="M292" i="14"/>
  <c r="J292" i="14"/>
  <c r="F292" i="14"/>
  <c r="M291" i="14"/>
  <c r="J291" i="14"/>
  <c r="H291" i="14"/>
  <c r="F291" i="14"/>
  <c r="M290" i="14"/>
  <c r="J290" i="14"/>
  <c r="F290" i="14"/>
  <c r="M289" i="14"/>
  <c r="J289" i="14"/>
  <c r="F289" i="14"/>
  <c r="M288" i="14"/>
  <c r="J288" i="14"/>
  <c r="F288" i="14"/>
  <c r="M287" i="14"/>
  <c r="J287" i="14"/>
  <c r="F287" i="14"/>
  <c r="M286" i="14"/>
  <c r="J286" i="14"/>
  <c r="F286" i="14"/>
  <c r="M285" i="14"/>
  <c r="J285" i="14"/>
  <c r="F285" i="14"/>
  <c r="M284" i="14"/>
  <c r="J284" i="14"/>
  <c r="F284" i="14"/>
  <c r="M283" i="14"/>
  <c r="J283" i="14"/>
  <c r="F283" i="14"/>
  <c r="M280" i="14"/>
  <c r="J280" i="14"/>
  <c r="H280" i="14"/>
  <c r="F280" i="14"/>
  <c r="M279" i="14"/>
  <c r="J279" i="14"/>
  <c r="I279" i="14"/>
  <c r="K279" i="14" s="1"/>
  <c r="G279" i="14"/>
  <c r="H279" i="14" s="1"/>
  <c r="L279" i="14" s="1"/>
  <c r="N279" i="14" s="1"/>
  <c r="F279" i="14"/>
  <c r="M278" i="14"/>
  <c r="J278" i="14"/>
  <c r="F278" i="14"/>
  <c r="M277" i="14"/>
  <c r="J277" i="14"/>
  <c r="I277" i="14"/>
  <c r="K277" i="14" s="1"/>
  <c r="F277" i="14"/>
  <c r="M276" i="14"/>
  <c r="J276" i="14"/>
  <c r="I276" i="14"/>
  <c r="K276" i="14" s="1"/>
  <c r="H276" i="14"/>
  <c r="G276" i="14"/>
  <c r="F276" i="14"/>
  <c r="M275" i="14"/>
  <c r="J275" i="14"/>
  <c r="H275" i="14"/>
  <c r="F275" i="14"/>
  <c r="M274" i="14"/>
  <c r="J274" i="14"/>
  <c r="H274" i="14"/>
  <c r="G274" i="14"/>
  <c r="F274" i="14"/>
  <c r="M273" i="14"/>
  <c r="J273" i="14"/>
  <c r="F273" i="14"/>
  <c r="M272" i="14"/>
  <c r="J272" i="14"/>
  <c r="I272" i="14"/>
  <c r="F272" i="14"/>
  <c r="M271" i="14"/>
  <c r="J271" i="14"/>
  <c r="G271" i="14"/>
  <c r="H271" i="14" s="1"/>
  <c r="F271" i="14"/>
  <c r="M270" i="14"/>
  <c r="J270" i="14"/>
  <c r="I270" i="14"/>
  <c r="F270" i="14"/>
  <c r="M269" i="14"/>
  <c r="K269" i="14"/>
  <c r="J269" i="14"/>
  <c r="I269" i="14"/>
  <c r="F269" i="14"/>
  <c r="M268" i="14"/>
  <c r="J268" i="14"/>
  <c r="F268" i="14"/>
  <c r="M267" i="14"/>
  <c r="K267" i="14"/>
  <c r="J267" i="14"/>
  <c r="I267" i="14"/>
  <c r="F267" i="14"/>
  <c r="M264" i="14"/>
  <c r="J264" i="14"/>
  <c r="F264" i="14"/>
  <c r="H264" i="14" s="1"/>
  <c r="M263" i="14"/>
  <c r="J263" i="14"/>
  <c r="F263" i="14"/>
  <c r="M262" i="14"/>
  <c r="J262" i="14"/>
  <c r="F262" i="14"/>
  <c r="M261" i="14"/>
  <c r="J261" i="14"/>
  <c r="I261" i="14"/>
  <c r="K261" i="14" s="1"/>
  <c r="F261" i="14"/>
  <c r="M260" i="14"/>
  <c r="J260" i="14"/>
  <c r="F260" i="14"/>
  <c r="M259" i="14"/>
  <c r="J259" i="14"/>
  <c r="H259" i="14"/>
  <c r="F259" i="14"/>
  <c r="M258" i="14"/>
  <c r="J258" i="14"/>
  <c r="F258" i="14"/>
  <c r="M257" i="14"/>
  <c r="J257" i="14"/>
  <c r="F257" i="14"/>
  <c r="M256" i="14"/>
  <c r="J256" i="14"/>
  <c r="F256" i="14"/>
  <c r="M255" i="14"/>
  <c r="J255" i="14"/>
  <c r="F255" i="14"/>
  <c r="M254" i="14"/>
  <c r="J254" i="14"/>
  <c r="F254" i="14"/>
  <c r="M253" i="14"/>
  <c r="J253" i="14"/>
  <c r="F253" i="14"/>
  <c r="M252" i="14"/>
  <c r="J252" i="14"/>
  <c r="F252" i="14"/>
  <c r="M251" i="14"/>
  <c r="J251" i="14"/>
  <c r="F251" i="14"/>
  <c r="M248" i="14"/>
  <c r="J248" i="14"/>
  <c r="H248" i="14"/>
  <c r="F248" i="14"/>
  <c r="M247" i="14"/>
  <c r="J247" i="14"/>
  <c r="F247" i="14"/>
  <c r="M246" i="14"/>
  <c r="J246" i="14"/>
  <c r="F246" i="14"/>
  <c r="M245" i="14"/>
  <c r="J245" i="14"/>
  <c r="F245" i="14"/>
  <c r="M244" i="14"/>
  <c r="J244" i="14"/>
  <c r="H244" i="14"/>
  <c r="G244" i="14"/>
  <c r="F244" i="14"/>
  <c r="M243" i="14"/>
  <c r="J243" i="14"/>
  <c r="H243" i="14"/>
  <c r="F243" i="14"/>
  <c r="M242" i="14"/>
  <c r="J242" i="14"/>
  <c r="F242" i="14"/>
  <c r="M241" i="14"/>
  <c r="J241" i="14"/>
  <c r="F241" i="14"/>
  <c r="M240" i="14"/>
  <c r="J240" i="14"/>
  <c r="I240" i="14"/>
  <c r="F240" i="14"/>
  <c r="M239" i="14"/>
  <c r="J239" i="14"/>
  <c r="F239" i="14"/>
  <c r="M238" i="14"/>
  <c r="J238" i="14"/>
  <c r="I238" i="14"/>
  <c r="K238" i="14" s="1"/>
  <c r="F238" i="14"/>
  <c r="M237" i="14"/>
  <c r="J237" i="14"/>
  <c r="I237" i="14"/>
  <c r="K237" i="14" s="1"/>
  <c r="F237" i="14"/>
  <c r="M236" i="14"/>
  <c r="J236" i="14"/>
  <c r="F236" i="14"/>
  <c r="M235" i="14"/>
  <c r="J235" i="14"/>
  <c r="I235" i="14"/>
  <c r="F235" i="14"/>
  <c r="M232" i="14"/>
  <c r="J232" i="14"/>
  <c r="I232" i="14"/>
  <c r="K232" i="14" s="1"/>
  <c r="H232" i="14"/>
  <c r="L232" i="14" s="1"/>
  <c r="N232" i="14" s="1"/>
  <c r="F232" i="14"/>
  <c r="M231" i="14"/>
  <c r="J231" i="14"/>
  <c r="F231" i="14"/>
  <c r="M230" i="14"/>
  <c r="J230" i="14"/>
  <c r="I230" i="14"/>
  <c r="G230" i="14"/>
  <c r="H230" i="14" s="1"/>
  <c r="F230" i="14"/>
  <c r="M229" i="14"/>
  <c r="J229" i="14"/>
  <c r="F229" i="14"/>
  <c r="M228" i="14"/>
  <c r="J228" i="14"/>
  <c r="F228" i="14"/>
  <c r="M227" i="14"/>
  <c r="J227" i="14"/>
  <c r="H227" i="14"/>
  <c r="F227" i="14"/>
  <c r="M226" i="14"/>
  <c r="J226" i="14"/>
  <c r="F226" i="14"/>
  <c r="M225" i="14"/>
  <c r="J225" i="14"/>
  <c r="F225" i="14"/>
  <c r="M224" i="14"/>
  <c r="J224" i="14"/>
  <c r="F224" i="14"/>
  <c r="M223" i="14"/>
  <c r="J223" i="14"/>
  <c r="F223" i="14"/>
  <c r="M222" i="14"/>
  <c r="J222" i="14"/>
  <c r="F222" i="14"/>
  <c r="M221" i="14"/>
  <c r="J221" i="14"/>
  <c r="F221" i="14"/>
  <c r="M220" i="14"/>
  <c r="J220" i="14"/>
  <c r="F220" i="14"/>
  <c r="M219" i="14"/>
  <c r="J219" i="14"/>
  <c r="F219" i="14"/>
  <c r="M216" i="14"/>
  <c r="J216" i="14"/>
  <c r="F216" i="14"/>
  <c r="H216" i="14" s="1"/>
  <c r="M215" i="14"/>
  <c r="J215" i="14"/>
  <c r="F215" i="14"/>
  <c r="M214" i="14"/>
  <c r="J214" i="14"/>
  <c r="F214" i="14"/>
  <c r="M213" i="14"/>
  <c r="J213" i="14"/>
  <c r="F213" i="14"/>
  <c r="M212" i="14"/>
  <c r="J212" i="14"/>
  <c r="F212" i="14"/>
  <c r="M211" i="14"/>
  <c r="J211" i="14"/>
  <c r="H211" i="14"/>
  <c r="F211" i="14"/>
  <c r="M210" i="14"/>
  <c r="J210" i="14"/>
  <c r="F210" i="14"/>
  <c r="M209" i="14"/>
  <c r="J209" i="14"/>
  <c r="I209" i="14"/>
  <c r="F209" i="14"/>
  <c r="M208" i="14"/>
  <c r="J208" i="14"/>
  <c r="F208" i="14"/>
  <c r="M207" i="14"/>
  <c r="J207" i="14"/>
  <c r="F207" i="14"/>
  <c r="M206" i="14"/>
  <c r="J206" i="14"/>
  <c r="F206" i="14"/>
  <c r="M205" i="14"/>
  <c r="J205" i="14"/>
  <c r="F205" i="14"/>
  <c r="M204" i="14"/>
  <c r="J204" i="14"/>
  <c r="F204" i="14"/>
  <c r="M203" i="14"/>
  <c r="J203" i="14"/>
  <c r="F203" i="14"/>
  <c r="M200" i="14"/>
  <c r="J200" i="14"/>
  <c r="F200" i="14"/>
  <c r="H200" i="14" s="1"/>
  <c r="M199" i="14"/>
  <c r="J199" i="14"/>
  <c r="F199" i="14"/>
  <c r="M198" i="14"/>
  <c r="J198" i="14"/>
  <c r="F198" i="14"/>
  <c r="M197" i="14"/>
  <c r="J197" i="14"/>
  <c r="F197" i="14"/>
  <c r="M196" i="14"/>
  <c r="J196" i="14"/>
  <c r="F196" i="14"/>
  <c r="M195" i="14"/>
  <c r="J195" i="14"/>
  <c r="H195" i="14"/>
  <c r="F195" i="14"/>
  <c r="M194" i="14"/>
  <c r="J194" i="14"/>
  <c r="F194" i="14"/>
  <c r="M193" i="14"/>
  <c r="J193" i="14"/>
  <c r="F193" i="14"/>
  <c r="M192" i="14"/>
  <c r="J192" i="14"/>
  <c r="F192" i="14"/>
  <c r="M191" i="14"/>
  <c r="J191" i="14"/>
  <c r="F191" i="14"/>
  <c r="M190" i="14"/>
  <c r="J190" i="14"/>
  <c r="F190" i="14"/>
  <c r="M189" i="14"/>
  <c r="J189" i="14"/>
  <c r="F189" i="14"/>
  <c r="M188" i="14"/>
  <c r="J188" i="14"/>
  <c r="I188" i="14"/>
  <c r="F188" i="14"/>
  <c r="M187" i="14"/>
  <c r="J187" i="14"/>
  <c r="F187" i="14"/>
  <c r="M184" i="14"/>
  <c r="J184" i="14"/>
  <c r="H184" i="14"/>
  <c r="F184" i="14"/>
  <c r="M183" i="14"/>
  <c r="J183" i="14"/>
  <c r="F183" i="14"/>
  <c r="M182" i="14"/>
  <c r="J182" i="14"/>
  <c r="F182" i="14"/>
  <c r="M181" i="14"/>
  <c r="J181" i="14"/>
  <c r="F181" i="14"/>
  <c r="M180" i="14"/>
  <c r="J180" i="14"/>
  <c r="G180" i="14"/>
  <c r="F180" i="14"/>
  <c r="H180" i="14" s="1"/>
  <c r="M179" i="14"/>
  <c r="J179" i="14"/>
  <c r="F179" i="14"/>
  <c r="H179" i="14" s="1"/>
  <c r="M178" i="14"/>
  <c r="J178" i="14"/>
  <c r="F178" i="14"/>
  <c r="M177" i="14"/>
  <c r="J177" i="14"/>
  <c r="F177" i="14"/>
  <c r="M176" i="14"/>
  <c r="J176" i="14"/>
  <c r="F176" i="14"/>
  <c r="M175" i="14"/>
  <c r="J175" i="14"/>
  <c r="F175" i="14"/>
  <c r="M174" i="14"/>
  <c r="J174" i="14"/>
  <c r="F174" i="14"/>
  <c r="M173" i="14"/>
  <c r="J173" i="14"/>
  <c r="F173" i="14"/>
  <c r="M172" i="14"/>
  <c r="J172" i="14"/>
  <c r="F172" i="14"/>
  <c r="M171" i="14"/>
  <c r="J171" i="14"/>
  <c r="F171" i="14"/>
  <c r="M168" i="14"/>
  <c r="J168" i="14"/>
  <c r="F168" i="14"/>
  <c r="H168" i="14" s="1"/>
  <c r="M167" i="14"/>
  <c r="J167" i="14"/>
  <c r="F167" i="14"/>
  <c r="M166" i="14"/>
  <c r="J166" i="14"/>
  <c r="F166" i="14"/>
  <c r="M165" i="14"/>
  <c r="J165" i="14"/>
  <c r="F165" i="14"/>
  <c r="M164" i="14"/>
  <c r="J164" i="14"/>
  <c r="F164" i="14"/>
  <c r="M163" i="14"/>
  <c r="J163" i="14"/>
  <c r="F163" i="14"/>
  <c r="H163" i="14" s="1"/>
  <c r="M162" i="14"/>
  <c r="J162" i="14"/>
  <c r="F162" i="14"/>
  <c r="M161" i="14"/>
  <c r="J161" i="14"/>
  <c r="F161" i="14"/>
  <c r="M160" i="14"/>
  <c r="J160" i="14"/>
  <c r="F160" i="14"/>
  <c r="M159" i="14"/>
  <c r="J159" i="14"/>
  <c r="F159" i="14"/>
  <c r="M158" i="14"/>
  <c r="J158" i="14"/>
  <c r="F158" i="14"/>
  <c r="M157" i="14"/>
  <c r="J157" i="14"/>
  <c r="F157" i="14"/>
  <c r="M156" i="14"/>
  <c r="J156" i="14"/>
  <c r="F156" i="14"/>
  <c r="M155" i="14"/>
  <c r="J155" i="14"/>
  <c r="F155" i="14"/>
  <c r="M152" i="14"/>
  <c r="J152" i="14"/>
  <c r="H152" i="14"/>
  <c r="F152" i="14"/>
  <c r="M151" i="14"/>
  <c r="J151" i="14"/>
  <c r="F151" i="14"/>
  <c r="M150" i="14"/>
  <c r="J150" i="14"/>
  <c r="F150" i="14"/>
  <c r="M149" i="14"/>
  <c r="J149" i="14"/>
  <c r="I149" i="14"/>
  <c r="K149" i="14" s="1"/>
  <c r="F149" i="14"/>
  <c r="M148" i="14"/>
  <c r="J148" i="14"/>
  <c r="H148" i="14"/>
  <c r="G148" i="14"/>
  <c r="F148" i="14"/>
  <c r="M147" i="14"/>
  <c r="J147" i="14"/>
  <c r="H147" i="14"/>
  <c r="F147" i="14"/>
  <c r="M146" i="14"/>
  <c r="J146" i="14"/>
  <c r="F146" i="14"/>
  <c r="M145" i="14"/>
  <c r="J145" i="14"/>
  <c r="F145" i="14"/>
  <c r="M144" i="14"/>
  <c r="J144" i="14"/>
  <c r="F144" i="14"/>
  <c r="M143" i="14"/>
  <c r="J143" i="14"/>
  <c r="F143" i="14"/>
  <c r="M142" i="14"/>
  <c r="J142" i="14"/>
  <c r="F142" i="14"/>
  <c r="M141" i="14"/>
  <c r="J141" i="14"/>
  <c r="F141" i="14"/>
  <c r="M140" i="14"/>
  <c r="J140" i="14"/>
  <c r="F140" i="14"/>
  <c r="M139" i="14"/>
  <c r="J139" i="14"/>
  <c r="F139" i="14"/>
  <c r="M136" i="14"/>
  <c r="J136" i="14"/>
  <c r="H136" i="14"/>
  <c r="F136" i="14"/>
  <c r="M135" i="14"/>
  <c r="J135" i="14"/>
  <c r="I135" i="14"/>
  <c r="K135" i="14" s="1"/>
  <c r="F135" i="14"/>
  <c r="M134" i="14"/>
  <c r="J134" i="14"/>
  <c r="F134" i="14"/>
  <c r="M133" i="14"/>
  <c r="J133" i="14"/>
  <c r="I133" i="14"/>
  <c r="K133" i="14" s="1"/>
  <c r="F133" i="14"/>
  <c r="M132" i="14"/>
  <c r="J132" i="14"/>
  <c r="G132" i="14"/>
  <c r="H132" i="14" s="1"/>
  <c r="F132" i="14"/>
  <c r="M131" i="14"/>
  <c r="J131" i="14"/>
  <c r="F131" i="14"/>
  <c r="H131" i="14" s="1"/>
  <c r="M130" i="14"/>
  <c r="J130" i="14"/>
  <c r="F130" i="14"/>
  <c r="M129" i="14"/>
  <c r="J129" i="14"/>
  <c r="F129" i="14"/>
  <c r="M128" i="14"/>
  <c r="J128" i="14"/>
  <c r="F128" i="14"/>
  <c r="M127" i="14"/>
  <c r="J127" i="14"/>
  <c r="F127" i="14"/>
  <c r="M126" i="14"/>
  <c r="J126" i="14"/>
  <c r="F126" i="14"/>
  <c r="M125" i="14"/>
  <c r="J125" i="14"/>
  <c r="F125" i="14"/>
  <c r="M124" i="14"/>
  <c r="J124" i="14"/>
  <c r="F124" i="14"/>
  <c r="M123" i="14"/>
  <c r="J123" i="14"/>
  <c r="F123" i="14"/>
  <c r="M120" i="14"/>
  <c r="J120" i="14"/>
  <c r="F120" i="14"/>
  <c r="H120" i="14" s="1"/>
  <c r="M119" i="14"/>
  <c r="J119" i="14"/>
  <c r="F119" i="14"/>
  <c r="M118" i="14"/>
  <c r="J118" i="14"/>
  <c r="F118" i="14"/>
  <c r="M117" i="14"/>
  <c r="K117" i="14"/>
  <c r="J117" i="14"/>
  <c r="I117" i="14"/>
  <c r="F117" i="14"/>
  <c r="M116" i="14"/>
  <c r="J116" i="14"/>
  <c r="F116" i="14"/>
  <c r="M115" i="14"/>
  <c r="J115" i="14"/>
  <c r="H115" i="14"/>
  <c r="F115" i="14"/>
  <c r="M114" i="14"/>
  <c r="J114" i="14"/>
  <c r="F114" i="14"/>
  <c r="M113" i="14"/>
  <c r="J113" i="14"/>
  <c r="F113" i="14"/>
  <c r="M112" i="14"/>
  <c r="J112" i="14"/>
  <c r="F112" i="14"/>
  <c r="M111" i="14"/>
  <c r="J111" i="14"/>
  <c r="F111" i="14"/>
  <c r="M110" i="14"/>
  <c r="J110" i="14"/>
  <c r="F110" i="14"/>
  <c r="M109" i="14"/>
  <c r="J109" i="14"/>
  <c r="F109" i="14"/>
  <c r="M108" i="14"/>
  <c r="J108" i="14"/>
  <c r="F108" i="14"/>
  <c r="M107" i="14"/>
  <c r="J107" i="14"/>
  <c r="F107" i="14"/>
  <c r="M104" i="14"/>
  <c r="J104" i="14"/>
  <c r="H104" i="14"/>
  <c r="F104" i="14"/>
  <c r="M103" i="14"/>
  <c r="J103" i="14"/>
  <c r="F103" i="14"/>
  <c r="M102" i="14"/>
  <c r="J102" i="14"/>
  <c r="F102" i="14"/>
  <c r="M101" i="14"/>
  <c r="J101" i="14"/>
  <c r="I101" i="14"/>
  <c r="K101" i="14" s="1"/>
  <c r="F101" i="14"/>
  <c r="M100" i="14"/>
  <c r="J100" i="14"/>
  <c r="G100" i="14"/>
  <c r="H100" i="14" s="1"/>
  <c r="F100" i="14"/>
  <c r="M99" i="14"/>
  <c r="J99" i="14"/>
  <c r="H99" i="14"/>
  <c r="F99" i="14"/>
  <c r="M98" i="14"/>
  <c r="J98" i="14"/>
  <c r="F98" i="14"/>
  <c r="M97" i="14"/>
  <c r="J97" i="14"/>
  <c r="F97" i="14"/>
  <c r="M96" i="14"/>
  <c r="J96" i="14"/>
  <c r="F96" i="14"/>
  <c r="M95" i="14"/>
  <c r="J95" i="14"/>
  <c r="F95" i="14"/>
  <c r="M94" i="14"/>
  <c r="J94" i="14"/>
  <c r="F94" i="14"/>
  <c r="M93" i="14"/>
  <c r="J93" i="14"/>
  <c r="F93" i="14"/>
  <c r="M92" i="14"/>
  <c r="J92" i="14"/>
  <c r="F92" i="14"/>
  <c r="M91" i="14"/>
  <c r="J91" i="14"/>
  <c r="F91" i="14"/>
  <c r="M88" i="14"/>
  <c r="J88" i="14"/>
  <c r="H88" i="14"/>
  <c r="F88" i="14"/>
  <c r="M87" i="14"/>
  <c r="J87" i="14"/>
  <c r="F87" i="14"/>
  <c r="M86" i="14"/>
  <c r="J86" i="14"/>
  <c r="F86" i="14"/>
  <c r="M85" i="14"/>
  <c r="J85" i="14"/>
  <c r="I85" i="14"/>
  <c r="K85" i="14" s="1"/>
  <c r="F85" i="14"/>
  <c r="M84" i="14"/>
  <c r="J84" i="14"/>
  <c r="G84" i="14"/>
  <c r="F84" i="14"/>
  <c r="M83" i="14"/>
  <c r="J83" i="14"/>
  <c r="F83" i="14"/>
  <c r="H83" i="14" s="1"/>
  <c r="M82" i="14"/>
  <c r="J82" i="14"/>
  <c r="F82" i="14"/>
  <c r="M81" i="14"/>
  <c r="J81" i="14"/>
  <c r="F81" i="14"/>
  <c r="M80" i="14"/>
  <c r="J80" i="14"/>
  <c r="F80" i="14"/>
  <c r="M79" i="14"/>
  <c r="J79" i="14"/>
  <c r="F79" i="14"/>
  <c r="M78" i="14"/>
  <c r="J78" i="14"/>
  <c r="F78" i="14"/>
  <c r="M77" i="14"/>
  <c r="J77" i="14"/>
  <c r="F77" i="14"/>
  <c r="M76" i="14"/>
  <c r="J76" i="14"/>
  <c r="F76" i="14"/>
  <c r="M75" i="14"/>
  <c r="J75" i="14"/>
  <c r="F75" i="14"/>
  <c r="M72" i="14"/>
  <c r="J72" i="14"/>
  <c r="F72" i="14"/>
  <c r="H72" i="14" s="1"/>
  <c r="M71" i="14"/>
  <c r="J71" i="14"/>
  <c r="F71" i="14"/>
  <c r="M70" i="14"/>
  <c r="J70" i="14"/>
  <c r="F70" i="14"/>
  <c r="M69" i="14"/>
  <c r="K69" i="14"/>
  <c r="J69" i="14"/>
  <c r="I69" i="14"/>
  <c r="F69" i="14"/>
  <c r="M68" i="14"/>
  <c r="J68" i="14"/>
  <c r="F68" i="14"/>
  <c r="M67" i="14"/>
  <c r="J67" i="14"/>
  <c r="H67" i="14"/>
  <c r="F67" i="14"/>
  <c r="M66" i="14"/>
  <c r="J66" i="14"/>
  <c r="F66" i="14"/>
  <c r="M65" i="14"/>
  <c r="J65" i="14"/>
  <c r="F65" i="14"/>
  <c r="M64" i="14"/>
  <c r="J64" i="14"/>
  <c r="F64" i="14"/>
  <c r="M63" i="14"/>
  <c r="J63" i="14"/>
  <c r="F63" i="14"/>
  <c r="M62" i="14"/>
  <c r="J62" i="14"/>
  <c r="F62" i="14"/>
  <c r="M61" i="14"/>
  <c r="J61" i="14"/>
  <c r="F61" i="14"/>
  <c r="M60" i="14"/>
  <c r="J60" i="14"/>
  <c r="F60" i="14"/>
  <c r="M59" i="14"/>
  <c r="J59" i="14"/>
  <c r="F59" i="14"/>
  <c r="M56" i="14"/>
  <c r="J56" i="14"/>
  <c r="H56" i="14"/>
  <c r="F56" i="14"/>
  <c r="M55" i="14"/>
  <c r="J55" i="14"/>
  <c r="F55" i="14"/>
  <c r="M54" i="14"/>
  <c r="J54" i="14"/>
  <c r="K54" i="14" s="1"/>
  <c r="I54" i="14"/>
  <c r="F54" i="14"/>
  <c r="M53" i="14"/>
  <c r="J53" i="14"/>
  <c r="I53" i="14"/>
  <c r="K53" i="14" s="1"/>
  <c r="G53" i="14"/>
  <c r="F53" i="14"/>
  <c r="M52" i="14"/>
  <c r="J52" i="14"/>
  <c r="F52" i="14"/>
  <c r="M51" i="14"/>
  <c r="J51" i="14"/>
  <c r="F51" i="14"/>
  <c r="H51" i="14" s="1"/>
  <c r="M50" i="14"/>
  <c r="J50" i="14"/>
  <c r="G50" i="14"/>
  <c r="H50" i="14" s="1"/>
  <c r="F50" i="14"/>
  <c r="M49" i="14"/>
  <c r="J49" i="14"/>
  <c r="F49" i="14"/>
  <c r="M48" i="14"/>
  <c r="J48" i="14"/>
  <c r="K48" i="14" s="1"/>
  <c r="I48" i="14"/>
  <c r="F48" i="14"/>
  <c r="M47" i="14"/>
  <c r="J47" i="14"/>
  <c r="G47" i="14"/>
  <c r="H47" i="14" s="1"/>
  <c r="F47" i="14"/>
  <c r="M46" i="14"/>
  <c r="J46" i="14"/>
  <c r="I46" i="14"/>
  <c r="K46" i="14" s="1"/>
  <c r="F46" i="14"/>
  <c r="M45" i="14"/>
  <c r="J45" i="14"/>
  <c r="K45" i="14" s="1"/>
  <c r="I45" i="14"/>
  <c r="F45" i="14"/>
  <c r="M44" i="14"/>
  <c r="J44" i="14"/>
  <c r="F44" i="14"/>
  <c r="M43" i="14"/>
  <c r="K43" i="14"/>
  <c r="J43" i="14"/>
  <c r="I43" i="14"/>
  <c r="F43" i="14"/>
  <c r="M40" i="14"/>
  <c r="J40" i="14"/>
  <c r="F40" i="14"/>
  <c r="H40" i="14" s="1"/>
  <c r="M39" i="14"/>
  <c r="J39" i="14"/>
  <c r="F39" i="14"/>
  <c r="M38" i="14"/>
  <c r="J38" i="14"/>
  <c r="F38" i="14"/>
  <c r="M37" i="14"/>
  <c r="J37" i="14"/>
  <c r="I37" i="14"/>
  <c r="K37" i="14" s="1"/>
  <c r="F37" i="14"/>
  <c r="M36" i="14"/>
  <c r="J36" i="14"/>
  <c r="F36" i="14"/>
  <c r="M35" i="14"/>
  <c r="J35" i="14"/>
  <c r="F35" i="14"/>
  <c r="H35" i="14" s="1"/>
  <c r="M34" i="14"/>
  <c r="J34" i="14"/>
  <c r="F34" i="14"/>
  <c r="M33" i="14"/>
  <c r="J33" i="14"/>
  <c r="F33" i="14"/>
  <c r="M32" i="14"/>
  <c r="J32" i="14"/>
  <c r="F32" i="14"/>
  <c r="M31" i="14"/>
  <c r="J31" i="14"/>
  <c r="F31" i="14"/>
  <c r="M30" i="14"/>
  <c r="J30" i="14"/>
  <c r="I30" i="14"/>
  <c r="K30" i="14" s="1"/>
  <c r="F30" i="14"/>
  <c r="M29" i="14"/>
  <c r="J29" i="14"/>
  <c r="I29" i="14"/>
  <c r="K29" i="14" s="1"/>
  <c r="F29" i="14"/>
  <c r="M28" i="14"/>
  <c r="J28" i="14"/>
  <c r="F28" i="14"/>
  <c r="W27" i="14"/>
  <c r="V27" i="14"/>
  <c r="D2852" i="15" s="1"/>
  <c r="F2852" i="15" s="1"/>
  <c r="AE23" i="15" s="1"/>
  <c r="Q27" i="14"/>
  <c r="M27" i="14"/>
  <c r="J27" i="14"/>
  <c r="F27" i="14"/>
  <c r="V26" i="14"/>
  <c r="D2702" i="15" s="1"/>
  <c r="F2702" i="15" s="1"/>
  <c r="Q26" i="14"/>
  <c r="V25" i="14"/>
  <c r="D2552" i="15" s="1"/>
  <c r="F2552" i="15" s="1"/>
  <c r="AE21" i="15" s="1"/>
  <c r="R25" i="14"/>
  <c r="Q25" i="14"/>
  <c r="V24" i="14"/>
  <c r="D2402" i="15" s="1"/>
  <c r="F2402" i="15" s="1"/>
  <c r="Q24" i="14"/>
  <c r="M24" i="14"/>
  <c r="J24" i="14"/>
  <c r="F24" i="14"/>
  <c r="H24" i="14" s="1"/>
  <c r="V23" i="14"/>
  <c r="U23" i="14"/>
  <c r="D2251" i="15" s="1"/>
  <c r="Q23" i="14"/>
  <c r="M23" i="14"/>
  <c r="J23" i="14"/>
  <c r="I23" i="14"/>
  <c r="K23" i="14" s="1"/>
  <c r="F23" i="14"/>
  <c r="W22" i="14"/>
  <c r="D2103" i="15" s="1"/>
  <c r="R22" i="14"/>
  <c r="Q22" i="14"/>
  <c r="M22" i="14"/>
  <c r="J22" i="14"/>
  <c r="F22" i="14"/>
  <c r="W21" i="14"/>
  <c r="D1953" i="15" s="1"/>
  <c r="F1953" i="15" s="1"/>
  <c r="AF17" i="15" s="1"/>
  <c r="R21" i="14"/>
  <c r="Q21" i="14"/>
  <c r="M21" i="14"/>
  <c r="J21" i="14"/>
  <c r="F21" i="14"/>
  <c r="W20" i="14"/>
  <c r="D1803" i="15" s="1"/>
  <c r="F1803" i="15" s="1"/>
  <c r="AF16" i="15" s="1"/>
  <c r="U20" i="14"/>
  <c r="D1801" i="15" s="1"/>
  <c r="F1801" i="15" s="1"/>
  <c r="Q20" i="14"/>
  <c r="M20" i="14"/>
  <c r="J20" i="14"/>
  <c r="G20" i="14"/>
  <c r="H20" i="14" s="1"/>
  <c r="F20" i="14"/>
  <c r="W19" i="14"/>
  <c r="D1653" i="15" s="1"/>
  <c r="F1653" i="15" s="1"/>
  <c r="AF15" i="15" s="1"/>
  <c r="Q19" i="14"/>
  <c r="M19" i="14"/>
  <c r="J19" i="14"/>
  <c r="H19" i="14"/>
  <c r="F19" i="14"/>
  <c r="W18" i="14"/>
  <c r="D1503" i="15" s="1"/>
  <c r="R18" i="14"/>
  <c r="Q18" i="14"/>
  <c r="M18" i="14"/>
  <c r="J18" i="14"/>
  <c r="F18" i="14"/>
  <c r="W17" i="14"/>
  <c r="R17" i="14"/>
  <c r="Q17" i="14"/>
  <c r="M17" i="14"/>
  <c r="J17" i="14"/>
  <c r="F17" i="14"/>
  <c r="W16" i="14"/>
  <c r="D1203" i="15" s="1"/>
  <c r="F1203" i="15" s="1"/>
  <c r="AF12" i="15" s="1"/>
  <c r="U16" i="14"/>
  <c r="D1201" i="15" s="1"/>
  <c r="F1201" i="15" s="1"/>
  <c r="R16" i="14"/>
  <c r="Q16" i="14"/>
  <c r="M16" i="14"/>
  <c r="J16" i="14"/>
  <c r="F16" i="14"/>
  <c r="W15" i="14"/>
  <c r="D1053" i="15" s="1"/>
  <c r="F1053" i="15" s="1"/>
  <c r="AF11" i="15" s="1"/>
  <c r="V15" i="14"/>
  <c r="D1052" i="15" s="1"/>
  <c r="F1052" i="15" s="1"/>
  <c r="AE11" i="15" s="1"/>
  <c r="Q15" i="14"/>
  <c r="M15" i="14"/>
  <c r="J15" i="14"/>
  <c r="G15" i="14"/>
  <c r="F15" i="14"/>
  <c r="H15" i="14" s="1"/>
  <c r="W14" i="14"/>
  <c r="D903" i="15" s="1"/>
  <c r="F903" i="15" s="1"/>
  <c r="AF10" i="15" s="1"/>
  <c r="V14" i="14"/>
  <c r="D902" i="15" s="1"/>
  <c r="Q14" i="14"/>
  <c r="M14" i="14"/>
  <c r="K14" i="14"/>
  <c r="J14" i="14"/>
  <c r="I14" i="14"/>
  <c r="F14" i="14"/>
  <c r="W13" i="14"/>
  <c r="V13" i="14"/>
  <c r="R13" i="14"/>
  <c r="Q13" i="14"/>
  <c r="M13" i="14"/>
  <c r="J13" i="14"/>
  <c r="F13" i="14"/>
  <c r="W12" i="14"/>
  <c r="D603" i="15" s="1"/>
  <c r="F603" i="15" s="1"/>
  <c r="V12" i="14"/>
  <c r="D602" i="15" s="1"/>
  <c r="F602" i="15" s="1"/>
  <c r="AE8" i="15" s="1"/>
  <c r="Q12" i="14"/>
  <c r="M12" i="14"/>
  <c r="J12" i="14"/>
  <c r="F12" i="14"/>
  <c r="W11" i="14"/>
  <c r="D453" i="15" s="1"/>
  <c r="F453" i="15" s="1"/>
  <c r="AF7" i="15" s="1"/>
  <c r="V11" i="14"/>
  <c r="D452" i="15" s="1"/>
  <c r="F452" i="15" s="1"/>
  <c r="AE7" i="15" s="1"/>
  <c r="R11" i="14"/>
  <c r="Q11" i="14"/>
  <c r="M11" i="14"/>
  <c r="J11" i="14"/>
  <c r="I11" i="14"/>
  <c r="K11" i="14" s="1"/>
  <c r="F11" i="14"/>
  <c r="W10" i="14"/>
  <c r="V10" i="14"/>
  <c r="D302" i="15" s="1"/>
  <c r="F302" i="15" s="1"/>
  <c r="AE6" i="15" s="1"/>
  <c r="Q10" i="14"/>
  <c r="W9" i="14"/>
  <c r="V9" i="14"/>
  <c r="D152" i="15" s="1"/>
  <c r="F152" i="15" s="1"/>
  <c r="AE5" i="15" s="1"/>
  <c r="R9" i="14"/>
  <c r="Q9" i="14"/>
  <c r="AA40" i="13"/>
  <c r="Z40" i="13"/>
  <c r="U40" i="13"/>
  <c r="T40" i="13"/>
  <c r="S40" i="13"/>
  <c r="O40" i="13"/>
  <c r="C2812" i="15" s="1"/>
  <c r="N40" i="13"/>
  <c r="I40" i="13"/>
  <c r="B40" i="13"/>
  <c r="R27" i="14" s="1"/>
  <c r="AD39" i="13"/>
  <c r="AA39" i="13"/>
  <c r="Z39" i="13"/>
  <c r="C2640" i="15" s="1"/>
  <c r="V39" i="13"/>
  <c r="U39" i="13"/>
  <c r="T39" i="13"/>
  <c r="S39" i="13"/>
  <c r="O39" i="13"/>
  <c r="C2670" i="15" s="1"/>
  <c r="N39" i="13"/>
  <c r="I39" i="13"/>
  <c r="B39" i="13"/>
  <c r="R26" i="14" s="1"/>
  <c r="AD38" i="13"/>
  <c r="AA38" i="13"/>
  <c r="Z38" i="13"/>
  <c r="V38" i="13"/>
  <c r="U38" i="13"/>
  <c r="T38" i="13"/>
  <c r="S38" i="13"/>
  <c r="R38" i="13"/>
  <c r="Q38" i="13"/>
  <c r="P38" i="13"/>
  <c r="O38" i="13"/>
  <c r="N38" i="13"/>
  <c r="H2486" i="15" s="1"/>
  <c r="M38" i="13"/>
  <c r="I273" i="14" s="1"/>
  <c r="K273" i="14" s="1"/>
  <c r="L38" i="13"/>
  <c r="W38" i="13" s="1"/>
  <c r="K38" i="13"/>
  <c r="I268" i="14" s="1"/>
  <c r="K268" i="14" s="1"/>
  <c r="J38" i="13"/>
  <c r="G278" i="14" s="1"/>
  <c r="H278" i="14" s="1"/>
  <c r="I38" i="13"/>
  <c r="B38" i="13"/>
  <c r="K21" i="15" s="1"/>
  <c r="AD37" i="13"/>
  <c r="C2270" i="15" s="1"/>
  <c r="AA37" i="13"/>
  <c r="Z37" i="13"/>
  <c r="C2268" i="15" s="1"/>
  <c r="U37" i="13"/>
  <c r="T37" i="13"/>
  <c r="S37" i="13"/>
  <c r="P37" i="13"/>
  <c r="O37" i="13"/>
  <c r="N37" i="13"/>
  <c r="L37" i="13"/>
  <c r="C2261" i="15" s="1"/>
  <c r="I37" i="13"/>
  <c r="V37" i="13" s="1"/>
  <c r="B37" i="13"/>
  <c r="AD36" i="13"/>
  <c r="C2120" i="15" s="1"/>
  <c r="AA36" i="13"/>
  <c r="Z36" i="13"/>
  <c r="C2154" i="15" s="1"/>
  <c r="V36" i="13"/>
  <c r="H2189" i="15" s="1"/>
  <c r="U36" i="13"/>
  <c r="C2207" i="15" s="1"/>
  <c r="T36" i="13"/>
  <c r="S36" i="13"/>
  <c r="P36" i="13"/>
  <c r="O36" i="13"/>
  <c r="C2148" i="15" s="1"/>
  <c r="N36" i="13"/>
  <c r="M36" i="13"/>
  <c r="K36" i="13"/>
  <c r="C2227" i="15" s="1"/>
  <c r="I36" i="13"/>
  <c r="C2168" i="15" s="1"/>
  <c r="B36" i="13"/>
  <c r="AD35" i="13"/>
  <c r="AA35" i="13"/>
  <c r="Z35" i="13"/>
  <c r="U35" i="13"/>
  <c r="C2057" i="15" s="1"/>
  <c r="T35" i="13"/>
  <c r="C1967" i="15" s="1"/>
  <c r="S35" i="13"/>
  <c r="R35" i="13"/>
  <c r="Q35" i="13"/>
  <c r="P35" i="13"/>
  <c r="O35" i="13"/>
  <c r="N35" i="13"/>
  <c r="M35" i="13"/>
  <c r="L35" i="13"/>
  <c r="J35" i="13"/>
  <c r="C2037" i="15" s="1"/>
  <c r="I35" i="13"/>
  <c r="V35" i="13" s="1"/>
  <c r="B35" i="13"/>
  <c r="AD34" i="13"/>
  <c r="C1856" i="15" s="1"/>
  <c r="AA34" i="13"/>
  <c r="Z34" i="13"/>
  <c r="U34" i="13"/>
  <c r="C1907" i="15" s="1"/>
  <c r="T34" i="13"/>
  <c r="C1853" i="15" s="1"/>
  <c r="S34" i="13"/>
  <c r="H1853" i="15" s="1"/>
  <c r="P34" i="13"/>
  <c r="O34" i="13"/>
  <c r="N34" i="13"/>
  <c r="M34" i="13"/>
  <c r="L34" i="13"/>
  <c r="K34" i="13"/>
  <c r="I203" i="14" s="1"/>
  <c r="K203" i="14" s="1"/>
  <c r="I34" i="13"/>
  <c r="H1868" i="15" s="1"/>
  <c r="B34" i="13"/>
  <c r="AD33" i="13"/>
  <c r="AA33" i="13"/>
  <c r="Z33" i="13"/>
  <c r="V33" i="13"/>
  <c r="H1739" i="15" s="1"/>
  <c r="U33" i="13"/>
  <c r="C1757" i="15" s="1"/>
  <c r="T33" i="13"/>
  <c r="C1703" i="15" s="1"/>
  <c r="S33" i="13"/>
  <c r="C1666" i="15" s="1"/>
  <c r="P33" i="13"/>
  <c r="O33" i="13"/>
  <c r="N33" i="13"/>
  <c r="M33" i="13"/>
  <c r="L33" i="13"/>
  <c r="K33" i="13"/>
  <c r="J33" i="13"/>
  <c r="I33" i="13"/>
  <c r="H1733" i="15" s="1"/>
  <c r="B33" i="13"/>
  <c r="R20" i="14" s="1"/>
  <c r="AA32" i="13"/>
  <c r="Z32" i="13"/>
  <c r="U32" i="13"/>
  <c r="C1607" i="15" s="1"/>
  <c r="T32" i="13"/>
  <c r="C1517" i="15" s="1"/>
  <c r="S32" i="13"/>
  <c r="P32" i="13"/>
  <c r="O32" i="13"/>
  <c r="N32" i="13"/>
  <c r="L32" i="13"/>
  <c r="I32" i="13"/>
  <c r="H1580" i="15" s="1"/>
  <c r="B32" i="13"/>
  <c r="R19" i="14" s="1"/>
  <c r="AA31" i="13"/>
  <c r="Z31" i="13"/>
  <c r="U31" i="13"/>
  <c r="C1457" i="15" s="1"/>
  <c r="T31" i="13"/>
  <c r="S31" i="13"/>
  <c r="H1403" i="15" s="1"/>
  <c r="O31" i="13"/>
  <c r="C1378" i="15" s="1"/>
  <c r="N31" i="13"/>
  <c r="J31" i="13"/>
  <c r="I31" i="13"/>
  <c r="B31" i="13"/>
  <c r="AA30" i="13"/>
  <c r="Z30" i="13"/>
  <c r="V30" i="13"/>
  <c r="H1289" i="15" s="1"/>
  <c r="U30" i="13"/>
  <c r="C1333" i="15" s="1"/>
  <c r="T30" i="13"/>
  <c r="C1253" i="15" s="1"/>
  <c r="S30" i="13"/>
  <c r="C1232" i="15" s="1"/>
  <c r="O30" i="13"/>
  <c r="C1212" i="15" s="1"/>
  <c r="N30" i="13"/>
  <c r="M30" i="13"/>
  <c r="L30" i="13"/>
  <c r="K30" i="13"/>
  <c r="J30" i="13"/>
  <c r="I30" i="13"/>
  <c r="B30" i="13"/>
  <c r="K13" i="15" s="1"/>
  <c r="AA29" i="13"/>
  <c r="Z29" i="13"/>
  <c r="V29" i="13"/>
  <c r="U29" i="13"/>
  <c r="T29" i="13"/>
  <c r="C1067" i="15" s="1"/>
  <c r="S29" i="13"/>
  <c r="C1082" i="15" s="1"/>
  <c r="O29" i="13"/>
  <c r="C1162" i="15" s="1"/>
  <c r="N29" i="13"/>
  <c r="M29" i="13"/>
  <c r="J29" i="13"/>
  <c r="C1137" i="15" s="1"/>
  <c r="I29" i="13"/>
  <c r="B29" i="13"/>
  <c r="AA28" i="13"/>
  <c r="Z28" i="13"/>
  <c r="U28" i="13"/>
  <c r="T28" i="13"/>
  <c r="C953" i="15" s="1"/>
  <c r="S28" i="13"/>
  <c r="C952" i="15" s="1"/>
  <c r="O28" i="13"/>
  <c r="C1020" i="15" s="1"/>
  <c r="N28" i="13"/>
  <c r="J28" i="13"/>
  <c r="I28" i="13"/>
  <c r="B28" i="13"/>
  <c r="R15" i="14" s="1"/>
  <c r="AA27" i="13"/>
  <c r="Z27" i="13"/>
  <c r="C768" i="15" s="1"/>
  <c r="U27" i="13"/>
  <c r="T27" i="13"/>
  <c r="S27" i="13"/>
  <c r="O27" i="13"/>
  <c r="C862" i="15" s="1"/>
  <c r="N27" i="13"/>
  <c r="C836" i="15" s="1"/>
  <c r="K27" i="13"/>
  <c r="I27" i="13"/>
  <c r="B27" i="13"/>
  <c r="K10" i="15" s="1"/>
  <c r="AA26" i="13"/>
  <c r="Z26" i="13"/>
  <c r="C690" i="15" s="1"/>
  <c r="V26" i="13"/>
  <c r="C689" i="15" s="1"/>
  <c r="U26" i="13"/>
  <c r="T26" i="13"/>
  <c r="S26" i="13"/>
  <c r="O26" i="13"/>
  <c r="C720" i="15" s="1"/>
  <c r="N26" i="13"/>
  <c r="H686" i="15" s="1"/>
  <c r="I26" i="13"/>
  <c r="H680" i="15" s="1"/>
  <c r="B26" i="13"/>
  <c r="AA25" i="13"/>
  <c r="Z25" i="13"/>
  <c r="C592" i="15" s="1"/>
  <c r="U25" i="13"/>
  <c r="T25" i="13"/>
  <c r="C467" i="15" s="1"/>
  <c r="S25" i="13"/>
  <c r="O25" i="13"/>
  <c r="C498" i="15" s="1"/>
  <c r="N25" i="13"/>
  <c r="C536" i="15" s="1"/>
  <c r="I25" i="13"/>
  <c r="AD25" i="13" s="1"/>
  <c r="B25" i="13"/>
  <c r="R12" i="14" s="1"/>
  <c r="AD24" i="13"/>
  <c r="AC24" i="13"/>
  <c r="AA24" i="13"/>
  <c r="Z24" i="13"/>
  <c r="C442" i="15" s="1"/>
  <c r="V24" i="13"/>
  <c r="H389" i="15" s="1"/>
  <c r="U24" i="13"/>
  <c r="C388" i="15" s="1"/>
  <c r="T24" i="13"/>
  <c r="C317" i="15" s="1"/>
  <c r="S24" i="13"/>
  <c r="R24" i="13"/>
  <c r="Q24" i="13"/>
  <c r="P24" i="13"/>
  <c r="O24" i="13"/>
  <c r="N24" i="13"/>
  <c r="H386" i="15" s="1"/>
  <c r="M24" i="13"/>
  <c r="I49" i="14" s="1"/>
  <c r="K49" i="14" s="1"/>
  <c r="L24" i="13"/>
  <c r="W24" i="13" s="1"/>
  <c r="K24" i="13"/>
  <c r="I44" i="14" s="1"/>
  <c r="K44" i="14" s="1"/>
  <c r="J24" i="13"/>
  <c r="G55" i="14" s="1"/>
  <c r="I24" i="13"/>
  <c r="B24" i="13"/>
  <c r="AD23" i="13"/>
  <c r="AA23" i="13"/>
  <c r="Z23" i="13"/>
  <c r="C254" i="15" s="1"/>
  <c r="U23" i="13"/>
  <c r="C238" i="15" s="1"/>
  <c r="T23" i="13"/>
  <c r="C167" i="15" s="1"/>
  <c r="S23" i="13"/>
  <c r="C202" i="15" s="1"/>
  <c r="P23" i="13"/>
  <c r="C200" i="15" s="1"/>
  <c r="O23" i="13"/>
  <c r="N23" i="13"/>
  <c r="C236" i="15" s="1"/>
  <c r="L23" i="13"/>
  <c r="C161" i="15" s="1"/>
  <c r="K23" i="13"/>
  <c r="C277" i="15" s="1"/>
  <c r="I23" i="13"/>
  <c r="C233" i="15" s="1"/>
  <c r="B23" i="13"/>
  <c r="AD22" i="13"/>
  <c r="AA22" i="13"/>
  <c r="Q22" i="13" s="1"/>
  <c r="Z22" i="13"/>
  <c r="I21" i="14" s="1"/>
  <c r="K21" i="14" s="1"/>
  <c r="V22" i="13"/>
  <c r="H89" i="15" s="1"/>
  <c r="U22" i="13"/>
  <c r="C88" i="15" s="1"/>
  <c r="T22" i="13"/>
  <c r="S22" i="13"/>
  <c r="R22" i="13"/>
  <c r="P22" i="13"/>
  <c r="O22" i="13"/>
  <c r="N22" i="13"/>
  <c r="M22" i="13"/>
  <c r="K22" i="13"/>
  <c r="I13" i="14" s="1"/>
  <c r="K13" i="14" s="1"/>
  <c r="J22" i="13"/>
  <c r="C67" i="15" s="1"/>
  <c r="I22" i="13"/>
  <c r="C83" i="15" s="1"/>
  <c r="B22" i="13"/>
  <c r="T20" i="11"/>
  <c r="O20" i="11"/>
  <c r="N20" i="11"/>
  <c r="K20" i="11"/>
  <c r="S20" i="11" s="1"/>
  <c r="J20" i="11"/>
  <c r="N19" i="11"/>
  <c r="K19" i="11"/>
  <c r="S19" i="11" s="1"/>
  <c r="J19" i="11"/>
  <c r="T18" i="11"/>
  <c r="S18" i="11"/>
  <c r="O18" i="11"/>
  <c r="N18" i="11"/>
  <c r="K18" i="11"/>
  <c r="J18" i="11"/>
  <c r="N17" i="11"/>
  <c r="K17" i="11"/>
  <c r="S17" i="11" s="1"/>
  <c r="J17" i="11"/>
  <c r="T16" i="11"/>
  <c r="O16" i="11"/>
  <c r="N16" i="11"/>
  <c r="K16" i="11"/>
  <c r="S16" i="11" s="1"/>
  <c r="J16" i="11"/>
  <c r="T15" i="11"/>
  <c r="O15" i="11"/>
  <c r="N15" i="11"/>
  <c r="K15" i="11"/>
  <c r="S15" i="11" s="1"/>
  <c r="J15" i="11"/>
  <c r="S14" i="11"/>
  <c r="N14" i="11"/>
  <c r="K14" i="11"/>
  <c r="J14" i="11"/>
  <c r="T13" i="11"/>
  <c r="S13" i="11"/>
  <c r="O13" i="11"/>
  <c r="N13" i="11"/>
  <c r="K13" i="11"/>
  <c r="J13" i="11"/>
  <c r="N12" i="11"/>
  <c r="K12" i="11"/>
  <c r="S12" i="11" s="1"/>
  <c r="J12" i="11"/>
  <c r="T11" i="11"/>
  <c r="S11" i="11"/>
  <c r="O11" i="11"/>
  <c r="N11" i="11"/>
  <c r="K11" i="11"/>
  <c r="J11" i="11"/>
  <c r="N10" i="11"/>
  <c r="K10" i="11"/>
  <c r="S10" i="11" s="1"/>
  <c r="J10" i="11"/>
  <c r="T9" i="11"/>
  <c r="N9" i="11"/>
  <c r="K9" i="11"/>
  <c r="S9" i="11" s="1"/>
  <c r="J9" i="11"/>
  <c r="T8" i="11"/>
  <c r="S8" i="11"/>
  <c r="O8" i="11"/>
  <c r="N8" i="11"/>
  <c r="K8" i="11"/>
  <c r="J8" i="11"/>
  <c r="S7" i="11"/>
  <c r="N7" i="11"/>
  <c r="K7" i="11"/>
  <c r="J7" i="11"/>
  <c r="T6" i="11"/>
  <c r="S6" i="11"/>
  <c r="O6" i="11"/>
  <c r="N6" i="11"/>
  <c r="K6" i="11"/>
  <c r="J6" i="11"/>
  <c r="AQ1005" i="9"/>
  <c r="AG1005" i="9"/>
  <c r="AF1005" i="9"/>
  <c r="AE1005" i="9"/>
  <c r="AD1005" i="9"/>
  <c r="AC1005" i="9"/>
  <c r="AB1005" i="9"/>
  <c r="AA1005" i="9"/>
  <c r="Z1005" i="9"/>
  <c r="Y1005" i="9"/>
  <c r="X1005" i="9"/>
  <c r="W1005" i="9"/>
  <c r="V1005" i="9"/>
  <c r="U1005" i="9"/>
  <c r="T1005" i="9"/>
  <c r="S1005" i="9"/>
  <c r="R1005" i="9"/>
  <c r="Q1005" i="9"/>
  <c r="P1005" i="9"/>
  <c r="O1005" i="9"/>
  <c r="N1005" i="9"/>
  <c r="M1005" i="9"/>
  <c r="L1005" i="9"/>
  <c r="K1005" i="9"/>
  <c r="J1005" i="9"/>
  <c r="I1005" i="9"/>
  <c r="H1005" i="9"/>
  <c r="G1005" i="9"/>
  <c r="F1005" i="9"/>
  <c r="E1005" i="9"/>
  <c r="D1005" i="9"/>
  <c r="AQ1004" i="9"/>
  <c r="AT1004" i="9" s="1"/>
  <c r="AG1004" i="9"/>
  <c r="AF1004" i="9"/>
  <c r="AE1004" i="9"/>
  <c r="AD1004" i="9"/>
  <c r="AC1004" i="9"/>
  <c r="AB1004" i="9"/>
  <c r="AA1004" i="9"/>
  <c r="Z1004" i="9"/>
  <c r="Y1004" i="9"/>
  <c r="X1004" i="9"/>
  <c r="W1004" i="9"/>
  <c r="V1004" i="9"/>
  <c r="U1004" i="9"/>
  <c r="T1004" i="9"/>
  <c r="S1004" i="9"/>
  <c r="R1004" i="9"/>
  <c r="Q1004" i="9"/>
  <c r="P1004" i="9"/>
  <c r="O1004" i="9"/>
  <c r="N1004" i="9"/>
  <c r="M1004" i="9"/>
  <c r="L1004" i="9"/>
  <c r="K1004" i="9"/>
  <c r="J1004" i="9"/>
  <c r="I1004" i="9"/>
  <c r="H1004" i="9"/>
  <c r="G1004" i="9"/>
  <c r="F1004" i="9"/>
  <c r="E1004" i="9"/>
  <c r="D1004" i="9"/>
  <c r="AY1003" i="9"/>
  <c r="AO1003" i="9" s="1"/>
  <c r="AX1003" i="9"/>
  <c r="AN1003" i="9" s="1"/>
  <c r="AW1003" i="9"/>
  <c r="AM1003" i="9" s="1"/>
  <c r="AV1003" i="9"/>
  <c r="AL1003" i="9" s="1"/>
  <c r="AU1003" i="9"/>
  <c r="AK1003" i="9" s="1"/>
  <c r="AT1003" i="9"/>
  <c r="AJ1003" i="9" s="1"/>
  <c r="AR1003" i="9"/>
  <c r="AS1003" i="9" s="1"/>
  <c r="AQ1003" i="9"/>
  <c r="AG1003" i="9"/>
  <c r="AF1003" i="9"/>
  <c r="AE1003" i="9"/>
  <c r="AD1003" i="9"/>
  <c r="AC1003" i="9"/>
  <c r="AB1003" i="9"/>
  <c r="AA1003" i="9"/>
  <c r="Z1003" i="9"/>
  <c r="Y1003" i="9"/>
  <c r="X1003" i="9"/>
  <c r="W1003" i="9"/>
  <c r="V1003" i="9"/>
  <c r="U1003" i="9"/>
  <c r="T1003" i="9"/>
  <c r="S1003" i="9"/>
  <c r="R1003" i="9"/>
  <c r="Q1003" i="9"/>
  <c r="P1003" i="9"/>
  <c r="O1003" i="9"/>
  <c r="N1003" i="9"/>
  <c r="M1003" i="9"/>
  <c r="L1003" i="9"/>
  <c r="K1003" i="9"/>
  <c r="J1003" i="9"/>
  <c r="I1003" i="9"/>
  <c r="H1003" i="9"/>
  <c r="G1003" i="9"/>
  <c r="F1003" i="9"/>
  <c r="E1003" i="9"/>
  <c r="D1003" i="9"/>
  <c r="AY1002" i="9"/>
  <c r="AO1002" i="9" s="1"/>
  <c r="AX1002" i="9"/>
  <c r="AN1002" i="9" s="1"/>
  <c r="AW1002" i="9"/>
  <c r="AM1002" i="9" s="1"/>
  <c r="AU1002" i="9"/>
  <c r="AT1002" i="9"/>
  <c r="AR1002" i="9"/>
  <c r="AS1002" i="9" s="1"/>
  <c r="AQ1002" i="9"/>
  <c r="AV1002" i="9" s="1"/>
  <c r="AL1002" i="9"/>
  <c r="AK1002" i="9"/>
  <c r="AJ1002" i="9"/>
  <c r="AI1002" i="9"/>
  <c r="AH1002" i="9"/>
  <c r="AG1002" i="9"/>
  <c r="AF1002" i="9"/>
  <c r="AE1002" i="9"/>
  <c r="AD1002" i="9"/>
  <c r="AC1002" i="9"/>
  <c r="AB1002" i="9"/>
  <c r="AA1002" i="9"/>
  <c r="Z1002" i="9"/>
  <c r="Y1002" i="9"/>
  <c r="X1002" i="9"/>
  <c r="W1002" i="9"/>
  <c r="V1002" i="9"/>
  <c r="U1002" i="9"/>
  <c r="T1002" i="9"/>
  <c r="S1002" i="9"/>
  <c r="R1002" i="9"/>
  <c r="Q1002" i="9"/>
  <c r="P1002" i="9"/>
  <c r="O1002" i="9"/>
  <c r="N1002" i="9"/>
  <c r="M1002" i="9"/>
  <c r="L1002" i="9"/>
  <c r="K1002" i="9"/>
  <c r="J1002" i="9"/>
  <c r="I1002" i="9"/>
  <c r="H1002" i="9"/>
  <c r="G1002" i="9"/>
  <c r="F1002" i="9"/>
  <c r="E1002" i="9"/>
  <c r="D1002" i="9"/>
  <c r="AU1001" i="9"/>
  <c r="AK1001" i="9" s="1"/>
  <c r="AQ1001" i="9"/>
  <c r="AT1001" i="9" s="1"/>
  <c r="AG1001" i="9"/>
  <c r="AF1001" i="9"/>
  <c r="AE1001" i="9"/>
  <c r="AD1001" i="9"/>
  <c r="AC1001" i="9"/>
  <c r="AB1001" i="9"/>
  <c r="AA1001" i="9"/>
  <c r="Z1001" i="9"/>
  <c r="Y1001" i="9"/>
  <c r="X1001" i="9"/>
  <c r="W1001" i="9"/>
  <c r="V1001" i="9"/>
  <c r="U1001" i="9"/>
  <c r="T1001" i="9"/>
  <c r="S1001" i="9"/>
  <c r="R1001" i="9"/>
  <c r="Q1001" i="9"/>
  <c r="P1001" i="9"/>
  <c r="O1001" i="9"/>
  <c r="N1001" i="9"/>
  <c r="M1001" i="9"/>
  <c r="L1001" i="9"/>
  <c r="K1001" i="9"/>
  <c r="J1001" i="9"/>
  <c r="I1001" i="9"/>
  <c r="H1001" i="9"/>
  <c r="G1001" i="9"/>
  <c r="F1001" i="9"/>
  <c r="E1001" i="9"/>
  <c r="D1001" i="9"/>
  <c r="AY1000" i="9"/>
  <c r="AO1000" i="9" s="1"/>
  <c r="AX1000" i="9"/>
  <c r="AN1000" i="9" s="1"/>
  <c r="AW1000" i="9"/>
  <c r="AM1000" i="9" s="1"/>
  <c r="AV1000" i="9"/>
  <c r="AL1000" i="9" s="1"/>
  <c r="AU1000" i="9"/>
  <c r="AK1000" i="9" s="1"/>
  <c r="AT1000" i="9"/>
  <c r="AJ1000" i="9" s="1"/>
  <c r="AS1000" i="9"/>
  <c r="AQ1000" i="9"/>
  <c r="AR1000" i="9" s="1"/>
  <c r="AI1000" i="9"/>
  <c r="AH1000" i="9"/>
  <c r="AG1000" i="9"/>
  <c r="AF1000" i="9"/>
  <c r="AE1000" i="9"/>
  <c r="AD1000" i="9"/>
  <c r="AC1000" i="9"/>
  <c r="AB1000" i="9"/>
  <c r="AA1000" i="9"/>
  <c r="Z1000" i="9"/>
  <c r="Y1000" i="9"/>
  <c r="X1000" i="9"/>
  <c r="W1000" i="9"/>
  <c r="V1000" i="9"/>
  <c r="U1000" i="9"/>
  <c r="T1000" i="9"/>
  <c r="S1000" i="9"/>
  <c r="R1000" i="9"/>
  <c r="Q1000" i="9"/>
  <c r="P1000" i="9"/>
  <c r="O1000" i="9"/>
  <c r="N1000" i="9"/>
  <c r="M1000" i="9"/>
  <c r="L1000" i="9"/>
  <c r="K1000" i="9"/>
  <c r="J1000" i="9"/>
  <c r="I1000" i="9"/>
  <c r="H1000" i="9"/>
  <c r="G1000" i="9"/>
  <c r="F1000" i="9"/>
  <c r="E1000" i="9"/>
  <c r="D1000" i="9"/>
  <c r="AX999" i="9"/>
  <c r="AN999" i="9" s="1"/>
  <c r="AQ999" i="9"/>
  <c r="AG999" i="9"/>
  <c r="AF999" i="9"/>
  <c r="AE999" i="9"/>
  <c r="AD999" i="9"/>
  <c r="AC999" i="9"/>
  <c r="AB999" i="9"/>
  <c r="AA999" i="9"/>
  <c r="Z999" i="9"/>
  <c r="Y999" i="9"/>
  <c r="X999" i="9"/>
  <c r="W999" i="9"/>
  <c r="V999" i="9"/>
  <c r="U999" i="9"/>
  <c r="T999" i="9"/>
  <c r="S999" i="9"/>
  <c r="R999" i="9"/>
  <c r="Q999" i="9"/>
  <c r="P999" i="9"/>
  <c r="O999" i="9"/>
  <c r="N999" i="9"/>
  <c r="M999" i="9"/>
  <c r="L999" i="9"/>
  <c r="K999" i="9"/>
  <c r="J999" i="9"/>
  <c r="I999" i="9"/>
  <c r="H999" i="9"/>
  <c r="G999" i="9"/>
  <c r="F999" i="9"/>
  <c r="E999" i="9"/>
  <c r="D999" i="9"/>
  <c r="AU998" i="9"/>
  <c r="AK998" i="9" s="1"/>
  <c r="AR998" i="9"/>
  <c r="AS998" i="9" s="1"/>
  <c r="AQ998" i="9"/>
  <c r="AG998" i="9"/>
  <c r="AF998" i="9"/>
  <c r="AE998" i="9"/>
  <c r="AD998" i="9"/>
  <c r="AC998" i="9"/>
  <c r="AB998" i="9"/>
  <c r="AA998" i="9"/>
  <c r="Z998" i="9"/>
  <c r="Y998" i="9"/>
  <c r="X998" i="9"/>
  <c r="W998" i="9"/>
  <c r="V998" i="9"/>
  <c r="U998" i="9"/>
  <c r="T998" i="9"/>
  <c r="S998" i="9"/>
  <c r="R998" i="9"/>
  <c r="Q998" i="9"/>
  <c r="P998" i="9"/>
  <c r="O998" i="9"/>
  <c r="N998" i="9"/>
  <c r="M998" i="9"/>
  <c r="L998" i="9"/>
  <c r="K998" i="9"/>
  <c r="J998" i="9"/>
  <c r="I998" i="9"/>
  <c r="H998" i="9"/>
  <c r="G998" i="9"/>
  <c r="F998" i="9"/>
  <c r="E998" i="9"/>
  <c r="D998" i="9"/>
  <c r="AY997" i="9"/>
  <c r="AO997" i="9" s="1"/>
  <c r="AX997" i="9"/>
  <c r="AN997" i="9" s="1"/>
  <c r="AW997" i="9"/>
  <c r="AM997" i="9" s="1"/>
  <c r="AV997" i="9"/>
  <c r="AU997" i="9"/>
  <c r="AT997" i="9"/>
  <c r="AH997" i="9" s="1"/>
  <c r="AQ997" i="9"/>
  <c r="AR997" i="9" s="1"/>
  <c r="AS997" i="9" s="1"/>
  <c r="AL997" i="9"/>
  <c r="AK997" i="9"/>
  <c r="AJ997" i="9"/>
  <c r="AG997" i="9"/>
  <c r="AF997" i="9"/>
  <c r="AE997" i="9"/>
  <c r="AD997" i="9"/>
  <c r="AC997" i="9"/>
  <c r="AB997" i="9"/>
  <c r="AA997" i="9"/>
  <c r="Z997" i="9"/>
  <c r="Y997" i="9"/>
  <c r="X997" i="9"/>
  <c r="W997" i="9"/>
  <c r="V997" i="9"/>
  <c r="U997" i="9"/>
  <c r="T997" i="9"/>
  <c r="S997" i="9"/>
  <c r="R997" i="9"/>
  <c r="Q997" i="9"/>
  <c r="P997" i="9"/>
  <c r="O997" i="9"/>
  <c r="N997" i="9"/>
  <c r="M997" i="9"/>
  <c r="L997" i="9"/>
  <c r="K997" i="9"/>
  <c r="J997" i="9"/>
  <c r="I997" i="9"/>
  <c r="H997" i="9"/>
  <c r="G997" i="9"/>
  <c r="F997" i="9"/>
  <c r="E997" i="9"/>
  <c r="D997" i="9"/>
  <c r="AY996" i="9"/>
  <c r="AO996" i="9" s="1"/>
  <c r="AQ996" i="9"/>
  <c r="AG996" i="9"/>
  <c r="AF996" i="9"/>
  <c r="AE996" i="9"/>
  <c r="AD996" i="9"/>
  <c r="AC996" i="9"/>
  <c r="AB996" i="9"/>
  <c r="AA996" i="9"/>
  <c r="Z996" i="9"/>
  <c r="Y996" i="9"/>
  <c r="X996" i="9"/>
  <c r="W996" i="9"/>
  <c r="V996" i="9"/>
  <c r="U996" i="9"/>
  <c r="T996" i="9"/>
  <c r="S996" i="9"/>
  <c r="R996" i="9"/>
  <c r="Q996" i="9"/>
  <c r="P996" i="9"/>
  <c r="O996" i="9"/>
  <c r="N996" i="9"/>
  <c r="M996" i="9"/>
  <c r="L996" i="9"/>
  <c r="K996" i="9"/>
  <c r="J996" i="9"/>
  <c r="I996" i="9"/>
  <c r="H996" i="9"/>
  <c r="G996" i="9"/>
  <c r="F996" i="9"/>
  <c r="E996" i="9"/>
  <c r="D996" i="9"/>
  <c r="AU995" i="9"/>
  <c r="AK995" i="9" s="1"/>
  <c r="AT995" i="9"/>
  <c r="AQ995" i="9"/>
  <c r="AW995" i="9" s="1"/>
  <c r="AM995" i="9" s="1"/>
  <c r="AH995" i="9"/>
  <c r="AG995" i="9"/>
  <c r="AF995" i="9"/>
  <c r="AE995" i="9"/>
  <c r="AD995" i="9"/>
  <c r="AC995" i="9"/>
  <c r="AB995" i="9"/>
  <c r="AA995" i="9"/>
  <c r="Z995" i="9"/>
  <c r="Y995" i="9"/>
  <c r="X995" i="9"/>
  <c r="W995" i="9"/>
  <c r="V995" i="9"/>
  <c r="U995" i="9"/>
  <c r="T995" i="9"/>
  <c r="S995" i="9"/>
  <c r="R995" i="9"/>
  <c r="Q995" i="9"/>
  <c r="P995" i="9"/>
  <c r="O995" i="9"/>
  <c r="N995" i="9"/>
  <c r="M995" i="9"/>
  <c r="L995" i="9"/>
  <c r="K995" i="9"/>
  <c r="J995" i="9"/>
  <c r="I995" i="9"/>
  <c r="H995" i="9"/>
  <c r="G995" i="9"/>
  <c r="F995" i="9"/>
  <c r="E995" i="9"/>
  <c r="D995" i="9"/>
  <c r="AY994" i="9"/>
  <c r="AO994" i="9" s="1"/>
  <c r="AX994" i="9"/>
  <c r="AN994" i="9" s="1"/>
  <c r="AW994" i="9"/>
  <c r="AM994" i="9" s="1"/>
  <c r="AV994" i="9"/>
  <c r="AU994" i="9"/>
  <c r="AK994" i="9" s="1"/>
  <c r="AR994" i="9"/>
  <c r="AS994" i="9" s="1"/>
  <c r="AQ994" i="9"/>
  <c r="AT994" i="9" s="1"/>
  <c r="AJ994" i="9" s="1"/>
  <c r="AL994" i="9"/>
  <c r="AI994" i="9"/>
  <c r="AH994" i="9"/>
  <c r="AG994" i="9"/>
  <c r="AF994" i="9"/>
  <c r="AE994" i="9"/>
  <c r="AD994" i="9"/>
  <c r="AC994" i="9"/>
  <c r="AB994" i="9"/>
  <c r="AA994" i="9"/>
  <c r="Z994" i="9"/>
  <c r="Y994" i="9"/>
  <c r="X994" i="9"/>
  <c r="W994" i="9"/>
  <c r="V994" i="9"/>
  <c r="U994" i="9"/>
  <c r="T994" i="9"/>
  <c r="S994" i="9"/>
  <c r="R994" i="9"/>
  <c r="Q994" i="9"/>
  <c r="P994" i="9"/>
  <c r="O994" i="9"/>
  <c r="N994" i="9"/>
  <c r="M994" i="9"/>
  <c r="L994" i="9"/>
  <c r="K994" i="9"/>
  <c r="J994" i="9"/>
  <c r="I994" i="9"/>
  <c r="H994" i="9"/>
  <c r="G994" i="9"/>
  <c r="F994" i="9"/>
  <c r="E994" i="9"/>
  <c r="D994" i="9"/>
  <c r="AR993" i="9"/>
  <c r="AS993" i="9" s="1"/>
  <c r="AQ993" i="9"/>
  <c r="AG993" i="9"/>
  <c r="AF993" i="9"/>
  <c r="AE993" i="9"/>
  <c r="AD993" i="9"/>
  <c r="AC993" i="9"/>
  <c r="AB993" i="9"/>
  <c r="AA993" i="9"/>
  <c r="Z993" i="9"/>
  <c r="Y993" i="9"/>
  <c r="X993" i="9"/>
  <c r="W993" i="9"/>
  <c r="V993" i="9"/>
  <c r="U993" i="9"/>
  <c r="T993" i="9"/>
  <c r="S993" i="9"/>
  <c r="R993" i="9"/>
  <c r="Q993" i="9"/>
  <c r="P993" i="9"/>
  <c r="O993" i="9"/>
  <c r="N993" i="9"/>
  <c r="M993" i="9"/>
  <c r="L993" i="9"/>
  <c r="K993" i="9"/>
  <c r="J993" i="9"/>
  <c r="I993" i="9"/>
  <c r="H993" i="9"/>
  <c r="G993" i="9"/>
  <c r="F993" i="9"/>
  <c r="E993" i="9"/>
  <c r="D993" i="9"/>
  <c r="AX992" i="9"/>
  <c r="AN992" i="9" s="1"/>
  <c r="AW992" i="9"/>
  <c r="AM992" i="9" s="1"/>
  <c r="AV992" i="9"/>
  <c r="AL992" i="9" s="1"/>
  <c r="AU992" i="9"/>
  <c r="AK992" i="9" s="1"/>
  <c r="AT992" i="9"/>
  <c r="AQ992" i="9"/>
  <c r="AY992" i="9" s="1"/>
  <c r="AO992" i="9" s="1"/>
  <c r="AG992" i="9"/>
  <c r="AF992" i="9"/>
  <c r="AE992" i="9"/>
  <c r="AD992" i="9"/>
  <c r="AC992" i="9"/>
  <c r="AB992" i="9"/>
  <c r="AA992" i="9"/>
  <c r="Z992" i="9"/>
  <c r="Y992" i="9"/>
  <c r="X992" i="9"/>
  <c r="W992" i="9"/>
  <c r="V992" i="9"/>
  <c r="U992" i="9"/>
  <c r="T992" i="9"/>
  <c r="S992" i="9"/>
  <c r="R992" i="9"/>
  <c r="Q992" i="9"/>
  <c r="P992" i="9"/>
  <c r="O992" i="9"/>
  <c r="N992" i="9"/>
  <c r="M992" i="9"/>
  <c r="L992" i="9"/>
  <c r="K992" i="9"/>
  <c r="J992" i="9"/>
  <c r="I992" i="9"/>
  <c r="H992" i="9"/>
  <c r="G992" i="9"/>
  <c r="F992" i="9"/>
  <c r="E992" i="9"/>
  <c r="D992" i="9"/>
  <c r="AY991" i="9"/>
  <c r="AO991" i="9" s="1"/>
  <c r="AX991" i="9"/>
  <c r="AW991" i="9"/>
  <c r="AM991" i="9" s="1"/>
  <c r="AV991" i="9"/>
  <c r="AQ991" i="9"/>
  <c r="AU991" i="9" s="1"/>
  <c r="AK991" i="9" s="1"/>
  <c r="AN991" i="9"/>
  <c r="AL991" i="9"/>
  <c r="AG991" i="9"/>
  <c r="AF991" i="9"/>
  <c r="AE991" i="9"/>
  <c r="AD991" i="9"/>
  <c r="AC991" i="9"/>
  <c r="AB991" i="9"/>
  <c r="AA991" i="9"/>
  <c r="Z991" i="9"/>
  <c r="Y991" i="9"/>
  <c r="X991" i="9"/>
  <c r="W991" i="9"/>
  <c r="V991" i="9"/>
  <c r="U991" i="9"/>
  <c r="T991" i="9"/>
  <c r="S991" i="9"/>
  <c r="R991" i="9"/>
  <c r="Q991" i="9"/>
  <c r="P991" i="9"/>
  <c r="O991" i="9"/>
  <c r="N991" i="9"/>
  <c r="M991" i="9"/>
  <c r="L991" i="9"/>
  <c r="K991" i="9"/>
  <c r="J991" i="9"/>
  <c r="I991" i="9"/>
  <c r="H991" i="9"/>
  <c r="G991" i="9"/>
  <c r="F991" i="9"/>
  <c r="E991" i="9"/>
  <c r="D991" i="9"/>
  <c r="AR990" i="9"/>
  <c r="AS990" i="9" s="1"/>
  <c r="AQ990" i="9"/>
  <c r="AG990" i="9"/>
  <c r="AF990" i="9"/>
  <c r="AE990" i="9"/>
  <c r="AD990" i="9"/>
  <c r="AC990" i="9"/>
  <c r="AB990" i="9"/>
  <c r="AA990" i="9"/>
  <c r="Z990" i="9"/>
  <c r="Y990" i="9"/>
  <c r="X990" i="9"/>
  <c r="W990" i="9"/>
  <c r="V990" i="9"/>
  <c r="U990" i="9"/>
  <c r="T990" i="9"/>
  <c r="S990" i="9"/>
  <c r="R990" i="9"/>
  <c r="Q990" i="9"/>
  <c r="P990" i="9"/>
  <c r="O990" i="9"/>
  <c r="N990" i="9"/>
  <c r="M990" i="9"/>
  <c r="L990" i="9"/>
  <c r="K990" i="9"/>
  <c r="J990" i="9"/>
  <c r="I990" i="9"/>
  <c r="H990" i="9"/>
  <c r="G990" i="9"/>
  <c r="F990" i="9"/>
  <c r="E990" i="9"/>
  <c r="D990" i="9"/>
  <c r="AY989" i="9"/>
  <c r="AO989" i="9" s="1"/>
  <c r="AX989" i="9"/>
  <c r="AN989" i="9" s="1"/>
  <c r="AW989" i="9"/>
  <c r="AM989" i="9" s="1"/>
  <c r="AV989" i="9"/>
  <c r="AL989" i="9" s="1"/>
  <c r="AU989" i="9"/>
  <c r="AK989" i="9" s="1"/>
  <c r="AT989" i="9"/>
  <c r="AR989" i="9"/>
  <c r="AS989" i="9" s="1"/>
  <c r="AQ989" i="9"/>
  <c r="AJ989" i="9"/>
  <c r="AI989" i="9"/>
  <c r="AH989" i="9"/>
  <c r="AG989" i="9"/>
  <c r="AF989" i="9"/>
  <c r="AE989" i="9"/>
  <c r="AD989" i="9"/>
  <c r="AC989" i="9"/>
  <c r="AB989" i="9"/>
  <c r="AA989" i="9"/>
  <c r="Z989" i="9"/>
  <c r="Y989" i="9"/>
  <c r="X989" i="9"/>
  <c r="W989" i="9"/>
  <c r="V989" i="9"/>
  <c r="U989" i="9"/>
  <c r="T989" i="9"/>
  <c r="S989" i="9"/>
  <c r="R989" i="9"/>
  <c r="Q989" i="9"/>
  <c r="P989" i="9"/>
  <c r="O989" i="9"/>
  <c r="N989" i="9"/>
  <c r="M989" i="9"/>
  <c r="L989" i="9"/>
  <c r="K989" i="9"/>
  <c r="J989" i="9"/>
  <c r="I989" i="9"/>
  <c r="H989" i="9"/>
  <c r="G989" i="9"/>
  <c r="F989" i="9"/>
  <c r="E989" i="9"/>
  <c r="D989" i="9"/>
  <c r="AY988" i="9"/>
  <c r="AX988" i="9"/>
  <c r="AN988" i="9" s="1"/>
  <c r="AW988" i="9"/>
  <c r="AV988" i="9"/>
  <c r="AU988" i="9"/>
  <c r="AT988" i="9"/>
  <c r="AR988" i="9"/>
  <c r="AS988" i="9" s="1"/>
  <c r="AQ988" i="9"/>
  <c r="AO988" i="9"/>
  <c r="AM988" i="9"/>
  <c r="AL988" i="9"/>
  <c r="AK988" i="9"/>
  <c r="AJ988" i="9"/>
  <c r="AI988" i="9"/>
  <c r="AH988" i="9"/>
  <c r="AG988" i="9"/>
  <c r="AF988" i="9"/>
  <c r="AE988" i="9"/>
  <c r="AD988" i="9"/>
  <c r="AC988" i="9"/>
  <c r="AB988" i="9"/>
  <c r="AA988" i="9"/>
  <c r="Z988" i="9"/>
  <c r="Y988" i="9"/>
  <c r="X988" i="9"/>
  <c r="W988" i="9"/>
  <c r="V988" i="9"/>
  <c r="U988" i="9"/>
  <c r="T988" i="9"/>
  <c r="S988" i="9"/>
  <c r="R988" i="9"/>
  <c r="Q988" i="9"/>
  <c r="P988" i="9"/>
  <c r="O988" i="9"/>
  <c r="N988" i="9"/>
  <c r="M988" i="9"/>
  <c r="L988" i="9"/>
  <c r="K988" i="9"/>
  <c r="J988" i="9"/>
  <c r="I988" i="9"/>
  <c r="H988" i="9"/>
  <c r="G988" i="9"/>
  <c r="F988" i="9"/>
  <c r="E988" i="9"/>
  <c r="D988" i="9"/>
  <c r="AQ987" i="9"/>
  <c r="AG987" i="9"/>
  <c r="AF987" i="9"/>
  <c r="AE987" i="9"/>
  <c r="AD987" i="9"/>
  <c r="AC987" i="9"/>
  <c r="AB987" i="9"/>
  <c r="AA987" i="9"/>
  <c r="Z987" i="9"/>
  <c r="Y987" i="9"/>
  <c r="X987" i="9"/>
  <c r="W987" i="9"/>
  <c r="V987" i="9"/>
  <c r="U987" i="9"/>
  <c r="T987" i="9"/>
  <c r="S987" i="9"/>
  <c r="R987" i="9"/>
  <c r="Q987" i="9"/>
  <c r="P987" i="9"/>
  <c r="O987" i="9"/>
  <c r="N987" i="9"/>
  <c r="M987" i="9"/>
  <c r="L987" i="9"/>
  <c r="K987" i="9"/>
  <c r="J987" i="9"/>
  <c r="I987" i="9"/>
  <c r="H987" i="9"/>
  <c r="G987" i="9"/>
  <c r="F987" i="9"/>
  <c r="E987" i="9"/>
  <c r="D987" i="9"/>
  <c r="AY986" i="9"/>
  <c r="AO986" i="9" s="1"/>
  <c r="AX986" i="9"/>
  <c r="AN986" i="9" s="1"/>
  <c r="AW986" i="9"/>
  <c r="AM986" i="9" s="1"/>
  <c r="AV986" i="9"/>
  <c r="AL986" i="9" s="1"/>
  <c r="AU986" i="9"/>
  <c r="AT986" i="9"/>
  <c r="AS986" i="9"/>
  <c r="AQ986" i="9"/>
  <c r="AR986" i="9" s="1"/>
  <c r="AK986" i="9"/>
  <c r="AJ986" i="9"/>
  <c r="AI986" i="9"/>
  <c r="AH986" i="9"/>
  <c r="AG986" i="9"/>
  <c r="AF986" i="9"/>
  <c r="AE986" i="9"/>
  <c r="AD986" i="9"/>
  <c r="AC986" i="9"/>
  <c r="AB986" i="9"/>
  <c r="AA986" i="9"/>
  <c r="Z986" i="9"/>
  <c r="Y986" i="9"/>
  <c r="X986" i="9"/>
  <c r="W986" i="9"/>
  <c r="V986" i="9"/>
  <c r="U986" i="9"/>
  <c r="T986" i="9"/>
  <c r="S986" i="9"/>
  <c r="R986" i="9"/>
  <c r="Q986" i="9"/>
  <c r="P986" i="9"/>
  <c r="O986" i="9"/>
  <c r="N986" i="9"/>
  <c r="M986" i="9"/>
  <c r="L986" i="9"/>
  <c r="K986" i="9"/>
  <c r="J986" i="9"/>
  <c r="I986" i="9"/>
  <c r="H986" i="9"/>
  <c r="G986" i="9"/>
  <c r="F986" i="9"/>
  <c r="E986" i="9"/>
  <c r="D986" i="9"/>
  <c r="AY985" i="9"/>
  <c r="AO985" i="9" s="1"/>
  <c r="AQ985" i="9"/>
  <c r="AG985" i="9"/>
  <c r="AF985" i="9"/>
  <c r="AE985" i="9"/>
  <c r="AD985" i="9"/>
  <c r="AC985" i="9"/>
  <c r="AB985" i="9"/>
  <c r="AA985" i="9"/>
  <c r="Z985" i="9"/>
  <c r="Y985" i="9"/>
  <c r="X985" i="9"/>
  <c r="W985" i="9"/>
  <c r="V985" i="9"/>
  <c r="U985" i="9"/>
  <c r="T985" i="9"/>
  <c r="S985" i="9"/>
  <c r="R985" i="9"/>
  <c r="Q985" i="9"/>
  <c r="P985" i="9"/>
  <c r="O985" i="9"/>
  <c r="N985" i="9"/>
  <c r="M985" i="9"/>
  <c r="L985" i="9"/>
  <c r="K985" i="9"/>
  <c r="J985" i="9"/>
  <c r="I985" i="9"/>
  <c r="H985" i="9"/>
  <c r="G985" i="9"/>
  <c r="F985" i="9"/>
  <c r="E985" i="9"/>
  <c r="D985" i="9"/>
  <c r="AV984" i="9"/>
  <c r="AL984" i="9" s="1"/>
  <c r="AT984" i="9"/>
  <c r="AR984" i="9"/>
  <c r="AS984" i="9" s="1"/>
  <c r="AQ984" i="9"/>
  <c r="AU984" i="9" s="1"/>
  <c r="AK984" i="9" s="1"/>
  <c r="AG984" i="9"/>
  <c r="AF984" i="9"/>
  <c r="AE984" i="9"/>
  <c r="AD984" i="9"/>
  <c r="AC984" i="9"/>
  <c r="AB984" i="9"/>
  <c r="AA984" i="9"/>
  <c r="Z984" i="9"/>
  <c r="Y984" i="9"/>
  <c r="X984" i="9"/>
  <c r="W984" i="9"/>
  <c r="V984" i="9"/>
  <c r="U984" i="9"/>
  <c r="T984" i="9"/>
  <c r="S984" i="9"/>
  <c r="R984" i="9"/>
  <c r="Q984" i="9"/>
  <c r="P984" i="9"/>
  <c r="O984" i="9"/>
  <c r="N984" i="9"/>
  <c r="M984" i="9"/>
  <c r="L984" i="9"/>
  <c r="K984" i="9"/>
  <c r="J984" i="9"/>
  <c r="I984" i="9"/>
  <c r="H984" i="9"/>
  <c r="G984" i="9"/>
  <c r="F984" i="9"/>
  <c r="E984" i="9"/>
  <c r="D984" i="9"/>
  <c r="AQ983" i="9"/>
  <c r="AG983" i="9"/>
  <c r="AF983" i="9"/>
  <c r="AE983" i="9"/>
  <c r="AD983" i="9"/>
  <c r="AC983" i="9"/>
  <c r="AB983" i="9"/>
  <c r="AA983" i="9"/>
  <c r="Z983" i="9"/>
  <c r="Y983" i="9"/>
  <c r="X983" i="9"/>
  <c r="W983" i="9"/>
  <c r="V983" i="9"/>
  <c r="U983" i="9"/>
  <c r="T983" i="9"/>
  <c r="S983" i="9"/>
  <c r="R983" i="9"/>
  <c r="Q983" i="9"/>
  <c r="P983" i="9"/>
  <c r="O983" i="9"/>
  <c r="N983" i="9"/>
  <c r="M983" i="9"/>
  <c r="L983" i="9"/>
  <c r="K983" i="9"/>
  <c r="J983" i="9"/>
  <c r="I983" i="9"/>
  <c r="H983" i="9"/>
  <c r="G983" i="9"/>
  <c r="F983" i="9"/>
  <c r="E983" i="9"/>
  <c r="D983" i="9"/>
  <c r="AY982" i="9"/>
  <c r="AR982" i="9"/>
  <c r="AS982" i="9" s="1"/>
  <c r="AQ982" i="9"/>
  <c r="AO982" i="9"/>
  <c r="AG982" i="9"/>
  <c r="AF982" i="9"/>
  <c r="AE982" i="9"/>
  <c r="AD982" i="9"/>
  <c r="AC982" i="9"/>
  <c r="AB982" i="9"/>
  <c r="AA982" i="9"/>
  <c r="Z982" i="9"/>
  <c r="Y982" i="9"/>
  <c r="X982" i="9"/>
  <c r="W982" i="9"/>
  <c r="V982" i="9"/>
  <c r="U982" i="9"/>
  <c r="T982" i="9"/>
  <c r="S982" i="9"/>
  <c r="R982" i="9"/>
  <c r="Q982" i="9"/>
  <c r="P982" i="9"/>
  <c r="O982" i="9"/>
  <c r="N982" i="9"/>
  <c r="M982" i="9"/>
  <c r="L982" i="9"/>
  <c r="K982" i="9"/>
  <c r="J982" i="9"/>
  <c r="I982" i="9"/>
  <c r="H982" i="9"/>
  <c r="G982" i="9"/>
  <c r="F982" i="9"/>
  <c r="E982" i="9"/>
  <c r="D982" i="9"/>
  <c r="AQ981" i="9"/>
  <c r="AG981" i="9"/>
  <c r="AF981" i="9"/>
  <c r="AE981" i="9"/>
  <c r="AD981" i="9"/>
  <c r="AC981" i="9"/>
  <c r="AB981" i="9"/>
  <c r="AA981" i="9"/>
  <c r="Z981" i="9"/>
  <c r="Y981" i="9"/>
  <c r="X981" i="9"/>
  <c r="W981" i="9"/>
  <c r="V981" i="9"/>
  <c r="U981" i="9"/>
  <c r="T981" i="9"/>
  <c r="S981" i="9"/>
  <c r="R981" i="9"/>
  <c r="Q981" i="9"/>
  <c r="P981" i="9"/>
  <c r="O981" i="9"/>
  <c r="N981" i="9"/>
  <c r="M981" i="9"/>
  <c r="L981" i="9"/>
  <c r="K981" i="9"/>
  <c r="J981" i="9"/>
  <c r="I981" i="9"/>
  <c r="H981" i="9"/>
  <c r="G981" i="9"/>
  <c r="F981" i="9"/>
  <c r="E981" i="9"/>
  <c r="D981" i="9"/>
  <c r="AY980" i="9"/>
  <c r="AO980" i="9" s="1"/>
  <c r="AX980" i="9"/>
  <c r="AN980" i="9" s="1"/>
  <c r="AW980" i="9"/>
  <c r="AM980" i="9" s="1"/>
  <c r="AV980" i="9"/>
  <c r="AL980" i="9" s="1"/>
  <c r="AU980" i="9"/>
  <c r="AR980" i="9"/>
  <c r="AS980" i="9" s="1"/>
  <c r="AQ980" i="9"/>
  <c r="AT980" i="9" s="1"/>
  <c r="AI980" i="9" s="1"/>
  <c r="AK980" i="9"/>
  <c r="AG980" i="9"/>
  <c r="AF980" i="9"/>
  <c r="AE980" i="9"/>
  <c r="AD980" i="9"/>
  <c r="AC980" i="9"/>
  <c r="AB980" i="9"/>
  <c r="AA980" i="9"/>
  <c r="Z980" i="9"/>
  <c r="Y980" i="9"/>
  <c r="X980" i="9"/>
  <c r="W980" i="9"/>
  <c r="V980" i="9"/>
  <c r="U980" i="9"/>
  <c r="T980" i="9"/>
  <c r="S980" i="9"/>
  <c r="R980" i="9"/>
  <c r="Q980" i="9"/>
  <c r="P980" i="9"/>
  <c r="O980" i="9"/>
  <c r="N980" i="9"/>
  <c r="M980" i="9"/>
  <c r="L980" i="9"/>
  <c r="K980" i="9"/>
  <c r="J980" i="9"/>
  <c r="I980" i="9"/>
  <c r="H980" i="9"/>
  <c r="G980" i="9"/>
  <c r="F980" i="9"/>
  <c r="E980" i="9"/>
  <c r="D980" i="9"/>
  <c r="AR979" i="9"/>
  <c r="AS979" i="9" s="1"/>
  <c r="AQ979" i="9"/>
  <c r="AG979" i="9"/>
  <c r="AF979" i="9"/>
  <c r="AE979" i="9"/>
  <c r="AD979" i="9"/>
  <c r="AC979" i="9"/>
  <c r="AB979" i="9"/>
  <c r="AA979" i="9"/>
  <c r="Z979" i="9"/>
  <c r="Y979" i="9"/>
  <c r="X979" i="9"/>
  <c r="W979" i="9"/>
  <c r="V979" i="9"/>
  <c r="U979" i="9"/>
  <c r="T979" i="9"/>
  <c r="S979" i="9"/>
  <c r="R979" i="9"/>
  <c r="Q979" i="9"/>
  <c r="P979" i="9"/>
  <c r="O979" i="9"/>
  <c r="N979" i="9"/>
  <c r="M979" i="9"/>
  <c r="L979" i="9"/>
  <c r="K979" i="9"/>
  <c r="J979" i="9"/>
  <c r="I979" i="9"/>
  <c r="H979" i="9"/>
  <c r="G979" i="9"/>
  <c r="F979" i="9"/>
  <c r="E979" i="9"/>
  <c r="D979" i="9"/>
  <c r="AQ978" i="9"/>
  <c r="AG978" i="9"/>
  <c r="AF978" i="9"/>
  <c r="AE978" i="9"/>
  <c r="AD978" i="9"/>
  <c r="AC978" i="9"/>
  <c r="AB978" i="9"/>
  <c r="AA978" i="9"/>
  <c r="Z978" i="9"/>
  <c r="Y978" i="9"/>
  <c r="X978" i="9"/>
  <c r="W978" i="9"/>
  <c r="V978" i="9"/>
  <c r="U978" i="9"/>
  <c r="T978" i="9"/>
  <c r="S978" i="9"/>
  <c r="R978" i="9"/>
  <c r="Q978" i="9"/>
  <c r="P978" i="9"/>
  <c r="O978" i="9"/>
  <c r="N978" i="9"/>
  <c r="M978" i="9"/>
  <c r="L978" i="9"/>
  <c r="K978" i="9"/>
  <c r="J978" i="9"/>
  <c r="I978" i="9"/>
  <c r="H978" i="9"/>
  <c r="G978" i="9"/>
  <c r="F978" i="9"/>
  <c r="E978" i="9"/>
  <c r="D978" i="9"/>
  <c r="AY977" i="9"/>
  <c r="AO977" i="9" s="1"/>
  <c r="AX977" i="9"/>
  <c r="AN977" i="9" s="1"/>
  <c r="AW977" i="9"/>
  <c r="AM977" i="9" s="1"/>
  <c r="AV977" i="9"/>
  <c r="AQ977" i="9"/>
  <c r="AU977" i="9" s="1"/>
  <c r="AK977" i="9" s="1"/>
  <c r="AL977" i="9"/>
  <c r="AG977" i="9"/>
  <c r="AF977" i="9"/>
  <c r="AE977" i="9"/>
  <c r="AD977" i="9"/>
  <c r="AC977" i="9"/>
  <c r="AB977" i="9"/>
  <c r="AA977" i="9"/>
  <c r="Z977" i="9"/>
  <c r="Y977" i="9"/>
  <c r="X977" i="9"/>
  <c r="W977" i="9"/>
  <c r="V977" i="9"/>
  <c r="U977" i="9"/>
  <c r="T977" i="9"/>
  <c r="S977" i="9"/>
  <c r="R977" i="9"/>
  <c r="Q977" i="9"/>
  <c r="P977" i="9"/>
  <c r="O977" i="9"/>
  <c r="N977" i="9"/>
  <c r="M977" i="9"/>
  <c r="L977" i="9"/>
  <c r="K977" i="9"/>
  <c r="J977" i="9"/>
  <c r="I977" i="9"/>
  <c r="H977" i="9"/>
  <c r="G977" i="9"/>
  <c r="F977" i="9"/>
  <c r="E977" i="9"/>
  <c r="D977" i="9"/>
  <c r="AQ976" i="9"/>
  <c r="AG976" i="9"/>
  <c r="AF976" i="9"/>
  <c r="AE976" i="9"/>
  <c r="AD976" i="9"/>
  <c r="AC976" i="9"/>
  <c r="AB976" i="9"/>
  <c r="AA976" i="9"/>
  <c r="Z976" i="9"/>
  <c r="Y976" i="9"/>
  <c r="X976" i="9"/>
  <c r="W976" i="9"/>
  <c r="V976" i="9"/>
  <c r="U976" i="9"/>
  <c r="T976" i="9"/>
  <c r="S976" i="9"/>
  <c r="R976" i="9"/>
  <c r="Q976" i="9"/>
  <c r="P976" i="9"/>
  <c r="O976" i="9"/>
  <c r="N976" i="9"/>
  <c r="M976" i="9"/>
  <c r="L976" i="9"/>
  <c r="K976" i="9"/>
  <c r="J976" i="9"/>
  <c r="I976" i="9"/>
  <c r="H976" i="9"/>
  <c r="G976" i="9"/>
  <c r="F976" i="9"/>
  <c r="E976" i="9"/>
  <c r="D976" i="9"/>
  <c r="AY975" i="9"/>
  <c r="AO975" i="9" s="1"/>
  <c r="AX975" i="9"/>
  <c r="AW975" i="9"/>
  <c r="AM975" i="9" s="1"/>
  <c r="AV975" i="9"/>
  <c r="AL975" i="9" s="1"/>
  <c r="AU975" i="9"/>
  <c r="AK975" i="9" s="1"/>
  <c r="AT975" i="9"/>
  <c r="AS975" i="9"/>
  <c r="AR975" i="9"/>
  <c r="AQ975" i="9"/>
  <c r="AN975" i="9"/>
  <c r="AJ975" i="9"/>
  <c r="AI975" i="9"/>
  <c r="AH975" i="9"/>
  <c r="AG975" i="9"/>
  <c r="AF975" i="9"/>
  <c r="AE975" i="9"/>
  <c r="AD975" i="9"/>
  <c r="AC975" i="9"/>
  <c r="AB975" i="9"/>
  <c r="AA975" i="9"/>
  <c r="Z975" i="9"/>
  <c r="Y975" i="9"/>
  <c r="X975" i="9"/>
  <c r="W975" i="9"/>
  <c r="V975" i="9"/>
  <c r="U975" i="9"/>
  <c r="T975" i="9"/>
  <c r="S975" i="9"/>
  <c r="R975" i="9"/>
  <c r="Q975" i="9"/>
  <c r="P975" i="9"/>
  <c r="O975" i="9"/>
  <c r="N975" i="9"/>
  <c r="M975" i="9"/>
  <c r="L975" i="9"/>
  <c r="K975" i="9"/>
  <c r="J975" i="9"/>
  <c r="I975" i="9"/>
  <c r="H975" i="9"/>
  <c r="G975" i="9"/>
  <c r="F975" i="9"/>
  <c r="E975" i="9"/>
  <c r="D975" i="9"/>
  <c r="AY974" i="9"/>
  <c r="AX974" i="9"/>
  <c r="AN974" i="9" s="1"/>
  <c r="AW974" i="9"/>
  <c r="AV974" i="9"/>
  <c r="AU974" i="9"/>
  <c r="AT974" i="9"/>
  <c r="AR974" i="9"/>
  <c r="AS974" i="9" s="1"/>
  <c r="AQ974" i="9"/>
  <c r="AO974" i="9"/>
  <c r="AM974" i="9"/>
  <c r="AL974" i="9"/>
  <c r="AK974" i="9"/>
  <c r="AJ974" i="9"/>
  <c r="AG974" i="9"/>
  <c r="AF974" i="9"/>
  <c r="AE974" i="9"/>
  <c r="AD974" i="9"/>
  <c r="AC974" i="9"/>
  <c r="AB974" i="9"/>
  <c r="AA974" i="9"/>
  <c r="Z974" i="9"/>
  <c r="Y974" i="9"/>
  <c r="X974" i="9"/>
  <c r="W974" i="9"/>
  <c r="V974" i="9"/>
  <c r="U974" i="9"/>
  <c r="T974" i="9"/>
  <c r="S974" i="9"/>
  <c r="R974" i="9"/>
  <c r="Q974" i="9"/>
  <c r="P974" i="9"/>
  <c r="O974" i="9"/>
  <c r="N974" i="9"/>
  <c r="M974" i="9"/>
  <c r="L974" i="9"/>
  <c r="K974" i="9"/>
  <c r="J974" i="9"/>
  <c r="I974" i="9"/>
  <c r="H974" i="9"/>
  <c r="G974" i="9"/>
  <c r="F974" i="9"/>
  <c r="E974" i="9"/>
  <c r="D974" i="9"/>
  <c r="AU973" i="9"/>
  <c r="AK973" i="9" s="1"/>
  <c r="AR973" i="9"/>
  <c r="AS973" i="9" s="1"/>
  <c r="AQ973" i="9"/>
  <c r="AG973" i="9"/>
  <c r="AF973" i="9"/>
  <c r="AE973" i="9"/>
  <c r="AD973" i="9"/>
  <c r="AC973" i="9"/>
  <c r="AB973" i="9"/>
  <c r="AA973" i="9"/>
  <c r="Z973" i="9"/>
  <c r="Y973" i="9"/>
  <c r="X973" i="9"/>
  <c r="W973" i="9"/>
  <c r="V973" i="9"/>
  <c r="U973" i="9"/>
  <c r="T973" i="9"/>
  <c r="S973" i="9"/>
  <c r="R973" i="9"/>
  <c r="Q973" i="9"/>
  <c r="P973" i="9"/>
  <c r="O973" i="9"/>
  <c r="N973" i="9"/>
  <c r="M973" i="9"/>
  <c r="L973" i="9"/>
  <c r="K973" i="9"/>
  <c r="J973" i="9"/>
  <c r="I973" i="9"/>
  <c r="H973" i="9"/>
  <c r="G973" i="9"/>
  <c r="F973" i="9"/>
  <c r="E973" i="9"/>
  <c r="D973" i="9"/>
  <c r="AY972" i="9"/>
  <c r="AX972" i="9"/>
  <c r="AN972" i="9" s="1"/>
  <c r="AW972" i="9"/>
  <c r="AM972" i="9" s="1"/>
  <c r="AV972" i="9"/>
  <c r="AL972" i="9" s="1"/>
  <c r="AU972" i="9"/>
  <c r="AT972" i="9"/>
  <c r="AH972" i="9" s="1"/>
  <c r="AS972" i="9"/>
  <c r="AQ972" i="9"/>
  <c r="AR972" i="9" s="1"/>
  <c r="AO972" i="9"/>
  <c r="AK972" i="9"/>
  <c r="AJ972" i="9"/>
  <c r="AI972" i="9"/>
  <c r="AG972" i="9"/>
  <c r="AF972" i="9"/>
  <c r="AE972" i="9"/>
  <c r="AD972" i="9"/>
  <c r="AC972" i="9"/>
  <c r="AB972" i="9"/>
  <c r="AA972" i="9"/>
  <c r="Z972" i="9"/>
  <c r="Y972" i="9"/>
  <c r="X972" i="9"/>
  <c r="W972" i="9"/>
  <c r="V972" i="9"/>
  <c r="U972" i="9"/>
  <c r="T972" i="9"/>
  <c r="S972" i="9"/>
  <c r="R972" i="9"/>
  <c r="Q972" i="9"/>
  <c r="P972" i="9"/>
  <c r="O972" i="9"/>
  <c r="N972" i="9"/>
  <c r="M972" i="9"/>
  <c r="L972" i="9"/>
  <c r="K972" i="9"/>
  <c r="J972" i="9"/>
  <c r="I972" i="9"/>
  <c r="H972" i="9"/>
  <c r="G972" i="9"/>
  <c r="F972" i="9"/>
  <c r="E972" i="9"/>
  <c r="D972" i="9"/>
  <c r="AU971" i="9"/>
  <c r="AK971" i="9" s="1"/>
  <c r="AQ971" i="9"/>
  <c r="AG971" i="9"/>
  <c r="AF971" i="9"/>
  <c r="AE971" i="9"/>
  <c r="AD971" i="9"/>
  <c r="AC971" i="9"/>
  <c r="AB971" i="9"/>
  <c r="AA971" i="9"/>
  <c r="Z971" i="9"/>
  <c r="Y971" i="9"/>
  <c r="X971" i="9"/>
  <c r="W971" i="9"/>
  <c r="V971" i="9"/>
  <c r="U971" i="9"/>
  <c r="T971" i="9"/>
  <c r="S971" i="9"/>
  <c r="R971" i="9"/>
  <c r="Q971" i="9"/>
  <c r="P971" i="9"/>
  <c r="O971" i="9"/>
  <c r="N971" i="9"/>
  <c r="M971" i="9"/>
  <c r="L971" i="9"/>
  <c r="K971" i="9"/>
  <c r="J971" i="9"/>
  <c r="I971" i="9"/>
  <c r="H971" i="9"/>
  <c r="G971" i="9"/>
  <c r="F971" i="9"/>
  <c r="E971" i="9"/>
  <c r="D971" i="9"/>
  <c r="AV970" i="9"/>
  <c r="AL970" i="9" s="1"/>
  <c r="AT970" i="9"/>
  <c r="AS970" i="9"/>
  <c r="AR970" i="9"/>
  <c r="AQ970" i="9"/>
  <c r="AG970" i="9"/>
  <c r="AF970" i="9"/>
  <c r="AE970" i="9"/>
  <c r="AD970" i="9"/>
  <c r="AC970" i="9"/>
  <c r="AB970" i="9"/>
  <c r="AA970" i="9"/>
  <c r="Z970" i="9"/>
  <c r="Y970" i="9"/>
  <c r="X970" i="9"/>
  <c r="W970" i="9"/>
  <c r="V970" i="9"/>
  <c r="U970" i="9"/>
  <c r="T970" i="9"/>
  <c r="S970" i="9"/>
  <c r="R970" i="9"/>
  <c r="Q970" i="9"/>
  <c r="P970" i="9"/>
  <c r="O970" i="9"/>
  <c r="N970" i="9"/>
  <c r="M970" i="9"/>
  <c r="L970" i="9"/>
  <c r="K970" i="9"/>
  <c r="J970" i="9"/>
  <c r="I970" i="9"/>
  <c r="H970" i="9"/>
  <c r="G970" i="9"/>
  <c r="F970" i="9"/>
  <c r="E970" i="9"/>
  <c r="D970" i="9"/>
  <c r="AY969" i="9"/>
  <c r="AO969" i="9" s="1"/>
  <c r="AQ969" i="9"/>
  <c r="AG969" i="9"/>
  <c r="AF969" i="9"/>
  <c r="AE969" i="9"/>
  <c r="AD969" i="9"/>
  <c r="AC969" i="9"/>
  <c r="AB969" i="9"/>
  <c r="AA969" i="9"/>
  <c r="Z969" i="9"/>
  <c r="Y969" i="9"/>
  <c r="X969" i="9"/>
  <c r="W969" i="9"/>
  <c r="V969" i="9"/>
  <c r="U969" i="9"/>
  <c r="T969" i="9"/>
  <c r="S969" i="9"/>
  <c r="R969" i="9"/>
  <c r="Q969" i="9"/>
  <c r="P969" i="9"/>
  <c r="O969" i="9"/>
  <c r="N969" i="9"/>
  <c r="M969" i="9"/>
  <c r="L969" i="9"/>
  <c r="K969" i="9"/>
  <c r="J969" i="9"/>
  <c r="I969" i="9"/>
  <c r="H969" i="9"/>
  <c r="G969" i="9"/>
  <c r="F969" i="9"/>
  <c r="E969" i="9"/>
  <c r="D969" i="9"/>
  <c r="AY968" i="9"/>
  <c r="AO968" i="9" s="1"/>
  <c r="AR968" i="9"/>
  <c r="AS968" i="9" s="1"/>
  <c r="AQ968" i="9"/>
  <c r="AG968" i="9"/>
  <c r="AF968" i="9"/>
  <c r="AE968" i="9"/>
  <c r="AD968" i="9"/>
  <c r="AC968" i="9"/>
  <c r="AB968" i="9"/>
  <c r="AA968" i="9"/>
  <c r="Z968" i="9"/>
  <c r="Y968" i="9"/>
  <c r="X968" i="9"/>
  <c r="W968" i="9"/>
  <c r="V968" i="9"/>
  <c r="U968" i="9"/>
  <c r="T968" i="9"/>
  <c r="S968" i="9"/>
  <c r="R968" i="9"/>
  <c r="Q968" i="9"/>
  <c r="P968" i="9"/>
  <c r="O968" i="9"/>
  <c r="N968" i="9"/>
  <c r="M968" i="9"/>
  <c r="L968" i="9"/>
  <c r="K968" i="9"/>
  <c r="J968" i="9"/>
  <c r="I968" i="9"/>
  <c r="H968" i="9"/>
  <c r="G968" i="9"/>
  <c r="F968" i="9"/>
  <c r="E968" i="9"/>
  <c r="D968" i="9"/>
  <c r="AW967" i="9"/>
  <c r="AM967" i="9" s="1"/>
  <c r="AV967" i="9"/>
  <c r="AU967" i="9"/>
  <c r="AK967" i="9" s="1"/>
  <c r="AS967" i="9"/>
  <c r="AR967" i="9"/>
  <c r="AQ967" i="9"/>
  <c r="AL967" i="9"/>
  <c r="AG967" i="9"/>
  <c r="AF967" i="9"/>
  <c r="AE967" i="9"/>
  <c r="AD967" i="9"/>
  <c r="AC967" i="9"/>
  <c r="AB967" i="9"/>
  <c r="AA967" i="9"/>
  <c r="Z967" i="9"/>
  <c r="Y967" i="9"/>
  <c r="X967" i="9"/>
  <c r="W967" i="9"/>
  <c r="V967" i="9"/>
  <c r="U967" i="9"/>
  <c r="T967" i="9"/>
  <c r="S967" i="9"/>
  <c r="R967" i="9"/>
  <c r="Q967" i="9"/>
  <c r="P967" i="9"/>
  <c r="O967" i="9"/>
  <c r="N967" i="9"/>
  <c r="M967" i="9"/>
  <c r="L967" i="9"/>
  <c r="K967" i="9"/>
  <c r="J967" i="9"/>
  <c r="I967" i="9"/>
  <c r="H967" i="9"/>
  <c r="G967" i="9"/>
  <c r="F967" i="9"/>
  <c r="E967" i="9"/>
  <c r="D967" i="9"/>
  <c r="AY966" i="9"/>
  <c r="AO966" i="9" s="1"/>
  <c r="AX966" i="9"/>
  <c r="AN966" i="9" s="1"/>
  <c r="AW966" i="9"/>
  <c r="AM966" i="9" s="1"/>
  <c r="AV966" i="9"/>
  <c r="AL966" i="9" s="1"/>
  <c r="AU966" i="9"/>
  <c r="AK966" i="9" s="1"/>
  <c r="AR966" i="9"/>
  <c r="AS966" i="9" s="1"/>
  <c r="AQ966" i="9"/>
  <c r="AT966" i="9" s="1"/>
  <c r="AI966" i="9" s="1"/>
  <c r="AJ966" i="9"/>
  <c r="AG966" i="9"/>
  <c r="AF966" i="9"/>
  <c r="AE966" i="9"/>
  <c r="AD966" i="9"/>
  <c r="AC966" i="9"/>
  <c r="AB966" i="9"/>
  <c r="AA966" i="9"/>
  <c r="Z966" i="9"/>
  <c r="Y966" i="9"/>
  <c r="X966" i="9"/>
  <c r="W966" i="9"/>
  <c r="V966" i="9"/>
  <c r="U966" i="9"/>
  <c r="T966" i="9"/>
  <c r="S966" i="9"/>
  <c r="R966" i="9"/>
  <c r="Q966" i="9"/>
  <c r="P966" i="9"/>
  <c r="O966" i="9"/>
  <c r="N966" i="9"/>
  <c r="M966" i="9"/>
  <c r="L966" i="9"/>
  <c r="K966" i="9"/>
  <c r="J966" i="9"/>
  <c r="I966" i="9"/>
  <c r="H966" i="9"/>
  <c r="G966" i="9"/>
  <c r="F966" i="9"/>
  <c r="E966" i="9"/>
  <c r="D966" i="9"/>
  <c r="AQ965" i="9"/>
  <c r="AG965" i="9"/>
  <c r="AF965" i="9"/>
  <c r="AE965" i="9"/>
  <c r="AD965" i="9"/>
  <c r="AC965" i="9"/>
  <c r="AB965" i="9"/>
  <c r="AA965" i="9"/>
  <c r="Z965" i="9"/>
  <c r="Y965" i="9"/>
  <c r="X965" i="9"/>
  <c r="W965" i="9"/>
  <c r="V965" i="9"/>
  <c r="U965" i="9"/>
  <c r="T965" i="9"/>
  <c r="S965" i="9"/>
  <c r="R965" i="9"/>
  <c r="Q965" i="9"/>
  <c r="P965" i="9"/>
  <c r="O965" i="9"/>
  <c r="N965" i="9"/>
  <c r="M965" i="9"/>
  <c r="L965" i="9"/>
  <c r="K965" i="9"/>
  <c r="J965" i="9"/>
  <c r="I965" i="9"/>
  <c r="H965" i="9"/>
  <c r="G965" i="9"/>
  <c r="F965" i="9"/>
  <c r="E965" i="9"/>
  <c r="D965" i="9"/>
  <c r="AX964" i="9"/>
  <c r="AN964" i="9" s="1"/>
  <c r="AV964" i="9"/>
  <c r="AL964" i="9" s="1"/>
  <c r="AU964" i="9"/>
  <c r="AK964" i="9" s="1"/>
  <c r="AQ964" i="9"/>
  <c r="AY964" i="9" s="1"/>
  <c r="AO964" i="9" s="1"/>
  <c r="AG964" i="9"/>
  <c r="AF964" i="9"/>
  <c r="AE964" i="9"/>
  <c r="AD964" i="9"/>
  <c r="AC964" i="9"/>
  <c r="AB964" i="9"/>
  <c r="AA964" i="9"/>
  <c r="Z964" i="9"/>
  <c r="Y964" i="9"/>
  <c r="X964" i="9"/>
  <c r="W964" i="9"/>
  <c r="V964" i="9"/>
  <c r="U964" i="9"/>
  <c r="T964" i="9"/>
  <c r="S964" i="9"/>
  <c r="R964" i="9"/>
  <c r="Q964" i="9"/>
  <c r="P964" i="9"/>
  <c r="O964" i="9"/>
  <c r="N964" i="9"/>
  <c r="M964" i="9"/>
  <c r="L964" i="9"/>
  <c r="K964" i="9"/>
  <c r="J964" i="9"/>
  <c r="I964" i="9"/>
  <c r="H964" i="9"/>
  <c r="G964" i="9"/>
  <c r="F964" i="9"/>
  <c r="E964" i="9"/>
  <c r="D964" i="9"/>
  <c r="AY963" i="9"/>
  <c r="AO963" i="9" s="1"/>
  <c r="AX963" i="9"/>
  <c r="AW963" i="9"/>
  <c r="AM963" i="9" s="1"/>
  <c r="AV963" i="9"/>
  <c r="AL963" i="9" s="1"/>
  <c r="AQ963" i="9"/>
  <c r="AU963" i="9" s="1"/>
  <c r="AN963" i="9"/>
  <c r="AK963" i="9"/>
  <c r="AG963" i="9"/>
  <c r="AF963" i="9"/>
  <c r="AE963" i="9"/>
  <c r="AD963" i="9"/>
  <c r="AC963" i="9"/>
  <c r="AB963" i="9"/>
  <c r="AA963" i="9"/>
  <c r="Z963" i="9"/>
  <c r="Y963" i="9"/>
  <c r="X963" i="9"/>
  <c r="W963" i="9"/>
  <c r="V963" i="9"/>
  <c r="U963" i="9"/>
  <c r="T963" i="9"/>
  <c r="S963" i="9"/>
  <c r="R963" i="9"/>
  <c r="Q963" i="9"/>
  <c r="P963" i="9"/>
  <c r="O963" i="9"/>
  <c r="N963" i="9"/>
  <c r="M963" i="9"/>
  <c r="L963" i="9"/>
  <c r="K963" i="9"/>
  <c r="J963" i="9"/>
  <c r="I963" i="9"/>
  <c r="H963" i="9"/>
  <c r="G963" i="9"/>
  <c r="F963" i="9"/>
  <c r="E963" i="9"/>
  <c r="D963" i="9"/>
  <c r="AX962" i="9"/>
  <c r="AN962" i="9" s="1"/>
  <c r="AT962" i="9"/>
  <c r="AR962" i="9"/>
  <c r="AS962" i="9" s="1"/>
  <c r="AQ962" i="9"/>
  <c r="AG962" i="9"/>
  <c r="AF962" i="9"/>
  <c r="AE962" i="9"/>
  <c r="AD962" i="9"/>
  <c r="AC962" i="9"/>
  <c r="AB962" i="9"/>
  <c r="AA962" i="9"/>
  <c r="Z962" i="9"/>
  <c r="Y962" i="9"/>
  <c r="X962" i="9"/>
  <c r="W962" i="9"/>
  <c r="V962" i="9"/>
  <c r="U962" i="9"/>
  <c r="T962" i="9"/>
  <c r="S962" i="9"/>
  <c r="R962" i="9"/>
  <c r="Q962" i="9"/>
  <c r="P962" i="9"/>
  <c r="O962" i="9"/>
  <c r="N962" i="9"/>
  <c r="M962" i="9"/>
  <c r="L962" i="9"/>
  <c r="K962" i="9"/>
  <c r="J962" i="9"/>
  <c r="I962" i="9"/>
  <c r="H962" i="9"/>
  <c r="G962" i="9"/>
  <c r="F962" i="9"/>
  <c r="E962" i="9"/>
  <c r="D962" i="9"/>
  <c r="AY961" i="9"/>
  <c r="AO961" i="9" s="1"/>
  <c r="AX961" i="9"/>
  <c r="AW961" i="9"/>
  <c r="AM961" i="9" s="1"/>
  <c r="AV961" i="9"/>
  <c r="AL961" i="9" s="1"/>
  <c r="AU961" i="9"/>
  <c r="AK961" i="9" s="1"/>
  <c r="AT961" i="9"/>
  <c r="AR961" i="9"/>
  <c r="AS961" i="9" s="1"/>
  <c r="AQ961" i="9"/>
  <c r="AN961" i="9"/>
  <c r="AG961" i="9"/>
  <c r="AF961" i="9"/>
  <c r="AE961" i="9"/>
  <c r="AD961" i="9"/>
  <c r="AC961" i="9"/>
  <c r="AB961" i="9"/>
  <c r="AA961" i="9"/>
  <c r="Z961" i="9"/>
  <c r="Y961" i="9"/>
  <c r="X961" i="9"/>
  <c r="W961" i="9"/>
  <c r="V961" i="9"/>
  <c r="U961" i="9"/>
  <c r="T961" i="9"/>
  <c r="S961" i="9"/>
  <c r="R961" i="9"/>
  <c r="Q961" i="9"/>
  <c r="P961" i="9"/>
  <c r="O961" i="9"/>
  <c r="N961" i="9"/>
  <c r="M961" i="9"/>
  <c r="L961" i="9"/>
  <c r="K961" i="9"/>
  <c r="J961" i="9"/>
  <c r="I961" i="9"/>
  <c r="H961" i="9"/>
  <c r="G961" i="9"/>
  <c r="F961" i="9"/>
  <c r="E961" i="9"/>
  <c r="D961" i="9"/>
  <c r="AY960" i="9"/>
  <c r="AO960" i="9" s="1"/>
  <c r="AX960" i="9"/>
  <c r="AN960" i="9" s="1"/>
  <c r="AW960" i="9"/>
  <c r="AU960" i="9"/>
  <c r="AT960" i="9"/>
  <c r="AR960" i="9"/>
  <c r="AS960" i="9" s="1"/>
  <c r="AQ960" i="9"/>
  <c r="AV960" i="9" s="1"/>
  <c r="AL960" i="9" s="1"/>
  <c r="AM960" i="9"/>
  <c r="AK960" i="9"/>
  <c r="AJ960" i="9"/>
  <c r="AG960" i="9"/>
  <c r="AF960" i="9"/>
  <c r="AE960" i="9"/>
  <c r="AD960" i="9"/>
  <c r="AC960" i="9"/>
  <c r="AB960" i="9"/>
  <c r="AA960" i="9"/>
  <c r="Z960" i="9"/>
  <c r="Y960" i="9"/>
  <c r="X960" i="9"/>
  <c r="W960" i="9"/>
  <c r="V960" i="9"/>
  <c r="U960" i="9"/>
  <c r="T960" i="9"/>
  <c r="S960" i="9"/>
  <c r="R960" i="9"/>
  <c r="Q960" i="9"/>
  <c r="P960" i="9"/>
  <c r="O960" i="9"/>
  <c r="N960" i="9"/>
  <c r="M960" i="9"/>
  <c r="L960" i="9"/>
  <c r="K960" i="9"/>
  <c r="J960" i="9"/>
  <c r="I960" i="9"/>
  <c r="H960" i="9"/>
  <c r="G960" i="9"/>
  <c r="F960" i="9"/>
  <c r="E960" i="9"/>
  <c r="D960" i="9"/>
  <c r="AY959" i="9"/>
  <c r="AO959" i="9" s="1"/>
  <c r="AU959" i="9"/>
  <c r="AK959" i="9" s="1"/>
  <c r="AQ959" i="9"/>
  <c r="AT959" i="9" s="1"/>
  <c r="AJ959" i="9"/>
  <c r="AG959" i="9"/>
  <c r="AF959" i="9"/>
  <c r="AE959" i="9"/>
  <c r="AD959" i="9"/>
  <c r="AC959" i="9"/>
  <c r="AB959" i="9"/>
  <c r="AA959" i="9"/>
  <c r="Z959" i="9"/>
  <c r="Y959" i="9"/>
  <c r="X959" i="9"/>
  <c r="W959" i="9"/>
  <c r="V959" i="9"/>
  <c r="U959" i="9"/>
  <c r="T959" i="9"/>
  <c r="S959" i="9"/>
  <c r="R959" i="9"/>
  <c r="Q959" i="9"/>
  <c r="P959" i="9"/>
  <c r="O959" i="9"/>
  <c r="N959" i="9"/>
  <c r="M959" i="9"/>
  <c r="L959" i="9"/>
  <c r="K959" i="9"/>
  <c r="J959" i="9"/>
  <c r="I959" i="9"/>
  <c r="H959" i="9"/>
  <c r="G959" i="9"/>
  <c r="F959" i="9"/>
  <c r="E959" i="9"/>
  <c r="D959" i="9"/>
  <c r="AY958" i="9"/>
  <c r="AO958" i="9" s="1"/>
  <c r="AX958" i="9"/>
  <c r="AN958" i="9" s="1"/>
  <c r="AW958" i="9"/>
  <c r="AM958" i="9" s="1"/>
  <c r="AV958" i="9"/>
  <c r="AL958" i="9" s="1"/>
  <c r="AU958" i="9"/>
  <c r="AK958" i="9" s="1"/>
  <c r="AT958" i="9"/>
  <c r="AQ958" i="9"/>
  <c r="AR958" i="9" s="1"/>
  <c r="AS958" i="9" s="1"/>
  <c r="AI958" i="9"/>
  <c r="AG958" i="9"/>
  <c r="AF958" i="9"/>
  <c r="AE958" i="9"/>
  <c r="AD958" i="9"/>
  <c r="AC958" i="9"/>
  <c r="AB958" i="9"/>
  <c r="AA958" i="9"/>
  <c r="Z958" i="9"/>
  <c r="Y958" i="9"/>
  <c r="X958" i="9"/>
  <c r="W958" i="9"/>
  <c r="V958" i="9"/>
  <c r="U958" i="9"/>
  <c r="T958" i="9"/>
  <c r="S958" i="9"/>
  <c r="R958" i="9"/>
  <c r="Q958" i="9"/>
  <c r="P958" i="9"/>
  <c r="O958" i="9"/>
  <c r="N958" i="9"/>
  <c r="M958" i="9"/>
  <c r="L958" i="9"/>
  <c r="K958" i="9"/>
  <c r="J958" i="9"/>
  <c r="I958" i="9"/>
  <c r="H958" i="9"/>
  <c r="G958" i="9"/>
  <c r="F958" i="9"/>
  <c r="E958" i="9"/>
  <c r="D958" i="9"/>
  <c r="AY957" i="9"/>
  <c r="AX957" i="9"/>
  <c r="AN957" i="9" s="1"/>
  <c r="AU957" i="9"/>
  <c r="AK957" i="9" s="1"/>
  <c r="AQ957" i="9"/>
  <c r="AO957" i="9"/>
  <c r="AG957" i="9"/>
  <c r="AF957" i="9"/>
  <c r="AE957" i="9"/>
  <c r="AD957" i="9"/>
  <c r="AC957" i="9"/>
  <c r="AB957" i="9"/>
  <c r="AA957" i="9"/>
  <c r="Z957" i="9"/>
  <c r="Y957" i="9"/>
  <c r="X957" i="9"/>
  <c r="W957" i="9"/>
  <c r="V957" i="9"/>
  <c r="U957" i="9"/>
  <c r="T957" i="9"/>
  <c r="S957" i="9"/>
  <c r="R957" i="9"/>
  <c r="Q957" i="9"/>
  <c r="P957" i="9"/>
  <c r="O957" i="9"/>
  <c r="N957" i="9"/>
  <c r="M957" i="9"/>
  <c r="L957" i="9"/>
  <c r="K957" i="9"/>
  <c r="J957" i="9"/>
  <c r="I957" i="9"/>
  <c r="H957" i="9"/>
  <c r="G957" i="9"/>
  <c r="F957" i="9"/>
  <c r="E957" i="9"/>
  <c r="D957" i="9"/>
  <c r="AV956" i="9"/>
  <c r="AL956" i="9" s="1"/>
  <c r="AQ956" i="9"/>
  <c r="AT956" i="9" s="1"/>
  <c r="AG956" i="9"/>
  <c r="AF956" i="9"/>
  <c r="AE956" i="9"/>
  <c r="AD956" i="9"/>
  <c r="AC956" i="9"/>
  <c r="AB956" i="9"/>
  <c r="AA956" i="9"/>
  <c r="Z956" i="9"/>
  <c r="Y956" i="9"/>
  <c r="X956" i="9"/>
  <c r="W956" i="9"/>
  <c r="V956" i="9"/>
  <c r="U956" i="9"/>
  <c r="T956" i="9"/>
  <c r="S956" i="9"/>
  <c r="R956" i="9"/>
  <c r="Q956" i="9"/>
  <c r="P956" i="9"/>
  <c r="O956" i="9"/>
  <c r="N956" i="9"/>
  <c r="M956" i="9"/>
  <c r="L956" i="9"/>
  <c r="K956" i="9"/>
  <c r="J956" i="9"/>
  <c r="I956" i="9"/>
  <c r="H956" i="9"/>
  <c r="G956" i="9"/>
  <c r="F956" i="9"/>
  <c r="E956" i="9"/>
  <c r="D956" i="9"/>
  <c r="AQ955" i="9"/>
  <c r="AG955" i="9"/>
  <c r="AF955" i="9"/>
  <c r="AE955" i="9"/>
  <c r="AD955" i="9"/>
  <c r="AC955" i="9"/>
  <c r="AB955" i="9"/>
  <c r="AA955" i="9"/>
  <c r="Z955" i="9"/>
  <c r="Y955" i="9"/>
  <c r="X955" i="9"/>
  <c r="W955" i="9"/>
  <c r="V955" i="9"/>
  <c r="U955" i="9"/>
  <c r="T955" i="9"/>
  <c r="S955" i="9"/>
  <c r="R955" i="9"/>
  <c r="Q955" i="9"/>
  <c r="P955" i="9"/>
  <c r="O955" i="9"/>
  <c r="N955" i="9"/>
  <c r="M955" i="9"/>
  <c r="L955" i="9"/>
  <c r="K955" i="9"/>
  <c r="J955" i="9"/>
  <c r="I955" i="9"/>
  <c r="H955" i="9"/>
  <c r="G955" i="9"/>
  <c r="F955" i="9"/>
  <c r="E955" i="9"/>
  <c r="D955" i="9"/>
  <c r="AQ954" i="9"/>
  <c r="AG954" i="9"/>
  <c r="AF954" i="9"/>
  <c r="AE954" i="9"/>
  <c r="AD954" i="9"/>
  <c r="AC954" i="9"/>
  <c r="AB954" i="9"/>
  <c r="AA954" i="9"/>
  <c r="Z954" i="9"/>
  <c r="Y954" i="9"/>
  <c r="X954" i="9"/>
  <c r="W954" i="9"/>
  <c r="V954" i="9"/>
  <c r="U954" i="9"/>
  <c r="T954" i="9"/>
  <c r="S954" i="9"/>
  <c r="R954" i="9"/>
  <c r="Q954" i="9"/>
  <c r="P954" i="9"/>
  <c r="O954" i="9"/>
  <c r="N954" i="9"/>
  <c r="M954" i="9"/>
  <c r="L954" i="9"/>
  <c r="K954" i="9"/>
  <c r="J954" i="9"/>
  <c r="I954" i="9"/>
  <c r="H954" i="9"/>
  <c r="G954" i="9"/>
  <c r="F954" i="9"/>
  <c r="E954" i="9"/>
  <c r="D954" i="9"/>
  <c r="AU953" i="9"/>
  <c r="AK953" i="9" s="1"/>
  <c r="AR953" i="9"/>
  <c r="AS953" i="9" s="1"/>
  <c r="AQ953" i="9"/>
  <c r="AG953" i="9"/>
  <c r="AF953" i="9"/>
  <c r="AE953" i="9"/>
  <c r="AD953" i="9"/>
  <c r="AC953" i="9"/>
  <c r="AB953" i="9"/>
  <c r="AA953" i="9"/>
  <c r="Z953" i="9"/>
  <c r="Y953" i="9"/>
  <c r="X953" i="9"/>
  <c r="W953" i="9"/>
  <c r="V953" i="9"/>
  <c r="U953" i="9"/>
  <c r="T953" i="9"/>
  <c r="S953" i="9"/>
  <c r="R953" i="9"/>
  <c r="Q953" i="9"/>
  <c r="P953" i="9"/>
  <c r="O953" i="9"/>
  <c r="N953" i="9"/>
  <c r="M953" i="9"/>
  <c r="L953" i="9"/>
  <c r="K953" i="9"/>
  <c r="J953" i="9"/>
  <c r="I953" i="9"/>
  <c r="H953" i="9"/>
  <c r="G953" i="9"/>
  <c r="F953" i="9"/>
  <c r="E953" i="9"/>
  <c r="D953" i="9"/>
  <c r="AY952" i="9"/>
  <c r="AO952" i="9" s="1"/>
  <c r="AX952" i="9"/>
  <c r="AN952" i="9" s="1"/>
  <c r="AW952" i="9"/>
  <c r="AV952" i="9"/>
  <c r="AU952" i="9"/>
  <c r="AK952" i="9" s="1"/>
  <c r="AR952" i="9"/>
  <c r="AS952" i="9" s="1"/>
  <c r="AQ952" i="9"/>
  <c r="AT952" i="9" s="1"/>
  <c r="AM952" i="9"/>
  <c r="AL952" i="9"/>
  <c r="AJ952" i="9"/>
  <c r="AI952" i="9"/>
  <c r="AH952" i="9"/>
  <c r="AG952" i="9"/>
  <c r="AF952" i="9"/>
  <c r="AE952" i="9"/>
  <c r="AD952" i="9"/>
  <c r="AC952" i="9"/>
  <c r="AB952" i="9"/>
  <c r="AA952" i="9"/>
  <c r="Z952" i="9"/>
  <c r="Y952" i="9"/>
  <c r="X952" i="9"/>
  <c r="W952" i="9"/>
  <c r="V952" i="9"/>
  <c r="U952" i="9"/>
  <c r="T952" i="9"/>
  <c r="S952" i="9"/>
  <c r="R952" i="9"/>
  <c r="Q952" i="9"/>
  <c r="P952" i="9"/>
  <c r="O952" i="9"/>
  <c r="N952" i="9"/>
  <c r="M952" i="9"/>
  <c r="L952" i="9"/>
  <c r="K952" i="9"/>
  <c r="J952" i="9"/>
  <c r="I952" i="9"/>
  <c r="H952" i="9"/>
  <c r="G952" i="9"/>
  <c r="F952" i="9"/>
  <c r="E952" i="9"/>
  <c r="D952" i="9"/>
  <c r="AQ951" i="9"/>
  <c r="AG951" i="9"/>
  <c r="AF951" i="9"/>
  <c r="AE951" i="9"/>
  <c r="AD951" i="9"/>
  <c r="AC951" i="9"/>
  <c r="AB951" i="9"/>
  <c r="AA951" i="9"/>
  <c r="Z951" i="9"/>
  <c r="Y951" i="9"/>
  <c r="X951" i="9"/>
  <c r="W951" i="9"/>
  <c r="V951" i="9"/>
  <c r="U951" i="9"/>
  <c r="T951" i="9"/>
  <c r="S951" i="9"/>
  <c r="R951" i="9"/>
  <c r="Q951" i="9"/>
  <c r="P951" i="9"/>
  <c r="O951" i="9"/>
  <c r="N951" i="9"/>
  <c r="M951" i="9"/>
  <c r="L951" i="9"/>
  <c r="K951" i="9"/>
  <c r="J951" i="9"/>
  <c r="I951" i="9"/>
  <c r="H951" i="9"/>
  <c r="G951" i="9"/>
  <c r="F951" i="9"/>
  <c r="E951" i="9"/>
  <c r="D951" i="9"/>
  <c r="AW950" i="9"/>
  <c r="AV950" i="9"/>
  <c r="AL950" i="9" s="1"/>
  <c r="AT950" i="9"/>
  <c r="AJ950" i="9" s="1"/>
  <c r="AS950" i="9"/>
  <c r="AR950" i="9"/>
  <c r="AQ950" i="9"/>
  <c r="AY950" i="9" s="1"/>
  <c r="AO950" i="9" s="1"/>
  <c r="AM950" i="9"/>
  <c r="AI950" i="9"/>
  <c r="AH950" i="9"/>
  <c r="AG950" i="9"/>
  <c r="AF950" i="9"/>
  <c r="AE950" i="9"/>
  <c r="AD950" i="9"/>
  <c r="AC950" i="9"/>
  <c r="AB950" i="9"/>
  <c r="AA950" i="9"/>
  <c r="Z950" i="9"/>
  <c r="Y950" i="9"/>
  <c r="X950" i="9"/>
  <c r="W950" i="9"/>
  <c r="V950" i="9"/>
  <c r="U950" i="9"/>
  <c r="T950" i="9"/>
  <c r="S950" i="9"/>
  <c r="R950" i="9"/>
  <c r="Q950" i="9"/>
  <c r="P950" i="9"/>
  <c r="O950" i="9"/>
  <c r="N950" i="9"/>
  <c r="M950" i="9"/>
  <c r="L950" i="9"/>
  <c r="K950" i="9"/>
  <c r="J950" i="9"/>
  <c r="I950" i="9"/>
  <c r="H950" i="9"/>
  <c r="G950" i="9"/>
  <c r="F950" i="9"/>
  <c r="E950" i="9"/>
  <c r="D950" i="9"/>
  <c r="AY949" i="9"/>
  <c r="AO949" i="9" s="1"/>
  <c r="AX949" i="9"/>
  <c r="AW949" i="9"/>
  <c r="AM949" i="9" s="1"/>
  <c r="AV949" i="9"/>
  <c r="AL949" i="9" s="1"/>
  <c r="AQ949" i="9"/>
  <c r="AU949" i="9" s="1"/>
  <c r="AN949" i="9"/>
  <c r="AK949" i="9"/>
  <c r="AG949" i="9"/>
  <c r="AF949" i="9"/>
  <c r="AE949" i="9"/>
  <c r="AD949" i="9"/>
  <c r="AC949" i="9"/>
  <c r="AB949" i="9"/>
  <c r="AA949" i="9"/>
  <c r="Z949" i="9"/>
  <c r="Y949" i="9"/>
  <c r="X949" i="9"/>
  <c r="W949" i="9"/>
  <c r="V949" i="9"/>
  <c r="U949" i="9"/>
  <c r="T949" i="9"/>
  <c r="S949" i="9"/>
  <c r="R949" i="9"/>
  <c r="Q949" i="9"/>
  <c r="P949" i="9"/>
  <c r="O949" i="9"/>
  <c r="N949" i="9"/>
  <c r="M949" i="9"/>
  <c r="L949" i="9"/>
  <c r="K949" i="9"/>
  <c r="J949" i="9"/>
  <c r="I949" i="9"/>
  <c r="H949" i="9"/>
  <c r="G949" i="9"/>
  <c r="F949" i="9"/>
  <c r="E949" i="9"/>
  <c r="D949" i="9"/>
  <c r="AT948" i="9"/>
  <c r="AI948" i="9" s="1"/>
  <c r="AQ948" i="9"/>
  <c r="AG948" i="9"/>
  <c r="AF948" i="9"/>
  <c r="AE948" i="9"/>
  <c r="AD948" i="9"/>
  <c r="AC948" i="9"/>
  <c r="AB948" i="9"/>
  <c r="AA948" i="9"/>
  <c r="Z948" i="9"/>
  <c r="Y948" i="9"/>
  <c r="X948" i="9"/>
  <c r="W948" i="9"/>
  <c r="V948" i="9"/>
  <c r="U948" i="9"/>
  <c r="T948" i="9"/>
  <c r="S948" i="9"/>
  <c r="R948" i="9"/>
  <c r="Q948" i="9"/>
  <c r="P948" i="9"/>
  <c r="O948" i="9"/>
  <c r="N948" i="9"/>
  <c r="M948" i="9"/>
  <c r="L948" i="9"/>
  <c r="K948" i="9"/>
  <c r="J948" i="9"/>
  <c r="I948" i="9"/>
  <c r="H948" i="9"/>
  <c r="G948" i="9"/>
  <c r="F948" i="9"/>
  <c r="E948" i="9"/>
  <c r="D948" i="9"/>
  <c r="AY947" i="9"/>
  <c r="AO947" i="9" s="1"/>
  <c r="AX947" i="9"/>
  <c r="AN947" i="9" s="1"/>
  <c r="AW947" i="9"/>
  <c r="AM947" i="9" s="1"/>
  <c r="AV947" i="9"/>
  <c r="AL947" i="9" s="1"/>
  <c r="AU947" i="9"/>
  <c r="AK947" i="9" s="1"/>
  <c r="AT947" i="9"/>
  <c r="AR947" i="9"/>
  <c r="AS947" i="9" s="1"/>
  <c r="AQ947" i="9"/>
  <c r="AJ947" i="9"/>
  <c r="AI947" i="9"/>
  <c r="AH947" i="9"/>
  <c r="AG947" i="9"/>
  <c r="AF947" i="9"/>
  <c r="AE947" i="9"/>
  <c r="AD947" i="9"/>
  <c r="AC947" i="9"/>
  <c r="AB947" i="9"/>
  <c r="AA947" i="9"/>
  <c r="Z947" i="9"/>
  <c r="Y947" i="9"/>
  <c r="X947" i="9"/>
  <c r="W947" i="9"/>
  <c r="V947" i="9"/>
  <c r="U947" i="9"/>
  <c r="T947" i="9"/>
  <c r="S947" i="9"/>
  <c r="R947" i="9"/>
  <c r="Q947" i="9"/>
  <c r="P947" i="9"/>
  <c r="O947" i="9"/>
  <c r="N947" i="9"/>
  <c r="M947" i="9"/>
  <c r="L947" i="9"/>
  <c r="K947" i="9"/>
  <c r="J947" i="9"/>
  <c r="I947" i="9"/>
  <c r="H947" i="9"/>
  <c r="G947" i="9"/>
  <c r="F947" i="9"/>
  <c r="E947" i="9"/>
  <c r="D947" i="9"/>
  <c r="AY946" i="9"/>
  <c r="AO946" i="9" s="1"/>
  <c r="AX946" i="9"/>
  <c r="AW946" i="9"/>
  <c r="AU946" i="9"/>
  <c r="AT946" i="9"/>
  <c r="AR946" i="9"/>
  <c r="AS946" i="9" s="1"/>
  <c r="AQ946" i="9"/>
  <c r="AV946" i="9" s="1"/>
  <c r="AL946" i="9" s="1"/>
  <c r="AN946" i="9"/>
  <c r="AM946" i="9"/>
  <c r="AK946" i="9"/>
  <c r="AJ946" i="9"/>
  <c r="AI946" i="9"/>
  <c r="AH946" i="9"/>
  <c r="AG946" i="9"/>
  <c r="AF946" i="9"/>
  <c r="AE946" i="9"/>
  <c r="AD946" i="9"/>
  <c r="AC946" i="9"/>
  <c r="AB946" i="9"/>
  <c r="AA946" i="9"/>
  <c r="Z946" i="9"/>
  <c r="Y946" i="9"/>
  <c r="X946" i="9"/>
  <c r="W946" i="9"/>
  <c r="V946" i="9"/>
  <c r="U946" i="9"/>
  <c r="T946" i="9"/>
  <c r="S946" i="9"/>
  <c r="R946" i="9"/>
  <c r="Q946" i="9"/>
  <c r="P946" i="9"/>
  <c r="O946" i="9"/>
  <c r="N946" i="9"/>
  <c r="M946" i="9"/>
  <c r="L946" i="9"/>
  <c r="K946" i="9"/>
  <c r="J946" i="9"/>
  <c r="I946" i="9"/>
  <c r="H946" i="9"/>
  <c r="G946" i="9"/>
  <c r="F946" i="9"/>
  <c r="E946" i="9"/>
  <c r="D946" i="9"/>
  <c r="AQ945" i="9"/>
  <c r="AG945" i="9"/>
  <c r="AF945" i="9"/>
  <c r="AE945" i="9"/>
  <c r="AD945" i="9"/>
  <c r="AC945" i="9"/>
  <c r="AB945" i="9"/>
  <c r="AA945" i="9"/>
  <c r="Z945" i="9"/>
  <c r="Y945" i="9"/>
  <c r="X945" i="9"/>
  <c r="W945" i="9"/>
  <c r="V945" i="9"/>
  <c r="U945" i="9"/>
  <c r="T945" i="9"/>
  <c r="S945" i="9"/>
  <c r="R945" i="9"/>
  <c r="Q945" i="9"/>
  <c r="P945" i="9"/>
  <c r="O945" i="9"/>
  <c r="N945" i="9"/>
  <c r="M945" i="9"/>
  <c r="L945" i="9"/>
  <c r="K945" i="9"/>
  <c r="J945" i="9"/>
  <c r="I945" i="9"/>
  <c r="H945" i="9"/>
  <c r="G945" i="9"/>
  <c r="F945" i="9"/>
  <c r="E945" i="9"/>
  <c r="D945" i="9"/>
  <c r="AY944" i="9"/>
  <c r="AX944" i="9"/>
  <c r="AN944" i="9" s="1"/>
  <c r="AW944" i="9"/>
  <c r="AV944" i="9"/>
  <c r="AL944" i="9" s="1"/>
  <c r="AU944" i="9"/>
  <c r="AT944" i="9"/>
  <c r="AI944" i="9" s="1"/>
  <c r="AS944" i="9"/>
  <c r="AQ944" i="9"/>
  <c r="AR944" i="9" s="1"/>
  <c r="AO944" i="9"/>
  <c r="AM944" i="9"/>
  <c r="AK944" i="9"/>
  <c r="AJ944" i="9"/>
  <c r="AH944" i="9"/>
  <c r="AG944" i="9"/>
  <c r="AF944" i="9"/>
  <c r="AE944" i="9"/>
  <c r="AD944" i="9"/>
  <c r="AC944" i="9"/>
  <c r="AB944" i="9"/>
  <c r="AA944" i="9"/>
  <c r="Z944" i="9"/>
  <c r="Y944" i="9"/>
  <c r="X944" i="9"/>
  <c r="W944" i="9"/>
  <c r="V944" i="9"/>
  <c r="U944" i="9"/>
  <c r="T944" i="9"/>
  <c r="S944" i="9"/>
  <c r="R944" i="9"/>
  <c r="Q944" i="9"/>
  <c r="P944" i="9"/>
  <c r="O944" i="9"/>
  <c r="N944" i="9"/>
  <c r="M944" i="9"/>
  <c r="L944" i="9"/>
  <c r="K944" i="9"/>
  <c r="J944" i="9"/>
  <c r="I944" i="9"/>
  <c r="H944" i="9"/>
  <c r="G944" i="9"/>
  <c r="F944" i="9"/>
  <c r="E944" i="9"/>
  <c r="D944" i="9"/>
  <c r="AX943" i="9"/>
  <c r="AN943" i="9" s="1"/>
  <c r="AQ943" i="9"/>
  <c r="AG943" i="9"/>
  <c r="AF943" i="9"/>
  <c r="AE943" i="9"/>
  <c r="AD943" i="9"/>
  <c r="AC943" i="9"/>
  <c r="AB943" i="9"/>
  <c r="AA943" i="9"/>
  <c r="Z943" i="9"/>
  <c r="Y943" i="9"/>
  <c r="X943" i="9"/>
  <c r="W943" i="9"/>
  <c r="V943" i="9"/>
  <c r="U943" i="9"/>
  <c r="T943" i="9"/>
  <c r="S943" i="9"/>
  <c r="R943" i="9"/>
  <c r="Q943" i="9"/>
  <c r="P943" i="9"/>
  <c r="O943" i="9"/>
  <c r="N943" i="9"/>
  <c r="M943" i="9"/>
  <c r="L943" i="9"/>
  <c r="K943" i="9"/>
  <c r="J943" i="9"/>
  <c r="I943" i="9"/>
  <c r="H943" i="9"/>
  <c r="G943" i="9"/>
  <c r="F943" i="9"/>
  <c r="E943" i="9"/>
  <c r="D943" i="9"/>
  <c r="AQ942" i="9"/>
  <c r="AG942" i="9"/>
  <c r="AF942" i="9"/>
  <c r="AE942" i="9"/>
  <c r="AD942" i="9"/>
  <c r="AC942" i="9"/>
  <c r="AB942" i="9"/>
  <c r="AA942" i="9"/>
  <c r="Z942" i="9"/>
  <c r="Y942" i="9"/>
  <c r="X942" i="9"/>
  <c r="W942" i="9"/>
  <c r="V942" i="9"/>
  <c r="U942" i="9"/>
  <c r="T942" i="9"/>
  <c r="S942" i="9"/>
  <c r="R942" i="9"/>
  <c r="Q942" i="9"/>
  <c r="P942" i="9"/>
  <c r="O942" i="9"/>
  <c r="N942" i="9"/>
  <c r="M942" i="9"/>
  <c r="L942" i="9"/>
  <c r="K942" i="9"/>
  <c r="J942" i="9"/>
  <c r="I942" i="9"/>
  <c r="H942" i="9"/>
  <c r="G942" i="9"/>
  <c r="F942" i="9"/>
  <c r="E942" i="9"/>
  <c r="D942" i="9"/>
  <c r="AY941" i="9"/>
  <c r="AO941" i="9" s="1"/>
  <c r="AV941" i="9"/>
  <c r="AL941" i="9" s="1"/>
  <c r="AT941" i="9"/>
  <c r="AH941" i="9" s="1"/>
  <c r="AR941" i="9"/>
  <c r="AS941" i="9" s="1"/>
  <c r="AQ941" i="9"/>
  <c r="AX941" i="9" s="1"/>
  <c r="AN941" i="9" s="1"/>
  <c r="AG941" i="9"/>
  <c r="AF941" i="9"/>
  <c r="AE941" i="9"/>
  <c r="AD941" i="9"/>
  <c r="AC941" i="9"/>
  <c r="AB941" i="9"/>
  <c r="AA941" i="9"/>
  <c r="Z941" i="9"/>
  <c r="Y941" i="9"/>
  <c r="X941" i="9"/>
  <c r="W941" i="9"/>
  <c r="V941" i="9"/>
  <c r="U941" i="9"/>
  <c r="T941" i="9"/>
  <c r="S941" i="9"/>
  <c r="R941" i="9"/>
  <c r="Q941" i="9"/>
  <c r="P941" i="9"/>
  <c r="O941" i="9"/>
  <c r="N941" i="9"/>
  <c r="M941" i="9"/>
  <c r="L941" i="9"/>
  <c r="K941" i="9"/>
  <c r="J941" i="9"/>
  <c r="I941" i="9"/>
  <c r="H941" i="9"/>
  <c r="G941" i="9"/>
  <c r="F941" i="9"/>
  <c r="E941" i="9"/>
  <c r="D941" i="9"/>
  <c r="AY940" i="9"/>
  <c r="AO940" i="9" s="1"/>
  <c r="AW940" i="9"/>
  <c r="AM940" i="9" s="1"/>
  <c r="AV940" i="9"/>
  <c r="AL940" i="9" s="1"/>
  <c r="AU940" i="9"/>
  <c r="AK940" i="9" s="1"/>
  <c r="AT940" i="9"/>
  <c r="AI940" i="9" s="1"/>
  <c r="AR940" i="9"/>
  <c r="AS940" i="9" s="1"/>
  <c r="AQ940" i="9"/>
  <c r="AX940" i="9" s="1"/>
  <c r="AN940" i="9"/>
  <c r="AG940" i="9"/>
  <c r="AF940" i="9"/>
  <c r="AE940" i="9"/>
  <c r="AD940" i="9"/>
  <c r="AC940" i="9"/>
  <c r="AB940" i="9"/>
  <c r="AA940" i="9"/>
  <c r="Z940" i="9"/>
  <c r="Y940" i="9"/>
  <c r="X940" i="9"/>
  <c r="W940" i="9"/>
  <c r="V940" i="9"/>
  <c r="U940" i="9"/>
  <c r="T940" i="9"/>
  <c r="S940" i="9"/>
  <c r="R940" i="9"/>
  <c r="Q940" i="9"/>
  <c r="P940" i="9"/>
  <c r="O940" i="9"/>
  <c r="N940" i="9"/>
  <c r="M940" i="9"/>
  <c r="L940" i="9"/>
  <c r="K940" i="9"/>
  <c r="J940" i="9"/>
  <c r="I940" i="9"/>
  <c r="H940" i="9"/>
  <c r="G940" i="9"/>
  <c r="F940" i="9"/>
  <c r="E940" i="9"/>
  <c r="D940" i="9"/>
  <c r="AY939" i="9"/>
  <c r="AO939" i="9" s="1"/>
  <c r="AW939" i="9"/>
  <c r="AV939" i="9"/>
  <c r="AL939" i="9" s="1"/>
  <c r="AU939" i="9"/>
  <c r="AK939" i="9" s="1"/>
  <c r="AS939" i="9"/>
  <c r="AR939" i="9"/>
  <c r="AQ939" i="9"/>
  <c r="AX939" i="9" s="1"/>
  <c r="AN939" i="9" s="1"/>
  <c r="AM939" i="9"/>
  <c r="AG939" i="9"/>
  <c r="AF939" i="9"/>
  <c r="AE939" i="9"/>
  <c r="AD939" i="9"/>
  <c r="AC939" i="9"/>
  <c r="AB939" i="9"/>
  <c r="AA939" i="9"/>
  <c r="Z939" i="9"/>
  <c r="Y939" i="9"/>
  <c r="X939" i="9"/>
  <c r="W939" i="9"/>
  <c r="V939" i="9"/>
  <c r="U939" i="9"/>
  <c r="T939" i="9"/>
  <c r="S939" i="9"/>
  <c r="R939" i="9"/>
  <c r="Q939" i="9"/>
  <c r="P939" i="9"/>
  <c r="O939" i="9"/>
  <c r="N939" i="9"/>
  <c r="M939" i="9"/>
  <c r="L939" i="9"/>
  <c r="K939" i="9"/>
  <c r="J939" i="9"/>
  <c r="I939" i="9"/>
  <c r="H939" i="9"/>
  <c r="G939" i="9"/>
  <c r="F939" i="9"/>
  <c r="E939" i="9"/>
  <c r="D939" i="9"/>
  <c r="AQ938" i="9"/>
  <c r="AG938" i="9"/>
  <c r="AF938" i="9"/>
  <c r="AE938" i="9"/>
  <c r="AD938" i="9"/>
  <c r="AC938" i="9"/>
  <c r="AB938" i="9"/>
  <c r="AA938" i="9"/>
  <c r="Z938" i="9"/>
  <c r="Y938" i="9"/>
  <c r="X938" i="9"/>
  <c r="W938" i="9"/>
  <c r="V938" i="9"/>
  <c r="U938" i="9"/>
  <c r="T938" i="9"/>
  <c r="S938" i="9"/>
  <c r="R938" i="9"/>
  <c r="Q938" i="9"/>
  <c r="P938" i="9"/>
  <c r="O938" i="9"/>
  <c r="N938" i="9"/>
  <c r="M938" i="9"/>
  <c r="L938" i="9"/>
  <c r="K938" i="9"/>
  <c r="J938" i="9"/>
  <c r="I938" i="9"/>
  <c r="H938" i="9"/>
  <c r="G938" i="9"/>
  <c r="F938" i="9"/>
  <c r="E938" i="9"/>
  <c r="D938" i="9"/>
  <c r="AX937" i="9"/>
  <c r="AN937" i="9" s="1"/>
  <c r="AW937" i="9"/>
  <c r="AU937" i="9"/>
  <c r="AS937" i="9"/>
  <c r="AR937" i="9"/>
  <c r="AQ937" i="9"/>
  <c r="AM937" i="9"/>
  <c r="AK937" i="9"/>
  <c r="AG937" i="9"/>
  <c r="AF937" i="9"/>
  <c r="AE937" i="9"/>
  <c r="AD937" i="9"/>
  <c r="AC937" i="9"/>
  <c r="AB937" i="9"/>
  <c r="AA937" i="9"/>
  <c r="Z937" i="9"/>
  <c r="Y937" i="9"/>
  <c r="X937" i="9"/>
  <c r="W937" i="9"/>
  <c r="V937" i="9"/>
  <c r="U937" i="9"/>
  <c r="T937" i="9"/>
  <c r="S937" i="9"/>
  <c r="R937" i="9"/>
  <c r="Q937" i="9"/>
  <c r="P937" i="9"/>
  <c r="O937" i="9"/>
  <c r="N937" i="9"/>
  <c r="M937" i="9"/>
  <c r="L937" i="9"/>
  <c r="K937" i="9"/>
  <c r="J937" i="9"/>
  <c r="I937" i="9"/>
  <c r="H937" i="9"/>
  <c r="G937" i="9"/>
  <c r="F937" i="9"/>
  <c r="E937" i="9"/>
  <c r="D937" i="9"/>
  <c r="AQ936" i="9"/>
  <c r="AG936" i="9"/>
  <c r="AF936" i="9"/>
  <c r="AE936" i="9"/>
  <c r="AD936" i="9"/>
  <c r="AC936" i="9"/>
  <c r="AB936" i="9"/>
  <c r="AA936" i="9"/>
  <c r="Z936" i="9"/>
  <c r="Y936" i="9"/>
  <c r="X936" i="9"/>
  <c r="W936" i="9"/>
  <c r="V936" i="9"/>
  <c r="U936" i="9"/>
  <c r="T936" i="9"/>
  <c r="S936" i="9"/>
  <c r="R936" i="9"/>
  <c r="Q936" i="9"/>
  <c r="P936" i="9"/>
  <c r="O936" i="9"/>
  <c r="N936" i="9"/>
  <c r="M936" i="9"/>
  <c r="L936" i="9"/>
  <c r="K936" i="9"/>
  <c r="J936" i="9"/>
  <c r="I936" i="9"/>
  <c r="H936" i="9"/>
  <c r="G936" i="9"/>
  <c r="F936" i="9"/>
  <c r="E936" i="9"/>
  <c r="D936" i="9"/>
  <c r="AY935" i="9"/>
  <c r="AO935" i="9" s="1"/>
  <c r="AV935" i="9"/>
  <c r="AL935" i="9" s="1"/>
  <c r="AS935" i="9"/>
  <c r="AR935" i="9"/>
  <c r="AQ935" i="9"/>
  <c r="AU935" i="9" s="1"/>
  <c r="AK935" i="9" s="1"/>
  <c r="AG935" i="9"/>
  <c r="AF935" i="9"/>
  <c r="AE935" i="9"/>
  <c r="AD935" i="9"/>
  <c r="AC935" i="9"/>
  <c r="AB935" i="9"/>
  <c r="AA935" i="9"/>
  <c r="Z935" i="9"/>
  <c r="Y935" i="9"/>
  <c r="X935" i="9"/>
  <c r="W935" i="9"/>
  <c r="V935" i="9"/>
  <c r="U935" i="9"/>
  <c r="T935" i="9"/>
  <c r="S935" i="9"/>
  <c r="R935" i="9"/>
  <c r="Q935" i="9"/>
  <c r="P935" i="9"/>
  <c r="O935" i="9"/>
  <c r="N935" i="9"/>
  <c r="M935" i="9"/>
  <c r="L935" i="9"/>
  <c r="K935" i="9"/>
  <c r="J935" i="9"/>
  <c r="I935" i="9"/>
  <c r="H935" i="9"/>
  <c r="G935" i="9"/>
  <c r="F935" i="9"/>
  <c r="E935" i="9"/>
  <c r="D935" i="9"/>
  <c r="AY934" i="9"/>
  <c r="AO934" i="9" s="1"/>
  <c r="AW934" i="9"/>
  <c r="AM934" i="9" s="1"/>
  <c r="AV934" i="9"/>
  <c r="AL934" i="9" s="1"/>
  <c r="AQ934" i="9"/>
  <c r="AU934" i="9" s="1"/>
  <c r="AK934" i="9" s="1"/>
  <c r="AG934" i="9"/>
  <c r="AF934" i="9"/>
  <c r="AE934" i="9"/>
  <c r="AD934" i="9"/>
  <c r="AC934" i="9"/>
  <c r="AB934" i="9"/>
  <c r="AA934" i="9"/>
  <c r="Z934" i="9"/>
  <c r="Y934" i="9"/>
  <c r="X934" i="9"/>
  <c r="W934" i="9"/>
  <c r="V934" i="9"/>
  <c r="U934" i="9"/>
  <c r="T934" i="9"/>
  <c r="S934" i="9"/>
  <c r="R934" i="9"/>
  <c r="Q934" i="9"/>
  <c r="P934" i="9"/>
  <c r="O934" i="9"/>
  <c r="N934" i="9"/>
  <c r="M934" i="9"/>
  <c r="L934" i="9"/>
  <c r="K934" i="9"/>
  <c r="J934" i="9"/>
  <c r="I934" i="9"/>
  <c r="H934" i="9"/>
  <c r="G934" i="9"/>
  <c r="F934" i="9"/>
  <c r="E934" i="9"/>
  <c r="D934" i="9"/>
  <c r="AY933" i="9"/>
  <c r="AO933" i="9" s="1"/>
  <c r="AX933" i="9"/>
  <c r="AN933" i="9" s="1"/>
  <c r="AW933" i="9"/>
  <c r="AV933" i="9"/>
  <c r="AU933" i="9"/>
  <c r="AK933" i="9" s="1"/>
  <c r="AT933" i="9"/>
  <c r="AR933" i="9"/>
  <c r="AS933" i="9" s="1"/>
  <c r="AQ933" i="9"/>
  <c r="AM933" i="9"/>
  <c r="AL933" i="9"/>
  <c r="AJ933" i="9"/>
  <c r="AI933" i="9"/>
  <c r="AH933" i="9"/>
  <c r="AG933" i="9"/>
  <c r="AF933" i="9"/>
  <c r="AE933" i="9"/>
  <c r="AD933" i="9"/>
  <c r="AC933" i="9"/>
  <c r="AB933" i="9"/>
  <c r="AA933" i="9"/>
  <c r="Z933" i="9"/>
  <c r="Y933" i="9"/>
  <c r="X933" i="9"/>
  <c r="W933" i="9"/>
  <c r="V933" i="9"/>
  <c r="U933" i="9"/>
  <c r="T933" i="9"/>
  <c r="S933" i="9"/>
  <c r="R933" i="9"/>
  <c r="Q933" i="9"/>
  <c r="P933" i="9"/>
  <c r="O933" i="9"/>
  <c r="N933" i="9"/>
  <c r="M933" i="9"/>
  <c r="L933" i="9"/>
  <c r="K933" i="9"/>
  <c r="J933" i="9"/>
  <c r="I933" i="9"/>
  <c r="H933" i="9"/>
  <c r="G933" i="9"/>
  <c r="F933" i="9"/>
  <c r="E933" i="9"/>
  <c r="D933" i="9"/>
  <c r="AY932" i="9"/>
  <c r="AX932" i="9"/>
  <c r="AW932" i="9"/>
  <c r="AV932" i="9"/>
  <c r="AU932" i="9"/>
  <c r="AK932" i="9" s="1"/>
  <c r="AT932" i="9"/>
  <c r="AH932" i="9" s="1"/>
  <c r="AR932" i="9"/>
  <c r="AS932" i="9" s="1"/>
  <c r="AQ932" i="9"/>
  <c r="AO932" i="9"/>
  <c r="AN932" i="9"/>
  <c r="AM932" i="9"/>
  <c r="AL932" i="9"/>
  <c r="AJ932" i="9"/>
  <c r="AI932" i="9"/>
  <c r="AG932" i="9"/>
  <c r="AF932" i="9"/>
  <c r="AE932" i="9"/>
  <c r="AD932" i="9"/>
  <c r="AC932" i="9"/>
  <c r="AB932" i="9"/>
  <c r="AA932" i="9"/>
  <c r="Z932" i="9"/>
  <c r="Y932" i="9"/>
  <c r="X932" i="9"/>
  <c r="W932" i="9"/>
  <c r="V932" i="9"/>
  <c r="U932" i="9"/>
  <c r="T932" i="9"/>
  <c r="S932" i="9"/>
  <c r="R932" i="9"/>
  <c r="Q932" i="9"/>
  <c r="P932" i="9"/>
  <c r="O932" i="9"/>
  <c r="N932" i="9"/>
  <c r="M932" i="9"/>
  <c r="L932" i="9"/>
  <c r="K932" i="9"/>
  <c r="J932" i="9"/>
  <c r="I932" i="9"/>
  <c r="H932" i="9"/>
  <c r="G932" i="9"/>
  <c r="F932" i="9"/>
  <c r="E932" i="9"/>
  <c r="D932" i="9"/>
  <c r="AQ931" i="9"/>
  <c r="AG931" i="9"/>
  <c r="AF931" i="9"/>
  <c r="AE931" i="9"/>
  <c r="AD931" i="9"/>
  <c r="AC931" i="9"/>
  <c r="AB931" i="9"/>
  <c r="AA931" i="9"/>
  <c r="Z931" i="9"/>
  <c r="Y931" i="9"/>
  <c r="X931" i="9"/>
  <c r="W931" i="9"/>
  <c r="V931" i="9"/>
  <c r="U931" i="9"/>
  <c r="T931" i="9"/>
  <c r="S931" i="9"/>
  <c r="R931" i="9"/>
  <c r="Q931" i="9"/>
  <c r="P931" i="9"/>
  <c r="O931" i="9"/>
  <c r="N931" i="9"/>
  <c r="M931" i="9"/>
  <c r="L931" i="9"/>
  <c r="K931" i="9"/>
  <c r="J931" i="9"/>
  <c r="I931" i="9"/>
  <c r="H931" i="9"/>
  <c r="G931" i="9"/>
  <c r="F931" i="9"/>
  <c r="E931" i="9"/>
  <c r="D931" i="9"/>
  <c r="AX930" i="9"/>
  <c r="AN930" i="9" s="1"/>
  <c r="AW930" i="9"/>
  <c r="AV930" i="9"/>
  <c r="AL930" i="9" s="1"/>
  <c r="AU930" i="9"/>
  <c r="AK930" i="9" s="1"/>
  <c r="AS930" i="9"/>
  <c r="AQ930" i="9"/>
  <c r="AR930" i="9" s="1"/>
  <c r="AM930" i="9"/>
  <c r="AG930" i="9"/>
  <c r="AF930" i="9"/>
  <c r="AE930" i="9"/>
  <c r="AD930" i="9"/>
  <c r="AC930" i="9"/>
  <c r="AB930" i="9"/>
  <c r="AA930" i="9"/>
  <c r="Z930" i="9"/>
  <c r="Y930" i="9"/>
  <c r="X930" i="9"/>
  <c r="W930" i="9"/>
  <c r="V930" i="9"/>
  <c r="U930" i="9"/>
  <c r="T930" i="9"/>
  <c r="S930" i="9"/>
  <c r="R930" i="9"/>
  <c r="Q930" i="9"/>
  <c r="P930" i="9"/>
  <c r="O930" i="9"/>
  <c r="N930" i="9"/>
  <c r="M930" i="9"/>
  <c r="L930" i="9"/>
  <c r="K930" i="9"/>
  <c r="J930" i="9"/>
  <c r="I930" i="9"/>
  <c r="H930" i="9"/>
  <c r="G930" i="9"/>
  <c r="F930" i="9"/>
  <c r="E930" i="9"/>
  <c r="D930" i="9"/>
  <c r="AY929" i="9"/>
  <c r="AX929" i="9"/>
  <c r="AN929" i="9" s="1"/>
  <c r="AU929" i="9"/>
  <c r="AK929" i="9" s="1"/>
  <c r="AT929" i="9"/>
  <c r="AH929" i="9" s="1"/>
  <c r="AQ929" i="9"/>
  <c r="AO929" i="9"/>
  <c r="AJ929" i="9"/>
  <c r="AI929" i="9"/>
  <c r="AG929" i="9"/>
  <c r="AF929" i="9"/>
  <c r="AE929" i="9"/>
  <c r="AD929" i="9"/>
  <c r="AC929" i="9"/>
  <c r="AB929" i="9"/>
  <c r="AA929" i="9"/>
  <c r="Z929" i="9"/>
  <c r="Y929" i="9"/>
  <c r="X929" i="9"/>
  <c r="W929" i="9"/>
  <c r="V929" i="9"/>
  <c r="U929" i="9"/>
  <c r="T929" i="9"/>
  <c r="S929" i="9"/>
  <c r="R929" i="9"/>
  <c r="Q929" i="9"/>
  <c r="P929" i="9"/>
  <c r="O929" i="9"/>
  <c r="N929" i="9"/>
  <c r="M929" i="9"/>
  <c r="L929" i="9"/>
  <c r="K929" i="9"/>
  <c r="J929" i="9"/>
  <c r="I929" i="9"/>
  <c r="H929" i="9"/>
  <c r="G929" i="9"/>
  <c r="F929" i="9"/>
  <c r="E929" i="9"/>
  <c r="D929" i="9"/>
  <c r="AX928" i="9"/>
  <c r="AN928" i="9" s="1"/>
  <c r="AV928" i="9"/>
  <c r="AT928" i="9"/>
  <c r="AH928" i="9" s="1"/>
  <c r="AS928" i="9"/>
  <c r="AR928" i="9"/>
  <c r="AQ928" i="9"/>
  <c r="AW928" i="9" s="1"/>
  <c r="AM928" i="9" s="1"/>
  <c r="AL928" i="9"/>
  <c r="AJ928" i="9"/>
  <c r="AI928" i="9"/>
  <c r="AG928" i="9"/>
  <c r="AF928" i="9"/>
  <c r="AE928" i="9"/>
  <c r="AD928" i="9"/>
  <c r="AC928" i="9"/>
  <c r="AB928" i="9"/>
  <c r="AA928" i="9"/>
  <c r="Z928" i="9"/>
  <c r="Y928" i="9"/>
  <c r="X928" i="9"/>
  <c r="W928" i="9"/>
  <c r="V928" i="9"/>
  <c r="U928" i="9"/>
  <c r="T928" i="9"/>
  <c r="S928" i="9"/>
  <c r="R928" i="9"/>
  <c r="Q928" i="9"/>
  <c r="P928" i="9"/>
  <c r="O928" i="9"/>
  <c r="N928" i="9"/>
  <c r="M928" i="9"/>
  <c r="L928" i="9"/>
  <c r="K928" i="9"/>
  <c r="J928" i="9"/>
  <c r="I928" i="9"/>
  <c r="H928" i="9"/>
  <c r="G928" i="9"/>
  <c r="F928" i="9"/>
  <c r="E928" i="9"/>
  <c r="D928" i="9"/>
  <c r="AY927" i="9"/>
  <c r="AW927" i="9"/>
  <c r="AM927" i="9" s="1"/>
  <c r="AV927" i="9"/>
  <c r="AL927" i="9" s="1"/>
  <c r="AR927" i="9"/>
  <c r="AS927" i="9" s="1"/>
  <c r="AQ927" i="9"/>
  <c r="AX927" i="9" s="1"/>
  <c r="AN927" i="9" s="1"/>
  <c r="AO927" i="9"/>
  <c r="AG927" i="9"/>
  <c r="AF927" i="9"/>
  <c r="AE927" i="9"/>
  <c r="AD927" i="9"/>
  <c r="AC927" i="9"/>
  <c r="AB927" i="9"/>
  <c r="AA927" i="9"/>
  <c r="Z927" i="9"/>
  <c r="Y927" i="9"/>
  <c r="X927" i="9"/>
  <c r="W927" i="9"/>
  <c r="V927" i="9"/>
  <c r="U927" i="9"/>
  <c r="T927" i="9"/>
  <c r="S927" i="9"/>
  <c r="R927" i="9"/>
  <c r="Q927" i="9"/>
  <c r="P927" i="9"/>
  <c r="O927" i="9"/>
  <c r="N927" i="9"/>
  <c r="M927" i="9"/>
  <c r="L927" i="9"/>
  <c r="K927" i="9"/>
  <c r="J927" i="9"/>
  <c r="I927" i="9"/>
  <c r="H927" i="9"/>
  <c r="G927" i="9"/>
  <c r="F927" i="9"/>
  <c r="E927" i="9"/>
  <c r="D927" i="9"/>
  <c r="AY926" i="9"/>
  <c r="AO926" i="9" s="1"/>
  <c r="AU926" i="9"/>
  <c r="AK926" i="9" s="1"/>
  <c r="AR926" i="9"/>
  <c r="AS926" i="9" s="1"/>
  <c r="AQ926" i="9"/>
  <c r="AG926" i="9"/>
  <c r="AF926" i="9"/>
  <c r="AE926" i="9"/>
  <c r="AD926" i="9"/>
  <c r="AC926" i="9"/>
  <c r="AB926" i="9"/>
  <c r="AA926" i="9"/>
  <c r="Z926" i="9"/>
  <c r="Y926" i="9"/>
  <c r="X926" i="9"/>
  <c r="W926" i="9"/>
  <c r="V926" i="9"/>
  <c r="U926" i="9"/>
  <c r="T926" i="9"/>
  <c r="S926" i="9"/>
  <c r="R926" i="9"/>
  <c r="Q926" i="9"/>
  <c r="P926" i="9"/>
  <c r="O926" i="9"/>
  <c r="N926" i="9"/>
  <c r="M926" i="9"/>
  <c r="L926" i="9"/>
  <c r="K926" i="9"/>
  <c r="J926" i="9"/>
  <c r="I926" i="9"/>
  <c r="H926" i="9"/>
  <c r="G926" i="9"/>
  <c r="F926" i="9"/>
  <c r="E926" i="9"/>
  <c r="D926" i="9"/>
  <c r="AY925" i="9"/>
  <c r="AW925" i="9"/>
  <c r="AM925" i="9" s="1"/>
  <c r="AV925" i="9"/>
  <c r="AL925" i="9" s="1"/>
  <c r="AU925" i="9"/>
  <c r="AK925" i="9" s="1"/>
  <c r="AT925" i="9"/>
  <c r="AR925" i="9"/>
  <c r="AS925" i="9" s="1"/>
  <c r="AQ925" i="9"/>
  <c r="AX925" i="9" s="1"/>
  <c r="AN925" i="9" s="1"/>
  <c r="AO925" i="9"/>
  <c r="AJ925" i="9"/>
  <c r="AG925" i="9"/>
  <c r="AF925" i="9"/>
  <c r="AE925" i="9"/>
  <c r="AD925" i="9"/>
  <c r="AC925" i="9"/>
  <c r="AB925" i="9"/>
  <c r="AA925" i="9"/>
  <c r="Z925" i="9"/>
  <c r="Y925" i="9"/>
  <c r="X925" i="9"/>
  <c r="W925" i="9"/>
  <c r="V925" i="9"/>
  <c r="U925" i="9"/>
  <c r="T925" i="9"/>
  <c r="S925" i="9"/>
  <c r="R925" i="9"/>
  <c r="Q925" i="9"/>
  <c r="P925" i="9"/>
  <c r="O925" i="9"/>
  <c r="N925" i="9"/>
  <c r="M925" i="9"/>
  <c r="L925" i="9"/>
  <c r="K925" i="9"/>
  <c r="J925" i="9"/>
  <c r="I925" i="9"/>
  <c r="H925" i="9"/>
  <c r="G925" i="9"/>
  <c r="F925" i="9"/>
  <c r="E925" i="9"/>
  <c r="D925" i="9"/>
  <c r="AX924" i="9"/>
  <c r="AN924" i="9" s="1"/>
  <c r="AW924" i="9"/>
  <c r="AM924" i="9" s="1"/>
  <c r="AV924" i="9"/>
  <c r="AU924" i="9"/>
  <c r="AK924" i="9" s="1"/>
  <c r="AR924" i="9"/>
  <c r="AS924" i="9" s="1"/>
  <c r="AQ924" i="9"/>
  <c r="AT924" i="9" s="1"/>
  <c r="AJ924" i="9" s="1"/>
  <c r="AL924" i="9"/>
  <c r="AI924" i="9"/>
  <c r="AG924" i="9"/>
  <c r="AF924" i="9"/>
  <c r="AE924" i="9"/>
  <c r="AD924" i="9"/>
  <c r="AC924" i="9"/>
  <c r="AB924" i="9"/>
  <c r="AA924" i="9"/>
  <c r="Z924" i="9"/>
  <c r="Y924" i="9"/>
  <c r="X924" i="9"/>
  <c r="W924" i="9"/>
  <c r="V924" i="9"/>
  <c r="U924" i="9"/>
  <c r="T924" i="9"/>
  <c r="S924" i="9"/>
  <c r="R924" i="9"/>
  <c r="Q924" i="9"/>
  <c r="P924" i="9"/>
  <c r="O924" i="9"/>
  <c r="N924" i="9"/>
  <c r="M924" i="9"/>
  <c r="L924" i="9"/>
  <c r="K924" i="9"/>
  <c r="J924" i="9"/>
  <c r="I924" i="9"/>
  <c r="H924" i="9"/>
  <c r="G924" i="9"/>
  <c r="F924" i="9"/>
  <c r="E924" i="9"/>
  <c r="D924" i="9"/>
  <c r="AX923" i="9"/>
  <c r="AN923" i="9" s="1"/>
  <c r="AW923" i="9"/>
  <c r="AM923" i="9" s="1"/>
  <c r="AU923" i="9"/>
  <c r="AK923" i="9" s="1"/>
  <c r="AQ923" i="9"/>
  <c r="AG923" i="9"/>
  <c r="AF923" i="9"/>
  <c r="AE923" i="9"/>
  <c r="AD923" i="9"/>
  <c r="AC923" i="9"/>
  <c r="AB923" i="9"/>
  <c r="AA923" i="9"/>
  <c r="Z923" i="9"/>
  <c r="Y923" i="9"/>
  <c r="X923" i="9"/>
  <c r="W923" i="9"/>
  <c r="V923" i="9"/>
  <c r="U923" i="9"/>
  <c r="T923" i="9"/>
  <c r="S923" i="9"/>
  <c r="R923" i="9"/>
  <c r="Q923" i="9"/>
  <c r="P923" i="9"/>
  <c r="O923" i="9"/>
  <c r="N923" i="9"/>
  <c r="M923" i="9"/>
  <c r="L923" i="9"/>
  <c r="K923" i="9"/>
  <c r="J923" i="9"/>
  <c r="I923" i="9"/>
  <c r="H923" i="9"/>
  <c r="G923" i="9"/>
  <c r="F923" i="9"/>
  <c r="E923" i="9"/>
  <c r="D923" i="9"/>
  <c r="AT922" i="9"/>
  <c r="AQ922" i="9"/>
  <c r="AG922" i="9"/>
  <c r="AF922" i="9"/>
  <c r="AE922" i="9"/>
  <c r="AD922" i="9"/>
  <c r="AC922" i="9"/>
  <c r="AB922" i="9"/>
  <c r="AA922" i="9"/>
  <c r="Z922" i="9"/>
  <c r="Y922" i="9"/>
  <c r="X922" i="9"/>
  <c r="W922" i="9"/>
  <c r="V922" i="9"/>
  <c r="U922" i="9"/>
  <c r="T922" i="9"/>
  <c r="S922" i="9"/>
  <c r="R922" i="9"/>
  <c r="Q922" i="9"/>
  <c r="P922" i="9"/>
  <c r="O922" i="9"/>
  <c r="N922" i="9"/>
  <c r="M922" i="9"/>
  <c r="L922" i="9"/>
  <c r="K922" i="9"/>
  <c r="J922" i="9"/>
  <c r="I922" i="9"/>
  <c r="H922" i="9"/>
  <c r="G922" i="9"/>
  <c r="F922" i="9"/>
  <c r="E922" i="9"/>
  <c r="D922" i="9"/>
  <c r="AT921" i="9"/>
  <c r="AQ921" i="9"/>
  <c r="AH921" i="9"/>
  <c r="AG921" i="9"/>
  <c r="AF921" i="9"/>
  <c r="AE921" i="9"/>
  <c r="AD921" i="9"/>
  <c r="AC921" i="9"/>
  <c r="AB921" i="9"/>
  <c r="AA921" i="9"/>
  <c r="Z921" i="9"/>
  <c r="Y921" i="9"/>
  <c r="X921" i="9"/>
  <c r="W921" i="9"/>
  <c r="V921" i="9"/>
  <c r="U921" i="9"/>
  <c r="T921" i="9"/>
  <c r="S921" i="9"/>
  <c r="R921" i="9"/>
  <c r="Q921" i="9"/>
  <c r="P921" i="9"/>
  <c r="O921" i="9"/>
  <c r="N921" i="9"/>
  <c r="M921" i="9"/>
  <c r="L921" i="9"/>
  <c r="K921" i="9"/>
  <c r="J921" i="9"/>
  <c r="I921" i="9"/>
  <c r="H921" i="9"/>
  <c r="G921" i="9"/>
  <c r="F921" i="9"/>
  <c r="E921" i="9"/>
  <c r="D921" i="9"/>
  <c r="AY920" i="9"/>
  <c r="AO920" i="9" s="1"/>
  <c r="AW920" i="9"/>
  <c r="AM920" i="9" s="1"/>
  <c r="AV920" i="9"/>
  <c r="AL920" i="9" s="1"/>
  <c r="AT920" i="9"/>
  <c r="AR920" i="9"/>
  <c r="AS920" i="9" s="1"/>
  <c r="AQ920" i="9"/>
  <c r="AX920" i="9" s="1"/>
  <c r="AN920" i="9" s="1"/>
  <c r="AI920" i="9"/>
  <c r="AG920" i="9"/>
  <c r="AF920" i="9"/>
  <c r="AE920" i="9"/>
  <c r="AD920" i="9"/>
  <c r="AC920" i="9"/>
  <c r="AB920" i="9"/>
  <c r="AA920" i="9"/>
  <c r="Z920" i="9"/>
  <c r="Y920" i="9"/>
  <c r="X920" i="9"/>
  <c r="W920" i="9"/>
  <c r="V920" i="9"/>
  <c r="U920" i="9"/>
  <c r="T920" i="9"/>
  <c r="S920" i="9"/>
  <c r="R920" i="9"/>
  <c r="Q920" i="9"/>
  <c r="P920" i="9"/>
  <c r="O920" i="9"/>
  <c r="N920" i="9"/>
  <c r="M920" i="9"/>
  <c r="L920" i="9"/>
  <c r="K920" i="9"/>
  <c r="J920" i="9"/>
  <c r="I920" i="9"/>
  <c r="H920" i="9"/>
  <c r="G920" i="9"/>
  <c r="F920" i="9"/>
  <c r="E920" i="9"/>
  <c r="D920" i="9"/>
  <c r="AY919" i="9"/>
  <c r="AO919" i="9" s="1"/>
  <c r="AX919" i="9"/>
  <c r="AN919" i="9" s="1"/>
  <c r="AV919" i="9"/>
  <c r="AU919" i="9"/>
  <c r="AR919" i="9"/>
  <c r="AS919" i="9" s="1"/>
  <c r="AQ919" i="9"/>
  <c r="AW919" i="9" s="1"/>
  <c r="AM919" i="9" s="1"/>
  <c r="AL919" i="9"/>
  <c r="AK919" i="9"/>
  <c r="AG919" i="9"/>
  <c r="AF919" i="9"/>
  <c r="AE919" i="9"/>
  <c r="AD919" i="9"/>
  <c r="AC919" i="9"/>
  <c r="AB919" i="9"/>
  <c r="AA919" i="9"/>
  <c r="Z919" i="9"/>
  <c r="Y919" i="9"/>
  <c r="X919" i="9"/>
  <c r="W919" i="9"/>
  <c r="V919" i="9"/>
  <c r="U919" i="9"/>
  <c r="T919" i="9"/>
  <c r="S919" i="9"/>
  <c r="R919" i="9"/>
  <c r="Q919" i="9"/>
  <c r="P919" i="9"/>
  <c r="O919" i="9"/>
  <c r="N919" i="9"/>
  <c r="M919" i="9"/>
  <c r="L919" i="9"/>
  <c r="K919" i="9"/>
  <c r="J919" i="9"/>
  <c r="I919" i="9"/>
  <c r="H919" i="9"/>
  <c r="G919" i="9"/>
  <c r="F919" i="9"/>
  <c r="E919" i="9"/>
  <c r="D919" i="9"/>
  <c r="AQ918" i="9"/>
  <c r="AG918" i="9"/>
  <c r="AF918" i="9"/>
  <c r="AE918" i="9"/>
  <c r="AD918" i="9"/>
  <c r="AC918" i="9"/>
  <c r="AB918" i="9"/>
  <c r="AA918" i="9"/>
  <c r="Z918" i="9"/>
  <c r="Y918" i="9"/>
  <c r="X918" i="9"/>
  <c r="W918" i="9"/>
  <c r="V918" i="9"/>
  <c r="U918" i="9"/>
  <c r="T918" i="9"/>
  <c r="S918" i="9"/>
  <c r="R918" i="9"/>
  <c r="Q918" i="9"/>
  <c r="P918" i="9"/>
  <c r="O918" i="9"/>
  <c r="N918" i="9"/>
  <c r="M918" i="9"/>
  <c r="L918" i="9"/>
  <c r="K918" i="9"/>
  <c r="J918" i="9"/>
  <c r="I918" i="9"/>
  <c r="H918" i="9"/>
  <c r="G918" i="9"/>
  <c r="F918" i="9"/>
  <c r="E918" i="9"/>
  <c r="D918" i="9"/>
  <c r="AY917" i="9"/>
  <c r="AO917" i="9" s="1"/>
  <c r="AW917" i="9"/>
  <c r="AM917" i="9" s="1"/>
  <c r="AV917" i="9"/>
  <c r="AL917" i="9" s="1"/>
  <c r="AT917" i="9"/>
  <c r="AI917" i="9" s="1"/>
  <c r="AR917" i="9"/>
  <c r="AS917" i="9" s="1"/>
  <c r="AQ917" i="9"/>
  <c r="AX917" i="9" s="1"/>
  <c r="AN917" i="9" s="1"/>
  <c r="AJ917" i="9"/>
  <c r="AH917" i="9"/>
  <c r="AG917" i="9"/>
  <c r="AF917" i="9"/>
  <c r="AE917" i="9"/>
  <c r="AD917" i="9"/>
  <c r="AC917" i="9"/>
  <c r="AB917" i="9"/>
  <c r="AA917" i="9"/>
  <c r="Z917" i="9"/>
  <c r="Y917" i="9"/>
  <c r="X917" i="9"/>
  <c r="W917" i="9"/>
  <c r="V917" i="9"/>
  <c r="U917" i="9"/>
  <c r="T917" i="9"/>
  <c r="S917" i="9"/>
  <c r="R917" i="9"/>
  <c r="Q917" i="9"/>
  <c r="P917" i="9"/>
  <c r="O917" i="9"/>
  <c r="N917" i="9"/>
  <c r="M917" i="9"/>
  <c r="L917" i="9"/>
  <c r="K917" i="9"/>
  <c r="J917" i="9"/>
  <c r="I917" i="9"/>
  <c r="H917" i="9"/>
  <c r="G917" i="9"/>
  <c r="F917" i="9"/>
  <c r="E917" i="9"/>
  <c r="D917" i="9"/>
  <c r="AY916" i="9"/>
  <c r="AO916" i="9" s="1"/>
  <c r="AW916" i="9"/>
  <c r="AV916" i="9"/>
  <c r="AT916" i="9"/>
  <c r="AI916" i="9" s="1"/>
  <c r="AS916" i="9"/>
  <c r="AR916" i="9"/>
  <c r="AQ916" i="9"/>
  <c r="AX916" i="9" s="1"/>
  <c r="AN916" i="9" s="1"/>
  <c r="AM916" i="9"/>
  <c r="AL916" i="9"/>
  <c r="AJ916" i="9"/>
  <c r="AH916" i="9"/>
  <c r="AG916" i="9"/>
  <c r="AF916" i="9"/>
  <c r="AE916" i="9"/>
  <c r="AD916" i="9"/>
  <c r="AC916" i="9"/>
  <c r="AB916" i="9"/>
  <c r="AA916" i="9"/>
  <c r="Z916" i="9"/>
  <c r="Y916" i="9"/>
  <c r="X916" i="9"/>
  <c r="W916" i="9"/>
  <c r="V916" i="9"/>
  <c r="U916" i="9"/>
  <c r="T916" i="9"/>
  <c r="S916" i="9"/>
  <c r="R916" i="9"/>
  <c r="Q916" i="9"/>
  <c r="P916" i="9"/>
  <c r="O916" i="9"/>
  <c r="N916" i="9"/>
  <c r="M916" i="9"/>
  <c r="L916" i="9"/>
  <c r="K916" i="9"/>
  <c r="J916" i="9"/>
  <c r="I916" i="9"/>
  <c r="H916" i="9"/>
  <c r="G916" i="9"/>
  <c r="F916" i="9"/>
  <c r="E916" i="9"/>
  <c r="D916" i="9"/>
  <c r="AX915" i="9"/>
  <c r="AN915" i="9" s="1"/>
  <c r="AU915" i="9"/>
  <c r="AK915" i="9" s="1"/>
  <c r="AS915" i="9"/>
  <c r="AR915" i="9"/>
  <c r="AQ915" i="9"/>
  <c r="AY915" i="9" s="1"/>
  <c r="AO915" i="9"/>
  <c r="AG915" i="9"/>
  <c r="AF915" i="9"/>
  <c r="AE915" i="9"/>
  <c r="AD915" i="9"/>
  <c r="AC915" i="9"/>
  <c r="AB915" i="9"/>
  <c r="AA915" i="9"/>
  <c r="Z915" i="9"/>
  <c r="Y915" i="9"/>
  <c r="X915" i="9"/>
  <c r="W915" i="9"/>
  <c r="V915" i="9"/>
  <c r="U915" i="9"/>
  <c r="T915" i="9"/>
  <c r="S915" i="9"/>
  <c r="R915" i="9"/>
  <c r="Q915" i="9"/>
  <c r="P915" i="9"/>
  <c r="O915" i="9"/>
  <c r="N915" i="9"/>
  <c r="M915" i="9"/>
  <c r="L915" i="9"/>
  <c r="K915" i="9"/>
  <c r="J915" i="9"/>
  <c r="I915" i="9"/>
  <c r="H915" i="9"/>
  <c r="G915" i="9"/>
  <c r="F915" i="9"/>
  <c r="E915" i="9"/>
  <c r="D915" i="9"/>
  <c r="AY914" i="9"/>
  <c r="AX914" i="9"/>
  <c r="AN914" i="9" s="1"/>
  <c r="AW914" i="9"/>
  <c r="AM914" i="9" s="1"/>
  <c r="AV914" i="9"/>
  <c r="AL914" i="9" s="1"/>
  <c r="AU914" i="9"/>
  <c r="AK914" i="9" s="1"/>
  <c r="AS914" i="9"/>
  <c r="AR914" i="9"/>
  <c r="AQ914" i="9"/>
  <c r="AT914" i="9" s="1"/>
  <c r="AJ914" i="9" s="1"/>
  <c r="AO914" i="9"/>
  <c r="AG914" i="9"/>
  <c r="AF914" i="9"/>
  <c r="AE914" i="9"/>
  <c r="AD914" i="9"/>
  <c r="AC914" i="9"/>
  <c r="AB914" i="9"/>
  <c r="AA914" i="9"/>
  <c r="Z914" i="9"/>
  <c r="Y914" i="9"/>
  <c r="X914" i="9"/>
  <c r="W914" i="9"/>
  <c r="V914" i="9"/>
  <c r="U914" i="9"/>
  <c r="T914" i="9"/>
  <c r="S914" i="9"/>
  <c r="R914" i="9"/>
  <c r="Q914" i="9"/>
  <c r="P914" i="9"/>
  <c r="O914" i="9"/>
  <c r="N914" i="9"/>
  <c r="M914" i="9"/>
  <c r="L914" i="9"/>
  <c r="K914" i="9"/>
  <c r="J914" i="9"/>
  <c r="I914" i="9"/>
  <c r="H914" i="9"/>
  <c r="G914" i="9"/>
  <c r="F914" i="9"/>
  <c r="E914" i="9"/>
  <c r="D914" i="9"/>
  <c r="AT913" i="9"/>
  <c r="AQ913" i="9"/>
  <c r="AG913" i="9"/>
  <c r="AF913" i="9"/>
  <c r="AE913" i="9"/>
  <c r="AD913" i="9"/>
  <c r="AC913" i="9"/>
  <c r="AB913" i="9"/>
  <c r="AA913" i="9"/>
  <c r="Z913" i="9"/>
  <c r="Y913" i="9"/>
  <c r="X913" i="9"/>
  <c r="W913" i="9"/>
  <c r="V913" i="9"/>
  <c r="U913" i="9"/>
  <c r="T913" i="9"/>
  <c r="S913" i="9"/>
  <c r="R913" i="9"/>
  <c r="Q913" i="9"/>
  <c r="P913" i="9"/>
  <c r="O913" i="9"/>
  <c r="N913" i="9"/>
  <c r="M913" i="9"/>
  <c r="L913" i="9"/>
  <c r="K913" i="9"/>
  <c r="J913" i="9"/>
  <c r="I913" i="9"/>
  <c r="H913" i="9"/>
  <c r="G913" i="9"/>
  <c r="F913" i="9"/>
  <c r="E913" i="9"/>
  <c r="D913" i="9"/>
  <c r="AY912" i="9"/>
  <c r="AO912" i="9" s="1"/>
  <c r="AV912" i="9"/>
  <c r="AL912" i="9" s="1"/>
  <c r="AT912" i="9"/>
  <c r="AQ912" i="9"/>
  <c r="AJ912" i="9"/>
  <c r="AG912" i="9"/>
  <c r="AF912" i="9"/>
  <c r="AE912" i="9"/>
  <c r="AD912" i="9"/>
  <c r="AC912" i="9"/>
  <c r="AB912" i="9"/>
  <c r="AA912" i="9"/>
  <c r="Z912" i="9"/>
  <c r="Y912" i="9"/>
  <c r="X912" i="9"/>
  <c r="W912" i="9"/>
  <c r="V912" i="9"/>
  <c r="U912" i="9"/>
  <c r="T912" i="9"/>
  <c r="S912" i="9"/>
  <c r="R912" i="9"/>
  <c r="Q912" i="9"/>
  <c r="P912" i="9"/>
  <c r="O912" i="9"/>
  <c r="N912" i="9"/>
  <c r="M912" i="9"/>
  <c r="L912" i="9"/>
  <c r="K912" i="9"/>
  <c r="J912" i="9"/>
  <c r="I912" i="9"/>
  <c r="H912" i="9"/>
  <c r="G912" i="9"/>
  <c r="F912" i="9"/>
  <c r="E912" i="9"/>
  <c r="D912" i="9"/>
  <c r="AY911" i="9"/>
  <c r="AO911" i="9" s="1"/>
  <c r="AX911" i="9"/>
  <c r="AN911" i="9" s="1"/>
  <c r="AW911" i="9"/>
  <c r="AM911" i="9" s="1"/>
  <c r="AV911" i="9"/>
  <c r="AL911" i="9" s="1"/>
  <c r="AT911" i="9"/>
  <c r="AH911" i="9" s="1"/>
  <c r="AQ911" i="9"/>
  <c r="AU911" i="9" s="1"/>
  <c r="AK911" i="9" s="1"/>
  <c r="AJ911" i="9"/>
  <c r="AI911" i="9"/>
  <c r="AG911" i="9"/>
  <c r="AF911" i="9"/>
  <c r="AE911" i="9"/>
  <c r="AD911" i="9"/>
  <c r="AC911" i="9"/>
  <c r="AB911" i="9"/>
  <c r="AA911" i="9"/>
  <c r="Z911" i="9"/>
  <c r="Y911" i="9"/>
  <c r="X911" i="9"/>
  <c r="W911" i="9"/>
  <c r="V911" i="9"/>
  <c r="U911" i="9"/>
  <c r="T911" i="9"/>
  <c r="S911" i="9"/>
  <c r="R911" i="9"/>
  <c r="Q911" i="9"/>
  <c r="P911" i="9"/>
  <c r="O911" i="9"/>
  <c r="N911" i="9"/>
  <c r="M911" i="9"/>
  <c r="L911" i="9"/>
  <c r="K911" i="9"/>
  <c r="J911" i="9"/>
  <c r="I911" i="9"/>
  <c r="H911" i="9"/>
  <c r="G911" i="9"/>
  <c r="F911" i="9"/>
  <c r="E911" i="9"/>
  <c r="D911" i="9"/>
  <c r="AY910" i="9"/>
  <c r="AX910" i="9"/>
  <c r="AV910" i="9"/>
  <c r="AU910" i="9"/>
  <c r="AK910" i="9" s="1"/>
  <c r="AR910" i="9"/>
  <c r="AS910" i="9" s="1"/>
  <c r="AQ910" i="9"/>
  <c r="AW910" i="9" s="1"/>
  <c r="AM910" i="9" s="1"/>
  <c r="AO910" i="9"/>
  <c r="AN910" i="9"/>
  <c r="AL910" i="9"/>
  <c r="AG910" i="9"/>
  <c r="AF910" i="9"/>
  <c r="AE910" i="9"/>
  <c r="AD910" i="9"/>
  <c r="AC910" i="9"/>
  <c r="AB910" i="9"/>
  <c r="AA910" i="9"/>
  <c r="Z910" i="9"/>
  <c r="Y910" i="9"/>
  <c r="X910" i="9"/>
  <c r="W910" i="9"/>
  <c r="V910" i="9"/>
  <c r="U910" i="9"/>
  <c r="T910" i="9"/>
  <c r="S910" i="9"/>
  <c r="R910" i="9"/>
  <c r="Q910" i="9"/>
  <c r="P910" i="9"/>
  <c r="O910" i="9"/>
  <c r="N910" i="9"/>
  <c r="M910" i="9"/>
  <c r="L910" i="9"/>
  <c r="K910" i="9"/>
  <c r="J910" i="9"/>
  <c r="I910" i="9"/>
  <c r="H910" i="9"/>
  <c r="G910" i="9"/>
  <c r="F910" i="9"/>
  <c r="E910" i="9"/>
  <c r="D910" i="9"/>
  <c r="AY909" i="9"/>
  <c r="AX909" i="9"/>
  <c r="AW909" i="9"/>
  <c r="AM909" i="9" s="1"/>
  <c r="AV909" i="9"/>
  <c r="AU909" i="9"/>
  <c r="AK909" i="9" s="1"/>
  <c r="AT909" i="9"/>
  <c r="AR909" i="9"/>
  <c r="AS909" i="9" s="1"/>
  <c r="AQ909" i="9"/>
  <c r="AO909" i="9"/>
  <c r="AN909" i="9"/>
  <c r="AL909" i="9"/>
  <c r="AG909" i="9"/>
  <c r="AF909" i="9"/>
  <c r="AE909" i="9"/>
  <c r="AD909" i="9"/>
  <c r="AC909" i="9"/>
  <c r="AB909" i="9"/>
  <c r="AA909" i="9"/>
  <c r="Z909" i="9"/>
  <c r="Y909" i="9"/>
  <c r="X909" i="9"/>
  <c r="W909" i="9"/>
  <c r="V909" i="9"/>
  <c r="U909" i="9"/>
  <c r="T909" i="9"/>
  <c r="S909" i="9"/>
  <c r="R909" i="9"/>
  <c r="Q909" i="9"/>
  <c r="P909" i="9"/>
  <c r="O909" i="9"/>
  <c r="N909" i="9"/>
  <c r="M909" i="9"/>
  <c r="L909" i="9"/>
  <c r="K909" i="9"/>
  <c r="J909" i="9"/>
  <c r="I909" i="9"/>
  <c r="H909" i="9"/>
  <c r="G909" i="9"/>
  <c r="F909" i="9"/>
  <c r="E909" i="9"/>
  <c r="D909" i="9"/>
  <c r="AW908" i="9"/>
  <c r="AM908" i="9" s="1"/>
  <c r="AQ908" i="9"/>
  <c r="AG908" i="9"/>
  <c r="AF908" i="9"/>
  <c r="AE908" i="9"/>
  <c r="AD908" i="9"/>
  <c r="AC908" i="9"/>
  <c r="AB908" i="9"/>
  <c r="AA908" i="9"/>
  <c r="Z908" i="9"/>
  <c r="Y908" i="9"/>
  <c r="X908" i="9"/>
  <c r="W908" i="9"/>
  <c r="V908" i="9"/>
  <c r="U908" i="9"/>
  <c r="T908" i="9"/>
  <c r="S908" i="9"/>
  <c r="R908" i="9"/>
  <c r="Q908" i="9"/>
  <c r="P908" i="9"/>
  <c r="O908" i="9"/>
  <c r="N908" i="9"/>
  <c r="M908" i="9"/>
  <c r="L908" i="9"/>
  <c r="K908" i="9"/>
  <c r="J908" i="9"/>
  <c r="I908" i="9"/>
  <c r="H908" i="9"/>
  <c r="G908" i="9"/>
  <c r="F908" i="9"/>
  <c r="E908" i="9"/>
  <c r="D908" i="9"/>
  <c r="AQ907" i="9"/>
  <c r="AG907" i="9"/>
  <c r="AF907" i="9"/>
  <c r="AE907" i="9"/>
  <c r="AD907" i="9"/>
  <c r="AC907" i="9"/>
  <c r="AB907" i="9"/>
  <c r="AA907" i="9"/>
  <c r="Z907" i="9"/>
  <c r="Y907" i="9"/>
  <c r="X907" i="9"/>
  <c r="W907" i="9"/>
  <c r="V907" i="9"/>
  <c r="U907" i="9"/>
  <c r="T907" i="9"/>
  <c r="S907" i="9"/>
  <c r="R907" i="9"/>
  <c r="Q907" i="9"/>
  <c r="P907" i="9"/>
  <c r="O907" i="9"/>
  <c r="N907" i="9"/>
  <c r="M907" i="9"/>
  <c r="L907" i="9"/>
  <c r="K907" i="9"/>
  <c r="J907" i="9"/>
  <c r="I907" i="9"/>
  <c r="H907" i="9"/>
  <c r="G907" i="9"/>
  <c r="F907" i="9"/>
  <c r="E907" i="9"/>
  <c r="D907" i="9"/>
  <c r="AX906" i="9"/>
  <c r="AN906" i="9" s="1"/>
  <c r="AV906" i="9"/>
  <c r="AL906" i="9" s="1"/>
  <c r="AU906" i="9"/>
  <c r="AK906" i="9" s="1"/>
  <c r="AQ906" i="9"/>
  <c r="AG906" i="9"/>
  <c r="AF906" i="9"/>
  <c r="AE906" i="9"/>
  <c r="AD906" i="9"/>
  <c r="AC906" i="9"/>
  <c r="AB906" i="9"/>
  <c r="AA906" i="9"/>
  <c r="Z906" i="9"/>
  <c r="Y906" i="9"/>
  <c r="X906" i="9"/>
  <c r="W906" i="9"/>
  <c r="V906" i="9"/>
  <c r="U906" i="9"/>
  <c r="T906" i="9"/>
  <c r="S906" i="9"/>
  <c r="R906" i="9"/>
  <c r="Q906" i="9"/>
  <c r="P906" i="9"/>
  <c r="O906" i="9"/>
  <c r="N906" i="9"/>
  <c r="M906" i="9"/>
  <c r="L906" i="9"/>
  <c r="K906" i="9"/>
  <c r="J906" i="9"/>
  <c r="I906" i="9"/>
  <c r="H906" i="9"/>
  <c r="G906" i="9"/>
  <c r="F906" i="9"/>
  <c r="E906" i="9"/>
  <c r="D906" i="9"/>
  <c r="AY905" i="9"/>
  <c r="AO905" i="9" s="1"/>
  <c r="AX905" i="9"/>
  <c r="AV905" i="9"/>
  <c r="AU905" i="9"/>
  <c r="AR905" i="9"/>
  <c r="AS905" i="9" s="1"/>
  <c r="AQ905" i="9"/>
  <c r="AW905" i="9" s="1"/>
  <c r="AM905" i="9" s="1"/>
  <c r="AN905" i="9"/>
  <c r="AL905" i="9"/>
  <c r="AK905" i="9"/>
  <c r="AG905" i="9"/>
  <c r="AF905" i="9"/>
  <c r="AE905" i="9"/>
  <c r="AD905" i="9"/>
  <c r="AC905" i="9"/>
  <c r="AB905" i="9"/>
  <c r="AA905" i="9"/>
  <c r="Z905" i="9"/>
  <c r="Y905" i="9"/>
  <c r="X905" i="9"/>
  <c r="W905" i="9"/>
  <c r="V905" i="9"/>
  <c r="U905" i="9"/>
  <c r="T905" i="9"/>
  <c r="S905" i="9"/>
  <c r="R905" i="9"/>
  <c r="Q905" i="9"/>
  <c r="P905" i="9"/>
  <c r="O905" i="9"/>
  <c r="N905" i="9"/>
  <c r="M905" i="9"/>
  <c r="L905" i="9"/>
  <c r="K905" i="9"/>
  <c r="J905" i="9"/>
  <c r="I905" i="9"/>
  <c r="H905" i="9"/>
  <c r="G905" i="9"/>
  <c r="F905" i="9"/>
  <c r="E905" i="9"/>
  <c r="D905" i="9"/>
  <c r="AW904" i="9"/>
  <c r="AM904" i="9" s="1"/>
  <c r="AT904" i="9"/>
  <c r="AR904" i="9"/>
  <c r="AS904" i="9" s="1"/>
  <c r="AQ904" i="9"/>
  <c r="AH904" i="9"/>
  <c r="AG904" i="9"/>
  <c r="AF904" i="9"/>
  <c r="AE904" i="9"/>
  <c r="AD904" i="9"/>
  <c r="AC904" i="9"/>
  <c r="AB904" i="9"/>
  <c r="AA904" i="9"/>
  <c r="Z904" i="9"/>
  <c r="Y904" i="9"/>
  <c r="X904" i="9"/>
  <c r="W904" i="9"/>
  <c r="V904" i="9"/>
  <c r="U904" i="9"/>
  <c r="T904" i="9"/>
  <c r="S904" i="9"/>
  <c r="R904" i="9"/>
  <c r="Q904" i="9"/>
  <c r="P904" i="9"/>
  <c r="O904" i="9"/>
  <c r="N904" i="9"/>
  <c r="M904" i="9"/>
  <c r="L904" i="9"/>
  <c r="K904" i="9"/>
  <c r="J904" i="9"/>
  <c r="I904" i="9"/>
  <c r="H904" i="9"/>
  <c r="G904" i="9"/>
  <c r="F904" i="9"/>
  <c r="E904" i="9"/>
  <c r="D904" i="9"/>
  <c r="AY903" i="9"/>
  <c r="AO903" i="9" s="1"/>
  <c r="AW903" i="9"/>
  <c r="AM903" i="9" s="1"/>
  <c r="AV903" i="9"/>
  <c r="AL903" i="9" s="1"/>
  <c r="AT903" i="9"/>
  <c r="AI903" i="9" s="1"/>
  <c r="AR903" i="9"/>
  <c r="AS903" i="9" s="1"/>
  <c r="AQ903" i="9"/>
  <c r="AX903" i="9" s="1"/>
  <c r="AN903" i="9" s="1"/>
  <c r="AG903" i="9"/>
  <c r="AF903" i="9"/>
  <c r="AE903" i="9"/>
  <c r="AD903" i="9"/>
  <c r="AC903" i="9"/>
  <c r="AB903" i="9"/>
  <c r="AA903" i="9"/>
  <c r="Z903" i="9"/>
  <c r="Y903" i="9"/>
  <c r="X903" i="9"/>
  <c r="W903" i="9"/>
  <c r="V903" i="9"/>
  <c r="U903" i="9"/>
  <c r="T903" i="9"/>
  <c r="S903" i="9"/>
  <c r="R903" i="9"/>
  <c r="Q903" i="9"/>
  <c r="P903" i="9"/>
  <c r="O903" i="9"/>
  <c r="N903" i="9"/>
  <c r="M903" i="9"/>
  <c r="L903" i="9"/>
  <c r="K903" i="9"/>
  <c r="J903" i="9"/>
  <c r="I903" i="9"/>
  <c r="H903" i="9"/>
  <c r="G903" i="9"/>
  <c r="F903" i="9"/>
  <c r="E903" i="9"/>
  <c r="D903" i="9"/>
  <c r="AY902" i="9"/>
  <c r="AO902" i="9" s="1"/>
  <c r="AW902" i="9"/>
  <c r="AM902" i="9" s="1"/>
  <c r="AV902" i="9"/>
  <c r="AL902" i="9" s="1"/>
  <c r="AT902" i="9"/>
  <c r="AI902" i="9" s="1"/>
  <c r="AS902" i="9"/>
  <c r="AR902" i="9"/>
  <c r="AQ902" i="9"/>
  <c r="AX902" i="9" s="1"/>
  <c r="AN902" i="9" s="1"/>
  <c r="AJ902" i="9"/>
  <c r="AH902" i="9"/>
  <c r="AG902" i="9"/>
  <c r="AF902" i="9"/>
  <c r="AE902" i="9"/>
  <c r="AD902" i="9"/>
  <c r="AC902" i="9"/>
  <c r="AB902" i="9"/>
  <c r="AA902" i="9"/>
  <c r="Z902" i="9"/>
  <c r="Y902" i="9"/>
  <c r="X902" i="9"/>
  <c r="W902" i="9"/>
  <c r="V902" i="9"/>
  <c r="U902" i="9"/>
  <c r="T902" i="9"/>
  <c r="S902" i="9"/>
  <c r="R902" i="9"/>
  <c r="Q902" i="9"/>
  <c r="P902" i="9"/>
  <c r="O902" i="9"/>
  <c r="N902" i="9"/>
  <c r="M902" i="9"/>
  <c r="L902" i="9"/>
  <c r="K902" i="9"/>
  <c r="J902" i="9"/>
  <c r="I902" i="9"/>
  <c r="H902" i="9"/>
  <c r="G902" i="9"/>
  <c r="F902" i="9"/>
  <c r="E902" i="9"/>
  <c r="D902" i="9"/>
  <c r="AR901" i="9"/>
  <c r="AS901" i="9" s="1"/>
  <c r="AQ901" i="9"/>
  <c r="AG901" i="9"/>
  <c r="AF901" i="9"/>
  <c r="AE901" i="9"/>
  <c r="AD901" i="9"/>
  <c r="AC901" i="9"/>
  <c r="AB901" i="9"/>
  <c r="AA901" i="9"/>
  <c r="Z901" i="9"/>
  <c r="Y901" i="9"/>
  <c r="X901" i="9"/>
  <c r="W901" i="9"/>
  <c r="V901" i="9"/>
  <c r="U901" i="9"/>
  <c r="T901" i="9"/>
  <c r="S901" i="9"/>
  <c r="R901" i="9"/>
  <c r="Q901" i="9"/>
  <c r="P901" i="9"/>
  <c r="O901" i="9"/>
  <c r="N901" i="9"/>
  <c r="M901" i="9"/>
  <c r="L901" i="9"/>
  <c r="K901" i="9"/>
  <c r="J901" i="9"/>
  <c r="I901" i="9"/>
  <c r="H901" i="9"/>
  <c r="G901" i="9"/>
  <c r="F901" i="9"/>
  <c r="E901" i="9"/>
  <c r="D901" i="9"/>
  <c r="AY900" i="9"/>
  <c r="AX900" i="9"/>
  <c r="AW900" i="9"/>
  <c r="AM900" i="9" s="1"/>
  <c r="AV900" i="9"/>
  <c r="AL900" i="9" s="1"/>
  <c r="AU900" i="9"/>
  <c r="AK900" i="9" s="1"/>
  <c r="AR900" i="9"/>
  <c r="AS900" i="9" s="1"/>
  <c r="AQ900" i="9"/>
  <c r="AT900" i="9" s="1"/>
  <c r="AJ900" i="9" s="1"/>
  <c r="AO900" i="9"/>
  <c r="AN900" i="9"/>
  <c r="AG900" i="9"/>
  <c r="AF900" i="9"/>
  <c r="AE900" i="9"/>
  <c r="AD900" i="9"/>
  <c r="AC900" i="9"/>
  <c r="AB900" i="9"/>
  <c r="AA900" i="9"/>
  <c r="Z900" i="9"/>
  <c r="Y900" i="9"/>
  <c r="X900" i="9"/>
  <c r="W900" i="9"/>
  <c r="V900" i="9"/>
  <c r="U900" i="9"/>
  <c r="T900" i="9"/>
  <c r="S900" i="9"/>
  <c r="R900" i="9"/>
  <c r="Q900" i="9"/>
  <c r="P900" i="9"/>
  <c r="O900" i="9"/>
  <c r="N900" i="9"/>
  <c r="M900" i="9"/>
  <c r="L900" i="9"/>
  <c r="K900" i="9"/>
  <c r="J900" i="9"/>
  <c r="I900" i="9"/>
  <c r="H900" i="9"/>
  <c r="G900" i="9"/>
  <c r="F900" i="9"/>
  <c r="E900" i="9"/>
  <c r="D900" i="9"/>
  <c r="AQ899" i="9"/>
  <c r="AG899" i="9"/>
  <c r="AF899" i="9"/>
  <c r="AE899" i="9"/>
  <c r="AD899" i="9"/>
  <c r="AC899" i="9"/>
  <c r="AB899" i="9"/>
  <c r="AA899" i="9"/>
  <c r="Z899" i="9"/>
  <c r="Y899" i="9"/>
  <c r="X899" i="9"/>
  <c r="W899" i="9"/>
  <c r="V899" i="9"/>
  <c r="U899" i="9"/>
  <c r="T899" i="9"/>
  <c r="S899" i="9"/>
  <c r="R899" i="9"/>
  <c r="Q899" i="9"/>
  <c r="P899" i="9"/>
  <c r="O899" i="9"/>
  <c r="N899" i="9"/>
  <c r="M899" i="9"/>
  <c r="L899" i="9"/>
  <c r="K899" i="9"/>
  <c r="J899" i="9"/>
  <c r="I899" i="9"/>
  <c r="H899" i="9"/>
  <c r="G899" i="9"/>
  <c r="F899" i="9"/>
  <c r="E899" i="9"/>
  <c r="D899" i="9"/>
  <c r="AQ898" i="9"/>
  <c r="AG898" i="9"/>
  <c r="AF898" i="9"/>
  <c r="AE898" i="9"/>
  <c r="AD898" i="9"/>
  <c r="AC898" i="9"/>
  <c r="AB898" i="9"/>
  <c r="AA898" i="9"/>
  <c r="Z898" i="9"/>
  <c r="Y898" i="9"/>
  <c r="X898" i="9"/>
  <c r="W898" i="9"/>
  <c r="V898" i="9"/>
  <c r="U898" i="9"/>
  <c r="T898" i="9"/>
  <c r="S898" i="9"/>
  <c r="R898" i="9"/>
  <c r="Q898" i="9"/>
  <c r="P898" i="9"/>
  <c r="O898" i="9"/>
  <c r="N898" i="9"/>
  <c r="M898" i="9"/>
  <c r="L898" i="9"/>
  <c r="K898" i="9"/>
  <c r="J898" i="9"/>
  <c r="I898" i="9"/>
  <c r="H898" i="9"/>
  <c r="G898" i="9"/>
  <c r="F898" i="9"/>
  <c r="E898" i="9"/>
  <c r="D898" i="9"/>
  <c r="AX897" i="9"/>
  <c r="AN897" i="9" s="1"/>
  <c r="AV897" i="9"/>
  <c r="AQ897" i="9"/>
  <c r="AL897" i="9"/>
  <c r="AG897" i="9"/>
  <c r="AF897" i="9"/>
  <c r="AE897" i="9"/>
  <c r="AD897" i="9"/>
  <c r="AC897" i="9"/>
  <c r="AB897" i="9"/>
  <c r="AA897" i="9"/>
  <c r="Z897" i="9"/>
  <c r="Y897" i="9"/>
  <c r="X897" i="9"/>
  <c r="W897" i="9"/>
  <c r="V897" i="9"/>
  <c r="U897" i="9"/>
  <c r="T897" i="9"/>
  <c r="S897" i="9"/>
  <c r="R897" i="9"/>
  <c r="Q897" i="9"/>
  <c r="P897" i="9"/>
  <c r="O897" i="9"/>
  <c r="N897" i="9"/>
  <c r="M897" i="9"/>
  <c r="L897" i="9"/>
  <c r="K897" i="9"/>
  <c r="J897" i="9"/>
  <c r="I897" i="9"/>
  <c r="H897" i="9"/>
  <c r="G897" i="9"/>
  <c r="F897" i="9"/>
  <c r="E897" i="9"/>
  <c r="D897" i="9"/>
  <c r="AX896" i="9"/>
  <c r="AU896" i="9"/>
  <c r="AK896" i="9" s="1"/>
  <c r="AQ896" i="9"/>
  <c r="AN896" i="9"/>
  <c r="AG896" i="9"/>
  <c r="AF896" i="9"/>
  <c r="AE896" i="9"/>
  <c r="AD896" i="9"/>
  <c r="AC896" i="9"/>
  <c r="AB896" i="9"/>
  <c r="AA896" i="9"/>
  <c r="Z896" i="9"/>
  <c r="Y896" i="9"/>
  <c r="X896" i="9"/>
  <c r="W896" i="9"/>
  <c r="V896" i="9"/>
  <c r="U896" i="9"/>
  <c r="T896" i="9"/>
  <c r="S896" i="9"/>
  <c r="R896" i="9"/>
  <c r="Q896" i="9"/>
  <c r="P896" i="9"/>
  <c r="O896" i="9"/>
  <c r="N896" i="9"/>
  <c r="M896" i="9"/>
  <c r="L896" i="9"/>
  <c r="K896" i="9"/>
  <c r="J896" i="9"/>
  <c r="I896" i="9"/>
  <c r="H896" i="9"/>
  <c r="G896" i="9"/>
  <c r="F896" i="9"/>
  <c r="E896" i="9"/>
  <c r="D896" i="9"/>
  <c r="AY895" i="9"/>
  <c r="AX895" i="9"/>
  <c r="AW895" i="9"/>
  <c r="AM895" i="9" s="1"/>
  <c r="AV895" i="9"/>
  <c r="AU895" i="9"/>
  <c r="AK895" i="9" s="1"/>
  <c r="AT895" i="9"/>
  <c r="AI895" i="9" s="1"/>
  <c r="AR895" i="9"/>
  <c r="AS895" i="9" s="1"/>
  <c r="AQ895" i="9"/>
  <c r="AO895" i="9"/>
  <c r="AN895" i="9"/>
  <c r="AL895" i="9"/>
  <c r="AG895" i="9"/>
  <c r="AF895" i="9"/>
  <c r="AE895" i="9"/>
  <c r="AD895" i="9"/>
  <c r="AC895" i="9"/>
  <c r="AB895" i="9"/>
  <c r="AA895" i="9"/>
  <c r="Z895" i="9"/>
  <c r="Y895" i="9"/>
  <c r="X895" i="9"/>
  <c r="W895" i="9"/>
  <c r="V895" i="9"/>
  <c r="U895" i="9"/>
  <c r="T895" i="9"/>
  <c r="S895" i="9"/>
  <c r="R895" i="9"/>
  <c r="Q895" i="9"/>
  <c r="P895" i="9"/>
  <c r="O895" i="9"/>
  <c r="N895" i="9"/>
  <c r="M895" i="9"/>
  <c r="L895" i="9"/>
  <c r="K895" i="9"/>
  <c r="J895" i="9"/>
  <c r="I895" i="9"/>
  <c r="H895" i="9"/>
  <c r="G895" i="9"/>
  <c r="F895" i="9"/>
  <c r="E895" i="9"/>
  <c r="D895" i="9"/>
  <c r="AY894" i="9"/>
  <c r="AO894" i="9" s="1"/>
  <c r="AT894" i="9"/>
  <c r="AJ894" i="9" s="1"/>
  <c r="AR894" i="9"/>
  <c r="AS894" i="9" s="1"/>
  <c r="AQ894" i="9"/>
  <c r="AV894" i="9" s="1"/>
  <c r="AL894" i="9" s="1"/>
  <c r="AG894" i="9"/>
  <c r="AF894" i="9"/>
  <c r="AE894" i="9"/>
  <c r="AD894" i="9"/>
  <c r="AC894" i="9"/>
  <c r="AB894" i="9"/>
  <c r="AA894" i="9"/>
  <c r="Z894" i="9"/>
  <c r="Y894" i="9"/>
  <c r="X894" i="9"/>
  <c r="W894" i="9"/>
  <c r="V894" i="9"/>
  <c r="U894" i="9"/>
  <c r="T894" i="9"/>
  <c r="S894" i="9"/>
  <c r="R894" i="9"/>
  <c r="Q894" i="9"/>
  <c r="P894" i="9"/>
  <c r="O894" i="9"/>
  <c r="N894" i="9"/>
  <c r="M894" i="9"/>
  <c r="L894" i="9"/>
  <c r="K894" i="9"/>
  <c r="J894" i="9"/>
  <c r="I894" i="9"/>
  <c r="H894" i="9"/>
  <c r="G894" i="9"/>
  <c r="F894" i="9"/>
  <c r="E894" i="9"/>
  <c r="D894" i="9"/>
  <c r="AV893" i="9"/>
  <c r="AL893" i="9" s="1"/>
  <c r="AU893" i="9"/>
  <c r="AK893" i="9" s="1"/>
  <c r="AQ893" i="9"/>
  <c r="AY893" i="9" s="1"/>
  <c r="AO893" i="9" s="1"/>
  <c r="AG893" i="9"/>
  <c r="AF893" i="9"/>
  <c r="AE893" i="9"/>
  <c r="AD893" i="9"/>
  <c r="AC893" i="9"/>
  <c r="AB893" i="9"/>
  <c r="AA893" i="9"/>
  <c r="Z893" i="9"/>
  <c r="Y893" i="9"/>
  <c r="X893" i="9"/>
  <c r="W893" i="9"/>
  <c r="V893" i="9"/>
  <c r="U893" i="9"/>
  <c r="T893" i="9"/>
  <c r="S893" i="9"/>
  <c r="R893" i="9"/>
  <c r="Q893" i="9"/>
  <c r="P893" i="9"/>
  <c r="O893" i="9"/>
  <c r="N893" i="9"/>
  <c r="M893" i="9"/>
  <c r="L893" i="9"/>
  <c r="K893" i="9"/>
  <c r="J893" i="9"/>
  <c r="I893" i="9"/>
  <c r="H893" i="9"/>
  <c r="G893" i="9"/>
  <c r="F893" i="9"/>
  <c r="E893" i="9"/>
  <c r="D893" i="9"/>
  <c r="AY892" i="9"/>
  <c r="AX892" i="9"/>
  <c r="AN892" i="9" s="1"/>
  <c r="AW892" i="9"/>
  <c r="AM892" i="9" s="1"/>
  <c r="AV892" i="9"/>
  <c r="AL892" i="9" s="1"/>
  <c r="AT892" i="9"/>
  <c r="AJ892" i="9" s="1"/>
  <c r="AS892" i="9"/>
  <c r="AQ892" i="9"/>
  <c r="AR892" i="9" s="1"/>
  <c r="AO892" i="9"/>
  <c r="AG892" i="9"/>
  <c r="AF892" i="9"/>
  <c r="AE892" i="9"/>
  <c r="AD892" i="9"/>
  <c r="AC892" i="9"/>
  <c r="AB892" i="9"/>
  <c r="AA892" i="9"/>
  <c r="Z892" i="9"/>
  <c r="Y892" i="9"/>
  <c r="X892" i="9"/>
  <c r="W892" i="9"/>
  <c r="V892" i="9"/>
  <c r="U892" i="9"/>
  <c r="T892" i="9"/>
  <c r="S892" i="9"/>
  <c r="R892" i="9"/>
  <c r="Q892" i="9"/>
  <c r="P892" i="9"/>
  <c r="O892" i="9"/>
  <c r="N892" i="9"/>
  <c r="M892" i="9"/>
  <c r="L892" i="9"/>
  <c r="K892" i="9"/>
  <c r="J892" i="9"/>
  <c r="I892" i="9"/>
  <c r="H892" i="9"/>
  <c r="G892" i="9"/>
  <c r="F892" i="9"/>
  <c r="E892" i="9"/>
  <c r="D892" i="9"/>
  <c r="AQ891" i="9"/>
  <c r="AY891" i="9" s="1"/>
  <c r="AO891" i="9" s="1"/>
  <c r="AG891" i="9"/>
  <c r="AF891" i="9"/>
  <c r="AE891" i="9"/>
  <c r="AD891" i="9"/>
  <c r="AC891" i="9"/>
  <c r="AB891" i="9"/>
  <c r="AA891" i="9"/>
  <c r="Z891" i="9"/>
  <c r="Y891" i="9"/>
  <c r="X891" i="9"/>
  <c r="W891" i="9"/>
  <c r="V891" i="9"/>
  <c r="U891" i="9"/>
  <c r="T891" i="9"/>
  <c r="S891" i="9"/>
  <c r="R891" i="9"/>
  <c r="Q891" i="9"/>
  <c r="P891" i="9"/>
  <c r="O891" i="9"/>
  <c r="N891" i="9"/>
  <c r="M891" i="9"/>
  <c r="L891" i="9"/>
  <c r="K891" i="9"/>
  <c r="J891" i="9"/>
  <c r="I891" i="9"/>
  <c r="H891" i="9"/>
  <c r="G891" i="9"/>
  <c r="F891" i="9"/>
  <c r="E891" i="9"/>
  <c r="D891" i="9"/>
  <c r="AX890" i="9"/>
  <c r="AN890" i="9" s="1"/>
  <c r="AT890" i="9"/>
  <c r="AJ890" i="9" s="1"/>
  <c r="AR890" i="9"/>
  <c r="AS890" i="9" s="1"/>
  <c r="AQ890" i="9"/>
  <c r="AY890" i="9" s="1"/>
  <c r="AO890" i="9"/>
  <c r="AG890" i="9"/>
  <c r="AF890" i="9"/>
  <c r="AE890" i="9"/>
  <c r="AD890" i="9"/>
  <c r="AC890" i="9"/>
  <c r="AB890" i="9"/>
  <c r="AA890" i="9"/>
  <c r="Z890" i="9"/>
  <c r="Y890" i="9"/>
  <c r="X890" i="9"/>
  <c r="W890" i="9"/>
  <c r="V890" i="9"/>
  <c r="U890" i="9"/>
  <c r="T890" i="9"/>
  <c r="S890" i="9"/>
  <c r="R890" i="9"/>
  <c r="Q890" i="9"/>
  <c r="P890" i="9"/>
  <c r="O890" i="9"/>
  <c r="N890" i="9"/>
  <c r="M890" i="9"/>
  <c r="L890" i="9"/>
  <c r="K890" i="9"/>
  <c r="J890" i="9"/>
  <c r="I890" i="9"/>
  <c r="H890" i="9"/>
  <c r="G890" i="9"/>
  <c r="F890" i="9"/>
  <c r="E890" i="9"/>
  <c r="D890" i="9"/>
  <c r="AW889" i="9"/>
  <c r="AU889" i="9"/>
  <c r="AK889" i="9" s="1"/>
  <c r="AT889" i="9"/>
  <c r="AI889" i="9" s="1"/>
  <c r="AR889" i="9"/>
  <c r="AS889" i="9" s="1"/>
  <c r="AQ889" i="9"/>
  <c r="AY889" i="9" s="1"/>
  <c r="AO889" i="9" s="1"/>
  <c r="AM889" i="9"/>
  <c r="AJ889" i="9"/>
  <c r="AG889" i="9"/>
  <c r="AF889" i="9"/>
  <c r="AE889" i="9"/>
  <c r="AD889" i="9"/>
  <c r="AC889" i="9"/>
  <c r="AB889" i="9"/>
  <c r="AA889" i="9"/>
  <c r="Z889" i="9"/>
  <c r="Y889" i="9"/>
  <c r="X889" i="9"/>
  <c r="W889" i="9"/>
  <c r="V889" i="9"/>
  <c r="U889" i="9"/>
  <c r="T889" i="9"/>
  <c r="S889" i="9"/>
  <c r="R889" i="9"/>
  <c r="Q889" i="9"/>
  <c r="P889" i="9"/>
  <c r="O889" i="9"/>
  <c r="N889" i="9"/>
  <c r="M889" i="9"/>
  <c r="L889" i="9"/>
  <c r="K889" i="9"/>
  <c r="J889" i="9"/>
  <c r="I889" i="9"/>
  <c r="H889" i="9"/>
  <c r="G889" i="9"/>
  <c r="F889" i="9"/>
  <c r="E889" i="9"/>
  <c r="D889" i="9"/>
  <c r="AQ888" i="9"/>
  <c r="AG888" i="9"/>
  <c r="AF888" i="9"/>
  <c r="AE888" i="9"/>
  <c r="AD888" i="9"/>
  <c r="AC888" i="9"/>
  <c r="AB888" i="9"/>
  <c r="AA888" i="9"/>
  <c r="Z888" i="9"/>
  <c r="Y888" i="9"/>
  <c r="X888" i="9"/>
  <c r="W888" i="9"/>
  <c r="V888" i="9"/>
  <c r="U888" i="9"/>
  <c r="T888" i="9"/>
  <c r="S888" i="9"/>
  <c r="R888" i="9"/>
  <c r="Q888" i="9"/>
  <c r="P888" i="9"/>
  <c r="O888" i="9"/>
  <c r="N888" i="9"/>
  <c r="M888" i="9"/>
  <c r="L888" i="9"/>
  <c r="K888" i="9"/>
  <c r="J888" i="9"/>
  <c r="I888" i="9"/>
  <c r="H888" i="9"/>
  <c r="G888" i="9"/>
  <c r="F888" i="9"/>
  <c r="E888" i="9"/>
  <c r="D888" i="9"/>
  <c r="AU887" i="9"/>
  <c r="AK887" i="9" s="1"/>
  <c r="AQ887" i="9"/>
  <c r="AR887" i="9" s="1"/>
  <c r="AS887" i="9" s="1"/>
  <c r="AG887" i="9"/>
  <c r="AF887" i="9"/>
  <c r="AE887" i="9"/>
  <c r="AD887" i="9"/>
  <c r="AC887" i="9"/>
  <c r="AB887" i="9"/>
  <c r="AA887" i="9"/>
  <c r="Z887" i="9"/>
  <c r="Y887" i="9"/>
  <c r="X887" i="9"/>
  <c r="W887" i="9"/>
  <c r="V887" i="9"/>
  <c r="U887" i="9"/>
  <c r="T887" i="9"/>
  <c r="S887" i="9"/>
  <c r="R887" i="9"/>
  <c r="Q887" i="9"/>
  <c r="P887" i="9"/>
  <c r="O887" i="9"/>
  <c r="N887" i="9"/>
  <c r="M887" i="9"/>
  <c r="L887" i="9"/>
  <c r="K887" i="9"/>
  <c r="J887" i="9"/>
  <c r="I887" i="9"/>
  <c r="H887" i="9"/>
  <c r="G887" i="9"/>
  <c r="F887" i="9"/>
  <c r="E887" i="9"/>
  <c r="D887" i="9"/>
  <c r="AY886" i="9"/>
  <c r="AO886" i="9" s="1"/>
  <c r="AX886" i="9"/>
  <c r="AN886" i="9" s="1"/>
  <c r="AW886" i="9"/>
  <c r="AM886" i="9" s="1"/>
  <c r="AV886" i="9"/>
  <c r="AU886" i="9"/>
  <c r="AK886" i="9" s="1"/>
  <c r="AS886" i="9"/>
  <c r="AR886" i="9"/>
  <c r="AQ886" i="9"/>
  <c r="AT886" i="9" s="1"/>
  <c r="AL886" i="9"/>
  <c r="AJ886" i="9"/>
  <c r="AI886" i="9"/>
  <c r="AH886" i="9"/>
  <c r="AG886" i="9"/>
  <c r="AF886" i="9"/>
  <c r="AE886" i="9"/>
  <c r="AD886" i="9"/>
  <c r="AC886" i="9"/>
  <c r="AB886" i="9"/>
  <c r="AA886" i="9"/>
  <c r="Z886" i="9"/>
  <c r="Y886" i="9"/>
  <c r="X886" i="9"/>
  <c r="W886" i="9"/>
  <c r="V886" i="9"/>
  <c r="U886" i="9"/>
  <c r="T886" i="9"/>
  <c r="S886" i="9"/>
  <c r="R886" i="9"/>
  <c r="Q886" i="9"/>
  <c r="P886" i="9"/>
  <c r="O886" i="9"/>
  <c r="N886" i="9"/>
  <c r="M886" i="9"/>
  <c r="L886" i="9"/>
  <c r="K886" i="9"/>
  <c r="J886" i="9"/>
  <c r="I886" i="9"/>
  <c r="H886" i="9"/>
  <c r="G886" i="9"/>
  <c r="F886" i="9"/>
  <c r="E886" i="9"/>
  <c r="D886" i="9"/>
  <c r="AX885" i="9"/>
  <c r="AW885" i="9"/>
  <c r="AM885" i="9" s="1"/>
  <c r="AQ885" i="9"/>
  <c r="AN885" i="9"/>
  <c r="AG885" i="9"/>
  <c r="AF885" i="9"/>
  <c r="AE885" i="9"/>
  <c r="AD885" i="9"/>
  <c r="AC885" i="9"/>
  <c r="AB885" i="9"/>
  <c r="AA885" i="9"/>
  <c r="Z885" i="9"/>
  <c r="Y885" i="9"/>
  <c r="X885" i="9"/>
  <c r="W885" i="9"/>
  <c r="V885" i="9"/>
  <c r="U885" i="9"/>
  <c r="T885" i="9"/>
  <c r="S885" i="9"/>
  <c r="R885" i="9"/>
  <c r="Q885" i="9"/>
  <c r="P885" i="9"/>
  <c r="O885" i="9"/>
  <c r="N885" i="9"/>
  <c r="M885" i="9"/>
  <c r="L885" i="9"/>
  <c r="K885" i="9"/>
  <c r="J885" i="9"/>
  <c r="I885" i="9"/>
  <c r="H885" i="9"/>
  <c r="G885" i="9"/>
  <c r="F885" i="9"/>
  <c r="E885" i="9"/>
  <c r="D885" i="9"/>
  <c r="AQ884" i="9"/>
  <c r="AY884" i="9" s="1"/>
  <c r="AO884" i="9" s="1"/>
  <c r="AG884" i="9"/>
  <c r="AF884" i="9"/>
  <c r="AE884" i="9"/>
  <c r="AD884" i="9"/>
  <c r="AC884" i="9"/>
  <c r="AB884" i="9"/>
  <c r="AA884" i="9"/>
  <c r="Z884" i="9"/>
  <c r="Y884" i="9"/>
  <c r="X884" i="9"/>
  <c r="W884" i="9"/>
  <c r="V884" i="9"/>
  <c r="U884" i="9"/>
  <c r="T884" i="9"/>
  <c r="S884" i="9"/>
  <c r="R884" i="9"/>
  <c r="Q884" i="9"/>
  <c r="P884" i="9"/>
  <c r="O884" i="9"/>
  <c r="N884" i="9"/>
  <c r="M884" i="9"/>
  <c r="L884" i="9"/>
  <c r="K884" i="9"/>
  <c r="J884" i="9"/>
  <c r="I884" i="9"/>
  <c r="H884" i="9"/>
  <c r="G884" i="9"/>
  <c r="F884" i="9"/>
  <c r="E884" i="9"/>
  <c r="D884" i="9"/>
  <c r="AQ883" i="9"/>
  <c r="AG883" i="9"/>
  <c r="AF883" i="9"/>
  <c r="AE883" i="9"/>
  <c r="AD883" i="9"/>
  <c r="AC883" i="9"/>
  <c r="AB883" i="9"/>
  <c r="AA883" i="9"/>
  <c r="Z883" i="9"/>
  <c r="Y883" i="9"/>
  <c r="X883" i="9"/>
  <c r="W883" i="9"/>
  <c r="V883" i="9"/>
  <c r="U883" i="9"/>
  <c r="T883" i="9"/>
  <c r="S883" i="9"/>
  <c r="R883" i="9"/>
  <c r="Q883" i="9"/>
  <c r="P883" i="9"/>
  <c r="O883" i="9"/>
  <c r="N883" i="9"/>
  <c r="M883" i="9"/>
  <c r="L883" i="9"/>
  <c r="K883" i="9"/>
  <c r="J883" i="9"/>
  <c r="I883" i="9"/>
  <c r="H883" i="9"/>
  <c r="G883" i="9"/>
  <c r="F883" i="9"/>
  <c r="E883" i="9"/>
  <c r="D883" i="9"/>
  <c r="AU882" i="9"/>
  <c r="AK882" i="9" s="1"/>
  <c r="AQ882" i="9"/>
  <c r="AW882" i="9" s="1"/>
  <c r="AM882" i="9" s="1"/>
  <c r="AG882" i="9"/>
  <c r="AF882" i="9"/>
  <c r="AE882" i="9"/>
  <c r="AD882" i="9"/>
  <c r="AC882" i="9"/>
  <c r="AB882" i="9"/>
  <c r="AA882" i="9"/>
  <c r="Z882" i="9"/>
  <c r="Y882" i="9"/>
  <c r="X882" i="9"/>
  <c r="W882" i="9"/>
  <c r="V882" i="9"/>
  <c r="U882" i="9"/>
  <c r="T882" i="9"/>
  <c r="S882" i="9"/>
  <c r="R882" i="9"/>
  <c r="Q882" i="9"/>
  <c r="P882" i="9"/>
  <c r="O882" i="9"/>
  <c r="N882" i="9"/>
  <c r="M882" i="9"/>
  <c r="L882" i="9"/>
  <c r="K882" i="9"/>
  <c r="J882" i="9"/>
  <c r="I882" i="9"/>
  <c r="H882" i="9"/>
  <c r="G882" i="9"/>
  <c r="F882" i="9"/>
  <c r="E882" i="9"/>
  <c r="D882" i="9"/>
  <c r="AY881" i="9"/>
  <c r="AO881" i="9" s="1"/>
  <c r="AX881" i="9"/>
  <c r="AN881" i="9" s="1"/>
  <c r="AW881" i="9"/>
  <c r="AM881" i="9" s="1"/>
  <c r="AV881" i="9"/>
  <c r="AU881" i="9"/>
  <c r="AT881" i="9"/>
  <c r="AJ881" i="9" s="1"/>
  <c r="AR881" i="9"/>
  <c r="AS881" i="9" s="1"/>
  <c r="AQ881" i="9"/>
  <c r="AL881" i="9"/>
  <c r="AK881" i="9"/>
  <c r="AH881" i="9"/>
  <c r="AG881" i="9"/>
  <c r="AF881" i="9"/>
  <c r="AE881" i="9"/>
  <c r="AD881" i="9"/>
  <c r="AC881" i="9"/>
  <c r="AB881" i="9"/>
  <c r="AA881" i="9"/>
  <c r="Z881" i="9"/>
  <c r="Y881" i="9"/>
  <c r="X881" i="9"/>
  <c r="W881" i="9"/>
  <c r="V881" i="9"/>
  <c r="U881" i="9"/>
  <c r="T881" i="9"/>
  <c r="S881" i="9"/>
  <c r="R881" i="9"/>
  <c r="Q881" i="9"/>
  <c r="P881" i="9"/>
  <c r="O881" i="9"/>
  <c r="N881" i="9"/>
  <c r="M881" i="9"/>
  <c r="L881" i="9"/>
  <c r="K881" i="9"/>
  <c r="J881" i="9"/>
  <c r="I881" i="9"/>
  <c r="H881" i="9"/>
  <c r="G881" i="9"/>
  <c r="F881" i="9"/>
  <c r="E881" i="9"/>
  <c r="D881" i="9"/>
  <c r="AY880" i="9"/>
  <c r="AO880" i="9" s="1"/>
  <c r="AX880" i="9"/>
  <c r="AN880" i="9" s="1"/>
  <c r="AU880" i="9"/>
  <c r="AT880" i="9"/>
  <c r="AH880" i="9" s="1"/>
  <c r="AQ880" i="9"/>
  <c r="AV880" i="9" s="1"/>
  <c r="AL880" i="9"/>
  <c r="AK880" i="9"/>
  <c r="AG880" i="9"/>
  <c r="AF880" i="9"/>
  <c r="AE880" i="9"/>
  <c r="AD880" i="9"/>
  <c r="AC880" i="9"/>
  <c r="AB880" i="9"/>
  <c r="AA880" i="9"/>
  <c r="Z880" i="9"/>
  <c r="Y880" i="9"/>
  <c r="X880" i="9"/>
  <c r="W880" i="9"/>
  <c r="V880" i="9"/>
  <c r="U880" i="9"/>
  <c r="T880" i="9"/>
  <c r="S880" i="9"/>
  <c r="R880" i="9"/>
  <c r="Q880" i="9"/>
  <c r="P880" i="9"/>
  <c r="O880" i="9"/>
  <c r="N880" i="9"/>
  <c r="M880" i="9"/>
  <c r="L880" i="9"/>
  <c r="K880" i="9"/>
  <c r="J880" i="9"/>
  <c r="I880" i="9"/>
  <c r="H880" i="9"/>
  <c r="G880" i="9"/>
  <c r="F880" i="9"/>
  <c r="E880" i="9"/>
  <c r="D880" i="9"/>
  <c r="AQ879" i="9"/>
  <c r="AX879" i="9" s="1"/>
  <c r="AN879" i="9" s="1"/>
  <c r="AG879" i="9"/>
  <c r="AF879" i="9"/>
  <c r="AE879" i="9"/>
  <c r="AD879" i="9"/>
  <c r="AC879" i="9"/>
  <c r="AB879" i="9"/>
  <c r="AA879" i="9"/>
  <c r="Z879" i="9"/>
  <c r="Y879" i="9"/>
  <c r="X879" i="9"/>
  <c r="W879" i="9"/>
  <c r="V879" i="9"/>
  <c r="U879" i="9"/>
  <c r="T879" i="9"/>
  <c r="S879" i="9"/>
  <c r="R879" i="9"/>
  <c r="Q879" i="9"/>
  <c r="P879" i="9"/>
  <c r="O879" i="9"/>
  <c r="N879" i="9"/>
  <c r="M879" i="9"/>
  <c r="L879" i="9"/>
  <c r="K879" i="9"/>
  <c r="J879" i="9"/>
  <c r="I879" i="9"/>
  <c r="H879" i="9"/>
  <c r="G879" i="9"/>
  <c r="F879" i="9"/>
  <c r="E879" i="9"/>
  <c r="D879" i="9"/>
  <c r="AV878" i="9"/>
  <c r="AT878" i="9"/>
  <c r="AJ878" i="9" s="1"/>
  <c r="AS878" i="9"/>
  <c r="AQ878" i="9"/>
  <c r="AR878" i="9" s="1"/>
  <c r="AL878" i="9"/>
  <c r="AG878" i="9"/>
  <c r="AF878" i="9"/>
  <c r="AE878" i="9"/>
  <c r="AD878" i="9"/>
  <c r="AC878" i="9"/>
  <c r="AB878" i="9"/>
  <c r="AA878" i="9"/>
  <c r="Z878" i="9"/>
  <c r="Y878" i="9"/>
  <c r="X878" i="9"/>
  <c r="W878" i="9"/>
  <c r="V878" i="9"/>
  <c r="U878" i="9"/>
  <c r="T878" i="9"/>
  <c r="S878" i="9"/>
  <c r="R878" i="9"/>
  <c r="Q878" i="9"/>
  <c r="P878" i="9"/>
  <c r="O878" i="9"/>
  <c r="N878" i="9"/>
  <c r="M878" i="9"/>
  <c r="L878" i="9"/>
  <c r="K878" i="9"/>
  <c r="J878" i="9"/>
  <c r="I878" i="9"/>
  <c r="H878" i="9"/>
  <c r="G878" i="9"/>
  <c r="F878" i="9"/>
  <c r="E878" i="9"/>
  <c r="D878" i="9"/>
  <c r="AY877" i="9"/>
  <c r="AV877" i="9"/>
  <c r="AL877" i="9" s="1"/>
  <c r="AU877" i="9"/>
  <c r="AK877" i="9" s="1"/>
  <c r="AQ877" i="9"/>
  <c r="AX877" i="9" s="1"/>
  <c r="AN877" i="9" s="1"/>
  <c r="AO877" i="9"/>
  <c r="AG877" i="9"/>
  <c r="AF877" i="9"/>
  <c r="AE877" i="9"/>
  <c r="AD877" i="9"/>
  <c r="AC877" i="9"/>
  <c r="AB877" i="9"/>
  <c r="AA877" i="9"/>
  <c r="Z877" i="9"/>
  <c r="Y877" i="9"/>
  <c r="X877" i="9"/>
  <c r="W877" i="9"/>
  <c r="V877" i="9"/>
  <c r="U877" i="9"/>
  <c r="T877" i="9"/>
  <c r="S877" i="9"/>
  <c r="R877" i="9"/>
  <c r="Q877" i="9"/>
  <c r="P877" i="9"/>
  <c r="O877" i="9"/>
  <c r="N877" i="9"/>
  <c r="M877" i="9"/>
  <c r="L877" i="9"/>
  <c r="K877" i="9"/>
  <c r="J877" i="9"/>
  <c r="I877" i="9"/>
  <c r="H877" i="9"/>
  <c r="G877" i="9"/>
  <c r="F877" i="9"/>
  <c r="E877" i="9"/>
  <c r="D877" i="9"/>
  <c r="AX876" i="9"/>
  <c r="AN876" i="9" s="1"/>
  <c r="AW876" i="9"/>
  <c r="AM876" i="9" s="1"/>
  <c r="AQ876" i="9"/>
  <c r="AY876" i="9" s="1"/>
  <c r="AO876" i="9" s="1"/>
  <c r="AG876" i="9"/>
  <c r="AF876" i="9"/>
  <c r="AE876" i="9"/>
  <c r="AD876" i="9"/>
  <c r="AC876" i="9"/>
  <c r="AB876" i="9"/>
  <c r="AA876" i="9"/>
  <c r="Z876" i="9"/>
  <c r="Y876" i="9"/>
  <c r="X876" i="9"/>
  <c r="W876" i="9"/>
  <c r="V876" i="9"/>
  <c r="U876" i="9"/>
  <c r="T876" i="9"/>
  <c r="S876" i="9"/>
  <c r="R876" i="9"/>
  <c r="Q876" i="9"/>
  <c r="P876" i="9"/>
  <c r="O876" i="9"/>
  <c r="N876" i="9"/>
  <c r="M876" i="9"/>
  <c r="L876" i="9"/>
  <c r="K876" i="9"/>
  <c r="J876" i="9"/>
  <c r="I876" i="9"/>
  <c r="H876" i="9"/>
  <c r="G876" i="9"/>
  <c r="F876" i="9"/>
  <c r="E876" i="9"/>
  <c r="D876" i="9"/>
  <c r="AY875" i="9"/>
  <c r="AO875" i="9" s="1"/>
  <c r="AW875" i="9"/>
  <c r="AM875" i="9" s="1"/>
  <c r="AV875" i="9"/>
  <c r="AL875" i="9" s="1"/>
  <c r="AT875" i="9"/>
  <c r="AH875" i="9" s="1"/>
  <c r="AR875" i="9"/>
  <c r="AS875" i="9" s="1"/>
  <c r="AQ875" i="9"/>
  <c r="AU875" i="9" s="1"/>
  <c r="AK875" i="9" s="1"/>
  <c r="AJ875" i="9"/>
  <c r="AI875" i="9"/>
  <c r="AG875" i="9"/>
  <c r="AF875" i="9"/>
  <c r="AE875" i="9"/>
  <c r="AD875" i="9"/>
  <c r="AC875" i="9"/>
  <c r="AB875" i="9"/>
  <c r="AA875" i="9"/>
  <c r="Z875" i="9"/>
  <c r="Y875" i="9"/>
  <c r="X875" i="9"/>
  <c r="W875" i="9"/>
  <c r="V875" i="9"/>
  <c r="U875" i="9"/>
  <c r="T875" i="9"/>
  <c r="S875" i="9"/>
  <c r="R875" i="9"/>
  <c r="Q875" i="9"/>
  <c r="P875" i="9"/>
  <c r="O875" i="9"/>
  <c r="N875" i="9"/>
  <c r="M875" i="9"/>
  <c r="L875" i="9"/>
  <c r="K875" i="9"/>
  <c r="J875" i="9"/>
  <c r="I875" i="9"/>
  <c r="H875" i="9"/>
  <c r="G875" i="9"/>
  <c r="F875" i="9"/>
  <c r="E875" i="9"/>
  <c r="D875" i="9"/>
  <c r="AY874" i="9"/>
  <c r="AO874" i="9" s="1"/>
  <c r="AV874" i="9"/>
  <c r="AT874" i="9"/>
  <c r="AI874" i="9" s="1"/>
  <c r="AR874" i="9"/>
  <c r="AS874" i="9" s="1"/>
  <c r="AQ874" i="9"/>
  <c r="AL874" i="9"/>
  <c r="AH874" i="9"/>
  <c r="AG874" i="9"/>
  <c r="AF874" i="9"/>
  <c r="AE874" i="9"/>
  <c r="AD874" i="9"/>
  <c r="AC874" i="9"/>
  <c r="AB874" i="9"/>
  <c r="AA874" i="9"/>
  <c r="Z874" i="9"/>
  <c r="Y874" i="9"/>
  <c r="X874" i="9"/>
  <c r="W874" i="9"/>
  <c r="V874" i="9"/>
  <c r="U874" i="9"/>
  <c r="T874" i="9"/>
  <c r="S874" i="9"/>
  <c r="R874" i="9"/>
  <c r="Q874" i="9"/>
  <c r="P874" i="9"/>
  <c r="O874" i="9"/>
  <c r="N874" i="9"/>
  <c r="M874" i="9"/>
  <c r="L874" i="9"/>
  <c r="K874" i="9"/>
  <c r="J874" i="9"/>
  <c r="I874" i="9"/>
  <c r="H874" i="9"/>
  <c r="G874" i="9"/>
  <c r="F874" i="9"/>
  <c r="E874" i="9"/>
  <c r="D874" i="9"/>
  <c r="AQ873" i="9"/>
  <c r="AG873" i="9"/>
  <c r="AF873" i="9"/>
  <c r="AE873" i="9"/>
  <c r="AD873" i="9"/>
  <c r="AC873" i="9"/>
  <c r="AB873" i="9"/>
  <c r="AA873" i="9"/>
  <c r="Z873" i="9"/>
  <c r="Y873" i="9"/>
  <c r="X873" i="9"/>
  <c r="W873" i="9"/>
  <c r="V873" i="9"/>
  <c r="U873" i="9"/>
  <c r="T873" i="9"/>
  <c r="S873" i="9"/>
  <c r="R873" i="9"/>
  <c r="Q873" i="9"/>
  <c r="P873" i="9"/>
  <c r="O873" i="9"/>
  <c r="N873" i="9"/>
  <c r="M873" i="9"/>
  <c r="L873" i="9"/>
  <c r="K873" i="9"/>
  <c r="J873" i="9"/>
  <c r="I873" i="9"/>
  <c r="H873" i="9"/>
  <c r="G873" i="9"/>
  <c r="F873" i="9"/>
  <c r="E873" i="9"/>
  <c r="D873" i="9"/>
  <c r="AY872" i="9"/>
  <c r="AO872" i="9" s="1"/>
  <c r="AX872" i="9"/>
  <c r="AW872" i="9"/>
  <c r="AM872" i="9" s="1"/>
  <c r="AV872" i="9"/>
  <c r="AU872" i="9"/>
  <c r="AK872" i="9" s="1"/>
  <c r="AS872" i="9"/>
  <c r="AR872" i="9"/>
  <c r="AQ872" i="9"/>
  <c r="AT872" i="9" s="1"/>
  <c r="AN872" i="9"/>
  <c r="AL872" i="9"/>
  <c r="AJ872" i="9"/>
  <c r="AI872" i="9"/>
  <c r="AH872" i="9"/>
  <c r="AG872" i="9"/>
  <c r="AF872" i="9"/>
  <c r="AE872" i="9"/>
  <c r="AD872" i="9"/>
  <c r="AC872" i="9"/>
  <c r="AB872" i="9"/>
  <c r="AA872" i="9"/>
  <c r="Z872" i="9"/>
  <c r="Y872" i="9"/>
  <c r="X872" i="9"/>
  <c r="W872" i="9"/>
  <c r="V872" i="9"/>
  <c r="U872" i="9"/>
  <c r="T872" i="9"/>
  <c r="S872" i="9"/>
  <c r="R872" i="9"/>
  <c r="Q872" i="9"/>
  <c r="P872" i="9"/>
  <c r="O872" i="9"/>
  <c r="N872" i="9"/>
  <c r="M872" i="9"/>
  <c r="L872" i="9"/>
  <c r="K872" i="9"/>
  <c r="J872" i="9"/>
  <c r="I872" i="9"/>
  <c r="H872" i="9"/>
  <c r="G872" i="9"/>
  <c r="F872" i="9"/>
  <c r="E872" i="9"/>
  <c r="D872" i="9"/>
  <c r="AX871" i="9"/>
  <c r="AN871" i="9" s="1"/>
  <c r="AW871" i="9"/>
  <c r="AM871" i="9" s="1"/>
  <c r="AU871" i="9"/>
  <c r="AK871" i="9" s="1"/>
  <c r="AR871" i="9"/>
  <c r="AS871" i="9" s="1"/>
  <c r="AQ871" i="9"/>
  <c r="AT871" i="9" s="1"/>
  <c r="AG871" i="9"/>
  <c r="AF871" i="9"/>
  <c r="AE871" i="9"/>
  <c r="AD871" i="9"/>
  <c r="AC871" i="9"/>
  <c r="AB871" i="9"/>
  <c r="AA871" i="9"/>
  <c r="Z871" i="9"/>
  <c r="Y871" i="9"/>
  <c r="X871" i="9"/>
  <c r="W871" i="9"/>
  <c r="V871" i="9"/>
  <c r="U871" i="9"/>
  <c r="T871" i="9"/>
  <c r="S871" i="9"/>
  <c r="R871" i="9"/>
  <c r="Q871" i="9"/>
  <c r="P871" i="9"/>
  <c r="O871" i="9"/>
  <c r="N871" i="9"/>
  <c r="M871" i="9"/>
  <c r="L871" i="9"/>
  <c r="K871" i="9"/>
  <c r="J871" i="9"/>
  <c r="I871" i="9"/>
  <c r="H871" i="9"/>
  <c r="G871" i="9"/>
  <c r="F871" i="9"/>
  <c r="E871" i="9"/>
  <c r="D871" i="9"/>
  <c r="AY870" i="9"/>
  <c r="AO870" i="9" s="1"/>
  <c r="AV870" i="9"/>
  <c r="AL870" i="9" s="1"/>
  <c r="AT870" i="9"/>
  <c r="AH870" i="9" s="1"/>
  <c r="AQ870" i="9"/>
  <c r="AW870" i="9" s="1"/>
  <c r="AM870" i="9" s="1"/>
  <c r="AJ870" i="9"/>
  <c r="AI870" i="9"/>
  <c r="AG870" i="9"/>
  <c r="AF870" i="9"/>
  <c r="AE870" i="9"/>
  <c r="AD870" i="9"/>
  <c r="AC870" i="9"/>
  <c r="AB870" i="9"/>
  <c r="AA870" i="9"/>
  <c r="Z870" i="9"/>
  <c r="Y870" i="9"/>
  <c r="X870" i="9"/>
  <c r="W870" i="9"/>
  <c r="V870" i="9"/>
  <c r="U870" i="9"/>
  <c r="T870" i="9"/>
  <c r="S870" i="9"/>
  <c r="R870" i="9"/>
  <c r="Q870" i="9"/>
  <c r="P870" i="9"/>
  <c r="O870" i="9"/>
  <c r="N870" i="9"/>
  <c r="M870" i="9"/>
  <c r="L870" i="9"/>
  <c r="K870" i="9"/>
  <c r="J870" i="9"/>
  <c r="I870" i="9"/>
  <c r="H870" i="9"/>
  <c r="G870" i="9"/>
  <c r="F870" i="9"/>
  <c r="E870" i="9"/>
  <c r="D870" i="9"/>
  <c r="AY869" i="9"/>
  <c r="AO869" i="9" s="1"/>
  <c r="AW869" i="9"/>
  <c r="AV869" i="9"/>
  <c r="AQ869" i="9"/>
  <c r="AM869" i="9"/>
  <c r="AL869" i="9"/>
  <c r="AG869" i="9"/>
  <c r="AF869" i="9"/>
  <c r="AE869" i="9"/>
  <c r="AD869" i="9"/>
  <c r="AC869" i="9"/>
  <c r="AB869" i="9"/>
  <c r="AA869" i="9"/>
  <c r="Z869" i="9"/>
  <c r="Y869" i="9"/>
  <c r="X869" i="9"/>
  <c r="W869" i="9"/>
  <c r="V869" i="9"/>
  <c r="U869" i="9"/>
  <c r="T869" i="9"/>
  <c r="S869" i="9"/>
  <c r="R869" i="9"/>
  <c r="Q869" i="9"/>
  <c r="P869" i="9"/>
  <c r="O869" i="9"/>
  <c r="N869" i="9"/>
  <c r="M869" i="9"/>
  <c r="L869" i="9"/>
  <c r="K869" i="9"/>
  <c r="J869" i="9"/>
  <c r="I869" i="9"/>
  <c r="H869" i="9"/>
  <c r="G869" i="9"/>
  <c r="F869" i="9"/>
  <c r="E869" i="9"/>
  <c r="D869" i="9"/>
  <c r="AQ868" i="9"/>
  <c r="AG868" i="9"/>
  <c r="AF868" i="9"/>
  <c r="AE868" i="9"/>
  <c r="AD868" i="9"/>
  <c r="AC868" i="9"/>
  <c r="AB868" i="9"/>
  <c r="AA868" i="9"/>
  <c r="Z868" i="9"/>
  <c r="Y868" i="9"/>
  <c r="X868" i="9"/>
  <c r="W868" i="9"/>
  <c r="V868" i="9"/>
  <c r="U868" i="9"/>
  <c r="T868" i="9"/>
  <c r="S868" i="9"/>
  <c r="R868" i="9"/>
  <c r="Q868" i="9"/>
  <c r="P868" i="9"/>
  <c r="O868" i="9"/>
  <c r="N868" i="9"/>
  <c r="M868" i="9"/>
  <c r="L868" i="9"/>
  <c r="K868" i="9"/>
  <c r="J868" i="9"/>
  <c r="I868" i="9"/>
  <c r="H868" i="9"/>
  <c r="G868" i="9"/>
  <c r="F868" i="9"/>
  <c r="E868" i="9"/>
  <c r="D868" i="9"/>
  <c r="AY867" i="9"/>
  <c r="AX867" i="9"/>
  <c r="AN867" i="9" s="1"/>
  <c r="AW867" i="9"/>
  <c r="AM867" i="9" s="1"/>
  <c r="AV867" i="9"/>
  <c r="AU867" i="9"/>
  <c r="AK867" i="9" s="1"/>
  <c r="AT867" i="9"/>
  <c r="AS867" i="9"/>
  <c r="AR867" i="9"/>
  <c r="AQ867" i="9"/>
  <c r="AO867" i="9"/>
  <c r="AL867" i="9"/>
  <c r="AG867" i="9"/>
  <c r="AF867" i="9"/>
  <c r="AE867" i="9"/>
  <c r="AD867" i="9"/>
  <c r="AC867" i="9"/>
  <c r="AB867" i="9"/>
  <c r="AA867" i="9"/>
  <c r="Z867" i="9"/>
  <c r="Y867" i="9"/>
  <c r="X867" i="9"/>
  <c r="W867" i="9"/>
  <c r="V867" i="9"/>
  <c r="U867" i="9"/>
  <c r="T867" i="9"/>
  <c r="S867" i="9"/>
  <c r="R867" i="9"/>
  <c r="Q867" i="9"/>
  <c r="P867" i="9"/>
  <c r="O867" i="9"/>
  <c r="N867" i="9"/>
  <c r="M867" i="9"/>
  <c r="L867" i="9"/>
  <c r="K867" i="9"/>
  <c r="J867" i="9"/>
  <c r="I867" i="9"/>
  <c r="H867" i="9"/>
  <c r="G867" i="9"/>
  <c r="F867" i="9"/>
  <c r="E867" i="9"/>
  <c r="D867" i="9"/>
  <c r="AY866" i="9"/>
  <c r="AO866" i="9" s="1"/>
  <c r="AX866" i="9"/>
  <c r="AN866" i="9" s="1"/>
  <c r="AW866" i="9"/>
  <c r="AM866" i="9" s="1"/>
  <c r="AT866" i="9"/>
  <c r="AI866" i="9" s="1"/>
  <c r="AR866" i="9"/>
  <c r="AS866" i="9" s="1"/>
  <c r="AQ866" i="9"/>
  <c r="AV866" i="9" s="1"/>
  <c r="AL866" i="9"/>
  <c r="AJ866" i="9"/>
  <c r="AH866" i="9"/>
  <c r="AG866" i="9"/>
  <c r="AF866" i="9"/>
  <c r="AE866" i="9"/>
  <c r="AD866" i="9"/>
  <c r="AC866" i="9"/>
  <c r="AB866" i="9"/>
  <c r="AA866" i="9"/>
  <c r="Z866" i="9"/>
  <c r="Y866" i="9"/>
  <c r="X866" i="9"/>
  <c r="W866" i="9"/>
  <c r="V866" i="9"/>
  <c r="U866" i="9"/>
  <c r="T866" i="9"/>
  <c r="S866" i="9"/>
  <c r="R866" i="9"/>
  <c r="Q866" i="9"/>
  <c r="P866" i="9"/>
  <c r="O866" i="9"/>
  <c r="N866" i="9"/>
  <c r="M866" i="9"/>
  <c r="L866" i="9"/>
  <c r="K866" i="9"/>
  <c r="J866" i="9"/>
  <c r="I866" i="9"/>
  <c r="H866" i="9"/>
  <c r="G866" i="9"/>
  <c r="F866" i="9"/>
  <c r="E866" i="9"/>
  <c r="D866" i="9"/>
  <c r="AV865" i="9"/>
  <c r="AL865" i="9" s="1"/>
  <c r="AT865" i="9"/>
  <c r="AI865" i="9" s="1"/>
  <c r="AQ865" i="9"/>
  <c r="AX865" i="9" s="1"/>
  <c r="AN865" i="9"/>
  <c r="AJ865" i="9"/>
  <c r="AH865" i="9"/>
  <c r="AG865" i="9"/>
  <c r="AF865" i="9"/>
  <c r="AE865" i="9"/>
  <c r="AD865" i="9"/>
  <c r="AC865" i="9"/>
  <c r="AB865" i="9"/>
  <c r="AA865" i="9"/>
  <c r="Z865" i="9"/>
  <c r="Y865" i="9"/>
  <c r="X865" i="9"/>
  <c r="W865" i="9"/>
  <c r="V865" i="9"/>
  <c r="U865" i="9"/>
  <c r="T865" i="9"/>
  <c r="S865" i="9"/>
  <c r="R865" i="9"/>
  <c r="Q865" i="9"/>
  <c r="P865" i="9"/>
  <c r="O865" i="9"/>
  <c r="N865" i="9"/>
  <c r="M865" i="9"/>
  <c r="L865" i="9"/>
  <c r="K865" i="9"/>
  <c r="J865" i="9"/>
  <c r="I865" i="9"/>
  <c r="H865" i="9"/>
  <c r="G865" i="9"/>
  <c r="F865" i="9"/>
  <c r="E865" i="9"/>
  <c r="D865" i="9"/>
  <c r="AY864" i="9"/>
  <c r="AO864" i="9" s="1"/>
  <c r="AQ864" i="9"/>
  <c r="AR864" i="9" s="1"/>
  <c r="AS864" i="9" s="1"/>
  <c r="AG864" i="9"/>
  <c r="AF864" i="9"/>
  <c r="AE864" i="9"/>
  <c r="AD864" i="9"/>
  <c r="AC864" i="9"/>
  <c r="AB864" i="9"/>
  <c r="AA864" i="9"/>
  <c r="Z864" i="9"/>
  <c r="Y864" i="9"/>
  <c r="X864" i="9"/>
  <c r="W864" i="9"/>
  <c r="V864" i="9"/>
  <c r="U864" i="9"/>
  <c r="T864" i="9"/>
  <c r="S864" i="9"/>
  <c r="R864" i="9"/>
  <c r="Q864" i="9"/>
  <c r="P864" i="9"/>
  <c r="O864" i="9"/>
  <c r="N864" i="9"/>
  <c r="M864" i="9"/>
  <c r="L864" i="9"/>
  <c r="K864" i="9"/>
  <c r="J864" i="9"/>
  <c r="I864" i="9"/>
  <c r="H864" i="9"/>
  <c r="G864" i="9"/>
  <c r="F864" i="9"/>
  <c r="E864" i="9"/>
  <c r="D864" i="9"/>
  <c r="AQ863" i="9"/>
  <c r="AG863" i="9"/>
  <c r="AF863" i="9"/>
  <c r="AE863" i="9"/>
  <c r="AD863" i="9"/>
  <c r="AC863" i="9"/>
  <c r="AB863" i="9"/>
  <c r="AA863" i="9"/>
  <c r="Z863" i="9"/>
  <c r="Y863" i="9"/>
  <c r="X863" i="9"/>
  <c r="W863" i="9"/>
  <c r="V863" i="9"/>
  <c r="U863" i="9"/>
  <c r="T863" i="9"/>
  <c r="S863" i="9"/>
  <c r="R863" i="9"/>
  <c r="Q863" i="9"/>
  <c r="P863" i="9"/>
  <c r="O863" i="9"/>
  <c r="N863" i="9"/>
  <c r="M863" i="9"/>
  <c r="L863" i="9"/>
  <c r="K863" i="9"/>
  <c r="J863" i="9"/>
  <c r="I863" i="9"/>
  <c r="H863" i="9"/>
  <c r="G863" i="9"/>
  <c r="F863" i="9"/>
  <c r="E863" i="9"/>
  <c r="D863" i="9"/>
  <c r="AX862" i="9"/>
  <c r="AW862" i="9"/>
  <c r="AM862" i="9" s="1"/>
  <c r="AV862" i="9"/>
  <c r="AL862" i="9" s="1"/>
  <c r="AU862" i="9"/>
  <c r="AT862" i="9"/>
  <c r="AJ862" i="9" s="1"/>
  <c r="AS862" i="9"/>
  <c r="AR862" i="9"/>
  <c r="AQ862" i="9"/>
  <c r="AY862" i="9" s="1"/>
  <c r="AO862" i="9"/>
  <c r="AN862" i="9"/>
  <c r="AK862" i="9"/>
  <c r="AG862" i="9"/>
  <c r="AF862" i="9"/>
  <c r="AE862" i="9"/>
  <c r="AD862" i="9"/>
  <c r="AC862" i="9"/>
  <c r="AB862" i="9"/>
  <c r="AA862" i="9"/>
  <c r="Z862" i="9"/>
  <c r="Y862" i="9"/>
  <c r="X862" i="9"/>
  <c r="W862" i="9"/>
  <c r="V862" i="9"/>
  <c r="U862" i="9"/>
  <c r="T862" i="9"/>
  <c r="S862" i="9"/>
  <c r="R862" i="9"/>
  <c r="Q862" i="9"/>
  <c r="P862" i="9"/>
  <c r="O862" i="9"/>
  <c r="N862" i="9"/>
  <c r="M862" i="9"/>
  <c r="L862" i="9"/>
  <c r="K862" i="9"/>
  <c r="J862" i="9"/>
  <c r="I862" i="9"/>
  <c r="H862" i="9"/>
  <c r="G862" i="9"/>
  <c r="F862" i="9"/>
  <c r="E862" i="9"/>
  <c r="D862" i="9"/>
  <c r="AQ861" i="9"/>
  <c r="AG861" i="9"/>
  <c r="AF861" i="9"/>
  <c r="AE861" i="9"/>
  <c r="AD861" i="9"/>
  <c r="AC861" i="9"/>
  <c r="AB861" i="9"/>
  <c r="AA861" i="9"/>
  <c r="Z861" i="9"/>
  <c r="Y861" i="9"/>
  <c r="X861" i="9"/>
  <c r="W861" i="9"/>
  <c r="V861" i="9"/>
  <c r="U861" i="9"/>
  <c r="T861" i="9"/>
  <c r="S861" i="9"/>
  <c r="R861" i="9"/>
  <c r="Q861" i="9"/>
  <c r="P861" i="9"/>
  <c r="O861" i="9"/>
  <c r="N861" i="9"/>
  <c r="M861" i="9"/>
  <c r="L861" i="9"/>
  <c r="K861" i="9"/>
  <c r="J861" i="9"/>
  <c r="I861" i="9"/>
  <c r="H861" i="9"/>
  <c r="G861" i="9"/>
  <c r="F861" i="9"/>
  <c r="E861" i="9"/>
  <c r="D861" i="9"/>
  <c r="AY860" i="9"/>
  <c r="AO860" i="9" s="1"/>
  <c r="AW860" i="9"/>
  <c r="AM860" i="9" s="1"/>
  <c r="AQ860" i="9"/>
  <c r="AV860" i="9" s="1"/>
  <c r="AL860" i="9" s="1"/>
  <c r="AG860" i="9"/>
  <c r="AF860" i="9"/>
  <c r="AE860" i="9"/>
  <c r="AD860" i="9"/>
  <c r="AC860" i="9"/>
  <c r="AB860" i="9"/>
  <c r="AA860" i="9"/>
  <c r="Z860" i="9"/>
  <c r="Y860" i="9"/>
  <c r="X860" i="9"/>
  <c r="W860" i="9"/>
  <c r="V860" i="9"/>
  <c r="U860" i="9"/>
  <c r="T860" i="9"/>
  <c r="S860" i="9"/>
  <c r="R860" i="9"/>
  <c r="Q860" i="9"/>
  <c r="P860" i="9"/>
  <c r="O860" i="9"/>
  <c r="N860" i="9"/>
  <c r="M860" i="9"/>
  <c r="L860" i="9"/>
  <c r="K860" i="9"/>
  <c r="J860" i="9"/>
  <c r="I860" i="9"/>
  <c r="H860" i="9"/>
  <c r="G860" i="9"/>
  <c r="F860" i="9"/>
  <c r="E860" i="9"/>
  <c r="D860" i="9"/>
  <c r="AX859" i="9"/>
  <c r="AN859" i="9" s="1"/>
  <c r="AW859" i="9"/>
  <c r="AM859" i="9" s="1"/>
  <c r="AU859" i="9"/>
  <c r="AK859" i="9" s="1"/>
  <c r="AT859" i="9"/>
  <c r="AI859" i="9" s="1"/>
  <c r="AR859" i="9"/>
  <c r="AS859" i="9" s="1"/>
  <c r="AQ859" i="9"/>
  <c r="AV859" i="9" s="1"/>
  <c r="AL859" i="9" s="1"/>
  <c r="AJ859" i="9"/>
  <c r="AG859" i="9"/>
  <c r="AF859" i="9"/>
  <c r="AE859" i="9"/>
  <c r="AD859" i="9"/>
  <c r="AC859" i="9"/>
  <c r="AB859" i="9"/>
  <c r="AA859" i="9"/>
  <c r="Z859" i="9"/>
  <c r="Y859" i="9"/>
  <c r="X859" i="9"/>
  <c r="W859" i="9"/>
  <c r="V859" i="9"/>
  <c r="U859" i="9"/>
  <c r="T859" i="9"/>
  <c r="S859" i="9"/>
  <c r="R859" i="9"/>
  <c r="Q859" i="9"/>
  <c r="P859" i="9"/>
  <c r="O859" i="9"/>
  <c r="N859" i="9"/>
  <c r="M859" i="9"/>
  <c r="L859" i="9"/>
  <c r="K859" i="9"/>
  <c r="J859" i="9"/>
  <c r="I859" i="9"/>
  <c r="H859" i="9"/>
  <c r="G859" i="9"/>
  <c r="F859" i="9"/>
  <c r="E859" i="9"/>
  <c r="D859" i="9"/>
  <c r="AY858" i="9"/>
  <c r="AX858" i="9"/>
  <c r="AW858" i="9"/>
  <c r="AM858" i="9" s="1"/>
  <c r="AV858" i="9"/>
  <c r="AL858" i="9" s="1"/>
  <c r="AU858" i="9"/>
  <c r="AK858" i="9" s="1"/>
  <c r="AR858" i="9"/>
  <c r="AS858" i="9" s="1"/>
  <c r="AQ858" i="9"/>
  <c r="AT858" i="9" s="1"/>
  <c r="AI858" i="9" s="1"/>
  <c r="AO858" i="9"/>
  <c r="AN858" i="9"/>
  <c r="AJ858" i="9"/>
  <c r="AH858" i="9"/>
  <c r="AG858" i="9"/>
  <c r="AF858" i="9"/>
  <c r="AE858" i="9"/>
  <c r="AD858" i="9"/>
  <c r="AC858" i="9"/>
  <c r="AB858" i="9"/>
  <c r="AA858" i="9"/>
  <c r="Z858" i="9"/>
  <c r="Y858" i="9"/>
  <c r="X858" i="9"/>
  <c r="W858" i="9"/>
  <c r="V858" i="9"/>
  <c r="U858" i="9"/>
  <c r="T858" i="9"/>
  <c r="S858" i="9"/>
  <c r="R858" i="9"/>
  <c r="Q858" i="9"/>
  <c r="P858" i="9"/>
  <c r="O858" i="9"/>
  <c r="N858" i="9"/>
  <c r="M858" i="9"/>
  <c r="L858" i="9"/>
  <c r="K858" i="9"/>
  <c r="J858" i="9"/>
  <c r="I858" i="9"/>
  <c r="H858" i="9"/>
  <c r="G858" i="9"/>
  <c r="F858" i="9"/>
  <c r="E858" i="9"/>
  <c r="D858" i="9"/>
  <c r="AU857" i="9"/>
  <c r="AK857" i="9" s="1"/>
  <c r="AR857" i="9"/>
  <c r="AS857" i="9" s="1"/>
  <c r="AQ857" i="9"/>
  <c r="AG857" i="9"/>
  <c r="AF857" i="9"/>
  <c r="AE857" i="9"/>
  <c r="AD857" i="9"/>
  <c r="AC857" i="9"/>
  <c r="AB857" i="9"/>
  <c r="AA857" i="9"/>
  <c r="Z857" i="9"/>
  <c r="Y857" i="9"/>
  <c r="X857" i="9"/>
  <c r="W857" i="9"/>
  <c r="V857" i="9"/>
  <c r="U857" i="9"/>
  <c r="T857" i="9"/>
  <c r="S857" i="9"/>
  <c r="R857" i="9"/>
  <c r="Q857" i="9"/>
  <c r="P857" i="9"/>
  <c r="O857" i="9"/>
  <c r="N857" i="9"/>
  <c r="M857" i="9"/>
  <c r="L857" i="9"/>
  <c r="K857" i="9"/>
  <c r="J857" i="9"/>
  <c r="I857" i="9"/>
  <c r="H857" i="9"/>
  <c r="G857" i="9"/>
  <c r="F857" i="9"/>
  <c r="E857" i="9"/>
  <c r="D857" i="9"/>
  <c r="AY856" i="9"/>
  <c r="AO856" i="9" s="1"/>
  <c r="AX856" i="9"/>
  <c r="AW856" i="9"/>
  <c r="AM856" i="9" s="1"/>
  <c r="AV856" i="9"/>
  <c r="AL856" i="9" s="1"/>
  <c r="AU856" i="9"/>
  <c r="AK856" i="9" s="1"/>
  <c r="AR856" i="9"/>
  <c r="AS856" i="9" s="1"/>
  <c r="AQ856" i="9"/>
  <c r="AT856" i="9" s="1"/>
  <c r="AN856" i="9"/>
  <c r="AG856" i="9"/>
  <c r="AF856" i="9"/>
  <c r="AE856" i="9"/>
  <c r="AD856" i="9"/>
  <c r="AC856" i="9"/>
  <c r="AB856" i="9"/>
  <c r="AA856" i="9"/>
  <c r="Z856" i="9"/>
  <c r="Y856" i="9"/>
  <c r="X856" i="9"/>
  <c r="W856" i="9"/>
  <c r="V856" i="9"/>
  <c r="U856" i="9"/>
  <c r="T856" i="9"/>
  <c r="S856" i="9"/>
  <c r="R856" i="9"/>
  <c r="Q856" i="9"/>
  <c r="P856" i="9"/>
  <c r="O856" i="9"/>
  <c r="N856" i="9"/>
  <c r="M856" i="9"/>
  <c r="L856" i="9"/>
  <c r="K856" i="9"/>
  <c r="J856" i="9"/>
  <c r="I856" i="9"/>
  <c r="H856" i="9"/>
  <c r="G856" i="9"/>
  <c r="F856" i="9"/>
  <c r="E856" i="9"/>
  <c r="D856" i="9"/>
  <c r="AY855" i="9"/>
  <c r="AO855" i="9" s="1"/>
  <c r="AX855" i="9"/>
  <c r="AN855" i="9" s="1"/>
  <c r="AT855" i="9"/>
  <c r="AH855" i="9" s="1"/>
  <c r="AQ855" i="9"/>
  <c r="AW855" i="9" s="1"/>
  <c r="AM855" i="9" s="1"/>
  <c r="AG855" i="9"/>
  <c r="AF855" i="9"/>
  <c r="AE855" i="9"/>
  <c r="AD855" i="9"/>
  <c r="AC855" i="9"/>
  <c r="AB855" i="9"/>
  <c r="AA855" i="9"/>
  <c r="Z855" i="9"/>
  <c r="Y855" i="9"/>
  <c r="X855" i="9"/>
  <c r="W855" i="9"/>
  <c r="V855" i="9"/>
  <c r="U855" i="9"/>
  <c r="T855" i="9"/>
  <c r="S855" i="9"/>
  <c r="R855" i="9"/>
  <c r="Q855" i="9"/>
  <c r="P855" i="9"/>
  <c r="O855" i="9"/>
  <c r="N855" i="9"/>
  <c r="M855" i="9"/>
  <c r="L855" i="9"/>
  <c r="K855" i="9"/>
  <c r="J855" i="9"/>
  <c r="I855" i="9"/>
  <c r="H855" i="9"/>
  <c r="G855" i="9"/>
  <c r="F855" i="9"/>
  <c r="E855" i="9"/>
  <c r="D855" i="9"/>
  <c r="AX854" i="9"/>
  <c r="AN854" i="9" s="1"/>
  <c r="AQ854" i="9"/>
  <c r="AY854" i="9" s="1"/>
  <c r="AO854" i="9" s="1"/>
  <c r="AG854" i="9"/>
  <c r="AF854" i="9"/>
  <c r="AE854" i="9"/>
  <c r="AD854" i="9"/>
  <c r="AC854" i="9"/>
  <c r="AB854" i="9"/>
  <c r="AA854" i="9"/>
  <c r="Z854" i="9"/>
  <c r="Y854" i="9"/>
  <c r="X854" i="9"/>
  <c r="W854" i="9"/>
  <c r="V854" i="9"/>
  <c r="U854" i="9"/>
  <c r="T854" i="9"/>
  <c r="S854" i="9"/>
  <c r="R854" i="9"/>
  <c r="Q854" i="9"/>
  <c r="P854" i="9"/>
  <c r="O854" i="9"/>
  <c r="N854" i="9"/>
  <c r="M854" i="9"/>
  <c r="L854" i="9"/>
  <c r="K854" i="9"/>
  <c r="J854" i="9"/>
  <c r="I854" i="9"/>
  <c r="H854" i="9"/>
  <c r="G854" i="9"/>
  <c r="F854" i="9"/>
  <c r="E854" i="9"/>
  <c r="D854" i="9"/>
  <c r="AY853" i="9"/>
  <c r="AO853" i="9" s="1"/>
  <c r="AX853" i="9"/>
  <c r="AN853" i="9" s="1"/>
  <c r="AW853" i="9"/>
  <c r="AV853" i="9"/>
  <c r="AL853" i="9" s="1"/>
  <c r="AU853" i="9"/>
  <c r="AK853" i="9" s="1"/>
  <c r="AT853" i="9"/>
  <c r="AR853" i="9"/>
  <c r="AS853" i="9" s="1"/>
  <c r="AQ853" i="9"/>
  <c r="AM853" i="9"/>
  <c r="AJ853" i="9"/>
  <c r="AI853" i="9"/>
  <c r="AH853" i="9"/>
  <c r="AG853" i="9"/>
  <c r="AF853" i="9"/>
  <c r="AE853" i="9"/>
  <c r="AD853" i="9"/>
  <c r="AC853" i="9"/>
  <c r="AB853" i="9"/>
  <c r="AA853" i="9"/>
  <c r="Z853" i="9"/>
  <c r="Y853" i="9"/>
  <c r="X853" i="9"/>
  <c r="W853" i="9"/>
  <c r="V853" i="9"/>
  <c r="U853" i="9"/>
  <c r="T853" i="9"/>
  <c r="S853" i="9"/>
  <c r="R853" i="9"/>
  <c r="Q853" i="9"/>
  <c r="P853" i="9"/>
  <c r="O853" i="9"/>
  <c r="N853" i="9"/>
  <c r="M853" i="9"/>
  <c r="L853" i="9"/>
  <c r="K853" i="9"/>
  <c r="J853" i="9"/>
  <c r="I853" i="9"/>
  <c r="H853" i="9"/>
  <c r="G853" i="9"/>
  <c r="F853" i="9"/>
  <c r="E853" i="9"/>
  <c r="D853" i="9"/>
  <c r="AY852" i="9"/>
  <c r="AX852" i="9"/>
  <c r="AN852" i="9" s="1"/>
  <c r="AW852" i="9"/>
  <c r="AM852" i="9" s="1"/>
  <c r="AU852" i="9"/>
  <c r="AK852" i="9" s="1"/>
  <c r="AR852" i="9"/>
  <c r="AS852" i="9" s="1"/>
  <c r="AQ852" i="9"/>
  <c r="AV852" i="9" s="1"/>
  <c r="AO852" i="9"/>
  <c r="AL852" i="9"/>
  <c r="AG852" i="9"/>
  <c r="AF852" i="9"/>
  <c r="AE852" i="9"/>
  <c r="AD852" i="9"/>
  <c r="AC852" i="9"/>
  <c r="AB852" i="9"/>
  <c r="AA852" i="9"/>
  <c r="Z852" i="9"/>
  <c r="Y852" i="9"/>
  <c r="X852" i="9"/>
  <c r="W852" i="9"/>
  <c r="V852" i="9"/>
  <c r="U852" i="9"/>
  <c r="T852" i="9"/>
  <c r="S852" i="9"/>
  <c r="R852" i="9"/>
  <c r="Q852" i="9"/>
  <c r="P852" i="9"/>
  <c r="O852" i="9"/>
  <c r="N852" i="9"/>
  <c r="M852" i="9"/>
  <c r="L852" i="9"/>
  <c r="K852" i="9"/>
  <c r="J852" i="9"/>
  <c r="I852" i="9"/>
  <c r="H852" i="9"/>
  <c r="G852" i="9"/>
  <c r="F852" i="9"/>
  <c r="E852" i="9"/>
  <c r="D852" i="9"/>
  <c r="AX851" i="9"/>
  <c r="AN851" i="9" s="1"/>
  <c r="AW851" i="9"/>
  <c r="AM851" i="9" s="1"/>
  <c r="AU851" i="9"/>
  <c r="AT851" i="9"/>
  <c r="AH851" i="9" s="1"/>
  <c r="AS851" i="9"/>
  <c r="AR851" i="9"/>
  <c r="AQ851" i="9"/>
  <c r="AV851" i="9" s="1"/>
  <c r="AL851" i="9" s="1"/>
  <c r="AK851" i="9"/>
  <c r="AG851" i="9"/>
  <c r="AF851" i="9"/>
  <c r="AE851" i="9"/>
  <c r="AD851" i="9"/>
  <c r="AC851" i="9"/>
  <c r="AB851" i="9"/>
  <c r="AA851" i="9"/>
  <c r="Z851" i="9"/>
  <c r="Y851" i="9"/>
  <c r="X851" i="9"/>
  <c r="W851" i="9"/>
  <c r="V851" i="9"/>
  <c r="U851" i="9"/>
  <c r="T851" i="9"/>
  <c r="S851" i="9"/>
  <c r="R851" i="9"/>
  <c r="Q851" i="9"/>
  <c r="P851" i="9"/>
  <c r="O851" i="9"/>
  <c r="N851" i="9"/>
  <c r="M851" i="9"/>
  <c r="L851" i="9"/>
  <c r="K851" i="9"/>
  <c r="J851" i="9"/>
  <c r="I851" i="9"/>
  <c r="H851" i="9"/>
  <c r="G851" i="9"/>
  <c r="F851" i="9"/>
  <c r="E851" i="9"/>
  <c r="D851" i="9"/>
  <c r="AQ850" i="9"/>
  <c r="AR850" i="9" s="1"/>
  <c r="AS850" i="9" s="1"/>
  <c r="AG850" i="9"/>
  <c r="AF850" i="9"/>
  <c r="AE850" i="9"/>
  <c r="AD850" i="9"/>
  <c r="AC850" i="9"/>
  <c r="AB850" i="9"/>
  <c r="AA850" i="9"/>
  <c r="Z850" i="9"/>
  <c r="Y850" i="9"/>
  <c r="X850" i="9"/>
  <c r="W850" i="9"/>
  <c r="V850" i="9"/>
  <c r="U850" i="9"/>
  <c r="T850" i="9"/>
  <c r="S850" i="9"/>
  <c r="R850" i="9"/>
  <c r="Q850" i="9"/>
  <c r="P850" i="9"/>
  <c r="O850" i="9"/>
  <c r="N850" i="9"/>
  <c r="M850" i="9"/>
  <c r="L850" i="9"/>
  <c r="K850" i="9"/>
  <c r="J850" i="9"/>
  <c r="I850" i="9"/>
  <c r="H850" i="9"/>
  <c r="G850" i="9"/>
  <c r="F850" i="9"/>
  <c r="E850" i="9"/>
  <c r="D850" i="9"/>
  <c r="AX849" i="9"/>
  <c r="AN849" i="9" s="1"/>
  <c r="AU849" i="9"/>
  <c r="AK849" i="9" s="1"/>
  <c r="AT849" i="9"/>
  <c r="AQ849" i="9"/>
  <c r="AW849" i="9" s="1"/>
  <c r="AM849" i="9"/>
  <c r="AG849" i="9"/>
  <c r="AF849" i="9"/>
  <c r="AE849" i="9"/>
  <c r="AD849" i="9"/>
  <c r="AC849" i="9"/>
  <c r="AB849" i="9"/>
  <c r="AA849" i="9"/>
  <c r="Z849" i="9"/>
  <c r="Y849" i="9"/>
  <c r="X849" i="9"/>
  <c r="W849" i="9"/>
  <c r="V849" i="9"/>
  <c r="U849" i="9"/>
  <c r="T849" i="9"/>
  <c r="S849" i="9"/>
  <c r="R849" i="9"/>
  <c r="Q849" i="9"/>
  <c r="P849" i="9"/>
  <c r="O849" i="9"/>
  <c r="N849" i="9"/>
  <c r="M849" i="9"/>
  <c r="L849" i="9"/>
  <c r="K849" i="9"/>
  <c r="J849" i="9"/>
  <c r="I849" i="9"/>
  <c r="H849" i="9"/>
  <c r="G849" i="9"/>
  <c r="F849" i="9"/>
  <c r="E849" i="9"/>
  <c r="D849" i="9"/>
  <c r="AY848" i="9"/>
  <c r="AO848" i="9" s="1"/>
  <c r="AX848" i="9"/>
  <c r="AN848" i="9" s="1"/>
  <c r="AT848" i="9"/>
  <c r="AH848" i="9" s="1"/>
  <c r="AQ848" i="9"/>
  <c r="AU848" i="9" s="1"/>
  <c r="AK848" i="9" s="1"/>
  <c r="AG848" i="9"/>
  <c r="AF848" i="9"/>
  <c r="AE848" i="9"/>
  <c r="AD848" i="9"/>
  <c r="AC848" i="9"/>
  <c r="AB848" i="9"/>
  <c r="AA848" i="9"/>
  <c r="Z848" i="9"/>
  <c r="Y848" i="9"/>
  <c r="X848" i="9"/>
  <c r="W848" i="9"/>
  <c r="V848" i="9"/>
  <c r="U848" i="9"/>
  <c r="T848" i="9"/>
  <c r="S848" i="9"/>
  <c r="R848" i="9"/>
  <c r="Q848" i="9"/>
  <c r="P848" i="9"/>
  <c r="O848" i="9"/>
  <c r="N848" i="9"/>
  <c r="M848" i="9"/>
  <c r="L848" i="9"/>
  <c r="K848" i="9"/>
  <c r="J848" i="9"/>
  <c r="I848" i="9"/>
  <c r="H848" i="9"/>
  <c r="G848" i="9"/>
  <c r="F848" i="9"/>
  <c r="E848" i="9"/>
  <c r="D848" i="9"/>
  <c r="AY847" i="9"/>
  <c r="AX847" i="9"/>
  <c r="AN847" i="9" s="1"/>
  <c r="AV847" i="9"/>
  <c r="AU847" i="9"/>
  <c r="AK847" i="9" s="1"/>
  <c r="AT847" i="9"/>
  <c r="AI847" i="9" s="1"/>
  <c r="AR847" i="9"/>
  <c r="AS847" i="9" s="1"/>
  <c r="AQ847" i="9"/>
  <c r="AW847" i="9" s="1"/>
  <c r="AM847" i="9" s="1"/>
  <c r="AO847" i="9"/>
  <c r="AL847" i="9"/>
  <c r="AH847" i="9"/>
  <c r="AG847" i="9"/>
  <c r="AF847" i="9"/>
  <c r="AE847" i="9"/>
  <c r="AD847" i="9"/>
  <c r="AC847" i="9"/>
  <c r="AB847" i="9"/>
  <c r="AA847" i="9"/>
  <c r="Z847" i="9"/>
  <c r="Y847" i="9"/>
  <c r="X847" i="9"/>
  <c r="W847" i="9"/>
  <c r="V847" i="9"/>
  <c r="U847" i="9"/>
  <c r="T847" i="9"/>
  <c r="S847" i="9"/>
  <c r="R847" i="9"/>
  <c r="Q847" i="9"/>
  <c r="P847" i="9"/>
  <c r="O847" i="9"/>
  <c r="N847" i="9"/>
  <c r="M847" i="9"/>
  <c r="L847" i="9"/>
  <c r="K847" i="9"/>
  <c r="J847" i="9"/>
  <c r="I847" i="9"/>
  <c r="H847" i="9"/>
  <c r="G847" i="9"/>
  <c r="F847" i="9"/>
  <c r="E847" i="9"/>
  <c r="D847" i="9"/>
  <c r="AQ846" i="9"/>
  <c r="AG846" i="9"/>
  <c r="AF846" i="9"/>
  <c r="AE846" i="9"/>
  <c r="AD846" i="9"/>
  <c r="AC846" i="9"/>
  <c r="AB846" i="9"/>
  <c r="AA846" i="9"/>
  <c r="Z846" i="9"/>
  <c r="Y846" i="9"/>
  <c r="X846" i="9"/>
  <c r="W846" i="9"/>
  <c r="V846" i="9"/>
  <c r="U846" i="9"/>
  <c r="T846" i="9"/>
  <c r="S846" i="9"/>
  <c r="R846" i="9"/>
  <c r="Q846" i="9"/>
  <c r="P846" i="9"/>
  <c r="O846" i="9"/>
  <c r="N846" i="9"/>
  <c r="M846" i="9"/>
  <c r="L846" i="9"/>
  <c r="K846" i="9"/>
  <c r="J846" i="9"/>
  <c r="I846" i="9"/>
  <c r="H846" i="9"/>
  <c r="G846" i="9"/>
  <c r="F846" i="9"/>
  <c r="E846" i="9"/>
  <c r="D846" i="9"/>
  <c r="AQ845" i="9"/>
  <c r="AG845" i="9"/>
  <c r="AF845" i="9"/>
  <c r="AE845" i="9"/>
  <c r="AD845" i="9"/>
  <c r="AC845" i="9"/>
  <c r="AB845" i="9"/>
  <c r="AA845" i="9"/>
  <c r="Z845" i="9"/>
  <c r="Y845" i="9"/>
  <c r="X845" i="9"/>
  <c r="W845" i="9"/>
  <c r="V845" i="9"/>
  <c r="U845" i="9"/>
  <c r="T845" i="9"/>
  <c r="S845" i="9"/>
  <c r="R845" i="9"/>
  <c r="Q845" i="9"/>
  <c r="P845" i="9"/>
  <c r="O845" i="9"/>
  <c r="N845" i="9"/>
  <c r="M845" i="9"/>
  <c r="L845" i="9"/>
  <c r="K845" i="9"/>
  <c r="J845" i="9"/>
  <c r="I845" i="9"/>
  <c r="H845" i="9"/>
  <c r="G845" i="9"/>
  <c r="F845" i="9"/>
  <c r="E845" i="9"/>
  <c r="D845" i="9"/>
  <c r="AY844" i="9"/>
  <c r="AO844" i="9" s="1"/>
  <c r="AV844" i="9"/>
  <c r="AL844" i="9" s="1"/>
  <c r="AS844" i="9"/>
  <c r="AR844" i="9"/>
  <c r="AQ844" i="9"/>
  <c r="AW844" i="9" s="1"/>
  <c r="AM844" i="9" s="1"/>
  <c r="AG844" i="9"/>
  <c r="AF844" i="9"/>
  <c r="AE844" i="9"/>
  <c r="AD844" i="9"/>
  <c r="AC844" i="9"/>
  <c r="AB844" i="9"/>
  <c r="AA844" i="9"/>
  <c r="Z844" i="9"/>
  <c r="Y844" i="9"/>
  <c r="X844" i="9"/>
  <c r="W844" i="9"/>
  <c r="V844" i="9"/>
  <c r="U844" i="9"/>
  <c r="T844" i="9"/>
  <c r="S844" i="9"/>
  <c r="R844" i="9"/>
  <c r="Q844" i="9"/>
  <c r="P844" i="9"/>
  <c r="O844" i="9"/>
  <c r="N844" i="9"/>
  <c r="M844" i="9"/>
  <c r="L844" i="9"/>
  <c r="K844" i="9"/>
  <c r="J844" i="9"/>
  <c r="I844" i="9"/>
  <c r="H844" i="9"/>
  <c r="G844" i="9"/>
  <c r="F844" i="9"/>
  <c r="E844" i="9"/>
  <c r="D844" i="9"/>
  <c r="AQ843" i="9"/>
  <c r="AG843" i="9"/>
  <c r="AF843" i="9"/>
  <c r="AE843" i="9"/>
  <c r="AD843" i="9"/>
  <c r="AC843" i="9"/>
  <c r="AB843" i="9"/>
  <c r="AA843" i="9"/>
  <c r="Z843" i="9"/>
  <c r="Y843" i="9"/>
  <c r="X843" i="9"/>
  <c r="W843" i="9"/>
  <c r="V843" i="9"/>
  <c r="U843" i="9"/>
  <c r="T843" i="9"/>
  <c r="S843" i="9"/>
  <c r="R843" i="9"/>
  <c r="Q843" i="9"/>
  <c r="P843" i="9"/>
  <c r="O843" i="9"/>
  <c r="N843" i="9"/>
  <c r="M843" i="9"/>
  <c r="L843" i="9"/>
  <c r="K843" i="9"/>
  <c r="J843" i="9"/>
  <c r="I843" i="9"/>
  <c r="H843" i="9"/>
  <c r="G843" i="9"/>
  <c r="F843" i="9"/>
  <c r="E843" i="9"/>
  <c r="D843" i="9"/>
  <c r="AY842" i="9"/>
  <c r="AO842" i="9" s="1"/>
  <c r="AX842" i="9"/>
  <c r="AW842" i="9"/>
  <c r="AM842" i="9" s="1"/>
  <c r="AV842" i="9"/>
  <c r="AL842" i="9" s="1"/>
  <c r="AU842" i="9"/>
  <c r="AK842" i="9" s="1"/>
  <c r="AR842" i="9"/>
  <c r="AS842" i="9" s="1"/>
  <c r="AQ842" i="9"/>
  <c r="AT842" i="9" s="1"/>
  <c r="AN842" i="9"/>
  <c r="AG842" i="9"/>
  <c r="AF842" i="9"/>
  <c r="AE842" i="9"/>
  <c r="AD842" i="9"/>
  <c r="AC842" i="9"/>
  <c r="AB842" i="9"/>
  <c r="AA842" i="9"/>
  <c r="Z842" i="9"/>
  <c r="Y842" i="9"/>
  <c r="X842" i="9"/>
  <c r="W842" i="9"/>
  <c r="V842" i="9"/>
  <c r="U842" i="9"/>
  <c r="T842" i="9"/>
  <c r="S842" i="9"/>
  <c r="R842" i="9"/>
  <c r="Q842" i="9"/>
  <c r="P842" i="9"/>
  <c r="O842" i="9"/>
  <c r="N842" i="9"/>
  <c r="M842" i="9"/>
  <c r="L842" i="9"/>
  <c r="K842" i="9"/>
  <c r="J842" i="9"/>
  <c r="I842" i="9"/>
  <c r="H842" i="9"/>
  <c r="G842" i="9"/>
  <c r="F842" i="9"/>
  <c r="E842" i="9"/>
  <c r="D842" i="9"/>
  <c r="AX841" i="9"/>
  <c r="AN841" i="9" s="1"/>
  <c r="AW841" i="9"/>
  <c r="AM841" i="9" s="1"/>
  <c r="AU841" i="9"/>
  <c r="AT841" i="9"/>
  <c r="AI841" i="9" s="1"/>
  <c r="AS841" i="9"/>
  <c r="AR841" i="9"/>
  <c r="AQ841" i="9"/>
  <c r="AV841" i="9" s="1"/>
  <c r="AL841" i="9"/>
  <c r="AK841" i="9"/>
  <c r="AH841" i="9"/>
  <c r="AG841" i="9"/>
  <c r="AF841" i="9"/>
  <c r="AE841" i="9"/>
  <c r="AD841" i="9"/>
  <c r="AC841" i="9"/>
  <c r="AB841" i="9"/>
  <c r="AA841" i="9"/>
  <c r="Z841" i="9"/>
  <c r="Y841" i="9"/>
  <c r="X841" i="9"/>
  <c r="W841" i="9"/>
  <c r="V841" i="9"/>
  <c r="U841" i="9"/>
  <c r="T841" i="9"/>
  <c r="S841" i="9"/>
  <c r="R841" i="9"/>
  <c r="Q841" i="9"/>
  <c r="P841" i="9"/>
  <c r="O841" i="9"/>
  <c r="N841" i="9"/>
  <c r="M841" i="9"/>
  <c r="L841" i="9"/>
  <c r="K841" i="9"/>
  <c r="J841" i="9"/>
  <c r="I841" i="9"/>
  <c r="H841" i="9"/>
  <c r="G841" i="9"/>
  <c r="F841" i="9"/>
  <c r="E841" i="9"/>
  <c r="D841" i="9"/>
  <c r="AY840" i="9"/>
  <c r="AO840" i="9" s="1"/>
  <c r="AX840" i="9"/>
  <c r="AN840" i="9" s="1"/>
  <c r="AU840" i="9"/>
  <c r="AK840" i="9" s="1"/>
  <c r="AR840" i="9"/>
  <c r="AS840" i="9" s="1"/>
  <c r="AQ840" i="9"/>
  <c r="AW840" i="9" s="1"/>
  <c r="AM840" i="9"/>
  <c r="AG840" i="9"/>
  <c r="AF840" i="9"/>
  <c r="AE840" i="9"/>
  <c r="AD840" i="9"/>
  <c r="AC840" i="9"/>
  <c r="AB840" i="9"/>
  <c r="AA840" i="9"/>
  <c r="Z840" i="9"/>
  <c r="Y840" i="9"/>
  <c r="X840" i="9"/>
  <c r="W840" i="9"/>
  <c r="V840" i="9"/>
  <c r="U840" i="9"/>
  <c r="T840" i="9"/>
  <c r="S840" i="9"/>
  <c r="R840" i="9"/>
  <c r="Q840" i="9"/>
  <c r="P840" i="9"/>
  <c r="O840" i="9"/>
  <c r="N840" i="9"/>
  <c r="M840" i="9"/>
  <c r="L840" i="9"/>
  <c r="K840" i="9"/>
  <c r="J840" i="9"/>
  <c r="I840" i="9"/>
  <c r="H840" i="9"/>
  <c r="G840" i="9"/>
  <c r="F840" i="9"/>
  <c r="E840" i="9"/>
  <c r="D840" i="9"/>
  <c r="AX839" i="9"/>
  <c r="AN839" i="9" s="1"/>
  <c r="AW839" i="9"/>
  <c r="AM839" i="9" s="1"/>
  <c r="AV839" i="9"/>
  <c r="AL839" i="9" s="1"/>
  <c r="AQ839" i="9"/>
  <c r="AT839" i="9" s="1"/>
  <c r="AH839" i="9" s="1"/>
  <c r="AG839" i="9"/>
  <c r="AF839" i="9"/>
  <c r="AE839" i="9"/>
  <c r="AD839" i="9"/>
  <c r="AC839" i="9"/>
  <c r="AB839" i="9"/>
  <c r="AA839" i="9"/>
  <c r="Z839" i="9"/>
  <c r="Y839" i="9"/>
  <c r="X839" i="9"/>
  <c r="W839" i="9"/>
  <c r="V839" i="9"/>
  <c r="U839" i="9"/>
  <c r="T839" i="9"/>
  <c r="S839" i="9"/>
  <c r="R839" i="9"/>
  <c r="Q839" i="9"/>
  <c r="P839" i="9"/>
  <c r="O839" i="9"/>
  <c r="N839" i="9"/>
  <c r="M839" i="9"/>
  <c r="L839" i="9"/>
  <c r="K839" i="9"/>
  <c r="J839" i="9"/>
  <c r="I839" i="9"/>
  <c r="H839" i="9"/>
  <c r="G839" i="9"/>
  <c r="F839" i="9"/>
  <c r="E839" i="9"/>
  <c r="D839" i="9"/>
  <c r="AX838" i="9"/>
  <c r="AN838" i="9" s="1"/>
  <c r="AU838" i="9"/>
  <c r="AK838" i="9" s="1"/>
  <c r="AQ838" i="9"/>
  <c r="AY838" i="9" s="1"/>
  <c r="AO838" i="9" s="1"/>
  <c r="AG838" i="9"/>
  <c r="AF838" i="9"/>
  <c r="AE838" i="9"/>
  <c r="AD838" i="9"/>
  <c r="AC838" i="9"/>
  <c r="AB838" i="9"/>
  <c r="AA838" i="9"/>
  <c r="Z838" i="9"/>
  <c r="Y838" i="9"/>
  <c r="X838" i="9"/>
  <c r="W838" i="9"/>
  <c r="V838" i="9"/>
  <c r="U838" i="9"/>
  <c r="T838" i="9"/>
  <c r="S838" i="9"/>
  <c r="R838" i="9"/>
  <c r="Q838" i="9"/>
  <c r="P838" i="9"/>
  <c r="O838" i="9"/>
  <c r="N838" i="9"/>
  <c r="M838" i="9"/>
  <c r="L838" i="9"/>
  <c r="K838" i="9"/>
  <c r="J838" i="9"/>
  <c r="I838" i="9"/>
  <c r="H838" i="9"/>
  <c r="G838" i="9"/>
  <c r="F838" i="9"/>
  <c r="E838" i="9"/>
  <c r="D838" i="9"/>
  <c r="AY837" i="9"/>
  <c r="AO837" i="9" s="1"/>
  <c r="AX837" i="9"/>
  <c r="AW837" i="9"/>
  <c r="AM837" i="9" s="1"/>
  <c r="AV837" i="9"/>
  <c r="AL837" i="9" s="1"/>
  <c r="AU837" i="9"/>
  <c r="AT837" i="9"/>
  <c r="AJ837" i="9" s="1"/>
  <c r="AS837" i="9"/>
  <c r="AR837" i="9"/>
  <c r="AQ837" i="9"/>
  <c r="AN837" i="9"/>
  <c r="AK837" i="9"/>
  <c r="AG837" i="9"/>
  <c r="AF837" i="9"/>
  <c r="AE837" i="9"/>
  <c r="AD837" i="9"/>
  <c r="AC837" i="9"/>
  <c r="AB837" i="9"/>
  <c r="AA837" i="9"/>
  <c r="Z837" i="9"/>
  <c r="Y837" i="9"/>
  <c r="X837" i="9"/>
  <c r="W837" i="9"/>
  <c r="V837" i="9"/>
  <c r="U837" i="9"/>
  <c r="T837" i="9"/>
  <c r="S837" i="9"/>
  <c r="R837" i="9"/>
  <c r="Q837" i="9"/>
  <c r="P837" i="9"/>
  <c r="O837" i="9"/>
  <c r="N837" i="9"/>
  <c r="M837" i="9"/>
  <c r="L837" i="9"/>
  <c r="K837" i="9"/>
  <c r="J837" i="9"/>
  <c r="I837" i="9"/>
  <c r="H837" i="9"/>
  <c r="G837" i="9"/>
  <c r="F837" i="9"/>
  <c r="E837" i="9"/>
  <c r="D837" i="9"/>
  <c r="AX836" i="9"/>
  <c r="AN836" i="9" s="1"/>
  <c r="AT836" i="9"/>
  <c r="AQ836" i="9"/>
  <c r="AU836" i="9" s="1"/>
  <c r="AK836" i="9" s="1"/>
  <c r="AI836" i="9"/>
  <c r="AG836" i="9"/>
  <c r="AF836" i="9"/>
  <c r="AE836" i="9"/>
  <c r="AD836" i="9"/>
  <c r="AC836" i="9"/>
  <c r="AB836" i="9"/>
  <c r="AA836" i="9"/>
  <c r="Z836" i="9"/>
  <c r="Y836" i="9"/>
  <c r="X836" i="9"/>
  <c r="W836" i="9"/>
  <c r="V836" i="9"/>
  <c r="U836" i="9"/>
  <c r="T836" i="9"/>
  <c r="S836" i="9"/>
  <c r="R836" i="9"/>
  <c r="Q836" i="9"/>
  <c r="P836" i="9"/>
  <c r="O836" i="9"/>
  <c r="N836" i="9"/>
  <c r="M836" i="9"/>
  <c r="L836" i="9"/>
  <c r="K836" i="9"/>
  <c r="J836" i="9"/>
  <c r="I836" i="9"/>
  <c r="H836" i="9"/>
  <c r="G836" i="9"/>
  <c r="F836" i="9"/>
  <c r="E836" i="9"/>
  <c r="D836" i="9"/>
  <c r="AY835" i="9"/>
  <c r="AO835" i="9" s="1"/>
  <c r="AW835" i="9"/>
  <c r="AV835" i="9"/>
  <c r="AL835" i="9" s="1"/>
  <c r="AU835" i="9"/>
  <c r="AK835" i="9" s="1"/>
  <c r="AT835" i="9"/>
  <c r="AI835" i="9" s="1"/>
  <c r="AR835" i="9"/>
  <c r="AS835" i="9" s="1"/>
  <c r="AQ835" i="9"/>
  <c r="AX835" i="9" s="1"/>
  <c r="AN835" i="9"/>
  <c r="AM835" i="9"/>
  <c r="AJ835" i="9"/>
  <c r="AH835" i="9"/>
  <c r="AG835" i="9"/>
  <c r="AF835" i="9"/>
  <c r="AE835" i="9"/>
  <c r="AD835" i="9"/>
  <c r="AC835" i="9"/>
  <c r="AB835" i="9"/>
  <c r="AA835" i="9"/>
  <c r="Z835" i="9"/>
  <c r="Y835" i="9"/>
  <c r="X835" i="9"/>
  <c r="W835" i="9"/>
  <c r="V835" i="9"/>
  <c r="U835" i="9"/>
  <c r="T835" i="9"/>
  <c r="S835" i="9"/>
  <c r="R835" i="9"/>
  <c r="Q835" i="9"/>
  <c r="P835" i="9"/>
  <c r="O835" i="9"/>
  <c r="N835" i="9"/>
  <c r="M835" i="9"/>
  <c r="L835" i="9"/>
  <c r="K835" i="9"/>
  <c r="J835" i="9"/>
  <c r="I835" i="9"/>
  <c r="H835" i="9"/>
  <c r="G835" i="9"/>
  <c r="F835" i="9"/>
  <c r="E835" i="9"/>
  <c r="D835" i="9"/>
  <c r="AY834" i="9"/>
  <c r="AW834" i="9"/>
  <c r="AM834" i="9" s="1"/>
  <c r="AU834" i="9"/>
  <c r="AK834" i="9" s="1"/>
  <c r="AT834" i="9"/>
  <c r="AQ834" i="9"/>
  <c r="AX834" i="9" s="1"/>
  <c r="AN834" i="9" s="1"/>
  <c r="AO834" i="9"/>
  <c r="AG834" i="9"/>
  <c r="AF834" i="9"/>
  <c r="AE834" i="9"/>
  <c r="AD834" i="9"/>
  <c r="AC834" i="9"/>
  <c r="AB834" i="9"/>
  <c r="AA834" i="9"/>
  <c r="Z834" i="9"/>
  <c r="Y834" i="9"/>
  <c r="X834" i="9"/>
  <c r="W834" i="9"/>
  <c r="V834" i="9"/>
  <c r="U834" i="9"/>
  <c r="T834" i="9"/>
  <c r="S834" i="9"/>
  <c r="R834" i="9"/>
  <c r="Q834" i="9"/>
  <c r="P834" i="9"/>
  <c r="O834" i="9"/>
  <c r="N834" i="9"/>
  <c r="M834" i="9"/>
  <c r="L834" i="9"/>
  <c r="K834" i="9"/>
  <c r="J834" i="9"/>
  <c r="I834" i="9"/>
  <c r="H834" i="9"/>
  <c r="G834" i="9"/>
  <c r="F834" i="9"/>
  <c r="E834" i="9"/>
  <c r="D834" i="9"/>
  <c r="AY833" i="9"/>
  <c r="AO833" i="9" s="1"/>
  <c r="AU833" i="9"/>
  <c r="AK833" i="9" s="1"/>
  <c r="AR833" i="9"/>
  <c r="AS833" i="9" s="1"/>
  <c r="AQ833" i="9"/>
  <c r="AV833" i="9" s="1"/>
  <c r="AL833" i="9" s="1"/>
  <c r="AG833" i="9"/>
  <c r="AF833" i="9"/>
  <c r="AE833" i="9"/>
  <c r="AD833" i="9"/>
  <c r="AC833" i="9"/>
  <c r="AB833" i="9"/>
  <c r="AA833" i="9"/>
  <c r="Z833" i="9"/>
  <c r="Y833" i="9"/>
  <c r="X833" i="9"/>
  <c r="W833" i="9"/>
  <c r="V833" i="9"/>
  <c r="U833" i="9"/>
  <c r="T833" i="9"/>
  <c r="S833" i="9"/>
  <c r="R833" i="9"/>
  <c r="Q833" i="9"/>
  <c r="P833" i="9"/>
  <c r="O833" i="9"/>
  <c r="N833" i="9"/>
  <c r="M833" i="9"/>
  <c r="L833" i="9"/>
  <c r="K833" i="9"/>
  <c r="J833" i="9"/>
  <c r="I833" i="9"/>
  <c r="H833" i="9"/>
  <c r="G833" i="9"/>
  <c r="F833" i="9"/>
  <c r="E833" i="9"/>
  <c r="D833" i="9"/>
  <c r="AW832" i="9"/>
  <c r="AM832" i="9" s="1"/>
  <c r="AQ832" i="9"/>
  <c r="AY832" i="9" s="1"/>
  <c r="AO832" i="9"/>
  <c r="AG832" i="9"/>
  <c r="AF832" i="9"/>
  <c r="AE832" i="9"/>
  <c r="AD832" i="9"/>
  <c r="AC832" i="9"/>
  <c r="AB832" i="9"/>
  <c r="AA832" i="9"/>
  <c r="Z832" i="9"/>
  <c r="Y832" i="9"/>
  <c r="X832" i="9"/>
  <c r="W832" i="9"/>
  <c r="V832" i="9"/>
  <c r="U832" i="9"/>
  <c r="T832" i="9"/>
  <c r="S832" i="9"/>
  <c r="R832" i="9"/>
  <c r="Q832" i="9"/>
  <c r="P832" i="9"/>
  <c r="O832" i="9"/>
  <c r="N832" i="9"/>
  <c r="M832" i="9"/>
  <c r="L832" i="9"/>
  <c r="K832" i="9"/>
  <c r="J832" i="9"/>
  <c r="I832" i="9"/>
  <c r="H832" i="9"/>
  <c r="G832" i="9"/>
  <c r="F832" i="9"/>
  <c r="E832" i="9"/>
  <c r="D832" i="9"/>
  <c r="AQ831" i="9"/>
  <c r="AG831" i="9"/>
  <c r="AF831" i="9"/>
  <c r="AE831" i="9"/>
  <c r="AD831" i="9"/>
  <c r="AC831" i="9"/>
  <c r="AB831" i="9"/>
  <c r="AA831" i="9"/>
  <c r="Z831" i="9"/>
  <c r="Y831" i="9"/>
  <c r="X831" i="9"/>
  <c r="W831" i="9"/>
  <c r="V831" i="9"/>
  <c r="U831" i="9"/>
  <c r="T831" i="9"/>
  <c r="S831" i="9"/>
  <c r="R831" i="9"/>
  <c r="Q831" i="9"/>
  <c r="P831" i="9"/>
  <c r="O831" i="9"/>
  <c r="N831" i="9"/>
  <c r="M831" i="9"/>
  <c r="L831" i="9"/>
  <c r="K831" i="9"/>
  <c r="J831" i="9"/>
  <c r="I831" i="9"/>
  <c r="H831" i="9"/>
  <c r="G831" i="9"/>
  <c r="F831" i="9"/>
  <c r="E831" i="9"/>
  <c r="D831" i="9"/>
  <c r="AY830" i="9"/>
  <c r="AO830" i="9" s="1"/>
  <c r="AV830" i="9"/>
  <c r="AL830" i="9" s="1"/>
  <c r="AS830" i="9"/>
  <c r="AR830" i="9"/>
  <c r="AQ830" i="9"/>
  <c r="AW830" i="9" s="1"/>
  <c r="AM830" i="9" s="1"/>
  <c r="AG830" i="9"/>
  <c r="AF830" i="9"/>
  <c r="AE830" i="9"/>
  <c r="AD830" i="9"/>
  <c r="AC830" i="9"/>
  <c r="AB830" i="9"/>
  <c r="AA830" i="9"/>
  <c r="Z830" i="9"/>
  <c r="Y830" i="9"/>
  <c r="X830" i="9"/>
  <c r="W830" i="9"/>
  <c r="V830" i="9"/>
  <c r="U830" i="9"/>
  <c r="T830" i="9"/>
  <c r="S830" i="9"/>
  <c r="R830" i="9"/>
  <c r="Q830" i="9"/>
  <c r="P830" i="9"/>
  <c r="O830" i="9"/>
  <c r="N830" i="9"/>
  <c r="M830" i="9"/>
  <c r="L830" i="9"/>
  <c r="K830" i="9"/>
  <c r="J830" i="9"/>
  <c r="I830" i="9"/>
  <c r="H830" i="9"/>
  <c r="G830" i="9"/>
  <c r="F830" i="9"/>
  <c r="E830" i="9"/>
  <c r="D830" i="9"/>
  <c r="AQ829" i="9"/>
  <c r="AG829" i="9"/>
  <c r="AF829" i="9"/>
  <c r="AE829" i="9"/>
  <c r="AD829" i="9"/>
  <c r="AC829" i="9"/>
  <c r="AB829" i="9"/>
  <c r="AA829" i="9"/>
  <c r="Z829" i="9"/>
  <c r="Y829" i="9"/>
  <c r="X829" i="9"/>
  <c r="W829" i="9"/>
  <c r="V829" i="9"/>
  <c r="U829" i="9"/>
  <c r="T829" i="9"/>
  <c r="S829" i="9"/>
  <c r="R829" i="9"/>
  <c r="Q829" i="9"/>
  <c r="P829" i="9"/>
  <c r="O829" i="9"/>
  <c r="N829" i="9"/>
  <c r="M829" i="9"/>
  <c r="L829" i="9"/>
  <c r="K829" i="9"/>
  <c r="J829" i="9"/>
  <c r="I829" i="9"/>
  <c r="H829" i="9"/>
  <c r="G829" i="9"/>
  <c r="F829" i="9"/>
  <c r="E829" i="9"/>
  <c r="D829" i="9"/>
  <c r="AY828" i="9"/>
  <c r="AO828" i="9" s="1"/>
  <c r="AX828" i="9"/>
  <c r="AW828" i="9"/>
  <c r="AM828" i="9" s="1"/>
  <c r="AV828" i="9"/>
  <c r="AL828" i="9" s="1"/>
  <c r="AU828" i="9"/>
  <c r="AK828" i="9" s="1"/>
  <c r="AR828" i="9"/>
  <c r="AS828" i="9" s="1"/>
  <c r="AQ828" i="9"/>
  <c r="AT828" i="9" s="1"/>
  <c r="AN828" i="9"/>
  <c r="AG828" i="9"/>
  <c r="AF828" i="9"/>
  <c r="AE828" i="9"/>
  <c r="AD828" i="9"/>
  <c r="AC828" i="9"/>
  <c r="AB828" i="9"/>
  <c r="AA828" i="9"/>
  <c r="Z828" i="9"/>
  <c r="Y828" i="9"/>
  <c r="X828" i="9"/>
  <c r="W828" i="9"/>
  <c r="V828" i="9"/>
  <c r="U828" i="9"/>
  <c r="T828" i="9"/>
  <c r="S828" i="9"/>
  <c r="R828" i="9"/>
  <c r="Q828" i="9"/>
  <c r="P828" i="9"/>
  <c r="O828" i="9"/>
  <c r="N828" i="9"/>
  <c r="M828" i="9"/>
  <c r="L828" i="9"/>
  <c r="K828" i="9"/>
  <c r="J828" i="9"/>
  <c r="I828" i="9"/>
  <c r="H828" i="9"/>
  <c r="G828" i="9"/>
  <c r="F828" i="9"/>
  <c r="E828" i="9"/>
  <c r="D828" i="9"/>
  <c r="AX827" i="9"/>
  <c r="AN827" i="9" s="1"/>
  <c r="AW827" i="9"/>
  <c r="AM827" i="9" s="1"/>
  <c r="AU827" i="9"/>
  <c r="AT827" i="9"/>
  <c r="AI827" i="9" s="1"/>
  <c r="AS827" i="9"/>
  <c r="AR827" i="9"/>
  <c r="AQ827" i="9"/>
  <c r="AV827" i="9" s="1"/>
  <c r="AL827" i="9"/>
  <c r="AK827" i="9"/>
  <c r="AH827" i="9"/>
  <c r="AG827" i="9"/>
  <c r="AF827" i="9"/>
  <c r="AE827" i="9"/>
  <c r="AD827" i="9"/>
  <c r="AC827" i="9"/>
  <c r="AB827" i="9"/>
  <c r="AA827" i="9"/>
  <c r="Z827" i="9"/>
  <c r="Y827" i="9"/>
  <c r="X827" i="9"/>
  <c r="W827" i="9"/>
  <c r="V827" i="9"/>
  <c r="U827" i="9"/>
  <c r="T827" i="9"/>
  <c r="S827" i="9"/>
  <c r="R827" i="9"/>
  <c r="Q827" i="9"/>
  <c r="P827" i="9"/>
  <c r="O827" i="9"/>
  <c r="N827" i="9"/>
  <c r="M827" i="9"/>
  <c r="L827" i="9"/>
  <c r="K827" i="9"/>
  <c r="J827" i="9"/>
  <c r="I827" i="9"/>
  <c r="H827" i="9"/>
  <c r="G827" i="9"/>
  <c r="F827" i="9"/>
  <c r="E827" i="9"/>
  <c r="D827" i="9"/>
  <c r="AY826" i="9"/>
  <c r="AO826" i="9" s="1"/>
  <c r="AX826" i="9"/>
  <c r="AN826" i="9" s="1"/>
  <c r="AU826" i="9"/>
  <c r="AK826" i="9" s="1"/>
  <c r="AR826" i="9"/>
  <c r="AS826" i="9" s="1"/>
  <c r="AQ826" i="9"/>
  <c r="AW826" i="9" s="1"/>
  <c r="AM826" i="9"/>
  <c r="AG826" i="9"/>
  <c r="AF826" i="9"/>
  <c r="AE826" i="9"/>
  <c r="AD826" i="9"/>
  <c r="AC826" i="9"/>
  <c r="AB826" i="9"/>
  <c r="AA826" i="9"/>
  <c r="Z826" i="9"/>
  <c r="Y826" i="9"/>
  <c r="X826" i="9"/>
  <c r="W826" i="9"/>
  <c r="V826" i="9"/>
  <c r="U826" i="9"/>
  <c r="T826" i="9"/>
  <c r="S826" i="9"/>
  <c r="R826" i="9"/>
  <c r="Q826" i="9"/>
  <c r="P826" i="9"/>
  <c r="O826" i="9"/>
  <c r="N826" i="9"/>
  <c r="M826" i="9"/>
  <c r="L826" i="9"/>
  <c r="K826" i="9"/>
  <c r="J826" i="9"/>
  <c r="I826" i="9"/>
  <c r="H826" i="9"/>
  <c r="G826" i="9"/>
  <c r="F826" i="9"/>
  <c r="E826" i="9"/>
  <c r="D826" i="9"/>
  <c r="AX825" i="9"/>
  <c r="AN825" i="9" s="1"/>
  <c r="AW825" i="9"/>
  <c r="AM825" i="9" s="1"/>
  <c r="AV825" i="9"/>
  <c r="AL825" i="9" s="1"/>
  <c r="AQ825" i="9"/>
  <c r="AT825" i="9" s="1"/>
  <c r="AG825" i="9"/>
  <c r="AF825" i="9"/>
  <c r="AE825" i="9"/>
  <c r="AD825" i="9"/>
  <c r="AC825" i="9"/>
  <c r="AB825" i="9"/>
  <c r="AA825" i="9"/>
  <c r="Z825" i="9"/>
  <c r="Y825" i="9"/>
  <c r="X825" i="9"/>
  <c r="W825" i="9"/>
  <c r="V825" i="9"/>
  <c r="U825" i="9"/>
  <c r="T825" i="9"/>
  <c r="S825" i="9"/>
  <c r="R825" i="9"/>
  <c r="Q825" i="9"/>
  <c r="P825" i="9"/>
  <c r="O825" i="9"/>
  <c r="N825" i="9"/>
  <c r="M825" i="9"/>
  <c r="L825" i="9"/>
  <c r="K825" i="9"/>
  <c r="J825" i="9"/>
  <c r="I825" i="9"/>
  <c r="H825" i="9"/>
  <c r="G825" i="9"/>
  <c r="F825" i="9"/>
  <c r="E825" i="9"/>
  <c r="D825" i="9"/>
  <c r="AX824" i="9"/>
  <c r="AN824" i="9" s="1"/>
  <c r="AU824" i="9"/>
  <c r="AK824" i="9" s="1"/>
  <c r="AQ824" i="9"/>
  <c r="AY824" i="9" s="1"/>
  <c r="AO824" i="9" s="1"/>
  <c r="AG824" i="9"/>
  <c r="AF824" i="9"/>
  <c r="AE824" i="9"/>
  <c r="AD824" i="9"/>
  <c r="AC824" i="9"/>
  <c r="AB824" i="9"/>
  <c r="AA824" i="9"/>
  <c r="Z824" i="9"/>
  <c r="Y824" i="9"/>
  <c r="X824" i="9"/>
  <c r="W824" i="9"/>
  <c r="V824" i="9"/>
  <c r="U824" i="9"/>
  <c r="T824" i="9"/>
  <c r="S824" i="9"/>
  <c r="R824" i="9"/>
  <c r="Q824" i="9"/>
  <c r="P824" i="9"/>
  <c r="O824" i="9"/>
  <c r="N824" i="9"/>
  <c r="M824" i="9"/>
  <c r="L824" i="9"/>
  <c r="K824" i="9"/>
  <c r="J824" i="9"/>
  <c r="I824" i="9"/>
  <c r="H824" i="9"/>
  <c r="G824" i="9"/>
  <c r="F824" i="9"/>
  <c r="E824" i="9"/>
  <c r="D824" i="9"/>
  <c r="AY823" i="9"/>
  <c r="AO823" i="9" s="1"/>
  <c r="AX823" i="9"/>
  <c r="AW823" i="9"/>
  <c r="AM823" i="9" s="1"/>
  <c r="AV823" i="9"/>
  <c r="AL823" i="9" s="1"/>
  <c r="AU823" i="9"/>
  <c r="AT823" i="9"/>
  <c r="AJ823" i="9" s="1"/>
  <c r="AS823" i="9"/>
  <c r="AR823" i="9"/>
  <c r="AQ823" i="9"/>
  <c r="AN823" i="9"/>
  <c r="AK823" i="9"/>
  <c r="AG823" i="9"/>
  <c r="AF823" i="9"/>
  <c r="AE823" i="9"/>
  <c r="AD823" i="9"/>
  <c r="AC823" i="9"/>
  <c r="AB823" i="9"/>
  <c r="AA823" i="9"/>
  <c r="Z823" i="9"/>
  <c r="Y823" i="9"/>
  <c r="X823" i="9"/>
  <c r="W823" i="9"/>
  <c r="V823" i="9"/>
  <c r="U823" i="9"/>
  <c r="T823" i="9"/>
  <c r="S823" i="9"/>
  <c r="R823" i="9"/>
  <c r="Q823" i="9"/>
  <c r="P823" i="9"/>
  <c r="O823" i="9"/>
  <c r="N823" i="9"/>
  <c r="M823" i="9"/>
  <c r="L823" i="9"/>
  <c r="K823" i="9"/>
  <c r="J823" i="9"/>
  <c r="I823" i="9"/>
  <c r="H823" i="9"/>
  <c r="G823" i="9"/>
  <c r="F823" i="9"/>
  <c r="E823" i="9"/>
  <c r="D823" i="9"/>
  <c r="AQ822" i="9"/>
  <c r="AG822" i="9"/>
  <c r="AF822" i="9"/>
  <c r="AE822" i="9"/>
  <c r="AD822" i="9"/>
  <c r="AC822" i="9"/>
  <c r="AB822" i="9"/>
  <c r="AA822" i="9"/>
  <c r="Z822" i="9"/>
  <c r="Y822" i="9"/>
  <c r="X822" i="9"/>
  <c r="W822" i="9"/>
  <c r="V822" i="9"/>
  <c r="U822" i="9"/>
  <c r="T822" i="9"/>
  <c r="S822" i="9"/>
  <c r="R822" i="9"/>
  <c r="Q822" i="9"/>
  <c r="P822" i="9"/>
  <c r="O822" i="9"/>
  <c r="N822" i="9"/>
  <c r="M822" i="9"/>
  <c r="L822" i="9"/>
  <c r="K822" i="9"/>
  <c r="J822" i="9"/>
  <c r="I822" i="9"/>
  <c r="H822" i="9"/>
  <c r="G822" i="9"/>
  <c r="F822" i="9"/>
  <c r="E822" i="9"/>
  <c r="D822" i="9"/>
  <c r="AY821" i="9"/>
  <c r="AO821" i="9" s="1"/>
  <c r="AW821" i="9"/>
  <c r="AV821" i="9"/>
  <c r="AL821" i="9" s="1"/>
  <c r="AU821" i="9"/>
  <c r="AK821" i="9" s="1"/>
  <c r="AT821" i="9"/>
  <c r="AI821" i="9" s="1"/>
  <c r="AR821" i="9"/>
  <c r="AS821" i="9" s="1"/>
  <c r="AQ821" i="9"/>
  <c r="AX821" i="9" s="1"/>
  <c r="AN821" i="9"/>
  <c r="AM821" i="9"/>
  <c r="AJ821" i="9"/>
  <c r="AG821" i="9"/>
  <c r="AF821" i="9"/>
  <c r="AE821" i="9"/>
  <c r="AD821" i="9"/>
  <c r="AC821" i="9"/>
  <c r="AB821" i="9"/>
  <c r="AA821" i="9"/>
  <c r="Z821" i="9"/>
  <c r="Y821" i="9"/>
  <c r="X821" i="9"/>
  <c r="W821" i="9"/>
  <c r="V821" i="9"/>
  <c r="U821" i="9"/>
  <c r="T821" i="9"/>
  <c r="S821" i="9"/>
  <c r="R821" i="9"/>
  <c r="Q821" i="9"/>
  <c r="P821" i="9"/>
  <c r="O821" i="9"/>
  <c r="N821" i="9"/>
  <c r="M821" i="9"/>
  <c r="L821" i="9"/>
  <c r="K821" i="9"/>
  <c r="J821" i="9"/>
  <c r="I821" i="9"/>
  <c r="H821" i="9"/>
  <c r="G821" i="9"/>
  <c r="F821" i="9"/>
  <c r="E821" i="9"/>
  <c r="D821" i="9"/>
  <c r="AY820" i="9"/>
  <c r="AW820" i="9"/>
  <c r="AM820" i="9" s="1"/>
  <c r="AU820" i="9"/>
  <c r="AK820" i="9" s="1"/>
  <c r="AT820" i="9"/>
  <c r="AQ820" i="9"/>
  <c r="AX820" i="9" s="1"/>
  <c r="AN820" i="9" s="1"/>
  <c r="AO820" i="9"/>
  <c r="AG820" i="9"/>
  <c r="AF820" i="9"/>
  <c r="AE820" i="9"/>
  <c r="AD820" i="9"/>
  <c r="AC820" i="9"/>
  <c r="AB820" i="9"/>
  <c r="AA820" i="9"/>
  <c r="Z820" i="9"/>
  <c r="Y820" i="9"/>
  <c r="X820" i="9"/>
  <c r="W820" i="9"/>
  <c r="V820" i="9"/>
  <c r="U820" i="9"/>
  <c r="T820" i="9"/>
  <c r="S820" i="9"/>
  <c r="R820" i="9"/>
  <c r="Q820" i="9"/>
  <c r="P820" i="9"/>
  <c r="O820" i="9"/>
  <c r="N820" i="9"/>
  <c r="M820" i="9"/>
  <c r="L820" i="9"/>
  <c r="K820" i="9"/>
  <c r="J820" i="9"/>
  <c r="I820" i="9"/>
  <c r="H820" i="9"/>
  <c r="G820" i="9"/>
  <c r="F820" i="9"/>
  <c r="E820" i="9"/>
  <c r="D820" i="9"/>
  <c r="AY819" i="9"/>
  <c r="AO819" i="9" s="1"/>
  <c r="AU819" i="9"/>
  <c r="AK819" i="9" s="1"/>
  <c r="AR819" i="9"/>
  <c r="AS819" i="9" s="1"/>
  <c r="AQ819" i="9"/>
  <c r="AV819" i="9" s="1"/>
  <c r="AL819" i="9" s="1"/>
  <c r="AG819" i="9"/>
  <c r="AF819" i="9"/>
  <c r="AE819" i="9"/>
  <c r="AD819" i="9"/>
  <c r="AC819" i="9"/>
  <c r="AB819" i="9"/>
  <c r="AA819" i="9"/>
  <c r="Z819" i="9"/>
  <c r="Y819" i="9"/>
  <c r="X819" i="9"/>
  <c r="W819" i="9"/>
  <c r="V819" i="9"/>
  <c r="U819" i="9"/>
  <c r="T819" i="9"/>
  <c r="S819" i="9"/>
  <c r="R819" i="9"/>
  <c r="Q819" i="9"/>
  <c r="P819" i="9"/>
  <c r="O819" i="9"/>
  <c r="N819" i="9"/>
  <c r="M819" i="9"/>
  <c r="L819" i="9"/>
  <c r="K819" i="9"/>
  <c r="J819" i="9"/>
  <c r="I819" i="9"/>
  <c r="H819" i="9"/>
  <c r="G819" i="9"/>
  <c r="F819" i="9"/>
  <c r="E819" i="9"/>
  <c r="D819" i="9"/>
  <c r="AW818" i="9"/>
  <c r="AM818" i="9" s="1"/>
  <c r="AQ818" i="9"/>
  <c r="AG818" i="9"/>
  <c r="AF818" i="9"/>
  <c r="AE818" i="9"/>
  <c r="AD818" i="9"/>
  <c r="AC818" i="9"/>
  <c r="AB818" i="9"/>
  <c r="AA818" i="9"/>
  <c r="Z818" i="9"/>
  <c r="Y818" i="9"/>
  <c r="X818" i="9"/>
  <c r="W818" i="9"/>
  <c r="V818" i="9"/>
  <c r="U818" i="9"/>
  <c r="T818" i="9"/>
  <c r="S818" i="9"/>
  <c r="R818" i="9"/>
  <c r="Q818" i="9"/>
  <c r="P818" i="9"/>
  <c r="O818" i="9"/>
  <c r="N818" i="9"/>
  <c r="M818" i="9"/>
  <c r="L818" i="9"/>
  <c r="K818" i="9"/>
  <c r="J818" i="9"/>
  <c r="I818" i="9"/>
  <c r="H818" i="9"/>
  <c r="G818" i="9"/>
  <c r="F818" i="9"/>
  <c r="E818" i="9"/>
  <c r="D818" i="9"/>
  <c r="AQ817" i="9"/>
  <c r="AG817" i="9"/>
  <c r="AF817" i="9"/>
  <c r="AE817" i="9"/>
  <c r="AD817" i="9"/>
  <c r="AC817" i="9"/>
  <c r="AB817" i="9"/>
  <c r="AA817" i="9"/>
  <c r="Z817" i="9"/>
  <c r="Y817" i="9"/>
  <c r="X817" i="9"/>
  <c r="W817" i="9"/>
  <c r="V817" i="9"/>
  <c r="U817" i="9"/>
  <c r="T817" i="9"/>
  <c r="S817" i="9"/>
  <c r="R817" i="9"/>
  <c r="Q817" i="9"/>
  <c r="P817" i="9"/>
  <c r="O817" i="9"/>
  <c r="N817" i="9"/>
  <c r="M817" i="9"/>
  <c r="L817" i="9"/>
  <c r="K817" i="9"/>
  <c r="J817" i="9"/>
  <c r="I817" i="9"/>
  <c r="H817" i="9"/>
  <c r="G817" i="9"/>
  <c r="F817" i="9"/>
  <c r="E817" i="9"/>
  <c r="D817" i="9"/>
  <c r="AV816" i="9"/>
  <c r="AS816" i="9"/>
  <c r="AR816" i="9"/>
  <c r="AQ816" i="9"/>
  <c r="AW816" i="9" s="1"/>
  <c r="AM816" i="9" s="1"/>
  <c r="AL816" i="9"/>
  <c r="AG816" i="9"/>
  <c r="AF816" i="9"/>
  <c r="AE816" i="9"/>
  <c r="AD816" i="9"/>
  <c r="AC816" i="9"/>
  <c r="AB816" i="9"/>
  <c r="AA816" i="9"/>
  <c r="Z816" i="9"/>
  <c r="Y816" i="9"/>
  <c r="X816" i="9"/>
  <c r="W816" i="9"/>
  <c r="V816" i="9"/>
  <c r="U816" i="9"/>
  <c r="T816" i="9"/>
  <c r="S816" i="9"/>
  <c r="R816" i="9"/>
  <c r="Q816" i="9"/>
  <c r="P816" i="9"/>
  <c r="O816" i="9"/>
  <c r="N816" i="9"/>
  <c r="M816" i="9"/>
  <c r="L816" i="9"/>
  <c r="K816" i="9"/>
  <c r="J816" i="9"/>
  <c r="I816" i="9"/>
  <c r="H816" i="9"/>
  <c r="G816" i="9"/>
  <c r="F816" i="9"/>
  <c r="E816" i="9"/>
  <c r="D816" i="9"/>
  <c r="AQ815" i="9"/>
  <c r="AG815" i="9"/>
  <c r="AF815" i="9"/>
  <c r="AE815" i="9"/>
  <c r="AD815" i="9"/>
  <c r="AC815" i="9"/>
  <c r="AB815" i="9"/>
  <c r="AA815" i="9"/>
  <c r="Z815" i="9"/>
  <c r="Y815" i="9"/>
  <c r="X815" i="9"/>
  <c r="W815" i="9"/>
  <c r="V815" i="9"/>
  <c r="U815" i="9"/>
  <c r="T815" i="9"/>
  <c r="S815" i="9"/>
  <c r="R815" i="9"/>
  <c r="Q815" i="9"/>
  <c r="P815" i="9"/>
  <c r="O815" i="9"/>
  <c r="N815" i="9"/>
  <c r="M815" i="9"/>
  <c r="L815" i="9"/>
  <c r="K815" i="9"/>
  <c r="J815" i="9"/>
  <c r="I815" i="9"/>
  <c r="H815" i="9"/>
  <c r="G815" i="9"/>
  <c r="F815" i="9"/>
  <c r="E815" i="9"/>
  <c r="D815" i="9"/>
  <c r="AY814" i="9"/>
  <c r="AO814" i="9" s="1"/>
  <c r="AX814" i="9"/>
  <c r="AW814" i="9"/>
  <c r="AM814" i="9" s="1"/>
  <c r="AV814" i="9"/>
  <c r="AL814" i="9" s="1"/>
  <c r="AU814" i="9"/>
  <c r="AK814" i="9" s="1"/>
  <c r="AR814" i="9"/>
  <c r="AS814" i="9" s="1"/>
  <c r="AQ814" i="9"/>
  <c r="AT814" i="9" s="1"/>
  <c r="AN814" i="9"/>
  <c r="AH814" i="9"/>
  <c r="AG814" i="9"/>
  <c r="AF814" i="9"/>
  <c r="AE814" i="9"/>
  <c r="AD814" i="9"/>
  <c r="AC814" i="9"/>
  <c r="AB814" i="9"/>
  <c r="AA814" i="9"/>
  <c r="Z814" i="9"/>
  <c r="Y814" i="9"/>
  <c r="X814" i="9"/>
  <c r="W814" i="9"/>
  <c r="V814" i="9"/>
  <c r="U814" i="9"/>
  <c r="T814" i="9"/>
  <c r="S814" i="9"/>
  <c r="R814" i="9"/>
  <c r="Q814" i="9"/>
  <c r="P814" i="9"/>
  <c r="O814" i="9"/>
  <c r="N814" i="9"/>
  <c r="M814" i="9"/>
  <c r="L814" i="9"/>
  <c r="K814" i="9"/>
  <c r="J814" i="9"/>
  <c r="I814" i="9"/>
  <c r="H814" i="9"/>
  <c r="G814" i="9"/>
  <c r="F814" i="9"/>
  <c r="E814" i="9"/>
  <c r="D814" i="9"/>
  <c r="AX813" i="9"/>
  <c r="AN813" i="9" s="1"/>
  <c r="AW813" i="9"/>
  <c r="AU813" i="9"/>
  <c r="AT813" i="9"/>
  <c r="AH813" i="9" s="1"/>
  <c r="AS813" i="9"/>
  <c r="AR813" i="9"/>
  <c r="AQ813" i="9"/>
  <c r="AV813" i="9" s="1"/>
  <c r="AM813" i="9"/>
  <c r="AL813" i="9"/>
  <c r="AK813" i="9"/>
  <c r="AG813" i="9"/>
  <c r="AF813" i="9"/>
  <c r="AE813" i="9"/>
  <c r="AD813" i="9"/>
  <c r="AC813" i="9"/>
  <c r="AB813" i="9"/>
  <c r="AA813" i="9"/>
  <c r="Z813" i="9"/>
  <c r="Y813" i="9"/>
  <c r="X813" i="9"/>
  <c r="W813" i="9"/>
  <c r="V813" i="9"/>
  <c r="U813" i="9"/>
  <c r="T813" i="9"/>
  <c r="S813" i="9"/>
  <c r="R813" i="9"/>
  <c r="Q813" i="9"/>
  <c r="P813" i="9"/>
  <c r="O813" i="9"/>
  <c r="N813" i="9"/>
  <c r="M813" i="9"/>
  <c r="L813" i="9"/>
  <c r="K813" i="9"/>
  <c r="J813" i="9"/>
  <c r="I813" i="9"/>
  <c r="H813" i="9"/>
  <c r="G813" i="9"/>
  <c r="F813" i="9"/>
  <c r="E813" i="9"/>
  <c r="D813" i="9"/>
  <c r="AY812" i="9"/>
  <c r="AO812" i="9" s="1"/>
  <c r="AX812" i="9"/>
  <c r="AN812" i="9" s="1"/>
  <c r="AW812" i="9"/>
  <c r="AU812" i="9"/>
  <c r="AK812" i="9" s="1"/>
  <c r="AS812" i="9"/>
  <c r="AR812" i="9"/>
  <c r="AQ812" i="9"/>
  <c r="AV812" i="9" s="1"/>
  <c r="AL812" i="9" s="1"/>
  <c r="AM812" i="9"/>
  <c r="AG812" i="9"/>
  <c r="AF812" i="9"/>
  <c r="AE812" i="9"/>
  <c r="AD812" i="9"/>
  <c r="AC812" i="9"/>
  <c r="AB812" i="9"/>
  <c r="AA812" i="9"/>
  <c r="Z812" i="9"/>
  <c r="Y812" i="9"/>
  <c r="X812" i="9"/>
  <c r="W812" i="9"/>
  <c r="V812" i="9"/>
  <c r="U812" i="9"/>
  <c r="T812" i="9"/>
  <c r="S812" i="9"/>
  <c r="R812" i="9"/>
  <c r="Q812" i="9"/>
  <c r="P812" i="9"/>
  <c r="O812" i="9"/>
  <c r="N812" i="9"/>
  <c r="M812" i="9"/>
  <c r="L812" i="9"/>
  <c r="K812" i="9"/>
  <c r="J812" i="9"/>
  <c r="I812" i="9"/>
  <c r="H812" i="9"/>
  <c r="G812" i="9"/>
  <c r="F812" i="9"/>
  <c r="E812" i="9"/>
  <c r="D812" i="9"/>
  <c r="AX811" i="9"/>
  <c r="AN811" i="9" s="1"/>
  <c r="AW811" i="9"/>
  <c r="AM811" i="9" s="1"/>
  <c r="AV811" i="9"/>
  <c r="AL811" i="9" s="1"/>
  <c r="AQ811" i="9"/>
  <c r="AT811" i="9" s="1"/>
  <c r="AJ811" i="9" s="1"/>
  <c r="AH811" i="9"/>
  <c r="AG811" i="9"/>
  <c r="AF811" i="9"/>
  <c r="AE811" i="9"/>
  <c r="AD811" i="9"/>
  <c r="AC811" i="9"/>
  <c r="AB811" i="9"/>
  <c r="AA811" i="9"/>
  <c r="Z811" i="9"/>
  <c r="Y811" i="9"/>
  <c r="X811" i="9"/>
  <c r="W811" i="9"/>
  <c r="V811" i="9"/>
  <c r="U811" i="9"/>
  <c r="T811" i="9"/>
  <c r="S811" i="9"/>
  <c r="R811" i="9"/>
  <c r="Q811" i="9"/>
  <c r="P811" i="9"/>
  <c r="O811" i="9"/>
  <c r="N811" i="9"/>
  <c r="M811" i="9"/>
  <c r="L811" i="9"/>
  <c r="K811" i="9"/>
  <c r="J811" i="9"/>
  <c r="I811" i="9"/>
  <c r="H811" i="9"/>
  <c r="G811" i="9"/>
  <c r="F811" i="9"/>
  <c r="E811" i="9"/>
  <c r="D811" i="9"/>
  <c r="AX810" i="9"/>
  <c r="AN810" i="9" s="1"/>
  <c r="AU810" i="9"/>
  <c r="AK810" i="9" s="1"/>
  <c r="AQ810" i="9"/>
  <c r="AY810" i="9" s="1"/>
  <c r="AO810" i="9" s="1"/>
  <c r="AG810" i="9"/>
  <c r="AF810" i="9"/>
  <c r="AE810" i="9"/>
  <c r="AD810" i="9"/>
  <c r="AC810" i="9"/>
  <c r="AB810" i="9"/>
  <c r="AA810" i="9"/>
  <c r="Z810" i="9"/>
  <c r="Y810" i="9"/>
  <c r="X810" i="9"/>
  <c r="W810" i="9"/>
  <c r="V810" i="9"/>
  <c r="U810" i="9"/>
  <c r="T810" i="9"/>
  <c r="S810" i="9"/>
  <c r="R810" i="9"/>
  <c r="Q810" i="9"/>
  <c r="P810" i="9"/>
  <c r="O810" i="9"/>
  <c r="N810" i="9"/>
  <c r="M810" i="9"/>
  <c r="L810" i="9"/>
  <c r="K810" i="9"/>
  <c r="J810" i="9"/>
  <c r="I810" i="9"/>
  <c r="H810" i="9"/>
  <c r="G810" i="9"/>
  <c r="F810" i="9"/>
  <c r="E810" i="9"/>
  <c r="D810" i="9"/>
  <c r="AY809" i="9"/>
  <c r="AO809" i="9" s="1"/>
  <c r="AX809" i="9"/>
  <c r="AW809" i="9"/>
  <c r="AM809" i="9" s="1"/>
  <c r="AV809" i="9"/>
  <c r="AL809" i="9" s="1"/>
  <c r="AU809" i="9"/>
  <c r="AT809" i="9"/>
  <c r="AS809" i="9"/>
  <c r="AR809" i="9"/>
  <c r="AQ809" i="9"/>
  <c r="AN809" i="9"/>
  <c r="AK809" i="9"/>
  <c r="AG809" i="9"/>
  <c r="AF809" i="9"/>
  <c r="AE809" i="9"/>
  <c r="AD809" i="9"/>
  <c r="AC809" i="9"/>
  <c r="AB809" i="9"/>
  <c r="AA809" i="9"/>
  <c r="Z809" i="9"/>
  <c r="Y809" i="9"/>
  <c r="X809" i="9"/>
  <c r="W809" i="9"/>
  <c r="V809" i="9"/>
  <c r="U809" i="9"/>
  <c r="T809" i="9"/>
  <c r="S809" i="9"/>
  <c r="R809" i="9"/>
  <c r="Q809" i="9"/>
  <c r="P809" i="9"/>
  <c r="O809" i="9"/>
  <c r="N809" i="9"/>
  <c r="M809" i="9"/>
  <c r="L809" i="9"/>
  <c r="K809" i="9"/>
  <c r="J809" i="9"/>
  <c r="I809" i="9"/>
  <c r="H809" i="9"/>
  <c r="G809" i="9"/>
  <c r="F809" i="9"/>
  <c r="E809" i="9"/>
  <c r="D809" i="9"/>
  <c r="AY808" i="9"/>
  <c r="AO808" i="9" s="1"/>
  <c r="AX808" i="9"/>
  <c r="AN808" i="9" s="1"/>
  <c r="AT808" i="9"/>
  <c r="AH808" i="9" s="1"/>
  <c r="AQ808" i="9"/>
  <c r="AJ808" i="9"/>
  <c r="AG808" i="9"/>
  <c r="AF808" i="9"/>
  <c r="AE808" i="9"/>
  <c r="AD808" i="9"/>
  <c r="AC808" i="9"/>
  <c r="AB808" i="9"/>
  <c r="AA808" i="9"/>
  <c r="Z808" i="9"/>
  <c r="Y808" i="9"/>
  <c r="X808" i="9"/>
  <c r="W808" i="9"/>
  <c r="V808" i="9"/>
  <c r="U808" i="9"/>
  <c r="T808" i="9"/>
  <c r="S808" i="9"/>
  <c r="R808" i="9"/>
  <c r="Q808" i="9"/>
  <c r="P808" i="9"/>
  <c r="O808" i="9"/>
  <c r="N808" i="9"/>
  <c r="M808" i="9"/>
  <c r="L808" i="9"/>
  <c r="K808" i="9"/>
  <c r="J808" i="9"/>
  <c r="I808" i="9"/>
  <c r="H808" i="9"/>
  <c r="G808" i="9"/>
  <c r="F808" i="9"/>
  <c r="E808" i="9"/>
  <c r="D808" i="9"/>
  <c r="AY807" i="9"/>
  <c r="AO807" i="9" s="1"/>
  <c r="AW807" i="9"/>
  <c r="AV807" i="9"/>
  <c r="AL807" i="9" s="1"/>
  <c r="AU807" i="9"/>
  <c r="AK807" i="9" s="1"/>
  <c r="AT807" i="9"/>
  <c r="AI807" i="9" s="1"/>
  <c r="AR807" i="9"/>
  <c r="AS807" i="9" s="1"/>
  <c r="AQ807" i="9"/>
  <c r="AX807" i="9" s="1"/>
  <c r="AN807" i="9" s="1"/>
  <c r="AM807" i="9"/>
  <c r="AJ807" i="9"/>
  <c r="AG807" i="9"/>
  <c r="AF807" i="9"/>
  <c r="AE807" i="9"/>
  <c r="AD807" i="9"/>
  <c r="AC807" i="9"/>
  <c r="AB807" i="9"/>
  <c r="AA807" i="9"/>
  <c r="Z807" i="9"/>
  <c r="Y807" i="9"/>
  <c r="X807" i="9"/>
  <c r="W807" i="9"/>
  <c r="V807" i="9"/>
  <c r="U807" i="9"/>
  <c r="T807" i="9"/>
  <c r="S807" i="9"/>
  <c r="R807" i="9"/>
  <c r="Q807" i="9"/>
  <c r="P807" i="9"/>
  <c r="O807" i="9"/>
  <c r="N807" i="9"/>
  <c r="M807" i="9"/>
  <c r="L807" i="9"/>
  <c r="K807" i="9"/>
  <c r="J807" i="9"/>
  <c r="I807" i="9"/>
  <c r="H807" i="9"/>
  <c r="G807" i="9"/>
  <c r="F807" i="9"/>
  <c r="E807" i="9"/>
  <c r="D807" i="9"/>
  <c r="AY806" i="9"/>
  <c r="AW806" i="9"/>
  <c r="AM806" i="9" s="1"/>
  <c r="AU806" i="9"/>
  <c r="AK806" i="9" s="1"/>
  <c r="AT806" i="9"/>
  <c r="AQ806" i="9"/>
  <c r="AX806" i="9" s="1"/>
  <c r="AN806" i="9" s="1"/>
  <c r="AO806" i="9"/>
  <c r="AG806" i="9"/>
  <c r="AF806" i="9"/>
  <c r="AE806" i="9"/>
  <c r="AD806" i="9"/>
  <c r="AC806" i="9"/>
  <c r="AB806" i="9"/>
  <c r="AA806" i="9"/>
  <c r="Z806" i="9"/>
  <c r="Y806" i="9"/>
  <c r="X806" i="9"/>
  <c r="W806" i="9"/>
  <c r="V806" i="9"/>
  <c r="U806" i="9"/>
  <c r="T806" i="9"/>
  <c r="S806" i="9"/>
  <c r="R806" i="9"/>
  <c r="Q806" i="9"/>
  <c r="P806" i="9"/>
  <c r="O806" i="9"/>
  <c r="N806" i="9"/>
  <c r="M806" i="9"/>
  <c r="L806" i="9"/>
  <c r="K806" i="9"/>
  <c r="J806" i="9"/>
  <c r="I806" i="9"/>
  <c r="H806" i="9"/>
  <c r="G806" i="9"/>
  <c r="F806" i="9"/>
  <c r="E806" i="9"/>
  <c r="D806" i="9"/>
  <c r="AY805" i="9"/>
  <c r="AO805" i="9" s="1"/>
  <c r="AU805" i="9"/>
  <c r="AR805" i="9"/>
  <c r="AS805" i="9" s="1"/>
  <c r="AQ805" i="9"/>
  <c r="AV805" i="9" s="1"/>
  <c r="AL805" i="9" s="1"/>
  <c r="AK805" i="9"/>
  <c r="AG805" i="9"/>
  <c r="AF805" i="9"/>
  <c r="AE805" i="9"/>
  <c r="AD805" i="9"/>
  <c r="AC805" i="9"/>
  <c r="AB805" i="9"/>
  <c r="AA805" i="9"/>
  <c r="Z805" i="9"/>
  <c r="Y805" i="9"/>
  <c r="X805" i="9"/>
  <c r="W805" i="9"/>
  <c r="V805" i="9"/>
  <c r="U805" i="9"/>
  <c r="T805" i="9"/>
  <c r="S805" i="9"/>
  <c r="R805" i="9"/>
  <c r="Q805" i="9"/>
  <c r="P805" i="9"/>
  <c r="O805" i="9"/>
  <c r="N805" i="9"/>
  <c r="M805" i="9"/>
  <c r="L805" i="9"/>
  <c r="K805" i="9"/>
  <c r="J805" i="9"/>
  <c r="I805" i="9"/>
  <c r="H805" i="9"/>
  <c r="G805" i="9"/>
  <c r="F805" i="9"/>
  <c r="E805" i="9"/>
  <c r="D805" i="9"/>
  <c r="AQ804" i="9"/>
  <c r="AG804" i="9"/>
  <c r="AF804" i="9"/>
  <c r="AE804" i="9"/>
  <c r="AD804" i="9"/>
  <c r="AC804" i="9"/>
  <c r="AB804" i="9"/>
  <c r="AA804" i="9"/>
  <c r="Z804" i="9"/>
  <c r="Y804" i="9"/>
  <c r="X804" i="9"/>
  <c r="W804" i="9"/>
  <c r="V804" i="9"/>
  <c r="U804" i="9"/>
  <c r="T804" i="9"/>
  <c r="S804" i="9"/>
  <c r="R804" i="9"/>
  <c r="Q804" i="9"/>
  <c r="P804" i="9"/>
  <c r="O804" i="9"/>
  <c r="N804" i="9"/>
  <c r="M804" i="9"/>
  <c r="L804" i="9"/>
  <c r="K804" i="9"/>
  <c r="J804" i="9"/>
  <c r="I804" i="9"/>
  <c r="H804" i="9"/>
  <c r="G804" i="9"/>
  <c r="F804" i="9"/>
  <c r="E804" i="9"/>
  <c r="D804" i="9"/>
  <c r="AU803" i="9"/>
  <c r="AK803" i="9" s="1"/>
  <c r="AQ803" i="9"/>
  <c r="AG803" i="9"/>
  <c r="AF803" i="9"/>
  <c r="AE803" i="9"/>
  <c r="AD803" i="9"/>
  <c r="AC803" i="9"/>
  <c r="AB803" i="9"/>
  <c r="AA803" i="9"/>
  <c r="Z803" i="9"/>
  <c r="Y803" i="9"/>
  <c r="X803" i="9"/>
  <c r="W803" i="9"/>
  <c r="V803" i="9"/>
  <c r="U803" i="9"/>
  <c r="T803" i="9"/>
  <c r="S803" i="9"/>
  <c r="R803" i="9"/>
  <c r="Q803" i="9"/>
  <c r="P803" i="9"/>
  <c r="O803" i="9"/>
  <c r="N803" i="9"/>
  <c r="M803" i="9"/>
  <c r="L803" i="9"/>
  <c r="K803" i="9"/>
  <c r="J803" i="9"/>
  <c r="I803" i="9"/>
  <c r="H803" i="9"/>
  <c r="G803" i="9"/>
  <c r="F803" i="9"/>
  <c r="E803" i="9"/>
  <c r="D803" i="9"/>
  <c r="AV802" i="9"/>
  <c r="AR802" i="9"/>
  <c r="AS802" i="9" s="1"/>
  <c r="AQ802" i="9"/>
  <c r="AW802" i="9" s="1"/>
  <c r="AM802" i="9" s="1"/>
  <c r="AL802" i="9"/>
  <c r="AG802" i="9"/>
  <c r="AF802" i="9"/>
  <c r="AE802" i="9"/>
  <c r="AD802" i="9"/>
  <c r="AC802" i="9"/>
  <c r="AB802" i="9"/>
  <c r="AA802" i="9"/>
  <c r="Z802" i="9"/>
  <c r="Y802" i="9"/>
  <c r="X802" i="9"/>
  <c r="W802" i="9"/>
  <c r="V802" i="9"/>
  <c r="U802" i="9"/>
  <c r="T802" i="9"/>
  <c r="S802" i="9"/>
  <c r="R802" i="9"/>
  <c r="Q802" i="9"/>
  <c r="P802" i="9"/>
  <c r="O802" i="9"/>
  <c r="N802" i="9"/>
  <c r="M802" i="9"/>
  <c r="L802" i="9"/>
  <c r="K802" i="9"/>
  <c r="J802" i="9"/>
  <c r="I802" i="9"/>
  <c r="H802" i="9"/>
  <c r="G802" i="9"/>
  <c r="F802" i="9"/>
  <c r="E802" i="9"/>
  <c r="D802" i="9"/>
  <c r="AW801" i="9"/>
  <c r="AM801" i="9" s="1"/>
  <c r="AR801" i="9"/>
  <c r="AS801" i="9" s="1"/>
  <c r="AQ801" i="9"/>
  <c r="AG801" i="9"/>
  <c r="AF801" i="9"/>
  <c r="AE801" i="9"/>
  <c r="AD801" i="9"/>
  <c r="AC801" i="9"/>
  <c r="AB801" i="9"/>
  <c r="AA801" i="9"/>
  <c r="Z801" i="9"/>
  <c r="Y801" i="9"/>
  <c r="X801" i="9"/>
  <c r="W801" i="9"/>
  <c r="V801" i="9"/>
  <c r="U801" i="9"/>
  <c r="T801" i="9"/>
  <c r="S801" i="9"/>
  <c r="R801" i="9"/>
  <c r="Q801" i="9"/>
  <c r="P801" i="9"/>
  <c r="O801" i="9"/>
  <c r="N801" i="9"/>
  <c r="M801" i="9"/>
  <c r="L801" i="9"/>
  <c r="K801" i="9"/>
  <c r="J801" i="9"/>
  <c r="I801" i="9"/>
  <c r="H801" i="9"/>
  <c r="G801" i="9"/>
  <c r="F801" i="9"/>
  <c r="E801" i="9"/>
  <c r="D801" i="9"/>
  <c r="AY800" i="9"/>
  <c r="AO800" i="9" s="1"/>
  <c r="AX800" i="9"/>
  <c r="AW800" i="9"/>
  <c r="AM800" i="9" s="1"/>
  <c r="AV800" i="9"/>
  <c r="AL800" i="9" s="1"/>
  <c r="AU800" i="9"/>
  <c r="AK800" i="9" s="1"/>
  <c r="AR800" i="9"/>
  <c r="AS800" i="9" s="1"/>
  <c r="AQ800" i="9"/>
  <c r="AT800" i="9" s="1"/>
  <c r="AH800" i="9" s="1"/>
  <c r="AN800" i="9"/>
  <c r="AG800" i="9"/>
  <c r="AF800" i="9"/>
  <c r="AE800" i="9"/>
  <c r="AD800" i="9"/>
  <c r="AC800" i="9"/>
  <c r="AB800" i="9"/>
  <c r="AA800" i="9"/>
  <c r="Z800" i="9"/>
  <c r="Y800" i="9"/>
  <c r="X800" i="9"/>
  <c r="W800" i="9"/>
  <c r="V800" i="9"/>
  <c r="U800" i="9"/>
  <c r="T800" i="9"/>
  <c r="S800" i="9"/>
  <c r="R800" i="9"/>
  <c r="Q800" i="9"/>
  <c r="P800" i="9"/>
  <c r="O800" i="9"/>
  <c r="N800" i="9"/>
  <c r="M800" i="9"/>
  <c r="L800" i="9"/>
  <c r="K800" i="9"/>
  <c r="J800" i="9"/>
  <c r="I800" i="9"/>
  <c r="H800" i="9"/>
  <c r="G800" i="9"/>
  <c r="F800" i="9"/>
  <c r="E800" i="9"/>
  <c r="D800" i="9"/>
  <c r="AX799" i="9"/>
  <c r="AN799" i="9" s="1"/>
  <c r="AW799" i="9"/>
  <c r="AM799" i="9" s="1"/>
  <c r="AU799" i="9"/>
  <c r="AT799" i="9"/>
  <c r="AS799" i="9"/>
  <c r="AR799" i="9"/>
  <c r="AQ799" i="9"/>
  <c r="AV799" i="9" s="1"/>
  <c r="AL799" i="9"/>
  <c r="AK799" i="9"/>
  <c r="AG799" i="9"/>
  <c r="AF799" i="9"/>
  <c r="AE799" i="9"/>
  <c r="AD799" i="9"/>
  <c r="AC799" i="9"/>
  <c r="AB799" i="9"/>
  <c r="AA799" i="9"/>
  <c r="Z799" i="9"/>
  <c r="Y799" i="9"/>
  <c r="X799" i="9"/>
  <c r="W799" i="9"/>
  <c r="V799" i="9"/>
  <c r="U799" i="9"/>
  <c r="T799" i="9"/>
  <c r="S799" i="9"/>
  <c r="R799" i="9"/>
  <c r="Q799" i="9"/>
  <c r="P799" i="9"/>
  <c r="O799" i="9"/>
  <c r="N799" i="9"/>
  <c r="M799" i="9"/>
  <c r="L799" i="9"/>
  <c r="K799" i="9"/>
  <c r="J799" i="9"/>
  <c r="I799" i="9"/>
  <c r="H799" i="9"/>
  <c r="G799" i="9"/>
  <c r="F799" i="9"/>
  <c r="E799" i="9"/>
  <c r="D799" i="9"/>
  <c r="AY798" i="9"/>
  <c r="AO798" i="9" s="1"/>
  <c r="AX798" i="9"/>
  <c r="AN798" i="9" s="1"/>
  <c r="AW798" i="9"/>
  <c r="AU798" i="9"/>
  <c r="AK798" i="9" s="1"/>
  <c r="AR798" i="9"/>
  <c r="AS798" i="9" s="1"/>
  <c r="AQ798" i="9"/>
  <c r="AV798" i="9" s="1"/>
  <c r="AL798" i="9" s="1"/>
  <c r="AM798" i="9"/>
  <c r="AG798" i="9"/>
  <c r="AF798" i="9"/>
  <c r="AE798" i="9"/>
  <c r="AD798" i="9"/>
  <c r="AC798" i="9"/>
  <c r="AB798" i="9"/>
  <c r="AA798" i="9"/>
  <c r="Z798" i="9"/>
  <c r="Y798" i="9"/>
  <c r="X798" i="9"/>
  <c r="W798" i="9"/>
  <c r="V798" i="9"/>
  <c r="U798" i="9"/>
  <c r="T798" i="9"/>
  <c r="S798" i="9"/>
  <c r="R798" i="9"/>
  <c r="Q798" i="9"/>
  <c r="P798" i="9"/>
  <c r="O798" i="9"/>
  <c r="N798" i="9"/>
  <c r="M798" i="9"/>
  <c r="L798" i="9"/>
  <c r="K798" i="9"/>
  <c r="J798" i="9"/>
  <c r="I798" i="9"/>
  <c r="H798" i="9"/>
  <c r="G798" i="9"/>
  <c r="F798" i="9"/>
  <c r="E798" i="9"/>
  <c r="D798" i="9"/>
  <c r="AX797" i="9"/>
  <c r="AW797" i="9"/>
  <c r="AM797" i="9" s="1"/>
  <c r="AV797" i="9"/>
  <c r="AL797" i="9" s="1"/>
  <c r="AQ797" i="9"/>
  <c r="AT797" i="9" s="1"/>
  <c r="AJ797" i="9" s="1"/>
  <c r="AN797" i="9"/>
  <c r="AI797" i="9"/>
  <c r="AH797" i="9"/>
  <c r="AG797" i="9"/>
  <c r="AF797" i="9"/>
  <c r="AE797" i="9"/>
  <c r="AD797" i="9"/>
  <c r="AC797" i="9"/>
  <c r="AB797" i="9"/>
  <c r="AA797" i="9"/>
  <c r="Z797" i="9"/>
  <c r="Y797" i="9"/>
  <c r="X797" i="9"/>
  <c r="W797" i="9"/>
  <c r="V797" i="9"/>
  <c r="U797" i="9"/>
  <c r="T797" i="9"/>
  <c r="S797" i="9"/>
  <c r="R797" i="9"/>
  <c r="Q797" i="9"/>
  <c r="P797" i="9"/>
  <c r="O797" i="9"/>
  <c r="N797" i="9"/>
  <c r="M797" i="9"/>
  <c r="L797" i="9"/>
  <c r="K797" i="9"/>
  <c r="J797" i="9"/>
  <c r="I797" i="9"/>
  <c r="H797" i="9"/>
  <c r="G797" i="9"/>
  <c r="F797" i="9"/>
  <c r="E797" i="9"/>
  <c r="D797" i="9"/>
  <c r="AX796" i="9"/>
  <c r="AU796" i="9"/>
  <c r="AK796" i="9" s="1"/>
  <c r="AT796" i="9"/>
  <c r="AI796" i="9" s="1"/>
  <c r="AQ796" i="9"/>
  <c r="AY796" i="9" s="1"/>
  <c r="AO796" i="9" s="1"/>
  <c r="AN796" i="9"/>
  <c r="AG796" i="9"/>
  <c r="AF796" i="9"/>
  <c r="AE796" i="9"/>
  <c r="AD796" i="9"/>
  <c r="AC796" i="9"/>
  <c r="AB796" i="9"/>
  <c r="AA796" i="9"/>
  <c r="Z796" i="9"/>
  <c r="Y796" i="9"/>
  <c r="X796" i="9"/>
  <c r="W796" i="9"/>
  <c r="V796" i="9"/>
  <c r="U796" i="9"/>
  <c r="T796" i="9"/>
  <c r="S796" i="9"/>
  <c r="R796" i="9"/>
  <c r="Q796" i="9"/>
  <c r="P796" i="9"/>
  <c r="O796" i="9"/>
  <c r="N796" i="9"/>
  <c r="M796" i="9"/>
  <c r="L796" i="9"/>
  <c r="K796" i="9"/>
  <c r="J796" i="9"/>
  <c r="I796" i="9"/>
  <c r="H796" i="9"/>
  <c r="G796" i="9"/>
  <c r="F796" i="9"/>
  <c r="E796" i="9"/>
  <c r="D796" i="9"/>
  <c r="AY795" i="9"/>
  <c r="AO795" i="9" s="1"/>
  <c r="AX795" i="9"/>
  <c r="AW795" i="9"/>
  <c r="AM795" i="9" s="1"/>
  <c r="AV795" i="9"/>
  <c r="AL795" i="9" s="1"/>
  <c r="AU795" i="9"/>
  <c r="AT795" i="9"/>
  <c r="AJ795" i="9" s="1"/>
  <c r="AS795" i="9"/>
  <c r="AR795" i="9"/>
  <c r="AQ795" i="9"/>
  <c r="AN795" i="9"/>
  <c r="AK795" i="9"/>
  <c r="AG795" i="9"/>
  <c r="AF795" i="9"/>
  <c r="AE795" i="9"/>
  <c r="AD795" i="9"/>
  <c r="AC795" i="9"/>
  <c r="AB795" i="9"/>
  <c r="AA795" i="9"/>
  <c r="Z795" i="9"/>
  <c r="Y795" i="9"/>
  <c r="X795" i="9"/>
  <c r="W795" i="9"/>
  <c r="V795" i="9"/>
  <c r="U795" i="9"/>
  <c r="T795" i="9"/>
  <c r="S795" i="9"/>
  <c r="R795" i="9"/>
  <c r="Q795" i="9"/>
  <c r="P795" i="9"/>
  <c r="O795" i="9"/>
  <c r="N795" i="9"/>
  <c r="M795" i="9"/>
  <c r="L795" i="9"/>
  <c r="K795" i="9"/>
  <c r="J795" i="9"/>
  <c r="I795" i="9"/>
  <c r="H795" i="9"/>
  <c r="G795" i="9"/>
  <c r="F795" i="9"/>
  <c r="E795" i="9"/>
  <c r="D795" i="9"/>
  <c r="AY794" i="9"/>
  <c r="AO794" i="9" s="1"/>
  <c r="AX794" i="9"/>
  <c r="AN794" i="9" s="1"/>
  <c r="AT794" i="9"/>
  <c r="AH794" i="9" s="1"/>
  <c r="AQ794" i="9"/>
  <c r="AJ794" i="9"/>
  <c r="AG794" i="9"/>
  <c r="AF794" i="9"/>
  <c r="AE794" i="9"/>
  <c r="AD794" i="9"/>
  <c r="AC794" i="9"/>
  <c r="AB794" i="9"/>
  <c r="AA794" i="9"/>
  <c r="Z794" i="9"/>
  <c r="Y794" i="9"/>
  <c r="X794" i="9"/>
  <c r="W794" i="9"/>
  <c r="V794" i="9"/>
  <c r="U794" i="9"/>
  <c r="T794" i="9"/>
  <c r="S794" i="9"/>
  <c r="R794" i="9"/>
  <c r="Q794" i="9"/>
  <c r="P794" i="9"/>
  <c r="O794" i="9"/>
  <c r="N794" i="9"/>
  <c r="M794" i="9"/>
  <c r="L794" i="9"/>
  <c r="K794" i="9"/>
  <c r="J794" i="9"/>
  <c r="I794" i="9"/>
  <c r="H794" i="9"/>
  <c r="G794" i="9"/>
  <c r="F794" i="9"/>
  <c r="E794" i="9"/>
  <c r="D794" i="9"/>
  <c r="AY793" i="9"/>
  <c r="AO793" i="9" s="1"/>
  <c r="AW793" i="9"/>
  <c r="AV793" i="9"/>
  <c r="AL793" i="9" s="1"/>
  <c r="AU793" i="9"/>
  <c r="AK793" i="9" s="1"/>
  <c r="AT793" i="9"/>
  <c r="AI793" i="9" s="1"/>
  <c r="AR793" i="9"/>
  <c r="AS793" i="9" s="1"/>
  <c r="AQ793" i="9"/>
  <c r="AX793" i="9" s="1"/>
  <c r="AN793" i="9" s="1"/>
  <c r="AM793" i="9"/>
  <c r="AJ793" i="9"/>
  <c r="AG793" i="9"/>
  <c r="AF793" i="9"/>
  <c r="AE793" i="9"/>
  <c r="AD793" i="9"/>
  <c r="AC793" i="9"/>
  <c r="AB793" i="9"/>
  <c r="AA793" i="9"/>
  <c r="Z793" i="9"/>
  <c r="Y793" i="9"/>
  <c r="X793" i="9"/>
  <c r="W793" i="9"/>
  <c r="V793" i="9"/>
  <c r="U793" i="9"/>
  <c r="T793" i="9"/>
  <c r="S793" i="9"/>
  <c r="R793" i="9"/>
  <c r="Q793" i="9"/>
  <c r="P793" i="9"/>
  <c r="O793" i="9"/>
  <c r="N793" i="9"/>
  <c r="M793" i="9"/>
  <c r="L793" i="9"/>
  <c r="K793" i="9"/>
  <c r="J793" i="9"/>
  <c r="I793" i="9"/>
  <c r="H793" i="9"/>
  <c r="G793" i="9"/>
  <c r="F793" i="9"/>
  <c r="E793" i="9"/>
  <c r="D793" i="9"/>
  <c r="AY792" i="9"/>
  <c r="AW792" i="9"/>
  <c r="AM792" i="9" s="1"/>
  <c r="AU792" i="9"/>
  <c r="AT792" i="9"/>
  <c r="AQ792" i="9"/>
  <c r="AX792" i="9" s="1"/>
  <c r="AN792" i="9" s="1"/>
  <c r="AO792" i="9"/>
  <c r="AK792" i="9"/>
  <c r="AG792" i="9"/>
  <c r="AF792" i="9"/>
  <c r="AE792" i="9"/>
  <c r="AD792" i="9"/>
  <c r="AC792" i="9"/>
  <c r="AB792" i="9"/>
  <c r="AA792" i="9"/>
  <c r="Z792" i="9"/>
  <c r="Y792" i="9"/>
  <c r="X792" i="9"/>
  <c r="W792" i="9"/>
  <c r="V792" i="9"/>
  <c r="U792" i="9"/>
  <c r="T792" i="9"/>
  <c r="S792" i="9"/>
  <c r="R792" i="9"/>
  <c r="Q792" i="9"/>
  <c r="P792" i="9"/>
  <c r="O792" i="9"/>
  <c r="N792" i="9"/>
  <c r="M792" i="9"/>
  <c r="L792" i="9"/>
  <c r="K792" i="9"/>
  <c r="J792" i="9"/>
  <c r="I792" i="9"/>
  <c r="H792" i="9"/>
  <c r="G792" i="9"/>
  <c r="F792" i="9"/>
  <c r="E792" i="9"/>
  <c r="D792" i="9"/>
  <c r="AU791" i="9"/>
  <c r="AK791" i="9" s="1"/>
  <c r="AR791" i="9"/>
  <c r="AS791" i="9" s="1"/>
  <c r="AQ791" i="9"/>
  <c r="AG791" i="9"/>
  <c r="AF791" i="9"/>
  <c r="AE791" i="9"/>
  <c r="AD791" i="9"/>
  <c r="AC791" i="9"/>
  <c r="AB791" i="9"/>
  <c r="AA791" i="9"/>
  <c r="Z791" i="9"/>
  <c r="Y791" i="9"/>
  <c r="X791" i="9"/>
  <c r="W791" i="9"/>
  <c r="V791" i="9"/>
  <c r="U791" i="9"/>
  <c r="T791" i="9"/>
  <c r="S791" i="9"/>
  <c r="R791" i="9"/>
  <c r="Q791" i="9"/>
  <c r="P791" i="9"/>
  <c r="O791" i="9"/>
  <c r="N791" i="9"/>
  <c r="M791" i="9"/>
  <c r="L791" i="9"/>
  <c r="K791" i="9"/>
  <c r="J791" i="9"/>
  <c r="I791" i="9"/>
  <c r="H791" i="9"/>
  <c r="G791" i="9"/>
  <c r="F791" i="9"/>
  <c r="E791" i="9"/>
  <c r="D791" i="9"/>
  <c r="AQ790" i="9"/>
  <c r="AG790" i="9"/>
  <c r="AF790" i="9"/>
  <c r="AE790" i="9"/>
  <c r="AD790" i="9"/>
  <c r="AC790" i="9"/>
  <c r="AB790" i="9"/>
  <c r="AA790" i="9"/>
  <c r="Z790" i="9"/>
  <c r="Y790" i="9"/>
  <c r="X790" i="9"/>
  <c r="W790" i="9"/>
  <c r="V790" i="9"/>
  <c r="U790" i="9"/>
  <c r="T790" i="9"/>
  <c r="S790" i="9"/>
  <c r="R790" i="9"/>
  <c r="Q790" i="9"/>
  <c r="P790" i="9"/>
  <c r="O790" i="9"/>
  <c r="N790" i="9"/>
  <c r="M790" i="9"/>
  <c r="L790" i="9"/>
  <c r="K790" i="9"/>
  <c r="J790" i="9"/>
  <c r="I790" i="9"/>
  <c r="H790" i="9"/>
  <c r="G790" i="9"/>
  <c r="F790" i="9"/>
  <c r="E790" i="9"/>
  <c r="D790" i="9"/>
  <c r="AV789" i="9"/>
  <c r="AU789" i="9"/>
  <c r="AK789" i="9" s="1"/>
  <c r="AQ789" i="9"/>
  <c r="AL789" i="9"/>
  <c r="AG789" i="9"/>
  <c r="AF789" i="9"/>
  <c r="AE789" i="9"/>
  <c r="AD789" i="9"/>
  <c r="AC789" i="9"/>
  <c r="AB789" i="9"/>
  <c r="AA789" i="9"/>
  <c r="Z789" i="9"/>
  <c r="Y789" i="9"/>
  <c r="X789" i="9"/>
  <c r="W789" i="9"/>
  <c r="V789" i="9"/>
  <c r="U789" i="9"/>
  <c r="T789" i="9"/>
  <c r="S789" i="9"/>
  <c r="R789" i="9"/>
  <c r="Q789" i="9"/>
  <c r="P789" i="9"/>
  <c r="O789" i="9"/>
  <c r="N789" i="9"/>
  <c r="M789" i="9"/>
  <c r="L789" i="9"/>
  <c r="K789" i="9"/>
  <c r="J789" i="9"/>
  <c r="I789" i="9"/>
  <c r="H789" i="9"/>
  <c r="G789" i="9"/>
  <c r="F789" i="9"/>
  <c r="E789" i="9"/>
  <c r="D789" i="9"/>
  <c r="AV788" i="9"/>
  <c r="AL788" i="9" s="1"/>
  <c r="AR788" i="9"/>
  <c r="AS788" i="9" s="1"/>
  <c r="AQ788" i="9"/>
  <c r="AW788" i="9" s="1"/>
  <c r="AM788" i="9" s="1"/>
  <c r="AG788" i="9"/>
  <c r="AF788" i="9"/>
  <c r="AE788" i="9"/>
  <c r="AD788" i="9"/>
  <c r="AC788" i="9"/>
  <c r="AB788" i="9"/>
  <c r="AA788" i="9"/>
  <c r="Z788" i="9"/>
  <c r="Y788" i="9"/>
  <c r="X788" i="9"/>
  <c r="W788" i="9"/>
  <c r="V788" i="9"/>
  <c r="U788" i="9"/>
  <c r="T788" i="9"/>
  <c r="S788" i="9"/>
  <c r="R788" i="9"/>
  <c r="Q788" i="9"/>
  <c r="P788" i="9"/>
  <c r="O788" i="9"/>
  <c r="N788" i="9"/>
  <c r="M788" i="9"/>
  <c r="L788" i="9"/>
  <c r="K788" i="9"/>
  <c r="J788" i="9"/>
  <c r="I788" i="9"/>
  <c r="H788" i="9"/>
  <c r="G788" i="9"/>
  <c r="F788" i="9"/>
  <c r="E788" i="9"/>
  <c r="D788" i="9"/>
  <c r="AQ787" i="9"/>
  <c r="AG787" i="9"/>
  <c r="AF787" i="9"/>
  <c r="AE787" i="9"/>
  <c r="AD787" i="9"/>
  <c r="AC787" i="9"/>
  <c r="AB787" i="9"/>
  <c r="AA787" i="9"/>
  <c r="Z787" i="9"/>
  <c r="Y787" i="9"/>
  <c r="X787" i="9"/>
  <c r="W787" i="9"/>
  <c r="V787" i="9"/>
  <c r="U787" i="9"/>
  <c r="T787" i="9"/>
  <c r="S787" i="9"/>
  <c r="R787" i="9"/>
  <c r="Q787" i="9"/>
  <c r="P787" i="9"/>
  <c r="O787" i="9"/>
  <c r="N787" i="9"/>
  <c r="M787" i="9"/>
  <c r="L787" i="9"/>
  <c r="K787" i="9"/>
  <c r="J787" i="9"/>
  <c r="I787" i="9"/>
  <c r="H787" i="9"/>
  <c r="G787" i="9"/>
  <c r="F787" i="9"/>
  <c r="E787" i="9"/>
  <c r="D787" i="9"/>
  <c r="AY786" i="9"/>
  <c r="AO786" i="9" s="1"/>
  <c r="AX786" i="9"/>
  <c r="AW786" i="9"/>
  <c r="AV786" i="9"/>
  <c r="AL786" i="9" s="1"/>
  <c r="AU786" i="9"/>
  <c r="AK786" i="9" s="1"/>
  <c r="AR786" i="9"/>
  <c r="AS786" i="9" s="1"/>
  <c r="AQ786" i="9"/>
  <c r="AT786" i="9" s="1"/>
  <c r="AH786" i="9" s="1"/>
  <c r="AN786" i="9"/>
  <c r="AM786" i="9"/>
  <c r="AG786" i="9"/>
  <c r="AF786" i="9"/>
  <c r="AE786" i="9"/>
  <c r="AD786" i="9"/>
  <c r="AC786" i="9"/>
  <c r="AB786" i="9"/>
  <c r="AA786" i="9"/>
  <c r="Z786" i="9"/>
  <c r="Y786" i="9"/>
  <c r="X786" i="9"/>
  <c r="W786" i="9"/>
  <c r="V786" i="9"/>
  <c r="U786" i="9"/>
  <c r="T786" i="9"/>
  <c r="S786" i="9"/>
  <c r="R786" i="9"/>
  <c r="Q786" i="9"/>
  <c r="P786" i="9"/>
  <c r="O786" i="9"/>
  <c r="N786" i="9"/>
  <c r="M786" i="9"/>
  <c r="L786" i="9"/>
  <c r="K786" i="9"/>
  <c r="J786" i="9"/>
  <c r="I786" i="9"/>
  <c r="H786" i="9"/>
  <c r="G786" i="9"/>
  <c r="F786" i="9"/>
  <c r="E786" i="9"/>
  <c r="D786" i="9"/>
  <c r="AX785" i="9"/>
  <c r="AN785" i="9" s="1"/>
  <c r="AW785" i="9"/>
  <c r="AM785" i="9" s="1"/>
  <c r="AU785" i="9"/>
  <c r="AT785" i="9"/>
  <c r="AS785" i="9"/>
  <c r="AR785" i="9"/>
  <c r="AQ785" i="9"/>
  <c r="AV785" i="9" s="1"/>
  <c r="AL785" i="9" s="1"/>
  <c r="AK785" i="9"/>
  <c r="AH785" i="9"/>
  <c r="AG785" i="9"/>
  <c r="AF785" i="9"/>
  <c r="AE785" i="9"/>
  <c r="AD785" i="9"/>
  <c r="AC785" i="9"/>
  <c r="AB785" i="9"/>
  <c r="AA785" i="9"/>
  <c r="Z785" i="9"/>
  <c r="Y785" i="9"/>
  <c r="X785" i="9"/>
  <c r="W785" i="9"/>
  <c r="V785" i="9"/>
  <c r="U785" i="9"/>
  <c r="T785" i="9"/>
  <c r="S785" i="9"/>
  <c r="R785" i="9"/>
  <c r="Q785" i="9"/>
  <c r="P785" i="9"/>
  <c r="O785" i="9"/>
  <c r="N785" i="9"/>
  <c r="M785" i="9"/>
  <c r="L785" i="9"/>
  <c r="K785" i="9"/>
  <c r="J785" i="9"/>
  <c r="I785" i="9"/>
  <c r="H785" i="9"/>
  <c r="G785" i="9"/>
  <c r="F785" i="9"/>
  <c r="E785" i="9"/>
  <c r="D785" i="9"/>
  <c r="AY784" i="9"/>
  <c r="AO784" i="9" s="1"/>
  <c r="AX784" i="9"/>
  <c r="AN784" i="9" s="1"/>
  <c r="AU784" i="9"/>
  <c r="AK784" i="9" s="1"/>
  <c r="AS784" i="9"/>
  <c r="AR784" i="9"/>
  <c r="AQ784" i="9"/>
  <c r="AW784" i="9" s="1"/>
  <c r="AM784" i="9"/>
  <c r="AG784" i="9"/>
  <c r="AF784" i="9"/>
  <c r="AE784" i="9"/>
  <c r="AD784" i="9"/>
  <c r="AC784" i="9"/>
  <c r="AB784" i="9"/>
  <c r="AA784" i="9"/>
  <c r="Z784" i="9"/>
  <c r="Y784" i="9"/>
  <c r="X784" i="9"/>
  <c r="W784" i="9"/>
  <c r="V784" i="9"/>
  <c r="U784" i="9"/>
  <c r="T784" i="9"/>
  <c r="S784" i="9"/>
  <c r="R784" i="9"/>
  <c r="Q784" i="9"/>
  <c r="P784" i="9"/>
  <c r="O784" i="9"/>
  <c r="N784" i="9"/>
  <c r="M784" i="9"/>
  <c r="L784" i="9"/>
  <c r="K784" i="9"/>
  <c r="J784" i="9"/>
  <c r="I784" i="9"/>
  <c r="H784" i="9"/>
  <c r="G784" i="9"/>
  <c r="F784" i="9"/>
  <c r="E784" i="9"/>
  <c r="D784" i="9"/>
  <c r="AX783" i="9"/>
  <c r="AN783" i="9" s="1"/>
  <c r="AW783" i="9"/>
  <c r="AM783" i="9" s="1"/>
  <c r="AV783" i="9"/>
  <c r="AL783" i="9" s="1"/>
  <c r="AQ783" i="9"/>
  <c r="AT783" i="9" s="1"/>
  <c r="AJ783" i="9" s="1"/>
  <c r="AG783" i="9"/>
  <c r="AF783" i="9"/>
  <c r="AE783" i="9"/>
  <c r="AD783" i="9"/>
  <c r="AC783" i="9"/>
  <c r="AB783" i="9"/>
  <c r="AA783" i="9"/>
  <c r="Z783" i="9"/>
  <c r="Y783" i="9"/>
  <c r="X783" i="9"/>
  <c r="W783" i="9"/>
  <c r="V783" i="9"/>
  <c r="U783" i="9"/>
  <c r="T783" i="9"/>
  <c r="S783" i="9"/>
  <c r="R783" i="9"/>
  <c r="Q783" i="9"/>
  <c r="P783" i="9"/>
  <c r="O783" i="9"/>
  <c r="N783" i="9"/>
  <c r="M783" i="9"/>
  <c r="L783" i="9"/>
  <c r="K783" i="9"/>
  <c r="J783" i="9"/>
  <c r="I783" i="9"/>
  <c r="H783" i="9"/>
  <c r="G783" i="9"/>
  <c r="F783" i="9"/>
  <c r="E783" i="9"/>
  <c r="D783" i="9"/>
  <c r="AX782" i="9"/>
  <c r="AU782" i="9"/>
  <c r="AK782" i="9" s="1"/>
  <c r="AT782" i="9"/>
  <c r="AQ782" i="9"/>
  <c r="AN782" i="9"/>
  <c r="AI782" i="9"/>
  <c r="AG782" i="9"/>
  <c r="AF782" i="9"/>
  <c r="AE782" i="9"/>
  <c r="AD782" i="9"/>
  <c r="AC782" i="9"/>
  <c r="AB782" i="9"/>
  <c r="AA782" i="9"/>
  <c r="Z782" i="9"/>
  <c r="Y782" i="9"/>
  <c r="X782" i="9"/>
  <c r="W782" i="9"/>
  <c r="V782" i="9"/>
  <c r="U782" i="9"/>
  <c r="T782" i="9"/>
  <c r="S782" i="9"/>
  <c r="R782" i="9"/>
  <c r="Q782" i="9"/>
  <c r="P782" i="9"/>
  <c r="O782" i="9"/>
  <c r="N782" i="9"/>
  <c r="M782" i="9"/>
  <c r="L782" i="9"/>
  <c r="K782" i="9"/>
  <c r="J782" i="9"/>
  <c r="I782" i="9"/>
  <c r="H782" i="9"/>
  <c r="G782" i="9"/>
  <c r="F782" i="9"/>
  <c r="E782" i="9"/>
  <c r="D782" i="9"/>
  <c r="AY781" i="9"/>
  <c r="AO781" i="9" s="1"/>
  <c r="AX781" i="9"/>
  <c r="AW781" i="9"/>
  <c r="AM781" i="9" s="1"/>
  <c r="AV781" i="9"/>
  <c r="AL781" i="9" s="1"/>
  <c r="AU781" i="9"/>
  <c r="AT781" i="9"/>
  <c r="AS781" i="9"/>
  <c r="AR781" i="9"/>
  <c r="AQ781" i="9"/>
  <c r="AN781" i="9"/>
  <c r="AK781" i="9"/>
  <c r="AJ781" i="9"/>
  <c r="AG781" i="9"/>
  <c r="AF781" i="9"/>
  <c r="AE781" i="9"/>
  <c r="AD781" i="9"/>
  <c r="AC781" i="9"/>
  <c r="AB781" i="9"/>
  <c r="AA781" i="9"/>
  <c r="Z781" i="9"/>
  <c r="Y781" i="9"/>
  <c r="X781" i="9"/>
  <c r="W781" i="9"/>
  <c r="V781" i="9"/>
  <c r="U781" i="9"/>
  <c r="T781" i="9"/>
  <c r="S781" i="9"/>
  <c r="R781" i="9"/>
  <c r="Q781" i="9"/>
  <c r="P781" i="9"/>
  <c r="O781" i="9"/>
  <c r="N781" i="9"/>
  <c r="M781" i="9"/>
  <c r="L781" i="9"/>
  <c r="K781" i="9"/>
  <c r="J781" i="9"/>
  <c r="I781" i="9"/>
  <c r="H781" i="9"/>
  <c r="G781" i="9"/>
  <c r="F781" i="9"/>
  <c r="E781" i="9"/>
  <c r="D781" i="9"/>
  <c r="AT780" i="9"/>
  <c r="AH780" i="9" s="1"/>
  <c r="AQ780" i="9"/>
  <c r="AY780" i="9" s="1"/>
  <c r="AO780" i="9" s="1"/>
  <c r="AJ780" i="9"/>
  <c r="AG780" i="9"/>
  <c r="AF780" i="9"/>
  <c r="AE780" i="9"/>
  <c r="AD780" i="9"/>
  <c r="AC780" i="9"/>
  <c r="AB780" i="9"/>
  <c r="AA780" i="9"/>
  <c r="Z780" i="9"/>
  <c r="Y780" i="9"/>
  <c r="X780" i="9"/>
  <c r="W780" i="9"/>
  <c r="V780" i="9"/>
  <c r="U780" i="9"/>
  <c r="T780" i="9"/>
  <c r="S780" i="9"/>
  <c r="R780" i="9"/>
  <c r="Q780" i="9"/>
  <c r="P780" i="9"/>
  <c r="O780" i="9"/>
  <c r="N780" i="9"/>
  <c r="M780" i="9"/>
  <c r="L780" i="9"/>
  <c r="K780" i="9"/>
  <c r="J780" i="9"/>
  <c r="I780" i="9"/>
  <c r="H780" i="9"/>
  <c r="G780" i="9"/>
  <c r="F780" i="9"/>
  <c r="E780" i="9"/>
  <c r="D780" i="9"/>
  <c r="AY779" i="9"/>
  <c r="AO779" i="9" s="1"/>
  <c r="AV779" i="9"/>
  <c r="AL779" i="9" s="1"/>
  <c r="AU779" i="9"/>
  <c r="AK779" i="9" s="1"/>
  <c r="AT779" i="9"/>
  <c r="AR779" i="9"/>
  <c r="AS779" i="9" s="1"/>
  <c r="AQ779" i="9"/>
  <c r="AX779" i="9" s="1"/>
  <c r="AN779" i="9" s="1"/>
  <c r="AG779" i="9"/>
  <c r="AF779" i="9"/>
  <c r="AE779" i="9"/>
  <c r="AD779" i="9"/>
  <c r="AC779" i="9"/>
  <c r="AB779" i="9"/>
  <c r="AA779" i="9"/>
  <c r="Z779" i="9"/>
  <c r="Y779" i="9"/>
  <c r="X779" i="9"/>
  <c r="W779" i="9"/>
  <c r="V779" i="9"/>
  <c r="U779" i="9"/>
  <c r="T779" i="9"/>
  <c r="S779" i="9"/>
  <c r="R779" i="9"/>
  <c r="Q779" i="9"/>
  <c r="P779" i="9"/>
  <c r="O779" i="9"/>
  <c r="N779" i="9"/>
  <c r="M779" i="9"/>
  <c r="L779" i="9"/>
  <c r="K779" i="9"/>
  <c r="J779" i="9"/>
  <c r="I779" i="9"/>
  <c r="H779" i="9"/>
  <c r="G779" i="9"/>
  <c r="F779" i="9"/>
  <c r="E779" i="9"/>
  <c r="D779" i="9"/>
  <c r="AY778" i="9"/>
  <c r="AW778" i="9"/>
  <c r="AM778" i="9" s="1"/>
  <c r="AV778" i="9"/>
  <c r="AU778" i="9"/>
  <c r="AK778" i="9" s="1"/>
  <c r="AT778" i="9"/>
  <c r="AI778" i="9" s="1"/>
  <c r="AQ778" i="9"/>
  <c r="AX778" i="9" s="1"/>
  <c r="AN778" i="9" s="1"/>
  <c r="AO778" i="9"/>
  <c r="AL778" i="9"/>
  <c r="AG778" i="9"/>
  <c r="AF778" i="9"/>
  <c r="AE778" i="9"/>
  <c r="AD778" i="9"/>
  <c r="AC778" i="9"/>
  <c r="AB778" i="9"/>
  <c r="AA778" i="9"/>
  <c r="Z778" i="9"/>
  <c r="Y778" i="9"/>
  <c r="X778" i="9"/>
  <c r="W778" i="9"/>
  <c r="V778" i="9"/>
  <c r="U778" i="9"/>
  <c r="T778" i="9"/>
  <c r="S778" i="9"/>
  <c r="R778" i="9"/>
  <c r="Q778" i="9"/>
  <c r="P778" i="9"/>
  <c r="O778" i="9"/>
  <c r="N778" i="9"/>
  <c r="M778" i="9"/>
  <c r="L778" i="9"/>
  <c r="K778" i="9"/>
  <c r="J778" i="9"/>
  <c r="I778" i="9"/>
  <c r="H778" i="9"/>
  <c r="G778" i="9"/>
  <c r="F778" i="9"/>
  <c r="E778" i="9"/>
  <c r="D778" i="9"/>
  <c r="AQ777" i="9"/>
  <c r="AG777" i="9"/>
  <c r="AF777" i="9"/>
  <c r="AE777" i="9"/>
  <c r="AD777" i="9"/>
  <c r="AC777" i="9"/>
  <c r="AB777" i="9"/>
  <c r="AA777" i="9"/>
  <c r="Z777" i="9"/>
  <c r="Y777" i="9"/>
  <c r="X777" i="9"/>
  <c r="W777" i="9"/>
  <c r="V777" i="9"/>
  <c r="U777" i="9"/>
  <c r="T777" i="9"/>
  <c r="S777" i="9"/>
  <c r="R777" i="9"/>
  <c r="Q777" i="9"/>
  <c r="P777" i="9"/>
  <c r="O777" i="9"/>
  <c r="N777" i="9"/>
  <c r="M777" i="9"/>
  <c r="L777" i="9"/>
  <c r="K777" i="9"/>
  <c r="J777" i="9"/>
  <c r="I777" i="9"/>
  <c r="H777" i="9"/>
  <c r="G777" i="9"/>
  <c r="F777" i="9"/>
  <c r="E777" i="9"/>
  <c r="D777" i="9"/>
  <c r="AQ776" i="9"/>
  <c r="AG776" i="9"/>
  <c r="AF776" i="9"/>
  <c r="AE776" i="9"/>
  <c r="AD776" i="9"/>
  <c r="AC776" i="9"/>
  <c r="AB776" i="9"/>
  <c r="AA776" i="9"/>
  <c r="Z776" i="9"/>
  <c r="Y776" i="9"/>
  <c r="X776" i="9"/>
  <c r="W776" i="9"/>
  <c r="V776" i="9"/>
  <c r="U776" i="9"/>
  <c r="T776" i="9"/>
  <c r="S776" i="9"/>
  <c r="R776" i="9"/>
  <c r="Q776" i="9"/>
  <c r="P776" i="9"/>
  <c r="O776" i="9"/>
  <c r="N776" i="9"/>
  <c r="M776" i="9"/>
  <c r="L776" i="9"/>
  <c r="K776" i="9"/>
  <c r="J776" i="9"/>
  <c r="I776" i="9"/>
  <c r="H776" i="9"/>
  <c r="G776" i="9"/>
  <c r="F776" i="9"/>
  <c r="E776" i="9"/>
  <c r="D776" i="9"/>
  <c r="AQ775" i="9"/>
  <c r="AX775" i="9" s="1"/>
  <c r="AN775" i="9" s="1"/>
  <c r="AG775" i="9"/>
  <c r="AF775" i="9"/>
  <c r="AE775" i="9"/>
  <c r="AD775" i="9"/>
  <c r="AC775" i="9"/>
  <c r="AB775" i="9"/>
  <c r="AA775" i="9"/>
  <c r="Z775" i="9"/>
  <c r="Y775" i="9"/>
  <c r="X775" i="9"/>
  <c r="W775" i="9"/>
  <c r="V775" i="9"/>
  <c r="U775" i="9"/>
  <c r="T775" i="9"/>
  <c r="S775" i="9"/>
  <c r="R775" i="9"/>
  <c r="Q775" i="9"/>
  <c r="P775" i="9"/>
  <c r="O775" i="9"/>
  <c r="N775" i="9"/>
  <c r="M775" i="9"/>
  <c r="L775" i="9"/>
  <c r="K775" i="9"/>
  <c r="J775" i="9"/>
  <c r="I775" i="9"/>
  <c r="H775" i="9"/>
  <c r="G775" i="9"/>
  <c r="F775" i="9"/>
  <c r="E775" i="9"/>
  <c r="D775" i="9"/>
  <c r="AQ774" i="9"/>
  <c r="AG774" i="9"/>
  <c r="AF774" i="9"/>
  <c r="AE774" i="9"/>
  <c r="AD774" i="9"/>
  <c r="AC774" i="9"/>
  <c r="AB774" i="9"/>
  <c r="AA774" i="9"/>
  <c r="Z774" i="9"/>
  <c r="Y774" i="9"/>
  <c r="X774" i="9"/>
  <c r="W774" i="9"/>
  <c r="V774" i="9"/>
  <c r="U774" i="9"/>
  <c r="T774" i="9"/>
  <c r="S774" i="9"/>
  <c r="R774" i="9"/>
  <c r="Q774" i="9"/>
  <c r="P774" i="9"/>
  <c r="O774" i="9"/>
  <c r="N774" i="9"/>
  <c r="M774" i="9"/>
  <c r="L774" i="9"/>
  <c r="K774" i="9"/>
  <c r="J774" i="9"/>
  <c r="I774" i="9"/>
  <c r="H774" i="9"/>
  <c r="G774" i="9"/>
  <c r="F774" i="9"/>
  <c r="E774" i="9"/>
  <c r="D774" i="9"/>
  <c r="AV773" i="9"/>
  <c r="AT773" i="9"/>
  <c r="AJ773" i="9" s="1"/>
  <c r="AQ773" i="9"/>
  <c r="AL773" i="9"/>
  <c r="AI773" i="9"/>
  <c r="AH773" i="9"/>
  <c r="AG773" i="9"/>
  <c r="AF773" i="9"/>
  <c r="AE773" i="9"/>
  <c r="AD773" i="9"/>
  <c r="AC773" i="9"/>
  <c r="AB773" i="9"/>
  <c r="AA773" i="9"/>
  <c r="Z773" i="9"/>
  <c r="Y773" i="9"/>
  <c r="X773" i="9"/>
  <c r="W773" i="9"/>
  <c r="V773" i="9"/>
  <c r="U773" i="9"/>
  <c r="T773" i="9"/>
  <c r="S773" i="9"/>
  <c r="R773" i="9"/>
  <c r="Q773" i="9"/>
  <c r="P773" i="9"/>
  <c r="O773" i="9"/>
  <c r="N773" i="9"/>
  <c r="M773" i="9"/>
  <c r="L773" i="9"/>
  <c r="K773" i="9"/>
  <c r="J773" i="9"/>
  <c r="I773" i="9"/>
  <c r="H773" i="9"/>
  <c r="G773" i="9"/>
  <c r="F773" i="9"/>
  <c r="E773" i="9"/>
  <c r="D773" i="9"/>
  <c r="AY772" i="9"/>
  <c r="AO772" i="9" s="1"/>
  <c r="AX772" i="9"/>
  <c r="AW772" i="9"/>
  <c r="AV772" i="9"/>
  <c r="AU772" i="9"/>
  <c r="AK772" i="9" s="1"/>
  <c r="AR772" i="9"/>
  <c r="AS772" i="9" s="1"/>
  <c r="AQ772" i="9"/>
  <c r="AT772" i="9" s="1"/>
  <c r="AI772" i="9" s="1"/>
  <c r="AN772" i="9"/>
  <c r="AM772" i="9"/>
  <c r="AL772" i="9"/>
  <c r="AJ772" i="9"/>
  <c r="AH772" i="9"/>
  <c r="AG772" i="9"/>
  <c r="AF772" i="9"/>
  <c r="AE772" i="9"/>
  <c r="AD772" i="9"/>
  <c r="AC772" i="9"/>
  <c r="AB772" i="9"/>
  <c r="AA772" i="9"/>
  <c r="Z772" i="9"/>
  <c r="Y772" i="9"/>
  <c r="X772" i="9"/>
  <c r="W772" i="9"/>
  <c r="V772" i="9"/>
  <c r="U772" i="9"/>
  <c r="T772" i="9"/>
  <c r="S772" i="9"/>
  <c r="R772" i="9"/>
  <c r="Q772" i="9"/>
  <c r="P772" i="9"/>
  <c r="O772" i="9"/>
  <c r="N772" i="9"/>
  <c r="M772" i="9"/>
  <c r="L772" i="9"/>
  <c r="K772" i="9"/>
  <c r="J772" i="9"/>
  <c r="I772" i="9"/>
  <c r="H772" i="9"/>
  <c r="G772" i="9"/>
  <c r="F772" i="9"/>
  <c r="E772" i="9"/>
  <c r="D772" i="9"/>
  <c r="AW771" i="9"/>
  <c r="AT771" i="9"/>
  <c r="AH771" i="9" s="1"/>
  <c r="AS771" i="9"/>
  <c r="AR771" i="9"/>
  <c r="AQ771" i="9"/>
  <c r="AX771" i="9" s="1"/>
  <c r="AN771" i="9" s="1"/>
  <c r="AM771" i="9"/>
  <c r="AG771" i="9"/>
  <c r="AF771" i="9"/>
  <c r="AE771" i="9"/>
  <c r="AD771" i="9"/>
  <c r="AC771" i="9"/>
  <c r="AB771" i="9"/>
  <c r="AA771" i="9"/>
  <c r="Z771" i="9"/>
  <c r="Y771" i="9"/>
  <c r="X771" i="9"/>
  <c r="W771" i="9"/>
  <c r="V771" i="9"/>
  <c r="U771" i="9"/>
  <c r="T771" i="9"/>
  <c r="S771" i="9"/>
  <c r="R771" i="9"/>
  <c r="Q771" i="9"/>
  <c r="P771" i="9"/>
  <c r="O771" i="9"/>
  <c r="N771" i="9"/>
  <c r="M771" i="9"/>
  <c r="L771" i="9"/>
  <c r="K771" i="9"/>
  <c r="J771" i="9"/>
  <c r="I771" i="9"/>
  <c r="H771" i="9"/>
  <c r="G771" i="9"/>
  <c r="F771" i="9"/>
  <c r="E771" i="9"/>
  <c r="D771" i="9"/>
  <c r="AY770" i="9"/>
  <c r="AO770" i="9" s="1"/>
  <c r="AX770" i="9"/>
  <c r="AN770" i="9" s="1"/>
  <c r="AW770" i="9"/>
  <c r="AT770" i="9"/>
  <c r="AI770" i="9" s="1"/>
  <c r="AQ770" i="9"/>
  <c r="AV770" i="9" s="1"/>
  <c r="AL770" i="9" s="1"/>
  <c r="AM770" i="9"/>
  <c r="AJ770" i="9"/>
  <c r="AG770" i="9"/>
  <c r="AF770" i="9"/>
  <c r="AE770" i="9"/>
  <c r="AD770" i="9"/>
  <c r="AC770" i="9"/>
  <c r="AB770" i="9"/>
  <c r="AA770" i="9"/>
  <c r="Z770" i="9"/>
  <c r="Y770" i="9"/>
  <c r="X770" i="9"/>
  <c r="W770" i="9"/>
  <c r="V770" i="9"/>
  <c r="U770" i="9"/>
  <c r="T770" i="9"/>
  <c r="S770" i="9"/>
  <c r="R770" i="9"/>
  <c r="Q770" i="9"/>
  <c r="P770" i="9"/>
  <c r="O770" i="9"/>
  <c r="N770" i="9"/>
  <c r="M770" i="9"/>
  <c r="L770" i="9"/>
  <c r="K770" i="9"/>
  <c r="J770" i="9"/>
  <c r="I770" i="9"/>
  <c r="H770" i="9"/>
  <c r="G770" i="9"/>
  <c r="F770" i="9"/>
  <c r="E770" i="9"/>
  <c r="D770" i="9"/>
  <c r="AY769" i="9"/>
  <c r="AO769" i="9" s="1"/>
  <c r="AX769" i="9"/>
  <c r="AN769" i="9" s="1"/>
  <c r="AW769" i="9"/>
  <c r="AV769" i="9"/>
  <c r="AL769" i="9" s="1"/>
  <c r="AQ769" i="9"/>
  <c r="AT769" i="9" s="1"/>
  <c r="AJ769" i="9" s="1"/>
  <c r="AM769" i="9"/>
  <c r="AI769" i="9"/>
  <c r="AH769" i="9"/>
  <c r="AG769" i="9"/>
  <c r="AF769" i="9"/>
  <c r="AE769" i="9"/>
  <c r="AD769" i="9"/>
  <c r="AC769" i="9"/>
  <c r="AB769" i="9"/>
  <c r="AA769" i="9"/>
  <c r="Z769" i="9"/>
  <c r="Y769" i="9"/>
  <c r="X769" i="9"/>
  <c r="W769" i="9"/>
  <c r="V769" i="9"/>
  <c r="U769" i="9"/>
  <c r="T769" i="9"/>
  <c r="S769" i="9"/>
  <c r="R769" i="9"/>
  <c r="Q769" i="9"/>
  <c r="P769" i="9"/>
  <c r="O769" i="9"/>
  <c r="N769" i="9"/>
  <c r="M769" i="9"/>
  <c r="L769" i="9"/>
  <c r="K769" i="9"/>
  <c r="J769" i="9"/>
  <c r="I769" i="9"/>
  <c r="H769" i="9"/>
  <c r="G769" i="9"/>
  <c r="F769" i="9"/>
  <c r="E769" i="9"/>
  <c r="D769" i="9"/>
  <c r="AX768" i="9"/>
  <c r="AN768" i="9" s="1"/>
  <c r="AQ768" i="9"/>
  <c r="AU768" i="9" s="1"/>
  <c r="AK768" i="9" s="1"/>
  <c r="AG768" i="9"/>
  <c r="AF768" i="9"/>
  <c r="AE768" i="9"/>
  <c r="AD768" i="9"/>
  <c r="AC768" i="9"/>
  <c r="AB768" i="9"/>
  <c r="AA768" i="9"/>
  <c r="Z768" i="9"/>
  <c r="Y768" i="9"/>
  <c r="X768" i="9"/>
  <c r="W768" i="9"/>
  <c r="V768" i="9"/>
  <c r="U768" i="9"/>
  <c r="T768" i="9"/>
  <c r="S768" i="9"/>
  <c r="R768" i="9"/>
  <c r="Q768" i="9"/>
  <c r="P768" i="9"/>
  <c r="O768" i="9"/>
  <c r="N768" i="9"/>
  <c r="M768" i="9"/>
  <c r="L768" i="9"/>
  <c r="K768" i="9"/>
  <c r="J768" i="9"/>
  <c r="I768" i="9"/>
  <c r="H768" i="9"/>
  <c r="G768" i="9"/>
  <c r="F768" i="9"/>
  <c r="E768" i="9"/>
  <c r="D768" i="9"/>
  <c r="AY767" i="9"/>
  <c r="AO767" i="9" s="1"/>
  <c r="AX767" i="9"/>
  <c r="AN767" i="9" s="1"/>
  <c r="AW767" i="9"/>
  <c r="AM767" i="9" s="1"/>
  <c r="AV767" i="9"/>
  <c r="AL767" i="9" s="1"/>
  <c r="AU767" i="9"/>
  <c r="AT767" i="9"/>
  <c r="AH767" i="9" s="1"/>
  <c r="AS767" i="9"/>
  <c r="AR767" i="9"/>
  <c r="AQ767" i="9"/>
  <c r="AK767" i="9"/>
  <c r="AI767" i="9"/>
  <c r="AG767" i="9"/>
  <c r="AF767" i="9"/>
  <c r="AE767" i="9"/>
  <c r="AD767" i="9"/>
  <c r="AC767" i="9"/>
  <c r="AB767" i="9"/>
  <c r="AA767" i="9"/>
  <c r="Z767" i="9"/>
  <c r="Y767" i="9"/>
  <c r="X767" i="9"/>
  <c r="W767" i="9"/>
  <c r="V767" i="9"/>
  <c r="U767" i="9"/>
  <c r="T767" i="9"/>
  <c r="S767" i="9"/>
  <c r="R767" i="9"/>
  <c r="Q767" i="9"/>
  <c r="P767" i="9"/>
  <c r="O767" i="9"/>
  <c r="N767" i="9"/>
  <c r="M767" i="9"/>
  <c r="L767" i="9"/>
  <c r="K767" i="9"/>
  <c r="J767" i="9"/>
  <c r="I767" i="9"/>
  <c r="H767" i="9"/>
  <c r="G767" i="9"/>
  <c r="F767" i="9"/>
  <c r="E767" i="9"/>
  <c r="D767" i="9"/>
  <c r="AY766" i="9"/>
  <c r="AO766" i="9" s="1"/>
  <c r="AR766" i="9"/>
  <c r="AS766" i="9" s="1"/>
  <c r="AQ766" i="9"/>
  <c r="AX766" i="9" s="1"/>
  <c r="AN766" i="9" s="1"/>
  <c r="AG766" i="9"/>
  <c r="AF766" i="9"/>
  <c r="AE766" i="9"/>
  <c r="AD766" i="9"/>
  <c r="AC766" i="9"/>
  <c r="AB766" i="9"/>
  <c r="AA766" i="9"/>
  <c r="Z766" i="9"/>
  <c r="Y766" i="9"/>
  <c r="X766" i="9"/>
  <c r="W766" i="9"/>
  <c r="V766" i="9"/>
  <c r="U766" i="9"/>
  <c r="T766" i="9"/>
  <c r="S766" i="9"/>
  <c r="R766" i="9"/>
  <c r="Q766" i="9"/>
  <c r="P766" i="9"/>
  <c r="O766" i="9"/>
  <c r="N766" i="9"/>
  <c r="M766" i="9"/>
  <c r="L766" i="9"/>
  <c r="K766" i="9"/>
  <c r="J766" i="9"/>
  <c r="I766" i="9"/>
  <c r="H766" i="9"/>
  <c r="G766" i="9"/>
  <c r="F766" i="9"/>
  <c r="E766" i="9"/>
  <c r="D766" i="9"/>
  <c r="AQ765" i="9"/>
  <c r="AX765" i="9" s="1"/>
  <c r="AN765" i="9"/>
  <c r="AG765" i="9"/>
  <c r="AF765" i="9"/>
  <c r="AE765" i="9"/>
  <c r="AD765" i="9"/>
  <c r="AC765" i="9"/>
  <c r="AB765" i="9"/>
  <c r="AA765" i="9"/>
  <c r="Z765" i="9"/>
  <c r="Y765" i="9"/>
  <c r="X765" i="9"/>
  <c r="W765" i="9"/>
  <c r="V765" i="9"/>
  <c r="U765" i="9"/>
  <c r="T765" i="9"/>
  <c r="S765" i="9"/>
  <c r="R765" i="9"/>
  <c r="Q765" i="9"/>
  <c r="P765" i="9"/>
  <c r="O765" i="9"/>
  <c r="N765" i="9"/>
  <c r="M765" i="9"/>
  <c r="L765" i="9"/>
  <c r="K765" i="9"/>
  <c r="J765" i="9"/>
  <c r="I765" i="9"/>
  <c r="H765" i="9"/>
  <c r="G765" i="9"/>
  <c r="F765" i="9"/>
  <c r="E765" i="9"/>
  <c r="D765" i="9"/>
  <c r="AQ764" i="9"/>
  <c r="AR764" i="9" s="1"/>
  <c r="AS764" i="9" s="1"/>
  <c r="AG764" i="9"/>
  <c r="AF764" i="9"/>
  <c r="AE764" i="9"/>
  <c r="AD764" i="9"/>
  <c r="AC764" i="9"/>
  <c r="AB764" i="9"/>
  <c r="AA764" i="9"/>
  <c r="Z764" i="9"/>
  <c r="Y764" i="9"/>
  <c r="X764" i="9"/>
  <c r="W764" i="9"/>
  <c r="V764" i="9"/>
  <c r="U764" i="9"/>
  <c r="T764" i="9"/>
  <c r="S764" i="9"/>
  <c r="R764" i="9"/>
  <c r="Q764" i="9"/>
  <c r="P764" i="9"/>
  <c r="O764" i="9"/>
  <c r="N764" i="9"/>
  <c r="M764" i="9"/>
  <c r="L764" i="9"/>
  <c r="K764" i="9"/>
  <c r="J764" i="9"/>
  <c r="I764" i="9"/>
  <c r="H764" i="9"/>
  <c r="G764" i="9"/>
  <c r="F764" i="9"/>
  <c r="E764" i="9"/>
  <c r="D764" i="9"/>
  <c r="AQ763" i="9"/>
  <c r="AG763" i="9"/>
  <c r="AF763" i="9"/>
  <c r="AE763" i="9"/>
  <c r="AD763" i="9"/>
  <c r="AC763" i="9"/>
  <c r="AB763" i="9"/>
  <c r="AA763" i="9"/>
  <c r="Z763" i="9"/>
  <c r="Y763" i="9"/>
  <c r="X763" i="9"/>
  <c r="W763" i="9"/>
  <c r="V763" i="9"/>
  <c r="U763" i="9"/>
  <c r="T763" i="9"/>
  <c r="S763" i="9"/>
  <c r="R763" i="9"/>
  <c r="Q763" i="9"/>
  <c r="P763" i="9"/>
  <c r="O763" i="9"/>
  <c r="N763" i="9"/>
  <c r="M763" i="9"/>
  <c r="L763" i="9"/>
  <c r="K763" i="9"/>
  <c r="J763" i="9"/>
  <c r="I763" i="9"/>
  <c r="H763" i="9"/>
  <c r="G763" i="9"/>
  <c r="F763" i="9"/>
  <c r="E763" i="9"/>
  <c r="D763" i="9"/>
  <c r="AX762" i="9"/>
  <c r="AN762" i="9" s="1"/>
  <c r="AV762" i="9"/>
  <c r="AL762" i="9" s="1"/>
  <c r="AU762" i="9"/>
  <c r="AK762" i="9" s="1"/>
  <c r="AT762" i="9"/>
  <c r="AJ762" i="9" s="1"/>
  <c r="AS762" i="9"/>
  <c r="AR762" i="9"/>
  <c r="AQ762" i="9"/>
  <c r="AY762" i="9" s="1"/>
  <c r="AO762" i="9" s="1"/>
  <c r="AG762" i="9"/>
  <c r="AF762" i="9"/>
  <c r="AE762" i="9"/>
  <c r="AD762" i="9"/>
  <c r="AC762" i="9"/>
  <c r="AB762" i="9"/>
  <c r="AA762" i="9"/>
  <c r="Z762" i="9"/>
  <c r="Y762" i="9"/>
  <c r="X762" i="9"/>
  <c r="W762" i="9"/>
  <c r="V762" i="9"/>
  <c r="U762" i="9"/>
  <c r="T762" i="9"/>
  <c r="S762" i="9"/>
  <c r="R762" i="9"/>
  <c r="Q762" i="9"/>
  <c r="P762" i="9"/>
  <c r="O762" i="9"/>
  <c r="N762" i="9"/>
  <c r="M762" i="9"/>
  <c r="L762" i="9"/>
  <c r="K762" i="9"/>
  <c r="J762" i="9"/>
  <c r="I762" i="9"/>
  <c r="H762" i="9"/>
  <c r="G762" i="9"/>
  <c r="F762" i="9"/>
  <c r="E762" i="9"/>
  <c r="D762" i="9"/>
  <c r="AY761" i="9"/>
  <c r="AO761" i="9" s="1"/>
  <c r="AX761" i="9"/>
  <c r="AN761" i="9" s="1"/>
  <c r="AW761" i="9"/>
  <c r="AM761" i="9" s="1"/>
  <c r="AV761" i="9"/>
  <c r="AL761" i="9" s="1"/>
  <c r="AQ761" i="9"/>
  <c r="AR761" i="9" s="1"/>
  <c r="AS761" i="9" s="1"/>
  <c r="AG761" i="9"/>
  <c r="AF761" i="9"/>
  <c r="AE761" i="9"/>
  <c r="AD761" i="9"/>
  <c r="AC761" i="9"/>
  <c r="AB761" i="9"/>
  <c r="AA761" i="9"/>
  <c r="Z761" i="9"/>
  <c r="Y761" i="9"/>
  <c r="X761" i="9"/>
  <c r="W761" i="9"/>
  <c r="V761" i="9"/>
  <c r="U761" i="9"/>
  <c r="T761" i="9"/>
  <c r="S761" i="9"/>
  <c r="R761" i="9"/>
  <c r="Q761" i="9"/>
  <c r="P761" i="9"/>
  <c r="O761" i="9"/>
  <c r="N761" i="9"/>
  <c r="M761" i="9"/>
  <c r="L761" i="9"/>
  <c r="K761" i="9"/>
  <c r="J761" i="9"/>
  <c r="I761" i="9"/>
  <c r="H761" i="9"/>
  <c r="G761" i="9"/>
  <c r="F761" i="9"/>
  <c r="E761" i="9"/>
  <c r="D761" i="9"/>
  <c r="AY760" i="9"/>
  <c r="AO760" i="9" s="1"/>
  <c r="AW760" i="9"/>
  <c r="AV760" i="9"/>
  <c r="AL760" i="9" s="1"/>
  <c r="AS760" i="9"/>
  <c r="AR760" i="9"/>
  <c r="AQ760" i="9"/>
  <c r="AM760" i="9"/>
  <c r="AG760" i="9"/>
  <c r="AF760" i="9"/>
  <c r="AE760" i="9"/>
  <c r="AD760" i="9"/>
  <c r="AC760" i="9"/>
  <c r="AB760" i="9"/>
  <c r="AA760" i="9"/>
  <c r="Z760" i="9"/>
  <c r="Y760" i="9"/>
  <c r="X760" i="9"/>
  <c r="W760" i="9"/>
  <c r="V760" i="9"/>
  <c r="U760" i="9"/>
  <c r="T760" i="9"/>
  <c r="S760" i="9"/>
  <c r="R760" i="9"/>
  <c r="Q760" i="9"/>
  <c r="P760" i="9"/>
  <c r="O760" i="9"/>
  <c r="N760" i="9"/>
  <c r="M760" i="9"/>
  <c r="L760" i="9"/>
  <c r="K760" i="9"/>
  <c r="J760" i="9"/>
  <c r="I760" i="9"/>
  <c r="H760" i="9"/>
  <c r="G760" i="9"/>
  <c r="F760" i="9"/>
  <c r="E760" i="9"/>
  <c r="D760" i="9"/>
  <c r="AY759" i="9"/>
  <c r="AX759" i="9"/>
  <c r="AN759" i="9" s="1"/>
  <c r="AW759" i="9"/>
  <c r="AV759" i="9"/>
  <c r="AU759" i="9"/>
  <c r="AT759" i="9"/>
  <c r="AH759" i="9" s="1"/>
  <c r="AR759" i="9"/>
  <c r="AS759" i="9" s="1"/>
  <c r="AQ759" i="9"/>
  <c r="AO759" i="9"/>
  <c r="AM759" i="9"/>
  <c r="AL759" i="9"/>
  <c r="AK759" i="9"/>
  <c r="AJ759" i="9"/>
  <c r="AI759" i="9"/>
  <c r="AG759" i="9"/>
  <c r="AF759" i="9"/>
  <c r="AE759" i="9"/>
  <c r="AD759" i="9"/>
  <c r="AC759" i="9"/>
  <c r="AB759" i="9"/>
  <c r="AA759" i="9"/>
  <c r="Z759" i="9"/>
  <c r="Y759" i="9"/>
  <c r="X759" i="9"/>
  <c r="W759" i="9"/>
  <c r="V759" i="9"/>
  <c r="U759" i="9"/>
  <c r="T759" i="9"/>
  <c r="S759" i="9"/>
  <c r="R759" i="9"/>
  <c r="Q759" i="9"/>
  <c r="P759" i="9"/>
  <c r="O759" i="9"/>
  <c r="N759" i="9"/>
  <c r="M759" i="9"/>
  <c r="L759" i="9"/>
  <c r="K759" i="9"/>
  <c r="J759" i="9"/>
  <c r="I759" i="9"/>
  <c r="H759" i="9"/>
  <c r="G759" i="9"/>
  <c r="F759" i="9"/>
  <c r="E759" i="9"/>
  <c r="D759" i="9"/>
  <c r="AQ758" i="9"/>
  <c r="AT758" i="9" s="1"/>
  <c r="AJ758" i="9" s="1"/>
  <c r="AG758" i="9"/>
  <c r="AF758" i="9"/>
  <c r="AE758" i="9"/>
  <c r="AD758" i="9"/>
  <c r="AC758" i="9"/>
  <c r="AB758" i="9"/>
  <c r="AA758" i="9"/>
  <c r="Z758" i="9"/>
  <c r="Y758" i="9"/>
  <c r="X758" i="9"/>
  <c r="W758" i="9"/>
  <c r="V758" i="9"/>
  <c r="U758" i="9"/>
  <c r="T758" i="9"/>
  <c r="S758" i="9"/>
  <c r="R758" i="9"/>
  <c r="Q758" i="9"/>
  <c r="P758" i="9"/>
  <c r="O758" i="9"/>
  <c r="N758" i="9"/>
  <c r="M758" i="9"/>
  <c r="L758" i="9"/>
  <c r="K758" i="9"/>
  <c r="J758" i="9"/>
  <c r="I758" i="9"/>
  <c r="H758" i="9"/>
  <c r="G758" i="9"/>
  <c r="F758" i="9"/>
  <c r="E758" i="9"/>
  <c r="D758" i="9"/>
  <c r="AW757" i="9"/>
  <c r="AM757" i="9" s="1"/>
  <c r="AV757" i="9"/>
  <c r="AL757" i="9" s="1"/>
  <c r="AU757" i="9"/>
  <c r="AK757" i="9" s="1"/>
  <c r="AT757" i="9"/>
  <c r="AJ757" i="9" s="1"/>
  <c r="AR757" i="9"/>
  <c r="AS757" i="9" s="1"/>
  <c r="AQ757" i="9"/>
  <c r="AY757" i="9" s="1"/>
  <c r="AO757" i="9"/>
  <c r="AG757" i="9"/>
  <c r="AF757" i="9"/>
  <c r="AE757" i="9"/>
  <c r="AD757" i="9"/>
  <c r="AC757" i="9"/>
  <c r="AB757" i="9"/>
  <c r="AA757" i="9"/>
  <c r="Z757" i="9"/>
  <c r="Y757" i="9"/>
  <c r="X757" i="9"/>
  <c r="W757" i="9"/>
  <c r="V757" i="9"/>
  <c r="U757" i="9"/>
  <c r="T757" i="9"/>
  <c r="S757" i="9"/>
  <c r="R757" i="9"/>
  <c r="Q757" i="9"/>
  <c r="P757" i="9"/>
  <c r="O757" i="9"/>
  <c r="N757" i="9"/>
  <c r="M757" i="9"/>
  <c r="L757" i="9"/>
  <c r="K757" i="9"/>
  <c r="J757" i="9"/>
  <c r="I757" i="9"/>
  <c r="H757" i="9"/>
  <c r="G757" i="9"/>
  <c r="F757" i="9"/>
  <c r="E757" i="9"/>
  <c r="D757" i="9"/>
  <c r="AY756" i="9"/>
  <c r="AO756" i="9" s="1"/>
  <c r="AX756" i="9"/>
  <c r="AN756" i="9" s="1"/>
  <c r="AW756" i="9"/>
  <c r="AM756" i="9" s="1"/>
  <c r="AV756" i="9"/>
  <c r="AT756" i="9"/>
  <c r="AH756" i="9" s="1"/>
  <c r="AQ756" i="9"/>
  <c r="AU756" i="9" s="1"/>
  <c r="AK756" i="9" s="1"/>
  <c r="AL756" i="9"/>
  <c r="AJ756" i="9"/>
  <c r="AI756" i="9"/>
  <c r="AG756" i="9"/>
  <c r="AF756" i="9"/>
  <c r="AE756" i="9"/>
  <c r="AD756" i="9"/>
  <c r="AC756" i="9"/>
  <c r="AB756" i="9"/>
  <c r="AA756" i="9"/>
  <c r="Z756" i="9"/>
  <c r="Y756" i="9"/>
  <c r="X756" i="9"/>
  <c r="W756" i="9"/>
  <c r="V756" i="9"/>
  <c r="U756" i="9"/>
  <c r="T756" i="9"/>
  <c r="S756" i="9"/>
  <c r="R756" i="9"/>
  <c r="Q756" i="9"/>
  <c r="P756" i="9"/>
  <c r="O756" i="9"/>
  <c r="N756" i="9"/>
  <c r="M756" i="9"/>
  <c r="L756" i="9"/>
  <c r="K756" i="9"/>
  <c r="J756" i="9"/>
  <c r="I756" i="9"/>
  <c r="H756" i="9"/>
  <c r="G756" i="9"/>
  <c r="F756" i="9"/>
  <c r="E756" i="9"/>
  <c r="D756" i="9"/>
  <c r="AR755" i="9"/>
  <c r="AS755" i="9" s="1"/>
  <c r="AQ755" i="9"/>
  <c r="AY755" i="9" s="1"/>
  <c r="AO755" i="9" s="1"/>
  <c r="AG755" i="9"/>
  <c r="AF755" i="9"/>
  <c r="AE755" i="9"/>
  <c r="AD755" i="9"/>
  <c r="AC755" i="9"/>
  <c r="AB755" i="9"/>
  <c r="AA755" i="9"/>
  <c r="Z755" i="9"/>
  <c r="Y755" i="9"/>
  <c r="X755" i="9"/>
  <c r="W755" i="9"/>
  <c r="V755" i="9"/>
  <c r="U755" i="9"/>
  <c r="T755" i="9"/>
  <c r="S755" i="9"/>
  <c r="R755" i="9"/>
  <c r="Q755" i="9"/>
  <c r="P755" i="9"/>
  <c r="O755" i="9"/>
  <c r="N755" i="9"/>
  <c r="M755" i="9"/>
  <c r="L755" i="9"/>
  <c r="K755" i="9"/>
  <c r="J755" i="9"/>
  <c r="I755" i="9"/>
  <c r="H755" i="9"/>
  <c r="G755" i="9"/>
  <c r="F755" i="9"/>
  <c r="E755" i="9"/>
  <c r="D755" i="9"/>
  <c r="AY754" i="9"/>
  <c r="AO754" i="9" s="1"/>
  <c r="AW754" i="9"/>
  <c r="AM754" i="9" s="1"/>
  <c r="AV754" i="9"/>
  <c r="AL754" i="9" s="1"/>
  <c r="AU754" i="9"/>
  <c r="AK754" i="9" s="1"/>
  <c r="AT754" i="9"/>
  <c r="AR754" i="9"/>
  <c r="AS754" i="9" s="1"/>
  <c r="AQ754" i="9"/>
  <c r="AX754" i="9" s="1"/>
  <c r="AN754" i="9" s="1"/>
  <c r="AG754" i="9"/>
  <c r="AF754" i="9"/>
  <c r="AE754" i="9"/>
  <c r="AD754" i="9"/>
  <c r="AC754" i="9"/>
  <c r="AB754" i="9"/>
  <c r="AA754" i="9"/>
  <c r="Z754" i="9"/>
  <c r="Y754" i="9"/>
  <c r="X754" i="9"/>
  <c r="W754" i="9"/>
  <c r="V754" i="9"/>
  <c r="U754" i="9"/>
  <c r="T754" i="9"/>
  <c r="S754" i="9"/>
  <c r="R754" i="9"/>
  <c r="Q754" i="9"/>
  <c r="P754" i="9"/>
  <c r="O754" i="9"/>
  <c r="N754" i="9"/>
  <c r="M754" i="9"/>
  <c r="L754" i="9"/>
  <c r="K754" i="9"/>
  <c r="J754" i="9"/>
  <c r="I754" i="9"/>
  <c r="H754" i="9"/>
  <c r="G754" i="9"/>
  <c r="F754" i="9"/>
  <c r="E754" i="9"/>
  <c r="D754" i="9"/>
  <c r="AY753" i="9"/>
  <c r="AO753" i="9" s="1"/>
  <c r="AQ753" i="9"/>
  <c r="AV753" i="9" s="1"/>
  <c r="AL753" i="9" s="1"/>
  <c r="AG753" i="9"/>
  <c r="AF753" i="9"/>
  <c r="AE753" i="9"/>
  <c r="AD753" i="9"/>
  <c r="AC753" i="9"/>
  <c r="AB753" i="9"/>
  <c r="AA753" i="9"/>
  <c r="Z753" i="9"/>
  <c r="Y753" i="9"/>
  <c r="X753" i="9"/>
  <c r="W753" i="9"/>
  <c r="V753" i="9"/>
  <c r="U753" i="9"/>
  <c r="T753" i="9"/>
  <c r="S753" i="9"/>
  <c r="R753" i="9"/>
  <c r="Q753" i="9"/>
  <c r="P753" i="9"/>
  <c r="O753" i="9"/>
  <c r="N753" i="9"/>
  <c r="M753" i="9"/>
  <c r="L753" i="9"/>
  <c r="K753" i="9"/>
  <c r="J753" i="9"/>
  <c r="I753" i="9"/>
  <c r="H753" i="9"/>
  <c r="G753" i="9"/>
  <c r="F753" i="9"/>
  <c r="E753" i="9"/>
  <c r="D753" i="9"/>
  <c r="AQ752" i="9"/>
  <c r="AY752" i="9" s="1"/>
  <c r="AO752" i="9" s="1"/>
  <c r="AG752" i="9"/>
  <c r="AF752" i="9"/>
  <c r="AE752" i="9"/>
  <c r="AD752" i="9"/>
  <c r="AC752" i="9"/>
  <c r="AB752" i="9"/>
  <c r="AA752" i="9"/>
  <c r="Z752" i="9"/>
  <c r="Y752" i="9"/>
  <c r="X752" i="9"/>
  <c r="W752" i="9"/>
  <c r="V752" i="9"/>
  <c r="U752" i="9"/>
  <c r="T752" i="9"/>
  <c r="S752" i="9"/>
  <c r="R752" i="9"/>
  <c r="Q752" i="9"/>
  <c r="P752" i="9"/>
  <c r="O752" i="9"/>
  <c r="N752" i="9"/>
  <c r="M752" i="9"/>
  <c r="L752" i="9"/>
  <c r="K752" i="9"/>
  <c r="J752" i="9"/>
  <c r="I752" i="9"/>
  <c r="H752" i="9"/>
  <c r="G752" i="9"/>
  <c r="F752" i="9"/>
  <c r="E752" i="9"/>
  <c r="D752" i="9"/>
  <c r="AX751" i="9"/>
  <c r="AN751" i="9" s="1"/>
  <c r="AW751" i="9"/>
  <c r="AM751" i="9" s="1"/>
  <c r="AV751" i="9"/>
  <c r="AL751" i="9" s="1"/>
  <c r="AU751" i="9"/>
  <c r="AK751" i="9" s="1"/>
  <c r="AQ751" i="9"/>
  <c r="AR751" i="9" s="1"/>
  <c r="AS751" i="9" s="1"/>
  <c r="AG751" i="9"/>
  <c r="AF751" i="9"/>
  <c r="AE751" i="9"/>
  <c r="AD751" i="9"/>
  <c r="AC751" i="9"/>
  <c r="AB751" i="9"/>
  <c r="AA751" i="9"/>
  <c r="Z751" i="9"/>
  <c r="Y751" i="9"/>
  <c r="X751" i="9"/>
  <c r="W751" i="9"/>
  <c r="V751" i="9"/>
  <c r="U751" i="9"/>
  <c r="T751" i="9"/>
  <c r="S751" i="9"/>
  <c r="R751" i="9"/>
  <c r="Q751" i="9"/>
  <c r="P751" i="9"/>
  <c r="O751" i="9"/>
  <c r="N751" i="9"/>
  <c r="M751" i="9"/>
  <c r="L751" i="9"/>
  <c r="K751" i="9"/>
  <c r="J751" i="9"/>
  <c r="I751" i="9"/>
  <c r="H751" i="9"/>
  <c r="G751" i="9"/>
  <c r="F751" i="9"/>
  <c r="E751" i="9"/>
  <c r="D751" i="9"/>
  <c r="AQ750" i="9"/>
  <c r="AW750" i="9" s="1"/>
  <c r="AM750" i="9" s="1"/>
  <c r="AG750" i="9"/>
  <c r="AF750" i="9"/>
  <c r="AE750" i="9"/>
  <c r="AD750" i="9"/>
  <c r="AC750" i="9"/>
  <c r="AB750" i="9"/>
  <c r="AA750" i="9"/>
  <c r="Z750" i="9"/>
  <c r="Y750" i="9"/>
  <c r="X750" i="9"/>
  <c r="W750" i="9"/>
  <c r="V750" i="9"/>
  <c r="U750" i="9"/>
  <c r="T750" i="9"/>
  <c r="S750" i="9"/>
  <c r="R750" i="9"/>
  <c r="Q750" i="9"/>
  <c r="P750" i="9"/>
  <c r="O750" i="9"/>
  <c r="N750" i="9"/>
  <c r="M750" i="9"/>
  <c r="L750" i="9"/>
  <c r="K750" i="9"/>
  <c r="J750" i="9"/>
  <c r="I750" i="9"/>
  <c r="H750" i="9"/>
  <c r="G750" i="9"/>
  <c r="F750" i="9"/>
  <c r="E750" i="9"/>
  <c r="D750" i="9"/>
  <c r="AQ749" i="9"/>
  <c r="AG749" i="9"/>
  <c r="AF749" i="9"/>
  <c r="AE749" i="9"/>
  <c r="AD749" i="9"/>
  <c r="AC749" i="9"/>
  <c r="AB749" i="9"/>
  <c r="AA749" i="9"/>
  <c r="Z749" i="9"/>
  <c r="Y749" i="9"/>
  <c r="X749" i="9"/>
  <c r="W749" i="9"/>
  <c r="V749" i="9"/>
  <c r="U749" i="9"/>
  <c r="T749" i="9"/>
  <c r="S749" i="9"/>
  <c r="R749" i="9"/>
  <c r="Q749" i="9"/>
  <c r="P749" i="9"/>
  <c r="O749" i="9"/>
  <c r="N749" i="9"/>
  <c r="M749" i="9"/>
  <c r="L749" i="9"/>
  <c r="K749" i="9"/>
  <c r="J749" i="9"/>
  <c r="I749" i="9"/>
  <c r="H749" i="9"/>
  <c r="G749" i="9"/>
  <c r="F749" i="9"/>
  <c r="E749" i="9"/>
  <c r="D749" i="9"/>
  <c r="AY748" i="9"/>
  <c r="AO748" i="9" s="1"/>
  <c r="AX748" i="9"/>
  <c r="AN748" i="9" s="1"/>
  <c r="AW748" i="9"/>
  <c r="AM748" i="9" s="1"/>
  <c r="AV748" i="9"/>
  <c r="AL748" i="9" s="1"/>
  <c r="AR748" i="9"/>
  <c r="AS748" i="9" s="1"/>
  <c r="AQ748" i="9"/>
  <c r="AU748" i="9" s="1"/>
  <c r="AK748" i="9" s="1"/>
  <c r="AG748" i="9"/>
  <c r="AF748" i="9"/>
  <c r="AE748" i="9"/>
  <c r="AD748" i="9"/>
  <c r="AC748" i="9"/>
  <c r="AB748" i="9"/>
  <c r="AA748" i="9"/>
  <c r="Z748" i="9"/>
  <c r="Y748" i="9"/>
  <c r="X748" i="9"/>
  <c r="W748" i="9"/>
  <c r="V748" i="9"/>
  <c r="U748" i="9"/>
  <c r="T748" i="9"/>
  <c r="S748" i="9"/>
  <c r="R748" i="9"/>
  <c r="Q748" i="9"/>
  <c r="P748" i="9"/>
  <c r="O748" i="9"/>
  <c r="N748" i="9"/>
  <c r="M748" i="9"/>
  <c r="L748" i="9"/>
  <c r="K748" i="9"/>
  <c r="J748" i="9"/>
  <c r="I748" i="9"/>
  <c r="H748" i="9"/>
  <c r="G748" i="9"/>
  <c r="F748" i="9"/>
  <c r="E748" i="9"/>
  <c r="D748" i="9"/>
  <c r="AY747" i="9"/>
  <c r="AX747" i="9"/>
  <c r="AW747" i="9"/>
  <c r="AV747" i="9"/>
  <c r="AU747" i="9"/>
  <c r="AT747" i="9"/>
  <c r="AI747" i="9" s="1"/>
  <c r="AR747" i="9"/>
  <c r="AS747" i="9" s="1"/>
  <c r="AQ747" i="9"/>
  <c r="AO747" i="9"/>
  <c r="AN747" i="9"/>
  <c r="AM747" i="9"/>
  <c r="AL747" i="9"/>
  <c r="AK747" i="9"/>
  <c r="AJ747" i="9"/>
  <c r="AH747" i="9"/>
  <c r="AG747" i="9"/>
  <c r="AF747" i="9"/>
  <c r="AE747" i="9"/>
  <c r="AD747" i="9"/>
  <c r="AC747" i="9"/>
  <c r="AB747" i="9"/>
  <c r="AA747" i="9"/>
  <c r="Z747" i="9"/>
  <c r="Y747" i="9"/>
  <c r="X747" i="9"/>
  <c r="W747" i="9"/>
  <c r="V747" i="9"/>
  <c r="U747" i="9"/>
  <c r="T747" i="9"/>
  <c r="S747" i="9"/>
  <c r="R747" i="9"/>
  <c r="Q747" i="9"/>
  <c r="P747" i="9"/>
  <c r="O747" i="9"/>
  <c r="N747" i="9"/>
  <c r="M747" i="9"/>
  <c r="L747" i="9"/>
  <c r="K747" i="9"/>
  <c r="J747" i="9"/>
  <c r="I747" i="9"/>
  <c r="H747" i="9"/>
  <c r="G747" i="9"/>
  <c r="F747" i="9"/>
  <c r="E747" i="9"/>
  <c r="D747" i="9"/>
  <c r="AX746" i="9"/>
  <c r="AN746" i="9" s="1"/>
  <c r="AW746" i="9"/>
  <c r="AM746" i="9" s="1"/>
  <c r="AU746" i="9"/>
  <c r="AK746" i="9" s="1"/>
  <c r="AT746" i="9"/>
  <c r="AJ746" i="9" s="1"/>
  <c r="AR746" i="9"/>
  <c r="AS746" i="9" s="1"/>
  <c r="AQ746" i="9"/>
  <c r="AY746" i="9" s="1"/>
  <c r="AO746" i="9" s="1"/>
  <c r="AG746" i="9"/>
  <c r="AF746" i="9"/>
  <c r="AE746" i="9"/>
  <c r="AD746" i="9"/>
  <c r="AC746" i="9"/>
  <c r="AB746" i="9"/>
  <c r="AA746" i="9"/>
  <c r="Z746" i="9"/>
  <c r="Y746" i="9"/>
  <c r="X746" i="9"/>
  <c r="W746" i="9"/>
  <c r="V746" i="9"/>
  <c r="U746" i="9"/>
  <c r="T746" i="9"/>
  <c r="S746" i="9"/>
  <c r="R746" i="9"/>
  <c r="Q746" i="9"/>
  <c r="P746" i="9"/>
  <c r="O746" i="9"/>
  <c r="N746" i="9"/>
  <c r="M746" i="9"/>
  <c r="L746" i="9"/>
  <c r="K746" i="9"/>
  <c r="J746" i="9"/>
  <c r="I746" i="9"/>
  <c r="H746" i="9"/>
  <c r="G746" i="9"/>
  <c r="F746" i="9"/>
  <c r="E746" i="9"/>
  <c r="D746" i="9"/>
  <c r="AY745" i="9"/>
  <c r="AO745" i="9" s="1"/>
  <c r="AX745" i="9"/>
  <c r="AN745" i="9" s="1"/>
  <c r="AW745" i="9"/>
  <c r="AM745" i="9" s="1"/>
  <c r="AV745" i="9"/>
  <c r="AL745" i="9" s="1"/>
  <c r="AU745" i="9"/>
  <c r="AS745" i="9"/>
  <c r="AR745" i="9"/>
  <c r="AQ745" i="9"/>
  <c r="AT745" i="9" s="1"/>
  <c r="AH745" i="9" s="1"/>
  <c r="AK745" i="9"/>
  <c r="AG745" i="9"/>
  <c r="AF745" i="9"/>
  <c r="AE745" i="9"/>
  <c r="AD745" i="9"/>
  <c r="AC745" i="9"/>
  <c r="AB745" i="9"/>
  <c r="AA745" i="9"/>
  <c r="Z745" i="9"/>
  <c r="Y745" i="9"/>
  <c r="X745" i="9"/>
  <c r="W745" i="9"/>
  <c r="V745" i="9"/>
  <c r="U745" i="9"/>
  <c r="T745" i="9"/>
  <c r="S745" i="9"/>
  <c r="R745" i="9"/>
  <c r="Q745" i="9"/>
  <c r="P745" i="9"/>
  <c r="O745" i="9"/>
  <c r="N745" i="9"/>
  <c r="M745" i="9"/>
  <c r="L745" i="9"/>
  <c r="K745" i="9"/>
  <c r="J745" i="9"/>
  <c r="I745" i="9"/>
  <c r="H745" i="9"/>
  <c r="G745" i="9"/>
  <c r="F745" i="9"/>
  <c r="E745" i="9"/>
  <c r="D745" i="9"/>
  <c r="AQ744" i="9"/>
  <c r="AY744" i="9" s="1"/>
  <c r="AO744" i="9" s="1"/>
  <c r="AG744" i="9"/>
  <c r="AF744" i="9"/>
  <c r="AE744" i="9"/>
  <c r="AD744" i="9"/>
  <c r="AC744" i="9"/>
  <c r="AB744" i="9"/>
  <c r="AA744" i="9"/>
  <c r="Z744" i="9"/>
  <c r="Y744" i="9"/>
  <c r="X744" i="9"/>
  <c r="W744" i="9"/>
  <c r="V744" i="9"/>
  <c r="U744" i="9"/>
  <c r="T744" i="9"/>
  <c r="S744" i="9"/>
  <c r="R744" i="9"/>
  <c r="Q744" i="9"/>
  <c r="P744" i="9"/>
  <c r="O744" i="9"/>
  <c r="N744" i="9"/>
  <c r="M744" i="9"/>
  <c r="L744" i="9"/>
  <c r="K744" i="9"/>
  <c r="J744" i="9"/>
  <c r="I744" i="9"/>
  <c r="H744" i="9"/>
  <c r="G744" i="9"/>
  <c r="F744" i="9"/>
  <c r="E744" i="9"/>
  <c r="D744" i="9"/>
  <c r="AY743" i="9"/>
  <c r="AO743" i="9" s="1"/>
  <c r="AX743" i="9"/>
  <c r="AN743" i="9" s="1"/>
  <c r="AV743" i="9"/>
  <c r="AL743" i="9" s="1"/>
  <c r="AU743" i="9"/>
  <c r="AK743" i="9" s="1"/>
  <c r="AT743" i="9"/>
  <c r="AJ743" i="9" s="1"/>
  <c r="AQ743" i="9"/>
  <c r="AW743" i="9" s="1"/>
  <c r="AM743" i="9" s="1"/>
  <c r="AG743" i="9"/>
  <c r="AF743" i="9"/>
  <c r="AE743" i="9"/>
  <c r="AD743" i="9"/>
  <c r="AC743" i="9"/>
  <c r="AB743" i="9"/>
  <c r="AA743" i="9"/>
  <c r="Z743" i="9"/>
  <c r="Y743" i="9"/>
  <c r="X743" i="9"/>
  <c r="W743" i="9"/>
  <c r="V743" i="9"/>
  <c r="U743" i="9"/>
  <c r="T743" i="9"/>
  <c r="S743" i="9"/>
  <c r="R743" i="9"/>
  <c r="Q743" i="9"/>
  <c r="P743" i="9"/>
  <c r="O743" i="9"/>
  <c r="N743" i="9"/>
  <c r="M743" i="9"/>
  <c r="L743" i="9"/>
  <c r="K743" i="9"/>
  <c r="J743" i="9"/>
  <c r="I743" i="9"/>
  <c r="H743" i="9"/>
  <c r="G743" i="9"/>
  <c r="F743" i="9"/>
  <c r="E743" i="9"/>
  <c r="D743" i="9"/>
  <c r="AY742" i="9"/>
  <c r="AO742" i="9" s="1"/>
  <c r="AX742" i="9"/>
  <c r="AN742" i="9" s="1"/>
  <c r="AW742" i="9"/>
  <c r="AM742" i="9" s="1"/>
  <c r="AV742" i="9"/>
  <c r="AT742" i="9"/>
  <c r="AH742" i="9" s="1"/>
  <c r="AQ742" i="9"/>
  <c r="AU742" i="9" s="1"/>
  <c r="AK742" i="9" s="1"/>
  <c r="AL742" i="9"/>
  <c r="AJ742" i="9"/>
  <c r="AI742" i="9"/>
  <c r="AG742" i="9"/>
  <c r="AF742" i="9"/>
  <c r="AE742" i="9"/>
  <c r="AD742" i="9"/>
  <c r="AC742" i="9"/>
  <c r="AB742" i="9"/>
  <c r="AA742" i="9"/>
  <c r="Z742" i="9"/>
  <c r="Y742" i="9"/>
  <c r="X742" i="9"/>
  <c r="W742" i="9"/>
  <c r="V742" i="9"/>
  <c r="U742" i="9"/>
  <c r="T742" i="9"/>
  <c r="S742" i="9"/>
  <c r="R742" i="9"/>
  <c r="Q742" i="9"/>
  <c r="P742" i="9"/>
  <c r="O742" i="9"/>
  <c r="N742" i="9"/>
  <c r="M742" i="9"/>
  <c r="L742" i="9"/>
  <c r="K742" i="9"/>
  <c r="J742" i="9"/>
  <c r="I742" i="9"/>
  <c r="H742" i="9"/>
  <c r="G742" i="9"/>
  <c r="F742" i="9"/>
  <c r="E742" i="9"/>
  <c r="D742" i="9"/>
  <c r="AR741" i="9"/>
  <c r="AS741" i="9" s="1"/>
  <c r="AQ741" i="9"/>
  <c r="AY741" i="9" s="1"/>
  <c r="AO741" i="9" s="1"/>
  <c r="AG741" i="9"/>
  <c r="AF741" i="9"/>
  <c r="AE741" i="9"/>
  <c r="AD741" i="9"/>
  <c r="AC741" i="9"/>
  <c r="AB741" i="9"/>
  <c r="AA741" i="9"/>
  <c r="Z741" i="9"/>
  <c r="Y741" i="9"/>
  <c r="X741" i="9"/>
  <c r="W741" i="9"/>
  <c r="V741" i="9"/>
  <c r="U741" i="9"/>
  <c r="T741" i="9"/>
  <c r="S741" i="9"/>
  <c r="R741" i="9"/>
  <c r="Q741" i="9"/>
  <c r="P741" i="9"/>
  <c r="O741" i="9"/>
  <c r="N741" i="9"/>
  <c r="M741" i="9"/>
  <c r="L741" i="9"/>
  <c r="K741" i="9"/>
  <c r="J741" i="9"/>
  <c r="I741" i="9"/>
  <c r="H741" i="9"/>
  <c r="G741" i="9"/>
  <c r="F741" i="9"/>
  <c r="E741" i="9"/>
  <c r="D741" i="9"/>
  <c r="AY740" i="9"/>
  <c r="AO740" i="9" s="1"/>
  <c r="AW740" i="9"/>
  <c r="AM740" i="9" s="1"/>
  <c r="AV740" i="9"/>
  <c r="AL740" i="9" s="1"/>
  <c r="AU740" i="9"/>
  <c r="AK740" i="9" s="1"/>
  <c r="AT740" i="9"/>
  <c r="AR740" i="9"/>
  <c r="AS740" i="9" s="1"/>
  <c r="AQ740" i="9"/>
  <c r="AX740" i="9" s="1"/>
  <c r="AN740" i="9" s="1"/>
  <c r="AG740" i="9"/>
  <c r="AF740" i="9"/>
  <c r="AE740" i="9"/>
  <c r="AD740" i="9"/>
  <c r="AC740" i="9"/>
  <c r="AB740" i="9"/>
  <c r="AA740" i="9"/>
  <c r="Z740" i="9"/>
  <c r="Y740" i="9"/>
  <c r="X740" i="9"/>
  <c r="W740" i="9"/>
  <c r="V740" i="9"/>
  <c r="U740" i="9"/>
  <c r="T740" i="9"/>
  <c r="S740" i="9"/>
  <c r="R740" i="9"/>
  <c r="Q740" i="9"/>
  <c r="P740" i="9"/>
  <c r="O740" i="9"/>
  <c r="N740" i="9"/>
  <c r="M740" i="9"/>
  <c r="L740" i="9"/>
  <c r="K740" i="9"/>
  <c r="J740" i="9"/>
  <c r="I740" i="9"/>
  <c r="H740" i="9"/>
  <c r="G740" i="9"/>
  <c r="F740" i="9"/>
  <c r="E740" i="9"/>
  <c r="D740" i="9"/>
  <c r="AY739" i="9"/>
  <c r="AO739" i="9" s="1"/>
  <c r="AQ739" i="9"/>
  <c r="AV739" i="9" s="1"/>
  <c r="AL739" i="9" s="1"/>
  <c r="AG739" i="9"/>
  <c r="AF739" i="9"/>
  <c r="AE739" i="9"/>
  <c r="AD739" i="9"/>
  <c r="AC739" i="9"/>
  <c r="AB739" i="9"/>
  <c r="AA739" i="9"/>
  <c r="Z739" i="9"/>
  <c r="Y739" i="9"/>
  <c r="X739" i="9"/>
  <c r="W739" i="9"/>
  <c r="V739" i="9"/>
  <c r="U739" i="9"/>
  <c r="T739" i="9"/>
  <c r="S739" i="9"/>
  <c r="R739" i="9"/>
  <c r="Q739" i="9"/>
  <c r="P739" i="9"/>
  <c r="O739" i="9"/>
  <c r="N739" i="9"/>
  <c r="M739" i="9"/>
  <c r="L739" i="9"/>
  <c r="K739" i="9"/>
  <c r="J739" i="9"/>
  <c r="I739" i="9"/>
  <c r="H739" i="9"/>
  <c r="G739" i="9"/>
  <c r="F739" i="9"/>
  <c r="E739" i="9"/>
  <c r="D739" i="9"/>
  <c r="AQ738" i="9"/>
  <c r="AY738" i="9" s="1"/>
  <c r="AO738" i="9"/>
  <c r="AG738" i="9"/>
  <c r="AF738" i="9"/>
  <c r="AE738" i="9"/>
  <c r="AD738" i="9"/>
  <c r="AC738" i="9"/>
  <c r="AB738" i="9"/>
  <c r="AA738" i="9"/>
  <c r="Z738" i="9"/>
  <c r="Y738" i="9"/>
  <c r="X738" i="9"/>
  <c r="W738" i="9"/>
  <c r="V738" i="9"/>
  <c r="U738" i="9"/>
  <c r="T738" i="9"/>
  <c r="S738" i="9"/>
  <c r="R738" i="9"/>
  <c r="Q738" i="9"/>
  <c r="P738" i="9"/>
  <c r="O738" i="9"/>
  <c r="N738" i="9"/>
  <c r="M738" i="9"/>
  <c r="L738" i="9"/>
  <c r="K738" i="9"/>
  <c r="J738" i="9"/>
  <c r="I738" i="9"/>
  <c r="H738" i="9"/>
  <c r="G738" i="9"/>
  <c r="F738" i="9"/>
  <c r="E738" i="9"/>
  <c r="D738" i="9"/>
  <c r="AX737" i="9"/>
  <c r="AN737" i="9" s="1"/>
  <c r="AW737" i="9"/>
  <c r="AM737" i="9" s="1"/>
  <c r="AV737" i="9"/>
  <c r="AL737" i="9" s="1"/>
  <c r="AU737" i="9"/>
  <c r="AK737" i="9" s="1"/>
  <c r="AQ737" i="9"/>
  <c r="AR737" i="9" s="1"/>
  <c r="AS737" i="9" s="1"/>
  <c r="AG737" i="9"/>
  <c r="AF737" i="9"/>
  <c r="AE737" i="9"/>
  <c r="AD737" i="9"/>
  <c r="AC737" i="9"/>
  <c r="AB737" i="9"/>
  <c r="AA737" i="9"/>
  <c r="Z737" i="9"/>
  <c r="Y737" i="9"/>
  <c r="X737" i="9"/>
  <c r="W737" i="9"/>
  <c r="V737" i="9"/>
  <c r="U737" i="9"/>
  <c r="T737" i="9"/>
  <c r="S737" i="9"/>
  <c r="R737" i="9"/>
  <c r="Q737" i="9"/>
  <c r="P737" i="9"/>
  <c r="O737" i="9"/>
  <c r="N737" i="9"/>
  <c r="M737" i="9"/>
  <c r="L737" i="9"/>
  <c r="K737" i="9"/>
  <c r="J737" i="9"/>
  <c r="I737" i="9"/>
  <c r="H737" i="9"/>
  <c r="G737" i="9"/>
  <c r="F737" i="9"/>
  <c r="E737" i="9"/>
  <c r="D737" i="9"/>
  <c r="AQ736" i="9"/>
  <c r="AW736" i="9" s="1"/>
  <c r="AM736" i="9" s="1"/>
  <c r="AG736" i="9"/>
  <c r="AF736" i="9"/>
  <c r="AE736" i="9"/>
  <c r="AD736" i="9"/>
  <c r="AC736" i="9"/>
  <c r="AB736" i="9"/>
  <c r="AA736" i="9"/>
  <c r="Z736" i="9"/>
  <c r="Y736" i="9"/>
  <c r="X736" i="9"/>
  <c r="W736" i="9"/>
  <c r="V736" i="9"/>
  <c r="U736" i="9"/>
  <c r="T736" i="9"/>
  <c r="S736" i="9"/>
  <c r="R736" i="9"/>
  <c r="Q736" i="9"/>
  <c r="P736" i="9"/>
  <c r="O736" i="9"/>
  <c r="N736" i="9"/>
  <c r="M736" i="9"/>
  <c r="L736" i="9"/>
  <c r="K736" i="9"/>
  <c r="J736" i="9"/>
  <c r="I736" i="9"/>
  <c r="H736" i="9"/>
  <c r="G736" i="9"/>
  <c r="F736" i="9"/>
  <c r="E736" i="9"/>
  <c r="D736" i="9"/>
  <c r="AQ735" i="9"/>
  <c r="AT735" i="9" s="1"/>
  <c r="AG735" i="9"/>
  <c r="AF735" i="9"/>
  <c r="AE735" i="9"/>
  <c r="AD735" i="9"/>
  <c r="AC735" i="9"/>
  <c r="AB735" i="9"/>
  <c r="AA735" i="9"/>
  <c r="Z735" i="9"/>
  <c r="Y735" i="9"/>
  <c r="X735" i="9"/>
  <c r="W735" i="9"/>
  <c r="V735" i="9"/>
  <c r="U735" i="9"/>
  <c r="T735" i="9"/>
  <c r="S735" i="9"/>
  <c r="R735" i="9"/>
  <c r="Q735" i="9"/>
  <c r="P735" i="9"/>
  <c r="O735" i="9"/>
  <c r="N735" i="9"/>
  <c r="M735" i="9"/>
  <c r="L735" i="9"/>
  <c r="K735" i="9"/>
  <c r="J735" i="9"/>
  <c r="I735" i="9"/>
  <c r="H735" i="9"/>
  <c r="G735" i="9"/>
  <c r="F735" i="9"/>
  <c r="E735" i="9"/>
  <c r="D735" i="9"/>
  <c r="AY734" i="9"/>
  <c r="AO734" i="9" s="1"/>
  <c r="AX734" i="9"/>
  <c r="AN734" i="9" s="1"/>
  <c r="AW734" i="9"/>
  <c r="AM734" i="9" s="1"/>
  <c r="AV734" i="9"/>
  <c r="AL734" i="9" s="1"/>
  <c r="AR734" i="9"/>
  <c r="AS734" i="9" s="1"/>
  <c r="AQ734" i="9"/>
  <c r="AU734" i="9" s="1"/>
  <c r="AK734" i="9" s="1"/>
  <c r="AG734" i="9"/>
  <c r="AF734" i="9"/>
  <c r="AE734" i="9"/>
  <c r="AD734" i="9"/>
  <c r="AC734" i="9"/>
  <c r="AB734" i="9"/>
  <c r="AA734" i="9"/>
  <c r="Z734" i="9"/>
  <c r="Y734" i="9"/>
  <c r="X734" i="9"/>
  <c r="W734" i="9"/>
  <c r="V734" i="9"/>
  <c r="U734" i="9"/>
  <c r="T734" i="9"/>
  <c r="S734" i="9"/>
  <c r="R734" i="9"/>
  <c r="Q734" i="9"/>
  <c r="P734" i="9"/>
  <c r="O734" i="9"/>
  <c r="N734" i="9"/>
  <c r="M734" i="9"/>
  <c r="L734" i="9"/>
  <c r="K734" i="9"/>
  <c r="J734" i="9"/>
  <c r="I734" i="9"/>
  <c r="H734" i="9"/>
  <c r="G734" i="9"/>
  <c r="F734" i="9"/>
  <c r="E734" i="9"/>
  <c r="D734" i="9"/>
  <c r="AY733" i="9"/>
  <c r="AX733" i="9"/>
  <c r="AW733" i="9"/>
  <c r="AV733" i="9"/>
  <c r="AU733" i="9"/>
  <c r="AT733" i="9"/>
  <c r="AI733" i="9" s="1"/>
  <c r="AR733" i="9"/>
  <c r="AS733" i="9" s="1"/>
  <c r="AQ733" i="9"/>
  <c r="AO733" i="9"/>
  <c r="AN733" i="9"/>
  <c r="AM733" i="9"/>
  <c r="AL733" i="9"/>
  <c r="AK733" i="9"/>
  <c r="AJ733" i="9"/>
  <c r="AH733" i="9"/>
  <c r="AG733" i="9"/>
  <c r="AF733" i="9"/>
  <c r="AE733" i="9"/>
  <c r="AD733" i="9"/>
  <c r="AC733" i="9"/>
  <c r="AB733" i="9"/>
  <c r="AA733" i="9"/>
  <c r="Z733" i="9"/>
  <c r="Y733" i="9"/>
  <c r="X733" i="9"/>
  <c r="W733" i="9"/>
  <c r="V733" i="9"/>
  <c r="U733" i="9"/>
  <c r="T733" i="9"/>
  <c r="S733" i="9"/>
  <c r="R733" i="9"/>
  <c r="Q733" i="9"/>
  <c r="P733" i="9"/>
  <c r="O733" i="9"/>
  <c r="N733" i="9"/>
  <c r="M733" i="9"/>
  <c r="L733" i="9"/>
  <c r="K733" i="9"/>
  <c r="J733" i="9"/>
  <c r="I733" i="9"/>
  <c r="H733" i="9"/>
  <c r="G733" i="9"/>
  <c r="F733" i="9"/>
  <c r="E733" i="9"/>
  <c r="D733" i="9"/>
  <c r="AY732" i="9"/>
  <c r="AX732" i="9"/>
  <c r="AN732" i="9" s="1"/>
  <c r="AW732" i="9"/>
  <c r="AM732" i="9" s="1"/>
  <c r="AU732" i="9"/>
  <c r="AK732" i="9" s="1"/>
  <c r="AT732" i="9"/>
  <c r="AJ732" i="9" s="1"/>
  <c r="AR732" i="9"/>
  <c r="AS732" i="9" s="1"/>
  <c r="AQ732" i="9"/>
  <c r="AV732" i="9" s="1"/>
  <c r="AL732" i="9" s="1"/>
  <c r="AO732" i="9"/>
  <c r="AG732" i="9"/>
  <c r="AF732" i="9"/>
  <c r="AE732" i="9"/>
  <c r="AD732" i="9"/>
  <c r="AC732" i="9"/>
  <c r="AB732" i="9"/>
  <c r="AA732" i="9"/>
  <c r="Z732" i="9"/>
  <c r="Y732" i="9"/>
  <c r="X732" i="9"/>
  <c r="W732" i="9"/>
  <c r="V732" i="9"/>
  <c r="U732" i="9"/>
  <c r="T732" i="9"/>
  <c r="S732" i="9"/>
  <c r="R732" i="9"/>
  <c r="Q732" i="9"/>
  <c r="P732" i="9"/>
  <c r="O732" i="9"/>
  <c r="N732" i="9"/>
  <c r="M732" i="9"/>
  <c r="L732" i="9"/>
  <c r="K732" i="9"/>
  <c r="J732" i="9"/>
  <c r="I732" i="9"/>
  <c r="H732" i="9"/>
  <c r="G732" i="9"/>
  <c r="F732" i="9"/>
  <c r="E732" i="9"/>
  <c r="D732" i="9"/>
  <c r="AY731" i="9"/>
  <c r="AO731" i="9" s="1"/>
  <c r="AX731" i="9"/>
  <c r="AN731" i="9" s="1"/>
  <c r="AW731" i="9"/>
  <c r="AM731" i="9" s="1"/>
  <c r="AV731" i="9"/>
  <c r="AL731" i="9" s="1"/>
  <c r="AU731" i="9"/>
  <c r="AS731" i="9"/>
  <c r="AR731" i="9"/>
  <c r="AQ731" i="9"/>
  <c r="AT731" i="9" s="1"/>
  <c r="AH731" i="9" s="1"/>
  <c r="AK731" i="9"/>
  <c r="AG731" i="9"/>
  <c r="AF731" i="9"/>
  <c r="AE731" i="9"/>
  <c r="AD731" i="9"/>
  <c r="AC731" i="9"/>
  <c r="AB731" i="9"/>
  <c r="AA731" i="9"/>
  <c r="Z731" i="9"/>
  <c r="Y731" i="9"/>
  <c r="X731" i="9"/>
  <c r="W731" i="9"/>
  <c r="V731" i="9"/>
  <c r="U731" i="9"/>
  <c r="T731" i="9"/>
  <c r="S731" i="9"/>
  <c r="R731" i="9"/>
  <c r="Q731" i="9"/>
  <c r="P731" i="9"/>
  <c r="O731" i="9"/>
  <c r="N731" i="9"/>
  <c r="M731" i="9"/>
  <c r="L731" i="9"/>
  <c r="K731" i="9"/>
  <c r="J731" i="9"/>
  <c r="I731" i="9"/>
  <c r="H731" i="9"/>
  <c r="G731" i="9"/>
  <c r="F731" i="9"/>
  <c r="E731" i="9"/>
  <c r="D731" i="9"/>
  <c r="AQ730" i="9"/>
  <c r="AG730" i="9"/>
  <c r="AF730" i="9"/>
  <c r="AE730" i="9"/>
  <c r="AD730" i="9"/>
  <c r="AC730" i="9"/>
  <c r="AB730" i="9"/>
  <c r="AA730" i="9"/>
  <c r="Z730" i="9"/>
  <c r="Y730" i="9"/>
  <c r="X730" i="9"/>
  <c r="W730" i="9"/>
  <c r="V730" i="9"/>
  <c r="U730" i="9"/>
  <c r="T730" i="9"/>
  <c r="S730" i="9"/>
  <c r="R730" i="9"/>
  <c r="Q730" i="9"/>
  <c r="P730" i="9"/>
  <c r="O730" i="9"/>
  <c r="N730" i="9"/>
  <c r="M730" i="9"/>
  <c r="L730" i="9"/>
  <c r="K730" i="9"/>
  <c r="J730" i="9"/>
  <c r="I730" i="9"/>
  <c r="H730" i="9"/>
  <c r="G730" i="9"/>
  <c r="F730" i="9"/>
  <c r="E730" i="9"/>
  <c r="D730" i="9"/>
  <c r="AY729" i="9"/>
  <c r="AO729" i="9" s="1"/>
  <c r="AX729" i="9"/>
  <c r="AN729" i="9" s="1"/>
  <c r="AV729" i="9"/>
  <c r="AL729" i="9" s="1"/>
  <c r="AU729" i="9"/>
  <c r="AK729" i="9" s="1"/>
  <c r="AT729" i="9"/>
  <c r="AJ729" i="9" s="1"/>
  <c r="AQ729" i="9"/>
  <c r="AW729" i="9" s="1"/>
  <c r="AM729" i="9" s="1"/>
  <c r="AG729" i="9"/>
  <c r="AF729" i="9"/>
  <c r="AE729" i="9"/>
  <c r="AD729" i="9"/>
  <c r="AC729" i="9"/>
  <c r="AB729" i="9"/>
  <c r="AA729" i="9"/>
  <c r="Z729" i="9"/>
  <c r="Y729" i="9"/>
  <c r="X729" i="9"/>
  <c r="W729" i="9"/>
  <c r="V729" i="9"/>
  <c r="U729" i="9"/>
  <c r="T729" i="9"/>
  <c r="S729" i="9"/>
  <c r="R729" i="9"/>
  <c r="Q729" i="9"/>
  <c r="P729" i="9"/>
  <c r="O729" i="9"/>
  <c r="N729" i="9"/>
  <c r="M729" i="9"/>
  <c r="L729" i="9"/>
  <c r="K729" i="9"/>
  <c r="J729" i="9"/>
  <c r="I729" i="9"/>
  <c r="H729" i="9"/>
  <c r="G729" i="9"/>
  <c r="F729" i="9"/>
  <c r="E729" i="9"/>
  <c r="D729" i="9"/>
  <c r="AY728" i="9"/>
  <c r="AO728" i="9" s="1"/>
  <c r="AX728" i="9"/>
  <c r="AN728" i="9" s="1"/>
  <c r="AV728" i="9"/>
  <c r="AT728" i="9"/>
  <c r="AH728" i="9" s="1"/>
  <c r="AQ728" i="9"/>
  <c r="AU728" i="9" s="1"/>
  <c r="AK728" i="9" s="1"/>
  <c r="AL728" i="9"/>
  <c r="AJ728" i="9"/>
  <c r="AI728" i="9"/>
  <c r="AG728" i="9"/>
  <c r="AF728" i="9"/>
  <c r="AE728" i="9"/>
  <c r="AD728" i="9"/>
  <c r="AC728" i="9"/>
  <c r="AB728" i="9"/>
  <c r="AA728" i="9"/>
  <c r="Z728" i="9"/>
  <c r="Y728" i="9"/>
  <c r="X728" i="9"/>
  <c r="W728" i="9"/>
  <c r="V728" i="9"/>
  <c r="U728" i="9"/>
  <c r="T728" i="9"/>
  <c r="S728" i="9"/>
  <c r="R728" i="9"/>
  <c r="Q728" i="9"/>
  <c r="P728" i="9"/>
  <c r="O728" i="9"/>
  <c r="N728" i="9"/>
  <c r="M728" i="9"/>
  <c r="L728" i="9"/>
  <c r="K728" i="9"/>
  <c r="J728" i="9"/>
  <c r="I728" i="9"/>
  <c r="H728" i="9"/>
  <c r="G728" i="9"/>
  <c r="F728" i="9"/>
  <c r="E728" i="9"/>
  <c r="D728" i="9"/>
  <c r="AR727" i="9"/>
  <c r="AS727" i="9" s="1"/>
  <c r="AQ727" i="9"/>
  <c r="AY727" i="9" s="1"/>
  <c r="AO727" i="9" s="1"/>
  <c r="AG727" i="9"/>
  <c r="AF727" i="9"/>
  <c r="AE727" i="9"/>
  <c r="AD727" i="9"/>
  <c r="AC727" i="9"/>
  <c r="AB727" i="9"/>
  <c r="AA727" i="9"/>
  <c r="Z727" i="9"/>
  <c r="Y727" i="9"/>
  <c r="X727" i="9"/>
  <c r="W727" i="9"/>
  <c r="V727" i="9"/>
  <c r="U727" i="9"/>
  <c r="T727" i="9"/>
  <c r="S727" i="9"/>
  <c r="R727" i="9"/>
  <c r="Q727" i="9"/>
  <c r="P727" i="9"/>
  <c r="O727" i="9"/>
  <c r="N727" i="9"/>
  <c r="M727" i="9"/>
  <c r="L727" i="9"/>
  <c r="K727" i="9"/>
  <c r="J727" i="9"/>
  <c r="I727" i="9"/>
  <c r="H727" i="9"/>
  <c r="G727" i="9"/>
  <c r="F727" i="9"/>
  <c r="E727" i="9"/>
  <c r="D727" i="9"/>
  <c r="AY726" i="9"/>
  <c r="AO726" i="9" s="1"/>
  <c r="AW726" i="9"/>
  <c r="AM726" i="9" s="1"/>
  <c r="AV726" i="9"/>
  <c r="AL726" i="9" s="1"/>
  <c r="AU726" i="9"/>
  <c r="AK726" i="9" s="1"/>
  <c r="AT726" i="9"/>
  <c r="AR726" i="9"/>
  <c r="AS726" i="9" s="1"/>
  <c r="AQ726" i="9"/>
  <c r="AX726" i="9" s="1"/>
  <c r="AN726" i="9" s="1"/>
  <c r="AG726" i="9"/>
  <c r="AF726" i="9"/>
  <c r="AE726" i="9"/>
  <c r="AD726" i="9"/>
  <c r="AC726" i="9"/>
  <c r="AB726" i="9"/>
  <c r="AA726" i="9"/>
  <c r="Z726" i="9"/>
  <c r="Y726" i="9"/>
  <c r="X726" i="9"/>
  <c r="W726" i="9"/>
  <c r="V726" i="9"/>
  <c r="U726" i="9"/>
  <c r="T726" i="9"/>
  <c r="S726" i="9"/>
  <c r="R726" i="9"/>
  <c r="Q726" i="9"/>
  <c r="P726" i="9"/>
  <c r="O726" i="9"/>
  <c r="N726" i="9"/>
  <c r="M726" i="9"/>
  <c r="L726" i="9"/>
  <c r="K726" i="9"/>
  <c r="J726" i="9"/>
  <c r="I726" i="9"/>
  <c r="H726" i="9"/>
  <c r="G726" i="9"/>
  <c r="F726" i="9"/>
  <c r="E726" i="9"/>
  <c r="D726" i="9"/>
  <c r="AY725" i="9"/>
  <c r="AO725" i="9" s="1"/>
  <c r="AU725" i="9"/>
  <c r="AQ725" i="9"/>
  <c r="AV725" i="9" s="1"/>
  <c r="AL725" i="9" s="1"/>
  <c r="AK725" i="9"/>
  <c r="AG725" i="9"/>
  <c r="AF725" i="9"/>
  <c r="AE725" i="9"/>
  <c r="AD725" i="9"/>
  <c r="AC725" i="9"/>
  <c r="AB725" i="9"/>
  <c r="AA725" i="9"/>
  <c r="Z725" i="9"/>
  <c r="Y725" i="9"/>
  <c r="X725" i="9"/>
  <c r="W725" i="9"/>
  <c r="V725" i="9"/>
  <c r="U725" i="9"/>
  <c r="T725" i="9"/>
  <c r="S725" i="9"/>
  <c r="R725" i="9"/>
  <c r="Q725" i="9"/>
  <c r="P725" i="9"/>
  <c r="O725" i="9"/>
  <c r="N725" i="9"/>
  <c r="M725" i="9"/>
  <c r="L725" i="9"/>
  <c r="K725" i="9"/>
  <c r="J725" i="9"/>
  <c r="I725" i="9"/>
  <c r="H725" i="9"/>
  <c r="G725" i="9"/>
  <c r="F725" i="9"/>
  <c r="E725" i="9"/>
  <c r="D725" i="9"/>
  <c r="AQ724" i="9"/>
  <c r="AY724" i="9" s="1"/>
  <c r="AO724" i="9" s="1"/>
  <c r="AG724" i="9"/>
  <c r="AF724" i="9"/>
  <c r="AE724" i="9"/>
  <c r="AD724" i="9"/>
  <c r="AC724" i="9"/>
  <c r="AB724" i="9"/>
  <c r="AA724" i="9"/>
  <c r="Z724" i="9"/>
  <c r="Y724" i="9"/>
  <c r="X724" i="9"/>
  <c r="W724" i="9"/>
  <c r="V724" i="9"/>
  <c r="U724" i="9"/>
  <c r="T724" i="9"/>
  <c r="S724" i="9"/>
  <c r="R724" i="9"/>
  <c r="Q724" i="9"/>
  <c r="P724" i="9"/>
  <c r="O724" i="9"/>
  <c r="N724" i="9"/>
  <c r="M724" i="9"/>
  <c r="L724" i="9"/>
  <c r="K724" i="9"/>
  <c r="J724" i="9"/>
  <c r="I724" i="9"/>
  <c r="H724" i="9"/>
  <c r="G724" i="9"/>
  <c r="F724" i="9"/>
  <c r="E724" i="9"/>
  <c r="D724" i="9"/>
  <c r="AX723" i="9"/>
  <c r="AN723" i="9" s="1"/>
  <c r="AW723" i="9"/>
  <c r="AM723" i="9" s="1"/>
  <c r="AV723" i="9"/>
  <c r="AL723" i="9" s="1"/>
  <c r="AU723" i="9"/>
  <c r="AK723" i="9" s="1"/>
  <c r="AQ723" i="9"/>
  <c r="AR723" i="9" s="1"/>
  <c r="AS723" i="9" s="1"/>
  <c r="AG723" i="9"/>
  <c r="AF723" i="9"/>
  <c r="AE723" i="9"/>
  <c r="AD723" i="9"/>
  <c r="AC723" i="9"/>
  <c r="AB723" i="9"/>
  <c r="AA723" i="9"/>
  <c r="Z723" i="9"/>
  <c r="Y723" i="9"/>
  <c r="X723" i="9"/>
  <c r="W723" i="9"/>
  <c r="V723" i="9"/>
  <c r="U723" i="9"/>
  <c r="T723" i="9"/>
  <c r="S723" i="9"/>
  <c r="R723" i="9"/>
  <c r="Q723" i="9"/>
  <c r="P723" i="9"/>
  <c r="O723" i="9"/>
  <c r="N723" i="9"/>
  <c r="M723" i="9"/>
  <c r="L723" i="9"/>
  <c r="K723" i="9"/>
  <c r="J723" i="9"/>
  <c r="I723" i="9"/>
  <c r="H723" i="9"/>
  <c r="G723" i="9"/>
  <c r="F723" i="9"/>
  <c r="E723" i="9"/>
  <c r="D723" i="9"/>
  <c r="AQ722" i="9"/>
  <c r="AW722" i="9" s="1"/>
  <c r="AM722" i="9" s="1"/>
  <c r="AG722" i="9"/>
  <c r="AF722" i="9"/>
  <c r="AE722" i="9"/>
  <c r="AD722" i="9"/>
  <c r="AC722" i="9"/>
  <c r="AB722" i="9"/>
  <c r="AA722" i="9"/>
  <c r="Z722" i="9"/>
  <c r="Y722" i="9"/>
  <c r="X722" i="9"/>
  <c r="W722" i="9"/>
  <c r="V722" i="9"/>
  <c r="U722" i="9"/>
  <c r="T722" i="9"/>
  <c r="S722" i="9"/>
  <c r="R722" i="9"/>
  <c r="Q722" i="9"/>
  <c r="P722" i="9"/>
  <c r="O722" i="9"/>
  <c r="N722" i="9"/>
  <c r="M722" i="9"/>
  <c r="L722" i="9"/>
  <c r="K722" i="9"/>
  <c r="J722" i="9"/>
  <c r="I722" i="9"/>
  <c r="H722" i="9"/>
  <c r="G722" i="9"/>
  <c r="F722" i="9"/>
  <c r="E722" i="9"/>
  <c r="D722" i="9"/>
  <c r="AT721" i="9"/>
  <c r="AQ721" i="9"/>
  <c r="AG721" i="9"/>
  <c r="AF721" i="9"/>
  <c r="AE721" i="9"/>
  <c r="AD721" i="9"/>
  <c r="AC721" i="9"/>
  <c r="AB721" i="9"/>
  <c r="AA721" i="9"/>
  <c r="Z721" i="9"/>
  <c r="Y721" i="9"/>
  <c r="X721" i="9"/>
  <c r="W721" i="9"/>
  <c r="V721" i="9"/>
  <c r="U721" i="9"/>
  <c r="T721" i="9"/>
  <c r="S721" i="9"/>
  <c r="R721" i="9"/>
  <c r="Q721" i="9"/>
  <c r="P721" i="9"/>
  <c r="O721" i="9"/>
  <c r="N721" i="9"/>
  <c r="M721" i="9"/>
  <c r="L721" i="9"/>
  <c r="K721" i="9"/>
  <c r="J721" i="9"/>
  <c r="I721" i="9"/>
  <c r="H721" i="9"/>
  <c r="G721" i="9"/>
  <c r="F721" i="9"/>
  <c r="E721" i="9"/>
  <c r="D721" i="9"/>
  <c r="AY720" i="9"/>
  <c r="AO720" i="9" s="1"/>
  <c r="AX720" i="9"/>
  <c r="AN720" i="9" s="1"/>
  <c r="AW720" i="9"/>
  <c r="AM720" i="9" s="1"/>
  <c r="AV720" i="9"/>
  <c r="AL720" i="9" s="1"/>
  <c r="AR720" i="9"/>
  <c r="AS720" i="9" s="1"/>
  <c r="AQ720" i="9"/>
  <c r="AU720" i="9" s="1"/>
  <c r="AK720" i="9" s="1"/>
  <c r="AG720" i="9"/>
  <c r="AF720" i="9"/>
  <c r="AE720" i="9"/>
  <c r="AD720" i="9"/>
  <c r="AC720" i="9"/>
  <c r="AB720" i="9"/>
  <c r="AA720" i="9"/>
  <c r="Z720" i="9"/>
  <c r="Y720" i="9"/>
  <c r="X720" i="9"/>
  <c r="W720" i="9"/>
  <c r="V720" i="9"/>
  <c r="U720" i="9"/>
  <c r="T720" i="9"/>
  <c r="S720" i="9"/>
  <c r="R720" i="9"/>
  <c r="Q720" i="9"/>
  <c r="P720" i="9"/>
  <c r="O720" i="9"/>
  <c r="N720" i="9"/>
  <c r="M720" i="9"/>
  <c r="L720" i="9"/>
  <c r="K720" i="9"/>
  <c r="J720" i="9"/>
  <c r="I720" i="9"/>
  <c r="H720" i="9"/>
  <c r="G720" i="9"/>
  <c r="F720" i="9"/>
  <c r="E720" i="9"/>
  <c r="D720" i="9"/>
  <c r="AY719" i="9"/>
  <c r="AX719" i="9"/>
  <c r="AW719" i="9"/>
  <c r="AV719" i="9"/>
  <c r="AU719" i="9"/>
  <c r="AT719" i="9"/>
  <c r="AI719" i="9" s="1"/>
  <c r="AR719" i="9"/>
  <c r="AS719" i="9" s="1"/>
  <c r="AQ719" i="9"/>
  <c r="AO719" i="9"/>
  <c r="AN719" i="9"/>
  <c r="AM719" i="9"/>
  <c r="AL719" i="9"/>
  <c r="AK719" i="9"/>
  <c r="AH719" i="9"/>
  <c r="AG719" i="9"/>
  <c r="AF719" i="9"/>
  <c r="AE719" i="9"/>
  <c r="AD719" i="9"/>
  <c r="AC719" i="9"/>
  <c r="AB719" i="9"/>
  <c r="AA719" i="9"/>
  <c r="Z719" i="9"/>
  <c r="Y719" i="9"/>
  <c r="X719" i="9"/>
  <c r="W719" i="9"/>
  <c r="V719" i="9"/>
  <c r="U719" i="9"/>
  <c r="T719" i="9"/>
  <c r="S719" i="9"/>
  <c r="R719" i="9"/>
  <c r="Q719" i="9"/>
  <c r="P719" i="9"/>
  <c r="O719" i="9"/>
  <c r="N719" i="9"/>
  <c r="M719" i="9"/>
  <c r="L719" i="9"/>
  <c r="K719" i="9"/>
  <c r="J719" i="9"/>
  <c r="I719" i="9"/>
  <c r="H719" i="9"/>
  <c r="G719" i="9"/>
  <c r="F719" i="9"/>
  <c r="E719" i="9"/>
  <c r="D719" i="9"/>
  <c r="AY718" i="9"/>
  <c r="AO718" i="9" s="1"/>
  <c r="AX718" i="9"/>
  <c r="AN718" i="9" s="1"/>
  <c r="AW718" i="9"/>
  <c r="AM718" i="9" s="1"/>
  <c r="AU718" i="9"/>
  <c r="AK718" i="9" s="1"/>
  <c r="AT718" i="9"/>
  <c r="AJ718" i="9" s="1"/>
  <c r="AR718" i="9"/>
  <c r="AS718" i="9" s="1"/>
  <c r="AQ718" i="9"/>
  <c r="AV718" i="9" s="1"/>
  <c r="AL718" i="9" s="1"/>
  <c r="AG718" i="9"/>
  <c r="AF718" i="9"/>
  <c r="AE718" i="9"/>
  <c r="AD718" i="9"/>
  <c r="AC718" i="9"/>
  <c r="AB718" i="9"/>
  <c r="AA718" i="9"/>
  <c r="Z718" i="9"/>
  <c r="Y718" i="9"/>
  <c r="X718" i="9"/>
  <c r="W718" i="9"/>
  <c r="V718" i="9"/>
  <c r="U718" i="9"/>
  <c r="T718" i="9"/>
  <c r="S718" i="9"/>
  <c r="R718" i="9"/>
  <c r="Q718" i="9"/>
  <c r="P718" i="9"/>
  <c r="O718" i="9"/>
  <c r="N718" i="9"/>
  <c r="M718" i="9"/>
  <c r="L718" i="9"/>
  <c r="K718" i="9"/>
  <c r="J718" i="9"/>
  <c r="I718" i="9"/>
  <c r="H718" i="9"/>
  <c r="G718" i="9"/>
  <c r="F718" i="9"/>
  <c r="E718" i="9"/>
  <c r="D718" i="9"/>
  <c r="AY717" i="9"/>
  <c r="AO717" i="9" s="1"/>
  <c r="AX717" i="9"/>
  <c r="AN717" i="9" s="1"/>
  <c r="AW717" i="9"/>
  <c r="AM717" i="9" s="1"/>
  <c r="AV717" i="9"/>
  <c r="AL717" i="9" s="1"/>
  <c r="AU717" i="9"/>
  <c r="AS717" i="9"/>
  <c r="AR717" i="9"/>
  <c r="AQ717" i="9"/>
  <c r="AT717" i="9" s="1"/>
  <c r="AK717" i="9"/>
  <c r="AH717" i="9"/>
  <c r="AG717" i="9"/>
  <c r="AF717" i="9"/>
  <c r="AE717" i="9"/>
  <c r="AD717" i="9"/>
  <c r="AC717" i="9"/>
  <c r="AB717" i="9"/>
  <c r="AA717" i="9"/>
  <c r="Z717" i="9"/>
  <c r="Y717" i="9"/>
  <c r="X717" i="9"/>
  <c r="W717" i="9"/>
  <c r="V717" i="9"/>
  <c r="U717" i="9"/>
  <c r="T717" i="9"/>
  <c r="S717" i="9"/>
  <c r="R717" i="9"/>
  <c r="Q717" i="9"/>
  <c r="P717" i="9"/>
  <c r="O717" i="9"/>
  <c r="N717" i="9"/>
  <c r="M717" i="9"/>
  <c r="L717" i="9"/>
  <c r="K717" i="9"/>
  <c r="J717" i="9"/>
  <c r="I717" i="9"/>
  <c r="H717" i="9"/>
  <c r="G717" i="9"/>
  <c r="F717" i="9"/>
  <c r="E717" i="9"/>
  <c r="D717" i="9"/>
  <c r="AQ716" i="9"/>
  <c r="AG716" i="9"/>
  <c r="AF716" i="9"/>
  <c r="AE716" i="9"/>
  <c r="AD716" i="9"/>
  <c r="AC716" i="9"/>
  <c r="AB716" i="9"/>
  <c r="AA716" i="9"/>
  <c r="Z716" i="9"/>
  <c r="Y716" i="9"/>
  <c r="X716" i="9"/>
  <c r="W716" i="9"/>
  <c r="V716" i="9"/>
  <c r="U716" i="9"/>
  <c r="T716" i="9"/>
  <c r="S716" i="9"/>
  <c r="R716" i="9"/>
  <c r="Q716" i="9"/>
  <c r="P716" i="9"/>
  <c r="O716" i="9"/>
  <c r="N716" i="9"/>
  <c r="M716" i="9"/>
  <c r="L716" i="9"/>
  <c r="K716" i="9"/>
  <c r="J716" i="9"/>
  <c r="I716" i="9"/>
  <c r="H716" i="9"/>
  <c r="G716" i="9"/>
  <c r="F716" i="9"/>
  <c r="E716" i="9"/>
  <c r="D716" i="9"/>
  <c r="AY715" i="9"/>
  <c r="AO715" i="9" s="1"/>
  <c r="AX715" i="9"/>
  <c r="AN715" i="9" s="1"/>
  <c r="AV715" i="9"/>
  <c r="AL715" i="9" s="1"/>
  <c r="AU715" i="9"/>
  <c r="AK715" i="9" s="1"/>
  <c r="AT715" i="9"/>
  <c r="AJ715" i="9" s="1"/>
  <c r="AQ715" i="9"/>
  <c r="AW715" i="9" s="1"/>
  <c r="AM715" i="9" s="1"/>
  <c r="AG715" i="9"/>
  <c r="AF715" i="9"/>
  <c r="AE715" i="9"/>
  <c r="AD715" i="9"/>
  <c r="AC715" i="9"/>
  <c r="AB715" i="9"/>
  <c r="AA715" i="9"/>
  <c r="Z715" i="9"/>
  <c r="Y715" i="9"/>
  <c r="X715" i="9"/>
  <c r="W715" i="9"/>
  <c r="V715" i="9"/>
  <c r="U715" i="9"/>
  <c r="T715" i="9"/>
  <c r="S715" i="9"/>
  <c r="R715" i="9"/>
  <c r="Q715" i="9"/>
  <c r="P715" i="9"/>
  <c r="O715" i="9"/>
  <c r="N715" i="9"/>
  <c r="M715" i="9"/>
  <c r="L715" i="9"/>
  <c r="K715" i="9"/>
  <c r="J715" i="9"/>
  <c r="I715" i="9"/>
  <c r="H715" i="9"/>
  <c r="G715" i="9"/>
  <c r="F715" i="9"/>
  <c r="E715" i="9"/>
  <c r="D715" i="9"/>
  <c r="AY714" i="9"/>
  <c r="AO714" i="9" s="1"/>
  <c r="AX714" i="9"/>
  <c r="AN714" i="9" s="1"/>
  <c r="AT714" i="9"/>
  <c r="AH714" i="9" s="1"/>
  <c r="AQ714" i="9"/>
  <c r="AU714" i="9" s="1"/>
  <c r="AK714" i="9" s="1"/>
  <c r="AJ714" i="9"/>
  <c r="AI714" i="9"/>
  <c r="AG714" i="9"/>
  <c r="AF714" i="9"/>
  <c r="AE714" i="9"/>
  <c r="AD714" i="9"/>
  <c r="AC714" i="9"/>
  <c r="AB714" i="9"/>
  <c r="AA714" i="9"/>
  <c r="Z714" i="9"/>
  <c r="Y714" i="9"/>
  <c r="X714" i="9"/>
  <c r="W714" i="9"/>
  <c r="V714" i="9"/>
  <c r="U714" i="9"/>
  <c r="T714" i="9"/>
  <c r="S714" i="9"/>
  <c r="R714" i="9"/>
  <c r="Q714" i="9"/>
  <c r="P714" i="9"/>
  <c r="O714" i="9"/>
  <c r="N714" i="9"/>
  <c r="M714" i="9"/>
  <c r="L714" i="9"/>
  <c r="K714" i="9"/>
  <c r="J714" i="9"/>
  <c r="I714" i="9"/>
  <c r="H714" i="9"/>
  <c r="G714" i="9"/>
  <c r="F714" i="9"/>
  <c r="E714" i="9"/>
  <c r="D714" i="9"/>
  <c r="AR713" i="9"/>
  <c r="AS713" i="9" s="1"/>
  <c r="AQ713" i="9"/>
  <c r="AY713" i="9" s="1"/>
  <c r="AO713" i="9" s="1"/>
  <c r="AG713" i="9"/>
  <c r="AF713" i="9"/>
  <c r="AE713" i="9"/>
  <c r="AD713" i="9"/>
  <c r="AC713" i="9"/>
  <c r="AB713" i="9"/>
  <c r="AA713" i="9"/>
  <c r="Z713" i="9"/>
  <c r="Y713" i="9"/>
  <c r="X713" i="9"/>
  <c r="W713" i="9"/>
  <c r="V713" i="9"/>
  <c r="U713" i="9"/>
  <c r="T713" i="9"/>
  <c r="S713" i="9"/>
  <c r="R713" i="9"/>
  <c r="Q713" i="9"/>
  <c r="P713" i="9"/>
  <c r="O713" i="9"/>
  <c r="N713" i="9"/>
  <c r="M713" i="9"/>
  <c r="L713" i="9"/>
  <c r="K713" i="9"/>
  <c r="J713" i="9"/>
  <c r="I713" i="9"/>
  <c r="H713" i="9"/>
  <c r="G713" i="9"/>
  <c r="F713" i="9"/>
  <c r="E713" i="9"/>
  <c r="D713" i="9"/>
  <c r="AY712" i="9"/>
  <c r="AO712" i="9" s="1"/>
  <c r="AW712" i="9"/>
  <c r="AM712" i="9" s="1"/>
  <c r="AV712" i="9"/>
  <c r="AL712" i="9" s="1"/>
  <c r="AU712" i="9"/>
  <c r="AK712" i="9" s="1"/>
  <c r="AT712" i="9"/>
  <c r="AR712" i="9"/>
  <c r="AS712" i="9" s="1"/>
  <c r="AQ712" i="9"/>
  <c r="AX712" i="9" s="1"/>
  <c r="AN712" i="9" s="1"/>
  <c r="AH712" i="9"/>
  <c r="AG712" i="9"/>
  <c r="AF712" i="9"/>
  <c r="AE712" i="9"/>
  <c r="AD712" i="9"/>
  <c r="AC712" i="9"/>
  <c r="AB712" i="9"/>
  <c r="AA712" i="9"/>
  <c r="Z712" i="9"/>
  <c r="Y712" i="9"/>
  <c r="X712" i="9"/>
  <c r="W712" i="9"/>
  <c r="V712" i="9"/>
  <c r="U712" i="9"/>
  <c r="T712" i="9"/>
  <c r="S712" i="9"/>
  <c r="R712" i="9"/>
  <c r="Q712" i="9"/>
  <c r="P712" i="9"/>
  <c r="O712" i="9"/>
  <c r="N712" i="9"/>
  <c r="M712" i="9"/>
  <c r="L712" i="9"/>
  <c r="K712" i="9"/>
  <c r="J712" i="9"/>
  <c r="I712" i="9"/>
  <c r="H712" i="9"/>
  <c r="G712" i="9"/>
  <c r="F712" i="9"/>
  <c r="E712" i="9"/>
  <c r="D712" i="9"/>
  <c r="AY711" i="9"/>
  <c r="AO711" i="9" s="1"/>
  <c r="AU711" i="9"/>
  <c r="AQ711" i="9"/>
  <c r="AV711" i="9" s="1"/>
  <c r="AL711" i="9" s="1"/>
  <c r="AK711" i="9"/>
  <c r="AG711" i="9"/>
  <c r="AF711" i="9"/>
  <c r="AE711" i="9"/>
  <c r="AD711" i="9"/>
  <c r="AC711" i="9"/>
  <c r="AB711" i="9"/>
  <c r="AA711" i="9"/>
  <c r="Z711" i="9"/>
  <c r="Y711" i="9"/>
  <c r="X711" i="9"/>
  <c r="W711" i="9"/>
  <c r="V711" i="9"/>
  <c r="U711" i="9"/>
  <c r="T711" i="9"/>
  <c r="S711" i="9"/>
  <c r="R711" i="9"/>
  <c r="Q711" i="9"/>
  <c r="P711" i="9"/>
  <c r="O711" i="9"/>
  <c r="N711" i="9"/>
  <c r="M711" i="9"/>
  <c r="L711" i="9"/>
  <c r="K711" i="9"/>
  <c r="J711" i="9"/>
  <c r="I711" i="9"/>
  <c r="H711" i="9"/>
  <c r="G711" i="9"/>
  <c r="F711" i="9"/>
  <c r="E711" i="9"/>
  <c r="D711" i="9"/>
  <c r="AQ710" i="9"/>
  <c r="AY710" i="9" s="1"/>
  <c r="AO710" i="9" s="1"/>
  <c r="AG710" i="9"/>
  <c r="AF710" i="9"/>
  <c r="AE710" i="9"/>
  <c r="AD710" i="9"/>
  <c r="AC710" i="9"/>
  <c r="AB710" i="9"/>
  <c r="AA710" i="9"/>
  <c r="Z710" i="9"/>
  <c r="Y710" i="9"/>
  <c r="X710" i="9"/>
  <c r="W710" i="9"/>
  <c r="V710" i="9"/>
  <c r="U710" i="9"/>
  <c r="T710" i="9"/>
  <c r="S710" i="9"/>
  <c r="R710" i="9"/>
  <c r="Q710" i="9"/>
  <c r="P710" i="9"/>
  <c r="O710" i="9"/>
  <c r="N710" i="9"/>
  <c r="M710" i="9"/>
  <c r="L710" i="9"/>
  <c r="K710" i="9"/>
  <c r="J710" i="9"/>
  <c r="I710" i="9"/>
  <c r="H710" i="9"/>
  <c r="G710" i="9"/>
  <c r="F710" i="9"/>
  <c r="E710" i="9"/>
  <c r="D710" i="9"/>
  <c r="AX709" i="9"/>
  <c r="AN709" i="9" s="1"/>
  <c r="AW709" i="9"/>
  <c r="AM709" i="9" s="1"/>
  <c r="AV709" i="9"/>
  <c r="AL709" i="9" s="1"/>
  <c r="AU709" i="9"/>
  <c r="AK709" i="9" s="1"/>
  <c r="AQ709" i="9"/>
  <c r="AR709" i="9" s="1"/>
  <c r="AS709" i="9" s="1"/>
  <c r="AG709" i="9"/>
  <c r="AF709" i="9"/>
  <c r="AE709" i="9"/>
  <c r="AD709" i="9"/>
  <c r="AC709" i="9"/>
  <c r="AB709" i="9"/>
  <c r="AA709" i="9"/>
  <c r="Z709" i="9"/>
  <c r="Y709" i="9"/>
  <c r="X709" i="9"/>
  <c r="W709" i="9"/>
  <c r="V709" i="9"/>
  <c r="U709" i="9"/>
  <c r="T709" i="9"/>
  <c r="S709" i="9"/>
  <c r="R709" i="9"/>
  <c r="Q709" i="9"/>
  <c r="P709" i="9"/>
  <c r="O709" i="9"/>
  <c r="N709" i="9"/>
  <c r="M709" i="9"/>
  <c r="L709" i="9"/>
  <c r="K709" i="9"/>
  <c r="J709" i="9"/>
  <c r="I709" i="9"/>
  <c r="H709" i="9"/>
  <c r="G709" i="9"/>
  <c r="F709" i="9"/>
  <c r="E709" i="9"/>
  <c r="D709" i="9"/>
  <c r="AQ708" i="9"/>
  <c r="AW708" i="9" s="1"/>
  <c r="AM708" i="9" s="1"/>
  <c r="AG708" i="9"/>
  <c r="AF708" i="9"/>
  <c r="AE708" i="9"/>
  <c r="AD708" i="9"/>
  <c r="AC708" i="9"/>
  <c r="AB708" i="9"/>
  <c r="AA708" i="9"/>
  <c r="Z708" i="9"/>
  <c r="Y708" i="9"/>
  <c r="X708" i="9"/>
  <c r="W708" i="9"/>
  <c r="V708" i="9"/>
  <c r="U708" i="9"/>
  <c r="T708" i="9"/>
  <c r="S708" i="9"/>
  <c r="R708" i="9"/>
  <c r="Q708" i="9"/>
  <c r="P708" i="9"/>
  <c r="O708" i="9"/>
  <c r="N708" i="9"/>
  <c r="M708" i="9"/>
  <c r="L708" i="9"/>
  <c r="K708" i="9"/>
  <c r="J708" i="9"/>
  <c r="I708" i="9"/>
  <c r="H708" i="9"/>
  <c r="G708" i="9"/>
  <c r="F708" i="9"/>
  <c r="E708" i="9"/>
  <c r="D708" i="9"/>
  <c r="AR707" i="9"/>
  <c r="AS707" i="9" s="1"/>
  <c r="AQ707" i="9"/>
  <c r="AG707" i="9"/>
  <c r="AF707" i="9"/>
  <c r="AE707" i="9"/>
  <c r="AD707" i="9"/>
  <c r="AC707" i="9"/>
  <c r="AB707" i="9"/>
  <c r="AA707" i="9"/>
  <c r="Z707" i="9"/>
  <c r="Y707" i="9"/>
  <c r="X707" i="9"/>
  <c r="W707" i="9"/>
  <c r="V707" i="9"/>
  <c r="U707" i="9"/>
  <c r="T707" i="9"/>
  <c r="S707" i="9"/>
  <c r="R707" i="9"/>
  <c r="Q707" i="9"/>
  <c r="P707" i="9"/>
  <c r="O707" i="9"/>
  <c r="N707" i="9"/>
  <c r="M707" i="9"/>
  <c r="L707" i="9"/>
  <c r="K707" i="9"/>
  <c r="J707" i="9"/>
  <c r="I707" i="9"/>
  <c r="H707" i="9"/>
  <c r="G707" i="9"/>
  <c r="F707" i="9"/>
  <c r="E707" i="9"/>
  <c r="D707" i="9"/>
  <c r="AY706" i="9"/>
  <c r="AO706" i="9" s="1"/>
  <c r="AX706" i="9"/>
  <c r="AN706" i="9" s="1"/>
  <c r="AW706" i="9"/>
  <c r="AM706" i="9" s="1"/>
  <c r="AV706" i="9"/>
  <c r="AL706" i="9" s="1"/>
  <c r="AR706" i="9"/>
  <c r="AS706" i="9" s="1"/>
  <c r="AQ706" i="9"/>
  <c r="AU706" i="9" s="1"/>
  <c r="AK706" i="9" s="1"/>
  <c r="AG706" i="9"/>
  <c r="AF706" i="9"/>
  <c r="AE706" i="9"/>
  <c r="AD706" i="9"/>
  <c r="AC706" i="9"/>
  <c r="AB706" i="9"/>
  <c r="AA706" i="9"/>
  <c r="Z706" i="9"/>
  <c r="Y706" i="9"/>
  <c r="X706" i="9"/>
  <c r="W706" i="9"/>
  <c r="V706" i="9"/>
  <c r="U706" i="9"/>
  <c r="T706" i="9"/>
  <c r="S706" i="9"/>
  <c r="R706" i="9"/>
  <c r="Q706" i="9"/>
  <c r="P706" i="9"/>
  <c r="O706" i="9"/>
  <c r="N706" i="9"/>
  <c r="M706" i="9"/>
  <c r="L706" i="9"/>
  <c r="K706" i="9"/>
  <c r="J706" i="9"/>
  <c r="I706" i="9"/>
  <c r="H706" i="9"/>
  <c r="G706" i="9"/>
  <c r="F706" i="9"/>
  <c r="E706" i="9"/>
  <c r="D706" i="9"/>
  <c r="AY705" i="9"/>
  <c r="AX705" i="9"/>
  <c r="AW705" i="9"/>
  <c r="AV705" i="9"/>
  <c r="AU705" i="9"/>
  <c r="AT705" i="9"/>
  <c r="AI705" i="9" s="1"/>
  <c r="AR705" i="9"/>
  <c r="AS705" i="9" s="1"/>
  <c r="AQ705" i="9"/>
  <c r="AO705" i="9"/>
  <c r="AN705" i="9"/>
  <c r="AM705" i="9"/>
  <c r="AL705" i="9"/>
  <c r="AK705" i="9"/>
  <c r="AH705" i="9"/>
  <c r="AG705" i="9"/>
  <c r="AF705" i="9"/>
  <c r="AE705" i="9"/>
  <c r="AD705" i="9"/>
  <c r="AC705" i="9"/>
  <c r="AB705" i="9"/>
  <c r="AA705" i="9"/>
  <c r="Z705" i="9"/>
  <c r="Y705" i="9"/>
  <c r="X705" i="9"/>
  <c r="W705" i="9"/>
  <c r="V705" i="9"/>
  <c r="U705" i="9"/>
  <c r="T705" i="9"/>
  <c r="S705" i="9"/>
  <c r="R705" i="9"/>
  <c r="Q705" i="9"/>
  <c r="P705" i="9"/>
  <c r="O705" i="9"/>
  <c r="N705" i="9"/>
  <c r="M705" i="9"/>
  <c r="L705" i="9"/>
  <c r="K705" i="9"/>
  <c r="J705" i="9"/>
  <c r="I705" i="9"/>
  <c r="H705" i="9"/>
  <c r="G705" i="9"/>
  <c r="F705" i="9"/>
  <c r="E705" i="9"/>
  <c r="D705" i="9"/>
  <c r="AY704" i="9"/>
  <c r="AO704" i="9" s="1"/>
  <c r="AX704" i="9"/>
  <c r="AN704" i="9" s="1"/>
  <c r="AW704" i="9"/>
  <c r="AM704" i="9" s="1"/>
  <c r="AU704" i="9"/>
  <c r="AK704" i="9" s="1"/>
  <c r="AT704" i="9"/>
  <c r="AJ704" i="9" s="1"/>
  <c r="AR704" i="9"/>
  <c r="AS704" i="9" s="1"/>
  <c r="AQ704" i="9"/>
  <c r="AV704" i="9" s="1"/>
  <c r="AL704" i="9" s="1"/>
  <c r="AG704" i="9"/>
  <c r="AF704" i="9"/>
  <c r="AE704" i="9"/>
  <c r="AD704" i="9"/>
  <c r="AC704" i="9"/>
  <c r="AB704" i="9"/>
  <c r="AA704" i="9"/>
  <c r="Z704" i="9"/>
  <c r="Y704" i="9"/>
  <c r="X704" i="9"/>
  <c r="W704" i="9"/>
  <c r="V704" i="9"/>
  <c r="U704" i="9"/>
  <c r="T704" i="9"/>
  <c r="S704" i="9"/>
  <c r="R704" i="9"/>
  <c r="Q704" i="9"/>
  <c r="P704" i="9"/>
  <c r="O704" i="9"/>
  <c r="N704" i="9"/>
  <c r="M704" i="9"/>
  <c r="L704" i="9"/>
  <c r="K704" i="9"/>
  <c r="J704" i="9"/>
  <c r="I704" i="9"/>
  <c r="H704" i="9"/>
  <c r="G704" i="9"/>
  <c r="F704" i="9"/>
  <c r="E704" i="9"/>
  <c r="D704" i="9"/>
  <c r="AY703" i="9"/>
  <c r="AO703" i="9" s="1"/>
  <c r="AX703" i="9"/>
  <c r="AN703" i="9" s="1"/>
  <c r="AW703" i="9"/>
  <c r="AM703" i="9" s="1"/>
  <c r="AV703" i="9"/>
  <c r="AL703" i="9" s="1"/>
  <c r="AU703" i="9"/>
  <c r="AS703" i="9"/>
  <c r="AR703" i="9"/>
  <c r="AQ703" i="9"/>
  <c r="AT703" i="9" s="1"/>
  <c r="AJ703" i="9" s="1"/>
  <c r="AK703" i="9"/>
  <c r="AG703" i="9"/>
  <c r="AF703" i="9"/>
  <c r="AE703" i="9"/>
  <c r="AD703" i="9"/>
  <c r="AC703" i="9"/>
  <c r="AB703" i="9"/>
  <c r="AA703" i="9"/>
  <c r="Z703" i="9"/>
  <c r="Y703" i="9"/>
  <c r="X703" i="9"/>
  <c r="W703" i="9"/>
  <c r="V703" i="9"/>
  <c r="U703" i="9"/>
  <c r="T703" i="9"/>
  <c r="S703" i="9"/>
  <c r="R703" i="9"/>
  <c r="Q703" i="9"/>
  <c r="P703" i="9"/>
  <c r="O703" i="9"/>
  <c r="N703" i="9"/>
  <c r="M703" i="9"/>
  <c r="L703" i="9"/>
  <c r="K703" i="9"/>
  <c r="J703" i="9"/>
  <c r="I703" i="9"/>
  <c r="H703" i="9"/>
  <c r="G703" i="9"/>
  <c r="F703" i="9"/>
  <c r="E703" i="9"/>
  <c r="D703" i="9"/>
  <c r="AQ702" i="9"/>
  <c r="AG702" i="9"/>
  <c r="AF702" i="9"/>
  <c r="AE702" i="9"/>
  <c r="AD702" i="9"/>
  <c r="AC702" i="9"/>
  <c r="AB702" i="9"/>
  <c r="AA702" i="9"/>
  <c r="Z702" i="9"/>
  <c r="Y702" i="9"/>
  <c r="X702" i="9"/>
  <c r="W702" i="9"/>
  <c r="V702" i="9"/>
  <c r="U702" i="9"/>
  <c r="T702" i="9"/>
  <c r="S702" i="9"/>
  <c r="R702" i="9"/>
  <c r="Q702" i="9"/>
  <c r="P702" i="9"/>
  <c r="O702" i="9"/>
  <c r="N702" i="9"/>
  <c r="M702" i="9"/>
  <c r="L702" i="9"/>
  <c r="K702" i="9"/>
  <c r="J702" i="9"/>
  <c r="I702" i="9"/>
  <c r="H702" i="9"/>
  <c r="G702" i="9"/>
  <c r="F702" i="9"/>
  <c r="E702" i="9"/>
  <c r="D702" i="9"/>
  <c r="AY701" i="9"/>
  <c r="AO701" i="9" s="1"/>
  <c r="AX701" i="9"/>
  <c r="AN701" i="9" s="1"/>
  <c r="AV701" i="9"/>
  <c r="AL701" i="9" s="1"/>
  <c r="AU701" i="9"/>
  <c r="AK701" i="9" s="1"/>
  <c r="AT701" i="9"/>
  <c r="AQ701" i="9"/>
  <c r="AW701" i="9" s="1"/>
  <c r="AM701" i="9" s="1"/>
  <c r="AG701" i="9"/>
  <c r="AF701" i="9"/>
  <c r="AE701" i="9"/>
  <c r="AD701" i="9"/>
  <c r="AC701" i="9"/>
  <c r="AB701" i="9"/>
  <c r="AA701" i="9"/>
  <c r="Z701" i="9"/>
  <c r="Y701" i="9"/>
  <c r="X701" i="9"/>
  <c r="W701" i="9"/>
  <c r="V701" i="9"/>
  <c r="U701" i="9"/>
  <c r="T701" i="9"/>
  <c r="S701" i="9"/>
  <c r="R701" i="9"/>
  <c r="Q701" i="9"/>
  <c r="P701" i="9"/>
  <c r="O701" i="9"/>
  <c r="N701" i="9"/>
  <c r="M701" i="9"/>
  <c r="L701" i="9"/>
  <c r="K701" i="9"/>
  <c r="J701" i="9"/>
  <c r="I701" i="9"/>
  <c r="H701" i="9"/>
  <c r="G701" i="9"/>
  <c r="F701" i="9"/>
  <c r="E701" i="9"/>
  <c r="D701" i="9"/>
  <c r="AY700" i="9"/>
  <c r="AO700" i="9" s="1"/>
  <c r="AX700" i="9"/>
  <c r="AN700" i="9" s="1"/>
  <c r="AT700" i="9"/>
  <c r="AH700" i="9" s="1"/>
  <c r="AQ700" i="9"/>
  <c r="AU700" i="9" s="1"/>
  <c r="AK700" i="9" s="1"/>
  <c r="AJ700" i="9"/>
  <c r="AI700" i="9"/>
  <c r="AG700" i="9"/>
  <c r="AF700" i="9"/>
  <c r="AE700" i="9"/>
  <c r="AD700" i="9"/>
  <c r="AC700" i="9"/>
  <c r="AB700" i="9"/>
  <c r="AA700" i="9"/>
  <c r="Z700" i="9"/>
  <c r="Y700" i="9"/>
  <c r="X700" i="9"/>
  <c r="W700" i="9"/>
  <c r="V700" i="9"/>
  <c r="U700" i="9"/>
  <c r="T700" i="9"/>
  <c r="S700" i="9"/>
  <c r="R700" i="9"/>
  <c r="Q700" i="9"/>
  <c r="P700" i="9"/>
  <c r="O700" i="9"/>
  <c r="N700" i="9"/>
  <c r="M700" i="9"/>
  <c r="L700" i="9"/>
  <c r="K700" i="9"/>
  <c r="J700" i="9"/>
  <c r="I700" i="9"/>
  <c r="H700" i="9"/>
  <c r="G700" i="9"/>
  <c r="F700" i="9"/>
  <c r="E700" i="9"/>
  <c r="D700" i="9"/>
  <c r="AR699" i="9"/>
  <c r="AS699" i="9" s="1"/>
  <c r="AQ699" i="9"/>
  <c r="AY699" i="9" s="1"/>
  <c r="AO699" i="9"/>
  <c r="AG699" i="9"/>
  <c r="AF699" i="9"/>
  <c r="AE699" i="9"/>
  <c r="AD699" i="9"/>
  <c r="AC699" i="9"/>
  <c r="AB699" i="9"/>
  <c r="AA699" i="9"/>
  <c r="Z699" i="9"/>
  <c r="Y699" i="9"/>
  <c r="X699" i="9"/>
  <c r="W699" i="9"/>
  <c r="V699" i="9"/>
  <c r="U699" i="9"/>
  <c r="T699" i="9"/>
  <c r="S699" i="9"/>
  <c r="R699" i="9"/>
  <c r="Q699" i="9"/>
  <c r="P699" i="9"/>
  <c r="O699" i="9"/>
  <c r="N699" i="9"/>
  <c r="M699" i="9"/>
  <c r="L699" i="9"/>
  <c r="K699" i="9"/>
  <c r="J699" i="9"/>
  <c r="I699" i="9"/>
  <c r="H699" i="9"/>
  <c r="G699" i="9"/>
  <c r="F699" i="9"/>
  <c r="E699" i="9"/>
  <c r="D699" i="9"/>
  <c r="AY698" i="9"/>
  <c r="AO698" i="9" s="1"/>
  <c r="AW698" i="9"/>
  <c r="AM698" i="9" s="1"/>
  <c r="AV698" i="9"/>
  <c r="AL698" i="9" s="1"/>
  <c r="AU698" i="9"/>
  <c r="AK698" i="9" s="1"/>
  <c r="AT698" i="9"/>
  <c r="AR698" i="9"/>
  <c r="AS698" i="9" s="1"/>
  <c r="AQ698" i="9"/>
  <c r="AX698" i="9" s="1"/>
  <c r="AN698" i="9" s="1"/>
  <c r="AH698" i="9"/>
  <c r="AG698" i="9"/>
  <c r="AF698" i="9"/>
  <c r="AE698" i="9"/>
  <c r="AD698" i="9"/>
  <c r="AC698" i="9"/>
  <c r="AB698" i="9"/>
  <c r="AA698" i="9"/>
  <c r="Z698" i="9"/>
  <c r="Y698" i="9"/>
  <c r="X698" i="9"/>
  <c r="W698" i="9"/>
  <c r="V698" i="9"/>
  <c r="U698" i="9"/>
  <c r="T698" i="9"/>
  <c r="S698" i="9"/>
  <c r="R698" i="9"/>
  <c r="Q698" i="9"/>
  <c r="P698" i="9"/>
  <c r="O698" i="9"/>
  <c r="N698" i="9"/>
  <c r="M698" i="9"/>
  <c r="L698" i="9"/>
  <c r="K698" i="9"/>
  <c r="J698" i="9"/>
  <c r="I698" i="9"/>
  <c r="H698" i="9"/>
  <c r="G698" i="9"/>
  <c r="F698" i="9"/>
  <c r="E698" i="9"/>
  <c r="D698" i="9"/>
  <c r="AY697" i="9"/>
  <c r="AO697" i="9" s="1"/>
  <c r="AU697" i="9"/>
  <c r="AQ697" i="9"/>
  <c r="AV697" i="9" s="1"/>
  <c r="AL697" i="9" s="1"/>
  <c r="AK697" i="9"/>
  <c r="AG697" i="9"/>
  <c r="AF697" i="9"/>
  <c r="AE697" i="9"/>
  <c r="AD697" i="9"/>
  <c r="AC697" i="9"/>
  <c r="AB697" i="9"/>
  <c r="AA697" i="9"/>
  <c r="Z697" i="9"/>
  <c r="Y697" i="9"/>
  <c r="X697" i="9"/>
  <c r="W697" i="9"/>
  <c r="V697" i="9"/>
  <c r="U697" i="9"/>
  <c r="T697" i="9"/>
  <c r="S697" i="9"/>
  <c r="R697" i="9"/>
  <c r="Q697" i="9"/>
  <c r="P697" i="9"/>
  <c r="O697" i="9"/>
  <c r="N697" i="9"/>
  <c r="M697" i="9"/>
  <c r="L697" i="9"/>
  <c r="K697" i="9"/>
  <c r="J697" i="9"/>
  <c r="I697" i="9"/>
  <c r="H697" i="9"/>
  <c r="G697" i="9"/>
  <c r="F697" i="9"/>
  <c r="E697" i="9"/>
  <c r="D697" i="9"/>
  <c r="AQ696" i="9"/>
  <c r="AG696" i="9"/>
  <c r="AF696" i="9"/>
  <c r="AE696" i="9"/>
  <c r="AD696" i="9"/>
  <c r="AC696" i="9"/>
  <c r="AB696" i="9"/>
  <c r="AA696" i="9"/>
  <c r="Z696" i="9"/>
  <c r="Y696" i="9"/>
  <c r="X696" i="9"/>
  <c r="W696" i="9"/>
  <c r="V696" i="9"/>
  <c r="U696" i="9"/>
  <c r="T696" i="9"/>
  <c r="S696" i="9"/>
  <c r="R696" i="9"/>
  <c r="Q696" i="9"/>
  <c r="P696" i="9"/>
  <c r="O696" i="9"/>
  <c r="N696" i="9"/>
  <c r="M696" i="9"/>
  <c r="L696" i="9"/>
  <c r="K696" i="9"/>
  <c r="J696" i="9"/>
  <c r="I696" i="9"/>
  <c r="H696" i="9"/>
  <c r="G696" i="9"/>
  <c r="F696" i="9"/>
  <c r="E696" i="9"/>
  <c r="D696" i="9"/>
  <c r="AX695" i="9"/>
  <c r="AN695" i="9" s="1"/>
  <c r="AW695" i="9"/>
  <c r="AM695" i="9" s="1"/>
  <c r="AV695" i="9"/>
  <c r="AL695" i="9" s="1"/>
  <c r="AU695" i="9"/>
  <c r="AK695" i="9" s="1"/>
  <c r="AQ695" i="9"/>
  <c r="AR695" i="9" s="1"/>
  <c r="AS695" i="9" s="1"/>
  <c r="AG695" i="9"/>
  <c r="AF695" i="9"/>
  <c r="AE695" i="9"/>
  <c r="AD695" i="9"/>
  <c r="AC695" i="9"/>
  <c r="AB695" i="9"/>
  <c r="AA695" i="9"/>
  <c r="Z695" i="9"/>
  <c r="Y695" i="9"/>
  <c r="X695" i="9"/>
  <c r="W695" i="9"/>
  <c r="V695" i="9"/>
  <c r="U695" i="9"/>
  <c r="T695" i="9"/>
  <c r="S695" i="9"/>
  <c r="R695" i="9"/>
  <c r="Q695" i="9"/>
  <c r="P695" i="9"/>
  <c r="O695" i="9"/>
  <c r="N695" i="9"/>
  <c r="M695" i="9"/>
  <c r="L695" i="9"/>
  <c r="K695" i="9"/>
  <c r="J695" i="9"/>
  <c r="I695" i="9"/>
  <c r="H695" i="9"/>
  <c r="G695" i="9"/>
  <c r="F695" i="9"/>
  <c r="E695" i="9"/>
  <c r="D695" i="9"/>
  <c r="AQ694" i="9"/>
  <c r="AW694" i="9" s="1"/>
  <c r="AM694" i="9" s="1"/>
  <c r="AG694" i="9"/>
  <c r="AF694" i="9"/>
  <c r="AE694" i="9"/>
  <c r="AD694" i="9"/>
  <c r="AC694" i="9"/>
  <c r="AB694" i="9"/>
  <c r="AA694" i="9"/>
  <c r="Z694" i="9"/>
  <c r="Y694" i="9"/>
  <c r="X694" i="9"/>
  <c r="W694" i="9"/>
  <c r="V694" i="9"/>
  <c r="U694" i="9"/>
  <c r="T694" i="9"/>
  <c r="S694" i="9"/>
  <c r="R694" i="9"/>
  <c r="Q694" i="9"/>
  <c r="P694" i="9"/>
  <c r="O694" i="9"/>
  <c r="N694" i="9"/>
  <c r="M694" i="9"/>
  <c r="L694" i="9"/>
  <c r="K694" i="9"/>
  <c r="J694" i="9"/>
  <c r="I694" i="9"/>
  <c r="H694" i="9"/>
  <c r="G694" i="9"/>
  <c r="F694" i="9"/>
  <c r="E694" i="9"/>
  <c r="D694" i="9"/>
  <c r="AR693" i="9"/>
  <c r="AS693" i="9" s="1"/>
  <c r="AQ693" i="9"/>
  <c r="AT693" i="9" s="1"/>
  <c r="AG693" i="9"/>
  <c r="AF693" i="9"/>
  <c r="AE693" i="9"/>
  <c r="AD693" i="9"/>
  <c r="AC693" i="9"/>
  <c r="AB693" i="9"/>
  <c r="AA693" i="9"/>
  <c r="Z693" i="9"/>
  <c r="Y693" i="9"/>
  <c r="X693" i="9"/>
  <c r="W693" i="9"/>
  <c r="V693" i="9"/>
  <c r="U693" i="9"/>
  <c r="T693" i="9"/>
  <c r="S693" i="9"/>
  <c r="R693" i="9"/>
  <c r="Q693" i="9"/>
  <c r="P693" i="9"/>
  <c r="O693" i="9"/>
  <c r="N693" i="9"/>
  <c r="M693" i="9"/>
  <c r="L693" i="9"/>
  <c r="K693" i="9"/>
  <c r="J693" i="9"/>
  <c r="I693" i="9"/>
  <c r="H693" i="9"/>
  <c r="G693" i="9"/>
  <c r="F693" i="9"/>
  <c r="E693" i="9"/>
  <c r="D693" i="9"/>
  <c r="AY692" i="9"/>
  <c r="AO692" i="9" s="1"/>
  <c r="AX692" i="9"/>
  <c r="AN692" i="9" s="1"/>
  <c r="AW692" i="9"/>
  <c r="AM692" i="9" s="1"/>
  <c r="AV692" i="9"/>
  <c r="AL692" i="9" s="1"/>
  <c r="AR692" i="9"/>
  <c r="AS692" i="9" s="1"/>
  <c r="AQ692" i="9"/>
  <c r="AU692" i="9" s="1"/>
  <c r="AK692" i="9" s="1"/>
  <c r="AG692" i="9"/>
  <c r="AF692" i="9"/>
  <c r="AE692" i="9"/>
  <c r="AD692" i="9"/>
  <c r="AC692" i="9"/>
  <c r="AB692" i="9"/>
  <c r="AA692" i="9"/>
  <c r="Z692" i="9"/>
  <c r="Y692" i="9"/>
  <c r="X692" i="9"/>
  <c r="W692" i="9"/>
  <c r="V692" i="9"/>
  <c r="U692" i="9"/>
  <c r="T692" i="9"/>
  <c r="S692" i="9"/>
  <c r="R692" i="9"/>
  <c r="Q692" i="9"/>
  <c r="P692" i="9"/>
  <c r="O692" i="9"/>
  <c r="N692" i="9"/>
  <c r="M692" i="9"/>
  <c r="L692" i="9"/>
  <c r="K692" i="9"/>
  <c r="J692" i="9"/>
  <c r="I692" i="9"/>
  <c r="H692" i="9"/>
  <c r="G692" i="9"/>
  <c r="F692" i="9"/>
  <c r="E692" i="9"/>
  <c r="D692" i="9"/>
  <c r="AY691" i="9"/>
  <c r="AX691" i="9"/>
  <c r="AW691" i="9"/>
  <c r="AV691" i="9"/>
  <c r="AU691" i="9"/>
  <c r="AT691" i="9"/>
  <c r="AI691" i="9" s="1"/>
  <c r="AR691" i="9"/>
  <c r="AS691" i="9" s="1"/>
  <c r="AQ691" i="9"/>
  <c r="AO691" i="9"/>
  <c r="AN691" i="9"/>
  <c r="AM691" i="9"/>
  <c r="AL691" i="9"/>
  <c r="AK691" i="9"/>
  <c r="AH691" i="9"/>
  <c r="AG691" i="9"/>
  <c r="AF691" i="9"/>
  <c r="AE691" i="9"/>
  <c r="AD691" i="9"/>
  <c r="AC691" i="9"/>
  <c r="AB691" i="9"/>
  <c r="AA691" i="9"/>
  <c r="Z691" i="9"/>
  <c r="Y691" i="9"/>
  <c r="X691" i="9"/>
  <c r="W691" i="9"/>
  <c r="V691" i="9"/>
  <c r="U691" i="9"/>
  <c r="T691" i="9"/>
  <c r="S691" i="9"/>
  <c r="R691" i="9"/>
  <c r="Q691" i="9"/>
  <c r="P691" i="9"/>
  <c r="O691" i="9"/>
  <c r="N691" i="9"/>
  <c r="M691" i="9"/>
  <c r="L691" i="9"/>
  <c r="K691" i="9"/>
  <c r="J691" i="9"/>
  <c r="I691" i="9"/>
  <c r="H691" i="9"/>
  <c r="G691" i="9"/>
  <c r="F691" i="9"/>
  <c r="E691" i="9"/>
  <c r="D691" i="9"/>
  <c r="AY690" i="9"/>
  <c r="AO690" i="9" s="1"/>
  <c r="AX690" i="9"/>
  <c r="AN690" i="9" s="1"/>
  <c r="AW690" i="9"/>
  <c r="AM690" i="9" s="1"/>
  <c r="AU690" i="9"/>
  <c r="AK690" i="9" s="1"/>
  <c r="AT690" i="9"/>
  <c r="AJ690" i="9" s="1"/>
  <c r="AR690" i="9"/>
  <c r="AS690" i="9" s="1"/>
  <c r="AQ690" i="9"/>
  <c r="AV690" i="9" s="1"/>
  <c r="AL690" i="9" s="1"/>
  <c r="AG690" i="9"/>
  <c r="AF690" i="9"/>
  <c r="AE690" i="9"/>
  <c r="AD690" i="9"/>
  <c r="AC690" i="9"/>
  <c r="AB690" i="9"/>
  <c r="AA690" i="9"/>
  <c r="Z690" i="9"/>
  <c r="Y690" i="9"/>
  <c r="X690" i="9"/>
  <c r="W690" i="9"/>
  <c r="V690" i="9"/>
  <c r="U690" i="9"/>
  <c r="T690" i="9"/>
  <c r="S690" i="9"/>
  <c r="R690" i="9"/>
  <c r="Q690" i="9"/>
  <c r="P690" i="9"/>
  <c r="O690" i="9"/>
  <c r="N690" i="9"/>
  <c r="M690" i="9"/>
  <c r="L690" i="9"/>
  <c r="K690" i="9"/>
  <c r="J690" i="9"/>
  <c r="I690" i="9"/>
  <c r="H690" i="9"/>
  <c r="G690" i="9"/>
  <c r="F690" i="9"/>
  <c r="E690" i="9"/>
  <c r="D690" i="9"/>
  <c r="AY689" i="9"/>
  <c r="AO689" i="9" s="1"/>
  <c r="AX689" i="9"/>
  <c r="AN689" i="9" s="1"/>
  <c r="AW689" i="9"/>
  <c r="AM689" i="9" s="1"/>
  <c r="AU689" i="9"/>
  <c r="AS689" i="9"/>
  <c r="AR689" i="9"/>
  <c r="AQ689" i="9"/>
  <c r="AT689" i="9" s="1"/>
  <c r="AJ689" i="9" s="1"/>
  <c r="AK689" i="9"/>
  <c r="AI689" i="9"/>
  <c r="AG689" i="9"/>
  <c r="AF689" i="9"/>
  <c r="AE689" i="9"/>
  <c r="AD689" i="9"/>
  <c r="AC689" i="9"/>
  <c r="AB689" i="9"/>
  <c r="AA689" i="9"/>
  <c r="Z689" i="9"/>
  <c r="Y689" i="9"/>
  <c r="X689" i="9"/>
  <c r="W689" i="9"/>
  <c r="V689" i="9"/>
  <c r="U689" i="9"/>
  <c r="T689" i="9"/>
  <c r="S689" i="9"/>
  <c r="R689" i="9"/>
  <c r="Q689" i="9"/>
  <c r="P689" i="9"/>
  <c r="O689" i="9"/>
  <c r="N689" i="9"/>
  <c r="M689" i="9"/>
  <c r="L689" i="9"/>
  <c r="K689" i="9"/>
  <c r="J689" i="9"/>
  <c r="I689" i="9"/>
  <c r="H689" i="9"/>
  <c r="G689" i="9"/>
  <c r="F689" i="9"/>
  <c r="E689" i="9"/>
  <c r="D689" i="9"/>
  <c r="AQ688" i="9"/>
  <c r="AG688" i="9"/>
  <c r="AF688" i="9"/>
  <c r="AE688" i="9"/>
  <c r="AD688" i="9"/>
  <c r="AC688" i="9"/>
  <c r="AB688" i="9"/>
  <c r="AA688" i="9"/>
  <c r="Z688" i="9"/>
  <c r="Y688" i="9"/>
  <c r="X688" i="9"/>
  <c r="W688" i="9"/>
  <c r="V688" i="9"/>
  <c r="U688" i="9"/>
  <c r="T688" i="9"/>
  <c r="S688" i="9"/>
  <c r="R688" i="9"/>
  <c r="Q688" i="9"/>
  <c r="P688" i="9"/>
  <c r="O688" i="9"/>
  <c r="N688" i="9"/>
  <c r="M688" i="9"/>
  <c r="L688" i="9"/>
  <c r="K688" i="9"/>
  <c r="J688" i="9"/>
  <c r="I688" i="9"/>
  <c r="H688" i="9"/>
  <c r="G688" i="9"/>
  <c r="F688" i="9"/>
  <c r="E688" i="9"/>
  <c r="D688" i="9"/>
  <c r="AY687" i="9"/>
  <c r="AO687" i="9" s="1"/>
  <c r="AX687" i="9"/>
  <c r="AN687" i="9" s="1"/>
  <c r="AV687" i="9"/>
  <c r="AL687" i="9" s="1"/>
  <c r="AU687" i="9"/>
  <c r="AK687" i="9" s="1"/>
  <c r="AT687" i="9"/>
  <c r="AQ687" i="9"/>
  <c r="AW687" i="9" s="1"/>
  <c r="AM687" i="9" s="1"/>
  <c r="AG687" i="9"/>
  <c r="AF687" i="9"/>
  <c r="AE687" i="9"/>
  <c r="AD687" i="9"/>
  <c r="AC687" i="9"/>
  <c r="AB687" i="9"/>
  <c r="AA687" i="9"/>
  <c r="Z687" i="9"/>
  <c r="Y687" i="9"/>
  <c r="X687" i="9"/>
  <c r="W687" i="9"/>
  <c r="V687" i="9"/>
  <c r="U687" i="9"/>
  <c r="T687" i="9"/>
  <c r="S687" i="9"/>
  <c r="R687" i="9"/>
  <c r="Q687" i="9"/>
  <c r="P687" i="9"/>
  <c r="O687" i="9"/>
  <c r="N687" i="9"/>
  <c r="M687" i="9"/>
  <c r="L687" i="9"/>
  <c r="K687" i="9"/>
  <c r="J687" i="9"/>
  <c r="I687" i="9"/>
  <c r="H687" i="9"/>
  <c r="G687" i="9"/>
  <c r="F687" i="9"/>
  <c r="E687" i="9"/>
  <c r="D687" i="9"/>
  <c r="AY686" i="9"/>
  <c r="AO686" i="9" s="1"/>
  <c r="AX686" i="9"/>
  <c r="AN686" i="9" s="1"/>
  <c r="AT686" i="9"/>
  <c r="AH686" i="9" s="1"/>
  <c r="AR686" i="9"/>
  <c r="AS686" i="9" s="1"/>
  <c r="AQ686" i="9"/>
  <c r="AU686" i="9" s="1"/>
  <c r="AK686" i="9" s="1"/>
  <c r="AJ686" i="9"/>
  <c r="AI686" i="9"/>
  <c r="AG686" i="9"/>
  <c r="AF686" i="9"/>
  <c r="AE686" i="9"/>
  <c r="AD686" i="9"/>
  <c r="AC686" i="9"/>
  <c r="AB686" i="9"/>
  <c r="AA686" i="9"/>
  <c r="Z686" i="9"/>
  <c r="Y686" i="9"/>
  <c r="X686" i="9"/>
  <c r="W686" i="9"/>
  <c r="V686" i="9"/>
  <c r="U686" i="9"/>
  <c r="T686" i="9"/>
  <c r="S686" i="9"/>
  <c r="R686" i="9"/>
  <c r="Q686" i="9"/>
  <c r="P686" i="9"/>
  <c r="O686" i="9"/>
  <c r="N686" i="9"/>
  <c r="M686" i="9"/>
  <c r="L686" i="9"/>
  <c r="K686" i="9"/>
  <c r="J686" i="9"/>
  <c r="I686" i="9"/>
  <c r="H686" i="9"/>
  <c r="G686" i="9"/>
  <c r="F686" i="9"/>
  <c r="E686" i="9"/>
  <c r="D686" i="9"/>
  <c r="AR685" i="9"/>
  <c r="AS685" i="9" s="1"/>
  <c r="AQ685" i="9"/>
  <c r="AY685" i="9" s="1"/>
  <c r="AO685" i="9"/>
  <c r="AG685" i="9"/>
  <c r="AF685" i="9"/>
  <c r="AE685" i="9"/>
  <c r="AD685" i="9"/>
  <c r="AC685" i="9"/>
  <c r="AB685" i="9"/>
  <c r="AA685" i="9"/>
  <c r="Z685" i="9"/>
  <c r="Y685" i="9"/>
  <c r="X685" i="9"/>
  <c r="W685" i="9"/>
  <c r="V685" i="9"/>
  <c r="U685" i="9"/>
  <c r="T685" i="9"/>
  <c r="S685" i="9"/>
  <c r="R685" i="9"/>
  <c r="Q685" i="9"/>
  <c r="P685" i="9"/>
  <c r="O685" i="9"/>
  <c r="N685" i="9"/>
  <c r="M685" i="9"/>
  <c r="L685" i="9"/>
  <c r="K685" i="9"/>
  <c r="J685" i="9"/>
  <c r="I685" i="9"/>
  <c r="H685" i="9"/>
  <c r="G685" i="9"/>
  <c r="F685" i="9"/>
  <c r="E685" i="9"/>
  <c r="D685" i="9"/>
  <c r="AY684" i="9"/>
  <c r="AO684" i="9" s="1"/>
  <c r="AW684" i="9"/>
  <c r="AM684" i="9" s="1"/>
  <c r="AV684" i="9"/>
  <c r="AL684" i="9" s="1"/>
  <c r="AU684" i="9"/>
  <c r="AK684" i="9" s="1"/>
  <c r="AT684" i="9"/>
  <c r="AR684" i="9"/>
  <c r="AS684" i="9" s="1"/>
  <c r="AQ684" i="9"/>
  <c r="AX684" i="9" s="1"/>
  <c r="AN684" i="9" s="1"/>
  <c r="AH684" i="9"/>
  <c r="AG684" i="9"/>
  <c r="AF684" i="9"/>
  <c r="AE684" i="9"/>
  <c r="AD684" i="9"/>
  <c r="AC684" i="9"/>
  <c r="AB684" i="9"/>
  <c r="AA684" i="9"/>
  <c r="Z684" i="9"/>
  <c r="Y684" i="9"/>
  <c r="X684" i="9"/>
  <c r="W684" i="9"/>
  <c r="V684" i="9"/>
  <c r="U684" i="9"/>
  <c r="T684" i="9"/>
  <c r="S684" i="9"/>
  <c r="R684" i="9"/>
  <c r="Q684" i="9"/>
  <c r="P684" i="9"/>
  <c r="O684" i="9"/>
  <c r="N684" i="9"/>
  <c r="M684" i="9"/>
  <c r="L684" i="9"/>
  <c r="K684" i="9"/>
  <c r="J684" i="9"/>
  <c r="I684" i="9"/>
  <c r="H684" i="9"/>
  <c r="G684" i="9"/>
  <c r="F684" i="9"/>
  <c r="E684" i="9"/>
  <c r="D684" i="9"/>
  <c r="AY683" i="9"/>
  <c r="AO683" i="9" s="1"/>
  <c r="AU683" i="9"/>
  <c r="AQ683" i="9"/>
  <c r="AV683" i="9" s="1"/>
  <c r="AL683" i="9" s="1"/>
  <c r="AK683" i="9"/>
  <c r="AG683" i="9"/>
  <c r="AF683" i="9"/>
  <c r="AE683" i="9"/>
  <c r="AD683" i="9"/>
  <c r="AC683" i="9"/>
  <c r="AB683" i="9"/>
  <c r="AA683" i="9"/>
  <c r="Z683" i="9"/>
  <c r="Y683" i="9"/>
  <c r="X683" i="9"/>
  <c r="W683" i="9"/>
  <c r="V683" i="9"/>
  <c r="U683" i="9"/>
  <c r="T683" i="9"/>
  <c r="S683" i="9"/>
  <c r="R683" i="9"/>
  <c r="Q683" i="9"/>
  <c r="P683" i="9"/>
  <c r="O683" i="9"/>
  <c r="N683" i="9"/>
  <c r="M683" i="9"/>
  <c r="L683" i="9"/>
  <c r="K683" i="9"/>
  <c r="J683" i="9"/>
  <c r="I683" i="9"/>
  <c r="H683" i="9"/>
  <c r="G683" i="9"/>
  <c r="F683" i="9"/>
  <c r="E683" i="9"/>
  <c r="D683" i="9"/>
  <c r="AQ682" i="9"/>
  <c r="AG682" i="9"/>
  <c r="AF682" i="9"/>
  <c r="AE682" i="9"/>
  <c r="AD682" i="9"/>
  <c r="AC682" i="9"/>
  <c r="AB682" i="9"/>
  <c r="AA682" i="9"/>
  <c r="Z682" i="9"/>
  <c r="Y682" i="9"/>
  <c r="X682" i="9"/>
  <c r="W682" i="9"/>
  <c r="V682" i="9"/>
  <c r="U682" i="9"/>
  <c r="T682" i="9"/>
  <c r="S682" i="9"/>
  <c r="R682" i="9"/>
  <c r="Q682" i="9"/>
  <c r="P682" i="9"/>
  <c r="O682" i="9"/>
  <c r="N682" i="9"/>
  <c r="M682" i="9"/>
  <c r="L682" i="9"/>
  <c r="K682" i="9"/>
  <c r="J682" i="9"/>
  <c r="I682" i="9"/>
  <c r="H682" i="9"/>
  <c r="G682" i="9"/>
  <c r="F682" i="9"/>
  <c r="E682" i="9"/>
  <c r="D682" i="9"/>
  <c r="AX681" i="9"/>
  <c r="AN681" i="9" s="1"/>
  <c r="AW681" i="9"/>
  <c r="AM681" i="9" s="1"/>
  <c r="AV681" i="9"/>
  <c r="AL681" i="9" s="1"/>
  <c r="AU681" i="9"/>
  <c r="AK681" i="9" s="1"/>
  <c r="AQ681" i="9"/>
  <c r="AR681" i="9" s="1"/>
  <c r="AS681" i="9" s="1"/>
  <c r="AG681" i="9"/>
  <c r="AF681" i="9"/>
  <c r="AE681" i="9"/>
  <c r="AD681" i="9"/>
  <c r="AC681" i="9"/>
  <c r="AB681" i="9"/>
  <c r="AA681" i="9"/>
  <c r="Z681" i="9"/>
  <c r="Y681" i="9"/>
  <c r="X681" i="9"/>
  <c r="W681" i="9"/>
  <c r="V681" i="9"/>
  <c r="U681" i="9"/>
  <c r="T681" i="9"/>
  <c r="S681" i="9"/>
  <c r="R681" i="9"/>
  <c r="Q681" i="9"/>
  <c r="P681" i="9"/>
  <c r="O681" i="9"/>
  <c r="N681" i="9"/>
  <c r="M681" i="9"/>
  <c r="L681" i="9"/>
  <c r="K681" i="9"/>
  <c r="J681" i="9"/>
  <c r="I681" i="9"/>
  <c r="H681" i="9"/>
  <c r="G681" i="9"/>
  <c r="F681" i="9"/>
  <c r="E681" i="9"/>
  <c r="D681" i="9"/>
  <c r="AW680" i="9"/>
  <c r="AT680" i="9"/>
  <c r="AJ680" i="9" s="1"/>
  <c r="AQ680" i="9"/>
  <c r="AV680" i="9" s="1"/>
  <c r="AM680" i="9"/>
  <c r="AL680" i="9"/>
  <c r="AH680" i="9"/>
  <c r="AG680" i="9"/>
  <c r="AF680" i="9"/>
  <c r="AE680" i="9"/>
  <c r="AD680" i="9"/>
  <c r="AC680" i="9"/>
  <c r="AB680" i="9"/>
  <c r="AA680" i="9"/>
  <c r="Z680" i="9"/>
  <c r="Y680" i="9"/>
  <c r="X680" i="9"/>
  <c r="W680" i="9"/>
  <c r="V680" i="9"/>
  <c r="U680" i="9"/>
  <c r="T680" i="9"/>
  <c r="S680" i="9"/>
  <c r="R680" i="9"/>
  <c r="Q680" i="9"/>
  <c r="P680" i="9"/>
  <c r="O680" i="9"/>
  <c r="N680" i="9"/>
  <c r="M680" i="9"/>
  <c r="L680" i="9"/>
  <c r="K680" i="9"/>
  <c r="J680" i="9"/>
  <c r="I680" i="9"/>
  <c r="H680" i="9"/>
  <c r="G680" i="9"/>
  <c r="F680" i="9"/>
  <c r="E680" i="9"/>
  <c r="D680" i="9"/>
  <c r="AY679" i="9"/>
  <c r="AO679" i="9" s="1"/>
  <c r="AT679" i="9"/>
  <c r="AR679" i="9"/>
  <c r="AS679" i="9" s="1"/>
  <c r="AQ679" i="9"/>
  <c r="AJ679" i="9"/>
  <c r="AG679" i="9"/>
  <c r="AF679" i="9"/>
  <c r="AE679" i="9"/>
  <c r="AD679" i="9"/>
  <c r="AC679" i="9"/>
  <c r="AB679" i="9"/>
  <c r="AA679" i="9"/>
  <c r="Z679" i="9"/>
  <c r="Y679" i="9"/>
  <c r="X679" i="9"/>
  <c r="W679" i="9"/>
  <c r="V679" i="9"/>
  <c r="U679" i="9"/>
  <c r="T679" i="9"/>
  <c r="S679" i="9"/>
  <c r="R679" i="9"/>
  <c r="Q679" i="9"/>
  <c r="P679" i="9"/>
  <c r="O679" i="9"/>
  <c r="N679" i="9"/>
  <c r="M679" i="9"/>
  <c r="L679" i="9"/>
  <c r="K679" i="9"/>
  <c r="J679" i="9"/>
  <c r="I679" i="9"/>
  <c r="H679" i="9"/>
  <c r="G679" i="9"/>
  <c r="F679" i="9"/>
  <c r="E679" i="9"/>
  <c r="D679" i="9"/>
  <c r="AY678" i="9"/>
  <c r="AO678" i="9" s="1"/>
  <c r="AX678" i="9"/>
  <c r="AN678" i="9" s="1"/>
  <c r="AW678" i="9"/>
  <c r="AM678" i="9" s="1"/>
  <c r="AV678" i="9"/>
  <c r="AL678" i="9" s="1"/>
  <c r="AS678" i="9"/>
  <c r="AR678" i="9"/>
  <c r="AQ678" i="9"/>
  <c r="AU678" i="9" s="1"/>
  <c r="AK678" i="9" s="1"/>
  <c r="AG678" i="9"/>
  <c r="AF678" i="9"/>
  <c r="AE678" i="9"/>
  <c r="AD678" i="9"/>
  <c r="AC678" i="9"/>
  <c r="AB678" i="9"/>
  <c r="AA678" i="9"/>
  <c r="Z678" i="9"/>
  <c r="Y678" i="9"/>
  <c r="X678" i="9"/>
  <c r="W678" i="9"/>
  <c r="V678" i="9"/>
  <c r="U678" i="9"/>
  <c r="T678" i="9"/>
  <c r="S678" i="9"/>
  <c r="R678" i="9"/>
  <c r="Q678" i="9"/>
  <c r="P678" i="9"/>
  <c r="O678" i="9"/>
  <c r="N678" i="9"/>
  <c r="M678" i="9"/>
  <c r="L678" i="9"/>
  <c r="K678" i="9"/>
  <c r="J678" i="9"/>
  <c r="I678" i="9"/>
  <c r="H678" i="9"/>
  <c r="G678" i="9"/>
  <c r="F678" i="9"/>
  <c r="E678" i="9"/>
  <c r="D678" i="9"/>
  <c r="AY677" i="9"/>
  <c r="AX677" i="9"/>
  <c r="AN677" i="9" s="1"/>
  <c r="AW677" i="9"/>
  <c r="AV677" i="9"/>
  <c r="AU677" i="9"/>
  <c r="AK677" i="9" s="1"/>
  <c r="AT677" i="9"/>
  <c r="AJ677" i="9" s="1"/>
  <c r="AR677" i="9"/>
  <c r="AS677" i="9" s="1"/>
  <c r="AQ677" i="9"/>
  <c r="AO677" i="9"/>
  <c r="AM677" i="9"/>
  <c r="AL677" i="9"/>
  <c r="AI677" i="9"/>
  <c r="AH677" i="9"/>
  <c r="AG677" i="9"/>
  <c r="AF677" i="9"/>
  <c r="AE677" i="9"/>
  <c r="AD677" i="9"/>
  <c r="AC677" i="9"/>
  <c r="AB677" i="9"/>
  <c r="AA677" i="9"/>
  <c r="Z677" i="9"/>
  <c r="Y677" i="9"/>
  <c r="X677" i="9"/>
  <c r="W677" i="9"/>
  <c r="V677" i="9"/>
  <c r="U677" i="9"/>
  <c r="T677" i="9"/>
  <c r="S677" i="9"/>
  <c r="R677" i="9"/>
  <c r="Q677" i="9"/>
  <c r="P677" i="9"/>
  <c r="O677" i="9"/>
  <c r="N677" i="9"/>
  <c r="M677" i="9"/>
  <c r="L677" i="9"/>
  <c r="K677" i="9"/>
  <c r="J677" i="9"/>
  <c r="I677" i="9"/>
  <c r="H677" i="9"/>
  <c r="G677" i="9"/>
  <c r="F677" i="9"/>
  <c r="E677" i="9"/>
  <c r="D677" i="9"/>
  <c r="AY676" i="9"/>
  <c r="AO676" i="9" s="1"/>
  <c r="AX676" i="9"/>
  <c r="AW676" i="9"/>
  <c r="AM676" i="9" s="1"/>
  <c r="AU676" i="9"/>
  <c r="AK676" i="9" s="1"/>
  <c r="AT676" i="9"/>
  <c r="AS676" i="9"/>
  <c r="AR676" i="9"/>
  <c r="AQ676" i="9"/>
  <c r="AV676" i="9" s="1"/>
  <c r="AL676" i="9" s="1"/>
  <c r="AN676" i="9"/>
  <c r="AG676" i="9"/>
  <c r="AF676" i="9"/>
  <c r="AE676" i="9"/>
  <c r="AD676" i="9"/>
  <c r="AC676" i="9"/>
  <c r="AB676" i="9"/>
  <c r="AA676" i="9"/>
  <c r="Z676" i="9"/>
  <c r="Y676" i="9"/>
  <c r="X676" i="9"/>
  <c r="W676" i="9"/>
  <c r="V676" i="9"/>
  <c r="U676" i="9"/>
  <c r="T676" i="9"/>
  <c r="S676" i="9"/>
  <c r="R676" i="9"/>
  <c r="Q676" i="9"/>
  <c r="P676" i="9"/>
  <c r="O676" i="9"/>
  <c r="N676" i="9"/>
  <c r="M676" i="9"/>
  <c r="L676" i="9"/>
  <c r="K676" i="9"/>
  <c r="J676" i="9"/>
  <c r="I676" i="9"/>
  <c r="H676" i="9"/>
  <c r="G676" i="9"/>
  <c r="F676" i="9"/>
  <c r="E676" i="9"/>
  <c r="D676" i="9"/>
  <c r="AQ675" i="9"/>
  <c r="AG675" i="9"/>
  <c r="AF675" i="9"/>
  <c r="AE675" i="9"/>
  <c r="AD675" i="9"/>
  <c r="AC675" i="9"/>
  <c r="AB675" i="9"/>
  <c r="AA675" i="9"/>
  <c r="Z675" i="9"/>
  <c r="Y675" i="9"/>
  <c r="X675" i="9"/>
  <c r="W675" i="9"/>
  <c r="V675" i="9"/>
  <c r="U675" i="9"/>
  <c r="T675" i="9"/>
  <c r="S675" i="9"/>
  <c r="R675" i="9"/>
  <c r="Q675" i="9"/>
  <c r="P675" i="9"/>
  <c r="O675" i="9"/>
  <c r="N675" i="9"/>
  <c r="M675" i="9"/>
  <c r="L675" i="9"/>
  <c r="K675" i="9"/>
  <c r="J675" i="9"/>
  <c r="I675" i="9"/>
  <c r="H675" i="9"/>
  <c r="G675" i="9"/>
  <c r="F675" i="9"/>
  <c r="E675" i="9"/>
  <c r="D675" i="9"/>
  <c r="AY674" i="9"/>
  <c r="AX674" i="9"/>
  <c r="AN674" i="9" s="1"/>
  <c r="AQ674" i="9"/>
  <c r="AO674" i="9"/>
  <c r="AG674" i="9"/>
  <c r="AF674" i="9"/>
  <c r="AE674" i="9"/>
  <c r="AD674" i="9"/>
  <c r="AC674" i="9"/>
  <c r="AB674" i="9"/>
  <c r="AA674" i="9"/>
  <c r="Z674" i="9"/>
  <c r="Y674" i="9"/>
  <c r="X674" i="9"/>
  <c r="W674" i="9"/>
  <c r="V674" i="9"/>
  <c r="U674" i="9"/>
  <c r="T674" i="9"/>
  <c r="S674" i="9"/>
  <c r="R674" i="9"/>
  <c r="Q674" i="9"/>
  <c r="P674" i="9"/>
  <c r="O674" i="9"/>
  <c r="N674" i="9"/>
  <c r="M674" i="9"/>
  <c r="L674" i="9"/>
  <c r="K674" i="9"/>
  <c r="J674" i="9"/>
  <c r="I674" i="9"/>
  <c r="H674" i="9"/>
  <c r="G674" i="9"/>
  <c r="F674" i="9"/>
  <c r="E674" i="9"/>
  <c r="D674" i="9"/>
  <c r="AY673" i="9"/>
  <c r="AX673" i="9"/>
  <c r="AV673" i="9"/>
  <c r="AU673" i="9"/>
  <c r="AK673" i="9" s="1"/>
  <c r="AT673" i="9"/>
  <c r="AQ673" i="9"/>
  <c r="AW673" i="9" s="1"/>
  <c r="AM673" i="9" s="1"/>
  <c r="AO673" i="9"/>
  <c r="AN673" i="9"/>
  <c r="AL673" i="9"/>
  <c r="AI673" i="9"/>
  <c r="AG673" i="9"/>
  <c r="AF673" i="9"/>
  <c r="AE673" i="9"/>
  <c r="AD673" i="9"/>
  <c r="AC673" i="9"/>
  <c r="AB673" i="9"/>
  <c r="AA673" i="9"/>
  <c r="Z673" i="9"/>
  <c r="Y673" i="9"/>
  <c r="X673" i="9"/>
  <c r="W673" i="9"/>
  <c r="V673" i="9"/>
  <c r="U673" i="9"/>
  <c r="T673" i="9"/>
  <c r="S673" i="9"/>
  <c r="R673" i="9"/>
  <c r="Q673" i="9"/>
  <c r="P673" i="9"/>
  <c r="O673" i="9"/>
  <c r="N673" i="9"/>
  <c r="M673" i="9"/>
  <c r="L673" i="9"/>
  <c r="K673" i="9"/>
  <c r="J673" i="9"/>
  <c r="I673" i="9"/>
  <c r="H673" i="9"/>
  <c r="G673" i="9"/>
  <c r="F673" i="9"/>
  <c r="E673" i="9"/>
  <c r="D673" i="9"/>
  <c r="AY672" i="9"/>
  <c r="AO672" i="9" s="1"/>
  <c r="AX672" i="9"/>
  <c r="AU672" i="9"/>
  <c r="AT672" i="9"/>
  <c r="AH672" i="9" s="1"/>
  <c r="AR672" i="9"/>
  <c r="AS672" i="9" s="1"/>
  <c r="AQ672" i="9"/>
  <c r="AW672" i="9" s="1"/>
  <c r="AM672" i="9" s="1"/>
  <c r="AN672" i="9"/>
  <c r="AK672" i="9"/>
  <c r="AJ672" i="9"/>
  <c r="AI672" i="9"/>
  <c r="AG672" i="9"/>
  <c r="AF672" i="9"/>
  <c r="AE672" i="9"/>
  <c r="AD672" i="9"/>
  <c r="AC672" i="9"/>
  <c r="AB672" i="9"/>
  <c r="AA672" i="9"/>
  <c r="Z672" i="9"/>
  <c r="Y672" i="9"/>
  <c r="X672" i="9"/>
  <c r="W672" i="9"/>
  <c r="V672" i="9"/>
  <c r="U672" i="9"/>
  <c r="T672" i="9"/>
  <c r="S672" i="9"/>
  <c r="R672" i="9"/>
  <c r="Q672" i="9"/>
  <c r="P672" i="9"/>
  <c r="O672" i="9"/>
  <c r="N672" i="9"/>
  <c r="M672" i="9"/>
  <c r="L672" i="9"/>
  <c r="K672" i="9"/>
  <c r="J672" i="9"/>
  <c r="I672" i="9"/>
  <c r="H672" i="9"/>
  <c r="G672" i="9"/>
  <c r="F672" i="9"/>
  <c r="E672" i="9"/>
  <c r="D672" i="9"/>
  <c r="AQ671" i="9"/>
  <c r="AY671" i="9" s="1"/>
  <c r="AO671" i="9" s="1"/>
  <c r="AG671" i="9"/>
  <c r="AF671" i="9"/>
  <c r="AE671" i="9"/>
  <c r="AD671" i="9"/>
  <c r="AC671" i="9"/>
  <c r="AB671" i="9"/>
  <c r="AA671" i="9"/>
  <c r="Z671" i="9"/>
  <c r="Y671" i="9"/>
  <c r="X671" i="9"/>
  <c r="W671" i="9"/>
  <c r="V671" i="9"/>
  <c r="U671" i="9"/>
  <c r="T671" i="9"/>
  <c r="S671" i="9"/>
  <c r="R671" i="9"/>
  <c r="Q671" i="9"/>
  <c r="P671" i="9"/>
  <c r="O671" i="9"/>
  <c r="N671" i="9"/>
  <c r="M671" i="9"/>
  <c r="L671" i="9"/>
  <c r="K671" i="9"/>
  <c r="J671" i="9"/>
  <c r="I671" i="9"/>
  <c r="H671" i="9"/>
  <c r="G671" i="9"/>
  <c r="F671" i="9"/>
  <c r="E671" i="9"/>
  <c r="D671" i="9"/>
  <c r="AY670" i="9"/>
  <c r="AO670" i="9" s="1"/>
  <c r="AW670" i="9"/>
  <c r="AV670" i="9"/>
  <c r="AL670" i="9" s="1"/>
  <c r="AU670" i="9"/>
  <c r="AK670" i="9" s="1"/>
  <c r="AT670" i="9"/>
  <c r="AI670" i="9" s="1"/>
  <c r="AQ670" i="9"/>
  <c r="AM670" i="9"/>
  <c r="AH670" i="9"/>
  <c r="AG670" i="9"/>
  <c r="AF670" i="9"/>
  <c r="AE670" i="9"/>
  <c r="AD670" i="9"/>
  <c r="AC670" i="9"/>
  <c r="AB670" i="9"/>
  <c r="AA670" i="9"/>
  <c r="Z670" i="9"/>
  <c r="Y670" i="9"/>
  <c r="X670" i="9"/>
  <c r="W670" i="9"/>
  <c r="V670" i="9"/>
  <c r="U670" i="9"/>
  <c r="T670" i="9"/>
  <c r="S670" i="9"/>
  <c r="R670" i="9"/>
  <c r="Q670" i="9"/>
  <c r="P670" i="9"/>
  <c r="O670" i="9"/>
  <c r="N670" i="9"/>
  <c r="M670" i="9"/>
  <c r="L670" i="9"/>
  <c r="K670" i="9"/>
  <c r="J670" i="9"/>
  <c r="I670" i="9"/>
  <c r="H670" i="9"/>
  <c r="G670" i="9"/>
  <c r="F670" i="9"/>
  <c r="E670" i="9"/>
  <c r="D670" i="9"/>
  <c r="AY669" i="9"/>
  <c r="AO669" i="9" s="1"/>
  <c r="AV669" i="9"/>
  <c r="AL669" i="9" s="1"/>
  <c r="AU669" i="9"/>
  <c r="AK669" i="9" s="1"/>
  <c r="AQ669" i="9"/>
  <c r="AT669" i="9" s="1"/>
  <c r="AJ669" i="9"/>
  <c r="AG669" i="9"/>
  <c r="AF669" i="9"/>
  <c r="AE669" i="9"/>
  <c r="AD669" i="9"/>
  <c r="AC669" i="9"/>
  <c r="AB669" i="9"/>
  <c r="AA669" i="9"/>
  <c r="Z669" i="9"/>
  <c r="Y669" i="9"/>
  <c r="X669" i="9"/>
  <c r="W669" i="9"/>
  <c r="V669" i="9"/>
  <c r="U669" i="9"/>
  <c r="T669" i="9"/>
  <c r="S669" i="9"/>
  <c r="R669" i="9"/>
  <c r="Q669" i="9"/>
  <c r="P669" i="9"/>
  <c r="O669" i="9"/>
  <c r="N669" i="9"/>
  <c r="M669" i="9"/>
  <c r="L669" i="9"/>
  <c r="K669" i="9"/>
  <c r="J669" i="9"/>
  <c r="I669" i="9"/>
  <c r="H669" i="9"/>
  <c r="G669" i="9"/>
  <c r="F669" i="9"/>
  <c r="E669" i="9"/>
  <c r="D669" i="9"/>
  <c r="AQ668" i="9"/>
  <c r="AG668" i="9"/>
  <c r="AF668" i="9"/>
  <c r="AE668" i="9"/>
  <c r="AD668" i="9"/>
  <c r="AC668" i="9"/>
  <c r="AB668" i="9"/>
  <c r="AA668" i="9"/>
  <c r="Z668" i="9"/>
  <c r="Y668" i="9"/>
  <c r="X668" i="9"/>
  <c r="W668" i="9"/>
  <c r="V668" i="9"/>
  <c r="U668" i="9"/>
  <c r="T668" i="9"/>
  <c r="S668" i="9"/>
  <c r="R668" i="9"/>
  <c r="Q668" i="9"/>
  <c r="P668" i="9"/>
  <c r="O668" i="9"/>
  <c r="N668" i="9"/>
  <c r="M668" i="9"/>
  <c r="L668" i="9"/>
  <c r="K668" i="9"/>
  <c r="J668" i="9"/>
  <c r="I668" i="9"/>
  <c r="H668" i="9"/>
  <c r="G668" i="9"/>
  <c r="F668" i="9"/>
  <c r="E668" i="9"/>
  <c r="D668" i="9"/>
  <c r="AX667" i="9"/>
  <c r="AN667" i="9" s="1"/>
  <c r="AQ667" i="9"/>
  <c r="AG667" i="9"/>
  <c r="AF667" i="9"/>
  <c r="AE667" i="9"/>
  <c r="AD667" i="9"/>
  <c r="AC667" i="9"/>
  <c r="AB667" i="9"/>
  <c r="AA667" i="9"/>
  <c r="Z667" i="9"/>
  <c r="Y667" i="9"/>
  <c r="X667" i="9"/>
  <c r="W667" i="9"/>
  <c r="V667" i="9"/>
  <c r="U667" i="9"/>
  <c r="T667" i="9"/>
  <c r="S667" i="9"/>
  <c r="R667" i="9"/>
  <c r="Q667" i="9"/>
  <c r="P667" i="9"/>
  <c r="O667" i="9"/>
  <c r="N667" i="9"/>
  <c r="M667" i="9"/>
  <c r="L667" i="9"/>
  <c r="K667" i="9"/>
  <c r="J667" i="9"/>
  <c r="I667" i="9"/>
  <c r="H667" i="9"/>
  <c r="G667" i="9"/>
  <c r="F667" i="9"/>
  <c r="E667" i="9"/>
  <c r="D667" i="9"/>
  <c r="AV666" i="9"/>
  <c r="AT666" i="9"/>
  <c r="AH666" i="9" s="1"/>
  <c r="AQ666" i="9"/>
  <c r="AL666" i="9"/>
  <c r="AG666" i="9"/>
  <c r="AF666" i="9"/>
  <c r="AE666" i="9"/>
  <c r="AD666" i="9"/>
  <c r="AC666" i="9"/>
  <c r="AB666" i="9"/>
  <c r="AA666" i="9"/>
  <c r="Z666" i="9"/>
  <c r="Y666" i="9"/>
  <c r="X666" i="9"/>
  <c r="W666" i="9"/>
  <c r="V666" i="9"/>
  <c r="U666" i="9"/>
  <c r="T666" i="9"/>
  <c r="S666" i="9"/>
  <c r="R666" i="9"/>
  <c r="Q666" i="9"/>
  <c r="P666" i="9"/>
  <c r="O666" i="9"/>
  <c r="N666" i="9"/>
  <c r="M666" i="9"/>
  <c r="L666" i="9"/>
  <c r="K666" i="9"/>
  <c r="J666" i="9"/>
  <c r="I666" i="9"/>
  <c r="H666" i="9"/>
  <c r="G666" i="9"/>
  <c r="F666" i="9"/>
  <c r="E666" i="9"/>
  <c r="D666" i="9"/>
  <c r="AQ665" i="9"/>
  <c r="AY665" i="9" s="1"/>
  <c r="AO665" i="9" s="1"/>
  <c r="AG665" i="9"/>
  <c r="AF665" i="9"/>
  <c r="AE665" i="9"/>
  <c r="AD665" i="9"/>
  <c r="AC665" i="9"/>
  <c r="AB665" i="9"/>
  <c r="AA665" i="9"/>
  <c r="Z665" i="9"/>
  <c r="Y665" i="9"/>
  <c r="X665" i="9"/>
  <c r="W665" i="9"/>
  <c r="V665" i="9"/>
  <c r="U665" i="9"/>
  <c r="T665" i="9"/>
  <c r="S665" i="9"/>
  <c r="R665" i="9"/>
  <c r="Q665" i="9"/>
  <c r="P665" i="9"/>
  <c r="O665" i="9"/>
  <c r="N665" i="9"/>
  <c r="M665" i="9"/>
  <c r="L665" i="9"/>
  <c r="K665" i="9"/>
  <c r="J665" i="9"/>
  <c r="I665" i="9"/>
  <c r="H665" i="9"/>
  <c r="G665" i="9"/>
  <c r="F665" i="9"/>
  <c r="E665" i="9"/>
  <c r="D665" i="9"/>
  <c r="AY664" i="9"/>
  <c r="AO664" i="9" s="1"/>
  <c r="AX664" i="9"/>
  <c r="AN664" i="9" s="1"/>
  <c r="AW664" i="9"/>
  <c r="AM664" i="9" s="1"/>
  <c r="AV664" i="9"/>
  <c r="AS664" i="9"/>
  <c r="AR664" i="9"/>
  <c r="AQ664" i="9"/>
  <c r="AU664" i="9" s="1"/>
  <c r="AK664" i="9" s="1"/>
  <c r="AL664" i="9"/>
  <c r="AG664" i="9"/>
  <c r="AF664" i="9"/>
  <c r="AE664" i="9"/>
  <c r="AD664" i="9"/>
  <c r="AC664" i="9"/>
  <c r="AB664" i="9"/>
  <c r="AA664" i="9"/>
  <c r="Z664" i="9"/>
  <c r="Y664" i="9"/>
  <c r="X664" i="9"/>
  <c r="W664" i="9"/>
  <c r="V664" i="9"/>
  <c r="U664" i="9"/>
  <c r="T664" i="9"/>
  <c r="S664" i="9"/>
  <c r="R664" i="9"/>
  <c r="Q664" i="9"/>
  <c r="P664" i="9"/>
  <c r="O664" i="9"/>
  <c r="N664" i="9"/>
  <c r="M664" i="9"/>
  <c r="L664" i="9"/>
  <c r="K664" i="9"/>
  <c r="J664" i="9"/>
  <c r="I664" i="9"/>
  <c r="H664" i="9"/>
  <c r="G664" i="9"/>
  <c r="F664" i="9"/>
  <c r="E664" i="9"/>
  <c r="D664" i="9"/>
  <c r="AY663" i="9"/>
  <c r="AX663" i="9"/>
  <c r="AN663" i="9" s="1"/>
  <c r="AW663" i="9"/>
  <c r="AV663" i="9"/>
  <c r="AU663" i="9"/>
  <c r="AK663" i="9" s="1"/>
  <c r="AT663" i="9"/>
  <c r="AJ663" i="9" s="1"/>
  <c r="AR663" i="9"/>
  <c r="AS663" i="9" s="1"/>
  <c r="AQ663" i="9"/>
  <c r="AO663" i="9"/>
  <c r="AM663" i="9"/>
  <c r="AL663" i="9"/>
  <c r="AI663" i="9"/>
  <c r="AH663" i="9"/>
  <c r="AG663" i="9"/>
  <c r="AF663" i="9"/>
  <c r="AE663" i="9"/>
  <c r="AD663" i="9"/>
  <c r="AC663" i="9"/>
  <c r="AB663" i="9"/>
  <c r="AA663" i="9"/>
  <c r="Z663" i="9"/>
  <c r="Y663" i="9"/>
  <c r="X663" i="9"/>
  <c r="W663" i="9"/>
  <c r="V663" i="9"/>
  <c r="U663" i="9"/>
  <c r="T663" i="9"/>
  <c r="S663" i="9"/>
  <c r="R663" i="9"/>
  <c r="Q663" i="9"/>
  <c r="P663" i="9"/>
  <c r="O663" i="9"/>
  <c r="N663" i="9"/>
  <c r="M663" i="9"/>
  <c r="L663" i="9"/>
  <c r="K663" i="9"/>
  <c r="J663" i="9"/>
  <c r="I663" i="9"/>
  <c r="H663" i="9"/>
  <c r="G663" i="9"/>
  <c r="F663" i="9"/>
  <c r="E663" i="9"/>
  <c r="D663" i="9"/>
  <c r="AY662" i="9"/>
  <c r="AO662" i="9" s="1"/>
  <c r="AX662" i="9"/>
  <c r="AW662" i="9"/>
  <c r="AM662" i="9" s="1"/>
  <c r="AU662" i="9"/>
  <c r="AT662" i="9"/>
  <c r="AR662" i="9"/>
  <c r="AS662" i="9" s="1"/>
  <c r="AQ662" i="9"/>
  <c r="AV662" i="9" s="1"/>
  <c r="AL662" i="9" s="1"/>
  <c r="AN662" i="9"/>
  <c r="AK662" i="9"/>
  <c r="AH662" i="9"/>
  <c r="AG662" i="9"/>
  <c r="AF662" i="9"/>
  <c r="AE662" i="9"/>
  <c r="AD662" i="9"/>
  <c r="AC662" i="9"/>
  <c r="AB662" i="9"/>
  <c r="AA662" i="9"/>
  <c r="Z662" i="9"/>
  <c r="Y662" i="9"/>
  <c r="X662" i="9"/>
  <c r="W662" i="9"/>
  <c r="V662" i="9"/>
  <c r="U662" i="9"/>
  <c r="T662" i="9"/>
  <c r="S662" i="9"/>
  <c r="R662" i="9"/>
  <c r="Q662" i="9"/>
  <c r="P662" i="9"/>
  <c r="O662" i="9"/>
  <c r="N662" i="9"/>
  <c r="M662" i="9"/>
  <c r="L662" i="9"/>
  <c r="K662" i="9"/>
  <c r="J662" i="9"/>
  <c r="I662" i="9"/>
  <c r="H662" i="9"/>
  <c r="G662" i="9"/>
  <c r="F662" i="9"/>
  <c r="E662" i="9"/>
  <c r="D662" i="9"/>
  <c r="AQ661" i="9"/>
  <c r="AY661" i="9" s="1"/>
  <c r="AO661" i="9" s="1"/>
  <c r="AG661" i="9"/>
  <c r="AF661" i="9"/>
  <c r="AE661" i="9"/>
  <c r="AD661" i="9"/>
  <c r="AC661" i="9"/>
  <c r="AB661" i="9"/>
  <c r="AA661" i="9"/>
  <c r="Z661" i="9"/>
  <c r="Y661" i="9"/>
  <c r="X661" i="9"/>
  <c r="W661" i="9"/>
  <c r="V661" i="9"/>
  <c r="U661" i="9"/>
  <c r="T661" i="9"/>
  <c r="S661" i="9"/>
  <c r="R661" i="9"/>
  <c r="Q661" i="9"/>
  <c r="P661" i="9"/>
  <c r="O661" i="9"/>
  <c r="N661" i="9"/>
  <c r="M661" i="9"/>
  <c r="L661" i="9"/>
  <c r="K661" i="9"/>
  <c r="J661" i="9"/>
  <c r="I661" i="9"/>
  <c r="H661" i="9"/>
  <c r="G661" i="9"/>
  <c r="F661" i="9"/>
  <c r="E661" i="9"/>
  <c r="D661" i="9"/>
  <c r="AY660" i="9"/>
  <c r="AO660" i="9" s="1"/>
  <c r="AX660" i="9"/>
  <c r="AV660" i="9"/>
  <c r="AL660" i="9" s="1"/>
  <c r="AT660" i="9"/>
  <c r="AH660" i="9" s="1"/>
  <c r="AQ660" i="9"/>
  <c r="AN660" i="9"/>
  <c r="AJ660" i="9"/>
  <c r="AG660" i="9"/>
  <c r="AF660" i="9"/>
  <c r="AE660" i="9"/>
  <c r="AD660" i="9"/>
  <c r="AC660" i="9"/>
  <c r="AB660" i="9"/>
  <c r="AA660" i="9"/>
  <c r="Z660" i="9"/>
  <c r="Y660" i="9"/>
  <c r="X660" i="9"/>
  <c r="W660" i="9"/>
  <c r="V660" i="9"/>
  <c r="U660" i="9"/>
  <c r="T660" i="9"/>
  <c r="S660" i="9"/>
  <c r="R660" i="9"/>
  <c r="Q660" i="9"/>
  <c r="P660" i="9"/>
  <c r="O660" i="9"/>
  <c r="N660" i="9"/>
  <c r="M660" i="9"/>
  <c r="L660" i="9"/>
  <c r="K660" i="9"/>
  <c r="J660" i="9"/>
  <c r="I660" i="9"/>
  <c r="H660" i="9"/>
  <c r="G660" i="9"/>
  <c r="F660" i="9"/>
  <c r="E660" i="9"/>
  <c r="D660" i="9"/>
  <c r="AY659" i="9"/>
  <c r="AO659" i="9" s="1"/>
  <c r="AX659" i="9"/>
  <c r="AV659" i="9"/>
  <c r="AU659" i="9"/>
  <c r="AT659" i="9"/>
  <c r="AH659" i="9" s="1"/>
  <c r="AQ659" i="9"/>
  <c r="AW659" i="9" s="1"/>
  <c r="AM659" i="9" s="1"/>
  <c r="AN659" i="9"/>
  <c r="AL659" i="9"/>
  <c r="AK659" i="9"/>
  <c r="AI659" i="9"/>
  <c r="AG659" i="9"/>
  <c r="AF659" i="9"/>
  <c r="AE659" i="9"/>
  <c r="AD659" i="9"/>
  <c r="AC659" i="9"/>
  <c r="AB659" i="9"/>
  <c r="AA659" i="9"/>
  <c r="Z659" i="9"/>
  <c r="Y659" i="9"/>
  <c r="X659" i="9"/>
  <c r="W659" i="9"/>
  <c r="V659" i="9"/>
  <c r="U659" i="9"/>
  <c r="T659" i="9"/>
  <c r="S659" i="9"/>
  <c r="R659" i="9"/>
  <c r="Q659" i="9"/>
  <c r="P659" i="9"/>
  <c r="O659" i="9"/>
  <c r="N659" i="9"/>
  <c r="M659" i="9"/>
  <c r="L659" i="9"/>
  <c r="K659" i="9"/>
  <c r="J659" i="9"/>
  <c r="I659" i="9"/>
  <c r="H659" i="9"/>
  <c r="G659" i="9"/>
  <c r="F659" i="9"/>
  <c r="E659" i="9"/>
  <c r="D659" i="9"/>
  <c r="AY658" i="9"/>
  <c r="AO658" i="9" s="1"/>
  <c r="AX658" i="9"/>
  <c r="AU658" i="9"/>
  <c r="AT658" i="9"/>
  <c r="AH658" i="9" s="1"/>
  <c r="AR658" i="9"/>
  <c r="AS658" i="9" s="1"/>
  <c r="AQ658" i="9"/>
  <c r="AN658" i="9"/>
  <c r="AK658" i="9"/>
  <c r="AI658" i="9"/>
  <c r="AG658" i="9"/>
  <c r="AF658" i="9"/>
  <c r="AE658" i="9"/>
  <c r="AD658" i="9"/>
  <c r="AC658" i="9"/>
  <c r="AB658" i="9"/>
  <c r="AA658" i="9"/>
  <c r="Z658" i="9"/>
  <c r="Y658" i="9"/>
  <c r="X658" i="9"/>
  <c r="W658" i="9"/>
  <c r="V658" i="9"/>
  <c r="U658" i="9"/>
  <c r="T658" i="9"/>
  <c r="S658" i="9"/>
  <c r="R658" i="9"/>
  <c r="Q658" i="9"/>
  <c r="P658" i="9"/>
  <c r="O658" i="9"/>
  <c r="N658" i="9"/>
  <c r="M658" i="9"/>
  <c r="L658" i="9"/>
  <c r="K658" i="9"/>
  <c r="J658" i="9"/>
  <c r="I658" i="9"/>
  <c r="H658" i="9"/>
  <c r="G658" i="9"/>
  <c r="F658" i="9"/>
  <c r="E658" i="9"/>
  <c r="D658" i="9"/>
  <c r="AY657" i="9"/>
  <c r="AQ657" i="9"/>
  <c r="AX657" i="9" s="1"/>
  <c r="AN657" i="9" s="1"/>
  <c r="AO657" i="9"/>
  <c r="AG657" i="9"/>
  <c r="AF657" i="9"/>
  <c r="AE657" i="9"/>
  <c r="AD657" i="9"/>
  <c r="AC657" i="9"/>
  <c r="AB657" i="9"/>
  <c r="AA657" i="9"/>
  <c r="Z657" i="9"/>
  <c r="Y657" i="9"/>
  <c r="X657" i="9"/>
  <c r="W657" i="9"/>
  <c r="V657" i="9"/>
  <c r="U657" i="9"/>
  <c r="T657" i="9"/>
  <c r="S657" i="9"/>
  <c r="R657" i="9"/>
  <c r="Q657" i="9"/>
  <c r="P657" i="9"/>
  <c r="O657" i="9"/>
  <c r="N657" i="9"/>
  <c r="M657" i="9"/>
  <c r="L657" i="9"/>
  <c r="K657" i="9"/>
  <c r="J657" i="9"/>
  <c r="I657" i="9"/>
  <c r="H657" i="9"/>
  <c r="G657" i="9"/>
  <c r="F657" i="9"/>
  <c r="E657" i="9"/>
  <c r="D657" i="9"/>
  <c r="AY656" i="9"/>
  <c r="AO656" i="9" s="1"/>
  <c r="AW656" i="9"/>
  <c r="AV656" i="9"/>
  <c r="AL656" i="9" s="1"/>
  <c r="AU656" i="9"/>
  <c r="AT656" i="9"/>
  <c r="AI656" i="9" s="1"/>
  <c r="AQ656" i="9"/>
  <c r="AM656" i="9"/>
  <c r="AK656" i="9"/>
  <c r="AJ656" i="9"/>
  <c r="AH656" i="9"/>
  <c r="AG656" i="9"/>
  <c r="AF656" i="9"/>
  <c r="AE656" i="9"/>
  <c r="AD656" i="9"/>
  <c r="AC656" i="9"/>
  <c r="AB656" i="9"/>
  <c r="AA656" i="9"/>
  <c r="Z656" i="9"/>
  <c r="Y656" i="9"/>
  <c r="X656" i="9"/>
  <c r="W656" i="9"/>
  <c r="V656" i="9"/>
  <c r="U656" i="9"/>
  <c r="T656" i="9"/>
  <c r="S656" i="9"/>
  <c r="R656" i="9"/>
  <c r="Q656" i="9"/>
  <c r="P656" i="9"/>
  <c r="O656" i="9"/>
  <c r="N656" i="9"/>
  <c r="M656" i="9"/>
  <c r="L656" i="9"/>
  <c r="K656" i="9"/>
  <c r="J656" i="9"/>
  <c r="I656" i="9"/>
  <c r="H656" i="9"/>
  <c r="G656" i="9"/>
  <c r="F656" i="9"/>
  <c r="E656" i="9"/>
  <c r="D656" i="9"/>
  <c r="AY655" i="9"/>
  <c r="AO655" i="9" s="1"/>
  <c r="AV655" i="9"/>
  <c r="AU655" i="9"/>
  <c r="AS655" i="9"/>
  <c r="AR655" i="9"/>
  <c r="AQ655" i="9"/>
  <c r="AL655" i="9"/>
  <c r="AK655" i="9"/>
  <c r="AG655" i="9"/>
  <c r="AF655" i="9"/>
  <c r="AE655" i="9"/>
  <c r="AD655" i="9"/>
  <c r="AC655" i="9"/>
  <c r="AB655" i="9"/>
  <c r="AA655" i="9"/>
  <c r="Z655" i="9"/>
  <c r="Y655" i="9"/>
  <c r="X655" i="9"/>
  <c r="W655" i="9"/>
  <c r="V655" i="9"/>
  <c r="U655" i="9"/>
  <c r="T655" i="9"/>
  <c r="S655" i="9"/>
  <c r="R655" i="9"/>
  <c r="Q655" i="9"/>
  <c r="P655" i="9"/>
  <c r="O655" i="9"/>
  <c r="N655" i="9"/>
  <c r="M655" i="9"/>
  <c r="L655" i="9"/>
  <c r="K655" i="9"/>
  <c r="J655" i="9"/>
  <c r="I655" i="9"/>
  <c r="H655" i="9"/>
  <c r="G655" i="9"/>
  <c r="F655" i="9"/>
  <c r="E655" i="9"/>
  <c r="D655" i="9"/>
  <c r="AX654" i="9"/>
  <c r="AN654" i="9" s="1"/>
  <c r="AW654" i="9"/>
  <c r="AM654" i="9" s="1"/>
  <c r="AV654" i="9"/>
  <c r="AU654" i="9"/>
  <c r="AS654" i="9"/>
  <c r="AR654" i="9"/>
  <c r="AQ654" i="9"/>
  <c r="AL654" i="9"/>
  <c r="AK654" i="9"/>
  <c r="AG654" i="9"/>
  <c r="AF654" i="9"/>
  <c r="AE654" i="9"/>
  <c r="AD654" i="9"/>
  <c r="AC654" i="9"/>
  <c r="AB654" i="9"/>
  <c r="AA654" i="9"/>
  <c r="Z654" i="9"/>
  <c r="Y654" i="9"/>
  <c r="X654" i="9"/>
  <c r="W654" i="9"/>
  <c r="V654" i="9"/>
  <c r="U654" i="9"/>
  <c r="T654" i="9"/>
  <c r="S654" i="9"/>
  <c r="R654" i="9"/>
  <c r="Q654" i="9"/>
  <c r="P654" i="9"/>
  <c r="O654" i="9"/>
  <c r="N654" i="9"/>
  <c r="M654" i="9"/>
  <c r="L654" i="9"/>
  <c r="K654" i="9"/>
  <c r="J654" i="9"/>
  <c r="I654" i="9"/>
  <c r="H654" i="9"/>
  <c r="G654" i="9"/>
  <c r="F654" i="9"/>
  <c r="E654" i="9"/>
  <c r="D654" i="9"/>
  <c r="AX653" i="9"/>
  <c r="AN653" i="9" s="1"/>
  <c r="AW653" i="9"/>
  <c r="AM653" i="9" s="1"/>
  <c r="AV653" i="9"/>
  <c r="AU653" i="9"/>
  <c r="AK653" i="9" s="1"/>
  <c r="AR653" i="9"/>
  <c r="AS653" i="9" s="1"/>
  <c r="AQ653" i="9"/>
  <c r="AL653" i="9"/>
  <c r="AG653" i="9"/>
  <c r="AF653" i="9"/>
  <c r="AE653" i="9"/>
  <c r="AD653" i="9"/>
  <c r="AC653" i="9"/>
  <c r="AB653" i="9"/>
  <c r="AA653" i="9"/>
  <c r="Z653" i="9"/>
  <c r="Y653" i="9"/>
  <c r="X653" i="9"/>
  <c r="W653" i="9"/>
  <c r="V653" i="9"/>
  <c r="U653" i="9"/>
  <c r="T653" i="9"/>
  <c r="S653" i="9"/>
  <c r="R653" i="9"/>
  <c r="Q653" i="9"/>
  <c r="P653" i="9"/>
  <c r="O653" i="9"/>
  <c r="N653" i="9"/>
  <c r="M653" i="9"/>
  <c r="L653" i="9"/>
  <c r="K653" i="9"/>
  <c r="J653" i="9"/>
  <c r="I653" i="9"/>
  <c r="H653" i="9"/>
  <c r="G653" i="9"/>
  <c r="F653" i="9"/>
  <c r="E653" i="9"/>
  <c r="D653" i="9"/>
  <c r="AX652" i="9"/>
  <c r="AN652" i="9" s="1"/>
  <c r="AW652" i="9"/>
  <c r="AV652" i="9"/>
  <c r="AT652" i="9"/>
  <c r="AJ652" i="9" s="1"/>
  <c r="AS652" i="9"/>
  <c r="AR652" i="9"/>
  <c r="AQ652" i="9"/>
  <c r="AM652" i="9"/>
  <c r="AL652" i="9"/>
  <c r="AH652" i="9"/>
  <c r="AG652" i="9"/>
  <c r="AF652" i="9"/>
  <c r="AE652" i="9"/>
  <c r="AD652" i="9"/>
  <c r="AC652" i="9"/>
  <c r="AB652" i="9"/>
  <c r="AA652" i="9"/>
  <c r="Z652" i="9"/>
  <c r="Y652" i="9"/>
  <c r="X652" i="9"/>
  <c r="W652" i="9"/>
  <c r="V652" i="9"/>
  <c r="U652" i="9"/>
  <c r="T652" i="9"/>
  <c r="S652" i="9"/>
  <c r="R652" i="9"/>
  <c r="Q652" i="9"/>
  <c r="P652" i="9"/>
  <c r="O652" i="9"/>
  <c r="N652" i="9"/>
  <c r="M652" i="9"/>
  <c r="L652" i="9"/>
  <c r="K652" i="9"/>
  <c r="J652" i="9"/>
  <c r="I652" i="9"/>
  <c r="H652" i="9"/>
  <c r="G652" i="9"/>
  <c r="F652" i="9"/>
  <c r="E652" i="9"/>
  <c r="D652" i="9"/>
  <c r="AQ651" i="9"/>
  <c r="AU651" i="9" s="1"/>
  <c r="AK651" i="9" s="1"/>
  <c r="AG651" i="9"/>
  <c r="AF651" i="9"/>
  <c r="AE651" i="9"/>
  <c r="AD651" i="9"/>
  <c r="AC651" i="9"/>
  <c r="AB651" i="9"/>
  <c r="AA651" i="9"/>
  <c r="Z651" i="9"/>
  <c r="Y651" i="9"/>
  <c r="X651" i="9"/>
  <c r="W651" i="9"/>
  <c r="V651" i="9"/>
  <c r="U651" i="9"/>
  <c r="T651" i="9"/>
  <c r="S651" i="9"/>
  <c r="R651" i="9"/>
  <c r="Q651" i="9"/>
  <c r="P651" i="9"/>
  <c r="O651" i="9"/>
  <c r="N651" i="9"/>
  <c r="M651" i="9"/>
  <c r="L651" i="9"/>
  <c r="K651" i="9"/>
  <c r="J651" i="9"/>
  <c r="I651" i="9"/>
  <c r="H651" i="9"/>
  <c r="G651" i="9"/>
  <c r="F651" i="9"/>
  <c r="E651" i="9"/>
  <c r="D651" i="9"/>
  <c r="AY650" i="9"/>
  <c r="AO650" i="9" s="1"/>
  <c r="AX650" i="9"/>
  <c r="AW650" i="9"/>
  <c r="AV650" i="9"/>
  <c r="AT650" i="9"/>
  <c r="AI650" i="9" s="1"/>
  <c r="AS650" i="9"/>
  <c r="AR650" i="9"/>
  <c r="AQ650" i="9"/>
  <c r="AU650" i="9" s="1"/>
  <c r="AK650" i="9" s="1"/>
  <c r="AN650" i="9"/>
  <c r="AM650" i="9"/>
  <c r="AL650" i="9"/>
  <c r="AJ650" i="9"/>
  <c r="AG650" i="9"/>
  <c r="AF650" i="9"/>
  <c r="AE650" i="9"/>
  <c r="AD650" i="9"/>
  <c r="AC650" i="9"/>
  <c r="AB650" i="9"/>
  <c r="AA650" i="9"/>
  <c r="Z650" i="9"/>
  <c r="Y650" i="9"/>
  <c r="X650" i="9"/>
  <c r="W650" i="9"/>
  <c r="V650" i="9"/>
  <c r="U650" i="9"/>
  <c r="T650" i="9"/>
  <c r="S650" i="9"/>
  <c r="R650" i="9"/>
  <c r="Q650" i="9"/>
  <c r="P650" i="9"/>
  <c r="O650" i="9"/>
  <c r="N650" i="9"/>
  <c r="M650" i="9"/>
  <c r="L650" i="9"/>
  <c r="K650" i="9"/>
  <c r="J650" i="9"/>
  <c r="I650" i="9"/>
  <c r="H650" i="9"/>
  <c r="G650" i="9"/>
  <c r="F650" i="9"/>
  <c r="E650" i="9"/>
  <c r="D650" i="9"/>
  <c r="AY649" i="9"/>
  <c r="AX649" i="9"/>
  <c r="AN649" i="9" s="1"/>
  <c r="AW649" i="9"/>
  <c r="AM649" i="9" s="1"/>
  <c r="AV649" i="9"/>
  <c r="AU649" i="9"/>
  <c r="AK649" i="9" s="1"/>
  <c r="AT649" i="9"/>
  <c r="AJ649" i="9" s="1"/>
  <c r="AR649" i="9"/>
  <c r="AS649" i="9" s="1"/>
  <c r="AQ649" i="9"/>
  <c r="AO649" i="9"/>
  <c r="AL649" i="9"/>
  <c r="AH649" i="9"/>
  <c r="AG649" i="9"/>
  <c r="AF649" i="9"/>
  <c r="AE649" i="9"/>
  <c r="AD649" i="9"/>
  <c r="AC649" i="9"/>
  <c r="AB649" i="9"/>
  <c r="AA649" i="9"/>
  <c r="Z649" i="9"/>
  <c r="Y649" i="9"/>
  <c r="X649" i="9"/>
  <c r="W649" i="9"/>
  <c r="V649" i="9"/>
  <c r="U649" i="9"/>
  <c r="T649" i="9"/>
  <c r="S649" i="9"/>
  <c r="R649" i="9"/>
  <c r="Q649" i="9"/>
  <c r="P649" i="9"/>
  <c r="O649" i="9"/>
  <c r="N649" i="9"/>
  <c r="M649" i="9"/>
  <c r="L649" i="9"/>
  <c r="K649" i="9"/>
  <c r="J649" i="9"/>
  <c r="I649" i="9"/>
  <c r="H649" i="9"/>
  <c r="G649" i="9"/>
  <c r="F649" i="9"/>
  <c r="E649" i="9"/>
  <c r="D649" i="9"/>
  <c r="AY648" i="9"/>
  <c r="AO648" i="9" s="1"/>
  <c r="AX648" i="9"/>
  <c r="AN648" i="9" s="1"/>
  <c r="AW648" i="9"/>
  <c r="AM648" i="9" s="1"/>
  <c r="AU648" i="9"/>
  <c r="AT648" i="9"/>
  <c r="AJ648" i="9" s="1"/>
  <c r="AS648" i="9"/>
  <c r="AR648" i="9"/>
  <c r="AQ648" i="9"/>
  <c r="AV648" i="9" s="1"/>
  <c r="AL648" i="9"/>
  <c r="AK648" i="9"/>
  <c r="AG648" i="9"/>
  <c r="AF648" i="9"/>
  <c r="AE648" i="9"/>
  <c r="AD648" i="9"/>
  <c r="AC648" i="9"/>
  <c r="AB648" i="9"/>
  <c r="AA648" i="9"/>
  <c r="Z648" i="9"/>
  <c r="Y648" i="9"/>
  <c r="X648" i="9"/>
  <c r="W648" i="9"/>
  <c r="V648" i="9"/>
  <c r="U648" i="9"/>
  <c r="T648" i="9"/>
  <c r="S648" i="9"/>
  <c r="R648" i="9"/>
  <c r="Q648" i="9"/>
  <c r="P648" i="9"/>
  <c r="O648" i="9"/>
  <c r="N648" i="9"/>
  <c r="M648" i="9"/>
  <c r="L648" i="9"/>
  <c r="K648" i="9"/>
  <c r="J648" i="9"/>
  <c r="I648" i="9"/>
  <c r="H648" i="9"/>
  <c r="G648" i="9"/>
  <c r="F648" i="9"/>
  <c r="E648" i="9"/>
  <c r="D648" i="9"/>
  <c r="AY647" i="9"/>
  <c r="AX647" i="9"/>
  <c r="AN647" i="9" s="1"/>
  <c r="AQ647" i="9"/>
  <c r="AV647" i="9" s="1"/>
  <c r="AL647" i="9" s="1"/>
  <c r="AO647" i="9"/>
  <c r="AG647" i="9"/>
  <c r="AF647" i="9"/>
  <c r="AE647" i="9"/>
  <c r="AD647" i="9"/>
  <c r="AC647" i="9"/>
  <c r="AB647" i="9"/>
  <c r="AA647" i="9"/>
  <c r="Z647" i="9"/>
  <c r="Y647" i="9"/>
  <c r="X647" i="9"/>
  <c r="W647" i="9"/>
  <c r="V647" i="9"/>
  <c r="U647" i="9"/>
  <c r="T647" i="9"/>
  <c r="S647" i="9"/>
  <c r="R647" i="9"/>
  <c r="Q647" i="9"/>
  <c r="P647" i="9"/>
  <c r="O647" i="9"/>
  <c r="N647" i="9"/>
  <c r="M647" i="9"/>
  <c r="L647" i="9"/>
  <c r="K647" i="9"/>
  <c r="J647" i="9"/>
  <c r="I647" i="9"/>
  <c r="H647" i="9"/>
  <c r="G647" i="9"/>
  <c r="F647" i="9"/>
  <c r="E647" i="9"/>
  <c r="D647" i="9"/>
  <c r="AT646" i="9"/>
  <c r="AJ646" i="9" s="1"/>
  <c r="AQ646" i="9"/>
  <c r="AR646" i="9" s="1"/>
  <c r="AS646" i="9" s="1"/>
  <c r="AG646" i="9"/>
  <c r="AF646" i="9"/>
  <c r="AE646" i="9"/>
  <c r="AD646" i="9"/>
  <c r="AC646" i="9"/>
  <c r="AB646" i="9"/>
  <c r="AA646" i="9"/>
  <c r="Z646" i="9"/>
  <c r="Y646" i="9"/>
  <c r="X646" i="9"/>
  <c r="W646" i="9"/>
  <c r="V646" i="9"/>
  <c r="U646" i="9"/>
  <c r="T646" i="9"/>
  <c r="S646" i="9"/>
  <c r="R646" i="9"/>
  <c r="Q646" i="9"/>
  <c r="P646" i="9"/>
  <c r="O646" i="9"/>
  <c r="N646" i="9"/>
  <c r="M646" i="9"/>
  <c r="L646" i="9"/>
  <c r="K646" i="9"/>
  <c r="J646" i="9"/>
  <c r="I646" i="9"/>
  <c r="H646" i="9"/>
  <c r="G646" i="9"/>
  <c r="F646" i="9"/>
  <c r="E646" i="9"/>
  <c r="D646" i="9"/>
  <c r="AV645" i="9"/>
  <c r="AL645" i="9" s="1"/>
  <c r="AT645" i="9"/>
  <c r="AH645" i="9" s="1"/>
  <c r="AQ645" i="9"/>
  <c r="AG645" i="9"/>
  <c r="AF645" i="9"/>
  <c r="AE645" i="9"/>
  <c r="AD645" i="9"/>
  <c r="AC645" i="9"/>
  <c r="AB645" i="9"/>
  <c r="AA645" i="9"/>
  <c r="Z645" i="9"/>
  <c r="Y645" i="9"/>
  <c r="X645" i="9"/>
  <c r="W645" i="9"/>
  <c r="V645" i="9"/>
  <c r="U645" i="9"/>
  <c r="T645" i="9"/>
  <c r="S645" i="9"/>
  <c r="R645" i="9"/>
  <c r="Q645" i="9"/>
  <c r="P645" i="9"/>
  <c r="O645" i="9"/>
  <c r="N645" i="9"/>
  <c r="M645" i="9"/>
  <c r="L645" i="9"/>
  <c r="K645" i="9"/>
  <c r="J645" i="9"/>
  <c r="I645" i="9"/>
  <c r="H645" i="9"/>
  <c r="G645" i="9"/>
  <c r="F645" i="9"/>
  <c r="E645" i="9"/>
  <c r="D645" i="9"/>
  <c r="AY644" i="9"/>
  <c r="AO644" i="9" s="1"/>
  <c r="AQ644" i="9"/>
  <c r="AW644" i="9" s="1"/>
  <c r="AM644" i="9" s="1"/>
  <c r="AG644" i="9"/>
  <c r="AF644" i="9"/>
  <c r="AE644" i="9"/>
  <c r="AD644" i="9"/>
  <c r="AC644" i="9"/>
  <c r="AB644" i="9"/>
  <c r="AA644" i="9"/>
  <c r="Z644" i="9"/>
  <c r="Y644" i="9"/>
  <c r="X644" i="9"/>
  <c r="W644" i="9"/>
  <c r="V644" i="9"/>
  <c r="U644" i="9"/>
  <c r="T644" i="9"/>
  <c r="S644" i="9"/>
  <c r="R644" i="9"/>
  <c r="Q644" i="9"/>
  <c r="P644" i="9"/>
  <c r="O644" i="9"/>
  <c r="N644" i="9"/>
  <c r="M644" i="9"/>
  <c r="L644" i="9"/>
  <c r="K644" i="9"/>
  <c r="J644" i="9"/>
  <c r="I644" i="9"/>
  <c r="H644" i="9"/>
  <c r="G644" i="9"/>
  <c r="F644" i="9"/>
  <c r="E644" i="9"/>
  <c r="D644" i="9"/>
  <c r="AY643" i="9"/>
  <c r="AO643" i="9" s="1"/>
  <c r="AW643" i="9"/>
  <c r="AM643" i="9" s="1"/>
  <c r="AV643" i="9"/>
  <c r="AL643" i="9" s="1"/>
  <c r="AU643" i="9"/>
  <c r="AK643" i="9" s="1"/>
  <c r="AT643" i="9"/>
  <c r="AI643" i="9" s="1"/>
  <c r="AQ643" i="9"/>
  <c r="AX643" i="9" s="1"/>
  <c r="AN643" i="9" s="1"/>
  <c r="AJ643" i="9"/>
  <c r="AG643" i="9"/>
  <c r="AF643" i="9"/>
  <c r="AE643" i="9"/>
  <c r="AD643" i="9"/>
  <c r="AC643" i="9"/>
  <c r="AB643" i="9"/>
  <c r="AA643" i="9"/>
  <c r="Z643" i="9"/>
  <c r="Y643" i="9"/>
  <c r="X643" i="9"/>
  <c r="W643" i="9"/>
  <c r="V643" i="9"/>
  <c r="U643" i="9"/>
  <c r="T643" i="9"/>
  <c r="S643" i="9"/>
  <c r="R643" i="9"/>
  <c r="Q643" i="9"/>
  <c r="P643" i="9"/>
  <c r="O643" i="9"/>
  <c r="N643" i="9"/>
  <c r="M643" i="9"/>
  <c r="L643" i="9"/>
  <c r="K643" i="9"/>
  <c r="J643" i="9"/>
  <c r="I643" i="9"/>
  <c r="H643" i="9"/>
  <c r="G643" i="9"/>
  <c r="F643" i="9"/>
  <c r="E643" i="9"/>
  <c r="D643" i="9"/>
  <c r="AY642" i="9"/>
  <c r="AO642" i="9" s="1"/>
  <c r="AW642" i="9"/>
  <c r="AM642" i="9" s="1"/>
  <c r="AV642" i="9"/>
  <c r="AL642" i="9" s="1"/>
  <c r="AU642" i="9"/>
  <c r="AT642" i="9"/>
  <c r="AI642" i="9" s="1"/>
  <c r="AS642" i="9"/>
  <c r="AR642" i="9"/>
  <c r="AQ642" i="9"/>
  <c r="AX642" i="9" s="1"/>
  <c r="AN642" i="9"/>
  <c r="AK642" i="9"/>
  <c r="AJ642" i="9"/>
  <c r="AH642" i="9"/>
  <c r="AG642" i="9"/>
  <c r="AF642" i="9"/>
  <c r="AE642" i="9"/>
  <c r="AD642" i="9"/>
  <c r="AC642" i="9"/>
  <c r="AB642" i="9"/>
  <c r="AA642" i="9"/>
  <c r="Z642" i="9"/>
  <c r="Y642" i="9"/>
  <c r="X642" i="9"/>
  <c r="W642" i="9"/>
  <c r="V642" i="9"/>
  <c r="U642" i="9"/>
  <c r="T642" i="9"/>
  <c r="S642" i="9"/>
  <c r="R642" i="9"/>
  <c r="Q642" i="9"/>
  <c r="P642" i="9"/>
  <c r="O642" i="9"/>
  <c r="N642" i="9"/>
  <c r="M642" i="9"/>
  <c r="L642" i="9"/>
  <c r="K642" i="9"/>
  <c r="J642" i="9"/>
  <c r="I642" i="9"/>
  <c r="H642" i="9"/>
  <c r="G642" i="9"/>
  <c r="F642" i="9"/>
  <c r="E642" i="9"/>
  <c r="D642" i="9"/>
  <c r="AQ641" i="9"/>
  <c r="AW641" i="9" s="1"/>
  <c r="AM641" i="9" s="1"/>
  <c r="AG641" i="9"/>
  <c r="AF641" i="9"/>
  <c r="AE641" i="9"/>
  <c r="AD641" i="9"/>
  <c r="AC641" i="9"/>
  <c r="AB641" i="9"/>
  <c r="AA641" i="9"/>
  <c r="Z641" i="9"/>
  <c r="Y641" i="9"/>
  <c r="X641" i="9"/>
  <c r="W641" i="9"/>
  <c r="V641" i="9"/>
  <c r="U641" i="9"/>
  <c r="T641" i="9"/>
  <c r="S641" i="9"/>
  <c r="R641" i="9"/>
  <c r="Q641" i="9"/>
  <c r="P641" i="9"/>
  <c r="O641" i="9"/>
  <c r="N641" i="9"/>
  <c r="M641" i="9"/>
  <c r="L641" i="9"/>
  <c r="K641" i="9"/>
  <c r="J641" i="9"/>
  <c r="I641" i="9"/>
  <c r="H641" i="9"/>
  <c r="G641" i="9"/>
  <c r="F641" i="9"/>
  <c r="E641" i="9"/>
  <c r="D641" i="9"/>
  <c r="AW640" i="9"/>
  <c r="AM640" i="9" s="1"/>
  <c r="AQ640" i="9"/>
  <c r="AT640" i="9" s="1"/>
  <c r="AJ640" i="9" s="1"/>
  <c r="AG640" i="9"/>
  <c r="AF640" i="9"/>
  <c r="AE640" i="9"/>
  <c r="AD640" i="9"/>
  <c r="AC640" i="9"/>
  <c r="AB640" i="9"/>
  <c r="AA640" i="9"/>
  <c r="Z640" i="9"/>
  <c r="Y640" i="9"/>
  <c r="X640" i="9"/>
  <c r="W640" i="9"/>
  <c r="V640" i="9"/>
  <c r="U640" i="9"/>
  <c r="T640" i="9"/>
  <c r="S640" i="9"/>
  <c r="R640" i="9"/>
  <c r="Q640" i="9"/>
  <c r="P640" i="9"/>
  <c r="O640" i="9"/>
  <c r="N640" i="9"/>
  <c r="M640" i="9"/>
  <c r="L640" i="9"/>
  <c r="K640" i="9"/>
  <c r="J640" i="9"/>
  <c r="I640" i="9"/>
  <c r="H640" i="9"/>
  <c r="G640" i="9"/>
  <c r="F640" i="9"/>
  <c r="E640" i="9"/>
  <c r="D640" i="9"/>
  <c r="AX639" i="9"/>
  <c r="AN639" i="9" s="1"/>
  <c r="AV639" i="9"/>
  <c r="AL639" i="9" s="1"/>
  <c r="AU639" i="9"/>
  <c r="AT639" i="9"/>
  <c r="AJ639" i="9" s="1"/>
  <c r="AQ639" i="9"/>
  <c r="AY639" i="9" s="1"/>
  <c r="AO639" i="9"/>
  <c r="AK639" i="9"/>
  <c r="AG639" i="9"/>
  <c r="AF639" i="9"/>
  <c r="AE639" i="9"/>
  <c r="AD639" i="9"/>
  <c r="AC639" i="9"/>
  <c r="AB639" i="9"/>
  <c r="AA639" i="9"/>
  <c r="Z639" i="9"/>
  <c r="Y639" i="9"/>
  <c r="X639" i="9"/>
  <c r="W639" i="9"/>
  <c r="V639" i="9"/>
  <c r="U639" i="9"/>
  <c r="T639" i="9"/>
  <c r="S639" i="9"/>
  <c r="R639" i="9"/>
  <c r="Q639" i="9"/>
  <c r="P639" i="9"/>
  <c r="O639" i="9"/>
  <c r="N639" i="9"/>
  <c r="M639" i="9"/>
  <c r="L639" i="9"/>
  <c r="K639" i="9"/>
  <c r="J639" i="9"/>
  <c r="I639" i="9"/>
  <c r="H639" i="9"/>
  <c r="G639" i="9"/>
  <c r="F639" i="9"/>
  <c r="E639" i="9"/>
  <c r="D639" i="9"/>
  <c r="AY638" i="9"/>
  <c r="AO638" i="9" s="1"/>
  <c r="AX638" i="9"/>
  <c r="AW638" i="9"/>
  <c r="AM638" i="9" s="1"/>
  <c r="AQ638" i="9"/>
  <c r="AT638" i="9" s="1"/>
  <c r="AN638" i="9"/>
  <c r="AG638" i="9"/>
  <c r="AF638" i="9"/>
  <c r="AE638" i="9"/>
  <c r="AD638" i="9"/>
  <c r="AC638" i="9"/>
  <c r="AB638" i="9"/>
  <c r="AA638" i="9"/>
  <c r="Z638" i="9"/>
  <c r="Y638" i="9"/>
  <c r="X638" i="9"/>
  <c r="W638" i="9"/>
  <c r="V638" i="9"/>
  <c r="U638" i="9"/>
  <c r="T638" i="9"/>
  <c r="S638" i="9"/>
  <c r="R638" i="9"/>
  <c r="Q638" i="9"/>
  <c r="P638" i="9"/>
  <c r="O638" i="9"/>
  <c r="N638" i="9"/>
  <c r="M638" i="9"/>
  <c r="L638" i="9"/>
  <c r="K638" i="9"/>
  <c r="J638" i="9"/>
  <c r="I638" i="9"/>
  <c r="H638" i="9"/>
  <c r="G638" i="9"/>
  <c r="F638" i="9"/>
  <c r="E638" i="9"/>
  <c r="D638" i="9"/>
  <c r="AQ637" i="9"/>
  <c r="AU637" i="9" s="1"/>
  <c r="AK637" i="9"/>
  <c r="AG637" i="9"/>
  <c r="AF637" i="9"/>
  <c r="AE637" i="9"/>
  <c r="AD637" i="9"/>
  <c r="AC637" i="9"/>
  <c r="AB637" i="9"/>
  <c r="AA637" i="9"/>
  <c r="Z637" i="9"/>
  <c r="Y637" i="9"/>
  <c r="X637" i="9"/>
  <c r="W637" i="9"/>
  <c r="V637" i="9"/>
  <c r="U637" i="9"/>
  <c r="T637" i="9"/>
  <c r="S637" i="9"/>
  <c r="R637" i="9"/>
  <c r="Q637" i="9"/>
  <c r="P637" i="9"/>
  <c r="O637" i="9"/>
  <c r="N637" i="9"/>
  <c r="M637" i="9"/>
  <c r="L637" i="9"/>
  <c r="K637" i="9"/>
  <c r="J637" i="9"/>
  <c r="I637" i="9"/>
  <c r="H637" i="9"/>
  <c r="G637" i="9"/>
  <c r="F637" i="9"/>
  <c r="E637" i="9"/>
  <c r="D637" i="9"/>
  <c r="AX636" i="9"/>
  <c r="AN636" i="9" s="1"/>
  <c r="AQ636" i="9"/>
  <c r="AY636" i="9" s="1"/>
  <c r="AO636" i="9" s="1"/>
  <c r="AG636" i="9"/>
  <c r="AF636" i="9"/>
  <c r="AE636" i="9"/>
  <c r="AD636" i="9"/>
  <c r="AC636" i="9"/>
  <c r="AB636" i="9"/>
  <c r="AA636" i="9"/>
  <c r="Z636" i="9"/>
  <c r="Y636" i="9"/>
  <c r="X636" i="9"/>
  <c r="W636" i="9"/>
  <c r="V636" i="9"/>
  <c r="U636" i="9"/>
  <c r="T636" i="9"/>
  <c r="S636" i="9"/>
  <c r="R636" i="9"/>
  <c r="Q636" i="9"/>
  <c r="P636" i="9"/>
  <c r="O636" i="9"/>
  <c r="N636" i="9"/>
  <c r="M636" i="9"/>
  <c r="L636" i="9"/>
  <c r="K636" i="9"/>
  <c r="J636" i="9"/>
  <c r="I636" i="9"/>
  <c r="H636" i="9"/>
  <c r="G636" i="9"/>
  <c r="F636" i="9"/>
  <c r="E636" i="9"/>
  <c r="D636" i="9"/>
  <c r="AY635" i="9"/>
  <c r="AO635" i="9" s="1"/>
  <c r="AX635" i="9"/>
  <c r="AN635" i="9" s="1"/>
  <c r="AW635" i="9"/>
  <c r="AV635" i="9"/>
  <c r="AL635" i="9" s="1"/>
  <c r="AU635" i="9"/>
  <c r="AK635" i="9" s="1"/>
  <c r="AT635" i="9"/>
  <c r="AR635" i="9"/>
  <c r="AS635" i="9" s="1"/>
  <c r="AQ635" i="9"/>
  <c r="AM635" i="9"/>
  <c r="AJ635" i="9"/>
  <c r="AI635" i="9"/>
  <c r="AH635" i="9"/>
  <c r="AG635" i="9"/>
  <c r="AF635" i="9"/>
  <c r="AE635" i="9"/>
  <c r="AD635" i="9"/>
  <c r="AC635" i="9"/>
  <c r="AB635" i="9"/>
  <c r="AA635" i="9"/>
  <c r="Z635" i="9"/>
  <c r="Y635" i="9"/>
  <c r="X635" i="9"/>
  <c r="W635" i="9"/>
  <c r="V635" i="9"/>
  <c r="U635" i="9"/>
  <c r="T635" i="9"/>
  <c r="S635" i="9"/>
  <c r="R635" i="9"/>
  <c r="Q635" i="9"/>
  <c r="P635" i="9"/>
  <c r="O635" i="9"/>
  <c r="N635" i="9"/>
  <c r="M635" i="9"/>
  <c r="L635" i="9"/>
  <c r="K635" i="9"/>
  <c r="J635" i="9"/>
  <c r="I635" i="9"/>
  <c r="H635" i="9"/>
  <c r="G635" i="9"/>
  <c r="F635" i="9"/>
  <c r="E635" i="9"/>
  <c r="D635" i="9"/>
  <c r="AQ634" i="9"/>
  <c r="AW634" i="9" s="1"/>
  <c r="AM634" i="9" s="1"/>
  <c r="AG634" i="9"/>
  <c r="AF634" i="9"/>
  <c r="AE634" i="9"/>
  <c r="AD634" i="9"/>
  <c r="AC634" i="9"/>
  <c r="AB634" i="9"/>
  <c r="AA634" i="9"/>
  <c r="Z634" i="9"/>
  <c r="Y634" i="9"/>
  <c r="X634" i="9"/>
  <c r="W634" i="9"/>
  <c r="V634" i="9"/>
  <c r="U634" i="9"/>
  <c r="T634" i="9"/>
  <c r="S634" i="9"/>
  <c r="R634" i="9"/>
  <c r="Q634" i="9"/>
  <c r="P634" i="9"/>
  <c r="O634" i="9"/>
  <c r="N634" i="9"/>
  <c r="M634" i="9"/>
  <c r="L634" i="9"/>
  <c r="K634" i="9"/>
  <c r="J634" i="9"/>
  <c r="I634" i="9"/>
  <c r="H634" i="9"/>
  <c r="G634" i="9"/>
  <c r="F634" i="9"/>
  <c r="E634" i="9"/>
  <c r="D634" i="9"/>
  <c r="AX633" i="9"/>
  <c r="AN633" i="9" s="1"/>
  <c r="AQ633" i="9"/>
  <c r="AY633" i="9" s="1"/>
  <c r="AO633" i="9" s="1"/>
  <c r="AG633" i="9"/>
  <c r="AF633" i="9"/>
  <c r="AE633" i="9"/>
  <c r="AD633" i="9"/>
  <c r="AC633" i="9"/>
  <c r="AB633" i="9"/>
  <c r="AA633" i="9"/>
  <c r="Z633" i="9"/>
  <c r="Y633" i="9"/>
  <c r="X633" i="9"/>
  <c r="W633" i="9"/>
  <c r="V633" i="9"/>
  <c r="U633" i="9"/>
  <c r="T633" i="9"/>
  <c r="S633" i="9"/>
  <c r="R633" i="9"/>
  <c r="Q633" i="9"/>
  <c r="P633" i="9"/>
  <c r="O633" i="9"/>
  <c r="N633" i="9"/>
  <c r="M633" i="9"/>
  <c r="L633" i="9"/>
  <c r="K633" i="9"/>
  <c r="J633" i="9"/>
  <c r="I633" i="9"/>
  <c r="H633" i="9"/>
  <c r="G633" i="9"/>
  <c r="F633" i="9"/>
  <c r="E633" i="9"/>
  <c r="D633" i="9"/>
  <c r="AY632" i="9"/>
  <c r="AO632" i="9" s="1"/>
  <c r="AX632" i="9"/>
  <c r="AW632" i="9"/>
  <c r="AM632" i="9" s="1"/>
  <c r="AV632" i="9"/>
  <c r="AL632" i="9" s="1"/>
  <c r="AU632" i="9"/>
  <c r="AT632" i="9"/>
  <c r="AS632" i="9"/>
  <c r="AR632" i="9"/>
  <c r="AQ632" i="9"/>
  <c r="AN632" i="9"/>
  <c r="AK632" i="9"/>
  <c r="AJ632" i="9"/>
  <c r="AI632" i="9"/>
  <c r="AH632" i="9"/>
  <c r="AG632" i="9"/>
  <c r="AF632" i="9"/>
  <c r="AE632" i="9"/>
  <c r="AD632" i="9"/>
  <c r="AC632" i="9"/>
  <c r="AB632" i="9"/>
  <c r="AA632" i="9"/>
  <c r="Z632" i="9"/>
  <c r="Y632" i="9"/>
  <c r="X632" i="9"/>
  <c r="W632" i="9"/>
  <c r="V632" i="9"/>
  <c r="U632" i="9"/>
  <c r="T632" i="9"/>
  <c r="S632" i="9"/>
  <c r="R632" i="9"/>
  <c r="Q632" i="9"/>
  <c r="P632" i="9"/>
  <c r="O632" i="9"/>
  <c r="N632" i="9"/>
  <c r="M632" i="9"/>
  <c r="L632" i="9"/>
  <c r="K632" i="9"/>
  <c r="J632" i="9"/>
  <c r="I632" i="9"/>
  <c r="H632" i="9"/>
  <c r="G632" i="9"/>
  <c r="F632" i="9"/>
  <c r="E632" i="9"/>
  <c r="D632" i="9"/>
  <c r="AY631" i="9"/>
  <c r="AX631" i="9"/>
  <c r="AU631" i="9"/>
  <c r="AK631" i="9" s="1"/>
  <c r="AT631" i="9"/>
  <c r="AI631" i="9" s="1"/>
  <c r="AR631" i="9"/>
  <c r="AS631" i="9" s="1"/>
  <c r="AQ631" i="9"/>
  <c r="AW631" i="9" s="1"/>
  <c r="AM631" i="9" s="1"/>
  <c r="AO631" i="9"/>
  <c r="AN631" i="9"/>
  <c r="AG631" i="9"/>
  <c r="AF631" i="9"/>
  <c r="AE631" i="9"/>
  <c r="AD631" i="9"/>
  <c r="AC631" i="9"/>
  <c r="AB631" i="9"/>
  <c r="AA631" i="9"/>
  <c r="Z631" i="9"/>
  <c r="Y631" i="9"/>
  <c r="X631" i="9"/>
  <c r="W631" i="9"/>
  <c r="V631" i="9"/>
  <c r="U631" i="9"/>
  <c r="T631" i="9"/>
  <c r="S631" i="9"/>
  <c r="R631" i="9"/>
  <c r="Q631" i="9"/>
  <c r="P631" i="9"/>
  <c r="O631" i="9"/>
  <c r="N631" i="9"/>
  <c r="M631" i="9"/>
  <c r="L631" i="9"/>
  <c r="K631" i="9"/>
  <c r="J631" i="9"/>
  <c r="I631" i="9"/>
  <c r="H631" i="9"/>
  <c r="G631" i="9"/>
  <c r="F631" i="9"/>
  <c r="E631" i="9"/>
  <c r="D631" i="9"/>
  <c r="AY630" i="9"/>
  <c r="AO630" i="9" s="1"/>
  <c r="AX630" i="9"/>
  <c r="AN630" i="9" s="1"/>
  <c r="AW630" i="9"/>
  <c r="AM630" i="9" s="1"/>
  <c r="AV630" i="9"/>
  <c r="AL630" i="9" s="1"/>
  <c r="AU630" i="9"/>
  <c r="AK630" i="9" s="1"/>
  <c r="AT630" i="9"/>
  <c r="AI630" i="9" s="1"/>
  <c r="AR630" i="9"/>
  <c r="AS630" i="9" s="1"/>
  <c r="AQ630" i="9"/>
  <c r="AJ630" i="9"/>
  <c r="AG630" i="9"/>
  <c r="AF630" i="9"/>
  <c r="AE630" i="9"/>
  <c r="AD630" i="9"/>
  <c r="AC630" i="9"/>
  <c r="AB630" i="9"/>
  <c r="AA630" i="9"/>
  <c r="Z630" i="9"/>
  <c r="Y630" i="9"/>
  <c r="X630" i="9"/>
  <c r="W630" i="9"/>
  <c r="V630" i="9"/>
  <c r="U630" i="9"/>
  <c r="T630" i="9"/>
  <c r="S630" i="9"/>
  <c r="R630" i="9"/>
  <c r="Q630" i="9"/>
  <c r="P630" i="9"/>
  <c r="O630" i="9"/>
  <c r="N630" i="9"/>
  <c r="M630" i="9"/>
  <c r="L630" i="9"/>
  <c r="K630" i="9"/>
  <c r="J630" i="9"/>
  <c r="I630" i="9"/>
  <c r="H630" i="9"/>
  <c r="G630" i="9"/>
  <c r="F630" i="9"/>
  <c r="E630" i="9"/>
  <c r="D630" i="9"/>
  <c r="AY629" i="9"/>
  <c r="AX629" i="9"/>
  <c r="AN629" i="9" s="1"/>
  <c r="AW629" i="9"/>
  <c r="AM629" i="9" s="1"/>
  <c r="AQ629" i="9"/>
  <c r="AT629" i="9" s="1"/>
  <c r="AO629" i="9"/>
  <c r="AG629" i="9"/>
  <c r="AF629" i="9"/>
  <c r="AE629" i="9"/>
  <c r="AD629" i="9"/>
  <c r="AC629" i="9"/>
  <c r="AB629" i="9"/>
  <c r="AA629" i="9"/>
  <c r="Z629" i="9"/>
  <c r="Y629" i="9"/>
  <c r="X629" i="9"/>
  <c r="W629" i="9"/>
  <c r="V629" i="9"/>
  <c r="U629" i="9"/>
  <c r="T629" i="9"/>
  <c r="S629" i="9"/>
  <c r="R629" i="9"/>
  <c r="Q629" i="9"/>
  <c r="P629" i="9"/>
  <c r="O629" i="9"/>
  <c r="N629" i="9"/>
  <c r="M629" i="9"/>
  <c r="L629" i="9"/>
  <c r="K629" i="9"/>
  <c r="J629" i="9"/>
  <c r="I629" i="9"/>
  <c r="H629" i="9"/>
  <c r="G629" i="9"/>
  <c r="F629" i="9"/>
  <c r="E629" i="9"/>
  <c r="D629" i="9"/>
  <c r="AU628" i="9"/>
  <c r="AK628" i="9" s="1"/>
  <c r="AQ628" i="9"/>
  <c r="AY628" i="9" s="1"/>
  <c r="AO628" i="9" s="1"/>
  <c r="AG628" i="9"/>
  <c r="AF628" i="9"/>
  <c r="AE628" i="9"/>
  <c r="AD628" i="9"/>
  <c r="AC628" i="9"/>
  <c r="AB628" i="9"/>
  <c r="AA628" i="9"/>
  <c r="Z628" i="9"/>
  <c r="Y628" i="9"/>
  <c r="X628" i="9"/>
  <c r="W628" i="9"/>
  <c r="V628" i="9"/>
  <c r="U628" i="9"/>
  <c r="T628" i="9"/>
  <c r="S628" i="9"/>
  <c r="R628" i="9"/>
  <c r="Q628" i="9"/>
  <c r="P628" i="9"/>
  <c r="O628" i="9"/>
  <c r="N628" i="9"/>
  <c r="M628" i="9"/>
  <c r="L628" i="9"/>
  <c r="K628" i="9"/>
  <c r="J628" i="9"/>
  <c r="I628" i="9"/>
  <c r="H628" i="9"/>
  <c r="G628" i="9"/>
  <c r="F628" i="9"/>
  <c r="E628" i="9"/>
  <c r="D628" i="9"/>
  <c r="AY627" i="9"/>
  <c r="AO627" i="9" s="1"/>
  <c r="AX627" i="9"/>
  <c r="AN627" i="9" s="1"/>
  <c r="AV627" i="9"/>
  <c r="AL627" i="9" s="1"/>
  <c r="AU627" i="9"/>
  <c r="AT627" i="9"/>
  <c r="AJ627" i="9" s="1"/>
  <c r="AQ627" i="9"/>
  <c r="AW627" i="9" s="1"/>
  <c r="AM627" i="9" s="1"/>
  <c r="AK627" i="9"/>
  <c r="AG627" i="9"/>
  <c r="AF627" i="9"/>
  <c r="AE627" i="9"/>
  <c r="AD627" i="9"/>
  <c r="AC627" i="9"/>
  <c r="AB627" i="9"/>
  <c r="AA627" i="9"/>
  <c r="Z627" i="9"/>
  <c r="Y627" i="9"/>
  <c r="X627" i="9"/>
  <c r="W627" i="9"/>
  <c r="V627" i="9"/>
  <c r="U627" i="9"/>
  <c r="T627" i="9"/>
  <c r="S627" i="9"/>
  <c r="R627" i="9"/>
  <c r="Q627" i="9"/>
  <c r="P627" i="9"/>
  <c r="O627" i="9"/>
  <c r="N627" i="9"/>
  <c r="M627" i="9"/>
  <c r="L627" i="9"/>
  <c r="K627" i="9"/>
  <c r="J627" i="9"/>
  <c r="I627" i="9"/>
  <c r="H627" i="9"/>
  <c r="G627" i="9"/>
  <c r="F627" i="9"/>
  <c r="E627" i="9"/>
  <c r="D627" i="9"/>
  <c r="AQ626" i="9"/>
  <c r="AU626" i="9" s="1"/>
  <c r="AK626" i="9" s="1"/>
  <c r="AG626" i="9"/>
  <c r="AF626" i="9"/>
  <c r="AE626" i="9"/>
  <c r="AD626" i="9"/>
  <c r="AC626" i="9"/>
  <c r="AB626" i="9"/>
  <c r="AA626" i="9"/>
  <c r="Z626" i="9"/>
  <c r="Y626" i="9"/>
  <c r="X626" i="9"/>
  <c r="W626" i="9"/>
  <c r="V626" i="9"/>
  <c r="U626" i="9"/>
  <c r="T626" i="9"/>
  <c r="S626" i="9"/>
  <c r="R626" i="9"/>
  <c r="Q626" i="9"/>
  <c r="P626" i="9"/>
  <c r="O626" i="9"/>
  <c r="N626" i="9"/>
  <c r="M626" i="9"/>
  <c r="L626" i="9"/>
  <c r="K626" i="9"/>
  <c r="J626" i="9"/>
  <c r="I626" i="9"/>
  <c r="H626" i="9"/>
  <c r="G626" i="9"/>
  <c r="F626" i="9"/>
  <c r="E626" i="9"/>
  <c r="D626" i="9"/>
  <c r="AV625" i="9"/>
  <c r="AL625" i="9" s="1"/>
  <c r="AQ625" i="9"/>
  <c r="AY625" i="9" s="1"/>
  <c r="AO625" i="9" s="1"/>
  <c r="AG625" i="9"/>
  <c r="AF625" i="9"/>
  <c r="AE625" i="9"/>
  <c r="AD625" i="9"/>
  <c r="AC625" i="9"/>
  <c r="AB625" i="9"/>
  <c r="AA625" i="9"/>
  <c r="Z625" i="9"/>
  <c r="Y625" i="9"/>
  <c r="X625" i="9"/>
  <c r="W625" i="9"/>
  <c r="V625" i="9"/>
  <c r="U625" i="9"/>
  <c r="T625" i="9"/>
  <c r="S625" i="9"/>
  <c r="R625" i="9"/>
  <c r="Q625" i="9"/>
  <c r="P625" i="9"/>
  <c r="O625" i="9"/>
  <c r="N625" i="9"/>
  <c r="M625" i="9"/>
  <c r="L625" i="9"/>
  <c r="K625" i="9"/>
  <c r="J625" i="9"/>
  <c r="I625" i="9"/>
  <c r="H625" i="9"/>
  <c r="G625" i="9"/>
  <c r="F625" i="9"/>
  <c r="E625" i="9"/>
  <c r="D625" i="9"/>
  <c r="AY624" i="9"/>
  <c r="AO624" i="9" s="1"/>
  <c r="AW624" i="9"/>
  <c r="AM624" i="9" s="1"/>
  <c r="AV624" i="9"/>
  <c r="AU624" i="9"/>
  <c r="AK624" i="9" s="1"/>
  <c r="AT624" i="9"/>
  <c r="AJ624" i="9" s="1"/>
  <c r="AQ624" i="9"/>
  <c r="AX624" i="9" s="1"/>
  <c r="AN624" i="9" s="1"/>
  <c r="AL624" i="9"/>
  <c r="AG624" i="9"/>
  <c r="AF624" i="9"/>
  <c r="AE624" i="9"/>
  <c r="AD624" i="9"/>
  <c r="AC624" i="9"/>
  <c r="AB624" i="9"/>
  <c r="AA624" i="9"/>
  <c r="Z624" i="9"/>
  <c r="Y624" i="9"/>
  <c r="X624" i="9"/>
  <c r="W624" i="9"/>
  <c r="V624" i="9"/>
  <c r="U624" i="9"/>
  <c r="T624" i="9"/>
  <c r="S624" i="9"/>
  <c r="R624" i="9"/>
  <c r="Q624" i="9"/>
  <c r="P624" i="9"/>
  <c r="O624" i="9"/>
  <c r="N624" i="9"/>
  <c r="M624" i="9"/>
  <c r="L624" i="9"/>
  <c r="K624" i="9"/>
  <c r="J624" i="9"/>
  <c r="I624" i="9"/>
  <c r="H624" i="9"/>
  <c r="G624" i="9"/>
  <c r="F624" i="9"/>
  <c r="E624" i="9"/>
  <c r="D624" i="9"/>
  <c r="AY623" i="9"/>
  <c r="AO623" i="9" s="1"/>
  <c r="AR623" i="9"/>
  <c r="AS623" i="9" s="1"/>
  <c r="AQ623" i="9"/>
  <c r="AV623" i="9" s="1"/>
  <c r="AL623" i="9" s="1"/>
  <c r="AG623" i="9"/>
  <c r="AF623" i="9"/>
  <c r="AE623" i="9"/>
  <c r="AD623" i="9"/>
  <c r="AC623" i="9"/>
  <c r="AB623" i="9"/>
  <c r="AA623" i="9"/>
  <c r="Z623" i="9"/>
  <c r="Y623" i="9"/>
  <c r="X623" i="9"/>
  <c r="W623" i="9"/>
  <c r="V623" i="9"/>
  <c r="U623" i="9"/>
  <c r="T623" i="9"/>
  <c r="S623" i="9"/>
  <c r="R623" i="9"/>
  <c r="Q623" i="9"/>
  <c r="P623" i="9"/>
  <c r="O623" i="9"/>
  <c r="N623" i="9"/>
  <c r="M623" i="9"/>
  <c r="L623" i="9"/>
  <c r="K623" i="9"/>
  <c r="J623" i="9"/>
  <c r="I623" i="9"/>
  <c r="H623" i="9"/>
  <c r="G623" i="9"/>
  <c r="F623" i="9"/>
  <c r="E623" i="9"/>
  <c r="D623" i="9"/>
  <c r="AW622" i="9"/>
  <c r="AM622" i="9" s="1"/>
  <c r="AQ622" i="9"/>
  <c r="AY622" i="9" s="1"/>
  <c r="AO622" i="9" s="1"/>
  <c r="AG622" i="9"/>
  <c r="AF622" i="9"/>
  <c r="AE622" i="9"/>
  <c r="AD622" i="9"/>
  <c r="AC622" i="9"/>
  <c r="AB622" i="9"/>
  <c r="AA622" i="9"/>
  <c r="Z622" i="9"/>
  <c r="Y622" i="9"/>
  <c r="X622" i="9"/>
  <c r="W622" i="9"/>
  <c r="V622" i="9"/>
  <c r="U622" i="9"/>
  <c r="T622" i="9"/>
  <c r="S622" i="9"/>
  <c r="R622" i="9"/>
  <c r="Q622" i="9"/>
  <c r="P622" i="9"/>
  <c r="O622" i="9"/>
  <c r="N622" i="9"/>
  <c r="M622" i="9"/>
  <c r="L622" i="9"/>
  <c r="K622" i="9"/>
  <c r="J622" i="9"/>
  <c r="I622" i="9"/>
  <c r="H622" i="9"/>
  <c r="G622" i="9"/>
  <c r="F622" i="9"/>
  <c r="E622" i="9"/>
  <c r="D622" i="9"/>
  <c r="AY621" i="9"/>
  <c r="AO621" i="9" s="1"/>
  <c r="AX621" i="9"/>
  <c r="AN621" i="9" s="1"/>
  <c r="AW621" i="9"/>
  <c r="AV621" i="9"/>
  <c r="AL621" i="9" s="1"/>
  <c r="AU621" i="9"/>
  <c r="AK621" i="9" s="1"/>
  <c r="AT621" i="9"/>
  <c r="AR621" i="9"/>
  <c r="AS621" i="9" s="1"/>
  <c r="AQ621" i="9"/>
  <c r="AM621" i="9"/>
  <c r="AJ621" i="9"/>
  <c r="AI621" i="9"/>
  <c r="AH621" i="9"/>
  <c r="AG621" i="9"/>
  <c r="AF621" i="9"/>
  <c r="AE621" i="9"/>
  <c r="AD621" i="9"/>
  <c r="AC621" i="9"/>
  <c r="AB621" i="9"/>
  <c r="AA621" i="9"/>
  <c r="Z621" i="9"/>
  <c r="Y621" i="9"/>
  <c r="X621" i="9"/>
  <c r="W621" i="9"/>
  <c r="V621" i="9"/>
  <c r="U621" i="9"/>
  <c r="T621" i="9"/>
  <c r="S621" i="9"/>
  <c r="R621" i="9"/>
  <c r="Q621" i="9"/>
  <c r="P621" i="9"/>
  <c r="O621" i="9"/>
  <c r="N621" i="9"/>
  <c r="M621" i="9"/>
  <c r="L621" i="9"/>
  <c r="K621" i="9"/>
  <c r="J621" i="9"/>
  <c r="I621" i="9"/>
  <c r="H621" i="9"/>
  <c r="G621" i="9"/>
  <c r="F621" i="9"/>
  <c r="E621" i="9"/>
  <c r="D621" i="9"/>
  <c r="AQ620" i="9"/>
  <c r="AW620" i="9" s="1"/>
  <c r="AM620" i="9" s="1"/>
  <c r="AG620" i="9"/>
  <c r="AF620" i="9"/>
  <c r="AE620" i="9"/>
  <c r="AD620" i="9"/>
  <c r="AC620" i="9"/>
  <c r="AB620" i="9"/>
  <c r="AA620" i="9"/>
  <c r="Z620" i="9"/>
  <c r="Y620" i="9"/>
  <c r="X620" i="9"/>
  <c r="W620" i="9"/>
  <c r="V620" i="9"/>
  <c r="U620" i="9"/>
  <c r="T620" i="9"/>
  <c r="S620" i="9"/>
  <c r="R620" i="9"/>
  <c r="Q620" i="9"/>
  <c r="P620" i="9"/>
  <c r="O620" i="9"/>
  <c r="N620" i="9"/>
  <c r="M620" i="9"/>
  <c r="L620" i="9"/>
  <c r="K620" i="9"/>
  <c r="J620" i="9"/>
  <c r="I620" i="9"/>
  <c r="H620" i="9"/>
  <c r="G620" i="9"/>
  <c r="F620" i="9"/>
  <c r="E620" i="9"/>
  <c r="D620" i="9"/>
  <c r="AQ619" i="9"/>
  <c r="AG619" i="9"/>
  <c r="AF619" i="9"/>
  <c r="AE619" i="9"/>
  <c r="AD619" i="9"/>
  <c r="AC619" i="9"/>
  <c r="AB619" i="9"/>
  <c r="AA619" i="9"/>
  <c r="Z619" i="9"/>
  <c r="Y619" i="9"/>
  <c r="X619" i="9"/>
  <c r="W619" i="9"/>
  <c r="V619" i="9"/>
  <c r="U619" i="9"/>
  <c r="T619" i="9"/>
  <c r="S619" i="9"/>
  <c r="R619" i="9"/>
  <c r="Q619" i="9"/>
  <c r="P619" i="9"/>
  <c r="O619" i="9"/>
  <c r="N619" i="9"/>
  <c r="M619" i="9"/>
  <c r="L619" i="9"/>
  <c r="K619" i="9"/>
  <c r="J619" i="9"/>
  <c r="I619" i="9"/>
  <c r="H619" i="9"/>
  <c r="G619" i="9"/>
  <c r="F619" i="9"/>
  <c r="E619" i="9"/>
  <c r="D619" i="9"/>
  <c r="AY618" i="9"/>
  <c r="AO618" i="9" s="1"/>
  <c r="AX618" i="9"/>
  <c r="AW618" i="9"/>
  <c r="AM618" i="9" s="1"/>
  <c r="AV618" i="9"/>
  <c r="AL618" i="9" s="1"/>
  <c r="AU618" i="9"/>
  <c r="AT618" i="9"/>
  <c r="AS618" i="9"/>
  <c r="AR618" i="9"/>
  <c r="AQ618" i="9"/>
  <c r="AN618" i="9"/>
  <c r="AK618" i="9"/>
  <c r="AJ618" i="9"/>
  <c r="AI618" i="9"/>
  <c r="AH618" i="9"/>
  <c r="AG618" i="9"/>
  <c r="AF618" i="9"/>
  <c r="AE618" i="9"/>
  <c r="AD618" i="9"/>
  <c r="AC618" i="9"/>
  <c r="AB618" i="9"/>
  <c r="AA618" i="9"/>
  <c r="Z618" i="9"/>
  <c r="Y618" i="9"/>
  <c r="X618" i="9"/>
  <c r="W618" i="9"/>
  <c r="V618" i="9"/>
  <c r="U618" i="9"/>
  <c r="T618" i="9"/>
  <c r="S618" i="9"/>
  <c r="R618" i="9"/>
  <c r="Q618" i="9"/>
  <c r="P618" i="9"/>
  <c r="O618" i="9"/>
  <c r="N618" i="9"/>
  <c r="M618" i="9"/>
  <c r="L618" i="9"/>
  <c r="K618" i="9"/>
  <c r="J618" i="9"/>
  <c r="I618" i="9"/>
  <c r="H618" i="9"/>
  <c r="G618" i="9"/>
  <c r="F618" i="9"/>
  <c r="E618" i="9"/>
  <c r="D618" i="9"/>
  <c r="AY617" i="9"/>
  <c r="AX617" i="9"/>
  <c r="AU617" i="9"/>
  <c r="AK617" i="9" s="1"/>
  <c r="AT617" i="9"/>
  <c r="AR617" i="9"/>
  <c r="AS617" i="9" s="1"/>
  <c r="AQ617" i="9"/>
  <c r="AW617" i="9" s="1"/>
  <c r="AM617" i="9" s="1"/>
  <c r="AO617" i="9"/>
  <c r="AN617" i="9"/>
  <c r="AG617" i="9"/>
  <c r="AF617" i="9"/>
  <c r="AE617" i="9"/>
  <c r="AD617" i="9"/>
  <c r="AC617" i="9"/>
  <c r="AB617" i="9"/>
  <c r="AA617" i="9"/>
  <c r="Z617" i="9"/>
  <c r="Y617" i="9"/>
  <c r="X617" i="9"/>
  <c r="W617" i="9"/>
  <c r="V617" i="9"/>
  <c r="U617" i="9"/>
  <c r="T617" i="9"/>
  <c r="S617" i="9"/>
  <c r="R617" i="9"/>
  <c r="Q617" i="9"/>
  <c r="P617" i="9"/>
  <c r="O617" i="9"/>
  <c r="N617" i="9"/>
  <c r="M617" i="9"/>
  <c r="L617" i="9"/>
  <c r="K617" i="9"/>
  <c r="J617" i="9"/>
  <c r="I617" i="9"/>
  <c r="H617" i="9"/>
  <c r="G617" i="9"/>
  <c r="F617" i="9"/>
  <c r="E617" i="9"/>
  <c r="D617" i="9"/>
  <c r="AY616" i="9"/>
  <c r="AO616" i="9" s="1"/>
  <c r="AX616" i="9"/>
  <c r="AN616" i="9" s="1"/>
  <c r="AW616" i="9"/>
  <c r="AM616" i="9" s="1"/>
  <c r="AV616" i="9"/>
  <c r="AL616" i="9" s="1"/>
  <c r="AU616" i="9"/>
  <c r="AK616" i="9" s="1"/>
  <c r="AT616" i="9"/>
  <c r="AI616" i="9" s="1"/>
  <c r="AR616" i="9"/>
  <c r="AS616" i="9" s="1"/>
  <c r="AQ616" i="9"/>
  <c r="AJ616" i="9"/>
  <c r="AH616" i="9"/>
  <c r="AG616" i="9"/>
  <c r="AF616" i="9"/>
  <c r="AE616" i="9"/>
  <c r="AD616" i="9"/>
  <c r="AC616" i="9"/>
  <c r="AB616" i="9"/>
  <c r="AA616" i="9"/>
  <c r="Z616" i="9"/>
  <c r="Y616" i="9"/>
  <c r="X616" i="9"/>
  <c r="W616" i="9"/>
  <c r="V616" i="9"/>
  <c r="U616" i="9"/>
  <c r="T616" i="9"/>
  <c r="S616" i="9"/>
  <c r="R616" i="9"/>
  <c r="Q616" i="9"/>
  <c r="P616" i="9"/>
  <c r="O616" i="9"/>
  <c r="N616" i="9"/>
  <c r="M616" i="9"/>
  <c r="L616" i="9"/>
  <c r="K616" i="9"/>
  <c r="J616" i="9"/>
  <c r="I616" i="9"/>
  <c r="H616" i="9"/>
  <c r="G616" i="9"/>
  <c r="F616" i="9"/>
  <c r="E616" i="9"/>
  <c r="D616" i="9"/>
  <c r="AY615" i="9"/>
  <c r="AX615" i="9"/>
  <c r="AN615" i="9" s="1"/>
  <c r="AW615" i="9"/>
  <c r="AM615" i="9" s="1"/>
  <c r="AQ615" i="9"/>
  <c r="AT615" i="9" s="1"/>
  <c r="AO615" i="9"/>
  <c r="AG615" i="9"/>
  <c r="AF615" i="9"/>
  <c r="AE615" i="9"/>
  <c r="AD615" i="9"/>
  <c r="AC615" i="9"/>
  <c r="AB615" i="9"/>
  <c r="AA615" i="9"/>
  <c r="Z615" i="9"/>
  <c r="Y615" i="9"/>
  <c r="X615" i="9"/>
  <c r="W615" i="9"/>
  <c r="V615" i="9"/>
  <c r="U615" i="9"/>
  <c r="T615" i="9"/>
  <c r="S615" i="9"/>
  <c r="R615" i="9"/>
  <c r="Q615" i="9"/>
  <c r="P615" i="9"/>
  <c r="O615" i="9"/>
  <c r="N615" i="9"/>
  <c r="M615" i="9"/>
  <c r="L615" i="9"/>
  <c r="K615" i="9"/>
  <c r="J615" i="9"/>
  <c r="I615" i="9"/>
  <c r="H615" i="9"/>
  <c r="G615" i="9"/>
  <c r="F615" i="9"/>
  <c r="E615" i="9"/>
  <c r="D615" i="9"/>
  <c r="AU614" i="9"/>
  <c r="AK614" i="9" s="1"/>
  <c r="AQ614" i="9"/>
  <c r="AY614" i="9" s="1"/>
  <c r="AO614" i="9" s="1"/>
  <c r="AG614" i="9"/>
  <c r="AF614" i="9"/>
  <c r="AE614" i="9"/>
  <c r="AD614" i="9"/>
  <c r="AC614" i="9"/>
  <c r="AB614" i="9"/>
  <c r="AA614" i="9"/>
  <c r="Z614" i="9"/>
  <c r="Y614" i="9"/>
  <c r="X614" i="9"/>
  <c r="W614" i="9"/>
  <c r="V614" i="9"/>
  <c r="U614" i="9"/>
  <c r="T614" i="9"/>
  <c r="S614" i="9"/>
  <c r="R614" i="9"/>
  <c r="Q614" i="9"/>
  <c r="P614" i="9"/>
  <c r="O614" i="9"/>
  <c r="N614" i="9"/>
  <c r="M614" i="9"/>
  <c r="L614" i="9"/>
  <c r="K614" i="9"/>
  <c r="J614" i="9"/>
  <c r="I614" i="9"/>
  <c r="H614" i="9"/>
  <c r="G614" i="9"/>
  <c r="F614" i="9"/>
  <c r="E614" i="9"/>
  <c r="D614" i="9"/>
  <c r="AY613" i="9"/>
  <c r="AO613" i="9" s="1"/>
  <c r="AX613" i="9"/>
  <c r="AN613" i="9" s="1"/>
  <c r="AV613" i="9"/>
  <c r="AL613" i="9" s="1"/>
  <c r="AU613" i="9"/>
  <c r="AT613" i="9"/>
  <c r="AJ613" i="9" s="1"/>
  <c r="AQ613" i="9"/>
  <c r="AW613" i="9" s="1"/>
  <c r="AM613" i="9" s="1"/>
  <c r="AK613" i="9"/>
  <c r="AI613" i="9"/>
  <c r="AG613" i="9"/>
  <c r="AF613" i="9"/>
  <c r="AE613" i="9"/>
  <c r="AD613" i="9"/>
  <c r="AC613" i="9"/>
  <c r="AB613" i="9"/>
  <c r="AA613" i="9"/>
  <c r="Z613" i="9"/>
  <c r="Y613" i="9"/>
  <c r="X613" i="9"/>
  <c r="W613" i="9"/>
  <c r="V613" i="9"/>
  <c r="U613" i="9"/>
  <c r="T613" i="9"/>
  <c r="S613" i="9"/>
  <c r="R613" i="9"/>
  <c r="Q613" i="9"/>
  <c r="P613" i="9"/>
  <c r="O613" i="9"/>
  <c r="N613" i="9"/>
  <c r="M613" i="9"/>
  <c r="L613" i="9"/>
  <c r="K613" i="9"/>
  <c r="J613" i="9"/>
  <c r="I613" i="9"/>
  <c r="H613" i="9"/>
  <c r="G613" i="9"/>
  <c r="F613" i="9"/>
  <c r="E613" i="9"/>
  <c r="D613" i="9"/>
  <c r="AQ612" i="9"/>
  <c r="AG612" i="9"/>
  <c r="AF612" i="9"/>
  <c r="AE612" i="9"/>
  <c r="AD612" i="9"/>
  <c r="AC612" i="9"/>
  <c r="AB612" i="9"/>
  <c r="AA612" i="9"/>
  <c r="Z612" i="9"/>
  <c r="Y612" i="9"/>
  <c r="X612" i="9"/>
  <c r="W612" i="9"/>
  <c r="V612" i="9"/>
  <c r="U612" i="9"/>
  <c r="T612" i="9"/>
  <c r="S612" i="9"/>
  <c r="R612" i="9"/>
  <c r="Q612" i="9"/>
  <c r="P612" i="9"/>
  <c r="O612" i="9"/>
  <c r="N612" i="9"/>
  <c r="M612" i="9"/>
  <c r="L612" i="9"/>
  <c r="K612" i="9"/>
  <c r="J612" i="9"/>
  <c r="I612" i="9"/>
  <c r="H612" i="9"/>
  <c r="G612" i="9"/>
  <c r="F612" i="9"/>
  <c r="E612" i="9"/>
  <c r="D612" i="9"/>
  <c r="AV611" i="9"/>
  <c r="AL611" i="9" s="1"/>
  <c r="AT611" i="9"/>
  <c r="AJ611" i="9" s="1"/>
  <c r="AQ611" i="9"/>
  <c r="AY611" i="9" s="1"/>
  <c r="AO611" i="9" s="1"/>
  <c r="AG611" i="9"/>
  <c r="AF611" i="9"/>
  <c r="AE611" i="9"/>
  <c r="AD611" i="9"/>
  <c r="AC611" i="9"/>
  <c r="AB611" i="9"/>
  <c r="AA611" i="9"/>
  <c r="Z611" i="9"/>
  <c r="Y611" i="9"/>
  <c r="X611" i="9"/>
  <c r="W611" i="9"/>
  <c r="V611" i="9"/>
  <c r="U611" i="9"/>
  <c r="T611" i="9"/>
  <c r="S611" i="9"/>
  <c r="R611" i="9"/>
  <c r="Q611" i="9"/>
  <c r="P611" i="9"/>
  <c r="O611" i="9"/>
  <c r="N611" i="9"/>
  <c r="M611" i="9"/>
  <c r="L611" i="9"/>
  <c r="K611" i="9"/>
  <c r="J611" i="9"/>
  <c r="I611" i="9"/>
  <c r="H611" i="9"/>
  <c r="G611" i="9"/>
  <c r="F611" i="9"/>
  <c r="E611" i="9"/>
  <c r="D611" i="9"/>
  <c r="AY610" i="9"/>
  <c r="AO610" i="9" s="1"/>
  <c r="AW610" i="9"/>
  <c r="AM610" i="9" s="1"/>
  <c r="AV610" i="9"/>
  <c r="AU610" i="9"/>
  <c r="AK610" i="9" s="1"/>
  <c r="AT610" i="9"/>
  <c r="AQ610" i="9"/>
  <c r="AX610" i="9" s="1"/>
  <c r="AN610" i="9" s="1"/>
  <c r="AL610" i="9"/>
  <c r="AG610" i="9"/>
  <c r="AF610" i="9"/>
  <c r="AE610" i="9"/>
  <c r="AD610" i="9"/>
  <c r="AC610" i="9"/>
  <c r="AB610" i="9"/>
  <c r="AA610" i="9"/>
  <c r="Z610" i="9"/>
  <c r="Y610" i="9"/>
  <c r="X610" i="9"/>
  <c r="W610" i="9"/>
  <c r="V610" i="9"/>
  <c r="U610" i="9"/>
  <c r="T610" i="9"/>
  <c r="S610" i="9"/>
  <c r="R610" i="9"/>
  <c r="Q610" i="9"/>
  <c r="P610" i="9"/>
  <c r="O610" i="9"/>
  <c r="N610" i="9"/>
  <c r="M610" i="9"/>
  <c r="L610" i="9"/>
  <c r="K610" i="9"/>
  <c r="J610" i="9"/>
  <c r="I610" i="9"/>
  <c r="H610" i="9"/>
  <c r="G610" i="9"/>
  <c r="F610" i="9"/>
  <c r="E610" i="9"/>
  <c r="D610" i="9"/>
  <c r="AY609" i="9"/>
  <c r="AO609" i="9" s="1"/>
  <c r="AQ609" i="9"/>
  <c r="AG609" i="9"/>
  <c r="AF609" i="9"/>
  <c r="AE609" i="9"/>
  <c r="AD609" i="9"/>
  <c r="AC609" i="9"/>
  <c r="AB609" i="9"/>
  <c r="AA609" i="9"/>
  <c r="Z609" i="9"/>
  <c r="Y609" i="9"/>
  <c r="X609" i="9"/>
  <c r="W609" i="9"/>
  <c r="V609" i="9"/>
  <c r="U609" i="9"/>
  <c r="T609" i="9"/>
  <c r="S609" i="9"/>
  <c r="R609" i="9"/>
  <c r="Q609" i="9"/>
  <c r="P609" i="9"/>
  <c r="O609" i="9"/>
  <c r="N609" i="9"/>
  <c r="M609" i="9"/>
  <c r="L609" i="9"/>
  <c r="K609" i="9"/>
  <c r="J609" i="9"/>
  <c r="I609" i="9"/>
  <c r="H609" i="9"/>
  <c r="G609" i="9"/>
  <c r="F609" i="9"/>
  <c r="E609" i="9"/>
  <c r="D609" i="9"/>
  <c r="AW608" i="9"/>
  <c r="AM608" i="9" s="1"/>
  <c r="AV608" i="9"/>
  <c r="AL608" i="9" s="1"/>
  <c r="AU608" i="9"/>
  <c r="AK608" i="9" s="1"/>
  <c r="AR608" i="9"/>
  <c r="AS608" i="9" s="1"/>
  <c r="AQ608" i="9"/>
  <c r="AY608" i="9" s="1"/>
  <c r="AO608" i="9" s="1"/>
  <c r="AG608" i="9"/>
  <c r="AF608" i="9"/>
  <c r="AE608" i="9"/>
  <c r="AD608" i="9"/>
  <c r="AC608" i="9"/>
  <c r="AB608" i="9"/>
  <c r="AA608" i="9"/>
  <c r="Z608" i="9"/>
  <c r="Y608" i="9"/>
  <c r="X608" i="9"/>
  <c r="W608" i="9"/>
  <c r="V608" i="9"/>
  <c r="U608" i="9"/>
  <c r="T608" i="9"/>
  <c r="S608" i="9"/>
  <c r="R608" i="9"/>
  <c r="Q608" i="9"/>
  <c r="P608" i="9"/>
  <c r="O608" i="9"/>
  <c r="N608" i="9"/>
  <c r="M608" i="9"/>
  <c r="L608" i="9"/>
  <c r="K608" i="9"/>
  <c r="J608" i="9"/>
  <c r="I608" i="9"/>
  <c r="H608" i="9"/>
  <c r="G608" i="9"/>
  <c r="F608" i="9"/>
  <c r="E608" i="9"/>
  <c r="D608" i="9"/>
  <c r="AY607" i="9"/>
  <c r="AO607" i="9" s="1"/>
  <c r="AX607" i="9"/>
  <c r="AN607" i="9" s="1"/>
  <c r="AW607" i="9"/>
  <c r="AV607" i="9"/>
  <c r="AU607" i="9"/>
  <c r="AT607" i="9"/>
  <c r="AR607" i="9"/>
  <c r="AS607" i="9" s="1"/>
  <c r="AQ607" i="9"/>
  <c r="AM607" i="9"/>
  <c r="AL607" i="9"/>
  <c r="AK607" i="9"/>
  <c r="AJ607" i="9"/>
  <c r="AI607" i="9"/>
  <c r="AH607" i="9"/>
  <c r="AG607" i="9"/>
  <c r="AF607" i="9"/>
  <c r="AE607" i="9"/>
  <c r="AD607" i="9"/>
  <c r="AC607" i="9"/>
  <c r="AB607" i="9"/>
  <c r="AA607" i="9"/>
  <c r="Z607" i="9"/>
  <c r="Y607" i="9"/>
  <c r="X607" i="9"/>
  <c r="W607" i="9"/>
  <c r="V607" i="9"/>
  <c r="U607" i="9"/>
  <c r="T607" i="9"/>
  <c r="S607" i="9"/>
  <c r="R607" i="9"/>
  <c r="Q607" i="9"/>
  <c r="P607" i="9"/>
  <c r="O607" i="9"/>
  <c r="N607" i="9"/>
  <c r="M607" i="9"/>
  <c r="L607" i="9"/>
  <c r="K607" i="9"/>
  <c r="J607" i="9"/>
  <c r="I607" i="9"/>
  <c r="H607" i="9"/>
  <c r="G607" i="9"/>
  <c r="F607" i="9"/>
  <c r="E607" i="9"/>
  <c r="D607" i="9"/>
  <c r="AS606" i="9"/>
  <c r="AR606" i="9"/>
  <c r="AQ606" i="9"/>
  <c r="AG606" i="9"/>
  <c r="AF606" i="9"/>
  <c r="AE606" i="9"/>
  <c r="AD606" i="9"/>
  <c r="AC606" i="9"/>
  <c r="AB606" i="9"/>
  <c r="AA606" i="9"/>
  <c r="Z606" i="9"/>
  <c r="Y606" i="9"/>
  <c r="X606" i="9"/>
  <c r="W606" i="9"/>
  <c r="V606" i="9"/>
  <c r="U606" i="9"/>
  <c r="T606" i="9"/>
  <c r="S606" i="9"/>
  <c r="R606" i="9"/>
  <c r="Q606" i="9"/>
  <c r="P606" i="9"/>
  <c r="O606" i="9"/>
  <c r="N606" i="9"/>
  <c r="M606" i="9"/>
  <c r="L606" i="9"/>
  <c r="K606" i="9"/>
  <c r="J606" i="9"/>
  <c r="I606" i="9"/>
  <c r="H606" i="9"/>
  <c r="G606" i="9"/>
  <c r="F606" i="9"/>
  <c r="E606" i="9"/>
  <c r="D606" i="9"/>
  <c r="AQ605" i="9"/>
  <c r="AG605" i="9"/>
  <c r="AF605" i="9"/>
  <c r="AE605" i="9"/>
  <c r="AD605" i="9"/>
  <c r="AC605" i="9"/>
  <c r="AB605" i="9"/>
  <c r="AA605" i="9"/>
  <c r="Z605" i="9"/>
  <c r="Y605" i="9"/>
  <c r="X605" i="9"/>
  <c r="W605" i="9"/>
  <c r="V605" i="9"/>
  <c r="U605" i="9"/>
  <c r="T605" i="9"/>
  <c r="S605" i="9"/>
  <c r="R605" i="9"/>
  <c r="Q605" i="9"/>
  <c r="P605" i="9"/>
  <c r="O605" i="9"/>
  <c r="N605" i="9"/>
  <c r="M605" i="9"/>
  <c r="L605" i="9"/>
  <c r="K605" i="9"/>
  <c r="J605" i="9"/>
  <c r="I605" i="9"/>
  <c r="H605" i="9"/>
  <c r="G605" i="9"/>
  <c r="F605" i="9"/>
  <c r="E605" i="9"/>
  <c r="D605" i="9"/>
  <c r="AY604" i="9"/>
  <c r="AX604" i="9"/>
  <c r="AW604" i="9"/>
  <c r="AV604" i="9"/>
  <c r="AU604" i="9"/>
  <c r="AT604" i="9"/>
  <c r="AS604" i="9"/>
  <c r="AR604" i="9"/>
  <c r="AQ604" i="9"/>
  <c r="AO604" i="9"/>
  <c r="AN604" i="9"/>
  <c r="AM604" i="9"/>
  <c r="AL604" i="9"/>
  <c r="AK604" i="9"/>
  <c r="AJ604" i="9"/>
  <c r="AI604" i="9"/>
  <c r="AH604" i="9"/>
  <c r="AG604" i="9"/>
  <c r="AF604" i="9"/>
  <c r="AE604" i="9"/>
  <c r="AD604" i="9"/>
  <c r="AC604" i="9"/>
  <c r="AB604" i="9"/>
  <c r="AA604" i="9"/>
  <c r="Z604" i="9"/>
  <c r="Y604" i="9"/>
  <c r="X604" i="9"/>
  <c r="W604" i="9"/>
  <c r="V604" i="9"/>
  <c r="U604" i="9"/>
  <c r="T604" i="9"/>
  <c r="S604" i="9"/>
  <c r="R604" i="9"/>
  <c r="Q604" i="9"/>
  <c r="P604" i="9"/>
  <c r="O604" i="9"/>
  <c r="N604" i="9"/>
  <c r="M604" i="9"/>
  <c r="L604" i="9"/>
  <c r="K604" i="9"/>
  <c r="J604" i="9"/>
  <c r="I604" i="9"/>
  <c r="H604" i="9"/>
  <c r="G604" i="9"/>
  <c r="F604" i="9"/>
  <c r="E604" i="9"/>
  <c r="D604" i="9"/>
  <c r="AY603" i="9"/>
  <c r="AX603" i="9"/>
  <c r="AU603" i="9"/>
  <c r="AK603" i="9" s="1"/>
  <c r="AT603" i="9"/>
  <c r="AR603" i="9"/>
  <c r="AS603" i="9" s="1"/>
  <c r="AQ603" i="9"/>
  <c r="AW603" i="9" s="1"/>
  <c r="AM603" i="9" s="1"/>
  <c r="AO603" i="9"/>
  <c r="AN603" i="9"/>
  <c r="AG603" i="9"/>
  <c r="AF603" i="9"/>
  <c r="AE603" i="9"/>
  <c r="AD603" i="9"/>
  <c r="AC603" i="9"/>
  <c r="AB603" i="9"/>
  <c r="AA603" i="9"/>
  <c r="Z603" i="9"/>
  <c r="Y603" i="9"/>
  <c r="X603" i="9"/>
  <c r="W603" i="9"/>
  <c r="V603" i="9"/>
  <c r="U603" i="9"/>
  <c r="T603" i="9"/>
  <c r="S603" i="9"/>
  <c r="R603" i="9"/>
  <c r="Q603" i="9"/>
  <c r="P603" i="9"/>
  <c r="O603" i="9"/>
  <c r="N603" i="9"/>
  <c r="M603" i="9"/>
  <c r="L603" i="9"/>
  <c r="K603" i="9"/>
  <c r="J603" i="9"/>
  <c r="I603" i="9"/>
  <c r="H603" i="9"/>
  <c r="G603" i="9"/>
  <c r="F603" i="9"/>
  <c r="E603" i="9"/>
  <c r="D603" i="9"/>
  <c r="AY602" i="9"/>
  <c r="AO602" i="9" s="1"/>
  <c r="AX602" i="9"/>
  <c r="AN602" i="9" s="1"/>
  <c r="AW602" i="9"/>
  <c r="AM602" i="9" s="1"/>
  <c r="AV602" i="9"/>
  <c r="AL602" i="9" s="1"/>
  <c r="AU602" i="9"/>
  <c r="AT602" i="9"/>
  <c r="AR602" i="9"/>
  <c r="AS602" i="9" s="1"/>
  <c r="AQ602" i="9"/>
  <c r="AK602" i="9"/>
  <c r="AJ602" i="9"/>
  <c r="AI602" i="9"/>
  <c r="AH602" i="9"/>
  <c r="AG602" i="9"/>
  <c r="AF602" i="9"/>
  <c r="AE602" i="9"/>
  <c r="AD602" i="9"/>
  <c r="AC602" i="9"/>
  <c r="AB602" i="9"/>
  <c r="AA602" i="9"/>
  <c r="Z602" i="9"/>
  <c r="Y602" i="9"/>
  <c r="X602" i="9"/>
  <c r="W602" i="9"/>
  <c r="V602" i="9"/>
  <c r="U602" i="9"/>
  <c r="T602" i="9"/>
  <c r="S602" i="9"/>
  <c r="R602" i="9"/>
  <c r="Q602" i="9"/>
  <c r="P602" i="9"/>
  <c r="O602" i="9"/>
  <c r="N602" i="9"/>
  <c r="M602" i="9"/>
  <c r="L602" i="9"/>
  <c r="K602" i="9"/>
  <c r="J602" i="9"/>
  <c r="I602" i="9"/>
  <c r="H602" i="9"/>
  <c r="G602" i="9"/>
  <c r="F602" i="9"/>
  <c r="E602" i="9"/>
  <c r="D602" i="9"/>
  <c r="AY601" i="9"/>
  <c r="AX601" i="9"/>
  <c r="AW601" i="9"/>
  <c r="AQ601" i="9"/>
  <c r="AT601" i="9" s="1"/>
  <c r="AO601" i="9"/>
  <c r="AN601" i="9"/>
  <c r="AM601" i="9"/>
  <c r="AH601" i="9"/>
  <c r="AG601" i="9"/>
  <c r="AF601" i="9"/>
  <c r="AE601" i="9"/>
  <c r="AD601" i="9"/>
  <c r="AC601" i="9"/>
  <c r="AB601" i="9"/>
  <c r="AA601" i="9"/>
  <c r="Z601" i="9"/>
  <c r="Y601" i="9"/>
  <c r="X601" i="9"/>
  <c r="W601" i="9"/>
  <c r="V601" i="9"/>
  <c r="U601" i="9"/>
  <c r="T601" i="9"/>
  <c r="S601" i="9"/>
  <c r="R601" i="9"/>
  <c r="Q601" i="9"/>
  <c r="P601" i="9"/>
  <c r="O601" i="9"/>
  <c r="N601" i="9"/>
  <c r="M601" i="9"/>
  <c r="L601" i="9"/>
  <c r="K601" i="9"/>
  <c r="J601" i="9"/>
  <c r="I601" i="9"/>
  <c r="H601" i="9"/>
  <c r="G601" i="9"/>
  <c r="F601" i="9"/>
  <c r="E601" i="9"/>
  <c r="D601" i="9"/>
  <c r="AV600" i="9"/>
  <c r="AL600" i="9" s="1"/>
  <c r="AU600" i="9"/>
  <c r="AK600" i="9" s="1"/>
  <c r="AT600" i="9"/>
  <c r="AQ600" i="9"/>
  <c r="AY600" i="9" s="1"/>
  <c r="AO600" i="9" s="1"/>
  <c r="AG600" i="9"/>
  <c r="AF600" i="9"/>
  <c r="AE600" i="9"/>
  <c r="AD600" i="9"/>
  <c r="AC600" i="9"/>
  <c r="AB600" i="9"/>
  <c r="AA600" i="9"/>
  <c r="Z600" i="9"/>
  <c r="Y600" i="9"/>
  <c r="X600" i="9"/>
  <c r="W600" i="9"/>
  <c r="V600" i="9"/>
  <c r="U600" i="9"/>
  <c r="T600" i="9"/>
  <c r="S600" i="9"/>
  <c r="R600" i="9"/>
  <c r="Q600" i="9"/>
  <c r="P600" i="9"/>
  <c r="O600" i="9"/>
  <c r="N600" i="9"/>
  <c r="M600" i="9"/>
  <c r="L600" i="9"/>
  <c r="K600" i="9"/>
  <c r="J600" i="9"/>
  <c r="I600" i="9"/>
  <c r="H600" i="9"/>
  <c r="G600" i="9"/>
  <c r="F600" i="9"/>
  <c r="E600" i="9"/>
  <c r="D600" i="9"/>
  <c r="AY599" i="9"/>
  <c r="AO599" i="9" s="1"/>
  <c r="AX599" i="9"/>
  <c r="AN599" i="9" s="1"/>
  <c r="AV599" i="9"/>
  <c r="AU599" i="9"/>
  <c r="AK599" i="9" s="1"/>
  <c r="AT599" i="9"/>
  <c r="AH599" i="9" s="1"/>
  <c r="AQ599" i="9"/>
  <c r="AW599" i="9" s="1"/>
  <c r="AM599" i="9" s="1"/>
  <c r="AL599" i="9"/>
  <c r="AJ599" i="9"/>
  <c r="AI599" i="9"/>
  <c r="AG599" i="9"/>
  <c r="AF599" i="9"/>
  <c r="AE599" i="9"/>
  <c r="AD599" i="9"/>
  <c r="AC599" i="9"/>
  <c r="AB599" i="9"/>
  <c r="AA599" i="9"/>
  <c r="Z599" i="9"/>
  <c r="Y599" i="9"/>
  <c r="X599" i="9"/>
  <c r="W599" i="9"/>
  <c r="V599" i="9"/>
  <c r="U599" i="9"/>
  <c r="T599" i="9"/>
  <c r="S599" i="9"/>
  <c r="R599" i="9"/>
  <c r="Q599" i="9"/>
  <c r="P599" i="9"/>
  <c r="O599" i="9"/>
  <c r="N599" i="9"/>
  <c r="M599" i="9"/>
  <c r="L599" i="9"/>
  <c r="K599" i="9"/>
  <c r="J599" i="9"/>
  <c r="I599" i="9"/>
  <c r="H599" i="9"/>
  <c r="G599" i="9"/>
  <c r="F599" i="9"/>
  <c r="E599" i="9"/>
  <c r="D599" i="9"/>
  <c r="AQ598" i="9"/>
  <c r="AG598" i="9"/>
  <c r="AF598" i="9"/>
  <c r="AE598" i="9"/>
  <c r="AD598" i="9"/>
  <c r="AC598" i="9"/>
  <c r="AB598" i="9"/>
  <c r="AA598" i="9"/>
  <c r="Z598" i="9"/>
  <c r="Y598" i="9"/>
  <c r="X598" i="9"/>
  <c r="W598" i="9"/>
  <c r="V598" i="9"/>
  <c r="U598" i="9"/>
  <c r="T598" i="9"/>
  <c r="S598" i="9"/>
  <c r="R598" i="9"/>
  <c r="Q598" i="9"/>
  <c r="P598" i="9"/>
  <c r="O598" i="9"/>
  <c r="N598" i="9"/>
  <c r="M598" i="9"/>
  <c r="L598" i="9"/>
  <c r="K598" i="9"/>
  <c r="J598" i="9"/>
  <c r="I598" i="9"/>
  <c r="H598" i="9"/>
  <c r="G598" i="9"/>
  <c r="F598" i="9"/>
  <c r="E598" i="9"/>
  <c r="D598" i="9"/>
  <c r="AQ597" i="9"/>
  <c r="AG597" i="9"/>
  <c r="AF597" i="9"/>
  <c r="AE597" i="9"/>
  <c r="AD597" i="9"/>
  <c r="AC597" i="9"/>
  <c r="AB597" i="9"/>
  <c r="AA597" i="9"/>
  <c r="Z597" i="9"/>
  <c r="Y597" i="9"/>
  <c r="X597" i="9"/>
  <c r="W597" i="9"/>
  <c r="V597" i="9"/>
  <c r="U597" i="9"/>
  <c r="T597" i="9"/>
  <c r="S597" i="9"/>
  <c r="R597" i="9"/>
  <c r="Q597" i="9"/>
  <c r="P597" i="9"/>
  <c r="O597" i="9"/>
  <c r="N597" i="9"/>
  <c r="M597" i="9"/>
  <c r="L597" i="9"/>
  <c r="K597" i="9"/>
  <c r="J597" i="9"/>
  <c r="I597" i="9"/>
  <c r="H597" i="9"/>
  <c r="G597" i="9"/>
  <c r="F597" i="9"/>
  <c r="E597" i="9"/>
  <c r="D597" i="9"/>
  <c r="AY596" i="9"/>
  <c r="AO596" i="9" s="1"/>
  <c r="AW596" i="9"/>
  <c r="AV596" i="9"/>
  <c r="AL596" i="9" s="1"/>
  <c r="AU596" i="9"/>
  <c r="AT596" i="9"/>
  <c r="AQ596" i="9"/>
  <c r="AX596" i="9" s="1"/>
  <c r="AN596" i="9" s="1"/>
  <c r="AM596" i="9"/>
  <c r="AK596" i="9"/>
  <c r="AG596" i="9"/>
  <c r="AF596" i="9"/>
  <c r="AE596" i="9"/>
  <c r="AD596" i="9"/>
  <c r="AC596" i="9"/>
  <c r="AB596" i="9"/>
  <c r="AA596" i="9"/>
  <c r="Z596" i="9"/>
  <c r="Y596" i="9"/>
  <c r="X596" i="9"/>
  <c r="W596" i="9"/>
  <c r="V596" i="9"/>
  <c r="U596" i="9"/>
  <c r="T596" i="9"/>
  <c r="S596" i="9"/>
  <c r="R596" i="9"/>
  <c r="Q596" i="9"/>
  <c r="P596" i="9"/>
  <c r="O596" i="9"/>
  <c r="N596" i="9"/>
  <c r="M596" i="9"/>
  <c r="L596" i="9"/>
  <c r="K596" i="9"/>
  <c r="J596" i="9"/>
  <c r="I596" i="9"/>
  <c r="H596" i="9"/>
  <c r="G596" i="9"/>
  <c r="F596" i="9"/>
  <c r="E596" i="9"/>
  <c r="D596" i="9"/>
  <c r="AY595" i="9"/>
  <c r="AQ595" i="9"/>
  <c r="AO595" i="9"/>
  <c r="AG595" i="9"/>
  <c r="AF595" i="9"/>
  <c r="AE595" i="9"/>
  <c r="AD595" i="9"/>
  <c r="AC595" i="9"/>
  <c r="AB595" i="9"/>
  <c r="AA595" i="9"/>
  <c r="Z595" i="9"/>
  <c r="Y595" i="9"/>
  <c r="X595" i="9"/>
  <c r="W595" i="9"/>
  <c r="V595" i="9"/>
  <c r="U595" i="9"/>
  <c r="T595" i="9"/>
  <c r="S595" i="9"/>
  <c r="R595" i="9"/>
  <c r="Q595" i="9"/>
  <c r="P595" i="9"/>
  <c r="O595" i="9"/>
  <c r="N595" i="9"/>
  <c r="M595" i="9"/>
  <c r="L595" i="9"/>
  <c r="K595" i="9"/>
  <c r="J595" i="9"/>
  <c r="I595" i="9"/>
  <c r="H595" i="9"/>
  <c r="G595" i="9"/>
  <c r="F595" i="9"/>
  <c r="E595" i="9"/>
  <c r="D595" i="9"/>
  <c r="AW594" i="9"/>
  <c r="AM594" i="9" s="1"/>
  <c r="AV594" i="9"/>
  <c r="AL594" i="9" s="1"/>
  <c r="AU594" i="9"/>
  <c r="AK594" i="9" s="1"/>
  <c r="AR594" i="9"/>
  <c r="AS594" i="9" s="1"/>
  <c r="AQ594" i="9"/>
  <c r="AY594" i="9" s="1"/>
  <c r="AO594" i="9" s="1"/>
  <c r="AG594" i="9"/>
  <c r="AF594" i="9"/>
  <c r="AE594" i="9"/>
  <c r="AD594" i="9"/>
  <c r="AC594" i="9"/>
  <c r="AB594" i="9"/>
  <c r="AA594" i="9"/>
  <c r="Z594" i="9"/>
  <c r="Y594" i="9"/>
  <c r="X594" i="9"/>
  <c r="W594" i="9"/>
  <c r="V594" i="9"/>
  <c r="U594" i="9"/>
  <c r="T594" i="9"/>
  <c r="S594" i="9"/>
  <c r="R594" i="9"/>
  <c r="Q594" i="9"/>
  <c r="P594" i="9"/>
  <c r="O594" i="9"/>
  <c r="N594" i="9"/>
  <c r="M594" i="9"/>
  <c r="L594" i="9"/>
  <c r="K594" i="9"/>
  <c r="J594" i="9"/>
  <c r="I594" i="9"/>
  <c r="H594" i="9"/>
  <c r="G594" i="9"/>
  <c r="F594" i="9"/>
  <c r="E594" i="9"/>
  <c r="D594" i="9"/>
  <c r="AY593" i="9"/>
  <c r="AO593" i="9" s="1"/>
  <c r="AX593" i="9"/>
  <c r="AW593" i="9"/>
  <c r="AM593" i="9" s="1"/>
  <c r="AV593" i="9"/>
  <c r="AU593" i="9"/>
  <c r="AT593" i="9"/>
  <c r="AR593" i="9"/>
  <c r="AS593" i="9" s="1"/>
  <c r="AQ593" i="9"/>
  <c r="AN593" i="9"/>
  <c r="AL593" i="9"/>
  <c r="AK593" i="9"/>
  <c r="AJ593" i="9"/>
  <c r="AI593" i="9"/>
  <c r="AH593" i="9"/>
  <c r="AG593" i="9"/>
  <c r="AF593" i="9"/>
  <c r="AE593" i="9"/>
  <c r="AD593" i="9"/>
  <c r="AC593" i="9"/>
  <c r="AB593" i="9"/>
  <c r="AA593" i="9"/>
  <c r="Z593" i="9"/>
  <c r="Y593" i="9"/>
  <c r="X593" i="9"/>
  <c r="W593" i="9"/>
  <c r="V593" i="9"/>
  <c r="U593" i="9"/>
  <c r="T593" i="9"/>
  <c r="S593" i="9"/>
  <c r="R593" i="9"/>
  <c r="Q593" i="9"/>
  <c r="P593" i="9"/>
  <c r="O593" i="9"/>
  <c r="N593" i="9"/>
  <c r="M593" i="9"/>
  <c r="L593" i="9"/>
  <c r="K593" i="9"/>
  <c r="J593" i="9"/>
  <c r="I593" i="9"/>
  <c r="H593" i="9"/>
  <c r="G593" i="9"/>
  <c r="F593" i="9"/>
  <c r="E593" i="9"/>
  <c r="D593" i="9"/>
  <c r="AR592" i="9"/>
  <c r="AS592" i="9" s="1"/>
  <c r="AQ592" i="9"/>
  <c r="AG592" i="9"/>
  <c r="AF592" i="9"/>
  <c r="AE592" i="9"/>
  <c r="AD592" i="9"/>
  <c r="AC592" i="9"/>
  <c r="AB592" i="9"/>
  <c r="AA592" i="9"/>
  <c r="Z592" i="9"/>
  <c r="Y592" i="9"/>
  <c r="X592" i="9"/>
  <c r="W592" i="9"/>
  <c r="V592" i="9"/>
  <c r="U592" i="9"/>
  <c r="T592" i="9"/>
  <c r="S592" i="9"/>
  <c r="R592" i="9"/>
  <c r="Q592" i="9"/>
  <c r="P592" i="9"/>
  <c r="O592" i="9"/>
  <c r="N592" i="9"/>
  <c r="M592" i="9"/>
  <c r="L592" i="9"/>
  <c r="K592" i="9"/>
  <c r="J592" i="9"/>
  <c r="I592" i="9"/>
  <c r="H592" i="9"/>
  <c r="G592" i="9"/>
  <c r="F592" i="9"/>
  <c r="E592" i="9"/>
  <c r="D592" i="9"/>
  <c r="AQ591" i="9"/>
  <c r="AG591" i="9"/>
  <c r="AF591" i="9"/>
  <c r="AE591" i="9"/>
  <c r="AD591" i="9"/>
  <c r="AC591" i="9"/>
  <c r="AB591" i="9"/>
  <c r="AA591" i="9"/>
  <c r="Z591" i="9"/>
  <c r="Y591" i="9"/>
  <c r="X591" i="9"/>
  <c r="W591" i="9"/>
  <c r="V591" i="9"/>
  <c r="U591" i="9"/>
  <c r="T591" i="9"/>
  <c r="S591" i="9"/>
  <c r="R591" i="9"/>
  <c r="Q591" i="9"/>
  <c r="P591" i="9"/>
  <c r="O591" i="9"/>
  <c r="N591" i="9"/>
  <c r="M591" i="9"/>
  <c r="L591" i="9"/>
  <c r="K591" i="9"/>
  <c r="J591" i="9"/>
  <c r="I591" i="9"/>
  <c r="H591" i="9"/>
  <c r="G591" i="9"/>
  <c r="F591" i="9"/>
  <c r="E591" i="9"/>
  <c r="D591" i="9"/>
  <c r="AY590" i="9"/>
  <c r="AX590" i="9"/>
  <c r="AW590" i="9"/>
  <c r="AV590" i="9"/>
  <c r="AU590" i="9"/>
  <c r="AT590" i="9"/>
  <c r="AS590" i="9"/>
  <c r="AR590" i="9"/>
  <c r="AQ590" i="9"/>
  <c r="AO590" i="9"/>
  <c r="AN590" i="9"/>
  <c r="AM590" i="9"/>
  <c r="AL590" i="9"/>
  <c r="AK590" i="9"/>
  <c r="AJ590" i="9"/>
  <c r="AI590" i="9"/>
  <c r="AH590" i="9"/>
  <c r="AG590" i="9"/>
  <c r="AF590" i="9"/>
  <c r="AE590" i="9"/>
  <c r="AD590" i="9"/>
  <c r="AC590" i="9"/>
  <c r="AB590" i="9"/>
  <c r="AA590" i="9"/>
  <c r="Z590" i="9"/>
  <c r="Y590" i="9"/>
  <c r="X590" i="9"/>
  <c r="W590" i="9"/>
  <c r="V590" i="9"/>
  <c r="U590" i="9"/>
  <c r="T590" i="9"/>
  <c r="S590" i="9"/>
  <c r="R590" i="9"/>
  <c r="Q590" i="9"/>
  <c r="P590" i="9"/>
  <c r="O590" i="9"/>
  <c r="N590" i="9"/>
  <c r="M590" i="9"/>
  <c r="L590" i="9"/>
  <c r="K590" i="9"/>
  <c r="J590" i="9"/>
  <c r="I590" i="9"/>
  <c r="H590" i="9"/>
  <c r="G590" i="9"/>
  <c r="F590" i="9"/>
  <c r="E590" i="9"/>
  <c r="D590" i="9"/>
  <c r="AY589" i="9"/>
  <c r="AX589" i="9"/>
  <c r="AU589" i="9"/>
  <c r="AK589" i="9" s="1"/>
  <c r="AT589" i="9"/>
  <c r="AR589" i="9"/>
  <c r="AS589" i="9" s="1"/>
  <c r="AQ589" i="9"/>
  <c r="AW589" i="9" s="1"/>
  <c r="AM589" i="9" s="1"/>
  <c r="AO589" i="9"/>
  <c r="AN589" i="9"/>
  <c r="AG589" i="9"/>
  <c r="AF589" i="9"/>
  <c r="AE589" i="9"/>
  <c r="AD589" i="9"/>
  <c r="AC589" i="9"/>
  <c r="AB589" i="9"/>
  <c r="AA589" i="9"/>
  <c r="Z589" i="9"/>
  <c r="Y589" i="9"/>
  <c r="X589" i="9"/>
  <c r="W589" i="9"/>
  <c r="V589" i="9"/>
  <c r="U589" i="9"/>
  <c r="T589" i="9"/>
  <c r="S589" i="9"/>
  <c r="R589" i="9"/>
  <c r="Q589" i="9"/>
  <c r="P589" i="9"/>
  <c r="O589" i="9"/>
  <c r="N589" i="9"/>
  <c r="M589" i="9"/>
  <c r="L589" i="9"/>
  <c r="K589" i="9"/>
  <c r="J589" i="9"/>
  <c r="I589" i="9"/>
  <c r="H589" i="9"/>
  <c r="G589" i="9"/>
  <c r="F589" i="9"/>
  <c r="E589" i="9"/>
  <c r="D589" i="9"/>
  <c r="AY588" i="9"/>
  <c r="AO588" i="9" s="1"/>
  <c r="AX588" i="9"/>
  <c r="AN588" i="9" s="1"/>
  <c r="AW588" i="9"/>
  <c r="AM588" i="9" s="1"/>
  <c r="AV588" i="9"/>
  <c r="AL588" i="9" s="1"/>
  <c r="AU588" i="9"/>
  <c r="AT588" i="9"/>
  <c r="AH588" i="9" s="1"/>
  <c r="AR588" i="9"/>
  <c r="AS588" i="9" s="1"/>
  <c r="AQ588" i="9"/>
  <c r="AK588" i="9"/>
  <c r="AG588" i="9"/>
  <c r="AF588" i="9"/>
  <c r="AE588" i="9"/>
  <c r="AD588" i="9"/>
  <c r="AC588" i="9"/>
  <c r="AB588" i="9"/>
  <c r="AA588" i="9"/>
  <c r="Z588" i="9"/>
  <c r="Y588" i="9"/>
  <c r="X588" i="9"/>
  <c r="W588" i="9"/>
  <c r="V588" i="9"/>
  <c r="U588" i="9"/>
  <c r="T588" i="9"/>
  <c r="S588" i="9"/>
  <c r="R588" i="9"/>
  <c r="Q588" i="9"/>
  <c r="P588" i="9"/>
  <c r="O588" i="9"/>
  <c r="N588" i="9"/>
  <c r="M588" i="9"/>
  <c r="L588" i="9"/>
  <c r="K588" i="9"/>
  <c r="J588" i="9"/>
  <c r="I588" i="9"/>
  <c r="H588" i="9"/>
  <c r="G588" i="9"/>
  <c r="F588" i="9"/>
  <c r="E588" i="9"/>
  <c r="D588" i="9"/>
  <c r="AY587" i="9"/>
  <c r="AX587" i="9"/>
  <c r="AW587" i="9"/>
  <c r="AQ587" i="9"/>
  <c r="AT587" i="9" s="1"/>
  <c r="AI587" i="9" s="1"/>
  <c r="AO587" i="9"/>
  <c r="AN587" i="9"/>
  <c r="AM587" i="9"/>
  <c r="AJ587" i="9"/>
  <c r="AH587" i="9"/>
  <c r="AG587" i="9"/>
  <c r="AF587" i="9"/>
  <c r="AE587" i="9"/>
  <c r="AD587" i="9"/>
  <c r="AC587" i="9"/>
  <c r="AB587" i="9"/>
  <c r="AA587" i="9"/>
  <c r="Z587" i="9"/>
  <c r="Y587" i="9"/>
  <c r="X587" i="9"/>
  <c r="W587" i="9"/>
  <c r="V587" i="9"/>
  <c r="U587" i="9"/>
  <c r="T587" i="9"/>
  <c r="S587" i="9"/>
  <c r="R587" i="9"/>
  <c r="Q587" i="9"/>
  <c r="P587" i="9"/>
  <c r="O587" i="9"/>
  <c r="N587" i="9"/>
  <c r="M587" i="9"/>
  <c r="L587" i="9"/>
  <c r="K587" i="9"/>
  <c r="J587" i="9"/>
  <c r="I587" i="9"/>
  <c r="H587" i="9"/>
  <c r="G587" i="9"/>
  <c r="F587" i="9"/>
  <c r="E587" i="9"/>
  <c r="D587" i="9"/>
  <c r="AU586" i="9"/>
  <c r="AK586" i="9" s="1"/>
  <c r="AT586" i="9"/>
  <c r="AQ586" i="9"/>
  <c r="AY586" i="9" s="1"/>
  <c r="AO586" i="9"/>
  <c r="AG586" i="9"/>
  <c r="AF586" i="9"/>
  <c r="AE586" i="9"/>
  <c r="AD586" i="9"/>
  <c r="AC586" i="9"/>
  <c r="AB586" i="9"/>
  <c r="AA586" i="9"/>
  <c r="Z586" i="9"/>
  <c r="Y586" i="9"/>
  <c r="X586" i="9"/>
  <c r="W586" i="9"/>
  <c r="V586" i="9"/>
  <c r="U586" i="9"/>
  <c r="T586" i="9"/>
  <c r="S586" i="9"/>
  <c r="R586" i="9"/>
  <c r="Q586" i="9"/>
  <c r="P586" i="9"/>
  <c r="O586" i="9"/>
  <c r="N586" i="9"/>
  <c r="M586" i="9"/>
  <c r="L586" i="9"/>
  <c r="K586" i="9"/>
  <c r="J586" i="9"/>
  <c r="I586" i="9"/>
  <c r="H586" i="9"/>
  <c r="G586" i="9"/>
  <c r="F586" i="9"/>
  <c r="E586" i="9"/>
  <c r="D586" i="9"/>
  <c r="AY585" i="9"/>
  <c r="AO585" i="9" s="1"/>
  <c r="AX585" i="9"/>
  <c r="AN585" i="9" s="1"/>
  <c r="AV585" i="9"/>
  <c r="AU585" i="9"/>
  <c r="AK585" i="9" s="1"/>
  <c r="AT585" i="9"/>
  <c r="AH585" i="9" s="1"/>
  <c r="AQ585" i="9"/>
  <c r="AW585" i="9" s="1"/>
  <c r="AM585" i="9" s="1"/>
  <c r="AL585" i="9"/>
  <c r="AJ585" i="9"/>
  <c r="AI585" i="9"/>
  <c r="AG585" i="9"/>
  <c r="AF585" i="9"/>
  <c r="AE585" i="9"/>
  <c r="AD585" i="9"/>
  <c r="AC585" i="9"/>
  <c r="AB585" i="9"/>
  <c r="AA585" i="9"/>
  <c r="Z585" i="9"/>
  <c r="Y585" i="9"/>
  <c r="X585" i="9"/>
  <c r="W585" i="9"/>
  <c r="V585" i="9"/>
  <c r="U585" i="9"/>
  <c r="T585" i="9"/>
  <c r="S585" i="9"/>
  <c r="R585" i="9"/>
  <c r="Q585" i="9"/>
  <c r="P585" i="9"/>
  <c r="O585" i="9"/>
  <c r="N585" i="9"/>
  <c r="M585" i="9"/>
  <c r="L585" i="9"/>
  <c r="K585" i="9"/>
  <c r="J585" i="9"/>
  <c r="I585" i="9"/>
  <c r="H585" i="9"/>
  <c r="G585" i="9"/>
  <c r="F585" i="9"/>
  <c r="E585" i="9"/>
  <c r="D585" i="9"/>
  <c r="AQ584" i="9"/>
  <c r="AG584" i="9"/>
  <c r="AF584" i="9"/>
  <c r="AE584" i="9"/>
  <c r="AD584" i="9"/>
  <c r="AC584" i="9"/>
  <c r="AB584" i="9"/>
  <c r="AA584" i="9"/>
  <c r="Z584" i="9"/>
  <c r="Y584" i="9"/>
  <c r="X584" i="9"/>
  <c r="W584" i="9"/>
  <c r="V584" i="9"/>
  <c r="U584" i="9"/>
  <c r="T584" i="9"/>
  <c r="S584" i="9"/>
  <c r="R584" i="9"/>
  <c r="Q584" i="9"/>
  <c r="P584" i="9"/>
  <c r="O584" i="9"/>
  <c r="N584" i="9"/>
  <c r="M584" i="9"/>
  <c r="L584" i="9"/>
  <c r="K584" i="9"/>
  <c r="J584" i="9"/>
  <c r="I584" i="9"/>
  <c r="H584" i="9"/>
  <c r="G584" i="9"/>
  <c r="F584" i="9"/>
  <c r="E584" i="9"/>
  <c r="D584" i="9"/>
  <c r="AQ583" i="9"/>
  <c r="AG583" i="9"/>
  <c r="AF583" i="9"/>
  <c r="AE583" i="9"/>
  <c r="AD583" i="9"/>
  <c r="AC583" i="9"/>
  <c r="AB583" i="9"/>
  <c r="AA583" i="9"/>
  <c r="Z583" i="9"/>
  <c r="Y583" i="9"/>
  <c r="X583" i="9"/>
  <c r="W583" i="9"/>
  <c r="V583" i="9"/>
  <c r="U583" i="9"/>
  <c r="T583" i="9"/>
  <c r="S583" i="9"/>
  <c r="R583" i="9"/>
  <c r="Q583" i="9"/>
  <c r="P583" i="9"/>
  <c r="O583" i="9"/>
  <c r="N583" i="9"/>
  <c r="M583" i="9"/>
  <c r="L583" i="9"/>
  <c r="K583" i="9"/>
  <c r="J583" i="9"/>
  <c r="I583" i="9"/>
  <c r="H583" i="9"/>
  <c r="G583" i="9"/>
  <c r="F583" i="9"/>
  <c r="E583" i="9"/>
  <c r="D583" i="9"/>
  <c r="AY582" i="9"/>
  <c r="AO582" i="9" s="1"/>
  <c r="AW582" i="9"/>
  <c r="AM582" i="9" s="1"/>
  <c r="AV582" i="9"/>
  <c r="AL582" i="9" s="1"/>
  <c r="AU582" i="9"/>
  <c r="AT582" i="9"/>
  <c r="AQ582" i="9"/>
  <c r="AX582" i="9" s="1"/>
  <c r="AN582" i="9" s="1"/>
  <c r="AK582" i="9"/>
  <c r="AG582" i="9"/>
  <c r="AF582" i="9"/>
  <c r="AE582" i="9"/>
  <c r="AD582" i="9"/>
  <c r="AC582" i="9"/>
  <c r="AB582" i="9"/>
  <c r="AA582" i="9"/>
  <c r="Z582" i="9"/>
  <c r="Y582" i="9"/>
  <c r="X582" i="9"/>
  <c r="W582" i="9"/>
  <c r="V582" i="9"/>
  <c r="U582" i="9"/>
  <c r="T582" i="9"/>
  <c r="S582" i="9"/>
  <c r="R582" i="9"/>
  <c r="Q582" i="9"/>
  <c r="P582" i="9"/>
  <c r="O582" i="9"/>
  <c r="N582" i="9"/>
  <c r="M582" i="9"/>
  <c r="L582" i="9"/>
  <c r="K582" i="9"/>
  <c r="J582" i="9"/>
  <c r="I582" i="9"/>
  <c r="H582" i="9"/>
  <c r="G582" i="9"/>
  <c r="F582" i="9"/>
  <c r="E582" i="9"/>
  <c r="D582" i="9"/>
  <c r="AR581" i="9"/>
  <c r="AS581" i="9" s="1"/>
  <c r="AQ581" i="9"/>
  <c r="AG581" i="9"/>
  <c r="AF581" i="9"/>
  <c r="AE581" i="9"/>
  <c r="AD581" i="9"/>
  <c r="AC581" i="9"/>
  <c r="AB581" i="9"/>
  <c r="AA581" i="9"/>
  <c r="Z581" i="9"/>
  <c r="Y581" i="9"/>
  <c r="X581" i="9"/>
  <c r="W581" i="9"/>
  <c r="V581" i="9"/>
  <c r="U581" i="9"/>
  <c r="T581" i="9"/>
  <c r="S581" i="9"/>
  <c r="R581" i="9"/>
  <c r="Q581" i="9"/>
  <c r="P581" i="9"/>
  <c r="O581" i="9"/>
  <c r="N581" i="9"/>
  <c r="M581" i="9"/>
  <c r="L581" i="9"/>
  <c r="K581" i="9"/>
  <c r="J581" i="9"/>
  <c r="I581" i="9"/>
  <c r="H581" i="9"/>
  <c r="G581" i="9"/>
  <c r="F581" i="9"/>
  <c r="E581" i="9"/>
  <c r="D581" i="9"/>
  <c r="AW580" i="9"/>
  <c r="AM580" i="9" s="1"/>
  <c r="AV580" i="9"/>
  <c r="AL580" i="9" s="1"/>
  <c r="AU580" i="9"/>
  <c r="AK580" i="9" s="1"/>
  <c r="AR580" i="9"/>
  <c r="AS580" i="9" s="1"/>
  <c r="AQ580" i="9"/>
  <c r="AY580" i="9" s="1"/>
  <c r="AO580" i="9" s="1"/>
  <c r="AG580" i="9"/>
  <c r="AF580" i="9"/>
  <c r="AE580" i="9"/>
  <c r="AD580" i="9"/>
  <c r="AC580" i="9"/>
  <c r="AB580" i="9"/>
  <c r="AA580" i="9"/>
  <c r="Z580" i="9"/>
  <c r="Y580" i="9"/>
  <c r="X580" i="9"/>
  <c r="W580" i="9"/>
  <c r="V580" i="9"/>
  <c r="U580" i="9"/>
  <c r="T580" i="9"/>
  <c r="S580" i="9"/>
  <c r="R580" i="9"/>
  <c r="Q580" i="9"/>
  <c r="P580" i="9"/>
  <c r="O580" i="9"/>
  <c r="N580" i="9"/>
  <c r="M580" i="9"/>
  <c r="L580" i="9"/>
  <c r="K580" i="9"/>
  <c r="J580" i="9"/>
  <c r="I580" i="9"/>
  <c r="H580" i="9"/>
  <c r="G580" i="9"/>
  <c r="F580" i="9"/>
  <c r="E580" i="9"/>
  <c r="D580" i="9"/>
  <c r="AY579" i="9"/>
  <c r="AO579" i="9" s="1"/>
  <c r="AX579" i="9"/>
  <c r="AN579" i="9" s="1"/>
  <c r="AW579" i="9"/>
  <c r="AM579" i="9" s="1"/>
  <c r="AV579" i="9"/>
  <c r="AU579" i="9"/>
  <c r="AR579" i="9"/>
  <c r="AS579" i="9" s="1"/>
  <c r="AQ579" i="9"/>
  <c r="AT579" i="9" s="1"/>
  <c r="AL579" i="9"/>
  <c r="AK579" i="9"/>
  <c r="AH579" i="9"/>
  <c r="AG579" i="9"/>
  <c r="AF579" i="9"/>
  <c r="AE579" i="9"/>
  <c r="AD579" i="9"/>
  <c r="AC579" i="9"/>
  <c r="AB579" i="9"/>
  <c r="AA579" i="9"/>
  <c r="Z579" i="9"/>
  <c r="Y579" i="9"/>
  <c r="X579" i="9"/>
  <c r="W579" i="9"/>
  <c r="V579" i="9"/>
  <c r="U579" i="9"/>
  <c r="T579" i="9"/>
  <c r="S579" i="9"/>
  <c r="R579" i="9"/>
  <c r="Q579" i="9"/>
  <c r="P579" i="9"/>
  <c r="O579" i="9"/>
  <c r="N579" i="9"/>
  <c r="M579" i="9"/>
  <c r="L579" i="9"/>
  <c r="K579" i="9"/>
  <c r="J579" i="9"/>
  <c r="I579" i="9"/>
  <c r="H579" i="9"/>
  <c r="G579" i="9"/>
  <c r="F579" i="9"/>
  <c r="E579" i="9"/>
  <c r="D579" i="9"/>
  <c r="AQ578" i="9"/>
  <c r="AG578" i="9"/>
  <c r="AF578" i="9"/>
  <c r="AE578" i="9"/>
  <c r="AD578" i="9"/>
  <c r="AC578" i="9"/>
  <c r="AB578" i="9"/>
  <c r="AA578" i="9"/>
  <c r="Z578" i="9"/>
  <c r="Y578" i="9"/>
  <c r="X578" i="9"/>
  <c r="W578" i="9"/>
  <c r="V578" i="9"/>
  <c r="U578" i="9"/>
  <c r="T578" i="9"/>
  <c r="S578" i="9"/>
  <c r="R578" i="9"/>
  <c r="Q578" i="9"/>
  <c r="P578" i="9"/>
  <c r="O578" i="9"/>
  <c r="N578" i="9"/>
  <c r="M578" i="9"/>
  <c r="L578" i="9"/>
  <c r="K578" i="9"/>
  <c r="J578" i="9"/>
  <c r="I578" i="9"/>
  <c r="H578" i="9"/>
  <c r="G578" i="9"/>
  <c r="F578" i="9"/>
  <c r="E578" i="9"/>
  <c r="D578" i="9"/>
  <c r="AQ577" i="9"/>
  <c r="AG577" i="9"/>
  <c r="AF577" i="9"/>
  <c r="AE577" i="9"/>
  <c r="AD577" i="9"/>
  <c r="AC577" i="9"/>
  <c r="AB577" i="9"/>
  <c r="AA577" i="9"/>
  <c r="Z577" i="9"/>
  <c r="Y577" i="9"/>
  <c r="X577" i="9"/>
  <c r="W577" i="9"/>
  <c r="V577" i="9"/>
  <c r="U577" i="9"/>
  <c r="T577" i="9"/>
  <c r="S577" i="9"/>
  <c r="R577" i="9"/>
  <c r="Q577" i="9"/>
  <c r="P577" i="9"/>
  <c r="O577" i="9"/>
  <c r="N577" i="9"/>
  <c r="M577" i="9"/>
  <c r="L577" i="9"/>
  <c r="K577" i="9"/>
  <c r="J577" i="9"/>
  <c r="I577" i="9"/>
  <c r="H577" i="9"/>
  <c r="G577" i="9"/>
  <c r="F577" i="9"/>
  <c r="E577" i="9"/>
  <c r="D577" i="9"/>
  <c r="AY576" i="9"/>
  <c r="AO576" i="9" s="1"/>
  <c r="AX576" i="9"/>
  <c r="AN576" i="9" s="1"/>
  <c r="AW576" i="9"/>
  <c r="AV576" i="9"/>
  <c r="AU576" i="9"/>
  <c r="AT576" i="9"/>
  <c r="AS576" i="9"/>
  <c r="AR576" i="9"/>
  <c r="AQ576" i="9"/>
  <c r="AM576" i="9"/>
  <c r="AL576" i="9"/>
  <c r="AK576" i="9"/>
  <c r="AJ576" i="9"/>
  <c r="AI576" i="9"/>
  <c r="AH576" i="9"/>
  <c r="AG576" i="9"/>
  <c r="AF576" i="9"/>
  <c r="AE576" i="9"/>
  <c r="AD576" i="9"/>
  <c r="AC576" i="9"/>
  <c r="AB576" i="9"/>
  <c r="AA576" i="9"/>
  <c r="Z576" i="9"/>
  <c r="Y576" i="9"/>
  <c r="X576" i="9"/>
  <c r="W576" i="9"/>
  <c r="V576" i="9"/>
  <c r="U576" i="9"/>
  <c r="T576" i="9"/>
  <c r="S576" i="9"/>
  <c r="R576" i="9"/>
  <c r="Q576" i="9"/>
  <c r="P576" i="9"/>
  <c r="O576" i="9"/>
  <c r="N576" i="9"/>
  <c r="M576" i="9"/>
  <c r="L576" i="9"/>
  <c r="K576" i="9"/>
  <c r="J576" i="9"/>
  <c r="I576" i="9"/>
  <c r="H576" i="9"/>
  <c r="G576" i="9"/>
  <c r="F576" i="9"/>
  <c r="E576" i="9"/>
  <c r="D576" i="9"/>
  <c r="AT575" i="9"/>
  <c r="AS575" i="9"/>
  <c r="AR575" i="9"/>
  <c r="AQ575" i="9"/>
  <c r="AX575" i="9" s="1"/>
  <c r="AN575" i="9"/>
  <c r="AG575" i="9"/>
  <c r="AF575" i="9"/>
  <c r="AE575" i="9"/>
  <c r="AD575" i="9"/>
  <c r="AC575" i="9"/>
  <c r="AB575" i="9"/>
  <c r="AA575" i="9"/>
  <c r="Z575" i="9"/>
  <c r="Y575" i="9"/>
  <c r="X575" i="9"/>
  <c r="W575" i="9"/>
  <c r="V575" i="9"/>
  <c r="U575" i="9"/>
  <c r="T575" i="9"/>
  <c r="S575" i="9"/>
  <c r="R575" i="9"/>
  <c r="Q575" i="9"/>
  <c r="P575" i="9"/>
  <c r="O575" i="9"/>
  <c r="N575" i="9"/>
  <c r="M575" i="9"/>
  <c r="L575" i="9"/>
  <c r="K575" i="9"/>
  <c r="J575" i="9"/>
  <c r="I575" i="9"/>
  <c r="H575" i="9"/>
  <c r="G575" i="9"/>
  <c r="F575" i="9"/>
  <c r="E575" i="9"/>
  <c r="D575" i="9"/>
  <c r="AY574" i="9"/>
  <c r="AO574" i="9" s="1"/>
  <c r="AX574" i="9"/>
  <c r="AN574" i="9" s="1"/>
  <c r="AW574" i="9"/>
  <c r="AM574" i="9" s="1"/>
  <c r="AV574" i="9"/>
  <c r="AL574" i="9" s="1"/>
  <c r="AU574" i="9"/>
  <c r="AK574" i="9" s="1"/>
  <c r="AT574" i="9"/>
  <c r="AJ574" i="9" s="1"/>
  <c r="AR574" i="9"/>
  <c r="AS574" i="9" s="1"/>
  <c r="AQ574" i="9"/>
  <c r="AH574" i="9"/>
  <c r="AG574" i="9"/>
  <c r="AF574" i="9"/>
  <c r="AE574" i="9"/>
  <c r="AD574" i="9"/>
  <c r="AC574" i="9"/>
  <c r="AB574" i="9"/>
  <c r="AA574" i="9"/>
  <c r="Z574" i="9"/>
  <c r="Y574" i="9"/>
  <c r="X574" i="9"/>
  <c r="W574" i="9"/>
  <c r="V574" i="9"/>
  <c r="U574" i="9"/>
  <c r="T574" i="9"/>
  <c r="S574" i="9"/>
  <c r="R574" i="9"/>
  <c r="Q574" i="9"/>
  <c r="P574" i="9"/>
  <c r="O574" i="9"/>
  <c r="N574" i="9"/>
  <c r="M574" i="9"/>
  <c r="L574" i="9"/>
  <c r="K574" i="9"/>
  <c r="J574" i="9"/>
  <c r="I574" i="9"/>
  <c r="H574" i="9"/>
  <c r="G574" i="9"/>
  <c r="F574" i="9"/>
  <c r="E574" i="9"/>
  <c r="D574" i="9"/>
  <c r="AY573" i="9"/>
  <c r="AX573" i="9"/>
  <c r="AW573" i="9"/>
  <c r="AM573" i="9" s="1"/>
  <c r="AQ573" i="9"/>
  <c r="AT573" i="9" s="1"/>
  <c r="AI573" i="9" s="1"/>
  <c r="AO573" i="9"/>
  <c r="AN573" i="9"/>
  <c r="AG573" i="9"/>
  <c r="AF573" i="9"/>
  <c r="AE573" i="9"/>
  <c r="AD573" i="9"/>
  <c r="AC573" i="9"/>
  <c r="AB573" i="9"/>
  <c r="AA573" i="9"/>
  <c r="Z573" i="9"/>
  <c r="Y573" i="9"/>
  <c r="X573" i="9"/>
  <c r="W573" i="9"/>
  <c r="V573" i="9"/>
  <c r="U573" i="9"/>
  <c r="T573" i="9"/>
  <c r="S573" i="9"/>
  <c r="R573" i="9"/>
  <c r="Q573" i="9"/>
  <c r="P573" i="9"/>
  <c r="O573" i="9"/>
  <c r="N573" i="9"/>
  <c r="M573" i="9"/>
  <c r="L573" i="9"/>
  <c r="K573" i="9"/>
  <c r="J573" i="9"/>
  <c r="I573" i="9"/>
  <c r="H573" i="9"/>
  <c r="G573" i="9"/>
  <c r="F573" i="9"/>
  <c r="E573" i="9"/>
  <c r="D573" i="9"/>
  <c r="AU572" i="9"/>
  <c r="AK572" i="9" s="1"/>
  <c r="AT572" i="9"/>
  <c r="AS572" i="9"/>
  <c r="AR572" i="9"/>
  <c r="AQ572" i="9"/>
  <c r="AY572" i="9" s="1"/>
  <c r="AO572" i="9"/>
  <c r="AG572" i="9"/>
  <c r="AF572" i="9"/>
  <c r="AE572" i="9"/>
  <c r="AD572" i="9"/>
  <c r="AC572" i="9"/>
  <c r="AB572" i="9"/>
  <c r="AA572" i="9"/>
  <c r="Z572" i="9"/>
  <c r="Y572" i="9"/>
  <c r="X572" i="9"/>
  <c r="W572" i="9"/>
  <c r="V572" i="9"/>
  <c r="U572" i="9"/>
  <c r="T572" i="9"/>
  <c r="S572" i="9"/>
  <c r="R572" i="9"/>
  <c r="Q572" i="9"/>
  <c r="P572" i="9"/>
  <c r="O572" i="9"/>
  <c r="N572" i="9"/>
  <c r="M572" i="9"/>
  <c r="L572" i="9"/>
  <c r="K572" i="9"/>
  <c r="J572" i="9"/>
  <c r="I572" i="9"/>
  <c r="H572" i="9"/>
  <c r="G572" i="9"/>
  <c r="F572" i="9"/>
  <c r="E572" i="9"/>
  <c r="D572" i="9"/>
  <c r="AY571" i="9"/>
  <c r="AO571" i="9" s="1"/>
  <c r="AX571" i="9"/>
  <c r="AN571" i="9" s="1"/>
  <c r="AW571" i="9"/>
  <c r="AM571" i="9" s="1"/>
  <c r="AV571" i="9"/>
  <c r="AL571" i="9" s="1"/>
  <c r="AU571" i="9"/>
  <c r="AT571" i="9"/>
  <c r="AH571" i="9" s="1"/>
  <c r="AQ571" i="9"/>
  <c r="AR571" i="9" s="1"/>
  <c r="AS571" i="9" s="1"/>
  <c r="AK571" i="9"/>
  <c r="AJ571" i="9"/>
  <c r="AI571" i="9"/>
  <c r="AG571" i="9"/>
  <c r="AF571" i="9"/>
  <c r="AE571" i="9"/>
  <c r="AD571" i="9"/>
  <c r="AC571" i="9"/>
  <c r="AB571" i="9"/>
  <c r="AA571" i="9"/>
  <c r="Z571" i="9"/>
  <c r="Y571" i="9"/>
  <c r="X571" i="9"/>
  <c r="W571" i="9"/>
  <c r="V571" i="9"/>
  <c r="U571" i="9"/>
  <c r="T571" i="9"/>
  <c r="S571" i="9"/>
  <c r="R571" i="9"/>
  <c r="Q571" i="9"/>
  <c r="P571" i="9"/>
  <c r="O571" i="9"/>
  <c r="N571" i="9"/>
  <c r="M571" i="9"/>
  <c r="L571" i="9"/>
  <c r="K571" i="9"/>
  <c r="J571" i="9"/>
  <c r="I571" i="9"/>
  <c r="H571" i="9"/>
  <c r="G571" i="9"/>
  <c r="F571" i="9"/>
  <c r="E571" i="9"/>
  <c r="D571" i="9"/>
  <c r="AX570" i="9"/>
  <c r="AN570" i="9" s="1"/>
  <c r="AQ570" i="9"/>
  <c r="AG570" i="9"/>
  <c r="AF570" i="9"/>
  <c r="AE570" i="9"/>
  <c r="AD570" i="9"/>
  <c r="AC570" i="9"/>
  <c r="AB570" i="9"/>
  <c r="AA570" i="9"/>
  <c r="Z570" i="9"/>
  <c r="Y570" i="9"/>
  <c r="X570" i="9"/>
  <c r="W570" i="9"/>
  <c r="V570" i="9"/>
  <c r="U570" i="9"/>
  <c r="T570" i="9"/>
  <c r="S570" i="9"/>
  <c r="R570" i="9"/>
  <c r="Q570" i="9"/>
  <c r="P570" i="9"/>
  <c r="O570" i="9"/>
  <c r="N570" i="9"/>
  <c r="M570" i="9"/>
  <c r="L570" i="9"/>
  <c r="K570" i="9"/>
  <c r="J570" i="9"/>
  <c r="I570" i="9"/>
  <c r="H570" i="9"/>
  <c r="G570" i="9"/>
  <c r="F570" i="9"/>
  <c r="E570" i="9"/>
  <c r="D570" i="9"/>
  <c r="AU569" i="9"/>
  <c r="AK569" i="9" s="1"/>
  <c r="AQ569" i="9"/>
  <c r="AG569" i="9"/>
  <c r="AF569" i="9"/>
  <c r="AE569" i="9"/>
  <c r="AD569" i="9"/>
  <c r="AC569" i="9"/>
  <c r="AB569" i="9"/>
  <c r="AA569" i="9"/>
  <c r="Z569" i="9"/>
  <c r="Y569" i="9"/>
  <c r="X569" i="9"/>
  <c r="W569" i="9"/>
  <c r="V569" i="9"/>
  <c r="U569" i="9"/>
  <c r="T569" i="9"/>
  <c r="S569" i="9"/>
  <c r="R569" i="9"/>
  <c r="Q569" i="9"/>
  <c r="P569" i="9"/>
  <c r="O569" i="9"/>
  <c r="N569" i="9"/>
  <c r="M569" i="9"/>
  <c r="L569" i="9"/>
  <c r="K569" i="9"/>
  <c r="J569" i="9"/>
  <c r="I569" i="9"/>
  <c r="H569" i="9"/>
  <c r="G569" i="9"/>
  <c r="F569" i="9"/>
  <c r="E569" i="9"/>
  <c r="D569" i="9"/>
  <c r="AY568" i="9"/>
  <c r="AO568" i="9" s="1"/>
  <c r="AX568" i="9"/>
  <c r="AN568" i="9" s="1"/>
  <c r="AW568" i="9"/>
  <c r="AM568" i="9" s="1"/>
  <c r="AV568" i="9"/>
  <c r="AU568" i="9"/>
  <c r="AT568" i="9"/>
  <c r="AR568" i="9"/>
  <c r="AS568" i="9" s="1"/>
  <c r="AQ568" i="9"/>
  <c r="AL568" i="9"/>
  <c r="AK568" i="9"/>
  <c r="AJ568" i="9"/>
  <c r="AG568" i="9"/>
  <c r="AF568" i="9"/>
  <c r="AE568" i="9"/>
  <c r="AD568" i="9"/>
  <c r="AC568" i="9"/>
  <c r="AB568" i="9"/>
  <c r="AA568" i="9"/>
  <c r="Z568" i="9"/>
  <c r="Y568" i="9"/>
  <c r="X568" i="9"/>
  <c r="W568" i="9"/>
  <c r="V568" i="9"/>
  <c r="U568" i="9"/>
  <c r="T568" i="9"/>
  <c r="S568" i="9"/>
  <c r="R568" i="9"/>
  <c r="Q568" i="9"/>
  <c r="P568" i="9"/>
  <c r="O568" i="9"/>
  <c r="N568" i="9"/>
  <c r="M568" i="9"/>
  <c r="L568" i="9"/>
  <c r="K568" i="9"/>
  <c r="J568" i="9"/>
  <c r="I568" i="9"/>
  <c r="H568" i="9"/>
  <c r="G568" i="9"/>
  <c r="F568" i="9"/>
  <c r="E568" i="9"/>
  <c r="D568" i="9"/>
  <c r="AY567" i="9"/>
  <c r="AO567" i="9" s="1"/>
  <c r="AR567" i="9"/>
  <c r="AS567" i="9" s="1"/>
  <c r="AQ567" i="9"/>
  <c r="AG567" i="9"/>
  <c r="AF567" i="9"/>
  <c r="AE567" i="9"/>
  <c r="AD567" i="9"/>
  <c r="AC567" i="9"/>
  <c r="AB567" i="9"/>
  <c r="AA567" i="9"/>
  <c r="Z567" i="9"/>
  <c r="Y567" i="9"/>
  <c r="X567" i="9"/>
  <c r="W567" i="9"/>
  <c r="V567" i="9"/>
  <c r="U567" i="9"/>
  <c r="T567" i="9"/>
  <c r="S567" i="9"/>
  <c r="R567" i="9"/>
  <c r="Q567" i="9"/>
  <c r="P567" i="9"/>
  <c r="O567" i="9"/>
  <c r="N567" i="9"/>
  <c r="M567" i="9"/>
  <c r="L567" i="9"/>
  <c r="K567" i="9"/>
  <c r="J567" i="9"/>
  <c r="I567" i="9"/>
  <c r="H567" i="9"/>
  <c r="G567" i="9"/>
  <c r="F567" i="9"/>
  <c r="E567" i="9"/>
  <c r="D567" i="9"/>
  <c r="AW566" i="9"/>
  <c r="AM566" i="9" s="1"/>
  <c r="AV566" i="9"/>
  <c r="AL566" i="9" s="1"/>
  <c r="AU566" i="9"/>
  <c r="AK566" i="9" s="1"/>
  <c r="AR566" i="9"/>
  <c r="AS566" i="9" s="1"/>
  <c r="AQ566" i="9"/>
  <c r="AY566" i="9" s="1"/>
  <c r="AO566" i="9"/>
  <c r="AG566" i="9"/>
  <c r="AF566" i="9"/>
  <c r="AE566" i="9"/>
  <c r="AD566" i="9"/>
  <c r="AC566" i="9"/>
  <c r="AB566" i="9"/>
  <c r="AA566" i="9"/>
  <c r="Z566" i="9"/>
  <c r="Y566" i="9"/>
  <c r="X566" i="9"/>
  <c r="W566" i="9"/>
  <c r="V566" i="9"/>
  <c r="U566" i="9"/>
  <c r="T566" i="9"/>
  <c r="S566" i="9"/>
  <c r="R566" i="9"/>
  <c r="Q566" i="9"/>
  <c r="P566" i="9"/>
  <c r="O566" i="9"/>
  <c r="N566" i="9"/>
  <c r="M566" i="9"/>
  <c r="L566" i="9"/>
  <c r="K566" i="9"/>
  <c r="J566" i="9"/>
  <c r="I566" i="9"/>
  <c r="H566" i="9"/>
  <c r="G566" i="9"/>
  <c r="F566" i="9"/>
  <c r="E566" i="9"/>
  <c r="D566" i="9"/>
  <c r="AY565" i="9"/>
  <c r="AO565" i="9" s="1"/>
  <c r="AX565" i="9"/>
  <c r="AN565" i="9" s="1"/>
  <c r="AW565" i="9"/>
  <c r="AV565" i="9"/>
  <c r="AU565" i="9"/>
  <c r="AQ565" i="9"/>
  <c r="AR565" i="9" s="1"/>
  <c r="AS565" i="9" s="1"/>
  <c r="AM565" i="9"/>
  <c r="AL565" i="9"/>
  <c r="AK565" i="9"/>
  <c r="AG565" i="9"/>
  <c r="AF565" i="9"/>
  <c r="AE565" i="9"/>
  <c r="AD565" i="9"/>
  <c r="AC565" i="9"/>
  <c r="AB565" i="9"/>
  <c r="AA565" i="9"/>
  <c r="Z565" i="9"/>
  <c r="Y565" i="9"/>
  <c r="X565" i="9"/>
  <c r="W565" i="9"/>
  <c r="V565" i="9"/>
  <c r="U565" i="9"/>
  <c r="T565" i="9"/>
  <c r="S565" i="9"/>
  <c r="R565" i="9"/>
  <c r="Q565" i="9"/>
  <c r="P565" i="9"/>
  <c r="O565" i="9"/>
  <c r="N565" i="9"/>
  <c r="M565" i="9"/>
  <c r="L565" i="9"/>
  <c r="K565" i="9"/>
  <c r="J565" i="9"/>
  <c r="I565" i="9"/>
  <c r="H565" i="9"/>
  <c r="G565" i="9"/>
  <c r="F565" i="9"/>
  <c r="E565" i="9"/>
  <c r="D565" i="9"/>
  <c r="AS564" i="9"/>
  <c r="AR564" i="9"/>
  <c r="AQ564" i="9"/>
  <c r="AG564" i="9"/>
  <c r="AF564" i="9"/>
  <c r="AE564" i="9"/>
  <c r="AD564" i="9"/>
  <c r="AC564" i="9"/>
  <c r="AB564" i="9"/>
  <c r="AA564" i="9"/>
  <c r="Z564" i="9"/>
  <c r="Y564" i="9"/>
  <c r="X564" i="9"/>
  <c r="W564" i="9"/>
  <c r="V564" i="9"/>
  <c r="U564" i="9"/>
  <c r="T564" i="9"/>
  <c r="S564" i="9"/>
  <c r="R564" i="9"/>
  <c r="Q564" i="9"/>
  <c r="P564" i="9"/>
  <c r="O564" i="9"/>
  <c r="N564" i="9"/>
  <c r="M564" i="9"/>
  <c r="L564" i="9"/>
  <c r="K564" i="9"/>
  <c r="J564" i="9"/>
  <c r="I564" i="9"/>
  <c r="H564" i="9"/>
  <c r="G564" i="9"/>
  <c r="F564" i="9"/>
  <c r="E564" i="9"/>
  <c r="D564" i="9"/>
  <c r="AQ563" i="9"/>
  <c r="AG563" i="9"/>
  <c r="AF563" i="9"/>
  <c r="AE563" i="9"/>
  <c r="AD563" i="9"/>
  <c r="AC563" i="9"/>
  <c r="AB563" i="9"/>
  <c r="AA563" i="9"/>
  <c r="Z563" i="9"/>
  <c r="Y563" i="9"/>
  <c r="X563" i="9"/>
  <c r="W563" i="9"/>
  <c r="V563" i="9"/>
  <c r="U563" i="9"/>
  <c r="T563" i="9"/>
  <c r="S563" i="9"/>
  <c r="R563" i="9"/>
  <c r="Q563" i="9"/>
  <c r="P563" i="9"/>
  <c r="O563" i="9"/>
  <c r="N563" i="9"/>
  <c r="M563" i="9"/>
  <c r="L563" i="9"/>
  <c r="K563" i="9"/>
  <c r="J563" i="9"/>
  <c r="I563" i="9"/>
  <c r="H563" i="9"/>
  <c r="G563" i="9"/>
  <c r="F563" i="9"/>
  <c r="E563" i="9"/>
  <c r="D563" i="9"/>
  <c r="AY562" i="9"/>
  <c r="AO562" i="9" s="1"/>
  <c r="AX562" i="9"/>
  <c r="AW562" i="9"/>
  <c r="AV562" i="9"/>
  <c r="AU562" i="9"/>
  <c r="AT562" i="9"/>
  <c r="AJ562" i="9" s="1"/>
  <c r="AR562" i="9"/>
  <c r="AS562" i="9" s="1"/>
  <c r="AQ562" i="9"/>
  <c r="AN562" i="9"/>
  <c r="AM562" i="9"/>
  <c r="AL562" i="9"/>
  <c r="AK562" i="9"/>
  <c r="AI562" i="9"/>
  <c r="AH562" i="9"/>
  <c r="AG562" i="9"/>
  <c r="AF562" i="9"/>
  <c r="AE562" i="9"/>
  <c r="AD562" i="9"/>
  <c r="AC562" i="9"/>
  <c r="AB562" i="9"/>
  <c r="AA562" i="9"/>
  <c r="Z562" i="9"/>
  <c r="Y562" i="9"/>
  <c r="X562" i="9"/>
  <c r="W562" i="9"/>
  <c r="V562" i="9"/>
  <c r="U562" i="9"/>
  <c r="T562" i="9"/>
  <c r="S562" i="9"/>
  <c r="R562" i="9"/>
  <c r="Q562" i="9"/>
  <c r="P562" i="9"/>
  <c r="O562" i="9"/>
  <c r="N562" i="9"/>
  <c r="M562" i="9"/>
  <c r="L562" i="9"/>
  <c r="K562" i="9"/>
  <c r="J562" i="9"/>
  <c r="I562" i="9"/>
  <c r="H562" i="9"/>
  <c r="G562" i="9"/>
  <c r="F562" i="9"/>
  <c r="E562" i="9"/>
  <c r="D562" i="9"/>
  <c r="AY561" i="9"/>
  <c r="AO561" i="9" s="1"/>
  <c r="AT561" i="9"/>
  <c r="AR561" i="9"/>
  <c r="AS561" i="9" s="1"/>
  <c r="AQ561" i="9"/>
  <c r="AX561" i="9" s="1"/>
  <c r="AN561" i="9" s="1"/>
  <c r="AG561" i="9"/>
  <c r="AF561" i="9"/>
  <c r="AE561" i="9"/>
  <c r="AD561" i="9"/>
  <c r="AC561" i="9"/>
  <c r="AB561" i="9"/>
  <c r="AA561" i="9"/>
  <c r="Z561" i="9"/>
  <c r="Y561" i="9"/>
  <c r="X561" i="9"/>
  <c r="W561" i="9"/>
  <c r="V561" i="9"/>
  <c r="U561" i="9"/>
  <c r="T561" i="9"/>
  <c r="S561" i="9"/>
  <c r="R561" i="9"/>
  <c r="Q561" i="9"/>
  <c r="P561" i="9"/>
  <c r="O561" i="9"/>
  <c r="N561" i="9"/>
  <c r="M561" i="9"/>
  <c r="L561" i="9"/>
  <c r="K561" i="9"/>
  <c r="J561" i="9"/>
  <c r="I561" i="9"/>
  <c r="H561" i="9"/>
  <c r="G561" i="9"/>
  <c r="F561" i="9"/>
  <c r="E561" i="9"/>
  <c r="D561" i="9"/>
  <c r="AY560" i="9"/>
  <c r="AO560" i="9" s="1"/>
  <c r="AX560" i="9"/>
  <c r="AN560" i="9" s="1"/>
  <c r="AW560" i="9"/>
  <c r="AM560" i="9" s="1"/>
  <c r="AV560" i="9"/>
  <c r="AL560" i="9" s="1"/>
  <c r="AU560" i="9"/>
  <c r="AK560" i="9" s="1"/>
  <c r="AT560" i="9"/>
  <c r="AR560" i="9"/>
  <c r="AS560" i="9" s="1"/>
  <c r="AQ560" i="9"/>
  <c r="AJ560" i="9"/>
  <c r="AI560" i="9"/>
  <c r="AH560" i="9"/>
  <c r="AG560" i="9"/>
  <c r="AF560" i="9"/>
  <c r="AE560" i="9"/>
  <c r="AD560" i="9"/>
  <c r="AC560" i="9"/>
  <c r="AB560" i="9"/>
  <c r="AA560" i="9"/>
  <c r="Z560" i="9"/>
  <c r="Y560" i="9"/>
  <c r="X560" i="9"/>
  <c r="W560" i="9"/>
  <c r="V560" i="9"/>
  <c r="U560" i="9"/>
  <c r="T560" i="9"/>
  <c r="S560" i="9"/>
  <c r="R560" i="9"/>
  <c r="Q560" i="9"/>
  <c r="P560" i="9"/>
  <c r="O560" i="9"/>
  <c r="N560" i="9"/>
  <c r="M560" i="9"/>
  <c r="L560" i="9"/>
  <c r="K560" i="9"/>
  <c r="J560" i="9"/>
  <c r="I560" i="9"/>
  <c r="H560" i="9"/>
  <c r="G560" i="9"/>
  <c r="F560" i="9"/>
  <c r="E560" i="9"/>
  <c r="D560" i="9"/>
  <c r="AY559" i="9"/>
  <c r="AO559" i="9" s="1"/>
  <c r="AX559" i="9"/>
  <c r="AW559" i="9"/>
  <c r="AM559" i="9" s="1"/>
  <c r="AU559" i="9"/>
  <c r="AK559" i="9" s="1"/>
  <c r="AQ559" i="9"/>
  <c r="AT559" i="9" s="1"/>
  <c r="AI559" i="9" s="1"/>
  <c r="AN559" i="9"/>
  <c r="AJ559" i="9"/>
  <c r="AH559" i="9"/>
  <c r="AG559" i="9"/>
  <c r="AF559" i="9"/>
  <c r="AE559" i="9"/>
  <c r="AD559" i="9"/>
  <c r="AC559" i="9"/>
  <c r="AB559" i="9"/>
  <c r="AA559" i="9"/>
  <c r="Z559" i="9"/>
  <c r="Y559" i="9"/>
  <c r="X559" i="9"/>
  <c r="W559" i="9"/>
  <c r="V559" i="9"/>
  <c r="U559" i="9"/>
  <c r="T559" i="9"/>
  <c r="S559" i="9"/>
  <c r="R559" i="9"/>
  <c r="Q559" i="9"/>
  <c r="P559" i="9"/>
  <c r="O559" i="9"/>
  <c r="N559" i="9"/>
  <c r="M559" i="9"/>
  <c r="L559" i="9"/>
  <c r="K559" i="9"/>
  <c r="J559" i="9"/>
  <c r="I559" i="9"/>
  <c r="H559" i="9"/>
  <c r="G559" i="9"/>
  <c r="F559" i="9"/>
  <c r="E559" i="9"/>
  <c r="D559" i="9"/>
  <c r="AU558" i="9"/>
  <c r="AK558" i="9" s="1"/>
  <c r="AT558" i="9"/>
  <c r="AS558" i="9"/>
  <c r="AR558" i="9"/>
  <c r="AQ558" i="9"/>
  <c r="AY558" i="9" s="1"/>
  <c r="AO558" i="9" s="1"/>
  <c r="AG558" i="9"/>
  <c r="AF558" i="9"/>
  <c r="AE558" i="9"/>
  <c r="AD558" i="9"/>
  <c r="AC558" i="9"/>
  <c r="AB558" i="9"/>
  <c r="AA558" i="9"/>
  <c r="Z558" i="9"/>
  <c r="Y558" i="9"/>
  <c r="X558" i="9"/>
  <c r="W558" i="9"/>
  <c r="V558" i="9"/>
  <c r="U558" i="9"/>
  <c r="T558" i="9"/>
  <c r="S558" i="9"/>
  <c r="R558" i="9"/>
  <c r="Q558" i="9"/>
  <c r="P558" i="9"/>
  <c r="O558" i="9"/>
  <c r="N558" i="9"/>
  <c r="M558" i="9"/>
  <c r="L558" i="9"/>
  <c r="K558" i="9"/>
  <c r="J558" i="9"/>
  <c r="I558" i="9"/>
  <c r="H558" i="9"/>
  <c r="G558" i="9"/>
  <c r="F558" i="9"/>
  <c r="E558" i="9"/>
  <c r="D558" i="9"/>
  <c r="AY557" i="9"/>
  <c r="AO557" i="9" s="1"/>
  <c r="AX557" i="9"/>
  <c r="AN557" i="9" s="1"/>
  <c r="AU557" i="9"/>
  <c r="AT557" i="9"/>
  <c r="AH557" i="9" s="1"/>
  <c r="AQ557" i="9"/>
  <c r="AW557" i="9" s="1"/>
  <c r="AM557" i="9" s="1"/>
  <c r="AK557" i="9"/>
  <c r="AJ557" i="9"/>
  <c r="AI557" i="9"/>
  <c r="AG557" i="9"/>
  <c r="AF557" i="9"/>
  <c r="AE557" i="9"/>
  <c r="AD557" i="9"/>
  <c r="AC557" i="9"/>
  <c r="AB557" i="9"/>
  <c r="AA557" i="9"/>
  <c r="Z557" i="9"/>
  <c r="Y557" i="9"/>
  <c r="X557" i="9"/>
  <c r="W557" i="9"/>
  <c r="V557" i="9"/>
  <c r="U557" i="9"/>
  <c r="T557" i="9"/>
  <c r="S557" i="9"/>
  <c r="R557" i="9"/>
  <c r="Q557" i="9"/>
  <c r="P557" i="9"/>
  <c r="O557" i="9"/>
  <c r="N557" i="9"/>
  <c r="M557" i="9"/>
  <c r="L557" i="9"/>
  <c r="K557" i="9"/>
  <c r="J557" i="9"/>
  <c r="I557" i="9"/>
  <c r="H557" i="9"/>
  <c r="G557" i="9"/>
  <c r="F557" i="9"/>
  <c r="E557" i="9"/>
  <c r="D557" i="9"/>
  <c r="AX556" i="9"/>
  <c r="AQ556" i="9"/>
  <c r="AN556" i="9"/>
  <c r="AG556" i="9"/>
  <c r="AF556" i="9"/>
  <c r="AE556" i="9"/>
  <c r="AD556" i="9"/>
  <c r="AC556" i="9"/>
  <c r="AB556" i="9"/>
  <c r="AA556" i="9"/>
  <c r="Z556" i="9"/>
  <c r="Y556" i="9"/>
  <c r="X556" i="9"/>
  <c r="W556" i="9"/>
  <c r="V556" i="9"/>
  <c r="U556" i="9"/>
  <c r="T556" i="9"/>
  <c r="S556" i="9"/>
  <c r="R556" i="9"/>
  <c r="Q556" i="9"/>
  <c r="P556" i="9"/>
  <c r="O556" i="9"/>
  <c r="N556" i="9"/>
  <c r="M556" i="9"/>
  <c r="L556" i="9"/>
  <c r="K556" i="9"/>
  <c r="J556" i="9"/>
  <c r="I556" i="9"/>
  <c r="H556" i="9"/>
  <c r="G556" i="9"/>
  <c r="F556" i="9"/>
  <c r="E556" i="9"/>
  <c r="D556" i="9"/>
  <c r="AQ555" i="9"/>
  <c r="AG555" i="9"/>
  <c r="AF555" i="9"/>
  <c r="AE555" i="9"/>
  <c r="AD555" i="9"/>
  <c r="AC555" i="9"/>
  <c r="AB555" i="9"/>
  <c r="AA555" i="9"/>
  <c r="Z555" i="9"/>
  <c r="Y555" i="9"/>
  <c r="X555" i="9"/>
  <c r="W555" i="9"/>
  <c r="V555" i="9"/>
  <c r="U555" i="9"/>
  <c r="T555" i="9"/>
  <c r="S555" i="9"/>
  <c r="R555" i="9"/>
  <c r="Q555" i="9"/>
  <c r="P555" i="9"/>
  <c r="O555" i="9"/>
  <c r="N555" i="9"/>
  <c r="M555" i="9"/>
  <c r="L555" i="9"/>
  <c r="K555" i="9"/>
  <c r="J555" i="9"/>
  <c r="I555" i="9"/>
  <c r="H555" i="9"/>
  <c r="G555" i="9"/>
  <c r="F555" i="9"/>
  <c r="E555" i="9"/>
  <c r="D555" i="9"/>
  <c r="AY554" i="9"/>
  <c r="AO554" i="9" s="1"/>
  <c r="AX554" i="9"/>
  <c r="AN554" i="9" s="1"/>
  <c r="AW554" i="9"/>
  <c r="AM554" i="9" s="1"/>
  <c r="AV554" i="9"/>
  <c r="AU554" i="9"/>
  <c r="AT554" i="9"/>
  <c r="AR554" i="9"/>
  <c r="AS554" i="9" s="1"/>
  <c r="AQ554" i="9"/>
  <c r="AL554" i="9"/>
  <c r="AK554" i="9"/>
  <c r="AJ554" i="9"/>
  <c r="AG554" i="9"/>
  <c r="AF554" i="9"/>
  <c r="AE554" i="9"/>
  <c r="AD554" i="9"/>
  <c r="AC554" i="9"/>
  <c r="AB554" i="9"/>
  <c r="AA554" i="9"/>
  <c r="Z554" i="9"/>
  <c r="Y554" i="9"/>
  <c r="X554" i="9"/>
  <c r="W554" i="9"/>
  <c r="V554" i="9"/>
  <c r="U554" i="9"/>
  <c r="T554" i="9"/>
  <c r="S554" i="9"/>
  <c r="R554" i="9"/>
  <c r="Q554" i="9"/>
  <c r="P554" i="9"/>
  <c r="O554" i="9"/>
  <c r="N554" i="9"/>
  <c r="M554" i="9"/>
  <c r="L554" i="9"/>
  <c r="K554" i="9"/>
  <c r="J554" i="9"/>
  <c r="I554" i="9"/>
  <c r="H554" i="9"/>
  <c r="G554" i="9"/>
  <c r="F554" i="9"/>
  <c r="E554" i="9"/>
  <c r="D554" i="9"/>
  <c r="AY553" i="9"/>
  <c r="AR553" i="9"/>
  <c r="AS553" i="9" s="1"/>
  <c r="AQ553" i="9"/>
  <c r="AO553" i="9"/>
  <c r="AG553" i="9"/>
  <c r="AF553" i="9"/>
  <c r="AE553" i="9"/>
  <c r="AD553" i="9"/>
  <c r="AC553" i="9"/>
  <c r="AB553" i="9"/>
  <c r="AA553" i="9"/>
  <c r="Z553" i="9"/>
  <c r="Y553" i="9"/>
  <c r="X553" i="9"/>
  <c r="W553" i="9"/>
  <c r="V553" i="9"/>
  <c r="U553" i="9"/>
  <c r="T553" i="9"/>
  <c r="S553" i="9"/>
  <c r="R553" i="9"/>
  <c r="Q553" i="9"/>
  <c r="P553" i="9"/>
  <c r="O553" i="9"/>
  <c r="N553" i="9"/>
  <c r="M553" i="9"/>
  <c r="L553" i="9"/>
  <c r="K553" i="9"/>
  <c r="J553" i="9"/>
  <c r="I553" i="9"/>
  <c r="H553" i="9"/>
  <c r="G553" i="9"/>
  <c r="F553" i="9"/>
  <c r="E553" i="9"/>
  <c r="D553" i="9"/>
  <c r="AW552" i="9"/>
  <c r="AM552" i="9" s="1"/>
  <c r="AV552" i="9"/>
  <c r="AL552" i="9" s="1"/>
  <c r="AU552" i="9"/>
  <c r="AK552" i="9" s="1"/>
  <c r="AR552" i="9"/>
  <c r="AS552" i="9" s="1"/>
  <c r="AQ552" i="9"/>
  <c r="AY552" i="9" s="1"/>
  <c r="AO552" i="9" s="1"/>
  <c r="AG552" i="9"/>
  <c r="AF552" i="9"/>
  <c r="AE552" i="9"/>
  <c r="AD552" i="9"/>
  <c r="AC552" i="9"/>
  <c r="AB552" i="9"/>
  <c r="AA552" i="9"/>
  <c r="Z552" i="9"/>
  <c r="Y552" i="9"/>
  <c r="X552" i="9"/>
  <c r="W552" i="9"/>
  <c r="V552" i="9"/>
  <c r="U552" i="9"/>
  <c r="T552" i="9"/>
  <c r="S552" i="9"/>
  <c r="R552" i="9"/>
  <c r="Q552" i="9"/>
  <c r="P552" i="9"/>
  <c r="O552" i="9"/>
  <c r="N552" i="9"/>
  <c r="M552" i="9"/>
  <c r="L552" i="9"/>
  <c r="K552" i="9"/>
  <c r="J552" i="9"/>
  <c r="I552" i="9"/>
  <c r="H552" i="9"/>
  <c r="G552" i="9"/>
  <c r="F552" i="9"/>
  <c r="E552" i="9"/>
  <c r="D552" i="9"/>
  <c r="AY551" i="9"/>
  <c r="AO551" i="9" s="1"/>
  <c r="AX551" i="9"/>
  <c r="AN551" i="9" s="1"/>
  <c r="AW551" i="9"/>
  <c r="AV551" i="9"/>
  <c r="AU551" i="9"/>
  <c r="AQ551" i="9"/>
  <c r="AR551" i="9" s="1"/>
  <c r="AS551" i="9" s="1"/>
  <c r="AM551" i="9"/>
  <c r="AL551" i="9"/>
  <c r="AK551" i="9"/>
  <c r="AG551" i="9"/>
  <c r="AF551" i="9"/>
  <c r="AE551" i="9"/>
  <c r="AD551" i="9"/>
  <c r="AC551" i="9"/>
  <c r="AB551" i="9"/>
  <c r="AA551" i="9"/>
  <c r="Z551" i="9"/>
  <c r="Y551" i="9"/>
  <c r="X551" i="9"/>
  <c r="W551" i="9"/>
  <c r="V551" i="9"/>
  <c r="U551" i="9"/>
  <c r="T551" i="9"/>
  <c r="S551" i="9"/>
  <c r="R551" i="9"/>
  <c r="Q551" i="9"/>
  <c r="P551" i="9"/>
  <c r="O551" i="9"/>
  <c r="N551" i="9"/>
  <c r="M551" i="9"/>
  <c r="L551" i="9"/>
  <c r="K551" i="9"/>
  <c r="J551" i="9"/>
  <c r="I551" i="9"/>
  <c r="H551" i="9"/>
  <c r="G551" i="9"/>
  <c r="F551" i="9"/>
  <c r="E551" i="9"/>
  <c r="D551" i="9"/>
  <c r="AQ550" i="9"/>
  <c r="AG550" i="9"/>
  <c r="AF550" i="9"/>
  <c r="AE550" i="9"/>
  <c r="AD550" i="9"/>
  <c r="AC550" i="9"/>
  <c r="AB550" i="9"/>
  <c r="AA550" i="9"/>
  <c r="Z550" i="9"/>
  <c r="Y550" i="9"/>
  <c r="X550" i="9"/>
  <c r="W550" i="9"/>
  <c r="V550" i="9"/>
  <c r="U550" i="9"/>
  <c r="T550" i="9"/>
  <c r="S550" i="9"/>
  <c r="R550" i="9"/>
  <c r="Q550" i="9"/>
  <c r="P550" i="9"/>
  <c r="O550" i="9"/>
  <c r="N550" i="9"/>
  <c r="M550" i="9"/>
  <c r="L550" i="9"/>
  <c r="K550" i="9"/>
  <c r="J550" i="9"/>
  <c r="I550" i="9"/>
  <c r="H550" i="9"/>
  <c r="G550" i="9"/>
  <c r="F550" i="9"/>
  <c r="E550" i="9"/>
  <c r="D550" i="9"/>
  <c r="AX549" i="9"/>
  <c r="AN549" i="9" s="1"/>
  <c r="AW549" i="9"/>
  <c r="AM549" i="9" s="1"/>
  <c r="AV549" i="9"/>
  <c r="AL549" i="9" s="1"/>
  <c r="AS549" i="9"/>
  <c r="AR549" i="9"/>
  <c r="AQ549" i="9"/>
  <c r="AG549" i="9"/>
  <c r="AF549" i="9"/>
  <c r="AE549" i="9"/>
  <c r="AD549" i="9"/>
  <c r="AC549" i="9"/>
  <c r="AB549" i="9"/>
  <c r="AA549" i="9"/>
  <c r="Z549" i="9"/>
  <c r="Y549" i="9"/>
  <c r="X549" i="9"/>
  <c r="W549" i="9"/>
  <c r="V549" i="9"/>
  <c r="U549" i="9"/>
  <c r="T549" i="9"/>
  <c r="S549" i="9"/>
  <c r="R549" i="9"/>
  <c r="Q549" i="9"/>
  <c r="P549" i="9"/>
  <c r="O549" i="9"/>
  <c r="N549" i="9"/>
  <c r="M549" i="9"/>
  <c r="L549" i="9"/>
  <c r="K549" i="9"/>
  <c r="J549" i="9"/>
  <c r="I549" i="9"/>
  <c r="H549" i="9"/>
  <c r="G549" i="9"/>
  <c r="F549" i="9"/>
  <c r="E549" i="9"/>
  <c r="D549" i="9"/>
  <c r="AY548" i="9"/>
  <c r="AO548" i="9" s="1"/>
  <c r="AX548" i="9"/>
  <c r="AW548" i="9"/>
  <c r="AM548" i="9" s="1"/>
  <c r="AV548" i="9"/>
  <c r="AL548" i="9" s="1"/>
  <c r="AU548" i="9"/>
  <c r="AT548" i="9"/>
  <c r="AJ548" i="9" s="1"/>
  <c r="AR548" i="9"/>
  <c r="AS548" i="9" s="1"/>
  <c r="AQ548" i="9"/>
  <c r="AN548" i="9"/>
  <c r="AK548" i="9"/>
  <c r="AI548" i="9"/>
  <c r="AH548" i="9"/>
  <c r="AG548" i="9"/>
  <c r="AF548" i="9"/>
  <c r="AE548" i="9"/>
  <c r="AD548" i="9"/>
  <c r="AC548" i="9"/>
  <c r="AB548" i="9"/>
  <c r="AA548" i="9"/>
  <c r="Z548" i="9"/>
  <c r="Y548" i="9"/>
  <c r="X548" i="9"/>
  <c r="W548" i="9"/>
  <c r="V548" i="9"/>
  <c r="U548" i="9"/>
  <c r="T548" i="9"/>
  <c r="S548" i="9"/>
  <c r="R548" i="9"/>
  <c r="Q548" i="9"/>
  <c r="P548" i="9"/>
  <c r="O548" i="9"/>
  <c r="N548" i="9"/>
  <c r="M548" i="9"/>
  <c r="L548" i="9"/>
  <c r="K548" i="9"/>
  <c r="J548" i="9"/>
  <c r="I548" i="9"/>
  <c r="H548" i="9"/>
  <c r="G548" i="9"/>
  <c r="F548" i="9"/>
  <c r="E548" i="9"/>
  <c r="D548" i="9"/>
  <c r="AY547" i="9"/>
  <c r="AO547" i="9" s="1"/>
  <c r="AT547" i="9"/>
  <c r="AR547" i="9"/>
  <c r="AS547" i="9" s="1"/>
  <c r="AQ547" i="9"/>
  <c r="AX547" i="9" s="1"/>
  <c r="AN547" i="9"/>
  <c r="AG547" i="9"/>
  <c r="AF547" i="9"/>
  <c r="AE547" i="9"/>
  <c r="AD547" i="9"/>
  <c r="AC547" i="9"/>
  <c r="AB547" i="9"/>
  <c r="AA547" i="9"/>
  <c r="Z547" i="9"/>
  <c r="Y547" i="9"/>
  <c r="X547" i="9"/>
  <c r="W547" i="9"/>
  <c r="V547" i="9"/>
  <c r="U547" i="9"/>
  <c r="T547" i="9"/>
  <c r="S547" i="9"/>
  <c r="R547" i="9"/>
  <c r="Q547" i="9"/>
  <c r="P547" i="9"/>
  <c r="O547" i="9"/>
  <c r="N547" i="9"/>
  <c r="M547" i="9"/>
  <c r="L547" i="9"/>
  <c r="K547" i="9"/>
  <c r="J547" i="9"/>
  <c r="I547" i="9"/>
  <c r="H547" i="9"/>
  <c r="G547" i="9"/>
  <c r="F547" i="9"/>
  <c r="E547" i="9"/>
  <c r="D547" i="9"/>
  <c r="AY546" i="9"/>
  <c r="AO546" i="9" s="1"/>
  <c r="AX546" i="9"/>
  <c r="AN546" i="9" s="1"/>
  <c r="AW546" i="9"/>
  <c r="AM546" i="9" s="1"/>
  <c r="AV546" i="9"/>
  <c r="AL546" i="9" s="1"/>
  <c r="AU546" i="9"/>
  <c r="AK546" i="9" s="1"/>
  <c r="AT546" i="9"/>
  <c r="AH546" i="9" s="1"/>
  <c r="AR546" i="9"/>
  <c r="AS546" i="9" s="1"/>
  <c r="AQ546" i="9"/>
  <c r="AJ546" i="9"/>
  <c r="AI546" i="9"/>
  <c r="AG546" i="9"/>
  <c r="AF546" i="9"/>
  <c r="AE546" i="9"/>
  <c r="AD546" i="9"/>
  <c r="AC546" i="9"/>
  <c r="AB546" i="9"/>
  <c r="AA546" i="9"/>
  <c r="Z546" i="9"/>
  <c r="Y546" i="9"/>
  <c r="X546" i="9"/>
  <c r="W546" i="9"/>
  <c r="V546" i="9"/>
  <c r="U546" i="9"/>
  <c r="T546" i="9"/>
  <c r="S546" i="9"/>
  <c r="R546" i="9"/>
  <c r="Q546" i="9"/>
  <c r="P546" i="9"/>
  <c r="O546" i="9"/>
  <c r="N546" i="9"/>
  <c r="M546" i="9"/>
  <c r="L546" i="9"/>
  <c r="K546" i="9"/>
  <c r="J546" i="9"/>
  <c r="I546" i="9"/>
  <c r="H546" i="9"/>
  <c r="G546" i="9"/>
  <c r="F546" i="9"/>
  <c r="E546" i="9"/>
  <c r="D546" i="9"/>
  <c r="AY545" i="9"/>
  <c r="AX545" i="9"/>
  <c r="AW545" i="9"/>
  <c r="AU545" i="9"/>
  <c r="AK545" i="9" s="1"/>
  <c r="AQ545" i="9"/>
  <c r="AT545" i="9" s="1"/>
  <c r="AH545" i="9" s="1"/>
  <c r="AO545" i="9"/>
  <c r="AN545" i="9"/>
  <c r="AM545" i="9"/>
  <c r="AJ545" i="9"/>
  <c r="AI545" i="9"/>
  <c r="AG545" i="9"/>
  <c r="AF545" i="9"/>
  <c r="AE545" i="9"/>
  <c r="AD545" i="9"/>
  <c r="AC545" i="9"/>
  <c r="AB545" i="9"/>
  <c r="AA545" i="9"/>
  <c r="Z545" i="9"/>
  <c r="Y545" i="9"/>
  <c r="X545" i="9"/>
  <c r="W545" i="9"/>
  <c r="V545" i="9"/>
  <c r="U545" i="9"/>
  <c r="T545" i="9"/>
  <c r="S545" i="9"/>
  <c r="R545" i="9"/>
  <c r="Q545" i="9"/>
  <c r="P545" i="9"/>
  <c r="O545" i="9"/>
  <c r="N545" i="9"/>
  <c r="M545" i="9"/>
  <c r="L545" i="9"/>
  <c r="K545" i="9"/>
  <c r="J545" i="9"/>
  <c r="I545" i="9"/>
  <c r="H545" i="9"/>
  <c r="G545" i="9"/>
  <c r="F545" i="9"/>
  <c r="E545" i="9"/>
  <c r="D545" i="9"/>
  <c r="AU544" i="9"/>
  <c r="AT544" i="9"/>
  <c r="AS544" i="9"/>
  <c r="AR544" i="9"/>
  <c r="AQ544" i="9"/>
  <c r="AY544" i="9" s="1"/>
  <c r="AO544" i="9"/>
  <c r="AK544" i="9"/>
  <c r="AG544" i="9"/>
  <c r="AF544" i="9"/>
  <c r="AE544" i="9"/>
  <c r="AD544" i="9"/>
  <c r="AC544" i="9"/>
  <c r="AB544" i="9"/>
  <c r="AA544" i="9"/>
  <c r="Z544" i="9"/>
  <c r="Y544" i="9"/>
  <c r="X544" i="9"/>
  <c r="W544" i="9"/>
  <c r="V544" i="9"/>
  <c r="U544" i="9"/>
  <c r="T544" i="9"/>
  <c r="S544" i="9"/>
  <c r="R544" i="9"/>
  <c r="Q544" i="9"/>
  <c r="P544" i="9"/>
  <c r="O544" i="9"/>
  <c r="N544" i="9"/>
  <c r="M544" i="9"/>
  <c r="L544" i="9"/>
  <c r="K544" i="9"/>
  <c r="J544" i="9"/>
  <c r="I544" i="9"/>
  <c r="H544" i="9"/>
  <c r="G544" i="9"/>
  <c r="F544" i="9"/>
  <c r="E544" i="9"/>
  <c r="D544" i="9"/>
  <c r="AY543" i="9"/>
  <c r="AO543" i="9" s="1"/>
  <c r="AQ543" i="9"/>
  <c r="AX543" i="9" s="1"/>
  <c r="AN543" i="9" s="1"/>
  <c r="AG543" i="9"/>
  <c r="AF543" i="9"/>
  <c r="AE543" i="9"/>
  <c r="AD543" i="9"/>
  <c r="AC543" i="9"/>
  <c r="AB543" i="9"/>
  <c r="AA543" i="9"/>
  <c r="Z543" i="9"/>
  <c r="Y543" i="9"/>
  <c r="X543" i="9"/>
  <c r="W543" i="9"/>
  <c r="V543" i="9"/>
  <c r="U543" i="9"/>
  <c r="T543" i="9"/>
  <c r="S543" i="9"/>
  <c r="R543" i="9"/>
  <c r="Q543" i="9"/>
  <c r="P543" i="9"/>
  <c r="O543" i="9"/>
  <c r="N543" i="9"/>
  <c r="M543" i="9"/>
  <c r="L543" i="9"/>
  <c r="K543" i="9"/>
  <c r="J543" i="9"/>
  <c r="I543" i="9"/>
  <c r="H543" i="9"/>
  <c r="G543" i="9"/>
  <c r="F543" i="9"/>
  <c r="E543" i="9"/>
  <c r="D543" i="9"/>
  <c r="AY542" i="9"/>
  <c r="AO542" i="9" s="1"/>
  <c r="AX542" i="9"/>
  <c r="AN542" i="9" s="1"/>
  <c r="AQ542" i="9"/>
  <c r="AV542" i="9" s="1"/>
  <c r="AL542" i="9" s="1"/>
  <c r="AG542" i="9"/>
  <c r="AF542" i="9"/>
  <c r="AE542" i="9"/>
  <c r="AD542" i="9"/>
  <c r="AC542" i="9"/>
  <c r="AB542" i="9"/>
  <c r="AA542" i="9"/>
  <c r="Z542" i="9"/>
  <c r="Y542" i="9"/>
  <c r="X542" i="9"/>
  <c r="W542" i="9"/>
  <c r="V542" i="9"/>
  <c r="U542" i="9"/>
  <c r="T542" i="9"/>
  <c r="S542" i="9"/>
  <c r="R542" i="9"/>
  <c r="Q542" i="9"/>
  <c r="P542" i="9"/>
  <c r="O542" i="9"/>
  <c r="N542" i="9"/>
  <c r="M542" i="9"/>
  <c r="L542" i="9"/>
  <c r="K542" i="9"/>
  <c r="J542" i="9"/>
  <c r="I542" i="9"/>
  <c r="H542" i="9"/>
  <c r="G542" i="9"/>
  <c r="F542" i="9"/>
  <c r="E542" i="9"/>
  <c r="D542" i="9"/>
  <c r="AV541" i="9"/>
  <c r="AL541" i="9" s="1"/>
  <c r="AU541" i="9"/>
  <c r="AK541" i="9" s="1"/>
  <c r="AT541" i="9"/>
  <c r="AQ541" i="9"/>
  <c r="AG541" i="9"/>
  <c r="AF541" i="9"/>
  <c r="AE541" i="9"/>
  <c r="AD541" i="9"/>
  <c r="AC541" i="9"/>
  <c r="AB541" i="9"/>
  <c r="AA541" i="9"/>
  <c r="Z541" i="9"/>
  <c r="Y541" i="9"/>
  <c r="X541" i="9"/>
  <c r="W541" i="9"/>
  <c r="V541" i="9"/>
  <c r="U541" i="9"/>
  <c r="T541" i="9"/>
  <c r="S541" i="9"/>
  <c r="R541" i="9"/>
  <c r="Q541" i="9"/>
  <c r="P541" i="9"/>
  <c r="O541" i="9"/>
  <c r="N541" i="9"/>
  <c r="M541" i="9"/>
  <c r="L541" i="9"/>
  <c r="K541" i="9"/>
  <c r="J541" i="9"/>
  <c r="I541" i="9"/>
  <c r="H541" i="9"/>
  <c r="G541" i="9"/>
  <c r="F541" i="9"/>
  <c r="E541" i="9"/>
  <c r="D541" i="9"/>
  <c r="AY540" i="9"/>
  <c r="AO540" i="9" s="1"/>
  <c r="AX540" i="9"/>
  <c r="AN540" i="9" s="1"/>
  <c r="AW540" i="9"/>
  <c r="AM540" i="9" s="1"/>
  <c r="AV540" i="9"/>
  <c r="AL540" i="9" s="1"/>
  <c r="AU540" i="9"/>
  <c r="AK540" i="9" s="1"/>
  <c r="AT540" i="9"/>
  <c r="AJ540" i="9" s="1"/>
  <c r="AR540" i="9"/>
  <c r="AS540" i="9" s="1"/>
  <c r="AQ540" i="9"/>
  <c r="AG540" i="9"/>
  <c r="AF540" i="9"/>
  <c r="AE540" i="9"/>
  <c r="AD540" i="9"/>
  <c r="AC540" i="9"/>
  <c r="AB540" i="9"/>
  <c r="AA540" i="9"/>
  <c r="Z540" i="9"/>
  <c r="Y540" i="9"/>
  <c r="X540" i="9"/>
  <c r="W540" i="9"/>
  <c r="V540" i="9"/>
  <c r="U540" i="9"/>
  <c r="T540" i="9"/>
  <c r="S540" i="9"/>
  <c r="R540" i="9"/>
  <c r="Q540" i="9"/>
  <c r="P540" i="9"/>
  <c r="O540" i="9"/>
  <c r="N540" i="9"/>
  <c r="M540" i="9"/>
  <c r="L540" i="9"/>
  <c r="K540" i="9"/>
  <c r="J540" i="9"/>
  <c r="I540" i="9"/>
  <c r="H540" i="9"/>
  <c r="G540" i="9"/>
  <c r="F540" i="9"/>
  <c r="E540" i="9"/>
  <c r="D540" i="9"/>
  <c r="AQ539" i="9"/>
  <c r="AG539" i="9"/>
  <c r="AF539" i="9"/>
  <c r="AE539" i="9"/>
  <c r="AD539" i="9"/>
  <c r="AC539" i="9"/>
  <c r="AB539" i="9"/>
  <c r="AA539" i="9"/>
  <c r="Z539" i="9"/>
  <c r="Y539" i="9"/>
  <c r="X539" i="9"/>
  <c r="W539" i="9"/>
  <c r="V539" i="9"/>
  <c r="U539" i="9"/>
  <c r="T539" i="9"/>
  <c r="S539" i="9"/>
  <c r="R539" i="9"/>
  <c r="Q539" i="9"/>
  <c r="P539" i="9"/>
  <c r="O539" i="9"/>
  <c r="N539" i="9"/>
  <c r="M539" i="9"/>
  <c r="L539" i="9"/>
  <c r="K539" i="9"/>
  <c r="J539" i="9"/>
  <c r="I539" i="9"/>
  <c r="H539" i="9"/>
  <c r="G539" i="9"/>
  <c r="F539" i="9"/>
  <c r="E539" i="9"/>
  <c r="D539" i="9"/>
  <c r="AQ538" i="9"/>
  <c r="AG538" i="9"/>
  <c r="AF538" i="9"/>
  <c r="AE538" i="9"/>
  <c r="AD538" i="9"/>
  <c r="AC538" i="9"/>
  <c r="AB538" i="9"/>
  <c r="AA538" i="9"/>
  <c r="Z538" i="9"/>
  <c r="Y538" i="9"/>
  <c r="X538" i="9"/>
  <c r="W538" i="9"/>
  <c r="V538" i="9"/>
  <c r="U538" i="9"/>
  <c r="T538" i="9"/>
  <c r="S538" i="9"/>
  <c r="R538" i="9"/>
  <c r="Q538" i="9"/>
  <c r="P538" i="9"/>
  <c r="O538" i="9"/>
  <c r="N538" i="9"/>
  <c r="M538" i="9"/>
  <c r="L538" i="9"/>
  <c r="K538" i="9"/>
  <c r="J538" i="9"/>
  <c r="I538" i="9"/>
  <c r="H538" i="9"/>
  <c r="G538" i="9"/>
  <c r="F538" i="9"/>
  <c r="E538" i="9"/>
  <c r="D538" i="9"/>
  <c r="AY537" i="9"/>
  <c r="AO537" i="9" s="1"/>
  <c r="AX537" i="9"/>
  <c r="AN537" i="9" s="1"/>
  <c r="AW537" i="9"/>
  <c r="AV537" i="9"/>
  <c r="AU537" i="9"/>
  <c r="AQ537" i="9"/>
  <c r="AR537" i="9" s="1"/>
  <c r="AS537" i="9" s="1"/>
  <c r="AM537" i="9"/>
  <c r="AL537" i="9"/>
  <c r="AK537" i="9"/>
  <c r="AG537" i="9"/>
  <c r="AF537" i="9"/>
  <c r="AE537" i="9"/>
  <c r="AD537" i="9"/>
  <c r="AC537" i="9"/>
  <c r="AB537" i="9"/>
  <c r="AA537" i="9"/>
  <c r="Z537" i="9"/>
  <c r="Y537" i="9"/>
  <c r="X537" i="9"/>
  <c r="W537" i="9"/>
  <c r="V537" i="9"/>
  <c r="U537" i="9"/>
  <c r="T537" i="9"/>
  <c r="S537" i="9"/>
  <c r="R537" i="9"/>
  <c r="Q537" i="9"/>
  <c r="P537" i="9"/>
  <c r="O537" i="9"/>
  <c r="N537" i="9"/>
  <c r="M537" i="9"/>
  <c r="L537" i="9"/>
  <c r="K537" i="9"/>
  <c r="J537" i="9"/>
  <c r="I537" i="9"/>
  <c r="H537" i="9"/>
  <c r="G537" i="9"/>
  <c r="F537" i="9"/>
  <c r="E537" i="9"/>
  <c r="D537" i="9"/>
  <c r="AR536" i="9"/>
  <c r="AS536" i="9" s="1"/>
  <c r="AQ536" i="9"/>
  <c r="AG536" i="9"/>
  <c r="AF536" i="9"/>
  <c r="AE536" i="9"/>
  <c r="AD536" i="9"/>
  <c r="AC536" i="9"/>
  <c r="AB536" i="9"/>
  <c r="AA536" i="9"/>
  <c r="Z536" i="9"/>
  <c r="Y536" i="9"/>
  <c r="X536" i="9"/>
  <c r="W536" i="9"/>
  <c r="V536" i="9"/>
  <c r="U536" i="9"/>
  <c r="T536" i="9"/>
  <c r="S536" i="9"/>
  <c r="R536" i="9"/>
  <c r="Q536" i="9"/>
  <c r="P536" i="9"/>
  <c r="O536" i="9"/>
  <c r="N536" i="9"/>
  <c r="M536" i="9"/>
  <c r="L536" i="9"/>
  <c r="K536" i="9"/>
  <c r="J536" i="9"/>
  <c r="I536" i="9"/>
  <c r="H536" i="9"/>
  <c r="G536" i="9"/>
  <c r="F536" i="9"/>
  <c r="E536" i="9"/>
  <c r="D536" i="9"/>
  <c r="AQ535" i="9"/>
  <c r="AY535" i="9" s="1"/>
  <c r="AO535" i="9" s="1"/>
  <c r="AG535" i="9"/>
  <c r="AF535" i="9"/>
  <c r="AE535" i="9"/>
  <c r="AD535" i="9"/>
  <c r="AC535" i="9"/>
  <c r="AB535" i="9"/>
  <c r="AA535" i="9"/>
  <c r="Z535" i="9"/>
  <c r="Y535" i="9"/>
  <c r="X535" i="9"/>
  <c r="W535" i="9"/>
  <c r="V535" i="9"/>
  <c r="U535" i="9"/>
  <c r="T535" i="9"/>
  <c r="S535" i="9"/>
  <c r="R535" i="9"/>
  <c r="Q535" i="9"/>
  <c r="P535" i="9"/>
  <c r="O535" i="9"/>
  <c r="N535" i="9"/>
  <c r="M535" i="9"/>
  <c r="L535" i="9"/>
  <c r="K535" i="9"/>
  <c r="J535" i="9"/>
  <c r="I535" i="9"/>
  <c r="H535" i="9"/>
  <c r="G535" i="9"/>
  <c r="F535" i="9"/>
  <c r="E535" i="9"/>
  <c r="D535" i="9"/>
  <c r="AY534" i="9"/>
  <c r="AO534" i="9" s="1"/>
  <c r="AX534" i="9"/>
  <c r="AW534" i="9"/>
  <c r="AV534" i="9"/>
  <c r="AU534" i="9"/>
  <c r="AT534" i="9"/>
  <c r="AI534" i="9" s="1"/>
  <c r="AR534" i="9"/>
  <c r="AS534" i="9" s="1"/>
  <c r="AQ534" i="9"/>
  <c r="AN534" i="9"/>
  <c r="AM534" i="9"/>
  <c r="AL534" i="9"/>
  <c r="AK534" i="9"/>
  <c r="AG534" i="9"/>
  <c r="AF534" i="9"/>
  <c r="AE534" i="9"/>
  <c r="AD534" i="9"/>
  <c r="AC534" i="9"/>
  <c r="AB534" i="9"/>
  <c r="AA534" i="9"/>
  <c r="Z534" i="9"/>
  <c r="Y534" i="9"/>
  <c r="X534" i="9"/>
  <c r="W534" i="9"/>
  <c r="V534" i="9"/>
  <c r="U534" i="9"/>
  <c r="T534" i="9"/>
  <c r="S534" i="9"/>
  <c r="R534" i="9"/>
  <c r="Q534" i="9"/>
  <c r="P534" i="9"/>
  <c r="O534" i="9"/>
  <c r="N534" i="9"/>
  <c r="M534" i="9"/>
  <c r="L534" i="9"/>
  <c r="K534" i="9"/>
  <c r="J534" i="9"/>
  <c r="I534" i="9"/>
  <c r="H534" i="9"/>
  <c r="G534" i="9"/>
  <c r="F534" i="9"/>
  <c r="E534" i="9"/>
  <c r="D534" i="9"/>
  <c r="AY533" i="9"/>
  <c r="AS533" i="9"/>
  <c r="AR533" i="9"/>
  <c r="AQ533" i="9"/>
  <c r="AO533" i="9"/>
  <c r="AG533" i="9"/>
  <c r="AF533" i="9"/>
  <c r="AE533" i="9"/>
  <c r="AD533" i="9"/>
  <c r="AC533" i="9"/>
  <c r="AB533" i="9"/>
  <c r="AA533" i="9"/>
  <c r="Z533" i="9"/>
  <c r="Y533" i="9"/>
  <c r="X533" i="9"/>
  <c r="W533" i="9"/>
  <c r="V533" i="9"/>
  <c r="U533" i="9"/>
  <c r="T533" i="9"/>
  <c r="S533" i="9"/>
  <c r="R533" i="9"/>
  <c r="Q533" i="9"/>
  <c r="P533" i="9"/>
  <c r="O533" i="9"/>
  <c r="N533" i="9"/>
  <c r="M533" i="9"/>
  <c r="L533" i="9"/>
  <c r="K533" i="9"/>
  <c r="J533" i="9"/>
  <c r="I533" i="9"/>
  <c r="H533" i="9"/>
  <c r="G533" i="9"/>
  <c r="F533" i="9"/>
  <c r="E533" i="9"/>
  <c r="D533" i="9"/>
  <c r="AY532" i="9"/>
  <c r="AX532" i="9"/>
  <c r="AN532" i="9" s="1"/>
  <c r="AW532" i="9"/>
  <c r="AM532" i="9" s="1"/>
  <c r="AV532" i="9"/>
  <c r="AL532" i="9" s="1"/>
  <c r="AU532" i="9"/>
  <c r="AK532" i="9" s="1"/>
  <c r="AT532" i="9"/>
  <c r="AI532" i="9" s="1"/>
  <c r="AR532" i="9"/>
  <c r="AS532" i="9" s="1"/>
  <c r="AQ532" i="9"/>
  <c r="AO532" i="9"/>
  <c r="AJ532" i="9"/>
  <c r="AH532" i="9"/>
  <c r="AG532" i="9"/>
  <c r="AF532" i="9"/>
  <c r="AE532" i="9"/>
  <c r="AD532" i="9"/>
  <c r="AC532" i="9"/>
  <c r="AB532" i="9"/>
  <c r="AA532" i="9"/>
  <c r="Z532" i="9"/>
  <c r="Y532" i="9"/>
  <c r="X532" i="9"/>
  <c r="W532" i="9"/>
  <c r="V532" i="9"/>
  <c r="U532" i="9"/>
  <c r="T532" i="9"/>
  <c r="S532" i="9"/>
  <c r="R532" i="9"/>
  <c r="Q532" i="9"/>
  <c r="P532" i="9"/>
  <c r="O532" i="9"/>
  <c r="N532" i="9"/>
  <c r="M532" i="9"/>
  <c r="L532" i="9"/>
  <c r="K532" i="9"/>
  <c r="J532" i="9"/>
  <c r="I532" i="9"/>
  <c r="H532" i="9"/>
  <c r="G532" i="9"/>
  <c r="F532" i="9"/>
  <c r="E532" i="9"/>
  <c r="D532" i="9"/>
  <c r="AY531" i="9"/>
  <c r="AO531" i="9" s="1"/>
  <c r="AX531" i="9"/>
  <c r="AW531" i="9"/>
  <c r="AU531" i="9"/>
  <c r="AK531" i="9" s="1"/>
  <c r="AQ531" i="9"/>
  <c r="AT531" i="9" s="1"/>
  <c r="AH531" i="9" s="1"/>
  <c r="AN531" i="9"/>
  <c r="AM531" i="9"/>
  <c r="AI531" i="9"/>
  <c r="AG531" i="9"/>
  <c r="AF531" i="9"/>
  <c r="AE531" i="9"/>
  <c r="AD531" i="9"/>
  <c r="AC531" i="9"/>
  <c r="AB531" i="9"/>
  <c r="AA531" i="9"/>
  <c r="Z531" i="9"/>
  <c r="Y531" i="9"/>
  <c r="X531" i="9"/>
  <c r="W531" i="9"/>
  <c r="V531" i="9"/>
  <c r="U531" i="9"/>
  <c r="T531" i="9"/>
  <c r="S531" i="9"/>
  <c r="R531" i="9"/>
  <c r="Q531" i="9"/>
  <c r="P531" i="9"/>
  <c r="O531" i="9"/>
  <c r="N531" i="9"/>
  <c r="M531" i="9"/>
  <c r="L531" i="9"/>
  <c r="K531" i="9"/>
  <c r="J531" i="9"/>
  <c r="I531" i="9"/>
  <c r="H531" i="9"/>
  <c r="G531" i="9"/>
  <c r="F531" i="9"/>
  <c r="E531" i="9"/>
  <c r="D531" i="9"/>
  <c r="AQ530" i="9"/>
  <c r="AG530" i="9"/>
  <c r="AF530" i="9"/>
  <c r="AE530" i="9"/>
  <c r="AD530" i="9"/>
  <c r="AC530" i="9"/>
  <c r="AB530" i="9"/>
  <c r="AA530" i="9"/>
  <c r="Z530" i="9"/>
  <c r="Y530" i="9"/>
  <c r="X530" i="9"/>
  <c r="W530" i="9"/>
  <c r="V530" i="9"/>
  <c r="U530" i="9"/>
  <c r="T530" i="9"/>
  <c r="S530" i="9"/>
  <c r="R530" i="9"/>
  <c r="Q530" i="9"/>
  <c r="P530" i="9"/>
  <c r="O530" i="9"/>
  <c r="N530" i="9"/>
  <c r="M530" i="9"/>
  <c r="L530" i="9"/>
  <c r="K530" i="9"/>
  <c r="J530" i="9"/>
  <c r="I530" i="9"/>
  <c r="H530" i="9"/>
  <c r="G530" i="9"/>
  <c r="F530" i="9"/>
  <c r="E530" i="9"/>
  <c r="D530" i="9"/>
  <c r="AQ529" i="9"/>
  <c r="AR529" i="9" s="1"/>
  <c r="AS529" i="9" s="1"/>
  <c r="AG529" i="9"/>
  <c r="AF529" i="9"/>
  <c r="AE529" i="9"/>
  <c r="AD529" i="9"/>
  <c r="AC529" i="9"/>
  <c r="AB529" i="9"/>
  <c r="AA529" i="9"/>
  <c r="Z529" i="9"/>
  <c r="Y529" i="9"/>
  <c r="X529" i="9"/>
  <c r="W529" i="9"/>
  <c r="V529" i="9"/>
  <c r="U529" i="9"/>
  <c r="T529" i="9"/>
  <c r="S529" i="9"/>
  <c r="R529" i="9"/>
  <c r="Q529" i="9"/>
  <c r="P529" i="9"/>
  <c r="O529" i="9"/>
  <c r="N529" i="9"/>
  <c r="M529" i="9"/>
  <c r="L529" i="9"/>
  <c r="K529" i="9"/>
  <c r="J529" i="9"/>
  <c r="I529" i="9"/>
  <c r="H529" i="9"/>
  <c r="G529" i="9"/>
  <c r="F529" i="9"/>
  <c r="E529" i="9"/>
  <c r="D529" i="9"/>
  <c r="AQ528" i="9"/>
  <c r="AG528" i="9"/>
  <c r="AF528" i="9"/>
  <c r="AE528" i="9"/>
  <c r="AD528" i="9"/>
  <c r="AC528" i="9"/>
  <c r="AB528" i="9"/>
  <c r="AA528" i="9"/>
  <c r="Z528" i="9"/>
  <c r="Y528" i="9"/>
  <c r="X528" i="9"/>
  <c r="W528" i="9"/>
  <c r="V528" i="9"/>
  <c r="U528" i="9"/>
  <c r="T528" i="9"/>
  <c r="S528" i="9"/>
  <c r="R528" i="9"/>
  <c r="Q528" i="9"/>
  <c r="P528" i="9"/>
  <c r="O528" i="9"/>
  <c r="N528" i="9"/>
  <c r="M528" i="9"/>
  <c r="L528" i="9"/>
  <c r="K528" i="9"/>
  <c r="J528" i="9"/>
  <c r="I528" i="9"/>
  <c r="H528" i="9"/>
  <c r="G528" i="9"/>
  <c r="F528" i="9"/>
  <c r="E528" i="9"/>
  <c r="D528" i="9"/>
  <c r="AV527" i="9"/>
  <c r="AL527" i="9" s="1"/>
  <c r="AU527" i="9"/>
  <c r="AK527" i="9" s="1"/>
  <c r="AT527" i="9"/>
  <c r="AI527" i="9" s="1"/>
  <c r="AQ527" i="9"/>
  <c r="AX527" i="9" s="1"/>
  <c r="AN527" i="9" s="1"/>
  <c r="AG527" i="9"/>
  <c r="AF527" i="9"/>
  <c r="AE527" i="9"/>
  <c r="AD527" i="9"/>
  <c r="AC527" i="9"/>
  <c r="AB527" i="9"/>
  <c r="AA527" i="9"/>
  <c r="Z527" i="9"/>
  <c r="Y527" i="9"/>
  <c r="X527" i="9"/>
  <c r="W527" i="9"/>
  <c r="V527" i="9"/>
  <c r="U527" i="9"/>
  <c r="T527" i="9"/>
  <c r="S527" i="9"/>
  <c r="R527" i="9"/>
  <c r="Q527" i="9"/>
  <c r="P527" i="9"/>
  <c r="O527" i="9"/>
  <c r="N527" i="9"/>
  <c r="M527" i="9"/>
  <c r="L527" i="9"/>
  <c r="K527" i="9"/>
  <c r="J527" i="9"/>
  <c r="I527" i="9"/>
  <c r="H527" i="9"/>
  <c r="G527" i="9"/>
  <c r="F527" i="9"/>
  <c r="E527" i="9"/>
  <c r="D527" i="9"/>
  <c r="AY526" i="9"/>
  <c r="AO526" i="9" s="1"/>
  <c r="AX526" i="9"/>
  <c r="AN526" i="9" s="1"/>
  <c r="AW526" i="9"/>
  <c r="AM526" i="9" s="1"/>
  <c r="AV526" i="9"/>
  <c r="AL526" i="9" s="1"/>
  <c r="AU526" i="9"/>
  <c r="AT526" i="9"/>
  <c r="AJ526" i="9" s="1"/>
  <c r="AQ526" i="9"/>
  <c r="AR526" i="9" s="1"/>
  <c r="AS526" i="9" s="1"/>
  <c r="AK526" i="9"/>
  <c r="AH526" i="9"/>
  <c r="AG526" i="9"/>
  <c r="AF526" i="9"/>
  <c r="AE526" i="9"/>
  <c r="AD526" i="9"/>
  <c r="AC526" i="9"/>
  <c r="AB526" i="9"/>
  <c r="AA526" i="9"/>
  <c r="Z526" i="9"/>
  <c r="Y526" i="9"/>
  <c r="X526" i="9"/>
  <c r="W526" i="9"/>
  <c r="V526" i="9"/>
  <c r="U526" i="9"/>
  <c r="T526" i="9"/>
  <c r="S526" i="9"/>
  <c r="R526" i="9"/>
  <c r="Q526" i="9"/>
  <c r="P526" i="9"/>
  <c r="O526" i="9"/>
  <c r="N526" i="9"/>
  <c r="M526" i="9"/>
  <c r="L526" i="9"/>
  <c r="K526" i="9"/>
  <c r="J526" i="9"/>
  <c r="I526" i="9"/>
  <c r="H526" i="9"/>
  <c r="G526" i="9"/>
  <c r="F526" i="9"/>
  <c r="E526" i="9"/>
  <c r="D526" i="9"/>
  <c r="AY525" i="9"/>
  <c r="AW525" i="9"/>
  <c r="AM525" i="9" s="1"/>
  <c r="AS525" i="9"/>
  <c r="AR525" i="9"/>
  <c r="AQ525" i="9"/>
  <c r="AT525" i="9" s="1"/>
  <c r="AH525" i="9" s="1"/>
  <c r="AO525" i="9"/>
  <c r="AJ525" i="9"/>
  <c r="AI525" i="9"/>
  <c r="AG525" i="9"/>
  <c r="AF525" i="9"/>
  <c r="AE525" i="9"/>
  <c r="AD525" i="9"/>
  <c r="AC525" i="9"/>
  <c r="AB525" i="9"/>
  <c r="AA525" i="9"/>
  <c r="Z525" i="9"/>
  <c r="Y525" i="9"/>
  <c r="X525" i="9"/>
  <c r="W525" i="9"/>
  <c r="V525" i="9"/>
  <c r="U525" i="9"/>
  <c r="T525" i="9"/>
  <c r="S525" i="9"/>
  <c r="R525" i="9"/>
  <c r="Q525" i="9"/>
  <c r="P525" i="9"/>
  <c r="O525" i="9"/>
  <c r="N525" i="9"/>
  <c r="M525" i="9"/>
  <c r="L525" i="9"/>
  <c r="K525" i="9"/>
  <c r="J525" i="9"/>
  <c r="I525" i="9"/>
  <c r="H525" i="9"/>
  <c r="G525" i="9"/>
  <c r="F525" i="9"/>
  <c r="E525" i="9"/>
  <c r="D525" i="9"/>
  <c r="AQ524" i="9"/>
  <c r="AY524" i="9" s="1"/>
  <c r="AO524" i="9"/>
  <c r="AG524" i="9"/>
  <c r="AF524" i="9"/>
  <c r="AE524" i="9"/>
  <c r="AD524" i="9"/>
  <c r="AC524" i="9"/>
  <c r="AB524" i="9"/>
  <c r="AA524" i="9"/>
  <c r="Z524" i="9"/>
  <c r="Y524" i="9"/>
  <c r="X524" i="9"/>
  <c r="W524" i="9"/>
  <c r="V524" i="9"/>
  <c r="U524" i="9"/>
  <c r="T524" i="9"/>
  <c r="S524" i="9"/>
  <c r="R524" i="9"/>
  <c r="Q524" i="9"/>
  <c r="P524" i="9"/>
  <c r="O524" i="9"/>
  <c r="N524" i="9"/>
  <c r="M524" i="9"/>
  <c r="L524" i="9"/>
  <c r="K524" i="9"/>
  <c r="J524" i="9"/>
  <c r="I524" i="9"/>
  <c r="H524" i="9"/>
  <c r="G524" i="9"/>
  <c r="F524" i="9"/>
  <c r="E524" i="9"/>
  <c r="D524" i="9"/>
  <c r="AY523" i="9"/>
  <c r="AO523" i="9" s="1"/>
  <c r="AX523" i="9"/>
  <c r="AN523" i="9" s="1"/>
  <c r="AW523" i="9"/>
  <c r="AM523" i="9" s="1"/>
  <c r="AV523" i="9"/>
  <c r="AL523" i="9" s="1"/>
  <c r="AU523" i="9"/>
  <c r="AK523" i="9" s="1"/>
  <c r="AT523" i="9"/>
  <c r="AJ523" i="9" s="1"/>
  <c r="AS523" i="9"/>
  <c r="AR523" i="9"/>
  <c r="AQ523" i="9"/>
  <c r="AG523" i="9"/>
  <c r="AF523" i="9"/>
  <c r="AE523" i="9"/>
  <c r="AD523" i="9"/>
  <c r="AC523" i="9"/>
  <c r="AB523" i="9"/>
  <c r="AA523" i="9"/>
  <c r="Z523" i="9"/>
  <c r="Y523" i="9"/>
  <c r="X523" i="9"/>
  <c r="W523" i="9"/>
  <c r="V523" i="9"/>
  <c r="U523" i="9"/>
  <c r="T523" i="9"/>
  <c r="S523" i="9"/>
  <c r="R523" i="9"/>
  <c r="Q523" i="9"/>
  <c r="P523" i="9"/>
  <c r="O523" i="9"/>
  <c r="N523" i="9"/>
  <c r="M523" i="9"/>
  <c r="L523" i="9"/>
  <c r="K523" i="9"/>
  <c r="J523" i="9"/>
  <c r="I523" i="9"/>
  <c r="H523" i="9"/>
  <c r="G523" i="9"/>
  <c r="F523" i="9"/>
  <c r="E523" i="9"/>
  <c r="D523" i="9"/>
  <c r="AY522" i="9"/>
  <c r="AO522" i="9" s="1"/>
  <c r="AX522" i="9"/>
  <c r="AN522" i="9" s="1"/>
  <c r="AW522" i="9"/>
  <c r="AM522" i="9" s="1"/>
  <c r="AV522" i="9"/>
  <c r="AT522" i="9"/>
  <c r="AQ522" i="9"/>
  <c r="AU522" i="9" s="1"/>
  <c r="AL522" i="9"/>
  <c r="AK522" i="9"/>
  <c r="AJ522" i="9"/>
  <c r="AI522" i="9"/>
  <c r="AH522" i="9"/>
  <c r="AG522" i="9"/>
  <c r="AF522" i="9"/>
  <c r="AE522" i="9"/>
  <c r="AD522" i="9"/>
  <c r="AC522" i="9"/>
  <c r="AB522" i="9"/>
  <c r="AA522" i="9"/>
  <c r="Z522" i="9"/>
  <c r="Y522" i="9"/>
  <c r="X522" i="9"/>
  <c r="W522" i="9"/>
  <c r="V522" i="9"/>
  <c r="U522" i="9"/>
  <c r="T522" i="9"/>
  <c r="S522" i="9"/>
  <c r="R522" i="9"/>
  <c r="Q522" i="9"/>
  <c r="P522" i="9"/>
  <c r="O522" i="9"/>
  <c r="N522" i="9"/>
  <c r="M522" i="9"/>
  <c r="L522" i="9"/>
  <c r="K522" i="9"/>
  <c r="J522" i="9"/>
  <c r="I522" i="9"/>
  <c r="H522" i="9"/>
  <c r="G522" i="9"/>
  <c r="F522" i="9"/>
  <c r="E522" i="9"/>
  <c r="D522" i="9"/>
  <c r="AX521" i="9"/>
  <c r="AU521" i="9"/>
  <c r="AK521" i="9" s="1"/>
  <c r="AT521" i="9"/>
  <c r="AH521" i="9" s="1"/>
  <c r="AR521" i="9"/>
  <c r="AS521" i="9" s="1"/>
  <c r="AQ521" i="9"/>
  <c r="AW521" i="9" s="1"/>
  <c r="AM521" i="9" s="1"/>
  <c r="AN521" i="9"/>
  <c r="AG521" i="9"/>
  <c r="AF521" i="9"/>
  <c r="AE521" i="9"/>
  <c r="AD521" i="9"/>
  <c r="AC521" i="9"/>
  <c r="AB521" i="9"/>
  <c r="AA521" i="9"/>
  <c r="Z521" i="9"/>
  <c r="Y521" i="9"/>
  <c r="X521" i="9"/>
  <c r="W521" i="9"/>
  <c r="V521" i="9"/>
  <c r="U521" i="9"/>
  <c r="T521" i="9"/>
  <c r="S521" i="9"/>
  <c r="R521" i="9"/>
  <c r="Q521" i="9"/>
  <c r="P521" i="9"/>
  <c r="O521" i="9"/>
  <c r="N521" i="9"/>
  <c r="M521" i="9"/>
  <c r="L521" i="9"/>
  <c r="K521" i="9"/>
  <c r="J521" i="9"/>
  <c r="I521" i="9"/>
  <c r="H521" i="9"/>
  <c r="G521" i="9"/>
  <c r="F521" i="9"/>
  <c r="E521" i="9"/>
  <c r="D521" i="9"/>
  <c r="AQ520" i="9"/>
  <c r="AY520" i="9" s="1"/>
  <c r="AO520" i="9" s="1"/>
  <c r="AG520" i="9"/>
  <c r="AF520" i="9"/>
  <c r="AE520" i="9"/>
  <c r="AD520" i="9"/>
  <c r="AC520" i="9"/>
  <c r="AB520" i="9"/>
  <c r="AA520" i="9"/>
  <c r="Z520" i="9"/>
  <c r="Y520" i="9"/>
  <c r="X520" i="9"/>
  <c r="W520" i="9"/>
  <c r="V520" i="9"/>
  <c r="U520" i="9"/>
  <c r="T520" i="9"/>
  <c r="S520" i="9"/>
  <c r="R520" i="9"/>
  <c r="Q520" i="9"/>
  <c r="P520" i="9"/>
  <c r="O520" i="9"/>
  <c r="N520" i="9"/>
  <c r="M520" i="9"/>
  <c r="L520" i="9"/>
  <c r="K520" i="9"/>
  <c r="J520" i="9"/>
  <c r="I520" i="9"/>
  <c r="H520" i="9"/>
  <c r="G520" i="9"/>
  <c r="F520" i="9"/>
  <c r="E520" i="9"/>
  <c r="D520" i="9"/>
  <c r="AY519" i="9"/>
  <c r="AX519" i="9"/>
  <c r="AN519" i="9" s="1"/>
  <c r="AW519" i="9"/>
  <c r="AM519" i="9" s="1"/>
  <c r="AV519" i="9"/>
  <c r="AL519" i="9" s="1"/>
  <c r="AU519" i="9"/>
  <c r="AQ519" i="9"/>
  <c r="AR519" i="9" s="1"/>
  <c r="AS519" i="9" s="1"/>
  <c r="AO519" i="9"/>
  <c r="AK519" i="9"/>
  <c r="AG519" i="9"/>
  <c r="AF519" i="9"/>
  <c r="AE519" i="9"/>
  <c r="AD519" i="9"/>
  <c r="AC519" i="9"/>
  <c r="AB519" i="9"/>
  <c r="AA519" i="9"/>
  <c r="Z519" i="9"/>
  <c r="Y519" i="9"/>
  <c r="X519" i="9"/>
  <c r="W519" i="9"/>
  <c r="V519" i="9"/>
  <c r="U519" i="9"/>
  <c r="T519" i="9"/>
  <c r="S519" i="9"/>
  <c r="R519" i="9"/>
  <c r="Q519" i="9"/>
  <c r="P519" i="9"/>
  <c r="O519" i="9"/>
  <c r="N519" i="9"/>
  <c r="M519" i="9"/>
  <c r="L519" i="9"/>
  <c r="K519" i="9"/>
  <c r="J519" i="9"/>
  <c r="I519" i="9"/>
  <c r="H519" i="9"/>
  <c r="G519" i="9"/>
  <c r="F519" i="9"/>
  <c r="E519" i="9"/>
  <c r="D519" i="9"/>
  <c r="AX518" i="9"/>
  <c r="AU518" i="9"/>
  <c r="AK518" i="9" s="1"/>
  <c r="AT518" i="9"/>
  <c r="AH518" i="9" s="1"/>
  <c r="AR518" i="9"/>
  <c r="AS518" i="9" s="1"/>
  <c r="AQ518" i="9"/>
  <c r="AW518" i="9" s="1"/>
  <c r="AM518" i="9" s="1"/>
  <c r="AN518" i="9"/>
  <c r="AI518" i="9"/>
  <c r="AG518" i="9"/>
  <c r="AF518" i="9"/>
  <c r="AE518" i="9"/>
  <c r="AD518" i="9"/>
  <c r="AC518" i="9"/>
  <c r="AB518" i="9"/>
  <c r="AA518" i="9"/>
  <c r="Z518" i="9"/>
  <c r="Y518" i="9"/>
  <c r="X518" i="9"/>
  <c r="W518" i="9"/>
  <c r="V518" i="9"/>
  <c r="U518" i="9"/>
  <c r="T518" i="9"/>
  <c r="S518" i="9"/>
  <c r="R518" i="9"/>
  <c r="Q518" i="9"/>
  <c r="P518" i="9"/>
  <c r="O518" i="9"/>
  <c r="N518" i="9"/>
  <c r="M518" i="9"/>
  <c r="L518" i="9"/>
  <c r="K518" i="9"/>
  <c r="J518" i="9"/>
  <c r="I518" i="9"/>
  <c r="H518" i="9"/>
  <c r="G518" i="9"/>
  <c r="F518" i="9"/>
  <c r="E518" i="9"/>
  <c r="D518" i="9"/>
  <c r="AY517" i="9"/>
  <c r="AO517" i="9" s="1"/>
  <c r="AW517" i="9"/>
  <c r="AM517" i="9" s="1"/>
  <c r="AT517" i="9"/>
  <c r="AJ517" i="9" s="1"/>
  <c r="AR517" i="9"/>
  <c r="AS517" i="9" s="1"/>
  <c r="AQ517" i="9"/>
  <c r="AX517" i="9" s="1"/>
  <c r="AN517" i="9" s="1"/>
  <c r="AG517" i="9"/>
  <c r="AF517" i="9"/>
  <c r="AE517" i="9"/>
  <c r="AD517" i="9"/>
  <c r="AC517" i="9"/>
  <c r="AB517" i="9"/>
  <c r="AA517" i="9"/>
  <c r="Z517" i="9"/>
  <c r="Y517" i="9"/>
  <c r="X517" i="9"/>
  <c r="W517" i="9"/>
  <c r="V517" i="9"/>
  <c r="U517" i="9"/>
  <c r="T517" i="9"/>
  <c r="S517" i="9"/>
  <c r="R517" i="9"/>
  <c r="Q517" i="9"/>
  <c r="P517" i="9"/>
  <c r="O517" i="9"/>
  <c r="N517" i="9"/>
  <c r="M517" i="9"/>
  <c r="L517" i="9"/>
  <c r="K517" i="9"/>
  <c r="J517" i="9"/>
  <c r="I517" i="9"/>
  <c r="H517" i="9"/>
  <c r="G517" i="9"/>
  <c r="F517" i="9"/>
  <c r="E517" i="9"/>
  <c r="D517" i="9"/>
  <c r="AW516" i="9"/>
  <c r="AM516" i="9" s="1"/>
  <c r="AQ516" i="9"/>
  <c r="AT516" i="9" s="1"/>
  <c r="AG516" i="9"/>
  <c r="AF516" i="9"/>
  <c r="AE516" i="9"/>
  <c r="AD516" i="9"/>
  <c r="AC516" i="9"/>
  <c r="AB516" i="9"/>
  <c r="AA516" i="9"/>
  <c r="Z516" i="9"/>
  <c r="Y516" i="9"/>
  <c r="X516" i="9"/>
  <c r="W516" i="9"/>
  <c r="V516" i="9"/>
  <c r="U516" i="9"/>
  <c r="T516" i="9"/>
  <c r="S516" i="9"/>
  <c r="R516" i="9"/>
  <c r="Q516" i="9"/>
  <c r="P516" i="9"/>
  <c r="O516" i="9"/>
  <c r="N516" i="9"/>
  <c r="M516" i="9"/>
  <c r="L516" i="9"/>
  <c r="K516" i="9"/>
  <c r="J516" i="9"/>
  <c r="I516" i="9"/>
  <c r="H516" i="9"/>
  <c r="G516" i="9"/>
  <c r="F516" i="9"/>
  <c r="E516" i="9"/>
  <c r="D516" i="9"/>
  <c r="AY515" i="9"/>
  <c r="AV515" i="9"/>
  <c r="AL515" i="9" s="1"/>
  <c r="AU515" i="9"/>
  <c r="AK515" i="9" s="1"/>
  <c r="AT515" i="9"/>
  <c r="AI515" i="9" s="1"/>
  <c r="AS515" i="9"/>
  <c r="AR515" i="9"/>
  <c r="AQ515" i="9"/>
  <c r="AX515" i="9" s="1"/>
  <c r="AN515" i="9" s="1"/>
  <c r="AO515" i="9"/>
  <c r="AJ515" i="9"/>
  <c r="AG515" i="9"/>
  <c r="AF515" i="9"/>
  <c r="AE515" i="9"/>
  <c r="AD515" i="9"/>
  <c r="AC515" i="9"/>
  <c r="AB515" i="9"/>
  <c r="AA515" i="9"/>
  <c r="Z515" i="9"/>
  <c r="Y515" i="9"/>
  <c r="X515" i="9"/>
  <c r="W515" i="9"/>
  <c r="V515" i="9"/>
  <c r="U515" i="9"/>
  <c r="T515" i="9"/>
  <c r="S515" i="9"/>
  <c r="R515" i="9"/>
  <c r="Q515" i="9"/>
  <c r="P515" i="9"/>
  <c r="O515" i="9"/>
  <c r="N515" i="9"/>
  <c r="M515" i="9"/>
  <c r="L515" i="9"/>
  <c r="K515" i="9"/>
  <c r="J515" i="9"/>
  <c r="I515" i="9"/>
  <c r="H515" i="9"/>
  <c r="G515" i="9"/>
  <c r="F515" i="9"/>
  <c r="E515" i="9"/>
  <c r="D515" i="9"/>
  <c r="AY514" i="9"/>
  <c r="AX514" i="9"/>
  <c r="AN514" i="9" s="1"/>
  <c r="AW514" i="9"/>
  <c r="AM514" i="9" s="1"/>
  <c r="AV514" i="9"/>
  <c r="AU514" i="9"/>
  <c r="AK514" i="9" s="1"/>
  <c r="AT514" i="9"/>
  <c r="AJ514" i="9" s="1"/>
  <c r="AS514" i="9"/>
  <c r="AR514" i="9"/>
  <c r="AQ514" i="9"/>
  <c r="AO514" i="9"/>
  <c r="AL514" i="9"/>
  <c r="AG514" i="9"/>
  <c r="AF514" i="9"/>
  <c r="AE514" i="9"/>
  <c r="AD514" i="9"/>
  <c r="AC514" i="9"/>
  <c r="AB514" i="9"/>
  <c r="AA514" i="9"/>
  <c r="Z514" i="9"/>
  <c r="Y514" i="9"/>
  <c r="X514" i="9"/>
  <c r="W514" i="9"/>
  <c r="V514" i="9"/>
  <c r="U514" i="9"/>
  <c r="T514" i="9"/>
  <c r="S514" i="9"/>
  <c r="R514" i="9"/>
  <c r="Q514" i="9"/>
  <c r="P514" i="9"/>
  <c r="O514" i="9"/>
  <c r="N514" i="9"/>
  <c r="M514" i="9"/>
  <c r="L514" i="9"/>
  <c r="K514" i="9"/>
  <c r="J514" i="9"/>
  <c r="I514" i="9"/>
  <c r="H514" i="9"/>
  <c r="G514" i="9"/>
  <c r="F514" i="9"/>
  <c r="E514" i="9"/>
  <c r="D514" i="9"/>
  <c r="AY513" i="9"/>
  <c r="AO513" i="9" s="1"/>
  <c r="AX513" i="9"/>
  <c r="AN513" i="9" s="1"/>
  <c r="AU513" i="9"/>
  <c r="AK513" i="9" s="1"/>
  <c r="AR513" i="9"/>
  <c r="AS513" i="9" s="1"/>
  <c r="AQ513" i="9"/>
  <c r="AT513" i="9" s="1"/>
  <c r="AG513" i="9"/>
  <c r="AF513" i="9"/>
  <c r="AE513" i="9"/>
  <c r="AD513" i="9"/>
  <c r="AC513" i="9"/>
  <c r="AB513" i="9"/>
  <c r="AA513" i="9"/>
  <c r="Z513" i="9"/>
  <c r="Y513" i="9"/>
  <c r="X513" i="9"/>
  <c r="W513" i="9"/>
  <c r="V513" i="9"/>
  <c r="U513" i="9"/>
  <c r="T513" i="9"/>
  <c r="S513" i="9"/>
  <c r="R513" i="9"/>
  <c r="Q513" i="9"/>
  <c r="P513" i="9"/>
  <c r="O513" i="9"/>
  <c r="N513" i="9"/>
  <c r="M513" i="9"/>
  <c r="L513" i="9"/>
  <c r="K513" i="9"/>
  <c r="J513" i="9"/>
  <c r="I513" i="9"/>
  <c r="H513" i="9"/>
  <c r="G513" i="9"/>
  <c r="F513" i="9"/>
  <c r="E513" i="9"/>
  <c r="D513" i="9"/>
  <c r="AW512" i="9"/>
  <c r="AM512" i="9" s="1"/>
  <c r="AQ512" i="9"/>
  <c r="AY512" i="9" s="1"/>
  <c r="AO512" i="9" s="1"/>
  <c r="AG512" i="9"/>
  <c r="AF512" i="9"/>
  <c r="AE512" i="9"/>
  <c r="AD512" i="9"/>
  <c r="AC512" i="9"/>
  <c r="AB512" i="9"/>
  <c r="AA512" i="9"/>
  <c r="Z512" i="9"/>
  <c r="Y512" i="9"/>
  <c r="X512" i="9"/>
  <c r="W512" i="9"/>
  <c r="V512" i="9"/>
  <c r="U512" i="9"/>
  <c r="T512" i="9"/>
  <c r="S512" i="9"/>
  <c r="R512" i="9"/>
  <c r="Q512" i="9"/>
  <c r="P512" i="9"/>
  <c r="O512" i="9"/>
  <c r="N512" i="9"/>
  <c r="M512" i="9"/>
  <c r="L512" i="9"/>
  <c r="K512" i="9"/>
  <c r="J512" i="9"/>
  <c r="I512" i="9"/>
  <c r="H512" i="9"/>
  <c r="G512" i="9"/>
  <c r="F512" i="9"/>
  <c r="E512" i="9"/>
  <c r="D512" i="9"/>
  <c r="AT511" i="9"/>
  <c r="AQ511" i="9"/>
  <c r="AY511" i="9" s="1"/>
  <c r="AO511" i="9" s="1"/>
  <c r="AG511" i="9"/>
  <c r="AF511" i="9"/>
  <c r="AE511" i="9"/>
  <c r="AD511" i="9"/>
  <c r="AC511" i="9"/>
  <c r="AB511" i="9"/>
  <c r="AA511" i="9"/>
  <c r="Z511" i="9"/>
  <c r="Y511" i="9"/>
  <c r="X511" i="9"/>
  <c r="W511" i="9"/>
  <c r="V511" i="9"/>
  <c r="U511" i="9"/>
  <c r="T511" i="9"/>
  <c r="S511" i="9"/>
  <c r="R511" i="9"/>
  <c r="Q511" i="9"/>
  <c r="P511" i="9"/>
  <c r="O511" i="9"/>
  <c r="N511" i="9"/>
  <c r="M511" i="9"/>
  <c r="L511" i="9"/>
  <c r="K511" i="9"/>
  <c r="J511" i="9"/>
  <c r="I511" i="9"/>
  <c r="H511" i="9"/>
  <c r="G511" i="9"/>
  <c r="F511" i="9"/>
  <c r="E511" i="9"/>
  <c r="D511" i="9"/>
  <c r="AY510" i="9"/>
  <c r="AO510" i="9" s="1"/>
  <c r="AX510" i="9"/>
  <c r="AV510" i="9"/>
  <c r="AL510" i="9" s="1"/>
  <c r="AS510" i="9"/>
  <c r="AR510" i="9"/>
  <c r="AQ510" i="9"/>
  <c r="AU510" i="9" s="1"/>
  <c r="AK510" i="9" s="1"/>
  <c r="AN510" i="9"/>
  <c r="AG510" i="9"/>
  <c r="AF510" i="9"/>
  <c r="AE510" i="9"/>
  <c r="AD510" i="9"/>
  <c r="AC510" i="9"/>
  <c r="AB510" i="9"/>
  <c r="AA510" i="9"/>
  <c r="Z510" i="9"/>
  <c r="Y510" i="9"/>
  <c r="X510" i="9"/>
  <c r="W510" i="9"/>
  <c r="V510" i="9"/>
  <c r="U510" i="9"/>
  <c r="T510" i="9"/>
  <c r="S510" i="9"/>
  <c r="R510" i="9"/>
  <c r="Q510" i="9"/>
  <c r="P510" i="9"/>
  <c r="O510" i="9"/>
  <c r="N510" i="9"/>
  <c r="M510" i="9"/>
  <c r="L510" i="9"/>
  <c r="K510" i="9"/>
  <c r="J510" i="9"/>
  <c r="I510" i="9"/>
  <c r="H510" i="9"/>
  <c r="G510" i="9"/>
  <c r="F510" i="9"/>
  <c r="E510" i="9"/>
  <c r="D510" i="9"/>
  <c r="AX509" i="9"/>
  <c r="AN509" i="9" s="1"/>
  <c r="AR509" i="9"/>
  <c r="AS509" i="9" s="1"/>
  <c r="AQ509" i="9"/>
  <c r="AY509" i="9" s="1"/>
  <c r="AO509" i="9"/>
  <c r="AG509" i="9"/>
  <c r="AF509" i="9"/>
  <c r="AE509" i="9"/>
  <c r="AD509" i="9"/>
  <c r="AC509" i="9"/>
  <c r="AB509" i="9"/>
  <c r="AA509" i="9"/>
  <c r="Z509" i="9"/>
  <c r="Y509" i="9"/>
  <c r="X509" i="9"/>
  <c r="W509" i="9"/>
  <c r="V509" i="9"/>
  <c r="U509" i="9"/>
  <c r="T509" i="9"/>
  <c r="S509" i="9"/>
  <c r="R509" i="9"/>
  <c r="Q509" i="9"/>
  <c r="P509" i="9"/>
  <c r="O509" i="9"/>
  <c r="N509" i="9"/>
  <c r="M509" i="9"/>
  <c r="L509" i="9"/>
  <c r="K509" i="9"/>
  <c r="J509" i="9"/>
  <c r="I509" i="9"/>
  <c r="H509" i="9"/>
  <c r="G509" i="9"/>
  <c r="F509" i="9"/>
  <c r="E509" i="9"/>
  <c r="D509" i="9"/>
  <c r="AY508" i="9"/>
  <c r="AO508" i="9" s="1"/>
  <c r="AX508" i="9"/>
  <c r="AW508" i="9"/>
  <c r="AM508" i="9" s="1"/>
  <c r="AV508" i="9"/>
  <c r="AL508" i="9" s="1"/>
  <c r="AU508" i="9"/>
  <c r="AK508" i="9" s="1"/>
  <c r="AT508" i="9"/>
  <c r="AI508" i="9" s="1"/>
  <c r="AR508" i="9"/>
  <c r="AS508" i="9" s="1"/>
  <c r="AQ508" i="9"/>
  <c r="AN508" i="9"/>
  <c r="AJ508" i="9"/>
  <c r="AH508" i="9"/>
  <c r="AG508" i="9"/>
  <c r="AF508" i="9"/>
  <c r="AE508" i="9"/>
  <c r="AD508" i="9"/>
  <c r="AC508" i="9"/>
  <c r="AB508" i="9"/>
  <c r="AA508" i="9"/>
  <c r="Z508" i="9"/>
  <c r="Y508" i="9"/>
  <c r="X508" i="9"/>
  <c r="W508" i="9"/>
  <c r="V508" i="9"/>
  <c r="U508" i="9"/>
  <c r="T508" i="9"/>
  <c r="S508" i="9"/>
  <c r="R508" i="9"/>
  <c r="Q508" i="9"/>
  <c r="P508" i="9"/>
  <c r="O508" i="9"/>
  <c r="N508" i="9"/>
  <c r="M508" i="9"/>
  <c r="L508" i="9"/>
  <c r="K508" i="9"/>
  <c r="J508" i="9"/>
  <c r="I508" i="9"/>
  <c r="H508" i="9"/>
  <c r="G508" i="9"/>
  <c r="F508" i="9"/>
  <c r="E508" i="9"/>
  <c r="D508" i="9"/>
  <c r="AW507" i="9"/>
  <c r="AM507" i="9" s="1"/>
  <c r="AT507" i="9"/>
  <c r="AJ507" i="9" s="1"/>
  <c r="AQ507" i="9"/>
  <c r="AV507" i="9" s="1"/>
  <c r="AL507" i="9" s="1"/>
  <c r="AH507" i="9"/>
  <c r="AG507" i="9"/>
  <c r="AF507" i="9"/>
  <c r="AE507" i="9"/>
  <c r="AD507" i="9"/>
  <c r="AC507" i="9"/>
  <c r="AB507" i="9"/>
  <c r="AA507" i="9"/>
  <c r="Z507" i="9"/>
  <c r="Y507" i="9"/>
  <c r="X507" i="9"/>
  <c r="W507" i="9"/>
  <c r="V507" i="9"/>
  <c r="U507" i="9"/>
  <c r="T507" i="9"/>
  <c r="S507" i="9"/>
  <c r="R507" i="9"/>
  <c r="Q507" i="9"/>
  <c r="P507" i="9"/>
  <c r="O507" i="9"/>
  <c r="N507" i="9"/>
  <c r="M507" i="9"/>
  <c r="L507" i="9"/>
  <c r="K507" i="9"/>
  <c r="J507" i="9"/>
  <c r="I507" i="9"/>
  <c r="H507" i="9"/>
  <c r="G507" i="9"/>
  <c r="F507" i="9"/>
  <c r="E507" i="9"/>
  <c r="D507" i="9"/>
  <c r="AQ506" i="9"/>
  <c r="AG506" i="9"/>
  <c r="AF506" i="9"/>
  <c r="AE506" i="9"/>
  <c r="AD506" i="9"/>
  <c r="AC506" i="9"/>
  <c r="AB506" i="9"/>
  <c r="AA506" i="9"/>
  <c r="Z506" i="9"/>
  <c r="Y506" i="9"/>
  <c r="X506" i="9"/>
  <c r="W506" i="9"/>
  <c r="V506" i="9"/>
  <c r="U506" i="9"/>
  <c r="T506" i="9"/>
  <c r="S506" i="9"/>
  <c r="R506" i="9"/>
  <c r="Q506" i="9"/>
  <c r="P506" i="9"/>
  <c r="O506" i="9"/>
  <c r="N506" i="9"/>
  <c r="M506" i="9"/>
  <c r="L506" i="9"/>
  <c r="K506" i="9"/>
  <c r="J506" i="9"/>
  <c r="I506" i="9"/>
  <c r="H506" i="9"/>
  <c r="G506" i="9"/>
  <c r="F506" i="9"/>
  <c r="E506" i="9"/>
  <c r="D506" i="9"/>
  <c r="AY505" i="9"/>
  <c r="AX505" i="9"/>
  <c r="AN505" i="9" s="1"/>
  <c r="AW505" i="9"/>
  <c r="AM505" i="9" s="1"/>
  <c r="AV505" i="9"/>
  <c r="AL505" i="9" s="1"/>
  <c r="AU505" i="9"/>
  <c r="AQ505" i="9"/>
  <c r="AR505" i="9" s="1"/>
  <c r="AS505" i="9" s="1"/>
  <c r="AO505" i="9"/>
  <c r="AK505" i="9"/>
  <c r="AG505" i="9"/>
  <c r="AF505" i="9"/>
  <c r="AE505" i="9"/>
  <c r="AD505" i="9"/>
  <c r="AC505" i="9"/>
  <c r="AB505" i="9"/>
  <c r="AA505" i="9"/>
  <c r="Z505" i="9"/>
  <c r="Y505" i="9"/>
  <c r="X505" i="9"/>
  <c r="W505" i="9"/>
  <c r="V505" i="9"/>
  <c r="U505" i="9"/>
  <c r="T505" i="9"/>
  <c r="S505" i="9"/>
  <c r="R505" i="9"/>
  <c r="Q505" i="9"/>
  <c r="P505" i="9"/>
  <c r="O505" i="9"/>
  <c r="N505" i="9"/>
  <c r="M505" i="9"/>
  <c r="L505" i="9"/>
  <c r="K505" i="9"/>
  <c r="J505" i="9"/>
  <c r="I505" i="9"/>
  <c r="H505" i="9"/>
  <c r="G505" i="9"/>
  <c r="F505" i="9"/>
  <c r="E505" i="9"/>
  <c r="D505" i="9"/>
  <c r="AX504" i="9"/>
  <c r="AN504" i="9" s="1"/>
  <c r="AU504" i="9"/>
  <c r="AK504" i="9" s="1"/>
  <c r="AQ504" i="9"/>
  <c r="AW504" i="9" s="1"/>
  <c r="AM504" i="9" s="1"/>
  <c r="AG504" i="9"/>
  <c r="AF504" i="9"/>
  <c r="AE504" i="9"/>
  <c r="AD504" i="9"/>
  <c r="AC504" i="9"/>
  <c r="AB504" i="9"/>
  <c r="AA504" i="9"/>
  <c r="Z504" i="9"/>
  <c r="Y504" i="9"/>
  <c r="X504" i="9"/>
  <c r="W504" i="9"/>
  <c r="V504" i="9"/>
  <c r="U504" i="9"/>
  <c r="T504" i="9"/>
  <c r="S504" i="9"/>
  <c r="R504" i="9"/>
  <c r="Q504" i="9"/>
  <c r="P504" i="9"/>
  <c r="O504" i="9"/>
  <c r="N504" i="9"/>
  <c r="M504" i="9"/>
  <c r="L504" i="9"/>
  <c r="K504" i="9"/>
  <c r="J504" i="9"/>
  <c r="I504" i="9"/>
  <c r="H504" i="9"/>
  <c r="G504" i="9"/>
  <c r="F504" i="9"/>
  <c r="E504" i="9"/>
  <c r="D504" i="9"/>
  <c r="AY503" i="9"/>
  <c r="AO503" i="9" s="1"/>
  <c r="AW503" i="9"/>
  <c r="AM503" i="9" s="1"/>
  <c r="AV503" i="9"/>
  <c r="AL503" i="9" s="1"/>
  <c r="AT503" i="9"/>
  <c r="AJ503" i="9" s="1"/>
  <c r="AR503" i="9"/>
  <c r="AS503" i="9" s="1"/>
  <c r="AQ503" i="9"/>
  <c r="AX503" i="9" s="1"/>
  <c r="AN503" i="9" s="1"/>
  <c r="AG503" i="9"/>
  <c r="AF503" i="9"/>
  <c r="AE503" i="9"/>
  <c r="AD503" i="9"/>
  <c r="AC503" i="9"/>
  <c r="AB503" i="9"/>
  <c r="AA503" i="9"/>
  <c r="Z503" i="9"/>
  <c r="Y503" i="9"/>
  <c r="X503" i="9"/>
  <c r="W503" i="9"/>
  <c r="V503" i="9"/>
  <c r="U503" i="9"/>
  <c r="T503" i="9"/>
  <c r="S503" i="9"/>
  <c r="R503" i="9"/>
  <c r="Q503" i="9"/>
  <c r="P503" i="9"/>
  <c r="O503" i="9"/>
  <c r="N503" i="9"/>
  <c r="M503" i="9"/>
  <c r="L503" i="9"/>
  <c r="K503" i="9"/>
  <c r="J503" i="9"/>
  <c r="I503" i="9"/>
  <c r="H503" i="9"/>
  <c r="G503" i="9"/>
  <c r="F503" i="9"/>
  <c r="E503" i="9"/>
  <c r="D503" i="9"/>
  <c r="AW502" i="9"/>
  <c r="AM502" i="9" s="1"/>
  <c r="AT502" i="9"/>
  <c r="AJ502" i="9" s="1"/>
  <c r="AQ502" i="9"/>
  <c r="AR502" i="9" s="1"/>
  <c r="AS502" i="9" s="1"/>
  <c r="AH502" i="9"/>
  <c r="AG502" i="9"/>
  <c r="AF502" i="9"/>
  <c r="AE502" i="9"/>
  <c r="AD502" i="9"/>
  <c r="AC502" i="9"/>
  <c r="AB502" i="9"/>
  <c r="AA502" i="9"/>
  <c r="Z502" i="9"/>
  <c r="Y502" i="9"/>
  <c r="X502" i="9"/>
  <c r="W502" i="9"/>
  <c r="V502" i="9"/>
  <c r="U502" i="9"/>
  <c r="T502" i="9"/>
  <c r="S502" i="9"/>
  <c r="R502" i="9"/>
  <c r="Q502" i="9"/>
  <c r="P502" i="9"/>
  <c r="O502" i="9"/>
  <c r="N502" i="9"/>
  <c r="M502" i="9"/>
  <c r="L502" i="9"/>
  <c r="K502" i="9"/>
  <c r="J502" i="9"/>
  <c r="I502" i="9"/>
  <c r="H502" i="9"/>
  <c r="G502" i="9"/>
  <c r="F502" i="9"/>
  <c r="E502" i="9"/>
  <c r="D502" i="9"/>
  <c r="AY501" i="9"/>
  <c r="AO501" i="9" s="1"/>
  <c r="AV501" i="9"/>
  <c r="AL501" i="9" s="1"/>
  <c r="AU501" i="9"/>
  <c r="AK501" i="9" s="1"/>
  <c r="AT501" i="9"/>
  <c r="AI501" i="9" s="1"/>
  <c r="AR501" i="9"/>
  <c r="AS501" i="9" s="1"/>
  <c r="AQ501" i="9"/>
  <c r="AX501" i="9" s="1"/>
  <c r="AN501" i="9" s="1"/>
  <c r="AJ501" i="9"/>
  <c r="AG501" i="9"/>
  <c r="AF501" i="9"/>
  <c r="AE501" i="9"/>
  <c r="AD501" i="9"/>
  <c r="AC501" i="9"/>
  <c r="AB501" i="9"/>
  <c r="AA501" i="9"/>
  <c r="Z501" i="9"/>
  <c r="Y501" i="9"/>
  <c r="X501" i="9"/>
  <c r="W501" i="9"/>
  <c r="V501" i="9"/>
  <c r="U501" i="9"/>
  <c r="T501" i="9"/>
  <c r="S501" i="9"/>
  <c r="R501" i="9"/>
  <c r="Q501" i="9"/>
  <c r="P501" i="9"/>
  <c r="O501" i="9"/>
  <c r="N501" i="9"/>
  <c r="M501" i="9"/>
  <c r="L501" i="9"/>
  <c r="K501" i="9"/>
  <c r="J501" i="9"/>
  <c r="I501" i="9"/>
  <c r="H501" i="9"/>
  <c r="G501" i="9"/>
  <c r="F501" i="9"/>
  <c r="E501" i="9"/>
  <c r="D501" i="9"/>
  <c r="AY500" i="9"/>
  <c r="AX500" i="9"/>
  <c r="AN500" i="9" s="1"/>
  <c r="AW500" i="9"/>
  <c r="AM500" i="9" s="1"/>
  <c r="AV500" i="9"/>
  <c r="AU500" i="9"/>
  <c r="AK500" i="9" s="1"/>
  <c r="AT500" i="9"/>
  <c r="AJ500" i="9" s="1"/>
  <c r="AS500" i="9"/>
  <c r="AR500" i="9"/>
  <c r="AQ500" i="9"/>
  <c r="AO500" i="9"/>
  <c r="AL500" i="9"/>
  <c r="AG500" i="9"/>
  <c r="AF500" i="9"/>
  <c r="AE500" i="9"/>
  <c r="AD500" i="9"/>
  <c r="AC500" i="9"/>
  <c r="AB500" i="9"/>
  <c r="AA500" i="9"/>
  <c r="Z500" i="9"/>
  <c r="Y500" i="9"/>
  <c r="X500" i="9"/>
  <c r="W500" i="9"/>
  <c r="V500" i="9"/>
  <c r="U500" i="9"/>
  <c r="T500" i="9"/>
  <c r="S500" i="9"/>
  <c r="R500" i="9"/>
  <c r="Q500" i="9"/>
  <c r="P500" i="9"/>
  <c r="O500" i="9"/>
  <c r="N500" i="9"/>
  <c r="M500" i="9"/>
  <c r="L500" i="9"/>
  <c r="K500" i="9"/>
  <c r="J500" i="9"/>
  <c r="I500" i="9"/>
  <c r="H500" i="9"/>
  <c r="G500" i="9"/>
  <c r="F500" i="9"/>
  <c r="E500" i="9"/>
  <c r="D500" i="9"/>
  <c r="AY499" i="9"/>
  <c r="AO499" i="9" s="1"/>
  <c r="AX499" i="9"/>
  <c r="AN499" i="9" s="1"/>
  <c r="AU499" i="9"/>
  <c r="AK499" i="9" s="1"/>
  <c r="AR499" i="9"/>
  <c r="AS499" i="9" s="1"/>
  <c r="AQ499" i="9"/>
  <c r="AT499" i="9" s="1"/>
  <c r="AI499" i="9"/>
  <c r="AG499" i="9"/>
  <c r="AF499" i="9"/>
  <c r="AE499" i="9"/>
  <c r="AD499" i="9"/>
  <c r="AC499" i="9"/>
  <c r="AB499" i="9"/>
  <c r="AA499" i="9"/>
  <c r="Z499" i="9"/>
  <c r="Y499" i="9"/>
  <c r="X499" i="9"/>
  <c r="W499" i="9"/>
  <c r="V499" i="9"/>
  <c r="U499" i="9"/>
  <c r="T499" i="9"/>
  <c r="S499" i="9"/>
  <c r="R499" i="9"/>
  <c r="Q499" i="9"/>
  <c r="P499" i="9"/>
  <c r="O499" i="9"/>
  <c r="N499" i="9"/>
  <c r="M499" i="9"/>
  <c r="L499" i="9"/>
  <c r="K499" i="9"/>
  <c r="J499" i="9"/>
  <c r="I499" i="9"/>
  <c r="H499" i="9"/>
  <c r="G499" i="9"/>
  <c r="F499" i="9"/>
  <c r="E499" i="9"/>
  <c r="D499" i="9"/>
  <c r="AW498" i="9"/>
  <c r="AM498" i="9" s="1"/>
  <c r="AQ498" i="9"/>
  <c r="AY498" i="9" s="1"/>
  <c r="AO498" i="9" s="1"/>
  <c r="AG498" i="9"/>
  <c r="AF498" i="9"/>
  <c r="AE498" i="9"/>
  <c r="AD498" i="9"/>
  <c r="AC498" i="9"/>
  <c r="AB498" i="9"/>
  <c r="AA498" i="9"/>
  <c r="Z498" i="9"/>
  <c r="Y498" i="9"/>
  <c r="X498" i="9"/>
  <c r="W498" i="9"/>
  <c r="V498" i="9"/>
  <c r="U498" i="9"/>
  <c r="T498" i="9"/>
  <c r="S498" i="9"/>
  <c r="R498" i="9"/>
  <c r="Q498" i="9"/>
  <c r="P498" i="9"/>
  <c r="O498" i="9"/>
  <c r="N498" i="9"/>
  <c r="M498" i="9"/>
  <c r="L498" i="9"/>
  <c r="K498" i="9"/>
  <c r="J498" i="9"/>
  <c r="I498" i="9"/>
  <c r="H498" i="9"/>
  <c r="G498" i="9"/>
  <c r="F498" i="9"/>
  <c r="E498" i="9"/>
  <c r="D498" i="9"/>
  <c r="AT497" i="9"/>
  <c r="AQ497" i="9"/>
  <c r="AY497" i="9" s="1"/>
  <c r="AO497" i="9" s="1"/>
  <c r="AG497" i="9"/>
  <c r="AF497" i="9"/>
  <c r="AE497" i="9"/>
  <c r="AD497" i="9"/>
  <c r="AC497" i="9"/>
  <c r="AB497" i="9"/>
  <c r="AA497" i="9"/>
  <c r="Z497" i="9"/>
  <c r="Y497" i="9"/>
  <c r="X497" i="9"/>
  <c r="W497" i="9"/>
  <c r="V497" i="9"/>
  <c r="U497" i="9"/>
  <c r="T497" i="9"/>
  <c r="S497" i="9"/>
  <c r="R497" i="9"/>
  <c r="Q497" i="9"/>
  <c r="P497" i="9"/>
  <c r="O497" i="9"/>
  <c r="N497" i="9"/>
  <c r="M497" i="9"/>
  <c r="L497" i="9"/>
  <c r="K497" i="9"/>
  <c r="J497" i="9"/>
  <c r="I497" i="9"/>
  <c r="H497" i="9"/>
  <c r="G497" i="9"/>
  <c r="F497" i="9"/>
  <c r="E497" i="9"/>
  <c r="D497" i="9"/>
  <c r="AY496" i="9"/>
  <c r="AO496" i="9" s="1"/>
  <c r="AX496" i="9"/>
  <c r="AV496" i="9"/>
  <c r="AL496" i="9" s="1"/>
  <c r="AS496" i="9"/>
  <c r="AR496" i="9"/>
  <c r="AQ496" i="9"/>
  <c r="AU496" i="9" s="1"/>
  <c r="AK496" i="9" s="1"/>
  <c r="AN496" i="9"/>
  <c r="AG496" i="9"/>
  <c r="AF496" i="9"/>
  <c r="AE496" i="9"/>
  <c r="AD496" i="9"/>
  <c r="AC496" i="9"/>
  <c r="AB496" i="9"/>
  <c r="AA496" i="9"/>
  <c r="Z496" i="9"/>
  <c r="Y496" i="9"/>
  <c r="X496" i="9"/>
  <c r="W496" i="9"/>
  <c r="V496" i="9"/>
  <c r="U496" i="9"/>
  <c r="T496" i="9"/>
  <c r="S496" i="9"/>
  <c r="R496" i="9"/>
  <c r="Q496" i="9"/>
  <c r="P496" i="9"/>
  <c r="O496" i="9"/>
  <c r="N496" i="9"/>
  <c r="M496" i="9"/>
  <c r="L496" i="9"/>
  <c r="K496" i="9"/>
  <c r="J496" i="9"/>
  <c r="I496" i="9"/>
  <c r="H496" i="9"/>
  <c r="G496" i="9"/>
  <c r="F496" i="9"/>
  <c r="E496" i="9"/>
  <c r="D496" i="9"/>
  <c r="AX495" i="9"/>
  <c r="AN495" i="9" s="1"/>
  <c r="AR495" i="9"/>
  <c r="AS495" i="9" s="1"/>
  <c r="AQ495" i="9"/>
  <c r="AY495" i="9" s="1"/>
  <c r="AO495" i="9" s="1"/>
  <c r="AG495" i="9"/>
  <c r="AF495" i="9"/>
  <c r="AE495" i="9"/>
  <c r="AD495" i="9"/>
  <c r="AC495" i="9"/>
  <c r="AB495" i="9"/>
  <c r="AA495" i="9"/>
  <c r="Z495" i="9"/>
  <c r="Y495" i="9"/>
  <c r="X495" i="9"/>
  <c r="W495" i="9"/>
  <c r="V495" i="9"/>
  <c r="U495" i="9"/>
  <c r="T495" i="9"/>
  <c r="S495" i="9"/>
  <c r="R495" i="9"/>
  <c r="Q495" i="9"/>
  <c r="P495" i="9"/>
  <c r="O495" i="9"/>
  <c r="N495" i="9"/>
  <c r="M495" i="9"/>
  <c r="L495" i="9"/>
  <c r="K495" i="9"/>
  <c r="J495" i="9"/>
  <c r="I495" i="9"/>
  <c r="H495" i="9"/>
  <c r="G495" i="9"/>
  <c r="F495" i="9"/>
  <c r="E495" i="9"/>
  <c r="D495" i="9"/>
  <c r="AY494" i="9"/>
  <c r="AO494" i="9" s="1"/>
  <c r="AX494" i="9"/>
  <c r="AW494" i="9"/>
  <c r="AM494" i="9" s="1"/>
  <c r="AV494" i="9"/>
  <c r="AL494" i="9" s="1"/>
  <c r="AU494" i="9"/>
  <c r="AK494" i="9" s="1"/>
  <c r="AT494" i="9"/>
  <c r="AI494" i="9" s="1"/>
  <c r="AR494" i="9"/>
  <c r="AS494" i="9" s="1"/>
  <c r="AQ494" i="9"/>
  <c r="AN494" i="9"/>
  <c r="AJ494" i="9"/>
  <c r="AH494" i="9"/>
  <c r="AG494" i="9"/>
  <c r="AF494" i="9"/>
  <c r="AE494" i="9"/>
  <c r="AD494" i="9"/>
  <c r="AC494" i="9"/>
  <c r="AB494" i="9"/>
  <c r="AA494" i="9"/>
  <c r="Z494" i="9"/>
  <c r="Y494" i="9"/>
  <c r="X494" i="9"/>
  <c r="W494" i="9"/>
  <c r="V494" i="9"/>
  <c r="U494" i="9"/>
  <c r="T494" i="9"/>
  <c r="S494" i="9"/>
  <c r="R494" i="9"/>
  <c r="Q494" i="9"/>
  <c r="P494" i="9"/>
  <c r="O494" i="9"/>
  <c r="N494" i="9"/>
  <c r="M494" i="9"/>
  <c r="L494" i="9"/>
  <c r="K494" i="9"/>
  <c r="J494" i="9"/>
  <c r="I494" i="9"/>
  <c r="H494" i="9"/>
  <c r="G494" i="9"/>
  <c r="F494" i="9"/>
  <c r="E494" i="9"/>
  <c r="D494" i="9"/>
  <c r="AW493" i="9"/>
  <c r="AM493" i="9" s="1"/>
  <c r="AT493" i="9"/>
  <c r="AJ493" i="9" s="1"/>
  <c r="AQ493" i="9"/>
  <c r="AV493" i="9" s="1"/>
  <c r="AL493" i="9" s="1"/>
  <c r="AH493" i="9"/>
  <c r="AG493" i="9"/>
  <c r="AF493" i="9"/>
  <c r="AE493" i="9"/>
  <c r="AD493" i="9"/>
  <c r="AC493" i="9"/>
  <c r="AB493" i="9"/>
  <c r="AA493" i="9"/>
  <c r="Z493" i="9"/>
  <c r="Y493" i="9"/>
  <c r="X493" i="9"/>
  <c r="W493" i="9"/>
  <c r="V493" i="9"/>
  <c r="U493" i="9"/>
  <c r="T493" i="9"/>
  <c r="S493" i="9"/>
  <c r="R493" i="9"/>
  <c r="Q493" i="9"/>
  <c r="P493" i="9"/>
  <c r="O493" i="9"/>
  <c r="N493" i="9"/>
  <c r="M493" i="9"/>
  <c r="L493" i="9"/>
  <c r="K493" i="9"/>
  <c r="J493" i="9"/>
  <c r="I493" i="9"/>
  <c r="H493" i="9"/>
  <c r="G493" i="9"/>
  <c r="F493" i="9"/>
  <c r="E493" i="9"/>
  <c r="D493" i="9"/>
  <c r="AQ492" i="9"/>
  <c r="AG492" i="9"/>
  <c r="AF492" i="9"/>
  <c r="AE492" i="9"/>
  <c r="AD492" i="9"/>
  <c r="AC492" i="9"/>
  <c r="AB492" i="9"/>
  <c r="AA492" i="9"/>
  <c r="Z492" i="9"/>
  <c r="Y492" i="9"/>
  <c r="X492" i="9"/>
  <c r="W492" i="9"/>
  <c r="V492" i="9"/>
  <c r="U492" i="9"/>
  <c r="T492" i="9"/>
  <c r="S492" i="9"/>
  <c r="R492" i="9"/>
  <c r="Q492" i="9"/>
  <c r="P492" i="9"/>
  <c r="O492" i="9"/>
  <c r="N492" i="9"/>
  <c r="M492" i="9"/>
  <c r="L492" i="9"/>
  <c r="K492" i="9"/>
  <c r="J492" i="9"/>
  <c r="I492" i="9"/>
  <c r="H492" i="9"/>
  <c r="G492" i="9"/>
  <c r="F492" i="9"/>
  <c r="E492" i="9"/>
  <c r="D492" i="9"/>
  <c r="AY491" i="9"/>
  <c r="AX491" i="9"/>
  <c r="AN491" i="9" s="1"/>
  <c r="AW491" i="9"/>
  <c r="AM491" i="9" s="1"/>
  <c r="AV491" i="9"/>
  <c r="AL491" i="9" s="1"/>
  <c r="AU491" i="9"/>
  <c r="AT491" i="9"/>
  <c r="AS491" i="9"/>
  <c r="AQ491" i="9"/>
  <c r="AR491" i="9" s="1"/>
  <c r="AO491" i="9"/>
  <c r="AK491" i="9"/>
  <c r="AJ491" i="9"/>
  <c r="AI491" i="9"/>
  <c r="AH491" i="9"/>
  <c r="AG491" i="9"/>
  <c r="AF491" i="9"/>
  <c r="AE491" i="9"/>
  <c r="AD491" i="9"/>
  <c r="AC491" i="9"/>
  <c r="AB491" i="9"/>
  <c r="AA491" i="9"/>
  <c r="Z491" i="9"/>
  <c r="Y491" i="9"/>
  <c r="X491" i="9"/>
  <c r="W491" i="9"/>
  <c r="V491" i="9"/>
  <c r="U491" i="9"/>
  <c r="T491" i="9"/>
  <c r="S491" i="9"/>
  <c r="R491" i="9"/>
  <c r="Q491" i="9"/>
  <c r="P491" i="9"/>
  <c r="O491" i="9"/>
  <c r="N491" i="9"/>
  <c r="M491" i="9"/>
  <c r="L491" i="9"/>
  <c r="K491" i="9"/>
  <c r="J491" i="9"/>
  <c r="I491" i="9"/>
  <c r="H491" i="9"/>
  <c r="G491" i="9"/>
  <c r="F491" i="9"/>
  <c r="E491" i="9"/>
  <c r="D491" i="9"/>
  <c r="AX490" i="9"/>
  <c r="AN490" i="9" s="1"/>
  <c r="AU490" i="9"/>
  <c r="AK490" i="9" s="1"/>
  <c r="AQ490" i="9"/>
  <c r="AW490" i="9" s="1"/>
  <c r="AM490" i="9" s="1"/>
  <c r="AG490" i="9"/>
  <c r="AF490" i="9"/>
  <c r="AE490" i="9"/>
  <c r="AD490" i="9"/>
  <c r="AC490" i="9"/>
  <c r="AB490" i="9"/>
  <c r="AA490" i="9"/>
  <c r="Z490" i="9"/>
  <c r="Y490" i="9"/>
  <c r="X490" i="9"/>
  <c r="W490" i="9"/>
  <c r="V490" i="9"/>
  <c r="U490" i="9"/>
  <c r="T490" i="9"/>
  <c r="S490" i="9"/>
  <c r="R490" i="9"/>
  <c r="Q490" i="9"/>
  <c r="P490" i="9"/>
  <c r="O490" i="9"/>
  <c r="N490" i="9"/>
  <c r="M490" i="9"/>
  <c r="L490" i="9"/>
  <c r="K490" i="9"/>
  <c r="J490" i="9"/>
  <c r="I490" i="9"/>
  <c r="H490" i="9"/>
  <c r="G490" i="9"/>
  <c r="F490" i="9"/>
  <c r="E490" i="9"/>
  <c r="D490" i="9"/>
  <c r="AY489" i="9"/>
  <c r="AO489" i="9" s="1"/>
  <c r="AX489" i="9"/>
  <c r="AW489" i="9"/>
  <c r="AM489" i="9" s="1"/>
  <c r="AV489" i="9"/>
  <c r="AL489" i="9" s="1"/>
  <c r="AT489" i="9"/>
  <c r="AJ489" i="9" s="1"/>
  <c r="AR489" i="9"/>
  <c r="AS489" i="9" s="1"/>
  <c r="AQ489" i="9"/>
  <c r="AU489" i="9" s="1"/>
  <c r="AK489" i="9" s="1"/>
  <c r="AN489" i="9"/>
  <c r="AG489" i="9"/>
  <c r="AF489" i="9"/>
  <c r="AE489" i="9"/>
  <c r="AD489" i="9"/>
  <c r="AC489" i="9"/>
  <c r="AB489" i="9"/>
  <c r="AA489" i="9"/>
  <c r="Z489" i="9"/>
  <c r="Y489" i="9"/>
  <c r="X489" i="9"/>
  <c r="W489" i="9"/>
  <c r="V489" i="9"/>
  <c r="U489" i="9"/>
  <c r="T489" i="9"/>
  <c r="S489" i="9"/>
  <c r="R489" i="9"/>
  <c r="Q489" i="9"/>
  <c r="P489" i="9"/>
  <c r="O489" i="9"/>
  <c r="N489" i="9"/>
  <c r="M489" i="9"/>
  <c r="L489" i="9"/>
  <c r="K489" i="9"/>
  <c r="J489" i="9"/>
  <c r="I489" i="9"/>
  <c r="H489" i="9"/>
  <c r="G489" i="9"/>
  <c r="F489" i="9"/>
  <c r="E489" i="9"/>
  <c r="D489" i="9"/>
  <c r="AW488" i="9"/>
  <c r="AM488" i="9" s="1"/>
  <c r="AT488" i="9"/>
  <c r="AQ488" i="9"/>
  <c r="AR488" i="9" s="1"/>
  <c r="AS488" i="9" s="1"/>
  <c r="AH488" i="9"/>
  <c r="AG488" i="9"/>
  <c r="AF488" i="9"/>
  <c r="AE488" i="9"/>
  <c r="AD488" i="9"/>
  <c r="AC488" i="9"/>
  <c r="AB488" i="9"/>
  <c r="AA488" i="9"/>
  <c r="Z488" i="9"/>
  <c r="Y488" i="9"/>
  <c r="X488" i="9"/>
  <c r="W488" i="9"/>
  <c r="V488" i="9"/>
  <c r="U488" i="9"/>
  <c r="T488" i="9"/>
  <c r="S488" i="9"/>
  <c r="R488" i="9"/>
  <c r="Q488" i="9"/>
  <c r="P488" i="9"/>
  <c r="O488" i="9"/>
  <c r="N488" i="9"/>
  <c r="M488" i="9"/>
  <c r="L488" i="9"/>
  <c r="K488" i="9"/>
  <c r="J488" i="9"/>
  <c r="I488" i="9"/>
  <c r="H488" i="9"/>
  <c r="G488" i="9"/>
  <c r="F488" i="9"/>
  <c r="E488" i="9"/>
  <c r="D488" i="9"/>
  <c r="AY487" i="9"/>
  <c r="AO487" i="9" s="1"/>
  <c r="AV487" i="9"/>
  <c r="AL487" i="9" s="1"/>
  <c r="AU487" i="9"/>
  <c r="AK487" i="9" s="1"/>
  <c r="AT487" i="9"/>
  <c r="AI487" i="9" s="1"/>
  <c r="AR487" i="9"/>
  <c r="AS487" i="9" s="1"/>
  <c r="AQ487" i="9"/>
  <c r="AX487" i="9" s="1"/>
  <c r="AN487" i="9" s="1"/>
  <c r="AJ487" i="9"/>
  <c r="AG487" i="9"/>
  <c r="AF487" i="9"/>
  <c r="AE487" i="9"/>
  <c r="AD487" i="9"/>
  <c r="AC487" i="9"/>
  <c r="AB487" i="9"/>
  <c r="AA487" i="9"/>
  <c r="Z487" i="9"/>
  <c r="Y487" i="9"/>
  <c r="X487" i="9"/>
  <c r="W487" i="9"/>
  <c r="V487" i="9"/>
  <c r="U487" i="9"/>
  <c r="T487" i="9"/>
  <c r="S487" i="9"/>
  <c r="R487" i="9"/>
  <c r="Q487" i="9"/>
  <c r="P487" i="9"/>
  <c r="O487" i="9"/>
  <c r="N487" i="9"/>
  <c r="M487" i="9"/>
  <c r="L487" i="9"/>
  <c r="K487" i="9"/>
  <c r="J487" i="9"/>
  <c r="I487" i="9"/>
  <c r="H487" i="9"/>
  <c r="G487" i="9"/>
  <c r="F487" i="9"/>
  <c r="E487" i="9"/>
  <c r="D487" i="9"/>
  <c r="AY486" i="9"/>
  <c r="AX486" i="9"/>
  <c r="AN486" i="9" s="1"/>
  <c r="AW486" i="9"/>
  <c r="AM486" i="9" s="1"/>
  <c r="AV486" i="9"/>
  <c r="AU486" i="9"/>
  <c r="AK486" i="9" s="1"/>
  <c r="AT486" i="9"/>
  <c r="AJ486" i="9" s="1"/>
  <c r="AS486" i="9"/>
  <c r="AR486" i="9"/>
  <c r="AQ486" i="9"/>
  <c r="AO486" i="9"/>
  <c r="AL486" i="9"/>
  <c r="AG486" i="9"/>
  <c r="AF486" i="9"/>
  <c r="AE486" i="9"/>
  <c r="AD486" i="9"/>
  <c r="AC486" i="9"/>
  <c r="AB486" i="9"/>
  <c r="AA486" i="9"/>
  <c r="Z486" i="9"/>
  <c r="Y486" i="9"/>
  <c r="X486" i="9"/>
  <c r="W486" i="9"/>
  <c r="V486" i="9"/>
  <c r="U486" i="9"/>
  <c r="T486" i="9"/>
  <c r="S486" i="9"/>
  <c r="R486" i="9"/>
  <c r="Q486" i="9"/>
  <c r="P486" i="9"/>
  <c r="O486" i="9"/>
  <c r="N486" i="9"/>
  <c r="M486" i="9"/>
  <c r="L486" i="9"/>
  <c r="K486" i="9"/>
  <c r="J486" i="9"/>
  <c r="I486" i="9"/>
  <c r="H486" i="9"/>
  <c r="G486" i="9"/>
  <c r="F486" i="9"/>
  <c r="E486" i="9"/>
  <c r="D486" i="9"/>
  <c r="AY485" i="9"/>
  <c r="AO485" i="9" s="1"/>
  <c r="AX485" i="9"/>
  <c r="AN485" i="9" s="1"/>
  <c r="AU485" i="9"/>
  <c r="AK485" i="9" s="1"/>
  <c r="AR485" i="9"/>
  <c r="AS485" i="9" s="1"/>
  <c r="AQ485" i="9"/>
  <c r="AT485" i="9" s="1"/>
  <c r="AG485" i="9"/>
  <c r="AF485" i="9"/>
  <c r="AE485" i="9"/>
  <c r="AD485" i="9"/>
  <c r="AC485" i="9"/>
  <c r="AB485" i="9"/>
  <c r="AA485" i="9"/>
  <c r="Z485" i="9"/>
  <c r="Y485" i="9"/>
  <c r="X485" i="9"/>
  <c r="W485" i="9"/>
  <c r="V485" i="9"/>
  <c r="U485" i="9"/>
  <c r="T485" i="9"/>
  <c r="S485" i="9"/>
  <c r="R485" i="9"/>
  <c r="Q485" i="9"/>
  <c r="P485" i="9"/>
  <c r="O485" i="9"/>
  <c r="N485" i="9"/>
  <c r="M485" i="9"/>
  <c r="L485" i="9"/>
  <c r="K485" i="9"/>
  <c r="J485" i="9"/>
  <c r="I485" i="9"/>
  <c r="H485" i="9"/>
  <c r="G485" i="9"/>
  <c r="F485" i="9"/>
  <c r="E485" i="9"/>
  <c r="D485" i="9"/>
  <c r="AW484" i="9"/>
  <c r="AM484" i="9" s="1"/>
  <c r="AQ484" i="9"/>
  <c r="AY484" i="9" s="1"/>
  <c r="AO484" i="9" s="1"/>
  <c r="AG484" i="9"/>
  <c r="AF484" i="9"/>
  <c r="AE484" i="9"/>
  <c r="AD484" i="9"/>
  <c r="AC484" i="9"/>
  <c r="AB484" i="9"/>
  <c r="AA484" i="9"/>
  <c r="Z484" i="9"/>
  <c r="Y484" i="9"/>
  <c r="X484" i="9"/>
  <c r="W484" i="9"/>
  <c r="V484" i="9"/>
  <c r="U484" i="9"/>
  <c r="T484" i="9"/>
  <c r="S484" i="9"/>
  <c r="R484" i="9"/>
  <c r="Q484" i="9"/>
  <c r="P484" i="9"/>
  <c r="O484" i="9"/>
  <c r="N484" i="9"/>
  <c r="M484" i="9"/>
  <c r="L484" i="9"/>
  <c r="K484" i="9"/>
  <c r="J484" i="9"/>
  <c r="I484" i="9"/>
  <c r="H484" i="9"/>
  <c r="G484" i="9"/>
  <c r="F484" i="9"/>
  <c r="E484" i="9"/>
  <c r="D484" i="9"/>
  <c r="AT483" i="9"/>
  <c r="AQ483" i="9"/>
  <c r="AG483" i="9"/>
  <c r="AF483" i="9"/>
  <c r="AE483" i="9"/>
  <c r="AD483" i="9"/>
  <c r="AC483" i="9"/>
  <c r="AB483" i="9"/>
  <c r="AA483" i="9"/>
  <c r="Z483" i="9"/>
  <c r="Y483" i="9"/>
  <c r="X483" i="9"/>
  <c r="W483" i="9"/>
  <c r="V483" i="9"/>
  <c r="U483" i="9"/>
  <c r="T483" i="9"/>
  <c r="S483" i="9"/>
  <c r="R483" i="9"/>
  <c r="Q483" i="9"/>
  <c r="P483" i="9"/>
  <c r="O483" i="9"/>
  <c r="N483" i="9"/>
  <c r="M483" i="9"/>
  <c r="L483" i="9"/>
  <c r="K483" i="9"/>
  <c r="J483" i="9"/>
  <c r="I483" i="9"/>
  <c r="H483" i="9"/>
  <c r="G483" i="9"/>
  <c r="F483" i="9"/>
  <c r="E483" i="9"/>
  <c r="D483" i="9"/>
  <c r="AY482" i="9"/>
  <c r="AO482" i="9" s="1"/>
  <c r="AV482" i="9"/>
  <c r="AL482" i="9" s="1"/>
  <c r="AS482" i="9"/>
  <c r="AR482" i="9"/>
  <c r="AQ482" i="9"/>
  <c r="AU482" i="9" s="1"/>
  <c r="AK482" i="9" s="1"/>
  <c r="AG482" i="9"/>
  <c r="AF482" i="9"/>
  <c r="AE482" i="9"/>
  <c r="AD482" i="9"/>
  <c r="AC482" i="9"/>
  <c r="AB482" i="9"/>
  <c r="AA482" i="9"/>
  <c r="Z482" i="9"/>
  <c r="Y482" i="9"/>
  <c r="X482" i="9"/>
  <c r="W482" i="9"/>
  <c r="V482" i="9"/>
  <c r="U482" i="9"/>
  <c r="T482" i="9"/>
  <c r="S482" i="9"/>
  <c r="R482" i="9"/>
  <c r="Q482" i="9"/>
  <c r="P482" i="9"/>
  <c r="O482" i="9"/>
  <c r="N482" i="9"/>
  <c r="M482" i="9"/>
  <c r="L482" i="9"/>
  <c r="K482" i="9"/>
  <c r="J482" i="9"/>
  <c r="I482" i="9"/>
  <c r="H482" i="9"/>
  <c r="G482" i="9"/>
  <c r="F482" i="9"/>
  <c r="E482" i="9"/>
  <c r="D482" i="9"/>
  <c r="AX481" i="9"/>
  <c r="AN481" i="9" s="1"/>
  <c r="AR481" i="9"/>
  <c r="AS481" i="9" s="1"/>
  <c r="AQ481" i="9"/>
  <c r="AY481" i="9" s="1"/>
  <c r="AO481" i="9" s="1"/>
  <c r="AG481" i="9"/>
  <c r="AF481" i="9"/>
  <c r="AE481" i="9"/>
  <c r="AD481" i="9"/>
  <c r="AC481" i="9"/>
  <c r="AB481" i="9"/>
  <c r="AA481" i="9"/>
  <c r="Z481" i="9"/>
  <c r="Y481" i="9"/>
  <c r="X481" i="9"/>
  <c r="W481" i="9"/>
  <c r="V481" i="9"/>
  <c r="U481" i="9"/>
  <c r="T481" i="9"/>
  <c r="S481" i="9"/>
  <c r="R481" i="9"/>
  <c r="Q481" i="9"/>
  <c r="P481" i="9"/>
  <c r="O481" i="9"/>
  <c r="N481" i="9"/>
  <c r="M481" i="9"/>
  <c r="L481" i="9"/>
  <c r="K481" i="9"/>
  <c r="J481" i="9"/>
  <c r="I481" i="9"/>
  <c r="H481" i="9"/>
  <c r="G481" i="9"/>
  <c r="F481" i="9"/>
  <c r="E481" i="9"/>
  <c r="D481" i="9"/>
  <c r="AY480" i="9"/>
  <c r="AO480" i="9" s="1"/>
  <c r="AX480" i="9"/>
  <c r="AW480" i="9"/>
  <c r="AM480" i="9" s="1"/>
  <c r="AV480" i="9"/>
  <c r="AL480" i="9" s="1"/>
  <c r="AU480" i="9"/>
  <c r="AK480" i="9" s="1"/>
  <c r="AT480" i="9"/>
  <c r="AI480" i="9" s="1"/>
  <c r="AR480" i="9"/>
  <c r="AS480" i="9" s="1"/>
  <c r="AQ480" i="9"/>
  <c r="AN480" i="9"/>
  <c r="AJ480" i="9"/>
  <c r="AH480" i="9"/>
  <c r="AG480" i="9"/>
  <c r="AF480" i="9"/>
  <c r="AE480" i="9"/>
  <c r="AD480" i="9"/>
  <c r="AC480" i="9"/>
  <c r="AB480" i="9"/>
  <c r="AA480" i="9"/>
  <c r="Z480" i="9"/>
  <c r="Y480" i="9"/>
  <c r="X480" i="9"/>
  <c r="W480" i="9"/>
  <c r="V480" i="9"/>
  <c r="U480" i="9"/>
  <c r="T480" i="9"/>
  <c r="S480" i="9"/>
  <c r="R480" i="9"/>
  <c r="Q480" i="9"/>
  <c r="P480" i="9"/>
  <c r="O480" i="9"/>
  <c r="N480" i="9"/>
  <c r="M480" i="9"/>
  <c r="L480" i="9"/>
  <c r="K480" i="9"/>
  <c r="J480" i="9"/>
  <c r="I480" i="9"/>
  <c r="H480" i="9"/>
  <c r="G480" i="9"/>
  <c r="F480" i="9"/>
  <c r="E480" i="9"/>
  <c r="D480" i="9"/>
  <c r="AW479" i="9"/>
  <c r="AM479" i="9" s="1"/>
  <c r="AT479" i="9"/>
  <c r="AQ479" i="9"/>
  <c r="AV479" i="9" s="1"/>
  <c r="AL479" i="9" s="1"/>
  <c r="AH479" i="9"/>
  <c r="AG479" i="9"/>
  <c r="AF479" i="9"/>
  <c r="AE479" i="9"/>
  <c r="AD479" i="9"/>
  <c r="AC479" i="9"/>
  <c r="AB479" i="9"/>
  <c r="AA479" i="9"/>
  <c r="Z479" i="9"/>
  <c r="Y479" i="9"/>
  <c r="X479" i="9"/>
  <c r="W479" i="9"/>
  <c r="V479" i="9"/>
  <c r="U479" i="9"/>
  <c r="T479" i="9"/>
  <c r="S479" i="9"/>
  <c r="R479" i="9"/>
  <c r="Q479" i="9"/>
  <c r="P479" i="9"/>
  <c r="O479" i="9"/>
  <c r="N479" i="9"/>
  <c r="M479" i="9"/>
  <c r="L479" i="9"/>
  <c r="K479" i="9"/>
  <c r="J479" i="9"/>
  <c r="I479" i="9"/>
  <c r="H479" i="9"/>
  <c r="G479" i="9"/>
  <c r="F479" i="9"/>
  <c r="E479" i="9"/>
  <c r="D479" i="9"/>
  <c r="AQ478" i="9"/>
  <c r="AG478" i="9"/>
  <c r="AF478" i="9"/>
  <c r="AE478" i="9"/>
  <c r="AD478" i="9"/>
  <c r="AC478" i="9"/>
  <c r="AB478" i="9"/>
  <c r="AA478" i="9"/>
  <c r="Z478" i="9"/>
  <c r="Y478" i="9"/>
  <c r="X478" i="9"/>
  <c r="W478" i="9"/>
  <c r="V478" i="9"/>
  <c r="U478" i="9"/>
  <c r="T478" i="9"/>
  <c r="S478" i="9"/>
  <c r="R478" i="9"/>
  <c r="Q478" i="9"/>
  <c r="P478" i="9"/>
  <c r="O478" i="9"/>
  <c r="N478" i="9"/>
  <c r="M478" i="9"/>
  <c r="L478" i="9"/>
  <c r="K478" i="9"/>
  <c r="J478" i="9"/>
  <c r="I478" i="9"/>
  <c r="H478" i="9"/>
  <c r="G478" i="9"/>
  <c r="F478" i="9"/>
  <c r="E478" i="9"/>
  <c r="D478" i="9"/>
  <c r="AX477" i="9"/>
  <c r="AN477" i="9" s="1"/>
  <c r="AW477" i="9"/>
  <c r="AM477" i="9" s="1"/>
  <c r="AV477" i="9"/>
  <c r="AL477" i="9" s="1"/>
  <c r="AU477" i="9"/>
  <c r="AQ477" i="9"/>
  <c r="AR477" i="9" s="1"/>
  <c r="AS477" i="9" s="1"/>
  <c r="AK477" i="9"/>
  <c r="AG477" i="9"/>
  <c r="AF477" i="9"/>
  <c r="AE477" i="9"/>
  <c r="AD477" i="9"/>
  <c r="AC477" i="9"/>
  <c r="AB477" i="9"/>
  <c r="AA477" i="9"/>
  <c r="Z477" i="9"/>
  <c r="Y477" i="9"/>
  <c r="X477" i="9"/>
  <c r="W477" i="9"/>
  <c r="V477" i="9"/>
  <c r="U477" i="9"/>
  <c r="T477" i="9"/>
  <c r="S477" i="9"/>
  <c r="R477" i="9"/>
  <c r="Q477" i="9"/>
  <c r="P477" i="9"/>
  <c r="O477" i="9"/>
  <c r="N477" i="9"/>
  <c r="M477" i="9"/>
  <c r="L477" i="9"/>
  <c r="K477" i="9"/>
  <c r="J477" i="9"/>
  <c r="I477" i="9"/>
  <c r="H477" i="9"/>
  <c r="G477" i="9"/>
  <c r="F477" i="9"/>
  <c r="E477" i="9"/>
  <c r="D477" i="9"/>
  <c r="AX476" i="9"/>
  <c r="AN476" i="9" s="1"/>
  <c r="AU476" i="9"/>
  <c r="AK476" i="9" s="1"/>
  <c r="AQ476" i="9"/>
  <c r="AW476" i="9" s="1"/>
  <c r="AM476" i="9" s="1"/>
  <c r="AG476" i="9"/>
  <c r="AF476" i="9"/>
  <c r="AE476" i="9"/>
  <c r="AD476" i="9"/>
  <c r="AC476" i="9"/>
  <c r="AB476" i="9"/>
  <c r="AA476" i="9"/>
  <c r="Z476" i="9"/>
  <c r="Y476" i="9"/>
  <c r="X476" i="9"/>
  <c r="W476" i="9"/>
  <c r="V476" i="9"/>
  <c r="U476" i="9"/>
  <c r="T476" i="9"/>
  <c r="S476" i="9"/>
  <c r="R476" i="9"/>
  <c r="Q476" i="9"/>
  <c r="P476" i="9"/>
  <c r="O476" i="9"/>
  <c r="N476" i="9"/>
  <c r="M476" i="9"/>
  <c r="L476" i="9"/>
  <c r="K476" i="9"/>
  <c r="J476" i="9"/>
  <c r="I476" i="9"/>
  <c r="H476" i="9"/>
  <c r="G476" i="9"/>
  <c r="F476" i="9"/>
  <c r="E476" i="9"/>
  <c r="D476" i="9"/>
  <c r="AY475" i="9"/>
  <c r="AO475" i="9" s="1"/>
  <c r="AX475" i="9"/>
  <c r="AW475" i="9"/>
  <c r="AM475" i="9" s="1"/>
  <c r="AV475" i="9"/>
  <c r="AL475" i="9" s="1"/>
  <c r="AT475" i="9"/>
  <c r="AJ475" i="9" s="1"/>
  <c r="AR475" i="9"/>
  <c r="AS475" i="9" s="1"/>
  <c r="AQ475" i="9"/>
  <c r="AU475" i="9" s="1"/>
  <c r="AK475" i="9" s="1"/>
  <c r="AN475" i="9"/>
  <c r="AG475" i="9"/>
  <c r="AF475" i="9"/>
  <c r="AE475" i="9"/>
  <c r="AD475" i="9"/>
  <c r="AC475" i="9"/>
  <c r="AB475" i="9"/>
  <c r="AA475" i="9"/>
  <c r="Z475" i="9"/>
  <c r="Y475" i="9"/>
  <c r="X475" i="9"/>
  <c r="W475" i="9"/>
  <c r="V475" i="9"/>
  <c r="U475" i="9"/>
  <c r="T475" i="9"/>
  <c r="S475" i="9"/>
  <c r="R475" i="9"/>
  <c r="Q475" i="9"/>
  <c r="P475" i="9"/>
  <c r="O475" i="9"/>
  <c r="N475" i="9"/>
  <c r="M475" i="9"/>
  <c r="L475" i="9"/>
  <c r="K475" i="9"/>
  <c r="J475" i="9"/>
  <c r="I475" i="9"/>
  <c r="H475" i="9"/>
  <c r="G475" i="9"/>
  <c r="F475" i="9"/>
  <c r="E475" i="9"/>
  <c r="D475" i="9"/>
  <c r="AQ474" i="9"/>
  <c r="AG474" i="9"/>
  <c r="AF474" i="9"/>
  <c r="AE474" i="9"/>
  <c r="AD474" i="9"/>
  <c r="AC474" i="9"/>
  <c r="AB474" i="9"/>
  <c r="AA474" i="9"/>
  <c r="Z474" i="9"/>
  <c r="Y474" i="9"/>
  <c r="X474" i="9"/>
  <c r="W474" i="9"/>
  <c r="V474" i="9"/>
  <c r="U474" i="9"/>
  <c r="T474" i="9"/>
  <c r="S474" i="9"/>
  <c r="R474" i="9"/>
  <c r="Q474" i="9"/>
  <c r="P474" i="9"/>
  <c r="O474" i="9"/>
  <c r="N474" i="9"/>
  <c r="M474" i="9"/>
  <c r="L474" i="9"/>
  <c r="K474" i="9"/>
  <c r="J474" i="9"/>
  <c r="I474" i="9"/>
  <c r="H474" i="9"/>
  <c r="G474" i="9"/>
  <c r="F474" i="9"/>
  <c r="E474" i="9"/>
  <c r="D474" i="9"/>
  <c r="AY473" i="9"/>
  <c r="AO473" i="9" s="1"/>
  <c r="AW473" i="9"/>
  <c r="AV473" i="9"/>
  <c r="AL473" i="9" s="1"/>
  <c r="AU473" i="9"/>
  <c r="AK473" i="9" s="1"/>
  <c r="AT473" i="9"/>
  <c r="AI473" i="9" s="1"/>
  <c r="AR473" i="9"/>
  <c r="AS473" i="9" s="1"/>
  <c r="AQ473" i="9"/>
  <c r="AX473" i="9" s="1"/>
  <c r="AN473" i="9" s="1"/>
  <c r="AM473" i="9"/>
  <c r="AJ473" i="9"/>
  <c r="AG473" i="9"/>
  <c r="AF473" i="9"/>
  <c r="AE473" i="9"/>
  <c r="AD473" i="9"/>
  <c r="AC473" i="9"/>
  <c r="AB473" i="9"/>
  <c r="AA473" i="9"/>
  <c r="Z473" i="9"/>
  <c r="Y473" i="9"/>
  <c r="X473" i="9"/>
  <c r="W473" i="9"/>
  <c r="V473" i="9"/>
  <c r="U473" i="9"/>
  <c r="T473" i="9"/>
  <c r="S473" i="9"/>
  <c r="R473" i="9"/>
  <c r="Q473" i="9"/>
  <c r="P473" i="9"/>
  <c r="O473" i="9"/>
  <c r="N473" i="9"/>
  <c r="M473" i="9"/>
  <c r="L473" i="9"/>
  <c r="K473" i="9"/>
  <c r="J473" i="9"/>
  <c r="I473" i="9"/>
  <c r="H473" i="9"/>
  <c r="G473" i="9"/>
  <c r="F473" i="9"/>
  <c r="E473" i="9"/>
  <c r="D473" i="9"/>
  <c r="AY472" i="9"/>
  <c r="AX472" i="9"/>
  <c r="AN472" i="9" s="1"/>
  <c r="AW472" i="9"/>
  <c r="AM472" i="9" s="1"/>
  <c r="AV472" i="9"/>
  <c r="AU472" i="9"/>
  <c r="AK472" i="9" s="1"/>
  <c r="AT472" i="9"/>
  <c r="AJ472" i="9" s="1"/>
  <c r="AS472" i="9"/>
  <c r="AR472" i="9"/>
  <c r="AQ472" i="9"/>
  <c r="AO472" i="9"/>
  <c r="AL472" i="9"/>
  <c r="AG472" i="9"/>
  <c r="AF472" i="9"/>
  <c r="AE472" i="9"/>
  <c r="AD472" i="9"/>
  <c r="AC472" i="9"/>
  <c r="AB472" i="9"/>
  <c r="AA472" i="9"/>
  <c r="Z472" i="9"/>
  <c r="Y472" i="9"/>
  <c r="X472" i="9"/>
  <c r="W472" i="9"/>
  <c r="V472" i="9"/>
  <c r="U472" i="9"/>
  <c r="T472" i="9"/>
  <c r="S472" i="9"/>
  <c r="R472" i="9"/>
  <c r="Q472" i="9"/>
  <c r="P472" i="9"/>
  <c r="O472" i="9"/>
  <c r="N472" i="9"/>
  <c r="M472" i="9"/>
  <c r="L472" i="9"/>
  <c r="K472" i="9"/>
  <c r="J472" i="9"/>
  <c r="I472" i="9"/>
  <c r="H472" i="9"/>
  <c r="G472" i="9"/>
  <c r="F472" i="9"/>
  <c r="E472" i="9"/>
  <c r="D472" i="9"/>
  <c r="AY471" i="9"/>
  <c r="AO471" i="9" s="1"/>
  <c r="AX471" i="9"/>
  <c r="AN471" i="9" s="1"/>
  <c r="AU471" i="9"/>
  <c r="AK471" i="9" s="1"/>
  <c r="AR471" i="9"/>
  <c r="AS471" i="9" s="1"/>
  <c r="AQ471" i="9"/>
  <c r="AT471" i="9" s="1"/>
  <c r="AI471" i="9" s="1"/>
  <c r="AG471" i="9"/>
  <c r="AF471" i="9"/>
  <c r="AE471" i="9"/>
  <c r="AD471" i="9"/>
  <c r="AC471" i="9"/>
  <c r="AB471" i="9"/>
  <c r="AA471" i="9"/>
  <c r="Z471" i="9"/>
  <c r="Y471" i="9"/>
  <c r="X471" i="9"/>
  <c r="W471" i="9"/>
  <c r="V471" i="9"/>
  <c r="U471" i="9"/>
  <c r="T471" i="9"/>
  <c r="S471" i="9"/>
  <c r="R471" i="9"/>
  <c r="Q471" i="9"/>
  <c r="P471" i="9"/>
  <c r="O471" i="9"/>
  <c r="N471" i="9"/>
  <c r="M471" i="9"/>
  <c r="L471" i="9"/>
  <c r="K471" i="9"/>
  <c r="J471" i="9"/>
  <c r="I471" i="9"/>
  <c r="H471" i="9"/>
  <c r="G471" i="9"/>
  <c r="F471" i="9"/>
  <c r="E471" i="9"/>
  <c r="D471" i="9"/>
  <c r="AW470" i="9"/>
  <c r="AM470" i="9" s="1"/>
  <c r="AQ470" i="9"/>
  <c r="AY470" i="9" s="1"/>
  <c r="AO470" i="9" s="1"/>
  <c r="AG470" i="9"/>
  <c r="AF470" i="9"/>
  <c r="AE470" i="9"/>
  <c r="AD470" i="9"/>
  <c r="AC470" i="9"/>
  <c r="AB470" i="9"/>
  <c r="AA470" i="9"/>
  <c r="Z470" i="9"/>
  <c r="Y470" i="9"/>
  <c r="X470" i="9"/>
  <c r="W470" i="9"/>
  <c r="V470" i="9"/>
  <c r="U470" i="9"/>
  <c r="T470" i="9"/>
  <c r="S470" i="9"/>
  <c r="R470" i="9"/>
  <c r="Q470" i="9"/>
  <c r="P470" i="9"/>
  <c r="O470" i="9"/>
  <c r="N470" i="9"/>
  <c r="M470" i="9"/>
  <c r="L470" i="9"/>
  <c r="K470" i="9"/>
  <c r="J470" i="9"/>
  <c r="I470" i="9"/>
  <c r="H470" i="9"/>
  <c r="G470" i="9"/>
  <c r="F470" i="9"/>
  <c r="E470" i="9"/>
  <c r="D470" i="9"/>
  <c r="AT469" i="9"/>
  <c r="AQ469" i="9"/>
  <c r="AG469" i="9"/>
  <c r="AF469" i="9"/>
  <c r="AE469" i="9"/>
  <c r="AD469" i="9"/>
  <c r="AC469" i="9"/>
  <c r="AB469" i="9"/>
  <c r="AA469" i="9"/>
  <c r="Z469" i="9"/>
  <c r="Y469" i="9"/>
  <c r="X469" i="9"/>
  <c r="W469" i="9"/>
  <c r="V469" i="9"/>
  <c r="U469" i="9"/>
  <c r="T469" i="9"/>
  <c r="S469" i="9"/>
  <c r="R469" i="9"/>
  <c r="Q469" i="9"/>
  <c r="P469" i="9"/>
  <c r="O469" i="9"/>
  <c r="N469" i="9"/>
  <c r="M469" i="9"/>
  <c r="L469" i="9"/>
  <c r="K469" i="9"/>
  <c r="J469" i="9"/>
  <c r="I469" i="9"/>
  <c r="H469" i="9"/>
  <c r="G469" i="9"/>
  <c r="F469" i="9"/>
  <c r="E469" i="9"/>
  <c r="D469" i="9"/>
  <c r="AY468" i="9"/>
  <c r="AO468" i="9" s="1"/>
  <c r="AV468" i="9"/>
  <c r="AL468" i="9" s="1"/>
  <c r="AS468" i="9"/>
  <c r="AR468" i="9"/>
  <c r="AQ468" i="9"/>
  <c r="AU468" i="9" s="1"/>
  <c r="AK468" i="9" s="1"/>
  <c r="AG468" i="9"/>
  <c r="AF468" i="9"/>
  <c r="AE468" i="9"/>
  <c r="AD468" i="9"/>
  <c r="AC468" i="9"/>
  <c r="AB468" i="9"/>
  <c r="AA468" i="9"/>
  <c r="Z468" i="9"/>
  <c r="Y468" i="9"/>
  <c r="X468" i="9"/>
  <c r="W468" i="9"/>
  <c r="V468" i="9"/>
  <c r="U468" i="9"/>
  <c r="T468" i="9"/>
  <c r="S468" i="9"/>
  <c r="R468" i="9"/>
  <c r="Q468" i="9"/>
  <c r="P468" i="9"/>
  <c r="O468" i="9"/>
  <c r="N468" i="9"/>
  <c r="M468" i="9"/>
  <c r="L468" i="9"/>
  <c r="K468" i="9"/>
  <c r="J468" i="9"/>
  <c r="I468" i="9"/>
  <c r="H468" i="9"/>
  <c r="G468" i="9"/>
  <c r="F468" i="9"/>
  <c r="E468" i="9"/>
  <c r="D468" i="9"/>
  <c r="AX467" i="9"/>
  <c r="AN467" i="9" s="1"/>
  <c r="AR467" i="9"/>
  <c r="AS467" i="9" s="1"/>
  <c r="AQ467" i="9"/>
  <c r="AY467" i="9" s="1"/>
  <c r="AO467" i="9"/>
  <c r="AG467" i="9"/>
  <c r="AF467" i="9"/>
  <c r="AE467" i="9"/>
  <c r="AD467" i="9"/>
  <c r="AC467" i="9"/>
  <c r="AB467" i="9"/>
  <c r="AA467" i="9"/>
  <c r="Z467" i="9"/>
  <c r="Y467" i="9"/>
  <c r="X467" i="9"/>
  <c r="W467" i="9"/>
  <c r="V467" i="9"/>
  <c r="U467" i="9"/>
  <c r="T467" i="9"/>
  <c r="S467" i="9"/>
  <c r="R467" i="9"/>
  <c r="Q467" i="9"/>
  <c r="P467" i="9"/>
  <c r="O467" i="9"/>
  <c r="N467" i="9"/>
  <c r="M467" i="9"/>
  <c r="L467" i="9"/>
  <c r="K467" i="9"/>
  <c r="J467" i="9"/>
  <c r="I467" i="9"/>
  <c r="H467" i="9"/>
  <c r="G467" i="9"/>
  <c r="F467" i="9"/>
  <c r="E467" i="9"/>
  <c r="D467" i="9"/>
  <c r="AY466" i="9"/>
  <c r="AO466" i="9" s="1"/>
  <c r="AX466" i="9"/>
  <c r="AW466" i="9"/>
  <c r="AM466" i="9" s="1"/>
  <c r="AV466" i="9"/>
  <c r="AL466" i="9" s="1"/>
  <c r="AU466" i="9"/>
  <c r="AK466" i="9" s="1"/>
  <c r="AT466" i="9"/>
  <c r="AI466" i="9" s="1"/>
  <c r="AR466" i="9"/>
  <c r="AS466" i="9" s="1"/>
  <c r="AQ466" i="9"/>
  <c r="AN466" i="9"/>
  <c r="AJ466" i="9"/>
  <c r="AH466" i="9"/>
  <c r="AG466" i="9"/>
  <c r="AF466" i="9"/>
  <c r="AE466" i="9"/>
  <c r="AD466" i="9"/>
  <c r="AC466" i="9"/>
  <c r="AB466" i="9"/>
  <c r="AA466" i="9"/>
  <c r="Z466" i="9"/>
  <c r="Y466" i="9"/>
  <c r="X466" i="9"/>
  <c r="W466" i="9"/>
  <c r="V466" i="9"/>
  <c r="U466" i="9"/>
  <c r="T466" i="9"/>
  <c r="S466" i="9"/>
  <c r="R466" i="9"/>
  <c r="Q466" i="9"/>
  <c r="P466" i="9"/>
  <c r="O466" i="9"/>
  <c r="N466" i="9"/>
  <c r="M466" i="9"/>
  <c r="L466" i="9"/>
  <c r="K466" i="9"/>
  <c r="J466" i="9"/>
  <c r="I466" i="9"/>
  <c r="H466" i="9"/>
  <c r="G466" i="9"/>
  <c r="F466" i="9"/>
  <c r="E466" i="9"/>
  <c r="D466" i="9"/>
  <c r="AW465" i="9"/>
  <c r="AM465" i="9" s="1"/>
  <c r="AT465" i="9"/>
  <c r="AQ465" i="9"/>
  <c r="AV465" i="9" s="1"/>
  <c r="AL465" i="9" s="1"/>
  <c r="AG465" i="9"/>
  <c r="AF465" i="9"/>
  <c r="AE465" i="9"/>
  <c r="AD465" i="9"/>
  <c r="AC465" i="9"/>
  <c r="AB465" i="9"/>
  <c r="AA465" i="9"/>
  <c r="Z465" i="9"/>
  <c r="Y465" i="9"/>
  <c r="X465" i="9"/>
  <c r="W465" i="9"/>
  <c r="V465" i="9"/>
  <c r="U465" i="9"/>
  <c r="T465" i="9"/>
  <c r="S465" i="9"/>
  <c r="R465" i="9"/>
  <c r="Q465" i="9"/>
  <c r="P465" i="9"/>
  <c r="O465" i="9"/>
  <c r="N465" i="9"/>
  <c r="M465" i="9"/>
  <c r="L465" i="9"/>
  <c r="K465" i="9"/>
  <c r="J465" i="9"/>
  <c r="I465" i="9"/>
  <c r="H465" i="9"/>
  <c r="G465" i="9"/>
  <c r="F465" i="9"/>
  <c r="E465" i="9"/>
  <c r="D465" i="9"/>
  <c r="AQ464" i="9"/>
  <c r="AG464" i="9"/>
  <c r="AF464" i="9"/>
  <c r="AE464" i="9"/>
  <c r="AD464" i="9"/>
  <c r="AC464" i="9"/>
  <c r="AB464" i="9"/>
  <c r="AA464" i="9"/>
  <c r="Z464" i="9"/>
  <c r="Y464" i="9"/>
  <c r="X464" i="9"/>
  <c r="W464" i="9"/>
  <c r="V464" i="9"/>
  <c r="U464" i="9"/>
  <c r="T464" i="9"/>
  <c r="S464" i="9"/>
  <c r="R464" i="9"/>
  <c r="Q464" i="9"/>
  <c r="P464" i="9"/>
  <c r="O464" i="9"/>
  <c r="N464" i="9"/>
  <c r="M464" i="9"/>
  <c r="L464" i="9"/>
  <c r="K464" i="9"/>
  <c r="J464" i="9"/>
  <c r="I464" i="9"/>
  <c r="H464" i="9"/>
  <c r="G464" i="9"/>
  <c r="F464" i="9"/>
  <c r="E464" i="9"/>
  <c r="D464" i="9"/>
  <c r="AX463" i="9"/>
  <c r="AN463" i="9" s="1"/>
  <c r="AW463" i="9"/>
  <c r="AM463" i="9" s="1"/>
  <c r="AV463" i="9"/>
  <c r="AL463" i="9" s="1"/>
  <c r="AU463" i="9"/>
  <c r="AS463" i="9"/>
  <c r="AQ463" i="9"/>
  <c r="AR463" i="9" s="1"/>
  <c r="AK463" i="9"/>
  <c r="AG463" i="9"/>
  <c r="AF463" i="9"/>
  <c r="AE463" i="9"/>
  <c r="AD463" i="9"/>
  <c r="AC463" i="9"/>
  <c r="AB463" i="9"/>
  <c r="AA463" i="9"/>
  <c r="Z463" i="9"/>
  <c r="Y463" i="9"/>
  <c r="X463" i="9"/>
  <c r="W463" i="9"/>
  <c r="V463" i="9"/>
  <c r="U463" i="9"/>
  <c r="T463" i="9"/>
  <c r="S463" i="9"/>
  <c r="R463" i="9"/>
  <c r="Q463" i="9"/>
  <c r="P463" i="9"/>
  <c r="O463" i="9"/>
  <c r="N463" i="9"/>
  <c r="M463" i="9"/>
  <c r="L463" i="9"/>
  <c r="K463" i="9"/>
  <c r="J463" i="9"/>
  <c r="I463" i="9"/>
  <c r="H463" i="9"/>
  <c r="G463" i="9"/>
  <c r="F463" i="9"/>
  <c r="E463" i="9"/>
  <c r="D463" i="9"/>
  <c r="AX462" i="9"/>
  <c r="AN462" i="9" s="1"/>
  <c r="AU462" i="9"/>
  <c r="AK462" i="9" s="1"/>
  <c r="AQ462" i="9"/>
  <c r="AW462" i="9" s="1"/>
  <c r="AM462" i="9" s="1"/>
  <c r="AG462" i="9"/>
  <c r="AF462" i="9"/>
  <c r="AE462" i="9"/>
  <c r="AD462" i="9"/>
  <c r="AC462" i="9"/>
  <c r="AB462" i="9"/>
  <c r="AA462" i="9"/>
  <c r="Z462" i="9"/>
  <c r="Y462" i="9"/>
  <c r="X462" i="9"/>
  <c r="W462" i="9"/>
  <c r="V462" i="9"/>
  <c r="U462" i="9"/>
  <c r="T462" i="9"/>
  <c r="S462" i="9"/>
  <c r="R462" i="9"/>
  <c r="Q462" i="9"/>
  <c r="P462" i="9"/>
  <c r="O462" i="9"/>
  <c r="N462" i="9"/>
  <c r="M462" i="9"/>
  <c r="L462" i="9"/>
  <c r="K462" i="9"/>
  <c r="J462" i="9"/>
  <c r="I462" i="9"/>
  <c r="H462" i="9"/>
  <c r="G462" i="9"/>
  <c r="F462" i="9"/>
  <c r="E462" i="9"/>
  <c r="D462" i="9"/>
  <c r="AY461" i="9"/>
  <c r="AO461" i="9" s="1"/>
  <c r="AX461" i="9"/>
  <c r="AW461" i="9"/>
  <c r="AM461" i="9" s="1"/>
  <c r="AV461" i="9"/>
  <c r="AL461" i="9" s="1"/>
  <c r="AT461" i="9"/>
  <c r="AJ461" i="9" s="1"/>
  <c r="AR461" i="9"/>
  <c r="AS461" i="9" s="1"/>
  <c r="AQ461" i="9"/>
  <c r="AU461" i="9" s="1"/>
  <c r="AK461" i="9" s="1"/>
  <c r="AN461" i="9"/>
  <c r="AG461" i="9"/>
  <c r="AF461" i="9"/>
  <c r="AE461" i="9"/>
  <c r="AD461" i="9"/>
  <c r="AC461" i="9"/>
  <c r="AB461" i="9"/>
  <c r="AA461" i="9"/>
  <c r="Z461" i="9"/>
  <c r="Y461" i="9"/>
  <c r="X461" i="9"/>
  <c r="W461" i="9"/>
  <c r="V461" i="9"/>
  <c r="U461" i="9"/>
  <c r="T461" i="9"/>
  <c r="S461" i="9"/>
  <c r="R461" i="9"/>
  <c r="Q461" i="9"/>
  <c r="P461" i="9"/>
  <c r="O461" i="9"/>
  <c r="N461" i="9"/>
  <c r="M461" i="9"/>
  <c r="L461" i="9"/>
  <c r="K461" i="9"/>
  <c r="J461" i="9"/>
  <c r="I461" i="9"/>
  <c r="H461" i="9"/>
  <c r="G461" i="9"/>
  <c r="F461" i="9"/>
  <c r="E461" i="9"/>
  <c r="D461" i="9"/>
  <c r="AT460" i="9"/>
  <c r="AH460" i="9" s="1"/>
  <c r="AQ460" i="9"/>
  <c r="AG460" i="9"/>
  <c r="AF460" i="9"/>
  <c r="AE460" i="9"/>
  <c r="AD460" i="9"/>
  <c r="AC460" i="9"/>
  <c r="AB460" i="9"/>
  <c r="AA460" i="9"/>
  <c r="Z460" i="9"/>
  <c r="Y460" i="9"/>
  <c r="X460" i="9"/>
  <c r="W460" i="9"/>
  <c r="V460" i="9"/>
  <c r="U460" i="9"/>
  <c r="T460" i="9"/>
  <c r="S460" i="9"/>
  <c r="R460" i="9"/>
  <c r="Q460" i="9"/>
  <c r="P460" i="9"/>
  <c r="O460" i="9"/>
  <c r="N460" i="9"/>
  <c r="M460" i="9"/>
  <c r="L460" i="9"/>
  <c r="K460" i="9"/>
  <c r="J460" i="9"/>
  <c r="I460" i="9"/>
  <c r="H460" i="9"/>
  <c r="G460" i="9"/>
  <c r="F460" i="9"/>
  <c r="E460" i="9"/>
  <c r="D460" i="9"/>
  <c r="AY459" i="9"/>
  <c r="AO459" i="9" s="1"/>
  <c r="AW459" i="9"/>
  <c r="AV459" i="9"/>
  <c r="AL459" i="9" s="1"/>
  <c r="AU459" i="9"/>
  <c r="AK459" i="9" s="1"/>
  <c r="AT459" i="9"/>
  <c r="AI459" i="9" s="1"/>
  <c r="AR459" i="9"/>
  <c r="AS459" i="9" s="1"/>
  <c r="AQ459" i="9"/>
  <c r="AX459" i="9" s="1"/>
  <c r="AN459" i="9" s="1"/>
  <c r="AM459" i="9"/>
  <c r="AJ459" i="9"/>
  <c r="AG459" i="9"/>
  <c r="AF459" i="9"/>
  <c r="AE459" i="9"/>
  <c r="AD459" i="9"/>
  <c r="AC459" i="9"/>
  <c r="AB459" i="9"/>
  <c r="AA459" i="9"/>
  <c r="Z459" i="9"/>
  <c r="Y459" i="9"/>
  <c r="X459" i="9"/>
  <c r="W459" i="9"/>
  <c r="V459" i="9"/>
  <c r="U459" i="9"/>
  <c r="T459" i="9"/>
  <c r="S459" i="9"/>
  <c r="R459" i="9"/>
  <c r="Q459" i="9"/>
  <c r="P459" i="9"/>
  <c r="O459" i="9"/>
  <c r="N459" i="9"/>
  <c r="M459" i="9"/>
  <c r="L459" i="9"/>
  <c r="K459" i="9"/>
  <c r="J459" i="9"/>
  <c r="I459" i="9"/>
  <c r="H459" i="9"/>
  <c r="G459" i="9"/>
  <c r="F459" i="9"/>
  <c r="E459" i="9"/>
  <c r="D459" i="9"/>
  <c r="AY458" i="9"/>
  <c r="AX458" i="9"/>
  <c r="AN458" i="9" s="1"/>
  <c r="AW458" i="9"/>
  <c r="AM458" i="9" s="1"/>
  <c r="AV458" i="9"/>
  <c r="AU458" i="9"/>
  <c r="AK458" i="9" s="1"/>
  <c r="AT458" i="9"/>
  <c r="AJ458" i="9" s="1"/>
  <c r="AS458" i="9"/>
  <c r="AR458" i="9"/>
  <c r="AQ458" i="9"/>
  <c r="AO458" i="9"/>
  <c r="AL458" i="9"/>
  <c r="AG458" i="9"/>
  <c r="AF458" i="9"/>
  <c r="AE458" i="9"/>
  <c r="AD458" i="9"/>
  <c r="AC458" i="9"/>
  <c r="AB458" i="9"/>
  <c r="AA458" i="9"/>
  <c r="Z458" i="9"/>
  <c r="Y458" i="9"/>
  <c r="X458" i="9"/>
  <c r="W458" i="9"/>
  <c r="V458" i="9"/>
  <c r="U458" i="9"/>
  <c r="T458" i="9"/>
  <c r="S458" i="9"/>
  <c r="R458" i="9"/>
  <c r="Q458" i="9"/>
  <c r="P458" i="9"/>
  <c r="O458" i="9"/>
  <c r="N458" i="9"/>
  <c r="M458" i="9"/>
  <c r="L458" i="9"/>
  <c r="K458" i="9"/>
  <c r="J458" i="9"/>
  <c r="I458" i="9"/>
  <c r="H458" i="9"/>
  <c r="G458" i="9"/>
  <c r="F458" i="9"/>
  <c r="E458" i="9"/>
  <c r="D458" i="9"/>
  <c r="AY457" i="9"/>
  <c r="AO457" i="9" s="1"/>
  <c r="AX457" i="9"/>
  <c r="AN457" i="9" s="1"/>
  <c r="AU457" i="9"/>
  <c r="AK457" i="9" s="1"/>
  <c r="AR457" i="9"/>
  <c r="AS457" i="9" s="1"/>
  <c r="AQ457" i="9"/>
  <c r="AT457" i="9" s="1"/>
  <c r="AI457" i="9" s="1"/>
  <c r="AG457" i="9"/>
  <c r="AF457" i="9"/>
  <c r="AE457" i="9"/>
  <c r="AD457" i="9"/>
  <c r="AC457" i="9"/>
  <c r="AB457" i="9"/>
  <c r="AA457" i="9"/>
  <c r="Z457" i="9"/>
  <c r="Y457" i="9"/>
  <c r="X457" i="9"/>
  <c r="W457" i="9"/>
  <c r="V457" i="9"/>
  <c r="U457" i="9"/>
  <c r="T457" i="9"/>
  <c r="S457" i="9"/>
  <c r="R457" i="9"/>
  <c r="Q457" i="9"/>
  <c r="P457" i="9"/>
  <c r="O457" i="9"/>
  <c r="N457" i="9"/>
  <c r="M457" i="9"/>
  <c r="L457" i="9"/>
  <c r="K457" i="9"/>
  <c r="J457" i="9"/>
  <c r="I457" i="9"/>
  <c r="H457" i="9"/>
  <c r="G457" i="9"/>
  <c r="F457" i="9"/>
  <c r="E457" i="9"/>
  <c r="D457" i="9"/>
  <c r="AW456" i="9"/>
  <c r="AM456" i="9" s="1"/>
  <c r="AQ456" i="9"/>
  <c r="AY456" i="9" s="1"/>
  <c r="AO456" i="9" s="1"/>
  <c r="AG456" i="9"/>
  <c r="AF456" i="9"/>
  <c r="AE456" i="9"/>
  <c r="AD456" i="9"/>
  <c r="AC456" i="9"/>
  <c r="AB456" i="9"/>
  <c r="AA456" i="9"/>
  <c r="Z456" i="9"/>
  <c r="Y456" i="9"/>
  <c r="X456" i="9"/>
  <c r="W456" i="9"/>
  <c r="V456" i="9"/>
  <c r="U456" i="9"/>
  <c r="T456" i="9"/>
  <c r="S456" i="9"/>
  <c r="R456" i="9"/>
  <c r="Q456" i="9"/>
  <c r="P456" i="9"/>
  <c r="O456" i="9"/>
  <c r="N456" i="9"/>
  <c r="M456" i="9"/>
  <c r="L456" i="9"/>
  <c r="K456" i="9"/>
  <c r="J456" i="9"/>
  <c r="I456" i="9"/>
  <c r="H456" i="9"/>
  <c r="G456" i="9"/>
  <c r="F456" i="9"/>
  <c r="E456" i="9"/>
  <c r="D456" i="9"/>
  <c r="AQ455" i="9"/>
  <c r="AG455" i="9"/>
  <c r="AF455" i="9"/>
  <c r="AE455" i="9"/>
  <c r="AD455" i="9"/>
  <c r="AC455" i="9"/>
  <c r="AB455" i="9"/>
  <c r="AA455" i="9"/>
  <c r="Z455" i="9"/>
  <c r="Y455" i="9"/>
  <c r="X455" i="9"/>
  <c r="W455" i="9"/>
  <c r="V455" i="9"/>
  <c r="U455" i="9"/>
  <c r="T455" i="9"/>
  <c r="S455" i="9"/>
  <c r="R455" i="9"/>
  <c r="Q455" i="9"/>
  <c r="P455" i="9"/>
  <c r="O455" i="9"/>
  <c r="N455" i="9"/>
  <c r="M455" i="9"/>
  <c r="L455" i="9"/>
  <c r="K455" i="9"/>
  <c r="J455" i="9"/>
  <c r="I455" i="9"/>
  <c r="H455" i="9"/>
  <c r="G455" i="9"/>
  <c r="F455" i="9"/>
  <c r="E455" i="9"/>
  <c r="D455" i="9"/>
  <c r="AY454" i="9"/>
  <c r="AO454" i="9" s="1"/>
  <c r="AV454" i="9"/>
  <c r="AL454" i="9" s="1"/>
  <c r="AS454" i="9"/>
  <c r="AR454" i="9"/>
  <c r="AQ454" i="9"/>
  <c r="AU454" i="9" s="1"/>
  <c r="AK454" i="9" s="1"/>
  <c r="AG454" i="9"/>
  <c r="AF454" i="9"/>
  <c r="AE454" i="9"/>
  <c r="AD454" i="9"/>
  <c r="AC454" i="9"/>
  <c r="AB454" i="9"/>
  <c r="AA454" i="9"/>
  <c r="Z454" i="9"/>
  <c r="Y454" i="9"/>
  <c r="X454" i="9"/>
  <c r="W454" i="9"/>
  <c r="V454" i="9"/>
  <c r="U454" i="9"/>
  <c r="T454" i="9"/>
  <c r="S454" i="9"/>
  <c r="R454" i="9"/>
  <c r="Q454" i="9"/>
  <c r="P454" i="9"/>
  <c r="O454" i="9"/>
  <c r="N454" i="9"/>
  <c r="M454" i="9"/>
  <c r="L454" i="9"/>
  <c r="K454" i="9"/>
  <c r="J454" i="9"/>
  <c r="I454" i="9"/>
  <c r="H454" i="9"/>
  <c r="G454" i="9"/>
  <c r="F454" i="9"/>
  <c r="E454" i="9"/>
  <c r="D454" i="9"/>
  <c r="AQ453" i="9"/>
  <c r="AG453" i="9"/>
  <c r="AF453" i="9"/>
  <c r="AE453" i="9"/>
  <c r="AD453" i="9"/>
  <c r="AC453" i="9"/>
  <c r="AB453" i="9"/>
  <c r="AA453" i="9"/>
  <c r="Z453" i="9"/>
  <c r="Y453" i="9"/>
  <c r="X453" i="9"/>
  <c r="W453" i="9"/>
  <c r="V453" i="9"/>
  <c r="U453" i="9"/>
  <c r="T453" i="9"/>
  <c r="S453" i="9"/>
  <c r="R453" i="9"/>
  <c r="Q453" i="9"/>
  <c r="P453" i="9"/>
  <c r="O453" i="9"/>
  <c r="N453" i="9"/>
  <c r="M453" i="9"/>
  <c r="L453" i="9"/>
  <c r="K453" i="9"/>
  <c r="J453" i="9"/>
  <c r="I453" i="9"/>
  <c r="H453" i="9"/>
  <c r="G453" i="9"/>
  <c r="F453" i="9"/>
  <c r="E453" i="9"/>
  <c r="D453" i="9"/>
  <c r="AY452" i="9"/>
  <c r="AO452" i="9" s="1"/>
  <c r="AX452" i="9"/>
  <c r="AW452" i="9"/>
  <c r="AM452" i="9" s="1"/>
  <c r="AV452" i="9"/>
  <c r="AL452" i="9" s="1"/>
  <c r="AU452" i="9"/>
  <c r="AK452" i="9" s="1"/>
  <c r="AT452" i="9"/>
  <c r="AI452" i="9" s="1"/>
  <c r="AR452" i="9"/>
  <c r="AS452" i="9" s="1"/>
  <c r="AQ452" i="9"/>
  <c r="AN452" i="9"/>
  <c r="AJ452" i="9"/>
  <c r="AH452" i="9"/>
  <c r="AG452" i="9"/>
  <c r="AF452" i="9"/>
  <c r="AE452" i="9"/>
  <c r="AD452" i="9"/>
  <c r="AC452" i="9"/>
  <c r="AB452" i="9"/>
  <c r="AA452" i="9"/>
  <c r="Z452" i="9"/>
  <c r="Y452" i="9"/>
  <c r="X452" i="9"/>
  <c r="W452" i="9"/>
  <c r="V452" i="9"/>
  <c r="U452" i="9"/>
  <c r="T452" i="9"/>
  <c r="S452" i="9"/>
  <c r="R452" i="9"/>
  <c r="Q452" i="9"/>
  <c r="P452" i="9"/>
  <c r="O452" i="9"/>
  <c r="N452" i="9"/>
  <c r="M452" i="9"/>
  <c r="L452" i="9"/>
  <c r="K452" i="9"/>
  <c r="J452" i="9"/>
  <c r="I452" i="9"/>
  <c r="H452" i="9"/>
  <c r="G452" i="9"/>
  <c r="F452" i="9"/>
  <c r="E452" i="9"/>
  <c r="D452" i="9"/>
  <c r="AW451" i="9"/>
  <c r="AM451" i="9" s="1"/>
  <c r="AT451" i="9"/>
  <c r="AQ451" i="9"/>
  <c r="AV451" i="9" s="1"/>
  <c r="AL451" i="9"/>
  <c r="AH451" i="9"/>
  <c r="AG451" i="9"/>
  <c r="AF451" i="9"/>
  <c r="AE451" i="9"/>
  <c r="AD451" i="9"/>
  <c r="AC451" i="9"/>
  <c r="AB451" i="9"/>
  <c r="AA451" i="9"/>
  <c r="Z451" i="9"/>
  <c r="Y451" i="9"/>
  <c r="X451" i="9"/>
  <c r="W451" i="9"/>
  <c r="V451" i="9"/>
  <c r="U451" i="9"/>
  <c r="T451" i="9"/>
  <c r="S451" i="9"/>
  <c r="R451" i="9"/>
  <c r="Q451" i="9"/>
  <c r="P451" i="9"/>
  <c r="O451" i="9"/>
  <c r="N451" i="9"/>
  <c r="M451" i="9"/>
  <c r="L451" i="9"/>
  <c r="K451" i="9"/>
  <c r="J451" i="9"/>
  <c r="I451" i="9"/>
  <c r="H451" i="9"/>
  <c r="G451" i="9"/>
  <c r="F451" i="9"/>
  <c r="E451" i="9"/>
  <c r="D451" i="9"/>
  <c r="AY450" i="9"/>
  <c r="AO450" i="9" s="1"/>
  <c r="AR450" i="9"/>
  <c r="AS450" i="9" s="1"/>
  <c r="AQ450" i="9"/>
  <c r="AG450" i="9"/>
  <c r="AF450" i="9"/>
  <c r="AE450" i="9"/>
  <c r="AD450" i="9"/>
  <c r="AC450" i="9"/>
  <c r="AB450" i="9"/>
  <c r="AA450" i="9"/>
  <c r="Z450" i="9"/>
  <c r="Y450" i="9"/>
  <c r="X450" i="9"/>
  <c r="W450" i="9"/>
  <c r="V450" i="9"/>
  <c r="U450" i="9"/>
  <c r="T450" i="9"/>
  <c r="S450" i="9"/>
  <c r="R450" i="9"/>
  <c r="Q450" i="9"/>
  <c r="P450" i="9"/>
  <c r="O450" i="9"/>
  <c r="N450" i="9"/>
  <c r="M450" i="9"/>
  <c r="L450" i="9"/>
  <c r="K450" i="9"/>
  <c r="J450" i="9"/>
  <c r="I450" i="9"/>
  <c r="H450" i="9"/>
  <c r="G450" i="9"/>
  <c r="F450" i="9"/>
  <c r="E450" i="9"/>
  <c r="D450" i="9"/>
  <c r="AX449" i="9"/>
  <c r="AN449" i="9" s="1"/>
  <c r="AW449" i="9"/>
  <c r="AM449" i="9" s="1"/>
  <c r="AV449" i="9"/>
  <c r="AL449" i="9" s="1"/>
  <c r="AU449" i="9"/>
  <c r="AQ449" i="9"/>
  <c r="AR449" i="9" s="1"/>
  <c r="AS449" i="9" s="1"/>
  <c r="AK449" i="9"/>
  <c r="AG449" i="9"/>
  <c r="AF449" i="9"/>
  <c r="AE449" i="9"/>
  <c r="AD449" i="9"/>
  <c r="AC449" i="9"/>
  <c r="AB449" i="9"/>
  <c r="AA449" i="9"/>
  <c r="Z449" i="9"/>
  <c r="Y449" i="9"/>
  <c r="X449" i="9"/>
  <c r="W449" i="9"/>
  <c r="V449" i="9"/>
  <c r="U449" i="9"/>
  <c r="T449" i="9"/>
  <c r="S449" i="9"/>
  <c r="R449" i="9"/>
  <c r="Q449" i="9"/>
  <c r="P449" i="9"/>
  <c r="O449" i="9"/>
  <c r="N449" i="9"/>
  <c r="M449" i="9"/>
  <c r="L449" i="9"/>
  <c r="K449" i="9"/>
  <c r="J449" i="9"/>
  <c r="I449" i="9"/>
  <c r="H449" i="9"/>
  <c r="G449" i="9"/>
  <c r="F449" i="9"/>
  <c r="E449" i="9"/>
  <c r="D449" i="9"/>
  <c r="AX448" i="9"/>
  <c r="AN448" i="9" s="1"/>
  <c r="AU448" i="9"/>
  <c r="AK448" i="9" s="1"/>
  <c r="AQ448" i="9"/>
  <c r="AW448" i="9" s="1"/>
  <c r="AM448" i="9" s="1"/>
  <c r="AG448" i="9"/>
  <c r="AF448" i="9"/>
  <c r="AE448" i="9"/>
  <c r="AD448" i="9"/>
  <c r="AC448" i="9"/>
  <c r="AB448" i="9"/>
  <c r="AA448" i="9"/>
  <c r="Z448" i="9"/>
  <c r="Y448" i="9"/>
  <c r="X448" i="9"/>
  <c r="W448" i="9"/>
  <c r="V448" i="9"/>
  <c r="U448" i="9"/>
  <c r="T448" i="9"/>
  <c r="S448" i="9"/>
  <c r="R448" i="9"/>
  <c r="Q448" i="9"/>
  <c r="P448" i="9"/>
  <c r="O448" i="9"/>
  <c r="N448" i="9"/>
  <c r="M448" i="9"/>
  <c r="L448" i="9"/>
  <c r="K448" i="9"/>
  <c r="J448" i="9"/>
  <c r="I448" i="9"/>
  <c r="H448" i="9"/>
  <c r="G448" i="9"/>
  <c r="F448" i="9"/>
  <c r="E448" i="9"/>
  <c r="D448" i="9"/>
  <c r="AY447" i="9"/>
  <c r="AO447" i="9" s="1"/>
  <c r="AX447" i="9"/>
  <c r="AW447" i="9"/>
  <c r="AM447" i="9" s="1"/>
  <c r="AV447" i="9"/>
  <c r="AL447" i="9" s="1"/>
  <c r="AT447" i="9"/>
  <c r="AJ447" i="9" s="1"/>
  <c r="AS447" i="9"/>
  <c r="AR447" i="9"/>
  <c r="AQ447" i="9"/>
  <c r="AU447" i="9" s="1"/>
  <c r="AK447" i="9" s="1"/>
  <c r="AN447" i="9"/>
  <c r="AG447" i="9"/>
  <c r="AF447" i="9"/>
  <c r="AE447" i="9"/>
  <c r="AD447" i="9"/>
  <c r="AC447" i="9"/>
  <c r="AB447" i="9"/>
  <c r="AA447" i="9"/>
  <c r="Z447" i="9"/>
  <c r="Y447" i="9"/>
  <c r="X447" i="9"/>
  <c r="W447" i="9"/>
  <c r="V447" i="9"/>
  <c r="U447" i="9"/>
  <c r="T447" i="9"/>
  <c r="S447" i="9"/>
  <c r="R447" i="9"/>
  <c r="Q447" i="9"/>
  <c r="P447" i="9"/>
  <c r="O447" i="9"/>
  <c r="N447" i="9"/>
  <c r="M447" i="9"/>
  <c r="L447" i="9"/>
  <c r="K447" i="9"/>
  <c r="J447" i="9"/>
  <c r="I447" i="9"/>
  <c r="H447" i="9"/>
  <c r="G447" i="9"/>
  <c r="F447" i="9"/>
  <c r="E447" i="9"/>
  <c r="D447" i="9"/>
  <c r="AT446" i="9"/>
  <c r="AJ446" i="9" s="1"/>
  <c r="AQ446" i="9"/>
  <c r="AG446" i="9"/>
  <c r="AF446" i="9"/>
  <c r="AE446" i="9"/>
  <c r="AD446" i="9"/>
  <c r="AC446" i="9"/>
  <c r="AB446" i="9"/>
  <c r="AA446" i="9"/>
  <c r="Z446" i="9"/>
  <c r="Y446" i="9"/>
  <c r="X446" i="9"/>
  <c r="W446" i="9"/>
  <c r="V446" i="9"/>
  <c r="U446" i="9"/>
  <c r="T446" i="9"/>
  <c r="S446" i="9"/>
  <c r="R446" i="9"/>
  <c r="Q446" i="9"/>
  <c r="P446" i="9"/>
  <c r="O446" i="9"/>
  <c r="N446" i="9"/>
  <c r="M446" i="9"/>
  <c r="L446" i="9"/>
  <c r="K446" i="9"/>
  <c r="J446" i="9"/>
  <c r="I446" i="9"/>
  <c r="H446" i="9"/>
  <c r="G446" i="9"/>
  <c r="F446" i="9"/>
  <c r="E446" i="9"/>
  <c r="D446" i="9"/>
  <c r="AY445" i="9"/>
  <c r="AO445" i="9" s="1"/>
  <c r="AW445" i="9"/>
  <c r="AV445" i="9"/>
  <c r="AL445" i="9" s="1"/>
  <c r="AU445" i="9"/>
  <c r="AK445" i="9" s="1"/>
  <c r="AT445" i="9"/>
  <c r="AI445" i="9" s="1"/>
  <c r="AR445" i="9"/>
  <c r="AS445" i="9" s="1"/>
  <c r="AQ445" i="9"/>
  <c r="AX445" i="9" s="1"/>
  <c r="AN445" i="9"/>
  <c r="AM445" i="9"/>
  <c r="AJ445" i="9"/>
  <c r="AG445" i="9"/>
  <c r="AF445" i="9"/>
  <c r="AE445" i="9"/>
  <c r="AD445" i="9"/>
  <c r="AC445" i="9"/>
  <c r="AB445" i="9"/>
  <c r="AA445" i="9"/>
  <c r="Z445" i="9"/>
  <c r="Y445" i="9"/>
  <c r="X445" i="9"/>
  <c r="W445" i="9"/>
  <c r="V445" i="9"/>
  <c r="U445" i="9"/>
  <c r="T445" i="9"/>
  <c r="S445" i="9"/>
  <c r="R445" i="9"/>
  <c r="Q445" i="9"/>
  <c r="P445" i="9"/>
  <c r="O445" i="9"/>
  <c r="N445" i="9"/>
  <c r="M445" i="9"/>
  <c r="L445" i="9"/>
  <c r="K445" i="9"/>
  <c r="J445" i="9"/>
  <c r="I445" i="9"/>
  <c r="H445" i="9"/>
  <c r="G445" i="9"/>
  <c r="F445" i="9"/>
  <c r="E445" i="9"/>
  <c r="D445" i="9"/>
  <c r="AY444" i="9"/>
  <c r="AX444" i="9"/>
  <c r="AN444" i="9" s="1"/>
  <c r="AW444" i="9"/>
  <c r="AM444" i="9" s="1"/>
  <c r="AV444" i="9"/>
  <c r="AU444" i="9"/>
  <c r="AK444" i="9" s="1"/>
  <c r="AT444" i="9"/>
  <c r="AS444" i="9"/>
  <c r="AR444" i="9"/>
  <c r="AQ444" i="9"/>
  <c r="AO444" i="9"/>
  <c r="AL444" i="9"/>
  <c r="AG444" i="9"/>
  <c r="AF444" i="9"/>
  <c r="AE444" i="9"/>
  <c r="AD444" i="9"/>
  <c r="AC444" i="9"/>
  <c r="AB444" i="9"/>
  <c r="AA444" i="9"/>
  <c r="Z444" i="9"/>
  <c r="Y444" i="9"/>
  <c r="X444" i="9"/>
  <c r="W444" i="9"/>
  <c r="V444" i="9"/>
  <c r="U444" i="9"/>
  <c r="T444" i="9"/>
  <c r="S444" i="9"/>
  <c r="R444" i="9"/>
  <c r="Q444" i="9"/>
  <c r="P444" i="9"/>
  <c r="O444" i="9"/>
  <c r="N444" i="9"/>
  <c r="M444" i="9"/>
  <c r="L444" i="9"/>
  <c r="K444" i="9"/>
  <c r="J444" i="9"/>
  <c r="I444" i="9"/>
  <c r="H444" i="9"/>
  <c r="G444" i="9"/>
  <c r="F444" i="9"/>
  <c r="E444" i="9"/>
  <c r="D444" i="9"/>
  <c r="AY443" i="9"/>
  <c r="AO443" i="9" s="1"/>
  <c r="AX443" i="9"/>
  <c r="AN443" i="9" s="1"/>
  <c r="AU443" i="9"/>
  <c r="AK443" i="9" s="1"/>
  <c r="AR443" i="9"/>
  <c r="AS443" i="9" s="1"/>
  <c r="AQ443" i="9"/>
  <c r="AT443" i="9" s="1"/>
  <c r="AH443" i="9" s="1"/>
  <c r="AG443" i="9"/>
  <c r="AF443" i="9"/>
  <c r="AE443" i="9"/>
  <c r="AD443" i="9"/>
  <c r="AC443" i="9"/>
  <c r="AB443" i="9"/>
  <c r="AA443" i="9"/>
  <c r="Z443" i="9"/>
  <c r="Y443" i="9"/>
  <c r="X443" i="9"/>
  <c r="W443" i="9"/>
  <c r="V443" i="9"/>
  <c r="U443" i="9"/>
  <c r="T443" i="9"/>
  <c r="S443" i="9"/>
  <c r="R443" i="9"/>
  <c r="Q443" i="9"/>
  <c r="P443" i="9"/>
  <c r="O443" i="9"/>
  <c r="N443" i="9"/>
  <c r="M443" i="9"/>
  <c r="L443" i="9"/>
  <c r="K443" i="9"/>
  <c r="J443" i="9"/>
  <c r="I443" i="9"/>
  <c r="H443" i="9"/>
  <c r="G443" i="9"/>
  <c r="F443" i="9"/>
  <c r="E443" i="9"/>
  <c r="D443" i="9"/>
  <c r="AW442" i="9"/>
  <c r="AM442" i="9" s="1"/>
  <c r="AQ442" i="9"/>
  <c r="AY442" i="9" s="1"/>
  <c r="AO442" i="9"/>
  <c r="AG442" i="9"/>
  <c r="AF442" i="9"/>
  <c r="AE442" i="9"/>
  <c r="AD442" i="9"/>
  <c r="AC442" i="9"/>
  <c r="AB442" i="9"/>
  <c r="AA442" i="9"/>
  <c r="Z442" i="9"/>
  <c r="Y442" i="9"/>
  <c r="X442" i="9"/>
  <c r="W442" i="9"/>
  <c r="V442" i="9"/>
  <c r="U442" i="9"/>
  <c r="T442" i="9"/>
  <c r="S442" i="9"/>
  <c r="R442" i="9"/>
  <c r="Q442" i="9"/>
  <c r="P442" i="9"/>
  <c r="O442" i="9"/>
  <c r="N442" i="9"/>
  <c r="M442" i="9"/>
  <c r="L442" i="9"/>
  <c r="K442" i="9"/>
  <c r="J442" i="9"/>
  <c r="I442" i="9"/>
  <c r="H442" i="9"/>
  <c r="G442" i="9"/>
  <c r="F442" i="9"/>
  <c r="E442" i="9"/>
  <c r="D442" i="9"/>
  <c r="AT441" i="9"/>
  <c r="AQ441" i="9"/>
  <c r="AG441" i="9"/>
  <c r="AF441" i="9"/>
  <c r="AE441" i="9"/>
  <c r="AD441" i="9"/>
  <c r="AC441" i="9"/>
  <c r="AB441" i="9"/>
  <c r="AA441" i="9"/>
  <c r="Z441" i="9"/>
  <c r="Y441" i="9"/>
  <c r="X441" i="9"/>
  <c r="W441" i="9"/>
  <c r="V441" i="9"/>
  <c r="U441" i="9"/>
  <c r="T441" i="9"/>
  <c r="S441" i="9"/>
  <c r="R441" i="9"/>
  <c r="Q441" i="9"/>
  <c r="P441" i="9"/>
  <c r="O441" i="9"/>
  <c r="N441" i="9"/>
  <c r="M441" i="9"/>
  <c r="L441" i="9"/>
  <c r="K441" i="9"/>
  <c r="J441" i="9"/>
  <c r="I441" i="9"/>
  <c r="H441" i="9"/>
  <c r="G441" i="9"/>
  <c r="F441" i="9"/>
  <c r="E441" i="9"/>
  <c r="D441" i="9"/>
  <c r="AY440" i="9"/>
  <c r="AO440" i="9" s="1"/>
  <c r="AV440" i="9"/>
  <c r="AL440" i="9" s="1"/>
  <c r="AS440" i="9"/>
  <c r="AR440" i="9"/>
  <c r="AQ440" i="9"/>
  <c r="AU440" i="9" s="1"/>
  <c r="AK440" i="9" s="1"/>
  <c r="AG440" i="9"/>
  <c r="AF440" i="9"/>
  <c r="AE440" i="9"/>
  <c r="AD440" i="9"/>
  <c r="AC440" i="9"/>
  <c r="AB440" i="9"/>
  <c r="AA440" i="9"/>
  <c r="Z440" i="9"/>
  <c r="Y440" i="9"/>
  <c r="X440" i="9"/>
  <c r="W440" i="9"/>
  <c r="V440" i="9"/>
  <c r="U440" i="9"/>
  <c r="T440" i="9"/>
  <c r="S440" i="9"/>
  <c r="R440" i="9"/>
  <c r="Q440" i="9"/>
  <c r="P440" i="9"/>
  <c r="O440" i="9"/>
  <c r="N440" i="9"/>
  <c r="M440" i="9"/>
  <c r="L440" i="9"/>
  <c r="K440" i="9"/>
  <c r="J440" i="9"/>
  <c r="I440" i="9"/>
  <c r="H440" i="9"/>
  <c r="G440" i="9"/>
  <c r="F440" i="9"/>
  <c r="E440" i="9"/>
  <c r="D440" i="9"/>
  <c r="AQ439" i="9"/>
  <c r="AG439" i="9"/>
  <c r="AF439" i="9"/>
  <c r="AE439" i="9"/>
  <c r="AD439" i="9"/>
  <c r="AC439" i="9"/>
  <c r="AB439" i="9"/>
  <c r="AA439" i="9"/>
  <c r="Z439" i="9"/>
  <c r="Y439" i="9"/>
  <c r="X439" i="9"/>
  <c r="W439" i="9"/>
  <c r="V439" i="9"/>
  <c r="U439" i="9"/>
  <c r="T439" i="9"/>
  <c r="S439" i="9"/>
  <c r="R439" i="9"/>
  <c r="Q439" i="9"/>
  <c r="P439" i="9"/>
  <c r="O439" i="9"/>
  <c r="N439" i="9"/>
  <c r="M439" i="9"/>
  <c r="L439" i="9"/>
  <c r="K439" i="9"/>
  <c r="J439" i="9"/>
  <c r="I439" i="9"/>
  <c r="H439" i="9"/>
  <c r="G439" i="9"/>
  <c r="F439" i="9"/>
  <c r="E439" i="9"/>
  <c r="D439" i="9"/>
  <c r="AY438" i="9"/>
  <c r="AO438" i="9" s="1"/>
  <c r="AX438" i="9"/>
  <c r="AW438" i="9"/>
  <c r="AM438" i="9" s="1"/>
  <c r="AV438" i="9"/>
  <c r="AL438" i="9" s="1"/>
  <c r="AU438" i="9"/>
  <c r="AK438" i="9" s="1"/>
  <c r="AT438" i="9"/>
  <c r="AI438" i="9" s="1"/>
  <c r="AR438" i="9"/>
  <c r="AS438" i="9" s="1"/>
  <c r="AQ438" i="9"/>
  <c r="AN438" i="9"/>
  <c r="AJ438" i="9"/>
  <c r="AH438" i="9"/>
  <c r="AG438" i="9"/>
  <c r="AF438" i="9"/>
  <c r="AE438" i="9"/>
  <c r="AD438" i="9"/>
  <c r="AC438" i="9"/>
  <c r="AB438" i="9"/>
  <c r="AA438" i="9"/>
  <c r="Z438" i="9"/>
  <c r="Y438" i="9"/>
  <c r="X438" i="9"/>
  <c r="W438" i="9"/>
  <c r="V438" i="9"/>
  <c r="U438" i="9"/>
  <c r="T438" i="9"/>
  <c r="S438" i="9"/>
  <c r="R438" i="9"/>
  <c r="Q438" i="9"/>
  <c r="P438" i="9"/>
  <c r="O438" i="9"/>
  <c r="N438" i="9"/>
  <c r="M438" i="9"/>
  <c r="L438" i="9"/>
  <c r="K438" i="9"/>
  <c r="J438" i="9"/>
  <c r="I438" i="9"/>
  <c r="H438" i="9"/>
  <c r="G438" i="9"/>
  <c r="F438" i="9"/>
  <c r="E438" i="9"/>
  <c r="D438" i="9"/>
  <c r="AW437" i="9"/>
  <c r="AM437" i="9" s="1"/>
  <c r="AT437" i="9"/>
  <c r="AQ437" i="9"/>
  <c r="AV437" i="9" s="1"/>
  <c r="AL437" i="9" s="1"/>
  <c r="AH437" i="9"/>
  <c r="AG437" i="9"/>
  <c r="AF437" i="9"/>
  <c r="AE437" i="9"/>
  <c r="AD437" i="9"/>
  <c r="AC437" i="9"/>
  <c r="AB437" i="9"/>
  <c r="AA437" i="9"/>
  <c r="Z437" i="9"/>
  <c r="Y437" i="9"/>
  <c r="X437" i="9"/>
  <c r="W437" i="9"/>
  <c r="V437" i="9"/>
  <c r="U437" i="9"/>
  <c r="T437" i="9"/>
  <c r="S437" i="9"/>
  <c r="R437" i="9"/>
  <c r="Q437" i="9"/>
  <c r="P437" i="9"/>
  <c r="O437" i="9"/>
  <c r="N437" i="9"/>
  <c r="M437" i="9"/>
  <c r="L437" i="9"/>
  <c r="K437" i="9"/>
  <c r="J437" i="9"/>
  <c r="I437" i="9"/>
  <c r="H437" i="9"/>
  <c r="G437" i="9"/>
  <c r="F437" i="9"/>
  <c r="E437" i="9"/>
  <c r="D437" i="9"/>
  <c r="AQ436" i="9"/>
  <c r="AG436" i="9"/>
  <c r="AF436" i="9"/>
  <c r="AE436" i="9"/>
  <c r="AD436" i="9"/>
  <c r="AC436" i="9"/>
  <c r="AB436" i="9"/>
  <c r="AA436" i="9"/>
  <c r="Z436" i="9"/>
  <c r="Y436" i="9"/>
  <c r="X436" i="9"/>
  <c r="W436" i="9"/>
  <c r="V436" i="9"/>
  <c r="U436" i="9"/>
  <c r="T436" i="9"/>
  <c r="S436" i="9"/>
  <c r="R436" i="9"/>
  <c r="Q436" i="9"/>
  <c r="P436" i="9"/>
  <c r="O436" i="9"/>
  <c r="N436" i="9"/>
  <c r="M436" i="9"/>
  <c r="L436" i="9"/>
  <c r="K436" i="9"/>
  <c r="J436" i="9"/>
  <c r="I436" i="9"/>
  <c r="H436" i="9"/>
  <c r="G436" i="9"/>
  <c r="F436" i="9"/>
  <c r="E436" i="9"/>
  <c r="D436" i="9"/>
  <c r="AX435" i="9"/>
  <c r="AN435" i="9" s="1"/>
  <c r="AW435" i="9"/>
  <c r="AM435" i="9" s="1"/>
  <c r="AV435" i="9"/>
  <c r="AL435" i="9" s="1"/>
  <c r="AU435" i="9"/>
  <c r="AS435" i="9"/>
  <c r="AQ435" i="9"/>
  <c r="AR435" i="9" s="1"/>
  <c r="AK435" i="9"/>
  <c r="AG435" i="9"/>
  <c r="AF435" i="9"/>
  <c r="AE435" i="9"/>
  <c r="AD435" i="9"/>
  <c r="AC435" i="9"/>
  <c r="AB435" i="9"/>
  <c r="AA435" i="9"/>
  <c r="Z435" i="9"/>
  <c r="Y435" i="9"/>
  <c r="X435" i="9"/>
  <c r="W435" i="9"/>
  <c r="V435" i="9"/>
  <c r="U435" i="9"/>
  <c r="T435" i="9"/>
  <c r="S435" i="9"/>
  <c r="R435" i="9"/>
  <c r="Q435" i="9"/>
  <c r="P435" i="9"/>
  <c r="O435" i="9"/>
  <c r="N435" i="9"/>
  <c r="M435" i="9"/>
  <c r="L435" i="9"/>
  <c r="K435" i="9"/>
  <c r="J435" i="9"/>
  <c r="I435" i="9"/>
  <c r="H435" i="9"/>
  <c r="G435" i="9"/>
  <c r="F435" i="9"/>
  <c r="E435" i="9"/>
  <c r="D435" i="9"/>
  <c r="AX434" i="9"/>
  <c r="AU434" i="9"/>
  <c r="AK434" i="9" s="1"/>
  <c r="AQ434" i="9"/>
  <c r="AW434" i="9" s="1"/>
  <c r="AN434" i="9"/>
  <c r="AM434" i="9"/>
  <c r="AG434" i="9"/>
  <c r="AF434" i="9"/>
  <c r="AE434" i="9"/>
  <c r="AD434" i="9"/>
  <c r="AC434" i="9"/>
  <c r="AB434" i="9"/>
  <c r="AA434" i="9"/>
  <c r="Z434" i="9"/>
  <c r="Y434" i="9"/>
  <c r="X434" i="9"/>
  <c r="W434" i="9"/>
  <c r="V434" i="9"/>
  <c r="U434" i="9"/>
  <c r="T434" i="9"/>
  <c r="S434" i="9"/>
  <c r="R434" i="9"/>
  <c r="Q434" i="9"/>
  <c r="P434" i="9"/>
  <c r="O434" i="9"/>
  <c r="N434" i="9"/>
  <c r="M434" i="9"/>
  <c r="L434" i="9"/>
  <c r="K434" i="9"/>
  <c r="J434" i="9"/>
  <c r="I434" i="9"/>
  <c r="H434" i="9"/>
  <c r="G434" i="9"/>
  <c r="F434" i="9"/>
  <c r="E434" i="9"/>
  <c r="D434" i="9"/>
  <c r="AY433" i="9"/>
  <c r="AO433" i="9" s="1"/>
  <c r="AX433" i="9"/>
  <c r="AW433" i="9"/>
  <c r="AM433" i="9" s="1"/>
  <c r="AV433" i="9"/>
  <c r="AL433" i="9" s="1"/>
  <c r="AT433" i="9"/>
  <c r="AR433" i="9"/>
  <c r="AS433" i="9" s="1"/>
  <c r="AQ433" i="9"/>
  <c r="AU433" i="9" s="1"/>
  <c r="AN433" i="9"/>
  <c r="AK433" i="9"/>
  <c r="AG433" i="9"/>
  <c r="AF433" i="9"/>
  <c r="AE433" i="9"/>
  <c r="AD433" i="9"/>
  <c r="AC433" i="9"/>
  <c r="AB433" i="9"/>
  <c r="AA433" i="9"/>
  <c r="Z433" i="9"/>
  <c r="Y433" i="9"/>
  <c r="X433" i="9"/>
  <c r="W433" i="9"/>
  <c r="V433" i="9"/>
  <c r="U433" i="9"/>
  <c r="T433" i="9"/>
  <c r="S433" i="9"/>
  <c r="R433" i="9"/>
  <c r="Q433" i="9"/>
  <c r="P433" i="9"/>
  <c r="O433" i="9"/>
  <c r="N433" i="9"/>
  <c r="M433" i="9"/>
  <c r="L433" i="9"/>
  <c r="K433" i="9"/>
  <c r="J433" i="9"/>
  <c r="I433" i="9"/>
  <c r="H433" i="9"/>
  <c r="G433" i="9"/>
  <c r="F433" i="9"/>
  <c r="E433" i="9"/>
  <c r="D433" i="9"/>
  <c r="AQ432" i="9"/>
  <c r="AG432" i="9"/>
  <c r="AF432" i="9"/>
  <c r="AE432" i="9"/>
  <c r="AD432" i="9"/>
  <c r="AC432" i="9"/>
  <c r="AB432" i="9"/>
  <c r="AA432" i="9"/>
  <c r="Z432" i="9"/>
  <c r="Y432" i="9"/>
  <c r="X432" i="9"/>
  <c r="W432" i="9"/>
  <c r="V432" i="9"/>
  <c r="U432" i="9"/>
  <c r="T432" i="9"/>
  <c r="S432" i="9"/>
  <c r="R432" i="9"/>
  <c r="Q432" i="9"/>
  <c r="P432" i="9"/>
  <c r="O432" i="9"/>
  <c r="N432" i="9"/>
  <c r="M432" i="9"/>
  <c r="L432" i="9"/>
  <c r="K432" i="9"/>
  <c r="J432" i="9"/>
  <c r="I432" i="9"/>
  <c r="H432" i="9"/>
  <c r="G432" i="9"/>
  <c r="F432" i="9"/>
  <c r="E432" i="9"/>
  <c r="D432" i="9"/>
  <c r="AY431" i="9"/>
  <c r="AO431" i="9" s="1"/>
  <c r="AW431" i="9"/>
  <c r="AV431" i="9"/>
  <c r="AL431" i="9" s="1"/>
  <c r="AU431" i="9"/>
  <c r="AK431" i="9" s="1"/>
  <c r="AT431" i="9"/>
  <c r="AI431" i="9" s="1"/>
  <c r="AR431" i="9"/>
  <c r="AS431" i="9" s="1"/>
  <c r="AQ431" i="9"/>
  <c r="AX431" i="9" s="1"/>
  <c r="AN431" i="9"/>
  <c r="AM431" i="9"/>
  <c r="AJ431" i="9"/>
  <c r="AG431" i="9"/>
  <c r="AF431" i="9"/>
  <c r="AE431" i="9"/>
  <c r="AD431" i="9"/>
  <c r="AC431" i="9"/>
  <c r="AB431" i="9"/>
  <c r="AA431" i="9"/>
  <c r="Z431" i="9"/>
  <c r="Y431" i="9"/>
  <c r="X431" i="9"/>
  <c r="W431" i="9"/>
  <c r="V431" i="9"/>
  <c r="U431" i="9"/>
  <c r="T431" i="9"/>
  <c r="S431" i="9"/>
  <c r="R431" i="9"/>
  <c r="Q431" i="9"/>
  <c r="P431" i="9"/>
  <c r="O431" i="9"/>
  <c r="N431" i="9"/>
  <c r="M431" i="9"/>
  <c r="L431" i="9"/>
  <c r="K431" i="9"/>
  <c r="J431" i="9"/>
  <c r="I431" i="9"/>
  <c r="H431" i="9"/>
  <c r="G431" i="9"/>
  <c r="F431" i="9"/>
  <c r="E431" i="9"/>
  <c r="D431" i="9"/>
  <c r="AY430" i="9"/>
  <c r="AX430" i="9"/>
  <c r="AN430" i="9" s="1"/>
  <c r="AW430" i="9"/>
  <c r="AM430" i="9" s="1"/>
  <c r="AV430" i="9"/>
  <c r="AU430" i="9"/>
  <c r="AK430" i="9" s="1"/>
  <c r="AT430" i="9"/>
  <c r="AS430" i="9"/>
  <c r="AR430" i="9"/>
  <c r="AQ430" i="9"/>
  <c r="AO430" i="9"/>
  <c r="AL430" i="9"/>
  <c r="AG430" i="9"/>
  <c r="AF430" i="9"/>
  <c r="AE430" i="9"/>
  <c r="AD430" i="9"/>
  <c r="AC430" i="9"/>
  <c r="AB430" i="9"/>
  <c r="AA430" i="9"/>
  <c r="Z430" i="9"/>
  <c r="Y430" i="9"/>
  <c r="X430" i="9"/>
  <c r="W430" i="9"/>
  <c r="V430" i="9"/>
  <c r="U430" i="9"/>
  <c r="T430" i="9"/>
  <c r="S430" i="9"/>
  <c r="R430" i="9"/>
  <c r="Q430" i="9"/>
  <c r="P430" i="9"/>
  <c r="O430" i="9"/>
  <c r="N430" i="9"/>
  <c r="M430" i="9"/>
  <c r="L430" i="9"/>
  <c r="K430" i="9"/>
  <c r="J430" i="9"/>
  <c r="I430" i="9"/>
  <c r="H430" i="9"/>
  <c r="G430" i="9"/>
  <c r="F430" i="9"/>
  <c r="E430" i="9"/>
  <c r="D430" i="9"/>
  <c r="AY429" i="9"/>
  <c r="AO429" i="9" s="1"/>
  <c r="AX429" i="9"/>
  <c r="AN429" i="9" s="1"/>
  <c r="AU429" i="9"/>
  <c r="AK429" i="9" s="1"/>
  <c r="AR429" i="9"/>
  <c r="AS429" i="9" s="1"/>
  <c r="AQ429" i="9"/>
  <c r="AT429" i="9" s="1"/>
  <c r="AH429" i="9" s="1"/>
  <c r="AI429" i="9"/>
  <c r="AG429" i="9"/>
  <c r="AF429" i="9"/>
  <c r="AE429" i="9"/>
  <c r="AD429" i="9"/>
  <c r="AC429" i="9"/>
  <c r="AB429" i="9"/>
  <c r="AA429" i="9"/>
  <c r="Z429" i="9"/>
  <c r="Y429" i="9"/>
  <c r="X429" i="9"/>
  <c r="W429" i="9"/>
  <c r="V429" i="9"/>
  <c r="U429" i="9"/>
  <c r="T429" i="9"/>
  <c r="S429" i="9"/>
  <c r="R429" i="9"/>
  <c r="Q429" i="9"/>
  <c r="P429" i="9"/>
  <c r="O429" i="9"/>
  <c r="N429" i="9"/>
  <c r="M429" i="9"/>
  <c r="L429" i="9"/>
  <c r="K429" i="9"/>
  <c r="J429" i="9"/>
  <c r="I429" i="9"/>
  <c r="H429" i="9"/>
  <c r="G429" i="9"/>
  <c r="F429" i="9"/>
  <c r="E429" i="9"/>
  <c r="D429" i="9"/>
  <c r="AQ428" i="9"/>
  <c r="AG428" i="9"/>
  <c r="AF428" i="9"/>
  <c r="AE428" i="9"/>
  <c r="AD428" i="9"/>
  <c r="AC428" i="9"/>
  <c r="AB428" i="9"/>
  <c r="AA428" i="9"/>
  <c r="Z428" i="9"/>
  <c r="Y428" i="9"/>
  <c r="X428" i="9"/>
  <c r="W428" i="9"/>
  <c r="V428" i="9"/>
  <c r="U428" i="9"/>
  <c r="T428" i="9"/>
  <c r="S428" i="9"/>
  <c r="R428" i="9"/>
  <c r="Q428" i="9"/>
  <c r="P428" i="9"/>
  <c r="O428" i="9"/>
  <c r="N428" i="9"/>
  <c r="M428" i="9"/>
  <c r="L428" i="9"/>
  <c r="K428" i="9"/>
  <c r="J428" i="9"/>
  <c r="I428" i="9"/>
  <c r="H428" i="9"/>
  <c r="G428" i="9"/>
  <c r="F428" i="9"/>
  <c r="E428" i="9"/>
  <c r="D428" i="9"/>
  <c r="AX427" i="9"/>
  <c r="AN427" i="9" s="1"/>
  <c r="AU427" i="9"/>
  <c r="AK427" i="9" s="1"/>
  <c r="AT427" i="9"/>
  <c r="AQ427" i="9"/>
  <c r="AI427" i="9"/>
  <c r="AG427" i="9"/>
  <c r="AF427" i="9"/>
  <c r="AE427" i="9"/>
  <c r="AD427" i="9"/>
  <c r="AC427" i="9"/>
  <c r="AB427" i="9"/>
  <c r="AA427" i="9"/>
  <c r="Z427" i="9"/>
  <c r="Y427" i="9"/>
  <c r="X427" i="9"/>
  <c r="W427" i="9"/>
  <c r="V427" i="9"/>
  <c r="U427" i="9"/>
  <c r="T427" i="9"/>
  <c r="S427" i="9"/>
  <c r="R427" i="9"/>
  <c r="Q427" i="9"/>
  <c r="P427" i="9"/>
  <c r="O427" i="9"/>
  <c r="N427" i="9"/>
  <c r="M427" i="9"/>
  <c r="L427" i="9"/>
  <c r="K427" i="9"/>
  <c r="J427" i="9"/>
  <c r="I427" i="9"/>
  <c r="H427" i="9"/>
  <c r="G427" i="9"/>
  <c r="F427" i="9"/>
  <c r="E427" i="9"/>
  <c r="D427" i="9"/>
  <c r="AY426" i="9"/>
  <c r="AO426" i="9" s="1"/>
  <c r="AV426" i="9"/>
  <c r="AS426" i="9"/>
  <c r="AR426" i="9"/>
  <c r="AQ426" i="9"/>
  <c r="AU426" i="9" s="1"/>
  <c r="AL426" i="9"/>
  <c r="AK426" i="9"/>
  <c r="AG426" i="9"/>
  <c r="AF426" i="9"/>
  <c r="AE426" i="9"/>
  <c r="AD426" i="9"/>
  <c r="AC426" i="9"/>
  <c r="AB426" i="9"/>
  <c r="AA426" i="9"/>
  <c r="Z426" i="9"/>
  <c r="Y426" i="9"/>
  <c r="X426" i="9"/>
  <c r="W426" i="9"/>
  <c r="V426" i="9"/>
  <c r="U426" i="9"/>
  <c r="T426" i="9"/>
  <c r="S426" i="9"/>
  <c r="R426" i="9"/>
  <c r="Q426" i="9"/>
  <c r="P426" i="9"/>
  <c r="O426" i="9"/>
  <c r="N426" i="9"/>
  <c r="M426" i="9"/>
  <c r="L426" i="9"/>
  <c r="K426" i="9"/>
  <c r="J426" i="9"/>
  <c r="I426" i="9"/>
  <c r="H426" i="9"/>
  <c r="G426" i="9"/>
  <c r="F426" i="9"/>
  <c r="E426" i="9"/>
  <c r="D426" i="9"/>
  <c r="AX425" i="9"/>
  <c r="AN425" i="9" s="1"/>
  <c r="AT425" i="9"/>
  <c r="AQ425" i="9"/>
  <c r="AG425" i="9"/>
  <c r="AF425" i="9"/>
  <c r="AE425" i="9"/>
  <c r="AD425" i="9"/>
  <c r="AC425" i="9"/>
  <c r="AB425" i="9"/>
  <c r="AA425" i="9"/>
  <c r="Z425" i="9"/>
  <c r="Y425" i="9"/>
  <c r="X425" i="9"/>
  <c r="W425" i="9"/>
  <c r="V425" i="9"/>
  <c r="U425" i="9"/>
  <c r="T425" i="9"/>
  <c r="S425" i="9"/>
  <c r="R425" i="9"/>
  <c r="Q425" i="9"/>
  <c r="P425" i="9"/>
  <c r="O425" i="9"/>
  <c r="N425" i="9"/>
  <c r="M425" i="9"/>
  <c r="L425" i="9"/>
  <c r="K425" i="9"/>
  <c r="J425" i="9"/>
  <c r="I425" i="9"/>
  <c r="H425" i="9"/>
  <c r="G425" i="9"/>
  <c r="F425" i="9"/>
  <c r="E425" i="9"/>
  <c r="D425" i="9"/>
  <c r="AY424" i="9"/>
  <c r="AO424" i="9" s="1"/>
  <c r="AX424" i="9"/>
  <c r="AW424" i="9"/>
  <c r="AM424" i="9" s="1"/>
  <c r="AV424" i="9"/>
  <c r="AL424" i="9" s="1"/>
  <c r="AU424" i="9"/>
  <c r="AK424" i="9" s="1"/>
  <c r="AT424" i="9"/>
  <c r="AI424" i="9" s="1"/>
  <c r="AR424" i="9"/>
  <c r="AS424" i="9" s="1"/>
  <c r="AQ424" i="9"/>
  <c r="AN424" i="9"/>
  <c r="AJ424" i="9"/>
  <c r="AH424" i="9"/>
  <c r="AG424" i="9"/>
  <c r="AF424" i="9"/>
  <c r="AE424" i="9"/>
  <c r="AD424" i="9"/>
  <c r="AC424" i="9"/>
  <c r="AB424" i="9"/>
  <c r="AA424" i="9"/>
  <c r="Z424" i="9"/>
  <c r="Y424" i="9"/>
  <c r="X424" i="9"/>
  <c r="W424" i="9"/>
  <c r="V424" i="9"/>
  <c r="U424" i="9"/>
  <c r="T424" i="9"/>
  <c r="S424" i="9"/>
  <c r="R424" i="9"/>
  <c r="Q424" i="9"/>
  <c r="P424" i="9"/>
  <c r="O424" i="9"/>
  <c r="N424" i="9"/>
  <c r="M424" i="9"/>
  <c r="L424" i="9"/>
  <c r="K424" i="9"/>
  <c r="J424" i="9"/>
  <c r="I424" i="9"/>
  <c r="H424" i="9"/>
  <c r="G424" i="9"/>
  <c r="F424" i="9"/>
  <c r="E424" i="9"/>
  <c r="D424" i="9"/>
  <c r="AW423" i="9"/>
  <c r="AM423" i="9" s="1"/>
  <c r="AT423" i="9"/>
  <c r="AQ423" i="9"/>
  <c r="AV423" i="9" s="1"/>
  <c r="AL423" i="9"/>
  <c r="AH423" i="9"/>
  <c r="AG423" i="9"/>
  <c r="AF423" i="9"/>
  <c r="AE423" i="9"/>
  <c r="AD423" i="9"/>
  <c r="AC423" i="9"/>
  <c r="AB423" i="9"/>
  <c r="AA423" i="9"/>
  <c r="Z423" i="9"/>
  <c r="Y423" i="9"/>
  <c r="X423" i="9"/>
  <c r="W423" i="9"/>
  <c r="V423" i="9"/>
  <c r="U423" i="9"/>
  <c r="T423" i="9"/>
  <c r="S423" i="9"/>
  <c r="R423" i="9"/>
  <c r="Q423" i="9"/>
  <c r="P423" i="9"/>
  <c r="O423" i="9"/>
  <c r="N423" i="9"/>
  <c r="M423" i="9"/>
  <c r="L423" i="9"/>
  <c r="K423" i="9"/>
  <c r="J423" i="9"/>
  <c r="I423" i="9"/>
  <c r="H423" i="9"/>
  <c r="G423" i="9"/>
  <c r="F423" i="9"/>
  <c r="E423" i="9"/>
  <c r="D423" i="9"/>
  <c r="AX422" i="9"/>
  <c r="AN422" i="9" s="1"/>
  <c r="AU422" i="9"/>
  <c r="AK422" i="9" s="1"/>
  <c r="AS422" i="9"/>
  <c r="AR422" i="9"/>
  <c r="AQ422" i="9"/>
  <c r="AG422" i="9"/>
  <c r="AF422" i="9"/>
  <c r="AE422" i="9"/>
  <c r="AD422" i="9"/>
  <c r="AC422" i="9"/>
  <c r="AB422" i="9"/>
  <c r="AA422" i="9"/>
  <c r="Z422" i="9"/>
  <c r="Y422" i="9"/>
  <c r="X422" i="9"/>
  <c r="W422" i="9"/>
  <c r="V422" i="9"/>
  <c r="U422" i="9"/>
  <c r="T422" i="9"/>
  <c r="S422" i="9"/>
  <c r="R422" i="9"/>
  <c r="Q422" i="9"/>
  <c r="P422" i="9"/>
  <c r="O422" i="9"/>
  <c r="N422" i="9"/>
  <c r="M422" i="9"/>
  <c r="L422" i="9"/>
  <c r="K422" i="9"/>
  <c r="J422" i="9"/>
  <c r="I422" i="9"/>
  <c r="H422" i="9"/>
  <c r="G422" i="9"/>
  <c r="F422" i="9"/>
  <c r="E422" i="9"/>
  <c r="D422" i="9"/>
  <c r="AX421" i="9"/>
  <c r="AN421" i="9" s="1"/>
  <c r="AW421" i="9"/>
  <c r="AM421" i="9" s="1"/>
  <c r="AV421" i="9"/>
  <c r="AL421" i="9" s="1"/>
  <c r="AU421" i="9"/>
  <c r="AS421" i="9"/>
  <c r="AQ421" i="9"/>
  <c r="AR421" i="9" s="1"/>
  <c r="AK421" i="9"/>
  <c r="AG421" i="9"/>
  <c r="AF421" i="9"/>
  <c r="AE421" i="9"/>
  <c r="AD421" i="9"/>
  <c r="AC421" i="9"/>
  <c r="AB421" i="9"/>
  <c r="AA421" i="9"/>
  <c r="Z421" i="9"/>
  <c r="Y421" i="9"/>
  <c r="X421" i="9"/>
  <c r="W421" i="9"/>
  <c r="V421" i="9"/>
  <c r="U421" i="9"/>
  <c r="T421" i="9"/>
  <c r="S421" i="9"/>
  <c r="R421" i="9"/>
  <c r="Q421" i="9"/>
  <c r="P421" i="9"/>
  <c r="O421" i="9"/>
  <c r="N421" i="9"/>
  <c r="M421" i="9"/>
  <c r="L421" i="9"/>
  <c r="K421" i="9"/>
  <c r="J421" i="9"/>
  <c r="I421" i="9"/>
  <c r="H421" i="9"/>
  <c r="G421" i="9"/>
  <c r="F421" i="9"/>
  <c r="E421" i="9"/>
  <c r="D421" i="9"/>
  <c r="AX420" i="9"/>
  <c r="AN420" i="9" s="1"/>
  <c r="AU420" i="9"/>
  <c r="AK420" i="9" s="1"/>
  <c r="AQ420" i="9"/>
  <c r="AG420" i="9"/>
  <c r="AF420" i="9"/>
  <c r="AE420" i="9"/>
  <c r="AD420" i="9"/>
  <c r="AC420" i="9"/>
  <c r="AB420" i="9"/>
  <c r="AA420" i="9"/>
  <c r="Z420" i="9"/>
  <c r="Y420" i="9"/>
  <c r="X420" i="9"/>
  <c r="W420" i="9"/>
  <c r="V420" i="9"/>
  <c r="U420" i="9"/>
  <c r="T420" i="9"/>
  <c r="S420" i="9"/>
  <c r="R420" i="9"/>
  <c r="Q420" i="9"/>
  <c r="P420" i="9"/>
  <c r="O420" i="9"/>
  <c r="N420" i="9"/>
  <c r="M420" i="9"/>
  <c r="L420" i="9"/>
  <c r="K420" i="9"/>
  <c r="J420" i="9"/>
  <c r="I420" i="9"/>
  <c r="H420" i="9"/>
  <c r="G420" i="9"/>
  <c r="F420" i="9"/>
  <c r="E420" i="9"/>
  <c r="D420" i="9"/>
  <c r="AY419" i="9"/>
  <c r="AO419" i="9" s="1"/>
  <c r="AX419" i="9"/>
  <c r="AW419" i="9"/>
  <c r="AM419" i="9" s="1"/>
  <c r="AV419" i="9"/>
  <c r="AL419" i="9" s="1"/>
  <c r="AT419" i="9"/>
  <c r="AS419" i="9"/>
  <c r="AR419" i="9"/>
  <c r="AQ419" i="9"/>
  <c r="AU419" i="9" s="1"/>
  <c r="AK419" i="9" s="1"/>
  <c r="AN419" i="9"/>
  <c r="AG419" i="9"/>
  <c r="AF419" i="9"/>
  <c r="AE419" i="9"/>
  <c r="AD419" i="9"/>
  <c r="AC419" i="9"/>
  <c r="AB419" i="9"/>
  <c r="AA419" i="9"/>
  <c r="Z419" i="9"/>
  <c r="Y419" i="9"/>
  <c r="X419" i="9"/>
  <c r="W419" i="9"/>
  <c r="V419" i="9"/>
  <c r="U419" i="9"/>
  <c r="T419" i="9"/>
  <c r="S419" i="9"/>
  <c r="R419" i="9"/>
  <c r="Q419" i="9"/>
  <c r="P419" i="9"/>
  <c r="O419" i="9"/>
  <c r="N419" i="9"/>
  <c r="M419" i="9"/>
  <c r="L419" i="9"/>
  <c r="K419" i="9"/>
  <c r="J419" i="9"/>
  <c r="I419" i="9"/>
  <c r="H419" i="9"/>
  <c r="G419" i="9"/>
  <c r="F419" i="9"/>
  <c r="E419" i="9"/>
  <c r="D419" i="9"/>
  <c r="AQ418" i="9"/>
  <c r="AG418" i="9"/>
  <c r="AF418" i="9"/>
  <c r="AE418" i="9"/>
  <c r="AD418" i="9"/>
  <c r="AC418" i="9"/>
  <c r="AB418" i="9"/>
  <c r="AA418" i="9"/>
  <c r="Z418" i="9"/>
  <c r="Y418" i="9"/>
  <c r="X418" i="9"/>
  <c r="W418" i="9"/>
  <c r="V418" i="9"/>
  <c r="U418" i="9"/>
  <c r="T418" i="9"/>
  <c r="S418" i="9"/>
  <c r="R418" i="9"/>
  <c r="Q418" i="9"/>
  <c r="P418" i="9"/>
  <c r="O418" i="9"/>
  <c r="N418" i="9"/>
  <c r="M418" i="9"/>
  <c r="L418" i="9"/>
  <c r="K418" i="9"/>
  <c r="J418" i="9"/>
  <c r="I418" i="9"/>
  <c r="H418" i="9"/>
  <c r="G418" i="9"/>
  <c r="F418" i="9"/>
  <c r="E418" i="9"/>
  <c r="D418" i="9"/>
  <c r="AY417" i="9"/>
  <c r="AW417" i="9"/>
  <c r="AV417" i="9"/>
  <c r="AL417" i="9" s="1"/>
  <c r="AU417" i="9"/>
  <c r="AK417" i="9" s="1"/>
  <c r="AT417" i="9"/>
  <c r="AI417" i="9" s="1"/>
  <c r="AR417" i="9"/>
  <c r="AS417" i="9" s="1"/>
  <c r="AQ417" i="9"/>
  <c r="AX417" i="9" s="1"/>
  <c r="AO417" i="9"/>
  <c r="AN417" i="9"/>
  <c r="AM417" i="9"/>
  <c r="AJ417" i="9"/>
  <c r="AG417" i="9"/>
  <c r="AF417" i="9"/>
  <c r="AE417" i="9"/>
  <c r="AD417" i="9"/>
  <c r="AC417" i="9"/>
  <c r="AB417" i="9"/>
  <c r="AA417" i="9"/>
  <c r="Z417" i="9"/>
  <c r="Y417" i="9"/>
  <c r="X417" i="9"/>
  <c r="W417" i="9"/>
  <c r="V417" i="9"/>
  <c r="U417" i="9"/>
  <c r="T417" i="9"/>
  <c r="S417" i="9"/>
  <c r="R417" i="9"/>
  <c r="Q417" i="9"/>
  <c r="P417" i="9"/>
  <c r="O417" i="9"/>
  <c r="N417" i="9"/>
  <c r="M417" i="9"/>
  <c r="L417" i="9"/>
  <c r="K417" i="9"/>
  <c r="J417" i="9"/>
  <c r="I417" i="9"/>
  <c r="H417" i="9"/>
  <c r="G417" i="9"/>
  <c r="F417" i="9"/>
  <c r="E417" i="9"/>
  <c r="D417" i="9"/>
  <c r="AY416" i="9"/>
  <c r="AX416" i="9"/>
  <c r="AN416" i="9" s="1"/>
  <c r="AW416" i="9"/>
  <c r="AM416" i="9" s="1"/>
  <c r="AV416" i="9"/>
  <c r="AU416" i="9"/>
  <c r="AK416" i="9" s="1"/>
  <c r="AT416" i="9"/>
  <c r="AS416" i="9"/>
  <c r="AR416" i="9"/>
  <c r="AQ416" i="9"/>
  <c r="AO416" i="9"/>
  <c r="AL416" i="9"/>
  <c r="AG416" i="9"/>
  <c r="AF416" i="9"/>
  <c r="AE416" i="9"/>
  <c r="AD416" i="9"/>
  <c r="AC416" i="9"/>
  <c r="AB416" i="9"/>
  <c r="AA416" i="9"/>
  <c r="Z416" i="9"/>
  <c r="Y416" i="9"/>
  <c r="X416" i="9"/>
  <c r="W416" i="9"/>
  <c r="V416" i="9"/>
  <c r="U416" i="9"/>
  <c r="T416" i="9"/>
  <c r="S416" i="9"/>
  <c r="R416" i="9"/>
  <c r="Q416" i="9"/>
  <c r="P416" i="9"/>
  <c r="O416" i="9"/>
  <c r="N416" i="9"/>
  <c r="M416" i="9"/>
  <c r="L416" i="9"/>
  <c r="K416" i="9"/>
  <c r="J416" i="9"/>
  <c r="I416" i="9"/>
  <c r="H416" i="9"/>
  <c r="G416" i="9"/>
  <c r="F416" i="9"/>
  <c r="E416" i="9"/>
  <c r="D416" i="9"/>
  <c r="AY415" i="9"/>
  <c r="AO415" i="9" s="1"/>
  <c r="AR415" i="9"/>
  <c r="AS415" i="9" s="1"/>
  <c r="AQ415" i="9"/>
  <c r="AG415" i="9"/>
  <c r="AF415" i="9"/>
  <c r="AE415" i="9"/>
  <c r="AD415" i="9"/>
  <c r="AC415" i="9"/>
  <c r="AB415" i="9"/>
  <c r="AA415" i="9"/>
  <c r="Z415" i="9"/>
  <c r="Y415" i="9"/>
  <c r="X415" i="9"/>
  <c r="W415" i="9"/>
  <c r="V415" i="9"/>
  <c r="U415" i="9"/>
  <c r="T415" i="9"/>
  <c r="S415" i="9"/>
  <c r="R415" i="9"/>
  <c r="Q415" i="9"/>
  <c r="P415" i="9"/>
  <c r="O415" i="9"/>
  <c r="N415" i="9"/>
  <c r="M415" i="9"/>
  <c r="L415" i="9"/>
  <c r="K415" i="9"/>
  <c r="J415" i="9"/>
  <c r="I415" i="9"/>
  <c r="H415" i="9"/>
  <c r="G415" i="9"/>
  <c r="F415" i="9"/>
  <c r="E415" i="9"/>
  <c r="D415" i="9"/>
  <c r="AQ414" i="9"/>
  <c r="AG414" i="9"/>
  <c r="AF414" i="9"/>
  <c r="AE414" i="9"/>
  <c r="AD414" i="9"/>
  <c r="AC414" i="9"/>
  <c r="AB414" i="9"/>
  <c r="AA414" i="9"/>
  <c r="Z414" i="9"/>
  <c r="Y414" i="9"/>
  <c r="X414" i="9"/>
  <c r="W414" i="9"/>
  <c r="V414" i="9"/>
  <c r="U414" i="9"/>
  <c r="T414" i="9"/>
  <c r="S414" i="9"/>
  <c r="R414" i="9"/>
  <c r="Q414" i="9"/>
  <c r="P414" i="9"/>
  <c r="O414" i="9"/>
  <c r="N414" i="9"/>
  <c r="M414" i="9"/>
  <c r="L414" i="9"/>
  <c r="K414" i="9"/>
  <c r="J414" i="9"/>
  <c r="I414" i="9"/>
  <c r="H414" i="9"/>
  <c r="G414" i="9"/>
  <c r="F414" i="9"/>
  <c r="E414" i="9"/>
  <c r="D414" i="9"/>
  <c r="AX413" i="9"/>
  <c r="AN413" i="9" s="1"/>
  <c r="AV413" i="9"/>
  <c r="AL413" i="9" s="1"/>
  <c r="AU413" i="9"/>
  <c r="AK413" i="9" s="1"/>
  <c r="AT413" i="9"/>
  <c r="AQ413" i="9"/>
  <c r="AG413" i="9"/>
  <c r="AF413" i="9"/>
  <c r="AE413" i="9"/>
  <c r="AD413" i="9"/>
  <c r="AC413" i="9"/>
  <c r="AB413" i="9"/>
  <c r="AA413" i="9"/>
  <c r="Z413" i="9"/>
  <c r="Y413" i="9"/>
  <c r="X413" i="9"/>
  <c r="W413" i="9"/>
  <c r="V413" i="9"/>
  <c r="U413" i="9"/>
  <c r="T413" i="9"/>
  <c r="S413" i="9"/>
  <c r="R413" i="9"/>
  <c r="Q413" i="9"/>
  <c r="P413" i="9"/>
  <c r="O413" i="9"/>
  <c r="N413" i="9"/>
  <c r="M413" i="9"/>
  <c r="L413" i="9"/>
  <c r="K413" i="9"/>
  <c r="J413" i="9"/>
  <c r="I413" i="9"/>
  <c r="H413" i="9"/>
  <c r="G413" i="9"/>
  <c r="F413" i="9"/>
  <c r="E413" i="9"/>
  <c r="D413" i="9"/>
  <c r="AY412" i="9"/>
  <c r="AO412" i="9" s="1"/>
  <c r="AV412" i="9"/>
  <c r="AL412" i="9" s="1"/>
  <c r="AR412" i="9"/>
  <c r="AS412" i="9" s="1"/>
  <c r="AQ412" i="9"/>
  <c r="AU412" i="9" s="1"/>
  <c r="AK412" i="9" s="1"/>
  <c r="AG412" i="9"/>
  <c r="AF412" i="9"/>
  <c r="AE412" i="9"/>
  <c r="AD412" i="9"/>
  <c r="AC412" i="9"/>
  <c r="AB412" i="9"/>
  <c r="AA412" i="9"/>
  <c r="Z412" i="9"/>
  <c r="Y412" i="9"/>
  <c r="X412" i="9"/>
  <c r="W412" i="9"/>
  <c r="V412" i="9"/>
  <c r="U412" i="9"/>
  <c r="T412" i="9"/>
  <c r="S412" i="9"/>
  <c r="R412" i="9"/>
  <c r="Q412" i="9"/>
  <c r="P412" i="9"/>
  <c r="O412" i="9"/>
  <c r="N412" i="9"/>
  <c r="M412" i="9"/>
  <c r="L412" i="9"/>
  <c r="K412" i="9"/>
  <c r="J412" i="9"/>
  <c r="I412" i="9"/>
  <c r="H412" i="9"/>
  <c r="G412" i="9"/>
  <c r="F412" i="9"/>
  <c r="E412" i="9"/>
  <c r="D412" i="9"/>
  <c r="AX411" i="9"/>
  <c r="AN411" i="9" s="1"/>
  <c r="AR411" i="9"/>
  <c r="AS411" i="9" s="1"/>
  <c r="AQ411" i="9"/>
  <c r="AG411" i="9"/>
  <c r="AF411" i="9"/>
  <c r="AE411" i="9"/>
  <c r="AD411" i="9"/>
  <c r="AC411" i="9"/>
  <c r="AB411" i="9"/>
  <c r="AA411" i="9"/>
  <c r="Z411" i="9"/>
  <c r="Y411" i="9"/>
  <c r="X411" i="9"/>
  <c r="W411" i="9"/>
  <c r="V411" i="9"/>
  <c r="U411" i="9"/>
  <c r="T411" i="9"/>
  <c r="S411" i="9"/>
  <c r="R411" i="9"/>
  <c r="Q411" i="9"/>
  <c r="P411" i="9"/>
  <c r="O411" i="9"/>
  <c r="N411" i="9"/>
  <c r="M411" i="9"/>
  <c r="L411" i="9"/>
  <c r="K411" i="9"/>
  <c r="J411" i="9"/>
  <c r="I411" i="9"/>
  <c r="H411" i="9"/>
  <c r="G411" i="9"/>
  <c r="F411" i="9"/>
  <c r="E411" i="9"/>
  <c r="D411" i="9"/>
  <c r="AY410" i="9"/>
  <c r="AO410" i="9" s="1"/>
  <c r="AX410" i="9"/>
  <c r="AW410" i="9"/>
  <c r="AV410" i="9"/>
  <c r="AL410" i="9" s="1"/>
  <c r="AU410" i="9"/>
  <c r="AK410" i="9" s="1"/>
  <c r="AT410" i="9"/>
  <c r="AI410" i="9" s="1"/>
  <c r="AR410" i="9"/>
  <c r="AS410" i="9" s="1"/>
  <c r="AQ410" i="9"/>
  <c r="AN410" i="9"/>
  <c r="AM410" i="9"/>
  <c r="AJ410" i="9"/>
  <c r="AH410" i="9"/>
  <c r="AG410" i="9"/>
  <c r="AF410" i="9"/>
  <c r="AE410" i="9"/>
  <c r="AD410" i="9"/>
  <c r="AC410" i="9"/>
  <c r="AB410" i="9"/>
  <c r="AA410" i="9"/>
  <c r="Z410" i="9"/>
  <c r="Y410" i="9"/>
  <c r="X410" i="9"/>
  <c r="W410" i="9"/>
  <c r="V410" i="9"/>
  <c r="U410" i="9"/>
  <c r="T410" i="9"/>
  <c r="S410" i="9"/>
  <c r="R410" i="9"/>
  <c r="Q410" i="9"/>
  <c r="P410" i="9"/>
  <c r="O410" i="9"/>
  <c r="N410" i="9"/>
  <c r="M410" i="9"/>
  <c r="L410" i="9"/>
  <c r="K410" i="9"/>
  <c r="J410" i="9"/>
  <c r="I410" i="9"/>
  <c r="H410" i="9"/>
  <c r="G410" i="9"/>
  <c r="F410" i="9"/>
  <c r="E410" i="9"/>
  <c r="D410" i="9"/>
  <c r="AW409" i="9"/>
  <c r="AT409" i="9"/>
  <c r="AH409" i="9" s="1"/>
  <c r="AQ409" i="9"/>
  <c r="AV409" i="9" s="1"/>
  <c r="AM409" i="9"/>
  <c r="AL409" i="9"/>
  <c r="AG409" i="9"/>
  <c r="AF409" i="9"/>
  <c r="AE409" i="9"/>
  <c r="AD409" i="9"/>
  <c r="AC409" i="9"/>
  <c r="AB409" i="9"/>
  <c r="AA409" i="9"/>
  <c r="Z409" i="9"/>
  <c r="Y409" i="9"/>
  <c r="X409" i="9"/>
  <c r="W409" i="9"/>
  <c r="V409" i="9"/>
  <c r="U409" i="9"/>
  <c r="T409" i="9"/>
  <c r="S409" i="9"/>
  <c r="R409" i="9"/>
  <c r="Q409" i="9"/>
  <c r="P409" i="9"/>
  <c r="O409" i="9"/>
  <c r="N409" i="9"/>
  <c r="M409" i="9"/>
  <c r="L409" i="9"/>
  <c r="K409" i="9"/>
  <c r="J409" i="9"/>
  <c r="I409" i="9"/>
  <c r="H409" i="9"/>
  <c r="G409" i="9"/>
  <c r="F409" i="9"/>
  <c r="E409" i="9"/>
  <c r="D409" i="9"/>
  <c r="AY408" i="9"/>
  <c r="AO408" i="9" s="1"/>
  <c r="AX408" i="9"/>
  <c r="AN408" i="9" s="1"/>
  <c r="AU408" i="9"/>
  <c r="AK408" i="9" s="1"/>
  <c r="AR408" i="9"/>
  <c r="AS408" i="9" s="1"/>
  <c r="AQ408" i="9"/>
  <c r="AG408" i="9"/>
  <c r="AF408" i="9"/>
  <c r="AE408" i="9"/>
  <c r="AD408" i="9"/>
  <c r="AC408" i="9"/>
  <c r="AB408" i="9"/>
  <c r="AA408" i="9"/>
  <c r="Z408" i="9"/>
  <c r="Y408" i="9"/>
  <c r="X408" i="9"/>
  <c r="W408" i="9"/>
  <c r="V408" i="9"/>
  <c r="U408" i="9"/>
  <c r="T408" i="9"/>
  <c r="S408" i="9"/>
  <c r="R408" i="9"/>
  <c r="Q408" i="9"/>
  <c r="P408" i="9"/>
  <c r="O408" i="9"/>
  <c r="N408" i="9"/>
  <c r="M408" i="9"/>
  <c r="L408" i="9"/>
  <c r="K408" i="9"/>
  <c r="J408" i="9"/>
  <c r="I408" i="9"/>
  <c r="H408" i="9"/>
  <c r="G408" i="9"/>
  <c r="F408" i="9"/>
  <c r="E408" i="9"/>
  <c r="D408" i="9"/>
  <c r="AX407" i="9"/>
  <c r="AW407" i="9"/>
  <c r="AM407" i="9" s="1"/>
  <c r="AV407" i="9"/>
  <c r="AL407" i="9" s="1"/>
  <c r="AU407" i="9"/>
  <c r="AQ407" i="9"/>
  <c r="AR407" i="9" s="1"/>
  <c r="AS407" i="9" s="1"/>
  <c r="AN407" i="9"/>
  <c r="AK407" i="9"/>
  <c r="AG407" i="9"/>
  <c r="AF407" i="9"/>
  <c r="AE407" i="9"/>
  <c r="AD407" i="9"/>
  <c r="AC407" i="9"/>
  <c r="AB407" i="9"/>
  <c r="AA407" i="9"/>
  <c r="Z407" i="9"/>
  <c r="Y407" i="9"/>
  <c r="X407" i="9"/>
  <c r="W407" i="9"/>
  <c r="V407" i="9"/>
  <c r="U407" i="9"/>
  <c r="T407" i="9"/>
  <c r="S407" i="9"/>
  <c r="R407" i="9"/>
  <c r="Q407" i="9"/>
  <c r="P407" i="9"/>
  <c r="O407" i="9"/>
  <c r="N407" i="9"/>
  <c r="M407" i="9"/>
  <c r="L407" i="9"/>
  <c r="K407" i="9"/>
  <c r="J407" i="9"/>
  <c r="I407" i="9"/>
  <c r="H407" i="9"/>
  <c r="G407" i="9"/>
  <c r="F407" i="9"/>
  <c r="E407" i="9"/>
  <c r="D407" i="9"/>
  <c r="AQ406" i="9"/>
  <c r="AG406" i="9"/>
  <c r="AF406" i="9"/>
  <c r="AE406" i="9"/>
  <c r="AD406" i="9"/>
  <c r="AC406" i="9"/>
  <c r="AB406" i="9"/>
  <c r="AA406" i="9"/>
  <c r="Z406" i="9"/>
  <c r="Y406" i="9"/>
  <c r="X406" i="9"/>
  <c r="W406" i="9"/>
  <c r="V406" i="9"/>
  <c r="U406" i="9"/>
  <c r="T406" i="9"/>
  <c r="S406" i="9"/>
  <c r="R406" i="9"/>
  <c r="Q406" i="9"/>
  <c r="P406" i="9"/>
  <c r="O406" i="9"/>
  <c r="N406" i="9"/>
  <c r="M406" i="9"/>
  <c r="L406" i="9"/>
  <c r="K406" i="9"/>
  <c r="J406" i="9"/>
  <c r="I406" i="9"/>
  <c r="H406" i="9"/>
  <c r="G406" i="9"/>
  <c r="F406" i="9"/>
  <c r="E406" i="9"/>
  <c r="D406" i="9"/>
  <c r="AY405" i="9"/>
  <c r="AO405" i="9" s="1"/>
  <c r="AQ423" i="21" s="1"/>
  <c r="AX405" i="9"/>
  <c r="AW405" i="9"/>
  <c r="AM405" i="9" s="1"/>
  <c r="AQ421" i="21" s="1"/>
  <c r="AV405" i="9"/>
  <c r="AL405" i="9" s="1"/>
  <c r="AQ420" i="21" s="1"/>
  <c r="AT405" i="9"/>
  <c r="AR405" i="9"/>
  <c r="AS405" i="9" s="1"/>
  <c r="AQ405" i="9"/>
  <c r="AU405" i="9" s="1"/>
  <c r="AK405" i="9" s="1"/>
  <c r="AQ419" i="21" s="1"/>
  <c r="AN405" i="9"/>
  <c r="AQ422" i="21" s="1"/>
  <c r="AJ405" i="9"/>
  <c r="AQ418" i="21" s="1"/>
  <c r="AG405" i="9"/>
  <c r="AQ415" i="21" s="1"/>
  <c r="AF405" i="9"/>
  <c r="AQ414" i="21" s="1"/>
  <c r="AE405" i="9"/>
  <c r="AQ413" i="21" s="1"/>
  <c r="AD405" i="9"/>
  <c r="AQ412" i="21" s="1"/>
  <c r="AC405" i="9"/>
  <c r="AQ411" i="21" s="1"/>
  <c r="AB405" i="9"/>
  <c r="AQ410" i="21" s="1"/>
  <c r="AA405" i="9"/>
  <c r="AQ409" i="21" s="1"/>
  <c r="Z405" i="9"/>
  <c r="AQ408" i="21" s="1"/>
  <c r="Y405" i="9"/>
  <c r="AQ407" i="21" s="1"/>
  <c r="X405" i="9"/>
  <c r="AQ406" i="21" s="1"/>
  <c r="W405" i="9"/>
  <c r="AQ405" i="21" s="1"/>
  <c r="V405" i="9"/>
  <c r="AQ404" i="21" s="1"/>
  <c r="U405" i="9"/>
  <c r="AQ403" i="21" s="1"/>
  <c r="T405" i="9"/>
  <c r="AQ402" i="21" s="1"/>
  <c r="S405" i="9"/>
  <c r="AQ401" i="21" s="1"/>
  <c r="R405" i="9"/>
  <c r="AQ400" i="21" s="1"/>
  <c r="Q405" i="9"/>
  <c r="AQ399" i="21" s="1"/>
  <c r="P405" i="9"/>
  <c r="AQ398" i="21" s="1"/>
  <c r="O405" i="9"/>
  <c r="AQ397" i="21" s="1"/>
  <c r="N405" i="9"/>
  <c r="AQ396" i="21" s="1"/>
  <c r="M405" i="9"/>
  <c r="AQ395" i="21" s="1"/>
  <c r="L405" i="9"/>
  <c r="AQ394" i="21" s="1"/>
  <c r="K405" i="9"/>
  <c r="AQ393" i="21" s="1"/>
  <c r="J405" i="9"/>
  <c r="AQ392" i="21" s="1"/>
  <c r="I405" i="9"/>
  <c r="AQ391" i="21" s="1"/>
  <c r="H405" i="9"/>
  <c r="AQ390" i="21" s="1"/>
  <c r="G405" i="9"/>
  <c r="AQ389" i="21" s="1"/>
  <c r="F405" i="9"/>
  <c r="AQ388" i="21" s="1"/>
  <c r="E405" i="9"/>
  <c r="AQ387" i="21" s="1"/>
  <c r="D405" i="9"/>
  <c r="AQ386" i="21" s="1"/>
  <c r="AQ404" i="9"/>
  <c r="AG404" i="9"/>
  <c r="AP415" i="21" s="1"/>
  <c r="AF404" i="9"/>
  <c r="AP414" i="21" s="1"/>
  <c r="AE404" i="9"/>
  <c r="AP413" i="21" s="1"/>
  <c r="AD404" i="9"/>
  <c r="AP412" i="21" s="1"/>
  <c r="AC404" i="9"/>
  <c r="AP411" i="21" s="1"/>
  <c r="AB404" i="9"/>
  <c r="AP410" i="21" s="1"/>
  <c r="AA404" i="9"/>
  <c r="AP409" i="21" s="1"/>
  <c r="Z404" i="9"/>
  <c r="AP408" i="21" s="1"/>
  <c r="Y404" i="9"/>
  <c r="AP407" i="21" s="1"/>
  <c r="X404" i="9"/>
  <c r="AP406" i="21" s="1"/>
  <c r="W404" i="9"/>
  <c r="AP405" i="21" s="1"/>
  <c r="V404" i="9"/>
  <c r="AP404" i="21" s="1"/>
  <c r="U404" i="9"/>
  <c r="AP403" i="21" s="1"/>
  <c r="T404" i="9"/>
  <c r="AP402" i="21" s="1"/>
  <c r="S404" i="9"/>
  <c r="AP401" i="21" s="1"/>
  <c r="R404" i="9"/>
  <c r="AP400" i="21" s="1"/>
  <c r="Q404" i="9"/>
  <c r="AP399" i="21" s="1"/>
  <c r="P404" i="9"/>
  <c r="AP398" i="21" s="1"/>
  <c r="O404" i="9"/>
  <c r="AP397" i="21" s="1"/>
  <c r="N404" i="9"/>
  <c r="AP396" i="21" s="1"/>
  <c r="M404" i="9"/>
  <c r="AP395" i="21" s="1"/>
  <c r="L404" i="9"/>
  <c r="AP394" i="21" s="1"/>
  <c r="K404" i="9"/>
  <c r="AP393" i="21" s="1"/>
  <c r="J404" i="9"/>
  <c r="AP392" i="21" s="1"/>
  <c r="I404" i="9"/>
  <c r="AP391" i="21" s="1"/>
  <c r="H404" i="9"/>
  <c r="AP390" i="21" s="1"/>
  <c r="G404" i="9"/>
  <c r="AP389" i="21" s="1"/>
  <c r="F404" i="9"/>
  <c r="AP388" i="21" s="1"/>
  <c r="E404" i="9"/>
  <c r="AP387" i="21" s="1"/>
  <c r="D404" i="9"/>
  <c r="AP386" i="21" s="1"/>
  <c r="AY403" i="9"/>
  <c r="AW403" i="9"/>
  <c r="AV403" i="9"/>
  <c r="AL403" i="9" s="1"/>
  <c r="AO420" i="21" s="1"/>
  <c r="AU403" i="9"/>
  <c r="AK403" i="9" s="1"/>
  <c r="AO419" i="21" s="1"/>
  <c r="AT403" i="9"/>
  <c r="AI403" i="9" s="1"/>
  <c r="AO417" i="21" s="1"/>
  <c r="AR403" i="9"/>
  <c r="AS403" i="9" s="1"/>
  <c r="AQ403" i="9"/>
  <c r="AX403" i="9" s="1"/>
  <c r="AN403" i="9" s="1"/>
  <c r="AO422" i="21" s="1"/>
  <c r="AO403" i="9"/>
  <c r="AO423" i="21" s="1"/>
  <c r="AM403" i="9"/>
  <c r="AO421" i="21" s="1"/>
  <c r="AJ403" i="9"/>
  <c r="AO418" i="21" s="1"/>
  <c r="AG403" i="9"/>
  <c r="AO415" i="21" s="1"/>
  <c r="AF403" i="9"/>
  <c r="AO414" i="21" s="1"/>
  <c r="AE403" i="9"/>
  <c r="AO413" i="21" s="1"/>
  <c r="AD403" i="9"/>
  <c r="AO412" i="21" s="1"/>
  <c r="AC403" i="9"/>
  <c r="AO411" i="21" s="1"/>
  <c r="AB403" i="9"/>
  <c r="AO410" i="21" s="1"/>
  <c r="AA403" i="9"/>
  <c r="AO409" i="21" s="1"/>
  <c r="Z403" i="9"/>
  <c r="AO408" i="21" s="1"/>
  <c r="Y403" i="9"/>
  <c r="AO407" i="21" s="1"/>
  <c r="X403" i="9"/>
  <c r="AO406" i="21" s="1"/>
  <c r="W403" i="9"/>
  <c r="AO405" i="21" s="1"/>
  <c r="V403" i="9"/>
  <c r="AO404" i="21" s="1"/>
  <c r="U403" i="9"/>
  <c r="AO403" i="21" s="1"/>
  <c r="T403" i="9"/>
  <c r="AO402" i="21" s="1"/>
  <c r="S403" i="9"/>
  <c r="AO401" i="21" s="1"/>
  <c r="R403" i="9"/>
  <c r="AO400" i="21" s="1"/>
  <c r="Q403" i="9"/>
  <c r="AO399" i="21" s="1"/>
  <c r="P403" i="9"/>
  <c r="AO398" i="21" s="1"/>
  <c r="O403" i="9"/>
  <c r="AO397" i="21" s="1"/>
  <c r="N403" i="9"/>
  <c r="AO396" i="21" s="1"/>
  <c r="M403" i="9"/>
  <c r="AO395" i="21" s="1"/>
  <c r="L403" i="9"/>
  <c r="AO394" i="21" s="1"/>
  <c r="K403" i="9"/>
  <c r="AO393" i="21" s="1"/>
  <c r="J403" i="9"/>
  <c r="AO392" i="21" s="1"/>
  <c r="I403" i="9"/>
  <c r="AO391" i="21" s="1"/>
  <c r="H403" i="9"/>
  <c r="AO390" i="21" s="1"/>
  <c r="G403" i="9"/>
  <c r="AO389" i="21" s="1"/>
  <c r="F403" i="9"/>
  <c r="AO388" i="21" s="1"/>
  <c r="E403" i="9"/>
  <c r="AO387" i="21" s="1"/>
  <c r="D403" i="9"/>
  <c r="AO386" i="21" s="1"/>
  <c r="AY402" i="9"/>
  <c r="AX402" i="9"/>
  <c r="AN402" i="9" s="1"/>
  <c r="AN422" i="21" s="1"/>
  <c r="AW402" i="9"/>
  <c r="AM402" i="9" s="1"/>
  <c r="AN421" i="21" s="1"/>
  <c r="AV402" i="9"/>
  <c r="AU402" i="9"/>
  <c r="AT402" i="9"/>
  <c r="AS402" i="9"/>
  <c r="AR402" i="9"/>
  <c r="AQ402" i="9"/>
  <c r="AO402" i="9"/>
  <c r="AN423" i="21" s="1"/>
  <c r="AL402" i="9"/>
  <c r="AN420" i="21" s="1"/>
  <c r="AK402" i="9"/>
  <c r="AN419" i="21" s="1"/>
  <c r="AH402" i="9"/>
  <c r="AN416" i="21" s="1"/>
  <c r="AG402" i="9"/>
  <c r="AN415" i="21" s="1"/>
  <c r="AF402" i="9"/>
  <c r="AN414" i="21" s="1"/>
  <c r="AE402" i="9"/>
  <c r="AN413" i="21" s="1"/>
  <c r="AD402" i="9"/>
  <c r="AN412" i="21" s="1"/>
  <c r="AC402" i="9"/>
  <c r="AN411" i="21" s="1"/>
  <c r="AB402" i="9"/>
  <c r="AN410" i="21" s="1"/>
  <c r="AA402" i="9"/>
  <c r="AN409" i="21" s="1"/>
  <c r="Z402" i="9"/>
  <c r="AN408" i="21" s="1"/>
  <c r="Y402" i="9"/>
  <c r="AN407" i="21" s="1"/>
  <c r="X402" i="9"/>
  <c r="AN406" i="21" s="1"/>
  <c r="W402" i="9"/>
  <c r="AN405" i="21" s="1"/>
  <c r="V402" i="9"/>
  <c r="AN404" i="21" s="1"/>
  <c r="U402" i="9"/>
  <c r="AN403" i="21" s="1"/>
  <c r="T402" i="9"/>
  <c r="AN402" i="21" s="1"/>
  <c r="S402" i="9"/>
  <c r="AN401" i="21" s="1"/>
  <c r="R402" i="9"/>
  <c r="AN400" i="21" s="1"/>
  <c r="Q402" i="9"/>
  <c r="AN399" i="21" s="1"/>
  <c r="P402" i="9"/>
  <c r="AN398" i="21" s="1"/>
  <c r="O402" i="9"/>
  <c r="AN397" i="21" s="1"/>
  <c r="N402" i="9"/>
  <c r="AN396" i="21" s="1"/>
  <c r="M402" i="9"/>
  <c r="AN395" i="21" s="1"/>
  <c r="L402" i="9"/>
  <c r="AN394" i="21" s="1"/>
  <c r="K402" i="9"/>
  <c r="AN393" i="21" s="1"/>
  <c r="J402" i="9"/>
  <c r="AN392" i="21" s="1"/>
  <c r="I402" i="9"/>
  <c r="AN391" i="21" s="1"/>
  <c r="H402" i="9"/>
  <c r="AN390" i="21" s="1"/>
  <c r="G402" i="9"/>
  <c r="AN389" i="21" s="1"/>
  <c r="F402" i="9"/>
  <c r="AN388" i="21" s="1"/>
  <c r="E402" i="9"/>
  <c r="AN387" i="21" s="1"/>
  <c r="D402" i="9"/>
  <c r="AN386" i="21" s="1"/>
  <c r="AR401" i="9"/>
  <c r="AS401" i="9" s="1"/>
  <c r="AQ401" i="9"/>
  <c r="AG401" i="9"/>
  <c r="AM415" i="21" s="1"/>
  <c r="AF401" i="9"/>
  <c r="AM414" i="21" s="1"/>
  <c r="AE401" i="9"/>
  <c r="AM413" i="21" s="1"/>
  <c r="AD401" i="9"/>
  <c r="AM412" i="21" s="1"/>
  <c r="AC401" i="9"/>
  <c r="AM411" i="21" s="1"/>
  <c r="AB401" i="9"/>
  <c r="AM410" i="21" s="1"/>
  <c r="AA401" i="9"/>
  <c r="AM409" i="21" s="1"/>
  <c r="Z401" i="9"/>
  <c r="AM408" i="21" s="1"/>
  <c r="Y401" i="9"/>
  <c r="AM407" i="21" s="1"/>
  <c r="X401" i="9"/>
  <c r="AM406" i="21" s="1"/>
  <c r="W401" i="9"/>
  <c r="AM405" i="21" s="1"/>
  <c r="V401" i="9"/>
  <c r="AM404" i="21" s="1"/>
  <c r="U401" i="9"/>
  <c r="AM403" i="21" s="1"/>
  <c r="T401" i="9"/>
  <c r="AM402" i="21" s="1"/>
  <c r="S401" i="9"/>
  <c r="AM401" i="21" s="1"/>
  <c r="R401" i="9"/>
  <c r="AM400" i="21" s="1"/>
  <c r="Q401" i="9"/>
  <c r="AM399" i="21" s="1"/>
  <c r="P401" i="9"/>
  <c r="AM398" i="21" s="1"/>
  <c r="O401" i="9"/>
  <c r="AM397" i="21" s="1"/>
  <c r="N401" i="9"/>
  <c r="AM396" i="21" s="1"/>
  <c r="M401" i="9"/>
  <c r="AM395" i="21" s="1"/>
  <c r="L401" i="9"/>
  <c r="AM394" i="21" s="1"/>
  <c r="K401" i="9"/>
  <c r="AM393" i="21" s="1"/>
  <c r="J401" i="9"/>
  <c r="AM392" i="21" s="1"/>
  <c r="I401" i="9"/>
  <c r="AM391" i="21" s="1"/>
  <c r="H401" i="9"/>
  <c r="AM390" i="21" s="1"/>
  <c r="G401" i="9"/>
  <c r="AM389" i="21" s="1"/>
  <c r="F401" i="9"/>
  <c r="AM388" i="21" s="1"/>
  <c r="E401" i="9"/>
  <c r="AM387" i="21" s="1"/>
  <c r="D401" i="9"/>
  <c r="AM386" i="21" s="1"/>
  <c r="AW400" i="9"/>
  <c r="AM400" i="9" s="1"/>
  <c r="AL421" i="21" s="1"/>
  <c r="AV400" i="9"/>
  <c r="AL400" i="9" s="1"/>
  <c r="AL420" i="21" s="1"/>
  <c r="AQ400" i="9"/>
  <c r="AG400" i="9"/>
  <c r="AL415" i="21" s="1"/>
  <c r="AF400" i="9"/>
  <c r="AL414" i="21" s="1"/>
  <c r="AE400" i="9"/>
  <c r="AL413" i="21" s="1"/>
  <c r="AD400" i="9"/>
  <c r="AL412" i="21" s="1"/>
  <c r="AC400" i="9"/>
  <c r="AL411" i="21" s="1"/>
  <c r="AB400" i="9"/>
  <c r="AL410" i="21" s="1"/>
  <c r="AA400" i="9"/>
  <c r="AL409" i="21" s="1"/>
  <c r="Z400" i="9"/>
  <c r="AL408" i="21" s="1"/>
  <c r="Y400" i="9"/>
  <c r="AL407" i="21" s="1"/>
  <c r="X400" i="9"/>
  <c r="AL406" i="21" s="1"/>
  <c r="W400" i="9"/>
  <c r="AL405" i="21" s="1"/>
  <c r="V400" i="9"/>
  <c r="AL404" i="21" s="1"/>
  <c r="U400" i="9"/>
  <c r="AL403" i="21" s="1"/>
  <c r="T400" i="9"/>
  <c r="AL402" i="21" s="1"/>
  <c r="S400" i="9"/>
  <c r="AL401" i="21" s="1"/>
  <c r="R400" i="9"/>
  <c r="AL400" i="21" s="1"/>
  <c r="Q400" i="9"/>
  <c r="AL399" i="21" s="1"/>
  <c r="P400" i="9"/>
  <c r="AL398" i="21" s="1"/>
  <c r="O400" i="9"/>
  <c r="AL397" i="21" s="1"/>
  <c r="N400" i="9"/>
  <c r="AL396" i="21" s="1"/>
  <c r="M400" i="9"/>
  <c r="AL395" i="21" s="1"/>
  <c r="L400" i="9"/>
  <c r="AL394" i="21" s="1"/>
  <c r="K400" i="9"/>
  <c r="AL393" i="21" s="1"/>
  <c r="J400" i="9"/>
  <c r="AL392" i="21" s="1"/>
  <c r="I400" i="9"/>
  <c r="AL391" i="21" s="1"/>
  <c r="H400" i="9"/>
  <c r="AL390" i="21" s="1"/>
  <c r="G400" i="9"/>
  <c r="AL389" i="21" s="1"/>
  <c r="F400" i="9"/>
  <c r="AL388" i="21" s="1"/>
  <c r="E400" i="9"/>
  <c r="AL387" i="21" s="1"/>
  <c r="D400" i="9"/>
  <c r="AL386" i="21" s="1"/>
  <c r="AT399" i="9"/>
  <c r="AQ399" i="9"/>
  <c r="AG399" i="9"/>
  <c r="AK415" i="21" s="1"/>
  <c r="AF399" i="9"/>
  <c r="AK414" i="21" s="1"/>
  <c r="AE399" i="9"/>
  <c r="AK413" i="21" s="1"/>
  <c r="AD399" i="9"/>
  <c r="AK412" i="21" s="1"/>
  <c r="AC399" i="9"/>
  <c r="AK411" i="21" s="1"/>
  <c r="AB399" i="9"/>
  <c r="AK410" i="21" s="1"/>
  <c r="AA399" i="9"/>
  <c r="AK409" i="21" s="1"/>
  <c r="Z399" i="9"/>
  <c r="AK408" i="21" s="1"/>
  <c r="Y399" i="9"/>
  <c r="AK407" i="21" s="1"/>
  <c r="X399" i="9"/>
  <c r="AK406" i="21" s="1"/>
  <c r="W399" i="9"/>
  <c r="AK405" i="21" s="1"/>
  <c r="V399" i="9"/>
  <c r="AK404" i="21" s="1"/>
  <c r="U399" i="9"/>
  <c r="AK403" i="21" s="1"/>
  <c r="T399" i="9"/>
  <c r="AK402" i="21" s="1"/>
  <c r="S399" i="9"/>
  <c r="AK401" i="21" s="1"/>
  <c r="R399" i="9"/>
  <c r="AK400" i="21" s="1"/>
  <c r="Q399" i="9"/>
  <c r="AK399" i="21" s="1"/>
  <c r="P399" i="9"/>
  <c r="AK398" i="21" s="1"/>
  <c r="O399" i="9"/>
  <c r="AK397" i="21" s="1"/>
  <c r="N399" i="9"/>
  <c r="AK396" i="21" s="1"/>
  <c r="M399" i="9"/>
  <c r="AK395" i="21" s="1"/>
  <c r="L399" i="9"/>
  <c r="AK394" i="21" s="1"/>
  <c r="K399" i="9"/>
  <c r="AK393" i="21" s="1"/>
  <c r="J399" i="9"/>
  <c r="AK392" i="21" s="1"/>
  <c r="I399" i="9"/>
  <c r="AK391" i="21" s="1"/>
  <c r="H399" i="9"/>
  <c r="AK390" i="21" s="1"/>
  <c r="G399" i="9"/>
  <c r="AK389" i="21" s="1"/>
  <c r="F399" i="9"/>
  <c r="AK388" i="21" s="1"/>
  <c r="E399" i="9"/>
  <c r="AK387" i="21" s="1"/>
  <c r="D399" i="9"/>
  <c r="AK386" i="21" s="1"/>
  <c r="AY398" i="9"/>
  <c r="AO398" i="9" s="1"/>
  <c r="AJ423" i="21" s="1"/>
  <c r="AV398" i="9"/>
  <c r="AR398" i="9"/>
  <c r="AS398" i="9" s="1"/>
  <c r="AQ398" i="9"/>
  <c r="AU398" i="9" s="1"/>
  <c r="AL398" i="9"/>
  <c r="AJ420" i="21" s="1"/>
  <c r="AK398" i="9"/>
  <c r="AJ419" i="21" s="1"/>
  <c r="AG398" i="9"/>
  <c r="AJ415" i="21" s="1"/>
  <c r="AF398" i="9"/>
  <c r="AJ414" i="21" s="1"/>
  <c r="AE398" i="9"/>
  <c r="AJ413" i="21" s="1"/>
  <c r="AD398" i="9"/>
  <c r="AJ412" i="21" s="1"/>
  <c r="AC398" i="9"/>
  <c r="AJ411" i="21" s="1"/>
  <c r="AB398" i="9"/>
  <c r="AJ410" i="21" s="1"/>
  <c r="AA398" i="9"/>
  <c r="AJ409" i="21" s="1"/>
  <c r="Z398" i="9"/>
  <c r="AJ408" i="21" s="1"/>
  <c r="Y398" i="9"/>
  <c r="AJ407" i="21" s="1"/>
  <c r="X398" i="9"/>
  <c r="AJ406" i="21" s="1"/>
  <c r="W398" i="9"/>
  <c r="AJ405" i="21" s="1"/>
  <c r="V398" i="9"/>
  <c r="AJ404" i="21" s="1"/>
  <c r="U398" i="9"/>
  <c r="AJ403" i="21" s="1"/>
  <c r="T398" i="9"/>
  <c r="AJ402" i="21" s="1"/>
  <c r="S398" i="9"/>
  <c r="AJ401" i="21" s="1"/>
  <c r="R398" i="9"/>
  <c r="AJ400" i="21" s="1"/>
  <c r="Q398" i="9"/>
  <c r="AJ399" i="21" s="1"/>
  <c r="P398" i="9"/>
  <c r="AJ398" i="21" s="1"/>
  <c r="O398" i="9"/>
  <c r="AJ397" i="21" s="1"/>
  <c r="N398" i="9"/>
  <c r="AJ396" i="21" s="1"/>
  <c r="M398" i="9"/>
  <c r="AJ395" i="21" s="1"/>
  <c r="L398" i="9"/>
  <c r="AJ394" i="21" s="1"/>
  <c r="K398" i="9"/>
  <c r="AJ393" i="21" s="1"/>
  <c r="J398" i="9"/>
  <c r="AJ392" i="21" s="1"/>
  <c r="I398" i="9"/>
  <c r="AJ391" i="21" s="1"/>
  <c r="H398" i="9"/>
  <c r="AJ390" i="21" s="1"/>
  <c r="G398" i="9"/>
  <c r="AJ389" i="21" s="1"/>
  <c r="F398" i="9"/>
  <c r="AJ388" i="21" s="1"/>
  <c r="E398" i="9"/>
  <c r="AJ387" i="21" s="1"/>
  <c r="D398" i="9"/>
  <c r="AJ386" i="21" s="1"/>
  <c r="AW397" i="9"/>
  <c r="AM397" i="9" s="1"/>
  <c r="AI421" i="21" s="1"/>
  <c r="AR397" i="9"/>
  <c r="AS397" i="9" s="1"/>
  <c r="AQ397" i="9"/>
  <c r="AG397" i="9"/>
  <c r="AI415" i="21" s="1"/>
  <c r="AF397" i="9"/>
  <c r="AI414" i="21" s="1"/>
  <c r="AE397" i="9"/>
  <c r="AI413" i="21" s="1"/>
  <c r="AD397" i="9"/>
  <c r="AI412" i="21" s="1"/>
  <c r="AC397" i="9"/>
  <c r="AI411" i="21" s="1"/>
  <c r="AB397" i="9"/>
  <c r="AI410" i="21" s="1"/>
  <c r="AA397" i="9"/>
  <c r="AI409" i="21" s="1"/>
  <c r="Z397" i="9"/>
  <c r="AI408" i="21" s="1"/>
  <c r="Y397" i="9"/>
  <c r="AI407" i="21" s="1"/>
  <c r="X397" i="9"/>
  <c r="AI406" i="21" s="1"/>
  <c r="W397" i="9"/>
  <c r="AI405" i="21" s="1"/>
  <c r="V397" i="9"/>
  <c r="AI404" i="21" s="1"/>
  <c r="U397" i="9"/>
  <c r="AI403" i="21" s="1"/>
  <c r="T397" i="9"/>
  <c r="AI402" i="21" s="1"/>
  <c r="S397" i="9"/>
  <c r="AI401" i="21" s="1"/>
  <c r="R397" i="9"/>
  <c r="AI400" i="21" s="1"/>
  <c r="Q397" i="9"/>
  <c r="AI399" i="21" s="1"/>
  <c r="P397" i="9"/>
  <c r="AI398" i="21" s="1"/>
  <c r="O397" i="9"/>
  <c r="AI397" i="21" s="1"/>
  <c r="N397" i="9"/>
  <c r="AI396" i="21" s="1"/>
  <c r="M397" i="9"/>
  <c r="AI395" i="21" s="1"/>
  <c r="L397" i="9"/>
  <c r="AI394" i="21" s="1"/>
  <c r="K397" i="9"/>
  <c r="AI393" i="21" s="1"/>
  <c r="J397" i="9"/>
  <c r="AI392" i="21" s="1"/>
  <c r="I397" i="9"/>
  <c r="AI391" i="21" s="1"/>
  <c r="H397" i="9"/>
  <c r="AI390" i="21" s="1"/>
  <c r="G397" i="9"/>
  <c r="AI389" i="21" s="1"/>
  <c r="F397" i="9"/>
  <c r="AI388" i="21" s="1"/>
  <c r="E397" i="9"/>
  <c r="AI387" i="21" s="1"/>
  <c r="D397" i="9"/>
  <c r="AI386" i="21" s="1"/>
  <c r="AY396" i="9"/>
  <c r="AO396" i="9" s="1"/>
  <c r="AH423" i="21" s="1"/>
  <c r="AW396" i="9"/>
  <c r="AM396" i="9" s="1"/>
  <c r="AH421" i="21" s="1"/>
  <c r="AV396" i="9"/>
  <c r="AU396" i="9"/>
  <c r="AK396" i="9" s="1"/>
  <c r="AH419" i="21" s="1"/>
  <c r="AT396" i="9"/>
  <c r="AI396" i="9" s="1"/>
  <c r="AH417" i="21" s="1"/>
  <c r="AR396" i="9"/>
  <c r="AS396" i="9" s="1"/>
  <c r="AQ396" i="9"/>
  <c r="AX396" i="9" s="1"/>
  <c r="AN396" i="9" s="1"/>
  <c r="AH422" i="21" s="1"/>
  <c r="AL396" i="9"/>
  <c r="AH420" i="21" s="1"/>
  <c r="AJ396" i="9"/>
  <c r="AH418" i="21" s="1"/>
  <c r="AH396" i="9"/>
  <c r="AH416" i="21" s="1"/>
  <c r="AG396" i="9"/>
  <c r="AH415" i="21" s="1"/>
  <c r="AF396" i="9"/>
  <c r="AH414" i="21" s="1"/>
  <c r="AE396" i="9"/>
  <c r="AH413" i="21" s="1"/>
  <c r="AD396" i="9"/>
  <c r="AH412" i="21" s="1"/>
  <c r="AC396" i="9"/>
  <c r="AH411" i="21" s="1"/>
  <c r="AB396" i="9"/>
  <c r="AH410" i="21" s="1"/>
  <c r="AA396" i="9"/>
  <c r="AH409" i="21" s="1"/>
  <c r="Z396" i="9"/>
  <c r="AH408" i="21" s="1"/>
  <c r="Y396" i="9"/>
  <c r="AH407" i="21" s="1"/>
  <c r="X396" i="9"/>
  <c r="AH406" i="21" s="1"/>
  <c r="W396" i="9"/>
  <c r="AH405" i="21" s="1"/>
  <c r="V396" i="9"/>
  <c r="AH404" i="21" s="1"/>
  <c r="U396" i="9"/>
  <c r="AH403" i="21" s="1"/>
  <c r="T396" i="9"/>
  <c r="AH402" i="21" s="1"/>
  <c r="S396" i="9"/>
  <c r="AH401" i="21" s="1"/>
  <c r="R396" i="9"/>
  <c r="AH400" i="21" s="1"/>
  <c r="Q396" i="9"/>
  <c r="AH399" i="21" s="1"/>
  <c r="P396" i="9"/>
  <c r="AH398" i="21" s="1"/>
  <c r="O396" i="9"/>
  <c r="AH397" i="21" s="1"/>
  <c r="N396" i="9"/>
  <c r="AH396" i="21" s="1"/>
  <c r="M396" i="9"/>
  <c r="AH395" i="21" s="1"/>
  <c r="L396" i="9"/>
  <c r="AH394" i="21" s="1"/>
  <c r="K396" i="9"/>
  <c r="AH393" i="21" s="1"/>
  <c r="J396" i="9"/>
  <c r="AH392" i="21" s="1"/>
  <c r="I396" i="9"/>
  <c r="AH391" i="21" s="1"/>
  <c r="H396" i="9"/>
  <c r="AH390" i="21" s="1"/>
  <c r="G396" i="9"/>
  <c r="AH389" i="21" s="1"/>
  <c r="F396" i="9"/>
  <c r="AH388" i="21" s="1"/>
  <c r="E396" i="9"/>
  <c r="AH387" i="21" s="1"/>
  <c r="D396" i="9"/>
  <c r="AH386" i="21" s="1"/>
  <c r="AW395" i="9"/>
  <c r="AM395" i="9" s="1"/>
  <c r="AG421" i="21" s="1"/>
  <c r="AQ395" i="9"/>
  <c r="AT395" i="9" s="1"/>
  <c r="AG395" i="9"/>
  <c r="AG415" i="21" s="1"/>
  <c r="AF395" i="9"/>
  <c r="AG414" i="21" s="1"/>
  <c r="AE395" i="9"/>
  <c r="AG413" i="21" s="1"/>
  <c r="AD395" i="9"/>
  <c r="AG412" i="21" s="1"/>
  <c r="AC395" i="9"/>
  <c r="AG411" i="21" s="1"/>
  <c r="AB395" i="9"/>
  <c r="AG410" i="21" s="1"/>
  <c r="AA395" i="9"/>
  <c r="AG409" i="21" s="1"/>
  <c r="Z395" i="9"/>
  <c r="AG408" i="21" s="1"/>
  <c r="Y395" i="9"/>
  <c r="AG407" i="21" s="1"/>
  <c r="X395" i="9"/>
  <c r="AG406" i="21" s="1"/>
  <c r="W395" i="9"/>
  <c r="AG405" i="21" s="1"/>
  <c r="V395" i="9"/>
  <c r="AG404" i="21" s="1"/>
  <c r="U395" i="9"/>
  <c r="AG403" i="21" s="1"/>
  <c r="T395" i="9"/>
  <c r="AG402" i="21" s="1"/>
  <c r="S395" i="9"/>
  <c r="AG401" i="21" s="1"/>
  <c r="R395" i="9"/>
  <c r="AG400" i="21" s="1"/>
  <c r="Q395" i="9"/>
  <c r="AG399" i="21" s="1"/>
  <c r="P395" i="9"/>
  <c r="AG398" i="21" s="1"/>
  <c r="O395" i="9"/>
  <c r="AG397" i="21" s="1"/>
  <c r="N395" i="9"/>
  <c r="AG396" i="21" s="1"/>
  <c r="M395" i="9"/>
  <c r="AG395" i="21" s="1"/>
  <c r="L395" i="9"/>
  <c r="AG394" i="21" s="1"/>
  <c r="K395" i="9"/>
  <c r="AG393" i="21" s="1"/>
  <c r="J395" i="9"/>
  <c r="AG392" i="21" s="1"/>
  <c r="I395" i="9"/>
  <c r="AG391" i="21" s="1"/>
  <c r="H395" i="9"/>
  <c r="AG390" i="21" s="1"/>
  <c r="G395" i="9"/>
  <c r="AG389" i="21" s="1"/>
  <c r="F395" i="9"/>
  <c r="AG388" i="21" s="1"/>
  <c r="E395" i="9"/>
  <c r="AG387" i="21" s="1"/>
  <c r="D395" i="9"/>
  <c r="AG386" i="21" s="1"/>
  <c r="AY394" i="9"/>
  <c r="AO394" i="9" s="1"/>
  <c r="AF423" i="21" s="1"/>
  <c r="AX394" i="9"/>
  <c r="AN394" i="9" s="1"/>
  <c r="AF422" i="21" s="1"/>
  <c r="AW394" i="9"/>
  <c r="AM394" i="9" s="1"/>
  <c r="AF421" i="21" s="1"/>
  <c r="AU394" i="9"/>
  <c r="AK394" i="9" s="1"/>
  <c r="AF419" i="21" s="1"/>
  <c r="AR394" i="9"/>
  <c r="AS394" i="9" s="1"/>
  <c r="AQ394" i="9"/>
  <c r="AT394" i="9" s="1"/>
  <c r="AJ394" i="9" s="1"/>
  <c r="AF418" i="21" s="1"/>
  <c r="AH394" i="9"/>
  <c r="AF416" i="21" s="1"/>
  <c r="AG394" i="9"/>
  <c r="AF415" i="21" s="1"/>
  <c r="AF394" i="9"/>
  <c r="AF414" i="21" s="1"/>
  <c r="AE394" i="9"/>
  <c r="AF413" i="21" s="1"/>
  <c r="AD394" i="9"/>
  <c r="AF412" i="21" s="1"/>
  <c r="AC394" i="9"/>
  <c r="AF411" i="21" s="1"/>
  <c r="AB394" i="9"/>
  <c r="AF410" i="21" s="1"/>
  <c r="AA394" i="9"/>
  <c r="AF409" i="21" s="1"/>
  <c r="Z394" i="9"/>
  <c r="AF408" i="21" s="1"/>
  <c r="Y394" i="9"/>
  <c r="AF407" i="21" s="1"/>
  <c r="X394" i="9"/>
  <c r="AF406" i="21" s="1"/>
  <c r="W394" i="9"/>
  <c r="AF405" i="21" s="1"/>
  <c r="V394" i="9"/>
  <c r="AF404" i="21" s="1"/>
  <c r="U394" i="9"/>
  <c r="AF403" i="21" s="1"/>
  <c r="T394" i="9"/>
  <c r="AF402" i="21" s="1"/>
  <c r="S394" i="9"/>
  <c r="AF401" i="21" s="1"/>
  <c r="R394" i="9"/>
  <c r="AF400" i="21" s="1"/>
  <c r="Q394" i="9"/>
  <c r="AF399" i="21" s="1"/>
  <c r="P394" i="9"/>
  <c r="AF398" i="21" s="1"/>
  <c r="O394" i="9"/>
  <c r="AF397" i="21" s="1"/>
  <c r="N394" i="9"/>
  <c r="AF396" i="21" s="1"/>
  <c r="M394" i="9"/>
  <c r="AF395" i="21" s="1"/>
  <c r="L394" i="9"/>
  <c r="AF394" i="21" s="1"/>
  <c r="K394" i="9"/>
  <c r="AF393" i="21" s="1"/>
  <c r="J394" i="9"/>
  <c r="AF392" i="21" s="1"/>
  <c r="I394" i="9"/>
  <c r="AF391" i="21" s="1"/>
  <c r="H394" i="9"/>
  <c r="AF390" i="21" s="1"/>
  <c r="G394" i="9"/>
  <c r="AF389" i="21" s="1"/>
  <c r="F394" i="9"/>
  <c r="AF388" i="21" s="1"/>
  <c r="E394" i="9"/>
  <c r="AF387" i="21" s="1"/>
  <c r="D394" i="9"/>
  <c r="AF386" i="21" s="1"/>
  <c r="AX393" i="9"/>
  <c r="AN393" i="9" s="1"/>
  <c r="AE422" i="21" s="1"/>
  <c r="AW393" i="9"/>
  <c r="AM393" i="9" s="1"/>
  <c r="AE421" i="21" s="1"/>
  <c r="AV393" i="9"/>
  <c r="AL393" i="9" s="1"/>
  <c r="AE420" i="21" s="1"/>
  <c r="AU393" i="9"/>
  <c r="AS393" i="9"/>
  <c r="AQ393" i="9"/>
  <c r="AR393" i="9" s="1"/>
  <c r="AK393" i="9"/>
  <c r="AE419" i="21" s="1"/>
  <c r="AG393" i="9"/>
  <c r="AE415" i="21" s="1"/>
  <c r="AF393" i="9"/>
  <c r="AE414" i="21" s="1"/>
  <c r="AE393" i="9"/>
  <c r="AE413" i="21" s="1"/>
  <c r="AD393" i="9"/>
  <c r="AE412" i="21" s="1"/>
  <c r="AC393" i="9"/>
  <c r="AE411" i="21" s="1"/>
  <c r="AB393" i="9"/>
  <c r="AE410" i="21" s="1"/>
  <c r="AA393" i="9"/>
  <c r="AE409" i="21" s="1"/>
  <c r="Z393" i="9"/>
  <c r="AE408" i="21" s="1"/>
  <c r="Y393" i="9"/>
  <c r="AE407" i="21" s="1"/>
  <c r="X393" i="9"/>
  <c r="AE406" i="21" s="1"/>
  <c r="W393" i="9"/>
  <c r="AE405" i="21" s="1"/>
  <c r="V393" i="9"/>
  <c r="AE404" i="21" s="1"/>
  <c r="U393" i="9"/>
  <c r="AE403" i="21" s="1"/>
  <c r="T393" i="9"/>
  <c r="AE402" i="21" s="1"/>
  <c r="S393" i="9"/>
  <c r="AE401" i="21" s="1"/>
  <c r="R393" i="9"/>
  <c r="AE400" i="21" s="1"/>
  <c r="Q393" i="9"/>
  <c r="AE399" i="21" s="1"/>
  <c r="P393" i="9"/>
  <c r="AE398" i="21" s="1"/>
  <c r="O393" i="9"/>
  <c r="AE397" i="21" s="1"/>
  <c r="N393" i="9"/>
  <c r="AE396" i="21" s="1"/>
  <c r="M393" i="9"/>
  <c r="AE395" i="21" s="1"/>
  <c r="L393" i="9"/>
  <c r="AE394" i="21" s="1"/>
  <c r="K393" i="9"/>
  <c r="AE393" i="21" s="1"/>
  <c r="J393" i="9"/>
  <c r="AE392" i="21" s="1"/>
  <c r="I393" i="9"/>
  <c r="AE391" i="21" s="1"/>
  <c r="H393" i="9"/>
  <c r="AE390" i="21" s="1"/>
  <c r="G393" i="9"/>
  <c r="AE389" i="21" s="1"/>
  <c r="F393" i="9"/>
  <c r="AE388" i="21" s="1"/>
  <c r="E393" i="9"/>
  <c r="AE387" i="21" s="1"/>
  <c r="D393" i="9"/>
  <c r="AE386" i="21" s="1"/>
  <c r="AX392" i="9"/>
  <c r="AN392" i="9" s="1"/>
  <c r="AD422" i="21" s="1"/>
  <c r="AU392" i="9"/>
  <c r="AK392" i="9" s="1"/>
  <c r="AD419" i="21" s="1"/>
  <c r="AQ392" i="9"/>
  <c r="AT392" i="9" s="1"/>
  <c r="AG392" i="9"/>
  <c r="AD415" i="21" s="1"/>
  <c r="AF392" i="9"/>
  <c r="AD414" i="21" s="1"/>
  <c r="AE392" i="9"/>
  <c r="AD413" i="21" s="1"/>
  <c r="AD392" i="9"/>
  <c r="AD412" i="21" s="1"/>
  <c r="AC392" i="9"/>
  <c r="AD411" i="21" s="1"/>
  <c r="AB392" i="9"/>
  <c r="AD410" i="21" s="1"/>
  <c r="AA392" i="9"/>
  <c r="AD409" i="21" s="1"/>
  <c r="Z392" i="9"/>
  <c r="AD408" i="21" s="1"/>
  <c r="Y392" i="9"/>
  <c r="AD407" i="21" s="1"/>
  <c r="X392" i="9"/>
  <c r="AD406" i="21" s="1"/>
  <c r="W392" i="9"/>
  <c r="AD405" i="21" s="1"/>
  <c r="V392" i="9"/>
  <c r="AD404" i="21" s="1"/>
  <c r="U392" i="9"/>
  <c r="AD403" i="21" s="1"/>
  <c r="T392" i="9"/>
  <c r="AD402" i="21" s="1"/>
  <c r="S392" i="9"/>
  <c r="AD401" i="21" s="1"/>
  <c r="R392" i="9"/>
  <c r="AD400" i="21" s="1"/>
  <c r="Q392" i="9"/>
  <c r="AD399" i="21" s="1"/>
  <c r="P392" i="9"/>
  <c r="AD398" i="21" s="1"/>
  <c r="O392" i="9"/>
  <c r="AD397" i="21" s="1"/>
  <c r="N392" i="9"/>
  <c r="AD396" i="21" s="1"/>
  <c r="M392" i="9"/>
  <c r="AD395" i="21" s="1"/>
  <c r="L392" i="9"/>
  <c r="AD394" i="21" s="1"/>
  <c r="K392" i="9"/>
  <c r="AD393" i="21" s="1"/>
  <c r="J392" i="9"/>
  <c r="AD392" i="21" s="1"/>
  <c r="I392" i="9"/>
  <c r="AD391" i="21" s="1"/>
  <c r="H392" i="9"/>
  <c r="AD390" i="21" s="1"/>
  <c r="G392" i="9"/>
  <c r="AD389" i="21" s="1"/>
  <c r="F392" i="9"/>
  <c r="AD388" i="21" s="1"/>
  <c r="E392" i="9"/>
  <c r="AD387" i="21" s="1"/>
  <c r="D392" i="9"/>
  <c r="AD386" i="21" s="1"/>
  <c r="AY391" i="9"/>
  <c r="AO391" i="9" s="1"/>
  <c r="AC423" i="21" s="1"/>
  <c r="AX391" i="9"/>
  <c r="AN391" i="9" s="1"/>
  <c r="AC422" i="21" s="1"/>
  <c r="AW391" i="9"/>
  <c r="AM391" i="9" s="1"/>
  <c r="AC421" i="21" s="1"/>
  <c r="AV391" i="9"/>
  <c r="AL391" i="9" s="1"/>
  <c r="AC420" i="21" s="1"/>
  <c r="AT391" i="9"/>
  <c r="AI391" i="9" s="1"/>
  <c r="AC417" i="21" s="1"/>
  <c r="AS391" i="9"/>
  <c r="AR391" i="9"/>
  <c r="AQ391" i="9"/>
  <c r="AU391" i="9" s="1"/>
  <c r="AK391" i="9" s="1"/>
  <c r="AC419" i="21" s="1"/>
  <c r="AJ391" i="9"/>
  <c r="AC418" i="21" s="1"/>
  <c r="AH391" i="9"/>
  <c r="AC416" i="21" s="1"/>
  <c r="AG391" i="9"/>
  <c r="AC415" i="21" s="1"/>
  <c r="AF391" i="9"/>
  <c r="AC414" i="21" s="1"/>
  <c r="AE391" i="9"/>
  <c r="AC413" i="21" s="1"/>
  <c r="AD391" i="9"/>
  <c r="AC412" i="21" s="1"/>
  <c r="AC391" i="9"/>
  <c r="AC411" i="21" s="1"/>
  <c r="AB391" i="9"/>
  <c r="AC410" i="21" s="1"/>
  <c r="AA391" i="9"/>
  <c r="AC409" i="21" s="1"/>
  <c r="Z391" i="9"/>
  <c r="AC408" i="21" s="1"/>
  <c r="Y391" i="9"/>
  <c r="AC407" i="21" s="1"/>
  <c r="X391" i="9"/>
  <c r="AC406" i="21" s="1"/>
  <c r="W391" i="9"/>
  <c r="AC405" i="21" s="1"/>
  <c r="V391" i="9"/>
  <c r="AC404" i="21" s="1"/>
  <c r="U391" i="9"/>
  <c r="AC403" i="21" s="1"/>
  <c r="T391" i="9"/>
  <c r="AC402" i="21" s="1"/>
  <c r="S391" i="9"/>
  <c r="AC401" i="21" s="1"/>
  <c r="R391" i="9"/>
  <c r="AC400" i="21" s="1"/>
  <c r="Q391" i="9"/>
  <c r="AC399" i="21" s="1"/>
  <c r="P391" i="9"/>
  <c r="AC398" i="21" s="1"/>
  <c r="O391" i="9"/>
  <c r="AC397" i="21" s="1"/>
  <c r="N391" i="9"/>
  <c r="AC396" i="21" s="1"/>
  <c r="M391" i="9"/>
  <c r="AC395" i="21" s="1"/>
  <c r="L391" i="9"/>
  <c r="AC394" i="21" s="1"/>
  <c r="K391" i="9"/>
  <c r="AC393" i="21" s="1"/>
  <c r="J391" i="9"/>
  <c r="AC392" i="21" s="1"/>
  <c r="I391" i="9"/>
  <c r="AC391" i="21" s="1"/>
  <c r="H391" i="9"/>
  <c r="AC390" i="21" s="1"/>
  <c r="G391" i="9"/>
  <c r="AC389" i="21" s="1"/>
  <c r="F391" i="9"/>
  <c r="AC388" i="21" s="1"/>
  <c r="E391" i="9"/>
  <c r="AC387" i="21" s="1"/>
  <c r="D391" i="9"/>
  <c r="AC386" i="21" s="1"/>
  <c r="AY390" i="9"/>
  <c r="AO390" i="9" s="1"/>
  <c r="AB423" i="21" s="1"/>
  <c r="AX390" i="9"/>
  <c r="AN390" i="9" s="1"/>
  <c r="AB422" i="21" s="1"/>
  <c r="AW390" i="9"/>
  <c r="AM390" i="9" s="1"/>
  <c r="AB421" i="21" s="1"/>
  <c r="AQ390" i="9"/>
  <c r="AG390" i="9"/>
  <c r="AB415" i="21" s="1"/>
  <c r="AF390" i="9"/>
  <c r="AB414" i="21" s="1"/>
  <c r="AE390" i="9"/>
  <c r="AB413" i="21" s="1"/>
  <c r="AD390" i="9"/>
  <c r="AB412" i="21" s="1"/>
  <c r="AC390" i="9"/>
  <c r="AB411" i="21" s="1"/>
  <c r="AB390" i="9"/>
  <c r="AB410" i="21" s="1"/>
  <c r="AA390" i="9"/>
  <c r="AB409" i="21" s="1"/>
  <c r="Z390" i="9"/>
  <c r="AB408" i="21" s="1"/>
  <c r="Y390" i="9"/>
  <c r="AB407" i="21" s="1"/>
  <c r="X390" i="9"/>
  <c r="AB406" i="21" s="1"/>
  <c r="W390" i="9"/>
  <c r="AB405" i="21" s="1"/>
  <c r="V390" i="9"/>
  <c r="AB404" i="21" s="1"/>
  <c r="U390" i="9"/>
  <c r="AB403" i="21" s="1"/>
  <c r="T390" i="9"/>
  <c r="AB402" i="21" s="1"/>
  <c r="S390" i="9"/>
  <c r="AB401" i="21" s="1"/>
  <c r="R390" i="9"/>
  <c r="AB400" i="21" s="1"/>
  <c r="Q390" i="9"/>
  <c r="AB399" i="21" s="1"/>
  <c r="P390" i="9"/>
  <c r="AB398" i="21" s="1"/>
  <c r="O390" i="9"/>
  <c r="AB397" i="21" s="1"/>
  <c r="N390" i="9"/>
  <c r="AB396" i="21" s="1"/>
  <c r="M390" i="9"/>
  <c r="AB395" i="21" s="1"/>
  <c r="L390" i="9"/>
  <c r="AB394" i="21" s="1"/>
  <c r="K390" i="9"/>
  <c r="AB393" i="21" s="1"/>
  <c r="J390" i="9"/>
  <c r="AB392" i="21" s="1"/>
  <c r="I390" i="9"/>
  <c r="AB391" i="21" s="1"/>
  <c r="H390" i="9"/>
  <c r="AB390" i="21" s="1"/>
  <c r="G390" i="9"/>
  <c r="AB389" i="21" s="1"/>
  <c r="F390" i="9"/>
  <c r="AB388" i="21" s="1"/>
  <c r="E390" i="9"/>
  <c r="AB387" i="21" s="1"/>
  <c r="D390" i="9"/>
  <c r="AB386" i="21" s="1"/>
  <c r="AY389" i="9"/>
  <c r="AO389" i="9" s="1"/>
  <c r="AA423" i="21" s="1"/>
  <c r="AX389" i="9"/>
  <c r="AW389" i="9"/>
  <c r="AV389" i="9"/>
  <c r="AL389" i="9" s="1"/>
  <c r="AA420" i="21" s="1"/>
  <c r="AU389" i="9"/>
  <c r="AK389" i="9" s="1"/>
  <c r="AA419" i="21" s="1"/>
  <c r="AT389" i="9"/>
  <c r="AS389" i="9"/>
  <c r="AR389" i="9"/>
  <c r="AQ389" i="9"/>
  <c r="AN389" i="9"/>
  <c r="AA422" i="21" s="1"/>
  <c r="AM389" i="9"/>
  <c r="AA421" i="21" s="1"/>
  <c r="AJ389" i="9"/>
  <c r="AA418" i="21" s="1"/>
  <c r="AG389" i="9"/>
  <c r="AA415" i="21" s="1"/>
  <c r="AF389" i="9"/>
  <c r="AA414" i="21" s="1"/>
  <c r="AE389" i="9"/>
  <c r="AA413" i="21" s="1"/>
  <c r="AD389" i="9"/>
  <c r="AA412" i="21" s="1"/>
  <c r="AC389" i="9"/>
  <c r="AA411" i="21" s="1"/>
  <c r="AB389" i="9"/>
  <c r="AA410" i="21" s="1"/>
  <c r="AA389" i="9"/>
  <c r="AA409" i="21" s="1"/>
  <c r="Z389" i="9"/>
  <c r="AA408" i="21" s="1"/>
  <c r="Y389" i="9"/>
  <c r="AA407" i="21" s="1"/>
  <c r="X389" i="9"/>
  <c r="AA406" i="21" s="1"/>
  <c r="W389" i="9"/>
  <c r="AA405" i="21" s="1"/>
  <c r="V389" i="9"/>
  <c r="AA404" i="21" s="1"/>
  <c r="U389" i="9"/>
  <c r="AA403" i="21" s="1"/>
  <c r="T389" i="9"/>
  <c r="AA402" i="21" s="1"/>
  <c r="S389" i="9"/>
  <c r="AA401" i="21" s="1"/>
  <c r="R389" i="9"/>
  <c r="AA400" i="21" s="1"/>
  <c r="Q389" i="9"/>
  <c r="AA399" i="21" s="1"/>
  <c r="P389" i="9"/>
  <c r="AA398" i="21" s="1"/>
  <c r="O389" i="9"/>
  <c r="AA397" i="21" s="1"/>
  <c r="N389" i="9"/>
  <c r="AA396" i="21" s="1"/>
  <c r="M389" i="9"/>
  <c r="AA395" i="21" s="1"/>
  <c r="L389" i="9"/>
  <c r="AA394" i="21" s="1"/>
  <c r="K389" i="9"/>
  <c r="AA393" i="21" s="1"/>
  <c r="J389" i="9"/>
  <c r="AA392" i="21" s="1"/>
  <c r="I389" i="9"/>
  <c r="AA391" i="21" s="1"/>
  <c r="H389" i="9"/>
  <c r="AA390" i="21" s="1"/>
  <c r="G389" i="9"/>
  <c r="AA389" i="21" s="1"/>
  <c r="F389" i="9"/>
  <c r="AA388" i="21" s="1"/>
  <c r="E389" i="9"/>
  <c r="AA387" i="21" s="1"/>
  <c r="D389" i="9"/>
  <c r="AA386" i="21" s="1"/>
  <c r="AY388" i="9"/>
  <c r="AO388" i="9" s="1"/>
  <c r="Z423" i="21" s="1"/>
  <c r="AX388" i="9"/>
  <c r="AN388" i="9" s="1"/>
  <c r="Z422" i="21" s="1"/>
  <c r="AW388" i="9"/>
  <c r="AM388" i="9" s="1"/>
  <c r="Z421" i="21" s="1"/>
  <c r="AV388" i="9"/>
  <c r="AU388" i="9"/>
  <c r="AT388" i="9"/>
  <c r="AJ388" i="9" s="1"/>
  <c r="Z418" i="21" s="1"/>
  <c r="AS388" i="9"/>
  <c r="AR388" i="9"/>
  <c r="AQ388" i="9"/>
  <c r="AL388" i="9"/>
  <c r="Z420" i="21" s="1"/>
  <c r="AK388" i="9"/>
  <c r="Z419" i="21" s="1"/>
  <c r="AI388" i="9"/>
  <c r="Z417" i="21" s="1"/>
  <c r="AH388" i="9"/>
  <c r="Z416" i="21" s="1"/>
  <c r="AG388" i="9"/>
  <c r="Z415" i="21" s="1"/>
  <c r="AF388" i="9"/>
  <c r="Z414" i="21" s="1"/>
  <c r="AE388" i="9"/>
  <c r="Z413" i="21" s="1"/>
  <c r="AD388" i="9"/>
  <c r="Z412" i="21" s="1"/>
  <c r="AC388" i="9"/>
  <c r="Z411" i="21" s="1"/>
  <c r="AB388" i="9"/>
  <c r="Z410" i="21" s="1"/>
  <c r="AA388" i="9"/>
  <c r="Z409" i="21" s="1"/>
  <c r="Z388" i="9"/>
  <c r="Z408" i="21" s="1"/>
  <c r="Y388" i="9"/>
  <c r="Z407" i="21" s="1"/>
  <c r="X388" i="9"/>
  <c r="Z406" i="21" s="1"/>
  <c r="W388" i="9"/>
  <c r="Z405" i="21" s="1"/>
  <c r="V388" i="9"/>
  <c r="Z404" i="21" s="1"/>
  <c r="U388" i="9"/>
  <c r="Z403" i="21" s="1"/>
  <c r="T388" i="9"/>
  <c r="Z402" i="21" s="1"/>
  <c r="S388" i="9"/>
  <c r="Z401" i="21" s="1"/>
  <c r="R388" i="9"/>
  <c r="Z400" i="21" s="1"/>
  <c r="Q388" i="9"/>
  <c r="Z399" i="21" s="1"/>
  <c r="P388" i="9"/>
  <c r="Z398" i="21" s="1"/>
  <c r="O388" i="9"/>
  <c r="Z397" i="21" s="1"/>
  <c r="N388" i="9"/>
  <c r="Z396" i="21" s="1"/>
  <c r="M388" i="9"/>
  <c r="Z395" i="21" s="1"/>
  <c r="L388" i="9"/>
  <c r="Z394" i="21" s="1"/>
  <c r="K388" i="9"/>
  <c r="Z393" i="21" s="1"/>
  <c r="J388" i="9"/>
  <c r="Z392" i="21" s="1"/>
  <c r="I388" i="9"/>
  <c r="Z391" i="21" s="1"/>
  <c r="H388" i="9"/>
  <c r="Z390" i="21" s="1"/>
  <c r="G388" i="9"/>
  <c r="Z389" i="21" s="1"/>
  <c r="F388" i="9"/>
  <c r="Z388" i="21" s="1"/>
  <c r="E388" i="9"/>
  <c r="Z387" i="21" s="1"/>
  <c r="D388" i="9"/>
  <c r="Z386" i="21" s="1"/>
  <c r="AY387" i="9"/>
  <c r="AO387" i="9" s="1"/>
  <c r="Y423" i="21" s="1"/>
  <c r="AU387" i="9"/>
  <c r="AK387" i="9" s="1"/>
  <c r="Y419" i="21" s="1"/>
  <c r="AQ387" i="9"/>
  <c r="AG387" i="9"/>
  <c r="Y415" i="21" s="1"/>
  <c r="AF387" i="9"/>
  <c r="Y414" i="21" s="1"/>
  <c r="AE387" i="9"/>
  <c r="Y413" i="21" s="1"/>
  <c r="AD387" i="9"/>
  <c r="Y412" i="21" s="1"/>
  <c r="AC387" i="9"/>
  <c r="Y411" i="21" s="1"/>
  <c r="AB387" i="9"/>
  <c r="Y410" i="21" s="1"/>
  <c r="AA387" i="9"/>
  <c r="Y409" i="21" s="1"/>
  <c r="Z387" i="9"/>
  <c r="Y408" i="21" s="1"/>
  <c r="Y387" i="9"/>
  <c r="Y407" i="21" s="1"/>
  <c r="X387" i="9"/>
  <c r="Y406" i="21" s="1"/>
  <c r="W387" i="9"/>
  <c r="Y405" i="21" s="1"/>
  <c r="V387" i="9"/>
  <c r="Y404" i="21" s="1"/>
  <c r="U387" i="9"/>
  <c r="Y403" i="21" s="1"/>
  <c r="T387" i="9"/>
  <c r="Y402" i="21" s="1"/>
  <c r="S387" i="9"/>
  <c r="Y401" i="21" s="1"/>
  <c r="R387" i="9"/>
  <c r="Y400" i="21" s="1"/>
  <c r="Q387" i="9"/>
  <c r="Y399" i="21" s="1"/>
  <c r="P387" i="9"/>
  <c r="Y398" i="21" s="1"/>
  <c r="O387" i="9"/>
  <c r="Y397" i="21" s="1"/>
  <c r="N387" i="9"/>
  <c r="Y396" i="21" s="1"/>
  <c r="M387" i="9"/>
  <c r="Y395" i="21" s="1"/>
  <c r="L387" i="9"/>
  <c r="Y394" i="21" s="1"/>
  <c r="K387" i="9"/>
  <c r="Y393" i="21" s="1"/>
  <c r="J387" i="9"/>
  <c r="Y392" i="21" s="1"/>
  <c r="I387" i="9"/>
  <c r="Y391" i="21" s="1"/>
  <c r="H387" i="9"/>
  <c r="Y390" i="21" s="1"/>
  <c r="G387" i="9"/>
  <c r="Y389" i="21" s="1"/>
  <c r="F387" i="9"/>
  <c r="Y388" i="21" s="1"/>
  <c r="E387" i="9"/>
  <c r="Y387" i="21" s="1"/>
  <c r="D387" i="9"/>
  <c r="Y386" i="21" s="1"/>
  <c r="AV386" i="9"/>
  <c r="AL386" i="9" s="1"/>
  <c r="X420" i="21" s="1"/>
  <c r="AQ386" i="9"/>
  <c r="AW386" i="9" s="1"/>
  <c r="AM386" i="9" s="1"/>
  <c r="X421" i="21" s="1"/>
  <c r="AG386" i="9"/>
  <c r="X415" i="21" s="1"/>
  <c r="AF386" i="9"/>
  <c r="X414" i="21" s="1"/>
  <c r="AE386" i="9"/>
  <c r="X413" i="21" s="1"/>
  <c r="AD386" i="9"/>
  <c r="X412" i="21" s="1"/>
  <c r="AC386" i="9"/>
  <c r="X411" i="21" s="1"/>
  <c r="AB386" i="9"/>
  <c r="X410" i="21" s="1"/>
  <c r="AA386" i="9"/>
  <c r="X409" i="21" s="1"/>
  <c r="Z386" i="9"/>
  <c r="X408" i="21" s="1"/>
  <c r="Y386" i="9"/>
  <c r="X407" i="21" s="1"/>
  <c r="X386" i="9"/>
  <c r="X406" i="21" s="1"/>
  <c r="W386" i="9"/>
  <c r="X405" i="21" s="1"/>
  <c r="V386" i="9"/>
  <c r="X404" i="21" s="1"/>
  <c r="U386" i="9"/>
  <c r="X403" i="21" s="1"/>
  <c r="T386" i="9"/>
  <c r="X402" i="21" s="1"/>
  <c r="S386" i="9"/>
  <c r="X401" i="21" s="1"/>
  <c r="R386" i="9"/>
  <c r="X400" i="21" s="1"/>
  <c r="Q386" i="9"/>
  <c r="X399" i="21" s="1"/>
  <c r="P386" i="9"/>
  <c r="X398" i="21" s="1"/>
  <c r="O386" i="9"/>
  <c r="X397" i="21" s="1"/>
  <c r="N386" i="9"/>
  <c r="X396" i="21" s="1"/>
  <c r="M386" i="9"/>
  <c r="X395" i="21" s="1"/>
  <c r="L386" i="9"/>
  <c r="X394" i="21" s="1"/>
  <c r="K386" i="9"/>
  <c r="X393" i="21" s="1"/>
  <c r="J386" i="9"/>
  <c r="X392" i="21" s="1"/>
  <c r="I386" i="9"/>
  <c r="X391" i="21" s="1"/>
  <c r="H386" i="9"/>
  <c r="X390" i="21" s="1"/>
  <c r="G386" i="9"/>
  <c r="X389" i="21" s="1"/>
  <c r="F386" i="9"/>
  <c r="X388" i="21" s="1"/>
  <c r="E386" i="9"/>
  <c r="X387" i="21" s="1"/>
  <c r="D386" i="9"/>
  <c r="X386" i="21" s="1"/>
  <c r="AY385" i="9"/>
  <c r="AO385" i="9" s="1"/>
  <c r="W423" i="21" s="1"/>
  <c r="AX385" i="9"/>
  <c r="AN385" i="9" s="1"/>
  <c r="W422" i="21" s="1"/>
  <c r="AU385" i="9"/>
  <c r="AQ385" i="9"/>
  <c r="AV385" i="9" s="1"/>
  <c r="AL385" i="9" s="1"/>
  <c r="W420" i="21" s="1"/>
  <c r="AK385" i="9"/>
  <c r="W419" i="21" s="1"/>
  <c r="AG385" i="9"/>
  <c r="W415" i="21" s="1"/>
  <c r="AF385" i="9"/>
  <c r="W414" i="21" s="1"/>
  <c r="AE385" i="9"/>
  <c r="W413" i="21" s="1"/>
  <c r="AD385" i="9"/>
  <c r="W412" i="21" s="1"/>
  <c r="AC385" i="9"/>
  <c r="W411" i="21" s="1"/>
  <c r="AB385" i="9"/>
  <c r="W410" i="21" s="1"/>
  <c r="AA385" i="9"/>
  <c r="W409" i="21" s="1"/>
  <c r="Z385" i="9"/>
  <c r="W408" i="21" s="1"/>
  <c r="Y385" i="9"/>
  <c r="W407" i="21" s="1"/>
  <c r="X385" i="9"/>
  <c r="W406" i="21" s="1"/>
  <c r="W385" i="9"/>
  <c r="W405" i="21" s="1"/>
  <c r="V385" i="9"/>
  <c r="W404" i="21" s="1"/>
  <c r="U385" i="9"/>
  <c r="W403" i="21" s="1"/>
  <c r="T385" i="9"/>
  <c r="W402" i="21" s="1"/>
  <c r="S385" i="9"/>
  <c r="W401" i="21" s="1"/>
  <c r="R385" i="9"/>
  <c r="W400" i="21" s="1"/>
  <c r="Q385" i="9"/>
  <c r="W399" i="21" s="1"/>
  <c r="P385" i="9"/>
  <c r="W398" i="21" s="1"/>
  <c r="O385" i="9"/>
  <c r="W397" i="21" s="1"/>
  <c r="N385" i="9"/>
  <c r="W396" i="21" s="1"/>
  <c r="M385" i="9"/>
  <c r="W395" i="21" s="1"/>
  <c r="L385" i="9"/>
  <c r="W394" i="21" s="1"/>
  <c r="K385" i="9"/>
  <c r="W393" i="21" s="1"/>
  <c r="J385" i="9"/>
  <c r="W392" i="21" s="1"/>
  <c r="I385" i="9"/>
  <c r="W391" i="21" s="1"/>
  <c r="H385" i="9"/>
  <c r="W390" i="21" s="1"/>
  <c r="G385" i="9"/>
  <c r="W389" i="21" s="1"/>
  <c r="F385" i="9"/>
  <c r="W388" i="21" s="1"/>
  <c r="E385" i="9"/>
  <c r="W387" i="21" s="1"/>
  <c r="D385" i="9"/>
  <c r="W386" i="21" s="1"/>
  <c r="AY384" i="9"/>
  <c r="AO384" i="9" s="1"/>
  <c r="V423" i="21" s="1"/>
  <c r="AX384" i="9"/>
  <c r="AN384" i="9" s="1"/>
  <c r="V422" i="21" s="1"/>
  <c r="AQ384" i="9"/>
  <c r="AV384" i="9" s="1"/>
  <c r="AL384" i="9" s="1"/>
  <c r="V420" i="21" s="1"/>
  <c r="AG384" i="9"/>
  <c r="V415" i="21" s="1"/>
  <c r="AF384" i="9"/>
  <c r="V414" i="21" s="1"/>
  <c r="AE384" i="9"/>
  <c r="V413" i="21" s="1"/>
  <c r="AD384" i="9"/>
  <c r="V412" i="21" s="1"/>
  <c r="AC384" i="9"/>
  <c r="V411" i="21" s="1"/>
  <c r="AB384" i="9"/>
  <c r="V410" i="21" s="1"/>
  <c r="AA384" i="9"/>
  <c r="V409" i="21" s="1"/>
  <c r="Z384" i="9"/>
  <c r="V408" i="21" s="1"/>
  <c r="Y384" i="9"/>
  <c r="V407" i="21" s="1"/>
  <c r="X384" i="9"/>
  <c r="V406" i="21" s="1"/>
  <c r="W384" i="9"/>
  <c r="V405" i="21" s="1"/>
  <c r="V384" i="9"/>
  <c r="V404" i="21" s="1"/>
  <c r="U384" i="9"/>
  <c r="V403" i="21" s="1"/>
  <c r="T384" i="9"/>
  <c r="V402" i="21" s="1"/>
  <c r="S384" i="9"/>
  <c r="V401" i="21" s="1"/>
  <c r="R384" i="9"/>
  <c r="V400" i="21" s="1"/>
  <c r="Q384" i="9"/>
  <c r="V399" i="21" s="1"/>
  <c r="P384" i="9"/>
  <c r="V398" i="21" s="1"/>
  <c r="O384" i="9"/>
  <c r="V397" i="21" s="1"/>
  <c r="N384" i="9"/>
  <c r="V396" i="21" s="1"/>
  <c r="M384" i="9"/>
  <c r="V395" i="21" s="1"/>
  <c r="L384" i="9"/>
  <c r="V394" i="21" s="1"/>
  <c r="K384" i="9"/>
  <c r="V393" i="21" s="1"/>
  <c r="J384" i="9"/>
  <c r="V392" i="21" s="1"/>
  <c r="I384" i="9"/>
  <c r="V391" i="21" s="1"/>
  <c r="H384" i="9"/>
  <c r="V390" i="21" s="1"/>
  <c r="G384" i="9"/>
  <c r="V389" i="21" s="1"/>
  <c r="F384" i="9"/>
  <c r="V388" i="21" s="1"/>
  <c r="E384" i="9"/>
  <c r="V387" i="21" s="1"/>
  <c r="D384" i="9"/>
  <c r="V386" i="21" s="1"/>
  <c r="AX383" i="9"/>
  <c r="AN383" i="9" s="1"/>
  <c r="U422" i="21" s="1"/>
  <c r="AW383" i="9"/>
  <c r="AM383" i="9" s="1"/>
  <c r="U421" i="21" s="1"/>
  <c r="AU383" i="9"/>
  <c r="AK383" i="9" s="1"/>
  <c r="U419" i="21" s="1"/>
  <c r="AR383" i="9"/>
  <c r="AS383" i="9" s="1"/>
  <c r="AQ383" i="9"/>
  <c r="AY383" i="9" s="1"/>
  <c r="AO383" i="9"/>
  <c r="U423" i="21" s="1"/>
  <c r="AG383" i="9"/>
  <c r="U415" i="21" s="1"/>
  <c r="AF383" i="9"/>
  <c r="U414" i="21" s="1"/>
  <c r="AE383" i="9"/>
  <c r="U413" i="21" s="1"/>
  <c r="AD383" i="9"/>
  <c r="U412" i="21" s="1"/>
  <c r="AC383" i="9"/>
  <c r="U411" i="21" s="1"/>
  <c r="AB383" i="9"/>
  <c r="U410" i="21" s="1"/>
  <c r="AA383" i="9"/>
  <c r="U409" i="21" s="1"/>
  <c r="Z383" i="9"/>
  <c r="U408" i="21" s="1"/>
  <c r="Y383" i="9"/>
  <c r="U407" i="21" s="1"/>
  <c r="X383" i="9"/>
  <c r="U406" i="21" s="1"/>
  <c r="W383" i="9"/>
  <c r="U405" i="21" s="1"/>
  <c r="V383" i="9"/>
  <c r="U404" i="21" s="1"/>
  <c r="U383" i="9"/>
  <c r="U403" i="21" s="1"/>
  <c r="T383" i="9"/>
  <c r="U402" i="21" s="1"/>
  <c r="S383" i="9"/>
  <c r="U401" i="21" s="1"/>
  <c r="R383" i="9"/>
  <c r="U400" i="21" s="1"/>
  <c r="Q383" i="9"/>
  <c r="U399" i="21" s="1"/>
  <c r="P383" i="9"/>
  <c r="U398" i="21" s="1"/>
  <c r="O383" i="9"/>
  <c r="U397" i="21" s="1"/>
  <c r="N383" i="9"/>
  <c r="U396" i="21" s="1"/>
  <c r="M383" i="9"/>
  <c r="U395" i="21" s="1"/>
  <c r="L383" i="9"/>
  <c r="U394" i="21" s="1"/>
  <c r="K383" i="9"/>
  <c r="U393" i="21" s="1"/>
  <c r="J383" i="9"/>
  <c r="U392" i="21" s="1"/>
  <c r="I383" i="9"/>
  <c r="U391" i="21" s="1"/>
  <c r="H383" i="9"/>
  <c r="U390" i="21" s="1"/>
  <c r="G383" i="9"/>
  <c r="U389" i="21" s="1"/>
  <c r="F383" i="9"/>
  <c r="U388" i="21" s="1"/>
  <c r="E383" i="9"/>
  <c r="U387" i="21" s="1"/>
  <c r="D383" i="9"/>
  <c r="U386" i="21" s="1"/>
  <c r="AY382" i="9"/>
  <c r="AO382" i="9" s="1"/>
  <c r="T423" i="21" s="1"/>
  <c r="AW382" i="9"/>
  <c r="AM382" i="9" s="1"/>
  <c r="T421" i="21" s="1"/>
  <c r="AV382" i="9"/>
  <c r="AU382" i="9"/>
  <c r="AT382" i="9"/>
  <c r="AI382" i="9" s="1"/>
  <c r="T417" i="21" s="1"/>
  <c r="AR382" i="9"/>
  <c r="AS382" i="9" s="1"/>
  <c r="AQ382" i="9"/>
  <c r="AX382" i="9" s="1"/>
  <c r="AN382" i="9"/>
  <c r="T422" i="21" s="1"/>
  <c r="AL382" i="9"/>
  <c r="T420" i="21" s="1"/>
  <c r="AK382" i="9"/>
  <c r="T419" i="21" s="1"/>
  <c r="AJ382" i="9"/>
  <c r="T418" i="21" s="1"/>
  <c r="AH382" i="9"/>
  <c r="T416" i="21" s="1"/>
  <c r="AG382" i="9"/>
  <c r="T415" i="21" s="1"/>
  <c r="AF382" i="9"/>
  <c r="T414" i="21" s="1"/>
  <c r="AE382" i="9"/>
  <c r="T413" i="21" s="1"/>
  <c r="AD382" i="9"/>
  <c r="T412" i="21" s="1"/>
  <c r="AC382" i="9"/>
  <c r="T411" i="21" s="1"/>
  <c r="AB382" i="9"/>
  <c r="T410" i="21" s="1"/>
  <c r="AA382" i="9"/>
  <c r="T409" i="21" s="1"/>
  <c r="Z382" i="9"/>
  <c r="T408" i="21" s="1"/>
  <c r="Y382" i="9"/>
  <c r="T407" i="21" s="1"/>
  <c r="X382" i="9"/>
  <c r="T406" i="21" s="1"/>
  <c r="W382" i="9"/>
  <c r="T405" i="21" s="1"/>
  <c r="V382" i="9"/>
  <c r="T404" i="21" s="1"/>
  <c r="U382" i="9"/>
  <c r="T403" i="21" s="1"/>
  <c r="T382" i="9"/>
  <c r="T402" i="21" s="1"/>
  <c r="S382" i="9"/>
  <c r="T401" i="21" s="1"/>
  <c r="R382" i="9"/>
  <c r="T400" i="21" s="1"/>
  <c r="Q382" i="9"/>
  <c r="T399" i="21" s="1"/>
  <c r="P382" i="9"/>
  <c r="T398" i="21" s="1"/>
  <c r="O382" i="9"/>
  <c r="T397" i="21" s="1"/>
  <c r="N382" i="9"/>
  <c r="T396" i="21" s="1"/>
  <c r="M382" i="9"/>
  <c r="T395" i="21" s="1"/>
  <c r="L382" i="9"/>
  <c r="T394" i="21" s="1"/>
  <c r="K382" i="9"/>
  <c r="T393" i="21" s="1"/>
  <c r="J382" i="9"/>
  <c r="T392" i="21" s="1"/>
  <c r="I382" i="9"/>
  <c r="T391" i="21" s="1"/>
  <c r="H382" i="9"/>
  <c r="T390" i="21" s="1"/>
  <c r="G382" i="9"/>
  <c r="T389" i="21" s="1"/>
  <c r="F382" i="9"/>
  <c r="T388" i="21" s="1"/>
  <c r="E382" i="9"/>
  <c r="T387" i="21" s="1"/>
  <c r="D382" i="9"/>
  <c r="T386" i="21" s="1"/>
  <c r="AY381" i="9"/>
  <c r="AO381" i="9" s="1"/>
  <c r="S423" i="21" s="1"/>
  <c r="AV381" i="9"/>
  <c r="AQ381" i="9"/>
  <c r="AW381" i="9" s="1"/>
  <c r="AM381" i="9" s="1"/>
  <c r="S421" i="21" s="1"/>
  <c r="AL381" i="9"/>
  <c r="S420" i="21" s="1"/>
  <c r="AG381" i="9"/>
  <c r="S415" i="21" s="1"/>
  <c r="AF381" i="9"/>
  <c r="S414" i="21" s="1"/>
  <c r="AE381" i="9"/>
  <c r="S413" i="21" s="1"/>
  <c r="AD381" i="9"/>
  <c r="S412" i="21" s="1"/>
  <c r="AC381" i="9"/>
  <c r="S411" i="21" s="1"/>
  <c r="AB381" i="9"/>
  <c r="S410" i="21" s="1"/>
  <c r="AA381" i="9"/>
  <c r="S409" i="21" s="1"/>
  <c r="Z381" i="9"/>
  <c r="S408" i="21" s="1"/>
  <c r="Y381" i="9"/>
  <c r="S407" i="21" s="1"/>
  <c r="X381" i="9"/>
  <c r="S406" i="21" s="1"/>
  <c r="W381" i="9"/>
  <c r="S405" i="21" s="1"/>
  <c r="V381" i="9"/>
  <c r="S404" i="21" s="1"/>
  <c r="U381" i="9"/>
  <c r="S403" i="21" s="1"/>
  <c r="T381" i="9"/>
  <c r="S402" i="21" s="1"/>
  <c r="S381" i="9"/>
  <c r="S401" i="21" s="1"/>
  <c r="R381" i="9"/>
  <c r="S400" i="21" s="1"/>
  <c r="Q381" i="9"/>
  <c r="S399" i="21" s="1"/>
  <c r="P381" i="9"/>
  <c r="S398" i="21" s="1"/>
  <c r="O381" i="9"/>
  <c r="S397" i="21" s="1"/>
  <c r="N381" i="9"/>
  <c r="S396" i="21" s="1"/>
  <c r="M381" i="9"/>
  <c r="S395" i="21" s="1"/>
  <c r="L381" i="9"/>
  <c r="S394" i="21" s="1"/>
  <c r="K381" i="9"/>
  <c r="S393" i="21" s="1"/>
  <c r="J381" i="9"/>
  <c r="S392" i="21" s="1"/>
  <c r="I381" i="9"/>
  <c r="S391" i="21" s="1"/>
  <c r="H381" i="9"/>
  <c r="S390" i="21" s="1"/>
  <c r="G381" i="9"/>
  <c r="S389" i="21" s="1"/>
  <c r="F381" i="9"/>
  <c r="S388" i="21" s="1"/>
  <c r="E381" i="9"/>
  <c r="S387" i="21" s="1"/>
  <c r="D381" i="9"/>
  <c r="S386" i="21" s="1"/>
  <c r="AQ380" i="9"/>
  <c r="AT380" i="9" s="1"/>
  <c r="AH380" i="9" s="1"/>
  <c r="R416" i="21" s="1"/>
  <c r="AJ380" i="9"/>
  <c r="R418" i="21" s="1"/>
  <c r="AI380" i="9"/>
  <c r="R417" i="21" s="1"/>
  <c r="AG380" i="9"/>
  <c r="R415" i="21" s="1"/>
  <c r="AF380" i="9"/>
  <c r="R414" i="21" s="1"/>
  <c r="AE380" i="9"/>
  <c r="R413" i="21" s="1"/>
  <c r="AD380" i="9"/>
  <c r="R412" i="21" s="1"/>
  <c r="AC380" i="9"/>
  <c r="R411" i="21" s="1"/>
  <c r="AB380" i="9"/>
  <c r="R410" i="21" s="1"/>
  <c r="AA380" i="9"/>
  <c r="R409" i="21" s="1"/>
  <c r="Z380" i="9"/>
  <c r="R408" i="21" s="1"/>
  <c r="Y380" i="9"/>
  <c r="R407" i="21" s="1"/>
  <c r="X380" i="9"/>
  <c r="R406" i="21" s="1"/>
  <c r="W380" i="9"/>
  <c r="R405" i="21" s="1"/>
  <c r="V380" i="9"/>
  <c r="R404" i="21" s="1"/>
  <c r="U380" i="9"/>
  <c r="R403" i="21" s="1"/>
  <c r="T380" i="9"/>
  <c r="R402" i="21" s="1"/>
  <c r="S380" i="9"/>
  <c r="R401" i="21" s="1"/>
  <c r="R380" i="9"/>
  <c r="R400" i="21" s="1"/>
  <c r="Q380" i="9"/>
  <c r="R399" i="21" s="1"/>
  <c r="P380" i="9"/>
  <c r="R398" i="21" s="1"/>
  <c r="O380" i="9"/>
  <c r="R397" i="21" s="1"/>
  <c r="N380" i="9"/>
  <c r="R396" i="21" s="1"/>
  <c r="M380" i="9"/>
  <c r="R395" i="21" s="1"/>
  <c r="L380" i="9"/>
  <c r="R394" i="21" s="1"/>
  <c r="K380" i="9"/>
  <c r="R393" i="21" s="1"/>
  <c r="J380" i="9"/>
  <c r="R392" i="21" s="1"/>
  <c r="I380" i="9"/>
  <c r="R391" i="21" s="1"/>
  <c r="H380" i="9"/>
  <c r="R390" i="21" s="1"/>
  <c r="G380" i="9"/>
  <c r="R389" i="21" s="1"/>
  <c r="F380" i="9"/>
  <c r="R388" i="21" s="1"/>
  <c r="E380" i="9"/>
  <c r="R387" i="21" s="1"/>
  <c r="D380" i="9"/>
  <c r="R386" i="21" s="1"/>
  <c r="AX379" i="9"/>
  <c r="AV379" i="9"/>
  <c r="AR379" i="9"/>
  <c r="AS379" i="9" s="1"/>
  <c r="AQ379" i="9"/>
  <c r="AN379" i="9"/>
  <c r="Q422" i="21" s="1"/>
  <c r="AL379" i="9"/>
  <c r="Q420" i="21" s="1"/>
  <c r="AG379" i="9"/>
  <c r="Q415" i="21" s="1"/>
  <c r="AF379" i="9"/>
  <c r="Q414" i="21" s="1"/>
  <c r="AE379" i="9"/>
  <c r="Q413" i="21" s="1"/>
  <c r="AD379" i="9"/>
  <c r="Q412" i="21" s="1"/>
  <c r="AC379" i="9"/>
  <c r="Q411" i="21" s="1"/>
  <c r="AB379" i="9"/>
  <c r="Q410" i="21" s="1"/>
  <c r="AA379" i="9"/>
  <c r="Q409" i="21" s="1"/>
  <c r="Z379" i="9"/>
  <c r="Q408" i="21" s="1"/>
  <c r="Y379" i="9"/>
  <c r="Q407" i="21" s="1"/>
  <c r="X379" i="9"/>
  <c r="Q406" i="21" s="1"/>
  <c r="W379" i="9"/>
  <c r="Q405" i="21" s="1"/>
  <c r="V379" i="9"/>
  <c r="Q404" i="21" s="1"/>
  <c r="U379" i="9"/>
  <c r="Q403" i="21" s="1"/>
  <c r="T379" i="9"/>
  <c r="Q402" i="21" s="1"/>
  <c r="S379" i="9"/>
  <c r="Q401" i="21" s="1"/>
  <c r="R379" i="9"/>
  <c r="Q400" i="21" s="1"/>
  <c r="Q379" i="9"/>
  <c r="Q399" i="21" s="1"/>
  <c r="P379" i="9"/>
  <c r="Q398" i="21" s="1"/>
  <c r="O379" i="9"/>
  <c r="Q397" i="21" s="1"/>
  <c r="N379" i="9"/>
  <c r="Q396" i="21" s="1"/>
  <c r="M379" i="9"/>
  <c r="Q395" i="21" s="1"/>
  <c r="L379" i="9"/>
  <c r="Q394" i="21" s="1"/>
  <c r="K379" i="9"/>
  <c r="Q393" i="21" s="1"/>
  <c r="J379" i="9"/>
  <c r="Q392" i="21" s="1"/>
  <c r="I379" i="9"/>
  <c r="Q391" i="21" s="1"/>
  <c r="H379" i="9"/>
  <c r="Q390" i="21" s="1"/>
  <c r="G379" i="9"/>
  <c r="Q389" i="21" s="1"/>
  <c r="F379" i="9"/>
  <c r="Q388" i="21" s="1"/>
  <c r="E379" i="9"/>
  <c r="Q387" i="21" s="1"/>
  <c r="D379" i="9"/>
  <c r="Q386" i="21" s="1"/>
  <c r="AY378" i="9"/>
  <c r="AX378" i="9"/>
  <c r="AN378" i="9" s="1"/>
  <c r="P422" i="21" s="1"/>
  <c r="AW378" i="9"/>
  <c r="AM378" i="9" s="1"/>
  <c r="P421" i="21" s="1"/>
  <c r="AV378" i="9"/>
  <c r="AL378" i="9" s="1"/>
  <c r="P420" i="21" s="1"/>
  <c r="AU378" i="9"/>
  <c r="AT378" i="9"/>
  <c r="AJ378" i="9" s="1"/>
  <c r="P418" i="21" s="1"/>
  <c r="AR378" i="9"/>
  <c r="AS378" i="9" s="1"/>
  <c r="AQ378" i="9"/>
  <c r="AO378" i="9"/>
  <c r="P423" i="21" s="1"/>
  <c r="AK378" i="9"/>
  <c r="P419" i="21" s="1"/>
  <c r="AI378" i="9"/>
  <c r="P417" i="21" s="1"/>
  <c r="AH378" i="9"/>
  <c r="P416" i="21" s="1"/>
  <c r="AG378" i="9"/>
  <c r="P415" i="21" s="1"/>
  <c r="AF378" i="9"/>
  <c r="P414" i="21" s="1"/>
  <c r="AE378" i="9"/>
  <c r="P413" i="21" s="1"/>
  <c r="AD378" i="9"/>
  <c r="P412" i="21" s="1"/>
  <c r="AC378" i="9"/>
  <c r="P411" i="21" s="1"/>
  <c r="AB378" i="9"/>
  <c r="P410" i="21" s="1"/>
  <c r="AA378" i="9"/>
  <c r="P409" i="21" s="1"/>
  <c r="Z378" i="9"/>
  <c r="P408" i="21" s="1"/>
  <c r="Y378" i="9"/>
  <c r="P407" i="21" s="1"/>
  <c r="X378" i="9"/>
  <c r="P406" i="21" s="1"/>
  <c r="W378" i="9"/>
  <c r="P405" i="21" s="1"/>
  <c r="V378" i="9"/>
  <c r="P404" i="21" s="1"/>
  <c r="U378" i="9"/>
  <c r="P403" i="21" s="1"/>
  <c r="T378" i="9"/>
  <c r="P402" i="21" s="1"/>
  <c r="S378" i="9"/>
  <c r="P401" i="21" s="1"/>
  <c r="R378" i="9"/>
  <c r="P400" i="21" s="1"/>
  <c r="Q378" i="9"/>
  <c r="P399" i="21" s="1"/>
  <c r="P378" i="9"/>
  <c r="P398" i="21" s="1"/>
  <c r="O378" i="9"/>
  <c r="P397" i="21" s="1"/>
  <c r="N378" i="9"/>
  <c r="P396" i="21" s="1"/>
  <c r="M378" i="9"/>
  <c r="P395" i="21" s="1"/>
  <c r="L378" i="9"/>
  <c r="P394" i="21" s="1"/>
  <c r="K378" i="9"/>
  <c r="P393" i="21" s="1"/>
  <c r="J378" i="9"/>
  <c r="P392" i="21" s="1"/>
  <c r="I378" i="9"/>
  <c r="P391" i="21" s="1"/>
  <c r="H378" i="9"/>
  <c r="P390" i="21" s="1"/>
  <c r="G378" i="9"/>
  <c r="P389" i="21" s="1"/>
  <c r="F378" i="9"/>
  <c r="P388" i="21" s="1"/>
  <c r="E378" i="9"/>
  <c r="P387" i="21" s="1"/>
  <c r="D378" i="9"/>
  <c r="P386" i="21" s="1"/>
  <c r="AY377" i="9"/>
  <c r="AO377" i="9" s="1"/>
  <c r="O423" i="21" s="1"/>
  <c r="AX377" i="9"/>
  <c r="AN377" i="9" s="1"/>
  <c r="O422" i="21" s="1"/>
  <c r="AW377" i="9"/>
  <c r="AU377" i="9"/>
  <c r="AK377" i="9" s="1"/>
  <c r="O419" i="21" s="1"/>
  <c r="AQ377" i="9"/>
  <c r="AT377" i="9" s="1"/>
  <c r="AM377" i="9"/>
  <c r="O421" i="21" s="1"/>
  <c r="AG377" i="9"/>
  <c r="O415" i="21" s="1"/>
  <c r="AF377" i="9"/>
  <c r="O414" i="21" s="1"/>
  <c r="AE377" i="9"/>
  <c r="O413" i="21" s="1"/>
  <c r="AD377" i="9"/>
  <c r="O412" i="21" s="1"/>
  <c r="AC377" i="9"/>
  <c r="O411" i="21" s="1"/>
  <c r="AB377" i="9"/>
  <c r="O410" i="21" s="1"/>
  <c r="AA377" i="9"/>
  <c r="O409" i="21" s="1"/>
  <c r="Z377" i="9"/>
  <c r="O408" i="21" s="1"/>
  <c r="Y377" i="9"/>
  <c r="O407" i="21" s="1"/>
  <c r="X377" i="9"/>
  <c r="O406" i="21" s="1"/>
  <c r="W377" i="9"/>
  <c r="O405" i="21" s="1"/>
  <c r="V377" i="9"/>
  <c r="O404" i="21" s="1"/>
  <c r="U377" i="9"/>
  <c r="O403" i="21" s="1"/>
  <c r="T377" i="9"/>
  <c r="O402" i="21" s="1"/>
  <c r="S377" i="9"/>
  <c r="O401" i="21" s="1"/>
  <c r="R377" i="9"/>
  <c r="O400" i="21" s="1"/>
  <c r="Q377" i="9"/>
  <c r="O399" i="21" s="1"/>
  <c r="P377" i="9"/>
  <c r="O398" i="21" s="1"/>
  <c r="O377" i="9"/>
  <c r="O397" i="21" s="1"/>
  <c r="N377" i="9"/>
  <c r="O396" i="21" s="1"/>
  <c r="M377" i="9"/>
  <c r="O395" i="21" s="1"/>
  <c r="L377" i="9"/>
  <c r="O394" i="21" s="1"/>
  <c r="K377" i="9"/>
  <c r="O393" i="21" s="1"/>
  <c r="J377" i="9"/>
  <c r="O392" i="21" s="1"/>
  <c r="I377" i="9"/>
  <c r="O391" i="21" s="1"/>
  <c r="H377" i="9"/>
  <c r="O390" i="21" s="1"/>
  <c r="G377" i="9"/>
  <c r="O389" i="21" s="1"/>
  <c r="F377" i="9"/>
  <c r="O388" i="21" s="1"/>
  <c r="E377" i="9"/>
  <c r="O387" i="21" s="1"/>
  <c r="D377" i="9"/>
  <c r="O386" i="21" s="1"/>
  <c r="AV376" i="9"/>
  <c r="AL376" i="9" s="1"/>
  <c r="N420" i="21" s="1"/>
  <c r="AT376" i="9"/>
  <c r="AJ376" i="9" s="1"/>
  <c r="N418" i="21" s="1"/>
  <c r="AQ376" i="9"/>
  <c r="AY376" i="9" s="1"/>
  <c r="AO376" i="9" s="1"/>
  <c r="N423" i="21" s="1"/>
  <c r="AG376" i="9"/>
  <c r="N415" i="21" s="1"/>
  <c r="AF376" i="9"/>
  <c r="N414" i="21" s="1"/>
  <c r="AE376" i="9"/>
  <c r="N413" i="21" s="1"/>
  <c r="AD376" i="9"/>
  <c r="N412" i="21" s="1"/>
  <c r="AC376" i="9"/>
  <c r="N411" i="21" s="1"/>
  <c r="AB376" i="9"/>
  <c r="N410" i="21" s="1"/>
  <c r="AA376" i="9"/>
  <c r="N409" i="21" s="1"/>
  <c r="Z376" i="9"/>
  <c r="N408" i="21" s="1"/>
  <c r="Y376" i="9"/>
  <c r="N407" i="21" s="1"/>
  <c r="X376" i="9"/>
  <c r="N406" i="21" s="1"/>
  <c r="W376" i="9"/>
  <c r="N405" i="21" s="1"/>
  <c r="V376" i="9"/>
  <c r="N404" i="21" s="1"/>
  <c r="U376" i="9"/>
  <c r="N403" i="21" s="1"/>
  <c r="T376" i="9"/>
  <c r="N402" i="21" s="1"/>
  <c r="S376" i="9"/>
  <c r="N401" i="21" s="1"/>
  <c r="R376" i="9"/>
  <c r="N400" i="21" s="1"/>
  <c r="Q376" i="9"/>
  <c r="N399" i="21" s="1"/>
  <c r="P376" i="9"/>
  <c r="N398" i="21" s="1"/>
  <c r="O376" i="9"/>
  <c r="N397" i="21" s="1"/>
  <c r="N376" i="9"/>
  <c r="N396" i="21" s="1"/>
  <c r="M376" i="9"/>
  <c r="N395" i="21" s="1"/>
  <c r="L376" i="9"/>
  <c r="N394" i="21" s="1"/>
  <c r="K376" i="9"/>
  <c r="N393" i="21" s="1"/>
  <c r="J376" i="9"/>
  <c r="N392" i="21" s="1"/>
  <c r="I376" i="9"/>
  <c r="N391" i="21" s="1"/>
  <c r="H376" i="9"/>
  <c r="N390" i="21" s="1"/>
  <c r="G376" i="9"/>
  <c r="N389" i="21" s="1"/>
  <c r="F376" i="9"/>
  <c r="N388" i="21" s="1"/>
  <c r="E376" i="9"/>
  <c r="N387" i="21" s="1"/>
  <c r="D376" i="9"/>
  <c r="N386" i="21" s="1"/>
  <c r="AY375" i="9"/>
  <c r="AO375" i="9" s="1"/>
  <c r="M423" i="21" s="1"/>
  <c r="AX375" i="9"/>
  <c r="AN375" i="9" s="1"/>
  <c r="M422" i="21" s="1"/>
  <c r="AU375" i="9"/>
  <c r="AK375" i="9" s="1"/>
  <c r="M419" i="21" s="1"/>
  <c r="AT375" i="9"/>
  <c r="AJ375" i="9" s="1"/>
  <c r="M418" i="21" s="1"/>
  <c r="AQ375" i="9"/>
  <c r="AW375" i="9" s="1"/>
  <c r="AM375" i="9" s="1"/>
  <c r="M421" i="21" s="1"/>
  <c r="AI375" i="9"/>
  <c r="M417" i="21" s="1"/>
  <c r="AG375" i="9"/>
  <c r="M415" i="21" s="1"/>
  <c r="AF375" i="9"/>
  <c r="M414" i="21" s="1"/>
  <c r="AE375" i="9"/>
  <c r="M413" i="21" s="1"/>
  <c r="AD375" i="9"/>
  <c r="M412" i="21" s="1"/>
  <c r="AC375" i="9"/>
  <c r="M411" i="21" s="1"/>
  <c r="AB375" i="9"/>
  <c r="M410" i="21" s="1"/>
  <c r="AA375" i="9"/>
  <c r="M409" i="21" s="1"/>
  <c r="Z375" i="9"/>
  <c r="M408" i="21" s="1"/>
  <c r="Y375" i="9"/>
  <c r="M407" i="21" s="1"/>
  <c r="X375" i="9"/>
  <c r="M406" i="21" s="1"/>
  <c r="W375" i="9"/>
  <c r="M405" i="21" s="1"/>
  <c r="V375" i="9"/>
  <c r="M404" i="21" s="1"/>
  <c r="U375" i="9"/>
  <c r="M403" i="21" s="1"/>
  <c r="T375" i="9"/>
  <c r="M402" i="21" s="1"/>
  <c r="S375" i="9"/>
  <c r="M401" i="21" s="1"/>
  <c r="R375" i="9"/>
  <c r="M400" i="21" s="1"/>
  <c r="Q375" i="9"/>
  <c r="M399" i="21" s="1"/>
  <c r="P375" i="9"/>
  <c r="M398" i="21" s="1"/>
  <c r="O375" i="9"/>
  <c r="M397" i="21" s="1"/>
  <c r="N375" i="9"/>
  <c r="M396" i="21" s="1"/>
  <c r="M375" i="9"/>
  <c r="M395" i="21" s="1"/>
  <c r="L375" i="9"/>
  <c r="M394" i="21" s="1"/>
  <c r="K375" i="9"/>
  <c r="M393" i="21" s="1"/>
  <c r="J375" i="9"/>
  <c r="M392" i="21" s="1"/>
  <c r="I375" i="9"/>
  <c r="M391" i="21" s="1"/>
  <c r="H375" i="9"/>
  <c r="M390" i="21" s="1"/>
  <c r="G375" i="9"/>
  <c r="M389" i="21" s="1"/>
  <c r="F375" i="9"/>
  <c r="M388" i="21" s="1"/>
  <c r="E375" i="9"/>
  <c r="M387" i="21" s="1"/>
  <c r="D375" i="9"/>
  <c r="M386" i="21" s="1"/>
  <c r="AY374" i="9"/>
  <c r="AO374" i="9" s="1"/>
  <c r="L423" i="21" s="1"/>
  <c r="AX374" i="9"/>
  <c r="AV374" i="9"/>
  <c r="AL374" i="9" s="1"/>
  <c r="L420" i="21" s="1"/>
  <c r="AT374" i="9"/>
  <c r="AH374" i="9" s="1"/>
  <c r="L416" i="21" s="1"/>
  <c r="AR374" i="9"/>
  <c r="AS374" i="9" s="1"/>
  <c r="AQ374" i="9"/>
  <c r="AU374" i="9" s="1"/>
  <c r="AK374" i="9" s="1"/>
  <c r="L419" i="21" s="1"/>
  <c r="AN374" i="9"/>
  <c r="L422" i="21" s="1"/>
  <c r="AJ374" i="9"/>
  <c r="L418" i="21" s="1"/>
  <c r="AI374" i="9"/>
  <c r="L417" i="21" s="1"/>
  <c r="AG374" i="9"/>
  <c r="L415" i="21" s="1"/>
  <c r="AF374" i="9"/>
  <c r="L414" i="21" s="1"/>
  <c r="AE374" i="9"/>
  <c r="L413" i="21" s="1"/>
  <c r="AD374" i="9"/>
  <c r="L412" i="21" s="1"/>
  <c r="AC374" i="9"/>
  <c r="L411" i="21" s="1"/>
  <c r="AB374" i="9"/>
  <c r="L410" i="21" s="1"/>
  <c r="AA374" i="9"/>
  <c r="L409" i="21" s="1"/>
  <c r="Z374" i="9"/>
  <c r="L408" i="21" s="1"/>
  <c r="Y374" i="9"/>
  <c r="L407" i="21" s="1"/>
  <c r="X374" i="9"/>
  <c r="L406" i="21" s="1"/>
  <c r="W374" i="9"/>
  <c r="L405" i="21" s="1"/>
  <c r="V374" i="9"/>
  <c r="L404" i="21" s="1"/>
  <c r="U374" i="9"/>
  <c r="L403" i="21" s="1"/>
  <c r="T374" i="9"/>
  <c r="L402" i="21" s="1"/>
  <c r="S374" i="9"/>
  <c r="L401" i="21" s="1"/>
  <c r="R374" i="9"/>
  <c r="L400" i="21" s="1"/>
  <c r="Q374" i="9"/>
  <c r="L399" i="21" s="1"/>
  <c r="P374" i="9"/>
  <c r="L398" i="21" s="1"/>
  <c r="O374" i="9"/>
  <c r="L397" i="21" s="1"/>
  <c r="N374" i="9"/>
  <c r="L396" i="21" s="1"/>
  <c r="M374" i="9"/>
  <c r="L395" i="21" s="1"/>
  <c r="L374" i="9"/>
  <c r="L394" i="21" s="1"/>
  <c r="K374" i="9"/>
  <c r="L393" i="21" s="1"/>
  <c r="J374" i="9"/>
  <c r="L392" i="21" s="1"/>
  <c r="I374" i="9"/>
  <c r="L391" i="21" s="1"/>
  <c r="H374" i="9"/>
  <c r="L390" i="21" s="1"/>
  <c r="G374" i="9"/>
  <c r="L389" i="21" s="1"/>
  <c r="F374" i="9"/>
  <c r="L388" i="21" s="1"/>
  <c r="E374" i="9"/>
  <c r="L387" i="21" s="1"/>
  <c r="D374" i="9"/>
  <c r="L386" i="21" s="1"/>
  <c r="AU373" i="9"/>
  <c r="AK373" i="9" s="1"/>
  <c r="K419" i="21" s="1"/>
  <c r="AT373" i="9"/>
  <c r="AJ373" i="9" s="1"/>
  <c r="K418" i="21" s="1"/>
  <c r="AQ373" i="9"/>
  <c r="AY373" i="9" s="1"/>
  <c r="AO373" i="9" s="1"/>
  <c r="K423" i="21" s="1"/>
  <c r="AG373" i="9"/>
  <c r="K415" i="21" s="1"/>
  <c r="AF373" i="9"/>
  <c r="K414" i="21" s="1"/>
  <c r="AE373" i="9"/>
  <c r="K413" i="21" s="1"/>
  <c r="AD373" i="9"/>
  <c r="K412" i="21" s="1"/>
  <c r="AC373" i="9"/>
  <c r="K411" i="21" s="1"/>
  <c r="AB373" i="9"/>
  <c r="K410" i="21" s="1"/>
  <c r="AA373" i="9"/>
  <c r="K409" i="21" s="1"/>
  <c r="Z373" i="9"/>
  <c r="K408" i="21" s="1"/>
  <c r="Y373" i="9"/>
  <c r="K407" i="21" s="1"/>
  <c r="X373" i="9"/>
  <c r="K406" i="21" s="1"/>
  <c r="W373" i="9"/>
  <c r="K405" i="21" s="1"/>
  <c r="V373" i="9"/>
  <c r="K404" i="21" s="1"/>
  <c r="U373" i="9"/>
  <c r="K403" i="21" s="1"/>
  <c r="T373" i="9"/>
  <c r="K402" i="21" s="1"/>
  <c r="S373" i="9"/>
  <c r="K401" i="21" s="1"/>
  <c r="R373" i="9"/>
  <c r="K400" i="21" s="1"/>
  <c r="Q373" i="9"/>
  <c r="K399" i="21" s="1"/>
  <c r="P373" i="9"/>
  <c r="K398" i="21" s="1"/>
  <c r="O373" i="9"/>
  <c r="K397" i="21" s="1"/>
  <c r="N373" i="9"/>
  <c r="K396" i="21" s="1"/>
  <c r="M373" i="9"/>
  <c r="K395" i="21" s="1"/>
  <c r="L373" i="9"/>
  <c r="K394" i="21" s="1"/>
  <c r="K373" i="9"/>
  <c r="K393" i="21" s="1"/>
  <c r="J373" i="9"/>
  <c r="K392" i="21" s="1"/>
  <c r="I373" i="9"/>
  <c r="K391" i="21" s="1"/>
  <c r="H373" i="9"/>
  <c r="K390" i="21" s="1"/>
  <c r="G373" i="9"/>
  <c r="K389" i="21" s="1"/>
  <c r="F373" i="9"/>
  <c r="K388" i="21" s="1"/>
  <c r="E373" i="9"/>
  <c r="K387" i="21" s="1"/>
  <c r="D373" i="9"/>
  <c r="K386" i="21" s="1"/>
  <c r="AY372" i="9"/>
  <c r="AO372" i="9" s="1"/>
  <c r="J423" i="21" s="1"/>
  <c r="AX372" i="9"/>
  <c r="AN372" i="9" s="1"/>
  <c r="J422" i="21" s="1"/>
  <c r="AW372" i="9"/>
  <c r="AV372" i="9"/>
  <c r="AL372" i="9" s="1"/>
  <c r="J420" i="21" s="1"/>
  <c r="AU372" i="9"/>
  <c r="AK372" i="9" s="1"/>
  <c r="J419" i="21" s="1"/>
  <c r="AT372" i="9"/>
  <c r="AI372" i="9" s="1"/>
  <c r="J417" i="21" s="1"/>
  <c r="AR372" i="9"/>
  <c r="AS372" i="9" s="1"/>
  <c r="AQ372" i="9"/>
  <c r="AM372" i="9"/>
  <c r="J421" i="21" s="1"/>
  <c r="AJ372" i="9"/>
  <c r="J418" i="21" s="1"/>
  <c r="AG372" i="9"/>
  <c r="J415" i="21" s="1"/>
  <c r="AF372" i="9"/>
  <c r="J414" i="21" s="1"/>
  <c r="AE372" i="9"/>
  <c r="J413" i="21" s="1"/>
  <c r="AD372" i="9"/>
  <c r="J412" i="21" s="1"/>
  <c r="AC372" i="9"/>
  <c r="J411" i="21" s="1"/>
  <c r="AB372" i="9"/>
  <c r="J410" i="21" s="1"/>
  <c r="AA372" i="9"/>
  <c r="J409" i="21" s="1"/>
  <c r="Z372" i="9"/>
  <c r="J408" i="21" s="1"/>
  <c r="Y372" i="9"/>
  <c r="J407" i="21" s="1"/>
  <c r="X372" i="9"/>
  <c r="J406" i="21" s="1"/>
  <c r="W372" i="9"/>
  <c r="J405" i="21" s="1"/>
  <c r="V372" i="9"/>
  <c r="J404" i="21" s="1"/>
  <c r="U372" i="9"/>
  <c r="J403" i="21" s="1"/>
  <c r="T372" i="9"/>
  <c r="J402" i="21" s="1"/>
  <c r="S372" i="9"/>
  <c r="J401" i="21" s="1"/>
  <c r="R372" i="9"/>
  <c r="J400" i="21" s="1"/>
  <c r="Q372" i="9"/>
  <c r="J399" i="21" s="1"/>
  <c r="P372" i="9"/>
  <c r="J398" i="21" s="1"/>
  <c r="O372" i="9"/>
  <c r="J397" i="21" s="1"/>
  <c r="N372" i="9"/>
  <c r="J396" i="21" s="1"/>
  <c r="M372" i="9"/>
  <c r="J395" i="21" s="1"/>
  <c r="L372" i="9"/>
  <c r="J394" i="21" s="1"/>
  <c r="K372" i="9"/>
  <c r="J393" i="21" s="1"/>
  <c r="J372" i="9"/>
  <c r="J392" i="21" s="1"/>
  <c r="I372" i="9"/>
  <c r="J391" i="21" s="1"/>
  <c r="H372" i="9"/>
  <c r="J390" i="21" s="1"/>
  <c r="G372" i="9"/>
  <c r="J389" i="21" s="1"/>
  <c r="F372" i="9"/>
  <c r="J388" i="21" s="1"/>
  <c r="E372" i="9"/>
  <c r="J387" i="21" s="1"/>
  <c r="D372" i="9"/>
  <c r="J386" i="21" s="1"/>
  <c r="AY371" i="9"/>
  <c r="AQ371" i="9"/>
  <c r="AV371" i="9" s="1"/>
  <c r="AL371" i="9" s="1"/>
  <c r="I420" i="21" s="1"/>
  <c r="AO371" i="9"/>
  <c r="I423" i="21" s="1"/>
  <c r="AG371" i="9"/>
  <c r="I415" i="21" s="1"/>
  <c r="AF371" i="9"/>
  <c r="I414" i="21" s="1"/>
  <c r="AE371" i="9"/>
  <c r="I413" i="21" s="1"/>
  <c r="AD371" i="9"/>
  <c r="I412" i="21" s="1"/>
  <c r="AC371" i="9"/>
  <c r="I411" i="21" s="1"/>
  <c r="AB371" i="9"/>
  <c r="I410" i="21" s="1"/>
  <c r="AA371" i="9"/>
  <c r="I409" i="21" s="1"/>
  <c r="Z371" i="9"/>
  <c r="I408" i="21" s="1"/>
  <c r="Y371" i="9"/>
  <c r="I407" i="21" s="1"/>
  <c r="X371" i="9"/>
  <c r="I406" i="21" s="1"/>
  <c r="W371" i="9"/>
  <c r="I405" i="21" s="1"/>
  <c r="V371" i="9"/>
  <c r="I404" i="21" s="1"/>
  <c r="U371" i="9"/>
  <c r="I403" i="21" s="1"/>
  <c r="T371" i="9"/>
  <c r="I402" i="21" s="1"/>
  <c r="S371" i="9"/>
  <c r="I401" i="21" s="1"/>
  <c r="R371" i="9"/>
  <c r="I400" i="21" s="1"/>
  <c r="Q371" i="9"/>
  <c r="I399" i="21" s="1"/>
  <c r="P371" i="9"/>
  <c r="I398" i="21" s="1"/>
  <c r="O371" i="9"/>
  <c r="I397" i="21" s="1"/>
  <c r="N371" i="9"/>
  <c r="I396" i="21" s="1"/>
  <c r="M371" i="9"/>
  <c r="I395" i="21" s="1"/>
  <c r="L371" i="9"/>
  <c r="I394" i="21" s="1"/>
  <c r="K371" i="9"/>
  <c r="I393" i="21" s="1"/>
  <c r="J371" i="9"/>
  <c r="I392" i="21" s="1"/>
  <c r="I371" i="9"/>
  <c r="I391" i="21" s="1"/>
  <c r="H371" i="9"/>
  <c r="I390" i="21" s="1"/>
  <c r="G371" i="9"/>
  <c r="I389" i="21" s="1"/>
  <c r="F371" i="9"/>
  <c r="I388" i="21" s="1"/>
  <c r="E371" i="9"/>
  <c r="I387" i="21" s="1"/>
  <c r="D371" i="9"/>
  <c r="I386" i="21" s="1"/>
  <c r="AU370" i="9"/>
  <c r="AK370" i="9" s="1"/>
  <c r="H419" i="21" s="1"/>
  <c r="AQ370" i="9"/>
  <c r="AY370" i="9" s="1"/>
  <c r="AO370" i="9" s="1"/>
  <c r="H423" i="21" s="1"/>
  <c r="AG370" i="9"/>
  <c r="H415" i="21" s="1"/>
  <c r="AF370" i="9"/>
  <c r="H414" i="21" s="1"/>
  <c r="AE370" i="9"/>
  <c r="H413" i="21" s="1"/>
  <c r="AD370" i="9"/>
  <c r="H412" i="21" s="1"/>
  <c r="AC370" i="9"/>
  <c r="H411" i="21" s="1"/>
  <c r="AB370" i="9"/>
  <c r="H410" i="21" s="1"/>
  <c r="AA370" i="9"/>
  <c r="H409" i="21" s="1"/>
  <c r="Z370" i="9"/>
  <c r="H408" i="21" s="1"/>
  <c r="Y370" i="9"/>
  <c r="H407" i="21" s="1"/>
  <c r="X370" i="9"/>
  <c r="H406" i="21" s="1"/>
  <c r="W370" i="9"/>
  <c r="H405" i="21" s="1"/>
  <c r="V370" i="9"/>
  <c r="H404" i="21" s="1"/>
  <c r="U370" i="9"/>
  <c r="H403" i="21" s="1"/>
  <c r="T370" i="9"/>
  <c r="H402" i="21" s="1"/>
  <c r="S370" i="9"/>
  <c r="H401" i="21" s="1"/>
  <c r="R370" i="9"/>
  <c r="H400" i="21" s="1"/>
  <c r="Q370" i="9"/>
  <c r="H399" i="21" s="1"/>
  <c r="P370" i="9"/>
  <c r="H398" i="21" s="1"/>
  <c r="O370" i="9"/>
  <c r="H397" i="21" s="1"/>
  <c r="N370" i="9"/>
  <c r="H396" i="21" s="1"/>
  <c r="M370" i="9"/>
  <c r="H395" i="21" s="1"/>
  <c r="L370" i="9"/>
  <c r="H394" i="21" s="1"/>
  <c r="K370" i="9"/>
  <c r="H393" i="21" s="1"/>
  <c r="J370" i="9"/>
  <c r="H392" i="21" s="1"/>
  <c r="I370" i="9"/>
  <c r="H391" i="21" s="1"/>
  <c r="H370" i="9"/>
  <c r="H390" i="21" s="1"/>
  <c r="G370" i="9"/>
  <c r="H389" i="21" s="1"/>
  <c r="F370" i="9"/>
  <c r="H388" i="21" s="1"/>
  <c r="E370" i="9"/>
  <c r="H387" i="21" s="1"/>
  <c r="D370" i="9"/>
  <c r="H386" i="21" s="1"/>
  <c r="AW369" i="9"/>
  <c r="AM369" i="9" s="1"/>
  <c r="G421" i="21" s="1"/>
  <c r="AV369" i="9"/>
  <c r="AL369" i="9" s="1"/>
  <c r="G420" i="21" s="1"/>
  <c r="AU369" i="9"/>
  <c r="AQ369" i="9"/>
  <c r="AR369" i="9" s="1"/>
  <c r="AS369" i="9" s="1"/>
  <c r="AK369" i="9"/>
  <c r="G419" i="21" s="1"/>
  <c r="AG369" i="9"/>
  <c r="G415" i="21" s="1"/>
  <c r="AF369" i="9"/>
  <c r="G414" i="21" s="1"/>
  <c r="AE369" i="9"/>
  <c r="G413" i="21" s="1"/>
  <c r="AD369" i="9"/>
  <c r="G412" i="21" s="1"/>
  <c r="AC369" i="9"/>
  <c r="G411" i="21" s="1"/>
  <c r="AB369" i="9"/>
  <c r="G410" i="21" s="1"/>
  <c r="AA369" i="9"/>
  <c r="G409" i="21" s="1"/>
  <c r="Z369" i="9"/>
  <c r="G408" i="21" s="1"/>
  <c r="Y369" i="9"/>
  <c r="G407" i="21" s="1"/>
  <c r="X369" i="9"/>
  <c r="G406" i="21" s="1"/>
  <c r="W369" i="9"/>
  <c r="G405" i="21" s="1"/>
  <c r="V369" i="9"/>
  <c r="G404" i="21" s="1"/>
  <c r="U369" i="9"/>
  <c r="G403" i="21" s="1"/>
  <c r="T369" i="9"/>
  <c r="G402" i="21" s="1"/>
  <c r="S369" i="9"/>
  <c r="G401" i="21" s="1"/>
  <c r="R369" i="9"/>
  <c r="G400" i="21" s="1"/>
  <c r="Q369" i="9"/>
  <c r="G399" i="21" s="1"/>
  <c r="P369" i="9"/>
  <c r="G398" i="21" s="1"/>
  <c r="O369" i="9"/>
  <c r="G397" i="21" s="1"/>
  <c r="N369" i="9"/>
  <c r="G396" i="21" s="1"/>
  <c r="M369" i="9"/>
  <c r="G395" i="21" s="1"/>
  <c r="L369" i="9"/>
  <c r="G394" i="21" s="1"/>
  <c r="K369" i="9"/>
  <c r="G393" i="21" s="1"/>
  <c r="J369" i="9"/>
  <c r="G392" i="21" s="1"/>
  <c r="I369" i="9"/>
  <c r="G391" i="21" s="1"/>
  <c r="H369" i="9"/>
  <c r="G390" i="21" s="1"/>
  <c r="G369" i="9"/>
  <c r="G389" i="21" s="1"/>
  <c r="F369" i="9"/>
  <c r="G388" i="21" s="1"/>
  <c r="E369" i="9"/>
  <c r="G387" i="21" s="1"/>
  <c r="D369" i="9"/>
  <c r="G386" i="21" s="1"/>
  <c r="AQ368" i="9"/>
  <c r="AW368" i="9" s="1"/>
  <c r="AM368" i="9" s="1"/>
  <c r="F421" i="21" s="1"/>
  <c r="AG368" i="9"/>
  <c r="F415" i="21" s="1"/>
  <c r="AF368" i="9"/>
  <c r="F414" i="21" s="1"/>
  <c r="AE368" i="9"/>
  <c r="F413" i="21" s="1"/>
  <c r="AD368" i="9"/>
  <c r="F412" i="21" s="1"/>
  <c r="AC368" i="9"/>
  <c r="F411" i="21" s="1"/>
  <c r="AB368" i="9"/>
  <c r="F410" i="21" s="1"/>
  <c r="AA368" i="9"/>
  <c r="F409" i="21" s="1"/>
  <c r="Z368" i="9"/>
  <c r="F408" i="21" s="1"/>
  <c r="Y368" i="9"/>
  <c r="F407" i="21" s="1"/>
  <c r="X368" i="9"/>
  <c r="F406" i="21" s="1"/>
  <c r="W368" i="9"/>
  <c r="F405" i="21" s="1"/>
  <c r="V368" i="9"/>
  <c r="F404" i="21" s="1"/>
  <c r="U368" i="9"/>
  <c r="F403" i="21" s="1"/>
  <c r="T368" i="9"/>
  <c r="F402" i="21" s="1"/>
  <c r="S368" i="9"/>
  <c r="F401" i="21" s="1"/>
  <c r="R368" i="9"/>
  <c r="F400" i="21" s="1"/>
  <c r="Q368" i="9"/>
  <c r="F399" i="21" s="1"/>
  <c r="P368" i="9"/>
  <c r="F398" i="21" s="1"/>
  <c r="O368" i="9"/>
  <c r="F397" i="21" s="1"/>
  <c r="N368" i="9"/>
  <c r="F396" i="21" s="1"/>
  <c r="M368" i="9"/>
  <c r="F395" i="21" s="1"/>
  <c r="L368" i="9"/>
  <c r="F394" i="21" s="1"/>
  <c r="K368" i="9"/>
  <c r="F393" i="21" s="1"/>
  <c r="J368" i="9"/>
  <c r="F392" i="21" s="1"/>
  <c r="I368" i="9"/>
  <c r="F391" i="21" s="1"/>
  <c r="H368" i="9"/>
  <c r="F390" i="21" s="1"/>
  <c r="G368" i="9"/>
  <c r="F389" i="21" s="1"/>
  <c r="F368" i="9"/>
  <c r="F388" i="21" s="1"/>
  <c r="E368" i="9"/>
  <c r="F387" i="21" s="1"/>
  <c r="D368" i="9"/>
  <c r="F386" i="21" s="1"/>
  <c r="AV367" i="9"/>
  <c r="AL367" i="9" s="1"/>
  <c r="E420" i="21" s="1"/>
  <c r="AQ367" i="9"/>
  <c r="AY367" i="9" s="1"/>
  <c r="AO367" i="9" s="1"/>
  <c r="E423" i="21" s="1"/>
  <c r="AG367" i="9"/>
  <c r="E415" i="21" s="1"/>
  <c r="AF367" i="9"/>
  <c r="E414" i="21" s="1"/>
  <c r="AE367" i="9"/>
  <c r="E413" i="21" s="1"/>
  <c r="AD367" i="9"/>
  <c r="E412" i="21" s="1"/>
  <c r="AC367" i="9"/>
  <c r="E411" i="21" s="1"/>
  <c r="AB367" i="9"/>
  <c r="E410" i="21" s="1"/>
  <c r="AA367" i="9"/>
  <c r="E409" i="21" s="1"/>
  <c r="Z367" i="9"/>
  <c r="E408" i="21" s="1"/>
  <c r="Y367" i="9"/>
  <c r="E407" i="21" s="1"/>
  <c r="X367" i="9"/>
  <c r="E406" i="21" s="1"/>
  <c r="W367" i="9"/>
  <c r="E405" i="21" s="1"/>
  <c r="V367" i="9"/>
  <c r="E404" i="21" s="1"/>
  <c r="U367" i="9"/>
  <c r="E403" i="21" s="1"/>
  <c r="T367" i="9"/>
  <c r="E402" i="21" s="1"/>
  <c r="S367" i="9"/>
  <c r="E401" i="21" s="1"/>
  <c r="R367" i="9"/>
  <c r="E400" i="21" s="1"/>
  <c r="Q367" i="9"/>
  <c r="E399" i="21" s="1"/>
  <c r="P367" i="9"/>
  <c r="E398" i="21" s="1"/>
  <c r="O367" i="9"/>
  <c r="E397" i="21" s="1"/>
  <c r="N367" i="9"/>
  <c r="E396" i="21" s="1"/>
  <c r="M367" i="9"/>
  <c r="E395" i="21" s="1"/>
  <c r="L367" i="9"/>
  <c r="E394" i="21" s="1"/>
  <c r="K367" i="9"/>
  <c r="E393" i="21" s="1"/>
  <c r="J367" i="9"/>
  <c r="E392" i="21" s="1"/>
  <c r="I367" i="9"/>
  <c r="E391" i="21" s="1"/>
  <c r="H367" i="9"/>
  <c r="E390" i="21" s="1"/>
  <c r="G367" i="9"/>
  <c r="E389" i="21" s="1"/>
  <c r="F367" i="9"/>
  <c r="E388" i="21" s="1"/>
  <c r="E367" i="9"/>
  <c r="E387" i="21" s="1"/>
  <c r="D367" i="9"/>
  <c r="E386" i="21" s="1"/>
  <c r="AX366" i="9"/>
  <c r="AN366" i="9" s="1"/>
  <c r="D422" i="21" s="1"/>
  <c r="AW366" i="9"/>
  <c r="AM366" i="9" s="1"/>
  <c r="D421" i="21" s="1"/>
  <c r="AV366" i="9"/>
  <c r="AT366" i="9"/>
  <c r="AJ366" i="9" s="1"/>
  <c r="D418" i="21" s="1"/>
  <c r="AR366" i="9"/>
  <c r="AS366" i="9" s="1"/>
  <c r="AQ366" i="9"/>
  <c r="AY366" i="9" s="1"/>
  <c r="AO366" i="9" s="1"/>
  <c r="D423" i="21" s="1"/>
  <c r="AL366" i="9"/>
  <c r="D420" i="21" s="1"/>
  <c r="AI366" i="9"/>
  <c r="D417" i="21" s="1"/>
  <c r="AH366" i="9"/>
  <c r="D416" i="21" s="1"/>
  <c r="AG366" i="9"/>
  <c r="D415" i="21" s="1"/>
  <c r="AF366" i="9"/>
  <c r="D414" i="21" s="1"/>
  <c r="AE366" i="9"/>
  <c r="D413" i="21" s="1"/>
  <c r="AD366" i="9"/>
  <c r="D412" i="21" s="1"/>
  <c r="AC366" i="9"/>
  <c r="D411" i="21" s="1"/>
  <c r="AB366" i="9"/>
  <c r="D410" i="21" s="1"/>
  <c r="AA366" i="9"/>
  <c r="D409" i="21" s="1"/>
  <c r="Z366" i="9"/>
  <c r="D408" i="21" s="1"/>
  <c r="Y366" i="9"/>
  <c r="D407" i="21" s="1"/>
  <c r="X366" i="9"/>
  <c r="D406" i="21" s="1"/>
  <c r="W366" i="9"/>
  <c r="D405" i="21" s="1"/>
  <c r="V366" i="9"/>
  <c r="D404" i="21" s="1"/>
  <c r="U366" i="9"/>
  <c r="D403" i="21" s="1"/>
  <c r="T366" i="9"/>
  <c r="D402" i="21" s="1"/>
  <c r="S366" i="9"/>
  <c r="D401" i="21" s="1"/>
  <c r="R366" i="9"/>
  <c r="D400" i="21" s="1"/>
  <c r="Q366" i="9"/>
  <c r="D399" i="21" s="1"/>
  <c r="P366" i="9"/>
  <c r="D398" i="21" s="1"/>
  <c r="O366" i="9"/>
  <c r="D397" i="21" s="1"/>
  <c r="N366" i="9"/>
  <c r="D396" i="21" s="1"/>
  <c r="M366" i="9"/>
  <c r="D395" i="21" s="1"/>
  <c r="L366" i="9"/>
  <c r="D394" i="21" s="1"/>
  <c r="K366" i="9"/>
  <c r="D393" i="21" s="1"/>
  <c r="J366" i="9"/>
  <c r="D392" i="21" s="1"/>
  <c r="I366" i="9"/>
  <c r="D391" i="21" s="1"/>
  <c r="H366" i="9"/>
  <c r="D390" i="21" s="1"/>
  <c r="G366" i="9"/>
  <c r="D389" i="21" s="1"/>
  <c r="F366" i="9"/>
  <c r="D388" i="21" s="1"/>
  <c r="E366" i="9"/>
  <c r="D387" i="21" s="1"/>
  <c r="D366" i="9"/>
  <c r="D386" i="21" s="1"/>
  <c r="AY365" i="9"/>
  <c r="AO365" i="9" s="1"/>
  <c r="AQ381" i="21" s="1"/>
  <c r="AW365" i="9"/>
  <c r="AV365" i="9"/>
  <c r="AU365" i="9"/>
  <c r="AK365" i="9" s="1"/>
  <c r="AQ377" i="21" s="1"/>
  <c r="AR365" i="9"/>
  <c r="AS365" i="9" s="1"/>
  <c r="AQ365" i="9"/>
  <c r="AX365" i="9" s="1"/>
  <c r="AN365" i="9" s="1"/>
  <c r="AQ380" i="21" s="1"/>
  <c r="AM365" i="9"/>
  <c r="AQ379" i="21" s="1"/>
  <c r="AL365" i="9"/>
  <c r="AQ378" i="21" s="1"/>
  <c r="AG365" i="9"/>
  <c r="AQ373" i="21" s="1"/>
  <c r="AF365" i="9"/>
  <c r="AQ372" i="21" s="1"/>
  <c r="AE365" i="9"/>
  <c r="AQ371" i="21" s="1"/>
  <c r="AD365" i="9"/>
  <c r="AQ370" i="21" s="1"/>
  <c r="AC365" i="9"/>
  <c r="AQ369" i="21" s="1"/>
  <c r="AB365" i="9"/>
  <c r="AQ368" i="21" s="1"/>
  <c r="AA365" i="9"/>
  <c r="AQ367" i="21" s="1"/>
  <c r="Z365" i="9"/>
  <c r="AQ366" i="21" s="1"/>
  <c r="Y365" i="9"/>
  <c r="AQ365" i="21" s="1"/>
  <c r="X365" i="9"/>
  <c r="AQ364" i="21" s="1"/>
  <c r="W365" i="9"/>
  <c r="AQ363" i="21" s="1"/>
  <c r="V365" i="9"/>
  <c r="AQ362" i="21" s="1"/>
  <c r="U365" i="9"/>
  <c r="AQ361" i="21" s="1"/>
  <c r="T365" i="9"/>
  <c r="AQ360" i="21" s="1"/>
  <c r="S365" i="9"/>
  <c r="AQ359" i="21" s="1"/>
  <c r="R365" i="9"/>
  <c r="AQ358" i="21" s="1"/>
  <c r="Q365" i="9"/>
  <c r="AQ357" i="21" s="1"/>
  <c r="P365" i="9"/>
  <c r="AQ356" i="21" s="1"/>
  <c r="O365" i="9"/>
  <c r="AQ355" i="21" s="1"/>
  <c r="N365" i="9"/>
  <c r="AQ354" i="21" s="1"/>
  <c r="M365" i="9"/>
  <c r="AQ353" i="21" s="1"/>
  <c r="L365" i="9"/>
  <c r="AQ352" i="21" s="1"/>
  <c r="K365" i="9"/>
  <c r="AQ351" i="21" s="1"/>
  <c r="J365" i="9"/>
  <c r="AQ350" i="21" s="1"/>
  <c r="I365" i="9"/>
  <c r="AQ349" i="21" s="1"/>
  <c r="H365" i="9"/>
  <c r="AQ348" i="21" s="1"/>
  <c r="G365" i="9"/>
  <c r="AQ347" i="21" s="1"/>
  <c r="F365" i="9"/>
  <c r="AQ346" i="21" s="1"/>
  <c r="E365" i="9"/>
  <c r="AQ345" i="21" s="1"/>
  <c r="D365" i="9"/>
  <c r="AQ344" i="21" s="1"/>
  <c r="AY364" i="9"/>
  <c r="AX364" i="9"/>
  <c r="AN364" i="9" s="1"/>
  <c r="AP380" i="21" s="1"/>
  <c r="AW364" i="9"/>
  <c r="AM364" i="9" s="1"/>
  <c r="AP379" i="21" s="1"/>
  <c r="AV364" i="9"/>
  <c r="AU364" i="9"/>
  <c r="AT364" i="9"/>
  <c r="AJ364" i="9" s="1"/>
  <c r="AP376" i="21" s="1"/>
  <c r="AR364" i="9"/>
  <c r="AS364" i="9" s="1"/>
  <c r="AQ364" i="9"/>
  <c r="AO364" i="9"/>
  <c r="AP381" i="21" s="1"/>
  <c r="AL364" i="9"/>
  <c r="AP378" i="21" s="1"/>
  <c r="AK364" i="9"/>
  <c r="AP377" i="21" s="1"/>
  <c r="AI364" i="9"/>
  <c r="AP375" i="21" s="1"/>
  <c r="AH364" i="9"/>
  <c r="AP374" i="21" s="1"/>
  <c r="AG364" i="9"/>
  <c r="AP373" i="21" s="1"/>
  <c r="AF364" i="9"/>
  <c r="AP372" i="21" s="1"/>
  <c r="AE364" i="9"/>
  <c r="AP371" i="21" s="1"/>
  <c r="AD364" i="9"/>
  <c r="AP370" i="21" s="1"/>
  <c r="AC364" i="9"/>
  <c r="AP369" i="21" s="1"/>
  <c r="AB364" i="9"/>
  <c r="AP368" i="21" s="1"/>
  <c r="AA364" i="9"/>
  <c r="AP367" i="21" s="1"/>
  <c r="Z364" i="9"/>
  <c r="AP366" i="21" s="1"/>
  <c r="Y364" i="9"/>
  <c r="AP365" i="21" s="1"/>
  <c r="X364" i="9"/>
  <c r="AP364" i="21" s="1"/>
  <c r="W364" i="9"/>
  <c r="AP363" i="21" s="1"/>
  <c r="V364" i="9"/>
  <c r="AP362" i="21" s="1"/>
  <c r="U364" i="9"/>
  <c r="AP361" i="21" s="1"/>
  <c r="T364" i="9"/>
  <c r="AP360" i="21" s="1"/>
  <c r="S364" i="9"/>
  <c r="AP359" i="21" s="1"/>
  <c r="R364" i="9"/>
  <c r="AP358" i="21" s="1"/>
  <c r="Q364" i="9"/>
  <c r="AP357" i="21" s="1"/>
  <c r="P364" i="9"/>
  <c r="AP356" i="21" s="1"/>
  <c r="O364" i="9"/>
  <c r="AP355" i="21" s="1"/>
  <c r="N364" i="9"/>
  <c r="AP354" i="21" s="1"/>
  <c r="M364" i="9"/>
  <c r="AP353" i="21" s="1"/>
  <c r="L364" i="9"/>
  <c r="AP352" i="21" s="1"/>
  <c r="K364" i="9"/>
  <c r="AP351" i="21" s="1"/>
  <c r="J364" i="9"/>
  <c r="AP350" i="21" s="1"/>
  <c r="I364" i="9"/>
  <c r="AP349" i="21" s="1"/>
  <c r="H364" i="9"/>
  <c r="AP348" i="21" s="1"/>
  <c r="G364" i="9"/>
  <c r="AP347" i="21" s="1"/>
  <c r="F364" i="9"/>
  <c r="AP346" i="21" s="1"/>
  <c r="E364" i="9"/>
  <c r="AP345" i="21" s="1"/>
  <c r="D364" i="9"/>
  <c r="AP344" i="21" s="1"/>
  <c r="AY363" i="9"/>
  <c r="AO363" i="9" s="1"/>
  <c r="AO381" i="21" s="1"/>
  <c r="AX363" i="9"/>
  <c r="AN363" i="9" s="1"/>
  <c r="AO380" i="21" s="1"/>
  <c r="AW363" i="9"/>
  <c r="AU363" i="9"/>
  <c r="AK363" i="9" s="1"/>
  <c r="AO377" i="21" s="1"/>
  <c r="AR363" i="9"/>
  <c r="AS363" i="9" s="1"/>
  <c r="AQ363" i="9"/>
  <c r="AT363" i="9" s="1"/>
  <c r="AM363" i="9"/>
  <c r="AO379" i="21" s="1"/>
  <c r="AG363" i="9"/>
  <c r="AO373" i="21" s="1"/>
  <c r="AF363" i="9"/>
  <c r="AO372" i="21" s="1"/>
  <c r="AE363" i="9"/>
  <c r="AO371" i="21" s="1"/>
  <c r="AD363" i="9"/>
  <c r="AO370" i="21" s="1"/>
  <c r="AC363" i="9"/>
  <c r="AO369" i="21" s="1"/>
  <c r="AB363" i="9"/>
  <c r="AO368" i="21" s="1"/>
  <c r="AA363" i="9"/>
  <c r="AO367" i="21" s="1"/>
  <c r="Z363" i="9"/>
  <c r="AO366" i="21" s="1"/>
  <c r="Y363" i="9"/>
  <c r="AO365" i="21" s="1"/>
  <c r="X363" i="9"/>
  <c r="AO364" i="21" s="1"/>
  <c r="W363" i="9"/>
  <c r="AO363" i="21" s="1"/>
  <c r="V363" i="9"/>
  <c r="AO362" i="21" s="1"/>
  <c r="U363" i="9"/>
  <c r="AO361" i="21" s="1"/>
  <c r="T363" i="9"/>
  <c r="AO360" i="21" s="1"/>
  <c r="S363" i="9"/>
  <c r="AO359" i="21" s="1"/>
  <c r="R363" i="9"/>
  <c r="AO358" i="21" s="1"/>
  <c r="Q363" i="9"/>
  <c r="AO357" i="21" s="1"/>
  <c r="P363" i="9"/>
  <c r="AO356" i="21" s="1"/>
  <c r="O363" i="9"/>
  <c r="AO355" i="21" s="1"/>
  <c r="N363" i="9"/>
  <c r="AO354" i="21" s="1"/>
  <c r="M363" i="9"/>
  <c r="AO353" i="21" s="1"/>
  <c r="L363" i="9"/>
  <c r="AO352" i="21" s="1"/>
  <c r="K363" i="9"/>
  <c r="AO351" i="21" s="1"/>
  <c r="J363" i="9"/>
  <c r="AO350" i="21" s="1"/>
  <c r="I363" i="9"/>
  <c r="AO349" i="21" s="1"/>
  <c r="H363" i="9"/>
  <c r="AO348" i="21" s="1"/>
  <c r="G363" i="9"/>
  <c r="AO347" i="21" s="1"/>
  <c r="F363" i="9"/>
  <c r="AO346" i="21" s="1"/>
  <c r="E363" i="9"/>
  <c r="AO345" i="21" s="1"/>
  <c r="D363" i="9"/>
  <c r="AO344" i="21" s="1"/>
  <c r="AX362" i="9"/>
  <c r="AW362" i="9"/>
  <c r="AV362" i="9"/>
  <c r="AL362" i="9" s="1"/>
  <c r="AN378" i="21" s="1"/>
  <c r="AT362" i="9"/>
  <c r="AJ362" i="9" s="1"/>
  <c r="AN376" i="21" s="1"/>
  <c r="AQ362" i="9"/>
  <c r="AY362" i="9" s="1"/>
  <c r="AO362" i="9" s="1"/>
  <c r="AN381" i="21" s="1"/>
  <c r="AN362" i="9"/>
  <c r="AN380" i="21" s="1"/>
  <c r="AM362" i="9"/>
  <c r="AN379" i="21" s="1"/>
  <c r="AG362" i="9"/>
  <c r="AN373" i="21" s="1"/>
  <c r="AF362" i="9"/>
  <c r="AN372" i="21" s="1"/>
  <c r="AE362" i="9"/>
  <c r="AN371" i="21" s="1"/>
  <c r="AD362" i="9"/>
  <c r="AN370" i="21" s="1"/>
  <c r="AC362" i="9"/>
  <c r="AN369" i="21" s="1"/>
  <c r="AB362" i="9"/>
  <c r="AN368" i="21" s="1"/>
  <c r="AA362" i="9"/>
  <c r="AN367" i="21" s="1"/>
  <c r="Z362" i="9"/>
  <c r="AN366" i="21" s="1"/>
  <c r="Y362" i="9"/>
  <c r="AN365" i="21" s="1"/>
  <c r="X362" i="9"/>
  <c r="AN364" i="21" s="1"/>
  <c r="W362" i="9"/>
  <c r="AN363" i="21" s="1"/>
  <c r="V362" i="9"/>
  <c r="AN362" i="21" s="1"/>
  <c r="U362" i="9"/>
  <c r="AN361" i="21" s="1"/>
  <c r="T362" i="9"/>
  <c r="AN360" i="21" s="1"/>
  <c r="S362" i="9"/>
  <c r="AN359" i="21" s="1"/>
  <c r="R362" i="9"/>
  <c r="AN358" i="21" s="1"/>
  <c r="Q362" i="9"/>
  <c r="AN357" i="21" s="1"/>
  <c r="P362" i="9"/>
  <c r="AN356" i="21" s="1"/>
  <c r="O362" i="9"/>
  <c r="AN355" i="21" s="1"/>
  <c r="N362" i="9"/>
  <c r="AN354" i="21" s="1"/>
  <c r="M362" i="9"/>
  <c r="AN353" i="21" s="1"/>
  <c r="L362" i="9"/>
  <c r="AN352" i="21" s="1"/>
  <c r="K362" i="9"/>
  <c r="AN351" i="21" s="1"/>
  <c r="J362" i="9"/>
  <c r="AN350" i="21" s="1"/>
  <c r="I362" i="9"/>
  <c r="AN349" i="21" s="1"/>
  <c r="H362" i="9"/>
  <c r="AN348" i="21" s="1"/>
  <c r="G362" i="9"/>
  <c r="AN347" i="21" s="1"/>
  <c r="F362" i="9"/>
  <c r="AN346" i="21" s="1"/>
  <c r="E362" i="9"/>
  <c r="AN345" i="21" s="1"/>
  <c r="D362" i="9"/>
  <c r="AN344" i="21" s="1"/>
  <c r="AY361" i="9"/>
  <c r="AO361" i="9" s="1"/>
  <c r="AM381" i="21" s="1"/>
  <c r="AX361" i="9"/>
  <c r="AN361" i="9" s="1"/>
  <c r="AM380" i="21" s="1"/>
  <c r="AU361" i="9"/>
  <c r="AK361" i="9" s="1"/>
  <c r="AM377" i="21" s="1"/>
  <c r="AT361" i="9"/>
  <c r="AJ361" i="9" s="1"/>
  <c r="AM376" i="21" s="1"/>
  <c r="AQ361" i="9"/>
  <c r="AW361" i="9" s="1"/>
  <c r="AM361" i="9" s="1"/>
  <c r="AM379" i="21" s="1"/>
  <c r="AI361" i="9"/>
  <c r="AM375" i="21" s="1"/>
  <c r="AG361" i="9"/>
  <c r="AM373" i="21" s="1"/>
  <c r="AF361" i="9"/>
  <c r="AM372" i="21" s="1"/>
  <c r="AE361" i="9"/>
  <c r="AM371" i="21" s="1"/>
  <c r="AD361" i="9"/>
  <c r="AM370" i="21" s="1"/>
  <c r="AC361" i="9"/>
  <c r="AM369" i="21" s="1"/>
  <c r="AB361" i="9"/>
  <c r="AM368" i="21" s="1"/>
  <c r="AA361" i="9"/>
  <c r="AM367" i="21" s="1"/>
  <c r="Z361" i="9"/>
  <c r="AM366" i="21" s="1"/>
  <c r="Y361" i="9"/>
  <c r="AM365" i="21" s="1"/>
  <c r="X361" i="9"/>
  <c r="AM364" i="21" s="1"/>
  <c r="W361" i="9"/>
  <c r="AM363" i="21" s="1"/>
  <c r="V361" i="9"/>
  <c r="AM362" i="21" s="1"/>
  <c r="U361" i="9"/>
  <c r="AM361" i="21" s="1"/>
  <c r="T361" i="9"/>
  <c r="AM360" i="21" s="1"/>
  <c r="S361" i="9"/>
  <c r="AM359" i="21" s="1"/>
  <c r="R361" i="9"/>
  <c r="AM358" i="21" s="1"/>
  <c r="Q361" i="9"/>
  <c r="AM357" i="21" s="1"/>
  <c r="P361" i="9"/>
  <c r="AM356" i="21" s="1"/>
  <c r="O361" i="9"/>
  <c r="AM355" i="21" s="1"/>
  <c r="N361" i="9"/>
  <c r="AM354" i="21" s="1"/>
  <c r="M361" i="9"/>
  <c r="AM353" i="21" s="1"/>
  <c r="L361" i="9"/>
  <c r="AM352" i="21" s="1"/>
  <c r="K361" i="9"/>
  <c r="AM351" i="21" s="1"/>
  <c r="J361" i="9"/>
  <c r="AM350" i="21" s="1"/>
  <c r="I361" i="9"/>
  <c r="AM349" i="21" s="1"/>
  <c r="H361" i="9"/>
  <c r="AM348" i="21" s="1"/>
  <c r="G361" i="9"/>
  <c r="AM347" i="21" s="1"/>
  <c r="F361" i="9"/>
  <c r="AM346" i="21" s="1"/>
  <c r="E361" i="9"/>
  <c r="AM345" i="21" s="1"/>
  <c r="D361" i="9"/>
  <c r="AM344" i="21" s="1"/>
  <c r="AY360" i="9"/>
  <c r="AO360" i="9" s="1"/>
  <c r="AL381" i="21" s="1"/>
  <c r="AX360" i="9"/>
  <c r="AV360" i="9"/>
  <c r="AL360" i="9" s="1"/>
  <c r="AL378" i="21" s="1"/>
  <c r="AT360" i="9"/>
  <c r="AH360" i="9" s="1"/>
  <c r="AL374" i="21" s="1"/>
  <c r="AS360" i="9"/>
  <c r="AR360" i="9"/>
  <c r="AQ360" i="9"/>
  <c r="AU360" i="9" s="1"/>
  <c r="AK360" i="9" s="1"/>
  <c r="AL377" i="21" s="1"/>
  <c r="AN360" i="9"/>
  <c r="AL380" i="21" s="1"/>
  <c r="AJ360" i="9"/>
  <c r="AL376" i="21" s="1"/>
  <c r="AI360" i="9"/>
  <c r="AL375" i="21" s="1"/>
  <c r="AG360" i="9"/>
  <c r="AL373" i="21" s="1"/>
  <c r="AF360" i="9"/>
  <c r="AL372" i="21" s="1"/>
  <c r="AE360" i="9"/>
  <c r="AL371" i="21" s="1"/>
  <c r="AD360" i="9"/>
  <c r="AL370" i="21" s="1"/>
  <c r="AC360" i="9"/>
  <c r="AL369" i="21" s="1"/>
  <c r="AB360" i="9"/>
  <c r="AL368" i="21" s="1"/>
  <c r="AA360" i="9"/>
  <c r="AL367" i="21" s="1"/>
  <c r="Z360" i="9"/>
  <c r="AL366" i="21" s="1"/>
  <c r="Y360" i="9"/>
  <c r="AL365" i="21" s="1"/>
  <c r="X360" i="9"/>
  <c r="AL364" i="21" s="1"/>
  <c r="W360" i="9"/>
  <c r="AL363" i="21" s="1"/>
  <c r="V360" i="9"/>
  <c r="AL362" i="21" s="1"/>
  <c r="U360" i="9"/>
  <c r="AL361" i="21" s="1"/>
  <c r="T360" i="9"/>
  <c r="AL360" i="21" s="1"/>
  <c r="S360" i="9"/>
  <c r="AL359" i="21" s="1"/>
  <c r="R360" i="9"/>
  <c r="AL358" i="21" s="1"/>
  <c r="Q360" i="9"/>
  <c r="AL357" i="21" s="1"/>
  <c r="P360" i="9"/>
  <c r="AL356" i="21" s="1"/>
  <c r="O360" i="9"/>
  <c r="AL355" i="21" s="1"/>
  <c r="N360" i="9"/>
  <c r="AL354" i="21" s="1"/>
  <c r="M360" i="9"/>
  <c r="AL353" i="21" s="1"/>
  <c r="L360" i="9"/>
  <c r="AL352" i="21" s="1"/>
  <c r="K360" i="9"/>
  <c r="AL351" i="21" s="1"/>
  <c r="J360" i="9"/>
  <c r="AL350" i="21" s="1"/>
  <c r="I360" i="9"/>
  <c r="AL349" i="21" s="1"/>
  <c r="H360" i="9"/>
  <c r="AL348" i="21" s="1"/>
  <c r="G360" i="9"/>
  <c r="AL347" i="21" s="1"/>
  <c r="F360" i="9"/>
  <c r="AL346" i="21" s="1"/>
  <c r="E360" i="9"/>
  <c r="AL345" i="21" s="1"/>
  <c r="D360" i="9"/>
  <c r="AL344" i="21" s="1"/>
  <c r="AU359" i="9"/>
  <c r="AK359" i="9" s="1"/>
  <c r="AK377" i="21" s="1"/>
  <c r="AT359" i="9"/>
  <c r="AJ359" i="9" s="1"/>
  <c r="AK376" i="21" s="1"/>
  <c r="AQ359" i="9"/>
  <c r="AY359" i="9" s="1"/>
  <c r="AO359" i="9" s="1"/>
  <c r="AK381" i="21" s="1"/>
  <c r="AG359" i="9"/>
  <c r="AK373" i="21" s="1"/>
  <c r="AF359" i="9"/>
  <c r="AK372" i="21" s="1"/>
  <c r="AE359" i="9"/>
  <c r="AK371" i="21" s="1"/>
  <c r="AD359" i="9"/>
  <c r="AK370" i="21" s="1"/>
  <c r="AC359" i="9"/>
  <c r="AK369" i="21" s="1"/>
  <c r="AB359" i="9"/>
  <c r="AK368" i="21" s="1"/>
  <c r="AA359" i="9"/>
  <c r="AK367" i="21" s="1"/>
  <c r="Z359" i="9"/>
  <c r="AK366" i="21" s="1"/>
  <c r="Y359" i="9"/>
  <c r="AK365" i="21" s="1"/>
  <c r="X359" i="9"/>
  <c r="AK364" i="21" s="1"/>
  <c r="W359" i="9"/>
  <c r="AK363" i="21" s="1"/>
  <c r="V359" i="9"/>
  <c r="AK362" i="21" s="1"/>
  <c r="U359" i="9"/>
  <c r="AK361" i="21" s="1"/>
  <c r="T359" i="9"/>
  <c r="AK360" i="21" s="1"/>
  <c r="S359" i="9"/>
  <c r="AK359" i="21" s="1"/>
  <c r="R359" i="9"/>
  <c r="AK358" i="21" s="1"/>
  <c r="Q359" i="9"/>
  <c r="AK357" i="21" s="1"/>
  <c r="P359" i="9"/>
  <c r="AK356" i="21" s="1"/>
  <c r="O359" i="9"/>
  <c r="AK355" i="21" s="1"/>
  <c r="N359" i="9"/>
  <c r="AK354" i="21" s="1"/>
  <c r="M359" i="9"/>
  <c r="AK353" i="21" s="1"/>
  <c r="L359" i="9"/>
  <c r="AK352" i="21" s="1"/>
  <c r="K359" i="9"/>
  <c r="AK351" i="21" s="1"/>
  <c r="J359" i="9"/>
  <c r="AK350" i="21" s="1"/>
  <c r="I359" i="9"/>
  <c r="AK349" i="21" s="1"/>
  <c r="H359" i="9"/>
  <c r="AK348" i="21" s="1"/>
  <c r="G359" i="9"/>
  <c r="AK347" i="21" s="1"/>
  <c r="F359" i="9"/>
  <c r="AK346" i="21" s="1"/>
  <c r="E359" i="9"/>
  <c r="AK345" i="21" s="1"/>
  <c r="D359" i="9"/>
  <c r="AK344" i="21" s="1"/>
  <c r="AY358" i="9"/>
  <c r="AO358" i="9" s="1"/>
  <c r="AJ381" i="21" s="1"/>
  <c r="AX358" i="9"/>
  <c r="AW358" i="9"/>
  <c r="AM358" i="9" s="1"/>
  <c r="AJ379" i="21" s="1"/>
  <c r="AV358" i="9"/>
  <c r="AL358" i="9" s="1"/>
  <c r="AJ378" i="21" s="1"/>
  <c r="AU358" i="9"/>
  <c r="AK358" i="9" s="1"/>
  <c r="AJ377" i="21" s="1"/>
  <c r="AT358" i="9"/>
  <c r="AI358" i="9" s="1"/>
  <c r="AJ375" i="21" s="1"/>
  <c r="AR358" i="9"/>
  <c r="AS358" i="9" s="1"/>
  <c r="AQ358" i="9"/>
  <c r="AN358" i="9"/>
  <c r="AJ380" i="21" s="1"/>
  <c r="AJ358" i="9"/>
  <c r="AJ376" i="21" s="1"/>
  <c r="AG358" i="9"/>
  <c r="AJ373" i="21" s="1"/>
  <c r="AF358" i="9"/>
  <c r="AJ372" i="21" s="1"/>
  <c r="AE358" i="9"/>
  <c r="AJ371" i="21" s="1"/>
  <c r="AD358" i="9"/>
  <c r="AJ370" i="21" s="1"/>
  <c r="AC358" i="9"/>
  <c r="AJ369" i="21" s="1"/>
  <c r="AB358" i="9"/>
  <c r="AJ368" i="21" s="1"/>
  <c r="AA358" i="9"/>
  <c r="AJ367" i="21" s="1"/>
  <c r="Z358" i="9"/>
  <c r="AJ366" i="21" s="1"/>
  <c r="Y358" i="9"/>
  <c r="AJ365" i="21" s="1"/>
  <c r="X358" i="9"/>
  <c r="AJ364" i="21" s="1"/>
  <c r="W358" i="9"/>
  <c r="AJ363" i="21" s="1"/>
  <c r="V358" i="9"/>
  <c r="AJ362" i="21" s="1"/>
  <c r="U358" i="9"/>
  <c r="AJ361" i="21" s="1"/>
  <c r="T358" i="9"/>
  <c r="AJ360" i="21" s="1"/>
  <c r="S358" i="9"/>
  <c r="AJ359" i="21" s="1"/>
  <c r="R358" i="9"/>
  <c r="AJ358" i="21" s="1"/>
  <c r="Q358" i="9"/>
  <c r="AJ357" i="21" s="1"/>
  <c r="P358" i="9"/>
  <c r="AJ356" i="21" s="1"/>
  <c r="O358" i="9"/>
  <c r="AJ355" i="21" s="1"/>
  <c r="N358" i="9"/>
  <c r="AJ354" i="21" s="1"/>
  <c r="M358" i="9"/>
  <c r="AJ353" i="21" s="1"/>
  <c r="L358" i="9"/>
  <c r="AJ352" i="21" s="1"/>
  <c r="K358" i="9"/>
  <c r="AJ351" i="21" s="1"/>
  <c r="J358" i="9"/>
  <c r="AJ350" i="21" s="1"/>
  <c r="I358" i="9"/>
  <c r="AJ349" i="21" s="1"/>
  <c r="H358" i="9"/>
  <c r="AJ348" i="21" s="1"/>
  <c r="G358" i="9"/>
  <c r="AJ347" i="21" s="1"/>
  <c r="F358" i="9"/>
  <c r="AJ346" i="21" s="1"/>
  <c r="E358" i="9"/>
  <c r="AJ345" i="21" s="1"/>
  <c r="D358" i="9"/>
  <c r="AJ344" i="21" s="1"/>
  <c r="AY357" i="9"/>
  <c r="AT357" i="9"/>
  <c r="AQ357" i="9"/>
  <c r="AV357" i="9" s="1"/>
  <c r="AL357" i="9" s="1"/>
  <c r="AI378" i="21" s="1"/>
  <c r="AO357" i="9"/>
  <c r="AI381" i="21" s="1"/>
  <c r="AG357" i="9"/>
  <c r="AI373" i="21" s="1"/>
  <c r="AF357" i="9"/>
  <c r="AI372" i="21" s="1"/>
  <c r="AE357" i="9"/>
  <c r="AI371" i="21" s="1"/>
  <c r="AD357" i="9"/>
  <c r="AI370" i="21" s="1"/>
  <c r="AC357" i="9"/>
  <c r="AI369" i="21" s="1"/>
  <c r="AB357" i="9"/>
  <c r="AI368" i="21" s="1"/>
  <c r="AA357" i="9"/>
  <c r="AI367" i="21" s="1"/>
  <c r="Z357" i="9"/>
  <c r="AI366" i="21" s="1"/>
  <c r="Y357" i="9"/>
  <c r="AI365" i="21" s="1"/>
  <c r="X357" i="9"/>
  <c r="AI364" i="21" s="1"/>
  <c r="W357" i="9"/>
  <c r="AI363" i="21" s="1"/>
  <c r="V357" i="9"/>
  <c r="AI362" i="21" s="1"/>
  <c r="U357" i="9"/>
  <c r="AI361" i="21" s="1"/>
  <c r="T357" i="9"/>
  <c r="AI360" i="21" s="1"/>
  <c r="S357" i="9"/>
  <c r="AI359" i="21" s="1"/>
  <c r="R357" i="9"/>
  <c r="AI358" i="21" s="1"/>
  <c r="Q357" i="9"/>
  <c r="AI357" i="21" s="1"/>
  <c r="P357" i="9"/>
  <c r="AI356" i="21" s="1"/>
  <c r="O357" i="9"/>
  <c r="AI355" i="21" s="1"/>
  <c r="N357" i="9"/>
  <c r="AI354" i="21" s="1"/>
  <c r="M357" i="9"/>
  <c r="AI353" i="21" s="1"/>
  <c r="L357" i="9"/>
  <c r="AI352" i="21" s="1"/>
  <c r="K357" i="9"/>
  <c r="AI351" i="21" s="1"/>
  <c r="J357" i="9"/>
  <c r="AI350" i="21" s="1"/>
  <c r="I357" i="9"/>
  <c r="AI349" i="21" s="1"/>
  <c r="H357" i="9"/>
  <c r="AI348" i="21" s="1"/>
  <c r="G357" i="9"/>
  <c r="AI347" i="21" s="1"/>
  <c r="F357" i="9"/>
  <c r="AI346" i="21" s="1"/>
  <c r="E357" i="9"/>
  <c r="AI345" i="21" s="1"/>
  <c r="D357" i="9"/>
  <c r="AI344" i="21" s="1"/>
  <c r="AY356" i="9"/>
  <c r="AO356" i="9" s="1"/>
  <c r="AH381" i="21" s="1"/>
  <c r="AU356" i="9"/>
  <c r="AK356" i="9" s="1"/>
  <c r="AH377" i="21" s="1"/>
  <c r="AQ356" i="9"/>
  <c r="AX356" i="9" s="1"/>
  <c r="AN356" i="9" s="1"/>
  <c r="AH380" i="21" s="1"/>
  <c r="AG356" i="9"/>
  <c r="AH373" i="21" s="1"/>
  <c r="AF356" i="9"/>
  <c r="AH372" i="21" s="1"/>
  <c r="AE356" i="9"/>
  <c r="AH371" i="21" s="1"/>
  <c r="AD356" i="9"/>
  <c r="AH370" i="21" s="1"/>
  <c r="AC356" i="9"/>
  <c r="AH369" i="21" s="1"/>
  <c r="AB356" i="9"/>
  <c r="AH368" i="21" s="1"/>
  <c r="AA356" i="9"/>
  <c r="AH367" i="21" s="1"/>
  <c r="Z356" i="9"/>
  <c r="AH366" i="21" s="1"/>
  <c r="Y356" i="9"/>
  <c r="AH365" i="21" s="1"/>
  <c r="X356" i="9"/>
  <c r="AH364" i="21" s="1"/>
  <c r="W356" i="9"/>
  <c r="AH363" i="21" s="1"/>
  <c r="V356" i="9"/>
  <c r="AH362" i="21" s="1"/>
  <c r="U356" i="9"/>
  <c r="AH361" i="21" s="1"/>
  <c r="T356" i="9"/>
  <c r="AH360" i="21" s="1"/>
  <c r="S356" i="9"/>
  <c r="AH359" i="21" s="1"/>
  <c r="R356" i="9"/>
  <c r="AH358" i="21" s="1"/>
  <c r="Q356" i="9"/>
  <c r="AH357" i="21" s="1"/>
  <c r="P356" i="9"/>
  <c r="AH356" i="21" s="1"/>
  <c r="O356" i="9"/>
  <c r="AH355" i="21" s="1"/>
  <c r="N356" i="9"/>
  <c r="AH354" i="21" s="1"/>
  <c r="M356" i="9"/>
  <c r="AH353" i="21" s="1"/>
  <c r="L356" i="9"/>
  <c r="AH352" i="21" s="1"/>
  <c r="K356" i="9"/>
  <c r="AH351" i="21" s="1"/>
  <c r="J356" i="9"/>
  <c r="AH350" i="21" s="1"/>
  <c r="I356" i="9"/>
  <c r="AH349" i="21" s="1"/>
  <c r="H356" i="9"/>
  <c r="AH348" i="21" s="1"/>
  <c r="G356" i="9"/>
  <c r="AH347" i="21" s="1"/>
  <c r="F356" i="9"/>
  <c r="AH346" i="21" s="1"/>
  <c r="E356" i="9"/>
  <c r="AH345" i="21" s="1"/>
  <c r="D356" i="9"/>
  <c r="AH344" i="21" s="1"/>
  <c r="AW355" i="9"/>
  <c r="AM355" i="9" s="1"/>
  <c r="AG379" i="21" s="1"/>
  <c r="AV355" i="9"/>
  <c r="AL355" i="9" s="1"/>
  <c r="AG378" i="21" s="1"/>
  <c r="AU355" i="9"/>
  <c r="AQ355" i="9"/>
  <c r="AR355" i="9" s="1"/>
  <c r="AS355" i="9" s="1"/>
  <c r="AK355" i="9"/>
  <c r="AG377" i="21" s="1"/>
  <c r="AG355" i="9"/>
  <c r="AG373" i="21" s="1"/>
  <c r="AF355" i="9"/>
  <c r="AG372" i="21" s="1"/>
  <c r="AE355" i="9"/>
  <c r="AG371" i="21" s="1"/>
  <c r="AD355" i="9"/>
  <c r="AG370" i="21" s="1"/>
  <c r="AC355" i="9"/>
  <c r="AG369" i="21" s="1"/>
  <c r="AB355" i="9"/>
  <c r="AG368" i="21" s="1"/>
  <c r="AA355" i="9"/>
  <c r="AG367" i="21" s="1"/>
  <c r="Z355" i="9"/>
  <c r="AG366" i="21" s="1"/>
  <c r="Y355" i="9"/>
  <c r="AG365" i="21" s="1"/>
  <c r="X355" i="9"/>
  <c r="AG364" i="21" s="1"/>
  <c r="W355" i="9"/>
  <c r="AG363" i="21" s="1"/>
  <c r="V355" i="9"/>
  <c r="AG362" i="21" s="1"/>
  <c r="U355" i="9"/>
  <c r="AG361" i="21" s="1"/>
  <c r="T355" i="9"/>
  <c r="AG360" i="21" s="1"/>
  <c r="S355" i="9"/>
  <c r="AG359" i="21" s="1"/>
  <c r="R355" i="9"/>
  <c r="AG358" i="21" s="1"/>
  <c r="Q355" i="9"/>
  <c r="AG357" i="21" s="1"/>
  <c r="P355" i="9"/>
  <c r="AG356" i="21" s="1"/>
  <c r="O355" i="9"/>
  <c r="AG355" i="21" s="1"/>
  <c r="N355" i="9"/>
  <c r="AG354" i="21" s="1"/>
  <c r="M355" i="9"/>
  <c r="AG353" i="21" s="1"/>
  <c r="L355" i="9"/>
  <c r="AG352" i="21" s="1"/>
  <c r="K355" i="9"/>
  <c r="AG351" i="21" s="1"/>
  <c r="J355" i="9"/>
  <c r="AG350" i="21" s="1"/>
  <c r="I355" i="9"/>
  <c r="AG349" i="21" s="1"/>
  <c r="H355" i="9"/>
  <c r="AG348" i="21" s="1"/>
  <c r="G355" i="9"/>
  <c r="AG347" i="21" s="1"/>
  <c r="F355" i="9"/>
  <c r="AG346" i="21" s="1"/>
  <c r="E355" i="9"/>
  <c r="AG345" i="21" s="1"/>
  <c r="D355" i="9"/>
  <c r="AG344" i="21" s="1"/>
  <c r="AU354" i="9"/>
  <c r="AK354" i="9" s="1"/>
  <c r="AF377" i="21" s="1"/>
  <c r="AQ354" i="9"/>
  <c r="AW354" i="9" s="1"/>
  <c r="AM354" i="9" s="1"/>
  <c r="AF379" i="21" s="1"/>
  <c r="AG354" i="9"/>
  <c r="AF373" i="21" s="1"/>
  <c r="AF354" i="9"/>
  <c r="AF372" i="21" s="1"/>
  <c r="AE354" i="9"/>
  <c r="AF371" i="21" s="1"/>
  <c r="AD354" i="9"/>
  <c r="AF370" i="21" s="1"/>
  <c r="AC354" i="9"/>
  <c r="AF369" i="21" s="1"/>
  <c r="AB354" i="9"/>
  <c r="AF368" i="21" s="1"/>
  <c r="AA354" i="9"/>
  <c r="AF367" i="21" s="1"/>
  <c r="Z354" i="9"/>
  <c r="AF366" i="21" s="1"/>
  <c r="Y354" i="9"/>
  <c r="AF365" i="21" s="1"/>
  <c r="X354" i="9"/>
  <c r="AF364" i="21" s="1"/>
  <c r="W354" i="9"/>
  <c r="AF363" i="21" s="1"/>
  <c r="V354" i="9"/>
  <c r="AF362" i="21" s="1"/>
  <c r="U354" i="9"/>
  <c r="AF361" i="21" s="1"/>
  <c r="T354" i="9"/>
  <c r="AF360" i="21" s="1"/>
  <c r="S354" i="9"/>
  <c r="AF359" i="21" s="1"/>
  <c r="R354" i="9"/>
  <c r="AF358" i="21" s="1"/>
  <c r="Q354" i="9"/>
  <c r="AF357" i="21" s="1"/>
  <c r="P354" i="9"/>
  <c r="AF356" i="21" s="1"/>
  <c r="O354" i="9"/>
  <c r="AF355" i="21" s="1"/>
  <c r="N354" i="9"/>
  <c r="AF354" i="21" s="1"/>
  <c r="M354" i="9"/>
  <c r="AF353" i="21" s="1"/>
  <c r="L354" i="9"/>
  <c r="AF352" i="21" s="1"/>
  <c r="K354" i="9"/>
  <c r="AF351" i="21" s="1"/>
  <c r="J354" i="9"/>
  <c r="AF350" i="21" s="1"/>
  <c r="I354" i="9"/>
  <c r="AF349" i="21" s="1"/>
  <c r="H354" i="9"/>
  <c r="AF348" i="21" s="1"/>
  <c r="G354" i="9"/>
  <c r="AF347" i="21" s="1"/>
  <c r="F354" i="9"/>
  <c r="AF346" i="21" s="1"/>
  <c r="E354" i="9"/>
  <c r="AF345" i="21" s="1"/>
  <c r="D354" i="9"/>
  <c r="AF344" i="21" s="1"/>
  <c r="AV353" i="9"/>
  <c r="AL353" i="9" s="1"/>
  <c r="AE378" i="21" s="1"/>
  <c r="AQ353" i="9"/>
  <c r="AY353" i="9" s="1"/>
  <c r="AO353" i="9" s="1"/>
  <c r="AE381" i="21" s="1"/>
  <c r="AG353" i="9"/>
  <c r="AE373" i="21" s="1"/>
  <c r="AF353" i="9"/>
  <c r="AE372" i="21" s="1"/>
  <c r="AE353" i="9"/>
  <c r="AE371" i="21" s="1"/>
  <c r="AD353" i="9"/>
  <c r="AE370" i="21" s="1"/>
  <c r="AC353" i="9"/>
  <c r="AE369" i="21" s="1"/>
  <c r="AB353" i="9"/>
  <c r="AE368" i="21" s="1"/>
  <c r="AA353" i="9"/>
  <c r="AE367" i="21" s="1"/>
  <c r="Z353" i="9"/>
  <c r="AE366" i="21" s="1"/>
  <c r="Y353" i="9"/>
  <c r="AE365" i="21" s="1"/>
  <c r="X353" i="9"/>
  <c r="AE364" i="21" s="1"/>
  <c r="W353" i="9"/>
  <c r="AE363" i="21" s="1"/>
  <c r="V353" i="9"/>
  <c r="AE362" i="21" s="1"/>
  <c r="U353" i="9"/>
  <c r="AE361" i="21" s="1"/>
  <c r="T353" i="9"/>
  <c r="AE360" i="21" s="1"/>
  <c r="S353" i="9"/>
  <c r="AE359" i="21" s="1"/>
  <c r="R353" i="9"/>
  <c r="AE358" i="21" s="1"/>
  <c r="Q353" i="9"/>
  <c r="AE357" i="21" s="1"/>
  <c r="P353" i="9"/>
  <c r="AE356" i="21" s="1"/>
  <c r="O353" i="9"/>
  <c r="AE355" i="21" s="1"/>
  <c r="N353" i="9"/>
  <c r="AE354" i="21" s="1"/>
  <c r="M353" i="9"/>
  <c r="AE353" i="21" s="1"/>
  <c r="L353" i="9"/>
  <c r="AE352" i="21" s="1"/>
  <c r="K353" i="9"/>
  <c r="AE351" i="21" s="1"/>
  <c r="J353" i="9"/>
  <c r="AE350" i="21" s="1"/>
  <c r="I353" i="9"/>
  <c r="AE349" i="21" s="1"/>
  <c r="H353" i="9"/>
  <c r="AE348" i="21" s="1"/>
  <c r="G353" i="9"/>
  <c r="AE347" i="21" s="1"/>
  <c r="F353" i="9"/>
  <c r="AE346" i="21" s="1"/>
  <c r="E353" i="9"/>
  <c r="AE345" i="21" s="1"/>
  <c r="D353" i="9"/>
  <c r="AE344" i="21" s="1"/>
  <c r="AQ352" i="9"/>
  <c r="AG352" i="9"/>
  <c r="AD373" i="21" s="1"/>
  <c r="AF352" i="9"/>
  <c r="AD372" i="21" s="1"/>
  <c r="AE352" i="9"/>
  <c r="AD371" i="21" s="1"/>
  <c r="AD352" i="9"/>
  <c r="AD370" i="21" s="1"/>
  <c r="AC352" i="9"/>
  <c r="AD369" i="21" s="1"/>
  <c r="AB352" i="9"/>
  <c r="AD368" i="21" s="1"/>
  <c r="AA352" i="9"/>
  <c r="AD367" i="21" s="1"/>
  <c r="Z352" i="9"/>
  <c r="AD366" i="21" s="1"/>
  <c r="Y352" i="9"/>
  <c r="AD365" i="21" s="1"/>
  <c r="X352" i="9"/>
  <c r="AD364" i="21" s="1"/>
  <c r="W352" i="9"/>
  <c r="AD363" i="21" s="1"/>
  <c r="V352" i="9"/>
  <c r="AD362" i="21" s="1"/>
  <c r="U352" i="9"/>
  <c r="AD361" i="21" s="1"/>
  <c r="T352" i="9"/>
  <c r="AD360" i="21" s="1"/>
  <c r="S352" i="9"/>
  <c r="AD359" i="21" s="1"/>
  <c r="R352" i="9"/>
  <c r="AD358" i="21" s="1"/>
  <c r="Q352" i="9"/>
  <c r="AD357" i="21" s="1"/>
  <c r="P352" i="9"/>
  <c r="AD356" i="21" s="1"/>
  <c r="O352" i="9"/>
  <c r="AD355" i="21" s="1"/>
  <c r="N352" i="9"/>
  <c r="AD354" i="21" s="1"/>
  <c r="M352" i="9"/>
  <c r="AD353" i="21" s="1"/>
  <c r="L352" i="9"/>
  <c r="AD352" i="21" s="1"/>
  <c r="K352" i="9"/>
  <c r="AD351" i="21" s="1"/>
  <c r="J352" i="9"/>
  <c r="AD350" i="21" s="1"/>
  <c r="I352" i="9"/>
  <c r="AD349" i="21" s="1"/>
  <c r="H352" i="9"/>
  <c r="AD348" i="21" s="1"/>
  <c r="G352" i="9"/>
  <c r="AD347" i="21" s="1"/>
  <c r="F352" i="9"/>
  <c r="AD346" i="21" s="1"/>
  <c r="E352" i="9"/>
  <c r="AD345" i="21" s="1"/>
  <c r="D352" i="9"/>
  <c r="AD344" i="21" s="1"/>
  <c r="AY351" i="9"/>
  <c r="AO351" i="9" s="1"/>
  <c r="AC381" i="21" s="1"/>
  <c r="AW351" i="9"/>
  <c r="AV351" i="9"/>
  <c r="AL351" i="9" s="1"/>
  <c r="AC378" i="21" s="1"/>
  <c r="AU351" i="9"/>
  <c r="AK351" i="9" s="1"/>
  <c r="AC377" i="21" s="1"/>
  <c r="AR351" i="9"/>
  <c r="AS351" i="9" s="1"/>
  <c r="AQ351" i="9"/>
  <c r="AX351" i="9" s="1"/>
  <c r="AN351" i="9" s="1"/>
  <c r="AC380" i="21" s="1"/>
  <c r="AM351" i="9"/>
  <c r="AC379" i="21" s="1"/>
  <c r="AG351" i="9"/>
  <c r="AC373" i="21" s="1"/>
  <c r="AF351" i="9"/>
  <c r="AC372" i="21" s="1"/>
  <c r="AE351" i="9"/>
  <c r="AC371" i="21" s="1"/>
  <c r="AD351" i="9"/>
  <c r="AC370" i="21" s="1"/>
  <c r="AC351" i="9"/>
  <c r="AC369" i="21" s="1"/>
  <c r="AB351" i="9"/>
  <c r="AC368" i="21" s="1"/>
  <c r="AA351" i="9"/>
  <c r="AC367" i="21" s="1"/>
  <c r="Z351" i="9"/>
  <c r="AC366" i="21" s="1"/>
  <c r="Y351" i="9"/>
  <c r="AC365" i="21" s="1"/>
  <c r="X351" i="9"/>
  <c r="AC364" i="21" s="1"/>
  <c r="W351" i="9"/>
  <c r="AC363" i="21" s="1"/>
  <c r="V351" i="9"/>
  <c r="AC362" i="21" s="1"/>
  <c r="U351" i="9"/>
  <c r="AC361" i="21" s="1"/>
  <c r="T351" i="9"/>
  <c r="AC360" i="21" s="1"/>
  <c r="S351" i="9"/>
  <c r="AC359" i="21" s="1"/>
  <c r="R351" i="9"/>
  <c r="AC358" i="21" s="1"/>
  <c r="Q351" i="9"/>
  <c r="AC357" i="21" s="1"/>
  <c r="P351" i="9"/>
  <c r="AC356" i="21" s="1"/>
  <c r="O351" i="9"/>
  <c r="AC355" i="21" s="1"/>
  <c r="N351" i="9"/>
  <c r="AC354" i="21" s="1"/>
  <c r="M351" i="9"/>
  <c r="AC353" i="21" s="1"/>
  <c r="L351" i="9"/>
  <c r="AC352" i="21" s="1"/>
  <c r="K351" i="9"/>
  <c r="AC351" i="21" s="1"/>
  <c r="J351" i="9"/>
  <c r="AC350" i="21" s="1"/>
  <c r="I351" i="9"/>
  <c r="AC349" i="21" s="1"/>
  <c r="H351" i="9"/>
  <c r="AC348" i="21" s="1"/>
  <c r="G351" i="9"/>
  <c r="AC347" i="21" s="1"/>
  <c r="F351" i="9"/>
  <c r="AC346" i="21" s="1"/>
  <c r="E351" i="9"/>
  <c r="AC345" i="21" s="1"/>
  <c r="D351" i="9"/>
  <c r="AC344" i="21" s="1"/>
  <c r="AY350" i="9"/>
  <c r="AX350" i="9"/>
  <c r="AN350" i="9" s="1"/>
  <c r="AB380" i="21" s="1"/>
  <c r="AW350" i="9"/>
  <c r="AM350" i="9" s="1"/>
  <c r="AB379" i="21" s="1"/>
  <c r="AV350" i="9"/>
  <c r="AU350" i="9"/>
  <c r="AT350" i="9"/>
  <c r="AJ350" i="9" s="1"/>
  <c r="AB376" i="21" s="1"/>
  <c r="AR350" i="9"/>
  <c r="AS350" i="9" s="1"/>
  <c r="AQ350" i="9"/>
  <c r="AO350" i="9"/>
  <c r="AB381" i="21" s="1"/>
  <c r="AL350" i="9"/>
  <c r="AB378" i="21" s="1"/>
  <c r="AK350" i="9"/>
  <c r="AB377" i="21" s="1"/>
  <c r="AI350" i="9"/>
  <c r="AB375" i="21" s="1"/>
  <c r="AH350" i="9"/>
  <c r="AB374" i="21" s="1"/>
  <c r="AG350" i="9"/>
  <c r="AB373" i="21" s="1"/>
  <c r="AF350" i="9"/>
  <c r="AB372" i="21" s="1"/>
  <c r="AE350" i="9"/>
  <c r="AB371" i="21" s="1"/>
  <c r="AD350" i="9"/>
  <c r="AB370" i="21" s="1"/>
  <c r="AC350" i="9"/>
  <c r="AB369" i="21" s="1"/>
  <c r="AB350" i="9"/>
  <c r="AB368" i="21" s="1"/>
  <c r="AA350" i="9"/>
  <c r="AB367" i="21" s="1"/>
  <c r="Z350" i="9"/>
  <c r="AB366" i="21" s="1"/>
  <c r="Y350" i="9"/>
  <c r="AB365" i="21" s="1"/>
  <c r="X350" i="9"/>
  <c r="AB364" i="21" s="1"/>
  <c r="W350" i="9"/>
  <c r="AB363" i="21" s="1"/>
  <c r="V350" i="9"/>
  <c r="AB362" i="21" s="1"/>
  <c r="U350" i="9"/>
  <c r="AB361" i="21" s="1"/>
  <c r="T350" i="9"/>
  <c r="AB360" i="21" s="1"/>
  <c r="S350" i="9"/>
  <c r="AB359" i="21" s="1"/>
  <c r="R350" i="9"/>
  <c r="AB358" i="21" s="1"/>
  <c r="Q350" i="9"/>
  <c r="AB357" i="21" s="1"/>
  <c r="P350" i="9"/>
  <c r="AB356" i="21" s="1"/>
  <c r="O350" i="9"/>
  <c r="AB355" i="21" s="1"/>
  <c r="N350" i="9"/>
  <c r="AB354" i="21" s="1"/>
  <c r="M350" i="9"/>
  <c r="AB353" i="21" s="1"/>
  <c r="L350" i="9"/>
  <c r="AB352" i="21" s="1"/>
  <c r="K350" i="9"/>
  <c r="AB351" i="21" s="1"/>
  <c r="J350" i="9"/>
  <c r="AB350" i="21" s="1"/>
  <c r="I350" i="9"/>
  <c r="AB349" i="21" s="1"/>
  <c r="H350" i="9"/>
  <c r="AB348" i="21" s="1"/>
  <c r="G350" i="9"/>
  <c r="AB347" i="21" s="1"/>
  <c r="F350" i="9"/>
  <c r="AB346" i="21" s="1"/>
  <c r="E350" i="9"/>
  <c r="AB345" i="21" s="1"/>
  <c r="D350" i="9"/>
  <c r="AB344" i="21" s="1"/>
  <c r="AY349" i="9"/>
  <c r="AO349" i="9" s="1"/>
  <c r="AA381" i="21" s="1"/>
  <c r="AX349" i="9"/>
  <c r="AN349" i="9" s="1"/>
  <c r="AA380" i="21" s="1"/>
  <c r="AW349" i="9"/>
  <c r="AU349" i="9"/>
  <c r="AK349" i="9" s="1"/>
  <c r="AA377" i="21" s="1"/>
  <c r="AR349" i="9"/>
  <c r="AS349" i="9" s="1"/>
  <c r="AQ349" i="9"/>
  <c r="AT349" i="9" s="1"/>
  <c r="AM349" i="9"/>
  <c r="AA379" i="21" s="1"/>
  <c r="AG349" i="9"/>
  <c r="AA373" i="21" s="1"/>
  <c r="AF349" i="9"/>
  <c r="AA372" i="21" s="1"/>
  <c r="AE349" i="9"/>
  <c r="AA371" i="21" s="1"/>
  <c r="AD349" i="9"/>
  <c r="AA370" i="21" s="1"/>
  <c r="AC349" i="9"/>
  <c r="AA369" i="21" s="1"/>
  <c r="AB349" i="9"/>
  <c r="AA368" i="21" s="1"/>
  <c r="AA349" i="9"/>
  <c r="AA367" i="21" s="1"/>
  <c r="Z349" i="9"/>
  <c r="AA366" i="21" s="1"/>
  <c r="Y349" i="9"/>
  <c r="AA365" i="21" s="1"/>
  <c r="X349" i="9"/>
  <c r="AA364" i="21" s="1"/>
  <c r="W349" i="9"/>
  <c r="AA363" i="21" s="1"/>
  <c r="V349" i="9"/>
  <c r="AA362" i="21" s="1"/>
  <c r="U349" i="9"/>
  <c r="AA361" i="21" s="1"/>
  <c r="T349" i="9"/>
  <c r="AA360" i="21" s="1"/>
  <c r="S349" i="9"/>
  <c r="AA359" i="21" s="1"/>
  <c r="R349" i="9"/>
  <c r="AA358" i="21" s="1"/>
  <c r="Q349" i="9"/>
  <c r="AA357" i="21" s="1"/>
  <c r="P349" i="9"/>
  <c r="AA356" i="21" s="1"/>
  <c r="O349" i="9"/>
  <c r="AA355" i="21" s="1"/>
  <c r="N349" i="9"/>
  <c r="AA354" i="21" s="1"/>
  <c r="M349" i="9"/>
  <c r="AA353" i="21" s="1"/>
  <c r="L349" i="9"/>
  <c r="AA352" i="21" s="1"/>
  <c r="K349" i="9"/>
  <c r="AA351" i="21" s="1"/>
  <c r="J349" i="9"/>
  <c r="AA350" i="21" s="1"/>
  <c r="I349" i="9"/>
  <c r="AA349" i="21" s="1"/>
  <c r="H349" i="9"/>
  <c r="AA348" i="21" s="1"/>
  <c r="G349" i="9"/>
  <c r="AA347" i="21" s="1"/>
  <c r="F349" i="9"/>
  <c r="AA346" i="21" s="1"/>
  <c r="E349" i="9"/>
  <c r="AA345" i="21" s="1"/>
  <c r="D349" i="9"/>
  <c r="AA344" i="21" s="1"/>
  <c r="AX348" i="9"/>
  <c r="AW348" i="9"/>
  <c r="AM348" i="9" s="1"/>
  <c r="Z379" i="21" s="1"/>
  <c r="AT348" i="9"/>
  <c r="AJ348" i="9" s="1"/>
  <c r="Z376" i="21" s="1"/>
  <c r="AQ348" i="9"/>
  <c r="AY348" i="9" s="1"/>
  <c r="AO348" i="9" s="1"/>
  <c r="Z381" i="21" s="1"/>
  <c r="AN348" i="9"/>
  <c r="Z380" i="21" s="1"/>
  <c r="AH348" i="9"/>
  <c r="Z374" i="21" s="1"/>
  <c r="AG348" i="9"/>
  <c r="Z373" i="21" s="1"/>
  <c r="AF348" i="9"/>
  <c r="Z372" i="21" s="1"/>
  <c r="AE348" i="9"/>
  <c r="Z371" i="21" s="1"/>
  <c r="AD348" i="9"/>
  <c r="Z370" i="21" s="1"/>
  <c r="AC348" i="9"/>
  <c r="Z369" i="21" s="1"/>
  <c r="AB348" i="9"/>
  <c r="Z368" i="21" s="1"/>
  <c r="AA348" i="9"/>
  <c r="Z367" i="21" s="1"/>
  <c r="Z348" i="9"/>
  <c r="Z366" i="21" s="1"/>
  <c r="Y348" i="9"/>
  <c r="Z365" i="21" s="1"/>
  <c r="X348" i="9"/>
  <c r="Z364" i="21" s="1"/>
  <c r="W348" i="9"/>
  <c r="Z363" i="21" s="1"/>
  <c r="V348" i="9"/>
  <c r="Z362" i="21" s="1"/>
  <c r="U348" i="9"/>
  <c r="Z361" i="21" s="1"/>
  <c r="T348" i="9"/>
  <c r="Z360" i="21" s="1"/>
  <c r="S348" i="9"/>
  <c r="Z359" i="21" s="1"/>
  <c r="R348" i="9"/>
  <c r="Z358" i="21" s="1"/>
  <c r="Q348" i="9"/>
  <c r="Z357" i="21" s="1"/>
  <c r="P348" i="9"/>
  <c r="Z356" i="21" s="1"/>
  <c r="O348" i="9"/>
  <c r="Z355" i="21" s="1"/>
  <c r="N348" i="9"/>
  <c r="Z354" i="21" s="1"/>
  <c r="M348" i="9"/>
  <c r="Z353" i="21" s="1"/>
  <c r="L348" i="9"/>
  <c r="Z352" i="21" s="1"/>
  <c r="K348" i="9"/>
  <c r="Z351" i="21" s="1"/>
  <c r="J348" i="9"/>
  <c r="Z350" i="21" s="1"/>
  <c r="I348" i="9"/>
  <c r="Z349" i="21" s="1"/>
  <c r="H348" i="9"/>
  <c r="Z348" i="21" s="1"/>
  <c r="G348" i="9"/>
  <c r="Z347" i="21" s="1"/>
  <c r="F348" i="9"/>
  <c r="Z346" i="21" s="1"/>
  <c r="E348" i="9"/>
  <c r="Z345" i="21" s="1"/>
  <c r="D348" i="9"/>
  <c r="Z344" i="21" s="1"/>
  <c r="AY347" i="9"/>
  <c r="AO347" i="9" s="1"/>
  <c r="Y381" i="21" s="1"/>
  <c r="AX347" i="9"/>
  <c r="AN347" i="9" s="1"/>
  <c r="Y380" i="21" s="1"/>
  <c r="AT347" i="9"/>
  <c r="AJ347" i="9" s="1"/>
  <c r="Y376" i="21" s="1"/>
  <c r="AQ347" i="9"/>
  <c r="AW347" i="9" s="1"/>
  <c r="AM347" i="9"/>
  <c r="Y379" i="21" s="1"/>
  <c r="AI347" i="9"/>
  <c r="Y375" i="21" s="1"/>
  <c r="AG347" i="9"/>
  <c r="Y373" i="21" s="1"/>
  <c r="AF347" i="9"/>
  <c r="Y372" i="21" s="1"/>
  <c r="AE347" i="9"/>
  <c r="Y371" i="21" s="1"/>
  <c r="AD347" i="9"/>
  <c r="Y370" i="21" s="1"/>
  <c r="AC347" i="9"/>
  <c r="Y369" i="21" s="1"/>
  <c r="AB347" i="9"/>
  <c r="Y368" i="21" s="1"/>
  <c r="AA347" i="9"/>
  <c r="Y367" i="21" s="1"/>
  <c r="Z347" i="9"/>
  <c r="Y366" i="21" s="1"/>
  <c r="Y347" i="9"/>
  <c r="Y365" i="21" s="1"/>
  <c r="X347" i="9"/>
  <c r="Y364" i="21" s="1"/>
  <c r="W347" i="9"/>
  <c r="Y363" i="21" s="1"/>
  <c r="V347" i="9"/>
  <c r="Y362" i="21" s="1"/>
  <c r="U347" i="9"/>
  <c r="Y361" i="21" s="1"/>
  <c r="T347" i="9"/>
  <c r="Y360" i="21" s="1"/>
  <c r="S347" i="9"/>
  <c r="Y359" i="21" s="1"/>
  <c r="R347" i="9"/>
  <c r="Y358" i="21" s="1"/>
  <c r="Q347" i="9"/>
  <c r="Y357" i="21" s="1"/>
  <c r="P347" i="9"/>
  <c r="Y356" i="21" s="1"/>
  <c r="O347" i="9"/>
  <c r="Y355" i="21" s="1"/>
  <c r="N347" i="9"/>
  <c r="Y354" i="21" s="1"/>
  <c r="M347" i="9"/>
  <c r="Y353" i="21" s="1"/>
  <c r="L347" i="9"/>
  <c r="Y352" i="21" s="1"/>
  <c r="K347" i="9"/>
  <c r="Y351" i="21" s="1"/>
  <c r="J347" i="9"/>
  <c r="Y350" i="21" s="1"/>
  <c r="I347" i="9"/>
  <c r="Y349" i="21" s="1"/>
  <c r="H347" i="9"/>
  <c r="Y348" i="21" s="1"/>
  <c r="G347" i="9"/>
  <c r="Y347" i="21" s="1"/>
  <c r="F347" i="9"/>
  <c r="Y346" i="21" s="1"/>
  <c r="E347" i="9"/>
  <c r="Y345" i="21" s="1"/>
  <c r="D347" i="9"/>
  <c r="Y344" i="21" s="1"/>
  <c r="AY346" i="9"/>
  <c r="AO346" i="9" s="1"/>
  <c r="X381" i="21" s="1"/>
  <c r="AX346" i="9"/>
  <c r="AV346" i="9"/>
  <c r="AL346" i="9" s="1"/>
  <c r="X378" i="21" s="1"/>
  <c r="AT346" i="9"/>
  <c r="AH346" i="9" s="1"/>
  <c r="X374" i="21" s="1"/>
  <c r="AS346" i="9"/>
  <c r="AR346" i="9"/>
  <c r="AQ346" i="9"/>
  <c r="AU346" i="9" s="1"/>
  <c r="AK346" i="9" s="1"/>
  <c r="X377" i="21" s="1"/>
  <c r="AN346" i="9"/>
  <c r="X380" i="21" s="1"/>
  <c r="AJ346" i="9"/>
  <c r="X376" i="21" s="1"/>
  <c r="AI346" i="9"/>
  <c r="X375" i="21" s="1"/>
  <c r="AG346" i="9"/>
  <c r="X373" i="21" s="1"/>
  <c r="AF346" i="9"/>
  <c r="X372" i="21" s="1"/>
  <c r="AE346" i="9"/>
  <c r="X371" i="21" s="1"/>
  <c r="AD346" i="9"/>
  <c r="X370" i="21" s="1"/>
  <c r="AC346" i="9"/>
  <c r="X369" i="21" s="1"/>
  <c r="AB346" i="9"/>
  <c r="X368" i="21" s="1"/>
  <c r="AA346" i="9"/>
  <c r="X367" i="21" s="1"/>
  <c r="Z346" i="9"/>
  <c r="X366" i="21" s="1"/>
  <c r="Y346" i="9"/>
  <c r="X365" i="21" s="1"/>
  <c r="X346" i="9"/>
  <c r="X364" i="21" s="1"/>
  <c r="W346" i="9"/>
  <c r="X363" i="21" s="1"/>
  <c r="V346" i="9"/>
  <c r="X362" i="21" s="1"/>
  <c r="U346" i="9"/>
  <c r="X361" i="21" s="1"/>
  <c r="T346" i="9"/>
  <c r="X360" i="21" s="1"/>
  <c r="S346" i="9"/>
  <c r="X359" i="21" s="1"/>
  <c r="R346" i="9"/>
  <c r="X358" i="21" s="1"/>
  <c r="Q346" i="9"/>
  <c r="X357" i="21" s="1"/>
  <c r="P346" i="9"/>
  <c r="X356" i="21" s="1"/>
  <c r="O346" i="9"/>
  <c r="X355" i="21" s="1"/>
  <c r="N346" i="9"/>
  <c r="X354" i="21" s="1"/>
  <c r="M346" i="9"/>
  <c r="X353" i="21" s="1"/>
  <c r="L346" i="9"/>
  <c r="X352" i="21" s="1"/>
  <c r="K346" i="9"/>
  <c r="X351" i="21" s="1"/>
  <c r="J346" i="9"/>
  <c r="X350" i="21" s="1"/>
  <c r="I346" i="9"/>
  <c r="X349" i="21" s="1"/>
  <c r="H346" i="9"/>
  <c r="X348" i="21" s="1"/>
  <c r="G346" i="9"/>
  <c r="X347" i="21" s="1"/>
  <c r="F346" i="9"/>
  <c r="X346" i="21" s="1"/>
  <c r="E346" i="9"/>
  <c r="X345" i="21" s="1"/>
  <c r="D346" i="9"/>
  <c r="X344" i="21" s="1"/>
  <c r="AX345" i="9"/>
  <c r="AN345" i="9" s="1"/>
  <c r="W380" i="21" s="1"/>
  <c r="AU345" i="9"/>
  <c r="AK345" i="9" s="1"/>
  <c r="W377" i="21" s="1"/>
  <c r="AT345" i="9"/>
  <c r="AQ345" i="9"/>
  <c r="AY345" i="9" s="1"/>
  <c r="AO345" i="9" s="1"/>
  <c r="W381" i="21" s="1"/>
  <c r="AI345" i="9"/>
  <c r="W375" i="21" s="1"/>
  <c r="AG345" i="9"/>
  <c r="W373" i="21" s="1"/>
  <c r="AF345" i="9"/>
  <c r="W372" i="21" s="1"/>
  <c r="AE345" i="9"/>
  <c r="W371" i="21" s="1"/>
  <c r="AD345" i="9"/>
  <c r="W370" i="21" s="1"/>
  <c r="AC345" i="9"/>
  <c r="W369" i="21" s="1"/>
  <c r="AB345" i="9"/>
  <c r="W368" i="21" s="1"/>
  <c r="AA345" i="9"/>
  <c r="W367" i="21" s="1"/>
  <c r="Z345" i="9"/>
  <c r="W366" i="21" s="1"/>
  <c r="Y345" i="9"/>
  <c r="W365" i="21" s="1"/>
  <c r="X345" i="9"/>
  <c r="W364" i="21" s="1"/>
  <c r="W345" i="9"/>
  <c r="W363" i="21" s="1"/>
  <c r="V345" i="9"/>
  <c r="W362" i="21" s="1"/>
  <c r="U345" i="9"/>
  <c r="W361" i="21" s="1"/>
  <c r="T345" i="9"/>
  <c r="W360" i="21" s="1"/>
  <c r="S345" i="9"/>
  <c r="W359" i="21" s="1"/>
  <c r="R345" i="9"/>
  <c r="W358" i="21" s="1"/>
  <c r="Q345" i="9"/>
  <c r="W357" i="21" s="1"/>
  <c r="P345" i="9"/>
  <c r="W356" i="21" s="1"/>
  <c r="O345" i="9"/>
  <c r="W355" i="21" s="1"/>
  <c r="N345" i="9"/>
  <c r="W354" i="21" s="1"/>
  <c r="M345" i="9"/>
  <c r="W353" i="21" s="1"/>
  <c r="L345" i="9"/>
  <c r="W352" i="21" s="1"/>
  <c r="K345" i="9"/>
  <c r="W351" i="21" s="1"/>
  <c r="J345" i="9"/>
  <c r="W350" i="21" s="1"/>
  <c r="I345" i="9"/>
  <c r="W349" i="21" s="1"/>
  <c r="H345" i="9"/>
  <c r="W348" i="21" s="1"/>
  <c r="G345" i="9"/>
  <c r="W347" i="21" s="1"/>
  <c r="F345" i="9"/>
  <c r="W346" i="21" s="1"/>
  <c r="E345" i="9"/>
  <c r="W345" i="21" s="1"/>
  <c r="D345" i="9"/>
  <c r="W344" i="21" s="1"/>
  <c r="AY344" i="9"/>
  <c r="AO344" i="9" s="1"/>
  <c r="V381" i="21" s="1"/>
  <c r="AX344" i="9"/>
  <c r="AW344" i="9"/>
  <c r="AM344" i="9" s="1"/>
  <c r="V379" i="21" s="1"/>
  <c r="AV344" i="9"/>
  <c r="AL344" i="9" s="1"/>
  <c r="V378" i="21" s="1"/>
  <c r="AU344" i="9"/>
  <c r="AT344" i="9"/>
  <c r="AI344" i="9" s="1"/>
  <c r="V375" i="21" s="1"/>
  <c r="AR344" i="9"/>
  <c r="AS344" i="9" s="1"/>
  <c r="AQ344" i="9"/>
  <c r="AN344" i="9"/>
  <c r="V380" i="21" s="1"/>
  <c r="AK344" i="9"/>
  <c r="V377" i="21" s="1"/>
  <c r="AJ344" i="9"/>
  <c r="V376" i="21" s="1"/>
  <c r="AG344" i="9"/>
  <c r="V373" i="21" s="1"/>
  <c r="AF344" i="9"/>
  <c r="V372" i="21" s="1"/>
  <c r="AE344" i="9"/>
  <c r="V371" i="21" s="1"/>
  <c r="AD344" i="9"/>
  <c r="V370" i="21" s="1"/>
  <c r="AC344" i="9"/>
  <c r="V369" i="21" s="1"/>
  <c r="AB344" i="9"/>
  <c r="V368" i="21" s="1"/>
  <c r="AA344" i="9"/>
  <c r="V367" i="21" s="1"/>
  <c r="Z344" i="9"/>
  <c r="V366" i="21" s="1"/>
  <c r="Y344" i="9"/>
  <c r="V365" i="21" s="1"/>
  <c r="X344" i="9"/>
  <c r="V364" i="21" s="1"/>
  <c r="W344" i="9"/>
  <c r="V363" i="21" s="1"/>
  <c r="V344" i="9"/>
  <c r="V362" i="21" s="1"/>
  <c r="U344" i="9"/>
  <c r="V361" i="21" s="1"/>
  <c r="T344" i="9"/>
  <c r="V360" i="21" s="1"/>
  <c r="S344" i="9"/>
  <c r="V359" i="21" s="1"/>
  <c r="R344" i="9"/>
  <c r="V358" i="21" s="1"/>
  <c r="Q344" i="9"/>
  <c r="V357" i="21" s="1"/>
  <c r="P344" i="9"/>
  <c r="V356" i="21" s="1"/>
  <c r="O344" i="9"/>
  <c r="V355" i="21" s="1"/>
  <c r="N344" i="9"/>
  <c r="V354" i="21" s="1"/>
  <c r="M344" i="9"/>
  <c r="V353" i="21" s="1"/>
  <c r="L344" i="9"/>
  <c r="V352" i="21" s="1"/>
  <c r="K344" i="9"/>
  <c r="V351" i="21" s="1"/>
  <c r="J344" i="9"/>
  <c r="V350" i="21" s="1"/>
  <c r="I344" i="9"/>
  <c r="V349" i="21" s="1"/>
  <c r="H344" i="9"/>
  <c r="V348" i="21" s="1"/>
  <c r="G344" i="9"/>
  <c r="V347" i="21" s="1"/>
  <c r="F344" i="9"/>
  <c r="V346" i="21" s="1"/>
  <c r="E344" i="9"/>
  <c r="V345" i="21" s="1"/>
  <c r="D344" i="9"/>
  <c r="V344" i="21" s="1"/>
  <c r="AY343" i="9"/>
  <c r="AT343" i="9"/>
  <c r="AQ343" i="9"/>
  <c r="AV343" i="9" s="1"/>
  <c r="AL343" i="9" s="1"/>
  <c r="U378" i="21" s="1"/>
  <c r="AO343" i="9"/>
  <c r="U381" i="21" s="1"/>
  <c r="AG343" i="9"/>
  <c r="U373" i="21" s="1"/>
  <c r="AF343" i="9"/>
  <c r="U372" i="21" s="1"/>
  <c r="AE343" i="9"/>
  <c r="U371" i="21" s="1"/>
  <c r="AD343" i="9"/>
  <c r="U370" i="21" s="1"/>
  <c r="AC343" i="9"/>
  <c r="U369" i="21" s="1"/>
  <c r="AB343" i="9"/>
  <c r="U368" i="21" s="1"/>
  <c r="AA343" i="9"/>
  <c r="U367" i="21" s="1"/>
  <c r="Z343" i="9"/>
  <c r="U366" i="21" s="1"/>
  <c r="Y343" i="9"/>
  <c r="U365" i="21" s="1"/>
  <c r="X343" i="9"/>
  <c r="U364" i="21" s="1"/>
  <c r="W343" i="9"/>
  <c r="U363" i="21" s="1"/>
  <c r="V343" i="9"/>
  <c r="U362" i="21" s="1"/>
  <c r="U343" i="9"/>
  <c r="U361" i="21" s="1"/>
  <c r="T343" i="9"/>
  <c r="U360" i="21" s="1"/>
  <c r="S343" i="9"/>
  <c r="U359" i="21" s="1"/>
  <c r="R343" i="9"/>
  <c r="U358" i="21" s="1"/>
  <c r="Q343" i="9"/>
  <c r="U357" i="21" s="1"/>
  <c r="P343" i="9"/>
  <c r="U356" i="21" s="1"/>
  <c r="O343" i="9"/>
  <c r="U355" i="21" s="1"/>
  <c r="N343" i="9"/>
  <c r="U354" i="21" s="1"/>
  <c r="M343" i="9"/>
  <c r="U353" i="21" s="1"/>
  <c r="L343" i="9"/>
  <c r="U352" i="21" s="1"/>
  <c r="K343" i="9"/>
  <c r="U351" i="21" s="1"/>
  <c r="J343" i="9"/>
  <c r="U350" i="21" s="1"/>
  <c r="I343" i="9"/>
  <c r="U349" i="21" s="1"/>
  <c r="H343" i="9"/>
  <c r="U348" i="21" s="1"/>
  <c r="G343" i="9"/>
  <c r="U347" i="21" s="1"/>
  <c r="F343" i="9"/>
  <c r="U346" i="21" s="1"/>
  <c r="E343" i="9"/>
  <c r="U345" i="21" s="1"/>
  <c r="D343" i="9"/>
  <c r="U344" i="21" s="1"/>
  <c r="AY342" i="9"/>
  <c r="AO342" i="9" s="1"/>
  <c r="T381" i="21" s="1"/>
  <c r="AU342" i="9"/>
  <c r="AK342" i="9" s="1"/>
  <c r="T377" i="21" s="1"/>
  <c r="AQ342" i="9"/>
  <c r="AX342" i="9" s="1"/>
  <c r="AN342" i="9" s="1"/>
  <c r="T380" i="21" s="1"/>
  <c r="AG342" i="9"/>
  <c r="T373" i="21" s="1"/>
  <c r="AF342" i="9"/>
  <c r="T372" i="21" s="1"/>
  <c r="AE342" i="9"/>
  <c r="T371" i="21" s="1"/>
  <c r="AD342" i="9"/>
  <c r="T370" i="21" s="1"/>
  <c r="AC342" i="9"/>
  <c r="T369" i="21" s="1"/>
  <c r="AB342" i="9"/>
  <c r="T368" i="21" s="1"/>
  <c r="AA342" i="9"/>
  <c r="T367" i="21" s="1"/>
  <c r="Z342" i="9"/>
  <c r="T366" i="21" s="1"/>
  <c r="Y342" i="9"/>
  <c r="T365" i="21" s="1"/>
  <c r="X342" i="9"/>
  <c r="T364" i="21" s="1"/>
  <c r="W342" i="9"/>
  <c r="T363" i="21" s="1"/>
  <c r="V342" i="9"/>
  <c r="T362" i="21" s="1"/>
  <c r="U342" i="9"/>
  <c r="T361" i="21" s="1"/>
  <c r="T342" i="9"/>
  <c r="T360" i="21" s="1"/>
  <c r="S342" i="9"/>
  <c r="T359" i="21" s="1"/>
  <c r="R342" i="9"/>
  <c r="T358" i="21" s="1"/>
  <c r="Q342" i="9"/>
  <c r="T357" i="21" s="1"/>
  <c r="P342" i="9"/>
  <c r="T356" i="21" s="1"/>
  <c r="O342" i="9"/>
  <c r="T355" i="21" s="1"/>
  <c r="N342" i="9"/>
  <c r="T354" i="21" s="1"/>
  <c r="M342" i="9"/>
  <c r="T353" i="21" s="1"/>
  <c r="L342" i="9"/>
  <c r="T352" i="21" s="1"/>
  <c r="K342" i="9"/>
  <c r="T351" i="21" s="1"/>
  <c r="J342" i="9"/>
  <c r="T350" i="21" s="1"/>
  <c r="I342" i="9"/>
  <c r="T349" i="21" s="1"/>
  <c r="H342" i="9"/>
  <c r="T348" i="21" s="1"/>
  <c r="G342" i="9"/>
  <c r="T347" i="21" s="1"/>
  <c r="F342" i="9"/>
  <c r="T346" i="21" s="1"/>
  <c r="E342" i="9"/>
  <c r="T345" i="21" s="1"/>
  <c r="D342" i="9"/>
  <c r="T344" i="21" s="1"/>
  <c r="AW341" i="9"/>
  <c r="AM341" i="9" s="1"/>
  <c r="S379" i="21" s="1"/>
  <c r="AV341" i="9"/>
  <c r="AU341" i="9"/>
  <c r="AQ341" i="9"/>
  <c r="AR341" i="9" s="1"/>
  <c r="AS341" i="9" s="1"/>
  <c r="AL341" i="9"/>
  <c r="S378" i="21" s="1"/>
  <c r="AK341" i="9"/>
  <c r="S377" i="21" s="1"/>
  <c r="AG341" i="9"/>
  <c r="S373" i="21" s="1"/>
  <c r="AF341" i="9"/>
  <c r="S372" i="21" s="1"/>
  <c r="AE341" i="9"/>
  <c r="S371" i="21" s="1"/>
  <c r="AD341" i="9"/>
  <c r="S370" i="21" s="1"/>
  <c r="AC341" i="9"/>
  <c r="S369" i="21" s="1"/>
  <c r="AB341" i="9"/>
  <c r="S368" i="21" s="1"/>
  <c r="AA341" i="9"/>
  <c r="S367" i="21" s="1"/>
  <c r="Z341" i="9"/>
  <c r="S366" i="21" s="1"/>
  <c r="Y341" i="9"/>
  <c r="S365" i="21" s="1"/>
  <c r="X341" i="9"/>
  <c r="S364" i="21" s="1"/>
  <c r="W341" i="9"/>
  <c r="S363" i="21" s="1"/>
  <c r="V341" i="9"/>
  <c r="S362" i="21" s="1"/>
  <c r="U341" i="9"/>
  <c r="S361" i="21" s="1"/>
  <c r="T341" i="9"/>
  <c r="S360" i="21" s="1"/>
  <c r="S341" i="9"/>
  <c r="S359" i="21" s="1"/>
  <c r="R341" i="9"/>
  <c r="S358" i="21" s="1"/>
  <c r="Q341" i="9"/>
  <c r="S357" i="21" s="1"/>
  <c r="P341" i="9"/>
  <c r="S356" i="21" s="1"/>
  <c r="O341" i="9"/>
  <c r="S355" i="21" s="1"/>
  <c r="N341" i="9"/>
  <c r="S354" i="21" s="1"/>
  <c r="M341" i="9"/>
  <c r="S353" i="21" s="1"/>
  <c r="L341" i="9"/>
  <c r="S352" i="21" s="1"/>
  <c r="K341" i="9"/>
  <c r="S351" i="21" s="1"/>
  <c r="J341" i="9"/>
  <c r="S350" i="21" s="1"/>
  <c r="I341" i="9"/>
  <c r="S349" i="21" s="1"/>
  <c r="H341" i="9"/>
  <c r="S348" i="21" s="1"/>
  <c r="G341" i="9"/>
  <c r="S347" i="21" s="1"/>
  <c r="F341" i="9"/>
  <c r="S346" i="21" s="1"/>
  <c r="E341" i="9"/>
  <c r="S345" i="21" s="1"/>
  <c r="D341" i="9"/>
  <c r="S344" i="21" s="1"/>
  <c r="AQ340" i="9"/>
  <c r="AG340" i="9"/>
  <c r="R373" i="21" s="1"/>
  <c r="AF340" i="9"/>
  <c r="R372" i="21" s="1"/>
  <c r="AE340" i="9"/>
  <c r="R371" i="21" s="1"/>
  <c r="AD340" i="9"/>
  <c r="R370" i="21" s="1"/>
  <c r="AC340" i="9"/>
  <c r="R369" i="21" s="1"/>
  <c r="AB340" i="9"/>
  <c r="R368" i="21" s="1"/>
  <c r="AA340" i="9"/>
  <c r="R367" i="21" s="1"/>
  <c r="Z340" i="9"/>
  <c r="R366" i="21" s="1"/>
  <c r="Y340" i="9"/>
  <c r="R365" i="21" s="1"/>
  <c r="X340" i="9"/>
  <c r="R364" i="21" s="1"/>
  <c r="W340" i="9"/>
  <c r="R363" i="21" s="1"/>
  <c r="V340" i="9"/>
  <c r="R362" i="21" s="1"/>
  <c r="U340" i="9"/>
  <c r="R361" i="21" s="1"/>
  <c r="T340" i="9"/>
  <c r="R360" i="21" s="1"/>
  <c r="S340" i="9"/>
  <c r="R359" i="21" s="1"/>
  <c r="R340" i="9"/>
  <c r="R358" i="21" s="1"/>
  <c r="Q340" i="9"/>
  <c r="R357" i="21" s="1"/>
  <c r="P340" i="9"/>
  <c r="R356" i="21" s="1"/>
  <c r="O340" i="9"/>
  <c r="R355" i="21" s="1"/>
  <c r="N340" i="9"/>
  <c r="R354" i="21" s="1"/>
  <c r="M340" i="9"/>
  <c r="R353" i="21" s="1"/>
  <c r="L340" i="9"/>
  <c r="R352" i="21" s="1"/>
  <c r="K340" i="9"/>
  <c r="R351" i="21" s="1"/>
  <c r="J340" i="9"/>
  <c r="R350" i="21" s="1"/>
  <c r="I340" i="9"/>
  <c r="R349" i="21" s="1"/>
  <c r="H340" i="9"/>
  <c r="R348" i="21" s="1"/>
  <c r="G340" i="9"/>
  <c r="R347" i="21" s="1"/>
  <c r="F340" i="9"/>
  <c r="R346" i="21" s="1"/>
  <c r="E340" i="9"/>
  <c r="R345" i="21" s="1"/>
  <c r="D340" i="9"/>
  <c r="R344" i="21" s="1"/>
  <c r="AV339" i="9"/>
  <c r="AL339" i="9" s="1"/>
  <c r="Q378" i="21" s="1"/>
  <c r="AQ339" i="9"/>
  <c r="AY339" i="9" s="1"/>
  <c r="AO339" i="9" s="1"/>
  <c r="Q381" i="21" s="1"/>
  <c r="AG339" i="9"/>
  <c r="Q373" i="21" s="1"/>
  <c r="AF339" i="9"/>
  <c r="Q372" i="21" s="1"/>
  <c r="AE339" i="9"/>
  <c r="Q371" i="21" s="1"/>
  <c r="AD339" i="9"/>
  <c r="Q370" i="21" s="1"/>
  <c r="AC339" i="9"/>
  <c r="Q369" i="21" s="1"/>
  <c r="AB339" i="9"/>
  <c r="Q368" i="21" s="1"/>
  <c r="AA339" i="9"/>
  <c r="Q367" i="21" s="1"/>
  <c r="Z339" i="9"/>
  <c r="Q366" i="21" s="1"/>
  <c r="Y339" i="9"/>
  <c r="Q365" i="21" s="1"/>
  <c r="X339" i="9"/>
  <c r="Q364" i="21" s="1"/>
  <c r="W339" i="9"/>
  <c r="Q363" i="21" s="1"/>
  <c r="V339" i="9"/>
  <c r="Q362" i="21" s="1"/>
  <c r="U339" i="9"/>
  <c r="Q361" i="21" s="1"/>
  <c r="T339" i="9"/>
  <c r="Q360" i="21" s="1"/>
  <c r="S339" i="9"/>
  <c r="Q359" i="21" s="1"/>
  <c r="R339" i="9"/>
  <c r="Q358" i="21" s="1"/>
  <c r="Q339" i="9"/>
  <c r="Q357" i="21" s="1"/>
  <c r="P339" i="9"/>
  <c r="Q356" i="21" s="1"/>
  <c r="O339" i="9"/>
  <c r="Q355" i="21" s="1"/>
  <c r="N339" i="9"/>
  <c r="Q354" i="21" s="1"/>
  <c r="M339" i="9"/>
  <c r="Q353" i="21" s="1"/>
  <c r="L339" i="9"/>
  <c r="Q352" i="21" s="1"/>
  <c r="K339" i="9"/>
  <c r="Q351" i="21" s="1"/>
  <c r="J339" i="9"/>
  <c r="Q350" i="21" s="1"/>
  <c r="I339" i="9"/>
  <c r="Q349" i="21" s="1"/>
  <c r="H339" i="9"/>
  <c r="Q348" i="21" s="1"/>
  <c r="G339" i="9"/>
  <c r="Q347" i="21" s="1"/>
  <c r="F339" i="9"/>
  <c r="Q346" i="21" s="1"/>
  <c r="E339" i="9"/>
  <c r="Q345" i="21" s="1"/>
  <c r="D339" i="9"/>
  <c r="Q344" i="21" s="1"/>
  <c r="AQ338" i="9"/>
  <c r="AG338" i="9"/>
  <c r="P373" i="21" s="1"/>
  <c r="AF338" i="9"/>
  <c r="P372" i="21" s="1"/>
  <c r="AE338" i="9"/>
  <c r="P371" i="21" s="1"/>
  <c r="AD338" i="9"/>
  <c r="P370" i="21" s="1"/>
  <c r="AC338" i="9"/>
  <c r="P369" i="21" s="1"/>
  <c r="AB338" i="9"/>
  <c r="P368" i="21" s="1"/>
  <c r="AA338" i="9"/>
  <c r="P367" i="21" s="1"/>
  <c r="Z338" i="9"/>
  <c r="P366" i="21" s="1"/>
  <c r="Y338" i="9"/>
  <c r="P365" i="21" s="1"/>
  <c r="X338" i="9"/>
  <c r="P364" i="21" s="1"/>
  <c r="W338" i="9"/>
  <c r="P363" i="21" s="1"/>
  <c r="V338" i="9"/>
  <c r="P362" i="21" s="1"/>
  <c r="U338" i="9"/>
  <c r="P361" i="21" s="1"/>
  <c r="T338" i="9"/>
  <c r="P360" i="21" s="1"/>
  <c r="S338" i="9"/>
  <c r="P359" i="21" s="1"/>
  <c r="R338" i="9"/>
  <c r="P358" i="21" s="1"/>
  <c r="Q338" i="9"/>
  <c r="P357" i="21" s="1"/>
  <c r="P338" i="9"/>
  <c r="P356" i="21" s="1"/>
  <c r="O338" i="9"/>
  <c r="P355" i="21" s="1"/>
  <c r="N338" i="9"/>
  <c r="P354" i="21" s="1"/>
  <c r="M338" i="9"/>
  <c r="P353" i="21" s="1"/>
  <c r="L338" i="9"/>
  <c r="P352" i="21" s="1"/>
  <c r="K338" i="9"/>
  <c r="P351" i="21" s="1"/>
  <c r="J338" i="9"/>
  <c r="P350" i="21" s="1"/>
  <c r="I338" i="9"/>
  <c r="P349" i="21" s="1"/>
  <c r="H338" i="9"/>
  <c r="P348" i="21" s="1"/>
  <c r="G338" i="9"/>
  <c r="P347" i="21" s="1"/>
  <c r="F338" i="9"/>
  <c r="P346" i="21" s="1"/>
  <c r="E338" i="9"/>
  <c r="P345" i="21" s="1"/>
  <c r="D338" i="9"/>
  <c r="P344" i="21" s="1"/>
  <c r="AY337" i="9"/>
  <c r="AO337" i="9" s="1"/>
  <c r="O381" i="21" s="1"/>
  <c r="AW337" i="9"/>
  <c r="AV337" i="9"/>
  <c r="AL337" i="9" s="1"/>
  <c r="O378" i="21" s="1"/>
  <c r="AU337" i="9"/>
  <c r="AK337" i="9" s="1"/>
  <c r="O377" i="21" s="1"/>
  <c r="AR337" i="9"/>
  <c r="AS337" i="9" s="1"/>
  <c r="AQ337" i="9"/>
  <c r="AX337" i="9" s="1"/>
  <c r="AN337" i="9" s="1"/>
  <c r="O380" i="21" s="1"/>
  <c r="AM337" i="9"/>
  <c r="O379" i="21" s="1"/>
  <c r="AG337" i="9"/>
  <c r="O373" i="21" s="1"/>
  <c r="AF337" i="9"/>
  <c r="O372" i="21" s="1"/>
  <c r="AE337" i="9"/>
  <c r="O371" i="21" s="1"/>
  <c r="AD337" i="9"/>
  <c r="O370" i="21" s="1"/>
  <c r="AC337" i="9"/>
  <c r="O369" i="21" s="1"/>
  <c r="AB337" i="9"/>
  <c r="O368" i="21" s="1"/>
  <c r="AA337" i="9"/>
  <c r="O367" i="21" s="1"/>
  <c r="Z337" i="9"/>
  <c r="O366" i="21" s="1"/>
  <c r="Y337" i="9"/>
  <c r="O365" i="21" s="1"/>
  <c r="X337" i="9"/>
  <c r="O364" i="21" s="1"/>
  <c r="W337" i="9"/>
  <c r="O363" i="21" s="1"/>
  <c r="V337" i="9"/>
  <c r="O362" i="21" s="1"/>
  <c r="U337" i="9"/>
  <c r="O361" i="21" s="1"/>
  <c r="T337" i="9"/>
  <c r="O360" i="21" s="1"/>
  <c r="S337" i="9"/>
  <c r="O359" i="21" s="1"/>
  <c r="R337" i="9"/>
  <c r="O358" i="21" s="1"/>
  <c r="Q337" i="9"/>
  <c r="O357" i="21" s="1"/>
  <c r="P337" i="9"/>
  <c r="O356" i="21" s="1"/>
  <c r="O337" i="9"/>
  <c r="O355" i="21" s="1"/>
  <c r="N337" i="9"/>
  <c r="O354" i="21" s="1"/>
  <c r="M337" i="9"/>
  <c r="O353" i="21" s="1"/>
  <c r="L337" i="9"/>
  <c r="O352" i="21" s="1"/>
  <c r="K337" i="9"/>
  <c r="O351" i="21" s="1"/>
  <c r="J337" i="9"/>
  <c r="O350" i="21" s="1"/>
  <c r="I337" i="9"/>
  <c r="O349" i="21" s="1"/>
  <c r="H337" i="9"/>
  <c r="O348" i="21" s="1"/>
  <c r="G337" i="9"/>
  <c r="O347" i="21" s="1"/>
  <c r="F337" i="9"/>
  <c r="O346" i="21" s="1"/>
  <c r="E337" i="9"/>
  <c r="O345" i="21" s="1"/>
  <c r="D337" i="9"/>
  <c r="O344" i="21" s="1"/>
  <c r="AY336" i="9"/>
  <c r="AX336" i="9"/>
  <c r="AN336" i="9" s="1"/>
  <c r="N380" i="21" s="1"/>
  <c r="AW336" i="9"/>
  <c r="AM336" i="9" s="1"/>
  <c r="N379" i="21" s="1"/>
  <c r="AV336" i="9"/>
  <c r="AU336" i="9"/>
  <c r="AK336" i="9" s="1"/>
  <c r="N377" i="21" s="1"/>
  <c r="AT336" i="9"/>
  <c r="AJ336" i="9" s="1"/>
  <c r="N376" i="21" s="1"/>
  <c r="AR336" i="9"/>
  <c r="AS336" i="9" s="1"/>
  <c r="AQ336" i="9"/>
  <c r="AO336" i="9"/>
  <c r="N381" i="21" s="1"/>
  <c r="AL336" i="9"/>
  <c r="N378" i="21" s="1"/>
  <c r="AI336" i="9"/>
  <c r="N375" i="21" s="1"/>
  <c r="AH336" i="9"/>
  <c r="N374" i="21" s="1"/>
  <c r="AG336" i="9"/>
  <c r="N373" i="21" s="1"/>
  <c r="AF336" i="9"/>
  <c r="N372" i="21" s="1"/>
  <c r="AE336" i="9"/>
  <c r="N371" i="21" s="1"/>
  <c r="AD336" i="9"/>
  <c r="N370" i="21" s="1"/>
  <c r="AC336" i="9"/>
  <c r="N369" i="21" s="1"/>
  <c r="AB336" i="9"/>
  <c r="N368" i="21" s="1"/>
  <c r="AA336" i="9"/>
  <c r="N367" i="21" s="1"/>
  <c r="Z336" i="9"/>
  <c r="N366" i="21" s="1"/>
  <c r="Y336" i="9"/>
  <c r="N365" i="21" s="1"/>
  <c r="X336" i="9"/>
  <c r="N364" i="21" s="1"/>
  <c r="W336" i="9"/>
  <c r="N363" i="21" s="1"/>
  <c r="V336" i="9"/>
  <c r="N362" i="21" s="1"/>
  <c r="U336" i="9"/>
  <c r="N361" i="21" s="1"/>
  <c r="T336" i="9"/>
  <c r="N360" i="21" s="1"/>
  <c r="S336" i="9"/>
  <c r="N359" i="21" s="1"/>
  <c r="R336" i="9"/>
  <c r="N358" i="21" s="1"/>
  <c r="Q336" i="9"/>
  <c r="N357" i="21" s="1"/>
  <c r="P336" i="9"/>
  <c r="N356" i="21" s="1"/>
  <c r="O336" i="9"/>
  <c r="N355" i="21" s="1"/>
  <c r="N336" i="9"/>
  <c r="N354" i="21" s="1"/>
  <c r="M336" i="9"/>
  <c r="N353" i="21" s="1"/>
  <c r="L336" i="9"/>
  <c r="N352" i="21" s="1"/>
  <c r="K336" i="9"/>
  <c r="N351" i="21" s="1"/>
  <c r="J336" i="9"/>
  <c r="N350" i="21" s="1"/>
  <c r="I336" i="9"/>
  <c r="N349" i="21" s="1"/>
  <c r="H336" i="9"/>
  <c r="N348" i="21" s="1"/>
  <c r="G336" i="9"/>
  <c r="N347" i="21" s="1"/>
  <c r="F336" i="9"/>
  <c r="N346" i="21" s="1"/>
  <c r="E336" i="9"/>
  <c r="N345" i="21" s="1"/>
  <c r="D336" i="9"/>
  <c r="N344" i="21" s="1"/>
  <c r="AY335" i="9"/>
  <c r="AO335" i="9" s="1"/>
  <c r="M381" i="21" s="1"/>
  <c r="AX335" i="9"/>
  <c r="AN335" i="9" s="1"/>
  <c r="M380" i="21" s="1"/>
  <c r="AW335" i="9"/>
  <c r="AU335" i="9"/>
  <c r="AK335" i="9" s="1"/>
  <c r="M377" i="21" s="1"/>
  <c r="AR335" i="9"/>
  <c r="AS335" i="9" s="1"/>
  <c r="AQ335" i="9"/>
  <c r="AT335" i="9" s="1"/>
  <c r="AM335" i="9"/>
  <c r="M379" i="21" s="1"/>
  <c r="AG335" i="9"/>
  <c r="M373" i="21" s="1"/>
  <c r="AF335" i="9"/>
  <c r="M372" i="21" s="1"/>
  <c r="AE335" i="9"/>
  <c r="M371" i="21" s="1"/>
  <c r="AD335" i="9"/>
  <c r="M370" i="21" s="1"/>
  <c r="AC335" i="9"/>
  <c r="M369" i="21" s="1"/>
  <c r="AB335" i="9"/>
  <c r="M368" i="21" s="1"/>
  <c r="AA335" i="9"/>
  <c r="M367" i="21" s="1"/>
  <c r="Z335" i="9"/>
  <c r="M366" i="21" s="1"/>
  <c r="Y335" i="9"/>
  <c r="M365" i="21" s="1"/>
  <c r="X335" i="9"/>
  <c r="M364" i="21" s="1"/>
  <c r="W335" i="9"/>
  <c r="M363" i="21" s="1"/>
  <c r="V335" i="9"/>
  <c r="M362" i="21" s="1"/>
  <c r="U335" i="9"/>
  <c r="M361" i="21" s="1"/>
  <c r="T335" i="9"/>
  <c r="M360" i="21" s="1"/>
  <c r="S335" i="9"/>
  <c r="M359" i="21" s="1"/>
  <c r="R335" i="9"/>
  <c r="M358" i="21" s="1"/>
  <c r="Q335" i="9"/>
  <c r="M357" i="21" s="1"/>
  <c r="P335" i="9"/>
  <c r="M356" i="21" s="1"/>
  <c r="O335" i="9"/>
  <c r="M355" i="21" s="1"/>
  <c r="N335" i="9"/>
  <c r="M354" i="21" s="1"/>
  <c r="M335" i="9"/>
  <c r="M353" i="21" s="1"/>
  <c r="L335" i="9"/>
  <c r="M352" i="21" s="1"/>
  <c r="K335" i="9"/>
  <c r="M351" i="21" s="1"/>
  <c r="J335" i="9"/>
  <c r="M350" i="21" s="1"/>
  <c r="I335" i="9"/>
  <c r="M349" i="21" s="1"/>
  <c r="H335" i="9"/>
  <c r="M348" i="21" s="1"/>
  <c r="G335" i="9"/>
  <c r="M347" i="21" s="1"/>
  <c r="F335" i="9"/>
  <c r="M346" i="21" s="1"/>
  <c r="E335" i="9"/>
  <c r="M345" i="21" s="1"/>
  <c r="D335" i="9"/>
  <c r="M344" i="21" s="1"/>
  <c r="AX334" i="9"/>
  <c r="AW334" i="9"/>
  <c r="AM334" i="9" s="1"/>
  <c r="L379" i="21" s="1"/>
  <c r="AT334" i="9"/>
  <c r="AJ334" i="9" s="1"/>
  <c r="L376" i="21" s="1"/>
  <c r="AQ334" i="9"/>
  <c r="AY334" i="9" s="1"/>
  <c r="AO334" i="9" s="1"/>
  <c r="L381" i="21" s="1"/>
  <c r="AN334" i="9"/>
  <c r="L380" i="21" s="1"/>
  <c r="AH334" i="9"/>
  <c r="L374" i="21" s="1"/>
  <c r="AG334" i="9"/>
  <c r="L373" i="21" s="1"/>
  <c r="AF334" i="9"/>
  <c r="L372" i="21" s="1"/>
  <c r="AE334" i="9"/>
  <c r="L371" i="21" s="1"/>
  <c r="AD334" i="9"/>
  <c r="L370" i="21" s="1"/>
  <c r="AC334" i="9"/>
  <c r="L369" i="21" s="1"/>
  <c r="AB334" i="9"/>
  <c r="L368" i="21" s="1"/>
  <c r="AA334" i="9"/>
  <c r="L367" i="21" s="1"/>
  <c r="Z334" i="9"/>
  <c r="L366" i="21" s="1"/>
  <c r="Y334" i="9"/>
  <c r="L365" i="21" s="1"/>
  <c r="X334" i="9"/>
  <c r="L364" i="21" s="1"/>
  <c r="W334" i="9"/>
  <c r="L363" i="21" s="1"/>
  <c r="V334" i="9"/>
  <c r="L362" i="21" s="1"/>
  <c r="U334" i="9"/>
  <c r="L361" i="21" s="1"/>
  <c r="T334" i="9"/>
  <c r="L360" i="21" s="1"/>
  <c r="S334" i="9"/>
  <c r="L359" i="21" s="1"/>
  <c r="R334" i="9"/>
  <c r="L358" i="21" s="1"/>
  <c r="Q334" i="9"/>
  <c r="L357" i="21" s="1"/>
  <c r="P334" i="9"/>
  <c r="L356" i="21" s="1"/>
  <c r="O334" i="9"/>
  <c r="L355" i="21" s="1"/>
  <c r="N334" i="9"/>
  <c r="L354" i="21" s="1"/>
  <c r="M334" i="9"/>
  <c r="L353" i="21" s="1"/>
  <c r="L334" i="9"/>
  <c r="L352" i="21" s="1"/>
  <c r="K334" i="9"/>
  <c r="L351" i="21" s="1"/>
  <c r="J334" i="9"/>
  <c r="L350" i="21" s="1"/>
  <c r="I334" i="9"/>
  <c r="L349" i="21" s="1"/>
  <c r="H334" i="9"/>
  <c r="L348" i="21" s="1"/>
  <c r="G334" i="9"/>
  <c r="L347" i="21" s="1"/>
  <c r="F334" i="9"/>
  <c r="L346" i="21" s="1"/>
  <c r="E334" i="9"/>
  <c r="L345" i="21" s="1"/>
  <c r="D334" i="9"/>
  <c r="L344" i="21" s="1"/>
  <c r="AY333" i="9"/>
  <c r="AO333" i="9" s="1"/>
  <c r="K381" i="21" s="1"/>
  <c r="AX333" i="9"/>
  <c r="AN333" i="9" s="1"/>
  <c r="K380" i="21" s="1"/>
  <c r="AT333" i="9"/>
  <c r="AJ333" i="9" s="1"/>
  <c r="K376" i="21" s="1"/>
  <c r="AQ333" i="9"/>
  <c r="AW333" i="9" s="1"/>
  <c r="AM333" i="9" s="1"/>
  <c r="K379" i="21" s="1"/>
  <c r="AI333" i="9"/>
  <c r="K375" i="21" s="1"/>
  <c r="AG333" i="9"/>
  <c r="K373" i="21" s="1"/>
  <c r="AF333" i="9"/>
  <c r="K372" i="21" s="1"/>
  <c r="AE333" i="9"/>
  <c r="K371" i="21" s="1"/>
  <c r="AD333" i="9"/>
  <c r="K370" i="21" s="1"/>
  <c r="AC333" i="9"/>
  <c r="K369" i="21" s="1"/>
  <c r="AB333" i="9"/>
  <c r="K368" i="21" s="1"/>
  <c r="AA333" i="9"/>
  <c r="K367" i="21" s="1"/>
  <c r="Z333" i="9"/>
  <c r="K366" i="21" s="1"/>
  <c r="Y333" i="9"/>
  <c r="K365" i="21" s="1"/>
  <c r="X333" i="9"/>
  <c r="K364" i="21" s="1"/>
  <c r="W333" i="9"/>
  <c r="K363" i="21" s="1"/>
  <c r="V333" i="9"/>
  <c r="K362" i="21" s="1"/>
  <c r="U333" i="9"/>
  <c r="K361" i="21" s="1"/>
  <c r="T333" i="9"/>
  <c r="K360" i="21" s="1"/>
  <c r="S333" i="9"/>
  <c r="K359" i="21" s="1"/>
  <c r="R333" i="9"/>
  <c r="K358" i="21" s="1"/>
  <c r="Q333" i="9"/>
  <c r="K357" i="21" s="1"/>
  <c r="P333" i="9"/>
  <c r="K356" i="21" s="1"/>
  <c r="O333" i="9"/>
  <c r="K355" i="21" s="1"/>
  <c r="N333" i="9"/>
  <c r="K354" i="21" s="1"/>
  <c r="M333" i="9"/>
  <c r="K353" i="21" s="1"/>
  <c r="L333" i="9"/>
  <c r="K352" i="21" s="1"/>
  <c r="K333" i="9"/>
  <c r="K351" i="21" s="1"/>
  <c r="J333" i="9"/>
  <c r="K350" i="21" s="1"/>
  <c r="I333" i="9"/>
  <c r="K349" i="21" s="1"/>
  <c r="H333" i="9"/>
  <c r="K348" i="21" s="1"/>
  <c r="G333" i="9"/>
  <c r="K347" i="21" s="1"/>
  <c r="F333" i="9"/>
  <c r="K346" i="21" s="1"/>
  <c r="E333" i="9"/>
  <c r="K345" i="21" s="1"/>
  <c r="D333" i="9"/>
  <c r="K344" i="21" s="1"/>
  <c r="AY332" i="9"/>
  <c r="AO332" i="9" s="1"/>
  <c r="J381" i="21" s="1"/>
  <c r="AX332" i="9"/>
  <c r="AV332" i="9"/>
  <c r="AL332" i="9" s="1"/>
  <c r="J378" i="21" s="1"/>
  <c r="AT332" i="9"/>
  <c r="AH332" i="9" s="1"/>
  <c r="J374" i="21" s="1"/>
  <c r="AS332" i="9"/>
  <c r="AR332" i="9"/>
  <c r="AQ332" i="9"/>
  <c r="AU332" i="9" s="1"/>
  <c r="AK332" i="9" s="1"/>
  <c r="J377" i="21" s="1"/>
  <c r="AN332" i="9"/>
  <c r="J380" i="21" s="1"/>
  <c r="AJ332" i="9"/>
  <c r="J376" i="21" s="1"/>
  <c r="AI332" i="9"/>
  <c r="J375" i="21" s="1"/>
  <c r="AG332" i="9"/>
  <c r="J373" i="21" s="1"/>
  <c r="AF332" i="9"/>
  <c r="J372" i="21" s="1"/>
  <c r="AE332" i="9"/>
  <c r="J371" i="21" s="1"/>
  <c r="AD332" i="9"/>
  <c r="J370" i="21" s="1"/>
  <c r="AC332" i="9"/>
  <c r="J369" i="21" s="1"/>
  <c r="AB332" i="9"/>
  <c r="J368" i="21" s="1"/>
  <c r="AA332" i="9"/>
  <c r="J367" i="21" s="1"/>
  <c r="Z332" i="9"/>
  <c r="J366" i="21" s="1"/>
  <c r="Y332" i="9"/>
  <c r="J365" i="21" s="1"/>
  <c r="X332" i="9"/>
  <c r="J364" i="21" s="1"/>
  <c r="W332" i="9"/>
  <c r="J363" i="21" s="1"/>
  <c r="V332" i="9"/>
  <c r="J362" i="21" s="1"/>
  <c r="U332" i="9"/>
  <c r="J361" i="21" s="1"/>
  <c r="T332" i="9"/>
  <c r="J360" i="21" s="1"/>
  <c r="S332" i="9"/>
  <c r="J359" i="21" s="1"/>
  <c r="R332" i="9"/>
  <c r="J358" i="21" s="1"/>
  <c r="Q332" i="9"/>
  <c r="J357" i="21" s="1"/>
  <c r="P332" i="9"/>
  <c r="J356" i="21" s="1"/>
  <c r="O332" i="9"/>
  <c r="J355" i="21" s="1"/>
  <c r="N332" i="9"/>
  <c r="J354" i="21" s="1"/>
  <c r="M332" i="9"/>
  <c r="J353" i="21" s="1"/>
  <c r="L332" i="9"/>
  <c r="J352" i="21" s="1"/>
  <c r="K332" i="9"/>
  <c r="J351" i="21" s="1"/>
  <c r="J332" i="9"/>
  <c r="J350" i="21" s="1"/>
  <c r="I332" i="9"/>
  <c r="J349" i="21" s="1"/>
  <c r="H332" i="9"/>
  <c r="J348" i="21" s="1"/>
  <c r="G332" i="9"/>
  <c r="J347" i="21" s="1"/>
  <c r="F332" i="9"/>
  <c r="J346" i="21" s="1"/>
  <c r="E332" i="9"/>
  <c r="J345" i="21" s="1"/>
  <c r="D332" i="9"/>
  <c r="J344" i="21" s="1"/>
  <c r="AX331" i="9"/>
  <c r="AN331" i="9" s="1"/>
  <c r="I380" i="21" s="1"/>
  <c r="AU331" i="9"/>
  <c r="AK331" i="9" s="1"/>
  <c r="I377" i="21" s="1"/>
  <c r="AT331" i="9"/>
  <c r="AI331" i="9" s="1"/>
  <c r="I375" i="21" s="1"/>
  <c r="AQ331" i="9"/>
  <c r="AY331" i="9" s="1"/>
  <c r="AO331" i="9" s="1"/>
  <c r="I381" i="21" s="1"/>
  <c r="AG331" i="9"/>
  <c r="I373" i="21" s="1"/>
  <c r="AF331" i="9"/>
  <c r="I372" i="21" s="1"/>
  <c r="AE331" i="9"/>
  <c r="I371" i="21" s="1"/>
  <c r="AD331" i="9"/>
  <c r="I370" i="21" s="1"/>
  <c r="AC331" i="9"/>
  <c r="I369" i="21" s="1"/>
  <c r="AB331" i="9"/>
  <c r="I368" i="21" s="1"/>
  <c r="AA331" i="9"/>
  <c r="I367" i="21" s="1"/>
  <c r="Z331" i="9"/>
  <c r="I366" i="21" s="1"/>
  <c r="Y331" i="9"/>
  <c r="I365" i="21" s="1"/>
  <c r="X331" i="9"/>
  <c r="I364" i="21" s="1"/>
  <c r="W331" i="9"/>
  <c r="I363" i="21" s="1"/>
  <c r="V331" i="9"/>
  <c r="I362" i="21" s="1"/>
  <c r="U331" i="9"/>
  <c r="I361" i="21" s="1"/>
  <c r="T331" i="9"/>
  <c r="I360" i="21" s="1"/>
  <c r="S331" i="9"/>
  <c r="I359" i="21" s="1"/>
  <c r="R331" i="9"/>
  <c r="I358" i="21" s="1"/>
  <c r="Q331" i="9"/>
  <c r="I357" i="21" s="1"/>
  <c r="P331" i="9"/>
  <c r="I356" i="21" s="1"/>
  <c r="O331" i="9"/>
  <c r="I355" i="21" s="1"/>
  <c r="N331" i="9"/>
  <c r="I354" i="21" s="1"/>
  <c r="M331" i="9"/>
  <c r="I353" i="21" s="1"/>
  <c r="L331" i="9"/>
  <c r="I352" i="21" s="1"/>
  <c r="K331" i="9"/>
  <c r="I351" i="21" s="1"/>
  <c r="J331" i="9"/>
  <c r="I350" i="21" s="1"/>
  <c r="I331" i="9"/>
  <c r="I349" i="21" s="1"/>
  <c r="H331" i="9"/>
  <c r="I348" i="21" s="1"/>
  <c r="G331" i="9"/>
  <c r="I347" i="21" s="1"/>
  <c r="F331" i="9"/>
  <c r="I346" i="21" s="1"/>
  <c r="E331" i="9"/>
  <c r="I345" i="21" s="1"/>
  <c r="D331" i="9"/>
  <c r="I344" i="21" s="1"/>
  <c r="AY330" i="9"/>
  <c r="AO330" i="9" s="1"/>
  <c r="H381" i="21" s="1"/>
  <c r="AX330" i="9"/>
  <c r="AW330" i="9"/>
  <c r="AM330" i="9" s="1"/>
  <c r="H379" i="21" s="1"/>
  <c r="AV330" i="9"/>
  <c r="AL330" i="9" s="1"/>
  <c r="H378" i="21" s="1"/>
  <c r="AU330" i="9"/>
  <c r="AK330" i="9" s="1"/>
  <c r="H377" i="21" s="1"/>
  <c r="AT330" i="9"/>
  <c r="AI330" i="9" s="1"/>
  <c r="H375" i="21" s="1"/>
  <c r="AR330" i="9"/>
  <c r="AS330" i="9" s="1"/>
  <c r="AQ330" i="9"/>
  <c r="AN330" i="9"/>
  <c r="H380" i="21" s="1"/>
  <c r="AJ330" i="9"/>
  <c r="H376" i="21" s="1"/>
  <c r="AG330" i="9"/>
  <c r="H373" i="21" s="1"/>
  <c r="AF330" i="9"/>
  <c r="H372" i="21" s="1"/>
  <c r="AE330" i="9"/>
  <c r="H371" i="21" s="1"/>
  <c r="AD330" i="9"/>
  <c r="H370" i="21" s="1"/>
  <c r="AC330" i="9"/>
  <c r="H369" i="21" s="1"/>
  <c r="AB330" i="9"/>
  <c r="H368" i="21" s="1"/>
  <c r="AA330" i="9"/>
  <c r="H367" i="21" s="1"/>
  <c r="Z330" i="9"/>
  <c r="H366" i="21" s="1"/>
  <c r="Y330" i="9"/>
  <c r="H365" i="21" s="1"/>
  <c r="X330" i="9"/>
  <c r="H364" i="21" s="1"/>
  <c r="W330" i="9"/>
  <c r="H363" i="21" s="1"/>
  <c r="V330" i="9"/>
  <c r="H362" i="21" s="1"/>
  <c r="U330" i="9"/>
  <c r="H361" i="21" s="1"/>
  <c r="T330" i="9"/>
  <c r="H360" i="21" s="1"/>
  <c r="S330" i="9"/>
  <c r="H359" i="21" s="1"/>
  <c r="R330" i="9"/>
  <c r="H358" i="21" s="1"/>
  <c r="Q330" i="9"/>
  <c r="H357" i="21" s="1"/>
  <c r="P330" i="9"/>
  <c r="H356" i="21" s="1"/>
  <c r="O330" i="9"/>
  <c r="H355" i="21" s="1"/>
  <c r="N330" i="9"/>
  <c r="H354" i="21" s="1"/>
  <c r="M330" i="9"/>
  <c r="H353" i="21" s="1"/>
  <c r="L330" i="9"/>
  <c r="H352" i="21" s="1"/>
  <c r="K330" i="9"/>
  <c r="H351" i="21" s="1"/>
  <c r="J330" i="9"/>
  <c r="H350" i="21" s="1"/>
  <c r="I330" i="9"/>
  <c r="H349" i="21" s="1"/>
  <c r="H330" i="9"/>
  <c r="H348" i="21" s="1"/>
  <c r="G330" i="9"/>
  <c r="H347" i="21" s="1"/>
  <c r="F330" i="9"/>
  <c r="H346" i="21" s="1"/>
  <c r="E330" i="9"/>
  <c r="H345" i="21" s="1"/>
  <c r="D330" i="9"/>
  <c r="H344" i="21" s="1"/>
  <c r="AY329" i="9"/>
  <c r="AT329" i="9"/>
  <c r="AQ329" i="9"/>
  <c r="AV329" i="9" s="1"/>
  <c r="AL329" i="9" s="1"/>
  <c r="G378" i="21" s="1"/>
  <c r="AO329" i="9"/>
  <c r="G381" i="21" s="1"/>
  <c r="AG329" i="9"/>
  <c r="G373" i="21" s="1"/>
  <c r="AF329" i="9"/>
  <c r="G372" i="21" s="1"/>
  <c r="AE329" i="9"/>
  <c r="G371" i="21" s="1"/>
  <c r="AD329" i="9"/>
  <c r="G370" i="21" s="1"/>
  <c r="AC329" i="9"/>
  <c r="G369" i="21" s="1"/>
  <c r="AB329" i="9"/>
  <c r="G368" i="21" s="1"/>
  <c r="AA329" i="9"/>
  <c r="G367" i="21" s="1"/>
  <c r="Z329" i="9"/>
  <c r="G366" i="21" s="1"/>
  <c r="Y329" i="9"/>
  <c r="G365" i="21" s="1"/>
  <c r="X329" i="9"/>
  <c r="G364" i="21" s="1"/>
  <c r="W329" i="9"/>
  <c r="G363" i="21" s="1"/>
  <c r="V329" i="9"/>
  <c r="G362" i="21" s="1"/>
  <c r="U329" i="9"/>
  <c r="G361" i="21" s="1"/>
  <c r="T329" i="9"/>
  <c r="G360" i="21" s="1"/>
  <c r="S329" i="9"/>
  <c r="G359" i="21" s="1"/>
  <c r="R329" i="9"/>
  <c r="G358" i="21" s="1"/>
  <c r="Q329" i="9"/>
  <c r="G357" i="21" s="1"/>
  <c r="P329" i="9"/>
  <c r="G356" i="21" s="1"/>
  <c r="O329" i="9"/>
  <c r="G355" i="21" s="1"/>
  <c r="N329" i="9"/>
  <c r="G354" i="21" s="1"/>
  <c r="M329" i="9"/>
  <c r="G353" i="21" s="1"/>
  <c r="L329" i="9"/>
  <c r="G352" i="21" s="1"/>
  <c r="K329" i="9"/>
  <c r="G351" i="21" s="1"/>
  <c r="J329" i="9"/>
  <c r="G350" i="21" s="1"/>
  <c r="I329" i="9"/>
  <c r="G349" i="21" s="1"/>
  <c r="H329" i="9"/>
  <c r="G348" i="21" s="1"/>
  <c r="G329" i="9"/>
  <c r="G347" i="21" s="1"/>
  <c r="F329" i="9"/>
  <c r="G346" i="21" s="1"/>
  <c r="E329" i="9"/>
  <c r="G345" i="21" s="1"/>
  <c r="D329" i="9"/>
  <c r="G344" i="21" s="1"/>
  <c r="AY328" i="9"/>
  <c r="AO328" i="9" s="1"/>
  <c r="F381" i="21" s="1"/>
  <c r="AU328" i="9"/>
  <c r="AK328" i="9" s="1"/>
  <c r="F377" i="21" s="1"/>
  <c r="AQ328" i="9"/>
  <c r="AX328" i="9" s="1"/>
  <c r="AN328" i="9" s="1"/>
  <c r="F380" i="21" s="1"/>
  <c r="AG328" i="9"/>
  <c r="F373" i="21" s="1"/>
  <c r="AF328" i="9"/>
  <c r="F372" i="21" s="1"/>
  <c r="AE328" i="9"/>
  <c r="F371" i="21" s="1"/>
  <c r="AD328" i="9"/>
  <c r="F370" i="21" s="1"/>
  <c r="AC328" i="9"/>
  <c r="F369" i="21" s="1"/>
  <c r="AB328" i="9"/>
  <c r="F368" i="21" s="1"/>
  <c r="AA328" i="9"/>
  <c r="F367" i="21" s="1"/>
  <c r="Z328" i="9"/>
  <c r="F366" i="21" s="1"/>
  <c r="Y328" i="9"/>
  <c r="F365" i="21" s="1"/>
  <c r="X328" i="9"/>
  <c r="F364" i="21" s="1"/>
  <c r="W328" i="9"/>
  <c r="F363" i="21" s="1"/>
  <c r="V328" i="9"/>
  <c r="F362" i="21" s="1"/>
  <c r="U328" i="9"/>
  <c r="F361" i="21" s="1"/>
  <c r="T328" i="9"/>
  <c r="F360" i="21" s="1"/>
  <c r="S328" i="9"/>
  <c r="F359" i="21" s="1"/>
  <c r="R328" i="9"/>
  <c r="F358" i="21" s="1"/>
  <c r="Q328" i="9"/>
  <c r="F357" i="21" s="1"/>
  <c r="P328" i="9"/>
  <c r="F356" i="21" s="1"/>
  <c r="O328" i="9"/>
  <c r="F355" i="21" s="1"/>
  <c r="N328" i="9"/>
  <c r="F354" i="21" s="1"/>
  <c r="M328" i="9"/>
  <c r="F353" i="21" s="1"/>
  <c r="L328" i="9"/>
  <c r="F352" i="21" s="1"/>
  <c r="K328" i="9"/>
  <c r="F351" i="21" s="1"/>
  <c r="J328" i="9"/>
  <c r="F350" i="21" s="1"/>
  <c r="I328" i="9"/>
  <c r="F349" i="21" s="1"/>
  <c r="H328" i="9"/>
  <c r="F348" i="21" s="1"/>
  <c r="G328" i="9"/>
  <c r="F347" i="21" s="1"/>
  <c r="F328" i="9"/>
  <c r="F346" i="21" s="1"/>
  <c r="E328" i="9"/>
  <c r="F345" i="21" s="1"/>
  <c r="D328" i="9"/>
  <c r="F344" i="21" s="1"/>
  <c r="AW327" i="9"/>
  <c r="AM327" i="9" s="1"/>
  <c r="E379" i="21" s="1"/>
  <c r="AV327" i="9"/>
  <c r="AL327" i="9" s="1"/>
  <c r="E378" i="21" s="1"/>
  <c r="AU327" i="9"/>
  <c r="AQ327" i="9"/>
  <c r="AR327" i="9" s="1"/>
  <c r="AS327" i="9" s="1"/>
  <c r="AK327" i="9"/>
  <c r="E377" i="21" s="1"/>
  <c r="AG327" i="9"/>
  <c r="E373" i="21" s="1"/>
  <c r="AF327" i="9"/>
  <c r="E372" i="21" s="1"/>
  <c r="AE327" i="9"/>
  <c r="E371" i="21" s="1"/>
  <c r="AD327" i="9"/>
  <c r="E370" i="21" s="1"/>
  <c r="AC327" i="9"/>
  <c r="E369" i="21" s="1"/>
  <c r="AB327" i="9"/>
  <c r="E368" i="21" s="1"/>
  <c r="AA327" i="9"/>
  <c r="E367" i="21" s="1"/>
  <c r="Z327" i="9"/>
  <c r="E366" i="21" s="1"/>
  <c r="Y327" i="9"/>
  <c r="E365" i="21" s="1"/>
  <c r="X327" i="9"/>
  <c r="E364" i="21" s="1"/>
  <c r="W327" i="9"/>
  <c r="E363" i="21" s="1"/>
  <c r="V327" i="9"/>
  <c r="E362" i="21" s="1"/>
  <c r="U327" i="9"/>
  <c r="E361" i="21" s="1"/>
  <c r="T327" i="9"/>
  <c r="E360" i="21" s="1"/>
  <c r="S327" i="9"/>
  <c r="E359" i="21" s="1"/>
  <c r="R327" i="9"/>
  <c r="E358" i="21" s="1"/>
  <c r="Q327" i="9"/>
  <c r="E357" i="21" s="1"/>
  <c r="P327" i="9"/>
  <c r="E356" i="21" s="1"/>
  <c r="O327" i="9"/>
  <c r="E355" i="21" s="1"/>
  <c r="N327" i="9"/>
  <c r="E354" i="21" s="1"/>
  <c r="M327" i="9"/>
  <c r="E353" i="21" s="1"/>
  <c r="L327" i="9"/>
  <c r="E352" i="21" s="1"/>
  <c r="K327" i="9"/>
  <c r="E351" i="21" s="1"/>
  <c r="J327" i="9"/>
  <c r="E350" i="21" s="1"/>
  <c r="I327" i="9"/>
  <c r="E349" i="21" s="1"/>
  <c r="H327" i="9"/>
  <c r="E348" i="21" s="1"/>
  <c r="G327" i="9"/>
  <c r="E347" i="21" s="1"/>
  <c r="F327" i="9"/>
  <c r="E346" i="21" s="1"/>
  <c r="E327" i="9"/>
  <c r="E345" i="21" s="1"/>
  <c r="D327" i="9"/>
  <c r="E344" i="21" s="1"/>
  <c r="AU326" i="9"/>
  <c r="AK326" i="9" s="1"/>
  <c r="D377" i="21" s="1"/>
  <c r="AQ326" i="9"/>
  <c r="AG326" i="9"/>
  <c r="D373" i="21" s="1"/>
  <c r="AF326" i="9"/>
  <c r="D372" i="21" s="1"/>
  <c r="AE326" i="9"/>
  <c r="D371" i="21" s="1"/>
  <c r="AD326" i="9"/>
  <c r="D370" i="21" s="1"/>
  <c r="AC326" i="9"/>
  <c r="D369" i="21" s="1"/>
  <c r="AB326" i="9"/>
  <c r="D368" i="21" s="1"/>
  <c r="AA326" i="9"/>
  <c r="D367" i="21" s="1"/>
  <c r="Z326" i="9"/>
  <c r="D366" i="21" s="1"/>
  <c r="Y326" i="9"/>
  <c r="D365" i="21" s="1"/>
  <c r="X326" i="9"/>
  <c r="D364" i="21" s="1"/>
  <c r="W326" i="9"/>
  <c r="D363" i="21" s="1"/>
  <c r="V326" i="9"/>
  <c r="D362" i="21" s="1"/>
  <c r="U326" i="9"/>
  <c r="D361" i="21" s="1"/>
  <c r="T326" i="9"/>
  <c r="D360" i="21" s="1"/>
  <c r="S326" i="9"/>
  <c r="D359" i="21" s="1"/>
  <c r="R326" i="9"/>
  <c r="D358" i="21" s="1"/>
  <c r="Q326" i="9"/>
  <c r="D357" i="21" s="1"/>
  <c r="P326" i="9"/>
  <c r="D356" i="21" s="1"/>
  <c r="O326" i="9"/>
  <c r="D355" i="21" s="1"/>
  <c r="N326" i="9"/>
  <c r="D354" i="21" s="1"/>
  <c r="M326" i="9"/>
  <c r="D353" i="21" s="1"/>
  <c r="L326" i="9"/>
  <c r="D352" i="21" s="1"/>
  <c r="K326" i="9"/>
  <c r="D351" i="21" s="1"/>
  <c r="J326" i="9"/>
  <c r="D350" i="21" s="1"/>
  <c r="I326" i="9"/>
  <c r="D349" i="21" s="1"/>
  <c r="H326" i="9"/>
  <c r="D348" i="21" s="1"/>
  <c r="G326" i="9"/>
  <c r="D347" i="21" s="1"/>
  <c r="F326" i="9"/>
  <c r="D346" i="21" s="1"/>
  <c r="E326" i="9"/>
  <c r="D345" i="21" s="1"/>
  <c r="D326" i="9"/>
  <c r="D344" i="21" s="1"/>
  <c r="AV325" i="9"/>
  <c r="AL325" i="9" s="1"/>
  <c r="AQ336" i="21" s="1"/>
  <c r="AQ325" i="9"/>
  <c r="AY325" i="9" s="1"/>
  <c r="AO325" i="9" s="1"/>
  <c r="AQ339" i="21" s="1"/>
  <c r="AG325" i="9"/>
  <c r="AQ331" i="21" s="1"/>
  <c r="AF325" i="9"/>
  <c r="AQ330" i="21" s="1"/>
  <c r="AE325" i="9"/>
  <c r="AQ329" i="21" s="1"/>
  <c r="AD325" i="9"/>
  <c r="AQ328" i="21" s="1"/>
  <c r="AC325" i="9"/>
  <c r="AQ327" i="21" s="1"/>
  <c r="AB325" i="9"/>
  <c r="AQ326" i="21" s="1"/>
  <c r="AA325" i="9"/>
  <c r="AQ325" i="21" s="1"/>
  <c r="Z325" i="9"/>
  <c r="AQ324" i="21" s="1"/>
  <c r="Y325" i="9"/>
  <c r="AQ323" i="21" s="1"/>
  <c r="X325" i="9"/>
  <c r="AQ322" i="21" s="1"/>
  <c r="W325" i="9"/>
  <c r="AQ321" i="21" s="1"/>
  <c r="V325" i="9"/>
  <c r="AQ320" i="21" s="1"/>
  <c r="U325" i="9"/>
  <c r="AQ319" i="21" s="1"/>
  <c r="T325" i="9"/>
  <c r="AQ318" i="21" s="1"/>
  <c r="S325" i="9"/>
  <c r="AQ317" i="21" s="1"/>
  <c r="R325" i="9"/>
  <c r="AQ316" i="21" s="1"/>
  <c r="Q325" i="9"/>
  <c r="AQ315" i="21" s="1"/>
  <c r="P325" i="9"/>
  <c r="AQ314" i="21" s="1"/>
  <c r="O325" i="9"/>
  <c r="AQ313" i="21" s="1"/>
  <c r="N325" i="9"/>
  <c r="AQ312" i="21" s="1"/>
  <c r="M325" i="9"/>
  <c r="AQ311" i="21" s="1"/>
  <c r="L325" i="9"/>
  <c r="AQ310" i="21" s="1"/>
  <c r="K325" i="9"/>
  <c r="AQ309" i="21" s="1"/>
  <c r="J325" i="9"/>
  <c r="AQ308" i="21" s="1"/>
  <c r="I325" i="9"/>
  <c r="AQ307" i="21" s="1"/>
  <c r="H325" i="9"/>
  <c r="AQ306" i="21" s="1"/>
  <c r="G325" i="9"/>
  <c r="AQ305" i="21" s="1"/>
  <c r="F325" i="9"/>
  <c r="AQ304" i="21" s="1"/>
  <c r="E325" i="9"/>
  <c r="AQ303" i="21" s="1"/>
  <c r="D325" i="9"/>
  <c r="AQ302" i="21" s="1"/>
  <c r="AQ324" i="9"/>
  <c r="AG324" i="9"/>
  <c r="AP331" i="21" s="1"/>
  <c r="AF324" i="9"/>
  <c r="AP330" i="21" s="1"/>
  <c r="AE324" i="9"/>
  <c r="AP329" i="21" s="1"/>
  <c r="AD324" i="9"/>
  <c r="AP328" i="21" s="1"/>
  <c r="AC324" i="9"/>
  <c r="AP327" i="21" s="1"/>
  <c r="AB324" i="9"/>
  <c r="AP326" i="21" s="1"/>
  <c r="AA324" i="9"/>
  <c r="AP325" i="21" s="1"/>
  <c r="Z324" i="9"/>
  <c r="AP324" i="21" s="1"/>
  <c r="Y324" i="9"/>
  <c r="AP323" i="21" s="1"/>
  <c r="X324" i="9"/>
  <c r="AP322" i="21" s="1"/>
  <c r="W324" i="9"/>
  <c r="AP321" i="21" s="1"/>
  <c r="V324" i="9"/>
  <c r="AP320" i="21" s="1"/>
  <c r="U324" i="9"/>
  <c r="AP319" i="21" s="1"/>
  <c r="T324" i="9"/>
  <c r="AP318" i="21" s="1"/>
  <c r="S324" i="9"/>
  <c r="AP317" i="21" s="1"/>
  <c r="R324" i="9"/>
  <c r="AP316" i="21" s="1"/>
  <c r="Q324" i="9"/>
  <c r="AP315" i="21" s="1"/>
  <c r="P324" i="9"/>
  <c r="AP314" i="21" s="1"/>
  <c r="O324" i="9"/>
  <c r="AP313" i="21" s="1"/>
  <c r="N324" i="9"/>
  <c r="AP312" i="21" s="1"/>
  <c r="M324" i="9"/>
  <c r="AP311" i="21" s="1"/>
  <c r="L324" i="9"/>
  <c r="AP310" i="21" s="1"/>
  <c r="K324" i="9"/>
  <c r="AP309" i="21" s="1"/>
  <c r="J324" i="9"/>
  <c r="AP308" i="21" s="1"/>
  <c r="I324" i="9"/>
  <c r="AP307" i="21" s="1"/>
  <c r="H324" i="9"/>
  <c r="AP306" i="21" s="1"/>
  <c r="G324" i="9"/>
  <c r="AP305" i="21" s="1"/>
  <c r="F324" i="9"/>
  <c r="AP304" i="21" s="1"/>
  <c r="E324" i="9"/>
  <c r="AP303" i="21" s="1"/>
  <c r="D324" i="9"/>
  <c r="AP302" i="21" s="1"/>
  <c r="AY323" i="9"/>
  <c r="AO323" i="9" s="1"/>
  <c r="AO339" i="21" s="1"/>
  <c r="AW323" i="9"/>
  <c r="AV323" i="9"/>
  <c r="AL323" i="9" s="1"/>
  <c r="AO336" i="21" s="1"/>
  <c r="AU323" i="9"/>
  <c r="AK323" i="9" s="1"/>
  <c r="AO335" i="21" s="1"/>
  <c r="AR323" i="9"/>
  <c r="AS323" i="9" s="1"/>
  <c r="AQ323" i="9"/>
  <c r="AX323" i="9" s="1"/>
  <c r="AN323" i="9" s="1"/>
  <c r="AO338" i="21" s="1"/>
  <c r="AM323" i="9"/>
  <c r="AO337" i="21" s="1"/>
  <c r="AG323" i="9"/>
  <c r="AO331" i="21" s="1"/>
  <c r="AF323" i="9"/>
  <c r="AO330" i="21" s="1"/>
  <c r="AE323" i="9"/>
  <c r="AO329" i="21" s="1"/>
  <c r="AD323" i="9"/>
  <c r="AO328" i="21" s="1"/>
  <c r="AC323" i="9"/>
  <c r="AO327" i="21" s="1"/>
  <c r="AB323" i="9"/>
  <c r="AO326" i="21" s="1"/>
  <c r="AA323" i="9"/>
  <c r="AO325" i="21" s="1"/>
  <c r="Z323" i="9"/>
  <c r="AO324" i="21" s="1"/>
  <c r="Y323" i="9"/>
  <c r="AO323" i="21" s="1"/>
  <c r="X323" i="9"/>
  <c r="AO322" i="21" s="1"/>
  <c r="W323" i="9"/>
  <c r="AO321" i="21" s="1"/>
  <c r="V323" i="9"/>
  <c r="AO320" i="21" s="1"/>
  <c r="U323" i="9"/>
  <c r="AO319" i="21" s="1"/>
  <c r="T323" i="9"/>
  <c r="AO318" i="21" s="1"/>
  <c r="S323" i="9"/>
  <c r="AO317" i="21" s="1"/>
  <c r="R323" i="9"/>
  <c r="AO316" i="21" s="1"/>
  <c r="Q323" i="9"/>
  <c r="AO315" i="21" s="1"/>
  <c r="P323" i="9"/>
  <c r="AO314" i="21" s="1"/>
  <c r="O323" i="9"/>
  <c r="AO313" i="21" s="1"/>
  <c r="N323" i="9"/>
  <c r="AO312" i="21" s="1"/>
  <c r="M323" i="9"/>
  <c r="AO311" i="21" s="1"/>
  <c r="L323" i="9"/>
  <c r="AO310" i="21" s="1"/>
  <c r="K323" i="9"/>
  <c r="AO309" i="21" s="1"/>
  <c r="J323" i="9"/>
  <c r="AO308" i="21" s="1"/>
  <c r="I323" i="9"/>
  <c r="AO307" i="21" s="1"/>
  <c r="H323" i="9"/>
  <c r="AO306" i="21" s="1"/>
  <c r="G323" i="9"/>
  <c r="AO305" i="21" s="1"/>
  <c r="F323" i="9"/>
  <c r="AO304" i="21" s="1"/>
  <c r="E323" i="9"/>
  <c r="AO303" i="21" s="1"/>
  <c r="D323" i="9"/>
  <c r="AO302" i="21" s="1"/>
  <c r="AX322" i="9"/>
  <c r="AN322" i="9" s="1"/>
  <c r="AN338" i="21" s="1"/>
  <c r="AW322" i="9"/>
  <c r="AM322" i="9" s="1"/>
  <c r="AN337" i="21" s="1"/>
  <c r="AV322" i="9"/>
  <c r="AU322" i="9"/>
  <c r="AK322" i="9" s="1"/>
  <c r="AN335" i="21" s="1"/>
  <c r="AT322" i="9"/>
  <c r="AJ322" i="9" s="1"/>
  <c r="AN334" i="21" s="1"/>
  <c r="AR322" i="9"/>
  <c r="AS322" i="9" s="1"/>
  <c r="AQ322" i="9"/>
  <c r="AY322" i="9" s="1"/>
  <c r="AO322" i="9" s="1"/>
  <c r="AN339" i="21" s="1"/>
  <c r="AL322" i="9"/>
  <c r="AN336" i="21" s="1"/>
  <c r="AI322" i="9"/>
  <c r="AN333" i="21" s="1"/>
  <c r="AH322" i="9"/>
  <c r="AN332" i="21" s="1"/>
  <c r="AG322" i="9"/>
  <c r="AN331" i="21" s="1"/>
  <c r="AF322" i="9"/>
  <c r="AN330" i="21" s="1"/>
  <c r="AE322" i="9"/>
  <c r="AN329" i="21" s="1"/>
  <c r="AD322" i="9"/>
  <c r="AN328" i="21" s="1"/>
  <c r="AC322" i="9"/>
  <c r="AN327" i="21" s="1"/>
  <c r="AB322" i="9"/>
  <c r="AN326" i="21" s="1"/>
  <c r="AA322" i="9"/>
  <c r="AN325" i="21" s="1"/>
  <c r="Z322" i="9"/>
  <c r="AN324" i="21" s="1"/>
  <c r="Y322" i="9"/>
  <c r="AN323" i="21" s="1"/>
  <c r="X322" i="9"/>
  <c r="AN322" i="21" s="1"/>
  <c r="W322" i="9"/>
  <c r="AN321" i="21" s="1"/>
  <c r="V322" i="9"/>
  <c r="AN320" i="21" s="1"/>
  <c r="U322" i="9"/>
  <c r="AN319" i="21" s="1"/>
  <c r="T322" i="9"/>
  <c r="AN318" i="21" s="1"/>
  <c r="S322" i="9"/>
  <c r="AN317" i="21" s="1"/>
  <c r="R322" i="9"/>
  <c r="AN316" i="21" s="1"/>
  <c r="Q322" i="9"/>
  <c r="AN315" i="21" s="1"/>
  <c r="P322" i="9"/>
  <c r="AN314" i="21" s="1"/>
  <c r="O322" i="9"/>
  <c r="AN313" i="21" s="1"/>
  <c r="N322" i="9"/>
  <c r="AN312" i="21" s="1"/>
  <c r="M322" i="9"/>
  <c r="AN311" i="21" s="1"/>
  <c r="L322" i="9"/>
  <c r="AN310" i="21" s="1"/>
  <c r="K322" i="9"/>
  <c r="AN309" i="21" s="1"/>
  <c r="J322" i="9"/>
  <c r="AN308" i="21" s="1"/>
  <c r="I322" i="9"/>
  <c r="AN307" i="21" s="1"/>
  <c r="H322" i="9"/>
  <c r="AN306" i="21" s="1"/>
  <c r="G322" i="9"/>
  <c r="AN305" i="21" s="1"/>
  <c r="F322" i="9"/>
  <c r="AN304" i="21" s="1"/>
  <c r="E322" i="9"/>
  <c r="AN303" i="21" s="1"/>
  <c r="D322" i="9"/>
  <c r="AN302" i="21" s="1"/>
  <c r="AY321" i="9"/>
  <c r="AO321" i="9" s="1"/>
  <c r="AM339" i="21" s="1"/>
  <c r="AX321" i="9"/>
  <c r="AN321" i="9" s="1"/>
  <c r="AM338" i="21" s="1"/>
  <c r="AW321" i="9"/>
  <c r="AU321" i="9"/>
  <c r="AK321" i="9" s="1"/>
  <c r="AM335" i="21" s="1"/>
  <c r="AR321" i="9"/>
  <c r="AS321" i="9" s="1"/>
  <c r="AQ321" i="9"/>
  <c r="AT321" i="9" s="1"/>
  <c r="AM321" i="9"/>
  <c r="AM337" i="21" s="1"/>
  <c r="AG321" i="9"/>
  <c r="AM331" i="21" s="1"/>
  <c r="AF321" i="9"/>
  <c r="AM330" i="21" s="1"/>
  <c r="AE321" i="9"/>
  <c r="AM329" i="21" s="1"/>
  <c r="AD321" i="9"/>
  <c r="AM328" i="21" s="1"/>
  <c r="AC321" i="9"/>
  <c r="AM327" i="21" s="1"/>
  <c r="AB321" i="9"/>
  <c r="AM326" i="21" s="1"/>
  <c r="AA321" i="9"/>
  <c r="AM325" i="21" s="1"/>
  <c r="Z321" i="9"/>
  <c r="AM324" i="21" s="1"/>
  <c r="Y321" i="9"/>
  <c r="AM323" i="21" s="1"/>
  <c r="X321" i="9"/>
  <c r="AM322" i="21" s="1"/>
  <c r="W321" i="9"/>
  <c r="AM321" i="21" s="1"/>
  <c r="V321" i="9"/>
  <c r="AM320" i="21" s="1"/>
  <c r="U321" i="9"/>
  <c r="AM319" i="21" s="1"/>
  <c r="T321" i="9"/>
  <c r="AM318" i="21" s="1"/>
  <c r="S321" i="9"/>
  <c r="AM317" i="21" s="1"/>
  <c r="R321" i="9"/>
  <c r="AM316" i="21" s="1"/>
  <c r="Q321" i="9"/>
  <c r="AM315" i="21" s="1"/>
  <c r="P321" i="9"/>
  <c r="AM314" i="21" s="1"/>
  <c r="O321" i="9"/>
  <c r="AM313" i="21" s="1"/>
  <c r="N321" i="9"/>
  <c r="AM312" i="21" s="1"/>
  <c r="M321" i="9"/>
  <c r="AM311" i="21" s="1"/>
  <c r="L321" i="9"/>
  <c r="AM310" i="21" s="1"/>
  <c r="K321" i="9"/>
  <c r="AM309" i="21" s="1"/>
  <c r="J321" i="9"/>
  <c r="AM308" i="21" s="1"/>
  <c r="I321" i="9"/>
  <c r="AM307" i="21" s="1"/>
  <c r="H321" i="9"/>
  <c r="AM306" i="21" s="1"/>
  <c r="G321" i="9"/>
  <c r="AM305" i="21" s="1"/>
  <c r="F321" i="9"/>
  <c r="AM304" i="21" s="1"/>
  <c r="E321" i="9"/>
  <c r="AM303" i="21" s="1"/>
  <c r="D321" i="9"/>
  <c r="AM302" i="21" s="1"/>
  <c r="AX320" i="9"/>
  <c r="AW320" i="9"/>
  <c r="AM320" i="9" s="1"/>
  <c r="AL337" i="21" s="1"/>
  <c r="AT320" i="9"/>
  <c r="AJ320" i="9" s="1"/>
  <c r="AL334" i="21" s="1"/>
  <c r="AQ320" i="9"/>
  <c r="AY320" i="9" s="1"/>
  <c r="AO320" i="9" s="1"/>
  <c r="AL339" i="21" s="1"/>
  <c r="AN320" i="9"/>
  <c r="AL338" i="21" s="1"/>
  <c r="AH320" i="9"/>
  <c r="AL332" i="21" s="1"/>
  <c r="AG320" i="9"/>
  <c r="AL331" i="21" s="1"/>
  <c r="AF320" i="9"/>
  <c r="AL330" i="21" s="1"/>
  <c r="AE320" i="9"/>
  <c r="AL329" i="21" s="1"/>
  <c r="AD320" i="9"/>
  <c r="AL328" i="21" s="1"/>
  <c r="AC320" i="9"/>
  <c r="AL327" i="21" s="1"/>
  <c r="AB320" i="9"/>
  <c r="AL326" i="21" s="1"/>
  <c r="AA320" i="9"/>
  <c r="AL325" i="21" s="1"/>
  <c r="Z320" i="9"/>
  <c r="AL324" i="21" s="1"/>
  <c r="Y320" i="9"/>
  <c r="AL323" i="21" s="1"/>
  <c r="X320" i="9"/>
  <c r="AL322" i="21" s="1"/>
  <c r="W320" i="9"/>
  <c r="AL321" i="21" s="1"/>
  <c r="V320" i="9"/>
  <c r="AL320" i="21" s="1"/>
  <c r="U320" i="9"/>
  <c r="AL319" i="21" s="1"/>
  <c r="T320" i="9"/>
  <c r="AL318" i="21" s="1"/>
  <c r="S320" i="9"/>
  <c r="AL317" i="21" s="1"/>
  <c r="R320" i="9"/>
  <c r="AL316" i="21" s="1"/>
  <c r="Q320" i="9"/>
  <c r="AL315" i="21" s="1"/>
  <c r="P320" i="9"/>
  <c r="AL314" i="21" s="1"/>
  <c r="O320" i="9"/>
  <c r="AL313" i="21" s="1"/>
  <c r="N320" i="9"/>
  <c r="AL312" i="21" s="1"/>
  <c r="M320" i="9"/>
  <c r="AL311" i="21" s="1"/>
  <c r="L320" i="9"/>
  <c r="AL310" i="21" s="1"/>
  <c r="K320" i="9"/>
  <c r="AL309" i="21" s="1"/>
  <c r="J320" i="9"/>
  <c r="AL308" i="21" s="1"/>
  <c r="I320" i="9"/>
  <c r="AL307" i="21" s="1"/>
  <c r="H320" i="9"/>
  <c r="AL306" i="21" s="1"/>
  <c r="G320" i="9"/>
  <c r="AL305" i="21" s="1"/>
  <c r="F320" i="9"/>
  <c r="AL304" i="21" s="1"/>
  <c r="E320" i="9"/>
  <c r="AL303" i="21" s="1"/>
  <c r="D320" i="9"/>
  <c r="AL302" i="21" s="1"/>
  <c r="AY319" i="9"/>
  <c r="AO319" i="9" s="1"/>
  <c r="AK339" i="21" s="1"/>
  <c r="AX319" i="9"/>
  <c r="AN319" i="9" s="1"/>
  <c r="AK338" i="21" s="1"/>
  <c r="AT319" i="9"/>
  <c r="AJ319" i="9" s="1"/>
  <c r="AK334" i="21" s="1"/>
  <c r="AQ319" i="9"/>
  <c r="AW319" i="9" s="1"/>
  <c r="AM319" i="9"/>
  <c r="AK337" i="21" s="1"/>
  <c r="AI319" i="9"/>
  <c r="AK333" i="21" s="1"/>
  <c r="AG319" i="9"/>
  <c r="AK331" i="21" s="1"/>
  <c r="AF319" i="9"/>
  <c r="AK330" i="21" s="1"/>
  <c r="AE319" i="9"/>
  <c r="AK329" i="21" s="1"/>
  <c r="AD319" i="9"/>
  <c r="AK328" i="21" s="1"/>
  <c r="AC319" i="9"/>
  <c r="AK327" i="21" s="1"/>
  <c r="AB319" i="9"/>
  <c r="AK326" i="21" s="1"/>
  <c r="AA319" i="9"/>
  <c r="AK325" i="21" s="1"/>
  <c r="Z319" i="9"/>
  <c r="AK324" i="21" s="1"/>
  <c r="Y319" i="9"/>
  <c r="AK323" i="21" s="1"/>
  <c r="X319" i="9"/>
  <c r="AK322" i="21" s="1"/>
  <c r="W319" i="9"/>
  <c r="AK321" i="21" s="1"/>
  <c r="V319" i="9"/>
  <c r="AK320" i="21" s="1"/>
  <c r="U319" i="9"/>
  <c r="AK319" i="21" s="1"/>
  <c r="T319" i="9"/>
  <c r="AK318" i="21" s="1"/>
  <c r="S319" i="9"/>
  <c r="AK317" i="21" s="1"/>
  <c r="R319" i="9"/>
  <c r="AK316" i="21" s="1"/>
  <c r="Q319" i="9"/>
  <c r="AK315" i="21" s="1"/>
  <c r="P319" i="9"/>
  <c r="AK314" i="21" s="1"/>
  <c r="O319" i="9"/>
  <c r="AK313" i="21" s="1"/>
  <c r="N319" i="9"/>
  <c r="AK312" i="21" s="1"/>
  <c r="M319" i="9"/>
  <c r="AK311" i="21" s="1"/>
  <c r="L319" i="9"/>
  <c r="AK310" i="21" s="1"/>
  <c r="K319" i="9"/>
  <c r="AK309" i="21" s="1"/>
  <c r="J319" i="9"/>
  <c r="AK308" i="21" s="1"/>
  <c r="I319" i="9"/>
  <c r="AK307" i="21" s="1"/>
  <c r="H319" i="9"/>
  <c r="AK306" i="21" s="1"/>
  <c r="G319" i="9"/>
  <c r="AK305" i="21" s="1"/>
  <c r="F319" i="9"/>
  <c r="AK304" i="21" s="1"/>
  <c r="E319" i="9"/>
  <c r="AK303" i="21" s="1"/>
  <c r="D319" i="9"/>
  <c r="AK302" i="21" s="1"/>
  <c r="AY318" i="9"/>
  <c r="AO318" i="9" s="1"/>
  <c r="AJ339" i="21" s="1"/>
  <c r="AX318" i="9"/>
  <c r="AW318" i="9"/>
  <c r="AV318" i="9"/>
  <c r="AL318" i="9" s="1"/>
  <c r="AJ336" i="21" s="1"/>
  <c r="AT318" i="9"/>
  <c r="AH318" i="9" s="1"/>
  <c r="AJ332" i="21" s="1"/>
  <c r="AS318" i="9"/>
  <c r="AR318" i="9"/>
  <c r="AQ318" i="9"/>
  <c r="AU318" i="9" s="1"/>
  <c r="AK318" i="9" s="1"/>
  <c r="AJ335" i="21" s="1"/>
  <c r="AN318" i="9"/>
  <c r="AJ338" i="21" s="1"/>
  <c r="AM318" i="9"/>
  <c r="AJ337" i="21" s="1"/>
  <c r="AJ318" i="9"/>
  <c r="AJ334" i="21" s="1"/>
  <c r="AI318" i="9"/>
  <c r="AJ333" i="21" s="1"/>
  <c r="AG318" i="9"/>
  <c r="AJ331" i="21" s="1"/>
  <c r="AF318" i="9"/>
  <c r="AJ330" i="21" s="1"/>
  <c r="AE318" i="9"/>
  <c r="AJ329" i="21" s="1"/>
  <c r="AD318" i="9"/>
  <c r="AJ328" i="21" s="1"/>
  <c r="AC318" i="9"/>
  <c r="AJ327" i="21" s="1"/>
  <c r="AB318" i="9"/>
  <c r="AJ326" i="21" s="1"/>
  <c r="AA318" i="9"/>
  <c r="AJ325" i="21" s="1"/>
  <c r="Z318" i="9"/>
  <c r="AJ324" i="21" s="1"/>
  <c r="Y318" i="9"/>
  <c r="AJ323" i="21" s="1"/>
  <c r="X318" i="9"/>
  <c r="AJ322" i="21" s="1"/>
  <c r="W318" i="9"/>
  <c r="AJ321" i="21" s="1"/>
  <c r="V318" i="9"/>
  <c r="AJ320" i="21" s="1"/>
  <c r="U318" i="9"/>
  <c r="AJ319" i="21" s="1"/>
  <c r="T318" i="9"/>
  <c r="AJ318" i="21" s="1"/>
  <c r="S318" i="9"/>
  <c r="AJ317" i="21" s="1"/>
  <c r="R318" i="9"/>
  <c r="AJ316" i="21" s="1"/>
  <c r="Q318" i="9"/>
  <c r="AJ315" i="21" s="1"/>
  <c r="P318" i="9"/>
  <c r="AJ314" i="21" s="1"/>
  <c r="O318" i="9"/>
  <c r="AJ313" i="21" s="1"/>
  <c r="N318" i="9"/>
  <c r="AJ312" i="21" s="1"/>
  <c r="M318" i="9"/>
  <c r="AJ311" i="21" s="1"/>
  <c r="L318" i="9"/>
  <c r="AJ310" i="21" s="1"/>
  <c r="K318" i="9"/>
  <c r="AJ309" i="21" s="1"/>
  <c r="J318" i="9"/>
  <c r="AJ308" i="21" s="1"/>
  <c r="I318" i="9"/>
  <c r="AJ307" i="21" s="1"/>
  <c r="H318" i="9"/>
  <c r="AJ306" i="21" s="1"/>
  <c r="G318" i="9"/>
  <c r="AJ305" i="21" s="1"/>
  <c r="F318" i="9"/>
  <c r="AJ304" i="21" s="1"/>
  <c r="E318" i="9"/>
  <c r="AJ303" i="21" s="1"/>
  <c r="D318" i="9"/>
  <c r="AJ302" i="21" s="1"/>
  <c r="AX317" i="9"/>
  <c r="AN317" i="9" s="1"/>
  <c r="AI338" i="21" s="1"/>
  <c r="AU317" i="9"/>
  <c r="AK317" i="9" s="1"/>
  <c r="AI335" i="21" s="1"/>
  <c r="AT317" i="9"/>
  <c r="AQ317" i="9"/>
  <c r="AY317" i="9" s="1"/>
  <c r="AO317" i="9" s="1"/>
  <c r="AI339" i="21" s="1"/>
  <c r="AI317" i="9"/>
  <c r="AI333" i="21" s="1"/>
  <c r="AG317" i="9"/>
  <c r="AI331" i="21" s="1"/>
  <c r="AF317" i="9"/>
  <c r="AI330" i="21" s="1"/>
  <c r="AE317" i="9"/>
  <c r="AI329" i="21" s="1"/>
  <c r="AD317" i="9"/>
  <c r="AI328" i="21" s="1"/>
  <c r="AC317" i="9"/>
  <c r="AI327" i="21" s="1"/>
  <c r="AB317" i="9"/>
  <c r="AI326" i="21" s="1"/>
  <c r="AA317" i="9"/>
  <c r="AI325" i="21" s="1"/>
  <c r="Z317" i="9"/>
  <c r="AI324" i="21" s="1"/>
  <c r="Y317" i="9"/>
  <c r="AI323" i="21" s="1"/>
  <c r="X317" i="9"/>
  <c r="AI322" i="21" s="1"/>
  <c r="W317" i="9"/>
  <c r="AI321" i="21" s="1"/>
  <c r="V317" i="9"/>
  <c r="AI320" i="21" s="1"/>
  <c r="U317" i="9"/>
  <c r="AI319" i="21" s="1"/>
  <c r="T317" i="9"/>
  <c r="AI318" i="21" s="1"/>
  <c r="S317" i="9"/>
  <c r="AI317" i="21" s="1"/>
  <c r="R317" i="9"/>
  <c r="AI316" i="21" s="1"/>
  <c r="Q317" i="9"/>
  <c r="AI315" i="21" s="1"/>
  <c r="P317" i="9"/>
  <c r="AI314" i="21" s="1"/>
  <c r="O317" i="9"/>
  <c r="AI313" i="21" s="1"/>
  <c r="N317" i="9"/>
  <c r="AI312" i="21" s="1"/>
  <c r="M317" i="9"/>
  <c r="AI311" i="21" s="1"/>
  <c r="L317" i="9"/>
  <c r="AI310" i="21" s="1"/>
  <c r="K317" i="9"/>
  <c r="AI309" i="21" s="1"/>
  <c r="J317" i="9"/>
  <c r="AI308" i="21" s="1"/>
  <c r="I317" i="9"/>
  <c r="AI307" i="21" s="1"/>
  <c r="H317" i="9"/>
  <c r="AI306" i="21" s="1"/>
  <c r="G317" i="9"/>
  <c r="AI305" i="21" s="1"/>
  <c r="F317" i="9"/>
  <c r="AI304" i="21" s="1"/>
  <c r="E317" i="9"/>
  <c r="AI303" i="21" s="1"/>
  <c r="D317" i="9"/>
  <c r="AI302" i="21" s="1"/>
  <c r="AY316" i="9"/>
  <c r="AO316" i="9" s="1"/>
  <c r="AH339" i="21" s="1"/>
  <c r="AX316" i="9"/>
  <c r="AW316" i="9"/>
  <c r="AM316" i="9" s="1"/>
  <c r="AH337" i="21" s="1"/>
  <c r="AV316" i="9"/>
  <c r="AL316" i="9" s="1"/>
  <c r="AH336" i="21" s="1"/>
  <c r="AU316" i="9"/>
  <c r="AK316" i="9" s="1"/>
  <c r="AH335" i="21" s="1"/>
  <c r="AT316" i="9"/>
  <c r="AI316" i="9" s="1"/>
  <c r="AH333" i="21" s="1"/>
  <c r="AR316" i="9"/>
  <c r="AS316" i="9" s="1"/>
  <c r="AQ316" i="9"/>
  <c r="AN316" i="9"/>
  <c r="AH338" i="21" s="1"/>
  <c r="AJ316" i="9"/>
  <c r="AH334" i="21" s="1"/>
  <c r="AG316" i="9"/>
  <c r="AH331" i="21" s="1"/>
  <c r="AF316" i="9"/>
  <c r="AH330" i="21" s="1"/>
  <c r="AE316" i="9"/>
  <c r="AH329" i="21" s="1"/>
  <c r="AD316" i="9"/>
  <c r="AH328" i="21" s="1"/>
  <c r="AC316" i="9"/>
  <c r="AH327" i="21" s="1"/>
  <c r="AB316" i="9"/>
  <c r="AH326" i="21" s="1"/>
  <c r="AA316" i="9"/>
  <c r="AH325" i="21" s="1"/>
  <c r="Z316" i="9"/>
  <c r="AH324" i="21" s="1"/>
  <c r="Y316" i="9"/>
  <c r="AH323" i="21" s="1"/>
  <c r="X316" i="9"/>
  <c r="AH322" i="21" s="1"/>
  <c r="W316" i="9"/>
  <c r="AH321" i="21" s="1"/>
  <c r="V316" i="9"/>
  <c r="AH320" i="21" s="1"/>
  <c r="U316" i="9"/>
  <c r="AH319" i="21" s="1"/>
  <c r="T316" i="9"/>
  <c r="AH318" i="21" s="1"/>
  <c r="S316" i="9"/>
  <c r="AH317" i="21" s="1"/>
  <c r="R316" i="9"/>
  <c r="AH316" i="21" s="1"/>
  <c r="Q316" i="9"/>
  <c r="AH315" i="21" s="1"/>
  <c r="P316" i="9"/>
  <c r="AH314" i="21" s="1"/>
  <c r="O316" i="9"/>
  <c r="AH313" i="21" s="1"/>
  <c r="N316" i="9"/>
  <c r="AH312" i="21" s="1"/>
  <c r="M316" i="9"/>
  <c r="AH311" i="21" s="1"/>
  <c r="L316" i="9"/>
  <c r="AH310" i="21" s="1"/>
  <c r="K316" i="9"/>
  <c r="AH309" i="21" s="1"/>
  <c r="J316" i="9"/>
  <c r="AH308" i="21" s="1"/>
  <c r="I316" i="9"/>
  <c r="AH307" i="21" s="1"/>
  <c r="H316" i="9"/>
  <c r="AH306" i="21" s="1"/>
  <c r="G316" i="9"/>
  <c r="AH305" i="21" s="1"/>
  <c r="F316" i="9"/>
  <c r="AH304" i="21" s="1"/>
  <c r="E316" i="9"/>
  <c r="AH303" i="21" s="1"/>
  <c r="D316" i="9"/>
  <c r="AH302" i="21" s="1"/>
  <c r="AY315" i="9"/>
  <c r="AT315" i="9"/>
  <c r="AQ315" i="9"/>
  <c r="AV315" i="9" s="1"/>
  <c r="AL315" i="9" s="1"/>
  <c r="AG336" i="21" s="1"/>
  <c r="AO315" i="9"/>
  <c r="AG339" i="21" s="1"/>
  <c r="AG315" i="9"/>
  <c r="AG331" i="21" s="1"/>
  <c r="AF315" i="9"/>
  <c r="AG330" i="21" s="1"/>
  <c r="AE315" i="9"/>
  <c r="AG329" i="21" s="1"/>
  <c r="AD315" i="9"/>
  <c r="AG328" i="21" s="1"/>
  <c r="AC315" i="9"/>
  <c r="AG327" i="21" s="1"/>
  <c r="AB315" i="9"/>
  <c r="AG326" i="21" s="1"/>
  <c r="AA315" i="9"/>
  <c r="AG325" i="21" s="1"/>
  <c r="Z315" i="9"/>
  <c r="AG324" i="21" s="1"/>
  <c r="Y315" i="9"/>
  <c r="AG323" i="21" s="1"/>
  <c r="X315" i="9"/>
  <c r="AG322" i="21" s="1"/>
  <c r="W315" i="9"/>
  <c r="AG321" i="21" s="1"/>
  <c r="V315" i="9"/>
  <c r="AG320" i="21" s="1"/>
  <c r="U315" i="9"/>
  <c r="AG319" i="21" s="1"/>
  <c r="T315" i="9"/>
  <c r="AG318" i="21" s="1"/>
  <c r="S315" i="9"/>
  <c r="AG317" i="21" s="1"/>
  <c r="R315" i="9"/>
  <c r="AG316" i="21" s="1"/>
  <c r="Q315" i="9"/>
  <c r="AG315" i="21" s="1"/>
  <c r="P315" i="9"/>
  <c r="AG314" i="21" s="1"/>
  <c r="O315" i="9"/>
  <c r="AG313" i="21" s="1"/>
  <c r="N315" i="9"/>
  <c r="AG312" i="21" s="1"/>
  <c r="M315" i="9"/>
  <c r="AG311" i="21" s="1"/>
  <c r="L315" i="9"/>
  <c r="AG310" i="21" s="1"/>
  <c r="K315" i="9"/>
  <c r="AG309" i="21" s="1"/>
  <c r="J315" i="9"/>
  <c r="AG308" i="21" s="1"/>
  <c r="I315" i="9"/>
  <c r="AG307" i="21" s="1"/>
  <c r="H315" i="9"/>
  <c r="AG306" i="21" s="1"/>
  <c r="G315" i="9"/>
  <c r="AG305" i="21" s="1"/>
  <c r="F315" i="9"/>
  <c r="AG304" i="21" s="1"/>
  <c r="E315" i="9"/>
  <c r="AG303" i="21" s="1"/>
  <c r="D315" i="9"/>
  <c r="AG302" i="21" s="1"/>
  <c r="AY314" i="9"/>
  <c r="AO314" i="9" s="1"/>
  <c r="AF339" i="21" s="1"/>
  <c r="AU314" i="9"/>
  <c r="AK314" i="9" s="1"/>
  <c r="AF335" i="21" s="1"/>
  <c r="AQ314" i="9"/>
  <c r="AX314" i="9" s="1"/>
  <c r="AN314" i="9" s="1"/>
  <c r="AF338" i="21" s="1"/>
  <c r="AG314" i="9"/>
  <c r="AF331" i="21" s="1"/>
  <c r="AF314" i="9"/>
  <c r="AF330" i="21" s="1"/>
  <c r="AE314" i="9"/>
  <c r="AF329" i="21" s="1"/>
  <c r="AD314" i="9"/>
  <c r="AF328" i="21" s="1"/>
  <c r="AC314" i="9"/>
  <c r="AF327" i="21" s="1"/>
  <c r="AB314" i="9"/>
  <c r="AF326" i="21" s="1"/>
  <c r="AA314" i="9"/>
  <c r="AF325" i="21" s="1"/>
  <c r="Z314" i="9"/>
  <c r="AF324" i="21" s="1"/>
  <c r="Y314" i="9"/>
  <c r="AF323" i="21" s="1"/>
  <c r="X314" i="9"/>
  <c r="AF322" i="21" s="1"/>
  <c r="W314" i="9"/>
  <c r="AF321" i="21" s="1"/>
  <c r="V314" i="9"/>
  <c r="AF320" i="21" s="1"/>
  <c r="U314" i="9"/>
  <c r="AF319" i="21" s="1"/>
  <c r="T314" i="9"/>
  <c r="AF318" i="21" s="1"/>
  <c r="S314" i="9"/>
  <c r="AF317" i="21" s="1"/>
  <c r="R314" i="9"/>
  <c r="AF316" i="21" s="1"/>
  <c r="Q314" i="9"/>
  <c r="AF315" i="21" s="1"/>
  <c r="P314" i="9"/>
  <c r="AF314" i="21" s="1"/>
  <c r="O314" i="9"/>
  <c r="AF313" i="21" s="1"/>
  <c r="N314" i="9"/>
  <c r="AF312" i="21" s="1"/>
  <c r="M314" i="9"/>
  <c r="AF311" i="21" s="1"/>
  <c r="L314" i="9"/>
  <c r="AF310" i="21" s="1"/>
  <c r="K314" i="9"/>
  <c r="AF309" i="21" s="1"/>
  <c r="J314" i="9"/>
  <c r="AF308" i="21" s="1"/>
  <c r="I314" i="9"/>
  <c r="AF307" i="21" s="1"/>
  <c r="H314" i="9"/>
  <c r="AF306" i="21" s="1"/>
  <c r="G314" i="9"/>
  <c r="AF305" i="21" s="1"/>
  <c r="F314" i="9"/>
  <c r="AF304" i="21" s="1"/>
  <c r="E314" i="9"/>
  <c r="AF303" i="21" s="1"/>
  <c r="D314" i="9"/>
  <c r="AF302" i="21" s="1"/>
  <c r="AW313" i="9"/>
  <c r="AM313" i="9" s="1"/>
  <c r="AE337" i="21" s="1"/>
  <c r="AV313" i="9"/>
  <c r="AL313" i="9" s="1"/>
  <c r="AE336" i="21" s="1"/>
  <c r="AU313" i="9"/>
  <c r="AQ313" i="9"/>
  <c r="AR313" i="9" s="1"/>
  <c r="AS313" i="9" s="1"/>
  <c r="AK313" i="9"/>
  <c r="AE335" i="21" s="1"/>
  <c r="AG313" i="9"/>
  <c r="AE331" i="21" s="1"/>
  <c r="AF313" i="9"/>
  <c r="AE330" i="21" s="1"/>
  <c r="AE313" i="9"/>
  <c r="AE329" i="21" s="1"/>
  <c r="AD313" i="9"/>
  <c r="AE328" i="21" s="1"/>
  <c r="AC313" i="9"/>
  <c r="AE327" i="21" s="1"/>
  <c r="AB313" i="9"/>
  <c r="AE326" i="21" s="1"/>
  <c r="AA313" i="9"/>
  <c r="AE325" i="21" s="1"/>
  <c r="Z313" i="9"/>
  <c r="AE324" i="21" s="1"/>
  <c r="Y313" i="9"/>
  <c r="AE323" i="21" s="1"/>
  <c r="X313" i="9"/>
  <c r="AE322" i="21" s="1"/>
  <c r="W313" i="9"/>
  <c r="AE321" i="21" s="1"/>
  <c r="V313" i="9"/>
  <c r="AE320" i="21" s="1"/>
  <c r="U313" i="9"/>
  <c r="AE319" i="21" s="1"/>
  <c r="T313" i="9"/>
  <c r="AE318" i="21" s="1"/>
  <c r="S313" i="9"/>
  <c r="AE317" i="21" s="1"/>
  <c r="R313" i="9"/>
  <c r="AE316" i="21" s="1"/>
  <c r="Q313" i="9"/>
  <c r="AE315" i="21" s="1"/>
  <c r="P313" i="9"/>
  <c r="AE314" i="21" s="1"/>
  <c r="O313" i="9"/>
  <c r="AE313" i="21" s="1"/>
  <c r="N313" i="9"/>
  <c r="AE312" i="21" s="1"/>
  <c r="M313" i="9"/>
  <c r="AE311" i="21" s="1"/>
  <c r="L313" i="9"/>
  <c r="AE310" i="21" s="1"/>
  <c r="K313" i="9"/>
  <c r="AE309" i="21" s="1"/>
  <c r="J313" i="9"/>
  <c r="AE308" i="21" s="1"/>
  <c r="I313" i="9"/>
  <c r="AE307" i="21" s="1"/>
  <c r="H313" i="9"/>
  <c r="AE306" i="21" s="1"/>
  <c r="G313" i="9"/>
  <c r="AE305" i="21" s="1"/>
  <c r="F313" i="9"/>
  <c r="AE304" i="21" s="1"/>
  <c r="E313" i="9"/>
  <c r="AE303" i="21" s="1"/>
  <c r="D313" i="9"/>
  <c r="AE302" i="21" s="1"/>
  <c r="AU312" i="9"/>
  <c r="AK312" i="9" s="1"/>
  <c r="AD335" i="21" s="1"/>
  <c r="AQ312" i="9"/>
  <c r="AG312" i="9"/>
  <c r="AD331" i="21" s="1"/>
  <c r="AF312" i="9"/>
  <c r="AD330" i="21" s="1"/>
  <c r="AE312" i="9"/>
  <c r="AD329" i="21" s="1"/>
  <c r="AD312" i="9"/>
  <c r="AD328" i="21" s="1"/>
  <c r="AC312" i="9"/>
  <c r="AD327" i="21" s="1"/>
  <c r="AB312" i="9"/>
  <c r="AD326" i="21" s="1"/>
  <c r="AA312" i="9"/>
  <c r="AD325" i="21" s="1"/>
  <c r="Z312" i="9"/>
  <c r="AD324" i="21" s="1"/>
  <c r="Y312" i="9"/>
  <c r="AD323" i="21" s="1"/>
  <c r="X312" i="9"/>
  <c r="AD322" i="21" s="1"/>
  <c r="W312" i="9"/>
  <c r="AD321" i="21" s="1"/>
  <c r="V312" i="9"/>
  <c r="AD320" i="21" s="1"/>
  <c r="U312" i="9"/>
  <c r="AD319" i="21" s="1"/>
  <c r="T312" i="9"/>
  <c r="AD318" i="21" s="1"/>
  <c r="S312" i="9"/>
  <c r="AD317" i="21" s="1"/>
  <c r="R312" i="9"/>
  <c r="AD316" i="21" s="1"/>
  <c r="Q312" i="9"/>
  <c r="AD315" i="21" s="1"/>
  <c r="P312" i="9"/>
  <c r="AD314" i="21" s="1"/>
  <c r="O312" i="9"/>
  <c r="AD313" i="21" s="1"/>
  <c r="N312" i="9"/>
  <c r="AD312" i="21" s="1"/>
  <c r="M312" i="9"/>
  <c r="AD311" i="21" s="1"/>
  <c r="L312" i="9"/>
  <c r="AD310" i="21" s="1"/>
  <c r="K312" i="9"/>
  <c r="AD309" i="21" s="1"/>
  <c r="J312" i="9"/>
  <c r="AD308" i="21" s="1"/>
  <c r="I312" i="9"/>
  <c r="AD307" i="21" s="1"/>
  <c r="H312" i="9"/>
  <c r="AD306" i="21" s="1"/>
  <c r="G312" i="9"/>
  <c r="AD305" i="21" s="1"/>
  <c r="F312" i="9"/>
  <c r="AD304" i="21" s="1"/>
  <c r="E312" i="9"/>
  <c r="AD303" i="21" s="1"/>
  <c r="D312" i="9"/>
  <c r="AD302" i="21" s="1"/>
  <c r="AV311" i="9"/>
  <c r="AL311" i="9" s="1"/>
  <c r="AC336" i="21" s="1"/>
  <c r="AQ311" i="9"/>
  <c r="AY311" i="9" s="1"/>
  <c r="AO311" i="9" s="1"/>
  <c r="AC339" i="21" s="1"/>
  <c r="AG311" i="9"/>
  <c r="AC331" i="21" s="1"/>
  <c r="AF311" i="9"/>
  <c r="AC330" i="21" s="1"/>
  <c r="AE311" i="9"/>
  <c r="AC329" i="21" s="1"/>
  <c r="AD311" i="9"/>
  <c r="AC328" i="21" s="1"/>
  <c r="AC311" i="9"/>
  <c r="AC327" i="21" s="1"/>
  <c r="AB311" i="9"/>
  <c r="AC326" i="21" s="1"/>
  <c r="AA311" i="9"/>
  <c r="AC325" i="21" s="1"/>
  <c r="Z311" i="9"/>
  <c r="AC324" i="21" s="1"/>
  <c r="Y311" i="9"/>
  <c r="AC323" i="21" s="1"/>
  <c r="X311" i="9"/>
  <c r="AC322" i="21" s="1"/>
  <c r="W311" i="9"/>
  <c r="AC321" i="21" s="1"/>
  <c r="V311" i="9"/>
  <c r="AC320" i="21" s="1"/>
  <c r="U311" i="9"/>
  <c r="AC319" i="21" s="1"/>
  <c r="T311" i="9"/>
  <c r="AC318" i="21" s="1"/>
  <c r="S311" i="9"/>
  <c r="AC317" i="21" s="1"/>
  <c r="R311" i="9"/>
  <c r="AC316" i="21" s="1"/>
  <c r="Q311" i="9"/>
  <c r="AC315" i="21" s="1"/>
  <c r="P311" i="9"/>
  <c r="AC314" i="21" s="1"/>
  <c r="O311" i="9"/>
  <c r="AC313" i="21" s="1"/>
  <c r="N311" i="9"/>
  <c r="AC312" i="21" s="1"/>
  <c r="M311" i="9"/>
  <c r="AC311" i="21" s="1"/>
  <c r="L311" i="9"/>
  <c r="AC310" i="21" s="1"/>
  <c r="K311" i="9"/>
  <c r="AC309" i="21" s="1"/>
  <c r="J311" i="9"/>
  <c r="AC308" i="21" s="1"/>
  <c r="I311" i="9"/>
  <c r="AC307" i="21" s="1"/>
  <c r="H311" i="9"/>
  <c r="AC306" i="21" s="1"/>
  <c r="G311" i="9"/>
  <c r="AC305" i="21" s="1"/>
  <c r="F311" i="9"/>
  <c r="AC304" i="21" s="1"/>
  <c r="E311" i="9"/>
  <c r="AC303" i="21" s="1"/>
  <c r="D311" i="9"/>
  <c r="AC302" i="21" s="1"/>
  <c r="AQ310" i="9"/>
  <c r="AG310" i="9"/>
  <c r="AB331" i="21" s="1"/>
  <c r="AF310" i="9"/>
  <c r="AB330" i="21" s="1"/>
  <c r="AE310" i="9"/>
  <c r="AB329" i="21" s="1"/>
  <c r="AD310" i="9"/>
  <c r="AB328" i="21" s="1"/>
  <c r="AC310" i="9"/>
  <c r="AB327" i="21" s="1"/>
  <c r="AB310" i="9"/>
  <c r="AB326" i="21" s="1"/>
  <c r="AA310" i="9"/>
  <c r="AB325" i="21" s="1"/>
  <c r="Z310" i="9"/>
  <c r="AB324" i="21" s="1"/>
  <c r="Y310" i="9"/>
  <c r="AB323" i="21" s="1"/>
  <c r="X310" i="9"/>
  <c r="AB322" i="21" s="1"/>
  <c r="W310" i="9"/>
  <c r="AB321" i="21" s="1"/>
  <c r="V310" i="9"/>
  <c r="AB320" i="21" s="1"/>
  <c r="U310" i="9"/>
  <c r="AB319" i="21" s="1"/>
  <c r="T310" i="9"/>
  <c r="AB318" i="21" s="1"/>
  <c r="S310" i="9"/>
  <c r="AB317" i="21" s="1"/>
  <c r="R310" i="9"/>
  <c r="AB316" i="21" s="1"/>
  <c r="Q310" i="9"/>
  <c r="AB315" i="21" s="1"/>
  <c r="P310" i="9"/>
  <c r="AB314" i="21" s="1"/>
  <c r="O310" i="9"/>
  <c r="AB313" i="21" s="1"/>
  <c r="N310" i="9"/>
  <c r="AB312" i="21" s="1"/>
  <c r="M310" i="9"/>
  <c r="AB311" i="21" s="1"/>
  <c r="L310" i="9"/>
  <c r="AB310" i="21" s="1"/>
  <c r="K310" i="9"/>
  <c r="AB309" i="21" s="1"/>
  <c r="J310" i="9"/>
  <c r="AB308" i="21" s="1"/>
  <c r="I310" i="9"/>
  <c r="AB307" i="21" s="1"/>
  <c r="H310" i="9"/>
  <c r="AB306" i="21" s="1"/>
  <c r="G310" i="9"/>
  <c r="AB305" i="21" s="1"/>
  <c r="F310" i="9"/>
  <c r="AB304" i="21" s="1"/>
  <c r="E310" i="9"/>
  <c r="AB303" i="21" s="1"/>
  <c r="D310" i="9"/>
  <c r="AB302" i="21" s="1"/>
  <c r="AY309" i="9"/>
  <c r="AO309" i="9" s="1"/>
  <c r="AA339" i="21" s="1"/>
  <c r="AW309" i="9"/>
  <c r="AV309" i="9"/>
  <c r="AL309" i="9" s="1"/>
  <c r="AA336" i="21" s="1"/>
  <c r="AU309" i="9"/>
  <c r="AK309" i="9" s="1"/>
  <c r="AA335" i="21" s="1"/>
  <c r="AR309" i="9"/>
  <c r="AS309" i="9" s="1"/>
  <c r="AQ309" i="9"/>
  <c r="AX309" i="9" s="1"/>
  <c r="AN309" i="9" s="1"/>
  <c r="AA338" i="21" s="1"/>
  <c r="AM309" i="9"/>
  <c r="AA337" i="21" s="1"/>
  <c r="AG309" i="9"/>
  <c r="AA331" i="21" s="1"/>
  <c r="AF309" i="9"/>
  <c r="AA330" i="21" s="1"/>
  <c r="AE309" i="9"/>
  <c r="AA329" i="21" s="1"/>
  <c r="AD309" i="9"/>
  <c r="AA328" i="21" s="1"/>
  <c r="AC309" i="9"/>
  <c r="AA327" i="21" s="1"/>
  <c r="AB309" i="9"/>
  <c r="AA326" i="21" s="1"/>
  <c r="AA309" i="9"/>
  <c r="AA325" i="21" s="1"/>
  <c r="Z309" i="9"/>
  <c r="AA324" i="21" s="1"/>
  <c r="Y309" i="9"/>
  <c r="AA323" i="21" s="1"/>
  <c r="X309" i="9"/>
  <c r="AA322" i="21" s="1"/>
  <c r="W309" i="9"/>
  <c r="AA321" i="21" s="1"/>
  <c r="V309" i="9"/>
  <c r="AA320" i="21" s="1"/>
  <c r="U309" i="9"/>
  <c r="AA319" i="21" s="1"/>
  <c r="T309" i="9"/>
  <c r="AA318" i="21" s="1"/>
  <c r="S309" i="9"/>
  <c r="AA317" i="21" s="1"/>
  <c r="R309" i="9"/>
  <c r="AA316" i="21" s="1"/>
  <c r="Q309" i="9"/>
  <c r="AA315" i="21" s="1"/>
  <c r="P309" i="9"/>
  <c r="AA314" i="21" s="1"/>
  <c r="O309" i="9"/>
  <c r="AA313" i="21" s="1"/>
  <c r="N309" i="9"/>
  <c r="AA312" i="21" s="1"/>
  <c r="M309" i="9"/>
  <c r="AA311" i="21" s="1"/>
  <c r="L309" i="9"/>
  <c r="AA310" i="21" s="1"/>
  <c r="K309" i="9"/>
  <c r="AA309" i="21" s="1"/>
  <c r="J309" i="9"/>
  <c r="AA308" i="21" s="1"/>
  <c r="I309" i="9"/>
  <c r="AA307" i="21" s="1"/>
  <c r="H309" i="9"/>
  <c r="AA306" i="21" s="1"/>
  <c r="G309" i="9"/>
  <c r="AA305" i="21" s="1"/>
  <c r="F309" i="9"/>
  <c r="AA304" i="21" s="1"/>
  <c r="E309" i="9"/>
  <c r="AA303" i="21" s="1"/>
  <c r="D309" i="9"/>
  <c r="AA302" i="21" s="1"/>
  <c r="AX308" i="9"/>
  <c r="AN308" i="9" s="1"/>
  <c r="Z338" i="21" s="1"/>
  <c r="AW308" i="9"/>
  <c r="AM308" i="9" s="1"/>
  <c r="Z337" i="21" s="1"/>
  <c r="AV308" i="9"/>
  <c r="AU308" i="9"/>
  <c r="AK308" i="9" s="1"/>
  <c r="Z335" i="21" s="1"/>
  <c r="AT308" i="9"/>
  <c r="AJ308" i="9" s="1"/>
  <c r="Z334" i="21" s="1"/>
  <c r="AR308" i="9"/>
  <c r="AS308" i="9" s="1"/>
  <c r="AQ308" i="9"/>
  <c r="AY308" i="9" s="1"/>
  <c r="AO308" i="9" s="1"/>
  <c r="Z339" i="21" s="1"/>
  <c r="AL308" i="9"/>
  <c r="Z336" i="21" s="1"/>
  <c r="AI308" i="9"/>
  <c r="Z333" i="21" s="1"/>
  <c r="AH308" i="9"/>
  <c r="Z332" i="21" s="1"/>
  <c r="AG308" i="9"/>
  <c r="Z331" i="21" s="1"/>
  <c r="AF308" i="9"/>
  <c r="Z330" i="21" s="1"/>
  <c r="AE308" i="9"/>
  <c r="Z329" i="21" s="1"/>
  <c r="AD308" i="9"/>
  <c r="Z328" i="21" s="1"/>
  <c r="AC308" i="9"/>
  <c r="Z327" i="21" s="1"/>
  <c r="AB308" i="9"/>
  <c r="Z326" i="21" s="1"/>
  <c r="AA308" i="9"/>
  <c r="Z325" i="21" s="1"/>
  <c r="Z308" i="9"/>
  <c r="Z324" i="21" s="1"/>
  <c r="Y308" i="9"/>
  <c r="Z323" i="21" s="1"/>
  <c r="X308" i="9"/>
  <c r="Z322" i="21" s="1"/>
  <c r="W308" i="9"/>
  <c r="Z321" i="21" s="1"/>
  <c r="V308" i="9"/>
  <c r="Z320" i="21" s="1"/>
  <c r="U308" i="9"/>
  <c r="Z319" i="21" s="1"/>
  <c r="T308" i="9"/>
  <c r="Z318" i="21" s="1"/>
  <c r="S308" i="9"/>
  <c r="Z317" i="21" s="1"/>
  <c r="R308" i="9"/>
  <c r="Z316" i="21" s="1"/>
  <c r="Q308" i="9"/>
  <c r="Z315" i="21" s="1"/>
  <c r="P308" i="9"/>
  <c r="Z314" i="21" s="1"/>
  <c r="O308" i="9"/>
  <c r="Z313" i="21" s="1"/>
  <c r="N308" i="9"/>
  <c r="Z312" i="21" s="1"/>
  <c r="M308" i="9"/>
  <c r="Z311" i="21" s="1"/>
  <c r="L308" i="9"/>
  <c r="Z310" i="21" s="1"/>
  <c r="K308" i="9"/>
  <c r="Z309" i="21" s="1"/>
  <c r="J308" i="9"/>
  <c r="Z308" i="21" s="1"/>
  <c r="I308" i="9"/>
  <c r="Z307" i="21" s="1"/>
  <c r="H308" i="9"/>
  <c r="Z306" i="21" s="1"/>
  <c r="G308" i="9"/>
  <c r="Z305" i="21" s="1"/>
  <c r="F308" i="9"/>
  <c r="Z304" i="21" s="1"/>
  <c r="E308" i="9"/>
  <c r="Z303" i="21" s="1"/>
  <c r="D308" i="9"/>
  <c r="Z302" i="21" s="1"/>
  <c r="AY307" i="9"/>
  <c r="AO307" i="9" s="1"/>
  <c r="Y339" i="21" s="1"/>
  <c r="AX307" i="9"/>
  <c r="AN307" i="9" s="1"/>
  <c r="Y338" i="21" s="1"/>
  <c r="AW307" i="9"/>
  <c r="AU307" i="9"/>
  <c r="AK307" i="9" s="1"/>
  <c r="Y335" i="21" s="1"/>
  <c r="AR307" i="9"/>
  <c r="AS307" i="9" s="1"/>
  <c r="AQ307" i="9"/>
  <c r="AT307" i="9" s="1"/>
  <c r="AM307" i="9"/>
  <c r="Y337" i="21" s="1"/>
  <c r="AG307" i="9"/>
  <c r="Y331" i="21" s="1"/>
  <c r="AF307" i="9"/>
  <c r="Y330" i="21" s="1"/>
  <c r="AE307" i="9"/>
  <c r="Y329" i="21" s="1"/>
  <c r="AD307" i="9"/>
  <c r="Y328" i="21" s="1"/>
  <c r="AC307" i="9"/>
  <c r="Y327" i="21" s="1"/>
  <c r="AB307" i="9"/>
  <c r="Y326" i="21" s="1"/>
  <c r="AA307" i="9"/>
  <c r="Y325" i="21" s="1"/>
  <c r="Z307" i="9"/>
  <c r="Y324" i="21" s="1"/>
  <c r="Y307" i="9"/>
  <c r="Y323" i="21" s="1"/>
  <c r="X307" i="9"/>
  <c r="Y322" i="21" s="1"/>
  <c r="W307" i="9"/>
  <c r="Y321" i="21" s="1"/>
  <c r="V307" i="9"/>
  <c r="Y320" i="21" s="1"/>
  <c r="U307" i="9"/>
  <c r="Y319" i="21" s="1"/>
  <c r="T307" i="9"/>
  <c r="Y318" i="21" s="1"/>
  <c r="S307" i="9"/>
  <c r="Y317" i="21" s="1"/>
  <c r="R307" i="9"/>
  <c r="Y316" i="21" s="1"/>
  <c r="Q307" i="9"/>
  <c r="Y315" i="21" s="1"/>
  <c r="P307" i="9"/>
  <c r="Y314" i="21" s="1"/>
  <c r="O307" i="9"/>
  <c r="Y313" i="21" s="1"/>
  <c r="N307" i="9"/>
  <c r="Y312" i="21" s="1"/>
  <c r="M307" i="9"/>
  <c r="Y311" i="21" s="1"/>
  <c r="L307" i="9"/>
  <c r="Y310" i="21" s="1"/>
  <c r="K307" i="9"/>
  <c r="Y309" i="21" s="1"/>
  <c r="J307" i="9"/>
  <c r="Y308" i="21" s="1"/>
  <c r="I307" i="9"/>
  <c r="Y307" i="21" s="1"/>
  <c r="H307" i="9"/>
  <c r="Y306" i="21" s="1"/>
  <c r="G307" i="9"/>
  <c r="Y305" i="21" s="1"/>
  <c r="F307" i="9"/>
  <c r="Y304" i="21" s="1"/>
  <c r="E307" i="9"/>
  <c r="Y303" i="21" s="1"/>
  <c r="D307" i="9"/>
  <c r="Y302" i="21" s="1"/>
  <c r="AX306" i="9"/>
  <c r="AW306" i="9"/>
  <c r="AM306" i="9" s="1"/>
  <c r="X337" i="21" s="1"/>
  <c r="AT306" i="9"/>
  <c r="AJ306" i="9" s="1"/>
  <c r="X334" i="21" s="1"/>
  <c r="AQ306" i="9"/>
  <c r="AY306" i="9" s="1"/>
  <c r="AO306" i="9" s="1"/>
  <c r="X339" i="21" s="1"/>
  <c r="AN306" i="9"/>
  <c r="X338" i="21" s="1"/>
  <c r="AH306" i="9"/>
  <c r="X332" i="21" s="1"/>
  <c r="AG306" i="9"/>
  <c r="X331" i="21" s="1"/>
  <c r="AF306" i="9"/>
  <c r="X330" i="21" s="1"/>
  <c r="AE306" i="9"/>
  <c r="X329" i="21" s="1"/>
  <c r="AD306" i="9"/>
  <c r="X328" i="21" s="1"/>
  <c r="AC306" i="9"/>
  <c r="X327" i="21" s="1"/>
  <c r="AB306" i="9"/>
  <c r="X326" i="21" s="1"/>
  <c r="AA306" i="9"/>
  <c r="X325" i="21" s="1"/>
  <c r="Z306" i="9"/>
  <c r="X324" i="21" s="1"/>
  <c r="Y306" i="9"/>
  <c r="X323" i="21" s="1"/>
  <c r="X306" i="9"/>
  <c r="X322" i="21" s="1"/>
  <c r="W306" i="9"/>
  <c r="X321" i="21" s="1"/>
  <c r="V306" i="9"/>
  <c r="X320" i="21" s="1"/>
  <c r="U306" i="9"/>
  <c r="X319" i="21" s="1"/>
  <c r="T306" i="9"/>
  <c r="X318" i="21" s="1"/>
  <c r="S306" i="9"/>
  <c r="X317" i="21" s="1"/>
  <c r="R306" i="9"/>
  <c r="X316" i="21" s="1"/>
  <c r="Q306" i="9"/>
  <c r="X315" i="21" s="1"/>
  <c r="P306" i="9"/>
  <c r="X314" i="21" s="1"/>
  <c r="O306" i="9"/>
  <c r="X313" i="21" s="1"/>
  <c r="N306" i="9"/>
  <c r="X312" i="21" s="1"/>
  <c r="M306" i="9"/>
  <c r="X311" i="21" s="1"/>
  <c r="L306" i="9"/>
  <c r="X310" i="21" s="1"/>
  <c r="K306" i="9"/>
  <c r="X309" i="21" s="1"/>
  <c r="J306" i="9"/>
  <c r="X308" i="21" s="1"/>
  <c r="I306" i="9"/>
  <c r="X307" i="21" s="1"/>
  <c r="H306" i="9"/>
  <c r="X306" i="21" s="1"/>
  <c r="G306" i="9"/>
  <c r="X305" i="21" s="1"/>
  <c r="F306" i="9"/>
  <c r="X304" i="21" s="1"/>
  <c r="E306" i="9"/>
  <c r="X303" i="21" s="1"/>
  <c r="D306" i="9"/>
  <c r="X302" i="21" s="1"/>
  <c r="AY305" i="9"/>
  <c r="AO305" i="9" s="1"/>
  <c r="W339" i="21" s="1"/>
  <c r="AX305" i="9"/>
  <c r="AN305" i="9" s="1"/>
  <c r="W338" i="21" s="1"/>
  <c r="AT305" i="9"/>
  <c r="AJ305" i="9" s="1"/>
  <c r="W334" i="21" s="1"/>
  <c r="AQ305" i="9"/>
  <c r="AW305" i="9" s="1"/>
  <c r="AM305" i="9" s="1"/>
  <c r="W337" i="21" s="1"/>
  <c r="AI305" i="9"/>
  <c r="W333" i="21" s="1"/>
  <c r="AG305" i="9"/>
  <c r="W331" i="21" s="1"/>
  <c r="AF305" i="9"/>
  <c r="W330" i="21" s="1"/>
  <c r="AE305" i="9"/>
  <c r="W329" i="21" s="1"/>
  <c r="AD305" i="9"/>
  <c r="W328" i="21" s="1"/>
  <c r="AC305" i="9"/>
  <c r="W327" i="21" s="1"/>
  <c r="AB305" i="9"/>
  <c r="W326" i="21" s="1"/>
  <c r="AA305" i="9"/>
  <c r="W325" i="21" s="1"/>
  <c r="Z305" i="9"/>
  <c r="W324" i="21" s="1"/>
  <c r="Y305" i="9"/>
  <c r="W323" i="21" s="1"/>
  <c r="X305" i="9"/>
  <c r="W322" i="21" s="1"/>
  <c r="W305" i="9"/>
  <c r="W321" i="21" s="1"/>
  <c r="V305" i="9"/>
  <c r="W320" i="21" s="1"/>
  <c r="U305" i="9"/>
  <c r="W319" i="21" s="1"/>
  <c r="T305" i="9"/>
  <c r="W318" i="21" s="1"/>
  <c r="S305" i="9"/>
  <c r="W317" i="21" s="1"/>
  <c r="R305" i="9"/>
  <c r="W316" i="21" s="1"/>
  <c r="Q305" i="9"/>
  <c r="W315" i="21" s="1"/>
  <c r="P305" i="9"/>
  <c r="W314" i="21" s="1"/>
  <c r="O305" i="9"/>
  <c r="W313" i="21" s="1"/>
  <c r="N305" i="9"/>
  <c r="W312" i="21" s="1"/>
  <c r="M305" i="9"/>
  <c r="W311" i="21" s="1"/>
  <c r="L305" i="9"/>
  <c r="W310" i="21" s="1"/>
  <c r="K305" i="9"/>
  <c r="W309" i="21" s="1"/>
  <c r="J305" i="9"/>
  <c r="W308" i="21" s="1"/>
  <c r="I305" i="9"/>
  <c r="W307" i="21" s="1"/>
  <c r="H305" i="9"/>
  <c r="W306" i="21" s="1"/>
  <c r="G305" i="9"/>
  <c r="W305" i="21" s="1"/>
  <c r="F305" i="9"/>
  <c r="W304" i="21" s="1"/>
  <c r="E305" i="9"/>
  <c r="W303" i="21" s="1"/>
  <c r="D305" i="9"/>
  <c r="W302" i="21" s="1"/>
  <c r="AY304" i="9"/>
  <c r="AO304" i="9" s="1"/>
  <c r="V339" i="21" s="1"/>
  <c r="AX304" i="9"/>
  <c r="AW304" i="9"/>
  <c r="AV304" i="9"/>
  <c r="AL304" i="9" s="1"/>
  <c r="V336" i="21" s="1"/>
  <c r="AT304" i="9"/>
  <c r="AH304" i="9" s="1"/>
  <c r="V332" i="21" s="1"/>
  <c r="AS304" i="9"/>
  <c r="AR304" i="9"/>
  <c r="AQ304" i="9"/>
  <c r="AU304" i="9" s="1"/>
  <c r="AK304" i="9" s="1"/>
  <c r="V335" i="21" s="1"/>
  <c r="AN304" i="9"/>
  <c r="V338" i="21" s="1"/>
  <c r="AM304" i="9"/>
  <c r="V337" i="21" s="1"/>
  <c r="AJ304" i="9"/>
  <c r="V334" i="21" s="1"/>
  <c r="AI304" i="9"/>
  <c r="V333" i="21" s="1"/>
  <c r="AG304" i="9"/>
  <c r="V331" i="21" s="1"/>
  <c r="AF304" i="9"/>
  <c r="V330" i="21" s="1"/>
  <c r="AE304" i="9"/>
  <c r="V329" i="21" s="1"/>
  <c r="AD304" i="9"/>
  <c r="V328" i="21" s="1"/>
  <c r="AC304" i="9"/>
  <c r="V327" i="21" s="1"/>
  <c r="AB304" i="9"/>
  <c r="V326" i="21" s="1"/>
  <c r="AA304" i="9"/>
  <c r="V325" i="21" s="1"/>
  <c r="Z304" i="9"/>
  <c r="V324" i="21" s="1"/>
  <c r="Y304" i="9"/>
  <c r="V323" i="21" s="1"/>
  <c r="X304" i="9"/>
  <c r="V322" i="21" s="1"/>
  <c r="W304" i="9"/>
  <c r="V321" i="21" s="1"/>
  <c r="V304" i="9"/>
  <c r="V320" i="21" s="1"/>
  <c r="U304" i="9"/>
  <c r="V319" i="21" s="1"/>
  <c r="T304" i="9"/>
  <c r="V318" i="21" s="1"/>
  <c r="S304" i="9"/>
  <c r="V317" i="21" s="1"/>
  <c r="R304" i="9"/>
  <c r="V316" i="21" s="1"/>
  <c r="Q304" i="9"/>
  <c r="V315" i="21" s="1"/>
  <c r="P304" i="9"/>
  <c r="V314" i="21" s="1"/>
  <c r="O304" i="9"/>
  <c r="V313" i="21" s="1"/>
  <c r="N304" i="9"/>
  <c r="V312" i="21" s="1"/>
  <c r="M304" i="9"/>
  <c r="V311" i="21" s="1"/>
  <c r="L304" i="9"/>
  <c r="V310" i="21" s="1"/>
  <c r="K304" i="9"/>
  <c r="V309" i="21" s="1"/>
  <c r="J304" i="9"/>
  <c r="V308" i="21" s="1"/>
  <c r="I304" i="9"/>
  <c r="V307" i="21" s="1"/>
  <c r="H304" i="9"/>
  <c r="V306" i="21" s="1"/>
  <c r="G304" i="9"/>
  <c r="V305" i="21" s="1"/>
  <c r="F304" i="9"/>
  <c r="V304" i="21" s="1"/>
  <c r="E304" i="9"/>
  <c r="V303" i="21" s="1"/>
  <c r="D304" i="9"/>
  <c r="V302" i="21" s="1"/>
  <c r="AX303" i="9"/>
  <c r="AN303" i="9" s="1"/>
  <c r="U338" i="21" s="1"/>
  <c r="AU303" i="9"/>
  <c r="AK303" i="9" s="1"/>
  <c r="U335" i="21" s="1"/>
  <c r="AT303" i="9"/>
  <c r="AQ303" i="9"/>
  <c r="AY303" i="9" s="1"/>
  <c r="AO303" i="9" s="1"/>
  <c r="U339" i="21" s="1"/>
  <c r="AI303" i="9"/>
  <c r="U333" i="21" s="1"/>
  <c r="AG303" i="9"/>
  <c r="U331" i="21" s="1"/>
  <c r="AF303" i="9"/>
  <c r="U330" i="21" s="1"/>
  <c r="AE303" i="9"/>
  <c r="U329" i="21" s="1"/>
  <c r="AD303" i="9"/>
  <c r="U328" i="21" s="1"/>
  <c r="AC303" i="9"/>
  <c r="U327" i="21" s="1"/>
  <c r="AB303" i="9"/>
  <c r="U326" i="21" s="1"/>
  <c r="AA303" i="9"/>
  <c r="U325" i="21" s="1"/>
  <c r="Z303" i="9"/>
  <c r="U324" i="21" s="1"/>
  <c r="Y303" i="9"/>
  <c r="U323" i="21" s="1"/>
  <c r="X303" i="9"/>
  <c r="U322" i="21" s="1"/>
  <c r="W303" i="9"/>
  <c r="U321" i="21" s="1"/>
  <c r="V303" i="9"/>
  <c r="U320" i="21" s="1"/>
  <c r="U303" i="9"/>
  <c r="U319" i="21" s="1"/>
  <c r="T303" i="9"/>
  <c r="U318" i="21" s="1"/>
  <c r="S303" i="9"/>
  <c r="U317" i="21" s="1"/>
  <c r="R303" i="9"/>
  <c r="U316" i="21" s="1"/>
  <c r="Q303" i="9"/>
  <c r="U315" i="21" s="1"/>
  <c r="P303" i="9"/>
  <c r="U314" i="21" s="1"/>
  <c r="O303" i="9"/>
  <c r="U313" i="21" s="1"/>
  <c r="N303" i="9"/>
  <c r="U312" i="21" s="1"/>
  <c r="M303" i="9"/>
  <c r="U311" i="21" s="1"/>
  <c r="L303" i="9"/>
  <c r="U310" i="21" s="1"/>
  <c r="K303" i="9"/>
  <c r="U309" i="21" s="1"/>
  <c r="J303" i="9"/>
  <c r="U308" i="21" s="1"/>
  <c r="I303" i="9"/>
  <c r="U307" i="21" s="1"/>
  <c r="H303" i="9"/>
  <c r="U306" i="21" s="1"/>
  <c r="G303" i="9"/>
  <c r="U305" i="21" s="1"/>
  <c r="F303" i="9"/>
  <c r="U304" i="21" s="1"/>
  <c r="E303" i="9"/>
  <c r="U303" i="21" s="1"/>
  <c r="D303" i="9"/>
  <c r="U302" i="21" s="1"/>
  <c r="AY302" i="9"/>
  <c r="AO302" i="9" s="1"/>
  <c r="T339" i="21" s="1"/>
  <c r="AX302" i="9"/>
  <c r="AW302" i="9"/>
  <c r="AM302" i="9" s="1"/>
  <c r="T337" i="21" s="1"/>
  <c r="AV302" i="9"/>
  <c r="AL302" i="9" s="1"/>
  <c r="T336" i="21" s="1"/>
  <c r="AU302" i="9"/>
  <c r="AK302" i="9" s="1"/>
  <c r="T335" i="21" s="1"/>
  <c r="AT302" i="9"/>
  <c r="AI302" i="9" s="1"/>
  <c r="T333" i="21" s="1"/>
  <c r="AR302" i="9"/>
  <c r="AS302" i="9" s="1"/>
  <c r="AQ302" i="9"/>
  <c r="AN302" i="9"/>
  <c r="T338" i="21" s="1"/>
  <c r="AJ302" i="9"/>
  <c r="T334" i="21" s="1"/>
  <c r="AG302" i="9"/>
  <c r="T331" i="21" s="1"/>
  <c r="AF302" i="9"/>
  <c r="T330" i="21" s="1"/>
  <c r="AE302" i="9"/>
  <c r="T329" i="21" s="1"/>
  <c r="AD302" i="9"/>
  <c r="T328" i="21" s="1"/>
  <c r="AC302" i="9"/>
  <c r="T327" i="21" s="1"/>
  <c r="AB302" i="9"/>
  <c r="T326" i="21" s="1"/>
  <c r="AA302" i="9"/>
  <c r="T325" i="21" s="1"/>
  <c r="Z302" i="9"/>
  <c r="T324" i="21" s="1"/>
  <c r="Y302" i="9"/>
  <c r="T323" i="21" s="1"/>
  <c r="X302" i="9"/>
  <c r="T322" i="21" s="1"/>
  <c r="W302" i="9"/>
  <c r="T321" i="21" s="1"/>
  <c r="V302" i="9"/>
  <c r="T320" i="21" s="1"/>
  <c r="U302" i="9"/>
  <c r="T319" i="21" s="1"/>
  <c r="T302" i="9"/>
  <c r="T318" i="21" s="1"/>
  <c r="S302" i="9"/>
  <c r="T317" i="21" s="1"/>
  <c r="R302" i="9"/>
  <c r="T316" i="21" s="1"/>
  <c r="Q302" i="9"/>
  <c r="T315" i="21" s="1"/>
  <c r="P302" i="9"/>
  <c r="T314" i="21" s="1"/>
  <c r="O302" i="9"/>
  <c r="T313" i="21" s="1"/>
  <c r="N302" i="9"/>
  <c r="T312" i="21" s="1"/>
  <c r="M302" i="9"/>
  <c r="T311" i="21" s="1"/>
  <c r="L302" i="9"/>
  <c r="T310" i="21" s="1"/>
  <c r="K302" i="9"/>
  <c r="T309" i="21" s="1"/>
  <c r="J302" i="9"/>
  <c r="T308" i="21" s="1"/>
  <c r="I302" i="9"/>
  <c r="T307" i="21" s="1"/>
  <c r="H302" i="9"/>
  <c r="T306" i="21" s="1"/>
  <c r="G302" i="9"/>
  <c r="T305" i="21" s="1"/>
  <c r="F302" i="9"/>
  <c r="T304" i="21" s="1"/>
  <c r="E302" i="9"/>
  <c r="T303" i="21" s="1"/>
  <c r="D302" i="9"/>
  <c r="T302" i="21" s="1"/>
  <c r="AY301" i="9"/>
  <c r="AT301" i="9"/>
  <c r="AQ301" i="9"/>
  <c r="AV301" i="9" s="1"/>
  <c r="AL301" i="9" s="1"/>
  <c r="S336" i="21" s="1"/>
  <c r="AO301" i="9"/>
  <c r="S339" i="21" s="1"/>
  <c r="AG301" i="9"/>
  <c r="S331" i="21" s="1"/>
  <c r="AF301" i="9"/>
  <c r="S330" i="21" s="1"/>
  <c r="AE301" i="9"/>
  <c r="S329" i="21" s="1"/>
  <c r="AD301" i="9"/>
  <c r="S328" i="21" s="1"/>
  <c r="AC301" i="9"/>
  <c r="S327" i="21" s="1"/>
  <c r="AB301" i="9"/>
  <c r="S326" i="21" s="1"/>
  <c r="AA301" i="9"/>
  <c r="S325" i="21" s="1"/>
  <c r="Z301" i="9"/>
  <c r="S324" i="21" s="1"/>
  <c r="Y301" i="9"/>
  <c r="S323" i="21" s="1"/>
  <c r="X301" i="9"/>
  <c r="S322" i="21" s="1"/>
  <c r="W301" i="9"/>
  <c r="S321" i="21" s="1"/>
  <c r="V301" i="9"/>
  <c r="S320" i="21" s="1"/>
  <c r="U301" i="9"/>
  <c r="S319" i="21" s="1"/>
  <c r="T301" i="9"/>
  <c r="S318" i="21" s="1"/>
  <c r="S301" i="9"/>
  <c r="S317" i="21" s="1"/>
  <c r="R301" i="9"/>
  <c r="S316" i="21" s="1"/>
  <c r="Q301" i="9"/>
  <c r="S315" i="21" s="1"/>
  <c r="P301" i="9"/>
  <c r="S314" i="21" s="1"/>
  <c r="O301" i="9"/>
  <c r="S313" i="21" s="1"/>
  <c r="N301" i="9"/>
  <c r="S312" i="21" s="1"/>
  <c r="M301" i="9"/>
  <c r="S311" i="21" s="1"/>
  <c r="L301" i="9"/>
  <c r="S310" i="21" s="1"/>
  <c r="K301" i="9"/>
  <c r="S309" i="21" s="1"/>
  <c r="J301" i="9"/>
  <c r="S308" i="21" s="1"/>
  <c r="I301" i="9"/>
  <c r="S307" i="21" s="1"/>
  <c r="H301" i="9"/>
  <c r="S306" i="21" s="1"/>
  <c r="G301" i="9"/>
  <c r="S305" i="21" s="1"/>
  <c r="F301" i="9"/>
  <c r="S304" i="21" s="1"/>
  <c r="E301" i="9"/>
  <c r="S303" i="21" s="1"/>
  <c r="D301" i="9"/>
  <c r="S302" i="21" s="1"/>
  <c r="AY300" i="9"/>
  <c r="AO300" i="9" s="1"/>
  <c r="R339" i="21" s="1"/>
  <c r="AU300" i="9"/>
  <c r="AK300" i="9" s="1"/>
  <c r="R335" i="21" s="1"/>
  <c r="AQ300" i="9"/>
  <c r="AX300" i="9" s="1"/>
  <c r="AN300" i="9" s="1"/>
  <c r="R338" i="21" s="1"/>
  <c r="AG300" i="9"/>
  <c r="R331" i="21" s="1"/>
  <c r="AF300" i="9"/>
  <c r="R330" i="21" s="1"/>
  <c r="AE300" i="9"/>
  <c r="R329" i="21" s="1"/>
  <c r="AD300" i="9"/>
  <c r="R328" i="21" s="1"/>
  <c r="AC300" i="9"/>
  <c r="R327" i="21" s="1"/>
  <c r="AB300" i="9"/>
  <c r="R326" i="21" s="1"/>
  <c r="AA300" i="9"/>
  <c r="R325" i="21" s="1"/>
  <c r="Z300" i="9"/>
  <c r="R324" i="21" s="1"/>
  <c r="Y300" i="9"/>
  <c r="R323" i="21" s="1"/>
  <c r="X300" i="9"/>
  <c r="R322" i="21" s="1"/>
  <c r="W300" i="9"/>
  <c r="R321" i="21" s="1"/>
  <c r="V300" i="9"/>
  <c r="R320" i="21" s="1"/>
  <c r="U300" i="9"/>
  <c r="R319" i="21" s="1"/>
  <c r="T300" i="9"/>
  <c r="R318" i="21" s="1"/>
  <c r="S300" i="9"/>
  <c r="R317" i="21" s="1"/>
  <c r="R300" i="9"/>
  <c r="R316" i="21" s="1"/>
  <c r="Q300" i="9"/>
  <c r="R315" i="21" s="1"/>
  <c r="P300" i="9"/>
  <c r="R314" i="21" s="1"/>
  <c r="O300" i="9"/>
  <c r="R313" i="21" s="1"/>
  <c r="N300" i="9"/>
  <c r="R312" i="21" s="1"/>
  <c r="M300" i="9"/>
  <c r="R311" i="21" s="1"/>
  <c r="L300" i="9"/>
  <c r="R310" i="21" s="1"/>
  <c r="K300" i="9"/>
  <c r="R309" i="21" s="1"/>
  <c r="J300" i="9"/>
  <c r="R308" i="21" s="1"/>
  <c r="I300" i="9"/>
  <c r="R307" i="21" s="1"/>
  <c r="H300" i="9"/>
  <c r="R306" i="21" s="1"/>
  <c r="G300" i="9"/>
  <c r="R305" i="21" s="1"/>
  <c r="F300" i="9"/>
  <c r="R304" i="21" s="1"/>
  <c r="E300" i="9"/>
  <c r="R303" i="21" s="1"/>
  <c r="D300" i="9"/>
  <c r="R302" i="21" s="1"/>
  <c r="AW299" i="9"/>
  <c r="AM299" i="9" s="1"/>
  <c r="Q337" i="21" s="1"/>
  <c r="AV299" i="9"/>
  <c r="AL299" i="9" s="1"/>
  <c r="Q336" i="21" s="1"/>
  <c r="AU299" i="9"/>
  <c r="AQ299" i="9"/>
  <c r="AR299" i="9" s="1"/>
  <c r="AS299" i="9" s="1"/>
  <c r="AK299" i="9"/>
  <c r="Q335" i="21" s="1"/>
  <c r="AG299" i="9"/>
  <c r="Q331" i="21" s="1"/>
  <c r="AF299" i="9"/>
  <c r="Q330" i="21" s="1"/>
  <c r="AE299" i="9"/>
  <c r="Q329" i="21" s="1"/>
  <c r="AD299" i="9"/>
  <c r="Q328" i="21" s="1"/>
  <c r="AC299" i="9"/>
  <c r="Q327" i="21" s="1"/>
  <c r="AB299" i="9"/>
  <c r="Q326" i="21" s="1"/>
  <c r="AA299" i="9"/>
  <c r="Q325" i="21" s="1"/>
  <c r="Z299" i="9"/>
  <c r="Q324" i="21" s="1"/>
  <c r="Y299" i="9"/>
  <c r="Q323" i="21" s="1"/>
  <c r="X299" i="9"/>
  <c r="Q322" i="21" s="1"/>
  <c r="W299" i="9"/>
  <c r="Q321" i="21" s="1"/>
  <c r="V299" i="9"/>
  <c r="Q320" i="21" s="1"/>
  <c r="U299" i="9"/>
  <c r="Q319" i="21" s="1"/>
  <c r="T299" i="9"/>
  <c r="Q318" i="21" s="1"/>
  <c r="S299" i="9"/>
  <c r="Q317" i="21" s="1"/>
  <c r="R299" i="9"/>
  <c r="Q316" i="21" s="1"/>
  <c r="Q299" i="9"/>
  <c r="Q315" i="21" s="1"/>
  <c r="P299" i="9"/>
  <c r="Q314" i="21" s="1"/>
  <c r="O299" i="9"/>
  <c r="Q313" i="21" s="1"/>
  <c r="N299" i="9"/>
  <c r="Q312" i="21" s="1"/>
  <c r="M299" i="9"/>
  <c r="Q311" i="21" s="1"/>
  <c r="L299" i="9"/>
  <c r="Q310" i="21" s="1"/>
  <c r="K299" i="9"/>
  <c r="Q309" i="21" s="1"/>
  <c r="J299" i="9"/>
  <c r="Q308" i="21" s="1"/>
  <c r="I299" i="9"/>
  <c r="Q307" i="21" s="1"/>
  <c r="H299" i="9"/>
  <c r="Q306" i="21" s="1"/>
  <c r="G299" i="9"/>
  <c r="Q305" i="21" s="1"/>
  <c r="F299" i="9"/>
  <c r="Q304" i="21" s="1"/>
  <c r="E299" i="9"/>
  <c r="Q303" i="21" s="1"/>
  <c r="D299" i="9"/>
  <c r="Q302" i="21" s="1"/>
  <c r="AQ298" i="9"/>
  <c r="AG298" i="9"/>
  <c r="P331" i="21" s="1"/>
  <c r="AF298" i="9"/>
  <c r="P330" i="21" s="1"/>
  <c r="AE298" i="9"/>
  <c r="P329" i="21" s="1"/>
  <c r="AD298" i="9"/>
  <c r="P328" i="21" s="1"/>
  <c r="AC298" i="9"/>
  <c r="P327" i="21" s="1"/>
  <c r="AB298" i="9"/>
  <c r="P326" i="21" s="1"/>
  <c r="AA298" i="9"/>
  <c r="P325" i="21" s="1"/>
  <c r="Z298" i="9"/>
  <c r="P324" i="21" s="1"/>
  <c r="Y298" i="9"/>
  <c r="P323" i="21" s="1"/>
  <c r="X298" i="9"/>
  <c r="P322" i="21" s="1"/>
  <c r="W298" i="9"/>
  <c r="P321" i="21" s="1"/>
  <c r="V298" i="9"/>
  <c r="P320" i="21" s="1"/>
  <c r="U298" i="9"/>
  <c r="P319" i="21" s="1"/>
  <c r="T298" i="9"/>
  <c r="P318" i="21" s="1"/>
  <c r="S298" i="9"/>
  <c r="P317" i="21" s="1"/>
  <c r="R298" i="9"/>
  <c r="P316" i="21" s="1"/>
  <c r="Q298" i="9"/>
  <c r="P315" i="21" s="1"/>
  <c r="P298" i="9"/>
  <c r="P314" i="21" s="1"/>
  <c r="O298" i="9"/>
  <c r="P313" i="21" s="1"/>
  <c r="N298" i="9"/>
  <c r="P312" i="21" s="1"/>
  <c r="M298" i="9"/>
  <c r="P311" i="21" s="1"/>
  <c r="L298" i="9"/>
  <c r="P310" i="21" s="1"/>
  <c r="K298" i="9"/>
  <c r="P309" i="21" s="1"/>
  <c r="J298" i="9"/>
  <c r="P308" i="21" s="1"/>
  <c r="I298" i="9"/>
  <c r="P307" i="21" s="1"/>
  <c r="H298" i="9"/>
  <c r="P306" i="21" s="1"/>
  <c r="G298" i="9"/>
  <c r="P305" i="21" s="1"/>
  <c r="F298" i="9"/>
  <c r="P304" i="21" s="1"/>
  <c r="E298" i="9"/>
  <c r="P303" i="21" s="1"/>
  <c r="D298" i="9"/>
  <c r="P302" i="21" s="1"/>
  <c r="AV297" i="9"/>
  <c r="AQ297" i="9"/>
  <c r="AY297" i="9" s="1"/>
  <c r="AO297" i="9" s="1"/>
  <c r="O339" i="21" s="1"/>
  <c r="AL297" i="9"/>
  <c r="O336" i="21" s="1"/>
  <c r="AG297" i="9"/>
  <c r="O331" i="21" s="1"/>
  <c r="AF297" i="9"/>
  <c r="O330" i="21" s="1"/>
  <c r="AE297" i="9"/>
  <c r="O329" i="21" s="1"/>
  <c r="AD297" i="9"/>
  <c r="O328" i="21" s="1"/>
  <c r="AC297" i="9"/>
  <c r="O327" i="21" s="1"/>
  <c r="AB297" i="9"/>
  <c r="O326" i="21" s="1"/>
  <c r="AA297" i="9"/>
  <c r="O325" i="21" s="1"/>
  <c r="Z297" i="9"/>
  <c r="O324" i="21" s="1"/>
  <c r="Y297" i="9"/>
  <c r="O323" i="21" s="1"/>
  <c r="X297" i="9"/>
  <c r="O322" i="21" s="1"/>
  <c r="W297" i="9"/>
  <c r="O321" i="21" s="1"/>
  <c r="V297" i="9"/>
  <c r="O320" i="21" s="1"/>
  <c r="U297" i="9"/>
  <c r="O319" i="21" s="1"/>
  <c r="T297" i="9"/>
  <c r="O318" i="21" s="1"/>
  <c r="S297" i="9"/>
  <c r="O317" i="21" s="1"/>
  <c r="R297" i="9"/>
  <c r="O316" i="21" s="1"/>
  <c r="Q297" i="9"/>
  <c r="O315" i="21" s="1"/>
  <c r="P297" i="9"/>
  <c r="O314" i="21" s="1"/>
  <c r="O297" i="9"/>
  <c r="O313" i="21" s="1"/>
  <c r="N297" i="9"/>
  <c r="O312" i="21" s="1"/>
  <c r="M297" i="9"/>
  <c r="O311" i="21" s="1"/>
  <c r="L297" i="9"/>
  <c r="O310" i="21" s="1"/>
  <c r="K297" i="9"/>
  <c r="O309" i="21" s="1"/>
  <c r="J297" i="9"/>
  <c r="O308" i="21" s="1"/>
  <c r="I297" i="9"/>
  <c r="O307" i="21" s="1"/>
  <c r="H297" i="9"/>
  <c r="O306" i="21" s="1"/>
  <c r="G297" i="9"/>
  <c r="O305" i="21" s="1"/>
  <c r="F297" i="9"/>
  <c r="O304" i="21" s="1"/>
  <c r="E297" i="9"/>
  <c r="O303" i="21" s="1"/>
  <c r="D297" i="9"/>
  <c r="O302" i="21" s="1"/>
  <c r="AR296" i="9"/>
  <c r="AS296" i="9" s="1"/>
  <c r="AQ296" i="9"/>
  <c r="AG296" i="9"/>
  <c r="N331" i="21" s="1"/>
  <c r="AF296" i="9"/>
  <c r="N330" i="21" s="1"/>
  <c r="AE296" i="9"/>
  <c r="N329" i="21" s="1"/>
  <c r="AD296" i="9"/>
  <c r="N328" i="21" s="1"/>
  <c r="AC296" i="9"/>
  <c r="N327" i="21" s="1"/>
  <c r="AB296" i="9"/>
  <c r="N326" i="21" s="1"/>
  <c r="AA296" i="9"/>
  <c r="N325" i="21" s="1"/>
  <c r="Z296" i="9"/>
  <c r="N324" i="21" s="1"/>
  <c r="Y296" i="9"/>
  <c r="N323" i="21" s="1"/>
  <c r="X296" i="9"/>
  <c r="N322" i="21" s="1"/>
  <c r="W296" i="9"/>
  <c r="N321" i="21" s="1"/>
  <c r="V296" i="9"/>
  <c r="N320" i="21" s="1"/>
  <c r="U296" i="9"/>
  <c r="N319" i="21" s="1"/>
  <c r="T296" i="9"/>
  <c r="N318" i="21" s="1"/>
  <c r="S296" i="9"/>
  <c r="N317" i="21" s="1"/>
  <c r="R296" i="9"/>
  <c r="N316" i="21" s="1"/>
  <c r="Q296" i="9"/>
  <c r="N315" i="21" s="1"/>
  <c r="P296" i="9"/>
  <c r="N314" i="21" s="1"/>
  <c r="O296" i="9"/>
  <c r="N313" i="21" s="1"/>
  <c r="N296" i="9"/>
  <c r="N312" i="21" s="1"/>
  <c r="M296" i="9"/>
  <c r="N311" i="21" s="1"/>
  <c r="L296" i="9"/>
  <c r="N310" i="21" s="1"/>
  <c r="K296" i="9"/>
  <c r="N309" i="21" s="1"/>
  <c r="J296" i="9"/>
  <c r="N308" i="21" s="1"/>
  <c r="I296" i="9"/>
  <c r="N307" i="21" s="1"/>
  <c r="H296" i="9"/>
  <c r="N306" i="21" s="1"/>
  <c r="G296" i="9"/>
  <c r="N305" i="21" s="1"/>
  <c r="F296" i="9"/>
  <c r="N304" i="21" s="1"/>
  <c r="E296" i="9"/>
  <c r="N303" i="21" s="1"/>
  <c r="D296" i="9"/>
  <c r="N302" i="21" s="1"/>
  <c r="AY295" i="9"/>
  <c r="AO295" i="9" s="1"/>
  <c r="M339" i="21" s="1"/>
  <c r="AW295" i="9"/>
  <c r="AM295" i="9" s="1"/>
  <c r="M337" i="21" s="1"/>
  <c r="AV295" i="9"/>
  <c r="AL295" i="9" s="1"/>
  <c r="M336" i="21" s="1"/>
  <c r="AU295" i="9"/>
  <c r="AK295" i="9" s="1"/>
  <c r="M335" i="21" s="1"/>
  <c r="AR295" i="9"/>
  <c r="AS295" i="9" s="1"/>
  <c r="AQ295" i="9"/>
  <c r="AX295" i="9" s="1"/>
  <c r="AN295" i="9" s="1"/>
  <c r="M338" i="21" s="1"/>
  <c r="AG295" i="9"/>
  <c r="M331" i="21" s="1"/>
  <c r="AF295" i="9"/>
  <c r="M330" i="21" s="1"/>
  <c r="AE295" i="9"/>
  <c r="M329" i="21" s="1"/>
  <c r="AD295" i="9"/>
  <c r="M328" i="21" s="1"/>
  <c r="AC295" i="9"/>
  <c r="M327" i="21" s="1"/>
  <c r="AB295" i="9"/>
  <c r="M326" i="21" s="1"/>
  <c r="AA295" i="9"/>
  <c r="M325" i="21" s="1"/>
  <c r="Z295" i="9"/>
  <c r="M324" i="21" s="1"/>
  <c r="Y295" i="9"/>
  <c r="M323" i="21" s="1"/>
  <c r="X295" i="9"/>
  <c r="M322" i="21" s="1"/>
  <c r="W295" i="9"/>
  <c r="M321" i="21" s="1"/>
  <c r="V295" i="9"/>
  <c r="M320" i="21" s="1"/>
  <c r="U295" i="9"/>
  <c r="M319" i="21" s="1"/>
  <c r="T295" i="9"/>
  <c r="M318" i="21" s="1"/>
  <c r="S295" i="9"/>
  <c r="M317" i="21" s="1"/>
  <c r="R295" i="9"/>
  <c r="M316" i="21" s="1"/>
  <c r="Q295" i="9"/>
  <c r="M315" i="21" s="1"/>
  <c r="P295" i="9"/>
  <c r="M314" i="21" s="1"/>
  <c r="O295" i="9"/>
  <c r="M313" i="21" s="1"/>
  <c r="N295" i="9"/>
  <c r="M312" i="21" s="1"/>
  <c r="M295" i="9"/>
  <c r="M311" i="21" s="1"/>
  <c r="L295" i="9"/>
  <c r="M310" i="21" s="1"/>
  <c r="K295" i="9"/>
  <c r="M309" i="21" s="1"/>
  <c r="J295" i="9"/>
  <c r="M308" i="21" s="1"/>
  <c r="I295" i="9"/>
  <c r="M307" i="21" s="1"/>
  <c r="H295" i="9"/>
  <c r="M306" i="21" s="1"/>
  <c r="G295" i="9"/>
  <c r="M305" i="21" s="1"/>
  <c r="F295" i="9"/>
  <c r="M304" i="21" s="1"/>
  <c r="E295" i="9"/>
  <c r="M303" i="21" s="1"/>
  <c r="D295" i="9"/>
  <c r="M302" i="21" s="1"/>
  <c r="AX294" i="9"/>
  <c r="AN294" i="9" s="1"/>
  <c r="L338" i="21" s="1"/>
  <c r="AW294" i="9"/>
  <c r="AV294" i="9"/>
  <c r="AU294" i="9"/>
  <c r="AK294" i="9" s="1"/>
  <c r="L335" i="21" s="1"/>
  <c r="AT294" i="9"/>
  <c r="AJ294" i="9" s="1"/>
  <c r="L334" i="21" s="1"/>
  <c r="AR294" i="9"/>
  <c r="AS294" i="9" s="1"/>
  <c r="AQ294" i="9"/>
  <c r="AY294" i="9" s="1"/>
  <c r="AO294" i="9" s="1"/>
  <c r="L339" i="21" s="1"/>
  <c r="AM294" i="9"/>
  <c r="L337" i="21" s="1"/>
  <c r="AL294" i="9"/>
  <c r="L336" i="21" s="1"/>
  <c r="AI294" i="9"/>
  <c r="L333" i="21" s="1"/>
  <c r="AH294" i="9"/>
  <c r="L332" i="21" s="1"/>
  <c r="AG294" i="9"/>
  <c r="L331" i="21" s="1"/>
  <c r="AF294" i="9"/>
  <c r="L330" i="21" s="1"/>
  <c r="AE294" i="9"/>
  <c r="L329" i="21" s="1"/>
  <c r="AD294" i="9"/>
  <c r="L328" i="21" s="1"/>
  <c r="AC294" i="9"/>
  <c r="L327" i="21" s="1"/>
  <c r="AB294" i="9"/>
  <c r="L326" i="21" s="1"/>
  <c r="AA294" i="9"/>
  <c r="L325" i="21" s="1"/>
  <c r="Z294" i="9"/>
  <c r="L324" i="21" s="1"/>
  <c r="Y294" i="9"/>
  <c r="L323" i="21" s="1"/>
  <c r="X294" i="9"/>
  <c r="L322" i="21" s="1"/>
  <c r="W294" i="9"/>
  <c r="L321" i="21" s="1"/>
  <c r="V294" i="9"/>
  <c r="L320" i="21" s="1"/>
  <c r="U294" i="9"/>
  <c r="L319" i="21" s="1"/>
  <c r="T294" i="9"/>
  <c r="L318" i="21" s="1"/>
  <c r="S294" i="9"/>
  <c r="L317" i="21" s="1"/>
  <c r="R294" i="9"/>
  <c r="L316" i="21" s="1"/>
  <c r="Q294" i="9"/>
  <c r="L315" i="21" s="1"/>
  <c r="P294" i="9"/>
  <c r="L314" i="21" s="1"/>
  <c r="O294" i="9"/>
  <c r="L313" i="21" s="1"/>
  <c r="N294" i="9"/>
  <c r="L312" i="21" s="1"/>
  <c r="M294" i="9"/>
  <c r="L311" i="21" s="1"/>
  <c r="L294" i="9"/>
  <c r="L310" i="21" s="1"/>
  <c r="K294" i="9"/>
  <c r="L309" i="21" s="1"/>
  <c r="J294" i="9"/>
  <c r="L308" i="21" s="1"/>
  <c r="I294" i="9"/>
  <c r="L307" i="21" s="1"/>
  <c r="H294" i="9"/>
  <c r="L306" i="21" s="1"/>
  <c r="G294" i="9"/>
  <c r="L305" i="21" s="1"/>
  <c r="F294" i="9"/>
  <c r="L304" i="21" s="1"/>
  <c r="E294" i="9"/>
  <c r="L303" i="21" s="1"/>
  <c r="D294" i="9"/>
  <c r="L302" i="21" s="1"/>
  <c r="AY293" i="9"/>
  <c r="AO293" i="9" s="1"/>
  <c r="K339" i="21" s="1"/>
  <c r="AX293" i="9"/>
  <c r="AN293" i="9" s="1"/>
  <c r="K338" i="21" s="1"/>
  <c r="AW293" i="9"/>
  <c r="AU293" i="9"/>
  <c r="AK293" i="9" s="1"/>
  <c r="K335" i="21" s="1"/>
  <c r="AS293" i="9"/>
  <c r="AR293" i="9"/>
  <c r="AQ293" i="9"/>
  <c r="AT293" i="9" s="1"/>
  <c r="AM293" i="9"/>
  <c r="K337" i="21" s="1"/>
  <c r="AG293" i="9"/>
  <c r="K331" i="21" s="1"/>
  <c r="AF293" i="9"/>
  <c r="K330" i="21" s="1"/>
  <c r="AE293" i="9"/>
  <c r="K329" i="21" s="1"/>
  <c r="AD293" i="9"/>
  <c r="K328" i="21" s="1"/>
  <c r="AC293" i="9"/>
  <c r="K327" i="21" s="1"/>
  <c r="AB293" i="9"/>
  <c r="K326" i="21" s="1"/>
  <c r="AA293" i="9"/>
  <c r="K325" i="21" s="1"/>
  <c r="Z293" i="9"/>
  <c r="K324" i="21" s="1"/>
  <c r="Y293" i="9"/>
  <c r="K323" i="21" s="1"/>
  <c r="X293" i="9"/>
  <c r="K322" i="21" s="1"/>
  <c r="W293" i="9"/>
  <c r="K321" i="21" s="1"/>
  <c r="V293" i="9"/>
  <c r="K320" i="21" s="1"/>
  <c r="U293" i="9"/>
  <c r="K319" i="21" s="1"/>
  <c r="T293" i="9"/>
  <c r="K318" i="21" s="1"/>
  <c r="S293" i="9"/>
  <c r="K317" i="21" s="1"/>
  <c r="R293" i="9"/>
  <c r="K316" i="21" s="1"/>
  <c r="Q293" i="9"/>
  <c r="K315" i="21" s="1"/>
  <c r="P293" i="9"/>
  <c r="K314" i="21" s="1"/>
  <c r="O293" i="9"/>
  <c r="K313" i="21" s="1"/>
  <c r="N293" i="9"/>
  <c r="K312" i="21" s="1"/>
  <c r="M293" i="9"/>
  <c r="K311" i="21" s="1"/>
  <c r="L293" i="9"/>
  <c r="K310" i="21" s="1"/>
  <c r="K293" i="9"/>
  <c r="K309" i="21" s="1"/>
  <c r="J293" i="9"/>
  <c r="K308" i="21" s="1"/>
  <c r="I293" i="9"/>
  <c r="K307" i="21" s="1"/>
  <c r="H293" i="9"/>
  <c r="K306" i="21" s="1"/>
  <c r="G293" i="9"/>
  <c r="K305" i="21" s="1"/>
  <c r="F293" i="9"/>
  <c r="K304" i="21" s="1"/>
  <c r="E293" i="9"/>
  <c r="K303" i="21" s="1"/>
  <c r="D293" i="9"/>
  <c r="K302" i="21" s="1"/>
  <c r="AX292" i="9"/>
  <c r="AN292" i="9" s="1"/>
  <c r="J338" i="21" s="1"/>
  <c r="AW292" i="9"/>
  <c r="AM292" i="9" s="1"/>
  <c r="J337" i="21" s="1"/>
  <c r="AT292" i="9"/>
  <c r="AJ292" i="9" s="1"/>
  <c r="J334" i="21" s="1"/>
  <c r="AQ292" i="9"/>
  <c r="AY292" i="9" s="1"/>
  <c r="AO292" i="9" s="1"/>
  <c r="J339" i="21" s="1"/>
  <c r="AI292" i="9"/>
  <c r="J333" i="21" s="1"/>
  <c r="AH292" i="9"/>
  <c r="J332" i="21" s="1"/>
  <c r="AG292" i="9"/>
  <c r="J331" i="21" s="1"/>
  <c r="AF292" i="9"/>
  <c r="J330" i="21" s="1"/>
  <c r="AE292" i="9"/>
  <c r="J329" i="21" s="1"/>
  <c r="AD292" i="9"/>
  <c r="J328" i="21" s="1"/>
  <c r="AC292" i="9"/>
  <c r="J327" i="21" s="1"/>
  <c r="AB292" i="9"/>
  <c r="J326" i="21" s="1"/>
  <c r="AA292" i="9"/>
  <c r="J325" i="21" s="1"/>
  <c r="Z292" i="9"/>
  <c r="J324" i="21" s="1"/>
  <c r="Y292" i="9"/>
  <c r="J323" i="21" s="1"/>
  <c r="X292" i="9"/>
  <c r="J322" i="21" s="1"/>
  <c r="W292" i="9"/>
  <c r="J321" i="21" s="1"/>
  <c r="V292" i="9"/>
  <c r="J320" i="21" s="1"/>
  <c r="U292" i="9"/>
  <c r="J319" i="21" s="1"/>
  <c r="T292" i="9"/>
  <c r="J318" i="21" s="1"/>
  <c r="S292" i="9"/>
  <c r="J317" i="21" s="1"/>
  <c r="R292" i="9"/>
  <c r="J316" i="21" s="1"/>
  <c r="Q292" i="9"/>
  <c r="J315" i="21" s="1"/>
  <c r="P292" i="9"/>
  <c r="J314" i="21" s="1"/>
  <c r="O292" i="9"/>
  <c r="J313" i="21" s="1"/>
  <c r="N292" i="9"/>
  <c r="J312" i="21" s="1"/>
  <c r="M292" i="9"/>
  <c r="J311" i="21" s="1"/>
  <c r="L292" i="9"/>
  <c r="J310" i="21" s="1"/>
  <c r="K292" i="9"/>
  <c r="J309" i="21" s="1"/>
  <c r="J292" i="9"/>
  <c r="J308" i="21" s="1"/>
  <c r="I292" i="9"/>
  <c r="J307" i="21" s="1"/>
  <c r="H292" i="9"/>
  <c r="J306" i="21" s="1"/>
  <c r="G292" i="9"/>
  <c r="J305" i="21" s="1"/>
  <c r="F292" i="9"/>
  <c r="J304" i="21" s="1"/>
  <c r="E292" i="9"/>
  <c r="J303" i="21" s="1"/>
  <c r="D292" i="9"/>
  <c r="J302" i="21" s="1"/>
  <c r="AY291" i="9"/>
  <c r="AO291" i="9" s="1"/>
  <c r="I339" i="21" s="1"/>
  <c r="AX291" i="9"/>
  <c r="AN291" i="9" s="1"/>
  <c r="I338" i="21" s="1"/>
  <c r="AT291" i="9"/>
  <c r="AJ291" i="9" s="1"/>
  <c r="I334" i="21" s="1"/>
  <c r="AQ291" i="9"/>
  <c r="AW291" i="9" s="1"/>
  <c r="AM291" i="9"/>
  <c r="I337" i="21" s="1"/>
  <c r="AI291" i="9"/>
  <c r="I333" i="21" s="1"/>
  <c r="AG291" i="9"/>
  <c r="I331" i="21" s="1"/>
  <c r="AF291" i="9"/>
  <c r="I330" i="21" s="1"/>
  <c r="AE291" i="9"/>
  <c r="I329" i="21" s="1"/>
  <c r="AD291" i="9"/>
  <c r="I328" i="21" s="1"/>
  <c r="AC291" i="9"/>
  <c r="I327" i="21" s="1"/>
  <c r="AB291" i="9"/>
  <c r="I326" i="21" s="1"/>
  <c r="AA291" i="9"/>
  <c r="I325" i="21" s="1"/>
  <c r="Z291" i="9"/>
  <c r="I324" i="21" s="1"/>
  <c r="Y291" i="9"/>
  <c r="I323" i="21" s="1"/>
  <c r="X291" i="9"/>
  <c r="I322" i="21" s="1"/>
  <c r="W291" i="9"/>
  <c r="I321" i="21" s="1"/>
  <c r="V291" i="9"/>
  <c r="I320" i="21" s="1"/>
  <c r="U291" i="9"/>
  <c r="I319" i="21" s="1"/>
  <c r="T291" i="9"/>
  <c r="I318" i="21" s="1"/>
  <c r="S291" i="9"/>
  <c r="I317" i="21" s="1"/>
  <c r="R291" i="9"/>
  <c r="I316" i="21" s="1"/>
  <c r="Q291" i="9"/>
  <c r="I315" i="21" s="1"/>
  <c r="P291" i="9"/>
  <c r="I314" i="21" s="1"/>
  <c r="O291" i="9"/>
  <c r="I313" i="21" s="1"/>
  <c r="N291" i="9"/>
  <c r="I312" i="21" s="1"/>
  <c r="M291" i="9"/>
  <c r="I311" i="21" s="1"/>
  <c r="L291" i="9"/>
  <c r="I310" i="21" s="1"/>
  <c r="K291" i="9"/>
  <c r="I309" i="21" s="1"/>
  <c r="J291" i="9"/>
  <c r="I308" i="21" s="1"/>
  <c r="I291" i="9"/>
  <c r="I307" i="21" s="1"/>
  <c r="H291" i="9"/>
  <c r="I306" i="21" s="1"/>
  <c r="G291" i="9"/>
  <c r="I305" i="21" s="1"/>
  <c r="F291" i="9"/>
  <c r="I304" i="21" s="1"/>
  <c r="E291" i="9"/>
  <c r="I303" i="21" s="1"/>
  <c r="D291" i="9"/>
  <c r="I302" i="21" s="1"/>
  <c r="AY290" i="9"/>
  <c r="AO290" i="9" s="1"/>
  <c r="H339" i="21" s="1"/>
  <c r="AX290" i="9"/>
  <c r="AW290" i="9"/>
  <c r="AM290" i="9" s="1"/>
  <c r="H337" i="21" s="1"/>
  <c r="AV290" i="9"/>
  <c r="AL290" i="9" s="1"/>
  <c r="H336" i="21" s="1"/>
  <c r="AT290" i="9"/>
  <c r="AS290" i="9"/>
  <c r="AR290" i="9"/>
  <c r="AQ290" i="9"/>
  <c r="AU290" i="9" s="1"/>
  <c r="AK290" i="9" s="1"/>
  <c r="H335" i="21" s="1"/>
  <c r="AN290" i="9"/>
  <c r="H338" i="21" s="1"/>
  <c r="AI290" i="9"/>
  <c r="H333" i="21" s="1"/>
  <c r="AG290" i="9"/>
  <c r="H331" i="21" s="1"/>
  <c r="AF290" i="9"/>
  <c r="H330" i="21" s="1"/>
  <c r="AE290" i="9"/>
  <c r="H329" i="21" s="1"/>
  <c r="AD290" i="9"/>
  <c r="H328" i="21" s="1"/>
  <c r="AC290" i="9"/>
  <c r="H327" i="21" s="1"/>
  <c r="AB290" i="9"/>
  <c r="H326" i="21" s="1"/>
  <c r="AA290" i="9"/>
  <c r="H325" i="21" s="1"/>
  <c r="Z290" i="9"/>
  <c r="H324" i="21" s="1"/>
  <c r="Y290" i="9"/>
  <c r="H323" i="21" s="1"/>
  <c r="X290" i="9"/>
  <c r="H322" i="21" s="1"/>
  <c r="W290" i="9"/>
  <c r="H321" i="21" s="1"/>
  <c r="V290" i="9"/>
  <c r="H320" i="21" s="1"/>
  <c r="U290" i="9"/>
  <c r="H319" i="21" s="1"/>
  <c r="T290" i="9"/>
  <c r="H318" i="21" s="1"/>
  <c r="S290" i="9"/>
  <c r="H317" i="21" s="1"/>
  <c r="R290" i="9"/>
  <c r="H316" i="21" s="1"/>
  <c r="Q290" i="9"/>
  <c r="H315" i="21" s="1"/>
  <c r="P290" i="9"/>
  <c r="H314" i="21" s="1"/>
  <c r="O290" i="9"/>
  <c r="H313" i="21" s="1"/>
  <c r="N290" i="9"/>
  <c r="H312" i="21" s="1"/>
  <c r="M290" i="9"/>
  <c r="H311" i="21" s="1"/>
  <c r="L290" i="9"/>
  <c r="H310" i="21" s="1"/>
  <c r="K290" i="9"/>
  <c r="H309" i="21" s="1"/>
  <c r="J290" i="9"/>
  <c r="H308" i="21" s="1"/>
  <c r="I290" i="9"/>
  <c r="H307" i="21" s="1"/>
  <c r="H290" i="9"/>
  <c r="H306" i="21" s="1"/>
  <c r="G290" i="9"/>
  <c r="H305" i="21" s="1"/>
  <c r="F290" i="9"/>
  <c r="H304" i="21" s="1"/>
  <c r="E290" i="9"/>
  <c r="H303" i="21" s="1"/>
  <c r="D290" i="9"/>
  <c r="H302" i="21" s="1"/>
  <c r="AY289" i="9"/>
  <c r="AO289" i="9" s="1"/>
  <c r="G339" i="21" s="1"/>
  <c r="AX289" i="9"/>
  <c r="AU289" i="9"/>
  <c r="AK289" i="9" s="1"/>
  <c r="G335" i="21" s="1"/>
  <c r="AT289" i="9"/>
  <c r="AH289" i="9" s="1"/>
  <c r="G332" i="21" s="1"/>
  <c r="AQ289" i="9"/>
  <c r="AW289" i="9" s="1"/>
  <c r="AM289" i="9" s="1"/>
  <c r="G337" i="21" s="1"/>
  <c r="AN289" i="9"/>
  <c r="G338" i="21" s="1"/>
  <c r="AJ289" i="9"/>
  <c r="G334" i="21" s="1"/>
  <c r="AI289" i="9"/>
  <c r="G333" i="21" s="1"/>
  <c r="AG289" i="9"/>
  <c r="G331" i="21" s="1"/>
  <c r="AF289" i="9"/>
  <c r="G330" i="21" s="1"/>
  <c r="AE289" i="9"/>
  <c r="G329" i="21" s="1"/>
  <c r="AD289" i="9"/>
  <c r="G328" i="21" s="1"/>
  <c r="AC289" i="9"/>
  <c r="G327" i="21" s="1"/>
  <c r="AB289" i="9"/>
  <c r="G326" i="21" s="1"/>
  <c r="AA289" i="9"/>
  <c r="G325" i="21" s="1"/>
  <c r="Z289" i="9"/>
  <c r="G324" i="21" s="1"/>
  <c r="Y289" i="9"/>
  <c r="G323" i="21" s="1"/>
  <c r="X289" i="9"/>
  <c r="G322" i="21" s="1"/>
  <c r="W289" i="9"/>
  <c r="G321" i="21" s="1"/>
  <c r="V289" i="9"/>
  <c r="G320" i="21" s="1"/>
  <c r="U289" i="9"/>
  <c r="G319" i="21" s="1"/>
  <c r="T289" i="9"/>
  <c r="G318" i="21" s="1"/>
  <c r="S289" i="9"/>
  <c r="G317" i="21" s="1"/>
  <c r="R289" i="9"/>
  <c r="G316" i="21" s="1"/>
  <c r="Q289" i="9"/>
  <c r="G315" i="21" s="1"/>
  <c r="P289" i="9"/>
  <c r="G314" i="21" s="1"/>
  <c r="O289" i="9"/>
  <c r="G313" i="21" s="1"/>
  <c r="N289" i="9"/>
  <c r="G312" i="21" s="1"/>
  <c r="M289" i="9"/>
  <c r="G311" i="21" s="1"/>
  <c r="L289" i="9"/>
  <c r="G310" i="21" s="1"/>
  <c r="K289" i="9"/>
  <c r="G309" i="21" s="1"/>
  <c r="J289" i="9"/>
  <c r="G308" i="21" s="1"/>
  <c r="I289" i="9"/>
  <c r="G307" i="21" s="1"/>
  <c r="H289" i="9"/>
  <c r="G306" i="21" s="1"/>
  <c r="G289" i="9"/>
  <c r="G305" i="21" s="1"/>
  <c r="F289" i="9"/>
  <c r="G304" i="21" s="1"/>
  <c r="E289" i="9"/>
  <c r="G303" i="21" s="1"/>
  <c r="D289" i="9"/>
  <c r="G302" i="21" s="1"/>
  <c r="AY288" i="9"/>
  <c r="AO288" i="9" s="1"/>
  <c r="F339" i="21" s="1"/>
  <c r="AX288" i="9"/>
  <c r="AW288" i="9"/>
  <c r="AM288" i="9" s="1"/>
  <c r="F337" i="21" s="1"/>
  <c r="AV288" i="9"/>
  <c r="AL288" i="9" s="1"/>
  <c r="F336" i="21" s="1"/>
  <c r="AU288" i="9"/>
  <c r="AK288" i="9" s="1"/>
  <c r="F335" i="21" s="1"/>
  <c r="AT288" i="9"/>
  <c r="AR288" i="9"/>
  <c r="AS288" i="9" s="1"/>
  <c r="AQ288" i="9"/>
  <c r="AN288" i="9"/>
  <c r="F338" i="21" s="1"/>
  <c r="AG288" i="9"/>
  <c r="F331" i="21" s="1"/>
  <c r="AF288" i="9"/>
  <c r="F330" i="21" s="1"/>
  <c r="AE288" i="9"/>
  <c r="F329" i="21" s="1"/>
  <c r="AD288" i="9"/>
  <c r="F328" i="21" s="1"/>
  <c r="AC288" i="9"/>
  <c r="F327" i="21" s="1"/>
  <c r="AB288" i="9"/>
  <c r="F326" i="21" s="1"/>
  <c r="AA288" i="9"/>
  <c r="F325" i="21" s="1"/>
  <c r="Z288" i="9"/>
  <c r="F324" i="21" s="1"/>
  <c r="Y288" i="9"/>
  <c r="F323" i="21" s="1"/>
  <c r="X288" i="9"/>
  <c r="F322" i="21" s="1"/>
  <c r="W288" i="9"/>
  <c r="F321" i="21" s="1"/>
  <c r="V288" i="9"/>
  <c r="F320" i="21" s="1"/>
  <c r="U288" i="9"/>
  <c r="F319" i="21" s="1"/>
  <c r="T288" i="9"/>
  <c r="F318" i="21" s="1"/>
  <c r="S288" i="9"/>
  <c r="F317" i="21" s="1"/>
  <c r="R288" i="9"/>
  <c r="F316" i="21" s="1"/>
  <c r="Q288" i="9"/>
  <c r="F315" i="21" s="1"/>
  <c r="P288" i="9"/>
  <c r="F314" i="21" s="1"/>
  <c r="O288" i="9"/>
  <c r="F313" i="21" s="1"/>
  <c r="N288" i="9"/>
  <c r="F312" i="21" s="1"/>
  <c r="M288" i="9"/>
  <c r="F311" i="21" s="1"/>
  <c r="L288" i="9"/>
  <c r="F310" i="21" s="1"/>
  <c r="K288" i="9"/>
  <c r="F309" i="21" s="1"/>
  <c r="J288" i="9"/>
  <c r="F308" i="21" s="1"/>
  <c r="I288" i="9"/>
  <c r="F307" i="21" s="1"/>
  <c r="H288" i="9"/>
  <c r="F306" i="21" s="1"/>
  <c r="G288" i="9"/>
  <c r="F305" i="21" s="1"/>
  <c r="F288" i="9"/>
  <c r="F304" i="21" s="1"/>
  <c r="E288" i="9"/>
  <c r="F303" i="21" s="1"/>
  <c r="D288" i="9"/>
  <c r="F302" i="21" s="1"/>
  <c r="AY287" i="9"/>
  <c r="AU287" i="9"/>
  <c r="AK287" i="9" s="1"/>
  <c r="E335" i="21" s="1"/>
  <c r="AT287" i="9"/>
  <c r="AQ287" i="9"/>
  <c r="AV287" i="9" s="1"/>
  <c r="AL287" i="9" s="1"/>
  <c r="E336" i="21" s="1"/>
  <c r="AO287" i="9"/>
  <c r="E339" i="21" s="1"/>
  <c r="AJ287" i="9"/>
  <c r="E334" i="21" s="1"/>
  <c r="AG287" i="9"/>
  <c r="E331" i="21" s="1"/>
  <c r="AF287" i="9"/>
  <c r="E330" i="21" s="1"/>
  <c r="AE287" i="9"/>
  <c r="E329" i="21" s="1"/>
  <c r="AD287" i="9"/>
  <c r="E328" i="21" s="1"/>
  <c r="AC287" i="9"/>
  <c r="E327" i="21" s="1"/>
  <c r="AB287" i="9"/>
  <c r="E326" i="21" s="1"/>
  <c r="AA287" i="9"/>
  <c r="E325" i="21" s="1"/>
  <c r="Z287" i="9"/>
  <c r="E324" i="21" s="1"/>
  <c r="Y287" i="9"/>
  <c r="E323" i="21" s="1"/>
  <c r="X287" i="9"/>
  <c r="E322" i="21" s="1"/>
  <c r="W287" i="9"/>
  <c r="E321" i="21" s="1"/>
  <c r="V287" i="9"/>
  <c r="E320" i="21" s="1"/>
  <c r="U287" i="9"/>
  <c r="E319" i="21" s="1"/>
  <c r="T287" i="9"/>
  <c r="E318" i="21" s="1"/>
  <c r="S287" i="9"/>
  <c r="E317" i="21" s="1"/>
  <c r="R287" i="9"/>
  <c r="E316" i="21" s="1"/>
  <c r="Q287" i="9"/>
  <c r="E315" i="21" s="1"/>
  <c r="P287" i="9"/>
  <c r="E314" i="21" s="1"/>
  <c r="O287" i="9"/>
  <c r="E313" i="21" s="1"/>
  <c r="N287" i="9"/>
  <c r="E312" i="21" s="1"/>
  <c r="M287" i="9"/>
  <c r="E311" i="21" s="1"/>
  <c r="L287" i="9"/>
  <c r="E310" i="21" s="1"/>
  <c r="K287" i="9"/>
  <c r="E309" i="21" s="1"/>
  <c r="J287" i="9"/>
  <c r="E308" i="21" s="1"/>
  <c r="I287" i="9"/>
  <c r="E307" i="21" s="1"/>
  <c r="H287" i="9"/>
  <c r="E306" i="21" s="1"/>
  <c r="G287" i="9"/>
  <c r="E305" i="21" s="1"/>
  <c r="F287" i="9"/>
  <c r="E304" i="21" s="1"/>
  <c r="E287" i="9"/>
  <c r="E303" i="21" s="1"/>
  <c r="D287" i="9"/>
  <c r="E302" i="21" s="1"/>
  <c r="AY286" i="9"/>
  <c r="AU286" i="9"/>
  <c r="AQ286" i="9"/>
  <c r="AX286" i="9" s="1"/>
  <c r="AN286" i="9" s="1"/>
  <c r="D338" i="21" s="1"/>
  <c r="AO286" i="9"/>
  <c r="D339" i="21" s="1"/>
  <c r="AK286" i="9"/>
  <c r="D335" i="21" s="1"/>
  <c r="AG286" i="9"/>
  <c r="D331" i="21" s="1"/>
  <c r="AF286" i="9"/>
  <c r="D330" i="21" s="1"/>
  <c r="AE286" i="9"/>
  <c r="D329" i="21" s="1"/>
  <c r="AD286" i="9"/>
  <c r="D328" i="21" s="1"/>
  <c r="AC286" i="9"/>
  <c r="D327" i="21" s="1"/>
  <c r="AB286" i="9"/>
  <c r="D326" i="21" s="1"/>
  <c r="AA286" i="9"/>
  <c r="D325" i="21" s="1"/>
  <c r="Z286" i="9"/>
  <c r="D324" i="21" s="1"/>
  <c r="Y286" i="9"/>
  <c r="D323" i="21" s="1"/>
  <c r="X286" i="9"/>
  <c r="D322" i="21" s="1"/>
  <c r="W286" i="9"/>
  <c r="D321" i="21" s="1"/>
  <c r="V286" i="9"/>
  <c r="D320" i="21" s="1"/>
  <c r="U286" i="9"/>
  <c r="D319" i="21" s="1"/>
  <c r="T286" i="9"/>
  <c r="D318" i="21" s="1"/>
  <c r="S286" i="9"/>
  <c r="D317" i="21" s="1"/>
  <c r="R286" i="9"/>
  <c r="D316" i="21" s="1"/>
  <c r="Q286" i="9"/>
  <c r="D315" i="21" s="1"/>
  <c r="P286" i="9"/>
  <c r="D314" i="21" s="1"/>
  <c r="O286" i="9"/>
  <c r="D313" i="21" s="1"/>
  <c r="N286" i="9"/>
  <c r="D312" i="21" s="1"/>
  <c r="M286" i="9"/>
  <c r="D311" i="21" s="1"/>
  <c r="L286" i="9"/>
  <c r="D310" i="21" s="1"/>
  <c r="K286" i="9"/>
  <c r="D309" i="21" s="1"/>
  <c r="J286" i="9"/>
  <c r="D308" i="21" s="1"/>
  <c r="I286" i="9"/>
  <c r="D307" i="21" s="1"/>
  <c r="H286" i="9"/>
  <c r="D306" i="21" s="1"/>
  <c r="G286" i="9"/>
  <c r="D305" i="21" s="1"/>
  <c r="F286" i="9"/>
  <c r="D304" i="21" s="1"/>
  <c r="E286" i="9"/>
  <c r="D303" i="21" s="1"/>
  <c r="D286" i="9"/>
  <c r="D302" i="21" s="1"/>
  <c r="AQ285" i="9"/>
  <c r="AG285" i="9"/>
  <c r="AQ289" i="21" s="1"/>
  <c r="AF285" i="9"/>
  <c r="AQ288" i="21" s="1"/>
  <c r="AE285" i="9"/>
  <c r="AQ287" i="21" s="1"/>
  <c r="AD285" i="9"/>
  <c r="AQ286" i="21" s="1"/>
  <c r="AC285" i="9"/>
  <c r="AQ285" i="21" s="1"/>
  <c r="AB285" i="9"/>
  <c r="AQ284" i="21" s="1"/>
  <c r="AA285" i="9"/>
  <c r="AQ283" i="21" s="1"/>
  <c r="Z285" i="9"/>
  <c r="AQ282" i="21" s="1"/>
  <c r="Y285" i="9"/>
  <c r="AQ281" i="21" s="1"/>
  <c r="X285" i="9"/>
  <c r="AQ280" i="21" s="1"/>
  <c r="W285" i="9"/>
  <c r="AQ279" i="21" s="1"/>
  <c r="V285" i="9"/>
  <c r="AQ278" i="21" s="1"/>
  <c r="U285" i="9"/>
  <c r="AQ277" i="21" s="1"/>
  <c r="T285" i="9"/>
  <c r="AQ276" i="21" s="1"/>
  <c r="S285" i="9"/>
  <c r="AQ275" i="21" s="1"/>
  <c r="R285" i="9"/>
  <c r="AQ274" i="21" s="1"/>
  <c r="Q285" i="9"/>
  <c r="AQ273" i="21" s="1"/>
  <c r="P285" i="9"/>
  <c r="AQ272" i="21" s="1"/>
  <c r="O285" i="9"/>
  <c r="AQ271" i="21" s="1"/>
  <c r="N285" i="9"/>
  <c r="AQ270" i="21" s="1"/>
  <c r="M285" i="9"/>
  <c r="AQ269" i="21" s="1"/>
  <c r="L285" i="9"/>
  <c r="AQ268" i="21" s="1"/>
  <c r="K285" i="9"/>
  <c r="AQ267" i="21" s="1"/>
  <c r="J285" i="9"/>
  <c r="AQ266" i="21" s="1"/>
  <c r="I285" i="9"/>
  <c r="AQ265" i="21" s="1"/>
  <c r="H285" i="9"/>
  <c r="AQ264" i="21" s="1"/>
  <c r="G285" i="9"/>
  <c r="AQ263" i="21" s="1"/>
  <c r="F285" i="9"/>
  <c r="AQ262" i="21" s="1"/>
  <c r="E285" i="9"/>
  <c r="AQ261" i="21" s="1"/>
  <c r="D285" i="9"/>
  <c r="AQ260" i="21" s="1"/>
  <c r="AQ284" i="9"/>
  <c r="AG284" i="9"/>
  <c r="AP289" i="21" s="1"/>
  <c r="AF284" i="9"/>
  <c r="AP288" i="21" s="1"/>
  <c r="AE284" i="9"/>
  <c r="AP287" i="21" s="1"/>
  <c r="AD284" i="9"/>
  <c r="AP286" i="21" s="1"/>
  <c r="AC284" i="9"/>
  <c r="AP285" i="21" s="1"/>
  <c r="AB284" i="9"/>
  <c r="AP284" i="21" s="1"/>
  <c r="AA284" i="9"/>
  <c r="AP283" i="21" s="1"/>
  <c r="Z284" i="9"/>
  <c r="AP282" i="21" s="1"/>
  <c r="Y284" i="9"/>
  <c r="AP281" i="21" s="1"/>
  <c r="X284" i="9"/>
  <c r="AP280" i="21" s="1"/>
  <c r="W284" i="9"/>
  <c r="AP279" i="21" s="1"/>
  <c r="V284" i="9"/>
  <c r="AP278" i="21" s="1"/>
  <c r="U284" i="9"/>
  <c r="AP277" i="21" s="1"/>
  <c r="T284" i="9"/>
  <c r="AP276" i="21" s="1"/>
  <c r="S284" i="9"/>
  <c r="AP275" i="21" s="1"/>
  <c r="R284" i="9"/>
  <c r="AP274" i="21" s="1"/>
  <c r="Q284" i="9"/>
  <c r="AP273" i="21" s="1"/>
  <c r="P284" i="9"/>
  <c r="AP272" i="21" s="1"/>
  <c r="O284" i="9"/>
  <c r="AP271" i="21" s="1"/>
  <c r="N284" i="9"/>
  <c r="AP270" i="21" s="1"/>
  <c r="M284" i="9"/>
  <c r="AP269" i="21" s="1"/>
  <c r="L284" i="9"/>
  <c r="AP268" i="21" s="1"/>
  <c r="K284" i="9"/>
  <c r="AP267" i="21" s="1"/>
  <c r="J284" i="9"/>
  <c r="AP266" i="21" s="1"/>
  <c r="I284" i="9"/>
  <c r="AP265" i="21" s="1"/>
  <c r="H284" i="9"/>
  <c r="AP264" i="21" s="1"/>
  <c r="G284" i="9"/>
  <c r="AP263" i="21" s="1"/>
  <c r="F284" i="9"/>
  <c r="AP262" i="21" s="1"/>
  <c r="E284" i="9"/>
  <c r="AP261" i="21" s="1"/>
  <c r="D284" i="9"/>
  <c r="AP260" i="21" s="1"/>
  <c r="AV283" i="9"/>
  <c r="AL283" i="9" s="1"/>
  <c r="AO294" i="21" s="1"/>
  <c r="AQ283" i="9"/>
  <c r="AG283" i="9"/>
  <c r="AO289" i="21" s="1"/>
  <c r="AF283" i="9"/>
  <c r="AO288" i="21" s="1"/>
  <c r="AE283" i="9"/>
  <c r="AO287" i="21" s="1"/>
  <c r="AD283" i="9"/>
  <c r="AO286" i="21" s="1"/>
  <c r="AC283" i="9"/>
  <c r="AO285" i="21" s="1"/>
  <c r="AB283" i="9"/>
  <c r="AO284" i="21" s="1"/>
  <c r="AA283" i="9"/>
  <c r="AO283" i="21" s="1"/>
  <c r="Z283" i="9"/>
  <c r="AO282" i="21" s="1"/>
  <c r="Y283" i="9"/>
  <c r="AO281" i="21" s="1"/>
  <c r="X283" i="9"/>
  <c r="AO280" i="21" s="1"/>
  <c r="W283" i="9"/>
  <c r="AO279" i="21" s="1"/>
  <c r="V283" i="9"/>
  <c r="AO278" i="21" s="1"/>
  <c r="U283" i="9"/>
  <c r="AO277" i="21" s="1"/>
  <c r="T283" i="9"/>
  <c r="AO276" i="21" s="1"/>
  <c r="S283" i="9"/>
  <c r="AO275" i="21" s="1"/>
  <c r="R283" i="9"/>
  <c r="AO274" i="21" s="1"/>
  <c r="Q283" i="9"/>
  <c r="AO273" i="21" s="1"/>
  <c r="P283" i="9"/>
  <c r="AO272" i="21" s="1"/>
  <c r="O283" i="9"/>
  <c r="AO271" i="21" s="1"/>
  <c r="N283" i="9"/>
  <c r="AO270" i="21" s="1"/>
  <c r="M283" i="9"/>
  <c r="AO269" i="21" s="1"/>
  <c r="L283" i="9"/>
  <c r="AO268" i="21" s="1"/>
  <c r="K283" i="9"/>
  <c r="AO267" i="21" s="1"/>
  <c r="J283" i="9"/>
  <c r="AO266" i="21" s="1"/>
  <c r="I283" i="9"/>
  <c r="AO265" i="21" s="1"/>
  <c r="H283" i="9"/>
  <c r="AO264" i="21" s="1"/>
  <c r="G283" i="9"/>
  <c r="AO263" i="21" s="1"/>
  <c r="F283" i="9"/>
  <c r="AO262" i="21" s="1"/>
  <c r="E283" i="9"/>
  <c r="AO261" i="21" s="1"/>
  <c r="D283" i="9"/>
  <c r="AO260" i="21" s="1"/>
  <c r="AV282" i="9"/>
  <c r="AR282" i="9"/>
  <c r="AS282" i="9" s="1"/>
  <c r="AQ282" i="9"/>
  <c r="AL282" i="9"/>
  <c r="AN294" i="21" s="1"/>
  <c r="AG282" i="9"/>
  <c r="AN289" i="21" s="1"/>
  <c r="AF282" i="9"/>
  <c r="AN288" i="21" s="1"/>
  <c r="AE282" i="9"/>
  <c r="AN287" i="21" s="1"/>
  <c r="AD282" i="9"/>
  <c r="AN286" i="21" s="1"/>
  <c r="AC282" i="9"/>
  <c r="AN285" i="21" s="1"/>
  <c r="AB282" i="9"/>
  <c r="AN284" i="21" s="1"/>
  <c r="AA282" i="9"/>
  <c r="AN283" i="21" s="1"/>
  <c r="Z282" i="9"/>
  <c r="AN282" i="21" s="1"/>
  <c r="Y282" i="9"/>
  <c r="AN281" i="21" s="1"/>
  <c r="X282" i="9"/>
  <c r="AN280" i="21" s="1"/>
  <c r="W282" i="9"/>
  <c r="AN279" i="21" s="1"/>
  <c r="V282" i="9"/>
  <c r="AN278" i="21" s="1"/>
  <c r="U282" i="9"/>
  <c r="AN277" i="21" s="1"/>
  <c r="T282" i="9"/>
  <c r="AN276" i="21" s="1"/>
  <c r="S282" i="9"/>
  <c r="AN275" i="21" s="1"/>
  <c r="R282" i="9"/>
  <c r="AN274" i="21" s="1"/>
  <c r="Q282" i="9"/>
  <c r="AN273" i="21" s="1"/>
  <c r="P282" i="9"/>
  <c r="AN272" i="21" s="1"/>
  <c r="O282" i="9"/>
  <c r="AN271" i="21" s="1"/>
  <c r="N282" i="9"/>
  <c r="AN270" i="21" s="1"/>
  <c r="M282" i="9"/>
  <c r="AN269" i="21" s="1"/>
  <c r="L282" i="9"/>
  <c r="AN268" i="21" s="1"/>
  <c r="K282" i="9"/>
  <c r="AN267" i="21" s="1"/>
  <c r="J282" i="9"/>
  <c r="AN266" i="21" s="1"/>
  <c r="I282" i="9"/>
  <c r="AN265" i="21" s="1"/>
  <c r="H282" i="9"/>
  <c r="AN264" i="21" s="1"/>
  <c r="G282" i="9"/>
  <c r="AN263" i="21" s="1"/>
  <c r="F282" i="9"/>
  <c r="AN262" i="21" s="1"/>
  <c r="E282" i="9"/>
  <c r="AN261" i="21" s="1"/>
  <c r="D282" i="9"/>
  <c r="AN260" i="21" s="1"/>
  <c r="AY281" i="9"/>
  <c r="AO281" i="9" s="1"/>
  <c r="AM297" i="21" s="1"/>
  <c r="AW281" i="9"/>
  <c r="AM281" i="9" s="1"/>
  <c r="AM295" i="21" s="1"/>
  <c r="AV281" i="9"/>
  <c r="AR281" i="9"/>
  <c r="AS281" i="9" s="1"/>
  <c r="AQ281" i="9"/>
  <c r="AX281" i="9" s="1"/>
  <c r="AN281" i="9" s="1"/>
  <c r="AM296" i="21" s="1"/>
  <c r="AL281" i="9"/>
  <c r="AM294" i="21" s="1"/>
  <c r="AG281" i="9"/>
  <c r="AM289" i="21" s="1"/>
  <c r="AF281" i="9"/>
  <c r="AM288" i="21" s="1"/>
  <c r="AE281" i="9"/>
  <c r="AM287" i="21" s="1"/>
  <c r="AD281" i="9"/>
  <c r="AM286" i="21" s="1"/>
  <c r="AC281" i="9"/>
  <c r="AM285" i="21" s="1"/>
  <c r="AB281" i="9"/>
  <c r="AM284" i="21" s="1"/>
  <c r="AA281" i="9"/>
  <c r="AM283" i="21" s="1"/>
  <c r="Z281" i="9"/>
  <c r="AM282" i="21" s="1"/>
  <c r="Y281" i="9"/>
  <c r="AM281" i="21" s="1"/>
  <c r="X281" i="9"/>
  <c r="AM280" i="21" s="1"/>
  <c r="W281" i="9"/>
  <c r="AM279" i="21" s="1"/>
  <c r="V281" i="9"/>
  <c r="AM278" i="21" s="1"/>
  <c r="U281" i="9"/>
  <c r="AM277" i="21" s="1"/>
  <c r="T281" i="9"/>
  <c r="AM276" i="21" s="1"/>
  <c r="S281" i="9"/>
  <c r="AM275" i="21" s="1"/>
  <c r="R281" i="9"/>
  <c r="AM274" i="21" s="1"/>
  <c r="Q281" i="9"/>
  <c r="AM273" i="21" s="1"/>
  <c r="P281" i="9"/>
  <c r="AM272" i="21" s="1"/>
  <c r="O281" i="9"/>
  <c r="AM271" i="21" s="1"/>
  <c r="N281" i="9"/>
  <c r="AM270" i="21" s="1"/>
  <c r="M281" i="9"/>
  <c r="AM269" i="21" s="1"/>
  <c r="L281" i="9"/>
  <c r="AM268" i="21" s="1"/>
  <c r="K281" i="9"/>
  <c r="AM267" i="21" s="1"/>
  <c r="J281" i="9"/>
  <c r="AM266" i="21" s="1"/>
  <c r="I281" i="9"/>
  <c r="AM265" i="21" s="1"/>
  <c r="H281" i="9"/>
  <c r="AM264" i="21" s="1"/>
  <c r="G281" i="9"/>
  <c r="AM263" i="21" s="1"/>
  <c r="F281" i="9"/>
  <c r="AM262" i="21" s="1"/>
  <c r="E281" i="9"/>
  <c r="AM261" i="21" s="1"/>
  <c r="D281" i="9"/>
  <c r="AM260" i="21" s="1"/>
  <c r="AX280" i="9"/>
  <c r="AN280" i="9" s="1"/>
  <c r="AL296" i="21" s="1"/>
  <c r="AW280" i="9"/>
  <c r="AR280" i="9"/>
  <c r="AS280" i="9" s="1"/>
  <c r="AQ280" i="9"/>
  <c r="AY280" i="9" s="1"/>
  <c r="AO280" i="9" s="1"/>
  <c r="AL297" i="21" s="1"/>
  <c r="AM280" i="9"/>
  <c r="AL295" i="21" s="1"/>
  <c r="AG280" i="9"/>
  <c r="AL289" i="21" s="1"/>
  <c r="AF280" i="9"/>
  <c r="AL288" i="21" s="1"/>
  <c r="AE280" i="9"/>
  <c r="AL287" i="21" s="1"/>
  <c r="AD280" i="9"/>
  <c r="AL286" i="21" s="1"/>
  <c r="AC280" i="9"/>
  <c r="AL285" i="21" s="1"/>
  <c r="AB280" i="9"/>
  <c r="AL284" i="21" s="1"/>
  <c r="AA280" i="9"/>
  <c r="AL283" i="21" s="1"/>
  <c r="Z280" i="9"/>
  <c r="AL282" i="21" s="1"/>
  <c r="Y280" i="9"/>
  <c r="AL281" i="21" s="1"/>
  <c r="X280" i="9"/>
  <c r="AL280" i="21" s="1"/>
  <c r="W280" i="9"/>
  <c r="AL279" i="21" s="1"/>
  <c r="V280" i="9"/>
  <c r="AL278" i="21" s="1"/>
  <c r="U280" i="9"/>
  <c r="AL277" i="21" s="1"/>
  <c r="T280" i="9"/>
  <c r="AL276" i="21" s="1"/>
  <c r="S280" i="9"/>
  <c r="AL275" i="21" s="1"/>
  <c r="R280" i="9"/>
  <c r="AL274" i="21" s="1"/>
  <c r="Q280" i="9"/>
  <c r="AL273" i="21" s="1"/>
  <c r="P280" i="9"/>
  <c r="AL272" i="21" s="1"/>
  <c r="O280" i="9"/>
  <c r="AL271" i="21" s="1"/>
  <c r="N280" i="9"/>
  <c r="AL270" i="21" s="1"/>
  <c r="M280" i="9"/>
  <c r="AL269" i="21" s="1"/>
  <c r="L280" i="9"/>
  <c r="AL268" i="21" s="1"/>
  <c r="K280" i="9"/>
  <c r="AL267" i="21" s="1"/>
  <c r="J280" i="9"/>
  <c r="AL266" i="21" s="1"/>
  <c r="I280" i="9"/>
  <c r="AL265" i="21" s="1"/>
  <c r="H280" i="9"/>
  <c r="AL264" i="21" s="1"/>
  <c r="G280" i="9"/>
  <c r="AL263" i="21" s="1"/>
  <c r="F280" i="9"/>
  <c r="AL262" i="21" s="1"/>
  <c r="E280" i="9"/>
  <c r="AL261" i="21" s="1"/>
  <c r="D280" i="9"/>
  <c r="AL260" i="21" s="1"/>
  <c r="AY279" i="9"/>
  <c r="AO279" i="9" s="1"/>
  <c r="AK297" i="21" s="1"/>
  <c r="AX279" i="9"/>
  <c r="AN279" i="9" s="1"/>
  <c r="AK296" i="21" s="1"/>
  <c r="AW279" i="9"/>
  <c r="AM279" i="9" s="1"/>
  <c r="AK295" i="21" s="1"/>
  <c r="AV279" i="9"/>
  <c r="AL279" i="9" s="1"/>
  <c r="AK294" i="21" s="1"/>
  <c r="AU279" i="9"/>
  <c r="AK279" i="9" s="1"/>
  <c r="AK293" i="21" s="1"/>
  <c r="AS279" i="9"/>
  <c r="AR279" i="9"/>
  <c r="AQ279" i="9"/>
  <c r="AT279" i="9" s="1"/>
  <c r="AH279" i="9" s="1"/>
  <c r="AK290" i="21" s="1"/>
  <c r="AG279" i="9"/>
  <c r="AK289" i="21" s="1"/>
  <c r="AF279" i="9"/>
  <c r="AK288" i="21" s="1"/>
  <c r="AE279" i="9"/>
  <c r="AK287" i="21" s="1"/>
  <c r="AD279" i="9"/>
  <c r="AK286" i="21" s="1"/>
  <c r="AC279" i="9"/>
  <c r="AK285" i="21" s="1"/>
  <c r="AB279" i="9"/>
  <c r="AK284" i="21" s="1"/>
  <c r="AA279" i="9"/>
  <c r="AK283" i="21" s="1"/>
  <c r="Z279" i="9"/>
  <c r="AK282" i="21" s="1"/>
  <c r="Y279" i="9"/>
  <c r="AK281" i="21" s="1"/>
  <c r="X279" i="9"/>
  <c r="AK280" i="21" s="1"/>
  <c r="W279" i="9"/>
  <c r="AK279" i="21" s="1"/>
  <c r="V279" i="9"/>
  <c r="AK278" i="21" s="1"/>
  <c r="U279" i="9"/>
  <c r="AK277" i="21" s="1"/>
  <c r="T279" i="9"/>
  <c r="AK276" i="21" s="1"/>
  <c r="S279" i="9"/>
  <c r="AK275" i="21" s="1"/>
  <c r="R279" i="9"/>
  <c r="AK274" i="21" s="1"/>
  <c r="Q279" i="9"/>
  <c r="AK273" i="21" s="1"/>
  <c r="P279" i="9"/>
  <c r="AK272" i="21" s="1"/>
  <c r="O279" i="9"/>
  <c r="AK271" i="21" s="1"/>
  <c r="N279" i="9"/>
  <c r="AK270" i="21" s="1"/>
  <c r="M279" i="9"/>
  <c r="AK269" i="21" s="1"/>
  <c r="L279" i="9"/>
  <c r="AK268" i="21" s="1"/>
  <c r="K279" i="9"/>
  <c r="AK267" i="21" s="1"/>
  <c r="J279" i="9"/>
  <c r="AK266" i="21" s="1"/>
  <c r="I279" i="9"/>
  <c r="AK265" i="21" s="1"/>
  <c r="H279" i="9"/>
  <c r="AK264" i="21" s="1"/>
  <c r="G279" i="9"/>
  <c r="AK263" i="21" s="1"/>
  <c r="F279" i="9"/>
  <c r="AK262" i="21" s="1"/>
  <c r="E279" i="9"/>
  <c r="AK261" i="21" s="1"/>
  <c r="D279" i="9"/>
  <c r="AK260" i="21" s="1"/>
  <c r="AX278" i="9"/>
  <c r="AW278" i="9"/>
  <c r="AM278" i="9" s="1"/>
  <c r="AJ295" i="21" s="1"/>
  <c r="AT278" i="9"/>
  <c r="AJ278" i="9" s="1"/>
  <c r="AJ292" i="21" s="1"/>
  <c r="AQ278" i="9"/>
  <c r="AY278" i="9" s="1"/>
  <c r="AO278" i="9" s="1"/>
  <c r="AJ297" i="21" s="1"/>
  <c r="AN278" i="9"/>
  <c r="AJ296" i="21" s="1"/>
  <c r="AI278" i="9"/>
  <c r="AJ291" i="21" s="1"/>
  <c r="AH278" i="9"/>
  <c r="AJ290" i="21" s="1"/>
  <c r="AG278" i="9"/>
  <c r="AJ289" i="21" s="1"/>
  <c r="AF278" i="9"/>
  <c r="AJ288" i="21" s="1"/>
  <c r="AE278" i="9"/>
  <c r="AJ287" i="21" s="1"/>
  <c r="AD278" i="9"/>
  <c r="AJ286" i="21" s="1"/>
  <c r="AC278" i="9"/>
  <c r="AJ285" i="21" s="1"/>
  <c r="AB278" i="9"/>
  <c r="AJ284" i="21" s="1"/>
  <c r="AA278" i="9"/>
  <c r="AJ283" i="21" s="1"/>
  <c r="Z278" i="9"/>
  <c r="AJ282" i="21" s="1"/>
  <c r="Y278" i="9"/>
  <c r="AJ281" i="21" s="1"/>
  <c r="X278" i="9"/>
  <c r="AJ280" i="21" s="1"/>
  <c r="W278" i="9"/>
  <c r="AJ279" i="21" s="1"/>
  <c r="V278" i="9"/>
  <c r="AJ278" i="21" s="1"/>
  <c r="U278" i="9"/>
  <c r="AJ277" i="21" s="1"/>
  <c r="T278" i="9"/>
  <c r="AJ276" i="21" s="1"/>
  <c r="S278" i="9"/>
  <c r="AJ275" i="21" s="1"/>
  <c r="R278" i="9"/>
  <c r="AJ274" i="21" s="1"/>
  <c r="Q278" i="9"/>
  <c r="AJ273" i="21" s="1"/>
  <c r="P278" i="9"/>
  <c r="AJ272" i="21" s="1"/>
  <c r="O278" i="9"/>
  <c r="AJ271" i="21" s="1"/>
  <c r="N278" i="9"/>
  <c r="AJ270" i="21" s="1"/>
  <c r="M278" i="9"/>
  <c r="AJ269" i="21" s="1"/>
  <c r="L278" i="9"/>
  <c r="AJ268" i="21" s="1"/>
  <c r="K278" i="9"/>
  <c r="AJ267" i="21" s="1"/>
  <c r="J278" i="9"/>
  <c r="AJ266" i="21" s="1"/>
  <c r="I278" i="9"/>
  <c r="AJ265" i="21" s="1"/>
  <c r="H278" i="9"/>
  <c r="AJ264" i="21" s="1"/>
  <c r="G278" i="9"/>
  <c r="AJ263" i="21" s="1"/>
  <c r="F278" i="9"/>
  <c r="AJ262" i="21" s="1"/>
  <c r="E278" i="9"/>
  <c r="AJ261" i="21" s="1"/>
  <c r="D278" i="9"/>
  <c r="AJ260" i="21" s="1"/>
  <c r="AY277" i="9"/>
  <c r="AO277" i="9" s="1"/>
  <c r="AI297" i="21" s="1"/>
  <c r="AX277" i="9"/>
  <c r="AN277" i="9" s="1"/>
  <c r="AI296" i="21" s="1"/>
  <c r="AT277" i="9"/>
  <c r="AQ277" i="9"/>
  <c r="AW277" i="9" s="1"/>
  <c r="AM277" i="9"/>
  <c r="AI295" i="21" s="1"/>
  <c r="AI277" i="9"/>
  <c r="AI291" i="21" s="1"/>
  <c r="AG277" i="9"/>
  <c r="AI289" i="21" s="1"/>
  <c r="AF277" i="9"/>
  <c r="AI288" i="21" s="1"/>
  <c r="AE277" i="9"/>
  <c r="AI287" i="21" s="1"/>
  <c r="AD277" i="9"/>
  <c r="AI286" i="21" s="1"/>
  <c r="AC277" i="9"/>
  <c r="AI285" i="21" s="1"/>
  <c r="AB277" i="9"/>
  <c r="AI284" i="21" s="1"/>
  <c r="AA277" i="9"/>
  <c r="AI283" i="21" s="1"/>
  <c r="Z277" i="9"/>
  <c r="AI282" i="21" s="1"/>
  <c r="Y277" i="9"/>
  <c r="AI281" i="21" s="1"/>
  <c r="X277" i="9"/>
  <c r="AI280" i="21" s="1"/>
  <c r="W277" i="9"/>
  <c r="AI279" i="21" s="1"/>
  <c r="V277" i="9"/>
  <c r="AI278" i="21" s="1"/>
  <c r="U277" i="9"/>
  <c r="AI277" i="21" s="1"/>
  <c r="T277" i="9"/>
  <c r="AI276" i="21" s="1"/>
  <c r="S277" i="9"/>
  <c r="AI275" i="21" s="1"/>
  <c r="R277" i="9"/>
  <c r="AI274" i="21" s="1"/>
  <c r="Q277" i="9"/>
  <c r="AI273" i="21" s="1"/>
  <c r="P277" i="9"/>
  <c r="AI272" i="21" s="1"/>
  <c r="O277" i="9"/>
  <c r="AI271" i="21" s="1"/>
  <c r="N277" i="9"/>
  <c r="AI270" i="21" s="1"/>
  <c r="M277" i="9"/>
  <c r="AI269" i="21" s="1"/>
  <c r="L277" i="9"/>
  <c r="AI268" i="21" s="1"/>
  <c r="K277" i="9"/>
  <c r="AI267" i="21" s="1"/>
  <c r="J277" i="9"/>
  <c r="AI266" i="21" s="1"/>
  <c r="I277" i="9"/>
  <c r="AI265" i="21" s="1"/>
  <c r="H277" i="9"/>
  <c r="AI264" i="21" s="1"/>
  <c r="G277" i="9"/>
  <c r="AI263" i="21" s="1"/>
  <c r="F277" i="9"/>
  <c r="AI262" i="21" s="1"/>
  <c r="E277" i="9"/>
  <c r="AI261" i="21" s="1"/>
  <c r="D277" i="9"/>
  <c r="AI260" i="21" s="1"/>
  <c r="AY276" i="9"/>
  <c r="AO276" i="9" s="1"/>
  <c r="AH297" i="21" s="1"/>
  <c r="AX276" i="9"/>
  <c r="AW276" i="9"/>
  <c r="AM276" i="9" s="1"/>
  <c r="AH295" i="21" s="1"/>
  <c r="AV276" i="9"/>
  <c r="AL276" i="9" s="1"/>
  <c r="AH294" i="21" s="1"/>
  <c r="AT276" i="9"/>
  <c r="AH276" i="9" s="1"/>
  <c r="AH290" i="21" s="1"/>
  <c r="AS276" i="9"/>
  <c r="AR276" i="9"/>
  <c r="AQ276" i="9"/>
  <c r="AU276" i="9" s="1"/>
  <c r="AK276" i="9" s="1"/>
  <c r="AH293" i="21" s="1"/>
  <c r="AN276" i="9"/>
  <c r="AH296" i="21" s="1"/>
  <c r="AJ276" i="9"/>
  <c r="AH292" i="21" s="1"/>
  <c r="AI276" i="9"/>
  <c r="AH291" i="21" s="1"/>
  <c r="AG276" i="9"/>
  <c r="AH289" i="21" s="1"/>
  <c r="AF276" i="9"/>
  <c r="AH288" i="21" s="1"/>
  <c r="AE276" i="9"/>
  <c r="AH287" i="21" s="1"/>
  <c r="AD276" i="9"/>
  <c r="AH286" i="21" s="1"/>
  <c r="AC276" i="9"/>
  <c r="AH285" i="21" s="1"/>
  <c r="AB276" i="9"/>
  <c r="AH284" i="21" s="1"/>
  <c r="AA276" i="9"/>
  <c r="AH283" i="21" s="1"/>
  <c r="Z276" i="9"/>
  <c r="AH282" i="21" s="1"/>
  <c r="Y276" i="9"/>
  <c r="AH281" i="21" s="1"/>
  <c r="X276" i="9"/>
  <c r="AH280" i="21" s="1"/>
  <c r="W276" i="9"/>
  <c r="AH279" i="21" s="1"/>
  <c r="V276" i="9"/>
  <c r="AH278" i="21" s="1"/>
  <c r="U276" i="9"/>
  <c r="AH277" i="21" s="1"/>
  <c r="T276" i="9"/>
  <c r="AH276" i="21" s="1"/>
  <c r="S276" i="9"/>
  <c r="AH275" i="21" s="1"/>
  <c r="R276" i="9"/>
  <c r="AH274" i="21" s="1"/>
  <c r="Q276" i="9"/>
  <c r="AH273" i="21" s="1"/>
  <c r="P276" i="9"/>
  <c r="AH272" i="21" s="1"/>
  <c r="O276" i="9"/>
  <c r="AH271" i="21" s="1"/>
  <c r="N276" i="9"/>
  <c r="AH270" i="21" s="1"/>
  <c r="M276" i="9"/>
  <c r="AH269" i="21" s="1"/>
  <c r="L276" i="9"/>
  <c r="AH268" i="21" s="1"/>
  <c r="K276" i="9"/>
  <c r="AH267" i="21" s="1"/>
  <c r="J276" i="9"/>
  <c r="AH266" i="21" s="1"/>
  <c r="I276" i="9"/>
  <c r="AH265" i="21" s="1"/>
  <c r="H276" i="9"/>
  <c r="AH264" i="21" s="1"/>
  <c r="G276" i="9"/>
  <c r="AH263" i="21" s="1"/>
  <c r="F276" i="9"/>
  <c r="AH262" i="21" s="1"/>
  <c r="E276" i="9"/>
  <c r="AH261" i="21" s="1"/>
  <c r="D276" i="9"/>
  <c r="AH260" i="21" s="1"/>
  <c r="AY275" i="9"/>
  <c r="AX275" i="9"/>
  <c r="AU275" i="9"/>
  <c r="AK275" i="9" s="1"/>
  <c r="AG293" i="21" s="1"/>
  <c r="AT275" i="9"/>
  <c r="AH275" i="9" s="1"/>
  <c r="AG290" i="21" s="1"/>
  <c r="AQ275" i="9"/>
  <c r="AW275" i="9" s="1"/>
  <c r="AM275" i="9" s="1"/>
  <c r="AG295" i="21" s="1"/>
  <c r="AO275" i="9"/>
  <c r="AG297" i="21" s="1"/>
  <c r="AN275" i="9"/>
  <c r="AG296" i="21" s="1"/>
  <c r="AJ275" i="9"/>
  <c r="AG292" i="21" s="1"/>
  <c r="AI275" i="9"/>
  <c r="AG291" i="21" s="1"/>
  <c r="AG275" i="9"/>
  <c r="AG289" i="21" s="1"/>
  <c r="AF275" i="9"/>
  <c r="AG288" i="21" s="1"/>
  <c r="AE275" i="9"/>
  <c r="AG287" i="21" s="1"/>
  <c r="AD275" i="9"/>
  <c r="AG286" i="21" s="1"/>
  <c r="AC275" i="9"/>
  <c r="AG285" i="21" s="1"/>
  <c r="AB275" i="9"/>
  <c r="AG284" i="21" s="1"/>
  <c r="AA275" i="9"/>
  <c r="AG283" i="21" s="1"/>
  <c r="Z275" i="9"/>
  <c r="AG282" i="21" s="1"/>
  <c r="Y275" i="9"/>
  <c r="AG281" i="21" s="1"/>
  <c r="X275" i="9"/>
  <c r="AG280" i="21" s="1"/>
  <c r="W275" i="9"/>
  <c r="AG279" i="21" s="1"/>
  <c r="V275" i="9"/>
  <c r="AG278" i="21" s="1"/>
  <c r="U275" i="9"/>
  <c r="AG277" i="21" s="1"/>
  <c r="T275" i="9"/>
  <c r="AG276" i="21" s="1"/>
  <c r="S275" i="9"/>
  <c r="AG275" i="21" s="1"/>
  <c r="R275" i="9"/>
  <c r="AG274" i="21" s="1"/>
  <c r="Q275" i="9"/>
  <c r="AG273" i="21" s="1"/>
  <c r="P275" i="9"/>
  <c r="AG272" i="21" s="1"/>
  <c r="O275" i="9"/>
  <c r="AG271" i="21" s="1"/>
  <c r="N275" i="9"/>
  <c r="AG270" i="21" s="1"/>
  <c r="M275" i="9"/>
  <c r="AG269" i="21" s="1"/>
  <c r="L275" i="9"/>
  <c r="AG268" i="21" s="1"/>
  <c r="K275" i="9"/>
  <c r="AG267" i="21" s="1"/>
  <c r="J275" i="9"/>
  <c r="AG266" i="21" s="1"/>
  <c r="I275" i="9"/>
  <c r="AG265" i="21" s="1"/>
  <c r="H275" i="9"/>
  <c r="AG264" i="21" s="1"/>
  <c r="G275" i="9"/>
  <c r="AG263" i="21" s="1"/>
  <c r="F275" i="9"/>
  <c r="AG262" i="21" s="1"/>
  <c r="E275" i="9"/>
  <c r="AG261" i="21" s="1"/>
  <c r="D275" i="9"/>
  <c r="AG260" i="21" s="1"/>
  <c r="AY274" i="9"/>
  <c r="AO274" i="9" s="1"/>
  <c r="AF297" i="21" s="1"/>
  <c r="AX274" i="9"/>
  <c r="AW274" i="9"/>
  <c r="AM274" i="9" s="1"/>
  <c r="AF295" i="21" s="1"/>
  <c r="AV274" i="9"/>
  <c r="AL274" i="9" s="1"/>
  <c r="AF294" i="21" s="1"/>
  <c r="AU274" i="9"/>
  <c r="AK274" i="9" s="1"/>
  <c r="AF293" i="21" s="1"/>
  <c r="AT274" i="9"/>
  <c r="AR274" i="9"/>
  <c r="AS274" i="9" s="1"/>
  <c r="AQ274" i="9"/>
  <c r="AN274" i="9"/>
  <c r="AF296" i="21" s="1"/>
  <c r="AJ274" i="9"/>
  <c r="AF292" i="21" s="1"/>
  <c r="AG274" i="9"/>
  <c r="AF289" i="21" s="1"/>
  <c r="AF274" i="9"/>
  <c r="AF288" i="21" s="1"/>
  <c r="AE274" i="9"/>
  <c r="AF287" i="21" s="1"/>
  <c r="AD274" i="9"/>
  <c r="AF286" i="21" s="1"/>
  <c r="AC274" i="9"/>
  <c r="AF285" i="21" s="1"/>
  <c r="AB274" i="9"/>
  <c r="AF284" i="21" s="1"/>
  <c r="AA274" i="9"/>
  <c r="AF283" i="21" s="1"/>
  <c r="Z274" i="9"/>
  <c r="AF282" i="21" s="1"/>
  <c r="Y274" i="9"/>
  <c r="AF281" i="21" s="1"/>
  <c r="X274" i="9"/>
  <c r="AF280" i="21" s="1"/>
  <c r="W274" i="9"/>
  <c r="AF279" i="21" s="1"/>
  <c r="V274" i="9"/>
  <c r="AF278" i="21" s="1"/>
  <c r="U274" i="9"/>
  <c r="AF277" i="21" s="1"/>
  <c r="T274" i="9"/>
  <c r="AF276" i="21" s="1"/>
  <c r="S274" i="9"/>
  <c r="AF275" i="21" s="1"/>
  <c r="R274" i="9"/>
  <c r="AF274" i="21" s="1"/>
  <c r="Q274" i="9"/>
  <c r="AF273" i="21" s="1"/>
  <c r="P274" i="9"/>
  <c r="AF272" i="21" s="1"/>
  <c r="O274" i="9"/>
  <c r="AF271" i="21" s="1"/>
  <c r="N274" i="9"/>
  <c r="AF270" i="21" s="1"/>
  <c r="M274" i="9"/>
  <c r="AF269" i="21" s="1"/>
  <c r="L274" i="9"/>
  <c r="AF268" i="21" s="1"/>
  <c r="K274" i="9"/>
  <c r="AF267" i="21" s="1"/>
  <c r="J274" i="9"/>
  <c r="AF266" i="21" s="1"/>
  <c r="I274" i="9"/>
  <c r="AF265" i="21" s="1"/>
  <c r="H274" i="9"/>
  <c r="AF264" i="21" s="1"/>
  <c r="G274" i="9"/>
  <c r="AF263" i="21" s="1"/>
  <c r="F274" i="9"/>
  <c r="AF262" i="21" s="1"/>
  <c r="E274" i="9"/>
  <c r="AF261" i="21" s="1"/>
  <c r="D274" i="9"/>
  <c r="AF260" i="21" s="1"/>
  <c r="AQ273" i="9"/>
  <c r="AG273" i="9"/>
  <c r="AE289" i="21" s="1"/>
  <c r="AF273" i="9"/>
  <c r="AE288" i="21" s="1"/>
  <c r="AE273" i="9"/>
  <c r="AE287" i="21" s="1"/>
  <c r="AD273" i="9"/>
  <c r="AE286" i="21" s="1"/>
  <c r="AC273" i="9"/>
  <c r="AE285" i="21" s="1"/>
  <c r="AB273" i="9"/>
  <c r="AE284" i="21" s="1"/>
  <c r="AA273" i="9"/>
  <c r="AE283" i="21" s="1"/>
  <c r="Z273" i="9"/>
  <c r="AE282" i="21" s="1"/>
  <c r="Y273" i="9"/>
  <c r="AE281" i="21" s="1"/>
  <c r="X273" i="9"/>
  <c r="AE280" i="21" s="1"/>
  <c r="W273" i="9"/>
  <c r="AE279" i="21" s="1"/>
  <c r="V273" i="9"/>
  <c r="AE278" i="21" s="1"/>
  <c r="U273" i="9"/>
  <c r="AE277" i="21" s="1"/>
  <c r="T273" i="9"/>
  <c r="AE276" i="21" s="1"/>
  <c r="S273" i="9"/>
  <c r="AE275" i="21" s="1"/>
  <c r="R273" i="9"/>
  <c r="AE274" i="21" s="1"/>
  <c r="Q273" i="9"/>
  <c r="AE273" i="21" s="1"/>
  <c r="P273" i="9"/>
  <c r="AE272" i="21" s="1"/>
  <c r="O273" i="9"/>
  <c r="AE271" i="21" s="1"/>
  <c r="N273" i="9"/>
  <c r="AE270" i="21" s="1"/>
  <c r="M273" i="9"/>
  <c r="AE269" i="21" s="1"/>
  <c r="L273" i="9"/>
  <c r="AE268" i="21" s="1"/>
  <c r="K273" i="9"/>
  <c r="AE267" i="21" s="1"/>
  <c r="J273" i="9"/>
  <c r="AE266" i="21" s="1"/>
  <c r="I273" i="9"/>
  <c r="AE265" i="21" s="1"/>
  <c r="H273" i="9"/>
  <c r="AE264" i="21" s="1"/>
  <c r="G273" i="9"/>
  <c r="AE263" i="21" s="1"/>
  <c r="F273" i="9"/>
  <c r="AE262" i="21" s="1"/>
  <c r="E273" i="9"/>
  <c r="AE261" i="21" s="1"/>
  <c r="D273" i="9"/>
  <c r="AE260" i="21" s="1"/>
  <c r="AV272" i="9"/>
  <c r="AL272" i="9" s="1"/>
  <c r="AD294" i="21" s="1"/>
  <c r="AQ272" i="9"/>
  <c r="AG272" i="9"/>
  <c r="AD289" i="21" s="1"/>
  <c r="AF272" i="9"/>
  <c r="AD288" i="21" s="1"/>
  <c r="AE272" i="9"/>
  <c r="AD287" i="21" s="1"/>
  <c r="AD272" i="9"/>
  <c r="AD286" i="21" s="1"/>
  <c r="AC272" i="9"/>
  <c r="AD285" i="21" s="1"/>
  <c r="AB272" i="9"/>
  <c r="AD284" i="21" s="1"/>
  <c r="AA272" i="9"/>
  <c r="AD283" i="21" s="1"/>
  <c r="Z272" i="9"/>
  <c r="AD282" i="21" s="1"/>
  <c r="Y272" i="9"/>
  <c r="AD281" i="21" s="1"/>
  <c r="X272" i="9"/>
  <c r="AD280" i="21" s="1"/>
  <c r="W272" i="9"/>
  <c r="AD279" i="21" s="1"/>
  <c r="V272" i="9"/>
  <c r="AD278" i="21" s="1"/>
  <c r="U272" i="9"/>
  <c r="AD277" i="21" s="1"/>
  <c r="T272" i="9"/>
  <c r="AD276" i="21" s="1"/>
  <c r="S272" i="9"/>
  <c r="AD275" i="21" s="1"/>
  <c r="R272" i="9"/>
  <c r="AD274" i="21" s="1"/>
  <c r="Q272" i="9"/>
  <c r="AD273" i="21" s="1"/>
  <c r="P272" i="9"/>
  <c r="AD272" i="21" s="1"/>
  <c r="O272" i="9"/>
  <c r="AD271" i="21" s="1"/>
  <c r="N272" i="9"/>
  <c r="AD270" i="21" s="1"/>
  <c r="M272" i="9"/>
  <c r="AD269" i="21" s="1"/>
  <c r="L272" i="9"/>
  <c r="AD268" i="21" s="1"/>
  <c r="K272" i="9"/>
  <c r="AD267" i="21" s="1"/>
  <c r="J272" i="9"/>
  <c r="AD266" i="21" s="1"/>
  <c r="I272" i="9"/>
  <c r="AD265" i="21" s="1"/>
  <c r="H272" i="9"/>
  <c r="AD264" i="21" s="1"/>
  <c r="G272" i="9"/>
  <c r="AD263" i="21" s="1"/>
  <c r="F272" i="9"/>
  <c r="AD262" i="21" s="1"/>
  <c r="E272" i="9"/>
  <c r="AD261" i="21" s="1"/>
  <c r="D272" i="9"/>
  <c r="AD260" i="21" s="1"/>
  <c r="AU271" i="9"/>
  <c r="AK271" i="9" s="1"/>
  <c r="AC293" i="21" s="1"/>
  <c r="AQ271" i="9"/>
  <c r="AV271" i="9" s="1"/>
  <c r="AL271" i="9" s="1"/>
  <c r="AC294" i="21" s="1"/>
  <c r="AG271" i="9"/>
  <c r="AC289" i="21" s="1"/>
  <c r="AF271" i="9"/>
  <c r="AC288" i="21" s="1"/>
  <c r="AE271" i="9"/>
  <c r="AC287" i="21" s="1"/>
  <c r="AD271" i="9"/>
  <c r="AC286" i="21" s="1"/>
  <c r="AC271" i="9"/>
  <c r="AC285" i="21" s="1"/>
  <c r="AB271" i="9"/>
  <c r="AC284" i="21" s="1"/>
  <c r="AA271" i="9"/>
  <c r="AC283" i="21" s="1"/>
  <c r="Z271" i="9"/>
  <c r="AC282" i="21" s="1"/>
  <c r="Y271" i="9"/>
  <c r="AC281" i="21" s="1"/>
  <c r="X271" i="9"/>
  <c r="AC280" i="21" s="1"/>
  <c r="W271" i="9"/>
  <c r="AC279" i="21" s="1"/>
  <c r="V271" i="9"/>
  <c r="AC278" i="21" s="1"/>
  <c r="U271" i="9"/>
  <c r="AC277" i="21" s="1"/>
  <c r="T271" i="9"/>
  <c r="AC276" i="21" s="1"/>
  <c r="S271" i="9"/>
  <c r="AC275" i="21" s="1"/>
  <c r="R271" i="9"/>
  <c r="AC274" i="21" s="1"/>
  <c r="Q271" i="9"/>
  <c r="AC273" i="21" s="1"/>
  <c r="P271" i="9"/>
  <c r="AC272" i="21" s="1"/>
  <c r="O271" i="9"/>
  <c r="AC271" i="21" s="1"/>
  <c r="N271" i="9"/>
  <c r="AC270" i="21" s="1"/>
  <c r="M271" i="9"/>
  <c r="AC269" i="21" s="1"/>
  <c r="L271" i="9"/>
  <c r="AC268" i="21" s="1"/>
  <c r="K271" i="9"/>
  <c r="AC267" i="21" s="1"/>
  <c r="J271" i="9"/>
  <c r="AC266" i="21" s="1"/>
  <c r="I271" i="9"/>
  <c r="AC265" i="21" s="1"/>
  <c r="H271" i="9"/>
  <c r="AC264" i="21" s="1"/>
  <c r="G271" i="9"/>
  <c r="AC263" i="21" s="1"/>
  <c r="F271" i="9"/>
  <c r="AC262" i="21" s="1"/>
  <c r="E271" i="9"/>
  <c r="AC261" i="21" s="1"/>
  <c r="D271" i="9"/>
  <c r="AC260" i="21" s="1"/>
  <c r="AQ270" i="9"/>
  <c r="AG270" i="9"/>
  <c r="AB289" i="21" s="1"/>
  <c r="AF270" i="9"/>
  <c r="AB288" i="21" s="1"/>
  <c r="AE270" i="9"/>
  <c r="AB287" i="21" s="1"/>
  <c r="AD270" i="9"/>
  <c r="AB286" i="21" s="1"/>
  <c r="AC270" i="9"/>
  <c r="AB285" i="21" s="1"/>
  <c r="AB270" i="9"/>
  <c r="AB284" i="21" s="1"/>
  <c r="AA270" i="9"/>
  <c r="AB283" i="21" s="1"/>
  <c r="Z270" i="9"/>
  <c r="AB282" i="21" s="1"/>
  <c r="Y270" i="9"/>
  <c r="AB281" i="21" s="1"/>
  <c r="X270" i="9"/>
  <c r="AB280" i="21" s="1"/>
  <c r="W270" i="9"/>
  <c r="AB279" i="21" s="1"/>
  <c r="V270" i="9"/>
  <c r="AB278" i="21" s="1"/>
  <c r="U270" i="9"/>
  <c r="AB277" i="21" s="1"/>
  <c r="T270" i="9"/>
  <c r="AB276" i="21" s="1"/>
  <c r="S270" i="9"/>
  <c r="AB275" i="21" s="1"/>
  <c r="R270" i="9"/>
  <c r="AB274" i="21" s="1"/>
  <c r="Q270" i="9"/>
  <c r="AB273" i="21" s="1"/>
  <c r="P270" i="9"/>
  <c r="AB272" i="21" s="1"/>
  <c r="O270" i="9"/>
  <c r="AB271" i="21" s="1"/>
  <c r="N270" i="9"/>
  <c r="AB270" i="21" s="1"/>
  <c r="M270" i="9"/>
  <c r="AB269" i="21" s="1"/>
  <c r="L270" i="9"/>
  <c r="AB268" i="21" s="1"/>
  <c r="K270" i="9"/>
  <c r="AB267" i="21" s="1"/>
  <c r="J270" i="9"/>
  <c r="AB266" i="21" s="1"/>
  <c r="I270" i="9"/>
  <c r="AB265" i="21" s="1"/>
  <c r="H270" i="9"/>
  <c r="AB264" i="21" s="1"/>
  <c r="G270" i="9"/>
  <c r="AB263" i="21" s="1"/>
  <c r="F270" i="9"/>
  <c r="AB262" i="21" s="1"/>
  <c r="E270" i="9"/>
  <c r="AB261" i="21" s="1"/>
  <c r="D270" i="9"/>
  <c r="AB260" i="21" s="1"/>
  <c r="AR269" i="9"/>
  <c r="AS269" i="9" s="1"/>
  <c r="AQ269" i="9"/>
  <c r="AG269" i="9"/>
  <c r="AA289" i="21" s="1"/>
  <c r="AF269" i="9"/>
  <c r="AA288" i="21" s="1"/>
  <c r="AE269" i="9"/>
  <c r="AA287" i="21" s="1"/>
  <c r="AD269" i="9"/>
  <c r="AA286" i="21" s="1"/>
  <c r="AC269" i="9"/>
  <c r="AA285" i="21" s="1"/>
  <c r="AB269" i="9"/>
  <c r="AA284" i="21" s="1"/>
  <c r="AA269" i="9"/>
  <c r="AA283" i="21" s="1"/>
  <c r="Z269" i="9"/>
  <c r="AA282" i="21" s="1"/>
  <c r="Y269" i="9"/>
  <c r="AA281" i="21" s="1"/>
  <c r="X269" i="9"/>
  <c r="AA280" i="21" s="1"/>
  <c r="W269" i="9"/>
  <c r="AA279" i="21" s="1"/>
  <c r="V269" i="9"/>
  <c r="AA278" i="21" s="1"/>
  <c r="U269" i="9"/>
  <c r="AA277" i="21" s="1"/>
  <c r="T269" i="9"/>
  <c r="AA276" i="21" s="1"/>
  <c r="S269" i="9"/>
  <c r="AA275" i="21" s="1"/>
  <c r="R269" i="9"/>
  <c r="AA274" i="21" s="1"/>
  <c r="Q269" i="9"/>
  <c r="AA273" i="21" s="1"/>
  <c r="P269" i="9"/>
  <c r="AA272" i="21" s="1"/>
  <c r="O269" i="9"/>
  <c r="AA271" i="21" s="1"/>
  <c r="N269" i="9"/>
  <c r="AA270" i="21" s="1"/>
  <c r="M269" i="9"/>
  <c r="AA269" i="21" s="1"/>
  <c r="L269" i="9"/>
  <c r="AA268" i="21" s="1"/>
  <c r="K269" i="9"/>
  <c r="AA267" i="21" s="1"/>
  <c r="J269" i="9"/>
  <c r="AA266" i="21" s="1"/>
  <c r="I269" i="9"/>
  <c r="AA265" i="21" s="1"/>
  <c r="H269" i="9"/>
  <c r="AA264" i="21" s="1"/>
  <c r="G269" i="9"/>
  <c r="AA263" i="21" s="1"/>
  <c r="F269" i="9"/>
  <c r="AA262" i="21" s="1"/>
  <c r="E269" i="9"/>
  <c r="AA261" i="21" s="1"/>
  <c r="D269" i="9"/>
  <c r="AA260" i="21" s="1"/>
  <c r="AW268" i="9"/>
  <c r="AM268" i="9" s="1"/>
  <c r="Z295" i="21" s="1"/>
  <c r="AV268" i="9"/>
  <c r="AL268" i="9" s="1"/>
  <c r="Z294" i="21" s="1"/>
  <c r="AR268" i="9"/>
  <c r="AS268" i="9" s="1"/>
  <c r="AQ268" i="9"/>
  <c r="AG268" i="9"/>
  <c r="Z289" i="21" s="1"/>
  <c r="AF268" i="9"/>
  <c r="Z288" i="21" s="1"/>
  <c r="AE268" i="9"/>
  <c r="Z287" i="21" s="1"/>
  <c r="AD268" i="9"/>
  <c r="Z286" i="21" s="1"/>
  <c r="AC268" i="9"/>
  <c r="Z285" i="21" s="1"/>
  <c r="AB268" i="9"/>
  <c r="Z284" i="21" s="1"/>
  <c r="AA268" i="9"/>
  <c r="Z283" i="21" s="1"/>
  <c r="Z268" i="9"/>
  <c r="Z282" i="21" s="1"/>
  <c r="Y268" i="9"/>
  <c r="Z281" i="21" s="1"/>
  <c r="X268" i="9"/>
  <c r="Z280" i="21" s="1"/>
  <c r="W268" i="9"/>
  <c r="Z279" i="21" s="1"/>
  <c r="V268" i="9"/>
  <c r="Z278" i="21" s="1"/>
  <c r="U268" i="9"/>
  <c r="Z277" i="21" s="1"/>
  <c r="T268" i="9"/>
  <c r="Z276" i="21" s="1"/>
  <c r="S268" i="9"/>
  <c r="Z275" i="21" s="1"/>
  <c r="R268" i="9"/>
  <c r="Z274" i="21" s="1"/>
  <c r="Q268" i="9"/>
  <c r="Z273" i="21" s="1"/>
  <c r="P268" i="9"/>
  <c r="Z272" i="21" s="1"/>
  <c r="O268" i="9"/>
  <c r="Z271" i="21" s="1"/>
  <c r="N268" i="9"/>
  <c r="Z270" i="21" s="1"/>
  <c r="M268" i="9"/>
  <c r="Z269" i="21" s="1"/>
  <c r="L268" i="9"/>
  <c r="Z268" i="21" s="1"/>
  <c r="K268" i="9"/>
  <c r="Z267" i="21" s="1"/>
  <c r="J268" i="9"/>
  <c r="Z266" i="21" s="1"/>
  <c r="I268" i="9"/>
  <c r="Z265" i="21" s="1"/>
  <c r="H268" i="9"/>
  <c r="Z264" i="21" s="1"/>
  <c r="G268" i="9"/>
  <c r="Z263" i="21" s="1"/>
  <c r="F268" i="9"/>
  <c r="Z262" i="21" s="1"/>
  <c r="E268" i="9"/>
  <c r="Z261" i="21" s="1"/>
  <c r="D268" i="9"/>
  <c r="Z260" i="21" s="1"/>
  <c r="AY267" i="9"/>
  <c r="AO267" i="9" s="1"/>
  <c r="Y297" i="21" s="1"/>
  <c r="AW267" i="9"/>
  <c r="AV267" i="9"/>
  <c r="AS267" i="9"/>
  <c r="AR267" i="9"/>
  <c r="AQ267" i="9"/>
  <c r="AX267" i="9" s="1"/>
  <c r="AN267" i="9" s="1"/>
  <c r="Y296" i="21" s="1"/>
  <c r="AM267" i="9"/>
  <c r="Y295" i="21" s="1"/>
  <c r="AL267" i="9"/>
  <c r="Y294" i="21" s="1"/>
  <c r="AG267" i="9"/>
  <c r="Y289" i="21" s="1"/>
  <c r="AF267" i="9"/>
  <c r="Y288" i="21" s="1"/>
  <c r="AE267" i="9"/>
  <c r="Y287" i="21" s="1"/>
  <c r="AD267" i="9"/>
  <c r="Y286" i="21" s="1"/>
  <c r="AC267" i="9"/>
  <c r="Y285" i="21" s="1"/>
  <c r="AB267" i="9"/>
  <c r="Y284" i="21" s="1"/>
  <c r="AA267" i="9"/>
  <c r="Y283" i="21" s="1"/>
  <c r="Z267" i="9"/>
  <c r="Y282" i="21" s="1"/>
  <c r="Y267" i="9"/>
  <c r="Y281" i="21" s="1"/>
  <c r="X267" i="9"/>
  <c r="Y280" i="21" s="1"/>
  <c r="W267" i="9"/>
  <c r="Y279" i="21" s="1"/>
  <c r="V267" i="9"/>
  <c r="Y278" i="21" s="1"/>
  <c r="U267" i="9"/>
  <c r="Y277" i="21" s="1"/>
  <c r="T267" i="9"/>
  <c r="Y276" i="21" s="1"/>
  <c r="S267" i="9"/>
  <c r="Y275" i="21" s="1"/>
  <c r="R267" i="9"/>
  <c r="Y274" i="21" s="1"/>
  <c r="Q267" i="9"/>
  <c r="Y273" i="21" s="1"/>
  <c r="P267" i="9"/>
  <c r="Y272" i="21" s="1"/>
  <c r="O267" i="9"/>
  <c r="Y271" i="21" s="1"/>
  <c r="N267" i="9"/>
  <c r="Y270" i="21" s="1"/>
  <c r="M267" i="9"/>
  <c r="Y269" i="21" s="1"/>
  <c r="L267" i="9"/>
  <c r="Y268" i="21" s="1"/>
  <c r="K267" i="9"/>
  <c r="Y267" i="21" s="1"/>
  <c r="J267" i="9"/>
  <c r="Y266" i="21" s="1"/>
  <c r="I267" i="9"/>
  <c r="Y265" i="21" s="1"/>
  <c r="H267" i="9"/>
  <c r="Y264" i="21" s="1"/>
  <c r="G267" i="9"/>
  <c r="Y263" i="21" s="1"/>
  <c r="F267" i="9"/>
  <c r="Y262" i="21" s="1"/>
  <c r="E267" i="9"/>
  <c r="Y261" i="21" s="1"/>
  <c r="D267" i="9"/>
  <c r="Y260" i="21" s="1"/>
  <c r="AX266" i="9"/>
  <c r="AN266" i="9" s="1"/>
  <c r="X296" i="21" s="1"/>
  <c r="AW266" i="9"/>
  <c r="AT266" i="9"/>
  <c r="AJ266" i="9" s="1"/>
  <c r="X292" i="21" s="1"/>
  <c r="AS266" i="9"/>
  <c r="AR266" i="9"/>
  <c r="AQ266" i="9"/>
  <c r="AY266" i="9" s="1"/>
  <c r="AO266" i="9" s="1"/>
  <c r="X297" i="21" s="1"/>
  <c r="AM266" i="9"/>
  <c r="X295" i="21" s="1"/>
  <c r="AI266" i="9"/>
  <c r="X291" i="21" s="1"/>
  <c r="AH266" i="9"/>
  <c r="X290" i="21" s="1"/>
  <c r="AG266" i="9"/>
  <c r="X289" i="21" s="1"/>
  <c r="AF266" i="9"/>
  <c r="X288" i="21" s="1"/>
  <c r="AE266" i="9"/>
  <c r="X287" i="21" s="1"/>
  <c r="AD266" i="9"/>
  <c r="X286" i="21" s="1"/>
  <c r="AC266" i="9"/>
  <c r="X285" i="21" s="1"/>
  <c r="AB266" i="9"/>
  <c r="X284" i="21" s="1"/>
  <c r="AA266" i="9"/>
  <c r="X283" i="21" s="1"/>
  <c r="Z266" i="9"/>
  <c r="X282" i="21" s="1"/>
  <c r="Y266" i="9"/>
  <c r="X281" i="21" s="1"/>
  <c r="X266" i="9"/>
  <c r="X280" i="21" s="1"/>
  <c r="W266" i="9"/>
  <c r="X279" i="21" s="1"/>
  <c r="V266" i="9"/>
  <c r="X278" i="21" s="1"/>
  <c r="U266" i="9"/>
  <c r="X277" i="21" s="1"/>
  <c r="T266" i="9"/>
  <c r="X276" i="21" s="1"/>
  <c r="S266" i="9"/>
  <c r="X275" i="21" s="1"/>
  <c r="R266" i="9"/>
  <c r="X274" i="21" s="1"/>
  <c r="Q266" i="9"/>
  <c r="X273" i="21" s="1"/>
  <c r="P266" i="9"/>
  <c r="X272" i="21" s="1"/>
  <c r="O266" i="9"/>
  <c r="X271" i="21" s="1"/>
  <c r="N266" i="9"/>
  <c r="X270" i="21" s="1"/>
  <c r="M266" i="9"/>
  <c r="X269" i="21" s="1"/>
  <c r="L266" i="9"/>
  <c r="X268" i="21" s="1"/>
  <c r="K266" i="9"/>
  <c r="X267" i="21" s="1"/>
  <c r="J266" i="9"/>
  <c r="X266" i="21" s="1"/>
  <c r="I266" i="9"/>
  <c r="X265" i="21" s="1"/>
  <c r="H266" i="9"/>
  <c r="X264" i="21" s="1"/>
  <c r="G266" i="9"/>
  <c r="X263" i="21" s="1"/>
  <c r="F266" i="9"/>
  <c r="X262" i="21" s="1"/>
  <c r="E266" i="9"/>
  <c r="X261" i="21" s="1"/>
  <c r="D266" i="9"/>
  <c r="X260" i="21" s="1"/>
  <c r="AY265" i="9"/>
  <c r="AO265" i="9" s="1"/>
  <c r="W297" i="21" s="1"/>
  <c r="AX265" i="9"/>
  <c r="AW265" i="9"/>
  <c r="AV265" i="9"/>
  <c r="AL265" i="9" s="1"/>
  <c r="W294" i="21" s="1"/>
  <c r="AU265" i="9"/>
  <c r="AK265" i="9" s="1"/>
  <c r="W293" i="21" s="1"/>
  <c r="AS265" i="9"/>
  <c r="AR265" i="9"/>
  <c r="AQ265" i="9"/>
  <c r="AT265" i="9" s="1"/>
  <c r="AJ265" i="9" s="1"/>
  <c r="W292" i="21" s="1"/>
  <c r="AN265" i="9"/>
  <c r="W296" i="21" s="1"/>
  <c r="AM265" i="9"/>
  <c r="W295" i="21" s="1"/>
  <c r="AI265" i="9"/>
  <c r="W291" i="21" s="1"/>
  <c r="AH265" i="9"/>
  <c r="W290" i="21" s="1"/>
  <c r="AG265" i="9"/>
  <c r="W289" i="21" s="1"/>
  <c r="AF265" i="9"/>
  <c r="W288" i="21" s="1"/>
  <c r="AE265" i="9"/>
  <c r="W287" i="21" s="1"/>
  <c r="AD265" i="9"/>
  <c r="W286" i="21" s="1"/>
  <c r="AC265" i="9"/>
  <c r="W285" i="21" s="1"/>
  <c r="AB265" i="9"/>
  <c r="W284" i="21" s="1"/>
  <c r="AA265" i="9"/>
  <c r="W283" i="21" s="1"/>
  <c r="Z265" i="9"/>
  <c r="W282" i="21" s="1"/>
  <c r="Y265" i="9"/>
  <c r="W281" i="21" s="1"/>
  <c r="X265" i="9"/>
  <c r="W280" i="21" s="1"/>
  <c r="W265" i="9"/>
  <c r="W279" i="21" s="1"/>
  <c r="V265" i="9"/>
  <c r="W278" i="21" s="1"/>
  <c r="U265" i="9"/>
  <c r="W277" i="21" s="1"/>
  <c r="T265" i="9"/>
  <c r="W276" i="21" s="1"/>
  <c r="S265" i="9"/>
  <c r="W275" i="21" s="1"/>
  <c r="R265" i="9"/>
  <c r="W274" i="21" s="1"/>
  <c r="Q265" i="9"/>
  <c r="W273" i="21" s="1"/>
  <c r="P265" i="9"/>
  <c r="W272" i="21" s="1"/>
  <c r="O265" i="9"/>
  <c r="W271" i="21" s="1"/>
  <c r="N265" i="9"/>
  <c r="W270" i="21" s="1"/>
  <c r="M265" i="9"/>
  <c r="W269" i="21" s="1"/>
  <c r="L265" i="9"/>
  <c r="W268" i="21" s="1"/>
  <c r="K265" i="9"/>
  <c r="W267" i="21" s="1"/>
  <c r="J265" i="9"/>
  <c r="W266" i="21" s="1"/>
  <c r="I265" i="9"/>
  <c r="W265" i="21" s="1"/>
  <c r="H265" i="9"/>
  <c r="W264" i="21" s="1"/>
  <c r="G265" i="9"/>
  <c r="W263" i="21" s="1"/>
  <c r="F265" i="9"/>
  <c r="W262" i="21" s="1"/>
  <c r="E265" i="9"/>
  <c r="W261" i="21" s="1"/>
  <c r="D265" i="9"/>
  <c r="W260" i="21" s="1"/>
  <c r="AX264" i="9"/>
  <c r="AW264" i="9"/>
  <c r="AT264" i="9"/>
  <c r="AJ264" i="9" s="1"/>
  <c r="V292" i="21" s="1"/>
  <c r="AQ264" i="9"/>
  <c r="AY264" i="9" s="1"/>
  <c r="AO264" i="9" s="1"/>
  <c r="V297" i="21" s="1"/>
  <c r="AN264" i="9"/>
  <c r="V296" i="21" s="1"/>
  <c r="AM264" i="9"/>
  <c r="V295" i="21" s="1"/>
  <c r="AI264" i="9"/>
  <c r="V291" i="21" s="1"/>
  <c r="AH264" i="9"/>
  <c r="V290" i="21" s="1"/>
  <c r="AG264" i="9"/>
  <c r="V289" i="21" s="1"/>
  <c r="AF264" i="9"/>
  <c r="V288" i="21" s="1"/>
  <c r="AE264" i="9"/>
  <c r="V287" i="21" s="1"/>
  <c r="AD264" i="9"/>
  <c r="V286" i="21" s="1"/>
  <c r="AC264" i="9"/>
  <c r="V285" i="21" s="1"/>
  <c r="AB264" i="9"/>
  <c r="V284" i="21" s="1"/>
  <c r="AA264" i="9"/>
  <c r="V283" i="21" s="1"/>
  <c r="Z264" i="9"/>
  <c r="V282" i="21" s="1"/>
  <c r="Y264" i="9"/>
  <c r="V281" i="21" s="1"/>
  <c r="X264" i="9"/>
  <c r="V280" i="21" s="1"/>
  <c r="W264" i="9"/>
  <c r="V279" i="21" s="1"/>
  <c r="V264" i="9"/>
  <c r="V278" i="21" s="1"/>
  <c r="U264" i="9"/>
  <c r="V277" i="21" s="1"/>
  <c r="T264" i="9"/>
  <c r="V276" i="21" s="1"/>
  <c r="S264" i="9"/>
  <c r="V275" i="21" s="1"/>
  <c r="R264" i="9"/>
  <c r="V274" i="21" s="1"/>
  <c r="Q264" i="9"/>
  <c r="V273" i="21" s="1"/>
  <c r="P264" i="9"/>
  <c r="V272" i="21" s="1"/>
  <c r="O264" i="9"/>
  <c r="V271" i="21" s="1"/>
  <c r="N264" i="9"/>
  <c r="V270" i="21" s="1"/>
  <c r="M264" i="9"/>
  <c r="V269" i="21" s="1"/>
  <c r="L264" i="9"/>
  <c r="V268" i="21" s="1"/>
  <c r="K264" i="9"/>
  <c r="V267" i="21" s="1"/>
  <c r="J264" i="9"/>
  <c r="V266" i="21" s="1"/>
  <c r="I264" i="9"/>
  <c r="V265" i="21" s="1"/>
  <c r="H264" i="9"/>
  <c r="V264" i="21" s="1"/>
  <c r="G264" i="9"/>
  <c r="V263" i="21" s="1"/>
  <c r="F264" i="9"/>
  <c r="V262" i="21" s="1"/>
  <c r="E264" i="9"/>
  <c r="V261" i="21" s="1"/>
  <c r="D264" i="9"/>
  <c r="V260" i="21" s="1"/>
  <c r="AY263" i="9"/>
  <c r="AO263" i="9" s="1"/>
  <c r="U297" i="21" s="1"/>
  <c r="AX263" i="9"/>
  <c r="AN263" i="9" s="1"/>
  <c r="U296" i="21" s="1"/>
  <c r="AT263" i="9"/>
  <c r="AH263" i="9" s="1"/>
  <c r="U290" i="21" s="1"/>
  <c r="AQ263" i="9"/>
  <c r="AW263" i="9" s="1"/>
  <c r="AM263" i="9"/>
  <c r="U295" i="21" s="1"/>
  <c r="AJ263" i="9"/>
  <c r="U292" i="21" s="1"/>
  <c r="AI263" i="9"/>
  <c r="U291" i="21" s="1"/>
  <c r="AG263" i="9"/>
  <c r="U289" i="21" s="1"/>
  <c r="AF263" i="9"/>
  <c r="U288" i="21" s="1"/>
  <c r="AE263" i="9"/>
  <c r="U287" i="21" s="1"/>
  <c r="AD263" i="9"/>
  <c r="U286" i="21" s="1"/>
  <c r="AC263" i="9"/>
  <c r="U285" i="21" s="1"/>
  <c r="AB263" i="9"/>
  <c r="U284" i="21" s="1"/>
  <c r="AA263" i="9"/>
  <c r="U283" i="21" s="1"/>
  <c r="Z263" i="9"/>
  <c r="U282" i="21" s="1"/>
  <c r="Y263" i="9"/>
  <c r="U281" i="21" s="1"/>
  <c r="X263" i="9"/>
  <c r="U280" i="21" s="1"/>
  <c r="W263" i="9"/>
  <c r="U279" i="21" s="1"/>
  <c r="V263" i="9"/>
  <c r="U278" i="21" s="1"/>
  <c r="U263" i="9"/>
  <c r="U277" i="21" s="1"/>
  <c r="T263" i="9"/>
  <c r="U276" i="21" s="1"/>
  <c r="S263" i="9"/>
  <c r="U275" i="21" s="1"/>
  <c r="R263" i="9"/>
  <c r="U274" i="21" s="1"/>
  <c r="Q263" i="9"/>
  <c r="U273" i="21" s="1"/>
  <c r="P263" i="9"/>
  <c r="U272" i="21" s="1"/>
  <c r="O263" i="9"/>
  <c r="U271" i="21" s="1"/>
  <c r="N263" i="9"/>
  <c r="U270" i="21" s="1"/>
  <c r="M263" i="9"/>
  <c r="U269" i="21" s="1"/>
  <c r="L263" i="9"/>
  <c r="U268" i="21" s="1"/>
  <c r="K263" i="9"/>
  <c r="U267" i="21" s="1"/>
  <c r="J263" i="9"/>
  <c r="U266" i="21" s="1"/>
  <c r="I263" i="9"/>
  <c r="U265" i="21" s="1"/>
  <c r="H263" i="9"/>
  <c r="U264" i="21" s="1"/>
  <c r="G263" i="9"/>
  <c r="U263" i="21" s="1"/>
  <c r="F263" i="9"/>
  <c r="U262" i="21" s="1"/>
  <c r="E263" i="9"/>
  <c r="U261" i="21" s="1"/>
  <c r="D263" i="9"/>
  <c r="U260" i="21" s="1"/>
  <c r="AY262" i="9"/>
  <c r="AO262" i="9" s="1"/>
  <c r="T297" i="21" s="1"/>
  <c r="AX262" i="9"/>
  <c r="AW262" i="9"/>
  <c r="AM262" i="9" s="1"/>
  <c r="T295" i="21" s="1"/>
  <c r="AV262" i="9"/>
  <c r="AL262" i="9" s="1"/>
  <c r="T294" i="21" s="1"/>
  <c r="AT262" i="9"/>
  <c r="AH262" i="9" s="1"/>
  <c r="T290" i="21" s="1"/>
  <c r="AS262" i="9"/>
  <c r="AR262" i="9"/>
  <c r="AQ262" i="9"/>
  <c r="AU262" i="9" s="1"/>
  <c r="AK262" i="9" s="1"/>
  <c r="T293" i="21" s="1"/>
  <c r="AN262" i="9"/>
  <c r="T296" i="21" s="1"/>
  <c r="AG262" i="9"/>
  <c r="T289" i="21" s="1"/>
  <c r="AF262" i="9"/>
  <c r="T288" i="21" s="1"/>
  <c r="AE262" i="9"/>
  <c r="T287" i="21" s="1"/>
  <c r="AD262" i="9"/>
  <c r="T286" i="21" s="1"/>
  <c r="AC262" i="9"/>
  <c r="T285" i="21" s="1"/>
  <c r="AB262" i="9"/>
  <c r="T284" i="21" s="1"/>
  <c r="AA262" i="9"/>
  <c r="T283" i="21" s="1"/>
  <c r="Z262" i="9"/>
  <c r="T282" i="21" s="1"/>
  <c r="Y262" i="9"/>
  <c r="T281" i="21" s="1"/>
  <c r="X262" i="9"/>
  <c r="T280" i="21" s="1"/>
  <c r="W262" i="9"/>
  <c r="T279" i="21" s="1"/>
  <c r="V262" i="9"/>
  <c r="T278" i="21" s="1"/>
  <c r="U262" i="9"/>
  <c r="T277" i="21" s="1"/>
  <c r="T262" i="9"/>
  <c r="T276" i="21" s="1"/>
  <c r="S262" i="9"/>
  <c r="T275" i="21" s="1"/>
  <c r="R262" i="9"/>
  <c r="T274" i="21" s="1"/>
  <c r="Q262" i="9"/>
  <c r="T273" i="21" s="1"/>
  <c r="P262" i="9"/>
  <c r="T272" i="21" s="1"/>
  <c r="O262" i="9"/>
  <c r="T271" i="21" s="1"/>
  <c r="N262" i="9"/>
  <c r="T270" i="21" s="1"/>
  <c r="M262" i="9"/>
  <c r="T269" i="21" s="1"/>
  <c r="L262" i="9"/>
  <c r="T268" i="21" s="1"/>
  <c r="K262" i="9"/>
  <c r="T267" i="21" s="1"/>
  <c r="J262" i="9"/>
  <c r="T266" i="21" s="1"/>
  <c r="I262" i="9"/>
  <c r="T265" i="21" s="1"/>
  <c r="H262" i="9"/>
  <c r="T264" i="21" s="1"/>
  <c r="G262" i="9"/>
  <c r="T263" i="21" s="1"/>
  <c r="F262" i="9"/>
  <c r="T262" i="21" s="1"/>
  <c r="E262" i="9"/>
  <c r="T261" i="21" s="1"/>
  <c r="D262" i="9"/>
  <c r="T260" i="21" s="1"/>
  <c r="AY261" i="9"/>
  <c r="AO261" i="9" s="1"/>
  <c r="S297" i="21" s="1"/>
  <c r="AX261" i="9"/>
  <c r="AU261" i="9"/>
  <c r="AK261" i="9" s="1"/>
  <c r="S293" i="21" s="1"/>
  <c r="AT261" i="9"/>
  <c r="AH261" i="9" s="1"/>
  <c r="S290" i="21" s="1"/>
  <c r="AQ261" i="9"/>
  <c r="AW261" i="9" s="1"/>
  <c r="AM261" i="9" s="1"/>
  <c r="S295" i="21" s="1"/>
  <c r="AN261" i="9"/>
  <c r="S296" i="21" s="1"/>
  <c r="AG261" i="9"/>
  <c r="S289" i="21" s="1"/>
  <c r="AF261" i="9"/>
  <c r="S288" i="21" s="1"/>
  <c r="AE261" i="9"/>
  <c r="S287" i="21" s="1"/>
  <c r="AD261" i="9"/>
  <c r="S286" i="21" s="1"/>
  <c r="AC261" i="9"/>
  <c r="S285" i="21" s="1"/>
  <c r="AB261" i="9"/>
  <c r="S284" i="21" s="1"/>
  <c r="AA261" i="9"/>
  <c r="S283" i="21" s="1"/>
  <c r="Z261" i="9"/>
  <c r="S282" i="21" s="1"/>
  <c r="Y261" i="9"/>
  <c r="S281" i="21" s="1"/>
  <c r="X261" i="9"/>
  <c r="S280" i="21" s="1"/>
  <c r="W261" i="9"/>
  <c r="S279" i="21" s="1"/>
  <c r="V261" i="9"/>
  <c r="S278" i="21" s="1"/>
  <c r="U261" i="9"/>
  <c r="S277" i="21" s="1"/>
  <c r="T261" i="9"/>
  <c r="S276" i="21" s="1"/>
  <c r="S261" i="9"/>
  <c r="S275" i="21" s="1"/>
  <c r="R261" i="9"/>
  <c r="S274" i="21" s="1"/>
  <c r="Q261" i="9"/>
  <c r="S273" i="21" s="1"/>
  <c r="P261" i="9"/>
  <c r="S272" i="21" s="1"/>
  <c r="O261" i="9"/>
  <c r="S271" i="21" s="1"/>
  <c r="N261" i="9"/>
  <c r="S270" i="21" s="1"/>
  <c r="M261" i="9"/>
  <c r="S269" i="21" s="1"/>
  <c r="L261" i="9"/>
  <c r="S268" i="21" s="1"/>
  <c r="K261" i="9"/>
  <c r="S267" i="21" s="1"/>
  <c r="J261" i="9"/>
  <c r="S266" i="21" s="1"/>
  <c r="I261" i="9"/>
  <c r="S265" i="21" s="1"/>
  <c r="H261" i="9"/>
  <c r="S264" i="21" s="1"/>
  <c r="G261" i="9"/>
  <c r="S263" i="21" s="1"/>
  <c r="F261" i="9"/>
  <c r="S262" i="21" s="1"/>
  <c r="E261" i="9"/>
  <c r="S261" i="21" s="1"/>
  <c r="D261" i="9"/>
  <c r="S260" i="21" s="1"/>
  <c r="AY260" i="9"/>
  <c r="AO260" i="9" s="1"/>
  <c r="R297" i="21" s="1"/>
  <c r="AX260" i="9"/>
  <c r="AW260" i="9"/>
  <c r="AM260" i="9" s="1"/>
  <c r="R295" i="21" s="1"/>
  <c r="AV260" i="9"/>
  <c r="AL260" i="9" s="1"/>
  <c r="R294" i="21" s="1"/>
  <c r="AU260" i="9"/>
  <c r="AK260" i="9" s="1"/>
  <c r="R293" i="21" s="1"/>
  <c r="AT260" i="9"/>
  <c r="AR260" i="9"/>
  <c r="AS260" i="9" s="1"/>
  <c r="AQ260" i="9"/>
  <c r="AN260" i="9"/>
  <c r="R296" i="21" s="1"/>
  <c r="AG260" i="9"/>
  <c r="R289" i="21" s="1"/>
  <c r="AF260" i="9"/>
  <c r="R288" i="21" s="1"/>
  <c r="AE260" i="9"/>
  <c r="R287" i="21" s="1"/>
  <c r="AD260" i="9"/>
  <c r="R286" i="21" s="1"/>
  <c r="AC260" i="9"/>
  <c r="R285" i="21" s="1"/>
  <c r="AB260" i="9"/>
  <c r="R284" i="21" s="1"/>
  <c r="AA260" i="9"/>
  <c r="R283" i="21" s="1"/>
  <c r="Z260" i="9"/>
  <c r="R282" i="21" s="1"/>
  <c r="Y260" i="9"/>
  <c r="R281" i="21" s="1"/>
  <c r="X260" i="9"/>
  <c r="R280" i="21" s="1"/>
  <c r="W260" i="9"/>
  <c r="R279" i="21" s="1"/>
  <c r="V260" i="9"/>
  <c r="R278" i="21" s="1"/>
  <c r="U260" i="9"/>
  <c r="R277" i="21" s="1"/>
  <c r="T260" i="9"/>
  <c r="R276" i="21" s="1"/>
  <c r="S260" i="9"/>
  <c r="R275" i="21" s="1"/>
  <c r="R260" i="9"/>
  <c r="R274" i="21" s="1"/>
  <c r="Q260" i="9"/>
  <c r="R273" i="21" s="1"/>
  <c r="P260" i="9"/>
  <c r="R272" i="21" s="1"/>
  <c r="O260" i="9"/>
  <c r="R271" i="21" s="1"/>
  <c r="N260" i="9"/>
  <c r="R270" i="21" s="1"/>
  <c r="M260" i="9"/>
  <c r="R269" i="21" s="1"/>
  <c r="L260" i="9"/>
  <c r="R268" i="21" s="1"/>
  <c r="K260" i="9"/>
  <c r="R267" i="21" s="1"/>
  <c r="J260" i="9"/>
  <c r="R266" i="21" s="1"/>
  <c r="I260" i="9"/>
  <c r="R265" i="21" s="1"/>
  <c r="H260" i="9"/>
  <c r="R264" i="21" s="1"/>
  <c r="G260" i="9"/>
  <c r="R263" i="21" s="1"/>
  <c r="F260" i="9"/>
  <c r="R262" i="21" s="1"/>
  <c r="E260" i="9"/>
  <c r="R261" i="21" s="1"/>
  <c r="D260" i="9"/>
  <c r="R260" i="21" s="1"/>
  <c r="AQ259" i="9"/>
  <c r="AG259" i="9"/>
  <c r="Q289" i="21" s="1"/>
  <c r="AF259" i="9"/>
  <c r="Q288" i="21" s="1"/>
  <c r="AE259" i="9"/>
  <c r="Q287" i="21" s="1"/>
  <c r="AD259" i="9"/>
  <c r="Q286" i="21" s="1"/>
  <c r="AC259" i="9"/>
  <c r="Q285" i="21" s="1"/>
  <c r="AB259" i="9"/>
  <c r="Q284" i="21" s="1"/>
  <c r="AA259" i="9"/>
  <c r="Q283" i="21" s="1"/>
  <c r="Z259" i="9"/>
  <c r="Q282" i="21" s="1"/>
  <c r="Y259" i="9"/>
  <c r="Q281" i="21" s="1"/>
  <c r="X259" i="9"/>
  <c r="Q280" i="21" s="1"/>
  <c r="W259" i="9"/>
  <c r="Q279" i="21" s="1"/>
  <c r="V259" i="9"/>
  <c r="Q278" i="21" s="1"/>
  <c r="U259" i="9"/>
  <c r="Q277" i="21" s="1"/>
  <c r="T259" i="9"/>
  <c r="Q276" i="21" s="1"/>
  <c r="S259" i="9"/>
  <c r="Q275" i="21" s="1"/>
  <c r="R259" i="9"/>
  <c r="Q274" i="21" s="1"/>
  <c r="Q259" i="9"/>
  <c r="Q273" i="21" s="1"/>
  <c r="P259" i="9"/>
  <c r="Q272" i="21" s="1"/>
  <c r="O259" i="9"/>
  <c r="Q271" i="21" s="1"/>
  <c r="N259" i="9"/>
  <c r="Q270" i="21" s="1"/>
  <c r="M259" i="9"/>
  <c r="Q269" i="21" s="1"/>
  <c r="L259" i="9"/>
  <c r="Q268" i="21" s="1"/>
  <c r="K259" i="9"/>
  <c r="Q267" i="21" s="1"/>
  <c r="J259" i="9"/>
  <c r="Q266" i="21" s="1"/>
  <c r="I259" i="9"/>
  <c r="Q265" i="21" s="1"/>
  <c r="H259" i="9"/>
  <c r="Q264" i="21" s="1"/>
  <c r="G259" i="9"/>
  <c r="Q263" i="21" s="1"/>
  <c r="F259" i="9"/>
  <c r="Q262" i="21" s="1"/>
  <c r="E259" i="9"/>
  <c r="Q261" i="21" s="1"/>
  <c r="D259" i="9"/>
  <c r="Q260" i="21" s="1"/>
  <c r="AQ258" i="9"/>
  <c r="AG258" i="9"/>
  <c r="P289" i="21" s="1"/>
  <c r="AF258" i="9"/>
  <c r="P288" i="21" s="1"/>
  <c r="AE258" i="9"/>
  <c r="P287" i="21" s="1"/>
  <c r="AD258" i="9"/>
  <c r="P286" i="21" s="1"/>
  <c r="AC258" i="9"/>
  <c r="P285" i="21" s="1"/>
  <c r="AB258" i="9"/>
  <c r="P284" i="21" s="1"/>
  <c r="AA258" i="9"/>
  <c r="P283" i="21" s="1"/>
  <c r="Z258" i="9"/>
  <c r="P282" i="21" s="1"/>
  <c r="Y258" i="9"/>
  <c r="P281" i="21" s="1"/>
  <c r="X258" i="9"/>
  <c r="P280" i="21" s="1"/>
  <c r="W258" i="9"/>
  <c r="P279" i="21" s="1"/>
  <c r="V258" i="9"/>
  <c r="P278" i="21" s="1"/>
  <c r="U258" i="9"/>
  <c r="P277" i="21" s="1"/>
  <c r="T258" i="9"/>
  <c r="P276" i="21" s="1"/>
  <c r="S258" i="9"/>
  <c r="P275" i="21" s="1"/>
  <c r="R258" i="9"/>
  <c r="P274" i="21" s="1"/>
  <c r="Q258" i="9"/>
  <c r="P273" i="21" s="1"/>
  <c r="P258" i="9"/>
  <c r="P272" i="21" s="1"/>
  <c r="O258" i="9"/>
  <c r="P271" i="21" s="1"/>
  <c r="N258" i="9"/>
  <c r="P270" i="21" s="1"/>
  <c r="M258" i="9"/>
  <c r="P269" i="21" s="1"/>
  <c r="L258" i="9"/>
  <c r="P268" i="21" s="1"/>
  <c r="K258" i="9"/>
  <c r="P267" i="21" s="1"/>
  <c r="J258" i="9"/>
  <c r="P266" i="21" s="1"/>
  <c r="I258" i="9"/>
  <c r="P265" i="21" s="1"/>
  <c r="H258" i="9"/>
  <c r="P264" i="21" s="1"/>
  <c r="G258" i="9"/>
  <c r="P263" i="21" s="1"/>
  <c r="F258" i="9"/>
  <c r="P262" i="21" s="1"/>
  <c r="E258" i="9"/>
  <c r="P261" i="21" s="1"/>
  <c r="D258" i="9"/>
  <c r="P260" i="21" s="1"/>
  <c r="AQ257" i="9"/>
  <c r="AG257" i="9"/>
  <c r="O289" i="21" s="1"/>
  <c r="AF257" i="9"/>
  <c r="O288" i="21" s="1"/>
  <c r="AE257" i="9"/>
  <c r="O287" i="21" s="1"/>
  <c r="AD257" i="9"/>
  <c r="O286" i="21" s="1"/>
  <c r="AC257" i="9"/>
  <c r="O285" i="21" s="1"/>
  <c r="AB257" i="9"/>
  <c r="O284" i="21" s="1"/>
  <c r="AA257" i="9"/>
  <c r="O283" i="21" s="1"/>
  <c r="Z257" i="9"/>
  <c r="O282" i="21" s="1"/>
  <c r="Y257" i="9"/>
  <c r="O281" i="21" s="1"/>
  <c r="X257" i="9"/>
  <c r="O280" i="21" s="1"/>
  <c r="W257" i="9"/>
  <c r="O279" i="21" s="1"/>
  <c r="V257" i="9"/>
  <c r="O278" i="21" s="1"/>
  <c r="U257" i="9"/>
  <c r="O277" i="21" s="1"/>
  <c r="T257" i="9"/>
  <c r="O276" i="21" s="1"/>
  <c r="S257" i="9"/>
  <c r="O275" i="21" s="1"/>
  <c r="R257" i="9"/>
  <c r="O274" i="21" s="1"/>
  <c r="Q257" i="9"/>
  <c r="O273" i="21" s="1"/>
  <c r="P257" i="9"/>
  <c r="O272" i="21" s="1"/>
  <c r="O257" i="9"/>
  <c r="O271" i="21" s="1"/>
  <c r="N257" i="9"/>
  <c r="O270" i="21" s="1"/>
  <c r="M257" i="9"/>
  <c r="O269" i="21" s="1"/>
  <c r="L257" i="9"/>
  <c r="O268" i="21" s="1"/>
  <c r="K257" i="9"/>
  <c r="O267" i="21" s="1"/>
  <c r="J257" i="9"/>
  <c r="O266" i="21" s="1"/>
  <c r="I257" i="9"/>
  <c r="O265" i="21" s="1"/>
  <c r="H257" i="9"/>
  <c r="O264" i="21" s="1"/>
  <c r="G257" i="9"/>
  <c r="O263" i="21" s="1"/>
  <c r="F257" i="9"/>
  <c r="O262" i="21" s="1"/>
  <c r="E257" i="9"/>
  <c r="O261" i="21" s="1"/>
  <c r="D257" i="9"/>
  <c r="O260" i="21" s="1"/>
  <c r="AX256" i="9"/>
  <c r="AN256" i="9" s="1"/>
  <c r="N296" i="21" s="1"/>
  <c r="AV256" i="9"/>
  <c r="AL256" i="9" s="1"/>
  <c r="N294" i="21" s="1"/>
  <c r="AU256" i="9"/>
  <c r="AR256" i="9"/>
  <c r="AS256" i="9" s="1"/>
  <c r="AQ256" i="9"/>
  <c r="AK256" i="9"/>
  <c r="N293" i="21" s="1"/>
  <c r="AG256" i="9"/>
  <c r="N289" i="21" s="1"/>
  <c r="AF256" i="9"/>
  <c r="N288" i="21" s="1"/>
  <c r="AE256" i="9"/>
  <c r="N287" i="21" s="1"/>
  <c r="AD256" i="9"/>
  <c r="N286" i="21" s="1"/>
  <c r="AC256" i="9"/>
  <c r="N285" i="21" s="1"/>
  <c r="AB256" i="9"/>
  <c r="N284" i="21" s="1"/>
  <c r="AA256" i="9"/>
  <c r="N283" i="21" s="1"/>
  <c r="Z256" i="9"/>
  <c r="N282" i="21" s="1"/>
  <c r="Y256" i="9"/>
  <c r="N281" i="21" s="1"/>
  <c r="X256" i="9"/>
  <c r="N280" i="21" s="1"/>
  <c r="W256" i="9"/>
  <c r="N279" i="21" s="1"/>
  <c r="V256" i="9"/>
  <c r="N278" i="21" s="1"/>
  <c r="U256" i="9"/>
  <c r="N277" i="21" s="1"/>
  <c r="T256" i="9"/>
  <c r="N276" i="21" s="1"/>
  <c r="S256" i="9"/>
  <c r="N275" i="21" s="1"/>
  <c r="R256" i="9"/>
  <c r="N274" i="21" s="1"/>
  <c r="Q256" i="9"/>
  <c r="N273" i="21" s="1"/>
  <c r="P256" i="9"/>
  <c r="N272" i="21" s="1"/>
  <c r="O256" i="9"/>
  <c r="N271" i="21" s="1"/>
  <c r="N256" i="9"/>
  <c r="N270" i="21" s="1"/>
  <c r="M256" i="9"/>
  <c r="N269" i="21" s="1"/>
  <c r="L256" i="9"/>
  <c r="N268" i="21" s="1"/>
  <c r="K256" i="9"/>
  <c r="N267" i="21" s="1"/>
  <c r="J256" i="9"/>
  <c r="N266" i="21" s="1"/>
  <c r="I256" i="9"/>
  <c r="N265" i="21" s="1"/>
  <c r="H256" i="9"/>
  <c r="N264" i="21" s="1"/>
  <c r="G256" i="9"/>
  <c r="N263" i="21" s="1"/>
  <c r="F256" i="9"/>
  <c r="N262" i="21" s="1"/>
  <c r="E256" i="9"/>
  <c r="N261" i="21" s="1"/>
  <c r="D256" i="9"/>
  <c r="N260" i="21" s="1"/>
  <c r="AV255" i="9"/>
  <c r="AL255" i="9" s="1"/>
  <c r="M294" i="21" s="1"/>
  <c r="AR255" i="9"/>
  <c r="AS255" i="9" s="1"/>
  <c r="AQ255" i="9"/>
  <c r="AG255" i="9"/>
  <c r="M289" i="21" s="1"/>
  <c r="AF255" i="9"/>
  <c r="M288" i="21" s="1"/>
  <c r="AE255" i="9"/>
  <c r="M287" i="21" s="1"/>
  <c r="AD255" i="9"/>
  <c r="M286" i="21" s="1"/>
  <c r="AC255" i="9"/>
  <c r="M285" i="21" s="1"/>
  <c r="AB255" i="9"/>
  <c r="M284" i="21" s="1"/>
  <c r="AA255" i="9"/>
  <c r="M283" i="21" s="1"/>
  <c r="Z255" i="9"/>
  <c r="M282" i="21" s="1"/>
  <c r="Y255" i="9"/>
  <c r="M281" i="21" s="1"/>
  <c r="X255" i="9"/>
  <c r="M280" i="21" s="1"/>
  <c r="W255" i="9"/>
  <c r="M279" i="21" s="1"/>
  <c r="V255" i="9"/>
  <c r="M278" i="21" s="1"/>
  <c r="U255" i="9"/>
  <c r="M277" i="21" s="1"/>
  <c r="T255" i="9"/>
  <c r="M276" i="21" s="1"/>
  <c r="S255" i="9"/>
  <c r="M275" i="21" s="1"/>
  <c r="R255" i="9"/>
  <c r="M274" i="21" s="1"/>
  <c r="Q255" i="9"/>
  <c r="M273" i="21" s="1"/>
  <c r="P255" i="9"/>
  <c r="M272" i="21" s="1"/>
  <c r="O255" i="9"/>
  <c r="M271" i="21" s="1"/>
  <c r="N255" i="9"/>
  <c r="M270" i="21" s="1"/>
  <c r="M255" i="9"/>
  <c r="M269" i="21" s="1"/>
  <c r="L255" i="9"/>
  <c r="M268" i="21" s="1"/>
  <c r="K255" i="9"/>
  <c r="M267" i="21" s="1"/>
  <c r="J255" i="9"/>
  <c r="M266" i="21" s="1"/>
  <c r="I255" i="9"/>
  <c r="M265" i="21" s="1"/>
  <c r="H255" i="9"/>
  <c r="M264" i="21" s="1"/>
  <c r="G255" i="9"/>
  <c r="M263" i="21" s="1"/>
  <c r="F255" i="9"/>
  <c r="M262" i="21" s="1"/>
  <c r="E255" i="9"/>
  <c r="M261" i="21" s="1"/>
  <c r="D255" i="9"/>
  <c r="M260" i="21" s="1"/>
  <c r="AQ254" i="9"/>
  <c r="AY254" i="9" s="1"/>
  <c r="AO254" i="9" s="1"/>
  <c r="L297" i="21" s="1"/>
  <c r="AG254" i="9"/>
  <c r="L289" i="21" s="1"/>
  <c r="AF254" i="9"/>
  <c r="L288" i="21" s="1"/>
  <c r="AE254" i="9"/>
  <c r="L287" i="21" s="1"/>
  <c r="AD254" i="9"/>
  <c r="L286" i="21" s="1"/>
  <c r="AC254" i="9"/>
  <c r="L285" i="21" s="1"/>
  <c r="AB254" i="9"/>
  <c r="L284" i="21" s="1"/>
  <c r="AA254" i="9"/>
  <c r="L283" i="21" s="1"/>
  <c r="Z254" i="9"/>
  <c r="L282" i="21" s="1"/>
  <c r="Y254" i="9"/>
  <c r="L281" i="21" s="1"/>
  <c r="X254" i="9"/>
  <c r="L280" i="21" s="1"/>
  <c r="W254" i="9"/>
  <c r="L279" i="21" s="1"/>
  <c r="V254" i="9"/>
  <c r="L278" i="21" s="1"/>
  <c r="U254" i="9"/>
  <c r="L277" i="21" s="1"/>
  <c r="T254" i="9"/>
  <c r="L276" i="21" s="1"/>
  <c r="S254" i="9"/>
  <c r="L275" i="21" s="1"/>
  <c r="R254" i="9"/>
  <c r="L274" i="21" s="1"/>
  <c r="Q254" i="9"/>
  <c r="L273" i="21" s="1"/>
  <c r="P254" i="9"/>
  <c r="L272" i="21" s="1"/>
  <c r="O254" i="9"/>
  <c r="L271" i="21" s="1"/>
  <c r="N254" i="9"/>
  <c r="L270" i="21" s="1"/>
  <c r="M254" i="9"/>
  <c r="L269" i="21" s="1"/>
  <c r="L254" i="9"/>
  <c r="L268" i="21" s="1"/>
  <c r="K254" i="9"/>
  <c r="L267" i="21" s="1"/>
  <c r="J254" i="9"/>
  <c r="L266" i="21" s="1"/>
  <c r="I254" i="9"/>
  <c r="L265" i="21" s="1"/>
  <c r="H254" i="9"/>
  <c r="L264" i="21" s="1"/>
  <c r="G254" i="9"/>
  <c r="L263" i="21" s="1"/>
  <c r="F254" i="9"/>
  <c r="L262" i="21" s="1"/>
  <c r="E254" i="9"/>
  <c r="L261" i="21" s="1"/>
  <c r="D254" i="9"/>
  <c r="L260" i="21" s="1"/>
  <c r="AY253" i="9"/>
  <c r="AO253" i="9" s="1"/>
  <c r="K297" i="21" s="1"/>
  <c r="AW253" i="9"/>
  <c r="AV253" i="9"/>
  <c r="AL253" i="9" s="1"/>
  <c r="K294" i="21" s="1"/>
  <c r="AS253" i="9"/>
  <c r="AR253" i="9"/>
  <c r="AQ253" i="9"/>
  <c r="AX253" i="9" s="1"/>
  <c r="AN253" i="9"/>
  <c r="K296" i="21" s="1"/>
  <c r="AM253" i="9"/>
  <c r="K295" i="21" s="1"/>
  <c r="AG253" i="9"/>
  <c r="K289" i="21" s="1"/>
  <c r="AF253" i="9"/>
  <c r="K288" i="21" s="1"/>
  <c r="AE253" i="9"/>
  <c r="K287" i="21" s="1"/>
  <c r="AD253" i="9"/>
  <c r="K286" i="21" s="1"/>
  <c r="AC253" i="9"/>
  <c r="K285" i="21" s="1"/>
  <c r="AB253" i="9"/>
  <c r="K284" i="21" s="1"/>
  <c r="AA253" i="9"/>
  <c r="K283" i="21" s="1"/>
  <c r="Z253" i="9"/>
  <c r="K282" i="21" s="1"/>
  <c r="Y253" i="9"/>
  <c r="K281" i="21" s="1"/>
  <c r="X253" i="9"/>
  <c r="K280" i="21" s="1"/>
  <c r="W253" i="9"/>
  <c r="K279" i="21" s="1"/>
  <c r="V253" i="9"/>
  <c r="K278" i="21" s="1"/>
  <c r="U253" i="9"/>
  <c r="K277" i="21" s="1"/>
  <c r="T253" i="9"/>
  <c r="K276" i="21" s="1"/>
  <c r="S253" i="9"/>
  <c r="K275" i="21" s="1"/>
  <c r="R253" i="9"/>
  <c r="K274" i="21" s="1"/>
  <c r="Q253" i="9"/>
  <c r="K273" i="21" s="1"/>
  <c r="P253" i="9"/>
  <c r="K272" i="21" s="1"/>
  <c r="O253" i="9"/>
  <c r="K271" i="21" s="1"/>
  <c r="N253" i="9"/>
  <c r="K270" i="21" s="1"/>
  <c r="M253" i="9"/>
  <c r="K269" i="21" s="1"/>
  <c r="L253" i="9"/>
  <c r="K268" i="21" s="1"/>
  <c r="K253" i="9"/>
  <c r="K267" i="21" s="1"/>
  <c r="J253" i="9"/>
  <c r="K266" i="21" s="1"/>
  <c r="I253" i="9"/>
  <c r="K265" i="21" s="1"/>
  <c r="H253" i="9"/>
  <c r="K264" i="21" s="1"/>
  <c r="G253" i="9"/>
  <c r="K263" i="21" s="1"/>
  <c r="F253" i="9"/>
  <c r="K262" i="21" s="1"/>
  <c r="E253" i="9"/>
  <c r="K261" i="21" s="1"/>
  <c r="D253" i="9"/>
  <c r="K260" i="21" s="1"/>
  <c r="AQ252" i="9"/>
  <c r="AG252" i="9"/>
  <c r="J289" i="21" s="1"/>
  <c r="AF252" i="9"/>
  <c r="J288" i="21" s="1"/>
  <c r="AE252" i="9"/>
  <c r="J287" i="21" s="1"/>
  <c r="AD252" i="9"/>
  <c r="J286" i="21" s="1"/>
  <c r="AC252" i="9"/>
  <c r="J285" i="21" s="1"/>
  <c r="AB252" i="9"/>
  <c r="J284" i="21" s="1"/>
  <c r="AA252" i="9"/>
  <c r="J283" i="21" s="1"/>
  <c r="Z252" i="9"/>
  <c r="J282" i="21" s="1"/>
  <c r="Y252" i="9"/>
  <c r="J281" i="21" s="1"/>
  <c r="X252" i="9"/>
  <c r="J280" i="21" s="1"/>
  <c r="W252" i="9"/>
  <c r="J279" i="21" s="1"/>
  <c r="V252" i="9"/>
  <c r="J278" i="21" s="1"/>
  <c r="U252" i="9"/>
  <c r="J277" i="21" s="1"/>
  <c r="T252" i="9"/>
  <c r="J276" i="21" s="1"/>
  <c r="S252" i="9"/>
  <c r="J275" i="21" s="1"/>
  <c r="R252" i="9"/>
  <c r="J274" i="21" s="1"/>
  <c r="Q252" i="9"/>
  <c r="J273" i="21" s="1"/>
  <c r="P252" i="9"/>
  <c r="J272" i="21" s="1"/>
  <c r="O252" i="9"/>
  <c r="J271" i="21" s="1"/>
  <c r="N252" i="9"/>
  <c r="J270" i="21" s="1"/>
  <c r="M252" i="9"/>
  <c r="J269" i="21" s="1"/>
  <c r="L252" i="9"/>
  <c r="J268" i="21" s="1"/>
  <c r="K252" i="9"/>
  <c r="J267" i="21" s="1"/>
  <c r="J252" i="9"/>
  <c r="J266" i="21" s="1"/>
  <c r="I252" i="9"/>
  <c r="J265" i="21" s="1"/>
  <c r="H252" i="9"/>
  <c r="J264" i="21" s="1"/>
  <c r="G252" i="9"/>
  <c r="J263" i="21" s="1"/>
  <c r="F252" i="9"/>
  <c r="J262" i="21" s="1"/>
  <c r="E252" i="9"/>
  <c r="J261" i="21" s="1"/>
  <c r="D252" i="9"/>
  <c r="J260" i="21" s="1"/>
  <c r="AY251" i="9"/>
  <c r="AO251" i="9" s="1"/>
  <c r="I297" i="21" s="1"/>
  <c r="AX251" i="9"/>
  <c r="AW251" i="9"/>
  <c r="AM251" i="9" s="1"/>
  <c r="I295" i="21" s="1"/>
  <c r="AV251" i="9"/>
  <c r="AL251" i="9" s="1"/>
  <c r="I294" i="21" s="1"/>
  <c r="AU251" i="9"/>
  <c r="AK251" i="9" s="1"/>
  <c r="I293" i="21" s="1"/>
  <c r="AR251" i="9"/>
  <c r="AS251" i="9" s="1"/>
  <c r="AQ251" i="9"/>
  <c r="AT251" i="9" s="1"/>
  <c r="AI251" i="9" s="1"/>
  <c r="I291" i="21" s="1"/>
  <c r="AN251" i="9"/>
  <c r="I296" i="21" s="1"/>
  <c r="AG251" i="9"/>
  <c r="I289" i="21" s="1"/>
  <c r="AF251" i="9"/>
  <c r="I288" i="21" s="1"/>
  <c r="AE251" i="9"/>
  <c r="I287" i="21" s="1"/>
  <c r="AD251" i="9"/>
  <c r="I286" i="21" s="1"/>
  <c r="AC251" i="9"/>
  <c r="I285" i="21" s="1"/>
  <c r="AB251" i="9"/>
  <c r="I284" i="21" s="1"/>
  <c r="AA251" i="9"/>
  <c r="I283" i="21" s="1"/>
  <c r="Z251" i="9"/>
  <c r="I282" i="21" s="1"/>
  <c r="Y251" i="9"/>
  <c r="I281" i="21" s="1"/>
  <c r="X251" i="9"/>
  <c r="I280" i="21" s="1"/>
  <c r="W251" i="9"/>
  <c r="I279" i="21" s="1"/>
  <c r="V251" i="9"/>
  <c r="I278" i="21" s="1"/>
  <c r="U251" i="9"/>
  <c r="I277" i="21" s="1"/>
  <c r="T251" i="9"/>
  <c r="I276" i="21" s="1"/>
  <c r="S251" i="9"/>
  <c r="I275" i="21" s="1"/>
  <c r="R251" i="9"/>
  <c r="I274" i="21" s="1"/>
  <c r="Q251" i="9"/>
  <c r="I273" i="21" s="1"/>
  <c r="P251" i="9"/>
  <c r="I272" i="21" s="1"/>
  <c r="O251" i="9"/>
  <c r="I271" i="21" s="1"/>
  <c r="N251" i="9"/>
  <c r="I270" i="21" s="1"/>
  <c r="M251" i="9"/>
  <c r="I269" i="21" s="1"/>
  <c r="L251" i="9"/>
  <c r="I268" i="21" s="1"/>
  <c r="K251" i="9"/>
  <c r="I267" i="21" s="1"/>
  <c r="J251" i="9"/>
  <c r="I266" i="21" s="1"/>
  <c r="I251" i="9"/>
  <c r="I265" i="21" s="1"/>
  <c r="H251" i="9"/>
  <c r="I264" i="21" s="1"/>
  <c r="G251" i="9"/>
  <c r="I263" i="21" s="1"/>
  <c r="F251" i="9"/>
  <c r="I262" i="21" s="1"/>
  <c r="E251" i="9"/>
  <c r="I261" i="21" s="1"/>
  <c r="D251" i="9"/>
  <c r="I260" i="21" s="1"/>
  <c r="AX250" i="9"/>
  <c r="AW250" i="9"/>
  <c r="AT250" i="9"/>
  <c r="AJ250" i="9" s="1"/>
  <c r="H292" i="21" s="1"/>
  <c r="AQ250" i="9"/>
  <c r="AY250" i="9" s="1"/>
  <c r="AO250" i="9"/>
  <c r="H297" i="21" s="1"/>
  <c r="AN250" i="9"/>
  <c r="H296" i="21" s="1"/>
  <c r="AM250" i="9"/>
  <c r="H295" i="21" s="1"/>
  <c r="AG250" i="9"/>
  <c r="H289" i="21" s="1"/>
  <c r="AF250" i="9"/>
  <c r="H288" i="21" s="1"/>
  <c r="AE250" i="9"/>
  <c r="H287" i="21" s="1"/>
  <c r="AD250" i="9"/>
  <c r="H286" i="21" s="1"/>
  <c r="AC250" i="9"/>
  <c r="H285" i="21" s="1"/>
  <c r="AB250" i="9"/>
  <c r="H284" i="21" s="1"/>
  <c r="AA250" i="9"/>
  <c r="H283" i="21" s="1"/>
  <c r="Z250" i="9"/>
  <c r="H282" i="21" s="1"/>
  <c r="Y250" i="9"/>
  <c r="H281" i="21" s="1"/>
  <c r="X250" i="9"/>
  <c r="H280" i="21" s="1"/>
  <c r="W250" i="9"/>
  <c r="H279" i="21" s="1"/>
  <c r="V250" i="9"/>
  <c r="H278" i="21" s="1"/>
  <c r="U250" i="9"/>
  <c r="H277" i="21" s="1"/>
  <c r="T250" i="9"/>
  <c r="H276" i="21" s="1"/>
  <c r="S250" i="9"/>
  <c r="H275" i="21" s="1"/>
  <c r="R250" i="9"/>
  <c r="H274" i="21" s="1"/>
  <c r="Q250" i="9"/>
  <c r="H273" i="21" s="1"/>
  <c r="P250" i="9"/>
  <c r="H272" i="21" s="1"/>
  <c r="O250" i="9"/>
  <c r="H271" i="21" s="1"/>
  <c r="N250" i="9"/>
  <c r="H270" i="21" s="1"/>
  <c r="M250" i="9"/>
  <c r="H269" i="21" s="1"/>
  <c r="L250" i="9"/>
  <c r="H268" i="21" s="1"/>
  <c r="K250" i="9"/>
  <c r="H267" i="21" s="1"/>
  <c r="J250" i="9"/>
  <c r="H266" i="21" s="1"/>
  <c r="I250" i="9"/>
  <c r="H265" i="21" s="1"/>
  <c r="H250" i="9"/>
  <c r="H264" i="21" s="1"/>
  <c r="G250" i="9"/>
  <c r="H263" i="21" s="1"/>
  <c r="F250" i="9"/>
  <c r="H262" i="21" s="1"/>
  <c r="E250" i="9"/>
  <c r="H261" i="21" s="1"/>
  <c r="D250" i="9"/>
  <c r="H260" i="21" s="1"/>
  <c r="AQ249" i="9"/>
  <c r="AG249" i="9"/>
  <c r="G289" i="21" s="1"/>
  <c r="AF249" i="9"/>
  <c r="G288" i="21" s="1"/>
  <c r="AE249" i="9"/>
  <c r="G287" i="21" s="1"/>
  <c r="AD249" i="9"/>
  <c r="G286" i="21" s="1"/>
  <c r="AC249" i="9"/>
  <c r="G285" i="21" s="1"/>
  <c r="AB249" i="9"/>
  <c r="G284" i="21" s="1"/>
  <c r="AA249" i="9"/>
  <c r="G283" i="21" s="1"/>
  <c r="Z249" i="9"/>
  <c r="G282" i="21" s="1"/>
  <c r="Y249" i="9"/>
  <c r="G281" i="21" s="1"/>
  <c r="X249" i="9"/>
  <c r="G280" i="21" s="1"/>
  <c r="W249" i="9"/>
  <c r="G279" i="21" s="1"/>
  <c r="V249" i="9"/>
  <c r="G278" i="21" s="1"/>
  <c r="U249" i="9"/>
  <c r="G277" i="21" s="1"/>
  <c r="T249" i="9"/>
  <c r="G276" i="21" s="1"/>
  <c r="S249" i="9"/>
  <c r="G275" i="21" s="1"/>
  <c r="R249" i="9"/>
  <c r="G274" i="21" s="1"/>
  <c r="Q249" i="9"/>
  <c r="G273" i="21" s="1"/>
  <c r="P249" i="9"/>
  <c r="G272" i="21" s="1"/>
  <c r="O249" i="9"/>
  <c r="G271" i="21" s="1"/>
  <c r="N249" i="9"/>
  <c r="G270" i="21" s="1"/>
  <c r="M249" i="9"/>
  <c r="G269" i="21" s="1"/>
  <c r="L249" i="9"/>
  <c r="G268" i="21" s="1"/>
  <c r="K249" i="9"/>
  <c r="G267" i="21" s="1"/>
  <c r="J249" i="9"/>
  <c r="G266" i="21" s="1"/>
  <c r="I249" i="9"/>
  <c r="G265" i="21" s="1"/>
  <c r="H249" i="9"/>
  <c r="G264" i="21" s="1"/>
  <c r="G249" i="9"/>
  <c r="G263" i="21" s="1"/>
  <c r="F249" i="9"/>
  <c r="G262" i="21" s="1"/>
  <c r="E249" i="9"/>
  <c r="G261" i="21" s="1"/>
  <c r="D249" i="9"/>
  <c r="G260" i="21" s="1"/>
  <c r="AY248" i="9"/>
  <c r="AX248" i="9"/>
  <c r="AN248" i="9" s="1"/>
  <c r="F296" i="21" s="1"/>
  <c r="AW248" i="9"/>
  <c r="AM248" i="9" s="1"/>
  <c r="F295" i="21" s="1"/>
  <c r="AV248" i="9"/>
  <c r="AL248" i="9" s="1"/>
  <c r="F294" i="21" s="1"/>
  <c r="AT248" i="9"/>
  <c r="AJ248" i="9" s="1"/>
  <c r="F292" i="21" s="1"/>
  <c r="AS248" i="9"/>
  <c r="AR248" i="9"/>
  <c r="AQ248" i="9"/>
  <c r="AU248" i="9" s="1"/>
  <c r="AK248" i="9" s="1"/>
  <c r="F293" i="21" s="1"/>
  <c r="AO248" i="9"/>
  <c r="F297" i="21" s="1"/>
  <c r="AG248" i="9"/>
  <c r="F289" i="21" s="1"/>
  <c r="AF248" i="9"/>
  <c r="F288" i="21" s="1"/>
  <c r="AE248" i="9"/>
  <c r="F287" i="21" s="1"/>
  <c r="AD248" i="9"/>
  <c r="F286" i="21" s="1"/>
  <c r="AC248" i="9"/>
  <c r="F285" i="21" s="1"/>
  <c r="AB248" i="9"/>
  <c r="F284" i="21" s="1"/>
  <c r="AA248" i="9"/>
  <c r="F283" i="21" s="1"/>
  <c r="Z248" i="9"/>
  <c r="F282" i="21" s="1"/>
  <c r="Y248" i="9"/>
  <c r="F281" i="21" s="1"/>
  <c r="X248" i="9"/>
  <c r="F280" i="21" s="1"/>
  <c r="W248" i="9"/>
  <c r="F279" i="21" s="1"/>
  <c r="V248" i="9"/>
  <c r="F278" i="21" s="1"/>
  <c r="U248" i="9"/>
  <c r="F277" i="21" s="1"/>
  <c r="T248" i="9"/>
  <c r="F276" i="21" s="1"/>
  <c r="S248" i="9"/>
  <c r="F275" i="21" s="1"/>
  <c r="R248" i="9"/>
  <c r="F274" i="21" s="1"/>
  <c r="Q248" i="9"/>
  <c r="F273" i="21" s="1"/>
  <c r="P248" i="9"/>
  <c r="F272" i="21" s="1"/>
  <c r="O248" i="9"/>
  <c r="F271" i="21" s="1"/>
  <c r="N248" i="9"/>
  <c r="F270" i="21" s="1"/>
  <c r="M248" i="9"/>
  <c r="F269" i="21" s="1"/>
  <c r="L248" i="9"/>
  <c r="F268" i="21" s="1"/>
  <c r="K248" i="9"/>
  <c r="F267" i="21" s="1"/>
  <c r="J248" i="9"/>
  <c r="F266" i="21" s="1"/>
  <c r="I248" i="9"/>
  <c r="F265" i="21" s="1"/>
  <c r="H248" i="9"/>
  <c r="F264" i="21" s="1"/>
  <c r="G248" i="9"/>
  <c r="F263" i="21" s="1"/>
  <c r="F248" i="9"/>
  <c r="F262" i="21" s="1"/>
  <c r="E248" i="9"/>
  <c r="F261" i="21" s="1"/>
  <c r="D248" i="9"/>
  <c r="F260" i="21" s="1"/>
  <c r="AY247" i="9"/>
  <c r="AO247" i="9" s="1"/>
  <c r="E297" i="21" s="1"/>
  <c r="AQ247" i="9"/>
  <c r="AG247" i="9"/>
  <c r="E289" i="21" s="1"/>
  <c r="AF247" i="9"/>
  <c r="E288" i="21" s="1"/>
  <c r="AE247" i="9"/>
  <c r="E287" i="21" s="1"/>
  <c r="AD247" i="9"/>
  <c r="E286" i="21" s="1"/>
  <c r="AC247" i="9"/>
  <c r="E285" i="21" s="1"/>
  <c r="AB247" i="9"/>
  <c r="E284" i="21" s="1"/>
  <c r="AA247" i="9"/>
  <c r="E283" i="21" s="1"/>
  <c r="Z247" i="9"/>
  <c r="E282" i="21" s="1"/>
  <c r="Y247" i="9"/>
  <c r="E281" i="21" s="1"/>
  <c r="X247" i="9"/>
  <c r="E280" i="21" s="1"/>
  <c r="W247" i="9"/>
  <c r="E279" i="21" s="1"/>
  <c r="V247" i="9"/>
  <c r="E278" i="21" s="1"/>
  <c r="U247" i="9"/>
  <c r="E277" i="21" s="1"/>
  <c r="T247" i="9"/>
  <c r="E276" i="21" s="1"/>
  <c r="S247" i="9"/>
  <c r="E275" i="21" s="1"/>
  <c r="R247" i="9"/>
  <c r="E274" i="21" s="1"/>
  <c r="Q247" i="9"/>
  <c r="E273" i="21" s="1"/>
  <c r="P247" i="9"/>
  <c r="E272" i="21" s="1"/>
  <c r="O247" i="9"/>
  <c r="E271" i="21" s="1"/>
  <c r="N247" i="9"/>
  <c r="E270" i="21" s="1"/>
  <c r="M247" i="9"/>
  <c r="E269" i="21" s="1"/>
  <c r="L247" i="9"/>
  <c r="E268" i="21" s="1"/>
  <c r="K247" i="9"/>
  <c r="E267" i="21" s="1"/>
  <c r="J247" i="9"/>
  <c r="E266" i="21" s="1"/>
  <c r="I247" i="9"/>
  <c r="E265" i="21" s="1"/>
  <c r="H247" i="9"/>
  <c r="E264" i="21" s="1"/>
  <c r="G247" i="9"/>
  <c r="E263" i="21" s="1"/>
  <c r="F247" i="9"/>
  <c r="E262" i="21" s="1"/>
  <c r="E247" i="9"/>
  <c r="E261" i="21" s="1"/>
  <c r="D247" i="9"/>
  <c r="E260" i="21" s="1"/>
  <c r="AY246" i="9"/>
  <c r="AO246" i="9" s="1"/>
  <c r="D297" i="21" s="1"/>
  <c r="AX246" i="9"/>
  <c r="AN246" i="9" s="1"/>
  <c r="D296" i="21" s="1"/>
  <c r="AW246" i="9"/>
  <c r="AM246" i="9" s="1"/>
  <c r="D295" i="21" s="1"/>
  <c r="AV246" i="9"/>
  <c r="AL246" i="9" s="1"/>
  <c r="D294" i="21" s="1"/>
  <c r="AU246" i="9"/>
  <c r="AT246" i="9"/>
  <c r="AH246" i="9" s="1"/>
  <c r="D290" i="21" s="1"/>
  <c r="AR246" i="9"/>
  <c r="AS246" i="9" s="1"/>
  <c r="AQ246" i="9"/>
  <c r="AK246" i="9"/>
  <c r="D293" i="21" s="1"/>
  <c r="AG246" i="9"/>
  <c r="D289" i="21" s="1"/>
  <c r="AF246" i="9"/>
  <c r="D288" i="21" s="1"/>
  <c r="AE246" i="9"/>
  <c r="D287" i="21" s="1"/>
  <c r="AD246" i="9"/>
  <c r="D286" i="21" s="1"/>
  <c r="AC246" i="9"/>
  <c r="D285" i="21" s="1"/>
  <c r="AB246" i="9"/>
  <c r="D284" i="21" s="1"/>
  <c r="AA246" i="9"/>
  <c r="D283" i="21" s="1"/>
  <c r="Z246" i="9"/>
  <c r="D282" i="21" s="1"/>
  <c r="Y246" i="9"/>
  <c r="D281" i="21" s="1"/>
  <c r="X246" i="9"/>
  <c r="D280" i="21" s="1"/>
  <c r="W246" i="9"/>
  <c r="D279" i="21" s="1"/>
  <c r="V246" i="9"/>
  <c r="D278" i="21" s="1"/>
  <c r="U246" i="9"/>
  <c r="D277" i="21" s="1"/>
  <c r="T246" i="9"/>
  <c r="D276" i="21" s="1"/>
  <c r="S246" i="9"/>
  <c r="D275" i="21" s="1"/>
  <c r="R246" i="9"/>
  <c r="D274" i="21" s="1"/>
  <c r="Q246" i="9"/>
  <c r="D273" i="21" s="1"/>
  <c r="P246" i="9"/>
  <c r="D272" i="21" s="1"/>
  <c r="O246" i="9"/>
  <c r="D271" i="21" s="1"/>
  <c r="N246" i="9"/>
  <c r="D270" i="21" s="1"/>
  <c r="M246" i="9"/>
  <c r="D269" i="21" s="1"/>
  <c r="L246" i="9"/>
  <c r="D268" i="21" s="1"/>
  <c r="K246" i="9"/>
  <c r="D267" i="21" s="1"/>
  <c r="J246" i="9"/>
  <c r="D266" i="21" s="1"/>
  <c r="I246" i="9"/>
  <c r="D265" i="21" s="1"/>
  <c r="H246" i="9"/>
  <c r="D264" i="21" s="1"/>
  <c r="G246" i="9"/>
  <c r="D263" i="21" s="1"/>
  <c r="F246" i="9"/>
  <c r="D262" i="21" s="1"/>
  <c r="E246" i="9"/>
  <c r="D261" i="21" s="1"/>
  <c r="D246" i="9"/>
  <c r="D260" i="21" s="1"/>
  <c r="AQ245" i="9"/>
  <c r="AG245" i="9"/>
  <c r="AQ247" i="21" s="1"/>
  <c r="AF245" i="9"/>
  <c r="AQ246" i="21" s="1"/>
  <c r="AE245" i="9"/>
  <c r="AQ245" i="21" s="1"/>
  <c r="AD245" i="9"/>
  <c r="AQ244" i="21" s="1"/>
  <c r="AC245" i="9"/>
  <c r="AQ243" i="21" s="1"/>
  <c r="AB245" i="9"/>
  <c r="AQ242" i="21" s="1"/>
  <c r="AA245" i="9"/>
  <c r="AQ241" i="21" s="1"/>
  <c r="Z245" i="9"/>
  <c r="AQ240" i="21" s="1"/>
  <c r="Y245" i="9"/>
  <c r="AQ239" i="21" s="1"/>
  <c r="X245" i="9"/>
  <c r="AQ238" i="21" s="1"/>
  <c r="W245" i="9"/>
  <c r="AQ237" i="21" s="1"/>
  <c r="V245" i="9"/>
  <c r="AQ236" i="21" s="1"/>
  <c r="U245" i="9"/>
  <c r="AQ235" i="21" s="1"/>
  <c r="T245" i="9"/>
  <c r="AQ234" i="21" s="1"/>
  <c r="S245" i="9"/>
  <c r="AQ233" i="21" s="1"/>
  <c r="R245" i="9"/>
  <c r="AQ232" i="21" s="1"/>
  <c r="Q245" i="9"/>
  <c r="AQ231" i="21" s="1"/>
  <c r="P245" i="9"/>
  <c r="AQ230" i="21" s="1"/>
  <c r="O245" i="9"/>
  <c r="AQ229" i="21" s="1"/>
  <c r="N245" i="9"/>
  <c r="AQ228" i="21" s="1"/>
  <c r="M245" i="9"/>
  <c r="AQ227" i="21" s="1"/>
  <c r="L245" i="9"/>
  <c r="AQ226" i="21" s="1"/>
  <c r="K245" i="9"/>
  <c r="AQ225" i="21" s="1"/>
  <c r="J245" i="9"/>
  <c r="AQ224" i="21" s="1"/>
  <c r="I245" i="9"/>
  <c r="AQ223" i="21" s="1"/>
  <c r="H245" i="9"/>
  <c r="AQ222" i="21" s="1"/>
  <c r="G245" i="9"/>
  <c r="AQ221" i="21" s="1"/>
  <c r="F245" i="9"/>
  <c r="AQ220" i="21" s="1"/>
  <c r="E245" i="9"/>
  <c r="AQ219" i="21" s="1"/>
  <c r="D245" i="9"/>
  <c r="AQ218" i="21" s="1"/>
  <c r="AY244" i="9"/>
  <c r="AO244" i="9" s="1"/>
  <c r="AP255" i="21" s="1"/>
  <c r="AU244" i="9"/>
  <c r="AK244" i="9" s="1"/>
  <c r="AP251" i="21" s="1"/>
  <c r="AT244" i="9"/>
  <c r="AR244" i="9"/>
  <c r="AS244" i="9" s="1"/>
  <c r="AQ244" i="9"/>
  <c r="AG244" i="9"/>
  <c r="AP247" i="21" s="1"/>
  <c r="AF244" i="9"/>
  <c r="AP246" i="21" s="1"/>
  <c r="AE244" i="9"/>
  <c r="AP245" i="21" s="1"/>
  <c r="AD244" i="9"/>
  <c r="AP244" i="21" s="1"/>
  <c r="AC244" i="9"/>
  <c r="AP243" i="21" s="1"/>
  <c r="AB244" i="9"/>
  <c r="AP242" i="21" s="1"/>
  <c r="AA244" i="9"/>
  <c r="AP241" i="21" s="1"/>
  <c r="Z244" i="9"/>
  <c r="AP240" i="21" s="1"/>
  <c r="Y244" i="9"/>
  <c r="AP239" i="21" s="1"/>
  <c r="X244" i="9"/>
  <c r="AP238" i="21" s="1"/>
  <c r="W244" i="9"/>
  <c r="AP237" i="21" s="1"/>
  <c r="V244" i="9"/>
  <c r="AP236" i="21" s="1"/>
  <c r="U244" i="9"/>
  <c r="AP235" i="21" s="1"/>
  <c r="T244" i="9"/>
  <c r="AP234" i="21" s="1"/>
  <c r="S244" i="9"/>
  <c r="AP233" i="21" s="1"/>
  <c r="R244" i="9"/>
  <c r="AP232" i="21" s="1"/>
  <c r="Q244" i="9"/>
  <c r="AP231" i="21" s="1"/>
  <c r="P244" i="9"/>
  <c r="AP230" i="21" s="1"/>
  <c r="O244" i="9"/>
  <c r="AP229" i="21" s="1"/>
  <c r="N244" i="9"/>
  <c r="AP228" i="21" s="1"/>
  <c r="M244" i="9"/>
  <c r="AP227" i="21" s="1"/>
  <c r="L244" i="9"/>
  <c r="AP226" i="21" s="1"/>
  <c r="K244" i="9"/>
  <c r="AP225" i="21" s="1"/>
  <c r="J244" i="9"/>
  <c r="AP224" i="21" s="1"/>
  <c r="I244" i="9"/>
  <c r="AP223" i="21" s="1"/>
  <c r="H244" i="9"/>
  <c r="AP222" i="21" s="1"/>
  <c r="G244" i="9"/>
  <c r="AP221" i="21" s="1"/>
  <c r="F244" i="9"/>
  <c r="AP220" i="21" s="1"/>
  <c r="E244" i="9"/>
  <c r="AP219" i="21" s="1"/>
  <c r="D244" i="9"/>
  <c r="AP218" i="21" s="1"/>
  <c r="AY243" i="9"/>
  <c r="AO243" i="9" s="1"/>
  <c r="AO255" i="21" s="1"/>
  <c r="AW243" i="9"/>
  <c r="AM243" i="9" s="1"/>
  <c r="AO253" i="21" s="1"/>
  <c r="AU243" i="9"/>
  <c r="AK243" i="9" s="1"/>
  <c r="AO251" i="21" s="1"/>
  <c r="AT243" i="9"/>
  <c r="AI243" i="9" s="1"/>
  <c r="AO249" i="21" s="1"/>
  <c r="AQ243" i="9"/>
  <c r="AG243" i="9"/>
  <c r="AO247" i="21" s="1"/>
  <c r="AF243" i="9"/>
  <c r="AO246" i="21" s="1"/>
  <c r="AE243" i="9"/>
  <c r="AO245" i="21" s="1"/>
  <c r="AD243" i="9"/>
  <c r="AO244" i="21" s="1"/>
  <c r="AC243" i="9"/>
  <c r="AO243" i="21" s="1"/>
  <c r="AB243" i="9"/>
  <c r="AO242" i="21" s="1"/>
  <c r="AA243" i="9"/>
  <c r="AO241" i="21" s="1"/>
  <c r="Z243" i="9"/>
  <c r="AO240" i="21" s="1"/>
  <c r="Y243" i="9"/>
  <c r="AO239" i="21" s="1"/>
  <c r="X243" i="9"/>
  <c r="AO238" i="21" s="1"/>
  <c r="W243" i="9"/>
  <c r="AO237" i="21" s="1"/>
  <c r="V243" i="9"/>
  <c r="AO236" i="21" s="1"/>
  <c r="U243" i="9"/>
  <c r="AO235" i="21" s="1"/>
  <c r="T243" i="9"/>
  <c r="AO234" i="21" s="1"/>
  <c r="S243" i="9"/>
  <c r="AO233" i="21" s="1"/>
  <c r="R243" i="9"/>
  <c r="AO232" i="21" s="1"/>
  <c r="Q243" i="9"/>
  <c r="AO231" i="21" s="1"/>
  <c r="P243" i="9"/>
  <c r="AO230" i="21" s="1"/>
  <c r="O243" i="9"/>
  <c r="AO229" i="21" s="1"/>
  <c r="N243" i="9"/>
  <c r="AO228" i="21" s="1"/>
  <c r="M243" i="9"/>
  <c r="AO227" i="21" s="1"/>
  <c r="L243" i="9"/>
  <c r="AO226" i="21" s="1"/>
  <c r="K243" i="9"/>
  <c r="AO225" i="21" s="1"/>
  <c r="J243" i="9"/>
  <c r="AO224" i="21" s="1"/>
  <c r="I243" i="9"/>
  <c r="AO223" i="21" s="1"/>
  <c r="H243" i="9"/>
  <c r="AO222" i="21" s="1"/>
  <c r="G243" i="9"/>
  <c r="AO221" i="21" s="1"/>
  <c r="F243" i="9"/>
  <c r="AO220" i="21" s="1"/>
  <c r="E243" i="9"/>
  <c r="AO219" i="21" s="1"/>
  <c r="D243" i="9"/>
  <c r="AO218" i="21" s="1"/>
  <c r="AQ242" i="9"/>
  <c r="AG242" i="9"/>
  <c r="AN247" i="21" s="1"/>
  <c r="AF242" i="9"/>
  <c r="AN246" i="21" s="1"/>
  <c r="AE242" i="9"/>
  <c r="AN245" i="21" s="1"/>
  <c r="AD242" i="9"/>
  <c r="AN244" i="21" s="1"/>
  <c r="AC242" i="9"/>
  <c r="AN243" i="21" s="1"/>
  <c r="AB242" i="9"/>
  <c r="AN242" i="21" s="1"/>
  <c r="AA242" i="9"/>
  <c r="AN241" i="21" s="1"/>
  <c r="Z242" i="9"/>
  <c r="AN240" i="21" s="1"/>
  <c r="Y242" i="9"/>
  <c r="AN239" i="21" s="1"/>
  <c r="X242" i="9"/>
  <c r="AN238" i="21" s="1"/>
  <c r="W242" i="9"/>
  <c r="AN237" i="21" s="1"/>
  <c r="V242" i="9"/>
  <c r="AN236" i="21" s="1"/>
  <c r="U242" i="9"/>
  <c r="AN235" i="21" s="1"/>
  <c r="T242" i="9"/>
  <c r="AN234" i="21" s="1"/>
  <c r="S242" i="9"/>
  <c r="AN233" i="21" s="1"/>
  <c r="R242" i="9"/>
  <c r="AN232" i="21" s="1"/>
  <c r="Q242" i="9"/>
  <c r="AN231" i="21" s="1"/>
  <c r="P242" i="9"/>
  <c r="AN230" i="21" s="1"/>
  <c r="O242" i="9"/>
  <c r="AN229" i="21" s="1"/>
  <c r="N242" i="9"/>
  <c r="AN228" i="21" s="1"/>
  <c r="M242" i="9"/>
  <c r="AN227" i="21" s="1"/>
  <c r="L242" i="9"/>
  <c r="AN226" i="21" s="1"/>
  <c r="K242" i="9"/>
  <c r="AN225" i="21" s="1"/>
  <c r="J242" i="9"/>
  <c r="AN224" i="21" s="1"/>
  <c r="I242" i="9"/>
  <c r="AN223" i="21" s="1"/>
  <c r="H242" i="9"/>
  <c r="AN222" i="21" s="1"/>
  <c r="G242" i="9"/>
  <c r="AN221" i="21" s="1"/>
  <c r="F242" i="9"/>
  <c r="AN220" i="21" s="1"/>
  <c r="E242" i="9"/>
  <c r="AN219" i="21" s="1"/>
  <c r="D242" i="9"/>
  <c r="AN218" i="21" s="1"/>
  <c r="AQ241" i="9"/>
  <c r="AG241" i="9"/>
  <c r="AM247" i="21" s="1"/>
  <c r="AF241" i="9"/>
  <c r="AM246" i="21" s="1"/>
  <c r="AE241" i="9"/>
  <c r="AM245" i="21" s="1"/>
  <c r="AD241" i="9"/>
  <c r="AM244" i="21" s="1"/>
  <c r="AC241" i="9"/>
  <c r="AM243" i="21" s="1"/>
  <c r="AB241" i="9"/>
  <c r="AM242" i="21" s="1"/>
  <c r="AA241" i="9"/>
  <c r="AM241" i="21" s="1"/>
  <c r="Z241" i="9"/>
  <c r="AM240" i="21" s="1"/>
  <c r="Y241" i="9"/>
  <c r="AM239" i="21" s="1"/>
  <c r="X241" i="9"/>
  <c r="AM238" i="21" s="1"/>
  <c r="W241" i="9"/>
  <c r="AM237" i="21" s="1"/>
  <c r="V241" i="9"/>
  <c r="AM236" i="21" s="1"/>
  <c r="U241" i="9"/>
  <c r="AM235" i="21" s="1"/>
  <c r="T241" i="9"/>
  <c r="AM234" i="21" s="1"/>
  <c r="S241" i="9"/>
  <c r="AM233" i="21" s="1"/>
  <c r="R241" i="9"/>
  <c r="AM232" i="21" s="1"/>
  <c r="Q241" i="9"/>
  <c r="AM231" i="21" s="1"/>
  <c r="P241" i="9"/>
  <c r="AM230" i="21" s="1"/>
  <c r="O241" i="9"/>
  <c r="AM229" i="21" s="1"/>
  <c r="N241" i="9"/>
  <c r="AM228" i="21" s="1"/>
  <c r="M241" i="9"/>
  <c r="AM227" i="21" s="1"/>
  <c r="L241" i="9"/>
  <c r="AM226" i="21" s="1"/>
  <c r="K241" i="9"/>
  <c r="AM225" i="21" s="1"/>
  <c r="J241" i="9"/>
  <c r="AM224" i="21" s="1"/>
  <c r="I241" i="9"/>
  <c r="AM223" i="21" s="1"/>
  <c r="H241" i="9"/>
  <c r="AM222" i="21" s="1"/>
  <c r="G241" i="9"/>
  <c r="AM221" i="21" s="1"/>
  <c r="F241" i="9"/>
  <c r="AM220" i="21" s="1"/>
  <c r="E241" i="9"/>
  <c r="AM219" i="21" s="1"/>
  <c r="D241" i="9"/>
  <c r="AM218" i="21" s="1"/>
  <c r="AQ240" i="9"/>
  <c r="AY240" i="9" s="1"/>
  <c r="AO240" i="9" s="1"/>
  <c r="AL255" i="21" s="1"/>
  <c r="AG240" i="9"/>
  <c r="AL247" i="21" s="1"/>
  <c r="AF240" i="9"/>
  <c r="AL246" i="21" s="1"/>
  <c r="AE240" i="9"/>
  <c r="AL245" i="21" s="1"/>
  <c r="AD240" i="9"/>
  <c r="AL244" i="21" s="1"/>
  <c r="AC240" i="9"/>
  <c r="AL243" i="21" s="1"/>
  <c r="AB240" i="9"/>
  <c r="AL242" i="21" s="1"/>
  <c r="AA240" i="9"/>
  <c r="AL241" i="21" s="1"/>
  <c r="Z240" i="9"/>
  <c r="AL240" i="21" s="1"/>
  <c r="Y240" i="9"/>
  <c r="AL239" i="21" s="1"/>
  <c r="X240" i="9"/>
  <c r="AL238" i="21" s="1"/>
  <c r="W240" i="9"/>
  <c r="AL237" i="21" s="1"/>
  <c r="V240" i="9"/>
  <c r="AL236" i="21" s="1"/>
  <c r="U240" i="9"/>
  <c r="AL235" i="21" s="1"/>
  <c r="T240" i="9"/>
  <c r="AL234" i="21" s="1"/>
  <c r="S240" i="9"/>
  <c r="AL233" i="21" s="1"/>
  <c r="R240" i="9"/>
  <c r="AL232" i="21" s="1"/>
  <c r="Q240" i="9"/>
  <c r="AL231" i="21" s="1"/>
  <c r="P240" i="9"/>
  <c r="AL230" i="21" s="1"/>
  <c r="O240" i="9"/>
  <c r="AL229" i="21" s="1"/>
  <c r="N240" i="9"/>
  <c r="AL228" i="21" s="1"/>
  <c r="M240" i="9"/>
  <c r="AL227" i="21" s="1"/>
  <c r="L240" i="9"/>
  <c r="AL226" i="21" s="1"/>
  <c r="K240" i="9"/>
  <c r="AL225" i="21" s="1"/>
  <c r="J240" i="9"/>
  <c r="AL224" i="21" s="1"/>
  <c r="I240" i="9"/>
  <c r="AL223" i="21" s="1"/>
  <c r="H240" i="9"/>
  <c r="AL222" i="21" s="1"/>
  <c r="G240" i="9"/>
  <c r="AL221" i="21" s="1"/>
  <c r="F240" i="9"/>
  <c r="AL220" i="21" s="1"/>
  <c r="E240" i="9"/>
  <c r="AL219" i="21" s="1"/>
  <c r="D240" i="9"/>
  <c r="AL218" i="21" s="1"/>
  <c r="AY239" i="9"/>
  <c r="AO239" i="9" s="1"/>
  <c r="AK255" i="21" s="1"/>
  <c r="AQ239" i="9"/>
  <c r="AG239" i="9"/>
  <c r="AK247" i="21" s="1"/>
  <c r="AF239" i="9"/>
  <c r="AK246" i="21" s="1"/>
  <c r="AE239" i="9"/>
  <c r="AK245" i="21" s="1"/>
  <c r="AD239" i="9"/>
  <c r="AK244" i="21" s="1"/>
  <c r="AC239" i="9"/>
  <c r="AK243" i="21" s="1"/>
  <c r="AB239" i="9"/>
  <c r="AK242" i="21" s="1"/>
  <c r="AA239" i="9"/>
  <c r="AK241" i="21" s="1"/>
  <c r="Z239" i="9"/>
  <c r="AK240" i="21" s="1"/>
  <c r="Y239" i="9"/>
  <c r="AK239" i="21" s="1"/>
  <c r="X239" i="9"/>
  <c r="AK238" i="21" s="1"/>
  <c r="W239" i="9"/>
  <c r="AK237" i="21" s="1"/>
  <c r="V239" i="9"/>
  <c r="AK236" i="21" s="1"/>
  <c r="U239" i="9"/>
  <c r="AK235" i="21" s="1"/>
  <c r="T239" i="9"/>
  <c r="AK234" i="21" s="1"/>
  <c r="S239" i="9"/>
  <c r="AK233" i="21" s="1"/>
  <c r="R239" i="9"/>
  <c r="AK232" i="21" s="1"/>
  <c r="Q239" i="9"/>
  <c r="AK231" i="21" s="1"/>
  <c r="P239" i="9"/>
  <c r="AK230" i="21" s="1"/>
  <c r="O239" i="9"/>
  <c r="AK229" i="21" s="1"/>
  <c r="N239" i="9"/>
  <c r="AK228" i="21" s="1"/>
  <c r="M239" i="9"/>
  <c r="AK227" i="21" s="1"/>
  <c r="L239" i="9"/>
  <c r="AK226" i="21" s="1"/>
  <c r="K239" i="9"/>
  <c r="AK225" i="21" s="1"/>
  <c r="J239" i="9"/>
  <c r="AK224" i="21" s="1"/>
  <c r="I239" i="9"/>
  <c r="AK223" i="21" s="1"/>
  <c r="H239" i="9"/>
  <c r="AK222" i="21" s="1"/>
  <c r="G239" i="9"/>
  <c r="AK221" i="21" s="1"/>
  <c r="F239" i="9"/>
  <c r="AK220" i="21" s="1"/>
  <c r="E239" i="9"/>
  <c r="AK219" i="21" s="1"/>
  <c r="D239" i="9"/>
  <c r="AK218" i="21" s="1"/>
  <c r="AQ238" i="9"/>
  <c r="AG238" i="9"/>
  <c r="AJ247" i="21" s="1"/>
  <c r="AF238" i="9"/>
  <c r="AJ246" i="21" s="1"/>
  <c r="AE238" i="9"/>
  <c r="AJ245" i="21" s="1"/>
  <c r="AD238" i="9"/>
  <c r="AJ244" i="21" s="1"/>
  <c r="AC238" i="9"/>
  <c r="AJ243" i="21" s="1"/>
  <c r="AB238" i="9"/>
  <c r="AJ242" i="21" s="1"/>
  <c r="AA238" i="9"/>
  <c r="AJ241" i="21" s="1"/>
  <c r="Z238" i="9"/>
  <c r="AJ240" i="21" s="1"/>
  <c r="Y238" i="9"/>
  <c r="AJ239" i="21" s="1"/>
  <c r="X238" i="9"/>
  <c r="AJ238" i="21" s="1"/>
  <c r="W238" i="9"/>
  <c r="AJ237" i="21" s="1"/>
  <c r="V238" i="9"/>
  <c r="AJ236" i="21" s="1"/>
  <c r="U238" i="9"/>
  <c r="AJ235" i="21" s="1"/>
  <c r="T238" i="9"/>
  <c r="AJ234" i="21" s="1"/>
  <c r="S238" i="9"/>
  <c r="AJ233" i="21" s="1"/>
  <c r="R238" i="9"/>
  <c r="AJ232" i="21" s="1"/>
  <c r="Q238" i="9"/>
  <c r="AJ231" i="21" s="1"/>
  <c r="P238" i="9"/>
  <c r="AJ230" i="21" s="1"/>
  <c r="O238" i="9"/>
  <c r="AJ229" i="21" s="1"/>
  <c r="N238" i="9"/>
  <c r="AJ228" i="21" s="1"/>
  <c r="M238" i="9"/>
  <c r="AJ227" i="21" s="1"/>
  <c r="L238" i="9"/>
  <c r="AJ226" i="21" s="1"/>
  <c r="K238" i="9"/>
  <c r="AJ225" i="21" s="1"/>
  <c r="J238" i="9"/>
  <c r="AJ224" i="21" s="1"/>
  <c r="I238" i="9"/>
  <c r="AJ223" i="21" s="1"/>
  <c r="H238" i="9"/>
  <c r="AJ222" i="21" s="1"/>
  <c r="G238" i="9"/>
  <c r="AJ221" i="21" s="1"/>
  <c r="F238" i="9"/>
  <c r="AJ220" i="21" s="1"/>
  <c r="E238" i="9"/>
  <c r="AJ219" i="21" s="1"/>
  <c r="D238" i="9"/>
  <c r="AJ218" i="21" s="1"/>
  <c r="AY237" i="9"/>
  <c r="AO237" i="9" s="1"/>
  <c r="AI255" i="21" s="1"/>
  <c r="AX237" i="9"/>
  <c r="AN237" i="9" s="1"/>
  <c r="AI254" i="21" s="1"/>
  <c r="AW237" i="9"/>
  <c r="AM237" i="9" s="1"/>
  <c r="AI253" i="21" s="1"/>
  <c r="AV237" i="9"/>
  <c r="AU237" i="9"/>
  <c r="AK237" i="9" s="1"/>
  <c r="AI251" i="21" s="1"/>
  <c r="AR237" i="9"/>
  <c r="AS237" i="9" s="1"/>
  <c r="AQ237" i="9"/>
  <c r="AT237" i="9" s="1"/>
  <c r="AL237" i="9"/>
  <c r="AI252" i="21" s="1"/>
  <c r="AJ237" i="9"/>
  <c r="AI250" i="21" s="1"/>
  <c r="AI237" i="9"/>
  <c r="AI249" i="21" s="1"/>
  <c r="AH237" i="9"/>
  <c r="AI248" i="21" s="1"/>
  <c r="AG237" i="9"/>
  <c r="AI247" i="21" s="1"/>
  <c r="AF237" i="9"/>
  <c r="AI246" i="21" s="1"/>
  <c r="AE237" i="9"/>
  <c r="AI245" i="21" s="1"/>
  <c r="AD237" i="9"/>
  <c r="AI244" i="21" s="1"/>
  <c r="AC237" i="9"/>
  <c r="AI243" i="21" s="1"/>
  <c r="AB237" i="9"/>
  <c r="AI242" i="21" s="1"/>
  <c r="AA237" i="9"/>
  <c r="AI241" i="21" s="1"/>
  <c r="Z237" i="9"/>
  <c r="AI240" i="21" s="1"/>
  <c r="Y237" i="9"/>
  <c r="AI239" i="21" s="1"/>
  <c r="X237" i="9"/>
  <c r="AI238" i="21" s="1"/>
  <c r="W237" i="9"/>
  <c r="AI237" i="21" s="1"/>
  <c r="V237" i="9"/>
  <c r="AI236" i="21" s="1"/>
  <c r="U237" i="9"/>
  <c r="AI235" i="21" s="1"/>
  <c r="T237" i="9"/>
  <c r="AI234" i="21" s="1"/>
  <c r="S237" i="9"/>
  <c r="AI233" i="21" s="1"/>
  <c r="R237" i="9"/>
  <c r="AI232" i="21" s="1"/>
  <c r="Q237" i="9"/>
  <c r="AI231" i="21" s="1"/>
  <c r="P237" i="9"/>
  <c r="AI230" i="21" s="1"/>
  <c r="O237" i="9"/>
  <c r="AI229" i="21" s="1"/>
  <c r="N237" i="9"/>
  <c r="AI228" i="21" s="1"/>
  <c r="M237" i="9"/>
  <c r="AI227" i="21" s="1"/>
  <c r="L237" i="9"/>
  <c r="AI226" i="21" s="1"/>
  <c r="K237" i="9"/>
  <c r="AI225" i="21" s="1"/>
  <c r="J237" i="9"/>
  <c r="AI224" i="21" s="1"/>
  <c r="I237" i="9"/>
  <c r="AI223" i="21" s="1"/>
  <c r="H237" i="9"/>
  <c r="AI222" i="21" s="1"/>
  <c r="G237" i="9"/>
  <c r="AI221" i="21" s="1"/>
  <c r="F237" i="9"/>
  <c r="AI220" i="21" s="1"/>
  <c r="E237" i="9"/>
  <c r="AI219" i="21" s="1"/>
  <c r="D237" i="9"/>
  <c r="AI218" i="21" s="1"/>
  <c r="AX236" i="9"/>
  <c r="AN236" i="9" s="1"/>
  <c r="AH254" i="21" s="1"/>
  <c r="AT236" i="9"/>
  <c r="AJ236" i="9" s="1"/>
  <c r="AH250" i="21" s="1"/>
  <c r="AR236" i="9"/>
  <c r="AS236" i="9" s="1"/>
  <c r="AQ236" i="9"/>
  <c r="AI236" i="9"/>
  <c r="AH249" i="21" s="1"/>
  <c r="AH236" i="9"/>
  <c r="AH248" i="21" s="1"/>
  <c r="AG236" i="9"/>
  <c r="AH247" i="21" s="1"/>
  <c r="AF236" i="9"/>
  <c r="AH246" i="21" s="1"/>
  <c r="AE236" i="9"/>
  <c r="AH245" i="21" s="1"/>
  <c r="AD236" i="9"/>
  <c r="AH244" i="21" s="1"/>
  <c r="AC236" i="9"/>
  <c r="AH243" i="21" s="1"/>
  <c r="AB236" i="9"/>
  <c r="AH242" i="21" s="1"/>
  <c r="AA236" i="9"/>
  <c r="AH241" i="21" s="1"/>
  <c r="Z236" i="9"/>
  <c r="AH240" i="21" s="1"/>
  <c r="Y236" i="9"/>
  <c r="AH239" i="21" s="1"/>
  <c r="X236" i="9"/>
  <c r="AH238" i="21" s="1"/>
  <c r="W236" i="9"/>
  <c r="AH237" i="21" s="1"/>
  <c r="V236" i="9"/>
  <c r="AH236" i="21" s="1"/>
  <c r="U236" i="9"/>
  <c r="AH235" i="21" s="1"/>
  <c r="T236" i="9"/>
  <c r="AH234" i="21" s="1"/>
  <c r="S236" i="9"/>
  <c r="AH233" i="21" s="1"/>
  <c r="R236" i="9"/>
  <c r="AH232" i="21" s="1"/>
  <c r="Q236" i="9"/>
  <c r="AH231" i="21" s="1"/>
  <c r="P236" i="9"/>
  <c r="AH230" i="21" s="1"/>
  <c r="O236" i="9"/>
  <c r="AH229" i="21" s="1"/>
  <c r="N236" i="9"/>
  <c r="AH228" i="21" s="1"/>
  <c r="M236" i="9"/>
  <c r="AH227" i="21" s="1"/>
  <c r="L236" i="9"/>
  <c r="AH226" i="21" s="1"/>
  <c r="K236" i="9"/>
  <c r="AH225" i="21" s="1"/>
  <c r="J236" i="9"/>
  <c r="AH224" i="21" s="1"/>
  <c r="I236" i="9"/>
  <c r="AH223" i="21" s="1"/>
  <c r="H236" i="9"/>
  <c r="AH222" i="21" s="1"/>
  <c r="G236" i="9"/>
  <c r="AH221" i="21" s="1"/>
  <c r="F236" i="9"/>
  <c r="AH220" i="21" s="1"/>
  <c r="E236" i="9"/>
  <c r="AH219" i="21" s="1"/>
  <c r="D236" i="9"/>
  <c r="AH218" i="21" s="1"/>
  <c r="AX235" i="9"/>
  <c r="AN235" i="9" s="1"/>
  <c r="AG254" i="21" s="1"/>
  <c r="AW235" i="9"/>
  <c r="AM235" i="9" s="1"/>
  <c r="AG253" i="21" s="1"/>
  <c r="AV235" i="9"/>
  <c r="AL235" i="9" s="1"/>
  <c r="AG252" i="21" s="1"/>
  <c r="AQ235" i="9"/>
  <c r="AR235" i="9" s="1"/>
  <c r="AS235" i="9" s="1"/>
  <c r="AG235" i="9"/>
  <c r="AG247" i="21" s="1"/>
  <c r="AF235" i="9"/>
  <c r="AG246" i="21" s="1"/>
  <c r="AE235" i="9"/>
  <c r="AG245" i="21" s="1"/>
  <c r="AD235" i="9"/>
  <c r="AG244" i="21" s="1"/>
  <c r="AC235" i="9"/>
  <c r="AG243" i="21" s="1"/>
  <c r="AB235" i="9"/>
  <c r="AG242" i="21" s="1"/>
  <c r="AA235" i="9"/>
  <c r="AG241" i="21" s="1"/>
  <c r="Z235" i="9"/>
  <c r="AG240" i="21" s="1"/>
  <c r="Y235" i="9"/>
  <c r="AG239" i="21" s="1"/>
  <c r="X235" i="9"/>
  <c r="AG238" i="21" s="1"/>
  <c r="W235" i="9"/>
  <c r="AG237" i="21" s="1"/>
  <c r="V235" i="9"/>
  <c r="AG236" i="21" s="1"/>
  <c r="U235" i="9"/>
  <c r="AG235" i="21" s="1"/>
  <c r="T235" i="9"/>
  <c r="AG234" i="21" s="1"/>
  <c r="S235" i="9"/>
  <c r="AG233" i="21" s="1"/>
  <c r="R235" i="9"/>
  <c r="AG232" i="21" s="1"/>
  <c r="Q235" i="9"/>
  <c r="AG231" i="21" s="1"/>
  <c r="P235" i="9"/>
  <c r="AG230" i="21" s="1"/>
  <c r="O235" i="9"/>
  <c r="AG229" i="21" s="1"/>
  <c r="N235" i="9"/>
  <c r="AG228" i="21" s="1"/>
  <c r="M235" i="9"/>
  <c r="AG227" i="21" s="1"/>
  <c r="L235" i="9"/>
  <c r="AG226" i="21" s="1"/>
  <c r="K235" i="9"/>
  <c r="AG225" i="21" s="1"/>
  <c r="J235" i="9"/>
  <c r="AG224" i="21" s="1"/>
  <c r="I235" i="9"/>
  <c r="AG223" i="21" s="1"/>
  <c r="H235" i="9"/>
  <c r="AG222" i="21" s="1"/>
  <c r="G235" i="9"/>
  <c r="AG221" i="21" s="1"/>
  <c r="F235" i="9"/>
  <c r="AG220" i="21" s="1"/>
  <c r="E235" i="9"/>
  <c r="AG219" i="21" s="1"/>
  <c r="D235" i="9"/>
  <c r="AG218" i="21" s="1"/>
  <c r="AY234" i="9"/>
  <c r="AO234" i="9" s="1"/>
  <c r="AF255" i="21" s="1"/>
  <c r="AX234" i="9"/>
  <c r="AW234" i="9"/>
  <c r="AV234" i="9"/>
  <c r="AT234" i="9"/>
  <c r="AS234" i="9"/>
  <c r="AR234" i="9"/>
  <c r="AQ234" i="9"/>
  <c r="AU234" i="9" s="1"/>
  <c r="AK234" i="9" s="1"/>
  <c r="AF251" i="21" s="1"/>
  <c r="AN234" i="9"/>
  <c r="AF254" i="21" s="1"/>
  <c r="AM234" i="9"/>
  <c r="AF253" i="21" s="1"/>
  <c r="AL234" i="9"/>
  <c r="AF252" i="21" s="1"/>
  <c r="AJ234" i="9"/>
  <c r="AF250" i="21" s="1"/>
  <c r="AI234" i="9"/>
  <c r="AF249" i="21" s="1"/>
  <c r="AH234" i="9"/>
  <c r="AF248" i="21" s="1"/>
  <c r="AG234" i="9"/>
  <c r="AF247" i="21" s="1"/>
  <c r="AF234" i="9"/>
  <c r="AF246" i="21" s="1"/>
  <c r="AE234" i="9"/>
  <c r="AF245" i="21" s="1"/>
  <c r="AD234" i="9"/>
  <c r="AF244" i="21" s="1"/>
  <c r="AC234" i="9"/>
  <c r="AF243" i="21" s="1"/>
  <c r="AB234" i="9"/>
  <c r="AF242" i="21" s="1"/>
  <c r="AA234" i="9"/>
  <c r="AF241" i="21" s="1"/>
  <c r="Z234" i="9"/>
  <c r="AF240" i="21" s="1"/>
  <c r="Y234" i="9"/>
  <c r="AF239" i="21" s="1"/>
  <c r="X234" i="9"/>
  <c r="AF238" i="21" s="1"/>
  <c r="W234" i="9"/>
  <c r="AF237" i="21" s="1"/>
  <c r="V234" i="9"/>
  <c r="AF236" i="21" s="1"/>
  <c r="U234" i="9"/>
  <c r="AF235" i="21" s="1"/>
  <c r="T234" i="9"/>
  <c r="AF234" i="21" s="1"/>
  <c r="S234" i="9"/>
  <c r="AF233" i="21" s="1"/>
  <c r="R234" i="9"/>
  <c r="AF232" i="21" s="1"/>
  <c r="Q234" i="9"/>
  <c r="AF231" i="21" s="1"/>
  <c r="P234" i="9"/>
  <c r="AF230" i="21" s="1"/>
  <c r="O234" i="9"/>
  <c r="AF229" i="21" s="1"/>
  <c r="N234" i="9"/>
  <c r="AF228" i="21" s="1"/>
  <c r="M234" i="9"/>
  <c r="AF227" i="21" s="1"/>
  <c r="L234" i="9"/>
  <c r="AF226" i="21" s="1"/>
  <c r="K234" i="9"/>
  <c r="AF225" i="21" s="1"/>
  <c r="J234" i="9"/>
  <c r="AF224" i="21" s="1"/>
  <c r="I234" i="9"/>
  <c r="AF223" i="21" s="1"/>
  <c r="H234" i="9"/>
  <c r="AF222" i="21" s="1"/>
  <c r="G234" i="9"/>
  <c r="AF221" i="21" s="1"/>
  <c r="F234" i="9"/>
  <c r="AF220" i="21" s="1"/>
  <c r="E234" i="9"/>
  <c r="AF219" i="21" s="1"/>
  <c r="D234" i="9"/>
  <c r="AF218" i="21" s="1"/>
  <c r="AR233" i="9"/>
  <c r="AS233" i="9" s="1"/>
  <c r="AQ233" i="9"/>
  <c r="AG233" i="9"/>
  <c r="AE247" i="21" s="1"/>
  <c r="AF233" i="9"/>
  <c r="AE246" i="21" s="1"/>
  <c r="AE233" i="9"/>
  <c r="AE245" i="21" s="1"/>
  <c r="AD233" i="9"/>
  <c r="AE244" i="21" s="1"/>
  <c r="AC233" i="9"/>
  <c r="AE243" i="21" s="1"/>
  <c r="AB233" i="9"/>
  <c r="AE242" i="21" s="1"/>
  <c r="AA233" i="9"/>
  <c r="AE241" i="21" s="1"/>
  <c r="Z233" i="9"/>
  <c r="AE240" i="21" s="1"/>
  <c r="Y233" i="9"/>
  <c r="AE239" i="21" s="1"/>
  <c r="X233" i="9"/>
  <c r="AE238" i="21" s="1"/>
  <c r="W233" i="9"/>
  <c r="AE237" i="21" s="1"/>
  <c r="V233" i="9"/>
  <c r="AE236" i="21" s="1"/>
  <c r="U233" i="9"/>
  <c r="AE235" i="21" s="1"/>
  <c r="T233" i="9"/>
  <c r="AE234" i="21" s="1"/>
  <c r="S233" i="9"/>
  <c r="AE233" i="21" s="1"/>
  <c r="R233" i="9"/>
  <c r="AE232" i="21" s="1"/>
  <c r="Q233" i="9"/>
  <c r="AE231" i="21" s="1"/>
  <c r="P233" i="9"/>
  <c r="AE230" i="21" s="1"/>
  <c r="O233" i="9"/>
  <c r="AE229" i="21" s="1"/>
  <c r="N233" i="9"/>
  <c r="AE228" i="21" s="1"/>
  <c r="M233" i="9"/>
  <c r="AE227" i="21" s="1"/>
  <c r="L233" i="9"/>
  <c r="AE226" i="21" s="1"/>
  <c r="K233" i="9"/>
  <c r="AE225" i="21" s="1"/>
  <c r="J233" i="9"/>
  <c r="AE224" i="21" s="1"/>
  <c r="I233" i="9"/>
  <c r="AE223" i="21" s="1"/>
  <c r="H233" i="9"/>
  <c r="AE222" i="21" s="1"/>
  <c r="G233" i="9"/>
  <c r="AE221" i="21" s="1"/>
  <c r="F233" i="9"/>
  <c r="AE220" i="21" s="1"/>
  <c r="E233" i="9"/>
  <c r="AE219" i="21" s="1"/>
  <c r="D233" i="9"/>
  <c r="AE218" i="21" s="1"/>
  <c r="AY232" i="9"/>
  <c r="AX232" i="9"/>
  <c r="AW232" i="9"/>
  <c r="AM232" i="9" s="1"/>
  <c r="AD253" i="21" s="1"/>
  <c r="AV232" i="9"/>
  <c r="AL232" i="9" s="1"/>
  <c r="AD252" i="21" s="1"/>
  <c r="AU232" i="9"/>
  <c r="AK232" i="9" s="1"/>
  <c r="AD251" i="21" s="1"/>
  <c r="AT232" i="9"/>
  <c r="AI232" i="9" s="1"/>
  <c r="AD249" i="21" s="1"/>
  <c r="AS232" i="9"/>
  <c r="AR232" i="9"/>
  <c r="AQ232" i="9"/>
  <c r="AO232" i="9"/>
  <c r="AD255" i="21" s="1"/>
  <c r="AN232" i="9"/>
  <c r="AD254" i="21" s="1"/>
  <c r="AG232" i="9"/>
  <c r="AD247" i="21" s="1"/>
  <c r="AF232" i="9"/>
  <c r="AD246" i="21" s="1"/>
  <c r="AE232" i="9"/>
  <c r="AD245" i="21" s="1"/>
  <c r="AD232" i="9"/>
  <c r="AD244" i="21" s="1"/>
  <c r="AC232" i="9"/>
  <c r="AD243" i="21" s="1"/>
  <c r="AB232" i="9"/>
  <c r="AD242" i="21" s="1"/>
  <c r="AA232" i="9"/>
  <c r="AD241" i="21" s="1"/>
  <c r="Z232" i="9"/>
  <c r="AD240" i="21" s="1"/>
  <c r="Y232" i="9"/>
  <c r="AD239" i="21" s="1"/>
  <c r="X232" i="9"/>
  <c r="AD238" i="21" s="1"/>
  <c r="W232" i="9"/>
  <c r="AD237" i="21" s="1"/>
  <c r="V232" i="9"/>
  <c r="AD236" i="21" s="1"/>
  <c r="U232" i="9"/>
  <c r="AD235" i="21" s="1"/>
  <c r="T232" i="9"/>
  <c r="AD234" i="21" s="1"/>
  <c r="S232" i="9"/>
  <c r="AD233" i="21" s="1"/>
  <c r="R232" i="9"/>
  <c r="AD232" i="21" s="1"/>
  <c r="Q232" i="9"/>
  <c r="AD231" i="21" s="1"/>
  <c r="P232" i="9"/>
  <c r="AD230" i="21" s="1"/>
  <c r="O232" i="9"/>
  <c r="AD229" i="21" s="1"/>
  <c r="N232" i="9"/>
  <c r="AD228" i="21" s="1"/>
  <c r="M232" i="9"/>
  <c r="AD227" i="21" s="1"/>
  <c r="L232" i="9"/>
  <c r="AD226" i="21" s="1"/>
  <c r="K232" i="9"/>
  <c r="AD225" i="21" s="1"/>
  <c r="J232" i="9"/>
  <c r="AD224" i="21" s="1"/>
  <c r="I232" i="9"/>
  <c r="AD223" i="21" s="1"/>
  <c r="H232" i="9"/>
  <c r="AD222" i="21" s="1"/>
  <c r="G232" i="9"/>
  <c r="AD221" i="21" s="1"/>
  <c r="F232" i="9"/>
  <c r="AD220" i="21" s="1"/>
  <c r="E232" i="9"/>
  <c r="AD219" i="21" s="1"/>
  <c r="D232" i="9"/>
  <c r="AD218" i="21" s="1"/>
  <c r="AY231" i="9"/>
  <c r="AX231" i="9"/>
  <c r="AN231" i="9" s="1"/>
  <c r="AC254" i="21" s="1"/>
  <c r="AW231" i="9"/>
  <c r="AM231" i="9" s="1"/>
  <c r="AC253" i="21" s="1"/>
  <c r="AQ231" i="9"/>
  <c r="AO231" i="9"/>
  <c r="AC255" i="21" s="1"/>
  <c r="AG231" i="9"/>
  <c r="AC247" i="21" s="1"/>
  <c r="AF231" i="9"/>
  <c r="AC246" i="21" s="1"/>
  <c r="AE231" i="9"/>
  <c r="AC245" i="21" s="1"/>
  <c r="AD231" i="9"/>
  <c r="AC244" i="21" s="1"/>
  <c r="AC231" i="9"/>
  <c r="AC243" i="21" s="1"/>
  <c r="AB231" i="9"/>
  <c r="AC242" i="21" s="1"/>
  <c r="AA231" i="9"/>
  <c r="AC241" i="21" s="1"/>
  <c r="Z231" i="9"/>
  <c r="AC240" i="21" s="1"/>
  <c r="Y231" i="9"/>
  <c r="AC239" i="21" s="1"/>
  <c r="X231" i="9"/>
  <c r="AC238" i="21" s="1"/>
  <c r="W231" i="9"/>
  <c r="AC237" i="21" s="1"/>
  <c r="V231" i="9"/>
  <c r="AC236" i="21" s="1"/>
  <c r="U231" i="9"/>
  <c r="AC235" i="21" s="1"/>
  <c r="T231" i="9"/>
  <c r="AC234" i="21" s="1"/>
  <c r="S231" i="9"/>
  <c r="AC233" i="21" s="1"/>
  <c r="R231" i="9"/>
  <c r="AC232" i="21" s="1"/>
  <c r="Q231" i="9"/>
  <c r="AC231" i="21" s="1"/>
  <c r="P231" i="9"/>
  <c r="AC230" i="21" s="1"/>
  <c r="O231" i="9"/>
  <c r="AC229" i="21" s="1"/>
  <c r="N231" i="9"/>
  <c r="AC228" i="21" s="1"/>
  <c r="M231" i="9"/>
  <c r="AC227" i="21" s="1"/>
  <c r="L231" i="9"/>
  <c r="AC226" i="21" s="1"/>
  <c r="K231" i="9"/>
  <c r="AC225" i="21" s="1"/>
  <c r="J231" i="9"/>
  <c r="AC224" i="21" s="1"/>
  <c r="I231" i="9"/>
  <c r="AC223" i="21" s="1"/>
  <c r="H231" i="9"/>
  <c r="AC222" i="21" s="1"/>
  <c r="G231" i="9"/>
  <c r="AC221" i="21" s="1"/>
  <c r="F231" i="9"/>
  <c r="AC220" i="21" s="1"/>
  <c r="E231" i="9"/>
  <c r="AC219" i="21" s="1"/>
  <c r="D231" i="9"/>
  <c r="AC218" i="21" s="1"/>
  <c r="AY230" i="9"/>
  <c r="AO230" i="9" s="1"/>
  <c r="AB255" i="21" s="1"/>
  <c r="AV230" i="9"/>
  <c r="AL230" i="9" s="1"/>
  <c r="AB252" i="21" s="1"/>
  <c r="AT230" i="9"/>
  <c r="AR230" i="9"/>
  <c r="AS230" i="9" s="1"/>
  <c r="AQ230" i="9"/>
  <c r="AG230" i="9"/>
  <c r="AB247" i="21" s="1"/>
  <c r="AF230" i="9"/>
  <c r="AB246" i="21" s="1"/>
  <c r="AE230" i="9"/>
  <c r="AB245" i="21" s="1"/>
  <c r="AD230" i="9"/>
  <c r="AB244" i="21" s="1"/>
  <c r="AC230" i="9"/>
  <c r="AB243" i="21" s="1"/>
  <c r="AB230" i="9"/>
  <c r="AB242" i="21" s="1"/>
  <c r="AA230" i="9"/>
  <c r="AB241" i="21" s="1"/>
  <c r="Z230" i="9"/>
  <c r="AB240" i="21" s="1"/>
  <c r="Y230" i="9"/>
  <c r="AB239" i="21" s="1"/>
  <c r="X230" i="9"/>
  <c r="AB238" i="21" s="1"/>
  <c r="W230" i="9"/>
  <c r="AB237" i="21" s="1"/>
  <c r="V230" i="9"/>
  <c r="AB236" i="21" s="1"/>
  <c r="U230" i="9"/>
  <c r="AB235" i="21" s="1"/>
  <c r="T230" i="9"/>
  <c r="AB234" i="21" s="1"/>
  <c r="S230" i="9"/>
  <c r="AB233" i="21" s="1"/>
  <c r="R230" i="9"/>
  <c r="AB232" i="21" s="1"/>
  <c r="Q230" i="9"/>
  <c r="AB231" i="21" s="1"/>
  <c r="P230" i="9"/>
  <c r="AB230" i="21" s="1"/>
  <c r="O230" i="9"/>
  <c r="AB229" i="21" s="1"/>
  <c r="N230" i="9"/>
  <c r="AB228" i="21" s="1"/>
  <c r="M230" i="9"/>
  <c r="AB227" i="21" s="1"/>
  <c r="L230" i="9"/>
  <c r="AB226" i="21" s="1"/>
  <c r="K230" i="9"/>
  <c r="AB225" i="21" s="1"/>
  <c r="J230" i="9"/>
  <c r="AB224" i="21" s="1"/>
  <c r="I230" i="9"/>
  <c r="AB223" i="21" s="1"/>
  <c r="H230" i="9"/>
  <c r="AB222" i="21" s="1"/>
  <c r="G230" i="9"/>
  <c r="AB221" i="21" s="1"/>
  <c r="F230" i="9"/>
  <c r="AB220" i="21" s="1"/>
  <c r="E230" i="9"/>
  <c r="AB219" i="21" s="1"/>
  <c r="D230" i="9"/>
  <c r="AB218" i="21" s="1"/>
  <c r="AY229" i="9"/>
  <c r="AO229" i="9" s="1"/>
  <c r="AA255" i="21" s="1"/>
  <c r="AX229" i="9"/>
  <c r="AN229" i="9" s="1"/>
  <c r="AA254" i="21" s="1"/>
  <c r="AW229" i="9"/>
  <c r="AM229" i="9" s="1"/>
  <c r="AA253" i="21" s="1"/>
  <c r="AV229" i="9"/>
  <c r="AL229" i="9" s="1"/>
  <c r="AA252" i="21" s="1"/>
  <c r="AU229" i="9"/>
  <c r="AK229" i="9" s="1"/>
  <c r="AA251" i="21" s="1"/>
  <c r="AT229" i="9"/>
  <c r="AJ229" i="9" s="1"/>
  <c r="AA250" i="21" s="1"/>
  <c r="AS229" i="9"/>
  <c r="AQ229" i="9"/>
  <c r="AR229" i="9" s="1"/>
  <c r="AH229" i="9"/>
  <c r="AA248" i="21" s="1"/>
  <c r="AG229" i="9"/>
  <c r="AA247" i="21" s="1"/>
  <c r="AF229" i="9"/>
  <c r="AA246" i="21" s="1"/>
  <c r="AE229" i="9"/>
  <c r="AA245" i="21" s="1"/>
  <c r="AD229" i="9"/>
  <c r="AA244" i="21" s="1"/>
  <c r="AC229" i="9"/>
  <c r="AA243" i="21" s="1"/>
  <c r="AB229" i="9"/>
  <c r="AA242" i="21" s="1"/>
  <c r="AA229" i="9"/>
  <c r="AA241" i="21" s="1"/>
  <c r="Z229" i="9"/>
  <c r="AA240" i="21" s="1"/>
  <c r="Y229" i="9"/>
  <c r="AA239" i="21" s="1"/>
  <c r="X229" i="9"/>
  <c r="AA238" i="21" s="1"/>
  <c r="W229" i="9"/>
  <c r="AA237" i="21" s="1"/>
  <c r="V229" i="9"/>
  <c r="AA236" i="21" s="1"/>
  <c r="U229" i="9"/>
  <c r="AA235" i="21" s="1"/>
  <c r="T229" i="9"/>
  <c r="AA234" i="21" s="1"/>
  <c r="S229" i="9"/>
  <c r="AA233" i="21" s="1"/>
  <c r="R229" i="9"/>
  <c r="AA232" i="21" s="1"/>
  <c r="Q229" i="9"/>
  <c r="AA231" i="21" s="1"/>
  <c r="P229" i="9"/>
  <c r="AA230" i="21" s="1"/>
  <c r="O229" i="9"/>
  <c r="AA229" i="21" s="1"/>
  <c r="N229" i="9"/>
  <c r="AA228" i="21" s="1"/>
  <c r="M229" i="9"/>
  <c r="AA227" i="21" s="1"/>
  <c r="L229" i="9"/>
  <c r="AA226" i="21" s="1"/>
  <c r="K229" i="9"/>
  <c r="AA225" i="21" s="1"/>
  <c r="J229" i="9"/>
  <c r="AA224" i="21" s="1"/>
  <c r="I229" i="9"/>
  <c r="AA223" i="21" s="1"/>
  <c r="H229" i="9"/>
  <c r="AA222" i="21" s="1"/>
  <c r="G229" i="9"/>
  <c r="AA221" i="21" s="1"/>
  <c r="F229" i="9"/>
  <c r="AA220" i="21" s="1"/>
  <c r="E229" i="9"/>
  <c r="AA219" i="21" s="1"/>
  <c r="D229" i="9"/>
  <c r="AA218" i="21" s="1"/>
  <c r="AY228" i="9"/>
  <c r="AX228" i="9"/>
  <c r="AN228" i="9" s="1"/>
  <c r="Z254" i="21" s="1"/>
  <c r="AV228" i="9"/>
  <c r="AL228" i="9" s="1"/>
  <c r="Z252" i="21" s="1"/>
  <c r="AU228" i="9"/>
  <c r="AK228" i="9" s="1"/>
  <c r="Z251" i="21" s="1"/>
  <c r="AR228" i="9"/>
  <c r="AS228" i="9" s="1"/>
  <c r="AQ228" i="9"/>
  <c r="AO228" i="9"/>
  <c r="Z255" i="21" s="1"/>
  <c r="AG228" i="9"/>
  <c r="Z247" i="21" s="1"/>
  <c r="AF228" i="9"/>
  <c r="Z246" i="21" s="1"/>
  <c r="AE228" i="9"/>
  <c r="Z245" i="21" s="1"/>
  <c r="AD228" i="9"/>
  <c r="Z244" i="21" s="1"/>
  <c r="AC228" i="9"/>
  <c r="Z243" i="21" s="1"/>
  <c r="AB228" i="9"/>
  <c r="Z242" i="21" s="1"/>
  <c r="AA228" i="9"/>
  <c r="Z241" i="21" s="1"/>
  <c r="Z228" i="9"/>
  <c r="Z240" i="21" s="1"/>
  <c r="Y228" i="9"/>
  <c r="Z239" i="21" s="1"/>
  <c r="X228" i="9"/>
  <c r="Z238" i="21" s="1"/>
  <c r="W228" i="9"/>
  <c r="Z237" i="21" s="1"/>
  <c r="V228" i="9"/>
  <c r="Z236" i="21" s="1"/>
  <c r="U228" i="9"/>
  <c r="Z235" i="21" s="1"/>
  <c r="T228" i="9"/>
  <c r="Z234" i="21" s="1"/>
  <c r="S228" i="9"/>
  <c r="Z233" i="21" s="1"/>
  <c r="R228" i="9"/>
  <c r="Z232" i="21" s="1"/>
  <c r="Q228" i="9"/>
  <c r="Z231" i="21" s="1"/>
  <c r="P228" i="9"/>
  <c r="Z230" i="21" s="1"/>
  <c r="O228" i="9"/>
  <c r="Z229" i="21" s="1"/>
  <c r="N228" i="9"/>
  <c r="Z228" i="21" s="1"/>
  <c r="M228" i="9"/>
  <c r="Z227" i="21" s="1"/>
  <c r="L228" i="9"/>
  <c r="Z226" i="21" s="1"/>
  <c r="K228" i="9"/>
  <c r="Z225" i="21" s="1"/>
  <c r="J228" i="9"/>
  <c r="Z224" i="21" s="1"/>
  <c r="I228" i="9"/>
  <c r="Z223" i="21" s="1"/>
  <c r="H228" i="9"/>
  <c r="Z222" i="21" s="1"/>
  <c r="G228" i="9"/>
  <c r="Z221" i="21" s="1"/>
  <c r="F228" i="9"/>
  <c r="Z220" i="21" s="1"/>
  <c r="E228" i="9"/>
  <c r="Z219" i="21" s="1"/>
  <c r="D228" i="9"/>
  <c r="Z218" i="21" s="1"/>
  <c r="AY227" i="9"/>
  <c r="AO227" i="9" s="1"/>
  <c r="Y255" i="21" s="1"/>
  <c r="AW227" i="9"/>
  <c r="AM227" i="9" s="1"/>
  <c r="Y253" i="21" s="1"/>
  <c r="AV227" i="9"/>
  <c r="AQ227" i="9"/>
  <c r="AX227" i="9" s="1"/>
  <c r="AN227" i="9"/>
  <c r="Y254" i="21" s="1"/>
  <c r="AL227" i="9"/>
  <c r="Y252" i="21" s="1"/>
  <c r="AG227" i="9"/>
  <c r="Y247" i="21" s="1"/>
  <c r="AF227" i="9"/>
  <c r="Y246" i="21" s="1"/>
  <c r="AE227" i="9"/>
  <c r="Y245" i="21" s="1"/>
  <c r="AD227" i="9"/>
  <c r="Y244" i="21" s="1"/>
  <c r="AC227" i="9"/>
  <c r="Y243" i="21" s="1"/>
  <c r="AB227" i="9"/>
  <c r="Y242" i="21" s="1"/>
  <c r="AA227" i="9"/>
  <c r="Y241" i="21" s="1"/>
  <c r="Z227" i="9"/>
  <c r="Y240" i="21" s="1"/>
  <c r="Y227" i="9"/>
  <c r="Y239" i="21" s="1"/>
  <c r="X227" i="9"/>
  <c r="Y238" i="21" s="1"/>
  <c r="W227" i="9"/>
  <c r="Y237" i="21" s="1"/>
  <c r="V227" i="9"/>
  <c r="Y236" i="21" s="1"/>
  <c r="U227" i="9"/>
  <c r="Y235" i="21" s="1"/>
  <c r="T227" i="9"/>
  <c r="Y234" i="21" s="1"/>
  <c r="S227" i="9"/>
  <c r="Y233" i="21" s="1"/>
  <c r="R227" i="9"/>
  <c r="Y232" i="21" s="1"/>
  <c r="Q227" i="9"/>
  <c r="Y231" i="21" s="1"/>
  <c r="P227" i="9"/>
  <c r="Y230" i="21" s="1"/>
  <c r="O227" i="9"/>
  <c r="Y229" i="21" s="1"/>
  <c r="N227" i="9"/>
  <c r="Y228" i="21" s="1"/>
  <c r="M227" i="9"/>
  <c r="Y227" i="21" s="1"/>
  <c r="L227" i="9"/>
  <c r="Y226" i="21" s="1"/>
  <c r="K227" i="9"/>
  <c r="Y225" i="21" s="1"/>
  <c r="J227" i="9"/>
  <c r="Y224" i="21" s="1"/>
  <c r="I227" i="9"/>
  <c r="Y223" i="21" s="1"/>
  <c r="H227" i="9"/>
  <c r="Y222" i="21" s="1"/>
  <c r="G227" i="9"/>
  <c r="Y221" i="21" s="1"/>
  <c r="F227" i="9"/>
  <c r="Y220" i="21" s="1"/>
  <c r="E227" i="9"/>
  <c r="Y219" i="21" s="1"/>
  <c r="D227" i="9"/>
  <c r="Y218" i="21" s="1"/>
  <c r="AY226" i="9"/>
  <c r="AQ226" i="9"/>
  <c r="AV226" i="9" s="1"/>
  <c r="AL226" i="9" s="1"/>
  <c r="X252" i="21" s="1"/>
  <c r="AO226" i="9"/>
  <c r="X255" i="21" s="1"/>
  <c r="AG226" i="9"/>
  <c r="X247" i="21" s="1"/>
  <c r="AF226" i="9"/>
  <c r="X246" i="21" s="1"/>
  <c r="AE226" i="9"/>
  <c r="X245" i="21" s="1"/>
  <c r="AD226" i="9"/>
  <c r="X244" i="21" s="1"/>
  <c r="AC226" i="9"/>
  <c r="X243" i="21" s="1"/>
  <c r="AB226" i="9"/>
  <c r="X242" i="21" s="1"/>
  <c r="AA226" i="9"/>
  <c r="X241" i="21" s="1"/>
  <c r="Z226" i="9"/>
  <c r="X240" i="21" s="1"/>
  <c r="Y226" i="9"/>
  <c r="X239" i="21" s="1"/>
  <c r="X226" i="9"/>
  <c r="X238" i="21" s="1"/>
  <c r="W226" i="9"/>
  <c r="X237" i="21" s="1"/>
  <c r="V226" i="9"/>
  <c r="X236" i="21" s="1"/>
  <c r="U226" i="9"/>
  <c r="X235" i="21" s="1"/>
  <c r="T226" i="9"/>
  <c r="X234" i="21" s="1"/>
  <c r="S226" i="9"/>
  <c r="X233" i="21" s="1"/>
  <c r="R226" i="9"/>
  <c r="X232" i="21" s="1"/>
  <c r="Q226" i="9"/>
  <c r="X231" i="21" s="1"/>
  <c r="P226" i="9"/>
  <c r="X230" i="21" s="1"/>
  <c r="O226" i="9"/>
  <c r="X229" i="21" s="1"/>
  <c r="N226" i="9"/>
  <c r="X228" i="21" s="1"/>
  <c r="M226" i="9"/>
  <c r="X227" i="21" s="1"/>
  <c r="L226" i="9"/>
  <c r="X226" i="21" s="1"/>
  <c r="K226" i="9"/>
  <c r="X225" i="21" s="1"/>
  <c r="J226" i="9"/>
  <c r="X224" i="21" s="1"/>
  <c r="I226" i="9"/>
  <c r="X223" i="21" s="1"/>
  <c r="H226" i="9"/>
  <c r="X222" i="21" s="1"/>
  <c r="G226" i="9"/>
  <c r="X221" i="21" s="1"/>
  <c r="F226" i="9"/>
  <c r="X220" i="21" s="1"/>
  <c r="E226" i="9"/>
  <c r="X219" i="21" s="1"/>
  <c r="D226" i="9"/>
  <c r="X218" i="21" s="1"/>
  <c r="AR225" i="9"/>
  <c r="AS225" i="9" s="1"/>
  <c r="AQ225" i="9"/>
  <c r="AG225" i="9"/>
  <c r="W247" i="21" s="1"/>
  <c r="AF225" i="9"/>
  <c r="W246" i="21" s="1"/>
  <c r="AE225" i="9"/>
  <c r="W245" i="21" s="1"/>
  <c r="AD225" i="9"/>
  <c r="W244" i="21" s="1"/>
  <c r="AC225" i="9"/>
  <c r="W243" i="21" s="1"/>
  <c r="AB225" i="9"/>
  <c r="W242" i="21" s="1"/>
  <c r="AA225" i="9"/>
  <c r="W241" i="21" s="1"/>
  <c r="Z225" i="9"/>
  <c r="W240" i="21" s="1"/>
  <c r="Y225" i="9"/>
  <c r="W239" i="21" s="1"/>
  <c r="X225" i="9"/>
  <c r="W238" i="21" s="1"/>
  <c r="W225" i="9"/>
  <c r="W237" i="21" s="1"/>
  <c r="V225" i="9"/>
  <c r="W236" i="21" s="1"/>
  <c r="U225" i="9"/>
  <c r="W235" i="21" s="1"/>
  <c r="T225" i="9"/>
  <c r="W234" i="21" s="1"/>
  <c r="S225" i="9"/>
  <c r="W233" i="21" s="1"/>
  <c r="R225" i="9"/>
  <c r="W232" i="21" s="1"/>
  <c r="Q225" i="9"/>
  <c r="W231" i="21" s="1"/>
  <c r="P225" i="9"/>
  <c r="W230" i="21" s="1"/>
  <c r="O225" i="9"/>
  <c r="W229" i="21" s="1"/>
  <c r="N225" i="9"/>
  <c r="W228" i="21" s="1"/>
  <c r="M225" i="9"/>
  <c r="W227" i="21" s="1"/>
  <c r="L225" i="9"/>
  <c r="W226" i="21" s="1"/>
  <c r="K225" i="9"/>
  <c r="W225" i="21" s="1"/>
  <c r="J225" i="9"/>
  <c r="W224" i="21" s="1"/>
  <c r="I225" i="9"/>
  <c r="W223" i="21" s="1"/>
  <c r="H225" i="9"/>
  <c r="W222" i="21" s="1"/>
  <c r="G225" i="9"/>
  <c r="W221" i="21" s="1"/>
  <c r="F225" i="9"/>
  <c r="W220" i="21" s="1"/>
  <c r="E225" i="9"/>
  <c r="W219" i="21" s="1"/>
  <c r="D225" i="9"/>
  <c r="W218" i="21" s="1"/>
  <c r="AV224" i="9"/>
  <c r="AL224" i="9" s="1"/>
  <c r="V252" i="21" s="1"/>
  <c r="AU224" i="9"/>
  <c r="AK224" i="9" s="1"/>
  <c r="V251" i="21" s="1"/>
  <c r="AT224" i="9"/>
  <c r="AJ224" i="9" s="1"/>
  <c r="V250" i="21" s="1"/>
  <c r="AQ224" i="9"/>
  <c r="AY224" i="9" s="1"/>
  <c r="AO224" i="9"/>
  <c r="V255" i="21" s="1"/>
  <c r="AG224" i="9"/>
  <c r="V247" i="21" s="1"/>
  <c r="AF224" i="9"/>
  <c r="V246" i="21" s="1"/>
  <c r="AE224" i="9"/>
  <c r="V245" i="21" s="1"/>
  <c r="AD224" i="9"/>
  <c r="V244" i="21" s="1"/>
  <c r="AC224" i="9"/>
  <c r="V243" i="21" s="1"/>
  <c r="AB224" i="9"/>
  <c r="V242" i="21" s="1"/>
  <c r="AA224" i="9"/>
  <c r="V241" i="21" s="1"/>
  <c r="Z224" i="9"/>
  <c r="V240" i="21" s="1"/>
  <c r="Y224" i="9"/>
  <c r="V239" i="21" s="1"/>
  <c r="X224" i="9"/>
  <c r="V238" i="21" s="1"/>
  <c r="W224" i="9"/>
  <c r="V237" i="21" s="1"/>
  <c r="V224" i="9"/>
  <c r="V236" i="21" s="1"/>
  <c r="U224" i="9"/>
  <c r="V235" i="21" s="1"/>
  <c r="T224" i="9"/>
  <c r="V234" i="21" s="1"/>
  <c r="S224" i="9"/>
  <c r="V233" i="21" s="1"/>
  <c r="R224" i="9"/>
  <c r="V232" i="21" s="1"/>
  <c r="Q224" i="9"/>
  <c r="V231" i="21" s="1"/>
  <c r="P224" i="9"/>
  <c r="V230" i="21" s="1"/>
  <c r="O224" i="9"/>
  <c r="V229" i="21" s="1"/>
  <c r="N224" i="9"/>
  <c r="V228" i="21" s="1"/>
  <c r="M224" i="9"/>
  <c r="V227" i="21" s="1"/>
  <c r="L224" i="9"/>
  <c r="V226" i="21" s="1"/>
  <c r="K224" i="9"/>
  <c r="V225" i="21" s="1"/>
  <c r="J224" i="9"/>
  <c r="V224" i="21" s="1"/>
  <c r="I224" i="9"/>
  <c r="V223" i="21" s="1"/>
  <c r="H224" i="9"/>
  <c r="V222" i="21" s="1"/>
  <c r="G224" i="9"/>
  <c r="V221" i="21" s="1"/>
  <c r="F224" i="9"/>
  <c r="V220" i="21" s="1"/>
  <c r="E224" i="9"/>
  <c r="V219" i="21" s="1"/>
  <c r="D224" i="9"/>
  <c r="V218" i="21" s="1"/>
  <c r="AX223" i="9"/>
  <c r="AN223" i="9" s="1"/>
  <c r="U254" i="21" s="1"/>
  <c r="AQ223" i="9"/>
  <c r="AT223" i="9" s="1"/>
  <c r="AJ223" i="9" s="1"/>
  <c r="U250" i="21" s="1"/>
  <c r="AG223" i="9"/>
  <c r="U247" i="21" s="1"/>
  <c r="AF223" i="9"/>
  <c r="U246" i="21" s="1"/>
  <c r="AE223" i="9"/>
  <c r="U245" i="21" s="1"/>
  <c r="AD223" i="9"/>
  <c r="U244" i="21" s="1"/>
  <c r="AC223" i="9"/>
  <c r="U243" i="21" s="1"/>
  <c r="AB223" i="9"/>
  <c r="U242" i="21" s="1"/>
  <c r="AA223" i="9"/>
  <c r="U241" i="21" s="1"/>
  <c r="Z223" i="9"/>
  <c r="U240" i="21" s="1"/>
  <c r="Y223" i="9"/>
  <c r="U239" i="21" s="1"/>
  <c r="X223" i="9"/>
  <c r="U238" i="21" s="1"/>
  <c r="W223" i="9"/>
  <c r="U237" i="21" s="1"/>
  <c r="V223" i="9"/>
  <c r="U236" i="21" s="1"/>
  <c r="U223" i="9"/>
  <c r="U235" i="21" s="1"/>
  <c r="T223" i="9"/>
  <c r="U234" i="21" s="1"/>
  <c r="S223" i="9"/>
  <c r="U233" i="21" s="1"/>
  <c r="R223" i="9"/>
  <c r="U232" i="21" s="1"/>
  <c r="Q223" i="9"/>
  <c r="U231" i="21" s="1"/>
  <c r="P223" i="9"/>
  <c r="U230" i="21" s="1"/>
  <c r="O223" i="9"/>
  <c r="U229" i="21" s="1"/>
  <c r="N223" i="9"/>
  <c r="U228" i="21" s="1"/>
  <c r="M223" i="9"/>
  <c r="U227" i="21" s="1"/>
  <c r="L223" i="9"/>
  <c r="U226" i="21" s="1"/>
  <c r="K223" i="9"/>
  <c r="U225" i="21" s="1"/>
  <c r="J223" i="9"/>
  <c r="U224" i="21" s="1"/>
  <c r="I223" i="9"/>
  <c r="U223" i="21" s="1"/>
  <c r="H223" i="9"/>
  <c r="U222" i="21" s="1"/>
  <c r="G223" i="9"/>
  <c r="U221" i="21" s="1"/>
  <c r="F223" i="9"/>
  <c r="U220" i="21" s="1"/>
  <c r="E223" i="9"/>
  <c r="U219" i="21" s="1"/>
  <c r="D223" i="9"/>
  <c r="U218" i="21" s="1"/>
  <c r="AX222" i="9"/>
  <c r="AN222" i="9" s="1"/>
  <c r="T254" i="21" s="1"/>
  <c r="AW222" i="9"/>
  <c r="AV222" i="9"/>
  <c r="AL222" i="9" s="1"/>
  <c r="T252" i="21" s="1"/>
  <c r="AT222" i="9"/>
  <c r="AJ222" i="9" s="1"/>
  <c r="T250" i="21" s="1"/>
  <c r="AS222" i="9"/>
  <c r="AR222" i="9"/>
  <c r="AQ222" i="9"/>
  <c r="AM222" i="9"/>
  <c r="T253" i="21" s="1"/>
  <c r="AI222" i="9"/>
  <c r="T249" i="21" s="1"/>
  <c r="AG222" i="9"/>
  <c r="T247" i="21" s="1"/>
  <c r="AF222" i="9"/>
  <c r="T246" i="21" s="1"/>
  <c r="AE222" i="9"/>
  <c r="T245" i="21" s="1"/>
  <c r="AD222" i="9"/>
  <c r="T244" i="21" s="1"/>
  <c r="AC222" i="9"/>
  <c r="T243" i="21" s="1"/>
  <c r="AB222" i="9"/>
  <c r="T242" i="21" s="1"/>
  <c r="AA222" i="9"/>
  <c r="T241" i="21" s="1"/>
  <c r="Z222" i="9"/>
  <c r="T240" i="21" s="1"/>
  <c r="Y222" i="9"/>
  <c r="T239" i="21" s="1"/>
  <c r="X222" i="9"/>
  <c r="T238" i="21" s="1"/>
  <c r="W222" i="9"/>
  <c r="T237" i="21" s="1"/>
  <c r="V222" i="9"/>
  <c r="T236" i="21" s="1"/>
  <c r="U222" i="9"/>
  <c r="T235" i="21" s="1"/>
  <c r="T222" i="9"/>
  <c r="T234" i="21" s="1"/>
  <c r="S222" i="9"/>
  <c r="T233" i="21" s="1"/>
  <c r="R222" i="9"/>
  <c r="T232" i="21" s="1"/>
  <c r="Q222" i="9"/>
  <c r="T231" i="21" s="1"/>
  <c r="P222" i="9"/>
  <c r="T230" i="21" s="1"/>
  <c r="O222" i="9"/>
  <c r="T229" i="21" s="1"/>
  <c r="N222" i="9"/>
  <c r="T228" i="21" s="1"/>
  <c r="M222" i="9"/>
  <c r="T227" i="21" s="1"/>
  <c r="L222" i="9"/>
  <c r="T226" i="21" s="1"/>
  <c r="K222" i="9"/>
  <c r="T225" i="21" s="1"/>
  <c r="J222" i="9"/>
  <c r="T224" i="21" s="1"/>
  <c r="I222" i="9"/>
  <c r="T223" i="21" s="1"/>
  <c r="H222" i="9"/>
  <c r="T222" i="21" s="1"/>
  <c r="G222" i="9"/>
  <c r="T221" i="21" s="1"/>
  <c r="F222" i="9"/>
  <c r="T220" i="21" s="1"/>
  <c r="E222" i="9"/>
  <c r="T219" i="21" s="1"/>
  <c r="D222" i="9"/>
  <c r="T218" i="21" s="1"/>
  <c r="AY221" i="9"/>
  <c r="AO221" i="9" s="1"/>
  <c r="S255" i="21" s="1"/>
  <c r="AX221" i="9"/>
  <c r="AN221" i="9" s="1"/>
  <c r="S254" i="21" s="1"/>
  <c r="AW221" i="9"/>
  <c r="AR221" i="9"/>
  <c r="AS221" i="9" s="1"/>
  <c r="AQ221" i="9"/>
  <c r="AT221" i="9" s="1"/>
  <c r="AM221" i="9"/>
  <c r="S253" i="21" s="1"/>
  <c r="AG221" i="9"/>
  <c r="S247" i="21" s="1"/>
  <c r="AF221" i="9"/>
  <c r="S246" i="21" s="1"/>
  <c r="AE221" i="9"/>
  <c r="S245" i="21" s="1"/>
  <c r="AD221" i="9"/>
  <c r="S244" i="21" s="1"/>
  <c r="AC221" i="9"/>
  <c r="S243" i="21" s="1"/>
  <c r="AB221" i="9"/>
  <c r="S242" i="21" s="1"/>
  <c r="AA221" i="9"/>
  <c r="S241" i="21" s="1"/>
  <c r="Z221" i="9"/>
  <c r="S240" i="21" s="1"/>
  <c r="Y221" i="9"/>
  <c r="S239" i="21" s="1"/>
  <c r="X221" i="9"/>
  <c r="S238" i="21" s="1"/>
  <c r="W221" i="9"/>
  <c r="S237" i="21" s="1"/>
  <c r="V221" i="9"/>
  <c r="S236" i="21" s="1"/>
  <c r="U221" i="9"/>
  <c r="S235" i="21" s="1"/>
  <c r="T221" i="9"/>
  <c r="S234" i="21" s="1"/>
  <c r="S221" i="9"/>
  <c r="S233" i="21" s="1"/>
  <c r="R221" i="9"/>
  <c r="S232" i="21" s="1"/>
  <c r="Q221" i="9"/>
  <c r="S231" i="21" s="1"/>
  <c r="P221" i="9"/>
  <c r="S230" i="21" s="1"/>
  <c r="O221" i="9"/>
  <c r="S229" i="21" s="1"/>
  <c r="N221" i="9"/>
  <c r="S228" i="21" s="1"/>
  <c r="M221" i="9"/>
  <c r="S227" i="21" s="1"/>
  <c r="L221" i="9"/>
  <c r="S226" i="21" s="1"/>
  <c r="K221" i="9"/>
  <c r="S225" i="21" s="1"/>
  <c r="J221" i="9"/>
  <c r="S224" i="21" s="1"/>
  <c r="I221" i="9"/>
  <c r="S223" i="21" s="1"/>
  <c r="H221" i="9"/>
  <c r="S222" i="21" s="1"/>
  <c r="G221" i="9"/>
  <c r="S221" i="21" s="1"/>
  <c r="F221" i="9"/>
  <c r="S220" i="21" s="1"/>
  <c r="E221" i="9"/>
  <c r="S219" i="21" s="1"/>
  <c r="D221" i="9"/>
  <c r="S218" i="21" s="1"/>
  <c r="AQ220" i="9"/>
  <c r="AU220" i="9" s="1"/>
  <c r="AK220" i="9" s="1"/>
  <c r="R251" i="21" s="1"/>
  <c r="AG220" i="9"/>
  <c r="R247" i="21" s="1"/>
  <c r="AF220" i="9"/>
  <c r="R246" i="21" s="1"/>
  <c r="AE220" i="9"/>
  <c r="R245" i="21" s="1"/>
  <c r="AD220" i="9"/>
  <c r="R244" i="21" s="1"/>
  <c r="AC220" i="9"/>
  <c r="R243" i="21" s="1"/>
  <c r="AB220" i="9"/>
  <c r="R242" i="21" s="1"/>
  <c r="AA220" i="9"/>
  <c r="R241" i="21" s="1"/>
  <c r="Z220" i="9"/>
  <c r="R240" i="21" s="1"/>
  <c r="Y220" i="9"/>
  <c r="R239" i="21" s="1"/>
  <c r="X220" i="9"/>
  <c r="R238" i="21" s="1"/>
  <c r="W220" i="9"/>
  <c r="R237" i="21" s="1"/>
  <c r="V220" i="9"/>
  <c r="R236" i="21" s="1"/>
  <c r="U220" i="9"/>
  <c r="R235" i="21" s="1"/>
  <c r="T220" i="9"/>
  <c r="R234" i="21" s="1"/>
  <c r="S220" i="9"/>
  <c r="R233" i="21" s="1"/>
  <c r="R220" i="9"/>
  <c r="R232" i="21" s="1"/>
  <c r="Q220" i="9"/>
  <c r="R231" i="21" s="1"/>
  <c r="P220" i="9"/>
  <c r="R230" i="21" s="1"/>
  <c r="O220" i="9"/>
  <c r="R229" i="21" s="1"/>
  <c r="N220" i="9"/>
  <c r="R228" i="21" s="1"/>
  <c r="M220" i="9"/>
  <c r="R227" i="21" s="1"/>
  <c r="L220" i="9"/>
  <c r="R226" i="21" s="1"/>
  <c r="K220" i="9"/>
  <c r="R225" i="21" s="1"/>
  <c r="J220" i="9"/>
  <c r="R224" i="21" s="1"/>
  <c r="I220" i="9"/>
  <c r="R223" i="21" s="1"/>
  <c r="H220" i="9"/>
  <c r="R222" i="21" s="1"/>
  <c r="G220" i="9"/>
  <c r="R221" i="21" s="1"/>
  <c r="F220" i="9"/>
  <c r="R220" i="21" s="1"/>
  <c r="E220" i="9"/>
  <c r="R219" i="21" s="1"/>
  <c r="D220" i="9"/>
  <c r="R218" i="21" s="1"/>
  <c r="AV219" i="9"/>
  <c r="AL219" i="9" s="1"/>
  <c r="Q252" i="21" s="1"/>
  <c r="AQ219" i="9"/>
  <c r="AY219" i="9" s="1"/>
  <c r="AO219" i="9" s="1"/>
  <c r="Q255" i="21" s="1"/>
  <c r="AG219" i="9"/>
  <c r="Q247" i="21" s="1"/>
  <c r="AF219" i="9"/>
  <c r="Q246" i="21" s="1"/>
  <c r="AE219" i="9"/>
  <c r="Q245" i="21" s="1"/>
  <c r="AD219" i="9"/>
  <c r="Q244" i="21" s="1"/>
  <c r="AC219" i="9"/>
  <c r="Q243" i="21" s="1"/>
  <c r="AB219" i="9"/>
  <c r="Q242" i="21" s="1"/>
  <c r="AA219" i="9"/>
  <c r="Q241" i="21" s="1"/>
  <c r="Z219" i="9"/>
  <c r="Q240" i="21" s="1"/>
  <c r="Y219" i="9"/>
  <c r="Q239" i="21" s="1"/>
  <c r="X219" i="9"/>
  <c r="Q238" i="21" s="1"/>
  <c r="W219" i="9"/>
  <c r="Q237" i="21" s="1"/>
  <c r="V219" i="9"/>
  <c r="Q236" i="21" s="1"/>
  <c r="U219" i="9"/>
  <c r="Q235" i="21" s="1"/>
  <c r="T219" i="9"/>
  <c r="Q234" i="21" s="1"/>
  <c r="S219" i="9"/>
  <c r="Q233" i="21" s="1"/>
  <c r="R219" i="9"/>
  <c r="Q232" i="21" s="1"/>
  <c r="Q219" i="9"/>
  <c r="Q231" i="21" s="1"/>
  <c r="P219" i="9"/>
  <c r="Q230" i="21" s="1"/>
  <c r="O219" i="9"/>
  <c r="Q229" i="21" s="1"/>
  <c r="N219" i="9"/>
  <c r="Q228" i="21" s="1"/>
  <c r="M219" i="9"/>
  <c r="Q227" i="21" s="1"/>
  <c r="L219" i="9"/>
  <c r="Q226" i="21" s="1"/>
  <c r="K219" i="9"/>
  <c r="Q225" i="21" s="1"/>
  <c r="J219" i="9"/>
  <c r="Q224" i="21" s="1"/>
  <c r="I219" i="9"/>
  <c r="Q223" i="21" s="1"/>
  <c r="H219" i="9"/>
  <c r="Q222" i="21" s="1"/>
  <c r="G219" i="9"/>
  <c r="Q221" i="21" s="1"/>
  <c r="F219" i="9"/>
  <c r="Q220" i="21" s="1"/>
  <c r="E219" i="9"/>
  <c r="Q219" i="21" s="1"/>
  <c r="D219" i="9"/>
  <c r="Q218" i="21" s="1"/>
  <c r="AY218" i="9"/>
  <c r="AO218" i="9" s="1"/>
  <c r="P255" i="21" s="1"/>
  <c r="AW218" i="9"/>
  <c r="AV218" i="9"/>
  <c r="AU218" i="9"/>
  <c r="AK218" i="9" s="1"/>
  <c r="P251" i="21" s="1"/>
  <c r="AR218" i="9"/>
  <c r="AS218" i="9" s="1"/>
  <c r="AQ218" i="9"/>
  <c r="AX218" i="9" s="1"/>
  <c r="AN218" i="9" s="1"/>
  <c r="P254" i="21" s="1"/>
  <c r="AM218" i="9"/>
  <c r="P253" i="21" s="1"/>
  <c r="AL218" i="9"/>
  <c r="P252" i="21" s="1"/>
  <c r="AG218" i="9"/>
  <c r="P247" i="21" s="1"/>
  <c r="AF218" i="9"/>
  <c r="P246" i="21" s="1"/>
  <c r="AE218" i="9"/>
  <c r="P245" i="21" s="1"/>
  <c r="AD218" i="9"/>
  <c r="P244" i="21" s="1"/>
  <c r="AC218" i="9"/>
  <c r="P243" i="21" s="1"/>
  <c r="AB218" i="9"/>
  <c r="P242" i="21" s="1"/>
  <c r="AA218" i="9"/>
  <c r="P241" i="21" s="1"/>
  <c r="Z218" i="9"/>
  <c r="P240" i="21" s="1"/>
  <c r="Y218" i="9"/>
  <c r="P239" i="21" s="1"/>
  <c r="X218" i="9"/>
  <c r="P238" i="21" s="1"/>
  <c r="W218" i="9"/>
  <c r="P237" i="21" s="1"/>
  <c r="V218" i="9"/>
  <c r="P236" i="21" s="1"/>
  <c r="U218" i="9"/>
  <c r="P235" i="21" s="1"/>
  <c r="T218" i="9"/>
  <c r="P234" i="21" s="1"/>
  <c r="S218" i="9"/>
  <c r="P233" i="21" s="1"/>
  <c r="R218" i="9"/>
  <c r="P232" i="21" s="1"/>
  <c r="Q218" i="9"/>
  <c r="P231" i="21" s="1"/>
  <c r="P218" i="9"/>
  <c r="P230" i="21" s="1"/>
  <c r="O218" i="9"/>
  <c r="P229" i="21" s="1"/>
  <c r="N218" i="9"/>
  <c r="P228" i="21" s="1"/>
  <c r="M218" i="9"/>
  <c r="P227" i="21" s="1"/>
  <c r="L218" i="9"/>
  <c r="P226" i="21" s="1"/>
  <c r="K218" i="9"/>
  <c r="P225" i="21" s="1"/>
  <c r="J218" i="9"/>
  <c r="P224" i="21" s="1"/>
  <c r="I218" i="9"/>
  <c r="P223" i="21" s="1"/>
  <c r="H218" i="9"/>
  <c r="P222" i="21" s="1"/>
  <c r="G218" i="9"/>
  <c r="P221" i="21" s="1"/>
  <c r="F218" i="9"/>
  <c r="P220" i="21" s="1"/>
  <c r="E218" i="9"/>
  <c r="P219" i="21" s="1"/>
  <c r="D218" i="9"/>
  <c r="P218" i="21" s="1"/>
  <c r="AR217" i="9"/>
  <c r="AS217" i="9" s="1"/>
  <c r="AQ217" i="9"/>
  <c r="AW217" i="9" s="1"/>
  <c r="AM217" i="9" s="1"/>
  <c r="O253" i="21" s="1"/>
  <c r="AG217" i="9"/>
  <c r="O247" i="21" s="1"/>
  <c r="AF217" i="9"/>
  <c r="O246" i="21" s="1"/>
  <c r="AE217" i="9"/>
  <c r="O245" i="21" s="1"/>
  <c r="AD217" i="9"/>
  <c r="O244" i="21" s="1"/>
  <c r="AC217" i="9"/>
  <c r="O243" i="21" s="1"/>
  <c r="AB217" i="9"/>
  <c r="O242" i="21" s="1"/>
  <c r="AA217" i="9"/>
  <c r="O241" i="21" s="1"/>
  <c r="Z217" i="9"/>
  <c r="O240" i="21" s="1"/>
  <c r="Y217" i="9"/>
  <c r="O239" i="21" s="1"/>
  <c r="X217" i="9"/>
  <c r="O238" i="21" s="1"/>
  <c r="W217" i="9"/>
  <c r="O237" i="21" s="1"/>
  <c r="V217" i="9"/>
  <c r="O236" i="21" s="1"/>
  <c r="U217" i="9"/>
  <c r="O235" i="21" s="1"/>
  <c r="T217" i="9"/>
  <c r="O234" i="21" s="1"/>
  <c r="S217" i="9"/>
  <c r="O233" i="21" s="1"/>
  <c r="R217" i="9"/>
  <c r="O232" i="21" s="1"/>
  <c r="Q217" i="9"/>
  <c r="O231" i="21" s="1"/>
  <c r="P217" i="9"/>
  <c r="O230" i="21" s="1"/>
  <c r="O217" i="9"/>
  <c r="O229" i="21" s="1"/>
  <c r="N217" i="9"/>
  <c r="O228" i="21" s="1"/>
  <c r="M217" i="9"/>
  <c r="O227" i="21" s="1"/>
  <c r="L217" i="9"/>
  <c r="O226" i="21" s="1"/>
  <c r="K217" i="9"/>
  <c r="O225" i="21" s="1"/>
  <c r="J217" i="9"/>
  <c r="O224" i="21" s="1"/>
  <c r="I217" i="9"/>
  <c r="O223" i="21" s="1"/>
  <c r="H217" i="9"/>
  <c r="O222" i="21" s="1"/>
  <c r="G217" i="9"/>
  <c r="O221" i="21" s="1"/>
  <c r="F217" i="9"/>
  <c r="O220" i="21" s="1"/>
  <c r="E217" i="9"/>
  <c r="O219" i="21" s="1"/>
  <c r="D217" i="9"/>
  <c r="O218" i="21" s="1"/>
  <c r="AQ216" i="9"/>
  <c r="AY216" i="9" s="1"/>
  <c r="AO216" i="9" s="1"/>
  <c r="N255" i="21" s="1"/>
  <c r="AG216" i="9"/>
  <c r="N247" i="21" s="1"/>
  <c r="AF216" i="9"/>
  <c r="N246" i="21" s="1"/>
  <c r="AE216" i="9"/>
  <c r="N245" i="21" s="1"/>
  <c r="AD216" i="9"/>
  <c r="N244" i="21" s="1"/>
  <c r="AC216" i="9"/>
  <c r="N243" i="21" s="1"/>
  <c r="AB216" i="9"/>
  <c r="N242" i="21" s="1"/>
  <c r="AA216" i="9"/>
  <c r="N241" i="21" s="1"/>
  <c r="Z216" i="9"/>
  <c r="N240" i="21" s="1"/>
  <c r="Y216" i="9"/>
  <c r="N239" i="21" s="1"/>
  <c r="X216" i="9"/>
  <c r="N238" i="21" s="1"/>
  <c r="W216" i="9"/>
  <c r="N237" i="21" s="1"/>
  <c r="V216" i="9"/>
  <c r="N236" i="21" s="1"/>
  <c r="U216" i="9"/>
  <c r="N235" i="21" s="1"/>
  <c r="T216" i="9"/>
  <c r="N234" i="21" s="1"/>
  <c r="S216" i="9"/>
  <c r="N233" i="21" s="1"/>
  <c r="R216" i="9"/>
  <c r="N232" i="21" s="1"/>
  <c r="Q216" i="9"/>
  <c r="N231" i="21" s="1"/>
  <c r="P216" i="9"/>
  <c r="N230" i="21" s="1"/>
  <c r="O216" i="9"/>
  <c r="N229" i="21" s="1"/>
  <c r="N216" i="9"/>
  <c r="N228" i="21" s="1"/>
  <c r="M216" i="9"/>
  <c r="N227" i="21" s="1"/>
  <c r="L216" i="9"/>
  <c r="N226" i="21" s="1"/>
  <c r="K216" i="9"/>
  <c r="N225" i="21" s="1"/>
  <c r="J216" i="9"/>
  <c r="N224" i="21" s="1"/>
  <c r="I216" i="9"/>
  <c r="N223" i="21" s="1"/>
  <c r="H216" i="9"/>
  <c r="N222" i="21" s="1"/>
  <c r="G216" i="9"/>
  <c r="N221" i="21" s="1"/>
  <c r="F216" i="9"/>
  <c r="N220" i="21" s="1"/>
  <c r="E216" i="9"/>
  <c r="N219" i="21" s="1"/>
  <c r="D216" i="9"/>
  <c r="N218" i="21" s="1"/>
  <c r="AX215" i="9"/>
  <c r="AW215" i="9"/>
  <c r="AV215" i="9"/>
  <c r="AL215" i="9" s="1"/>
  <c r="M252" i="21" s="1"/>
  <c r="AQ215" i="9"/>
  <c r="AR215" i="9" s="1"/>
  <c r="AS215" i="9" s="1"/>
  <c r="AN215" i="9"/>
  <c r="M254" i="21" s="1"/>
  <c r="AM215" i="9"/>
  <c r="M253" i="21" s="1"/>
  <c r="AG215" i="9"/>
  <c r="M247" i="21" s="1"/>
  <c r="AF215" i="9"/>
  <c r="M246" i="21" s="1"/>
  <c r="AE215" i="9"/>
  <c r="M245" i="21" s="1"/>
  <c r="AD215" i="9"/>
  <c r="M244" i="21" s="1"/>
  <c r="AC215" i="9"/>
  <c r="M243" i="21" s="1"/>
  <c r="AB215" i="9"/>
  <c r="M242" i="21" s="1"/>
  <c r="AA215" i="9"/>
  <c r="M241" i="21" s="1"/>
  <c r="Z215" i="9"/>
  <c r="M240" i="21" s="1"/>
  <c r="Y215" i="9"/>
  <c r="M239" i="21" s="1"/>
  <c r="X215" i="9"/>
  <c r="M238" i="21" s="1"/>
  <c r="W215" i="9"/>
  <c r="M237" i="21" s="1"/>
  <c r="V215" i="9"/>
  <c r="M236" i="21" s="1"/>
  <c r="U215" i="9"/>
  <c r="M235" i="21" s="1"/>
  <c r="T215" i="9"/>
  <c r="M234" i="21" s="1"/>
  <c r="S215" i="9"/>
  <c r="M233" i="21" s="1"/>
  <c r="R215" i="9"/>
  <c r="M232" i="21" s="1"/>
  <c r="Q215" i="9"/>
  <c r="M231" i="21" s="1"/>
  <c r="P215" i="9"/>
  <c r="M230" i="21" s="1"/>
  <c r="O215" i="9"/>
  <c r="M229" i="21" s="1"/>
  <c r="N215" i="9"/>
  <c r="M228" i="21" s="1"/>
  <c r="M215" i="9"/>
  <c r="M227" i="21" s="1"/>
  <c r="L215" i="9"/>
  <c r="M226" i="21" s="1"/>
  <c r="K215" i="9"/>
  <c r="M225" i="21" s="1"/>
  <c r="J215" i="9"/>
  <c r="M224" i="21" s="1"/>
  <c r="I215" i="9"/>
  <c r="M223" i="21" s="1"/>
  <c r="H215" i="9"/>
  <c r="M222" i="21" s="1"/>
  <c r="G215" i="9"/>
  <c r="M221" i="21" s="1"/>
  <c r="F215" i="9"/>
  <c r="M220" i="21" s="1"/>
  <c r="E215" i="9"/>
  <c r="M219" i="21" s="1"/>
  <c r="D215" i="9"/>
  <c r="M218" i="21" s="1"/>
  <c r="AT214" i="9"/>
  <c r="AI214" i="9" s="1"/>
  <c r="L249" i="21" s="1"/>
  <c r="AS214" i="9"/>
  <c r="AR214" i="9"/>
  <c r="AQ214" i="9"/>
  <c r="AX214" i="9" s="1"/>
  <c r="AN214" i="9" s="1"/>
  <c r="L254" i="21" s="1"/>
  <c r="AG214" i="9"/>
  <c r="L247" i="21" s="1"/>
  <c r="AF214" i="9"/>
  <c r="L246" i="21" s="1"/>
  <c r="AE214" i="9"/>
  <c r="L245" i="21" s="1"/>
  <c r="AD214" i="9"/>
  <c r="L244" i="21" s="1"/>
  <c r="AC214" i="9"/>
  <c r="L243" i="21" s="1"/>
  <c r="AB214" i="9"/>
  <c r="L242" i="21" s="1"/>
  <c r="AA214" i="9"/>
  <c r="L241" i="21" s="1"/>
  <c r="Z214" i="9"/>
  <c r="L240" i="21" s="1"/>
  <c r="Y214" i="9"/>
  <c r="L239" i="21" s="1"/>
  <c r="X214" i="9"/>
  <c r="L238" i="21" s="1"/>
  <c r="W214" i="9"/>
  <c r="L237" i="21" s="1"/>
  <c r="V214" i="9"/>
  <c r="L236" i="21" s="1"/>
  <c r="U214" i="9"/>
  <c r="L235" i="21" s="1"/>
  <c r="T214" i="9"/>
  <c r="L234" i="21" s="1"/>
  <c r="S214" i="9"/>
  <c r="L233" i="21" s="1"/>
  <c r="R214" i="9"/>
  <c r="L232" i="21" s="1"/>
  <c r="Q214" i="9"/>
  <c r="L231" i="21" s="1"/>
  <c r="P214" i="9"/>
  <c r="L230" i="21" s="1"/>
  <c r="O214" i="9"/>
  <c r="L229" i="21" s="1"/>
  <c r="N214" i="9"/>
  <c r="L228" i="21" s="1"/>
  <c r="M214" i="9"/>
  <c r="L227" i="21" s="1"/>
  <c r="L214" i="9"/>
  <c r="L226" i="21" s="1"/>
  <c r="K214" i="9"/>
  <c r="L225" i="21" s="1"/>
  <c r="J214" i="9"/>
  <c r="L224" i="21" s="1"/>
  <c r="I214" i="9"/>
  <c r="L223" i="21" s="1"/>
  <c r="H214" i="9"/>
  <c r="L222" i="21" s="1"/>
  <c r="G214" i="9"/>
  <c r="L221" i="21" s="1"/>
  <c r="F214" i="9"/>
  <c r="L220" i="21" s="1"/>
  <c r="E214" i="9"/>
  <c r="L219" i="21" s="1"/>
  <c r="D214" i="9"/>
  <c r="L218" i="21" s="1"/>
  <c r="AY213" i="9"/>
  <c r="AO213" i="9" s="1"/>
  <c r="K255" i="21" s="1"/>
  <c r="AX213" i="9"/>
  <c r="AN213" i="9" s="1"/>
  <c r="K254" i="21" s="1"/>
  <c r="AW213" i="9"/>
  <c r="AM213" i="9" s="1"/>
  <c r="K253" i="21" s="1"/>
  <c r="AV213" i="9"/>
  <c r="AT213" i="9"/>
  <c r="AR213" i="9"/>
  <c r="AS213" i="9" s="1"/>
  <c r="AQ213" i="9"/>
  <c r="AU213" i="9" s="1"/>
  <c r="AK213" i="9" s="1"/>
  <c r="K251" i="21" s="1"/>
  <c r="AL213" i="9"/>
  <c r="K252" i="21" s="1"/>
  <c r="AJ213" i="9"/>
  <c r="K250" i="21" s="1"/>
  <c r="AI213" i="9"/>
  <c r="K249" i="21" s="1"/>
  <c r="AH213" i="9"/>
  <c r="K248" i="21" s="1"/>
  <c r="AG213" i="9"/>
  <c r="K247" i="21" s="1"/>
  <c r="AF213" i="9"/>
  <c r="K246" i="21" s="1"/>
  <c r="AE213" i="9"/>
  <c r="K245" i="21" s="1"/>
  <c r="AD213" i="9"/>
  <c r="K244" i="21" s="1"/>
  <c r="AC213" i="9"/>
  <c r="K243" i="21" s="1"/>
  <c r="AB213" i="9"/>
  <c r="K242" i="21" s="1"/>
  <c r="AA213" i="9"/>
  <c r="K241" i="21" s="1"/>
  <c r="Z213" i="9"/>
  <c r="K240" i="21" s="1"/>
  <c r="Y213" i="9"/>
  <c r="K239" i="21" s="1"/>
  <c r="X213" i="9"/>
  <c r="K238" i="21" s="1"/>
  <c r="W213" i="9"/>
  <c r="K237" i="21" s="1"/>
  <c r="V213" i="9"/>
  <c r="K236" i="21" s="1"/>
  <c r="U213" i="9"/>
  <c r="K235" i="21" s="1"/>
  <c r="T213" i="9"/>
  <c r="K234" i="21" s="1"/>
  <c r="S213" i="9"/>
  <c r="K233" i="21" s="1"/>
  <c r="R213" i="9"/>
  <c r="K232" i="21" s="1"/>
  <c r="Q213" i="9"/>
  <c r="K231" i="21" s="1"/>
  <c r="P213" i="9"/>
  <c r="K230" i="21" s="1"/>
  <c r="O213" i="9"/>
  <c r="K229" i="21" s="1"/>
  <c r="N213" i="9"/>
  <c r="K228" i="21" s="1"/>
  <c r="M213" i="9"/>
  <c r="K227" i="21" s="1"/>
  <c r="L213" i="9"/>
  <c r="K226" i="21" s="1"/>
  <c r="K213" i="9"/>
  <c r="K225" i="21" s="1"/>
  <c r="J213" i="9"/>
  <c r="K224" i="21" s="1"/>
  <c r="I213" i="9"/>
  <c r="K223" i="21" s="1"/>
  <c r="H213" i="9"/>
  <c r="K222" i="21" s="1"/>
  <c r="G213" i="9"/>
  <c r="K221" i="21" s="1"/>
  <c r="F213" i="9"/>
  <c r="K220" i="21" s="1"/>
  <c r="E213" i="9"/>
  <c r="K219" i="21" s="1"/>
  <c r="D213" i="9"/>
  <c r="K218" i="21" s="1"/>
  <c r="AY212" i="9"/>
  <c r="AX212" i="9"/>
  <c r="AW212" i="9"/>
  <c r="AM212" i="9" s="1"/>
  <c r="J253" i="21" s="1"/>
  <c r="AQ212" i="9"/>
  <c r="AT212" i="9" s="1"/>
  <c r="AO212" i="9"/>
  <c r="J255" i="21" s="1"/>
  <c r="AN212" i="9"/>
  <c r="J254" i="21" s="1"/>
  <c r="AG212" i="9"/>
  <c r="J247" i="21" s="1"/>
  <c r="AF212" i="9"/>
  <c r="J246" i="21" s="1"/>
  <c r="AE212" i="9"/>
  <c r="J245" i="21" s="1"/>
  <c r="AD212" i="9"/>
  <c r="J244" i="21" s="1"/>
  <c r="AC212" i="9"/>
  <c r="J243" i="21" s="1"/>
  <c r="AB212" i="9"/>
  <c r="J242" i="21" s="1"/>
  <c r="AA212" i="9"/>
  <c r="J241" i="21" s="1"/>
  <c r="Z212" i="9"/>
  <c r="J240" i="21" s="1"/>
  <c r="Y212" i="9"/>
  <c r="J239" i="21" s="1"/>
  <c r="X212" i="9"/>
  <c r="J238" i="21" s="1"/>
  <c r="W212" i="9"/>
  <c r="J237" i="21" s="1"/>
  <c r="V212" i="9"/>
  <c r="J236" i="21" s="1"/>
  <c r="U212" i="9"/>
  <c r="J235" i="21" s="1"/>
  <c r="T212" i="9"/>
  <c r="J234" i="21" s="1"/>
  <c r="S212" i="9"/>
  <c r="J233" i="21" s="1"/>
  <c r="R212" i="9"/>
  <c r="J232" i="21" s="1"/>
  <c r="Q212" i="9"/>
  <c r="J231" i="21" s="1"/>
  <c r="P212" i="9"/>
  <c r="J230" i="21" s="1"/>
  <c r="O212" i="9"/>
  <c r="J229" i="21" s="1"/>
  <c r="N212" i="9"/>
  <c r="J228" i="21" s="1"/>
  <c r="M212" i="9"/>
  <c r="J227" i="21" s="1"/>
  <c r="L212" i="9"/>
  <c r="J226" i="21" s="1"/>
  <c r="K212" i="9"/>
  <c r="J225" i="21" s="1"/>
  <c r="J212" i="9"/>
  <c r="J224" i="21" s="1"/>
  <c r="I212" i="9"/>
  <c r="J223" i="21" s="1"/>
  <c r="H212" i="9"/>
  <c r="J222" i="21" s="1"/>
  <c r="G212" i="9"/>
  <c r="J221" i="21" s="1"/>
  <c r="F212" i="9"/>
  <c r="J220" i="21" s="1"/>
  <c r="E212" i="9"/>
  <c r="J219" i="21" s="1"/>
  <c r="D212" i="9"/>
  <c r="J218" i="21" s="1"/>
  <c r="AY211" i="9"/>
  <c r="AX211" i="9"/>
  <c r="AW211" i="9"/>
  <c r="AV211" i="9"/>
  <c r="AL211" i="9" s="1"/>
  <c r="I252" i="21" s="1"/>
  <c r="AU211" i="9"/>
  <c r="AK211" i="9" s="1"/>
  <c r="I251" i="21" s="1"/>
  <c r="AT211" i="9"/>
  <c r="AJ211" i="9" s="1"/>
  <c r="I250" i="21" s="1"/>
  <c r="AS211" i="9"/>
  <c r="AR211" i="9"/>
  <c r="AQ211" i="9"/>
  <c r="AO211" i="9"/>
  <c r="I255" i="21" s="1"/>
  <c r="AN211" i="9"/>
  <c r="I254" i="21" s="1"/>
  <c r="AM211" i="9"/>
  <c r="I253" i="21" s="1"/>
  <c r="AG211" i="9"/>
  <c r="I247" i="21" s="1"/>
  <c r="AF211" i="9"/>
  <c r="I246" i="21" s="1"/>
  <c r="AE211" i="9"/>
  <c r="I245" i="21" s="1"/>
  <c r="AD211" i="9"/>
  <c r="I244" i="21" s="1"/>
  <c r="AC211" i="9"/>
  <c r="I243" i="21" s="1"/>
  <c r="AB211" i="9"/>
  <c r="I242" i="21" s="1"/>
  <c r="AA211" i="9"/>
  <c r="I241" i="21" s="1"/>
  <c r="Z211" i="9"/>
  <c r="I240" i="21" s="1"/>
  <c r="Y211" i="9"/>
  <c r="I239" i="21" s="1"/>
  <c r="X211" i="9"/>
  <c r="I238" i="21" s="1"/>
  <c r="W211" i="9"/>
  <c r="I237" i="21" s="1"/>
  <c r="V211" i="9"/>
  <c r="I236" i="21" s="1"/>
  <c r="U211" i="9"/>
  <c r="I235" i="21" s="1"/>
  <c r="T211" i="9"/>
  <c r="I234" i="21" s="1"/>
  <c r="S211" i="9"/>
  <c r="I233" i="21" s="1"/>
  <c r="R211" i="9"/>
  <c r="I232" i="21" s="1"/>
  <c r="Q211" i="9"/>
  <c r="I231" i="21" s="1"/>
  <c r="P211" i="9"/>
  <c r="I230" i="21" s="1"/>
  <c r="O211" i="9"/>
  <c r="I229" i="21" s="1"/>
  <c r="N211" i="9"/>
  <c r="I228" i="21" s="1"/>
  <c r="M211" i="9"/>
  <c r="I227" i="21" s="1"/>
  <c r="L211" i="9"/>
  <c r="I226" i="21" s="1"/>
  <c r="K211" i="9"/>
  <c r="I225" i="21" s="1"/>
  <c r="J211" i="9"/>
  <c r="I224" i="21" s="1"/>
  <c r="I211" i="9"/>
  <c r="I223" i="21" s="1"/>
  <c r="H211" i="9"/>
  <c r="I222" i="21" s="1"/>
  <c r="G211" i="9"/>
  <c r="I221" i="21" s="1"/>
  <c r="F211" i="9"/>
  <c r="I220" i="21" s="1"/>
  <c r="E211" i="9"/>
  <c r="I219" i="21" s="1"/>
  <c r="D211" i="9"/>
  <c r="I218" i="21" s="1"/>
  <c r="AY210" i="9"/>
  <c r="AO210" i="9" s="1"/>
  <c r="H255" i="21" s="1"/>
  <c r="AX210" i="9"/>
  <c r="AN210" i="9" s="1"/>
  <c r="H254" i="21" s="1"/>
  <c r="AW210" i="9"/>
  <c r="AM210" i="9" s="1"/>
  <c r="H253" i="21" s="1"/>
  <c r="AV210" i="9"/>
  <c r="AU210" i="9"/>
  <c r="AT210" i="9"/>
  <c r="AI210" i="9" s="1"/>
  <c r="H249" i="21" s="1"/>
  <c r="AS210" i="9"/>
  <c r="AR210" i="9"/>
  <c r="AQ210" i="9"/>
  <c r="AL210" i="9"/>
  <c r="H252" i="21" s="1"/>
  <c r="AK210" i="9"/>
  <c r="H251" i="21" s="1"/>
  <c r="AJ210" i="9"/>
  <c r="H250" i="21" s="1"/>
  <c r="AG210" i="9"/>
  <c r="H247" i="21" s="1"/>
  <c r="AF210" i="9"/>
  <c r="H246" i="21" s="1"/>
  <c r="AE210" i="9"/>
  <c r="H245" i="21" s="1"/>
  <c r="AD210" i="9"/>
  <c r="H244" i="21" s="1"/>
  <c r="AC210" i="9"/>
  <c r="H243" i="21" s="1"/>
  <c r="AB210" i="9"/>
  <c r="H242" i="21" s="1"/>
  <c r="AA210" i="9"/>
  <c r="H241" i="21" s="1"/>
  <c r="Z210" i="9"/>
  <c r="H240" i="21" s="1"/>
  <c r="Y210" i="9"/>
  <c r="H239" i="21" s="1"/>
  <c r="X210" i="9"/>
  <c r="H238" i="21" s="1"/>
  <c r="W210" i="9"/>
  <c r="H237" i="21" s="1"/>
  <c r="V210" i="9"/>
  <c r="H236" i="21" s="1"/>
  <c r="U210" i="9"/>
  <c r="H235" i="21" s="1"/>
  <c r="T210" i="9"/>
  <c r="H234" i="21" s="1"/>
  <c r="S210" i="9"/>
  <c r="H233" i="21" s="1"/>
  <c r="R210" i="9"/>
  <c r="H232" i="21" s="1"/>
  <c r="Q210" i="9"/>
  <c r="H231" i="21" s="1"/>
  <c r="P210" i="9"/>
  <c r="H230" i="21" s="1"/>
  <c r="O210" i="9"/>
  <c r="H229" i="21" s="1"/>
  <c r="N210" i="9"/>
  <c r="H228" i="21" s="1"/>
  <c r="M210" i="9"/>
  <c r="H227" i="21" s="1"/>
  <c r="L210" i="9"/>
  <c r="H226" i="21" s="1"/>
  <c r="K210" i="9"/>
  <c r="H225" i="21" s="1"/>
  <c r="J210" i="9"/>
  <c r="H224" i="21" s="1"/>
  <c r="I210" i="9"/>
  <c r="H223" i="21" s="1"/>
  <c r="H210" i="9"/>
  <c r="H222" i="21" s="1"/>
  <c r="G210" i="9"/>
  <c r="H221" i="21" s="1"/>
  <c r="F210" i="9"/>
  <c r="H220" i="21" s="1"/>
  <c r="E210" i="9"/>
  <c r="H219" i="21" s="1"/>
  <c r="D210" i="9"/>
  <c r="H218" i="21" s="1"/>
  <c r="AY209" i="9"/>
  <c r="AX209" i="9"/>
  <c r="AN209" i="9" s="1"/>
  <c r="G254" i="21" s="1"/>
  <c r="AQ209" i="9"/>
  <c r="AU209" i="9" s="1"/>
  <c r="AK209" i="9" s="1"/>
  <c r="G251" i="21" s="1"/>
  <c r="AO209" i="9"/>
  <c r="G255" i="21" s="1"/>
  <c r="AG209" i="9"/>
  <c r="G247" i="21" s="1"/>
  <c r="AF209" i="9"/>
  <c r="G246" i="21" s="1"/>
  <c r="AE209" i="9"/>
  <c r="G245" i="21" s="1"/>
  <c r="AD209" i="9"/>
  <c r="G244" i="21" s="1"/>
  <c r="AC209" i="9"/>
  <c r="G243" i="21" s="1"/>
  <c r="AB209" i="9"/>
  <c r="G242" i="21" s="1"/>
  <c r="AA209" i="9"/>
  <c r="G241" i="21" s="1"/>
  <c r="Z209" i="9"/>
  <c r="G240" i="21" s="1"/>
  <c r="Y209" i="9"/>
  <c r="G239" i="21" s="1"/>
  <c r="X209" i="9"/>
  <c r="G238" i="21" s="1"/>
  <c r="W209" i="9"/>
  <c r="G237" i="21" s="1"/>
  <c r="V209" i="9"/>
  <c r="G236" i="21" s="1"/>
  <c r="U209" i="9"/>
  <c r="G235" i="21" s="1"/>
  <c r="T209" i="9"/>
  <c r="G234" i="21" s="1"/>
  <c r="S209" i="9"/>
  <c r="G233" i="21" s="1"/>
  <c r="R209" i="9"/>
  <c r="G232" i="21" s="1"/>
  <c r="Q209" i="9"/>
  <c r="G231" i="21" s="1"/>
  <c r="P209" i="9"/>
  <c r="G230" i="21" s="1"/>
  <c r="O209" i="9"/>
  <c r="G229" i="21" s="1"/>
  <c r="N209" i="9"/>
  <c r="G228" i="21" s="1"/>
  <c r="M209" i="9"/>
  <c r="G227" i="21" s="1"/>
  <c r="L209" i="9"/>
  <c r="G226" i="21" s="1"/>
  <c r="K209" i="9"/>
  <c r="G225" i="21" s="1"/>
  <c r="J209" i="9"/>
  <c r="G224" i="21" s="1"/>
  <c r="I209" i="9"/>
  <c r="G223" i="21" s="1"/>
  <c r="H209" i="9"/>
  <c r="G222" i="21" s="1"/>
  <c r="G209" i="9"/>
  <c r="G221" i="21" s="1"/>
  <c r="F209" i="9"/>
  <c r="G220" i="21" s="1"/>
  <c r="E209" i="9"/>
  <c r="G219" i="21" s="1"/>
  <c r="D209" i="9"/>
  <c r="G218" i="21" s="1"/>
  <c r="AV208" i="9"/>
  <c r="AL208" i="9" s="1"/>
  <c r="F252" i="21" s="1"/>
  <c r="AU208" i="9"/>
  <c r="AK208" i="9" s="1"/>
  <c r="F251" i="21" s="1"/>
  <c r="AT208" i="9"/>
  <c r="AJ208" i="9" s="1"/>
  <c r="F250" i="21" s="1"/>
  <c r="AQ208" i="9"/>
  <c r="AY208" i="9" s="1"/>
  <c r="AO208" i="9" s="1"/>
  <c r="F255" i="21" s="1"/>
  <c r="AG208" i="9"/>
  <c r="F247" i="21" s="1"/>
  <c r="AF208" i="9"/>
  <c r="F246" i="21" s="1"/>
  <c r="AE208" i="9"/>
  <c r="F245" i="21" s="1"/>
  <c r="AD208" i="9"/>
  <c r="F244" i="21" s="1"/>
  <c r="AC208" i="9"/>
  <c r="F243" i="21" s="1"/>
  <c r="AB208" i="9"/>
  <c r="F242" i="21" s="1"/>
  <c r="AA208" i="9"/>
  <c r="F241" i="21" s="1"/>
  <c r="Z208" i="9"/>
  <c r="F240" i="21" s="1"/>
  <c r="Y208" i="9"/>
  <c r="F239" i="21" s="1"/>
  <c r="X208" i="9"/>
  <c r="F238" i="21" s="1"/>
  <c r="W208" i="9"/>
  <c r="F237" i="21" s="1"/>
  <c r="V208" i="9"/>
  <c r="F236" i="21" s="1"/>
  <c r="U208" i="9"/>
  <c r="F235" i="21" s="1"/>
  <c r="T208" i="9"/>
  <c r="F234" i="21" s="1"/>
  <c r="S208" i="9"/>
  <c r="F233" i="21" s="1"/>
  <c r="R208" i="9"/>
  <c r="F232" i="21" s="1"/>
  <c r="Q208" i="9"/>
  <c r="F231" i="21" s="1"/>
  <c r="P208" i="9"/>
  <c r="F230" i="21" s="1"/>
  <c r="O208" i="9"/>
  <c r="F229" i="21" s="1"/>
  <c r="N208" i="9"/>
  <c r="F228" i="21" s="1"/>
  <c r="M208" i="9"/>
  <c r="F227" i="21" s="1"/>
  <c r="L208" i="9"/>
  <c r="F226" i="21" s="1"/>
  <c r="K208" i="9"/>
  <c r="F225" i="21" s="1"/>
  <c r="J208" i="9"/>
  <c r="F224" i="21" s="1"/>
  <c r="I208" i="9"/>
  <c r="F223" i="21" s="1"/>
  <c r="H208" i="9"/>
  <c r="F222" i="21" s="1"/>
  <c r="G208" i="9"/>
  <c r="F221" i="21" s="1"/>
  <c r="F208" i="9"/>
  <c r="F220" i="21" s="1"/>
  <c r="E208" i="9"/>
  <c r="F219" i="21" s="1"/>
  <c r="D208" i="9"/>
  <c r="F218" i="21" s="1"/>
  <c r="AY207" i="9"/>
  <c r="AO207" i="9" s="1"/>
  <c r="E255" i="21" s="1"/>
  <c r="AV207" i="9"/>
  <c r="AU207" i="9"/>
  <c r="AT207" i="9"/>
  <c r="AJ207" i="9" s="1"/>
  <c r="E250" i="21" s="1"/>
  <c r="AQ207" i="9"/>
  <c r="AX207" i="9" s="1"/>
  <c r="AN207" i="9" s="1"/>
  <c r="E254" i="21" s="1"/>
  <c r="AL207" i="9"/>
  <c r="E252" i="21" s="1"/>
  <c r="AK207" i="9"/>
  <c r="E251" i="21" s="1"/>
  <c r="AG207" i="9"/>
  <c r="E247" i="21" s="1"/>
  <c r="AF207" i="9"/>
  <c r="E246" i="21" s="1"/>
  <c r="AE207" i="9"/>
  <c r="E245" i="21" s="1"/>
  <c r="AD207" i="9"/>
  <c r="E244" i="21" s="1"/>
  <c r="AC207" i="9"/>
  <c r="E243" i="21" s="1"/>
  <c r="AB207" i="9"/>
  <c r="E242" i="21" s="1"/>
  <c r="AA207" i="9"/>
  <c r="E241" i="21" s="1"/>
  <c r="Z207" i="9"/>
  <c r="E240" i="21" s="1"/>
  <c r="Y207" i="9"/>
  <c r="E239" i="21" s="1"/>
  <c r="X207" i="9"/>
  <c r="E238" i="21" s="1"/>
  <c r="W207" i="9"/>
  <c r="E237" i="21" s="1"/>
  <c r="V207" i="9"/>
  <c r="E236" i="21" s="1"/>
  <c r="U207" i="9"/>
  <c r="E235" i="21" s="1"/>
  <c r="T207" i="9"/>
  <c r="E234" i="21" s="1"/>
  <c r="S207" i="9"/>
  <c r="E233" i="21" s="1"/>
  <c r="R207" i="9"/>
  <c r="E232" i="21" s="1"/>
  <c r="Q207" i="9"/>
  <c r="E231" i="21" s="1"/>
  <c r="P207" i="9"/>
  <c r="E230" i="21" s="1"/>
  <c r="O207" i="9"/>
  <c r="E229" i="21" s="1"/>
  <c r="N207" i="9"/>
  <c r="E228" i="21" s="1"/>
  <c r="M207" i="9"/>
  <c r="E227" i="21" s="1"/>
  <c r="L207" i="9"/>
  <c r="E226" i="21" s="1"/>
  <c r="K207" i="9"/>
  <c r="E225" i="21" s="1"/>
  <c r="J207" i="9"/>
  <c r="E224" i="21" s="1"/>
  <c r="I207" i="9"/>
  <c r="E223" i="21" s="1"/>
  <c r="H207" i="9"/>
  <c r="E222" i="21" s="1"/>
  <c r="G207" i="9"/>
  <c r="E221" i="21" s="1"/>
  <c r="F207" i="9"/>
  <c r="E220" i="21" s="1"/>
  <c r="E207" i="9"/>
  <c r="E219" i="21" s="1"/>
  <c r="D207" i="9"/>
  <c r="E218" i="21" s="1"/>
  <c r="AY206" i="9"/>
  <c r="AO206" i="9" s="1"/>
  <c r="D255" i="21" s="1"/>
  <c r="AQ206" i="9"/>
  <c r="AV206" i="9" s="1"/>
  <c r="AL206" i="9" s="1"/>
  <c r="D252" i="21" s="1"/>
  <c r="AG206" i="9"/>
  <c r="D247" i="21" s="1"/>
  <c r="AF206" i="9"/>
  <c r="D246" i="21" s="1"/>
  <c r="AE206" i="9"/>
  <c r="D245" i="21" s="1"/>
  <c r="AD206" i="9"/>
  <c r="D244" i="21" s="1"/>
  <c r="AC206" i="9"/>
  <c r="D243" i="21" s="1"/>
  <c r="AB206" i="9"/>
  <c r="D242" i="21" s="1"/>
  <c r="AA206" i="9"/>
  <c r="D241" i="21" s="1"/>
  <c r="Z206" i="9"/>
  <c r="D240" i="21" s="1"/>
  <c r="Y206" i="9"/>
  <c r="D239" i="21" s="1"/>
  <c r="X206" i="9"/>
  <c r="D238" i="21" s="1"/>
  <c r="W206" i="9"/>
  <c r="D237" i="21" s="1"/>
  <c r="V206" i="9"/>
  <c r="D236" i="21" s="1"/>
  <c r="U206" i="9"/>
  <c r="D235" i="21" s="1"/>
  <c r="T206" i="9"/>
  <c r="D234" i="21" s="1"/>
  <c r="S206" i="9"/>
  <c r="D233" i="21" s="1"/>
  <c r="R206" i="9"/>
  <c r="D232" i="21" s="1"/>
  <c r="Q206" i="9"/>
  <c r="D231" i="21" s="1"/>
  <c r="P206" i="9"/>
  <c r="D230" i="21" s="1"/>
  <c r="O206" i="9"/>
  <c r="D229" i="21" s="1"/>
  <c r="N206" i="9"/>
  <c r="D228" i="21" s="1"/>
  <c r="M206" i="9"/>
  <c r="D227" i="21" s="1"/>
  <c r="L206" i="9"/>
  <c r="D226" i="21" s="1"/>
  <c r="K206" i="9"/>
  <c r="D225" i="21" s="1"/>
  <c r="J206" i="9"/>
  <c r="D224" i="21" s="1"/>
  <c r="I206" i="9"/>
  <c r="D223" i="21" s="1"/>
  <c r="H206" i="9"/>
  <c r="D222" i="21" s="1"/>
  <c r="G206" i="9"/>
  <c r="D221" i="21" s="1"/>
  <c r="F206" i="9"/>
  <c r="D220" i="21" s="1"/>
  <c r="E206" i="9"/>
  <c r="D219" i="21" s="1"/>
  <c r="D206" i="9"/>
  <c r="D218" i="21" s="1"/>
  <c r="AV205" i="9"/>
  <c r="AL205" i="9" s="1"/>
  <c r="AQ210" i="21" s="1"/>
  <c r="AQ205" i="9"/>
  <c r="AY205" i="9" s="1"/>
  <c r="AO205" i="9" s="1"/>
  <c r="AQ213" i="21" s="1"/>
  <c r="AG205" i="9"/>
  <c r="AQ205" i="21" s="1"/>
  <c r="AF205" i="9"/>
  <c r="AQ204" i="21" s="1"/>
  <c r="AE205" i="9"/>
  <c r="AQ203" i="21" s="1"/>
  <c r="AD205" i="9"/>
  <c r="AQ202" i="21" s="1"/>
  <c r="AC205" i="9"/>
  <c r="AQ201" i="21" s="1"/>
  <c r="AB205" i="9"/>
  <c r="AQ200" i="21" s="1"/>
  <c r="AA205" i="9"/>
  <c r="AQ199" i="21" s="1"/>
  <c r="Z205" i="9"/>
  <c r="AQ198" i="21" s="1"/>
  <c r="Y205" i="9"/>
  <c r="AQ197" i="21" s="1"/>
  <c r="X205" i="9"/>
  <c r="AQ196" i="21" s="1"/>
  <c r="W205" i="9"/>
  <c r="AQ195" i="21" s="1"/>
  <c r="V205" i="9"/>
  <c r="AQ194" i="21" s="1"/>
  <c r="U205" i="9"/>
  <c r="AQ193" i="21" s="1"/>
  <c r="T205" i="9"/>
  <c r="AQ192" i="21" s="1"/>
  <c r="S205" i="9"/>
  <c r="AQ191" i="21" s="1"/>
  <c r="R205" i="9"/>
  <c r="AQ190" i="21" s="1"/>
  <c r="Q205" i="9"/>
  <c r="AQ189" i="21" s="1"/>
  <c r="P205" i="9"/>
  <c r="AQ188" i="21" s="1"/>
  <c r="O205" i="9"/>
  <c r="AQ187" i="21" s="1"/>
  <c r="N205" i="9"/>
  <c r="AQ186" i="21" s="1"/>
  <c r="M205" i="9"/>
  <c r="AQ185" i="21" s="1"/>
  <c r="L205" i="9"/>
  <c r="AQ184" i="21" s="1"/>
  <c r="K205" i="9"/>
  <c r="AQ183" i="21" s="1"/>
  <c r="J205" i="9"/>
  <c r="AQ182" i="21" s="1"/>
  <c r="I205" i="9"/>
  <c r="AQ181" i="21" s="1"/>
  <c r="H205" i="9"/>
  <c r="AQ180" i="21" s="1"/>
  <c r="G205" i="9"/>
  <c r="AQ179" i="21" s="1"/>
  <c r="F205" i="9"/>
  <c r="AQ178" i="21" s="1"/>
  <c r="E205" i="9"/>
  <c r="AQ177" i="21" s="1"/>
  <c r="D205" i="9"/>
  <c r="AQ176" i="21" s="1"/>
  <c r="AY204" i="9"/>
  <c r="AO204" i="9" s="1"/>
  <c r="AP213" i="21" s="1"/>
  <c r="AW204" i="9"/>
  <c r="AV204" i="9"/>
  <c r="AU204" i="9"/>
  <c r="AK204" i="9" s="1"/>
  <c r="AP209" i="21" s="1"/>
  <c r="AR204" i="9"/>
  <c r="AS204" i="9" s="1"/>
  <c r="AQ204" i="9"/>
  <c r="AX204" i="9" s="1"/>
  <c r="AN204" i="9" s="1"/>
  <c r="AP212" i="21" s="1"/>
  <c r="AM204" i="9"/>
  <c r="AP211" i="21" s="1"/>
  <c r="AL204" i="9"/>
  <c r="AP210" i="21" s="1"/>
  <c r="AG204" i="9"/>
  <c r="AP205" i="21" s="1"/>
  <c r="AF204" i="9"/>
  <c r="AP204" i="21" s="1"/>
  <c r="AE204" i="9"/>
  <c r="AP203" i="21" s="1"/>
  <c r="AD204" i="9"/>
  <c r="AP202" i="21" s="1"/>
  <c r="AC204" i="9"/>
  <c r="AP201" i="21" s="1"/>
  <c r="AB204" i="9"/>
  <c r="AP200" i="21" s="1"/>
  <c r="AA204" i="9"/>
  <c r="AP199" i="21" s="1"/>
  <c r="Z204" i="9"/>
  <c r="AP198" i="21" s="1"/>
  <c r="Y204" i="9"/>
  <c r="AP197" i="21" s="1"/>
  <c r="X204" i="9"/>
  <c r="AP196" i="21" s="1"/>
  <c r="W204" i="9"/>
  <c r="AP195" i="21" s="1"/>
  <c r="V204" i="9"/>
  <c r="AP194" i="21" s="1"/>
  <c r="U204" i="9"/>
  <c r="AP193" i="21" s="1"/>
  <c r="T204" i="9"/>
  <c r="AP192" i="21" s="1"/>
  <c r="S204" i="9"/>
  <c r="AP191" i="21" s="1"/>
  <c r="R204" i="9"/>
  <c r="AP190" i="21" s="1"/>
  <c r="Q204" i="9"/>
  <c r="AP189" i="21" s="1"/>
  <c r="P204" i="9"/>
  <c r="AP188" i="21" s="1"/>
  <c r="O204" i="9"/>
  <c r="AP187" i="21" s="1"/>
  <c r="N204" i="9"/>
  <c r="AP186" i="21" s="1"/>
  <c r="M204" i="9"/>
  <c r="AP185" i="21" s="1"/>
  <c r="L204" i="9"/>
  <c r="AP184" i="21" s="1"/>
  <c r="K204" i="9"/>
  <c r="AP183" i="21" s="1"/>
  <c r="J204" i="9"/>
  <c r="AP182" i="21" s="1"/>
  <c r="I204" i="9"/>
  <c r="AP181" i="21" s="1"/>
  <c r="H204" i="9"/>
  <c r="AP180" i="21" s="1"/>
  <c r="G204" i="9"/>
  <c r="AP179" i="21" s="1"/>
  <c r="F204" i="9"/>
  <c r="AP178" i="21" s="1"/>
  <c r="E204" i="9"/>
  <c r="AP177" i="21" s="1"/>
  <c r="D204" i="9"/>
  <c r="AP176" i="21" s="1"/>
  <c r="AR203" i="9"/>
  <c r="AS203" i="9" s="1"/>
  <c r="AQ203" i="9"/>
  <c r="AW203" i="9" s="1"/>
  <c r="AM203" i="9" s="1"/>
  <c r="AO211" i="21" s="1"/>
  <c r="AG203" i="9"/>
  <c r="AO205" i="21" s="1"/>
  <c r="AF203" i="9"/>
  <c r="AO204" i="21" s="1"/>
  <c r="AE203" i="9"/>
  <c r="AO203" i="21" s="1"/>
  <c r="AD203" i="9"/>
  <c r="AO202" i="21" s="1"/>
  <c r="AC203" i="9"/>
  <c r="AO201" i="21" s="1"/>
  <c r="AB203" i="9"/>
  <c r="AO200" i="21" s="1"/>
  <c r="AA203" i="9"/>
  <c r="AO199" i="21" s="1"/>
  <c r="Z203" i="9"/>
  <c r="AO198" i="21" s="1"/>
  <c r="Y203" i="9"/>
  <c r="AO197" i="21" s="1"/>
  <c r="X203" i="9"/>
  <c r="AO196" i="21" s="1"/>
  <c r="W203" i="9"/>
  <c r="AO195" i="21" s="1"/>
  <c r="V203" i="9"/>
  <c r="AO194" i="21" s="1"/>
  <c r="U203" i="9"/>
  <c r="AO193" i="21" s="1"/>
  <c r="T203" i="9"/>
  <c r="AO192" i="21" s="1"/>
  <c r="S203" i="9"/>
  <c r="AO191" i="21" s="1"/>
  <c r="R203" i="9"/>
  <c r="AO190" i="21" s="1"/>
  <c r="Q203" i="9"/>
  <c r="AO189" i="21" s="1"/>
  <c r="P203" i="9"/>
  <c r="AO188" i="21" s="1"/>
  <c r="O203" i="9"/>
  <c r="AO187" i="21" s="1"/>
  <c r="N203" i="9"/>
  <c r="AO186" i="21" s="1"/>
  <c r="M203" i="9"/>
  <c r="AO185" i="21" s="1"/>
  <c r="L203" i="9"/>
  <c r="AO184" i="21" s="1"/>
  <c r="K203" i="9"/>
  <c r="AO183" i="21" s="1"/>
  <c r="J203" i="9"/>
  <c r="AO182" i="21" s="1"/>
  <c r="I203" i="9"/>
  <c r="AO181" i="21" s="1"/>
  <c r="H203" i="9"/>
  <c r="AO180" i="21" s="1"/>
  <c r="G203" i="9"/>
  <c r="AO179" i="21" s="1"/>
  <c r="F203" i="9"/>
  <c r="AO178" i="21" s="1"/>
  <c r="E203" i="9"/>
  <c r="AO177" i="21" s="1"/>
  <c r="D203" i="9"/>
  <c r="AO176" i="21" s="1"/>
  <c r="AW202" i="9"/>
  <c r="AM202" i="9" s="1"/>
  <c r="AN211" i="21" s="1"/>
  <c r="AQ202" i="9"/>
  <c r="AY202" i="9" s="1"/>
  <c r="AO202" i="9" s="1"/>
  <c r="AN213" i="21" s="1"/>
  <c r="AG202" i="9"/>
  <c r="AN205" i="21" s="1"/>
  <c r="AF202" i="9"/>
  <c r="AN204" i="21" s="1"/>
  <c r="AE202" i="9"/>
  <c r="AN203" i="21" s="1"/>
  <c r="AD202" i="9"/>
  <c r="AN202" i="21" s="1"/>
  <c r="AC202" i="9"/>
  <c r="AN201" i="21" s="1"/>
  <c r="AB202" i="9"/>
  <c r="AN200" i="21" s="1"/>
  <c r="AA202" i="9"/>
  <c r="AN199" i="21" s="1"/>
  <c r="Z202" i="9"/>
  <c r="AN198" i="21" s="1"/>
  <c r="Y202" i="9"/>
  <c r="AN197" i="21" s="1"/>
  <c r="X202" i="9"/>
  <c r="AN196" i="21" s="1"/>
  <c r="W202" i="9"/>
  <c r="AN195" i="21" s="1"/>
  <c r="V202" i="9"/>
  <c r="AN194" i="21" s="1"/>
  <c r="U202" i="9"/>
  <c r="AN193" i="21" s="1"/>
  <c r="T202" i="9"/>
  <c r="AN192" i="21" s="1"/>
  <c r="S202" i="9"/>
  <c r="AN191" i="21" s="1"/>
  <c r="R202" i="9"/>
  <c r="AN190" i="21" s="1"/>
  <c r="Q202" i="9"/>
  <c r="AN189" i="21" s="1"/>
  <c r="P202" i="9"/>
  <c r="AN188" i="21" s="1"/>
  <c r="O202" i="9"/>
  <c r="AN187" i="21" s="1"/>
  <c r="N202" i="9"/>
  <c r="AN186" i="21" s="1"/>
  <c r="M202" i="9"/>
  <c r="AN185" i="21" s="1"/>
  <c r="L202" i="9"/>
  <c r="AN184" i="21" s="1"/>
  <c r="K202" i="9"/>
  <c r="AN183" i="21" s="1"/>
  <c r="J202" i="9"/>
  <c r="AN182" i="21" s="1"/>
  <c r="I202" i="9"/>
  <c r="AN181" i="21" s="1"/>
  <c r="H202" i="9"/>
  <c r="AN180" i="21" s="1"/>
  <c r="G202" i="9"/>
  <c r="AN179" i="21" s="1"/>
  <c r="F202" i="9"/>
  <c r="AN178" i="21" s="1"/>
  <c r="E202" i="9"/>
  <c r="AN177" i="21" s="1"/>
  <c r="D202" i="9"/>
  <c r="AN176" i="21" s="1"/>
  <c r="AX201" i="9"/>
  <c r="AW201" i="9"/>
  <c r="AV201" i="9"/>
  <c r="AL201" i="9" s="1"/>
  <c r="AM210" i="21" s="1"/>
  <c r="AQ201" i="9"/>
  <c r="AR201" i="9" s="1"/>
  <c r="AS201" i="9" s="1"/>
  <c r="AN201" i="9"/>
  <c r="AM212" i="21" s="1"/>
  <c r="AM201" i="9"/>
  <c r="AM211" i="21" s="1"/>
  <c r="AG201" i="9"/>
  <c r="AM205" i="21" s="1"/>
  <c r="AF201" i="9"/>
  <c r="AM204" i="21" s="1"/>
  <c r="AE201" i="9"/>
  <c r="AM203" i="21" s="1"/>
  <c r="AD201" i="9"/>
  <c r="AM202" i="21" s="1"/>
  <c r="AC201" i="9"/>
  <c r="AM201" i="21" s="1"/>
  <c r="AB201" i="9"/>
  <c r="AM200" i="21" s="1"/>
  <c r="AA201" i="9"/>
  <c r="AM199" i="21" s="1"/>
  <c r="Z201" i="9"/>
  <c r="AM198" i="21" s="1"/>
  <c r="Y201" i="9"/>
  <c r="AM197" i="21" s="1"/>
  <c r="X201" i="9"/>
  <c r="AM196" i="21" s="1"/>
  <c r="W201" i="9"/>
  <c r="AM195" i="21" s="1"/>
  <c r="V201" i="9"/>
  <c r="AM194" i="21" s="1"/>
  <c r="U201" i="9"/>
  <c r="AM193" i="21" s="1"/>
  <c r="T201" i="9"/>
  <c r="AM192" i="21" s="1"/>
  <c r="S201" i="9"/>
  <c r="AM191" i="21" s="1"/>
  <c r="R201" i="9"/>
  <c r="AM190" i="21" s="1"/>
  <c r="Q201" i="9"/>
  <c r="AM189" i="21" s="1"/>
  <c r="P201" i="9"/>
  <c r="AM188" i="21" s="1"/>
  <c r="O201" i="9"/>
  <c r="AM187" i="21" s="1"/>
  <c r="N201" i="9"/>
  <c r="AM186" i="21" s="1"/>
  <c r="M201" i="9"/>
  <c r="AM185" i="21" s="1"/>
  <c r="L201" i="9"/>
  <c r="AM184" i="21" s="1"/>
  <c r="K201" i="9"/>
  <c r="AM183" i="21" s="1"/>
  <c r="J201" i="9"/>
  <c r="AM182" i="21" s="1"/>
  <c r="I201" i="9"/>
  <c r="AM181" i="21" s="1"/>
  <c r="H201" i="9"/>
  <c r="AM180" i="21" s="1"/>
  <c r="G201" i="9"/>
  <c r="AM179" i="21" s="1"/>
  <c r="F201" i="9"/>
  <c r="AM178" i="21" s="1"/>
  <c r="E201" i="9"/>
  <c r="AM177" i="21" s="1"/>
  <c r="D201" i="9"/>
  <c r="AM176" i="21" s="1"/>
  <c r="AX200" i="9"/>
  <c r="AU200" i="9"/>
  <c r="AK200" i="9" s="1"/>
  <c r="AL209" i="21" s="1"/>
  <c r="AT200" i="9"/>
  <c r="AI200" i="9" s="1"/>
  <c r="AL207" i="21" s="1"/>
  <c r="AS200" i="9"/>
  <c r="AR200" i="9"/>
  <c r="AQ200" i="9"/>
  <c r="AW200" i="9" s="1"/>
  <c r="AM200" i="9" s="1"/>
  <c r="AL211" i="21" s="1"/>
  <c r="AN200" i="9"/>
  <c r="AL212" i="21" s="1"/>
  <c r="AG200" i="9"/>
  <c r="AL205" i="21" s="1"/>
  <c r="AF200" i="9"/>
  <c r="AL204" i="21" s="1"/>
  <c r="AE200" i="9"/>
  <c r="AL203" i="21" s="1"/>
  <c r="AD200" i="9"/>
  <c r="AL202" i="21" s="1"/>
  <c r="AC200" i="9"/>
  <c r="AL201" i="21" s="1"/>
  <c r="AB200" i="9"/>
  <c r="AL200" i="21" s="1"/>
  <c r="AA200" i="9"/>
  <c r="AL199" i="21" s="1"/>
  <c r="Z200" i="9"/>
  <c r="AL198" i="21" s="1"/>
  <c r="Y200" i="9"/>
  <c r="AL197" i="21" s="1"/>
  <c r="X200" i="9"/>
  <c r="AL196" i="21" s="1"/>
  <c r="W200" i="9"/>
  <c r="AL195" i="21" s="1"/>
  <c r="V200" i="9"/>
  <c r="AL194" i="21" s="1"/>
  <c r="U200" i="9"/>
  <c r="AL193" i="21" s="1"/>
  <c r="T200" i="9"/>
  <c r="AL192" i="21" s="1"/>
  <c r="S200" i="9"/>
  <c r="AL191" i="21" s="1"/>
  <c r="R200" i="9"/>
  <c r="AL190" i="21" s="1"/>
  <c r="Q200" i="9"/>
  <c r="AL189" i="21" s="1"/>
  <c r="P200" i="9"/>
  <c r="AL188" i="21" s="1"/>
  <c r="O200" i="9"/>
  <c r="AL187" i="21" s="1"/>
  <c r="N200" i="9"/>
  <c r="AL186" i="21" s="1"/>
  <c r="M200" i="9"/>
  <c r="AL185" i="21" s="1"/>
  <c r="L200" i="9"/>
  <c r="AL184" i="21" s="1"/>
  <c r="K200" i="9"/>
  <c r="AL183" i="21" s="1"/>
  <c r="J200" i="9"/>
  <c r="AL182" i="21" s="1"/>
  <c r="I200" i="9"/>
  <c r="AL181" i="21" s="1"/>
  <c r="H200" i="9"/>
  <c r="AL180" i="21" s="1"/>
  <c r="G200" i="9"/>
  <c r="AL179" i="21" s="1"/>
  <c r="F200" i="9"/>
  <c r="AL178" i="21" s="1"/>
  <c r="E200" i="9"/>
  <c r="AL177" i="21" s="1"/>
  <c r="D200" i="9"/>
  <c r="AL176" i="21" s="1"/>
  <c r="AY199" i="9"/>
  <c r="AO199" i="9" s="1"/>
  <c r="AK213" i="21" s="1"/>
  <c r="AX199" i="9"/>
  <c r="AN199" i="9" s="1"/>
  <c r="AK212" i="21" s="1"/>
  <c r="AW199" i="9"/>
  <c r="AM199" i="9" s="1"/>
  <c r="AK211" i="21" s="1"/>
  <c r="AV199" i="9"/>
  <c r="AT199" i="9"/>
  <c r="AR199" i="9"/>
  <c r="AS199" i="9" s="1"/>
  <c r="AQ199" i="9"/>
  <c r="AU199" i="9" s="1"/>
  <c r="AK199" i="9" s="1"/>
  <c r="AK209" i="21" s="1"/>
  <c r="AL199" i="9"/>
  <c r="AK210" i="21" s="1"/>
  <c r="AJ199" i="9"/>
  <c r="AK208" i="21" s="1"/>
  <c r="AI199" i="9"/>
  <c r="AK207" i="21" s="1"/>
  <c r="AH199" i="9"/>
  <c r="AK206" i="21" s="1"/>
  <c r="AG199" i="9"/>
  <c r="AK205" i="21" s="1"/>
  <c r="AF199" i="9"/>
  <c r="AK204" i="21" s="1"/>
  <c r="AE199" i="9"/>
  <c r="AK203" i="21" s="1"/>
  <c r="AD199" i="9"/>
  <c r="AK202" i="21" s="1"/>
  <c r="AC199" i="9"/>
  <c r="AK201" i="21" s="1"/>
  <c r="AB199" i="9"/>
  <c r="AK200" i="21" s="1"/>
  <c r="AA199" i="9"/>
  <c r="AK199" i="21" s="1"/>
  <c r="Z199" i="9"/>
  <c r="AK198" i="21" s="1"/>
  <c r="Y199" i="9"/>
  <c r="AK197" i="21" s="1"/>
  <c r="X199" i="9"/>
  <c r="AK196" i="21" s="1"/>
  <c r="W199" i="9"/>
  <c r="AK195" i="21" s="1"/>
  <c r="V199" i="9"/>
  <c r="AK194" i="21" s="1"/>
  <c r="U199" i="9"/>
  <c r="AK193" i="21" s="1"/>
  <c r="T199" i="9"/>
  <c r="AK192" i="21" s="1"/>
  <c r="S199" i="9"/>
  <c r="AK191" i="21" s="1"/>
  <c r="R199" i="9"/>
  <c r="AK190" i="21" s="1"/>
  <c r="Q199" i="9"/>
  <c r="AK189" i="21" s="1"/>
  <c r="P199" i="9"/>
  <c r="AK188" i="21" s="1"/>
  <c r="O199" i="9"/>
  <c r="AK187" i="21" s="1"/>
  <c r="N199" i="9"/>
  <c r="AK186" i="21" s="1"/>
  <c r="M199" i="9"/>
  <c r="AK185" i="21" s="1"/>
  <c r="L199" i="9"/>
  <c r="AK184" i="21" s="1"/>
  <c r="K199" i="9"/>
  <c r="AK183" i="21" s="1"/>
  <c r="J199" i="9"/>
  <c r="AK182" i="21" s="1"/>
  <c r="I199" i="9"/>
  <c r="AK181" i="21" s="1"/>
  <c r="H199" i="9"/>
  <c r="AK180" i="21" s="1"/>
  <c r="G199" i="9"/>
  <c r="AK179" i="21" s="1"/>
  <c r="F199" i="9"/>
  <c r="AK178" i="21" s="1"/>
  <c r="E199" i="9"/>
  <c r="AK177" i="21" s="1"/>
  <c r="D199" i="9"/>
  <c r="AK176" i="21" s="1"/>
  <c r="AY198" i="9"/>
  <c r="AX198" i="9"/>
  <c r="AW198" i="9"/>
  <c r="AM198" i="9" s="1"/>
  <c r="AJ211" i="21" s="1"/>
  <c r="AT198" i="9"/>
  <c r="AQ198" i="9"/>
  <c r="AR198" i="9" s="1"/>
  <c r="AS198" i="9" s="1"/>
  <c r="AO198" i="9"/>
  <c r="AJ213" i="21" s="1"/>
  <c r="AN198" i="9"/>
  <c r="AJ212" i="21" s="1"/>
  <c r="AJ198" i="9"/>
  <c r="AJ208" i="21" s="1"/>
  <c r="AI198" i="9"/>
  <c r="AJ207" i="21" s="1"/>
  <c r="AH198" i="9"/>
  <c r="AJ206" i="21" s="1"/>
  <c r="AG198" i="9"/>
  <c r="AJ205" i="21" s="1"/>
  <c r="AF198" i="9"/>
  <c r="AJ204" i="21" s="1"/>
  <c r="AE198" i="9"/>
  <c r="AJ203" i="21" s="1"/>
  <c r="AD198" i="9"/>
  <c r="AJ202" i="21" s="1"/>
  <c r="AC198" i="9"/>
  <c r="AJ201" i="21" s="1"/>
  <c r="AB198" i="9"/>
  <c r="AJ200" i="21" s="1"/>
  <c r="AA198" i="9"/>
  <c r="AJ199" i="21" s="1"/>
  <c r="Z198" i="9"/>
  <c r="AJ198" i="21" s="1"/>
  <c r="Y198" i="9"/>
  <c r="AJ197" i="21" s="1"/>
  <c r="X198" i="9"/>
  <c r="AJ196" i="21" s="1"/>
  <c r="W198" i="9"/>
  <c r="AJ195" i="21" s="1"/>
  <c r="V198" i="9"/>
  <c r="AJ194" i="21" s="1"/>
  <c r="U198" i="9"/>
  <c r="AJ193" i="21" s="1"/>
  <c r="T198" i="9"/>
  <c r="AJ192" i="21" s="1"/>
  <c r="S198" i="9"/>
  <c r="AJ191" i="21" s="1"/>
  <c r="R198" i="9"/>
  <c r="AJ190" i="21" s="1"/>
  <c r="Q198" i="9"/>
  <c r="AJ189" i="21" s="1"/>
  <c r="P198" i="9"/>
  <c r="AJ188" i="21" s="1"/>
  <c r="O198" i="9"/>
  <c r="AJ187" i="21" s="1"/>
  <c r="N198" i="9"/>
  <c r="AJ186" i="21" s="1"/>
  <c r="M198" i="9"/>
  <c r="AJ185" i="21" s="1"/>
  <c r="L198" i="9"/>
  <c r="AJ184" i="21" s="1"/>
  <c r="K198" i="9"/>
  <c r="AJ183" i="21" s="1"/>
  <c r="J198" i="9"/>
  <c r="AJ182" i="21" s="1"/>
  <c r="I198" i="9"/>
  <c r="AJ181" i="21" s="1"/>
  <c r="H198" i="9"/>
  <c r="AJ180" i="21" s="1"/>
  <c r="G198" i="9"/>
  <c r="AJ179" i="21" s="1"/>
  <c r="F198" i="9"/>
  <c r="AJ178" i="21" s="1"/>
  <c r="E198" i="9"/>
  <c r="AJ177" i="21" s="1"/>
  <c r="D198" i="9"/>
  <c r="AJ176" i="21" s="1"/>
  <c r="AY197" i="9"/>
  <c r="AX197" i="9"/>
  <c r="AW197" i="9"/>
  <c r="AV197" i="9"/>
  <c r="AL197" i="9" s="1"/>
  <c r="AI210" i="21" s="1"/>
  <c r="AU197" i="9"/>
  <c r="AK197" i="9" s="1"/>
  <c r="AI209" i="21" s="1"/>
  <c r="AT197" i="9"/>
  <c r="AJ197" i="9" s="1"/>
  <c r="AI208" i="21" s="1"/>
  <c r="AS197" i="9"/>
  <c r="AR197" i="9"/>
  <c r="AQ197" i="9"/>
  <c r="AO197" i="9"/>
  <c r="AI213" i="21" s="1"/>
  <c r="AN197" i="9"/>
  <c r="AI212" i="21" s="1"/>
  <c r="AM197" i="9"/>
  <c r="AI211" i="21" s="1"/>
  <c r="AG197" i="9"/>
  <c r="AI205" i="21" s="1"/>
  <c r="AF197" i="9"/>
  <c r="AI204" i="21" s="1"/>
  <c r="AE197" i="9"/>
  <c r="AI203" i="21" s="1"/>
  <c r="AD197" i="9"/>
  <c r="AI202" i="21" s="1"/>
  <c r="AC197" i="9"/>
  <c r="AI201" i="21" s="1"/>
  <c r="AB197" i="9"/>
  <c r="AI200" i="21" s="1"/>
  <c r="AA197" i="9"/>
  <c r="AI199" i="21" s="1"/>
  <c r="Z197" i="9"/>
  <c r="AI198" i="21" s="1"/>
  <c r="Y197" i="9"/>
  <c r="AI197" i="21" s="1"/>
  <c r="X197" i="9"/>
  <c r="AI196" i="21" s="1"/>
  <c r="W197" i="9"/>
  <c r="AI195" i="21" s="1"/>
  <c r="V197" i="9"/>
  <c r="AI194" i="21" s="1"/>
  <c r="U197" i="9"/>
  <c r="AI193" i="21" s="1"/>
  <c r="T197" i="9"/>
  <c r="AI192" i="21" s="1"/>
  <c r="S197" i="9"/>
  <c r="AI191" i="21" s="1"/>
  <c r="R197" i="9"/>
  <c r="AI190" i="21" s="1"/>
  <c r="Q197" i="9"/>
  <c r="AI189" i="21" s="1"/>
  <c r="P197" i="9"/>
  <c r="AI188" i="21" s="1"/>
  <c r="O197" i="9"/>
  <c r="AI187" i="21" s="1"/>
  <c r="N197" i="9"/>
  <c r="AI186" i="21" s="1"/>
  <c r="M197" i="9"/>
  <c r="AI185" i="21" s="1"/>
  <c r="L197" i="9"/>
  <c r="AI184" i="21" s="1"/>
  <c r="K197" i="9"/>
  <c r="AI183" i="21" s="1"/>
  <c r="J197" i="9"/>
  <c r="AI182" i="21" s="1"/>
  <c r="I197" i="9"/>
  <c r="AI181" i="21" s="1"/>
  <c r="H197" i="9"/>
  <c r="AI180" i="21" s="1"/>
  <c r="G197" i="9"/>
  <c r="AI179" i="21" s="1"/>
  <c r="F197" i="9"/>
  <c r="AI178" i="21" s="1"/>
  <c r="E197" i="9"/>
  <c r="AI177" i="21" s="1"/>
  <c r="D197" i="9"/>
  <c r="AI176" i="21" s="1"/>
  <c r="AY196" i="9"/>
  <c r="AO196" i="9" s="1"/>
  <c r="AH213" i="21" s="1"/>
  <c r="AX196" i="9"/>
  <c r="AN196" i="9" s="1"/>
  <c r="AH212" i="21" s="1"/>
  <c r="AW196" i="9"/>
  <c r="AM196" i="9" s="1"/>
  <c r="AH211" i="21" s="1"/>
  <c r="AV196" i="9"/>
  <c r="AU196" i="9"/>
  <c r="AT196" i="9"/>
  <c r="AI196" i="9" s="1"/>
  <c r="AH207" i="21" s="1"/>
  <c r="AS196" i="9"/>
  <c r="AR196" i="9"/>
  <c r="AQ196" i="9"/>
  <c r="AL196" i="9"/>
  <c r="AH210" i="21" s="1"/>
  <c r="AK196" i="9"/>
  <c r="AH209" i="21" s="1"/>
  <c r="AJ196" i="9"/>
  <c r="AH208" i="21" s="1"/>
  <c r="AG196" i="9"/>
  <c r="AH205" i="21" s="1"/>
  <c r="AF196" i="9"/>
  <c r="AH204" i="21" s="1"/>
  <c r="AE196" i="9"/>
  <c r="AH203" i="21" s="1"/>
  <c r="AD196" i="9"/>
  <c r="AH202" i="21" s="1"/>
  <c r="AC196" i="9"/>
  <c r="AH201" i="21" s="1"/>
  <c r="AB196" i="9"/>
  <c r="AH200" i="21" s="1"/>
  <c r="AA196" i="9"/>
  <c r="AH199" i="21" s="1"/>
  <c r="Z196" i="9"/>
  <c r="AH198" i="21" s="1"/>
  <c r="Y196" i="9"/>
  <c r="AH197" i="21" s="1"/>
  <c r="X196" i="9"/>
  <c r="AH196" i="21" s="1"/>
  <c r="W196" i="9"/>
  <c r="AH195" i="21" s="1"/>
  <c r="V196" i="9"/>
  <c r="AH194" i="21" s="1"/>
  <c r="U196" i="9"/>
  <c r="AH193" i="21" s="1"/>
  <c r="T196" i="9"/>
  <c r="AH192" i="21" s="1"/>
  <c r="S196" i="9"/>
  <c r="AH191" i="21" s="1"/>
  <c r="R196" i="9"/>
  <c r="AH190" i="21" s="1"/>
  <c r="Q196" i="9"/>
  <c r="AH189" i="21" s="1"/>
  <c r="P196" i="9"/>
  <c r="AH188" i="21" s="1"/>
  <c r="O196" i="9"/>
  <c r="AH187" i="21" s="1"/>
  <c r="N196" i="9"/>
  <c r="AH186" i="21" s="1"/>
  <c r="M196" i="9"/>
  <c r="AH185" i="21" s="1"/>
  <c r="L196" i="9"/>
  <c r="AH184" i="21" s="1"/>
  <c r="K196" i="9"/>
  <c r="AH183" i="21" s="1"/>
  <c r="J196" i="9"/>
  <c r="AH182" i="21" s="1"/>
  <c r="I196" i="9"/>
  <c r="AH181" i="21" s="1"/>
  <c r="H196" i="9"/>
  <c r="AH180" i="21" s="1"/>
  <c r="G196" i="9"/>
  <c r="AH179" i="21" s="1"/>
  <c r="F196" i="9"/>
  <c r="AH178" i="21" s="1"/>
  <c r="E196" i="9"/>
  <c r="AH177" i="21" s="1"/>
  <c r="D196" i="9"/>
  <c r="AH176" i="21" s="1"/>
  <c r="AY195" i="9"/>
  <c r="AX195" i="9"/>
  <c r="AN195" i="9" s="1"/>
  <c r="AG212" i="21" s="1"/>
  <c r="AQ195" i="9"/>
  <c r="AU195" i="9" s="1"/>
  <c r="AK195" i="9" s="1"/>
  <c r="AG209" i="21" s="1"/>
  <c r="AO195" i="9"/>
  <c r="AG213" i="21" s="1"/>
  <c r="AG195" i="9"/>
  <c r="AG205" i="21" s="1"/>
  <c r="AF195" i="9"/>
  <c r="AG204" i="21" s="1"/>
  <c r="AE195" i="9"/>
  <c r="AG203" i="21" s="1"/>
  <c r="AD195" i="9"/>
  <c r="AG202" i="21" s="1"/>
  <c r="AC195" i="9"/>
  <c r="AG201" i="21" s="1"/>
  <c r="AB195" i="9"/>
  <c r="AG200" i="21" s="1"/>
  <c r="AA195" i="9"/>
  <c r="AG199" i="21" s="1"/>
  <c r="Z195" i="9"/>
  <c r="AG198" i="21" s="1"/>
  <c r="Y195" i="9"/>
  <c r="AG197" i="21" s="1"/>
  <c r="X195" i="9"/>
  <c r="AG196" i="21" s="1"/>
  <c r="W195" i="9"/>
  <c r="AG195" i="21" s="1"/>
  <c r="V195" i="9"/>
  <c r="AG194" i="21" s="1"/>
  <c r="U195" i="9"/>
  <c r="AG193" i="21" s="1"/>
  <c r="T195" i="9"/>
  <c r="AG192" i="21" s="1"/>
  <c r="S195" i="9"/>
  <c r="AG191" i="21" s="1"/>
  <c r="R195" i="9"/>
  <c r="AG190" i="21" s="1"/>
  <c r="Q195" i="9"/>
  <c r="AG189" i="21" s="1"/>
  <c r="P195" i="9"/>
  <c r="AG188" i="21" s="1"/>
  <c r="O195" i="9"/>
  <c r="AG187" i="21" s="1"/>
  <c r="N195" i="9"/>
  <c r="AG186" i="21" s="1"/>
  <c r="M195" i="9"/>
  <c r="AG185" i="21" s="1"/>
  <c r="L195" i="9"/>
  <c r="AG184" i="21" s="1"/>
  <c r="K195" i="9"/>
  <c r="AG183" i="21" s="1"/>
  <c r="J195" i="9"/>
  <c r="AG182" i="21" s="1"/>
  <c r="I195" i="9"/>
  <c r="AG181" i="21" s="1"/>
  <c r="H195" i="9"/>
  <c r="AG180" i="21" s="1"/>
  <c r="G195" i="9"/>
  <c r="AG179" i="21" s="1"/>
  <c r="F195" i="9"/>
  <c r="AG178" i="21" s="1"/>
  <c r="E195" i="9"/>
  <c r="AG177" i="21" s="1"/>
  <c r="D195" i="9"/>
  <c r="AG176" i="21" s="1"/>
  <c r="AV194" i="9"/>
  <c r="AL194" i="9" s="1"/>
  <c r="AF210" i="21" s="1"/>
  <c r="AU194" i="9"/>
  <c r="AK194" i="9" s="1"/>
  <c r="AF209" i="21" s="1"/>
  <c r="AT194" i="9"/>
  <c r="AJ194" i="9" s="1"/>
  <c r="AF208" i="21" s="1"/>
  <c r="AQ194" i="9"/>
  <c r="AY194" i="9" s="1"/>
  <c r="AO194" i="9" s="1"/>
  <c r="AF213" i="21" s="1"/>
  <c r="AG194" i="9"/>
  <c r="AF205" i="21" s="1"/>
  <c r="AF194" i="9"/>
  <c r="AF204" i="21" s="1"/>
  <c r="AE194" i="9"/>
  <c r="AF203" i="21" s="1"/>
  <c r="AD194" i="9"/>
  <c r="AF202" i="21" s="1"/>
  <c r="AC194" i="9"/>
  <c r="AF201" i="21" s="1"/>
  <c r="AB194" i="9"/>
  <c r="AF200" i="21" s="1"/>
  <c r="AA194" i="9"/>
  <c r="AF199" i="21" s="1"/>
  <c r="Z194" i="9"/>
  <c r="AF198" i="21" s="1"/>
  <c r="Y194" i="9"/>
  <c r="AF197" i="21" s="1"/>
  <c r="X194" i="9"/>
  <c r="AF196" i="21" s="1"/>
  <c r="W194" i="9"/>
  <c r="AF195" i="21" s="1"/>
  <c r="V194" i="9"/>
  <c r="AF194" i="21" s="1"/>
  <c r="U194" i="9"/>
  <c r="AF193" i="21" s="1"/>
  <c r="T194" i="9"/>
  <c r="AF192" i="21" s="1"/>
  <c r="S194" i="9"/>
  <c r="AF191" i="21" s="1"/>
  <c r="R194" i="9"/>
  <c r="AF190" i="21" s="1"/>
  <c r="Q194" i="9"/>
  <c r="AF189" i="21" s="1"/>
  <c r="P194" i="9"/>
  <c r="AF188" i="21" s="1"/>
  <c r="O194" i="9"/>
  <c r="AF187" i="21" s="1"/>
  <c r="N194" i="9"/>
  <c r="AF186" i="21" s="1"/>
  <c r="M194" i="9"/>
  <c r="AF185" i="21" s="1"/>
  <c r="L194" i="9"/>
  <c r="AF184" i="21" s="1"/>
  <c r="K194" i="9"/>
  <c r="AF183" i="21" s="1"/>
  <c r="J194" i="9"/>
  <c r="AF182" i="21" s="1"/>
  <c r="I194" i="9"/>
  <c r="AF181" i="21" s="1"/>
  <c r="H194" i="9"/>
  <c r="AF180" i="21" s="1"/>
  <c r="G194" i="9"/>
  <c r="AF179" i="21" s="1"/>
  <c r="F194" i="9"/>
  <c r="AF178" i="21" s="1"/>
  <c r="E194" i="9"/>
  <c r="AF177" i="21" s="1"/>
  <c r="D194" i="9"/>
  <c r="AF176" i="21" s="1"/>
  <c r="AY193" i="9"/>
  <c r="AO193" i="9" s="1"/>
  <c r="AE213" i="21" s="1"/>
  <c r="AU193" i="9"/>
  <c r="AT193" i="9"/>
  <c r="AJ193" i="9" s="1"/>
  <c r="AE208" i="21" s="1"/>
  <c r="AQ193" i="9"/>
  <c r="AX193" i="9" s="1"/>
  <c r="AN193" i="9" s="1"/>
  <c r="AE212" i="21" s="1"/>
  <c r="AK193" i="9"/>
  <c r="AE209" i="21" s="1"/>
  <c r="AG193" i="9"/>
  <c r="AE205" i="21" s="1"/>
  <c r="AF193" i="9"/>
  <c r="AE204" i="21" s="1"/>
  <c r="AE193" i="9"/>
  <c r="AE203" i="21" s="1"/>
  <c r="AD193" i="9"/>
  <c r="AE202" i="21" s="1"/>
  <c r="AC193" i="9"/>
  <c r="AE201" i="21" s="1"/>
  <c r="AB193" i="9"/>
  <c r="AE200" i="21" s="1"/>
  <c r="AA193" i="9"/>
  <c r="AE199" i="21" s="1"/>
  <c r="Z193" i="9"/>
  <c r="AE198" i="21" s="1"/>
  <c r="Y193" i="9"/>
  <c r="AE197" i="21" s="1"/>
  <c r="X193" i="9"/>
  <c r="AE196" i="21" s="1"/>
  <c r="W193" i="9"/>
  <c r="AE195" i="21" s="1"/>
  <c r="V193" i="9"/>
  <c r="AE194" i="21" s="1"/>
  <c r="U193" i="9"/>
  <c r="AE193" i="21" s="1"/>
  <c r="T193" i="9"/>
  <c r="AE192" i="21" s="1"/>
  <c r="S193" i="9"/>
  <c r="AE191" i="21" s="1"/>
  <c r="R193" i="9"/>
  <c r="AE190" i="21" s="1"/>
  <c r="Q193" i="9"/>
  <c r="AE189" i="21" s="1"/>
  <c r="P193" i="9"/>
  <c r="AE188" i="21" s="1"/>
  <c r="O193" i="9"/>
  <c r="AE187" i="21" s="1"/>
  <c r="N193" i="9"/>
  <c r="AE186" i="21" s="1"/>
  <c r="M193" i="9"/>
  <c r="AE185" i="21" s="1"/>
  <c r="L193" i="9"/>
  <c r="AE184" i="21" s="1"/>
  <c r="K193" i="9"/>
  <c r="AE183" i="21" s="1"/>
  <c r="J193" i="9"/>
  <c r="AE182" i="21" s="1"/>
  <c r="I193" i="9"/>
  <c r="AE181" i="21" s="1"/>
  <c r="H193" i="9"/>
  <c r="AE180" i="21" s="1"/>
  <c r="G193" i="9"/>
  <c r="AE179" i="21" s="1"/>
  <c r="F193" i="9"/>
  <c r="AE178" i="21" s="1"/>
  <c r="E193" i="9"/>
  <c r="AE177" i="21" s="1"/>
  <c r="D193" i="9"/>
  <c r="AE176" i="21" s="1"/>
  <c r="AQ192" i="9"/>
  <c r="AV192" i="9" s="1"/>
  <c r="AL192" i="9" s="1"/>
  <c r="AD210" i="21" s="1"/>
  <c r="AG192" i="9"/>
  <c r="AD205" i="21" s="1"/>
  <c r="AF192" i="9"/>
  <c r="AD204" i="21" s="1"/>
  <c r="AE192" i="9"/>
  <c r="AD203" i="21" s="1"/>
  <c r="AD192" i="9"/>
  <c r="AD202" i="21" s="1"/>
  <c r="AC192" i="9"/>
  <c r="AD201" i="21" s="1"/>
  <c r="AB192" i="9"/>
  <c r="AD200" i="21" s="1"/>
  <c r="AA192" i="9"/>
  <c r="AD199" i="21" s="1"/>
  <c r="Z192" i="9"/>
  <c r="AD198" i="21" s="1"/>
  <c r="Y192" i="9"/>
  <c r="AD197" i="21" s="1"/>
  <c r="X192" i="9"/>
  <c r="AD196" i="21" s="1"/>
  <c r="W192" i="9"/>
  <c r="AD195" i="21" s="1"/>
  <c r="V192" i="9"/>
  <c r="AD194" i="21" s="1"/>
  <c r="U192" i="9"/>
  <c r="AD193" i="21" s="1"/>
  <c r="T192" i="9"/>
  <c r="AD192" i="21" s="1"/>
  <c r="S192" i="9"/>
  <c r="AD191" i="21" s="1"/>
  <c r="R192" i="9"/>
  <c r="AD190" i="21" s="1"/>
  <c r="Q192" i="9"/>
  <c r="AD189" i="21" s="1"/>
  <c r="P192" i="9"/>
  <c r="AD188" i="21" s="1"/>
  <c r="O192" i="9"/>
  <c r="AD187" i="21" s="1"/>
  <c r="N192" i="9"/>
  <c r="AD186" i="21" s="1"/>
  <c r="M192" i="9"/>
  <c r="AD185" i="21" s="1"/>
  <c r="L192" i="9"/>
  <c r="AD184" i="21" s="1"/>
  <c r="K192" i="9"/>
  <c r="AD183" i="21" s="1"/>
  <c r="J192" i="9"/>
  <c r="AD182" i="21" s="1"/>
  <c r="I192" i="9"/>
  <c r="AD181" i="21" s="1"/>
  <c r="H192" i="9"/>
  <c r="AD180" i="21" s="1"/>
  <c r="G192" i="9"/>
  <c r="AD179" i="21" s="1"/>
  <c r="F192" i="9"/>
  <c r="AD178" i="21" s="1"/>
  <c r="E192" i="9"/>
  <c r="AD177" i="21" s="1"/>
  <c r="D192" i="9"/>
  <c r="AD176" i="21" s="1"/>
  <c r="AV191" i="9"/>
  <c r="AL191" i="9" s="1"/>
  <c r="AC210" i="21" s="1"/>
  <c r="AQ191" i="9"/>
  <c r="AY191" i="9" s="1"/>
  <c r="AO191" i="9" s="1"/>
  <c r="AC213" i="21" s="1"/>
  <c r="AG191" i="9"/>
  <c r="AC205" i="21" s="1"/>
  <c r="AF191" i="9"/>
  <c r="AC204" i="21" s="1"/>
  <c r="AE191" i="9"/>
  <c r="AC203" i="21" s="1"/>
  <c r="AD191" i="9"/>
  <c r="AC202" i="21" s="1"/>
  <c r="AC191" i="9"/>
  <c r="AC201" i="21" s="1"/>
  <c r="AB191" i="9"/>
  <c r="AC200" i="21" s="1"/>
  <c r="AA191" i="9"/>
  <c r="AC199" i="21" s="1"/>
  <c r="Z191" i="9"/>
  <c r="AC198" i="21" s="1"/>
  <c r="Y191" i="9"/>
  <c r="AC197" i="21" s="1"/>
  <c r="X191" i="9"/>
  <c r="AC196" i="21" s="1"/>
  <c r="W191" i="9"/>
  <c r="AC195" i="21" s="1"/>
  <c r="V191" i="9"/>
  <c r="AC194" i="21" s="1"/>
  <c r="U191" i="9"/>
  <c r="AC193" i="21" s="1"/>
  <c r="T191" i="9"/>
  <c r="AC192" i="21" s="1"/>
  <c r="S191" i="9"/>
  <c r="AC191" i="21" s="1"/>
  <c r="R191" i="9"/>
  <c r="AC190" i="21" s="1"/>
  <c r="Q191" i="9"/>
  <c r="AC189" i="21" s="1"/>
  <c r="P191" i="9"/>
  <c r="AC188" i="21" s="1"/>
  <c r="O191" i="9"/>
  <c r="AC187" i="21" s="1"/>
  <c r="N191" i="9"/>
  <c r="AC186" i="21" s="1"/>
  <c r="M191" i="9"/>
  <c r="AC185" i="21" s="1"/>
  <c r="L191" i="9"/>
  <c r="AC184" i="21" s="1"/>
  <c r="K191" i="9"/>
  <c r="AC183" i="21" s="1"/>
  <c r="J191" i="9"/>
  <c r="AC182" i="21" s="1"/>
  <c r="I191" i="9"/>
  <c r="AC181" i="21" s="1"/>
  <c r="H191" i="9"/>
  <c r="AC180" i="21" s="1"/>
  <c r="G191" i="9"/>
  <c r="AC179" i="21" s="1"/>
  <c r="F191" i="9"/>
  <c r="AC178" i="21" s="1"/>
  <c r="E191" i="9"/>
  <c r="AC177" i="21" s="1"/>
  <c r="D191" i="9"/>
  <c r="AC176" i="21" s="1"/>
  <c r="AY190" i="9"/>
  <c r="AW190" i="9"/>
  <c r="AV190" i="9"/>
  <c r="AU190" i="9"/>
  <c r="AK190" i="9" s="1"/>
  <c r="AB209" i="21" s="1"/>
  <c r="AT190" i="9"/>
  <c r="AI190" i="9" s="1"/>
  <c r="AB207" i="21" s="1"/>
  <c r="AR190" i="9"/>
  <c r="AS190" i="9" s="1"/>
  <c r="AQ190" i="9"/>
  <c r="AX190" i="9" s="1"/>
  <c r="AN190" i="9" s="1"/>
  <c r="AB212" i="21" s="1"/>
  <c r="AO190" i="9"/>
  <c r="AB213" i="21" s="1"/>
  <c r="AM190" i="9"/>
  <c r="AB211" i="21" s="1"/>
  <c r="AL190" i="9"/>
  <c r="AB210" i="21" s="1"/>
  <c r="AJ190" i="9"/>
  <c r="AB208" i="21" s="1"/>
  <c r="AH190" i="9"/>
  <c r="AB206" i="21" s="1"/>
  <c r="AG190" i="9"/>
  <c r="AB205" i="21" s="1"/>
  <c r="AF190" i="9"/>
  <c r="AB204" i="21" s="1"/>
  <c r="AE190" i="9"/>
  <c r="AB203" i="21" s="1"/>
  <c r="AD190" i="9"/>
  <c r="AB202" i="21" s="1"/>
  <c r="AC190" i="9"/>
  <c r="AB201" i="21" s="1"/>
  <c r="AB190" i="9"/>
  <c r="AB200" i="21" s="1"/>
  <c r="AA190" i="9"/>
  <c r="AB199" i="21" s="1"/>
  <c r="Z190" i="9"/>
  <c r="AB198" i="21" s="1"/>
  <c r="Y190" i="9"/>
  <c r="AB197" i="21" s="1"/>
  <c r="X190" i="9"/>
  <c r="AB196" i="21" s="1"/>
  <c r="W190" i="9"/>
  <c r="AB195" i="21" s="1"/>
  <c r="V190" i="9"/>
  <c r="AB194" i="21" s="1"/>
  <c r="U190" i="9"/>
  <c r="AB193" i="21" s="1"/>
  <c r="T190" i="9"/>
  <c r="AB192" i="21" s="1"/>
  <c r="S190" i="9"/>
  <c r="AB191" i="21" s="1"/>
  <c r="R190" i="9"/>
  <c r="AB190" i="21" s="1"/>
  <c r="Q190" i="9"/>
  <c r="AB189" i="21" s="1"/>
  <c r="P190" i="9"/>
  <c r="AB188" i="21" s="1"/>
  <c r="O190" i="9"/>
  <c r="AB187" i="21" s="1"/>
  <c r="N190" i="9"/>
  <c r="AB186" i="21" s="1"/>
  <c r="M190" i="9"/>
  <c r="AB185" i="21" s="1"/>
  <c r="L190" i="9"/>
  <c r="AB184" i="21" s="1"/>
  <c r="K190" i="9"/>
  <c r="AB183" i="21" s="1"/>
  <c r="J190" i="9"/>
  <c r="AB182" i="21" s="1"/>
  <c r="I190" i="9"/>
  <c r="AB181" i="21" s="1"/>
  <c r="H190" i="9"/>
  <c r="AB180" i="21" s="1"/>
  <c r="G190" i="9"/>
  <c r="AB179" i="21" s="1"/>
  <c r="F190" i="9"/>
  <c r="AB178" i="21" s="1"/>
  <c r="E190" i="9"/>
  <c r="AB177" i="21" s="1"/>
  <c r="D190" i="9"/>
  <c r="AB176" i="21" s="1"/>
  <c r="AR189" i="9"/>
  <c r="AS189" i="9" s="1"/>
  <c r="AQ189" i="9"/>
  <c r="AW189" i="9" s="1"/>
  <c r="AM189" i="9" s="1"/>
  <c r="AA211" i="21" s="1"/>
  <c r="AG189" i="9"/>
  <c r="AA205" i="21" s="1"/>
  <c r="AF189" i="9"/>
  <c r="AA204" i="21" s="1"/>
  <c r="AE189" i="9"/>
  <c r="AA203" i="21" s="1"/>
  <c r="AD189" i="9"/>
  <c r="AA202" i="21" s="1"/>
  <c r="AC189" i="9"/>
  <c r="AA201" i="21" s="1"/>
  <c r="AB189" i="9"/>
  <c r="AA200" i="21" s="1"/>
  <c r="AA189" i="9"/>
  <c r="AA199" i="21" s="1"/>
  <c r="Z189" i="9"/>
  <c r="AA198" i="21" s="1"/>
  <c r="Y189" i="9"/>
  <c r="AA197" i="21" s="1"/>
  <c r="X189" i="9"/>
  <c r="AA196" i="21" s="1"/>
  <c r="W189" i="9"/>
  <c r="AA195" i="21" s="1"/>
  <c r="V189" i="9"/>
  <c r="AA194" i="21" s="1"/>
  <c r="U189" i="9"/>
  <c r="AA193" i="21" s="1"/>
  <c r="T189" i="9"/>
  <c r="AA192" i="21" s="1"/>
  <c r="S189" i="9"/>
  <c r="AA191" i="21" s="1"/>
  <c r="R189" i="9"/>
  <c r="AA190" i="21" s="1"/>
  <c r="Q189" i="9"/>
  <c r="AA189" i="21" s="1"/>
  <c r="P189" i="9"/>
  <c r="AA188" i="21" s="1"/>
  <c r="O189" i="9"/>
  <c r="AA187" i="21" s="1"/>
  <c r="N189" i="9"/>
  <c r="AA186" i="21" s="1"/>
  <c r="M189" i="9"/>
  <c r="AA185" i="21" s="1"/>
  <c r="L189" i="9"/>
  <c r="AA184" i="21" s="1"/>
  <c r="K189" i="9"/>
  <c r="AA183" i="21" s="1"/>
  <c r="J189" i="9"/>
  <c r="AA182" i="21" s="1"/>
  <c r="I189" i="9"/>
  <c r="AA181" i="21" s="1"/>
  <c r="H189" i="9"/>
  <c r="AA180" i="21" s="1"/>
  <c r="G189" i="9"/>
  <c r="AA179" i="21" s="1"/>
  <c r="F189" i="9"/>
  <c r="AA178" i="21" s="1"/>
  <c r="E189" i="9"/>
  <c r="AA177" i="21" s="1"/>
  <c r="D189" i="9"/>
  <c r="AA176" i="21" s="1"/>
  <c r="AW188" i="9"/>
  <c r="AM188" i="9" s="1"/>
  <c r="Z211" i="21" s="1"/>
  <c r="AQ188" i="9"/>
  <c r="AY188" i="9" s="1"/>
  <c r="AO188" i="9" s="1"/>
  <c r="Z213" i="21" s="1"/>
  <c r="AG188" i="9"/>
  <c r="Z205" i="21" s="1"/>
  <c r="AF188" i="9"/>
  <c r="Z204" i="21" s="1"/>
  <c r="AE188" i="9"/>
  <c r="Z203" i="21" s="1"/>
  <c r="AD188" i="9"/>
  <c r="Z202" i="21" s="1"/>
  <c r="AC188" i="9"/>
  <c r="Z201" i="21" s="1"/>
  <c r="AB188" i="9"/>
  <c r="Z200" i="21" s="1"/>
  <c r="AA188" i="9"/>
  <c r="Z199" i="21" s="1"/>
  <c r="Z188" i="9"/>
  <c r="Z198" i="21" s="1"/>
  <c r="Y188" i="9"/>
  <c r="Z197" i="21" s="1"/>
  <c r="X188" i="9"/>
  <c r="Z196" i="21" s="1"/>
  <c r="W188" i="9"/>
  <c r="Z195" i="21" s="1"/>
  <c r="V188" i="9"/>
  <c r="Z194" i="21" s="1"/>
  <c r="U188" i="9"/>
  <c r="Z193" i="21" s="1"/>
  <c r="T188" i="9"/>
  <c r="Z192" i="21" s="1"/>
  <c r="S188" i="9"/>
  <c r="Z191" i="21" s="1"/>
  <c r="R188" i="9"/>
  <c r="Z190" i="21" s="1"/>
  <c r="Q188" i="9"/>
  <c r="Z189" i="21" s="1"/>
  <c r="P188" i="9"/>
  <c r="Z188" i="21" s="1"/>
  <c r="O188" i="9"/>
  <c r="Z187" i="21" s="1"/>
  <c r="N188" i="9"/>
  <c r="Z186" i="21" s="1"/>
  <c r="M188" i="9"/>
  <c r="Z185" i="21" s="1"/>
  <c r="L188" i="9"/>
  <c r="Z184" i="21" s="1"/>
  <c r="K188" i="9"/>
  <c r="Z183" i="21" s="1"/>
  <c r="J188" i="9"/>
  <c r="Z182" i="21" s="1"/>
  <c r="I188" i="9"/>
  <c r="Z181" i="21" s="1"/>
  <c r="H188" i="9"/>
  <c r="Z180" i="21" s="1"/>
  <c r="G188" i="9"/>
  <c r="Z179" i="21" s="1"/>
  <c r="F188" i="9"/>
  <c r="Z178" i="21" s="1"/>
  <c r="E188" i="9"/>
  <c r="Z177" i="21" s="1"/>
  <c r="D188" i="9"/>
  <c r="Z176" i="21" s="1"/>
  <c r="AX187" i="9"/>
  <c r="AW187" i="9"/>
  <c r="AV187" i="9"/>
  <c r="AL187" i="9" s="1"/>
  <c r="Y210" i="21" s="1"/>
  <c r="AQ187" i="9"/>
  <c r="AR187" i="9" s="1"/>
  <c r="AS187" i="9" s="1"/>
  <c r="AN187" i="9"/>
  <c r="Y212" i="21" s="1"/>
  <c r="AM187" i="9"/>
  <c r="Y211" i="21" s="1"/>
  <c r="AG187" i="9"/>
  <c r="Y205" i="21" s="1"/>
  <c r="AF187" i="9"/>
  <c r="Y204" i="21" s="1"/>
  <c r="AE187" i="9"/>
  <c r="Y203" i="21" s="1"/>
  <c r="AD187" i="9"/>
  <c r="Y202" i="21" s="1"/>
  <c r="AC187" i="9"/>
  <c r="Y201" i="21" s="1"/>
  <c r="AB187" i="9"/>
  <c r="Y200" i="21" s="1"/>
  <c r="AA187" i="9"/>
  <c r="Y199" i="21" s="1"/>
  <c r="Z187" i="9"/>
  <c r="Y198" i="21" s="1"/>
  <c r="Y187" i="9"/>
  <c r="Y197" i="21" s="1"/>
  <c r="X187" i="9"/>
  <c r="Y196" i="21" s="1"/>
  <c r="W187" i="9"/>
  <c r="Y195" i="21" s="1"/>
  <c r="V187" i="9"/>
  <c r="Y194" i="21" s="1"/>
  <c r="U187" i="9"/>
  <c r="Y193" i="21" s="1"/>
  <c r="T187" i="9"/>
  <c r="Y192" i="21" s="1"/>
  <c r="S187" i="9"/>
  <c r="Y191" i="21" s="1"/>
  <c r="R187" i="9"/>
  <c r="Y190" i="21" s="1"/>
  <c r="Q187" i="9"/>
  <c r="Y189" i="21" s="1"/>
  <c r="P187" i="9"/>
  <c r="Y188" i="21" s="1"/>
  <c r="O187" i="9"/>
  <c r="Y187" i="21" s="1"/>
  <c r="N187" i="9"/>
  <c r="Y186" i="21" s="1"/>
  <c r="M187" i="9"/>
  <c r="Y185" i="21" s="1"/>
  <c r="L187" i="9"/>
  <c r="Y184" i="21" s="1"/>
  <c r="K187" i="9"/>
  <c r="Y183" i="21" s="1"/>
  <c r="J187" i="9"/>
  <c r="Y182" i="21" s="1"/>
  <c r="I187" i="9"/>
  <c r="Y181" i="21" s="1"/>
  <c r="H187" i="9"/>
  <c r="Y180" i="21" s="1"/>
  <c r="G187" i="9"/>
  <c r="Y179" i="21" s="1"/>
  <c r="F187" i="9"/>
  <c r="Y178" i="21" s="1"/>
  <c r="E187" i="9"/>
  <c r="Y177" i="21" s="1"/>
  <c r="D187" i="9"/>
  <c r="Y176" i="21" s="1"/>
  <c r="AX186" i="9"/>
  <c r="AN186" i="9" s="1"/>
  <c r="X212" i="21" s="1"/>
  <c r="AU186" i="9"/>
  <c r="AK186" i="9" s="1"/>
  <c r="X209" i="21" s="1"/>
  <c r="AT186" i="9"/>
  <c r="AI186" i="9" s="1"/>
  <c r="X207" i="21" s="1"/>
  <c r="AS186" i="9"/>
  <c r="AR186" i="9"/>
  <c r="AQ186" i="9"/>
  <c r="AW186" i="9" s="1"/>
  <c r="AM186" i="9" s="1"/>
  <c r="X211" i="21" s="1"/>
  <c r="AG186" i="9"/>
  <c r="X205" i="21" s="1"/>
  <c r="AF186" i="9"/>
  <c r="X204" i="21" s="1"/>
  <c r="AE186" i="9"/>
  <c r="X203" i="21" s="1"/>
  <c r="AD186" i="9"/>
  <c r="X202" i="21" s="1"/>
  <c r="AC186" i="9"/>
  <c r="X201" i="21" s="1"/>
  <c r="AB186" i="9"/>
  <c r="X200" i="21" s="1"/>
  <c r="AA186" i="9"/>
  <c r="X199" i="21" s="1"/>
  <c r="Z186" i="9"/>
  <c r="X198" i="21" s="1"/>
  <c r="Y186" i="9"/>
  <c r="X197" i="21" s="1"/>
  <c r="X186" i="9"/>
  <c r="X196" i="21" s="1"/>
  <c r="W186" i="9"/>
  <c r="X195" i="21" s="1"/>
  <c r="V186" i="9"/>
  <c r="X194" i="21" s="1"/>
  <c r="U186" i="9"/>
  <c r="X193" i="21" s="1"/>
  <c r="T186" i="9"/>
  <c r="X192" i="21" s="1"/>
  <c r="S186" i="9"/>
  <c r="X191" i="21" s="1"/>
  <c r="R186" i="9"/>
  <c r="X190" i="21" s="1"/>
  <c r="Q186" i="9"/>
  <c r="X189" i="21" s="1"/>
  <c r="P186" i="9"/>
  <c r="X188" i="21" s="1"/>
  <c r="O186" i="9"/>
  <c r="X187" i="21" s="1"/>
  <c r="N186" i="9"/>
  <c r="X186" i="21" s="1"/>
  <c r="M186" i="9"/>
  <c r="X185" i="21" s="1"/>
  <c r="L186" i="9"/>
  <c r="X184" i="21" s="1"/>
  <c r="K186" i="9"/>
  <c r="X183" i="21" s="1"/>
  <c r="J186" i="9"/>
  <c r="X182" i="21" s="1"/>
  <c r="I186" i="9"/>
  <c r="X181" i="21" s="1"/>
  <c r="H186" i="9"/>
  <c r="X180" i="21" s="1"/>
  <c r="G186" i="9"/>
  <c r="X179" i="21" s="1"/>
  <c r="F186" i="9"/>
  <c r="X178" i="21" s="1"/>
  <c r="E186" i="9"/>
  <c r="X177" i="21" s="1"/>
  <c r="D186" i="9"/>
  <c r="X176" i="21" s="1"/>
  <c r="AY185" i="9"/>
  <c r="AO185" i="9" s="1"/>
  <c r="W213" i="21" s="1"/>
  <c r="AX185" i="9"/>
  <c r="AN185" i="9" s="1"/>
  <c r="W212" i="21" s="1"/>
  <c r="AW185" i="9"/>
  <c r="AM185" i="9" s="1"/>
  <c r="W211" i="21" s="1"/>
  <c r="AV185" i="9"/>
  <c r="AT185" i="9"/>
  <c r="AR185" i="9"/>
  <c r="AS185" i="9" s="1"/>
  <c r="AQ185" i="9"/>
  <c r="AU185" i="9" s="1"/>
  <c r="AK185" i="9" s="1"/>
  <c r="W209" i="21" s="1"/>
  <c r="AL185" i="9"/>
  <c r="W210" i="21" s="1"/>
  <c r="AJ185" i="9"/>
  <c r="W208" i="21" s="1"/>
  <c r="AI185" i="9"/>
  <c r="W207" i="21" s="1"/>
  <c r="AH185" i="9"/>
  <c r="W206" i="21" s="1"/>
  <c r="AG185" i="9"/>
  <c r="W205" i="21" s="1"/>
  <c r="AF185" i="9"/>
  <c r="W204" i="21" s="1"/>
  <c r="AE185" i="9"/>
  <c r="W203" i="21" s="1"/>
  <c r="AD185" i="9"/>
  <c r="W202" i="21" s="1"/>
  <c r="AC185" i="9"/>
  <c r="W201" i="21" s="1"/>
  <c r="AB185" i="9"/>
  <c r="W200" i="21" s="1"/>
  <c r="AA185" i="9"/>
  <c r="W199" i="21" s="1"/>
  <c r="Z185" i="9"/>
  <c r="W198" i="21" s="1"/>
  <c r="Y185" i="9"/>
  <c r="W197" i="21" s="1"/>
  <c r="X185" i="9"/>
  <c r="W196" i="21" s="1"/>
  <c r="W185" i="9"/>
  <c r="W195" i="21" s="1"/>
  <c r="V185" i="9"/>
  <c r="W194" i="21" s="1"/>
  <c r="U185" i="9"/>
  <c r="W193" i="21" s="1"/>
  <c r="T185" i="9"/>
  <c r="W192" i="21" s="1"/>
  <c r="S185" i="9"/>
  <c r="W191" i="21" s="1"/>
  <c r="R185" i="9"/>
  <c r="W190" i="21" s="1"/>
  <c r="Q185" i="9"/>
  <c r="W189" i="21" s="1"/>
  <c r="P185" i="9"/>
  <c r="W188" i="21" s="1"/>
  <c r="O185" i="9"/>
  <c r="W187" i="21" s="1"/>
  <c r="N185" i="9"/>
  <c r="W186" i="21" s="1"/>
  <c r="M185" i="9"/>
  <c r="W185" i="21" s="1"/>
  <c r="L185" i="9"/>
  <c r="W184" i="21" s="1"/>
  <c r="K185" i="9"/>
  <c r="W183" i="21" s="1"/>
  <c r="J185" i="9"/>
  <c r="W182" i="21" s="1"/>
  <c r="I185" i="9"/>
  <c r="W181" i="21" s="1"/>
  <c r="H185" i="9"/>
  <c r="W180" i="21" s="1"/>
  <c r="G185" i="9"/>
  <c r="W179" i="21" s="1"/>
  <c r="F185" i="9"/>
  <c r="W178" i="21" s="1"/>
  <c r="E185" i="9"/>
  <c r="W177" i="21" s="1"/>
  <c r="D185" i="9"/>
  <c r="W176" i="21" s="1"/>
  <c r="AX184" i="9"/>
  <c r="AW184" i="9"/>
  <c r="AM184" i="9" s="1"/>
  <c r="V211" i="21" s="1"/>
  <c r="AT184" i="9"/>
  <c r="AJ184" i="9" s="1"/>
  <c r="V208" i="21" s="1"/>
  <c r="AQ184" i="9"/>
  <c r="AR184" i="9" s="1"/>
  <c r="AS184" i="9" s="1"/>
  <c r="AN184" i="9"/>
  <c r="V212" i="21" s="1"/>
  <c r="AI184" i="9"/>
  <c r="V207" i="21" s="1"/>
  <c r="AH184" i="9"/>
  <c r="V206" i="21" s="1"/>
  <c r="AG184" i="9"/>
  <c r="V205" i="21" s="1"/>
  <c r="AF184" i="9"/>
  <c r="V204" i="21" s="1"/>
  <c r="AE184" i="9"/>
  <c r="V203" i="21" s="1"/>
  <c r="AD184" i="9"/>
  <c r="V202" i="21" s="1"/>
  <c r="AC184" i="9"/>
  <c r="V201" i="21" s="1"/>
  <c r="AB184" i="9"/>
  <c r="V200" i="21" s="1"/>
  <c r="AA184" i="9"/>
  <c r="V199" i="21" s="1"/>
  <c r="Z184" i="9"/>
  <c r="V198" i="21" s="1"/>
  <c r="Y184" i="9"/>
  <c r="V197" i="21" s="1"/>
  <c r="X184" i="9"/>
  <c r="V196" i="21" s="1"/>
  <c r="W184" i="9"/>
  <c r="V195" i="21" s="1"/>
  <c r="V184" i="9"/>
  <c r="V194" i="21" s="1"/>
  <c r="U184" i="9"/>
  <c r="V193" i="21" s="1"/>
  <c r="T184" i="9"/>
  <c r="V192" i="21" s="1"/>
  <c r="S184" i="9"/>
  <c r="V191" i="21" s="1"/>
  <c r="R184" i="9"/>
  <c r="V190" i="21" s="1"/>
  <c r="Q184" i="9"/>
  <c r="V189" i="21" s="1"/>
  <c r="P184" i="9"/>
  <c r="V188" i="21" s="1"/>
  <c r="O184" i="9"/>
  <c r="V187" i="21" s="1"/>
  <c r="N184" i="9"/>
  <c r="V186" i="21" s="1"/>
  <c r="M184" i="9"/>
  <c r="V185" i="21" s="1"/>
  <c r="L184" i="9"/>
  <c r="V184" i="21" s="1"/>
  <c r="K184" i="9"/>
  <c r="V183" i="21" s="1"/>
  <c r="J184" i="9"/>
  <c r="V182" i="21" s="1"/>
  <c r="I184" i="9"/>
  <c r="V181" i="21" s="1"/>
  <c r="H184" i="9"/>
  <c r="V180" i="21" s="1"/>
  <c r="G184" i="9"/>
  <c r="V179" i="21" s="1"/>
  <c r="F184" i="9"/>
  <c r="V178" i="21" s="1"/>
  <c r="E184" i="9"/>
  <c r="V177" i="21" s="1"/>
  <c r="D184" i="9"/>
  <c r="V176" i="21" s="1"/>
  <c r="AY183" i="9"/>
  <c r="AO183" i="9" s="1"/>
  <c r="U213" i="21" s="1"/>
  <c r="AX183" i="9"/>
  <c r="AW183" i="9"/>
  <c r="AV183" i="9"/>
  <c r="AL183" i="9" s="1"/>
  <c r="U210" i="21" s="1"/>
  <c r="AU183" i="9"/>
  <c r="AK183" i="9" s="1"/>
  <c r="U209" i="21" s="1"/>
  <c r="AT183" i="9"/>
  <c r="AJ183" i="9" s="1"/>
  <c r="U208" i="21" s="1"/>
  <c r="AS183" i="9"/>
  <c r="AR183" i="9"/>
  <c r="AQ183" i="9"/>
  <c r="AN183" i="9"/>
  <c r="U212" i="21" s="1"/>
  <c r="AM183" i="9"/>
  <c r="U211" i="21" s="1"/>
  <c r="AG183" i="9"/>
  <c r="U205" i="21" s="1"/>
  <c r="AF183" i="9"/>
  <c r="U204" i="21" s="1"/>
  <c r="AE183" i="9"/>
  <c r="U203" i="21" s="1"/>
  <c r="AD183" i="9"/>
  <c r="U202" i="21" s="1"/>
  <c r="AC183" i="9"/>
  <c r="U201" i="21" s="1"/>
  <c r="AB183" i="9"/>
  <c r="U200" i="21" s="1"/>
  <c r="AA183" i="9"/>
  <c r="U199" i="21" s="1"/>
  <c r="Z183" i="9"/>
  <c r="U198" i="21" s="1"/>
  <c r="Y183" i="9"/>
  <c r="U197" i="21" s="1"/>
  <c r="X183" i="9"/>
  <c r="U196" i="21" s="1"/>
  <c r="W183" i="9"/>
  <c r="U195" i="21" s="1"/>
  <c r="V183" i="9"/>
  <c r="U194" i="21" s="1"/>
  <c r="U183" i="9"/>
  <c r="U193" i="21" s="1"/>
  <c r="T183" i="9"/>
  <c r="U192" i="21" s="1"/>
  <c r="S183" i="9"/>
  <c r="U191" i="21" s="1"/>
  <c r="R183" i="9"/>
  <c r="U190" i="21" s="1"/>
  <c r="Q183" i="9"/>
  <c r="U189" i="21" s="1"/>
  <c r="P183" i="9"/>
  <c r="U188" i="21" s="1"/>
  <c r="O183" i="9"/>
  <c r="U187" i="21" s="1"/>
  <c r="N183" i="9"/>
  <c r="U186" i="21" s="1"/>
  <c r="M183" i="9"/>
  <c r="U185" i="21" s="1"/>
  <c r="L183" i="9"/>
  <c r="U184" i="21" s="1"/>
  <c r="K183" i="9"/>
  <c r="U183" i="21" s="1"/>
  <c r="J183" i="9"/>
  <c r="U182" i="21" s="1"/>
  <c r="I183" i="9"/>
  <c r="U181" i="21" s="1"/>
  <c r="H183" i="9"/>
  <c r="U180" i="21" s="1"/>
  <c r="G183" i="9"/>
  <c r="U179" i="21" s="1"/>
  <c r="F183" i="9"/>
  <c r="U178" i="21" s="1"/>
  <c r="E183" i="9"/>
  <c r="U177" i="21" s="1"/>
  <c r="D183" i="9"/>
  <c r="U176" i="21" s="1"/>
  <c r="AY182" i="9"/>
  <c r="AO182" i="9" s="1"/>
  <c r="T213" i="21" s="1"/>
  <c r="AX182" i="9"/>
  <c r="AN182" i="9" s="1"/>
  <c r="T212" i="21" s="1"/>
  <c r="AW182" i="9"/>
  <c r="AM182" i="9" s="1"/>
  <c r="T211" i="21" s="1"/>
  <c r="AV182" i="9"/>
  <c r="AU182" i="9"/>
  <c r="AT182" i="9"/>
  <c r="AI182" i="9" s="1"/>
  <c r="T207" i="21" s="1"/>
  <c r="AS182" i="9"/>
  <c r="AR182" i="9"/>
  <c r="AQ182" i="9"/>
  <c r="AL182" i="9"/>
  <c r="T210" i="21" s="1"/>
  <c r="AK182" i="9"/>
  <c r="T209" i="21" s="1"/>
  <c r="AJ182" i="9"/>
  <c r="T208" i="21" s="1"/>
  <c r="AG182" i="9"/>
  <c r="T205" i="21" s="1"/>
  <c r="AF182" i="9"/>
  <c r="T204" i="21" s="1"/>
  <c r="AE182" i="9"/>
  <c r="T203" i="21" s="1"/>
  <c r="AD182" i="9"/>
  <c r="T202" i="21" s="1"/>
  <c r="AC182" i="9"/>
  <c r="T201" i="21" s="1"/>
  <c r="AB182" i="9"/>
  <c r="T200" i="21" s="1"/>
  <c r="AA182" i="9"/>
  <c r="T199" i="21" s="1"/>
  <c r="Z182" i="9"/>
  <c r="T198" i="21" s="1"/>
  <c r="Y182" i="9"/>
  <c r="T197" i="21" s="1"/>
  <c r="X182" i="9"/>
  <c r="T196" i="21" s="1"/>
  <c r="W182" i="9"/>
  <c r="T195" i="21" s="1"/>
  <c r="V182" i="9"/>
  <c r="T194" i="21" s="1"/>
  <c r="U182" i="9"/>
  <c r="T193" i="21" s="1"/>
  <c r="T182" i="9"/>
  <c r="T192" i="21" s="1"/>
  <c r="S182" i="9"/>
  <c r="T191" i="21" s="1"/>
  <c r="R182" i="9"/>
  <c r="T190" i="21" s="1"/>
  <c r="Q182" i="9"/>
  <c r="T189" i="21" s="1"/>
  <c r="P182" i="9"/>
  <c r="T188" i="21" s="1"/>
  <c r="O182" i="9"/>
  <c r="T187" i="21" s="1"/>
  <c r="N182" i="9"/>
  <c r="T186" i="21" s="1"/>
  <c r="M182" i="9"/>
  <c r="T185" i="21" s="1"/>
  <c r="L182" i="9"/>
  <c r="T184" i="21" s="1"/>
  <c r="K182" i="9"/>
  <c r="T183" i="21" s="1"/>
  <c r="J182" i="9"/>
  <c r="T182" i="21" s="1"/>
  <c r="I182" i="9"/>
  <c r="T181" i="21" s="1"/>
  <c r="H182" i="9"/>
  <c r="T180" i="21" s="1"/>
  <c r="G182" i="9"/>
  <c r="T179" i="21" s="1"/>
  <c r="F182" i="9"/>
  <c r="T178" i="21" s="1"/>
  <c r="E182" i="9"/>
  <c r="T177" i="21" s="1"/>
  <c r="D182" i="9"/>
  <c r="T176" i="21" s="1"/>
  <c r="AY181" i="9"/>
  <c r="AX181" i="9"/>
  <c r="AN181" i="9" s="1"/>
  <c r="S212" i="21" s="1"/>
  <c r="AQ181" i="9"/>
  <c r="AU181" i="9" s="1"/>
  <c r="AK181" i="9" s="1"/>
  <c r="S209" i="21" s="1"/>
  <c r="AO181" i="9"/>
  <c r="S213" i="21" s="1"/>
  <c r="AG181" i="9"/>
  <c r="S205" i="21" s="1"/>
  <c r="AF181" i="9"/>
  <c r="S204" i="21" s="1"/>
  <c r="AE181" i="9"/>
  <c r="S203" i="21" s="1"/>
  <c r="AD181" i="9"/>
  <c r="S202" i="21" s="1"/>
  <c r="AC181" i="9"/>
  <c r="S201" i="21" s="1"/>
  <c r="AB181" i="9"/>
  <c r="S200" i="21" s="1"/>
  <c r="AA181" i="9"/>
  <c r="S199" i="21" s="1"/>
  <c r="Z181" i="9"/>
  <c r="S198" i="21" s="1"/>
  <c r="Y181" i="9"/>
  <c r="S197" i="21" s="1"/>
  <c r="X181" i="9"/>
  <c r="S196" i="21" s="1"/>
  <c r="W181" i="9"/>
  <c r="S195" i="21" s="1"/>
  <c r="V181" i="9"/>
  <c r="S194" i="21" s="1"/>
  <c r="U181" i="9"/>
  <c r="S193" i="21" s="1"/>
  <c r="T181" i="9"/>
  <c r="S192" i="21" s="1"/>
  <c r="S181" i="9"/>
  <c r="S191" i="21" s="1"/>
  <c r="R181" i="9"/>
  <c r="S190" i="21" s="1"/>
  <c r="Q181" i="9"/>
  <c r="S189" i="21" s="1"/>
  <c r="P181" i="9"/>
  <c r="S188" i="21" s="1"/>
  <c r="O181" i="9"/>
  <c r="S187" i="21" s="1"/>
  <c r="N181" i="9"/>
  <c r="S186" i="21" s="1"/>
  <c r="M181" i="9"/>
  <c r="S185" i="21" s="1"/>
  <c r="L181" i="9"/>
  <c r="S184" i="21" s="1"/>
  <c r="K181" i="9"/>
  <c r="S183" i="21" s="1"/>
  <c r="J181" i="9"/>
  <c r="S182" i="21" s="1"/>
  <c r="I181" i="9"/>
  <c r="S181" i="21" s="1"/>
  <c r="H181" i="9"/>
  <c r="S180" i="21" s="1"/>
  <c r="G181" i="9"/>
  <c r="S179" i="21" s="1"/>
  <c r="F181" i="9"/>
  <c r="S178" i="21" s="1"/>
  <c r="E181" i="9"/>
  <c r="S177" i="21" s="1"/>
  <c r="D181" i="9"/>
  <c r="S176" i="21" s="1"/>
  <c r="AW180" i="9"/>
  <c r="AM180" i="9" s="1"/>
  <c r="R211" i="21" s="1"/>
  <c r="AV180" i="9"/>
  <c r="AL180" i="9" s="1"/>
  <c r="R210" i="21" s="1"/>
  <c r="AU180" i="9"/>
  <c r="AK180" i="9" s="1"/>
  <c r="R209" i="21" s="1"/>
  <c r="AT180" i="9"/>
  <c r="AJ180" i="9" s="1"/>
  <c r="R208" i="21" s="1"/>
  <c r="AQ180" i="9"/>
  <c r="AY180" i="9" s="1"/>
  <c r="AO180" i="9" s="1"/>
  <c r="R213" i="21" s="1"/>
  <c r="AG180" i="9"/>
  <c r="R205" i="21" s="1"/>
  <c r="AF180" i="9"/>
  <c r="R204" i="21" s="1"/>
  <c r="AE180" i="9"/>
  <c r="R203" i="21" s="1"/>
  <c r="AD180" i="9"/>
  <c r="R202" i="21" s="1"/>
  <c r="AC180" i="9"/>
  <c r="R201" i="21" s="1"/>
  <c r="AB180" i="9"/>
  <c r="R200" i="21" s="1"/>
  <c r="AA180" i="9"/>
  <c r="R199" i="21" s="1"/>
  <c r="Z180" i="9"/>
  <c r="R198" i="21" s="1"/>
  <c r="Y180" i="9"/>
  <c r="R197" i="21" s="1"/>
  <c r="X180" i="9"/>
  <c r="R196" i="21" s="1"/>
  <c r="W180" i="9"/>
  <c r="R195" i="21" s="1"/>
  <c r="V180" i="9"/>
  <c r="R194" i="21" s="1"/>
  <c r="U180" i="9"/>
  <c r="R193" i="21" s="1"/>
  <c r="T180" i="9"/>
  <c r="R192" i="21" s="1"/>
  <c r="S180" i="9"/>
  <c r="R191" i="21" s="1"/>
  <c r="R180" i="9"/>
  <c r="R190" i="21" s="1"/>
  <c r="Q180" i="9"/>
  <c r="R189" i="21" s="1"/>
  <c r="P180" i="9"/>
  <c r="R188" i="21" s="1"/>
  <c r="O180" i="9"/>
  <c r="R187" i="21" s="1"/>
  <c r="N180" i="9"/>
  <c r="R186" i="21" s="1"/>
  <c r="M180" i="9"/>
  <c r="R185" i="21" s="1"/>
  <c r="L180" i="9"/>
  <c r="R184" i="21" s="1"/>
  <c r="K180" i="9"/>
  <c r="R183" i="21" s="1"/>
  <c r="J180" i="9"/>
  <c r="R182" i="21" s="1"/>
  <c r="I180" i="9"/>
  <c r="R181" i="21" s="1"/>
  <c r="H180" i="9"/>
  <c r="R180" i="21" s="1"/>
  <c r="G180" i="9"/>
  <c r="R179" i="21" s="1"/>
  <c r="F180" i="9"/>
  <c r="R178" i="21" s="1"/>
  <c r="E180" i="9"/>
  <c r="R177" i="21" s="1"/>
  <c r="D180" i="9"/>
  <c r="R176" i="21" s="1"/>
  <c r="AY179" i="9"/>
  <c r="AO179" i="9" s="1"/>
  <c r="Q213" i="21" s="1"/>
  <c r="AU179" i="9"/>
  <c r="AT179" i="9"/>
  <c r="AJ179" i="9" s="1"/>
  <c r="Q208" i="21" s="1"/>
  <c r="AQ179" i="9"/>
  <c r="AX179" i="9" s="1"/>
  <c r="AN179" i="9" s="1"/>
  <c r="Q212" i="21" s="1"/>
  <c r="AK179" i="9"/>
  <c r="Q209" i="21" s="1"/>
  <c r="AG179" i="9"/>
  <c r="Q205" i="21" s="1"/>
  <c r="AF179" i="9"/>
  <c r="Q204" i="21" s="1"/>
  <c r="AE179" i="9"/>
  <c r="Q203" i="21" s="1"/>
  <c r="AD179" i="9"/>
  <c r="Q202" i="21" s="1"/>
  <c r="AC179" i="9"/>
  <c r="Q201" i="21" s="1"/>
  <c r="AB179" i="9"/>
  <c r="Q200" i="21" s="1"/>
  <c r="AA179" i="9"/>
  <c r="Q199" i="21" s="1"/>
  <c r="Z179" i="9"/>
  <c r="Q198" i="21" s="1"/>
  <c r="Y179" i="9"/>
  <c r="Q197" i="21" s="1"/>
  <c r="X179" i="9"/>
  <c r="Q196" i="21" s="1"/>
  <c r="W179" i="9"/>
  <c r="Q195" i="21" s="1"/>
  <c r="V179" i="9"/>
  <c r="Q194" i="21" s="1"/>
  <c r="U179" i="9"/>
  <c r="Q193" i="21" s="1"/>
  <c r="T179" i="9"/>
  <c r="Q192" i="21" s="1"/>
  <c r="S179" i="9"/>
  <c r="Q191" i="21" s="1"/>
  <c r="R179" i="9"/>
  <c r="Q190" i="21" s="1"/>
  <c r="Q179" i="9"/>
  <c r="Q189" i="21" s="1"/>
  <c r="P179" i="9"/>
  <c r="Q188" i="21" s="1"/>
  <c r="O179" i="9"/>
  <c r="Q187" i="21" s="1"/>
  <c r="N179" i="9"/>
  <c r="Q186" i="21" s="1"/>
  <c r="M179" i="9"/>
  <c r="Q185" i="21" s="1"/>
  <c r="L179" i="9"/>
  <c r="Q184" i="21" s="1"/>
  <c r="K179" i="9"/>
  <c r="Q183" i="21" s="1"/>
  <c r="J179" i="9"/>
  <c r="Q182" i="21" s="1"/>
  <c r="I179" i="9"/>
  <c r="Q181" i="21" s="1"/>
  <c r="H179" i="9"/>
  <c r="Q180" i="21" s="1"/>
  <c r="G179" i="9"/>
  <c r="Q179" i="21" s="1"/>
  <c r="F179" i="9"/>
  <c r="Q178" i="21" s="1"/>
  <c r="E179" i="9"/>
  <c r="Q177" i="21" s="1"/>
  <c r="D179" i="9"/>
  <c r="Q176" i="21" s="1"/>
  <c r="AQ178" i="9"/>
  <c r="AV178" i="9" s="1"/>
  <c r="AL178" i="9" s="1"/>
  <c r="P210" i="21" s="1"/>
  <c r="AG178" i="9"/>
  <c r="P205" i="21" s="1"/>
  <c r="AF178" i="9"/>
  <c r="P204" i="21" s="1"/>
  <c r="AE178" i="9"/>
  <c r="P203" i="21" s="1"/>
  <c r="AD178" i="9"/>
  <c r="P202" i="21" s="1"/>
  <c r="AC178" i="9"/>
  <c r="P201" i="21" s="1"/>
  <c r="AB178" i="9"/>
  <c r="P200" i="21" s="1"/>
  <c r="AA178" i="9"/>
  <c r="P199" i="21" s="1"/>
  <c r="Z178" i="9"/>
  <c r="P198" i="21" s="1"/>
  <c r="Y178" i="9"/>
  <c r="P197" i="21" s="1"/>
  <c r="X178" i="9"/>
  <c r="P196" i="21" s="1"/>
  <c r="W178" i="9"/>
  <c r="P195" i="21" s="1"/>
  <c r="V178" i="9"/>
  <c r="P194" i="21" s="1"/>
  <c r="U178" i="9"/>
  <c r="P193" i="21" s="1"/>
  <c r="T178" i="9"/>
  <c r="P192" i="21" s="1"/>
  <c r="S178" i="9"/>
  <c r="P191" i="21" s="1"/>
  <c r="R178" i="9"/>
  <c r="P190" i="21" s="1"/>
  <c r="Q178" i="9"/>
  <c r="P189" i="21" s="1"/>
  <c r="P178" i="9"/>
  <c r="P188" i="21" s="1"/>
  <c r="O178" i="9"/>
  <c r="P187" i="21" s="1"/>
  <c r="N178" i="9"/>
  <c r="P186" i="21" s="1"/>
  <c r="M178" i="9"/>
  <c r="P185" i="21" s="1"/>
  <c r="L178" i="9"/>
  <c r="P184" i="21" s="1"/>
  <c r="K178" i="9"/>
  <c r="P183" i="21" s="1"/>
  <c r="J178" i="9"/>
  <c r="P182" i="21" s="1"/>
  <c r="I178" i="9"/>
  <c r="P181" i="21" s="1"/>
  <c r="H178" i="9"/>
  <c r="P180" i="21" s="1"/>
  <c r="G178" i="9"/>
  <c r="P179" i="21" s="1"/>
  <c r="F178" i="9"/>
  <c r="P178" i="21" s="1"/>
  <c r="E178" i="9"/>
  <c r="P177" i="21" s="1"/>
  <c r="D178" i="9"/>
  <c r="P176" i="21" s="1"/>
  <c r="AV177" i="9"/>
  <c r="AL177" i="9" s="1"/>
  <c r="O210" i="21" s="1"/>
  <c r="AQ177" i="9"/>
  <c r="AY177" i="9" s="1"/>
  <c r="AO177" i="9" s="1"/>
  <c r="O213" i="21" s="1"/>
  <c r="AG177" i="9"/>
  <c r="O205" i="21" s="1"/>
  <c r="AF177" i="9"/>
  <c r="O204" i="21" s="1"/>
  <c r="AE177" i="9"/>
  <c r="O203" i="21" s="1"/>
  <c r="AD177" i="9"/>
  <c r="O202" i="21" s="1"/>
  <c r="AC177" i="9"/>
  <c r="O201" i="21" s="1"/>
  <c r="AB177" i="9"/>
  <c r="O200" i="21" s="1"/>
  <c r="AA177" i="9"/>
  <c r="O199" i="21" s="1"/>
  <c r="Z177" i="9"/>
  <c r="O198" i="21" s="1"/>
  <c r="Y177" i="9"/>
  <c r="O197" i="21" s="1"/>
  <c r="X177" i="9"/>
  <c r="O196" i="21" s="1"/>
  <c r="W177" i="9"/>
  <c r="O195" i="21" s="1"/>
  <c r="V177" i="9"/>
  <c r="O194" i="21" s="1"/>
  <c r="U177" i="9"/>
  <c r="O193" i="21" s="1"/>
  <c r="T177" i="9"/>
  <c r="O192" i="21" s="1"/>
  <c r="S177" i="9"/>
  <c r="O191" i="21" s="1"/>
  <c r="R177" i="9"/>
  <c r="O190" i="21" s="1"/>
  <c r="Q177" i="9"/>
  <c r="O189" i="21" s="1"/>
  <c r="P177" i="9"/>
  <c r="O188" i="21" s="1"/>
  <c r="O177" i="9"/>
  <c r="O187" i="21" s="1"/>
  <c r="N177" i="9"/>
  <c r="O186" i="21" s="1"/>
  <c r="M177" i="9"/>
  <c r="O185" i="21" s="1"/>
  <c r="L177" i="9"/>
  <c r="O184" i="21" s="1"/>
  <c r="K177" i="9"/>
  <c r="O183" i="21" s="1"/>
  <c r="J177" i="9"/>
  <c r="O182" i="21" s="1"/>
  <c r="I177" i="9"/>
  <c r="O181" i="21" s="1"/>
  <c r="H177" i="9"/>
  <c r="O180" i="21" s="1"/>
  <c r="G177" i="9"/>
  <c r="O179" i="21" s="1"/>
  <c r="F177" i="9"/>
  <c r="O178" i="21" s="1"/>
  <c r="E177" i="9"/>
  <c r="O177" i="21" s="1"/>
  <c r="D177" i="9"/>
  <c r="O176" i="21" s="1"/>
  <c r="AY176" i="9"/>
  <c r="AW176" i="9"/>
  <c r="AV176" i="9"/>
  <c r="AU176" i="9"/>
  <c r="AK176" i="9" s="1"/>
  <c r="N209" i="21" s="1"/>
  <c r="AT176" i="9"/>
  <c r="AI176" i="9" s="1"/>
  <c r="N207" i="21" s="1"/>
  <c r="AR176" i="9"/>
  <c r="AS176" i="9" s="1"/>
  <c r="AQ176" i="9"/>
  <c r="AX176" i="9" s="1"/>
  <c r="AN176" i="9" s="1"/>
  <c r="N212" i="21" s="1"/>
  <c r="AO176" i="9"/>
  <c r="N213" i="21" s="1"/>
  <c r="AM176" i="9"/>
  <c r="N211" i="21" s="1"/>
  <c r="AL176" i="9"/>
  <c r="N210" i="21" s="1"/>
  <c r="AJ176" i="9"/>
  <c r="N208" i="21" s="1"/>
  <c r="AH176" i="9"/>
  <c r="N206" i="21" s="1"/>
  <c r="AG176" i="9"/>
  <c r="N205" i="21" s="1"/>
  <c r="AF176" i="9"/>
  <c r="N204" i="21" s="1"/>
  <c r="AE176" i="9"/>
  <c r="N203" i="21" s="1"/>
  <c r="AD176" i="9"/>
  <c r="N202" i="21" s="1"/>
  <c r="AC176" i="9"/>
  <c r="N201" i="21" s="1"/>
  <c r="AB176" i="9"/>
  <c r="N200" i="21" s="1"/>
  <c r="AA176" i="9"/>
  <c r="N199" i="21" s="1"/>
  <c r="Z176" i="9"/>
  <c r="N198" i="21" s="1"/>
  <c r="Y176" i="9"/>
  <c r="N197" i="21" s="1"/>
  <c r="X176" i="9"/>
  <c r="N196" i="21" s="1"/>
  <c r="W176" i="9"/>
  <c r="N195" i="21" s="1"/>
  <c r="V176" i="9"/>
  <c r="N194" i="21" s="1"/>
  <c r="U176" i="9"/>
  <c r="N193" i="21" s="1"/>
  <c r="T176" i="9"/>
  <c r="N192" i="21" s="1"/>
  <c r="S176" i="9"/>
  <c r="N191" i="21" s="1"/>
  <c r="R176" i="9"/>
  <c r="N190" i="21" s="1"/>
  <c r="Q176" i="9"/>
  <c r="N189" i="21" s="1"/>
  <c r="P176" i="9"/>
  <c r="N188" i="21" s="1"/>
  <c r="O176" i="9"/>
  <c r="N187" i="21" s="1"/>
  <c r="N176" i="9"/>
  <c r="N186" i="21" s="1"/>
  <c r="M176" i="9"/>
  <c r="N185" i="21" s="1"/>
  <c r="L176" i="9"/>
  <c r="N184" i="21" s="1"/>
  <c r="K176" i="9"/>
  <c r="N183" i="21" s="1"/>
  <c r="J176" i="9"/>
  <c r="N182" i="21" s="1"/>
  <c r="I176" i="9"/>
  <c r="N181" i="21" s="1"/>
  <c r="H176" i="9"/>
  <c r="N180" i="21" s="1"/>
  <c r="G176" i="9"/>
  <c r="N179" i="21" s="1"/>
  <c r="F176" i="9"/>
  <c r="N178" i="21" s="1"/>
  <c r="E176" i="9"/>
  <c r="N177" i="21" s="1"/>
  <c r="D176" i="9"/>
  <c r="N176" i="21" s="1"/>
  <c r="AR175" i="9"/>
  <c r="AS175" i="9" s="1"/>
  <c r="AQ175" i="9"/>
  <c r="AW175" i="9" s="1"/>
  <c r="AM175" i="9" s="1"/>
  <c r="M211" i="21" s="1"/>
  <c r="AG175" i="9"/>
  <c r="M205" i="21" s="1"/>
  <c r="AF175" i="9"/>
  <c r="M204" i="21" s="1"/>
  <c r="AE175" i="9"/>
  <c r="M203" i="21" s="1"/>
  <c r="AD175" i="9"/>
  <c r="M202" i="21" s="1"/>
  <c r="AC175" i="9"/>
  <c r="M201" i="21" s="1"/>
  <c r="AB175" i="9"/>
  <c r="M200" i="21" s="1"/>
  <c r="AA175" i="9"/>
  <c r="M199" i="21" s="1"/>
  <c r="Z175" i="9"/>
  <c r="M198" i="21" s="1"/>
  <c r="Y175" i="9"/>
  <c r="M197" i="21" s="1"/>
  <c r="X175" i="9"/>
  <c r="M196" i="21" s="1"/>
  <c r="W175" i="9"/>
  <c r="M195" i="21" s="1"/>
  <c r="V175" i="9"/>
  <c r="M194" i="21" s="1"/>
  <c r="U175" i="9"/>
  <c r="M193" i="21" s="1"/>
  <c r="T175" i="9"/>
  <c r="M192" i="21" s="1"/>
  <c r="S175" i="9"/>
  <c r="M191" i="21" s="1"/>
  <c r="R175" i="9"/>
  <c r="M190" i="21" s="1"/>
  <c r="Q175" i="9"/>
  <c r="M189" i="21" s="1"/>
  <c r="P175" i="9"/>
  <c r="M188" i="21" s="1"/>
  <c r="O175" i="9"/>
  <c r="M187" i="21" s="1"/>
  <c r="N175" i="9"/>
  <c r="M186" i="21" s="1"/>
  <c r="M175" i="9"/>
  <c r="M185" i="21" s="1"/>
  <c r="L175" i="9"/>
  <c r="M184" i="21" s="1"/>
  <c r="K175" i="9"/>
  <c r="M183" i="21" s="1"/>
  <c r="J175" i="9"/>
  <c r="M182" i="21" s="1"/>
  <c r="I175" i="9"/>
  <c r="M181" i="21" s="1"/>
  <c r="H175" i="9"/>
  <c r="M180" i="21" s="1"/>
  <c r="G175" i="9"/>
  <c r="M179" i="21" s="1"/>
  <c r="F175" i="9"/>
  <c r="M178" i="21" s="1"/>
  <c r="E175" i="9"/>
  <c r="M177" i="21" s="1"/>
  <c r="D175" i="9"/>
  <c r="M176" i="21" s="1"/>
  <c r="AW174" i="9"/>
  <c r="AM174" i="9" s="1"/>
  <c r="L211" i="21" s="1"/>
  <c r="AQ174" i="9"/>
  <c r="AY174" i="9" s="1"/>
  <c r="AO174" i="9" s="1"/>
  <c r="L213" i="21" s="1"/>
  <c r="AG174" i="9"/>
  <c r="L205" i="21" s="1"/>
  <c r="AF174" i="9"/>
  <c r="L204" i="21" s="1"/>
  <c r="AE174" i="9"/>
  <c r="L203" i="21" s="1"/>
  <c r="AD174" i="9"/>
  <c r="L202" i="21" s="1"/>
  <c r="AC174" i="9"/>
  <c r="L201" i="21" s="1"/>
  <c r="AB174" i="9"/>
  <c r="L200" i="21" s="1"/>
  <c r="AA174" i="9"/>
  <c r="L199" i="21" s="1"/>
  <c r="Z174" i="9"/>
  <c r="L198" i="21" s="1"/>
  <c r="Y174" i="9"/>
  <c r="L197" i="21" s="1"/>
  <c r="X174" i="9"/>
  <c r="L196" i="21" s="1"/>
  <c r="W174" i="9"/>
  <c r="L195" i="21" s="1"/>
  <c r="V174" i="9"/>
  <c r="L194" i="21" s="1"/>
  <c r="U174" i="9"/>
  <c r="L193" i="21" s="1"/>
  <c r="T174" i="9"/>
  <c r="L192" i="21" s="1"/>
  <c r="S174" i="9"/>
  <c r="L191" i="21" s="1"/>
  <c r="R174" i="9"/>
  <c r="L190" i="21" s="1"/>
  <c r="Q174" i="9"/>
  <c r="L189" i="21" s="1"/>
  <c r="P174" i="9"/>
  <c r="L188" i="21" s="1"/>
  <c r="O174" i="9"/>
  <c r="L187" i="21" s="1"/>
  <c r="N174" i="9"/>
  <c r="L186" i="21" s="1"/>
  <c r="M174" i="9"/>
  <c r="L185" i="21" s="1"/>
  <c r="L174" i="9"/>
  <c r="L184" i="21" s="1"/>
  <c r="K174" i="9"/>
  <c r="L183" i="21" s="1"/>
  <c r="J174" i="9"/>
  <c r="L182" i="21" s="1"/>
  <c r="I174" i="9"/>
  <c r="L181" i="21" s="1"/>
  <c r="H174" i="9"/>
  <c r="L180" i="21" s="1"/>
  <c r="G174" i="9"/>
  <c r="L179" i="21" s="1"/>
  <c r="F174" i="9"/>
  <c r="L178" i="21" s="1"/>
  <c r="E174" i="9"/>
  <c r="L177" i="21" s="1"/>
  <c r="D174" i="9"/>
  <c r="L176" i="21" s="1"/>
  <c r="AX173" i="9"/>
  <c r="AW173" i="9"/>
  <c r="AV173" i="9"/>
  <c r="AL173" i="9" s="1"/>
  <c r="K210" i="21" s="1"/>
  <c r="AQ173" i="9"/>
  <c r="AR173" i="9" s="1"/>
  <c r="AS173" i="9" s="1"/>
  <c r="AN173" i="9"/>
  <c r="K212" i="21" s="1"/>
  <c r="AM173" i="9"/>
  <c r="K211" i="21" s="1"/>
  <c r="AG173" i="9"/>
  <c r="K205" i="21" s="1"/>
  <c r="AF173" i="9"/>
  <c r="K204" i="21" s="1"/>
  <c r="AE173" i="9"/>
  <c r="K203" i="21" s="1"/>
  <c r="AD173" i="9"/>
  <c r="K202" i="21" s="1"/>
  <c r="AC173" i="9"/>
  <c r="K201" i="21" s="1"/>
  <c r="AB173" i="9"/>
  <c r="K200" i="21" s="1"/>
  <c r="AA173" i="9"/>
  <c r="K199" i="21" s="1"/>
  <c r="Z173" i="9"/>
  <c r="K198" i="21" s="1"/>
  <c r="Y173" i="9"/>
  <c r="K197" i="21" s="1"/>
  <c r="X173" i="9"/>
  <c r="K196" i="21" s="1"/>
  <c r="W173" i="9"/>
  <c r="K195" i="21" s="1"/>
  <c r="V173" i="9"/>
  <c r="K194" i="21" s="1"/>
  <c r="U173" i="9"/>
  <c r="K193" i="21" s="1"/>
  <c r="T173" i="9"/>
  <c r="K192" i="21" s="1"/>
  <c r="S173" i="9"/>
  <c r="K191" i="21" s="1"/>
  <c r="R173" i="9"/>
  <c r="K190" i="21" s="1"/>
  <c r="Q173" i="9"/>
  <c r="K189" i="21" s="1"/>
  <c r="P173" i="9"/>
  <c r="K188" i="21" s="1"/>
  <c r="O173" i="9"/>
  <c r="K187" i="21" s="1"/>
  <c r="N173" i="9"/>
  <c r="K186" i="21" s="1"/>
  <c r="M173" i="9"/>
  <c r="K185" i="21" s="1"/>
  <c r="L173" i="9"/>
  <c r="K184" i="21" s="1"/>
  <c r="K173" i="9"/>
  <c r="K183" i="21" s="1"/>
  <c r="J173" i="9"/>
  <c r="K182" i="21" s="1"/>
  <c r="I173" i="9"/>
  <c r="K181" i="21" s="1"/>
  <c r="H173" i="9"/>
  <c r="K180" i="21" s="1"/>
  <c r="G173" i="9"/>
  <c r="K179" i="21" s="1"/>
  <c r="F173" i="9"/>
  <c r="K178" i="21" s="1"/>
  <c r="E173" i="9"/>
  <c r="K177" i="21" s="1"/>
  <c r="D173" i="9"/>
  <c r="K176" i="21" s="1"/>
  <c r="AX172" i="9"/>
  <c r="AV172" i="9"/>
  <c r="AU172" i="9"/>
  <c r="AK172" i="9" s="1"/>
  <c r="J209" i="21" s="1"/>
  <c r="AT172" i="9"/>
  <c r="AI172" i="9" s="1"/>
  <c r="J207" i="21" s="1"/>
  <c r="AS172" i="9"/>
  <c r="AR172" i="9"/>
  <c r="AQ172" i="9"/>
  <c r="AW172" i="9" s="1"/>
  <c r="AM172" i="9" s="1"/>
  <c r="J211" i="21" s="1"/>
  <c r="AN172" i="9"/>
  <c r="J212" i="21" s="1"/>
  <c r="AL172" i="9"/>
  <c r="J210" i="21" s="1"/>
  <c r="AG172" i="9"/>
  <c r="J205" i="21" s="1"/>
  <c r="AF172" i="9"/>
  <c r="J204" i="21" s="1"/>
  <c r="AE172" i="9"/>
  <c r="J203" i="21" s="1"/>
  <c r="AD172" i="9"/>
  <c r="J202" i="21" s="1"/>
  <c r="AC172" i="9"/>
  <c r="J201" i="21" s="1"/>
  <c r="AB172" i="9"/>
  <c r="J200" i="21" s="1"/>
  <c r="AA172" i="9"/>
  <c r="J199" i="21" s="1"/>
  <c r="Z172" i="9"/>
  <c r="J198" i="21" s="1"/>
  <c r="Y172" i="9"/>
  <c r="J197" i="21" s="1"/>
  <c r="X172" i="9"/>
  <c r="J196" i="21" s="1"/>
  <c r="W172" i="9"/>
  <c r="J195" i="21" s="1"/>
  <c r="V172" i="9"/>
  <c r="J194" i="21" s="1"/>
  <c r="U172" i="9"/>
  <c r="J193" i="21" s="1"/>
  <c r="T172" i="9"/>
  <c r="J192" i="21" s="1"/>
  <c r="S172" i="9"/>
  <c r="J191" i="21" s="1"/>
  <c r="R172" i="9"/>
  <c r="J190" i="21" s="1"/>
  <c r="Q172" i="9"/>
  <c r="J189" i="21" s="1"/>
  <c r="P172" i="9"/>
  <c r="J188" i="21" s="1"/>
  <c r="O172" i="9"/>
  <c r="J187" i="21" s="1"/>
  <c r="N172" i="9"/>
  <c r="J186" i="21" s="1"/>
  <c r="M172" i="9"/>
  <c r="J185" i="21" s="1"/>
  <c r="L172" i="9"/>
  <c r="J184" i="21" s="1"/>
  <c r="K172" i="9"/>
  <c r="J183" i="21" s="1"/>
  <c r="J172" i="9"/>
  <c r="J182" i="21" s="1"/>
  <c r="I172" i="9"/>
  <c r="J181" i="21" s="1"/>
  <c r="H172" i="9"/>
  <c r="J180" i="21" s="1"/>
  <c r="G172" i="9"/>
  <c r="J179" i="21" s="1"/>
  <c r="F172" i="9"/>
  <c r="J178" i="21" s="1"/>
  <c r="E172" i="9"/>
  <c r="J177" i="21" s="1"/>
  <c r="D172" i="9"/>
  <c r="J176" i="21" s="1"/>
  <c r="AY171" i="9"/>
  <c r="AO171" i="9" s="1"/>
  <c r="I213" i="21" s="1"/>
  <c r="AX171" i="9"/>
  <c r="AN171" i="9" s="1"/>
  <c r="I212" i="21" s="1"/>
  <c r="AW171" i="9"/>
  <c r="AM171" i="9" s="1"/>
  <c r="I211" i="21" s="1"/>
  <c r="AV171" i="9"/>
  <c r="AT171" i="9"/>
  <c r="AJ171" i="9" s="1"/>
  <c r="I208" i="21" s="1"/>
  <c r="AR171" i="9"/>
  <c r="AS171" i="9" s="1"/>
  <c r="AQ171" i="9"/>
  <c r="AU171" i="9" s="1"/>
  <c r="AK171" i="9" s="1"/>
  <c r="I209" i="21" s="1"/>
  <c r="AL171" i="9"/>
  <c r="I210" i="21" s="1"/>
  <c r="AI171" i="9"/>
  <c r="I207" i="21" s="1"/>
  <c r="AG171" i="9"/>
  <c r="I205" i="21" s="1"/>
  <c r="AF171" i="9"/>
  <c r="I204" i="21" s="1"/>
  <c r="AE171" i="9"/>
  <c r="I203" i="21" s="1"/>
  <c r="AD171" i="9"/>
  <c r="I202" i="21" s="1"/>
  <c r="AC171" i="9"/>
  <c r="I201" i="21" s="1"/>
  <c r="AB171" i="9"/>
  <c r="I200" i="21" s="1"/>
  <c r="AA171" i="9"/>
  <c r="I199" i="21" s="1"/>
  <c r="Z171" i="9"/>
  <c r="I198" i="21" s="1"/>
  <c r="Y171" i="9"/>
  <c r="I197" i="21" s="1"/>
  <c r="X171" i="9"/>
  <c r="I196" i="21" s="1"/>
  <c r="W171" i="9"/>
  <c r="I195" i="21" s="1"/>
  <c r="V171" i="9"/>
  <c r="I194" i="21" s="1"/>
  <c r="U171" i="9"/>
  <c r="I193" i="21" s="1"/>
  <c r="T171" i="9"/>
  <c r="I192" i="21" s="1"/>
  <c r="S171" i="9"/>
  <c r="I191" i="21" s="1"/>
  <c r="R171" i="9"/>
  <c r="I190" i="21" s="1"/>
  <c r="Q171" i="9"/>
  <c r="I189" i="21" s="1"/>
  <c r="P171" i="9"/>
  <c r="I188" i="21" s="1"/>
  <c r="O171" i="9"/>
  <c r="I187" i="21" s="1"/>
  <c r="N171" i="9"/>
  <c r="I186" i="21" s="1"/>
  <c r="M171" i="9"/>
  <c r="I185" i="21" s="1"/>
  <c r="L171" i="9"/>
  <c r="I184" i="21" s="1"/>
  <c r="K171" i="9"/>
  <c r="I183" i="21" s="1"/>
  <c r="J171" i="9"/>
  <c r="I182" i="21" s="1"/>
  <c r="I171" i="9"/>
  <c r="I181" i="21" s="1"/>
  <c r="H171" i="9"/>
  <c r="I180" i="21" s="1"/>
  <c r="G171" i="9"/>
  <c r="I179" i="21" s="1"/>
  <c r="F171" i="9"/>
  <c r="I178" i="21" s="1"/>
  <c r="E171" i="9"/>
  <c r="I177" i="21" s="1"/>
  <c r="D171" i="9"/>
  <c r="I176" i="21" s="1"/>
  <c r="AY170" i="9"/>
  <c r="AO170" i="9" s="1"/>
  <c r="H213" i="21" s="1"/>
  <c r="AX170" i="9"/>
  <c r="AW170" i="9"/>
  <c r="AM170" i="9" s="1"/>
  <c r="H211" i="21" s="1"/>
  <c r="AT170" i="9"/>
  <c r="AQ170" i="9"/>
  <c r="AR170" i="9" s="1"/>
  <c r="AS170" i="9" s="1"/>
  <c r="AN170" i="9"/>
  <c r="H212" i="21" s="1"/>
  <c r="AJ170" i="9"/>
  <c r="H208" i="21" s="1"/>
  <c r="AI170" i="9"/>
  <c r="H207" i="21" s="1"/>
  <c r="AH170" i="9"/>
  <c r="H206" i="21" s="1"/>
  <c r="AG170" i="9"/>
  <c r="H205" i="21" s="1"/>
  <c r="AF170" i="9"/>
  <c r="H204" i="21" s="1"/>
  <c r="AE170" i="9"/>
  <c r="H203" i="21" s="1"/>
  <c r="AD170" i="9"/>
  <c r="H202" i="21" s="1"/>
  <c r="AC170" i="9"/>
  <c r="H201" i="21" s="1"/>
  <c r="AB170" i="9"/>
  <c r="H200" i="21" s="1"/>
  <c r="AA170" i="9"/>
  <c r="H199" i="21" s="1"/>
  <c r="Z170" i="9"/>
  <c r="H198" i="21" s="1"/>
  <c r="Y170" i="9"/>
  <c r="H197" i="21" s="1"/>
  <c r="X170" i="9"/>
  <c r="H196" i="21" s="1"/>
  <c r="W170" i="9"/>
  <c r="H195" i="21" s="1"/>
  <c r="V170" i="9"/>
  <c r="H194" i="21" s="1"/>
  <c r="U170" i="9"/>
  <c r="H193" i="21" s="1"/>
  <c r="T170" i="9"/>
  <c r="H192" i="21" s="1"/>
  <c r="S170" i="9"/>
  <c r="H191" i="21" s="1"/>
  <c r="R170" i="9"/>
  <c r="H190" i="21" s="1"/>
  <c r="Q170" i="9"/>
  <c r="H189" i="21" s="1"/>
  <c r="P170" i="9"/>
  <c r="H188" i="21" s="1"/>
  <c r="O170" i="9"/>
  <c r="H187" i="21" s="1"/>
  <c r="N170" i="9"/>
  <c r="H186" i="21" s="1"/>
  <c r="M170" i="9"/>
  <c r="H185" i="21" s="1"/>
  <c r="L170" i="9"/>
  <c r="H184" i="21" s="1"/>
  <c r="K170" i="9"/>
  <c r="H183" i="21" s="1"/>
  <c r="J170" i="9"/>
  <c r="H182" i="21" s="1"/>
  <c r="I170" i="9"/>
  <c r="H181" i="21" s="1"/>
  <c r="H170" i="9"/>
  <c r="H180" i="21" s="1"/>
  <c r="G170" i="9"/>
  <c r="H179" i="21" s="1"/>
  <c r="F170" i="9"/>
  <c r="H178" i="21" s="1"/>
  <c r="E170" i="9"/>
  <c r="H177" i="21" s="1"/>
  <c r="D170" i="9"/>
  <c r="H176" i="21" s="1"/>
  <c r="AY169" i="9"/>
  <c r="AX169" i="9"/>
  <c r="AW169" i="9"/>
  <c r="AV169" i="9"/>
  <c r="AL169" i="9" s="1"/>
  <c r="G210" i="21" s="1"/>
  <c r="AU169" i="9"/>
  <c r="AK169" i="9" s="1"/>
  <c r="G209" i="21" s="1"/>
  <c r="AT169" i="9"/>
  <c r="AJ169" i="9" s="1"/>
  <c r="G208" i="21" s="1"/>
  <c r="AS169" i="9"/>
  <c r="AR169" i="9"/>
  <c r="AQ169" i="9"/>
  <c r="AO169" i="9"/>
  <c r="G213" i="21" s="1"/>
  <c r="AN169" i="9"/>
  <c r="G212" i="21" s="1"/>
  <c r="AM169" i="9"/>
  <c r="G211" i="21" s="1"/>
  <c r="AG169" i="9"/>
  <c r="G205" i="21" s="1"/>
  <c r="AF169" i="9"/>
  <c r="G204" i="21" s="1"/>
  <c r="AE169" i="9"/>
  <c r="G203" i="21" s="1"/>
  <c r="AD169" i="9"/>
  <c r="G202" i="21" s="1"/>
  <c r="AC169" i="9"/>
  <c r="G201" i="21" s="1"/>
  <c r="AB169" i="9"/>
  <c r="G200" i="21" s="1"/>
  <c r="AA169" i="9"/>
  <c r="G199" i="21" s="1"/>
  <c r="Z169" i="9"/>
  <c r="G198" i="21" s="1"/>
  <c r="Y169" i="9"/>
  <c r="G197" i="21" s="1"/>
  <c r="X169" i="9"/>
  <c r="G196" i="21" s="1"/>
  <c r="W169" i="9"/>
  <c r="G195" i="21" s="1"/>
  <c r="V169" i="9"/>
  <c r="G194" i="21" s="1"/>
  <c r="U169" i="9"/>
  <c r="G193" i="21" s="1"/>
  <c r="T169" i="9"/>
  <c r="G192" i="21" s="1"/>
  <c r="S169" i="9"/>
  <c r="G191" i="21" s="1"/>
  <c r="R169" i="9"/>
  <c r="G190" i="21" s="1"/>
  <c r="Q169" i="9"/>
  <c r="G189" i="21" s="1"/>
  <c r="P169" i="9"/>
  <c r="G188" i="21" s="1"/>
  <c r="O169" i="9"/>
  <c r="G187" i="21" s="1"/>
  <c r="N169" i="9"/>
  <c r="G186" i="21" s="1"/>
  <c r="M169" i="9"/>
  <c r="G185" i="21" s="1"/>
  <c r="L169" i="9"/>
  <c r="G184" i="21" s="1"/>
  <c r="K169" i="9"/>
  <c r="G183" i="21" s="1"/>
  <c r="J169" i="9"/>
  <c r="G182" i="21" s="1"/>
  <c r="I169" i="9"/>
  <c r="G181" i="21" s="1"/>
  <c r="H169" i="9"/>
  <c r="G180" i="21" s="1"/>
  <c r="G169" i="9"/>
  <c r="G179" i="21" s="1"/>
  <c r="F169" i="9"/>
  <c r="G178" i="21" s="1"/>
  <c r="E169" i="9"/>
  <c r="G177" i="21" s="1"/>
  <c r="D169" i="9"/>
  <c r="G176" i="21" s="1"/>
  <c r="AY168" i="9"/>
  <c r="AO168" i="9" s="1"/>
  <c r="F213" i="21" s="1"/>
  <c r="AX168" i="9"/>
  <c r="AN168" i="9" s="1"/>
  <c r="F212" i="21" s="1"/>
  <c r="AW168" i="9"/>
  <c r="AV168" i="9"/>
  <c r="AU168" i="9"/>
  <c r="AK168" i="9" s="1"/>
  <c r="F209" i="21" s="1"/>
  <c r="AT168" i="9"/>
  <c r="AI168" i="9" s="1"/>
  <c r="F207" i="21" s="1"/>
  <c r="AS168" i="9"/>
  <c r="AR168" i="9"/>
  <c r="AQ168" i="9"/>
  <c r="AM168" i="9"/>
  <c r="F211" i="21" s="1"/>
  <c r="AL168" i="9"/>
  <c r="F210" i="21" s="1"/>
  <c r="AJ168" i="9"/>
  <c r="F208" i="21" s="1"/>
  <c r="AG168" i="9"/>
  <c r="F205" i="21" s="1"/>
  <c r="AF168" i="9"/>
  <c r="F204" i="21" s="1"/>
  <c r="AE168" i="9"/>
  <c r="F203" i="21" s="1"/>
  <c r="AD168" i="9"/>
  <c r="F202" i="21" s="1"/>
  <c r="AC168" i="9"/>
  <c r="F201" i="21" s="1"/>
  <c r="AB168" i="9"/>
  <c r="F200" i="21" s="1"/>
  <c r="AA168" i="9"/>
  <c r="F199" i="21" s="1"/>
  <c r="Z168" i="9"/>
  <c r="F198" i="21" s="1"/>
  <c r="Y168" i="9"/>
  <c r="F197" i="21" s="1"/>
  <c r="X168" i="9"/>
  <c r="F196" i="21" s="1"/>
  <c r="W168" i="9"/>
  <c r="F195" i="21" s="1"/>
  <c r="V168" i="9"/>
  <c r="F194" i="21" s="1"/>
  <c r="U168" i="9"/>
  <c r="F193" i="21" s="1"/>
  <c r="T168" i="9"/>
  <c r="F192" i="21" s="1"/>
  <c r="S168" i="9"/>
  <c r="F191" i="21" s="1"/>
  <c r="R168" i="9"/>
  <c r="F190" i="21" s="1"/>
  <c r="Q168" i="9"/>
  <c r="F189" i="21" s="1"/>
  <c r="P168" i="9"/>
  <c r="F188" i="21" s="1"/>
  <c r="O168" i="9"/>
  <c r="F187" i="21" s="1"/>
  <c r="N168" i="9"/>
  <c r="F186" i="21" s="1"/>
  <c r="M168" i="9"/>
  <c r="F185" i="21" s="1"/>
  <c r="L168" i="9"/>
  <c r="F184" i="21" s="1"/>
  <c r="K168" i="9"/>
  <c r="F183" i="21" s="1"/>
  <c r="J168" i="9"/>
  <c r="F182" i="21" s="1"/>
  <c r="I168" i="9"/>
  <c r="F181" i="21" s="1"/>
  <c r="H168" i="9"/>
  <c r="F180" i="21" s="1"/>
  <c r="G168" i="9"/>
  <c r="F179" i="21" s="1"/>
  <c r="F168" i="9"/>
  <c r="F178" i="21" s="1"/>
  <c r="E168" i="9"/>
  <c r="F177" i="21" s="1"/>
  <c r="D168" i="9"/>
  <c r="F176" i="21" s="1"/>
  <c r="AY167" i="9"/>
  <c r="AX167" i="9"/>
  <c r="AN167" i="9" s="1"/>
  <c r="E212" i="21" s="1"/>
  <c r="AQ167" i="9"/>
  <c r="AU167" i="9" s="1"/>
  <c r="AK167" i="9" s="1"/>
  <c r="E209" i="21" s="1"/>
  <c r="AO167" i="9"/>
  <c r="E213" i="21" s="1"/>
  <c r="AG167" i="9"/>
  <c r="E205" i="21" s="1"/>
  <c r="AF167" i="9"/>
  <c r="E204" i="21" s="1"/>
  <c r="AE167" i="9"/>
  <c r="E203" i="21" s="1"/>
  <c r="AD167" i="9"/>
  <c r="E202" i="21" s="1"/>
  <c r="AC167" i="9"/>
  <c r="E201" i="21" s="1"/>
  <c r="AB167" i="9"/>
  <c r="E200" i="21" s="1"/>
  <c r="AA167" i="9"/>
  <c r="E199" i="21" s="1"/>
  <c r="Z167" i="9"/>
  <c r="E198" i="21" s="1"/>
  <c r="Y167" i="9"/>
  <c r="E197" i="21" s="1"/>
  <c r="X167" i="9"/>
  <c r="E196" i="21" s="1"/>
  <c r="W167" i="9"/>
  <c r="E195" i="21" s="1"/>
  <c r="V167" i="9"/>
  <c r="E194" i="21" s="1"/>
  <c r="U167" i="9"/>
  <c r="E193" i="21" s="1"/>
  <c r="T167" i="9"/>
  <c r="E192" i="21" s="1"/>
  <c r="S167" i="9"/>
  <c r="E191" i="21" s="1"/>
  <c r="R167" i="9"/>
  <c r="E190" i="21" s="1"/>
  <c r="Q167" i="9"/>
  <c r="E189" i="21" s="1"/>
  <c r="P167" i="9"/>
  <c r="E188" i="21" s="1"/>
  <c r="O167" i="9"/>
  <c r="E187" i="21" s="1"/>
  <c r="N167" i="9"/>
  <c r="E186" i="21" s="1"/>
  <c r="M167" i="9"/>
  <c r="E185" i="21" s="1"/>
  <c r="L167" i="9"/>
  <c r="E184" i="21" s="1"/>
  <c r="K167" i="9"/>
  <c r="E183" i="21" s="1"/>
  <c r="J167" i="9"/>
  <c r="E182" i="21" s="1"/>
  <c r="I167" i="9"/>
  <c r="E181" i="21" s="1"/>
  <c r="H167" i="9"/>
  <c r="E180" i="21" s="1"/>
  <c r="G167" i="9"/>
  <c r="E179" i="21" s="1"/>
  <c r="F167" i="9"/>
  <c r="E178" i="21" s="1"/>
  <c r="E167" i="9"/>
  <c r="E177" i="21" s="1"/>
  <c r="D167" i="9"/>
  <c r="E176" i="21" s="1"/>
  <c r="AU166" i="9"/>
  <c r="AK166" i="9" s="1"/>
  <c r="D209" i="21" s="1"/>
  <c r="AQ166" i="9"/>
  <c r="AY166" i="9" s="1"/>
  <c r="AO166" i="9" s="1"/>
  <c r="D213" i="21" s="1"/>
  <c r="AG166" i="9"/>
  <c r="D205" i="21" s="1"/>
  <c r="AF166" i="9"/>
  <c r="D204" i="21" s="1"/>
  <c r="AE166" i="9"/>
  <c r="D203" i="21" s="1"/>
  <c r="AD166" i="9"/>
  <c r="D202" i="21" s="1"/>
  <c r="AC166" i="9"/>
  <c r="D201" i="21" s="1"/>
  <c r="AB166" i="9"/>
  <c r="D200" i="21" s="1"/>
  <c r="AA166" i="9"/>
  <c r="D199" i="21" s="1"/>
  <c r="Z166" i="9"/>
  <c r="D198" i="21" s="1"/>
  <c r="Y166" i="9"/>
  <c r="D197" i="21" s="1"/>
  <c r="X166" i="9"/>
  <c r="D196" i="21" s="1"/>
  <c r="W166" i="9"/>
  <c r="D195" i="21" s="1"/>
  <c r="V166" i="9"/>
  <c r="D194" i="21" s="1"/>
  <c r="U166" i="9"/>
  <c r="D193" i="21" s="1"/>
  <c r="T166" i="9"/>
  <c r="D192" i="21" s="1"/>
  <c r="S166" i="9"/>
  <c r="D191" i="21" s="1"/>
  <c r="R166" i="9"/>
  <c r="D190" i="21" s="1"/>
  <c r="Q166" i="9"/>
  <c r="D189" i="21" s="1"/>
  <c r="P166" i="9"/>
  <c r="D188" i="21" s="1"/>
  <c r="O166" i="9"/>
  <c r="D187" i="21" s="1"/>
  <c r="N166" i="9"/>
  <c r="D186" i="21" s="1"/>
  <c r="M166" i="9"/>
  <c r="D185" i="21" s="1"/>
  <c r="L166" i="9"/>
  <c r="D184" i="21" s="1"/>
  <c r="K166" i="9"/>
  <c r="D183" i="21" s="1"/>
  <c r="J166" i="9"/>
  <c r="D182" i="21" s="1"/>
  <c r="I166" i="9"/>
  <c r="D181" i="21" s="1"/>
  <c r="H166" i="9"/>
  <c r="D180" i="21" s="1"/>
  <c r="G166" i="9"/>
  <c r="D179" i="21" s="1"/>
  <c r="F166" i="9"/>
  <c r="D178" i="21" s="1"/>
  <c r="E166" i="9"/>
  <c r="D177" i="21" s="1"/>
  <c r="D166" i="9"/>
  <c r="D176" i="21" s="1"/>
  <c r="AY165" i="9"/>
  <c r="AO165" i="9" s="1"/>
  <c r="AQ171" i="21" s="1"/>
  <c r="AV165" i="9"/>
  <c r="AL165" i="9" s="1"/>
  <c r="AQ168" i="21" s="1"/>
  <c r="AU165" i="9"/>
  <c r="AT165" i="9"/>
  <c r="AJ165" i="9" s="1"/>
  <c r="AQ166" i="21" s="1"/>
  <c r="AQ165" i="9"/>
  <c r="AX165" i="9" s="1"/>
  <c r="AN165" i="9" s="1"/>
  <c r="AQ170" i="21" s="1"/>
  <c r="AK165" i="9"/>
  <c r="AQ167" i="21" s="1"/>
  <c r="AG165" i="9"/>
  <c r="AQ163" i="21" s="1"/>
  <c r="AF165" i="9"/>
  <c r="AQ162" i="21" s="1"/>
  <c r="AE165" i="9"/>
  <c r="AQ161" i="21" s="1"/>
  <c r="AD165" i="9"/>
  <c r="AQ160" i="21" s="1"/>
  <c r="AC165" i="9"/>
  <c r="AQ159" i="21" s="1"/>
  <c r="AB165" i="9"/>
  <c r="AQ158" i="21" s="1"/>
  <c r="AA165" i="9"/>
  <c r="AQ157" i="21" s="1"/>
  <c r="Z165" i="9"/>
  <c r="AQ156" i="21" s="1"/>
  <c r="Y165" i="9"/>
  <c r="AQ155" i="21" s="1"/>
  <c r="X165" i="9"/>
  <c r="AQ154" i="21" s="1"/>
  <c r="W165" i="9"/>
  <c r="AQ153" i="21" s="1"/>
  <c r="V165" i="9"/>
  <c r="AQ152" i="21" s="1"/>
  <c r="U165" i="9"/>
  <c r="AQ151" i="21" s="1"/>
  <c r="T165" i="9"/>
  <c r="AQ150" i="21" s="1"/>
  <c r="S165" i="9"/>
  <c r="AQ149" i="21" s="1"/>
  <c r="R165" i="9"/>
  <c r="AQ148" i="21" s="1"/>
  <c r="Q165" i="9"/>
  <c r="AQ147" i="21" s="1"/>
  <c r="P165" i="9"/>
  <c r="AQ146" i="21" s="1"/>
  <c r="O165" i="9"/>
  <c r="AQ145" i="21" s="1"/>
  <c r="N165" i="9"/>
  <c r="AQ144" i="21" s="1"/>
  <c r="M165" i="9"/>
  <c r="AQ143" i="21" s="1"/>
  <c r="L165" i="9"/>
  <c r="AQ142" i="21" s="1"/>
  <c r="K165" i="9"/>
  <c r="AQ141" i="21" s="1"/>
  <c r="J165" i="9"/>
  <c r="AQ140" i="21" s="1"/>
  <c r="I165" i="9"/>
  <c r="AQ139" i="21" s="1"/>
  <c r="H165" i="9"/>
  <c r="AQ138" i="21" s="1"/>
  <c r="G165" i="9"/>
  <c r="AQ137" i="21" s="1"/>
  <c r="F165" i="9"/>
  <c r="AQ136" i="21" s="1"/>
  <c r="E165" i="9"/>
  <c r="AQ135" i="21" s="1"/>
  <c r="D165" i="9"/>
  <c r="AQ134" i="21" s="1"/>
  <c r="AQ164" i="9"/>
  <c r="AV164" i="9" s="1"/>
  <c r="AL164" i="9" s="1"/>
  <c r="AP168" i="21" s="1"/>
  <c r="AG164" i="9"/>
  <c r="AP163" i="21" s="1"/>
  <c r="AF164" i="9"/>
  <c r="AP162" i="21" s="1"/>
  <c r="AE164" i="9"/>
  <c r="AP161" i="21" s="1"/>
  <c r="AD164" i="9"/>
  <c r="AP160" i="21" s="1"/>
  <c r="AC164" i="9"/>
  <c r="AP159" i="21" s="1"/>
  <c r="AB164" i="9"/>
  <c r="AP158" i="21" s="1"/>
  <c r="AA164" i="9"/>
  <c r="AP157" i="21" s="1"/>
  <c r="Z164" i="9"/>
  <c r="AP156" i="21" s="1"/>
  <c r="Y164" i="9"/>
  <c r="AP155" i="21" s="1"/>
  <c r="X164" i="9"/>
  <c r="AP154" i="21" s="1"/>
  <c r="W164" i="9"/>
  <c r="AP153" i="21" s="1"/>
  <c r="V164" i="9"/>
  <c r="AP152" i="21" s="1"/>
  <c r="U164" i="9"/>
  <c r="AP151" i="21" s="1"/>
  <c r="T164" i="9"/>
  <c r="AP150" i="21" s="1"/>
  <c r="S164" i="9"/>
  <c r="AP149" i="21" s="1"/>
  <c r="R164" i="9"/>
  <c r="AP148" i="21" s="1"/>
  <c r="Q164" i="9"/>
  <c r="AP147" i="21" s="1"/>
  <c r="P164" i="9"/>
  <c r="AP146" i="21" s="1"/>
  <c r="O164" i="9"/>
  <c r="AP145" i="21" s="1"/>
  <c r="N164" i="9"/>
  <c r="AP144" i="21" s="1"/>
  <c r="M164" i="9"/>
  <c r="AP143" i="21" s="1"/>
  <c r="L164" i="9"/>
  <c r="AP142" i="21" s="1"/>
  <c r="K164" i="9"/>
  <c r="AP141" i="21" s="1"/>
  <c r="J164" i="9"/>
  <c r="AP140" i="21" s="1"/>
  <c r="I164" i="9"/>
  <c r="AP139" i="21" s="1"/>
  <c r="H164" i="9"/>
  <c r="AP138" i="21" s="1"/>
  <c r="G164" i="9"/>
  <c r="AP137" i="21" s="1"/>
  <c r="F164" i="9"/>
  <c r="AP136" i="21" s="1"/>
  <c r="E164" i="9"/>
  <c r="AP135" i="21" s="1"/>
  <c r="D164" i="9"/>
  <c r="AP134" i="21" s="1"/>
  <c r="AV163" i="9"/>
  <c r="AL163" i="9" s="1"/>
  <c r="AO168" i="21" s="1"/>
  <c r="AR163" i="9"/>
  <c r="AS163" i="9" s="1"/>
  <c r="AQ163" i="9"/>
  <c r="AY163" i="9" s="1"/>
  <c r="AO163" i="9" s="1"/>
  <c r="AO171" i="21" s="1"/>
  <c r="AG163" i="9"/>
  <c r="AO163" i="21" s="1"/>
  <c r="AF163" i="9"/>
  <c r="AO162" i="21" s="1"/>
  <c r="AE163" i="9"/>
  <c r="AO161" i="21" s="1"/>
  <c r="AD163" i="9"/>
  <c r="AO160" i="21" s="1"/>
  <c r="AC163" i="9"/>
  <c r="AO159" i="21" s="1"/>
  <c r="AB163" i="9"/>
  <c r="AO158" i="21" s="1"/>
  <c r="AA163" i="9"/>
  <c r="AO157" i="21" s="1"/>
  <c r="Z163" i="9"/>
  <c r="AO156" i="21" s="1"/>
  <c r="Y163" i="9"/>
  <c r="AO155" i="21" s="1"/>
  <c r="X163" i="9"/>
  <c r="AO154" i="21" s="1"/>
  <c r="W163" i="9"/>
  <c r="AO153" i="21" s="1"/>
  <c r="V163" i="9"/>
  <c r="AO152" i="21" s="1"/>
  <c r="U163" i="9"/>
  <c r="AO151" i="21" s="1"/>
  <c r="T163" i="9"/>
  <c r="AO150" i="21" s="1"/>
  <c r="S163" i="9"/>
  <c r="AO149" i="21" s="1"/>
  <c r="R163" i="9"/>
  <c r="AO148" i="21" s="1"/>
  <c r="Q163" i="9"/>
  <c r="AO147" i="21" s="1"/>
  <c r="P163" i="9"/>
  <c r="AO146" i="21" s="1"/>
  <c r="O163" i="9"/>
  <c r="AO145" i="21" s="1"/>
  <c r="N163" i="9"/>
  <c r="AO144" i="21" s="1"/>
  <c r="M163" i="9"/>
  <c r="AO143" i="21" s="1"/>
  <c r="L163" i="9"/>
  <c r="AO142" i="21" s="1"/>
  <c r="K163" i="9"/>
  <c r="AO141" i="21" s="1"/>
  <c r="J163" i="9"/>
  <c r="AO140" i="21" s="1"/>
  <c r="I163" i="9"/>
  <c r="AO139" i="21" s="1"/>
  <c r="H163" i="9"/>
  <c r="AO138" i="21" s="1"/>
  <c r="G163" i="9"/>
  <c r="AO137" i="21" s="1"/>
  <c r="F163" i="9"/>
  <c r="AO136" i="21" s="1"/>
  <c r="E163" i="9"/>
  <c r="AO135" i="21" s="1"/>
  <c r="D163" i="9"/>
  <c r="AO134" i="21" s="1"/>
  <c r="AY162" i="9"/>
  <c r="AX162" i="9"/>
  <c r="AW162" i="9"/>
  <c r="AM162" i="9" s="1"/>
  <c r="AN169" i="21" s="1"/>
  <c r="AV162" i="9"/>
  <c r="AU162" i="9"/>
  <c r="AK162" i="9" s="1"/>
  <c r="AN167" i="21" s="1"/>
  <c r="AT162" i="9"/>
  <c r="AR162" i="9"/>
  <c r="AS162" i="9" s="1"/>
  <c r="AQ162" i="9"/>
  <c r="AO162" i="9"/>
  <c r="AN171" i="21" s="1"/>
  <c r="AN162" i="9"/>
  <c r="AN170" i="21" s="1"/>
  <c r="AL162" i="9"/>
  <c r="AN168" i="21" s="1"/>
  <c r="AJ162" i="9"/>
  <c r="AN166" i="21" s="1"/>
  <c r="AI162" i="9"/>
  <c r="AN165" i="21" s="1"/>
  <c r="AH162" i="9"/>
  <c r="AN164" i="21" s="1"/>
  <c r="AG162" i="9"/>
  <c r="AN163" i="21" s="1"/>
  <c r="AF162" i="9"/>
  <c r="AN162" i="21" s="1"/>
  <c r="AE162" i="9"/>
  <c r="AN161" i="21" s="1"/>
  <c r="AD162" i="9"/>
  <c r="AN160" i="21" s="1"/>
  <c r="AC162" i="9"/>
  <c r="AN159" i="21" s="1"/>
  <c r="AB162" i="9"/>
  <c r="AN158" i="21" s="1"/>
  <c r="AA162" i="9"/>
  <c r="AN157" i="21" s="1"/>
  <c r="Z162" i="9"/>
  <c r="AN156" i="21" s="1"/>
  <c r="Y162" i="9"/>
  <c r="AN155" i="21" s="1"/>
  <c r="X162" i="9"/>
  <c r="AN154" i="21" s="1"/>
  <c r="W162" i="9"/>
  <c r="AN153" i="21" s="1"/>
  <c r="V162" i="9"/>
  <c r="AN152" i="21" s="1"/>
  <c r="U162" i="9"/>
  <c r="AN151" i="21" s="1"/>
  <c r="T162" i="9"/>
  <c r="AN150" i="21" s="1"/>
  <c r="S162" i="9"/>
  <c r="AN149" i="21" s="1"/>
  <c r="R162" i="9"/>
  <c r="AN148" i="21" s="1"/>
  <c r="Q162" i="9"/>
  <c r="AN147" i="21" s="1"/>
  <c r="P162" i="9"/>
  <c r="AN146" i="21" s="1"/>
  <c r="O162" i="9"/>
  <c r="AN145" i="21" s="1"/>
  <c r="N162" i="9"/>
  <c r="AN144" i="21" s="1"/>
  <c r="M162" i="9"/>
  <c r="AN143" i="21" s="1"/>
  <c r="L162" i="9"/>
  <c r="AN142" i="21" s="1"/>
  <c r="K162" i="9"/>
  <c r="AN141" i="21" s="1"/>
  <c r="J162" i="9"/>
  <c r="AN140" i="21" s="1"/>
  <c r="I162" i="9"/>
  <c r="AN139" i="21" s="1"/>
  <c r="H162" i="9"/>
  <c r="AN138" i="21" s="1"/>
  <c r="G162" i="9"/>
  <c r="AN137" i="21" s="1"/>
  <c r="F162" i="9"/>
  <c r="AN136" i="21" s="1"/>
  <c r="E162" i="9"/>
  <c r="AN135" i="21" s="1"/>
  <c r="D162" i="9"/>
  <c r="AN134" i="21" s="1"/>
  <c r="AR161" i="9"/>
  <c r="AS161" i="9" s="1"/>
  <c r="AQ161" i="9"/>
  <c r="AW161" i="9" s="1"/>
  <c r="AM161" i="9" s="1"/>
  <c r="AM169" i="21" s="1"/>
  <c r="AG161" i="9"/>
  <c r="AM163" i="21" s="1"/>
  <c r="AF161" i="9"/>
  <c r="AM162" i="21" s="1"/>
  <c r="AE161" i="9"/>
  <c r="AM161" i="21" s="1"/>
  <c r="AD161" i="9"/>
  <c r="AM160" i="21" s="1"/>
  <c r="AC161" i="9"/>
  <c r="AM159" i="21" s="1"/>
  <c r="AB161" i="9"/>
  <c r="AM158" i="21" s="1"/>
  <c r="AA161" i="9"/>
  <c r="AM157" i="21" s="1"/>
  <c r="Z161" i="9"/>
  <c r="AM156" i="21" s="1"/>
  <c r="Y161" i="9"/>
  <c r="AM155" i="21" s="1"/>
  <c r="X161" i="9"/>
  <c r="AM154" i="21" s="1"/>
  <c r="W161" i="9"/>
  <c r="AM153" i="21" s="1"/>
  <c r="V161" i="9"/>
  <c r="AM152" i="21" s="1"/>
  <c r="U161" i="9"/>
  <c r="AM151" i="21" s="1"/>
  <c r="T161" i="9"/>
  <c r="AM150" i="21" s="1"/>
  <c r="S161" i="9"/>
  <c r="AM149" i="21" s="1"/>
  <c r="R161" i="9"/>
  <c r="AM148" i="21" s="1"/>
  <c r="Q161" i="9"/>
  <c r="AM147" i="21" s="1"/>
  <c r="P161" i="9"/>
  <c r="AM146" i="21" s="1"/>
  <c r="O161" i="9"/>
  <c r="AM145" i="21" s="1"/>
  <c r="N161" i="9"/>
  <c r="AM144" i="21" s="1"/>
  <c r="M161" i="9"/>
  <c r="AM143" i="21" s="1"/>
  <c r="L161" i="9"/>
  <c r="AM142" i="21" s="1"/>
  <c r="K161" i="9"/>
  <c r="AM141" i="21" s="1"/>
  <c r="J161" i="9"/>
  <c r="AM140" i="21" s="1"/>
  <c r="I161" i="9"/>
  <c r="AM139" i="21" s="1"/>
  <c r="H161" i="9"/>
  <c r="AM138" i="21" s="1"/>
  <c r="G161" i="9"/>
  <c r="AM137" i="21" s="1"/>
  <c r="F161" i="9"/>
  <c r="AM136" i="21" s="1"/>
  <c r="E161" i="9"/>
  <c r="AM135" i="21" s="1"/>
  <c r="D161" i="9"/>
  <c r="AM134" i="21" s="1"/>
  <c r="AW160" i="9"/>
  <c r="AM160" i="9" s="1"/>
  <c r="AL169" i="21" s="1"/>
  <c r="AQ160" i="9"/>
  <c r="AY160" i="9" s="1"/>
  <c r="AO160" i="9" s="1"/>
  <c r="AL171" i="21" s="1"/>
  <c r="AG160" i="9"/>
  <c r="AL163" i="21" s="1"/>
  <c r="AF160" i="9"/>
  <c r="AL162" i="21" s="1"/>
  <c r="AE160" i="9"/>
  <c r="AL161" i="21" s="1"/>
  <c r="AD160" i="9"/>
  <c r="AL160" i="21" s="1"/>
  <c r="AC160" i="9"/>
  <c r="AL159" i="21" s="1"/>
  <c r="AB160" i="9"/>
  <c r="AL158" i="21" s="1"/>
  <c r="AA160" i="9"/>
  <c r="AL157" i="21" s="1"/>
  <c r="Z160" i="9"/>
  <c r="AL156" i="21" s="1"/>
  <c r="Y160" i="9"/>
  <c r="AL155" i="21" s="1"/>
  <c r="X160" i="9"/>
  <c r="AL154" i="21" s="1"/>
  <c r="W160" i="9"/>
  <c r="AL153" i="21" s="1"/>
  <c r="V160" i="9"/>
  <c r="AL152" i="21" s="1"/>
  <c r="U160" i="9"/>
  <c r="AL151" i="21" s="1"/>
  <c r="T160" i="9"/>
  <c r="AL150" i="21" s="1"/>
  <c r="S160" i="9"/>
  <c r="AL149" i="21" s="1"/>
  <c r="R160" i="9"/>
  <c r="AL148" i="21" s="1"/>
  <c r="Q160" i="9"/>
  <c r="AL147" i="21" s="1"/>
  <c r="P160" i="9"/>
  <c r="AL146" i="21" s="1"/>
  <c r="O160" i="9"/>
  <c r="AL145" i="21" s="1"/>
  <c r="N160" i="9"/>
  <c r="AL144" i="21" s="1"/>
  <c r="M160" i="9"/>
  <c r="AL143" i="21" s="1"/>
  <c r="L160" i="9"/>
  <c r="AL142" i="21" s="1"/>
  <c r="K160" i="9"/>
  <c r="AL141" i="21" s="1"/>
  <c r="J160" i="9"/>
  <c r="AL140" i="21" s="1"/>
  <c r="I160" i="9"/>
  <c r="AL139" i="21" s="1"/>
  <c r="H160" i="9"/>
  <c r="AL138" i="21" s="1"/>
  <c r="G160" i="9"/>
  <c r="AL137" i="21" s="1"/>
  <c r="F160" i="9"/>
  <c r="AL136" i="21" s="1"/>
  <c r="E160" i="9"/>
  <c r="AL135" i="21" s="1"/>
  <c r="D160" i="9"/>
  <c r="AL134" i="21" s="1"/>
  <c r="AX159" i="9"/>
  <c r="AN159" i="9" s="1"/>
  <c r="AK170" i="21" s="1"/>
  <c r="AW159" i="9"/>
  <c r="AV159" i="9"/>
  <c r="AL159" i="9" s="1"/>
  <c r="AK168" i="21" s="1"/>
  <c r="AQ159" i="9"/>
  <c r="AR159" i="9" s="1"/>
  <c r="AS159" i="9" s="1"/>
  <c r="AM159" i="9"/>
  <c r="AK169" i="21" s="1"/>
  <c r="AG159" i="9"/>
  <c r="AK163" i="21" s="1"/>
  <c r="AF159" i="9"/>
  <c r="AK162" i="21" s="1"/>
  <c r="AE159" i="9"/>
  <c r="AK161" i="21" s="1"/>
  <c r="AD159" i="9"/>
  <c r="AK160" i="21" s="1"/>
  <c r="AC159" i="9"/>
  <c r="AK159" i="21" s="1"/>
  <c r="AB159" i="9"/>
  <c r="AK158" i="21" s="1"/>
  <c r="AA159" i="9"/>
  <c r="AK157" i="21" s="1"/>
  <c r="Z159" i="9"/>
  <c r="AK156" i="21" s="1"/>
  <c r="Y159" i="9"/>
  <c r="AK155" i="21" s="1"/>
  <c r="X159" i="9"/>
  <c r="AK154" i="21" s="1"/>
  <c r="W159" i="9"/>
  <c r="AK153" i="21" s="1"/>
  <c r="V159" i="9"/>
  <c r="AK152" i="21" s="1"/>
  <c r="U159" i="9"/>
  <c r="AK151" i="21" s="1"/>
  <c r="T159" i="9"/>
  <c r="AK150" i="21" s="1"/>
  <c r="S159" i="9"/>
  <c r="AK149" i="21" s="1"/>
  <c r="R159" i="9"/>
  <c r="AK148" i="21" s="1"/>
  <c r="Q159" i="9"/>
  <c r="AK147" i="21" s="1"/>
  <c r="P159" i="9"/>
  <c r="AK146" i="21" s="1"/>
  <c r="O159" i="9"/>
  <c r="AK145" i="21" s="1"/>
  <c r="N159" i="9"/>
  <c r="AK144" i="21" s="1"/>
  <c r="M159" i="9"/>
  <c r="AK143" i="21" s="1"/>
  <c r="L159" i="9"/>
  <c r="AK142" i="21" s="1"/>
  <c r="K159" i="9"/>
  <c r="AK141" i="21" s="1"/>
  <c r="J159" i="9"/>
  <c r="AK140" i="21" s="1"/>
  <c r="I159" i="9"/>
  <c r="AK139" i="21" s="1"/>
  <c r="H159" i="9"/>
  <c r="AK138" i="21" s="1"/>
  <c r="G159" i="9"/>
  <c r="AK137" i="21" s="1"/>
  <c r="F159" i="9"/>
  <c r="AK136" i="21" s="1"/>
  <c r="E159" i="9"/>
  <c r="AK135" i="21" s="1"/>
  <c r="D159" i="9"/>
  <c r="AK134" i="21" s="1"/>
  <c r="AX158" i="9"/>
  <c r="AV158" i="9"/>
  <c r="AU158" i="9"/>
  <c r="AK158" i="9" s="1"/>
  <c r="AJ167" i="21" s="1"/>
  <c r="AT158" i="9"/>
  <c r="AI158" i="9" s="1"/>
  <c r="AJ165" i="21" s="1"/>
  <c r="AS158" i="9"/>
  <c r="AR158" i="9"/>
  <c r="AQ158" i="9"/>
  <c r="AW158" i="9" s="1"/>
  <c r="AM158" i="9" s="1"/>
  <c r="AJ169" i="21" s="1"/>
  <c r="AN158" i="9"/>
  <c r="AJ170" i="21" s="1"/>
  <c r="AL158" i="9"/>
  <c r="AJ168" i="21" s="1"/>
  <c r="AG158" i="9"/>
  <c r="AJ163" i="21" s="1"/>
  <c r="AF158" i="9"/>
  <c r="AJ162" i="21" s="1"/>
  <c r="AE158" i="9"/>
  <c r="AJ161" i="21" s="1"/>
  <c r="AD158" i="9"/>
  <c r="AJ160" i="21" s="1"/>
  <c r="AC158" i="9"/>
  <c r="AJ159" i="21" s="1"/>
  <c r="AB158" i="9"/>
  <c r="AJ158" i="21" s="1"/>
  <c r="AA158" i="9"/>
  <c r="AJ157" i="21" s="1"/>
  <c r="Z158" i="9"/>
  <c r="AJ156" i="21" s="1"/>
  <c r="Y158" i="9"/>
  <c r="AJ155" i="21" s="1"/>
  <c r="X158" i="9"/>
  <c r="AJ154" i="21" s="1"/>
  <c r="W158" i="9"/>
  <c r="AJ153" i="21" s="1"/>
  <c r="V158" i="9"/>
  <c r="AJ152" i="21" s="1"/>
  <c r="U158" i="9"/>
  <c r="AJ151" i="21" s="1"/>
  <c r="T158" i="9"/>
  <c r="AJ150" i="21" s="1"/>
  <c r="S158" i="9"/>
  <c r="AJ149" i="21" s="1"/>
  <c r="R158" i="9"/>
  <c r="AJ148" i="21" s="1"/>
  <c r="Q158" i="9"/>
  <c r="AJ147" i="21" s="1"/>
  <c r="P158" i="9"/>
  <c r="AJ146" i="21" s="1"/>
  <c r="O158" i="9"/>
  <c r="AJ145" i="21" s="1"/>
  <c r="N158" i="9"/>
  <c r="AJ144" i="21" s="1"/>
  <c r="M158" i="9"/>
  <c r="AJ143" i="21" s="1"/>
  <c r="L158" i="9"/>
  <c r="AJ142" i="21" s="1"/>
  <c r="K158" i="9"/>
  <c r="AJ141" i="21" s="1"/>
  <c r="J158" i="9"/>
  <c r="AJ140" i="21" s="1"/>
  <c r="I158" i="9"/>
  <c r="AJ139" i="21" s="1"/>
  <c r="H158" i="9"/>
  <c r="AJ138" i="21" s="1"/>
  <c r="G158" i="9"/>
  <c r="AJ137" i="21" s="1"/>
  <c r="F158" i="9"/>
  <c r="AJ136" i="21" s="1"/>
  <c r="E158" i="9"/>
  <c r="AJ135" i="21" s="1"/>
  <c r="D158" i="9"/>
  <c r="AJ134" i="21" s="1"/>
  <c r="AY157" i="9"/>
  <c r="AO157" i="9" s="1"/>
  <c r="AI171" i="21" s="1"/>
  <c r="AX157" i="9"/>
  <c r="AN157" i="9" s="1"/>
  <c r="AI170" i="21" s="1"/>
  <c r="AW157" i="9"/>
  <c r="AM157" i="9" s="1"/>
  <c r="AI169" i="21" s="1"/>
  <c r="AV157" i="9"/>
  <c r="AT157" i="9"/>
  <c r="AJ157" i="9" s="1"/>
  <c r="AI166" i="21" s="1"/>
  <c r="AR157" i="9"/>
  <c r="AS157" i="9" s="1"/>
  <c r="AQ157" i="9"/>
  <c r="AU157" i="9" s="1"/>
  <c r="AK157" i="9" s="1"/>
  <c r="AI167" i="21" s="1"/>
  <c r="AL157" i="9"/>
  <c r="AI168" i="21" s="1"/>
  <c r="AI157" i="9"/>
  <c r="AI165" i="21" s="1"/>
  <c r="AG157" i="9"/>
  <c r="AI163" i="21" s="1"/>
  <c r="AF157" i="9"/>
  <c r="AI162" i="21" s="1"/>
  <c r="AE157" i="9"/>
  <c r="AI161" i="21" s="1"/>
  <c r="AD157" i="9"/>
  <c r="AI160" i="21" s="1"/>
  <c r="AC157" i="9"/>
  <c r="AI159" i="21" s="1"/>
  <c r="AB157" i="9"/>
  <c r="AI158" i="21" s="1"/>
  <c r="AA157" i="9"/>
  <c r="AI157" i="21" s="1"/>
  <c r="Z157" i="9"/>
  <c r="AI156" i="21" s="1"/>
  <c r="Y157" i="9"/>
  <c r="AI155" i="21" s="1"/>
  <c r="X157" i="9"/>
  <c r="AI154" i="21" s="1"/>
  <c r="W157" i="9"/>
  <c r="AI153" i="21" s="1"/>
  <c r="V157" i="9"/>
  <c r="AI152" i="21" s="1"/>
  <c r="U157" i="9"/>
  <c r="AI151" i="21" s="1"/>
  <c r="T157" i="9"/>
  <c r="AI150" i="21" s="1"/>
  <c r="S157" i="9"/>
  <c r="AI149" i="21" s="1"/>
  <c r="R157" i="9"/>
  <c r="AI148" i="21" s="1"/>
  <c r="Q157" i="9"/>
  <c r="AI147" i="21" s="1"/>
  <c r="P157" i="9"/>
  <c r="AI146" i="21" s="1"/>
  <c r="O157" i="9"/>
  <c r="AI145" i="21" s="1"/>
  <c r="N157" i="9"/>
  <c r="AI144" i="21" s="1"/>
  <c r="M157" i="9"/>
  <c r="AI143" i="21" s="1"/>
  <c r="L157" i="9"/>
  <c r="AI142" i="21" s="1"/>
  <c r="K157" i="9"/>
  <c r="AI141" i="21" s="1"/>
  <c r="J157" i="9"/>
  <c r="AI140" i="21" s="1"/>
  <c r="I157" i="9"/>
  <c r="AI139" i="21" s="1"/>
  <c r="H157" i="9"/>
  <c r="AI138" i="21" s="1"/>
  <c r="G157" i="9"/>
  <c r="AI137" i="21" s="1"/>
  <c r="F157" i="9"/>
  <c r="AI136" i="21" s="1"/>
  <c r="E157" i="9"/>
  <c r="AI135" i="21" s="1"/>
  <c r="D157" i="9"/>
  <c r="AI134" i="21" s="1"/>
  <c r="AY156" i="9"/>
  <c r="AO156" i="9" s="1"/>
  <c r="AH171" i="21" s="1"/>
  <c r="AX156" i="9"/>
  <c r="AW156" i="9"/>
  <c r="AM156" i="9" s="1"/>
  <c r="AH169" i="21" s="1"/>
  <c r="AT156" i="9"/>
  <c r="AQ156" i="9"/>
  <c r="AR156" i="9" s="1"/>
  <c r="AS156" i="9" s="1"/>
  <c r="AN156" i="9"/>
  <c r="AH170" i="21" s="1"/>
  <c r="AJ156" i="9"/>
  <c r="AH166" i="21" s="1"/>
  <c r="AI156" i="9"/>
  <c r="AH165" i="21" s="1"/>
  <c r="AH156" i="9"/>
  <c r="AH164" i="21" s="1"/>
  <c r="AG156" i="9"/>
  <c r="AH163" i="21" s="1"/>
  <c r="AF156" i="9"/>
  <c r="AH162" i="21" s="1"/>
  <c r="AE156" i="9"/>
  <c r="AH161" i="21" s="1"/>
  <c r="AD156" i="9"/>
  <c r="AH160" i="21" s="1"/>
  <c r="AC156" i="9"/>
  <c r="AH159" i="21" s="1"/>
  <c r="AB156" i="9"/>
  <c r="AH158" i="21" s="1"/>
  <c r="AA156" i="9"/>
  <c r="AH157" i="21" s="1"/>
  <c r="Z156" i="9"/>
  <c r="AH156" i="21" s="1"/>
  <c r="Y156" i="9"/>
  <c r="AH155" i="21" s="1"/>
  <c r="X156" i="9"/>
  <c r="AH154" i="21" s="1"/>
  <c r="W156" i="9"/>
  <c r="AH153" i="21" s="1"/>
  <c r="V156" i="9"/>
  <c r="AH152" i="21" s="1"/>
  <c r="U156" i="9"/>
  <c r="AH151" i="21" s="1"/>
  <c r="T156" i="9"/>
  <c r="AH150" i="21" s="1"/>
  <c r="S156" i="9"/>
  <c r="AH149" i="21" s="1"/>
  <c r="R156" i="9"/>
  <c r="AH148" i="21" s="1"/>
  <c r="Q156" i="9"/>
  <c r="AH147" i="21" s="1"/>
  <c r="P156" i="9"/>
  <c r="AH146" i="21" s="1"/>
  <c r="O156" i="9"/>
  <c r="AH145" i="21" s="1"/>
  <c r="N156" i="9"/>
  <c r="AH144" i="21" s="1"/>
  <c r="M156" i="9"/>
  <c r="AH143" i="21" s="1"/>
  <c r="L156" i="9"/>
  <c r="AH142" i="21" s="1"/>
  <c r="K156" i="9"/>
  <c r="AH141" i="21" s="1"/>
  <c r="J156" i="9"/>
  <c r="AH140" i="21" s="1"/>
  <c r="I156" i="9"/>
  <c r="AH139" i="21" s="1"/>
  <c r="H156" i="9"/>
  <c r="AH138" i="21" s="1"/>
  <c r="G156" i="9"/>
  <c r="AH137" i="21" s="1"/>
  <c r="F156" i="9"/>
  <c r="AH136" i="21" s="1"/>
  <c r="E156" i="9"/>
  <c r="AH135" i="21" s="1"/>
  <c r="D156" i="9"/>
  <c r="AH134" i="21" s="1"/>
  <c r="AY155" i="9"/>
  <c r="AW155" i="9"/>
  <c r="AV155" i="9"/>
  <c r="AL155" i="9" s="1"/>
  <c r="AG168" i="21" s="1"/>
  <c r="AU155" i="9"/>
  <c r="AK155" i="9" s="1"/>
  <c r="AG167" i="21" s="1"/>
  <c r="AT155" i="9"/>
  <c r="AJ155" i="9" s="1"/>
  <c r="AG166" i="21" s="1"/>
  <c r="AS155" i="9"/>
  <c r="AR155" i="9"/>
  <c r="AQ155" i="9"/>
  <c r="AX155" i="9" s="1"/>
  <c r="AN155" i="9" s="1"/>
  <c r="AG170" i="21" s="1"/>
  <c r="AO155" i="9"/>
  <c r="AG171" i="21" s="1"/>
  <c r="AM155" i="9"/>
  <c r="AG169" i="21" s="1"/>
  <c r="AG155" i="9"/>
  <c r="AG163" i="21" s="1"/>
  <c r="AF155" i="9"/>
  <c r="AG162" i="21" s="1"/>
  <c r="AE155" i="9"/>
  <c r="AG161" i="21" s="1"/>
  <c r="AD155" i="9"/>
  <c r="AG160" i="21" s="1"/>
  <c r="AC155" i="9"/>
  <c r="AG159" i="21" s="1"/>
  <c r="AB155" i="9"/>
  <c r="AG158" i="21" s="1"/>
  <c r="AA155" i="9"/>
  <c r="AG157" i="21" s="1"/>
  <c r="Z155" i="9"/>
  <c r="AG156" i="21" s="1"/>
  <c r="Y155" i="9"/>
  <c r="AG155" i="21" s="1"/>
  <c r="X155" i="9"/>
  <c r="AG154" i="21" s="1"/>
  <c r="W155" i="9"/>
  <c r="AG153" i="21" s="1"/>
  <c r="V155" i="9"/>
  <c r="AG152" i="21" s="1"/>
  <c r="U155" i="9"/>
  <c r="AG151" i="21" s="1"/>
  <c r="T155" i="9"/>
  <c r="AG150" i="21" s="1"/>
  <c r="S155" i="9"/>
  <c r="AG149" i="21" s="1"/>
  <c r="R155" i="9"/>
  <c r="AG148" i="21" s="1"/>
  <c r="Q155" i="9"/>
  <c r="AG147" i="21" s="1"/>
  <c r="P155" i="9"/>
  <c r="AG146" i="21" s="1"/>
  <c r="O155" i="9"/>
  <c r="AG145" i="21" s="1"/>
  <c r="N155" i="9"/>
  <c r="AG144" i="21" s="1"/>
  <c r="M155" i="9"/>
  <c r="AG143" i="21" s="1"/>
  <c r="L155" i="9"/>
  <c r="AG142" i="21" s="1"/>
  <c r="K155" i="9"/>
  <c r="AG141" i="21" s="1"/>
  <c r="J155" i="9"/>
  <c r="AG140" i="21" s="1"/>
  <c r="I155" i="9"/>
  <c r="AG139" i="21" s="1"/>
  <c r="H155" i="9"/>
  <c r="AG138" i="21" s="1"/>
  <c r="G155" i="9"/>
  <c r="AG137" i="21" s="1"/>
  <c r="F155" i="9"/>
  <c r="AG136" i="21" s="1"/>
  <c r="E155" i="9"/>
  <c r="AG135" i="21" s="1"/>
  <c r="D155" i="9"/>
  <c r="AG134" i="21" s="1"/>
  <c r="AY154" i="9"/>
  <c r="AO154" i="9" s="1"/>
  <c r="AF171" i="21" s="1"/>
  <c r="AX154" i="9"/>
  <c r="AN154" i="9" s="1"/>
  <c r="AF170" i="21" s="1"/>
  <c r="AW154" i="9"/>
  <c r="AV154" i="9"/>
  <c r="AU154" i="9"/>
  <c r="AK154" i="9" s="1"/>
  <c r="AF167" i="21" s="1"/>
  <c r="AT154" i="9"/>
  <c r="AI154" i="9" s="1"/>
  <c r="AF165" i="21" s="1"/>
  <c r="AS154" i="9"/>
  <c r="AR154" i="9"/>
  <c r="AQ154" i="9"/>
  <c r="AM154" i="9"/>
  <c r="AF169" i="21" s="1"/>
  <c r="AL154" i="9"/>
  <c r="AF168" i="21" s="1"/>
  <c r="AJ154" i="9"/>
  <c r="AF166" i="21" s="1"/>
  <c r="AG154" i="9"/>
  <c r="AF163" i="21" s="1"/>
  <c r="AF154" i="9"/>
  <c r="AF162" i="21" s="1"/>
  <c r="AE154" i="9"/>
  <c r="AF161" i="21" s="1"/>
  <c r="AD154" i="9"/>
  <c r="AF160" i="21" s="1"/>
  <c r="AC154" i="9"/>
  <c r="AF159" i="21" s="1"/>
  <c r="AB154" i="9"/>
  <c r="AF158" i="21" s="1"/>
  <c r="AA154" i="9"/>
  <c r="AF157" i="21" s="1"/>
  <c r="Z154" i="9"/>
  <c r="AF156" i="21" s="1"/>
  <c r="Y154" i="9"/>
  <c r="AF155" i="21" s="1"/>
  <c r="X154" i="9"/>
  <c r="AF154" i="21" s="1"/>
  <c r="W154" i="9"/>
  <c r="AF153" i="21" s="1"/>
  <c r="V154" i="9"/>
  <c r="AF152" i="21" s="1"/>
  <c r="U154" i="9"/>
  <c r="AF151" i="21" s="1"/>
  <c r="T154" i="9"/>
  <c r="AF150" i="21" s="1"/>
  <c r="S154" i="9"/>
  <c r="AF149" i="21" s="1"/>
  <c r="R154" i="9"/>
  <c r="AF148" i="21" s="1"/>
  <c r="Q154" i="9"/>
  <c r="AF147" i="21" s="1"/>
  <c r="P154" i="9"/>
  <c r="AF146" i="21" s="1"/>
  <c r="O154" i="9"/>
  <c r="AF145" i="21" s="1"/>
  <c r="N154" i="9"/>
  <c r="AF144" i="21" s="1"/>
  <c r="M154" i="9"/>
  <c r="AF143" i="21" s="1"/>
  <c r="L154" i="9"/>
  <c r="AF142" i="21" s="1"/>
  <c r="K154" i="9"/>
  <c r="AF141" i="21" s="1"/>
  <c r="J154" i="9"/>
  <c r="AF140" i="21" s="1"/>
  <c r="I154" i="9"/>
  <c r="AF139" i="21" s="1"/>
  <c r="H154" i="9"/>
  <c r="AF138" i="21" s="1"/>
  <c r="G154" i="9"/>
  <c r="AF137" i="21" s="1"/>
  <c r="F154" i="9"/>
  <c r="AF136" i="21" s="1"/>
  <c r="E154" i="9"/>
  <c r="AF135" i="21" s="1"/>
  <c r="D154" i="9"/>
  <c r="AF134" i="21" s="1"/>
  <c r="AY153" i="9"/>
  <c r="AX153" i="9"/>
  <c r="AN153" i="9" s="1"/>
  <c r="AE170" i="21" s="1"/>
  <c r="AQ153" i="9"/>
  <c r="AU153" i="9" s="1"/>
  <c r="AK153" i="9" s="1"/>
  <c r="AE167" i="21" s="1"/>
  <c r="AO153" i="9"/>
  <c r="AE171" i="21" s="1"/>
  <c r="AG153" i="9"/>
  <c r="AE163" i="21" s="1"/>
  <c r="AF153" i="9"/>
  <c r="AE162" i="21" s="1"/>
  <c r="AE153" i="9"/>
  <c r="AE161" i="21" s="1"/>
  <c r="AD153" i="9"/>
  <c r="AE160" i="21" s="1"/>
  <c r="AC153" i="9"/>
  <c r="AE159" i="21" s="1"/>
  <c r="AB153" i="9"/>
  <c r="AE158" i="21" s="1"/>
  <c r="AA153" i="9"/>
  <c r="AE157" i="21" s="1"/>
  <c r="Z153" i="9"/>
  <c r="AE156" i="21" s="1"/>
  <c r="Y153" i="9"/>
  <c r="AE155" i="21" s="1"/>
  <c r="X153" i="9"/>
  <c r="AE154" i="21" s="1"/>
  <c r="W153" i="9"/>
  <c r="AE153" i="21" s="1"/>
  <c r="V153" i="9"/>
  <c r="AE152" i="21" s="1"/>
  <c r="U153" i="9"/>
  <c r="AE151" i="21" s="1"/>
  <c r="T153" i="9"/>
  <c r="AE150" i="21" s="1"/>
  <c r="S153" i="9"/>
  <c r="AE149" i="21" s="1"/>
  <c r="R153" i="9"/>
  <c r="AE148" i="21" s="1"/>
  <c r="Q153" i="9"/>
  <c r="AE147" i="21" s="1"/>
  <c r="P153" i="9"/>
  <c r="AE146" i="21" s="1"/>
  <c r="O153" i="9"/>
  <c r="AE145" i="21" s="1"/>
  <c r="N153" i="9"/>
  <c r="AE144" i="21" s="1"/>
  <c r="M153" i="9"/>
  <c r="AE143" i="21" s="1"/>
  <c r="L153" i="9"/>
  <c r="AE142" i="21" s="1"/>
  <c r="K153" i="9"/>
  <c r="AE141" i="21" s="1"/>
  <c r="J153" i="9"/>
  <c r="AE140" i="21" s="1"/>
  <c r="I153" i="9"/>
  <c r="AE139" i="21" s="1"/>
  <c r="H153" i="9"/>
  <c r="AE138" i="21" s="1"/>
  <c r="G153" i="9"/>
  <c r="AE137" i="21" s="1"/>
  <c r="F153" i="9"/>
  <c r="AE136" i="21" s="1"/>
  <c r="E153" i="9"/>
  <c r="AE135" i="21" s="1"/>
  <c r="D153" i="9"/>
  <c r="AE134" i="21" s="1"/>
  <c r="AU152" i="9"/>
  <c r="AK152" i="9" s="1"/>
  <c r="AD167" i="21" s="1"/>
  <c r="AQ152" i="9"/>
  <c r="AY152" i="9" s="1"/>
  <c r="AO152" i="9" s="1"/>
  <c r="AD171" i="21" s="1"/>
  <c r="AG152" i="9"/>
  <c r="AD163" i="21" s="1"/>
  <c r="AF152" i="9"/>
  <c r="AD162" i="21" s="1"/>
  <c r="AE152" i="9"/>
  <c r="AD161" i="21" s="1"/>
  <c r="AD152" i="9"/>
  <c r="AD160" i="21" s="1"/>
  <c r="AC152" i="9"/>
  <c r="AD159" i="21" s="1"/>
  <c r="AB152" i="9"/>
  <c r="AD158" i="21" s="1"/>
  <c r="AA152" i="9"/>
  <c r="AD157" i="21" s="1"/>
  <c r="Z152" i="9"/>
  <c r="AD156" i="21" s="1"/>
  <c r="Y152" i="9"/>
  <c r="AD155" i="21" s="1"/>
  <c r="X152" i="9"/>
  <c r="AD154" i="21" s="1"/>
  <c r="W152" i="9"/>
  <c r="AD153" i="21" s="1"/>
  <c r="V152" i="9"/>
  <c r="AD152" i="21" s="1"/>
  <c r="U152" i="9"/>
  <c r="AD151" i="21" s="1"/>
  <c r="T152" i="9"/>
  <c r="AD150" i="21" s="1"/>
  <c r="S152" i="9"/>
  <c r="AD149" i="21" s="1"/>
  <c r="R152" i="9"/>
  <c r="AD148" i="21" s="1"/>
  <c r="Q152" i="9"/>
  <c r="AD147" i="21" s="1"/>
  <c r="P152" i="9"/>
  <c r="AD146" i="21" s="1"/>
  <c r="O152" i="9"/>
  <c r="AD145" i="21" s="1"/>
  <c r="N152" i="9"/>
  <c r="AD144" i="21" s="1"/>
  <c r="M152" i="9"/>
  <c r="AD143" i="21" s="1"/>
  <c r="L152" i="9"/>
  <c r="AD142" i="21" s="1"/>
  <c r="K152" i="9"/>
  <c r="AD141" i="21" s="1"/>
  <c r="J152" i="9"/>
  <c r="AD140" i="21" s="1"/>
  <c r="I152" i="9"/>
  <c r="AD139" i="21" s="1"/>
  <c r="H152" i="9"/>
  <c r="AD138" i="21" s="1"/>
  <c r="G152" i="9"/>
  <c r="AD137" i="21" s="1"/>
  <c r="F152" i="9"/>
  <c r="AD136" i="21" s="1"/>
  <c r="E152" i="9"/>
  <c r="AD135" i="21" s="1"/>
  <c r="D152" i="9"/>
  <c r="AD134" i="21" s="1"/>
  <c r="AY151" i="9"/>
  <c r="AO151" i="9" s="1"/>
  <c r="AC171" i="21" s="1"/>
  <c r="AV151" i="9"/>
  <c r="AL151" i="9" s="1"/>
  <c r="AC168" i="21" s="1"/>
  <c r="AU151" i="9"/>
  <c r="AT151" i="9"/>
  <c r="AJ151" i="9" s="1"/>
  <c r="AC166" i="21" s="1"/>
  <c r="AQ151" i="9"/>
  <c r="AX151" i="9" s="1"/>
  <c r="AN151" i="9" s="1"/>
  <c r="AC170" i="21" s="1"/>
  <c r="AK151" i="9"/>
  <c r="AC167" i="21" s="1"/>
  <c r="AG151" i="9"/>
  <c r="AC163" i="21" s="1"/>
  <c r="AF151" i="9"/>
  <c r="AC162" i="21" s="1"/>
  <c r="AE151" i="9"/>
  <c r="AC161" i="21" s="1"/>
  <c r="AD151" i="9"/>
  <c r="AC160" i="21" s="1"/>
  <c r="AC151" i="9"/>
  <c r="AC159" i="21" s="1"/>
  <c r="AB151" i="9"/>
  <c r="AC158" i="21" s="1"/>
  <c r="AA151" i="9"/>
  <c r="AC157" i="21" s="1"/>
  <c r="Z151" i="9"/>
  <c r="AC156" i="21" s="1"/>
  <c r="Y151" i="9"/>
  <c r="AC155" i="21" s="1"/>
  <c r="X151" i="9"/>
  <c r="AC154" i="21" s="1"/>
  <c r="W151" i="9"/>
  <c r="AC153" i="21" s="1"/>
  <c r="V151" i="9"/>
  <c r="AC152" i="21" s="1"/>
  <c r="U151" i="9"/>
  <c r="AC151" i="21" s="1"/>
  <c r="T151" i="9"/>
  <c r="AC150" i="21" s="1"/>
  <c r="S151" i="9"/>
  <c r="AC149" i="21" s="1"/>
  <c r="R151" i="9"/>
  <c r="AC148" i="21" s="1"/>
  <c r="Q151" i="9"/>
  <c r="AC147" i="21" s="1"/>
  <c r="P151" i="9"/>
  <c r="AC146" i="21" s="1"/>
  <c r="O151" i="9"/>
  <c r="AC145" i="21" s="1"/>
  <c r="N151" i="9"/>
  <c r="AC144" i="21" s="1"/>
  <c r="M151" i="9"/>
  <c r="AC143" i="21" s="1"/>
  <c r="L151" i="9"/>
  <c r="AC142" i="21" s="1"/>
  <c r="K151" i="9"/>
  <c r="AC141" i="21" s="1"/>
  <c r="J151" i="9"/>
  <c r="AC140" i="21" s="1"/>
  <c r="I151" i="9"/>
  <c r="AC139" i="21" s="1"/>
  <c r="H151" i="9"/>
  <c r="AC138" i="21" s="1"/>
  <c r="G151" i="9"/>
  <c r="AC137" i="21" s="1"/>
  <c r="F151" i="9"/>
  <c r="AC136" i="21" s="1"/>
  <c r="E151" i="9"/>
  <c r="AC135" i="21" s="1"/>
  <c r="D151" i="9"/>
  <c r="AC134" i="21" s="1"/>
  <c r="AQ150" i="9"/>
  <c r="AG150" i="9"/>
  <c r="AB163" i="21" s="1"/>
  <c r="AF150" i="9"/>
  <c r="AB162" i="21" s="1"/>
  <c r="AE150" i="9"/>
  <c r="AB161" i="21" s="1"/>
  <c r="AD150" i="9"/>
  <c r="AB160" i="21" s="1"/>
  <c r="AC150" i="9"/>
  <c r="AB159" i="21" s="1"/>
  <c r="AB150" i="9"/>
  <c r="AB158" i="21" s="1"/>
  <c r="AA150" i="9"/>
  <c r="AB157" i="21" s="1"/>
  <c r="Z150" i="9"/>
  <c r="AB156" i="21" s="1"/>
  <c r="Y150" i="9"/>
  <c r="AB155" i="21" s="1"/>
  <c r="X150" i="9"/>
  <c r="AB154" i="21" s="1"/>
  <c r="W150" i="9"/>
  <c r="AB153" i="21" s="1"/>
  <c r="V150" i="9"/>
  <c r="AB152" i="21" s="1"/>
  <c r="U150" i="9"/>
  <c r="AB151" i="21" s="1"/>
  <c r="T150" i="9"/>
  <c r="AB150" i="21" s="1"/>
  <c r="S150" i="9"/>
  <c r="AB149" i="21" s="1"/>
  <c r="R150" i="9"/>
  <c r="AB148" i="21" s="1"/>
  <c r="Q150" i="9"/>
  <c r="AB147" i="21" s="1"/>
  <c r="P150" i="9"/>
  <c r="AB146" i="21" s="1"/>
  <c r="O150" i="9"/>
  <c r="AB145" i="21" s="1"/>
  <c r="N150" i="9"/>
  <c r="AB144" i="21" s="1"/>
  <c r="M150" i="9"/>
  <c r="AB143" i="21" s="1"/>
  <c r="L150" i="9"/>
  <c r="AB142" i="21" s="1"/>
  <c r="K150" i="9"/>
  <c r="AB141" i="21" s="1"/>
  <c r="J150" i="9"/>
  <c r="AB140" i="21" s="1"/>
  <c r="I150" i="9"/>
  <c r="AB139" i="21" s="1"/>
  <c r="H150" i="9"/>
  <c r="AB138" i="21" s="1"/>
  <c r="G150" i="9"/>
  <c r="AB137" i="21" s="1"/>
  <c r="F150" i="9"/>
  <c r="AB136" i="21" s="1"/>
  <c r="E150" i="9"/>
  <c r="AB135" i="21" s="1"/>
  <c r="D150" i="9"/>
  <c r="AB134" i="21" s="1"/>
  <c r="AV149" i="9"/>
  <c r="AL149" i="9" s="1"/>
  <c r="AA168" i="21" s="1"/>
  <c r="AR149" i="9"/>
  <c r="AS149" i="9" s="1"/>
  <c r="AQ149" i="9"/>
  <c r="AY149" i="9" s="1"/>
  <c r="AO149" i="9" s="1"/>
  <c r="AA171" i="21" s="1"/>
  <c r="AG149" i="9"/>
  <c r="AA163" i="21" s="1"/>
  <c r="AF149" i="9"/>
  <c r="AA162" i="21" s="1"/>
  <c r="AE149" i="9"/>
  <c r="AA161" i="21" s="1"/>
  <c r="AD149" i="9"/>
  <c r="AA160" i="21" s="1"/>
  <c r="AC149" i="9"/>
  <c r="AA159" i="21" s="1"/>
  <c r="AB149" i="9"/>
  <c r="AA158" i="21" s="1"/>
  <c r="AA149" i="9"/>
  <c r="AA157" i="21" s="1"/>
  <c r="Z149" i="9"/>
  <c r="AA156" i="21" s="1"/>
  <c r="Y149" i="9"/>
  <c r="AA155" i="21" s="1"/>
  <c r="X149" i="9"/>
  <c r="AA154" i="21" s="1"/>
  <c r="W149" i="9"/>
  <c r="AA153" i="21" s="1"/>
  <c r="V149" i="9"/>
  <c r="AA152" i="21" s="1"/>
  <c r="U149" i="9"/>
  <c r="AA151" i="21" s="1"/>
  <c r="T149" i="9"/>
  <c r="AA150" i="21" s="1"/>
  <c r="S149" i="9"/>
  <c r="AA149" i="21" s="1"/>
  <c r="R149" i="9"/>
  <c r="AA148" i="21" s="1"/>
  <c r="Q149" i="9"/>
  <c r="AA147" i="21" s="1"/>
  <c r="P149" i="9"/>
  <c r="AA146" i="21" s="1"/>
  <c r="O149" i="9"/>
  <c r="AA145" i="21" s="1"/>
  <c r="N149" i="9"/>
  <c r="AA144" i="21" s="1"/>
  <c r="M149" i="9"/>
  <c r="AA143" i="21" s="1"/>
  <c r="L149" i="9"/>
  <c r="AA142" i="21" s="1"/>
  <c r="K149" i="9"/>
  <c r="AA141" i="21" s="1"/>
  <c r="J149" i="9"/>
  <c r="AA140" i="21" s="1"/>
  <c r="I149" i="9"/>
  <c r="AA139" i="21" s="1"/>
  <c r="H149" i="9"/>
  <c r="AA138" i="21" s="1"/>
  <c r="G149" i="9"/>
  <c r="AA137" i="21" s="1"/>
  <c r="F149" i="9"/>
  <c r="AA136" i="21" s="1"/>
  <c r="E149" i="9"/>
  <c r="AA135" i="21" s="1"/>
  <c r="D149" i="9"/>
  <c r="AA134" i="21" s="1"/>
  <c r="AY148" i="9"/>
  <c r="AX148" i="9"/>
  <c r="AW148" i="9"/>
  <c r="AM148" i="9" s="1"/>
  <c r="Z169" i="21" s="1"/>
  <c r="AV148" i="9"/>
  <c r="AU148" i="9"/>
  <c r="AK148" i="9" s="1"/>
  <c r="Z167" i="21" s="1"/>
  <c r="AR148" i="9"/>
  <c r="AS148" i="9" s="1"/>
  <c r="AQ148" i="9"/>
  <c r="AT148" i="9" s="1"/>
  <c r="AO148" i="9"/>
  <c r="Z171" i="21" s="1"/>
  <c r="AN148" i="9"/>
  <c r="Z170" i="21" s="1"/>
  <c r="AL148" i="9"/>
  <c r="Z168" i="21" s="1"/>
  <c r="AG148" i="9"/>
  <c r="Z163" i="21" s="1"/>
  <c r="AF148" i="9"/>
  <c r="Z162" i="21" s="1"/>
  <c r="AE148" i="9"/>
  <c r="Z161" i="21" s="1"/>
  <c r="AD148" i="9"/>
  <c r="Z160" i="21" s="1"/>
  <c r="AC148" i="9"/>
  <c r="Z159" i="21" s="1"/>
  <c r="AB148" i="9"/>
  <c r="Z158" i="21" s="1"/>
  <c r="AA148" i="9"/>
  <c r="Z157" i="21" s="1"/>
  <c r="Z148" i="9"/>
  <c r="Z156" i="21" s="1"/>
  <c r="Y148" i="9"/>
  <c r="Z155" i="21" s="1"/>
  <c r="X148" i="9"/>
  <c r="Z154" i="21" s="1"/>
  <c r="W148" i="9"/>
  <c r="Z153" i="21" s="1"/>
  <c r="V148" i="9"/>
  <c r="Z152" i="21" s="1"/>
  <c r="U148" i="9"/>
  <c r="Z151" i="21" s="1"/>
  <c r="T148" i="9"/>
  <c r="Z150" i="21" s="1"/>
  <c r="S148" i="9"/>
  <c r="Z149" i="21" s="1"/>
  <c r="R148" i="9"/>
  <c r="Z148" i="21" s="1"/>
  <c r="Q148" i="9"/>
  <c r="Z147" i="21" s="1"/>
  <c r="P148" i="9"/>
  <c r="Z146" i="21" s="1"/>
  <c r="O148" i="9"/>
  <c r="Z145" i="21" s="1"/>
  <c r="N148" i="9"/>
  <c r="Z144" i="21" s="1"/>
  <c r="M148" i="9"/>
  <c r="Z143" i="21" s="1"/>
  <c r="L148" i="9"/>
  <c r="Z142" i="21" s="1"/>
  <c r="K148" i="9"/>
  <c r="Z141" i="21" s="1"/>
  <c r="J148" i="9"/>
  <c r="Z140" i="21" s="1"/>
  <c r="I148" i="9"/>
  <c r="Z139" i="21" s="1"/>
  <c r="H148" i="9"/>
  <c r="Z138" i="21" s="1"/>
  <c r="G148" i="9"/>
  <c r="Z137" i="21" s="1"/>
  <c r="F148" i="9"/>
  <c r="Z136" i="21" s="1"/>
  <c r="E148" i="9"/>
  <c r="Z135" i="21" s="1"/>
  <c r="D148" i="9"/>
  <c r="Z134" i="21" s="1"/>
  <c r="AR147" i="9"/>
  <c r="AS147" i="9" s="1"/>
  <c r="AQ147" i="9"/>
  <c r="AW147" i="9" s="1"/>
  <c r="AM147" i="9" s="1"/>
  <c r="Y169" i="21" s="1"/>
  <c r="AG147" i="9"/>
  <c r="Y163" i="21" s="1"/>
  <c r="AF147" i="9"/>
  <c r="Y162" i="21" s="1"/>
  <c r="AE147" i="9"/>
  <c r="Y161" i="21" s="1"/>
  <c r="AD147" i="9"/>
  <c r="Y160" i="21" s="1"/>
  <c r="AC147" i="9"/>
  <c r="Y159" i="21" s="1"/>
  <c r="AB147" i="9"/>
  <c r="Y158" i="21" s="1"/>
  <c r="AA147" i="9"/>
  <c r="Y157" i="21" s="1"/>
  <c r="Z147" i="9"/>
  <c r="Y156" i="21" s="1"/>
  <c r="Y147" i="9"/>
  <c r="Y155" i="21" s="1"/>
  <c r="X147" i="9"/>
  <c r="Y154" i="21" s="1"/>
  <c r="W147" i="9"/>
  <c r="Y153" i="21" s="1"/>
  <c r="V147" i="9"/>
  <c r="Y152" i="21" s="1"/>
  <c r="U147" i="9"/>
  <c r="Y151" i="21" s="1"/>
  <c r="T147" i="9"/>
  <c r="Y150" i="21" s="1"/>
  <c r="S147" i="9"/>
  <c r="Y149" i="21" s="1"/>
  <c r="R147" i="9"/>
  <c r="Y148" i="21" s="1"/>
  <c r="Q147" i="9"/>
  <c r="Y147" i="21" s="1"/>
  <c r="P147" i="9"/>
  <c r="Y146" i="21" s="1"/>
  <c r="O147" i="9"/>
  <c r="Y145" i="21" s="1"/>
  <c r="N147" i="9"/>
  <c r="Y144" i="21" s="1"/>
  <c r="M147" i="9"/>
  <c r="Y143" i="21" s="1"/>
  <c r="L147" i="9"/>
  <c r="Y142" i="21" s="1"/>
  <c r="K147" i="9"/>
  <c r="Y141" i="21" s="1"/>
  <c r="J147" i="9"/>
  <c r="Y140" i="21" s="1"/>
  <c r="I147" i="9"/>
  <c r="Y139" i="21" s="1"/>
  <c r="H147" i="9"/>
  <c r="Y138" i="21" s="1"/>
  <c r="G147" i="9"/>
  <c r="Y137" i="21" s="1"/>
  <c r="F147" i="9"/>
  <c r="Y136" i="21" s="1"/>
  <c r="E147" i="9"/>
  <c r="Y135" i="21" s="1"/>
  <c r="D147" i="9"/>
  <c r="Y134" i="21" s="1"/>
  <c r="AW146" i="9"/>
  <c r="AM146" i="9" s="1"/>
  <c r="X169" i="21" s="1"/>
  <c r="AQ146" i="9"/>
  <c r="AY146" i="9" s="1"/>
  <c r="AO146" i="9" s="1"/>
  <c r="X171" i="21" s="1"/>
  <c r="AG146" i="9"/>
  <c r="X163" i="21" s="1"/>
  <c r="AF146" i="9"/>
  <c r="X162" i="21" s="1"/>
  <c r="AE146" i="9"/>
  <c r="X161" i="21" s="1"/>
  <c r="AD146" i="9"/>
  <c r="X160" i="21" s="1"/>
  <c r="AC146" i="9"/>
  <c r="X159" i="21" s="1"/>
  <c r="AB146" i="9"/>
  <c r="X158" i="21" s="1"/>
  <c r="AA146" i="9"/>
  <c r="X157" i="21" s="1"/>
  <c r="Z146" i="9"/>
  <c r="X156" i="21" s="1"/>
  <c r="Y146" i="9"/>
  <c r="X155" i="21" s="1"/>
  <c r="X146" i="9"/>
  <c r="X154" i="21" s="1"/>
  <c r="W146" i="9"/>
  <c r="X153" i="21" s="1"/>
  <c r="V146" i="9"/>
  <c r="X152" i="21" s="1"/>
  <c r="U146" i="9"/>
  <c r="X151" i="21" s="1"/>
  <c r="T146" i="9"/>
  <c r="X150" i="21" s="1"/>
  <c r="S146" i="9"/>
  <c r="X149" i="21" s="1"/>
  <c r="R146" i="9"/>
  <c r="X148" i="21" s="1"/>
  <c r="Q146" i="9"/>
  <c r="X147" i="21" s="1"/>
  <c r="P146" i="9"/>
  <c r="X146" i="21" s="1"/>
  <c r="O146" i="9"/>
  <c r="X145" i="21" s="1"/>
  <c r="N146" i="9"/>
  <c r="X144" i="21" s="1"/>
  <c r="M146" i="9"/>
  <c r="X143" i="21" s="1"/>
  <c r="L146" i="9"/>
  <c r="X142" i="21" s="1"/>
  <c r="K146" i="9"/>
  <c r="X141" i="21" s="1"/>
  <c r="J146" i="9"/>
  <c r="X140" i="21" s="1"/>
  <c r="I146" i="9"/>
  <c r="X139" i="21" s="1"/>
  <c r="H146" i="9"/>
  <c r="X138" i="21" s="1"/>
  <c r="G146" i="9"/>
  <c r="X137" i="21" s="1"/>
  <c r="F146" i="9"/>
  <c r="X136" i="21" s="1"/>
  <c r="E146" i="9"/>
  <c r="X135" i="21" s="1"/>
  <c r="D146" i="9"/>
  <c r="X134" i="21" s="1"/>
  <c r="AX145" i="9"/>
  <c r="AN145" i="9" s="1"/>
  <c r="W170" i="21" s="1"/>
  <c r="AW145" i="9"/>
  <c r="AV145" i="9"/>
  <c r="AL145" i="9" s="1"/>
  <c r="W168" i="21" s="1"/>
  <c r="AQ145" i="9"/>
  <c r="AR145" i="9" s="1"/>
  <c r="AS145" i="9" s="1"/>
  <c r="AM145" i="9"/>
  <c r="W169" i="21" s="1"/>
  <c r="AG145" i="9"/>
  <c r="W163" i="21" s="1"/>
  <c r="AF145" i="9"/>
  <c r="W162" i="21" s="1"/>
  <c r="AE145" i="9"/>
  <c r="W161" i="21" s="1"/>
  <c r="AD145" i="9"/>
  <c r="W160" i="21" s="1"/>
  <c r="AC145" i="9"/>
  <c r="W159" i="21" s="1"/>
  <c r="AB145" i="9"/>
  <c r="W158" i="21" s="1"/>
  <c r="AA145" i="9"/>
  <c r="W157" i="21" s="1"/>
  <c r="Z145" i="9"/>
  <c r="W156" i="21" s="1"/>
  <c r="Y145" i="9"/>
  <c r="W155" i="21" s="1"/>
  <c r="X145" i="9"/>
  <c r="W154" i="21" s="1"/>
  <c r="W145" i="9"/>
  <c r="W153" i="21" s="1"/>
  <c r="V145" i="9"/>
  <c r="W152" i="21" s="1"/>
  <c r="U145" i="9"/>
  <c r="W151" i="21" s="1"/>
  <c r="T145" i="9"/>
  <c r="W150" i="21" s="1"/>
  <c r="S145" i="9"/>
  <c r="W149" i="21" s="1"/>
  <c r="R145" i="9"/>
  <c r="W148" i="21" s="1"/>
  <c r="Q145" i="9"/>
  <c r="W147" i="21" s="1"/>
  <c r="P145" i="9"/>
  <c r="W146" i="21" s="1"/>
  <c r="O145" i="9"/>
  <c r="W145" i="21" s="1"/>
  <c r="N145" i="9"/>
  <c r="W144" i="21" s="1"/>
  <c r="M145" i="9"/>
  <c r="W143" i="21" s="1"/>
  <c r="L145" i="9"/>
  <c r="W142" i="21" s="1"/>
  <c r="K145" i="9"/>
  <c r="W141" i="21" s="1"/>
  <c r="J145" i="9"/>
  <c r="W140" i="21" s="1"/>
  <c r="I145" i="9"/>
  <c r="W139" i="21" s="1"/>
  <c r="H145" i="9"/>
  <c r="W138" i="21" s="1"/>
  <c r="G145" i="9"/>
  <c r="W137" i="21" s="1"/>
  <c r="F145" i="9"/>
  <c r="W136" i="21" s="1"/>
  <c r="E145" i="9"/>
  <c r="W135" i="21" s="1"/>
  <c r="D145" i="9"/>
  <c r="W134" i="21" s="1"/>
  <c r="AX144" i="9"/>
  <c r="AV144" i="9"/>
  <c r="AU144" i="9"/>
  <c r="AK144" i="9" s="1"/>
  <c r="V167" i="21" s="1"/>
  <c r="AT144" i="9"/>
  <c r="AI144" i="9" s="1"/>
  <c r="V165" i="21" s="1"/>
  <c r="AS144" i="9"/>
  <c r="AR144" i="9"/>
  <c r="AQ144" i="9"/>
  <c r="AW144" i="9" s="1"/>
  <c r="AM144" i="9" s="1"/>
  <c r="V169" i="21" s="1"/>
  <c r="AN144" i="9"/>
  <c r="V170" i="21" s="1"/>
  <c r="AL144" i="9"/>
  <c r="V168" i="21" s="1"/>
  <c r="AG144" i="9"/>
  <c r="V163" i="21" s="1"/>
  <c r="AF144" i="9"/>
  <c r="V162" i="21" s="1"/>
  <c r="AE144" i="9"/>
  <c r="V161" i="21" s="1"/>
  <c r="AD144" i="9"/>
  <c r="V160" i="21" s="1"/>
  <c r="AC144" i="9"/>
  <c r="V159" i="21" s="1"/>
  <c r="AB144" i="9"/>
  <c r="V158" i="21" s="1"/>
  <c r="AA144" i="9"/>
  <c r="V157" i="21" s="1"/>
  <c r="Z144" i="9"/>
  <c r="V156" i="21" s="1"/>
  <c r="Y144" i="9"/>
  <c r="V155" i="21" s="1"/>
  <c r="X144" i="9"/>
  <c r="V154" i="21" s="1"/>
  <c r="W144" i="9"/>
  <c r="V153" i="21" s="1"/>
  <c r="V144" i="9"/>
  <c r="V152" i="21" s="1"/>
  <c r="U144" i="9"/>
  <c r="V151" i="21" s="1"/>
  <c r="T144" i="9"/>
  <c r="V150" i="21" s="1"/>
  <c r="S144" i="9"/>
  <c r="V149" i="21" s="1"/>
  <c r="R144" i="9"/>
  <c r="V148" i="21" s="1"/>
  <c r="Q144" i="9"/>
  <c r="V147" i="21" s="1"/>
  <c r="P144" i="9"/>
  <c r="V146" i="21" s="1"/>
  <c r="O144" i="9"/>
  <c r="V145" i="21" s="1"/>
  <c r="N144" i="9"/>
  <c r="V144" i="21" s="1"/>
  <c r="M144" i="9"/>
  <c r="V143" i="21" s="1"/>
  <c r="L144" i="9"/>
  <c r="V142" i="21" s="1"/>
  <c r="K144" i="9"/>
  <c r="V141" i="21" s="1"/>
  <c r="J144" i="9"/>
  <c r="V140" i="21" s="1"/>
  <c r="I144" i="9"/>
  <c r="V139" i="21" s="1"/>
  <c r="H144" i="9"/>
  <c r="V138" i="21" s="1"/>
  <c r="G144" i="9"/>
  <c r="V137" i="21" s="1"/>
  <c r="F144" i="9"/>
  <c r="V136" i="21" s="1"/>
  <c r="E144" i="9"/>
  <c r="V135" i="21" s="1"/>
  <c r="D144" i="9"/>
  <c r="V134" i="21" s="1"/>
  <c r="AY143" i="9"/>
  <c r="AO143" i="9" s="1"/>
  <c r="U171" i="21" s="1"/>
  <c r="AX143" i="9"/>
  <c r="AN143" i="9" s="1"/>
  <c r="U170" i="21" s="1"/>
  <c r="AW143" i="9"/>
  <c r="AM143" i="9" s="1"/>
  <c r="U169" i="21" s="1"/>
  <c r="AV143" i="9"/>
  <c r="AU143" i="9"/>
  <c r="AT143" i="9"/>
  <c r="AJ143" i="9" s="1"/>
  <c r="U166" i="21" s="1"/>
  <c r="AR143" i="9"/>
  <c r="AS143" i="9" s="1"/>
  <c r="AQ143" i="9"/>
  <c r="AL143" i="9"/>
  <c r="U168" i="21" s="1"/>
  <c r="AK143" i="9"/>
  <c r="U167" i="21" s="1"/>
  <c r="AI143" i="9"/>
  <c r="U165" i="21" s="1"/>
  <c r="AG143" i="9"/>
  <c r="U163" i="21" s="1"/>
  <c r="AF143" i="9"/>
  <c r="U162" i="21" s="1"/>
  <c r="AE143" i="9"/>
  <c r="U161" i="21" s="1"/>
  <c r="AD143" i="9"/>
  <c r="U160" i="21" s="1"/>
  <c r="AC143" i="9"/>
  <c r="U159" i="21" s="1"/>
  <c r="AB143" i="9"/>
  <c r="U158" i="21" s="1"/>
  <c r="AA143" i="9"/>
  <c r="U157" i="21" s="1"/>
  <c r="Z143" i="9"/>
  <c r="U156" i="21" s="1"/>
  <c r="Y143" i="9"/>
  <c r="U155" i="21" s="1"/>
  <c r="X143" i="9"/>
  <c r="U154" i="21" s="1"/>
  <c r="W143" i="9"/>
  <c r="U153" i="21" s="1"/>
  <c r="V143" i="9"/>
  <c r="U152" i="21" s="1"/>
  <c r="U143" i="9"/>
  <c r="U151" i="21" s="1"/>
  <c r="T143" i="9"/>
  <c r="U150" i="21" s="1"/>
  <c r="S143" i="9"/>
  <c r="U149" i="21" s="1"/>
  <c r="R143" i="9"/>
  <c r="U148" i="21" s="1"/>
  <c r="Q143" i="9"/>
  <c r="U147" i="21" s="1"/>
  <c r="P143" i="9"/>
  <c r="U146" i="21" s="1"/>
  <c r="O143" i="9"/>
  <c r="U145" i="21" s="1"/>
  <c r="N143" i="9"/>
  <c r="U144" i="21" s="1"/>
  <c r="M143" i="9"/>
  <c r="U143" i="21" s="1"/>
  <c r="L143" i="9"/>
  <c r="U142" i="21" s="1"/>
  <c r="K143" i="9"/>
  <c r="U141" i="21" s="1"/>
  <c r="J143" i="9"/>
  <c r="U140" i="21" s="1"/>
  <c r="I143" i="9"/>
  <c r="U139" i="21" s="1"/>
  <c r="H143" i="9"/>
  <c r="U138" i="21" s="1"/>
  <c r="G143" i="9"/>
  <c r="U137" i="21" s="1"/>
  <c r="F143" i="9"/>
  <c r="U136" i="21" s="1"/>
  <c r="E143" i="9"/>
  <c r="U135" i="21" s="1"/>
  <c r="D143" i="9"/>
  <c r="U134" i="21" s="1"/>
  <c r="AY142" i="9"/>
  <c r="AO142" i="9" s="1"/>
  <c r="T171" i="21" s="1"/>
  <c r="AX142" i="9"/>
  <c r="AW142" i="9"/>
  <c r="AM142" i="9" s="1"/>
  <c r="T169" i="21" s="1"/>
  <c r="AT142" i="9"/>
  <c r="AQ142" i="9"/>
  <c r="AR142" i="9" s="1"/>
  <c r="AS142" i="9" s="1"/>
  <c r="AN142" i="9"/>
  <c r="T170" i="21" s="1"/>
  <c r="AJ142" i="9"/>
  <c r="T166" i="21" s="1"/>
  <c r="AI142" i="9"/>
  <c r="T165" i="21" s="1"/>
  <c r="AH142" i="9"/>
  <c r="T164" i="21" s="1"/>
  <c r="AG142" i="9"/>
  <c r="T163" i="21" s="1"/>
  <c r="AF142" i="9"/>
  <c r="T162" i="21" s="1"/>
  <c r="AE142" i="9"/>
  <c r="T161" i="21" s="1"/>
  <c r="AD142" i="9"/>
  <c r="T160" i="21" s="1"/>
  <c r="AC142" i="9"/>
  <c r="T159" i="21" s="1"/>
  <c r="AB142" i="9"/>
  <c r="T158" i="21" s="1"/>
  <c r="AA142" i="9"/>
  <c r="T157" i="21" s="1"/>
  <c r="Z142" i="9"/>
  <c r="T156" i="21" s="1"/>
  <c r="Y142" i="9"/>
  <c r="T155" i="21" s="1"/>
  <c r="X142" i="9"/>
  <c r="T154" i="21" s="1"/>
  <c r="W142" i="9"/>
  <c r="T153" i="21" s="1"/>
  <c r="V142" i="9"/>
  <c r="T152" i="21" s="1"/>
  <c r="U142" i="9"/>
  <c r="T151" i="21" s="1"/>
  <c r="T142" i="9"/>
  <c r="T150" i="21" s="1"/>
  <c r="S142" i="9"/>
  <c r="T149" i="21" s="1"/>
  <c r="R142" i="9"/>
  <c r="T148" i="21" s="1"/>
  <c r="Q142" i="9"/>
  <c r="T147" i="21" s="1"/>
  <c r="P142" i="9"/>
  <c r="T146" i="21" s="1"/>
  <c r="O142" i="9"/>
  <c r="T145" i="21" s="1"/>
  <c r="N142" i="9"/>
  <c r="T144" i="21" s="1"/>
  <c r="M142" i="9"/>
  <c r="T143" i="21" s="1"/>
  <c r="L142" i="9"/>
  <c r="T142" i="21" s="1"/>
  <c r="K142" i="9"/>
  <c r="T141" i="21" s="1"/>
  <c r="J142" i="9"/>
  <c r="T140" i="21" s="1"/>
  <c r="I142" i="9"/>
  <c r="T139" i="21" s="1"/>
  <c r="H142" i="9"/>
  <c r="T138" i="21" s="1"/>
  <c r="G142" i="9"/>
  <c r="T137" i="21" s="1"/>
  <c r="F142" i="9"/>
  <c r="T136" i="21" s="1"/>
  <c r="E142" i="9"/>
  <c r="T135" i="21" s="1"/>
  <c r="D142" i="9"/>
  <c r="T134" i="21" s="1"/>
  <c r="AY141" i="9"/>
  <c r="AW141" i="9"/>
  <c r="AV141" i="9"/>
  <c r="AL141" i="9" s="1"/>
  <c r="S168" i="21" s="1"/>
  <c r="AU141" i="9"/>
  <c r="AK141" i="9" s="1"/>
  <c r="S167" i="21" s="1"/>
  <c r="AT141" i="9"/>
  <c r="AS141" i="9"/>
  <c r="AR141" i="9"/>
  <c r="AQ141" i="9"/>
  <c r="AX141" i="9" s="1"/>
  <c r="AN141" i="9" s="1"/>
  <c r="S170" i="21" s="1"/>
  <c r="AO141" i="9"/>
  <c r="S171" i="21" s="1"/>
  <c r="AM141" i="9"/>
  <c r="S169" i="21" s="1"/>
  <c r="AG141" i="9"/>
  <c r="S163" i="21" s="1"/>
  <c r="AF141" i="9"/>
  <c r="S162" i="21" s="1"/>
  <c r="AE141" i="9"/>
  <c r="S161" i="21" s="1"/>
  <c r="AD141" i="9"/>
  <c r="S160" i="21" s="1"/>
  <c r="AC141" i="9"/>
  <c r="S159" i="21" s="1"/>
  <c r="AB141" i="9"/>
  <c r="S158" i="21" s="1"/>
  <c r="AA141" i="9"/>
  <c r="S157" i="21" s="1"/>
  <c r="Z141" i="9"/>
  <c r="S156" i="21" s="1"/>
  <c r="Y141" i="9"/>
  <c r="S155" i="21" s="1"/>
  <c r="X141" i="9"/>
  <c r="S154" i="21" s="1"/>
  <c r="W141" i="9"/>
  <c r="S153" i="21" s="1"/>
  <c r="V141" i="9"/>
  <c r="S152" i="21" s="1"/>
  <c r="U141" i="9"/>
  <c r="S151" i="21" s="1"/>
  <c r="T141" i="9"/>
  <c r="S150" i="21" s="1"/>
  <c r="S141" i="9"/>
  <c r="S149" i="21" s="1"/>
  <c r="R141" i="9"/>
  <c r="S148" i="21" s="1"/>
  <c r="Q141" i="9"/>
  <c r="S147" i="21" s="1"/>
  <c r="P141" i="9"/>
  <c r="S146" i="21" s="1"/>
  <c r="O141" i="9"/>
  <c r="S145" i="21" s="1"/>
  <c r="N141" i="9"/>
  <c r="S144" i="21" s="1"/>
  <c r="M141" i="9"/>
  <c r="S143" i="21" s="1"/>
  <c r="L141" i="9"/>
  <c r="S142" i="21" s="1"/>
  <c r="K141" i="9"/>
  <c r="S141" i="21" s="1"/>
  <c r="J141" i="9"/>
  <c r="S140" i="21" s="1"/>
  <c r="I141" i="9"/>
  <c r="S139" i="21" s="1"/>
  <c r="H141" i="9"/>
  <c r="S138" i="21" s="1"/>
  <c r="G141" i="9"/>
  <c r="S137" i="21" s="1"/>
  <c r="F141" i="9"/>
  <c r="S136" i="21" s="1"/>
  <c r="E141" i="9"/>
  <c r="S135" i="21" s="1"/>
  <c r="D141" i="9"/>
  <c r="S134" i="21" s="1"/>
  <c r="AY140" i="9"/>
  <c r="AO140" i="9" s="1"/>
  <c r="R171" i="21" s="1"/>
  <c r="AX140" i="9"/>
  <c r="AN140" i="9" s="1"/>
  <c r="R170" i="21" s="1"/>
  <c r="AW140" i="9"/>
  <c r="AV140" i="9"/>
  <c r="AU140" i="9"/>
  <c r="AK140" i="9" s="1"/>
  <c r="R167" i="21" s="1"/>
  <c r="AT140" i="9"/>
  <c r="AH140" i="9" s="1"/>
  <c r="R164" i="21" s="1"/>
  <c r="AS140" i="9"/>
  <c r="AR140" i="9"/>
  <c r="AQ140" i="9"/>
  <c r="AM140" i="9"/>
  <c r="R169" i="21" s="1"/>
  <c r="AL140" i="9"/>
  <c r="R168" i="21" s="1"/>
  <c r="AJ140" i="9"/>
  <c r="R166" i="21" s="1"/>
  <c r="AI140" i="9"/>
  <c r="R165" i="21" s="1"/>
  <c r="AG140" i="9"/>
  <c r="R163" i="21" s="1"/>
  <c r="AF140" i="9"/>
  <c r="R162" i="21" s="1"/>
  <c r="AE140" i="9"/>
  <c r="R161" i="21" s="1"/>
  <c r="AD140" i="9"/>
  <c r="R160" i="21" s="1"/>
  <c r="AC140" i="9"/>
  <c r="R159" i="21" s="1"/>
  <c r="AB140" i="9"/>
  <c r="R158" i="21" s="1"/>
  <c r="AA140" i="9"/>
  <c r="R157" i="21" s="1"/>
  <c r="Z140" i="9"/>
  <c r="R156" i="21" s="1"/>
  <c r="Y140" i="9"/>
  <c r="R155" i="21" s="1"/>
  <c r="X140" i="9"/>
  <c r="R154" i="21" s="1"/>
  <c r="W140" i="9"/>
  <c r="R153" i="21" s="1"/>
  <c r="V140" i="9"/>
  <c r="R152" i="21" s="1"/>
  <c r="U140" i="9"/>
  <c r="R151" i="21" s="1"/>
  <c r="T140" i="9"/>
  <c r="R150" i="21" s="1"/>
  <c r="S140" i="9"/>
  <c r="R149" i="21" s="1"/>
  <c r="R140" i="9"/>
  <c r="R148" i="21" s="1"/>
  <c r="Q140" i="9"/>
  <c r="R147" i="21" s="1"/>
  <c r="P140" i="9"/>
  <c r="R146" i="21" s="1"/>
  <c r="O140" i="9"/>
  <c r="R145" i="21" s="1"/>
  <c r="N140" i="9"/>
  <c r="R144" i="21" s="1"/>
  <c r="M140" i="9"/>
  <c r="R143" i="21" s="1"/>
  <c r="L140" i="9"/>
  <c r="R142" i="21" s="1"/>
  <c r="K140" i="9"/>
  <c r="R141" i="21" s="1"/>
  <c r="J140" i="9"/>
  <c r="R140" i="21" s="1"/>
  <c r="I140" i="9"/>
  <c r="R139" i="21" s="1"/>
  <c r="H140" i="9"/>
  <c r="R138" i="21" s="1"/>
  <c r="G140" i="9"/>
  <c r="R137" i="21" s="1"/>
  <c r="F140" i="9"/>
  <c r="R136" i="21" s="1"/>
  <c r="E140" i="9"/>
  <c r="R135" i="21" s="1"/>
  <c r="D140" i="9"/>
  <c r="R134" i="21" s="1"/>
  <c r="AY139" i="9"/>
  <c r="AX139" i="9"/>
  <c r="AN139" i="9" s="1"/>
  <c r="Q170" i="21" s="1"/>
  <c r="AQ139" i="9"/>
  <c r="AU139" i="9" s="1"/>
  <c r="AK139" i="9" s="1"/>
  <c r="Q167" i="21" s="1"/>
  <c r="AO139" i="9"/>
  <c r="Q171" i="21" s="1"/>
  <c r="AG139" i="9"/>
  <c r="Q163" i="21" s="1"/>
  <c r="AF139" i="9"/>
  <c r="Q162" i="21" s="1"/>
  <c r="AE139" i="9"/>
  <c r="Q161" i="21" s="1"/>
  <c r="AD139" i="9"/>
  <c r="Q160" i="21" s="1"/>
  <c r="AC139" i="9"/>
  <c r="Q159" i="21" s="1"/>
  <c r="AB139" i="9"/>
  <c r="Q158" i="21" s="1"/>
  <c r="AA139" i="9"/>
  <c r="Q157" i="21" s="1"/>
  <c r="Z139" i="9"/>
  <c r="Q156" i="21" s="1"/>
  <c r="Y139" i="9"/>
  <c r="Q155" i="21" s="1"/>
  <c r="X139" i="9"/>
  <c r="Q154" i="21" s="1"/>
  <c r="W139" i="9"/>
  <c r="Q153" i="21" s="1"/>
  <c r="V139" i="9"/>
  <c r="Q152" i="21" s="1"/>
  <c r="U139" i="9"/>
  <c r="Q151" i="21" s="1"/>
  <c r="T139" i="9"/>
  <c r="Q150" i="21" s="1"/>
  <c r="S139" i="9"/>
  <c r="Q149" i="21" s="1"/>
  <c r="R139" i="9"/>
  <c r="Q148" i="21" s="1"/>
  <c r="Q139" i="9"/>
  <c r="Q147" i="21" s="1"/>
  <c r="P139" i="9"/>
  <c r="Q146" i="21" s="1"/>
  <c r="O139" i="9"/>
  <c r="Q145" i="21" s="1"/>
  <c r="N139" i="9"/>
  <c r="Q144" i="21" s="1"/>
  <c r="M139" i="9"/>
  <c r="Q143" i="21" s="1"/>
  <c r="L139" i="9"/>
  <c r="Q142" i="21" s="1"/>
  <c r="K139" i="9"/>
  <c r="Q141" i="21" s="1"/>
  <c r="J139" i="9"/>
  <c r="Q140" i="21" s="1"/>
  <c r="I139" i="9"/>
  <c r="Q139" i="21" s="1"/>
  <c r="H139" i="9"/>
  <c r="Q138" i="21" s="1"/>
  <c r="G139" i="9"/>
  <c r="Q137" i="21" s="1"/>
  <c r="F139" i="9"/>
  <c r="Q136" i="21" s="1"/>
  <c r="E139" i="9"/>
  <c r="Q135" i="21" s="1"/>
  <c r="D139" i="9"/>
  <c r="Q134" i="21" s="1"/>
  <c r="AU138" i="9"/>
  <c r="AK138" i="9" s="1"/>
  <c r="P167" i="21" s="1"/>
  <c r="AQ138" i="9"/>
  <c r="AY138" i="9" s="1"/>
  <c r="AO138" i="9" s="1"/>
  <c r="P171" i="21" s="1"/>
  <c r="AG138" i="9"/>
  <c r="P163" i="21" s="1"/>
  <c r="AF138" i="9"/>
  <c r="P162" i="21" s="1"/>
  <c r="AE138" i="9"/>
  <c r="P161" i="21" s="1"/>
  <c r="AD138" i="9"/>
  <c r="P160" i="21" s="1"/>
  <c r="AC138" i="9"/>
  <c r="P159" i="21" s="1"/>
  <c r="AB138" i="9"/>
  <c r="P158" i="21" s="1"/>
  <c r="AA138" i="9"/>
  <c r="P157" i="21" s="1"/>
  <c r="Z138" i="9"/>
  <c r="P156" i="21" s="1"/>
  <c r="Y138" i="9"/>
  <c r="P155" i="21" s="1"/>
  <c r="X138" i="9"/>
  <c r="P154" i="21" s="1"/>
  <c r="W138" i="9"/>
  <c r="P153" i="21" s="1"/>
  <c r="V138" i="9"/>
  <c r="P152" i="21" s="1"/>
  <c r="U138" i="9"/>
  <c r="P151" i="21" s="1"/>
  <c r="T138" i="9"/>
  <c r="P150" i="21" s="1"/>
  <c r="S138" i="9"/>
  <c r="P149" i="21" s="1"/>
  <c r="R138" i="9"/>
  <c r="P148" i="21" s="1"/>
  <c r="Q138" i="9"/>
  <c r="P147" i="21" s="1"/>
  <c r="P138" i="9"/>
  <c r="P146" i="21" s="1"/>
  <c r="O138" i="9"/>
  <c r="P145" i="21" s="1"/>
  <c r="N138" i="9"/>
  <c r="P144" i="21" s="1"/>
  <c r="M138" i="9"/>
  <c r="P143" i="21" s="1"/>
  <c r="L138" i="9"/>
  <c r="P142" i="21" s="1"/>
  <c r="K138" i="9"/>
  <c r="P141" i="21" s="1"/>
  <c r="J138" i="9"/>
  <c r="P140" i="21" s="1"/>
  <c r="I138" i="9"/>
  <c r="P139" i="21" s="1"/>
  <c r="H138" i="9"/>
  <c r="P138" i="21" s="1"/>
  <c r="G138" i="9"/>
  <c r="P137" i="21" s="1"/>
  <c r="F138" i="9"/>
  <c r="P136" i="21" s="1"/>
  <c r="E138" i="9"/>
  <c r="P135" i="21" s="1"/>
  <c r="D138" i="9"/>
  <c r="P134" i="21" s="1"/>
  <c r="AY137" i="9"/>
  <c r="AO137" i="9" s="1"/>
  <c r="O171" i="21" s="1"/>
  <c r="AV137" i="9"/>
  <c r="AL137" i="9" s="1"/>
  <c r="O168" i="21" s="1"/>
  <c r="AU137" i="9"/>
  <c r="AT137" i="9"/>
  <c r="AJ137" i="9" s="1"/>
  <c r="O166" i="21" s="1"/>
  <c r="AQ137" i="9"/>
  <c r="AX137" i="9" s="1"/>
  <c r="AN137" i="9" s="1"/>
  <c r="O170" i="21" s="1"/>
  <c r="AK137" i="9"/>
  <c r="O167" i="21" s="1"/>
  <c r="AG137" i="9"/>
  <c r="O163" i="21" s="1"/>
  <c r="AF137" i="9"/>
  <c r="O162" i="21" s="1"/>
  <c r="AE137" i="9"/>
  <c r="O161" i="21" s="1"/>
  <c r="AD137" i="9"/>
  <c r="O160" i="21" s="1"/>
  <c r="AC137" i="9"/>
  <c r="O159" i="21" s="1"/>
  <c r="AB137" i="9"/>
  <c r="O158" i="21" s="1"/>
  <c r="AA137" i="9"/>
  <c r="O157" i="21" s="1"/>
  <c r="Z137" i="9"/>
  <c r="O156" i="21" s="1"/>
  <c r="Y137" i="9"/>
  <c r="O155" i="21" s="1"/>
  <c r="X137" i="9"/>
  <c r="O154" i="21" s="1"/>
  <c r="W137" i="9"/>
  <c r="O153" i="21" s="1"/>
  <c r="V137" i="9"/>
  <c r="O152" i="21" s="1"/>
  <c r="U137" i="9"/>
  <c r="O151" i="21" s="1"/>
  <c r="T137" i="9"/>
  <c r="O150" i="21" s="1"/>
  <c r="S137" i="9"/>
  <c r="O149" i="21" s="1"/>
  <c r="R137" i="9"/>
  <c r="O148" i="21" s="1"/>
  <c r="Q137" i="9"/>
  <c r="O147" i="21" s="1"/>
  <c r="P137" i="9"/>
  <c r="O146" i="21" s="1"/>
  <c r="O137" i="9"/>
  <c r="O145" i="21" s="1"/>
  <c r="N137" i="9"/>
  <c r="O144" i="21" s="1"/>
  <c r="M137" i="9"/>
  <c r="O143" i="21" s="1"/>
  <c r="L137" i="9"/>
  <c r="O142" i="21" s="1"/>
  <c r="K137" i="9"/>
  <c r="O141" i="21" s="1"/>
  <c r="J137" i="9"/>
  <c r="O140" i="21" s="1"/>
  <c r="I137" i="9"/>
  <c r="O139" i="21" s="1"/>
  <c r="H137" i="9"/>
  <c r="O138" i="21" s="1"/>
  <c r="G137" i="9"/>
  <c r="O137" i="21" s="1"/>
  <c r="F137" i="9"/>
  <c r="O136" i="21" s="1"/>
  <c r="E137" i="9"/>
  <c r="O135" i="21" s="1"/>
  <c r="D137" i="9"/>
  <c r="O134" i="21" s="1"/>
  <c r="AQ136" i="9"/>
  <c r="AG136" i="9"/>
  <c r="N163" i="21" s="1"/>
  <c r="AF136" i="9"/>
  <c r="N162" i="21" s="1"/>
  <c r="AE136" i="9"/>
  <c r="N161" i="21" s="1"/>
  <c r="AD136" i="9"/>
  <c r="N160" i="21" s="1"/>
  <c r="AC136" i="9"/>
  <c r="N159" i="21" s="1"/>
  <c r="AB136" i="9"/>
  <c r="N158" i="21" s="1"/>
  <c r="AA136" i="9"/>
  <c r="N157" i="21" s="1"/>
  <c r="Z136" i="9"/>
  <c r="N156" i="21" s="1"/>
  <c r="Y136" i="9"/>
  <c r="N155" i="21" s="1"/>
  <c r="X136" i="9"/>
  <c r="N154" i="21" s="1"/>
  <c r="W136" i="9"/>
  <c r="N153" i="21" s="1"/>
  <c r="V136" i="9"/>
  <c r="N152" i="21" s="1"/>
  <c r="U136" i="9"/>
  <c r="N151" i="21" s="1"/>
  <c r="T136" i="9"/>
  <c r="N150" i="21" s="1"/>
  <c r="S136" i="9"/>
  <c r="N149" i="21" s="1"/>
  <c r="R136" i="9"/>
  <c r="N148" i="21" s="1"/>
  <c r="Q136" i="9"/>
  <c r="N147" i="21" s="1"/>
  <c r="P136" i="9"/>
  <c r="N146" i="21" s="1"/>
  <c r="O136" i="9"/>
  <c r="N145" i="21" s="1"/>
  <c r="N136" i="9"/>
  <c r="N144" i="21" s="1"/>
  <c r="M136" i="9"/>
  <c r="N143" i="21" s="1"/>
  <c r="L136" i="9"/>
  <c r="N142" i="21" s="1"/>
  <c r="K136" i="9"/>
  <c r="N141" i="21" s="1"/>
  <c r="J136" i="9"/>
  <c r="N140" i="21" s="1"/>
  <c r="I136" i="9"/>
  <c r="N139" i="21" s="1"/>
  <c r="H136" i="9"/>
  <c r="N138" i="21" s="1"/>
  <c r="G136" i="9"/>
  <c r="N137" i="21" s="1"/>
  <c r="F136" i="9"/>
  <c r="N136" i="21" s="1"/>
  <c r="E136" i="9"/>
  <c r="N135" i="21" s="1"/>
  <c r="D136" i="9"/>
  <c r="N134" i="21" s="1"/>
  <c r="AV135" i="9"/>
  <c r="AL135" i="9" s="1"/>
  <c r="M168" i="21" s="1"/>
  <c r="AU135" i="9"/>
  <c r="AK135" i="9" s="1"/>
  <c r="M167" i="21" s="1"/>
  <c r="AR135" i="9"/>
  <c r="AS135" i="9" s="1"/>
  <c r="AQ135" i="9"/>
  <c r="AY135" i="9" s="1"/>
  <c r="AO135" i="9" s="1"/>
  <c r="M171" i="21" s="1"/>
  <c r="AG135" i="9"/>
  <c r="M163" i="21" s="1"/>
  <c r="AF135" i="9"/>
  <c r="M162" i="21" s="1"/>
  <c r="AE135" i="9"/>
  <c r="M161" i="21" s="1"/>
  <c r="AD135" i="9"/>
  <c r="M160" i="21" s="1"/>
  <c r="AC135" i="9"/>
  <c r="M159" i="21" s="1"/>
  <c r="AB135" i="9"/>
  <c r="M158" i="21" s="1"/>
  <c r="AA135" i="9"/>
  <c r="M157" i="21" s="1"/>
  <c r="Z135" i="9"/>
  <c r="M156" i="21" s="1"/>
  <c r="Y135" i="9"/>
  <c r="M155" i="21" s="1"/>
  <c r="X135" i="9"/>
  <c r="M154" i="21" s="1"/>
  <c r="W135" i="9"/>
  <c r="M153" i="21" s="1"/>
  <c r="V135" i="9"/>
  <c r="M152" i="21" s="1"/>
  <c r="U135" i="9"/>
  <c r="M151" i="21" s="1"/>
  <c r="T135" i="9"/>
  <c r="M150" i="21" s="1"/>
  <c r="S135" i="9"/>
  <c r="M149" i="21" s="1"/>
  <c r="R135" i="9"/>
  <c r="M148" i="21" s="1"/>
  <c r="Q135" i="9"/>
  <c r="M147" i="21" s="1"/>
  <c r="P135" i="9"/>
  <c r="M146" i="21" s="1"/>
  <c r="O135" i="9"/>
  <c r="M145" i="21" s="1"/>
  <c r="N135" i="9"/>
  <c r="M144" i="21" s="1"/>
  <c r="M135" i="9"/>
  <c r="M143" i="21" s="1"/>
  <c r="L135" i="9"/>
  <c r="M142" i="21" s="1"/>
  <c r="K135" i="9"/>
  <c r="M141" i="21" s="1"/>
  <c r="J135" i="9"/>
  <c r="M140" i="21" s="1"/>
  <c r="I135" i="9"/>
  <c r="M139" i="21" s="1"/>
  <c r="H135" i="9"/>
  <c r="M138" i="21" s="1"/>
  <c r="G135" i="9"/>
  <c r="M137" i="21" s="1"/>
  <c r="F135" i="9"/>
  <c r="M136" i="21" s="1"/>
  <c r="E135" i="9"/>
  <c r="M135" i="21" s="1"/>
  <c r="D135" i="9"/>
  <c r="M134" i="21" s="1"/>
  <c r="AY134" i="9"/>
  <c r="AX134" i="9"/>
  <c r="AW134" i="9"/>
  <c r="AM134" i="9" s="1"/>
  <c r="L169" i="21" s="1"/>
  <c r="AV134" i="9"/>
  <c r="AU134" i="9"/>
  <c r="AK134" i="9" s="1"/>
  <c r="L167" i="21" s="1"/>
  <c r="AR134" i="9"/>
  <c r="AS134" i="9" s="1"/>
  <c r="AQ134" i="9"/>
  <c r="AT134" i="9" s="1"/>
  <c r="AO134" i="9"/>
  <c r="L171" i="21" s="1"/>
  <c r="AN134" i="9"/>
  <c r="L170" i="21" s="1"/>
  <c r="AL134" i="9"/>
  <c r="L168" i="21" s="1"/>
  <c r="AG134" i="9"/>
  <c r="L163" i="21" s="1"/>
  <c r="AF134" i="9"/>
  <c r="L162" i="21" s="1"/>
  <c r="AE134" i="9"/>
  <c r="L161" i="21" s="1"/>
  <c r="AD134" i="9"/>
  <c r="L160" i="21" s="1"/>
  <c r="AC134" i="9"/>
  <c r="L159" i="21" s="1"/>
  <c r="AB134" i="9"/>
  <c r="L158" i="21" s="1"/>
  <c r="AA134" i="9"/>
  <c r="L157" i="21" s="1"/>
  <c r="Z134" i="9"/>
  <c r="L156" i="21" s="1"/>
  <c r="Y134" i="9"/>
  <c r="L155" i="21" s="1"/>
  <c r="X134" i="9"/>
  <c r="L154" i="21" s="1"/>
  <c r="W134" i="9"/>
  <c r="L153" i="21" s="1"/>
  <c r="V134" i="9"/>
  <c r="L152" i="21" s="1"/>
  <c r="U134" i="9"/>
  <c r="L151" i="21" s="1"/>
  <c r="T134" i="9"/>
  <c r="L150" i="21" s="1"/>
  <c r="S134" i="9"/>
  <c r="L149" i="21" s="1"/>
  <c r="R134" i="9"/>
  <c r="L148" i="21" s="1"/>
  <c r="Q134" i="9"/>
  <c r="L147" i="21" s="1"/>
  <c r="P134" i="9"/>
  <c r="L146" i="21" s="1"/>
  <c r="O134" i="9"/>
  <c r="L145" i="21" s="1"/>
  <c r="N134" i="9"/>
  <c r="L144" i="21" s="1"/>
  <c r="M134" i="9"/>
  <c r="L143" i="21" s="1"/>
  <c r="L134" i="9"/>
  <c r="L142" i="21" s="1"/>
  <c r="K134" i="9"/>
  <c r="L141" i="21" s="1"/>
  <c r="J134" i="9"/>
  <c r="L140" i="21" s="1"/>
  <c r="I134" i="9"/>
  <c r="L139" i="21" s="1"/>
  <c r="H134" i="9"/>
  <c r="L138" i="21" s="1"/>
  <c r="G134" i="9"/>
  <c r="L137" i="21" s="1"/>
  <c r="F134" i="9"/>
  <c r="L136" i="21" s="1"/>
  <c r="E134" i="9"/>
  <c r="L135" i="21" s="1"/>
  <c r="D134" i="9"/>
  <c r="L134" i="21" s="1"/>
  <c r="AR133" i="9"/>
  <c r="AS133" i="9" s="1"/>
  <c r="AQ133" i="9"/>
  <c r="AW133" i="9" s="1"/>
  <c r="AM133" i="9" s="1"/>
  <c r="K169" i="21" s="1"/>
  <c r="AG133" i="9"/>
  <c r="K163" i="21" s="1"/>
  <c r="AF133" i="9"/>
  <c r="K162" i="21" s="1"/>
  <c r="AE133" i="9"/>
  <c r="K161" i="21" s="1"/>
  <c r="AD133" i="9"/>
  <c r="K160" i="21" s="1"/>
  <c r="AC133" i="9"/>
  <c r="K159" i="21" s="1"/>
  <c r="AB133" i="9"/>
  <c r="K158" i="21" s="1"/>
  <c r="AA133" i="9"/>
  <c r="K157" i="21" s="1"/>
  <c r="Z133" i="9"/>
  <c r="K156" i="21" s="1"/>
  <c r="Y133" i="9"/>
  <c r="K155" i="21" s="1"/>
  <c r="X133" i="9"/>
  <c r="K154" i="21" s="1"/>
  <c r="W133" i="9"/>
  <c r="K153" i="21" s="1"/>
  <c r="V133" i="9"/>
  <c r="K152" i="21" s="1"/>
  <c r="U133" i="9"/>
  <c r="K151" i="21" s="1"/>
  <c r="T133" i="9"/>
  <c r="K150" i="21" s="1"/>
  <c r="S133" i="9"/>
  <c r="K149" i="21" s="1"/>
  <c r="R133" i="9"/>
  <c r="K148" i="21" s="1"/>
  <c r="Q133" i="9"/>
  <c r="K147" i="21" s="1"/>
  <c r="P133" i="9"/>
  <c r="K146" i="21" s="1"/>
  <c r="O133" i="9"/>
  <c r="K145" i="21" s="1"/>
  <c r="N133" i="9"/>
  <c r="K144" i="21" s="1"/>
  <c r="M133" i="9"/>
  <c r="K143" i="21" s="1"/>
  <c r="L133" i="9"/>
  <c r="K142" i="21" s="1"/>
  <c r="K133" i="9"/>
  <c r="K141" i="21" s="1"/>
  <c r="J133" i="9"/>
  <c r="K140" i="21" s="1"/>
  <c r="I133" i="9"/>
  <c r="K139" i="21" s="1"/>
  <c r="H133" i="9"/>
  <c r="K138" i="21" s="1"/>
  <c r="G133" i="9"/>
  <c r="K137" i="21" s="1"/>
  <c r="F133" i="9"/>
  <c r="K136" i="21" s="1"/>
  <c r="E133" i="9"/>
  <c r="K135" i="21" s="1"/>
  <c r="D133" i="9"/>
  <c r="K134" i="21" s="1"/>
  <c r="AW132" i="9"/>
  <c r="AM132" i="9" s="1"/>
  <c r="J169" i="21" s="1"/>
  <c r="AQ132" i="9"/>
  <c r="AY132" i="9" s="1"/>
  <c r="AO132" i="9" s="1"/>
  <c r="J171" i="21" s="1"/>
  <c r="AG132" i="9"/>
  <c r="J163" i="21" s="1"/>
  <c r="AF132" i="9"/>
  <c r="J162" i="21" s="1"/>
  <c r="AE132" i="9"/>
  <c r="J161" i="21" s="1"/>
  <c r="AD132" i="9"/>
  <c r="J160" i="21" s="1"/>
  <c r="AC132" i="9"/>
  <c r="J159" i="21" s="1"/>
  <c r="AB132" i="9"/>
  <c r="J158" i="21" s="1"/>
  <c r="AA132" i="9"/>
  <c r="J157" i="21" s="1"/>
  <c r="Z132" i="9"/>
  <c r="J156" i="21" s="1"/>
  <c r="Y132" i="9"/>
  <c r="J155" i="21" s="1"/>
  <c r="X132" i="9"/>
  <c r="J154" i="21" s="1"/>
  <c r="W132" i="9"/>
  <c r="J153" i="21" s="1"/>
  <c r="V132" i="9"/>
  <c r="J152" i="21" s="1"/>
  <c r="U132" i="9"/>
  <c r="J151" i="21" s="1"/>
  <c r="T132" i="9"/>
  <c r="J150" i="21" s="1"/>
  <c r="S132" i="9"/>
  <c r="J149" i="21" s="1"/>
  <c r="R132" i="9"/>
  <c r="J148" i="21" s="1"/>
  <c r="Q132" i="9"/>
  <c r="J147" i="21" s="1"/>
  <c r="P132" i="9"/>
  <c r="J146" i="21" s="1"/>
  <c r="O132" i="9"/>
  <c r="J145" i="21" s="1"/>
  <c r="N132" i="9"/>
  <c r="J144" i="21" s="1"/>
  <c r="M132" i="9"/>
  <c r="J143" i="21" s="1"/>
  <c r="L132" i="9"/>
  <c r="J142" i="21" s="1"/>
  <c r="K132" i="9"/>
  <c r="J141" i="21" s="1"/>
  <c r="J132" i="9"/>
  <c r="J140" i="21" s="1"/>
  <c r="I132" i="9"/>
  <c r="J139" i="21" s="1"/>
  <c r="H132" i="9"/>
  <c r="J138" i="21" s="1"/>
  <c r="G132" i="9"/>
  <c r="J137" i="21" s="1"/>
  <c r="F132" i="9"/>
  <c r="J136" i="21" s="1"/>
  <c r="E132" i="9"/>
  <c r="J135" i="21" s="1"/>
  <c r="D132" i="9"/>
  <c r="J134" i="21" s="1"/>
  <c r="AX131" i="9"/>
  <c r="AN131" i="9" s="1"/>
  <c r="I170" i="21" s="1"/>
  <c r="AW131" i="9"/>
  <c r="AV131" i="9"/>
  <c r="AL131" i="9" s="1"/>
  <c r="I168" i="21" s="1"/>
  <c r="AQ131" i="9"/>
  <c r="AR131" i="9" s="1"/>
  <c r="AS131" i="9" s="1"/>
  <c r="AM131" i="9"/>
  <c r="I169" i="21" s="1"/>
  <c r="AG131" i="9"/>
  <c r="I163" i="21" s="1"/>
  <c r="AF131" i="9"/>
  <c r="I162" i="21" s="1"/>
  <c r="AE131" i="9"/>
  <c r="I161" i="21" s="1"/>
  <c r="AD131" i="9"/>
  <c r="I160" i="21" s="1"/>
  <c r="AC131" i="9"/>
  <c r="I159" i="21" s="1"/>
  <c r="AB131" i="9"/>
  <c r="I158" i="21" s="1"/>
  <c r="AA131" i="9"/>
  <c r="I157" i="21" s="1"/>
  <c r="Z131" i="9"/>
  <c r="I156" i="21" s="1"/>
  <c r="Y131" i="9"/>
  <c r="I155" i="21" s="1"/>
  <c r="X131" i="9"/>
  <c r="I154" i="21" s="1"/>
  <c r="W131" i="9"/>
  <c r="I153" i="21" s="1"/>
  <c r="V131" i="9"/>
  <c r="I152" i="21" s="1"/>
  <c r="U131" i="9"/>
  <c r="I151" i="21" s="1"/>
  <c r="T131" i="9"/>
  <c r="I150" i="21" s="1"/>
  <c r="S131" i="9"/>
  <c r="I149" i="21" s="1"/>
  <c r="R131" i="9"/>
  <c r="I148" i="21" s="1"/>
  <c r="Q131" i="9"/>
  <c r="I147" i="21" s="1"/>
  <c r="P131" i="9"/>
  <c r="I146" i="21" s="1"/>
  <c r="O131" i="9"/>
  <c r="I145" i="21" s="1"/>
  <c r="N131" i="9"/>
  <c r="I144" i="21" s="1"/>
  <c r="M131" i="9"/>
  <c r="I143" i="21" s="1"/>
  <c r="L131" i="9"/>
  <c r="I142" i="21" s="1"/>
  <c r="K131" i="9"/>
  <c r="I141" i="21" s="1"/>
  <c r="J131" i="9"/>
  <c r="I140" i="21" s="1"/>
  <c r="I131" i="9"/>
  <c r="I139" i="21" s="1"/>
  <c r="H131" i="9"/>
  <c r="I138" i="21" s="1"/>
  <c r="G131" i="9"/>
  <c r="I137" i="21" s="1"/>
  <c r="F131" i="9"/>
  <c r="I136" i="21" s="1"/>
  <c r="E131" i="9"/>
  <c r="I135" i="21" s="1"/>
  <c r="D131" i="9"/>
  <c r="I134" i="21" s="1"/>
  <c r="AX130" i="9"/>
  <c r="AV130" i="9"/>
  <c r="AU130" i="9"/>
  <c r="AK130" i="9" s="1"/>
  <c r="H167" i="21" s="1"/>
  <c r="AT130" i="9"/>
  <c r="AI130" i="9" s="1"/>
  <c r="H165" i="21" s="1"/>
  <c r="AS130" i="9"/>
  <c r="AR130" i="9"/>
  <c r="AQ130" i="9"/>
  <c r="AW130" i="9" s="1"/>
  <c r="AM130" i="9" s="1"/>
  <c r="H169" i="21" s="1"/>
  <c r="AN130" i="9"/>
  <c r="H170" i="21" s="1"/>
  <c r="AL130" i="9"/>
  <c r="H168" i="21" s="1"/>
  <c r="AG130" i="9"/>
  <c r="H163" i="21" s="1"/>
  <c r="AF130" i="9"/>
  <c r="H162" i="21" s="1"/>
  <c r="AE130" i="9"/>
  <c r="H161" i="21" s="1"/>
  <c r="AD130" i="9"/>
  <c r="H160" i="21" s="1"/>
  <c r="AC130" i="9"/>
  <c r="H159" i="21" s="1"/>
  <c r="AB130" i="9"/>
  <c r="H158" i="21" s="1"/>
  <c r="AA130" i="9"/>
  <c r="H157" i="21" s="1"/>
  <c r="Z130" i="9"/>
  <c r="H156" i="21" s="1"/>
  <c r="Y130" i="9"/>
  <c r="H155" i="21" s="1"/>
  <c r="X130" i="9"/>
  <c r="H154" i="21" s="1"/>
  <c r="W130" i="9"/>
  <c r="H153" i="21" s="1"/>
  <c r="V130" i="9"/>
  <c r="H152" i="21" s="1"/>
  <c r="U130" i="9"/>
  <c r="H151" i="21" s="1"/>
  <c r="T130" i="9"/>
  <c r="H150" i="21" s="1"/>
  <c r="S130" i="9"/>
  <c r="H149" i="21" s="1"/>
  <c r="R130" i="9"/>
  <c r="H148" i="21" s="1"/>
  <c r="Q130" i="9"/>
  <c r="H147" i="21" s="1"/>
  <c r="P130" i="9"/>
  <c r="H146" i="21" s="1"/>
  <c r="O130" i="9"/>
  <c r="H145" i="21" s="1"/>
  <c r="N130" i="9"/>
  <c r="H144" i="21" s="1"/>
  <c r="M130" i="9"/>
  <c r="H143" i="21" s="1"/>
  <c r="L130" i="9"/>
  <c r="H142" i="21" s="1"/>
  <c r="K130" i="9"/>
  <c r="H141" i="21" s="1"/>
  <c r="J130" i="9"/>
  <c r="H140" i="21" s="1"/>
  <c r="I130" i="9"/>
  <c r="H139" i="21" s="1"/>
  <c r="H130" i="9"/>
  <c r="H138" i="21" s="1"/>
  <c r="G130" i="9"/>
  <c r="H137" i="21" s="1"/>
  <c r="F130" i="9"/>
  <c r="H136" i="21" s="1"/>
  <c r="E130" i="9"/>
  <c r="H135" i="21" s="1"/>
  <c r="D130" i="9"/>
  <c r="H134" i="21" s="1"/>
  <c r="AY129" i="9"/>
  <c r="AO129" i="9" s="1"/>
  <c r="G171" i="21" s="1"/>
  <c r="AX129" i="9"/>
  <c r="AN129" i="9" s="1"/>
  <c r="G170" i="21" s="1"/>
  <c r="AW129" i="9"/>
  <c r="AM129" i="9" s="1"/>
  <c r="G169" i="21" s="1"/>
  <c r="AV129" i="9"/>
  <c r="AU129" i="9"/>
  <c r="AT129" i="9"/>
  <c r="AJ129" i="9" s="1"/>
  <c r="G166" i="21" s="1"/>
  <c r="AR129" i="9"/>
  <c r="AS129" i="9" s="1"/>
  <c r="AQ129" i="9"/>
  <c r="AL129" i="9"/>
  <c r="G168" i="21" s="1"/>
  <c r="AK129" i="9"/>
  <c r="G167" i="21" s="1"/>
  <c r="AI129" i="9"/>
  <c r="G165" i="21" s="1"/>
  <c r="AG129" i="9"/>
  <c r="G163" i="21" s="1"/>
  <c r="AF129" i="9"/>
  <c r="G162" i="21" s="1"/>
  <c r="AE129" i="9"/>
  <c r="G161" i="21" s="1"/>
  <c r="AD129" i="9"/>
  <c r="G160" i="21" s="1"/>
  <c r="AC129" i="9"/>
  <c r="G159" i="21" s="1"/>
  <c r="AB129" i="9"/>
  <c r="G158" i="21" s="1"/>
  <c r="AA129" i="9"/>
  <c r="G157" i="21" s="1"/>
  <c r="Z129" i="9"/>
  <c r="G156" i="21" s="1"/>
  <c r="Y129" i="9"/>
  <c r="G155" i="21" s="1"/>
  <c r="X129" i="9"/>
  <c r="G154" i="21" s="1"/>
  <c r="W129" i="9"/>
  <c r="G153" i="21" s="1"/>
  <c r="V129" i="9"/>
  <c r="G152" i="21" s="1"/>
  <c r="U129" i="9"/>
  <c r="G151" i="21" s="1"/>
  <c r="T129" i="9"/>
  <c r="G150" i="21" s="1"/>
  <c r="S129" i="9"/>
  <c r="G149" i="21" s="1"/>
  <c r="R129" i="9"/>
  <c r="G148" i="21" s="1"/>
  <c r="Q129" i="9"/>
  <c r="G147" i="21" s="1"/>
  <c r="P129" i="9"/>
  <c r="G146" i="21" s="1"/>
  <c r="O129" i="9"/>
  <c r="G145" i="21" s="1"/>
  <c r="N129" i="9"/>
  <c r="G144" i="21" s="1"/>
  <c r="M129" i="9"/>
  <c r="G143" i="21" s="1"/>
  <c r="L129" i="9"/>
  <c r="G142" i="21" s="1"/>
  <c r="K129" i="9"/>
  <c r="G141" i="21" s="1"/>
  <c r="J129" i="9"/>
  <c r="G140" i="21" s="1"/>
  <c r="I129" i="9"/>
  <c r="G139" i="21" s="1"/>
  <c r="H129" i="9"/>
  <c r="G138" i="21" s="1"/>
  <c r="G129" i="9"/>
  <c r="G137" i="21" s="1"/>
  <c r="F129" i="9"/>
  <c r="G136" i="21" s="1"/>
  <c r="E129" i="9"/>
  <c r="G135" i="21" s="1"/>
  <c r="D129" i="9"/>
  <c r="G134" i="21" s="1"/>
  <c r="AY128" i="9"/>
  <c r="AO128" i="9" s="1"/>
  <c r="F171" i="21" s="1"/>
  <c r="AX128" i="9"/>
  <c r="AW128" i="9"/>
  <c r="AM128" i="9" s="1"/>
  <c r="F169" i="21" s="1"/>
  <c r="AT128" i="9"/>
  <c r="AQ128" i="9"/>
  <c r="AR128" i="9" s="1"/>
  <c r="AS128" i="9" s="1"/>
  <c r="AN128" i="9"/>
  <c r="F170" i="21" s="1"/>
  <c r="AJ128" i="9"/>
  <c r="F166" i="21" s="1"/>
  <c r="AI128" i="9"/>
  <c r="F165" i="21" s="1"/>
  <c r="AH128" i="9"/>
  <c r="F164" i="21" s="1"/>
  <c r="AG128" i="9"/>
  <c r="F163" i="21" s="1"/>
  <c r="AF128" i="9"/>
  <c r="F162" i="21" s="1"/>
  <c r="AE128" i="9"/>
  <c r="F161" i="21" s="1"/>
  <c r="AD128" i="9"/>
  <c r="F160" i="21" s="1"/>
  <c r="AC128" i="9"/>
  <c r="F159" i="21" s="1"/>
  <c r="AB128" i="9"/>
  <c r="F158" i="21" s="1"/>
  <c r="AA128" i="9"/>
  <c r="F157" i="21" s="1"/>
  <c r="Z128" i="9"/>
  <c r="F156" i="21" s="1"/>
  <c r="Y128" i="9"/>
  <c r="F155" i="21" s="1"/>
  <c r="X128" i="9"/>
  <c r="F154" i="21" s="1"/>
  <c r="W128" i="9"/>
  <c r="F153" i="21" s="1"/>
  <c r="V128" i="9"/>
  <c r="F152" i="21" s="1"/>
  <c r="U128" i="9"/>
  <c r="F151" i="21" s="1"/>
  <c r="T128" i="9"/>
  <c r="F150" i="21" s="1"/>
  <c r="S128" i="9"/>
  <c r="F149" i="21" s="1"/>
  <c r="R128" i="9"/>
  <c r="F148" i="21" s="1"/>
  <c r="Q128" i="9"/>
  <c r="F147" i="21" s="1"/>
  <c r="P128" i="9"/>
  <c r="F146" i="21" s="1"/>
  <c r="O128" i="9"/>
  <c r="F145" i="21" s="1"/>
  <c r="N128" i="9"/>
  <c r="F144" i="21" s="1"/>
  <c r="M128" i="9"/>
  <c r="F143" i="21" s="1"/>
  <c r="L128" i="9"/>
  <c r="F142" i="21" s="1"/>
  <c r="K128" i="9"/>
  <c r="F141" i="21" s="1"/>
  <c r="J128" i="9"/>
  <c r="F140" i="21" s="1"/>
  <c r="I128" i="9"/>
  <c r="F139" i="21" s="1"/>
  <c r="H128" i="9"/>
  <c r="F138" i="21" s="1"/>
  <c r="G128" i="9"/>
  <c r="F137" i="21" s="1"/>
  <c r="F128" i="9"/>
  <c r="F136" i="21" s="1"/>
  <c r="E128" i="9"/>
  <c r="F135" i="21" s="1"/>
  <c r="D128" i="9"/>
  <c r="F134" i="21" s="1"/>
  <c r="AY127" i="9"/>
  <c r="AW127" i="9"/>
  <c r="AV127" i="9"/>
  <c r="AL127" i="9" s="1"/>
  <c r="E168" i="21" s="1"/>
  <c r="AU127" i="9"/>
  <c r="AK127" i="9" s="1"/>
  <c r="E167" i="21" s="1"/>
  <c r="AT127" i="9"/>
  <c r="AS127" i="9"/>
  <c r="AR127" i="9"/>
  <c r="AQ127" i="9"/>
  <c r="AX127" i="9" s="1"/>
  <c r="AN127" i="9" s="1"/>
  <c r="E170" i="21" s="1"/>
  <c r="AO127" i="9"/>
  <c r="E171" i="21" s="1"/>
  <c r="AM127" i="9"/>
  <c r="E169" i="21" s="1"/>
  <c r="AG127" i="9"/>
  <c r="E163" i="21" s="1"/>
  <c r="AF127" i="9"/>
  <c r="E162" i="21" s="1"/>
  <c r="AE127" i="9"/>
  <c r="E161" i="21" s="1"/>
  <c r="AD127" i="9"/>
  <c r="E160" i="21" s="1"/>
  <c r="AC127" i="9"/>
  <c r="E159" i="21" s="1"/>
  <c r="AB127" i="9"/>
  <c r="E158" i="21" s="1"/>
  <c r="AA127" i="9"/>
  <c r="E157" i="21" s="1"/>
  <c r="Z127" i="9"/>
  <c r="E156" i="21" s="1"/>
  <c r="Y127" i="9"/>
  <c r="E155" i="21" s="1"/>
  <c r="X127" i="9"/>
  <c r="E154" i="21" s="1"/>
  <c r="W127" i="9"/>
  <c r="E153" i="21" s="1"/>
  <c r="V127" i="9"/>
  <c r="E152" i="21" s="1"/>
  <c r="U127" i="9"/>
  <c r="E151" i="21" s="1"/>
  <c r="T127" i="9"/>
  <c r="E150" i="21" s="1"/>
  <c r="S127" i="9"/>
  <c r="E149" i="21" s="1"/>
  <c r="R127" i="9"/>
  <c r="E148" i="21" s="1"/>
  <c r="Q127" i="9"/>
  <c r="E147" i="21" s="1"/>
  <c r="P127" i="9"/>
  <c r="E146" i="21" s="1"/>
  <c r="O127" i="9"/>
  <c r="E145" i="21" s="1"/>
  <c r="N127" i="9"/>
  <c r="E144" i="21" s="1"/>
  <c r="M127" i="9"/>
  <c r="E143" i="21" s="1"/>
  <c r="L127" i="9"/>
  <c r="E142" i="21" s="1"/>
  <c r="K127" i="9"/>
  <c r="E141" i="21" s="1"/>
  <c r="J127" i="9"/>
  <c r="E140" i="21" s="1"/>
  <c r="I127" i="9"/>
  <c r="E139" i="21" s="1"/>
  <c r="H127" i="9"/>
  <c r="E138" i="21" s="1"/>
  <c r="G127" i="9"/>
  <c r="E137" i="21" s="1"/>
  <c r="F127" i="9"/>
  <c r="E136" i="21" s="1"/>
  <c r="E127" i="9"/>
  <c r="E135" i="21" s="1"/>
  <c r="D127" i="9"/>
  <c r="E134" i="21" s="1"/>
  <c r="AY126" i="9"/>
  <c r="AO126" i="9" s="1"/>
  <c r="D171" i="21" s="1"/>
  <c r="AX126" i="9"/>
  <c r="AN126" i="9" s="1"/>
  <c r="D170" i="21" s="1"/>
  <c r="AW126" i="9"/>
  <c r="AV126" i="9"/>
  <c r="AU126" i="9"/>
  <c r="AK126" i="9" s="1"/>
  <c r="D167" i="21" s="1"/>
  <c r="AT126" i="9"/>
  <c r="AH126" i="9" s="1"/>
  <c r="D164" i="21" s="1"/>
  <c r="AS126" i="9"/>
  <c r="AR126" i="9"/>
  <c r="AQ126" i="9"/>
  <c r="AM126" i="9"/>
  <c r="D169" i="21" s="1"/>
  <c r="AL126" i="9"/>
  <c r="D168" i="21" s="1"/>
  <c r="AJ126" i="9"/>
  <c r="D166" i="21" s="1"/>
  <c r="AI126" i="9"/>
  <c r="D165" i="21" s="1"/>
  <c r="AG126" i="9"/>
  <c r="D163" i="21" s="1"/>
  <c r="AF126" i="9"/>
  <c r="D162" i="21" s="1"/>
  <c r="AE126" i="9"/>
  <c r="D161" i="21" s="1"/>
  <c r="AD126" i="9"/>
  <c r="D160" i="21" s="1"/>
  <c r="AC126" i="9"/>
  <c r="D159" i="21" s="1"/>
  <c r="AB126" i="9"/>
  <c r="D158" i="21" s="1"/>
  <c r="AA126" i="9"/>
  <c r="D157" i="21" s="1"/>
  <c r="Z126" i="9"/>
  <c r="D156" i="21" s="1"/>
  <c r="Y126" i="9"/>
  <c r="D155" i="21" s="1"/>
  <c r="X126" i="9"/>
  <c r="D154" i="21" s="1"/>
  <c r="W126" i="9"/>
  <c r="D153" i="21" s="1"/>
  <c r="V126" i="9"/>
  <c r="D152" i="21" s="1"/>
  <c r="U126" i="9"/>
  <c r="D151" i="21" s="1"/>
  <c r="T126" i="9"/>
  <c r="D150" i="21" s="1"/>
  <c r="S126" i="9"/>
  <c r="D149" i="21" s="1"/>
  <c r="R126" i="9"/>
  <c r="D148" i="21" s="1"/>
  <c r="Q126" i="9"/>
  <c r="D147" i="21" s="1"/>
  <c r="P126" i="9"/>
  <c r="D146" i="21" s="1"/>
  <c r="O126" i="9"/>
  <c r="D145" i="21" s="1"/>
  <c r="N126" i="9"/>
  <c r="D144" i="21" s="1"/>
  <c r="M126" i="9"/>
  <c r="D143" i="21" s="1"/>
  <c r="L126" i="9"/>
  <c r="D142" i="21" s="1"/>
  <c r="K126" i="9"/>
  <c r="D141" i="21" s="1"/>
  <c r="J126" i="9"/>
  <c r="D140" i="21" s="1"/>
  <c r="I126" i="9"/>
  <c r="D139" i="21" s="1"/>
  <c r="H126" i="9"/>
  <c r="D138" i="21" s="1"/>
  <c r="G126" i="9"/>
  <c r="D137" i="21" s="1"/>
  <c r="F126" i="9"/>
  <c r="D136" i="21" s="1"/>
  <c r="E126" i="9"/>
  <c r="D135" i="21" s="1"/>
  <c r="D126" i="9"/>
  <c r="D134" i="21" s="1"/>
  <c r="AY125" i="9"/>
  <c r="AX125" i="9"/>
  <c r="AN125" i="9" s="1"/>
  <c r="AQ128" i="21" s="1"/>
  <c r="AQ125" i="9"/>
  <c r="AU125" i="9" s="1"/>
  <c r="AK125" i="9" s="1"/>
  <c r="AQ125" i="21" s="1"/>
  <c r="AO125" i="9"/>
  <c r="AQ129" i="21" s="1"/>
  <c r="AG125" i="9"/>
  <c r="AQ121" i="21" s="1"/>
  <c r="AF125" i="9"/>
  <c r="AQ120" i="21" s="1"/>
  <c r="AE125" i="9"/>
  <c r="AQ119" i="21" s="1"/>
  <c r="AD125" i="9"/>
  <c r="AQ118" i="21" s="1"/>
  <c r="AC125" i="9"/>
  <c r="AQ117" i="21" s="1"/>
  <c r="AB125" i="9"/>
  <c r="AQ116" i="21" s="1"/>
  <c r="AA125" i="9"/>
  <c r="AQ115" i="21" s="1"/>
  <c r="Z125" i="9"/>
  <c r="AQ114" i="21" s="1"/>
  <c r="Y125" i="9"/>
  <c r="AQ113" i="21" s="1"/>
  <c r="X125" i="9"/>
  <c r="AQ112" i="21" s="1"/>
  <c r="W125" i="9"/>
  <c r="AQ111" i="21" s="1"/>
  <c r="V125" i="9"/>
  <c r="AQ110" i="21" s="1"/>
  <c r="U125" i="9"/>
  <c r="AQ109" i="21" s="1"/>
  <c r="T125" i="9"/>
  <c r="AQ108" i="21" s="1"/>
  <c r="S125" i="9"/>
  <c r="AQ107" i="21" s="1"/>
  <c r="R125" i="9"/>
  <c r="AQ106" i="21" s="1"/>
  <c r="Q125" i="9"/>
  <c r="AQ105" i="21" s="1"/>
  <c r="P125" i="9"/>
  <c r="AQ104" i="21" s="1"/>
  <c r="O125" i="9"/>
  <c r="AQ103" i="21" s="1"/>
  <c r="N125" i="9"/>
  <c r="AQ102" i="21" s="1"/>
  <c r="M125" i="9"/>
  <c r="AQ101" i="21" s="1"/>
  <c r="L125" i="9"/>
  <c r="AQ100" i="21" s="1"/>
  <c r="K125" i="9"/>
  <c r="AQ99" i="21" s="1"/>
  <c r="J125" i="9"/>
  <c r="AQ98" i="21" s="1"/>
  <c r="I125" i="9"/>
  <c r="AQ97" i="21" s="1"/>
  <c r="H125" i="9"/>
  <c r="AQ96" i="21" s="1"/>
  <c r="G125" i="9"/>
  <c r="AQ95" i="21" s="1"/>
  <c r="F125" i="9"/>
  <c r="AQ94" i="21" s="1"/>
  <c r="E125" i="9"/>
  <c r="AQ93" i="21" s="1"/>
  <c r="D125" i="9"/>
  <c r="AQ92" i="21" s="1"/>
  <c r="AU124" i="9"/>
  <c r="AK124" i="9" s="1"/>
  <c r="AP125" i="21" s="1"/>
  <c r="AQ124" i="9"/>
  <c r="AY124" i="9" s="1"/>
  <c r="AO124" i="9" s="1"/>
  <c r="AP129" i="21" s="1"/>
  <c r="AG124" i="9"/>
  <c r="AP121" i="21" s="1"/>
  <c r="AF124" i="9"/>
  <c r="AP120" i="21" s="1"/>
  <c r="AE124" i="9"/>
  <c r="AP119" i="21" s="1"/>
  <c r="AD124" i="9"/>
  <c r="AP118" i="21" s="1"/>
  <c r="AC124" i="9"/>
  <c r="AP117" i="21" s="1"/>
  <c r="AB124" i="9"/>
  <c r="AP116" i="21" s="1"/>
  <c r="AA124" i="9"/>
  <c r="AP115" i="21" s="1"/>
  <c r="Z124" i="9"/>
  <c r="AP114" i="21" s="1"/>
  <c r="Y124" i="9"/>
  <c r="AP113" i="21" s="1"/>
  <c r="X124" i="9"/>
  <c r="AP112" i="21" s="1"/>
  <c r="W124" i="9"/>
  <c r="AP111" i="21" s="1"/>
  <c r="V124" i="9"/>
  <c r="AP110" i="21" s="1"/>
  <c r="U124" i="9"/>
  <c r="AP109" i="21" s="1"/>
  <c r="T124" i="9"/>
  <c r="AP108" i="21" s="1"/>
  <c r="S124" i="9"/>
  <c r="AP107" i="21" s="1"/>
  <c r="R124" i="9"/>
  <c r="AP106" i="21" s="1"/>
  <c r="Q124" i="9"/>
  <c r="AP105" i="21" s="1"/>
  <c r="P124" i="9"/>
  <c r="AP104" i="21" s="1"/>
  <c r="O124" i="9"/>
  <c r="AP103" i="21" s="1"/>
  <c r="N124" i="9"/>
  <c r="AP102" i="21" s="1"/>
  <c r="M124" i="9"/>
  <c r="AP101" i="21" s="1"/>
  <c r="L124" i="9"/>
  <c r="AP100" i="21" s="1"/>
  <c r="K124" i="9"/>
  <c r="AP99" i="21" s="1"/>
  <c r="J124" i="9"/>
  <c r="AP98" i="21" s="1"/>
  <c r="I124" i="9"/>
  <c r="AP97" i="21" s="1"/>
  <c r="H124" i="9"/>
  <c r="AP96" i="21" s="1"/>
  <c r="G124" i="9"/>
  <c r="AP95" i="21" s="1"/>
  <c r="F124" i="9"/>
  <c r="AP94" i="21" s="1"/>
  <c r="E124" i="9"/>
  <c r="AP93" i="21" s="1"/>
  <c r="D124" i="9"/>
  <c r="AP92" i="21" s="1"/>
  <c r="AY123" i="9"/>
  <c r="AO123" i="9" s="1"/>
  <c r="AO129" i="21" s="1"/>
  <c r="AV123" i="9"/>
  <c r="AL123" i="9" s="1"/>
  <c r="AO126" i="21" s="1"/>
  <c r="AU123" i="9"/>
  <c r="AT123" i="9"/>
  <c r="AJ123" i="9" s="1"/>
  <c r="AO124" i="21" s="1"/>
  <c r="AQ123" i="9"/>
  <c r="AX123" i="9" s="1"/>
  <c r="AN123" i="9" s="1"/>
  <c r="AO128" i="21" s="1"/>
  <c r="AK123" i="9"/>
  <c r="AO125" i="21" s="1"/>
  <c r="AG123" i="9"/>
  <c r="AO121" i="21" s="1"/>
  <c r="AF123" i="9"/>
  <c r="AO120" i="21" s="1"/>
  <c r="AE123" i="9"/>
  <c r="AO119" i="21" s="1"/>
  <c r="AD123" i="9"/>
  <c r="AO118" i="21" s="1"/>
  <c r="AC123" i="9"/>
  <c r="AO117" i="21" s="1"/>
  <c r="AB123" i="9"/>
  <c r="AO116" i="21" s="1"/>
  <c r="AA123" i="9"/>
  <c r="AO115" i="21" s="1"/>
  <c r="Z123" i="9"/>
  <c r="AO114" i="21" s="1"/>
  <c r="Y123" i="9"/>
  <c r="AO113" i="21" s="1"/>
  <c r="X123" i="9"/>
  <c r="AO112" i="21" s="1"/>
  <c r="W123" i="9"/>
  <c r="AO111" i="21" s="1"/>
  <c r="V123" i="9"/>
  <c r="AO110" i="21" s="1"/>
  <c r="U123" i="9"/>
  <c r="AO109" i="21" s="1"/>
  <c r="T123" i="9"/>
  <c r="AO108" i="21" s="1"/>
  <c r="S123" i="9"/>
  <c r="AO107" i="21" s="1"/>
  <c r="R123" i="9"/>
  <c r="AO106" i="21" s="1"/>
  <c r="Q123" i="9"/>
  <c r="AO105" i="21" s="1"/>
  <c r="P123" i="9"/>
  <c r="AO104" i="21" s="1"/>
  <c r="O123" i="9"/>
  <c r="AO103" i="21" s="1"/>
  <c r="N123" i="9"/>
  <c r="AO102" i="21" s="1"/>
  <c r="M123" i="9"/>
  <c r="AO101" i="21" s="1"/>
  <c r="L123" i="9"/>
  <c r="AO100" i="21" s="1"/>
  <c r="K123" i="9"/>
  <c r="AO99" i="21" s="1"/>
  <c r="J123" i="9"/>
  <c r="AO98" i="21" s="1"/>
  <c r="I123" i="9"/>
  <c r="AO97" i="21" s="1"/>
  <c r="H123" i="9"/>
  <c r="AO96" i="21" s="1"/>
  <c r="G123" i="9"/>
  <c r="AO95" i="21" s="1"/>
  <c r="F123" i="9"/>
  <c r="AO94" i="21" s="1"/>
  <c r="E123" i="9"/>
  <c r="AO93" i="21" s="1"/>
  <c r="D123" i="9"/>
  <c r="AO92" i="21" s="1"/>
  <c r="AQ122" i="9"/>
  <c r="AG122" i="9"/>
  <c r="AN121" i="21" s="1"/>
  <c r="AF122" i="9"/>
  <c r="AN120" i="21" s="1"/>
  <c r="AE122" i="9"/>
  <c r="AN119" i="21" s="1"/>
  <c r="AD122" i="9"/>
  <c r="AN118" i="21" s="1"/>
  <c r="AC122" i="9"/>
  <c r="AN117" i="21" s="1"/>
  <c r="AB122" i="9"/>
  <c r="AN116" i="21" s="1"/>
  <c r="AA122" i="9"/>
  <c r="AN115" i="21" s="1"/>
  <c r="Z122" i="9"/>
  <c r="AN114" i="21" s="1"/>
  <c r="Y122" i="9"/>
  <c r="AN113" i="21" s="1"/>
  <c r="X122" i="9"/>
  <c r="AN112" i="21" s="1"/>
  <c r="W122" i="9"/>
  <c r="AN111" i="21" s="1"/>
  <c r="V122" i="9"/>
  <c r="AN110" i="21" s="1"/>
  <c r="U122" i="9"/>
  <c r="AN109" i="21" s="1"/>
  <c r="T122" i="9"/>
  <c r="AN108" i="21" s="1"/>
  <c r="S122" i="9"/>
  <c r="AN107" i="21" s="1"/>
  <c r="R122" i="9"/>
  <c r="AN106" i="21" s="1"/>
  <c r="Q122" i="9"/>
  <c r="AN105" i="21" s="1"/>
  <c r="P122" i="9"/>
  <c r="AN104" i="21" s="1"/>
  <c r="O122" i="9"/>
  <c r="AN103" i="21" s="1"/>
  <c r="N122" i="9"/>
  <c r="AN102" i="21" s="1"/>
  <c r="M122" i="9"/>
  <c r="AN101" i="21" s="1"/>
  <c r="L122" i="9"/>
  <c r="AN100" i="21" s="1"/>
  <c r="K122" i="9"/>
  <c r="AN99" i="21" s="1"/>
  <c r="J122" i="9"/>
  <c r="AN98" i="21" s="1"/>
  <c r="I122" i="9"/>
  <c r="AN97" i="21" s="1"/>
  <c r="H122" i="9"/>
  <c r="AN96" i="21" s="1"/>
  <c r="G122" i="9"/>
  <c r="AN95" i="21" s="1"/>
  <c r="F122" i="9"/>
  <c r="AN94" i="21" s="1"/>
  <c r="E122" i="9"/>
  <c r="AN93" i="21" s="1"/>
  <c r="D122" i="9"/>
  <c r="AN92" i="21" s="1"/>
  <c r="AV121" i="9"/>
  <c r="AL121" i="9" s="1"/>
  <c r="AM126" i="21" s="1"/>
  <c r="AU121" i="9"/>
  <c r="AK121" i="9" s="1"/>
  <c r="AM125" i="21" s="1"/>
  <c r="AR121" i="9"/>
  <c r="AS121" i="9" s="1"/>
  <c r="AQ121" i="9"/>
  <c r="AY121" i="9" s="1"/>
  <c r="AO121" i="9" s="1"/>
  <c r="AM129" i="21" s="1"/>
  <c r="AG121" i="9"/>
  <c r="AM121" i="21" s="1"/>
  <c r="AF121" i="9"/>
  <c r="AM120" i="21" s="1"/>
  <c r="AE121" i="9"/>
  <c r="AM119" i="21" s="1"/>
  <c r="AD121" i="9"/>
  <c r="AM118" i="21" s="1"/>
  <c r="AC121" i="9"/>
  <c r="AM117" i="21" s="1"/>
  <c r="AB121" i="9"/>
  <c r="AM116" i="21" s="1"/>
  <c r="AA121" i="9"/>
  <c r="AM115" i="21" s="1"/>
  <c r="Z121" i="9"/>
  <c r="AM114" i="21" s="1"/>
  <c r="Y121" i="9"/>
  <c r="AM113" i="21" s="1"/>
  <c r="X121" i="9"/>
  <c r="AM112" i="21" s="1"/>
  <c r="W121" i="9"/>
  <c r="AM111" i="21" s="1"/>
  <c r="V121" i="9"/>
  <c r="AM110" i="21" s="1"/>
  <c r="U121" i="9"/>
  <c r="AM109" i="21" s="1"/>
  <c r="T121" i="9"/>
  <c r="AM108" i="21" s="1"/>
  <c r="S121" i="9"/>
  <c r="AM107" i="21" s="1"/>
  <c r="R121" i="9"/>
  <c r="AM106" i="21" s="1"/>
  <c r="Q121" i="9"/>
  <c r="AM105" i="21" s="1"/>
  <c r="P121" i="9"/>
  <c r="AM104" i="21" s="1"/>
  <c r="O121" i="9"/>
  <c r="AM103" i="21" s="1"/>
  <c r="N121" i="9"/>
  <c r="AM102" i="21" s="1"/>
  <c r="M121" i="9"/>
  <c r="AM101" i="21" s="1"/>
  <c r="L121" i="9"/>
  <c r="AM100" i="21" s="1"/>
  <c r="K121" i="9"/>
  <c r="AM99" i="21" s="1"/>
  <c r="J121" i="9"/>
  <c r="AM98" i="21" s="1"/>
  <c r="I121" i="9"/>
  <c r="AM97" i="21" s="1"/>
  <c r="H121" i="9"/>
  <c r="AM96" i="21" s="1"/>
  <c r="G121" i="9"/>
  <c r="AM95" i="21" s="1"/>
  <c r="F121" i="9"/>
  <c r="AM94" i="21" s="1"/>
  <c r="E121" i="9"/>
  <c r="AM93" i="21" s="1"/>
  <c r="D121" i="9"/>
  <c r="AM92" i="21" s="1"/>
  <c r="AY120" i="9"/>
  <c r="AX120" i="9"/>
  <c r="AW120" i="9"/>
  <c r="AM120" i="9" s="1"/>
  <c r="AL127" i="21" s="1"/>
  <c r="AV120" i="9"/>
  <c r="AU120" i="9"/>
  <c r="AK120" i="9" s="1"/>
  <c r="AL125" i="21" s="1"/>
  <c r="AR120" i="9"/>
  <c r="AS120" i="9" s="1"/>
  <c r="AQ120" i="9"/>
  <c r="AT120" i="9" s="1"/>
  <c r="AO120" i="9"/>
  <c r="AL129" i="21" s="1"/>
  <c r="AN120" i="9"/>
  <c r="AL128" i="21" s="1"/>
  <c r="AL120" i="9"/>
  <c r="AL126" i="21" s="1"/>
  <c r="AG120" i="9"/>
  <c r="AL121" i="21" s="1"/>
  <c r="AF120" i="9"/>
  <c r="AL120" i="21" s="1"/>
  <c r="AE120" i="9"/>
  <c r="AL119" i="21" s="1"/>
  <c r="AD120" i="9"/>
  <c r="AL118" i="21" s="1"/>
  <c r="AC120" i="9"/>
  <c r="AL117" i="21" s="1"/>
  <c r="AB120" i="9"/>
  <c r="AL116" i="21" s="1"/>
  <c r="AA120" i="9"/>
  <c r="AL115" i="21" s="1"/>
  <c r="Z120" i="9"/>
  <c r="AL114" i="21" s="1"/>
  <c r="Y120" i="9"/>
  <c r="AL113" i="21" s="1"/>
  <c r="X120" i="9"/>
  <c r="AL112" i="21" s="1"/>
  <c r="W120" i="9"/>
  <c r="AL111" i="21" s="1"/>
  <c r="V120" i="9"/>
  <c r="AL110" i="21" s="1"/>
  <c r="U120" i="9"/>
  <c r="AL109" i="21" s="1"/>
  <c r="T120" i="9"/>
  <c r="AL108" i="21" s="1"/>
  <c r="S120" i="9"/>
  <c r="AL107" i="21" s="1"/>
  <c r="R120" i="9"/>
  <c r="AL106" i="21" s="1"/>
  <c r="Q120" i="9"/>
  <c r="AL105" i="21" s="1"/>
  <c r="P120" i="9"/>
  <c r="AL104" i="21" s="1"/>
  <c r="O120" i="9"/>
  <c r="AL103" i="21" s="1"/>
  <c r="N120" i="9"/>
  <c r="AL102" i="21" s="1"/>
  <c r="M120" i="9"/>
  <c r="AL101" i="21" s="1"/>
  <c r="L120" i="9"/>
  <c r="AL100" i="21" s="1"/>
  <c r="K120" i="9"/>
  <c r="AL99" i="21" s="1"/>
  <c r="J120" i="9"/>
  <c r="AL98" i="21" s="1"/>
  <c r="I120" i="9"/>
  <c r="AL97" i="21" s="1"/>
  <c r="H120" i="9"/>
  <c r="AL96" i="21" s="1"/>
  <c r="G120" i="9"/>
  <c r="AL95" i="21" s="1"/>
  <c r="F120" i="9"/>
  <c r="AL94" i="21" s="1"/>
  <c r="E120" i="9"/>
  <c r="AL93" i="21" s="1"/>
  <c r="D120" i="9"/>
  <c r="AL92" i="21" s="1"/>
  <c r="AR119" i="9"/>
  <c r="AS119" i="9" s="1"/>
  <c r="AQ119" i="9"/>
  <c r="AW119" i="9" s="1"/>
  <c r="AM119" i="9" s="1"/>
  <c r="AK127" i="21" s="1"/>
  <c r="AG119" i="9"/>
  <c r="AK121" i="21" s="1"/>
  <c r="AF119" i="9"/>
  <c r="AK120" i="21" s="1"/>
  <c r="AE119" i="9"/>
  <c r="AK119" i="21" s="1"/>
  <c r="AD119" i="9"/>
  <c r="AK118" i="21" s="1"/>
  <c r="AC119" i="9"/>
  <c r="AK117" i="21" s="1"/>
  <c r="AB119" i="9"/>
  <c r="AK116" i="21" s="1"/>
  <c r="AA119" i="9"/>
  <c r="AK115" i="21" s="1"/>
  <c r="Z119" i="9"/>
  <c r="AK114" i="21" s="1"/>
  <c r="Y119" i="9"/>
  <c r="AK113" i="21" s="1"/>
  <c r="X119" i="9"/>
  <c r="AK112" i="21" s="1"/>
  <c r="W119" i="9"/>
  <c r="AK111" i="21" s="1"/>
  <c r="V119" i="9"/>
  <c r="AK110" i="21" s="1"/>
  <c r="U119" i="9"/>
  <c r="AK109" i="21" s="1"/>
  <c r="T119" i="9"/>
  <c r="AK108" i="21" s="1"/>
  <c r="S119" i="9"/>
  <c r="AK107" i="21" s="1"/>
  <c r="R119" i="9"/>
  <c r="AK106" i="21" s="1"/>
  <c r="Q119" i="9"/>
  <c r="AK105" i="21" s="1"/>
  <c r="P119" i="9"/>
  <c r="AK104" i="21" s="1"/>
  <c r="O119" i="9"/>
  <c r="AK103" i="21" s="1"/>
  <c r="N119" i="9"/>
  <c r="AK102" i="21" s="1"/>
  <c r="M119" i="9"/>
  <c r="AK101" i="21" s="1"/>
  <c r="L119" i="9"/>
  <c r="AK100" i="21" s="1"/>
  <c r="K119" i="9"/>
  <c r="AK99" i="21" s="1"/>
  <c r="J119" i="9"/>
  <c r="AK98" i="21" s="1"/>
  <c r="I119" i="9"/>
  <c r="AK97" i="21" s="1"/>
  <c r="H119" i="9"/>
  <c r="AK96" i="21" s="1"/>
  <c r="G119" i="9"/>
  <c r="AK95" i="21" s="1"/>
  <c r="F119" i="9"/>
  <c r="AK94" i="21" s="1"/>
  <c r="E119" i="9"/>
  <c r="AK93" i="21" s="1"/>
  <c r="D119" i="9"/>
  <c r="AK92" i="21" s="1"/>
  <c r="AW118" i="9"/>
  <c r="AM118" i="9" s="1"/>
  <c r="AJ127" i="21" s="1"/>
  <c r="AQ118" i="9"/>
  <c r="AY118" i="9" s="1"/>
  <c r="AO118" i="9" s="1"/>
  <c r="AJ129" i="21" s="1"/>
  <c r="AG118" i="9"/>
  <c r="AJ121" i="21" s="1"/>
  <c r="AF118" i="9"/>
  <c r="AJ120" i="21" s="1"/>
  <c r="AE118" i="9"/>
  <c r="AJ119" i="21" s="1"/>
  <c r="AD118" i="9"/>
  <c r="AJ118" i="21" s="1"/>
  <c r="AC118" i="9"/>
  <c r="AJ117" i="21" s="1"/>
  <c r="AB118" i="9"/>
  <c r="AJ116" i="21" s="1"/>
  <c r="AA118" i="9"/>
  <c r="AJ115" i="21" s="1"/>
  <c r="Z118" i="9"/>
  <c r="AJ114" i="21" s="1"/>
  <c r="Y118" i="9"/>
  <c r="AJ113" i="21" s="1"/>
  <c r="X118" i="9"/>
  <c r="AJ112" i="21" s="1"/>
  <c r="W118" i="9"/>
  <c r="AJ111" i="21" s="1"/>
  <c r="V118" i="9"/>
  <c r="AJ110" i="21" s="1"/>
  <c r="U118" i="9"/>
  <c r="AJ109" i="21" s="1"/>
  <c r="T118" i="9"/>
  <c r="AJ108" i="21" s="1"/>
  <c r="S118" i="9"/>
  <c r="AJ107" i="21" s="1"/>
  <c r="R118" i="9"/>
  <c r="AJ106" i="21" s="1"/>
  <c r="Q118" i="9"/>
  <c r="AJ105" i="21" s="1"/>
  <c r="P118" i="9"/>
  <c r="AJ104" i="21" s="1"/>
  <c r="O118" i="9"/>
  <c r="AJ103" i="21" s="1"/>
  <c r="N118" i="9"/>
  <c r="AJ102" i="21" s="1"/>
  <c r="M118" i="9"/>
  <c r="AJ101" i="21" s="1"/>
  <c r="L118" i="9"/>
  <c r="AJ100" i="21" s="1"/>
  <c r="K118" i="9"/>
  <c r="AJ99" i="21" s="1"/>
  <c r="J118" i="9"/>
  <c r="AJ98" i="21" s="1"/>
  <c r="I118" i="9"/>
  <c r="AJ97" i="21" s="1"/>
  <c r="H118" i="9"/>
  <c r="AJ96" i="21" s="1"/>
  <c r="G118" i="9"/>
  <c r="AJ95" i="21" s="1"/>
  <c r="F118" i="9"/>
  <c r="AJ94" i="21" s="1"/>
  <c r="E118" i="9"/>
  <c r="AJ93" i="21" s="1"/>
  <c r="D118" i="9"/>
  <c r="AJ92" i="21" s="1"/>
  <c r="AX117" i="9"/>
  <c r="AN117" i="9" s="1"/>
  <c r="AI128" i="21" s="1"/>
  <c r="AW117" i="9"/>
  <c r="AV117" i="9"/>
  <c r="AL117" i="9" s="1"/>
  <c r="AI126" i="21" s="1"/>
  <c r="AQ117" i="9"/>
  <c r="AR117" i="9" s="1"/>
  <c r="AS117" i="9" s="1"/>
  <c r="AM117" i="9"/>
  <c r="AI127" i="21" s="1"/>
  <c r="AG117" i="9"/>
  <c r="AI121" i="21" s="1"/>
  <c r="AF117" i="9"/>
  <c r="AI120" i="21" s="1"/>
  <c r="AE117" i="9"/>
  <c r="AI119" i="21" s="1"/>
  <c r="AD117" i="9"/>
  <c r="AI118" i="21" s="1"/>
  <c r="AC117" i="9"/>
  <c r="AI117" i="21" s="1"/>
  <c r="AB117" i="9"/>
  <c r="AI116" i="21" s="1"/>
  <c r="AA117" i="9"/>
  <c r="AI115" i="21" s="1"/>
  <c r="Z117" i="9"/>
  <c r="AI114" i="21" s="1"/>
  <c r="Y117" i="9"/>
  <c r="AI113" i="21" s="1"/>
  <c r="X117" i="9"/>
  <c r="AI112" i="21" s="1"/>
  <c r="W117" i="9"/>
  <c r="AI111" i="21" s="1"/>
  <c r="V117" i="9"/>
  <c r="AI110" i="21" s="1"/>
  <c r="U117" i="9"/>
  <c r="AI109" i="21" s="1"/>
  <c r="T117" i="9"/>
  <c r="AI108" i="21" s="1"/>
  <c r="S117" i="9"/>
  <c r="AI107" i="21" s="1"/>
  <c r="R117" i="9"/>
  <c r="AI106" i="21" s="1"/>
  <c r="Q117" i="9"/>
  <c r="AI105" i="21" s="1"/>
  <c r="P117" i="9"/>
  <c r="AI104" i="21" s="1"/>
  <c r="O117" i="9"/>
  <c r="AI103" i="21" s="1"/>
  <c r="N117" i="9"/>
  <c r="AI102" i="21" s="1"/>
  <c r="M117" i="9"/>
  <c r="AI101" i="21" s="1"/>
  <c r="L117" i="9"/>
  <c r="AI100" i="21" s="1"/>
  <c r="K117" i="9"/>
  <c r="AI99" i="21" s="1"/>
  <c r="J117" i="9"/>
  <c r="AI98" i="21" s="1"/>
  <c r="I117" i="9"/>
  <c r="AI97" i="21" s="1"/>
  <c r="H117" i="9"/>
  <c r="AI96" i="21" s="1"/>
  <c r="G117" i="9"/>
  <c r="AI95" i="21" s="1"/>
  <c r="F117" i="9"/>
  <c r="AI94" i="21" s="1"/>
  <c r="E117" i="9"/>
  <c r="AI93" i="21" s="1"/>
  <c r="D117" i="9"/>
  <c r="AI92" i="21" s="1"/>
  <c r="AX116" i="9"/>
  <c r="AV116" i="9"/>
  <c r="AU116" i="9"/>
  <c r="AK116" i="9" s="1"/>
  <c r="AH125" i="21" s="1"/>
  <c r="AT116" i="9"/>
  <c r="AI116" i="9" s="1"/>
  <c r="AH123" i="21" s="1"/>
  <c r="AS116" i="9"/>
  <c r="AR116" i="9"/>
  <c r="AQ116" i="9"/>
  <c r="AW116" i="9" s="1"/>
  <c r="AM116" i="9" s="1"/>
  <c r="AH127" i="21" s="1"/>
  <c r="AN116" i="9"/>
  <c r="AH128" i="21" s="1"/>
  <c r="AL116" i="9"/>
  <c r="AH126" i="21" s="1"/>
  <c r="AG116" i="9"/>
  <c r="AH121" i="21" s="1"/>
  <c r="AF116" i="9"/>
  <c r="AH120" i="21" s="1"/>
  <c r="AE116" i="9"/>
  <c r="AH119" i="21" s="1"/>
  <c r="AD116" i="9"/>
  <c r="AH118" i="21" s="1"/>
  <c r="AC116" i="9"/>
  <c r="AH117" i="21" s="1"/>
  <c r="AB116" i="9"/>
  <c r="AH116" i="21" s="1"/>
  <c r="AA116" i="9"/>
  <c r="AH115" i="21" s="1"/>
  <c r="Z116" i="9"/>
  <c r="AH114" i="21" s="1"/>
  <c r="Y116" i="9"/>
  <c r="AH113" i="21" s="1"/>
  <c r="X116" i="9"/>
  <c r="AH112" i="21" s="1"/>
  <c r="W116" i="9"/>
  <c r="AH111" i="21" s="1"/>
  <c r="V116" i="9"/>
  <c r="AH110" i="21" s="1"/>
  <c r="U116" i="9"/>
  <c r="AH109" i="21" s="1"/>
  <c r="T116" i="9"/>
  <c r="AH108" i="21" s="1"/>
  <c r="S116" i="9"/>
  <c r="AH107" i="21" s="1"/>
  <c r="R116" i="9"/>
  <c r="AH106" i="21" s="1"/>
  <c r="Q116" i="9"/>
  <c r="AH105" i="21" s="1"/>
  <c r="P116" i="9"/>
  <c r="AH104" i="21" s="1"/>
  <c r="O116" i="9"/>
  <c r="AH103" i="21" s="1"/>
  <c r="N116" i="9"/>
  <c r="AH102" i="21" s="1"/>
  <c r="M116" i="9"/>
  <c r="AH101" i="21" s="1"/>
  <c r="L116" i="9"/>
  <c r="AH100" i="21" s="1"/>
  <c r="K116" i="9"/>
  <c r="AH99" i="21" s="1"/>
  <c r="J116" i="9"/>
  <c r="AH98" i="21" s="1"/>
  <c r="I116" i="9"/>
  <c r="AH97" i="21" s="1"/>
  <c r="H116" i="9"/>
  <c r="AH96" i="21" s="1"/>
  <c r="G116" i="9"/>
  <c r="AH95" i="21" s="1"/>
  <c r="F116" i="9"/>
  <c r="AH94" i="21" s="1"/>
  <c r="E116" i="9"/>
  <c r="AH93" i="21" s="1"/>
  <c r="D116" i="9"/>
  <c r="AH92" i="21" s="1"/>
  <c r="AY115" i="9"/>
  <c r="AO115" i="9" s="1"/>
  <c r="AG129" i="21" s="1"/>
  <c r="AX115" i="9"/>
  <c r="AN115" i="9" s="1"/>
  <c r="AG128" i="21" s="1"/>
  <c r="AW115" i="9"/>
  <c r="AM115" i="9" s="1"/>
  <c r="AG127" i="21" s="1"/>
  <c r="AV115" i="9"/>
  <c r="AU115" i="9"/>
  <c r="AT115" i="9"/>
  <c r="AJ115" i="9" s="1"/>
  <c r="AG124" i="21" s="1"/>
  <c r="AR115" i="9"/>
  <c r="AS115" i="9" s="1"/>
  <c r="AQ115" i="9"/>
  <c r="AL115" i="9"/>
  <c r="AG126" i="21" s="1"/>
  <c r="AK115" i="9"/>
  <c r="AG125" i="21" s="1"/>
  <c r="AI115" i="9"/>
  <c r="AG123" i="21" s="1"/>
  <c r="AG115" i="9"/>
  <c r="AG121" i="21" s="1"/>
  <c r="AF115" i="9"/>
  <c r="AG120" i="21" s="1"/>
  <c r="AE115" i="9"/>
  <c r="AG119" i="21" s="1"/>
  <c r="AD115" i="9"/>
  <c r="AG118" i="21" s="1"/>
  <c r="AC115" i="9"/>
  <c r="AG117" i="21" s="1"/>
  <c r="AB115" i="9"/>
  <c r="AG116" i="21" s="1"/>
  <c r="AA115" i="9"/>
  <c r="AG115" i="21" s="1"/>
  <c r="Z115" i="9"/>
  <c r="AG114" i="21" s="1"/>
  <c r="Y115" i="9"/>
  <c r="AG113" i="21" s="1"/>
  <c r="X115" i="9"/>
  <c r="AG112" i="21" s="1"/>
  <c r="W115" i="9"/>
  <c r="AG111" i="21" s="1"/>
  <c r="V115" i="9"/>
  <c r="AG110" i="21" s="1"/>
  <c r="U115" i="9"/>
  <c r="AG109" i="21" s="1"/>
  <c r="T115" i="9"/>
  <c r="AG108" i="21" s="1"/>
  <c r="S115" i="9"/>
  <c r="AG107" i="21" s="1"/>
  <c r="R115" i="9"/>
  <c r="AG106" i="21" s="1"/>
  <c r="Q115" i="9"/>
  <c r="AG105" i="21" s="1"/>
  <c r="P115" i="9"/>
  <c r="AG104" i="21" s="1"/>
  <c r="O115" i="9"/>
  <c r="AG103" i="21" s="1"/>
  <c r="N115" i="9"/>
  <c r="AG102" i="21" s="1"/>
  <c r="M115" i="9"/>
  <c r="AG101" i="21" s="1"/>
  <c r="L115" i="9"/>
  <c r="AG100" i="21" s="1"/>
  <c r="K115" i="9"/>
  <c r="AG99" i="21" s="1"/>
  <c r="J115" i="9"/>
  <c r="AG98" i="21" s="1"/>
  <c r="I115" i="9"/>
  <c r="AG97" i="21" s="1"/>
  <c r="H115" i="9"/>
  <c r="AG96" i="21" s="1"/>
  <c r="G115" i="9"/>
  <c r="AG95" i="21" s="1"/>
  <c r="F115" i="9"/>
  <c r="AG94" i="21" s="1"/>
  <c r="E115" i="9"/>
  <c r="AG93" i="21" s="1"/>
  <c r="D115" i="9"/>
  <c r="AG92" i="21" s="1"/>
  <c r="AY114" i="9"/>
  <c r="AX114" i="9"/>
  <c r="AW114" i="9"/>
  <c r="AM114" i="9" s="1"/>
  <c r="AF127" i="21" s="1"/>
  <c r="AT114" i="9"/>
  <c r="AQ114" i="9"/>
  <c r="AR114" i="9" s="1"/>
  <c r="AS114" i="9" s="1"/>
  <c r="AO114" i="9"/>
  <c r="AF129" i="21" s="1"/>
  <c r="AN114" i="9"/>
  <c r="AF128" i="21" s="1"/>
  <c r="AJ114" i="9"/>
  <c r="AF124" i="21" s="1"/>
  <c r="AI114" i="9"/>
  <c r="AF123" i="21" s="1"/>
  <c r="AH114" i="9"/>
  <c r="AF122" i="21" s="1"/>
  <c r="AG114" i="9"/>
  <c r="AF121" i="21" s="1"/>
  <c r="AF114" i="9"/>
  <c r="AF120" i="21" s="1"/>
  <c r="AE114" i="9"/>
  <c r="AF119" i="21" s="1"/>
  <c r="AD114" i="9"/>
  <c r="AF118" i="21" s="1"/>
  <c r="AC114" i="9"/>
  <c r="AF117" i="21" s="1"/>
  <c r="AB114" i="9"/>
  <c r="AF116" i="21" s="1"/>
  <c r="AA114" i="9"/>
  <c r="AF115" i="21" s="1"/>
  <c r="Z114" i="9"/>
  <c r="AF114" i="21" s="1"/>
  <c r="Y114" i="9"/>
  <c r="AF113" i="21" s="1"/>
  <c r="X114" i="9"/>
  <c r="AF112" i="21" s="1"/>
  <c r="W114" i="9"/>
  <c r="AF111" i="21" s="1"/>
  <c r="V114" i="9"/>
  <c r="AF110" i="21" s="1"/>
  <c r="U114" i="9"/>
  <c r="AF109" i="21" s="1"/>
  <c r="T114" i="9"/>
  <c r="AF108" i="21" s="1"/>
  <c r="S114" i="9"/>
  <c r="AF107" i="21" s="1"/>
  <c r="R114" i="9"/>
  <c r="AF106" i="21" s="1"/>
  <c r="Q114" i="9"/>
  <c r="AF105" i="21" s="1"/>
  <c r="P114" i="9"/>
  <c r="AF104" i="21" s="1"/>
  <c r="O114" i="9"/>
  <c r="AF103" i="21" s="1"/>
  <c r="N114" i="9"/>
  <c r="AF102" i="21" s="1"/>
  <c r="M114" i="9"/>
  <c r="AF101" i="21" s="1"/>
  <c r="L114" i="9"/>
  <c r="AF100" i="21" s="1"/>
  <c r="K114" i="9"/>
  <c r="AF99" i="21" s="1"/>
  <c r="J114" i="9"/>
  <c r="AF98" i="21" s="1"/>
  <c r="I114" i="9"/>
  <c r="AF97" i="21" s="1"/>
  <c r="H114" i="9"/>
  <c r="AF96" i="21" s="1"/>
  <c r="G114" i="9"/>
  <c r="AF95" i="21" s="1"/>
  <c r="F114" i="9"/>
  <c r="AF94" i="21" s="1"/>
  <c r="E114" i="9"/>
  <c r="AF93" i="21" s="1"/>
  <c r="D114" i="9"/>
  <c r="AF92" i="21" s="1"/>
  <c r="AY113" i="9"/>
  <c r="AW113" i="9"/>
  <c r="AV113" i="9"/>
  <c r="AL113" i="9" s="1"/>
  <c r="AE126" i="21" s="1"/>
  <c r="AU113" i="9"/>
  <c r="AK113" i="9" s="1"/>
  <c r="AE125" i="21" s="1"/>
  <c r="AT113" i="9"/>
  <c r="AQ113" i="9"/>
  <c r="AX113" i="9" s="1"/>
  <c r="AN113" i="9" s="1"/>
  <c r="AE128" i="21" s="1"/>
  <c r="AO113" i="9"/>
  <c r="AE129" i="21" s="1"/>
  <c r="AM113" i="9"/>
  <c r="AE127" i="21" s="1"/>
  <c r="AG113" i="9"/>
  <c r="AE121" i="21" s="1"/>
  <c r="AF113" i="9"/>
  <c r="AE120" i="21" s="1"/>
  <c r="AE113" i="9"/>
  <c r="AE119" i="21" s="1"/>
  <c r="AD113" i="9"/>
  <c r="AE118" i="21" s="1"/>
  <c r="AC113" i="9"/>
  <c r="AE117" i="21" s="1"/>
  <c r="AB113" i="9"/>
  <c r="AE116" i="21" s="1"/>
  <c r="AA113" i="9"/>
  <c r="AE115" i="21" s="1"/>
  <c r="Z113" i="9"/>
  <c r="AE114" i="21" s="1"/>
  <c r="Y113" i="9"/>
  <c r="AE113" i="21" s="1"/>
  <c r="X113" i="9"/>
  <c r="AE112" i="21" s="1"/>
  <c r="W113" i="9"/>
  <c r="AE111" i="21" s="1"/>
  <c r="V113" i="9"/>
  <c r="AE110" i="21" s="1"/>
  <c r="U113" i="9"/>
  <c r="AE109" i="21" s="1"/>
  <c r="T113" i="9"/>
  <c r="AE108" i="21" s="1"/>
  <c r="S113" i="9"/>
  <c r="AE107" i="21" s="1"/>
  <c r="R113" i="9"/>
  <c r="AE106" i="21" s="1"/>
  <c r="Q113" i="9"/>
  <c r="AE105" i="21" s="1"/>
  <c r="P113" i="9"/>
  <c r="AE104" i="21" s="1"/>
  <c r="O113" i="9"/>
  <c r="AE103" i="21" s="1"/>
  <c r="N113" i="9"/>
  <c r="AE102" i="21" s="1"/>
  <c r="M113" i="9"/>
  <c r="AE101" i="21" s="1"/>
  <c r="L113" i="9"/>
  <c r="AE100" i="21" s="1"/>
  <c r="K113" i="9"/>
  <c r="AE99" i="21" s="1"/>
  <c r="J113" i="9"/>
  <c r="AE98" i="21" s="1"/>
  <c r="I113" i="9"/>
  <c r="AE97" i="21" s="1"/>
  <c r="H113" i="9"/>
  <c r="AE96" i="21" s="1"/>
  <c r="G113" i="9"/>
  <c r="AE95" i="21" s="1"/>
  <c r="F113" i="9"/>
  <c r="AE94" i="21" s="1"/>
  <c r="E113" i="9"/>
  <c r="AE93" i="21" s="1"/>
  <c r="D113" i="9"/>
  <c r="AE92" i="21" s="1"/>
  <c r="AY112" i="9"/>
  <c r="AO112" i="9" s="1"/>
  <c r="AD129" i="21" s="1"/>
  <c r="AX112" i="9"/>
  <c r="AN112" i="9" s="1"/>
  <c r="AD128" i="21" s="1"/>
  <c r="AW112" i="9"/>
  <c r="AV112" i="9"/>
  <c r="AU112" i="9"/>
  <c r="AT112" i="9"/>
  <c r="AH112" i="9" s="1"/>
  <c r="AD122" i="21" s="1"/>
  <c r="AS112" i="9"/>
  <c r="AR112" i="9"/>
  <c r="AQ112" i="9"/>
  <c r="AM112" i="9"/>
  <c r="AD127" i="21" s="1"/>
  <c r="AL112" i="9"/>
  <c r="AD126" i="21" s="1"/>
  <c r="AK112" i="9"/>
  <c r="AD125" i="21" s="1"/>
  <c r="AJ112" i="9"/>
  <c r="AD124" i="21" s="1"/>
  <c r="AI112" i="9"/>
  <c r="AD123" i="21" s="1"/>
  <c r="AG112" i="9"/>
  <c r="AD121" i="21" s="1"/>
  <c r="AF112" i="9"/>
  <c r="AD120" i="21" s="1"/>
  <c r="AE112" i="9"/>
  <c r="AD119" i="21" s="1"/>
  <c r="AD112" i="9"/>
  <c r="AD118" i="21" s="1"/>
  <c r="AC112" i="9"/>
  <c r="AD117" i="21" s="1"/>
  <c r="AB112" i="9"/>
  <c r="AD116" i="21" s="1"/>
  <c r="AA112" i="9"/>
  <c r="AD115" i="21" s="1"/>
  <c r="Z112" i="9"/>
  <c r="AD114" i="21" s="1"/>
  <c r="Y112" i="9"/>
  <c r="AD113" i="21" s="1"/>
  <c r="X112" i="9"/>
  <c r="AD112" i="21" s="1"/>
  <c r="W112" i="9"/>
  <c r="AD111" i="21" s="1"/>
  <c r="V112" i="9"/>
  <c r="AD110" i="21" s="1"/>
  <c r="U112" i="9"/>
  <c r="AD109" i="21" s="1"/>
  <c r="T112" i="9"/>
  <c r="AD108" i="21" s="1"/>
  <c r="S112" i="9"/>
  <c r="AD107" i="21" s="1"/>
  <c r="R112" i="9"/>
  <c r="AD106" i="21" s="1"/>
  <c r="Q112" i="9"/>
  <c r="AD105" i="21" s="1"/>
  <c r="P112" i="9"/>
  <c r="AD104" i="21" s="1"/>
  <c r="O112" i="9"/>
  <c r="AD103" i="21" s="1"/>
  <c r="N112" i="9"/>
  <c r="AD102" i="21" s="1"/>
  <c r="M112" i="9"/>
  <c r="AD101" i="21" s="1"/>
  <c r="L112" i="9"/>
  <c r="AD100" i="21" s="1"/>
  <c r="K112" i="9"/>
  <c r="AD99" i="21" s="1"/>
  <c r="J112" i="9"/>
  <c r="AD98" i="21" s="1"/>
  <c r="I112" i="9"/>
  <c r="AD97" i="21" s="1"/>
  <c r="H112" i="9"/>
  <c r="AD96" i="21" s="1"/>
  <c r="G112" i="9"/>
  <c r="AD95" i="21" s="1"/>
  <c r="F112" i="9"/>
  <c r="AD94" i="21" s="1"/>
  <c r="E112" i="9"/>
  <c r="AD93" i="21" s="1"/>
  <c r="D112" i="9"/>
  <c r="AD92" i="21" s="1"/>
  <c r="AX111" i="9"/>
  <c r="AN111" i="9" s="1"/>
  <c r="AC128" i="21" s="1"/>
  <c r="AQ111" i="9"/>
  <c r="AU111" i="9" s="1"/>
  <c r="AK111" i="9" s="1"/>
  <c r="AC125" i="21" s="1"/>
  <c r="AG111" i="9"/>
  <c r="AC121" i="21" s="1"/>
  <c r="AF111" i="9"/>
  <c r="AC120" i="21" s="1"/>
  <c r="AE111" i="9"/>
  <c r="AC119" i="21" s="1"/>
  <c r="AD111" i="9"/>
  <c r="AC118" i="21" s="1"/>
  <c r="AC111" i="9"/>
  <c r="AC117" i="21" s="1"/>
  <c r="AB111" i="9"/>
  <c r="AC116" i="21" s="1"/>
  <c r="AA111" i="9"/>
  <c r="AC115" i="21" s="1"/>
  <c r="Z111" i="9"/>
  <c r="AC114" i="21" s="1"/>
  <c r="Y111" i="9"/>
  <c r="AC113" i="21" s="1"/>
  <c r="X111" i="9"/>
  <c r="AC112" i="21" s="1"/>
  <c r="W111" i="9"/>
  <c r="AC111" i="21" s="1"/>
  <c r="V111" i="9"/>
  <c r="AC110" i="21" s="1"/>
  <c r="U111" i="9"/>
  <c r="AC109" i="21" s="1"/>
  <c r="T111" i="9"/>
  <c r="AC108" i="21" s="1"/>
  <c r="S111" i="9"/>
  <c r="AC107" i="21" s="1"/>
  <c r="R111" i="9"/>
  <c r="AC106" i="21" s="1"/>
  <c r="Q111" i="9"/>
  <c r="AC105" i="21" s="1"/>
  <c r="P111" i="9"/>
  <c r="AC104" i="21" s="1"/>
  <c r="O111" i="9"/>
  <c r="AC103" i="21" s="1"/>
  <c r="N111" i="9"/>
  <c r="AC102" i="21" s="1"/>
  <c r="M111" i="9"/>
  <c r="AC101" i="21" s="1"/>
  <c r="L111" i="9"/>
  <c r="AC100" i="21" s="1"/>
  <c r="K111" i="9"/>
  <c r="AC99" i="21" s="1"/>
  <c r="J111" i="9"/>
  <c r="AC98" i="21" s="1"/>
  <c r="I111" i="9"/>
  <c r="AC97" i="21" s="1"/>
  <c r="H111" i="9"/>
  <c r="AC96" i="21" s="1"/>
  <c r="G111" i="9"/>
  <c r="AC95" i="21" s="1"/>
  <c r="F111" i="9"/>
  <c r="AC94" i="21" s="1"/>
  <c r="E111" i="9"/>
  <c r="AC93" i="21" s="1"/>
  <c r="D111" i="9"/>
  <c r="AC92" i="21" s="1"/>
  <c r="AV110" i="9"/>
  <c r="AL110" i="9" s="1"/>
  <c r="AB126" i="21" s="1"/>
  <c r="AU110" i="9"/>
  <c r="AK110" i="9" s="1"/>
  <c r="AB125" i="21" s="1"/>
  <c r="AQ110" i="9"/>
  <c r="AY110" i="9" s="1"/>
  <c r="AO110" i="9" s="1"/>
  <c r="AB129" i="21" s="1"/>
  <c r="AG110" i="9"/>
  <c r="AB121" i="21" s="1"/>
  <c r="AF110" i="9"/>
  <c r="AB120" i="21" s="1"/>
  <c r="AE110" i="9"/>
  <c r="AB119" i="21" s="1"/>
  <c r="AD110" i="9"/>
  <c r="AB118" i="21" s="1"/>
  <c r="AC110" i="9"/>
  <c r="AB117" i="21" s="1"/>
  <c r="AB110" i="9"/>
  <c r="AB116" i="21" s="1"/>
  <c r="AA110" i="9"/>
  <c r="AB115" i="21" s="1"/>
  <c r="Z110" i="9"/>
  <c r="AB114" i="21" s="1"/>
  <c r="Y110" i="9"/>
  <c r="AB113" i="21" s="1"/>
  <c r="X110" i="9"/>
  <c r="AB112" i="21" s="1"/>
  <c r="W110" i="9"/>
  <c r="AB111" i="21" s="1"/>
  <c r="V110" i="9"/>
  <c r="AB110" i="21" s="1"/>
  <c r="U110" i="9"/>
  <c r="AB109" i="21" s="1"/>
  <c r="T110" i="9"/>
  <c r="AB108" i="21" s="1"/>
  <c r="S110" i="9"/>
  <c r="AB107" i="21" s="1"/>
  <c r="R110" i="9"/>
  <c r="AB106" i="21" s="1"/>
  <c r="Q110" i="9"/>
  <c r="AB105" i="21" s="1"/>
  <c r="P110" i="9"/>
  <c r="AB104" i="21" s="1"/>
  <c r="O110" i="9"/>
  <c r="AB103" i="21" s="1"/>
  <c r="N110" i="9"/>
  <c r="AB102" i="21" s="1"/>
  <c r="M110" i="9"/>
  <c r="AB101" i="21" s="1"/>
  <c r="L110" i="9"/>
  <c r="AB100" i="21" s="1"/>
  <c r="K110" i="9"/>
  <c r="AB99" i="21" s="1"/>
  <c r="J110" i="9"/>
  <c r="AB98" i="21" s="1"/>
  <c r="I110" i="9"/>
  <c r="AB97" i="21" s="1"/>
  <c r="H110" i="9"/>
  <c r="AB96" i="21" s="1"/>
  <c r="G110" i="9"/>
  <c r="AB95" i="21" s="1"/>
  <c r="F110" i="9"/>
  <c r="AB94" i="21" s="1"/>
  <c r="E110" i="9"/>
  <c r="AB93" i="21" s="1"/>
  <c r="D110" i="9"/>
  <c r="AB92" i="21" s="1"/>
  <c r="AY109" i="9"/>
  <c r="AO109" i="9" s="1"/>
  <c r="AA129" i="21" s="1"/>
  <c r="AV109" i="9"/>
  <c r="AU109" i="9"/>
  <c r="AT109" i="9"/>
  <c r="AJ109" i="9" s="1"/>
  <c r="AA124" i="21" s="1"/>
  <c r="AQ109" i="9"/>
  <c r="AX109" i="9" s="1"/>
  <c r="AN109" i="9" s="1"/>
  <c r="AA128" i="21" s="1"/>
  <c r="AL109" i="9"/>
  <c r="AA126" i="21" s="1"/>
  <c r="AK109" i="9"/>
  <c r="AA125" i="21" s="1"/>
  <c r="AG109" i="9"/>
  <c r="AA121" i="21" s="1"/>
  <c r="AF109" i="9"/>
  <c r="AA120" i="21" s="1"/>
  <c r="AE109" i="9"/>
  <c r="AA119" i="21" s="1"/>
  <c r="AD109" i="9"/>
  <c r="AA118" i="21" s="1"/>
  <c r="AC109" i="9"/>
  <c r="AA117" i="21" s="1"/>
  <c r="AB109" i="9"/>
  <c r="AA116" i="21" s="1"/>
  <c r="AA109" i="9"/>
  <c r="AA115" i="21" s="1"/>
  <c r="Z109" i="9"/>
  <c r="AA114" i="21" s="1"/>
  <c r="Y109" i="9"/>
  <c r="AA113" i="21" s="1"/>
  <c r="X109" i="9"/>
  <c r="AA112" i="21" s="1"/>
  <c r="W109" i="9"/>
  <c r="AA111" i="21" s="1"/>
  <c r="V109" i="9"/>
  <c r="AA110" i="21" s="1"/>
  <c r="U109" i="9"/>
  <c r="AA109" i="21" s="1"/>
  <c r="T109" i="9"/>
  <c r="AA108" i="21" s="1"/>
  <c r="S109" i="9"/>
  <c r="AA107" i="21" s="1"/>
  <c r="R109" i="9"/>
  <c r="AA106" i="21" s="1"/>
  <c r="Q109" i="9"/>
  <c r="AA105" i="21" s="1"/>
  <c r="P109" i="9"/>
  <c r="AA104" i="21" s="1"/>
  <c r="O109" i="9"/>
  <c r="AA103" i="21" s="1"/>
  <c r="N109" i="9"/>
  <c r="AA102" i="21" s="1"/>
  <c r="M109" i="9"/>
  <c r="AA101" i="21" s="1"/>
  <c r="L109" i="9"/>
  <c r="AA100" i="21" s="1"/>
  <c r="K109" i="9"/>
  <c r="AA99" i="21" s="1"/>
  <c r="J109" i="9"/>
  <c r="AA98" i="21" s="1"/>
  <c r="I109" i="9"/>
  <c r="AA97" i="21" s="1"/>
  <c r="H109" i="9"/>
  <c r="AA96" i="21" s="1"/>
  <c r="G109" i="9"/>
  <c r="AA95" i="21" s="1"/>
  <c r="F109" i="9"/>
  <c r="AA94" i="21" s="1"/>
  <c r="E109" i="9"/>
  <c r="AA93" i="21" s="1"/>
  <c r="D109" i="9"/>
  <c r="AA92" i="21" s="1"/>
  <c r="AQ108" i="9"/>
  <c r="AG108" i="9"/>
  <c r="Z121" i="21" s="1"/>
  <c r="AF108" i="9"/>
  <c r="Z120" i="21" s="1"/>
  <c r="AE108" i="9"/>
  <c r="Z119" i="21" s="1"/>
  <c r="AD108" i="9"/>
  <c r="Z118" i="21" s="1"/>
  <c r="AC108" i="9"/>
  <c r="Z117" i="21" s="1"/>
  <c r="AB108" i="9"/>
  <c r="Z116" i="21" s="1"/>
  <c r="AA108" i="9"/>
  <c r="Z115" i="21" s="1"/>
  <c r="Z108" i="9"/>
  <c r="Z114" i="21" s="1"/>
  <c r="Y108" i="9"/>
  <c r="Z113" i="21" s="1"/>
  <c r="X108" i="9"/>
  <c r="Z112" i="21" s="1"/>
  <c r="W108" i="9"/>
  <c r="Z111" i="21" s="1"/>
  <c r="V108" i="9"/>
  <c r="Z110" i="21" s="1"/>
  <c r="U108" i="9"/>
  <c r="Z109" i="21" s="1"/>
  <c r="T108" i="9"/>
  <c r="Z108" i="21" s="1"/>
  <c r="S108" i="9"/>
  <c r="Z107" i="21" s="1"/>
  <c r="R108" i="9"/>
  <c r="Z106" i="21" s="1"/>
  <c r="Q108" i="9"/>
  <c r="Z105" i="21" s="1"/>
  <c r="P108" i="9"/>
  <c r="Z104" i="21" s="1"/>
  <c r="O108" i="9"/>
  <c r="Z103" i="21" s="1"/>
  <c r="N108" i="9"/>
  <c r="Z102" i="21" s="1"/>
  <c r="M108" i="9"/>
  <c r="Z101" i="21" s="1"/>
  <c r="L108" i="9"/>
  <c r="Z100" i="21" s="1"/>
  <c r="K108" i="9"/>
  <c r="Z99" i="21" s="1"/>
  <c r="J108" i="9"/>
  <c r="Z98" i="21" s="1"/>
  <c r="I108" i="9"/>
  <c r="Z97" i="21" s="1"/>
  <c r="H108" i="9"/>
  <c r="Z96" i="21" s="1"/>
  <c r="G108" i="9"/>
  <c r="Z95" i="21" s="1"/>
  <c r="F108" i="9"/>
  <c r="Z94" i="21" s="1"/>
  <c r="E108" i="9"/>
  <c r="Z93" i="21" s="1"/>
  <c r="D108" i="9"/>
  <c r="Z92" i="21" s="1"/>
  <c r="AW107" i="9"/>
  <c r="AM107" i="9" s="1"/>
  <c r="Y127" i="21" s="1"/>
  <c r="AV107" i="9"/>
  <c r="AL107" i="9" s="1"/>
  <c r="Y126" i="21" s="1"/>
  <c r="AU107" i="9"/>
  <c r="AK107" i="9" s="1"/>
  <c r="Y125" i="21" s="1"/>
  <c r="AR107" i="9"/>
  <c r="AS107" i="9" s="1"/>
  <c r="AQ107" i="9"/>
  <c r="AY107" i="9" s="1"/>
  <c r="AO107" i="9" s="1"/>
  <c r="Y129" i="21" s="1"/>
  <c r="AG107" i="9"/>
  <c r="Y121" i="21" s="1"/>
  <c r="AF107" i="9"/>
  <c r="Y120" i="21" s="1"/>
  <c r="AE107" i="9"/>
  <c r="Y119" i="21" s="1"/>
  <c r="AD107" i="9"/>
  <c r="Y118" i="21" s="1"/>
  <c r="AC107" i="9"/>
  <c r="Y117" i="21" s="1"/>
  <c r="AB107" i="9"/>
  <c r="Y116" i="21" s="1"/>
  <c r="AA107" i="9"/>
  <c r="Y115" i="21" s="1"/>
  <c r="Z107" i="9"/>
  <c r="Y114" i="21" s="1"/>
  <c r="Y107" i="9"/>
  <c r="Y113" i="21" s="1"/>
  <c r="X107" i="9"/>
  <c r="Y112" i="21" s="1"/>
  <c r="W107" i="9"/>
  <c r="Y111" i="21" s="1"/>
  <c r="V107" i="9"/>
  <c r="Y110" i="21" s="1"/>
  <c r="U107" i="9"/>
  <c r="Y109" i="21" s="1"/>
  <c r="T107" i="9"/>
  <c r="Y108" i="21" s="1"/>
  <c r="S107" i="9"/>
  <c r="Y107" i="21" s="1"/>
  <c r="R107" i="9"/>
  <c r="Y106" i="21" s="1"/>
  <c r="Q107" i="9"/>
  <c r="Y105" i="21" s="1"/>
  <c r="P107" i="9"/>
  <c r="Y104" i="21" s="1"/>
  <c r="O107" i="9"/>
  <c r="Y103" i="21" s="1"/>
  <c r="N107" i="9"/>
  <c r="Y102" i="21" s="1"/>
  <c r="M107" i="9"/>
  <c r="Y101" i="21" s="1"/>
  <c r="L107" i="9"/>
  <c r="Y100" i="21" s="1"/>
  <c r="K107" i="9"/>
  <c r="Y99" i="21" s="1"/>
  <c r="J107" i="9"/>
  <c r="Y98" i="21" s="1"/>
  <c r="I107" i="9"/>
  <c r="Y97" i="21" s="1"/>
  <c r="H107" i="9"/>
  <c r="Y96" i="21" s="1"/>
  <c r="G107" i="9"/>
  <c r="Y95" i="21" s="1"/>
  <c r="F107" i="9"/>
  <c r="Y94" i="21" s="1"/>
  <c r="E107" i="9"/>
  <c r="Y93" i="21" s="1"/>
  <c r="D107" i="9"/>
  <c r="Y92" i="21" s="1"/>
  <c r="AX106" i="9"/>
  <c r="AW106" i="9"/>
  <c r="AV106" i="9"/>
  <c r="AU106" i="9"/>
  <c r="AK106" i="9" s="1"/>
  <c r="X125" i="21" s="1"/>
  <c r="AT106" i="9"/>
  <c r="AJ106" i="9" s="1"/>
  <c r="X124" i="21" s="1"/>
  <c r="AR106" i="9"/>
  <c r="AS106" i="9" s="1"/>
  <c r="AQ106" i="9"/>
  <c r="AY106" i="9" s="1"/>
  <c r="AO106" i="9" s="1"/>
  <c r="X129" i="21" s="1"/>
  <c r="AN106" i="9"/>
  <c r="X128" i="21" s="1"/>
  <c r="AM106" i="9"/>
  <c r="X127" i="21" s="1"/>
  <c r="AL106" i="9"/>
  <c r="X126" i="21" s="1"/>
  <c r="AH106" i="9"/>
  <c r="X122" i="21" s="1"/>
  <c r="AG106" i="9"/>
  <c r="X121" i="21" s="1"/>
  <c r="AF106" i="9"/>
  <c r="X120" i="21" s="1"/>
  <c r="AE106" i="9"/>
  <c r="X119" i="21" s="1"/>
  <c r="AD106" i="9"/>
  <c r="X118" i="21" s="1"/>
  <c r="AC106" i="9"/>
  <c r="X117" i="21" s="1"/>
  <c r="AB106" i="9"/>
  <c r="X116" i="21" s="1"/>
  <c r="AA106" i="9"/>
  <c r="X115" i="21" s="1"/>
  <c r="Z106" i="9"/>
  <c r="X114" i="21" s="1"/>
  <c r="Y106" i="9"/>
  <c r="X113" i="21" s="1"/>
  <c r="X106" i="9"/>
  <c r="X112" i="21" s="1"/>
  <c r="W106" i="9"/>
  <c r="X111" i="21" s="1"/>
  <c r="V106" i="9"/>
  <c r="X110" i="21" s="1"/>
  <c r="U106" i="9"/>
  <c r="X109" i="21" s="1"/>
  <c r="T106" i="9"/>
  <c r="X108" i="21" s="1"/>
  <c r="S106" i="9"/>
  <c r="X107" i="21" s="1"/>
  <c r="R106" i="9"/>
  <c r="X106" i="21" s="1"/>
  <c r="Q106" i="9"/>
  <c r="X105" i="21" s="1"/>
  <c r="P106" i="9"/>
  <c r="X104" i="21" s="1"/>
  <c r="O106" i="9"/>
  <c r="X103" i="21" s="1"/>
  <c r="N106" i="9"/>
  <c r="X102" i="21" s="1"/>
  <c r="M106" i="9"/>
  <c r="X101" i="21" s="1"/>
  <c r="L106" i="9"/>
  <c r="X100" i="21" s="1"/>
  <c r="K106" i="9"/>
  <c r="X99" i="21" s="1"/>
  <c r="J106" i="9"/>
  <c r="X98" i="21" s="1"/>
  <c r="I106" i="9"/>
  <c r="X97" i="21" s="1"/>
  <c r="H106" i="9"/>
  <c r="X96" i="21" s="1"/>
  <c r="G106" i="9"/>
  <c r="X95" i="21" s="1"/>
  <c r="F106" i="9"/>
  <c r="X94" i="21" s="1"/>
  <c r="E106" i="9"/>
  <c r="X93" i="21" s="1"/>
  <c r="D106" i="9"/>
  <c r="X92" i="21" s="1"/>
  <c r="AR105" i="9"/>
  <c r="AS105" i="9" s="1"/>
  <c r="AQ105" i="9"/>
  <c r="AW105" i="9" s="1"/>
  <c r="AM105" i="9" s="1"/>
  <c r="W127" i="21" s="1"/>
  <c r="AG105" i="9"/>
  <c r="W121" i="21" s="1"/>
  <c r="AF105" i="9"/>
  <c r="W120" i="21" s="1"/>
  <c r="AE105" i="9"/>
  <c r="W119" i="21" s="1"/>
  <c r="AD105" i="9"/>
  <c r="W118" i="21" s="1"/>
  <c r="AC105" i="9"/>
  <c r="W117" i="21" s="1"/>
  <c r="AB105" i="9"/>
  <c r="W116" i="21" s="1"/>
  <c r="AA105" i="9"/>
  <c r="W115" i="21" s="1"/>
  <c r="Z105" i="9"/>
  <c r="W114" i="21" s="1"/>
  <c r="Y105" i="9"/>
  <c r="W113" i="21" s="1"/>
  <c r="X105" i="9"/>
  <c r="W112" i="21" s="1"/>
  <c r="W105" i="9"/>
  <c r="W111" i="21" s="1"/>
  <c r="V105" i="9"/>
  <c r="W110" i="21" s="1"/>
  <c r="U105" i="9"/>
  <c r="W109" i="21" s="1"/>
  <c r="T105" i="9"/>
  <c r="W108" i="21" s="1"/>
  <c r="S105" i="9"/>
  <c r="W107" i="21" s="1"/>
  <c r="R105" i="9"/>
  <c r="W106" i="21" s="1"/>
  <c r="Q105" i="9"/>
  <c r="W105" i="21" s="1"/>
  <c r="P105" i="9"/>
  <c r="W104" i="21" s="1"/>
  <c r="O105" i="9"/>
  <c r="W103" i="21" s="1"/>
  <c r="N105" i="9"/>
  <c r="W102" i="21" s="1"/>
  <c r="M105" i="9"/>
  <c r="W101" i="21" s="1"/>
  <c r="L105" i="9"/>
  <c r="W100" i="21" s="1"/>
  <c r="K105" i="9"/>
  <c r="W99" i="21" s="1"/>
  <c r="J105" i="9"/>
  <c r="W98" i="21" s="1"/>
  <c r="I105" i="9"/>
  <c r="W97" i="21" s="1"/>
  <c r="H105" i="9"/>
  <c r="W96" i="21" s="1"/>
  <c r="G105" i="9"/>
  <c r="W95" i="21" s="1"/>
  <c r="F105" i="9"/>
  <c r="W94" i="21" s="1"/>
  <c r="E105" i="9"/>
  <c r="W93" i="21" s="1"/>
  <c r="D105" i="9"/>
  <c r="W92" i="21" s="1"/>
  <c r="AW104" i="9"/>
  <c r="AM104" i="9" s="1"/>
  <c r="V127" i="21" s="1"/>
  <c r="AQ104" i="9"/>
  <c r="AY104" i="9" s="1"/>
  <c r="AO104" i="9" s="1"/>
  <c r="V129" i="21" s="1"/>
  <c r="AG104" i="9"/>
  <c r="V121" i="21" s="1"/>
  <c r="AF104" i="9"/>
  <c r="V120" i="21" s="1"/>
  <c r="AE104" i="9"/>
  <c r="V119" i="21" s="1"/>
  <c r="AD104" i="9"/>
  <c r="V118" i="21" s="1"/>
  <c r="AC104" i="9"/>
  <c r="V117" i="21" s="1"/>
  <c r="AB104" i="9"/>
  <c r="V116" i="21" s="1"/>
  <c r="AA104" i="9"/>
  <c r="V115" i="21" s="1"/>
  <c r="Z104" i="9"/>
  <c r="V114" i="21" s="1"/>
  <c r="Y104" i="9"/>
  <c r="V113" i="21" s="1"/>
  <c r="X104" i="9"/>
  <c r="V112" i="21" s="1"/>
  <c r="W104" i="9"/>
  <c r="V111" i="21" s="1"/>
  <c r="V104" i="9"/>
  <c r="V110" i="21" s="1"/>
  <c r="U104" i="9"/>
  <c r="V109" i="21" s="1"/>
  <c r="T104" i="9"/>
  <c r="V108" i="21" s="1"/>
  <c r="S104" i="9"/>
  <c r="V107" i="21" s="1"/>
  <c r="R104" i="9"/>
  <c r="V106" i="21" s="1"/>
  <c r="Q104" i="9"/>
  <c r="V105" i="21" s="1"/>
  <c r="P104" i="9"/>
  <c r="V104" i="21" s="1"/>
  <c r="O104" i="9"/>
  <c r="V103" i="21" s="1"/>
  <c r="N104" i="9"/>
  <c r="V102" i="21" s="1"/>
  <c r="M104" i="9"/>
  <c r="V101" i="21" s="1"/>
  <c r="L104" i="9"/>
  <c r="V100" i="21" s="1"/>
  <c r="K104" i="9"/>
  <c r="V99" i="21" s="1"/>
  <c r="J104" i="9"/>
  <c r="V98" i="21" s="1"/>
  <c r="I104" i="9"/>
  <c r="V97" i="21" s="1"/>
  <c r="H104" i="9"/>
  <c r="V96" i="21" s="1"/>
  <c r="G104" i="9"/>
  <c r="V95" i="21" s="1"/>
  <c r="F104" i="9"/>
  <c r="V94" i="21" s="1"/>
  <c r="E104" i="9"/>
  <c r="V93" i="21" s="1"/>
  <c r="D104" i="9"/>
  <c r="V92" i="21" s="1"/>
  <c r="AX103" i="9"/>
  <c r="AW103" i="9"/>
  <c r="AV103" i="9"/>
  <c r="AL103" i="9" s="1"/>
  <c r="U126" i="21" s="1"/>
  <c r="AU103" i="9"/>
  <c r="AK103" i="9" s="1"/>
  <c r="U125" i="21" s="1"/>
  <c r="AQ103" i="9"/>
  <c r="AR103" i="9" s="1"/>
  <c r="AS103" i="9" s="1"/>
  <c r="AN103" i="9"/>
  <c r="U128" i="21" s="1"/>
  <c r="AM103" i="9"/>
  <c r="U127" i="21" s="1"/>
  <c r="AG103" i="9"/>
  <c r="U121" i="21" s="1"/>
  <c r="AF103" i="9"/>
  <c r="U120" i="21" s="1"/>
  <c r="AE103" i="9"/>
  <c r="U119" i="21" s="1"/>
  <c r="AD103" i="9"/>
  <c r="U118" i="21" s="1"/>
  <c r="AC103" i="9"/>
  <c r="U117" i="21" s="1"/>
  <c r="AB103" i="9"/>
  <c r="U116" i="21" s="1"/>
  <c r="AA103" i="9"/>
  <c r="U115" i="21" s="1"/>
  <c r="Z103" i="9"/>
  <c r="U114" i="21" s="1"/>
  <c r="Y103" i="9"/>
  <c r="U113" i="21" s="1"/>
  <c r="X103" i="9"/>
  <c r="U112" i="21" s="1"/>
  <c r="W103" i="9"/>
  <c r="U111" i="21" s="1"/>
  <c r="V103" i="9"/>
  <c r="U110" i="21" s="1"/>
  <c r="U103" i="9"/>
  <c r="U109" i="21" s="1"/>
  <c r="T103" i="9"/>
  <c r="U108" i="21" s="1"/>
  <c r="S103" i="9"/>
  <c r="U107" i="21" s="1"/>
  <c r="R103" i="9"/>
  <c r="U106" i="21" s="1"/>
  <c r="Q103" i="9"/>
  <c r="U105" i="21" s="1"/>
  <c r="P103" i="9"/>
  <c r="U104" i="21" s="1"/>
  <c r="O103" i="9"/>
  <c r="U103" i="21" s="1"/>
  <c r="N103" i="9"/>
  <c r="U102" i="21" s="1"/>
  <c r="M103" i="9"/>
  <c r="U101" i="21" s="1"/>
  <c r="L103" i="9"/>
  <c r="U100" i="21" s="1"/>
  <c r="K103" i="9"/>
  <c r="U99" i="21" s="1"/>
  <c r="J103" i="9"/>
  <c r="U98" i="21" s="1"/>
  <c r="I103" i="9"/>
  <c r="U97" i="21" s="1"/>
  <c r="H103" i="9"/>
  <c r="U96" i="21" s="1"/>
  <c r="G103" i="9"/>
  <c r="U95" i="21" s="1"/>
  <c r="F103" i="9"/>
  <c r="U94" i="21" s="1"/>
  <c r="E103" i="9"/>
  <c r="U93" i="21" s="1"/>
  <c r="D103" i="9"/>
  <c r="U92" i="21" s="1"/>
  <c r="AX102" i="9"/>
  <c r="AW102" i="9"/>
  <c r="AV102" i="9"/>
  <c r="AU102" i="9"/>
  <c r="AK102" i="9" s="1"/>
  <c r="T125" i="21" s="1"/>
  <c r="AT102" i="9"/>
  <c r="AI102" i="9" s="1"/>
  <c r="T123" i="21" s="1"/>
  <c r="AS102" i="9"/>
  <c r="AR102" i="9"/>
  <c r="AQ102" i="9"/>
  <c r="AY102" i="9" s="1"/>
  <c r="AO102" i="9" s="1"/>
  <c r="T129" i="21" s="1"/>
  <c r="AN102" i="9"/>
  <c r="T128" i="21" s="1"/>
  <c r="AM102" i="9"/>
  <c r="T127" i="21" s="1"/>
  <c r="AL102" i="9"/>
  <c r="T126" i="21" s="1"/>
  <c r="AG102" i="9"/>
  <c r="T121" i="21" s="1"/>
  <c r="AF102" i="9"/>
  <c r="T120" i="21" s="1"/>
  <c r="AE102" i="9"/>
  <c r="T119" i="21" s="1"/>
  <c r="AD102" i="9"/>
  <c r="T118" i="21" s="1"/>
  <c r="AC102" i="9"/>
  <c r="T117" i="21" s="1"/>
  <c r="AB102" i="9"/>
  <c r="T116" i="21" s="1"/>
  <c r="AA102" i="9"/>
  <c r="T115" i="21" s="1"/>
  <c r="Z102" i="9"/>
  <c r="T114" i="21" s="1"/>
  <c r="Y102" i="9"/>
  <c r="T113" i="21" s="1"/>
  <c r="X102" i="9"/>
  <c r="T112" i="21" s="1"/>
  <c r="W102" i="9"/>
  <c r="T111" i="21" s="1"/>
  <c r="V102" i="9"/>
  <c r="T110" i="21" s="1"/>
  <c r="U102" i="9"/>
  <c r="T109" i="21" s="1"/>
  <c r="T102" i="9"/>
  <c r="T108" i="21" s="1"/>
  <c r="S102" i="9"/>
  <c r="T107" i="21" s="1"/>
  <c r="R102" i="9"/>
  <c r="T106" i="21" s="1"/>
  <c r="Q102" i="9"/>
  <c r="T105" i="21" s="1"/>
  <c r="P102" i="9"/>
  <c r="T104" i="21" s="1"/>
  <c r="O102" i="9"/>
  <c r="T103" i="21" s="1"/>
  <c r="N102" i="9"/>
  <c r="T102" i="21" s="1"/>
  <c r="M102" i="9"/>
  <c r="T101" i="21" s="1"/>
  <c r="L102" i="9"/>
  <c r="T100" i="21" s="1"/>
  <c r="K102" i="9"/>
  <c r="T99" i="21" s="1"/>
  <c r="J102" i="9"/>
  <c r="T98" i="21" s="1"/>
  <c r="I102" i="9"/>
  <c r="T97" i="21" s="1"/>
  <c r="H102" i="9"/>
  <c r="T96" i="21" s="1"/>
  <c r="G102" i="9"/>
  <c r="T95" i="21" s="1"/>
  <c r="F102" i="9"/>
  <c r="T94" i="21" s="1"/>
  <c r="E102" i="9"/>
  <c r="T93" i="21" s="1"/>
  <c r="D102" i="9"/>
  <c r="T92" i="21" s="1"/>
  <c r="AY101" i="9"/>
  <c r="AO101" i="9" s="1"/>
  <c r="S129" i="21" s="1"/>
  <c r="AX101" i="9"/>
  <c r="AN101" i="9" s="1"/>
  <c r="S128" i="21" s="1"/>
  <c r="AW101" i="9"/>
  <c r="AM101" i="9" s="1"/>
  <c r="S127" i="21" s="1"/>
  <c r="AT101" i="9"/>
  <c r="AH101" i="9" s="1"/>
  <c r="S122" i="21" s="1"/>
  <c r="AR101" i="9"/>
  <c r="AS101" i="9" s="1"/>
  <c r="AQ101" i="9"/>
  <c r="AV101" i="9" s="1"/>
  <c r="AL101" i="9" s="1"/>
  <c r="S126" i="21" s="1"/>
  <c r="AJ101" i="9"/>
  <c r="S124" i="21" s="1"/>
  <c r="AI101" i="9"/>
  <c r="S123" i="21" s="1"/>
  <c r="AG101" i="9"/>
  <c r="S121" i="21" s="1"/>
  <c r="AF101" i="9"/>
  <c r="S120" i="21" s="1"/>
  <c r="AE101" i="9"/>
  <c r="S119" i="21" s="1"/>
  <c r="AD101" i="9"/>
  <c r="S118" i="21" s="1"/>
  <c r="AC101" i="9"/>
  <c r="S117" i="21" s="1"/>
  <c r="AB101" i="9"/>
  <c r="S116" i="21" s="1"/>
  <c r="AA101" i="9"/>
  <c r="S115" i="21" s="1"/>
  <c r="Z101" i="9"/>
  <c r="S114" i="21" s="1"/>
  <c r="Y101" i="9"/>
  <c r="S113" i="21" s="1"/>
  <c r="X101" i="9"/>
  <c r="S112" i="21" s="1"/>
  <c r="W101" i="9"/>
  <c r="S111" i="21" s="1"/>
  <c r="V101" i="9"/>
  <c r="S110" i="21" s="1"/>
  <c r="U101" i="9"/>
  <c r="S109" i="21" s="1"/>
  <c r="T101" i="9"/>
  <c r="S108" i="21" s="1"/>
  <c r="S101" i="9"/>
  <c r="S107" i="21" s="1"/>
  <c r="R101" i="9"/>
  <c r="S106" i="21" s="1"/>
  <c r="Q101" i="9"/>
  <c r="S105" i="21" s="1"/>
  <c r="P101" i="9"/>
  <c r="S104" i="21" s="1"/>
  <c r="O101" i="9"/>
  <c r="S103" i="21" s="1"/>
  <c r="N101" i="9"/>
  <c r="S102" i="21" s="1"/>
  <c r="M101" i="9"/>
  <c r="S101" i="21" s="1"/>
  <c r="L101" i="9"/>
  <c r="S100" i="21" s="1"/>
  <c r="K101" i="9"/>
  <c r="S99" i="21" s="1"/>
  <c r="J101" i="9"/>
  <c r="S98" i="21" s="1"/>
  <c r="I101" i="9"/>
  <c r="S97" i="21" s="1"/>
  <c r="H101" i="9"/>
  <c r="S96" i="21" s="1"/>
  <c r="G101" i="9"/>
  <c r="S95" i="21" s="1"/>
  <c r="F101" i="9"/>
  <c r="S94" i="21" s="1"/>
  <c r="E101" i="9"/>
  <c r="S93" i="21" s="1"/>
  <c r="D101" i="9"/>
  <c r="S92" i="21" s="1"/>
  <c r="AY100" i="9"/>
  <c r="AX100" i="9"/>
  <c r="AW100" i="9"/>
  <c r="AM100" i="9" s="1"/>
  <c r="R127" i="21" s="1"/>
  <c r="AT100" i="9"/>
  <c r="AQ100" i="9"/>
  <c r="AR100" i="9" s="1"/>
  <c r="AS100" i="9" s="1"/>
  <c r="AO100" i="9"/>
  <c r="R129" i="21" s="1"/>
  <c r="AN100" i="9"/>
  <c r="R128" i="21" s="1"/>
  <c r="AJ100" i="9"/>
  <c r="R124" i="21" s="1"/>
  <c r="AI100" i="9"/>
  <c r="R123" i="21" s="1"/>
  <c r="AH100" i="9"/>
  <c r="R122" i="21" s="1"/>
  <c r="AG100" i="9"/>
  <c r="R121" i="21" s="1"/>
  <c r="AF100" i="9"/>
  <c r="R120" i="21" s="1"/>
  <c r="AE100" i="9"/>
  <c r="R119" i="21" s="1"/>
  <c r="AD100" i="9"/>
  <c r="R118" i="21" s="1"/>
  <c r="AC100" i="9"/>
  <c r="R117" i="21" s="1"/>
  <c r="AB100" i="9"/>
  <c r="R116" i="21" s="1"/>
  <c r="AA100" i="9"/>
  <c r="R115" i="21" s="1"/>
  <c r="Z100" i="9"/>
  <c r="R114" i="21" s="1"/>
  <c r="Y100" i="9"/>
  <c r="R113" i="21" s="1"/>
  <c r="X100" i="9"/>
  <c r="R112" i="21" s="1"/>
  <c r="W100" i="9"/>
  <c r="R111" i="21" s="1"/>
  <c r="V100" i="9"/>
  <c r="R110" i="21" s="1"/>
  <c r="U100" i="9"/>
  <c r="R109" i="21" s="1"/>
  <c r="T100" i="9"/>
  <c r="R108" i="21" s="1"/>
  <c r="S100" i="9"/>
  <c r="R107" i="21" s="1"/>
  <c r="R100" i="9"/>
  <c r="R106" i="21" s="1"/>
  <c r="Q100" i="9"/>
  <c r="R105" i="21" s="1"/>
  <c r="P100" i="9"/>
  <c r="R104" i="21" s="1"/>
  <c r="O100" i="9"/>
  <c r="R103" i="21" s="1"/>
  <c r="N100" i="9"/>
  <c r="R102" i="21" s="1"/>
  <c r="M100" i="9"/>
  <c r="R101" i="21" s="1"/>
  <c r="L100" i="9"/>
  <c r="R100" i="21" s="1"/>
  <c r="K100" i="9"/>
  <c r="R99" i="21" s="1"/>
  <c r="J100" i="9"/>
  <c r="R98" i="21" s="1"/>
  <c r="I100" i="9"/>
  <c r="R97" i="21" s="1"/>
  <c r="H100" i="9"/>
  <c r="R96" i="21" s="1"/>
  <c r="G100" i="9"/>
  <c r="R95" i="21" s="1"/>
  <c r="F100" i="9"/>
  <c r="R94" i="21" s="1"/>
  <c r="E100" i="9"/>
  <c r="R93" i="21" s="1"/>
  <c r="D100" i="9"/>
  <c r="R92" i="21" s="1"/>
  <c r="AY99" i="9"/>
  <c r="AV99" i="9"/>
  <c r="AL99" i="9" s="1"/>
  <c r="Q126" i="21" s="1"/>
  <c r="AU99" i="9"/>
  <c r="AK99" i="9" s="1"/>
  <c r="Q125" i="21" s="1"/>
  <c r="AT99" i="9"/>
  <c r="AQ99" i="9"/>
  <c r="AX99" i="9" s="1"/>
  <c r="AN99" i="9" s="1"/>
  <c r="Q128" i="21" s="1"/>
  <c r="AO99" i="9"/>
  <c r="Q129" i="21" s="1"/>
  <c r="AG99" i="9"/>
  <c r="Q121" i="21" s="1"/>
  <c r="AF99" i="9"/>
  <c r="Q120" i="21" s="1"/>
  <c r="AE99" i="9"/>
  <c r="Q119" i="21" s="1"/>
  <c r="AD99" i="9"/>
  <c r="Q118" i="21" s="1"/>
  <c r="AC99" i="9"/>
  <c r="Q117" i="21" s="1"/>
  <c r="AB99" i="9"/>
  <c r="Q116" i="21" s="1"/>
  <c r="AA99" i="9"/>
  <c r="Q115" i="21" s="1"/>
  <c r="Z99" i="9"/>
  <c r="Q114" i="21" s="1"/>
  <c r="Y99" i="9"/>
  <c r="Q113" i="21" s="1"/>
  <c r="X99" i="9"/>
  <c r="Q112" i="21" s="1"/>
  <c r="W99" i="9"/>
  <c r="Q111" i="21" s="1"/>
  <c r="V99" i="9"/>
  <c r="Q110" i="21" s="1"/>
  <c r="U99" i="9"/>
  <c r="Q109" i="21" s="1"/>
  <c r="T99" i="9"/>
  <c r="Q108" i="21" s="1"/>
  <c r="S99" i="9"/>
  <c r="Q107" i="21" s="1"/>
  <c r="R99" i="9"/>
  <c r="Q106" i="21" s="1"/>
  <c r="Q99" i="9"/>
  <c r="Q105" i="21" s="1"/>
  <c r="P99" i="9"/>
  <c r="Q104" i="21" s="1"/>
  <c r="O99" i="9"/>
  <c r="Q103" i="21" s="1"/>
  <c r="N99" i="9"/>
  <c r="Q102" i="21" s="1"/>
  <c r="M99" i="9"/>
  <c r="Q101" i="21" s="1"/>
  <c r="L99" i="9"/>
  <c r="Q100" i="21" s="1"/>
  <c r="K99" i="9"/>
  <c r="Q99" i="21" s="1"/>
  <c r="J99" i="9"/>
  <c r="Q98" i="21" s="1"/>
  <c r="I99" i="9"/>
  <c r="Q97" i="21" s="1"/>
  <c r="H99" i="9"/>
  <c r="Q96" i="21" s="1"/>
  <c r="G99" i="9"/>
  <c r="Q95" i="21" s="1"/>
  <c r="F99" i="9"/>
  <c r="Q94" i="21" s="1"/>
  <c r="E99" i="9"/>
  <c r="Q93" i="21" s="1"/>
  <c r="D99" i="9"/>
  <c r="Q92" i="21" s="1"/>
  <c r="AY98" i="9"/>
  <c r="AO98" i="9" s="1"/>
  <c r="P129" i="21" s="1"/>
  <c r="AX98" i="9"/>
  <c r="AN98" i="9" s="1"/>
  <c r="P128" i="21" s="1"/>
  <c r="AW98" i="9"/>
  <c r="AV98" i="9"/>
  <c r="AU98" i="9"/>
  <c r="AT98" i="9"/>
  <c r="AH98" i="9" s="1"/>
  <c r="P122" i="21" s="1"/>
  <c r="AS98" i="9"/>
  <c r="AR98" i="9"/>
  <c r="AQ98" i="9"/>
  <c r="AM98" i="9"/>
  <c r="P127" i="21" s="1"/>
  <c r="AL98" i="9"/>
  <c r="P126" i="21" s="1"/>
  <c r="AK98" i="9"/>
  <c r="P125" i="21" s="1"/>
  <c r="AJ98" i="9"/>
  <c r="P124" i="21" s="1"/>
  <c r="AI98" i="9"/>
  <c r="P123" i="21" s="1"/>
  <c r="AG98" i="9"/>
  <c r="P121" i="21" s="1"/>
  <c r="AF98" i="9"/>
  <c r="P120" i="21" s="1"/>
  <c r="AE98" i="9"/>
  <c r="P119" i="21" s="1"/>
  <c r="AD98" i="9"/>
  <c r="P118" i="21" s="1"/>
  <c r="AC98" i="9"/>
  <c r="P117" i="21" s="1"/>
  <c r="AB98" i="9"/>
  <c r="P116" i="21" s="1"/>
  <c r="AA98" i="9"/>
  <c r="P115" i="21" s="1"/>
  <c r="Z98" i="9"/>
  <c r="P114" i="21" s="1"/>
  <c r="Y98" i="9"/>
  <c r="P113" i="21" s="1"/>
  <c r="X98" i="9"/>
  <c r="P112" i="21" s="1"/>
  <c r="W98" i="9"/>
  <c r="P111" i="21" s="1"/>
  <c r="V98" i="9"/>
  <c r="P110" i="21" s="1"/>
  <c r="U98" i="9"/>
  <c r="P109" i="21" s="1"/>
  <c r="T98" i="9"/>
  <c r="P108" i="21" s="1"/>
  <c r="S98" i="9"/>
  <c r="P107" i="21" s="1"/>
  <c r="R98" i="9"/>
  <c r="P106" i="21" s="1"/>
  <c r="Q98" i="9"/>
  <c r="P105" i="21" s="1"/>
  <c r="P98" i="9"/>
  <c r="P104" i="21" s="1"/>
  <c r="O98" i="9"/>
  <c r="P103" i="21" s="1"/>
  <c r="N98" i="9"/>
  <c r="P102" i="21" s="1"/>
  <c r="M98" i="9"/>
  <c r="P101" i="21" s="1"/>
  <c r="L98" i="9"/>
  <c r="P100" i="21" s="1"/>
  <c r="K98" i="9"/>
  <c r="P99" i="21" s="1"/>
  <c r="J98" i="9"/>
  <c r="P98" i="21" s="1"/>
  <c r="I98" i="9"/>
  <c r="P97" i="21" s="1"/>
  <c r="H98" i="9"/>
  <c r="P96" i="21" s="1"/>
  <c r="G98" i="9"/>
  <c r="P95" i="21" s="1"/>
  <c r="F98" i="9"/>
  <c r="P94" i="21" s="1"/>
  <c r="E98" i="9"/>
  <c r="P93" i="21" s="1"/>
  <c r="D98" i="9"/>
  <c r="P92" i="21" s="1"/>
  <c r="AX97" i="9"/>
  <c r="AN97" i="9" s="1"/>
  <c r="O128" i="21" s="1"/>
  <c r="AQ97" i="9"/>
  <c r="AU97" i="9" s="1"/>
  <c r="AK97" i="9" s="1"/>
  <c r="O125" i="21" s="1"/>
  <c r="AG97" i="9"/>
  <c r="O121" i="21" s="1"/>
  <c r="AF97" i="9"/>
  <c r="O120" i="21" s="1"/>
  <c r="AE97" i="9"/>
  <c r="O119" i="21" s="1"/>
  <c r="AD97" i="9"/>
  <c r="O118" i="21" s="1"/>
  <c r="AC97" i="9"/>
  <c r="O117" i="21" s="1"/>
  <c r="AB97" i="9"/>
  <c r="O116" i="21" s="1"/>
  <c r="AA97" i="9"/>
  <c r="O115" i="21" s="1"/>
  <c r="Z97" i="9"/>
  <c r="O114" i="21" s="1"/>
  <c r="Y97" i="9"/>
  <c r="O113" i="21" s="1"/>
  <c r="X97" i="9"/>
  <c r="O112" i="21" s="1"/>
  <c r="W97" i="9"/>
  <c r="O111" i="21" s="1"/>
  <c r="V97" i="9"/>
  <c r="O110" i="21" s="1"/>
  <c r="U97" i="9"/>
  <c r="O109" i="21" s="1"/>
  <c r="T97" i="9"/>
  <c r="O108" i="21" s="1"/>
  <c r="S97" i="9"/>
  <c r="O107" i="21" s="1"/>
  <c r="R97" i="9"/>
  <c r="O106" i="21" s="1"/>
  <c r="Q97" i="9"/>
  <c r="O105" i="21" s="1"/>
  <c r="P97" i="9"/>
  <c r="O104" i="21" s="1"/>
  <c r="O97" i="9"/>
  <c r="O103" i="21" s="1"/>
  <c r="N97" i="9"/>
  <c r="O102" i="21" s="1"/>
  <c r="M97" i="9"/>
  <c r="O101" i="21" s="1"/>
  <c r="L97" i="9"/>
  <c r="O100" i="21" s="1"/>
  <c r="K97" i="9"/>
  <c r="O99" i="21" s="1"/>
  <c r="J97" i="9"/>
  <c r="O98" i="21" s="1"/>
  <c r="I97" i="9"/>
  <c r="O97" i="21" s="1"/>
  <c r="H97" i="9"/>
  <c r="O96" i="21" s="1"/>
  <c r="G97" i="9"/>
  <c r="O95" i="21" s="1"/>
  <c r="F97" i="9"/>
  <c r="O94" i="21" s="1"/>
  <c r="E97" i="9"/>
  <c r="O93" i="21" s="1"/>
  <c r="D97" i="9"/>
  <c r="O92" i="21" s="1"/>
  <c r="AV96" i="9"/>
  <c r="AL96" i="9" s="1"/>
  <c r="N126" i="21" s="1"/>
  <c r="AU96" i="9"/>
  <c r="AK96" i="9" s="1"/>
  <c r="N125" i="21" s="1"/>
  <c r="AQ96" i="9"/>
  <c r="AY96" i="9" s="1"/>
  <c r="AO96" i="9" s="1"/>
  <c r="N129" i="21" s="1"/>
  <c r="AG96" i="9"/>
  <c r="N121" i="21" s="1"/>
  <c r="AF96" i="9"/>
  <c r="N120" i="21" s="1"/>
  <c r="AE96" i="9"/>
  <c r="N119" i="21" s="1"/>
  <c r="AD96" i="9"/>
  <c r="N118" i="21" s="1"/>
  <c r="AC96" i="9"/>
  <c r="N117" i="21" s="1"/>
  <c r="AB96" i="9"/>
  <c r="N116" i="21" s="1"/>
  <c r="AA96" i="9"/>
  <c r="N115" i="21" s="1"/>
  <c r="Z96" i="9"/>
  <c r="N114" i="21" s="1"/>
  <c r="Y96" i="9"/>
  <c r="N113" i="21" s="1"/>
  <c r="X96" i="9"/>
  <c r="N112" i="21" s="1"/>
  <c r="W96" i="9"/>
  <c r="N111" i="21" s="1"/>
  <c r="V96" i="9"/>
  <c r="N110" i="21" s="1"/>
  <c r="U96" i="9"/>
  <c r="N109" i="21" s="1"/>
  <c r="T96" i="9"/>
  <c r="N108" i="21" s="1"/>
  <c r="S96" i="9"/>
  <c r="N107" i="21" s="1"/>
  <c r="R96" i="9"/>
  <c r="N106" i="21" s="1"/>
  <c r="Q96" i="9"/>
  <c r="N105" i="21" s="1"/>
  <c r="P96" i="9"/>
  <c r="N104" i="21" s="1"/>
  <c r="O96" i="9"/>
  <c r="N103" i="21" s="1"/>
  <c r="N96" i="9"/>
  <c r="N102" i="21" s="1"/>
  <c r="M96" i="9"/>
  <c r="N101" i="21" s="1"/>
  <c r="L96" i="9"/>
  <c r="N100" i="21" s="1"/>
  <c r="K96" i="9"/>
  <c r="N99" i="21" s="1"/>
  <c r="J96" i="9"/>
  <c r="N98" i="21" s="1"/>
  <c r="I96" i="9"/>
  <c r="N97" i="21" s="1"/>
  <c r="H96" i="9"/>
  <c r="N96" i="21" s="1"/>
  <c r="G96" i="9"/>
  <c r="N95" i="21" s="1"/>
  <c r="F96" i="9"/>
  <c r="N94" i="21" s="1"/>
  <c r="E96" i="9"/>
  <c r="N93" i="21" s="1"/>
  <c r="D96" i="9"/>
  <c r="N92" i="21" s="1"/>
  <c r="AY95" i="9"/>
  <c r="AO95" i="9" s="1"/>
  <c r="M129" i="21" s="1"/>
  <c r="AV95" i="9"/>
  <c r="AU95" i="9"/>
  <c r="AT95" i="9"/>
  <c r="AJ95" i="9" s="1"/>
  <c r="M124" i="21" s="1"/>
  <c r="AQ95" i="9"/>
  <c r="AX95" i="9" s="1"/>
  <c r="AN95" i="9" s="1"/>
  <c r="M128" i="21" s="1"/>
  <c r="AL95" i="9"/>
  <c r="M126" i="21" s="1"/>
  <c r="AK95" i="9"/>
  <c r="M125" i="21" s="1"/>
  <c r="AG95" i="9"/>
  <c r="M121" i="21" s="1"/>
  <c r="AF95" i="9"/>
  <c r="M120" i="21" s="1"/>
  <c r="AE95" i="9"/>
  <c r="M119" i="21" s="1"/>
  <c r="AD95" i="9"/>
  <c r="M118" i="21" s="1"/>
  <c r="AC95" i="9"/>
  <c r="M117" i="21" s="1"/>
  <c r="AB95" i="9"/>
  <c r="M116" i="21" s="1"/>
  <c r="AA95" i="9"/>
  <c r="M115" i="21" s="1"/>
  <c r="Z95" i="9"/>
  <c r="M114" i="21" s="1"/>
  <c r="Y95" i="9"/>
  <c r="M113" i="21" s="1"/>
  <c r="X95" i="9"/>
  <c r="M112" i="21" s="1"/>
  <c r="W95" i="9"/>
  <c r="M111" i="21" s="1"/>
  <c r="V95" i="9"/>
  <c r="M110" i="21" s="1"/>
  <c r="U95" i="9"/>
  <c r="M109" i="21" s="1"/>
  <c r="T95" i="9"/>
  <c r="M108" i="21" s="1"/>
  <c r="S95" i="9"/>
  <c r="M107" i="21" s="1"/>
  <c r="R95" i="9"/>
  <c r="M106" i="21" s="1"/>
  <c r="Q95" i="9"/>
  <c r="M105" i="21" s="1"/>
  <c r="P95" i="9"/>
  <c r="M104" i="21" s="1"/>
  <c r="O95" i="9"/>
  <c r="M103" i="21" s="1"/>
  <c r="N95" i="9"/>
  <c r="M102" i="21" s="1"/>
  <c r="M95" i="9"/>
  <c r="M101" i="21" s="1"/>
  <c r="L95" i="9"/>
  <c r="M100" i="21" s="1"/>
  <c r="K95" i="9"/>
  <c r="M99" i="21" s="1"/>
  <c r="J95" i="9"/>
  <c r="M98" i="21" s="1"/>
  <c r="I95" i="9"/>
  <c r="M97" i="21" s="1"/>
  <c r="H95" i="9"/>
  <c r="M96" i="21" s="1"/>
  <c r="G95" i="9"/>
  <c r="M95" i="21" s="1"/>
  <c r="F95" i="9"/>
  <c r="M94" i="21" s="1"/>
  <c r="E95" i="9"/>
  <c r="M93" i="21" s="1"/>
  <c r="D95" i="9"/>
  <c r="M92" i="21" s="1"/>
  <c r="AQ94" i="9"/>
  <c r="AG94" i="9"/>
  <c r="L121" i="21" s="1"/>
  <c r="AF94" i="9"/>
  <c r="L120" i="21" s="1"/>
  <c r="AE94" i="9"/>
  <c r="L119" i="21" s="1"/>
  <c r="AD94" i="9"/>
  <c r="L118" i="21" s="1"/>
  <c r="AC94" i="9"/>
  <c r="L117" i="21" s="1"/>
  <c r="AB94" i="9"/>
  <c r="L116" i="21" s="1"/>
  <c r="AA94" i="9"/>
  <c r="L115" i="21" s="1"/>
  <c r="Z94" i="9"/>
  <c r="L114" i="21" s="1"/>
  <c r="Y94" i="9"/>
  <c r="L113" i="21" s="1"/>
  <c r="X94" i="9"/>
  <c r="L112" i="21" s="1"/>
  <c r="W94" i="9"/>
  <c r="L111" i="21" s="1"/>
  <c r="V94" i="9"/>
  <c r="L110" i="21" s="1"/>
  <c r="U94" i="9"/>
  <c r="L109" i="21" s="1"/>
  <c r="T94" i="9"/>
  <c r="L108" i="21" s="1"/>
  <c r="S94" i="9"/>
  <c r="L107" i="21" s="1"/>
  <c r="R94" i="9"/>
  <c r="L106" i="21" s="1"/>
  <c r="Q94" i="9"/>
  <c r="L105" i="21" s="1"/>
  <c r="P94" i="9"/>
  <c r="L104" i="21" s="1"/>
  <c r="O94" i="9"/>
  <c r="L103" i="21" s="1"/>
  <c r="N94" i="9"/>
  <c r="L102" i="21" s="1"/>
  <c r="M94" i="9"/>
  <c r="L101" i="21" s="1"/>
  <c r="L94" i="9"/>
  <c r="L100" i="21" s="1"/>
  <c r="K94" i="9"/>
  <c r="L99" i="21" s="1"/>
  <c r="J94" i="9"/>
  <c r="L98" i="21" s="1"/>
  <c r="I94" i="9"/>
  <c r="L97" i="21" s="1"/>
  <c r="H94" i="9"/>
  <c r="L96" i="21" s="1"/>
  <c r="G94" i="9"/>
  <c r="L95" i="21" s="1"/>
  <c r="F94" i="9"/>
  <c r="L94" i="21" s="1"/>
  <c r="E94" i="9"/>
  <c r="L93" i="21" s="1"/>
  <c r="D94" i="9"/>
  <c r="L92" i="21" s="1"/>
  <c r="AW93" i="9"/>
  <c r="AM93" i="9" s="1"/>
  <c r="K127" i="21" s="1"/>
  <c r="AV93" i="9"/>
  <c r="AL93" i="9" s="1"/>
  <c r="K126" i="21" s="1"/>
  <c r="AU93" i="9"/>
  <c r="AK93" i="9" s="1"/>
  <c r="K125" i="21" s="1"/>
  <c r="AR93" i="9"/>
  <c r="AS93" i="9" s="1"/>
  <c r="AQ93" i="9"/>
  <c r="AY93" i="9" s="1"/>
  <c r="AO93" i="9" s="1"/>
  <c r="K129" i="21" s="1"/>
  <c r="AG93" i="9"/>
  <c r="K121" i="21" s="1"/>
  <c r="AF93" i="9"/>
  <c r="K120" i="21" s="1"/>
  <c r="AE93" i="9"/>
  <c r="K119" i="21" s="1"/>
  <c r="AD93" i="9"/>
  <c r="K118" i="21" s="1"/>
  <c r="AC93" i="9"/>
  <c r="K117" i="21" s="1"/>
  <c r="AB93" i="9"/>
  <c r="K116" i="21" s="1"/>
  <c r="AA93" i="9"/>
  <c r="K115" i="21" s="1"/>
  <c r="Z93" i="9"/>
  <c r="K114" i="21" s="1"/>
  <c r="Y93" i="9"/>
  <c r="K113" i="21" s="1"/>
  <c r="X93" i="9"/>
  <c r="K112" i="21" s="1"/>
  <c r="W93" i="9"/>
  <c r="K111" i="21" s="1"/>
  <c r="V93" i="9"/>
  <c r="K110" i="21" s="1"/>
  <c r="U93" i="9"/>
  <c r="K109" i="21" s="1"/>
  <c r="T93" i="9"/>
  <c r="K108" i="21" s="1"/>
  <c r="S93" i="9"/>
  <c r="K107" i="21" s="1"/>
  <c r="R93" i="9"/>
  <c r="K106" i="21" s="1"/>
  <c r="Q93" i="9"/>
  <c r="K105" i="21" s="1"/>
  <c r="P93" i="9"/>
  <c r="K104" i="21" s="1"/>
  <c r="O93" i="9"/>
  <c r="K103" i="21" s="1"/>
  <c r="N93" i="9"/>
  <c r="K102" i="21" s="1"/>
  <c r="M93" i="9"/>
  <c r="K101" i="21" s="1"/>
  <c r="L93" i="9"/>
  <c r="K100" i="21" s="1"/>
  <c r="K93" i="9"/>
  <c r="K99" i="21" s="1"/>
  <c r="J93" i="9"/>
  <c r="K98" i="21" s="1"/>
  <c r="I93" i="9"/>
  <c r="K97" i="21" s="1"/>
  <c r="H93" i="9"/>
  <c r="K96" i="21" s="1"/>
  <c r="G93" i="9"/>
  <c r="K95" i="21" s="1"/>
  <c r="F93" i="9"/>
  <c r="K94" i="21" s="1"/>
  <c r="E93" i="9"/>
  <c r="K93" i="21" s="1"/>
  <c r="D93" i="9"/>
  <c r="K92" i="21" s="1"/>
  <c r="AX92" i="9"/>
  <c r="AW92" i="9"/>
  <c r="AV92" i="9"/>
  <c r="AU92" i="9"/>
  <c r="AK92" i="9" s="1"/>
  <c r="J125" i="21" s="1"/>
  <c r="AT92" i="9"/>
  <c r="AJ92" i="9" s="1"/>
  <c r="J124" i="21" s="1"/>
  <c r="AR92" i="9"/>
  <c r="AS92" i="9" s="1"/>
  <c r="AQ92" i="9"/>
  <c r="AY92" i="9" s="1"/>
  <c r="AO92" i="9" s="1"/>
  <c r="J129" i="21" s="1"/>
  <c r="AN92" i="9"/>
  <c r="J128" i="21" s="1"/>
  <c r="AM92" i="9"/>
  <c r="J127" i="21" s="1"/>
  <c r="AL92" i="9"/>
  <c r="J126" i="21" s="1"/>
  <c r="AH92" i="9"/>
  <c r="J122" i="21" s="1"/>
  <c r="AG92" i="9"/>
  <c r="J121" i="21" s="1"/>
  <c r="AF92" i="9"/>
  <c r="J120" i="21" s="1"/>
  <c r="AE92" i="9"/>
  <c r="J119" i="21" s="1"/>
  <c r="AD92" i="9"/>
  <c r="J118" i="21" s="1"/>
  <c r="AC92" i="9"/>
  <c r="J117" i="21" s="1"/>
  <c r="AB92" i="9"/>
  <c r="J116" i="21" s="1"/>
  <c r="AA92" i="9"/>
  <c r="J115" i="21" s="1"/>
  <c r="Z92" i="9"/>
  <c r="J114" i="21" s="1"/>
  <c r="Y92" i="9"/>
  <c r="J113" i="21" s="1"/>
  <c r="X92" i="9"/>
  <c r="J112" i="21" s="1"/>
  <c r="W92" i="9"/>
  <c r="J111" i="21" s="1"/>
  <c r="V92" i="9"/>
  <c r="J110" i="21" s="1"/>
  <c r="U92" i="9"/>
  <c r="J109" i="21" s="1"/>
  <c r="T92" i="9"/>
  <c r="J108" i="21" s="1"/>
  <c r="S92" i="9"/>
  <c r="J107" i="21" s="1"/>
  <c r="R92" i="9"/>
  <c r="J106" i="21" s="1"/>
  <c r="Q92" i="9"/>
  <c r="J105" i="21" s="1"/>
  <c r="P92" i="9"/>
  <c r="J104" i="21" s="1"/>
  <c r="O92" i="9"/>
  <c r="J103" i="21" s="1"/>
  <c r="N92" i="9"/>
  <c r="J102" i="21" s="1"/>
  <c r="M92" i="9"/>
  <c r="J101" i="21" s="1"/>
  <c r="L92" i="9"/>
  <c r="J100" i="21" s="1"/>
  <c r="K92" i="9"/>
  <c r="J99" i="21" s="1"/>
  <c r="J92" i="9"/>
  <c r="J98" i="21" s="1"/>
  <c r="I92" i="9"/>
  <c r="J97" i="21" s="1"/>
  <c r="H92" i="9"/>
  <c r="J96" i="21" s="1"/>
  <c r="G92" i="9"/>
  <c r="J95" i="21" s="1"/>
  <c r="F92" i="9"/>
  <c r="J94" i="21" s="1"/>
  <c r="E92" i="9"/>
  <c r="J93" i="21" s="1"/>
  <c r="D92" i="9"/>
  <c r="J92" i="21" s="1"/>
  <c r="AR91" i="9"/>
  <c r="AS91" i="9" s="1"/>
  <c r="AQ91" i="9"/>
  <c r="AW91" i="9" s="1"/>
  <c r="AM91" i="9" s="1"/>
  <c r="I127" i="21" s="1"/>
  <c r="AG91" i="9"/>
  <c r="I121" i="21" s="1"/>
  <c r="AF91" i="9"/>
  <c r="I120" i="21" s="1"/>
  <c r="AE91" i="9"/>
  <c r="I119" i="21" s="1"/>
  <c r="AD91" i="9"/>
  <c r="I118" i="21" s="1"/>
  <c r="AC91" i="9"/>
  <c r="I117" i="21" s="1"/>
  <c r="AB91" i="9"/>
  <c r="I116" i="21" s="1"/>
  <c r="AA91" i="9"/>
  <c r="I115" i="21" s="1"/>
  <c r="Z91" i="9"/>
  <c r="I114" i="21" s="1"/>
  <c r="Y91" i="9"/>
  <c r="I113" i="21" s="1"/>
  <c r="X91" i="9"/>
  <c r="I112" i="21" s="1"/>
  <c r="W91" i="9"/>
  <c r="I111" i="21" s="1"/>
  <c r="V91" i="9"/>
  <c r="I110" i="21" s="1"/>
  <c r="U91" i="9"/>
  <c r="I109" i="21" s="1"/>
  <c r="T91" i="9"/>
  <c r="I108" i="21" s="1"/>
  <c r="S91" i="9"/>
  <c r="I107" i="21" s="1"/>
  <c r="R91" i="9"/>
  <c r="I106" i="21" s="1"/>
  <c r="Q91" i="9"/>
  <c r="I105" i="21" s="1"/>
  <c r="P91" i="9"/>
  <c r="I104" i="21" s="1"/>
  <c r="O91" i="9"/>
  <c r="I103" i="21" s="1"/>
  <c r="N91" i="9"/>
  <c r="I102" i="21" s="1"/>
  <c r="M91" i="9"/>
  <c r="I101" i="21" s="1"/>
  <c r="L91" i="9"/>
  <c r="I100" i="21" s="1"/>
  <c r="K91" i="9"/>
  <c r="I99" i="21" s="1"/>
  <c r="J91" i="9"/>
  <c r="I98" i="21" s="1"/>
  <c r="I91" i="9"/>
  <c r="I97" i="21" s="1"/>
  <c r="H91" i="9"/>
  <c r="I96" i="21" s="1"/>
  <c r="G91" i="9"/>
  <c r="I95" i="21" s="1"/>
  <c r="F91" i="9"/>
  <c r="I94" i="21" s="1"/>
  <c r="E91" i="9"/>
  <c r="I93" i="21" s="1"/>
  <c r="D91" i="9"/>
  <c r="I92" i="21" s="1"/>
  <c r="AW90" i="9"/>
  <c r="AM90" i="9" s="1"/>
  <c r="H127" i="21" s="1"/>
  <c r="AQ90" i="9"/>
  <c r="AY90" i="9" s="1"/>
  <c r="AO90" i="9" s="1"/>
  <c r="H129" i="21" s="1"/>
  <c r="AG90" i="9"/>
  <c r="H121" i="21" s="1"/>
  <c r="AF90" i="9"/>
  <c r="H120" i="21" s="1"/>
  <c r="AE90" i="9"/>
  <c r="H119" i="21" s="1"/>
  <c r="AD90" i="9"/>
  <c r="H118" i="21" s="1"/>
  <c r="AC90" i="9"/>
  <c r="H117" i="21" s="1"/>
  <c r="AB90" i="9"/>
  <c r="H116" i="21" s="1"/>
  <c r="AA90" i="9"/>
  <c r="H115" i="21" s="1"/>
  <c r="Z90" i="9"/>
  <c r="H114" i="21" s="1"/>
  <c r="Y90" i="9"/>
  <c r="H113" i="21" s="1"/>
  <c r="X90" i="9"/>
  <c r="H112" i="21" s="1"/>
  <c r="W90" i="9"/>
  <c r="H111" i="21" s="1"/>
  <c r="V90" i="9"/>
  <c r="H110" i="21" s="1"/>
  <c r="U90" i="9"/>
  <c r="H109" i="21" s="1"/>
  <c r="T90" i="9"/>
  <c r="H108" i="21" s="1"/>
  <c r="S90" i="9"/>
  <c r="H107" i="21" s="1"/>
  <c r="R90" i="9"/>
  <c r="H106" i="21" s="1"/>
  <c r="Q90" i="9"/>
  <c r="H105" i="21" s="1"/>
  <c r="P90" i="9"/>
  <c r="H104" i="21" s="1"/>
  <c r="O90" i="9"/>
  <c r="H103" i="21" s="1"/>
  <c r="N90" i="9"/>
  <c r="H102" i="21" s="1"/>
  <c r="M90" i="9"/>
  <c r="H101" i="21" s="1"/>
  <c r="L90" i="9"/>
  <c r="H100" i="21" s="1"/>
  <c r="K90" i="9"/>
  <c r="H99" i="21" s="1"/>
  <c r="J90" i="9"/>
  <c r="H98" i="21" s="1"/>
  <c r="I90" i="9"/>
  <c r="H97" i="21" s="1"/>
  <c r="H90" i="9"/>
  <c r="H96" i="21" s="1"/>
  <c r="G90" i="9"/>
  <c r="H95" i="21" s="1"/>
  <c r="F90" i="9"/>
  <c r="H94" i="21" s="1"/>
  <c r="E90" i="9"/>
  <c r="H93" i="21" s="1"/>
  <c r="D90" i="9"/>
  <c r="H92" i="21" s="1"/>
  <c r="AX89" i="9"/>
  <c r="AW89" i="9"/>
  <c r="AV89" i="9"/>
  <c r="AL89" i="9" s="1"/>
  <c r="G126" i="21" s="1"/>
  <c r="AU89" i="9"/>
  <c r="AK89" i="9" s="1"/>
  <c r="G125" i="21" s="1"/>
  <c r="AQ89" i="9"/>
  <c r="AR89" i="9" s="1"/>
  <c r="AS89" i="9" s="1"/>
  <c r="AN89" i="9"/>
  <c r="G128" i="21" s="1"/>
  <c r="AM89" i="9"/>
  <c r="G127" i="21" s="1"/>
  <c r="AG89" i="9"/>
  <c r="G121" i="21" s="1"/>
  <c r="AF89" i="9"/>
  <c r="G120" i="21" s="1"/>
  <c r="AE89" i="9"/>
  <c r="G119" i="21" s="1"/>
  <c r="AD89" i="9"/>
  <c r="G118" i="21" s="1"/>
  <c r="AC89" i="9"/>
  <c r="G117" i="21" s="1"/>
  <c r="AB89" i="9"/>
  <c r="G116" i="21" s="1"/>
  <c r="AA89" i="9"/>
  <c r="G115" i="21" s="1"/>
  <c r="Z89" i="9"/>
  <c r="G114" i="21" s="1"/>
  <c r="Y89" i="9"/>
  <c r="G113" i="21" s="1"/>
  <c r="X89" i="9"/>
  <c r="G112" i="21" s="1"/>
  <c r="W89" i="9"/>
  <c r="G111" i="21" s="1"/>
  <c r="V89" i="9"/>
  <c r="G110" i="21" s="1"/>
  <c r="U89" i="9"/>
  <c r="G109" i="21" s="1"/>
  <c r="T89" i="9"/>
  <c r="G108" i="21" s="1"/>
  <c r="S89" i="9"/>
  <c r="G107" i="21" s="1"/>
  <c r="R89" i="9"/>
  <c r="G106" i="21" s="1"/>
  <c r="Q89" i="9"/>
  <c r="G105" i="21" s="1"/>
  <c r="P89" i="9"/>
  <c r="G104" i="21" s="1"/>
  <c r="O89" i="9"/>
  <c r="G103" i="21" s="1"/>
  <c r="N89" i="9"/>
  <c r="G102" i="21" s="1"/>
  <c r="M89" i="9"/>
  <c r="G101" i="21" s="1"/>
  <c r="L89" i="9"/>
  <c r="G100" i="21" s="1"/>
  <c r="K89" i="9"/>
  <c r="G99" i="21" s="1"/>
  <c r="J89" i="9"/>
  <c r="G98" i="21" s="1"/>
  <c r="I89" i="9"/>
  <c r="G97" i="21" s="1"/>
  <c r="H89" i="9"/>
  <c r="G96" i="21" s="1"/>
  <c r="G89" i="9"/>
  <c r="G95" i="21" s="1"/>
  <c r="F89" i="9"/>
  <c r="G94" i="21" s="1"/>
  <c r="E89" i="9"/>
  <c r="G93" i="21" s="1"/>
  <c r="D89" i="9"/>
  <c r="G92" i="21" s="1"/>
  <c r="AX88" i="9"/>
  <c r="AW88" i="9"/>
  <c r="AV88" i="9"/>
  <c r="AU88" i="9"/>
  <c r="AK88" i="9" s="1"/>
  <c r="F125" i="21" s="1"/>
  <c r="AT88" i="9"/>
  <c r="AI88" i="9" s="1"/>
  <c r="F123" i="21" s="1"/>
  <c r="AS88" i="9"/>
  <c r="AR88" i="9"/>
  <c r="AQ88" i="9"/>
  <c r="AY88" i="9" s="1"/>
  <c r="AO88" i="9" s="1"/>
  <c r="F129" i="21" s="1"/>
  <c r="AN88" i="9"/>
  <c r="F128" i="21" s="1"/>
  <c r="AM88" i="9"/>
  <c r="F127" i="21" s="1"/>
  <c r="AL88" i="9"/>
  <c r="F126" i="21" s="1"/>
  <c r="AG88" i="9"/>
  <c r="F121" i="21" s="1"/>
  <c r="AF88" i="9"/>
  <c r="F120" i="21" s="1"/>
  <c r="AE88" i="9"/>
  <c r="F119" i="21" s="1"/>
  <c r="AD88" i="9"/>
  <c r="F118" i="21" s="1"/>
  <c r="AC88" i="9"/>
  <c r="F117" i="21" s="1"/>
  <c r="AB88" i="9"/>
  <c r="F116" i="21" s="1"/>
  <c r="AA88" i="9"/>
  <c r="F115" i="21" s="1"/>
  <c r="Z88" i="9"/>
  <c r="F114" i="21" s="1"/>
  <c r="Y88" i="9"/>
  <c r="F113" i="21" s="1"/>
  <c r="X88" i="9"/>
  <c r="F112" i="21" s="1"/>
  <c r="W88" i="9"/>
  <c r="F111" i="21" s="1"/>
  <c r="V88" i="9"/>
  <c r="F110" i="21" s="1"/>
  <c r="U88" i="9"/>
  <c r="F109" i="21" s="1"/>
  <c r="T88" i="9"/>
  <c r="F108" i="21" s="1"/>
  <c r="S88" i="9"/>
  <c r="F107" i="21" s="1"/>
  <c r="R88" i="9"/>
  <c r="F106" i="21" s="1"/>
  <c r="Q88" i="9"/>
  <c r="F105" i="21" s="1"/>
  <c r="P88" i="9"/>
  <c r="F104" i="21" s="1"/>
  <c r="O88" i="9"/>
  <c r="F103" i="21" s="1"/>
  <c r="N88" i="9"/>
  <c r="F102" i="21" s="1"/>
  <c r="M88" i="9"/>
  <c r="F101" i="21" s="1"/>
  <c r="L88" i="9"/>
  <c r="F100" i="21" s="1"/>
  <c r="K88" i="9"/>
  <c r="F99" i="21" s="1"/>
  <c r="J88" i="9"/>
  <c r="F98" i="21" s="1"/>
  <c r="I88" i="9"/>
  <c r="F97" i="21" s="1"/>
  <c r="H88" i="9"/>
  <c r="F96" i="21" s="1"/>
  <c r="G88" i="9"/>
  <c r="F95" i="21" s="1"/>
  <c r="F88" i="9"/>
  <c r="F94" i="21" s="1"/>
  <c r="E88" i="9"/>
  <c r="F93" i="21" s="1"/>
  <c r="D88" i="9"/>
  <c r="F92" i="21" s="1"/>
  <c r="AY87" i="9"/>
  <c r="AO87" i="9" s="1"/>
  <c r="E129" i="21" s="1"/>
  <c r="AX87" i="9"/>
  <c r="AN87" i="9" s="1"/>
  <c r="E128" i="21" s="1"/>
  <c r="AW87" i="9"/>
  <c r="AM87" i="9" s="1"/>
  <c r="E127" i="21" s="1"/>
  <c r="AT87" i="9"/>
  <c r="AH87" i="9" s="1"/>
  <c r="E122" i="21" s="1"/>
  <c r="AR87" i="9"/>
  <c r="AS87" i="9" s="1"/>
  <c r="AQ87" i="9"/>
  <c r="AV87" i="9" s="1"/>
  <c r="AL87" i="9" s="1"/>
  <c r="E126" i="21" s="1"/>
  <c r="AJ87" i="9"/>
  <c r="E124" i="21" s="1"/>
  <c r="AI87" i="9"/>
  <c r="E123" i="21" s="1"/>
  <c r="AG87" i="9"/>
  <c r="E121" i="21" s="1"/>
  <c r="AF87" i="9"/>
  <c r="E120" i="21" s="1"/>
  <c r="AE87" i="9"/>
  <c r="E119" i="21" s="1"/>
  <c r="AD87" i="9"/>
  <c r="E118" i="21" s="1"/>
  <c r="AC87" i="9"/>
  <c r="E117" i="21" s="1"/>
  <c r="AB87" i="9"/>
  <c r="E116" i="21" s="1"/>
  <c r="AA87" i="9"/>
  <c r="E115" i="21" s="1"/>
  <c r="Z87" i="9"/>
  <c r="E114" i="21" s="1"/>
  <c r="Y87" i="9"/>
  <c r="E113" i="21" s="1"/>
  <c r="X87" i="9"/>
  <c r="E112" i="21" s="1"/>
  <c r="W87" i="9"/>
  <c r="E111" i="21" s="1"/>
  <c r="V87" i="9"/>
  <c r="E110" i="21" s="1"/>
  <c r="U87" i="9"/>
  <c r="E109" i="21" s="1"/>
  <c r="T87" i="9"/>
  <c r="E108" i="21" s="1"/>
  <c r="S87" i="9"/>
  <c r="E107" i="21" s="1"/>
  <c r="R87" i="9"/>
  <c r="E106" i="21" s="1"/>
  <c r="Q87" i="9"/>
  <c r="E105" i="21" s="1"/>
  <c r="P87" i="9"/>
  <c r="E104" i="21" s="1"/>
  <c r="O87" i="9"/>
  <c r="E103" i="21" s="1"/>
  <c r="N87" i="9"/>
  <c r="E102" i="21" s="1"/>
  <c r="M87" i="9"/>
  <c r="E101" i="21" s="1"/>
  <c r="L87" i="9"/>
  <c r="E100" i="21" s="1"/>
  <c r="K87" i="9"/>
  <c r="E99" i="21" s="1"/>
  <c r="J87" i="9"/>
  <c r="E98" i="21" s="1"/>
  <c r="I87" i="9"/>
  <c r="E97" i="21" s="1"/>
  <c r="H87" i="9"/>
  <c r="E96" i="21" s="1"/>
  <c r="G87" i="9"/>
  <c r="E95" i="21" s="1"/>
  <c r="F87" i="9"/>
  <c r="E94" i="21" s="1"/>
  <c r="E87" i="9"/>
  <c r="E93" i="21" s="1"/>
  <c r="D87" i="9"/>
  <c r="E92" i="21" s="1"/>
  <c r="AY86" i="9"/>
  <c r="AX86" i="9"/>
  <c r="AW86" i="9"/>
  <c r="AM86" i="9" s="1"/>
  <c r="D127" i="21" s="1"/>
  <c r="AT86" i="9"/>
  <c r="AQ86" i="9"/>
  <c r="AR86" i="9" s="1"/>
  <c r="AS86" i="9" s="1"/>
  <c r="AO86" i="9"/>
  <c r="D129" i="21" s="1"/>
  <c r="AN86" i="9"/>
  <c r="D128" i="21" s="1"/>
  <c r="AJ86" i="9"/>
  <c r="D124" i="21" s="1"/>
  <c r="AI86" i="9"/>
  <c r="D123" i="21" s="1"/>
  <c r="AH86" i="9"/>
  <c r="D122" i="21" s="1"/>
  <c r="AG86" i="9"/>
  <c r="D121" i="21" s="1"/>
  <c r="AF86" i="9"/>
  <c r="D120" i="21" s="1"/>
  <c r="AE86" i="9"/>
  <c r="D119" i="21" s="1"/>
  <c r="AD86" i="9"/>
  <c r="D118" i="21" s="1"/>
  <c r="AC86" i="9"/>
  <c r="D117" i="21" s="1"/>
  <c r="AB86" i="9"/>
  <c r="D116" i="21" s="1"/>
  <c r="AA86" i="9"/>
  <c r="D115" i="21" s="1"/>
  <c r="Z86" i="9"/>
  <c r="D114" i="21" s="1"/>
  <c r="Y86" i="9"/>
  <c r="D113" i="21" s="1"/>
  <c r="X86" i="9"/>
  <c r="D112" i="21" s="1"/>
  <c r="W86" i="9"/>
  <c r="D111" i="21" s="1"/>
  <c r="V86" i="9"/>
  <c r="D110" i="21" s="1"/>
  <c r="U86" i="9"/>
  <c r="D109" i="21" s="1"/>
  <c r="T86" i="9"/>
  <c r="D108" i="21" s="1"/>
  <c r="S86" i="9"/>
  <c r="D107" i="21" s="1"/>
  <c r="R86" i="9"/>
  <c r="D106" i="21" s="1"/>
  <c r="Q86" i="9"/>
  <c r="D105" i="21" s="1"/>
  <c r="P86" i="9"/>
  <c r="D104" i="21" s="1"/>
  <c r="O86" i="9"/>
  <c r="D103" i="21" s="1"/>
  <c r="N86" i="9"/>
  <c r="D102" i="21" s="1"/>
  <c r="M86" i="9"/>
  <c r="D101" i="21" s="1"/>
  <c r="L86" i="9"/>
  <c r="D100" i="21" s="1"/>
  <c r="K86" i="9"/>
  <c r="D99" i="21" s="1"/>
  <c r="J86" i="9"/>
  <c r="D98" i="21" s="1"/>
  <c r="I86" i="9"/>
  <c r="D97" i="21" s="1"/>
  <c r="H86" i="9"/>
  <c r="D96" i="21" s="1"/>
  <c r="G86" i="9"/>
  <c r="D95" i="21" s="1"/>
  <c r="F86" i="9"/>
  <c r="D94" i="21" s="1"/>
  <c r="E86" i="9"/>
  <c r="D93" i="21" s="1"/>
  <c r="D86" i="9"/>
  <c r="D92" i="21" s="1"/>
  <c r="AY85" i="9"/>
  <c r="AV85" i="9"/>
  <c r="AL85" i="9" s="1"/>
  <c r="AQ84" i="21" s="1"/>
  <c r="AU85" i="9"/>
  <c r="AK85" i="9" s="1"/>
  <c r="AQ83" i="21" s="1"/>
  <c r="AT85" i="9"/>
  <c r="AQ85" i="9"/>
  <c r="AX85" i="9" s="1"/>
  <c r="AN85" i="9" s="1"/>
  <c r="AQ86" i="21" s="1"/>
  <c r="AO85" i="9"/>
  <c r="AQ87" i="21" s="1"/>
  <c r="AG85" i="9"/>
  <c r="AQ79" i="21" s="1"/>
  <c r="AF85" i="9"/>
  <c r="AQ78" i="21" s="1"/>
  <c r="AE85" i="9"/>
  <c r="AQ77" i="21" s="1"/>
  <c r="AD85" i="9"/>
  <c r="AQ76" i="21" s="1"/>
  <c r="AC85" i="9"/>
  <c r="AQ75" i="21" s="1"/>
  <c r="AB85" i="9"/>
  <c r="AQ74" i="21" s="1"/>
  <c r="AA85" i="9"/>
  <c r="AQ73" i="21" s="1"/>
  <c r="Z85" i="9"/>
  <c r="AQ72" i="21" s="1"/>
  <c r="Y85" i="9"/>
  <c r="AQ71" i="21" s="1"/>
  <c r="X85" i="9"/>
  <c r="AQ70" i="21" s="1"/>
  <c r="W85" i="9"/>
  <c r="AQ69" i="21" s="1"/>
  <c r="V85" i="9"/>
  <c r="AQ68" i="21" s="1"/>
  <c r="U85" i="9"/>
  <c r="AQ67" i="21" s="1"/>
  <c r="T85" i="9"/>
  <c r="AQ66" i="21" s="1"/>
  <c r="S85" i="9"/>
  <c r="AQ65" i="21" s="1"/>
  <c r="R85" i="9"/>
  <c r="AQ64" i="21" s="1"/>
  <c r="Q85" i="9"/>
  <c r="AQ63" i="21" s="1"/>
  <c r="P85" i="9"/>
  <c r="AQ62" i="21" s="1"/>
  <c r="O85" i="9"/>
  <c r="AQ61" i="21" s="1"/>
  <c r="N85" i="9"/>
  <c r="AQ60" i="21" s="1"/>
  <c r="M85" i="9"/>
  <c r="AQ59" i="21" s="1"/>
  <c r="L85" i="9"/>
  <c r="AQ58" i="21" s="1"/>
  <c r="K85" i="9"/>
  <c r="AQ57" i="21" s="1"/>
  <c r="J85" i="9"/>
  <c r="AQ56" i="21" s="1"/>
  <c r="I85" i="9"/>
  <c r="AQ55" i="21" s="1"/>
  <c r="H85" i="9"/>
  <c r="AQ54" i="21" s="1"/>
  <c r="G85" i="9"/>
  <c r="AQ53" i="21" s="1"/>
  <c r="F85" i="9"/>
  <c r="AQ52" i="21" s="1"/>
  <c r="E85" i="9"/>
  <c r="AQ51" i="21" s="1"/>
  <c r="D85" i="9"/>
  <c r="AQ50" i="21" s="1"/>
  <c r="AY84" i="9"/>
  <c r="AO84" i="9" s="1"/>
  <c r="AP87" i="21" s="1"/>
  <c r="AX84" i="9"/>
  <c r="AN84" i="9" s="1"/>
  <c r="AP86" i="21" s="1"/>
  <c r="AW84" i="9"/>
  <c r="AV84" i="9"/>
  <c r="AU84" i="9"/>
  <c r="AT84" i="9"/>
  <c r="AH84" i="9" s="1"/>
  <c r="AP80" i="21" s="1"/>
  <c r="AS84" i="9"/>
  <c r="AR84" i="9"/>
  <c r="AQ84" i="9"/>
  <c r="AM84" i="9"/>
  <c r="AP85" i="21" s="1"/>
  <c r="AL84" i="9"/>
  <c r="AP84" i="21" s="1"/>
  <c r="AK84" i="9"/>
  <c r="AP83" i="21" s="1"/>
  <c r="AJ84" i="9"/>
  <c r="AP82" i="21" s="1"/>
  <c r="AI84" i="9"/>
  <c r="AP81" i="21" s="1"/>
  <c r="AG84" i="9"/>
  <c r="AP79" i="21" s="1"/>
  <c r="AF84" i="9"/>
  <c r="AP78" i="21" s="1"/>
  <c r="AE84" i="9"/>
  <c r="AP77" i="21" s="1"/>
  <c r="AD84" i="9"/>
  <c r="AP76" i="21" s="1"/>
  <c r="AC84" i="9"/>
  <c r="AP75" i="21" s="1"/>
  <c r="AB84" i="9"/>
  <c r="AP74" i="21" s="1"/>
  <c r="AA84" i="9"/>
  <c r="AP73" i="21" s="1"/>
  <c r="Z84" i="9"/>
  <c r="AP72" i="21" s="1"/>
  <c r="Y84" i="9"/>
  <c r="AP71" i="21" s="1"/>
  <c r="X84" i="9"/>
  <c r="AP70" i="21" s="1"/>
  <c r="W84" i="9"/>
  <c r="AP69" i="21" s="1"/>
  <c r="V84" i="9"/>
  <c r="AP68" i="21" s="1"/>
  <c r="U84" i="9"/>
  <c r="AP67" i="21" s="1"/>
  <c r="T84" i="9"/>
  <c r="AP66" i="21" s="1"/>
  <c r="S84" i="9"/>
  <c r="AP65" i="21" s="1"/>
  <c r="R84" i="9"/>
  <c r="AP64" i="21" s="1"/>
  <c r="Q84" i="9"/>
  <c r="AP63" i="21" s="1"/>
  <c r="P84" i="9"/>
  <c r="AP62" i="21" s="1"/>
  <c r="O84" i="9"/>
  <c r="AP61" i="21" s="1"/>
  <c r="N84" i="9"/>
  <c r="AP60" i="21" s="1"/>
  <c r="M84" i="9"/>
  <c r="AP59" i="21" s="1"/>
  <c r="L84" i="9"/>
  <c r="AP58" i="21" s="1"/>
  <c r="K84" i="9"/>
  <c r="AP57" i="21" s="1"/>
  <c r="J84" i="9"/>
  <c r="AP56" i="21" s="1"/>
  <c r="I84" i="9"/>
  <c r="AP55" i="21" s="1"/>
  <c r="H84" i="9"/>
  <c r="AP54" i="21" s="1"/>
  <c r="G84" i="9"/>
  <c r="AP53" i="21" s="1"/>
  <c r="F84" i="9"/>
  <c r="AP52" i="21" s="1"/>
  <c r="E84" i="9"/>
  <c r="AP51" i="21" s="1"/>
  <c r="D84" i="9"/>
  <c r="AP50" i="21" s="1"/>
  <c r="AX83" i="9"/>
  <c r="AN83" i="9" s="1"/>
  <c r="AO86" i="21" s="1"/>
  <c r="AQ83" i="9"/>
  <c r="AU83" i="9" s="1"/>
  <c r="AK83" i="9" s="1"/>
  <c r="AO83" i="21" s="1"/>
  <c r="AG83" i="9"/>
  <c r="AO79" i="21" s="1"/>
  <c r="AF83" i="9"/>
  <c r="AO78" i="21" s="1"/>
  <c r="AE83" i="9"/>
  <c r="AO77" i="21" s="1"/>
  <c r="AD83" i="9"/>
  <c r="AO76" i="21" s="1"/>
  <c r="AC83" i="9"/>
  <c r="AO75" i="21" s="1"/>
  <c r="AB83" i="9"/>
  <c r="AO74" i="21" s="1"/>
  <c r="AA83" i="9"/>
  <c r="AO73" i="21" s="1"/>
  <c r="Z83" i="9"/>
  <c r="AO72" i="21" s="1"/>
  <c r="Y83" i="9"/>
  <c r="AO71" i="21" s="1"/>
  <c r="X83" i="9"/>
  <c r="AO70" i="21" s="1"/>
  <c r="W83" i="9"/>
  <c r="AO69" i="21" s="1"/>
  <c r="V83" i="9"/>
  <c r="AO68" i="21" s="1"/>
  <c r="U83" i="9"/>
  <c r="AO67" i="21" s="1"/>
  <c r="T83" i="9"/>
  <c r="AO66" i="21" s="1"/>
  <c r="S83" i="9"/>
  <c r="AO65" i="21" s="1"/>
  <c r="R83" i="9"/>
  <c r="AO64" i="21" s="1"/>
  <c r="Q83" i="9"/>
  <c r="AO63" i="21" s="1"/>
  <c r="P83" i="9"/>
  <c r="AO62" i="21" s="1"/>
  <c r="O83" i="9"/>
  <c r="AO61" i="21" s="1"/>
  <c r="N83" i="9"/>
  <c r="AO60" i="21" s="1"/>
  <c r="M83" i="9"/>
  <c r="AO59" i="21" s="1"/>
  <c r="L83" i="9"/>
  <c r="AO58" i="21" s="1"/>
  <c r="K83" i="9"/>
  <c r="AO57" i="21" s="1"/>
  <c r="J83" i="9"/>
  <c r="AO56" i="21" s="1"/>
  <c r="I83" i="9"/>
  <c r="AO55" i="21" s="1"/>
  <c r="H83" i="9"/>
  <c r="AO54" i="21" s="1"/>
  <c r="G83" i="9"/>
  <c r="AO53" i="21" s="1"/>
  <c r="F83" i="9"/>
  <c r="AO52" i="21" s="1"/>
  <c r="E83" i="9"/>
  <c r="AO51" i="21" s="1"/>
  <c r="D83" i="9"/>
  <c r="AO50" i="21" s="1"/>
  <c r="AV82" i="9"/>
  <c r="AL82" i="9" s="1"/>
  <c r="AN84" i="21" s="1"/>
  <c r="AU82" i="9"/>
  <c r="AK82" i="9" s="1"/>
  <c r="AN83" i="21" s="1"/>
  <c r="AQ82" i="9"/>
  <c r="AY82" i="9" s="1"/>
  <c r="AO82" i="9" s="1"/>
  <c r="AN87" i="21" s="1"/>
  <c r="AG82" i="9"/>
  <c r="AN79" i="21" s="1"/>
  <c r="AF82" i="9"/>
  <c r="AN78" i="21" s="1"/>
  <c r="AE82" i="9"/>
  <c r="AN77" i="21" s="1"/>
  <c r="AD82" i="9"/>
  <c r="AN76" i="21" s="1"/>
  <c r="AC82" i="9"/>
  <c r="AN75" i="21" s="1"/>
  <c r="AB82" i="9"/>
  <c r="AN74" i="21" s="1"/>
  <c r="AA82" i="9"/>
  <c r="AN73" i="21" s="1"/>
  <c r="Z82" i="9"/>
  <c r="AN72" i="21" s="1"/>
  <c r="Y82" i="9"/>
  <c r="AN71" i="21" s="1"/>
  <c r="X82" i="9"/>
  <c r="AN70" i="21" s="1"/>
  <c r="W82" i="9"/>
  <c r="AN69" i="21" s="1"/>
  <c r="V82" i="9"/>
  <c r="AN68" i="21" s="1"/>
  <c r="U82" i="9"/>
  <c r="AN67" i="21" s="1"/>
  <c r="T82" i="9"/>
  <c r="AN66" i="21" s="1"/>
  <c r="S82" i="9"/>
  <c r="AN65" i="21" s="1"/>
  <c r="R82" i="9"/>
  <c r="AN64" i="21" s="1"/>
  <c r="Q82" i="9"/>
  <c r="AN63" i="21" s="1"/>
  <c r="P82" i="9"/>
  <c r="AN62" i="21" s="1"/>
  <c r="O82" i="9"/>
  <c r="AN61" i="21" s="1"/>
  <c r="N82" i="9"/>
  <c r="AN60" i="21" s="1"/>
  <c r="M82" i="9"/>
  <c r="AN59" i="21" s="1"/>
  <c r="L82" i="9"/>
  <c r="AN58" i="21" s="1"/>
  <c r="K82" i="9"/>
  <c r="AN57" i="21" s="1"/>
  <c r="J82" i="9"/>
  <c r="AN56" i="21" s="1"/>
  <c r="I82" i="9"/>
  <c r="AN55" i="21" s="1"/>
  <c r="H82" i="9"/>
  <c r="AN54" i="21" s="1"/>
  <c r="G82" i="9"/>
  <c r="AN53" i="21" s="1"/>
  <c r="F82" i="9"/>
  <c r="AN52" i="21" s="1"/>
  <c r="E82" i="9"/>
  <c r="AN51" i="21" s="1"/>
  <c r="D82" i="9"/>
  <c r="AN50" i="21" s="1"/>
  <c r="AY81" i="9"/>
  <c r="AO81" i="9" s="1"/>
  <c r="AM87" i="21" s="1"/>
  <c r="AX81" i="9"/>
  <c r="AN81" i="9" s="1"/>
  <c r="AM86" i="21" s="1"/>
  <c r="AV81" i="9"/>
  <c r="AU81" i="9"/>
  <c r="AT81" i="9"/>
  <c r="AJ81" i="9" s="1"/>
  <c r="AM82" i="21" s="1"/>
  <c r="AQ81" i="9"/>
  <c r="AW81" i="9" s="1"/>
  <c r="AM81" i="9" s="1"/>
  <c r="AM85" i="21" s="1"/>
  <c r="AL81" i="9"/>
  <c r="AM84" i="21" s="1"/>
  <c r="AK81" i="9"/>
  <c r="AM83" i="21" s="1"/>
  <c r="AG81" i="9"/>
  <c r="AM79" i="21" s="1"/>
  <c r="AF81" i="9"/>
  <c r="AM78" i="21" s="1"/>
  <c r="AE81" i="9"/>
  <c r="AM77" i="21" s="1"/>
  <c r="AD81" i="9"/>
  <c r="AM76" i="21" s="1"/>
  <c r="AC81" i="9"/>
  <c r="AM75" i="21" s="1"/>
  <c r="AB81" i="9"/>
  <c r="AM74" i="21" s="1"/>
  <c r="AA81" i="9"/>
  <c r="AM73" i="21" s="1"/>
  <c r="Z81" i="9"/>
  <c r="AM72" i="21" s="1"/>
  <c r="Y81" i="9"/>
  <c r="AM71" i="21" s="1"/>
  <c r="X81" i="9"/>
  <c r="AM70" i="21" s="1"/>
  <c r="W81" i="9"/>
  <c r="AM69" i="21" s="1"/>
  <c r="V81" i="9"/>
  <c r="AM68" i="21" s="1"/>
  <c r="U81" i="9"/>
  <c r="AM67" i="21" s="1"/>
  <c r="T81" i="9"/>
  <c r="AM66" i="21" s="1"/>
  <c r="S81" i="9"/>
  <c r="AM65" i="21" s="1"/>
  <c r="R81" i="9"/>
  <c r="AM64" i="21" s="1"/>
  <c r="Q81" i="9"/>
  <c r="AM63" i="21" s="1"/>
  <c r="P81" i="9"/>
  <c r="AM62" i="21" s="1"/>
  <c r="O81" i="9"/>
  <c r="AM61" i="21" s="1"/>
  <c r="N81" i="9"/>
  <c r="AM60" i="21" s="1"/>
  <c r="M81" i="9"/>
  <c r="AM59" i="21" s="1"/>
  <c r="L81" i="9"/>
  <c r="AM58" i="21" s="1"/>
  <c r="K81" i="9"/>
  <c r="AM57" i="21" s="1"/>
  <c r="J81" i="9"/>
  <c r="AM56" i="21" s="1"/>
  <c r="I81" i="9"/>
  <c r="AM55" i="21" s="1"/>
  <c r="H81" i="9"/>
  <c r="AM54" i="21" s="1"/>
  <c r="G81" i="9"/>
  <c r="AM53" i="21" s="1"/>
  <c r="F81" i="9"/>
  <c r="AM52" i="21" s="1"/>
  <c r="E81" i="9"/>
  <c r="AM51" i="21" s="1"/>
  <c r="D81" i="9"/>
  <c r="AM50" i="21" s="1"/>
  <c r="AQ80" i="9"/>
  <c r="AG80" i="9"/>
  <c r="AL79" i="21" s="1"/>
  <c r="AF80" i="9"/>
  <c r="AL78" i="21" s="1"/>
  <c r="AE80" i="9"/>
  <c r="AL77" i="21" s="1"/>
  <c r="AD80" i="9"/>
  <c r="AL76" i="21" s="1"/>
  <c r="AC80" i="9"/>
  <c r="AL75" i="21" s="1"/>
  <c r="AB80" i="9"/>
  <c r="AL74" i="21" s="1"/>
  <c r="AA80" i="9"/>
  <c r="AL73" i="21" s="1"/>
  <c r="Z80" i="9"/>
  <c r="AL72" i="21" s="1"/>
  <c r="Y80" i="9"/>
  <c r="AL71" i="21" s="1"/>
  <c r="X80" i="9"/>
  <c r="AL70" i="21" s="1"/>
  <c r="W80" i="9"/>
  <c r="AL69" i="21" s="1"/>
  <c r="V80" i="9"/>
  <c r="AL68" i="21" s="1"/>
  <c r="U80" i="9"/>
  <c r="AL67" i="21" s="1"/>
  <c r="T80" i="9"/>
  <c r="AL66" i="21" s="1"/>
  <c r="S80" i="9"/>
  <c r="AL65" i="21" s="1"/>
  <c r="R80" i="9"/>
  <c r="AL64" i="21" s="1"/>
  <c r="Q80" i="9"/>
  <c r="AL63" i="21" s="1"/>
  <c r="P80" i="9"/>
  <c r="AL62" i="21" s="1"/>
  <c r="O80" i="9"/>
  <c r="AL61" i="21" s="1"/>
  <c r="N80" i="9"/>
  <c r="AL60" i="21" s="1"/>
  <c r="M80" i="9"/>
  <c r="AL59" i="21" s="1"/>
  <c r="L80" i="9"/>
  <c r="AL58" i="21" s="1"/>
  <c r="K80" i="9"/>
  <c r="AL57" i="21" s="1"/>
  <c r="J80" i="9"/>
  <c r="AL56" i="21" s="1"/>
  <c r="I80" i="9"/>
  <c r="AL55" i="21" s="1"/>
  <c r="H80" i="9"/>
  <c r="AL54" i="21" s="1"/>
  <c r="G80" i="9"/>
  <c r="AL53" i="21" s="1"/>
  <c r="F80" i="9"/>
  <c r="AL52" i="21" s="1"/>
  <c r="E80" i="9"/>
  <c r="AL51" i="21" s="1"/>
  <c r="D80" i="9"/>
  <c r="AL50" i="21" s="1"/>
  <c r="AW79" i="9"/>
  <c r="AM79" i="9" s="1"/>
  <c r="AK85" i="21" s="1"/>
  <c r="AV79" i="9"/>
  <c r="AL79" i="9" s="1"/>
  <c r="AK84" i="21" s="1"/>
  <c r="AU79" i="9"/>
  <c r="AK79" i="9" s="1"/>
  <c r="AK83" i="21" s="1"/>
  <c r="AR79" i="9"/>
  <c r="AS79" i="9" s="1"/>
  <c r="AQ79" i="9"/>
  <c r="AY79" i="9" s="1"/>
  <c r="AO79" i="9"/>
  <c r="AK87" i="21" s="1"/>
  <c r="AG79" i="9"/>
  <c r="AK79" i="21" s="1"/>
  <c r="AF79" i="9"/>
  <c r="AK78" i="21" s="1"/>
  <c r="AE79" i="9"/>
  <c r="AK77" i="21" s="1"/>
  <c r="AD79" i="9"/>
  <c r="AK76" i="21" s="1"/>
  <c r="AC79" i="9"/>
  <c r="AK75" i="21" s="1"/>
  <c r="AB79" i="9"/>
  <c r="AK74" i="21" s="1"/>
  <c r="AA79" i="9"/>
  <c r="AK73" i="21" s="1"/>
  <c r="Z79" i="9"/>
  <c r="AK72" i="21" s="1"/>
  <c r="Y79" i="9"/>
  <c r="AK71" i="21" s="1"/>
  <c r="X79" i="9"/>
  <c r="AK70" i="21" s="1"/>
  <c r="W79" i="9"/>
  <c r="AK69" i="21" s="1"/>
  <c r="V79" i="9"/>
  <c r="AK68" i="21" s="1"/>
  <c r="U79" i="9"/>
  <c r="AK67" i="21" s="1"/>
  <c r="T79" i="9"/>
  <c r="AK66" i="21" s="1"/>
  <c r="S79" i="9"/>
  <c r="AK65" i="21" s="1"/>
  <c r="R79" i="9"/>
  <c r="AK64" i="21" s="1"/>
  <c r="Q79" i="9"/>
  <c r="AK63" i="21" s="1"/>
  <c r="P79" i="9"/>
  <c r="AK62" i="21" s="1"/>
  <c r="O79" i="9"/>
  <c r="AK61" i="21" s="1"/>
  <c r="N79" i="9"/>
  <c r="AK60" i="21" s="1"/>
  <c r="M79" i="9"/>
  <c r="AK59" i="21" s="1"/>
  <c r="L79" i="9"/>
  <c r="AK58" i="21" s="1"/>
  <c r="K79" i="9"/>
  <c r="AK57" i="21" s="1"/>
  <c r="J79" i="9"/>
  <c r="AK56" i="21" s="1"/>
  <c r="I79" i="9"/>
  <c r="AK55" i="21" s="1"/>
  <c r="H79" i="9"/>
  <c r="AK54" i="21" s="1"/>
  <c r="G79" i="9"/>
  <c r="AK53" i="21" s="1"/>
  <c r="F79" i="9"/>
  <c r="AK52" i="21" s="1"/>
  <c r="E79" i="9"/>
  <c r="AK51" i="21" s="1"/>
  <c r="D79" i="9"/>
  <c r="AK50" i="21" s="1"/>
  <c r="AY78" i="9"/>
  <c r="AO78" i="9" s="1"/>
  <c r="AJ87" i="21" s="1"/>
  <c r="AX78" i="9"/>
  <c r="AW78" i="9"/>
  <c r="AV78" i="9"/>
  <c r="AU78" i="9"/>
  <c r="AK78" i="9" s="1"/>
  <c r="AJ83" i="21" s="1"/>
  <c r="AT78" i="9"/>
  <c r="AI78" i="9" s="1"/>
  <c r="AJ81" i="21" s="1"/>
  <c r="AR78" i="9"/>
  <c r="AS78" i="9" s="1"/>
  <c r="AQ78" i="9"/>
  <c r="AN78" i="9"/>
  <c r="AJ86" i="21" s="1"/>
  <c r="AM78" i="9"/>
  <c r="AJ85" i="21" s="1"/>
  <c r="AL78" i="9"/>
  <c r="AJ84" i="21" s="1"/>
  <c r="AJ78" i="9"/>
  <c r="AJ82" i="21" s="1"/>
  <c r="AH78" i="9"/>
  <c r="AJ80" i="21" s="1"/>
  <c r="AG78" i="9"/>
  <c r="AJ79" i="21" s="1"/>
  <c r="AF78" i="9"/>
  <c r="AJ78" i="21" s="1"/>
  <c r="AE78" i="9"/>
  <c r="AJ77" i="21" s="1"/>
  <c r="AD78" i="9"/>
  <c r="AJ76" i="21" s="1"/>
  <c r="AC78" i="9"/>
  <c r="AJ75" i="21" s="1"/>
  <c r="AB78" i="9"/>
  <c r="AJ74" i="21" s="1"/>
  <c r="AA78" i="9"/>
  <c r="AJ73" i="21" s="1"/>
  <c r="Z78" i="9"/>
  <c r="AJ72" i="21" s="1"/>
  <c r="Y78" i="9"/>
  <c r="AJ71" i="21" s="1"/>
  <c r="X78" i="9"/>
  <c r="AJ70" i="21" s="1"/>
  <c r="W78" i="9"/>
  <c r="AJ69" i="21" s="1"/>
  <c r="V78" i="9"/>
  <c r="AJ68" i="21" s="1"/>
  <c r="U78" i="9"/>
  <c r="AJ67" i="21" s="1"/>
  <c r="T78" i="9"/>
  <c r="AJ66" i="21" s="1"/>
  <c r="S78" i="9"/>
  <c r="AJ65" i="21" s="1"/>
  <c r="R78" i="9"/>
  <c r="AJ64" i="21" s="1"/>
  <c r="Q78" i="9"/>
  <c r="AJ63" i="21" s="1"/>
  <c r="P78" i="9"/>
  <c r="AJ62" i="21" s="1"/>
  <c r="O78" i="9"/>
  <c r="AJ61" i="21" s="1"/>
  <c r="N78" i="9"/>
  <c r="AJ60" i="21" s="1"/>
  <c r="M78" i="9"/>
  <c r="AJ59" i="21" s="1"/>
  <c r="L78" i="9"/>
  <c r="AJ58" i="21" s="1"/>
  <c r="K78" i="9"/>
  <c r="AJ57" i="21" s="1"/>
  <c r="J78" i="9"/>
  <c r="AJ56" i="21" s="1"/>
  <c r="I78" i="9"/>
  <c r="AJ55" i="21" s="1"/>
  <c r="H78" i="9"/>
  <c r="AJ54" i="21" s="1"/>
  <c r="G78" i="9"/>
  <c r="AJ53" i="21" s="1"/>
  <c r="F78" i="9"/>
  <c r="AJ52" i="21" s="1"/>
  <c r="E78" i="9"/>
  <c r="AJ51" i="21" s="1"/>
  <c r="D78" i="9"/>
  <c r="AJ50" i="21" s="1"/>
  <c r="AQ77" i="9"/>
  <c r="AG77" i="9"/>
  <c r="AI79" i="21" s="1"/>
  <c r="AF77" i="9"/>
  <c r="AI78" i="21" s="1"/>
  <c r="AE77" i="9"/>
  <c r="AI77" i="21" s="1"/>
  <c r="AD77" i="9"/>
  <c r="AI76" i="21" s="1"/>
  <c r="AC77" i="9"/>
  <c r="AI75" i="21" s="1"/>
  <c r="AB77" i="9"/>
  <c r="AI74" i="21" s="1"/>
  <c r="AA77" i="9"/>
  <c r="AI73" i="21" s="1"/>
  <c r="Z77" i="9"/>
  <c r="AI72" i="21" s="1"/>
  <c r="Y77" i="9"/>
  <c r="AI71" i="21" s="1"/>
  <c r="X77" i="9"/>
  <c r="AI70" i="21" s="1"/>
  <c r="W77" i="9"/>
  <c r="AI69" i="21" s="1"/>
  <c r="V77" i="9"/>
  <c r="AI68" i="21" s="1"/>
  <c r="U77" i="9"/>
  <c r="AI67" i="21" s="1"/>
  <c r="T77" i="9"/>
  <c r="AI66" i="21" s="1"/>
  <c r="S77" i="9"/>
  <c r="AI65" i="21" s="1"/>
  <c r="R77" i="9"/>
  <c r="AI64" i="21" s="1"/>
  <c r="Q77" i="9"/>
  <c r="AI63" i="21" s="1"/>
  <c r="P77" i="9"/>
  <c r="AI62" i="21" s="1"/>
  <c r="O77" i="9"/>
  <c r="AI61" i="21" s="1"/>
  <c r="N77" i="9"/>
  <c r="AI60" i="21" s="1"/>
  <c r="M77" i="9"/>
  <c r="AI59" i="21" s="1"/>
  <c r="L77" i="9"/>
  <c r="AI58" i="21" s="1"/>
  <c r="K77" i="9"/>
  <c r="AI57" i="21" s="1"/>
  <c r="J77" i="9"/>
  <c r="AI56" i="21" s="1"/>
  <c r="I77" i="9"/>
  <c r="AI55" i="21" s="1"/>
  <c r="H77" i="9"/>
  <c r="AI54" i="21" s="1"/>
  <c r="G77" i="9"/>
  <c r="AI53" i="21" s="1"/>
  <c r="F77" i="9"/>
  <c r="AI52" i="21" s="1"/>
  <c r="E77" i="9"/>
  <c r="AI51" i="21" s="1"/>
  <c r="D77" i="9"/>
  <c r="AI50" i="21" s="1"/>
  <c r="AV76" i="9"/>
  <c r="AL76" i="9" s="1"/>
  <c r="AH84" i="21" s="1"/>
  <c r="AQ76" i="9"/>
  <c r="AG76" i="9"/>
  <c r="AH79" i="21" s="1"/>
  <c r="AF76" i="9"/>
  <c r="AH78" i="21" s="1"/>
  <c r="AE76" i="9"/>
  <c r="AH77" i="21" s="1"/>
  <c r="AD76" i="9"/>
  <c r="AH76" i="21" s="1"/>
  <c r="AC76" i="9"/>
  <c r="AH75" i="21" s="1"/>
  <c r="AB76" i="9"/>
  <c r="AH74" i="21" s="1"/>
  <c r="AA76" i="9"/>
  <c r="AH73" i="21" s="1"/>
  <c r="Z76" i="9"/>
  <c r="AH72" i="21" s="1"/>
  <c r="Y76" i="9"/>
  <c r="AH71" i="21" s="1"/>
  <c r="X76" i="9"/>
  <c r="AH70" i="21" s="1"/>
  <c r="W76" i="9"/>
  <c r="AH69" i="21" s="1"/>
  <c r="V76" i="9"/>
  <c r="AH68" i="21" s="1"/>
  <c r="U76" i="9"/>
  <c r="AH67" i="21" s="1"/>
  <c r="T76" i="9"/>
  <c r="AH66" i="21" s="1"/>
  <c r="S76" i="9"/>
  <c r="AH65" i="21" s="1"/>
  <c r="R76" i="9"/>
  <c r="AH64" i="21" s="1"/>
  <c r="Q76" i="9"/>
  <c r="AH63" i="21" s="1"/>
  <c r="P76" i="9"/>
  <c r="AH62" i="21" s="1"/>
  <c r="O76" i="9"/>
  <c r="AH61" i="21" s="1"/>
  <c r="N76" i="9"/>
  <c r="AH60" i="21" s="1"/>
  <c r="M76" i="9"/>
  <c r="AH59" i="21" s="1"/>
  <c r="L76" i="9"/>
  <c r="AH58" i="21" s="1"/>
  <c r="K76" i="9"/>
  <c r="AH57" i="21" s="1"/>
  <c r="J76" i="9"/>
  <c r="AH56" i="21" s="1"/>
  <c r="I76" i="9"/>
  <c r="AH55" i="21" s="1"/>
  <c r="H76" i="9"/>
  <c r="AH54" i="21" s="1"/>
  <c r="G76" i="9"/>
  <c r="AH53" i="21" s="1"/>
  <c r="F76" i="9"/>
  <c r="AH52" i="21" s="1"/>
  <c r="E76" i="9"/>
  <c r="AH51" i="21" s="1"/>
  <c r="D76" i="9"/>
  <c r="AH50" i="21" s="1"/>
  <c r="AX75" i="9"/>
  <c r="AW75" i="9"/>
  <c r="AV75" i="9"/>
  <c r="AU75" i="9"/>
  <c r="AS75" i="9"/>
  <c r="AR75" i="9"/>
  <c r="AQ75" i="9"/>
  <c r="AY75" i="9" s="1"/>
  <c r="AO75" i="9" s="1"/>
  <c r="AG87" i="21" s="1"/>
  <c r="AN75" i="9"/>
  <c r="AG86" i="21" s="1"/>
  <c r="AM75" i="9"/>
  <c r="AG85" i="21" s="1"/>
  <c r="AL75" i="9"/>
  <c r="AG84" i="21" s="1"/>
  <c r="AK75" i="9"/>
  <c r="AG83" i="21" s="1"/>
  <c r="AG75" i="9"/>
  <c r="AG79" i="21" s="1"/>
  <c r="AF75" i="9"/>
  <c r="AG78" i="21" s="1"/>
  <c r="AE75" i="9"/>
  <c r="AG77" i="21" s="1"/>
  <c r="AD75" i="9"/>
  <c r="AG76" i="21" s="1"/>
  <c r="AC75" i="9"/>
  <c r="AG75" i="21" s="1"/>
  <c r="AB75" i="9"/>
  <c r="AG74" i="21" s="1"/>
  <c r="AA75" i="9"/>
  <c r="AG73" i="21" s="1"/>
  <c r="Z75" i="9"/>
  <c r="AG72" i="21" s="1"/>
  <c r="Y75" i="9"/>
  <c r="AG71" i="21" s="1"/>
  <c r="X75" i="9"/>
  <c r="AG70" i="21" s="1"/>
  <c r="W75" i="9"/>
  <c r="AG69" i="21" s="1"/>
  <c r="V75" i="9"/>
  <c r="AG68" i="21" s="1"/>
  <c r="U75" i="9"/>
  <c r="AG67" i="21" s="1"/>
  <c r="T75" i="9"/>
  <c r="AG66" i="21" s="1"/>
  <c r="S75" i="9"/>
  <c r="AG65" i="21" s="1"/>
  <c r="R75" i="9"/>
  <c r="AG64" i="21" s="1"/>
  <c r="Q75" i="9"/>
  <c r="AG63" i="21" s="1"/>
  <c r="P75" i="9"/>
  <c r="AG62" i="21" s="1"/>
  <c r="O75" i="9"/>
  <c r="AG61" i="21" s="1"/>
  <c r="N75" i="9"/>
  <c r="AG60" i="21" s="1"/>
  <c r="M75" i="9"/>
  <c r="AG59" i="21" s="1"/>
  <c r="L75" i="9"/>
  <c r="AG58" i="21" s="1"/>
  <c r="K75" i="9"/>
  <c r="AG57" i="21" s="1"/>
  <c r="J75" i="9"/>
  <c r="AG56" i="21" s="1"/>
  <c r="I75" i="9"/>
  <c r="AG55" i="21" s="1"/>
  <c r="H75" i="9"/>
  <c r="AG54" i="21" s="1"/>
  <c r="G75" i="9"/>
  <c r="AG53" i="21" s="1"/>
  <c r="F75" i="9"/>
  <c r="AG52" i="21" s="1"/>
  <c r="E75" i="9"/>
  <c r="AG51" i="21" s="1"/>
  <c r="D75" i="9"/>
  <c r="AG50" i="21" s="1"/>
  <c r="AT74" i="9"/>
  <c r="AI74" i="9" s="1"/>
  <c r="AF81" i="21" s="1"/>
  <c r="AS74" i="9"/>
  <c r="AR74" i="9"/>
  <c r="AQ74" i="9"/>
  <c r="AX74" i="9" s="1"/>
  <c r="AN74" i="9" s="1"/>
  <c r="AF86" i="21" s="1"/>
  <c r="AG74" i="9"/>
  <c r="AF79" i="21" s="1"/>
  <c r="AF74" i="9"/>
  <c r="AF78" i="21" s="1"/>
  <c r="AE74" i="9"/>
  <c r="AF77" i="21" s="1"/>
  <c r="AD74" i="9"/>
  <c r="AF76" i="21" s="1"/>
  <c r="AC74" i="9"/>
  <c r="AF75" i="21" s="1"/>
  <c r="AB74" i="9"/>
  <c r="AF74" i="21" s="1"/>
  <c r="AA74" i="9"/>
  <c r="AF73" i="21" s="1"/>
  <c r="Z74" i="9"/>
  <c r="AF72" i="21" s="1"/>
  <c r="Y74" i="9"/>
  <c r="AF71" i="21" s="1"/>
  <c r="X74" i="9"/>
  <c r="AF70" i="21" s="1"/>
  <c r="W74" i="9"/>
  <c r="AF69" i="21" s="1"/>
  <c r="V74" i="9"/>
  <c r="AF68" i="21" s="1"/>
  <c r="U74" i="9"/>
  <c r="AF67" i="21" s="1"/>
  <c r="T74" i="9"/>
  <c r="AF66" i="21" s="1"/>
  <c r="S74" i="9"/>
  <c r="AF65" i="21" s="1"/>
  <c r="R74" i="9"/>
  <c r="AF64" i="21" s="1"/>
  <c r="Q74" i="9"/>
  <c r="AF63" i="21" s="1"/>
  <c r="P74" i="9"/>
  <c r="AF62" i="21" s="1"/>
  <c r="O74" i="9"/>
  <c r="AF61" i="21" s="1"/>
  <c r="N74" i="9"/>
  <c r="AF60" i="21" s="1"/>
  <c r="M74" i="9"/>
  <c r="AF59" i="21" s="1"/>
  <c r="L74" i="9"/>
  <c r="AF58" i="21" s="1"/>
  <c r="K74" i="9"/>
  <c r="AF57" i="21" s="1"/>
  <c r="J74" i="9"/>
  <c r="AF56" i="21" s="1"/>
  <c r="I74" i="9"/>
  <c r="AF55" i="21" s="1"/>
  <c r="H74" i="9"/>
  <c r="AF54" i="21" s="1"/>
  <c r="G74" i="9"/>
  <c r="AF53" i="21" s="1"/>
  <c r="F74" i="9"/>
  <c r="AF52" i="21" s="1"/>
  <c r="E74" i="9"/>
  <c r="AF51" i="21" s="1"/>
  <c r="D74" i="9"/>
  <c r="AF50" i="21" s="1"/>
  <c r="AY73" i="9"/>
  <c r="AO73" i="9" s="1"/>
  <c r="AE87" i="21" s="1"/>
  <c r="AX73" i="9"/>
  <c r="AN73" i="9" s="1"/>
  <c r="AE86" i="21" s="1"/>
  <c r="AW73" i="9"/>
  <c r="AM73" i="9" s="1"/>
  <c r="AE85" i="21" s="1"/>
  <c r="AV73" i="9"/>
  <c r="AL73" i="9" s="1"/>
  <c r="AE84" i="21" s="1"/>
  <c r="AT73" i="9"/>
  <c r="AR73" i="9"/>
  <c r="AS73" i="9" s="1"/>
  <c r="AQ73" i="9"/>
  <c r="AU73" i="9" s="1"/>
  <c r="AK73" i="9" s="1"/>
  <c r="AE83" i="21" s="1"/>
  <c r="AJ73" i="9"/>
  <c r="AE82" i="21" s="1"/>
  <c r="AI73" i="9"/>
  <c r="AE81" i="21" s="1"/>
  <c r="AH73" i="9"/>
  <c r="AE80" i="21" s="1"/>
  <c r="AG73" i="9"/>
  <c r="AE79" i="21" s="1"/>
  <c r="AF73" i="9"/>
  <c r="AE78" i="21" s="1"/>
  <c r="AE73" i="9"/>
  <c r="AE77" i="21" s="1"/>
  <c r="AD73" i="9"/>
  <c r="AE76" i="21" s="1"/>
  <c r="AC73" i="9"/>
  <c r="AE75" i="21" s="1"/>
  <c r="AB73" i="9"/>
  <c r="AE74" i="21" s="1"/>
  <c r="AA73" i="9"/>
  <c r="AE73" i="21" s="1"/>
  <c r="Z73" i="9"/>
  <c r="AE72" i="21" s="1"/>
  <c r="Y73" i="9"/>
  <c r="AE71" i="21" s="1"/>
  <c r="X73" i="9"/>
  <c r="AE70" i="21" s="1"/>
  <c r="W73" i="9"/>
  <c r="AE69" i="21" s="1"/>
  <c r="V73" i="9"/>
  <c r="AE68" i="21" s="1"/>
  <c r="U73" i="9"/>
  <c r="AE67" i="21" s="1"/>
  <c r="T73" i="9"/>
  <c r="AE66" i="21" s="1"/>
  <c r="S73" i="9"/>
  <c r="AE65" i="21" s="1"/>
  <c r="R73" i="9"/>
  <c r="AE64" i="21" s="1"/>
  <c r="Q73" i="9"/>
  <c r="AE63" i="21" s="1"/>
  <c r="P73" i="9"/>
  <c r="AE62" i="21" s="1"/>
  <c r="O73" i="9"/>
  <c r="AE61" i="21" s="1"/>
  <c r="N73" i="9"/>
  <c r="AE60" i="21" s="1"/>
  <c r="M73" i="9"/>
  <c r="AE59" i="21" s="1"/>
  <c r="L73" i="9"/>
  <c r="AE58" i="21" s="1"/>
  <c r="K73" i="9"/>
  <c r="AE57" i="21" s="1"/>
  <c r="J73" i="9"/>
  <c r="AE56" i="21" s="1"/>
  <c r="I73" i="9"/>
  <c r="AE55" i="21" s="1"/>
  <c r="H73" i="9"/>
  <c r="AE54" i="21" s="1"/>
  <c r="G73" i="9"/>
  <c r="AE53" i="21" s="1"/>
  <c r="F73" i="9"/>
  <c r="AE52" i="21" s="1"/>
  <c r="E73" i="9"/>
  <c r="AE51" i="21" s="1"/>
  <c r="D73" i="9"/>
  <c r="AE50" i="21" s="1"/>
  <c r="AY72" i="9"/>
  <c r="AX72" i="9"/>
  <c r="AW72" i="9"/>
  <c r="AM72" i="9" s="1"/>
  <c r="AD85" i="21" s="1"/>
  <c r="AQ72" i="9"/>
  <c r="AT72" i="9" s="1"/>
  <c r="AO72" i="9"/>
  <c r="AD87" i="21" s="1"/>
  <c r="AN72" i="9"/>
  <c r="AD86" i="21" s="1"/>
  <c r="AH72" i="9"/>
  <c r="AD80" i="21" s="1"/>
  <c r="AG72" i="9"/>
  <c r="AD79" i="21" s="1"/>
  <c r="AF72" i="9"/>
  <c r="AD78" i="21" s="1"/>
  <c r="AE72" i="9"/>
  <c r="AD77" i="21" s="1"/>
  <c r="AD72" i="9"/>
  <c r="AD76" i="21" s="1"/>
  <c r="AC72" i="9"/>
  <c r="AD75" i="21" s="1"/>
  <c r="AB72" i="9"/>
  <c r="AD74" i="21" s="1"/>
  <c r="AA72" i="9"/>
  <c r="AD73" i="21" s="1"/>
  <c r="Z72" i="9"/>
  <c r="AD72" i="21" s="1"/>
  <c r="Y72" i="9"/>
  <c r="AD71" i="21" s="1"/>
  <c r="X72" i="9"/>
  <c r="AD70" i="21" s="1"/>
  <c r="W72" i="9"/>
  <c r="AD69" i="21" s="1"/>
  <c r="V72" i="9"/>
  <c r="AD68" i="21" s="1"/>
  <c r="U72" i="9"/>
  <c r="AD67" i="21" s="1"/>
  <c r="T72" i="9"/>
  <c r="AD66" i="21" s="1"/>
  <c r="S72" i="9"/>
  <c r="AD65" i="21" s="1"/>
  <c r="R72" i="9"/>
  <c r="AD64" i="21" s="1"/>
  <c r="Q72" i="9"/>
  <c r="AD63" i="21" s="1"/>
  <c r="P72" i="9"/>
  <c r="AD62" i="21" s="1"/>
  <c r="O72" i="9"/>
  <c r="AD61" i="21" s="1"/>
  <c r="N72" i="9"/>
  <c r="AD60" i="21" s="1"/>
  <c r="M72" i="9"/>
  <c r="AD59" i="21" s="1"/>
  <c r="L72" i="9"/>
  <c r="AD58" i="21" s="1"/>
  <c r="K72" i="9"/>
  <c r="AD57" i="21" s="1"/>
  <c r="J72" i="9"/>
  <c r="AD56" i="21" s="1"/>
  <c r="I72" i="9"/>
  <c r="AD55" i="21" s="1"/>
  <c r="H72" i="9"/>
  <c r="AD54" i="21" s="1"/>
  <c r="G72" i="9"/>
  <c r="AD53" i="21" s="1"/>
  <c r="F72" i="9"/>
  <c r="AD52" i="21" s="1"/>
  <c r="E72" i="9"/>
  <c r="AD51" i="21" s="1"/>
  <c r="D72" i="9"/>
  <c r="AD50" i="21" s="1"/>
  <c r="AY71" i="9"/>
  <c r="AV71" i="9"/>
  <c r="AL71" i="9" s="1"/>
  <c r="AC84" i="21" s="1"/>
  <c r="AU71" i="9"/>
  <c r="AK71" i="9" s="1"/>
  <c r="AC83" i="21" s="1"/>
  <c r="AT71" i="9"/>
  <c r="AS71" i="9"/>
  <c r="AR71" i="9"/>
  <c r="AQ71" i="9"/>
  <c r="AX71" i="9" s="1"/>
  <c r="AN71" i="9" s="1"/>
  <c r="AC86" i="21" s="1"/>
  <c r="AO71" i="9"/>
  <c r="AC87" i="21" s="1"/>
  <c r="AG71" i="9"/>
  <c r="AC79" i="21" s="1"/>
  <c r="AF71" i="9"/>
  <c r="AC78" i="21" s="1"/>
  <c r="AE71" i="9"/>
  <c r="AC77" i="21" s="1"/>
  <c r="AD71" i="9"/>
  <c r="AC76" i="21" s="1"/>
  <c r="AC71" i="9"/>
  <c r="AC75" i="21" s="1"/>
  <c r="AB71" i="9"/>
  <c r="AC74" i="21" s="1"/>
  <c r="AA71" i="9"/>
  <c r="AC73" i="21" s="1"/>
  <c r="Z71" i="9"/>
  <c r="AC72" i="21" s="1"/>
  <c r="Y71" i="9"/>
  <c r="AC71" i="21" s="1"/>
  <c r="X71" i="9"/>
  <c r="AC70" i="21" s="1"/>
  <c r="W71" i="9"/>
  <c r="AC69" i="21" s="1"/>
  <c r="V71" i="9"/>
  <c r="AC68" i="21" s="1"/>
  <c r="U71" i="9"/>
  <c r="AC67" i="21" s="1"/>
  <c r="T71" i="9"/>
  <c r="AC66" i="21" s="1"/>
  <c r="S71" i="9"/>
  <c r="AC65" i="21" s="1"/>
  <c r="R71" i="9"/>
  <c r="AC64" i="21" s="1"/>
  <c r="Q71" i="9"/>
  <c r="AC63" i="21" s="1"/>
  <c r="P71" i="9"/>
  <c r="AC62" i="21" s="1"/>
  <c r="O71" i="9"/>
  <c r="AC61" i="21" s="1"/>
  <c r="N71" i="9"/>
  <c r="AC60" i="21" s="1"/>
  <c r="M71" i="9"/>
  <c r="AC59" i="21" s="1"/>
  <c r="L71" i="9"/>
  <c r="AC58" i="21" s="1"/>
  <c r="K71" i="9"/>
  <c r="AC57" i="21" s="1"/>
  <c r="J71" i="9"/>
  <c r="AC56" i="21" s="1"/>
  <c r="I71" i="9"/>
  <c r="AC55" i="21" s="1"/>
  <c r="H71" i="9"/>
  <c r="AC54" i="21" s="1"/>
  <c r="G71" i="9"/>
  <c r="AC53" i="21" s="1"/>
  <c r="F71" i="9"/>
  <c r="AC52" i="21" s="1"/>
  <c r="E71" i="9"/>
  <c r="AC51" i="21" s="1"/>
  <c r="D71" i="9"/>
  <c r="AC50" i="21" s="1"/>
  <c r="AY70" i="9"/>
  <c r="AO70" i="9" s="1"/>
  <c r="AB87" i="21" s="1"/>
  <c r="AX70" i="9"/>
  <c r="AN70" i="9" s="1"/>
  <c r="AB86" i="21" s="1"/>
  <c r="AW70" i="9"/>
  <c r="AM70" i="9" s="1"/>
  <c r="AB85" i="21" s="1"/>
  <c r="AV70" i="9"/>
  <c r="AU70" i="9"/>
  <c r="AT70" i="9"/>
  <c r="AS70" i="9"/>
  <c r="AR70" i="9"/>
  <c r="AQ70" i="9"/>
  <c r="AL70" i="9"/>
  <c r="AB84" i="21" s="1"/>
  <c r="AK70" i="9"/>
  <c r="AB83" i="21" s="1"/>
  <c r="AJ70" i="9"/>
  <c r="AB82" i="21" s="1"/>
  <c r="AI70" i="9"/>
  <c r="AB81" i="21" s="1"/>
  <c r="AH70" i="9"/>
  <c r="AB80" i="21" s="1"/>
  <c r="AG70" i="9"/>
  <c r="AB79" i="21" s="1"/>
  <c r="AF70" i="9"/>
  <c r="AB78" i="21" s="1"/>
  <c r="AE70" i="9"/>
  <c r="AB77" i="21" s="1"/>
  <c r="AD70" i="9"/>
  <c r="AB76" i="21" s="1"/>
  <c r="AC70" i="9"/>
  <c r="AB75" i="21" s="1"/>
  <c r="AB70" i="9"/>
  <c r="AB74" i="21" s="1"/>
  <c r="AA70" i="9"/>
  <c r="AB73" i="21" s="1"/>
  <c r="Z70" i="9"/>
  <c r="AB72" i="21" s="1"/>
  <c r="Y70" i="9"/>
  <c r="AB71" i="21" s="1"/>
  <c r="X70" i="9"/>
  <c r="AB70" i="21" s="1"/>
  <c r="W70" i="9"/>
  <c r="AB69" i="21" s="1"/>
  <c r="V70" i="9"/>
  <c r="AB68" i="21" s="1"/>
  <c r="U70" i="9"/>
  <c r="AB67" i="21" s="1"/>
  <c r="T70" i="9"/>
  <c r="AB66" i="21" s="1"/>
  <c r="S70" i="9"/>
  <c r="AB65" i="21" s="1"/>
  <c r="R70" i="9"/>
  <c r="AB64" i="21" s="1"/>
  <c r="Q70" i="9"/>
  <c r="AB63" i="21" s="1"/>
  <c r="P70" i="9"/>
  <c r="AB62" i="21" s="1"/>
  <c r="O70" i="9"/>
  <c r="AB61" i="21" s="1"/>
  <c r="N70" i="9"/>
  <c r="AB60" i="21" s="1"/>
  <c r="M70" i="9"/>
  <c r="AB59" i="21" s="1"/>
  <c r="L70" i="9"/>
  <c r="AB58" i="21" s="1"/>
  <c r="K70" i="9"/>
  <c r="AB57" i="21" s="1"/>
  <c r="J70" i="9"/>
  <c r="AB56" i="21" s="1"/>
  <c r="I70" i="9"/>
  <c r="AB55" i="21" s="1"/>
  <c r="H70" i="9"/>
  <c r="AB54" i="21" s="1"/>
  <c r="G70" i="9"/>
  <c r="AB53" i="21" s="1"/>
  <c r="F70" i="9"/>
  <c r="AB52" i="21" s="1"/>
  <c r="E70" i="9"/>
  <c r="AB51" i="21" s="1"/>
  <c r="D70" i="9"/>
  <c r="AB50" i="21" s="1"/>
  <c r="AX69" i="9"/>
  <c r="AN69" i="9" s="1"/>
  <c r="AA86" i="21" s="1"/>
  <c r="AQ69" i="9"/>
  <c r="AU69" i="9" s="1"/>
  <c r="AK69" i="9" s="1"/>
  <c r="AA83" i="21" s="1"/>
  <c r="AG69" i="9"/>
  <c r="AA79" i="21" s="1"/>
  <c r="AF69" i="9"/>
  <c r="AA78" i="21" s="1"/>
  <c r="AE69" i="9"/>
  <c r="AA77" i="21" s="1"/>
  <c r="AD69" i="9"/>
  <c r="AA76" i="21" s="1"/>
  <c r="AC69" i="9"/>
  <c r="AA75" i="21" s="1"/>
  <c r="AB69" i="9"/>
  <c r="AA74" i="21" s="1"/>
  <c r="AA69" i="9"/>
  <c r="AA73" i="21" s="1"/>
  <c r="Z69" i="9"/>
  <c r="AA72" i="21" s="1"/>
  <c r="Y69" i="9"/>
  <c r="AA71" i="21" s="1"/>
  <c r="X69" i="9"/>
  <c r="AA70" i="21" s="1"/>
  <c r="W69" i="9"/>
  <c r="AA69" i="21" s="1"/>
  <c r="V69" i="9"/>
  <c r="AA68" i="21" s="1"/>
  <c r="U69" i="9"/>
  <c r="AA67" i="21" s="1"/>
  <c r="T69" i="9"/>
  <c r="AA66" i="21" s="1"/>
  <c r="S69" i="9"/>
  <c r="AA65" i="21" s="1"/>
  <c r="R69" i="9"/>
  <c r="AA64" i="21" s="1"/>
  <c r="Q69" i="9"/>
  <c r="AA63" i="21" s="1"/>
  <c r="P69" i="9"/>
  <c r="AA62" i="21" s="1"/>
  <c r="O69" i="9"/>
  <c r="AA61" i="21" s="1"/>
  <c r="N69" i="9"/>
  <c r="AA60" i="21" s="1"/>
  <c r="M69" i="9"/>
  <c r="AA59" i="21" s="1"/>
  <c r="L69" i="9"/>
  <c r="AA58" i="21" s="1"/>
  <c r="K69" i="9"/>
  <c r="AA57" i="21" s="1"/>
  <c r="J69" i="9"/>
  <c r="AA56" i="21" s="1"/>
  <c r="I69" i="9"/>
  <c r="AA55" i="21" s="1"/>
  <c r="H69" i="9"/>
  <c r="AA54" i="21" s="1"/>
  <c r="G69" i="9"/>
  <c r="AA53" i="21" s="1"/>
  <c r="F69" i="9"/>
  <c r="AA52" i="21" s="1"/>
  <c r="E69" i="9"/>
  <c r="AA51" i="21" s="1"/>
  <c r="D69" i="9"/>
  <c r="AA50" i="21" s="1"/>
  <c r="AV68" i="9"/>
  <c r="AL68" i="9" s="1"/>
  <c r="Z84" i="21" s="1"/>
  <c r="AU68" i="9"/>
  <c r="AK68" i="9" s="1"/>
  <c r="Z83" i="21" s="1"/>
  <c r="AT68" i="9"/>
  <c r="AQ68" i="9"/>
  <c r="AY68" i="9" s="1"/>
  <c r="AO68" i="9" s="1"/>
  <c r="Z87" i="21" s="1"/>
  <c r="AG68" i="9"/>
  <c r="Z79" i="21" s="1"/>
  <c r="AF68" i="9"/>
  <c r="Z78" i="21" s="1"/>
  <c r="AE68" i="9"/>
  <c r="Z77" i="21" s="1"/>
  <c r="AD68" i="9"/>
  <c r="Z76" i="21" s="1"/>
  <c r="AC68" i="9"/>
  <c r="Z75" i="21" s="1"/>
  <c r="AB68" i="9"/>
  <c r="Z74" i="21" s="1"/>
  <c r="AA68" i="9"/>
  <c r="Z73" i="21" s="1"/>
  <c r="Z68" i="9"/>
  <c r="Z72" i="21" s="1"/>
  <c r="Y68" i="9"/>
  <c r="Z71" i="21" s="1"/>
  <c r="X68" i="9"/>
  <c r="Z70" i="21" s="1"/>
  <c r="W68" i="9"/>
  <c r="Z69" i="21" s="1"/>
  <c r="V68" i="9"/>
  <c r="Z68" i="21" s="1"/>
  <c r="U68" i="9"/>
  <c r="Z67" i="21" s="1"/>
  <c r="T68" i="9"/>
  <c r="Z66" i="21" s="1"/>
  <c r="S68" i="9"/>
  <c r="Z65" i="21" s="1"/>
  <c r="R68" i="9"/>
  <c r="Z64" i="21" s="1"/>
  <c r="Q68" i="9"/>
  <c r="Z63" i="21" s="1"/>
  <c r="P68" i="9"/>
  <c r="Z62" i="21" s="1"/>
  <c r="O68" i="9"/>
  <c r="Z61" i="21" s="1"/>
  <c r="N68" i="9"/>
  <c r="Z60" i="21" s="1"/>
  <c r="M68" i="9"/>
  <c r="Z59" i="21" s="1"/>
  <c r="L68" i="9"/>
  <c r="Z58" i="21" s="1"/>
  <c r="K68" i="9"/>
  <c r="Z57" i="21" s="1"/>
  <c r="J68" i="9"/>
  <c r="Z56" i="21" s="1"/>
  <c r="I68" i="9"/>
  <c r="Z55" i="21" s="1"/>
  <c r="H68" i="9"/>
  <c r="Z54" i="21" s="1"/>
  <c r="G68" i="9"/>
  <c r="Z53" i="21" s="1"/>
  <c r="F68" i="9"/>
  <c r="Z52" i="21" s="1"/>
  <c r="E68" i="9"/>
  <c r="Z51" i="21" s="1"/>
  <c r="D68" i="9"/>
  <c r="Z50" i="21" s="1"/>
  <c r="AY67" i="9"/>
  <c r="AO67" i="9" s="1"/>
  <c r="Y87" i="21" s="1"/>
  <c r="AX67" i="9"/>
  <c r="AN67" i="9" s="1"/>
  <c r="Y86" i="21" s="1"/>
  <c r="AV67" i="9"/>
  <c r="AU67" i="9"/>
  <c r="AT67" i="9"/>
  <c r="AJ67" i="9" s="1"/>
  <c r="Y82" i="21" s="1"/>
  <c r="AQ67" i="9"/>
  <c r="AW67" i="9" s="1"/>
  <c r="AM67" i="9" s="1"/>
  <c r="Y85" i="21" s="1"/>
  <c r="AL67" i="9"/>
  <c r="Y84" i="21" s="1"/>
  <c r="AK67" i="9"/>
  <c r="Y83" i="21" s="1"/>
  <c r="AG67" i="9"/>
  <c r="Y79" i="21" s="1"/>
  <c r="AF67" i="9"/>
  <c r="Y78" i="21" s="1"/>
  <c r="AE67" i="9"/>
  <c r="Y77" i="21" s="1"/>
  <c r="AD67" i="9"/>
  <c r="Y76" i="21" s="1"/>
  <c r="AC67" i="9"/>
  <c r="Y75" i="21" s="1"/>
  <c r="AB67" i="9"/>
  <c r="Y74" i="21" s="1"/>
  <c r="AA67" i="9"/>
  <c r="Y73" i="21" s="1"/>
  <c r="Z67" i="9"/>
  <c r="Y72" i="21" s="1"/>
  <c r="Y67" i="9"/>
  <c r="Y71" i="21" s="1"/>
  <c r="X67" i="9"/>
  <c r="Y70" i="21" s="1"/>
  <c r="W67" i="9"/>
  <c r="Y69" i="21" s="1"/>
  <c r="V67" i="9"/>
  <c r="Y68" i="21" s="1"/>
  <c r="U67" i="9"/>
  <c r="Y67" i="21" s="1"/>
  <c r="T67" i="9"/>
  <c r="Y66" i="21" s="1"/>
  <c r="S67" i="9"/>
  <c r="Y65" i="21" s="1"/>
  <c r="R67" i="9"/>
  <c r="Y64" i="21" s="1"/>
  <c r="Q67" i="9"/>
  <c r="Y63" i="21" s="1"/>
  <c r="P67" i="9"/>
  <c r="Y62" i="21" s="1"/>
  <c r="O67" i="9"/>
  <c r="Y61" i="21" s="1"/>
  <c r="N67" i="9"/>
  <c r="Y60" i="21" s="1"/>
  <c r="M67" i="9"/>
  <c r="Y59" i="21" s="1"/>
  <c r="L67" i="9"/>
  <c r="Y58" i="21" s="1"/>
  <c r="K67" i="9"/>
  <c r="Y57" i="21" s="1"/>
  <c r="J67" i="9"/>
  <c r="Y56" i="21" s="1"/>
  <c r="I67" i="9"/>
  <c r="Y55" i="21" s="1"/>
  <c r="H67" i="9"/>
  <c r="Y54" i="21" s="1"/>
  <c r="G67" i="9"/>
  <c r="Y53" i="21" s="1"/>
  <c r="F67" i="9"/>
  <c r="Y52" i="21" s="1"/>
  <c r="E67" i="9"/>
  <c r="Y51" i="21" s="1"/>
  <c r="D67" i="9"/>
  <c r="Y50" i="21" s="1"/>
  <c r="AQ66" i="9"/>
  <c r="AG66" i="9"/>
  <c r="X79" i="21" s="1"/>
  <c r="AF66" i="9"/>
  <c r="X78" i="21" s="1"/>
  <c r="AE66" i="9"/>
  <c r="X77" i="21" s="1"/>
  <c r="AD66" i="9"/>
  <c r="X76" i="21" s="1"/>
  <c r="AC66" i="9"/>
  <c r="X75" i="21" s="1"/>
  <c r="AB66" i="9"/>
  <c r="X74" i="21" s="1"/>
  <c r="AA66" i="9"/>
  <c r="X73" i="21" s="1"/>
  <c r="Z66" i="9"/>
  <c r="X72" i="21" s="1"/>
  <c r="Y66" i="9"/>
  <c r="X71" i="21" s="1"/>
  <c r="X66" i="9"/>
  <c r="X70" i="21" s="1"/>
  <c r="W66" i="9"/>
  <c r="X69" i="21" s="1"/>
  <c r="V66" i="9"/>
  <c r="X68" i="21" s="1"/>
  <c r="U66" i="9"/>
  <c r="X67" i="21" s="1"/>
  <c r="T66" i="9"/>
  <c r="X66" i="21" s="1"/>
  <c r="S66" i="9"/>
  <c r="X65" i="21" s="1"/>
  <c r="R66" i="9"/>
  <c r="X64" i="21" s="1"/>
  <c r="Q66" i="9"/>
  <c r="X63" i="21" s="1"/>
  <c r="P66" i="9"/>
  <c r="X62" i="21" s="1"/>
  <c r="O66" i="9"/>
  <c r="X61" i="21" s="1"/>
  <c r="N66" i="9"/>
  <c r="X60" i="21" s="1"/>
  <c r="M66" i="9"/>
  <c r="X59" i="21" s="1"/>
  <c r="L66" i="9"/>
  <c r="X58" i="21" s="1"/>
  <c r="K66" i="9"/>
  <c r="X57" i="21" s="1"/>
  <c r="J66" i="9"/>
  <c r="X56" i="21" s="1"/>
  <c r="I66" i="9"/>
  <c r="X55" i="21" s="1"/>
  <c r="H66" i="9"/>
  <c r="X54" i="21" s="1"/>
  <c r="G66" i="9"/>
  <c r="X53" i="21" s="1"/>
  <c r="F66" i="9"/>
  <c r="X52" i="21" s="1"/>
  <c r="E66" i="9"/>
  <c r="X51" i="21" s="1"/>
  <c r="D66" i="9"/>
  <c r="X50" i="21" s="1"/>
  <c r="AW65" i="9"/>
  <c r="AM65" i="9" s="1"/>
  <c r="W85" i="21" s="1"/>
  <c r="AV65" i="9"/>
  <c r="AL65" i="9" s="1"/>
  <c r="W84" i="21" s="1"/>
  <c r="AU65" i="9"/>
  <c r="AK65" i="9" s="1"/>
  <c r="W83" i="21" s="1"/>
  <c r="AT65" i="9"/>
  <c r="AJ65" i="9" s="1"/>
  <c r="W82" i="21" s="1"/>
  <c r="AR65" i="9"/>
  <c r="AS65" i="9" s="1"/>
  <c r="AQ65" i="9"/>
  <c r="AY65" i="9" s="1"/>
  <c r="AO65" i="9"/>
  <c r="W87" i="21" s="1"/>
  <c r="AH65" i="9"/>
  <c r="W80" i="21" s="1"/>
  <c r="AG65" i="9"/>
  <c r="W79" i="21" s="1"/>
  <c r="AF65" i="9"/>
  <c r="W78" i="21" s="1"/>
  <c r="AE65" i="9"/>
  <c r="W77" i="21" s="1"/>
  <c r="AD65" i="9"/>
  <c r="W76" i="21" s="1"/>
  <c r="AC65" i="9"/>
  <c r="W75" i="21" s="1"/>
  <c r="AB65" i="9"/>
  <c r="W74" i="21" s="1"/>
  <c r="AA65" i="9"/>
  <c r="W73" i="21" s="1"/>
  <c r="Z65" i="9"/>
  <c r="W72" i="21" s="1"/>
  <c r="Y65" i="9"/>
  <c r="W71" i="21" s="1"/>
  <c r="X65" i="9"/>
  <c r="W70" i="21" s="1"/>
  <c r="W65" i="9"/>
  <c r="W69" i="21" s="1"/>
  <c r="V65" i="9"/>
  <c r="W68" i="21" s="1"/>
  <c r="U65" i="9"/>
  <c r="W67" i="21" s="1"/>
  <c r="T65" i="9"/>
  <c r="W66" i="21" s="1"/>
  <c r="S65" i="9"/>
  <c r="W65" i="21" s="1"/>
  <c r="R65" i="9"/>
  <c r="W64" i="21" s="1"/>
  <c r="Q65" i="9"/>
  <c r="W63" i="21" s="1"/>
  <c r="P65" i="9"/>
  <c r="W62" i="21" s="1"/>
  <c r="O65" i="9"/>
  <c r="W61" i="21" s="1"/>
  <c r="N65" i="9"/>
  <c r="W60" i="21" s="1"/>
  <c r="M65" i="9"/>
  <c r="W59" i="21" s="1"/>
  <c r="L65" i="9"/>
  <c r="W58" i="21" s="1"/>
  <c r="K65" i="9"/>
  <c r="W57" i="21" s="1"/>
  <c r="J65" i="9"/>
  <c r="W56" i="21" s="1"/>
  <c r="I65" i="9"/>
  <c r="W55" i="21" s="1"/>
  <c r="H65" i="9"/>
  <c r="W54" i="21" s="1"/>
  <c r="G65" i="9"/>
  <c r="W53" i="21" s="1"/>
  <c r="F65" i="9"/>
  <c r="W52" i="21" s="1"/>
  <c r="E65" i="9"/>
  <c r="W51" i="21" s="1"/>
  <c r="D65" i="9"/>
  <c r="W50" i="21" s="1"/>
  <c r="AY64" i="9"/>
  <c r="AO64" i="9" s="1"/>
  <c r="V87" i="21" s="1"/>
  <c r="AW64" i="9"/>
  <c r="AV64" i="9"/>
  <c r="AU64" i="9"/>
  <c r="AR64" i="9"/>
  <c r="AS64" i="9" s="1"/>
  <c r="AQ64" i="9"/>
  <c r="AX64" i="9" s="1"/>
  <c r="AN64" i="9" s="1"/>
  <c r="V86" i="21" s="1"/>
  <c r="AM64" i="9"/>
  <c r="V85" i="21" s="1"/>
  <c r="AL64" i="9"/>
  <c r="V84" i="21" s="1"/>
  <c r="AK64" i="9"/>
  <c r="V83" i="21" s="1"/>
  <c r="AG64" i="9"/>
  <c r="V79" i="21" s="1"/>
  <c r="AF64" i="9"/>
  <c r="V78" i="21" s="1"/>
  <c r="AE64" i="9"/>
  <c r="V77" i="21" s="1"/>
  <c r="AD64" i="9"/>
  <c r="V76" i="21" s="1"/>
  <c r="AC64" i="9"/>
  <c r="V75" i="21" s="1"/>
  <c r="AB64" i="9"/>
  <c r="V74" i="21" s="1"/>
  <c r="AA64" i="9"/>
  <c r="V73" i="21" s="1"/>
  <c r="Z64" i="9"/>
  <c r="V72" i="21" s="1"/>
  <c r="Y64" i="9"/>
  <c r="V71" i="21" s="1"/>
  <c r="X64" i="9"/>
  <c r="V70" i="21" s="1"/>
  <c r="W64" i="9"/>
  <c r="V69" i="21" s="1"/>
  <c r="V64" i="9"/>
  <c r="V68" i="21" s="1"/>
  <c r="U64" i="9"/>
  <c r="V67" i="21" s="1"/>
  <c r="T64" i="9"/>
  <c r="V66" i="21" s="1"/>
  <c r="S64" i="9"/>
  <c r="V65" i="21" s="1"/>
  <c r="R64" i="9"/>
  <c r="V64" i="21" s="1"/>
  <c r="Q64" i="9"/>
  <c r="V63" i="21" s="1"/>
  <c r="P64" i="9"/>
  <c r="V62" i="21" s="1"/>
  <c r="O64" i="9"/>
  <c r="V61" i="21" s="1"/>
  <c r="N64" i="9"/>
  <c r="V60" i="21" s="1"/>
  <c r="M64" i="9"/>
  <c r="V59" i="21" s="1"/>
  <c r="L64" i="9"/>
  <c r="V58" i="21" s="1"/>
  <c r="K64" i="9"/>
  <c r="V57" i="21" s="1"/>
  <c r="J64" i="9"/>
  <c r="V56" i="21" s="1"/>
  <c r="I64" i="9"/>
  <c r="V55" i="21" s="1"/>
  <c r="H64" i="9"/>
  <c r="V54" i="21" s="1"/>
  <c r="G64" i="9"/>
  <c r="V53" i="21" s="1"/>
  <c r="F64" i="9"/>
  <c r="V52" i="21" s="1"/>
  <c r="E64" i="9"/>
  <c r="V51" i="21" s="1"/>
  <c r="D64" i="9"/>
  <c r="V50" i="21" s="1"/>
  <c r="AR63" i="9"/>
  <c r="AS63" i="9" s="1"/>
  <c r="AQ63" i="9"/>
  <c r="AG63" i="9"/>
  <c r="U79" i="21" s="1"/>
  <c r="AF63" i="9"/>
  <c r="U78" i="21" s="1"/>
  <c r="AE63" i="9"/>
  <c r="U77" i="21" s="1"/>
  <c r="AD63" i="9"/>
  <c r="U76" i="21" s="1"/>
  <c r="AC63" i="9"/>
  <c r="U75" i="21" s="1"/>
  <c r="AB63" i="9"/>
  <c r="U74" i="21" s="1"/>
  <c r="AA63" i="9"/>
  <c r="U73" i="21" s="1"/>
  <c r="Z63" i="9"/>
  <c r="U72" i="21" s="1"/>
  <c r="Y63" i="9"/>
  <c r="U71" i="21" s="1"/>
  <c r="X63" i="9"/>
  <c r="U70" i="21" s="1"/>
  <c r="W63" i="9"/>
  <c r="U69" i="21" s="1"/>
  <c r="V63" i="9"/>
  <c r="U68" i="21" s="1"/>
  <c r="U63" i="9"/>
  <c r="U67" i="21" s="1"/>
  <c r="T63" i="9"/>
  <c r="U66" i="21" s="1"/>
  <c r="S63" i="9"/>
  <c r="U65" i="21" s="1"/>
  <c r="R63" i="9"/>
  <c r="U64" i="21" s="1"/>
  <c r="Q63" i="9"/>
  <c r="U63" i="21" s="1"/>
  <c r="P63" i="9"/>
  <c r="U62" i="21" s="1"/>
  <c r="O63" i="9"/>
  <c r="U61" i="21" s="1"/>
  <c r="N63" i="9"/>
  <c r="U60" i="21" s="1"/>
  <c r="M63" i="9"/>
  <c r="U59" i="21" s="1"/>
  <c r="L63" i="9"/>
  <c r="U58" i="21" s="1"/>
  <c r="K63" i="9"/>
  <c r="U57" i="21" s="1"/>
  <c r="J63" i="9"/>
  <c r="U56" i="21" s="1"/>
  <c r="I63" i="9"/>
  <c r="U55" i="21" s="1"/>
  <c r="H63" i="9"/>
  <c r="U54" i="21" s="1"/>
  <c r="G63" i="9"/>
  <c r="U53" i="21" s="1"/>
  <c r="F63" i="9"/>
  <c r="U52" i="21" s="1"/>
  <c r="E63" i="9"/>
  <c r="U51" i="21" s="1"/>
  <c r="D63" i="9"/>
  <c r="U50" i="21" s="1"/>
  <c r="AW62" i="9"/>
  <c r="AM62" i="9" s="1"/>
  <c r="T85" i="21" s="1"/>
  <c r="AQ62" i="9"/>
  <c r="AG62" i="9"/>
  <c r="T79" i="21" s="1"/>
  <c r="AF62" i="9"/>
  <c r="T78" i="21" s="1"/>
  <c r="AE62" i="9"/>
  <c r="T77" i="21" s="1"/>
  <c r="AD62" i="9"/>
  <c r="T76" i="21" s="1"/>
  <c r="AC62" i="9"/>
  <c r="T75" i="21" s="1"/>
  <c r="AB62" i="9"/>
  <c r="T74" i="21" s="1"/>
  <c r="AA62" i="9"/>
  <c r="T73" i="21" s="1"/>
  <c r="Z62" i="9"/>
  <c r="T72" i="21" s="1"/>
  <c r="Y62" i="9"/>
  <c r="T71" i="21" s="1"/>
  <c r="X62" i="9"/>
  <c r="T70" i="21" s="1"/>
  <c r="W62" i="9"/>
  <c r="T69" i="21" s="1"/>
  <c r="V62" i="9"/>
  <c r="T68" i="21" s="1"/>
  <c r="U62" i="9"/>
  <c r="T67" i="21" s="1"/>
  <c r="T62" i="9"/>
  <c r="T66" i="21" s="1"/>
  <c r="S62" i="9"/>
  <c r="T65" i="21" s="1"/>
  <c r="R62" i="9"/>
  <c r="T64" i="21" s="1"/>
  <c r="Q62" i="9"/>
  <c r="T63" i="21" s="1"/>
  <c r="P62" i="9"/>
  <c r="T62" i="21" s="1"/>
  <c r="O62" i="9"/>
  <c r="T61" i="21" s="1"/>
  <c r="N62" i="9"/>
  <c r="T60" i="21" s="1"/>
  <c r="M62" i="9"/>
  <c r="T59" i="21" s="1"/>
  <c r="L62" i="9"/>
  <c r="T58" i="21" s="1"/>
  <c r="K62" i="9"/>
  <c r="T57" i="21" s="1"/>
  <c r="J62" i="9"/>
  <c r="T56" i="21" s="1"/>
  <c r="I62" i="9"/>
  <c r="T55" i="21" s="1"/>
  <c r="H62" i="9"/>
  <c r="T54" i="21" s="1"/>
  <c r="G62" i="9"/>
  <c r="T53" i="21" s="1"/>
  <c r="F62" i="9"/>
  <c r="T52" i="21" s="1"/>
  <c r="E62" i="9"/>
  <c r="T51" i="21" s="1"/>
  <c r="D62" i="9"/>
  <c r="T50" i="21" s="1"/>
  <c r="AX61" i="9"/>
  <c r="AW61" i="9"/>
  <c r="AV61" i="9"/>
  <c r="AL61" i="9" s="1"/>
  <c r="S84" i="21" s="1"/>
  <c r="AU61" i="9"/>
  <c r="AS61" i="9"/>
  <c r="AR61" i="9"/>
  <c r="AQ61" i="9"/>
  <c r="AY61" i="9" s="1"/>
  <c r="AO61" i="9" s="1"/>
  <c r="S87" i="21" s="1"/>
  <c r="AN61" i="9"/>
  <c r="S86" i="21" s="1"/>
  <c r="AM61" i="9"/>
  <c r="S85" i="21" s="1"/>
  <c r="AK61" i="9"/>
  <c r="S83" i="21" s="1"/>
  <c r="AG61" i="9"/>
  <c r="S79" i="21" s="1"/>
  <c r="AF61" i="9"/>
  <c r="S78" i="21" s="1"/>
  <c r="AE61" i="9"/>
  <c r="S77" i="21" s="1"/>
  <c r="AD61" i="9"/>
  <c r="S76" i="21" s="1"/>
  <c r="AC61" i="9"/>
  <c r="S75" i="21" s="1"/>
  <c r="AB61" i="9"/>
  <c r="S74" i="21" s="1"/>
  <c r="AA61" i="9"/>
  <c r="S73" i="21" s="1"/>
  <c r="Z61" i="9"/>
  <c r="S72" i="21" s="1"/>
  <c r="Y61" i="9"/>
  <c r="S71" i="21" s="1"/>
  <c r="X61" i="9"/>
  <c r="S70" i="21" s="1"/>
  <c r="W61" i="9"/>
  <c r="S69" i="21" s="1"/>
  <c r="V61" i="9"/>
  <c r="S68" i="21" s="1"/>
  <c r="U61" i="9"/>
  <c r="S67" i="21" s="1"/>
  <c r="T61" i="9"/>
  <c r="S66" i="21" s="1"/>
  <c r="S61" i="9"/>
  <c r="S65" i="21" s="1"/>
  <c r="R61" i="9"/>
  <c r="S64" i="21" s="1"/>
  <c r="Q61" i="9"/>
  <c r="S63" i="21" s="1"/>
  <c r="P61" i="9"/>
  <c r="S62" i="21" s="1"/>
  <c r="O61" i="9"/>
  <c r="S61" i="21" s="1"/>
  <c r="N61" i="9"/>
  <c r="S60" i="21" s="1"/>
  <c r="M61" i="9"/>
  <c r="S59" i="21" s="1"/>
  <c r="L61" i="9"/>
  <c r="S58" i="21" s="1"/>
  <c r="K61" i="9"/>
  <c r="S57" i="21" s="1"/>
  <c r="J61" i="9"/>
  <c r="S56" i="21" s="1"/>
  <c r="I61" i="9"/>
  <c r="S55" i="21" s="1"/>
  <c r="H61" i="9"/>
  <c r="S54" i="21" s="1"/>
  <c r="G61" i="9"/>
  <c r="S53" i="21" s="1"/>
  <c r="F61" i="9"/>
  <c r="S52" i="21" s="1"/>
  <c r="E61" i="9"/>
  <c r="S51" i="21" s="1"/>
  <c r="D61" i="9"/>
  <c r="S50" i="21" s="1"/>
  <c r="AT60" i="9"/>
  <c r="AI60" i="9" s="1"/>
  <c r="R81" i="21" s="1"/>
  <c r="AS60" i="9"/>
  <c r="AR60" i="9"/>
  <c r="AQ60" i="9"/>
  <c r="AX60" i="9" s="1"/>
  <c r="AN60" i="9" s="1"/>
  <c r="R86" i="21" s="1"/>
  <c r="AG60" i="9"/>
  <c r="R79" i="21" s="1"/>
  <c r="AF60" i="9"/>
  <c r="R78" i="21" s="1"/>
  <c r="AE60" i="9"/>
  <c r="R77" i="21" s="1"/>
  <c r="AD60" i="9"/>
  <c r="R76" i="21" s="1"/>
  <c r="AC60" i="9"/>
  <c r="R75" i="21" s="1"/>
  <c r="AB60" i="9"/>
  <c r="R74" i="21" s="1"/>
  <c r="AA60" i="9"/>
  <c r="R73" i="21" s="1"/>
  <c r="Z60" i="9"/>
  <c r="R72" i="21" s="1"/>
  <c r="Y60" i="9"/>
  <c r="R71" i="21" s="1"/>
  <c r="X60" i="9"/>
  <c r="R70" i="21" s="1"/>
  <c r="W60" i="9"/>
  <c r="R69" i="21" s="1"/>
  <c r="V60" i="9"/>
  <c r="R68" i="21" s="1"/>
  <c r="U60" i="9"/>
  <c r="R67" i="21" s="1"/>
  <c r="T60" i="9"/>
  <c r="R66" i="21" s="1"/>
  <c r="S60" i="9"/>
  <c r="R65" i="21" s="1"/>
  <c r="R60" i="9"/>
  <c r="R64" i="21" s="1"/>
  <c r="Q60" i="9"/>
  <c r="R63" i="21" s="1"/>
  <c r="P60" i="9"/>
  <c r="R62" i="21" s="1"/>
  <c r="O60" i="9"/>
  <c r="R61" i="21" s="1"/>
  <c r="N60" i="9"/>
  <c r="R60" i="21" s="1"/>
  <c r="M60" i="9"/>
  <c r="R59" i="21" s="1"/>
  <c r="L60" i="9"/>
  <c r="R58" i="21" s="1"/>
  <c r="K60" i="9"/>
  <c r="R57" i="21" s="1"/>
  <c r="J60" i="9"/>
  <c r="R56" i="21" s="1"/>
  <c r="I60" i="9"/>
  <c r="R55" i="21" s="1"/>
  <c r="H60" i="9"/>
  <c r="R54" i="21" s="1"/>
  <c r="G60" i="9"/>
  <c r="R53" i="21" s="1"/>
  <c r="F60" i="9"/>
  <c r="R52" i="21" s="1"/>
  <c r="E60" i="9"/>
  <c r="R51" i="21" s="1"/>
  <c r="D60" i="9"/>
  <c r="R50" i="21" s="1"/>
  <c r="AY59" i="9"/>
  <c r="AO59" i="9" s="1"/>
  <c r="Q87" i="21" s="1"/>
  <c r="AX59" i="9"/>
  <c r="AN59" i="9" s="1"/>
  <c r="Q86" i="21" s="1"/>
  <c r="AW59" i="9"/>
  <c r="AM59" i="9" s="1"/>
  <c r="Q85" i="21" s="1"/>
  <c r="AV59" i="9"/>
  <c r="AL59" i="9" s="1"/>
  <c r="Q84" i="21" s="1"/>
  <c r="AT59" i="9"/>
  <c r="AR59" i="9"/>
  <c r="AS59" i="9" s="1"/>
  <c r="AQ59" i="9"/>
  <c r="AU59" i="9" s="1"/>
  <c r="AK59" i="9" s="1"/>
  <c r="Q83" i="21" s="1"/>
  <c r="AJ59" i="9"/>
  <c r="Q82" i="21" s="1"/>
  <c r="AI59" i="9"/>
  <c r="Q81" i="21" s="1"/>
  <c r="AH59" i="9"/>
  <c r="Q80" i="21" s="1"/>
  <c r="AG59" i="9"/>
  <c r="Q79" i="21" s="1"/>
  <c r="AF59" i="9"/>
  <c r="Q78" i="21" s="1"/>
  <c r="AE59" i="9"/>
  <c r="Q77" i="21" s="1"/>
  <c r="AD59" i="9"/>
  <c r="Q76" i="21" s="1"/>
  <c r="AC59" i="9"/>
  <c r="Q75" i="21" s="1"/>
  <c r="AB59" i="9"/>
  <c r="Q74" i="21" s="1"/>
  <c r="AA59" i="9"/>
  <c r="Q73" i="21" s="1"/>
  <c r="Z59" i="9"/>
  <c r="Q72" i="21" s="1"/>
  <c r="Y59" i="9"/>
  <c r="Q71" i="21" s="1"/>
  <c r="X59" i="9"/>
  <c r="Q70" i="21" s="1"/>
  <c r="W59" i="9"/>
  <c r="Q69" i="21" s="1"/>
  <c r="V59" i="9"/>
  <c r="Q68" i="21" s="1"/>
  <c r="U59" i="9"/>
  <c r="Q67" i="21" s="1"/>
  <c r="T59" i="9"/>
  <c r="Q66" i="21" s="1"/>
  <c r="S59" i="9"/>
  <c r="Q65" i="21" s="1"/>
  <c r="R59" i="9"/>
  <c r="Q64" i="21" s="1"/>
  <c r="Q59" i="9"/>
  <c r="Q63" i="21" s="1"/>
  <c r="P59" i="9"/>
  <c r="Q62" i="21" s="1"/>
  <c r="O59" i="9"/>
  <c r="Q61" i="21" s="1"/>
  <c r="N59" i="9"/>
  <c r="Q60" i="21" s="1"/>
  <c r="M59" i="9"/>
  <c r="Q59" i="21" s="1"/>
  <c r="L59" i="9"/>
  <c r="Q58" i="21" s="1"/>
  <c r="K59" i="9"/>
  <c r="Q57" i="21" s="1"/>
  <c r="J59" i="9"/>
  <c r="Q56" i="21" s="1"/>
  <c r="I59" i="9"/>
  <c r="Q55" i="21" s="1"/>
  <c r="H59" i="9"/>
  <c r="Q54" i="21" s="1"/>
  <c r="G59" i="9"/>
  <c r="Q53" i="21" s="1"/>
  <c r="F59" i="9"/>
  <c r="Q52" i="21" s="1"/>
  <c r="E59" i="9"/>
  <c r="Q51" i="21" s="1"/>
  <c r="D59" i="9"/>
  <c r="Q50" i="21" s="1"/>
  <c r="AY58" i="9"/>
  <c r="AX58" i="9"/>
  <c r="AW58" i="9"/>
  <c r="AM58" i="9" s="1"/>
  <c r="P85" i="21" s="1"/>
  <c r="AQ58" i="9"/>
  <c r="AT58" i="9" s="1"/>
  <c r="AO58" i="9"/>
  <c r="P87" i="21" s="1"/>
  <c r="AN58" i="9"/>
  <c r="P86" i="21" s="1"/>
  <c r="AG58" i="9"/>
  <c r="P79" i="21" s="1"/>
  <c r="AF58" i="9"/>
  <c r="P78" i="21" s="1"/>
  <c r="AE58" i="9"/>
  <c r="P77" i="21" s="1"/>
  <c r="AD58" i="9"/>
  <c r="P76" i="21" s="1"/>
  <c r="AC58" i="9"/>
  <c r="P75" i="21" s="1"/>
  <c r="AB58" i="9"/>
  <c r="P74" i="21" s="1"/>
  <c r="AA58" i="9"/>
  <c r="P73" i="21" s="1"/>
  <c r="Z58" i="9"/>
  <c r="P72" i="21" s="1"/>
  <c r="Y58" i="9"/>
  <c r="P71" i="21" s="1"/>
  <c r="X58" i="9"/>
  <c r="P70" i="21" s="1"/>
  <c r="W58" i="9"/>
  <c r="P69" i="21" s="1"/>
  <c r="V58" i="9"/>
  <c r="P68" i="21" s="1"/>
  <c r="U58" i="9"/>
  <c r="P67" i="21" s="1"/>
  <c r="T58" i="9"/>
  <c r="P66" i="21" s="1"/>
  <c r="S58" i="9"/>
  <c r="P65" i="21" s="1"/>
  <c r="R58" i="9"/>
  <c r="P64" i="21" s="1"/>
  <c r="Q58" i="9"/>
  <c r="P63" i="21" s="1"/>
  <c r="P58" i="9"/>
  <c r="P62" i="21" s="1"/>
  <c r="O58" i="9"/>
  <c r="P61" i="21" s="1"/>
  <c r="N58" i="9"/>
  <c r="P60" i="21" s="1"/>
  <c r="M58" i="9"/>
  <c r="P59" i="21" s="1"/>
  <c r="L58" i="9"/>
  <c r="P58" i="21" s="1"/>
  <c r="K58" i="9"/>
  <c r="P57" i="21" s="1"/>
  <c r="J58" i="9"/>
  <c r="P56" i="21" s="1"/>
  <c r="I58" i="9"/>
  <c r="P55" i="21" s="1"/>
  <c r="H58" i="9"/>
  <c r="P54" i="21" s="1"/>
  <c r="G58" i="9"/>
  <c r="P53" i="21" s="1"/>
  <c r="F58" i="9"/>
  <c r="P52" i="21" s="1"/>
  <c r="E58" i="9"/>
  <c r="P51" i="21" s="1"/>
  <c r="D58" i="9"/>
  <c r="P50" i="21" s="1"/>
  <c r="AY57" i="9"/>
  <c r="AX57" i="9"/>
  <c r="AW57" i="9"/>
  <c r="AV57" i="9"/>
  <c r="AL57" i="9" s="1"/>
  <c r="O84" i="21" s="1"/>
  <c r="AU57" i="9"/>
  <c r="AK57" i="9" s="1"/>
  <c r="O83" i="21" s="1"/>
  <c r="AT57" i="9"/>
  <c r="AS57" i="9"/>
  <c r="AR57" i="9"/>
  <c r="AQ57" i="9"/>
  <c r="AO57" i="9"/>
  <c r="O87" i="21" s="1"/>
  <c r="AN57" i="9"/>
  <c r="O86" i="21" s="1"/>
  <c r="AM57" i="9"/>
  <c r="O85" i="21" s="1"/>
  <c r="AG57" i="9"/>
  <c r="O79" i="21" s="1"/>
  <c r="AF57" i="9"/>
  <c r="O78" i="21" s="1"/>
  <c r="AE57" i="9"/>
  <c r="O77" i="21" s="1"/>
  <c r="AD57" i="9"/>
  <c r="O76" i="21" s="1"/>
  <c r="AC57" i="9"/>
  <c r="O75" i="21" s="1"/>
  <c r="AB57" i="9"/>
  <c r="O74" i="21" s="1"/>
  <c r="AA57" i="9"/>
  <c r="O73" i="21" s="1"/>
  <c r="Z57" i="9"/>
  <c r="O72" i="21" s="1"/>
  <c r="Y57" i="9"/>
  <c r="O71" i="21" s="1"/>
  <c r="X57" i="9"/>
  <c r="O70" i="21" s="1"/>
  <c r="W57" i="9"/>
  <c r="O69" i="21" s="1"/>
  <c r="V57" i="9"/>
  <c r="O68" i="21" s="1"/>
  <c r="U57" i="9"/>
  <c r="O67" i="21" s="1"/>
  <c r="T57" i="9"/>
  <c r="O66" i="21" s="1"/>
  <c r="S57" i="9"/>
  <c r="O65" i="21" s="1"/>
  <c r="R57" i="9"/>
  <c r="O64" i="21" s="1"/>
  <c r="Q57" i="9"/>
  <c r="O63" i="21" s="1"/>
  <c r="P57" i="9"/>
  <c r="O62" i="21" s="1"/>
  <c r="O57" i="9"/>
  <c r="O61" i="21" s="1"/>
  <c r="N57" i="9"/>
  <c r="O60" i="21" s="1"/>
  <c r="M57" i="9"/>
  <c r="O59" i="21" s="1"/>
  <c r="L57" i="9"/>
  <c r="O58" i="21" s="1"/>
  <c r="K57" i="9"/>
  <c r="O57" i="21" s="1"/>
  <c r="J57" i="9"/>
  <c r="O56" i="21" s="1"/>
  <c r="I57" i="9"/>
  <c r="O55" i="21" s="1"/>
  <c r="H57" i="9"/>
  <c r="O54" i="21" s="1"/>
  <c r="G57" i="9"/>
  <c r="O53" i="21" s="1"/>
  <c r="F57" i="9"/>
  <c r="O52" i="21" s="1"/>
  <c r="E57" i="9"/>
  <c r="O51" i="21" s="1"/>
  <c r="D57" i="9"/>
  <c r="O50" i="21" s="1"/>
  <c r="AY56" i="9"/>
  <c r="AO56" i="9" s="1"/>
  <c r="N87" i="21" s="1"/>
  <c r="AX56" i="9"/>
  <c r="AN56" i="9" s="1"/>
  <c r="N86" i="21" s="1"/>
  <c r="AW56" i="9"/>
  <c r="AM56" i="9" s="1"/>
  <c r="N85" i="21" s="1"/>
  <c r="AV56" i="9"/>
  <c r="AU56" i="9"/>
  <c r="AT56" i="9"/>
  <c r="AS56" i="9"/>
  <c r="AR56" i="9"/>
  <c r="AQ56" i="9"/>
  <c r="AL56" i="9"/>
  <c r="N84" i="21" s="1"/>
  <c r="AK56" i="9"/>
  <c r="N83" i="21" s="1"/>
  <c r="AJ56" i="9"/>
  <c r="N82" i="21" s="1"/>
  <c r="AI56" i="9"/>
  <c r="N81" i="21" s="1"/>
  <c r="AH56" i="9"/>
  <c r="N80" i="21" s="1"/>
  <c r="AG56" i="9"/>
  <c r="N79" i="21" s="1"/>
  <c r="AF56" i="9"/>
  <c r="N78" i="21" s="1"/>
  <c r="AE56" i="9"/>
  <c r="N77" i="21" s="1"/>
  <c r="AD56" i="9"/>
  <c r="N76" i="21" s="1"/>
  <c r="AC56" i="9"/>
  <c r="N75" i="21" s="1"/>
  <c r="AB56" i="9"/>
  <c r="N74" i="21" s="1"/>
  <c r="AA56" i="9"/>
  <c r="N73" i="21" s="1"/>
  <c r="Z56" i="9"/>
  <c r="N72" i="21" s="1"/>
  <c r="Y56" i="9"/>
  <c r="N71" i="21" s="1"/>
  <c r="X56" i="9"/>
  <c r="N70" i="21" s="1"/>
  <c r="W56" i="9"/>
  <c r="N69" i="21" s="1"/>
  <c r="V56" i="9"/>
  <c r="N68" i="21" s="1"/>
  <c r="U56" i="9"/>
  <c r="N67" i="21" s="1"/>
  <c r="T56" i="9"/>
  <c r="N66" i="21" s="1"/>
  <c r="S56" i="9"/>
  <c r="N65" i="21" s="1"/>
  <c r="R56" i="9"/>
  <c r="N64" i="21" s="1"/>
  <c r="Q56" i="9"/>
  <c r="N63" i="21" s="1"/>
  <c r="P56" i="9"/>
  <c r="N62" i="21" s="1"/>
  <c r="O56" i="9"/>
  <c r="N61" i="21" s="1"/>
  <c r="N56" i="9"/>
  <c r="N60" i="21" s="1"/>
  <c r="M56" i="9"/>
  <c r="N59" i="21" s="1"/>
  <c r="L56" i="9"/>
  <c r="N58" i="21" s="1"/>
  <c r="K56" i="9"/>
  <c r="N57" i="21" s="1"/>
  <c r="J56" i="9"/>
  <c r="N56" i="21" s="1"/>
  <c r="I56" i="9"/>
  <c r="N55" i="21" s="1"/>
  <c r="H56" i="9"/>
  <c r="N54" i="21" s="1"/>
  <c r="G56" i="9"/>
  <c r="N53" i="21" s="1"/>
  <c r="F56" i="9"/>
  <c r="N52" i="21" s="1"/>
  <c r="E56" i="9"/>
  <c r="N51" i="21" s="1"/>
  <c r="D56" i="9"/>
  <c r="N50" i="21" s="1"/>
  <c r="AX55" i="9"/>
  <c r="AQ55" i="9"/>
  <c r="AU55" i="9" s="1"/>
  <c r="AK55" i="9" s="1"/>
  <c r="M83" i="21" s="1"/>
  <c r="AN55" i="9"/>
  <c r="M86" i="21" s="1"/>
  <c r="AG55" i="9"/>
  <c r="M79" i="21" s="1"/>
  <c r="AF55" i="9"/>
  <c r="M78" i="21" s="1"/>
  <c r="AE55" i="9"/>
  <c r="M77" i="21" s="1"/>
  <c r="AD55" i="9"/>
  <c r="M76" i="21" s="1"/>
  <c r="AC55" i="9"/>
  <c r="M75" i="21" s="1"/>
  <c r="AB55" i="9"/>
  <c r="M74" i="21" s="1"/>
  <c r="AA55" i="9"/>
  <c r="M73" i="21" s="1"/>
  <c r="Z55" i="9"/>
  <c r="M72" i="21" s="1"/>
  <c r="Y55" i="9"/>
  <c r="M71" i="21" s="1"/>
  <c r="X55" i="9"/>
  <c r="M70" i="21" s="1"/>
  <c r="W55" i="9"/>
  <c r="M69" i="21" s="1"/>
  <c r="V55" i="9"/>
  <c r="M68" i="21" s="1"/>
  <c r="U55" i="9"/>
  <c r="M67" i="21" s="1"/>
  <c r="T55" i="9"/>
  <c r="M66" i="21" s="1"/>
  <c r="S55" i="9"/>
  <c r="M65" i="21" s="1"/>
  <c r="R55" i="9"/>
  <c r="M64" i="21" s="1"/>
  <c r="Q55" i="9"/>
  <c r="M63" i="21" s="1"/>
  <c r="P55" i="9"/>
  <c r="M62" i="21" s="1"/>
  <c r="O55" i="9"/>
  <c r="M61" i="21" s="1"/>
  <c r="N55" i="9"/>
  <c r="M60" i="21" s="1"/>
  <c r="M55" i="9"/>
  <c r="M59" i="21" s="1"/>
  <c r="L55" i="9"/>
  <c r="M58" i="21" s="1"/>
  <c r="K55" i="9"/>
  <c r="M57" i="21" s="1"/>
  <c r="J55" i="9"/>
  <c r="M56" i="21" s="1"/>
  <c r="I55" i="9"/>
  <c r="M55" i="21" s="1"/>
  <c r="H55" i="9"/>
  <c r="M54" i="21" s="1"/>
  <c r="G55" i="9"/>
  <c r="M53" i="21" s="1"/>
  <c r="F55" i="9"/>
  <c r="M52" i="21" s="1"/>
  <c r="E55" i="9"/>
  <c r="M51" i="21" s="1"/>
  <c r="D55" i="9"/>
  <c r="M50" i="21" s="1"/>
  <c r="AV54" i="9"/>
  <c r="AL54" i="9" s="1"/>
  <c r="L84" i="21" s="1"/>
  <c r="AU54" i="9"/>
  <c r="AK54" i="9" s="1"/>
  <c r="L83" i="21" s="1"/>
  <c r="AT54" i="9"/>
  <c r="AQ54" i="9"/>
  <c r="AY54" i="9" s="1"/>
  <c r="AO54" i="9" s="1"/>
  <c r="L87" i="21" s="1"/>
  <c r="AG54" i="9"/>
  <c r="L79" i="21" s="1"/>
  <c r="AF54" i="9"/>
  <c r="L78" i="21" s="1"/>
  <c r="AE54" i="9"/>
  <c r="L77" i="21" s="1"/>
  <c r="AD54" i="9"/>
  <c r="L76" i="21" s="1"/>
  <c r="AC54" i="9"/>
  <c r="L75" i="21" s="1"/>
  <c r="AB54" i="9"/>
  <c r="L74" i="21" s="1"/>
  <c r="AA54" i="9"/>
  <c r="L73" i="21" s="1"/>
  <c r="Z54" i="9"/>
  <c r="L72" i="21" s="1"/>
  <c r="Y54" i="9"/>
  <c r="L71" i="21" s="1"/>
  <c r="X54" i="9"/>
  <c r="L70" i="21" s="1"/>
  <c r="W54" i="9"/>
  <c r="L69" i="21" s="1"/>
  <c r="V54" i="9"/>
  <c r="L68" i="21" s="1"/>
  <c r="U54" i="9"/>
  <c r="L67" i="21" s="1"/>
  <c r="T54" i="9"/>
  <c r="L66" i="21" s="1"/>
  <c r="S54" i="9"/>
  <c r="L65" i="21" s="1"/>
  <c r="R54" i="9"/>
  <c r="L64" i="21" s="1"/>
  <c r="Q54" i="9"/>
  <c r="L63" i="21" s="1"/>
  <c r="P54" i="9"/>
  <c r="L62" i="21" s="1"/>
  <c r="O54" i="9"/>
  <c r="L61" i="21" s="1"/>
  <c r="N54" i="9"/>
  <c r="L60" i="21" s="1"/>
  <c r="M54" i="9"/>
  <c r="L59" i="21" s="1"/>
  <c r="L54" i="9"/>
  <c r="L58" i="21" s="1"/>
  <c r="K54" i="9"/>
  <c r="L57" i="21" s="1"/>
  <c r="J54" i="9"/>
  <c r="L56" i="21" s="1"/>
  <c r="I54" i="9"/>
  <c r="L55" i="21" s="1"/>
  <c r="H54" i="9"/>
  <c r="L54" i="21" s="1"/>
  <c r="G54" i="9"/>
  <c r="L53" i="21" s="1"/>
  <c r="F54" i="9"/>
  <c r="L52" i="21" s="1"/>
  <c r="E54" i="9"/>
  <c r="L51" i="21" s="1"/>
  <c r="D54" i="9"/>
  <c r="L50" i="21" s="1"/>
  <c r="AY53" i="9"/>
  <c r="AO53" i="9" s="1"/>
  <c r="K87" i="21" s="1"/>
  <c r="AX53" i="9"/>
  <c r="AN53" i="9" s="1"/>
  <c r="K86" i="21" s="1"/>
  <c r="AV53" i="9"/>
  <c r="AU53" i="9"/>
  <c r="AT53" i="9"/>
  <c r="AJ53" i="9" s="1"/>
  <c r="K82" i="21" s="1"/>
  <c r="AQ53" i="9"/>
  <c r="AW53" i="9" s="1"/>
  <c r="AM53" i="9" s="1"/>
  <c r="K85" i="21" s="1"/>
  <c r="AL53" i="9"/>
  <c r="K84" i="21" s="1"/>
  <c r="AK53" i="9"/>
  <c r="K83" i="21" s="1"/>
  <c r="AG53" i="9"/>
  <c r="K79" i="21" s="1"/>
  <c r="AF53" i="9"/>
  <c r="K78" i="21" s="1"/>
  <c r="AE53" i="9"/>
  <c r="K77" i="21" s="1"/>
  <c r="AD53" i="9"/>
  <c r="K76" i="21" s="1"/>
  <c r="AC53" i="9"/>
  <c r="K75" i="21" s="1"/>
  <c r="AB53" i="9"/>
  <c r="K74" i="21" s="1"/>
  <c r="AA53" i="9"/>
  <c r="K73" i="21" s="1"/>
  <c r="Z53" i="9"/>
  <c r="K72" i="21" s="1"/>
  <c r="Y53" i="9"/>
  <c r="K71" i="21" s="1"/>
  <c r="X53" i="9"/>
  <c r="K70" i="21" s="1"/>
  <c r="W53" i="9"/>
  <c r="K69" i="21" s="1"/>
  <c r="V53" i="9"/>
  <c r="K68" i="21" s="1"/>
  <c r="U53" i="9"/>
  <c r="K67" i="21" s="1"/>
  <c r="T53" i="9"/>
  <c r="K66" i="21" s="1"/>
  <c r="S53" i="9"/>
  <c r="K65" i="21" s="1"/>
  <c r="R53" i="9"/>
  <c r="K64" i="21" s="1"/>
  <c r="Q53" i="9"/>
  <c r="K63" i="21" s="1"/>
  <c r="P53" i="9"/>
  <c r="K62" i="21" s="1"/>
  <c r="O53" i="9"/>
  <c r="K61" i="21" s="1"/>
  <c r="N53" i="9"/>
  <c r="K60" i="21" s="1"/>
  <c r="M53" i="9"/>
  <c r="K59" i="21" s="1"/>
  <c r="L53" i="9"/>
  <c r="K58" i="21" s="1"/>
  <c r="K53" i="9"/>
  <c r="K57" i="21" s="1"/>
  <c r="J53" i="9"/>
  <c r="K56" i="21" s="1"/>
  <c r="I53" i="9"/>
  <c r="K55" i="21" s="1"/>
  <c r="H53" i="9"/>
  <c r="K54" i="21" s="1"/>
  <c r="G53" i="9"/>
  <c r="K53" i="21" s="1"/>
  <c r="F53" i="9"/>
  <c r="K52" i="21" s="1"/>
  <c r="E53" i="9"/>
  <c r="K51" i="21" s="1"/>
  <c r="D53" i="9"/>
  <c r="K50" i="21" s="1"/>
  <c r="AQ52" i="9"/>
  <c r="AG52" i="9"/>
  <c r="J79" i="21" s="1"/>
  <c r="AF52" i="9"/>
  <c r="J78" i="21" s="1"/>
  <c r="AE52" i="9"/>
  <c r="J77" i="21" s="1"/>
  <c r="AD52" i="9"/>
  <c r="J76" i="21" s="1"/>
  <c r="AC52" i="9"/>
  <c r="J75" i="21" s="1"/>
  <c r="AB52" i="9"/>
  <c r="J74" i="21" s="1"/>
  <c r="AA52" i="9"/>
  <c r="J73" i="21" s="1"/>
  <c r="Z52" i="9"/>
  <c r="J72" i="21" s="1"/>
  <c r="Y52" i="9"/>
  <c r="J71" i="21" s="1"/>
  <c r="X52" i="9"/>
  <c r="J70" i="21" s="1"/>
  <c r="W52" i="9"/>
  <c r="J69" i="21" s="1"/>
  <c r="V52" i="9"/>
  <c r="J68" i="21" s="1"/>
  <c r="U52" i="9"/>
  <c r="J67" i="21" s="1"/>
  <c r="T52" i="9"/>
  <c r="J66" i="21" s="1"/>
  <c r="S52" i="9"/>
  <c r="J65" i="21" s="1"/>
  <c r="R52" i="9"/>
  <c r="J64" i="21" s="1"/>
  <c r="Q52" i="9"/>
  <c r="J63" i="21" s="1"/>
  <c r="P52" i="9"/>
  <c r="J62" i="21" s="1"/>
  <c r="O52" i="9"/>
  <c r="J61" i="21" s="1"/>
  <c r="N52" i="9"/>
  <c r="J60" i="21" s="1"/>
  <c r="M52" i="9"/>
  <c r="J59" i="21" s="1"/>
  <c r="L52" i="9"/>
  <c r="J58" i="21" s="1"/>
  <c r="K52" i="9"/>
  <c r="J57" i="21" s="1"/>
  <c r="J52" i="9"/>
  <c r="J56" i="21" s="1"/>
  <c r="I52" i="9"/>
  <c r="J55" i="21" s="1"/>
  <c r="H52" i="9"/>
  <c r="J54" i="21" s="1"/>
  <c r="G52" i="9"/>
  <c r="J53" i="21" s="1"/>
  <c r="F52" i="9"/>
  <c r="J52" i="21" s="1"/>
  <c r="E52" i="9"/>
  <c r="J51" i="21" s="1"/>
  <c r="D52" i="9"/>
  <c r="J50" i="21" s="1"/>
  <c r="AW51" i="9"/>
  <c r="AM51" i="9" s="1"/>
  <c r="I85" i="21" s="1"/>
  <c r="AV51" i="9"/>
  <c r="AL51" i="9" s="1"/>
  <c r="I84" i="21" s="1"/>
  <c r="AU51" i="9"/>
  <c r="AK51" i="9" s="1"/>
  <c r="I83" i="21" s="1"/>
  <c r="AT51" i="9"/>
  <c r="AJ51" i="9" s="1"/>
  <c r="I82" i="21" s="1"/>
  <c r="AR51" i="9"/>
  <c r="AS51" i="9" s="1"/>
  <c r="AQ51" i="9"/>
  <c r="AY51" i="9" s="1"/>
  <c r="AO51" i="9" s="1"/>
  <c r="I87" i="21" s="1"/>
  <c r="AH51" i="9"/>
  <c r="I80" i="21" s="1"/>
  <c r="AG51" i="9"/>
  <c r="I79" i="21" s="1"/>
  <c r="AF51" i="9"/>
  <c r="I78" i="21" s="1"/>
  <c r="AE51" i="9"/>
  <c r="I77" i="21" s="1"/>
  <c r="AD51" i="9"/>
  <c r="I76" i="21" s="1"/>
  <c r="AC51" i="9"/>
  <c r="I75" i="21" s="1"/>
  <c r="AB51" i="9"/>
  <c r="I74" i="21" s="1"/>
  <c r="AA51" i="9"/>
  <c r="I73" i="21" s="1"/>
  <c r="Z51" i="9"/>
  <c r="I72" i="21" s="1"/>
  <c r="Y51" i="9"/>
  <c r="I71" i="21" s="1"/>
  <c r="X51" i="9"/>
  <c r="I70" i="21" s="1"/>
  <c r="W51" i="9"/>
  <c r="I69" i="21" s="1"/>
  <c r="V51" i="9"/>
  <c r="I68" i="21" s="1"/>
  <c r="U51" i="9"/>
  <c r="I67" i="21" s="1"/>
  <c r="T51" i="9"/>
  <c r="I66" i="21" s="1"/>
  <c r="S51" i="9"/>
  <c r="I65" i="21" s="1"/>
  <c r="R51" i="9"/>
  <c r="I64" i="21" s="1"/>
  <c r="Q51" i="9"/>
  <c r="I63" i="21" s="1"/>
  <c r="P51" i="9"/>
  <c r="I62" i="21" s="1"/>
  <c r="O51" i="9"/>
  <c r="I61" i="21" s="1"/>
  <c r="N51" i="9"/>
  <c r="I60" i="21" s="1"/>
  <c r="M51" i="9"/>
  <c r="I59" i="21" s="1"/>
  <c r="L51" i="9"/>
  <c r="I58" i="21" s="1"/>
  <c r="K51" i="9"/>
  <c r="I57" i="21" s="1"/>
  <c r="J51" i="9"/>
  <c r="I56" i="21" s="1"/>
  <c r="I51" i="9"/>
  <c r="I55" i="21" s="1"/>
  <c r="H51" i="9"/>
  <c r="I54" i="21" s="1"/>
  <c r="G51" i="9"/>
  <c r="I53" i="21" s="1"/>
  <c r="F51" i="9"/>
  <c r="I52" i="21" s="1"/>
  <c r="E51" i="9"/>
  <c r="I51" i="21" s="1"/>
  <c r="D51" i="9"/>
  <c r="I50" i="21" s="1"/>
  <c r="AY50" i="9"/>
  <c r="AO50" i="9" s="1"/>
  <c r="H87" i="21" s="1"/>
  <c r="AW50" i="9"/>
  <c r="AV50" i="9"/>
  <c r="AU50" i="9"/>
  <c r="AK50" i="9" s="1"/>
  <c r="H83" i="21" s="1"/>
  <c r="AR50" i="9"/>
  <c r="AS50" i="9" s="1"/>
  <c r="AQ50" i="9"/>
  <c r="AX50" i="9" s="1"/>
  <c r="AN50" i="9" s="1"/>
  <c r="H86" i="21" s="1"/>
  <c r="AM50" i="9"/>
  <c r="H85" i="21" s="1"/>
  <c r="AL50" i="9"/>
  <c r="H84" i="21" s="1"/>
  <c r="AG50" i="9"/>
  <c r="H79" i="21" s="1"/>
  <c r="AF50" i="9"/>
  <c r="H78" i="21" s="1"/>
  <c r="AE50" i="9"/>
  <c r="H77" i="21" s="1"/>
  <c r="AD50" i="9"/>
  <c r="H76" i="21" s="1"/>
  <c r="AC50" i="9"/>
  <c r="H75" i="21" s="1"/>
  <c r="AB50" i="9"/>
  <c r="H74" i="21" s="1"/>
  <c r="AA50" i="9"/>
  <c r="H73" i="21" s="1"/>
  <c r="Z50" i="9"/>
  <c r="H72" i="21" s="1"/>
  <c r="Y50" i="9"/>
  <c r="H71" i="21" s="1"/>
  <c r="X50" i="9"/>
  <c r="H70" i="21" s="1"/>
  <c r="W50" i="9"/>
  <c r="H69" i="21" s="1"/>
  <c r="V50" i="9"/>
  <c r="H68" i="21" s="1"/>
  <c r="U50" i="9"/>
  <c r="H67" i="21" s="1"/>
  <c r="T50" i="9"/>
  <c r="H66" i="21" s="1"/>
  <c r="S50" i="9"/>
  <c r="H65" i="21" s="1"/>
  <c r="R50" i="9"/>
  <c r="H64" i="21" s="1"/>
  <c r="Q50" i="9"/>
  <c r="H63" i="21" s="1"/>
  <c r="P50" i="9"/>
  <c r="H62" i="21" s="1"/>
  <c r="O50" i="9"/>
  <c r="H61" i="21" s="1"/>
  <c r="N50" i="9"/>
  <c r="H60" i="21" s="1"/>
  <c r="M50" i="9"/>
  <c r="H59" i="21" s="1"/>
  <c r="L50" i="9"/>
  <c r="H58" i="21" s="1"/>
  <c r="K50" i="9"/>
  <c r="H57" i="21" s="1"/>
  <c r="J50" i="9"/>
  <c r="H56" i="21" s="1"/>
  <c r="I50" i="9"/>
  <c r="H55" i="21" s="1"/>
  <c r="H50" i="9"/>
  <c r="H54" i="21" s="1"/>
  <c r="G50" i="9"/>
  <c r="H53" i="21" s="1"/>
  <c r="F50" i="9"/>
  <c r="H52" i="21" s="1"/>
  <c r="E50" i="9"/>
  <c r="H51" i="21" s="1"/>
  <c r="D50" i="9"/>
  <c r="H50" i="21" s="1"/>
  <c r="AQ49" i="9"/>
  <c r="AG49" i="9"/>
  <c r="G79" i="21" s="1"/>
  <c r="AF49" i="9"/>
  <c r="G78" i="21" s="1"/>
  <c r="AE49" i="9"/>
  <c r="G77" i="21" s="1"/>
  <c r="AD49" i="9"/>
  <c r="G76" i="21" s="1"/>
  <c r="AC49" i="9"/>
  <c r="G75" i="21" s="1"/>
  <c r="AB49" i="9"/>
  <c r="G74" i="21" s="1"/>
  <c r="AA49" i="9"/>
  <c r="G73" i="21" s="1"/>
  <c r="Z49" i="9"/>
  <c r="G72" i="21" s="1"/>
  <c r="Y49" i="9"/>
  <c r="G71" i="21" s="1"/>
  <c r="X49" i="9"/>
  <c r="G70" i="21" s="1"/>
  <c r="W49" i="9"/>
  <c r="G69" i="21" s="1"/>
  <c r="V49" i="9"/>
  <c r="G68" i="21" s="1"/>
  <c r="U49" i="9"/>
  <c r="G67" i="21" s="1"/>
  <c r="T49" i="9"/>
  <c r="G66" i="21" s="1"/>
  <c r="S49" i="9"/>
  <c r="G65" i="21" s="1"/>
  <c r="R49" i="9"/>
  <c r="G64" i="21" s="1"/>
  <c r="Q49" i="9"/>
  <c r="G63" i="21" s="1"/>
  <c r="P49" i="9"/>
  <c r="G62" i="21" s="1"/>
  <c r="O49" i="9"/>
  <c r="G61" i="21" s="1"/>
  <c r="N49" i="9"/>
  <c r="G60" i="21" s="1"/>
  <c r="M49" i="9"/>
  <c r="G59" i="21" s="1"/>
  <c r="L49" i="9"/>
  <c r="G58" i="21" s="1"/>
  <c r="K49" i="9"/>
  <c r="G57" i="21" s="1"/>
  <c r="J49" i="9"/>
  <c r="G56" i="21" s="1"/>
  <c r="I49" i="9"/>
  <c r="G55" i="21" s="1"/>
  <c r="H49" i="9"/>
  <c r="G54" i="21" s="1"/>
  <c r="G49" i="9"/>
  <c r="G53" i="21" s="1"/>
  <c r="F49" i="9"/>
  <c r="G52" i="21" s="1"/>
  <c r="E49" i="9"/>
  <c r="G51" i="21" s="1"/>
  <c r="D49" i="9"/>
  <c r="G50" i="21" s="1"/>
  <c r="AQ48" i="9"/>
  <c r="AG48" i="9"/>
  <c r="F79" i="21" s="1"/>
  <c r="AF48" i="9"/>
  <c r="F78" i="21" s="1"/>
  <c r="AE48" i="9"/>
  <c r="F77" i="21" s="1"/>
  <c r="AD48" i="9"/>
  <c r="F76" i="21" s="1"/>
  <c r="AC48" i="9"/>
  <c r="F75" i="21" s="1"/>
  <c r="AB48" i="9"/>
  <c r="F74" i="21" s="1"/>
  <c r="AA48" i="9"/>
  <c r="F73" i="21" s="1"/>
  <c r="Z48" i="9"/>
  <c r="F72" i="21" s="1"/>
  <c r="Y48" i="9"/>
  <c r="F71" i="21" s="1"/>
  <c r="X48" i="9"/>
  <c r="F70" i="21" s="1"/>
  <c r="W48" i="9"/>
  <c r="F69" i="21" s="1"/>
  <c r="V48" i="9"/>
  <c r="F68" i="21" s="1"/>
  <c r="U48" i="9"/>
  <c r="F67" i="21" s="1"/>
  <c r="T48" i="9"/>
  <c r="F66" i="21" s="1"/>
  <c r="S48" i="9"/>
  <c r="F65" i="21" s="1"/>
  <c r="R48" i="9"/>
  <c r="F64" i="21" s="1"/>
  <c r="Q48" i="9"/>
  <c r="F63" i="21" s="1"/>
  <c r="P48" i="9"/>
  <c r="F62" i="21" s="1"/>
  <c r="O48" i="9"/>
  <c r="F61" i="21" s="1"/>
  <c r="N48" i="9"/>
  <c r="F60" i="21" s="1"/>
  <c r="M48" i="9"/>
  <c r="F59" i="21" s="1"/>
  <c r="L48" i="9"/>
  <c r="F58" i="21" s="1"/>
  <c r="K48" i="9"/>
  <c r="F57" i="21" s="1"/>
  <c r="J48" i="9"/>
  <c r="F56" i="21" s="1"/>
  <c r="I48" i="9"/>
  <c r="F55" i="21" s="1"/>
  <c r="H48" i="9"/>
  <c r="F54" i="21" s="1"/>
  <c r="G48" i="9"/>
  <c r="F53" i="21" s="1"/>
  <c r="F48" i="9"/>
  <c r="F52" i="21" s="1"/>
  <c r="E48" i="9"/>
  <c r="F51" i="21" s="1"/>
  <c r="D48" i="9"/>
  <c r="F50" i="21" s="1"/>
  <c r="AX47" i="9"/>
  <c r="AW47" i="9"/>
  <c r="AV47" i="9"/>
  <c r="AL47" i="9" s="1"/>
  <c r="E84" i="21" s="1"/>
  <c r="AU47" i="9"/>
  <c r="AS47" i="9"/>
  <c r="AR47" i="9"/>
  <c r="AQ47" i="9"/>
  <c r="AY47" i="9" s="1"/>
  <c r="AO47" i="9" s="1"/>
  <c r="E87" i="21" s="1"/>
  <c r="AN47" i="9"/>
  <c r="E86" i="21" s="1"/>
  <c r="AM47" i="9"/>
  <c r="E85" i="21" s="1"/>
  <c r="AK47" i="9"/>
  <c r="E83" i="21" s="1"/>
  <c r="AG47" i="9"/>
  <c r="E79" i="21" s="1"/>
  <c r="AF47" i="9"/>
  <c r="E78" i="21" s="1"/>
  <c r="AE47" i="9"/>
  <c r="E77" i="21" s="1"/>
  <c r="AD47" i="9"/>
  <c r="E76" i="21" s="1"/>
  <c r="AC47" i="9"/>
  <c r="E75" i="21" s="1"/>
  <c r="AB47" i="9"/>
  <c r="E74" i="21" s="1"/>
  <c r="AA47" i="9"/>
  <c r="E73" i="21" s="1"/>
  <c r="Z47" i="9"/>
  <c r="E72" i="21" s="1"/>
  <c r="Y47" i="9"/>
  <c r="E71" i="21" s="1"/>
  <c r="X47" i="9"/>
  <c r="E70" i="21" s="1"/>
  <c r="W47" i="9"/>
  <c r="E69" i="21" s="1"/>
  <c r="V47" i="9"/>
  <c r="E68" i="21" s="1"/>
  <c r="U47" i="9"/>
  <c r="E67" i="21" s="1"/>
  <c r="T47" i="9"/>
  <c r="E66" i="21" s="1"/>
  <c r="S47" i="9"/>
  <c r="E65" i="21" s="1"/>
  <c r="R47" i="9"/>
  <c r="E64" i="21" s="1"/>
  <c r="Q47" i="9"/>
  <c r="E63" i="21" s="1"/>
  <c r="P47" i="9"/>
  <c r="E62" i="21" s="1"/>
  <c r="O47" i="9"/>
  <c r="E61" i="21" s="1"/>
  <c r="N47" i="9"/>
  <c r="E60" i="21" s="1"/>
  <c r="M47" i="9"/>
  <c r="E59" i="21" s="1"/>
  <c r="L47" i="9"/>
  <c r="E58" i="21" s="1"/>
  <c r="K47" i="9"/>
  <c r="E57" i="21" s="1"/>
  <c r="J47" i="9"/>
  <c r="E56" i="21" s="1"/>
  <c r="I47" i="9"/>
  <c r="E55" i="21" s="1"/>
  <c r="H47" i="9"/>
  <c r="E54" i="21" s="1"/>
  <c r="G47" i="9"/>
  <c r="E53" i="21" s="1"/>
  <c r="F47" i="9"/>
  <c r="E52" i="21" s="1"/>
  <c r="E47" i="9"/>
  <c r="E51" i="21" s="1"/>
  <c r="D47" i="9"/>
  <c r="E50" i="21" s="1"/>
  <c r="AT46" i="9"/>
  <c r="AS46" i="9"/>
  <c r="AR46" i="9"/>
  <c r="AQ46" i="9"/>
  <c r="AX46" i="9" s="1"/>
  <c r="AN46" i="9" s="1"/>
  <c r="D86" i="21" s="1"/>
  <c r="AG46" i="9"/>
  <c r="D79" i="21" s="1"/>
  <c r="AF46" i="9"/>
  <c r="D78" i="21" s="1"/>
  <c r="AE46" i="9"/>
  <c r="D77" i="21" s="1"/>
  <c r="AD46" i="9"/>
  <c r="D76" i="21" s="1"/>
  <c r="AC46" i="9"/>
  <c r="D75" i="21" s="1"/>
  <c r="AB46" i="9"/>
  <c r="D74" i="21" s="1"/>
  <c r="AA46" i="9"/>
  <c r="D73" i="21" s="1"/>
  <c r="Z46" i="9"/>
  <c r="D72" i="21" s="1"/>
  <c r="Y46" i="9"/>
  <c r="D71" i="21" s="1"/>
  <c r="X46" i="9"/>
  <c r="D70" i="21" s="1"/>
  <c r="W46" i="9"/>
  <c r="D69" i="21" s="1"/>
  <c r="V46" i="9"/>
  <c r="D68" i="21" s="1"/>
  <c r="U46" i="9"/>
  <c r="D67" i="21" s="1"/>
  <c r="T46" i="9"/>
  <c r="D66" i="21" s="1"/>
  <c r="S46" i="9"/>
  <c r="D65" i="21" s="1"/>
  <c r="R46" i="9"/>
  <c r="D64" i="21" s="1"/>
  <c r="Q46" i="9"/>
  <c r="D63" i="21" s="1"/>
  <c r="P46" i="9"/>
  <c r="D62" i="21" s="1"/>
  <c r="O46" i="9"/>
  <c r="D61" i="21" s="1"/>
  <c r="N46" i="9"/>
  <c r="D60" i="21" s="1"/>
  <c r="M46" i="9"/>
  <c r="D59" i="21" s="1"/>
  <c r="L46" i="9"/>
  <c r="D58" i="21" s="1"/>
  <c r="K46" i="9"/>
  <c r="D57" i="21" s="1"/>
  <c r="J46" i="9"/>
  <c r="D56" i="21" s="1"/>
  <c r="I46" i="9"/>
  <c r="D55" i="21" s="1"/>
  <c r="H46" i="9"/>
  <c r="D54" i="21" s="1"/>
  <c r="G46" i="9"/>
  <c r="D53" i="21" s="1"/>
  <c r="F46" i="9"/>
  <c r="D52" i="21" s="1"/>
  <c r="E46" i="9"/>
  <c r="D51" i="21" s="1"/>
  <c r="D46" i="9"/>
  <c r="D50" i="21" s="1"/>
  <c r="AY45" i="9"/>
  <c r="AO45" i="9" s="1"/>
  <c r="AQ45" i="21" s="1"/>
  <c r="AX45" i="9"/>
  <c r="AN45" i="9" s="1"/>
  <c r="AQ44" i="21" s="1"/>
  <c r="AW45" i="9"/>
  <c r="AM45" i="9" s="1"/>
  <c r="AQ43" i="21" s="1"/>
  <c r="AV45" i="9"/>
  <c r="AL45" i="9" s="1"/>
  <c r="AQ42" i="21" s="1"/>
  <c r="AT45" i="9"/>
  <c r="AR45" i="9"/>
  <c r="AS45" i="9" s="1"/>
  <c r="AQ45" i="9"/>
  <c r="AU45" i="9" s="1"/>
  <c r="AK45" i="9" s="1"/>
  <c r="AQ41" i="21" s="1"/>
  <c r="AJ45" i="9"/>
  <c r="AQ40" i="21" s="1"/>
  <c r="AI45" i="9"/>
  <c r="AQ39" i="21" s="1"/>
  <c r="AH45" i="9"/>
  <c r="AQ38" i="21" s="1"/>
  <c r="AG45" i="9"/>
  <c r="AQ37" i="21" s="1"/>
  <c r="AF45" i="9"/>
  <c r="AQ36" i="21" s="1"/>
  <c r="AE45" i="9"/>
  <c r="AQ35" i="21" s="1"/>
  <c r="AD45" i="9"/>
  <c r="AQ34" i="21" s="1"/>
  <c r="AC45" i="9"/>
  <c r="AQ33" i="21" s="1"/>
  <c r="AB45" i="9"/>
  <c r="AQ32" i="21" s="1"/>
  <c r="AA45" i="9"/>
  <c r="AQ31" i="21" s="1"/>
  <c r="Z45" i="9"/>
  <c r="AQ30" i="21" s="1"/>
  <c r="Y45" i="9"/>
  <c r="AQ29" i="21" s="1"/>
  <c r="X45" i="9"/>
  <c r="AQ28" i="21" s="1"/>
  <c r="W45" i="9"/>
  <c r="AQ27" i="21" s="1"/>
  <c r="V45" i="9"/>
  <c r="AQ26" i="21" s="1"/>
  <c r="U45" i="9"/>
  <c r="AQ25" i="21" s="1"/>
  <c r="T45" i="9"/>
  <c r="AQ24" i="21" s="1"/>
  <c r="S45" i="9"/>
  <c r="AQ23" i="21" s="1"/>
  <c r="R45" i="9"/>
  <c r="AQ22" i="21" s="1"/>
  <c r="Q45" i="9"/>
  <c r="AQ21" i="21" s="1"/>
  <c r="P45" i="9"/>
  <c r="AQ20" i="21" s="1"/>
  <c r="O45" i="9"/>
  <c r="AQ19" i="21" s="1"/>
  <c r="N45" i="9"/>
  <c r="AQ18" i="21" s="1"/>
  <c r="M45" i="9"/>
  <c r="AQ17" i="21" s="1"/>
  <c r="L45" i="9"/>
  <c r="AQ16" i="21" s="1"/>
  <c r="K45" i="9"/>
  <c r="AQ15" i="21" s="1"/>
  <c r="J45" i="9"/>
  <c r="AQ14" i="21" s="1"/>
  <c r="I45" i="9"/>
  <c r="AQ13" i="21" s="1"/>
  <c r="H45" i="9"/>
  <c r="AQ12" i="21" s="1"/>
  <c r="G45" i="9"/>
  <c r="AQ11" i="21" s="1"/>
  <c r="F45" i="9"/>
  <c r="AQ10" i="21" s="1"/>
  <c r="E45" i="9"/>
  <c r="AQ9" i="21" s="1"/>
  <c r="D45" i="9"/>
  <c r="AQ8" i="21" s="1"/>
  <c r="AY44" i="9"/>
  <c r="AX44" i="9"/>
  <c r="AW44" i="9"/>
  <c r="AQ44" i="9"/>
  <c r="AT44" i="9" s="1"/>
  <c r="AH44" i="9" s="1"/>
  <c r="AP38" i="21" s="1"/>
  <c r="AO44" i="9"/>
  <c r="AP45" i="21" s="1"/>
  <c r="AN44" i="9"/>
  <c r="AP44" i="21" s="1"/>
  <c r="AM44" i="9"/>
  <c r="AP43" i="21" s="1"/>
  <c r="AG44" i="9"/>
  <c r="AP37" i="21" s="1"/>
  <c r="AF44" i="9"/>
  <c r="AP36" i="21" s="1"/>
  <c r="AE44" i="9"/>
  <c r="AP35" i="21" s="1"/>
  <c r="AD44" i="9"/>
  <c r="AP34" i="21" s="1"/>
  <c r="AC44" i="9"/>
  <c r="AP33" i="21" s="1"/>
  <c r="AB44" i="9"/>
  <c r="AP32" i="21" s="1"/>
  <c r="AA44" i="9"/>
  <c r="AP31" i="21" s="1"/>
  <c r="Z44" i="9"/>
  <c r="AP30" i="21" s="1"/>
  <c r="Y44" i="9"/>
  <c r="AP29" i="21" s="1"/>
  <c r="X44" i="9"/>
  <c r="AP28" i="21" s="1"/>
  <c r="W44" i="9"/>
  <c r="AP27" i="21" s="1"/>
  <c r="V44" i="9"/>
  <c r="AP26" i="21" s="1"/>
  <c r="U44" i="9"/>
  <c r="AP25" i="21" s="1"/>
  <c r="T44" i="9"/>
  <c r="AP24" i="21" s="1"/>
  <c r="S44" i="9"/>
  <c r="AP23" i="21" s="1"/>
  <c r="R44" i="9"/>
  <c r="AP22" i="21" s="1"/>
  <c r="Q44" i="9"/>
  <c r="AP21" i="21" s="1"/>
  <c r="P44" i="9"/>
  <c r="AP20" i="21" s="1"/>
  <c r="O44" i="9"/>
  <c r="AP19" i="21" s="1"/>
  <c r="N44" i="9"/>
  <c r="AP18" i="21" s="1"/>
  <c r="M44" i="9"/>
  <c r="AP17" i="21" s="1"/>
  <c r="L44" i="9"/>
  <c r="AP16" i="21" s="1"/>
  <c r="K44" i="9"/>
  <c r="AP15" i="21" s="1"/>
  <c r="J44" i="9"/>
  <c r="AP14" i="21" s="1"/>
  <c r="I44" i="9"/>
  <c r="AP13" i="21" s="1"/>
  <c r="H44" i="9"/>
  <c r="AP12" i="21" s="1"/>
  <c r="G44" i="9"/>
  <c r="AP11" i="21" s="1"/>
  <c r="F44" i="9"/>
  <c r="AP10" i="21" s="1"/>
  <c r="E44" i="9"/>
  <c r="AP9" i="21" s="1"/>
  <c r="D44" i="9"/>
  <c r="AP8" i="21" s="1"/>
  <c r="AY43" i="9"/>
  <c r="AX43" i="9"/>
  <c r="AW43" i="9"/>
  <c r="AV43" i="9"/>
  <c r="AL43" i="9" s="1"/>
  <c r="AO42" i="21" s="1"/>
  <c r="AU43" i="9"/>
  <c r="AK43" i="9" s="1"/>
  <c r="AO41" i="21" s="1"/>
  <c r="AT43" i="9"/>
  <c r="AS43" i="9"/>
  <c r="AR43" i="9"/>
  <c r="AQ43" i="9"/>
  <c r="AO43" i="9"/>
  <c r="AO45" i="21" s="1"/>
  <c r="AN43" i="9"/>
  <c r="AO44" i="21" s="1"/>
  <c r="AM43" i="9"/>
  <c r="AO43" i="21" s="1"/>
  <c r="AG43" i="9"/>
  <c r="AO37" i="21" s="1"/>
  <c r="AF43" i="9"/>
  <c r="AO36" i="21" s="1"/>
  <c r="AE43" i="9"/>
  <c r="AO35" i="21" s="1"/>
  <c r="AD43" i="9"/>
  <c r="AO34" i="21" s="1"/>
  <c r="AC43" i="9"/>
  <c r="AO33" i="21" s="1"/>
  <c r="AB43" i="9"/>
  <c r="AO32" i="21" s="1"/>
  <c r="AA43" i="9"/>
  <c r="AO31" i="21" s="1"/>
  <c r="Z43" i="9"/>
  <c r="AO30" i="21" s="1"/>
  <c r="Y43" i="9"/>
  <c r="AO29" i="21" s="1"/>
  <c r="X43" i="9"/>
  <c r="AO28" i="21" s="1"/>
  <c r="W43" i="9"/>
  <c r="AO27" i="21" s="1"/>
  <c r="V43" i="9"/>
  <c r="AO26" i="21" s="1"/>
  <c r="U43" i="9"/>
  <c r="AO25" i="21" s="1"/>
  <c r="T43" i="9"/>
  <c r="AO24" i="21" s="1"/>
  <c r="S43" i="9"/>
  <c r="AO23" i="21" s="1"/>
  <c r="R43" i="9"/>
  <c r="AO22" i="21" s="1"/>
  <c r="Q43" i="9"/>
  <c r="AO21" i="21" s="1"/>
  <c r="P43" i="9"/>
  <c r="AO20" i="21" s="1"/>
  <c r="O43" i="9"/>
  <c r="AO19" i="21" s="1"/>
  <c r="N43" i="9"/>
  <c r="AO18" i="21" s="1"/>
  <c r="M43" i="9"/>
  <c r="AO17" i="21" s="1"/>
  <c r="L43" i="9"/>
  <c r="AO16" i="21" s="1"/>
  <c r="K43" i="9"/>
  <c r="AO15" i="21" s="1"/>
  <c r="J43" i="9"/>
  <c r="AO14" i="21" s="1"/>
  <c r="I43" i="9"/>
  <c r="AO13" i="21" s="1"/>
  <c r="H43" i="9"/>
  <c r="AO12" i="21" s="1"/>
  <c r="G43" i="9"/>
  <c r="AO11" i="21" s="1"/>
  <c r="F43" i="9"/>
  <c r="AO10" i="21" s="1"/>
  <c r="E43" i="9"/>
  <c r="AO9" i="21" s="1"/>
  <c r="D43" i="9"/>
  <c r="AO8" i="21" s="1"/>
  <c r="AY42" i="9"/>
  <c r="AO42" i="9" s="1"/>
  <c r="AN45" i="21" s="1"/>
  <c r="AX42" i="9"/>
  <c r="AN42" i="9" s="1"/>
  <c r="AN44" i="21" s="1"/>
  <c r="AW42" i="9"/>
  <c r="AM42" i="9" s="1"/>
  <c r="AN43" i="21" s="1"/>
  <c r="AV42" i="9"/>
  <c r="AU42" i="9"/>
  <c r="AT42" i="9"/>
  <c r="AS42" i="9"/>
  <c r="AR42" i="9"/>
  <c r="AQ42" i="9"/>
  <c r="AL42" i="9"/>
  <c r="AN42" i="21" s="1"/>
  <c r="AK42" i="9"/>
  <c r="AN41" i="21" s="1"/>
  <c r="AJ42" i="9"/>
  <c r="AN40" i="21" s="1"/>
  <c r="AI42" i="9"/>
  <c r="AN39" i="21" s="1"/>
  <c r="AH42" i="9"/>
  <c r="AN38" i="21" s="1"/>
  <c r="AG42" i="9"/>
  <c r="AN37" i="21" s="1"/>
  <c r="AF42" i="9"/>
  <c r="AN36" i="21" s="1"/>
  <c r="AE42" i="9"/>
  <c r="AN35" i="21" s="1"/>
  <c r="AD42" i="9"/>
  <c r="AN34" i="21" s="1"/>
  <c r="AC42" i="9"/>
  <c r="AN33" i="21" s="1"/>
  <c r="AB42" i="9"/>
  <c r="AN32" i="21" s="1"/>
  <c r="AA42" i="9"/>
  <c r="AN31" i="21" s="1"/>
  <c r="Z42" i="9"/>
  <c r="AN30" i="21" s="1"/>
  <c r="Y42" i="9"/>
  <c r="AN29" i="21" s="1"/>
  <c r="X42" i="9"/>
  <c r="AN28" i="21" s="1"/>
  <c r="W42" i="9"/>
  <c r="AN27" i="21" s="1"/>
  <c r="V42" i="9"/>
  <c r="AN26" i="21" s="1"/>
  <c r="U42" i="9"/>
  <c r="AN25" i="21" s="1"/>
  <c r="T42" i="9"/>
  <c r="AN24" i="21" s="1"/>
  <c r="S42" i="9"/>
  <c r="AN23" i="21" s="1"/>
  <c r="R42" i="9"/>
  <c r="AN22" i="21" s="1"/>
  <c r="Q42" i="9"/>
  <c r="AN21" i="21" s="1"/>
  <c r="P42" i="9"/>
  <c r="AN20" i="21" s="1"/>
  <c r="O42" i="9"/>
  <c r="AN19" i="21" s="1"/>
  <c r="N42" i="9"/>
  <c r="AN18" i="21" s="1"/>
  <c r="M42" i="9"/>
  <c r="AN17" i="21" s="1"/>
  <c r="L42" i="9"/>
  <c r="AN16" i="21" s="1"/>
  <c r="K42" i="9"/>
  <c r="AN15" i="21" s="1"/>
  <c r="J42" i="9"/>
  <c r="AN14" i="21" s="1"/>
  <c r="I42" i="9"/>
  <c r="AN13" i="21" s="1"/>
  <c r="H42" i="9"/>
  <c r="AN12" i="21" s="1"/>
  <c r="G42" i="9"/>
  <c r="AN11" i="21" s="1"/>
  <c r="F42" i="9"/>
  <c r="AN10" i="21" s="1"/>
  <c r="E42" i="9"/>
  <c r="AN9" i="21" s="1"/>
  <c r="D42" i="9"/>
  <c r="AN8" i="21" s="1"/>
  <c r="AX41" i="9"/>
  <c r="AN41" i="9" s="1"/>
  <c r="AM44" i="21" s="1"/>
  <c r="AQ41" i="9"/>
  <c r="AG41" i="9"/>
  <c r="AM37" i="21" s="1"/>
  <c r="AF41" i="9"/>
  <c r="AM36" i="21" s="1"/>
  <c r="AE41" i="9"/>
  <c r="AM35" i="21" s="1"/>
  <c r="AD41" i="9"/>
  <c r="AM34" i="21" s="1"/>
  <c r="AC41" i="9"/>
  <c r="AM33" i="21" s="1"/>
  <c r="AB41" i="9"/>
  <c r="AM32" i="21" s="1"/>
  <c r="AA41" i="9"/>
  <c r="AM31" i="21" s="1"/>
  <c r="Z41" i="9"/>
  <c r="AM30" i="21" s="1"/>
  <c r="Y41" i="9"/>
  <c r="AM29" i="21" s="1"/>
  <c r="X41" i="9"/>
  <c r="AM28" i="21" s="1"/>
  <c r="W41" i="9"/>
  <c r="AM27" i="21" s="1"/>
  <c r="V41" i="9"/>
  <c r="AM26" i="21" s="1"/>
  <c r="U41" i="9"/>
  <c r="AM25" i="21" s="1"/>
  <c r="T41" i="9"/>
  <c r="AM24" i="21" s="1"/>
  <c r="S41" i="9"/>
  <c r="AM23" i="21" s="1"/>
  <c r="R41" i="9"/>
  <c r="AM22" i="21" s="1"/>
  <c r="Q41" i="9"/>
  <c r="AM21" i="21" s="1"/>
  <c r="P41" i="9"/>
  <c r="AM20" i="21" s="1"/>
  <c r="O41" i="9"/>
  <c r="AM19" i="21" s="1"/>
  <c r="N41" i="9"/>
  <c r="AM18" i="21" s="1"/>
  <c r="M41" i="9"/>
  <c r="AM17" i="21" s="1"/>
  <c r="L41" i="9"/>
  <c r="AM16" i="21" s="1"/>
  <c r="K41" i="9"/>
  <c r="AM15" i="21" s="1"/>
  <c r="J41" i="9"/>
  <c r="AM14" i="21" s="1"/>
  <c r="I41" i="9"/>
  <c r="AM13" i="21" s="1"/>
  <c r="H41" i="9"/>
  <c r="AM12" i="21" s="1"/>
  <c r="G41" i="9"/>
  <c r="AM11" i="21" s="1"/>
  <c r="F41" i="9"/>
  <c r="AM10" i="21" s="1"/>
  <c r="E41" i="9"/>
  <c r="AM9" i="21" s="1"/>
  <c r="D41" i="9"/>
  <c r="AM8" i="21" s="1"/>
  <c r="AV40" i="9"/>
  <c r="AL40" i="9" s="1"/>
  <c r="AL42" i="21" s="1"/>
  <c r="AU40" i="9"/>
  <c r="AK40" i="9" s="1"/>
  <c r="AL41" i="21" s="1"/>
  <c r="AT40" i="9"/>
  <c r="AQ40" i="9"/>
  <c r="AY40" i="9" s="1"/>
  <c r="AO40" i="9" s="1"/>
  <c r="AL45" i="21" s="1"/>
  <c r="AG40" i="9"/>
  <c r="AL37" i="21" s="1"/>
  <c r="AF40" i="9"/>
  <c r="AL36" i="21" s="1"/>
  <c r="AE40" i="9"/>
  <c r="AL35" i="21" s="1"/>
  <c r="AD40" i="9"/>
  <c r="AL34" i="21" s="1"/>
  <c r="AC40" i="9"/>
  <c r="AL33" i="21" s="1"/>
  <c r="AB40" i="9"/>
  <c r="AL32" i="21" s="1"/>
  <c r="AA40" i="9"/>
  <c r="AL31" i="21" s="1"/>
  <c r="Z40" i="9"/>
  <c r="AL30" i="21" s="1"/>
  <c r="Y40" i="9"/>
  <c r="AL29" i="21" s="1"/>
  <c r="X40" i="9"/>
  <c r="AL28" i="21" s="1"/>
  <c r="W40" i="9"/>
  <c r="AL27" i="21" s="1"/>
  <c r="V40" i="9"/>
  <c r="AL26" i="21" s="1"/>
  <c r="U40" i="9"/>
  <c r="AL25" i="21" s="1"/>
  <c r="T40" i="9"/>
  <c r="AL24" i="21" s="1"/>
  <c r="S40" i="9"/>
  <c r="AL23" i="21" s="1"/>
  <c r="R40" i="9"/>
  <c r="AL22" i="21" s="1"/>
  <c r="Q40" i="9"/>
  <c r="AL21" i="21" s="1"/>
  <c r="P40" i="9"/>
  <c r="AL20" i="21" s="1"/>
  <c r="O40" i="9"/>
  <c r="AL19" i="21" s="1"/>
  <c r="N40" i="9"/>
  <c r="AL18" i="21" s="1"/>
  <c r="M40" i="9"/>
  <c r="AL17" i="21" s="1"/>
  <c r="L40" i="9"/>
  <c r="AL16" i="21" s="1"/>
  <c r="K40" i="9"/>
  <c r="AL15" i="21" s="1"/>
  <c r="J40" i="9"/>
  <c r="AL14" i="21" s="1"/>
  <c r="I40" i="9"/>
  <c r="AL13" i="21" s="1"/>
  <c r="H40" i="9"/>
  <c r="AL12" i="21" s="1"/>
  <c r="G40" i="9"/>
  <c r="AL11" i="21" s="1"/>
  <c r="F40" i="9"/>
  <c r="AL10" i="21" s="1"/>
  <c r="E40" i="9"/>
  <c r="AL9" i="21" s="1"/>
  <c r="D40" i="9"/>
  <c r="AL8" i="21" s="1"/>
  <c r="AY39" i="9"/>
  <c r="AO39" i="9" s="1"/>
  <c r="AK45" i="21" s="1"/>
  <c r="AX39" i="9"/>
  <c r="AN39" i="9" s="1"/>
  <c r="AK44" i="21" s="1"/>
  <c r="AV39" i="9"/>
  <c r="AU39" i="9"/>
  <c r="AT39" i="9"/>
  <c r="AQ39" i="9"/>
  <c r="AW39" i="9" s="1"/>
  <c r="AM39" i="9" s="1"/>
  <c r="AK43" i="21" s="1"/>
  <c r="AL39" i="9"/>
  <c r="AK42" i="21" s="1"/>
  <c r="AK39" i="9"/>
  <c r="AK41" i="21" s="1"/>
  <c r="AJ39" i="9"/>
  <c r="AK40" i="21" s="1"/>
  <c r="AG39" i="9"/>
  <c r="AK37" i="21" s="1"/>
  <c r="AF39" i="9"/>
  <c r="AK36" i="21" s="1"/>
  <c r="AE39" i="9"/>
  <c r="AK35" i="21" s="1"/>
  <c r="AD39" i="9"/>
  <c r="AK34" i="21" s="1"/>
  <c r="AC39" i="9"/>
  <c r="AK33" i="21" s="1"/>
  <c r="AB39" i="9"/>
  <c r="AK32" i="21" s="1"/>
  <c r="AA39" i="9"/>
  <c r="AK31" i="21" s="1"/>
  <c r="Z39" i="9"/>
  <c r="AK30" i="21" s="1"/>
  <c r="Y39" i="9"/>
  <c r="AK29" i="21" s="1"/>
  <c r="X39" i="9"/>
  <c r="AK28" i="21" s="1"/>
  <c r="W39" i="9"/>
  <c r="AK27" i="21" s="1"/>
  <c r="V39" i="9"/>
  <c r="AK26" i="21" s="1"/>
  <c r="U39" i="9"/>
  <c r="AK25" i="21" s="1"/>
  <c r="T39" i="9"/>
  <c r="AK24" i="21" s="1"/>
  <c r="S39" i="9"/>
  <c r="AK23" i="21" s="1"/>
  <c r="R39" i="9"/>
  <c r="AK22" i="21" s="1"/>
  <c r="Q39" i="9"/>
  <c r="AK21" i="21" s="1"/>
  <c r="P39" i="9"/>
  <c r="AK20" i="21" s="1"/>
  <c r="O39" i="9"/>
  <c r="AK19" i="21" s="1"/>
  <c r="N39" i="9"/>
  <c r="AK18" i="21" s="1"/>
  <c r="M39" i="9"/>
  <c r="AK17" i="21" s="1"/>
  <c r="L39" i="9"/>
  <c r="AK16" i="21" s="1"/>
  <c r="K39" i="9"/>
  <c r="AK15" i="21" s="1"/>
  <c r="J39" i="9"/>
  <c r="AK14" i="21" s="1"/>
  <c r="I39" i="9"/>
  <c r="AK13" i="21" s="1"/>
  <c r="H39" i="9"/>
  <c r="AK12" i="21" s="1"/>
  <c r="G39" i="9"/>
  <c r="AK11" i="21" s="1"/>
  <c r="F39" i="9"/>
  <c r="AK10" i="21" s="1"/>
  <c r="E39" i="9"/>
  <c r="AK9" i="21" s="1"/>
  <c r="D39" i="9"/>
  <c r="AK8" i="21" s="1"/>
  <c r="AR38" i="9"/>
  <c r="AS38" i="9" s="1"/>
  <c r="AQ38" i="9"/>
  <c r="AG38" i="9"/>
  <c r="AJ37" i="21" s="1"/>
  <c r="AF38" i="9"/>
  <c r="AJ36" i="21" s="1"/>
  <c r="AE38" i="9"/>
  <c r="AJ35" i="21" s="1"/>
  <c r="AD38" i="9"/>
  <c r="AJ34" i="21" s="1"/>
  <c r="AC38" i="9"/>
  <c r="AJ33" i="21" s="1"/>
  <c r="AB38" i="9"/>
  <c r="AJ32" i="21" s="1"/>
  <c r="AA38" i="9"/>
  <c r="AJ31" i="21" s="1"/>
  <c r="Z38" i="9"/>
  <c r="AJ30" i="21" s="1"/>
  <c r="Y38" i="9"/>
  <c r="AJ29" i="21" s="1"/>
  <c r="X38" i="9"/>
  <c r="AJ28" i="21" s="1"/>
  <c r="W38" i="9"/>
  <c r="AJ27" i="21" s="1"/>
  <c r="V38" i="9"/>
  <c r="AJ26" i="21" s="1"/>
  <c r="U38" i="9"/>
  <c r="AJ25" i="21" s="1"/>
  <c r="T38" i="9"/>
  <c r="AJ24" i="21" s="1"/>
  <c r="S38" i="9"/>
  <c r="AJ23" i="21" s="1"/>
  <c r="R38" i="9"/>
  <c r="AJ22" i="21" s="1"/>
  <c r="Q38" i="9"/>
  <c r="AJ21" i="21" s="1"/>
  <c r="P38" i="9"/>
  <c r="AJ20" i="21" s="1"/>
  <c r="O38" i="9"/>
  <c r="AJ19" i="21" s="1"/>
  <c r="N38" i="9"/>
  <c r="AJ18" i="21" s="1"/>
  <c r="M38" i="9"/>
  <c r="AJ17" i="21" s="1"/>
  <c r="L38" i="9"/>
  <c r="AJ16" i="21" s="1"/>
  <c r="K38" i="9"/>
  <c r="AJ15" i="21" s="1"/>
  <c r="J38" i="9"/>
  <c r="AJ14" i="21" s="1"/>
  <c r="I38" i="9"/>
  <c r="AJ13" i="21" s="1"/>
  <c r="H38" i="9"/>
  <c r="AJ12" i="21" s="1"/>
  <c r="G38" i="9"/>
  <c r="AJ11" i="21" s="1"/>
  <c r="F38" i="9"/>
  <c r="AJ10" i="21" s="1"/>
  <c r="E38" i="9"/>
  <c r="AJ9" i="21" s="1"/>
  <c r="D38" i="9"/>
  <c r="AJ8" i="21" s="1"/>
  <c r="AW37" i="9"/>
  <c r="AM37" i="9" s="1"/>
  <c r="AI43" i="21" s="1"/>
  <c r="AV37" i="9"/>
  <c r="AL37" i="9" s="1"/>
  <c r="AI42" i="21" s="1"/>
  <c r="AU37" i="9"/>
  <c r="AK37" i="9" s="1"/>
  <c r="AI41" i="21" s="1"/>
  <c r="AT37" i="9"/>
  <c r="AJ37" i="9" s="1"/>
  <c r="AI40" i="21" s="1"/>
  <c r="AR37" i="9"/>
  <c r="AS37" i="9" s="1"/>
  <c r="AQ37" i="9"/>
  <c r="AY37" i="9" s="1"/>
  <c r="AO37" i="9"/>
  <c r="AI45" i="21" s="1"/>
  <c r="AH37" i="9"/>
  <c r="AI38" i="21" s="1"/>
  <c r="AG37" i="9"/>
  <c r="AI37" i="21" s="1"/>
  <c r="AF37" i="9"/>
  <c r="AI36" i="21" s="1"/>
  <c r="AE37" i="9"/>
  <c r="AI35" i="21" s="1"/>
  <c r="AD37" i="9"/>
  <c r="AI34" i="21" s="1"/>
  <c r="AC37" i="9"/>
  <c r="AI33" i="21" s="1"/>
  <c r="AB37" i="9"/>
  <c r="AI32" i="21" s="1"/>
  <c r="AA37" i="9"/>
  <c r="AI31" i="21" s="1"/>
  <c r="Z37" i="9"/>
  <c r="AI30" i="21" s="1"/>
  <c r="Y37" i="9"/>
  <c r="AI29" i="21" s="1"/>
  <c r="X37" i="9"/>
  <c r="AI28" i="21" s="1"/>
  <c r="W37" i="9"/>
  <c r="AI27" i="21" s="1"/>
  <c r="V37" i="9"/>
  <c r="AI26" i="21" s="1"/>
  <c r="U37" i="9"/>
  <c r="AI25" i="21" s="1"/>
  <c r="T37" i="9"/>
  <c r="AI24" i="21" s="1"/>
  <c r="S37" i="9"/>
  <c r="AI23" i="21" s="1"/>
  <c r="R37" i="9"/>
  <c r="AI22" i="21" s="1"/>
  <c r="Q37" i="9"/>
  <c r="AI21" i="21" s="1"/>
  <c r="P37" i="9"/>
  <c r="AI20" i="21" s="1"/>
  <c r="O37" i="9"/>
  <c r="AI19" i="21" s="1"/>
  <c r="N37" i="9"/>
  <c r="AI18" i="21" s="1"/>
  <c r="M37" i="9"/>
  <c r="AI17" i="21" s="1"/>
  <c r="L37" i="9"/>
  <c r="AI16" i="21" s="1"/>
  <c r="K37" i="9"/>
  <c r="AI15" i="21" s="1"/>
  <c r="J37" i="9"/>
  <c r="AI14" i="21" s="1"/>
  <c r="I37" i="9"/>
  <c r="AI13" i="21" s="1"/>
  <c r="H37" i="9"/>
  <c r="AI12" i="21" s="1"/>
  <c r="G37" i="9"/>
  <c r="AI11" i="21" s="1"/>
  <c r="F37" i="9"/>
  <c r="AI10" i="21" s="1"/>
  <c r="E37" i="9"/>
  <c r="AI9" i="21" s="1"/>
  <c r="D37" i="9"/>
  <c r="AI8" i="21" s="1"/>
  <c r="AY36" i="9"/>
  <c r="AO36" i="9" s="1"/>
  <c r="AH45" i="21" s="1"/>
  <c r="AW36" i="9"/>
  <c r="AV36" i="9"/>
  <c r="AU36" i="9"/>
  <c r="AR36" i="9"/>
  <c r="AS36" i="9" s="1"/>
  <c r="AQ36" i="9"/>
  <c r="AX36" i="9" s="1"/>
  <c r="AN36" i="9" s="1"/>
  <c r="AH44" i="21" s="1"/>
  <c r="AM36" i="9"/>
  <c r="AH43" i="21" s="1"/>
  <c r="AL36" i="9"/>
  <c r="AH42" i="21" s="1"/>
  <c r="AK36" i="9"/>
  <c r="AH41" i="21" s="1"/>
  <c r="AG36" i="9"/>
  <c r="AH37" i="21" s="1"/>
  <c r="AF36" i="9"/>
  <c r="AH36" i="21" s="1"/>
  <c r="AE36" i="9"/>
  <c r="AH35" i="21" s="1"/>
  <c r="AD36" i="9"/>
  <c r="AH34" i="21" s="1"/>
  <c r="AC36" i="9"/>
  <c r="AH33" i="21" s="1"/>
  <c r="AB36" i="9"/>
  <c r="AH32" i="21" s="1"/>
  <c r="AA36" i="9"/>
  <c r="AH31" i="21" s="1"/>
  <c r="Z36" i="9"/>
  <c r="AH30" i="21" s="1"/>
  <c r="Y36" i="9"/>
  <c r="AH29" i="21" s="1"/>
  <c r="X36" i="9"/>
  <c r="AH28" i="21" s="1"/>
  <c r="W36" i="9"/>
  <c r="AH27" i="21" s="1"/>
  <c r="V36" i="9"/>
  <c r="AH26" i="21" s="1"/>
  <c r="U36" i="9"/>
  <c r="AH25" i="21" s="1"/>
  <c r="T36" i="9"/>
  <c r="AH24" i="21" s="1"/>
  <c r="S36" i="9"/>
  <c r="AH23" i="21" s="1"/>
  <c r="R36" i="9"/>
  <c r="AH22" i="21" s="1"/>
  <c r="Q36" i="9"/>
  <c r="AH21" i="21" s="1"/>
  <c r="P36" i="9"/>
  <c r="AH20" i="21" s="1"/>
  <c r="O36" i="9"/>
  <c r="AH19" i="21" s="1"/>
  <c r="N36" i="9"/>
  <c r="AH18" i="21" s="1"/>
  <c r="M36" i="9"/>
  <c r="AH17" i="21" s="1"/>
  <c r="L36" i="9"/>
  <c r="AH16" i="21" s="1"/>
  <c r="K36" i="9"/>
  <c r="AH15" i="21" s="1"/>
  <c r="J36" i="9"/>
  <c r="AH14" i="21" s="1"/>
  <c r="I36" i="9"/>
  <c r="AH13" i="21" s="1"/>
  <c r="H36" i="9"/>
  <c r="AH12" i="21" s="1"/>
  <c r="G36" i="9"/>
  <c r="AH11" i="21" s="1"/>
  <c r="F36" i="9"/>
  <c r="AH10" i="21" s="1"/>
  <c r="E36" i="9"/>
  <c r="AH9" i="21" s="1"/>
  <c r="D36" i="9"/>
  <c r="AH8" i="21" s="1"/>
  <c r="AR35" i="9"/>
  <c r="AS35" i="9" s="1"/>
  <c r="AQ35" i="9"/>
  <c r="AG35" i="9"/>
  <c r="AG37" i="21" s="1"/>
  <c r="AF35" i="9"/>
  <c r="AG36" i="21" s="1"/>
  <c r="AE35" i="9"/>
  <c r="AG35" i="21" s="1"/>
  <c r="AD35" i="9"/>
  <c r="AG34" i="21" s="1"/>
  <c r="AC35" i="9"/>
  <c r="AG33" i="21" s="1"/>
  <c r="AB35" i="9"/>
  <c r="AG32" i="21" s="1"/>
  <c r="AA35" i="9"/>
  <c r="AG31" i="21" s="1"/>
  <c r="Z35" i="9"/>
  <c r="AG30" i="21" s="1"/>
  <c r="Y35" i="9"/>
  <c r="AG29" i="21" s="1"/>
  <c r="X35" i="9"/>
  <c r="AG28" i="21" s="1"/>
  <c r="W35" i="9"/>
  <c r="AG27" i="21" s="1"/>
  <c r="V35" i="9"/>
  <c r="AG26" i="21" s="1"/>
  <c r="U35" i="9"/>
  <c r="AG25" i="21" s="1"/>
  <c r="T35" i="9"/>
  <c r="AG24" i="21" s="1"/>
  <c r="S35" i="9"/>
  <c r="AG23" i="21" s="1"/>
  <c r="R35" i="9"/>
  <c r="AG22" i="21" s="1"/>
  <c r="Q35" i="9"/>
  <c r="AG21" i="21" s="1"/>
  <c r="P35" i="9"/>
  <c r="AG20" i="21" s="1"/>
  <c r="O35" i="9"/>
  <c r="AG19" i="21" s="1"/>
  <c r="N35" i="9"/>
  <c r="AG18" i="21" s="1"/>
  <c r="M35" i="9"/>
  <c r="AG17" i="21" s="1"/>
  <c r="L35" i="9"/>
  <c r="AG16" i="21" s="1"/>
  <c r="K35" i="9"/>
  <c r="AG15" i="21" s="1"/>
  <c r="J35" i="9"/>
  <c r="AG14" i="21" s="1"/>
  <c r="I35" i="9"/>
  <c r="AG13" i="21" s="1"/>
  <c r="H35" i="9"/>
  <c r="AG12" i="21" s="1"/>
  <c r="G35" i="9"/>
  <c r="AG11" i="21" s="1"/>
  <c r="F35" i="9"/>
  <c r="AG10" i="21" s="1"/>
  <c r="E35" i="9"/>
  <c r="AG9" i="21" s="1"/>
  <c r="D35" i="9"/>
  <c r="AG8" i="21" s="1"/>
  <c r="AV34" i="9"/>
  <c r="AL34" i="9" s="1"/>
  <c r="AF42" i="21" s="1"/>
  <c r="AQ34" i="9"/>
  <c r="AG34" i="9"/>
  <c r="AF37" i="21" s="1"/>
  <c r="AF34" i="9"/>
  <c r="AF36" i="21" s="1"/>
  <c r="AE34" i="9"/>
  <c r="AF35" i="21" s="1"/>
  <c r="AD34" i="9"/>
  <c r="AF34" i="21" s="1"/>
  <c r="AC34" i="9"/>
  <c r="AF33" i="21" s="1"/>
  <c r="AB34" i="9"/>
  <c r="AF32" i="21" s="1"/>
  <c r="AA34" i="9"/>
  <c r="AF31" i="21" s="1"/>
  <c r="Z34" i="9"/>
  <c r="AF30" i="21" s="1"/>
  <c r="Y34" i="9"/>
  <c r="AF29" i="21" s="1"/>
  <c r="X34" i="9"/>
  <c r="AF28" i="21" s="1"/>
  <c r="W34" i="9"/>
  <c r="AF27" i="21" s="1"/>
  <c r="V34" i="9"/>
  <c r="AF26" i="21" s="1"/>
  <c r="U34" i="9"/>
  <c r="AF25" i="21" s="1"/>
  <c r="T34" i="9"/>
  <c r="AF24" i="21" s="1"/>
  <c r="S34" i="9"/>
  <c r="AF23" i="21" s="1"/>
  <c r="R34" i="9"/>
  <c r="AF22" i="21" s="1"/>
  <c r="Q34" i="9"/>
  <c r="AF21" i="21" s="1"/>
  <c r="P34" i="9"/>
  <c r="AF20" i="21" s="1"/>
  <c r="O34" i="9"/>
  <c r="AF19" i="21" s="1"/>
  <c r="N34" i="9"/>
  <c r="AF18" i="21" s="1"/>
  <c r="M34" i="9"/>
  <c r="AF17" i="21" s="1"/>
  <c r="L34" i="9"/>
  <c r="AF16" i="21" s="1"/>
  <c r="K34" i="9"/>
  <c r="AF15" i="21" s="1"/>
  <c r="J34" i="9"/>
  <c r="AF14" i="21" s="1"/>
  <c r="I34" i="9"/>
  <c r="AF13" i="21" s="1"/>
  <c r="H34" i="9"/>
  <c r="AF12" i="21" s="1"/>
  <c r="G34" i="9"/>
  <c r="AF11" i="21" s="1"/>
  <c r="F34" i="9"/>
  <c r="AF10" i="21" s="1"/>
  <c r="E34" i="9"/>
  <c r="AF9" i="21" s="1"/>
  <c r="D34" i="9"/>
  <c r="AF8" i="21" s="1"/>
  <c r="AX33" i="9"/>
  <c r="AW33" i="9"/>
  <c r="AV33" i="9"/>
  <c r="AS33" i="9"/>
  <c r="AR33" i="9"/>
  <c r="AQ33" i="9"/>
  <c r="AY33" i="9" s="1"/>
  <c r="AO33" i="9" s="1"/>
  <c r="AE45" i="21" s="1"/>
  <c r="AN33" i="9"/>
  <c r="AE44" i="21" s="1"/>
  <c r="AM33" i="9"/>
  <c r="AE43" i="21" s="1"/>
  <c r="AL33" i="9"/>
  <c r="AE42" i="21" s="1"/>
  <c r="AG33" i="9"/>
  <c r="AE37" i="21" s="1"/>
  <c r="AF33" i="9"/>
  <c r="AE36" i="21" s="1"/>
  <c r="AE33" i="9"/>
  <c r="AE35" i="21" s="1"/>
  <c r="AD33" i="9"/>
  <c r="AE34" i="21" s="1"/>
  <c r="AC33" i="9"/>
  <c r="AE33" i="21" s="1"/>
  <c r="AB33" i="9"/>
  <c r="AE32" i="21" s="1"/>
  <c r="AA33" i="9"/>
  <c r="AE31" i="21" s="1"/>
  <c r="Z33" i="9"/>
  <c r="AE30" i="21" s="1"/>
  <c r="Y33" i="9"/>
  <c r="AE29" i="21" s="1"/>
  <c r="X33" i="9"/>
  <c r="AE28" i="21" s="1"/>
  <c r="W33" i="9"/>
  <c r="AE27" i="21" s="1"/>
  <c r="V33" i="9"/>
  <c r="AE26" i="21" s="1"/>
  <c r="U33" i="9"/>
  <c r="AE25" i="21" s="1"/>
  <c r="T33" i="9"/>
  <c r="AE24" i="21" s="1"/>
  <c r="S33" i="9"/>
  <c r="AE23" i="21" s="1"/>
  <c r="R33" i="9"/>
  <c r="AE22" i="21" s="1"/>
  <c r="Q33" i="9"/>
  <c r="AE21" i="21" s="1"/>
  <c r="P33" i="9"/>
  <c r="AE20" i="21" s="1"/>
  <c r="O33" i="9"/>
  <c r="AE19" i="21" s="1"/>
  <c r="N33" i="9"/>
  <c r="AE18" i="21" s="1"/>
  <c r="M33" i="9"/>
  <c r="AE17" i="21" s="1"/>
  <c r="L33" i="9"/>
  <c r="AE16" i="21" s="1"/>
  <c r="K33" i="9"/>
  <c r="AE15" i="21" s="1"/>
  <c r="J33" i="9"/>
  <c r="AE14" i="21" s="1"/>
  <c r="I33" i="9"/>
  <c r="AE13" i="21" s="1"/>
  <c r="H33" i="9"/>
  <c r="AE12" i="21" s="1"/>
  <c r="G33" i="9"/>
  <c r="AE11" i="21" s="1"/>
  <c r="F33" i="9"/>
  <c r="AE10" i="21" s="1"/>
  <c r="E33" i="9"/>
  <c r="AE9" i="21" s="1"/>
  <c r="D33" i="9"/>
  <c r="AE8" i="21" s="1"/>
  <c r="AT32" i="9"/>
  <c r="AR32" i="9"/>
  <c r="AS32" i="9" s="1"/>
  <c r="AQ32" i="9"/>
  <c r="AX32" i="9" s="1"/>
  <c r="AN32" i="9" s="1"/>
  <c r="AD44" i="21" s="1"/>
  <c r="AG32" i="9"/>
  <c r="AD37" i="21" s="1"/>
  <c r="AF32" i="9"/>
  <c r="AD36" i="21" s="1"/>
  <c r="AE32" i="9"/>
  <c r="AD35" i="21" s="1"/>
  <c r="AD32" i="9"/>
  <c r="AD34" i="21" s="1"/>
  <c r="AC32" i="9"/>
  <c r="AD33" i="21" s="1"/>
  <c r="AB32" i="9"/>
  <c r="AD32" i="21" s="1"/>
  <c r="AA32" i="9"/>
  <c r="AD31" i="21" s="1"/>
  <c r="Z32" i="9"/>
  <c r="AD30" i="21" s="1"/>
  <c r="Y32" i="9"/>
  <c r="AD29" i="21" s="1"/>
  <c r="X32" i="9"/>
  <c r="AD28" i="21" s="1"/>
  <c r="W32" i="9"/>
  <c r="AD27" i="21" s="1"/>
  <c r="V32" i="9"/>
  <c r="AD26" i="21" s="1"/>
  <c r="U32" i="9"/>
  <c r="AD25" i="21" s="1"/>
  <c r="T32" i="9"/>
  <c r="AD24" i="21" s="1"/>
  <c r="S32" i="9"/>
  <c r="AD23" i="21" s="1"/>
  <c r="R32" i="9"/>
  <c r="AD22" i="21" s="1"/>
  <c r="Q32" i="9"/>
  <c r="AD21" i="21" s="1"/>
  <c r="P32" i="9"/>
  <c r="AD20" i="21" s="1"/>
  <c r="O32" i="9"/>
  <c r="AD19" i="21" s="1"/>
  <c r="N32" i="9"/>
  <c r="AD18" i="21" s="1"/>
  <c r="M32" i="9"/>
  <c r="AD17" i="21" s="1"/>
  <c r="L32" i="9"/>
  <c r="AD16" i="21" s="1"/>
  <c r="K32" i="9"/>
  <c r="AD15" i="21" s="1"/>
  <c r="J32" i="9"/>
  <c r="AD14" i="21" s="1"/>
  <c r="I32" i="9"/>
  <c r="AD13" i="21" s="1"/>
  <c r="H32" i="9"/>
  <c r="AD12" i="21" s="1"/>
  <c r="G32" i="9"/>
  <c r="AD11" i="21" s="1"/>
  <c r="F32" i="9"/>
  <c r="AD10" i="21" s="1"/>
  <c r="E32" i="9"/>
  <c r="AD9" i="21" s="1"/>
  <c r="D32" i="9"/>
  <c r="AD8" i="21" s="1"/>
  <c r="AY31" i="9"/>
  <c r="AO31" i="9" s="1"/>
  <c r="AC45" i="21" s="1"/>
  <c r="AX31" i="9"/>
  <c r="AN31" i="9" s="1"/>
  <c r="AC44" i="21" s="1"/>
  <c r="AW31" i="9"/>
  <c r="AM31" i="9" s="1"/>
  <c r="AC43" i="21" s="1"/>
  <c r="AV31" i="9"/>
  <c r="AL31" i="9" s="1"/>
  <c r="AC42" i="21" s="1"/>
  <c r="AT31" i="9"/>
  <c r="AR31" i="9"/>
  <c r="AS31" i="9" s="1"/>
  <c r="AQ31" i="9"/>
  <c r="AU31" i="9" s="1"/>
  <c r="AK31" i="9" s="1"/>
  <c r="AC41" i="21" s="1"/>
  <c r="AJ31" i="9"/>
  <c r="AC40" i="21" s="1"/>
  <c r="AI31" i="9"/>
  <c r="AC39" i="21" s="1"/>
  <c r="AH31" i="9"/>
  <c r="AC38" i="21" s="1"/>
  <c r="AG31" i="9"/>
  <c r="AC37" i="21" s="1"/>
  <c r="AF31" i="9"/>
  <c r="AC36" i="21" s="1"/>
  <c r="AE31" i="9"/>
  <c r="AC35" i="21" s="1"/>
  <c r="AD31" i="9"/>
  <c r="AC34" i="21" s="1"/>
  <c r="AC31" i="9"/>
  <c r="AC33" i="21" s="1"/>
  <c r="AB31" i="9"/>
  <c r="AC32" i="21" s="1"/>
  <c r="AA31" i="9"/>
  <c r="AC31" i="21" s="1"/>
  <c r="Z31" i="9"/>
  <c r="AC30" i="21" s="1"/>
  <c r="Y31" i="9"/>
  <c r="AC29" i="21" s="1"/>
  <c r="X31" i="9"/>
  <c r="AC28" i="21" s="1"/>
  <c r="W31" i="9"/>
  <c r="AC27" i="21" s="1"/>
  <c r="V31" i="9"/>
  <c r="AC26" i="21" s="1"/>
  <c r="U31" i="9"/>
  <c r="AC25" i="21" s="1"/>
  <c r="T31" i="9"/>
  <c r="AC24" i="21" s="1"/>
  <c r="S31" i="9"/>
  <c r="AC23" i="21" s="1"/>
  <c r="R31" i="9"/>
  <c r="AC22" i="21" s="1"/>
  <c r="Q31" i="9"/>
  <c r="AC21" i="21" s="1"/>
  <c r="P31" i="9"/>
  <c r="AC20" i="21" s="1"/>
  <c r="O31" i="9"/>
  <c r="AC19" i="21" s="1"/>
  <c r="N31" i="9"/>
  <c r="AC18" i="21" s="1"/>
  <c r="M31" i="9"/>
  <c r="AC17" i="21" s="1"/>
  <c r="L31" i="9"/>
  <c r="AC16" i="21" s="1"/>
  <c r="K31" i="9"/>
  <c r="AC15" i="21" s="1"/>
  <c r="J31" i="9"/>
  <c r="AC14" i="21" s="1"/>
  <c r="I31" i="9"/>
  <c r="AC13" i="21" s="1"/>
  <c r="H31" i="9"/>
  <c r="AC12" i="21" s="1"/>
  <c r="G31" i="9"/>
  <c r="AC11" i="21" s="1"/>
  <c r="F31" i="9"/>
  <c r="AC10" i="21" s="1"/>
  <c r="E31" i="9"/>
  <c r="AC9" i="21" s="1"/>
  <c r="D31" i="9"/>
  <c r="AC8" i="21" s="1"/>
  <c r="AY30" i="9"/>
  <c r="AX30" i="9"/>
  <c r="AW30" i="9"/>
  <c r="AQ30" i="9"/>
  <c r="AT30" i="9" s="1"/>
  <c r="AO30" i="9"/>
  <c r="AB45" i="21" s="1"/>
  <c r="AN30" i="9"/>
  <c r="AB44" i="21" s="1"/>
  <c r="AM30" i="9"/>
  <c r="AB43" i="21" s="1"/>
  <c r="AH30" i="9"/>
  <c r="AB38" i="21" s="1"/>
  <c r="AG30" i="9"/>
  <c r="AB37" i="21" s="1"/>
  <c r="AF30" i="9"/>
  <c r="AB36" i="21" s="1"/>
  <c r="AE30" i="9"/>
  <c r="AB35" i="21" s="1"/>
  <c r="AD30" i="9"/>
  <c r="AB34" i="21" s="1"/>
  <c r="AC30" i="9"/>
  <c r="AB33" i="21" s="1"/>
  <c r="AB30" i="9"/>
  <c r="AB32" i="21" s="1"/>
  <c r="AA30" i="9"/>
  <c r="AB31" i="21" s="1"/>
  <c r="Z30" i="9"/>
  <c r="AB30" i="21" s="1"/>
  <c r="Y30" i="9"/>
  <c r="AB29" i="21" s="1"/>
  <c r="X30" i="9"/>
  <c r="AB28" i="21" s="1"/>
  <c r="W30" i="9"/>
  <c r="AB27" i="21" s="1"/>
  <c r="V30" i="9"/>
  <c r="AB26" i="21" s="1"/>
  <c r="U30" i="9"/>
  <c r="AB25" i="21" s="1"/>
  <c r="T30" i="9"/>
  <c r="AB24" i="21" s="1"/>
  <c r="S30" i="9"/>
  <c r="AB23" i="21" s="1"/>
  <c r="R30" i="9"/>
  <c r="AB22" i="21" s="1"/>
  <c r="Q30" i="9"/>
  <c r="AB21" i="21" s="1"/>
  <c r="P30" i="9"/>
  <c r="AB20" i="21" s="1"/>
  <c r="O30" i="9"/>
  <c r="AB19" i="21" s="1"/>
  <c r="N30" i="9"/>
  <c r="AB18" i="21" s="1"/>
  <c r="M30" i="9"/>
  <c r="AB17" i="21" s="1"/>
  <c r="L30" i="9"/>
  <c r="AB16" i="21" s="1"/>
  <c r="K30" i="9"/>
  <c r="AB15" i="21" s="1"/>
  <c r="J30" i="9"/>
  <c r="AB14" i="21" s="1"/>
  <c r="I30" i="9"/>
  <c r="AB13" i="21" s="1"/>
  <c r="H30" i="9"/>
  <c r="AB12" i="21" s="1"/>
  <c r="G30" i="9"/>
  <c r="AB11" i="21" s="1"/>
  <c r="F30" i="9"/>
  <c r="AB10" i="21" s="1"/>
  <c r="E30" i="9"/>
  <c r="AB9" i="21" s="1"/>
  <c r="D30" i="9"/>
  <c r="AB8" i="21" s="1"/>
  <c r="AY29" i="9"/>
  <c r="AX29" i="9"/>
  <c r="AW29" i="9"/>
  <c r="AV29" i="9"/>
  <c r="AL29" i="9" s="1"/>
  <c r="AA42" i="21" s="1"/>
  <c r="AU29" i="9"/>
  <c r="AK29" i="9" s="1"/>
  <c r="AA41" i="21" s="1"/>
  <c r="AT29" i="9"/>
  <c r="AS29" i="9"/>
  <c r="AR29" i="9"/>
  <c r="AQ29" i="9"/>
  <c r="AO29" i="9"/>
  <c r="AA45" i="21" s="1"/>
  <c r="AN29" i="9"/>
  <c r="AA44" i="21" s="1"/>
  <c r="AM29" i="9"/>
  <c r="AA43" i="21" s="1"/>
  <c r="AG29" i="9"/>
  <c r="AA37" i="21" s="1"/>
  <c r="AF29" i="9"/>
  <c r="AA36" i="21" s="1"/>
  <c r="AE29" i="9"/>
  <c r="AA35" i="21" s="1"/>
  <c r="AD29" i="9"/>
  <c r="AA34" i="21" s="1"/>
  <c r="AC29" i="9"/>
  <c r="AA33" i="21" s="1"/>
  <c r="AB29" i="9"/>
  <c r="AA32" i="21" s="1"/>
  <c r="AA29" i="9"/>
  <c r="AA31" i="21" s="1"/>
  <c r="Z29" i="9"/>
  <c r="AA30" i="21" s="1"/>
  <c r="Y29" i="9"/>
  <c r="AA29" i="21" s="1"/>
  <c r="X29" i="9"/>
  <c r="AA28" i="21" s="1"/>
  <c r="W29" i="9"/>
  <c r="AA27" i="21" s="1"/>
  <c r="V29" i="9"/>
  <c r="AA26" i="21" s="1"/>
  <c r="U29" i="9"/>
  <c r="AA25" i="21" s="1"/>
  <c r="T29" i="9"/>
  <c r="AA24" i="21" s="1"/>
  <c r="S29" i="9"/>
  <c r="AA23" i="21" s="1"/>
  <c r="R29" i="9"/>
  <c r="AA22" i="21" s="1"/>
  <c r="Q29" i="9"/>
  <c r="AA21" i="21" s="1"/>
  <c r="P29" i="9"/>
  <c r="AA20" i="21" s="1"/>
  <c r="O29" i="9"/>
  <c r="AA19" i="21" s="1"/>
  <c r="N29" i="9"/>
  <c r="AA18" i="21" s="1"/>
  <c r="M29" i="9"/>
  <c r="AA17" i="21" s="1"/>
  <c r="L29" i="9"/>
  <c r="AA16" i="21" s="1"/>
  <c r="K29" i="9"/>
  <c r="AA15" i="21" s="1"/>
  <c r="J29" i="9"/>
  <c r="AA14" i="21" s="1"/>
  <c r="I29" i="9"/>
  <c r="AA13" i="21" s="1"/>
  <c r="H29" i="9"/>
  <c r="AA12" i="21" s="1"/>
  <c r="G29" i="9"/>
  <c r="AA11" i="21" s="1"/>
  <c r="F29" i="9"/>
  <c r="AA10" i="21" s="1"/>
  <c r="E29" i="9"/>
  <c r="AA9" i="21" s="1"/>
  <c r="D29" i="9"/>
  <c r="AA8" i="21" s="1"/>
  <c r="AY28" i="9"/>
  <c r="AO28" i="9" s="1"/>
  <c r="Z45" i="21" s="1"/>
  <c r="AX28" i="9"/>
  <c r="AN28" i="9" s="1"/>
  <c r="Z44" i="21" s="1"/>
  <c r="AW28" i="9"/>
  <c r="AM28" i="9" s="1"/>
  <c r="Z43" i="21" s="1"/>
  <c r="AV28" i="9"/>
  <c r="AU28" i="9"/>
  <c r="AT28" i="9"/>
  <c r="AS28" i="9"/>
  <c r="AR28" i="9"/>
  <c r="AQ28" i="9"/>
  <c r="AL28" i="9"/>
  <c r="Z42" i="21" s="1"/>
  <c r="AK28" i="9"/>
  <c r="Z41" i="21" s="1"/>
  <c r="AJ28" i="9"/>
  <c r="Z40" i="21" s="1"/>
  <c r="AI28" i="9"/>
  <c r="Z39" i="21" s="1"/>
  <c r="AH28" i="9"/>
  <c r="Z38" i="21" s="1"/>
  <c r="AG28" i="9"/>
  <c r="Z37" i="21" s="1"/>
  <c r="AF28" i="9"/>
  <c r="Z36" i="21" s="1"/>
  <c r="AE28" i="9"/>
  <c r="Z35" i="21" s="1"/>
  <c r="AD28" i="9"/>
  <c r="Z34" i="21" s="1"/>
  <c r="AC28" i="9"/>
  <c r="Z33" i="21" s="1"/>
  <c r="AB28" i="9"/>
  <c r="Z32" i="21" s="1"/>
  <c r="AA28" i="9"/>
  <c r="Z31" i="21" s="1"/>
  <c r="Z28" i="9"/>
  <c r="Z30" i="21" s="1"/>
  <c r="Y28" i="9"/>
  <c r="Z29" i="21" s="1"/>
  <c r="X28" i="9"/>
  <c r="Z28" i="21" s="1"/>
  <c r="W28" i="9"/>
  <c r="Z27" i="21" s="1"/>
  <c r="V28" i="9"/>
  <c r="Z26" i="21" s="1"/>
  <c r="U28" i="9"/>
  <c r="Z25" i="21" s="1"/>
  <c r="T28" i="9"/>
  <c r="Z24" i="21" s="1"/>
  <c r="S28" i="9"/>
  <c r="Z23" i="21" s="1"/>
  <c r="R28" i="9"/>
  <c r="Z22" i="21" s="1"/>
  <c r="Q28" i="9"/>
  <c r="Z21" i="21" s="1"/>
  <c r="P28" i="9"/>
  <c r="Z20" i="21" s="1"/>
  <c r="O28" i="9"/>
  <c r="Z19" i="21" s="1"/>
  <c r="N28" i="9"/>
  <c r="Z18" i="21" s="1"/>
  <c r="M28" i="9"/>
  <c r="Z17" i="21" s="1"/>
  <c r="L28" i="9"/>
  <c r="Z16" i="21" s="1"/>
  <c r="K28" i="9"/>
  <c r="Z15" i="21" s="1"/>
  <c r="J28" i="9"/>
  <c r="Z14" i="21" s="1"/>
  <c r="I28" i="9"/>
  <c r="Z13" i="21" s="1"/>
  <c r="H28" i="9"/>
  <c r="Z12" i="21" s="1"/>
  <c r="G28" i="9"/>
  <c r="Z11" i="21" s="1"/>
  <c r="F28" i="9"/>
  <c r="Z10" i="21" s="1"/>
  <c r="E28" i="9"/>
  <c r="Z9" i="21" s="1"/>
  <c r="D28" i="9"/>
  <c r="Z8" i="21" s="1"/>
  <c r="AQ27" i="9"/>
  <c r="AG27" i="9"/>
  <c r="Y37" i="21" s="1"/>
  <c r="AF27" i="9"/>
  <c r="Y36" i="21" s="1"/>
  <c r="AE27" i="9"/>
  <c r="Y35" i="21" s="1"/>
  <c r="AD27" i="9"/>
  <c r="Y34" i="21" s="1"/>
  <c r="AC27" i="9"/>
  <c r="Y33" i="21" s="1"/>
  <c r="AB27" i="9"/>
  <c r="Y32" i="21" s="1"/>
  <c r="AA27" i="9"/>
  <c r="Y31" i="21" s="1"/>
  <c r="Z27" i="9"/>
  <c r="Y30" i="21" s="1"/>
  <c r="Y27" i="9"/>
  <c r="Y29" i="21" s="1"/>
  <c r="X27" i="9"/>
  <c r="Y28" i="21" s="1"/>
  <c r="W27" i="9"/>
  <c r="Y27" i="21" s="1"/>
  <c r="V27" i="9"/>
  <c r="Y26" i="21" s="1"/>
  <c r="U27" i="9"/>
  <c r="Y25" i="21" s="1"/>
  <c r="T27" i="9"/>
  <c r="Y24" i="21" s="1"/>
  <c r="S27" i="9"/>
  <c r="Y23" i="21" s="1"/>
  <c r="R27" i="9"/>
  <c r="Y22" i="21" s="1"/>
  <c r="Q27" i="9"/>
  <c r="Y21" i="21" s="1"/>
  <c r="P27" i="9"/>
  <c r="Y20" i="21" s="1"/>
  <c r="O27" i="9"/>
  <c r="Y19" i="21" s="1"/>
  <c r="N27" i="9"/>
  <c r="Y18" i="21" s="1"/>
  <c r="M27" i="9"/>
  <c r="Y17" i="21" s="1"/>
  <c r="L27" i="9"/>
  <c r="Y16" i="21" s="1"/>
  <c r="K27" i="9"/>
  <c r="Y15" i="21" s="1"/>
  <c r="J27" i="9"/>
  <c r="Y14" i="21" s="1"/>
  <c r="I27" i="9"/>
  <c r="Y13" i="21" s="1"/>
  <c r="H27" i="9"/>
  <c r="Y12" i="21" s="1"/>
  <c r="G27" i="9"/>
  <c r="Y11" i="21" s="1"/>
  <c r="F27" i="9"/>
  <c r="Y10" i="21" s="1"/>
  <c r="E27" i="9"/>
  <c r="Y9" i="21" s="1"/>
  <c r="D27" i="9"/>
  <c r="Y8" i="21" s="1"/>
  <c r="AQ26" i="9"/>
  <c r="AG26" i="9"/>
  <c r="X37" i="21" s="1"/>
  <c r="AF26" i="9"/>
  <c r="X36" i="21" s="1"/>
  <c r="AE26" i="9"/>
  <c r="X35" i="21" s="1"/>
  <c r="AD26" i="9"/>
  <c r="X34" i="21" s="1"/>
  <c r="AC26" i="9"/>
  <c r="X33" i="21" s="1"/>
  <c r="AB26" i="9"/>
  <c r="X32" i="21" s="1"/>
  <c r="AA26" i="9"/>
  <c r="X31" i="21" s="1"/>
  <c r="Z26" i="9"/>
  <c r="X30" i="21" s="1"/>
  <c r="Y26" i="9"/>
  <c r="X29" i="21" s="1"/>
  <c r="X26" i="9"/>
  <c r="X28" i="21" s="1"/>
  <c r="W26" i="9"/>
  <c r="X27" i="21" s="1"/>
  <c r="V26" i="9"/>
  <c r="X26" i="21" s="1"/>
  <c r="U26" i="9"/>
  <c r="X25" i="21" s="1"/>
  <c r="T26" i="9"/>
  <c r="X24" i="21" s="1"/>
  <c r="S26" i="9"/>
  <c r="X23" i="21" s="1"/>
  <c r="R26" i="9"/>
  <c r="X22" i="21" s="1"/>
  <c r="Q26" i="9"/>
  <c r="X21" i="21" s="1"/>
  <c r="P26" i="9"/>
  <c r="X20" i="21" s="1"/>
  <c r="O26" i="9"/>
  <c r="X19" i="21" s="1"/>
  <c r="N26" i="9"/>
  <c r="X18" i="21" s="1"/>
  <c r="M26" i="9"/>
  <c r="X17" i="21" s="1"/>
  <c r="L26" i="9"/>
  <c r="X16" i="21" s="1"/>
  <c r="K26" i="9"/>
  <c r="X15" i="21" s="1"/>
  <c r="J26" i="9"/>
  <c r="X14" i="21" s="1"/>
  <c r="I26" i="9"/>
  <c r="X13" i="21" s="1"/>
  <c r="H26" i="9"/>
  <c r="X12" i="21" s="1"/>
  <c r="G26" i="9"/>
  <c r="X11" i="21" s="1"/>
  <c r="F26" i="9"/>
  <c r="X10" i="21" s="1"/>
  <c r="E26" i="9"/>
  <c r="X9" i="21" s="1"/>
  <c r="D26" i="9"/>
  <c r="X8" i="21" s="1"/>
  <c r="AY25" i="9"/>
  <c r="AO25" i="9" s="1"/>
  <c r="W45" i="21" s="1"/>
  <c r="AX25" i="9"/>
  <c r="AN25" i="9" s="1"/>
  <c r="W44" i="21" s="1"/>
  <c r="AV25" i="9"/>
  <c r="AL25" i="9" s="1"/>
  <c r="W42" i="21" s="1"/>
  <c r="AU25" i="9"/>
  <c r="AT25" i="9"/>
  <c r="AQ25" i="9"/>
  <c r="AW25" i="9" s="1"/>
  <c r="AM25" i="9" s="1"/>
  <c r="W43" i="21" s="1"/>
  <c r="AK25" i="9"/>
  <c r="W41" i="21" s="1"/>
  <c r="AJ25" i="9"/>
  <c r="W40" i="21" s="1"/>
  <c r="AG25" i="9"/>
  <c r="W37" i="21" s="1"/>
  <c r="AF25" i="9"/>
  <c r="W36" i="21" s="1"/>
  <c r="AE25" i="9"/>
  <c r="W35" i="21" s="1"/>
  <c r="AD25" i="9"/>
  <c r="W34" i="21" s="1"/>
  <c r="AC25" i="9"/>
  <c r="W33" i="21" s="1"/>
  <c r="AB25" i="9"/>
  <c r="W32" i="21" s="1"/>
  <c r="AA25" i="9"/>
  <c r="W31" i="21" s="1"/>
  <c r="Z25" i="9"/>
  <c r="W30" i="21" s="1"/>
  <c r="Y25" i="9"/>
  <c r="W29" i="21" s="1"/>
  <c r="X25" i="9"/>
  <c r="W28" i="21" s="1"/>
  <c r="W25" i="9"/>
  <c r="W27" i="21" s="1"/>
  <c r="V25" i="9"/>
  <c r="W26" i="21" s="1"/>
  <c r="U25" i="9"/>
  <c r="W25" i="21" s="1"/>
  <c r="T25" i="9"/>
  <c r="W24" i="21" s="1"/>
  <c r="S25" i="9"/>
  <c r="W23" i="21" s="1"/>
  <c r="R25" i="9"/>
  <c r="W22" i="21" s="1"/>
  <c r="Q25" i="9"/>
  <c r="W21" i="21" s="1"/>
  <c r="P25" i="9"/>
  <c r="W20" i="21" s="1"/>
  <c r="O25" i="9"/>
  <c r="W19" i="21" s="1"/>
  <c r="N25" i="9"/>
  <c r="W18" i="21" s="1"/>
  <c r="M25" i="9"/>
  <c r="W17" i="21" s="1"/>
  <c r="L25" i="9"/>
  <c r="W16" i="21" s="1"/>
  <c r="K25" i="9"/>
  <c r="W15" i="21" s="1"/>
  <c r="J25" i="9"/>
  <c r="W14" i="21" s="1"/>
  <c r="I25" i="9"/>
  <c r="W13" i="21" s="1"/>
  <c r="H25" i="9"/>
  <c r="W12" i="21" s="1"/>
  <c r="G25" i="9"/>
  <c r="W11" i="21" s="1"/>
  <c r="F25" i="9"/>
  <c r="W10" i="21" s="1"/>
  <c r="E25" i="9"/>
  <c r="W9" i="21" s="1"/>
  <c r="D25" i="9"/>
  <c r="W8" i="21" s="1"/>
  <c r="AY24" i="9"/>
  <c r="AO24" i="9" s="1"/>
  <c r="V45" i="21" s="1"/>
  <c r="AQ24" i="9"/>
  <c r="AG24" i="9"/>
  <c r="V37" i="21" s="1"/>
  <c r="AF24" i="9"/>
  <c r="V36" i="21" s="1"/>
  <c r="AE24" i="9"/>
  <c r="V35" i="21" s="1"/>
  <c r="AD24" i="9"/>
  <c r="V34" i="21" s="1"/>
  <c r="AC24" i="9"/>
  <c r="V33" i="21" s="1"/>
  <c r="AB24" i="9"/>
  <c r="V32" i="21" s="1"/>
  <c r="AA24" i="9"/>
  <c r="V31" i="21" s="1"/>
  <c r="Z24" i="9"/>
  <c r="V30" i="21" s="1"/>
  <c r="Y24" i="9"/>
  <c r="V29" i="21" s="1"/>
  <c r="X24" i="9"/>
  <c r="V28" i="21" s="1"/>
  <c r="W24" i="9"/>
  <c r="V27" i="21" s="1"/>
  <c r="V24" i="9"/>
  <c r="V26" i="21" s="1"/>
  <c r="U24" i="9"/>
  <c r="V25" i="21" s="1"/>
  <c r="T24" i="9"/>
  <c r="V24" i="21" s="1"/>
  <c r="S24" i="9"/>
  <c r="V23" i="21" s="1"/>
  <c r="R24" i="9"/>
  <c r="V22" i="21" s="1"/>
  <c r="Q24" i="9"/>
  <c r="V21" i="21" s="1"/>
  <c r="P24" i="9"/>
  <c r="V20" i="21" s="1"/>
  <c r="O24" i="9"/>
  <c r="V19" i="21" s="1"/>
  <c r="N24" i="9"/>
  <c r="V18" i="21" s="1"/>
  <c r="M24" i="9"/>
  <c r="V17" i="21" s="1"/>
  <c r="L24" i="9"/>
  <c r="V16" i="21" s="1"/>
  <c r="K24" i="9"/>
  <c r="V15" i="21" s="1"/>
  <c r="J24" i="9"/>
  <c r="V14" i="21" s="1"/>
  <c r="I24" i="9"/>
  <c r="V13" i="21" s="1"/>
  <c r="H24" i="9"/>
  <c r="V12" i="21" s="1"/>
  <c r="G24" i="9"/>
  <c r="V11" i="21" s="1"/>
  <c r="F24" i="9"/>
  <c r="V10" i="21" s="1"/>
  <c r="E24" i="9"/>
  <c r="V9" i="21" s="1"/>
  <c r="D24" i="9"/>
  <c r="V8" i="21" s="1"/>
  <c r="AQ23" i="9"/>
  <c r="AG23" i="9"/>
  <c r="U37" i="21" s="1"/>
  <c r="AF23" i="9"/>
  <c r="U36" i="21" s="1"/>
  <c r="AE23" i="9"/>
  <c r="U35" i="21" s="1"/>
  <c r="AD23" i="9"/>
  <c r="U34" i="21" s="1"/>
  <c r="AC23" i="9"/>
  <c r="U33" i="21" s="1"/>
  <c r="AB23" i="9"/>
  <c r="U32" i="21" s="1"/>
  <c r="AA23" i="9"/>
  <c r="U31" i="21" s="1"/>
  <c r="Z23" i="9"/>
  <c r="U30" i="21" s="1"/>
  <c r="Y23" i="9"/>
  <c r="U29" i="21" s="1"/>
  <c r="X23" i="9"/>
  <c r="U28" i="21" s="1"/>
  <c r="W23" i="9"/>
  <c r="U27" i="21" s="1"/>
  <c r="V23" i="9"/>
  <c r="U26" i="21" s="1"/>
  <c r="U23" i="9"/>
  <c r="U25" i="21" s="1"/>
  <c r="T23" i="9"/>
  <c r="U24" i="21" s="1"/>
  <c r="S23" i="9"/>
  <c r="U23" i="21" s="1"/>
  <c r="R23" i="9"/>
  <c r="U22" i="21" s="1"/>
  <c r="Q23" i="9"/>
  <c r="U21" i="21" s="1"/>
  <c r="P23" i="9"/>
  <c r="U20" i="21" s="1"/>
  <c r="O23" i="9"/>
  <c r="U19" i="21" s="1"/>
  <c r="N23" i="9"/>
  <c r="U18" i="21" s="1"/>
  <c r="M23" i="9"/>
  <c r="U17" i="21" s="1"/>
  <c r="L23" i="9"/>
  <c r="U16" i="21" s="1"/>
  <c r="K23" i="9"/>
  <c r="U15" i="21" s="1"/>
  <c r="J23" i="9"/>
  <c r="U14" i="21" s="1"/>
  <c r="I23" i="9"/>
  <c r="U13" i="21" s="1"/>
  <c r="H23" i="9"/>
  <c r="U12" i="21" s="1"/>
  <c r="G23" i="9"/>
  <c r="U11" i="21" s="1"/>
  <c r="F23" i="9"/>
  <c r="U10" i="21" s="1"/>
  <c r="E23" i="9"/>
  <c r="U9" i="21" s="1"/>
  <c r="D23" i="9"/>
  <c r="U8" i="21" s="1"/>
  <c r="AY22" i="9"/>
  <c r="AO22" i="9" s="1"/>
  <c r="T45" i="21" s="1"/>
  <c r="AW22" i="9"/>
  <c r="AM22" i="9" s="1"/>
  <c r="T43" i="21" s="1"/>
  <c r="AV22" i="9"/>
  <c r="AL22" i="9" s="1"/>
  <c r="T42" i="21" s="1"/>
  <c r="AU22" i="9"/>
  <c r="AR22" i="9"/>
  <c r="AS22" i="9" s="1"/>
  <c r="AQ22" i="9"/>
  <c r="AX22" i="9" s="1"/>
  <c r="AN22" i="9" s="1"/>
  <c r="T44" i="21" s="1"/>
  <c r="AK22" i="9"/>
  <c r="T41" i="21" s="1"/>
  <c r="AG22" i="9"/>
  <c r="T37" i="21" s="1"/>
  <c r="AF22" i="9"/>
  <c r="T36" i="21" s="1"/>
  <c r="AE22" i="9"/>
  <c r="T35" i="21" s="1"/>
  <c r="AD22" i="9"/>
  <c r="T34" i="21" s="1"/>
  <c r="AC22" i="9"/>
  <c r="T33" i="21" s="1"/>
  <c r="AB22" i="9"/>
  <c r="T32" i="21" s="1"/>
  <c r="AA22" i="9"/>
  <c r="T31" i="21" s="1"/>
  <c r="Z22" i="9"/>
  <c r="T30" i="21" s="1"/>
  <c r="Y22" i="9"/>
  <c r="T29" i="21" s="1"/>
  <c r="X22" i="9"/>
  <c r="T28" i="21" s="1"/>
  <c r="W22" i="9"/>
  <c r="T27" i="21" s="1"/>
  <c r="V22" i="9"/>
  <c r="T26" i="21" s="1"/>
  <c r="U22" i="9"/>
  <c r="T25" i="21" s="1"/>
  <c r="T22" i="9"/>
  <c r="T24" i="21" s="1"/>
  <c r="S22" i="9"/>
  <c r="T23" i="21" s="1"/>
  <c r="R22" i="9"/>
  <c r="T22" i="21" s="1"/>
  <c r="Q22" i="9"/>
  <c r="T21" i="21" s="1"/>
  <c r="P22" i="9"/>
  <c r="T20" i="21" s="1"/>
  <c r="O22" i="9"/>
  <c r="T19" i="21" s="1"/>
  <c r="N22" i="9"/>
  <c r="T18" i="21" s="1"/>
  <c r="M22" i="9"/>
  <c r="T17" i="21" s="1"/>
  <c r="L22" i="9"/>
  <c r="T16" i="21" s="1"/>
  <c r="K22" i="9"/>
  <c r="T15" i="21" s="1"/>
  <c r="J22" i="9"/>
  <c r="T14" i="21" s="1"/>
  <c r="I22" i="9"/>
  <c r="T13" i="21" s="1"/>
  <c r="H22" i="9"/>
  <c r="T12" i="21" s="1"/>
  <c r="G22" i="9"/>
  <c r="T11" i="21" s="1"/>
  <c r="F22" i="9"/>
  <c r="T10" i="21" s="1"/>
  <c r="E22" i="9"/>
  <c r="T9" i="21" s="1"/>
  <c r="D22" i="9"/>
  <c r="T8" i="21" s="1"/>
  <c r="AQ21" i="9"/>
  <c r="AG21" i="9"/>
  <c r="S37" i="21" s="1"/>
  <c r="AF21" i="9"/>
  <c r="S36" i="21" s="1"/>
  <c r="AE21" i="9"/>
  <c r="S35" i="21" s="1"/>
  <c r="AD21" i="9"/>
  <c r="S34" i="21" s="1"/>
  <c r="AC21" i="9"/>
  <c r="S33" i="21" s="1"/>
  <c r="AB21" i="9"/>
  <c r="S32" i="21" s="1"/>
  <c r="AA21" i="9"/>
  <c r="S31" i="21" s="1"/>
  <c r="Z21" i="9"/>
  <c r="S30" i="21" s="1"/>
  <c r="Y21" i="9"/>
  <c r="S29" i="21" s="1"/>
  <c r="X21" i="9"/>
  <c r="S28" i="21" s="1"/>
  <c r="W21" i="9"/>
  <c r="S27" i="21" s="1"/>
  <c r="V21" i="9"/>
  <c r="S26" i="21" s="1"/>
  <c r="U21" i="9"/>
  <c r="S25" i="21" s="1"/>
  <c r="T21" i="9"/>
  <c r="S24" i="21" s="1"/>
  <c r="S21" i="9"/>
  <c r="S23" i="21" s="1"/>
  <c r="R21" i="9"/>
  <c r="S22" i="21" s="1"/>
  <c r="Q21" i="9"/>
  <c r="S21" i="21" s="1"/>
  <c r="P21" i="9"/>
  <c r="S20" i="21" s="1"/>
  <c r="O21" i="9"/>
  <c r="S19" i="21" s="1"/>
  <c r="N21" i="9"/>
  <c r="S18" i="21" s="1"/>
  <c r="M21" i="9"/>
  <c r="S17" i="21" s="1"/>
  <c r="L21" i="9"/>
  <c r="S16" i="21" s="1"/>
  <c r="K21" i="9"/>
  <c r="S15" i="21" s="1"/>
  <c r="J21" i="9"/>
  <c r="S14" i="21" s="1"/>
  <c r="I21" i="9"/>
  <c r="S13" i="21" s="1"/>
  <c r="H21" i="9"/>
  <c r="S12" i="21" s="1"/>
  <c r="G21" i="9"/>
  <c r="S11" i="21" s="1"/>
  <c r="F21" i="9"/>
  <c r="S10" i="21" s="1"/>
  <c r="E21" i="9"/>
  <c r="S9" i="21" s="1"/>
  <c r="D21" i="9"/>
  <c r="S8" i="21" s="1"/>
  <c r="AX20" i="9"/>
  <c r="AN20" i="9" s="1"/>
  <c r="R44" i="21" s="1"/>
  <c r="AW20" i="9"/>
  <c r="AM20" i="9" s="1"/>
  <c r="R43" i="21" s="1"/>
  <c r="AV20" i="9"/>
  <c r="AL20" i="9" s="1"/>
  <c r="R42" i="21" s="1"/>
  <c r="AR20" i="9"/>
  <c r="AS20" i="9" s="1"/>
  <c r="AQ20" i="9"/>
  <c r="AG20" i="9"/>
  <c r="R37" i="21" s="1"/>
  <c r="AF20" i="9"/>
  <c r="R36" i="21" s="1"/>
  <c r="AE20" i="9"/>
  <c r="R35" i="21" s="1"/>
  <c r="AD20" i="9"/>
  <c r="R34" i="21" s="1"/>
  <c r="AC20" i="9"/>
  <c r="R33" i="21" s="1"/>
  <c r="AB20" i="9"/>
  <c r="R32" i="21" s="1"/>
  <c r="AA20" i="9"/>
  <c r="R31" i="21" s="1"/>
  <c r="Z20" i="9"/>
  <c r="R30" i="21" s="1"/>
  <c r="Y20" i="9"/>
  <c r="R29" i="21" s="1"/>
  <c r="X20" i="9"/>
  <c r="R28" i="21" s="1"/>
  <c r="W20" i="9"/>
  <c r="R27" i="21" s="1"/>
  <c r="V20" i="9"/>
  <c r="R26" i="21" s="1"/>
  <c r="U20" i="9"/>
  <c r="R25" i="21" s="1"/>
  <c r="T20" i="9"/>
  <c r="R24" i="21" s="1"/>
  <c r="S20" i="9"/>
  <c r="R23" i="21" s="1"/>
  <c r="R20" i="9"/>
  <c r="R22" i="21" s="1"/>
  <c r="Q20" i="9"/>
  <c r="R21" i="21" s="1"/>
  <c r="P20" i="9"/>
  <c r="R20" i="21" s="1"/>
  <c r="O20" i="9"/>
  <c r="R19" i="21" s="1"/>
  <c r="N20" i="9"/>
  <c r="R18" i="21" s="1"/>
  <c r="M20" i="9"/>
  <c r="R17" i="21" s="1"/>
  <c r="L20" i="9"/>
  <c r="R16" i="21" s="1"/>
  <c r="K20" i="9"/>
  <c r="R15" i="21" s="1"/>
  <c r="J20" i="9"/>
  <c r="R14" i="21" s="1"/>
  <c r="I20" i="9"/>
  <c r="R13" i="21" s="1"/>
  <c r="H20" i="9"/>
  <c r="R12" i="21" s="1"/>
  <c r="G20" i="9"/>
  <c r="R11" i="21" s="1"/>
  <c r="F20" i="9"/>
  <c r="R10" i="21" s="1"/>
  <c r="E20" i="9"/>
  <c r="R9" i="21" s="1"/>
  <c r="D20" i="9"/>
  <c r="R8" i="21" s="1"/>
  <c r="AX19" i="9"/>
  <c r="AN19" i="9" s="1"/>
  <c r="Q44" i="21" s="1"/>
  <c r="AW19" i="9"/>
  <c r="AV19" i="9"/>
  <c r="AQ19" i="9"/>
  <c r="AR19" i="9" s="1"/>
  <c r="AS19" i="9" s="1"/>
  <c r="AM19" i="9"/>
  <c r="Q43" i="21" s="1"/>
  <c r="AL19" i="9"/>
  <c r="Q42" i="21" s="1"/>
  <c r="AG19" i="9"/>
  <c r="Q37" i="21" s="1"/>
  <c r="AF19" i="9"/>
  <c r="Q36" i="21" s="1"/>
  <c r="AE19" i="9"/>
  <c r="Q35" i="21" s="1"/>
  <c r="AD19" i="9"/>
  <c r="Q34" i="21" s="1"/>
  <c r="AC19" i="9"/>
  <c r="Q33" i="21" s="1"/>
  <c r="AB19" i="9"/>
  <c r="Q32" i="21" s="1"/>
  <c r="AA19" i="9"/>
  <c r="Q31" i="21" s="1"/>
  <c r="Z19" i="9"/>
  <c r="Q30" i="21" s="1"/>
  <c r="Y19" i="9"/>
  <c r="Q29" i="21" s="1"/>
  <c r="X19" i="9"/>
  <c r="Q28" i="21" s="1"/>
  <c r="W19" i="9"/>
  <c r="Q27" i="21" s="1"/>
  <c r="V19" i="9"/>
  <c r="Q26" i="21" s="1"/>
  <c r="U19" i="9"/>
  <c r="Q25" i="21" s="1"/>
  <c r="T19" i="9"/>
  <c r="Q24" i="21" s="1"/>
  <c r="S19" i="9"/>
  <c r="Q23" i="21" s="1"/>
  <c r="R19" i="9"/>
  <c r="Q22" i="21" s="1"/>
  <c r="Q19" i="9"/>
  <c r="Q21" i="21" s="1"/>
  <c r="P19" i="9"/>
  <c r="Q20" i="21" s="1"/>
  <c r="O19" i="9"/>
  <c r="Q19" i="21" s="1"/>
  <c r="N19" i="9"/>
  <c r="Q18" i="21" s="1"/>
  <c r="M19" i="9"/>
  <c r="Q17" i="21" s="1"/>
  <c r="L19" i="9"/>
  <c r="Q16" i="21" s="1"/>
  <c r="K19" i="9"/>
  <c r="Q15" i="21" s="1"/>
  <c r="J19" i="9"/>
  <c r="Q14" i="21" s="1"/>
  <c r="I19" i="9"/>
  <c r="Q13" i="21" s="1"/>
  <c r="H19" i="9"/>
  <c r="Q12" i="21" s="1"/>
  <c r="G19" i="9"/>
  <c r="Q11" i="21" s="1"/>
  <c r="F19" i="9"/>
  <c r="Q10" i="21" s="1"/>
  <c r="E19" i="9"/>
  <c r="Q9" i="21" s="1"/>
  <c r="D19" i="9"/>
  <c r="Q8" i="21" s="1"/>
  <c r="AT18" i="9"/>
  <c r="AS18" i="9"/>
  <c r="AR18" i="9"/>
  <c r="AQ18" i="9"/>
  <c r="AX18" i="9" s="1"/>
  <c r="AN18" i="9" s="1"/>
  <c r="P44" i="21" s="1"/>
  <c r="AG18" i="9"/>
  <c r="P37" i="21" s="1"/>
  <c r="AF18" i="9"/>
  <c r="P36" i="21" s="1"/>
  <c r="AE18" i="9"/>
  <c r="P35" i="21" s="1"/>
  <c r="AD18" i="9"/>
  <c r="P34" i="21" s="1"/>
  <c r="AC18" i="9"/>
  <c r="P33" i="21" s="1"/>
  <c r="AB18" i="9"/>
  <c r="P32" i="21" s="1"/>
  <c r="AA18" i="9"/>
  <c r="P31" i="21" s="1"/>
  <c r="Z18" i="9"/>
  <c r="P30" i="21" s="1"/>
  <c r="Y18" i="9"/>
  <c r="P29" i="21" s="1"/>
  <c r="X18" i="9"/>
  <c r="P28" i="21" s="1"/>
  <c r="W18" i="9"/>
  <c r="P27" i="21" s="1"/>
  <c r="V18" i="9"/>
  <c r="P26" i="21" s="1"/>
  <c r="U18" i="9"/>
  <c r="P25" i="21" s="1"/>
  <c r="T18" i="9"/>
  <c r="P24" i="21" s="1"/>
  <c r="S18" i="9"/>
  <c r="P23" i="21" s="1"/>
  <c r="R18" i="9"/>
  <c r="P22" i="21" s="1"/>
  <c r="Q18" i="9"/>
  <c r="P21" i="21" s="1"/>
  <c r="P18" i="9"/>
  <c r="P20" i="21" s="1"/>
  <c r="O18" i="9"/>
  <c r="P19" i="21" s="1"/>
  <c r="N18" i="9"/>
  <c r="P18" i="21" s="1"/>
  <c r="M18" i="9"/>
  <c r="P17" i="21" s="1"/>
  <c r="L18" i="9"/>
  <c r="P16" i="21" s="1"/>
  <c r="K18" i="9"/>
  <c r="P15" i="21" s="1"/>
  <c r="J18" i="9"/>
  <c r="P14" i="21" s="1"/>
  <c r="I18" i="9"/>
  <c r="P13" i="21" s="1"/>
  <c r="H18" i="9"/>
  <c r="P12" i="21" s="1"/>
  <c r="G18" i="9"/>
  <c r="P11" i="21" s="1"/>
  <c r="F18" i="9"/>
  <c r="P10" i="21" s="1"/>
  <c r="E18" i="9"/>
  <c r="P9" i="21" s="1"/>
  <c r="D18" i="9"/>
  <c r="P8" i="21" s="1"/>
  <c r="AY17" i="9"/>
  <c r="AO17" i="9" s="1"/>
  <c r="O45" i="21" s="1"/>
  <c r="AX17" i="9"/>
  <c r="AN17" i="9" s="1"/>
  <c r="O44" i="21" s="1"/>
  <c r="AW17" i="9"/>
  <c r="AM17" i="9" s="1"/>
  <c r="O43" i="21" s="1"/>
  <c r="AV17" i="9"/>
  <c r="AL17" i="9" s="1"/>
  <c r="O42" i="21" s="1"/>
  <c r="AT17" i="9"/>
  <c r="AI17" i="9" s="1"/>
  <c r="O39" i="21" s="1"/>
  <c r="AR17" i="9"/>
  <c r="AS17" i="9" s="1"/>
  <c r="AQ17" i="9"/>
  <c r="AU17" i="9" s="1"/>
  <c r="AK17" i="9" s="1"/>
  <c r="O41" i="21" s="1"/>
  <c r="AJ17" i="9"/>
  <c r="O40" i="21" s="1"/>
  <c r="AG17" i="9"/>
  <c r="O37" i="21" s="1"/>
  <c r="AF17" i="9"/>
  <c r="O36" i="21" s="1"/>
  <c r="AE17" i="9"/>
  <c r="O35" i="21" s="1"/>
  <c r="AD17" i="9"/>
  <c r="O34" i="21" s="1"/>
  <c r="AC17" i="9"/>
  <c r="O33" i="21" s="1"/>
  <c r="AB17" i="9"/>
  <c r="O32" i="21" s="1"/>
  <c r="AA17" i="9"/>
  <c r="O31" i="21" s="1"/>
  <c r="Z17" i="9"/>
  <c r="O30" i="21" s="1"/>
  <c r="Y17" i="9"/>
  <c r="O29" i="21" s="1"/>
  <c r="X17" i="9"/>
  <c r="O28" i="21" s="1"/>
  <c r="W17" i="9"/>
  <c r="O27" i="21" s="1"/>
  <c r="V17" i="9"/>
  <c r="O26" i="21" s="1"/>
  <c r="U17" i="9"/>
  <c r="O25" i="21" s="1"/>
  <c r="T17" i="9"/>
  <c r="O24" i="21" s="1"/>
  <c r="S17" i="9"/>
  <c r="O23" i="21" s="1"/>
  <c r="R17" i="9"/>
  <c r="O22" i="21" s="1"/>
  <c r="Q17" i="9"/>
  <c r="O21" i="21" s="1"/>
  <c r="P17" i="9"/>
  <c r="O20" i="21" s="1"/>
  <c r="O17" i="9"/>
  <c r="O19" i="21" s="1"/>
  <c r="N17" i="9"/>
  <c r="O18" i="21" s="1"/>
  <c r="M17" i="9"/>
  <c r="O17" i="21" s="1"/>
  <c r="L17" i="9"/>
  <c r="O16" i="21" s="1"/>
  <c r="K17" i="9"/>
  <c r="O15" i="21" s="1"/>
  <c r="J17" i="9"/>
  <c r="O14" i="21" s="1"/>
  <c r="I17" i="9"/>
  <c r="O13" i="21" s="1"/>
  <c r="H17" i="9"/>
  <c r="O12" i="21" s="1"/>
  <c r="G17" i="9"/>
  <c r="O11" i="21" s="1"/>
  <c r="F17" i="9"/>
  <c r="O10" i="21" s="1"/>
  <c r="E17" i="9"/>
  <c r="O9" i="21" s="1"/>
  <c r="D17" i="9"/>
  <c r="O8" i="21" s="1"/>
  <c r="AY16" i="9"/>
  <c r="AO16" i="9" s="1"/>
  <c r="N45" i="21" s="1"/>
  <c r="AX16" i="9"/>
  <c r="AN16" i="9" s="1"/>
  <c r="N44" i="21" s="1"/>
  <c r="AW16" i="9"/>
  <c r="AM16" i="9" s="1"/>
  <c r="N43" i="21" s="1"/>
  <c r="AQ16" i="9"/>
  <c r="AT16" i="9" s="1"/>
  <c r="AJ16" i="9" s="1"/>
  <c r="N40" i="21" s="1"/>
  <c r="AG16" i="9"/>
  <c r="N37" i="21" s="1"/>
  <c r="AF16" i="9"/>
  <c r="N36" i="21" s="1"/>
  <c r="AE16" i="9"/>
  <c r="N35" i="21" s="1"/>
  <c r="AD16" i="9"/>
  <c r="N34" i="21" s="1"/>
  <c r="AC16" i="9"/>
  <c r="N33" i="21" s="1"/>
  <c r="AB16" i="9"/>
  <c r="N32" i="21" s="1"/>
  <c r="AA16" i="9"/>
  <c r="N31" i="21" s="1"/>
  <c r="Z16" i="9"/>
  <c r="N30" i="21" s="1"/>
  <c r="Y16" i="9"/>
  <c r="N29" i="21" s="1"/>
  <c r="X16" i="9"/>
  <c r="N28" i="21" s="1"/>
  <c r="W16" i="9"/>
  <c r="N27" i="21" s="1"/>
  <c r="V16" i="9"/>
  <c r="N26" i="21" s="1"/>
  <c r="U16" i="9"/>
  <c r="N25" i="21" s="1"/>
  <c r="T16" i="9"/>
  <c r="N24" i="21" s="1"/>
  <c r="S16" i="9"/>
  <c r="N23" i="21" s="1"/>
  <c r="R16" i="9"/>
  <c r="N22" i="21" s="1"/>
  <c r="Q16" i="9"/>
  <c r="N21" i="21" s="1"/>
  <c r="P16" i="9"/>
  <c r="N20" i="21" s="1"/>
  <c r="O16" i="9"/>
  <c r="N19" i="21" s="1"/>
  <c r="N16" i="9"/>
  <c r="N18" i="21" s="1"/>
  <c r="M16" i="9"/>
  <c r="N17" i="21" s="1"/>
  <c r="L16" i="9"/>
  <c r="N16" i="21" s="1"/>
  <c r="K16" i="9"/>
  <c r="N15" i="21" s="1"/>
  <c r="J16" i="9"/>
  <c r="N14" i="21" s="1"/>
  <c r="I16" i="9"/>
  <c r="N13" i="21" s="1"/>
  <c r="H16" i="9"/>
  <c r="N12" i="21" s="1"/>
  <c r="G16" i="9"/>
  <c r="N11" i="21" s="1"/>
  <c r="F16" i="9"/>
  <c r="N10" i="21" s="1"/>
  <c r="E16" i="9"/>
  <c r="N9" i="21" s="1"/>
  <c r="D16" i="9"/>
  <c r="N8" i="21" s="1"/>
  <c r="AY15" i="9"/>
  <c r="AX15" i="9"/>
  <c r="AW15" i="9"/>
  <c r="AV15" i="9"/>
  <c r="AL15" i="9" s="1"/>
  <c r="M42" i="21" s="1"/>
  <c r="AU15" i="9"/>
  <c r="AK15" i="9" s="1"/>
  <c r="M41" i="21" s="1"/>
  <c r="AT15" i="9"/>
  <c r="AS15" i="9"/>
  <c r="AR15" i="9"/>
  <c r="AQ15" i="9"/>
  <c r="AO15" i="9"/>
  <c r="M45" i="21" s="1"/>
  <c r="AN15" i="9"/>
  <c r="M44" i="21" s="1"/>
  <c r="AM15" i="9"/>
  <c r="M43" i="21" s="1"/>
  <c r="AG15" i="9"/>
  <c r="M37" i="21" s="1"/>
  <c r="AF15" i="9"/>
  <c r="M36" i="21" s="1"/>
  <c r="AE15" i="9"/>
  <c r="M35" i="21" s="1"/>
  <c r="AD15" i="9"/>
  <c r="M34" i="21" s="1"/>
  <c r="AC15" i="9"/>
  <c r="M33" i="21" s="1"/>
  <c r="AB15" i="9"/>
  <c r="M32" i="21" s="1"/>
  <c r="AA15" i="9"/>
  <c r="M31" i="21" s="1"/>
  <c r="Z15" i="9"/>
  <c r="M30" i="21" s="1"/>
  <c r="Y15" i="9"/>
  <c r="M29" i="21" s="1"/>
  <c r="X15" i="9"/>
  <c r="M28" i="21" s="1"/>
  <c r="W15" i="9"/>
  <c r="M27" i="21" s="1"/>
  <c r="V15" i="9"/>
  <c r="M26" i="21" s="1"/>
  <c r="U15" i="9"/>
  <c r="M25" i="21" s="1"/>
  <c r="T15" i="9"/>
  <c r="M24" i="21" s="1"/>
  <c r="S15" i="9"/>
  <c r="M23" i="21" s="1"/>
  <c r="R15" i="9"/>
  <c r="M22" i="21" s="1"/>
  <c r="Q15" i="9"/>
  <c r="M21" i="21" s="1"/>
  <c r="P15" i="9"/>
  <c r="M20" i="21" s="1"/>
  <c r="O15" i="9"/>
  <c r="M19" i="21" s="1"/>
  <c r="N15" i="9"/>
  <c r="M18" i="21" s="1"/>
  <c r="M15" i="9"/>
  <c r="M17" i="21" s="1"/>
  <c r="L15" i="9"/>
  <c r="M16" i="21" s="1"/>
  <c r="K15" i="9"/>
  <c r="M15" i="21" s="1"/>
  <c r="J15" i="9"/>
  <c r="M14" i="21" s="1"/>
  <c r="I15" i="9"/>
  <c r="M13" i="21" s="1"/>
  <c r="H15" i="9"/>
  <c r="M12" i="21" s="1"/>
  <c r="G15" i="9"/>
  <c r="M11" i="21" s="1"/>
  <c r="F15" i="9"/>
  <c r="M10" i="21" s="1"/>
  <c r="E15" i="9"/>
  <c r="M9" i="21" s="1"/>
  <c r="D15" i="9"/>
  <c r="M8" i="21" s="1"/>
  <c r="AY14" i="9"/>
  <c r="AO14" i="9" s="1"/>
  <c r="L45" i="21" s="1"/>
  <c r="AX14" i="9"/>
  <c r="AN14" i="9" s="1"/>
  <c r="L44" i="21" s="1"/>
  <c r="AW14" i="9"/>
  <c r="AM14" i="9" s="1"/>
  <c r="L43" i="21" s="1"/>
  <c r="AU14" i="9"/>
  <c r="AK14" i="9" s="1"/>
  <c r="L41" i="21" s="1"/>
  <c r="AT14" i="9"/>
  <c r="AH14" i="9" s="1"/>
  <c r="L38" i="21" s="1"/>
  <c r="AQ14" i="9"/>
  <c r="AV14" i="9" s="1"/>
  <c r="AL14" i="9" s="1"/>
  <c r="L42" i="21" s="1"/>
  <c r="AG14" i="9"/>
  <c r="L37" i="21" s="1"/>
  <c r="AF14" i="9"/>
  <c r="L36" i="21" s="1"/>
  <c r="AE14" i="9"/>
  <c r="L35" i="21" s="1"/>
  <c r="AD14" i="9"/>
  <c r="L34" i="21" s="1"/>
  <c r="AC14" i="9"/>
  <c r="L33" i="21" s="1"/>
  <c r="AB14" i="9"/>
  <c r="L32" i="21" s="1"/>
  <c r="AA14" i="9"/>
  <c r="L31" i="21" s="1"/>
  <c r="Z14" i="9"/>
  <c r="L30" i="21" s="1"/>
  <c r="Y14" i="9"/>
  <c r="L29" i="21" s="1"/>
  <c r="X14" i="9"/>
  <c r="L28" i="21" s="1"/>
  <c r="W14" i="9"/>
  <c r="L27" i="21" s="1"/>
  <c r="V14" i="9"/>
  <c r="L26" i="21" s="1"/>
  <c r="U14" i="9"/>
  <c r="L25" i="21" s="1"/>
  <c r="T14" i="9"/>
  <c r="L24" i="21" s="1"/>
  <c r="S14" i="9"/>
  <c r="L23" i="21" s="1"/>
  <c r="R14" i="9"/>
  <c r="L22" i="21" s="1"/>
  <c r="Q14" i="9"/>
  <c r="L21" i="21" s="1"/>
  <c r="P14" i="9"/>
  <c r="L20" i="21" s="1"/>
  <c r="O14" i="9"/>
  <c r="L19" i="21" s="1"/>
  <c r="N14" i="9"/>
  <c r="L18" i="21" s="1"/>
  <c r="M14" i="9"/>
  <c r="L17" i="21" s="1"/>
  <c r="L14" i="9"/>
  <c r="L16" i="21" s="1"/>
  <c r="K14" i="9"/>
  <c r="L15" i="21" s="1"/>
  <c r="J14" i="9"/>
  <c r="L14" i="21" s="1"/>
  <c r="I14" i="9"/>
  <c r="L13" i="21" s="1"/>
  <c r="H14" i="9"/>
  <c r="L12" i="21" s="1"/>
  <c r="G14" i="9"/>
  <c r="L11" i="21" s="1"/>
  <c r="F14" i="9"/>
  <c r="L10" i="21" s="1"/>
  <c r="E14" i="9"/>
  <c r="L9" i="21" s="1"/>
  <c r="D14" i="9"/>
  <c r="L8" i="21" s="1"/>
  <c r="AQ13" i="9"/>
  <c r="AG13" i="9"/>
  <c r="K37" i="21" s="1"/>
  <c r="AF13" i="9"/>
  <c r="K36" i="21" s="1"/>
  <c r="AE13" i="9"/>
  <c r="K35" i="21" s="1"/>
  <c r="AD13" i="9"/>
  <c r="K34" i="21" s="1"/>
  <c r="AC13" i="9"/>
  <c r="K33" i="21" s="1"/>
  <c r="AB13" i="9"/>
  <c r="K32" i="21" s="1"/>
  <c r="AA13" i="9"/>
  <c r="K31" i="21" s="1"/>
  <c r="Z13" i="9"/>
  <c r="K30" i="21" s="1"/>
  <c r="Y13" i="9"/>
  <c r="K29" i="21" s="1"/>
  <c r="X13" i="9"/>
  <c r="K28" i="21" s="1"/>
  <c r="W13" i="9"/>
  <c r="K27" i="21" s="1"/>
  <c r="V13" i="9"/>
  <c r="K26" i="21" s="1"/>
  <c r="U13" i="9"/>
  <c r="K25" i="21" s="1"/>
  <c r="T13" i="9"/>
  <c r="K24" i="21" s="1"/>
  <c r="S13" i="9"/>
  <c r="K23" i="21" s="1"/>
  <c r="R13" i="9"/>
  <c r="K22" i="21" s="1"/>
  <c r="Q13" i="9"/>
  <c r="K21" i="21" s="1"/>
  <c r="P13" i="9"/>
  <c r="K20" i="21" s="1"/>
  <c r="O13" i="9"/>
  <c r="K19" i="21" s="1"/>
  <c r="N13" i="9"/>
  <c r="K18" i="21" s="1"/>
  <c r="M13" i="9"/>
  <c r="K17" i="21" s="1"/>
  <c r="L13" i="9"/>
  <c r="K16" i="21" s="1"/>
  <c r="K13" i="9"/>
  <c r="K15" i="21" s="1"/>
  <c r="J13" i="9"/>
  <c r="K14" i="21" s="1"/>
  <c r="I13" i="9"/>
  <c r="K13" i="21" s="1"/>
  <c r="H13" i="9"/>
  <c r="K12" i="21" s="1"/>
  <c r="G13" i="9"/>
  <c r="K11" i="21" s="1"/>
  <c r="F13" i="9"/>
  <c r="K10" i="21" s="1"/>
  <c r="E13" i="9"/>
  <c r="K9" i="21" s="1"/>
  <c r="D13" i="9"/>
  <c r="K8" i="21" s="1"/>
  <c r="AQ12" i="9"/>
  <c r="AG12" i="9"/>
  <c r="J37" i="21" s="1"/>
  <c r="AF12" i="9"/>
  <c r="J36" i="21" s="1"/>
  <c r="AE12" i="9"/>
  <c r="J35" i="21" s="1"/>
  <c r="AD12" i="9"/>
  <c r="J34" i="21" s="1"/>
  <c r="AC12" i="9"/>
  <c r="J33" i="21" s="1"/>
  <c r="AB12" i="9"/>
  <c r="J32" i="21" s="1"/>
  <c r="AA12" i="9"/>
  <c r="J31" i="21" s="1"/>
  <c r="Z12" i="9"/>
  <c r="J30" i="21" s="1"/>
  <c r="Y12" i="9"/>
  <c r="J29" i="21" s="1"/>
  <c r="X12" i="9"/>
  <c r="J28" i="21" s="1"/>
  <c r="W12" i="9"/>
  <c r="J27" i="21" s="1"/>
  <c r="V12" i="9"/>
  <c r="J26" i="21" s="1"/>
  <c r="U12" i="9"/>
  <c r="J25" i="21" s="1"/>
  <c r="T12" i="9"/>
  <c r="J24" i="21" s="1"/>
  <c r="S12" i="9"/>
  <c r="J23" i="21" s="1"/>
  <c r="R12" i="9"/>
  <c r="J22" i="21" s="1"/>
  <c r="Q12" i="9"/>
  <c r="J21" i="21" s="1"/>
  <c r="P12" i="9"/>
  <c r="J20" i="21" s="1"/>
  <c r="O12" i="9"/>
  <c r="J19" i="21" s="1"/>
  <c r="N12" i="9"/>
  <c r="J18" i="21" s="1"/>
  <c r="M12" i="9"/>
  <c r="J17" i="21" s="1"/>
  <c r="L12" i="9"/>
  <c r="J16" i="21" s="1"/>
  <c r="K12" i="9"/>
  <c r="J15" i="21" s="1"/>
  <c r="J12" i="9"/>
  <c r="J14" i="21" s="1"/>
  <c r="I12" i="9"/>
  <c r="J13" i="21" s="1"/>
  <c r="H12" i="9"/>
  <c r="J12" i="21" s="1"/>
  <c r="G12" i="9"/>
  <c r="J11" i="21" s="1"/>
  <c r="F12" i="9"/>
  <c r="J10" i="21" s="1"/>
  <c r="E12" i="9"/>
  <c r="J9" i="21" s="1"/>
  <c r="D12" i="9"/>
  <c r="J8" i="21" s="1"/>
  <c r="AY11" i="9"/>
  <c r="AO11" i="9" s="1"/>
  <c r="I45" i="21" s="1"/>
  <c r="AX11" i="9"/>
  <c r="AN11" i="9" s="1"/>
  <c r="I44" i="21" s="1"/>
  <c r="AV11" i="9"/>
  <c r="AL11" i="9" s="1"/>
  <c r="I42" i="21" s="1"/>
  <c r="AU11" i="9"/>
  <c r="AK11" i="9" s="1"/>
  <c r="I41" i="21" s="1"/>
  <c r="AT11" i="9"/>
  <c r="AQ11" i="9"/>
  <c r="AW11" i="9" s="1"/>
  <c r="AM11" i="9" s="1"/>
  <c r="I43" i="21" s="1"/>
  <c r="AJ11" i="9"/>
  <c r="I40" i="21" s="1"/>
  <c r="AG11" i="9"/>
  <c r="I37" i="21" s="1"/>
  <c r="AF11" i="9"/>
  <c r="I36" i="21" s="1"/>
  <c r="AE11" i="9"/>
  <c r="I35" i="21" s="1"/>
  <c r="AD11" i="9"/>
  <c r="I34" i="21" s="1"/>
  <c r="AC11" i="9"/>
  <c r="I33" i="21" s="1"/>
  <c r="AB11" i="9"/>
  <c r="I32" i="21" s="1"/>
  <c r="AA11" i="9"/>
  <c r="I31" i="21" s="1"/>
  <c r="Z11" i="9"/>
  <c r="I30" i="21" s="1"/>
  <c r="Y11" i="9"/>
  <c r="I29" i="21" s="1"/>
  <c r="X11" i="9"/>
  <c r="I28" i="21" s="1"/>
  <c r="W11" i="9"/>
  <c r="I27" i="21" s="1"/>
  <c r="V11" i="9"/>
  <c r="I26" i="21" s="1"/>
  <c r="U11" i="9"/>
  <c r="I25" i="21" s="1"/>
  <c r="T11" i="9"/>
  <c r="I24" i="21" s="1"/>
  <c r="S11" i="9"/>
  <c r="I23" i="21" s="1"/>
  <c r="R11" i="9"/>
  <c r="I22" i="21" s="1"/>
  <c r="Q11" i="9"/>
  <c r="I21" i="21" s="1"/>
  <c r="P11" i="9"/>
  <c r="I20" i="21" s="1"/>
  <c r="O11" i="9"/>
  <c r="I19" i="21" s="1"/>
  <c r="N11" i="9"/>
  <c r="I18" i="21" s="1"/>
  <c r="M11" i="9"/>
  <c r="I17" i="21" s="1"/>
  <c r="L11" i="9"/>
  <c r="I16" i="21" s="1"/>
  <c r="K11" i="9"/>
  <c r="I15" i="21" s="1"/>
  <c r="J11" i="9"/>
  <c r="I14" i="21" s="1"/>
  <c r="I11" i="9"/>
  <c r="I13" i="21" s="1"/>
  <c r="H11" i="9"/>
  <c r="I12" i="21" s="1"/>
  <c r="G11" i="9"/>
  <c r="I11" i="21" s="1"/>
  <c r="F11" i="9"/>
  <c r="I10" i="21" s="1"/>
  <c r="E11" i="9"/>
  <c r="I9" i="21" s="1"/>
  <c r="D11" i="9"/>
  <c r="I8" i="21" s="1"/>
  <c r="AY10" i="9"/>
  <c r="AR10" i="9"/>
  <c r="AS10" i="9" s="1"/>
  <c r="AQ10" i="9"/>
  <c r="AO10" i="9"/>
  <c r="H45" i="21" s="1"/>
  <c r="AG10" i="9"/>
  <c r="H37" i="21" s="1"/>
  <c r="AF10" i="9"/>
  <c r="H36" i="21" s="1"/>
  <c r="AE10" i="9"/>
  <c r="H35" i="21" s="1"/>
  <c r="AD10" i="9"/>
  <c r="H34" i="21" s="1"/>
  <c r="AC10" i="9"/>
  <c r="H33" i="21" s="1"/>
  <c r="AB10" i="9"/>
  <c r="H32" i="21" s="1"/>
  <c r="AA10" i="9"/>
  <c r="H31" i="21" s="1"/>
  <c r="Z10" i="9"/>
  <c r="H30" i="21" s="1"/>
  <c r="Y10" i="9"/>
  <c r="H29" i="21" s="1"/>
  <c r="X10" i="9"/>
  <c r="H28" i="21" s="1"/>
  <c r="W10" i="9"/>
  <c r="H27" i="21" s="1"/>
  <c r="V10" i="9"/>
  <c r="H26" i="21" s="1"/>
  <c r="U10" i="9"/>
  <c r="H25" i="21" s="1"/>
  <c r="T10" i="9"/>
  <c r="H24" i="21" s="1"/>
  <c r="S10" i="9"/>
  <c r="H23" i="21" s="1"/>
  <c r="R10" i="9"/>
  <c r="H22" i="21" s="1"/>
  <c r="Q10" i="9"/>
  <c r="H21" i="21" s="1"/>
  <c r="P10" i="9"/>
  <c r="H20" i="21" s="1"/>
  <c r="O10" i="9"/>
  <c r="H19" i="21" s="1"/>
  <c r="N10" i="9"/>
  <c r="H18" i="21" s="1"/>
  <c r="M10" i="9"/>
  <c r="H17" i="21" s="1"/>
  <c r="L10" i="9"/>
  <c r="H16" i="21" s="1"/>
  <c r="K10" i="9"/>
  <c r="H15" i="21" s="1"/>
  <c r="J10" i="9"/>
  <c r="H14" i="21" s="1"/>
  <c r="I10" i="9"/>
  <c r="H13" i="21" s="1"/>
  <c r="H10" i="9"/>
  <c r="H12" i="21" s="1"/>
  <c r="G10" i="9"/>
  <c r="H11" i="21" s="1"/>
  <c r="F10" i="9"/>
  <c r="H10" i="21" s="1"/>
  <c r="E10" i="9"/>
  <c r="H9" i="21" s="1"/>
  <c r="D10" i="9"/>
  <c r="H8" i="21" s="1"/>
  <c r="AW9" i="9"/>
  <c r="AM9" i="9" s="1"/>
  <c r="G43" i="21" s="1"/>
  <c r="AV9" i="9"/>
  <c r="AL9" i="9" s="1"/>
  <c r="G42" i="21" s="1"/>
  <c r="AU9" i="9"/>
  <c r="AK9" i="9" s="1"/>
  <c r="G41" i="21" s="1"/>
  <c r="AQ9" i="9"/>
  <c r="AG9" i="9"/>
  <c r="G37" i="21" s="1"/>
  <c r="AF9" i="9"/>
  <c r="G36" i="21" s="1"/>
  <c r="AE9" i="9"/>
  <c r="G35" i="21" s="1"/>
  <c r="AD9" i="9"/>
  <c r="G34" i="21" s="1"/>
  <c r="AC9" i="9"/>
  <c r="G33" i="21" s="1"/>
  <c r="AB9" i="9"/>
  <c r="G32" i="21" s="1"/>
  <c r="AA9" i="9"/>
  <c r="G31" i="21" s="1"/>
  <c r="Z9" i="9"/>
  <c r="G30" i="21" s="1"/>
  <c r="Y9" i="9"/>
  <c r="G29" i="21" s="1"/>
  <c r="X9" i="9"/>
  <c r="G28" i="21" s="1"/>
  <c r="W9" i="9"/>
  <c r="G27" i="21" s="1"/>
  <c r="V9" i="9"/>
  <c r="G26" i="21" s="1"/>
  <c r="U9" i="9"/>
  <c r="G25" i="21" s="1"/>
  <c r="T9" i="9"/>
  <c r="G24" i="21" s="1"/>
  <c r="S9" i="9"/>
  <c r="G23" i="21" s="1"/>
  <c r="R9" i="9"/>
  <c r="G22" i="21" s="1"/>
  <c r="Q9" i="9"/>
  <c r="G21" i="21" s="1"/>
  <c r="P9" i="9"/>
  <c r="G20" i="21" s="1"/>
  <c r="O9" i="9"/>
  <c r="G19" i="21" s="1"/>
  <c r="N9" i="9"/>
  <c r="G18" i="21" s="1"/>
  <c r="M9" i="9"/>
  <c r="G17" i="21" s="1"/>
  <c r="L9" i="9"/>
  <c r="G16" i="21" s="1"/>
  <c r="K9" i="9"/>
  <c r="G15" i="21" s="1"/>
  <c r="J9" i="9"/>
  <c r="G14" i="21" s="1"/>
  <c r="I9" i="9"/>
  <c r="G13" i="21" s="1"/>
  <c r="H9" i="9"/>
  <c r="G12" i="21" s="1"/>
  <c r="G9" i="9"/>
  <c r="G11" i="21" s="1"/>
  <c r="F9" i="9"/>
  <c r="G10" i="21" s="1"/>
  <c r="E9" i="9"/>
  <c r="G9" i="21" s="1"/>
  <c r="D9" i="9"/>
  <c r="G8" i="21" s="1"/>
  <c r="AY8" i="9"/>
  <c r="AO8" i="9" s="1"/>
  <c r="F45" i="21" s="1"/>
  <c r="AW8" i="9"/>
  <c r="AV8" i="9"/>
  <c r="AL8" i="9" s="1"/>
  <c r="F42" i="21" s="1"/>
  <c r="AU8" i="9"/>
  <c r="AK8" i="9" s="1"/>
  <c r="F41" i="21" s="1"/>
  <c r="AR8" i="9"/>
  <c r="AS8" i="9" s="1"/>
  <c r="AQ8" i="9"/>
  <c r="AX8" i="9" s="1"/>
  <c r="AN8" i="9" s="1"/>
  <c r="F44" i="21" s="1"/>
  <c r="AM8" i="9"/>
  <c r="F43" i="21" s="1"/>
  <c r="AG8" i="9"/>
  <c r="F37" i="21" s="1"/>
  <c r="AF8" i="9"/>
  <c r="F36" i="21" s="1"/>
  <c r="AE8" i="9"/>
  <c r="F35" i="21" s="1"/>
  <c r="AD8" i="9"/>
  <c r="F34" i="21" s="1"/>
  <c r="AC8" i="9"/>
  <c r="F33" i="21" s="1"/>
  <c r="AB8" i="9"/>
  <c r="F32" i="21" s="1"/>
  <c r="AA8" i="9"/>
  <c r="F31" i="21" s="1"/>
  <c r="Z8" i="9"/>
  <c r="F30" i="21" s="1"/>
  <c r="Y8" i="9"/>
  <c r="F29" i="21" s="1"/>
  <c r="X8" i="9"/>
  <c r="F28" i="21" s="1"/>
  <c r="W8" i="9"/>
  <c r="F27" i="21" s="1"/>
  <c r="V8" i="9"/>
  <c r="F26" i="21" s="1"/>
  <c r="U8" i="9"/>
  <c r="F25" i="21" s="1"/>
  <c r="T8" i="9"/>
  <c r="F24" i="21" s="1"/>
  <c r="S8" i="9"/>
  <c r="F23" i="21" s="1"/>
  <c r="R8" i="9"/>
  <c r="F22" i="21" s="1"/>
  <c r="Q8" i="9"/>
  <c r="F21" i="21" s="1"/>
  <c r="P8" i="9"/>
  <c r="F20" i="21" s="1"/>
  <c r="O8" i="9"/>
  <c r="F19" i="21" s="1"/>
  <c r="N8" i="9"/>
  <c r="F18" i="21" s="1"/>
  <c r="M8" i="9"/>
  <c r="F17" i="21" s="1"/>
  <c r="L8" i="9"/>
  <c r="F16" i="21" s="1"/>
  <c r="K8" i="9"/>
  <c r="F15" i="21" s="1"/>
  <c r="J8" i="9"/>
  <c r="F14" i="21" s="1"/>
  <c r="I8" i="9"/>
  <c r="F13" i="21" s="1"/>
  <c r="H8" i="9"/>
  <c r="F12" i="21" s="1"/>
  <c r="G8" i="9"/>
  <c r="F11" i="21" s="1"/>
  <c r="F8" i="9"/>
  <c r="F10" i="21" s="1"/>
  <c r="E8" i="9"/>
  <c r="F9" i="21" s="1"/>
  <c r="D8" i="9"/>
  <c r="F8" i="21" s="1"/>
  <c r="AR7" i="9"/>
  <c r="AS7" i="9" s="1"/>
  <c r="AQ7" i="9"/>
  <c r="AG7" i="9"/>
  <c r="E37" i="21" s="1"/>
  <c r="AF7" i="9"/>
  <c r="E36" i="21" s="1"/>
  <c r="AE7" i="9"/>
  <c r="E35" i="21" s="1"/>
  <c r="AD7" i="9"/>
  <c r="E34" i="21" s="1"/>
  <c r="AC7" i="9"/>
  <c r="E33" i="21" s="1"/>
  <c r="AB7" i="9"/>
  <c r="E32" i="21" s="1"/>
  <c r="AA7" i="9"/>
  <c r="E31" i="21" s="1"/>
  <c r="Z7" i="9"/>
  <c r="E30" i="21" s="1"/>
  <c r="Y7" i="9"/>
  <c r="E29" i="21" s="1"/>
  <c r="X7" i="9"/>
  <c r="E28" i="21" s="1"/>
  <c r="W7" i="9"/>
  <c r="E27" i="21" s="1"/>
  <c r="V7" i="9"/>
  <c r="E26" i="21" s="1"/>
  <c r="U7" i="9"/>
  <c r="E25" i="21" s="1"/>
  <c r="T7" i="9"/>
  <c r="E24" i="21" s="1"/>
  <c r="S7" i="9"/>
  <c r="E23" i="21" s="1"/>
  <c r="R7" i="9"/>
  <c r="E22" i="21" s="1"/>
  <c r="Q7" i="9"/>
  <c r="E21" i="21" s="1"/>
  <c r="P7" i="9"/>
  <c r="E20" i="21" s="1"/>
  <c r="O7" i="9"/>
  <c r="E19" i="21" s="1"/>
  <c r="N7" i="9"/>
  <c r="E18" i="21" s="1"/>
  <c r="M7" i="9"/>
  <c r="E17" i="21" s="1"/>
  <c r="L7" i="9"/>
  <c r="E16" i="21" s="1"/>
  <c r="K7" i="9"/>
  <c r="E15" i="21" s="1"/>
  <c r="J7" i="9"/>
  <c r="E14" i="21" s="1"/>
  <c r="I7" i="9"/>
  <c r="E13" i="21" s="1"/>
  <c r="H7" i="9"/>
  <c r="E12" i="21" s="1"/>
  <c r="G7" i="9"/>
  <c r="E11" i="21" s="1"/>
  <c r="F7" i="9"/>
  <c r="E10" i="21" s="1"/>
  <c r="E7" i="9"/>
  <c r="E9" i="21" s="1"/>
  <c r="D7" i="9"/>
  <c r="E8" i="21" s="1"/>
  <c r="AQ6" i="9"/>
  <c r="AR6" i="9" s="1"/>
  <c r="AS6" i="9" s="1"/>
  <c r="AG6" i="9"/>
  <c r="D37" i="21" s="1"/>
  <c r="AF6" i="9"/>
  <c r="AE6" i="9"/>
  <c r="D35" i="21" s="1"/>
  <c r="AD6" i="9"/>
  <c r="AC6" i="9"/>
  <c r="AB6" i="9"/>
  <c r="AA6" i="9"/>
  <c r="D31" i="21" s="1"/>
  <c r="Z6" i="9"/>
  <c r="Y6" i="9"/>
  <c r="D29" i="21" s="1"/>
  <c r="X6" i="9"/>
  <c r="W6" i="9"/>
  <c r="D27" i="21" s="1"/>
  <c r="V6" i="9"/>
  <c r="D26" i="21" s="1"/>
  <c r="U6" i="9"/>
  <c r="T6" i="9"/>
  <c r="D24" i="21" s="1"/>
  <c r="S6" i="9"/>
  <c r="D23" i="21" s="1"/>
  <c r="R6" i="9"/>
  <c r="D22" i="21" s="1"/>
  <c r="Q6" i="9"/>
  <c r="D21" i="21" s="1"/>
  <c r="P6" i="9"/>
  <c r="O6" i="9"/>
  <c r="N6" i="9"/>
  <c r="M6" i="9"/>
  <c r="L6" i="9"/>
  <c r="K6" i="9"/>
  <c r="J6" i="9"/>
  <c r="I6" i="9"/>
  <c r="H6" i="9"/>
  <c r="G6" i="9"/>
  <c r="F6" i="9"/>
  <c r="E6" i="9"/>
  <c r="D6" i="9"/>
  <c r="K204" i="6"/>
  <c r="K203" i="6"/>
  <c r="K202" i="6"/>
  <c r="K201" i="6"/>
  <c r="K200" i="6"/>
  <c r="K199" i="6"/>
  <c r="K198" i="6"/>
  <c r="K197" i="6"/>
  <c r="K196" i="6"/>
  <c r="K195" i="6"/>
  <c r="K194" i="6"/>
  <c r="K193" i="6"/>
  <c r="K192" i="6"/>
  <c r="K191" i="6"/>
  <c r="K190" i="6"/>
  <c r="K189" i="6"/>
  <c r="K188" i="6"/>
  <c r="K187" i="6"/>
  <c r="K186" i="6"/>
  <c r="K185" i="6"/>
  <c r="K184" i="6"/>
  <c r="K183" i="6"/>
  <c r="K182" i="6"/>
  <c r="K181" i="6"/>
  <c r="K180" i="6"/>
  <c r="K179" i="6"/>
  <c r="K178" i="6"/>
  <c r="K177" i="6"/>
  <c r="K176" i="6"/>
  <c r="K175" i="6"/>
  <c r="K174" i="6"/>
  <c r="K173" i="6"/>
  <c r="K172" i="6"/>
  <c r="K171" i="6"/>
  <c r="K170" i="6"/>
  <c r="K169" i="6"/>
  <c r="K168" i="6"/>
  <c r="K167" i="6"/>
  <c r="K166" i="6"/>
  <c r="K165" i="6"/>
  <c r="K164" i="6"/>
  <c r="K163" i="6"/>
  <c r="K162" i="6"/>
  <c r="K161" i="6"/>
  <c r="K160" i="6"/>
  <c r="K159" i="6"/>
  <c r="K158" i="6"/>
  <c r="K157" i="6"/>
  <c r="K156" i="6"/>
  <c r="K155" i="6"/>
  <c r="K154" i="6"/>
  <c r="K153" i="6"/>
  <c r="K152" i="6"/>
  <c r="K151" i="6"/>
  <c r="K150" i="6"/>
  <c r="K149" i="6"/>
  <c r="K148" i="6"/>
  <c r="K147" i="6"/>
  <c r="K146" i="6"/>
  <c r="K145" i="6"/>
  <c r="K144" i="6"/>
  <c r="K143" i="6"/>
  <c r="K142" i="6"/>
  <c r="K141" i="6"/>
  <c r="K140" i="6"/>
  <c r="K139" i="6"/>
  <c r="K138" i="6"/>
  <c r="K137" i="6"/>
  <c r="K136" i="6"/>
  <c r="K135" i="6"/>
  <c r="K134" i="6"/>
  <c r="K133" i="6"/>
  <c r="K132" i="6"/>
  <c r="K131" i="6"/>
  <c r="K130" i="6"/>
  <c r="K129" i="6"/>
  <c r="K128" i="6"/>
  <c r="K127" i="6"/>
  <c r="K126" i="6"/>
  <c r="K125" i="6"/>
  <c r="K124" i="6"/>
  <c r="K123" i="6"/>
  <c r="K122" i="6"/>
  <c r="K121" i="6"/>
  <c r="K120" i="6"/>
  <c r="K119" i="6"/>
  <c r="K118" i="6"/>
  <c r="K117" i="6"/>
  <c r="K116" i="6"/>
  <c r="K115" i="6"/>
  <c r="K114" i="6"/>
  <c r="K113" i="6"/>
  <c r="K112" i="6"/>
  <c r="K111" i="6"/>
  <c r="K110" i="6"/>
  <c r="K109" i="6"/>
  <c r="K108" i="6"/>
  <c r="K107" i="6"/>
  <c r="K106" i="6"/>
  <c r="K105" i="6"/>
  <c r="K104" i="6"/>
  <c r="K103" i="6"/>
  <c r="K102" i="6"/>
  <c r="K101" i="6"/>
  <c r="K100" i="6"/>
  <c r="K99" i="6"/>
  <c r="K98" i="6"/>
  <c r="K97" i="6"/>
  <c r="K96" i="6"/>
  <c r="K95" i="6"/>
  <c r="K94" i="6"/>
  <c r="K93" i="6"/>
  <c r="K92" i="6"/>
  <c r="K91" i="6"/>
  <c r="K90" i="6"/>
  <c r="K89" i="6"/>
  <c r="K88" i="6"/>
  <c r="K87" i="6"/>
  <c r="K86" i="6"/>
  <c r="K85" i="6"/>
  <c r="K84" i="6"/>
  <c r="K83" i="6"/>
  <c r="K82" i="6"/>
  <c r="K81" i="6"/>
  <c r="K80" i="6"/>
  <c r="K79" i="6"/>
  <c r="K78" i="6"/>
  <c r="K77" i="6"/>
  <c r="K76" i="6"/>
  <c r="K75" i="6"/>
  <c r="K74" i="6"/>
  <c r="K73" i="6"/>
  <c r="K72" i="6"/>
  <c r="K71" i="6"/>
  <c r="K70" i="6"/>
  <c r="K69" i="6"/>
  <c r="K68" i="6"/>
  <c r="K67" i="6"/>
  <c r="K66" i="6"/>
  <c r="K65" i="6"/>
  <c r="K64" i="6"/>
  <c r="K63" i="6"/>
  <c r="K62" i="6"/>
  <c r="K61" i="6"/>
  <c r="K60" i="6"/>
  <c r="K59" i="6"/>
  <c r="K58" i="6"/>
  <c r="K57" i="6"/>
  <c r="K56" i="6"/>
  <c r="K55" i="6"/>
  <c r="K54" i="6"/>
  <c r="K53" i="6"/>
  <c r="K52" i="6"/>
  <c r="K51" i="6"/>
  <c r="K50" i="6"/>
  <c r="K49" i="6"/>
  <c r="K48" i="6"/>
  <c r="K47" i="6"/>
  <c r="K46" i="6"/>
  <c r="K45" i="6"/>
  <c r="K44" i="6"/>
  <c r="K43" i="6"/>
  <c r="K42" i="6"/>
  <c r="K41" i="6"/>
  <c r="K40" i="6"/>
  <c r="K39" i="6"/>
  <c r="K38" i="6"/>
  <c r="K37" i="6"/>
  <c r="K36" i="6"/>
  <c r="K35" i="6"/>
  <c r="K34" i="6"/>
  <c r="K33" i="6"/>
  <c r="K32" i="6"/>
  <c r="K31" i="6"/>
  <c r="K30" i="6"/>
  <c r="K29" i="6"/>
  <c r="K28" i="6"/>
  <c r="K27" i="6"/>
  <c r="K26" i="6"/>
  <c r="K25" i="6"/>
  <c r="K24" i="6"/>
  <c r="K23" i="6"/>
  <c r="K22" i="6"/>
  <c r="K21" i="6"/>
  <c r="K20" i="6"/>
  <c r="K19" i="6"/>
  <c r="K18" i="6"/>
  <c r="K17" i="6"/>
  <c r="K16" i="6"/>
  <c r="K15" i="6"/>
  <c r="K14" i="6"/>
  <c r="K13" i="6"/>
  <c r="K12" i="6"/>
  <c r="K11" i="6"/>
  <c r="K10" i="6"/>
  <c r="K9" i="6"/>
  <c r="K8" i="6"/>
  <c r="K7" i="6"/>
  <c r="K6" i="6"/>
  <c r="K5" i="6"/>
  <c r="C53" i="2"/>
  <c r="D177" i="22" s="1"/>
  <c r="C52" i="2"/>
  <c r="D172" i="22" s="1"/>
  <c r="C51" i="2"/>
  <c r="D167" i="22" s="1"/>
  <c r="C50" i="2"/>
  <c r="D157" i="22" s="1"/>
  <c r="C49" i="2"/>
  <c r="D182" i="22" s="1"/>
  <c r="C48" i="2"/>
  <c r="D162" i="22" s="1"/>
  <c r="C47" i="2"/>
  <c r="C45" i="2"/>
  <c r="D242" i="22" s="1"/>
  <c r="C44" i="2"/>
  <c r="D236" i="22" s="1"/>
  <c r="C43" i="2"/>
  <c r="C42" i="2"/>
  <c r="C40" i="2"/>
  <c r="C39" i="2"/>
  <c r="D137" i="22" s="1"/>
  <c r="C38" i="2"/>
  <c r="D243" i="22" s="1"/>
  <c r="C37" i="2"/>
  <c r="D237" i="22" s="1"/>
  <c r="C35" i="2"/>
  <c r="D132" i="22" s="1"/>
  <c r="C34" i="2"/>
  <c r="D126" i="22" s="1"/>
  <c r="C33" i="2"/>
  <c r="D120" i="22" s="1"/>
  <c r="C32" i="2"/>
  <c r="D113" i="22" s="1"/>
  <c r="C31" i="2"/>
  <c r="C30" i="2"/>
  <c r="C29" i="2"/>
  <c r="C27" i="2"/>
  <c r="D96" i="22" s="1"/>
  <c r="C26" i="2"/>
  <c r="D91" i="22" s="1"/>
  <c r="C25" i="2"/>
  <c r="D95" i="22" s="1"/>
  <c r="C24" i="2"/>
  <c r="D90" i="22" s="1"/>
  <c r="C22" i="2"/>
  <c r="C21" i="2"/>
  <c r="C19" i="2"/>
  <c r="C17" i="2"/>
  <c r="C16" i="2"/>
  <c r="C18" i="2" s="1"/>
  <c r="C12" i="2"/>
  <c r="AY12" i="9" l="1"/>
  <c r="AO12" i="9" s="1"/>
  <c r="J45" i="21" s="1"/>
  <c r="AX12" i="9"/>
  <c r="AN12" i="9" s="1"/>
  <c r="J44" i="21" s="1"/>
  <c r="AW12" i="9"/>
  <c r="AM12" i="9" s="1"/>
  <c r="J43" i="21" s="1"/>
  <c r="AR12" i="9"/>
  <c r="AS12" i="9" s="1"/>
  <c r="AH16" i="9"/>
  <c r="N38" i="21" s="1"/>
  <c r="AU12" i="9"/>
  <c r="AK12" i="9" s="1"/>
  <c r="J41" i="21" s="1"/>
  <c r="AI14" i="9"/>
  <c r="L39" i="21" s="1"/>
  <c r="D112" i="22"/>
  <c r="D119" i="22"/>
  <c r="D10" i="21"/>
  <c r="D11" i="18"/>
  <c r="AV24" i="9"/>
  <c r="AL24" i="9" s="1"/>
  <c r="V42" i="21" s="1"/>
  <c r="AU24" i="9"/>
  <c r="AK24" i="9" s="1"/>
  <c r="V41" i="21" s="1"/>
  <c r="AT24" i="9"/>
  <c r="AX24" i="9"/>
  <c r="AN24" i="9" s="1"/>
  <c r="V44" i="21" s="1"/>
  <c r="AW24" i="9"/>
  <c r="AM24" i="9" s="1"/>
  <c r="V43" i="21" s="1"/>
  <c r="AY62" i="9"/>
  <c r="AO62" i="9" s="1"/>
  <c r="T87" i="21" s="1"/>
  <c r="AX62" i="9"/>
  <c r="AN62" i="9" s="1"/>
  <c r="T86" i="21" s="1"/>
  <c r="AU62" i="9"/>
  <c r="AK62" i="9" s="1"/>
  <c r="T83" i="21" s="1"/>
  <c r="AT62" i="9"/>
  <c r="AR62" i="9"/>
  <c r="AS62" i="9" s="1"/>
  <c r="AV80" i="9"/>
  <c r="AL80" i="9" s="1"/>
  <c r="AL84" i="21" s="1"/>
  <c r="AU80" i="9"/>
  <c r="AK80" i="9" s="1"/>
  <c r="AL83" i="21" s="1"/>
  <c r="AT80" i="9"/>
  <c r="AR80" i="9"/>
  <c r="AS80" i="9" s="1"/>
  <c r="AY80" i="9"/>
  <c r="AO80" i="9" s="1"/>
  <c r="AL87" i="21" s="1"/>
  <c r="AX80" i="9"/>
  <c r="AN80" i="9" s="1"/>
  <c r="AL86" i="21" s="1"/>
  <c r="AW80" i="9"/>
  <c r="AM80" i="9" s="1"/>
  <c r="AL85" i="21" s="1"/>
  <c r="AJ113" i="9"/>
  <c r="AE124" i="21" s="1"/>
  <c r="AI113" i="9"/>
  <c r="AE123" i="21" s="1"/>
  <c r="AH113" i="9"/>
  <c r="AE122" i="21" s="1"/>
  <c r="D34" i="21"/>
  <c r="D32" i="18"/>
  <c r="D106" i="22"/>
  <c r="D102" i="22"/>
  <c r="D147" i="22"/>
  <c r="D152" i="22"/>
  <c r="D142" i="22"/>
  <c r="D11" i="21"/>
  <c r="D12" i="18"/>
  <c r="D51" i="22" s="1"/>
  <c r="D27" i="18"/>
  <c r="D26" i="18"/>
  <c r="D25" i="18"/>
  <c r="D25" i="21"/>
  <c r="D24" i="18"/>
  <c r="AV7" i="9"/>
  <c r="AL7" i="9" s="1"/>
  <c r="E42" i="21" s="1"/>
  <c r="AU7" i="9"/>
  <c r="AK7" i="9" s="1"/>
  <c r="E41" i="21" s="1"/>
  <c r="AT7" i="9"/>
  <c r="AY7" i="9"/>
  <c r="AO7" i="9" s="1"/>
  <c r="E45" i="21" s="1"/>
  <c r="AW7" i="9"/>
  <c r="AM7" i="9" s="1"/>
  <c r="E43" i="21" s="1"/>
  <c r="AX7" i="9"/>
  <c r="AN7" i="9" s="1"/>
  <c r="E44" i="21" s="1"/>
  <c r="AI11" i="9"/>
  <c r="I39" i="21" s="1"/>
  <c r="AH11" i="9"/>
  <c r="I38" i="21" s="1"/>
  <c r="AY20" i="9"/>
  <c r="AO20" i="9" s="1"/>
  <c r="R45" i="21" s="1"/>
  <c r="AU20" i="9"/>
  <c r="AK20" i="9" s="1"/>
  <c r="R41" i="21" s="1"/>
  <c r="AT20" i="9"/>
  <c r="AR24" i="9"/>
  <c r="AS24" i="9" s="1"/>
  <c r="AJ40" i="9"/>
  <c r="AL40" i="21" s="1"/>
  <c r="AI40" i="9"/>
  <c r="AL39" i="21" s="1"/>
  <c r="AH40" i="9"/>
  <c r="AL38" i="21" s="1"/>
  <c r="AV62" i="9"/>
  <c r="AL62" i="9" s="1"/>
  <c r="T84" i="21" s="1"/>
  <c r="AV108" i="9"/>
  <c r="AL108" i="9" s="1"/>
  <c r="Z126" i="21" s="1"/>
  <c r="AU108" i="9"/>
  <c r="AK108" i="9" s="1"/>
  <c r="Z125" i="21" s="1"/>
  <c r="AT108" i="9"/>
  <c r="AR108" i="9"/>
  <c r="AS108" i="9" s="1"/>
  <c r="AY108" i="9"/>
  <c r="AO108" i="9" s="1"/>
  <c r="Z129" i="21" s="1"/>
  <c r="AX108" i="9"/>
  <c r="AN108" i="9" s="1"/>
  <c r="Z128" i="21" s="1"/>
  <c r="AW108" i="9"/>
  <c r="AM108" i="9" s="1"/>
  <c r="Z127" i="21" s="1"/>
  <c r="AJ221" i="9"/>
  <c r="S250" i="21" s="1"/>
  <c r="AI221" i="9"/>
  <c r="S249" i="21" s="1"/>
  <c r="AH221" i="9"/>
  <c r="S248" i="21" s="1"/>
  <c r="AI32" i="9"/>
  <c r="AD39" i="21" s="1"/>
  <c r="AH32" i="9"/>
  <c r="AD38" i="21" s="1"/>
  <c r="AJ32" i="9"/>
  <c r="AD40" i="21" s="1"/>
  <c r="AJ148" i="9"/>
  <c r="Z166" i="21" s="1"/>
  <c r="AI148" i="9"/>
  <c r="Z165" i="21" s="1"/>
  <c r="AH148" i="9"/>
  <c r="Z164" i="21" s="1"/>
  <c r="AV150" i="9"/>
  <c r="AL150" i="9" s="1"/>
  <c r="AB168" i="21" s="1"/>
  <c r="AU150" i="9"/>
  <c r="AK150" i="9" s="1"/>
  <c r="AB167" i="21" s="1"/>
  <c r="AT150" i="9"/>
  <c r="AR150" i="9"/>
  <c r="AS150" i="9" s="1"/>
  <c r="AY150" i="9"/>
  <c r="AO150" i="9" s="1"/>
  <c r="AB171" i="21" s="1"/>
  <c r="AX150" i="9"/>
  <c r="AN150" i="9" s="1"/>
  <c r="AB170" i="21" s="1"/>
  <c r="AW150" i="9"/>
  <c r="AM150" i="9" s="1"/>
  <c r="AB169" i="21" s="1"/>
  <c r="AY23" i="9"/>
  <c r="AO23" i="9" s="1"/>
  <c r="U45" i="21" s="1"/>
  <c r="AX23" i="9"/>
  <c r="AN23" i="9" s="1"/>
  <c r="U44" i="21" s="1"/>
  <c r="AT23" i="9"/>
  <c r="AY26" i="9"/>
  <c r="AO26" i="9" s="1"/>
  <c r="X45" i="21" s="1"/>
  <c r="AX26" i="9"/>
  <c r="AN26" i="9" s="1"/>
  <c r="X44" i="21" s="1"/>
  <c r="AW26" i="9"/>
  <c r="AM26" i="9" s="1"/>
  <c r="X43" i="21" s="1"/>
  <c r="AR26" i="9"/>
  <c r="AS26" i="9" s="1"/>
  <c r="AY48" i="9"/>
  <c r="AO48" i="9" s="1"/>
  <c r="F87" i="21" s="1"/>
  <c r="AU48" i="9"/>
  <c r="AK48" i="9" s="1"/>
  <c r="F83" i="21" s="1"/>
  <c r="AT48" i="9"/>
  <c r="AR48" i="9"/>
  <c r="AS48" i="9" s="1"/>
  <c r="AJ58" i="9"/>
  <c r="P82" i="21" s="1"/>
  <c r="AI58" i="9"/>
  <c r="P81" i="21" s="1"/>
  <c r="AR23" i="9"/>
  <c r="AS23" i="9" s="1"/>
  <c r="AT26" i="9"/>
  <c r="AY34" i="9"/>
  <c r="AO34" i="9" s="1"/>
  <c r="AF45" i="21" s="1"/>
  <c r="AU34" i="9"/>
  <c r="AK34" i="9" s="1"/>
  <c r="AF41" i="21" s="1"/>
  <c r="AT34" i="9"/>
  <c r="AR34" i="9"/>
  <c r="AS34" i="9" s="1"/>
  <c r="AV48" i="9"/>
  <c r="AL48" i="9" s="1"/>
  <c r="F84" i="21" s="1"/>
  <c r="AI53" i="9"/>
  <c r="K81" i="21" s="1"/>
  <c r="AH53" i="9"/>
  <c r="K80" i="21" s="1"/>
  <c r="D204" i="25"/>
  <c r="D7" i="25"/>
  <c r="A3" i="24"/>
  <c r="D212" i="25" s="1"/>
  <c r="E212" i="25" s="1"/>
  <c r="D342" i="21"/>
  <c r="D384" i="21"/>
  <c r="D300" i="21"/>
  <c r="D258" i="21"/>
  <c r="D174" i="21"/>
  <c r="D90" i="21"/>
  <c r="D216" i="21"/>
  <c r="D48" i="21"/>
  <c r="D132" i="21"/>
  <c r="D6" i="21"/>
  <c r="L5" i="21"/>
  <c r="C14" i="2"/>
  <c r="AU23" i="9"/>
  <c r="AK23" i="9" s="1"/>
  <c r="U41" i="21" s="1"/>
  <c r="AU26" i="9"/>
  <c r="AK26" i="9" s="1"/>
  <c r="X41" i="21" s="1"/>
  <c r="AJ44" i="9"/>
  <c r="AP40" i="21" s="1"/>
  <c r="AI44" i="9"/>
  <c r="AP39" i="21" s="1"/>
  <c r="AW48" i="9"/>
  <c r="AM48" i="9" s="1"/>
  <c r="F85" i="21" s="1"/>
  <c r="AJ57" i="9"/>
  <c r="O82" i="21" s="1"/>
  <c r="AI57" i="9"/>
  <c r="O81" i="21" s="1"/>
  <c r="AH57" i="9"/>
  <c r="O80" i="21" s="1"/>
  <c r="AV66" i="9"/>
  <c r="AL66" i="9" s="1"/>
  <c r="X84" i="21" s="1"/>
  <c r="AU66" i="9"/>
  <c r="AK66" i="9" s="1"/>
  <c r="X83" i="21" s="1"/>
  <c r="AT66" i="9"/>
  <c r="AR66" i="9"/>
  <c r="AS66" i="9" s="1"/>
  <c r="AX66" i="9"/>
  <c r="AN66" i="9" s="1"/>
  <c r="X86" i="21" s="1"/>
  <c r="AW66" i="9"/>
  <c r="AM66" i="9" s="1"/>
  <c r="X85" i="21" s="1"/>
  <c r="AY6" i="9"/>
  <c r="AO6" i="9" s="1"/>
  <c r="AT6" i="9"/>
  <c r="AV6" i="9"/>
  <c r="AL6" i="9" s="1"/>
  <c r="AU10" i="9"/>
  <c r="AK10" i="9" s="1"/>
  <c r="H41" i="21" s="1"/>
  <c r="AT10" i="9"/>
  <c r="AX10" i="9"/>
  <c r="AN10" i="9" s="1"/>
  <c r="H44" i="21" s="1"/>
  <c r="AW10" i="9"/>
  <c r="AM10" i="9" s="1"/>
  <c r="H43" i="21" s="1"/>
  <c r="AV10" i="9"/>
  <c r="AL10" i="9" s="1"/>
  <c r="H42" i="21" s="1"/>
  <c r="AV23" i="9"/>
  <c r="AL23" i="9" s="1"/>
  <c r="U42" i="21" s="1"/>
  <c r="AV26" i="9"/>
  <c r="AL26" i="9" s="1"/>
  <c r="X42" i="21" s="1"/>
  <c r="AW34" i="9"/>
  <c r="AM34" i="9" s="1"/>
  <c r="AF43" i="21" s="1"/>
  <c r="AI39" i="9"/>
  <c r="AK39" i="21" s="1"/>
  <c r="AH39" i="9"/>
  <c r="AK38" i="21" s="1"/>
  <c r="AX48" i="9"/>
  <c r="AN48" i="9" s="1"/>
  <c r="F86" i="21" s="1"/>
  <c r="AW63" i="9"/>
  <c r="AM63" i="9" s="1"/>
  <c r="U85" i="21" s="1"/>
  <c r="AV63" i="9"/>
  <c r="AL63" i="9" s="1"/>
  <c r="U84" i="21" s="1"/>
  <c r="AU63" i="9"/>
  <c r="AK63" i="9" s="1"/>
  <c r="U83" i="21" s="1"/>
  <c r="AT63" i="9"/>
  <c r="AY63" i="9"/>
  <c r="AO63" i="9" s="1"/>
  <c r="U87" i="21" s="1"/>
  <c r="AX63" i="9"/>
  <c r="AN63" i="9" s="1"/>
  <c r="U86" i="21" s="1"/>
  <c r="AY66" i="9"/>
  <c r="AO66" i="9" s="1"/>
  <c r="X87" i="21" s="1"/>
  <c r="AY76" i="9"/>
  <c r="AO76" i="9" s="1"/>
  <c r="AH87" i="21" s="1"/>
  <c r="AX76" i="9"/>
  <c r="AN76" i="9" s="1"/>
  <c r="AH86" i="21" s="1"/>
  <c r="AU76" i="9"/>
  <c r="AK76" i="9" s="1"/>
  <c r="AH83" i="21" s="1"/>
  <c r="AT76" i="9"/>
  <c r="AR76" i="9"/>
  <c r="AS76" i="9" s="1"/>
  <c r="AJ99" i="9"/>
  <c r="Q124" i="21" s="1"/>
  <c r="AI99" i="9"/>
  <c r="Q123" i="21" s="1"/>
  <c r="AH99" i="9"/>
  <c r="Q122" i="21" s="1"/>
  <c r="AJ120" i="9"/>
  <c r="AL124" i="21" s="1"/>
  <c r="AI120" i="9"/>
  <c r="AL123" i="21" s="1"/>
  <c r="AH120" i="9"/>
  <c r="AL122" i="21" s="1"/>
  <c r="AJ127" i="9"/>
  <c r="E166" i="21" s="1"/>
  <c r="AI127" i="9"/>
  <c r="E165" i="21" s="1"/>
  <c r="AH127" i="9"/>
  <c r="E164" i="21" s="1"/>
  <c r="AW6" i="9"/>
  <c r="AM6" i="9" s="1"/>
  <c r="AY9" i="9"/>
  <c r="AO9" i="9" s="1"/>
  <c r="G45" i="21" s="1"/>
  <c r="AX9" i="9"/>
  <c r="AN9" i="9" s="1"/>
  <c r="G44" i="21" s="1"/>
  <c r="AU13" i="9"/>
  <c r="AK13" i="9" s="1"/>
  <c r="K41" i="21" s="1"/>
  <c r="AT13" i="9"/>
  <c r="AR13" i="9"/>
  <c r="AS13" i="9" s="1"/>
  <c r="AW13" i="9"/>
  <c r="AM13" i="9" s="1"/>
  <c r="K43" i="21" s="1"/>
  <c r="AV13" i="9"/>
  <c r="AL13" i="9" s="1"/>
  <c r="K42" i="21" s="1"/>
  <c r="AW23" i="9"/>
  <c r="AM23" i="9" s="1"/>
  <c r="U43" i="21" s="1"/>
  <c r="AX34" i="9"/>
  <c r="AN34" i="9" s="1"/>
  <c r="AF44" i="21" s="1"/>
  <c r="AJ43" i="9"/>
  <c r="AO40" i="21" s="1"/>
  <c r="AI43" i="9"/>
  <c r="AO39" i="21" s="1"/>
  <c r="AH43" i="9"/>
  <c r="AO38" i="21" s="1"/>
  <c r="AV122" i="9"/>
  <c r="AL122" i="9" s="1"/>
  <c r="AN126" i="21" s="1"/>
  <c r="AU122" i="9"/>
  <c r="AK122" i="9" s="1"/>
  <c r="AN125" i="21" s="1"/>
  <c r="AT122" i="9"/>
  <c r="AR122" i="9"/>
  <c r="AS122" i="9" s="1"/>
  <c r="AY122" i="9"/>
  <c r="AO122" i="9" s="1"/>
  <c r="AN129" i="21" s="1"/>
  <c r="AX122" i="9"/>
  <c r="AN122" i="9" s="1"/>
  <c r="AN128" i="21" s="1"/>
  <c r="AW122" i="9"/>
  <c r="AM122" i="9" s="1"/>
  <c r="AN127" i="21" s="1"/>
  <c r="D131" i="22"/>
  <c r="D118" i="22"/>
  <c r="D111" i="22"/>
  <c r="M102" i="10"/>
  <c r="M95" i="10"/>
  <c r="M88" i="10"/>
  <c r="M81" i="10"/>
  <c r="M74" i="10"/>
  <c r="M67" i="10"/>
  <c r="M60" i="10"/>
  <c r="M53" i="10"/>
  <c r="M46" i="10"/>
  <c r="M39" i="10"/>
  <c r="M32" i="10"/>
  <c r="M25" i="10"/>
  <c r="M18" i="10"/>
  <c r="M11" i="10"/>
  <c r="M103" i="10"/>
  <c r="M96" i="10"/>
  <c r="M89" i="10"/>
  <c r="M82" i="10"/>
  <c r="M75" i="10"/>
  <c r="M68" i="10"/>
  <c r="M61" i="10"/>
  <c r="M54" i="10"/>
  <c r="M47" i="10"/>
  <c r="M40" i="10"/>
  <c r="M33" i="10"/>
  <c r="M26" i="10"/>
  <c r="M19" i="10"/>
  <c r="M12" i="10"/>
  <c r="M5" i="10"/>
  <c r="M104" i="10"/>
  <c r="M97" i="10"/>
  <c r="M90" i="10"/>
  <c r="M83" i="10"/>
  <c r="M76" i="10"/>
  <c r="M69" i="10"/>
  <c r="M62" i="10"/>
  <c r="M55" i="10"/>
  <c r="M48" i="10"/>
  <c r="M41" i="10"/>
  <c r="M34" i="10"/>
  <c r="M27" i="10"/>
  <c r="M20" i="10"/>
  <c r="M13" i="10"/>
  <c r="M6" i="10"/>
  <c r="M98" i="10"/>
  <c r="M92" i="10"/>
  <c r="M86" i="10"/>
  <c r="M80" i="10"/>
  <c r="M49" i="10"/>
  <c r="M43" i="10"/>
  <c r="M37" i="10"/>
  <c r="M31" i="10"/>
  <c r="M100" i="10"/>
  <c r="M94" i="10"/>
  <c r="M63" i="10"/>
  <c r="M57" i="10"/>
  <c r="M51" i="10"/>
  <c r="M45" i="10"/>
  <c r="M14" i="10"/>
  <c r="M8" i="10"/>
  <c r="M77" i="10"/>
  <c r="M71" i="10"/>
  <c r="M65" i="10"/>
  <c r="M59" i="10"/>
  <c r="M28" i="10"/>
  <c r="M22" i="10"/>
  <c r="M16" i="10"/>
  <c r="M10" i="10"/>
  <c r="M87" i="10"/>
  <c r="M66" i="10"/>
  <c r="M44" i="10"/>
  <c r="M23" i="10"/>
  <c r="M101" i="10"/>
  <c r="M79" i="10"/>
  <c r="M58" i="10"/>
  <c r="M36" i="10"/>
  <c r="M15" i="10"/>
  <c r="M93" i="10"/>
  <c r="M72" i="10"/>
  <c r="M50" i="10"/>
  <c r="M29" i="10"/>
  <c r="M7" i="10"/>
  <c r="M85" i="10"/>
  <c r="M64" i="10"/>
  <c r="M42" i="10"/>
  <c r="M21" i="10"/>
  <c r="M99" i="10"/>
  <c r="M78" i="10"/>
  <c r="M56" i="10"/>
  <c r="M35" i="10"/>
  <c r="M24" i="10"/>
  <c r="M84" i="10"/>
  <c r="M73" i="10"/>
  <c r="M52" i="10"/>
  <c r="M30" i="10"/>
  <c r="M9" i="10"/>
  <c r="M70" i="10"/>
  <c r="M17" i="10"/>
  <c r="M91" i="10"/>
  <c r="M38" i="10"/>
  <c r="D19" i="18"/>
  <c r="D44" i="22" s="1"/>
  <c r="D18" i="21"/>
  <c r="D30" i="18"/>
  <c r="D32" i="21"/>
  <c r="AX6" i="9"/>
  <c r="AN6" i="9" s="1"/>
  <c r="AR9" i="9"/>
  <c r="AS9" i="9" s="1"/>
  <c r="AX13" i="9"/>
  <c r="AN13" i="9" s="1"/>
  <c r="K44" i="21" s="1"/>
  <c r="AH17" i="9"/>
  <c r="O38" i="21" s="1"/>
  <c r="AJ30" i="9"/>
  <c r="AB40" i="21" s="1"/>
  <c r="AI30" i="9"/>
  <c r="AB39" i="21" s="1"/>
  <c r="AJ68" i="9"/>
  <c r="Z82" i="21" s="1"/>
  <c r="AI68" i="9"/>
  <c r="Z81" i="21" s="1"/>
  <c r="AH68" i="9"/>
  <c r="Z80" i="21" s="1"/>
  <c r="AW76" i="9"/>
  <c r="AM76" i="9" s="1"/>
  <c r="AH85" i="21" s="1"/>
  <c r="AV94" i="9"/>
  <c r="AL94" i="9" s="1"/>
  <c r="L126" i="21" s="1"/>
  <c r="AU94" i="9"/>
  <c r="AK94" i="9" s="1"/>
  <c r="L125" i="21" s="1"/>
  <c r="AT94" i="9"/>
  <c r="AR94" i="9"/>
  <c r="AS94" i="9" s="1"/>
  <c r="AY94" i="9"/>
  <c r="AO94" i="9" s="1"/>
  <c r="L129" i="21" s="1"/>
  <c r="AX94" i="9"/>
  <c r="AN94" i="9" s="1"/>
  <c r="L128" i="21" s="1"/>
  <c r="AW94" i="9"/>
  <c r="AM94" i="9" s="1"/>
  <c r="L127" i="21" s="1"/>
  <c r="AJ15" i="9"/>
  <c r="M40" i="21" s="1"/>
  <c r="AI15" i="9"/>
  <c r="M39" i="21" s="1"/>
  <c r="AH15" i="9"/>
  <c r="M38" i="21" s="1"/>
  <c r="D94" i="22"/>
  <c r="D84" i="22"/>
  <c r="D50" i="22"/>
  <c r="D64" i="22"/>
  <c r="D74" i="22"/>
  <c r="D79" i="22"/>
  <c r="D69" i="22"/>
  <c r="D89" i="22"/>
  <c r="C20" i="2"/>
  <c r="AU6" i="9"/>
  <c r="AK6" i="9" s="1"/>
  <c r="D105" i="22"/>
  <c r="D125" i="22"/>
  <c r="D101" i="22"/>
  <c r="D19" i="21"/>
  <c r="D20" i="18"/>
  <c r="D33" i="21"/>
  <c r="D31" i="18"/>
  <c r="AT9" i="9"/>
  <c r="AY13" i="9"/>
  <c r="AO13" i="9" s="1"/>
  <c r="K45" i="21" s="1"/>
  <c r="AI25" i="9"/>
  <c r="W39" i="21" s="1"/>
  <c r="AH25" i="9"/>
  <c r="W38" i="21" s="1"/>
  <c r="AU41" i="9"/>
  <c r="AK41" i="9" s="1"/>
  <c r="AM41" i="21" s="1"/>
  <c r="AT41" i="9"/>
  <c r="AR41" i="9"/>
  <c r="AS41" i="9" s="1"/>
  <c r="AY41" i="9"/>
  <c r="AO41" i="9" s="1"/>
  <c r="AM45" i="21" s="1"/>
  <c r="AW41" i="9"/>
  <c r="AM41" i="9" s="1"/>
  <c r="AM43" i="21" s="1"/>
  <c r="AV41" i="9"/>
  <c r="AL41" i="9" s="1"/>
  <c r="AM42" i="21" s="1"/>
  <c r="AJ72" i="9"/>
  <c r="AD82" i="21" s="1"/>
  <c r="AI72" i="9"/>
  <c r="AD81" i="21" s="1"/>
  <c r="D23" i="18"/>
  <c r="D22" i="18"/>
  <c r="D21" i="18"/>
  <c r="D20" i="21"/>
  <c r="AJ29" i="9"/>
  <c r="AA40" i="21" s="1"/>
  <c r="AI29" i="9"/>
  <c r="AA39" i="21" s="1"/>
  <c r="AH29" i="9"/>
  <c r="AA38" i="21" s="1"/>
  <c r="AW49" i="9"/>
  <c r="AM49" i="9" s="1"/>
  <c r="G85" i="21" s="1"/>
  <c r="AV49" i="9"/>
  <c r="AL49" i="9" s="1"/>
  <c r="G84" i="21" s="1"/>
  <c r="AU49" i="9"/>
  <c r="AK49" i="9" s="1"/>
  <c r="G83" i="21" s="1"/>
  <c r="AT49" i="9"/>
  <c r="AY49" i="9"/>
  <c r="AO49" i="9" s="1"/>
  <c r="G87" i="21" s="1"/>
  <c r="AX49" i="9"/>
  <c r="AN49" i="9" s="1"/>
  <c r="G86" i="21" s="1"/>
  <c r="AV52" i="9"/>
  <c r="AL52" i="9" s="1"/>
  <c r="J84" i="21" s="1"/>
  <c r="AU52" i="9"/>
  <c r="AK52" i="9" s="1"/>
  <c r="J83" i="21" s="1"/>
  <c r="AT52" i="9"/>
  <c r="AR52" i="9"/>
  <c r="AS52" i="9" s="1"/>
  <c r="AX52" i="9"/>
  <c r="AN52" i="9" s="1"/>
  <c r="J86" i="21" s="1"/>
  <c r="AW52" i="9"/>
  <c r="AM52" i="9" s="1"/>
  <c r="J85" i="21" s="1"/>
  <c r="AT12" i="9"/>
  <c r="AI16" i="9"/>
  <c r="N39" i="21" s="1"/>
  <c r="AW35" i="9"/>
  <c r="AM35" i="9" s="1"/>
  <c r="AG43" i="21" s="1"/>
  <c r="AV35" i="9"/>
  <c r="AL35" i="9" s="1"/>
  <c r="AG42" i="21" s="1"/>
  <c r="AU35" i="9"/>
  <c r="AK35" i="9" s="1"/>
  <c r="AG41" i="21" s="1"/>
  <c r="AT35" i="9"/>
  <c r="AY35" i="9"/>
  <c r="AO35" i="9" s="1"/>
  <c r="AG45" i="21" s="1"/>
  <c r="AX35" i="9"/>
  <c r="AN35" i="9" s="1"/>
  <c r="AG44" i="21" s="1"/>
  <c r="AV38" i="9"/>
  <c r="AL38" i="9" s="1"/>
  <c r="AJ42" i="21" s="1"/>
  <c r="AU38" i="9"/>
  <c r="AK38" i="9" s="1"/>
  <c r="AJ41" i="21" s="1"/>
  <c r="AT38" i="9"/>
  <c r="AX38" i="9"/>
  <c r="AN38" i="9" s="1"/>
  <c r="AJ44" i="21" s="1"/>
  <c r="AW38" i="9"/>
  <c r="AM38" i="9" s="1"/>
  <c r="AJ43" i="21" s="1"/>
  <c r="AR49" i="9"/>
  <c r="AS49" i="9" s="1"/>
  <c r="AY52" i="9"/>
  <c r="AO52" i="9" s="1"/>
  <c r="J87" i="21" s="1"/>
  <c r="AJ134" i="9"/>
  <c r="L166" i="21" s="1"/>
  <c r="AI134" i="9"/>
  <c r="L165" i="21" s="1"/>
  <c r="AH134" i="9"/>
  <c r="L164" i="21" s="1"/>
  <c r="AJ141" i="9"/>
  <c r="S166" i="21" s="1"/>
  <c r="AI141" i="9"/>
  <c r="S165" i="21" s="1"/>
  <c r="AH141" i="9"/>
  <c r="S164" i="21" s="1"/>
  <c r="AW21" i="9"/>
  <c r="AM21" i="9" s="1"/>
  <c r="S43" i="21" s="1"/>
  <c r="AV21" i="9"/>
  <c r="AL21" i="9" s="1"/>
  <c r="S42" i="21" s="1"/>
  <c r="AU21" i="9"/>
  <c r="AK21" i="9" s="1"/>
  <c r="S41" i="21" s="1"/>
  <c r="AT21" i="9"/>
  <c r="AY21" i="9"/>
  <c r="AO21" i="9" s="1"/>
  <c r="S45" i="21" s="1"/>
  <c r="AX21" i="9"/>
  <c r="AN21" i="9" s="1"/>
  <c r="S44" i="21" s="1"/>
  <c r="AU27" i="9"/>
  <c r="AK27" i="9" s="1"/>
  <c r="Y41" i="21" s="1"/>
  <c r="AT27" i="9"/>
  <c r="AR27" i="9"/>
  <c r="AS27" i="9" s="1"/>
  <c r="AY27" i="9"/>
  <c r="AO27" i="9" s="1"/>
  <c r="Y45" i="21" s="1"/>
  <c r="AW27" i="9"/>
  <c r="AM27" i="9" s="1"/>
  <c r="Y43" i="21" s="1"/>
  <c r="AV27" i="9"/>
  <c r="AL27" i="9" s="1"/>
  <c r="Y42" i="21" s="1"/>
  <c r="AW77" i="9"/>
  <c r="AM77" i="9" s="1"/>
  <c r="AI85" i="21" s="1"/>
  <c r="AV77" i="9"/>
  <c r="AL77" i="9" s="1"/>
  <c r="AI84" i="21" s="1"/>
  <c r="AU77" i="9"/>
  <c r="AK77" i="9" s="1"/>
  <c r="AI83" i="21" s="1"/>
  <c r="AT77" i="9"/>
  <c r="AY77" i="9"/>
  <c r="AO77" i="9" s="1"/>
  <c r="AI87" i="21" s="1"/>
  <c r="AX77" i="9"/>
  <c r="AN77" i="9" s="1"/>
  <c r="AI86" i="21" s="1"/>
  <c r="AV136" i="9"/>
  <c r="AL136" i="9" s="1"/>
  <c r="N168" i="21" s="1"/>
  <c r="AU136" i="9"/>
  <c r="AK136" i="9" s="1"/>
  <c r="N167" i="21" s="1"/>
  <c r="AT136" i="9"/>
  <c r="AR136" i="9"/>
  <c r="AS136" i="9" s="1"/>
  <c r="AY136" i="9"/>
  <c r="AO136" i="9" s="1"/>
  <c r="N171" i="21" s="1"/>
  <c r="AX136" i="9"/>
  <c r="AN136" i="9" s="1"/>
  <c r="N170" i="21" s="1"/>
  <c r="AW136" i="9"/>
  <c r="AM136" i="9" s="1"/>
  <c r="N169" i="21" s="1"/>
  <c r="D5" i="18"/>
  <c r="D8" i="21"/>
  <c r="D33" i="18"/>
  <c r="D36" i="21"/>
  <c r="D9" i="21"/>
  <c r="D10" i="18"/>
  <c r="D8" i="18"/>
  <c r="D6" i="18"/>
  <c r="D7" i="18"/>
  <c r="D9" i="18"/>
  <c r="AV12" i="9"/>
  <c r="AL12" i="9" s="1"/>
  <c r="J42" i="21" s="1"/>
  <c r="AJ14" i="9"/>
  <c r="L40" i="21" s="1"/>
  <c r="AI18" i="9"/>
  <c r="P39" i="21" s="1"/>
  <c r="AH18" i="9"/>
  <c r="P38" i="21" s="1"/>
  <c r="AJ18" i="9"/>
  <c r="P40" i="21" s="1"/>
  <c r="AR21" i="9"/>
  <c r="AS21" i="9" s="1"/>
  <c r="AX27" i="9"/>
  <c r="AN27" i="9" s="1"/>
  <c r="Y44" i="21" s="1"/>
  <c r="AY38" i="9"/>
  <c r="AO38" i="9" s="1"/>
  <c r="AJ45" i="21" s="1"/>
  <c r="AI46" i="9"/>
  <c r="D81" i="21" s="1"/>
  <c r="AH46" i="9"/>
  <c r="D80" i="21" s="1"/>
  <c r="AJ46" i="9"/>
  <c r="D82" i="21" s="1"/>
  <c r="AJ54" i="9"/>
  <c r="L82" i="21" s="1"/>
  <c r="AI54" i="9"/>
  <c r="L81" i="21" s="1"/>
  <c r="AH54" i="9"/>
  <c r="L80" i="21" s="1"/>
  <c r="AH58" i="9"/>
  <c r="P80" i="21" s="1"/>
  <c r="AI67" i="9"/>
  <c r="Y81" i="21" s="1"/>
  <c r="AH67" i="9"/>
  <c r="Y80" i="21" s="1"/>
  <c r="AJ71" i="9"/>
  <c r="AC82" i="21" s="1"/>
  <c r="AI71" i="9"/>
  <c r="AC81" i="21" s="1"/>
  <c r="AH71" i="9"/>
  <c r="AC80" i="21" s="1"/>
  <c r="AR77" i="9"/>
  <c r="AS77" i="9" s="1"/>
  <c r="AJ85" i="9"/>
  <c r="AQ82" i="21" s="1"/>
  <c r="AI85" i="9"/>
  <c r="AQ81" i="21" s="1"/>
  <c r="AH85" i="9"/>
  <c r="AQ80" i="21" s="1"/>
  <c r="AJ212" i="9"/>
  <c r="J250" i="21" s="1"/>
  <c r="AI212" i="9"/>
  <c r="J249" i="21" s="1"/>
  <c r="AH212" i="9"/>
  <c r="J248" i="21" s="1"/>
  <c r="D15" i="21"/>
  <c r="D16" i="18"/>
  <c r="D38" i="22" s="1"/>
  <c r="D16" i="21"/>
  <c r="D17" i="18"/>
  <c r="D30" i="21"/>
  <c r="D29" i="18"/>
  <c r="AR11" i="9"/>
  <c r="AS11" i="9" s="1"/>
  <c r="AU16" i="9"/>
  <c r="AK16" i="9" s="1"/>
  <c r="N41" i="21" s="1"/>
  <c r="AY18" i="9"/>
  <c r="AO18" i="9" s="1"/>
  <c r="P45" i="21" s="1"/>
  <c r="AT19" i="9"/>
  <c r="AR25" i="9"/>
  <c r="AS25" i="9" s="1"/>
  <c r="AU30" i="9"/>
  <c r="AK30" i="9" s="1"/>
  <c r="AB41" i="21" s="1"/>
  <c r="AY32" i="9"/>
  <c r="AO32" i="9" s="1"/>
  <c r="AD45" i="21" s="1"/>
  <c r="AT33" i="9"/>
  <c r="AR39" i="9"/>
  <c r="AS39" i="9" s="1"/>
  <c r="AU44" i="9"/>
  <c r="AK44" i="9" s="1"/>
  <c r="AP41" i="21" s="1"/>
  <c r="AY46" i="9"/>
  <c r="AO46" i="9" s="1"/>
  <c r="D87" i="21" s="1"/>
  <c r="AT47" i="9"/>
  <c r="AR53" i="9"/>
  <c r="AS53" i="9" s="1"/>
  <c r="AV55" i="9"/>
  <c r="AL55" i="9" s="1"/>
  <c r="M84" i="21" s="1"/>
  <c r="AU58" i="9"/>
  <c r="AK58" i="9" s="1"/>
  <c r="P83" i="21" s="1"/>
  <c r="AJ60" i="9"/>
  <c r="R82" i="21" s="1"/>
  <c r="AY60" i="9"/>
  <c r="AO60" i="9" s="1"/>
  <c r="R87" i="21" s="1"/>
  <c r="AT61" i="9"/>
  <c r="AR67" i="9"/>
  <c r="AS67" i="9" s="1"/>
  <c r="AV69" i="9"/>
  <c r="AL69" i="9" s="1"/>
  <c r="AA84" i="21" s="1"/>
  <c r="AU72" i="9"/>
  <c r="AK72" i="9" s="1"/>
  <c r="AD83" i="21" s="1"/>
  <c r="AJ74" i="9"/>
  <c r="AF82" i="21" s="1"/>
  <c r="AY74" i="9"/>
  <c r="AO74" i="9" s="1"/>
  <c r="AF87" i="21" s="1"/>
  <c r="AT75" i="9"/>
  <c r="AR81" i="9"/>
  <c r="AS81" i="9" s="1"/>
  <c r="AV83" i="9"/>
  <c r="AL83" i="9" s="1"/>
  <c r="AO84" i="21" s="1"/>
  <c r="AU86" i="9"/>
  <c r="AK86" i="9" s="1"/>
  <c r="D125" i="21" s="1"/>
  <c r="AJ88" i="9"/>
  <c r="F124" i="21" s="1"/>
  <c r="AT89" i="9"/>
  <c r="AX91" i="9"/>
  <c r="AN91" i="9" s="1"/>
  <c r="I128" i="21" s="1"/>
  <c r="AR95" i="9"/>
  <c r="AS95" i="9" s="1"/>
  <c r="AV97" i="9"/>
  <c r="AL97" i="9" s="1"/>
  <c r="O126" i="21" s="1"/>
  <c r="AU100" i="9"/>
  <c r="AK100" i="9" s="1"/>
  <c r="R125" i="21" s="1"/>
  <c r="AJ102" i="9"/>
  <c r="T124" i="21" s="1"/>
  <c r="AT103" i="9"/>
  <c r="AX105" i="9"/>
  <c r="AN105" i="9" s="1"/>
  <c r="W128" i="21" s="1"/>
  <c r="AR109" i="9"/>
  <c r="AS109" i="9" s="1"/>
  <c r="AV111" i="9"/>
  <c r="AL111" i="9" s="1"/>
  <c r="AC126" i="21" s="1"/>
  <c r="AU114" i="9"/>
  <c r="AK114" i="9" s="1"/>
  <c r="AF125" i="21" s="1"/>
  <c r="AJ116" i="9"/>
  <c r="AH124" i="21" s="1"/>
  <c r="AY116" i="9"/>
  <c r="AO116" i="9" s="1"/>
  <c r="AH129" i="21" s="1"/>
  <c r="AT117" i="9"/>
  <c r="AX119" i="9"/>
  <c r="AN119" i="9" s="1"/>
  <c r="AK128" i="21" s="1"/>
  <c r="AR123" i="9"/>
  <c r="AS123" i="9" s="1"/>
  <c r="AV125" i="9"/>
  <c r="AL125" i="9" s="1"/>
  <c r="AQ126" i="21" s="1"/>
  <c r="AU128" i="9"/>
  <c r="AK128" i="9" s="1"/>
  <c r="F167" i="21" s="1"/>
  <c r="AJ130" i="9"/>
  <c r="H166" i="21" s="1"/>
  <c r="AY130" i="9"/>
  <c r="AO130" i="9" s="1"/>
  <c r="H171" i="21" s="1"/>
  <c r="AT131" i="9"/>
  <c r="AX133" i="9"/>
  <c r="AN133" i="9" s="1"/>
  <c r="K170" i="21" s="1"/>
  <c r="AR137" i="9"/>
  <c r="AS137" i="9" s="1"/>
  <c r="AV139" i="9"/>
  <c r="AL139" i="9" s="1"/>
  <c r="Q168" i="21" s="1"/>
  <c r="AU142" i="9"/>
  <c r="AK142" i="9" s="1"/>
  <c r="T167" i="21" s="1"/>
  <c r="AJ144" i="9"/>
  <c r="V166" i="21" s="1"/>
  <c r="AY144" i="9"/>
  <c r="AO144" i="9" s="1"/>
  <c r="V171" i="21" s="1"/>
  <c r="AT145" i="9"/>
  <c r="AX147" i="9"/>
  <c r="AN147" i="9" s="1"/>
  <c r="Y170" i="21" s="1"/>
  <c r="AR151" i="9"/>
  <c r="AS151" i="9" s="1"/>
  <c r="AV153" i="9"/>
  <c r="AL153" i="9" s="1"/>
  <c r="AE168" i="21" s="1"/>
  <c r="AU156" i="9"/>
  <c r="AK156" i="9" s="1"/>
  <c r="AH167" i="21" s="1"/>
  <c r="AJ158" i="9"/>
  <c r="AJ166" i="21" s="1"/>
  <c r="AY158" i="9"/>
  <c r="AO158" i="9" s="1"/>
  <c r="AJ171" i="21" s="1"/>
  <c r="AT159" i="9"/>
  <c r="AX161" i="9"/>
  <c r="AN161" i="9" s="1"/>
  <c r="AM170" i="21" s="1"/>
  <c r="AW164" i="9"/>
  <c r="AM164" i="9" s="1"/>
  <c r="AP169" i="21" s="1"/>
  <c r="AR165" i="9"/>
  <c r="AS165" i="9" s="1"/>
  <c r="AV167" i="9"/>
  <c r="AL167" i="9" s="1"/>
  <c r="E210" i="21" s="1"/>
  <c r="AU170" i="9"/>
  <c r="AK170" i="9" s="1"/>
  <c r="H209" i="21" s="1"/>
  <c r="AJ172" i="9"/>
  <c r="J208" i="21" s="1"/>
  <c r="AY172" i="9"/>
  <c r="AO172" i="9" s="1"/>
  <c r="J213" i="21" s="1"/>
  <c r="AT173" i="9"/>
  <c r="AX175" i="9"/>
  <c r="AN175" i="9" s="1"/>
  <c r="M212" i="21" s="1"/>
  <c r="AW178" i="9"/>
  <c r="AM178" i="9" s="1"/>
  <c r="P211" i="21" s="1"/>
  <c r="AR179" i="9"/>
  <c r="AS179" i="9" s="1"/>
  <c r="AV181" i="9"/>
  <c r="AL181" i="9" s="1"/>
  <c r="S210" i="21" s="1"/>
  <c r="AU184" i="9"/>
  <c r="AK184" i="9" s="1"/>
  <c r="V209" i="21" s="1"/>
  <c r="AJ186" i="9"/>
  <c r="X208" i="21" s="1"/>
  <c r="AY186" i="9"/>
  <c r="AO186" i="9" s="1"/>
  <c r="X213" i="21" s="1"/>
  <c r="AT187" i="9"/>
  <c r="AX189" i="9"/>
  <c r="AN189" i="9" s="1"/>
  <c r="AA212" i="21" s="1"/>
  <c r="AW192" i="9"/>
  <c r="AM192" i="9" s="1"/>
  <c r="AD211" i="21" s="1"/>
  <c r="AR193" i="9"/>
  <c r="AS193" i="9" s="1"/>
  <c r="AV195" i="9"/>
  <c r="AL195" i="9" s="1"/>
  <c r="AG210" i="21" s="1"/>
  <c r="AU198" i="9"/>
  <c r="AK198" i="9" s="1"/>
  <c r="AJ209" i="21" s="1"/>
  <c r="AJ200" i="9"/>
  <c r="AL208" i="21" s="1"/>
  <c r="AY200" i="9"/>
  <c r="AO200" i="9" s="1"/>
  <c r="AL213" i="21" s="1"/>
  <c r="AT201" i="9"/>
  <c r="AX203" i="9"/>
  <c r="AN203" i="9" s="1"/>
  <c r="AO212" i="21" s="1"/>
  <c r="AW206" i="9"/>
  <c r="AM206" i="9" s="1"/>
  <c r="D253" i="21" s="1"/>
  <c r="AR207" i="9"/>
  <c r="AS207" i="9" s="1"/>
  <c r="AV209" i="9"/>
  <c r="AL209" i="9" s="1"/>
  <c r="G252" i="21" s="1"/>
  <c r="AU212" i="9"/>
  <c r="AK212" i="9" s="1"/>
  <c r="J251" i="21" s="1"/>
  <c r="AJ214" i="9"/>
  <c r="L250" i="21" s="1"/>
  <c r="AY214" i="9"/>
  <c r="AO214" i="9" s="1"/>
  <c r="L255" i="21" s="1"/>
  <c r="AT215" i="9"/>
  <c r="AX217" i="9"/>
  <c r="AN217" i="9" s="1"/>
  <c r="O254" i="21" s="1"/>
  <c r="AX220" i="9"/>
  <c r="AN220" i="9" s="1"/>
  <c r="R254" i="21" s="1"/>
  <c r="AU221" i="9"/>
  <c r="AK221" i="9" s="1"/>
  <c r="S251" i="21" s="1"/>
  <c r="AY222" i="9"/>
  <c r="AO222" i="9" s="1"/>
  <c r="T255" i="21" s="1"/>
  <c r="AU222" i="9"/>
  <c r="AK222" i="9" s="1"/>
  <c r="T251" i="21" s="1"/>
  <c r="AW226" i="9"/>
  <c r="AM226" i="9" s="1"/>
  <c r="X253" i="21" s="1"/>
  <c r="AT227" i="9"/>
  <c r="AW228" i="9"/>
  <c r="AM228" i="9" s="1"/>
  <c r="Z253" i="21" s="1"/>
  <c r="AT228" i="9"/>
  <c r="AJ232" i="9"/>
  <c r="AD250" i="21" s="1"/>
  <c r="AT235" i="9"/>
  <c r="AJ251" i="9"/>
  <c r="I292" i="21" s="1"/>
  <c r="AJ307" i="9"/>
  <c r="Y334" i="21" s="1"/>
  <c r="AI307" i="9"/>
  <c r="Y333" i="21" s="1"/>
  <c r="AH307" i="9"/>
  <c r="Y332" i="21" s="1"/>
  <c r="AJ335" i="9"/>
  <c r="M376" i="21" s="1"/>
  <c r="AI335" i="9"/>
  <c r="M375" i="21" s="1"/>
  <c r="AH335" i="9"/>
  <c r="M374" i="21" s="1"/>
  <c r="D17" i="21"/>
  <c r="D18" i="18"/>
  <c r="D45" i="22" s="1"/>
  <c r="AT8" i="9"/>
  <c r="AR14" i="9"/>
  <c r="AS14" i="9" s="1"/>
  <c r="AV16" i="9"/>
  <c r="AL16" i="9" s="1"/>
  <c r="N42" i="21" s="1"/>
  <c r="AU19" i="9"/>
  <c r="AK19" i="9" s="1"/>
  <c r="Q41" i="21" s="1"/>
  <c r="AT22" i="9"/>
  <c r="AV30" i="9"/>
  <c r="AL30" i="9" s="1"/>
  <c r="AB42" i="21" s="1"/>
  <c r="AU33" i="9"/>
  <c r="AK33" i="9" s="1"/>
  <c r="AE41" i="21" s="1"/>
  <c r="AT36" i="9"/>
  <c r="AV44" i="9"/>
  <c r="AL44" i="9" s="1"/>
  <c r="AP42" i="21" s="1"/>
  <c r="AT50" i="9"/>
  <c r="AW55" i="9"/>
  <c r="AM55" i="9" s="1"/>
  <c r="M85" i="21" s="1"/>
  <c r="AV58" i="9"/>
  <c r="AL58" i="9" s="1"/>
  <c r="P84" i="21" s="1"/>
  <c r="AT64" i="9"/>
  <c r="AW69" i="9"/>
  <c r="AM69" i="9" s="1"/>
  <c r="AA85" i="21" s="1"/>
  <c r="AV72" i="9"/>
  <c r="AL72" i="9" s="1"/>
  <c r="AD84" i="21" s="1"/>
  <c r="AW83" i="9"/>
  <c r="AM83" i="9" s="1"/>
  <c r="AO85" i="21" s="1"/>
  <c r="AV86" i="9"/>
  <c r="AL86" i="9" s="1"/>
  <c r="D126" i="21" s="1"/>
  <c r="AY91" i="9"/>
  <c r="AO91" i="9" s="1"/>
  <c r="I129" i="21" s="1"/>
  <c r="AW97" i="9"/>
  <c r="AM97" i="9" s="1"/>
  <c r="O127" i="21" s="1"/>
  <c r="AV100" i="9"/>
  <c r="AL100" i="9" s="1"/>
  <c r="R126" i="21" s="1"/>
  <c r="AY105" i="9"/>
  <c r="AO105" i="9" s="1"/>
  <c r="W129" i="21" s="1"/>
  <c r="AW111" i="9"/>
  <c r="AM111" i="9" s="1"/>
  <c r="AC127" i="21" s="1"/>
  <c r="AV114" i="9"/>
  <c r="AL114" i="9" s="1"/>
  <c r="AF126" i="21" s="1"/>
  <c r="AU117" i="9"/>
  <c r="AK117" i="9" s="1"/>
  <c r="AI125" i="21" s="1"/>
  <c r="AY119" i="9"/>
  <c r="AO119" i="9" s="1"/>
  <c r="AK129" i="21" s="1"/>
  <c r="AW125" i="9"/>
  <c r="AM125" i="9" s="1"/>
  <c r="AQ127" i="21" s="1"/>
  <c r="AV128" i="9"/>
  <c r="AL128" i="9" s="1"/>
  <c r="F168" i="21" s="1"/>
  <c r="AU131" i="9"/>
  <c r="AK131" i="9" s="1"/>
  <c r="I167" i="21" s="1"/>
  <c r="AY133" i="9"/>
  <c r="AO133" i="9" s="1"/>
  <c r="K171" i="21" s="1"/>
  <c r="AW139" i="9"/>
  <c r="AM139" i="9" s="1"/>
  <c r="Q169" i="21" s="1"/>
  <c r="AV142" i="9"/>
  <c r="AL142" i="9" s="1"/>
  <c r="T168" i="21" s="1"/>
  <c r="AU145" i="9"/>
  <c r="AK145" i="9" s="1"/>
  <c r="W167" i="21" s="1"/>
  <c r="AY147" i="9"/>
  <c r="AO147" i="9" s="1"/>
  <c r="Y171" i="21" s="1"/>
  <c r="AW153" i="9"/>
  <c r="AM153" i="9" s="1"/>
  <c r="AE169" i="21" s="1"/>
  <c r="AV156" i="9"/>
  <c r="AL156" i="9" s="1"/>
  <c r="AH168" i="21" s="1"/>
  <c r="AU159" i="9"/>
  <c r="AK159" i="9" s="1"/>
  <c r="AK167" i="21" s="1"/>
  <c r="AY161" i="9"/>
  <c r="AO161" i="9" s="1"/>
  <c r="AM171" i="21" s="1"/>
  <c r="AX164" i="9"/>
  <c r="AN164" i="9" s="1"/>
  <c r="AP170" i="21" s="1"/>
  <c r="AW167" i="9"/>
  <c r="AM167" i="9" s="1"/>
  <c r="E211" i="21" s="1"/>
  <c r="AV170" i="9"/>
  <c r="AL170" i="9" s="1"/>
  <c r="H210" i="21" s="1"/>
  <c r="AU173" i="9"/>
  <c r="AK173" i="9" s="1"/>
  <c r="K209" i="21" s="1"/>
  <c r="AY175" i="9"/>
  <c r="AO175" i="9" s="1"/>
  <c r="M213" i="21" s="1"/>
  <c r="AX178" i="9"/>
  <c r="AN178" i="9" s="1"/>
  <c r="P212" i="21" s="1"/>
  <c r="AW181" i="9"/>
  <c r="AM181" i="9" s="1"/>
  <c r="S211" i="21" s="1"/>
  <c r="AV184" i="9"/>
  <c r="AL184" i="9" s="1"/>
  <c r="V210" i="21" s="1"/>
  <c r="AU187" i="9"/>
  <c r="AK187" i="9" s="1"/>
  <c r="Y209" i="21" s="1"/>
  <c r="AY189" i="9"/>
  <c r="AO189" i="9" s="1"/>
  <c r="AA213" i="21" s="1"/>
  <c r="AX192" i="9"/>
  <c r="AN192" i="9" s="1"/>
  <c r="AD212" i="21" s="1"/>
  <c r="AW195" i="9"/>
  <c r="AM195" i="9" s="1"/>
  <c r="AG211" i="21" s="1"/>
  <c r="AV198" i="9"/>
  <c r="AL198" i="9" s="1"/>
  <c r="AJ210" i="21" s="1"/>
  <c r="AU201" i="9"/>
  <c r="AK201" i="9" s="1"/>
  <c r="AM209" i="21" s="1"/>
  <c r="AY203" i="9"/>
  <c r="AO203" i="9" s="1"/>
  <c r="AO213" i="21" s="1"/>
  <c r="AT204" i="9"/>
  <c r="AX206" i="9"/>
  <c r="AN206" i="9" s="1"/>
  <c r="D254" i="21" s="1"/>
  <c r="AW209" i="9"/>
  <c r="AM209" i="9" s="1"/>
  <c r="G253" i="21" s="1"/>
  <c r="AV212" i="9"/>
  <c r="AL212" i="9" s="1"/>
  <c r="J252" i="21" s="1"/>
  <c r="AU215" i="9"/>
  <c r="AK215" i="9" s="1"/>
  <c r="M251" i="21" s="1"/>
  <c r="AY217" i="9"/>
  <c r="AO217" i="9" s="1"/>
  <c r="O255" i="21" s="1"/>
  <c r="AT218" i="9"/>
  <c r="AY220" i="9"/>
  <c r="AO220" i="9" s="1"/>
  <c r="R255" i="21" s="1"/>
  <c r="AV221" i="9"/>
  <c r="AL221" i="9" s="1"/>
  <c r="S252" i="21" s="1"/>
  <c r="AX226" i="9"/>
  <c r="AN226" i="9" s="1"/>
  <c r="X254" i="21" s="1"/>
  <c r="AU227" i="9"/>
  <c r="AK227" i="9" s="1"/>
  <c r="Y251" i="21" s="1"/>
  <c r="AX230" i="9"/>
  <c r="AN230" i="9" s="1"/>
  <c r="AB254" i="21" s="1"/>
  <c r="AW230" i="9"/>
  <c r="AM230" i="9" s="1"/>
  <c r="AB253" i="21" s="1"/>
  <c r="AU235" i="9"/>
  <c r="AK235" i="9" s="1"/>
  <c r="AG251" i="21" s="1"/>
  <c r="AY236" i="9"/>
  <c r="AO236" i="9" s="1"/>
  <c r="AH255" i="21" s="1"/>
  <c r="AV236" i="9"/>
  <c r="AL236" i="9" s="1"/>
  <c r="AH252" i="21" s="1"/>
  <c r="AU236" i="9"/>
  <c r="AK236" i="9" s="1"/>
  <c r="AH251" i="21" s="1"/>
  <c r="AR243" i="9"/>
  <c r="AS243" i="9" s="1"/>
  <c r="AX243" i="9"/>
  <c r="AN243" i="9" s="1"/>
  <c r="AO254" i="21" s="1"/>
  <c r="AX244" i="9"/>
  <c r="AN244" i="9" s="1"/>
  <c r="AP254" i="21" s="1"/>
  <c r="AW244" i="9"/>
  <c r="AM244" i="9" s="1"/>
  <c r="AP253" i="21" s="1"/>
  <c r="AY255" i="9"/>
  <c r="AO255" i="9" s="1"/>
  <c r="M297" i="21" s="1"/>
  <c r="AX255" i="9"/>
  <c r="AN255" i="9" s="1"/>
  <c r="M296" i="21" s="1"/>
  <c r="AU255" i="9"/>
  <c r="AK255" i="9" s="1"/>
  <c r="M293" i="21" s="1"/>
  <c r="AT255" i="9"/>
  <c r="AY268" i="9"/>
  <c r="AO268" i="9" s="1"/>
  <c r="Z297" i="21" s="1"/>
  <c r="AX268" i="9"/>
  <c r="AN268" i="9" s="1"/>
  <c r="Z296" i="21" s="1"/>
  <c r="AU268" i="9"/>
  <c r="AK268" i="9" s="1"/>
  <c r="Z293" i="21" s="1"/>
  <c r="AT268" i="9"/>
  <c r="AI288" i="9"/>
  <c r="F333" i="21" s="1"/>
  <c r="AH288" i="9"/>
  <c r="F332" i="21" s="1"/>
  <c r="AJ301" i="9"/>
  <c r="S334" i="21" s="1"/>
  <c r="AI301" i="9"/>
  <c r="S333" i="21" s="1"/>
  <c r="AH301" i="9"/>
  <c r="S332" i="21" s="1"/>
  <c r="AJ321" i="9"/>
  <c r="AM334" i="21" s="1"/>
  <c r="AI321" i="9"/>
  <c r="AM333" i="21" s="1"/>
  <c r="AH321" i="9"/>
  <c r="AM332" i="21" s="1"/>
  <c r="AJ363" i="9"/>
  <c r="AO376" i="21" s="1"/>
  <c r="AI363" i="9"/>
  <c r="AO375" i="21" s="1"/>
  <c r="AH363" i="9"/>
  <c r="AO374" i="21" s="1"/>
  <c r="AY164" i="9"/>
  <c r="AO164" i="9" s="1"/>
  <c r="AP171" i="21" s="1"/>
  <c r="AY178" i="9"/>
  <c r="AO178" i="9" s="1"/>
  <c r="P213" i="21" s="1"/>
  <c r="AY192" i="9"/>
  <c r="AO192" i="9" s="1"/>
  <c r="AD213" i="21" s="1"/>
  <c r="AY238" i="9"/>
  <c r="AO238" i="9" s="1"/>
  <c r="AJ255" i="21" s="1"/>
  <c r="AU238" i="9"/>
  <c r="AK238" i="9" s="1"/>
  <c r="AJ251" i="21" s="1"/>
  <c r="AY241" i="9"/>
  <c r="AO241" i="9" s="1"/>
  <c r="AM255" i="21" s="1"/>
  <c r="AX241" i="9"/>
  <c r="AN241" i="9" s="1"/>
  <c r="AM254" i="21" s="1"/>
  <c r="AT241" i="9"/>
  <c r="AW242" i="9"/>
  <c r="AM242" i="9" s="1"/>
  <c r="AN253" i="21" s="1"/>
  <c r="AT242" i="9"/>
  <c r="AV245" i="9"/>
  <c r="AL245" i="9" s="1"/>
  <c r="AQ252" i="21" s="1"/>
  <c r="AR245" i="9"/>
  <c r="AS245" i="9" s="1"/>
  <c r="AV273" i="9"/>
  <c r="AL273" i="9" s="1"/>
  <c r="AE294" i="21" s="1"/>
  <c r="AR273" i="9"/>
  <c r="AS273" i="9" s="1"/>
  <c r="AX273" i="9"/>
  <c r="AN273" i="9" s="1"/>
  <c r="AE296" i="21" s="1"/>
  <c r="AW273" i="9"/>
  <c r="AM273" i="9" s="1"/>
  <c r="AE295" i="21" s="1"/>
  <c r="AR310" i="9"/>
  <c r="AS310" i="9" s="1"/>
  <c r="AY310" i="9"/>
  <c r="AO310" i="9" s="1"/>
  <c r="AB339" i="21" s="1"/>
  <c r="AX310" i="9"/>
  <c r="AN310" i="9" s="1"/>
  <c r="AB338" i="21" s="1"/>
  <c r="AW310" i="9"/>
  <c r="AM310" i="9" s="1"/>
  <c r="AB337" i="21" s="1"/>
  <c r="AV310" i="9"/>
  <c r="AL310" i="9" s="1"/>
  <c r="AB336" i="21" s="1"/>
  <c r="AU310" i="9"/>
  <c r="AK310" i="9" s="1"/>
  <c r="AB335" i="21" s="1"/>
  <c r="AT310" i="9"/>
  <c r="AJ315" i="9"/>
  <c r="AG334" i="21" s="1"/>
  <c r="AI315" i="9"/>
  <c r="AG333" i="21" s="1"/>
  <c r="AH315" i="9"/>
  <c r="AG332" i="21" s="1"/>
  <c r="AJ349" i="9"/>
  <c r="AA376" i="21" s="1"/>
  <c r="AI349" i="9"/>
  <c r="AA375" i="21" s="1"/>
  <c r="AH349" i="9"/>
  <c r="AA374" i="21" s="1"/>
  <c r="AH392" i="9"/>
  <c r="AD416" i="21" s="1"/>
  <c r="AJ392" i="9"/>
  <c r="AD418" i="21" s="1"/>
  <c r="AI392" i="9"/>
  <c r="AD417" i="21" s="1"/>
  <c r="AY55" i="9"/>
  <c r="AO55" i="9" s="1"/>
  <c r="M87" i="21" s="1"/>
  <c r="AY69" i="9"/>
  <c r="AO69" i="9" s="1"/>
  <c r="AA87" i="21" s="1"/>
  <c r="AY83" i="9"/>
  <c r="AO83" i="9" s="1"/>
  <c r="AO87" i="21" s="1"/>
  <c r="AR90" i="9"/>
  <c r="AS90" i="9" s="1"/>
  <c r="AY97" i="9"/>
  <c r="AO97" i="9" s="1"/>
  <c r="O129" i="21" s="1"/>
  <c r="AR104" i="9"/>
  <c r="AS104" i="9" s="1"/>
  <c r="AY111" i="9"/>
  <c r="AO111" i="9" s="1"/>
  <c r="AC129" i="21" s="1"/>
  <c r="AR118" i="9"/>
  <c r="AS118" i="9" s="1"/>
  <c r="AR132" i="9"/>
  <c r="AS132" i="9" s="1"/>
  <c r="AR146" i="9"/>
  <c r="AS146" i="9" s="1"/>
  <c r="AR160" i="9"/>
  <c r="AS160" i="9" s="1"/>
  <c r="AR174" i="9"/>
  <c r="AS174" i="9" s="1"/>
  <c r="AR188" i="9"/>
  <c r="AS188" i="9" s="1"/>
  <c r="AR202" i="9"/>
  <c r="AS202" i="9" s="1"/>
  <c r="AR216" i="9"/>
  <c r="AS216" i="9" s="1"/>
  <c r="AR223" i="9"/>
  <c r="AS223" i="9" s="1"/>
  <c r="AR238" i="9"/>
  <c r="AS238" i="9" s="1"/>
  <c r="AX239" i="9"/>
  <c r="AN239" i="9" s="1"/>
  <c r="AK254" i="21" s="1"/>
  <c r="AU239" i="9"/>
  <c r="AK239" i="9" s="1"/>
  <c r="AK251" i="21" s="1"/>
  <c r="AT239" i="9"/>
  <c r="AR240" i="9"/>
  <c r="AS240" i="9" s="1"/>
  <c r="AR241" i="9"/>
  <c r="AS241" i="9" s="1"/>
  <c r="AR242" i="9"/>
  <c r="AS242" i="9" s="1"/>
  <c r="AI244" i="9"/>
  <c r="AP249" i="21" s="1"/>
  <c r="AH244" i="9"/>
  <c r="AP248" i="21" s="1"/>
  <c r="AT245" i="9"/>
  <c r="AW249" i="9"/>
  <c r="AM249" i="9" s="1"/>
  <c r="G295" i="21" s="1"/>
  <c r="AV249" i="9"/>
  <c r="AL249" i="9" s="1"/>
  <c r="G294" i="21" s="1"/>
  <c r="AR254" i="9"/>
  <c r="AS254" i="9" s="1"/>
  <c r="AI260" i="9"/>
  <c r="R291" i="21" s="1"/>
  <c r="AH260" i="9"/>
  <c r="R290" i="21" s="1"/>
  <c r="AT273" i="9"/>
  <c r="AR324" i="9"/>
  <c r="AS324" i="9" s="1"/>
  <c r="AY324" i="9"/>
  <c r="AO324" i="9" s="1"/>
  <c r="AP339" i="21" s="1"/>
  <c r="AX324" i="9"/>
  <c r="AN324" i="9" s="1"/>
  <c r="AP338" i="21" s="1"/>
  <c r="AW324" i="9"/>
  <c r="AM324" i="9" s="1"/>
  <c r="AP337" i="21" s="1"/>
  <c r="AV324" i="9"/>
  <c r="AL324" i="9" s="1"/>
  <c r="AP336" i="21" s="1"/>
  <c r="AU324" i="9"/>
  <c r="AK324" i="9" s="1"/>
  <c r="AP335" i="21" s="1"/>
  <c r="AT324" i="9"/>
  <c r="AJ329" i="9"/>
  <c r="G376" i="21" s="1"/>
  <c r="AI329" i="9"/>
  <c r="G375" i="21" s="1"/>
  <c r="AH329" i="9"/>
  <c r="G374" i="21" s="1"/>
  <c r="AR177" i="9"/>
  <c r="AS177" i="9" s="1"/>
  <c r="AV179" i="9"/>
  <c r="AL179" i="9" s="1"/>
  <c r="Q210" i="21" s="1"/>
  <c r="AY184" i="9"/>
  <c r="AO184" i="9" s="1"/>
  <c r="V213" i="21" s="1"/>
  <c r="AR191" i="9"/>
  <c r="AS191" i="9" s="1"/>
  <c r="AV193" i="9"/>
  <c r="AL193" i="9" s="1"/>
  <c r="AE210" i="21" s="1"/>
  <c r="AR205" i="9"/>
  <c r="AS205" i="9" s="1"/>
  <c r="AR219" i="9"/>
  <c r="AS219" i="9" s="1"/>
  <c r="AI230" i="9"/>
  <c r="AB249" i="21" s="1"/>
  <c r="AH230" i="9"/>
  <c r="AB248" i="21" s="1"/>
  <c r="AV231" i="9"/>
  <c r="AL231" i="9" s="1"/>
  <c r="AC252" i="21" s="1"/>
  <c r="AR231" i="9"/>
  <c r="AS231" i="9" s="1"/>
  <c r="AR239" i="9"/>
  <c r="AS239" i="9" s="1"/>
  <c r="AT240" i="9"/>
  <c r="AU242" i="9"/>
  <c r="AK242" i="9" s="1"/>
  <c r="AN251" i="21" s="1"/>
  <c r="AU245" i="9"/>
  <c r="AK245" i="9" s="1"/>
  <c r="AQ251" i="21" s="1"/>
  <c r="AW247" i="9"/>
  <c r="AM247" i="9" s="1"/>
  <c r="E295" i="21" s="1"/>
  <c r="AV247" i="9"/>
  <c r="AL247" i="9" s="1"/>
  <c r="E294" i="21" s="1"/>
  <c r="AR247" i="9"/>
  <c r="AS247" i="9" s="1"/>
  <c r="AR249" i="9"/>
  <c r="AS249" i="9" s="1"/>
  <c r="AY252" i="9"/>
  <c r="AO252" i="9" s="1"/>
  <c r="J297" i="21" s="1"/>
  <c r="AV252" i="9"/>
  <c r="AL252" i="9" s="1"/>
  <c r="J294" i="21" s="1"/>
  <c r="AU252" i="9"/>
  <c r="AK252" i="9" s="1"/>
  <c r="J293" i="21" s="1"/>
  <c r="AT254" i="9"/>
  <c r="AV259" i="9"/>
  <c r="AL259" i="9" s="1"/>
  <c r="Q294" i="21" s="1"/>
  <c r="AR259" i="9"/>
  <c r="AS259" i="9" s="1"/>
  <c r="AX259" i="9"/>
  <c r="AN259" i="9" s="1"/>
  <c r="Q296" i="21" s="1"/>
  <c r="AW270" i="9"/>
  <c r="AM270" i="9" s="1"/>
  <c r="AB295" i="21" s="1"/>
  <c r="AT270" i="9"/>
  <c r="AY270" i="9"/>
  <c r="AO270" i="9" s="1"/>
  <c r="AB297" i="21" s="1"/>
  <c r="AX270" i="9"/>
  <c r="AN270" i="9" s="1"/>
  <c r="AB296" i="21" s="1"/>
  <c r="AU273" i="9"/>
  <c r="AK273" i="9" s="1"/>
  <c r="AE293" i="21" s="1"/>
  <c r="AR285" i="9"/>
  <c r="AS285" i="9" s="1"/>
  <c r="AY285" i="9"/>
  <c r="AO285" i="9" s="1"/>
  <c r="AQ297" i="21" s="1"/>
  <c r="AX285" i="9"/>
  <c r="AN285" i="9" s="1"/>
  <c r="AQ296" i="21" s="1"/>
  <c r="AW285" i="9"/>
  <c r="AM285" i="9" s="1"/>
  <c r="AQ295" i="21" s="1"/>
  <c r="AV285" i="9"/>
  <c r="AL285" i="9" s="1"/>
  <c r="AQ294" i="21" s="1"/>
  <c r="AT285" i="9"/>
  <c r="AR338" i="9"/>
  <c r="AS338" i="9" s="1"/>
  <c r="AY338" i="9"/>
  <c r="AO338" i="9" s="1"/>
  <c r="P381" i="21" s="1"/>
  <c r="AX338" i="9"/>
  <c r="AN338" i="9" s="1"/>
  <c r="P380" i="21" s="1"/>
  <c r="AW338" i="9"/>
  <c r="AM338" i="9" s="1"/>
  <c r="P379" i="21" s="1"/>
  <c r="AV338" i="9"/>
  <c r="AL338" i="9" s="1"/>
  <c r="P378" i="21" s="1"/>
  <c r="AU338" i="9"/>
  <c r="AK338" i="9" s="1"/>
  <c r="P377" i="21" s="1"/>
  <c r="AT338" i="9"/>
  <c r="AY19" i="9"/>
  <c r="AO19" i="9" s="1"/>
  <c r="Q45" i="21" s="1"/>
  <c r="AR40" i="9"/>
  <c r="AS40" i="9" s="1"/>
  <c r="AR54" i="9"/>
  <c r="AS54" i="9" s="1"/>
  <c r="AR68" i="9"/>
  <c r="AS68" i="9" s="1"/>
  <c r="AH81" i="9"/>
  <c r="AM80" i="21" s="1"/>
  <c r="AR82" i="9"/>
  <c r="AS82" i="9" s="1"/>
  <c r="AU87" i="9"/>
  <c r="AK87" i="9" s="1"/>
  <c r="E125" i="21" s="1"/>
  <c r="AY89" i="9"/>
  <c r="AO89" i="9" s="1"/>
  <c r="G129" i="21" s="1"/>
  <c r="AT90" i="9"/>
  <c r="AI92" i="9"/>
  <c r="J123" i="21" s="1"/>
  <c r="AH95" i="9"/>
  <c r="M122" i="21" s="1"/>
  <c r="AW95" i="9"/>
  <c r="AM95" i="9" s="1"/>
  <c r="M127" i="21" s="1"/>
  <c r="AR96" i="9"/>
  <c r="AS96" i="9" s="1"/>
  <c r="AU101" i="9"/>
  <c r="AK101" i="9" s="1"/>
  <c r="S125" i="21" s="1"/>
  <c r="AY103" i="9"/>
  <c r="AO103" i="9" s="1"/>
  <c r="U129" i="21" s="1"/>
  <c r="AT104" i="9"/>
  <c r="AI106" i="9"/>
  <c r="X123" i="21" s="1"/>
  <c r="AH109" i="9"/>
  <c r="AA122" i="21" s="1"/>
  <c r="AW109" i="9"/>
  <c r="AM109" i="9" s="1"/>
  <c r="AA127" i="21" s="1"/>
  <c r="AR110" i="9"/>
  <c r="AS110" i="9" s="1"/>
  <c r="AY117" i="9"/>
  <c r="AO117" i="9" s="1"/>
  <c r="AI129" i="21" s="1"/>
  <c r="AT118" i="9"/>
  <c r="AH123" i="9"/>
  <c r="AO122" i="21" s="1"/>
  <c r="AW123" i="9"/>
  <c r="AM123" i="9" s="1"/>
  <c r="AO127" i="21" s="1"/>
  <c r="AR124" i="9"/>
  <c r="AS124" i="9" s="1"/>
  <c r="AY131" i="9"/>
  <c r="AO131" i="9" s="1"/>
  <c r="I171" i="21" s="1"/>
  <c r="AT132" i="9"/>
  <c r="AH137" i="9"/>
  <c r="O164" i="21" s="1"/>
  <c r="AW137" i="9"/>
  <c r="AM137" i="9" s="1"/>
  <c r="O169" i="21" s="1"/>
  <c r="AR138" i="9"/>
  <c r="AS138" i="9" s="1"/>
  <c r="AY145" i="9"/>
  <c r="AO145" i="9" s="1"/>
  <c r="W171" i="21" s="1"/>
  <c r="AT146" i="9"/>
  <c r="AH151" i="9"/>
  <c r="AC164" i="21" s="1"/>
  <c r="AW151" i="9"/>
  <c r="AM151" i="9" s="1"/>
  <c r="AC169" i="21" s="1"/>
  <c r="AR152" i="9"/>
  <c r="AS152" i="9" s="1"/>
  <c r="AY159" i="9"/>
  <c r="AO159" i="9" s="1"/>
  <c r="AK171" i="21" s="1"/>
  <c r="AT160" i="9"/>
  <c r="AH165" i="9"/>
  <c r="AQ164" i="21" s="1"/>
  <c r="AW165" i="9"/>
  <c r="AM165" i="9" s="1"/>
  <c r="AQ169" i="21" s="1"/>
  <c r="AR166" i="9"/>
  <c r="AS166" i="9" s="1"/>
  <c r="AY173" i="9"/>
  <c r="AO173" i="9" s="1"/>
  <c r="K213" i="21" s="1"/>
  <c r="AT174" i="9"/>
  <c r="AH179" i="9"/>
  <c r="Q206" i="21" s="1"/>
  <c r="AW179" i="9"/>
  <c r="AM179" i="9" s="1"/>
  <c r="Q211" i="21" s="1"/>
  <c r="AR180" i="9"/>
  <c r="AS180" i="9" s="1"/>
  <c r="AY187" i="9"/>
  <c r="AO187" i="9" s="1"/>
  <c r="Y213" i="21" s="1"/>
  <c r="AT188" i="9"/>
  <c r="AH193" i="9"/>
  <c r="AE206" i="21" s="1"/>
  <c r="AW193" i="9"/>
  <c r="AM193" i="9" s="1"/>
  <c r="AE211" i="21" s="1"/>
  <c r="AR194" i="9"/>
  <c r="AS194" i="9" s="1"/>
  <c r="AY201" i="9"/>
  <c r="AO201" i="9" s="1"/>
  <c r="AM213" i="21" s="1"/>
  <c r="AT202" i="9"/>
  <c r="AH207" i="9"/>
  <c r="E248" i="21" s="1"/>
  <c r="AW207" i="9"/>
  <c r="AM207" i="9" s="1"/>
  <c r="E253" i="21" s="1"/>
  <c r="AR208" i="9"/>
  <c r="AS208" i="9" s="1"/>
  <c r="AY215" i="9"/>
  <c r="AO215" i="9" s="1"/>
  <c r="M255" i="21" s="1"/>
  <c r="AT216" i="9"/>
  <c r="AU223" i="9"/>
  <c r="AK223" i="9" s="1"/>
  <c r="U251" i="21" s="1"/>
  <c r="AR224" i="9"/>
  <c r="AS224" i="9" s="1"/>
  <c r="AU230" i="9"/>
  <c r="AK230" i="9" s="1"/>
  <c r="AB251" i="21" s="1"/>
  <c r="AT231" i="9"/>
  <c r="AY235" i="9"/>
  <c r="AO235" i="9" s="1"/>
  <c r="AG255" i="21" s="1"/>
  <c r="AW236" i="9"/>
  <c r="AM236" i="9" s="1"/>
  <c r="AH253" i="21" s="1"/>
  <c r="AT238" i="9"/>
  <c r="AU240" i="9"/>
  <c r="AK240" i="9" s="1"/>
  <c r="AL251" i="21" s="1"/>
  <c r="AU241" i="9"/>
  <c r="AK241" i="9" s="1"/>
  <c r="AM251" i="21" s="1"/>
  <c r="AV242" i="9"/>
  <c r="AL242" i="9" s="1"/>
  <c r="AN252" i="21" s="1"/>
  <c r="AV243" i="9"/>
  <c r="AL243" i="9" s="1"/>
  <c r="AO252" i="21" s="1"/>
  <c r="AV244" i="9"/>
  <c r="AL244" i="9" s="1"/>
  <c r="AP252" i="21" s="1"/>
  <c r="AW245" i="9"/>
  <c r="AM245" i="9" s="1"/>
  <c r="AQ253" i="21" s="1"/>
  <c r="AT247" i="9"/>
  <c r="AR252" i="9"/>
  <c r="AS252" i="9" s="1"/>
  <c r="AU254" i="9"/>
  <c r="AK254" i="9" s="1"/>
  <c r="L293" i="21" s="1"/>
  <c r="AW255" i="9"/>
  <c r="AM255" i="9" s="1"/>
  <c r="M295" i="21" s="1"/>
  <c r="AT259" i="9"/>
  <c r="AR270" i="9"/>
  <c r="AS270" i="9" s="1"/>
  <c r="AY273" i="9"/>
  <c r="AO273" i="9" s="1"/>
  <c r="AE297" i="21" s="1"/>
  <c r="AU285" i="9"/>
  <c r="AK285" i="9" s="1"/>
  <c r="AQ293" i="21" s="1"/>
  <c r="AI287" i="9"/>
  <c r="E333" i="21" s="1"/>
  <c r="AH287" i="9"/>
  <c r="E332" i="21" s="1"/>
  <c r="AJ303" i="9"/>
  <c r="U334" i="21" s="1"/>
  <c r="AH303" i="9"/>
  <c r="U332" i="21" s="1"/>
  <c r="AJ343" i="9"/>
  <c r="U376" i="21" s="1"/>
  <c r="AI343" i="9"/>
  <c r="U375" i="21" s="1"/>
  <c r="AH343" i="9"/>
  <c r="U374" i="21" s="1"/>
  <c r="AT79" i="9"/>
  <c r="AI81" i="9"/>
  <c r="AM81" i="21" s="1"/>
  <c r="AR85" i="9"/>
  <c r="AS85" i="9" s="1"/>
  <c r="AU90" i="9"/>
  <c r="AK90" i="9" s="1"/>
  <c r="H125" i="21" s="1"/>
  <c r="AT93" i="9"/>
  <c r="AI95" i="9"/>
  <c r="M123" i="21" s="1"/>
  <c r="AR99" i="9"/>
  <c r="AS99" i="9" s="1"/>
  <c r="AU104" i="9"/>
  <c r="AK104" i="9" s="1"/>
  <c r="V125" i="21" s="1"/>
  <c r="AT107" i="9"/>
  <c r="AI109" i="9"/>
  <c r="AA123" i="21" s="1"/>
  <c r="AR113" i="9"/>
  <c r="AS113" i="9" s="1"/>
  <c r="AU118" i="9"/>
  <c r="AK118" i="9" s="1"/>
  <c r="AJ125" i="21" s="1"/>
  <c r="AT121" i="9"/>
  <c r="AI123" i="9"/>
  <c r="AO123" i="21" s="1"/>
  <c r="AU132" i="9"/>
  <c r="AK132" i="9" s="1"/>
  <c r="J167" i="21" s="1"/>
  <c r="AT135" i="9"/>
  <c r="AI137" i="9"/>
  <c r="O165" i="21" s="1"/>
  <c r="AU146" i="9"/>
  <c r="AK146" i="9" s="1"/>
  <c r="X167" i="21" s="1"/>
  <c r="AT149" i="9"/>
  <c r="AI151" i="9"/>
  <c r="AC165" i="21" s="1"/>
  <c r="AH154" i="9"/>
  <c r="AF164" i="21" s="1"/>
  <c r="AU160" i="9"/>
  <c r="AK160" i="9" s="1"/>
  <c r="AL167" i="21" s="1"/>
  <c r="AT163" i="9"/>
  <c r="AI165" i="9"/>
  <c r="AQ165" i="21" s="1"/>
  <c r="AH168" i="9"/>
  <c r="F206" i="21" s="1"/>
  <c r="AU174" i="9"/>
  <c r="AK174" i="9" s="1"/>
  <c r="L209" i="21" s="1"/>
  <c r="AT177" i="9"/>
  <c r="AI179" i="9"/>
  <c r="Q207" i="21" s="1"/>
  <c r="AH182" i="9"/>
  <c r="T206" i="21" s="1"/>
  <c r="AU188" i="9"/>
  <c r="AK188" i="9" s="1"/>
  <c r="Z209" i="21" s="1"/>
  <c r="AT191" i="9"/>
  <c r="AI193" i="9"/>
  <c r="AE207" i="21" s="1"/>
  <c r="AH196" i="9"/>
  <c r="AH206" i="21" s="1"/>
  <c r="AU202" i="9"/>
  <c r="AK202" i="9" s="1"/>
  <c r="AN209" i="21" s="1"/>
  <c r="AT205" i="9"/>
  <c r="AI207" i="9"/>
  <c r="E249" i="21" s="1"/>
  <c r="AH210" i="9"/>
  <c r="H248" i="21" s="1"/>
  <c r="AU216" i="9"/>
  <c r="AK216" i="9" s="1"/>
  <c r="N251" i="21" s="1"/>
  <c r="AT219" i="9"/>
  <c r="AV223" i="9"/>
  <c r="AL223" i="9" s="1"/>
  <c r="U252" i="21" s="1"/>
  <c r="AU231" i="9"/>
  <c r="AK231" i="9" s="1"/>
  <c r="AC251" i="21" s="1"/>
  <c r="AV238" i="9"/>
  <c r="AL238" i="9" s="1"/>
  <c r="AJ252" i="21" s="1"/>
  <c r="AV239" i="9"/>
  <c r="AL239" i="9" s="1"/>
  <c r="AK252" i="21" s="1"/>
  <c r="AV240" i="9"/>
  <c r="AL240" i="9" s="1"/>
  <c r="AL252" i="21" s="1"/>
  <c r="AV241" i="9"/>
  <c r="AL241" i="9" s="1"/>
  <c r="AM252" i="21" s="1"/>
  <c r="AX242" i="9"/>
  <c r="AN242" i="9" s="1"/>
  <c r="AN254" i="21" s="1"/>
  <c r="AX245" i="9"/>
  <c r="AN245" i="9" s="1"/>
  <c r="AQ254" i="21" s="1"/>
  <c r="AU247" i="9"/>
  <c r="AK247" i="9" s="1"/>
  <c r="E293" i="21" s="1"/>
  <c r="AT249" i="9"/>
  <c r="AV254" i="9"/>
  <c r="AL254" i="9" s="1"/>
  <c r="L294" i="21" s="1"/>
  <c r="AX258" i="9"/>
  <c r="AN258" i="9" s="1"/>
  <c r="P296" i="21" s="1"/>
  <c r="AW258" i="9"/>
  <c r="AM258" i="9" s="1"/>
  <c r="P295" i="21" s="1"/>
  <c r="AT258" i="9"/>
  <c r="AU259" i="9"/>
  <c r="AK259" i="9" s="1"/>
  <c r="Q293" i="21" s="1"/>
  <c r="AU270" i="9"/>
  <c r="AK270" i="9" s="1"/>
  <c r="AB293" i="21" s="1"/>
  <c r="AY283" i="9"/>
  <c r="AO283" i="9" s="1"/>
  <c r="AO297" i="21" s="1"/>
  <c r="AX283" i="9"/>
  <c r="AN283" i="9" s="1"/>
  <c r="AO296" i="21" s="1"/>
  <c r="AW283" i="9"/>
  <c r="AM283" i="9" s="1"/>
  <c r="AO295" i="21" s="1"/>
  <c r="AU283" i="9"/>
  <c r="AK283" i="9" s="1"/>
  <c r="AO293" i="21" s="1"/>
  <c r="AT283" i="9"/>
  <c r="AR283" i="9"/>
  <c r="AS283" i="9" s="1"/>
  <c r="AJ317" i="9"/>
  <c r="AI334" i="21" s="1"/>
  <c r="AH317" i="9"/>
  <c r="AI332" i="21" s="1"/>
  <c r="AR352" i="9"/>
  <c r="AS352" i="9" s="1"/>
  <c r="AY352" i="9"/>
  <c r="AO352" i="9" s="1"/>
  <c r="AD381" i="21" s="1"/>
  <c r="AX352" i="9"/>
  <c r="AN352" i="9" s="1"/>
  <c r="AD380" i="21" s="1"/>
  <c r="AW352" i="9"/>
  <c r="AM352" i="9" s="1"/>
  <c r="AD379" i="21" s="1"/>
  <c r="AV352" i="9"/>
  <c r="AL352" i="9" s="1"/>
  <c r="AD378" i="21" s="1"/>
  <c r="AU352" i="9"/>
  <c r="AK352" i="9" s="1"/>
  <c r="AD377" i="21" s="1"/>
  <c r="AT352" i="9"/>
  <c r="AJ357" i="9"/>
  <c r="AI376" i="21" s="1"/>
  <c r="AI357" i="9"/>
  <c r="AI375" i="21" s="1"/>
  <c r="AH357" i="9"/>
  <c r="AI374" i="21" s="1"/>
  <c r="AT82" i="9"/>
  <c r="AV90" i="9"/>
  <c r="AL90" i="9" s="1"/>
  <c r="H126" i="21" s="1"/>
  <c r="AT96" i="9"/>
  <c r="AV104" i="9"/>
  <c r="AL104" i="9" s="1"/>
  <c r="V126" i="21" s="1"/>
  <c r="AT110" i="9"/>
  <c r="AH115" i="9"/>
  <c r="AG122" i="21" s="1"/>
  <c r="AV118" i="9"/>
  <c r="AL118" i="9" s="1"/>
  <c r="AJ126" i="21" s="1"/>
  <c r="AT124" i="9"/>
  <c r="AH129" i="9"/>
  <c r="G164" i="21" s="1"/>
  <c r="AV132" i="9"/>
  <c r="AL132" i="9" s="1"/>
  <c r="J168" i="21" s="1"/>
  <c r="AT138" i="9"/>
  <c r="AH143" i="9"/>
  <c r="U164" i="21" s="1"/>
  <c r="AV146" i="9"/>
  <c r="AL146" i="9" s="1"/>
  <c r="X168" i="21" s="1"/>
  <c r="AU149" i="9"/>
  <c r="AK149" i="9" s="1"/>
  <c r="AA167" i="21" s="1"/>
  <c r="AT152" i="9"/>
  <c r="AH157" i="9"/>
  <c r="AI164" i="21" s="1"/>
  <c r="AV160" i="9"/>
  <c r="AL160" i="9" s="1"/>
  <c r="AL168" i="21" s="1"/>
  <c r="AU163" i="9"/>
  <c r="AK163" i="9" s="1"/>
  <c r="AO167" i="21" s="1"/>
  <c r="AT166" i="9"/>
  <c r="AH171" i="9"/>
  <c r="I206" i="21" s="1"/>
  <c r="AV174" i="9"/>
  <c r="AL174" i="9" s="1"/>
  <c r="L210" i="21" s="1"/>
  <c r="AU177" i="9"/>
  <c r="AK177" i="9" s="1"/>
  <c r="O209" i="21" s="1"/>
  <c r="AV188" i="9"/>
  <c r="AL188" i="9" s="1"/>
  <c r="Z210" i="21" s="1"/>
  <c r="AU191" i="9"/>
  <c r="AK191" i="9" s="1"/>
  <c r="AC209" i="21" s="1"/>
  <c r="AV202" i="9"/>
  <c r="AL202" i="9" s="1"/>
  <c r="AN210" i="21" s="1"/>
  <c r="AU205" i="9"/>
  <c r="AK205" i="9" s="1"/>
  <c r="AQ209" i="21" s="1"/>
  <c r="AV216" i="9"/>
  <c r="AL216" i="9" s="1"/>
  <c r="N252" i="21" s="1"/>
  <c r="AU219" i="9"/>
  <c r="AK219" i="9" s="1"/>
  <c r="Q251" i="21" s="1"/>
  <c r="AH222" i="9"/>
  <c r="T248" i="21" s="1"/>
  <c r="AW223" i="9"/>
  <c r="AM223" i="9" s="1"/>
  <c r="U253" i="21" s="1"/>
  <c r="AX225" i="9"/>
  <c r="AN225" i="9" s="1"/>
  <c r="W254" i="21" s="1"/>
  <c r="AT225" i="9"/>
  <c r="AW233" i="9"/>
  <c r="AM233" i="9" s="1"/>
  <c r="AE253" i="21" s="1"/>
  <c r="AV233" i="9"/>
  <c r="AL233" i="9" s="1"/>
  <c r="AE252" i="21" s="1"/>
  <c r="AW238" i="9"/>
  <c r="AM238" i="9" s="1"/>
  <c r="AJ253" i="21" s="1"/>
  <c r="AW239" i="9"/>
  <c r="AM239" i="9" s="1"/>
  <c r="AK253" i="21" s="1"/>
  <c r="AW240" i="9"/>
  <c r="AM240" i="9" s="1"/>
  <c r="AL253" i="21" s="1"/>
  <c r="AW241" i="9"/>
  <c r="AM241" i="9" s="1"/>
  <c r="AM253" i="21" s="1"/>
  <c r="AY242" i="9"/>
  <c r="AO242" i="9" s="1"/>
  <c r="AN255" i="21" s="1"/>
  <c r="AY245" i="9"/>
  <c r="AO245" i="9" s="1"/>
  <c r="AQ255" i="21" s="1"/>
  <c r="AX247" i="9"/>
  <c r="AN247" i="9" s="1"/>
  <c r="E296" i="21" s="1"/>
  <c r="AU249" i="9"/>
  <c r="AK249" i="9" s="1"/>
  <c r="G293" i="21" s="1"/>
  <c r="AT252" i="9"/>
  <c r="AW254" i="9"/>
  <c r="AM254" i="9" s="1"/>
  <c r="L295" i="21" s="1"/>
  <c r="AR258" i="9"/>
  <c r="AS258" i="9" s="1"/>
  <c r="AW259" i="9"/>
  <c r="AM259" i="9" s="1"/>
  <c r="Q295" i="21" s="1"/>
  <c r="AV270" i="9"/>
  <c r="AL270" i="9" s="1"/>
  <c r="AB294" i="21" s="1"/>
  <c r="AX272" i="9"/>
  <c r="AN272" i="9" s="1"/>
  <c r="AD296" i="21" s="1"/>
  <c r="AW272" i="9"/>
  <c r="AM272" i="9" s="1"/>
  <c r="AD295" i="21" s="1"/>
  <c r="AT272" i="9"/>
  <c r="AR272" i="9"/>
  <c r="AS272" i="9" s="1"/>
  <c r="AJ331" i="9"/>
  <c r="I376" i="21" s="1"/>
  <c r="AH331" i="9"/>
  <c r="I374" i="21" s="1"/>
  <c r="AW216" i="9"/>
  <c r="AM216" i="9" s="1"/>
  <c r="N253" i="21" s="1"/>
  <c r="AX238" i="9"/>
  <c r="AN238" i="9" s="1"/>
  <c r="AJ254" i="21" s="1"/>
  <c r="AX240" i="9"/>
  <c r="AN240" i="9" s="1"/>
  <c r="AL254" i="21" s="1"/>
  <c r="AX249" i="9"/>
  <c r="AN249" i="9" s="1"/>
  <c r="G296" i="21" s="1"/>
  <c r="AW252" i="9"/>
  <c r="AM252" i="9" s="1"/>
  <c r="J295" i="21" s="1"/>
  <c r="AX254" i="9"/>
  <c r="AN254" i="9" s="1"/>
  <c r="L296" i="21" s="1"/>
  <c r="AU258" i="9"/>
  <c r="AK258" i="9" s="1"/>
  <c r="P293" i="21" s="1"/>
  <c r="AY259" i="9"/>
  <c r="AO259" i="9" s="1"/>
  <c r="Q297" i="21" s="1"/>
  <c r="AU272" i="9"/>
  <c r="AK272" i="9" s="1"/>
  <c r="AD293" i="21" s="1"/>
  <c r="AJ277" i="9"/>
  <c r="AI292" i="21" s="1"/>
  <c r="AH277" i="9"/>
  <c r="AI290" i="21" s="1"/>
  <c r="AX90" i="9"/>
  <c r="AN90" i="9" s="1"/>
  <c r="H128" i="21" s="1"/>
  <c r="AX104" i="9"/>
  <c r="AN104" i="9" s="1"/>
  <c r="V128" i="21" s="1"/>
  <c r="AX118" i="9"/>
  <c r="AN118" i="9" s="1"/>
  <c r="AJ128" i="21" s="1"/>
  <c r="AW121" i="9"/>
  <c r="AM121" i="9" s="1"/>
  <c r="AM127" i="21" s="1"/>
  <c r="AV124" i="9"/>
  <c r="AL124" i="9" s="1"/>
  <c r="AP126" i="21" s="1"/>
  <c r="AX132" i="9"/>
  <c r="AN132" i="9" s="1"/>
  <c r="J170" i="21" s="1"/>
  <c r="AW135" i="9"/>
  <c r="AM135" i="9" s="1"/>
  <c r="M169" i="21" s="1"/>
  <c r="AV138" i="9"/>
  <c r="AL138" i="9" s="1"/>
  <c r="P168" i="21" s="1"/>
  <c r="AX146" i="9"/>
  <c r="AN146" i="9" s="1"/>
  <c r="X170" i="21" s="1"/>
  <c r="AW149" i="9"/>
  <c r="AM149" i="9" s="1"/>
  <c r="AA169" i="21" s="1"/>
  <c r="AV152" i="9"/>
  <c r="AL152" i="9" s="1"/>
  <c r="AD168" i="21" s="1"/>
  <c r="AX160" i="9"/>
  <c r="AN160" i="9" s="1"/>
  <c r="AL170" i="21" s="1"/>
  <c r="AW163" i="9"/>
  <c r="AM163" i="9" s="1"/>
  <c r="AO169" i="21" s="1"/>
  <c r="AR164" i="9"/>
  <c r="AS164" i="9" s="1"/>
  <c r="AV166" i="9"/>
  <c r="AL166" i="9" s="1"/>
  <c r="D210" i="21" s="1"/>
  <c r="AX174" i="9"/>
  <c r="AN174" i="9" s="1"/>
  <c r="L212" i="21" s="1"/>
  <c r="AW177" i="9"/>
  <c r="AM177" i="9" s="1"/>
  <c r="O211" i="21" s="1"/>
  <c r="AR178" i="9"/>
  <c r="AS178" i="9" s="1"/>
  <c r="AX188" i="9"/>
  <c r="AN188" i="9" s="1"/>
  <c r="Z212" i="21" s="1"/>
  <c r="AW191" i="9"/>
  <c r="AM191" i="9" s="1"/>
  <c r="AC211" i="21" s="1"/>
  <c r="AR192" i="9"/>
  <c r="AS192" i="9" s="1"/>
  <c r="AX202" i="9"/>
  <c r="AN202" i="9" s="1"/>
  <c r="AN212" i="21" s="1"/>
  <c r="AW205" i="9"/>
  <c r="AM205" i="9" s="1"/>
  <c r="AQ211" i="21" s="1"/>
  <c r="AR206" i="9"/>
  <c r="AS206" i="9" s="1"/>
  <c r="AX216" i="9"/>
  <c r="AN216" i="9" s="1"/>
  <c r="N254" i="21" s="1"/>
  <c r="AW219" i="9"/>
  <c r="AM219" i="9" s="1"/>
  <c r="Q253" i="21" s="1"/>
  <c r="AR220" i="9"/>
  <c r="AS220" i="9" s="1"/>
  <c r="AH223" i="9"/>
  <c r="U248" i="21" s="1"/>
  <c r="AY223" i="9"/>
  <c r="AO223" i="9" s="1"/>
  <c r="U255" i="21" s="1"/>
  <c r="AI229" i="9"/>
  <c r="AA249" i="21" s="1"/>
  <c r="AY249" i="9"/>
  <c r="AO249" i="9" s="1"/>
  <c r="G297" i="21" s="1"/>
  <c r="AX252" i="9"/>
  <c r="AN252" i="9" s="1"/>
  <c r="J296" i="21" s="1"/>
  <c r="AR257" i="9"/>
  <c r="AS257" i="9" s="1"/>
  <c r="AY257" i="9"/>
  <c r="AO257" i="9" s="1"/>
  <c r="O297" i="21" s="1"/>
  <c r="AX257" i="9"/>
  <c r="AN257" i="9" s="1"/>
  <c r="O296" i="21" s="1"/>
  <c r="AT257" i="9"/>
  <c r="AV258" i="9"/>
  <c r="AL258" i="9" s="1"/>
  <c r="P294" i="21" s="1"/>
  <c r="AI262" i="9"/>
  <c r="T291" i="21" s="1"/>
  <c r="AJ293" i="9"/>
  <c r="K334" i="21" s="1"/>
  <c r="AI293" i="9"/>
  <c r="K333" i="21" s="1"/>
  <c r="AH293" i="9"/>
  <c r="K332" i="21" s="1"/>
  <c r="AW298" i="9"/>
  <c r="AM298" i="9" s="1"/>
  <c r="P337" i="21" s="1"/>
  <c r="AV298" i="9"/>
  <c r="AL298" i="9" s="1"/>
  <c r="P336" i="21" s="1"/>
  <c r="AT298" i="9"/>
  <c r="AR298" i="9"/>
  <c r="AS298" i="9" s="1"/>
  <c r="AY298" i="9"/>
  <c r="AO298" i="9" s="1"/>
  <c r="P339" i="21" s="1"/>
  <c r="AX298" i="9"/>
  <c r="AN298" i="9" s="1"/>
  <c r="P338" i="21" s="1"/>
  <c r="D13" i="18"/>
  <c r="D12" i="21"/>
  <c r="AU18" i="9"/>
  <c r="AK18" i="9" s="1"/>
  <c r="P41" i="21" s="1"/>
  <c r="AU32" i="9"/>
  <c r="AK32" i="9" s="1"/>
  <c r="AD41" i="21" s="1"/>
  <c r="AI37" i="9"/>
  <c r="AI39" i="21" s="1"/>
  <c r="AX37" i="9"/>
  <c r="AN37" i="9" s="1"/>
  <c r="AI44" i="21" s="1"/>
  <c r="AW40" i="9"/>
  <c r="AM40" i="9" s="1"/>
  <c r="AL43" i="21" s="1"/>
  <c r="AU46" i="9"/>
  <c r="AK46" i="9" s="1"/>
  <c r="D83" i="21" s="1"/>
  <c r="AI51" i="9"/>
  <c r="I81" i="21" s="1"/>
  <c r="AX51" i="9"/>
  <c r="AN51" i="9" s="1"/>
  <c r="I86" i="21" s="1"/>
  <c r="AW54" i="9"/>
  <c r="AM54" i="9" s="1"/>
  <c r="L85" i="21" s="1"/>
  <c r="AR55" i="9"/>
  <c r="AS55" i="9" s="1"/>
  <c r="AU60" i="9"/>
  <c r="AK60" i="9" s="1"/>
  <c r="R83" i="21" s="1"/>
  <c r="AI65" i="9"/>
  <c r="W81" i="21" s="1"/>
  <c r="AX65" i="9"/>
  <c r="AN65" i="9" s="1"/>
  <c r="W86" i="21" s="1"/>
  <c r="AW68" i="9"/>
  <c r="AM68" i="9" s="1"/>
  <c r="Z85" i="21" s="1"/>
  <c r="AR69" i="9"/>
  <c r="AS69" i="9" s="1"/>
  <c r="AU74" i="9"/>
  <c r="AK74" i="9" s="1"/>
  <c r="AF83" i="21" s="1"/>
  <c r="AX79" i="9"/>
  <c r="AN79" i="9" s="1"/>
  <c r="AK86" i="21" s="1"/>
  <c r="AW82" i="9"/>
  <c r="AM82" i="9" s="1"/>
  <c r="AN85" i="21" s="1"/>
  <c r="AR83" i="9"/>
  <c r="AS83" i="9" s="1"/>
  <c r="AT91" i="9"/>
  <c r="AX93" i="9"/>
  <c r="AN93" i="9" s="1"/>
  <c r="K128" i="21" s="1"/>
  <c r="AW96" i="9"/>
  <c r="AM96" i="9" s="1"/>
  <c r="N127" i="21" s="1"/>
  <c r="AR97" i="9"/>
  <c r="AS97" i="9" s="1"/>
  <c r="AT105" i="9"/>
  <c r="AX107" i="9"/>
  <c r="AN107" i="9" s="1"/>
  <c r="Y128" i="21" s="1"/>
  <c r="AW110" i="9"/>
  <c r="AM110" i="9" s="1"/>
  <c r="AB127" i="21" s="1"/>
  <c r="AR111" i="9"/>
  <c r="AS111" i="9" s="1"/>
  <c r="AT119" i="9"/>
  <c r="AX121" i="9"/>
  <c r="AN121" i="9" s="1"/>
  <c r="AM128" i="21" s="1"/>
  <c r="AW124" i="9"/>
  <c r="AM124" i="9" s="1"/>
  <c r="AP127" i="21" s="1"/>
  <c r="AR125" i="9"/>
  <c r="AS125" i="9" s="1"/>
  <c r="AT133" i="9"/>
  <c r="AX135" i="9"/>
  <c r="AN135" i="9" s="1"/>
  <c r="M170" i="21" s="1"/>
  <c r="AW138" i="9"/>
  <c r="AM138" i="9" s="1"/>
  <c r="P169" i="21" s="1"/>
  <c r="AR139" i="9"/>
  <c r="AS139" i="9" s="1"/>
  <c r="AT147" i="9"/>
  <c r="AX149" i="9"/>
  <c r="AN149" i="9" s="1"/>
  <c r="AA170" i="21" s="1"/>
  <c r="AW152" i="9"/>
  <c r="AM152" i="9" s="1"/>
  <c r="AD169" i="21" s="1"/>
  <c r="AR153" i="9"/>
  <c r="AS153" i="9" s="1"/>
  <c r="AT161" i="9"/>
  <c r="AX163" i="9"/>
  <c r="AN163" i="9" s="1"/>
  <c r="AO170" i="21" s="1"/>
  <c r="AW166" i="9"/>
  <c r="AM166" i="9" s="1"/>
  <c r="D211" i="21" s="1"/>
  <c r="AR167" i="9"/>
  <c r="AS167" i="9" s="1"/>
  <c r="AT175" i="9"/>
  <c r="AX177" i="9"/>
  <c r="AN177" i="9" s="1"/>
  <c r="O212" i="21" s="1"/>
  <c r="AH180" i="9"/>
  <c r="R206" i="21" s="1"/>
  <c r="AR181" i="9"/>
  <c r="AS181" i="9" s="1"/>
  <c r="AT189" i="9"/>
  <c r="AX191" i="9"/>
  <c r="AN191" i="9" s="1"/>
  <c r="AC212" i="21" s="1"/>
  <c r="AH194" i="9"/>
  <c r="AF206" i="21" s="1"/>
  <c r="AW194" i="9"/>
  <c r="AM194" i="9" s="1"/>
  <c r="AF211" i="21" s="1"/>
  <c r="AR195" i="9"/>
  <c r="AS195" i="9" s="1"/>
  <c r="AT203" i="9"/>
  <c r="AX205" i="9"/>
  <c r="AN205" i="9" s="1"/>
  <c r="AQ212" i="21" s="1"/>
  <c r="AH208" i="9"/>
  <c r="F248" i="21" s="1"/>
  <c r="AW208" i="9"/>
  <c r="AM208" i="9" s="1"/>
  <c r="F253" i="21" s="1"/>
  <c r="AR209" i="9"/>
  <c r="AS209" i="9" s="1"/>
  <c r="AU214" i="9"/>
  <c r="AK214" i="9" s="1"/>
  <c r="L251" i="21" s="1"/>
  <c r="AT217" i="9"/>
  <c r="AX219" i="9"/>
  <c r="AN219" i="9" s="1"/>
  <c r="Q254" i="21" s="1"/>
  <c r="AI223" i="9"/>
  <c r="U249" i="21" s="1"/>
  <c r="AW224" i="9"/>
  <c r="AM224" i="9" s="1"/>
  <c r="V253" i="21" s="1"/>
  <c r="AU225" i="9"/>
  <c r="AK225" i="9" s="1"/>
  <c r="W251" i="21" s="1"/>
  <c r="AR226" i="9"/>
  <c r="AS226" i="9" s="1"/>
  <c r="AJ230" i="9"/>
  <c r="AB250" i="21" s="1"/>
  <c r="AT233" i="9"/>
  <c r="AH243" i="9"/>
  <c r="AO248" i="21" s="1"/>
  <c r="AJ244" i="9"/>
  <c r="AP250" i="21" s="1"/>
  <c r="AI246" i="9"/>
  <c r="D291" i="21" s="1"/>
  <c r="AY258" i="9"/>
  <c r="AO258" i="9" s="1"/>
  <c r="P297" i="21" s="1"/>
  <c r="AJ262" i="9"/>
  <c r="T292" i="21" s="1"/>
  <c r="AY269" i="9"/>
  <c r="AO269" i="9" s="1"/>
  <c r="AA297" i="21" s="1"/>
  <c r="AX269" i="9"/>
  <c r="AN269" i="9" s="1"/>
  <c r="AA296" i="21" s="1"/>
  <c r="AU269" i="9"/>
  <c r="AK269" i="9" s="1"/>
  <c r="AA293" i="21" s="1"/>
  <c r="AT269" i="9"/>
  <c r="AY272" i="9"/>
  <c r="AO272" i="9" s="1"/>
  <c r="AD297" i="21" s="1"/>
  <c r="AJ288" i="9"/>
  <c r="F334" i="21" s="1"/>
  <c r="AJ290" i="9"/>
  <c r="H334" i="21" s="1"/>
  <c r="AH290" i="9"/>
  <c r="H332" i="21" s="1"/>
  <c r="AU298" i="9"/>
  <c r="AK298" i="9" s="1"/>
  <c r="P335" i="21" s="1"/>
  <c r="AW312" i="9"/>
  <c r="AM312" i="9" s="1"/>
  <c r="AD337" i="21" s="1"/>
  <c r="AV312" i="9"/>
  <c r="AL312" i="9" s="1"/>
  <c r="AD336" i="21" s="1"/>
  <c r="AT312" i="9"/>
  <c r="AR312" i="9"/>
  <c r="AS312" i="9" s="1"/>
  <c r="AY312" i="9"/>
  <c r="AO312" i="9" s="1"/>
  <c r="AD339" i="21" s="1"/>
  <c r="AX312" i="9"/>
  <c r="AN312" i="9" s="1"/>
  <c r="AD338" i="21" s="1"/>
  <c r="AJ345" i="9"/>
  <c r="W376" i="21" s="1"/>
  <c r="AH345" i="9"/>
  <c r="W374" i="21" s="1"/>
  <c r="AR16" i="9"/>
  <c r="AS16" i="9" s="1"/>
  <c r="AV18" i="9"/>
  <c r="AL18" i="9" s="1"/>
  <c r="P42" i="21" s="1"/>
  <c r="AR30" i="9"/>
  <c r="AS30" i="9" s="1"/>
  <c r="AV32" i="9"/>
  <c r="AL32" i="9" s="1"/>
  <c r="AD42" i="21" s="1"/>
  <c r="AX40" i="9"/>
  <c r="AN40" i="9" s="1"/>
  <c r="AL44" i="21" s="1"/>
  <c r="AR44" i="9"/>
  <c r="AS44" i="9" s="1"/>
  <c r="AV46" i="9"/>
  <c r="AL46" i="9" s="1"/>
  <c r="D84" i="21" s="1"/>
  <c r="AX54" i="9"/>
  <c r="AN54" i="9" s="1"/>
  <c r="L86" i="21" s="1"/>
  <c r="AR58" i="9"/>
  <c r="AS58" i="9" s="1"/>
  <c r="AV60" i="9"/>
  <c r="AL60" i="9" s="1"/>
  <c r="R84" i="21" s="1"/>
  <c r="AX68" i="9"/>
  <c r="AN68" i="9" s="1"/>
  <c r="Z86" i="21" s="1"/>
  <c r="AW71" i="9"/>
  <c r="AM71" i="9" s="1"/>
  <c r="AC85" i="21" s="1"/>
  <c r="AR72" i="9"/>
  <c r="AS72" i="9" s="1"/>
  <c r="AV74" i="9"/>
  <c r="AL74" i="9" s="1"/>
  <c r="AF84" i="21" s="1"/>
  <c r="AX82" i="9"/>
  <c r="AN82" i="9" s="1"/>
  <c r="AN86" i="21" s="1"/>
  <c r="AW85" i="9"/>
  <c r="AM85" i="9" s="1"/>
  <c r="AQ85" i="21" s="1"/>
  <c r="AU91" i="9"/>
  <c r="AK91" i="9" s="1"/>
  <c r="I125" i="21" s="1"/>
  <c r="AX96" i="9"/>
  <c r="AN96" i="9" s="1"/>
  <c r="N128" i="21" s="1"/>
  <c r="AW99" i="9"/>
  <c r="AM99" i="9" s="1"/>
  <c r="Q127" i="21" s="1"/>
  <c r="AU105" i="9"/>
  <c r="AK105" i="9" s="1"/>
  <c r="W125" i="21" s="1"/>
  <c r="AX110" i="9"/>
  <c r="AN110" i="9" s="1"/>
  <c r="AB128" i="21" s="1"/>
  <c r="AU119" i="9"/>
  <c r="AK119" i="9" s="1"/>
  <c r="AK125" i="21" s="1"/>
  <c r="AX124" i="9"/>
  <c r="AN124" i="9" s="1"/>
  <c r="AP128" i="21" s="1"/>
  <c r="AU133" i="9"/>
  <c r="AK133" i="9" s="1"/>
  <c r="K167" i="21" s="1"/>
  <c r="AX138" i="9"/>
  <c r="AN138" i="9" s="1"/>
  <c r="P170" i="21" s="1"/>
  <c r="AU147" i="9"/>
  <c r="AK147" i="9" s="1"/>
  <c r="Y167" i="21" s="1"/>
  <c r="AX152" i="9"/>
  <c r="AN152" i="9" s="1"/>
  <c r="AD170" i="21" s="1"/>
  <c r="AH155" i="9"/>
  <c r="AG164" i="21" s="1"/>
  <c r="AU161" i="9"/>
  <c r="AK161" i="9" s="1"/>
  <c r="AM167" i="21" s="1"/>
  <c r="AT164" i="9"/>
  <c r="AX166" i="9"/>
  <c r="AN166" i="9" s="1"/>
  <c r="D212" i="21" s="1"/>
  <c r="AH169" i="9"/>
  <c r="G206" i="21" s="1"/>
  <c r="AU175" i="9"/>
  <c r="AK175" i="9" s="1"/>
  <c r="M209" i="21" s="1"/>
  <c r="AT178" i="9"/>
  <c r="AI180" i="9"/>
  <c r="R207" i="21" s="1"/>
  <c r="AX180" i="9"/>
  <c r="AN180" i="9" s="1"/>
  <c r="R212" i="21" s="1"/>
  <c r="AH183" i="9"/>
  <c r="U206" i="21" s="1"/>
  <c r="AV186" i="9"/>
  <c r="AL186" i="9" s="1"/>
  <c r="X210" i="21" s="1"/>
  <c r="AU189" i="9"/>
  <c r="AK189" i="9" s="1"/>
  <c r="AA209" i="21" s="1"/>
  <c r="AT192" i="9"/>
  <c r="AI194" i="9"/>
  <c r="AF207" i="21" s="1"/>
  <c r="AX194" i="9"/>
  <c r="AN194" i="9" s="1"/>
  <c r="AF212" i="21" s="1"/>
  <c r="AH197" i="9"/>
  <c r="AI206" i="21" s="1"/>
  <c r="AV200" i="9"/>
  <c r="AL200" i="9" s="1"/>
  <c r="AL210" i="21" s="1"/>
  <c r="AU203" i="9"/>
  <c r="AK203" i="9" s="1"/>
  <c r="AO209" i="21" s="1"/>
  <c r="AT206" i="9"/>
  <c r="AI208" i="9"/>
  <c r="F249" i="21" s="1"/>
  <c r="AX208" i="9"/>
  <c r="AN208" i="9" s="1"/>
  <c r="F254" i="21" s="1"/>
  <c r="AH211" i="9"/>
  <c r="I248" i="21" s="1"/>
  <c r="AR212" i="9"/>
  <c r="AS212" i="9" s="1"/>
  <c r="AV214" i="9"/>
  <c r="AL214" i="9" s="1"/>
  <c r="L252" i="21" s="1"/>
  <c r="AU217" i="9"/>
  <c r="AK217" i="9" s="1"/>
  <c r="O251" i="21" s="1"/>
  <c r="AT220" i="9"/>
  <c r="AX224" i="9"/>
  <c r="AN224" i="9" s="1"/>
  <c r="V254" i="21" s="1"/>
  <c r="AV225" i="9"/>
  <c r="AL225" i="9" s="1"/>
  <c r="W252" i="21" s="1"/>
  <c r="AT226" i="9"/>
  <c r="AU233" i="9"/>
  <c r="AK233" i="9" s="1"/>
  <c r="AE251" i="21" s="1"/>
  <c r="AJ243" i="9"/>
  <c r="AO250" i="21" s="1"/>
  <c r="AJ246" i="9"/>
  <c r="D292" i="21" s="1"/>
  <c r="AH248" i="9"/>
  <c r="F290" i="21" s="1"/>
  <c r="AU257" i="9"/>
  <c r="AK257" i="9" s="1"/>
  <c r="O293" i="21" s="1"/>
  <c r="AJ260" i="9"/>
  <c r="R292" i="21" s="1"/>
  <c r="AI261" i="9"/>
  <c r="S291" i="21" s="1"/>
  <c r="AW284" i="9"/>
  <c r="AM284" i="9" s="1"/>
  <c r="AP295" i="21" s="1"/>
  <c r="AT284" i="9"/>
  <c r="AR284" i="9"/>
  <c r="AS284" i="9" s="1"/>
  <c r="AY284" i="9"/>
  <c r="AO284" i="9" s="1"/>
  <c r="AP297" i="21" s="1"/>
  <c r="AX284" i="9"/>
  <c r="AN284" i="9" s="1"/>
  <c r="AP296" i="21" s="1"/>
  <c r="AW326" i="9"/>
  <c r="AM326" i="9" s="1"/>
  <c r="D379" i="21" s="1"/>
  <c r="AV326" i="9"/>
  <c r="AL326" i="9" s="1"/>
  <c r="D378" i="21" s="1"/>
  <c r="AT326" i="9"/>
  <c r="AR326" i="9"/>
  <c r="AS326" i="9" s="1"/>
  <c r="AY326" i="9"/>
  <c r="AO326" i="9" s="1"/>
  <c r="D381" i="21" s="1"/>
  <c r="AX326" i="9"/>
  <c r="AN326" i="9" s="1"/>
  <c r="D380" i="21" s="1"/>
  <c r="AJ395" i="9"/>
  <c r="AG418" i="21" s="1"/>
  <c r="AI395" i="9"/>
  <c r="AG417" i="21" s="1"/>
  <c r="AH395" i="9"/>
  <c r="AG416" i="21" s="1"/>
  <c r="D13" i="21"/>
  <c r="D14" i="18"/>
  <c r="D15" i="18"/>
  <c r="D39" i="22" s="1"/>
  <c r="D14" i="21"/>
  <c r="D28" i="21"/>
  <c r="D28" i="18"/>
  <c r="AW18" i="9"/>
  <c r="AM18" i="9" s="1"/>
  <c r="P43" i="21" s="1"/>
  <c r="AW32" i="9"/>
  <c r="AM32" i="9" s="1"/>
  <c r="AD43" i="21" s="1"/>
  <c r="AW46" i="9"/>
  <c r="AM46" i="9" s="1"/>
  <c r="D85" i="21" s="1"/>
  <c r="AT55" i="9"/>
  <c r="AH60" i="9"/>
  <c r="R80" i="21" s="1"/>
  <c r="AW60" i="9"/>
  <c r="AM60" i="9" s="1"/>
  <c r="R85" i="21" s="1"/>
  <c r="AT69" i="9"/>
  <c r="AH74" i="9"/>
  <c r="AF80" i="21" s="1"/>
  <c r="AW74" i="9"/>
  <c r="AM74" i="9" s="1"/>
  <c r="AF85" i="21" s="1"/>
  <c r="AT83" i="9"/>
  <c r="AH88" i="9"/>
  <c r="F122" i="21" s="1"/>
  <c r="AV91" i="9"/>
  <c r="AL91" i="9" s="1"/>
  <c r="I126" i="21" s="1"/>
  <c r="AT97" i="9"/>
  <c r="AH102" i="9"/>
  <c r="T122" i="21" s="1"/>
  <c r="AV105" i="9"/>
  <c r="AL105" i="9" s="1"/>
  <c r="W126" i="21" s="1"/>
  <c r="AT111" i="9"/>
  <c r="AH116" i="9"/>
  <c r="AH122" i="21" s="1"/>
  <c r="AV119" i="9"/>
  <c r="AL119" i="9" s="1"/>
  <c r="AK126" i="21" s="1"/>
  <c r="AT125" i="9"/>
  <c r="AH130" i="9"/>
  <c r="H164" i="21" s="1"/>
  <c r="AV133" i="9"/>
  <c r="AL133" i="9" s="1"/>
  <c r="K168" i="21" s="1"/>
  <c r="AT139" i="9"/>
  <c r="AH144" i="9"/>
  <c r="V164" i="21" s="1"/>
  <c r="AV147" i="9"/>
  <c r="AL147" i="9" s="1"/>
  <c r="Y168" i="21" s="1"/>
  <c r="AT153" i="9"/>
  <c r="AI155" i="9"/>
  <c r="AG165" i="21" s="1"/>
  <c r="AH158" i="9"/>
  <c r="AJ164" i="21" s="1"/>
  <c r="AV161" i="9"/>
  <c r="AL161" i="9" s="1"/>
  <c r="AM168" i="21" s="1"/>
  <c r="AU164" i="9"/>
  <c r="AK164" i="9" s="1"/>
  <c r="AP167" i="21" s="1"/>
  <c r="AT167" i="9"/>
  <c r="AI169" i="9"/>
  <c r="G207" i="21" s="1"/>
  <c r="AH172" i="9"/>
  <c r="J206" i="21" s="1"/>
  <c r="AV175" i="9"/>
  <c r="AL175" i="9" s="1"/>
  <c r="M210" i="21" s="1"/>
  <c r="AU178" i="9"/>
  <c r="AK178" i="9" s="1"/>
  <c r="P209" i="21" s="1"/>
  <c r="AT181" i="9"/>
  <c r="AI183" i="9"/>
  <c r="U207" i="21" s="1"/>
  <c r="AH186" i="9"/>
  <c r="X206" i="21" s="1"/>
  <c r="AV189" i="9"/>
  <c r="AL189" i="9" s="1"/>
  <c r="AA210" i="21" s="1"/>
  <c r="AU192" i="9"/>
  <c r="AK192" i="9" s="1"/>
  <c r="AD209" i="21" s="1"/>
  <c r="AT195" i="9"/>
  <c r="AI197" i="9"/>
  <c r="AI207" i="21" s="1"/>
  <c r="AH200" i="9"/>
  <c r="AL206" i="21" s="1"/>
  <c r="AV203" i="9"/>
  <c r="AL203" i="9" s="1"/>
  <c r="AO210" i="21" s="1"/>
  <c r="AU206" i="9"/>
  <c r="AK206" i="9" s="1"/>
  <c r="D251" i="21" s="1"/>
  <c r="AT209" i="9"/>
  <c r="AI211" i="9"/>
  <c r="I249" i="21" s="1"/>
  <c r="AH214" i="9"/>
  <c r="L248" i="21" s="1"/>
  <c r="AW214" i="9"/>
  <c r="AM214" i="9" s="1"/>
  <c r="L253" i="21" s="1"/>
  <c r="AV217" i="9"/>
  <c r="AL217" i="9" s="1"/>
  <c r="O252" i="21" s="1"/>
  <c r="AV220" i="9"/>
  <c r="AL220" i="9" s="1"/>
  <c r="R252" i="21" s="1"/>
  <c r="AH224" i="9"/>
  <c r="V248" i="21" s="1"/>
  <c r="AW225" i="9"/>
  <c r="AM225" i="9" s="1"/>
  <c r="W253" i="21" s="1"/>
  <c r="AU226" i="9"/>
  <c r="AK226" i="9" s="1"/>
  <c r="X251" i="21" s="1"/>
  <c r="AR227" i="9"/>
  <c r="AS227" i="9" s="1"/>
  <c r="AH232" i="9"/>
  <c r="AD248" i="21" s="1"/>
  <c r="AX233" i="9"/>
  <c r="AN233" i="9" s="1"/>
  <c r="AE254" i="21" s="1"/>
  <c r="AI248" i="9"/>
  <c r="F291" i="21" s="1"/>
  <c r="AH250" i="9"/>
  <c r="H290" i="21" s="1"/>
  <c r="AH251" i="9"/>
  <c r="I290" i="21" s="1"/>
  <c r="AW256" i="9"/>
  <c r="AM256" i="9" s="1"/>
  <c r="N295" i="21" s="1"/>
  <c r="AT256" i="9"/>
  <c r="AY256" i="9"/>
  <c r="AO256" i="9" s="1"/>
  <c r="N297" i="21" s="1"/>
  <c r="AV257" i="9"/>
  <c r="AL257" i="9" s="1"/>
  <c r="O294" i="21" s="1"/>
  <c r="AJ261" i="9"/>
  <c r="S292" i="21" s="1"/>
  <c r="AV269" i="9"/>
  <c r="AL269" i="9" s="1"/>
  <c r="AA294" i="21" s="1"/>
  <c r="AJ279" i="9"/>
  <c r="AK292" i="21" s="1"/>
  <c r="AI279" i="9"/>
  <c r="AK291" i="21" s="1"/>
  <c r="AU284" i="9"/>
  <c r="AK284" i="9" s="1"/>
  <c r="AP293" i="21" s="1"/>
  <c r="AW340" i="9"/>
  <c r="AM340" i="9" s="1"/>
  <c r="R379" i="21" s="1"/>
  <c r="AV340" i="9"/>
  <c r="AL340" i="9" s="1"/>
  <c r="R378" i="21" s="1"/>
  <c r="AT340" i="9"/>
  <c r="AR340" i="9"/>
  <c r="AS340" i="9" s="1"/>
  <c r="AY340" i="9"/>
  <c r="AO340" i="9" s="1"/>
  <c r="R381" i="21" s="1"/>
  <c r="AX340" i="9"/>
  <c r="AN340" i="9" s="1"/>
  <c r="R380" i="21" s="1"/>
  <c r="AJ377" i="9"/>
  <c r="O418" i="21" s="1"/>
  <c r="AI377" i="9"/>
  <c r="O417" i="21" s="1"/>
  <c r="AH377" i="9"/>
  <c r="O416" i="21" s="1"/>
  <c r="AW220" i="9"/>
  <c r="AM220" i="9" s="1"/>
  <c r="R253" i="21" s="1"/>
  <c r="AI224" i="9"/>
  <c r="V249" i="21" s="1"/>
  <c r="AY225" i="9"/>
  <c r="AO225" i="9" s="1"/>
  <c r="W255" i="21" s="1"/>
  <c r="AY233" i="9"/>
  <c r="AO233" i="9" s="1"/>
  <c r="AE255" i="21" s="1"/>
  <c r="AI250" i="9"/>
  <c r="H291" i="21" s="1"/>
  <c r="AW257" i="9"/>
  <c r="AM257" i="9" s="1"/>
  <c r="O295" i="21" s="1"/>
  <c r="AW269" i="9"/>
  <c r="AM269" i="9" s="1"/>
  <c r="AA295" i="21" s="1"/>
  <c r="AR271" i="9"/>
  <c r="AS271" i="9" s="1"/>
  <c r="AY271" i="9"/>
  <c r="AO271" i="9" s="1"/>
  <c r="AC297" i="21" s="1"/>
  <c r="AX271" i="9"/>
  <c r="AN271" i="9" s="1"/>
  <c r="AC296" i="21" s="1"/>
  <c r="AW271" i="9"/>
  <c r="AM271" i="9" s="1"/>
  <c r="AC295" i="21" s="1"/>
  <c r="AT271" i="9"/>
  <c r="AI274" i="9"/>
  <c r="AF291" i="21" s="1"/>
  <c r="AH274" i="9"/>
  <c r="AF290" i="21" s="1"/>
  <c r="AY282" i="9"/>
  <c r="AO282" i="9" s="1"/>
  <c r="AN297" i="21" s="1"/>
  <c r="AX282" i="9"/>
  <c r="AN282" i="9" s="1"/>
  <c r="AN296" i="21" s="1"/>
  <c r="AW282" i="9"/>
  <c r="AM282" i="9" s="1"/>
  <c r="AN295" i="21" s="1"/>
  <c r="AU282" i="9"/>
  <c r="AK282" i="9" s="1"/>
  <c r="AN293" i="21" s="1"/>
  <c r="AT282" i="9"/>
  <c r="AV284" i="9"/>
  <c r="AL284" i="9" s="1"/>
  <c r="AP294" i="21" s="1"/>
  <c r="AY296" i="9"/>
  <c r="AO296" i="9" s="1"/>
  <c r="N339" i="21" s="1"/>
  <c r="AX296" i="9"/>
  <c r="AN296" i="9" s="1"/>
  <c r="N338" i="21" s="1"/>
  <c r="AW296" i="9"/>
  <c r="AM296" i="9" s="1"/>
  <c r="N337" i="21" s="1"/>
  <c r="AV296" i="9"/>
  <c r="AL296" i="9" s="1"/>
  <c r="N336" i="21" s="1"/>
  <c r="AU296" i="9"/>
  <c r="AK296" i="9" s="1"/>
  <c r="N335" i="21" s="1"/>
  <c r="AT296" i="9"/>
  <c r="AU340" i="9"/>
  <c r="AK340" i="9" s="1"/>
  <c r="R377" i="21" s="1"/>
  <c r="AW287" i="9"/>
  <c r="AM287" i="9" s="1"/>
  <c r="E337" i="21" s="1"/>
  <c r="AW301" i="9"/>
  <c r="AM301" i="9" s="1"/>
  <c r="S337" i="21" s="1"/>
  <c r="AW315" i="9"/>
  <c r="AM315" i="9" s="1"/>
  <c r="AG337" i="21" s="1"/>
  <c r="AW329" i="9"/>
  <c r="AM329" i="9" s="1"/>
  <c r="G379" i="21" s="1"/>
  <c r="AW343" i="9"/>
  <c r="AM343" i="9" s="1"/>
  <c r="U379" i="21" s="1"/>
  <c r="AX354" i="9"/>
  <c r="AN354" i="9" s="1"/>
  <c r="AF380" i="21" s="1"/>
  <c r="AW357" i="9"/>
  <c r="AM357" i="9" s="1"/>
  <c r="AI379" i="21" s="1"/>
  <c r="AX368" i="9"/>
  <c r="AN368" i="9" s="1"/>
  <c r="F422" i="21" s="1"/>
  <c r="AW371" i="9"/>
  <c r="AM371" i="9" s="1"/>
  <c r="I421" i="21" s="1"/>
  <c r="AX380" i="9"/>
  <c r="AN380" i="9" s="1"/>
  <c r="R422" i="21" s="1"/>
  <c r="AR390" i="9"/>
  <c r="AS390" i="9" s="1"/>
  <c r="AV390" i="9"/>
  <c r="AL390" i="9" s="1"/>
  <c r="AB420" i="21" s="1"/>
  <c r="AU390" i="9"/>
  <c r="AK390" i="9" s="1"/>
  <c r="AB419" i="21" s="1"/>
  <c r="AJ413" i="9"/>
  <c r="AH413" i="9"/>
  <c r="AW420" i="9"/>
  <c r="AM420" i="9" s="1"/>
  <c r="AV420" i="9"/>
  <c r="AL420" i="9" s="1"/>
  <c r="AR420" i="9"/>
  <c r="AS420" i="9" s="1"/>
  <c r="AY420" i="9"/>
  <c r="AO420" i="9" s="1"/>
  <c r="AY425" i="9"/>
  <c r="AO425" i="9" s="1"/>
  <c r="AW425" i="9"/>
  <c r="AM425" i="9" s="1"/>
  <c r="AV425" i="9"/>
  <c r="AL425" i="9" s="1"/>
  <c r="AU425" i="9"/>
  <c r="AK425" i="9" s="1"/>
  <c r="AH446" i="9"/>
  <c r="AY453" i="9"/>
  <c r="AO453" i="9" s="1"/>
  <c r="AW453" i="9"/>
  <c r="AM453" i="9" s="1"/>
  <c r="AV453" i="9"/>
  <c r="AL453" i="9" s="1"/>
  <c r="AU453" i="9"/>
  <c r="AK453" i="9" s="1"/>
  <c r="AT453" i="9"/>
  <c r="AR453" i="9"/>
  <c r="AS453" i="9" s="1"/>
  <c r="AY455" i="9"/>
  <c r="AO455" i="9" s="1"/>
  <c r="AX455" i="9"/>
  <c r="AN455" i="9" s="1"/>
  <c r="AW455" i="9"/>
  <c r="AM455" i="9" s="1"/>
  <c r="AV455" i="9"/>
  <c r="AL455" i="9" s="1"/>
  <c r="AU455" i="9"/>
  <c r="AK455" i="9" s="1"/>
  <c r="AR455" i="9"/>
  <c r="AS455" i="9" s="1"/>
  <c r="AJ485" i="9"/>
  <c r="AH485" i="9"/>
  <c r="AR263" i="9"/>
  <c r="AS263" i="9" s="1"/>
  <c r="AR277" i="9"/>
  <c r="AS277" i="9" s="1"/>
  <c r="AX287" i="9"/>
  <c r="AN287" i="9" s="1"/>
  <c r="E338" i="21" s="1"/>
  <c r="AR291" i="9"/>
  <c r="AS291" i="9" s="1"/>
  <c r="AV293" i="9"/>
  <c r="AL293" i="9" s="1"/>
  <c r="K336" i="21" s="1"/>
  <c r="AT299" i="9"/>
  <c r="AX301" i="9"/>
  <c r="AN301" i="9" s="1"/>
  <c r="S338" i="21" s="1"/>
  <c r="AR305" i="9"/>
  <c r="AS305" i="9" s="1"/>
  <c r="AV307" i="9"/>
  <c r="AL307" i="9" s="1"/>
  <c r="Y336" i="21" s="1"/>
  <c r="AT313" i="9"/>
  <c r="AX315" i="9"/>
  <c r="AN315" i="9" s="1"/>
  <c r="AG338" i="21" s="1"/>
  <c r="AR319" i="9"/>
  <c r="AS319" i="9" s="1"/>
  <c r="AV321" i="9"/>
  <c r="AL321" i="9" s="1"/>
  <c r="AM336" i="21" s="1"/>
  <c r="AT327" i="9"/>
  <c r="AX329" i="9"/>
  <c r="AN329" i="9" s="1"/>
  <c r="G380" i="21" s="1"/>
  <c r="AW332" i="9"/>
  <c r="AM332" i="9" s="1"/>
  <c r="J379" i="21" s="1"/>
  <c r="AR333" i="9"/>
  <c r="AS333" i="9" s="1"/>
  <c r="AV335" i="9"/>
  <c r="AL335" i="9" s="1"/>
  <c r="M378" i="21" s="1"/>
  <c r="AT341" i="9"/>
  <c r="AX343" i="9"/>
  <c r="AN343" i="9" s="1"/>
  <c r="U380" i="21" s="1"/>
  <c r="AW346" i="9"/>
  <c r="AM346" i="9" s="1"/>
  <c r="X379" i="21" s="1"/>
  <c r="AR347" i="9"/>
  <c r="AS347" i="9" s="1"/>
  <c r="AV349" i="9"/>
  <c r="AL349" i="9" s="1"/>
  <c r="AA378" i="21" s="1"/>
  <c r="AY354" i="9"/>
  <c r="AO354" i="9" s="1"/>
  <c r="AF381" i="21" s="1"/>
  <c r="AT355" i="9"/>
  <c r="AX357" i="9"/>
  <c r="AN357" i="9" s="1"/>
  <c r="AI380" i="21" s="1"/>
  <c r="AW360" i="9"/>
  <c r="AM360" i="9" s="1"/>
  <c r="AL379" i="21" s="1"/>
  <c r="AR361" i="9"/>
  <c r="AS361" i="9" s="1"/>
  <c r="AV363" i="9"/>
  <c r="AL363" i="9" s="1"/>
  <c r="AO378" i="21" s="1"/>
  <c r="AU366" i="9"/>
  <c r="AK366" i="9" s="1"/>
  <c r="D419" i="21" s="1"/>
  <c r="AY368" i="9"/>
  <c r="AO368" i="9" s="1"/>
  <c r="F423" i="21" s="1"/>
  <c r="AT369" i="9"/>
  <c r="AX371" i="9"/>
  <c r="AN371" i="9" s="1"/>
  <c r="I422" i="21" s="1"/>
  <c r="AW374" i="9"/>
  <c r="AM374" i="9" s="1"/>
  <c r="L421" i="21" s="1"/>
  <c r="AR375" i="9"/>
  <c r="AS375" i="9" s="1"/>
  <c r="AV377" i="9"/>
  <c r="AL377" i="9" s="1"/>
  <c r="O420" i="21" s="1"/>
  <c r="AY380" i="9"/>
  <c r="AO380" i="9" s="1"/>
  <c r="R423" i="21" s="1"/>
  <c r="AV383" i="9"/>
  <c r="AL383" i="9" s="1"/>
  <c r="U420" i="21" s="1"/>
  <c r="AT390" i="9"/>
  <c r="AV394" i="9"/>
  <c r="AL394" i="9" s="1"/>
  <c r="AF420" i="21" s="1"/>
  <c r="AT420" i="9"/>
  <c r="AR425" i="9"/>
  <c r="AS425" i="9" s="1"/>
  <c r="AJ437" i="9"/>
  <c r="AI437" i="9"/>
  <c r="AI446" i="9"/>
  <c r="AX453" i="9"/>
  <c r="AN453" i="9" s="1"/>
  <c r="AT455" i="9"/>
  <c r="AY399" i="9"/>
  <c r="AO399" i="9" s="1"/>
  <c r="AK423" i="21" s="1"/>
  <c r="AW399" i="9"/>
  <c r="AM399" i="9" s="1"/>
  <c r="AK421" i="21" s="1"/>
  <c r="AR399" i="9"/>
  <c r="AS399" i="9" s="1"/>
  <c r="AJ425" i="9"/>
  <c r="AH425" i="9"/>
  <c r="AY428" i="9"/>
  <c r="AO428" i="9" s="1"/>
  <c r="AX428" i="9"/>
  <c r="AN428" i="9" s="1"/>
  <c r="AV428" i="9"/>
  <c r="AL428" i="9" s="1"/>
  <c r="AU428" i="9"/>
  <c r="AK428" i="9" s="1"/>
  <c r="AT428" i="9"/>
  <c r="AR428" i="9"/>
  <c r="AS428" i="9" s="1"/>
  <c r="AJ433" i="9"/>
  <c r="AI433" i="9"/>
  <c r="AH433" i="9"/>
  <c r="AR446" i="9"/>
  <c r="AS446" i="9" s="1"/>
  <c r="AY446" i="9"/>
  <c r="AO446" i="9" s="1"/>
  <c r="AV446" i="9"/>
  <c r="AL446" i="9" s="1"/>
  <c r="AU446" i="9"/>
  <c r="AK446" i="9" s="1"/>
  <c r="AR460" i="9"/>
  <c r="AS460" i="9" s="1"/>
  <c r="AY460" i="9"/>
  <c r="AO460" i="9" s="1"/>
  <c r="AX460" i="9"/>
  <c r="AN460" i="9" s="1"/>
  <c r="AV460" i="9"/>
  <c r="AL460" i="9" s="1"/>
  <c r="AU460" i="9"/>
  <c r="AK460" i="9" s="1"/>
  <c r="AJ465" i="9"/>
  <c r="AI465" i="9"/>
  <c r="AY483" i="9"/>
  <c r="AO483" i="9" s="1"/>
  <c r="AX483" i="9"/>
  <c r="AN483" i="9" s="1"/>
  <c r="AW483" i="9"/>
  <c r="AM483" i="9" s="1"/>
  <c r="AV483" i="9"/>
  <c r="AL483" i="9" s="1"/>
  <c r="AU483" i="9"/>
  <c r="AK483" i="9" s="1"/>
  <c r="AR483" i="9"/>
  <c r="AS483" i="9" s="1"/>
  <c r="AJ513" i="9"/>
  <c r="AI513" i="9"/>
  <c r="AH513" i="9"/>
  <c r="AR297" i="9"/>
  <c r="AS297" i="9" s="1"/>
  <c r="AR311" i="9"/>
  <c r="AS311" i="9" s="1"/>
  <c r="AR325" i="9"/>
  <c r="AS325" i="9" s="1"/>
  <c r="AR339" i="9"/>
  <c r="AS339" i="9" s="1"/>
  <c r="AR353" i="9"/>
  <c r="AS353" i="9" s="1"/>
  <c r="AR367" i="9"/>
  <c r="AS367" i="9" s="1"/>
  <c r="AJ399" i="9"/>
  <c r="AK418" i="21" s="1"/>
  <c r="AH399" i="9"/>
  <c r="AK416" i="21" s="1"/>
  <c r="AW406" i="9"/>
  <c r="AM406" i="9" s="1"/>
  <c r="AV406" i="9"/>
  <c r="AL406" i="9" s="1"/>
  <c r="AR406" i="9"/>
  <c r="AS406" i="9" s="1"/>
  <c r="AY406" i="9"/>
  <c r="AO406" i="9" s="1"/>
  <c r="AI419" i="9"/>
  <c r="AH419" i="9"/>
  <c r="AJ460" i="9"/>
  <c r="AI460" i="9"/>
  <c r="AX478" i="9"/>
  <c r="AN478" i="9" s="1"/>
  <c r="AW478" i="9"/>
  <c r="AM478" i="9" s="1"/>
  <c r="AV478" i="9"/>
  <c r="AL478" i="9" s="1"/>
  <c r="AU478" i="9"/>
  <c r="AK478" i="9" s="1"/>
  <c r="AT478" i="9"/>
  <c r="AR478" i="9"/>
  <c r="AS478" i="9" s="1"/>
  <c r="AJ483" i="9"/>
  <c r="AI483" i="9"/>
  <c r="AH483" i="9"/>
  <c r="AU263" i="9"/>
  <c r="AK263" i="9" s="1"/>
  <c r="U293" i="21" s="1"/>
  <c r="AU277" i="9"/>
  <c r="AK277" i="9" s="1"/>
  <c r="AI293" i="21" s="1"/>
  <c r="AT280" i="9"/>
  <c r="AR286" i="9"/>
  <c r="AS286" i="9" s="1"/>
  <c r="AU291" i="9"/>
  <c r="AK291" i="9" s="1"/>
  <c r="I335" i="21" s="1"/>
  <c r="AR300" i="9"/>
  <c r="AS300" i="9" s="1"/>
  <c r="AU305" i="9"/>
  <c r="AK305" i="9" s="1"/>
  <c r="W335" i="21" s="1"/>
  <c r="AR314" i="9"/>
  <c r="AS314" i="9" s="1"/>
  <c r="AU319" i="9"/>
  <c r="AK319" i="9" s="1"/>
  <c r="AK335" i="21" s="1"/>
  <c r="AR328" i="9"/>
  <c r="AS328" i="9" s="1"/>
  <c r="AU333" i="9"/>
  <c r="AK333" i="9" s="1"/>
  <c r="K377" i="21" s="1"/>
  <c r="AR342" i="9"/>
  <c r="AS342" i="9" s="1"/>
  <c r="AU347" i="9"/>
  <c r="AK347" i="9" s="1"/>
  <c r="Y377" i="21" s="1"/>
  <c r="AR356" i="9"/>
  <c r="AS356" i="9" s="1"/>
  <c r="AR370" i="9"/>
  <c r="AS370" i="9" s="1"/>
  <c r="AU399" i="9"/>
  <c r="AK399" i="9" s="1"/>
  <c r="AK419" i="21" s="1"/>
  <c r="AT406" i="9"/>
  <c r="AR418" i="9"/>
  <c r="AS418" i="9" s="1"/>
  <c r="AV418" i="9"/>
  <c r="AL418" i="9" s="1"/>
  <c r="AU418" i="9"/>
  <c r="AK418" i="9" s="1"/>
  <c r="AW428" i="9"/>
  <c r="AM428" i="9" s="1"/>
  <c r="AR432" i="9"/>
  <c r="AS432" i="9" s="1"/>
  <c r="AV432" i="9"/>
  <c r="AL432" i="9" s="1"/>
  <c r="AU432" i="9"/>
  <c r="AK432" i="9" s="1"/>
  <c r="AX436" i="9"/>
  <c r="AN436" i="9" s="1"/>
  <c r="AW436" i="9"/>
  <c r="AM436" i="9" s="1"/>
  <c r="AV436" i="9"/>
  <c r="AL436" i="9" s="1"/>
  <c r="AU436" i="9"/>
  <c r="AK436" i="9" s="1"/>
  <c r="AT436" i="9"/>
  <c r="AW446" i="9"/>
  <c r="AM446" i="9" s="1"/>
  <c r="AW460" i="9"/>
  <c r="AM460" i="9" s="1"/>
  <c r="AY478" i="9"/>
  <c r="AO478" i="9" s="1"/>
  <c r="AJ488" i="9"/>
  <c r="AI488" i="9"/>
  <c r="AR261" i="9"/>
  <c r="AS261" i="9" s="1"/>
  <c r="AV263" i="9"/>
  <c r="AL263" i="9" s="1"/>
  <c r="U294" i="21" s="1"/>
  <c r="AU266" i="9"/>
  <c r="AK266" i="9" s="1"/>
  <c r="X293" i="21" s="1"/>
  <c r="AR275" i="9"/>
  <c r="AS275" i="9" s="1"/>
  <c r="AV277" i="9"/>
  <c r="AL277" i="9" s="1"/>
  <c r="AI294" i="21" s="1"/>
  <c r="AU280" i="9"/>
  <c r="AK280" i="9" s="1"/>
  <c r="AL293" i="21" s="1"/>
  <c r="AR289" i="9"/>
  <c r="AS289" i="9" s="1"/>
  <c r="AV291" i="9"/>
  <c r="AL291" i="9" s="1"/>
  <c r="I336" i="21" s="1"/>
  <c r="AT297" i="9"/>
  <c r="AX299" i="9"/>
  <c r="AN299" i="9" s="1"/>
  <c r="Q338" i="21" s="1"/>
  <c r="AH302" i="9"/>
  <c r="T332" i="21" s="1"/>
  <c r="AR303" i="9"/>
  <c r="AS303" i="9" s="1"/>
  <c r="AV305" i="9"/>
  <c r="AL305" i="9" s="1"/>
  <c r="W336" i="21" s="1"/>
  <c r="AT311" i="9"/>
  <c r="AX313" i="9"/>
  <c r="AN313" i="9" s="1"/>
  <c r="AE338" i="21" s="1"/>
  <c r="AH316" i="9"/>
  <c r="AH332" i="21" s="1"/>
  <c r="AR317" i="9"/>
  <c r="AS317" i="9" s="1"/>
  <c r="AV319" i="9"/>
  <c r="AL319" i="9" s="1"/>
  <c r="AK336" i="21" s="1"/>
  <c r="AT325" i="9"/>
  <c r="AX327" i="9"/>
  <c r="AN327" i="9" s="1"/>
  <c r="E380" i="21" s="1"/>
  <c r="AH330" i="9"/>
  <c r="H374" i="21" s="1"/>
  <c r="AR331" i="9"/>
  <c r="AS331" i="9" s="1"/>
  <c r="AV333" i="9"/>
  <c r="AL333" i="9" s="1"/>
  <c r="K378" i="21" s="1"/>
  <c r="AT339" i="9"/>
  <c r="AX341" i="9"/>
  <c r="AN341" i="9" s="1"/>
  <c r="S380" i="21" s="1"/>
  <c r="AH344" i="9"/>
  <c r="V374" i="21" s="1"/>
  <c r="AR345" i="9"/>
  <c r="AS345" i="9" s="1"/>
  <c r="AV347" i="9"/>
  <c r="AL347" i="9" s="1"/>
  <c r="Y378" i="21" s="1"/>
  <c r="AT353" i="9"/>
  <c r="AX355" i="9"/>
  <c r="AN355" i="9" s="1"/>
  <c r="AG380" i="21" s="1"/>
  <c r="AH358" i="9"/>
  <c r="AJ374" i="21" s="1"/>
  <c r="AR359" i="9"/>
  <c r="AS359" i="9" s="1"/>
  <c r="AV361" i="9"/>
  <c r="AL361" i="9" s="1"/>
  <c r="AM378" i="21" s="1"/>
  <c r="AT367" i="9"/>
  <c r="AX369" i="9"/>
  <c r="AN369" i="9" s="1"/>
  <c r="G422" i="21" s="1"/>
  <c r="AH372" i="9"/>
  <c r="J416" i="21" s="1"/>
  <c r="AR373" i="9"/>
  <c r="AS373" i="9" s="1"/>
  <c r="AV375" i="9"/>
  <c r="AL375" i="9" s="1"/>
  <c r="M420" i="21" s="1"/>
  <c r="AV399" i="9"/>
  <c r="AL399" i="9" s="1"/>
  <c r="AK420" i="21" s="1"/>
  <c r="AU406" i="9"/>
  <c r="AK406" i="9" s="1"/>
  <c r="AT418" i="9"/>
  <c r="AY427" i="9"/>
  <c r="AO427" i="9" s="1"/>
  <c r="AW427" i="9"/>
  <c r="AM427" i="9" s="1"/>
  <c r="AR427" i="9"/>
  <c r="AS427" i="9" s="1"/>
  <c r="AT432" i="9"/>
  <c r="AR436" i="9"/>
  <c r="AS436" i="9" s="1"/>
  <c r="AX446" i="9"/>
  <c r="AN446" i="9" s="1"/>
  <c r="AJ516" i="9"/>
  <c r="AI516" i="9"/>
  <c r="AH516" i="9"/>
  <c r="AR250" i="9"/>
  <c r="AS250" i="9" s="1"/>
  <c r="AR264" i="9"/>
  <c r="AS264" i="9" s="1"/>
  <c r="AV266" i="9"/>
  <c r="AL266" i="9" s="1"/>
  <c r="X294" i="21" s="1"/>
  <c r="AR278" i="9"/>
  <c r="AS278" i="9" s="1"/>
  <c r="AV280" i="9"/>
  <c r="AL280" i="9" s="1"/>
  <c r="AL294" i="21" s="1"/>
  <c r="AT286" i="9"/>
  <c r="AH291" i="9"/>
  <c r="I332" i="21" s="1"/>
  <c r="AR292" i="9"/>
  <c r="AS292" i="9" s="1"/>
  <c r="AU297" i="9"/>
  <c r="AK297" i="9" s="1"/>
  <c r="O335" i="21" s="1"/>
  <c r="AY299" i="9"/>
  <c r="AO299" i="9" s="1"/>
  <c r="Q339" i="21" s="1"/>
  <c r="AT300" i="9"/>
  <c r="AH305" i="9"/>
  <c r="W332" i="21" s="1"/>
  <c r="AR306" i="9"/>
  <c r="AS306" i="9" s="1"/>
  <c r="AU311" i="9"/>
  <c r="AK311" i="9" s="1"/>
  <c r="AC335" i="21" s="1"/>
  <c r="AY313" i="9"/>
  <c r="AO313" i="9" s="1"/>
  <c r="AE339" i="21" s="1"/>
  <c r="AT314" i="9"/>
  <c r="AH319" i="9"/>
  <c r="AK332" i="21" s="1"/>
  <c r="AR320" i="9"/>
  <c r="AS320" i="9" s="1"/>
  <c r="AU325" i="9"/>
  <c r="AK325" i="9" s="1"/>
  <c r="AQ335" i="21" s="1"/>
  <c r="AY327" i="9"/>
  <c r="AO327" i="9" s="1"/>
  <c r="E381" i="21" s="1"/>
  <c r="AT328" i="9"/>
  <c r="AH333" i="9"/>
  <c r="K374" i="21" s="1"/>
  <c r="AR334" i="9"/>
  <c r="AS334" i="9" s="1"/>
  <c r="AU339" i="9"/>
  <c r="AK339" i="9" s="1"/>
  <c r="Q377" i="21" s="1"/>
  <c r="AY341" i="9"/>
  <c r="AO341" i="9" s="1"/>
  <c r="S381" i="21" s="1"/>
  <c r="AT342" i="9"/>
  <c r="AH347" i="9"/>
  <c r="Y374" i="21" s="1"/>
  <c r="AR348" i="9"/>
  <c r="AS348" i="9" s="1"/>
  <c r="AU353" i="9"/>
  <c r="AK353" i="9" s="1"/>
  <c r="AE377" i="21" s="1"/>
  <c r="AY355" i="9"/>
  <c r="AO355" i="9" s="1"/>
  <c r="AG381" i="21" s="1"/>
  <c r="AT356" i="9"/>
  <c r="AH361" i="9"/>
  <c r="AM374" i="21" s="1"/>
  <c r="AR362" i="9"/>
  <c r="AS362" i="9" s="1"/>
  <c r="AU367" i="9"/>
  <c r="AK367" i="9" s="1"/>
  <c r="E419" i="21" s="1"/>
  <c r="AY369" i="9"/>
  <c r="AO369" i="9" s="1"/>
  <c r="G423" i="21" s="1"/>
  <c r="AT370" i="9"/>
  <c r="AH375" i="9"/>
  <c r="M416" i="21" s="1"/>
  <c r="AR376" i="9"/>
  <c r="AS376" i="9" s="1"/>
  <c r="AY379" i="9"/>
  <c r="AO379" i="9" s="1"/>
  <c r="Q423" i="21" s="1"/>
  <c r="AT379" i="9"/>
  <c r="AX399" i="9"/>
  <c r="AN399" i="9" s="1"/>
  <c r="AK422" i="21" s="1"/>
  <c r="AI405" i="9"/>
  <c r="AQ417" i="21" s="1"/>
  <c r="AH405" i="9"/>
  <c r="AQ416" i="21" s="1"/>
  <c r="AX406" i="9"/>
  <c r="AN406" i="9" s="1"/>
  <c r="AY411" i="9"/>
  <c r="AO411" i="9" s="1"/>
  <c r="AV411" i="9"/>
  <c r="AL411" i="9" s="1"/>
  <c r="AU411" i="9"/>
  <c r="AK411" i="9" s="1"/>
  <c r="AT415" i="9"/>
  <c r="AW415" i="9"/>
  <c r="AM415" i="9" s="1"/>
  <c r="AV415" i="9"/>
  <c r="AL415" i="9" s="1"/>
  <c r="AJ416" i="9"/>
  <c r="AI416" i="9"/>
  <c r="AW418" i="9"/>
  <c r="AM418" i="9" s="1"/>
  <c r="AJ427" i="9"/>
  <c r="AH427" i="9"/>
  <c r="AW432" i="9"/>
  <c r="AM432" i="9" s="1"/>
  <c r="AJ471" i="9"/>
  <c r="AH471" i="9"/>
  <c r="AR404" i="9"/>
  <c r="AS404" i="9" s="1"/>
  <c r="AV404" i="9"/>
  <c r="AL404" i="9" s="1"/>
  <c r="AP420" i="21" s="1"/>
  <c r="AU404" i="9"/>
  <c r="AK404" i="9" s="1"/>
  <c r="AP419" i="21" s="1"/>
  <c r="AX418" i="9"/>
  <c r="AN418" i="9" s="1"/>
  <c r="AX432" i="9"/>
  <c r="AN432" i="9" s="1"/>
  <c r="AY436" i="9"/>
  <c r="AO436" i="9" s="1"/>
  <c r="AY439" i="9"/>
  <c r="AO439" i="9" s="1"/>
  <c r="AW439" i="9"/>
  <c r="AM439" i="9" s="1"/>
  <c r="AV439" i="9"/>
  <c r="AL439" i="9" s="1"/>
  <c r="AU439" i="9"/>
  <c r="AK439" i="9" s="1"/>
  <c r="AT439" i="9"/>
  <c r="AJ499" i="9"/>
  <c r="AH499" i="9"/>
  <c r="AV286" i="9"/>
  <c r="AL286" i="9" s="1"/>
  <c r="D336" i="21" s="1"/>
  <c r="AW297" i="9"/>
  <c r="AM297" i="9" s="1"/>
  <c r="O337" i="21" s="1"/>
  <c r="AV300" i="9"/>
  <c r="AL300" i="9" s="1"/>
  <c r="R336" i="21" s="1"/>
  <c r="AW311" i="9"/>
  <c r="AM311" i="9" s="1"/>
  <c r="AC337" i="21" s="1"/>
  <c r="AV314" i="9"/>
  <c r="AL314" i="9" s="1"/>
  <c r="AF336" i="21" s="1"/>
  <c r="AW325" i="9"/>
  <c r="AM325" i="9" s="1"/>
  <c r="AQ337" i="21" s="1"/>
  <c r="AV328" i="9"/>
  <c r="AL328" i="9" s="1"/>
  <c r="F378" i="21" s="1"/>
  <c r="AW339" i="9"/>
  <c r="AM339" i="9" s="1"/>
  <c r="Q379" i="21" s="1"/>
  <c r="AV342" i="9"/>
  <c r="AL342" i="9" s="1"/>
  <c r="T378" i="21" s="1"/>
  <c r="AW353" i="9"/>
  <c r="AM353" i="9" s="1"/>
  <c r="AE379" i="21" s="1"/>
  <c r="AR354" i="9"/>
  <c r="AS354" i="9" s="1"/>
  <c r="AV356" i="9"/>
  <c r="AL356" i="9" s="1"/>
  <c r="AH378" i="21" s="1"/>
  <c r="AW367" i="9"/>
  <c r="AM367" i="9" s="1"/>
  <c r="E421" i="21" s="1"/>
  <c r="AR368" i="9"/>
  <c r="AS368" i="9" s="1"/>
  <c r="AV370" i="9"/>
  <c r="AL370" i="9" s="1"/>
  <c r="H420" i="21" s="1"/>
  <c r="AI394" i="9"/>
  <c r="AF417" i="21" s="1"/>
  <c r="AT404" i="9"/>
  <c r="AT411" i="9"/>
  <c r="AU415" i="9"/>
  <c r="AK415" i="9" s="1"/>
  <c r="AY418" i="9"/>
  <c r="AO418" i="9" s="1"/>
  <c r="AW422" i="9"/>
  <c r="AM422" i="9" s="1"/>
  <c r="AV422" i="9"/>
  <c r="AL422" i="9" s="1"/>
  <c r="AT422" i="9"/>
  <c r="AJ423" i="9"/>
  <c r="AI423" i="9"/>
  <c r="AV427" i="9"/>
  <c r="AL427" i="9" s="1"/>
  <c r="AJ429" i="9"/>
  <c r="AJ430" i="9"/>
  <c r="AI430" i="9"/>
  <c r="AH430" i="9"/>
  <c r="AY432" i="9"/>
  <c r="AO432" i="9" s="1"/>
  <c r="AR439" i="9"/>
  <c r="AS439" i="9" s="1"/>
  <c r="AI443" i="9"/>
  <c r="AJ444" i="9"/>
  <c r="AI444" i="9"/>
  <c r="AH444" i="9"/>
  <c r="AJ451" i="9"/>
  <c r="AI451" i="9"/>
  <c r="AY469" i="9"/>
  <c r="AO469" i="9" s="1"/>
  <c r="AX469" i="9"/>
  <c r="AN469" i="9" s="1"/>
  <c r="AW469" i="9"/>
  <c r="AM469" i="9" s="1"/>
  <c r="AV469" i="9"/>
  <c r="AL469" i="9" s="1"/>
  <c r="AU469" i="9"/>
  <c r="AK469" i="9" s="1"/>
  <c r="AR469" i="9"/>
  <c r="AS469" i="9" s="1"/>
  <c r="AU250" i="9"/>
  <c r="AK250" i="9" s="1"/>
  <c r="H293" i="21" s="1"/>
  <c r="AT253" i="9"/>
  <c r="AV261" i="9"/>
  <c r="AL261" i="9" s="1"/>
  <c r="S294" i="21" s="1"/>
  <c r="AU264" i="9"/>
  <c r="AK264" i="9" s="1"/>
  <c r="V293" i="21" s="1"/>
  <c r="AT267" i="9"/>
  <c r="AV275" i="9"/>
  <c r="AL275" i="9" s="1"/>
  <c r="AG294" i="21" s="1"/>
  <c r="AU278" i="9"/>
  <c r="AK278" i="9" s="1"/>
  <c r="AJ293" i="21" s="1"/>
  <c r="AT281" i="9"/>
  <c r="AW286" i="9"/>
  <c r="AM286" i="9" s="1"/>
  <c r="D337" i="21" s="1"/>
  <c r="AR287" i="9"/>
  <c r="AS287" i="9" s="1"/>
  <c r="AV289" i="9"/>
  <c r="AL289" i="9" s="1"/>
  <c r="G336" i="21" s="1"/>
  <c r="AU292" i="9"/>
  <c r="AK292" i="9" s="1"/>
  <c r="J335" i="21" s="1"/>
  <c r="AT295" i="9"/>
  <c r="AX297" i="9"/>
  <c r="AN297" i="9" s="1"/>
  <c r="O338" i="21" s="1"/>
  <c r="AW300" i="9"/>
  <c r="AM300" i="9" s="1"/>
  <c r="R337" i="21" s="1"/>
  <c r="AR301" i="9"/>
  <c r="AS301" i="9" s="1"/>
  <c r="AV303" i="9"/>
  <c r="AL303" i="9" s="1"/>
  <c r="U336" i="21" s="1"/>
  <c r="AU306" i="9"/>
  <c r="AK306" i="9" s="1"/>
  <c r="X335" i="21" s="1"/>
  <c r="AT309" i="9"/>
  <c r="AX311" i="9"/>
  <c r="AN311" i="9" s="1"/>
  <c r="AC338" i="21" s="1"/>
  <c r="AW314" i="9"/>
  <c r="AM314" i="9" s="1"/>
  <c r="AF337" i="21" s="1"/>
  <c r="AR315" i="9"/>
  <c r="AS315" i="9" s="1"/>
  <c r="AV317" i="9"/>
  <c r="AL317" i="9" s="1"/>
  <c r="AI336" i="21" s="1"/>
  <c r="AU320" i="9"/>
  <c r="AK320" i="9" s="1"/>
  <c r="AL335" i="21" s="1"/>
  <c r="AT323" i="9"/>
  <c r="AX325" i="9"/>
  <c r="AN325" i="9" s="1"/>
  <c r="AQ338" i="21" s="1"/>
  <c r="AW328" i="9"/>
  <c r="AM328" i="9" s="1"/>
  <c r="F379" i="21" s="1"/>
  <c r="AR329" i="9"/>
  <c r="AS329" i="9" s="1"/>
  <c r="AV331" i="9"/>
  <c r="AL331" i="9" s="1"/>
  <c r="I378" i="21" s="1"/>
  <c r="AU334" i="9"/>
  <c r="AK334" i="9" s="1"/>
  <c r="L377" i="21" s="1"/>
  <c r="AT337" i="9"/>
  <c r="AX339" i="9"/>
  <c r="AN339" i="9" s="1"/>
  <c r="Q380" i="21" s="1"/>
  <c r="AW342" i="9"/>
  <c r="AM342" i="9" s="1"/>
  <c r="T379" i="21" s="1"/>
  <c r="AR343" i="9"/>
  <c r="AS343" i="9" s="1"/>
  <c r="AV345" i="9"/>
  <c r="AL345" i="9" s="1"/>
  <c r="W378" i="21" s="1"/>
  <c r="AU348" i="9"/>
  <c r="AK348" i="9" s="1"/>
  <c r="Z377" i="21" s="1"/>
  <c r="AT351" i="9"/>
  <c r="AX353" i="9"/>
  <c r="AN353" i="9" s="1"/>
  <c r="AE380" i="21" s="1"/>
  <c r="AW356" i="9"/>
  <c r="AM356" i="9" s="1"/>
  <c r="AH379" i="21" s="1"/>
  <c r="AR357" i="9"/>
  <c r="AS357" i="9" s="1"/>
  <c r="AV359" i="9"/>
  <c r="AL359" i="9" s="1"/>
  <c r="AK378" i="21" s="1"/>
  <c r="AU362" i="9"/>
  <c r="AK362" i="9" s="1"/>
  <c r="AN377" i="21" s="1"/>
  <c r="AT365" i="9"/>
  <c r="AX367" i="9"/>
  <c r="AN367" i="9" s="1"/>
  <c r="E422" i="21" s="1"/>
  <c r="AW370" i="9"/>
  <c r="AM370" i="9" s="1"/>
  <c r="H421" i="21" s="1"/>
  <c r="AR371" i="9"/>
  <c r="AS371" i="9" s="1"/>
  <c r="AV373" i="9"/>
  <c r="AL373" i="9" s="1"/>
  <c r="K420" i="21" s="1"/>
  <c r="AU376" i="9"/>
  <c r="AK376" i="9" s="1"/>
  <c r="N419" i="21" s="1"/>
  <c r="AU379" i="9"/>
  <c r="AK379" i="9" s="1"/>
  <c r="Q419" i="21" s="1"/>
  <c r="AR380" i="9"/>
  <c r="AS380" i="9" s="1"/>
  <c r="AY397" i="9"/>
  <c r="AO397" i="9" s="1"/>
  <c r="AI423" i="21" s="1"/>
  <c r="AV397" i="9"/>
  <c r="AL397" i="9" s="1"/>
  <c r="AI420" i="21" s="1"/>
  <c r="AU397" i="9"/>
  <c r="AK397" i="9" s="1"/>
  <c r="AI419" i="21" s="1"/>
  <c r="AT401" i="9"/>
  <c r="AW401" i="9"/>
  <c r="AM401" i="9" s="1"/>
  <c r="AM421" i="21" s="1"/>
  <c r="AV401" i="9"/>
  <c r="AL401" i="9" s="1"/>
  <c r="AM420" i="21" s="1"/>
  <c r="AJ402" i="9"/>
  <c r="AN418" i="21" s="1"/>
  <c r="AI402" i="9"/>
  <c r="AN417" i="21" s="1"/>
  <c r="AW404" i="9"/>
  <c r="AM404" i="9" s="1"/>
  <c r="AP421" i="21" s="1"/>
  <c r="AW411" i="9"/>
  <c r="AM411" i="9" s="1"/>
  <c r="AX415" i="9"/>
  <c r="AN415" i="9" s="1"/>
  <c r="AX439" i="9"/>
  <c r="AN439" i="9" s="1"/>
  <c r="AY441" i="9"/>
  <c r="AO441" i="9" s="1"/>
  <c r="AX441" i="9"/>
  <c r="AN441" i="9" s="1"/>
  <c r="AW441" i="9"/>
  <c r="AM441" i="9" s="1"/>
  <c r="AV441" i="9"/>
  <c r="AL441" i="9" s="1"/>
  <c r="AR441" i="9"/>
  <c r="AS441" i="9" s="1"/>
  <c r="AJ443" i="9"/>
  <c r="AX464" i="9"/>
  <c r="AN464" i="9" s="1"/>
  <c r="AW464" i="9"/>
  <c r="AM464" i="9" s="1"/>
  <c r="AV464" i="9"/>
  <c r="AL464" i="9" s="1"/>
  <c r="AU464" i="9"/>
  <c r="AK464" i="9" s="1"/>
  <c r="AT464" i="9"/>
  <c r="AR464" i="9"/>
  <c r="AS464" i="9" s="1"/>
  <c r="AJ469" i="9"/>
  <c r="AI469" i="9"/>
  <c r="AH469" i="9"/>
  <c r="AJ511" i="9"/>
  <c r="AI511" i="9"/>
  <c r="AH511" i="9"/>
  <c r="AV250" i="9"/>
  <c r="AL250" i="9" s="1"/>
  <c r="H294" i="21" s="1"/>
  <c r="AU253" i="9"/>
  <c r="AK253" i="9" s="1"/>
  <c r="K293" i="21" s="1"/>
  <c r="AV264" i="9"/>
  <c r="AL264" i="9" s="1"/>
  <c r="V294" i="21" s="1"/>
  <c r="AU267" i="9"/>
  <c r="AK267" i="9" s="1"/>
  <c r="Y293" i="21" s="1"/>
  <c r="AV278" i="9"/>
  <c r="AL278" i="9" s="1"/>
  <c r="AJ294" i="21" s="1"/>
  <c r="AU281" i="9"/>
  <c r="AK281" i="9" s="1"/>
  <c r="AM293" i="21" s="1"/>
  <c r="AV292" i="9"/>
  <c r="AL292" i="9" s="1"/>
  <c r="J336" i="21" s="1"/>
  <c r="AW303" i="9"/>
  <c r="AM303" i="9" s="1"/>
  <c r="U337" i="21" s="1"/>
  <c r="AV306" i="9"/>
  <c r="AL306" i="9" s="1"/>
  <c r="X336" i="21" s="1"/>
  <c r="AW317" i="9"/>
  <c r="AM317" i="9" s="1"/>
  <c r="AI337" i="21" s="1"/>
  <c r="AV320" i="9"/>
  <c r="AL320" i="9" s="1"/>
  <c r="AL336" i="21" s="1"/>
  <c r="AW331" i="9"/>
  <c r="AM331" i="9" s="1"/>
  <c r="I379" i="21" s="1"/>
  <c r="AV334" i="9"/>
  <c r="AL334" i="9" s="1"/>
  <c r="L378" i="21" s="1"/>
  <c r="AW345" i="9"/>
  <c r="AM345" i="9" s="1"/>
  <c r="W379" i="21" s="1"/>
  <c r="AV348" i="9"/>
  <c r="AL348" i="9" s="1"/>
  <c r="Z378" i="21" s="1"/>
  <c r="AT354" i="9"/>
  <c r="AH359" i="9"/>
  <c r="AK374" i="21" s="1"/>
  <c r="AW359" i="9"/>
  <c r="AM359" i="9" s="1"/>
  <c r="AK379" i="21" s="1"/>
  <c r="AT368" i="9"/>
  <c r="AX370" i="9"/>
  <c r="AN370" i="9" s="1"/>
  <c r="H422" i="21" s="1"/>
  <c r="AH373" i="9"/>
  <c r="K416" i="21" s="1"/>
  <c r="AW373" i="9"/>
  <c r="AM373" i="9" s="1"/>
  <c r="K421" i="21" s="1"/>
  <c r="AU381" i="9"/>
  <c r="AK381" i="9" s="1"/>
  <c r="S419" i="21" s="1"/>
  <c r="AX381" i="9"/>
  <c r="AN381" i="9" s="1"/>
  <c r="S422" i="21" s="1"/>
  <c r="AY386" i="9"/>
  <c r="AO386" i="9" s="1"/>
  <c r="X423" i="21" s="1"/>
  <c r="AX386" i="9"/>
  <c r="AN386" i="9" s="1"/>
  <c r="X422" i="21" s="1"/>
  <c r="AR386" i="9"/>
  <c r="AS386" i="9" s="1"/>
  <c r="AT387" i="9"/>
  <c r="AW387" i="9"/>
  <c r="AM387" i="9" s="1"/>
  <c r="Y421" i="21" s="1"/>
  <c r="AV387" i="9"/>
  <c r="AL387" i="9" s="1"/>
  <c r="Y420" i="21" s="1"/>
  <c r="AX404" i="9"/>
  <c r="AN404" i="9" s="1"/>
  <c r="AP422" i="21" s="1"/>
  <c r="AI413" i="9"/>
  <c r="AY414" i="9"/>
  <c r="AO414" i="9" s="1"/>
  <c r="AX414" i="9"/>
  <c r="AN414" i="9" s="1"/>
  <c r="AU414" i="9"/>
  <c r="AK414" i="9" s="1"/>
  <c r="AT414" i="9"/>
  <c r="AR414" i="9"/>
  <c r="AS414" i="9" s="1"/>
  <c r="AJ441" i="9"/>
  <c r="AI441" i="9"/>
  <c r="AH441" i="9"/>
  <c r="AY464" i="9"/>
  <c r="AO464" i="9" s="1"/>
  <c r="AR474" i="9"/>
  <c r="AS474" i="9" s="1"/>
  <c r="AY474" i="9"/>
  <c r="AO474" i="9" s="1"/>
  <c r="AX474" i="9"/>
  <c r="AN474" i="9" s="1"/>
  <c r="AV474" i="9"/>
  <c r="AL474" i="9" s="1"/>
  <c r="AU474" i="9"/>
  <c r="AK474" i="9" s="1"/>
  <c r="AJ479" i="9"/>
  <c r="AI479" i="9"/>
  <c r="AI359" i="9"/>
  <c r="AK375" i="21" s="1"/>
  <c r="AX359" i="9"/>
  <c r="AN359" i="9" s="1"/>
  <c r="AK380" i="21" s="1"/>
  <c r="AH362" i="9"/>
  <c r="AN374" i="21" s="1"/>
  <c r="AU368" i="9"/>
  <c r="AK368" i="9" s="1"/>
  <c r="F419" i="21" s="1"/>
  <c r="AT371" i="9"/>
  <c r="AI373" i="9"/>
  <c r="K417" i="21" s="1"/>
  <c r="AX373" i="9"/>
  <c r="AN373" i="9" s="1"/>
  <c r="K422" i="21" s="1"/>
  <c r="AH376" i="9"/>
  <c r="N416" i="21" s="1"/>
  <c r="AW376" i="9"/>
  <c r="AM376" i="9" s="1"/>
  <c r="N421" i="21" s="1"/>
  <c r="AR377" i="9"/>
  <c r="AS377" i="9" s="1"/>
  <c r="AW379" i="9"/>
  <c r="AM379" i="9" s="1"/>
  <c r="Q421" i="21" s="1"/>
  <c r="AU380" i="9"/>
  <c r="AK380" i="9" s="1"/>
  <c r="R419" i="21" s="1"/>
  <c r="AR381" i="9"/>
  <c r="AS381" i="9" s="1"/>
  <c r="AW385" i="9"/>
  <c r="AM385" i="9" s="1"/>
  <c r="W421" i="21" s="1"/>
  <c r="AR385" i="9"/>
  <c r="AS385" i="9" s="1"/>
  <c r="AR387" i="9"/>
  <c r="AS387" i="9" s="1"/>
  <c r="AT397" i="9"/>
  <c r="AU401" i="9"/>
  <c r="AK401" i="9" s="1"/>
  <c r="AM419" i="21" s="1"/>
  <c r="AY404" i="9"/>
  <c r="AO404" i="9" s="1"/>
  <c r="AP423" i="21" s="1"/>
  <c r="AW408" i="9"/>
  <c r="AM408" i="9" s="1"/>
  <c r="AV408" i="9"/>
  <c r="AL408" i="9" s="1"/>
  <c r="AT408" i="9"/>
  <c r="AJ419" i="9"/>
  <c r="AI425" i="9"/>
  <c r="AU441" i="9"/>
  <c r="AK441" i="9" s="1"/>
  <c r="AT474" i="9"/>
  <c r="AY506" i="9"/>
  <c r="AO506" i="9" s="1"/>
  <c r="AX506" i="9"/>
  <c r="AN506" i="9" s="1"/>
  <c r="AW506" i="9"/>
  <c r="AM506" i="9" s="1"/>
  <c r="AV506" i="9"/>
  <c r="AL506" i="9" s="1"/>
  <c r="AU506" i="9"/>
  <c r="AK506" i="9" s="1"/>
  <c r="AT506" i="9"/>
  <c r="AR506" i="9"/>
  <c r="AS506" i="9" s="1"/>
  <c r="AU301" i="9"/>
  <c r="AK301" i="9" s="1"/>
  <c r="S335" i="21" s="1"/>
  <c r="AI306" i="9"/>
  <c r="X333" i="21" s="1"/>
  <c r="AU315" i="9"/>
  <c r="AK315" i="9" s="1"/>
  <c r="AG335" i="21" s="1"/>
  <c r="AI320" i="9"/>
  <c r="AL333" i="21" s="1"/>
  <c r="AU329" i="9"/>
  <c r="AK329" i="9" s="1"/>
  <c r="G377" i="21" s="1"/>
  <c r="AI334" i="9"/>
  <c r="L375" i="21" s="1"/>
  <c r="AU343" i="9"/>
  <c r="AK343" i="9" s="1"/>
  <c r="U377" i="21" s="1"/>
  <c r="AI348" i="9"/>
  <c r="Z375" i="21" s="1"/>
  <c r="AV354" i="9"/>
  <c r="AL354" i="9" s="1"/>
  <c r="AF378" i="21" s="1"/>
  <c r="AU357" i="9"/>
  <c r="AK357" i="9" s="1"/>
  <c r="AI377" i="21" s="1"/>
  <c r="AI362" i="9"/>
  <c r="AN375" i="21" s="1"/>
  <c r="AV368" i="9"/>
  <c r="AL368" i="9" s="1"/>
  <c r="F420" i="21" s="1"/>
  <c r="AU371" i="9"/>
  <c r="AK371" i="9" s="1"/>
  <c r="I419" i="21" s="1"/>
  <c r="AI376" i="9"/>
  <c r="N417" i="21" s="1"/>
  <c r="AX376" i="9"/>
  <c r="AN376" i="9" s="1"/>
  <c r="N422" i="21" s="1"/>
  <c r="AV380" i="9"/>
  <c r="AL380" i="9" s="1"/>
  <c r="R420" i="21" s="1"/>
  <c r="AU384" i="9"/>
  <c r="AK384" i="9" s="1"/>
  <c r="V419" i="21" s="1"/>
  <c r="AT384" i="9"/>
  <c r="AW384" i="9"/>
  <c r="AM384" i="9" s="1"/>
  <c r="V421" i="21" s="1"/>
  <c r="AT386" i="9"/>
  <c r="AW392" i="9"/>
  <c r="AM392" i="9" s="1"/>
  <c r="AD421" i="21" s="1"/>
  <c r="AV392" i="9"/>
  <c r="AL392" i="9" s="1"/>
  <c r="AD420" i="21" s="1"/>
  <c r="AY392" i="9"/>
  <c r="AO392" i="9" s="1"/>
  <c r="AD423" i="21" s="1"/>
  <c r="AV395" i="9"/>
  <c r="AL395" i="9" s="1"/>
  <c r="AG420" i="21" s="1"/>
  <c r="AU395" i="9"/>
  <c r="AK395" i="9" s="1"/>
  <c r="AG419" i="21" s="1"/>
  <c r="AY395" i="9"/>
  <c r="AO395" i="9" s="1"/>
  <c r="AG423" i="21" s="1"/>
  <c r="AX395" i="9"/>
  <c r="AN395" i="9" s="1"/>
  <c r="AG422" i="21" s="1"/>
  <c r="AX401" i="9"/>
  <c r="AN401" i="9" s="1"/>
  <c r="AM422" i="21" s="1"/>
  <c r="AJ409" i="9"/>
  <c r="AI409" i="9"/>
  <c r="AV414" i="9"/>
  <c r="AL414" i="9" s="1"/>
  <c r="AJ457" i="9"/>
  <c r="AH457" i="9"/>
  <c r="AW474" i="9"/>
  <c r="AM474" i="9" s="1"/>
  <c r="AJ497" i="9"/>
  <c r="AI497" i="9"/>
  <c r="AH497" i="9"/>
  <c r="AW380" i="9"/>
  <c r="AM380" i="9" s="1"/>
  <c r="R421" i="21" s="1"/>
  <c r="AT381" i="9"/>
  <c r="AT383" i="9"/>
  <c r="AR384" i="9"/>
  <c r="AS384" i="9" s="1"/>
  <c r="AT385" i="9"/>
  <c r="AU386" i="9"/>
  <c r="AK386" i="9" s="1"/>
  <c r="X419" i="21" s="1"/>
  <c r="AX387" i="9"/>
  <c r="AN387" i="9" s="1"/>
  <c r="Y422" i="21" s="1"/>
  <c r="AI389" i="9"/>
  <c r="AA417" i="21" s="1"/>
  <c r="AH389" i="9"/>
  <c r="AA416" i="21" s="1"/>
  <c r="AR392" i="9"/>
  <c r="AS392" i="9" s="1"/>
  <c r="AR395" i="9"/>
  <c r="AS395" i="9" s="1"/>
  <c r="AX397" i="9"/>
  <c r="AN397" i="9" s="1"/>
  <c r="AI422" i="21" s="1"/>
  <c r="AI399" i="9"/>
  <c r="AK417" i="21" s="1"/>
  <c r="AY400" i="9"/>
  <c r="AO400" i="9" s="1"/>
  <c r="AL423" i="21" s="1"/>
  <c r="AX400" i="9"/>
  <c r="AN400" i="9" s="1"/>
  <c r="AL422" i="21" s="1"/>
  <c r="AU400" i="9"/>
  <c r="AK400" i="9" s="1"/>
  <c r="AL419" i="21" s="1"/>
  <c r="AT400" i="9"/>
  <c r="AR400" i="9"/>
  <c r="AS400" i="9" s="1"/>
  <c r="AY401" i="9"/>
  <c r="AO401" i="9" s="1"/>
  <c r="AM423" i="21" s="1"/>
  <c r="AY413" i="9"/>
  <c r="AO413" i="9" s="1"/>
  <c r="AW413" i="9"/>
  <c r="AM413" i="9" s="1"/>
  <c r="AR413" i="9"/>
  <c r="AS413" i="9" s="1"/>
  <c r="AW414" i="9"/>
  <c r="AM414" i="9" s="1"/>
  <c r="AH416" i="9"/>
  <c r="AY422" i="9"/>
  <c r="AO422" i="9" s="1"/>
  <c r="AX450" i="9"/>
  <c r="AN450" i="9" s="1"/>
  <c r="AW450" i="9"/>
  <c r="AM450" i="9" s="1"/>
  <c r="AV450" i="9"/>
  <c r="AL450" i="9" s="1"/>
  <c r="AU450" i="9"/>
  <c r="AK450" i="9" s="1"/>
  <c r="AT450" i="9"/>
  <c r="AH465" i="9"/>
  <c r="AI485" i="9"/>
  <c r="AY492" i="9"/>
  <c r="AO492" i="9" s="1"/>
  <c r="AX492" i="9"/>
  <c r="AN492" i="9" s="1"/>
  <c r="AW492" i="9"/>
  <c r="AM492" i="9" s="1"/>
  <c r="AV492" i="9"/>
  <c r="AL492" i="9" s="1"/>
  <c r="AU492" i="9"/>
  <c r="AK492" i="9" s="1"/>
  <c r="AT492" i="9"/>
  <c r="AR492" i="9"/>
  <c r="AS492" i="9" s="1"/>
  <c r="AT393" i="9"/>
  <c r="AW398" i="9"/>
  <c r="AM398" i="9" s="1"/>
  <c r="AJ421" i="21" s="1"/>
  <c r="AT407" i="9"/>
  <c r="AX409" i="9"/>
  <c r="AN409" i="9" s="1"/>
  <c r="AW412" i="9"/>
  <c r="AM412" i="9" s="1"/>
  <c r="AT421" i="9"/>
  <c r="AX423" i="9"/>
  <c r="AN423" i="9" s="1"/>
  <c r="AW426" i="9"/>
  <c r="AM426" i="9" s="1"/>
  <c r="AV429" i="9"/>
  <c r="AL429" i="9" s="1"/>
  <c r="AY434" i="9"/>
  <c r="AO434" i="9" s="1"/>
  <c r="AT435" i="9"/>
  <c r="AX437" i="9"/>
  <c r="AN437" i="9" s="1"/>
  <c r="AW440" i="9"/>
  <c r="AM440" i="9" s="1"/>
  <c r="AV443" i="9"/>
  <c r="AL443" i="9" s="1"/>
  <c r="AY448" i="9"/>
  <c r="AO448" i="9" s="1"/>
  <c r="AT449" i="9"/>
  <c r="AX451" i="9"/>
  <c r="AN451" i="9" s="1"/>
  <c r="AW454" i="9"/>
  <c r="AM454" i="9" s="1"/>
  <c r="AV457" i="9"/>
  <c r="AL457" i="9" s="1"/>
  <c r="AY462" i="9"/>
  <c r="AO462" i="9" s="1"/>
  <c r="AT463" i="9"/>
  <c r="AX465" i="9"/>
  <c r="AN465" i="9" s="1"/>
  <c r="AW468" i="9"/>
  <c r="AM468" i="9" s="1"/>
  <c r="AV471" i="9"/>
  <c r="AL471" i="9" s="1"/>
  <c r="AY476" i="9"/>
  <c r="AO476" i="9" s="1"/>
  <c r="AT477" i="9"/>
  <c r="AX479" i="9"/>
  <c r="AN479" i="9" s="1"/>
  <c r="AW482" i="9"/>
  <c r="AM482" i="9" s="1"/>
  <c r="AV485" i="9"/>
  <c r="AL485" i="9" s="1"/>
  <c r="AU488" i="9"/>
  <c r="AK488" i="9" s="1"/>
  <c r="AY490" i="9"/>
  <c r="AO490" i="9" s="1"/>
  <c r="AI493" i="9"/>
  <c r="AX493" i="9"/>
  <c r="AN493" i="9" s="1"/>
  <c r="AW496" i="9"/>
  <c r="AM496" i="9" s="1"/>
  <c r="AR497" i="9"/>
  <c r="AS497" i="9" s="1"/>
  <c r="AV499" i="9"/>
  <c r="AL499" i="9" s="1"/>
  <c r="AU502" i="9"/>
  <c r="AK502" i="9" s="1"/>
  <c r="AY504" i="9"/>
  <c r="AO504" i="9" s="1"/>
  <c r="AT505" i="9"/>
  <c r="AI507" i="9"/>
  <c r="AX507" i="9"/>
  <c r="AN507" i="9" s="1"/>
  <c r="AW510" i="9"/>
  <c r="AM510" i="9" s="1"/>
  <c r="AR511" i="9"/>
  <c r="AS511" i="9" s="1"/>
  <c r="AV513" i="9"/>
  <c r="AL513" i="9" s="1"/>
  <c r="AU516" i="9"/>
  <c r="AK516" i="9" s="1"/>
  <c r="AJ518" i="9"/>
  <c r="AY518" i="9"/>
  <c r="AO518" i="9" s="1"/>
  <c r="AT519" i="9"/>
  <c r="AI521" i="9"/>
  <c r="AY521" i="9"/>
  <c r="AO521" i="9" s="1"/>
  <c r="AX525" i="9"/>
  <c r="AN525" i="9" s="1"/>
  <c r="AR527" i="9"/>
  <c r="AS527" i="9" s="1"/>
  <c r="AJ531" i="9"/>
  <c r="AJ534" i="9"/>
  <c r="AY541" i="9"/>
  <c r="AO541" i="9" s="1"/>
  <c r="AX541" i="9"/>
  <c r="AN541" i="9" s="1"/>
  <c r="AW541" i="9"/>
  <c r="AM541" i="9" s="1"/>
  <c r="AR541" i="9"/>
  <c r="AS541" i="9" s="1"/>
  <c r="AY549" i="9"/>
  <c r="AO549" i="9" s="1"/>
  <c r="AU549" i="9"/>
  <c r="AK549" i="9" s="1"/>
  <c r="AT549" i="9"/>
  <c r="AV567" i="9"/>
  <c r="AL567" i="9" s="1"/>
  <c r="AU567" i="9"/>
  <c r="AK567" i="9" s="1"/>
  <c r="AT567" i="9"/>
  <c r="AX567" i="9"/>
  <c r="AN567" i="9" s="1"/>
  <c r="AW567" i="9"/>
  <c r="AM567" i="9" s="1"/>
  <c r="AJ573" i="9"/>
  <c r="AI575" i="9"/>
  <c r="AH575" i="9"/>
  <c r="AJ575" i="9"/>
  <c r="AI588" i="9"/>
  <c r="AV609" i="9"/>
  <c r="AL609" i="9" s="1"/>
  <c r="AU609" i="9"/>
  <c r="AK609" i="9" s="1"/>
  <c r="AT609" i="9"/>
  <c r="AX609" i="9"/>
  <c r="AN609" i="9" s="1"/>
  <c r="AW609" i="9"/>
  <c r="AM609" i="9" s="1"/>
  <c r="AX398" i="9"/>
  <c r="AN398" i="9" s="1"/>
  <c r="AJ422" i="21" s="1"/>
  <c r="AY409" i="9"/>
  <c r="AO409" i="9" s="1"/>
  <c r="AX412" i="9"/>
  <c r="AN412" i="9" s="1"/>
  <c r="AY423" i="9"/>
  <c r="AO423" i="9" s="1"/>
  <c r="AX426" i="9"/>
  <c r="AN426" i="9" s="1"/>
  <c r="AW429" i="9"/>
  <c r="AM429" i="9" s="1"/>
  <c r="AY437" i="9"/>
  <c r="AO437" i="9" s="1"/>
  <c r="AX440" i="9"/>
  <c r="AN440" i="9" s="1"/>
  <c r="AW443" i="9"/>
  <c r="AM443" i="9" s="1"/>
  <c r="AY451" i="9"/>
  <c r="AO451" i="9" s="1"/>
  <c r="AX454" i="9"/>
  <c r="AN454" i="9" s="1"/>
  <c r="AW457" i="9"/>
  <c r="AM457" i="9" s="1"/>
  <c r="AY465" i="9"/>
  <c r="AO465" i="9" s="1"/>
  <c r="AX468" i="9"/>
  <c r="AN468" i="9" s="1"/>
  <c r="AW471" i="9"/>
  <c r="AM471" i="9" s="1"/>
  <c r="AY479" i="9"/>
  <c r="AO479" i="9" s="1"/>
  <c r="AX482" i="9"/>
  <c r="AN482" i="9" s="1"/>
  <c r="AW485" i="9"/>
  <c r="AM485" i="9" s="1"/>
  <c r="AV488" i="9"/>
  <c r="AL488" i="9" s="1"/>
  <c r="AY493" i="9"/>
  <c r="AO493" i="9" s="1"/>
  <c r="AW499" i="9"/>
  <c r="AM499" i="9" s="1"/>
  <c r="AV502" i="9"/>
  <c r="AL502" i="9" s="1"/>
  <c r="AY507" i="9"/>
  <c r="AO507" i="9" s="1"/>
  <c r="AW513" i="9"/>
  <c r="AM513" i="9" s="1"/>
  <c r="AV516" i="9"/>
  <c r="AL516" i="9" s="1"/>
  <c r="AJ521" i="9"/>
  <c r="AU570" i="9"/>
  <c r="AK570" i="9" s="1"/>
  <c r="AT570" i="9"/>
  <c r="AR570" i="9"/>
  <c r="AS570" i="9" s="1"/>
  <c r="AY570" i="9"/>
  <c r="AO570" i="9" s="1"/>
  <c r="AW570" i="9"/>
  <c r="AM570" i="9" s="1"/>
  <c r="AV570" i="9"/>
  <c r="AL570" i="9" s="1"/>
  <c r="AI582" i="9"/>
  <c r="AH582" i="9"/>
  <c r="AJ588" i="9"/>
  <c r="AI596" i="9"/>
  <c r="AH596" i="9"/>
  <c r="AR609" i="9"/>
  <c r="AS609" i="9" s="1"/>
  <c r="AJ615" i="9"/>
  <c r="AI615" i="9"/>
  <c r="AJ638" i="9"/>
  <c r="AI638" i="9"/>
  <c r="AH638" i="9"/>
  <c r="AJ735" i="9"/>
  <c r="AI735" i="9"/>
  <c r="AH735" i="9"/>
  <c r="AU528" i="9"/>
  <c r="AK528" i="9" s="1"/>
  <c r="AW528" i="9"/>
  <c r="AM528" i="9" s="1"/>
  <c r="AY538" i="9"/>
  <c r="AO538" i="9" s="1"/>
  <c r="AX538" i="9"/>
  <c r="AN538" i="9" s="1"/>
  <c r="AJ541" i="9"/>
  <c r="AI541" i="9"/>
  <c r="AH541" i="9"/>
  <c r="AY555" i="9"/>
  <c r="AO555" i="9" s="1"/>
  <c r="AX555" i="9"/>
  <c r="AN555" i="9" s="1"/>
  <c r="AW555" i="9"/>
  <c r="AM555" i="9" s="1"/>
  <c r="AR555" i="9"/>
  <c r="AS555" i="9" s="1"/>
  <c r="AX488" i="9"/>
  <c r="AN488" i="9" s="1"/>
  <c r="AU497" i="9"/>
  <c r="AK497" i="9" s="1"/>
  <c r="AI502" i="9"/>
  <c r="AX502" i="9"/>
  <c r="AN502" i="9" s="1"/>
  <c r="AU511" i="9"/>
  <c r="AK511" i="9" s="1"/>
  <c r="AX516" i="9"/>
  <c r="AN516" i="9" s="1"/>
  <c r="AR520" i="9"/>
  <c r="AS520" i="9" s="1"/>
  <c r="AR528" i="9"/>
  <c r="AS528" i="9" s="1"/>
  <c r="AY530" i="9"/>
  <c r="AO530" i="9" s="1"/>
  <c r="AW530" i="9"/>
  <c r="AM530" i="9" s="1"/>
  <c r="AR538" i="9"/>
  <c r="AS538" i="9" s="1"/>
  <c r="AT555" i="9"/>
  <c r="AY488" i="9"/>
  <c r="AO488" i="9" s="1"/>
  <c r="AV497" i="9"/>
  <c r="AL497" i="9" s="1"/>
  <c r="AY502" i="9"/>
  <c r="AO502" i="9" s="1"/>
  <c r="AV511" i="9"/>
  <c r="AL511" i="9" s="1"/>
  <c r="AY516" i="9"/>
  <c r="AO516" i="9" s="1"/>
  <c r="AT528" i="9"/>
  <c r="AT529" i="9"/>
  <c r="AR530" i="9"/>
  <c r="AS530" i="9" s="1"/>
  <c r="AV539" i="9"/>
  <c r="AL539" i="9" s="1"/>
  <c r="AU539" i="9"/>
  <c r="AK539" i="9" s="1"/>
  <c r="AT539" i="9"/>
  <c r="AX539" i="9"/>
  <c r="AN539" i="9" s="1"/>
  <c r="AU555" i="9"/>
  <c r="AK555" i="9" s="1"/>
  <c r="AJ558" i="9"/>
  <c r="AI558" i="9"/>
  <c r="AH558" i="9"/>
  <c r="AY563" i="9"/>
  <c r="AO563" i="9" s="1"/>
  <c r="AU563" i="9"/>
  <c r="AK563" i="9" s="1"/>
  <c r="AT563" i="9"/>
  <c r="AR563" i="9"/>
  <c r="AS563" i="9" s="1"/>
  <c r="AW578" i="9"/>
  <c r="AM578" i="9" s="1"/>
  <c r="AV578" i="9"/>
  <c r="AL578" i="9" s="1"/>
  <c r="AU578" i="9"/>
  <c r="AK578" i="9" s="1"/>
  <c r="AT578" i="9"/>
  <c r="AY578" i="9"/>
  <c r="AO578" i="9" s="1"/>
  <c r="AX578" i="9"/>
  <c r="AN578" i="9" s="1"/>
  <c r="AY591" i="9"/>
  <c r="AO591" i="9" s="1"/>
  <c r="AU591" i="9"/>
  <c r="AK591" i="9" s="1"/>
  <c r="AT591" i="9"/>
  <c r="AR591" i="9"/>
  <c r="AS591" i="9" s="1"/>
  <c r="AY605" i="9"/>
  <c r="AO605" i="9" s="1"/>
  <c r="AU605" i="9"/>
  <c r="AK605" i="9" s="1"/>
  <c r="AT605" i="9"/>
  <c r="AR605" i="9"/>
  <c r="AS605" i="9" s="1"/>
  <c r="AJ693" i="9"/>
  <c r="AI693" i="9"/>
  <c r="AH693" i="9"/>
  <c r="AY393" i="9"/>
  <c r="AO393" i="9" s="1"/>
  <c r="AE423" i="21" s="1"/>
  <c r="AY407" i="9"/>
  <c r="AO407" i="9" s="1"/>
  <c r="AY421" i="9"/>
  <c r="AO421" i="9" s="1"/>
  <c r="AY435" i="9"/>
  <c r="AO435" i="9" s="1"/>
  <c r="AR442" i="9"/>
  <c r="AS442" i="9" s="1"/>
  <c r="AY449" i="9"/>
  <c r="AO449" i="9" s="1"/>
  <c r="AR456" i="9"/>
  <c r="AS456" i="9" s="1"/>
  <c r="AY463" i="9"/>
  <c r="AO463" i="9" s="1"/>
  <c r="AR470" i="9"/>
  <c r="AS470" i="9" s="1"/>
  <c r="AY477" i="9"/>
  <c r="AO477" i="9" s="1"/>
  <c r="AR484" i="9"/>
  <c r="AS484" i="9" s="1"/>
  <c r="AW497" i="9"/>
  <c r="AM497" i="9" s="1"/>
  <c r="AR498" i="9"/>
  <c r="AS498" i="9" s="1"/>
  <c r="AU503" i="9"/>
  <c r="AK503" i="9" s="1"/>
  <c r="AW511" i="9"/>
  <c r="AM511" i="9" s="1"/>
  <c r="AR512" i="9"/>
  <c r="AS512" i="9" s="1"/>
  <c r="AU517" i="9"/>
  <c r="AK517" i="9" s="1"/>
  <c r="AT520" i="9"/>
  <c r="AR524" i="9"/>
  <c r="AS524" i="9" s="1"/>
  <c r="AI526" i="9"/>
  <c r="AW527" i="9"/>
  <c r="AM527" i="9" s="1"/>
  <c r="AV528" i="9"/>
  <c r="AL528" i="9" s="1"/>
  <c r="AU529" i="9"/>
  <c r="AK529" i="9" s="1"/>
  <c r="AX533" i="9"/>
  <c r="AN533" i="9" s="1"/>
  <c r="AW533" i="9"/>
  <c r="AM533" i="9" s="1"/>
  <c r="AV533" i="9"/>
  <c r="AL533" i="9" s="1"/>
  <c r="AU533" i="9"/>
  <c r="AK533" i="9" s="1"/>
  <c r="AR535" i="9"/>
  <c r="AS535" i="9" s="1"/>
  <c r="AT538" i="9"/>
  <c r="AR539" i="9"/>
  <c r="AS539" i="9" s="1"/>
  <c r="AV555" i="9"/>
  <c r="AL555" i="9" s="1"/>
  <c r="AY569" i="9"/>
  <c r="AO569" i="9" s="1"/>
  <c r="AX569" i="9"/>
  <c r="AN569" i="9" s="1"/>
  <c r="AW569" i="9"/>
  <c r="AM569" i="9" s="1"/>
  <c r="AR569" i="9"/>
  <c r="AS569" i="9" s="1"/>
  <c r="AR578" i="9"/>
  <c r="AS578" i="9" s="1"/>
  <c r="AU584" i="9"/>
  <c r="AK584" i="9" s="1"/>
  <c r="AT584" i="9"/>
  <c r="AR584" i="9"/>
  <c r="AS584" i="9" s="1"/>
  <c r="AY584" i="9"/>
  <c r="AO584" i="9" s="1"/>
  <c r="AW584" i="9"/>
  <c r="AM584" i="9" s="1"/>
  <c r="AV584" i="9"/>
  <c r="AL584" i="9" s="1"/>
  <c r="AI589" i="9"/>
  <c r="AH589" i="9"/>
  <c r="AJ589" i="9"/>
  <c r="AV595" i="9"/>
  <c r="AL595" i="9" s="1"/>
  <c r="AU595" i="9"/>
  <c r="AK595" i="9" s="1"/>
  <c r="AT595" i="9"/>
  <c r="AX595" i="9"/>
  <c r="AN595" i="9" s="1"/>
  <c r="AW595" i="9"/>
  <c r="AM595" i="9" s="1"/>
  <c r="AU598" i="9"/>
  <c r="AK598" i="9" s="1"/>
  <c r="AT598" i="9"/>
  <c r="AR598" i="9"/>
  <c r="AS598" i="9" s="1"/>
  <c r="AY598" i="9"/>
  <c r="AO598" i="9" s="1"/>
  <c r="AW598" i="9"/>
  <c r="AM598" i="9" s="1"/>
  <c r="AV598" i="9"/>
  <c r="AL598" i="9" s="1"/>
  <c r="AI603" i="9"/>
  <c r="AH603" i="9"/>
  <c r="AJ603" i="9"/>
  <c r="AV605" i="9"/>
  <c r="AL605" i="9" s="1"/>
  <c r="AY619" i="9"/>
  <c r="AO619" i="9" s="1"/>
  <c r="AW619" i="9"/>
  <c r="AM619" i="9" s="1"/>
  <c r="AV619" i="9"/>
  <c r="AL619" i="9" s="1"/>
  <c r="AU619" i="9"/>
  <c r="AK619" i="9" s="1"/>
  <c r="AT619" i="9"/>
  <c r="AR619" i="9"/>
  <c r="AS619" i="9" s="1"/>
  <c r="AH458" i="9"/>
  <c r="AT467" i="9"/>
  <c r="AH472" i="9"/>
  <c r="AT481" i="9"/>
  <c r="AH486" i="9"/>
  <c r="AT495" i="9"/>
  <c r="AX497" i="9"/>
  <c r="AN497" i="9" s="1"/>
  <c r="AH500" i="9"/>
  <c r="AT509" i="9"/>
  <c r="AX511" i="9"/>
  <c r="AN511" i="9" s="1"/>
  <c r="AH514" i="9"/>
  <c r="AV517" i="9"/>
  <c r="AL517" i="9" s="1"/>
  <c r="AU520" i="9"/>
  <c r="AK520" i="9" s="1"/>
  <c r="AY527" i="9"/>
  <c r="AO527" i="9" s="1"/>
  <c r="AX528" i="9"/>
  <c r="AN528" i="9" s="1"/>
  <c r="AV529" i="9"/>
  <c r="AL529" i="9" s="1"/>
  <c r="AT530" i="9"/>
  <c r="AW536" i="9"/>
  <c r="AM536" i="9" s="1"/>
  <c r="AV536" i="9"/>
  <c r="AL536" i="9" s="1"/>
  <c r="AU536" i="9"/>
  <c r="AK536" i="9" s="1"/>
  <c r="AT536" i="9"/>
  <c r="AY536" i="9"/>
  <c r="AO536" i="9" s="1"/>
  <c r="AU538" i="9"/>
  <c r="AK538" i="9" s="1"/>
  <c r="AW539" i="9"/>
  <c r="AM539" i="9" s="1"/>
  <c r="AI547" i="9"/>
  <c r="AH547" i="9"/>
  <c r="AJ547" i="9"/>
  <c r="AV563" i="9"/>
  <c r="AL563" i="9" s="1"/>
  <c r="AT569" i="9"/>
  <c r="AV581" i="9"/>
  <c r="AL581" i="9" s="1"/>
  <c r="AU581" i="9"/>
  <c r="AK581" i="9" s="1"/>
  <c r="AT581" i="9"/>
  <c r="AX581" i="9"/>
  <c r="AN581" i="9" s="1"/>
  <c r="AW581" i="9"/>
  <c r="AM581" i="9" s="1"/>
  <c r="AX584" i="9"/>
  <c r="AN584" i="9" s="1"/>
  <c r="AV591" i="9"/>
  <c r="AL591" i="9" s="1"/>
  <c r="AR595" i="9"/>
  <c r="AS595" i="9" s="1"/>
  <c r="AX598" i="9"/>
  <c r="AN598" i="9" s="1"/>
  <c r="AW605" i="9"/>
  <c r="AM605" i="9" s="1"/>
  <c r="AX619" i="9"/>
  <c r="AN619" i="9" s="1"/>
  <c r="AR434" i="9"/>
  <c r="AS434" i="9" s="1"/>
  <c r="AT442" i="9"/>
  <c r="AH447" i="9"/>
  <c r="AR448" i="9"/>
  <c r="AS448" i="9" s="1"/>
  <c r="AT456" i="9"/>
  <c r="AI458" i="9"/>
  <c r="AH461" i="9"/>
  <c r="AR462" i="9"/>
  <c r="AS462" i="9" s="1"/>
  <c r="AU467" i="9"/>
  <c r="AK467" i="9" s="1"/>
  <c r="AT470" i="9"/>
  <c r="AI472" i="9"/>
  <c r="AH475" i="9"/>
  <c r="AR476" i="9"/>
  <c r="AS476" i="9" s="1"/>
  <c r="AU481" i="9"/>
  <c r="AK481" i="9" s="1"/>
  <c r="AT484" i="9"/>
  <c r="AI486" i="9"/>
  <c r="AH489" i="9"/>
  <c r="AR490" i="9"/>
  <c r="AS490" i="9" s="1"/>
  <c r="AU495" i="9"/>
  <c r="AK495" i="9" s="1"/>
  <c r="AT498" i="9"/>
  <c r="AI500" i="9"/>
  <c r="AH503" i="9"/>
  <c r="AR504" i="9"/>
  <c r="AS504" i="9" s="1"/>
  <c r="AU509" i="9"/>
  <c r="AK509" i="9" s="1"/>
  <c r="AT512" i="9"/>
  <c r="AI514" i="9"/>
  <c r="AH517" i="9"/>
  <c r="AV520" i="9"/>
  <c r="AL520" i="9" s="1"/>
  <c r="AH523" i="9"/>
  <c r="AT524" i="9"/>
  <c r="AH527" i="9"/>
  <c r="AY528" i="9"/>
  <c r="AO528" i="9" s="1"/>
  <c r="AW529" i="9"/>
  <c r="AM529" i="9" s="1"/>
  <c r="AU530" i="9"/>
  <c r="AK530" i="9" s="1"/>
  <c r="AT535" i="9"/>
  <c r="AV538" i="9"/>
  <c r="AL538" i="9" s="1"/>
  <c r="AY539" i="9"/>
  <c r="AO539" i="9" s="1"/>
  <c r="AI554" i="9"/>
  <c r="AH554" i="9"/>
  <c r="AW563" i="9"/>
  <c r="AM563" i="9" s="1"/>
  <c r="AW591" i="9"/>
  <c r="AM591" i="9" s="1"/>
  <c r="AJ601" i="9"/>
  <c r="AI601" i="9"/>
  <c r="AX605" i="9"/>
  <c r="AN605" i="9" s="1"/>
  <c r="AJ610" i="9"/>
  <c r="AI610" i="9"/>
  <c r="AH610" i="9"/>
  <c r="AU612" i="9"/>
  <c r="AK612" i="9" s="1"/>
  <c r="AT612" i="9"/>
  <c r="AR612" i="9"/>
  <c r="AS612" i="9" s="1"/>
  <c r="AY612" i="9"/>
  <c r="AO612" i="9" s="1"/>
  <c r="AW612" i="9"/>
  <c r="AM612" i="9" s="1"/>
  <c r="AV612" i="9"/>
  <c r="AL612" i="9" s="1"/>
  <c r="AR409" i="9"/>
  <c r="AS409" i="9" s="1"/>
  <c r="AR423" i="9"/>
  <c r="AS423" i="9" s="1"/>
  <c r="AR437" i="9"/>
  <c r="AS437" i="9" s="1"/>
  <c r="AU442" i="9"/>
  <c r="AK442" i="9" s="1"/>
  <c r="AI447" i="9"/>
  <c r="AR451" i="9"/>
  <c r="AS451" i="9" s="1"/>
  <c r="AU456" i="9"/>
  <c r="AK456" i="9" s="1"/>
  <c r="AI461" i="9"/>
  <c r="AR465" i="9"/>
  <c r="AS465" i="9" s="1"/>
  <c r="AV467" i="9"/>
  <c r="AL467" i="9" s="1"/>
  <c r="AU470" i="9"/>
  <c r="AK470" i="9" s="1"/>
  <c r="AI475" i="9"/>
  <c r="AR479" i="9"/>
  <c r="AS479" i="9" s="1"/>
  <c r="AV481" i="9"/>
  <c r="AL481" i="9" s="1"/>
  <c r="AU484" i="9"/>
  <c r="AK484" i="9" s="1"/>
  <c r="AI489" i="9"/>
  <c r="AR493" i="9"/>
  <c r="AS493" i="9" s="1"/>
  <c r="AV495" i="9"/>
  <c r="AL495" i="9" s="1"/>
  <c r="AU498" i="9"/>
  <c r="AK498" i="9" s="1"/>
  <c r="AI503" i="9"/>
  <c r="AR507" i="9"/>
  <c r="AS507" i="9" s="1"/>
  <c r="AV509" i="9"/>
  <c r="AL509" i="9" s="1"/>
  <c r="AU512" i="9"/>
  <c r="AK512" i="9" s="1"/>
  <c r="AI517" i="9"/>
  <c r="AW520" i="9"/>
  <c r="AM520" i="9" s="1"/>
  <c r="AI523" i="9"/>
  <c r="AU524" i="9"/>
  <c r="AK524" i="9" s="1"/>
  <c r="AJ527" i="9"/>
  <c r="AX529" i="9"/>
  <c r="AN529" i="9" s="1"/>
  <c r="AV530" i="9"/>
  <c r="AL530" i="9" s="1"/>
  <c r="AT533" i="9"/>
  <c r="AU535" i="9"/>
  <c r="AK535" i="9" s="1"/>
  <c r="AW538" i="9"/>
  <c r="AM538" i="9" s="1"/>
  <c r="AX563" i="9"/>
  <c r="AN563" i="9" s="1"/>
  <c r="AV569" i="9"/>
  <c r="AL569" i="9" s="1"/>
  <c r="AY581" i="9"/>
  <c r="AO581" i="9" s="1"/>
  <c r="AX591" i="9"/>
  <c r="AN591" i="9" s="1"/>
  <c r="AX612" i="9"/>
  <c r="AN612" i="9" s="1"/>
  <c r="AT434" i="9"/>
  <c r="AV442" i="9"/>
  <c r="AL442" i="9" s="1"/>
  <c r="AT448" i="9"/>
  <c r="AV456" i="9"/>
  <c r="AL456" i="9" s="1"/>
  <c r="AT462" i="9"/>
  <c r="AW467" i="9"/>
  <c r="AM467" i="9" s="1"/>
  <c r="AV470" i="9"/>
  <c r="AL470" i="9" s="1"/>
  <c r="AT476" i="9"/>
  <c r="AW481" i="9"/>
  <c r="AM481" i="9" s="1"/>
  <c r="AV484" i="9"/>
  <c r="AL484" i="9" s="1"/>
  <c r="AT490" i="9"/>
  <c r="AW495" i="9"/>
  <c r="AM495" i="9" s="1"/>
  <c r="AV498" i="9"/>
  <c r="AL498" i="9" s="1"/>
  <c r="AT504" i="9"/>
  <c r="AW509" i="9"/>
  <c r="AM509" i="9" s="1"/>
  <c r="AV512" i="9"/>
  <c r="AL512" i="9" s="1"/>
  <c r="AX520" i="9"/>
  <c r="AN520" i="9" s="1"/>
  <c r="AV524" i="9"/>
  <c r="AL524" i="9" s="1"/>
  <c r="AY529" i="9"/>
  <c r="AO529" i="9" s="1"/>
  <c r="AX530" i="9"/>
  <c r="AN530" i="9" s="1"/>
  <c r="AV535" i="9"/>
  <c r="AL535" i="9" s="1"/>
  <c r="AX536" i="9"/>
  <c r="AN536" i="9" s="1"/>
  <c r="AV543" i="9"/>
  <c r="AL543" i="9" s="1"/>
  <c r="AR543" i="9"/>
  <c r="AS543" i="9" s="1"/>
  <c r="AJ572" i="9"/>
  <c r="AI572" i="9"/>
  <c r="AH572" i="9"/>
  <c r="AY577" i="9"/>
  <c r="AO577" i="9" s="1"/>
  <c r="AU577" i="9"/>
  <c r="AK577" i="9" s="1"/>
  <c r="AT577" i="9"/>
  <c r="AR577" i="9"/>
  <c r="AS577" i="9" s="1"/>
  <c r="AY583" i="9"/>
  <c r="AO583" i="9" s="1"/>
  <c r="AX583" i="9"/>
  <c r="AN583" i="9" s="1"/>
  <c r="AW583" i="9"/>
  <c r="AM583" i="9" s="1"/>
  <c r="AR583" i="9"/>
  <c r="AS583" i="9" s="1"/>
  <c r="AY597" i="9"/>
  <c r="AO597" i="9" s="1"/>
  <c r="AX597" i="9"/>
  <c r="AN597" i="9" s="1"/>
  <c r="AW597" i="9"/>
  <c r="AM597" i="9" s="1"/>
  <c r="AR597" i="9"/>
  <c r="AS597" i="9" s="1"/>
  <c r="AW524" i="9"/>
  <c r="AM524" i="9" s="1"/>
  <c r="AW535" i="9"/>
  <c r="AM535" i="9" s="1"/>
  <c r="AH540" i="9"/>
  <c r="AW550" i="9"/>
  <c r="AM550" i="9" s="1"/>
  <c r="AV550" i="9"/>
  <c r="AL550" i="9" s="1"/>
  <c r="AU550" i="9"/>
  <c r="AK550" i="9" s="1"/>
  <c r="AT550" i="9"/>
  <c r="AY550" i="9"/>
  <c r="AO550" i="9" s="1"/>
  <c r="AX550" i="9"/>
  <c r="AN550" i="9" s="1"/>
  <c r="AI561" i="9"/>
  <c r="AH561" i="9"/>
  <c r="AJ561" i="9"/>
  <c r="AI568" i="9"/>
  <c r="AH568" i="9"/>
  <c r="AT583" i="9"/>
  <c r="AJ596" i="9"/>
  <c r="AT597" i="9"/>
  <c r="AI617" i="9"/>
  <c r="AH617" i="9"/>
  <c r="AJ617" i="9"/>
  <c r="AT398" i="9"/>
  <c r="AH403" i="9"/>
  <c r="AO416" i="21" s="1"/>
  <c r="AU409" i="9"/>
  <c r="AK409" i="9" s="1"/>
  <c r="AT412" i="9"/>
  <c r="AH417" i="9"/>
  <c r="AU423" i="9"/>
  <c r="AK423" i="9" s="1"/>
  <c r="AT426" i="9"/>
  <c r="AH431" i="9"/>
  <c r="AV434" i="9"/>
  <c r="AL434" i="9" s="1"/>
  <c r="AU437" i="9"/>
  <c r="AK437" i="9" s="1"/>
  <c r="AT440" i="9"/>
  <c r="AX442" i="9"/>
  <c r="AN442" i="9" s="1"/>
  <c r="AH445" i="9"/>
  <c r="AV448" i="9"/>
  <c r="AL448" i="9" s="1"/>
  <c r="AU451" i="9"/>
  <c r="AK451" i="9" s="1"/>
  <c r="AT454" i="9"/>
  <c r="AX456" i="9"/>
  <c r="AN456" i="9" s="1"/>
  <c r="AH459" i="9"/>
  <c r="AV462" i="9"/>
  <c r="AL462" i="9" s="1"/>
  <c r="AU465" i="9"/>
  <c r="AK465" i="9" s="1"/>
  <c r="AT468" i="9"/>
  <c r="AX470" i="9"/>
  <c r="AN470" i="9" s="1"/>
  <c r="AH473" i="9"/>
  <c r="AV476" i="9"/>
  <c r="AL476" i="9" s="1"/>
  <c r="AU479" i="9"/>
  <c r="AK479" i="9" s="1"/>
  <c r="AT482" i="9"/>
  <c r="AX484" i="9"/>
  <c r="AN484" i="9" s="1"/>
  <c r="AH487" i="9"/>
  <c r="AW487" i="9"/>
  <c r="AM487" i="9" s="1"/>
  <c r="AV490" i="9"/>
  <c r="AL490" i="9" s="1"/>
  <c r="AU493" i="9"/>
  <c r="AK493" i="9" s="1"/>
  <c r="AT496" i="9"/>
  <c r="AX498" i="9"/>
  <c r="AN498" i="9" s="1"/>
  <c r="AH501" i="9"/>
  <c r="AW501" i="9"/>
  <c r="AM501" i="9" s="1"/>
  <c r="AV504" i="9"/>
  <c r="AL504" i="9" s="1"/>
  <c r="AU507" i="9"/>
  <c r="AK507" i="9" s="1"/>
  <c r="AT510" i="9"/>
  <c r="AX512" i="9"/>
  <c r="AN512" i="9" s="1"/>
  <c r="AH515" i="9"/>
  <c r="AW515" i="9"/>
  <c r="AM515" i="9" s="1"/>
  <c r="AR516" i="9"/>
  <c r="AS516" i="9" s="1"/>
  <c r="AV518" i="9"/>
  <c r="AL518" i="9" s="1"/>
  <c r="AV521" i="9"/>
  <c r="AL521" i="9" s="1"/>
  <c r="AX524" i="9"/>
  <c r="AN524" i="9" s="1"/>
  <c r="AU525" i="9"/>
  <c r="AK525" i="9" s="1"/>
  <c r="AX535" i="9"/>
  <c r="AN535" i="9" s="1"/>
  <c r="AI540" i="9"/>
  <c r="AT543" i="9"/>
  <c r="AJ544" i="9"/>
  <c r="AI544" i="9"/>
  <c r="AH544" i="9"/>
  <c r="AR550" i="9"/>
  <c r="AS550" i="9" s="1"/>
  <c r="AV553" i="9"/>
  <c r="AL553" i="9" s="1"/>
  <c r="AU553" i="9"/>
  <c r="AK553" i="9" s="1"/>
  <c r="AT553" i="9"/>
  <c r="AX553" i="9"/>
  <c r="AN553" i="9" s="1"/>
  <c r="AW553" i="9"/>
  <c r="AM553" i="9" s="1"/>
  <c r="AI574" i="9"/>
  <c r="AV577" i="9"/>
  <c r="AL577" i="9" s="1"/>
  <c r="AJ582" i="9"/>
  <c r="AU583" i="9"/>
  <c r="AK583" i="9" s="1"/>
  <c r="AU597" i="9"/>
  <c r="AK597" i="9" s="1"/>
  <c r="AW606" i="9"/>
  <c r="AM606" i="9" s="1"/>
  <c r="AV606" i="9"/>
  <c r="AL606" i="9" s="1"/>
  <c r="AU606" i="9"/>
  <c r="AK606" i="9" s="1"/>
  <c r="AT606" i="9"/>
  <c r="AY606" i="9"/>
  <c r="AO606" i="9" s="1"/>
  <c r="AX606" i="9"/>
  <c r="AN606" i="9" s="1"/>
  <c r="AR522" i="9"/>
  <c r="AS522" i="9" s="1"/>
  <c r="AV525" i="9"/>
  <c r="AL525" i="9" s="1"/>
  <c r="AH534" i="9"/>
  <c r="AU543" i="9"/>
  <c r="AK543" i="9" s="1"/>
  <c r="AU556" i="9"/>
  <c r="AK556" i="9" s="1"/>
  <c r="AT556" i="9"/>
  <c r="AR556" i="9"/>
  <c r="AS556" i="9" s="1"/>
  <c r="AY556" i="9"/>
  <c r="AO556" i="9" s="1"/>
  <c r="AW556" i="9"/>
  <c r="AM556" i="9" s="1"/>
  <c r="AV556" i="9"/>
  <c r="AL556" i="9" s="1"/>
  <c r="AW577" i="9"/>
  <c r="AM577" i="9" s="1"/>
  <c r="AV583" i="9"/>
  <c r="AL583" i="9" s="1"/>
  <c r="AJ586" i="9"/>
  <c r="AI586" i="9"/>
  <c r="AH586" i="9"/>
  <c r="AV597" i="9"/>
  <c r="AL597" i="9" s="1"/>
  <c r="AJ600" i="9"/>
  <c r="AI600" i="9"/>
  <c r="AH600" i="9"/>
  <c r="AJ629" i="9"/>
  <c r="AI629" i="9"/>
  <c r="AH629" i="9"/>
  <c r="AU542" i="9"/>
  <c r="AK542" i="9" s="1"/>
  <c r="AT542" i="9"/>
  <c r="AR542" i="9"/>
  <c r="AS542" i="9" s="1"/>
  <c r="AW542" i="9"/>
  <c r="AM542" i="9" s="1"/>
  <c r="AW543" i="9"/>
  <c r="AM543" i="9" s="1"/>
  <c r="AW564" i="9"/>
  <c r="AM564" i="9" s="1"/>
  <c r="AV564" i="9"/>
  <c r="AL564" i="9" s="1"/>
  <c r="AU564" i="9"/>
  <c r="AK564" i="9" s="1"/>
  <c r="AT564" i="9"/>
  <c r="AY564" i="9"/>
  <c r="AO564" i="9" s="1"/>
  <c r="AX564" i="9"/>
  <c r="AN564" i="9" s="1"/>
  <c r="AH573" i="9"/>
  <c r="AX577" i="9"/>
  <c r="AN577" i="9" s="1"/>
  <c r="AJ579" i="9"/>
  <c r="AI579" i="9"/>
  <c r="AW592" i="9"/>
  <c r="AM592" i="9" s="1"/>
  <c r="AV592" i="9"/>
  <c r="AL592" i="9" s="1"/>
  <c r="AU592" i="9"/>
  <c r="AK592" i="9" s="1"/>
  <c r="AT592" i="9"/>
  <c r="AY592" i="9"/>
  <c r="AO592" i="9" s="1"/>
  <c r="AX592" i="9"/>
  <c r="AN592" i="9" s="1"/>
  <c r="AH615" i="9"/>
  <c r="AU573" i="9"/>
  <c r="AK573" i="9" s="1"/>
  <c r="AY575" i="9"/>
  <c r="AO575" i="9" s="1"/>
  <c r="AR582" i="9"/>
  <c r="AS582" i="9" s="1"/>
  <c r="AU587" i="9"/>
  <c r="AK587" i="9" s="1"/>
  <c r="AR596" i="9"/>
  <c r="AS596" i="9" s="1"/>
  <c r="AU601" i="9"/>
  <c r="AK601" i="9" s="1"/>
  <c r="AR610" i="9"/>
  <c r="AS610" i="9" s="1"/>
  <c r="AU615" i="9"/>
  <c r="AK615" i="9" s="1"/>
  <c r="AX620" i="9"/>
  <c r="AN620" i="9" s="1"/>
  <c r="AW623" i="9"/>
  <c r="AM623" i="9" s="1"/>
  <c r="AR624" i="9"/>
  <c r="AS624" i="9" s="1"/>
  <c r="AV626" i="9"/>
  <c r="AL626" i="9" s="1"/>
  <c r="AU629" i="9"/>
  <c r="AK629" i="9" s="1"/>
  <c r="AJ631" i="9"/>
  <c r="AX634" i="9"/>
  <c r="AN634" i="9" s="1"/>
  <c r="AY637" i="9"/>
  <c r="AO637" i="9" s="1"/>
  <c r="AU638" i="9"/>
  <c r="AK638" i="9" s="1"/>
  <c r="AX641" i="9"/>
  <c r="AN641" i="9" s="1"/>
  <c r="AH646" i="9"/>
  <c r="AY646" i="9"/>
  <c r="AO646" i="9" s="1"/>
  <c r="AU647" i="9"/>
  <c r="AK647" i="9" s="1"/>
  <c r="AH650" i="9"/>
  <c r="AW651" i="9"/>
  <c r="AM651" i="9" s="1"/>
  <c r="AV657" i="9"/>
  <c r="AL657" i="9" s="1"/>
  <c r="AX661" i="9"/>
  <c r="AN661" i="9" s="1"/>
  <c r="AI669" i="9"/>
  <c r="AH669" i="9"/>
  <c r="AI703" i="9"/>
  <c r="AJ726" i="9"/>
  <c r="AI726" i="9"/>
  <c r="AV531" i="9"/>
  <c r="AL531" i="9" s="1"/>
  <c r="AT537" i="9"/>
  <c r="AV545" i="9"/>
  <c r="AL545" i="9" s="1"/>
  <c r="AT551" i="9"/>
  <c r="AR557" i="9"/>
  <c r="AS557" i="9" s="1"/>
  <c r="AV559" i="9"/>
  <c r="AL559" i="9" s="1"/>
  <c r="AT565" i="9"/>
  <c r="AV573" i="9"/>
  <c r="AL573" i="9" s="1"/>
  <c r="AR585" i="9"/>
  <c r="AS585" i="9" s="1"/>
  <c r="AV587" i="9"/>
  <c r="AL587" i="9" s="1"/>
  <c r="AR599" i="9"/>
  <c r="AS599" i="9" s="1"/>
  <c r="AV601" i="9"/>
  <c r="AL601" i="9" s="1"/>
  <c r="AR613" i="9"/>
  <c r="AS613" i="9" s="1"/>
  <c r="AV615" i="9"/>
  <c r="AL615" i="9" s="1"/>
  <c r="AY620" i="9"/>
  <c r="AO620" i="9" s="1"/>
  <c r="AX623" i="9"/>
  <c r="AN623" i="9" s="1"/>
  <c r="AW626" i="9"/>
  <c r="AM626" i="9" s="1"/>
  <c r="AR627" i="9"/>
  <c r="AS627" i="9" s="1"/>
  <c r="AV629" i="9"/>
  <c r="AL629" i="9" s="1"/>
  <c r="AY634" i="9"/>
  <c r="AO634" i="9" s="1"/>
  <c r="AV638" i="9"/>
  <c r="AL638" i="9" s="1"/>
  <c r="AR639" i="9"/>
  <c r="AS639" i="9" s="1"/>
  <c r="AY641" i="9"/>
  <c r="AO641" i="9" s="1"/>
  <c r="AR643" i="9"/>
  <c r="AS643" i="9" s="1"/>
  <c r="AI646" i="9"/>
  <c r="AW647" i="9"/>
  <c r="AM647" i="9" s="1"/>
  <c r="AX651" i="9"/>
  <c r="AN651" i="9" s="1"/>
  <c r="AW657" i="9"/>
  <c r="AM657" i="9" s="1"/>
  <c r="AI679" i="9"/>
  <c r="AH679" i="9"/>
  <c r="AJ701" i="9"/>
  <c r="AI701" i="9"/>
  <c r="AH701" i="9"/>
  <c r="AX626" i="9"/>
  <c r="AN626" i="9" s="1"/>
  <c r="AY651" i="9"/>
  <c r="AO651" i="9" s="1"/>
  <c r="AY668" i="9"/>
  <c r="AO668" i="9" s="1"/>
  <c r="AW668" i="9"/>
  <c r="AM668" i="9" s="1"/>
  <c r="AV668" i="9"/>
  <c r="AL668" i="9" s="1"/>
  <c r="AT668" i="9"/>
  <c r="AJ676" i="9"/>
  <c r="AI676" i="9"/>
  <c r="AH676" i="9"/>
  <c r="AY716" i="9"/>
  <c r="AO716" i="9" s="1"/>
  <c r="AX716" i="9"/>
  <c r="AN716" i="9" s="1"/>
  <c r="AW716" i="9"/>
  <c r="AM716" i="9" s="1"/>
  <c r="AV716" i="9"/>
  <c r="AL716" i="9" s="1"/>
  <c r="AU716" i="9"/>
  <c r="AK716" i="9" s="1"/>
  <c r="AT716" i="9"/>
  <c r="AR716" i="9"/>
  <c r="AS716" i="9" s="1"/>
  <c r="AJ740" i="9"/>
  <c r="AI740" i="9"/>
  <c r="AY626" i="9"/>
  <c r="AO626" i="9" s="1"/>
  <c r="AR633" i="9"/>
  <c r="AS633" i="9" s="1"/>
  <c r="AR636" i="9"/>
  <c r="AS636" i="9" s="1"/>
  <c r="AR644" i="9"/>
  <c r="AS644" i="9" s="1"/>
  <c r="AR668" i="9"/>
  <c r="AS668" i="9" s="1"/>
  <c r="AY688" i="9"/>
  <c r="AO688" i="9" s="1"/>
  <c r="AX688" i="9"/>
  <c r="AN688" i="9" s="1"/>
  <c r="AW688" i="9"/>
  <c r="AM688" i="9" s="1"/>
  <c r="AV688" i="9"/>
  <c r="AL688" i="9" s="1"/>
  <c r="AU688" i="9"/>
  <c r="AK688" i="9" s="1"/>
  <c r="AT688" i="9"/>
  <c r="AR688" i="9"/>
  <c r="AS688" i="9" s="1"/>
  <c r="AR622" i="9"/>
  <c r="AS622" i="9" s="1"/>
  <c r="AY667" i="9"/>
  <c r="AO667" i="9" s="1"/>
  <c r="AT667" i="9"/>
  <c r="AR675" i="9"/>
  <c r="AS675" i="9" s="1"/>
  <c r="AV675" i="9"/>
  <c r="AL675" i="9" s="1"/>
  <c r="AU675" i="9"/>
  <c r="AK675" i="9" s="1"/>
  <c r="AY696" i="9"/>
  <c r="AO696" i="9" s="1"/>
  <c r="AX696" i="9"/>
  <c r="AN696" i="9" s="1"/>
  <c r="AW696" i="9"/>
  <c r="AM696" i="9" s="1"/>
  <c r="AV696" i="9"/>
  <c r="AL696" i="9" s="1"/>
  <c r="AU696" i="9"/>
  <c r="AK696" i="9" s="1"/>
  <c r="AT696" i="9"/>
  <c r="AR696" i="9"/>
  <c r="AS696" i="9" s="1"/>
  <c r="AY730" i="9"/>
  <c r="AO730" i="9" s="1"/>
  <c r="AX730" i="9"/>
  <c r="AN730" i="9" s="1"/>
  <c r="AW730" i="9"/>
  <c r="AM730" i="9" s="1"/>
  <c r="AV730" i="9"/>
  <c r="AL730" i="9" s="1"/>
  <c r="AU730" i="9"/>
  <c r="AK730" i="9" s="1"/>
  <c r="AT730" i="9"/>
  <c r="AR730" i="9"/>
  <c r="AS730" i="9" s="1"/>
  <c r="AV557" i="9"/>
  <c r="AL557" i="9" s="1"/>
  <c r="AR611" i="9"/>
  <c r="AS611" i="9" s="1"/>
  <c r="AH624" i="9"/>
  <c r="AR625" i="9"/>
  <c r="AS625" i="9" s="1"/>
  <c r="AT633" i="9"/>
  <c r="AT636" i="9"/>
  <c r="AR640" i="9"/>
  <c r="AS640" i="9" s="1"/>
  <c r="AT644" i="9"/>
  <c r="AW645" i="9"/>
  <c r="AM645" i="9" s="1"/>
  <c r="AR645" i="9"/>
  <c r="AS645" i="9" s="1"/>
  <c r="AR667" i="9"/>
  <c r="AS667" i="9" s="1"/>
  <c r="AU668" i="9"/>
  <c r="AK668" i="9" s="1"/>
  <c r="AT675" i="9"/>
  <c r="AJ698" i="9"/>
  <c r="AI698" i="9"/>
  <c r="AT552" i="9"/>
  <c r="AT566" i="9"/>
  <c r="AT580" i="9"/>
  <c r="AR586" i="9"/>
  <c r="AS586" i="9" s="1"/>
  <c r="AT594" i="9"/>
  <c r="AR600" i="9"/>
  <c r="AS600" i="9" s="1"/>
  <c r="AT608" i="9"/>
  <c r="AH613" i="9"/>
  <c r="AR614" i="9"/>
  <c r="AS614" i="9" s="1"/>
  <c r="AT622" i="9"/>
  <c r="AI624" i="9"/>
  <c r="AH627" i="9"/>
  <c r="AR628" i="9"/>
  <c r="AS628" i="9" s="1"/>
  <c r="AU633" i="9"/>
  <c r="AK633" i="9" s="1"/>
  <c r="AU636" i="9"/>
  <c r="AK636" i="9" s="1"/>
  <c r="AW639" i="9"/>
  <c r="AM639" i="9" s="1"/>
  <c r="AU644" i="9"/>
  <c r="AK644" i="9" s="1"/>
  <c r="AH648" i="9"/>
  <c r="AI652" i="9"/>
  <c r="AJ658" i="9"/>
  <c r="AJ659" i="9"/>
  <c r="AI660" i="9"/>
  <c r="AU667" i="9"/>
  <c r="AK667" i="9" s="1"/>
  <c r="AX668" i="9"/>
  <c r="AN668" i="9" s="1"/>
  <c r="AW674" i="9"/>
  <c r="AM674" i="9" s="1"/>
  <c r="AU674" i="9"/>
  <c r="AK674" i="9" s="1"/>
  <c r="AT674" i="9"/>
  <c r="AR674" i="9"/>
  <c r="AS674" i="9" s="1"/>
  <c r="AW675" i="9"/>
  <c r="AM675" i="9" s="1"/>
  <c r="AH689" i="9"/>
  <c r="AY707" i="9"/>
  <c r="AO707" i="9" s="1"/>
  <c r="AX707" i="9"/>
  <c r="AN707" i="9" s="1"/>
  <c r="AW707" i="9"/>
  <c r="AM707" i="9" s="1"/>
  <c r="AV707" i="9"/>
  <c r="AL707" i="9" s="1"/>
  <c r="AU707" i="9"/>
  <c r="AK707" i="9" s="1"/>
  <c r="AU622" i="9"/>
  <c r="AK622" i="9" s="1"/>
  <c r="AT625" i="9"/>
  <c r="AI627" i="9"/>
  <c r="AH630" i="9"/>
  <c r="AV633" i="9"/>
  <c r="AL633" i="9" s="1"/>
  <c r="AV636" i="9"/>
  <c r="AL636" i="9" s="1"/>
  <c r="AH639" i="9"/>
  <c r="AU640" i="9"/>
  <c r="AK640" i="9" s="1"/>
  <c r="AH643" i="9"/>
  <c r="AV644" i="9"/>
  <c r="AL644" i="9" s="1"/>
  <c r="AI648" i="9"/>
  <c r="AV667" i="9"/>
  <c r="AL667" i="9" s="1"/>
  <c r="AX675" i="9"/>
  <c r="AN675" i="9" s="1"/>
  <c r="AJ717" i="9"/>
  <c r="AI717" i="9"/>
  <c r="AU611" i="9"/>
  <c r="AK611" i="9" s="1"/>
  <c r="AT614" i="9"/>
  <c r="AR620" i="9"/>
  <c r="AS620" i="9" s="1"/>
  <c r="AV622" i="9"/>
  <c r="AL622" i="9" s="1"/>
  <c r="AU625" i="9"/>
  <c r="AK625" i="9" s="1"/>
  <c r="AT628" i="9"/>
  <c r="AW633" i="9"/>
  <c r="AM633" i="9" s="1"/>
  <c r="AR634" i="9"/>
  <c r="AS634" i="9" s="1"/>
  <c r="AW636" i="9"/>
  <c r="AM636" i="9" s="1"/>
  <c r="AR637" i="9"/>
  <c r="AS637" i="9" s="1"/>
  <c r="AI639" i="9"/>
  <c r="AV640" i="9"/>
  <c r="AL640" i="9" s="1"/>
  <c r="AR641" i="9"/>
  <c r="AS641" i="9" s="1"/>
  <c r="AX644" i="9"/>
  <c r="AN644" i="9" s="1"/>
  <c r="AU645" i="9"/>
  <c r="AK645" i="9" s="1"/>
  <c r="AU666" i="9"/>
  <c r="AK666" i="9" s="1"/>
  <c r="AR666" i="9"/>
  <c r="AS666" i="9" s="1"/>
  <c r="AY666" i="9"/>
  <c r="AO666" i="9" s="1"/>
  <c r="AX666" i="9"/>
  <c r="AN666" i="9" s="1"/>
  <c r="AW667" i="9"/>
  <c r="AM667" i="9" s="1"/>
  <c r="AJ670" i="9"/>
  <c r="AJ673" i="9"/>
  <c r="AH673" i="9"/>
  <c r="AV674" i="9"/>
  <c r="AL674" i="9" s="1"/>
  <c r="AY675" i="9"/>
  <c r="AO675" i="9" s="1"/>
  <c r="AJ687" i="9"/>
  <c r="AI687" i="9"/>
  <c r="AH687" i="9"/>
  <c r="AT707" i="9"/>
  <c r="AX665" i="9"/>
  <c r="AN665" i="9" s="1"/>
  <c r="AW665" i="9"/>
  <c r="AM665" i="9" s="1"/>
  <c r="AU665" i="9"/>
  <c r="AK665" i="9" s="1"/>
  <c r="AJ666" i="9"/>
  <c r="AI666" i="9"/>
  <c r="AY721" i="9"/>
  <c r="AO721" i="9" s="1"/>
  <c r="AX721" i="9"/>
  <c r="AN721" i="9" s="1"/>
  <c r="AW721" i="9"/>
  <c r="AM721" i="9" s="1"/>
  <c r="AV721" i="9"/>
  <c r="AL721" i="9" s="1"/>
  <c r="AU721" i="9"/>
  <c r="AK721" i="9" s="1"/>
  <c r="AR721" i="9"/>
  <c r="AS721" i="9" s="1"/>
  <c r="AJ731" i="9"/>
  <c r="AI731" i="9"/>
  <c r="AV544" i="9"/>
  <c r="AL544" i="9" s="1"/>
  <c r="AU547" i="9"/>
  <c r="AK547" i="9" s="1"/>
  <c r="AX552" i="9"/>
  <c r="AN552" i="9" s="1"/>
  <c r="AV558" i="9"/>
  <c r="AL558" i="9" s="1"/>
  <c r="AU561" i="9"/>
  <c r="AK561" i="9" s="1"/>
  <c r="AX566" i="9"/>
  <c r="AN566" i="9" s="1"/>
  <c r="AV572" i="9"/>
  <c r="AL572" i="9" s="1"/>
  <c r="AU575" i="9"/>
  <c r="AK575" i="9" s="1"/>
  <c r="AX580" i="9"/>
  <c r="AN580" i="9" s="1"/>
  <c r="AV586" i="9"/>
  <c r="AL586" i="9" s="1"/>
  <c r="AX594" i="9"/>
  <c r="AN594" i="9" s="1"/>
  <c r="AX608" i="9"/>
  <c r="AN608" i="9" s="1"/>
  <c r="AH611" i="9"/>
  <c r="AW611" i="9"/>
  <c r="AM611" i="9" s="1"/>
  <c r="AV614" i="9"/>
  <c r="AL614" i="9" s="1"/>
  <c r="AT620" i="9"/>
  <c r="AX622" i="9"/>
  <c r="AN622" i="9" s="1"/>
  <c r="AW625" i="9"/>
  <c r="AM625" i="9" s="1"/>
  <c r="AR626" i="9"/>
  <c r="AS626" i="9" s="1"/>
  <c r="AV628" i="9"/>
  <c r="AL628" i="9" s="1"/>
  <c r="AT634" i="9"/>
  <c r="AT637" i="9"/>
  <c r="AH640" i="9"/>
  <c r="AX640" i="9"/>
  <c r="AN640" i="9" s="1"/>
  <c r="AT641" i="9"/>
  <c r="AX645" i="9"/>
  <c r="AN645" i="9" s="1"/>
  <c r="AU646" i="9"/>
  <c r="AK646" i="9" s="1"/>
  <c r="AR651" i="9"/>
  <c r="AS651" i="9" s="1"/>
  <c r="AR661" i="9"/>
  <c r="AS661" i="9" s="1"/>
  <c r="AV661" i="9"/>
  <c r="AL661" i="9" s="1"/>
  <c r="AU661" i="9"/>
  <c r="AK661" i="9" s="1"/>
  <c r="AR665" i="9"/>
  <c r="AS665" i="9" s="1"/>
  <c r="AX671" i="9"/>
  <c r="AN671" i="9" s="1"/>
  <c r="AV671" i="9"/>
  <c r="AL671" i="9" s="1"/>
  <c r="AU671" i="9"/>
  <c r="AK671" i="9" s="1"/>
  <c r="AY682" i="9"/>
  <c r="AO682" i="9" s="1"/>
  <c r="AX682" i="9"/>
  <c r="AN682" i="9" s="1"/>
  <c r="AW682" i="9"/>
  <c r="AM682" i="9" s="1"/>
  <c r="AV682" i="9"/>
  <c r="AL682" i="9" s="1"/>
  <c r="AU682" i="9"/>
  <c r="AK682" i="9" s="1"/>
  <c r="AT682" i="9"/>
  <c r="AR682" i="9"/>
  <c r="AS682" i="9" s="1"/>
  <c r="AY702" i="9"/>
  <c r="AO702" i="9" s="1"/>
  <c r="AX702" i="9"/>
  <c r="AN702" i="9" s="1"/>
  <c r="AW702" i="9"/>
  <c r="AM702" i="9" s="1"/>
  <c r="AV702" i="9"/>
  <c r="AL702" i="9" s="1"/>
  <c r="AU702" i="9"/>
  <c r="AK702" i="9" s="1"/>
  <c r="AT702" i="9"/>
  <c r="AR702" i="9"/>
  <c r="AS702" i="9" s="1"/>
  <c r="AJ721" i="9"/>
  <c r="AI721" i="9"/>
  <c r="AH721" i="9"/>
  <c r="AJ754" i="9"/>
  <c r="AI754" i="9"/>
  <c r="AH754" i="9"/>
  <c r="AR531" i="9"/>
  <c r="AS531" i="9" s="1"/>
  <c r="AW544" i="9"/>
  <c r="AM544" i="9" s="1"/>
  <c r="AR545" i="9"/>
  <c r="AS545" i="9" s="1"/>
  <c r="AV547" i="9"/>
  <c r="AL547" i="9" s="1"/>
  <c r="AW558" i="9"/>
  <c r="AM558" i="9" s="1"/>
  <c r="AR559" i="9"/>
  <c r="AS559" i="9" s="1"/>
  <c r="AV561" i="9"/>
  <c r="AL561" i="9" s="1"/>
  <c r="AW572" i="9"/>
  <c r="AM572" i="9" s="1"/>
  <c r="AR573" i="9"/>
  <c r="AS573" i="9" s="1"/>
  <c r="AV575" i="9"/>
  <c r="AL575" i="9" s="1"/>
  <c r="AW586" i="9"/>
  <c r="AM586" i="9" s="1"/>
  <c r="AR587" i="9"/>
  <c r="AS587" i="9" s="1"/>
  <c r="AV589" i="9"/>
  <c r="AL589" i="9" s="1"/>
  <c r="AW600" i="9"/>
  <c r="AM600" i="9" s="1"/>
  <c r="AR601" i="9"/>
  <c r="AS601" i="9" s="1"/>
  <c r="AV603" i="9"/>
  <c r="AL603" i="9" s="1"/>
  <c r="AI611" i="9"/>
  <c r="AX611" i="9"/>
  <c r="AN611" i="9" s="1"/>
  <c r="AW614" i="9"/>
  <c r="AM614" i="9" s="1"/>
  <c r="AR615" i="9"/>
  <c r="AS615" i="9" s="1"/>
  <c r="AV617" i="9"/>
  <c r="AL617" i="9" s="1"/>
  <c r="AU620" i="9"/>
  <c r="AK620" i="9" s="1"/>
  <c r="AT623" i="9"/>
  <c r="AX625" i="9"/>
  <c r="AN625" i="9" s="1"/>
  <c r="AW628" i="9"/>
  <c r="AM628" i="9" s="1"/>
  <c r="AR629" i="9"/>
  <c r="AS629" i="9" s="1"/>
  <c r="AV631" i="9"/>
  <c r="AL631" i="9" s="1"/>
  <c r="AU634" i="9"/>
  <c r="AK634" i="9" s="1"/>
  <c r="AV637" i="9"/>
  <c r="AL637" i="9" s="1"/>
  <c r="AR638" i="9"/>
  <c r="AS638" i="9" s="1"/>
  <c r="AI640" i="9"/>
  <c r="AY640" i="9"/>
  <c r="AO640" i="9" s="1"/>
  <c r="AU641" i="9"/>
  <c r="AK641" i="9" s="1"/>
  <c r="AY645" i="9"/>
  <c r="AO645" i="9" s="1"/>
  <c r="AV646" i="9"/>
  <c r="AL646" i="9" s="1"/>
  <c r="AR647" i="9"/>
  <c r="AS647" i="9" s="1"/>
  <c r="AI649" i="9"/>
  <c r="AU652" i="9"/>
  <c r="AK652" i="9" s="1"/>
  <c r="AY652" i="9"/>
  <c r="AO652" i="9" s="1"/>
  <c r="AY654" i="9"/>
  <c r="AO654" i="9" s="1"/>
  <c r="AT654" i="9"/>
  <c r="AT655" i="9"/>
  <c r="AX655" i="9"/>
  <c r="AN655" i="9" s="1"/>
  <c r="AW655" i="9"/>
  <c r="AM655" i="9" s="1"/>
  <c r="AX656" i="9"/>
  <c r="AN656" i="9" s="1"/>
  <c r="AR656" i="9"/>
  <c r="AS656" i="9" s="1"/>
  <c r="AR657" i="9"/>
  <c r="AS657" i="9" s="1"/>
  <c r="AW658" i="9"/>
  <c r="AM658" i="9" s="1"/>
  <c r="AV658" i="9"/>
  <c r="AL658" i="9" s="1"/>
  <c r="AW660" i="9"/>
  <c r="AM660" i="9" s="1"/>
  <c r="AU660" i="9"/>
  <c r="AK660" i="9" s="1"/>
  <c r="AR660" i="9"/>
  <c r="AS660" i="9" s="1"/>
  <c r="AJ662" i="9"/>
  <c r="AI662" i="9"/>
  <c r="AW666" i="9"/>
  <c r="AM666" i="9" s="1"/>
  <c r="AX670" i="9"/>
  <c r="AN670" i="9" s="1"/>
  <c r="AR670" i="9"/>
  <c r="AS670" i="9" s="1"/>
  <c r="AR671" i="9"/>
  <c r="AS671" i="9" s="1"/>
  <c r="AJ684" i="9"/>
  <c r="AI684" i="9"/>
  <c r="AH726" i="9"/>
  <c r="AX544" i="9"/>
  <c r="AN544" i="9" s="1"/>
  <c r="AW547" i="9"/>
  <c r="AM547" i="9" s="1"/>
  <c r="AX558" i="9"/>
  <c r="AN558" i="9" s="1"/>
  <c r="AW561" i="9"/>
  <c r="AM561" i="9" s="1"/>
  <c r="AX572" i="9"/>
  <c r="AN572" i="9" s="1"/>
  <c r="AW575" i="9"/>
  <c r="AM575" i="9" s="1"/>
  <c r="AX586" i="9"/>
  <c r="AN586" i="9" s="1"/>
  <c r="AX600" i="9"/>
  <c r="AN600" i="9" s="1"/>
  <c r="AX614" i="9"/>
  <c r="AN614" i="9" s="1"/>
  <c r="AV620" i="9"/>
  <c r="AL620" i="9" s="1"/>
  <c r="AU623" i="9"/>
  <c r="AK623" i="9" s="1"/>
  <c r="AT626" i="9"/>
  <c r="AX628" i="9"/>
  <c r="AN628" i="9" s="1"/>
  <c r="AH631" i="9"/>
  <c r="AV634" i="9"/>
  <c r="AL634" i="9" s="1"/>
  <c r="AW637" i="9"/>
  <c r="AM637" i="9" s="1"/>
  <c r="AV641" i="9"/>
  <c r="AL641" i="9" s="1"/>
  <c r="AI645" i="9"/>
  <c r="AW646" i="9"/>
  <c r="AM646" i="9" s="1"/>
  <c r="AT651" i="9"/>
  <c r="AY653" i="9"/>
  <c r="AO653" i="9" s="1"/>
  <c r="AT653" i="9"/>
  <c r="AT657" i="9"/>
  <c r="AT661" i="9"/>
  <c r="AT665" i="9"/>
  <c r="AT671" i="9"/>
  <c r="AX679" i="9"/>
  <c r="AN679" i="9" s="1"/>
  <c r="AW679" i="9"/>
  <c r="AM679" i="9" s="1"/>
  <c r="AV679" i="9"/>
  <c r="AL679" i="9" s="1"/>
  <c r="AU679" i="9"/>
  <c r="AK679" i="9" s="1"/>
  <c r="AY693" i="9"/>
  <c r="AO693" i="9" s="1"/>
  <c r="AX693" i="9"/>
  <c r="AN693" i="9" s="1"/>
  <c r="AW693" i="9"/>
  <c r="AM693" i="9" s="1"/>
  <c r="AV693" i="9"/>
  <c r="AL693" i="9" s="1"/>
  <c r="AU693" i="9"/>
  <c r="AK693" i="9" s="1"/>
  <c r="AJ745" i="9"/>
  <c r="AI745" i="9"/>
  <c r="AX637" i="9"/>
  <c r="AN637" i="9" s="1"/>
  <c r="AJ645" i="9"/>
  <c r="AX646" i="9"/>
  <c r="AN646" i="9" s="1"/>
  <c r="AT647" i="9"/>
  <c r="AV651" i="9"/>
  <c r="AL651" i="9" s="1"/>
  <c r="AU657" i="9"/>
  <c r="AK657" i="9" s="1"/>
  <c r="AW661" i="9"/>
  <c r="AM661" i="9" s="1"/>
  <c r="AV665" i="9"/>
  <c r="AL665" i="9" s="1"/>
  <c r="AW671" i="9"/>
  <c r="AM671" i="9" s="1"/>
  <c r="AH703" i="9"/>
  <c r="AJ712" i="9"/>
  <c r="AI712" i="9"/>
  <c r="AY735" i="9"/>
  <c r="AO735" i="9" s="1"/>
  <c r="AX735" i="9"/>
  <c r="AN735" i="9" s="1"/>
  <c r="AW735" i="9"/>
  <c r="AM735" i="9" s="1"/>
  <c r="AV735" i="9"/>
  <c r="AL735" i="9" s="1"/>
  <c r="AU735" i="9"/>
  <c r="AK735" i="9" s="1"/>
  <c r="AR735" i="9"/>
  <c r="AS735" i="9" s="1"/>
  <c r="AH740" i="9"/>
  <c r="AY749" i="9"/>
  <c r="AO749" i="9" s="1"/>
  <c r="AX749" i="9"/>
  <c r="AN749" i="9" s="1"/>
  <c r="AW749" i="9"/>
  <c r="AM749" i="9" s="1"/>
  <c r="AV749" i="9"/>
  <c r="AL749" i="9" s="1"/>
  <c r="AU749" i="9"/>
  <c r="AK749" i="9" s="1"/>
  <c r="AT749" i="9"/>
  <c r="AR749" i="9"/>
  <c r="AS749" i="9" s="1"/>
  <c r="AT664" i="9"/>
  <c r="AW669" i="9"/>
  <c r="AM669" i="9" s="1"/>
  <c r="AV672" i="9"/>
  <c r="AL672" i="9" s="1"/>
  <c r="AT678" i="9"/>
  <c r="AI680" i="9"/>
  <c r="AX680" i="9"/>
  <c r="AN680" i="9" s="1"/>
  <c r="AW683" i="9"/>
  <c r="AM683" i="9" s="1"/>
  <c r="AV686" i="9"/>
  <c r="AL686" i="9" s="1"/>
  <c r="AJ691" i="9"/>
  <c r="AT692" i="9"/>
  <c r="AX694" i="9"/>
  <c r="AN694" i="9" s="1"/>
  <c r="AW697" i="9"/>
  <c r="AM697" i="9" s="1"/>
  <c r="AV700" i="9"/>
  <c r="AL700" i="9" s="1"/>
  <c r="AJ705" i="9"/>
  <c r="AT706" i="9"/>
  <c r="AX708" i="9"/>
  <c r="AN708" i="9" s="1"/>
  <c r="AW711" i="9"/>
  <c r="AM711" i="9" s="1"/>
  <c r="AV714" i="9"/>
  <c r="AL714" i="9" s="1"/>
  <c r="AJ719" i="9"/>
  <c r="AT720" i="9"/>
  <c r="AX722" i="9"/>
  <c r="AN722" i="9" s="1"/>
  <c r="AW725" i="9"/>
  <c r="AM725" i="9" s="1"/>
  <c r="AT734" i="9"/>
  <c r="AX736" i="9"/>
  <c r="AN736" i="9" s="1"/>
  <c r="AW739" i="9"/>
  <c r="AM739" i="9" s="1"/>
  <c r="AT748" i="9"/>
  <c r="AX750" i="9"/>
  <c r="AN750" i="9" s="1"/>
  <c r="AW753" i="9"/>
  <c r="AM753" i="9" s="1"/>
  <c r="AT761" i="9"/>
  <c r="AY765" i="9"/>
  <c r="AO765" i="9" s="1"/>
  <c r="AW766" i="9"/>
  <c r="AM766" i="9" s="1"/>
  <c r="AV775" i="9"/>
  <c r="AL775" i="9" s="1"/>
  <c r="AI779" i="9"/>
  <c r="AH779" i="9"/>
  <c r="AI785" i="9"/>
  <c r="AJ785" i="9"/>
  <c r="AU794" i="9"/>
  <c r="AK794" i="9" s="1"/>
  <c r="AR794" i="9"/>
  <c r="AS794" i="9" s="1"/>
  <c r="AW794" i="9"/>
  <c r="AM794" i="9" s="1"/>
  <c r="AV794" i="9"/>
  <c r="AL794" i="9" s="1"/>
  <c r="AJ825" i="9"/>
  <c r="AI825" i="9"/>
  <c r="AJ828" i="9"/>
  <c r="AI828" i="9"/>
  <c r="AH828" i="9"/>
  <c r="AX846" i="9"/>
  <c r="AN846" i="9" s="1"/>
  <c r="AY846" i="9"/>
  <c r="AO846" i="9" s="1"/>
  <c r="AW846" i="9"/>
  <c r="AM846" i="9" s="1"/>
  <c r="AV846" i="9"/>
  <c r="AL846" i="9" s="1"/>
  <c r="AU846" i="9"/>
  <c r="AK846" i="9" s="1"/>
  <c r="AT846" i="9"/>
  <c r="AR846" i="9"/>
  <c r="AS846" i="9" s="1"/>
  <c r="AR861" i="9"/>
  <c r="AS861" i="9" s="1"/>
  <c r="AY861" i="9"/>
  <c r="AO861" i="9" s="1"/>
  <c r="AX861" i="9"/>
  <c r="AN861" i="9" s="1"/>
  <c r="AW861" i="9"/>
  <c r="AM861" i="9" s="1"/>
  <c r="AU861" i="9"/>
  <c r="AK861" i="9" s="1"/>
  <c r="AT861" i="9"/>
  <c r="AR659" i="9"/>
  <c r="AS659" i="9" s="1"/>
  <c r="AX669" i="9"/>
  <c r="AN669" i="9" s="1"/>
  <c r="AR673" i="9"/>
  <c r="AS673" i="9" s="1"/>
  <c r="AY680" i="9"/>
  <c r="AO680" i="9" s="1"/>
  <c r="AT681" i="9"/>
  <c r="AX683" i="9"/>
  <c r="AN683" i="9" s="1"/>
  <c r="AW686" i="9"/>
  <c r="AM686" i="9" s="1"/>
  <c r="AR687" i="9"/>
  <c r="AS687" i="9" s="1"/>
  <c r="AV689" i="9"/>
  <c r="AL689" i="9" s="1"/>
  <c r="AY694" i="9"/>
  <c r="AO694" i="9" s="1"/>
  <c r="AT695" i="9"/>
  <c r="AX697" i="9"/>
  <c r="AN697" i="9" s="1"/>
  <c r="AW700" i="9"/>
  <c r="AM700" i="9" s="1"/>
  <c r="AR701" i="9"/>
  <c r="AS701" i="9" s="1"/>
  <c r="AY708" i="9"/>
  <c r="AO708" i="9" s="1"/>
  <c r="AT709" i="9"/>
  <c r="AX711" i="9"/>
  <c r="AN711" i="9" s="1"/>
  <c r="AW714" i="9"/>
  <c r="AM714" i="9" s="1"/>
  <c r="AR715" i="9"/>
  <c r="AS715" i="9" s="1"/>
  <c r="AY722" i="9"/>
  <c r="AO722" i="9" s="1"/>
  <c r="AT723" i="9"/>
  <c r="AX725" i="9"/>
  <c r="AN725" i="9" s="1"/>
  <c r="AW728" i="9"/>
  <c r="AM728" i="9" s="1"/>
  <c r="AR729" i="9"/>
  <c r="AS729" i="9" s="1"/>
  <c r="AY736" i="9"/>
  <c r="AO736" i="9" s="1"/>
  <c r="AT737" i="9"/>
  <c r="AX739" i="9"/>
  <c r="AN739" i="9" s="1"/>
  <c r="AR743" i="9"/>
  <c r="AS743" i="9" s="1"/>
  <c r="AY750" i="9"/>
  <c r="AO750" i="9" s="1"/>
  <c r="AT751" i="9"/>
  <c r="AX753" i="9"/>
  <c r="AN753" i="9" s="1"/>
  <c r="AU761" i="9"/>
  <c r="AK761" i="9" s="1"/>
  <c r="AV861" i="9"/>
  <c r="AL861" i="9" s="1"/>
  <c r="AW774" i="9"/>
  <c r="AM774" i="9" s="1"/>
  <c r="AU774" i="9"/>
  <c r="AK774" i="9" s="1"/>
  <c r="AT774" i="9"/>
  <c r="AY774" i="9"/>
  <c r="AO774" i="9" s="1"/>
  <c r="AX774" i="9"/>
  <c r="AN774" i="9" s="1"/>
  <c r="AU822" i="9"/>
  <c r="AK822" i="9" s="1"/>
  <c r="AR822" i="9"/>
  <c r="AS822" i="9" s="1"/>
  <c r="AY822" i="9"/>
  <c r="AO822" i="9" s="1"/>
  <c r="AW822" i="9"/>
  <c r="AM822" i="9" s="1"/>
  <c r="AV822" i="9"/>
  <c r="AL822" i="9" s="1"/>
  <c r="AJ839" i="9"/>
  <c r="AI839" i="9"/>
  <c r="AJ842" i="9"/>
  <c r="AI842" i="9"/>
  <c r="AH842" i="9"/>
  <c r="AT763" i="9"/>
  <c r="AW763" i="9"/>
  <c r="AM763" i="9" s="1"/>
  <c r="AR774" i="9"/>
  <c r="AS774" i="9" s="1"/>
  <c r="AY790" i="9"/>
  <c r="AO790" i="9" s="1"/>
  <c r="AX790" i="9"/>
  <c r="AN790" i="9" s="1"/>
  <c r="AU790" i="9"/>
  <c r="AK790" i="9" s="1"/>
  <c r="AT790" i="9"/>
  <c r="AR790" i="9"/>
  <c r="AS790" i="9" s="1"/>
  <c r="AI799" i="9"/>
  <c r="AJ799" i="9"/>
  <c r="AY815" i="9"/>
  <c r="AO815" i="9" s="1"/>
  <c r="AW815" i="9"/>
  <c r="AM815" i="9" s="1"/>
  <c r="AV815" i="9"/>
  <c r="AL815" i="9" s="1"/>
  <c r="AU815" i="9"/>
  <c r="AK815" i="9" s="1"/>
  <c r="AT815" i="9"/>
  <c r="AR817" i="9"/>
  <c r="AS817" i="9" s="1"/>
  <c r="AY817" i="9"/>
  <c r="AO817" i="9" s="1"/>
  <c r="AX817" i="9"/>
  <c r="AN817" i="9" s="1"/>
  <c r="AW817" i="9"/>
  <c r="AM817" i="9" s="1"/>
  <c r="AT817" i="9"/>
  <c r="AT822" i="9"/>
  <c r="AJ848" i="9"/>
  <c r="AI848" i="9"/>
  <c r="AR710" i="9"/>
  <c r="AS710" i="9" s="1"/>
  <c r="AR724" i="9"/>
  <c r="AS724" i="9" s="1"/>
  <c r="AR738" i="9"/>
  <c r="AS738" i="9" s="1"/>
  <c r="AR752" i="9"/>
  <c r="AS752" i="9" s="1"/>
  <c r="AR758" i="9"/>
  <c r="AS758" i="9" s="1"/>
  <c r="AR763" i="9"/>
  <c r="AS763" i="9" s="1"/>
  <c r="AV777" i="9"/>
  <c r="AL777" i="9" s="1"/>
  <c r="AT777" i="9"/>
  <c r="AX777" i="9"/>
  <c r="AN777" i="9" s="1"/>
  <c r="AW777" i="9"/>
  <c r="AM777" i="9" s="1"/>
  <c r="AV790" i="9"/>
  <c r="AL790" i="9" s="1"/>
  <c r="AR815" i="9"/>
  <c r="AS815" i="9" s="1"/>
  <c r="AU817" i="9"/>
  <c r="AK817" i="9" s="1"/>
  <c r="AX822" i="9"/>
  <c r="AN822" i="9" s="1"/>
  <c r="AH770" i="9"/>
  <c r="AY773" i="9"/>
  <c r="AO773" i="9" s="1"/>
  <c r="AU773" i="9"/>
  <c r="AK773" i="9" s="1"/>
  <c r="AV774" i="9"/>
  <c r="AL774" i="9" s="1"/>
  <c r="AR777" i="9"/>
  <c r="AS777" i="9" s="1"/>
  <c r="AW790" i="9"/>
  <c r="AM790" i="9" s="1"/>
  <c r="AY804" i="9"/>
  <c r="AO804" i="9" s="1"/>
  <c r="AX804" i="9"/>
  <c r="AN804" i="9" s="1"/>
  <c r="AV804" i="9"/>
  <c r="AL804" i="9" s="1"/>
  <c r="AU804" i="9"/>
  <c r="AK804" i="9" s="1"/>
  <c r="AT804" i="9"/>
  <c r="AR804" i="9"/>
  <c r="AS804" i="9" s="1"/>
  <c r="AX815" i="9"/>
  <c r="AN815" i="9" s="1"/>
  <c r="AV817" i="9"/>
  <c r="AL817" i="9" s="1"/>
  <c r="AJ836" i="9"/>
  <c r="AH836" i="9"/>
  <c r="AW868" i="9"/>
  <c r="AM868" i="9" s="1"/>
  <c r="AY868" i="9"/>
  <c r="AO868" i="9" s="1"/>
  <c r="AX868" i="9"/>
  <c r="AN868" i="9" s="1"/>
  <c r="AV868" i="9"/>
  <c r="AL868" i="9" s="1"/>
  <c r="AU868" i="9"/>
  <c r="AK868" i="9" s="1"/>
  <c r="AT868" i="9"/>
  <c r="AR868" i="9"/>
  <c r="AS868" i="9" s="1"/>
  <c r="AY681" i="9"/>
  <c r="AO681" i="9" s="1"/>
  <c r="AY695" i="9"/>
  <c r="AO695" i="9" s="1"/>
  <c r="AY709" i="9"/>
  <c r="AO709" i="9" s="1"/>
  <c r="AT710" i="9"/>
  <c r="AH715" i="9"/>
  <c r="AY723" i="9"/>
  <c r="AO723" i="9" s="1"/>
  <c r="AT724" i="9"/>
  <c r="AH729" i="9"/>
  <c r="AY737" i="9"/>
  <c r="AO737" i="9" s="1"/>
  <c r="AT738" i="9"/>
  <c r="AH743" i="9"/>
  <c r="AR744" i="9"/>
  <c r="AS744" i="9" s="1"/>
  <c r="AV746" i="9"/>
  <c r="AL746" i="9" s="1"/>
  <c r="AY751" i="9"/>
  <c r="AO751" i="9" s="1"/>
  <c r="AT752" i="9"/>
  <c r="AH757" i="9"/>
  <c r="AX757" i="9"/>
  <c r="AN757" i="9" s="1"/>
  <c r="AU758" i="9"/>
  <c r="AK758" i="9" s="1"/>
  <c r="AW762" i="9"/>
  <c r="AM762" i="9" s="1"/>
  <c r="AU763" i="9"/>
  <c r="AK763" i="9" s="1"/>
  <c r="AJ767" i="9"/>
  <c r="AR773" i="9"/>
  <c r="AS773" i="9" s="1"/>
  <c r="AU777" i="9"/>
  <c r="AK777" i="9" s="1"/>
  <c r="AI780" i="9"/>
  <c r="AY782" i="9"/>
  <c r="AO782" i="9" s="1"/>
  <c r="AW782" i="9"/>
  <c r="AM782" i="9" s="1"/>
  <c r="AV782" i="9"/>
  <c r="AL782" i="9" s="1"/>
  <c r="AR782" i="9"/>
  <c r="AS782" i="9" s="1"/>
  <c r="AJ792" i="9"/>
  <c r="AI792" i="9"/>
  <c r="AH792" i="9"/>
  <c r="AW804" i="9"/>
  <c r="AM804" i="9" s="1"/>
  <c r="AJ806" i="9"/>
  <c r="AI806" i="9"/>
  <c r="AH806" i="9"/>
  <c r="AJ814" i="9"/>
  <c r="AI814" i="9"/>
  <c r="AY873" i="9"/>
  <c r="AO873" i="9" s="1"/>
  <c r="AX873" i="9"/>
  <c r="AN873" i="9" s="1"/>
  <c r="AW873" i="9"/>
  <c r="AM873" i="9" s="1"/>
  <c r="AV873" i="9"/>
  <c r="AL873" i="9" s="1"/>
  <c r="AU873" i="9"/>
  <c r="AK873" i="9" s="1"/>
  <c r="AT873" i="9"/>
  <c r="AR873" i="9"/>
  <c r="AS873" i="9" s="1"/>
  <c r="AJ956" i="9"/>
  <c r="AI956" i="9"/>
  <c r="AH956" i="9"/>
  <c r="AT685" i="9"/>
  <c r="AH690" i="9"/>
  <c r="AT699" i="9"/>
  <c r="AH704" i="9"/>
  <c r="AU710" i="9"/>
  <c r="AK710" i="9" s="1"/>
  <c r="AT713" i="9"/>
  <c r="AI715" i="9"/>
  <c r="AH718" i="9"/>
  <c r="AU724" i="9"/>
  <c r="AK724" i="9" s="1"/>
  <c r="AT727" i="9"/>
  <c r="AI729" i="9"/>
  <c r="AH732" i="9"/>
  <c r="AU738" i="9"/>
  <c r="AK738" i="9" s="1"/>
  <c r="AT741" i="9"/>
  <c r="AI743" i="9"/>
  <c r="AH746" i="9"/>
  <c r="AU752" i="9"/>
  <c r="AK752" i="9" s="1"/>
  <c r="AT755" i="9"/>
  <c r="AI757" i="9"/>
  <c r="AV758" i="9"/>
  <c r="AL758" i="9" s="1"/>
  <c r="AV763" i="9"/>
  <c r="AL763" i="9" s="1"/>
  <c r="AT764" i="9"/>
  <c r="AY776" i="9"/>
  <c r="AO776" i="9" s="1"/>
  <c r="AX776" i="9"/>
  <c r="AN776" i="9" s="1"/>
  <c r="AT776" i="9"/>
  <c r="AR776" i="9"/>
  <c r="AS776" i="9" s="1"/>
  <c r="AY777" i="9"/>
  <c r="AO777" i="9" s="1"/>
  <c r="AJ782" i="9"/>
  <c r="AH782" i="9"/>
  <c r="AY787" i="9"/>
  <c r="AO787" i="9" s="1"/>
  <c r="AV787" i="9"/>
  <c r="AL787" i="9" s="1"/>
  <c r="AU787" i="9"/>
  <c r="AK787" i="9" s="1"/>
  <c r="AT787" i="9"/>
  <c r="AR831" i="9"/>
  <c r="AS831" i="9" s="1"/>
  <c r="AY831" i="9"/>
  <c r="AO831" i="9" s="1"/>
  <c r="AX831" i="9"/>
  <c r="AN831" i="9" s="1"/>
  <c r="AW831" i="9"/>
  <c r="AM831" i="9" s="1"/>
  <c r="AV831" i="9"/>
  <c r="AL831" i="9" s="1"/>
  <c r="AT831" i="9"/>
  <c r="AJ855" i="9"/>
  <c r="AI855" i="9"/>
  <c r="AR680" i="9"/>
  <c r="AS680" i="9" s="1"/>
  <c r="AU685" i="9"/>
  <c r="AK685" i="9" s="1"/>
  <c r="AI690" i="9"/>
  <c r="AR694" i="9"/>
  <c r="AS694" i="9" s="1"/>
  <c r="AU699" i="9"/>
  <c r="AK699" i="9" s="1"/>
  <c r="AI704" i="9"/>
  <c r="AR708" i="9"/>
  <c r="AS708" i="9" s="1"/>
  <c r="AV710" i="9"/>
  <c r="AL710" i="9" s="1"/>
  <c r="AU713" i="9"/>
  <c r="AK713" i="9" s="1"/>
  <c r="AI718" i="9"/>
  <c r="AR722" i="9"/>
  <c r="AS722" i="9" s="1"/>
  <c r="AV724" i="9"/>
  <c r="AL724" i="9" s="1"/>
  <c r="AU727" i="9"/>
  <c r="AK727" i="9" s="1"/>
  <c r="AI732" i="9"/>
  <c r="AR736" i="9"/>
  <c r="AS736" i="9" s="1"/>
  <c r="AV738" i="9"/>
  <c r="AL738" i="9" s="1"/>
  <c r="AU741" i="9"/>
  <c r="AK741" i="9" s="1"/>
  <c r="AT744" i="9"/>
  <c r="AI746" i="9"/>
  <c r="AR750" i="9"/>
  <c r="AS750" i="9" s="1"/>
  <c r="AV752" i="9"/>
  <c r="AL752" i="9" s="1"/>
  <c r="AU755" i="9"/>
  <c r="AK755" i="9" s="1"/>
  <c r="AW758" i="9"/>
  <c r="AM758" i="9" s="1"/>
  <c r="AH762" i="9"/>
  <c r="AX763" i="9"/>
  <c r="AN763" i="9" s="1"/>
  <c r="AU764" i="9"/>
  <c r="AK764" i="9" s="1"/>
  <c r="AR765" i="9"/>
  <c r="AS765" i="9" s="1"/>
  <c r="AR787" i="9"/>
  <c r="AS787" i="9" s="1"/>
  <c r="AU831" i="9"/>
  <c r="AK831" i="9" s="1"/>
  <c r="AU883" i="9"/>
  <c r="AK883" i="9" s="1"/>
  <c r="AR883" i="9"/>
  <c r="AS883" i="9" s="1"/>
  <c r="AY883" i="9"/>
  <c r="AO883" i="9" s="1"/>
  <c r="AX883" i="9"/>
  <c r="AN883" i="9" s="1"/>
  <c r="AW883" i="9"/>
  <c r="AM883" i="9" s="1"/>
  <c r="AV883" i="9"/>
  <c r="AL883" i="9" s="1"/>
  <c r="AT883" i="9"/>
  <c r="AR669" i="9"/>
  <c r="AS669" i="9" s="1"/>
  <c r="AR683" i="9"/>
  <c r="AS683" i="9" s="1"/>
  <c r="AV685" i="9"/>
  <c r="AL685" i="9" s="1"/>
  <c r="AR697" i="9"/>
  <c r="AS697" i="9" s="1"/>
  <c r="AV699" i="9"/>
  <c r="AL699" i="9" s="1"/>
  <c r="AW710" i="9"/>
  <c r="AM710" i="9" s="1"/>
  <c r="AR711" i="9"/>
  <c r="AS711" i="9" s="1"/>
  <c r="AV713" i="9"/>
  <c r="AL713" i="9" s="1"/>
  <c r="AW724" i="9"/>
  <c r="AM724" i="9" s="1"/>
  <c r="AR725" i="9"/>
  <c r="AS725" i="9" s="1"/>
  <c r="AV727" i="9"/>
  <c r="AL727" i="9" s="1"/>
  <c r="AW738" i="9"/>
  <c r="AM738" i="9" s="1"/>
  <c r="AR739" i="9"/>
  <c r="AS739" i="9" s="1"/>
  <c r="AV741" i="9"/>
  <c r="AL741" i="9" s="1"/>
  <c r="AU744" i="9"/>
  <c r="AK744" i="9" s="1"/>
  <c r="AW752" i="9"/>
  <c r="AM752" i="9" s="1"/>
  <c r="AR753" i="9"/>
  <c r="AS753" i="9" s="1"/>
  <c r="AV755" i="9"/>
  <c r="AL755" i="9" s="1"/>
  <c r="AH758" i="9"/>
  <c r="AX758" i="9"/>
  <c r="AN758" i="9" s="1"/>
  <c r="AI762" i="9"/>
  <c r="AY763" i="9"/>
  <c r="AO763" i="9" s="1"/>
  <c r="AV764" i="9"/>
  <c r="AL764" i="9" s="1"/>
  <c r="AW773" i="9"/>
  <c r="AM773" i="9" s="1"/>
  <c r="AU776" i="9"/>
  <c r="AK776" i="9" s="1"/>
  <c r="AJ779" i="9"/>
  <c r="AI781" i="9"/>
  <c r="AH781" i="9"/>
  <c r="AJ786" i="9"/>
  <c r="AI786" i="9"/>
  <c r="AW787" i="9"/>
  <c r="AM787" i="9" s="1"/>
  <c r="AR789" i="9"/>
  <c r="AS789" i="9" s="1"/>
  <c r="AY789" i="9"/>
  <c r="AO789" i="9" s="1"/>
  <c r="AX789" i="9"/>
  <c r="AN789" i="9" s="1"/>
  <c r="AW789" i="9"/>
  <c r="AM789" i="9" s="1"/>
  <c r="AT789" i="9"/>
  <c r="AR845" i="9"/>
  <c r="AS845" i="9" s="1"/>
  <c r="AY845" i="9"/>
  <c r="AO845" i="9" s="1"/>
  <c r="AX845" i="9"/>
  <c r="AN845" i="9" s="1"/>
  <c r="AW845" i="9"/>
  <c r="AM845" i="9" s="1"/>
  <c r="AV845" i="9"/>
  <c r="AL845" i="9" s="1"/>
  <c r="AT845" i="9"/>
  <c r="AW685" i="9"/>
  <c r="AM685" i="9" s="1"/>
  <c r="AT694" i="9"/>
  <c r="AW699" i="9"/>
  <c r="AM699" i="9" s="1"/>
  <c r="AR700" i="9"/>
  <c r="AS700" i="9" s="1"/>
  <c r="AT708" i="9"/>
  <c r="AX710" i="9"/>
  <c r="AN710" i="9" s="1"/>
  <c r="AW713" i="9"/>
  <c r="AM713" i="9" s="1"/>
  <c r="AR714" i="9"/>
  <c r="AS714" i="9" s="1"/>
  <c r="AT722" i="9"/>
  <c r="AX724" i="9"/>
  <c r="AN724" i="9" s="1"/>
  <c r="AW727" i="9"/>
  <c r="AM727" i="9" s="1"/>
  <c r="AR728" i="9"/>
  <c r="AS728" i="9" s="1"/>
  <c r="AT736" i="9"/>
  <c r="AX738" i="9"/>
  <c r="AN738" i="9" s="1"/>
  <c r="AW741" i="9"/>
  <c r="AM741" i="9" s="1"/>
  <c r="AR742" i="9"/>
  <c r="AS742" i="9" s="1"/>
  <c r="AV744" i="9"/>
  <c r="AL744" i="9" s="1"/>
  <c r="AT750" i="9"/>
  <c r="AX752" i="9"/>
  <c r="AN752" i="9" s="1"/>
  <c r="AW755" i="9"/>
  <c r="AM755" i="9" s="1"/>
  <c r="AR756" i="9"/>
  <c r="AS756" i="9" s="1"/>
  <c r="AI758" i="9"/>
  <c r="AY758" i="9"/>
  <c r="AO758" i="9" s="1"/>
  <c r="AU760" i="9"/>
  <c r="AK760" i="9" s="1"/>
  <c r="AX760" i="9"/>
  <c r="AN760" i="9" s="1"/>
  <c r="AW764" i="9"/>
  <c r="AM764" i="9" s="1"/>
  <c r="AT765" i="9"/>
  <c r="AR770" i="9"/>
  <c r="AS770" i="9" s="1"/>
  <c r="AX773" i="9"/>
  <c r="AN773" i="9" s="1"/>
  <c r="AV776" i="9"/>
  <c r="AL776" i="9" s="1"/>
  <c r="AH778" i="9"/>
  <c r="AX787" i="9"/>
  <c r="AN787" i="9" s="1"/>
  <c r="AV791" i="9"/>
  <c r="AL791" i="9" s="1"/>
  <c r="AT791" i="9"/>
  <c r="AX791" i="9"/>
  <c r="AN791" i="9" s="1"/>
  <c r="AW791" i="9"/>
  <c r="AM791" i="9" s="1"/>
  <c r="AJ796" i="9"/>
  <c r="AH796" i="9"/>
  <c r="AH799" i="9"/>
  <c r="AY801" i="9"/>
  <c r="AO801" i="9" s="1"/>
  <c r="AV801" i="9"/>
  <c r="AL801" i="9" s="1"/>
  <c r="AU801" i="9"/>
  <c r="AK801" i="9" s="1"/>
  <c r="AT801" i="9"/>
  <c r="AJ809" i="9"/>
  <c r="AI809" i="9"/>
  <c r="AH809" i="9"/>
  <c r="AY829" i="9"/>
  <c r="AO829" i="9" s="1"/>
  <c r="AX829" i="9"/>
  <c r="AN829" i="9" s="1"/>
  <c r="AW829" i="9"/>
  <c r="AM829" i="9" s="1"/>
  <c r="AV829" i="9"/>
  <c r="AL829" i="9" s="1"/>
  <c r="AU829" i="9"/>
  <c r="AK829" i="9" s="1"/>
  <c r="AT829" i="9"/>
  <c r="AR829" i="9"/>
  <c r="AS829" i="9" s="1"/>
  <c r="AU845" i="9"/>
  <c r="AK845" i="9" s="1"/>
  <c r="AJ867" i="9"/>
  <c r="AI867" i="9"/>
  <c r="AH867" i="9"/>
  <c r="AU680" i="9"/>
  <c r="AK680" i="9" s="1"/>
  <c r="AT683" i="9"/>
  <c r="AX685" i="9"/>
  <c r="AN685" i="9" s="1"/>
  <c r="AU694" i="9"/>
  <c r="AK694" i="9" s="1"/>
  <c r="AT697" i="9"/>
  <c r="AX699" i="9"/>
  <c r="AN699" i="9" s="1"/>
  <c r="AU708" i="9"/>
  <c r="AK708" i="9" s="1"/>
  <c r="AT711" i="9"/>
  <c r="AX713" i="9"/>
  <c r="AN713" i="9" s="1"/>
  <c r="AU722" i="9"/>
  <c r="AK722" i="9" s="1"/>
  <c r="AT725" i="9"/>
  <c r="AX727" i="9"/>
  <c r="AN727" i="9" s="1"/>
  <c r="AU736" i="9"/>
  <c r="AK736" i="9" s="1"/>
  <c r="AT739" i="9"/>
  <c r="AX741" i="9"/>
  <c r="AN741" i="9" s="1"/>
  <c r="AW744" i="9"/>
  <c r="AM744" i="9" s="1"/>
  <c r="AU750" i="9"/>
  <c r="AK750" i="9" s="1"/>
  <c r="AT753" i="9"/>
  <c r="AX755" i="9"/>
  <c r="AN755" i="9" s="1"/>
  <c r="AX764" i="9"/>
  <c r="AN764" i="9" s="1"/>
  <c r="AU765" i="9"/>
  <c r="AK765" i="9" s="1"/>
  <c r="AU766" i="9"/>
  <c r="AK766" i="9" s="1"/>
  <c r="AV766" i="9"/>
  <c r="AL766" i="9" s="1"/>
  <c r="AY768" i="9"/>
  <c r="AO768" i="9" s="1"/>
  <c r="AW768" i="9"/>
  <c r="AM768" i="9" s="1"/>
  <c r="AV768" i="9"/>
  <c r="AL768" i="9" s="1"/>
  <c r="AR768" i="9"/>
  <c r="AS768" i="9" s="1"/>
  <c r="AW776" i="9"/>
  <c r="AM776" i="9" s="1"/>
  <c r="AJ778" i="9"/>
  <c r="AU780" i="9"/>
  <c r="AK780" i="9" s="1"/>
  <c r="AR780" i="9"/>
  <c r="AS780" i="9" s="1"/>
  <c r="AW780" i="9"/>
  <c r="AM780" i="9" s="1"/>
  <c r="AV780" i="9"/>
  <c r="AL780" i="9" s="1"/>
  <c r="AI794" i="9"/>
  <c r="AR803" i="9"/>
  <c r="AS803" i="9" s="1"/>
  <c r="AY803" i="9"/>
  <c r="AO803" i="9" s="1"/>
  <c r="AX803" i="9"/>
  <c r="AN803" i="9" s="1"/>
  <c r="AW803" i="9"/>
  <c r="AM803" i="9" s="1"/>
  <c r="AT803" i="9"/>
  <c r="AI808" i="9"/>
  <c r="AY818" i="9"/>
  <c r="AO818" i="9" s="1"/>
  <c r="AX818" i="9"/>
  <c r="AN818" i="9" s="1"/>
  <c r="AV818" i="9"/>
  <c r="AL818" i="9" s="1"/>
  <c r="AU818" i="9"/>
  <c r="AK818" i="9" s="1"/>
  <c r="AT818" i="9"/>
  <c r="AR818" i="9"/>
  <c r="AS818" i="9" s="1"/>
  <c r="AJ820" i="9"/>
  <c r="AI820" i="9"/>
  <c r="AH820" i="9"/>
  <c r="AH849" i="9"/>
  <c r="AJ849" i="9"/>
  <c r="AI849" i="9"/>
  <c r="AJ871" i="9"/>
  <c r="AI871" i="9"/>
  <c r="AH871" i="9"/>
  <c r="AV694" i="9"/>
  <c r="AL694" i="9" s="1"/>
  <c r="AV708" i="9"/>
  <c r="AL708" i="9" s="1"/>
  <c r="AV722" i="9"/>
  <c r="AL722" i="9" s="1"/>
  <c r="AV736" i="9"/>
  <c r="AL736" i="9" s="1"/>
  <c r="AU739" i="9"/>
  <c r="AK739" i="9" s="1"/>
  <c r="AX744" i="9"/>
  <c r="AN744" i="9" s="1"/>
  <c r="AV750" i="9"/>
  <c r="AL750" i="9" s="1"/>
  <c r="AU753" i="9"/>
  <c r="AK753" i="9" s="1"/>
  <c r="AY764" i="9"/>
  <c r="AO764" i="9" s="1"/>
  <c r="AV765" i="9"/>
  <c r="AL765" i="9" s="1"/>
  <c r="AI771" i="9"/>
  <c r="AJ771" i="9"/>
  <c r="AR775" i="9"/>
  <c r="AS775" i="9" s="1"/>
  <c r="AY775" i="9"/>
  <c r="AO775" i="9" s="1"/>
  <c r="AW775" i="9"/>
  <c r="AM775" i="9" s="1"/>
  <c r="AT775" i="9"/>
  <c r="AH783" i="9"/>
  <c r="AI795" i="9"/>
  <c r="AH795" i="9"/>
  <c r="AJ800" i="9"/>
  <c r="AI800" i="9"/>
  <c r="AI813" i="9"/>
  <c r="AJ813" i="9"/>
  <c r="AJ834" i="9"/>
  <c r="AI834" i="9"/>
  <c r="AH834" i="9"/>
  <c r="AY843" i="9"/>
  <c r="AO843" i="9" s="1"/>
  <c r="AX843" i="9"/>
  <c r="AN843" i="9" s="1"/>
  <c r="AW843" i="9"/>
  <c r="AM843" i="9" s="1"/>
  <c r="AV843" i="9"/>
  <c r="AL843" i="9" s="1"/>
  <c r="AU843" i="9"/>
  <c r="AK843" i="9" s="1"/>
  <c r="AT843" i="9"/>
  <c r="AR843" i="9"/>
  <c r="AS843" i="9" s="1"/>
  <c r="AX888" i="9"/>
  <c r="AN888" i="9" s="1"/>
  <c r="AU888" i="9"/>
  <c r="AK888" i="9" s="1"/>
  <c r="AY888" i="9"/>
  <c r="AO888" i="9" s="1"/>
  <c r="AW888" i="9"/>
  <c r="AM888" i="9" s="1"/>
  <c r="AV888" i="9"/>
  <c r="AL888" i="9" s="1"/>
  <c r="AT888" i="9"/>
  <c r="AR888" i="9"/>
  <c r="AS888" i="9" s="1"/>
  <c r="AT760" i="9"/>
  <c r="AW765" i="9"/>
  <c r="AM765" i="9" s="1"/>
  <c r="AT766" i="9"/>
  <c r="AT768" i="9"/>
  <c r="AU770" i="9"/>
  <c r="AK770" i="9" s="1"/>
  <c r="AU775" i="9"/>
  <c r="AK775" i="9" s="1"/>
  <c r="AX780" i="9"/>
  <c r="AN780" i="9" s="1"/>
  <c r="AI783" i="9"/>
  <c r="AY791" i="9"/>
  <c r="AO791" i="9" s="1"/>
  <c r="AX801" i="9"/>
  <c r="AN801" i="9" s="1"/>
  <c r="AV803" i="9"/>
  <c r="AL803" i="9" s="1"/>
  <c r="AU808" i="9"/>
  <c r="AK808" i="9" s="1"/>
  <c r="AR808" i="9"/>
  <c r="AS808" i="9" s="1"/>
  <c r="AW808" i="9"/>
  <c r="AM808" i="9" s="1"/>
  <c r="AV808" i="9"/>
  <c r="AL808" i="9" s="1"/>
  <c r="AI811" i="9"/>
  <c r="AH825" i="9"/>
  <c r="AJ856" i="9"/>
  <c r="AI856" i="9"/>
  <c r="AH856" i="9"/>
  <c r="AU769" i="9"/>
  <c r="AK769" i="9" s="1"/>
  <c r="AY771" i="9"/>
  <c r="AO771" i="9" s="1"/>
  <c r="AR778" i="9"/>
  <c r="AS778" i="9" s="1"/>
  <c r="AU783" i="9"/>
  <c r="AK783" i="9" s="1"/>
  <c r="AY785" i="9"/>
  <c r="AO785" i="9" s="1"/>
  <c r="AX788" i="9"/>
  <c r="AN788" i="9" s="1"/>
  <c r="AR792" i="9"/>
  <c r="AS792" i="9" s="1"/>
  <c r="AU797" i="9"/>
  <c r="AK797" i="9" s="1"/>
  <c r="AY799" i="9"/>
  <c r="AO799" i="9" s="1"/>
  <c r="AX802" i="9"/>
  <c r="AN802" i="9" s="1"/>
  <c r="AW805" i="9"/>
  <c r="AM805" i="9" s="1"/>
  <c r="AR806" i="9"/>
  <c r="AS806" i="9" s="1"/>
  <c r="AU811" i="9"/>
  <c r="AK811" i="9" s="1"/>
  <c r="AY813" i="9"/>
  <c r="AO813" i="9" s="1"/>
  <c r="AX816" i="9"/>
  <c r="AN816" i="9" s="1"/>
  <c r="AW819" i="9"/>
  <c r="AM819" i="9" s="1"/>
  <c r="AR820" i="9"/>
  <c r="AS820" i="9" s="1"/>
  <c r="AU825" i="9"/>
  <c r="AK825" i="9" s="1"/>
  <c r="AJ827" i="9"/>
  <c r="AY827" i="9"/>
  <c r="AO827" i="9" s="1"/>
  <c r="AX830" i="9"/>
  <c r="AN830" i="9" s="1"/>
  <c r="AW833" i="9"/>
  <c r="AM833" i="9" s="1"/>
  <c r="AR834" i="9"/>
  <c r="AS834" i="9" s="1"/>
  <c r="AV836" i="9"/>
  <c r="AL836" i="9" s="1"/>
  <c r="AU839" i="9"/>
  <c r="AK839" i="9" s="1"/>
  <c r="AJ841" i="9"/>
  <c r="AY841" i="9"/>
  <c r="AO841" i="9" s="1"/>
  <c r="AX844" i="9"/>
  <c r="AN844" i="9" s="1"/>
  <c r="AJ847" i="9"/>
  <c r="AV848" i="9"/>
  <c r="AL848" i="9" s="1"/>
  <c r="AR849" i="9"/>
  <c r="AS849" i="9" s="1"/>
  <c r="AI851" i="9"/>
  <c r="AY851" i="9"/>
  <c r="AO851" i="9" s="1"/>
  <c r="AT852" i="9"/>
  <c r="AH859" i="9"/>
  <c r="AY859" i="9"/>
  <c r="AO859" i="9" s="1"/>
  <c r="AY865" i="9"/>
  <c r="AO865" i="9" s="1"/>
  <c r="AU866" i="9"/>
  <c r="AK866" i="9" s="1"/>
  <c r="AX870" i="9"/>
  <c r="AN870" i="9" s="1"/>
  <c r="AJ874" i="9"/>
  <c r="AX875" i="9"/>
  <c r="AN875" i="9" s="1"/>
  <c r="AU876" i="9"/>
  <c r="AK876" i="9" s="1"/>
  <c r="AR877" i="9"/>
  <c r="AS877" i="9" s="1"/>
  <c r="AI880" i="9"/>
  <c r="AH890" i="9"/>
  <c r="AX891" i="9"/>
  <c r="AN891" i="9" s="1"/>
  <c r="AU892" i="9"/>
  <c r="AK892" i="9" s="1"/>
  <c r="AR893" i="9"/>
  <c r="AS893" i="9" s="1"/>
  <c r="AR906" i="9"/>
  <c r="AS906" i="9" s="1"/>
  <c r="AY906" i="9"/>
  <c r="AO906" i="9" s="1"/>
  <c r="AW906" i="9"/>
  <c r="AM906" i="9" s="1"/>
  <c r="AT906" i="9"/>
  <c r="AY922" i="9"/>
  <c r="AO922" i="9" s="1"/>
  <c r="AX922" i="9"/>
  <c r="AN922" i="9" s="1"/>
  <c r="AW922" i="9"/>
  <c r="AM922" i="9" s="1"/>
  <c r="AV922" i="9"/>
  <c r="AL922" i="9" s="1"/>
  <c r="AU922" i="9"/>
  <c r="AK922" i="9" s="1"/>
  <c r="AR922" i="9"/>
  <c r="AS922" i="9" s="1"/>
  <c r="AI925" i="9"/>
  <c r="AH925" i="9"/>
  <c r="D76" i="23"/>
  <c r="D54" i="23"/>
  <c r="D59" i="23"/>
  <c r="D80" i="23"/>
  <c r="D42" i="23"/>
  <c r="D19" i="23"/>
  <c r="AY788" i="9"/>
  <c r="AO788" i="9" s="1"/>
  <c r="AY802" i="9"/>
  <c r="AO802" i="9" s="1"/>
  <c r="AX805" i="9"/>
  <c r="AN805" i="9" s="1"/>
  <c r="AY816" i="9"/>
  <c r="AO816" i="9" s="1"/>
  <c r="AX819" i="9"/>
  <c r="AN819" i="9" s="1"/>
  <c r="AX833" i="9"/>
  <c r="AN833" i="9" s="1"/>
  <c r="AW836" i="9"/>
  <c r="AM836" i="9" s="1"/>
  <c r="AW848" i="9"/>
  <c r="AM848" i="9" s="1"/>
  <c r="AJ851" i="9"/>
  <c r="AY857" i="9"/>
  <c r="AO857" i="9" s="1"/>
  <c r="AV857" i="9"/>
  <c r="AL857" i="9" s="1"/>
  <c r="AV876" i="9"/>
  <c r="AL876" i="9" s="1"/>
  <c r="AJ880" i="9"/>
  <c r="AT882" i="9"/>
  <c r="AT887" i="9"/>
  <c r="AI890" i="9"/>
  <c r="AY901" i="9"/>
  <c r="AO901" i="9" s="1"/>
  <c r="AW901" i="9"/>
  <c r="AM901" i="9" s="1"/>
  <c r="AV901" i="9"/>
  <c r="AL901" i="9" s="1"/>
  <c r="AT901" i="9"/>
  <c r="AI922" i="9"/>
  <c r="AH922" i="9"/>
  <c r="AJ958" i="9"/>
  <c r="AH958" i="9"/>
  <c r="AR969" i="9"/>
  <c r="AS969" i="9" s="1"/>
  <c r="AX969" i="9"/>
  <c r="AN969" i="9" s="1"/>
  <c r="AW969" i="9"/>
  <c r="AM969" i="9" s="1"/>
  <c r="AV969" i="9"/>
  <c r="AL969" i="9" s="1"/>
  <c r="AU969" i="9"/>
  <c r="AK969" i="9" s="1"/>
  <c r="AT969" i="9"/>
  <c r="AY951" i="9"/>
  <c r="AO951" i="9" s="1"/>
  <c r="AX951" i="9"/>
  <c r="AN951" i="9" s="1"/>
  <c r="AV951" i="9"/>
  <c r="AL951" i="9" s="1"/>
  <c r="AU951" i="9"/>
  <c r="AK951" i="9" s="1"/>
  <c r="AT951" i="9"/>
  <c r="AW951" i="9"/>
  <c r="AM951" i="9" s="1"/>
  <c r="AR951" i="9"/>
  <c r="AS951" i="9" s="1"/>
  <c r="AX954" i="9"/>
  <c r="AN954" i="9" s="1"/>
  <c r="AW954" i="9"/>
  <c r="AM954" i="9" s="1"/>
  <c r="AU954" i="9"/>
  <c r="AK954" i="9" s="1"/>
  <c r="AT954" i="9"/>
  <c r="AV954" i="9"/>
  <c r="AL954" i="9" s="1"/>
  <c r="AR954" i="9"/>
  <c r="AS954" i="9" s="1"/>
  <c r="AY836" i="9"/>
  <c r="AO836" i="9" s="1"/>
  <c r="AW863" i="9"/>
  <c r="AM863" i="9" s="1"/>
  <c r="AT863" i="9"/>
  <c r="AI881" i="9"/>
  <c r="AV882" i="9"/>
  <c r="AL882" i="9" s="1"/>
  <c r="AV887" i="9"/>
  <c r="AL887" i="9" s="1"/>
  <c r="AX898" i="9"/>
  <c r="AN898" i="9" s="1"/>
  <c r="AW898" i="9"/>
  <c r="AM898" i="9" s="1"/>
  <c r="AU898" i="9"/>
  <c r="AK898" i="9" s="1"/>
  <c r="AY899" i="9"/>
  <c r="AO899" i="9" s="1"/>
  <c r="AV899" i="9"/>
  <c r="AL899" i="9" s="1"/>
  <c r="AR899" i="9"/>
  <c r="AS899" i="9" s="1"/>
  <c r="AY918" i="9"/>
  <c r="AO918" i="9" s="1"/>
  <c r="AX918" i="9"/>
  <c r="AN918" i="9" s="1"/>
  <c r="AV918" i="9"/>
  <c r="AL918" i="9" s="1"/>
  <c r="AU918" i="9"/>
  <c r="AK918" i="9" s="1"/>
  <c r="AV931" i="9"/>
  <c r="AL931" i="9" s="1"/>
  <c r="AY931" i="9"/>
  <c r="AO931" i="9" s="1"/>
  <c r="AX931" i="9"/>
  <c r="AN931" i="9" s="1"/>
  <c r="AU931" i="9"/>
  <c r="AK931" i="9" s="1"/>
  <c r="AR931" i="9"/>
  <c r="AS931" i="9" s="1"/>
  <c r="AY954" i="9"/>
  <c r="AO954" i="9" s="1"/>
  <c r="AJ961" i="9"/>
  <c r="AI961" i="9"/>
  <c r="AH961" i="9"/>
  <c r="AR983" i="9"/>
  <c r="AS983" i="9" s="1"/>
  <c r="AY983" i="9"/>
  <c r="AO983" i="9" s="1"/>
  <c r="AW983" i="9"/>
  <c r="AM983" i="9" s="1"/>
  <c r="AT983" i="9"/>
  <c r="AY783" i="9"/>
  <c r="AO783" i="9" s="1"/>
  <c r="AT784" i="9"/>
  <c r="AV792" i="9"/>
  <c r="AL792" i="9" s="1"/>
  <c r="AY797" i="9"/>
  <c r="AO797" i="9" s="1"/>
  <c r="AT798" i="9"/>
  <c r="AV806" i="9"/>
  <c r="AL806" i="9" s="1"/>
  <c r="AY811" i="9"/>
  <c r="AO811" i="9" s="1"/>
  <c r="AT812" i="9"/>
  <c r="AV820" i="9"/>
  <c r="AL820" i="9" s="1"/>
  <c r="AY825" i="9"/>
  <c r="AO825" i="9" s="1"/>
  <c r="AT826" i="9"/>
  <c r="AR832" i="9"/>
  <c r="AS832" i="9" s="1"/>
  <c r="AV834" i="9"/>
  <c r="AL834" i="9" s="1"/>
  <c r="AY839" i="9"/>
  <c r="AO839" i="9" s="1"/>
  <c r="AT840" i="9"/>
  <c r="AV849" i="9"/>
  <c r="AL849" i="9" s="1"/>
  <c r="AT857" i="9"/>
  <c r="AR863" i="9"/>
  <c r="AS863" i="9" s="1"/>
  <c r="AU878" i="9"/>
  <c r="AK878" i="9" s="1"/>
  <c r="AR879" i="9"/>
  <c r="AS879" i="9" s="1"/>
  <c r="AX882" i="9"/>
  <c r="AN882" i="9" s="1"/>
  <c r="AR884" i="9"/>
  <c r="AS884" i="9" s="1"/>
  <c r="AW887" i="9"/>
  <c r="AM887" i="9" s="1"/>
  <c r="AH892" i="9"/>
  <c r="AW893" i="9"/>
  <c r="AM893" i="9" s="1"/>
  <c r="AU894" i="9"/>
  <c r="AK894" i="9" s="1"/>
  <c r="AU897" i="9"/>
  <c r="AK897" i="9" s="1"/>
  <c r="AR897" i="9"/>
  <c r="AS897" i="9" s="1"/>
  <c r="AR898" i="9"/>
  <c r="AS898" i="9" s="1"/>
  <c r="AT899" i="9"/>
  <c r="AU901" i="9"/>
  <c r="AK901" i="9" s="1"/>
  <c r="AJ909" i="9"/>
  <c r="AI909" i="9"/>
  <c r="AY913" i="9"/>
  <c r="AO913" i="9" s="1"/>
  <c r="AX913" i="9"/>
  <c r="AN913" i="9" s="1"/>
  <c r="AW913" i="9"/>
  <c r="AM913" i="9" s="1"/>
  <c r="AV913" i="9"/>
  <c r="AL913" i="9" s="1"/>
  <c r="AU913" i="9"/>
  <c r="AK913" i="9" s="1"/>
  <c r="AR913" i="9"/>
  <c r="AS913" i="9" s="1"/>
  <c r="AR918" i="9"/>
  <c r="AS918" i="9" s="1"/>
  <c r="AY936" i="9"/>
  <c r="AO936" i="9" s="1"/>
  <c r="AX936" i="9"/>
  <c r="AN936" i="9" s="1"/>
  <c r="AW936" i="9"/>
  <c r="AM936" i="9" s="1"/>
  <c r="AU936" i="9"/>
  <c r="AK936" i="9" s="1"/>
  <c r="AT936" i="9"/>
  <c r="AR936" i="9"/>
  <c r="AS936" i="9" s="1"/>
  <c r="AY981" i="9"/>
  <c r="AO981" i="9" s="1"/>
  <c r="AX981" i="9"/>
  <c r="AN981" i="9" s="1"/>
  <c r="AW981" i="9"/>
  <c r="AM981" i="9" s="1"/>
  <c r="AU981" i="9"/>
  <c r="AK981" i="9" s="1"/>
  <c r="AT981" i="9"/>
  <c r="AR981" i="9"/>
  <c r="AS981" i="9" s="1"/>
  <c r="AU983" i="9"/>
  <c r="AK983" i="9" s="1"/>
  <c r="AY990" i="9"/>
  <c r="AO990" i="9" s="1"/>
  <c r="AX990" i="9"/>
  <c r="AN990" i="9" s="1"/>
  <c r="AW990" i="9"/>
  <c r="AM990" i="9" s="1"/>
  <c r="AV990" i="9"/>
  <c r="AL990" i="9" s="1"/>
  <c r="AU990" i="9"/>
  <c r="AK990" i="9" s="1"/>
  <c r="AT990" i="9"/>
  <c r="D408" i="23"/>
  <c r="D429" i="23"/>
  <c r="AT850" i="9"/>
  <c r="AY882" i="9"/>
  <c r="AO882" i="9" s="1"/>
  <c r="AX887" i="9"/>
  <c r="AN887" i="9" s="1"/>
  <c r="AI892" i="9"/>
  <c r="AW894" i="9"/>
  <c r="AM894" i="9" s="1"/>
  <c r="AW896" i="9"/>
  <c r="AM896" i="9" s="1"/>
  <c r="AT896" i="9"/>
  <c r="AU899" i="9"/>
  <c r="AK899" i="9" s="1"/>
  <c r="AX901" i="9"/>
  <c r="AN901" i="9" s="1"/>
  <c r="AV908" i="9"/>
  <c r="AL908" i="9" s="1"/>
  <c r="AT908" i="9"/>
  <c r="AR908" i="9"/>
  <c r="AS908" i="9" s="1"/>
  <c r="AX908" i="9"/>
  <c r="AN908" i="9" s="1"/>
  <c r="AJ913" i="9"/>
  <c r="AI913" i="9"/>
  <c r="AH913" i="9"/>
  <c r="AT918" i="9"/>
  <c r="AU921" i="9"/>
  <c r="AK921" i="9" s="1"/>
  <c r="AY921" i="9"/>
  <c r="AO921" i="9" s="1"/>
  <c r="AW921" i="9"/>
  <c r="AM921" i="9" s="1"/>
  <c r="AV921" i="9"/>
  <c r="AL921" i="9" s="1"/>
  <c r="AT931" i="9"/>
  <c r="AY942" i="9"/>
  <c r="AO942" i="9" s="1"/>
  <c r="AW942" i="9"/>
  <c r="AM942" i="9" s="1"/>
  <c r="AV942" i="9"/>
  <c r="AL942" i="9" s="1"/>
  <c r="AU942" i="9"/>
  <c r="AK942" i="9" s="1"/>
  <c r="AV983" i="9"/>
  <c r="AL983" i="9" s="1"/>
  <c r="D1191" i="23"/>
  <c r="D1212" i="23"/>
  <c r="AV784" i="9"/>
  <c r="AL784" i="9" s="1"/>
  <c r="AR796" i="9"/>
  <c r="AS796" i="9" s="1"/>
  <c r="AR810" i="9"/>
  <c r="AS810" i="9" s="1"/>
  <c r="AH823" i="9"/>
  <c r="AR824" i="9"/>
  <c r="AS824" i="9" s="1"/>
  <c r="AV826" i="9"/>
  <c r="AL826" i="9" s="1"/>
  <c r="AT832" i="9"/>
  <c r="AH837" i="9"/>
  <c r="AR838" i="9"/>
  <c r="AS838" i="9" s="1"/>
  <c r="AV840" i="9"/>
  <c r="AL840" i="9" s="1"/>
  <c r="AY849" i="9"/>
  <c r="AO849" i="9" s="1"/>
  <c r="AU850" i="9"/>
  <c r="AK850" i="9" s="1"/>
  <c r="AR854" i="9"/>
  <c r="AS854" i="9" s="1"/>
  <c r="AW857" i="9"/>
  <c r="AM857" i="9" s="1"/>
  <c r="AU863" i="9"/>
  <c r="AK863" i="9" s="1"/>
  <c r="AU869" i="9"/>
  <c r="AK869" i="9" s="1"/>
  <c r="AR869" i="9"/>
  <c r="AS869" i="9" s="1"/>
  <c r="AX874" i="9"/>
  <c r="AN874" i="9" s="1"/>
  <c r="AU874" i="9"/>
  <c r="AK874" i="9" s="1"/>
  <c r="AW878" i="9"/>
  <c r="AM878" i="9" s="1"/>
  <c r="AT879" i="9"/>
  <c r="AT884" i="9"/>
  <c r="AY887" i="9"/>
  <c r="AO887" i="9" s="1"/>
  <c r="AX894" i="9"/>
  <c r="AN894" i="9" s="1"/>
  <c r="AR896" i="9"/>
  <c r="AS896" i="9" s="1"/>
  <c r="AT897" i="9"/>
  <c r="AT898" i="9"/>
  <c r="AW899" i="9"/>
  <c r="AM899" i="9" s="1"/>
  <c r="AU908" i="9"/>
  <c r="AK908" i="9" s="1"/>
  <c r="AW918" i="9"/>
  <c r="AM918" i="9" s="1"/>
  <c r="AR921" i="9"/>
  <c r="AS921" i="9" s="1"/>
  <c r="AW931" i="9"/>
  <c r="AM931" i="9" s="1"/>
  <c r="AV936" i="9"/>
  <c r="AL936" i="9" s="1"/>
  <c r="AR942" i="9"/>
  <c r="AS942" i="9" s="1"/>
  <c r="AY976" i="9"/>
  <c r="AO976" i="9" s="1"/>
  <c r="AW976" i="9"/>
  <c r="AM976" i="9" s="1"/>
  <c r="AV976" i="9"/>
  <c r="AL976" i="9" s="1"/>
  <c r="AU976" i="9"/>
  <c r="AK976" i="9" s="1"/>
  <c r="AX976" i="9"/>
  <c r="AN976" i="9" s="1"/>
  <c r="AT976" i="9"/>
  <c r="AR976" i="9"/>
  <c r="AS976" i="9" s="1"/>
  <c r="AV981" i="9"/>
  <c r="AL981" i="9" s="1"/>
  <c r="AX983" i="9"/>
  <c r="AN983" i="9" s="1"/>
  <c r="AI823" i="9"/>
  <c r="AU832" i="9"/>
  <c r="AK832" i="9" s="1"/>
  <c r="AI837" i="9"/>
  <c r="AV850" i="9"/>
  <c r="AL850" i="9" s="1"/>
  <c r="AX857" i="9"/>
  <c r="AN857" i="9" s="1"/>
  <c r="AV863" i="9"/>
  <c r="AL863" i="9" s="1"/>
  <c r="AT864" i="9"/>
  <c r="AX878" i="9"/>
  <c r="AN878" i="9" s="1"/>
  <c r="AU879" i="9"/>
  <c r="AK879" i="9" s="1"/>
  <c r="AU884" i="9"/>
  <c r="AK884" i="9" s="1"/>
  <c r="AY885" i="9"/>
  <c r="AO885" i="9" s="1"/>
  <c r="AV885" i="9"/>
  <c r="AL885" i="9" s="1"/>
  <c r="AV898" i="9"/>
  <c r="AL898" i="9" s="1"/>
  <c r="AX899" i="9"/>
  <c r="AN899" i="9" s="1"/>
  <c r="AJ921" i="9"/>
  <c r="AI921" i="9"/>
  <c r="AT942" i="9"/>
  <c r="AR955" i="9"/>
  <c r="AS955" i="9" s="1"/>
  <c r="AX955" i="9"/>
  <c r="AN955" i="9" s="1"/>
  <c r="AW955" i="9"/>
  <c r="AM955" i="9" s="1"/>
  <c r="AU955" i="9"/>
  <c r="AK955" i="9" s="1"/>
  <c r="AI960" i="9"/>
  <c r="AH960" i="9"/>
  <c r="AY978" i="9"/>
  <c r="AO978" i="9" s="1"/>
  <c r="AX978" i="9"/>
  <c r="AN978" i="9" s="1"/>
  <c r="AW978" i="9"/>
  <c r="AM978" i="9" s="1"/>
  <c r="AV978" i="9"/>
  <c r="AL978" i="9" s="1"/>
  <c r="AU978" i="9"/>
  <c r="AK978" i="9" s="1"/>
  <c r="AR978" i="9"/>
  <c r="AS978" i="9" s="1"/>
  <c r="AH980" i="9"/>
  <c r="AJ980" i="9"/>
  <c r="AT810" i="9"/>
  <c r="AT824" i="9"/>
  <c r="AV832" i="9"/>
  <c r="AL832" i="9" s="1"/>
  <c r="AT838" i="9"/>
  <c r="AW850" i="9"/>
  <c r="AM850" i="9" s="1"/>
  <c r="AT854" i="9"/>
  <c r="AH862" i="9"/>
  <c r="AX863" i="9"/>
  <c r="AN863" i="9" s="1"/>
  <c r="AU864" i="9"/>
  <c r="AK864" i="9" s="1"/>
  <c r="AR865" i="9"/>
  <c r="AS865" i="9" s="1"/>
  <c r="AT869" i="9"/>
  <c r="AR870" i="9"/>
  <c r="AS870" i="9" s="1"/>
  <c r="AH878" i="9"/>
  <c r="AY878" i="9"/>
  <c r="AO878" i="9" s="1"/>
  <c r="AV879" i="9"/>
  <c r="AL879" i="9" s="1"/>
  <c r="AR880" i="9"/>
  <c r="AS880" i="9" s="1"/>
  <c r="AV884" i="9"/>
  <c r="AL884" i="9" s="1"/>
  <c r="AR885" i="9"/>
  <c r="AS885" i="9" s="1"/>
  <c r="AV889" i="9"/>
  <c r="AL889" i="9" s="1"/>
  <c r="AH894" i="9"/>
  <c r="AV896" i="9"/>
  <c r="AL896" i="9" s="1"/>
  <c r="AW897" i="9"/>
  <c r="AM897" i="9" s="1"/>
  <c r="AY898" i="9"/>
  <c r="AO898" i="9" s="1"/>
  <c r="AH903" i="9"/>
  <c r="AY904" i="9"/>
  <c r="AO904" i="9" s="1"/>
  <c r="AX904" i="9"/>
  <c r="AN904" i="9" s="1"/>
  <c r="AV904" i="9"/>
  <c r="AL904" i="9" s="1"/>
  <c r="AU904" i="9"/>
  <c r="AK904" i="9" s="1"/>
  <c r="AY908" i="9"/>
  <c r="AO908" i="9" s="1"/>
  <c r="AX912" i="9"/>
  <c r="AN912" i="9" s="1"/>
  <c r="AW912" i="9"/>
  <c r="AM912" i="9" s="1"/>
  <c r="AU912" i="9"/>
  <c r="AK912" i="9" s="1"/>
  <c r="AR912" i="9"/>
  <c r="AS912" i="9" s="1"/>
  <c r="AH914" i="9"/>
  <c r="AX921" i="9"/>
  <c r="AN921" i="9" s="1"/>
  <c r="AX926" i="9"/>
  <c r="AN926" i="9" s="1"/>
  <c r="AW926" i="9"/>
  <c r="AM926" i="9" s="1"/>
  <c r="AV926" i="9"/>
  <c r="AL926" i="9" s="1"/>
  <c r="AT926" i="9"/>
  <c r="AX942" i="9"/>
  <c r="AN942" i="9" s="1"/>
  <c r="AT955" i="9"/>
  <c r="AT978" i="9"/>
  <c r="AX850" i="9"/>
  <c r="AN850" i="9" s="1"/>
  <c r="AU854" i="9"/>
  <c r="AK854" i="9" s="1"/>
  <c r="AI862" i="9"/>
  <c r="AY863" i="9"/>
  <c r="AO863" i="9" s="1"/>
  <c r="AV864" i="9"/>
  <c r="AL864" i="9" s="1"/>
  <c r="AI878" i="9"/>
  <c r="AW879" i="9"/>
  <c r="AM879" i="9" s="1"/>
  <c r="AW884" i="9"/>
  <c r="AM884" i="9" s="1"/>
  <c r="AW891" i="9"/>
  <c r="AM891" i="9" s="1"/>
  <c r="AT891" i="9"/>
  <c r="AI894" i="9"/>
  <c r="AJ903" i="9"/>
  <c r="AI914" i="9"/>
  <c r="AX945" i="9"/>
  <c r="AN945" i="9" s="1"/>
  <c r="AV945" i="9"/>
  <c r="AL945" i="9" s="1"/>
  <c r="AY945" i="9"/>
  <c r="AO945" i="9" s="1"/>
  <c r="AW945" i="9"/>
  <c r="AM945" i="9" s="1"/>
  <c r="AU945" i="9"/>
  <c r="AK945" i="9" s="1"/>
  <c r="AR945" i="9"/>
  <c r="AS945" i="9" s="1"/>
  <c r="AV955" i="9"/>
  <c r="AL955" i="9" s="1"/>
  <c r="AI974" i="9"/>
  <c r="AH974" i="9"/>
  <c r="AY987" i="9"/>
  <c r="AO987" i="9" s="1"/>
  <c r="AX987" i="9"/>
  <c r="AN987" i="9" s="1"/>
  <c r="AW987" i="9"/>
  <c r="AM987" i="9" s="1"/>
  <c r="AV987" i="9"/>
  <c r="AL987" i="9" s="1"/>
  <c r="AU987" i="9"/>
  <c r="AK987" i="9" s="1"/>
  <c r="AT987" i="9"/>
  <c r="AR987" i="9"/>
  <c r="AS987" i="9" s="1"/>
  <c r="I91" i="14"/>
  <c r="K91" i="14" s="1"/>
  <c r="I94" i="14"/>
  <c r="K94" i="14" s="1"/>
  <c r="I93" i="14"/>
  <c r="K93" i="14" s="1"/>
  <c r="G95" i="14"/>
  <c r="H95" i="14" s="1"/>
  <c r="C877" i="15"/>
  <c r="I92" i="14"/>
  <c r="K92" i="14" s="1"/>
  <c r="AU771" i="9"/>
  <c r="AK771" i="9" s="1"/>
  <c r="AW779" i="9"/>
  <c r="AM779" i="9" s="1"/>
  <c r="AT788" i="9"/>
  <c r="AH793" i="9"/>
  <c r="AV796" i="9"/>
  <c r="AL796" i="9" s="1"/>
  <c r="AT802" i="9"/>
  <c r="AH807" i="9"/>
  <c r="AV810" i="9"/>
  <c r="AL810" i="9" s="1"/>
  <c r="AT816" i="9"/>
  <c r="AH821" i="9"/>
  <c r="AV824" i="9"/>
  <c r="AL824" i="9" s="1"/>
  <c r="AT830" i="9"/>
  <c r="AX832" i="9"/>
  <c r="AN832" i="9" s="1"/>
  <c r="AR836" i="9"/>
  <c r="AS836" i="9" s="1"/>
  <c r="AV838" i="9"/>
  <c r="AL838" i="9" s="1"/>
  <c r="AT844" i="9"/>
  <c r="AR848" i="9"/>
  <c r="AS848" i="9" s="1"/>
  <c r="AY850" i="9"/>
  <c r="AO850" i="9" s="1"/>
  <c r="AV854" i="9"/>
  <c r="AL854" i="9" s="1"/>
  <c r="AU855" i="9"/>
  <c r="AK855" i="9" s="1"/>
  <c r="AR855" i="9"/>
  <c r="AS855" i="9" s="1"/>
  <c r="AX860" i="9"/>
  <c r="AN860" i="9" s="1"/>
  <c r="AU860" i="9"/>
  <c r="AK860" i="9" s="1"/>
  <c r="AW864" i="9"/>
  <c r="AM864" i="9" s="1"/>
  <c r="AY879" i="9"/>
  <c r="AO879" i="9" s="1"/>
  <c r="AX884" i="9"/>
  <c r="AN884" i="9" s="1"/>
  <c r="AT885" i="9"/>
  <c r="AX889" i="9"/>
  <c r="AN889" i="9" s="1"/>
  <c r="AU890" i="9"/>
  <c r="AK890" i="9" s="1"/>
  <c r="AR891" i="9"/>
  <c r="AS891" i="9" s="1"/>
  <c r="AH895" i="9"/>
  <c r="AY896" i="9"/>
  <c r="AO896" i="9" s="1"/>
  <c r="AY897" i="9"/>
  <c r="AO897" i="9" s="1"/>
  <c r="AH900" i="9"/>
  <c r="AJ904" i="9"/>
  <c r="AI904" i="9"/>
  <c r="AY907" i="9"/>
  <c r="AO907" i="9" s="1"/>
  <c r="AX907" i="9"/>
  <c r="AN907" i="9" s="1"/>
  <c r="AW907" i="9"/>
  <c r="AM907" i="9" s="1"/>
  <c r="AU907" i="9"/>
  <c r="AK907" i="9" s="1"/>
  <c r="AT907" i="9"/>
  <c r="AR907" i="9"/>
  <c r="AS907" i="9" s="1"/>
  <c r="AI912" i="9"/>
  <c r="AH912" i="9"/>
  <c r="AT945" i="9"/>
  <c r="AY955" i="9"/>
  <c r="AO955" i="9" s="1"/>
  <c r="AI959" i="9"/>
  <c r="AH959" i="9"/>
  <c r="AY965" i="9"/>
  <c r="AO965" i="9" s="1"/>
  <c r="AX965" i="9"/>
  <c r="AN965" i="9" s="1"/>
  <c r="AV965" i="9"/>
  <c r="AL965" i="9" s="1"/>
  <c r="AU965" i="9"/>
  <c r="AK965" i="9" s="1"/>
  <c r="AT965" i="9"/>
  <c r="AR965" i="9"/>
  <c r="AS965" i="9" s="1"/>
  <c r="AR769" i="9"/>
  <c r="AS769" i="9" s="1"/>
  <c r="AV771" i="9"/>
  <c r="AL771" i="9" s="1"/>
  <c r="AR783" i="9"/>
  <c r="AS783" i="9" s="1"/>
  <c r="AU788" i="9"/>
  <c r="AK788" i="9" s="1"/>
  <c r="AW796" i="9"/>
  <c r="AM796" i="9" s="1"/>
  <c r="AR797" i="9"/>
  <c r="AS797" i="9" s="1"/>
  <c r="AU802" i="9"/>
  <c r="AK802" i="9" s="1"/>
  <c r="AT805" i="9"/>
  <c r="AW810" i="9"/>
  <c r="AM810" i="9" s="1"/>
  <c r="AR811" i="9"/>
  <c r="AS811" i="9" s="1"/>
  <c r="AU816" i="9"/>
  <c r="AK816" i="9" s="1"/>
  <c r="AT819" i="9"/>
  <c r="AW824" i="9"/>
  <c r="AM824" i="9" s="1"/>
  <c r="AR825" i="9"/>
  <c r="AS825" i="9" s="1"/>
  <c r="AU830" i="9"/>
  <c r="AK830" i="9" s="1"/>
  <c r="AT833" i="9"/>
  <c r="AW838" i="9"/>
  <c r="AM838" i="9" s="1"/>
  <c r="AR839" i="9"/>
  <c r="AS839" i="9" s="1"/>
  <c r="AU844" i="9"/>
  <c r="AK844" i="9" s="1"/>
  <c r="AW854" i="9"/>
  <c r="AM854" i="9" s="1"/>
  <c r="AR860" i="9"/>
  <c r="AS860" i="9" s="1"/>
  <c r="AX864" i="9"/>
  <c r="AN864" i="9" s="1"/>
  <c r="AU865" i="9"/>
  <c r="AK865" i="9" s="1"/>
  <c r="AX869" i="9"/>
  <c r="AN869" i="9" s="1"/>
  <c r="AU870" i="9"/>
  <c r="AK870" i="9" s="1"/>
  <c r="AY871" i="9"/>
  <c r="AO871" i="9" s="1"/>
  <c r="AV871" i="9"/>
  <c r="AL871" i="9" s="1"/>
  <c r="AW874" i="9"/>
  <c r="AM874" i="9" s="1"/>
  <c r="AR876" i="9"/>
  <c r="AS876" i="9" s="1"/>
  <c r="AW880" i="9"/>
  <c r="AM880" i="9" s="1"/>
  <c r="AU885" i="9"/>
  <c r="AK885" i="9" s="1"/>
  <c r="AH889" i="9"/>
  <c r="AV890" i="9"/>
  <c r="AL890" i="9" s="1"/>
  <c r="AJ895" i="9"/>
  <c r="AI900" i="9"/>
  <c r="AH909" i="9"/>
  <c r="AJ920" i="9"/>
  <c r="AH920" i="9"/>
  <c r="AJ922" i="9"/>
  <c r="AT938" i="9"/>
  <c r="AW938" i="9"/>
  <c r="AM938" i="9" s="1"/>
  <c r="AV938" i="9"/>
  <c r="AL938" i="9" s="1"/>
  <c r="AU938" i="9"/>
  <c r="AK938" i="9" s="1"/>
  <c r="AR938" i="9"/>
  <c r="AS938" i="9" s="1"/>
  <c r="AY938" i="9"/>
  <c r="AO938" i="9" s="1"/>
  <c r="AJ984" i="9"/>
  <c r="AI984" i="9"/>
  <c r="AH984" i="9"/>
  <c r="AW890" i="9"/>
  <c r="AM890" i="9" s="1"/>
  <c r="AU891" i="9"/>
  <c r="AK891" i="9" s="1"/>
  <c r="AV907" i="9"/>
  <c r="AL907" i="9" s="1"/>
  <c r="AX938" i="9"/>
  <c r="AN938" i="9" s="1"/>
  <c r="AW965" i="9"/>
  <c r="AM965" i="9" s="1"/>
  <c r="C1550" i="15"/>
  <c r="H1550" i="15"/>
  <c r="C1514" i="15"/>
  <c r="C1621" i="15"/>
  <c r="AV855" i="9"/>
  <c r="AL855" i="9" s="1"/>
  <c r="AT860" i="9"/>
  <c r="AW865" i="9"/>
  <c r="AM865" i="9" s="1"/>
  <c r="AT876" i="9"/>
  <c r="AW877" i="9"/>
  <c r="AM877" i="9" s="1"/>
  <c r="AT877" i="9"/>
  <c r="AR882" i="9"/>
  <c r="AS882" i="9" s="1"/>
  <c r="AV891" i="9"/>
  <c r="AL891" i="9" s="1"/>
  <c r="AX893" i="9"/>
  <c r="AN893" i="9" s="1"/>
  <c r="AT893" i="9"/>
  <c r="AJ941" i="9"/>
  <c r="AI941" i="9"/>
  <c r="AY956" i="9"/>
  <c r="AO956" i="9" s="1"/>
  <c r="AX956" i="9"/>
  <c r="AN956" i="9" s="1"/>
  <c r="AW956" i="9"/>
  <c r="AM956" i="9" s="1"/>
  <c r="AU956" i="9"/>
  <c r="AK956" i="9" s="1"/>
  <c r="AR956" i="9"/>
  <c r="AS956" i="9" s="1"/>
  <c r="AU903" i="9"/>
  <c r="AK903" i="9" s="1"/>
  <c r="AU917" i="9"/>
  <c r="AK917" i="9" s="1"/>
  <c r="AU920" i="9"/>
  <c r="AK920" i="9" s="1"/>
  <c r="AT934" i="9"/>
  <c r="AW957" i="9"/>
  <c r="AM957" i="9" s="1"/>
  <c r="AV957" i="9"/>
  <c r="AL957" i="9" s="1"/>
  <c r="AT957" i="9"/>
  <c r="AR957" i="9"/>
  <c r="AS957" i="9" s="1"/>
  <c r="AY962" i="9"/>
  <c r="AO962" i="9" s="1"/>
  <c r="AW962" i="9"/>
  <c r="AM962" i="9" s="1"/>
  <c r="AV962" i="9"/>
  <c r="AL962" i="9" s="1"/>
  <c r="AU962" i="9"/>
  <c r="AK962" i="9" s="1"/>
  <c r="AT964" i="9"/>
  <c r="D843" i="23"/>
  <c r="D864" i="23"/>
  <c r="C987" i="15"/>
  <c r="R28" i="13"/>
  <c r="Q28" i="13"/>
  <c r="I118" i="14"/>
  <c r="K118" i="14" s="1"/>
  <c r="C967" i="15"/>
  <c r="C946" i="15"/>
  <c r="G118" i="14"/>
  <c r="H118" i="14" s="1"/>
  <c r="C910" i="15"/>
  <c r="C1018" i="15"/>
  <c r="C1032" i="15"/>
  <c r="C926" i="15"/>
  <c r="I119" i="14"/>
  <c r="K119" i="14" s="1"/>
  <c r="G119" i="14"/>
  <c r="H119" i="14" s="1"/>
  <c r="L119" i="14" s="1"/>
  <c r="N119" i="14" s="1"/>
  <c r="C1006" i="15"/>
  <c r="AT915" i="9"/>
  <c r="AH924" i="9"/>
  <c r="AY924" i="9"/>
  <c r="AO924" i="9" s="1"/>
  <c r="AY930" i="9"/>
  <c r="AO930" i="9" s="1"/>
  <c r="AX934" i="9"/>
  <c r="AN934" i="9" s="1"/>
  <c r="AT935" i="9"/>
  <c r="AU941" i="9"/>
  <c r="AK941" i="9" s="1"/>
  <c r="AW943" i="9"/>
  <c r="AM943" i="9" s="1"/>
  <c r="AT943" i="9"/>
  <c r="AR943" i="9"/>
  <c r="AS943" i="9" s="1"/>
  <c r="AY953" i="9"/>
  <c r="AO953" i="9" s="1"/>
  <c r="AX953" i="9"/>
  <c r="AN953" i="9" s="1"/>
  <c r="AJ962" i="9"/>
  <c r="AH962" i="9"/>
  <c r="AW964" i="9"/>
  <c r="AM964" i="9" s="1"/>
  <c r="AX973" i="9"/>
  <c r="AN973" i="9" s="1"/>
  <c r="AW973" i="9"/>
  <c r="AM973" i="9" s="1"/>
  <c r="AV973" i="9"/>
  <c r="AL973" i="9" s="1"/>
  <c r="AX982" i="9"/>
  <c r="AN982" i="9" s="1"/>
  <c r="AW982" i="9"/>
  <c r="AM982" i="9" s="1"/>
  <c r="AU982" i="9"/>
  <c r="AK982" i="9" s="1"/>
  <c r="AT982" i="9"/>
  <c r="AJ992" i="9"/>
  <c r="AI992" i="9"/>
  <c r="AH992" i="9"/>
  <c r="C818" i="15"/>
  <c r="C797" i="15"/>
  <c r="H830" i="15"/>
  <c r="AD27" i="13"/>
  <c r="P27" i="13"/>
  <c r="C830" i="15"/>
  <c r="M27" i="13"/>
  <c r="L27" i="13"/>
  <c r="C833" i="15"/>
  <c r="J27" i="13"/>
  <c r="C869" i="15"/>
  <c r="V27" i="13"/>
  <c r="H818" i="15"/>
  <c r="H833" i="15"/>
  <c r="H797" i="15"/>
  <c r="H53" i="14"/>
  <c r="L53" i="14" s="1"/>
  <c r="N53" i="14" s="1"/>
  <c r="AV915" i="9"/>
  <c r="AL915" i="9" s="1"/>
  <c r="AT927" i="9"/>
  <c r="AW935" i="9"/>
  <c r="AM935" i="9" s="1"/>
  <c r="AY937" i="9"/>
  <c r="AO937" i="9" s="1"/>
  <c r="AT937" i="9"/>
  <c r="AH940" i="9"/>
  <c r="AW941" i="9"/>
  <c r="AM941" i="9" s="1"/>
  <c r="AU943" i="9"/>
  <c r="AK943" i="9" s="1"/>
  <c r="AH966" i="9"/>
  <c r="AY970" i="9"/>
  <c r="AO970" i="9" s="1"/>
  <c r="AX970" i="9"/>
  <c r="AN970" i="9" s="1"/>
  <c r="AW970" i="9"/>
  <c r="AM970" i="9" s="1"/>
  <c r="AV982" i="9"/>
  <c r="AL982" i="9" s="1"/>
  <c r="H2783" i="15"/>
  <c r="AD40" i="13"/>
  <c r="P40" i="13"/>
  <c r="C2783" i="15"/>
  <c r="C2768" i="15"/>
  <c r="M40" i="13"/>
  <c r="L40" i="13"/>
  <c r="H2780" i="15"/>
  <c r="K40" i="13"/>
  <c r="C2780" i="15"/>
  <c r="C2819" i="15"/>
  <c r="H2747" i="15"/>
  <c r="V40" i="13"/>
  <c r="H2768" i="15"/>
  <c r="C2747" i="15"/>
  <c r="J40" i="13"/>
  <c r="AT910" i="9"/>
  <c r="AW915" i="9"/>
  <c r="AM915" i="9" s="1"/>
  <c r="AU927" i="9"/>
  <c r="AK927" i="9" s="1"/>
  <c r="AX935" i="9"/>
  <c r="AN935" i="9" s="1"/>
  <c r="AJ940" i="9"/>
  <c r="AV943" i="9"/>
  <c r="AL943" i="9" s="1"/>
  <c r="AT953" i="9"/>
  <c r="AW971" i="9"/>
  <c r="AM971" i="9" s="1"/>
  <c r="AV971" i="9"/>
  <c r="AL971" i="9" s="1"/>
  <c r="AT971" i="9"/>
  <c r="AR971" i="9"/>
  <c r="AS971" i="9" s="1"/>
  <c r="AT973" i="9"/>
  <c r="AY979" i="9"/>
  <c r="AO979" i="9" s="1"/>
  <c r="AX979" i="9"/>
  <c r="AN979" i="9" s="1"/>
  <c r="AV979" i="9"/>
  <c r="AL979" i="9" s="1"/>
  <c r="AU979" i="9"/>
  <c r="AK979" i="9" s="1"/>
  <c r="AT979" i="9"/>
  <c r="AW999" i="9"/>
  <c r="AM999" i="9" s="1"/>
  <c r="AV999" i="9"/>
  <c r="AL999" i="9" s="1"/>
  <c r="AU999" i="9"/>
  <c r="AK999" i="9" s="1"/>
  <c r="AT999" i="9"/>
  <c r="AR999" i="9"/>
  <c r="AS999" i="9" s="1"/>
  <c r="AY999" i="9"/>
  <c r="AO999" i="9" s="1"/>
  <c r="C1612" i="15"/>
  <c r="C1548" i="15"/>
  <c r="C1512" i="15"/>
  <c r="C1620" i="15"/>
  <c r="C1528" i="15"/>
  <c r="C1678" i="15"/>
  <c r="C1770" i="15"/>
  <c r="C1698" i="15"/>
  <c r="C1662" i="15"/>
  <c r="C1762" i="15"/>
  <c r="G277" i="14"/>
  <c r="H277" i="14" s="1"/>
  <c r="L277" i="14" s="1"/>
  <c r="N277" i="14" s="1"/>
  <c r="AB38" i="13"/>
  <c r="X38" i="13"/>
  <c r="Y38" i="13" s="1"/>
  <c r="AC38" i="13"/>
  <c r="AY923" i="9"/>
  <c r="AO923" i="9" s="1"/>
  <c r="AT923" i="9"/>
  <c r="AW929" i="9"/>
  <c r="AM929" i="9" s="1"/>
  <c r="AR929" i="9"/>
  <c r="AS929" i="9" s="1"/>
  <c r="AY943" i="9"/>
  <c r="AO943" i="9" s="1"/>
  <c r="AY948" i="9"/>
  <c r="AO948" i="9" s="1"/>
  <c r="AW948" i="9"/>
  <c r="AM948" i="9" s="1"/>
  <c r="AV948" i="9"/>
  <c r="AL948" i="9" s="1"/>
  <c r="AU948" i="9"/>
  <c r="AK948" i="9" s="1"/>
  <c r="AV953" i="9"/>
  <c r="AL953" i="9" s="1"/>
  <c r="AJ970" i="9"/>
  <c r="AI970" i="9"/>
  <c r="AH970" i="9"/>
  <c r="AX971" i="9"/>
  <c r="AN971" i="9" s="1"/>
  <c r="AY973" i="9"/>
  <c r="AO973" i="9" s="1"/>
  <c r="AW985" i="9"/>
  <c r="AM985" i="9" s="1"/>
  <c r="AV985" i="9"/>
  <c r="AL985" i="9" s="1"/>
  <c r="AU985" i="9"/>
  <c r="AK985" i="9" s="1"/>
  <c r="AT985" i="9"/>
  <c r="AR985" i="9"/>
  <c r="AS985" i="9" s="1"/>
  <c r="AJ1001" i="9"/>
  <c r="AI1001" i="9"/>
  <c r="AH1001" i="9"/>
  <c r="AJ1004" i="9"/>
  <c r="AI1004" i="9"/>
  <c r="AH1004" i="9"/>
  <c r="D1168" i="23"/>
  <c r="D1145" i="23"/>
  <c r="C1437" i="15"/>
  <c r="C1482" i="15"/>
  <c r="D1483" i="15" s="1"/>
  <c r="D1484" i="15" s="1"/>
  <c r="F1484" i="15" s="1"/>
  <c r="Y14" i="15" s="1"/>
  <c r="C1456" i="15"/>
  <c r="C1376" i="15"/>
  <c r="R31" i="13"/>
  <c r="Q31" i="13"/>
  <c r="I166" i="14"/>
  <c r="K166" i="14" s="1"/>
  <c r="I167" i="14"/>
  <c r="K167" i="14" s="1"/>
  <c r="C1360" i="15"/>
  <c r="G167" i="14"/>
  <c r="H167" i="14" s="1"/>
  <c r="L167" i="14" s="1"/>
  <c r="N167" i="14" s="1"/>
  <c r="C1396" i="15"/>
  <c r="C1468" i="15"/>
  <c r="C1417" i="15"/>
  <c r="G166" i="14"/>
  <c r="H166" i="14" s="1"/>
  <c r="L166" i="14" s="1"/>
  <c r="N166" i="14" s="1"/>
  <c r="AU902" i="9"/>
  <c r="AK902" i="9" s="1"/>
  <c r="AT905" i="9"/>
  <c r="AR911" i="9"/>
  <c r="AS911" i="9" s="1"/>
  <c r="AU916" i="9"/>
  <c r="AK916" i="9" s="1"/>
  <c r="AT919" i="9"/>
  <c r="AR923" i="9"/>
  <c r="AS923" i="9" s="1"/>
  <c r="AU928" i="9"/>
  <c r="AK928" i="9" s="1"/>
  <c r="AV937" i="9"/>
  <c r="AL937" i="9" s="1"/>
  <c r="AR948" i="9"/>
  <c r="AS948" i="9" s="1"/>
  <c r="AU950" i="9"/>
  <c r="AK950" i="9" s="1"/>
  <c r="AW953" i="9"/>
  <c r="AM953" i="9" s="1"/>
  <c r="AI962" i="9"/>
  <c r="AY967" i="9"/>
  <c r="AO967" i="9" s="1"/>
  <c r="AX967" i="9"/>
  <c r="AN967" i="9" s="1"/>
  <c r="AU970" i="9"/>
  <c r="AK970" i="9" s="1"/>
  <c r="AY971" i="9"/>
  <c r="AO971" i="9" s="1"/>
  <c r="AW979" i="9"/>
  <c r="AM979" i="9" s="1"/>
  <c r="AX985" i="9"/>
  <c r="AN985" i="9" s="1"/>
  <c r="AX968" i="9"/>
  <c r="AN968" i="9" s="1"/>
  <c r="AW968" i="9"/>
  <c r="AM968" i="9" s="1"/>
  <c r="AU968" i="9"/>
  <c r="AK968" i="9" s="1"/>
  <c r="AT968" i="9"/>
  <c r="AY984" i="9"/>
  <c r="AO984" i="9" s="1"/>
  <c r="AX984" i="9"/>
  <c r="AN984" i="9" s="1"/>
  <c r="AW984" i="9"/>
  <c r="AM984" i="9" s="1"/>
  <c r="C1211" i="15"/>
  <c r="W30" i="13"/>
  <c r="K188" i="14"/>
  <c r="AJ948" i="9"/>
  <c r="AH948" i="9"/>
  <c r="AX959" i="9"/>
  <c r="AN959" i="9" s="1"/>
  <c r="AW959" i="9"/>
  <c r="AM959" i="9" s="1"/>
  <c r="AV959" i="9"/>
  <c r="AL959" i="9" s="1"/>
  <c r="D1299" i="23"/>
  <c r="D1278" i="23"/>
  <c r="C506" i="15"/>
  <c r="H506" i="15"/>
  <c r="C470" i="15"/>
  <c r="I128" i="14"/>
  <c r="K128" i="14" s="1"/>
  <c r="I129" i="14"/>
  <c r="K129" i="14" s="1"/>
  <c r="G130" i="14"/>
  <c r="H130" i="14" s="1"/>
  <c r="I144" i="14"/>
  <c r="K144" i="14" s="1"/>
  <c r="G146" i="14"/>
  <c r="H146" i="14" s="1"/>
  <c r="I145" i="14"/>
  <c r="K145" i="14" s="1"/>
  <c r="C2117" i="15"/>
  <c r="C2153" i="15"/>
  <c r="AV923" i="9"/>
  <c r="AL923" i="9" s="1"/>
  <c r="AY928" i="9"/>
  <c r="AO928" i="9" s="1"/>
  <c r="AV929" i="9"/>
  <c r="AL929" i="9" s="1"/>
  <c r="AT930" i="9"/>
  <c r="AR934" i="9"/>
  <c r="AS934" i="9" s="1"/>
  <c r="AT939" i="9"/>
  <c r="AX948" i="9"/>
  <c r="AN948" i="9" s="1"/>
  <c r="AX950" i="9"/>
  <c r="AN950" i="9" s="1"/>
  <c r="AR959" i="9"/>
  <c r="AS959" i="9" s="1"/>
  <c r="AR964" i="9"/>
  <c r="AS964" i="9" s="1"/>
  <c r="AT967" i="9"/>
  <c r="AV968" i="9"/>
  <c r="AL968" i="9" s="1"/>
  <c r="AI997" i="9"/>
  <c r="AY998" i="9"/>
  <c r="AO998" i="9" s="1"/>
  <c r="AX998" i="9"/>
  <c r="AN998" i="9" s="1"/>
  <c r="AW998" i="9"/>
  <c r="AM998" i="9" s="1"/>
  <c r="AV998" i="9"/>
  <c r="AL998" i="9" s="1"/>
  <c r="AT998" i="9"/>
  <c r="C1286" i="15"/>
  <c r="C1285" i="15"/>
  <c r="H1286" i="15"/>
  <c r="L276" i="14"/>
  <c r="N276" i="14" s="1"/>
  <c r="W25" i="14" s="1"/>
  <c r="D2553" i="15" s="1"/>
  <c r="F2553" i="15" s="1"/>
  <c r="AF21" i="15" s="1"/>
  <c r="AV995" i="9"/>
  <c r="AL995" i="9" s="1"/>
  <c r="C335" i="15"/>
  <c r="C355" i="15"/>
  <c r="C319" i="15"/>
  <c r="C1318" i="15"/>
  <c r="R30" i="13"/>
  <c r="C1306" i="15"/>
  <c r="D1307" i="15" s="1"/>
  <c r="C1210" i="15"/>
  <c r="Q30" i="13"/>
  <c r="I150" i="14"/>
  <c r="K150" i="14" s="1"/>
  <c r="C1287" i="15"/>
  <c r="D1289" i="15" s="1"/>
  <c r="I151" i="14"/>
  <c r="K151" i="14" s="1"/>
  <c r="G151" i="14"/>
  <c r="H151" i="14" s="1"/>
  <c r="C1332" i="15"/>
  <c r="D1333" i="15" s="1"/>
  <c r="D1334" i="15" s="1"/>
  <c r="F1334" i="15" s="1"/>
  <c r="Y13" i="15" s="1"/>
  <c r="C1226" i="15"/>
  <c r="C1246" i="15"/>
  <c r="C1511" i="15"/>
  <c r="W32" i="13"/>
  <c r="G194" i="14"/>
  <c r="H194" i="14" s="1"/>
  <c r="I192" i="14"/>
  <c r="K192" i="14" s="1"/>
  <c r="I193" i="14"/>
  <c r="K193" i="14" s="1"/>
  <c r="H1706" i="15"/>
  <c r="C1670" i="15"/>
  <c r="C1706" i="15"/>
  <c r="C283" i="15"/>
  <c r="C1267" i="15"/>
  <c r="AR992" i="9"/>
  <c r="AS992" i="9" s="1"/>
  <c r="AY993" i="9"/>
  <c r="AO993" i="9" s="1"/>
  <c r="AX993" i="9"/>
  <c r="AN993" i="9" s="1"/>
  <c r="AW993" i="9"/>
  <c r="AM993" i="9" s="1"/>
  <c r="AV993" i="9"/>
  <c r="AL993" i="9" s="1"/>
  <c r="AU993" i="9"/>
  <c r="AK993" i="9" s="1"/>
  <c r="AT993" i="9"/>
  <c r="D60" i="23"/>
  <c r="D81" i="23"/>
  <c r="D951" i="23"/>
  <c r="D930" i="23"/>
  <c r="D1141" i="23"/>
  <c r="D1162" i="23"/>
  <c r="D1146" i="23"/>
  <c r="T19" i="11"/>
  <c r="O19" i="11"/>
  <c r="H980" i="15"/>
  <c r="C968" i="15"/>
  <c r="H947" i="15"/>
  <c r="C983" i="15"/>
  <c r="H968" i="15"/>
  <c r="C947" i="15"/>
  <c r="AD28" i="13"/>
  <c r="P28" i="13"/>
  <c r="C980" i="15"/>
  <c r="M28" i="13"/>
  <c r="C1019" i="15"/>
  <c r="H983" i="15"/>
  <c r="L28" i="13"/>
  <c r="K28" i="13"/>
  <c r="I141" i="14"/>
  <c r="K141" i="14" s="1"/>
  <c r="I139" i="14"/>
  <c r="K139" i="14" s="1"/>
  <c r="I142" i="14"/>
  <c r="K142" i="14" s="1"/>
  <c r="G143" i="14"/>
  <c r="H143" i="14" s="1"/>
  <c r="I140" i="14"/>
  <c r="K140" i="14" s="1"/>
  <c r="C1327" i="15"/>
  <c r="H1430" i="15"/>
  <c r="C1418" i="15"/>
  <c r="H1397" i="15"/>
  <c r="C1430" i="15"/>
  <c r="C1397" i="15"/>
  <c r="H1433" i="15"/>
  <c r="AD31" i="13"/>
  <c r="P31" i="13"/>
  <c r="M31" i="13"/>
  <c r="C1469" i="15"/>
  <c r="L31" i="13"/>
  <c r="H1418" i="15"/>
  <c r="K31" i="13"/>
  <c r="C1433" i="15"/>
  <c r="H1586" i="15"/>
  <c r="C1586" i="15"/>
  <c r="C1585" i="15"/>
  <c r="C1736" i="15"/>
  <c r="C1735" i="15"/>
  <c r="H1736" i="15"/>
  <c r="C2262" i="15"/>
  <c r="C2370" i="15"/>
  <c r="D2371" i="15" s="1"/>
  <c r="C2298" i="15"/>
  <c r="C2278" i="15"/>
  <c r="C2362" i="15"/>
  <c r="C350" i="15"/>
  <c r="C314" i="15"/>
  <c r="H350" i="15"/>
  <c r="C421" i="15"/>
  <c r="D421" i="15" s="1"/>
  <c r="H518" i="15"/>
  <c r="C569" i="15"/>
  <c r="M25" i="13"/>
  <c r="L25" i="13"/>
  <c r="H533" i="15"/>
  <c r="K25" i="13"/>
  <c r="J25" i="13"/>
  <c r="C497" i="15"/>
  <c r="H530" i="15"/>
  <c r="H497" i="15"/>
  <c r="P25" i="13"/>
  <c r="C518" i="15"/>
  <c r="C530" i="15"/>
  <c r="C2303" i="15"/>
  <c r="C2267" i="15"/>
  <c r="D356" i="15"/>
  <c r="C313" i="15"/>
  <c r="C349" i="15"/>
  <c r="C413" i="15"/>
  <c r="D413" i="15" s="1"/>
  <c r="D414" i="15" s="1"/>
  <c r="F414" i="15" s="1"/>
  <c r="V7" i="15" s="1"/>
  <c r="C329" i="15"/>
  <c r="D330" i="15" s="1"/>
  <c r="H2006" i="15"/>
  <c r="C2006" i="15"/>
  <c r="C1970" i="15"/>
  <c r="C2357" i="15"/>
  <c r="C2338" i="15"/>
  <c r="C2383" i="15"/>
  <c r="C533" i="15"/>
  <c r="D711" i="23"/>
  <c r="D734" i="23"/>
  <c r="D727" i="23"/>
  <c r="D706" i="23"/>
  <c r="T14" i="11"/>
  <c r="O14" i="11"/>
  <c r="D1068" i="23"/>
  <c r="D1091" i="23"/>
  <c r="H56" i="15"/>
  <c r="C56" i="15"/>
  <c r="C20" i="15"/>
  <c r="C315" i="15"/>
  <c r="D317" i="15" s="1"/>
  <c r="C331" i="15"/>
  <c r="D333" i="15" s="1"/>
  <c r="I56" i="14"/>
  <c r="K56" i="14" s="1"/>
  <c r="L56" i="14" s="1"/>
  <c r="N56" i="14" s="1"/>
  <c r="C988" i="15"/>
  <c r="C1007" i="15"/>
  <c r="C1033" i="15"/>
  <c r="C1183" i="15"/>
  <c r="C1138" i="15"/>
  <c r="C1157" i="15"/>
  <c r="C257" i="15"/>
  <c r="AH1003" i="9"/>
  <c r="D1232" i="23"/>
  <c r="D1255" i="23"/>
  <c r="G18" i="14"/>
  <c r="H18" i="14" s="1"/>
  <c r="I17" i="14"/>
  <c r="K17" i="14" s="1"/>
  <c r="I16" i="14"/>
  <c r="K16" i="14" s="1"/>
  <c r="C782" i="15"/>
  <c r="H803" i="15"/>
  <c r="C802" i="15"/>
  <c r="C766" i="15"/>
  <c r="V28" i="13"/>
  <c r="H1139" i="15"/>
  <c r="C1139" i="15"/>
  <c r="V31" i="13"/>
  <c r="C1920" i="15"/>
  <c r="D1921" i="15" s="1"/>
  <c r="C1828" i="15"/>
  <c r="C1812" i="15"/>
  <c r="C1848" i="15"/>
  <c r="C1912" i="15"/>
  <c r="W35" i="13"/>
  <c r="C1961" i="15"/>
  <c r="K19" i="15"/>
  <c r="C2566" i="15"/>
  <c r="C2582" i="15"/>
  <c r="H2603" i="15"/>
  <c r="C2602" i="15"/>
  <c r="H689" i="15"/>
  <c r="D2063" i="15"/>
  <c r="D2064" i="15" s="1"/>
  <c r="F2064" i="15" s="1"/>
  <c r="V18" i="15" s="1"/>
  <c r="AY995" i="9"/>
  <c r="AO995" i="9" s="1"/>
  <c r="AX995" i="9"/>
  <c r="AN995" i="9" s="1"/>
  <c r="AI1003" i="9"/>
  <c r="AY1005" i="9"/>
  <c r="AO1005" i="9" s="1"/>
  <c r="AX1005" i="9"/>
  <c r="AN1005" i="9" s="1"/>
  <c r="AW1005" i="9"/>
  <c r="AM1005" i="9" s="1"/>
  <c r="AV1005" i="9"/>
  <c r="AL1005" i="9" s="1"/>
  <c r="AU1005" i="9"/>
  <c r="AK1005" i="9" s="1"/>
  <c r="AT1005" i="9"/>
  <c r="H86" i="15"/>
  <c r="C86" i="15"/>
  <c r="C85" i="15"/>
  <c r="K6" i="15"/>
  <c r="R10" i="14"/>
  <c r="C206" i="15"/>
  <c r="C170" i="15"/>
  <c r="H206" i="15"/>
  <c r="C653" i="15"/>
  <c r="C617" i="15"/>
  <c r="C1921" i="15"/>
  <c r="C1814" i="15"/>
  <c r="H1850" i="15"/>
  <c r="C1850" i="15"/>
  <c r="G226" i="14"/>
  <c r="H226" i="14" s="1"/>
  <c r="I225" i="14"/>
  <c r="K225" i="14" s="1"/>
  <c r="I224" i="14"/>
  <c r="K224" i="14" s="1"/>
  <c r="C2567" i="15"/>
  <c r="C2603" i="15"/>
  <c r="AR995" i="9"/>
  <c r="AS995" i="9" s="1"/>
  <c r="AX996" i="9"/>
  <c r="AN996" i="9" s="1"/>
  <c r="AW996" i="9"/>
  <c r="AM996" i="9" s="1"/>
  <c r="AV996" i="9"/>
  <c r="AL996" i="9" s="1"/>
  <c r="AU996" i="9"/>
  <c r="AK996" i="9" s="1"/>
  <c r="AT996" i="9"/>
  <c r="AR1005" i="9"/>
  <c r="AS1005" i="9" s="1"/>
  <c r="D234" i="23"/>
  <c r="D255" i="23"/>
  <c r="C112" i="15"/>
  <c r="D113" i="15" s="1"/>
  <c r="D114" i="15" s="1"/>
  <c r="F114" i="15" s="1"/>
  <c r="V5" i="15" s="1"/>
  <c r="C12" i="15"/>
  <c r="D14" i="15" s="1"/>
  <c r="C120" i="15"/>
  <c r="D121" i="15" s="1"/>
  <c r="C28" i="15"/>
  <c r="D30" i="15" s="1"/>
  <c r="C583" i="15"/>
  <c r="C538" i="15"/>
  <c r="C557" i="15"/>
  <c r="C707" i="15"/>
  <c r="C733" i="15"/>
  <c r="C688" i="15"/>
  <c r="C954" i="15"/>
  <c r="C918" i="15"/>
  <c r="C934" i="15"/>
  <c r="G116" i="14"/>
  <c r="H116" i="14" s="1"/>
  <c r="C1042" i="15"/>
  <c r="C1004" i="15"/>
  <c r="C990" i="15"/>
  <c r="C1404" i="15"/>
  <c r="C1492" i="15"/>
  <c r="I165" i="14"/>
  <c r="K165" i="14" s="1"/>
  <c r="C1384" i="15"/>
  <c r="C1440" i="15"/>
  <c r="C1368" i="15"/>
  <c r="C1454" i="15"/>
  <c r="C1754" i="15"/>
  <c r="C1740" i="15"/>
  <c r="C1704" i="15"/>
  <c r="I197" i="14"/>
  <c r="K197" i="14" s="1"/>
  <c r="C1792" i="15"/>
  <c r="C1684" i="15"/>
  <c r="G196" i="14"/>
  <c r="H196" i="14" s="1"/>
  <c r="C1668" i="15"/>
  <c r="C2036" i="15"/>
  <c r="C2035" i="15"/>
  <c r="H2036" i="15"/>
  <c r="H2156" i="15"/>
  <c r="C2156" i="15"/>
  <c r="C2657" i="15"/>
  <c r="C2638" i="15"/>
  <c r="C2683" i="15"/>
  <c r="C2752" i="15"/>
  <c r="C2732" i="15"/>
  <c r="H2753" i="15"/>
  <c r="C2716" i="15"/>
  <c r="D1739" i="15"/>
  <c r="AR996" i="9"/>
  <c r="AS996" i="9" s="1"/>
  <c r="D228" i="23"/>
  <c r="D193" i="23"/>
  <c r="D254" i="23"/>
  <c r="D250" i="23"/>
  <c r="D233" i="23"/>
  <c r="D216" i="23"/>
  <c r="D995" i="23"/>
  <c r="D988" i="23"/>
  <c r="D967" i="23"/>
  <c r="T17" i="11"/>
  <c r="O17" i="11"/>
  <c r="C50" i="15"/>
  <c r="C121" i="15"/>
  <c r="C14" i="15"/>
  <c r="H50" i="15"/>
  <c r="V25" i="13"/>
  <c r="C1768" i="15"/>
  <c r="D1769" i="15" s="1"/>
  <c r="C1696" i="15"/>
  <c r="G199" i="14"/>
  <c r="H199" i="14" s="1"/>
  <c r="C1756" i="15"/>
  <c r="D1757" i="15" s="1"/>
  <c r="C1717" i="15"/>
  <c r="C1676" i="15"/>
  <c r="R33" i="13"/>
  <c r="G198" i="14"/>
  <c r="H198" i="14" s="1"/>
  <c r="L198" i="14" s="1"/>
  <c r="N198" i="14" s="1"/>
  <c r="C1660" i="15"/>
  <c r="C1782" i="15"/>
  <c r="D1783" i="15" s="1"/>
  <c r="D1784" i="15" s="1"/>
  <c r="F1784" i="15" s="1"/>
  <c r="Y16" i="15" s="1"/>
  <c r="I199" i="14"/>
  <c r="K199" i="14" s="1"/>
  <c r="Q33" i="13"/>
  <c r="I198" i="14"/>
  <c r="K198" i="14" s="1"/>
  <c r="C2062" i="15"/>
  <c r="C1998" i="15"/>
  <c r="D2000" i="15" s="1"/>
  <c r="C2070" i="15"/>
  <c r="C1978" i="15"/>
  <c r="C1962" i="15"/>
  <c r="D1964" i="15" s="1"/>
  <c r="C2488" i="15"/>
  <c r="D2489" i="15" s="1"/>
  <c r="C2533" i="15"/>
  <c r="C2507" i="15"/>
  <c r="G150" i="14"/>
  <c r="H150" i="14" s="1"/>
  <c r="L150" i="14" s="1"/>
  <c r="N150" i="14" s="1"/>
  <c r="C1737" i="15"/>
  <c r="AJ995" i="9"/>
  <c r="AI995" i="9"/>
  <c r="AY1001" i="9"/>
  <c r="AO1001" i="9" s="1"/>
  <c r="AX1001" i="9"/>
  <c r="AN1001" i="9" s="1"/>
  <c r="AW1001" i="9"/>
  <c r="AM1001" i="9" s="1"/>
  <c r="AV1001" i="9"/>
  <c r="AL1001" i="9" s="1"/>
  <c r="AY1004" i="9"/>
  <c r="AO1004" i="9" s="1"/>
  <c r="AX1004" i="9"/>
  <c r="AN1004" i="9" s="1"/>
  <c r="AW1004" i="9"/>
  <c r="AM1004" i="9" s="1"/>
  <c r="AV1004" i="9"/>
  <c r="AL1004" i="9" s="1"/>
  <c r="AU1004" i="9"/>
  <c r="AK1004" i="9" s="1"/>
  <c r="D1038" i="23"/>
  <c r="D1017" i="23"/>
  <c r="C31" i="15"/>
  <c r="C51" i="15"/>
  <c r="C15" i="15"/>
  <c r="D17" i="15" s="1"/>
  <c r="I24" i="14"/>
  <c r="K24" i="14" s="1"/>
  <c r="L24" i="14" s="1"/>
  <c r="N24" i="14" s="1"/>
  <c r="G191" i="14"/>
  <c r="H191" i="14" s="1"/>
  <c r="I189" i="14"/>
  <c r="K189" i="14" s="1"/>
  <c r="C1777" i="15"/>
  <c r="I187" i="14"/>
  <c r="K187" i="14" s="1"/>
  <c r="I190" i="14"/>
  <c r="K190" i="14" s="1"/>
  <c r="C2000" i="15"/>
  <c r="C2071" i="15"/>
  <c r="C1964" i="15"/>
  <c r="H2000" i="15"/>
  <c r="C2489" i="15"/>
  <c r="H2489" i="15"/>
  <c r="AR1001" i="9"/>
  <c r="AS1001" i="9" s="1"/>
  <c r="AR1004" i="9"/>
  <c r="AS1004" i="9" s="1"/>
  <c r="C1661" i="15"/>
  <c r="W33" i="13"/>
  <c r="C1979" i="15"/>
  <c r="C2063" i="15"/>
  <c r="C1999" i="15"/>
  <c r="C1963" i="15"/>
  <c r="R23" i="14"/>
  <c r="G164" i="14"/>
  <c r="H164" i="14" s="1"/>
  <c r="K235" i="14"/>
  <c r="K240" i="14"/>
  <c r="K22" i="15"/>
  <c r="D62" i="15"/>
  <c r="F62" i="15" s="1"/>
  <c r="P5" i="15" s="1"/>
  <c r="H2639" i="15"/>
  <c r="C2639" i="15"/>
  <c r="K209" i="14"/>
  <c r="D133" i="15"/>
  <c r="D134" i="15" s="1"/>
  <c r="F134" i="15" s="1"/>
  <c r="Y5" i="15" s="1"/>
  <c r="D1242" i="23"/>
  <c r="D1265" i="23"/>
  <c r="AB24" i="13"/>
  <c r="I52" i="14"/>
  <c r="K52" i="14" s="1"/>
  <c r="X24" i="13"/>
  <c r="Y24" i="13" s="1"/>
  <c r="H356" i="15"/>
  <c r="C356" i="15"/>
  <c r="C320" i="15"/>
  <c r="H2300" i="15"/>
  <c r="C2371" i="15"/>
  <c r="C2300" i="15"/>
  <c r="C2264" i="15"/>
  <c r="C2456" i="15"/>
  <c r="H2456" i="15"/>
  <c r="C2420" i="15"/>
  <c r="D1277" i="23"/>
  <c r="D1294" i="23"/>
  <c r="D1272" i="23"/>
  <c r="D1237" i="23"/>
  <c r="D1298" i="23"/>
  <c r="D1260" i="23"/>
  <c r="C182" i="15"/>
  <c r="H203" i="15"/>
  <c r="K8" i="15"/>
  <c r="H2039" i="15"/>
  <c r="C2039" i="15"/>
  <c r="D2039" i="15" s="1"/>
  <c r="D1033" i="15"/>
  <c r="D1034" i="15" s="1"/>
  <c r="F1034" i="15" s="1"/>
  <c r="Y11" i="15" s="1"/>
  <c r="K9" i="15"/>
  <c r="H2303" i="15"/>
  <c r="C2282" i="15"/>
  <c r="C2302" i="15"/>
  <c r="K272" i="14"/>
  <c r="C2266" i="15"/>
  <c r="D1621" i="15"/>
  <c r="C166" i="15"/>
  <c r="D1007" i="15"/>
  <c r="D623" i="23"/>
  <c r="D646" i="23"/>
  <c r="D797" i="23"/>
  <c r="D820" i="23"/>
  <c r="D971" i="23"/>
  <c r="D994" i="23"/>
  <c r="D1104" i="23"/>
  <c r="D1125" i="23"/>
  <c r="H53" i="15"/>
  <c r="C52" i="15"/>
  <c r="C16" i="15"/>
  <c r="C32" i="15"/>
  <c r="K7" i="15"/>
  <c r="H353" i="15"/>
  <c r="C352" i="15"/>
  <c r="D353" i="15" s="1"/>
  <c r="C803" i="15"/>
  <c r="C767" i="15"/>
  <c r="H1700" i="15"/>
  <c r="C1771" i="15"/>
  <c r="C1664" i="15"/>
  <c r="C1854" i="15"/>
  <c r="C1942" i="15"/>
  <c r="G212" i="14"/>
  <c r="H212" i="14" s="1"/>
  <c r="I213" i="14"/>
  <c r="K213" i="14" s="1"/>
  <c r="C1890" i="15"/>
  <c r="C1904" i="15"/>
  <c r="C1965" i="15"/>
  <c r="C2001" i="15"/>
  <c r="D2003" i="15" s="1"/>
  <c r="G242" i="14"/>
  <c r="H242" i="14" s="1"/>
  <c r="I241" i="14"/>
  <c r="K241" i="14" s="1"/>
  <c r="C2448" i="15"/>
  <c r="D2450" i="15" s="1"/>
  <c r="C2520" i="15"/>
  <c r="C2428" i="15"/>
  <c r="D2430" i="15" s="1"/>
  <c r="C2512" i="15"/>
  <c r="D2513" i="15" s="1"/>
  <c r="D2514" i="15" s="1"/>
  <c r="F2514" i="15" s="1"/>
  <c r="V21" i="15" s="1"/>
  <c r="C1096" i="15"/>
  <c r="D379" i="23"/>
  <c r="D358" i="23"/>
  <c r="D363" i="23"/>
  <c r="T10" i="11"/>
  <c r="D532" i="23"/>
  <c r="D553" i="23"/>
  <c r="T12" i="11"/>
  <c r="O12" i="11"/>
  <c r="D537" i="23" s="1"/>
  <c r="D633" i="23"/>
  <c r="D656" i="23"/>
  <c r="D830" i="23"/>
  <c r="D807" i="23"/>
  <c r="D1120" i="23"/>
  <c r="D1103" i="23"/>
  <c r="D1086" i="23"/>
  <c r="D1063" i="23"/>
  <c r="D1124" i="23"/>
  <c r="D1098" i="23"/>
  <c r="C17" i="15"/>
  <c r="C53" i="15"/>
  <c r="C838" i="15"/>
  <c r="C857" i="15"/>
  <c r="C883" i="15"/>
  <c r="H2003" i="15"/>
  <c r="C1966" i="15"/>
  <c r="C2002" i="15"/>
  <c r="C2186" i="15"/>
  <c r="C2185" i="15"/>
  <c r="K20" i="15"/>
  <c r="R24" i="14"/>
  <c r="H2606" i="15"/>
  <c r="C2606" i="15"/>
  <c r="C2570" i="15"/>
  <c r="C2833" i="15"/>
  <c r="C2807" i="15"/>
  <c r="D1139" i="15"/>
  <c r="D2507" i="15"/>
  <c r="AR949" i="9"/>
  <c r="AS949" i="9" s="1"/>
  <c r="AR963" i="9"/>
  <c r="AS963" i="9" s="1"/>
  <c r="AR977" i="9"/>
  <c r="AS977" i="9" s="1"/>
  <c r="AR991" i="9"/>
  <c r="AS991" i="9" s="1"/>
  <c r="D603" i="23"/>
  <c r="D582" i="23"/>
  <c r="D669" i="23"/>
  <c r="D690" i="23"/>
  <c r="D889" i="23"/>
  <c r="D946" i="23"/>
  <c r="D929" i="23"/>
  <c r="D912" i="23"/>
  <c r="D950" i="23"/>
  <c r="D924" i="23"/>
  <c r="C162" i="15"/>
  <c r="C262" i="15"/>
  <c r="H1133" i="15"/>
  <c r="C1133" i="15"/>
  <c r="C1169" i="15"/>
  <c r="H1118" i="15"/>
  <c r="H1097" i="15"/>
  <c r="AD29" i="13"/>
  <c r="P29" i="13"/>
  <c r="C1118" i="15"/>
  <c r="C1097" i="15"/>
  <c r="C1130" i="15"/>
  <c r="C1140" i="15"/>
  <c r="C1084" i="15"/>
  <c r="C1154" i="15"/>
  <c r="C1104" i="15"/>
  <c r="C1192" i="15"/>
  <c r="C1068" i="15"/>
  <c r="C1307" i="15"/>
  <c r="C1288" i="15"/>
  <c r="I181" i="14"/>
  <c r="K181" i="14" s="1"/>
  <c r="C1534" i="15"/>
  <c r="C1590" i="15"/>
  <c r="C1518" i="15"/>
  <c r="G207" i="14"/>
  <c r="H207" i="14" s="1"/>
  <c r="I205" i="14"/>
  <c r="K205" i="14" s="1"/>
  <c r="C2212" i="15"/>
  <c r="C2128" i="15"/>
  <c r="C2220" i="15"/>
  <c r="C2112" i="15"/>
  <c r="C2413" i="15"/>
  <c r="D2414" i="15" s="1"/>
  <c r="C2429" i="15"/>
  <c r="C2513" i="15"/>
  <c r="H2633" i="15"/>
  <c r="C2633" i="15"/>
  <c r="H2618" i="15"/>
  <c r="H2597" i="15"/>
  <c r="M39" i="13"/>
  <c r="H2630" i="15"/>
  <c r="L39" i="13"/>
  <c r="C2597" i="15"/>
  <c r="K39" i="13"/>
  <c r="C2630" i="15"/>
  <c r="J39" i="13"/>
  <c r="C2669" i="15"/>
  <c r="H84" i="14"/>
  <c r="C270" i="15"/>
  <c r="D271" i="15" s="1"/>
  <c r="C1117" i="15"/>
  <c r="C1700" i="15"/>
  <c r="C1927" i="15"/>
  <c r="D125" i="23"/>
  <c r="D118" i="23"/>
  <c r="D97" i="23"/>
  <c r="T7" i="11"/>
  <c r="O7" i="11"/>
  <c r="D102" i="23" s="1"/>
  <c r="D321" i="23"/>
  <c r="D342" i="23"/>
  <c r="D362" i="23"/>
  <c r="D385" i="23"/>
  <c r="D482" i="23"/>
  <c r="D459" i="23"/>
  <c r="D559" i="23"/>
  <c r="D536" i="23"/>
  <c r="D685" i="23"/>
  <c r="D668" i="23"/>
  <c r="D651" i="23"/>
  <c r="D689" i="23"/>
  <c r="D628" i="23"/>
  <c r="D663" i="23"/>
  <c r="D859" i="23"/>
  <c r="D863" i="23"/>
  <c r="D842" i="23"/>
  <c r="D837" i="23"/>
  <c r="D802" i="23"/>
  <c r="D825" i="23"/>
  <c r="H683" i="15"/>
  <c r="C680" i="15"/>
  <c r="AD26" i="13"/>
  <c r="P26" i="13"/>
  <c r="M26" i="13"/>
  <c r="L26" i="13"/>
  <c r="C719" i="15"/>
  <c r="K26" i="13"/>
  <c r="H668" i="15"/>
  <c r="C683" i="15"/>
  <c r="C1156" i="15"/>
  <c r="D1157" i="15" s="1"/>
  <c r="C1076" i="15"/>
  <c r="R29" i="13"/>
  <c r="Q29" i="13"/>
  <c r="I134" i="14"/>
  <c r="K134" i="14" s="1"/>
  <c r="C1182" i="15"/>
  <c r="D1183" i="15" s="1"/>
  <c r="D1184" i="15" s="1"/>
  <c r="F1184" i="15" s="1"/>
  <c r="Y12" i="15" s="1"/>
  <c r="C1168" i="15"/>
  <c r="D1169" i="15" s="1"/>
  <c r="G134" i="14"/>
  <c r="H134" i="14" s="1"/>
  <c r="C1060" i="15"/>
  <c r="G135" i="14"/>
  <c r="H135" i="14" s="1"/>
  <c r="L135" i="14" s="1"/>
  <c r="N135" i="14" s="1"/>
  <c r="H1436" i="15"/>
  <c r="C1436" i="15"/>
  <c r="C1435" i="15"/>
  <c r="C1583" i="15"/>
  <c r="H1568" i="15"/>
  <c r="V32" i="13"/>
  <c r="H1547" i="15"/>
  <c r="C1580" i="15"/>
  <c r="AD32" i="13"/>
  <c r="M32" i="13"/>
  <c r="W34" i="13"/>
  <c r="C1811" i="15"/>
  <c r="H2150" i="15"/>
  <c r="C2150" i="15"/>
  <c r="C2221" i="15"/>
  <c r="D2221" i="15" s="1"/>
  <c r="H2339" i="15"/>
  <c r="C2339" i="15"/>
  <c r="C2415" i="15"/>
  <c r="I280" i="14"/>
  <c r="K280" i="14" s="1"/>
  <c r="L280" i="14" s="1"/>
  <c r="N280" i="14" s="1"/>
  <c r="K23" i="15"/>
  <c r="I206" i="14"/>
  <c r="K206" i="14" s="1"/>
  <c r="D122" i="15"/>
  <c r="F122" i="15" s="1"/>
  <c r="W5" i="15" s="1"/>
  <c r="C235" i="15"/>
  <c r="C271" i="15"/>
  <c r="D1019" i="15"/>
  <c r="C1604" i="15"/>
  <c r="C2431" i="15"/>
  <c r="AT949" i="9"/>
  <c r="AT963" i="9"/>
  <c r="AT977" i="9"/>
  <c r="AT991" i="9"/>
  <c r="D37" i="23"/>
  <c r="D14" i="23"/>
  <c r="D211" i="23"/>
  <c r="D188" i="23"/>
  <c r="O10" i="11"/>
  <c r="D495" i="23"/>
  <c r="D516" i="23"/>
  <c r="C466" i="15"/>
  <c r="H503" i="15"/>
  <c r="J26" i="13"/>
  <c r="R14" i="14"/>
  <c r="H953" i="15"/>
  <c r="C932" i="15"/>
  <c r="C916" i="15"/>
  <c r="K29" i="13"/>
  <c r="C1470" i="15"/>
  <c r="C1362" i="15"/>
  <c r="C1398" i="15"/>
  <c r="C1462" i="15"/>
  <c r="J32" i="13"/>
  <c r="G210" i="14"/>
  <c r="H210" i="14" s="1"/>
  <c r="I208" i="14"/>
  <c r="K208" i="14" s="1"/>
  <c r="H2453" i="15"/>
  <c r="C2416" i="15"/>
  <c r="C2452" i="15"/>
  <c r="C164" i="15"/>
  <c r="C178" i="15"/>
  <c r="C198" i="15"/>
  <c r="C316" i="15"/>
  <c r="C1554" i="15"/>
  <c r="C1981" i="15"/>
  <c r="C2114" i="15"/>
  <c r="C2432" i="15"/>
  <c r="C2451" i="15"/>
  <c r="D2453" i="15" s="1"/>
  <c r="D2521" i="15"/>
  <c r="C2788" i="15"/>
  <c r="D24" i="23"/>
  <c r="D47" i="23"/>
  <c r="D221" i="23"/>
  <c r="D198" i="23"/>
  <c r="D303" i="23"/>
  <c r="D315" i="23"/>
  <c r="D337" i="23"/>
  <c r="D280" i="23"/>
  <c r="D320" i="23"/>
  <c r="D341" i="23"/>
  <c r="D489" i="23"/>
  <c r="D511" i="23"/>
  <c r="D494" i="23"/>
  <c r="D454" i="23"/>
  <c r="D515" i="23"/>
  <c r="D477" i="23"/>
  <c r="C29" i="15"/>
  <c r="C13" i="15"/>
  <c r="C49" i="15"/>
  <c r="D50" i="15" s="1"/>
  <c r="H55" i="14"/>
  <c r="L29" i="13"/>
  <c r="K32" i="13"/>
  <c r="C2116" i="15"/>
  <c r="H2153" i="15"/>
  <c r="C2152" i="15"/>
  <c r="C2132" i="15"/>
  <c r="H2336" i="15"/>
  <c r="C2336" i="15"/>
  <c r="C2417" i="15"/>
  <c r="C2453" i="15"/>
  <c r="P39" i="13"/>
  <c r="I204" i="14"/>
  <c r="K204" i="14" s="1"/>
  <c r="K230" i="14"/>
  <c r="L230" i="14" s="1"/>
  <c r="N230" i="14" s="1"/>
  <c r="C332" i="15"/>
  <c r="D389" i="15"/>
  <c r="C482" i="15"/>
  <c r="C502" i="15"/>
  <c r="D1319" i="15"/>
  <c r="H1583" i="15"/>
  <c r="C1982" i="15"/>
  <c r="D184" i="23"/>
  <c r="D205" i="23"/>
  <c r="D189" i="23"/>
  <c r="D212" i="23"/>
  <c r="D814" i="23"/>
  <c r="D793" i="23"/>
  <c r="D821" i="23"/>
  <c r="D798" i="23"/>
  <c r="C348" i="15"/>
  <c r="C312" i="15"/>
  <c r="C652" i="15"/>
  <c r="C616" i="15"/>
  <c r="H1283" i="15"/>
  <c r="H1247" i="15"/>
  <c r="AD30" i="13"/>
  <c r="P30" i="13"/>
  <c r="C1283" i="15"/>
  <c r="H1268" i="15"/>
  <c r="C1247" i="15"/>
  <c r="C1304" i="15"/>
  <c r="C1234" i="15"/>
  <c r="C1218" i="15"/>
  <c r="C1290" i="15"/>
  <c r="C1254" i="15"/>
  <c r="H1886" i="15"/>
  <c r="C1886" i="15"/>
  <c r="C2004" i="15"/>
  <c r="C1968" i="15"/>
  <c r="G228" i="14"/>
  <c r="H228" i="14" s="1"/>
  <c r="I229" i="14"/>
  <c r="K229" i="14" s="1"/>
  <c r="C2040" i="15"/>
  <c r="C2521" i="15"/>
  <c r="C2414" i="15"/>
  <c r="C2753" i="15"/>
  <c r="C2717" i="15"/>
  <c r="C1268" i="15"/>
  <c r="C1984" i="15"/>
  <c r="C2092" i="15"/>
  <c r="C1280" i="15"/>
  <c r="K270" i="14"/>
  <c r="D107" i="15"/>
  <c r="H653" i="15"/>
  <c r="D1469" i="15"/>
  <c r="C2054" i="15"/>
  <c r="V23" i="13"/>
  <c r="C380" i="15"/>
  <c r="C347" i="15"/>
  <c r="H2468" i="15"/>
  <c r="H2480" i="15"/>
  <c r="C2468" i="15"/>
  <c r="H2447" i="15"/>
  <c r="C2480" i="15"/>
  <c r="C2447" i="15"/>
  <c r="I27" i="14"/>
  <c r="K27" i="14" s="1"/>
  <c r="G31" i="14"/>
  <c r="H31" i="14" s="1"/>
  <c r="G68" i="14"/>
  <c r="H68" i="14" s="1"/>
  <c r="I245" i="14"/>
  <c r="K245" i="14" s="1"/>
  <c r="C106" i="15"/>
  <c r="C168" i="15"/>
  <c r="C354" i="15"/>
  <c r="C540" i="15"/>
  <c r="C778" i="15"/>
  <c r="C870" i="15"/>
  <c r="H2483" i="15"/>
  <c r="D124" i="23"/>
  <c r="D101" i="23"/>
  <c r="D292" i="23"/>
  <c r="D271" i="23"/>
  <c r="D710" i="23"/>
  <c r="D733" i="23"/>
  <c r="D880" i="23"/>
  <c r="D908" i="23"/>
  <c r="D885" i="23"/>
  <c r="D901" i="23"/>
  <c r="W23" i="13"/>
  <c r="C432" i="15"/>
  <c r="D433" i="15" s="1"/>
  <c r="D434" i="15" s="1"/>
  <c r="F434" i="15" s="1"/>
  <c r="Y7" i="15" s="1"/>
  <c r="C406" i="15"/>
  <c r="D407" i="15" s="1"/>
  <c r="C2330" i="15"/>
  <c r="C2297" i="15"/>
  <c r="C2369" i="15"/>
  <c r="W37" i="13"/>
  <c r="C2426" i="15"/>
  <c r="C2487" i="15"/>
  <c r="C2532" i="15"/>
  <c r="D2533" i="15" s="1"/>
  <c r="D2534" i="15" s="1"/>
  <c r="F2534" i="15" s="1"/>
  <c r="Y21" i="15" s="1"/>
  <c r="C2506" i="15"/>
  <c r="C2804" i="15"/>
  <c r="C2718" i="15"/>
  <c r="C2790" i="15"/>
  <c r="G22" i="14"/>
  <c r="H22" i="14" s="1"/>
  <c r="G52" i="14"/>
  <c r="H52" i="14" s="1"/>
  <c r="G239" i="14"/>
  <c r="H239" i="14" s="1"/>
  <c r="C107" i="15"/>
  <c r="H230" i="15"/>
  <c r="H347" i="15"/>
  <c r="H368" i="15"/>
  <c r="C427" i="15"/>
  <c r="C484" i="15"/>
  <c r="C554" i="15"/>
  <c r="C685" i="15"/>
  <c r="H836" i="15"/>
  <c r="C1062" i="15"/>
  <c r="D1457" i="15"/>
  <c r="C1702" i="15"/>
  <c r="D2071" i="15"/>
  <c r="D2072" i="15" s="1"/>
  <c r="F2072" i="15" s="1"/>
  <c r="W18" i="15" s="1"/>
  <c r="C2748" i="15"/>
  <c r="C2842" i="15"/>
  <c r="J23" i="13"/>
  <c r="H2183" i="15"/>
  <c r="C2183" i="15"/>
  <c r="J37" i="13"/>
  <c r="I12" i="14"/>
  <c r="K12" i="14" s="1"/>
  <c r="G36" i="14"/>
  <c r="H36" i="14" s="1"/>
  <c r="I55" i="14"/>
  <c r="K55" i="14" s="1"/>
  <c r="G260" i="14"/>
  <c r="H260" i="14" s="1"/>
  <c r="I278" i="14"/>
  <c r="K278" i="14" s="1"/>
  <c r="L278" i="14" s="1"/>
  <c r="N278" i="14" s="1"/>
  <c r="I293" i="14"/>
  <c r="K293" i="14" s="1"/>
  <c r="C197" i="15"/>
  <c r="C218" i="15"/>
  <c r="C383" i="15"/>
  <c r="C686" i="15"/>
  <c r="C1012" i="15"/>
  <c r="C1320" i="15"/>
  <c r="C1718" i="15"/>
  <c r="C1852" i="15"/>
  <c r="C1883" i="15"/>
  <c r="C2003" i="15"/>
  <c r="C2017" i="15"/>
  <c r="D168" i="23"/>
  <c r="D147" i="23"/>
  <c r="D275" i="23"/>
  <c r="D298" i="23"/>
  <c r="D473" i="23"/>
  <c r="D466" i="23"/>
  <c r="D445" i="23"/>
  <c r="D450" i="23"/>
  <c r="D756" i="23"/>
  <c r="D777" i="23"/>
  <c r="D907" i="23"/>
  <c r="D884" i="23"/>
  <c r="D1059" i="23"/>
  <c r="D1054" i="23"/>
  <c r="D1075" i="23"/>
  <c r="D1082" i="23"/>
  <c r="V34" i="13"/>
  <c r="C2033" i="15"/>
  <c r="H2018" i="15"/>
  <c r="H2030" i="15"/>
  <c r="C2018" i="15"/>
  <c r="H1997" i="15"/>
  <c r="J36" i="13"/>
  <c r="K37" i="13"/>
  <c r="C2434" i="15"/>
  <c r="C2454" i="15"/>
  <c r="C2542" i="15"/>
  <c r="C2786" i="15"/>
  <c r="C2785" i="15"/>
  <c r="I22" i="14"/>
  <c r="K22" i="14" s="1"/>
  <c r="I28" i="14"/>
  <c r="K28" i="14" s="1"/>
  <c r="G231" i="14"/>
  <c r="H231" i="14" s="1"/>
  <c r="K16" i="15"/>
  <c r="C80" i="15"/>
  <c r="C204" i="15"/>
  <c r="C326" i="15"/>
  <c r="C334" i="15"/>
  <c r="D336" i="15" s="1"/>
  <c r="C390" i="15"/>
  <c r="C628" i="15"/>
  <c r="H1703" i="15"/>
  <c r="C1733" i="15"/>
  <c r="C1816" i="15"/>
  <c r="H2033" i="15"/>
  <c r="C2056" i="15"/>
  <c r="D2057" i="15" s="1"/>
  <c r="H2168" i="15"/>
  <c r="H2330" i="15"/>
  <c r="C2485" i="15"/>
  <c r="C2568" i="15"/>
  <c r="O9" i="11"/>
  <c r="D894" i="23"/>
  <c r="D917" i="23"/>
  <c r="H1880" i="15"/>
  <c r="C1868" i="15"/>
  <c r="H1847" i="15"/>
  <c r="C1880" i="15"/>
  <c r="C1847" i="15"/>
  <c r="C2392" i="15"/>
  <c r="C2354" i="15"/>
  <c r="G23" i="14"/>
  <c r="H23" i="14" s="1"/>
  <c r="L23" i="14" s="1"/>
  <c r="N23" i="14" s="1"/>
  <c r="I236" i="14"/>
  <c r="K236" i="14" s="1"/>
  <c r="C87" i="15"/>
  <c r="D89" i="15" s="1"/>
  <c r="H197" i="15"/>
  <c r="H218" i="15"/>
  <c r="H383" i="15"/>
  <c r="C404" i="15"/>
  <c r="C535" i="15"/>
  <c r="C912" i="15"/>
  <c r="C1098" i="15"/>
  <c r="C1248" i="15"/>
  <c r="H1718" i="15"/>
  <c r="C1817" i="15"/>
  <c r="H1883" i="15"/>
  <c r="C2284" i="15"/>
  <c r="C2486" i="15"/>
  <c r="C2518" i="15"/>
  <c r="D2519" i="15" s="1"/>
  <c r="D2522" i="15" s="1"/>
  <c r="F2522" i="15" s="1"/>
  <c r="W21" i="15" s="1"/>
  <c r="C2734" i="15"/>
  <c r="D31" i="23"/>
  <c r="D38" i="23"/>
  <c r="D10" i="23"/>
  <c r="D15" i="23"/>
  <c r="D472" i="23"/>
  <c r="D449" i="23"/>
  <c r="D619" i="23"/>
  <c r="D647" i="23"/>
  <c r="D640" i="23"/>
  <c r="D624" i="23"/>
  <c r="D1081" i="23"/>
  <c r="D1058" i="23"/>
  <c r="D1249" i="23"/>
  <c r="D1256" i="23"/>
  <c r="D1233" i="23"/>
  <c r="D1228" i="23"/>
  <c r="L22" i="13"/>
  <c r="M23" i="13"/>
  <c r="J34" i="13"/>
  <c r="K35" i="13"/>
  <c r="L36" i="13"/>
  <c r="C2204" i="15"/>
  <c r="C2190" i="15"/>
  <c r="M37" i="13"/>
  <c r="C2578" i="15"/>
  <c r="C2662" i="15"/>
  <c r="C2598" i="15"/>
  <c r="G54" i="14"/>
  <c r="H54" i="14" s="1"/>
  <c r="L54" i="14" s="1"/>
  <c r="N54" i="14" s="1"/>
  <c r="I231" i="14"/>
  <c r="K231" i="14" s="1"/>
  <c r="G292" i="14"/>
  <c r="H292" i="14" s="1"/>
  <c r="C46" i="15"/>
  <c r="H80" i="15"/>
  <c r="C418" i="15"/>
  <c r="D419" i="15" s="1"/>
  <c r="D422" i="15" s="1"/>
  <c r="F422" i="15" s="1"/>
  <c r="W7" i="15" s="1"/>
  <c r="C478" i="15"/>
  <c r="C618" i="15"/>
  <c r="C1170" i="15"/>
  <c r="C2147" i="15"/>
  <c r="C2242" i="15"/>
  <c r="C2340" i="15"/>
  <c r="C2446" i="15"/>
  <c r="C2519" i="15"/>
  <c r="F25" i="25"/>
  <c r="E25" i="25"/>
  <c r="E204" i="25"/>
  <c r="F29" i="25"/>
  <c r="E29" i="25"/>
  <c r="E7" i="25"/>
  <c r="F157" i="25"/>
  <c r="E157" i="25"/>
  <c r="F31" i="25"/>
  <c r="E31" i="25"/>
  <c r="C443" i="15" l="1"/>
  <c r="D443" i="15" s="1"/>
  <c r="C405" i="15"/>
  <c r="C391" i="15"/>
  <c r="D2543" i="15"/>
  <c r="C2543" i="15"/>
  <c r="C2505" i="15"/>
  <c r="D2505" i="15" s="1"/>
  <c r="C2491" i="15"/>
  <c r="G178" i="14"/>
  <c r="H178" i="14" s="1"/>
  <c r="I176" i="14"/>
  <c r="K176" i="14" s="1"/>
  <c r="I177" i="14"/>
  <c r="K177" i="14" s="1"/>
  <c r="L196" i="14"/>
  <c r="N196" i="14" s="1"/>
  <c r="V20" i="14" s="1"/>
  <c r="D1802" i="15" s="1"/>
  <c r="F1802" i="15" s="1"/>
  <c r="AE16" i="15" s="1"/>
  <c r="AI351" i="9"/>
  <c r="AC375" i="21" s="1"/>
  <c r="AH351" i="9"/>
  <c r="AC374" i="21" s="1"/>
  <c r="AJ351" i="9"/>
  <c r="AC376" i="21" s="1"/>
  <c r="AI342" i="9"/>
  <c r="T375" i="21" s="1"/>
  <c r="AH342" i="9"/>
  <c r="T374" i="21" s="1"/>
  <c r="AJ342" i="9"/>
  <c r="T376" i="21" s="1"/>
  <c r="AJ79" i="9"/>
  <c r="AK82" i="21" s="1"/>
  <c r="AI79" i="9"/>
  <c r="AK81" i="21" s="1"/>
  <c r="AH79" i="9"/>
  <c r="AK80" i="21" s="1"/>
  <c r="C11" i="15"/>
  <c r="W22" i="13"/>
  <c r="D1723" i="15"/>
  <c r="F1723" i="15" s="1"/>
  <c r="Q16" i="15" s="1"/>
  <c r="L52" i="14"/>
  <c r="N52" i="14" s="1"/>
  <c r="U11" i="14" s="1"/>
  <c r="D451" i="15" s="1"/>
  <c r="F451" i="15" s="1"/>
  <c r="AD7" i="15" s="1"/>
  <c r="AJ963" i="9"/>
  <c r="AI963" i="9"/>
  <c r="AH963" i="9"/>
  <c r="I81" i="14"/>
  <c r="K81" i="14" s="1"/>
  <c r="I80" i="14"/>
  <c r="K80" i="14" s="1"/>
  <c r="G82" i="14"/>
  <c r="H82" i="14" s="1"/>
  <c r="D999" i="23"/>
  <c r="D1037" i="23"/>
  <c r="D1033" i="23"/>
  <c r="D976" i="23"/>
  <c r="D1016" i="23"/>
  <c r="D1011" i="23"/>
  <c r="Y35" i="13"/>
  <c r="X35" i="13"/>
  <c r="G229" i="14"/>
  <c r="H229" i="14" s="1"/>
  <c r="L229" i="14" s="1"/>
  <c r="N229" i="14" s="1"/>
  <c r="AC35" i="13"/>
  <c r="AB35" i="13"/>
  <c r="I228" i="14"/>
  <c r="K228" i="14" s="1"/>
  <c r="H2789" i="15"/>
  <c r="C2789" i="15"/>
  <c r="AJ824" i="9"/>
  <c r="AH824" i="9"/>
  <c r="AI824" i="9"/>
  <c r="AI879" i="9"/>
  <c r="AJ879" i="9"/>
  <c r="AH879" i="9"/>
  <c r="AJ832" i="9"/>
  <c r="AI832" i="9"/>
  <c r="AH832" i="9"/>
  <c r="AI753" i="9"/>
  <c r="AH753" i="9"/>
  <c r="AJ753" i="9"/>
  <c r="AH708" i="9"/>
  <c r="AJ708" i="9"/>
  <c r="AI708" i="9"/>
  <c r="AJ822" i="9"/>
  <c r="AH822" i="9"/>
  <c r="AI822" i="9"/>
  <c r="AJ790" i="9"/>
  <c r="AI790" i="9"/>
  <c r="AH790" i="9"/>
  <c r="AJ761" i="9"/>
  <c r="AI761" i="9"/>
  <c r="AH761" i="9"/>
  <c r="AI706" i="9"/>
  <c r="AJ706" i="9"/>
  <c r="AH706" i="9"/>
  <c r="AJ664" i="9"/>
  <c r="AI664" i="9"/>
  <c r="AH664" i="9"/>
  <c r="AJ653" i="9"/>
  <c r="AI653" i="9"/>
  <c r="AH653" i="9"/>
  <c r="AJ654" i="9"/>
  <c r="AI654" i="9"/>
  <c r="AH654" i="9"/>
  <c r="AJ688" i="9"/>
  <c r="AI688" i="9"/>
  <c r="AH688" i="9"/>
  <c r="AJ716" i="9"/>
  <c r="AI716" i="9"/>
  <c r="AH716" i="9"/>
  <c r="AH542" i="9"/>
  <c r="AJ542" i="9"/>
  <c r="AI542" i="9"/>
  <c r="AJ583" i="9"/>
  <c r="AI583" i="9"/>
  <c r="AH583" i="9"/>
  <c r="AJ456" i="9"/>
  <c r="AI456" i="9"/>
  <c r="AH456" i="9"/>
  <c r="AJ530" i="9"/>
  <c r="AH530" i="9"/>
  <c r="AI530" i="9"/>
  <c r="AJ492" i="9"/>
  <c r="AI492" i="9"/>
  <c r="AH492" i="9"/>
  <c r="AH354" i="9"/>
  <c r="AF374" i="21" s="1"/>
  <c r="AJ354" i="9"/>
  <c r="AF376" i="21" s="1"/>
  <c r="AI354" i="9"/>
  <c r="AF375" i="21" s="1"/>
  <c r="AH401" i="9"/>
  <c r="AM416" i="21" s="1"/>
  <c r="AJ401" i="9"/>
  <c r="AM418" i="21" s="1"/>
  <c r="AI401" i="9"/>
  <c r="AM417" i="21" s="1"/>
  <c r="AJ297" i="9"/>
  <c r="O334" i="21" s="1"/>
  <c r="AI297" i="9"/>
  <c r="O333" i="21" s="1"/>
  <c r="AH297" i="9"/>
  <c r="O332" i="21" s="1"/>
  <c r="AI436" i="9"/>
  <c r="AH436" i="9"/>
  <c r="AJ436" i="9"/>
  <c r="AJ153" i="9"/>
  <c r="AE166" i="21" s="1"/>
  <c r="AI153" i="9"/>
  <c r="AE165" i="21" s="1"/>
  <c r="AH153" i="9"/>
  <c r="AE164" i="21" s="1"/>
  <c r="AH119" i="9"/>
  <c r="AK122" i="21" s="1"/>
  <c r="AJ119" i="9"/>
  <c r="AK124" i="21" s="1"/>
  <c r="AI119" i="9"/>
  <c r="AK123" i="21" s="1"/>
  <c r="AJ252" i="9"/>
  <c r="J292" i="21" s="1"/>
  <c r="AH252" i="9"/>
  <c r="J290" i="21" s="1"/>
  <c r="AI252" i="9"/>
  <c r="J291" i="21" s="1"/>
  <c r="AJ152" i="9"/>
  <c r="AD166" i="21" s="1"/>
  <c r="AI152" i="9"/>
  <c r="AD165" i="21" s="1"/>
  <c r="AH152" i="9"/>
  <c r="AD164" i="21" s="1"/>
  <c r="AJ82" i="9"/>
  <c r="AN82" i="21" s="1"/>
  <c r="AI82" i="9"/>
  <c r="AN81" i="21" s="1"/>
  <c r="AH82" i="9"/>
  <c r="AN80" i="21" s="1"/>
  <c r="AJ283" i="9"/>
  <c r="AO292" i="21" s="1"/>
  <c r="AI283" i="9"/>
  <c r="AO291" i="21" s="1"/>
  <c r="AH283" i="9"/>
  <c r="AO290" i="21" s="1"/>
  <c r="AI259" i="9"/>
  <c r="Q291" i="21" s="1"/>
  <c r="AH259" i="9"/>
  <c r="Q290" i="21" s="1"/>
  <c r="AJ259" i="9"/>
  <c r="Q292" i="21" s="1"/>
  <c r="AJ231" i="9"/>
  <c r="AC250" i="21" s="1"/>
  <c r="AI231" i="9"/>
  <c r="AC249" i="21" s="1"/>
  <c r="AH231" i="9"/>
  <c r="AC248" i="21" s="1"/>
  <c r="AJ188" i="9"/>
  <c r="Z208" i="21" s="1"/>
  <c r="AI188" i="9"/>
  <c r="Z207" i="21" s="1"/>
  <c r="AH188" i="9"/>
  <c r="Z206" i="21" s="1"/>
  <c r="AJ22" i="9"/>
  <c r="T40" i="21" s="1"/>
  <c r="AI22" i="9"/>
  <c r="T39" i="21" s="1"/>
  <c r="AH22" i="9"/>
  <c r="T38" i="21" s="1"/>
  <c r="AJ235" i="9"/>
  <c r="AG250" i="21" s="1"/>
  <c r="AI235" i="9"/>
  <c r="AG249" i="21" s="1"/>
  <c r="AH235" i="9"/>
  <c r="AG248" i="21" s="1"/>
  <c r="AJ33" i="9"/>
  <c r="AE40" i="21" s="1"/>
  <c r="AI33" i="9"/>
  <c r="AE39" i="21" s="1"/>
  <c r="AH33" i="9"/>
  <c r="AE38" i="21" s="1"/>
  <c r="D25" i="22"/>
  <c r="E49" i="18"/>
  <c r="D55" i="24" s="1"/>
  <c r="F99" i="10"/>
  <c r="E99" i="10"/>
  <c r="D99" i="10"/>
  <c r="C99" i="10"/>
  <c r="B99" i="10"/>
  <c r="G99" i="10"/>
  <c r="K99" i="10"/>
  <c r="G101" i="10"/>
  <c r="F101" i="10"/>
  <c r="E101" i="10"/>
  <c r="C101" i="10"/>
  <c r="B101" i="10"/>
  <c r="K101" i="10"/>
  <c r="D101" i="10"/>
  <c r="D14" i="10"/>
  <c r="C14" i="10"/>
  <c r="B14" i="10"/>
  <c r="K14" i="10"/>
  <c r="G14" i="10"/>
  <c r="F14" i="10"/>
  <c r="E14" i="10"/>
  <c r="D98" i="10"/>
  <c r="C98" i="10"/>
  <c r="B98" i="10"/>
  <c r="K98" i="10"/>
  <c r="F98" i="10"/>
  <c r="E98" i="10"/>
  <c r="G98" i="10"/>
  <c r="B97" i="10"/>
  <c r="K97" i="10"/>
  <c r="E97" i="10"/>
  <c r="D97" i="10"/>
  <c r="C97" i="10"/>
  <c r="G97" i="10"/>
  <c r="F97" i="10"/>
  <c r="K89" i="10"/>
  <c r="C89" i="10"/>
  <c r="B89" i="10"/>
  <c r="G89" i="10"/>
  <c r="F89" i="10"/>
  <c r="E89" i="10"/>
  <c r="D89" i="10"/>
  <c r="K88" i="10"/>
  <c r="G88" i="10"/>
  <c r="F88" i="10"/>
  <c r="E88" i="10"/>
  <c r="D88" i="10"/>
  <c r="B88" i="10"/>
  <c r="C88" i="10"/>
  <c r="AI10" i="9"/>
  <c r="H39" i="21" s="1"/>
  <c r="AH10" i="9"/>
  <c r="H38" i="21" s="1"/>
  <c r="AJ10" i="9"/>
  <c r="H40" i="21" s="1"/>
  <c r="AJ20" i="9"/>
  <c r="R40" i="21" s="1"/>
  <c r="AH20" i="9"/>
  <c r="R38" i="21" s="1"/>
  <c r="AI20" i="9"/>
  <c r="R39" i="21" s="1"/>
  <c r="D215" i="22"/>
  <c r="E215" i="22" s="1"/>
  <c r="H214" i="22" s="1"/>
  <c r="I214" i="22" s="1"/>
  <c r="E84" i="18"/>
  <c r="E176" i="24" s="1"/>
  <c r="AI24" i="9"/>
  <c r="V39" i="21" s="1"/>
  <c r="AH24" i="9"/>
  <c r="V38" i="21" s="1"/>
  <c r="AJ24" i="9"/>
  <c r="V40" i="21" s="1"/>
  <c r="AJ775" i="9"/>
  <c r="AH775" i="9"/>
  <c r="AI775" i="9"/>
  <c r="AJ580" i="9"/>
  <c r="AI580" i="9"/>
  <c r="AH580" i="9"/>
  <c r="AJ598" i="9"/>
  <c r="AH598" i="9"/>
  <c r="AI598" i="9"/>
  <c r="AJ367" i="9"/>
  <c r="E418" i="21" s="1"/>
  <c r="AI367" i="9"/>
  <c r="E417" i="21" s="1"/>
  <c r="AH367" i="9"/>
  <c r="E416" i="21" s="1"/>
  <c r="AI273" i="9"/>
  <c r="AE291" i="21" s="1"/>
  <c r="AH273" i="9"/>
  <c r="AE290" i="21" s="1"/>
  <c r="AJ273" i="9"/>
  <c r="AE292" i="21" s="1"/>
  <c r="K11" i="10"/>
  <c r="G11" i="10"/>
  <c r="E11" i="10"/>
  <c r="D11" i="10"/>
  <c r="C11" i="10"/>
  <c r="B11" i="10"/>
  <c r="F11" i="10"/>
  <c r="L228" i="14"/>
  <c r="N228" i="14" s="1"/>
  <c r="V22" i="14" s="1"/>
  <c r="D2102" i="15" s="1"/>
  <c r="F2102" i="15" s="1"/>
  <c r="AE18" i="15" s="1"/>
  <c r="AH977" i="9"/>
  <c r="AJ977" i="9"/>
  <c r="AI977" i="9"/>
  <c r="C611" i="15"/>
  <c r="W26" i="13"/>
  <c r="D1004" i="23"/>
  <c r="D981" i="23"/>
  <c r="C956" i="15"/>
  <c r="C920" i="15"/>
  <c r="H956" i="15"/>
  <c r="AI791" i="9"/>
  <c r="AH791" i="9"/>
  <c r="AJ791" i="9"/>
  <c r="D2173" i="15"/>
  <c r="F2173" i="15" s="1"/>
  <c r="Q19" i="15" s="1"/>
  <c r="D2023" i="15"/>
  <c r="F2023" i="15" s="1"/>
  <c r="Q18" i="15" s="1"/>
  <c r="L22" i="14"/>
  <c r="N22" i="14" s="1"/>
  <c r="I36" i="14"/>
  <c r="K36" i="14" s="1"/>
  <c r="Y23" i="13"/>
  <c r="X23" i="13"/>
  <c r="AB23" i="13"/>
  <c r="G37" i="14"/>
  <c r="H37" i="14" s="1"/>
  <c r="L37" i="14" s="1"/>
  <c r="N37" i="14" s="1"/>
  <c r="AC23" i="13"/>
  <c r="C610" i="15"/>
  <c r="I86" i="14"/>
  <c r="K86" i="14" s="1"/>
  <c r="G86" i="14"/>
  <c r="H86" i="14" s="1"/>
  <c r="L86" i="14" s="1"/>
  <c r="N86" i="14" s="1"/>
  <c r="C706" i="15"/>
  <c r="D707" i="15" s="1"/>
  <c r="C732" i="15"/>
  <c r="D733" i="15" s="1"/>
  <c r="D734" i="15" s="1"/>
  <c r="F734" i="15" s="1"/>
  <c r="Y9" i="15" s="1"/>
  <c r="I87" i="14"/>
  <c r="K87" i="14" s="1"/>
  <c r="C687" i="15"/>
  <c r="D689" i="15" s="1"/>
  <c r="C718" i="15"/>
  <c r="D719" i="15" s="1"/>
  <c r="D722" i="15" s="1"/>
  <c r="F722" i="15" s="1"/>
  <c r="W9" i="15" s="1"/>
  <c r="C667" i="15"/>
  <c r="G87" i="14"/>
  <c r="H87" i="14" s="1"/>
  <c r="L87" i="14" s="1"/>
  <c r="N87" i="14" s="1"/>
  <c r="C646" i="15"/>
  <c r="C626" i="15"/>
  <c r="R26" i="13"/>
  <c r="Q26" i="13"/>
  <c r="AJ949" i="9"/>
  <c r="AI949" i="9"/>
  <c r="AH949" i="9"/>
  <c r="L134" i="14"/>
  <c r="N134" i="14" s="1"/>
  <c r="H650" i="15"/>
  <c r="C721" i="15"/>
  <c r="D721" i="15" s="1"/>
  <c r="C650" i="15"/>
  <c r="C614" i="15"/>
  <c r="G290" i="14"/>
  <c r="H290" i="14" s="1"/>
  <c r="I288" i="14"/>
  <c r="K288" i="14" s="1"/>
  <c r="I289" i="14"/>
  <c r="K289" i="14" s="1"/>
  <c r="G197" i="14"/>
  <c r="H197" i="14" s="1"/>
  <c r="L197" i="14" s="1"/>
  <c r="N197" i="14" s="1"/>
  <c r="I196" i="14"/>
  <c r="K196" i="14" s="1"/>
  <c r="AC33" i="13"/>
  <c r="AB33" i="13"/>
  <c r="X33" i="13"/>
  <c r="Y33" i="13" s="1"/>
  <c r="C1681" i="15"/>
  <c r="D1683" i="15" s="1"/>
  <c r="C1701" i="15"/>
  <c r="D1703" i="15" s="1"/>
  <c r="D1711" i="15" s="1"/>
  <c r="F1711" i="15" s="1"/>
  <c r="C1665" i="15"/>
  <c r="D1667" i="15" s="1"/>
  <c r="I200" i="14"/>
  <c r="K200" i="14" s="1"/>
  <c r="L200" i="14" s="1"/>
  <c r="N200" i="14" s="1"/>
  <c r="D972" i="23"/>
  <c r="C461" i="15"/>
  <c r="W25" i="13"/>
  <c r="I157" i="14"/>
  <c r="K157" i="14" s="1"/>
  <c r="I155" i="14"/>
  <c r="K155" i="14" s="1"/>
  <c r="C1477" i="15"/>
  <c r="G159" i="14"/>
  <c r="H159" i="14" s="1"/>
  <c r="I156" i="14"/>
  <c r="K156" i="14" s="1"/>
  <c r="I158" i="14"/>
  <c r="K158" i="14" s="1"/>
  <c r="D974" i="15"/>
  <c r="F974" i="15" s="1"/>
  <c r="R11" i="15" s="1"/>
  <c r="AJ998" i="9"/>
  <c r="AI998" i="9"/>
  <c r="AH998" i="9"/>
  <c r="AJ930" i="9"/>
  <c r="AH930" i="9"/>
  <c r="AI930" i="9"/>
  <c r="AH971" i="9"/>
  <c r="AJ971" i="9"/>
  <c r="AI971" i="9"/>
  <c r="C913" i="15"/>
  <c r="D914" i="15" s="1"/>
  <c r="C1013" i="15"/>
  <c r="C949" i="15"/>
  <c r="C929" i="15"/>
  <c r="D930" i="15" s="1"/>
  <c r="AJ934" i="9"/>
  <c r="AI934" i="9"/>
  <c r="AH934" i="9"/>
  <c r="AJ810" i="9"/>
  <c r="AH810" i="9"/>
  <c r="AI810" i="9"/>
  <c r="AJ931" i="9"/>
  <c r="AH931" i="9"/>
  <c r="AI931" i="9"/>
  <c r="AI983" i="9"/>
  <c r="AJ983" i="9"/>
  <c r="AH983" i="9"/>
  <c r="AJ843" i="9"/>
  <c r="AI843" i="9"/>
  <c r="AH843" i="9"/>
  <c r="AJ818" i="9"/>
  <c r="AI818" i="9"/>
  <c r="AH818" i="9"/>
  <c r="AH750" i="9"/>
  <c r="AJ750" i="9"/>
  <c r="AI750" i="9"/>
  <c r="AJ831" i="9"/>
  <c r="AI831" i="9"/>
  <c r="AH831" i="9"/>
  <c r="AJ776" i="9"/>
  <c r="AI776" i="9"/>
  <c r="AH776" i="9"/>
  <c r="AJ804" i="9"/>
  <c r="AI804" i="9"/>
  <c r="AH804" i="9"/>
  <c r="AJ817" i="9"/>
  <c r="AI817" i="9"/>
  <c r="AH817" i="9"/>
  <c r="AJ737" i="9"/>
  <c r="AH737" i="9"/>
  <c r="AI737" i="9"/>
  <c r="AJ641" i="9"/>
  <c r="AI641" i="9"/>
  <c r="AH641" i="9"/>
  <c r="AJ594" i="9"/>
  <c r="AI594" i="9"/>
  <c r="AH594" i="9"/>
  <c r="AJ636" i="9"/>
  <c r="AI636" i="9"/>
  <c r="AH636" i="9"/>
  <c r="AJ696" i="9"/>
  <c r="AI696" i="9"/>
  <c r="AH696" i="9"/>
  <c r="AH490" i="9"/>
  <c r="AJ490" i="9"/>
  <c r="AI490" i="9"/>
  <c r="AJ467" i="9"/>
  <c r="AH467" i="9"/>
  <c r="AI467" i="9"/>
  <c r="AJ529" i="9"/>
  <c r="AI529" i="9"/>
  <c r="AH529" i="9"/>
  <c r="AJ477" i="9"/>
  <c r="AI477" i="9"/>
  <c r="AH477" i="9"/>
  <c r="AH384" i="9"/>
  <c r="V416" i="21" s="1"/>
  <c r="AJ384" i="9"/>
  <c r="V418" i="21" s="1"/>
  <c r="AI384" i="9"/>
  <c r="V417" i="21" s="1"/>
  <c r="AI323" i="9"/>
  <c r="AO333" i="21" s="1"/>
  <c r="AH323" i="9"/>
  <c r="AO332" i="21" s="1"/>
  <c r="AJ323" i="9"/>
  <c r="AO334" i="21" s="1"/>
  <c r="AJ83" i="9"/>
  <c r="AO82" i="21" s="1"/>
  <c r="AI83" i="9"/>
  <c r="AO81" i="21" s="1"/>
  <c r="AH83" i="9"/>
  <c r="AO80" i="21" s="1"/>
  <c r="D37" i="22"/>
  <c r="E39" i="22" s="1"/>
  <c r="H36" i="22" s="1"/>
  <c r="E51" i="18"/>
  <c r="AH284" i="9"/>
  <c r="AP290" i="21" s="1"/>
  <c r="AJ284" i="9"/>
  <c r="AP292" i="21" s="1"/>
  <c r="AI284" i="9"/>
  <c r="AP291" i="21" s="1"/>
  <c r="AH312" i="9"/>
  <c r="AD332" i="21" s="1"/>
  <c r="AJ312" i="9"/>
  <c r="AD334" i="21" s="1"/>
  <c r="AI312" i="9"/>
  <c r="AD333" i="21" s="1"/>
  <c r="D55" i="22"/>
  <c r="E55" i="22" s="1"/>
  <c r="H54" i="22" s="1"/>
  <c r="I54" i="22" s="1"/>
  <c r="E54" i="18"/>
  <c r="AJ191" i="9"/>
  <c r="AC208" i="21" s="1"/>
  <c r="AI191" i="9"/>
  <c r="AC207" i="21" s="1"/>
  <c r="AH191" i="9"/>
  <c r="AC206" i="21" s="1"/>
  <c r="AJ146" i="9"/>
  <c r="X166" i="21" s="1"/>
  <c r="AI146" i="9"/>
  <c r="X165" i="21" s="1"/>
  <c r="AH146" i="9"/>
  <c r="X164" i="21" s="1"/>
  <c r="AI239" i="9"/>
  <c r="AK249" i="21" s="1"/>
  <c r="AJ239" i="9"/>
  <c r="AK250" i="21" s="1"/>
  <c r="AH239" i="9"/>
  <c r="AK248" i="21" s="1"/>
  <c r="AH242" i="9"/>
  <c r="AN248" i="21" s="1"/>
  <c r="AJ242" i="9"/>
  <c r="AN250" i="21" s="1"/>
  <c r="AI242" i="9"/>
  <c r="AN249" i="21" s="1"/>
  <c r="AJ159" i="9"/>
  <c r="AK166" i="21" s="1"/>
  <c r="AI159" i="9"/>
  <c r="AK165" i="21" s="1"/>
  <c r="AH159" i="9"/>
  <c r="AK164" i="21" s="1"/>
  <c r="AJ131" i="9"/>
  <c r="I166" i="21" s="1"/>
  <c r="AI131" i="9"/>
  <c r="I165" i="21" s="1"/>
  <c r="AH131" i="9"/>
  <c r="I164" i="21" s="1"/>
  <c r="AJ103" i="9"/>
  <c r="U124" i="21" s="1"/>
  <c r="AI103" i="9"/>
  <c r="U123" i="21" s="1"/>
  <c r="AH103" i="9"/>
  <c r="U122" i="21" s="1"/>
  <c r="D31" i="22"/>
  <c r="E50" i="18"/>
  <c r="D56" i="24" s="1"/>
  <c r="D194" i="22"/>
  <c r="E194" i="22" s="1"/>
  <c r="H193" i="22" s="1"/>
  <c r="E79" i="18"/>
  <c r="E169" i="24" s="1"/>
  <c r="AJ9" i="9"/>
  <c r="G40" i="21" s="1"/>
  <c r="AI9" i="9"/>
  <c r="G39" i="21" s="1"/>
  <c r="AH9" i="9"/>
  <c r="G38" i="21" s="1"/>
  <c r="G38" i="10"/>
  <c r="F38" i="10"/>
  <c r="E38" i="10"/>
  <c r="B38" i="10"/>
  <c r="D38" i="10"/>
  <c r="C38" i="10"/>
  <c r="K38" i="10"/>
  <c r="D21" i="10"/>
  <c r="C21" i="10"/>
  <c r="B21" i="10"/>
  <c r="G21" i="10"/>
  <c r="F21" i="10"/>
  <c r="E21" i="10"/>
  <c r="K21" i="10"/>
  <c r="G23" i="10"/>
  <c r="F23" i="10"/>
  <c r="E23" i="10"/>
  <c r="D23" i="10"/>
  <c r="C23" i="10"/>
  <c r="K23" i="10"/>
  <c r="B23" i="10"/>
  <c r="G45" i="10"/>
  <c r="F45" i="10"/>
  <c r="E45" i="10"/>
  <c r="K45" i="10"/>
  <c r="D45" i="10"/>
  <c r="B45" i="10"/>
  <c r="C45" i="10"/>
  <c r="B6" i="10"/>
  <c r="K6" i="10"/>
  <c r="D6" i="10"/>
  <c r="C6" i="10"/>
  <c r="F6" i="10"/>
  <c r="G6" i="10"/>
  <c r="E6" i="10"/>
  <c r="B104" i="10"/>
  <c r="K104" i="10"/>
  <c r="G104" i="10"/>
  <c r="F104" i="10"/>
  <c r="E104" i="10"/>
  <c r="D104" i="10"/>
  <c r="C104" i="10"/>
  <c r="K96" i="10"/>
  <c r="G96" i="10"/>
  <c r="F96" i="10"/>
  <c r="E96" i="10"/>
  <c r="D96" i="10"/>
  <c r="C96" i="10"/>
  <c r="B96" i="10"/>
  <c r="K95" i="10"/>
  <c r="G95" i="10"/>
  <c r="C95" i="10"/>
  <c r="B95" i="10"/>
  <c r="D95" i="10"/>
  <c r="F95" i="10"/>
  <c r="E95" i="10"/>
  <c r="AH63" i="9"/>
  <c r="U80" i="21" s="1"/>
  <c r="AJ63" i="9"/>
  <c r="U82" i="21" s="1"/>
  <c r="AI63" i="9"/>
  <c r="U81" i="21" s="1"/>
  <c r="D219" i="22"/>
  <c r="E219" i="22" s="1"/>
  <c r="H218" i="22" s="1"/>
  <c r="I218" i="22" s="1"/>
  <c r="E85" i="18"/>
  <c r="E177" i="24" s="1"/>
  <c r="F64" i="10"/>
  <c r="E64" i="10"/>
  <c r="D64" i="10"/>
  <c r="C64" i="10"/>
  <c r="B64" i="10"/>
  <c r="G64" i="10"/>
  <c r="K64" i="10"/>
  <c r="L231" i="14"/>
  <c r="N231" i="14" s="1"/>
  <c r="L36" i="14"/>
  <c r="N36" i="14" s="1"/>
  <c r="U10" i="14" s="1"/>
  <c r="D301" i="15" s="1"/>
  <c r="F301" i="15" s="1"/>
  <c r="AD6" i="15" s="1"/>
  <c r="D2461" i="15"/>
  <c r="F2461" i="15" s="1"/>
  <c r="X34" i="13"/>
  <c r="Y34" i="13" s="1"/>
  <c r="G213" i="14"/>
  <c r="H213" i="14" s="1"/>
  <c r="L213" i="14" s="1"/>
  <c r="N213" i="14" s="1"/>
  <c r="AC34" i="13"/>
  <c r="AB34" i="13"/>
  <c r="I212" i="14"/>
  <c r="K212" i="14" s="1"/>
  <c r="C620" i="15"/>
  <c r="C656" i="15"/>
  <c r="H656" i="15"/>
  <c r="C1100" i="15"/>
  <c r="C1064" i="15"/>
  <c r="H1100" i="15"/>
  <c r="C1171" i="15"/>
  <c r="D1171" i="15" s="1"/>
  <c r="D1172" i="15" s="1"/>
  <c r="F1172" i="15" s="1"/>
  <c r="W12" i="15" s="1"/>
  <c r="I65" i="14"/>
  <c r="K65" i="14" s="1"/>
  <c r="G66" i="14"/>
  <c r="H66" i="14" s="1"/>
  <c r="I64" i="14"/>
  <c r="K64" i="14" s="1"/>
  <c r="D1424" i="15"/>
  <c r="F1424" i="15" s="1"/>
  <c r="R14" i="15" s="1"/>
  <c r="AJ993" i="9"/>
  <c r="AI993" i="9"/>
  <c r="AH993" i="9"/>
  <c r="C1249" i="15"/>
  <c r="D1250" i="15" s="1"/>
  <c r="C1313" i="15"/>
  <c r="D1313" i="15" s="1"/>
  <c r="D1314" i="15" s="1"/>
  <c r="F1314" i="15" s="1"/>
  <c r="V13" i="15" s="1"/>
  <c r="C1229" i="15"/>
  <c r="D1230" i="15" s="1"/>
  <c r="C1213" i="15"/>
  <c r="H2492" i="15"/>
  <c r="C2492" i="15"/>
  <c r="C931" i="15"/>
  <c r="D933" i="15" s="1"/>
  <c r="C951" i="15"/>
  <c r="D953" i="15" s="1"/>
  <c r="C915" i="15"/>
  <c r="D917" i="15" s="1"/>
  <c r="I120" i="14"/>
  <c r="K120" i="14" s="1"/>
  <c r="L120" i="14" s="1"/>
  <c r="N120" i="14" s="1"/>
  <c r="AH877" i="9"/>
  <c r="AJ877" i="9"/>
  <c r="AI877" i="9"/>
  <c r="AI805" i="9"/>
  <c r="AH805" i="9"/>
  <c r="AJ805" i="9"/>
  <c r="AH802" i="9"/>
  <c r="AJ802" i="9"/>
  <c r="AI802" i="9"/>
  <c r="AJ987" i="9"/>
  <c r="AI987" i="9"/>
  <c r="AH987" i="9"/>
  <c r="AJ978" i="9"/>
  <c r="AI978" i="9"/>
  <c r="AH978" i="9"/>
  <c r="AH896" i="9"/>
  <c r="AI896" i="9"/>
  <c r="AJ896" i="9"/>
  <c r="AI969" i="9"/>
  <c r="AH969" i="9"/>
  <c r="AJ969" i="9"/>
  <c r="AI683" i="9"/>
  <c r="AH683" i="9"/>
  <c r="AJ683" i="9"/>
  <c r="AJ727" i="9"/>
  <c r="AI727" i="9"/>
  <c r="AH727" i="9"/>
  <c r="AI873" i="9"/>
  <c r="AH873" i="9"/>
  <c r="AJ873" i="9"/>
  <c r="AJ752" i="9"/>
  <c r="AI752" i="9"/>
  <c r="AH752" i="9"/>
  <c r="AJ695" i="9"/>
  <c r="AH695" i="9"/>
  <c r="AI695" i="9"/>
  <c r="AJ749" i="9"/>
  <c r="AI749" i="9"/>
  <c r="AH749" i="9"/>
  <c r="AJ651" i="9"/>
  <c r="AI651" i="9"/>
  <c r="AH651" i="9"/>
  <c r="AJ633" i="9"/>
  <c r="AI633" i="9"/>
  <c r="AH633" i="9"/>
  <c r="AJ551" i="9"/>
  <c r="AI551" i="9"/>
  <c r="AH551" i="9"/>
  <c r="AJ543" i="9"/>
  <c r="AI543" i="9"/>
  <c r="AH543" i="9"/>
  <c r="AI468" i="9"/>
  <c r="AH468" i="9"/>
  <c r="AJ468" i="9"/>
  <c r="AI426" i="9"/>
  <c r="AH426" i="9"/>
  <c r="AJ426" i="9"/>
  <c r="AJ569" i="9"/>
  <c r="AI569" i="9"/>
  <c r="AH569" i="9"/>
  <c r="AH528" i="9"/>
  <c r="AJ528" i="9"/>
  <c r="AI528" i="9"/>
  <c r="AJ505" i="9"/>
  <c r="AI505" i="9"/>
  <c r="AH505" i="9"/>
  <c r="AJ435" i="9"/>
  <c r="AI435" i="9"/>
  <c r="AH435" i="9"/>
  <c r="AH408" i="9"/>
  <c r="AJ408" i="9"/>
  <c r="AI408" i="9"/>
  <c r="AH387" i="9"/>
  <c r="Y416" i="21" s="1"/>
  <c r="AJ387" i="9"/>
  <c r="Y418" i="21" s="1"/>
  <c r="AI387" i="9"/>
  <c r="Y417" i="21" s="1"/>
  <c r="AJ439" i="9"/>
  <c r="AH439" i="9"/>
  <c r="AI439" i="9"/>
  <c r="AH161" i="9"/>
  <c r="AM164" i="21" s="1"/>
  <c r="AJ161" i="9"/>
  <c r="AM166" i="21" s="1"/>
  <c r="AI161" i="9"/>
  <c r="AM165" i="21" s="1"/>
  <c r="AJ135" i="9"/>
  <c r="M166" i="21" s="1"/>
  <c r="AI135" i="9"/>
  <c r="M165" i="21" s="1"/>
  <c r="AH135" i="9"/>
  <c r="M164" i="21" s="1"/>
  <c r="AJ310" i="9"/>
  <c r="AB334" i="21" s="1"/>
  <c r="AI310" i="9"/>
  <c r="AB333" i="21" s="1"/>
  <c r="AH310" i="9"/>
  <c r="AB332" i="21" s="1"/>
  <c r="AJ218" i="9"/>
  <c r="P250" i="21" s="1"/>
  <c r="AI218" i="9"/>
  <c r="P249" i="21" s="1"/>
  <c r="AH218" i="9"/>
  <c r="P248" i="21" s="1"/>
  <c r="AH228" i="9"/>
  <c r="Z248" i="21" s="1"/>
  <c r="AJ228" i="9"/>
  <c r="Z250" i="21" s="1"/>
  <c r="AI228" i="9"/>
  <c r="Z249" i="21" s="1"/>
  <c r="D19" i="22"/>
  <c r="E48" i="18"/>
  <c r="D54" i="24" s="1"/>
  <c r="AH21" i="9"/>
  <c r="S38" i="21" s="1"/>
  <c r="AJ21" i="9"/>
  <c r="S40" i="21" s="1"/>
  <c r="AI21" i="9"/>
  <c r="S39" i="21" s="1"/>
  <c r="AI38" i="9"/>
  <c r="AJ39" i="21" s="1"/>
  <c r="AH38" i="9"/>
  <c r="AJ38" i="21" s="1"/>
  <c r="AJ38" i="9"/>
  <c r="AJ40" i="21" s="1"/>
  <c r="AI52" i="9"/>
  <c r="J81" i="21" s="1"/>
  <c r="AH52" i="9"/>
  <c r="J80" i="21" s="1"/>
  <c r="AJ52" i="9"/>
  <c r="J82" i="21" s="1"/>
  <c r="D190" i="22"/>
  <c r="E190" i="22" s="1"/>
  <c r="H189" i="22" s="1"/>
  <c r="I189" i="22" s="1"/>
  <c r="E78" i="18"/>
  <c r="E168" i="24" s="1"/>
  <c r="D203" i="22"/>
  <c r="E81" i="18"/>
  <c r="E171" i="24" s="1"/>
  <c r="D91" i="10"/>
  <c r="C91" i="10"/>
  <c r="B91" i="10"/>
  <c r="E91" i="10"/>
  <c r="G91" i="10"/>
  <c r="F91" i="10"/>
  <c r="K91" i="10"/>
  <c r="D42" i="10"/>
  <c r="C42" i="10"/>
  <c r="B42" i="10"/>
  <c r="E42" i="10"/>
  <c r="K42" i="10"/>
  <c r="F42" i="10"/>
  <c r="G42" i="10"/>
  <c r="G44" i="10"/>
  <c r="F44" i="10"/>
  <c r="E44" i="10"/>
  <c r="D44" i="10"/>
  <c r="C44" i="10"/>
  <c r="K44" i="10"/>
  <c r="B44" i="10"/>
  <c r="G51" i="10"/>
  <c r="F51" i="10"/>
  <c r="E51" i="10"/>
  <c r="D51" i="10"/>
  <c r="C51" i="10"/>
  <c r="K51" i="10"/>
  <c r="B51" i="10"/>
  <c r="B13" i="10"/>
  <c r="K13" i="10"/>
  <c r="G13" i="10"/>
  <c r="F13" i="10"/>
  <c r="E13" i="10"/>
  <c r="D13" i="10"/>
  <c r="C13" i="10"/>
  <c r="K5" i="10"/>
  <c r="E5" i="10"/>
  <c r="D5" i="10"/>
  <c r="C5" i="10"/>
  <c r="B5" i="10"/>
  <c r="G5" i="10"/>
  <c r="F5" i="10"/>
  <c r="K103" i="10"/>
  <c r="D103" i="10"/>
  <c r="F103" i="10"/>
  <c r="E103" i="10"/>
  <c r="C103" i="10"/>
  <c r="B103" i="10"/>
  <c r="G103" i="10"/>
  <c r="K102" i="10"/>
  <c r="G102" i="10"/>
  <c r="F102" i="10"/>
  <c r="B102" i="10"/>
  <c r="D102" i="10"/>
  <c r="C102" i="10"/>
  <c r="E102" i="10"/>
  <c r="D42" i="21"/>
  <c r="D38" i="18"/>
  <c r="D49" i="22"/>
  <c r="E51" i="22" s="1"/>
  <c r="H48" i="22" s="1"/>
  <c r="I48" i="22" s="1"/>
  <c r="E53" i="18"/>
  <c r="AI8" i="9"/>
  <c r="F39" i="21" s="1"/>
  <c r="AJ8" i="9"/>
  <c r="F40" i="21" s="1"/>
  <c r="AH8" i="9"/>
  <c r="F38" i="21" s="1"/>
  <c r="AI227" i="9"/>
  <c r="Y249" i="21" s="1"/>
  <c r="AJ227" i="9"/>
  <c r="Y250" i="21" s="1"/>
  <c r="AH227" i="9"/>
  <c r="Y248" i="21" s="1"/>
  <c r="AJ61" i="9"/>
  <c r="S82" i="21" s="1"/>
  <c r="AI61" i="9"/>
  <c r="S81" i="21" s="1"/>
  <c r="AH61" i="9"/>
  <c r="S80" i="21" s="1"/>
  <c r="AJ19" i="9"/>
  <c r="Q40" i="21" s="1"/>
  <c r="AI19" i="9"/>
  <c r="Q39" i="21" s="1"/>
  <c r="AH19" i="9"/>
  <c r="Q38" i="21" s="1"/>
  <c r="AH77" i="9"/>
  <c r="AI80" i="21" s="1"/>
  <c r="AJ77" i="9"/>
  <c r="AI82" i="21" s="1"/>
  <c r="AI77" i="9"/>
  <c r="AI81" i="21" s="1"/>
  <c r="D59" i="22"/>
  <c r="E59" i="22" s="1"/>
  <c r="H58" i="22" s="1"/>
  <c r="I58" i="22" s="1"/>
  <c r="E55" i="18"/>
  <c r="D80" i="24" s="1"/>
  <c r="D70" i="10"/>
  <c r="C70" i="10"/>
  <c r="B70" i="10"/>
  <c r="G70" i="10"/>
  <c r="F70" i="10"/>
  <c r="E70" i="10"/>
  <c r="K70" i="10"/>
  <c r="F85" i="10"/>
  <c r="E85" i="10"/>
  <c r="D85" i="10"/>
  <c r="C85" i="10"/>
  <c r="B85" i="10"/>
  <c r="K85" i="10"/>
  <c r="G85" i="10"/>
  <c r="G87" i="10"/>
  <c r="F87" i="10"/>
  <c r="E87" i="10"/>
  <c r="K87" i="10"/>
  <c r="D87" i="10"/>
  <c r="C87" i="10"/>
  <c r="B87" i="10"/>
  <c r="D63" i="10"/>
  <c r="C63" i="10"/>
  <c r="B63" i="10"/>
  <c r="K63" i="10"/>
  <c r="F63" i="10"/>
  <c r="E63" i="10"/>
  <c r="G63" i="10"/>
  <c r="B27" i="10"/>
  <c r="K27" i="10"/>
  <c r="G27" i="10"/>
  <c r="F27" i="10"/>
  <c r="E27" i="10"/>
  <c r="D27" i="10"/>
  <c r="C27" i="10"/>
  <c r="K19" i="10"/>
  <c r="G19" i="10"/>
  <c r="F19" i="10"/>
  <c r="E19" i="10"/>
  <c r="D19" i="10"/>
  <c r="C19" i="10"/>
  <c r="B19" i="10"/>
  <c r="K18" i="10"/>
  <c r="G18" i="10"/>
  <c r="F18" i="10"/>
  <c r="E18" i="10"/>
  <c r="D18" i="10"/>
  <c r="C18" i="10"/>
  <c r="B18" i="10"/>
  <c r="D45" i="21"/>
  <c r="D41" i="18"/>
  <c r="D104" i="22" s="1"/>
  <c r="E106" i="22" s="1"/>
  <c r="AJ48" i="9"/>
  <c r="F82" i="21" s="1"/>
  <c r="AI48" i="9"/>
  <c r="F81" i="21" s="1"/>
  <c r="AH48" i="9"/>
  <c r="F80" i="21" s="1"/>
  <c r="AJ150" i="9"/>
  <c r="AB166" i="21" s="1"/>
  <c r="AI150" i="9"/>
  <c r="AB165" i="21" s="1"/>
  <c r="AH150" i="9"/>
  <c r="AB164" i="21" s="1"/>
  <c r="AI80" i="9"/>
  <c r="AL81" i="21" s="1"/>
  <c r="AH80" i="9"/>
  <c r="AL80" i="21" s="1"/>
  <c r="AJ80" i="9"/>
  <c r="AL82" i="21" s="1"/>
  <c r="D1100" i="15"/>
  <c r="D2623" i="15"/>
  <c r="F2623" i="15" s="1"/>
  <c r="Q22" i="15" s="1"/>
  <c r="AH694" i="9"/>
  <c r="AJ694" i="9"/>
  <c r="AI694" i="9"/>
  <c r="AJ605" i="9"/>
  <c r="AI605" i="9"/>
  <c r="AH605" i="9"/>
  <c r="AH203" i="9"/>
  <c r="AO206" i="21" s="1"/>
  <c r="AJ203" i="9"/>
  <c r="AO208" i="21" s="1"/>
  <c r="AI203" i="9"/>
  <c r="AO207" i="21" s="1"/>
  <c r="AJ241" i="9"/>
  <c r="AM250" i="21" s="1"/>
  <c r="AI241" i="9"/>
  <c r="AM249" i="21" s="1"/>
  <c r="AH241" i="9"/>
  <c r="AM248" i="21" s="1"/>
  <c r="AJ953" i="9"/>
  <c r="AI953" i="9"/>
  <c r="AH953" i="9"/>
  <c r="AJ876" i="9"/>
  <c r="AI876" i="9"/>
  <c r="AH876" i="9"/>
  <c r="AI954" i="9"/>
  <c r="AH954" i="9"/>
  <c r="AJ954" i="9"/>
  <c r="AJ766" i="9"/>
  <c r="AI766" i="9"/>
  <c r="AH766" i="9"/>
  <c r="AJ623" i="9"/>
  <c r="AI623" i="9"/>
  <c r="AH623" i="9"/>
  <c r="AH637" i="9"/>
  <c r="AJ637" i="9"/>
  <c r="AI637" i="9"/>
  <c r="AI300" i="9"/>
  <c r="R333" i="21" s="1"/>
  <c r="AH300" i="9"/>
  <c r="R332" i="21" s="1"/>
  <c r="AJ300" i="9"/>
  <c r="R334" i="21" s="1"/>
  <c r="D1013" i="15"/>
  <c r="D1014" i="15" s="1"/>
  <c r="F1014" i="15" s="1"/>
  <c r="V11" i="15" s="1"/>
  <c r="D2473" i="15"/>
  <c r="F2473" i="15" s="1"/>
  <c r="Q21" i="15" s="1"/>
  <c r="D314" i="15"/>
  <c r="C1627" i="15"/>
  <c r="G175" i="14"/>
  <c r="H175" i="14" s="1"/>
  <c r="I173" i="14"/>
  <c r="K173" i="14" s="1"/>
  <c r="I171" i="14"/>
  <c r="K171" i="14" s="1"/>
  <c r="I172" i="14"/>
  <c r="K172" i="14" s="1"/>
  <c r="I174" i="14"/>
  <c r="K174" i="14" s="1"/>
  <c r="C1099" i="15"/>
  <c r="C1063" i="15"/>
  <c r="D1064" i="15" s="1"/>
  <c r="C1079" i="15"/>
  <c r="D1080" i="15" s="1"/>
  <c r="C1163" i="15"/>
  <c r="D1163" i="15" s="1"/>
  <c r="D1164" i="15" s="1"/>
  <c r="F1164" i="15" s="1"/>
  <c r="V12" i="15" s="1"/>
  <c r="D1124" i="15"/>
  <c r="F1124" i="15" s="1"/>
  <c r="R12" i="15" s="1"/>
  <c r="D602" i="23"/>
  <c r="D541" i="23"/>
  <c r="D581" i="23"/>
  <c r="D564" i="23"/>
  <c r="D576" i="23"/>
  <c r="D598" i="23"/>
  <c r="D1980" i="15"/>
  <c r="L199" i="14"/>
  <c r="N199" i="14" s="1"/>
  <c r="G162" i="14"/>
  <c r="H162" i="14" s="1"/>
  <c r="I160" i="14"/>
  <c r="K160" i="14" s="1"/>
  <c r="I161" i="14"/>
  <c r="K161" i="14" s="1"/>
  <c r="C1231" i="15"/>
  <c r="D1233" i="15" s="1"/>
  <c r="C1251" i="15"/>
  <c r="D1253" i="15" s="1"/>
  <c r="I152" i="14"/>
  <c r="K152" i="14" s="1"/>
  <c r="L152" i="14" s="1"/>
  <c r="N152" i="14" s="1"/>
  <c r="C1215" i="15"/>
  <c r="D1217" i="15" s="1"/>
  <c r="AI982" i="9"/>
  <c r="AH982" i="9"/>
  <c r="AJ982" i="9"/>
  <c r="AI945" i="9"/>
  <c r="AJ945" i="9"/>
  <c r="AH945" i="9"/>
  <c r="AH788" i="9"/>
  <c r="AJ788" i="9"/>
  <c r="AI788" i="9"/>
  <c r="AI926" i="9"/>
  <c r="AJ926" i="9"/>
  <c r="AH926" i="9"/>
  <c r="AI869" i="9"/>
  <c r="AJ869" i="9"/>
  <c r="AH869" i="9"/>
  <c r="AJ981" i="9"/>
  <c r="AI981" i="9"/>
  <c r="AH981" i="9"/>
  <c r="AJ906" i="9"/>
  <c r="AH906" i="9"/>
  <c r="AI906" i="9"/>
  <c r="AJ845" i="9"/>
  <c r="AI845" i="9"/>
  <c r="AH845" i="9"/>
  <c r="AJ883" i="9"/>
  <c r="AI883" i="9"/>
  <c r="AH883" i="9"/>
  <c r="AH774" i="9"/>
  <c r="AJ774" i="9"/>
  <c r="AI774" i="9"/>
  <c r="AI692" i="9"/>
  <c r="AJ692" i="9"/>
  <c r="AH692" i="9"/>
  <c r="AH634" i="9"/>
  <c r="AJ634" i="9"/>
  <c r="AI634" i="9"/>
  <c r="AJ552" i="9"/>
  <c r="AI552" i="9"/>
  <c r="AH552" i="9"/>
  <c r="AI496" i="9"/>
  <c r="AH496" i="9"/>
  <c r="AJ496" i="9"/>
  <c r="AI412" i="9"/>
  <c r="AH412" i="9"/>
  <c r="AJ412" i="9"/>
  <c r="AI533" i="9"/>
  <c r="AH533" i="9"/>
  <c r="AJ533" i="9"/>
  <c r="AI567" i="9"/>
  <c r="AH567" i="9"/>
  <c r="AJ567" i="9"/>
  <c r="AH385" i="9"/>
  <c r="W416" i="21" s="1"/>
  <c r="AJ385" i="9"/>
  <c r="W418" i="21" s="1"/>
  <c r="AI385" i="9"/>
  <c r="W417" i="21" s="1"/>
  <c r="AJ371" i="9"/>
  <c r="I418" i="21" s="1"/>
  <c r="AI371" i="9"/>
  <c r="I417" i="21" s="1"/>
  <c r="AH371" i="9"/>
  <c r="I416" i="21" s="1"/>
  <c r="AH422" i="9"/>
  <c r="AJ422" i="9"/>
  <c r="AI422" i="9"/>
  <c r="AI478" i="9"/>
  <c r="AH478" i="9"/>
  <c r="AJ478" i="9"/>
  <c r="AJ369" i="9"/>
  <c r="G418" i="21" s="1"/>
  <c r="AI369" i="9"/>
  <c r="G417" i="21" s="1"/>
  <c r="AH369" i="9"/>
  <c r="G416" i="21" s="1"/>
  <c r="AH298" i="9"/>
  <c r="P332" i="21" s="1"/>
  <c r="AJ298" i="9"/>
  <c r="P334" i="21" s="1"/>
  <c r="AI298" i="9"/>
  <c r="P333" i="21" s="1"/>
  <c r="AJ177" i="9"/>
  <c r="O208" i="21" s="1"/>
  <c r="AI177" i="9"/>
  <c r="O207" i="21" s="1"/>
  <c r="AH177" i="9"/>
  <c r="O206" i="21" s="1"/>
  <c r="AJ121" i="9"/>
  <c r="AM124" i="21" s="1"/>
  <c r="AI121" i="9"/>
  <c r="AM123" i="21" s="1"/>
  <c r="AH121" i="9"/>
  <c r="AM122" i="21" s="1"/>
  <c r="AJ174" i="9"/>
  <c r="L208" i="21" s="1"/>
  <c r="AI174" i="9"/>
  <c r="L207" i="21" s="1"/>
  <c r="AH174" i="9"/>
  <c r="L206" i="21" s="1"/>
  <c r="AJ338" i="9"/>
  <c r="P376" i="21" s="1"/>
  <c r="AI338" i="9"/>
  <c r="P375" i="21" s="1"/>
  <c r="AH338" i="9"/>
  <c r="P374" i="21" s="1"/>
  <c r="AJ201" i="9"/>
  <c r="AM208" i="21" s="1"/>
  <c r="AI201" i="9"/>
  <c r="AM207" i="21" s="1"/>
  <c r="AH201" i="9"/>
  <c r="AM206" i="21" s="1"/>
  <c r="G9" i="10"/>
  <c r="F9" i="10"/>
  <c r="E9" i="10"/>
  <c r="D9" i="10"/>
  <c r="C9" i="10"/>
  <c r="B9" i="10"/>
  <c r="K9" i="10"/>
  <c r="D7" i="10"/>
  <c r="C7" i="10"/>
  <c r="B7" i="10"/>
  <c r="G7" i="10"/>
  <c r="F7" i="10"/>
  <c r="E7" i="10"/>
  <c r="K7" i="10"/>
  <c r="G10" i="10"/>
  <c r="F10" i="10"/>
  <c r="E10" i="10"/>
  <c r="K10" i="10"/>
  <c r="D10" i="10"/>
  <c r="B10" i="10"/>
  <c r="C10" i="10"/>
  <c r="G94" i="10"/>
  <c r="F94" i="10"/>
  <c r="E94" i="10"/>
  <c r="K94" i="10"/>
  <c r="D94" i="10"/>
  <c r="C94" i="10"/>
  <c r="B94" i="10"/>
  <c r="B34" i="10"/>
  <c r="K34" i="10"/>
  <c r="C34" i="10"/>
  <c r="F34" i="10"/>
  <c r="E34" i="10"/>
  <c r="D34" i="10"/>
  <c r="G34" i="10"/>
  <c r="K26" i="10"/>
  <c r="G26" i="10"/>
  <c r="F26" i="10"/>
  <c r="E26" i="10"/>
  <c r="D26" i="10"/>
  <c r="C26" i="10"/>
  <c r="B26" i="10"/>
  <c r="K25" i="10"/>
  <c r="G25" i="10"/>
  <c r="F25" i="10"/>
  <c r="E25" i="10"/>
  <c r="D25" i="10"/>
  <c r="C25" i="10"/>
  <c r="B25" i="10"/>
  <c r="AJ442" i="9"/>
  <c r="AI442" i="9"/>
  <c r="AH442" i="9"/>
  <c r="AJ139" i="9"/>
  <c r="Q166" i="21" s="1"/>
  <c r="AI139" i="9"/>
  <c r="Q165" i="21" s="1"/>
  <c r="AH139" i="9"/>
  <c r="Q164" i="21" s="1"/>
  <c r="AJ6" i="9"/>
  <c r="AI6" i="9"/>
  <c r="AH6" i="9"/>
  <c r="AH943" i="9"/>
  <c r="AJ943" i="9"/>
  <c r="AI943" i="9"/>
  <c r="AI777" i="9"/>
  <c r="AH777" i="9"/>
  <c r="AJ777" i="9"/>
  <c r="AJ556" i="9"/>
  <c r="AH556" i="9"/>
  <c r="AI556" i="9"/>
  <c r="AJ325" i="9"/>
  <c r="AQ334" i="21" s="1"/>
  <c r="AI325" i="9"/>
  <c r="AQ333" i="21" s="1"/>
  <c r="AH325" i="9"/>
  <c r="AQ332" i="21" s="1"/>
  <c r="D350" i="15"/>
  <c r="C1061" i="15"/>
  <c r="W29" i="13"/>
  <c r="I136" i="14"/>
  <c r="K136" i="14" s="1"/>
  <c r="L136" i="14" s="1"/>
  <c r="N136" i="14" s="1"/>
  <c r="C1101" i="15"/>
  <c r="D1103" i="15" s="1"/>
  <c r="C1081" i="15"/>
  <c r="D1083" i="15" s="1"/>
  <c r="C1065" i="15"/>
  <c r="D1067" i="15" s="1"/>
  <c r="D1967" i="15"/>
  <c r="H1439" i="15"/>
  <c r="C1439" i="15"/>
  <c r="C1400" i="15"/>
  <c r="C1364" i="15"/>
  <c r="C1471" i="15"/>
  <c r="H1400" i="15"/>
  <c r="C1027" i="15"/>
  <c r="I107" i="14"/>
  <c r="K107" i="14" s="1"/>
  <c r="I110" i="14"/>
  <c r="K110" i="14" s="1"/>
  <c r="I109" i="14"/>
  <c r="K109" i="14" s="1"/>
  <c r="G111" i="14"/>
  <c r="H111" i="14" s="1"/>
  <c r="I108" i="14"/>
  <c r="K108" i="14" s="1"/>
  <c r="D1178" i="23"/>
  <c r="D1155" i="23"/>
  <c r="C2711" i="15"/>
  <c r="W40" i="13"/>
  <c r="C868" i="15"/>
  <c r="D869" i="15" s="1"/>
  <c r="Q27" i="13"/>
  <c r="C817" i="15"/>
  <c r="C796" i="15"/>
  <c r="I102" i="14"/>
  <c r="K102" i="14" s="1"/>
  <c r="C837" i="15"/>
  <c r="C760" i="15"/>
  <c r="G102" i="14"/>
  <c r="H102" i="14" s="1"/>
  <c r="C856" i="15"/>
  <c r="D857" i="15" s="1"/>
  <c r="C776" i="15"/>
  <c r="C882" i="15"/>
  <c r="D883" i="15" s="1"/>
  <c r="D884" i="15" s="1"/>
  <c r="F884" i="15" s="1"/>
  <c r="Y10" i="15" s="1"/>
  <c r="G103" i="14"/>
  <c r="H103" i="14" s="1"/>
  <c r="L103" i="14" s="1"/>
  <c r="N103" i="14" s="1"/>
  <c r="I103" i="14"/>
  <c r="K103" i="14" s="1"/>
  <c r="R27" i="13"/>
  <c r="AJ964" i="9"/>
  <c r="AI964" i="9"/>
  <c r="AH964" i="9"/>
  <c r="AI860" i="9"/>
  <c r="AJ860" i="9"/>
  <c r="AH860" i="9"/>
  <c r="AH844" i="9"/>
  <c r="AJ844" i="9"/>
  <c r="AI844" i="9"/>
  <c r="AH891" i="9"/>
  <c r="AJ891" i="9"/>
  <c r="AI891" i="9"/>
  <c r="AJ918" i="9"/>
  <c r="AI918" i="9"/>
  <c r="AH918" i="9"/>
  <c r="AI812" i="9"/>
  <c r="AH812" i="9"/>
  <c r="AJ812" i="9"/>
  <c r="AI760" i="9"/>
  <c r="AJ760" i="9"/>
  <c r="AH760" i="9"/>
  <c r="AI765" i="9"/>
  <c r="AJ765" i="9"/>
  <c r="AH765" i="9"/>
  <c r="AH736" i="9"/>
  <c r="AJ736" i="9"/>
  <c r="AI736" i="9"/>
  <c r="AJ713" i="9"/>
  <c r="AI713" i="9"/>
  <c r="AH713" i="9"/>
  <c r="AJ815" i="9"/>
  <c r="AH815" i="9"/>
  <c r="AI815" i="9"/>
  <c r="AH763" i="9"/>
  <c r="AJ763" i="9"/>
  <c r="AI763" i="9"/>
  <c r="AJ723" i="9"/>
  <c r="AH723" i="9"/>
  <c r="AI723" i="9"/>
  <c r="AI846" i="9"/>
  <c r="AJ846" i="9"/>
  <c r="AH846" i="9"/>
  <c r="AI734" i="9"/>
  <c r="AH734" i="9"/>
  <c r="AJ734" i="9"/>
  <c r="AJ702" i="9"/>
  <c r="AI702" i="9"/>
  <c r="AH702" i="9"/>
  <c r="AJ628" i="9"/>
  <c r="AI628" i="9"/>
  <c r="AH628" i="9"/>
  <c r="AJ463" i="9"/>
  <c r="AI463" i="9"/>
  <c r="AH463" i="9"/>
  <c r="AJ506" i="9"/>
  <c r="AI506" i="9"/>
  <c r="AH506" i="9"/>
  <c r="AJ432" i="9"/>
  <c r="AI432" i="9"/>
  <c r="AH432" i="9"/>
  <c r="AJ296" i="9"/>
  <c r="N334" i="21" s="1"/>
  <c r="AI296" i="9"/>
  <c r="N333" i="21" s="1"/>
  <c r="AH296" i="9"/>
  <c r="N332" i="21" s="1"/>
  <c r="AJ271" i="9"/>
  <c r="AC292" i="21" s="1"/>
  <c r="AI271" i="9"/>
  <c r="AC291" i="21" s="1"/>
  <c r="AH271" i="9"/>
  <c r="AC290" i="21" s="1"/>
  <c r="AH256" i="9"/>
  <c r="N290" i="21" s="1"/>
  <c r="AJ256" i="9"/>
  <c r="N292" i="21" s="1"/>
  <c r="AI256" i="9"/>
  <c r="N291" i="21" s="1"/>
  <c r="AJ125" i="9"/>
  <c r="AQ124" i="21" s="1"/>
  <c r="AI125" i="9"/>
  <c r="AQ123" i="21" s="1"/>
  <c r="AH125" i="9"/>
  <c r="AQ122" i="21" s="1"/>
  <c r="AJ206" i="9"/>
  <c r="D250" i="21" s="1"/>
  <c r="AI206" i="9"/>
  <c r="D249" i="21" s="1"/>
  <c r="AH206" i="9"/>
  <c r="D248" i="21" s="1"/>
  <c r="AH147" i="9"/>
  <c r="Y164" i="21" s="1"/>
  <c r="AJ147" i="9"/>
  <c r="Y166" i="21" s="1"/>
  <c r="AI147" i="9"/>
  <c r="Y165" i="21" s="1"/>
  <c r="AJ132" i="9"/>
  <c r="J166" i="21" s="1"/>
  <c r="AI132" i="9"/>
  <c r="J165" i="21" s="1"/>
  <c r="AH132" i="9"/>
  <c r="J164" i="21" s="1"/>
  <c r="AJ64" i="9"/>
  <c r="V82" i="21" s="1"/>
  <c r="AI64" i="9"/>
  <c r="V81" i="21" s="1"/>
  <c r="AH64" i="9"/>
  <c r="V80" i="21" s="1"/>
  <c r="D231" i="22"/>
  <c r="E231" i="22" s="1"/>
  <c r="H230" i="22" s="1"/>
  <c r="E88" i="18"/>
  <c r="G30" i="10"/>
  <c r="F30" i="10"/>
  <c r="E30" i="10"/>
  <c r="D30" i="10"/>
  <c r="C30" i="10"/>
  <c r="B30" i="10"/>
  <c r="K30" i="10"/>
  <c r="F29" i="10"/>
  <c r="E29" i="10"/>
  <c r="D29" i="10"/>
  <c r="C29" i="10"/>
  <c r="B29" i="10"/>
  <c r="K29" i="10"/>
  <c r="G29" i="10"/>
  <c r="G16" i="10"/>
  <c r="F16" i="10"/>
  <c r="E16" i="10"/>
  <c r="D16" i="10"/>
  <c r="C16" i="10"/>
  <c r="B16" i="10"/>
  <c r="K16" i="10"/>
  <c r="G100" i="10"/>
  <c r="F100" i="10"/>
  <c r="E100" i="10"/>
  <c r="D100" i="10"/>
  <c r="C100" i="10"/>
  <c r="K100" i="10"/>
  <c r="B100" i="10"/>
  <c r="B41" i="10"/>
  <c r="K41" i="10"/>
  <c r="G41" i="10"/>
  <c r="F41" i="10"/>
  <c r="D41" i="10"/>
  <c r="C41" i="10"/>
  <c r="E41" i="10"/>
  <c r="K33" i="10"/>
  <c r="G33" i="10"/>
  <c r="F33" i="10"/>
  <c r="E33" i="10"/>
  <c r="D33" i="10"/>
  <c r="C33" i="10"/>
  <c r="B33" i="10"/>
  <c r="K32" i="10"/>
  <c r="G32" i="10"/>
  <c r="F32" i="10"/>
  <c r="E32" i="10"/>
  <c r="D32" i="10"/>
  <c r="C32" i="10"/>
  <c r="B32" i="10"/>
  <c r="AJ108" i="9"/>
  <c r="Z124" i="21" s="1"/>
  <c r="AI108" i="9"/>
  <c r="Z123" i="21" s="1"/>
  <c r="AH108" i="9"/>
  <c r="Z122" i="21" s="1"/>
  <c r="C1361" i="15"/>
  <c r="W31" i="13"/>
  <c r="AJ887" i="9"/>
  <c r="AI887" i="9"/>
  <c r="AH887" i="9"/>
  <c r="AJ584" i="9"/>
  <c r="AH584" i="9"/>
  <c r="AI584" i="9"/>
  <c r="D7" i="22"/>
  <c r="E46" i="18"/>
  <c r="D52" i="24" s="1"/>
  <c r="F57" i="10"/>
  <c r="E57" i="10"/>
  <c r="D57" i="10"/>
  <c r="C57" i="10"/>
  <c r="B57" i="10"/>
  <c r="K57" i="10"/>
  <c r="G57" i="10"/>
  <c r="I257" i="14"/>
  <c r="K257" i="14" s="1"/>
  <c r="I256" i="14"/>
  <c r="K256" i="14" s="1"/>
  <c r="G258" i="14"/>
  <c r="H258" i="14" s="1"/>
  <c r="D405" i="15"/>
  <c r="I39" i="14"/>
  <c r="K39" i="14" s="1"/>
  <c r="C217" i="15"/>
  <c r="C196" i="15"/>
  <c r="C160" i="15"/>
  <c r="G39" i="14"/>
  <c r="H39" i="14" s="1"/>
  <c r="L39" i="14" s="1"/>
  <c r="N39" i="14" s="1"/>
  <c r="C237" i="15"/>
  <c r="C282" i="15"/>
  <c r="D283" i="15" s="1"/>
  <c r="D284" i="15" s="1"/>
  <c r="F284" i="15" s="1"/>
  <c r="Y6" i="15" s="1"/>
  <c r="R23" i="13"/>
  <c r="Q23" i="13"/>
  <c r="C176" i="15"/>
  <c r="I38" i="14"/>
  <c r="K38" i="14" s="1"/>
  <c r="C268" i="15"/>
  <c r="D269" i="15" s="1"/>
  <c r="D272" i="15" s="1"/>
  <c r="F272" i="15" s="1"/>
  <c r="W6" i="15" s="1"/>
  <c r="C256" i="15"/>
  <c r="D257" i="15" s="1"/>
  <c r="G38" i="14"/>
  <c r="H38" i="14" s="1"/>
  <c r="L38" i="14" s="1"/>
  <c r="N38" i="14" s="1"/>
  <c r="L55" i="14"/>
  <c r="N55" i="14" s="1"/>
  <c r="D1983" i="15"/>
  <c r="D395" i="23"/>
  <c r="D372" i="23"/>
  <c r="H1589" i="15"/>
  <c r="C1589" i="15"/>
  <c r="D1772" i="15"/>
  <c r="F1772" i="15" s="1"/>
  <c r="W16" i="15" s="1"/>
  <c r="H1406" i="15"/>
  <c r="D1412" i="15" s="1"/>
  <c r="F1412" i="15" s="1"/>
  <c r="P14" i="15" s="1"/>
  <c r="C1406" i="15"/>
  <c r="C1370" i="15"/>
  <c r="C911" i="15"/>
  <c r="W28" i="13"/>
  <c r="D1150" i="23"/>
  <c r="D1190" i="23"/>
  <c r="D1173" i="23"/>
  <c r="D1207" i="23"/>
  <c r="D1211" i="23"/>
  <c r="D1185" i="23"/>
  <c r="G181" i="14"/>
  <c r="H181" i="14" s="1"/>
  <c r="L181" i="14" s="1"/>
  <c r="N181" i="14" s="1"/>
  <c r="AC32" i="13"/>
  <c r="AB32" i="13"/>
  <c r="Y32" i="13"/>
  <c r="X32" i="13"/>
  <c r="I180" i="14"/>
  <c r="K180" i="14" s="1"/>
  <c r="L180" i="14" s="1"/>
  <c r="N180" i="14" s="1"/>
  <c r="V19" i="14" s="1"/>
  <c r="D1652" i="15" s="1"/>
  <c r="F1652" i="15" s="1"/>
  <c r="AE15" i="15" s="1"/>
  <c r="D320" i="15"/>
  <c r="C1363" i="15"/>
  <c r="D1364" i="15" s="1"/>
  <c r="C1399" i="15"/>
  <c r="D1400" i="15" s="1"/>
  <c r="C1379" i="15"/>
  <c r="D1380" i="15" s="1"/>
  <c r="C1463" i="15"/>
  <c r="D1463" i="15" s="1"/>
  <c r="D1464" i="15" s="1"/>
  <c r="F1464" i="15" s="1"/>
  <c r="V14" i="15" s="1"/>
  <c r="D1771" i="15"/>
  <c r="I304" i="14"/>
  <c r="K304" i="14" s="1"/>
  <c r="I305" i="14"/>
  <c r="K305" i="14" s="1"/>
  <c r="G306" i="14"/>
  <c r="H306" i="14" s="1"/>
  <c r="AJ937" i="9"/>
  <c r="AH937" i="9"/>
  <c r="AI937" i="9"/>
  <c r="AJ935" i="9"/>
  <c r="AI935" i="9"/>
  <c r="AH935" i="9"/>
  <c r="AJ803" i="9"/>
  <c r="AI803" i="9"/>
  <c r="AH803" i="9"/>
  <c r="AI725" i="9"/>
  <c r="AH725" i="9"/>
  <c r="AJ725" i="9"/>
  <c r="AJ787" i="9"/>
  <c r="AI787" i="9"/>
  <c r="AH787" i="9"/>
  <c r="AJ738" i="9"/>
  <c r="AI738" i="9"/>
  <c r="AH738" i="9"/>
  <c r="AH674" i="9"/>
  <c r="AJ674" i="9"/>
  <c r="AI674" i="9"/>
  <c r="AH564" i="9"/>
  <c r="AJ564" i="9"/>
  <c r="AI564" i="9"/>
  <c r="AI454" i="9"/>
  <c r="AH454" i="9"/>
  <c r="AJ454" i="9"/>
  <c r="AH462" i="9"/>
  <c r="AJ462" i="9"/>
  <c r="AI462" i="9"/>
  <c r="AI595" i="9"/>
  <c r="AH595" i="9"/>
  <c r="AJ595" i="9"/>
  <c r="AJ591" i="9"/>
  <c r="AI591" i="9"/>
  <c r="AH591" i="9"/>
  <c r="AJ570" i="9"/>
  <c r="AH570" i="9"/>
  <c r="AI570" i="9"/>
  <c r="AJ519" i="9"/>
  <c r="AI519" i="9"/>
  <c r="AH519" i="9"/>
  <c r="AJ421" i="9"/>
  <c r="AI421" i="9"/>
  <c r="AH421" i="9"/>
  <c r="AJ400" i="9"/>
  <c r="AL418" i="21" s="1"/>
  <c r="AI400" i="9"/>
  <c r="AL417" i="21" s="1"/>
  <c r="AH400" i="9"/>
  <c r="AL416" i="21" s="1"/>
  <c r="AJ383" i="9"/>
  <c r="U418" i="21" s="1"/>
  <c r="AI383" i="9"/>
  <c r="U417" i="21" s="1"/>
  <c r="AH383" i="9"/>
  <c r="U416" i="21" s="1"/>
  <c r="AJ397" i="9"/>
  <c r="AI418" i="21" s="1"/>
  <c r="AI397" i="9"/>
  <c r="AI417" i="21" s="1"/>
  <c r="AH397" i="9"/>
  <c r="AI416" i="21" s="1"/>
  <c r="AI309" i="9"/>
  <c r="AA333" i="21" s="1"/>
  <c r="AH309" i="9"/>
  <c r="AA332" i="21" s="1"/>
  <c r="AJ309" i="9"/>
  <c r="AA334" i="21" s="1"/>
  <c r="AI267" i="9"/>
  <c r="Y291" i="21" s="1"/>
  <c r="AJ267" i="9"/>
  <c r="Y292" i="21" s="1"/>
  <c r="AH267" i="9"/>
  <c r="Y290" i="21" s="1"/>
  <c r="AJ370" i="9"/>
  <c r="H418" i="21" s="1"/>
  <c r="AI370" i="9"/>
  <c r="H417" i="21" s="1"/>
  <c r="AH370" i="9"/>
  <c r="H416" i="21" s="1"/>
  <c r="AJ55" i="9"/>
  <c r="M82" i="21" s="1"/>
  <c r="AH55" i="9"/>
  <c r="M80" i="21" s="1"/>
  <c r="AI55" i="9"/>
  <c r="M81" i="21" s="1"/>
  <c r="AI272" i="9"/>
  <c r="AD291" i="21" s="1"/>
  <c r="AH272" i="9"/>
  <c r="AD290" i="21" s="1"/>
  <c r="AJ272" i="9"/>
  <c r="AD292" i="21" s="1"/>
  <c r="AJ124" i="9"/>
  <c r="AP124" i="21" s="1"/>
  <c r="AI124" i="9"/>
  <c r="AP123" i="21" s="1"/>
  <c r="AH124" i="9"/>
  <c r="AP122" i="21" s="1"/>
  <c r="AI258" i="9"/>
  <c r="P291" i="21" s="1"/>
  <c r="AH258" i="9"/>
  <c r="P290" i="21" s="1"/>
  <c r="AJ258" i="9"/>
  <c r="P292" i="21" s="1"/>
  <c r="AJ219" i="9"/>
  <c r="Q250" i="21" s="1"/>
  <c r="AI219" i="9"/>
  <c r="Q249" i="21" s="1"/>
  <c r="AH219" i="9"/>
  <c r="Q248" i="21" s="1"/>
  <c r="AH270" i="9"/>
  <c r="AB290" i="21" s="1"/>
  <c r="AJ270" i="9"/>
  <c r="AB292" i="21" s="1"/>
  <c r="AI270" i="9"/>
  <c r="AB291" i="21" s="1"/>
  <c r="AJ173" i="9"/>
  <c r="K208" i="21" s="1"/>
  <c r="AI173" i="9"/>
  <c r="K207" i="21" s="1"/>
  <c r="AH173" i="9"/>
  <c r="K206" i="21" s="1"/>
  <c r="AJ89" i="9"/>
  <c r="G124" i="21" s="1"/>
  <c r="AI89" i="9"/>
  <c r="G123" i="21" s="1"/>
  <c r="AH89" i="9"/>
  <c r="G122" i="21" s="1"/>
  <c r="AH35" i="9"/>
  <c r="AG38" i="21" s="1"/>
  <c r="AJ35" i="9"/>
  <c r="AG40" i="21" s="1"/>
  <c r="AI35" i="9"/>
  <c r="AG39" i="21" s="1"/>
  <c r="AH49" i="9"/>
  <c r="G80" i="21" s="1"/>
  <c r="AJ49" i="9"/>
  <c r="G82" i="21" s="1"/>
  <c r="AI49" i="9"/>
  <c r="G81" i="21" s="1"/>
  <c r="G52" i="10"/>
  <c r="F52" i="10"/>
  <c r="E52" i="10"/>
  <c r="C52" i="10"/>
  <c r="B52" i="10"/>
  <c r="D52" i="10"/>
  <c r="K52" i="10"/>
  <c r="F50" i="10"/>
  <c r="E50" i="10"/>
  <c r="D50" i="10"/>
  <c r="C50" i="10"/>
  <c r="B50" i="10"/>
  <c r="G50" i="10"/>
  <c r="K50" i="10"/>
  <c r="F22" i="10"/>
  <c r="E22" i="10"/>
  <c r="D22" i="10"/>
  <c r="C22" i="10"/>
  <c r="B22" i="10"/>
  <c r="K22" i="10"/>
  <c r="G22" i="10"/>
  <c r="G31" i="10"/>
  <c r="F31" i="10"/>
  <c r="E31" i="10"/>
  <c r="K31" i="10"/>
  <c r="D31" i="10"/>
  <c r="C31" i="10"/>
  <c r="B31" i="10"/>
  <c r="B48" i="10"/>
  <c r="K48" i="10"/>
  <c r="E48" i="10"/>
  <c r="D48" i="10"/>
  <c r="C48" i="10"/>
  <c r="G48" i="10"/>
  <c r="F48" i="10"/>
  <c r="K40" i="10"/>
  <c r="C40" i="10"/>
  <c r="B40" i="10"/>
  <c r="G40" i="10"/>
  <c r="F40" i="10"/>
  <c r="E40" i="10"/>
  <c r="D40" i="10"/>
  <c r="K39" i="10"/>
  <c r="G39" i="10"/>
  <c r="F39" i="10"/>
  <c r="E39" i="10"/>
  <c r="D39" i="10"/>
  <c r="C39" i="10"/>
  <c r="B39" i="10"/>
  <c r="AH13" i="9"/>
  <c r="K38" i="21" s="1"/>
  <c r="AI13" i="9"/>
  <c r="K39" i="21" s="1"/>
  <c r="AJ13" i="9"/>
  <c r="K40" i="21" s="1"/>
  <c r="D186" i="22"/>
  <c r="E186" i="22" s="1"/>
  <c r="H185" i="22" s="1"/>
  <c r="E77" i="18"/>
  <c r="E167" i="24" s="1"/>
  <c r="G17" i="10"/>
  <c r="F17" i="10"/>
  <c r="E17" i="10"/>
  <c r="K17" i="10"/>
  <c r="D17" i="10"/>
  <c r="C17" i="10"/>
  <c r="B17" i="10"/>
  <c r="K12" i="10"/>
  <c r="F12" i="10"/>
  <c r="E12" i="10"/>
  <c r="D12" i="10"/>
  <c r="C12" i="10"/>
  <c r="B12" i="10"/>
  <c r="G12" i="10"/>
  <c r="C2382" i="15"/>
  <c r="D2383" i="15" s="1"/>
  <c r="D2384" i="15" s="1"/>
  <c r="F2384" i="15" s="1"/>
  <c r="Y20" i="15" s="1"/>
  <c r="C2356" i="15"/>
  <c r="D2357" i="15" s="1"/>
  <c r="C2296" i="15"/>
  <c r="C2368" i="15"/>
  <c r="D2369" i="15" s="1"/>
  <c r="D2372" i="15" s="1"/>
  <c r="F2372" i="15" s="1"/>
  <c r="W20" i="15" s="1"/>
  <c r="C2317" i="15"/>
  <c r="I263" i="14"/>
  <c r="K263" i="14" s="1"/>
  <c r="G263" i="14"/>
  <c r="H263" i="14" s="1"/>
  <c r="C2337" i="15"/>
  <c r="D2339" i="15" s="1"/>
  <c r="C2276" i="15"/>
  <c r="I262" i="14"/>
  <c r="K262" i="14" s="1"/>
  <c r="G262" i="14"/>
  <c r="H262" i="14" s="1"/>
  <c r="L262" i="14" s="1"/>
  <c r="N262" i="14" s="1"/>
  <c r="R37" i="13"/>
  <c r="C2260" i="15"/>
  <c r="Q37" i="13"/>
  <c r="H1556" i="15"/>
  <c r="D1562" i="15" s="1"/>
  <c r="F1562" i="15" s="1"/>
  <c r="P15" i="15" s="1"/>
  <c r="C1556" i="15"/>
  <c r="C1520" i="15"/>
  <c r="D546" i="23"/>
  <c r="D569" i="23"/>
  <c r="C2827" i="15"/>
  <c r="I302" i="14"/>
  <c r="K302" i="14" s="1"/>
  <c r="I300" i="14"/>
  <c r="K300" i="14" s="1"/>
  <c r="I299" i="14"/>
  <c r="K299" i="14" s="1"/>
  <c r="G303" i="14"/>
  <c r="H303" i="14" s="1"/>
  <c r="I301" i="14"/>
  <c r="K301" i="14" s="1"/>
  <c r="AI739" i="9"/>
  <c r="AH739" i="9"/>
  <c r="AJ739" i="9"/>
  <c r="AI537" i="9"/>
  <c r="AH537" i="9"/>
  <c r="AJ537" i="9"/>
  <c r="AI281" i="9"/>
  <c r="AM291" i="21" s="1"/>
  <c r="AJ281" i="9"/>
  <c r="AM292" i="21" s="1"/>
  <c r="AH281" i="9"/>
  <c r="AM290" i="21" s="1"/>
  <c r="AJ453" i="9"/>
  <c r="AH453" i="9"/>
  <c r="AI453" i="9"/>
  <c r="AJ181" i="9"/>
  <c r="S208" i="21" s="1"/>
  <c r="AI181" i="9"/>
  <c r="S207" i="21" s="1"/>
  <c r="AH181" i="9"/>
  <c r="S206" i="21" s="1"/>
  <c r="AJ178" i="9"/>
  <c r="P208" i="21" s="1"/>
  <c r="AI178" i="9"/>
  <c r="P207" i="21" s="1"/>
  <c r="AH178" i="9"/>
  <c r="P206" i="21" s="1"/>
  <c r="AH247" i="9"/>
  <c r="E290" i="21" s="1"/>
  <c r="AJ247" i="9"/>
  <c r="E292" i="21" s="1"/>
  <c r="AI247" i="9"/>
  <c r="E291" i="21" s="1"/>
  <c r="AJ216" i="9"/>
  <c r="N250" i="21" s="1"/>
  <c r="AI216" i="9"/>
  <c r="N249" i="21" s="1"/>
  <c r="AH216" i="9"/>
  <c r="N248" i="21" s="1"/>
  <c r="H239" i="15"/>
  <c r="C239" i="15"/>
  <c r="D1471" i="15"/>
  <c r="D1472" i="15" s="1"/>
  <c r="F1472" i="15" s="1"/>
  <c r="W14" i="15" s="1"/>
  <c r="D1574" i="15"/>
  <c r="F1574" i="15" s="1"/>
  <c r="R15" i="15" s="1"/>
  <c r="C539" i="15"/>
  <c r="H539" i="15"/>
  <c r="AJ1005" i="9"/>
  <c r="AI1005" i="9"/>
  <c r="AH1005" i="9"/>
  <c r="H500" i="15"/>
  <c r="D512" i="15" s="1"/>
  <c r="F512" i="15" s="1"/>
  <c r="P8" i="15" s="1"/>
  <c r="C500" i="15"/>
  <c r="C464" i="15"/>
  <c r="C571" i="15"/>
  <c r="D571" i="15" s="1"/>
  <c r="AJ967" i="9"/>
  <c r="AI967" i="9"/>
  <c r="AH967" i="9"/>
  <c r="AH919" i="9"/>
  <c r="AJ919" i="9"/>
  <c r="AI919" i="9"/>
  <c r="I168" i="14"/>
  <c r="K168" i="14" s="1"/>
  <c r="L168" i="14" s="1"/>
  <c r="N168" i="14" s="1"/>
  <c r="C1401" i="15"/>
  <c r="D1403" i="15" s="1"/>
  <c r="C1365" i="15"/>
  <c r="D1367" i="15" s="1"/>
  <c r="C1381" i="15"/>
  <c r="D1383" i="15" s="1"/>
  <c r="AH985" i="9"/>
  <c r="AJ985" i="9"/>
  <c r="AI985" i="9"/>
  <c r="AJ979" i="9"/>
  <c r="AI979" i="9"/>
  <c r="AH979" i="9"/>
  <c r="C761" i="15"/>
  <c r="W27" i="13"/>
  <c r="AI833" i="9"/>
  <c r="AH833" i="9"/>
  <c r="AJ833" i="9"/>
  <c r="AI898" i="9"/>
  <c r="AH898" i="9"/>
  <c r="AJ898" i="9"/>
  <c r="AJ850" i="9"/>
  <c r="AI850" i="9"/>
  <c r="AH850" i="9"/>
  <c r="AI888" i="9"/>
  <c r="AJ888" i="9"/>
  <c r="AH888" i="9"/>
  <c r="AJ755" i="9"/>
  <c r="AI755" i="9"/>
  <c r="AH755" i="9"/>
  <c r="AJ681" i="9"/>
  <c r="AH681" i="9"/>
  <c r="AI681" i="9"/>
  <c r="AH675" i="9"/>
  <c r="AJ675" i="9"/>
  <c r="AI675" i="9"/>
  <c r="AJ730" i="9"/>
  <c r="AI730" i="9"/>
  <c r="AH730" i="9"/>
  <c r="AI398" i="9"/>
  <c r="AJ417" i="21" s="1"/>
  <c r="AH398" i="9"/>
  <c r="AJ416" i="21" s="1"/>
  <c r="AJ398" i="9"/>
  <c r="AJ418" i="21" s="1"/>
  <c r="AH550" i="9"/>
  <c r="AJ550" i="9"/>
  <c r="AI550" i="9"/>
  <c r="AJ512" i="9"/>
  <c r="AI512" i="9"/>
  <c r="AH512" i="9"/>
  <c r="AJ509" i="9"/>
  <c r="AI509" i="9"/>
  <c r="AH509" i="9"/>
  <c r="AJ555" i="9"/>
  <c r="AI555" i="9"/>
  <c r="AH555" i="9"/>
  <c r="AJ549" i="9"/>
  <c r="AI549" i="9"/>
  <c r="AH549" i="9"/>
  <c r="AI450" i="9"/>
  <c r="AH450" i="9"/>
  <c r="AJ450" i="9"/>
  <c r="AI381" i="9"/>
  <c r="S417" i="21" s="1"/>
  <c r="AJ381" i="9"/>
  <c r="S418" i="21" s="1"/>
  <c r="AH381" i="9"/>
  <c r="S416" i="21" s="1"/>
  <c r="AJ414" i="9"/>
  <c r="AI414" i="9"/>
  <c r="AH414" i="9"/>
  <c r="AI328" i="9"/>
  <c r="F375" i="21" s="1"/>
  <c r="AH328" i="9"/>
  <c r="F374" i="21" s="1"/>
  <c r="AJ328" i="9"/>
  <c r="F376" i="21" s="1"/>
  <c r="AJ353" i="9"/>
  <c r="AE376" i="21" s="1"/>
  <c r="AI353" i="9"/>
  <c r="AE375" i="21" s="1"/>
  <c r="AH353" i="9"/>
  <c r="AE374" i="21" s="1"/>
  <c r="AJ428" i="9"/>
  <c r="AI428" i="9"/>
  <c r="AH428" i="9"/>
  <c r="AJ209" i="9"/>
  <c r="G250" i="21" s="1"/>
  <c r="AI209" i="9"/>
  <c r="G249" i="21" s="1"/>
  <c r="AH209" i="9"/>
  <c r="G248" i="21" s="1"/>
  <c r="AJ164" i="9"/>
  <c r="AP166" i="21" s="1"/>
  <c r="AI164" i="9"/>
  <c r="AP165" i="21" s="1"/>
  <c r="AH164" i="9"/>
  <c r="AP164" i="21" s="1"/>
  <c r="AH189" i="9"/>
  <c r="AA206" i="21" s="1"/>
  <c r="AJ189" i="9"/>
  <c r="AA208" i="21" s="1"/>
  <c r="AI189" i="9"/>
  <c r="AA207" i="21" s="1"/>
  <c r="AH91" i="9"/>
  <c r="I122" i="21" s="1"/>
  <c r="AJ91" i="9"/>
  <c r="I124" i="21" s="1"/>
  <c r="AI91" i="9"/>
  <c r="I123" i="21" s="1"/>
  <c r="AJ240" i="9"/>
  <c r="AL250" i="21" s="1"/>
  <c r="AI240" i="9"/>
  <c r="AL249" i="21" s="1"/>
  <c r="AH240" i="9"/>
  <c r="AL248" i="21" s="1"/>
  <c r="AJ268" i="9"/>
  <c r="Z292" i="21" s="1"/>
  <c r="AI268" i="9"/>
  <c r="Z291" i="21" s="1"/>
  <c r="AH268" i="9"/>
  <c r="Z290" i="21" s="1"/>
  <c r="AJ204" i="9"/>
  <c r="AP208" i="21" s="1"/>
  <c r="AI204" i="9"/>
  <c r="AP207" i="21" s="1"/>
  <c r="AH204" i="9"/>
  <c r="AP206" i="21" s="1"/>
  <c r="AJ145" i="9"/>
  <c r="W166" i="21" s="1"/>
  <c r="AI145" i="9"/>
  <c r="W165" i="21" s="1"/>
  <c r="AH145" i="9"/>
  <c r="W164" i="21" s="1"/>
  <c r="AJ117" i="9"/>
  <c r="AI124" i="21" s="1"/>
  <c r="AI117" i="9"/>
  <c r="AI123" i="21" s="1"/>
  <c r="AH117" i="9"/>
  <c r="AI122" i="21" s="1"/>
  <c r="D227" i="22"/>
  <c r="E227" i="22" s="1"/>
  <c r="H226" i="22" s="1"/>
  <c r="I226" i="22" s="1"/>
  <c r="E87" i="18"/>
  <c r="G73" i="10"/>
  <c r="F73" i="10"/>
  <c r="E73" i="10"/>
  <c r="D73" i="10"/>
  <c r="C73" i="10"/>
  <c r="B73" i="10"/>
  <c r="K73" i="10"/>
  <c r="G72" i="10"/>
  <c r="F72" i="10"/>
  <c r="E72" i="10"/>
  <c r="D72" i="10"/>
  <c r="C72" i="10"/>
  <c r="K72" i="10"/>
  <c r="B72" i="10"/>
  <c r="D28" i="10"/>
  <c r="C28" i="10"/>
  <c r="B28" i="10"/>
  <c r="K28" i="10"/>
  <c r="G28" i="10"/>
  <c r="E28" i="10"/>
  <c r="F28" i="10"/>
  <c r="G37" i="10"/>
  <c r="F37" i="10"/>
  <c r="E37" i="10"/>
  <c r="D37" i="10"/>
  <c r="C37" i="10"/>
  <c r="K37" i="10"/>
  <c r="B37" i="10"/>
  <c r="B55" i="10"/>
  <c r="K55" i="10"/>
  <c r="F55" i="10"/>
  <c r="E55" i="10"/>
  <c r="D55" i="10"/>
  <c r="C55" i="10"/>
  <c r="G55" i="10"/>
  <c r="K47" i="10"/>
  <c r="G47" i="10"/>
  <c r="F47" i="10"/>
  <c r="E47" i="10"/>
  <c r="D47" i="10"/>
  <c r="C47" i="10"/>
  <c r="B47" i="10"/>
  <c r="K46" i="10"/>
  <c r="G46" i="10"/>
  <c r="C46" i="10"/>
  <c r="B46" i="10"/>
  <c r="F46" i="10"/>
  <c r="E46" i="10"/>
  <c r="D46" i="10"/>
  <c r="AJ76" i="9"/>
  <c r="AH82" i="21" s="1"/>
  <c r="AI76" i="9"/>
  <c r="AH81" i="21" s="1"/>
  <c r="AH76" i="9"/>
  <c r="AH80" i="21" s="1"/>
  <c r="AI66" i="9"/>
  <c r="X81" i="21" s="1"/>
  <c r="AH66" i="9"/>
  <c r="X80" i="21" s="1"/>
  <c r="AJ66" i="9"/>
  <c r="X82" i="21" s="1"/>
  <c r="AJ7" i="9"/>
  <c r="E40" i="21" s="1"/>
  <c r="AH7" i="9"/>
  <c r="E38" i="21" s="1"/>
  <c r="AI7" i="9"/>
  <c r="E39" i="21" s="1"/>
  <c r="AJ62" i="9"/>
  <c r="T82" i="21" s="1"/>
  <c r="AI62" i="9"/>
  <c r="T81" i="21" s="1"/>
  <c r="AH62" i="9"/>
  <c r="T80" i="21" s="1"/>
  <c r="H1889" i="15"/>
  <c r="C1889" i="15"/>
  <c r="AJ955" i="9"/>
  <c r="AI955" i="9"/>
  <c r="AH955" i="9"/>
  <c r="AJ524" i="9"/>
  <c r="AI524" i="9"/>
  <c r="AH524" i="9"/>
  <c r="AJ299" i="9"/>
  <c r="Q334" i="21" s="1"/>
  <c r="AI299" i="9"/>
  <c r="Q333" i="21" s="1"/>
  <c r="AH299" i="9"/>
  <c r="Q332" i="21" s="1"/>
  <c r="AJ104" i="9"/>
  <c r="V124" i="21" s="1"/>
  <c r="AI104" i="9"/>
  <c r="V123" i="21" s="1"/>
  <c r="AH104" i="9"/>
  <c r="V122" i="21" s="1"/>
  <c r="D2433" i="15"/>
  <c r="AH882" i="9"/>
  <c r="AJ882" i="9"/>
  <c r="AI882" i="9"/>
  <c r="AI764" i="9"/>
  <c r="AH764" i="9"/>
  <c r="AJ764" i="9"/>
  <c r="AH868" i="9"/>
  <c r="AJ868" i="9"/>
  <c r="AI868" i="9"/>
  <c r="AJ619" i="9"/>
  <c r="AH619" i="9"/>
  <c r="AI619" i="9"/>
  <c r="D224" i="15"/>
  <c r="F224" i="15" s="1"/>
  <c r="R6" i="15" s="1"/>
  <c r="D308" i="23"/>
  <c r="D285" i="23"/>
  <c r="D2436" i="15"/>
  <c r="D374" i="15"/>
  <c r="F374" i="15" s="1"/>
  <c r="R7" i="15" s="1"/>
  <c r="I260" i="14"/>
  <c r="K260" i="14" s="1"/>
  <c r="L260" i="14" s="1"/>
  <c r="N260" i="14" s="1"/>
  <c r="W24" i="14" s="1"/>
  <c r="D2403" i="15" s="1"/>
  <c r="F2403" i="15" s="1"/>
  <c r="AF20" i="15" s="1"/>
  <c r="Y37" i="13"/>
  <c r="X37" i="13"/>
  <c r="AC37" i="13"/>
  <c r="AB37" i="13"/>
  <c r="G261" i="14"/>
  <c r="H261" i="14" s="1"/>
  <c r="L261" i="14" s="1"/>
  <c r="N261" i="14" s="1"/>
  <c r="D299" i="23"/>
  <c r="I123" i="14"/>
  <c r="K123" i="14" s="1"/>
  <c r="I126" i="14"/>
  <c r="K126" i="14" s="1"/>
  <c r="I125" i="14"/>
  <c r="K125" i="14" s="1"/>
  <c r="G127" i="14"/>
  <c r="H127" i="14" s="1"/>
  <c r="C1177" i="15"/>
  <c r="I124" i="14"/>
  <c r="K124" i="14" s="1"/>
  <c r="D2417" i="15"/>
  <c r="I295" i="14"/>
  <c r="K295" i="14" s="1"/>
  <c r="C2656" i="15"/>
  <c r="D2657" i="15" s="1"/>
  <c r="G295" i="14"/>
  <c r="H295" i="14" s="1"/>
  <c r="C2596" i="15"/>
  <c r="G294" i="14"/>
  <c r="H294" i="14" s="1"/>
  <c r="L294" i="14" s="1"/>
  <c r="N294" i="14" s="1"/>
  <c r="C2637" i="15"/>
  <c r="D2639" i="15" s="1"/>
  <c r="C2576" i="15"/>
  <c r="C2560" i="15"/>
  <c r="I294" i="14"/>
  <c r="K294" i="14" s="1"/>
  <c r="C2682" i="15"/>
  <c r="D2683" i="15" s="1"/>
  <c r="D2684" i="15" s="1"/>
  <c r="F2684" i="15" s="1"/>
  <c r="Y22" i="15" s="1"/>
  <c r="C2617" i="15"/>
  <c r="R39" i="13"/>
  <c r="Q39" i="13"/>
  <c r="C2668" i="15"/>
  <c r="D2669" i="15" s="1"/>
  <c r="D2672" i="15" s="1"/>
  <c r="F2672" i="15" s="1"/>
  <c r="W22" i="15" s="1"/>
  <c r="D560" i="23"/>
  <c r="D53" i="15"/>
  <c r="AI996" i="9"/>
  <c r="AH996" i="9"/>
  <c r="AJ996" i="9"/>
  <c r="H989" i="15"/>
  <c r="C989" i="15"/>
  <c r="D989" i="15" s="1"/>
  <c r="D1169" i="23"/>
  <c r="I97" i="14"/>
  <c r="K97" i="14" s="1"/>
  <c r="I96" i="14"/>
  <c r="K96" i="14" s="1"/>
  <c r="G98" i="14"/>
  <c r="H98" i="14" s="1"/>
  <c r="AJ907" i="9"/>
  <c r="AI907" i="9"/>
  <c r="AH907" i="9"/>
  <c r="AJ885" i="9"/>
  <c r="AI885" i="9"/>
  <c r="AH885" i="9"/>
  <c r="AJ976" i="9"/>
  <c r="AH976" i="9"/>
  <c r="AI976" i="9"/>
  <c r="AH897" i="9"/>
  <c r="AJ897" i="9"/>
  <c r="AI897" i="9"/>
  <c r="AH798" i="9"/>
  <c r="AJ798" i="9"/>
  <c r="AI798" i="9"/>
  <c r="AJ852" i="9"/>
  <c r="AI852" i="9"/>
  <c r="AH852" i="9"/>
  <c r="AJ829" i="9"/>
  <c r="AI829" i="9"/>
  <c r="AH829" i="9"/>
  <c r="AJ744" i="9"/>
  <c r="AI744" i="9"/>
  <c r="AH744" i="9"/>
  <c r="AJ699" i="9"/>
  <c r="AI699" i="9"/>
  <c r="AH699" i="9"/>
  <c r="AI720" i="9"/>
  <c r="AH720" i="9"/>
  <c r="AJ720" i="9"/>
  <c r="AJ647" i="9"/>
  <c r="AI647" i="9"/>
  <c r="AH647" i="9"/>
  <c r="AJ668" i="9"/>
  <c r="AH668" i="9"/>
  <c r="AI668" i="9"/>
  <c r="AI553" i="9"/>
  <c r="AH553" i="9"/>
  <c r="AJ553" i="9"/>
  <c r="AH448" i="9"/>
  <c r="AJ448" i="9"/>
  <c r="AI448" i="9"/>
  <c r="AJ470" i="9"/>
  <c r="AI470" i="9"/>
  <c r="AH470" i="9"/>
  <c r="AJ520" i="9"/>
  <c r="AI520" i="9"/>
  <c r="AH520" i="9"/>
  <c r="AI609" i="9"/>
  <c r="AH609" i="9"/>
  <c r="AJ609" i="9"/>
  <c r="AI464" i="9"/>
  <c r="AH464" i="9"/>
  <c r="AJ464" i="9"/>
  <c r="AI337" i="9"/>
  <c r="O375" i="21" s="1"/>
  <c r="AH337" i="9"/>
  <c r="O374" i="21" s="1"/>
  <c r="AJ337" i="9"/>
  <c r="O376" i="21" s="1"/>
  <c r="AH415" i="9"/>
  <c r="AJ415" i="9"/>
  <c r="AI415" i="9"/>
  <c r="AI286" i="9"/>
  <c r="D333" i="21" s="1"/>
  <c r="AH286" i="9"/>
  <c r="D332" i="21" s="1"/>
  <c r="AJ286" i="9"/>
  <c r="D334" i="21" s="1"/>
  <c r="AJ311" i="9"/>
  <c r="AC334" i="21" s="1"/>
  <c r="AI311" i="9"/>
  <c r="AC333" i="21" s="1"/>
  <c r="AH311" i="9"/>
  <c r="AC332" i="21" s="1"/>
  <c r="AJ327" i="9"/>
  <c r="E376" i="21" s="1"/>
  <c r="AI327" i="9"/>
  <c r="E375" i="21" s="1"/>
  <c r="AH327" i="9"/>
  <c r="E374" i="21" s="1"/>
  <c r="AJ167" i="9"/>
  <c r="E208" i="21" s="1"/>
  <c r="AI167" i="9"/>
  <c r="E207" i="21" s="1"/>
  <c r="AH167" i="9"/>
  <c r="E206" i="21" s="1"/>
  <c r="AJ111" i="9"/>
  <c r="AC124" i="21" s="1"/>
  <c r="AI111" i="9"/>
  <c r="AC123" i="21" s="1"/>
  <c r="AH111" i="9"/>
  <c r="AC122" i="21" s="1"/>
  <c r="AH326" i="9"/>
  <c r="D374" i="21" s="1"/>
  <c r="AJ326" i="9"/>
  <c r="D376" i="21" s="1"/>
  <c r="AI326" i="9"/>
  <c r="D375" i="21" s="1"/>
  <c r="AJ269" i="9"/>
  <c r="AA292" i="21" s="1"/>
  <c r="AI269" i="9"/>
  <c r="AA291" i="21" s="1"/>
  <c r="AH269" i="9"/>
  <c r="AA290" i="21" s="1"/>
  <c r="AJ163" i="9"/>
  <c r="AO166" i="21" s="1"/>
  <c r="AI163" i="9"/>
  <c r="AO165" i="21" s="1"/>
  <c r="AH163" i="9"/>
  <c r="AO164" i="21" s="1"/>
  <c r="AJ107" i="9"/>
  <c r="Y124" i="21" s="1"/>
  <c r="AI107" i="9"/>
  <c r="Y123" i="21" s="1"/>
  <c r="AH107" i="9"/>
  <c r="Y122" i="21" s="1"/>
  <c r="AJ202" i="9"/>
  <c r="AN208" i="21" s="1"/>
  <c r="AI202" i="9"/>
  <c r="AN207" i="21" s="1"/>
  <c r="AH202" i="9"/>
  <c r="AN206" i="21" s="1"/>
  <c r="AJ245" i="9"/>
  <c r="AQ250" i="21" s="1"/>
  <c r="AI245" i="9"/>
  <c r="AQ249" i="21" s="1"/>
  <c r="AH245" i="9"/>
  <c r="AQ248" i="21" s="1"/>
  <c r="AJ50" i="9"/>
  <c r="H82" i="21" s="1"/>
  <c r="AI50" i="9"/>
  <c r="H81" i="21" s="1"/>
  <c r="AH50" i="9"/>
  <c r="H80" i="21" s="1"/>
  <c r="D41" i="21"/>
  <c r="D37" i="18"/>
  <c r="D84" i="10"/>
  <c r="C84" i="10"/>
  <c r="B84" i="10"/>
  <c r="K84" i="10"/>
  <c r="G84" i="10"/>
  <c r="F84" i="10"/>
  <c r="E84" i="10"/>
  <c r="G93" i="10"/>
  <c r="F93" i="10"/>
  <c r="E93" i="10"/>
  <c r="D93" i="10"/>
  <c r="C93" i="10"/>
  <c r="K93" i="10"/>
  <c r="B93" i="10"/>
  <c r="G59" i="10"/>
  <c r="F59" i="10"/>
  <c r="E59" i="10"/>
  <c r="B59" i="10"/>
  <c r="D59" i="10"/>
  <c r="C59" i="10"/>
  <c r="K59" i="10"/>
  <c r="F43" i="10"/>
  <c r="E43" i="10"/>
  <c r="D43" i="10"/>
  <c r="C43" i="10"/>
  <c r="B43" i="10"/>
  <c r="K43" i="10"/>
  <c r="G43" i="10"/>
  <c r="B62" i="10"/>
  <c r="K62" i="10"/>
  <c r="G62" i="10"/>
  <c r="F62" i="10"/>
  <c r="E62" i="10"/>
  <c r="D62" i="10"/>
  <c r="C62" i="10"/>
  <c r="K54" i="10"/>
  <c r="E54" i="10"/>
  <c r="D54" i="10"/>
  <c r="C54" i="10"/>
  <c r="B54" i="10"/>
  <c r="G54" i="10"/>
  <c r="F54" i="10"/>
  <c r="K53" i="10"/>
  <c r="G53" i="10"/>
  <c r="F53" i="10"/>
  <c r="E53" i="10"/>
  <c r="D53" i="10"/>
  <c r="C53" i="10"/>
  <c r="B53" i="10"/>
  <c r="D198" i="22"/>
  <c r="E198" i="22" s="1"/>
  <c r="H197" i="22" s="1"/>
  <c r="I197" i="22" s="1"/>
  <c r="E80" i="18"/>
  <c r="E170" i="24" s="1"/>
  <c r="D824" i="15"/>
  <c r="F824" i="15" s="1"/>
  <c r="R10" i="15" s="1"/>
  <c r="AJ942" i="9"/>
  <c r="AH942" i="9"/>
  <c r="AI942" i="9"/>
  <c r="AJ826" i="9"/>
  <c r="AI826" i="9"/>
  <c r="AH826" i="9"/>
  <c r="AJ748" i="9"/>
  <c r="AI748" i="9"/>
  <c r="AH748" i="9"/>
  <c r="B20" i="10"/>
  <c r="K20" i="10"/>
  <c r="D20" i="10"/>
  <c r="C20" i="10"/>
  <c r="F20" i="10"/>
  <c r="E20" i="10"/>
  <c r="G20" i="10"/>
  <c r="D524" i="15"/>
  <c r="F524" i="15" s="1"/>
  <c r="R8" i="15" s="1"/>
  <c r="AH999" i="9"/>
  <c r="AJ999" i="9"/>
  <c r="AI999" i="9"/>
  <c r="AJ566" i="9"/>
  <c r="AI566" i="9"/>
  <c r="AH566" i="9"/>
  <c r="AJ69" i="9"/>
  <c r="AA82" i="21" s="1"/>
  <c r="AH69" i="9"/>
  <c r="AA80" i="21" s="1"/>
  <c r="AI69" i="9"/>
  <c r="AA81" i="21" s="1"/>
  <c r="AH233" i="9"/>
  <c r="AE248" i="21" s="1"/>
  <c r="AJ233" i="9"/>
  <c r="AE250" i="21" s="1"/>
  <c r="AI233" i="9"/>
  <c r="AE249" i="21" s="1"/>
  <c r="D211" i="25"/>
  <c r="E211" i="25" s="1"/>
  <c r="C2111" i="15"/>
  <c r="W36" i="13"/>
  <c r="D212" i="15"/>
  <c r="F212" i="15" s="1"/>
  <c r="P6" i="15" s="1"/>
  <c r="D392" i="15"/>
  <c r="I252" i="14"/>
  <c r="K252" i="14" s="1"/>
  <c r="G255" i="14"/>
  <c r="H255" i="14" s="1"/>
  <c r="C2377" i="15"/>
  <c r="I254" i="14"/>
  <c r="K254" i="14" s="1"/>
  <c r="I253" i="14"/>
  <c r="K253" i="14" s="1"/>
  <c r="I251" i="14"/>
  <c r="K251" i="14" s="1"/>
  <c r="D362" i="15"/>
  <c r="F362" i="15" s="1"/>
  <c r="P7" i="15" s="1"/>
  <c r="D276" i="23"/>
  <c r="D1274" i="15"/>
  <c r="F1274" i="15" s="1"/>
  <c r="R13" i="15" s="1"/>
  <c r="H2600" i="15"/>
  <c r="C2600" i="15"/>
  <c r="C2671" i="15"/>
  <c r="D2671" i="15" s="1"/>
  <c r="C2564" i="15"/>
  <c r="D674" i="15"/>
  <c r="F674" i="15" s="1"/>
  <c r="R9" i="15" s="1"/>
  <c r="D390" i="23"/>
  <c r="D424" i="23"/>
  <c r="D407" i="23"/>
  <c r="D367" i="23"/>
  <c r="D402" i="23"/>
  <c r="D428" i="23"/>
  <c r="L212" i="14"/>
  <c r="N212" i="14" s="1"/>
  <c r="V21" i="14" s="1"/>
  <c r="D1952" i="15" s="1"/>
  <c r="F1952" i="15" s="1"/>
  <c r="AE17" i="15" s="1"/>
  <c r="D33" i="15"/>
  <c r="C1679" i="15"/>
  <c r="D1680" i="15" s="1"/>
  <c r="C1663" i="15"/>
  <c r="D1664" i="15" s="1"/>
  <c r="C1699" i="15"/>
  <c r="D1700" i="15" s="1"/>
  <c r="C1763" i="15"/>
  <c r="D1763" i="15" s="1"/>
  <c r="D1764" i="15" s="1"/>
  <c r="F1764" i="15" s="1"/>
  <c r="V16" i="15" s="1"/>
  <c r="D720" i="23"/>
  <c r="D743" i="23"/>
  <c r="I113" i="14"/>
  <c r="K113" i="14" s="1"/>
  <c r="G114" i="14"/>
  <c r="H114" i="14" s="1"/>
  <c r="I112" i="14"/>
  <c r="K112" i="14" s="1"/>
  <c r="AJ910" i="9"/>
  <c r="AI910" i="9"/>
  <c r="AH910" i="9"/>
  <c r="H2750" i="15"/>
  <c r="D2762" i="15" s="1"/>
  <c r="F2762" i="15" s="1"/>
  <c r="P23" i="15" s="1"/>
  <c r="C2750" i="15"/>
  <c r="C2821" i="15"/>
  <c r="D2821" i="15" s="1"/>
  <c r="C2714" i="15"/>
  <c r="AJ927" i="9"/>
  <c r="AI927" i="9"/>
  <c r="AH927" i="9"/>
  <c r="AH830" i="9"/>
  <c r="AJ830" i="9"/>
  <c r="AI830" i="9"/>
  <c r="AI854" i="9"/>
  <c r="AJ854" i="9"/>
  <c r="AH854" i="9"/>
  <c r="AJ951" i="9"/>
  <c r="AI951" i="9"/>
  <c r="AH951" i="9"/>
  <c r="AI711" i="9"/>
  <c r="AH711" i="9"/>
  <c r="AJ711" i="9"/>
  <c r="AH722" i="9"/>
  <c r="AJ722" i="9"/>
  <c r="AI722" i="9"/>
  <c r="AJ724" i="9"/>
  <c r="AI724" i="9"/>
  <c r="AH724" i="9"/>
  <c r="AI671" i="9"/>
  <c r="AJ671" i="9"/>
  <c r="AH671" i="9"/>
  <c r="AJ626" i="9"/>
  <c r="AI626" i="9"/>
  <c r="AH626" i="9"/>
  <c r="AH620" i="9"/>
  <c r="AJ620" i="9"/>
  <c r="AI620" i="9"/>
  <c r="AJ614" i="9"/>
  <c r="AI614" i="9"/>
  <c r="AH614" i="9"/>
  <c r="AJ622" i="9"/>
  <c r="AI622" i="9"/>
  <c r="AH622" i="9"/>
  <c r="AJ667" i="9"/>
  <c r="AI667" i="9"/>
  <c r="AH667" i="9"/>
  <c r="AJ577" i="9"/>
  <c r="AI577" i="9"/>
  <c r="AH577" i="9"/>
  <c r="AH536" i="9"/>
  <c r="AJ536" i="9"/>
  <c r="AI536" i="9"/>
  <c r="AJ407" i="9"/>
  <c r="AI407" i="9"/>
  <c r="AH407" i="9"/>
  <c r="AI253" i="9"/>
  <c r="K291" i="21" s="1"/>
  <c r="AJ253" i="9"/>
  <c r="K292" i="21" s="1"/>
  <c r="AH253" i="9"/>
  <c r="K290" i="21" s="1"/>
  <c r="AJ411" i="9"/>
  <c r="AI411" i="9"/>
  <c r="AH411" i="9"/>
  <c r="AH418" i="9"/>
  <c r="AJ418" i="9"/>
  <c r="AI418" i="9"/>
  <c r="AH420" i="9"/>
  <c r="AJ420" i="9"/>
  <c r="AI420" i="9"/>
  <c r="AH340" i="9"/>
  <c r="R374" i="21" s="1"/>
  <c r="AJ340" i="9"/>
  <c r="R376" i="21" s="1"/>
  <c r="AI340" i="9"/>
  <c r="R375" i="21" s="1"/>
  <c r="AJ226" i="9"/>
  <c r="X250" i="21" s="1"/>
  <c r="AI226" i="9"/>
  <c r="X249" i="21" s="1"/>
  <c r="AH226" i="9"/>
  <c r="X248" i="21" s="1"/>
  <c r="AH133" i="9"/>
  <c r="K164" i="21" s="1"/>
  <c r="AJ133" i="9"/>
  <c r="K166" i="21" s="1"/>
  <c r="AI133" i="9"/>
  <c r="K165" i="21" s="1"/>
  <c r="AJ166" i="9"/>
  <c r="D208" i="21" s="1"/>
  <c r="AI166" i="9"/>
  <c r="D207" i="21" s="1"/>
  <c r="AH166" i="9"/>
  <c r="D206" i="21" s="1"/>
  <c r="AJ110" i="9"/>
  <c r="AB124" i="21" s="1"/>
  <c r="AI110" i="9"/>
  <c r="AB123" i="21" s="1"/>
  <c r="AH110" i="9"/>
  <c r="AB122" i="21" s="1"/>
  <c r="AJ160" i="9"/>
  <c r="AL166" i="21" s="1"/>
  <c r="AI160" i="9"/>
  <c r="AL165" i="21" s="1"/>
  <c r="AH160" i="9"/>
  <c r="AL164" i="21" s="1"/>
  <c r="AJ90" i="9"/>
  <c r="H124" i="21" s="1"/>
  <c r="AI90" i="9"/>
  <c r="H123" i="21" s="1"/>
  <c r="AH90" i="9"/>
  <c r="H122" i="21" s="1"/>
  <c r="AJ324" i="9"/>
  <c r="AP334" i="21" s="1"/>
  <c r="AI324" i="9"/>
  <c r="AP333" i="21" s="1"/>
  <c r="AH324" i="9"/>
  <c r="AP332" i="21" s="1"/>
  <c r="AJ47" i="9"/>
  <c r="E82" i="21" s="1"/>
  <c r="AI47" i="9"/>
  <c r="E81" i="21" s="1"/>
  <c r="AH47" i="9"/>
  <c r="E80" i="21" s="1"/>
  <c r="D43" i="22"/>
  <c r="E45" i="22" s="1"/>
  <c r="H42" i="22" s="1"/>
  <c r="I42" i="22" s="1"/>
  <c r="E52" i="18"/>
  <c r="D72" i="24" s="1"/>
  <c r="AJ41" i="9"/>
  <c r="AM40" i="21" s="1"/>
  <c r="AH41" i="9"/>
  <c r="AM38" i="21" s="1"/>
  <c r="AI41" i="9"/>
  <c r="AM39" i="21" s="1"/>
  <c r="D14" i="22"/>
  <c r="D20" i="22"/>
  <c r="D32" i="22"/>
  <c r="D8" i="22"/>
  <c r="D26" i="22"/>
  <c r="D44" i="21"/>
  <c r="D40" i="18"/>
  <c r="G24" i="10"/>
  <c r="F24" i="10"/>
  <c r="E24" i="10"/>
  <c r="B24" i="10"/>
  <c r="C24" i="10"/>
  <c r="D24" i="10"/>
  <c r="K24" i="10"/>
  <c r="F15" i="10"/>
  <c r="E15" i="10"/>
  <c r="D15" i="10"/>
  <c r="C15" i="10"/>
  <c r="B15" i="10"/>
  <c r="G15" i="10"/>
  <c r="K15" i="10"/>
  <c r="G65" i="10"/>
  <c r="F65" i="10"/>
  <c r="E65" i="10"/>
  <c r="D65" i="10"/>
  <c r="C65" i="10"/>
  <c r="K65" i="10"/>
  <c r="B65" i="10"/>
  <c r="D49" i="10"/>
  <c r="C49" i="10"/>
  <c r="B49" i="10"/>
  <c r="K49" i="10"/>
  <c r="G49" i="10"/>
  <c r="F49" i="10"/>
  <c r="E49" i="10"/>
  <c r="B69" i="10"/>
  <c r="K69" i="10"/>
  <c r="G69" i="10"/>
  <c r="F69" i="10"/>
  <c r="E69" i="10"/>
  <c r="D69" i="10"/>
  <c r="C69" i="10"/>
  <c r="K61" i="10"/>
  <c r="G61" i="10"/>
  <c r="F61" i="10"/>
  <c r="E61" i="10"/>
  <c r="D61" i="10"/>
  <c r="C61" i="10"/>
  <c r="B61" i="10"/>
  <c r="K60" i="10"/>
  <c r="G60" i="10"/>
  <c r="E60" i="10"/>
  <c r="D60" i="10"/>
  <c r="C60" i="10"/>
  <c r="B60" i="10"/>
  <c r="F60" i="10"/>
  <c r="AJ122" i="9"/>
  <c r="AN124" i="21" s="1"/>
  <c r="AI122" i="9"/>
  <c r="AN123" i="21" s="1"/>
  <c r="AH122" i="9"/>
  <c r="AN122" i="21" s="1"/>
  <c r="AJ34" i="9"/>
  <c r="AF40" i="21" s="1"/>
  <c r="AI34" i="9"/>
  <c r="AF39" i="21" s="1"/>
  <c r="AH34" i="9"/>
  <c r="AF38" i="21" s="1"/>
  <c r="AJ768" i="9"/>
  <c r="AH768" i="9"/>
  <c r="AI768" i="9"/>
  <c r="AJ563" i="9"/>
  <c r="AI563" i="9"/>
  <c r="AH563" i="9"/>
  <c r="C1526" i="15"/>
  <c r="R32" i="13"/>
  <c r="C1606" i="15"/>
  <c r="D1607" i="15" s="1"/>
  <c r="Q32" i="13"/>
  <c r="C1632" i="15"/>
  <c r="D1633" i="15" s="1"/>
  <c r="D1634" i="15" s="1"/>
  <c r="F1634" i="15" s="1"/>
  <c r="Y15" i="15" s="1"/>
  <c r="I183" i="14"/>
  <c r="K183" i="14" s="1"/>
  <c r="G183" i="14"/>
  <c r="H183" i="14" s="1"/>
  <c r="L183" i="14" s="1"/>
  <c r="N183" i="14" s="1"/>
  <c r="C1618" i="15"/>
  <c r="D1619" i="15" s="1"/>
  <c r="D1622" i="15" s="1"/>
  <c r="F1622" i="15" s="1"/>
  <c r="W15" i="15" s="1"/>
  <c r="I182" i="14"/>
  <c r="K182" i="14" s="1"/>
  <c r="G182" i="14"/>
  <c r="H182" i="14" s="1"/>
  <c r="C1546" i="15"/>
  <c r="C1567" i="15"/>
  <c r="C1587" i="15"/>
  <c r="D1589" i="15" s="1"/>
  <c r="C1510" i="15"/>
  <c r="AI968" i="9"/>
  <c r="AH968" i="9"/>
  <c r="AJ968" i="9"/>
  <c r="C839" i="15"/>
  <c r="H839" i="15"/>
  <c r="AJ801" i="9"/>
  <c r="AI801" i="9"/>
  <c r="AH801" i="9"/>
  <c r="AH476" i="9"/>
  <c r="AJ476" i="9"/>
  <c r="AI476" i="9"/>
  <c r="AJ484" i="9"/>
  <c r="AI484" i="9"/>
  <c r="AH484" i="9"/>
  <c r="AJ455" i="9"/>
  <c r="AI455" i="9"/>
  <c r="AH455" i="9"/>
  <c r="AH105" i="9"/>
  <c r="W122" i="21" s="1"/>
  <c r="AJ105" i="9"/>
  <c r="W124" i="21" s="1"/>
  <c r="AI105" i="9"/>
  <c r="W123" i="21" s="1"/>
  <c r="AJ352" i="9"/>
  <c r="AD376" i="21" s="1"/>
  <c r="AI352" i="9"/>
  <c r="AD375" i="21" s="1"/>
  <c r="AH352" i="9"/>
  <c r="AD374" i="21" s="1"/>
  <c r="D210" i="25"/>
  <c r="E210" i="25" s="1"/>
  <c r="I220" i="14"/>
  <c r="K220" i="14" s="1"/>
  <c r="G223" i="14"/>
  <c r="H223" i="14" s="1"/>
  <c r="I221" i="14"/>
  <c r="K221" i="14" s="1"/>
  <c r="C2077" i="15"/>
  <c r="I222" i="14"/>
  <c r="K222" i="14" s="1"/>
  <c r="I219" i="14"/>
  <c r="K219" i="14" s="1"/>
  <c r="C2146" i="15"/>
  <c r="I247" i="14"/>
  <c r="K247" i="14" s="1"/>
  <c r="G247" i="14"/>
  <c r="H247" i="14" s="1"/>
  <c r="L247" i="14" s="1"/>
  <c r="N247" i="14" s="1"/>
  <c r="C2206" i="15"/>
  <c r="D2207" i="15" s="1"/>
  <c r="C2167" i="15"/>
  <c r="I246" i="14"/>
  <c r="K246" i="14" s="1"/>
  <c r="C2218" i="15"/>
  <c r="D2219" i="15" s="1"/>
  <c r="D2222" i="15" s="1"/>
  <c r="F2222" i="15" s="1"/>
  <c r="W19" i="15" s="1"/>
  <c r="C2187" i="15"/>
  <c r="D2189" i="15" s="1"/>
  <c r="Q36" i="13"/>
  <c r="R36" i="13"/>
  <c r="C2232" i="15"/>
  <c r="D2233" i="15" s="1"/>
  <c r="D2234" i="15" s="1"/>
  <c r="F2234" i="15" s="1"/>
  <c r="Y19" i="15" s="1"/>
  <c r="G246" i="14"/>
  <c r="H246" i="14" s="1"/>
  <c r="C2126" i="15"/>
  <c r="C2110" i="15"/>
  <c r="I75" i="14"/>
  <c r="K75" i="14" s="1"/>
  <c r="I78" i="14"/>
  <c r="K78" i="14" s="1"/>
  <c r="I76" i="14"/>
  <c r="K76" i="14" s="1"/>
  <c r="C727" i="15"/>
  <c r="I77" i="14"/>
  <c r="K77" i="14" s="1"/>
  <c r="G79" i="14"/>
  <c r="H79" i="14" s="1"/>
  <c r="D111" i="23"/>
  <c r="D134" i="23"/>
  <c r="C2677" i="15"/>
  <c r="G287" i="14"/>
  <c r="H287" i="14" s="1"/>
  <c r="I285" i="14"/>
  <c r="K285" i="14" s="1"/>
  <c r="I283" i="14"/>
  <c r="K283" i="14" s="1"/>
  <c r="I284" i="14"/>
  <c r="K284" i="14" s="1"/>
  <c r="I286" i="14"/>
  <c r="K286" i="14" s="1"/>
  <c r="D772" i="23"/>
  <c r="D755" i="23"/>
  <c r="D738" i="23"/>
  <c r="D750" i="23"/>
  <c r="D715" i="23"/>
  <c r="D776" i="23"/>
  <c r="AH905" i="9"/>
  <c r="AJ905" i="9"/>
  <c r="AI905" i="9"/>
  <c r="AJ923" i="9"/>
  <c r="AI923" i="9"/>
  <c r="AH923" i="9"/>
  <c r="C2818" i="15"/>
  <c r="D2819" i="15" s="1"/>
  <c r="D2822" i="15" s="1"/>
  <c r="F2822" i="15" s="1"/>
  <c r="W23" i="15" s="1"/>
  <c r="C2710" i="15"/>
  <c r="C2832" i="15"/>
  <c r="D2833" i="15" s="1"/>
  <c r="D2834" i="15" s="1"/>
  <c r="F2834" i="15" s="1"/>
  <c r="Y23" i="15" s="1"/>
  <c r="C2767" i="15"/>
  <c r="I310" i="14"/>
  <c r="K310" i="14" s="1"/>
  <c r="G310" i="14"/>
  <c r="H310" i="14" s="1"/>
  <c r="C2787" i="15"/>
  <c r="D2789" i="15" s="1"/>
  <c r="C2726" i="15"/>
  <c r="C2746" i="15"/>
  <c r="I311" i="14"/>
  <c r="K311" i="14" s="1"/>
  <c r="R40" i="13"/>
  <c r="Q40" i="13"/>
  <c r="C2806" i="15"/>
  <c r="D2807" i="15" s="1"/>
  <c r="G311" i="14"/>
  <c r="H311" i="14" s="1"/>
  <c r="C2720" i="15"/>
  <c r="H2756" i="15"/>
  <c r="C2756" i="15"/>
  <c r="C871" i="15"/>
  <c r="D871" i="15" s="1"/>
  <c r="C764" i="15"/>
  <c r="H800" i="15"/>
  <c r="D812" i="15" s="1"/>
  <c r="F812" i="15" s="1"/>
  <c r="P10" i="15" s="1"/>
  <c r="C800" i="15"/>
  <c r="L118" i="14"/>
  <c r="N118" i="14" s="1"/>
  <c r="AJ965" i="9"/>
  <c r="AI965" i="9"/>
  <c r="AH965" i="9"/>
  <c r="AJ990" i="9"/>
  <c r="AI990" i="9"/>
  <c r="AH990" i="9"/>
  <c r="AJ936" i="9"/>
  <c r="AI936" i="9"/>
  <c r="AH936" i="9"/>
  <c r="AJ857" i="9"/>
  <c r="AI857" i="9"/>
  <c r="AH857" i="9"/>
  <c r="AJ789" i="9"/>
  <c r="AI789" i="9"/>
  <c r="AH789" i="9"/>
  <c r="AJ685" i="9"/>
  <c r="AI685" i="9"/>
  <c r="AH685" i="9"/>
  <c r="AJ751" i="9"/>
  <c r="AI751" i="9"/>
  <c r="AH751" i="9"/>
  <c r="AJ709" i="9"/>
  <c r="AH709" i="9"/>
  <c r="AI709" i="9"/>
  <c r="AJ678" i="9"/>
  <c r="AI678" i="9"/>
  <c r="AH678" i="9"/>
  <c r="AI665" i="9"/>
  <c r="AH665" i="9"/>
  <c r="AJ665" i="9"/>
  <c r="AJ707" i="9"/>
  <c r="AI707" i="9"/>
  <c r="AH707" i="9"/>
  <c r="AJ625" i="9"/>
  <c r="AI625" i="9"/>
  <c r="AH625" i="9"/>
  <c r="AH592" i="9"/>
  <c r="AJ592" i="9"/>
  <c r="AI592" i="9"/>
  <c r="AI482" i="9"/>
  <c r="AH482" i="9"/>
  <c r="AJ482" i="9"/>
  <c r="AH434" i="9"/>
  <c r="AJ434" i="9"/>
  <c r="AI434" i="9"/>
  <c r="AJ495" i="9"/>
  <c r="AI495" i="9"/>
  <c r="AH495" i="9"/>
  <c r="AI539" i="9"/>
  <c r="AJ539" i="9"/>
  <c r="AH539" i="9"/>
  <c r="AJ449" i="9"/>
  <c r="AI449" i="9"/>
  <c r="AH449" i="9"/>
  <c r="AH368" i="9"/>
  <c r="F416" i="21" s="1"/>
  <c r="AJ368" i="9"/>
  <c r="F418" i="21" s="1"/>
  <c r="AI368" i="9"/>
  <c r="F417" i="21" s="1"/>
  <c r="AI365" i="9"/>
  <c r="AQ375" i="21" s="1"/>
  <c r="AH365" i="9"/>
  <c r="AQ374" i="21" s="1"/>
  <c r="AJ365" i="9"/>
  <c r="AQ376" i="21" s="1"/>
  <c r="AJ404" i="9"/>
  <c r="AP418" i="21" s="1"/>
  <c r="AI404" i="9"/>
  <c r="AP417" i="21" s="1"/>
  <c r="AH404" i="9"/>
  <c r="AP416" i="21" s="1"/>
  <c r="D223" i="22"/>
  <c r="E223" i="22" s="1"/>
  <c r="H222" i="22" s="1"/>
  <c r="I222" i="22" s="1"/>
  <c r="E86" i="18"/>
  <c r="E173" i="24" s="1"/>
  <c r="AH217" i="9"/>
  <c r="O248" i="21" s="1"/>
  <c r="AJ217" i="9"/>
  <c r="O250" i="21" s="1"/>
  <c r="AI217" i="9"/>
  <c r="O249" i="21" s="1"/>
  <c r="AI225" i="9"/>
  <c r="W249" i="21" s="1"/>
  <c r="AJ225" i="9"/>
  <c r="W250" i="21" s="1"/>
  <c r="AH225" i="9"/>
  <c r="W248" i="21" s="1"/>
  <c r="AH249" i="9"/>
  <c r="G290" i="21" s="1"/>
  <c r="AI249" i="9"/>
  <c r="G291" i="21" s="1"/>
  <c r="AJ249" i="9"/>
  <c r="G292" i="21" s="1"/>
  <c r="AJ205" i="9"/>
  <c r="AQ208" i="21" s="1"/>
  <c r="AI205" i="9"/>
  <c r="AQ207" i="21" s="1"/>
  <c r="AH205" i="9"/>
  <c r="AQ206" i="21" s="1"/>
  <c r="AJ238" i="9"/>
  <c r="AJ250" i="21" s="1"/>
  <c r="AI238" i="9"/>
  <c r="AJ249" i="21" s="1"/>
  <c r="AH238" i="9"/>
  <c r="AJ248" i="21" s="1"/>
  <c r="AJ118" i="9"/>
  <c r="AJ124" i="21" s="1"/>
  <c r="AI118" i="9"/>
  <c r="AJ123" i="21" s="1"/>
  <c r="AH118" i="9"/>
  <c r="AJ122" i="21" s="1"/>
  <c r="AJ36" i="9"/>
  <c r="AH40" i="21" s="1"/>
  <c r="AI36" i="9"/>
  <c r="AH39" i="21" s="1"/>
  <c r="AH36" i="9"/>
  <c r="AH38" i="21" s="1"/>
  <c r="AJ215" i="9"/>
  <c r="M250" i="21" s="1"/>
  <c r="AI215" i="9"/>
  <c r="M249" i="21" s="1"/>
  <c r="AH215" i="9"/>
  <c r="M248" i="21" s="1"/>
  <c r="D35" i="10"/>
  <c r="C35" i="10"/>
  <c r="B35" i="10"/>
  <c r="K35" i="10"/>
  <c r="G35" i="10"/>
  <c r="F35" i="10"/>
  <c r="E35" i="10"/>
  <c r="F36" i="10"/>
  <c r="E36" i="10"/>
  <c r="D36" i="10"/>
  <c r="C36" i="10"/>
  <c r="B36" i="10"/>
  <c r="K36" i="10"/>
  <c r="G36" i="10"/>
  <c r="F71" i="10"/>
  <c r="E71" i="10"/>
  <c r="D71" i="10"/>
  <c r="C71" i="10"/>
  <c r="B71" i="10"/>
  <c r="K71" i="10"/>
  <c r="G71" i="10"/>
  <c r="G80" i="10"/>
  <c r="F80" i="10"/>
  <c r="E80" i="10"/>
  <c r="K80" i="10"/>
  <c r="D80" i="10"/>
  <c r="C80" i="10"/>
  <c r="B80" i="10"/>
  <c r="B76" i="10"/>
  <c r="K76" i="10"/>
  <c r="G76" i="10"/>
  <c r="F76" i="10"/>
  <c r="E76" i="10"/>
  <c r="D76" i="10"/>
  <c r="C76" i="10"/>
  <c r="K68" i="10"/>
  <c r="G68" i="10"/>
  <c r="F68" i="10"/>
  <c r="E68" i="10"/>
  <c r="D68" i="10"/>
  <c r="C68" i="10"/>
  <c r="B68" i="10"/>
  <c r="K67" i="10"/>
  <c r="G67" i="10"/>
  <c r="F67" i="10"/>
  <c r="B67" i="10"/>
  <c r="E67" i="10"/>
  <c r="D67" i="10"/>
  <c r="C67" i="10"/>
  <c r="D43" i="21"/>
  <c r="D39" i="18"/>
  <c r="AJ23" i="9"/>
  <c r="U40" i="21" s="1"/>
  <c r="AI23" i="9"/>
  <c r="U39" i="21" s="1"/>
  <c r="AH23" i="9"/>
  <c r="U38" i="21" s="1"/>
  <c r="D207" i="22"/>
  <c r="E207" i="22" s="1"/>
  <c r="H206" i="22" s="1"/>
  <c r="I206" i="22" s="1"/>
  <c r="E82" i="18"/>
  <c r="H1106" i="15"/>
  <c r="D1112" i="15" s="1"/>
  <c r="F1112" i="15" s="1"/>
  <c r="P12" i="15" s="1"/>
  <c r="C1106" i="15"/>
  <c r="C1070" i="15"/>
  <c r="C392" i="15"/>
  <c r="H392" i="15"/>
  <c r="D398" i="15" s="1"/>
  <c r="F398" i="15" s="1"/>
  <c r="T7" i="15" s="1"/>
  <c r="G66" i="10"/>
  <c r="F66" i="10"/>
  <c r="E66" i="10"/>
  <c r="K66" i="10"/>
  <c r="D66" i="10"/>
  <c r="C66" i="10"/>
  <c r="B66" i="10"/>
  <c r="AJ341" i="9"/>
  <c r="S376" i="21" s="1"/>
  <c r="AI341" i="9"/>
  <c r="S375" i="21" s="1"/>
  <c r="AH341" i="9"/>
  <c r="S374" i="21" s="1"/>
  <c r="AJ138" i="9"/>
  <c r="P166" i="21" s="1"/>
  <c r="AI138" i="9"/>
  <c r="P165" i="21" s="1"/>
  <c r="AH138" i="9"/>
  <c r="P164" i="21" s="1"/>
  <c r="C1887" i="15"/>
  <c r="D1889" i="15" s="1"/>
  <c r="C1932" i="15"/>
  <c r="D1933" i="15" s="1"/>
  <c r="D1934" i="15" s="1"/>
  <c r="F1934" i="15" s="1"/>
  <c r="Y17" i="15" s="1"/>
  <c r="C1906" i="15"/>
  <c r="D1907" i="15" s="1"/>
  <c r="C1918" i="15"/>
  <c r="D1919" i="15" s="1"/>
  <c r="D1922" i="15" s="1"/>
  <c r="F1922" i="15" s="1"/>
  <c r="W17" i="15" s="1"/>
  <c r="G215" i="14"/>
  <c r="H215" i="14" s="1"/>
  <c r="C1867" i="15"/>
  <c r="C1810" i="15"/>
  <c r="C1826" i="15"/>
  <c r="C1846" i="15"/>
  <c r="I215" i="14"/>
  <c r="K215" i="14" s="1"/>
  <c r="R34" i="13"/>
  <c r="Q34" i="13"/>
  <c r="G214" i="14"/>
  <c r="H214" i="14" s="1"/>
  <c r="L214" i="14" s="1"/>
  <c r="N214" i="14" s="1"/>
  <c r="I214" i="14"/>
  <c r="K214" i="14" s="1"/>
  <c r="D2011" i="15"/>
  <c r="F2011" i="15" s="1"/>
  <c r="C1321" i="15"/>
  <c r="D1321" i="15" s="1"/>
  <c r="D1322" i="15" s="1"/>
  <c r="F1322" i="15" s="1"/>
  <c r="W13" i="15" s="1"/>
  <c r="C1250" i="15"/>
  <c r="C1214" i="15"/>
  <c r="H1250" i="15"/>
  <c r="D1262" i="15" s="1"/>
  <c r="F1262" i="15" s="1"/>
  <c r="P13" i="15" s="1"/>
  <c r="AI991" i="9"/>
  <c r="AH991" i="9"/>
  <c r="AJ991" i="9"/>
  <c r="D163" i="23"/>
  <c r="D141" i="23"/>
  <c r="D167" i="23"/>
  <c r="D129" i="23"/>
  <c r="D106" i="23"/>
  <c r="D146" i="23"/>
  <c r="D386" i="23"/>
  <c r="C556" i="15"/>
  <c r="D557" i="15" s="1"/>
  <c r="G70" i="14"/>
  <c r="H70" i="14" s="1"/>
  <c r="L70" i="14" s="1"/>
  <c r="N70" i="14" s="1"/>
  <c r="C582" i="15"/>
  <c r="D583" i="15" s="1"/>
  <c r="D584" i="15" s="1"/>
  <c r="F584" i="15" s="1"/>
  <c r="Y8" i="15" s="1"/>
  <c r="C568" i="15"/>
  <c r="D569" i="15" s="1"/>
  <c r="D572" i="15" s="1"/>
  <c r="F572" i="15" s="1"/>
  <c r="W8" i="15" s="1"/>
  <c r="C476" i="15"/>
  <c r="I71" i="14"/>
  <c r="K71" i="14" s="1"/>
  <c r="R25" i="13"/>
  <c r="Q25" i="13"/>
  <c r="C537" i="15"/>
  <c r="D539" i="15" s="1"/>
  <c r="I70" i="14"/>
  <c r="K70" i="14" s="1"/>
  <c r="C517" i="15"/>
  <c r="C460" i="15"/>
  <c r="G71" i="14"/>
  <c r="H71" i="14" s="1"/>
  <c r="L71" i="14" s="1"/>
  <c r="N71" i="14" s="1"/>
  <c r="C496" i="15"/>
  <c r="H950" i="15"/>
  <c r="D962" i="15" s="1"/>
  <c r="F962" i="15" s="1"/>
  <c r="P11" i="15" s="1"/>
  <c r="C914" i="15"/>
  <c r="C1021" i="15"/>
  <c r="D1021" i="15" s="1"/>
  <c r="D1022" i="15" s="1"/>
  <c r="F1022" i="15" s="1"/>
  <c r="W11" i="15" s="1"/>
  <c r="C950" i="15"/>
  <c r="L151" i="14"/>
  <c r="N151" i="14" s="1"/>
  <c r="D1439" i="15"/>
  <c r="C770" i="15"/>
  <c r="H806" i="15"/>
  <c r="C806" i="15"/>
  <c r="AJ915" i="9"/>
  <c r="AH915" i="9"/>
  <c r="AI915" i="9"/>
  <c r="AH957" i="9"/>
  <c r="AJ957" i="9"/>
  <c r="AI957" i="9"/>
  <c r="AI893" i="9"/>
  <c r="AJ893" i="9"/>
  <c r="AH893" i="9"/>
  <c r="AH938" i="9"/>
  <c r="AJ938" i="9"/>
  <c r="AI938" i="9"/>
  <c r="AI819" i="9"/>
  <c r="AH819" i="9"/>
  <c r="AJ819" i="9"/>
  <c r="AJ838" i="9"/>
  <c r="AH838" i="9"/>
  <c r="AI838" i="9"/>
  <c r="AI908" i="9"/>
  <c r="AJ908" i="9"/>
  <c r="AH908" i="9"/>
  <c r="AJ899" i="9"/>
  <c r="AI899" i="9"/>
  <c r="AH899" i="9"/>
  <c r="AH784" i="9"/>
  <c r="AJ784" i="9"/>
  <c r="AI784" i="9"/>
  <c r="AJ901" i="9"/>
  <c r="AH901" i="9"/>
  <c r="AI901" i="9"/>
  <c r="AJ741" i="9"/>
  <c r="AI741" i="9"/>
  <c r="AH741" i="9"/>
  <c r="AJ661" i="9"/>
  <c r="AI661" i="9"/>
  <c r="AH661" i="9"/>
  <c r="AH606" i="9"/>
  <c r="AJ606" i="9"/>
  <c r="AI606" i="9"/>
  <c r="AI440" i="9"/>
  <c r="AH440" i="9"/>
  <c r="AJ440" i="9"/>
  <c r="AJ597" i="9"/>
  <c r="AI597" i="9"/>
  <c r="AH597" i="9"/>
  <c r="AI504" i="9"/>
  <c r="AH504" i="9"/>
  <c r="AJ504" i="9"/>
  <c r="AJ612" i="9"/>
  <c r="AH612" i="9"/>
  <c r="AI612" i="9"/>
  <c r="AJ535" i="9"/>
  <c r="AI535" i="9"/>
  <c r="AH535" i="9"/>
  <c r="AJ538" i="9"/>
  <c r="AI538" i="9"/>
  <c r="AH538" i="9"/>
  <c r="AH578" i="9"/>
  <c r="AJ578" i="9"/>
  <c r="AI578" i="9"/>
  <c r="AJ393" i="9"/>
  <c r="AE418" i="21" s="1"/>
  <c r="AI393" i="9"/>
  <c r="AE417" i="21" s="1"/>
  <c r="AH393" i="9"/>
  <c r="AE416" i="21" s="1"/>
  <c r="AJ474" i="9"/>
  <c r="AI474" i="9"/>
  <c r="AH474" i="9"/>
  <c r="AI356" i="9"/>
  <c r="AH375" i="21" s="1"/>
  <c r="AH356" i="9"/>
  <c r="AH374" i="21" s="1"/>
  <c r="AJ356" i="9"/>
  <c r="AH376" i="21" s="1"/>
  <c r="AH406" i="9"/>
  <c r="AJ406" i="9"/>
  <c r="AI406" i="9"/>
  <c r="AJ280" i="9"/>
  <c r="AL292" i="21" s="1"/>
  <c r="AI280" i="9"/>
  <c r="AL291" i="21" s="1"/>
  <c r="AH280" i="9"/>
  <c r="AL290" i="21" s="1"/>
  <c r="AJ390" i="9"/>
  <c r="AB418" i="21" s="1"/>
  <c r="AI390" i="9"/>
  <c r="AB417" i="21" s="1"/>
  <c r="AH390" i="9"/>
  <c r="AB416" i="21" s="1"/>
  <c r="AJ355" i="9"/>
  <c r="AG376" i="21" s="1"/>
  <c r="AI355" i="9"/>
  <c r="AG375" i="21" s="1"/>
  <c r="AH355" i="9"/>
  <c r="AG374" i="21" s="1"/>
  <c r="AJ97" i="9"/>
  <c r="O124" i="21" s="1"/>
  <c r="AI97" i="9"/>
  <c r="O123" i="21" s="1"/>
  <c r="AH97" i="9"/>
  <c r="O122" i="21" s="1"/>
  <c r="AJ192" i="9"/>
  <c r="AD208" i="21" s="1"/>
  <c r="AI192" i="9"/>
  <c r="AD207" i="21" s="1"/>
  <c r="AH192" i="9"/>
  <c r="AD206" i="21" s="1"/>
  <c r="AH175" i="9"/>
  <c r="M206" i="21" s="1"/>
  <c r="AJ175" i="9"/>
  <c r="M208" i="21" s="1"/>
  <c r="AI175" i="9"/>
  <c r="M207" i="21" s="1"/>
  <c r="AJ96" i="9"/>
  <c r="N124" i="21" s="1"/>
  <c r="AI96" i="9"/>
  <c r="N123" i="21" s="1"/>
  <c r="AH96" i="9"/>
  <c r="N122" i="21" s="1"/>
  <c r="AJ285" i="9"/>
  <c r="AQ292" i="21" s="1"/>
  <c r="AI285" i="9"/>
  <c r="AQ291" i="21" s="1"/>
  <c r="AH285" i="9"/>
  <c r="AQ290" i="21" s="1"/>
  <c r="AJ254" i="9"/>
  <c r="L292" i="21" s="1"/>
  <c r="AI254" i="9"/>
  <c r="L291" i="21" s="1"/>
  <c r="AH254" i="9"/>
  <c r="L290" i="21" s="1"/>
  <c r="AJ255" i="9"/>
  <c r="M292" i="21" s="1"/>
  <c r="AI255" i="9"/>
  <c r="M291" i="21" s="1"/>
  <c r="AH255" i="9"/>
  <c r="M290" i="21" s="1"/>
  <c r="AJ75" i="9"/>
  <c r="AG82" i="21" s="1"/>
  <c r="AI75" i="9"/>
  <c r="AG81" i="21" s="1"/>
  <c r="AH75" i="9"/>
  <c r="AG80" i="21" s="1"/>
  <c r="AJ27" i="9"/>
  <c r="Y40" i="21" s="1"/>
  <c r="AH27" i="9"/>
  <c r="Y38" i="21" s="1"/>
  <c r="AI27" i="9"/>
  <c r="Y39" i="21" s="1"/>
  <c r="AJ12" i="9"/>
  <c r="J40" i="21" s="1"/>
  <c r="AI12" i="9"/>
  <c r="J39" i="21" s="1"/>
  <c r="AH12" i="9"/>
  <c r="J38" i="21" s="1"/>
  <c r="AJ94" i="9"/>
  <c r="L124" i="21" s="1"/>
  <c r="AI94" i="9"/>
  <c r="L123" i="21" s="1"/>
  <c r="AH94" i="9"/>
  <c r="L122" i="21" s="1"/>
  <c r="D11" i="25"/>
  <c r="E11" i="25" s="1"/>
  <c r="D202" i="22"/>
  <c r="E203" i="22" s="1"/>
  <c r="H201" i="22" s="1"/>
  <c r="I201" i="22" s="1"/>
  <c r="D56" i="10"/>
  <c r="C56" i="10"/>
  <c r="B56" i="10"/>
  <c r="G56" i="10"/>
  <c r="F56" i="10"/>
  <c r="E56" i="10"/>
  <c r="K56" i="10"/>
  <c r="G58" i="10"/>
  <c r="F58" i="10"/>
  <c r="E58" i="10"/>
  <c r="D58" i="10"/>
  <c r="C58" i="10"/>
  <c r="B58" i="10"/>
  <c r="K58" i="10"/>
  <c r="D77" i="10"/>
  <c r="C77" i="10"/>
  <c r="B77" i="10"/>
  <c r="F77" i="10"/>
  <c r="E77" i="10"/>
  <c r="G77" i="10"/>
  <c r="K77" i="10"/>
  <c r="G86" i="10"/>
  <c r="F86" i="10"/>
  <c r="E86" i="10"/>
  <c r="D86" i="10"/>
  <c r="C86" i="10"/>
  <c r="K86" i="10"/>
  <c r="B86" i="10"/>
  <c r="B83" i="10"/>
  <c r="K83" i="10"/>
  <c r="C83" i="10"/>
  <c r="G83" i="10"/>
  <c r="F83" i="10"/>
  <c r="E83" i="10"/>
  <c r="D83" i="10"/>
  <c r="K75" i="10"/>
  <c r="G75" i="10"/>
  <c r="F75" i="10"/>
  <c r="E75" i="10"/>
  <c r="D75" i="10"/>
  <c r="C75" i="10"/>
  <c r="B75" i="10"/>
  <c r="K74" i="10"/>
  <c r="G74" i="10"/>
  <c r="F74" i="10"/>
  <c r="E74" i="10"/>
  <c r="D74" i="10"/>
  <c r="C74" i="10"/>
  <c r="B74" i="10"/>
  <c r="AI379" i="9"/>
  <c r="Q417" i="21" s="1"/>
  <c r="AH379" i="9"/>
  <c r="Q416" i="21" s="1"/>
  <c r="AJ379" i="9"/>
  <c r="Q418" i="21" s="1"/>
  <c r="I32" i="14"/>
  <c r="K32" i="14" s="1"/>
  <c r="G34" i="14"/>
  <c r="H34" i="14" s="1"/>
  <c r="I33" i="14"/>
  <c r="K33" i="14" s="1"/>
  <c r="H1256" i="15"/>
  <c r="C1256" i="15"/>
  <c r="C1220" i="15"/>
  <c r="C2561" i="15"/>
  <c r="W39" i="13"/>
  <c r="I62" i="14"/>
  <c r="K62" i="14" s="1"/>
  <c r="I60" i="14"/>
  <c r="K60" i="14" s="1"/>
  <c r="C577" i="15"/>
  <c r="I59" i="14"/>
  <c r="K59" i="14" s="1"/>
  <c r="I61" i="14"/>
  <c r="K61" i="14" s="1"/>
  <c r="G63" i="14"/>
  <c r="H63" i="14" s="1"/>
  <c r="AI939" i="9"/>
  <c r="AH939" i="9"/>
  <c r="AJ939" i="9"/>
  <c r="G149" i="14"/>
  <c r="H149" i="14" s="1"/>
  <c r="L149" i="14" s="1"/>
  <c r="N149" i="14" s="1"/>
  <c r="AC30" i="13"/>
  <c r="X30" i="13"/>
  <c r="Y30" i="13" s="1"/>
  <c r="I148" i="14"/>
  <c r="K148" i="14" s="1"/>
  <c r="L148" i="14" s="1"/>
  <c r="N148" i="14" s="1"/>
  <c r="V17" i="14" s="1"/>
  <c r="D1352" i="15" s="1"/>
  <c r="F1352" i="15" s="1"/>
  <c r="AE13" i="15" s="1"/>
  <c r="AB30" i="13"/>
  <c r="C2435" i="15"/>
  <c r="C2455" i="15"/>
  <c r="D2456" i="15" s="1"/>
  <c r="C2419" i="15"/>
  <c r="D2420" i="15" s="1"/>
  <c r="AI973" i="9"/>
  <c r="AH973" i="9"/>
  <c r="AJ973" i="9"/>
  <c r="D2774" i="15"/>
  <c r="F2774" i="15" s="1"/>
  <c r="R23" i="15" s="1"/>
  <c r="AH816" i="9"/>
  <c r="AJ816" i="9"/>
  <c r="AI816" i="9"/>
  <c r="AI864" i="9"/>
  <c r="AJ864" i="9"/>
  <c r="AH864" i="9"/>
  <c r="AJ884" i="9"/>
  <c r="AI884" i="9"/>
  <c r="AH884" i="9"/>
  <c r="AJ840" i="9"/>
  <c r="AI840" i="9"/>
  <c r="AH840" i="9"/>
  <c r="AH863" i="9"/>
  <c r="AJ863" i="9"/>
  <c r="AI863" i="9"/>
  <c r="AI697" i="9"/>
  <c r="AH697" i="9"/>
  <c r="AJ697" i="9"/>
  <c r="AJ710" i="9"/>
  <c r="AI710" i="9"/>
  <c r="AH710" i="9"/>
  <c r="AJ861" i="9"/>
  <c r="AI861" i="9"/>
  <c r="AH861" i="9"/>
  <c r="AI657" i="9"/>
  <c r="AJ657" i="9"/>
  <c r="AH657" i="9"/>
  <c r="AI655" i="9"/>
  <c r="AH655" i="9"/>
  <c r="AJ655" i="9"/>
  <c r="AJ682" i="9"/>
  <c r="AI682" i="9"/>
  <c r="AH682" i="9"/>
  <c r="AJ608" i="9"/>
  <c r="AI608" i="9"/>
  <c r="AH608" i="9"/>
  <c r="AH644" i="9"/>
  <c r="AJ644" i="9"/>
  <c r="AI644" i="9"/>
  <c r="AJ565" i="9"/>
  <c r="AI565" i="9"/>
  <c r="AH565" i="9"/>
  <c r="AI510" i="9"/>
  <c r="AH510" i="9"/>
  <c r="AJ510" i="9"/>
  <c r="AJ498" i="9"/>
  <c r="AI498" i="9"/>
  <c r="AH498" i="9"/>
  <c r="AI581" i="9"/>
  <c r="AH581" i="9"/>
  <c r="AJ581" i="9"/>
  <c r="AJ481" i="9"/>
  <c r="AH481" i="9"/>
  <c r="AI481" i="9"/>
  <c r="AJ386" i="9"/>
  <c r="X418" i="21" s="1"/>
  <c r="AI386" i="9"/>
  <c r="X417" i="21" s="1"/>
  <c r="AH386" i="9"/>
  <c r="X416" i="21" s="1"/>
  <c r="AI295" i="9"/>
  <c r="M333" i="21" s="1"/>
  <c r="AJ295" i="9"/>
  <c r="M334" i="21" s="1"/>
  <c r="AH295" i="9"/>
  <c r="M332" i="21" s="1"/>
  <c r="AI314" i="9"/>
  <c r="AF333" i="21" s="1"/>
  <c r="AH314" i="9"/>
  <c r="AF332" i="21" s="1"/>
  <c r="AJ314" i="9"/>
  <c r="AF334" i="21" s="1"/>
  <c r="AJ339" i="9"/>
  <c r="Q376" i="21" s="1"/>
  <c r="AI339" i="9"/>
  <c r="Q375" i="21" s="1"/>
  <c r="AH339" i="9"/>
  <c r="Q374" i="21" s="1"/>
  <c r="AJ313" i="9"/>
  <c r="AE334" i="21" s="1"/>
  <c r="AI313" i="9"/>
  <c r="AE333" i="21" s="1"/>
  <c r="AH313" i="9"/>
  <c r="AE332" i="21" s="1"/>
  <c r="AJ282" i="9"/>
  <c r="AN292" i="21" s="1"/>
  <c r="AI282" i="9"/>
  <c r="AN291" i="21" s="1"/>
  <c r="AH282" i="9"/>
  <c r="AN290" i="21" s="1"/>
  <c r="AJ195" i="9"/>
  <c r="AG208" i="21" s="1"/>
  <c r="AI195" i="9"/>
  <c r="AG207" i="21" s="1"/>
  <c r="AH195" i="9"/>
  <c r="AG206" i="21" s="1"/>
  <c r="AJ220" i="9"/>
  <c r="R250" i="21" s="1"/>
  <c r="AI220" i="9"/>
  <c r="R249" i="21" s="1"/>
  <c r="AH220" i="9"/>
  <c r="R248" i="21" s="1"/>
  <c r="AJ257" i="9"/>
  <c r="O292" i="21" s="1"/>
  <c r="AI257" i="9"/>
  <c r="O291" i="21" s="1"/>
  <c r="AH257" i="9"/>
  <c r="O290" i="21" s="1"/>
  <c r="AJ149" i="9"/>
  <c r="AA166" i="21" s="1"/>
  <c r="AI149" i="9"/>
  <c r="AA165" i="21" s="1"/>
  <c r="AH149" i="9"/>
  <c r="AA164" i="21" s="1"/>
  <c r="AJ93" i="9"/>
  <c r="K124" i="21" s="1"/>
  <c r="AI93" i="9"/>
  <c r="K123" i="21" s="1"/>
  <c r="AH93" i="9"/>
  <c r="K122" i="21" s="1"/>
  <c r="AJ187" i="9"/>
  <c r="Y208" i="21" s="1"/>
  <c r="AI187" i="9"/>
  <c r="Y207" i="21" s="1"/>
  <c r="AH187" i="9"/>
  <c r="Y206" i="21" s="1"/>
  <c r="D13" i="22"/>
  <c r="E14" i="22" s="1"/>
  <c r="H12" i="22" s="1"/>
  <c r="E47" i="18"/>
  <c r="D53" i="24" s="1"/>
  <c r="AJ136" i="9"/>
  <c r="N166" i="21" s="1"/>
  <c r="AI136" i="9"/>
  <c r="N165" i="21" s="1"/>
  <c r="AH136" i="9"/>
  <c r="N164" i="21" s="1"/>
  <c r="F78" i="10"/>
  <c r="E78" i="10"/>
  <c r="D78" i="10"/>
  <c r="C78" i="10"/>
  <c r="B78" i="10"/>
  <c r="K78" i="10"/>
  <c r="G78" i="10"/>
  <c r="G79" i="10"/>
  <c r="F79" i="10"/>
  <c r="E79" i="10"/>
  <c r="D79" i="10"/>
  <c r="C79" i="10"/>
  <c r="K79" i="10"/>
  <c r="B79" i="10"/>
  <c r="F8" i="10"/>
  <c r="E8" i="10"/>
  <c r="D8" i="10"/>
  <c r="C8" i="10"/>
  <c r="B8" i="10"/>
  <c r="K8" i="10"/>
  <c r="G8" i="10"/>
  <c r="F92" i="10"/>
  <c r="E92" i="10"/>
  <c r="D92" i="10"/>
  <c r="C92" i="10"/>
  <c r="B92" i="10"/>
  <c r="K92" i="10"/>
  <c r="G92" i="10"/>
  <c r="B90" i="10"/>
  <c r="K90" i="10"/>
  <c r="G90" i="10"/>
  <c r="F90" i="10"/>
  <c r="E90" i="10"/>
  <c r="D90" i="10"/>
  <c r="C90" i="10"/>
  <c r="K82" i="10"/>
  <c r="G82" i="10"/>
  <c r="F82" i="10"/>
  <c r="E82" i="10"/>
  <c r="D82" i="10"/>
  <c r="C82" i="10"/>
  <c r="B82" i="10"/>
  <c r="K81" i="10"/>
  <c r="G81" i="10"/>
  <c r="B81" i="10"/>
  <c r="D81" i="10"/>
  <c r="C81" i="10"/>
  <c r="E81" i="10"/>
  <c r="F81" i="10"/>
  <c r="AJ26" i="9"/>
  <c r="X40" i="21" s="1"/>
  <c r="AI26" i="9"/>
  <c r="X39" i="21" s="1"/>
  <c r="AH26" i="9"/>
  <c r="X38" i="21" s="1"/>
  <c r="D211" i="22"/>
  <c r="E211" i="22" s="1"/>
  <c r="H210" i="22" s="1"/>
  <c r="I210" i="22" s="1"/>
  <c r="E83" i="18"/>
  <c r="E175" i="24" s="1"/>
  <c r="C1741" i="15" l="1"/>
  <c r="C1755" i="15"/>
  <c r="D1755" i="15" s="1"/>
  <c r="C1793" i="15"/>
  <c r="D1793" i="15" s="1"/>
  <c r="C1291" i="15"/>
  <c r="C1305" i="15"/>
  <c r="D1305" i="15" s="1"/>
  <c r="C1343" i="15"/>
  <c r="D1343" i="15" s="1"/>
  <c r="C1891" i="15"/>
  <c r="C1905" i="15"/>
  <c r="D1905" i="15" s="1"/>
  <c r="C1943" i="15"/>
  <c r="D1943" i="15" s="1"/>
  <c r="H86" i="10"/>
  <c r="J86" i="10"/>
  <c r="I86" i="10"/>
  <c r="A86" i="10"/>
  <c r="J68" i="10"/>
  <c r="I68" i="10"/>
  <c r="H68" i="10"/>
  <c r="A68" i="10"/>
  <c r="I12" i="22"/>
  <c r="L215" i="14"/>
  <c r="N215" i="14" s="1"/>
  <c r="L295" i="14"/>
  <c r="N295" i="14" s="1"/>
  <c r="H2342" i="15"/>
  <c r="C2342" i="15"/>
  <c r="A55" i="10"/>
  <c r="J55" i="10"/>
  <c r="I55" i="10"/>
  <c r="H55" i="10"/>
  <c r="H100" i="10"/>
  <c r="J100" i="10"/>
  <c r="I100" i="10"/>
  <c r="A100" i="10"/>
  <c r="C781" i="15"/>
  <c r="D783" i="15" s="1"/>
  <c r="C801" i="15"/>
  <c r="D803" i="15" s="1"/>
  <c r="C765" i="15"/>
  <c r="D767" i="15" s="1"/>
  <c r="I104" i="14"/>
  <c r="K104" i="14" s="1"/>
  <c r="L104" i="14" s="1"/>
  <c r="N104" i="14" s="1"/>
  <c r="G309" i="14"/>
  <c r="H309" i="14" s="1"/>
  <c r="L309" i="14" s="1"/>
  <c r="N309" i="14" s="1"/>
  <c r="AC40" i="13"/>
  <c r="AB40" i="13"/>
  <c r="Y40" i="13"/>
  <c r="X40" i="13"/>
  <c r="I308" i="14"/>
  <c r="K308" i="14" s="1"/>
  <c r="L308" i="14" s="1"/>
  <c r="N308" i="14" s="1"/>
  <c r="J10" i="10"/>
  <c r="I10" i="10"/>
  <c r="H10" i="10"/>
  <c r="A10" i="10"/>
  <c r="J18" i="10"/>
  <c r="I18" i="10"/>
  <c r="H18" i="10"/>
  <c r="A18" i="10"/>
  <c r="J87" i="10"/>
  <c r="I87" i="10"/>
  <c r="H87" i="10"/>
  <c r="A87" i="10"/>
  <c r="J102" i="10"/>
  <c r="I102" i="10"/>
  <c r="H102" i="10"/>
  <c r="A102" i="10"/>
  <c r="A21" i="10"/>
  <c r="I21" i="10"/>
  <c r="H21" i="10"/>
  <c r="J21" i="10"/>
  <c r="H58" i="10"/>
  <c r="I58" i="10"/>
  <c r="A58" i="10"/>
  <c r="J58" i="10"/>
  <c r="J82" i="10"/>
  <c r="I82" i="10"/>
  <c r="H82" i="10"/>
  <c r="A82" i="10"/>
  <c r="J80" i="10"/>
  <c r="I80" i="10"/>
  <c r="H80" i="10"/>
  <c r="A80" i="10"/>
  <c r="J75" i="10"/>
  <c r="I75" i="10"/>
  <c r="A75" i="10"/>
  <c r="H75" i="10"/>
  <c r="D130" i="22"/>
  <c r="E132" i="22" s="1"/>
  <c r="H129" i="22" s="1"/>
  <c r="I129" i="22" s="1"/>
  <c r="D117" i="22"/>
  <c r="E120" i="22" s="1"/>
  <c r="H116" i="22" s="1"/>
  <c r="D110" i="22"/>
  <c r="E113" i="22" s="1"/>
  <c r="H109" i="22" s="1"/>
  <c r="I109" i="22" s="1"/>
  <c r="E64" i="18"/>
  <c r="D255" i="24" s="1"/>
  <c r="E63" i="18"/>
  <c r="D254" i="24" s="1"/>
  <c r="E66" i="18"/>
  <c r="D257" i="24" s="1"/>
  <c r="H93" i="10"/>
  <c r="A93" i="10"/>
  <c r="J93" i="10"/>
  <c r="I93" i="10"/>
  <c r="C2269" i="15"/>
  <c r="D2270" i="15" s="1"/>
  <c r="C2285" i="15"/>
  <c r="D2286" i="15" s="1"/>
  <c r="C2305" i="15"/>
  <c r="D2306" i="15" s="1"/>
  <c r="J73" i="10"/>
  <c r="I73" i="10"/>
  <c r="H73" i="10"/>
  <c r="A73" i="10"/>
  <c r="C2263" i="15"/>
  <c r="D2264" i="15" s="1"/>
  <c r="C2299" i="15"/>
  <c r="D2300" i="15" s="1"/>
  <c r="C2279" i="15"/>
  <c r="D2280" i="15" s="1"/>
  <c r="C2363" i="15"/>
  <c r="D2363" i="15" s="1"/>
  <c r="D2364" i="15" s="1"/>
  <c r="F2364" i="15" s="1"/>
  <c r="V20" i="15" s="1"/>
  <c r="D239" i="15"/>
  <c r="A57" i="10"/>
  <c r="J57" i="10"/>
  <c r="I57" i="10"/>
  <c r="H57" i="10"/>
  <c r="A29" i="10"/>
  <c r="J29" i="10"/>
  <c r="I29" i="10"/>
  <c r="H29" i="10"/>
  <c r="J25" i="10"/>
  <c r="I25" i="10"/>
  <c r="H25" i="10"/>
  <c r="A25" i="10"/>
  <c r="H51" i="10"/>
  <c r="J51" i="10"/>
  <c r="I51" i="10"/>
  <c r="A51" i="10"/>
  <c r="D1214" i="15"/>
  <c r="H1892" i="15"/>
  <c r="C1892" i="15"/>
  <c r="E32" i="22"/>
  <c r="H30" i="22" s="1"/>
  <c r="I30" i="22" s="1"/>
  <c r="AC25" i="13"/>
  <c r="AB25" i="13"/>
  <c r="I68" i="14"/>
  <c r="K68" i="14" s="1"/>
  <c r="L68" i="14" s="1"/>
  <c r="N68" i="14" s="1"/>
  <c r="U12" i="14" s="1"/>
  <c r="D601" i="15" s="1"/>
  <c r="F601" i="15" s="1"/>
  <c r="AD8" i="15" s="1"/>
  <c r="X25" i="13"/>
  <c r="Y25" i="13" s="1"/>
  <c r="G69" i="14"/>
  <c r="H69" i="14" s="1"/>
  <c r="L69" i="14" s="1"/>
  <c r="N69" i="14" s="1"/>
  <c r="C242" i="15"/>
  <c r="H242" i="15"/>
  <c r="E26" i="22"/>
  <c r="H24" i="22" s="1"/>
  <c r="I24" i="22" s="1"/>
  <c r="J54" i="10"/>
  <c r="I54" i="10"/>
  <c r="A54" i="10"/>
  <c r="H54" i="10"/>
  <c r="A43" i="10"/>
  <c r="J43" i="10"/>
  <c r="I43" i="10"/>
  <c r="H43" i="10"/>
  <c r="J31" i="10"/>
  <c r="I31" i="10"/>
  <c r="H31" i="10"/>
  <c r="A31" i="10"/>
  <c r="H9" i="10"/>
  <c r="I9" i="10"/>
  <c r="A9" i="10"/>
  <c r="J9" i="10"/>
  <c r="C5" i="25"/>
  <c r="J5" i="10"/>
  <c r="I5" i="10"/>
  <c r="A5" i="10"/>
  <c r="H5" i="10"/>
  <c r="C1855" i="15"/>
  <c r="D1856" i="15" s="1"/>
  <c r="C1819" i="15"/>
  <c r="D1820" i="15" s="1"/>
  <c r="C1835" i="15"/>
  <c r="D1836" i="15" s="1"/>
  <c r="J11" i="10"/>
  <c r="I11" i="10"/>
  <c r="H11" i="10"/>
  <c r="A11" i="10"/>
  <c r="C2041" i="15"/>
  <c r="C2055" i="15"/>
  <c r="D2055" i="15" s="1"/>
  <c r="C2093" i="15"/>
  <c r="D2093" i="15" s="1"/>
  <c r="A90" i="10"/>
  <c r="J90" i="10"/>
  <c r="I90" i="10"/>
  <c r="H90" i="10"/>
  <c r="O18" i="15"/>
  <c r="J67" i="10"/>
  <c r="I67" i="10"/>
  <c r="H67" i="10"/>
  <c r="A67" i="10"/>
  <c r="C1613" i="15"/>
  <c r="D1613" i="15" s="1"/>
  <c r="D1614" i="15" s="1"/>
  <c r="F1614" i="15" s="1"/>
  <c r="V15" i="15" s="1"/>
  <c r="C1549" i="15"/>
  <c r="D1550" i="15" s="1"/>
  <c r="C1513" i="15"/>
  <c r="D1514" i="15" s="1"/>
  <c r="C1529" i="15"/>
  <c r="D1530" i="15" s="1"/>
  <c r="J61" i="10"/>
  <c r="I61" i="10"/>
  <c r="H61" i="10"/>
  <c r="A61" i="10"/>
  <c r="A20" i="10"/>
  <c r="J20" i="10"/>
  <c r="H20" i="10"/>
  <c r="I20" i="10"/>
  <c r="AC28" i="13"/>
  <c r="AB28" i="13"/>
  <c r="I116" i="14"/>
  <c r="K116" i="14" s="1"/>
  <c r="L116" i="14" s="1"/>
  <c r="N116" i="14" s="1"/>
  <c r="G117" i="14"/>
  <c r="H117" i="14" s="1"/>
  <c r="L117" i="14" s="1"/>
  <c r="N117" i="14" s="1"/>
  <c r="X28" i="13"/>
  <c r="Y28" i="13" s="1"/>
  <c r="C293" i="15"/>
  <c r="D293" i="15" s="1"/>
  <c r="C255" i="15"/>
  <c r="D255" i="15" s="1"/>
  <c r="C241" i="15"/>
  <c r="D242" i="15" s="1"/>
  <c r="H1292" i="15"/>
  <c r="C1292" i="15"/>
  <c r="L310" i="14"/>
  <c r="N310" i="14" s="1"/>
  <c r="C2579" i="15"/>
  <c r="D2580" i="15" s="1"/>
  <c r="C2663" i="15"/>
  <c r="D2663" i="15" s="1"/>
  <c r="D2664" i="15" s="1"/>
  <c r="F2664" i="15" s="1"/>
  <c r="V22" i="15" s="1"/>
  <c r="C2599" i="15"/>
  <c r="D2600" i="15" s="1"/>
  <c r="C2563" i="15"/>
  <c r="D2564" i="15" s="1"/>
  <c r="A28" i="10"/>
  <c r="J28" i="10"/>
  <c r="I28" i="10"/>
  <c r="H28" i="10"/>
  <c r="I185" i="22"/>
  <c r="A50" i="10"/>
  <c r="J50" i="10"/>
  <c r="I50" i="10"/>
  <c r="H50" i="10"/>
  <c r="A34" i="10"/>
  <c r="H34" i="10"/>
  <c r="J34" i="10"/>
  <c r="I34" i="10"/>
  <c r="A70" i="10"/>
  <c r="I70" i="10"/>
  <c r="H70" i="10"/>
  <c r="J70" i="10"/>
  <c r="A42" i="10"/>
  <c r="J42" i="10"/>
  <c r="I42" i="10"/>
  <c r="H42" i="10"/>
  <c r="H23" i="10"/>
  <c r="J23" i="10"/>
  <c r="I23" i="10"/>
  <c r="A23" i="10"/>
  <c r="I36" i="22"/>
  <c r="D181" i="22"/>
  <c r="E182" i="22" s="1"/>
  <c r="H180" i="22" s="1"/>
  <c r="I180" i="22" s="1"/>
  <c r="D166" i="22"/>
  <c r="E167" i="22" s="1"/>
  <c r="H165" i="22" s="1"/>
  <c r="D151" i="22"/>
  <c r="E152" i="22" s="1"/>
  <c r="H150" i="22" s="1"/>
  <c r="I150" i="22" s="1"/>
  <c r="D100" i="22"/>
  <c r="E102" i="22" s="1"/>
  <c r="H99" i="22" s="1"/>
  <c r="D161" i="22"/>
  <c r="E162" i="22" s="1"/>
  <c r="H160" i="22" s="1"/>
  <c r="I160" i="22" s="1"/>
  <c r="D146" i="22"/>
  <c r="E147" i="22" s="1"/>
  <c r="H145" i="22" s="1"/>
  <c r="I145" i="22" s="1"/>
  <c r="D124" i="22"/>
  <c r="E126" i="22" s="1"/>
  <c r="H123" i="22" s="1"/>
  <c r="I123" i="22" s="1"/>
  <c r="D141" i="22"/>
  <c r="E142" i="22" s="1"/>
  <c r="H140" i="22" s="1"/>
  <c r="D156" i="22"/>
  <c r="E157" i="22" s="1"/>
  <c r="H155" i="22" s="1"/>
  <c r="D176" i="22"/>
  <c r="E177" i="22" s="1"/>
  <c r="H175" i="22" s="1"/>
  <c r="D171" i="22"/>
  <c r="E172" i="22" s="1"/>
  <c r="H170" i="22" s="1"/>
  <c r="E65" i="18"/>
  <c r="E62" i="18"/>
  <c r="D253" i="24" s="1"/>
  <c r="E76" i="18"/>
  <c r="D279" i="24" s="1"/>
  <c r="E75" i="18"/>
  <c r="D277" i="24" s="1"/>
  <c r="E74" i="18"/>
  <c r="D276" i="24" s="1"/>
  <c r="E73" i="18"/>
  <c r="D275" i="24" s="1"/>
  <c r="E72" i="18"/>
  <c r="D274" i="24" s="1"/>
  <c r="E71" i="18"/>
  <c r="D273" i="24" s="1"/>
  <c r="E70" i="18"/>
  <c r="D271" i="24" s="1"/>
  <c r="E69" i="18"/>
  <c r="D269" i="24" s="1"/>
  <c r="E68" i="18"/>
  <c r="D268" i="24" s="1"/>
  <c r="C2281" i="15"/>
  <c r="D2283" i="15" s="1"/>
  <c r="C2301" i="15"/>
  <c r="D2303" i="15" s="1"/>
  <c r="D2311" i="15" s="1"/>
  <c r="F2311" i="15" s="1"/>
  <c r="I264" i="14"/>
  <c r="K264" i="14" s="1"/>
  <c r="L264" i="14" s="1"/>
  <c r="N264" i="14" s="1"/>
  <c r="C2265" i="15"/>
  <c r="D2267" i="15" s="1"/>
  <c r="J81" i="10"/>
  <c r="I81" i="10"/>
  <c r="H81" i="10"/>
  <c r="A81" i="10"/>
  <c r="L246" i="14"/>
  <c r="N246" i="14" s="1"/>
  <c r="C1515" i="15"/>
  <c r="D1517" i="15" s="1"/>
  <c r="I184" i="14"/>
  <c r="K184" i="14" s="1"/>
  <c r="L184" i="14" s="1"/>
  <c r="N184" i="14" s="1"/>
  <c r="C1551" i="15"/>
  <c r="D1553" i="15" s="1"/>
  <c r="C1531" i="15"/>
  <c r="D1533" i="15" s="1"/>
  <c r="A15" i="10"/>
  <c r="I15" i="10"/>
  <c r="H15" i="10"/>
  <c r="J15" i="10"/>
  <c r="C2565" i="15"/>
  <c r="D2567" i="15" s="1"/>
  <c r="C2581" i="15"/>
  <c r="D2583" i="15" s="1"/>
  <c r="C2601" i="15"/>
  <c r="D2603" i="15" s="1"/>
  <c r="D2611" i="15" s="1"/>
  <c r="F2611" i="15" s="1"/>
  <c r="I296" i="14"/>
  <c r="K296" i="14" s="1"/>
  <c r="L296" i="14" s="1"/>
  <c r="N296" i="14" s="1"/>
  <c r="J12" i="10"/>
  <c r="I12" i="10"/>
  <c r="H12" i="10"/>
  <c r="A12" i="10"/>
  <c r="D38" i="21"/>
  <c r="D34" i="18"/>
  <c r="O21" i="15"/>
  <c r="A6" i="10"/>
  <c r="J6" i="10"/>
  <c r="I6" i="10"/>
  <c r="H6" i="10"/>
  <c r="D950" i="15"/>
  <c r="J89" i="10"/>
  <c r="I89" i="10"/>
  <c r="A89" i="10"/>
  <c r="H89" i="10"/>
  <c r="A98" i="10"/>
  <c r="J98" i="10"/>
  <c r="I98" i="10"/>
  <c r="H98" i="10"/>
  <c r="A76" i="10"/>
  <c r="I76" i="10"/>
  <c r="H76" i="10"/>
  <c r="J76" i="10"/>
  <c r="C2355" i="15"/>
  <c r="D2355" i="15" s="1"/>
  <c r="C2341" i="15"/>
  <c r="D2342" i="15" s="1"/>
  <c r="C2393" i="15"/>
  <c r="D2393" i="15" s="1"/>
  <c r="J46" i="10"/>
  <c r="I46" i="10"/>
  <c r="H46" i="10"/>
  <c r="A46" i="10"/>
  <c r="J96" i="10"/>
  <c r="I96" i="10"/>
  <c r="H96" i="10"/>
  <c r="A96" i="10"/>
  <c r="J38" i="10"/>
  <c r="I38" i="10"/>
  <c r="H38" i="10"/>
  <c r="A38" i="10"/>
  <c r="J101" i="10"/>
  <c r="I101" i="10"/>
  <c r="H101" i="10"/>
  <c r="A101" i="10"/>
  <c r="Y22" i="13"/>
  <c r="X22" i="13"/>
  <c r="I20" i="14"/>
  <c r="K20" i="14" s="1"/>
  <c r="L20" i="14" s="1"/>
  <c r="N20" i="14" s="1"/>
  <c r="U9" i="14" s="1"/>
  <c r="D151" i="15" s="1"/>
  <c r="F151" i="15" s="1"/>
  <c r="AD5" i="15" s="1"/>
  <c r="G21" i="14"/>
  <c r="H21" i="14" s="1"/>
  <c r="L21" i="14" s="1"/>
  <c r="N21" i="14" s="1"/>
  <c r="AC22" i="13"/>
  <c r="AB22" i="13"/>
  <c r="A8" i="10"/>
  <c r="J8" i="10"/>
  <c r="I8" i="10"/>
  <c r="H8" i="10"/>
  <c r="A78" i="10"/>
  <c r="J78" i="10"/>
  <c r="I78" i="10"/>
  <c r="H78" i="10"/>
  <c r="C499" i="15"/>
  <c r="D500" i="15" s="1"/>
  <c r="C563" i="15"/>
  <c r="D563" i="15" s="1"/>
  <c r="D564" i="15" s="1"/>
  <c r="F564" i="15" s="1"/>
  <c r="V8" i="15" s="1"/>
  <c r="C463" i="15"/>
  <c r="D464" i="15" s="1"/>
  <c r="C479" i="15"/>
  <c r="D480" i="15" s="1"/>
  <c r="A71" i="10"/>
  <c r="J71" i="10"/>
  <c r="I71" i="10"/>
  <c r="H71" i="10"/>
  <c r="A62" i="10"/>
  <c r="J62" i="10"/>
  <c r="I62" i="10"/>
  <c r="H62" i="10"/>
  <c r="J40" i="10"/>
  <c r="I40" i="10"/>
  <c r="A40" i="10"/>
  <c r="H40" i="10"/>
  <c r="E8" i="22"/>
  <c r="H6" i="22" s="1"/>
  <c r="I6" i="22" s="1"/>
  <c r="J32" i="10"/>
  <c r="I32" i="10"/>
  <c r="H32" i="10"/>
  <c r="A32" i="10"/>
  <c r="A41" i="10"/>
  <c r="J41" i="10"/>
  <c r="I41" i="10"/>
  <c r="H41" i="10"/>
  <c r="L102" i="14"/>
  <c r="N102" i="14" s="1"/>
  <c r="D39" i="21"/>
  <c r="D35" i="18"/>
  <c r="A13" i="10"/>
  <c r="H13" i="10"/>
  <c r="J13" i="10"/>
  <c r="I13" i="10"/>
  <c r="O16" i="15"/>
  <c r="D662" i="15"/>
  <c r="F662" i="15" s="1"/>
  <c r="P9" i="15" s="1"/>
  <c r="AC26" i="13"/>
  <c r="AB26" i="13"/>
  <c r="I84" i="14"/>
  <c r="K84" i="14" s="1"/>
  <c r="L84" i="14" s="1"/>
  <c r="N84" i="14" s="1"/>
  <c r="U13" i="14" s="1"/>
  <c r="D751" i="15" s="1"/>
  <c r="F751" i="15" s="1"/>
  <c r="AD9" i="15" s="1"/>
  <c r="X26" i="13"/>
  <c r="Y26" i="13" s="1"/>
  <c r="G85" i="14"/>
  <c r="H85" i="14" s="1"/>
  <c r="L85" i="14" s="1"/>
  <c r="N85" i="14" s="1"/>
  <c r="J88" i="10"/>
  <c r="I88" i="10"/>
  <c r="H88" i="10"/>
  <c r="A88" i="10"/>
  <c r="C465" i="15"/>
  <c r="D467" i="15" s="1"/>
  <c r="C501" i="15"/>
  <c r="D503" i="15" s="1"/>
  <c r="C481" i="15"/>
  <c r="D483" i="15" s="1"/>
  <c r="I72" i="14"/>
  <c r="K72" i="14" s="1"/>
  <c r="L72" i="14" s="1"/>
  <c r="N72" i="14" s="1"/>
  <c r="C2151" i="15"/>
  <c r="D2153" i="15" s="1"/>
  <c r="D2161" i="15" s="1"/>
  <c r="F2161" i="15" s="1"/>
  <c r="C2115" i="15"/>
  <c r="D2117" i="15" s="1"/>
  <c r="C2131" i="15"/>
  <c r="D2133" i="15" s="1"/>
  <c r="I248" i="14"/>
  <c r="K248" i="14" s="1"/>
  <c r="L248" i="14" s="1"/>
  <c r="N248" i="14" s="1"/>
  <c r="J47" i="10"/>
  <c r="I47" i="10"/>
  <c r="H47" i="10"/>
  <c r="A47" i="10"/>
  <c r="H16" i="10"/>
  <c r="A16" i="10"/>
  <c r="J16" i="10"/>
  <c r="I16" i="10"/>
  <c r="H30" i="10"/>
  <c r="J30" i="10"/>
  <c r="I30" i="10"/>
  <c r="A30" i="10"/>
  <c r="C1219" i="15"/>
  <c r="D1220" i="15" s="1"/>
  <c r="C1255" i="15"/>
  <c r="D1256" i="15" s="1"/>
  <c r="C1235" i="15"/>
  <c r="D1236" i="15" s="1"/>
  <c r="AC39" i="13"/>
  <c r="AB39" i="13"/>
  <c r="G293" i="14"/>
  <c r="H293" i="14" s="1"/>
  <c r="L293" i="14" s="1"/>
  <c r="N293" i="14" s="1"/>
  <c r="X39" i="13"/>
  <c r="Y39" i="13" s="1"/>
  <c r="I292" i="14"/>
  <c r="K292" i="14" s="1"/>
  <c r="L292" i="14" s="1"/>
  <c r="N292" i="14" s="1"/>
  <c r="W26" i="14" s="1"/>
  <c r="D2703" i="15" s="1"/>
  <c r="F2703" i="15" s="1"/>
  <c r="AF22" i="15" s="1"/>
  <c r="J74" i="10"/>
  <c r="I74" i="10"/>
  <c r="H74" i="10"/>
  <c r="A74" i="10"/>
  <c r="C1831" i="15"/>
  <c r="D1833" i="15" s="1"/>
  <c r="C1815" i="15"/>
  <c r="D1817" i="15" s="1"/>
  <c r="C1851" i="15"/>
  <c r="D1853" i="15" s="1"/>
  <c r="D1861" i="15" s="1"/>
  <c r="F1861" i="15" s="1"/>
  <c r="I216" i="14"/>
  <c r="K216" i="14" s="1"/>
  <c r="L216" i="14" s="1"/>
  <c r="N216" i="14" s="1"/>
  <c r="A35" i="10"/>
  <c r="J35" i="10"/>
  <c r="I35" i="10"/>
  <c r="H35" i="10"/>
  <c r="C2129" i="15"/>
  <c r="D2130" i="15" s="1"/>
  <c r="C2113" i="15"/>
  <c r="D2114" i="15" s="1"/>
  <c r="C2149" i="15"/>
  <c r="D2150" i="15" s="1"/>
  <c r="C2213" i="15"/>
  <c r="D2213" i="15" s="1"/>
  <c r="D2214" i="15" s="1"/>
  <c r="F2214" i="15" s="1"/>
  <c r="V19" i="15" s="1"/>
  <c r="H37" i="10"/>
  <c r="J37" i="10"/>
  <c r="I37" i="10"/>
  <c r="A37" i="10"/>
  <c r="H72" i="10"/>
  <c r="J72" i="10"/>
  <c r="I72" i="10"/>
  <c r="A72" i="10"/>
  <c r="L263" i="14"/>
  <c r="N263" i="14" s="1"/>
  <c r="H1592" i="15"/>
  <c r="C1592" i="15"/>
  <c r="D839" i="15"/>
  <c r="J26" i="10"/>
  <c r="I26" i="10"/>
  <c r="A26" i="10"/>
  <c r="H26" i="10"/>
  <c r="J94" i="10"/>
  <c r="I94" i="10"/>
  <c r="H94" i="10"/>
  <c r="A94" i="10"/>
  <c r="J103" i="10"/>
  <c r="I103" i="10"/>
  <c r="A103" i="10"/>
  <c r="H103" i="10"/>
  <c r="H44" i="10"/>
  <c r="A44" i="10"/>
  <c r="J44" i="10"/>
  <c r="I44" i="10"/>
  <c r="C1813" i="15"/>
  <c r="D1814" i="15" s="1"/>
  <c r="C1829" i="15"/>
  <c r="D1830" i="15" s="1"/>
  <c r="C1913" i="15"/>
  <c r="D1913" i="15" s="1"/>
  <c r="D1914" i="15" s="1"/>
  <c r="F1914" i="15" s="1"/>
  <c r="V17" i="15" s="1"/>
  <c r="C1849" i="15"/>
  <c r="D1850" i="15" s="1"/>
  <c r="A49" i="10"/>
  <c r="J49" i="10"/>
  <c r="I49" i="10"/>
  <c r="H49" i="10"/>
  <c r="J59" i="10"/>
  <c r="I59" i="10"/>
  <c r="H59" i="10"/>
  <c r="A59" i="10"/>
  <c r="C1591" i="15"/>
  <c r="C1605" i="15"/>
  <c r="D1605" i="15" s="1"/>
  <c r="C1643" i="15"/>
  <c r="D1643" i="15" s="1"/>
  <c r="D40" i="21"/>
  <c r="D36" i="18"/>
  <c r="J19" i="10"/>
  <c r="I19" i="10"/>
  <c r="H19" i="10"/>
  <c r="A19" i="10"/>
  <c r="A69" i="10"/>
  <c r="J69" i="10"/>
  <c r="H69" i="10"/>
  <c r="I69" i="10"/>
  <c r="J39" i="10"/>
  <c r="I39" i="10"/>
  <c r="H39" i="10"/>
  <c r="A39" i="10"/>
  <c r="C1535" i="15"/>
  <c r="D1536" i="15" s="1"/>
  <c r="C1555" i="15"/>
  <c r="D1556" i="15" s="1"/>
  <c r="C1519" i="15"/>
  <c r="D1520" i="15" s="1"/>
  <c r="A85" i="10"/>
  <c r="J85" i="10"/>
  <c r="I85" i="10"/>
  <c r="H85" i="10"/>
  <c r="A104" i="10"/>
  <c r="J104" i="10"/>
  <c r="I104" i="10"/>
  <c r="H104" i="10"/>
  <c r="J45" i="10"/>
  <c r="I45" i="10"/>
  <c r="H45" i="10"/>
  <c r="A45" i="10"/>
  <c r="A97" i="10"/>
  <c r="J97" i="10"/>
  <c r="I97" i="10"/>
  <c r="H97" i="10"/>
  <c r="J53" i="10"/>
  <c r="I53" i="10"/>
  <c r="H53" i="10"/>
  <c r="A53" i="10"/>
  <c r="E172" i="24"/>
  <c r="D241" i="22"/>
  <c r="E243" i="22" s="1"/>
  <c r="H240" i="22" s="1"/>
  <c r="I240" i="22" s="1"/>
  <c r="D235" i="22"/>
  <c r="E237" i="22" s="1"/>
  <c r="H234" i="22" s="1"/>
  <c r="I234" i="22" s="1"/>
  <c r="E90" i="18"/>
  <c r="E179" i="24" s="1"/>
  <c r="E89" i="18"/>
  <c r="E178" i="24" s="1"/>
  <c r="L311" i="14"/>
  <c r="N311" i="14" s="1"/>
  <c r="I244" i="14"/>
  <c r="K244" i="14" s="1"/>
  <c r="L244" i="14" s="1"/>
  <c r="N244" i="14" s="1"/>
  <c r="W23" i="14" s="1"/>
  <c r="D2253" i="15" s="1"/>
  <c r="F2253" i="15" s="1"/>
  <c r="AF19" i="15" s="1"/>
  <c r="Y36" i="13"/>
  <c r="X36" i="13"/>
  <c r="G245" i="14"/>
  <c r="H245" i="14" s="1"/>
  <c r="L245" i="14" s="1"/>
  <c r="N245" i="14" s="1"/>
  <c r="AC36" i="13"/>
  <c r="AB36" i="13"/>
  <c r="A48" i="10"/>
  <c r="H48" i="10"/>
  <c r="J48" i="10"/>
  <c r="I48" i="10"/>
  <c r="H1742" i="15"/>
  <c r="C1742" i="15"/>
  <c r="A99" i="10"/>
  <c r="H99" i="10"/>
  <c r="J99" i="10"/>
  <c r="I99" i="10"/>
  <c r="L182" i="14"/>
  <c r="N182" i="14" s="1"/>
  <c r="J60" i="10"/>
  <c r="I60" i="10"/>
  <c r="H60" i="10"/>
  <c r="A60" i="10"/>
  <c r="H65" i="10"/>
  <c r="J65" i="10"/>
  <c r="I65" i="10"/>
  <c r="A65" i="10"/>
  <c r="J24" i="10"/>
  <c r="I24" i="10"/>
  <c r="H24" i="10"/>
  <c r="A24" i="10"/>
  <c r="A84" i="10"/>
  <c r="J84" i="10"/>
  <c r="I84" i="10"/>
  <c r="H84" i="10"/>
  <c r="AC27" i="13"/>
  <c r="AB27" i="13"/>
  <c r="I100" i="14"/>
  <c r="K100" i="14" s="1"/>
  <c r="L100" i="14" s="1"/>
  <c r="N100" i="14" s="1"/>
  <c r="Y27" i="13"/>
  <c r="X27" i="13"/>
  <c r="G101" i="14"/>
  <c r="H101" i="14" s="1"/>
  <c r="L101" i="14" s="1"/>
  <c r="N101" i="14" s="1"/>
  <c r="J17" i="10"/>
  <c r="I17" i="10"/>
  <c r="H17" i="10"/>
  <c r="A17" i="10"/>
  <c r="A22" i="10"/>
  <c r="J22" i="10"/>
  <c r="I22" i="10"/>
  <c r="H22" i="10"/>
  <c r="J52" i="10"/>
  <c r="I52" i="10"/>
  <c r="H52" i="10"/>
  <c r="A52" i="10"/>
  <c r="A63" i="10"/>
  <c r="J63" i="10"/>
  <c r="H63" i="10"/>
  <c r="I63" i="10"/>
  <c r="D10" i="25"/>
  <c r="E10" i="25" s="1"/>
  <c r="D83" i="22"/>
  <c r="E84" i="22" s="1"/>
  <c r="H82" i="22" s="1"/>
  <c r="D93" i="22"/>
  <c r="E96" i="22" s="1"/>
  <c r="E60" i="18"/>
  <c r="D250" i="24" s="1"/>
  <c r="A91" i="10"/>
  <c r="H91" i="10"/>
  <c r="J91" i="10"/>
  <c r="I91" i="10"/>
  <c r="C1669" i="15"/>
  <c r="D1670" i="15" s="1"/>
  <c r="C1705" i="15"/>
  <c r="D1706" i="15" s="1"/>
  <c r="C1685" i="15"/>
  <c r="D1686" i="15" s="1"/>
  <c r="C629" i="15"/>
  <c r="D630" i="15" s="1"/>
  <c r="C649" i="15"/>
  <c r="D650" i="15" s="1"/>
  <c r="C613" i="15"/>
  <c r="D614" i="15" s="1"/>
  <c r="C713" i="15"/>
  <c r="D713" i="15" s="1"/>
  <c r="D714" i="15" s="1"/>
  <c r="F714" i="15" s="1"/>
  <c r="V9" i="15" s="1"/>
  <c r="D2492" i="15"/>
  <c r="H79" i="10"/>
  <c r="J79" i="10"/>
  <c r="I79" i="10"/>
  <c r="A79" i="10"/>
  <c r="A77" i="10"/>
  <c r="H77" i="10"/>
  <c r="I77" i="10"/>
  <c r="J77" i="10"/>
  <c r="A56" i="10"/>
  <c r="H56" i="10"/>
  <c r="J56" i="10"/>
  <c r="I56" i="10"/>
  <c r="J66" i="10"/>
  <c r="I66" i="10"/>
  <c r="H66" i="10"/>
  <c r="A66" i="10"/>
  <c r="C2729" i="15"/>
  <c r="D2730" i="15" s="1"/>
  <c r="C2749" i="15"/>
  <c r="D2750" i="15" s="1"/>
  <c r="C2713" i="15"/>
  <c r="D2714" i="15" s="1"/>
  <c r="C2813" i="15"/>
  <c r="D2813" i="15" s="1"/>
  <c r="D2814" i="15" s="1"/>
  <c r="F2814" i="15" s="1"/>
  <c r="V23" i="15" s="1"/>
  <c r="C163" i="15"/>
  <c r="D164" i="15" s="1"/>
  <c r="C263" i="15"/>
  <c r="D263" i="15" s="1"/>
  <c r="D264" i="15" s="1"/>
  <c r="F264" i="15" s="1"/>
  <c r="V6" i="15" s="1"/>
  <c r="C199" i="15"/>
  <c r="D200" i="15" s="1"/>
  <c r="C179" i="15"/>
  <c r="D180" i="15" s="1"/>
  <c r="C779" i="15"/>
  <c r="D780" i="15" s="1"/>
  <c r="C799" i="15"/>
  <c r="D800" i="15" s="1"/>
  <c r="C763" i="15"/>
  <c r="D764" i="15" s="1"/>
  <c r="C863" i="15"/>
  <c r="D863" i="15" s="1"/>
  <c r="D864" i="15" s="1"/>
  <c r="F864" i="15" s="1"/>
  <c r="V10" i="15" s="1"/>
  <c r="A7" i="10"/>
  <c r="J7" i="10"/>
  <c r="I7" i="10"/>
  <c r="H7" i="10"/>
  <c r="C651" i="15"/>
  <c r="D653" i="15" s="1"/>
  <c r="C615" i="15"/>
  <c r="D617" i="15" s="1"/>
  <c r="C631" i="15"/>
  <c r="D633" i="15" s="1"/>
  <c r="I88" i="14"/>
  <c r="K88" i="14" s="1"/>
  <c r="L88" i="14" s="1"/>
  <c r="N88" i="14" s="1"/>
  <c r="A14" i="10"/>
  <c r="J14" i="10"/>
  <c r="I14" i="10"/>
  <c r="H14" i="10"/>
  <c r="H2042" i="15"/>
  <c r="C2042" i="15"/>
  <c r="A83" i="10"/>
  <c r="J83" i="10"/>
  <c r="I83" i="10"/>
  <c r="H83" i="10"/>
  <c r="A92" i="10"/>
  <c r="J92" i="10"/>
  <c r="I92" i="10"/>
  <c r="H92" i="10"/>
  <c r="A36" i="10"/>
  <c r="J36" i="10"/>
  <c r="I36" i="10"/>
  <c r="H36" i="10"/>
  <c r="C2731" i="15"/>
  <c r="D2733" i="15" s="1"/>
  <c r="C2751" i="15"/>
  <c r="D2753" i="15" s="1"/>
  <c r="I312" i="14"/>
  <c r="K312" i="14" s="1"/>
  <c r="L312" i="14" s="1"/>
  <c r="N312" i="14" s="1"/>
  <c r="C2715" i="15"/>
  <c r="D2717" i="15" s="1"/>
  <c r="D78" i="22"/>
  <c r="E79" i="22" s="1"/>
  <c r="H77" i="22" s="1"/>
  <c r="I77" i="22" s="1"/>
  <c r="D88" i="22"/>
  <c r="E91" i="22" s="1"/>
  <c r="H87" i="22" s="1"/>
  <c r="I87" i="22" s="1"/>
  <c r="E61" i="18"/>
  <c r="D251" i="24" s="1"/>
  <c r="E59" i="18"/>
  <c r="D249" i="24" s="1"/>
  <c r="C201" i="15"/>
  <c r="D203" i="15" s="1"/>
  <c r="C181" i="15"/>
  <c r="D183" i="15" s="1"/>
  <c r="C165" i="15"/>
  <c r="D167" i="15" s="1"/>
  <c r="I40" i="14"/>
  <c r="K40" i="14" s="1"/>
  <c r="L40" i="14" s="1"/>
  <c r="N40" i="14" s="1"/>
  <c r="G165" i="14"/>
  <c r="H165" i="14" s="1"/>
  <c r="L165" i="14" s="1"/>
  <c r="N165" i="14" s="1"/>
  <c r="AC31" i="13"/>
  <c r="I164" i="14"/>
  <c r="K164" i="14" s="1"/>
  <c r="L164" i="14" s="1"/>
  <c r="N164" i="14" s="1"/>
  <c r="V18" i="14" s="1"/>
  <c r="D1502" i="15" s="1"/>
  <c r="F1502" i="15" s="1"/>
  <c r="AE14" i="15" s="1"/>
  <c r="AB31" i="13"/>
  <c r="X31" i="13"/>
  <c r="Y31" i="13"/>
  <c r="J33" i="10"/>
  <c r="I33" i="10"/>
  <c r="H33" i="10"/>
  <c r="A33" i="10"/>
  <c r="I230" i="22"/>
  <c r="D872" i="15"/>
  <c r="F872" i="15" s="1"/>
  <c r="W10" i="15" s="1"/>
  <c r="G133" i="14"/>
  <c r="H133" i="14" s="1"/>
  <c r="L133" i="14" s="1"/>
  <c r="N133" i="14" s="1"/>
  <c r="AC29" i="13"/>
  <c r="AB29" i="13"/>
  <c r="Y29" i="13"/>
  <c r="X29" i="13"/>
  <c r="I132" i="14"/>
  <c r="K132" i="14" s="1"/>
  <c r="L132" i="14" s="1"/>
  <c r="N132" i="14" s="1"/>
  <c r="V16" i="14" s="1"/>
  <c r="D1202" i="15" s="1"/>
  <c r="F1202" i="15" s="1"/>
  <c r="AE12" i="15" s="1"/>
  <c r="A27" i="10"/>
  <c r="I27" i="10"/>
  <c r="H27" i="10"/>
  <c r="J27" i="10"/>
  <c r="C6" i="25"/>
  <c r="E20" i="22"/>
  <c r="H18" i="22" s="1"/>
  <c r="I18" i="22" s="1"/>
  <c r="A64" i="10"/>
  <c r="I64" i="10"/>
  <c r="H64" i="10"/>
  <c r="J64" i="10"/>
  <c r="J95" i="10"/>
  <c r="I95" i="10"/>
  <c r="H95" i="10"/>
  <c r="A95" i="10"/>
  <c r="I193" i="22"/>
  <c r="C169" i="15"/>
  <c r="D170" i="15" s="1"/>
  <c r="C205" i="15"/>
  <c r="D206" i="15" s="1"/>
  <c r="C185" i="15"/>
  <c r="D186" i="15" s="1"/>
  <c r="C1985" i="15"/>
  <c r="D1986" i="15" s="1"/>
  <c r="C2005" i="15"/>
  <c r="D2006" i="15" s="1"/>
  <c r="C1969" i="15"/>
  <c r="D1970" i="15" s="1"/>
  <c r="C593" i="15" l="1"/>
  <c r="D593" i="15" s="1"/>
  <c r="C555" i="15"/>
  <c r="D555" i="15" s="1"/>
  <c r="C541" i="15"/>
  <c r="C743" i="15"/>
  <c r="D743" i="15" s="1"/>
  <c r="C705" i="15"/>
  <c r="D705" i="15" s="1"/>
  <c r="C691" i="15"/>
  <c r="C2641" i="15"/>
  <c r="C2655" i="15"/>
  <c r="D2655" i="15" s="1"/>
  <c r="C2693" i="15"/>
  <c r="D2693" i="15" s="1"/>
  <c r="C991" i="15"/>
  <c r="D992" i="15" s="1"/>
  <c r="C1005" i="15"/>
  <c r="D1005" i="15" s="1"/>
  <c r="C1043" i="15"/>
  <c r="D1043" i="15" s="1"/>
  <c r="H2792" i="15"/>
  <c r="C2792" i="15"/>
  <c r="O22" i="15"/>
  <c r="C2119" i="15"/>
  <c r="D2120" i="15" s="1"/>
  <c r="C2155" i="15"/>
  <c r="D2156" i="15" s="1"/>
  <c r="C2135" i="15"/>
  <c r="D2136" i="15" s="1"/>
  <c r="D2042" i="15"/>
  <c r="I165" i="22"/>
  <c r="C2192" i="15"/>
  <c r="H2192" i="15"/>
  <c r="I82" i="22"/>
  <c r="H92" i="15"/>
  <c r="D98" i="15" s="1"/>
  <c r="F98" i="15" s="1"/>
  <c r="T5" i="15" s="1"/>
  <c r="C92" i="15"/>
  <c r="H992" i="15"/>
  <c r="C992" i="15"/>
  <c r="D14" i="25"/>
  <c r="E14" i="25" s="1"/>
  <c r="D7" i="17"/>
  <c r="D14" i="17"/>
  <c r="U12" i="17"/>
  <c r="U7" i="17"/>
  <c r="C14" i="17"/>
  <c r="D9" i="17"/>
  <c r="U15" i="17"/>
  <c r="C9" i="17"/>
  <c r="D17" i="17"/>
  <c r="U10" i="17"/>
  <c r="C17" i="17"/>
  <c r="D12" i="17"/>
  <c r="C7" i="17"/>
  <c r="U13" i="17"/>
  <c r="C12" i="17"/>
  <c r="U8" i="17"/>
  <c r="U17" i="17"/>
  <c r="U9" i="17"/>
  <c r="U6" i="17"/>
  <c r="C24" i="12"/>
  <c r="C17" i="12"/>
  <c r="C10" i="12"/>
  <c r="D15" i="11"/>
  <c r="D8" i="11"/>
  <c r="U14" i="17"/>
  <c r="D18" i="12"/>
  <c r="G34" i="13" s="1"/>
  <c r="D11" i="12"/>
  <c r="G27" i="13" s="1"/>
  <c r="C15" i="11"/>
  <c r="C8" i="11"/>
  <c r="U11" i="17"/>
  <c r="C18" i="12"/>
  <c r="C11" i="12"/>
  <c r="D20" i="11"/>
  <c r="D13" i="11"/>
  <c r="D6" i="11"/>
  <c r="D19" i="12"/>
  <c r="G35" i="13" s="1"/>
  <c r="D12" i="12"/>
  <c r="G28" i="13" s="1"/>
  <c r="C20" i="11"/>
  <c r="C13" i="11"/>
  <c r="C6" i="11"/>
  <c r="U16" i="17"/>
  <c r="D6" i="17"/>
  <c r="C19" i="12"/>
  <c r="C12" i="12"/>
  <c r="D18" i="11"/>
  <c r="D11" i="11"/>
  <c r="C6" i="17"/>
  <c r="D20" i="12"/>
  <c r="G36" i="13" s="1"/>
  <c r="D13" i="12"/>
  <c r="G29" i="13" s="1"/>
  <c r="D6" i="12"/>
  <c r="G22" i="13" s="1"/>
  <c r="C18" i="11"/>
  <c r="C11" i="11"/>
  <c r="D13" i="17"/>
  <c r="C13" i="17"/>
  <c r="D16" i="17"/>
  <c r="C8" i="17"/>
  <c r="C19" i="11"/>
  <c r="D17" i="11"/>
  <c r="D16" i="11"/>
  <c r="D12" i="11"/>
  <c r="D9" i="11"/>
  <c r="C16" i="17"/>
  <c r="C10" i="17"/>
  <c r="D23" i="12"/>
  <c r="G39" i="13" s="1"/>
  <c r="C22" i="12"/>
  <c r="D24" i="12"/>
  <c r="G40" i="13" s="1"/>
  <c r="C23" i="12"/>
  <c r="D15" i="17"/>
  <c r="C15" i="17"/>
  <c r="D7" i="11"/>
  <c r="D8" i="17"/>
  <c r="C9" i="11"/>
  <c r="C7" i="11"/>
  <c r="D10" i="11"/>
  <c r="D10" i="12"/>
  <c r="G26" i="13" s="1"/>
  <c r="D8" i="12"/>
  <c r="G24" i="13" s="1"/>
  <c r="C15" i="12"/>
  <c r="C13" i="12"/>
  <c r="D11" i="17"/>
  <c r="C7" i="12"/>
  <c r="D19" i="11"/>
  <c r="C16" i="11"/>
  <c r="D10" i="17"/>
  <c r="D16" i="12"/>
  <c r="G32" i="13" s="1"/>
  <c r="C12" i="11"/>
  <c r="C16" i="12"/>
  <c r="D9" i="12"/>
  <c r="G25" i="13" s="1"/>
  <c r="C20" i="12"/>
  <c r="C9" i="12"/>
  <c r="C17" i="11"/>
  <c r="D22" i="12"/>
  <c r="G38" i="13" s="1"/>
  <c r="C6" i="12"/>
  <c r="D15" i="12"/>
  <c r="G31" i="13" s="1"/>
  <c r="D14" i="11"/>
  <c r="C8" i="12"/>
  <c r="C14" i="11"/>
  <c r="D21" i="12"/>
  <c r="G37" i="13" s="1"/>
  <c r="D14" i="12"/>
  <c r="G30" i="13" s="1"/>
  <c r="C10" i="11"/>
  <c r="C11" i="17"/>
  <c r="C21" i="12"/>
  <c r="C14" i="12"/>
  <c r="D7" i="12"/>
  <c r="G23" i="13" s="1"/>
  <c r="D17" i="12"/>
  <c r="G33" i="13" s="1"/>
  <c r="H2642" i="15"/>
  <c r="C2642" i="15"/>
  <c r="C19" i="15"/>
  <c r="D20" i="15" s="1"/>
  <c r="C35" i="15"/>
  <c r="D36" i="15" s="1"/>
  <c r="C55" i="15"/>
  <c r="D56" i="15" s="1"/>
  <c r="D256" i="24"/>
  <c r="D136" i="22"/>
  <c r="E137" i="22" s="1"/>
  <c r="H135" i="22" s="1"/>
  <c r="E67" i="18"/>
  <c r="D259" i="24" s="1"/>
  <c r="C955" i="15"/>
  <c r="D956" i="15" s="1"/>
  <c r="C919" i="15"/>
  <c r="D920" i="15" s="1"/>
  <c r="C935" i="15"/>
  <c r="D936" i="15" s="1"/>
  <c r="D1892" i="15"/>
  <c r="C769" i="15"/>
  <c r="D770" i="15" s="1"/>
  <c r="C805" i="15"/>
  <c r="D806" i="15" s="1"/>
  <c r="C785" i="15"/>
  <c r="D786" i="15" s="1"/>
  <c r="C2719" i="15"/>
  <c r="D2720" i="15" s="1"/>
  <c r="C2735" i="15"/>
  <c r="D2736" i="15" s="1"/>
  <c r="C2755" i="15"/>
  <c r="D2756" i="15" s="1"/>
  <c r="C2191" i="15"/>
  <c r="C2205" i="15"/>
  <c r="D2205" i="15" s="1"/>
  <c r="C2243" i="15"/>
  <c r="D2243" i="15" s="1"/>
  <c r="C2585" i="15"/>
  <c r="D2586" i="15" s="1"/>
  <c r="C2569" i="15"/>
  <c r="D2570" i="15" s="1"/>
  <c r="C2605" i="15"/>
  <c r="D2606" i="15" s="1"/>
  <c r="D73" i="22"/>
  <c r="E74" i="22" s="1"/>
  <c r="H72" i="22" s="1"/>
  <c r="I72" i="22" s="1"/>
  <c r="E58" i="18"/>
  <c r="D76" i="24" s="1"/>
  <c r="I170" i="22"/>
  <c r="D248" i="15"/>
  <c r="F248" i="15" s="1"/>
  <c r="T6" i="15" s="1"/>
  <c r="C1441" i="15"/>
  <c r="C1493" i="15"/>
  <c r="D1493" i="15" s="1"/>
  <c r="C1455" i="15"/>
  <c r="D1455" i="15" s="1"/>
  <c r="D68" i="22"/>
  <c r="E69" i="22" s="1"/>
  <c r="H67" i="22" s="1"/>
  <c r="E57" i="18"/>
  <c r="D63" i="22"/>
  <c r="E64" i="22" s="1"/>
  <c r="H62" i="22" s="1"/>
  <c r="E56" i="18"/>
  <c r="O20" i="15"/>
  <c r="I175" i="22"/>
  <c r="O17" i="15"/>
  <c r="I155" i="22"/>
  <c r="H1442" i="15"/>
  <c r="C1442" i="15"/>
  <c r="C143" i="15"/>
  <c r="D143" i="15" s="1"/>
  <c r="C91" i="15"/>
  <c r="D92" i="15" s="1"/>
  <c r="C105" i="15"/>
  <c r="D105" i="15" s="1"/>
  <c r="I140" i="22"/>
  <c r="H692" i="15"/>
  <c r="C692" i="15"/>
  <c r="D1292" i="15"/>
  <c r="D1298" i="15" s="1"/>
  <c r="F1298" i="15" s="1"/>
  <c r="T13" i="15" s="1"/>
  <c r="C1155" i="15"/>
  <c r="D1155" i="15" s="1"/>
  <c r="C1141" i="15"/>
  <c r="C1193" i="15"/>
  <c r="D1193" i="15" s="1"/>
  <c r="C1385" i="15"/>
  <c r="D1386" i="15" s="1"/>
  <c r="C1405" i="15"/>
  <c r="D1406" i="15" s="1"/>
  <c r="C1369" i="15"/>
  <c r="D1370" i="15" s="1"/>
  <c r="C893" i="15"/>
  <c r="D893" i="15" s="1"/>
  <c r="C841" i="15"/>
  <c r="D842" i="15" s="1"/>
  <c r="C855" i="15"/>
  <c r="D855" i="15" s="1"/>
  <c r="D1592" i="15"/>
  <c r="D1598" i="15" s="1"/>
  <c r="F1598" i="15" s="1"/>
  <c r="T15" i="15" s="1"/>
  <c r="O19" i="15"/>
  <c r="C619" i="15"/>
  <c r="D620" i="15" s="1"/>
  <c r="C655" i="15"/>
  <c r="D656" i="15" s="1"/>
  <c r="C635" i="15"/>
  <c r="D636" i="15" s="1"/>
  <c r="H1142" i="15"/>
  <c r="C1142" i="15"/>
  <c r="H542" i="15"/>
  <c r="C542" i="15"/>
  <c r="C2805" i="15"/>
  <c r="D2805" i="15" s="1"/>
  <c r="C2791" i="15"/>
  <c r="D2792" i="15" s="1"/>
  <c r="C2843" i="15"/>
  <c r="D2843" i="15" s="1"/>
  <c r="C1085" i="15"/>
  <c r="D1086" i="15" s="1"/>
  <c r="C1105" i="15"/>
  <c r="D1106" i="15" s="1"/>
  <c r="C1069" i="15"/>
  <c r="D1070" i="15" s="1"/>
  <c r="H842" i="15"/>
  <c r="C842" i="15"/>
  <c r="I99" i="22"/>
  <c r="C485" i="15"/>
  <c r="D486" i="15" s="1"/>
  <c r="C505" i="15"/>
  <c r="D506" i="15" s="1"/>
  <c r="C469" i="15"/>
  <c r="D470" i="15" s="1"/>
  <c r="I116" i="22"/>
  <c r="D1742" i="15"/>
  <c r="U12" i="12" l="1"/>
  <c r="E12" i="12"/>
  <c r="H28" i="13" s="1"/>
  <c r="AE28" i="13" s="1"/>
  <c r="S12" i="12"/>
  <c r="R12" i="12"/>
  <c r="N12" i="12"/>
  <c r="W12" i="12"/>
  <c r="F28" i="13"/>
  <c r="AA12" i="12"/>
  <c r="L12" i="12"/>
  <c r="N9" i="12"/>
  <c r="AA9" i="12"/>
  <c r="Z9" i="12"/>
  <c r="L9" i="12"/>
  <c r="F25" i="13"/>
  <c r="W9" i="12"/>
  <c r="U9" i="12"/>
  <c r="S9" i="12"/>
  <c r="R9" i="12"/>
  <c r="E9" i="12"/>
  <c r="H25" i="13" s="1"/>
  <c r="AE25" i="13" s="1"/>
  <c r="D347" i="23"/>
  <c r="E347" i="23" s="1"/>
  <c r="H345" i="23" s="1"/>
  <c r="B291" i="23"/>
  <c r="E293" i="23" s="1"/>
  <c r="H290" i="23" s="1"/>
  <c r="B270" i="23"/>
  <c r="E272" i="23" s="1"/>
  <c r="B351" i="23"/>
  <c r="E351" i="23" s="1"/>
  <c r="H350" i="23" s="1"/>
  <c r="AP9" i="11"/>
  <c r="AP22" i="11" s="1"/>
  <c r="AI9" i="11"/>
  <c r="AC9" i="11"/>
  <c r="Z9" i="11"/>
  <c r="Y9" i="11"/>
  <c r="F1313" i="23"/>
  <c r="B1323" i="23"/>
  <c r="E1324" i="23" s="1"/>
  <c r="E6" i="17"/>
  <c r="W6" i="17" s="1"/>
  <c r="V6" i="17"/>
  <c r="H191" i="24" s="1"/>
  <c r="D1304" i="23"/>
  <c r="E1304" i="23" s="1"/>
  <c r="H1302" i="23" s="1"/>
  <c r="B1248" i="23"/>
  <c r="E1250" i="23" s="1"/>
  <c r="H1247" i="23" s="1"/>
  <c r="B1308" i="23"/>
  <c r="E1308" i="23" s="1"/>
  <c r="H1307" i="23" s="1"/>
  <c r="B1227" i="23"/>
  <c r="E1229" i="23" s="1"/>
  <c r="AC20" i="11"/>
  <c r="BA20" i="11"/>
  <c r="BA22" i="11" s="1"/>
  <c r="AL20" i="11"/>
  <c r="Z20" i="11"/>
  <c r="Y20" i="11"/>
  <c r="H190" i="24"/>
  <c r="B1319" i="23"/>
  <c r="E1319" i="23" s="1"/>
  <c r="H1318" i="23" s="1"/>
  <c r="I1318" i="23" s="1"/>
  <c r="B1326" i="23"/>
  <c r="E1326" i="23" s="1"/>
  <c r="B1459" i="23"/>
  <c r="E1460" i="23" s="1"/>
  <c r="F1449" i="23"/>
  <c r="V14" i="17"/>
  <c r="H230" i="24" s="1"/>
  <c r="E14" i="17"/>
  <c r="W14" i="17"/>
  <c r="D548" i="15"/>
  <c r="F548" i="15" s="1"/>
  <c r="T8" i="15" s="1"/>
  <c r="P9" i="12" s="1"/>
  <c r="D1043" i="23"/>
  <c r="E1043" i="23" s="1"/>
  <c r="H1041" i="23" s="1"/>
  <c r="B966" i="23"/>
  <c r="E968" i="23" s="1"/>
  <c r="B1047" i="23"/>
  <c r="E1047" i="23" s="1"/>
  <c r="H1046" i="23" s="1"/>
  <c r="I1046" i="23" s="1"/>
  <c r="B987" i="23"/>
  <c r="E989" i="23" s="1"/>
  <c r="H986" i="23" s="1"/>
  <c r="AC17" i="11"/>
  <c r="Z17" i="11"/>
  <c r="Y17" i="11"/>
  <c r="AK17" i="11"/>
  <c r="AX17" i="11"/>
  <c r="AX22" i="11" s="1"/>
  <c r="U19" i="12"/>
  <c r="E19" i="12"/>
  <c r="H35" i="13" s="1"/>
  <c r="AE35" i="13" s="1"/>
  <c r="S19" i="12"/>
  <c r="R19" i="12"/>
  <c r="F35" i="13"/>
  <c r="AA19" i="12"/>
  <c r="W19" i="12"/>
  <c r="M19" i="12"/>
  <c r="K19" i="12"/>
  <c r="D1442" i="15"/>
  <c r="F30" i="13"/>
  <c r="L14" i="12"/>
  <c r="W14" i="12"/>
  <c r="U14" i="12"/>
  <c r="N14" i="12"/>
  <c r="AA14" i="12"/>
  <c r="S14" i="12"/>
  <c r="R14" i="12"/>
  <c r="P14" i="12"/>
  <c r="E14" i="12"/>
  <c r="H30" i="13" s="1"/>
  <c r="AE30" i="13" s="1"/>
  <c r="W20" i="12"/>
  <c r="U20" i="12"/>
  <c r="E20" i="12"/>
  <c r="H36" i="13" s="1"/>
  <c r="AE36" i="13" s="1"/>
  <c r="S20" i="12"/>
  <c r="AA20" i="12"/>
  <c r="Z20" i="12"/>
  <c r="R20" i="12"/>
  <c r="M20" i="12"/>
  <c r="K20" i="12"/>
  <c r="F36" i="13"/>
  <c r="B357" i="23"/>
  <c r="E359" i="23" s="1"/>
  <c r="B438" i="23"/>
  <c r="E438" i="23" s="1"/>
  <c r="H437" i="23" s="1"/>
  <c r="I437" i="23" s="1"/>
  <c r="D434" i="23"/>
  <c r="E434" i="23" s="1"/>
  <c r="H432" i="23" s="1"/>
  <c r="B378" i="23"/>
  <c r="E380" i="23" s="1"/>
  <c r="H377" i="23" s="1"/>
  <c r="I377" i="23" s="1"/>
  <c r="AC10" i="11"/>
  <c r="Z10" i="11"/>
  <c r="Y10" i="11"/>
  <c r="AQ10" i="11"/>
  <c r="AQ22" i="11" s="1"/>
  <c r="AI10" i="11"/>
  <c r="B612" i="23"/>
  <c r="E612" i="23" s="1"/>
  <c r="H611" i="23" s="1"/>
  <c r="I611" i="23" s="1"/>
  <c r="D608" i="23"/>
  <c r="E608" i="23" s="1"/>
  <c r="H606" i="23" s="1"/>
  <c r="B531" i="23"/>
  <c r="E533" i="23" s="1"/>
  <c r="B552" i="23"/>
  <c r="E554" i="23" s="1"/>
  <c r="H551" i="23" s="1"/>
  <c r="Z12" i="11"/>
  <c r="Y12" i="11"/>
  <c r="AC12" i="11"/>
  <c r="AS12" i="11"/>
  <c r="AS22" i="11" s="1"/>
  <c r="AJ12" i="11"/>
  <c r="B525" i="23"/>
  <c r="E525" i="23" s="1"/>
  <c r="H524" i="23" s="1"/>
  <c r="B465" i="23"/>
  <c r="E467" i="23" s="1"/>
  <c r="H464" i="23" s="1"/>
  <c r="D521" i="23"/>
  <c r="E521" i="23" s="1"/>
  <c r="H519" i="23" s="1"/>
  <c r="B444" i="23"/>
  <c r="E446" i="23" s="1"/>
  <c r="AR11" i="11"/>
  <c r="AR22" i="11" s="1"/>
  <c r="AI11" i="11"/>
  <c r="AC11" i="11"/>
  <c r="Z11" i="11"/>
  <c r="Y11" i="11"/>
  <c r="E11" i="12"/>
  <c r="H27" i="13" s="1"/>
  <c r="AE27" i="13" s="1"/>
  <c r="S11" i="12"/>
  <c r="R11" i="12"/>
  <c r="N11" i="12"/>
  <c r="F27" i="13"/>
  <c r="W11" i="12"/>
  <c r="U11" i="12"/>
  <c r="L11" i="12"/>
  <c r="AA11" i="12"/>
  <c r="H202" i="24"/>
  <c r="B1370" i="23"/>
  <c r="E1370" i="23" s="1"/>
  <c r="H1369" i="23" s="1"/>
  <c r="I1369" i="23" s="1"/>
  <c r="B1377" i="23"/>
  <c r="E1377" i="23" s="1"/>
  <c r="B1336" i="23"/>
  <c r="E1336" i="23" s="1"/>
  <c r="H1335" i="23" s="1"/>
  <c r="I1335" i="23" s="1"/>
  <c r="H194" i="24"/>
  <c r="B1343" i="23"/>
  <c r="E1343" i="23" s="1"/>
  <c r="D956" i="23"/>
  <c r="E956" i="23" s="1"/>
  <c r="H954" i="23" s="1"/>
  <c r="B900" i="23"/>
  <c r="E902" i="23" s="1"/>
  <c r="H899" i="23" s="1"/>
  <c r="I899" i="23" s="1"/>
  <c r="B879" i="23"/>
  <c r="E881" i="23" s="1"/>
  <c r="B960" i="23"/>
  <c r="E960" i="23" s="1"/>
  <c r="H959" i="23" s="1"/>
  <c r="I959" i="23" s="1"/>
  <c r="AW16" i="11"/>
  <c r="AW22" i="11" s="1"/>
  <c r="AK16" i="11"/>
  <c r="Z16" i="11"/>
  <c r="Y16" i="11"/>
  <c r="AC16" i="11"/>
  <c r="H198" i="24"/>
  <c r="B1353" i="23"/>
  <c r="E1353" i="23" s="1"/>
  <c r="H1352" i="23" s="1"/>
  <c r="I1352" i="23" s="1"/>
  <c r="B1360" i="23"/>
  <c r="E1360" i="23" s="1"/>
  <c r="B1206" i="23"/>
  <c r="E1208" i="23" s="1"/>
  <c r="H1205" i="23" s="1"/>
  <c r="I1205" i="23" s="1"/>
  <c r="B1177" i="23"/>
  <c r="E1180" i="23" s="1"/>
  <c r="B1149" i="23"/>
  <c r="E1152" i="23" s="1"/>
  <c r="B1184" i="23"/>
  <c r="E1187" i="23" s="1"/>
  <c r="F1138" i="23"/>
  <c r="B1189" i="23"/>
  <c r="E1192" i="23" s="1"/>
  <c r="B1172" i="23"/>
  <c r="E1175" i="23" s="1"/>
  <c r="B1154" i="23"/>
  <c r="E1157" i="23" s="1"/>
  <c r="B1200" i="23"/>
  <c r="E1202" i="23" s="1"/>
  <c r="B1196" i="23"/>
  <c r="E1198" i="23" s="1"/>
  <c r="H1195" i="23" s="1"/>
  <c r="B1210" i="23"/>
  <c r="E1212" i="23" s="1"/>
  <c r="B1144" i="23"/>
  <c r="E1147" i="23" s="1"/>
  <c r="B1167" i="23"/>
  <c r="E1170" i="23" s="1"/>
  <c r="H1166" i="23" s="1"/>
  <c r="I1166" i="23" s="1"/>
  <c r="AG19" i="11"/>
  <c r="AF19" i="11"/>
  <c r="AE19" i="11"/>
  <c r="AD19" i="11"/>
  <c r="E19" i="11"/>
  <c r="B177" i="23"/>
  <c r="E177" i="23" s="1"/>
  <c r="H176" i="23" s="1"/>
  <c r="I176" i="23" s="1"/>
  <c r="D173" i="23"/>
  <c r="E173" i="23" s="1"/>
  <c r="H171" i="23" s="1"/>
  <c r="B96" i="23"/>
  <c r="E98" i="23" s="1"/>
  <c r="B117" i="23"/>
  <c r="E119" i="23" s="1"/>
  <c r="H116" i="23" s="1"/>
  <c r="I116" i="23" s="1"/>
  <c r="Y7" i="11"/>
  <c r="AN7" i="11"/>
  <c r="AN22" i="11" s="1"/>
  <c r="AH7" i="11"/>
  <c r="Z7" i="11"/>
  <c r="AC7" i="11"/>
  <c r="K21" i="12"/>
  <c r="W21" i="12"/>
  <c r="U21" i="12"/>
  <c r="AA21" i="12"/>
  <c r="F37" i="13"/>
  <c r="S21" i="12"/>
  <c r="R21" i="12"/>
  <c r="M21" i="12"/>
  <c r="E21" i="12"/>
  <c r="H37" i="13" s="1"/>
  <c r="AE37" i="13" s="1"/>
  <c r="H241" i="24"/>
  <c r="B1513" i="23"/>
  <c r="E1513" i="23" s="1"/>
  <c r="B1506" i="23"/>
  <c r="E1506" i="23" s="1"/>
  <c r="H1505" i="23" s="1"/>
  <c r="I1505" i="23" s="1"/>
  <c r="F1398" i="23"/>
  <c r="B1408" i="23"/>
  <c r="E1409" i="23" s="1"/>
  <c r="H1407" i="23" s="1"/>
  <c r="V11" i="17"/>
  <c r="H215" i="24" s="1"/>
  <c r="E11" i="17"/>
  <c r="W11" i="17" s="1"/>
  <c r="F1415" i="23"/>
  <c r="B1425" i="23"/>
  <c r="E1426" i="23" s="1"/>
  <c r="H1424" i="23" s="1"/>
  <c r="E12" i="17"/>
  <c r="W12" i="17" s="1"/>
  <c r="X12" i="17"/>
  <c r="V12" i="17"/>
  <c r="H219" i="24" s="1"/>
  <c r="B829" i="23"/>
  <c r="E832" i="23" s="1"/>
  <c r="B801" i="23"/>
  <c r="E804" i="23" s="1"/>
  <c r="B841" i="23"/>
  <c r="E844" i="23" s="1"/>
  <c r="B824" i="23"/>
  <c r="E827" i="23" s="1"/>
  <c r="B819" i="23"/>
  <c r="E822" i="23" s="1"/>
  <c r="H818" i="23" s="1"/>
  <c r="I818" i="23" s="1"/>
  <c r="B796" i="23"/>
  <c r="E799" i="23" s="1"/>
  <c r="B862" i="23"/>
  <c r="E864" i="23" s="1"/>
  <c r="B858" i="23"/>
  <c r="E860" i="23" s="1"/>
  <c r="B852" i="23"/>
  <c r="E854" i="23" s="1"/>
  <c r="F790" i="23"/>
  <c r="B848" i="23"/>
  <c r="E850" i="23" s="1"/>
  <c r="H847" i="23" s="1"/>
  <c r="B806" i="23"/>
  <c r="E809" i="23" s="1"/>
  <c r="B836" i="23"/>
  <c r="E839" i="23" s="1"/>
  <c r="H835" i="23" s="1"/>
  <c r="I835" i="23" s="1"/>
  <c r="AE15" i="11"/>
  <c r="AD15" i="11"/>
  <c r="AB15" i="11" s="1"/>
  <c r="AF15" i="11"/>
  <c r="AG15" i="11"/>
  <c r="E15" i="11"/>
  <c r="D2192" i="15"/>
  <c r="B1383" i="23"/>
  <c r="E1383" i="23" s="1"/>
  <c r="H1382" i="23" s="1"/>
  <c r="I1382" i="23" s="1"/>
  <c r="T10" i="17"/>
  <c r="H209" i="24" s="1"/>
  <c r="F1466" i="23"/>
  <c r="B1476" i="23"/>
  <c r="E1477" i="23" s="1"/>
  <c r="W15" i="17"/>
  <c r="V15" i="17"/>
  <c r="H234" i="24" s="1"/>
  <c r="E15" i="17"/>
  <c r="X15" i="17" s="1"/>
  <c r="B1485" i="23"/>
  <c r="E1485" i="23" s="1"/>
  <c r="H1484" i="23" s="1"/>
  <c r="T16" i="17"/>
  <c r="H236" i="24" s="1"/>
  <c r="B1489" i="23"/>
  <c r="E1489" i="23" s="1"/>
  <c r="H1488" i="23" s="1"/>
  <c r="I1488" i="23" s="1"/>
  <c r="H237" i="24"/>
  <c r="B1496" i="23"/>
  <c r="E1496" i="23" s="1"/>
  <c r="B1340" i="23"/>
  <c r="E1341" i="23" s="1"/>
  <c r="H1339" i="23" s="1"/>
  <c r="I1339" i="23" s="1"/>
  <c r="F1330" i="23"/>
  <c r="E7" i="17"/>
  <c r="V7" i="17"/>
  <c r="H195" i="24" s="1"/>
  <c r="D2642" i="15"/>
  <c r="H218" i="24"/>
  <c r="B1428" i="23"/>
  <c r="E1428" i="23" s="1"/>
  <c r="B1421" i="23"/>
  <c r="E1421" i="23" s="1"/>
  <c r="H1420" i="23" s="1"/>
  <c r="I1420" i="23" s="1"/>
  <c r="B1451" i="23"/>
  <c r="E1451" i="23" s="1"/>
  <c r="H1450" i="23" s="1"/>
  <c r="I1450" i="23" s="1"/>
  <c r="T14" i="17"/>
  <c r="H228" i="24" s="1"/>
  <c r="B394" i="23"/>
  <c r="E397" i="23" s="1"/>
  <c r="B406" i="23"/>
  <c r="E409" i="23" s="1"/>
  <c r="B361" i="23"/>
  <c r="E364" i="23" s="1"/>
  <c r="B371" i="23"/>
  <c r="E374" i="23" s="1"/>
  <c r="B389" i="23"/>
  <c r="E392" i="23" s="1"/>
  <c r="B423" i="23"/>
  <c r="E425" i="23" s="1"/>
  <c r="B401" i="23"/>
  <c r="E404" i="23" s="1"/>
  <c r="B384" i="23"/>
  <c r="E387" i="23" s="1"/>
  <c r="B366" i="23"/>
  <c r="E369" i="23" s="1"/>
  <c r="B417" i="23"/>
  <c r="E419" i="23" s="1"/>
  <c r="F355" i="23"/>
  <c r="B413" i="23"/>
  <c r="E415" i="23" s="1"/>
  <c r="B427" i="23"/>
  <c r="E429" i="23" s="1"/>
  <c r="E10" i="11"/>
  <c r="AG10" i="11"/>
  <c r="AF10" i="11"/>
  <c r="AE10" i="11"/>
  <c r="AD10" i="11"/>
  <c r="I62" i="22"/>
  <c r="B1445" i="23"/>
  <c r="E1445" i="23" s="1"/>
  <c r="H222" i="24"/>
  <c r="B1438" i="23"/>
  <c r="E1438" i="23" s="1"/>
  <c r="H1437" i="23" s="1"/>
  <c r="I1437" i="23" s="1"/>
  <c r="D848" i="15"/>
  <c r="F848" i="15" s="1"/>
  <c r="T10" i="15" s="1"/>
  <c r="P11" i="12" s="1"/>
  <c r="I67" i="22"/>
  <c r="F703" i="23"/>
  <c r="B754" i="23"/>
  <c r="E757" i="23" s="1"/>
  <c r="B737" i="23"/>
  <c r="E740" i="23" s="1"/>
  <c r="B775" i="23"/>
  <c r="E777" i="23" s="1"/>
  <c r="B771" i="23"/>
  <c r="E773" i="23" s="1"/>
  <c r="H770" i="23" s="1"/>
  <c r="I770" i="23" s="1"/>
  <c r="B714" i="23"/>
  <c r="E717" i="23" s="1"/>
  <c r="B749" i="23"/>
  <c r="E752" i="23" s="1"/>
  <c r="H748" i="23" s="1"/>
  <c r="I748" i="23" s="1"/>
  <c r="B732" i="23"/>
  <c r="E735" i="23" s="1"/>
  <c r="B709" i="23"/>
  <c r="E712" i="23" s="1"/>
  <c r="B765" i="23"/>
  <c r="E767" i="23" s="1"/>
  <c r="B719" i="23"/>
  <c r="E722" i="23" s="1"/>
  <c r="B742" i="23"/>
  <c r="E745" i="23" s="1"/>
  <c r="B761" i="23"/>
  <c r="E763" i="23" s="1"/>
  <c r="H760" i="23" s="1"/>
  <c r="I760" i="23" s="1"/>
  <c r="E14" i="11"/>
  <c r="AE14" i="11"/>
  <c r="AD14" i="11"/>
  <c r="AB14" i="11" s="1"/>
  <c r="AG14" i="11"/>
  <c r="AF14" i="11"/>
  <c r="B928" i="23"/>
  <c r="E931" i="23" s="1"/>
  <c r="B949" i="23"/>
  <c r="E951" i="23" s="1"/>
  <c r="F877" i="23"/>
  <c r="B916" i="23"/>
  <c r="E919" i="23" s="1"/>
  <c r="B945" i="23"/>
  <c r="E947" i="23" s="1"/>
  <c r="B893" i="23"/>
  <c r="E896" i="23" s="1"/>
  <c r="B888" i="23"/>
  <c r="E891" i="23" s="1"/>
  <c r="B923" i="23"/>
  <c r="E926" i="23" s="1"/>
  <c r="B935" i="23"/>
  <c r="E937" i="23" s="1"/>
  <c r="B911" i="23"/>
  <c r="E914" i="23" s="1"/>
  <c r="B883" i="23"/>
  <c r="E886" i="23" s="1"/>
  <c r="B906" i="23"/>
  <c r="E909" i="23" s="1"/>
  <c r="B939" i="23"/>
  <c r="E941" i="23" s="1"/>
  <c r="AG16" i="11"/>
  <c r="AF16" i="11"/>
  <c r="E16" i="11"/>
  <c r="AE16" i="11"/>
  <c r="AD16" i="11"/>
  <c r="B1468" i="23"/>
  <c r="E1468" i="23" s="1"/>
  <c r="H1467" i="23" s="1"/>
  <c r="T15" i="17"/>
  <c r="H232" i="24" s="1"/>
  <c r="F1432" i="23"/>
  <c r="B1442" i="23"/>
  <c r="E1443" i="23" s="1"/>
  <c r="H1441" i="23" s="1"/>
  <c r="I1441" i="23" s="1"/>
  <c r="V13" i="17"/>
  <c r="H223" i="24" s="1"/>
  <c r="E13" i="17"/>
  <c r="D5" i="25"/>
  <c r="E5" i="25" s="1"/>
  <c r="B36" i="23"/>
  <c r="E39" i="23" s="1"/>
  <c r="B79" i="23"/>
  <c r="E81" i="23" s="1"/>
  <c r="B18" i="23"/>
  <c r="E21" i="23" s="1"/>
  <c r="B46" i="23"/>
  <c r="E49" i="23" s="1"/>
  <c r="B41" i="23"/>
  <c r="E44" i="23" s="1"/>
  <c r="B23" i="23"/>
  <c r="E26" i="23" s="1"/>
  <c r="F7" i="23"/>
  <c r="B69" i="23"/>
  <c r="E71" i="23" s="1"/>
  <c r="B58" i="23"/>
  <c r="E61" i="23" s="1"/>
  <c r="B75" i="23"/>
  <c r="E77" i="23" s="1"/>
  <c r="B53" i="23"/>
  <c r="E56" i="23" s="1"/>
  <c r="B65" i="23"/>
  <c r="E67" i="23" s="1"/>
  <c r="B13" i="23"/>
  <c r="E16" i="23" s="1"/>
  <c r="AG6" i="11"/>
  <c r="AF6" i="11"/>
  <c r="E6" i="11"/>
  <c r="AE6" i="11"/>
  <c r="AD6" i="11"/>
  <c r="B1417" i="23"/>
  <c r="E1417" i="23" s="1"/>
  <c r="H1416" i="23" s="1"/>
  <c r="I1416" i="23" s="1"/>
  <c r="T12" i="17"/>
  <c r="H217" i="24" s="1"/>
  <c r="D998" i="15"/>
  <c r="F998" i="15" s="1"/>
  <c r="T11" i="15" s="1"/>
  <c r="P12" i="12" s="1"/>
  <c r="D692" i="15"/>
  <c r="D698" i="15" s="1"/>
  <c r="F698" i="15" s="1"/>
  <c r="T9" i="15" s="1"/>
  <c r="P10" i="12" s="1"/>
  <c r="H214" i="24"/>
  <c r="B1404" i="23"/>
  <c r="E1404" i="23" s="1"/>
  <c r="H1403" i="23" s="1"/>
  <c r="I1403" i="23" s="1"/>
  <c r="B1411" i="23"/>
  <c r="E1411" i="23" s="1"/>
  <c r="B1315" i="23"/>
  <c r="E1315" i="23" s="1"/>
  <c r="H1314" i="23" s="1"/>
  <c r="T6" i="17"/>
  <c r="H189" i="24" s="1"/>
  <c r="D1142" i="15"/>
  <c r="D1148" i="15" s="1"/>
  <c r="F1148" i="15" s="1"/>
  <c r="T12" i="15" s="1"/>
  <c r="P13" i="12" s="1"/>
  <c r="N8" i="12"/>
  <c r="AA8" i="12"/>
  <c r="Z8" i="12"/>
  <c r="L8" i="12"/>
  <c r="W8" i="12"/>
  <c r="U8" i="12"/>
  <c r="S8" i="12"/>
  <c r="R8" i="12"/>
  <c r="F24" i="13"/>
  <c r="P8" i="12"/>
  <c r="E8" i="12"/>
  <c r="H24" i="13" s="1"/>
  <c r="AE24" i="13" s="1"/>
  <c r="B1140" i="23"/>
  <c r="E1142" i="23" s="1"/>
  <c r="H1139" i="23" s="1"/>
  <c r="I1139" i="23" s="1"/>
  <c r="D1217" i="23"/>
  <c r="E1217" i="23" s="1"/>
  <c r="H1215" i="23" s="1"/>
  <c r="B1161" i="23"/>
  <c r="E1163" i="23" s="1"/>
  <c r="H1160" i="23" s="1"/>
  <c r="I1160" i="23" s="1"/>
  <c r="B1221" i="23"/>
  <c r="E1221" i="23" s="1"/>
  <c r="H1220" i="23" s="1"/>
  <c r="I1220" i="23" s="1"/>
  <c r="Z19" i="11"/>
  <c r="Y19" i="11"/>
  <c r="AC19" i="11"/>
  <c r="AZ19" i="11"/>
  <c r="AZ22" i="11" s="1"/>
  <c r="AL19" i="11"/>
  <c r="AA23" i="12"/>
  <c r="M23" i="12"/>
  <c r="K23" i="12"/>
  <c r="W23" i="12"/>
  <c r="U23" i="12"/>
  <c r="F39" i="13"/>
  <c r="S23" i="12"/>
  <c r="E23" i="12"/>
  <c r="H39" i="13" s="1"/>
  <c r="AE39" i="13" s="1"/>
  <c r="R23" i="12"/>
  <c r="B1434" i="23"/>
  <c r="E1434" i="23" s="1"/>
  <c r="H1433" i="23" s="1"/>
  <c r="T13" i="17"/>
  <c r="H221" i="24" s="1"/>
  <c r="B645" i="23"/>
  <c r="E648" i="23" s="1"/>
  <c r="B650" i="23"/>
  <c r="E653" i="23" s="1"/>
  <c r="B662" i="23"/>
  <c r="E665" i="23" s="1"/>
  <c r="B632" i="23"/>
  <c r="E635" i="23" s="1"/>
  <c r="B684" i="23"/>
  <c r="E686" i="23" s="1"/>
  <c r="H683" i="23" s="1"/>
  <c r="I683" i="23" s="1"/>
  <c r="F616" i="23"/>
  <c r="B667" i="23"/>
  <c r="E670" i="23" s="1"/>
  <c r="B688" i="23"/>
  <c r="E690" i="23" s="1"/>
  <c r="B622" i="23"/>
  <c r="E625" i="23" s="1"/>
  <c r="B655" i="23"/>
  <c r="E658" i="23" s="1"/>
  <c r="B627" i="23"/>
  <c r="E630" i="23" s="1"/>
  <c r="B678" i="23"/>
  <c r="E680" i="23" s="1"/>
  <c r="B674" i="23"/>
  <c r="E676" i="23" s="1"/>
  <c r="AG13" i="11"/>
  <c r="AF13" i="11"/>
  <c r="E13" i="11"/>
  <c r="AE13" i="11"/>
  <c r="AD13" i="11"/>
  <c r="H229" i="24"/>
  <c r="B1462" i="23"/>
  <c r="E1462" i="23" s="1"/>
  <c r="B1455" i="23"/>
  <c r="E1455" i="23" s="1"/>
  <c r="H1454" i="23" s="1"/>
  <c r="I1454" i="23" s="1"/>
  <c r="B1510" i="23"/>
  <c r="E1511" i="23" s="1"/>
  <c r="H1509" i="23" s="1"/>
  <c r="F1500" i="23"/>
  <c r="E17" i="17"/>
  <c r="V17" i="17"/>
  <c r="H242" i="24" s="1"/>
  <c r="P16" i="12"/>
  <c r="F32" i="13"/>
  <c r="N16" i="12"/>
  <c r="AA16" i="12"/>
  <c r="L16" i="12"/>
  <c r="W16" i="12"/>
  <c r="U16" i="12"/>
  <c r="S16" i="12"/>
  <c r="R16" i="12"/>
  <c r="E16" i="12"/>
  <c r="H32" i="13" s="1"/>
  <c r="AE32" i="13" s="1"/>
  <c r="B1349" i="23"/>
  <c r="E1349" i="23" s="1"/>
  <c r="H1348" i="23" s="1"/>
  <c r="I1348" i="23" s="1"/>
  <c r="T8" i="17"/>
  <c r="H197" i="24" s="1"/>
  <c r="I135" i="22"/>
  <c r="F1347" i="23"/>
  <c r="B1357" i="23"/>
  <c r="E1358" i="23" s="1"/>
  <c r="V8" i="17"/>
  <c r="H199" i="24" s="1"/>
  <c r="E8" i="17"/>
  <c r="B786" i="23"/>
  <c r="E786" i="23" s="1"/>
  <c r="H785" i="23" s="1"/>
  <c r="D782" i="23"/>
  <c r="E782" i="23" s="1"/>
  <c r="H780" i="23" s="1"/>
  <c r="I780" i="23" s="1"/>
  <c r="B726" i="23"/>
  <c r="E728" i="23" s="1"/>
  <c r="H725" i="23" s="1"/>
  <c r="B705" i="23"/>
  <c r="E707" i="23" s="1"/>
  <c r="Y14" i="11"/>
  <c r="AU14" i="11"/>
  <c r="AU22" i="11" s="1"/>
  <c r="AJ14" i="11"/>
  <c r="Z14" i="11"/>
  <c r="AC14" i="11"/>
  <c r="Z7" i="12"/>
  <c r="L7" i="12"/>
  <c r="W7" i="12"/>
  <c r="U7" i="12"/>
  <c r="AA7" i="12"/>
  <c r="S7" i="12"/>
  <c r="R7" i="12"/>
  <c r="P7" i="12"/>
  <c r="F23" i="13"/>
  <c r="E7" i="12"/>
  <c r="H23" i="13" s="1"/>
  <c r="AE23" i="13" s="1"/>
  <c r="N7" i="12"/>
  <c r="B453" i="23"/>
  <c r="E456" i="23" s="1"/>
  <c r="B510" i="23"/>
  <c r="E512" i="23" s="1"/>
  <c r="H509" i="23" s="1"/>
  <c r="I509" i="23" s="1"/>
  <c r="B458" i="23"/>
  <c r="E461" i="23" s="1"/>
  <c r="B488" i="23"/>
  <c r="E491" i="23" s="1"/>
  <c r="H487" i="23" s="1"/>
  <c r="I487" i="23" s="1"/>
  <c r="B471" i="23"/>
  <c r="E474" i="23" s="1"/>
  <c r="H470" i="23" s="1"/>
  <c r="B448" i="23"/>
  <c r="E451" i="23" s="1"/>
  <c r="B504" i="23"/>
  <c r="E506" i="23" s="1"/>
  <c r="B500" i="23"/>
  <c r="E502" i="23" s="1"/>
  <c r="H499" i="23" s="1"/>
  <c r="I499" i="23" s="1"/>
  <c r="F442" i="23"/>
  <c r="B514" i="23"/>
  <c r="E516" i="23" s="1"/>
  <c r="B493" i="23"/>
  <c r="E496" i="23" s="1"/>
  <c r="B481" i="23"/>
  <c r="E484" i="23" s="1"/>
  <c r="B476" i="23"/>
  <c r="E479" i="23" s="1"/>
  <c r="AG11" i="11"/>
  <c r="AF11" i="11"/>
  <c r="E11" i="11"/>
  <c r="AE11" i="11"/>
  <c r="AD11" i="11"/>
  <c r="AB11" i="11" s="1"/>
  <c r="B1276" i="23"/>
  <c r="E1279" i="23" s="1"/>
  <c r="B1264" i="23"/>
  <c r="E1267" i="23" s="1"/>
  <c r="B1259" i="23"/>
  <c r="E1262" i="23" s="1"/>
  <c r="B1293" i="23"/>
  <c r="E1295" i="23" s="1"/>
  <c r="H1292" i="23" s="1"/>
  <c r="B1241" i="23"/>
  <c r="E1244" i="23" s="1"/>
  <c r="B1236" i="23"/>
  <c r="E1239" i="23" s="1"/>
  <c r="B1254" i="23"/>
  <c r="E1257" i="23" s="1"/>
  <c r="H1253" i="23" s="1"/>
  <c r="I1253" i="23" s="1"/>
  <c r="B1297" i="23"/>
  <c r="E1299" i="23" s="1"/>
  <c r="B1271" i="23"/>
  <c r="E1274" i="23" s="1"/>
  <c r="F1225" i="23"/>
  <c r="B1283" i="23"/>
  <c r="E1285" i="23" s="1"/>
  <c r="B1231" i="23"/>
  <c r="E1234" i="23" s="1"/>
  <c r="B1287" i="23"/>
  <c r="E1289" i="23" s="1"/>
  <c r="AG20" i="11"/>
  <c r="AF20" i="11"/>
  <c r="E20" i="11"/>
  <c r="AE20" i="11"/>
  <c r="AD20" i="11"/>
  <c r="AB20" i="11" s="1"/>
  <c r="B183" i="23"/>
  <c r="E185" i="23" s="1"/>
  <c r="H182" i="23" s="1"/>
  <c r="I182" i="23" s="1"/>
  <c r="B204" i="23"/>
  <c r="E206" i="23" s="1"/>
  <c r="H203" i="23" s="1"/>
  <c r="B264" i="23"/>
  <c r="E264" i="23" s="1"/>
  <c r="H263" i="23" s="1"/>
  <c r="D260" i="23"/>
  <c r="E260" i="23" s="1"/>
  <c r="H258" i="23" s="1"/>
  <c r="AC8" i="11"/>
  <c r="Z8" i="11"/>
  <c r="Y8" i="11"/>
  <c r="AH8" i="11"/>
  <c r="AO8" i="11"/>
  <c r="AO22" i="11" s="1"/>
  <c r="H210" i="24"/>
  <c r="B1387" i="23"/>
  <c r="E1387" i="23" s="1"/>
  <c r="H1386" i="23" s="1"/>
  <c r="I1386" i="23" s="1"/>
  <c r="B1394" i="23"/>
  <c r="E1394" i="23" s="1"/>
  <c r="B1400" i="23"/>
  <c r="E1400" i="23" s="1"/>
  <c r="H1399" i="23" s="1"/>
  <c r="T11" i="17"/>
  <c r="H213" i="24" s="1"/>
  <c r="AA22" i="12"/>
  <c r="M22" i="12"/>
  <c r="K22" i="12"/>
  <c r="W22" i="12"/>
  <c r="F38" i="13"/>
  <c r="U22" i="12"/>
  <c r="S22" i="12"/>
  <c r="E22" i="12"/>
  <c r="H38" i="13" s="1"/>
  <c r="AE38" i="13" s="1"/>
  <c r="R22" i="12"/>
  <c r="F1051" i="23"/>
  <c r="B1119" i="23"/>
  <c r="E1121" i="23" s="1"/>
  <c r="H1118" i="23" s="1"/>
  <c r="I1118" i="23" s="1"/>
  <c r="B1102" i="23"/>
  <c r="E1105" i="23" s="1"/>
  <c r="B1085" i="23"/>
  <c r="E1088" i="23" s="1"/>
  <c r="B1097" i="23"/>
  <c r="E1100" i="23" s="1"/>
  <c r="B1062" i="23"/>
  <c r="E1065" i="23" s="1"/>
  <c r="B1113" i="23"/>
  <c r="E1115" i="23" s="1"/>
  <c r="B1109" i="23"/>
  <c r="E1111" i="23" s="1"/>
  <c r="H1108" i="23" s="1"/>
  <c r="B1080" i="23"/>
  <c r="E1083" i="23" s="1"/>
  <c r="B1067" i="23"/>
  <c r="E1070" i="23" s="1"/>
  <c r="B1123" i="23"/>
  <c r="E1125" i="23" s="1"/>
  <c r="B1057" i="23"/>
  <c r="E1060" i="23" s="1"/>
  <c r="B1090" i="23"/>
  <c r="E1093" i="23" s="1"/>
  <c r="AG18" i="11"/>
  <c r="AF18" i="11"/>
  <c r="E18" i="11"/>
  <c r="AE18" i="11"/>
  <c r="AD18" i="11"/>
  <c r="B792" i="23"/>
  <c r="E794" i="23" s="1"/>
  <c r="B873" i="23"/>
  <c r="E873" i="23" s="1"/>
  <c r="H872" i="23" s="1"/>
  <c r="B813" i="23"/>
  <c r="E815" i="23" s="1"/>
  <c r="H812" i="23" s="1"/>
  <c r="D869" i="23"/>
  <c r="E869" i="23" s="1"/>
  <c r="H867" i="23" s="1"/>
  <c r="AC15" i="11"/>
  <c r="Z15" i="11"/>
  <c r="Y15" i="11"/>
  <c r="AV15" i="11"/>
  <c r="AV22" i="11" s="1"/>
  <c r="AK15" i="11"/>
  <c r="AK22" i="11" s="1"/>
  <c r="B1502" i="23"/>
  <c r="E1502" i="23" s="1"/>
  <c r="H1501" i="23" s="1"/>
  <c r="T17" i="17"/>
  <c r="H240" i="24" s="1"/>
  <c r="B319" i="23"/>
  <c r="E322" i="23" s="1"/>
  <c r="B274" i="23"/>
  <c r="E277" i="23" s="1"/>
  <c r="B330" i="23"/>
  <c r="E332" i="23" s="1"/>
  <c r="B340" i="23"/>
  <c r="E342" i="23" s="1"/>
  <c r="B307" i="23"/>
  <c r="E310" i="23" s="1"/>
  <c r="B326" i="23"/>
  <c r="E328" i="23" s="1"/>
  <c r="H325" i="23" s="1"/>
  <c r="B302" i="23"/>
  <c r="E305" i="23" s="1"/>
  <c r="B279" i="23"/>
  <c r="E282" i="23" s="1"/>
  <c r="B297" i="23"/>
  <c r="E300" i="23" s="1"/>
  <c r="B314" i="23"/>
  <c r="E317" i="23" s="1"/>
  <c r="B336" i="23"/>
  <c r="E338" i="23" s="1"/>
  <c r="H335" i="23" s="1"/>
  <c r="F268" i="23"/>
  <c r="B284" i="23"/>
  <c r="E287" i="23" s="1"/>
  <c r="AG9" i="11"/>
  <c r="AF9" i="11"/>
  <c r="E9" i="11"/>
  <c r="AD9" i="11"/>
  <c r="AB9" i="11" s="1"/>
  <c r="AE9" i="11"/>
  <c r="B220" i="23"/>
  <c r="E223" i="23" s="1"/>
  <c r="B192" i="23"/>
  <c r="E195" i="23" s="1"/>
  <c r="B243" i="23"/>
  <c r="E245" i="23" s="1"/>
  <c r="B197" i="23"/>
  <c r="E200" i="23" s="1"/>
  <c r="B232" i="23"/>
  <c r="E235" i="23" s="1"/>
  <c r="B249" i="23"/>
  <c r="E251" i="23" s="1"/>
  <c r="H248" i="23" s="1"/>
  <c r="I248" i="23" s="1"/>
  <c r="B210" i="23"/>
  <c r="E213" i="23" s="1"/>
  <c r="B227" i="23"/>
  <c r="E230" i="23" s="1"/>
  <c r="H226" i="23" s="1"/>
  <c r="I226" i="23" s="1"/>
  <c r="B253" i="23"/>
  <c r="E255" i="23" s="1"/>
  <c r="F181" i="23"/>
  <c r="B239" i="23"/>
  <c r="E241" i="23" s="1"/>
  <c r="H238" i="23" s="1"/>
  <c r="I238" i="23" s="1"/>
  <c r="B215" i="23"/>
  <c r="E218" i="23" s="1"/>
  <c r="B187" i="23"/>
  <c r="E190" i="23" s="1"/>
  <c r="AE8" i="11"/>
  <c r="AD8" i="11"/>
  <c r="AB8" i="11" s="1"/>
  <c r="E8" i="11"/>
  <c r="AF8" i="11"/>
  <c r="AG8" i="11"/>
  <c r="D1448" i="15"/>
  <c r="F1448" i="15" s="1"/>
  <c r="T14" i="15" s="1"/>
  <c r="P15" i="12" s="1"/>
  <c r="W6" i="12"/>
  <c r="U6" i="12"/>
  <c r="U26" i="12" s="1"/>
  <c r="D19" i="16" s="1"/>
  <c r="E6" i="12"/>
  <c r="H22" i="13" s="1"/>
  <c r="AE22" i="13" s="1"/>
  <c r="S6" i="12"/>
  <c r="Z6" i="12"/>
  <c r="F22" i="13"/>
  <c r="R6" i="12"/>
  <c r="P6" i="12"/>
  <c r="N6" i="12"/>
  <c r="L6" i="12"/>
  <c r="AA6" i="12"/>
  <c r="AA26" i="12" s="1"/>
  <c r="D25" i="16" s="1"/>
  <c r="W13" i="12"/>
  <c r="U13" i="12"/>
  <c r="E13" i="12"/>
  <c r="H29" i="13" s="1"/>
  <c r="AE29" i="13" s="1"/>
  <c r="S13" i="12"/>
  <c r="N13" i="12"/>
  <c r="AA13" i="12"/>
  <c r="Z13" i="12"/>
  <c r="R13" i="12"/>
  <c r="L13" i="12"/>
  <c r="F29" i="13"/>
  <c r="R10" i="12"/>
  <c r="N10" i="12"/>
  <c r="AA10" i="12"/>
  <c r="W10" i="12"/>
  <c r="U10" i="12"/>
  <c r="S10" i="12"/>
  <c r="F26" i="13"/>
  <c r="L10" i="12"/>
  <c r="E10" i="12"/>
  <c r="H26" i="13" s="1"/>
  <c r="AE26" i="13" s="1"/>
  <c r="Z10" i="12"/>
  <c r="F1364" i="23"/>
  <c r="B1374" i="23"/>
  <c r="E1375" i="23" s="1"/>
  <c r="E9" i="17"/>
  <c r="V9" i="17"/>
  <c r="H203" i="24" s="1"/>
  <c r="D542" i="15"/>
  <c r="E18" i="12"/>
  <c r="H34" i="13" s="1"/>
  <c r="AE34" i="13" s="1"/>
  <c r="S18" i="12"/>
  <c r="R18" i="12"/>
  <c r="F34" i="13"/>
  <c r="W18" i="12"/>
  <c r="U18" i="12"/>
  <c r="AA18" i="12"/>
  <c r="M18" i="12"/>
  <c r="K18" i="12"/>
  <c r="B575" i="23"/>
  <c r="E578" i="23" s="1"/>
  <c r="B558" i="23"/>
  <c r="E561" i="23" s="1"/>
  <c r="F529" i="23"/>
  <c r="B597" i="23"/>
  <c r="E599" i="23" s="1"/>
  <c r="B545" i="23"/>
  <c r="E548" i="23" s="1"/>
  <c r="B568" i="23"/>
  <c r="E571" i="23" s="1"/>
  <c r="B591" i="23"/>
  <c r="E593" i="23" s="1"/>
  <c r="B540" i="23"/>
  <c r="E543" i="23" s="1"/>
  <c r="B563" i="23"/>
  <c r="E566" i="23" s="1"/>
  <c r="B535" i="23"/>
  <c r="E538" i="23" s="1"/>
  <c r="B587" i="23"/>
  <c r="E589" i="23" s="1"/>
  <c r="H586" i="23" s="1"/>
  <c r="I586" i="23" s="1"/>
  <c r="B601" i="23"/>
  <c r="E603" i="23" s="1"/>
  <c r="B580" i="23"/>
  <c r="E583" i="23" s="1"/>
  <c r="E12" i="11"/>
  <c r="AG12" i="11"/>
  <c r="AF12" i="11"/>
  <c r="AE12" i="11"/>
  <c r="AD12" i="11"/>
  <c r="AB12" i="11" s="1"/>
  <c r="N15" i="12"/>
  <c r="F31" i="13"/>
  <c r="AA15" i="12"/>
  <c r="L15" i="12"/>
  <c r="W15" i="12"/>
  <c r="U15" i="12"/>
  <c r="S15" i="12"/>
  <c r="R15" i="12"/>
  <c r="E15" i="12"/>
  <c r="H31" i="13" s="1"/>
  <c r="AE31" i="13" s="1"/>
  <c r="B1391" i="23"/>
  <c r="E1392" i="23" s="1"/>
  <c r="H1390" i="23" s="1"/>
  <c r="I1390" i="23" s="1"/>
  <c r="F1381" i="23"/>
  <c r="E10" i="17"/>
  <c r="X10" i="17" s="1"/>
  <c r="V10" i="17"/>
  <c r="H211" i="24" s="1"/>
  <c r="D6" i="25"/>
  <c r="E6" i="25" s="1"/>
  <c r="B90" i="23"/>
  <c r="E90" i="23" s="1"/>
  <c r="H89" i="23" s="1"/>
  <c r="I89" i="23" s="1"/>
  <c r="B30" i="23"/>
  <c r="E32" i="23" s="1"/>
  <c r="H29" i="23" s="1"/>
  <c r="B9" i="23"/>
  <c r="E11" i="23" s="1"/>
  <c r="D86" i="23"/>
  <c r="E86" i="23" s="1"/>
  <c r="H84" i="23" s="1"/>
  <c r="AC6" i="11"/>
  <c r="AM6" i="11"/>
  <c r="AM22" i="11" s="1"/>
  <c r="AH6" i="11"/>
  <c r="AH22" i="11" s="1"/>
  <c r="Z6" i="11"/>
  <c r="Y6" i="11"/>
  <c r="R17" i="12"/>
  <c r="F33" i="13"/>
  <c r="AA17" i="12"/>
  <c r="M17" i="12"/>
  <c r="W17" i="12"/>
  <c r="U17" i="12"/>
  <c r="E17" i="12"/>
  <c r="H33" i="13" s="1"/>
  <c r="AE33" i="13" s="1"/>
  <c r="Z17" i="12"/>
  <c r="S17" i="12"/>
  <c r="K17" i="12"/>
  <c r="H233" i="24"/>
  <c r="B1472" i="23"/>
  <c r="E1472" i="23" s="1"/>
  <c r="H1471" i="23" s="1"/>
  <c r="I1471" i="23" s="1"/>
  <c r="B1479" i="23"/>
  <c r="E1479" i="23" s="1"/>
  <c r="D2798" i="15"/>
  <c r="F2798" i="15" s="1"/>
  <c r="T23" i="15" s="1"/>
  <c r="F94" i="23"/>
  <c r="B166" i="23"/>
  <c r="E168" i="23" s="1"/>
  <c r="B156" i="23"/>
  <c r="E158" i="23" s="1"/>
  <c r="B140" i="23"/>
  <c r="E143" i="23" s="1"/>
  <c r="B105" i="23"/>
  <c r="E108" i="23" s="1"/>
  <c r="B110" i="23"/>
  <c r="E113" i="23" s="1"/>
  <c r="B162" i="23"/>
  <c r="E164" i="23" s="1"/>
  <c r="B145" i="23"/>
  <c r="E148" i="23" s="1"/>
  <c r="B152" i="23"/>
  <c r="E154" i="23" s="1"/>
  <c r="B128" i="23"/>
  <c r="E131" i="23" s="1"/>
  <c r="B123" i="23"/>
  <c r="E126" i="23" s="1"/>
  <c r="H122" i="23" s="1"/>
  <c r="B133" i="23"/>
  <c r="E136" i="23" s="1"/>
  <c r="B100" i="23"/>
  <c r="E103" i="23" s="1"/>
  <c r="E7" i="11"/>
  <c r="AG7" i="11"/>
  <c r="AF7" i="11"/>
  <c r="AD7" i="11"/>
  <c r="AB7" i="11" s="1"/>
  <c r="AE7" i="11"/>
  <c r="B1134" i="23"/>
  <c r="E1134" i="23" s="1"/>
  <c r="H1133" i="23" s="1"/>
  <c r="B1053" i="23"/>
  <c r="E1055" i="23" s="1"/>
  <c r="B1074" i="23"/>
  <c r="E1076" i="23" s="1"/>
  <c r="H1073" i="23" s="1"/>
  <c r="D1130" i="23"/>
  <c r="E1130" i="23" s="1"/>
  <c r="H1128" i="23" s="1"/>
  <c r="AY18" i="11"/>
  <c r="AY22" i="11" s="1"/>
  <c r="AL18" i="11"/>
  <c r="Z18" i="11"/>
  <c r="Y18" i="11"/>
  <c r="AC18" i="11"/>
  <c r="B1332" i="23"/>
  <c r="E1332" i="23" s="1"/>
  <c r="H1331" i="23" s="1"/>
  <c r="T7" i="17"/>
  <c r="H193" i="24" s="1"/>
  <c r="B1010" i="23"/>
  <c r="E1013" i="23" s="1"/>
  <c r="H1009" i="23" s="1"/>
  <c r="I1009" i="23" s="1"/>
  <c r="B980" i="23"/>
  <c r="E983" i="23" s="1"/>
  <c r="B1036" i="23"/>
  <c r="E1038" i="23" s="1"/>
  <c r="B970" i="23"/>
  <c r="E973" i="23" s="1"/>
  <c r="B1022" i="23"/>
  <c r="E1024" i="23" s="1"/>
  <c r="B1003" i="23"/>
  <c r="E1006" i="23" s="1"/>
  <c r="F964" i="23"/>
  <c r="B998" i="23"/>
  <c r="E1001" i="23" s="1"/>
  <c r="B975" i="23"/>
  <c r="E978" i="23" s="1"/>
  <c r="B1032" i="23"/>
  <c r="E1034" i="23" s="1"/>
  <c r="H1031" i="23" s="1"/>
  <c r="I1031" i="23" s="1"/>
  <c r="B1015" i="23"/>
  <c r="E1018" i="23" s="1"/>
  <c r="B993" i="23"/>
  <c r="E996" i="23" s="1"/>
  <c r="B1026" i="23"/>
  <c r="E1028" i="23" s="1"/>
  <c r="AF17" i="11"/>
  <c r="AE17" i="11"/>
  <c r="AD17" i="11"/>
  <c r="E17" i="11"/>
  <c r="AG17" i="11"/>
  <c r="B1493" i="23"/>
  <c r="E1494" i="23" s="1"/>
  <c r="F1483" i="23"/>
  <c r="V16" i="17"/>
  <c r="H238" i="24" s="1"/>
  <c r="E16" i="17"/>
  <c r="D695" i="23"/>
  <c r="E695" i="23" s="1"/>
  <c r="H693" i="23" s="1"/>
  <c r="I693" i="23" s="1"/>
  <c r="B618" i="23"/>
  <c r="E620" i="23" s="1"/>
  <c r="H617" i="23" s="1"/>
  <c r="I617" i="23" s="1"/>
  <c r="B699" i="23"/>
  <c r="E699" i="23" s="1"/>
  <c r="H698" i="23" s="1"/>
  <c r="I698" i="23" s="1"/>
  <c r="B639" i="23"/>
  <c r="E641" i="23" s="1"/>
  <c r="H638" i="23" s="1"/>
  <c r="I638" i="23" s="1"/>
  <c r="AC13" i="11"/>
  <c r="Z13" i="11"/>
  <c r="Y13" i="11"/>
  <c r="AJ13" i="11"/>
  <c r="AT13" i="11"/>
  <c r="AT22" i="11" s="1"/>
  <c r="R24" i="12"/>
  <c r="P24" i="12"/>
  <c r="N24" i="12"/>
  <c r="AA24" i="12"/>
  <c r="E24" i="12"/>
  <c r="H40" i="13" s="1"/>
  <c r="AE40" i="13" s="1"/>
  <c r="F40" i="13"/>
  <c r="W24" i="12"/>
  <c r="U24" i="12"/>
  <c r="S24" i="12"/>
  <c r="L24" i="12"/>
  <c r="B1366" i="23"/>
  <c r="E1366" i="23" s="1"/>
  <c r="H1365" i="23" s="1"/>
  <c r="T9" i="17"/>
  <c r="H201" i="24" s="1"/>
  <c r="C2778" i="15" l="1"/>
  <c r="D2780" i="15" s="1"/>
  <c r="C2745" i="15"/>
  <c r="D2747" i="15" s="1"/>
  <c r="C2840" i="15"/>
  <c r="D2841" i="15" s="1"/>
  <c r="C2784" i="15"/>
  <c r="D2786" i="15" s="1"/>
  <c r="C2826" i="15"/>
  <c r="D2827" i="15" s="1"/>
  <c r="D2828" i="15" s="1"/>
  <c r="F2828" i="15" s="1"/>
  <c r="X23" i="15" s="1"/>
  <c r="T24" i="12" s="1"/>
  <c r="C2709" i="15"/>
  <c r="D2711" i="15" s="1"/>
  <c r="D2721" i="15" s="1"/>
  <c r="F2721" i="15" s="1"/>
  <c r="M23" i="15" s="1"/>
  <c r="G24" i="12" s="1"/>
  <c r="I307" i="14"/>
  <c r="K307" i="14" s="1"/>
  <c r="L307" i="14" s="1"/>
  <c r="N307" i="14" s="1"/>
  <c r="G302" i="14"/>
  <c r="H302" i="14" s="1"/>
  <c r="L302" i="14" s="1"/>
  <c r="N302" i="14" s="1"/>
  <c r="C2781" i="15"/>
  <c r="D2783" i="15" s="1"/>
  <c r="C2766" i="15"/>
  <c r="D2768" i="15" s="1"/>
  <c r="G305" i="14"/>
  <c r="H305" i="14" s="1"/>
  <c r="L305" i="14" s="1"/>
  <c r="N305" i="14" s="1"/>
  <c r="I303" i="14"/>
  <c r="K303" i="14" s="1"/>
  <c r="L303" i="14" s="1"/>
  <c r="N303" i="14" s="1"/>
  <c r="S27" i="14" s="1"/>
  <c r="G300" i="14"/>
  <c r="H300" i="14" s="1"/>
  <c r="L300" i="14" s="1"/>
  <c r="N300" i="14" s="1"/>
  <c r="C2802" i="15"/>
  <c r="D2803" i="15" s="1"/>
  <c r="D2808" i="15" s="1"/>
  <c r="F2808" i="15" s="1"/>
  <c r="U23" i="15" s="1"/>
  <c r="Q24" i="12" s="1"/>
  <c r="I306" i="14"/>
  <c r="K306" i="14" s="1"/>
  <c r="L306" i="14" s="1"/>
  <c r="N306" i="14" s="1"/>
  <c r="G304" i="14"/>
  <c r="H304" i="14" s="1"/>
  <c r="L304" i="14" s="1"/>
  <c r="N304" i="14" s="1"/>
  <c r="G299" i="14"/>
  <c r="H299" i="14" s="1"/>
  <c r="L299" i="14" s="1"/>
  <c r="N299" i="14" s="1"/>
  <c r="C2725" i="15"/>
  <c r="D2727" i="15" s="1"/>
  <c r="D2737" i="15" s="1"/>
  <c r="C2838" i="15"/>
  <c r="D2839" i="15" s="1"/>
  <c r="D2844" i="15" s="1"/>
  <c r="F2844" i="15" s="1"/>
  <c r="Z23" i="15" s="1"/>
  <c r="V24" i="12" s="1"/>
  <c r="G301" i="14"/>
  <c r="H301" i="14" s="1"/>
  <c r="L301" i="14" s="1"/>
  <c r="N301" i="14" s="1"/>
  <c r="U27" i="14" s="1"/>
  <c r="D2851" i="15" s="1"/>
  <c r="F2851" i="15" s="1"/>
  <c r="AD23" i="15" s="1"/>
  <c r="Z24" i="12" s="1"/>
  <c r="W16" i="17"/>
  <c r="AL22" i="11"/>
  <c r="I29" i="23"/>
  <c r="A1356" i="15"/>
  <c r="A154" i="14"/>
  <c r="L14" i="15"/>
  <c r="X9" i="17"/>
  <c r="R26" i="12"/>
  <c r="D16" i="16" s="1"/>
  <c r="H296" i="23"/>
  <c r="I296" i="23" s="1"/>
  <c r="AA15" i="11"/>
  <c r="BC15" i="11"/>
  <c r="BB15" i="11"/>
  <c r="C2481" i="15"/>
  <c r="D2483" i="15" s="1"/>
  <c r="C2425" i="15"/>
  <c r="D2427" i="15" s="1"/>
  <c r="D2437" i="15" s="1"/>
  <c r="C2466" i="15"/>
  <c r="D2468" i="15" s="1"/>
  <c r="I275" i="14"/>
  <c r="K275" i="14" s="1"/>
  <c r="L275" i="14" s="1"/>
  <c r="N275" i="14" s="1"/>
  <c r="G272" i="14"/>
  <c r="H272" i="14" s="1"/>
  <c r="L272" i="14" s="1"/>
  <c r="N272" i="14" s="1"/>
  <c r="G267" i="14"/>
  <c r="H267" i="14" s="1"/>
  <c r="L267" i="14" s="1"/>
  <c r="N267" i="14" s="1"/>
  <c r="C2445" i="15"/>
  <c r="D2447" i="15" s="1"/>
  <c r="G270" i="14"/>
  <c r="H270" i="14" s="1"/>
  <c r="L270" i="14" s="1"/>
  <c r="N270" i="14" s="1"/>
  <c r="C2538" i="15"/>
  <c r="D2539" i="15" s="1"/>
  <c r="D2544" i="15" s="1"/>
  <c r="F2544" i="15" s="1"/>
  <c r="Z21" i="15" s="1"/>
  <c r="V22" i="12" s="1"/>
  <c r="C2502" i="15"/>
  <c r="D2503" i="15" s="1"/>
  <c r="D2508" i="15" s="1"/>
  <c r="F2508" i="15" s="1"/>
  <c r="U21" i="15" s="1"/>
  <c r="Q22" i="12" s="1"/>
  <c r="C2484" i="15"/>
  <c r="D2486" i="15" s="1"/>
  <c r="D2497" i="15" s="1"/>
  <c r="F2497" i="15" s="1"/>
  <c r="S21" i="15" s="1"/>
  <c r="O22" i="12" s="1"/>
  <c r="G273" i="14"/>
  <c r="H273" i="14" s="1"/>
  <c r="L273" i="14" s="1"/>
  <c r="N273" i="14" s="1"/>
  <c r="I271" i="14"/>
  <c r="K271" i="14" s="1"/>
  <c r="L271" i="14" s="1"/>
  <c r="N271" i="14" s="1"/>
  <c r="G268" i="14"/>
  <c r="H268" i="14" s="1"/>
  <c r="L268" i="14" s="1"/>
  <c r="N268" i="14" s="1"/>
  <c r="C2540" i="15"/>
  <c r="D2541" i="15" s="1"/>
  <c r="C2409" i="15"/>
  <c r="D2411" i="15" s="1"/>
  <c r="D2421" i="15" s="1"/>
  <c r="F2421" i="15" s="1"/>
  <c r="M21" i="15" s="1"/>
  <c r="G22" i="12" s="1"/>
  <c r="G269" i="14"/>
  <c r="H269" i="14" s="1"/>
  <c r="L269" i="14" s="1"/>
  <c r="N269" i="14" s="1"/>
  <c r="C2478" i="15"/>
  <c r="D2480" i="15" s="1"/>
  <c r="C2526" i="15"/>
  <c r="D2527" i="15" s="1"/>
  <c r="D2528" i="15" s="1"/>
  <c r="F2528" i="15" s="1"/>
  <c r="X21" i="15" s="1"/>
  <c r="T22" i="12" s="1"/>
  <c r="I274" i="14"/>
  <c r="K274" i="14" s="1"/>
  <c r="L274" i="14" s="1"/>
  <c r="N274" i="14" s="1"/>
  <c r="I263" i="23"/>
  <c r="L6" i="15"/>
  <c r="A156" i="15"/>
  <c r="A26" i="14"/>
  <c r="W8" i="17"/>
  <c r="H52" i="23"/>
  <c r="I52" i="23" s="1"/>
  <c r="W13" i="17"/>
  <c r="AJ22" i="11"/>
  <c r="H1458" i="23"/>
  <c r="I1458" i="23" s="1"/>
  <c r="Z22" i="11"/>
  <c r="BC6" i="11"/>
  <c r="BB6" i="11"/>
  <c r="AA6" i="11"/>
  <c r="A1056" i="15"/>
  <c r="A122" i="14"/>
  <c r="L12" i="15"/>
  <c r="H1079" i="23"/>
  <c r="I1079" i="23" s="1"/>
  <c r="I203" i="23"/>
  <c r="X8" i="17"/>
  <c r="X17" i="17"/>
  <c r="H673" i="23"/>
  <c r="I673" i="23" s="1"/>
  <c r="I1433" i="23"/>
  <c r="H74" i="23"/>
  <c r="I74" i="23" s="1"/>
  <c r="X13" i="17"/>
  <c r="H934" i="23"/>
  <c r="I934" i="23" s="1"/>
  <c r="H95" i="23"/>
  <c r="I95" i="23" s="1"/>
  <c r="I432" i="23"/>
  <c r="A2706" i="15"/>
  <c r="L23" i="15"/>
  <c r="A298" i="14"/>
  <c r="X16" i="17"/>
  <c r="I1128" i="23"/>
  <c r="H596" i="23"/>
  <c r="I596" i="23" s="1"/>
  <c r="A6" i="15"/>
  <c r="L5" i="15"/>
  <c r="A10" i="14"/>
  <c r="I1215" i="23"/>
  <c r="H922" i="23"/>
  <c r="I922" i="23" s="1"/>
  <c r="H383" i="23"/>
  <c r="I383" i="23" s="1"/>
  <c r="I847" i="23"/>
  <c r="C2316" i="15"/>
  <c r="D2318" i="15" s="1"/>
  <c r="C2328" i="15"/>
  <c r="D2330" i="15" s="1"/>
  <c r="C2295" i="15"/>
  <c r="D2297" i="15" s="1"/>
  <c r="C2390" i="15"/>
  <c r="D2391" i="15" s="1"/>
  <c r="C2334" i="15"/>
  <c r="D2336" i="15" s="1"/>
  <c r="D2347" i="15" s="1"/>
  <c r="F2347" i="15" s="1"/>
  <c r="S20" i="15" s="1"/>
  <c r="O21" i="12" s="1"/>
  <c r="C2331" i="15"/>
  <c r="D2333" i="15" s="1"/>
  <c r="C2259" i="15"/>
  <c r="D2261" i="15" s="1"/>
  <c r="D2271" i="15" s="1"/>
  <c r="F2271" i="15" s="1"/>
  <c r="M20" i="15" s="1"/>
  <c r="G21" i="12" s="1"/>
  <c r="G254" i="14"/>
  <c r="H254" i="14" s="1"/>
  <c r="L254" i="14" s="1"/>
  <c r="N254" i="14" s="1"/>
  <c r="G257" i="14"/>
  <c r="H257" i="14" s="1"/>
  <c r="L257" i="14" s="1"/>
  <c r="N257" i="14" s="1"/>
  <c r="C2388" i="15"/>
  <c r="D2389" i="15" s="1"/>
  <c r="D2394" i="15" s="1"/>
  <c r="F2394" i="15" s="1"/>
  <c r="Z20" i="15" s="1"/>
  <c r="V21" i="12" s="1"/>
  <c r="I255" i="14"/>
  <c r="K255" i="14" s="1"/>
  <c r="L255" i="14" s="1"/>
  <c r="N255" i="14" s="1"/>
  <c r="S24" i="14" s="1"/>
  <c r="I258" i="14"/>
  <c r="K258" i="14" s="1"/>
  <c r="L258" i="14" s="1"/>
  <c r="N258" i="14" s="1"/>
  <c r="G252" i="14"/>
  <c r="H252" i="14" s="1"/>
  <c r="L252" i="14" s="1"/>
  <c r="N252" i="14" s="1"/>
  <c r="C2376" i="15"/>
  <c r="D2377" i="15" s="1"/>
  <c r="D2378" i="15" s="1"/>
  <c r="F2378" i="15" s="1"/>
  <c r="X20" i="15" s="1"/>
  <c r="T21" i="12" s="1"/>
  <c r="C2352" i="15"/>
  <c r="D2353" i="15" s="1"/>
  <c r="D2358" i="15" s="1"/>
  <c r="F2358" i="15" s="1"/>
  <c r="U20" i="15" s="1"/>
  <c r="Q21" i="12" s="1"/>
  <c r="C2275" i="15"/>
  <c r="D2277" i="15" s="1"/>
  <c r="D2287" i="15" s="1"/>
  <c r="G256" i="14"/>
  <c r="H256" i="14" s="1"/>
  <c r="L256" i="14" s="1"/>
  <c r="N256" i="14" s="1"/>
  <c r="G253" i="14"/>
  <c r="H253" i="14" s="1"/>
  <c r="L253" i="14" s="1"/>
  <c r="N253" i="14" s="1"/>
  <c r="U24" i="14" s="1"/>
  <c r="D2401" i="15" s="1"/>
  <c r="F2401" i="15" s="1"/>
  <c r="AD20" i="15" s="1"/>
  <c r="Z21" i="12" s="1"/>
  <c r="G251" i="14"/>
  <c r="H251" i="14" s="1"/>
  <c r="L251" i="14" s="1"/>
  <c r="N251" i="14" s="1"/>
  <c r="T24" i="14" s="1"/>
  <c r="D2400" i="15" s="1"/>
  <c r="F2400" i="15" s="1"/>
  <c r="AC20" i="15" s="1"/>
  <c r="Y21" i="12" s="1"/>
  <c r="I259" i="14"/>
  <c r="K259" i="14" s="1"/>
  <c r="L259" i="14" s="1"/>
  <c r="N259" i="14" s="1"/>
  <c r="I171" i="23"/>
  <c r="AA17" i="11"/>
  <c r="BC17" i="11"/>
  <c r="BB17" i="11"/>
  <c r="X6" i="17"/>
  <c r="C531" i="15"/>
  <c r="D533" i="15" s="1"/>
  <c r="G59" i="14"/>
  <c r="H59" i="14" s="1"/>
  <c r="L59" i="14" s="1"/>
  <c r="N59" i="14" s="1"/>
  <c r="C534" i="15"/>
  <c r="D536" i="15" s="1"/>
  <c r="G62" i="14"/>
  <c r="H62" i="14" s="1"/>
  <c r="L62" i="14" s="1"/>
  <c r="N62" i="14" s="1"/>
  <c r="G65" i="14"/>
  <c r="H65" i="14" s="1"/>
  <c r="L65" i="14" s="1"/>
  <c r="N65" i="14" s="1"/>
  <c r="C475" i="15"/>
  <c r="D477" i="15" s="1"/>
  <c r="D487" i="15" s="1"/>
  <c r="I63" i="14"/>
  <c r="K63" i="14" s="1"/>
  <c r="L63" i="14" s="1"/>
  <c r="N63" i="14" s="1"/>
  <c r="C588" i="15"/>
  <c r="D589" i="15" s="1"/>
  <c r="D594" i="15" s="1"/>
  <c r="F594" i="15" s="1"/>
  <c r="Z8" i="15" s="1"/>
  <c r="V9" i="12" s="1"/>
  <c r="C459" i="15"/>
  <c r="D461" i="15" s="1"/>
  <c r="D471" i="15" s="1"/>
  <c r="F471" i="15" s="1"/>
  <c r="M8" i="15" s="1"/>
  <c r="G9" i="12" s="1"/>
  <c r="I67" i="14"/>
  <c r="K67" i="14" s="1"/>
  <c r="L67" i="14" s="1"/>
  <c r="N67" i="14" s="1"/>
  <c r="C528" i="15"/>
  <c r="D530" i="15" s="1"/>
  <c r="C590" i="15"/>
  <c r="D591" i="15" s="1"/>
  <c r="G61" i="14"/>
  <c r="H61" i="14" s="1"/>
  <c r="L61" i="14" s="1"/>
  <c r="N61" i="14" s="1"/>
  <c r="C516" i="15"/>
  <c r="D518" i="15" s="1"/>
  <c r="C495" i="15"/>
  <c r="D497" i="15" s="1"/>
  <c r="C552" i="15"/>
  <c r="D553" i="15" s="1"/>
  <c r="D558" i="15" s="1"/>
  <c r="F558" i="15" s="1"/>
  <c r="U8" i="15" s="1"/>
  <c r="Q9" i="12" s="1"/>
  <c r="C576" i="15"/>
  <c r="D577" i="15" s="1"/>
  <c r="D578" i="15" s="1"/>
  <c r="F578" i="15" s="1"/>
  <c r="X8" i="15" s="1"/>
  <c r="T9" i="12" s="1"/>
  <c r="I66" i="14"/>
  <c r="K66" i="14" s="1"/>
  <c r="L66" i="14" s="1"/>
  <c r="N66" i="14" s="1"/>
  <c r="G60" i="14"/>
  <c r="H60" i="14" s="1"/>
  <c r="L60" i="14" s="1"/>
  <c r="N60" i="14" s="1"/>
  <c r="G64" i="14"/>
  <c r="H64" i="14" s="1"/>
  <c r="L64" i="14" s="1"/>
  <c r="N64" i="14" s="1"/>
  <c r="I122" i="23"/>
  <c r="H151" i="23"/>
  <c r="I151" i="23" s="1"/>
  <c r="L16" i="15"/>
  <c r="A1656" i="15"/>
  <c r="A186" i="14"/>
  <c r="I325" i="23"/>
  <c r="I812" i="23"/>
  <c r="I1292" i="23"/>
  <c r="H1356" i="23"/>
  <c r="I1356" i="23" s="1"/>
  <c r="W17" i="17"/>
  <c r="H400" i="23"/>
  <c r="I400" i="23" s="1"/>
  <c r="W7" i="17"/>
  <c r="H1475" i="23"/>
  <c r="I1475" i="23" s="1"/>
  <c r="H878" i="23"/>
  <c r="I878" i="23" s="1"/>
  <c r="C828" i="15"/>
  <c r="D830" i="15" s="1"/>
  <c r="C795" i="15"/>
  <c r="D797" i="15" s="1"/>
  <c r="I99" i="14"/>
  <c r="K99" i="14" s="1"/>
  <c r="L99" i="14" s="1"/>
  <c r="N99" i="14" s="1"/>
  <c r="G96" i="14"/>
  <c r="H96" i="14" s="1"/>
  <c r="L96" i="14" s="1"/>
  <c r="N96" i="14" s="1"/>
  <c r="C888" i="15"/>
  <c r="D889" i="15" s="1"/>
  <c r="D894" i="15" s="1"/>
  <c r="F894" i="15" s="1"/>
  <c r="Z10" i="15" s="1"/>
  <c r="V11" i="12" s="1"/>
  <c r="C816" i="15"/>
  <c r="D818" i="15" s="1"/>
  <c r="C759" i="15"/>
  <c r="D761" i="15" s="1"/>
  <c r="D771" i="15" s="1"/>
  <c r="F771" i="15" s="1"/>
  <c r="M10" i="15" s="1"/>
  <c r="G11" i="12" s="1"/>
  <c r="G91" i="14"/>
  <c r="H91" i="14" s="1"/>
  <c r="L91" i="14" s="1"/>
  <c r="N91" i="14" s="1"/>
  <c r="G94" i="14"/>
  <c r="H94" i="14" s="1"/>
  <c r="L94" i="14" s="1"/>
  <c r="N94" i="14" s="1"/>
  <c r="G97" i="14"/>
  <c r="H97" i="14" s="1"/>
  <c r="L97" i="14" s="1"/>
  <c r="N97" i="14" s="1"/>
  <c r="I98" i="14"/>
  <c r="K98" i="14" s="1"/>
  <c r="L98" i="14" s="1"/>
  <c r="N98" i="14" s="1"/>
  <c r="C831" i="15"/>
  <c r="D833" i="15" s="1"/>
  <c r="I95" i="14"/>
  <c r="K95" i="14" s="1"/>
  <c r="L95" i="14" s="1"/>
  <c r="N95" i="14" s="1"/>
  <c r="S14" i="14" s="1"/>
  <c r="G93" i="14"/>
  <c r="H93" i="14" s="1"/>
  <c r="L93" i="14" s="1"/>
  <c r="N93" i="14" s="1"/>
  <c r="U14" i="14" s="1"/>
  <c r="D901" i="15" s="1"/>
  <c r="F901" i="15" s="1"/>
  <c r="AD10" i="15" s="1"/>
  <c r="Z11" i="12" s="1"/>
  <c r="C890" i="15"/>
  <c r="D891" i="15" s="1"/>
  <c r="C852" i="15"/>
  <c r="D853" i="15" s="1"/>
  <c r="D858" i="15" s="1"/>
  <c r="F858" i="15" s="1"/>
  <c r="U10" i="15" s="1"/>
  <c r="Q11" i="12" s="1"/>
  <c r="C876" i="15"/>
  <c r="D877" i="15" s="1"/>
  <c r="D878" i="15" s="1"/>
  <c r="F878" i="15" s="1"/>
  <c r="X10" i="15" s="1"/>
  <c r="T11" i="12" s="1"/>
  <c r="G92" i="14"/>
  <c r="H92" i="14" s="1"/>
  <c r="L92" i="14" s="1"/>
  <c r="N92" i="14" s="1"/>
  <c r="C775" i="15"/>
  <c r="D777" i="15" s="1"/>
  <c r="D787" i="15" s="1"/>
  <c r="C834" i="15"/>
  <c r="D836" i="15" s="1"/>
  <c r="H356" i="23"/>
  <c r="I356" i="23" s="1"/>
  <c r="C2240" i="15"/>
  <c r="D2241" i="15" s="1"/>
  <c r="C2184" i="15"/>
  <c r="D2186" i="15" s="1"/>
  <c r="D2197" i="15" s="1"/>
  <c r="F2197" i="15" s="1"/>
  <c r="S19" i="15" s="1"/>
  <c r="O20" i="12" s="1"/>
  <c r="C2226" i="15"/>
  <c r="D2227" i="15" s="1"/>
  <c r="D2228" i="15" s="1"/>
  <c r="F2228" i="15" s="1"/>
  <c r="X19" i="15" s="1"/>
  <c r="T20" i="12" s="1"/>
  <c r="C2109" i="15"/>
  <c r="D2111" i="15" s="1"/>
  <c r="D2121" i="15" s="1"/>
  <c r="F2121" i="15" s="1"/>
  <c r="M19" i="15" s="1"/>
  <c r="G20" i="12" s="1"/>
  <c r="C2238" i="15"/>
  <c r="D2239" i="15" s="1"/>
  <c r="D2244" i="15" s="1"/>
  <c r="F2244" i="15" s="1"/>
  <c r="Z19" i="15" s="1"/>
  <c r="V20" i="12" s="1"/>
  <c r="C2202" i="15"/>
  <c r="D2203" i="15" s="1"/>
  <c r="D2208" i="15" s="1"/>
  <c r="F2208" i="15" s="1"/>
  <c r="U19" i="15" s="1"/>
  <c r="Q20" i="12" s="1"/>
  <c r="G241" i="14"/>
  <c r="H241" i="14" s="1"/>
  <c r="L241" i="14" s="1"/>
  <c r="N241" i="14" s="1"/>
  <c r="C2145" i="15"/>
  <c r="D2147" i="15" s="1"/>
  <c r="I239" i="14"/>
  <c r="K239" i="14" s="1"/>
  <c r="L239" i="14" s="1"/>
  <c r="N239" i="14" s="1"/>
  <c r="S23" i="14" s="1"/>
  <c r="I242" i="14"/>
  <c r="K242" i="14" s="1"/>
  <c r="L242" i="14" s="1"/>
  <c r="N242" i="14" s="1"/>
  <c r="G236" i="14"/>
  <c r="H236" i="14" s="1"/>
  <c r="L236" i="14" s="1"/>
  <c r="N236" i="14" s="1"/>
  <c r="C2181" i="15"/>
  <c r="D2183" i="15" s="1"/>
  <c r="C2178" i="15"/>
  <c r="D2180" i="15" s="1"/>
  <c r="C2166" i="15"/>
  <c r="D2168" i="15" s="1"/>
  <c r="G237" i="14"/>
  <c r="H237" i="14" s="1"/>
  <c r="L237" i="14" s="1"/>
  <c r="N237" i="14" s="1"/>
  <c r="I243" i="14"/>
  <c r="K243" i="14" s="1"/>
  <c r="L243" i="14" s="1"/>
  <c r="N243" i="14" s="1"/>
  <c r="G240" i="14"/>
  <c r="H240" i="14" s="1"/>
  <c r="L240" i="14" s="1"/>
  <c r="N240" i="14" s="1"/>
  <c r="C2125" i="15"/>
  <c r="D2127" i="15" s="1"/>
  <c r="D2137" i="15" s="1"/>
  <c r="G235" i="14"/>
  <c r="H235" i="14" s="1"/>
  <c r="L235" i="14" s="1"/>
  <c r="N235" i="14" s="1"/>
  <c r="G238" i="14"/>
  <c r="H238" i="14" s="1"/>
  <c r="L238" i="14" s="1"/>
  <c r="N238" i="14" s="1"/>
  <c r="L13" i="15"/>
  <c r="A1206" i="15"/>
  <c r="A138" i="14"/>
  <c r="H1322" i="23"/>
  <c r="I1322" i="23" s="1"/>
  <c r="AD22" i="11"/>
  <c r="AB6" i="11"/>
  <c r="F258" i="24" s="1"/>
  <c r="W9" i="17"/>
  <c r="I867" i="23"/>
  <c r="I1108" i="23"/>
  <c r="H1492" i="23"/>
  <c r="I1492" i="23" s="1"/>
  <c r="H1021" i="23"/>
  <c r="I1021" i="23" s="1"/>
  <c r="H161" i="23"/>
  <c r="I161" i="23" s="1"/>
  <c r="W10" i="17"/>
  <c r="H557" i="23"/>
  <c r="I557" i="23" s="1"/>
  <c r="H1373" i="23"/>
  <c r="I1373" i="23" s="1"/>
  <c r="S26" i="12"/>
  <c r="D17" i="16" s="1"/>
  <c r="I872" i="23"/>
  <c r="I1399" i="23"/>
  <c r="H422" i="23"/>
  <c r="I422" i="23" s="1"/>
  <c r="X7" i="17"/>
  <c r="I1424" i="23"/>
  <c r="H1183" i="23"/>
  <c r="I1183" i="23" s="1"/>
  <c r="AA12" i="11"/>
  <c r="BC12" i="11"/>
  <c r="BB12" i="11"/>
  <c r="A2106" i="15"/>
  <c r="L19" i="15"/>
  <c r="A234" i="14"/>
  <c r="I986" i="23"/>
  <c r="C2088" i="15"/>
  <c r="D2089" i="15" s="1"/>
  <c r="D2094" i="15" s="1"/>
  <c r="F2094" i="15" s="1"/>
  <c r="Z18" i="15" s="1"/>
  <c r="V19" i="12" s="1"/>
  <c r="C2052" i="15"/>
  <c r="D2053" i="15" s="1"/>
  <c r="D2058" i="15" s="1"/>
  <c r="F2058" i="15" s="1"/>
  <c r="U18" i="15" s="1"/>
  <c r="Q19" i="12" s="1"/>
  <c r="C2031" i="15"/>
  <c r="D2033" i="15" s="1"/>
  <c r="C1975" i="15"/>
  <c r="D1977" i="15" s="1"/>
  <c r="D1987" i="15" s="1"/>
  <c r="C2076" i="15"/>
  <c r="D2077" i="15" s="1"/>
  <c r="D2078" i="15" s="1"/>
  <c r="F2078" i="15" s="1"/>
  <c r="X18" i="15" s="1"/>
  <c r="T19" i="12" s="1"/>
  <c r="C2034" i="15"/>
  <c r="D2036" i="15" s="1"/>
  <c r="D2047" i="15" s="1"/>
  <c r="F2047" i="15" s="1"/>
  <c r="S18" i="15" s="1"/>
  <c r="O19" i="12" s="1"/>
  <c r="C1995" i="15"/>
  <c r="D1997" i="15" s="1"/>
  <c r="C2090" i="15"/>
  <c r="D2091" i="15" s="1"/>
  <c r="I223" i="14"/>
  <c r="K223" i="14" s="1"/>
  <c r="L223" i="14" s="1"/>
  <c r="N223" i="14" s="1"/>
  <c r="S22" i="14" s="1"/>
  <c r="I226" i="14"/>
  <c r="K226" i="14" s="1"/>
  <c r="L226" i="14" s="1"/>
  <c r="N226" i="14" s="1"/>
  <c r="G220" i="14"/>
  <c r="H220" i="14" s="1"/>
  <c r="L220" i="14" s="1"/>
  <c r="N220" i="14" s="1"/>
  <c r="C2016" i="15"/>
  <c r="D2018" i="15" s="1"/>
  <c r="C1959" i="15"/>
  <c r="D1961" i="15" s="1"/>
  <c r="D1971" i="15" s="1"/>
  <c r="F1971" i="15" s="1"/>
  <c r="M18" i="15" s="1"/>
  <c r="G19" i="12" s="1"/>
  <c r="G224" i="14"/>
  <c r="H224" i="14" s="1"/>
  <c r="L224" i="14" s="1"/>
  <c r="N224" i="14" s="1"/>
  <c r="G222" i="14"/>
  <c r="H222" i="14" s="1"/>
  <c r="L222" i="14" s="1"/>
  <c r="N222" i="14" s="1"/>
  <c r="I227" i="14"/>
  <c r="K227" i="14" s="1"/>
  <c r="L227" i="14" s="1"/>
  <c r="N227" i="14" s="1"/>
  <c r="G225" i="14"/>
  <c r="H225" i="14" s="1"/>
  <c r="L225" i="14" s="1"/>
  <c r="N225" i="14" s="1"/>
  <c r="G221" i="14"/>
  <c r="H221" i="14" s="1"/>
  <c r="L221" i="14" s="1"/>
  <c r="N221" i="14" s="1"/>
  <c r="C2028" i="15"/>
  <c r="D2030" i="15" s="1"/>
  <c r="G219" i="14"/>
  <c r="H219" i="14" s="1"/>
  <c r="L219" i="14" s="1"/>
  <c r="N219" i="14" s="1"/>
  <c r="I1073" i="23"/>
  <c r="H1052" i="23"/>
  <c r="I1052" i="23" s="1"/>
  <c r="I1133" i="23"/>
  <c r="C1728" i="15"/>
  <c r="D1730" i="15" s="1"/>
  <c r="C1695" i="15"/>
  <c r="D1697" i="15" s="1"/>
  <c r="C1790" i="15"/>
  <c r="D1791" i="15" s="1"/>
  <c r="C1734" i="15"/>
  <c r="D1736" i="15" s="1"/>
  <c r="D1747" i="15" s="1"/>
  <c r="F1747" i="15" s="1"/>
  <c r="S16" i="15" s="1"/>
  <c r="O17" i="12" s="1"/>
  <c r="C1776" i="15"/>
  <c r="D1777" i="15" s="1"/>
  <c r="D1778" i="15" s="1"/>
  <c r="F1778" i="15" s="1"/>
  <c r="X16" i="15" s="1"/>
  <c r="T17" i="12" s="1"/>
  <c r="C1659" i="15"/>
  <c r="D1661" i="15" s="1"/>
  <c r="D1671" i="15" s="1"/>
  <c r="F1671" i="15" s="1"/>
  <c r="M16" i="15" s="1"/>
  <c r="G17" i="12" s="1"/>
  <c r="I194" i="14"/>
  <c r="K194" i="14" s="1"/>
  <c r="L194" i="14" s="1"/>
  <c r="N194" i="14" s="1"/>
  <c r="G188" i="14"/>
  <c r="H188" i="14" s="1"/>
  <c r="L188" i="14" s="1"/>
  <c r="N188" i="14" s="1"/>
  <c r="C1788" i="15"/>
  <c r="D1789" i="15" s="1"/>
  <c r="D1794" i="15" s="1"/>
  <c r="F1794" i="15" s="1"/>
  <c r="Z16" i="15" s="1"/>
  <c r="V17" i="12" s="1"/>
  <c r="C1731" i="15"/>
  <c r="D1733" i="15" s="1"/>
  <c r="C1716" i="15"/>
  <c r="D1718" i="15" s="1"/>
  <c r="C1675" i="15"/>
  <c r="D1677" i="15" s="1"/>
  <c r="D1687" i="15" s="1"/>
  <c r="G189" i="14"/>
  <c r="H189" i="14" s="1"/>
  <c r="L189" i="14" s="1"/>
  <c r="N189" i="14" s="1"/>
  <c r="C1752" i="15"/>
  <c r="D1753" i="15" s="1"/>
  <c r="D1758" i="15" s="1"/>
  <c r="F1758" i="15" s="1"/>
  <c r="U16" i="15" s="1"/>
  <c r="Q17" i="12" s="1"/>
  <c r="G187" i="14"/>
  <c r="H187" i="14" s="1"/>
  <c r="L187" i="14" s="1"/>
  <c r="N187" i="14" s="1"/>
  <c r="G190" i="14"/>
  <c r="H190" i="14" s="1"/>
  <c r="L190" i="14" s="1"/>
  <c r="N190" i="14" s="1"/>
  <c r="G192" i="14"/>
  <c r="H192" i="14" s="1"/>
  <c r="L192" i="14" s="1"/>
  <c r="N192" i="14" s="1"/>
  <c r="G193" i="14"/>
  <c r="H193" i="14" s="1"/>
  <c r="L193" i="14" s="1"/>
  <c r="N193" i="14" s="1"/>
  <c r="I195" i="14"/>
  <c r="K195" i="14" s="1"/>
  <c r="L195" i="14" s="1"/>
  <c r="N195" i="14" s="1"/>
  <c r="I191" i="14"/>
  <c r="K191" i="14" s="1"/>
  <c r="L191" i="14" s="1"/>
  <c r="N191" i="14" s="1"/>
  <c r="S20" i="14" s="1"/>
  <c r="H574" i="23"/>
  <c r="I574" i="23" s="1"/>
  <c r="C138" i="15"/>
  <c r="D139" i="15" s="1"/>
  <c r="C102" i="15"/>
  <c r="D103" i="15" s="1"/>
  <c r="D108" i="15" s="1"/>
  <c r="F108" i="15" s="1"/>
  <c r="U5" i="15" s="1"/>
  <c r="Q6" i="12" s="1"/>
  <c r="C66" i="15"/>
  <c r="D68" i="15" s="1"/>
  <c r="C45" i="15"/>
  <c r="D47" i="15" s="1"/>
  <c r="G13" i="14"/>
  <c r="H13" i="14" s="1"/>
  <c r="L13" i="14" s="1"/>
  <c r="N13" i="14" s="1"/>
  <c r="C9" i="15"/>
  <c r="D11" i="15" s="1"/>
  <c r="D21" i="15" s="1"/>
  <c r="F21" i="15" s="1"/>
  <c r="M5" i="15" s="1"/>
  <c r="G6" i="12" s="1"/>
  <c r="C78" i="15"/>
  <c r="D80" i="15" s="1"/>
  <c r="G17" i="14"/>
  <c r="H17" i="14" s="1"/>
  <c r="L17" i="14" s="1"/>
  <c r="N17" i="14" s="1"/>
  <c r="G12" i="14"/>
  <c r="H12" i="14" s="1"/>
  <c r="L12" i="14" s="1"/>
  <c r="N12" i="14" s="1"/>
  <c r="C140" i="15"/>
  <c r="D141" i="15" s="1"/>
  <c r="C81" i="15"/>
  <c r="D83" i="15" s="1"/>
  <c r="I19" i="14"/>
  <c r="K19" i="14" s="1"/>
  <c r="L19" i="14" s="1"/>
  <c r="N19" i="14" s="1"/>
  <c r="I15" i="14"/>
  <c r="K15" i="14" s="1"/>
  <c r="L15" i="14" s="1"/>
  <c r="N15" i="14" s="1"/>
  <c r="S9" i="14" s="1"/>
  <c r="C84" i="15"/>
  <c r="D86" i="15" s="1"/>
  <c r="G14" i="14"/>
  <c r="H14" i="14" s="1"/>
  <c r="L14" i="14" s="1"/>
  <c r="N14" i="14" s="1"/>
  <c r="G11" i="14"/>
  <c r="H11" i="14" s="1"/>
  <c r="L11" i="14" s="1"/>
  <c r="N11" i="14" s="1"/>
  <c r="T9" i="14" s="1"/>
  <c r="D150" i="15" s="1"/>
  <c r="F150" i="15" s="1"/>
  <c r="AC5" i="15" s="1"/>
  <c r="Y6" i="12" s="1"/>
  <c r="C25" i="15"/>
  <c r="D27" i="15" s="1"/>
  <c r="D37" i="15" s="1"/>
  <c r="I18" i="14"/>
  <c r="K18" i="14" s="1"/>
  <c r="L18" i="14" s="1"/>
  <c r="N18" i="14" s="1"/>
  <c r="G16" i="14"/>
  <c r="H16" i="14" s="1"/>
  <c r="L16" i="14" s="1"/>
  <c r="N16" i="14" s="1"/>
  <c r="C126" i="15"/>
  <c r="D127" i="15" s="1"/>
  <c r="D128" i="15" s="1"/>
  <c r="F128" i="15" s="1"/>
  <c r="X5" i="15" s="1"/>
  <c r="T6" i="12" s="1"/>
  <c r="H791" i="23"/>
  <c r="I791" i="23" s="1"/>
  <c r="H1096" i="23"/>
  <c r="I1096" i="23" s="1"/>
  <c r="L21" i="15"/>
  <c r="A2406" i="15"/>
  <c r="A266" i="14"/>
  <c r="BC14" i="11"/>
  <c r="BB14" i="11"/>
  <c r="AA14" i="11"/>
  <c r="I1467" i="23"/>
  <c r="H944" i="23"/>
  <c r="I944" i="23" s="1"/>
  <c r="D202" i="25"/>
  <c r="E202" i="25" s="1"/>
  <c r="H857" i="23"/>
  <c r="I857" i="23" s="1"/>
  <c r="AB19" i="11"/>
  <c r="I954" i="23"/>
  <c r="I551" i="23"/>
  <c r="A1956" i="15"/>
  <c r="L18" i="15"/>
  <c r="A218" i="14"/>
  <c r="BB20" i="11"/>
  <c r="AA20" i="11"/>
  <c r="BC20" i="11"/>
  <c r="AA13" i="11"/>
  <c r="BB13" i="11"/>
  <c r="BC13" i="11"/>
  <c r="AB17" i="11"/>
  <c r="H139" i="23"/>
  <c r="I139" i="23" s="1"/>
  <c r="AB18" i="11"/>
  <c r="F279" i="24" s="1"/>
  <c r="I470" i="23"/>
  <c r="I1509" i="23"/>
  <c r="C2676" i="15"/>
  <c r="D2677" i="15" s="1"/>
  <c r="D2678" i="15" s="1"/>
  <c r="F2678" i="15" s="1"/>
  <c r="X22" i="15" s="1"/>
  <c r="T23" i="12" s="1"/>
  <c r="C2559" i="15"/>
  <c r="D2561" i="15" s="1"/>
  <c r="D2571" i="15" s="1"/>
  <c r="F2571" i="15" s="1"/>
  <c r="M22" i="15" s="1"/>
  <c r="G23" i="12" s="1"/>
  <c r="C2688" i="15"/>
  <c r="D2689" i="15" s="1"/>
  <c r="D2694" i="15" s="1"/>
  <c r="F2694" i="15" s="1"/>
  <c r="Z22" i="15" s="1"/>
  <c r="V23" i="12" s="1"/>
  <c r="C2652" i="15"/>
  <c r="D2653" i="15" s="1"/>
  <c r="D2658" i="15" s="1"/>
  <c r="F2658" i="15" s="1"/>
  <c r="U22" i="15" s="1"/>
  <c r="Q23" i="12" s="1"/>
  <c r="C2631" i="15"/>
  <c r="D2633" i="15" s="1"/>
  <c r="G285" i="14"/>
  <c r="H285" i="14" s="1"/>
  <c r="L285" i="14" s="1"/>
  <c r="N285" i="14" s="1"/>
  <c r="C2616" i="15"/>
  <c r="D2618" i="15" s="1"/>
  <c r="I290" i="14"/>
  <c r="K290" i="14" s="1"/>
  <c r="L290" i="14" s="1"/>
  <c r="N290" i="14" s="1"/>
  <c r="C2690" i="15"/>
  <c r="D2691" i="15" s="1"/>
  <c r="G283" i="14"/>
  <c r="H283" i="14" s="1"/>
  <c r="L283" i="14" s="1"/>
  <c r="N283" i="14" s="1"/>
  <c r="I287" i="14"/>
  <c r="K287" i="14" s="1"/>
  <c r="L287" i="14" s="1"/>
  <c r="N287" i="14" s="1"/>
  <c r="C2634" i="15"/>
  <c r="D2636" i="15" s="1"/>
  <c r="D2647" i="15" s="1"/>
  <c r="F2647" i="15" s="1"/>
  <c r="S22" i="15" s="1"/>
  <c r="O23" i="12" s="1"/>
  <c r="C2575" i="15"/>
  <c r="D2577" i="15" s="1"/>
  <c r="D2587" i="15" s="1"/>
  <c r="C2595" i="15"/>
  <c r="D2597" i="15" s="1"/>
  <c r="C2628" i="15"/>
  <c r="D2630" i="15" s="1"/>
  <c r="G289" i="14"/>
  <c r="H289" i="14" s="1"/>
  <c r="L289" i="14" s="1"/>
  <c r="N289" i="14" s="1"/>
  <c r="I291" i="14"/>
  <c r="K291" i="14" s="1"/>
  <c r="L291" i="14" s="1"/>
  <c r="N291" i="14" s="1"/>
  <c r="G288" i="14"/>
  <c r="H288" i="14" s="1"/>
  <c r="L288" i="14" s="1"/>
  <c r="N288" i="14" s="1"/>
  <c r="G286" i="14"/>
  <c r="H286" i="14" s="1"/>
  <c r="L286" i="14" s="1"/>
  <c r="N286" i="14" s="1"/>
  <c r="G284" i="14"/>
  <c r="H284" i="14" s="1"/>
  <c r="L284" i="14" s="1"/>
  <c r="N284" i="14" s="1"/>
  <c r="U26" i="14" s="1"/>
  <c r="D2701" i="15" s="1"/>
  <c r="F2701" i="15" s="1"/>
  <c r="AD22" i="15" s="1"/>
  <c r="Z23" i="12" s="1"/>
  <c r="C366" i="15"/>
  <c r="D368" i="15" s="1"/>
  <c r="G43" i="14"/>
  <c r="H43" i="14" s="1"/>
  <c r="L43" i="14" s="1"/>
  <c r="N43" i="14" s="1"/>
  <c r="G46" i="14"/>
  <c r="H46" i="14" s="1"/>
  <c r="L46" i="14" s="1"/>
  <c r="N46" i="14" s="1"/>
  <c r="G49" i="14"/>
  <c r="H49" i="14" s="1"/>
  <c r="L49" i="14" s="1"/>
  <c r="N49" i="14" s="1"/>
  <c r="C325" i="15"/>
  <c r="D327" i="15" s="1"/>
  <c r="D337" i="15" s="1"/>
  <c r="C440" i="15"/>
  <c r="D441" i="15" s="1"/>
  <c r="I47" i="14"/>
  <c r="K47" i="14" s="1"/>
  <c r="L47" i="14" s="1"/>
  <c r="N47" i="14" s="1"/>
  <c r="C426" i="15"/>
  <c r="D427" i="15" s="1"/>
  <c r="D428" i="15" s="1"/>
  <c r="F428" i="15" s="1"/>
  <c r="X7" i="15" s="1"/>
  <c r="T8" i="12" s="1"/>
  <c r="C402" i="15"/>
  <c r="D403" i="15" s="1"/>
  <c r="D408" i="15" s="1"/>
  <c r="F408" i="15" s="1"/>
  <c r="U7" i="15" s="1"/>
  <c r="Q8" i="12" s="1"/>
  <c r="C381" i="15"/>
  <c r="D383" i="15" s="1"/>
  <c r="I50" i="14"/>
  <c r="K50" i="14" s="1"/>
  <c r="L50" i="14" s="1"/>
  <c r="N50" i="14" s="1"/>
  <c r="G44" i="14"/>
  <c r="H44" i="14" s="1"/>
  <c r="L44" i="14" s="1"/>
  <c r="N44" i="14" s="1"/>
  <c r="C384" i="15"/>
  <c r="D386" i="15" s="1"/>
  <c r="C345" i="15"/>
  <c r="D347" i="15" s="1"/>
  <c r="G45" i="14"/>
  <c r="H45" i="14" s="1"/>
  <c r="L45" i="14" s="1"/>
  <c r="N45" i="14" s="1"/>
  <c r="C438" i="15"/>
  <c r="D439" i="15" s="1"/>
  <c r="I51" i="14"/>
  <c r="K51" i="14" s="1"/>
  <c r="L51" i="14" s="1"/>
  <c r="N51" i="14" s="1"/>
  <c r="G48" i="14"/>
  <c r="H48" i="14" s="1"/>
  <c r="L48" i="14" s="1"/>
  <c r="N48" i="14" s="1"/>
  <c r="C309" i="15"/>
  <c r="D311" i="15" s="1"/>
  <c r="D321" i="15" s="1"/>
  <c r="F321" i="15" s="1"/>
  <c r="M7" i="15" s="1"/>
  <c r="G8" i="12" s="1"/>
  <c r="C378" i="15"/>
  <c r="D380" i="15" s="1"/>
  <c r="AB16" i="11"/>
  <c r="H731" i="23"/>
  <c r="I731" i="23" s="1"/>
  <c r="AB10" i="11"/>
  <c r="BC11" i="11"/>
  <c r="BB11" i="11"/>
  <c r="AA11" i="11"/>
  <c r="H530" i="23"/>
  <c r="I530" i="23" s="1"/>
  <c r="H965" i="23"/>
  <c r="I965" i="23" s="1"/>
  <c r="BC9" i="11"/>
  <c r="BB9" i="11"/>
  <c r="AA9" i="11"/>
  <c r="I606" i="23"/>
  <c r="I1041" i="23"/>
  <c r="AI22" i="11"/>
  <c r="H704" i="23"/>
  <c r="I704" i="23" s="1"/>
  <c r="A2556" i="15"/>
  <c r="L22" i="15"/>
  <c r="A282" i="14"/>
  <c r="H1226" i="23"/>
  <c r="I1226" i="23" s="1"/>
  <c r="C925" i="15"/>
  <c r="D927" i="15" s="1"/>
  <c r="D937" i="15" s="1"/>
  <c r="G109" i="14"/>
  <c r="H109" i="14" s="1"/>
  <c r="L109" i="14" s="1"/>
  <c r="N109" i="14" s="1"/>
  <c r="U15" i="14" s="1"/>
  <c r="D1051" i="15" s="1"/>
  <c r="F1051" i="15" s="1"/>
  <c r="AD11" i="15" s="1"/>
  <c r="Z12" i="12" s="1"/>
  <c r="C1040" i="15"/>
  <c r="D1041" i="15" s="1"/>
  <c r="I115" i="14"/>
  <c r="K115" i="14" s="1"/>
  <c r="L115" i="14" s="1"/>
  <c r="N115" i="14" s="1"/>
  <c r="G112" i="14"/>
  <c r="H112" i="14" s="1"/>
  <c r="L112" i="14" s="1"/>
  <c r="N112" i="14" s="1"/>
  <c r="C1026" i="15"/>
  <c r="D1027" i="15" s="1"/>
  <c r="D1028" i="15" s="1"/>
  <c r="F1028" i="15" s="1"/>
  <c r="X11" i="15" s="1"/>
  <c r="T12" i="12" s="1"/>
  <c r="C1002" i="15"/>
  <c r="D1003" i="15" s="1"/>
  <c r="D1008" i="15" s="1"/>
  <c r="F1008" i="15" s="1"/>
  <c r="U11" i="15" s="1"/>
  <c r="Q12" i="12" s="1"/>
  <c r="C981" i="15"/>
  <c r="D983" i="15" s="1"/>
  <c r="C966" i="15"/>
  <c r="D968" i="15" s="1"/>
  <c r="C945" i="15"/>
  <c r="D947" i="15" s="1"/>
  <c r="G107" i="14"/>
  <c r="H107" i="14" s="1"/>
  <c r="L107" i="14" s="1"/>
  <c r="N107" i="14" s="1"/>
  <c r="C1038" i="15"/>
  <c r="D1039" i="15" s="1"/>
  <c r="D1044" i="15" s="1"/>
  <c r="F1044" i="15" s="1"/>
  <c r="Z11" i="15" s="1"/>
  <c r="V12" i="12" s="1"/>
  <c r="G110" i="14"/>
  <c r="H110" i="14" s="1"/>
  <c r="L110" i="14" s="1"/>
  <c r="N110" i="14" s="1"/>
  <c r="G108" i="14"/>
  <c r="H108" i="14" s="1"/>
  <c r="L108" i="14" s="1"/>
  <c r="N108" i="14" s="1"/>
  <c r="I111" i="14"/>
  <c r="K111" i="14" s="1"/>
  <c r="L111" i="14" s="1"/>
  <c r="N111" i="14" s="1"/>
  <c r="S15" i="14" s="1"/>
  <c r="C978" i="15"/>
  <c r="D980" i="15" s="1"/>
  <c r="C909" i="15"/>
  <c r="D911" i="15" s="1"/>
  <c r="D921" i="15" s="1"/>
  <c r="F921" i="15" s="1"/>
  <c r="M11" i="15" s="1"/>
  <c r="G12" i="12" s="1"/>
  <c r="C984" i="15"/>
  <c r="D986" i="15" s="1"/>
  <c r="G113" i="14"/>
  <c r="H113" i="14" s="1"/>
  <c r="L113" i="14" s="1"/>
  <c r="N113" i="14" s="1"/>
  <c r="I114" i="14"/>
  <c r="K114" i="14" s="1"/>
  <c r="L114" i="14" s="1"/>
  <c r="N114" i="14" s="1"/>
  <c r="AE22" i="11"/>
  <c r="L7" i="15"/>
  <c r="A306" i="15"/>
  <c r="A42" i="14"/>
  <c r="X11" i="17"/>
  <c r="H992" i="23"/>
  <c r="I992" i="23" s="1"/>
  <c r="I1331" i="23"/>
  <c r="I1501" i="23"/>
  <c r="H1282" i="23"/>
  <c r="I1282" i="23" s="1"/>
  <c r="I725" i="23"/>
  <c r="AB13" i="11"/>
  <c r="AF22" i="11"/>
  <c r="H35" i="23"/>
  <c r="I35" i="23" s="1"/>
  <c r="BC7" i="11"/>
  <c r="F221" i="24" s="1"/>
  <c r="BB7" i="11"/>
  <c r="F96" i="24" s="1"/>
  <c r="AA7" i="11"/>
  <c r="A756" i="15"/>
  <c r="L10" i="15"/>
  <c r="A90" i="14"/>
  <c r="H443" i="23"/>
  <c r="I443" i="23" s="1"/>
  <c r="I1307" i="23"/>
  <c r="I350" i="23"/>
  <c r="Y22" i="11"/>
  <c r="C1825" i="15"/>
  <c r="D1827" i="15" s="1"/>
  <c r="D1837" i="15" s="1"/>
  <c r="C1866" i="15"/>
  <c r="D1868" i="15" s="1"/>
  <c r="C1878" i="15"/>
  <c r="D1880" i="15" s="1"/>
  <c r="C1845" i="15"/>
  <c r="D1847" i="15" s="1"/>
  <c r="C1940" i="15"/>
  <c r="D1941" i="15" s="1"/>
  <c r="I207" i="14"/>
  <c r="K207" i="14" s="1"/>
  <c r="L207" i="14" s="1"/>
  <c r="N207" i="14" s="1"/>
  <c r="I210" i="14"/>
  <c r="K210" i="14" s="1"/>
  <c r="L210" i="14" s="1"/>
  <c r="N210" i="14" s="1"/>
  <c r="G204" i="14"/>
  <c r="H204" i="14" s="1"/>
  <c r="L204" i="14" s="1"/>
  <c r="N204" i="14" s="1"/>
  <c r="C1938" i="15"/>
  <c r="D1939" i="15" s="1"/>
  <c r="C1881" i="15"/>
  <c r="D1883" i="15" s="1"/>
  <c r="G205" i="14"/>
  <c r="H205" i="14" s="1"/>
  <c r="L205" i="14" s="1"/>
  <c r="N205" i="14" s="1"/>
  <c r="U21" i="14" s="1"/>
  <c r="D1951" i="15" s="1"/>
  <c r="F1951" i="15" s="1"/>
  <c r="AD17" i="15" s="1"/>
  <c r="Z18" i="12" s="1"/>
  <c r="G203" i="14"/>
  <c r="H203" i="14" s="1"/>
  <c r="L203" i="14" s="1"/>
  <c r="N203" i="14" s="1"/>
  <c r="C1809" i="15"/>
  <c r="D1811" i="15" s="1"/>
  <c r="D1821" i="15" s="1"/>
  <c r="F1821" i="15" s="1"/>
  <c r="M17" i="15" s="1"/>
  <c r="G18" i="12" s="1"/>
  <c r="I211" i="14"/>
  <c r="K211" i="14" s="1"/>
  <c r="L211" i="14" s="1"/>
  <c r="N211" i="14" s="1"/>
  <c r="G209" i="14"/>
  <c r="H209" i="14" s="1"/>
  <c r="L209" i="14" s="1"/>
  <c r="N209" i="14" s="1"/>
  <c r="C1902" i="15"/>
  <c r="D1903" i="15" s="1"/>
  <c r="D1908" i="15" s="1"/>
  <c r="F1908" i="15" s="1"/>
  <c r="U17" i="15" s="1"/>
  <c r="Q18" i="12" s="1"/>
  <c r="C1926" i="15"/>
  <c r="D1927" i="15" s="1"/>
  <c r="D1928" i="15" s="1"/>
  <c r="F1928" i="15" s="1"/>
  <c r="X17" i="15" s="1"/>
  <c r="T18" i="12" s="1"/>
  <c r="G206" i="14"/>
  <c r="H206" i="14" s="1"/>
  <c r="L206" i="14" s="1"/>
  <c r="N206" i="14" s="1"/>
  <c r="C1884" i="15"/>
  <c r="D1886" i="15" s="1"/>
  <c r="D1897" i="15" s="1"/>
  <c r="F1897" i="15" s="1"/>
  <c r="S17" i="15" s="1"/>
  <c r="O18" i="12" s="1"/>
  <c r="G208" i="14"/>
  <c r="H208" i="14" s="1"/>
  <c r="L208" i="14" s="1"/>
  <c r="N208" i="14" s="1"/>
  <c r="W26" i="12"/>
  <c r="D21" i="16" s="1"/>
  <c r="I1407" i="23"/>
  <c r="A2256" i="15"/>
  <c r="L20" i="15"/>
  <c r="A250" i="14"/>
  <c r="I519" i="23"/>
  <c r="C1278" i="15"/>
  <c r="D1280" i="15" s="1"/>
  <c r="C1245" i="15"/>
  <c r="D1247" i="15" s="1"/>
  <c r="C1340" i="15"/>
  <c r="D1341" i="15" s="1"/>
  <c r="C1284" i="15"/>
  <c r="D1286" i="15" s="1"/>
  <c r="C1338" i="15"/>
  <c r="D1339" i="15" s="1"/>
  <c r="G141" i="14"/>
  <c r="H141" i="14" s="1"/>
  <c r="L141" i="14" s="1"/>
  <c r="N141" i="14" s="1"/>
  <c r="U17" i="14" s="1"/>
  <c r="D1351" i="15" s="1"/>
  <c r="F1351" i="15" s="1"/>
  <c r="AD13" i="15" s="1"/>
  <c r="Z14" i="12" s="1"/>
  <c r="I147" i="14"/>
  <c r="K147" i="14" s="1"/>
  <c r="L147" i="14" s="1"/>
  <c r="N147" i="14" s="1"/>
  <c r="G144" i="14"/>
  <c r="H144" i="14" s="1"/>
  <c r="L144" i="14" s="1"/>
  <c r="N144" i="14" s="1"/>
  <c r="C1209" i="15"/>
  <c r="D1211" i="15" s="1"/>
  <c r="D1221" i="15" s="1"/>
  <c r="F1221" i="15" s="1"/>
  <c r="M13" i="15" s="1"/>
  <c r="G14" i="12" s="1"/>
  <c r="G145" i="14"/>
  <c r="H145" i="14" s="1"/>
  <c r="L145" i="14" s="1"/>
  <c r="N145" i="14" s="1"/>
  <c r="C1281" i="15"/>
  <c r="D1283" i="15" s="1"/>
  <c r="G142" i="14"/>
  <c r="H142" i="14" s="1"/>
  <c r="L142" i="14" s="1"/>
  <c r="N142" i="14" s="1"/>
  <c r="G140" i="14"/>
  <c r="H140" i="14" s="1"/>
  <c r="L140" i="14" s="1"/>
  <c r="N140" i="14" s="1"/>
  <c r="C1302" i="15"/>
  <c r="D1303" i="15" s="1"/>
  <c r="D1308" i="15" s="1"/>
  <c r="F1308" i="15" s="1"/>
  <c r="U13" i="15" s="1"/>
  <c r="Q14" i="12" s="1"/>
  <c r="C1326" i="15"/>
  <c r="D1327" i="15" s="1"/>
  <c r="D1328" i="15" s="1"/>
  <c r="F1328" i="15" s="1"/>
  <c r="X13" i="15" s="1"/>
  <c r="T14" i="12" s="1"/>
  <c r="C1266" i="15"/>
  <c r="D1268" i="15" s="1"/>
  <c r="C1225" i="15"/>
  <c r="D1227" i="15" s="1"/>
  <c r="D1237" i="15" s="1"/>
  <c r="I146" i="14"/>
  <c r="K146" i="14" s="1"/>
  <c r="L146" i="14" s="1"/>
  <c r="N146" i="14" s="1"/>
  <c r="I143" i="14"/>
  <c r="K143" i="14" s="1"/>
  <c r="L143" i="14" s="1"/>
  <c r="N143" i="14" s="1"/>
  <c r="S17" i="14" s="1"/>
  <c r="G139" i="14"/>
  <c r="H139" i="14" s="1"/>
  <c r="L139" i="14" s="1"/>
  <c r="N139" i="14" s="1"/>
  <c r="I1247" i="23"/>
  <c r="H269" i="23"/>
  <c r="I269" i="23" s="1"/>
  <c r="A456" i="15"/>
  <c r="L8" i="15"/>
  <c r="A58" i="14"/>
  <c r="L17" i="15"/>
  <c r="A1806" i="15"/>
  <c r="A202" i="14"/>
  <c r="AC22" i="11"/>
  <c r="C726" i="15"/>
  <c r="D727" i="15" s="1"/>
  <c r="D728" i="15" s="1"/>
  <c r="F728" i="15" s="1"/>
  <c r="X9" i="15" s="1"/>
  <c r="T10" i="12" s="1"/>
  <c r="C609" i="15"/>
  <c r="D611" i="15" s="1"/>
  <c r="D621" i="15" s="1"/>
  <c r="F621" i="15" s="1"/>
  <c r="M9" i="15" s="1"/>
  <c r="G10" i="12" s="1"/>
  <c r="C678" i="15"/>
  <c r="D680" i="15" s="1"/>
  <c r="G75" i="14"/>
  <c r="H75" i="14" s="1"/>
  <c r="L75" i="14" s="1"/>
  <c r="N75" i="14" s="1"/>
  <c r="G78" i="14"/>
  <c r="H78" i="14" s="1"/>
  <c r="L78" i="14" s="1"/>
  <c r="N78" i="14" s="1"/>
  <c r="G81" i="14"/>
  <c r="H81" i="14" s="1"/>
  <c r="L81" i="14" s="1"/>
  <c r="N81" i="14" s="1"/>
  <c r="C684" i="15"/>
  <c r="D686" i="15" s="1"/>
  <c r="C740" i="15"/>
  <c r="D741" i="15" s="1"/>
  <c r="I82" i="14"/>
  <c r="K82" i="14" s="1"/>
  <c r="L82" i="14" s="1"/>
  <c r="N82" i="14" s="1"/>
  <c r="C702" i="15"/>
  <c r="D703" i="15" s="1"/>
  <c r="D708" i="15" s="1"/>
  <c r="F708" i="15" s="1"/>
  <c r="U9" i="15" s="1"/>
  <c r="Q10" i="12" s="1"/>
  <c r="C681" i="15"/>
  <c r="D683" i="15" s="1"/>
  <c r="I79" i="14"/>
  <c r="K79" i="14" s="1"/>
  <c r="L79" i="14" s="1"/>
  <c r="N79" i="14" s="1"/>
  <c r="S13" i="14" s="1"/>
  <c r="G77" i="14"/>
  <c r="H77" i="14" s="1"/>
  <c r="L77" i="14" s="1"/>
  <c r="N77" i="14" s="1"/>
  <c r="C645" i="15"/>
  <c r="D647" i="15" s="1"/>
  <c r="C738" i="15"/>
  <c r="D739" i="15" s="1"/>
  <c r="G80" i="14"/>
  <c r="H80" i="14" s="1"/>
  <c r="L80" i="14" s="1"/>
  <c r="N80" i="14" s="1"/>
  <c r="I83" i="14"/>
  <c r="K83" i="14" s="1"/>
  <c r="L83" i="14" s="1"/>
  <c r="N83" i="14" s="1"/>
  <c r="C666" i="15"/>
  <c r="D668" i="15" s="1"/>
  <c r="G76" i="14"/>
  <c r="H76" i="14" s="1"/>
  <c r="L76" i="14" s="1"/>
  <c r="N76" i="14" s="1"/>
  <c r="C625" i="15"/>
  <c r="D627" i="15" s="1"/>
  <c r="D637" i="15" s="1"/>
  <c r="AA8" i="11"/>
  <c r="BC8" i="11"/>
  <c r="F234" i="24" s="1"/>
  <c r="BB8" i="11"/>
  <c r="C1638" i="15"/>
  <c r="D1639" i="15" s="1"/>
  <c r="C1602" i="15"/>
  <c r="D1603" i="15" s="1"/>
  <c r="D1608" i="15" s="1"/>
  <c r="F1608" i="15" s="1"/>
  <c r="U15" i="15" s="1"/>
  <c r="Q16" i="12" s="1"/>
  <c r="C1581" i="15"/>
  <c r="D1583" i="15" s="1"/>
  <c r="C1640" i="15"/>
  <c r="D1641" i="15" s="1"/>
  <c r="C1626" i="15"/>
  <c r="D1627" i="15" s="1"/>
  <c r="D1628" i="15" s="1"/>
  <c r="F1628" i="15" s="1"/>
  <c r="X15" i="15" s="1"/>
  <c r="T16" i="12" s="1"/>
  <c r="C1578" i="15"/>
  <c r="D1580" i="15" s="1"/>
  <c r="C1525" i="15"/>
  <c r="D1527" i="15" s="1"/>
  <c r="D1537" i="15" s="1"/>
  <c r="G173" i="14"/>
  <c r="H173" i="14" s="1"/>
  <c r="L173" i="14" s="1"/>
  <c r="N173" i="14" s="1"/>
  <c r="C1584" i="15"/>
  <c r="D1586" i="15" s="1"/>
  <c r="I179" i="14"/>
  <c r="K179" i="14" s="1"/>
  <c r="L179" i="14" s="1"/>
  <c r="N179" i="14" s="1"/>
  <c r="G176" i="14"/>
  <c r="H176" i="14" s="1"/>
  <c r="L176" i="14" s="1"/>
  <c r="N176" i="14" s="1"/>
  <c r="C1509" i="15"/>
  <c r="D1511" i="15" s="1"/>
  <c r="D1521" i="15" s="1"/>
  <c r="F1521" i="15" s="1"/>
  <c r="M15" i="15" s="1"/>
  <c r="G16" i="12" s="1"/>
  <c r="G171" i="14"/>
  <c r="H171" i="14" s="1"/>
  <c r="L171" i="14" s="1"/>
  <c r="N171" i="14" s="1"/>
  <c r="T19" i="14" s="1"/>
  <c r="D1650" i="15" s="1"/>
  <c r="F1650" i="15" s="1"/>
  <c r="AC15" i="15" s="1"/>
  <c r="Y16" i="12" s="1"/>
  <c r="I178" i="14"/>
  <c r="K178" i="14" s="1"/>
  <c r="L178" i="14" s="1"/>
  <c r="N178" i="14" s="1"/>
  <c r="I175" i="14"/>
  <c r="K175" i="14" s="1"/>
  <c r="L175" i="14" s="1"/>
  <c r="N175" i="14" s="1"/>
  <c r="S19" i="14" s="1"/>
  <c r="C1566" i="15"/>
  <c r="D1568" i="15" s="1"/>
  <c r="G177" i="14"/>
  <c r="H177" i="14" s="1"/>
  <c r="L177" i="14" s="1"/>
  <c r="N177" i="14" s="1"/>
  <c r="G174" i="14"/>
  <c r="H174" i="14" s="1"/>
  <c r="L174" i="14" s="1"/>
  <c r="N174" i="14" s="1"/>
  <c r="G172" i="14"/>
  <c r="H172" i="14" s="1"/>
  <c r="L172" i="14" s="1"/>
  <c r="N172" i="14" s="1"/>
  <c r="U19" i="14" s="1"/>
  <c r="D1651" i="15" s="1"/>
  <c r="F1651" i="15" s="1"/>
  <c r="AD15" i="15" s="1"/>
  <c r="Z16" i="12" s="1"/>
  <c r="C1545" i="15"/>
  <c r="D1547" i="15" s="1"/>
  <c r="H661" i="23"/>
  <c r="I661" i="23" s="1"/>
  <c r="AG22" i="11"/>
  <c r="I84" i="23"/>
  <c r="C1375" i="15"/>
  <c r="D1377" i="15" s="1"/>
  <c r="D1387" i="15" s="1"/>
  <c r="C1416" i="15"/>
  <c r="D1418" i="15" s="1"/>
  <c r="C1488" i="15"/>
  <c r="D1489" i="15" s="1"/>
  <c r="C1434" i="15"/>
  <c r="D1436" i="15" s="1"/>
  <c r="G157" i="14"/>
  <c r="H157" i="14" s="1"/>
  <c r="L157" i="14" s="1"/>
  <c r="N157" i="14" s="1"/>
  <c r="I163" i="14"/>
  <c r="K163" i="14" s="1"/>
  <c r="L163" i="14" s="1"/>
  <c r="N163" i="14" s="1"/>
  <c r="G160" i="14"/>
  <c r="H160" i="14" s="1"/>
  <c r="L160" i="14" s="1"/>
  <c r="N160" i="14" s="1"/>
  <c r="C1431" i="15"/>
  <c r="D1433" i="15" s="1"/>
  <c r="I162" i="14"/>
  <c r="K162" i="14" s="1"/>
  <c r="L162" i="14" s="1"/>
  <c r="N162" i="14" s="1"/>
  <c r="I159" i="14"/>
  <c r="K159" i="14" s="1"/>
  <c r="L159" i="14" s="1"/>
  <c r="N159" i="14" s="1"/>
  <c r="S18" i="14" s="1"/>
  <c r="C1476" i="15"/>
  <c r="D1477" i="15" s="1"/>
  <c r="D1478" i="15" s="1"/>
  <c r="F1478" i="15" s="1"/>
  <c r="X14" i="15" s="1"/>
  <c r="T15" i="12" s="1"/>
  <c r="C1452" i="15"/>
  <c r="D1453" i="15" s="1"/>
  <c r="D1458" i="15" s="1"/>
  <c r="F1458" i="15" s="1"/>
  <c r="U14" i="15" s="1"/>
  <c r="Q15" i="12" s="1"/>
  <c r="C1428" i="15"/>
  <c r="D1430" i="15" s="1"/>
  <c r="G155" i="14"/>
  <c r="H155" i="14" s="1"/>
  <c r="L155" i="14" s="1"/>
  <c r="N155" i="14" s="1"/>
  <c r="C1359" i="15"/>
  <c r="D1361" i="15" s="1"/>
  <c r="D1371" i="15" s="1"/>
  <c r="F1371" i="15" s="1"/>
  <c r="M14" i="15" s="1"/>
  <c r="G15" i="12" s="1"/>
  <c r="C1395" i="15"/>
  <c r="D1397" i="15" s="1"/>
  <c r="C1490" i="15"/>
  <c r="D1491" i="15" s="1"/>
  <c r="G156" i="14"/>
  <c r="H156" i="14" s="1"/>
  <c r="L156" i="14" s="1"/>
  <c r="N156" i="14" s="1"/>
  <c r="U18" i="14" s="1"/>
  <c r="D1501" i="15" s="1"/>
  <c r="F1501" i="15" s="1"/>
  <c r="AD14" i="15" s="1"/>
  <c r="Z15" i="12" s="1"/>
  <c r="G161" i="14"/>
  <c r="H161" i="14" s="1"/>
  <c r="L161" i="14" s="1"/>
  <c r="N161" i="14" s="1"/>
  <c r="G158" i="14"/>
  <c r="H158" i="14" s="1"/>
  <c r="L158" i="14" s="1"/>
  <c r="N158" i="14" s="1"/>
  <c r="C1176" i="15"/>
  <c r="D1177" i="15" s="1"/>
  <c r="D1178" i="15" s="1"/>
  <c r="F1178" i="15" s="1"/>
  <c r="X12" i="15" s="1"/>
  <c r="T13" i="12" s="1"/>
  <c r="C1188" i="15"/>
  <c r="D1189" i="15" s="1"/>
  <c r="C1152" i="15"/>
  <c r="D1153" i="15" s="1"/>
  <c r="D1158" i="15" s="1"/>
  <c r="F1158" i="15" s="1"/>
  <c r="U12" i="15" s="1"/>
  <c r="Q13" i="12" s="1"/>
  <c r="C1134" i="15"/>
  <c r="D1136" i="15" s="1"/>
  <c r="G125" i="14"/>
  <c r="H125" i="14" s="1"/>
  <c r="L125" i="14" s="1"/>
  <c r="N125" i="14" s="1"/>
  <c r="C1075" i="15"/>
  <c r="D1077" i="15" s="1"/>
  <c r="D1087" i="15" s="1"/>
  <c r="I131" i="14"/>
  <c r="K131" i="14" s="1"/>
  <c r="L131" i="14" s="1"/>
  <c r="N131" i="14" s="1"/>
  <c r="G128" i="14"/>
  <c r="H128" i="14" s="1"/>
  <c r="L128" i="14" s="1"/>
  <c r="N128" i="14" s="1"/>
  <c r="C1131" i="15"/>
  <c r="D1133" i="15" s="1"/>
  <c r="G123" i="14"/>
  <c r="H123" i="14" s="1"/>
  <c r="L123" i="14" s="1"/>
  <c r="N123" i="14" s="1"/>
  <c r="C1059" i="15"/>
  <c r="D1061" i="15" s="1"/>
  <c r="D1071" i="15" s="1"/>
  <c r="F1071" i="15" s="1"/>
  <c r="M12" i="15" s="1"/>
  <c r="G13" i="12" s="1"/>
  <c r="C1128" i="15"/>
  <c r="D1130" i="15" s="1"/>
  <c r="I127" i="14"/>
  <c r="K127" i="14" s="1"/>
  <c r="L127" i="14" s="1"/>
  <c r="N127" i="14" s="1"/>
  <c r="G129" i="14"/>
  <c r="H129" i="14" s="1"/>
  <c r="L129" i="14" s="1"/>
  <c r="N129" i="14" s="1"/>
  <c r="C1190" i="15"/>
  <c r="D1191" i="15" s="1"/>
  <c r="C1116" i="15"/>
  <c r="D1118" i="15" s="1"/>
  <c r="C1095" i="15"/>
  <c r="D1097" i="15" s="1"/>
  <c r="I130" i="14"/>
  <c r="K130" i="14" s="1"/>
  <c r="L130" i="14" s="1"/>
  <c r="N130" i="14" s="1"/>
  <c r="G124" i="14"/>
  <c r="H124" i="14" s="1"/>
  <c r="L124" i="14" s="1"/>
  <c r="N124" i="14" s="1"/>
  <c r="G126" i="14"/>
  <c r="H126" i="14" s="1"/>
  <c r="L126" i="14" s="1"/>
  <c r="N126" i="14" s="1"/>
  <c r="H209" i="23"/>
  <c r="I209" i="23" s="1"/>
  <c r="I335" i="23"/>
  <c r="H1270" i="23"/>
  <c r="I1270" i="23" s="1"/>
  <c r="I785" i="23"/>
  <c r="A1506" i="15"/>
  <c r="A170" i="14"/>
  <c r="L15" i="15"/>
  <c r="H905" i="23"/>
  <c r="I905" i="23" s="1"/>
  <c r="H412" i="23"/>
  <c r="I412" i="23" s="1"/>
  <c r="I1484" i="23"/>
  <c r="I1195" i="23"/>
  <c r="I464" i="23"/>
  <c r="AA10" i="11"/>
  <c r="BC10" i="11"/>
  <c r="BB10" i="11"/>
  <c r="X14" i="17"/>
  <c r="I1302" i="23"/>
  <c r="I290" i="23"/>
  <c r="L11" i="15"/>
  <c r="A106" i="14"/>
  <c r="A906" i="15"/>
  <c r="I1365" i="23"/>
  <c r="AA18" i="11"/>
  <c r="BC18" i="11"/>
  <c r="BB18" i="11"/>
  <c r="H8" i="23"/>
  <c r="I8" i="23" s="1"/>
  <c r="L9" i="15"/>
  <c r="A606" i="15"/>
  <c r="A74" i="14"/>
  <c r="H313" i="23"/>
  <c r="I313" i="23" s="1"/>
  <c r="I258" i="23"/>
  <c r="C290" i="15"/>
  <c r="D291" i="15" s="1"/>
  <c r="C234" i="15"/>
  <c r="D236" i="15" s="1"/>
  <c r="G30" i="14"/>
  <c r="H30" i="14" s="1"/>
  <c r="L30" i="14" s="1"/>
  <c r="N30" i="14" s="1"/>
  <c r="G33" i="14"/>
  <c r="H33" i="14" s="1"/>
  <c r="L33" i="14" s="1"/>
  <c r="N33" i="14" s="1"/>
  <c r="C276" i="15"/>
  <c r="D277" i="15" s="1"/>
  <c r="D278" i="15" s="1"/>
  <c r="F278" i="15" s="1"/>
  <c r="X6" i="15" s="1"/>
  <c r="T7" i="12" s="1"/>
  <c r="C252" i="15"/>
  <c r="D253" i="15" s="1"/>
  <c r="D258" i="15" s="1"/>
  <c r="F258" i="15" s="1"/>
  <c r="U6" i="15" s="1"/>
  <c r="Q7" i="12" s="1"/>
  <c r="C231" i="15"/>
  <c r="D233" i="15" s="1"/>
  <c r="I31" i="14"/>
  <c r="K31" i="14" s="1"/>
  <c r="L31" i="14" s="1"/>
  <c r="N31" i="14" s="1"/>
  <c r="S10" i="14" s="1"/>
  <c r="I34" i="14"/>
  <c r="K34" i="14" s="1"/>
  <c r="L34" i="14" s="1"/>
  <c r="N34" i="14" s="1"/>
  <c r="G28" i="14"/>
  <c r="H28" i="14" s="1"/>
  <c r="L28" i="14" s="1"/>
  <c r="N28" i="14" s="1"/>
  <c r="C288" i="15"/>
  <c r="D289" i="15" s="1"/>
  <c r="C216" i="15"/>
  <c r="D218" i="15" s="1"/>
  <c r="C195" i="15"/>
  <c r="D197" i="15" s="1"/>
  <c r="C159" i="15"/>
  <c r="D161" i="15" s="1"/>
  <c r="D171" i="15" s="1"/>
  <c r="F171" i="15" s="1"/>
  <c r="M6" i="15" s="1"/>
  <c r="G7" i="12" s="1"/>
  <c r="G32" i="14"/>
  <c r="H32" i="14" s="1"/>
  <c r="L32" i="14" s="1"/>
  <c r="N32" i="14" s="1"/>
  <c r="G29" i="14"/>
  <c r="H29" i="14" s="1"/>
  <c r="L29" i="14" s="1"/>
  <c r="N29" i="14" s="1"/>
  <c r="I35" i="14"/>
  <c r="K35" i="14" s="1"/>
  <c r="L35" i="14" s="1"/>
  <c r="N35" i="14" s="1"/>
  <c r="C228" i="15"/>
  <c r="D230" i="15" s="1"/>
  <c r="G27" i="14"/>
  <c r="H27" i="14" s="1"/>
  <c r="L27" i="14" s="1"/>
  <c r="N27" i="14" s="1"/>
  <c r="T10" i="14" s="1"/>
  <c r="D300" i="15" s="1"/>
  <c r="F300" i="15" s="1"/>
  <c r="AC6" i="15" s="1"/>
  <c r="Y7" i="12" s="1"/>
  <c r="C175" i="15"/>
  <c r="D177" i="15" s="1"/>
  <c r="D187" i="15" s="1"/>
  <c r="H644" i="23"/>
  <c r="I644" i="23" s="1"/>
  <c r="AA19" i="11"/>
  <c r="BC19" i="11"/>
  <c r="BB19" i="11"/>
  <c r="I1314" i="23"/>
  <c r="H64" i="23"/>
  <c r="I64" i="23" s="1"/>
  <c r="BC16" i="11"/>
  <c r="BB16" i="11"/>
  <c r="AA16" i="11"/>
  <c r="I524" i="23"/>
  <c r="I345" i="23"/>
  <c r="D1499" i="15" l="1"/>
  <c r="F1499" i="15" s="1"/>
  <c r="AB14" i="15" s="1"/>
  <c r="X15" i="12" s="1"/>
  <c r="F32" i="24"/>
  <c r="F13" i="24"/>
  <c r="F15" i="24"/>
  <c r="F59" i="24"/>
  <c r="F103" i="24"/>
  <c r="F67" i="24"/>
  <c r="F191" i="24"/>
  <c r="F105" i="24"/>
  <c r="F202" i="24"/>
  <c r="F152" i="24"/>
  <c r="F269" i="24"/>
  <c r="F148" i="24"/>
  <c r="F267" i="24"/>
  <c r="T15" i="14"/>
  <c r="D1050" i="15" s="1"/>
  <c r="F1050" i="15" s="1"/>
  <c r="AC11" i="15" s="1"/>
  <c r="Y12" i="12" s="1"/>
  <c r="D2643" i="15"/>
  <c r="F2643" i="15" s="1"/>
  <c r="D2648" i="15"/>
  <c r="F2648" i="15" s="1"/>
  <c r="T22" i="15" s="1"/>
  <c r="P23" i="12" s="1"/>
  <c r="D1569" i="15"/>
  <c r="F1569" i="15" s="1"/>
  <c r="D1573" i="15"/>
  <c r="F1573" i="15" s="1"/>
  <c r="Q15" i="15" s="1"/>
  <c r="M16" i="12" s="1"/>
  <c r="D657" i="15"/>
  <c r="F657" i="15" s="1"/>
  <c r="D661" i="15"/>
  <c r="F661" i="15" s="1"/>
  <c r="D1293" i="15"/>
  <c r="F1293" i="15" s="1"/>
  <c r="D1297" i="15"/>
  <c r="F1297" i="15" s="1"/>
  <c r="S13" i="15" s="1"/>
  <c r="O14" i="12" s="1"/>
  <c r="D1107" i="15"/>
  <c r="F1107" i="15" s="1"/>
  <c r="D1111" i="15"/>
  <c r="F1111" i="15" s="1"/>
  <c r="T21" i="14"/>
  <c r="D1950" i="15" s="1"/>
  <c r="F1950" i="15" s="1"/>
  <c r="AC17" i="15" s="1"/>
  <c r="Y18" i="12" s="1"/>
  <c r="F107" i="24"/>
  <c r="F41" i="24"/>
  <c r="F53" i="24"/>
  <c r="F100" i="24"/>
  <c r="F106" i="24"/>
  <c r="F76" i="24"/>
  <c r="F93" i="24"/>
  <c r="F124" i="24"/>
  <c r="F273" i="24"/>
  <c r="F157" i="24"/>
  <c r="F297" i="24"/>
  <c r="F155" i="24"/>
  <c r="F276" i="24"/>
  <c r="D957" i="15"/>
  <c r="F957" i="15" s="1"/>
  <c r="D961" i="15"/>
  <c r="F961" i="15" s="1"/>
  <c r="D2607" i="15"/>
  <c r="F2607" i="15" s="1"/>
  <c r="D2612" i="15"/>
  <c r="F2612" i="15" s="1"/>
  <c r="D2019" i="15"/>
  <c r="F2019" i="15" s="1"/>
  <c r="D2024" i="15"/>
  <c r="F2024" i="15" s="1"/>
  <c r="R18" i="15" s="1"/>
  <c r="N19" i="12" s="1"/>
  <c r="D899" i="15"/>
  <c r="F899" i="15" s="1"/>
  <c r="AB10" i="15" s="1"/>
  <c r="X11" i="12" s="1"/>
  <c r="S12" i="14"/>
  <c r="F36" i="24"/>
  <c r="X10" i="14"/>
  <c r="D299" i="15"/>
  <c r="F299" i="15" s="1"/>
  <c r="AB6" i="15" s="1"/>
  <c r="X7" i="12" s="1"/>
  <c r="F187" i="15"/>
  <c r="D191" i="15"/>
  <c r="D1119" i="15"/>
  <c r="F1119" i="15" s="1"/>
  <c r="D1123" i="15"/>
  <c r="F1123" i="15" s="1"/>
  <c r="Q12" i="15" s="1"/>
  <c r="M13" i="12" s="1"/>
  <c r="D1194" i="15"/>
  <c r="F1194" i="15" s="1"/>
  <c r="Z12" i="15" s="1"/>
  <c r="V13" i="12" s="1"/>
  <c r="D749" i="15"/>
  <c r="F749" i="15" s="1"/>
  <c r="AB9" i="15" s="1"/>
  <c r="X10" i="12" s="1"/>
  <c r="F26" i="24"/>
  <c r="F85" i="24"/>
  <c r="F19" i="24"/>
  <c r="F209" i="24"/>
  <c r="F119" i="24"/>
  <c r="F80" i="24"/>
  <c r="F139" i="24"/>
  <c r="F149" i="24"/>
  <c r="F69" i="24"/>
  <c r="F197" i="24"/>
  <c r="F176" i="24"/>
  <c r="F228" i="24"/>
  <c r="F211" i="24"/>
  <c r="D969" i="15"/>
  <c r="F969" i="15" s="1"/>
  <c r="D973" i="15"/>
  <c r="F973" i="15" s="1"/>
  <c r="Q11" i="15" s="1"/>
  <c r="M12" i="12" s="1"/>
  <c r="S11" i="14"/>
  <c r="F2587" i="15"/>
  <c r="D2591" i="15"/>
  <c r="D1707" i="15"/>
  <c r="F1707" i="15" s="1"/>
  <c r="D1712" i="15"/>
  <c r="F1712" i="15" s="1"/>
  <c r="U22" i="14"/>
  <c r="D2101" i="15" s="1"/>
  <c r="F2101" i="15" s="1"/>
  <c r="AD18" i="15" s="1"/>
  <c r="Z19" i="12" s="1"/>
  <c r="Z26" i="12" s="1"/>
  <c r="D24" i="16" s="1"/>
  <c r="T23" i="14"/>
  <c r="D2250" i="15" s="1"/>
  <c r="F2250" i="15" s="1"/>
  <c r="AC19" i="15" s="1"/>
  <c r="Y20" i="12" s="1"/>
  <c r="F487" i="15"/>
  <c r="D491" i="15"/>
  <c r="D2307" i="15"/>
  <c r="F2307" i="15" s="1"/>
  <c r="D2312" i="15"/>
  <c r="F2312" i="15" s="1"/>
  <c r="D2849" i="15"/>
  <c r="F2849" i="15" s="1"/>
  <c r="AB23" i="15" s="1"/>
  <c r="X24" i="12" s="1"/>
  <c r="T20" i="14"/>
  <c r="D1800" i="15" s="1"/>
  <c r="F1800" i="15" s="1"/>
  <c r="AC16" i="15" s="1"/>
  <c r="Y17" i="12" s="1"/>
  <c r="D1743" i="15"/>
  <c r="F1743" i="15" s="1"/>
  <c r="D1748" i="15"/>
  <c r="F1748" i="15" s="1"/>
  <c r="T16" i="15" s="1"/>
  <c r="P17" i="12" s="1"/>
  <c r="F2137" i="15"/>
  <c r="D2141" i="15"/>
  <c r="D2291" i="15"/>
  <c r="F2287" i="15"/>
  <c r="D2343" i="15"/>
  <c r="F2343" i="15" s="1"/>
  <c r="D2348" i="15"/>
  <c r="F2348" i="15" s="1"/>
  <c r="T20" i="15" s="1"/>
  <c r="P21" i="12" s="1"/>
  <c r="D2457" i="15"/>
  <c r="F2457" i="15" s="1"/>
  <c r="D2462" i="15"/>
  <c r="F2462" i="15" s="1"/>
  <c r="F154" i="24"/>
  <c r="F177" i="24"/>
  <c r="F104" i="24"/>
  <c r="F229" i="24"/>
  <c r="F233" i="24"/>
  <c r="D397" i="15"/>
  <c r="F397" i="15" s="1"/>
  <c r="S7" i="15" s="1"/>
  <c r="O8" i="12" s="1"/>
  <c r="D393" i="15"/>
  <c r="F393" i="15" s="1"/>
  <c r="D243" i="15"/>
  <c r="F243" i="15" s="1"/>
  <c r="D247" i="15"/>
  <c r="F247" i="15" s="1"/>
  <c r="S6" i="15" s="1"/>
  <c r="O7" i="12" s="1"/>
  <c r="D1649" i="15"/>
  <c r="F1649" i="15" s="1"/>
  <c r="AB15" i="15" s="1"/>
  <c r="X16" i="12" s="1"/>
  <c r="X19" i="14"/>
  <c r="D1944" i="15"/>
  <c r="F1944" i="15" s="1"/>
  <c r="Z17" i="15" s="1"/>
  <c r="V18" i="12" s="1"/>
  <c r="F21" i="24"/>
  <c r="F43" i="24"/>
  <c r="F12" i="24"/>
  <c r="F151" i="24"/>
  <c r="F203" i="24"/>
  <c r="F158" i="24"/>
  <c r="F123" i="24"/>
  <c r="F178" i="24"/>
  <c r="F240" i="24"/>
  <c r="F295" i="24"/>
  <c r="F275" i="24"/>
  <c r="D341" i="15"/>
  <c r="F337" i="15"/>
  <c r="S26" i="14"/>
  <c r="D93" i="15"/>
  <c r="F93" i="15" s="1"/>
  <c r="D97" i="15"/>
  <c r="F97" i="15" s="1"/>
  <c r="S5" i="15" s="1"/>
  <c r="O6" i="12" s="1"/>
  <c r="D2099" i="15"/>
  <c r="F2099" i="15" s="1"/>
  <c r="AB18" i="15" s="1"/>
  <c r="X19" i="12" s="1"/>
  <c r="D2319" i="15"/>
  <c r="F2319" i="15" s="1"/>
  <c r="D2324" i="15"/>
  <c r="F2324" i="15" s="1"/>
  <c r="R20" i="15" s="1"/>
  <c r="N21" i="12" s="1"/>
  <c r="AA22" i="11"/>
  <c r="T25" i="14"/>
  <c r="D2550" i="15" s="1"/>
  <c r="F2550" i="15" s="1"/>
  <c r="AC21" i="15" s="1"/>
  <c r="Y22" i="12" s="1"/>
  <c r="D2769" i="15"/>
  <c r="F2769" i="15" s="1"/>
  <c r="D2773" i="15"/>
  <c r="F2773" i="15" s="1"/>
  <c r="Q23" i="15" s="1"/>
  <c r="M24" i="12" s="1"/>
  <c r="F23" i="24"/>
  <c r="F101" i="24"/>
  <c r="F153" i="24"/>
  <c r="F172" i="24"/>
  <c r="F249" i="24"/>
  <c r="D1644" i="15"/>
  <c r="F1644" i="15" s="1"/>
  <c r="Z15" i="15" s="1"/>
  <c r="V16" i="12" s="1"/>
  <c r="F99" i="24"/>
  <c r="F171" i="24"/>
  <c r="S16" i="14"/>
  <c r="F223" i="24"/>
  <c r="F66" i="24"/>
  <c r="F75" i="24"/>
  <c r="F252" i="24"/>
  <c r="F54" i="24"/>
  <c r="F179" i="24"/>
  <c r="F242" i="24"/>
  <c r="F198" i="24"/>
  <c r="F168" i="24"/>
  <c r="F218" i="24"/>
  <c r="F260" i="24"/>
  <c r="F217" i="24"/>
  <c r="F259" i="24"/>
  <c r="T26" i="14"/>
  <c r="D2700" i="15" s="1"/>
  <c r="F2700" i="15" s="1"/>
  <c r="AC22" i="15" s="1"/>
  <c r="Y23" i="12" s="1"/>
  <c r="T26" i="12"/>
  <c r="D18" i="16" s="1"/>
  <c r="G26" i="12"/>
  <c r="D5" i="16" s="1"/>
  <c r="BB22" i="11"/>
  <c r="F1687" i="15"/>
  <c r="D1691" i="15"/>
  <c r="D2007" i="15"/>
  <c r="F2007" i="15" s="1"/>
  <c r="D2012" i="15"/>
  <c r="F2012" i="15" s="1"/>
  <c r="T14" i="14"/>
  <c r="D900" i="15" s="1"/>
  <c r="F900" i="15" s="1"/>
  <c r="AC10" i="15" s="1"/>
  <c r="Y11" i="12" s="1"/>
  <c r="T12" i="14"/>
  <c r="D600" i="15" s="1"/>
  <c r="F600" i="15" s="1"/>
  <c r="AC8" i="15" s="1"/>
  <c r="Y9" i="12" s="1"/>
  <c r="Y26" i="12" s="1"/>
  <c r="D23" i="16" s="1"/>
  <c r="BC22" i="11"/>
  <c r="D2493" i="15"/>
  <c r="F2493" i="15" s="1"/>
  <c r="D2498" i="15"/>
  <c r="F2498" i="15" s="1"/>
  <c r="T21" i="15" s="1"/>
  <c r="P22" i="12" s="1"/>
  <c r="F31" i="24"/>
  <c r="F44" i="24"/>
  <c r="S21" i="14"/>
  <c r="F38" i="24"/>
  <c r="F20" i="24"/>
  <c r="F56" i="24"/>
  <c r="F52" i="24"/>
  <c r="F173" i="24"/>
  <c r="F253" i="24"/>
  <c r="F159" i="24"/>
  <c r="F250" i="24"/>
  <c r="F213" i="24"/>
  <c r="F232" i="24"/>
  <c r="F72" i="24"/>
  <c r="F268" i="24"/>
  <c r="F274" i="24"/>
  <c r="D444" i="15"/>
  <c r="F444" i="15" s="1"/>
  <c r="Z7" i="15" s="1"/>
  <c r="V8" i="12" s="1"/>
  <c r="T11" i="14"/>
  <c r="D450" i="15" s="1"/>
  <c r="F450" i="15" s="1"/>
  <c r="AC7" i="15" s="1"/>
  <c r="Y8" i="12" s="1"/>
  <c r="D57" i="15"/>
  <c r="F57" i="15" s="1"/>
  <c r="D61" i="15"/>
  <c r="F61" i="15" s="1"/>
  <c r="D1719" i="15"/>
  <c r="F1719" i="15" s="1"/>
  <c r="D1724" i="15"/>
  <c r="F1724" i="15" s="1"/>
  <c r="R16" i="15" s="1"/>
  <c r="N17" i="12" s="1"/>
  <c r="T22" i="14"/>
  <c r="D2100" i="15" s="1"/>
  <c r="F2100" i="15" s="1"/>
  <c r="AC18" i="15" s="1"/>
  <c r="Y19" i="12" s="1"/>
  <c r="D2169" i="15"/>
  <c r="F2169" i="15" s="1"/>
  <c r="D2174" i="15"/>
  <c r="F2174" i="15" s="1"/>
  <c r="R19" i="15" s="1"/>
  <c r="N20" i="12" s="1"/>
  <c r="D507" i="15"/>
  <c r="F507" i="15" s="1"/>
  <c r="D511" i="15"/>
  <c r="F511" i="15" s="1"/>
  <c r="D2469" i="15"/>
  <c r="F2469" i="15" s="1"/>
  <c r="D2474" i="15"/>
  <c r="F2474" i="15" s="1"/>
  <c r="R21" i="15" s="1"/>
  <c r="N22" i="12" s="1"/>
  <c r="F204" i="24"/>
  <c r="F122" i="24"/>
  <c r="F230" i="24"/>
  <c r="D1494" i="15"/>
  <c r="F1494" i="15" s="1"/>
  <c r="Z14" i="15" s="1"/>
  <c r="V15" i="12" s="1"/>
  <c r="T16" i="14"/>
  <c r="D1200" i="15" s="1"/>
  <c r="F1200" i="15" s="1"/>
  <c r="AC12" i="15" s="1"/>
  <c r="Y13" i="12" s="1"/>
  <c r="D1407" i="15"/>
  <c r="F1407" i="15" s="1"/>
  <c r="D1411" i="15"/>
  <c r="F1411" i="15" s="1"/>
  <c r="D1419" i="15"/>
  <c r="F1419" i="15" s="1"/>
  <c r="D1423" i="15"/>
  <c r="F1423" i="15" s="1"/>
  <c r="Q14" i="15" s="1"/>
  <c r="M15" i="12" s="1"/>
  <c r="F637" i="15"/>
  <c r="D641" i="15"/>
  <c r="F65" i="24"/>
  <c r="F127" i="24"/>
  <c r="F82" i="24"/>
  <c r="F55" i="24"/>
  <c r="F175" i="24"/>
  <c r="F210" i="24"/>
  <c r="F170" i="24"/>
  <c r="F255" i="24"/>
  <c r="F219" i="24"/>
  <c r="F241" i="24"/>
  <c r="F81" i="24"/>
  <c r="F277" i="24"/>
  <c r="D369" i="15"/>
  <c r="F369" i="15" s="1"/>
  <c r="D373" i="15"/>
  <c r="F373" i="15" s="1"/>
  <c r="Q7" i="15" s="1"/>
  <c r="M8" i="12" s="1"/>
  <c r="D2619" i="15"/>
  <c r="F2619" i="15" s="1"/>
  <c r="D2624" i="15"/>
  <c r="F2624" i="15" s="1"/>
  <c r="R22" i="15" s="1"/>
  <c r="N23" i="12" s="1"/>
  <c r="D41" i="15"/>
  <c r="F37" i="15"/>
  <c r="D69" i="15"/>
  <c r="F69" i="15" s="1"/>
  <c r="D73" i="15"/>
  <c r="F73" i="15" s="1"/>
  <c r="Q5" i="15" s="1"/>
  <c r="M6" i="12" s="1"/>
  <c r="D2043" i="15"/>
  <c r="F2043" i="15" s="1"/>
  <c r="D2048" i="15"/>
  <c r="F2048" i="15" s="1"/>
  <c r="T18" i="15" s="1"/>
  <c r="P19" i="12" s="1"/>
  <c r="D2193" i="15"/>
  <c r="F2193" i="15" s="1"/>
  <c r="D2198" i="15"/>
  <c r="F2198" i="15" s="1"/>
  <c r="T19" i="15" s="1"/>
  <c r="P20" i="12" s="1"/>
  <c r="D819" i="15"/>
  <c r="F819" i="15" s="1"/>
  <c r="D823" i="15"/>
  <c r="F823" i="15" s="1"/>
  <c r="Q10" i="15" s="1"/>
  <c r="M11" i="12" s="1"/>
  <c r="D519" i="15"/>
  <c r="F519" i="15" s="1"/>
  <c r="D523" i="15"/>
  <c r="F523" i="15" s="1"/>
  <c r="Q8" i="15" s="1"/>
  <c r="M9" i="12" s="1"/>
  <c r="D2399" i="15"/>
  <c r="F2399" i="15" s="1"/>
  <c r="AB20" i="15" s="1"/>
  <c r="X21" i="12" s="1"/>
  <c r="X24" i="14"/>
  <c r="D2441" i="15"/>
  <c r="F2437" i="15"/>
  <c r="D1143" i="15"/>
  <c r="F1143" i="15" s="1"/>
  <c r="D1147" i="15"/>
  <c r="F1147" i="15" s="1"/>
  <c r="S12" i="15" s="1"/>
  <c r="O13" i="12" s="1"/>
  <c r="F115" i="24"/>
  <c r="F238" i="24"/>
  <c r="D207" i="15"/>
  <c r="F207" i="15" s="1"/>
  <c r="D211" i="15"/>
  <c r="F211" i="15" s="1"/>
  <c r="F58" i="24"/>
  <c r="F74" i="24"/>
  <c r="F195" i="24"/>
  <c r="F39" i="24"/>
  <c r="F16" i="24"/>
  <c r="F257" i="24"/>
  <c r="F45" i="24"/>
  <c r="F251" i="24"/>
  <c r="F169" i="24"/>
  <c r="F237" i="24"/>
  <c r="D993" i="15"/>
  <c r="F993" i="15" s="1"/>
  <c r="D997" i="15"/>
  <c r="F997" i="15" s="1"/>
  <c r="S11" i="15" s="1"/>
  <c r="O12" i="12" s="1"/>
  <c r="D357" i="15"/>
  <c r="F357" i="15" s="1"/>
  <c r="D361" i="15"/>
  <c r="F361" i="15" s="1"/>
  <c r="Q26" i="12"/>
  <c r="D15" i="16" s="1"/>
  <c r="D1991" i="15"/>
  <c r="F1987" i="15"/>
  <c r="AB22" i="11"/>
  <c r="D791" i="15"/>
  <c r="F787" i="15"/>
  <c r="F215" i="24"/>
  <c r="F222" i="24"/>
  <c r="F1387" i="15"/>
  <c r="D1391" i="15"/>
  <c r="T17" i="14"/>
  <c r="D1350" i="15" s="1"/>
  <c r="F1350" i="15" s="1"/>
  <c r="AC13" i="15" s="1"/>
  <c r="Y14" i="12" s="1"/>
  <c r="D1857" i="15"/>
  <c r="F1857" i="15" s="1"/>
  <c r="D1862" i="15"/>
  <c r="F1862" i="15" s="1"/>
  <c r="F141" i="24"/>
  <c r="D219" i="15"/>
  <c r="F219" i="15" s="1"/>
  <c r="D223" i="15"/>
  <c r="F223" i="15" s="1"/>
  <c r="Q6" i="15" s="1"/>
  <c r="M7" i="12" s="1"/>
  <c r="T18" i="14"/>
  <c r="D1500" i="15" s="1"/>
  <c r="F1500" i="15" s="1"/>
  <c r="AC14" i="15" s="1"/>
  <c r="Y15" i="12" s="1"/>
  <c r="D669" i="15"/>
  <c r="F669" i="15" s="1"/>
  <c r="D673" i="15"/>
  <c r="F673" i="15" s="1"/>
  <c r="Q9" i="15" s="1"/>
  <c r="M10" i="12" s="1"/>
  <c r="T13" i="14"/>
  <c r="D750" i="15" s="1"/>
  <c r="F750" i="15" s="1"/>
  <c r="AC9" i="15" s="1"/>
  <c r="Y10" i="12" s="1"/>
  <c r="D1349" i="15"/>
  <c r="F1349" i="15" s="1"/>
  <c r="AB13" i="15" s="1"/>
  <c r="X14" i="12" s="1"/>
  <c r="D1344" i="15"/>
  <c r="F1344" i="15" s="1"/>
  <c r="Z13" i="15" s="1"/>
  <c r="V14" i="12" s="1"/>
  <c r="D1893" i="15"/>
  <c r="F1893" i="15" s="1"/>
  <c r="D1898" i="15"/>
  <c r="F1898" i="15" s="1"/>
  <c r="T17" i="15" s="1"/>
  <c r="P18" i="12" s="1"/>
  <c r="F14" i="24"/>
  <c r="F95" i="24"/>
  <c r="F190" i="24"/>
  <c r="F140" i="24"/>
  <c r="F18" i="24"/>
  <c r="F118" i="24"/>
  <c r="F25" i="24"/>
  <c r="F78" i="24"/>
  <c r="F57" i="24"/>
  <c r="F298" i="24"/>
  <c r="F181" i="24"/>
  <c r="F254" i="24"/>
  <c r="D1049" i="15"/>
  <c r="F1049" i="15" s="1"/>
  <c r="AB11" i="15" s="1"/>
  <c r="X12" i="12" s="1"/>
  <c r="X15" i="14"/>
  <c r="F937" i="15"/>
  <c r="D941" i="15"/>
  <c r="D144" i="15"/>
  <c r="F144" i="15" s="1"/>
  <c r="Z5" i="15" s="1"/>
  <c r="V6" i="12" s="1"/>
  <c r="U25" i="14"/>
  <c r="D2551" i="15" s="1"/>
  <c r="F2551" i="15" s="1"/>
  <c r="AD21" i="15" s="1"/>
  <c r="Z22" i="12" s="1"/>
  <c r="D2741" i="15"/>
  <c r="F2737" i="15"/>
  <c r="F174" i="24"/>
  <c r="F193" i="24"/>
  <c r="F92" i="24"/>
  <c r="D294" i="15"/>
  <c r="F294" i="15" s="1"/>
  <c r="Z6" i="15" s="1"/>
  <c r="V7" i="12" s="1"/>
  <c r="D1443" i="15"/>
  <c r="F1443" i="15" s="1"/>
  <c r="D1447" i="15"/>
  <c r="F1447" i="15" s="1"/>
  <c r="S14" i="15" s="1"/>
  <c r="O15" i="12" s="1"/>
  <c r="D693" i="15"/>
  <c r="F693" i="15" s="1"/>
  <c r="D697" i="15"/>
  <c r="F697" i="15" s="1"/>
  <c r="S9" i="15" s="1"/>
  <c r="O10" i="12" s="1"/>
  <c r="D1869" i="15"/>
  <c r="F1869" i="15" s="1"/>
  <c r="D1874" i="15"/>
  <c r="F1874" i="15" s="1"/>
  <c r="R17" i="15" s="1"/>
  <c r="N18" i="12" s="1"/>
  <c r="F27" i="24"/>
  <c r="F37" i="24"/>
  <c r="F42" i="24"/>
  <c r="F180" i="24"/>
  <c r="F24" i="24"/>
  <c r="F125" i="24"/>
  <c r="F33" i="24"/>
  <c r="F84" i="24"/>
  <c r="F189" i="24"/>
  <c r="F199" i="24"/>
  <c r="F194" i="24"/>
  <c r="D543" i="15"/>
  <c r="F543" i="15" s="1"/>
  <c r="D547" i="15"/>
  <c r="F547" i="15" s="1"/>
  <c r="S8" i="15" s="1"/>
  <c r="O9" i="12" s="1"/>
  <c r="S25" i="14"/>
  <c r="T27" i="14"/>
  <c r="D2850" i="15" s="1"/>
  <c r="F2850" i="15" s="1"/>
  <c r="AC23" i="15" s="1"/>
  <c r="Y24" i="12" s="1"/>
  <c r="F150" i="24"/>
  <c r="D1541" i="15"/>
  <c r="F1537" i="15"/>
  <c r="D1241" i="15"/>
  <c r="F1237" i="15"/>
  <c r="F271" i="24"/>
  <c r="F79" i="24"/>
  <c r="F120" i="24"/>
  <c r="F29" i="24"/>
  <c r="F35" i="24"/>
  <c r="F156" i="24"/>
  <c r="F70" i="24"/>
  <c r="F117" i="24"/>
  <c r="F116" i="24"/>
  <c r="F201" i="24"/>
  <c r="F256" i="24"/>
  <c r="F214" i="24"/>
  <c r="D149" i="15"/>
  <c r="F149" i="15" s="1"/>
  <c r="AB5" i="15" s="1"/>
  <c r="X6" i="12" s="1"/>
  <c r="X9" i="14"/>
  <c r="D1799" i="15"/>
  <c r="F1799" i="15" s="1"/>
  <c r="AB16" i="15" s="1"/>
  <c r="X17" i="12" s="1"/>
  <c r="X20" i="14"/>
  <c r="D2249" i="15"/>
  <c r="F2249" i="15" s="1"/>
  <c r="AB19" i="15" s="1"/>
  <c r="X20" i="12" s="1"/>
  <c r="X23" i="14"/>
  <c r="D807" i="15"/>
  <c r="F807" i="15" s="1"/>
  <c r="D811" i="15"/>
  <c r="F811" i="15" s="1"/>
  <c r="D2757" i="15"/>
  <c r="F2757" i="15" s="1"/>
  <c r="D2761" i="15"/>
  <c r="F2761" i="15" s="1"/>
  <c r="F28" i="24"/>
  <c r="D1091" i="15"/>
  <c r="F1087" i="15"/>
  <c r="D1841" i="15"/>
  <c r="F1837" i="15"/>
  <c r="D203" i="25"/>
  <c r="E203" i="25" s="1"/>
  <c r="D1557" i="15"/>
  <c r="F1557" i="15" s="1"/>
  <c r="D1561" i="15"/>
  <c r="F1561" i="15" s="1"/>
  <c r="D1593" i="15"/>
  <c r="F1593" i="15" s="1"/>
  <c r="D1597" i="15"/>
  <c r="F1597" i="15" s="1"/>
  <c r="S15" i="15" s="1"/>
  <c r="O16" i="12" s="1"/>
  <c r="D744" i="15"/>
  <c r="F744" i="15" s="1"/>
  <c r="Z9" i="15" s="1"/>
  <c r="V10" i="12" s="1"/>
  <c r="D1269" i="15"/>
  <c r="F1269" i="15" s="1"/>
  <c r="D1273" i="15"/>
  <c r="F1273" i="15" s="1"/>
  <c r="Q13" i="15" s="1"/>
  <c r="M14" i="12" s="1"/>
  <c r="D1257" i="15"/>
  <c r="F1257" i="15" s="1"/>
  <c r="D1261" i="15"/>
  <c r="F1261" i="15" s="1"/>
  <c r="F160" i="24"/>
  <c r="F108" i="24"/>
  <c r="F138" i="24"/>
  <c r="F94" i="24"/>
  <c r="F40" i="24"/>
  <c r="F167" i="24"/>
  <c r="F97" i="24"/>
  <c r="F137" i="24"/>
  <c r="F129" i="24"/>
  <c r="F126" i="24"/>
  <c r="F236" i="24"/>
  <c r="D2157" i="15"/>
  <c r="F2157" i="15" s="1"/>
  <c r="D2162" i="15"/>
  <c r="F2162" i="15" s="1"/>
  <c r="D843" i="15"/>
  <c r="F843" i="15" s="1"/>
  <c r="D847" i="15"/>
  <c r="F847" i="15" s="1"/>
  <c r="S10" i="15" s="1"/>
  <c r="O11" i="12" s="1"/>
  <c r="D2793" i="15"/>
  <c r="F2793" i="15" s="1"/>
  <c r="D2797" i="15"/>
  <c r="F2797" i="15" s="1"/>
  <c r="S23" i="15" s="1"/>
  <c r="O24" i="12" s="1"/>
  <c r="F641" i="15" l="1"/>
  <c r="N9" i="15"/>
  <c r="I10" i="12" s="1"/>
  <c r="J10" i="12" s="1"/>
  <c r="P26" i="12"/>
  <c r="D14" i="16" s="1"/>
  <c r="F2591" i="15"/>
  <c r="N22" i="15"/>
  <c r="I23" i="12" s="1"/>
  <c r="J23" i="12" s="1"/>
  <c r="X14" i="14"/>
  <c r="X12" i="14"/>
  <c r="D599" i="15"/>
  <c r="F599" i="15" s="1"/>
  <c r="AB8" i="15" s="1"/>
  <c r="X9" i="12" s="1"/>
  <c r="V26" i="12"/>
  <c r="D20" i="16" s="1"/>
  <c r="P18" i="15"/>
  <c r="L19" i="12" s="1"/>
  <c r="AB19" i="12" s="1"/>
  <c r="AG18" i="15"/>
  <c r="X11" i="14"/>
  <c r="D449" i="15"/>
  <c r="F449" i="15" s="1"/>
  <c r="AB7" i="15" s="1"/>
  <c r="X8" i="12" s="1"/>
  <c r="X26" i="12" s="1"/>
  <c r="D22" i="16" s="1"/>
  <c r="F2141" i="15"/>
  <c r="N19" i="15"/>
  <c r="I20" i="12" s="1"/>
  <c r="J20" i="12" s="1"/>
  <c r="O13" i="15"/>
  <c r="K14" i="12" s="1"/>
  <c r="AB14" i="12" s="1"/>
  <c r="AG13" i="15"/>
  <c r="P19" i="15"/>
  <c r="L20" i="12" s="1"/>
  <c r="AB20" i="12" s="1"/>
  <c r="AG19" i="15"/>
  <c r="O23" i="15"/>
  <c r="K24" i="12" s="1"/>
  <c r="AB24" i="12" s="1"/>
  <c r="AG23" i="15"/>
  <c r="X25" i="14"/>
  <c r="D2549" i="15"/>
  <c r="F2549" i="15" s="1"/>
  <c r="AB21" i="15" s="1"/>
  <c r="X22" i="12" s="1"/>
  <c r="P17" i="15"/>
  <c r="L18" i="12" s="1"/>
  <c r="AB18" i="12" s="1"/>
  <c r="AG17" i="15"/>
  <c r="O7" i="15"/>
  <c r="K8" i="12" s="1"/>
  <c r="AB8" i="12" s="1"/>
  <c r="AG7" i="15"/>
  <c r="AG6" i="15"/>
  <c r="O6" i="15"/>
  <c r="K7" i="12" s="1"/>
  <c r="AB7" i="12" s="1"/>
  <c r="O14" i="15"/>
  <c r="K15" i="12" s="1"/>
  <c r="AB15" i="12" s="1"/>
  <c r="AG14" i="15"/>
  <c r="N26" i="12"/>
  <c r="D12" i="16" s="1"/>
  <c r="N11" i="15"/>
  <c r="I12" i="12" s="1"/>
  <c r="J12" i="12" s="1"/>
  <c r="F941" i="15"/>
  <c r="D1199" i="15"/>
  <c r="F1199" i="15" s="1"/>
  <c r="AB12" i="15" s="1"/>
  <c r="X13" i="12" s="1"/>
  <c r="X16" i="14"/>
  <c r="X27" i="14"/>
  <c r="X13" i="14"/>
  <c r="F2741" i="15"/>
  <c r="N23" i="15"/>
  <c r="I24" i="12" s="1"/>
  <c r="J24" i="12" s="1"/>
  <c r="O10" i="15"/>
  <c r="K11" i="12" s="1"/>
  <c r="AB11" i="12" s="1"/>
  <c r="AG10" i="15"/>
  <c r="AG5" i="15"/>
  <c r="O5" i="15"/>
  <c r="K6" i="12" s="1"/>
  <c r="F1691" i="15"/>
  <c r="N16" i="15"/>
  <c r="I17" i="12" s="1"/>
  <c r="J17" i="12" s="1"/>
  <c r="X22" i="14"/>
  <c r="P22" i="15"/>
  <c r="L23" i="12" s="1"/>
  <c r="AB23" i="12" s="1"/>
  <c r="AG22" i="15"/>
  <c r="F1541" i="15"/>
  <c r="N15" i="15"/>
  <c r="I16" i="12" s="1"/>
  <c r="J16" i="12" s="1"/>
  <c r="P20" i="15"/>
  <c r="L21" i="12" s="1"/>
  <c r="AB21" i="12" s="1"/>
  <c r="AG20" i="15"/>
  <c r="X18" i="14"/>
  <c r="F1991" i="15"/>
  <c r="N18" i="15"/>
  <c r="I19" i="12" s="1"/>
  <c r="J19" i="12" s="1"/>
  <c r="N14" i="15"/>
  <c r="I15" i="12" s="1"/>
  <c r="J15" i="12" s="1"/>
  <c r="F1391" i="15"/>
  <c r="M26" i="12"/>
  <c r="D11" i="16" s="1"/>
  <c r="O26" i="12"/>
  <c r="D13" i="16" s="1"/>
  <c r="P21" i="15"/>
  <c r="L22" i="12" s="1"/>
  <c r="AB22" i="12" s="1"/>
  <c r="AG21" i="15"/>
  <c r="AG11" i="15"/>
  <c r="O11" i="15"/>
  <c r="K12" i="12" s="1"/>
  <c r="AB12" i="12" s="1"/>
  <c r="O9" i="15"/>
  <c r="K10" i="12" s="1"/>
  <c r="AB10" i="12" s="1"/>
  <c r="AG9" i="15"/>
  <c r="N12" i="15"/>
  <c r="I13" i="12" s="1"/>
  <c r="J13" i="12" s="1"/>
  <c r="F1091" i="15"/>
  <c r="X17" i="14"/>
  <c r="D1949" i="15"/>
  <c r="F1949" i="15" s="1"/>
  <c r="AB17" i="15" s="1"/>
  <c r="X18" i="12" s="1"/>
  <c r="X21" i="14"/>
  <c r="F2441" i="15"/>
  <c r="N21" i="15"/>
  <c r="I22" i="12" s="1"/>
  <c r="J22" i="12" s="1"/>
  <c r="F41" i="15"/>
  <c r="N5" i="15"/>
  <c r="I6" i="12" s="1"/>
  <c r="D2699" i="15"/>
  <c r="F2699" i="15" s="1"/>
  <c r="AB22" i="15" s="1"/>
  <c r="X23" i="12" s="1"/>
  <c r="X26" i="14"/>
  <c r="N8" i="15"/>
  <c r="I9" i="12" s="1"/>
  <c r="J9" i="12" s="1"/>
  <c r="F491" i="15"/>
  <c r="O12" i="15"/>
  <c r="K13" i="12" s="1"/>
  <c r="AB13" i="12" s="1"/>
  <c r="AG12" i="15"/>
  <c r="AG15" i="15"/>
  <c r="O15" i="15"/>
  <c r="K16" i="12" s="1"/>
  <c r="AB16" i="12" s="1"/>
  <c r="F791" i="15"/>
  <c r="N10" i="15"/>
  <c r="I11" i="12" s="1"/>
  <c r="J11" i="12" s="1"/>
  <c r="N7" i="15"/>
  <c r="I8" i="12" s="1"/>
  <c r="J8" i="12" s="1"/>
  <c r="F341" i="15"/>
  <c r="F191" i="15"/>
  <c r="N6" i="15"/>
  <c r="I7" i="12" s="1"/>
  <c r="J7" i="12" s="1"/>
  <c r="F1241" i="15"/>
  <c r="N13" i="15"/>
  <c r="I14" i="12" s="1"/>
  <c r="J14" i="12" s="1"/>
  <c r="F2291" i="15"/>
  <c r="N20" i="15"/>
  <c r="I21" i="12" s="1"/>
  <c r="J21" i="12" s="1"/>
  <c r="F1841" i="15"/>
  <c r="N17" i="15"/>
  <c r="I18" i="12" s="1"/>
  <c r="J18" i="12" s="1"/>
  <c r="O8" i="15"/>
  <c r="K9" i="12" s="1"/>
  <c r="AB9" i="12" s="1"/>
  <c r="AG8" i="15"/>
  <c r="P16" i="15"/>
  <c r="L17" i="12" s="1"/>
  <c r="AG16" i="15"/>
  <c r="AC8" i="12" l="1"/>
  <c r="H8" i="12"/>
  <c r="AC24" i="12"/>
  <c r="H24" i="12"/>
  <c r="H12" i="12"/>
  <c r="AC12" i="12"/>
  <c r="AC17" i="12"/>
  <c r="H17" i="12"/>
  <c r="H19" i="12"/>
  <c r="AC19" i="12"/>
  <c r="H21" i="12"/>
  <c r="AC21" i="12"/>
  <c r="H13" i="12"/>
  <c r="AC13" i="12"/>
  <c r="K26" i="12"/>
  <c r="D9" i="16" s="1"/>
  <c r="AB6" i="12"/>
  <c r="AC16" i="12"/>
  <c r="H16" i="12"/>
  <c r="AC11" i="12"/>
  <c r="H11" i="12"/>
  <c r="D13" i="25" a="1"/>
  <c r="D13" i="25" s="1"/>
  <c r="E13" i="25" s="1"/>
  <c r="I26" i="12"/>
  <c r="D7" i="16" s="1"/>
  <c r="J6" i="12"/>
  <c r="AC22" i="12"/>
  <c r="H22" i="12"/>
  <c r="H20" i="12"/>
  <c r="AC20" i="12"/>
  <c r="AC10" i="12"/>
  <c r="H10" i="12"/>
  <c r="H7" i="12"/>
  <c r="AC7" i="12"/>
  <c r="AC23" i="12"/>
  <c r="H23" i="12"/>
  <c r="AC18" i="12"/>
  <c r="H18" i="12"/>
  <c r="AC9" i="12"/>
  <c r="H9" i="12"/>
  <c r="H15" i="12"/>
  <c r="AC15" i="12"/>
  <c r="AB17" i="12"/>
  <c r="L26" i="12"/>
  <c r="D10" i="16" s="1"/>
  <c r="H14" i="12"/>
  <c r="AC14" i="12"/>
  <c r="H6" i="12" l="1"/>
  <c r="J26" i="12"/>
  <c r="D8" i="16" s="1"/>
  <c r="AC6" i="12"/>
  <c r="AC26" i="12" s="1"/>
  <c r="D27" i="16" s="1"/>
  <c r="AB26" i="12"/>
  <c r="D26" i="16" s="1"/>
  <c r="H26" i="12" l="1"/>
  <c r="D6" i="16" s="1"/>
  <c r="G210" i="24"/>
  <c r="J210" i="24" s="1"/>
  <c r="G217" i="24"/>
  <c r="J217" i="24" s="1"/>
  <c r="G119" i="24"/>
  <c r="J119" i="24" s="1"/>
  <c r="G204" i="24"/>
  <c r="J204" i="24" s="1"/>
  <c r="G24" i="24"/>
  <c r="J24" i="24" s="1"/>
  <c r="L24" i="24" s="1"/>
  <c r="G97" i="24"/>
  <c r="J97" i="24" s="1"/>
  <c r="G139" i="24"/>
  <c r="J139" i="24" s="1"/>
  <c r="G129" i="24"/>
  <c r="J129" i="24" s="1"/>
  <c r="G94" i="24"/>
  <c r="J94" i="24" s="1"/>
  <c r="G42" i="24"/>
  <c r="J42" i="24" s="1"/>
  <c r="L42" i="24" s="1"/>
  <c r="G167" i="24"/>
  <c r="J167" i="24" s="1"/>
  <c r="G160" i="24"/>
  <c r="J160" i="24" s="1"/>
  <c r="G66" i="24"/>
  <c r="J66" i="24" s="1"/>
  <c r="G275" i="24"/>
  <c r="J275" i="24" s="1"/>
  <c r="G255" i="24"/>
  <c r="J255" i="24" s="1"/>
  <c r="G105" i="24"/>
  <c r="J105" i="24" s="1"/>
  <c r="G194" i="24"/>
  <c r="J194" i="24" s="1"/>
  <c r="G15" i="24"/>
  <c r="J15" i="24" s="1"/>
  <c r="L15" i="24" s="1"/>
  <c r="G70" i="24"/>
  <c r="J70" i="24" s="1"/>
  <c r="G126" i="24"/>
  <c r="J126" i="24" s="1"/>
  <c r="G101" i="24"/>
  <c r="J101" i="24" s="1"/>
  <c r="G29" i="24"/>
  <c r="J29" i="24" s="1"/>
  <c r="L29" i="24" s="1"/>
  <c r="G228" i="24"/>
  <c r="J228" i="24" s="1"/>
  <c r="G65" i="24"/>
  <c r="J65" i="24" s="1"/>
  <c r="G191" i="24"/>
  <c r="J191" i="24" s="1"/>
  <c r="G271" i="24"/>
  <c r="J271" i="24" s="1"/>
  <c r="G190" i="24"/>
  <c r="J190" i="24" s="1"/>
  <c r="G260" i="24"/>
  <c r="J260" i="24" s="1"/>
  <c r="G240" i="24"/>
  <c r="J240" i="24" s="1"/>
  <c r="G96" i="24"/>
  <c r="J96" i="24" s="1"/>
  <c r="G233" i="24"/>
  <c r="J233" i="24" s="1"/>
  <c r="G273" i="24"/>
  <c r="J273" i="24" s="1"/>
  <c r="G223" i="24"/>
  <c r="J223" i="24" s="1"/>
  <c r="G107" i="24" a="1"/>
  <c r="G107" i="24" s="1"/>
  <c r="J107" i="24" s="1"/>
  <c r="G76" i="24"/>
  <c r="J76" i="24" s="1"/>
  <c r="G159" i="24"/>
  <c r="J159" i="24" s="1"/>
  <c r="G92" i="24"/>
  <c r="J92" i="24" s="1"/>
  <c r="G43" i="24"/>
  <c r="J43" i="24" s="1"/>
  <c r="L43" i="24" s="1"/>
  <c r="G197" i="24"/>
  <c r="J197" i="24" s="1"/>
  <c r="G14" i="24"/>
  <c r="J14" i="24" s="1"/>
  <c r="L14" i="24" s="1"/>
  <c r="G103" i="24"/>
  <c r="J103" i="24" s="1"/>
  <c r="G253" i="24"/>
  <c r="J253" i="24" s="1"/>
  <c r="G218" i="24"/>
  <c r="J218" i="24" s="1"/>
  <c r="G58" i="24"/>
  <c r="J58" i="24" s="1"/>
  <c r="G222" i="24"/>
  <c r="J222" i="24" s="1"/>
  <c r="G137" i="24"/>
  <c r="J137" i="24" s="1"/>
  <c r="G209" i="24"/>
  <c r="J209" i="24" s="1"/>
  <c r="G93" i="24"/>
  <c r="J93" i="24" s="1"/>
  <c r="G72" i="24"/>
  <c r="J72" i="24" s="1"/>
  <c r="G45" i="24"/>
  <c r="J45" i="24" s="1"/>
  <c r="L45" i="24" s="1"/>
  <c r="G82" i="24"/>
  <c r="J82" i="24" s="1"/>
  <c r="G27" i="24"/>
  <c r="J27" i="24" s="1"/>
  <c r="L27" i="24" s="1"/>
  <c r="G249" i="24"/>
  <c r="J249" i="24" s="1"/>
  <c r="G75" i="24"/>
  <c r="J75" i="24" s="1"/>
  <c r="G26" i="24"/>
  <c r="J26" i="24" s="1"/>
  <c r="L26" i="24" s="1"/>
  <c r="G32" i="24"/>
  <c r="J32" i="24" s="1"/>
  <c r="L32" i="24" s="1"/>
  <c r="G234" i="24"/>
  <c r="J234" i="24" s="1"/>
  <c r="G256" i="24"/>
  <c r="J256" i="24" s="1"/>
  <c r="G297" i="24"/>
  <c r="J297" i="24" s="1"/>
  <c r="L297" i="24" s="1"/>
  <c r="G219" i="24"/>
  <c r="J219" i="24" s="1"/>
  <c r="G117" i="24"/>
  <c r="J117" i="24" s="1"/>
  <c r="G173" i="24"/>
  <c r="J173" i="24" s="1"/>
  <c r="G80" i="24"/>
  <c r="J80" i="24" s="1"/>
  <c r="G67" i="24"/>
  <c r="J67" i="24" s="1"/>
  <c r="G171" i="24"/>
  <c r="J171" i="24" s="1"/>
  <c r="G56" i="24"/>
  <c r="J56" i="24" s="1"/>
  <c r="G38" i="24"/>
  <c r="J38" i="24" s="1"/>
  <c r="L38" i="24" s="1"/>
  <c r="G116" i="24"/>
  <c r="J116" i="24" s="1"/>
  <c r="G39" i="24"/>
  <c r="J39" i="24" s="1"/>
  <c r="L39" i="24" s="1"/>
  <c r="G157" i="24"/>
  <c r="J157" i="24" s="1"/>
  <c r="G213" i="24"/>
  <c r="J213" i="24" s="1"/>
  <c r="G199" i="24"/>
  <c r="J199" i="24" s="1"/>
  <c r="G269" i="24"/>
  <c r="J269" i="24" s="1"/>
  <c r="G193" i="24"/>
  <c r="J193" i="24" s="1"/>
  <c r="G84" i="24"/>
  <c r="J84" i="24" s="1"/>
  <c r="G118" i="24"/>
  <c r="J118" i="24" s="1"/>
  <c r="L118" i="24" s="1"/>
  <c r="G74" i="24"/>
  <c r="J74" i="24" s="1"/>
  <c r="G175" i="24"/>
  <c r="J175" i="24" s="1"/>
  <c r="G99" i="24"/>
  <c r="J99" i="24" s="1"/>
  <c r="G141" i="24"/>
  <c r="J141" i="24" s="1"/>
  <c r="G35" i="24"/>
  <c r="J35" i="24" s="1"/>
  <c r="L35" i="24" s="1"/>
  <c r="G44" i="24"/>
  <c r="J44" i="24" s="1"/>
  <c r="L44" i="24" s="1"/>
  <c r="G238" i="24"/>
  <c r="J238" i="24" s="1"/>
  <c r="G254" i="24"/>
  <c r="J254" i="24" s="1"/>
  <c r="G181" i="24"/>
  <c r="J181" i="24" s="1"/>
  <c r="L181" i="24" s="1"/>
  <c r="G236" i="24"/>
  <c r="J236" i="24" s="1"/>
  <c r="G172" i="24"/>
  <c r="J172" i="24" s="1"/>
  <c r="G78" i="24"/>
  <c r="J78" i="24" s="1"/>
  <c r="G85" i="24"/>
  <c r="J85" i="24" s="1"/>
  <c r="G279" i="24"/>
  <c r="J279" i="24" s="1"/>
  <c r="G170" i="24"/>
  <c r="J170" i="24" s="1"/>
  <c r="G95" i="24"/>
  <c r="J95" i="24" s="1"/>
  <c r="G108" i="24"/>
  <c r="J108" i="24" s="1"/>
  <c r="G16" i="24"/>
  <c r="J16" i="24" s="1"/>
  <c r="L16" i="24" s="1"/>
  <c r="G251" i="24"/>
  <c r="J251" i="24" s="1"/>
  <c r="G151" i="24"/>
  <c r="J151" i="24" s="1"/>
  <c r="G237" i="24"/>
  <c r="J237" i="24" s="1"/>
  <c r="G169" i="24"/>
  <c r="J169" i="24" s="1"/>
  <c r="G221" i="24"/>
  <c r="J221" i="24" s="1"/>
  <c r="G168" i="24"/>
  <c r="J168" i="24" s="1"/>
  <c r="G52" i="24"/>
  <c r="J52" i="24" s="1"/>
  <c r="G41" i="24"/>
  <c r="J41" i="24" s="1"/>
  <c r="L41" i="24" s="1"/>
  <c r="G180" i="24"/>
  <c r="J180" i="24" s="1"/>
  <c r="G115" i="24"/>
  <c r="J115" i="24" s="1"/>
  <c r="G81" i="24"/>
  <c r="J81" i="24" s="1"/>
  <c r="G79" i="24"/>
  <c r="J79" i="24" s="1"/>
  <c r="G152" i="24"/>
  <c r="J152" i="24" s="1"/>
  <c r="G178" i="24"/>
  <c r="J178" i="24" s="1"/>
  <c r="G295" i="24"/>
  <c r="J295" i="24" s="1"/>
  <c r="G155" i="24"/>
  <c r="J155" i="24" s="1"/>
  <c r="G215" i="24"/>
  <c r="J215" i="24" s="1"/>
  <c r="G276" i="24"/>
  <c r="J276" i="24" s="1"/>
  <c r="G211" i="24"/>
  <c r="J211" i="24" s="1"/>
  <c r="G148" i="24"/>
  <c r="J148" i="24" s="1"/>
  <c r="G257" i="24"/>
  <c r="J257" i="24" s="1"/>
  <c r="G298" i="24"/>
  <c r="J298" i="24" s="1"/>
  <c r="L298" i="24" s="1"/>
  <c r="G174" i="24"/>
  <c r="J174" i="24" s="1"/>
  <c r="G54" i="24"/>
  <c r="J54" i="24" s="1"/>
  <c r="G37" i="24"/>
  <c r="J37" i="24" s="1"/>
  <c r="L37" i="24" s="1"/>
  <c r="G23" i="24"/>
  <c r="J23" i="24" s="1"/>
  <c r="L23" i="24" s="1"/>
  <c r="G150" i="24"/>
  <c r="J150" i="24" s="1"/>
  <c r="G20" i="24"/>
  <c r="J20" i="24" s="1"/>
  <c r="L20" i="24" s="1"/>
  <c r="G202" i="24"/>
  <c r="J202" i="24" s="1"/>
  <c r="G179" i="24"/>
  <c r="J179" i="24" s="1"/>
  <c r="G232" i="24"/>
  <c r="J232" i="24" s="1"/>
  <c r="G21" i="24"/>
  <c r="J21" i="24" s="1"/>
  <c r="L21" i="24" s="1"/>
  <c r="G195" i="24"/>
  <c r="J195" i="24" s="1"/>
  <c r="G229" i="24"/>
  <c r="J229" i="24" s="1"/>
  <c r="G201" i="24"/>
  <c r="J201" i="24" s="1"/>
  <c r="G123" i="24"/>
  <c r="J123" i="24" s="1"/>
  <c r="G241" i="24"/>
  <c r="J241" i="24" s="1"/>
  <c r="G258" i="24"/>
  <c r="J258" i="24" s="1"/>
  <c r="G120" i="24"/>
  <c r="J120" i="24" s="1"/>
  <c r="G12" i="24"/>
  <c r="J12" i="24" s="1"/>
  <c r="G59" i="24"/>
  <c r="J59" i="24" s="1"/>
  <c r="G55" i="24"/>
  <c r="J55" i="24" s="1"/>
  <c r="G267" i="24"/>
  <c r="J267" i="24" s="1"/>
  <c r="G122" i="24"/>
  <c r="J122" i="24" s="1"/>
  <c r="G149" i="24"/>
  <c r="J149" i="24" s="1"/>
  <c r="G203" i="24"/>
  <c r="J203" i="24" s="1"/>
  <c r="G25" i="24"/>
  <c r="J25" i="24" s="1"/>
  <c r="L25" i="24" s="1"/>
  <c r="G124" i="24"/>
  <c r="J124" i="24" s="1"/>
  <c r="G274" i="24"/>
  <c r="J274" i="24" s="1"/>
  <c r="G177" i="24"/>
  <c r="J177" i="24" s="1"/>
  <c r="G176" i="24"/>
  <c r="J176" i="24" s="1"/>
  <c r="G189" i="24"/>
  <c r="J189" i="24" s="1"/>
  <c r="G104" i="24"/>
  <c r="J104" i="24" s="1"/>
  <c r="G198" i="24"/>
  <c r="J198" i="24" s="1"/>
  <c r="G242" i="24"/>
  <c r="J242" i="24" s="1"/>
  <c r="G100" i="24"/>
  <c r="J100" i="24" s="1"/>
  <c r="G230" i="24"/>
  <c r="J230" i="24" s="1"/>
  <c r="G31" i="24"/>
  <c r="J31" i="24" s="1"/>
  <c r="L31" i="24" s="1"/>
  <c r="G33" i="24"/>
  <c r="J33" i="24" s="1"/>
  <c r="L33" i="24" s="1"/>
  <c r="G57" i="24"/>
  <c r="J57" i="24" s="1"/>
  <c r="G125" i="24"/>
  <c r="J125" i="24" s="1"/>
  <c r="G252" i="24"/>
  <c r="J252" i="24" s="1"/>
  <c r="G40" i="24"/>
  <c r="J40" i="24" s="1"/>
  <c r="L40" i="24" s="1"/>
  <c r="G106" i="24"/>
  <c r="J106" i="24" s="1"/>
  <c r="G127" i="24"/>
  <c r="J127" i="24" s="1"/>
  <c r="G13" i="24"/>
  <c r="J13" i="24" s="1"/>
  <c r="L13" i="24" s="1"/>
  <c r="G259" i="24"/>
  <c r="J259" i="24" s="1"/>
  <c r="G277" i="24"/>
  <c r="J277" i="24" s="1"/>
  <c r="G156" i="24"/>
  <c r="J156" i="24" s="1"/>
  <c r="G250" i="24"/>
  <c r="J250" i="24" s="1"/>
  <c r="G69" i="24"/>
  <c r="J69" i="24" s="1"/>
  <c r="G158" i="24"/>
  <c r="J158" i="24" s="1"/>
  <c r="G214" i="24"/>
  <c r="J214" i="24" s="1"/>
  <c r="G28" i="24"/>
  <c r="J28" i="24" s="1"/>
  <c r="L28" i="24" s="1"/>
  <c r="G154" i="24"/>
  <c r="J154" i="24" s="1"/>
  <c r="G18" i="24"/>
  <c r="J18" i="24" s="1"/>
  <c r="L18" i="24" s="1"/>
  <c r="G19" i="24"/>
  <c r="J19" i="24" s="1"/>
  <c r="L19" i="24" s="1"/>
  <c r="G36" i="24"/>
  <c r="J36" i="24" s="1"/>
  <c r="L36" i="24" s="1"/>
  <c r="G53" i="24"/>
  <c r="J53" i="24" s="1"/>
  <c r="G268" i="24"/>
  <c r="J268" i="24" s="1"/>
  <c r="G153" i="24"/>
  <c r="J153" i="24" s="1"/>
  <c r="G140" i="24"/>
  <c r="J140" i="24" s="1"/>
  <c r="G138" i="24"/>
  <c r="J138" i="24" s="1"/>
  <c r="D123" i="25" l="1"/>
  <c r="L214" i="24"/>
  <c r="D118" i="25"/>
  <c r="L190" i="24"/>
  <c r="D60" i="25"/>
  <c r="L66" i="24"/>
  <c r="D152" i="25"/>
  <c r="L158" i="24"/>
  <c r="D82" i="25"/>
  <c r="L122" i="24"/>
  <c r="L179" i="24"/>
  <c r="D53" i="25"/>
  <c r="D149" i="25"/>
  <c r="L155" i="24"/>
  <c r="L151" i="24"/>
  <c r="D145" i="25"/>
  <c r="D78" i="25"/>
  <c r="L116" i="24"/>
  <c r="D43" i="25"/>
  <c r="L75" i="24"/>
  <c r="L271" i="24"/>
  <c r="D162" i="25"/>
  <c r="D154" i="25"/>
  <c r="L160" i="24"/>
  <c r="D71" i="25"/>
  <c r="L103" i="24"/>
  <c r="D158" i="25"/>
  <c r="L249" i="24"/>
  <c r="L167" i="24"/>
  <c r="D95" i="25"/>
  <c r="L250" i="24"/>
  <c r="D169" i="25"/>
  <c r="D69" i="25"/>
  <c r="L100" i="24"/>
  <c r="D35" i="25"/>
  <c r="L55" i="24"/>
  <c r="D49" i="25"/>
  <c r="L178" i="24"/>
  <c r="D93" i="25"/>
  <c r="L141" i="24"/>
  <c r="L56" i="24"/>
  <c r="D36" i="25"/>
  <c r="D59" i="25"/>
  <c r="L65" i="24"/>
  <c r="L238" i="24"/>
  <c r="D140" i="25"/>
  <c r="D130" i="25"/>
  <c r="L191" i="24"/>
  <c r="D90" i="25"/>
  <c r="L138" i="24"/>
  <c r="D150" i="25"/>
  <c r="L156" i="24"/>
  <c r="D141" i="25"/>
  <c r="L242" i="24"/>
  <c r="D177" i="25"/>
  <c r="L59" i="24"/>
  <c r="D144" i="25"/>
  <c r="L150" i="24"/>
  <c r="D146" i="25"/>
  <c r="L152" i="24"/>
  <c r="D76" i="25"/>
  <c r="L108" i="24"/>
  <c r="D68" i="25"/>
  <c r="L99" i="24"/>
  <c r="L171" i="24"/>
  <c r="D99" i="25"/>
  <c r="D46" i="25"/>
  <c r="L82" i="24"/>
  <c r="D65" i="25"/>
  <c r="L92" i="24"/>
  <c r="L228" i="24"/>
  <c r="D114" i="25"/>
  <c r="D67" i="25"/>
  <c r="L94" i="24"/>
  <c r="D135" i="25"/>
  <c r="L215" i="24"/>
  <c r="D39" i="25"/>
  <c r="L69" i="24"/>
  <c r="D108" i="25"/>
  <c r="L197" i="24"/>
  <c r="D92" i="25"/>
  <c r="L140" i="24"/>
  <c r="D167" i="25"/>
  <c r="L277" i="24"/>
  <c r="D120" i="25"/>
  <c r="L198" i="24"/>
  <c r="D8" i="25"/>
  <c r="E8" i="25" s="1"/>
  <c r="D9" i="25"/>
  <c r="C9" i="25" s="1"/>
  <c r="E9" i="25" s="1"/>
  <c r="L12" i="24"/>
  <c r="D62" i="25"/>
  <c r="L79" i="24"/>
  <c r="D48" i="25"/>
  <c r="L95" i="24"/>
  <c r="L175" i="24"/>
  <c r="D103" i="25"/>
  <c r="D61" i="25"/>
  <c r="L67" i="24"/>
  <c r="D153" i="25"/>
  <c r="L159" i="24"/>
  <c r="D88" i="25"/>
  <c r="L129" i="24"/>
  <c r="L267" i="24"/>
  <c r="D176" i="25"/>
  <c r="D72" i="25"/>
  <c r="L104" i="24"/>
  <c r="L120" i="24"/>
  <c r="D81" i="25"/>
  <c r="D58" i="25"/>
  <c r="L81" i="24"/>
  <c r="D98" i="25"/>
  <c r="L170" i="24"/>
  <c r="L74" i="24"/>
  <c r="D42" i="25"/>
  <c r="D63" i="25"/>
  <c r="L80" i="24"/>
  <c r="D41" i="25"/>
  <c r="L72" i="24"/>
  <c r="D44" i="25"/>
  <c r="L76" i="24"/>
  <c r="D70" i="25"/>
  <c r="L101" i="24"/>
  <c r="D91" i="25"/>
  <c r="L139" i="24"/>
  <c r="D147" i="25"/>
  <c r="L153" i="24"/>
  <c r="L268" i="24"/>
  <c r="D160" i="25"/>
  <c r="D106" i="25"/>
  <c r="L189" i="24"/>
  <c r="D172" i="25"/>
  <c r="L258" i="24"/>
  <c r="D34" i="25"/>
  <c r="L54" i="24"/>
  <c r="D77" i="25"/>
  <c r="L115" i="24"/>
  <c r="D168" i="25"/>
  <c r="L279" i="24"/>
  <c r="D101" i="25"/>
  <c r="L173" i="24"/>
  <c r="D66" i="25"/>
  <c r="L93" i="24"/>
  <c r="L107" i="24"/>
  <c r="D75" i="25"/>
  <c r="L126" i="24"/>
  <c r="D86" i="25"/>
  <c r="D56" i="25"/>
  <c r="L97" i="24"/>
  <c r="L259" i="24"/>
  <c r="D64" i="25"/>
  <c r="L53" i="24"/>
  <c r="D33" i="25"/>
  <c r="D87" i="25"/>
  <c r="L127" i="24"/>
  <c r="D104" i="25"/>
  <c r="L176" i="24"/>
  <c r="L241" i="24"/>
  <c r="D129" i="25"/>
  <c r="D102" i="25"/>
  <c r="L174" i="24"/>
  <c r="D57" i="25"/>
  <c r="L180" i="24"/>
  <c r="D51" i="25"/>
  <c r="L85" i="24"/>
  <c r="L84" i="24"/>
  <c r="D47" i="25"/>
  <c r="D79" i="25"/>
  <c r="L117" i="24"/>
  <c r="D110" i="25"/>
  <c r="L209" i="24"/>
  <c r="L223" i="24"/>
  <c r="D137" i="25"/>
  <c r="D40" i="25"/>
  <c r="L70" i="24"/>
  <c r="L149" i="24"/>
  <c r="D143" i="25"/>
  <c r="L202" i="24"/>
  <c r="D121" i="25"/>
  <c r="D74" i="25"/>
  <c r="L106" i="24"/>
  <c r="D105" i="25"/>
  <c r="L177" i="24"/>
  <c r="D83" i="25"/>
  <c r="L123" i="24"/>
  <c r="D45" i="25"/>
  <c r="L78" i="24"/>
  <c r="D107" i="25"/>
  <c r="L193" i="24"/>
  <c r="D136" i="25"/>
  <c r="L219" i="24"/>
  <c r="L137" i="24"/>
  <c r="D89" i="25"/>
  <c r="D163" i="25"/>
  <c r="L273" i="24"/>
  <c r="D55" i="25"/>
  <c r="L204" i="24"/>
  <c r="L232" i="24"/>
  <c r="D115" i="25"/>
  <c r="L295" i="24"/>
  <c r="D155" i="25"/>
  <c r="D164" i="25"/>
  <c r="L274" i="24"/>
  <c r="D109" i="25"/>
  <c r="L201" i="24"/>
  <c r="D175" i="25"/>
  <c r="L257" i="24"/>
  <c r="D32" i="25"/>
  <c r="L52" i="24"/>
  <c r="D100" i="25"/>
  <c r="L172" i="24"/>
  <c r="D161" i="25"/>
  <c r="L269" i="24"/>
  <c r="D125" i="25"/>
  <c r="L222" i="24"/>
  <c r="D127" i="25"/>
  <c r="L233" i="24"/>
  <c r="D119" i="25"/>
  <c r="L194" i="24"/>
  <c r="D80" i="25"/>
  <c r="L119" i="24"/>
  <c r="D54" i="25"/>
  <c r="L252" i="24"/>
  <c r="D84" i="25"/>
  <c r="L124" i="24"/>
  <c r="D126" i="25"/>
  <c r="L229" i="24"/>
  <c r="D142" i="25"/>
  <c r="L148" i="24"/>
  <c r="D96" i="25"/>
  <c r="L168" i="24"/>
  <c r="D116" i="25"/>
  <c r="L236" i="24"/>
  <c r="D132" i="25"/>
  <c r="L199" i="24"/>
  <c r="L256" i="24"/>
  <c r="D174" i="25"/>
  <c r="D38" i="25"/>
  <c r="L58" i="24"/>
  <c r="D52" i="25"/>
  <c r="L96" i="24"/>
  <c r="D73" i="25"/>
  <c r="L105" i="24"/>
  <c r="L217" i="24"/>
  <c r="D112" i="25"/>
  <c r="D138" i="25"/>
  <c r="L230" i="24"/>
  <c r="L154" i="24"/>
  <c r="D148" i="25"/>
  <c r="D131" i="25"/>
  <c r="L195" i="24"/>
  <c r="D134" i="25"/>
  <c r="L211" i="24"/>
  <c r="D113" i="25"/>
  <c r="L221" i="24"/>
  <c r="D111" i="25"/>
  <c r="L213" i="24"/>
  <c r="D139" i="25"/>
  <c r="L234" i="24"/>
  <c r="D124" i="25"/>
  <c r="L218" i="24"/>
  <c r="L240" i="24"/>
  <c r="D117" i="25"/>
  <c r="L255" i="24"/>
  <c r="D173" i="25"/>
  <c r="D122" i="25"/>
  <c r="L210" i="24"/>
  <c r="D128" i="25"/>
  <c r="L237" i="24"/>
  <c r="D50" i="25"/>
  <c r="L251" i="24"/>
  <c r="L125" i="24"/>
  <c r="D85" i="25"/>
  <c r="D37" i="25"/>
  <c r="L57" i="24"/>
  <c r="D133" i="25"/>
  <c r="L203" i="24"/>
  <c r="L276" i="24"/>
  <c r="D166" i="25"/>
  <c r="D97" i="25"/>
  <c r="L169" i="24"/>
  <c r="L254" i="24"/>
  <c r="D171" i="25"/>
  <c r="L157" i="24"/>
  <c r="D151" i="25"/>
  <c r="L253" i="24"/>
  <c r="D170" i="25"/>
  <c r="D159" i="25"/>
  <c r="L260" i="24"/>
  <c r="L275" i="24"/>
  <c r="D165" i="25"/>
  <c r="F161" i="25" l="1"/>
  <c r="E161" i="25"/>
  <c r="E83" i="25"/>
  <c r="F83" i="25"/>
  <c r="F110" i="25"/>
  <c r="E110" i="25"/>
  <c r="F104" i="25"/>
  <c r="E104" i="25"/>
  <c r="E66" i="25"/>
  <c r="F66" i="25"/>
  <c r="E153" i="25"/>
  <c r="F153" i="25"/>
  <c r="L110" i="24"/>
  <c r="L311" i="24" s="1"/>
  <c r="F36" i="25"/>
  <c r="E36" i="25"/>
  <c r="L262" i="24"/>
  <c r="L317" i="24" s="1"/>
  <c r="F128" i="25"/>
  <c r="E128" i="25"/>
  <c r="F113" i="25"/>
  <c r="E113" i="25"/>
  <c r="E52" i="25"/>
  <c r="F52" i="25"/>
  <c r="F126" i="25"/>
  <c r="E126" i="25"/>
  <c r="F167" i="25"/>
  <c r="E167" i="25"/>
  <c r="E65" i="25"/>
  <c r="F65" i="25"/>
  <c r="E177" i="25"/>
  <c r="F177" i="25"/>
  <c r="F158" i="25"/>
  <c r="E158" i="25"/>
  <c r="E149" i="25"/>
  <c r="F149" i="25"/>
  <c r="F46" i="25"/>
  <c r="E46" i="25"/>
  <c r="E131" i="25"/>
  <c r="F131" i="25"/>
  <c r="F54" i="25"/>
  <c r="E54" i="25"/>
  <c r="F32" i="25"/>
  <c r="E32" i="25"/>
  <c r="E163" i="25"/>
  <c r="F163" i="25"/>
  <c r="F74" i="25"/>
  <c r="E74" i="25"/>
  <c r="F168" i="25"/>
  <c r="E168" i="25"/>
  <c r="F91" i="25"/>
  <c r="E91" i="25"/>
  <c r="F58" i="25"/>
  <c r="E58" i="25"/>
  <c r="F99" i="25"/>
  <c r="E99" i="25"/>
  <c r="E47" i="25"/>
  <c r="F47" i="25"/>
  <c r="F103" i="25"/>
  <c r="E103" i="25"/>
  <c r="E92" i="25"/>
  <c r="F92" i="25"/>
  <c r="E93" i="25"/>
  <c r="F93" i="25"/>
  <c r="E148" i="25"/>
  <c r="F148" i="25"/>
  <c r="F89" i="25"/>
  <c r="E89" i="25"/>
  <c r="E121" i="25"/>
  <c r="F121" i="25"/>
  <c r="F64" i="25"/>
  <c r="E64" i="25"/>
  <c r="L132" i="24"/>
  <c r="L312" i="24" s="1"/>
  <c r="F81" i="25"/>
  <c r="E81" i="25"/>
  <c r="E108" i="25"/>
  <c r="F108" i="25"/>
  <c r="E150" i="25"/>
  <c r="F150" i="25"/>
  <c r="F49" i="25"/>
  <c r="E49" i="25"/>
  <c r="F154" i="25"/>
  <c r="E154" i="25"/>
  <c r="F82" i="25"/>
  <c r="E82" i="25"/>
  <c r="F77" i="25"/>
  <c r="E77" i="25"/>
  <c r="F162" i="25"/>
  <c r="E162" i="25"/>
  <c r="F132" i="25"/>
  <c r="E132" i="25"/>
  <c r="E80" i="25"/>
  <c r="F80" i="25"/>
  <c r="L143" i="24"/>
  <c r="L313" i="24" s="1"/>
  <c r="E51" i="25"/>
  <c r="F51" i="25"/>
  <c r="F97" i="25"/>
  <c r="E97" i="25"/>
  <c r="E122" i="25"/>
  <c r="F122" i="25"/>
  <c r="F134" i="25"/>
  <c r="E134" i="25"/>
  <c r="E38" i="25"/>
  <c r="F38" i="25"/>
  <c r="F84" i="25"/>
  <c r="E84" i="25"/>
  <c r="F100" i="25"/>
  <c r="E100" i="25"/>
  <c r="F105" i="25"/>
  <c r="E105" i="25"/>
  <c r="E79" i="25"/>
  <c r="F79" i="25"/>
  <c r="F87" i="25"/>
  <c r="E87" i="25"/>
  <c r="F101" i="25"/>
  <c r="E101" i="25"/>
  <c r="E61" i="25"/>
  <c r="F61" i="25"/>
  <c r="F166" i="25"/>
  <c r="E166" i="25"/>
  <c r="L60" i="24"/>
  <c r="L309" i="24" s="1"/>
  <c r="E165" i="25"/>
  <c r="F165" i="25"/>
  <c r="F117" i="25"/>
  <c r="E117" i="25"/>
  <c r="F116" i="25"/>
  <c r="E116" i="25"/>
  <c r="F173" i="25"/>
  <c r="E173" i="25"/>
  <c r="F71" i="25"/>
  <c r="E71" i="25"/>
  <c r="F133" i="25"/>
  <c r="E133" i="25"/>
  <c r="F175" i="25"/>
  <c r="E175" i="25"/>
  <c r="F70" i="25"/>
  <c r="E70" i="25"/>
  <c r="F48" i="25"/>
  <c r="E48" i="25"/>
  <c r="F143" i="25"/>
  <c r="E143" i="25"/>
  <c r="F39" i="25"/>
  <c r="E39" i="25"/>
  <c r="F68" i="25"/>
  <c r="E68" i="25"/>
  <c r="F90" i="25"/>
  <c r="E90" i="25"/>
  <c r="F35" i="25"/>
  <c r="E35" i="25"/>
  <c r="F152" i="25"/>
  <c r="E152" i="25"/>
  <c r="E159" i="25"/>
  <c r="F159" i="25"/>
  <c r="E37" i="25"/>
  <c r="F37" i="25"/>
  <c r="F124" i="25"/>
  <c r="E124" i="25"/>
  <c r="F138" i="25"/>
  <c r="E138" i="25"/>
  <c r="F119" i="25"/>
  <c r="E119" i="25"/>
  <c r="E109" i="25"/>
  <c r="F109" i="25"/>
  <c r="E136" i="25"/>
  <c r="F136" i="25"/>
  <c r="F57" i="25"/>
  <c r="E57" i="25"/>
  <c r="F56" i="25"/>
  <c r="E56" i="25"/>
  <c r="F34" i="25"/>
  <c r="E34" i="25"/>
  <c r="F44" i="25"/>
  <c r="E44" i="25"/>
  <c r="F72" i="25"/>
  <c r="E72" i="25"/>
  <c r="F62" i="25"/>
  <c r="E62" i="25"/>
  <c r="F170" i="25"/>
  <c r="E170" i="25"/>
  <c r="F85" i="25"/>
  <c r="E85" i="25"/>
  <c r="F112" i="25"/>
  <c r="E112" i="25"/>
  <c r="F86" i="25"/>
  <c r="E86" i="25"/>
  <c r="F176" i="25"/>
  <c r="E176" i="25"/>
  <c r="L47" i="24"/>
  <c r="L308" i="24" s="1"/>
  <c r="E135" i="25"/>
  <c r="F135" i="25"/>
  <c r="F76" i="25"/>
  <c r="E76" i="25"/>
  <c r="F130" i="25"/>
  <c r="E130" i="25"/>
  <c r="E69" i="25"/>
  <c r="F69" i="25"/>
  <c r="F43" i="25"/>
  <c r="E43" i="25"/>
  <c r="F60" i="25"/>
  <c r="E60" i="25"/>
  <c r="F98" i="25"/>
  <c r="E98" i="25"/>
  <c r="F33" i="25"/>
  <c r="E33" i="25"/>
  <c r="F140" i="25"/>
  <c r="E140" i="25"/>
  <c r="F169" i="25"/>
  <c r="E169" i="25"/>
  <c r="F147" i="25"/>
  <c r="E147" i="25"/>
  <c r="F67" i="25"/>
  <c r="E67" i="25"/>
  <c r="F146" i="25"/>
  <c r="E146" i="25"/>
  <c r="E78" i="25"/>
  <c r="F78" i="25"/>
  <c r="F118" i="25"/>
  <c r="E118" i="25"/>
  <c r="F53" i="25"/>
  <c r="E53" i="25"/>
  <c r="F174" i="25"/>
  <c r="E174" i="25"/>
  <c r="F139" i="25"/>
  <c r="E139" i="25"/>
  <c r="F96" i="25"/>
  <c r="E96" i="25"/>
  <c r="E164" i="25"/>
  <c r="F164" i="25"/>
  <c r="F40" i="25"/>
  <c r="E40" i="25"/>
  <c r="L303" i="24"/>
  <c r="L318" i="24" s="1"/>
  <c r="F155" i="25"/>
  <c r="E155" i="25"/>
  <c r="E137" i="25"/>
  <c r="F137" i="25"/>
  <c r="F129" i="25"/>
  <c r="E129" i="25"/>
  <c r="F75" i="25"/>
  <c r="E75" i="25"/>
  <c r="L244" i="24"/>
  <c r="L316" i="24" s="1"/>
  <c r="E50" i="25"/>
  <c r="F50" i="25"/>
  <c r="E111" i="25"/>
  <c r="F111" i="25"/>
  <c r="F73" i="25"/>
  <c r="E73" i="25"/>
  <c r="F142" i="25"/>
  <c r="E142" i="25"/>
  <c r="F125" i="25"/>
  <c r="E125" i="25"/>
  <c r="F45" i="25"/>
  <c r="E45" i="25"/>
  <c r="F106" i="25"/>
  <c r="E106" i="25"/>
  <c r="F63" i="25"/>
  <c r="E63" i="25"/>
  <c r="F88" i="25"/>
  <c r="E88" i="25"/>
  <c r="F114" i="25"/>
  <c r="E114" i="25"/>
  <c r="L87" i="24"/>
  <c r="L310" i="24" s="1"/>
  <c r="F95" i="25"/>
  <c r="E95" i="25"/>
  <c r="F145" i="25"/>
  <c r="E145" i="25"/>
  <c r="E55" i="25"/>
  <c r="F55" i="25"/>
  <c r="F141" i="25"/>
  <c r="E141" i="25"/>
  <c r="F127" i="25"/>
  <c r="E127" i="25"/>
  <c r="E107" i="25"/>
  <c r="F107" i="25"/>
  <c r="F102" i="25"/>
  <c r="E102" i="25"/>
  <c r="F172" i="25"/>
  <c r="E172" i="25"/>
  <c r="F41" i="25"/>
  <c r="E41" i="25"/>
  <c r="F151" i="25"/>
  <c r="E151" i="25"/>
  <c r="L162" i="24"/>
  <c r="L314" i="24" s="1"/>
  <c r="F171" i="25"/>
  <c r="E171" i="25"/>
  <c r="F115" i="25"/>
  <c r="E115" i="25"/>
  <c r="F160" i="25"/>
  <c r="E160" i="25"/>
  <c r="F42" i="25"/>
  <c r="E42" i="25"/>
  <c r="F120" i="25"/>
  <c r="E120" i="25"/>
  <c r="F144" i="25"/>
  <c r="E144" i="25"/>
  <c r="F59" i="25"/>
  <c r="E59" i="25"/>
  <c r="L183" i="24"/>
  <c r="L315" i="24" s="1"/>
  <c r="F123" i="25"/>
  <c r="E123" i="25"/>
  <c r="C12" i="25" l="1"/>
  <c r="L319" i="24"/>
  <c r="D12" i="25" s="1"/>
  <c r="E12" i="25" l="1"/>
</calcChain>
</file>

<file path=xl/sharedStrings.xml><?xml version="1.0" encoding="utf-8"?>
<sst xmlns="http://schemas.openxmlformats.org/spreadsheetml/2006/main" count="10245" uniqueCount="2528">
  <si>
    <t>MASTER ESTIMATOR — DFR FEEDER ROAD BILL OF QUANTITIES</t>
  </si>
  <si>
    <t>Department of Feeder Roads.  Everything is done inside this workbook: no other file, no add-in, no internet.</t>
  </si>
  <si>
    <t>HOW TO PRICE A ROAD</t>
  </si>
  <si>
    <t>1.  Agree E_Rules</t>
  </si>
  <si>
    <t>What the surveyor SAW is recorded on Form C; what is DONE about it is written once here, on five rows. Settle them with the design engineer before the survey starts.</t>
  </si>
  <si>
    <t>2.  Fill F_Road_Data</t>
  </si>
  <si>
    <t>The project constants. Rows marked ! are template figures nobody has confirmed for your road. Overhaul and haulage distances alone routinely move a bill by a quarter.</t>
  </si>
  <si>
    <t>3.  Record the survey</t>
  </si>
  <si>
    <t>Forms A to D, one row per stretch of road that is the same all the way along — not one row per 50 m. An 8 km road usually takes about 30 rows.</t>
  </si>
  <si>
    <t>4.  Type the identity</t>
  </si>
  <si>
    <t>Road name, code, region and district on 00_Project. The road LENGTH is measured for you from the furthest chainage on the forms.</t>
  </si>
  <si>
    <t>5.  Read 90_Checks</t>
  </si>
  <si>
    <t>Every test must read OK before the bill is issued. Then 10_BOQ is the bill and 21/22_Takeoff are the dimension papers for manual checking.</t>
  </si>
  <si>
    <t>THE THREE RULES THAT MAKE THE FORMS WORK</t>
  </si>
  <si>
    <t>Chainages are METRES</t>
  </si>
  <si>
    <t>8 km is 8000, not 8. A chainage written as 8 is eight metres and the road will price at almost nothing.</t>
  </si>
  <si>
    <t>Later rows override earlier</t>
  </si>
  <si>
    <t>Lay down the general case for the whole road on line 1, then refine short stretches below it.</t>
  </si>
  <si>
    <t>Blank vs dash</t>
  </si>
  <si>
    <t>A blank cell means "unchanged". A dash  -  means "explicitly none here", and is how you switch something back off that an earlier row switched on.</t>
  </si>
  <si>
    <t>WHAT YOU MAY AND MAY NOT TYPE INTO</t>
  </si>
  <si>
    <t>Type here</t>
  </si>
  <si>
    <t>README identity block aside: 00_Project identity only, E_Rules, F_Road_Data, and Forms A, B, C, D. Every input cell is shaded yellow.</t>
  </si>
  <si>
    <t>Never type here</t>
  </si>
  <si>
    <t>01_Stations and 02_Culverts are now FORMULAS that resolve the forms. Typing into them destroys the link and the next change to a form will not reach the bill.</t>
  </si>
  <si>
    <t>Never type a rate in the bill</t>
  </si>
  <si>
    <t>08_Rates is the only place a price is typed. A rate typed into 10_BOQ is overwritten the moment anything upstream changes.</t>
  </si>
  <si>
    <t>WHAT IS NOT SETTLED — read before issuing</t>
  </si>
  <si>
    <t>Rates</t>
  </si>
  <si>
    <t>08_Rates carries a date and a source on every line. Check they are current before the bill leaves the building.</t>
  </si>
  <si>
    <t>Unpriced measured items</t>
  </si>
  <si>
    <t>Road widening, raising, gully filling, blading, scarifying, kerb and retaining wall are measured correctly but no bill line collects them. The coverage tests on 90_Checks count them.</t>
  </si>
  <si>
    <t>U-culvert rates</t>
  </si>
  <si>
    <t>All U-culvert rate lines are blank. Any job with a U-culvert shows measured quantities pricing at zero.</t>
  </si>
  <si>
    <t>Box culvert flotation</t>
  </si>
  <si>
    <t>Every 3x3, 4x3 and 4x4 box, and 2/3x2.4, needs hold-down against buoyancy, and every box needs deepened scour protection. Neither is in the bill.</t>
  </si>
  <si>
    <t>Not yet parallel-run</t>
  </si>
  <si>
    <t>No completed project has been priced through both this workbook and the legacy set. That is the outstanding validation.</t>
  </si>
  <si>
    <t>PROJECT CONSTANTS</t>
  </si>
  <si>
    <t>Every global input lives here, but the VALUES now come from the input forms: the constants from F_Road_Data and the road length from the survey extent on Forms A-D. Edit those sheets, not this one. Named cells are used by name in every formula in the workbook. A red ! on F_Road_Data marks a template figure not yet confirmed for this road.</t>
  </si>
  <si>
    <t>Name</t>
  </si>
  <si>
    <t>Parameter</t>
  </si>
  <si>
    <t>Value</t>
  </si>
  <si>
    <t>Unit</t>
  </si>
  <si>
    <t>Note</t>
  </si>
  <si>
    <t>PROJECT IDENTITY</t>
  </si>
  <si>
    <t>P_RoadName</t>
  </si>
  <si>
    <t>Road name</t>
  </si>
  <si>
    <t>P_RoadCode</t>
  </si>
  <si>
    <t>Road code</t>
  </si>
  <si>
    <t>P_Region</t>
  </si>
  <si>
    <t>Region</t>
  </si>
  <si>
    <t>P_District</t>
  </si>
  <si>
    <t>District</t>
  </si>
  <si>
    <t>P_Programme</t>
  </si>
  <si>
    <t>Programme</t>
  </si>
  <si>
    <t>ROAD EXTENT</t>
  </si>
  <si>
    <t>P_Length_km</t>
  </si>
  <si>
    <t>Road length</t>
  </si>
  <si>
    <t>km</t>
  </si>
  <si>
    <t>Measured from the furthest chainage on Forms A-D</t>
  </si>
  <si>
    <t>P_Interval</t>
  </si>
  <si>
    <t>Station interval</t>
  </si>
  <si>
    <t>m</t>
  </si>
  <si>
    <t>Fixed; matches the legacy line-diagram grid</t>
  </si>
  <si>
    <t>P_NStations</t>
  </si>
  <si>
    <t>Number of stations</t>
  </si>
  <si>
    <t>nr</t>
  </si>
  <si>
    <t>Derived</t>
  </si>
  <si>
    <t>CROSS-SECTION</t>
  </si>
  <si>
    <t>P_CW</t>
  </si>
  <si>
    <t>Carriageway width</t>
  </si>
  <si>
    <t>P_SW</t>
  </si>
  <si>
    <t>Shoulder width (one side)</t>
  </si>
  <si>
    <t>P_FW</t>
  </si>
  <si>
    <t>Formation width</t>
  </si>
  <si>
    <t>P_ExtCW</t>
  </si>
  <si>
    <t>Existing carriageway width</t>
  </si>
  <si>
    <t>P_ClearW</t>
  </si>
  <si>
    <t>Clearing width</t>
  </si>
  <si>
    <t>Derived: formation + 2 m each side</t>
  </si>
  <si>
    <t>P_PrimeW</t>
  </si>
  <si>
    <t>Width for primer seal</t>
  </si>
  <si>
    <t>P_SealW</t>
  </si>
  <si>
    <t>Width of sealing</t>
  </si>
  <si>
    <t>PAVEMENT</t>
  </si>
  <si>
    <t>P_SubbaseT</t>
  </si>
  <si>
    <t>Sub-base thickness</t>
  </si>
  <si>
    <t>P_BaseT</t>
  </si>
  <si>
    <t>Base thickness</t>
  </si>
  <si>
    <t>P_OH_Sub</t>
  </si>
  <si>
    <t>Overhaul distance, sub-base</t>
  </si>
  <si>
    <t>P_OH_Base</t>
  </si>
  <si>
    <t>Overhaul distance, base</t>
  </si>
  <si>
    <t>SURFACING DESIGN RATES</t>
  </si>
  <si>
    <t>P_PrimeRate</t>
  </si>
  <si>
    <t>Primer seal binder rate</t>
  </si>
  <si>
    <t>l/m²</t>
  </si>
  <si>
    <t>P_Seal1Rate</t>
  </si>
  <si>
    <t>First seal binder rate</t>
  </si>
  <si>
    <t>P_Seal2Rate</t>
  </si>
  <si>
    <t>Second seal binder rate</t>
  </si>
  <si>
    <t>P_BinderPct</t>
  </si>
  <si>
    <t>Binder fraction of primer</t>
  </si>
  <si>
    <t>-</t>
  </si>
  <si>
    <t>Balance is cutter oil</t>
  </si>
  <si>
    <t>P_CutterPct</t>
  </si>
  <si>
    <t>Cutter-oil fraction of primer</t>
  </si>
  <si>
    <t>P_Chip10</t>
  </si>
  <si>
    <t>10 mm chipping coverage</t>
  </si>
  <si>
    <t>m²/m³</t>
  </si>
  <si>
    <t>P_Chip14</t>
  </si>
  <si>
    <t>14 mm chipping coverage</t>
  </si>
  <si>
    <t>HAULAGE DISTANCES</t>
  </si>
  <si>
    <t>P_HaulSand</t>
  </si>
  <si>
    <t>Sand (fine aggregate)</t>
  </si>
  <si>
    <t>Legacy Proposed_Culv!J2</t>
  </si>
  <si>
    <t>P_HaulCoarse</t>
  </si>
  <si>
    <t>Coarse aggregate</t>
  </si>
  <si>
    <t>Legacy Proposed_Culv!J1</t>
  </si>
  <si>
    <t>P_HaulChip</t>
  </si>
  <si>
    <t>Chippings</t>
  </si>
  <si>
    <t>P_HaulFill</t>
  </si>
  <si>
    <t>Fill material</t>
  </si>
  <si>
    <t>AGGREGATE YIELD FACTORS</t>
  </si>
  <si>
    <t>P_FineLean</t>
  </si>
  <si>
    <t>Fine agg. per m³ lean concrete</t>
  </si>
  <si>
    <t>m³/m³</t>
  </si>
  <si>
    <t>C10/40</t>
  </si>
  <si>
    <t>P_CoarseLean</t>
  </si>
  <si>
    <t>Coarse agg. per m³ lean concrete</t>
  </si>
  <si>
    <t>P_FineStr</t>
  </si>
  <si>
    <t>Fine agg. per m³ structural conc.</t>
  </si>
  <si>
    <t>C20/20 - C30/20</t>
  </si>
  <si>
    <t>P_CoarseStr</t>
  </si>
  <si>
    <t>Coarse agg. per m³ struct. conc.</t>
  </si>
  <si>
    <t>ROAD FURNITURE RATES</t>
  </si>
  <si>
    <t>P_SignsPerKm</t>
  </si>
  <si>
    <t>Traffic signs per km (each type)</t>
  </si>
  <si>
    <t>nr/km</t>
  </si>
  <si>
    <t>Legacy applied per metre - see 90_Checks</t>
  </si>
  <si>
    <t>P_StopPerKm</t>
  </si>
  <si>
    <t>STOP line per km</t>
  </si>
  <si>
    <t>m/km</t>
  </si>
  <si>
    <t>P_RampsPerKm</t>
  </si>
  <si>
    <t>Speed ramps per km</t>
  </si>
  <si>
    <t>P_LaneLineF</t>
  </si>
  <si>
    <t>Lane separation line factor</t>
  </si>
  <si>
    <t>m/m</t>
  </si>
  <si>
    <t>of sealed length</t>
  </si>
  <si>
    <t>P_CentreLnF</t>
  </si>
  <si>
    <t>Centre line factor</t>
  </si>
  <si>
    <t>P_EdgeLnF</t>
  </si>
  <si>
    <t>Edge line factor</t>
  </si>
  <si>
    <t>both edges</t>
  </si>
  <si>
    <t>P_PedXF</t>
  </si>
  <si>
    <t>Pedestrian crossing factor</t>
  </si>
  <si>
    <t>HOW THIS WORKBOOK IS PUT TOGETHER</t>
  </si>
  <si>
    <t>Yellow cells</t>
  </si>
  <si>
    <t>Everything you edit. Nothing else should be typed into.</t>
  </si>
  <si>
    <t>01_Stations</t>
  </si>
  <si>
    <t>The line diagram as data — one row per 50 m. Enter only where an activity occurs.</t>
  </si>
  <si>
    <t>02_Culverts</t>
  </si>
  <si>
    <t>One row per culvert. Family + Cells + Size is the key the engines match on.</t>
  </si>
  <si>
    <t>03 / 04 / 05</t>
  </si>
  <si>
    <t>The three culvert engines. One row per culvert type; the geometry sits beside the quantities.</t>
  </si>
  <si>
    <t>06_Road_Engine</t>
  </si>
  <si>
    <t>Part A aggregates the stations; Part B turns aggregates into BOQ quantities.</t>
  </si>
  <si>
    <t>07_Items / 08_Rates</t>
  </si>
  <si>
    <t>Standing libraries. Descriptions and rates live here, never in the bill.</t>
  </si>
  <si>
    <t>10_BOQ</t>
  </si>
  <si>
    <t>Reads everything above. The only cell you type into is the Misc. column.</t>
  </si>
  <si>
    <t>90_Checks</t>
  </si>
  <si>
    <t>Must read OK before the bill is issued. Also holds the parallel run against the legacy files.</t>
  </si>
  <si>
    <t>Adding a road length</t>
  </si>
  <si>
    <t>Change P_Length_km. Capacity is 50 km of 50 m stations — no new sheets, ever.</t>
  </si>
  <si>
    <t>Adding a culvert size</t>
  </si>
  <si>
    <t>One new row in the relevant engine. Not a new sheet. The box engine holds 19 types: 2x2 (1-4), 3x2 (1-3), 3x3 (1-4), 4x3 (1-3), 4x4 (1-4) and 2/3x2.4 — all with AASHTO-designed bar schedules on 04b_Box_Bars.</t>
  </si>
  <si>
    <t>FORM A  —  CORRIDOR, CLEARING AND EARTHWORKS</t>
  </si>
  <si>
    <t>One row per stretch of road that is the same all the way along. From/To in METRES (8 km = 8000). A later row overrides an earlier one, so lay down the general case first and refine it afterwards. Blank = unchanged;  a dash  -  = explicitly none here.</t>
  </si>
  <si>
    <t>From</t>
  </si>
  <si>
    <t>To</t>
  </si>
  <si>
    <t>Township Y/N</t>
  </si>
  <si>
    <t>Vegetation</t>
  </si>
  <si>
    <t>Raise road: fill (cm)</t>
  </si>
  <si>
    <t>Cut to widen (cm)</t>
  </si>
  <si>
    <t>Cut width L+R (m)</t>
  </si>
  <si>
    <t>Fill to widen (cm)</t>
  </si>
  <si>
    <t>Fill width L+R (m)</t>
  </si>
  <si>
    <t>Notes</t>
  </si>
  <si>
    <t>FORM B  —  DRAINAGE</t>
  </si>
  <si>
    <t>One row per stretch. Entering a U-drain size switches that drain on. Scour checks: 1 = one side, 2 = both. Type  -  to cancel something an earlier row switched on.</t>
  </si>
  <si>
    <t>Ditch L</t>
  </si>
  <si>
    <t>Ditch R</t>
  </si>
  <si>
    <t>U-drain L (cm)</t>
  </si>
  <si>
    <t>U-drain R (cm)</t>
  </si>
  <si>
    <t>Trap. drain L</t>
  </si>
  <si>
    <t>Trap. drain R</t>
  </si>
  <si>
    <t>Kerb L</t>
  </si>
  <si>
    <t>Kerb R</t>
  </si>
  <si>
    <t>Scour checks</t>
  </si>
  <si>
    <t>Scour spacing (m)</t>
  </si>
  <si>
    <t>Ret. wall L</t>
  </si>
  <si>
    <t>Ret. wall R</t>
  </si>
  <si>
    <t>FORM C  —  PAVEMENT AND SURFACING</t>
  </si>
  <si>
    <t>Record the SURFACE CONDITION you observed and stop there. Everything to its right is filled in from E_Rules. Type in the override columns only where this stretch genuinely departs from the rule.</t>
  </si>
  <si>
    <t>Surface condition</t>
  </si>
  <si>
    <t>Treatment (override)</t>
  </si>
  <si>
    <t>Sub-base cm (ovr)</t>
  </si>
  <si>
    <t>Base cm (ovr)</t>
  </si>
  <si>
    <t>Prime (ovr)</t>
  </si>
  <si>
    <t>Seal 1 (ovr)</t>
  </si>
  <si>
    <t>Seal 2 (ovr)</t>
  </si>
  <si>
    <t>FORM D  —  POINT ITEMS</t>
  </si>
  <si>
    <t>Things that happen at a spot rather than over a stretch. Chainage in METRES. A PR_CULVERT row also builds the culvert schedule on 02_Culverts. Size: pipes take the diameter in mm; U- and box culverts take span x rise (900X1200, 3x3).</t>
  </si>
  <si>
    <t>Chainage</t>
  </si>
  <si>
    <t>Type</t>
  </si>
  <si>
    <t>Family</t>
  </si>
  <si>
    <t>Cells</t>
  </si>
  <si>
    <t>Size</t>
  </si>
  <si>
    <t>Length (m)</t>
  </si>
  <si>
    <t>Orientation</t>
  </si>
  <si>
    <t>Quantity</t>
  </si>
  <si>
    <t>FORM E  —  TREATMENT RULES  (the engineering judgement, written once)</t>
  </si>
  <si>
    <t>Every stretch on Form C follows the row matching the surface condition recorded for it. Agree these five rows with the design engineer before the survey starts; change one number here and the whole road re-prices. A blank means the item is not done for that condition class.</t>
  </si>
  <si>
    <t>Condition</t>
  </si>
  <si>
    <t>What it looks like</t>
  </si>
  <si>
    <t>Treatment</t>
  </si>
  <si>
    <t>Sub-base (cm)</t>
  </si>
  <si>
    <t>Base (cm)</t>
  </si>
  <si>
    <t>Primer seal</t>
  </si>
  <si>
    <t>First seal</t>
  </si>
  <si>
    <t>Second seal</t>
  </si>
  <si>
    <t>G</t>
  </si>
  <si>
    <t>Good — shape and camber sound, light maintenance only</t>
  </si>
  <si>
    <t>BLADE</t>
  </si>
  <si>
    <t>F</t>
  </si>
  <si>
    <t>Fair — camber lost in places, some potholing</t>
  </si>
  <si>
    <t>RESHAPE</t>
  </si>
  <si>
    <t>Y</t>
  </si>
  <si>
    <t>P</t>
  </si>
  <si>
    <t>Poor — badly deformed, potholed, camber gone</t>
  </si>
  <si>
    <t>VP</t>
  </si>
  <si>
    <t>Very poor — impassable in rain, gravel lost</t>
  </si>
  <si>
    <t>SCARIFY</t>
  </si>
  <si>
    <t>NR</t>
  </si>
  <si>
    <t>No road — new alignment or total reconstruction</t>
  </si>
  <si>
    <t>FORM F  —  ROAD DATA  (the project constants the estimator prices with)</t>
  </si>
  <si>
    <t>These are the values 00_Project uses — it now READS this sheet, so this is where you change them. A row marked ! is a template figure that has not been confirmed for any particular road: settle those with the design engineer before the bill is issued, because haulage and overhaul alone routinely move a bill by a quarter. Road length, formation width, clearing width and the station count are measured or computed by the workbook and are not set here.</t>
  </si>
  <si>
    <t>Confirm?</t>
  </si>
  <si>
    <t>Formation width = CW + 2×SW, computed</t>
  </si>
  <si>
    <t>Design thickness; E_Rules sets it per stretch in cm</t>
  </si>
  <si>
    <t>!</t>
  </si>
  <si>
    <t>Borrow pit to site, less the 1 km free haul</t>
  </si>
  <si>
    <t>Quarry to site, less the 1 km free haul</t>
  </si>
  <si>
    <t>Binder + cutter must come to 1.00</t>
  </si>
  <si>
    <t>C20/20 – C30/20</t>
  </si>
  <si>
    <t>ROAD FURNITURE</t>
  </si>
  <si>
    <t>Three types are billed, so this is ×3</t>
  </si>
  <si>
    <t>STATION SCHEDULE  —  the line diagram, stored as data</t>
  </si>
  <si>
    <t>One row per 50 m station. Columns D onward are now FORMULAS that resolve the condition survey on Forms A-E — do not type into them. Record the road on those forms instead; this sheet is the result.</t>
  </si>
  <si>
    <t>Station no.</t>
  </si>
  <si>
    <t>Chainage from</t>
  </si>
  <si>
    <t>Township</t>
  </si>
  <si>
    <t>Raise road in low-lying area</t>
  </si>
  <si>
    <t>Height of fill</t>
  </si>
  <si>
    <t>Deep gully filling</t>
  </si>
  <si>
    <t>Cut to widen</t>
  </si>
  <si>
    <t>Height of cut</t>
  </si>
  <si>
    <t>Cut width (L+R)</t>
  </si>
  <si>
    <t>Fill to widen</t>
  </si>
  <si>
    <t>Height of fill to widen</t>
  </si>
  <si>
    <t>Fill width (L+R)</t>
  </si>
  <si>
    <t>Stone pitching</t>
  </si>
  <si>
    <t>V-ditch left</t>
  </si>
  <si>
    <t>V-ditch right</t>
  </si>
  <si>
    <t>Culvert / drift</t>
  </si>
  <si>
    <t>Bridge</t>
  </si>
  <si>
    <t>Conc. U-drain left</t>
  </si>
  <si>
    <t>U-drain size left</t>
  </si>
  <si>
    <t>Conc. U-drain right</t>
  </si>
  <si>
    <t>U-drain size right</t>
  </si>
  <si>
    <t>Trapezoidal drain left</t>
  </si>
  <si>
    <t>Trapezoidal drain right</t>
  </si>
  <si>
    <t>Kerb left</t>
  </si>
  <si>
    <t>Kerb right</t>
  </si>
  <si>
    <t>Scour check spacing</t>
  </si>
  <si>
    <t>Turnout left</t>
  </si>
  <si>
    <t>Turnout right</t>
  </si>
  <si>
    <t>Retaining wall left</t>
  </si>
  <si>
    <t>Retaining wall right</t>
  </si>
  <si>
    <t>Blading</t>
  </si>
  <si>
    <t>Reshaping</t>
  </si>
  <si>
    <t>Scarifying</t>
  </si>
  <si>
    <t>Gravel sub-base</t>
  </si>
  <si>
    <t>Gravel base</t>
  </si>
  <si>
    <t>working columns — matched Form C row, then the treatment rule resolved for that stretch</t>
  </si>
  <si>
    <t>1</t>
  </si>
  <si>
    <t>code</t>
  </si>
  <si>
    <t>cm</t>
  </si>
  <si>
    <t>m³</t>
  </si>
  <si>
    <t>m²</t>
  </si>
  <si>
    <t>1/2</t>
  </si>
  <si>
    <t>C row</t>
  </si>
  <si>
    <t>cond</t>
  </si>
  <si>
    <t>rule</t>
  </si>
  <si>
    <t>treat</t>
  </si>
  <si>
    <t>sub</t>
  </si>
  <si>
    <t>base</t>
  </si>
  <si>
    <t>prime</t>
  </si>
  <si>
    <t>seal1</t>
  </si>
  <si>
    <t>seal2</t>
  </si>
  <si>
    <t>0+000</t>
  </si>
  <si>
    <t>0+050</t>
  </si>
  <si>
    <t>0+100</t>
  </si>
  <si>
    <t>0+150</t>
  </si>
  <si>
    <t>0+200</t>
  </si>
  <si>
    <t>0+250</t>
  </si>
  <si>
    <t>0+300</t>
  </si>
  <si>
    <t>0+350</t>
  </si>
  <si>
    <t>0+400</t>
  </si>
  <si>
    <t>0+450</t>
  </si>
  <si>
    <t>0+500</t>
  </si>
  <si>
    <t>0+550</t>
  </si>
  <si>
    <t>0+600</t>
  </si>
  <si>
    <t>0+650</t>
  </si>
  <si>
    <t>0+700</t>
  </si>
  <si>
    <t>0+750</t>
  </si>
  <si>
    <t>0+800</t>
  </si>
  <si>
    <t>0+850</t>
  </si>
  <si>
    <t>0+900</t>
  </si>
  <si>
    <t>0+950</t>
  </si>
  <si>
    <t>1+000</t>
  </si>
  <si>
    <t>1+050</t>
  </si>
  <si>
    <t>1+100</t>
  </si>
  <si>
    <t>1+150</t>
  </si>
  <si>
    <t>1+200</t>
  </si>
  <si>
    <t>1+250</t>
  </si>
  <si>
    <t>1+300</t>
  </si>
  <si>
    <t>1+350</t>
  </si>
  <si>
    <t>1+400</t>
  </si>
  <si>
    <t>1+450</t>
  </si>
  <si>
    <t>1+500</t>
  </si>
  <si>
    <t>1+550</t>
  </si>
  <si>
    <t>1+600</t>
  </si>
  <si>
    <t>1+650</t>
  </si>
  <si>
    <t>1+700</t>
  </si>
  <si>
    <t>1+750</t>
  </si>
  <si>
    <t>1+800</t>
  </si>
  <si>
    <t>1+850</t>
  </si>
  <si>
    <t>1+900</t>
  </si>
  <si>
    <t>1+950</t>
  </si>
  <si>
    <t>2+000</t>
  </si>
  <si>
    <t>2+050</t>
  </si>
  <si>
    <t>2+100</t>
  </si>
  <si>
    <t>2+150</t>
  </si>
  <si>
    <t>2+200</t>
  </si>
  <si>
    <t>2+250</t>
  </si>
  <si>
    <t>2+300</t>
  </si>
  <si>
    <t>2+350</t>
  </si>
  <si>
    <t>2+400</t>
  </si>
  <si>
    <t>2+450</t>
  </si>
  <si>
    <t>2+500</t>
  </si>
  <si>
    <t>2+550</t>
  </si>
  <si>
    <t>2+600</t>
  </si>
  <si>
    <t>2+650</t>
  </si>
  <si>
    <t>2+700</t>
  </si>
  <si>
    <t>2+750</t>
  </si>
  <si>
    <t>2+800</t>
  </si>
  <si>
    <t>2+850</t>
  </si>
  <si>
    <t>2+900</t>
  </si>
  <si>
    <t>2+950</t>
  </si>
  <si>
    <t>3+000</t>
  </si>
  <si>
    <t>3+050</t>
  </si>
  <si>
    <t>3+100</t>
  </si>
  <si>
    <t>3+150</t>
  </si>
  <si>
    <t>3+200</t>
  </si>
  <si>
    <t>3+250</t>
  </si>
  <si>
    <t>3+300</t>
  </si>
  <si>
    <t>3+350</t>
  </si>
  <si>
    <t>3+400</t>
  </si>
  <si>
    <t>3+450</t>
  </si>
  <si>
    <t>3+500</t>
  </si>
  <si>
    <t>3+550</t>
  </si>
  <si>
    <t>3+600</t>
  </si>
  <si>
    <t>3+650</t>
  </si>
  <si>
    <t>3+700</t>
  </si>
  <si>
    <t>3+750</t>
  </si>
  <si>
    <t>3+800</t>
  </si>
  <si>
    <t>3+850</t>
  </si>
  <si>
    <t>3+900</t>
  </si>
  <si>
    <t>3+950</t>
  </si>
  <si>
    <t>4+000</t>
  </si>
  <si>
    <t>4+050</t>
  </si>
  <si>
    <t>4+100</t>
  </si>
  <si>
    <t>4+150</t>
  </si>
  <si>
    <t>4+200</t>
  </si>
  <si>
    <t>4+250</t>
  </si>
  <si>
    <t>4+300</t>
  </si>
  <si>
    <t>4+350</t>
  </si>
  <si>
    <t>4+400</t>
  </si>
  <si>
    <t>4+450</t>
  </si>
  <si>
    <t>4+500</t>
  </si>
  <si>
    <t>4+550</t>
  </si>
  <si>
    <t>4+600</t>
  </si>
  <si>
    <t>4+650</t>
  </si>
  <si>
    <t>4+700</t>
  </si>
  <si>
    <t>4+750</t>
  </si>
  <si>
    <t>4+800</t>
  </si>
  <si>
    <t>4+850</t>
  </si>
  <si>
    <t>4+900</t>
  </si>
  <si>
    <t>4+950</t>
  </si>
  <si>
    <t>5+000</t>
  </si>
  <si>
    <t>5+050</t>
  </si>
  <si>
    <t>5+100</t>
  </si>
  <si>
    <t>5+150</t>
  </si>
  <si>
    <t>5+200</t>
  </si>
  <si>
    <t>5+250</t>
  </si>
  <si>
    <t>5+300</t>
  </si>
  <si>
    <t>5+350</t>
  </si>
  <si>
    <t>5+400</t>
  </si>
  <si>
    <t>5+450</t>
  </si>
  <si>
    <t>5+500</t>
  </si>
  <si>
    <t>5+550</t>
  </si>
  <si>
    <t>5+600</t>
  </si>
  <si>
    <t>5+650</t>
  </si>
  <si>
    <t>5+700</t>
  </si>
  <si>
    <t>5+750</t>
  </si>
  <si>
    <t>5+800</t>
  </si>
  <si>
    <t>5+850</t>
  </si>
  <si>
    <t>5+900</t>
  </si>
  <si>
    <t>5+950</t>
  </si>
  <si>
    <t>6+000</t>
  </si>
  <si>
    <t>6+050</t>
  </si>
  <si>
    <t>6+100</t>
  </si>
  <si>
    <t>6+150</t>
  </si>
  <si>
    <t>6+200</t>
  </si>
  <si>
    <t>6+250</t>
  </si>
  <si>
    <t>6+300</t>
  </si>
  <si>
    <t>6+350</t>
  </si>
  <si>
    <t>6+400</t>
  </si>
  <si>
    <t>6+450</t>
  </si>
  <si>
    <t>6+500</t>
  </si>
  <si>
    <t>6+550</t>
  </si>
  <si>
    <t>6+600</t>
  </si>
  <si>
    <t>6+650</t>
  </si>
  <si>
    <t>6+700</t>
  </si>
  <si>
    <t>6+750</t>
  </si>
  <si>
    <t>6+800</t>
  </si>
  <si>
    <t>6+850</t>
  </si>
  <si>
    <t>6+900</t>
  </si>
  <si>
    <t>6+950</t>
  </si>
  <si>
    <t>7+000</t>
  </si>
  <si>
    <t>7+050</t>
  </si>
  <si>
    <t>7+100</t>
  </si>
  <si>
    <t>7+150</t>
  </si>
  <si>
    <t>7+200</t>
  </si>
  <si>
    <t>7+250</t>
  </si>
  <si>
    <t>7+300</t>
  </si>
  <si>
    <t>7+350</t>
  </si>
  <si>
    <t>7+400</t>
  </si>
  <si>
    <t>7+450</t>
  </si>
  <si>
    <t>7+500</t>
  </si>
  <si>
    <t>7+550</t>
  </si>
  <si>
    <t>7+600</t>
  </si>
  <si>
    <t>7+650</t>
  </si>
  <si>
    <t>7+700</t>
  </si>
  <si>
    <t>7+750</t>
  </si>
  <si>
    <t>7+800</t>
  </si>
  <si>
    <t>7+850</t>
  </si>
  <si>
    <t>7+900</t>
  </si>
  <si>
    <t>7+950</t>
  </si>
  <si>
    <t>8+000</t>
  </si>
  <si>
    <t>8+050</t>
  </si>
  <si>
    <t>8+100</t>
  </si>
  <si>
    <t>8+150</t>
  </si>
  <si>
    <t>8+200</t>
  </si>
  <si>
    <t>8+250</t>
  </si>
  <si>
    <t>8+300</t>
  </si>
  <si>
    <t>8+350</t>
  </si>
  <si>
    <t>8+400</t>
  </si>
  <si>
    <t>8+450</t>
  </si>
  <si>
    <t>8+500</t>
  </si>
  <si>
    <t>8+550</t>
  </si>
  <si>
    <t>8+600</t>
  </si>
  <si>
    <t>8+650</t>
  </si>
  <si>
    <t>8+700</t>
  </si>
  <si>
    <t>8+750</t>
  </si>
  <si>
    <t>8+800</t>
  </si>
  <si>
    <t>8+850</t>
  </si>
  <si>
    <t>8+900</t>
  </si>
  <si>
    <t>8+950</t>
  </si>
  <si>
    <t>9+000</t>
  </si>
  <si>
    <t>9+050</t>
  </si>
  <si>
    <t>9+100</t>
  </si>
  <si>
    <t>9+150</t>
  </si>
  <si>
    <t>9+200</t>
  </si>
  <si>
    <t>9+250</t>
  </si>
  <si>
    <t>9+300</t>
  </si>
  <si>
    <t>9+350</t>
  </si>
  <si>
    <t>9+400</t>
  </si>
  <si>
    <t>9+450</t>
  </si>
  <si>
    <t>9+500</t>
  </si>
  <si>
    <t>9+550</t>
  </si>
  <si>
    <t>9+600</t>
  </si>
  <si>
    <t>9+650</t>
  </si>
  <si>
    <t>9+700</t>
  </si>
  <si>
    <t>9+750</t>
  </si>
  <si>
    <t>9+800</t>
  </si>
  <si>
    <t>9+850</t>
  </si>
  <si>
    <t>9+900</t>
  </si>
  <si>
    <t>9+950</t>
  </si>
  <si>
    <t>10+000</t>
  </si>
  <si>
    <t>10+050</t>
  </si>
  <si>
    <t>10+100</t>
  </si>
  <si>
    <t>10+150</t>
  </si>
  <si>
    <t>10+200</t>
  </si>
  <si>
    <t>10+250</t>
  </si>
  <si>
    <t>10+300</t>
  </si>
  <si>
    <t>10+350</t>
  </si>
  <si>
    <t>10+400</t>
  </si>
  <si>
    <t>10+450</t>
  </si>
  <si>
    <t>10+500</t>
  </si>
  <si>
    <t>10+550</t>
  </si>
  <si>
    <t>10+600</t>
  </si>
  <si>
    <t>10+650</t>
  </si>
  <si>
    <t>10+700</t>
  </si>
  <si>
    <t>10+750</t>
  </si>
  <si>
    <t>10+800</t>
  </si>
  <si>
    <t>10+850</t>
  </si>
  <si>
    <t>10+900</t>
  </si>
  <si>
    <t>10+950</t>
  </si>
  <si>
    <t>11+000</t>
  </si>
  <si>
    <t>11+050</t>
  </si>
  <si>
    <t>11+100</t>
  </si>
  <si>
    <t>11+150</t>
  </si>
  <si>
    <t>11+200</t>
  </si>
  <si>
    <t>11+250</t>
  </si>
  <si>
    <t>11+300</t>
  </si>
  <si>
    <t>11+350</t>
  </si>
  <si>
    <t>11+400</t>
  </si>
  <si>
    <t>11+450</t>
  </si>
  <si>
    <t>11+500</t>
  </si>
  <si>
    <t>11+550</t>
  </si>
  <si>
    <t>11+600</t>
  </si>
  <si>
    <t>11+650</t>
  </si>
  <si>
    <t>11+700</t>
  </si>
  <si>
    <t>11+750</t>
  </si>
  <si>
    <t>11+800</t>
  </si>
  <si>
    <t>11+850</t>
  </si>
  <si>
    <t>11+900</t>
  </si>
  <si>
    <t>11+950</t>
  </si>
  <si>
    <t>12+000</t>
  </si>
  <si>
    <t>12+050</t>
  </si>
  <si>
    <t>12+100</t>
  </si>
  <si>
    <t>12+150</t>
  </si>
  <si>
    <t>12+200</t>
  </si>
  <si>
    <t>12+250</t>
  </si>
  <si>
    <t>12+300</t>
  </si>
  <si>
    <t>12+350</t>
  </si>
  <si>
    <t>12+400</t>
  </si>
  <si>
    <t>12+450</t>
  </si>
  <si>
    <t>12+500</t>
  </si>
  <si>
    <t>12+550</t>
  </si>
  <si>
    <t>12+600</t>
  </si>
  <si>
    <t>12+650</t>
  </si>
  <si>
    <t>12+700</t>
  </si>
  <si>
    <t>12+750</t>
  </si>
  <si>
    <t>12+800</t>
  </si>
  <si>
    <t>12+850</t>
  </si>
  <si>
    <t>12+900</t>
  </si>
  <si>
    <t>12+950</t>
  </si>
  <si>
    <t>13+000</t>
  </si>
  <si>
    <t>13+050</t>
  </si>
  <si>
    <t>13+100</t>
  </si>
  <si>
    <t>13+150</t>
  </si>
  <si>
    <t>13+200</t>
  </si>
  <si>
    <t>13+250</t>
  </si>
  <si>
    <t>13+300</t>
  </si>
  <si>
    <t>13+350</t>
  </si>
  <si>
    <t>13+400</t>
  </si>
  <si>
    <t>13+450</t>
  </si>
  <si>
    <t>13+500</t>
  </si>
  <si>
    <t>13+550</t>
  </si>
  <si>
    <t>13+600</t>
  </si>
  <si>
    <t>13+650</t>
  </si>
  <si>
    <t>13+700</t>
  </si>
  <si>
    <t>13+750</t>
  </si>
  <si>
    <t>13+800</t>
  </si>
  <si>
    <t>13+850</t>
  </si>
  <si>
    <t>13+900</t>
  </si>
  <si>
    <t>13+950</t>
  </si>
  <si>
    <t>14+000</t>
  </si>
  <si>
    <t>14+050</t>
  </si>
  <si>
    <t>14+100</t>
  </si>
  <si>
    <t>14+150</t>
  </si>
  <si>
    <t>14+200</t>
  </si>
  <si>
    <t>14+250</t>
  </si>
  <si>
    <t>14+300</t>
  </si>
  <si>
    <t>14+350</t>
  </si>
  <si>
    <t>14+400</t>
  </si>
  <si>
    <t>14+450</t>
  </si>
  <si>
    <t>14+500</t>
  </si>
  <si>
    <t>14+550</t>
  </si>
  <si>
    <t>14+600</t>
  </si>
  <si>
    <t>14+650</t>
  </si>
  <si>
    <t>14+700</t>
  </si>
  <si>
    <t>14+750</t>
  </si>
  <si>
    <t>14+800</t>
  </si>
  <si>
    <t>14+850</t>
  </si>
  <si>
    <t>14+900</t>
  </si>
  <si>
    <t>14+950</t>
  </si>
  <si>
    <t>15+000</t>
  </si>
  <si>
    <t>15+050</t>
  </si>
  <si>
    <t>15+100</t>
  </si>
  <si>
    <t>15+150</t>
  </si>
  <si>
    <t>15+200</t>
  </si>
  <si>
    <t>15+250</t>
  </si>
  <si>
    <t>15+300</t>
  </si>
  <si>
    <t>15+350</t>
  </si>
  <si>
    <t>15+400</t>
  </si>
  <si>
    <t>15+450</t>
  </si>
  <si>
    <t>15+500</t>
  </si>
  <si>
    <t>15+550</t>
  </si>
  <si>
    <t>15+600</t>
  </si>
  <si>
    <t>15+650</t>
  </si>
  <si>
    <t>15+700</t>
  </si>
  <si>
    <t>15+750</t>
  </si>
  <si>
    <t>15+800</t>
  </si>
  <si>
    <t>15+850</t>
  </si>
  <si>
    <t>15+900</t>
  </si>
  <si>
    <t>15+950</t>
  </si>
  <si>
    <t>16+000</t>
  </si>
  <si>
    <t>16+050</t>
  </si>
  <si>
    <t>16+100</t>
  </si>
  <si>
    <t>16+150</t>
  </si>
  <si>
    <t>16+200</t>
  </si>
  <si>
    <t>16+250</t>
  </si>
  <si>
    <t>16+300</t>
  </si>
  <si>
    <t>16+350</t>
  </si>
  <si>
    <t>16+400</t>
  </si>
  <si>
    <t>16+450</t>
  </si>
  <si>
    <t>16+500</t>
  </si>
  <si>
    <t>16+550</t>
  </si>
  <si>
    <t>16+600</t>
  </si>
  <si>
    <t>16+650</t>
  </si>
  <si>
    <t>16+700</t>
  </si>
  <si>
    <t>16+750</t>
  </si>
  <si>
    <t>16+800</t>
  </si>
  <si>
    <t>16+850</t>
  </si>
  <si>
    <t>16+900</t>
  </si>
  <si>
    <t>16+950</t>
  </si>
  <si>
    <t>17+000</t>
  </si>
  <si>
    <t>17+050</t>
  </si>
  <si>
    <t>17+100</t>
  </si>
  <si>
    <t>17+150</t>
  </si>
  <si>
    <t>17+200</t>
  </si>
  <si>
    <t>17+250</t>
  </si>
  <si>
    <t>17+300</t>
  </si>
  <si>
    <t>17+350</t>
  </si>
  <si>
    <t>17+400</t>
  </si>
  <si>
    <t>17+450</t>
  </si>
  <si>
    <t>17+500</t>
  </si>
  <si>
    <t>17+550</t>
  </si>
  <si>
    <t>17+600</t>
  </si>
  <si>
    <t>17+650</t>
  </si>
  <si>
    <t>17+700</t>
  </si>
  <si>
    <t>17+750</t>
  </si>
  <si>
    <t>17+800</t>
  </si>
  <si>
    <t>17+850</t>
  </si>
  <si>
    <t>17+900</t>
  </si>
  <si>
    <t>17+950</t>
  </si>
  <si>
    <t>18+000</t>
  </si>
  <si>
    <t>18+050</t>
  </si>
  <si>
    <t>18+100</t>
  </si>
  <si>
    <t>18+150</t>
  </si>
  <si>
    <t>18+200</t>
  </si>
  <si>
    <t>18+250</t>
  </si>
  <si>
    <t>18+300</t>
  </si>
  <si>
    <t>18+350</t>
  </si>
  <si>
    <t>18+400</t>
  </si>
  <si>
    <t>18+450</t>
  </si>
  <si>
    <t>18+500</t>
  </si>
  <si>
    <t>18+550</t>
  </si>
  <si>
    <t>18+600</t>
  </si>
  <si>
    <t>18+650</t>
  </si>
  <si>
    <t>18+700</t>
  </si>
  <si>
    <t>18+750</t>
  </si>
  <si>
    <t>18+800</t>
  </si>
  <si>
    <t>18+850</t>
  </si>
  <si>
    <t>18+900</t>
  </si>
  <si>
    <t>18+950</t>
  </si>
  <si>
    <t>19+000</t>
  </si>
  <si>
    <t>19+050</t>
  </si>
  <si>
    <t>19+100</t>
  </si>
  <si>
    <t>19+150</t>
  </si>
  <si>
    <t>19+200</t>
  </si>
  <si>
    <t>19+250</t>
  </si>
  <si>
    <t>19+300</t>
  </si>
  <si>
    <t>19+350</t>
  </si>
  <si>
    <t>19+400</t>
  </si>
  <si>
    <t>19+450</t>
  </si>
  <si>
    <t>19+500</t>
  </si>
  <si>
    <t>19+550</t>
  </si>
  <si>
    <t>19+600</t>
  </si>
  <si>
    <t>19+650</t>
  </si>
  <si>
    <t>19+700</t>
  </si>
  <si>
    <t>19+750</t>
  </si>
  <si>
    <t>19+800</t>
  </si>
  <si>
    <t>19+850</t>
  </si>
  <si>
    <t>19+900</t>
  </si>
  <si>
    <t>19+950</t>
  </si>
  <si>
    <t>20+000</t>
  </si>
  <si>
    <t>20+050</t>
  </si>
  <si>
    <t>20+100</t>
  </si>
  <si>
    <t>20+150</t>
  </si>
  <si>
    <t>20+200</t>
  </si>
  <si>
    <t>20+250</t>
  </si>
  <si>
    <t>20+300</t>
  </si>
  <si>
    <t>20+350</t>
  </si>
  <si>
    <t>20+400</t>
  </si>
  <si>
    <t>20+450</t>
  </si>
  <si>
    <t>20+500</t>
  </si>
  <si>
    <t>20+550</t>
  </si>
  <si>
    <t>20+600</t>
  </si>
  <si>
    <t>20+650</t>
  </si>
  <si>
    <t>20+700</t>
  </si>
  <si>
    <t>20+750</t>
  </si>
  <si>
    <t>20+800</t>
  </si>
  <si>
    <t>20+850</t>
  </si>
  <si>
    <t>20+900</t>
  </si>
  <si>
    <t>20+950</t>
  </si>
  <si>
    <t>21+000</t>
  </si>
  <si>
    <t>21+050</t>
  </si>
  <si>
    <t>21+100</t>
  </si>
  <si>
    <t>21+150</t>
  </si>
  <si>
    <t>21+200</t>
  </si>
  <si>
    <t>21+250</t>
  </si>
  <si>
    <t>21+300</t>
  </si>
  <si>
    <t>21+350</t>
  </si>
  <si>
    <t>21+400</t>
  </si>
  <si>
    <t>21+450</t>
  </si>
  <si>
    <t>21+500</t>
  </si>
  <si>
    <t>21+550</t>
  </si>
  <si>
    <t>21+600</t>
  </si>
  <si>
    <t>21+650</t>
  </si>
  <si>
    <t>21+700</t>
  </si>
  <si>
    <t>21+750</t>
  </si>
  <si>
    <t>21+800</t>
  </si>
  <si>
    <t>21+850</t>
  </si>
  <si>
    <t>21+900</t>
  </si>
  <si>
    <t>21+950</t>
  </si>
  <si>
    <t>22+000</t>
  </si>
  <si>
    <t>22+050</t>
  </si>
  <si>
    <t>22+100</t>
  </si>
  <si>
    <t>22+150</t>
  </si>
  <si>
    <t>22+200</t>
  </si>
  <si>
    <t>22+250</t>
  </si>
  <si>
    <t>22+300</t>
  </si>
  <si>
    <t>22+350</t>
  </si>
  <si>
    <t>22+400</t>
  </si>
  <si>
    <t>22+450</t>
  </si>
  <si>
    <t>22+500</t>
  </si>
  <si>
    <t>22+550</t>
  </si>
  <si>
    <t>22+600</t>
  </si>
  <si>
    <t>22+650</t>
  </si>
  <si>
    <t>22+700</t>
  </si>
  <si>
    <t>22+750</t>
  </si>
  <si>
    <t>22+800</t>
  </si>
  <si>
    <t>22+850</t>
  </si>
  <si>
    <t>22+900</t>
  </si>
  <si>
    <t>22+950</t>
  </si>
  <si>
    <t>23+000</t>
  </si>
  <si>
    <t>23+050</t>
  </si>
  <si>
    <t>23+100</t>
  </si>
  <si>
    <t>23+150</t>
  </si>
  <si>
    <t>23+200</t>
  </si>
  <si>
    <t>23+250</t>
  </si>
  <si>
    <t>23+300</t>
  </si>
  <si>
    <t>23+350</t>
  </si>
  <si>
    <t>23+400</t>
  </si>
  <si>
    <t>23+450</t>
  </si>
  <si>
    <t>23+500</t>
  </si>
  <si>
    <t>23+550</t>
  </si>
  <si>
    <t>23+600</t>
  </si>
  <si>
    <t>23+650</t>
  </si>
  <si>
    <t>23+700</t>
  </si>
  <si>
    <t>23+750</t>
  </si>
  <si>
    <t>23+800</t>
  </si>
  <si>
    <t>23+850</t>
  </si>
  <si>
    <t>23+900</t>
  </si>
  <si>
    <t>23+950</t>
  </si>
  <si>
    <t>24+000</t>
  </si>
  <si>
    <t>24+050</t>
  </si>
  <si>
    <t>24+100</t>
  </si>
  <si>
    <t>24+150</t>
  </si>
  <si>
    <t>24+200</t>
  </si>
  <si>
    <t>24+250</t>
  </si>
  <si>
    <t>24+300</t>
  </si>
  <si>
    <t>24+350</t>
  </si>
  <si>
    <t>24+400</t>
  </si>
  <si>
    <t>24+450</t>
  </si>
  <si>
    <t>24+500</t>
  </si>
  <si>
    <t>24+550</t>
  </si>
  <si>
    <t>24+600</t>
  </si>
  <si>
    <t>24+650</t>
  </si>
  <si>
    <t>24+700</t>
  </si>
  <si>
    <t>24+750</t>
  </si>
  <si>
    <t>24+800</t>
  </si>
  <si>
    <t>24+850</t>
  </si>
  <si>
    <t>24+900</t>
  </si>
  <si>
    <t>24+950</t>
  </si>
  <si>
    <t>25+000</t>
  </si>
  <si>
    <t>25+050</t>
  </si>
  <si>
    <t>25+100</t>
  </si>
  <si>
    <t>25+150</t>
  </si>
  <si>
    <t>25+200</t>
  </si>
  <si>
    <t>25+250</t>
  </si>
  <si>
    <t>25+300</t>
  </si>
  <si>
    <t>25+350</t>
  </si>
  <si>
    <t>25+400</t>
  </si>
  <si>
    <t>25+450</t>
  </si>
  <si>
    <t>25+500</t>
  </si>
  <si>
    <t>25+550</t>
  </si>
  <si>
    <t>25+600</t>
  </si>
  <si>
    <t>25+650</t>
  </si>
  <si>
    <t>25+700</t>
  </si>
  <si>
    <t>25+750</t>
  </si>
  <si>
    <t>25+800</t>
  </si>
  <si>
    <t>25+850</t>
  </si>
  <si>
    <t>25+900</t>
  </si>
  <si>
    <t>25+950</t>
  </si>
  <si>
    <t>26+000</t>
  </si>
  <si>
    <t>26+050</t>
  </si>
  <si>
    <t>26+100</t>
  </si>
  <si>
    <t>26+150</t>
  </si>
  <si>
    <t>26+200</t>
  </si>
  <si>
    <t>26+250</t>
  </si>
  <si>
    <t>26+300</t>
  </si>
  <si>
    <t>26+350</t>
  </si>
  <si>
    <t>26+400</t>
  </si>
  <si>
    <t>26+450</t>
  </si>
  <si>
    <t>26+500</t>
  </si>
  <si>
    <t>26+550</t>
  </si>
  <si>
    <t>26+600</t>
  </si>
  <si>
    <t>26+650</t>
  </si>
  <si>
    <t>26+700</t>
  </si>
  <si>
    <t>26+750</t>
  </si>
  <si>
    <t>26+800</t>
  </si>
  <si>
    <t>26+850</t>
  </si>
  <si>
    <t>26+900</t>
  </si>
  <si>
    <t>26+950</t>
  </si>
  <si>
    <t>27+000</t>
  </si>
  <si>
    <t>27+050</t>
  </si>
  <si>
    <t>27+100</t>
  </si>
  <si>
    <t>27+150</t>
  </si>
  <si>
    <t>27+200</t>
  </si>
  <si>
    <t>27+250</t>
  </si>
  <si>
    <t>27+300</t>
  </si>
  <si>
    <t>27+350</t>
  </si>
  <si>
    <t>27+400</t>
  </si>
  <si>
    <t>27+450</t>
  </si>
  <si>
    <t>27+500</t>
  </si>
  <si>
    <t>27+550</t>
  </si>
  <si>
    <t>27+600</t>
  </si>
  <si>
    <t>27+650</t>
  </si>
  <si>
    <t>27+700</t>
  </si>
  <si>
    <t>27+750</t>
  </si>
  <si>
    <t>27+800</t>
  </si>
  <si>
    <t>27+850</t>
  </si>
  <si>
    <t>27+900</t>
  </si>
  <si>
    <t>27+950</t>
  </si>
  <si>
    <t>28+000</t>
  </si>
  <si>
    <t>28+050</t>
  </si>
  <si>
    <t>28+100</t>
  </si>
  <si>
    <t>28+150</t>
  </si>
  <si>
    <t>28+200</t>
  </si>
  <si>
    <t>28+250</t>
  </si>
  <si>
    <t>28+300</t>
  </si>
  <si>
    <t>28+350</t>
  </si>
  <si>
    <t>28+400</t>
  </si>
  <si>
    <t>28+450</t>
  </si>
  <si>
    <t>28+500</t>
  </si>
  <si>
    <t>28+550</t>
  </si>
  <si>
    <t>28+600</t>
  </si>
  <si>
    <t>28+650</t>
  </si>
  <si>
    <t>28+700</t>
  </si>
  <si>
    <t>28+750</t>
  </si>
  <si>
    <t>28+800</t>
  </si>
  <si>
    <t>28+850</t>
  </si>
  <si>
    <t>28+900</t>
  </si>
  <si>
    <t>28+950</t>
  </si>
  <si>
    <t>29+000</t>
  </si>
  <si>
    <t>29+050</t>
  </si>
  <si>
    <t>29+100</t>
  </si>
  <si>
    <t>29+150</t>
  </si>
  <si>
    <t>29+200</t>
  </si>
  <si>
    <t>29+250</t>
  </si>
  <si>
    <t>29+300</t>
  </si>
  <si>
    <t>29+350</t>
  </si>
  <si>
    <t>29+400</t>
  </si>
  <si>
    <t>29+450</t>
  </si>
  <si>
    <t>29+500</t>
  </si>
  <si>
    <t>29+550</t>
  </si>
  <si>
    <t>29+600</t>
  </si>
  <si>
    <t>29+650</t>
  </si>
  <si>
    <t>29+700</t>
  </si>
  <si>
    <t>29+750</t>
  </si>
  <si>
    <t>29+800</t>
  </si>
  <si>
    <t>29+850</t>
  </si>
  <si>
    <t>29+900</t>
  </si>
  <si>
    <t>29+950</t>
  </si>
  <si>
    <t>30+000</t>
  </si>
  <si>
    <t>30+050</t>
  </si>
  <si>
    <t>30+100</t>
  </si>
  <si>
    <t>30+150</t>
  </si>
  <si>
    <t>30+200</t>
  </si>
  <si>
    <t>30+250</t>
  </si>
  <si>
    <t>30+300</t>
  </si>
  <si>
    <t>30+350</t>
  </si>
  <si>
    <t>30+400</t>
  </si>
  <si>
    <t>30+450</t>
  </si>
  <si>
    <t>30+500</t>
  </si>
  <si>
    <t>30+550</t>
  </si>
  <si>
    <t>30+600</t>
  </si>
  <si>
    <t>30+650</t>
  </si>
  <si>
    <t>30+700</t>
  </si>
  <si>
    <t>30+750</t>
  </si>
  <si>
    <t>30+800</t>
  </si>
  <si>
    <t>30+850</t>
  </si>
  <si>
    <t>30+900</t>
  </si>
  <si>
    <t>30+950</t>
  </si>
  <si>
    <t>31+000</t>
  </si>
  <si>
    <t>31+050</t>
  </si>
  <si>
    <t>31+100</t>
  </si>
  <si>
    <t>31+150</t>
  </si>
  <si>
    <t>31+200</t>
  </si>
  <si>
    <t>31+250</t>
  </si>
  <si>
    <t>31+300</t>
  </si>
  <si>
    <t>31+350</t>
  </si>
  <si>
    <t>31+400</t>
  </si>
  <si>
    <t>31+450</t>
  </si>
  <si>
    <t>31+500</t>
  </si>
  <si>
    <t>31+550</t>
  </si>
  <si>
    <t>31+600</t>
  </si>
  <si>
    <t>31+650</t>
  </si>
  <si>
    <t>31+700</t>
  </si>
  <si>
    <t>31+750</t>
  </si>
  <si>
    <t>31+800</t>
  </si>
  <si>
    <t>31+850</t>
  </si>
  <si>
    <t>31+900</t>
  </si>
  <si>
    <t>31+950</t>
  </si>
  <si>
    <t>32+000</t>
  </si>
  <si>
    <t>32+050</t>
  </si>
  <si>
    <t>32+100</t>
  </si>
  <si>
    <t>32+150</t>
  </si>
  <si>
    <t>32+200</t>
  </si>
  <si>
    <t>32+250</t>
  </si>
  <si>
    <t>32+300</t>
  </si>
  <si>
    <t>32+350</t>
  </si>
  <si>
    <t>32+400</t>
  </si>
  <si>
    <t>32+450</t>
  </si>
  <si>
    <t>32+500</t>
  </si>
  <si>
    <t>32+550</t>
  </si>
  <si>
    <t>32+600</t>
  </si>
  <si>
    <t>32+650</t>
  </si>
  <si>
    <t>32+700</t>
  </si>
  <si>
    <t>32+750</t>
  </si>
  <si>
    <t>32+800</t>
  </si>
  <si>
    <t>32+850</t>
  </si>
  <si>
    <t>32+900</t>
  </si>
  <si>
    <t>32+950</t>
  </si>
  <si>
    <t>33+000</t>
  </si>
  <si>
    <t>33+050</t>
  </si>
  <si>
    <t>33+100</t>
  </si>
  <si>
    <t>33+150</t>
  </si>
  <si>
    <t>33+200</t>
  </si>
  <si>
    <t>33+250</t>
  </si>
  <si>
    <t>33+300</t>
  </si>
  <si>
    <t>33+350</t>
  </si>
  <si>
    <t>33+400</t>
  </si>
  <si>
    <t>33+450</t>
  </si>
  <si>
    <t>33+500</t>
  </si>
  <si>
    <t>33+550</t>
  </si>
  <si>
    <t>33+600</t>
  </si>
  <si>
    <t>33+650</t>
  </si>
  <si>
    <t>33+700</t>
  </si>
  <si>
    <t>33+750</t>
  </si>
  <si>
    <t>33+800</t>
  </si>
  <si>
    <t>33+850</t>
  </si>
  <si>
    <t>33+900</t>
  </si>
  <si>
    <t>33+950</t>
  </si>
  <si>
    <t>34+000</t>
  </si>
  <si>
    <t>34+050</t>
  </si>
  <si>
    <t>34+100</t>
  </si>
  <si>
    <t>34+150</t>
  </si>
  <si>
    <t>34+200</t>
  </si>
  <si>
    <t>34+250</t>
  </si>
  <si>
    <t>34+300</t>
  </si>
  <si>
    <t>34+350</t>
  </si>
  <si>
    <t>34+400</t>
  </si>
  <si>
    <t>34+450</t>
  </si>
  <si>
    <t>34+500</t>
  </si>
  <si>
    <t>34+550</t>
  </si>
  <si>
    <t>34+600</t>
  </si>
  <si>
    <t>34+650</t>
  </si>
  <si>
    <t>34+700</t>
  </si>
  <si>
    <t>34+750</t>
  </si>
  <si>
    <t>34+800</t>
  </si>
  <si>
    <t>34+850</t>
  </si>
  <si>
    <t>34+900</t>
  </si>
  <si>
    <t>34+950</t>
  </si>
  <si>
    <t>35+000</t>
  </si>
  <si>
    <t>35+050</t>
  </si>
  <si>
    <t>35+100</t>
  </si>
  <si>
    <t>35+150</t>
  </si>
  <si>
    <t>35+200</t>
  </si>
  <si>
    <t>35+250</t>
  </si>
  <si>
    <t>35+300</t>
  </si>
  <si>
    <t>35+350</t>
  </si>
  <si>
    <t>35+400</t>
  </si>
  <si>
    <t>35+450</t>
  </si>
  <si>
    <t>35+500</t>
  </si>
  <si>
    <t>35+550</t>
  </si>
  <si>
    <t>35+600</t>
  </si>
  <si>
    <t>35+650</t>
  </si>
  <si>
    <t>35+700</t>
  </si>
  <si>
    <t>35+750</t>
  </si>
  <si>
    <t>35+800</t>
  </si>
  <si>
    <t>35+850</t>
  </si>
  <si>
    <t>35+900</t>
  </si>
  <si>
    <t>35+950</t>
  </si>
  <si>
    <t>36+000</t>
  </si>
  <si>
    <t>36+050</t>
  </si>
  <si>
    <t>36+100</t>
  </si>
  <si>
    <t>36+150</t>
  </si>
  <si>
    <t>36+200</t>
  </si>
  <si>
    <t>36+250</t>
  </si>
  <si>
    <t>36+300</t>
  </si>
  <si>
    <t>36+350</t>
  </si>
  <si>
    <t>36+400</t>
  </si>
  <si>
    <t>36+450</t>
  </si>
  <si>
    <t>36+500</t>
  </si>
  <si>
    <t>36+550</t>
  </si>
  <si>
    <t>36+600</t>
  </si>
  <si>
    <t>36+650</t>
  </si>
  <si>
    <t>36+700</t>
  </si>
  <si>
    <t>36+750</t>
  </si>
  <si>
    <t>36+800</t>
  </si>
  <si>
    <t>36+850</t>
  </si>
  <si>
    <t>36+900</t>
  </si>
  <si>
    <t>36+950</t>
  </si>
  <si>
    <t>37+000</t>
  </si>
  <si>
    <t>37+050</t>
  </si>
  <si>
    <t>37+100</t>
  </si>
  <si>
    <t>37+150</t>
  </si>
  <si>
    <t>37+200</t>
  </si>
  <si>
    <t>37+250</t>
  </si>
  <si>
    <t>37+300</t>
  </si>
  <si>
    <t>37+350</t>
  </si>
  <si>
    <t>37+400</t>
  </si>
  <si>
    <t>37+450</t>
  </si>
  <si>
    <t>37+500</t>
  </si>
  <si>
    <t>37+550</t>
  </si>
  <si>
    <t>37+600</t>
  </si>
  <si>
    <t>37+650</t>
  </si>
  <si>
    <t>37+700</t>
  </si>
  <si>
    <t>37+750</t>
  </si>
  <si>
    <t>37+800</t>
  </si>
  <si>
    <t>37+850</t>
  </si>
  <si>
    <t>37+900</t>
  </si>
  <si>
    <t>37+950</t>
  </si>
  <si>
    <t>38+000</t>
  </si>
  <si>
    <t>38+050</t>
  </si>
  <si>
    <t>38+100</t>
  </si>
  <si>
    <t>38+150</t>
  </si>
  <si>
    <t>38+200</t>
  </si>
  <si>
    <t>38+250</t>
  </si>
  <si>
    <t>38+300</t>
  </si>
  <si>
    <t>38+350</t>
  </si>
  <si>
    <t>38+400</t>
  </si>
  <si>
    <t>38+450</t>
  </si>
  <si>
    <t>38+500</t>
  </si>
  <si>
    <t>38+550</t>
  </si>
  <si>
    <t>38+600</t>
  </si>
  <si>
    <t>38+650</t>
  </si>
  <si>
    <t>38+700</t>
  </si>
  <si>
    <t>38+750</t>
  </si>
  <si>
    <t>38+800</t>
  </si>
  <si>
    <t>38+850</t>
  </si>
  <si>
    <t>38+900</t>
  </si>
  <si>
    <t>38+950</t>
  </si>
  <si>
    <t>39+000</t>
  </si>
  <si>
    <t>39+050</t>
  </si>
  <si>
    <t>39+100</t>
  </si>
  <si>
    <t>39+150</t>
  </si>
  <si>
    <t>39+200</t>
  </si>
  <si>
    <t>39+250</t>
  </si>
  <si>
    <t>39+300</t>
  </si>
  <si>
    <t>39+350</t>
  </si>
  <si>
    <t>39+400</t>
  </si>
  <si>
    <t>39+450</t>
  </si>
  <si>
    <t>39+500</t>
  </si>
  <si>
    <t>39+550</t>
  </si>
  <si>
    <t>39+600</t>
  </si>
  <si>
    <t>39+650</t>
  </si>
  <si>
    <t>39+700</t>
  </si>
  <si>
    <t>39+750</t>
  </si>
  <si>
    <t>39+800</t>
  </si>
  <si>
    <t>39+850</t>
  </si>
  <si>
    <t>39+900</t>
  </si>
  <si>
    <t>39+950</t>
  </si>
  <si>
    <t>40+000</t>
  </si>
  <si>
    <t>40+050</t>
  </si>
  <si>
    <t>40+100</t>
  </si>
  <si>
    <t>40+150</t>
  </si>
  <si>
    <t>40+200</t>
  </si>
  <si>
    <t>40+250</t>
  </si>
  <si>
    <t>40+300</t>
  </si>
  <si>
    <t>40+350</t>
  </si>
  <si>
    <t>40+400</t>
  </si>
  <si>
    <t>40+450</t>
  </si>
  <si>
    <t>40+500</t>
  </si>
  <si>
    <t>40+550</t>
  </si>
  <si>
    <t>40+600</t>
  </si>
  <si>
    <t>40+650</t>
  </si>
  <si>
    <t>40+700</t>
  </si>
  <si>
    <t>40+750</t>
  </si>
  <si>
    <t>40+800</t>
  </si>
  <si>
    <t>40+850</t>
  </si>
  <si>
    <t>40+900</t>
  </si>
  <si>
    <t>40+950</t>
  </si>
  <si>
    <t>41+000</t>
  </si>
  <si>
    <t>41+050</t>
  </si>
  <si>
    <t>41+100</t>
  </si>
  <si>
    <t>41+150</t>
  </si>
  <si>
    <t>41+200</t>
  </si>
  <si>
    <t>41+250</t>
  </si>
  <si>
    <t>41+300</t>
  </si>
  <si>
    <t>41+350</t>
  </si>
  <si>
    <t>41+400</t>
  </si>
  <si>
    <t>41+450</t>
  </si>
  <si>
    <t>41+500</t>
  </si>
  <si>
    <t>41+550</t>
  </si>
  <si>
    <t>41+600</t>
  </si>
  <si>
    <t>41+650</t>
  </si>
  <si>
    <t>41+700</t>
  </si>
  <si>
    <t>41+750</t>
  </si>
  <si>
    <t>41+800</t>
  </si>
  <si>
    <t>41+850</t>
  </si>
  <si>
    <t>41+900</t>
  </si>
  <si>
    <t>41+950</t>
  </si>
  <si>
    <t>42+000</t>
  </si>
  <si>
    <t>42+050</t>
  </si>
  <si>
    <t>42+100</t>
  </si>
  <si>
    <t>42+150</t>
  </si>
  <si>
    <t>42+200</t>
  </si>
  <si>
    <t>42+250</t>
  </si>
  <si>
    <t>42+300</t>
  </si>
  <si>
    <t>42+350</t>
  </si>
  <si>
    <t>42+400</t>
  </si>
  <si>
    <t>42+450</t>
  </si>
  <si>
    <t>42+500</t>
  </si>
  <si>
    <t>42+550</t>
  </si>
  <si>
    <t>42+600</t>
  </si>
  <si>
    <t>42+650</t>
  </si>
  <si>
    <t>42+700</t>
  </si>
  <si>
    <t>42+750</t>
  </si>
  <si>
    <t>42+800</t>
  </si>
  <si>
    <t>42+850</t>
  </si>
  <si>
    <t>42+900</t>
  </si>
  <si>
    <t>42+950</t>
  </si>
  <si>
    <t>43+000</t>
  </si>
  <si>
    <t>43+050</t>
  </si>
  <si>
    <t>43+100</t>
  </si>
  <si>
    <t>43+150</t>
  </si>
  <si>
    <t>43+200</t>
  </si>
  <si>
    <t>43+250</t>
  </si>
  <si>
    <t>43+300</t>
  </si>
  <si>
    <t>43+350</t>
  </si>
  <si>
    <t>43+400</t>
  </si>
  <si>
    <t>43+450</t>
  </si>
  <si>
    <t>43+500</t>
  </si>
  <si>
    <t>43+550</t>
  </si>
  <si>
    <t>43+600</t>
  </si>
  <si>
    <t>43+650</t>
  </si>
  <si>
    <t>43+700</t>
  </si>
  <si>
    <t>43+750</t>
  </si>
  <si>
    <t>43+800</t>
  </si>
  <si>
    <t>43+850</t>
  </si>
  <si>
    <t>43+900</t>
  </si>
  <si>
    <t>43+950</t>
  </si>
  <si>
    <t>44+000</t>
  </si>
  <si>
    <t>44+050</t>
  </si>
  <si>
    <t>44+100</t>
  </si>
  <si>
    <t>44+150</t>
  </si>
  <si>
    <t>44+200</t>
  </si>
  <si>
    <t>44+250</t>
  </si>
  <si>
    <t>44+300</t>
  </si>
  <si>
    <t>44+350</t>
  </si>
  <si>
    <t>44+400</t>
  </si>
  <si>
    <t>44+450</t>
  </si>
  <si>
    <t>44+500</t>
  </si>
  <si>
    <t>44+550</t>
  </si>
  <si>
    <t>44+600</t>
  </si>
  <si>
    <t>44+650</t>
  </si>
  <si>
    <t>44+700</t>
  </si>
  <si>
    <t>44+750</t>
  </si>
  <si>
    <t>44+800</t>
  </si>
  <si>
    <t>44+850</t>
  </si>
  <si>
    <t>44+900</t>
  </si>
  <si>
    <t>44+950</t>
  </si>
  <si>
    <t>45+000</t>
  </si>
  <si>
    <t>45+050</t>
  </si>
  <si>
    <t>45+100</t>
  </si>
  <si>
    <t>45+150</t>
  </si>
  <si>
    <t>45+200</t>
  </si>
  <si>
    <t>45+250</t>
  </si>
  <si>
    <t>45+300</t>
  </si>
  <si>
    <t>45+350</t>
  </si>
  <si>
    <t>45+400</t>
  </si>
  <si>
    <t>45+450</t>
  </si>
  <si>
    <t>45+500</t>
  </si>
  <si>
    <t>45+550</t>
  </si>
  <si>
    <t>45+600</t>
  </si>
  <si>
    <t>45+650</t>
  </si>
  <si>
    <t>45+700</t>
  </si>
  <si>
    <t>45+750</t>
  </si>
  <si>
    <t>45+800</t>
  </si>
  <si>
    <t>45+850</t>
  </si>
  <si>
    <t>45+900</t>
  </si>
  <si>
    <t>45+950</t>
  </si>
  <si>
    <t>46+000</t>
  </si>
  <si>
    <t>46+050</t>
  </si>
  <si>
    <t>46+100</t>
  </si>
  <si>
    <t>46+150</t>
  </si>
  <si>
    <t>46+200</t>
  </si>
  <si>
    <t>46+250</t>
  </si>
  <si>
    <t>46+300</t>
  </si>
  <si>
    <t>46+350</t>
  </si>
  <si>
    <t>46+400</t>
  </si>
  <si>
    <t>46+450</t>
  </si>
  <si>
    <t>46+500</t>
  </si>
  <si>
    <t>46+550</t>
  </si>
  <si>
    <t>46+600</t>
  </si>
  <si>
    <t>46+650</t>
  </si>
  <si>
    <t>46+700</t>
  </si>
  <si>
    <t>46+750</t>
  </si>
  <si>
    <t>46+800</t>
  </si>
  <si>
    <t>46+850</t>
  </si>
  <si>
    <t>46+900</t>
  </si>
  <si>
    <t>46+950</t>
  </si>
  <si>
    <t>47+000</t>
  </si>
  <si>
    <t>47+050</t>
  </si>
  <si>
    <t>47+100</t>
  </si>
  <si>
    <t>47+150</t>
  </si>
  <si>
    <t>47+200</t>
  </si>
  <si>
    <t>47+250</t>
  </si>
  <si>
    <t>47+300</t>
  </si>
  <si>
    <t>47+350</t>
  </si>
  <si>
    <t>47+400</t>
  </si>
  <si>
    <t>47+450</t>
  </si>
  <si>
    <t>47+500</t>
  </si>
  <si>
    <t>47+550</t>
  </si>
  <si>
    <t>47+600</t>
  </si>
  <si>
    <t>47+650</t>
  </si>
  <si>
    <t>47+700</t>
  </si>
  <si>
    <t>47+750</t>
  </si>
  <si>
    <t>47+800</t>
  </si>
  <si>
    <t>47+850</t>
  </si>
  <si>
    <t>47+900</t>
  </si>
  <si>
    <t>47+950</t>
  </si>
  <si>
    <t>48+000</t>
  </si>
  <si>
    <t>48+050</t>
  </si>
  <si>
    <t>48+100</t>
  </si>
  <si>
    <t>48+150</t>
  </si>
  <si>
    <t>48+200</t>
  </si>
  <si>
    <t>48+250</t>
  </si>
  <si>
    <t>48+300</t>
  </si>
  <si>
    <t>48+350</t>
  </si>
  <si>
    <t>48+400</t>
  </si>
  <si>
    <t>48+450</t>
  </si>
  <si>
    <t>48+500</t>
  </si>
  <si>
    <t>48+550</t>
  </si>
  <si>
    <t>48+600</t>
  </si>
  <si>
    <t>48+650</t>
  </si>
  <si>
    <t>48+700</t>
  </si>
  <si>
    <t>48+750</t>
  </si>
  <si>
    <t>48+800</t>
  </si>
  <si>
    <t>48+850</t>
  </si>
  <si>
    <t>48+900</t>
  </si>
  <si>
    <t>48+950</t>
  </si>
  <si>
    <t>49+000</t>
  </si>
  <si>
    <t>49+050</t>
  </si>
  <si>
    <t>49+100</t>
  </si>
  <si>
    <t>49+150</t>
  </si>
  <si>
    <t>49+200</t>
  </si>
  <si>
    <t>49+250</t>
  </si>
  <si>
    <t>49+300</t>
  </si>
  <si>
    <t>49+350</t>
  </si>
  <si>
    <t>49+400</t>
  </si>
  <si>
    <t>49+450</t>
  </si>
  <si>
    <t>49+500</t>
  </si>
  <si>
    <t>49+550</t>
  </si>
  <si>
    <t>49+600</t>
  </si>
  <si>
    <t>49+650</t>
  </si>
  <si>
    <t>49+700</t>
  </si>
  <si>
    <t>49+750</t>
  </si>
  <si>
    <t>49+800</t>
  </si>
  <si>
    <t>49+850</t>
  </si>
  <si>
    <t>49+900</t>
  </si>
  <si>
    <t>49+950</t>
  </si>
  <si>
    <t>CULVERT SCHEDULE</t>
  </si>
  <si>
    <t>One row per culvert, built automatically from the PR_CULVERT rows on Form D — do not type here. Family and Size together form the key the engines match on, so a U-culvert can never be picked up as a pipe culvert.</t>
  </si>
  <si>
    <t>ID</t>
  </si>
  <si>
    <t>Inlet structure</t>
  </si>
  <si>
    <t>Outlet structure</t>
  </si>
  <si>
    <t>Key</t>
  </si>
  <si>
    <t>Remarks</t>
  </si>
  <si>
    <t>(Form D row)</t>
  </si>
  <si>
    <t>PIPE CULVERT ENGINE</t>
  </si>
  <si>
    <t>One row per pipe culvert type. Columns A–F are the schedule; G–Y the geometry (edit the yellow cells to change the standard); AA onward the BOQ quantities, with the item code in the header row.</t>
  </si>
  <si>
    <t>E 322</t>
  </si>
  <si>
    <t>F 224</t>
  </si>
  <si>
    <t>F 511</t>
  </si>
  <si>
    <t>F 253</t>
  </si>
  <si>
    <t>F 522</t>
  </si>
  <si>
    <t>F 542</t>
  </si>
  <si>
    <t>G 243</t>
  </si>
  <si>
    <t>G 245</t>
  </si>
  <si>
    <t>I 232</t>
  </si>
  <si>
    <t>I 242</t>
  </si>
  <si>
    <t>I 252</t>
  </si>
  <si>
    <t>I 262</t>
  </si>
  <si>
    <t>I 272</t>
  </si>
  <si>
    <t>L 343.1</t>
  </si>
  <si>
    <t>L 343.2</t>
  </si>
  <si>
    <t>L 343.3</t>
  </si>
  <si>
    <t>L 344.1</t>
  </si>
  <si>
    <t>L 344.2</t>
  </si>
  <si>
    <t>L 344.3</t>
  </si>
  <si>
    <t>L 345.1</t>
  </si>
  <si>
    <t>L 345.2</t>
  </si>
  <si>
    <t>L 345.3</t>
  </si>
  <si>
    <t>L 346.1</t>
  </si>
  <si>
    <t>L 346.2</t>
  </si>
  <si>
    <t>L 346.3</t>
  </si>
  <si>
    <t>L 347.1</t>
  </si>
  <si>
    <t>L 347.2</t>
  </si>
  <si>
    <t>L 347.3</t>
  </si>
  <si>
    <t>E 900.1b</t>
  </si>
  <si>
    <t>E 900.2b</t>
  </si>
  <si>
    <t>No.</t>
  </si>
  <si>
    <t>Total len</t>
  </si>
  <si>
    <t>Avg len</t>
  </si>
  <si>
    <t>Dia D (m)</t>
  </si>
  <si>
    <t>t pipe</t>
  </si>
  <si>
    <t>t surround</t>
  </si>
  <si>
    <t>Wc (m)</t>
  </si>
  <si>
    <t>Hc (m)</t>
  </si>
  <si>
    <t>d exc</t>
  </si>
  <si>
    <t>d blinding</t>
  </si>
  <si>
    <t>L apron</t>
  </si>
  <si>
    <t>W apron end</t>
  </si>
  <si>
    <t>h headwall</t>
  </si>
  <si>
    <t>t headwall</t>
  </si>
  <si>
    <t>h w/w end</t>
  </si>
  <si>
    <t>h w/w avg</t>
  </si>
  <si>
    <t>L w/w</t>
  </si>
  <si>
    <t>t w/w</t>
  </si>
  <si>
    <t>t apron</t>
  </si>
  <si>
    <t>W toe</t>
  </si>
  <si>
    <t>d toe</t>
  </si>
  <si>
    <t>Excavate foundation trench</t>
  </si>
  <si>
    <t>Provide C10 lean concrete</t>
  </si>
  <si>
    <t>Blinding layer 50 mm</t>
  </si>
  <si>
    <t>Provide C25 concrete</t>
  </si>
  <si>
    <t>Surround volume (haulage only, not billed)</t>
  </si>
  <si>
    <t>Bases, footings, aprons 150 mm</t>
  </si>
  <si>
    <t>Apron and walls 150-300 mm</t>
  </si>
  <si>
    <t>Fair formwork 0.2-0.4 m wide</t>
  </si>
  <si>
    <t>Fair formwork exceeding 1.22 m</t>
  </si>
  <si>
    <t>Lay 600 mm pipe</t>
  </si>
  <si>
    <t>Lay 900 mm pipe</t>
  </si>
  <si>
    <t>Lay 1200 mm pipe</t>
  </si>
  <si>
    <t>Lay 1500 mm pipe</t>
  </si>
  <si>
    <t>Lay 1800 mm pipe</t>
  </si>
  <si>
    <t>Bed &amp; surround 1/600</t>
  </si>
  <si>
    <t>Bed &amp; surround 2/600</t>
  </si>
  <si>
    <t>Bed &amp; surround 3/600</t>
  </si>
  <si>
    <t>Bed &amp; surround 1/900</t>
  </si>
  <si>
    <t>Bed &amp; surround 2/900</t>
  </si>
  <si>
    <t>Bed &amp; surround 3/900</t>
  </si>
  <si>
    <t>Bed &amp; surround 1/1200</t>
  </si>
  <si>
    <t>Bed &amp; surround 2/1200</t>
  </si>
  <si>
    <t>Bed &amp; surround 3/1200</t>
  </si>
  <si>
    <t>Bed &amp; surround 1/1500</t>
  </si>
  <si>
    <t>Bed &amp; surround 2/1500</t>
  </si>
  <si>
    <t>Bed &amp; surround 3/1500</t>
  </si>
  <si>
    <t>Bed &amp; surround 1/1800</t>
  </si>
  <si>
    <t>Bed &amp; surround 2/1800</t>
  </si>
  <si>
    <t>Bed &amp; surround 3/1800</t>
  </si>
  <si>
    <t>Haulage fine aggregate (0-20 km)</t>
  </si>
  <si>
    <t>Haulage coarse aggregate (20-100 km)</t>
  </si>
  <si>
    <t>m³·km</t>
  </si>
  <si>
    <t>1/600 mm pipe culvert</t>
  </si>
  <si>
    <t>PC|1/600</t>
  </si>
  <si>
    <t>2/600 mm pipe culvert</t>
  </si>
  <si>
    <t>PC|2/600</t>
  </si>
  <si>
    <t>3/600 mm pipe culvert</t>
  </si>
  <si>
    <t>PC|3/600</t>
  </si>
  <si>
    <t>1/900 mm pipe culvert</t>
  </si>
  <si>
    <t>PC|1/900</t>
  </si>
  <si>
    <t>2/900 mm pipe culvert</t>
  </si>
  <si>
    <t>PC|2/900</t>
  </si>
  <si>
    <t>3/900 mm pipe culvert</t>
  </si>
  <si>
    <t>PC|3/900</t>
  </si>
  <si>
    <t>1/1200 mm pipe culvert</t>
  </si>
  <si>
    <t>PC|1/1200</t>
  </si>
  <si>
    <t>2/1200 mm pipe culvert</t>
  </si>
  <si>
    <t>PC|2/1200</t>
  </si>
  <si>
    <t>3/1200 mm pipe culvert</t>
  </si>
  <si>
    <t>PC|3/1200</t>
  </si>
  <si>
    <t>1/1500 mm pipe culvert</t>
  </si>
  <si>
    <t>PC|1/1500</t>
  </si>
  <si>
    <t>2/1500 mm pipe culvert</t>
  </si>
  <si>
    <t>PC|2/1500</t>
  </si>
  <si>
    <t>3/1500 mm pipe culvert</t>
  </si>
  <si>
    <t>PC|3/1500</t>
  </si>
  <si>
    <t>1/1800 mm pipe culvert</t>
  </si>
  <si>
    <t>PC|1/1800</t>
  </si>
  <si>
    <t>2/1800 mm pipe culvert</t>
  </si>
  <si>
    <t>PC|2/1800</t>
  </si>
  <si>
    <t>3/1800 mm pipe culvert</t>
  </si>
  <si>
    <t>PC|3/1800</t>
  </si>
  <si>
    <t>TOTAL</t>
  </si>
  <si>
    <t>BOX CULVERT ENGINE — quantities from the geometry take-off (04a/04b/04c). Legacy fitted coefficients removed.</t>
  </si>
  <si>
    <t>Each item = No. of culverts x the per-culvert quantity collected on 04c_Box_Takeoff. Concrete is routed to the 150-300 / 300-500 mm bands by measured member thickness. Reinforcement comes from the bending schedule on 04b_Box_Bars.</t>
  </si>
  <si>
    <t>E 323</t>
  </si>
  <si>
    <t>F 622</t>
  </si>
  <si>
    <t>F 623</t>
  </si>
  <si>
    <t>F 632</t>
  </si>
  <si>
    <t>F 633</t>
  </si>
  <si>
    <t>F 642</t>
  </si>
  <si>
    <t>F 643</t>
  </si>
  <si>
    <t>G 114</t>
  </si>
  <si>
    <t>G 115</t>
  </si>
  <si>
    <t>G 143</t>
  </si>
  <si>
    <t>G 145</t>
  </si>
  <si>
    <t>G 244</t>
  </si>
  <si>
    <t>G 512</t>
  </si>
  <si>
    <t>G 513</t>
  </si>
  <si>
    <t>G 514</t>
  </si>
  <si>
    <t>G 515</t>
  </si>
  <si>
    <t>G 516</t>
  </si>
  <si>
    <t>F 263</t>
  </si>
  <si>
    <t>Excavate foundation 0.5-1.0 m</t>
  </si>
  <si>
    <t>RC bases/footings 150-300 mm</t>
  </si>
  <si>
    <t>RC bases/footings 300-500 mm</t>
  </si>
  <si>
    <t>RC suspended slab 150-300 mm</t>
  </si>
  <si>
    <t>RC suspended slab 300-500 mm</t>
  </si>
  <si>
    <t>RC walls 150-300 mm</t>
  </si>
  <si>
    <t>RC walls 300-500 mm</t>
  </si>
  <si>
    <t>Rough formwork vertical</t>
  </si>
  <si>
    <t>Rough formwork exceeding 1.22 m</t>
  </si>
  <si>
    <t>Sawn formwork 0.2-0.4 m</t>
  </si>
  <si>
    <t>Fair formwork to soffits exceeding 1.2 m</t>
  </si>
  <si>
    <t>Fair formwork 0.4-1.22 m</t>
  </si>
  <si>
    <t>8 mm reinforcement</t>
  </si>
  <si>
    <t>10 mm reinforcement</t>
  </si>
  <si>
    <t>12 mm reinforcement</t>
  </si>
  <si>
    <t>16 mm reinforcement</t>
  </si>
  <si>
    <t>20 mm reinforcement</t>
  </si>
  <si>
    <t>Provide C30 concrete (sum of RC placing items)</t>
  </si>
  <si>
    <t>t</t>
  </si>
  <si>
    <t>1/2x2 box culvert</t>
  </si>
  <si>
    <t>BC|1/2x2</t>
  </si>
  <si>
    <t>2/2x2 box culvert</t>
  </si>
  <si>
    <t>BC|2/2x2</t>
  </si>
  <si>
    <t>3/2x2 box culvert</t>
  </si>
  <si>
    <t>BC|3/2x2</t>
  </si>
  <si>
    <t>4/2x2 box culvert</t>
  </si>
  <si>
    <t>BC|4/2x2</t>
  </si>
  <si>
    <t>1/3x2 box culvert</t>
  </si>
  <si>
    <t>BC|1/3x2</t>
  </si>
  <si>
    <t>2/3x2 box culvert</t>
  </si>
  <si>
    <t>BC|2/3x2</t>
  </si>
  <si>
    <t>3/3x2 box culvert</t>
  </si>
  <si>
    <t>BC|3/3x2</t>
  </si>
  <si>
    <t>1/3x3 box culvert</t>
  </si>
  <si>
    <t>BC|1/3x3</t>
  </si>
  <si>
    <t>2/3x3 box culvert</t>
  </si>
  <si>
    <t>BC|2/3x3</t>
  </si>
  <si>
    <t>3/3x3 box culvert</t>
  </si>
  <si>
    <t>BC|3/3x3</t>
  </si>
  <si>
    <t>4/3x3 box culvert</t>
  </si>
  <si>
    <t>BC|4/3x3</t>
  </si>
  <si>
    <t>1/4x3 box culvert</t>
  </si>
  <si>
    <t>BC|1/4x3</t>
  </si>
  <si>
    <t>2/4x3 box culvert</t>
  </si>
  <si>
    <t>BC|2/4x3</t>
  </si>
  <si>
    <t>3/4x3 box culvert</t>
  </si>
  <si>
    <t>BC|3/4x3</t>
  </si>
  <si>
    <t>1/4x4 box culvert</t>
  </si>
  <si>
    <t>BC|1/4x4</t>
  </si>
  <si>
    <t>2/4x4 box culvert</t>
  </si>
  <si>
    <t>BC|2/4x4</t>
  </si>
  <si>
    <t>3/4x4 box culvert</t>
  </si>
  <si>
    <t>BC|3/4x4</t>
  </si>
  <si>
    <t>4/4x4 box culvert</t>
  </si>
  <si>
    <t>BC|4/4x4</t>
  </si>
  <si>
    <t>2/3x2.4 box culvert</t>
  </si>
  <si>
    <t>BC|2/3x2.4</t>
  </si>
  <si>
    <t>BOX CULVERT — DIMENSION SET (first principles, AASHTO LRFD 9th Ed §12.11)</t>
  </si>
  <si>
    <t>Geometry derived from n/BxH per the box-culvert-aashto design rules. Blue = input, black = formula. Feeds 04b_Box_Bars and 04c_Box_Takeoff. Replaces the fitted fixed+per-metre coefficients on 04_Box_Engine.</t>
  </si>
  <si>
    <t>SHARED ASSUMPTIONS</t>
  </si>
  <si>
    <t>Basis</t>
  </si>
  <si>
    <t>SHARED ASSUMPTIONS (cont.)</t>
  </si>
  <si>
    <t>Fill cover over top slab, Hcov</t>
  </si>
  <si>
    <t>design default</t>
  </si>
  <si>
    <t>Min thickness, end structures</t>
  </si>
  <si>
    <t>Haunch leg, ch</t>
  </si>
  <si>
    <t>inner-corner haunch, 45°</t>
  </si>
  <si>
    <t>Wingwall toe projection — min</t>
  </si>
  <si>
    <t>Apron length each end</t>
  </si>
  <si>
    <t>Wingwall toe projection — max</t>
  </si>
  <si>
    <t>Wingwall divergence angle</t>
  </si>
  <si>
    <t>deg</t>
  </si>
  <si>
    <t>from box end to apron end</t>
  </si>
  <si>
    <t>Wingwall toe projection factor</t>
  </si>
  <si>
    <t>× Hw</t>
  </si>
  <si>
    <t>Headwall height above top slab</t>
  </si>
  <si>
    <t>cast on box, dowelled</t>
  </si>
  <si>
    <t>Wingwall height at end — min</t>
  </si>
  <si>
    <t>Wingwall freeboard above fill</t>
  </si>
  <si>
    <t>Hw = Hext + Hcov + freeboard</t>
  </si>
  <si>
    <t>Wingwall batter (plan run per m drop)</t>
  </si>
  <si>
    <t>—</t>
  </si>
  <si>
    <t>Toe / cut-off wall width</t>
  </si>
  <si>
    <t>scour protection</t>
  </si>
  <si>
    <t>Nominal barrel length (fallback)</t>
  </si>
  <si>
    <t>Toe / cut-off wall depth</t>
  </si>
  <si>
    <t>check vs Lacey scour</t>
  </si>
  <si>
    <t>Minimum member thickness</t>
  </si>
  <si>
    <t>t floor</t>
  </si>
  <si>
    <t>Thickness divisor (span / n)</t>
  </si>
  <si>
    <t>t ≈ max(B,H)/12</t>
  </si>
  <si>
    <t>Thickness rounding increment</t>
  </si>
  <si>
    <t>round up to 25 mm</t>
  </si>
  <si>
    <t>Blinding thickness</t>
  </si>
  <si>
    <t>QS assumption — GHA note 5</t>
  </si>
  <si>
    <t>Working allowance each side</t>
  </si>
  <si>
    <t>QS assumption — excavation</t>
  </si>
  <si>
    <t>Excavation extra depth below blinding</t>
  </si>
  <si>
    <t>QS assumption</t>
  </si>
  <si>
    <t>PER-TYPE GEOMETRY</t>
  </si>
  <si>
    <t>n</t>
  </si>
  <si>
    <t>B</t>
  </si>
  <si>
    <t>H</t>
  </si>
  <si>
    <t>Tot len</t>
  </si>
  <si>
    <t>L (avg)</t>
  </si>
  <si>
    <t>Wext</t>
  </si>
  <si>
    <t>Wslab</t>
  </si>
  <si>
    <t>Hext</t>
  </si>
  <si>
    <t>Hc</t>
  </si>
  <si>
    <t>ch</t>
  </si>
  <si>
    <t>apron L</t>
  </si>
  <si>
    <t>apron t</t>
  </si>
  <si>
    <t>apron mean W</t>
  </si>
  <si>
    <t>toe wall L</t>
  </si>
  <si>
    <t>toe wall W</t>
  </si>
  <si>
    <t>toe wall D</t>
  </si>
  <si>
    <t>hw ht</t>
  </si>
  <si>
    <t>hw t</t>
  </si>
  <si>
    <t>Hw</t>
  </si>
  <si>
    <t>h at end</t>
  </si>
  <si>
    <t>ww mean ht</t>
  </si>
  <si>
    <t>Ld</t>
  </si>
  <si>
    <t>spread</t>
  </si>
  <si>
    <t>ww stem t</t>
  </si>
  <si>
    <t>ww toe proj</t>
  </si>
  <si>
    <t>ww base t</t>
  </si>
  <si>
    <t>L used</t>
  </si>
  <si>
    <t>BOX CULVERT — BAR BENDING SCHEDULE (per type)</t>
  </si>
  <si>
    <t>Count = No. members x (FLOOR(span - 2*cover)/spacing)+1. Bar diameters and spacings for EVERY type come from an AASHTO LRFD 9th Ed 12.11 design run (box-culvert-aashto: Strength-I moment envelope over three load cases, f'c 30 / fy 420, 45 mm cover, 0.6 m fill, 10 m nominal barrel). Marks 12 and 14 (headwall, toe wall) are nominal detailing, not designed. PRELIMINARY - to be checked and sealed by a licensed engineer.</t>
  </si>
  <si>
    <t>Hook allowance (each end)</t>
  </si>
  <si>
    <t>mm</t>
  </si>
  <si>
    <t>Wingwall bend into toe base</t>
  </si>
  <si>
    <t>Steel density</t>
  </si>
  <si>
    <t>kg/m³</t>
  </si>
  <si>
    <t>STEEL BY DIAMETER — kg per culvert</t>
  </si>
  <si>
    <t>Mark</t>
  </si>
  <si>
    <t>Member / position</t>
  </si>
  <si>
    <t>Shape</t>
  </si>
  <si>
    <t>Dia (mm)</t>
  </si>
  <si>
    <t>Spacing (mm) / count</t>
  </si>
  <si>
    <t>No. members</t>
  </si>
  <si>
    <t>Span (m)</t>
  </si>
  <si>
    <t>Count (No.)</t>
  </si>
  <si>
    <t>Base dim (m)</t>
  </si>
  <si>
    <t>Allow. (mm)</t>
  </si>
  <si>
    <t>Length (mm)</t>
  </si>
  <si>
    <t>Total length (m)</t>
  </si>
  <si>
    <t>Mass (kg/m)</t>
  </si>
  <si>
    <t>Weight (kg)</t>
  </si>
  <si>
    <t>Total kg</t>
  </si>
  <si>
    <t>Bottom slab — bottom</t>
  </si>
  <si>
    <t>S</t>
  </si>
  <si>
    <t>Bottom slab — top</t>
  </si>
  <si>
    <t>Top slab — bottom</t>
  </si>
  <si>
    <t>Top slab — top</t>
  </si>
  <si>
    <t>Slab distribution (EW)</t>
  </si>
  <si>
    <t>Exterior wall — each face</t>
  </si>
  <si>
    <t>U</t>
  </si>
  <si>
    <t>Interior wall — each face</t>
  </si>
  <si>
    <t>Wall distribution</t>
  </si>
  <si>
    <t>Haunch bars</t>
  </si>
  <si>
    <t>D</t>
  </si>
  <si>
    <t>Wingwall main (bent into toe)</t>
  </si>
  <si>
    <t>LD</t>
  </si>
  <si>
    <t>Wingwall horizontal — each face</t>
  </si>
  <si>
    <t>Headwall + dowels</t>
  </si>
  <si>
    <t>L</t>
  </si>
  <si>
    <t>Apron mesh (both ways)</t>
  </si>
  <si>
    <t>Toe / cut-off wall + links</t>
  </si>
  <si>
    <t>BOX CULVERT — TAKING-OFF (dimension paper)</t>
  </si>
  <si>
    <t>THE FOLLOWING IN: reinforced box culverts, measured per culvert. Dimensions linked to 04a_Box_Dims; reinforcement from the bending schedule on 04b_Box_Bars.</t>
  </si>
  <si>
    <t>COLLECTED PER CULVERT — feeds 04_Box_Engine</t>
  </si>
  <si>
    <t>/</t>
  </si>
  <si>
    <t>Dimensions</t>
  </si>
  <si>
    <t>Squaring</t>
  </si>
  <si>
    <t>Description / part measured</t>
  </si>
  <si>
    <t>Collected</t>
  </si>
  <si>
    <t>Thk (m)</t>
  </si>
  <si>
    <t>E323 excav</t>
  </si>
  <si>
    <t>F224 blinding</t>
  </si>
  <si>
    <t>F622 base 150-300</t>
  </si>
  <si>
    <t>F623 base 300-500</t>
  </si>
  <si>
    <t>F632 slab 150-300</t>
  </si>
  <si>
    <t>F633 slab 300-500</t>
  </si>
  <si>
    <t>F642 wall 150-300</t>
  </si>
  <si>
    <t>F643 wall 300-500</t>
  </si>
  <si>
    <t>G114 rough vert</t>
  </si>
  <si>
    <t>G115 rough horiz</t>
  </si>
  <si>
    <t>G143 sawn</t>
  </si>
  <si>
    <t>G145 fair soffit</t>
  </si>
  <si>
    <t>G244 fair 0.4-1.22</t>
  </si>
  <si>
    <t>G245 fair &gt;1.22</t>
  </si>
  <si>
    <t>G512 T8</t>
  </si>
  <si>
    <t>G513 T10</t>
  </si>
  <si>
    <t>G514 T12</t>
  </si>
  <si>
    <t>G515 T16</t>
  </si>
  <si>
    <t>G516 T20</t>
  </si>
  <si>
    <t>T25 (no item)</t>
  </si>
  <si>
    <t>Total concrete</t>
  </si>
  <si>
    <t>Excavate material for disposal</t>
  </si>
  <si>
    <t>main channel</t>
  </si>
  <si>
    <t>apron</t>
  </si>
  <si>
    <t>toe / cut-off wall</t>
  </si>
  <si>
    <t>wingwall footings</t>
  </si>
  <si>
    <t>(collected)</t>
  </si>
  <si>
    <t>m3</t>
  </si>
  <si>
    <t>Provision of concrete C10 lean in blinding, 50 mm thick</t>
  </si>
  <si>
    <t>main</t>
  </si>
  <si>
    <t>Placing of blinding layer 50 mm thick</t>
  </si>
  <si>
    <t>(ditto — as provision)</t>
  </si>
  <si>
    <t>Provision of concrete C25/20 in bases, footings and ground slabs</t>
  </si>
  <si>
    <t>main base slab</t>
  </si>
  <si>
    <t>F 622 / F 623</t>
  </si>
  <si>
    <t>Placing of reinforced concrete in bases and footings, by thickness</t>
  </si>
  <si>
    <t>150-300 mm thick</t>
  </si>
  <si>
    <t>300-500 mm thick</t>
  </si>
  <si>
    <t>Provision of concrete C25/20 in suspended slab</t>
  </si>
  <si>
    <t>deck slab</t>
  </si>
  <si>
    <t>F 632 / F 633</t>
  </si>
  <si>
    <t>Placing of reinforced concrete in suspended slab, by thickness</t>
  </si>
  <si>
    <t>Provision of concrete C25/20 in walls, haunches, headwalls and wingwalls</t>
  </si>
  <si>
    <t>exterior walls</t>
  </si>
  <si>
    <t>interior walls</t>
  </si>
  <si>
    <t>haunches</t>
  </si>
  <si>
    <t>headwalls</t>
  </si>
  <si>
    <t>wingwall stems</t>
  </si>
  <si>
    <t>F 642 / F 643</t>
  </si>
  <si>
    <t>Placing of reinforced concrete in walls, by thickness</t>
  </si>
  <si>
    <t>Rough formwork to vertical surfaces — faces to be backfilled</t>
  </si>
  <si>
    <t>exterior walls — outer face</t>
  </si>
  <si>
    <t>wingwalls — back face</t>
  </si>
  <si>
    <t>headwalls — back face</t>
  </si>
  <si>
    <t>m2</t>
  </si>
  <si>
    <t>Rough formwork to horizontal surfaces exceeding 1.22 m</t>
  </si>
  <si>
    <t>apron underside</t>
  </si>
  <si>
    <t>Sawn formwork to surfaces 0.2-0.4 m wide</t>
  </si>
  <si>
    <t>base and deck slab ends</t>
  </si>
  <si>
    <t>apron side edges</t>
  </si>
  <si>
    <t>Fair formwork to soffit exceeding 1.2 m</t>
  </si>
  <si>
    <t>deck soffit — barrel interior</t>
  </si>
  <si>
    <t>Fair formwork to vertical surfaces 0.4-1.22 m high</t>
  </si>
  <si>
    <t>headwalls — exposed face</t>
  </si>
  <si>
    <t>Fair formwork to vertical surfaces exceeding 1.22 m — exposed</t>
  </si>
  <si>
    <t>exterior walls — inner face</t>
  </si>
  <si>
    <t>interior walls — both faces</t>
  </si>
  <si>
    <t>wingwalls — front face</t>
  </si>
  <si>
    <t>G 512 - G 516</t>
  </si>
  <si>
    <t>Reinforcement — high yield bars, from the bending schedule</t>
  </si>
  <si>
    <t>8 mm dia — none in schedule</t>
  </si>
  <si>
    <t>10 mm dia</t>
  </si>
  <si>
    <t>12 mm dia</t>
  </si>
  <si>
    <t>16 mm dia</t>
  </si>
  <si>
    <t>20 mm dia</t>
  </si>
  <si>
    <t>25 mm dia — NO BILL ITEM IN ENGINE</t>
  </si>
  <si>
    <t>BOX CULVERTS — ABSTRACT OF QUANTITIES</t>
  </si>
  <si>
    <t>Project totals abstracted from the taking-off (04c_Box_Takeoff) via 04_Box_Engine. Item No. = bill reference. The last two columns flag items that cannot be priced as the bill currently stands.</t>
  </si>
  <si>
    <t>Item No.</t>
  </si>
  <si>
    <t>Description</t>
  </si>
  <si>
    <t>In 07_Items?</t>
  </si>
  <si>
    <t>Rate set?</t>
  </si>
  <si>
    <t>U-CULVERT ENGINE</t>
  </si>
  <si>
    <t>One row per U-culvert type. The bill items are composite (K673 / K979 cover excavation, concrete, formwork and reinforcement), so only barrel length, inlet and outlet counts are billed — plus haulage from the computed concrete volume.</t>
  </si>
  <si>
    <t>BARREL</t>
  </si>
  <si>
    <t>INLET</t>
  </si>
  <si>
    <t>OUTLET</t>
  </si>
  <si>
    <t>E 900.1f</t>
  </si>
  <si>
    <t>E 900.2f</t>
  </si>
  <si>
    <t>Clear width (m)</t>
  </si>
  <si>
    <t>Clear depth (m)</t>
  </si>
  <si>
    <t>Wall t</t>
  </si>
  <si>
    <t>Slab t</t>
  </si>
  <si>
    <t>Apron L</t>
  </si>
  <si>
    <t>Toe t</t>
  </si>
  <si>
    <t>Toe h</t>
  </si>
  <si>
    <t>W/w L</t>
  </si>
  <si>
    <t>W/w w</t>
  </si>
  <si>
    <t>H/w h</t>
  </si>
  <si>
    <t>Blinding t</t>
  </si>
  <si>
    <t>Base t</t>
  </si>
  <si>
    <t>Barrel of U-culvert</t>
  </si>
  <si>
    <t>Catchpit inlet structure</t>
  </si>
  <si>
    <t>Wingwall &amp; apron outlet structure</t>
  </si>
  <si>
    <t>1/700X900 mm U-culvert</t>
  </si>
  <si>
    <t>UC|1/700X900</t>
  </si>
  <si>
    <t>2/700X900 mm U-culvert</t>
  </si>
  <si>
    <t>UC|2/700X900</t>
  </si>
  <si>
    <t>3/700X900 mm U-culvert</t>
  </si>
  <si>
    <t>UC|3/700X900</t>
  </si>
  <si>
    <t>1/900X1200 mm U-culvert</t>
  </si>
  <si>
    <t>UC|1/900X1200</t>
  </si>
  <si>
    <t>2/900X1200 mm U-culvert</t>
  </si>
  <si>
    <t>UC|2/900X1200</t>
  </si>
  <si>
    <t>3/900X1200 mm U-culvert</t>
  </si>
  <si>
    <t>UC|3/900X1200</t>
  </si>
  <si>
    <t>1/1250X1800 mm U-culvert</t>
  </si>
  <si>
    <t>UC|1/1250X1800</t>
  </si>
  <si>
    <t>2/1250X1800 mm U-culvert</t>
  </si>
  <si>
    <t>UC|2/1250X1800</t>
  </si>
  <si>
    <t>3/1250X1800 mm U-culvert</t>
  </si>
  <si>
    <t>UC|3/1250X1800</t>
  </si>
  <si>
    <t>1/1800X1800 mm U-culvert</t>
  </si>
  <si>
    <t>UC|1/1800X1800</t>
  </si>
  <si>
    <t>2/1800X1800 mm U-culvert</t>
  </si>
  <si>
    <t>UC|2/1800X1800</t>
  </si>
  <si>
    <t>3/1800X1800 mm U-culvert</t>
  </si>
  <si>
    <t>UC|3/1800X1800</t>
  </si>
  <si>
    <t>ROADWORKS &amp; DRAINAGE ENGINE</t>
  </si>
  <si>
    <t>Part A aggregates the station schedule. Part B turns those aggregates into BOQ quantities. Every basis is written out in plain language beside the number.</t>
  </si>
  <si>
    <t>Aggregate</t>
  </si>
  <si>
    <t>L_Town</t>
  </si>
  <si>
    <t>Length through townships</t>
  </si>
  <si>
    <t>Township flag × interval</t>
  </si>
  <si>
    <t>L_EB</t>
  </si>
  <si>
    <t>Existing bush</t>
  </si>
  <si>
    <t>L_GB</t>
  </si>
  <si>
    <t>Grass bush</t>
  </si>
  <si>
    <t>L_SB</t>
  </si>
  <si>
    <t>Savannah bush</t>
  </si>
  <si>
    <t>L_LB</t>
  </si>
  <si>
    <t>Light bush</t>
  </si>
  <si>
    <t>L_TB</t>
  </si>
  <si>
    <t>Thick bush</t>
  </si>
  <si>
    <t>L_Raise</t>
  </si>
  <si>
    <t>Length of road raised</t>
  </si>
  <si>
    <t>H_Raise</t>
  </si>
  <si>
    <t>Mean height of raising</t>
  </si>
  <si>
    <t>Mean of entered values</t>
  </si>
  <si>
    <t>V_Gully</t>
  </si>
  <si>
    <t>Entered directly</t>
  </si>
  <si>
    <t>L_Cut</t>
  </si>
  <si>
    <t>Length of cut to widen</t>
  </si>
  <si>
    <t>H_Cut</t>
  </si>
  <si>
    <t>Mean height of cut</t>
  </si>
  <si>
    <t>W_Cut</t>
  </si>
  <si>
    <t>Mean cut width</t>
  </si>
  <si>
    <t>L_FillW</t>
  </si>
  <si>
    <t>Length of fill to widen</t>
  </si>
  <si>
    <t>H_FillW</t>
  </si>
  <si>
    <t>Mean height of fill</t>
  </si>
  <si>
    <t>W_FillW</t>
  </si>
  <si>
    <t>Mean fill width</t>
  </si>
  <si>
    <t>A_Pitch</t>
  </si>
  <si>
    <t>L_DitchCL</t>
  </si>
  <si>
    <t>Ditch cleaning L+R</t>
  </si>
  <si>
    <t>L_DitchRE</t>
  </si>
  <si>
    <t>Ditch re-excavation L+R</t>
  </si>
  <si>
    <t>L_DitchEC</t>
  </si>
  <si>
    <t>Ditch excavation L+R</t>
  </si>
  <si>
    <t>L_UD45</t>
  </si>
  <si>
    <t>450 mm U-drain L+R</t>
  </si>
  <si>
    <t>L_UD60</t>
  </si>
  <si>
    <t>600 mm U-drain L+R</t>
  </si>
  <si>
    <t>L_UD75</t>
  </si>
  <si>
    <t>750 mm U-drain L+R</t>
  </si>
  <si>
    <t>L_UD90</t>
  </si>
  <si>
    <t>900 mm U-drain L+R</t>
  </si>
  <si>
    <t>L_Trap</t>
  </si>
  <si>
    <t>Trapezoidal drain L+R</t>
  </si>
  <si>
    <t>L_Kerb</t>
  </si>
  <si>
    <t>Concrete kerb L+R</t>
  </si>
  <si>
    <t>L_Scour</t>
  </si>
  <si>
    <t>Length with scour checks</t>
  </si>
  <si>
    <t>S_Scour</t>
  </si>
  <si>
    <t>Mean scour check spacing</t>
  </si>
  <si>
    <t>L_Turn</t>
  </si>
  <si>
    <t>Turnouts L+R</t>
  </si>
  <si>
    <t>Entered as metres</t>
  </si>
  <si>
    <t>L_RetW</t>
  </si>
  <si>
    <t>Retaining wall L+R</t>
  </si>
  <si>
    <t>L_Blading</t>
  </si>
  <si>
    <t>Length bladed</t>
  </si>
  <si>
    <t>L_Reshape</t>
  </si>
  <si>
    <t>Length reshaped</t>
  </si>
  <si>
    <t>L_Scarify</t>
  </si>
  <si>
    <t>Length scarified</t>
  </si>
  <si>
    <t>L_Subbase</t>
  </si>
  <si>
    <t>Length of sub-base</t>
  </si>
  <si>
    <t>L_Base</t>
  </si>
  <si>
    <t>Length of base</t>
  </si>
  <si>
    <t>L_Prime</t>
  </si>
  <si>
    <t>Length primed</t>
  </si>
  <si>
    <t>L_Seal1</t>
  </si>
  <si>
    <t>Length first seal</t>
  </si>
  <si>
    <t>L_Seal2</t>
  </si>
  <si>
    <t>Length second seal</t>
  </si>
  <si>
    <t>PART B — BOQ QUANTITIES</t>
  </si>
  <si>
    <t>Item code</t>
  </si>
  <si>
    <t>Source</t>
  </si>
  <si>
    <t>D 100.1</t>
  </si>
  <si>
    <t>Clear thick bush</t>
  </si>
  <si>
    <t>Ha</t>
  </si>
  <si>
    <t>EWKPVMT</t>
  </si>
  <si>
    <t>Length × clearing width ÷ 10 000</t>
  </si>
  <si>
    <t>D 100.2</t>
  </si>
  <si>
    <t>Clear light bush</t>
  </si>
  <si>
    <t>D 100.3</t>
  </si>
  <si>
    <t>Clear savannah bush</t>
  </si>
  <si>
    <t>D 100.4</t>
  </si>
  <si>
    <t>Clear grass bush</t>
  </si>
  <si>
    <t>D 100.5</t>
  </si>
  <si>
    <t>Clear existing bush</t>
  </si>
  <si>
    <t>E 220.1</t>
  </si>
  <si>
    <t>Excavate to widen road</t>
  </si>
  <si>
    <t>Length × width × depth</t>
  </si>
  <si>
    <t>E 420.1</t>
  </si>
  <si>
    <t>Fill to widen road</t>
  </si>
  <si>
    <t>E 420.2</t>
  </si>
  <si>
    <t>Raising of road in low-lying areas</t>
  </si>
  <si>
    <t>Length × formation width × height</t>
  </si>
  <si>
    <t>E 420.3</t>
  </si>
  <si>
    <t>Filling of deep gullies</t>
  </si>
  <si>
    <t>Entered per station</t>
  </si>
  <si>
    <t>E657</t>
  </si>
  <si>
    <t>Stone pitching to embankment</t>
  </si>
  <si>
    <t>E 592.1</t>
  </si>
  <si>
    <t>Blading road surface to crossfalls</t>
  </si>
  <si>
    <t>E 592.2</t>
  </si>
  <si>
    <t>Scarify, reshape and compact surface</t>
  </si>
  <si>
    <t>E 592.3</t>
  </si>
  <si>
    <t>Reshape road surface</t>
  </si>
  <si>
    <t>Legacy omitted this item entirely (D-02)</t>
  </si>
  <si>
    <t>R 114</t>
  </si>
  <si>
    <t>Gravel sub-base, haulage 1 km</t>
  </si>
  <si>
    <t>R124</t>
  </si>
  <si>
    <t>Gravel base, haulage 1 km</t>
  </si>
  <si>
    <t>E 900.1d</t>
  </si>
  <si>
    <t>Haulage sub-base &amp; base beyond 1 km</t>
  </si>
  <si>
    <t>Area × thickness × overhaul</t>
  </si>
  <si>
    <t>R349.1a</t>
  </si>
  <si>
    <t>Binder for first &amp; second seal</t>
  </si>
  <si>
    <t>Litres</t>
  </si>
  <si>
    <t>R349.1b</t>
  </si>
  <si>
    <t>Binder for primer seal</t>
  </si>
  <si>
    <t>R349.2</t>
  </si>
  <si>
    <t>Cutter oil for primer seal</t>
  </si>
  <si>
    <t>R349.4c</t>
  </si>
  <si>
    <t>10 mm chippings</t>
  </si>
  <si>
    <t>R349.4d</t>
  </si>
  <si>
    <t>14 mm chippings</t>
  </si>
  <si>
    <t>E900.2e</t>
  </si>
  <si>
    <t>Haulage of chippings beyond 1 km</t>
  </si>
  <si>
    <t>Chipping volume × haul distance</t>
  </si>
  <si>
    <t>R 811.1</t>
  </si>
  <si>
    <t>Reflective warning traffic signs</t>
  </si>
  <si>
    <t>Per km, not per metre — see 90_Checks</t>
  </si>
  <si>
    <t>R 811.2</t>
  </si>
  <si>
    <t>Reflective informatory traffic signs</t>
  </si>
  <si>
    <t>R 811.3</t>
  </si>
  <si>
    <t>Reflective mandatory traffic signs</t>
  </si>
  <si>
    <t>R 824.1</t>
  </si>
  <si>
    <t>120 mm lane separation line</t>
  </si>
  <si>
    <t>R 824.2</t>
  </si>
  <si>
    <t>300 mm continuous STOP line</t>
  </si>
  <si>
    <t>R 825.1</t>
  </si>
  <si>
    <t>120 mm intermittent centre line</t>
  </si>
  <si>
    <t>R 825.2</t>
  </si>
  <si>
    <t>120 mm continuous edge line</t>
  </si>
  <si>
    <t>R 825.3</t>
  </si>
  <si>
    <t>350 mm pedestrian crossing stripes</t>
  </si>
  <si>
    <t>R 900</t>
  </si>
  <si>
    <t>Construct speed ramps</t>
  </si>
  <si>
    <t>K 463.1</t>
  </si>
  <si>
    <t>Excavate V-shaped ditches</t>
  </si>
  <si>
    <t>DRAIN</t>
  </si>
  <si>
    <t>K 463.2</t>
  </si>
  <si>
    <t>Re-excavate V-shaped ditches</t>
  </si>
  <si>
    <t>K 463.3</t>
  </si>
  <si>
    <t>Clean V-shaped ditches</t>
  </si>
  <si>
    <t>K 463.4</t>
  </si>
  <si>
    <t>Excavate ditches for turnouts</t>
  </si>
  <si>
    <t>K 463.5</t>
  </si>
  <si>
    <t>Provision of scour checks</t>
  </si>
  <si>
    <t>Length ÷ spacing</t>
  </si>
  <si>
    <t>K 490.1</t>
  </si>
  <si>
    <t>450 × 450 concrete lined U-drain</t>
  </si>
  <si>
    <t>K 492.6</t>
  </si>
  <si>
    <t>600 × 600 concrete lined U-drain</t>
  </si>
  <si>
    <t>K 493.5</t>
  </si>
  <si>
    <t>750 × 750 concrete lined U-drain</t>
  </si>
  <si>
    <t>K 494.2</t>
  </si>
  <si>
    <t>900 × 900 concrete lined U-drain</t>
  </si>
  <si>
    <t>K 492.2</t>
  </si>
  <si>
    <t>Trapezoidal concrete lined drain</t>
  </si>
  <si>
    <t>K 495.1</t>
  </si>
  <si>
    <t>Concrete kerb</t>
  </si>
  <si>
    <t>K 496.1</t>
  </si>
  <si>
    <t>Retaining wall</t>
  </si>
  <si>
    <t>Estimate volume from drawings</t>
  </si>
  <si>
    <t>E 900.1c</t>
  </si>
  <si>
    <t>Haulage fine agg. for drains (0-20 km)</t>
  </si>
  <si>
    <t>E 900.2c</t>
  </si>
  <si>
    <t>Haulage coarse agg. for drains (20-100 km)</t>
  </si>
  <si>
    <t>ITEM DICTIONARY</t>
  </si>
  <si>
    <t>Every item code used anywhere in the project, with its standing description, unit and bill. The BOQ and all engines resolve descriptions from here.</t>
  </si>
  <si>
    <t>Bill</t>
  </si>
  <si>
    <t>A 110</t>
  </si>
  <si>
    <t>Performance Bond</t>
  </si>
  <si>
    <t>sum</t>
  </si>
  <si>
    <t>BILL NO.1:GENERAL ITEMS</t>
  </si>
  <si>
    <t>A 120</t>
  </si>
  <si>
    <t xml:space="preserve">Insurance of Works, Clause 21(a) </t>
  </si>
  <si>
    <t>A 130</t>
  </si>
  <si>
    <t>Insurance of Constructional Plant, Clause 21(b)</t>
  </si>
  <si>
    <t>A 140</t>
  </si>
  <si>
    <t>Third Party Insurance, Clause 23</t>
  </si>
  <si>
    <t>A150</t>
  </si>
  <si>
    <t>Insurance Against Accident to Workmen, Clause 24</t>
  </si>
  <si>
    <t>A211.1</t>
  </si>
  <si>
    <t>Maintain RE's permanent office accommodation.</t>
  </si>
  <si>
    <t>P.Sum</t>
  </si>
  <si>
    <t>A 221.2</t>
  </si>
  <si>
    <t>Maintain and operate R. E.'s vehicle.</t>
  </si>
  <si>
    <t>veh.-mth</t>
  </si>
  <si>
    <t>A231</t>
  </si>
  <si>
    <t>Provide RE's office equipment as specified</t>
  </si>
  <si>
    <t>A 213.2</t>
  </si>
  <si>
    <t>Maintianing permanent living accommodation for</t>
  </si>
  <si>
    <t>A250</t>
  </si>
  <si>
    <t>Provide for material site investigation</t>
  </si>
  <si>
    <t>A271</t>
  </si>
  <si>
    <t>Provide traffic diversion</t>
  </si>
  <si>
    <t>A 279.1</t>
  </si>
  <si>
    <t>Installation of sign post indicating Contract Name,Contractor and Contract Supervisory Agency.</t>
  </si>
  <si>
    <t>A290.1</t>
  </si>
  <si>
    <t>Providing progress photographs as per Specification</t>
  </si>
  <si>
    <t>Nr</t>
  </si>
  <si>
    <t>A290.2</t>
  </si>
  <si>
    <t>Setting out of works</t>
  </si>
  <si>
    <t>A290.3</t>
  </si>
  <si>
    <t>Keeping of employment records</t>
  </si>
  <si>
    <t>mth</t>
  </si>
  <si>
    <t>A 420</t>
  </si>
  <si>
    <t>Installation of sign post indicating Town Name.</t>
  </si>
  <si>
    <t>A311.1</t>
  </si>
  <si>
    <t>Setting up Contractor's compound</t>
  </si>
  <si>
    <t>A311.2</t>
  </si>
  <si>
    <t>Maintain Contractor's Compound</t>
  </si>
  <si>
    <t>A311.3</t>
  </si>
  <si>
    <t>Removing Contractor's Compound</t>
  </si>
  <si>
    <t>A420.1</t>
  </si>
  <si>
    <t>Provide safe drinking water for site employees including storage facilities (Polytank, etc.)</t>
  </si>
  <si>
    <t>P. Sum</t>
  </si>
  <si>
    <t>A420.2</t>
  </si>
  <si>
    <t>Provide and maintain protective clothing, safety equipment for use by site employees</t>
  </si>
  <si>
    <t>A420.3</t>
  </si>
  <si>
    <t>Replacement of protective clothing, safety equipment and first aid kit items</t>
  </si>
  <si>
    <t>A420.4</t>
  </si>
  <si>
    <t>Provide and maintain temporary latrines, relocate as necessary and remove and backfill on completion</t>
  </si>
  <si>
    <t>A420.5</t>
  </si>
  <si>
    <t>Provide First Aid kit and train First Aider</t>
  </si>
  <si>
    <t>A420.6</t>
  </si>
  <si>
    <t xml:space="preserve">Provide assistance to and facilitate site visits by MOH personnel to educate workers and local communities in STDs HIV/AIDS awareness and consultation meetings once every month. </t>
  </si>
  <si>
    <t>A420.7</t>
  </si>
  <si>
    <t>Provide for Project Management Services</t>
  </si>
  <si>
    <t>A420.8</t>
  </si>
  <si>
    <t>Percentage adjustment on items A231, A420.1, A420.2, A420.3, A420.4, A420.5, A420.6 and A420.7</t>
  </si>
  <si>
    <t>%</t>
  </si>
  <si>
    <t>A420.9</t>
  </si>
  <si>
    <t>Pay compensation to property owners</t>
  </si>
  <si>
    <t>A420.10</t>
  </si>
  <si>
    <t>Relocation of existing services</t>
  </si>
  <si>
    <t>p. sum</t>
  </si>
  <si>
    <t>A420.11</t>
  </si>
  <si>
    <t>Percentage adjustment on Item A420.9 and A420.10</t>
  </si>
  <si>
    <t>BILL NO.2:DEMOLITION AND SITE CLEARANCE</t>
  </si>
  <si>
    <t>D 523</t>
  </si>
  <si>
    <t>Demolish existing mass concrete structure approximate volume 250-500cu.m</t>
  </si>
  <si>
    <t>cu.m</t>
  </si>
  <si>
    <t>D 525</t>
  </si>
  <si>
    <t>Demolish existing reinforced concrete structure approximate volume 250-500cu.m</t>
  </si>
  <si>
    <t>TOTAL 'DEMOLITION AND SITE CLEARANCE' CARRIED TO SUMMARY</t>
  </si>
  <si>
    <t>E120.3</t>
  </si>
  <si>
    <t>Excavate unsuitable material in swampy area and dispose</t>
  </si>
  <si>
    <t>BILL NO.3:EARTHWORKS</t>
  </si>
  <si>
    <t>E220</t>
  </si>
  <si>
    <t>Excavate for cutting, material other than topsoil,rock or artificial hard material</t>
  </si>
  <si>
    <t>E230.2</t>
  </si>
  <si>
    <t>Excavate soft rock</t>
  </si>
  <si>
    <t>Excavation for foundations material other than topsoil, rock or artificial hard material maximum depth: not exceeding 0.25-0.5m</t>
  </si>
  <si>
    <t>Ditto item E 322,maximum depth 0.5-1.0m,ditto</t>
  </si>
  <si>
    <t>E 533.2</t>
  </si>
  <si>
    <t>Disposal of excavated material other than topsoil, rock or artificial hard material</t>
  </si>
  <si>
    <t>E 551</t>
  </si>
  <si>
    <t>Excavate inlet and outlet channels and dispose</t>
  </si>
  <si>
    <t>E 624</t>
  </si>
  <si>
    <t>Filling with material from excavation.</t>
  </si>
  <si>
    <t>E625</t>
  </si>
  <si>
    <t>Filling with material from borrow pit</t>
  </si>
  <si>
    <t xml:space="preserve">Construction of concrete pitching to embankment as per Drawing No………. </t>
  </si>
  <si>
    <t>sq.m</t>
  </si>
  <si>
    <t>E.667</t>
  </si>
  <si>
    <t>Providing and placing crushed stones.</t>
  </si>
  <si>
    <t>E 790.1</t>
  </si>
  <si>
    <t>Reinstatement of borrow pits</t>
  </si>
  <si>
    <t>E 900.1</t>
  </si>
  <si>
    <t>Haulage in excess of 1km for all items (0-20km).</t>
  </si>
  <si>
    <t>cu.m-km</t>
  </si>
  <si>
    <t>E 900.2</t>
  </si>
  <si>
    <t>Haulage in excess of 1km for all items (20-100km).</t>
  </si>
  <si>
    <t>Grade C10, cement to BS 12 or BS 146, 40 mm aggregate</t>
  </si>
  <si>
    <t>BILL NO.4: INSITU CONCRETE</t>
  </si>
  <si>
    <t>Grade C25, cement to BS 12 or BS 146, 20 mm aggregate</t>
  </si>
  <si>
    <t>Grade C30, cement to BS 12 or BS 146, 20 mm aggregate</t>
  </si>
  <si>
    <t>Haulage of aggregate in excess of 1km (0 - 20km)</t>
  </si>
  <si>
    <t>Haulage of aggregate in excess of 1km (20 - 100km)</t>
  </si>
  <si>
    <t>E 900.3b</t>
  </si>
  <si>
    <t>Haulage of aggregate in excess of 1km (100 - 200km)</t>
  </si>
  <si>
    <t>Mass lean concrete in 50mm thick blinding layer.</t>
  </si>
  <si>
    <t>Bases, footings, aprons and ground slabs, thickness 150mm</t>
  </si>
  <si>
    <t>Cu.m</t>
  </si>
  <si>
    <t>Apron and walls thickness 150-300mm</t>
  </si>
  <si>
    <t>Bases, footings, aprons and ground slabs, thickness 150-300mm</t>
  </si>
  <si>
    <t>Bases, footings, aprons and ground slabs, thickness 300-500mm</t>
  </si>
  <si>
    <t>Suspended slab, thickness 150-300mm</t>
  </si>
  <si>
    <t>Suspended slab, thickness 300-500mm</t>
  </si>
  <si>
    <t>Walls, thickness 150-300mm</t>
  </si>
  <si>
    <t>Walls, thickness 300-500mm</t>
  </si>
  <si>
    <t>Rough formwork to vertical surfaces, any width.</t>
  </si>
  <si>
    <t>BILL NO.5:CONCRETE ANCILLARIES</t>
  </si>
  <si>
    <t>Ditto item G 114, exceeding 1.22m wide</t>
  </si>
  <si>
    <t xml:space="preserve">Sawn formwork to vertical surfaces, 0.2-0.4m wide </t>
  </si>
  <si>
    <t>Fair formwork to soffits of slabs, exceeding 1.2m wide</t>
  </si>
  <si>
    <t xml:space="preserve">Fair formwork to vertical surfaces, 0.2-0.4m wide </t>
  </si>
  <si>
    <t>Ditto item G 243, exceeding 1.22m wide</t>
  </si>
  <si>
    <t>8mm diameter ditto item G 511</t>
  </si>
  <si>
    <t>T</t>
  </si>
  <si>
    <t>10mm diameter ditto item G 511</t>
  </si>
  <si>
    <t>12mm diameter ditto item G 511</t>
  </si>
  <si>
    <t>16mm diameter ditto item G 511</t>
  </si>
  <si>
    <t>20mm diameter ditto item G 511</t>
  </si>
  <si>
    <t>G 570</t>
  </si>
  <si>
    <t>Mild Steel Fabric Reinforcement</t>
  </si>
  <si>
    <t>G641.1</t>
  </si>
  <si>
    <t>Horizontal joint between slabs with 10mm thick</t>
  </si>
  <si>
    <t>Provide, lay and joint 1/600mm diameter pipe in trench</t>
  </si>
  <si>
    <t>BILL NO.6:PIPE WORK - PIPES</t>
  </si>
  <si>
    <t>Ditto item I 232, 900mm diameter ditto</t>
  </si>
  <si>
    <t>Ditto item I 232, 1200mm diameter ditto</t>
  </si>
  <si>
    <t>Ditto item I 232, 1500mm diameter ditto</t>
  </si>
  <si>
    <t>Ditto item I 232, 1800mm diameter ditto</t>
  </si>
  <si>
    <t>Provide and place mass concrete Grade C20/40 aggregate, 150mm thick in beds and surround to single 600 mm Pipe Culvert</t>
  </si>
  <si>
    <t>BILL NO.7:PIPE WORK - SUPPORT AND PROTECTION</t>
  </si>
  <si>
    <t>Provide and place mass concrete Grade C20/40 aggregate, 150mm thick in beds and surround to single</t>
  </si>
  <si>
    <t>Ditto item L 343.1, double 900mm ditto</t>
  </si>
  <si>
    <t>Ditto item L 343.1, tripple 900mm ditto</t>
  </si>
  <si>
    <t xml:space="preserve"> Provide and place mass concrete in bed and surround to single 1200mm diameter pipe</t>
  </si>
  <si>
    <t>Provide and place mass concrete in bed and surround to double1200mm diameter nominal distant 2700mm</t>
  </si>
  <si>
    <t>Provide and place mass concrete in bed and surround to tripple 1200mm diameter nominal distant 2700mm</t>
  </si>
  <si>
    <t>Provide and place mass concrete in bed and surround to single 1500mm diameter pipe</t>
  </si>
  <si>
    <t>Provide and place mass concrete in bed and surround to double1500mm diameter nominal distant 3900mm</t>
  </si>
  <si>
    <t>Provide and place mass concrete in bed and surround to tripple 1500mm diameter nominal distant 6000mm</t>
  </si>
  <si>
    <t>Provide and place mass concrete in bed and surround to single1800mm diameter nominal distant 3900mm</t>
  </si>
  <si>
    <t>Provide and place mass concrete in bed and surround to double 1800mm diameter nominal distant 3900mm</t>
  </si>
  <si>
    <t>Provide and place mass concrete in bed and surround to tripple1800mm diameter nominal distant 3900mm</t>
  </si>
  <si>
    <t>BILL NO.8: DRAINS AND DITCHES</t>
  </si>
  <si>
    <t>K 492.4</t>
  </si>
  <si>
    <t>Concrete U-Drain cross-sectional (0.75-1.00 sq.m) [600 x 750 x 150mm thick wall internally]</t>
  </si>
  <si>
    <t>E 900.3c</t>
  </si>
  <si>
    <t>Haulage of aggregate in excess of 1km (100-250km)</t>
  </si>
  <si>
    <t>E 900.3</t>
  </si>
  <si>
    <t>K673.1</t>
  </si>
  <si>
    <t>Barrel of U culvert</t>
  </si>
  <si>
    <t>BILL NO.9:U-CULVERTS</t>
  </si>
  <si>
    <t>K979.1</t>
  </si>
  <si>
    <t>K979.2</t>
  </si>
  <si>
    <t>Wingwall and aprons outlet structure</t>
  </si>
  <si>
    <t>K673.1b</t>
  </si>
  <si>
    <t>K979.1b</t>
  </si>
  <si>
    <t>K979.2b</t>
  </si>
  <si>
    <t>K673.1c</t>
  </si>
  <si>
    <t>K979.1c</t>
  </si>
  <si>
    <t>K979.2c</t>
  </si>
  <si>
    <t>K673.1d</t>
  </si>
  <si>
    <t>K979.1d</t>
  </si>
  <si>
    <t>K979.2d</t>
  </si>
  <si>
    <t>K673.1e</t>
  </si>
  <si>
    <t>K979.1e</t>
  </si>
  <si>
    <t>K979.2e</t>
  </si>
  <si>
    <t>K673.1f</t>
  </si>
  <si>
    <t>K979.1f</t>
  </si>
  <si>
    <t>K979.2f</t>
  </si>
  <si>
    <t>K673.1g</t>
  </si>
  <si>
    <t>K979.1g</t>
  </si>
  <si>
    <t>K979.2g</t>
  </si>
  <si>
    <t>K673.1h</t>
  </si>
  <si>
    <t>K979.1h</t>
  </si>
  <si>
    <t>K979.2h</t>
  </si>
  <si>
    <t>K673.1i</t>
  </si>
  <si>
    <t>K979.1i</t>
  </si>
  <si>
    <t>K979.2i</t>
  </si>
  <si>
    <t>K673.1j</t>
  </si>
  <si>
    <t>K979.1j</t>
  </si>
  <si>
    <t>K979.2j</t>
  </si>
  <si>
    <t>K673.1k</t>
  </si>
  <si>
    <t>K979.1k</t>
  </si>
  <si>
    <t>K979.2k</t>
  </si>
  <si>
    <t>K673.1l</t>
  </si>
  <si>
    <t>K979.1l</t>
  </si>
  <si>
    <t>K979.2l</t>
  </si>
  <si>
    <t>BILL NO.9: ROADS AND PAVINGS</t>
  </si>
  <si>
    <t>Sub-bases,flexible road bases and surfacing,Granular material DTp Specified type 2,depth: 150mm thick</t>
  </si>
  <si>
    <t>E 900.2d</t>
  </si>
  <si>
    <t>Supply, design inc. adhesive agent, prepare surface,seal work</t>
  </si>
  <si>
    <t>litre</t>
  </si>
  <si>
    <t>Supply, design inc. adhesive agent, prepare surface, primerseal work</t>
  </si>
  <si>
    <t>Supply, design inc. cutter oil (ATK kerosine) primer seal</t>
  </si>
  <si>
    <t>Supply, precoat, design spray rate, incorporarate 10mm chips including 1km haulage</t>
  </si>
  <si>
    <t>Supply, precoat, design spray rate, incorporarate 14mm chips including 1km haulage</t>
  </si>
  <si>
    <t>R349.1e</t>
  </si>
  <si>
    <t>Haulage of chippings and quarry dust (20 - 100Km)</t>
  </si>
  <si>
    <t>R 611</t>
  </si>
  <si>
    <t>Provide and place precast concrete kerbs,straight or curved to radius exceeding 12m (as per drawing)</t>
  </si>
  <si>
    <t>R811</t>
  </si>
  <si>
    <t>Provide and erect mica post of square size 200mm wide, 600mm high and base 450mm painted red and white strips.</t>
  </si>
  <si>
    <t>Nr.</t>
  </si>
  <si>
    <t>BILL NO.10: MISCELLANEOUS</t>
  </si>
  <si>
    <t>LESS</t>
  </si>
  <si>
    <t>SPECIFIED PROVISIONAL SUMS</t>
  </si>
  <si>
    <t>ADD</t>
  </si>
  <si>
    <t xml:space="preserve">CONTINGENCIES </t>
  </si>
  <si>
    <t>(added in rebuild)</t>
  </si>
  <si>
    <t>E 657</t>
  </si>
  <si>
    <t>R 124</t>
  </si>
  <si>
    <t>R 349.1a</t>
  </si>
  <si>
    <t>R 349.1b</t>
  </si>
  <si>
    <t>R 349.2</t>
  </si>
  <si>
    <t>R 349.4c</t>
  </si>
  <si>
    <t>R 349.4d</t>
  </si>
  <si>
    <t>E 900.2e</t>
  </si>
  <si>
    <t>RATE REGISTER</t>
  </si>
  <si>
    <t>The bill never holds a rate. Re-pricing happens here and nowhere else.</t>
  </si>
  <si>
    <t>Rate (GH₵)</t>
  </si>
  <si>
    <t>Priced</t>
  </si>
  <si>
    <t>2025</t>
  </si>
  <si>
    <t>Legacy Master BOQ column K</t>
  </si>
  <si>
    <t>Rate adopted from the other concrete placing items F 622 / F 623 / F 632 / F 633 / F 643, all 660/cu.m across thickness bands.</t>
  </si>
  <si>
    <t>Rate adopted from G 115 (rough formwork, exceeding 1.22m wide) at 140/sq.m; bill applies one rate across width bands.</t>
  </si>
  <si>
    <t>Rate adopted from fair-finish formwork items G 143 / G 244 / G 245 (all 155/sq.m). Soffit propping not separately allowed for.</t>
  </si>
  <si>
    <t>TO BE PRICED</t>
  </si>
  <si>
    <t>LINE DIAGRAM ENTRY FOR</t>
  </si>
  <si>
    <t>Drawn from 01_Stations — this is an output, not an input. One block per 2 km, 40 stations of 50 m, in the format of the legacy KM sheets. Each block prints as one landscape page. Never type into the diagram; edit 01_Stations and the diagram follows.</t>
  </si>
  <si>
    <t>ROAD NAME</t>
  </si>
  <si>
    <t>REGION</t>
  </si>
  <si>
    <t>DISTRICT</t>
  </si>
  <si>
    <t>ROAD CODE</t>
  </si>
  <si>
    <t>LENGTH (km)</t>
  </si>
  <si>
    <t>KM 0 – 2</t>
  </si>
  <si>
    <t>km 0</t>
  </si>
  <si>
    <t>CHAINAGE</t>
  </si>
  <si>
    <t>EARTH WORKS</t>
  </si>
  <si>
    <t>Trees / grass / bush clearing</t>
  </si>
  <si>
    <t>Raise road in low-lying areas</t>
  </si>
  <si>
    <t>Width (L+R)</t>
  </si>
  <si>
    <t>Stone pitching of embankment</t>
  </si>
  <si>
    <t>DRAINAGE</t>
  </si>
  <si>
    <t>V-shaped unlined ditches</t>
  </si>
  <si>
    <t>R</t>
  </si>
  <si>
    <t>Culverts / drift</t>
  </si>
  <si>
    <t>Bridges</t>
  </si>
  <si>
    <t>Conc. U-drains</t>
  </si>
  <si>
    <t>size</t>
  </si>
  <si>
    <t>Trapezoidal drain</t>
  </si>
  <si>
    <t>Kerb</t>
  </si>
  <si>
    <t>L &amp; R</t>
  </si>
  <si>
    <t>spacing</t>
  </si>
  <si>
    <t>Turnouts</t>
  </si>
  <si>
    <t>ROAD SURFACE</t>
  </si>
  <si>
    <t>KM 2 – 4</t>
  </si>
  <si>
    <t>km 2</t>
  </si>
  <si>
    <t>KM 4 – 6</t>
  </si>
  <si>
    <t>km 4</t>
  </si>
  <si>
    <t>KM 6 – 8</t>
  </si>
  <si>
    <t>km 6</t>
  </si>
  <si>
    <t>KM 8 – 10</t>
  </si>
  <si>
    <t>km 8</t>
  </si>
  <si>
    <t>KM 10 – 12</t>
  </si>
  <si>
    <t>km 10</t>
  </si>
  <si>
    <t>KM 12 – 14</t>
  </si>
  <si>
    <t>km 12</t>
  </si>
  <si>
    <t>KM 14 – 16</t>
  </si>
  <si>
    <t>km 14</t>
  </si>
  <si>
    <t>KM 16 – 18</t>
  </si>
  <si>
    <t>km 16</t>
  </si>
  <si>
    <t>KM 18 – 20</t>
  </si>
  <si>
    <t>km 18</t>
  </si>
  <si>
    <t>TAKING-OFF — ROADWORKS AND DRAINAGE</t>
  </si>
  <si>
    <t>Dimension paper in the legacy format, supporting every roadworks and drainage item in the bill. Column I states what each figure is and checks the collected quantity back against 06_Road_Engine.</t>
  </si>
  <si>
    <t>Timesing</t>
  </si>
  <si>
    <t>Item quantity</t>
  </si>
  <si>
    <t>What each figure is</t>
  </si>
  <si>
    <t>length cleared, m   (timesing 0.0001 converts m² to Ha)</t>
  </si>
  <si>
    <t>clearing width, m</t>
  </si>
  <si>
    <t>length, m   (timesing 0.0001 converts m² to Ha)</t>
  </si>
  <si>
    <t>width, m</t>
  </si>
  <si>
    <t>length, m</t>
  </si>
  <si>
    <t>mean width, m</t>
  </si>
  <si>
    <t>mean depth, m</t>
  </si>
  <si>
    <t>mean height, m</t>
  </si>
  <si>
    <t>Raising of road</t>
  </si>
  <si>
    <t>formation width, m</t>
  </si>
  <si>
    <t>Deep gullies</t>
  </si>
  <si>
    <t>measured per station, m³</t>
  </si>
  <si>
    <t>measured per station, m²</t>
  </si>
  <si>
    <t>Sub-base overhaul</t>
  </si>
  <si>
    <t>thickness, m</t>
  </si>
  <si>
    <t>overhaul, km</t>
  </si>
  <si>
    <t>Base overhaul</t>
  </si>
  <si>
    <t>seal width, m</t>
  </si>
  <si>
    <t>Primer binder</t>
  </si>
  <si>
    <t>prime width, m</t>
  </si>
  <si>
    <t>binder fraction</t>
  </si>
  <si>
    <t>Cutter oil</t>
  </si>
  <si>
    <t>cutter fraction</t>
  </si>
  <si>
    <t>sealed length, m</t>
  </si>
  <si>
    <t>m³ per m²</t>
  </si>
  <si>
    <t>Chipping haulage</t>
  </si>
  <si>
    <t>chippings, m³</t>
  </si>
  <si>
    <t>haul distance, km</t>
  </si>
  <si>
    <t>Warning signs</t>
  </si>
  <si>
    <t>length, km</t>
  </si>
  <si>
    <t>signs per km</t>
  </si>
  <si>
    <t>Informatory signs</t>
  </si>
  <si>
    <t>Mandatory signs</t>
  </si>
  <si>
    <t>Lane separation line</t>
  </si>
  <si>
    <t>m per m</t>
  </si>
  <si>
    <t>STOP lines</t>
  </si>
  <si>
    <t>m per km</t>
  </si>
  <si>
    <t>Centre line</t>
  </si>
  <si>
    <t>Edge lines</t>
  </si>
  <si>
    <t>m per m, both edges</t>
  </si>
  <si>
    <t>Pedestrian crossings</t>
  </si>
  <si>
    <t>Speed ramps</t>
  </si>
  <si>
    <t>ramps per km</t>
  </si>
  <si>
    <t>length with scour checks, m</t>
  </si>
  <si>
    <t>1 / spacing</t>
  </si>
  <si>
    <t>Drain concrete, fine agg.</t>
  </si>
  <si>
    <t>concrete, m³</t>
  </si>
  <si>
    <t>fine agg. per m³</t>
  </si>
  <si>
    <t>Drain concrete, coarse agg.</t>
  </si>
  <si>
    <t>coarse agg. per m³</t>
  </si>
  <si>
    <t>TAKING-OFF — CULVERTS</t>
  </si>
  <si>
    <t>Dimension paper in the legacy format, one section per culvert type. Pipe culverts measured from 03_Pipe_Engine; U-culverts are composite (enumerated) items from 05_UCulv_Engine. BOX CULVERTS are measured separately and in full on 04c_Box_Takeoff.</t>
  </si>
  <si>
    <t>Timesing /
first dim.</t>
  </si>
  <si>
    <t>PIPE CULVERTS</t>
  </si>
  <si>
    <t>Trench</t>
  </si>
  <si>
    <t>total length, m</t>
  </si>
  <si>
    <t>width of culvert, m</t>
  </si>
  <si>
    <t>depth, m</t>
  </si>
  <si>
    <t>Aprons, 2 ends</t>
  </si>
  <si>
    <t>apron length, m</t>
  </si>
  <si>
    <t>Wing-wall footings</t>
  </si>
  <si>
    <t>Toes</t>
  </si>
  <si>
    <t>width at apron end, m</t>
  </si>
  <si>
    <t>depth of toe, m</t>
  </si>
  <si>
    <t>Provide C10 lean concrete for blinding</t>
  </si>
  <si>
    <t>Blinding under trench</t>
  </si>
  <si>
    <t>Place concrete in aprons, footings and toes</t>
  </si>
  <si>
    <t>Aprons</t>
  </si>
  <si>
    <t>Place concrete in headwalls and wing walls</t>
  </si>
  <si>
    <t>Headwalls</t>
  </si>
  <si>
    <t>height, m</t>
  </si>
  <si>
    <t>Wing walls</t>
  </si>
  <si>
    <t>Fair formwork to vertical surfaces 0.2–0.4 m wide</t>
  </si>
  <si>
    <t>Headwall ends</t>
  </si>
  <si>
    <t>Wing-wall ends</t>
  </si>
  <si>
    <t>height at end, m</t>
  </si>
  <si>
    <t>Fair formwork to vertical surfaces exceeding 1.22 m</t>
  </si>
  <si>
    <t>Headwall faces</t>
  </si>
  <si>
    <t>nr, both faces</t>
  </si>
  <si>
    <t>Wing-wall faces</t>
  </si>
  <si>
    <t>Provide, lay and joint 600 mm diameter pipe</t>
  </si>
  <si>
    <t>Barrels</t>
  </si>
  <si>
    <t>cells</t>
  </si>
  <si>
    <t>Mass concrete bed and surround to pipes</t>
  </si>
  <si>
    <t>Measured on length</t>
  </si>
  <si>
    <t>Provide, lay and joint 900 mm diameter pipe</t>
  </si>
  <si>
    <t>Provide, lay and joint 1200 mm diameter pipe</t>
  </si>
  <si>
    <t>Provide, lay and joint 1500 mm diameter pipe</t>
  </si>
  <si>
    <t>Provide, lay and joint 1800 mm diameter pipe</t>
  </si>
  <si>
    <t>U-CULVERTS  (composite items — excavation, concrete, formwork and reinforcement are included in the item rate)</t>
  </si>
  <si>
    <t>Skew culverts take a catchpit inlet</t>
  </si>
  <si>
    <t>Wingwall and apron outlet structure</t>
  </si>
  <si>
    <t>Two ends per culvert less catchpit inlets</t>
  </si>
  <si>
    <t>ends</t>
  </si>
  <si>
    <t>each</t>
  </si>
  <si>
    <t>Deduct catchpit inlets</t>
  </si>
  <si>
    <t>BOX CULVERTS — measured in full on 04c_Box_Takeoff</t>
  </si>
  <si>
    <t>Box culverts are taken off from first-principles geometry on 04a_Box_Dims / 04b_Box_Bars / 04c_Box_Takeoff, one complete 148-row measurement per type. They are deliberately NOT repeated here.</t>
  </si>
  <si>
    <t>BILL OF QUANTITIES</t>
  </si>
  <si>
    <t>Item</t>
  </si>
  <si>
    <t>Roadworks</t>
  </si>
  <si>
    <t>Drains</t>
  </si>
  <si>
    <t>Pipe culv.</t>
  </si>
  <si>
    <t>Box culv.</t>
  </si>
  <si>
    <t>U-culv.</t>
  </si>
  <si>
    <t>Misc.</t>
  </si>
  <si>
    <t>Amount (GH₵)</t>
  </si>
  <si>
    <t>CONTRACTUAL REQUIREMENTS</t>
  </si>
  <si>
    <t>SPECIFIED REQUIREMENTS</t>
  </si>
  <si>
    <t>Engineer's staff.</t>
  </si>
  <si>
    <t>METHOD RELATED CHARGES</t>
  </si>
  <si>
    <t>MISCELLANEOUS PROVISIONAL SUMS</t>
  </si>
  <si>
    <t>TOTAL 'GENERAL ITEMS' CARRIED TO GRAND GRAND SUMMARY</t>
  </si>
  <si>
    <t>TOTAL — BILL NO.1:GENERAL ITEMS</t>
  </si>
  <si>
    <t>General Clearance</t>
  </si>
  <si>
    <t>TOTAL — BILL NO.2:DEMOLITION AND SITE CLEARANCE</t>
  </si>
  <si>
    <t>Excavation of cutting</t>
  </si>
  <si>
    <t>Excavation of foundation</t>
  </si>
  <si>
    <t>General Excavation</t>
  </si>
  <si>
    <t>Excavation Ancillaries</t>
  </si>
  <si>
    <t>Filling</t>
  </si>
  <si>
    <t>Filling Ancillaries</t>
  </si>
  <si>
    <t>TOTAL 'EARTHWORKS' CARRIED TO SUMMARY</t>
  </si>
  <si>
    <t>TOTAL — BILL NO.3:EARTHWORKS</t>
  </si>
  <si>
    <t>Provision of Ordinary Designed Mix Concrete</t>
  </si>
  <si>
    <t>Placing of Concrete</t>
  </si>
  <si>
    <t>Placing of Reinforced Concrete</t>
  </si>
  <si>
    <t>TOTAL 'INSITU CONCRETE' CARRIED TO SUMMARY</t>
  </si>
  <si>
    <t>TOTAL — BILL NO.4: INSITU CONCRETE</t>
  </si>
  <si>
    <t>Formwork</t>
  </si>
  <si>
    <t>Reinforcement</t>
  </si>
  <si>
    <t>Accessories</t>
  </si>
  <si>
    <t>concrete expansion joint filler</t>
  </si>
  <si>
    <t>TOTAL 'CONCRETE ANCILLARIES' CARRIED TO SUMMARY</t>
  </si>
  <si>
    <t>TOTAL — BILL NO.5:CONCRETE ANCILLARIES</t>
  </si>
  <si>
    <t>Precast Concrete Pipes</t>
  </si>
  <si>
    <t>TOTAL 'PIPE WORK - PIPES ' CARRIED TO SUMMARY</t>
  </si>
  <si>
    <t>TOTAL — BILL NO.6:PIPE WORK - PIPES</t>
  </si>
  <si>
    <t>Support And Protection Ancillaries To  Laying And Excavation</t>
  </si>
  <si>
    <t>TOTAL 'PIPE WORK-SUPPORT' CARRIED TO SUMMARY</t>
  </si>
  <si>
    <t>TOTAL — BILL NO.7:PIPE WORK - SUPPORT AND PROTECTION</t>
  </si>
  <si>
    <t>Lined And Unlined Drianage Ditches</t>
  </si>
  <si>
    <t>TOTAL 'DRAINS AND DITCHES' CARRIED TO SUMMARY</t>
  </si>
  <si>
    <t>TOTAL — BILL NO.8: DRAINS AND DITCHES</t>
  </si>
  <si>
    <t>U - CULVERTS</t>
  </si>
  <si>
    <t>Construct 700 x 900mm diameter 'U' culvert Relief Type including excavation, concreting,formwork, reinforcement ETC</t>
  </si>
  <si>
    <t>Construct 2/700 x 900mm diameter 'U' culvert Relief Type including excavation, concreting,formwork, reinforcement ETC</t>
  </si>
  <si>
    <t>Construct 3/700 x 900mm diameter 'U' culvert Relief Type including excavation, concreting,formwork, reinforcement ETC</t>
  </si>
  <si>
    <t>Construct 1/900 x 1200mm diameter 'U' culvert Relief Type including excavation, concreting,formwork, reinforcement ETC</t>
  </si>
  <si>
    <t>SUB-TOTAL</t>
  </si>
  <si>
    <t>Construct 2/900 x 1200mm diameter 'U' culvert Relief Type including excavation, concreting,formwork, reinforcement ETC</t>
  </si>
  <si>
    <t>Construct 3/900 x 1200mm diameter 'U' culvert Relief Type including excavation, concreting,formwork, reinforcement ETC</t>
  </si>
  <si>
    <t>Construct 1/1250 x 1800mm diameter 'U' culvert Relief Type including excavation, concreting,formwork, reinforcement ETC</t>
  </si>
  <si>
    <t>Construct 2/1250 x 1800mm diameter 'U' culvert Relief Type including excavation, concreting,formwork, reinforcement ETC</t>
  </si>
  <si>
    <t>Construct 3/1250 x 1800mm diameter 'U' culvert Relief Type including excavation, concreting,formwork, reinforcement ETC</t>
  </si>
  <si>
    <t>Construct 1/1800 x 1800mm diameter 'U' culvert Relief Type including excavation, concreting,formwork, reinforcement ETC</t>
  </si>
  <si>
    <t>Construct 2/1800 x 1800mm diameter 'U' culvert Relief Type including excavation, concreting,formwork, reinforcement ETC</t>
  </si>
  <si>
    <t>Construct 3/1800 x 1800mm diameter 'U' culvert Relief Type including excavation, concreting,formwork, reinforcement ETC</t>
  </si>
  <si>
    <t>TOTAL, U-CULVERTS, CARRIED TO GENERAL SUMMARY</t>
  </si>
  <si>
    <t>TOTAL — BILL NO.9:U-CULVERTS</t>
  </si>
  <si>
    <t>Sub-bases, Flexible Road Bases and Surfacing</t>
  </si>
  <si>
    <t>TOTAL ' ROADS AND PAVINGS' CARRIED TO SUMMARY</t>
  </si>
  <si>
    <t>TOTAL — BILL NO.9: ROADS AND PAVINGS</t>
  </si>
  <si>
    <t>ANCIL LARIES</t>
  </si>
  <si>
    <t xml:space="preserve"> </t>
  </si>
  <si>
    <t>REFLECTIVE MATERIAL 3MM THICK ALL AS PER DRAWING</t>
  </si>
  <si>
    <t>SPEED HUMPS</t>
  </si>
  <si>
    <t>TOTAL ' MISCELLANEOUS' CARRIED TO SUMMARY</t>
  </si>
  <si>
    <t>GRAND SUMMARY - BILLS OF QUANTITIES</t>
  </si>
  <si>
    <t>SUMMARY</t>
  </si>
  <si>
    <t>BILL No.2: DEMOLITION AND SITE CLEARANCE</t>
  </si>
  <si>
    <t>BILL No.3: EARTHWORKS</t>
  </si>
  <si>
    <t>BILL No.4: IN SITU CONCRETE</t>
  </si>
  <si>
    <t>BILL No.5: CONCRETE ANCILLARIES</t>
  </si>
  <si>
    <t>BILL No.8: DRAINS AND DITCHES</t>
  </si>
  <si>
    <t>BILL No.9: ROADS AND PAVINGS</t>
  </si>
  <si>
    <t>SUB-TOTALS OF BILLS</t>
  </si>
  <si>
    <t>SUB-TOTALS OF BILLS LESS SPECIFIED PROVISIONAL SUMS</t>
  </si>
  <si>
    <t>ADD/SUBTRACT</t>
  </si>
  <si>
    <t>ADJUSTMENT ALLOWANCE</t>
  </si>
  <si>
    <t>TOTAL ESTIMATED COST OF WORKS</t>
  </si>
  <si>
    <t>TOTAL — BILL NO.10: MISCELLANEOUS</t>
  </si>
  <si>
    <t>GRAND SUMMARY</t>
  </si>
  <si>
    <t>GRAND TOTAL</t>
  </si>
  <si>
    <t>RECONCILIATION CHECKS</t>
  </si>
  <si>
    <t>Every test must read OK before the bill is issued. This page did not exist in the legacy system — which is why none of its twenty defects were ever caught.</t>
  </si>
  <si>
    <t>#</t>
  </si>
  <si>
    <t>Test</t>
  </si>
  <si>
    <t>Expected</t>
  </si>
  <si>
    <t>Actual</t>
  </si>
  <si>
    <t>Result</t>
  </si>
  <si>
    <t>Culverts in schedule = culverts matched by the three engines</t>
  </si>
  <si>
    <t>Any shortfall means a Family/Size combination has no engine row. Counts entries, not formula blanks.</t>
  </si>
  <si>
    <t>Total culvert length in schedule = total matched</t>
  </si>
  <si>
    <t>Stations with data all fall inside the declared road length</t>
  </si>
  <si>
    <t>Vegetation entered beyond the end of the road. Counts entries, not formula blanks.</t>
  </si>
  <si>
    <t>Every priced BOQ line has a rate</t>
  </si>
  <si>
    <t>Quantity but no rate</t>
  </si>
  <si>
    <t>INFO — priced items carrying no quantity (normal on a partial bill)</t>
  </si>
  <si>
    <t>Priced item that carries no quantity — check the engines</t>
  </si>
  <si>
    <t>Sub-base and base lengths are consistent with pavement flags</t>
  </si>
  <si>
    <t>Base longer than sub-base</t>
  </si>
  <si>
    <t>Scour check spacing entered wherever scour checks are flagged</t>
  </si>
  <si>
    <t>Spacing missing — scour check count would divide by zero</t>
  </si>
  <si>
    <t>Bill totals cross-foot to the grand total</t>
  </si>
  <si>
    <t>Each amount is counted once in a bill total and once in the grand total</t>
  </si>
  <si>
    <t>Box culvert types in use with no geometry take-off</t>
  </si>
  <si>
    <t>3/2x2 and 4/2x2 were never taken off in the legacy workbook</t>
  </si>
  <si>
    <t>Culvert rows with a Family/Size that no engine recognises</t>
  </si>
  <si>
    <t>Typo in Family, Cells or Size</t>
  </si>
  <si>
    <t>PARALLEL RUN — REBUILT vs LEGACY, ON THE SAME SAMPLE DATA</t>
  </si>
  <si>
    <t>Legacy figures are the values cached in Master BOQ.xlsx column J. A difference is not an error in itself — most are the defects listed below being corrected. Every line should be explainable.</t>
  </si>
  <si>
    <t>Legacy qty</t>
  </si>
  <si>
    <t>Rebuilt qty</t>
  </si>
  <si>
    <t>Difference</t>
  </si>
  <si>
    <t>% change</t>
  </si>
  <si>
    <t>BILLS OF QUANTITIES</t>
  </si>
  <si>
    <t>ITEM NO.</t>
  </si>
  <si>
    <t>PROGRAMME NAME:</t>
  </si>
  <si>
    <t>PROJECT TITLE:</t>
  </si>
  <si>
    <t>DELIBERATE DEPARTURES FROM THE LEGACY WORKBOOKS</t>
  </si>
  <si>
    <t>Ref</t>
  </si>
  <si>
    <t>What changed</t>
  </si>
  <si>
    <t>Why</t>
  </si>
  <si>
    <t>D-00</t>
  </si>
  <si>
    <t>No external workbook links anywhere.</t>
  </si>
  <si>
    <t>All twelve legacy links pointed at filenames that no longer exist; the bill was showing cached values.</t>
  </si>
  <si>
    <t>D-01</t>
  </si>
  <si>
    <t>1200 mm pipe lengths are billed once, under I 252 only.</t>
  </si>
  <si>
    <t>Legacy Collection!H32:J32 also summed them into I 242 (900 mm).</t>
  </si>
  <si>
    <t>D-02</t>
  </si>
  <si>
    <t>Reshaping (E 592.3) is billed; scarifying, sub-base, base and both seals read the correct rows.</t>
  </si>
  <si>
    <t>The legacy Summary of qty from LD was shifted one row against the KM sheets.</t>
  </si>
  <si>
    <t>D-03..07</t>
  </si>
  <si>
    <t>Every culvert type maps to exactly one engine row via the Family|Cells/Size key.</t>
  </si>
  <si>
    <t>Six legacy bill lines read the wrong take-off sheet.</t>
  </si>
  <si>
    <t>D-08</t>
  </si>
  <si>
    <t>Quantity = SUM(Roadworks … Misc). The Misc column is included.</t>
  </si>
  <si>
    <t>Legacy J = SUM(D:H) silently dropped column I.</t>
  </si>
  <si>
    <t>D-09</t>
  </si>
  <si>
    <t>All lookups are exact-match INDEX/MATCH and SUMIFS.</t>
  </si>
  <si>
    <t>52 legacy VLOOKUPs used approximate match on an unsorted code list.</t>
  </si>
  <si>
    <t>D-10</t>
  </si>
  <si>
    <t>Township length = flag × interval.</t>
  </si>
  <si>
    <t>Legacy multiplied by an empty cell, so it was always zero.</t>
  </si>
  <si>
    <t>D-11</t>
  </si>
  <si>
    <t>900 mm U-drain = left + right.</t>
  </si>
  <si>
    <t>Legacy added the right-hand cell to itself.</t>
  </si>
  <si>
    <t>D-12</t>
  </si>
  <si>
    <t>Scour check count = length ÷ spacing, tested for a zero spacing.</t>
  </si>
  <si>
    <t>Legacy tested a cell on the wrong sheet, so the count was always zero.</t>
  </si>
  <si>
    <t>D-21</t>
  </si>
  <si>
    <t>Family (PC/BC/UC) is part of the match key.</t>
  </si>
  <si>
    <t>Legacy matched on size text alone with database prefix matching, so 1/900X1200 U-culverts were also billed as 900 mm pipe culverts.</t>
  </si>
  <si>
    <t>D-23</t>
  </si>
  <si>
    <t>The culvert count is applied once.</t>
  </si>
  <si>
    <t>Legacy pipe take-offs multiplied by the count and by count × average length, inflating every pipe quantity by the number of culverts.</t>
  </si>
  <si>
    <t>Geometry</t>
  </si>
  <si>
    <t>Pipe culvert height = D + 2t(pipe) + 2t(surround).</t>
  </si>
  <si>
    <t>Legacy multiplied the height by the number of barrels.</t>
  </si>
  <si>
    <t>Apron dimensions use COS(RADIANS(45)).</t>
  </si>
  <si>
    <t>Legacy COS(45) evaluated 45 radians, giving 1.05 m instead of 1.414 m.</t>
  </si>
  <si>
    <t>Signs, STOP lines, pedestrian crossings and ramps are per kilometre.</t>
  </si>
  <si>
    <t>Legacy applied the per-km figure to every metre, overstating by 1000×.</t>
  </si>
  <si>
    <t>Box culvert reinforcement (G 512-516) flows to the bill.</t>
  </si>
  <si>
    <t>The legacy Collection (3) reinforcement rows were never linked, so box reinforcement was omitted entirely.</t>
  </si>
  <si>
    <t>TAKING-OFF AGREEMENT AND DRAWING COVERAGE</t>
  </si>
  <si>
    <t>The taking-off sheets re-measure every item from the dimensions. These tests prove the measurement and the bill agree, within the rounding a dimension sheet works to.</t>
  </si>
  <si>
    <t>Roadworks taking-off agrees with the bill on every item</t>
  </si>
  <si>
    <t>Dimensions to 3 dp; tolerance 0.01 or 0.5%</t>
  </si>
  <si>
    <t>Culvert taking-off agrees with the bill on every item</t>
  </si>
  <si>
    <t>Box culverts are measured on 04c and read by 04_Box_Engine, so they cannot drift</t>
  </si>
  <si>
    <t>Line diagram covers the declared road length</t>
  </si>
  <si>
    <t>20_Line_Diagram is drawn for 20 km; copy a 2 km block to extend</t>
  </si>
  <si>
    <t>ENGINE-TO-BILL COVERAGE</t>
  </si>
  <si>
    <t>An engine can measure work that no bill line collects. The quantity is correct, the bill still foots, and the work is simply never paid for. These tests count the item codes that fall through.</t>
  </si>
  <si>
    <t>Every roadworks engine item has a bill line</t>
  </si>
  <si>
    <t>Item codes must match the bill exactly — a stray space prices the line at zero (D-28)</t>
  </si>
  <si>
    <t>Every pipe-culvert engine item has a bill line</t>
  </si>
  <si>
    <t>Known open: G 243, L 343.2, L 343.3 — multi-cell 600 mm bed-and-surround has no bill line</t>
  </si>
  <si>
    <t>Every U-culvert engine item has a bill line</t>
  </si>
  <si>
    <t>Known open: E 900.1f / E 900.2f aggregate haulage have no bill line (barrel, inlet and outlet are billed through the composite K673/K979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</si>
</sst>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0"/>
    <numFmt numFmtId="165" formatCode="#,##0.000"/>
    <numFmt numFmtId="166" formatCode="0.###"/>
    <numFmt numFmtId="167" formatCode="#,##0.0"/>
    <numFmt numFmtId="168" formatCode="#,##0.###"/>
    <numFmt numFmtId="169" formatCode="0.0000"/>
    <numFmt numFmtId="170" formatCode="0.##"/>
    <numFmt numFmtId="171" formatCode="0.0"/>
  </numFmts>
  <fonts count="81" x14ac:knownFonts="1">
    <font>
      <sz val="11"/>
      <color theme="1"/>
      <name val="Calibri"/>
      <scheme val="minor"/>
    </font>
    <font>
      <b/>
      <sz val="15"/>
      <color rgb="FF1F3864"/>
      <name val="Calibri"/>
      <scheme val="minor"/>
    </font>
    <font>
      <i/>
      <sz val="9"/>
      <color rgb="FF606060"/>
      <name val="Calibri"/>
      <scheme val="minor"/>
    </font>
    <font>
      <b/>
      <sz val="9"/>
      <color rgb="FFFFFFFF"/>
      <name val="Calibri"/>
      <scheme val="minor"/>
    </font>
    <font>
      <b/>
      <sz val="8"/>
      <color rgb="FFFFFFFF"/>
      <name val="Calibri"/>
      <scheme val="minor"/>
    </font>
    <font>
      <sz val="11"/>
      <color theme="1"/>
      <name val="Calibri"/>
    </font>
    <font>
      <b/>
      <sz val="10"/>
      <color rgb="FF1F3864"/>
      <name val="Calibri"/>
      <scheme val="minor"/>
    </font>
    <font>
      <i/>
      <sz val="8"/>
      <color rgb="FF808080"/>
      <name val="Calibri"/>
      <scheme val="minor"/>
    </font>
    <font>
      <sz val="8"/>
      <color rgb="FF808080"/>
      <name val="Consolas"/>
    </font>
    <font>
      <sz val="9"/>
      <color theme="1"/>
      <name val="Calibri"/>
      <scheme val="minor"/>
    </font>
    <font>
      <sz val="11"/>
      <color theme="1"/>
      <name val="Calibri"/>
      <scheme val="minor"/>
    </font>
    <font>
      <b/>
      <sz val="11"/>
      <color theme="1"/>
      <name val="Calibri"/>
      <scheme val="minor"/>
    </font>
    <font>
      <i/>
      <sz val="8"/>
      <color theme="1"/>
      <name val="Calibri"/>
      <scheme val="minor"/>
    </font>
    <font>
      <b/>
      <sz val="11"/>
      <color rgb="FF1F3864"/>
      <name val="Calibri"/>
      <scheme val="minor"/>
    </font>
    <font>
      <b/>
      <sz val="9"/>
      <color theme="1"/>
      <name val="Calibri"/>
      <scheme val="minor"/>
    </font>
    <font>
      <b/>
      <sz val="12"/>
      <color theme="1"/>
      <name val="Calibri"/>
      <scheme val="minor"/>
    </font>
    <font>
      <i/>
      <sz val="9"/>
      <color theme="1"/>
      <name val="Calibri"/>
      <scheme val="minor"/>
    </font>
    <font>
      <i/>
      <sz val="8"/>
      <color rgb="FF606060"/>
      <name val="Calibri"/>
      <scheme val="minor"/>
    </font>
    <font>
      <sz val="8"/>
      <color theme="1"/>
      <name val="Consolas"/>
    </font>
    <font>
      <sz val="8"/>
      <color theme="1"/>
      <name val="Calibri"/>
      <scheme val="minor"/>
    </font>
    <font>
      <b/>
      <sz val="11"/>
      <color rgb="FFFFFFFF"/>
      <name val="Calibri"/>
      <scheme val="minor"/>
    </font>
    <font>
      <b/>
      <i/>
      <sz val="11"/>
      <color theme="1"/>
      <name val="Calibri"/>
      <scheme val="minor"/>
    </font>
    <font>
      <b/>
      <sz val="8"/>
      <color theme="1"/>
      <name val="Consolas"/>
    </font>
    <font>
      <sz val="8"/>
      <color rgb="FF606060"/>
      <name val="Calibri"/>
      <scheme val="minor"/>
    </font>
    <font>
      <b/>
      <sz val="12"/>
      <color rgb="FF1F3864"/>
      <name val="Calibri"/>
      <scheme val="minor"/>
    </font>
    <font>
      <b/>
      <sz val="11"/>
      <color theme="1"/>
      <name val="Calibri"/>
      <scheme val="minor"/>
    </font>
    <font>
      <b/>
      <sz val="12"/>
      <color rgb="FF1F3A5F"/>
      <name val="Calibri"/>
      <scheme val="minor"/>
    </font>
    <font>
      <i/>
      <sz val="9"/>
      <color rgb="FF808080"/>
      <name val="Calibri"/>
      <scheme val="minor"/>
    </font>
    <font>
      <sz val="11"/>
      <color rgb="FF0000FF"/>
      <name val="Calibri"/>
      <scheme val="minor"/>
    </font>
    <font>
      <sz val="11"/>
      <color rgb="FF0000FF"/>
      <name val="Arial"/>
    </font>
    <font>
      <b/>
      <sz val="11"/>
      <color rgb="FF1F3A5F"/>
      <name val="Calibri"/>
      <scheme val="minor"/>
    </font>
    <font>
      <b/>
      <sz val="11"/>
      <color rgb="FFFFFFFF"/>
      <name val="Arial"/>
    </font>
    <font>
      <b/>
      <sz val="9"/>
      <color rgb="FFFFFFFF"/>
      <name val="Arial"/>
    </font>
    <font>
      <sz val="11"/>
      <color theme="1"/>
      <name val="Arial"/>
    </font>
    <font>
      <sz val="11"/>
      <color rgb="FF008000"/>
      <name val="Arial"/>
    </font>
    <font>
      <b/>
      <i/>
      <sz val="9"/>
      <color rgb="FFFFFFFF"/>
      <name val="Arial"/>
    </font>
    <font>
      <sz val="9"/>
      <color theme="1"/>
      <name val="Arial"/>
    </font>
    <font>
      <sz val="9"/>
      <color rgb="FF0000FF"/>
      <name val="Arial"/>
    </font>
    <font>
      <sz val="9"/>
      <color rgb="FF008000"/>
      <name val="Arial"/>
    </font>
    <font>
      <sz val="9"/>
      <color rgb="FF000000"/>
      <name val="Arial"/>
    </font>
    <font>
      <b/>
      <sz val="11"/>
      <color theme="1"/>
      <name val="Arial"/>
    </font>
    <font>
      <b/>
      <sz val="9"/>
      <color theme="1"/>
      <name val="Arial"/>
    </font>
    <font>
      <b/>
      <sz val="9"/>
      <color rgb="FF0000FF"/>
      <name val="Arial"/>
    </font>
    <font>
      <b/>
      <sz val="9"/>
      <color rgb="FF000000"/>
      <name val="Arial"/>
    </font>
    <font>
      <sz val="9"/>
      <color rgb="FFB0B0B0"/>
      <name val="Arial"/>
    </font>
    <font>
      <sz val="8"/>
      <color rgb="FFB0B0B0"/>
      <name val="Arial"/>
    </font>
    <font>
      <b/>
      <sz val="15"/>
      <color rgb="FF1F3A5F"/>
      <name val="Calibri"/>
      <scheme val="minor"/>
    </font>
    <font>
      <b/>
      <sz val="14"/>
      <color rgb="FF1F3A5F"/>
      <name val="Calibri"/>
      <scheme val="minor"/>
    </font>
    <font>
      <sz val="9"/>
      <color theme="1"/>
      <name val="Consolas"/>
    </font>
    <font>
      <i/>
      <sz val="8"/>
      <color theme="1"/>
      <name val="Arial"/>
    </font>
    <font>
      <i/>
      <sz val="11"/>
      <color theme="1"/>
      <name val="Arial"/>
    </font>
    <font>
      <b/>
      <sz val="11"/>
      <color rgb="FF0000FF"/>
      <name val="Arial"/>
    </font>
    <font>
      <b/>
      <sz val="11"/>
      <color rgb="FF008000"/>
      <name val="Arial"/>
    </font>
    <font>
      <b/>
      <i/>
      <sz val="11"/>
      <color theme="1"/>
      <name val="Arial"/>
    </font>
    <font>
      <b/>
      <i/>
      <sz val="11"/>
      <color rgb="FF808080"/>
      <name val="Arial"/>
    </font>
    <font>
      <b/>
      <u/>
      <sz val="11"/>
      <color rgb="FF1F3A5F"/>
      <name val="Arial"/>
    </font>
    <font>
      <b/>
      <sz val="11"/>
      <color rgb="FF000000"/>
      <name val="Arial"/>
    </font>
    <font>
      <b/>
      <sz val="10"/>
      <color theme="1"/>
      <name val="Calibri"/>
    </font>
    <font>
      <sz val="10"/>
      <color theme="1"/>
      <name val="Calibri"/>
    </font>
    <font>
      <b/>
      <sz val="12"/>
      <color rgb="FF000000"/>
      <name val="Calibri"/>
    </font>
    <font>
      <b/>
      <sz val="11"/>
      <color rgb="FF1F3864"/>
      <name val="Calibri"/>
    </font>
    <font>
      <i/>
      <sz val="8"/>
      <color rgb="FF606060"/>
      <name val="Calibri"/>
    </font>
    <font>
      <b/>
      <sz val="9"/>
      <color rgb="FFFFFFFF"/>
      <name val="Calibri"/>
    </font>
    <font>
      <i/>
      <sz val="8"/>
      <color rgb="FF808080"/>
      <name val="Calibri"/>
    </font>
    <font>
      <sz val="9"/>
      <name val="Calibri"/>
    </font>
    <font>
      <b/>
      <sz val="9"/>
      <name val="Calibri"/>
    </font>
    <font>
      <b/>
      <sz val="11"/>
      <name val="Calibri"/>
    </font>
    <font>
      <b/>
      <sz val="11"/>
      <color rgb="FFC00000"/>
      <name val="Calibri"/>
    </font>
    <font>
      <b/>
      <sz val="12"/>
      <color rgb="FF1F3864"/>
      <name val="Calibri"/>
    </font>
    <font>
      <i/>
      <sz val="8"/>
      <color rgb="FF595959"/>
      <name val="Calibri"/>
    </font>
    <font>
      <b/>
      <sz val="9"/>
      <color rgb="FFFFFFFF"/>
      <name val="Calibri"/>
    </font>
    <font>
      <b/>
      <sz val="8"/>
      <color rgb="FF808080"/>
      <name val="Calibri"/>
    </font>
    <font>
      <sz val="8"/>
      <color rgb="FF808080"/>
      <name val="Calibri"/>
    </font>
    <font>
      <b/>
      <sz val="11"/>
      <color rgb="FF1F3864"/>
      <name val="Calibri"/>
    </font>
    <font>
      <i/>
      <sz val="8"/>
      <color rgb="FF808080"/>
      <name val="Calibri"/>
    </font>
    <font>
      <sz val="8"/>
      <color rgb="FFBFBFBF"/>
      <name val="Calibri"/>
    </font>
    <font>
      <b/>
      <sz val="14"/>
      <color rgb="FF1F3864"/>
      <name val="Calibri"/>
    </font>
    <font>
      <i/>
      <sz val="9"/>
      <color rgb="FF595959"/>
      <name val="Calibri"/>
    </font>
    <font>
      <b/>
      <sz val="10"/>
      <color rgb="FF1F3864"/>
      <name val="Calibri"/>
    </font>
    <font>
      <b/>
      <sz val="10"/>
      <name val="Calibri"/>
    </font>
    <font>
      <sz val="10"/>
      <name val="Calibri"/>
    </font>
  </fonts>
  <fills count="17">
    <fill>
      <patternFill patternType="none"/>
    </fill>
    <fill>
      <patternFill patternType="gray125"/>
    </fill>
    <fill>
      <patternFill patternType="solid">
        <fgColor rgb="FF1F3864"/>
        <bgColor rgb="FF1F3864"/>
      </patternFill>
    </fill>
    <fill>
      <patternFill patternType="solid">
        <fgColor rgb="FF7B3F00"/>
        <bgColor rgb="FF7B3F00"/>
      </patternFill>
    </fill>
    <fill>
      <patternFill patternType="solid">
        <fgColor rgb="FFFFFFFF"/>
        <bgColor rgb="FFFFFFFF"/>
      </patternFill>
    </fill>
    <fill>
      <patternFill patternType="solid">
        <fgColor rgb="FFD9E2F3"/>
        <bgColor rgb="FFD9E2F3"/>
      </patternFill>
    </fill>
    <fill>
      <patternFill patternType="solid">
        <fgColor rgb="FFFFF2CC"/>
        <bgColor rgb="FFFFF2CC"/>
      </patternFill>
    </fill>
    <fill>
      <patternFill patternType="solid">
        <fgColor rgb="FFEDEDED"/>
        <bgColor rgb="FFEDEDED"/>
      </patternFill>
    </fill>
    <fill>
      <patternFill patternType="solid">
        <fgColor rgb="FFD9E1F2"/>
        <bgColor indexed="64"/>
      </patternFill>
    </fill>
    <fill>
      <patternFill patternType="solid">
        <fgColor rgb="FFFFF2CC"/>
        <bgColor indexed="64"/>
      </patternFill>
    </fill>
    <fill>
      <patternFill patternType="solid">
        <fgColor rgb="FF1F3A5F"/>
        <bgColor indexed="64"/>
      </patternFill>
    </fill>
    <fill>
      <patternFill patternType="solid">
        <fgColor rgb="FFEDF2F9"/>
        <bgColor indexed="64"/>
      </patternFill>
    </fill>
    <fill>
      <patternFill patternType="solid">
        <fgColor rgb="FFF2F2F2"/>
        <bgColor indexed="64"/>
      </patternFill>
    </fill>
    <fill>
      <patternFill patternType="solid">
        <fgColor rgb="FF1F3864"/>
      </patternFill>
    </fill>
    <fill>
      <patternFill patternType="solid">
        <fgColor rgb="FF1F3864"/>
      </patternFill>
    </fill>
    <fill>
      <patternFill patternType="solid">
        <fgColor rgb="FFFFF2CC"/>
      </patternFill>
    </fill>
    <fill>
      <patternFill patternType="solid">
        <fgColor rgb="FFD9E2F3"/>
      </patternFill>
    </fill>
  </fills>
  <borders count="38">
    <border>
      <left/>
      <right/>
      <top/>
      <bottom/>
      <diagonal/>
    </border>
    <border>
      <left style="thin">
        <color rgb="FFBFBFBF"/>
      </left>
      <right style="thin">
        <color rgb="FFBFBFBF"/>
      </right>
      <top style="thin">
        <color rgb="FFBFBFBF"/>
      </top>
      <bottom style="thin">
        <color rgb="FFBFBFBF"/>
      </bottom>
      <diagonal/>
    </border>
    <border>
      <left/>
      <right/>
      <top/>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auto="1"/>
      </top>
      <bottom/>
      <diagonal/>
    </border>
    <border>
      <left style="thin">
        <color rgb="FF000000"/>
      </left>
      <right style="thin">
        <color rgb="FF000000"/>
      </right>
      <top style="thin">
        <color auto="1"/>
      </top>
      <bottom/>
      <diagonal/>
    </border>
    <border>
      <left/>
      <right/>
      <top/>
      <bottom style="medium">
        <color auto="1"/>
      </bottom>
      <diagonal/>
    </border>
    <border>
      <left/>
      <right/>
      <top style="thin">
        <color auto="1"/>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auto="1"/>
      </left>
      <right style="thin">
        <color auto="1"/>
      </right>
      <top/>
      <bottom style="thin">
        <color rgb="FF000000"/>
      </bottom>
      <diagonal/>
    </border>
    <border>
      <left/>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style="medium">
        <color auto="1"/>
      </bottom>
      <diagonal/>
    </border>
    <border>
      <left style="thin">
        <color rgb="FF000000"/>
      </left>
      <right style="thin">
        <color rgb="FF000000"/>
      </right>
      <top style="thin">
        <color rgb="FF000000"/>
      </top>
      <bottom style="medium">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2"/>
  </cellStyleXfs>
  <cellXfs count="244">
    <xf numFmtId="0" fontId="0" fillId="0" borderId="0" xfId="0" applyBorder="1"/>
    <xf numFmtId="0" fontId="1" fillId="0" borderId="0" xfId="0" applyFont="1" applyBorder="1"/>
    <xf numFmtId="0" fontId="2" fillId="0" borderId="0" xfId="0" applyFont="1" applyBorder="1"/>
    <xf numFmtId="0" fontId="3" fillId="2" borderId="1" xfId="0" applyFont="1" applyFill="1" applyBorder="1" applyAlignment="1">
      <alignment horizontal="center" vertical="center" wrapText="1"/>
    </xf>
    <xf numFmtId="0" fontId="4" fillId="3" borderId="2" xfId="0" applyFont="1" applyFill="1" applyAlignment="1">
      <alignment horizontal="center"/>
    </xf>
    <xf numFmtId="0" fontId="5" fillId="4" borderId="1" xfId="0" applyFont="1" applyFill="1" applyBorder="1"/>
    <xf numFmtId="0" fontId="6" fillId="5" borderId="1" xfId="0" applyFont="1" applyFill="1" applyBorder="1"/>
    <xf numFmtId="0" fontId="5" fillId="5" borderId="1" xfId="0" applyFont="1" applyFill="1" applyBorder="1"/>
    <xf numFmtId="0" fontId="5" fillId="6" borderId="1" xfId="0" applyFont="1" applyFill="1" applyBorder="1"/>
    <xf numFmtId="0" fontId="8" fillId="0" borderId="1" xfId="0" applyFont="1" applyBorder="1"/>
    <xf numFmtId="0" fontId="4" fillId="3" borderId="2" xfId="0" applyFont="1" applyFill="1" applyAlignment="1">
      <alignment horizontal="center" vertical="center" wrapText="1"/>
    </xf>
    <xf numFmtId="0" fontId="5" fillId="0" borderId="1" xfId="0" applyFont="1" applyBorder="1"/>
    <xf numFmtId="0" fontId="11" fillId="6" borderId="1" xfId="0" applyFont="1" applyFill="1" applyBorder="1"/>
    <xf numFmtId="0" fontId="12" fillId="0" borderId="0" xfId="0" applyFont="1" applyBorder="1" applyAlignment="1">
      <alignment horizontal="center"/>
    </xf>
    <xf numFmtId="0" fontId="7" fillId="0" borderId="1" xfId="0" applyFont="1" applyBorder="1"/>
    <xf numFmtId="0" fontId="9" fillId="7" borderId="1" xfId="0" applyFont="1" applyFill="1" applyBorder="1"/>
    <xf numFmtId="0" fontId="11" fillId="7" borderId="1" xfId="0" applyFont="1" applyFill="1" applyBorder="1"/>
    <xf numFmtId="0" fontId="9" fillId="0" borderId="1" xfId="0" applyFont="1" applyBorder="1"/>
    <xf numFmtId="164" fontId="9" fillId="0" borderId="1" xfId="0" applyNumberFormat="1" applyFont="1" applyBorder="1"/>
    <xf numFmtId="164" fontId="9" fillId="6" borderId="1" xfId="0" applyNumberFormat="1" applyFont="1" applyFill="1" applyBorder="1"/>
    <xf numFmtId="0" fontId="13" fillId="0" borderId="0" xfId="0" applyFont="1" applyBorder="1"/>
    <xf numFmtId="0" fontId="14" fillId="0" borderId="0" xfId="0" applyFont="1" applyBorder="1"/>
    <xf numFmtId="0" fontId="9" fillId="0" borderId="0" xfId="0" applyFont="1" applyBorder="1"/>
    <xf numFmtId="4" fontId="9" fillId="0" borderId="1" xfId="0" applyNumberFormat="1" applyFont="1" applyBorder="1"/>
    <xf numFmtId="0" fontId="12" fillId="0" borderId="0" xfId="0" applyFont="1" applyBorder="1"/>
    <xf numFmtId="165" fontId="9" fillId="7" borderId="1" xfId="0" applyNumberFormat="1" applyFont="1" applyFill="1" applyBorder="1"/>
    <xf numFmtId="165" fontId="9" fillId="0" borderId="1" xfId="0" applyNumberFormat="1" applyFont="1" applyBorder="1"/>
    <xf numFmtId="165" fontId="9" fillId="6" borderId="1" xfId="0" applyNumberFormat="1" applyFont="1" applyFill="1" applyBorder="1"/>
    <xf numFmtId="0" fontId="11" fillId="0" borderId="0" xfId="0" applyFont="1" applyBorder="1"/>
    <xf numFmtId="4" fontId="11" fillId="0" borderId="0" xfId="0" applyNumberFormat="1" applyFont="1" applyBorder="1"/>
    <xf numFmtId="4" fontId="5" fillId="0" borderId="1" xfId="0" applyNumberFormat="1" applyFont="1" applyBorder="1"/>
    <xf numFmtId="165" fontId="11" fillId="0" borderId="0" xfId="0" applyNumberFormat="1" applyFont="1" applyBorder="1"/>
    <xf numFmtId="4" fontId="9" fillId="6" borderId="1" xfId="0" applyNumberFormat="1" applyFont="1" applyFill="1" applyBorder="1"/>
    <xf numFmtId="0" fontId="15" fillId="0" borderId="0" xfId="0" applyFont="1" applyBorder="1"/>
    <xf numFmtId="0" fontId="16" fillId="0" borderId="0" xfId="0" applyFont="1" applyBorder="1"/>
    <xf numFmtId="0" fontId="14" fillId="0" borderId="1" xfId="0" applyFont="1" applyBorder="1" applyAlignment="1">
      <alignment horizontal="center"/>
    </xf>
    <xf numFmtId="0" fontId="17" fillId="0" borderId="0" xfId="0" applyFont="1" applyBorder="1"/>
    <xf numFmtId="0" fontId="18" fillId="0" borderId="1" xfId="0" applyFont="1" applyBorder="1"/>
    <xf numFmtId="0" fontId="19" fillId="0" borderId="1" xfId="0" applyFont="1" applyBorder="1"/>
    <xf numFmtId="0" fontId="20" fillId="2" borderId="2" xfId="0" applyFont="1" applyFill="1"/>
    <xf numFmtId="0" fontId="5" fillId="2" borderId="2" xfId="0" applyFont="1" applyFill="1"/>
    <xf numFmtId="4" fontId="19" fillId="0" borderId="1" xfId="0" applyNumberFormat="1" applyFont="1" applyBorder="1"/>
    <xf numFmtId="9" fontId="19" fillId="0" borderId="1" xfId="0" applyNumberFormat="1" applyFont="1" applyBorder="1"/>
    <xf numFmtId="0" fontId="21" fillId="0" borderId="0" xfId="0" applyFont="1" applyBorder="1"/>
    <xf numFmtId="0" fontId="5" fillId="5" borderId="2" xfId="0" applyFont="1" applyFill="1"/>
    <xf numFmtId="0" fontId="11" fillId="5" borderId="2" xfId="0" applyFont="1" applyFill="1"/>
    <xf numFmtId="4" fontId="11" fillId="5" borderId="2" xfId="0" applyNumberFormat="1" applyFont="1" applyFill="1"/>
    <xf numFmtId="0" fontId="22" fillId="0" borderId="1" xfId="0" applyFont="1" applyBorder="1" applyAlignment="1">
      <alignment vertical="top" wrapText="1"/>
    </xf>
    <xf numFmtId="0" fontId="9" fillId="0" borderId="1" xfId="0" applyFont="1" applyBorder="1" applyAlignment="1">
      <alignment vertical="top" wrapText="1"/>
    </xf>
    <xf numFmtId="0" fontId="23" fillId="0" borderId="1" xfId="0" applyFont="1" applyBorder="1" applyAlignment="1">
      <alignment vertical="top" wrapText="1"/>
    </xf>
    <xf numFmtId="0" fontId="24" fillId="0" borderId="0" xfId="0" applyFont="1" applyBorder="1"/>
    <xf numFmtId="0" fontId="25" fillId="5" borderId="2" xfId="0" applyFont="1" applyFill="1"/>
    <xf numFmtId="4" fontId="25" fillId="5" borderId="2" xfId="0" applyNumberFormat="1" applyFont="1" applyFill="1"/>
    <xf numFmtId="0" fontId="26" fillId="0" borderId="0" xfId="0" applyFont="1" applyBorder="1"/>
    <xf numFmtId="0" fontId="27" fillId="0" borderId="0" xfId="0" applyFont="1" applyBorder="1"/>
    <xf numFmtId="0" fontId="11" fillId="8" borderId="0" xfId="0" applyFont="1" applyFill="1" applyBorder="1"/>
    <xf numFmtId="0" fontId="11" fillId="8" borderId="0" xfId="0" applyFont="1" applyFill="1" applyBorder="1" applyAlignment="1">
      <alignment horizontal="center"/>
    </xf>
    <xf numFmtId="166" fontId="29" fillId="0" borderId="0" xfId="0" applyNumberFormat="1" applyFont="1" applyBorder="1" applyAlignment="1">
      <alignment horizontal="right"/>
    </xf>
    <xf numFmtId="166" fontId="29" fillId="9" borderId="0" xfId="0" applyNumberFormat="1" applyFont="1" applyFill="1" applyBorder="1" applyAlignment="1">
      <alignment horizontal="right"/>
    </xf>
    <xf numFmtId="0" fontId="7" fillId="0" borderId="0" xfId="0" applyFont="1" applyBorder="1"/>
    <xf numFmtId="0" fontId="30" fillId="0" borderId="0" xfId="0" applyFont="1" applyBorder="1"/>
    <xf numFmtId="0" fontId="20" fillId="10" borderId="0" xfId="0" applyFont="1" applyFill="1" applyBorder="1" applyAlignment="1">
      <alignment horizontal="center"/>
    </xf>
    <xf numFmtId="0" fontId="20" fillId="10" borderId="0" xfId="0" applyFont="1" applyFill="1" applyBorder="1" applyAlignment="1">
      <alignment horizontal="center" wrapText="1"/>
    </xf>
    <xf numFmtId="0" fontId="33" fillId="0" borderId="0" xfId="0" applyFont="1" applyBorder="1"/>
    <xf numFmtId="0" fontId="36" fillId="0" borderId="0" xfId="0" applyFont="1" applyBorder="1"/>
    <xf numFmtId="164" fontId="39" fillId="0" borderId="0" xfId="0" applyNumberFormat="1" applyFont="1" applyBorder="1"/>
    <xf numFmtId="0" fontId="39" fillId="0" borderId="0" xfId="0" applyFont="1" applyBorder="1"/>
    <xf numFmtId="0" fontId="32" fillId="10" borderId="6" xfId="0" applyFont="1" applyFill="1" applyBorder="1" applyAlignment="1">
      <alignment horizontal="center" wrapText="1"/>
    </xf>
    <xf numFmtId="0" fontId="32" fillId="10" borderId="7" xfId="0" applyFont="1" applyFill="1" applyBorder="1" applyAlignment="1">
      <alignment horizontal="center" wrapText="1"/>
    </xf>
    <xf numFmtId="0" fontId="35" fillId="10" borderId="7" xfId="0" applyFont="1" applyFill="1" applyBorder="1" applyAlignment="1">
      <alignment horizontal="center" wrapText="1"/>
    </xf>
    <xf numFmtId="0" fontId="32" fillId="10" borderId="8" xfId="0" applyFont="1" applyFill="1" applyBorder="1" applyAlignment="1">
      <alignment horizontal="center" wrapText="1"/>
    </xf>
    <xf numFmtId="0" fontId="39" fillId="0" borderId="9" xfId="0" applyFont="1" applyBorder="1"/>
    <xf numFmtId="0" fontId="39" fillId="0" borderId="10" xfId="0" applyFont="1" applyBorder="1"/>
    <xf numFmtId="1" fontId="37" fillId="0" borderId="10" xfId="0" applyNumberFormat="1" applyFont="1" applyBorder="1"/>
    <xf numFmtId="164" fontId="37" fillId="0" borderId="10" xfId="0" applyNumberFormat="1" applyFont="1" applyBorder="1"/>
    <xf numFmtId="1" fontId="38" fillId="0" borderId="10" xfId="0" applyNumberFormat="1" applyFont="1" applyBorder="1"/>
    <xf numFmtId="164" fontId="38" fillId="0" borderId="10" xfId="0" applyNumberFormat="1" applyFont="1" applyBorder="1"/>
    <xf numFmtId="164" fontId="39" fillId="0" borderId="10" xfId="0" applyNumberFormat="1" applyFont="1" applyBorder="1"/>
    <xf numFmtId="164" fontId="39" fillId="0" borderId="11" xfId="0" applyNumberFormat="1" applyFont="1" applyBorder="1"/>
    <xf numFmtId="0" fontId="28" fillId="0" borderId="0" xfId="0" applyFont="1" applyBorder="1" applyAlignment="1">
      <alignment horizontal="right"/>
    </xf>
    <xf numFmtId="0" fontId="41" fillId="8" borderId="0" xfId="0" applyFont="1" applyFill="1" applyBorder="1"/>
    <xf numFmtId="3" fontId="9" fillId="0" borderId="0" xfId="0" applyNumberFormat="1" applyFont="1" applyBorder="1"/>
    <xf numFmtId="0" fontId="32" fillId="10" borderId="12" xfId="0" applyFont="1" applyFill="1" applyBorder="1" applyAlignment="1">
      <alignment horizontal="center" wrapText="1"/>
    </xf>
    <xf numFmtId="0" fontId="37" fillId="9" borderId="0" xfId="0" applyFont="1" applyFill="1" applyBorder="1"/>
    <xf numFmtId="0" fontId="42" fillId="9" borderId="0" xfId="0" applyFont="1" applyFill="1" applyBorder="1"/>
    <xf numFmtId="0" fontId="43" fillId="8" borderId="0" xfId="0" applyFont="1" applyFill="1" applyBorder="1"/>
    <xf numFmtId="167" fontId="39" fillId="0" borderId="0" xfId="0" applyNumberFormat="1" applyFont="1" applyBorder="1"/>
    <xf numFmtId="167" fontId="43" fillId="8" borderId="0" xfId="0" applyNumberFormat="1" applyFont="1" applyFill="1" applyBorder="1"/>
    <xf numFmtId="164" fontId="43" fillId="8" borderId="0" xfId="0" applyNumberFormat="1" applyFont="1" applyFill="1" applyBorder="1"/>
    <xf numFmtId="4" fontId="9" fillId="0" borderId="0" xfId="0" applyNumberFormat="1" applyFont="1" applyBorder="1"/>
    <xf numFmtId="1" fontId="9" fillId="0" borderId="0" xfId="0" applyNumberFormat="1" applyFont="1" applyBorder="1"/>
    <xf numFmtId="164" fontId="38" fillId="0" borderId="0" xfId="0" applyNumberFormat="1" applyFont="1" applyBorder="1" applyAlignment="1">
      <alignment horizontal="right"/>
    </xf>
    <xf numFmtId="164" fontId="36" fillId="0" borderId="0" xfId="0" applyNumberFormat="1" applyFont="1" applyBorder="1" applyAlignment="1">
      <alignment horizontal="right"/>
    </xf>
    <xf numFmtId="168" fontId="41" fillId="0" borderId="0" xfId="0" applyNumberFormat="1" applyFont="1" applyBorder="1" applyAlignment="1">
      <alignment horizontal="right"/>
    </xf>
    <xf numFmtId="0" fontId="36" fillId="0" borderId="0" xfId="0" applyFont="1" applyBorder="1" applyAlignment="1">
      <alignment horizontal="center"/>
    </xf>
    <xf numFmtId="164" fontId="44" fillId="0" borderId="0" xfId="0" applyNumberFormat="1" applyFont="1" applyBorder="1"/>
    <xf numFmtId="164" fontId="45" fillId="0" borderId="0" xfId="0" applyNumberFormat="1" applyFont="1" applyBorder="1"/>
    <xf numFmtId="165" fontId="9" fillId="0" borderId="0" xfId="0" applyNumberFormat="1" applyFont="1" applyBorder="1"/>
    <xf numFmtId="0" fontId="46" fillId="0" borderId="0" xfId="0" applyFont="1" applyBorder="1"/>
    <xf numFmtId="0" fontId="9" fillId="0" borderId="3" xfId="0" applyFont="1" applyBorder="1"/>
    <xf numFmtId="4" fontId="9" fillId="0" borderId="3" xfId="0" applyNumberFormat="1" applyFont="1" applyBorder="1"/>
    <xf numFmtId="0" fontId="9" fillId="0" borderId="4" xfId="0" applyFont="1" applyBorder="1"/>
    <xf numFmtId="4" fontId="9" fillId="0" borderId="4" xfId="0" applyNumberFormat="1" applyFont="1" applyBorder="1"/>
    <xf numFmtId="0" fontId="9" fillId="0" borderId="5" xfId="0" applyFont="1" applyBorder="1"/>
    <xf numFmtId="4" fontId="9" fillId="0" borderId="5" xfId="0" applyNumberFormat="1" applyFont="1" applyBorder="1"/>
    <xf numFmtId="0" fontId="47" fillId="0" borderId="0" xfId="0" applyFont="1" applyBorder="1"/>
    <xf numFmtId="0" fontId="48" fillId="0" borderId="0" xfId="0" applyFont="1" applyBorder="1" applyAlignment="1">
      <alignment horizontal="center"/>
    </xf>
    <xf numFmtId="0" fontId="33" fillId="0" borderId="0" xfId="0" applyFont="1" applyBorder="1" applyAlignment="1">
      <alignment horizontal="center"/>
    </xf>
    <xf numFmtId="0" fontId="50" fillId="0" borderId="0" xfId="0" applyFont="1" applyBorder="1"/>
    <xf numFmtId="2" fontId="29" fillId="0" borderId="13" xfId="0" applyNumberFormat="1" applyFont="1" applyBorder="1" applyAlignment="1">
      <alignment horizontal="right"/>
    </xf>
    <xf numFmtId="169" fontId="29" fillId="0" borderId="13" xfId="0" applyNumberFormat="1" applyFont="1" applyBorder="1" applyAlignment="1">
      <alignment horizontal="right"/>
    </xf>
    <xf numFmtId="2" fontId="34" fillId="0" borderId="13" xfId="0" applyNumberFormat="1" applyFont="1" applyBorder="1" applyAlignment="1">
      <alignment horizontal="right"/>
    </xf>
    <xf numFmtId="169" fontId="34" fillId="0" borderId="13" xfId="0" applyNumberFormat="1" applyFont="1" applyBorder="1" applyAlignment="1">
      <alignment horizontal="right"/>
    </xf>
    <xf numFmtId="4" fontId="33" fillId="0" borderId="14" xfId="0" applyNumberFormat="1" applyFont="1" applyBorder="1" applyAlignment="1">
      <alignment horizontal="right"/>
    </xf>
    <xf numFmtId="0" fontId="40" fillId="0" borderId="0" xfId="0" applyFont="1" applyBorder="1"/>
    <xf numFmtId="4" fontId="40" fillId="0" borderId="0" xfId="0" applyNumberFormat="1" applyFont="1" applyBorder="1" applyAlignment="1">
      <alignment horizontal="right"/>
    </xf>
    <xf numFmtId="2" fontId="51" fillId="0" borderId="13" xfId="0" applyNumberFormat="1" applyFont="1" applyBorder="1" applyAlignment="1">
      <alignment horizontal="right"/>
    </xf>
    <xf numFmtId="2" fontId="52" fillId="0" borderId="13" xfId="0" applyNumberFormat="1" applyFont="1" applyBorder="1" applyAlignment="1">
      <alignment horizontal="right"/>
    </xf>
    <xf numFmtId="4" fontId="40" fillId="0" borderId="14" xfId="0" applyNumberFormat="1" applyFont="1" applyBorder="1" applyAlignment="1">
      <alignment horizontal="right"/>
    </xf>
    <xf numFmtId="0" fontId="40" fillId="0" borderId="5" xfId="0" applyFont="1" applyBorder="1"/>
    <xf numFmtId="2" fontId="51" fillId="0" borderId="15" xfId="0" applyNumberFormat="1" applyFont="1" applyBorder="1" applyAlignment="1">
      <alignment horizontal="right"/>
    </xf>
    <xf numFmtId="0" fontId="40" fillId="0" borderId="5" xfId="0" applyFont="1" applyBorder="1" applyAlignment="1">
      <alignment horizontal="center"/>
    </xf>
    <xf numFmtId="2" fontId="52" fillId="0" borderId="15" xfId="0" applyNumberFormat="1" applyFont="1" applyBorder="1" applyAlignment="1">
      <alignment horizontal="right"/>
    </xf>
    <xf numFmtId="4" fontId="40" fillId="0" borderId="16" xfId="0" applyNumberFormat="1" applyFont="1" applyBorder="1" applyAlignment="1">
      <alignment horizontal="right"/>
    </xf>
    <xf numFmtId="4" fontId="40" fillId="0" borderId="5" xfId="0" applyNumberFormat="1" applyFont="1" applyBorder="1" applyAlignment="1">
      <alignment horizontal="right"/>
    </xf>
    <xf numFmtId="0" fontId="53" fillId="0" borderId="5" xfId="0" applyFont="1" applyBorder="1"/>
    <xf numFmtId="4" fontId="40" fillId="8" borderId="14" xfId="0" applyNumberFormat="1" applyFont="1" applyFill="1" applyBorder="1" applyAlignment="1">
      <alignment horizontal="right"/>
    </xf>
    <xf numFmtId="0" fontId="40" fillId="8" borderId="5" xfId="0" applyFont="1" applyFill="1" applyBorder="1"/>
    <xf numFmtId="4" fontId="40" fillId="8" borderId="16" xfId="0" applyNumberFormat="1" applyFont="1" applyFill="1" applyBorder="1" applyAlignment="1">
      <alignment horizontal="right"/>
    </xf>
    <xf numFmtId="4" fontId="40" fillId="8" borderId="5" xfId="0" applyNumberFormat="1" applyFont="1" applyFill="1" applyBorder="1" applyAlignment="1">
      <alignment horizontal="right"/>
    </xf>
    <xf numFmtId="0" fontId="53" fillId="8" borderId="5" xfId="0" applyFont="1" applyFill="1" applyBorder="1"/>
    <xf numFmtId="0" fontId="40" fillId="11" borderId="5" xfId="0" applyFont="1" applyFill="1" applyBorder="1"/>
    <xf numFmtId="4" fontId="40" fillId="11" borderId="16" xfId="0" applyNumberFormat="1" applyFont="1" applyFill="1" applyBorder="1" applyAlignment="1">
      <alignment horizontal="right"/>
    </xf>
    <xf numFmtId="4" fontId="40" fillId="11" borderId="5" xfId="0" applyNumberFormat="1" applyFont="1" applyFill="1" applyBorder="1" applyAlignment="1">
      <alignment horizontal="right"/>
    </xf>
    <xf numFmtId="0" fontId="53" fillId="11" borderId="5" xfId="0" applyFont="1" applyFill="1" applyBorder="1"/>
    <xf numFmtId="0" fontId="40" fillId="0" borderId="2" xfId="0" applyFont="1"/>
    <xf numFmtId="4" fontId="40" fillId="0" borderId="2" xfId="0" applyNumberFormat="1" applyFont="1" applyAlignment="1">
      <alignment horizontal="right"/>
    </xf>
    <xf numFmtId="0" fontId="53" fillId="0" borderId="2" xfId="0" applyFont="1"/>
    <xf numFmtId="0" fontId="33" fillId="0" borderId="2" xfId="0" applyFont="1"/>
    <xf numFmtId="0" fontId="50" fillId="0" borderId="2" xfId="0" applyFont="1"/>
    <xf numFmtId="0" fontId="54" fillId="0" borderId="5" xfId="0" applyFont="1" applyBorder="1"/>
    <xf numFmtId="0" fontId="36" fillId="0" borderId="2" xfId="0" applyFont="1"/>
    <xf numFmtId="0" fontId="38" fillId="0" borderId="2" xfId="0" applyFont="1"/>
    <xf numFmtId="4" fontId="36" fillId="0" borderId="2" xfId="0" applyNumberFormat="1" applyFont="1"/>
    <xf numFmtId="4" fontId="41" fillId="0" borderId="2" xfId="0" applyNumberFormat="1" applyFont="1"/>
    <xf numFmtId="0" fontId="49" fillId="0" borderId="2" xfId="0" applyFont="1"/>
    <xf numFmtId="0" fontId="31" fillId="10" borderId="0" xfId="0" applyFont="1" applyFill="1" applyBorder="1" applyAlignment="1">
      <alignment horizontal="center"/>
    </xf>
    <xf numFmtId="0" fontId="31" fillId="10" borderId="0" xfId="0" applyFont="1" applyFill="1" applyBorder="1"/>
    <xf numFmtId="168" fontId="31" fillId="10" borderId="0" xfId="0" applyNumberFormat="1" applyFont="1" applyFill="1" applyBorder="1" applyAlignment="1">
      <alignment horizontal="right"/>
    </xf>
    <xf numFmtId="0" fontId="55" fillId="0" borderId="0" xfId="0" applyFont="1" applyBorder="1"/>
    <xf numFmtId="168" fontId="40" fillId="0" borderId="0" xfId="0" applyNumberFormat="1" applyFont="1" applyBorder="1" applyAlignment="1">
      <alignment horizontal="right"/>
    </xf>
    <xf numFmtId="164" fontId="32" fillId="10" borderId="0" xfId="0" applyNumberFormat="1" applyFont="1" applyFill="1" applyBorder="1"/>
    <xf numFmtId="0" fontId="40" fillId="0" borderId="2" xfId="0" applyFont="1" applyAlignment="1">
      <alignment horizontal="center"/>
    </xf>
    <xf numFmtId="0" fontId="56" fillId="0" borderId="18" xfId="0" applyFont="1" applyBorder="1" applyAlignment="1">
      <alignment horizontal="center" wrapText="1"/>
    </xf>
    <xf numFmtId="0" fontId="40" fillId="8" borderId="2" xfId="0" applyFont="1" applyFill="1"/>
    <xf numFmtId="4" fontId="40" fillId="8" borderId="2" xfId="0" applyNumberFormat="1" applyFont="1" applyFill="1" applyAlignment="1">
      <alignment horizontal="right"/>
    </xf>
    <xf numFmtId="0" fontId="53" fillId="8" borderId="2" xfId="0" applyFont="1" applyFill="1"/>
    <xf numFmtId="2" fontId="52" fillId="8" borderId="13" xfId="0" applyNumberFormat="1" applyFont="1" applyFill="1" applyBorder="1" applyAlignment="1">
      <alignment horizontal="right"/>
    </xf>
    <xf numFmtId="2" fontId="52" fillId="11" borderId="15" xfId="0" applyNumberFormat="1" applyFont="1" applyFill="1" applyBorder="1" applyAlignment="1">
      <alignment horizontal="right"/>
    </xf>
    <xf numFmtId="2" fontId="52" fillId="8" borderId="15" xfId="0" applyNumberFormat="1" applyFont="1" applyFill="1" applyBorder="1" applyAlignment="1">
      <alignment horizontal="right"/>
    </xf>
    <xf numFmtId="170" fontId="31" fillId="10" borderId="13" xfId="0" applyNumberFormat="1" applyFont="1" applyFill="1" applyBorder="1" applyAlignment="1">
      <alignment horizontal="right"/>
    </xf>
    <xf numFmtId="170" fontId="33" fillId="0" borderId="13" xfId="0" applyNumberFormat="1" applyFont="1" applyBorder="1" applyAlignment="1">
      <alignment horizontal="right"/>
    </xf>
    <xf numFmtId="2" fontId="31" fillId="10" borderId="13" xfId="0" applyNumberFormat="1" applyFont="1" applyFill="1" applyBorder="1" applyAlignment="1">
      <alignment horizontal="right"/>
    </xf>
    <xf numFmtId="4" fontId="31" fillId="10" borderId="14" xfId="0" applyNumberFormat="1" applyFont="1" applyFill="1" applyBorder="1" applyAlignment="1">
      <alignment horizontal="right"/>
    </xf>
    <xf numFmtId="0" fontId="48" fillId="0" borderId="19" xfId="0" applyFont="1" applyBorder="1" applyAlignment="1">
      <alignment horizontal="center"/>
    </xf>
    <xf numFmtId="0" fontId="58" fillId="0" borderId="19" xfId="0" applyFont="1" applyBorder="1" applyAlignment="1">
      <alignment horizontal="left" vertical="center"/>
    </xf>
    <xf numFmtId="0" fontId="58" fillId="0" borderId="19" xfId="0" applyFont="1" applyBorder="1" applyAlignment="1">
      <alignment horizontal="center" vertical="center"/>
    </xf>
    <xf numFmtId="0" fontId="58" fillId="0" borderId="20" xfId="0" applyFont="1" applyBorder="1" applyAlignment="1">
      <alignment horizontal="left" vertical="center"/>
    </xf>
    <xf numFmtId="0" fontId="58" fillId="0" borderId="20" xfId="0" applyFont="1" applyBorder="1" applyAlignment="1">
      <alignment horizontal="center" vertical="center"/>
    </xf>
    <xf numFmtId="0" fontId="48" fillId="0" borderId="20" xfId="0" applyFont="1" applyBorder="1" applyAlignment="1">
      <alignment horizontal="center"/>
    </xf>
    <xf numFmtId="0" fontId="57" fillId="0" borderId="21" xfId="0" applyFont="1" applyBorder="1" applyAlignment="1">
      <alignment horizontal="center"/>
    </xf>
    <xf numFmtId="49" fontId="57" fillId="0" borderId="21" xfId="0" applyNumberFormat="1" applyFont="1" applyBorder="1" applyAlignment="1">
      <alignment horizontal="center"/>
    </xf>
    <xf numFmtId="0" fontId="59" fillId="12" borderId="22" xfId="0" applyFont="1" applyFill="1" applyBorder="1"/>
    <xf numFmtId="0" fontId="59" fillId="12" borderId="22" xfId="0" applyFont="1" applyFill="1" applyBorder="1" applyAlignment="1">
      <alignment horizontal="center"/>
    </xf>
    <xf numFmtId="0" fontId="59" fillId="12" borderId="23" xfId="0" applyFont="1" applyFill="1" applyBorder="1"/>
    <xf numFmtId="0" fontId="59" fillId="12" borderId="24" xfId="0" applyFont="1" applyFill="1" applyBorder="1" applyAlignment="1">
      <alignment horizontal="center"/>
    </xf>
    <xf numFmtId="0" fontId="59" fillId="12" borderId="25" xfId="0" applyFont="1" applyFill="1" applyBorder="1"/>
    <xf numFmtId="0" fontId="59" fillId="12" borderId="17" xfId="0" applyFont="1" applyFill="1" applyBorder="1"/>
    <xf numFmtId="0" fontId="59" fillId="12" borderId="17" xfId="0" applyFont="1" applyFill="1" applyBorder="1" applyAlignment="1">
      <alignment horizontal="center"/>
    </xf>
    <xf numFmtId="0" fontId="15" fillId="0" borderId="10" xfId="0" applyFont="1" applyBorder="1" applyAlignment="1">
      <alignment vertical="center"/>
    </xf>
    <xf numFmtId="0" fontId="9" fillId="7" borderId="19" xfId="0" applyFont="1" applyFill="1" applyBorder="1"/>
    <xf numFmtId="0" fontId="10" fillId="0" borderId="19" xfId="0" applyFont="1" applyBorder="1"/>
    <xf numFmtId="0" fontId="0" fillId="0" borderId="19" xfId="0" applyBorder="1"/>
    <xf numFmtId="0" fontId="9" fillId="7" borderId="20" xfId="0" applyFont="1" applyFill="1" applyBorder="1"/>
    <xf numFmtId="0" fontId="10" fillId="0" borderId="20" xfId="0" applyFont="1" applyBorder="1"/>
    <xf numFmtId="0" fontId="0" fillId="0" borderId="20" xfId="0" applyBorder="1"/>
    <xf numFmtId="0" fontId="7" fillId="5" borderId="26" xfId="0" applyFont="1" applyFill="1" applyBorder="1" applyAlignment="1">
      <alignment horizontal="center"/>
    </xf>
    <xf numFmtId="0" fontId="7" fillId="5" borderId="28" xfId="0" applyFont="1" applyFill="1" applyBorder="1" applyAlignment="1">
      <alignment horizontal="center"/>
    </xf>
    <xf numFmtId="0" fontId="9" fillId="7" borderId="29" xfId="0" applyFont="1" applyFill="1" applyBorder="1"/>
    <xf numFmtId="0" fontId="9" fillId="7" borderId="27" xfId="0" applyFont="1" applyFill="1" applyBorder="1"/>
    <xf numFmtId="0" fontId="7" fillId="5" borderId="31" xfId="0" applyFont="1" applyFill="1" applyBorder="1" applyAlignment="1">
      <alignment horizontal="center"/>
    </xf>
    <xf numFmtId="0" fontId="10" fillId="0" borderId="32" xfId="0" applyFont="1" applyBorder="1"/>
    <xf numFmtId="0" fontId="10" fillId="0" borderId="30" xfId="0" applyFont="1" applyBorder="1"/>
    <xf numFmtId="0" fontId="3" fillId="2" borderId="33" xfId="0" applyFont="1" applyFill="1" applyBorder="1" applyAlignment="1">
      <alignment horizontal="center" vertical="center" wrapText="1"/>
    </xf>
    <xf numFmtId="0" fontId="3" fillId="2" borderId="34" xfId="0" applyFont="1" applyFill="1" applyBorder="1" applyAlignment="1">
      <alignment horizontal="center" vertical="center" wrapText="1"/>
    </xf>
    <xf numFmtId="0" fontId="3" fillId="2" borderId="35" xfId="0" applyFont="1" applyFill="1" applyBorder="1" applyAlignment="1">
      <alignment horizontal="center" vertical="center" wrapText="1"/>
    </xf>
    <xf numFmtId="0" fontId="9" fillId="7" borderId="28" xfId="0" applyFont="1" applyFill="1" applyBorder="1"/>
    <xf numFmtId="0" fontId="9" fillId="7" borderId="26" xfId="0" applyFont="1" applyFill="1" applyBorder="1"/>
    <xf numFmtId="0" fontId="10" fillId="0" borderId="26" xfId="0" applyFont="1" applyBorder="1"/>
    <xf numFmtId="0" fontId="0" fillId="0" borderId="26" xfId="0" applyBorder="1"/>
    <xf numFmtId="0" fontId="10" fillId="0" borderId="31" xfId="0" applyFont="1" applyBorder="1"/>
    <xf numFmtId="165" fontId="33" fillId="0" borderId="14" xfId="0" applyNumberFormat="1" applyFont="1" applyBorder="1" applyAlignment="1">
      <alignment horizontal="right"/>
    </xf>
    <xf numFmtId="165" fontId="34" fillId="0" borderId="13" xfId="0" applyNumberFormat="1" applyFont="1" applyBorder="1" applyAlignment="1">
      <alignment horizontal="right"/>
    </xf>
    <xf numFmtId="0" fontId="60" fillId="0" borderId="0" xfId="0" applyFont="1" applyBorder="1"/>
    <xf numFmtId="0" fontId="61" fillId="0" borderId="0" xfId="0" applyFont="1" applyBorder="1"/>
    <xf numFmtId="0" fontId="62" fillId="13" borderId="36" xfId="0" applyFont="1" applyFill="1" applyBorder="1" applyAlignment="1">
      <alignment horizontal="center" vertical="center" wrapText="1"/>
    </xf>
    <xf numFmtId="0" fontId="64" fillId="0" borderId="36" xfId="0" applyFont="1" applyBorder="1"/>
    <xf numFmtId="0" fontId="65" fillId="0" borderId="36" xfId="0" applyFont="1" applyBorder="1" applyAlignment="1">
      <alignment horizontal="center"/>
    </xf>
    <xf numFmtId="0" fontId="63" fillId="0" borderId="36" xfId="0" applyFont="1" applyBorder="1"/>
    <xf numFmtId="0" fontId="37" fillId="0" borderId="0" xfId="0" applyFont="1" applyBorder="1"/>
    <xf numFmtId="0" fontId="66" fillId="0" borderId="0" xfId="0" applyFont="1" applyBorder="1"/>
    <xf numFmtId="0" fontId="67" fillId="0" borderId="0" xfId="0" applyFont="1" applyBorder="1" applyAlignment="1">
      <alignment horizontal="center"/>
    </xf>
    <xf numFmtId="0" fontId="68" fillId="0" borderId="0" xfId="0" applyFont="1" applyBorder="1"/>
    <xf numFmtId="0" fontId="70" fillId="14" borderId="37" xfId="0" applyFont="1" applyFill="1" applyBorder="1" applyAlignment="1">
      <alignment horizontal="center" vertical="center" wrapText="1"/>
    </xf>
    <xf numFmtId="0" fontId="0" fillId="15" borderId="37" xfId="0" applyFill="1" applyBorder="1"/>
    <xf numFmtId="0" fontId="71" fillId="0" borderId="0" xfId="0" applyFont="1" applyBorder="1"/>
    <xf numFmtId="0" fontId="72" fillId="0" borderId="0" xfId="0" applyFont="1" applyBorder="1"/>
    <xf numFmtId="0" fontId="0" fillId="0" borderId="37" xfId="0" applyBorder="1" applyAlignment="1">
      <alignment horizontal="center"/>
    </xf>
    <xf numFmtId="0" fontId="0" fillId="0" borderId="37" xfId="0" applyBorder="1"/>
    <xf numFmtId="0" fontId="0" fillId="15" borderId="37" xfId="0" applyFill="1" applyBorder="1" applyAlignment="1">
      <alignment horizontal="center"/>
    </xf>
    <xf numFmtId="0" fontId="70" fillId="14" borderId="37" xfId="0" applyFont="1" applyFill="1" applyBorder="1" applyAlignment="1">
      <alignment horizontal="center" vertical="center"/>
    </xf>
    <xf numFmtId="0" fontId="73" fillId="16" borderId="0" xfId="0" applyFont="1" applyFill="1" applyBorder="1"/>
    <xf numFmtId="0" fontId="0" fillId="16" borderId="0" xfId="0" applyFill="1" applyBorder="1"/>
    <xf numFmtId="0" fontId="67" fillId="0" borderId="37" xfId="0" applyFont="1" applyBorder="1" applyAlignment="1">
      <alignment horizontal="center"/>
    </xf>
    <xf numFmtId="0" fontId="72" fillId="0" borderId="37" xfId="0" applyFont="1" applyBorder="1"/>
    <xf numFmtId="0" fontId="74" fillId="0" borderId="0" xfId="0" applyFont="1" applyBorder="1"/>
    <xf numFmtId="0" fontId="75" fillId="0" borderId="0" xfId="0" applyFont="1" applyBorder="1"/>
    <xf numFmtId="0" fontId="76" fillId="0" borderId="0" xfId="0" applyFont="1" applyBorder="1"/>
    <xf numFmtId="0" fontId="77" fillId="0" borderId="0" xfId="0" applyFont="1" applyBorder="1"/>
    <xf numFmtId="0" fontId="78" fillId="16" borderId="0" xfId="0" applyFont="1" applyFill="1" applyBorder="1"/>
    <xf numFmtId="0" fontId="79" fillId="0" borderId="0" xfId="0" applyFont="1" applyBorder="1"/>
    <xf numFmtId="0" fontId="80" fillId="0" borderId="0" xfId="0" applyFont="1" applyBorder="1" applyAlignment="1">
      <alignment vertical="top" wrapText="1"/>
    </xf>
    <xf numFmtId="0" fontId="9" fillId="0" borderId="2" xfId="0" applyFont="1"/>
    <xf numFmtId="0" fontId="0" fillId="0" borderId="0" xfId="0" applyBorder="1"/>
    <xf numFmtId="0" fontId="69" fillId="0" borderId="0" xfId="0" applyFont="1" applyBorder="1" applyAlignment="1">
      <alignment vertical="top" wrapText="1"/>
    </xf>
    <xf numFmtId="0" fontId="57" fillId="0" borderId="20" xfId="0" applyFont="1" applyBorder="1" applyAlignment="1">
      <alignment horizontal="center" vertical="center" textRotation="90"/>
    </xf>
    <xf numFmtId="0" fontId="0" fillId="0" borderId="14" xfId="0" applyBorder="1"/>
    <xf numFmtId="0" fontId="0" fillId="0" borderId="20" xfId="0" applyBorder="1"/>
    <xf numFmtId="0" fontId="57" fillId="0" borderId="19" xfId="0" applyFont="1" applyBorder="1" applyAlignment="1">
      <alignment horizontal="center" vertical="center" textRotation="90"/>
    </xf>
    <xf numFmtId="0" fontId="15" fillId="0" borderId="10" xfId="0" applyFont="1" applyBorder="1" applyAlignment="1">
      <alignment horizontal="left" vertical="center"/>
    </xf>
    <xf numFmtId="0" fontId="0" fillId="0" borderId="9" xfId="0" applyBorder="1"/>
    <xf numFmtId="171" fontId="15" fillId="0" borderId="10" xfId="0" applyNumberFormat="1" applyFont="1" applyBorder="1" applyAlignment="1">
      <alignment horizontal="left" vertical="center"/>
    </xf>
    <xf numFmtId="0" fontId="0" fillId="0" borderId="4" xfId="0" applyBorder="1"/>
    <xf numFmtId="0" fontId="11" fillId="0" borderId="1" xfId="0" applyFont="1" applyFill="1" applyBorder="1"/>
  </cellXfs>
  <cellStyles count="1">
    <cellStyle name="Normal" xfId="0" builtinId="0"/>
  </cellStyles>
  <dxfs count="6">
    <dxf>
      <fill>
        <patternFill patternType="solid">
          <bgColor rgb="FFFCE4E4"/>
        </patternFill>
      </fill>
    </dxf>
    <dxf>
      <fill>
        <patternFill patternType="solid">
          <bgColor rgb="FFE2EFDA"/>
        </patternFill>
      </fill>
    </dxf>
    <dxf>
      <fill>
        <patternFill patternType="solid">
          <bgColor rgb="FFFCE4E4"/>
        </patternFill>
      </fill>
    </dxf>
    <dxf>
      <fill>
        <patternFill patternType="solid">
          <bgColor rgb="FFE2EFDA"/>
        </patternFill>
      </fill>
    </dxf>
    <dxf>
      <fill>
        <patternFill patternType="solid">
          <fgColor rgb="FFFCE4E4"/>
          <bgColor rgb="FFFCE4E4"/>
        </patternFill>
      </fill>
    </dxf>
    <dxf>
      <fill>
        <patternFill patternType="solid">
          <fgColor rgb="FFE2EFDA"/>
          <bgColor rgb="FFE2EFDA"/>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26"/>
  <sheetViews>
    <sheetView showGridLines="0" topLeftCell="A16" workbookViewId="0">
      <selection activeCell="C33" sqref="C33"/>
    </sheetView>
  </sheetViews>
  <sheetFormatPr defaultRowHeight="14.4" x14ac:dyDescent="0.3"/>
  <cols>
    <col min="1" max="1" width="3" customWidth="1"/>
    <col min="2" max="2" width="26" customWidth="1"/>
    <col min="3" max="3" width="104" customWidth="1"/>
  </cols>
  <sheetData>
    <row r="1" spans="2:3" ht="18" x14ac:dyDescent="0.35">
      <c r="B1" s="227" t="s">
        <v>0</v>
      </c>
    </row>
    <row r="2" spans="2:3" x14ac:dyDescent="0.3">
      <c r="B2" s="228" t="s">
        <v>1</v>
      </c>
    </row>
    <row r="4" spans="2:3" x14ac:dyDescent="0.3">
      <c r="B4" s="229" t="s">
        <v>2</v>
      </c>
      <c r="C4" s="222"/>
    </row>
    <row r="5" spans="2:3" ht="30" customHeight="1" x14ac:dyDescent="0.3">
      <c r="B5" s="230" t="s">
        <v>3</v>
      </c>
      <c r="C5" s="231" t="s">
        <v>4</v>
      </c>
    </row>
    <row r="6" spans="2:3" ht="30" customHeight="1" x14ac:dyDescent="0.3">
      <c r="B6" s="230" t="s">
        <v>5</v>
      </c>
      <c r="C6" s="231" t="s">
        <v>6</v>
      </c>
    </row>
    <row r="7" spans="2:3" ht="30" customHeight="1" x14ac:dyDescent="0.3">
      <c r="B7" s="230" t="s">
        <v>7</v>
      </c>
      <c r="C7" s="231" t="s">
        <v>8</v>
      </c>
    </row>
    <row r="8" spans="2:3" ht="30" customHeight="1" x14ac:dyDescent="0.3">
      <c r="B8" s="230" t="s">
        <v>9</v>
      </c>
      <c r="C8" s="231" t="s">
        <v>10</v>
      </c>
    </row>
    <row r="9" spans="2:3" ht="30" customHeight="1" x14ac:dyDescent="0.3">
      <c r="B9" s="230" t="s">
        <v>11</v>
      </c>
      <c r="C9" s="231" t="s">
        <v>12</v>
      </c>
    </row>
    <row r="11" spans="2:3" x14ac:dyDescent="0.3">
      <c r="B11" s="229" t="s">
        <v>13</v>
      </c>
      <c r="C11" s="222"/>
    </row>
    <row r="12" spans="2:3" ht="30" customHeight="1" x14ac:dyDescent="0.3">
      <c r="B12" s="230" t="s">
        <v>14</v>
      </c>
      <c r="C12" s="231" t="s">
        <v>15</v>
      </c>
    </row>
    <row r="13" spans="2:3" ht="30" customHeight="1" x14ac:dyDescent="0.3">
      <c r="B13" s="230" t="s">
        <v>16</v>
      </c>
      <c r="C13" s="231" t="s">
        <v>17</v>
      </c>
    </row>
    <row r="14" spans="2:3" ht="30" customHeight="1" x14ac:dyDescent="0.3">
      <c r="B14" s="230" t="s">
        <v>18</v>
      </c>
      <c r="C14" s="231" t="s">
        <v>19</v>
      </c>
    </row>
    <row r="16" spans="2:3" x14ac:dyDescent="0.3">
      <c r="B16" s="229" t="s">
        <v>20</v>
      </c>
      <c r="C16" s="222"/>
    </row>
    <row r="17" spans="2:3" ht="30" customHeight="1" x14ac:dyDescent="0.3">
      <c r="B17" s="230" t="s">
        <v>21</v>
      </c>
      <c r="C17" s="231" t="s">
        <v>22</v>
      </c>
    </row>
    <row r="18" spans="2:3" ht="30" customHeight="1" x14ac:dyDescent="0.3">
      <c r="B18" s="230" t="s">
        <v>23</v>
      </c>
      <c r="C18" s="231" t="s">
        <v>24</v>
      </c>
    </row>
    <row r="19" spans="2:3" ht="30" customHeight="1" x14ac:dyDescent="0.3">
      <c r="B19" s="230" t="s">
        <v>25</v>
      </c>
      <c r="C19" s="231" t="s">
        <v>26</v>
      </c>
    </row>
    <row r="21" spans="2:3" x14ac:dyDescent="0.3">
      <c r="B21" s="229" t="s">
        <v>27</v>
      </c>
      <c r="C21" s="222"/>
    </row>
    <row r="22" spans="2:3" ht="30" customHeight="1" x14ac:dyDescent="0.3">
      <c r="B22" s="230" t="s">
        <v>28</v>
      </c>
      <c r="C22" s="231" t="s">
        <v>29</v>
      </c>
    </row>
    <row r="23" spans="2:3" ht="30" customHeight="1" x14ac:dyDescent="0.3">
      <c r="B23" s="230" t="s">
        <v>30</v>
      </c>
      <c r="C23" s="231" t="s">
        <v>31</v>
      </c>
    </row>
    <row r="24" spans="2:3" ht="30" customHeight="1" x14ac:dyDescent="0.3">
      <c r="B24" s="230" t="s">
        <v>32</v>
      </c>
      <c r="C24" s="231" t="s">
        <v>33</v>
      </c>
    </row>
    <row r="25" spans="2:3" ht="30" customHeight="1" x14ac:dyDescent="0.3">
      <c r="B25" s="230" t="s">
        <v>34</v>
      </c>
      <c r="C25" s="231" t="s">
        <v>35</v>
      </c>
    </row>
    <row r="26" spans="2:3" ht="30" customHeight="1" x14ac:dyDescent="0.3">
      <c r="B26" s="230" t="s">
        <v>36</v>
      </c>
      <c r="C26" s="231" t="s">
        <v>37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pageSetUpPr fitToPage="1"/>
  </sheetPr>
  <dimension ref="A1:F1000"/>
  <sheetViews>
    <sheetView showGridLines="0" workbookViewId="0">
      <pane ySplit="4" topLeftCell="A5" activePane="bottomLeft" state="frozen"/>
      <selection pane="bottomLeft" activeCell="C31" sqref="C31"/>
    </sheetView>
  </sheetViews>
  <sheetFormatPr defaultColWidth="14.44140625" defaultRowHeight="15" customHeight="1" x14ac:dyDescent="0.3"/>
  <cols>
    <col min="1" max="1" width="16" customWidth="1"/>
    <col min="2" max="2" width="40" customWidth="1"/>
    <col min="3" max="3" width="16" customWidth="1"/>
    <col min="4" max="4" width="10" customWidth="1"/>
    <col min="5" max="5" width="46" customWidth="1"/>
    <col min="6" max="26" width="8.6640625" customWidth="1"/>
  </cols>
  <sheetData>
    <row r="1" spans="1:6" ht="19.8" customHeight="1" x14ac:dyDescent="0.4">
      <c r="A1" s="1" t="s">
        <v>38</v>
      </c>
    </row>
    <row r="2" spans="1:6" ht="14.4" customHeight="1" x14ac:dyDescent="0.3">
      <c r="A2" s="2" t="s">
        <v>39</v>
      </c>
    </row>
    <row r="4" spans="1:6" ht="14.4" customHeight="1" x14ac:dyDescent="0.3">
      <c r="A4" s="3" t="s">
        <v>40</v>
      </c>
      <c r="B4" s="3" t="s">
        <v>41</v>
      </c>
      <c r="C4" s="3" t="s">
        <v>42</v>
      </c>
      <c r="D4" s="3" t="s">
        <v>43</v>
      </c>
      <c r="E4" s="3" t="s">
        <v>44</v>
      </c>
      <c r="F4" s="210"/>
    </row>
    <row r="5" spans="1:6" ht="14.4" customHeight="1" x14ac:dyDescent="0.3">
      <c r="A5" s="6" t="s">
        <v>45</v>
      </c>
      <c r="B5" s="7"/>
      <c r="C5" s="7"/>
      <c r="D5" s="7"/>
      <c r="E5" s="7"/>
    </row>
    <row r="6" spans="1:6" ht="14.4" customHeight="1" x14ac:dyDescent="0.3">
      <c r="A6" s="9" t="s">
        <v>46</v>
      </c>
      <c r="B6" s="11" t="s">
        <v>47</v>
      </c>
      <c r="C6" s="12"/>
      <c r="D6" s="11"/>
      <c r="E6" s="14"/>
    </row>
    <row r="7" spans="1:6" ht="14.4" customHeight="1" x14ac:dyDescent="0.3">
      <c r="A7" s="9" t="s">
        <v>48</v>
      </c>
      <c r="B7" s="11" t="s">
        <v>49</v>
      </c>
      <c r="C7" s="12"/>
      <c r="D7" s="11"/>
      <c r="E7" s="14"/>
    </row>
    <row r="8" spans="1:6" ht="14.4" customHeight="1" x14ac:dyDescent="0.3">
      <c r="A8" s="9" t="s">
        <v>50</v>
      </c>
      <c r="B8" s="11" t="s">
        <v>51</v>
      </c>
      <c r="C8" s="12"/>
      <c r="D8" s="11"/>
      <c r="E8" s="14"/>
    </row>
    <row r="9" spans="1:6" ht="14.4" customHeight="1" x14ac:dyDescent="0.3">
      <c r="A9" s="9" t="s">
        <v>52</v>
      </c>
      <c r="B9" s="11" t="s">
        <v>53</v>
      </c>
      <c r="C9" s="12"/>
      <c r="D9" s="11"/>
      <c r="E9" s="14"/>
    </row>
    <row r="10" spans="1:6" ht="14.4" customHeight="1" x14ac:dyDescent="0.3">
      <c r="A10" s="9" t="s">
        <v>54</v>
      </c>
      <c r="B10" s="11" t="s">
        <v>55</v>
      </c>
      <c r="C10" s="12"/>
      <c r="D10" s="11"/>
      <c r="E10" s="14"/>
    </row>
    <row r="11" spans="1:6" ht="14.4" customHeight="1" x14ac:dyDescent="0.3">
      <c r="A11" s="6" t="s">
        <v>56</v>
      </c>
      <c r="B11" s="7"/>
      <c r="C11" s="7"/>
      <c r="D11" s="7"/>
      <c r="E11" s="7"/>
    </row>
    <row r="12" spans="1:6" ht="14.4" customHeight="1" x14ac:dyDescent="0.3">
      <c r="A12" s="9" t="s">
        <v>57</v>
      </c>
      <c r="B12" s="11" t="s">
        <v>58</v>
      </c>
      <c r="C12" s="12">
        <f>MAX(MAX(A_Corridor!$B$5:$B$204),MAX(B_Drainage!$B$5:$B$204),MAX(C_Pavement!$B$5:$B$204),MAX(D_Points!$A$5:$A$204))/1000</f>
        <v>0</v>
      </c>
      <c r="D12" s="11" t="s">
        <v>59</v>
      </c>
      <c r="E12" s="14" t="s">
        <v>60</v>
      </c>
    </row>
    <row r="13" spans="1:6" ht="14.4" customHeight="1" x14ac:dyDescent="0.3">
      <c r="A13" s="9" t="s">
        <v>61</v>
      </c>
      <c r="B13" s="11" t="s">
        <v>62</v>
      </c>
      <c r="C13" s="16">
        <v>50</v>
      </c>
      <c r="D13" s="11" t="s">
        <v>63</v>
      </c>
      <c r="E13" s="14" t="s">
        <v>64</v>
      </c>
    </row>
    <row r="14" spans="1:6" ht="14.4" customHeight="1" x14ac:dyDescent="0.3">
      <c r="A14" s="9" t="s">
        <v>65</v>
      </c>
      <c r="B14" s="11" t="s">
        <v>66</v>
      </c>
      <c r="C14" s="16">
        <f>ROUNDUP(P_Length_km*1000/P_Interval,0)</f>
        <v>0</v>
      </c>
      <c r="D14" s="11" t="s">
        <v>67</v>
      </c>
      <c r="E14" s="14" t="s">
        <v>68</v>
      </c>
    </row>
    <row r="15" spans="1:6" ht="14.4" customHeight="1" x14ac:dyDescent="0.3">
      <c r="A15" s="6" t="s">
        <v>69</v>
      </c>
      <c r="B15" s="7"/>
      <c r="C15" s="7"/>
      <c r="D15" s="7"/>
      <c r="E15" s="7"/>
    </row>
    <row r="16" spans="1:6" ht="14.4" customHeight="1" x14ac:dyDescent="0.3">
      <c r="A16" s="9" t="s">
        <v>70</v>
      </c>
      <c r="B16" s="11" t="s">
        <v>71</v>
      </c>
      <c r="C16" s="243">
        <f>F_Road_Data!$C$6</f>
        <v>7</v>
      </c>
      <c r="D16" s="11" t="s">
        <v>63</v>
      </c>
      <c r="E16" s="14"/>
    </row>
    <row r="17" spans="1:6" ht="14.4" customHeight="1" x14ac:dyDescent="0.3">
      <c r="A17" s="9" t="s">
        <v>72</v>
      </c>
      <c r="B17" s="11" t="s">
        <v>73</v>
      </c>
      <c r="C17" s="243">
        <f>F_Road_Data!$C$7</f>
        <v>1</v>
      </c>
      <c r="D17" s="11" t="s">
        <v>63</v>
      </c>
      <c r="E17" s="14"/>
    </row>
    <row r="18" spans="1:6" ht="14.4" customHeight="1" x14ac:dyDescent="0.3">
      <c r="A18" s="9" t="s">
        <v>74</v>
      </c>
      <c r="B18" s="11" t="s">
        <v>75</v>
      </c>
      <c r="C18" s="243">
        <f>P_CW+2*P_SW</f>
        <v>9</v>
      </c>
      <c r="D18" s="11" t="s">
        <v>63</v>
      </c>
      <c r="E18" s="14" t="s">
        <v>68</v>
      </c>
    </row>
    <row r="19" spans="1:6" ht="14.4" customHeight="1" x14ac:dyDescent="0.3">
      <c r="A19" s="9" t="s">
        <v>76</v>
      </c>
      <c r="B19" s="11" t="s">
        <v>77</v>
      </c>
      <c r="C19" s="243">
        <f>F_Road_Data!$C$8</f>
        <v>4</v>
      </c>
      <c r="D19" s="11" t="s">
        <v>63</v>
      </c>
      <c r="E19" s="14"/>
    </row>
    <row r="20" spans="1:6" ht="14.4" customHeight="1" x14ac:dyDescent="0.3">
      <c r="A20" s="9" t="s">
        <v>78</v>
      </c>
      <c r="B20" s="11" t="s">
        <v>79</v>
      </c>
      <c r="C20" s="243">
        <f>P_FW+4</f>
        <v>13</v>
      </c>
      <c r="D20" s="11" t="s">
        <v>63</v>
      </c>
      <c r="E20" s="14" t="s">
        <v>80</v>
      </c>
    </row>
    <row r="21" spans="1:6" ht="15.75" customHeight="1" x14ac:dyDescent="0.3">
      <c r="A21" s="9" t="s">
        <v>81</v>
      </c>
      <c r="B21" s="11" t="s">
        <v>82</v>
      </c>
      <c r="C21" s="243">
        <f>F_Road_Data!$C$9</f>
        <v>8</v>
      </c>
      <c r="D21" s="11" t="s">
        <v>63</v>
      </c>
      <c r="E21" s="14"/>
    </row>
    <row r="22" spans="1:6" ht="15.75" customHeight="1" x14ac:dyDescent="0.3">
      <c r="A22" s="9" t="s">
        <v>83</v>
      </c>
      <c r="B22" s="11" t="s">
        <v>84</v>
      </c>
      <c r="C22" s="243">
        <f>F_Road_Data!$C$10</f>
        <v>7</v>
      </c>
      <c r="D22" s="11" t="s">
        <v>63</v>
      </c>
      <c r="E22" s="14"/>
    </row>
    <row r="23" spans="1:6" ht="15.75" customHeight="1" x14ac:dyDescent="0.3">
      <c r="A23" s="6" t="s">
        <v>85</v>
      </c>
      <c r="B23" s="7"/>
      <c r="C23" s="7"/>
      <c r="D23" s="7"/>
      <c r="E23" s="7"/>
    </row>
    <row r="24" spans="1:6" ht="15.75" customHeight="1" x14ac:dyDescent="0.3">
      <c r="A24" s="9" t="s">
        <v>86</v>
      </c>
      <c r="B24" s="11" t="s">
        <v>87</v>
      </c>
      <c r="C24" s="243">
        <f>F_Road_Data!$C$12</f>
        <v>0.15</v>
      </c>
      <c r="D24" s="11" t="s">
        <v>63</v>
      </c>
      <c r="E24" s="14"/>
    </row>
    <row r="25" spans="1:6" ht="15.75" customHeight="1" x14ac:dyDescent="0.3">
      <c r="A25" s="9" t="s">
        <v>88</v>
      </c>
      <c r="B25" s="11" t="s">
        <v>89</v>
      </c>
      <c r="C25" s="243">
        <f>F_Road_Data!$C$13</f>
        <v>0.15</v>
      </c>
      <c r="D25" s="11" t="s">
        <v>63</v>
      </c>
      <c r="E25" s="14"/>
    </row>
    <row r="26" spans="1:6" ht="15.75" customHeight="1" x14ac:dyDescent="0.3">
      <c r="A26" s="9" t="s">
        <v>90</v>
      </c>
      <c r="B26" s="11" t="s">
        <v>91</v>
      </c>
      <c r="C26" s="243">
        <f>F_Road_Data!$C$14</f>
        <v>31</v>
      </c>
      <c r="D26" s="11" t="s">
        <v>59</v>
      </c>
      <c r="E26" s="14"/>
      <c r="F26" s="211"/>
    </row>
    <row r="27" spans="1:6" ht="15.75" customHeight="1" x14ac:dyDescent="0.3">
      <c r="A27" s="9" t="s">
        <v>92</v>
      </c>
      <c r="B27" s="11" t="s">
        <v>93</v>
      </c>
      <c r="C27" s="243">
        <f>F_Road_Data!$C$15</f>
        <v>40</v>
      </c>
      <c r="D27" s="11" t="s">
        <v>59</v>
      </c>
      <c r="E27" s="14"/>
      <c r="F27" s="211"/>
    </row>
    <row r="28" spans="1:6" ht="15.75" customHeight="1" x14ac:dyDescent="0.3">
      <c r="A28" s="6" t="s">
        <v>94</v>
      </c>
      <c r="B28" s="7"/>
      <c r="C28" s="7"/>
      <c r="D28" s="7"/>
      <c r="E28" s="7"/>
    </row>
    <row r="29" spans="1:6" ht="15.75" customHeight="1" x14ac:dyDescent="0.3">
      <c r="A29" s="9" t="s">
        <v>95</v>
      </c>
      <c r="B29" s="11" t="s">
        <v>96</v>
      </c>
      <c r="C29" s="243">
        <f>F_Road_Data!$C$17</f>
        <v>1.4</v>
      </c>
      <c r="D29" s="11" t="s">
        <v>97</v>
      </c>
      <c r="E29" s="14"/>
    </row>
    <row r="30" spans="1:6" ht="15.75" customHeight="1" x14ac:dyDescent="0.3">
      <c r="A30" s="9" t="s">
        <v>98</v>
      </c>
      <c r="B30" s="11" t="s">
        <v>99</v>
      </c>
      <c r="C30" s="243">
        <f>F_Road_Data!$C$18</f>
        <v>1.3</v>
      </c>
      <c r="D30" s="11" t="s">
        <v>97</v>
      </c>
      <c r="E30" s="14"/>
    </row>
    <row r="31" spans="1:6" ht="15.75" customHeight="1" x14ac:dyDescent="0.3">
      <c r="A31" s="9" t="s">
        <v>100</v>
      </c>
      <c r="B31" s="11" t="s">
        <v>101</v>
      </c>
      <c r="C31" s="243">
        <f>F_Road_Data!$C$19</f>
        <v>1.2</v>
      </c>
      <c r="D31" s="11" t="s">
        <v>97</v>
      </c>
      <c r="E31" s="14"/>
    </row>
    <row r="32" spans="1:6" ht="15.75" customHeight="1" x14ac:dyDescent="0.3">
      <c r="A32" s="9" t="s">
        <v>102</v>
      </c>
      <c r="B32" s="11" t="s">
        <v>103</v>
      </c>
      <c r="C32" s="243">
        <f>F_Road_Data!$C$20</f>
        <v>0.84</v>
      </c>
      <c r="D32" s="11" t="s">
        <v>104</v>
      </c>
      <c r="E32" s="14" t="s">
        <v>105</v>
      </c>
    </row>
    <row r="33" spans="1:6" ht="15.75" customHeight="1" x14ac:dyDescent="0.3">
      <c r="A33" s="9" t="s">
        <v>106</v>
      </c>
      <c r="B33" s="11" t="s">
        <v>107</v>
      </c>
      <c r="C33" s="243">
        <f>F_Road_Data!$C$21</f>
        <v>0.16</v>
      </c>
      <c r="D33" s="11" t="s">
        <v>104</v>
      </c>
      <c r="E33" s="14"/>
    </row>
    <row r="34" spans="1:6" ht="15.75" customHeight="1" x14ac:dyDescent="0.3">
      <c r="A34" s="9" t="s">
        <v>108</v>
      </c>
      <c r="B34" s="11" t="s">
        <v>109</v>
      </c>
      <c r="C34" s="243">
        <f>F_Road_Data!$C$22</f>
        <v>120</v>
      </c>
      <c r="D34" s="11" t="s">
        <v>110</v>
      </c>
      <c r="E34" s="14"/>
    </row>
    <row r="35" spans="1:6" ht="15.75" customHeight="1" x14ac:dyDescent="0.3">
      <c r="A35" s="9" t="s">
        <v>111</v>
      </c>
      <c r="B35" s="11" t="s">
        <v>112</v>
      </c>
      <c r="C35" s="243">
        <f>F_Road_Data!$C$23</f>
        <v>100</v>
      </c>
      <c r="D35" s="11" t="s">
        <v>110</v>
      </c>
      <c r="E35" s="14"/>
    </row>
    <row r="36" spans="1:6" ht="15.75" customHeight="1" x14ac:dyDescent="0.3">
      <c r="A36" s="6" t="s">
        <v>113</v>
      </c>
      <c r="B36" s="7"/>
      <c r="C36" s="7"/>
      <c r="D36" s="7"/>
      <c r="E36" s="7"/>
    </row>
    <row r="37" spans="1:6" ht="15.75" customHeight="1" x14ac:dyDescent="0.3">
      <c r="A37" s="9" t="s">
        <v>114</v>
      </c>
      <c r="B37" s="11" t="s">
        <v>115</v>
      </c>
      <c r="C37" s="243">
        <f>F_Road_Data!$C$25</f>
        <v>15</v>
      </c>
      <c r="D37" s="11" t="s">
        <v>59</v>
      </c>
      <c r="E37" s="14" t="s">
        <v>116</v>
      </c>
      <c r="F37" s="211"/>
    </row>
    <row r="38" spans="1:6" ht="15.75" customHeight="1" x14ac:dyDescent="0.3">
      <c r="A38" s="9" t="s">
        <v>117</v>
      </c>
      <c r="B38" s="11" t="s">
        <v>118</v>
      </c>
      <c r="C38" s="243">
        <f>F_Road_Data!$C$26</f>
        <v>25</v>
      </c>
      <c r="D38" s="11" t="s">
        <v>59</v>
      </c>
      <c r="E38" s="14" t="s">
        <v>119</v>
      </c>
      <c r="F38" s="211"/>
    </row>
    <row r="39" spans="1:6" ht="15.75" customHeight="1" x14ac:dyDescent="0.3">
      <c r="A39" s="9" t="s">
        <v>120</v>
      </c>
      <c r="B39" s="11" t="s">
        <v>121</v>
      </c>
      <c r="C39" s="243">
        <f>F_Road_Data!$C$27</f>
        <v>60</v>
      </c>
      <c r="D39" s="11" t="s">
        <v>59</v>
      </c>
      <c r="E39" s="14"/>
      <c r="F39" s="211"/>
    </row>
    <row r="40" spans="1:6" ht="15.75" customHeight="1" x14ac:dyDescent="0.3">
      <c r="A40" s="9" t="s">
        <v>122</v>
      </c>
      <c r="B40" s="11" t="s">
        <v>123</v>
      </c>
      <c r="C40" s="243">
        <f>F_Road_Data!$C$28</f>
        <v>2</v>
      </c>
      <c r="D40" s="11" t="s">
        <v>59</v>
      </c>
      <c r="E40" s="14"/>
      <c r="F40" s="211"/>
    </row>
    <row r="41" spans="1:6" ht="15.75" customHeight="1" x14ac:dyDescent="0.3">
      <c r="A41" s="6" t="s">
        <v>124</v>
      </c>
      <c r="B41" s="7"/>
      <c r="C41" s="7"/>
      <c r="D41" s="7"/>
      <c r="E41" s="7"/>
    </row>
    <row r="42" spans="1:6" ht="15.75" customHeight="1" x14ac:dyDescent="0.3">
      <c r="A42" s="9" t="s">
        <v>125</v>
      </c>
      <c r="B42" s="11" t="s">
        <v>126</v>
      </c>
      <c r="C42" s="243">
        <f>F_Road_Data!$C$30</f>
        <v>0.57999999999999996</v>
      </c>
      <c r="D42" s="11" t="s">
        <v>127</v>
      </c>
      <c r="E42" s="14" t="s">
        <v>128</v>
      </c>
      <c r="F42" s="211"/>
    </row>
    <row r="43" spans="1:6" ht="15.75" customHeight="1" x14ac:dyDescent="0.3">
      <c r="A43" s="9" t="s">
        <v>129</v>
      </c>
      <c r="B43" s="11" t="s">
        <v>130</v>
      </c>
      <c r="C43" s="243">
        <f>F_Road_Data!$C$31</f>
        <v>0.92</v>
      </c>
      <c r="D43" s="11" t="s">
        <v>127</v>
      </c>
      <c r="E43" s="14" t="s">
        <v>128</v>
      </c>
      <c r="F43" s="211"/>
    </row>
    <row r="44" spans="1:6" ht="15.75" customHeight="1" x14ac:dyDescent="0.3">
      <c r="A44" s="9" t="s">
        <v>131</v>
      </c>
      <c r="B44" s="11" t="s">
        <v>132</v>
      </c>
      <c r="C44" s="243">
        <f>F_Road_Data!$C$32</f>
        <v>0.55000000000000004</v>
      </c>
      <c r="D44" s="11" t="s">
        <v>127</v>
      </c>
      <c r="E44" s="14" t="s">
        <v>133</v>
      </c>
      <c r="F44" s="211"/>
    </row>
    <row r="45" spans="1:6" ht="15.75" customHeight="1" x14ac:dyDescent="0.3">
      <c r="A45" s="9" t="s">
        <v>134</v>
      </c>
      <c r="B45" s="11" t="s">
        <v>135</v>
      </c>
      <c r="C45" s="243">
        <f>F_Road_Data!$C$33</f>
        <v>0.88</v>
      </c>
      <c r="D45" s="11" t="s">
        <v>127</v>
      </c>
      <c r="E45" s="14" t="s">
        <v>133</v>
      </c>
      <c r="F45" s="211"/>
    </row>
    <row r="46" spans="1:6" ht="15.75" customHeight="1" x14ac:dyDescent="0.3">
      <c r="A46" s="6" t="s">
        <v>136</v>
      </c>
      <c r="B46" s="7"/>
      <c r="C46" s="7"/>
      <c r="D46" s="7"/>
      <c r="E46" s="7"/>
    </row>
    <row r="47" spans="1:6" ht="15.75" customHeight="1" x14ac:dyDescent="0.3">
      <c r="A47" s="9" t="s">
        <v>137</v>
      </c>
      <c r="B47" s="11" t="s">
        <v>138</v>
      </c>
      <c r="C47" s="243">
        <f>F_Road_Data!$C$35</f>
        <v>10</v>
      </c>
      <c r="D47" s="11" t="s">
        <v>139</v>
      </c>
      <c r="E47" s="14" t="s">
        <v>140</v>
      </c>
      <c r="F47" s="211"/>
    </row>
    <row r="48" spans="1:6" ht="15.75" customHeight="1" x14ac:dyDescent="0.3">
      <c r="A48" s="9" t="s">
        <v>141</v>
      </c>
      <c r="B48" s="11" t="s">
        <v>142</v>
      </c>
      <c r="C48" s="243">
        <f>F_Road_Data!$C$36</f>
        <v>5</v>
      </c>
      <c r="D48" s="11" t="s">
        <v>143</v>
      </c>
      <c r="E48" s="14" t="s">
        <v>140</v>
      </c>
      <c r="F48" s="211"/>
    </row>
    <row r="49" spans="1:6" ht="15.75" customHeight="1" x14ac:dyDescent="0.3">
      <c r="A49" s="9" t="s">
        <v>144</v>
      </c>
      <c r="B49" s="11" t="s">
        <v>145</v>
      </c>
      <c r="C49" s="243">
        <f>F_Road_Data!$C$37</f>
        <v>1</v>
      </c>
      <c r="D49" s="11" t="s">
        <v>139</v>
      </c>
      <c r="E49" s="14" t="s">
        <v>140</v>
      </c>
      <c r="F49" s="211"/>
    </row>
    <row r="50" spans="1:6" ht="15.75" customHeight="1" x14ac:dyDescent="0.3">
      <c r="A50" s="9" t="s">
        <v>146</v>
      </c>
      <c r="B50" s="11" t="s">
        <v>147</v>
      </c>
      <c r="C50" s="243">
        <f>F_Road_Data!$C$38</f>
        <v>0.6</v>
      </c>
      <c r="D50" s="11" t="s">
        <v>148</v>
      </c>
      <c r="E50" s="14" t="s">
        <v>149</v>
      </c>
      <c r="F50" s="211"/>
    </row>
    <row r="51" spans="1:6" ht="15.75" customHeight="1" x14ac:dyDescent="0.3">
      <c r="A51" s="9" t="s">
        <v>150</v>
      </c>
      <c r="B51" s="11" t="s">
        <v>151</v>
      </c>
      <c r="C51" s="243">
        <f>F_Road_Data!$C$39</f>
        <v>0.4</v>
      </c>
      <c r="D51" s="11" t="s">
        <v>148</v>
      </c>
      <c r="E51" s="14"/>
      <c r="F51" s="211"/>
    </row>
    <row r="52" spans="1:6" ht="15.75" customHeight="1" x14ac:dyDescent="0.3">
      <c r="A52" s="9" t="s">
        <v>152</v>
      </c>
      <c r="B52" s="11" t="s">
        <v>153</v>
      </c>
      <c r="C52" s="243">
        <f>F_Road_Data!$C$40</f>
        <v>2</v>
      </c>
      <c r="D52" s="11" t="s">
        <v>148</v>
      </c>
      <c r="E52" s="14" t="s">
        <v>154</v>
      </c>
      <c r="F52" s="211"/>
    </row>
    <row r="53" spans="1:6" ht="15.75" customHeight="1" x14ac:dyDescent="0.3">
      <c r="A53" s="9" t="s">
        <v>155</v>
      </c>
      <c r="B53" s="11" t="s">
        <v>156</v>
      </c>
      <c r="C53" s="243">
        <f>F_Road_Data!$C$41</f>
        <v>2</v>
      </c>
      <c r="D53" s="11" t="s">
        <v>143</v>
      </c>
      <c r="E53" s="14"/>
      <c r="F53" s="211"/>
    </row>
    <row r="54" spans="1:6" ht="15.75" customHeight="1" x14ac:dyDescent="0.3"/>
    <row r="55" spans="1:6" ht="15.75" customHeight="1" x14ac:dyDescent="0.3"/>
    <row r="56" spans="1:6" ht="15.75" customHeight="1" x14ac:dyDescent="0.3">
      <c r="A56" s="20" t="s">
        <v>157</v>
      </c>
    </row>
    <row r="57" spans="1:6" ht="15.75" customHeight="1" x14ac:dyDescent="0.3">
      <c r="A57" s="21" t="s">
        <v>158</v>
      </c>
      <c r="B57" s="232" t="s">
        <v>159</v>
      </c>
      <c r="C57" s="233"/>
      <c r="D57" s="233"/>
      <c r="E57" s="233"/>
    </row>
    <row r="58" spans="1:6" ht="15.75" customHeight="1" x14ac:dyDescent="0.3">
      <c r="A58" s="21" t="s">
        <v>160</v>
      </c>
      <c r="B58" s="232" t="s">
        <v>161</v>
      </c>
      <c r="C58" s="233"/>
      <c r="D58" s="233"/>
      <c r="E58" s="233"/>
    </row>
    <row r="59" spans="1:6" ht="15.75" customHeight="1" x14ac:dyDescent="0.3">
      <c r="A59" s="21" t="s">
        <v>162</v>
      </c>
      <c r="B59" s="232" t="s">
        <v>163</v>
      </c>
      <c r="C59" s="233"/>
      <c r="D59" s="233"/>
      <c r="E59" s="233"/>
    </row>
    <row r="60" spans="1:6" ht="15.75" customHeight="1" x14ac:dyDescent="0.3">
      <c r="A60" s="21" t="s">
        <v>164</v>
      </c>
      <c r="B60" s="232" t="s">
        <v>165</v>
      </c>
      <c r="C60" s="233"/>
      <c r="D60" s="233"/>
      <c r="E60" s="233"/>
    </row>
    <row r="61" spans="1:6" ht="15.75" customHeight="1" x14ac:dyDescent="0.3">
      <c r="A61" s="21" t="s">
        <v>166</v>
      </c>
      <c r="B61" s="232" t="s">
        <v>167</v>
      </c>
      <c r="C61" s="233"/>
      <c r="D61" s="233"/>
      <c r="E61" s="233"/>
    </row>
    <row r="62" spans="1:6" ht="15.75" customHeight="1" x14ac:dyDescent="0.3">
      <c r="A62" s="21" t="s">
        <v>168</v>
      </c>
      <c r="B62" s="232" t="s">
        <v>169</v>
      </c>
      <c r="C62" s="233"/>
      <c r="D62" s="233"/>
      <c r="E62" s="233"/>
    </row>
    <row r="63" spans="1:6" ht="15.75" customHeight="1" x14ac:dyDescent="0.3">
      <c r="A63" s="21" t="s">
        <v>170</v>
      </c>
      <c r="B63" s="232" t="s">
        <v>171</v>
      </c>
      <c r="C63" s="233"/>
      <c r="D63" s="233"/>
      <c r="E63" s="233"/>
    </row>
    <row r="64" spans="1:6" ht="15.75" customHeight="1" x14ac:dyDescent="0.3">
      <c r="A64" s="21" t="s">
        <v>172</v>
      </c>
      <c r="B64" s="232" t="s">
        <v>173</v>
      </c>
      <c r="C64" s="233"/>
      <c r="D64" s="233"/>
      <c r="E64" s="233"/>
    </row>
    <row r="65" spans="1:5" ht="15.75" customHeight="1" x14ac:dyDescent="0.3">
      <c r="A65" s="21" t="s">
        <v>174</v>
      </c>
      <c r="B65" s="232" t="s">
        <v>175</v>
      </c>
      <c r="C65" s="233"/>
      <c r="D65" s="233"/>
      <c r="E65" s="233"/>
    </row>
    <row r="66" spans="1:5" ht="15.75" customHeight="1" x14ac:dyDescent="0.3">
      <c r="A66" s="21" t="s">
        <v>176</v>
      </c>
      <c r="B66" s="232" t="s">
        <v>177</v>
      </c>
      <c r="C66" s="233"/>
      <c r="D66" s="233"/>
      <c r="E66" s="233"/>
    </row>
    <row r="67" spans="1:5" ht="15.75" customHeight="1" x14ac:dyDescent="0.3"/>
    <row r="68" spans="1:5" ht="15.75" customHeight="1" x14ac:dyDescent="0.3"/>
    <row r="69" spans="1:5" ht="15.75" customHeight="1" x14ac:dyDescent="0.3"/>
    <row r="70" spans="1:5" ht="15.75" customHeight="1" x14ac:dyDescent="0.3"/>
    <row r="71" spans="1:5" ht="15.75" customHeight="1" x14ac:dyDescent="0.3"/>
    <row r="72" spans="1:5" ht="15.75" customHeight="1" x14ac:dyDescent="0.3"/>
    <row r="73" spans="1:5" ht="15.75" customHeight="1" x14ac:dyDescent="0.3"/>
    <row r="74" spans="1:5" ht="15.75" customHeight="1" x14ac:dyDescent="0.3"/>
    <row r="75" spans="1:5" ht="15.75" customHeight="1" x14ac:dyDescent="0.3"/>
    <row r="76" spans="1:5" ht="15.75" customHeight="1" x14ac:dyDescent="0.3"/>
    <row r="77" spans="1:5" ht="15.75" customHeight="1" x14ac:dyDescent="0.3"/>
    <row r="78" spans="1:5" ht="15.75" customHeight="1" x14ac:dyDescent="0.3"/>
    <row r="79" spans="1:5" ht="15.75" customHeight="1" x14ac:dyDescent="0.3"/>
    <row r="80" spans="1:5"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0">
    <mergeCell ref="B66:E66"/>
    <mergeCell ref="B62:E62"/>
    <mergeCell ref="B64:E64"/>
    <mergeCell ref="B59:E59"/>
    <mergeCell ref="B60:E60"/>
    <mergeCell ref="B63:E63"/>
    <mergeCell ref="B61:E61"/>
    <mergeCell ref="B57:E57"/>
    <mergeCell ref="B65:E65"/>
    <mergeCell ref="B58:E58"/>
  </mergeCells>
  <printOptions horizontalCentered="1"/>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204"/>
  <sheetViews>
    <sheetView showGridLines="0" workbookViewId="0">
      <pane ySplit="4" topLeftCell="A5" activePane="bottomLeft" state="frozen"/>
      <selection pane="bottomLeft" activeCell="E5" sqref="E5"/>
    </sheetView>
  </sheetViews>
  <sheetFormatPr defaultRowHeight="14.4" x14ac:dyDescent="0.3"/>
  <cols>
    <col min="1" max="2" width="10" customWidth="1"/>
    <col min="3" max="3" width="13" customWidth="1"/>
    <col min="4" max="4" width="12" customWidth="1"/>
    <col min="5" max="5" width="18" customWidth="1"/>
    <col min="6" max="9" width="16" customWidth="1"/>
    <col min="10" max="10" width="40" customWidth="1"/>
  </cols>
  <sheetData>
    <row r="1" spans="1:10" ht="15.6" x14ac:dyDescent="0.3">
      <c r="A1" s="212" t="s">
        <v>178</v>
      </c>
    </row>
    <row r="2" spans="1:10" ht="30" customHeight="1" x14ac:dyDescent="0.3">
      <c r="A2" s="234" t="s">
        <v>179</v>
      </c>
      <c r="B2" s="233"/>
      <c r="C2" s="233"/>
      <c r="D2" s="233"/>
      <c r="E2" s="233"/>
      <c r="F2" s="233"/>
      <c r="G2" s="233"/>
      <c r="H2" s="233"/>
      <c r="I2" s="233"/>
      <c r="J2" s="233"/>
    </row>
    <row r="4" spans="1:10" ht="30" customHeight="1" x14ac:dyDescent="0.3">
      <c r="A4" s="213" t="s">
        <v>180</v>
      </c>
      <c r="B4" s="213" t="s">
        <v>181</v>
      </c>
      <c r="C4" s="213" t="s">
        <v>182</v>
      </c>
      <c r="D4" s="213" t="s">
        <v>183</v>
      </c>
      <c r="E4" s="213" t="s">
        <v>184</v>
      </c>
      <c r="F4" s="213" t="s">
        <v>185</v>
      </c>
      <c r="G4" s="213" t="s">
        <v>186</v>
      </c>
      <c r="H4" s="213" t="s">
        <v>187</v>
      </c>
      <c r="I4" s="213" t="s">
        <v>188</v>
      </c>
      <c r="J4" s="213" t="s">
        <v>189</v>
      </c>
    </row>
    <row r="5" spans="1:10" x14ac:dyDescent="0.3">
      <c r="A5" s="214"/>
      <c r="B5" s="214"/>
      <c r="C5" s="214"/>
      <c r="D5" s="214"/>
      <c r="E5" s="214"/>
      <c r="F5" s="214"/>
      <c r="G5" s="214"/>
      <c r="H5" s="214"/>
      <c r="I5" s="214"/>
      <c r="J5" s="214"/>
    </row>
    <row r="6" spans="1:10" x14ac:dyDescent="0.3">
      <c r="A6" s="214"/>
      <c r="B6" s="214"/>
      <c r="C6" s="214"/>
      <c r="D6" s="214"/>
      <c r="E6" s="214"/>
      <c r="F6" s="214"/>
      <c r="G6" s="214"/>
      <c r="H6" s="214"/>
      <c r="I6" s="214"/>
      <c r="J6" s="214"/>
    </row>
    <row r="7" spans="1:10" x14ac:dyDescent="0.3">
      <c r="A7" s="214"/>
      <c r="B7" s="214"/>
      <c r="C7" s="214"/>
      <c r="D7" s="214"/>
      <c r="E7" s="214"/>
      <c r="F7" s="214"/>
      <c r="G7" s="214"/>
      <c r="H7" s="214"/>
      <c r="I7" s="214"/>
      <c r="J7" s="214"/>
    </row>
    <row r="8" spans="1:10" x14ac:dyDescent="0.3">
      <c r="A8" s="214"/>
      <c r="B8" s="214"/>
      <c r="C8" s="214"/>
      <c r="D8" s="214"/>
      <c r="E8" s="214"/>
      <c r="F8" s="214"/>
      <c r="G8" s="214"/>
      <c r="H8" s="214"/>
      <c r="I8" s="214"/>
      <c r="J8" s="214"/>
    </row>
    <row r="9" spans="1:10" x14ac:dyDescent="0.3">
      <c r="A9" s="214"/>
      <c r="B9" s="214"/>
      <c r="C9" s="214"/>
      <c r="D9" s="214"/>
      <c r="E9" s="214"/>
      <c r="F9" s="214"/>
      <c r="G9" s="214"/>
      <c r="H9" s="214"/>
      <c r="I9" s="214"/>
      <c r="J9" s="214"/>
    </row>
    <row r="10" spans="1:10" x14ac:dyDescent="0.3">
      <c r="A10" s="214"/>
      <c r="B10" s="214"/>
      <c r="C10" s="214"/>
      <c r="D10" s="214"/>
      <c r="E10" s="214"/>
      <c r="F10" s="214"/>
      <c r="G10" s="214"/>
      <c r="H10" s="214"/>
      <c r="I10" s="214"/>
      <c r="J10" s="214"/>
    </row>
    <row r="11" spans="1:10" x14ac:dyDescent="0.3">
      <c r="A11" s="214"/>
      <c r="B11" s="214"/>
      <c r="C11" s="214"/>
      <c r="D11" s="214"/>
      <c r="E11" s="214"/>
      <c r="F11" s="214"/>
      <c r="G11" s="214"/>
      <c r="H11" s="214"/>
      <c r="I11" s="214"/>
      <c r="J11" s="214"/>
    </row>
    <row r="12" spans="1:10" x14ac:dyDescent="0.3">
      <c r="A12" s="214"/>
      <c r="B12" s="214"/>
      <c r="C12" s="214"/>
      <c r="D12" s="214"/>
      <c r="E12" s="214"/>
      <c r="F12" s="214"/>
      <c r="G12" s="214"/>
      <c r="H12" s="214"/>
      <c r="I12" s="214"/>
      <c r="J12" s="214"/>
    </row>
    <row r="13" spans="1:10" x14ac:dyDescent="0.3">
      <c r="A13" s="214"/>
      <c r="B13" s="214"/>
      <c r="C13" s="214"/>
      <c r="D13" s="214"/>
      <c r="E13" s="214"/>
      <c r="F13" s="214"/>
      <c r="G13" s="214"/>
      <c r="H13" s="214"/>
      <c r="I13" s="214"/>
      <c r="J13" s="214"/>
    </row>
    <row r="14" spans="1:10" x14ac:dyDescent="0.3">
      <c r="A14" s="214"/>
      <c r="B14" s="214"/>
      <c r="C14" s="214"/>
      <c r="D14" s="214"/>
      <c r="E14" s="214"/>
      <c r="F14" s="214"/>
      <c r="G14" s="214"/>
      <c r="H14" s="214"/>
      <c r="I14" s="214"/>
      <c r="J14" s="214"/>
    </row>
    <row r="15" spans="1:10" x14ac:dyDescent="0.3">
      <c r="A15" s="214"/>
      <c r="B15" s="214"/>
      <c r="C15" s="214"/>
      <c r="D15" s="214"/>
      <c r="E15" s="214"/>
      <c r="F15" s="214"/>
      <c r="G15" s="214"/>
      <c r="H15" s="214"/>
      <c r="I15" s="214"/>
      <c r="J15" s="214"/>
    </row>
    <row r="16" spans="1:10" x14ac:dyDescent="0.3">
      <c r="A16" s="214"/>
      <c r="B16" s="214"/>
      <c r="C16" s="214"/>
      <c r="D16" s="214"/>
      <c r="E16" s="214"/>
      <c r="F16" s="214"/>
      <c r="G16" s="214"/>
      <c r="H16" s="214"/>
      <c r="I16" s="214"/>
      <c r="J16" s="214"/>
    </row>
    <row r="17" spans="1:10" x14ac:dyDescent="0.3">
      <c r="A17" s="214"/>
      <c r="B17" s="214"/>
      <c r="C17" s="214"/>
      <c r="D17" s="214"/>
      <c r="E17" s="214"/>
      <c r="F17" s="214"/>
      <c r="G17" s="214"/>
      <c r="H17" s="214"/>
      <c r="I17" s="214"/>
      <c r="J17" s="214"/>
    </row>
    <row r="18" spans="1:10" x14ac:dyDescent="0.3">
      <c r="A18" s="214"/>
      <c r="B18" s="214"/>
      <c r="C18" s="214"/>
      <c r="D18" s="214"/>
      <c r="E18" s="214"/>
      <c r="F18" s="214"/>
      <c r="G18" s="214"/>
      <c r="H18" s="214"/>
      <c r="I18" s="214"/>
      <c r="J18" s="214"/>
    </row>
    <row r="19" spans="1:10" x14ac:dyDescent="0.3">
      <c r="A19" s="214"/>
      <c r="B19" s="214"/>
      <c r="C19" s="214"/>
      <c r="D19" s="214"/>
      <c r="E19" s="214"/>
      <c r="F19" s="214"/>
      <c r="G19" s="214"/>
      <c r="H19" s="214"/>
      <c r="I19" s="214"/>
      <c r="J19" s="214"/>
    </row>
    <row r="20" spans="1:10" x14ac:dyDescent="0.3">
      <c r="A20" s="214"/>
      <c r="B20" s="214"/>
      <c r="C20" s="214"/>
      <c r="D20" s="214"/>
      <c r="E20" s="214"/>
      <c r="F20" s="214"/>
      <c r="G20" s="214"/>
      <c r="H20" s="214"/>
      <c r="I20" s="214"/>
      <c r="J20" s="214"/>
    </row>
    <row r="21" spans="1:10" x14ac:dyDescent="0.3">
      <c r="A21" s="214"/>
      <c r="B21" s="214"/>
      <c r="C21" s="214"/>
      <c r="D21" s="214"/>
      <c r="E21" s="214"/>
      <c r="F21" s="214"/>
      <c r="G21" s="214"/>
      <c r="H21" s="214"/>
      <c r="I21" s="214"/>
      <c r="J21" s="214"/>
    </row>
    <row r="22" spans="1:10" x14ac:dyDescent="0.3">
      <c r="A22" s="214"/>
      <c r="B22" s="214"/>
      <c r="C22" s="214"/>
      <c r="D22" s="214"/>
      <c r="E22" s="214"/>
      <c r="F22" s="214"/>
      <c r="G22" s="214"/>
      <c r="H22" s="214"/>
      <c r="I22" s="214"/>
      <c r="J22" s="214"/>
    </row>
    <row r="23" spans="1:10" x14ac:dyDescent="0.3">
      <c r="A23" s="214"/>
      <c r="B23" s="214"/>
      <c r="C23" s="214"/>
      <c r="D23" s="214"/>
      <c r="E23" s="214"/>
      <c r="F23" s="214"/>
      <c r="G23" s="214"/>
      <c r="H23" s="214"/>
      <c r="I23" s="214"/>
      <c r="J23" s="214"/>
    </row>
    <row r="24" spans="1:10" x14ac:dyDescent="0.3">
      <c r="A24" s="214"/>
      <c r="B24" s="214"/>
      <c r="C24" s="214"/>
      <c r="D24" s="214"/>
      <c r="E24" s="214"/>
      <c r="F24" s="214"/>
      <c r="G24" s="214"/>
      <c r="H24" s="214"/>
      <c r="I24" s="214"/>
      <c r="J24" s="214"/>
    </row>
    <row r="25" spans="1:10" x14ac:dyDescent="0.3">
      <c r="A25" s="214"/>
      <c r="B25" s="214"/>
      <c r="C25" s="214"/>
      <c r="D25" s="214"/>
      <c r="E25" s="214"/>
      <c r="F25" s="214"/>
      <c r="G25" s="214"/>
      <c r="H25" s="214"/>
      <c r="I25" s="214"/>
      <c r="J25" s="214"/>
    </row>
    <row r="26" spans="1:10" x14ac:dyDescent="0.3">
      <c r="A26" s="214"/>
      <c r="B26" s="214"/>
      <c r="C26" s="214"/>
      <c r="D26" s="214"/>
      <c r="E26" s="214"/>
      <c r="F26" s="214"/>
      <c r="G26" s="214"/>
      <c r="H26" s="214"/>
      <c r="I26" s="214"/>
      <c r="J26" s="214"/>
    </row>
    <row r="27" spans="1:10" x14ac:dyDescent="0.3">
      <c r="A27" s="214"/>
      <c r="B27" s="214"/>
      <c r="C27" s="214"/>
      <c r="D27" s="214"/>
      <c r="E27" s="214"/>
      <c r="F27" s="214"/>
      <c r="G27" s="214"/>
      <c r="H27" s="214"/>
      <c r="I27" s="214"/>
      <c r="J27" s="214"/>
    </row>
    <row r="28" spans="1:10" x14ac:dyDescent="0.3">
      <c r="A28" s="214"/>
      <c r="B28" s="214"/>
      <c r="C28" s="214"/>
      <c r="D28" s="214"/>
      <c r="E28" s="214"/>
      <c r="F28" s="214"/>
      <c r="G28" s="214"/>
      <c r="H28" s="214"/>
      <c r="I28" s="214"/>
      <c r="J28" s="214"/>
    </row>
    <row r="29" spans="1:10" x14ac:dyDescent="0.3">
      <c r="A29" s="214"/>
      <c r="B29" s="214"/>
      <c r="C29" s="214"/>
      <c r="D29" s="214"/>
      <c r="E29" s="214"/>
      <c r="F29" s="214"/>
      <c r="G29" s="214"/>
      <c r="H29" s="214"/>
      <c r="I29" s="214"/>
      <c r="J29" s="214"/>
    </row>
    <row r="30" spans="1:10" x14ac:dyDescent="0.3">
      <c r="A30" s="214"/>
      <c r="B30" s="214"/>
      <c r="C30" s="214"/>
      <c r="D30" s="214"/>
      <c r="E30" s="214"/>
      <c r="F30" s="214"/>
      <c r="G30" s="214"/>
      <c r="H30" s="214"/>
      <c r="I30" s="214"/>
      <c r="J30" s="214"/>
    </row>
    <row r="31" spans="1:10" x14ac:dyDescent="0.3">
      <c r="A31" s="214"/>
      <c r="B31" s="214"/>
      <c r="C31" s="214"/>
      <c r="D31" s="214"/>
      <c r="E31" s="214"/>
      <c r="F31" s="214"/>
      <c r="G31" s="214"/>
      <c r="H31" s="214"/>
      <c r="I31" s="214"/>
      <c r="J31" s="214"/>
    </row>
    <row r="32" spans="1:10" x14ac:dyDescent="0.3">
      <c r="A32" s="214"/>
      <c r="B32" s="214"/>
      <c r="C32" s="214"/>
      <c r="D32" s="214"/>
      <c r="E32" s="214"/>
      <c r="F32" s="214"/>
      <c r="G32" s="214"/>
      <c r="H32" s="214"/>
      <c r="I32" s="214"/>
      <c r="J32" s="214"/>
    </row>
    <row r="33" spans="1:10" x14ac:dyDescent="0.3">
      <c r="A33" s="214"/>
      <c r="B33" s="214"/>
      <c r="C33" s="214"/>
      <c r="D33" s="214"/>
      <c r="E33" s="214"/>
      <c r="F33" s="214"/>
      <c r="G33" s="214"/>
      <c r="H33" s="214"/>
      <c r="I33" s="214"/>
      <c r="J33" s="214"/>
    </row>
    <row r="34" spans="1:10" x14ac:dyDescent="0.3">
      <c r="A34" s="214"/>
      <c r="B34" s="214"/>
      <c r="C34" s="214"/>
      <c r="D34" s="214"/>
      <c r="E34" s="214"/>
      <c r="F34" s="214"/>
      <c r="G34" s="214"/>
      <c r="H34" s="214"/>
      <c r="I34" s="214"/>
      <c r="J34" s="214"/>
    </row>
    <row r="35" spans="1:10" x14ac:dyDescent="0.3">
      <c r="A35" s="214"/>
      <c r="B35" s="214"/>
      <c r="C35" s="214"/>
      <c r="D35" s="214"/>
      <c r="E35" s="214"/>
      <c r="F35" s="214"/>
      <c r="G35" s="214"/>
      <c r="H35" s="214"/>
      <c r="I35" s="214"/>
      <c r="J35" s="214"/>
    </row>
    <row r="36" spans="1:10" x14ac:dyDescent="0.3">
      <c r="A36" s="214"/>
      <c r="B36" s="214"/>
      <c r="C36" s="214"/>
      <c r="D36" s="214"/>
      <c r="E36" s="214"/>
      <c r="F36" s="214"/>
      <c r="G36" s="214"/>
      <c r="H36" s="214"/>
      <c r="I36" s="214"/>
      <c r="J36" s="214"/>
    </row>
    <row r="37" spans="1:10" x14ac:dyDescent="0.3">
      <c r="A37" s="214"/>
      <c r="B37" s="214"/>
      <c r="C37" s="214"/>
      <c r="D37" s="214"/>
      <c r="E37" s="214"/>
      <c r="F37" s="214"/>
      <c r="G37" s="214"/>
      <c r="H37" s="214"/>
      <c r="I37" s="214"/>
      <c r="J37" s="214"/>
    </row>
    <row r="38" spans="1:10" x14ac:dyDescent="0.3">
      <c r="A38" s="214"/>
      <c r="B38" s="214"/>
      <c r="C38" s="214"/>
      <c r="D38" s="214"/>
      <c r="E38" s="214"/>
      <c r="F38" s="214"/>
      <c r="G38" s="214"/>
      <c r="H38" s="214"/>
      <c r="I38" s="214"/>
      <c r="J38" s="214"/>
    </row>
    <row r="39" spans="1:10" x14ac:dyDescent="0.3">
      <c r="A39" s="214"/>
      <c r="B39" s="214"/>
      <c r="C39" s="214"/>
      <c r="D39" s="214"/>
      <c r="E39" s="214"/>
      <c r="F39" s="214"/>
      <c r="G39" s="214"/>
      <c r="H39" s="214"/>
      <c r="I39" s="214"/>
      <c r="J39" s="214"/>
    </row>
    <row r="40" spans="1:10" x14ac:dyDescent="0.3">
      <c r="A40" s="214"/>
      <c r="B40" s="214"/>
      <c r="C40" s="214"/>
      <c r="D40" s="214"/>
      <c r="E40" s="214"/>
      <c r="F40" s="214"/>
      <c r="G40" s="214"/>
      <c r="H40" s="214"/>
      <c r="I40" s="214"/>
      <c r="J40" s="214"/>
    </row>
    <row r="41" spans="1:10" x14ac:dyDescent="0.3">
      <c r="A41" s="214"/>
      <c r="B41" s="214"/>
      <c r="C41" s="214"/>
      <c r="D41" s="214"/>
      <c r="E41" s="214"/>
      <c r="F41" s="214"/>
      <c r="G41" s="214"/>
      <c r="H41" s="214"/>
      <c r="I41" s="214"/>
      <c r="J41" s="214"/>
    </row>
    <row r="42" spans="1:10" x14ac:dyDescent="0.3">
      <c r="A42" s="214"/>
      <c r="B42" s="214"/>
      <c r="C42" s="214"/>
      <c r="D42" s="214"/>
      <c r="E42" s="214"/>
      <c r="F42" s="214"/>
      <c r="G42" s="214"/>
      <c r="H42" s="214"/>
      <c r="I42" s="214"/>
      <c r="J42" s="214"/>
    </row>
    <row r="43" spans="1:10" x14ac:dyDescent="0.3">
      <c r="A43" s="214"/>
      <c r="B43" s="214"/>
      <c r="C43" s="214"/>
      <c r="D43" s="214"/>
      <c r="E43" s="214"/>
      <c r="F43" s="214"/>
      <c r="G43" s="214"/>
      <c r="H43" s="214"/>
      <c r="I43" s="214"/>
      <c r="J43" s="214"/>
    </row>
    <row r="44" spans="1:10" x14ac:dyDescent="0.3">
      <c r="A44" s="214"/>
      <c r="B44" s="214"/>
      <c r="C44" s="214"/>
      <c r="D44" s="214"/>
      <c r="E44" s="214"/>
      <c r="F44" s="214"/>
      <c r="G44" s="214"/>
      <c r="H44" s="214"/>
      <c r="I44" s="214"/>
      <c r="J44" s="214"/>
    </row>
    <row r="45" spans="1:10" x14ac:dyDescent="0.3">
      <c r="A45" s="214"/>
      <c r="B45" s="214"/>
      <c r="C45" s="214"/>
      <c r="D45" s="214"/>
      <c r="E45" s="214"/>
      <c r="F45" s="214"/>
      <c r="G45" s="214"/>
      <c r="H45" s="214"/>
      <c r="I45" s="214"/>
      <c r="J45" s="214"/>
    </row>
    <row r="46" spans="1:10" x14ac:dyDescent="0.3">
      <c r="A46" s="214"/>
      <c r="B46" s="214"/>
      <c r="C46" s="214"/>
      <c r="D46" s="214"/>
      <c r="E46" s="214"/>
      <c r="F46" s="214"/>
      <c r="G46" s="214"/>
      <c r="H46" s="214"/>
      <c r="I46" s="214"/>
      <c r="J46" s="214"/>
    </row>
    <row r="47" spans="1:10" x14ac:dyDescent="0.3">
      <c r="A47" s="214"/>
      <c r="B47" s="214"/>
      <c r="C47" s="214"/>
      <c r="D47" s="214"/>
      <c r="E47" s="214"/>
      <c r="F47" s="214"/>
      <c r="G47" s="214"/>
      <c r="H47" s="214"/>
      <c r="I47" s="214"/>
      <c r="J47" s="214"/>
    </row>
    <row r="48" spans="1:10" x14ac:dyDescent="0.3">
      <c r="A48" s="214"/>
      <c r="B48" s="214"/>
      <c r="C48" s="214"/>
      <c r="D48" s="214"/>
      <c r="E48" s="214"/>
      <c r="F48" s="214"/>
      <c r="G48" s="214"/>
      <c r="H48" s="214"/>
      <c r="I48" s="214"/>
      <c r="J48" s="214"/>
    </row>
    <row r="49" spans="1:10" x14ac:dyDescent="0.3">
      <c r="A49" s="214"/>
      <c r="B49" s="214"/>
      <c r="C49" s="214"/>
      <c r="D49" s="214"/>
      <c r="E49" s="214"/>
      <c r="F49" s="214"/>
      <c r="G49" s="214"/>
      <c r="H49" s="214"/>
      <c r="I49" s="214"/>
      <c r="J49" s="214"/>
    </row>
    <row r="50" spans="1:10" x14ac:dyDescent="0.3">
      <c r="A50" s="214"/>
      <c r="B50" s="214"/>
      <c r="C50" s="214"/>
      <c r="D50" s="214"/>
      <c r="E50" s="214"/>
      <c r="F50" s="214"/>
      <c r="G50" s="214"/>
      <c r="H50" s="214"/>
      <c r="I50" s="214"/>
      <c r="J50" s="214"/>
    </row>
    <row r="51" spans="1:10" x14ac:dyDescent="0.3">
      <c r="A51" s="214"/>
      <c r="B51" s="214"/>
      <c r="C51" s="214"/>
      <c r="D51" s="214"/>
      <c r="E51" s="214"/>
      <c r="F51" s="214"/>
      <c r="G51" s="214"/>
      <c r="H51" s="214"/>
      <c r="I51" s="214"/>
      <c r="J51" s="214"/>
    </row>
    <row r="52" spans="1:10" x14ac:dyDescent="0.3">
      <c r="A52" s="214"/>
      <c r="B52" s="214"/>
      <c r="C52" s="214"/>
      <c r="D52" s="214"/>
      <c r="E52" s="214"/>
      <c r="F52" s="214"/>
      <c r="G52" s="214"/>
      <c r="H52" s="214"/>
      <c r="I52" s="214"/>
      <c r="J52" s="214"/>
    </row>
    <row r="53" spans="1:10" x14ac:dyDescent="0.3">
      <c r="A53" s="214"/>
      <c r="B53" s="214"/>
      <c r="C53" s="214"/>
      <c r="D53" s="214"/>
      <c r="E53" s="214"/>
      <c r="F53" s="214"/>
      <c r="G53" s="214"/>
      <c r="H53" s="214"/>
      <c r="I53" s="214"/>
      <c r="J53" s="214"/>
    </row>
    <row r="54" spans="1:10" x14ac:dyDescent="0.3">
      <c r="A54" s="214"/>
      <c r="B54" s="214"/>
      <c r="C54" s="214"/>
      <c r="D54" s="214"/>
      <c r="E54" s="214"/>
      <c r="F54" s="214"/>
      <c r="G54" s="214"/>
      <c r="H54" s="214"/>
      <c r="I54" s="214"/>
      <c r="J54" s="214"/>
    </row>
    <row r="55" spans="1:10" x14ac:dyDescent="0.3">
      <c r="A55" s="214"/>
      <c r="B55" s="214"/>
      <c r="C55" s="214"/>
      <c r="D55" s="214"/>
      <c r="E55" s="214"/>
      <c r="F55" s="214"/>
      <c r="G55" s="214"/>
      <c r="H55" s="214"/>
      <c r="I55" s="214"/>
      <c r="J55" s="214"/>
    </row>
    <row r="56" spans="1:10" x14ac:dyDescent="0.3">
      <c r="A56" s="214"/>
      <c r="B56" s="214"/>
      <c r="C56" s="214"/>
      <c r="D56" s="214"/>
      <c r="E56" s="214"/>
      <c r="F56" s="214"/>
      <c r="G56" s="214"/>
      <c r="H56" s="214"/>
      <c r="I56" s="214"/>
      <c r="J56" s="214"/>
    </row>
    <row r="57" spans="1:10" x14ac:dyDescent="0.3">
      <c r="A57" s="214"/>
      <c r="B57" s="214"/>
      <c r="C57" s="214"/>
      <c r="D57" s="214"/>
      <c r="E57" s="214"/>
      <c r="F57" s="214"/>
      <c r="G57" s="214"/>
      <c r="H57" s="214"/>
      <c r="I57" s="214"/>
      <c r="J57" s="214"/>
    </row>
    <row r="58" spans="1:10" x14ac:dyDescent="0.3">
      <c r="A58" s="214"/>
      <c r="B58" s="214"/>
      <c r="C58" s="214"/>
      <c r="D58" s="214"/>
      <c r="E58" s="214"/>
      <c r="F58" s="214"/>
      <c r="G58" s="214"/>
      <c r="H58" s="214"/>
      <c r="I58" s="214"/>
      <c r="J58" s="214"/>
    </row>
    <row r="59" spans="1:10" x14ac:dyDescent="0.3">
      <c r="A59" s="214"/>
      <c r="B59" s="214"/>
      <c r="C59" s="214"/>
      <c r="D59" s="214"/>
      <c r="E59" s="214"/>
      <c r="F59" s="214"/>
      <c r="G59" s="214"/>
      <c r="H59" s="214"/>
      <c r="I59" s="214"/>
      <c r="J59" s="214"/>
    </row>
    <row r="60" spans="1:10" x14ac:dyDescent="0.3">
      <c r="A60" s="214"/>
      <c r="B60" s="214"/>
      <c r="C60" s="214"/>
      <c r="D60" s="214"/>
      <c r="E60" s="214"/>
      <c r="F60" s="214"/>
      <c r="G60" s="214"/>
      <c r="H60" s="214"/>
      <c r="I60" s="214"/>
      <c r="J60" s="214"/>
    </row>
    <row r="61" spans="1:10" x14ac:dyDescent="0.3">
      <c r="A61" s="214"/>
      <c r="B61" s="214"/>
      <c r="C61" s="214"/>
      <c r="D61" s="214"/>
      <c r="E61" s="214"/>
      <c r="F61" s="214"/>
      <c r="G61" s="214"/>
      <c r="H61" s="214"/>
      <c r="I61" s="214"/>
      <c r="J61" s="214"/>
    </row>
    <row r="62" spans="1:10" x14ac:dyDescent="0.3">
      <c r="A62" s="214"/>
      <c r="B62" s="214"/>
      <c r="C62" s="214"/>
      <c r="D62" s="214"/>
      <c r="E62" s="214"/>
      <c r="F62" s="214"/>
      <c r="G62" s="214"/>
      <c r="H62" s="214"/>
      <c r="I62" s="214"/>
      <c r="J62" s="214"/>
    </row>
    <row r="63" spans="1:10" x14ac:dyDescent="0.3">
      <c r="A63" s="214"/>
      <c r="B63" s="214"/>
      <c r="C63" s="214"/>
      <c r="D63" s="214"/>
      <c r="E63" s="214"/>
      <c r="F63" s="214"/>
      <c r="G63" s="214"/>
      <c r="H63" s="214"/>
      <c r="I63" s="214"/>
      <c r="J63" s="214"/>
    </row>
    <row r="64" spans="1:10" x14ac:dyDescent="0.3">
      <c r="A64" s="214"/>
      <c r="B64" s="214"/>
      <c r="C64" s="214"/>
      <c r="D64" s="214"/>
      <c r="E64" s="214"/>
      <c r="F64" s="214"/>
      <c r="G64" s="214"/>
      <c r="H64" s="214"/>
      <c r="I64" s="214"/>
      <c r="J64" s="214"/>
    </row>
    <row r="65" spans="1:10" x14ac:dyDescent="0.3">
      <c r="A65" s="214"/>
      <c r="B65" s="214"/>
      <c r="C65" s="214"/>
      <c r="D65" s="214"/>
      <c r="E65" s="214"/>
      <c r="F65" s="214"/>
      <c r="G65" s="214"/>
      <c r="H65" s="214"/>
      <c r="I65" s="214"/>
      <c r="J65" s="214"/>
    </row>
    <row r="66" spans="1:10" x14ac:dyDescent="0.3">
      <c r="A66" s="214"/>
      <c r="B66" s="214"/>
      <c r="C66" s="214"/>
      <c r="D66" s="214"/>
      <c r="E66" s="214"/>
      <c r="F66" s="214"/>
      <c r="G66" s="214"/>
      <c r="H66" s="214"/>
      <c r="I66" s="214"/>
      <c r="J66" s="214"/>
    </row>
    <row r="67" spans="1:10" x14ac:dyDescent="0.3">
      <c r="A67" s="214"/>
      <c r="B67" s="214"/>
      <c r="C67" s="214"/>
      <c r="D67" s="214"/>
      <c r="E67" s="214"/>
      <c r="F67" s="214"/>
      <c r="G67" s="214"/>
      <c r="H67" s="214"/>
      <c r="I67" s="214"/>
      <c r="J67" s="214"/>
    </row>
    <row r="68" spans="1:10" x14ac:dyDescent="0.3">
      <c r="A68" s="214"/>
      <c r="B68" s="214"/>
      <c r="C68" s="214"/>
      <c r="D68" s="214"/>
      <c r="E68" s="214"/>
      <c r="F68" s="214"/>
      <c r="G68" s="214"/>
      <c r="H68" s="214"/>
      <c r="I68" s="214"/>
      <c r="J68" s="214"/>
    </row>
    <row r="69" spans="1:10" x14ac:dyDescent="0.3">
      <c r="A69" s="214"/>
      <c r="B69" s="214"/>
      <c r="C69" s="214"/>
      <c r="D69" s="214"/>
      <c r="E69" s="214"/>
      <c r="F69" s="214"/>
      <c r="G69" s="214"/>
      <c r="H69" s="214"/>
      <c r="I69" s="214"/>
      <c r="J69" s="214"/>
    </row>
    <row r="70" spans="1:10" x14ac:dyDescent="0.3">
      <c r="A70" s="214"/>
      <c r="B70" s="214"/>
      <c r="C70" s="214"/>
      <c r="D70" s="214"/>
      <c r="E70" s="214"/>
      <c r="F70" s="214"/>
      <c r="G70" s="214"/>
      <c r="H70" s="214"/>
      <c r="I70" s="214"/>
      <c r="J70" s="214"/>
    </row>
    <row r="71" spans="1:10" x14ac:dyDescent="0.3">
      <c r="A71" s="214"/>
      <c r="B71" s="214"/>
      <c r="C71" s="214"/>
      <c r="D71" s="214"/>
      <c r="E71" s="214"/>
      <c r="F71" s="214"/>
      <c r="G71" s="214"/>
      <c r="H71" s="214"/>
      <c r="I71" s="214"/>
      <c r="J71" s="214"/>
    </row>
    <row r="72" spans="1:10" x14ac:dyDescent="0.3">
      <c r="A72" s="214"/>
      <c r="B72" s="214"/>
      <c r="C72" s="214"/>
      <c r="D72" s="214"/>
      <c r="E72" s="214"/>
      <c r="F72" s="214"/>
      <c r="G72" s="214"/>
      <c r="H72" s="214"/>
      <c r="I72" s="214"/>
      <c r="J72" s="214"/>
    </row>
    <row r="73" spans="1:10" x14ac:dyDescent="0.3">
      <c r="A73" s="214"/>
      <c r="B73" s="214"/>
      <c r="C73" s="214"/>
      <c r="D73" s="214"/>
      <c r="E73" s="214"/>
      <c r="F73" s="214"/>
      <c r="G73" s="214"/>
      <c r="H73" s="214"/>
      <c r="I73" s="214"/>
      <c r="J73" s="214"/>
    </row>
    <row r="74" spans="1:10" x14ac:dyDescent="0.3">
      <c r="A74" s="214"/>
      <c r="B74" s="214"/>
      <c r="C74" s="214"/>
      <c r="D74" s="214"/>
      <c r="E74" s="214"/>
      <c r="F74" s="214"/>
      <c r="G74" s="214"/>
      <c r="H74" s="214"/>
      <c r="I74" s="214"/>
      <c r="J74" s="214"/>
    </row>
    <row r="75" spans="1:10" x14ac:dyDescent="0.3">
      <c r="A75" s="214"/>
      <c r="B75" s="214"/>
      <c r="C75" s="214"/>
      <c r="D75" s="214"/>
      <c r="E75" s="214"/>
      <c r="F75" s="214"/>
      <c r="G75" s="214"/>
      <c r="H75" s="214"/>
      <c r="I75" s="214"/>
      <c r="J75" s="214"/>
    </row>
    <row r="76" spans="1:10" x14ac:dyDescent="0.3">
      <c r="A76" s="214"/>
      <c r="B76" s="214"/>
      <c r="C76" s="214"/>
      <c r="D76" s="214"/>
      <c r="E76" s="214"/>
      <c r="F76" s="214"/>
      <c r="G76" s="214"/>
      <c r="H76" s="214"/>
      <c r="I76" s="214"/>
      <c r="J76" s="214"/>
    </row>
    <row r="77" spans="1:10" x14ac:dyDescent="0.3">
      <c r="A77" s="214"/>
      <c r="B77" s="214"/>
      <c r="C77" s="214"/>
      <c r="D77" s="214"/>
      <c r="E77" s="214"/>
      <c r="F77" s="214"/>
      <c r="G77" s="214"/>
      <c r="H77" s="214"/>
      <c r="I77" s="214"/>
      <c r="J77" s="214"/>
    </row>
    <row r="78" spans="1:10" x14ac:dyDescent="0.3">
      <c r="A78" s="214"/>
      <c r="B78" s="214"/>
      <c r="C78" s="214"/>
      <c r="D78" s="214"/>
      <c r="E78" s="214"/>
      <c r="F78" s="214"/>
      <c r="G78" s="214"/>
      <c r="H78" s="214"/>
      <c r="I78" s="214"/>
      <c r="J78" s="214"/>
    </row>
    <row r="79" spans="1:10" x14ac:dyDescent="0.3">
      <c r="A79" s="214"/>
      <c r="B79" s="214"/>
      <c r="C79" s="214"/>
      <c r="D79" s="214"/>
      <c r="E79" s="214"/>
      <c r="F79" s="214"/>
      <c r="G79" s="214"/>
      <c r="H79" s="214"/>
      <c r="I79" s="214"/>
      <c r="J79" s="214"/>
    </row>
    <row r="80" spans="1:10" x14ac:dyDescent="0.3">
      <c r="A80" s="214"/>
      <c r="B80" s="214"/>
      <c r="C80" s="214"/>
      <c r="D80" s="214"/>
      <c r="E80" s="214"/>
      <c r="F80" s="214"/>
      <c r="G80" s="214"/>
      <c r="H80" s="214"/>
      <c r="I80" s="214"/>
      <c r="J80" s="214"/>
    </row>
    <row r="81" spans="1:10" x14ac:dyDescent="0.3">
      <c r="A81" s="214"/>
      <c r="B81" s="214"/>
      <c r="C81" s="214"/>
      <c r="D81" s="214"/>
      <c r="E81" s="214"/>
      <c r="F81" s="214"/>
      <c r="G81" s="214"/>
      <c r="H81" s="214"/>
      <c r="I81" s="214"/>
      <c r="J81" s="214"/>
    </row>
    <row r="82" spans="1:10" x14ac:dyDescent="0.3">
      <c r="A82" s="214"/>
      <c r="B82" s="214"/>
      <c r="C82" s="214"/>
      <c r="D82" s="214"/>
      <c r="E82" s="214"/>
      <c r="F82" s="214"/>
      <c r="G82" s="214"/>
      <c r="H82" s="214"/>
      <c r="I82" s="214"/>
      <c r="J82" s="214"/>
    </row>
    <row r="83" spans="1:10" x14ac:dyDescent="0.3">
      <c r="A83" s="214"/>
      <c r="B83" s="214"/>
      <c r="C83" s="214"/>
      <c r="D83" s="214"/>
      <c r="E83" s="214"/>
      <c r="F83" s="214"/>
      <c r="G83" s="214"/>
      <c r="H83" s="214"/>
      <c r="I83" s="214"/>
      <c r="J83" s="214"/>
    </row>
    <row r="84" spans="1:10" x14ac:dyDescent="0.3">
      <c r="A84" s="214"/>
      <c r="B84" s="214"/>
      <c r="C84" s="214"/>
      <c r="D84" s="214"/>
      <c r="E84" s="214"/>
      <c r="F84" s="214"/>
      <c r="G84" s="214"/>
      <c r="H84" s="214"/>
      <c r="I84" s="214"/>
      <c r="J84" s="214"/>
    </row>
    <row r="85" spans="1:10" x14ac:dyDescent="0.3">
      <c r="A85" s="214"/>
      <c r="B85" s="214"/>
      <c r="C85" s="214"/>
      <c r="D85" s="214"/>
      <c r="E85" s="214"/>
      <c r="F85" s="214"/>
      <c r="G85" s="214"/>
      <c r="H85" s="214"/>
      <c r="I85" s="214"/>
      <c r="J85" s="214"/>
    </row>
    <row r="86" spans="1:10" x14ac:dyDescent="0.3">
      <c r="A86" s="214"/>
      <c r="B86" s="214"/>
      <c r="C86" s="214"/>
      <c r="D86" s="214"/>
      <c r="E86" s="214"/>
      <c r="F86" s="214"/>
      <c r="G86" s="214"/>
      <c r="H86" s="214"/>
      <c r="I86" s="214"/>
      <c r="J86" s="214"/>
    </row>
    <row r="87" spans="1:10" x14ac:dyDescent="0.3">
      <c r="A87" s="214"/>
      <c r="B87" s="214"/>
      <c r="C87" s="214"/>
      <c r="D87" s="214"/>
      <c r="E87" s="214"/>
      <c r="F87" s="214"/>
      <c r="G87" s="214"/>
      <c r="H87" s="214"/>
      <c r="I87" s="214"/>
      <c r="J87" s="214"/>
    </row>
    <row r="88" spans="1:10" x14ac:dyDescent="0.3">
      <c r="A88" s="214"/>
      <c r="B88" s="214"/>
      <c r="C88" s="214"/>
      <c r="D88" s="214"/>
      <c r="E88" s="214"/>
      <c r="F88" s="214"/>
      <c r="G88" s="214"/>
      <c r="H88" s="214"/>
      <c r="I88" s="214"/>
      <c r="J88" s="214"/>
    </row>
    <row r="89" spans="1:10" x14ac:dyDescent="0.3">
      <c r="A89" s="214"/>
      <c r="B89" s="214"/>
      <c r="C89" s="214"/>
      <c r="D89" s="214"/>
      <c r="E89" s="214"/>
      <c r="F89" s="214"/>
      <c r="G89" s="214"/>
      <c r="H89" s="214"/>
      <c r="I89" s="214"/>
      <c r="J89" s="214"/>
    </row>
    <row r="90" spans="1:10" x14ac:dyDescent="0.3">
      <c r="A90" s="214"/>
      <c r="B90" s="214"/>
      <c r="C90" s="214"/>
      <c r="D90" s="214"/>
      <c r="E90" s="214"/>
      <c r="F90" s="214"/>
      <c r="G90" s="214"/>
      <c r="H90" s="214"/>
      <c r="I90" s="214"/>
      <c r="J90" s="214"/>
    </row>
    <row r="91" spans="1:10" x14ac:dyDescent="0.3">
      <c r="A91" s="214"/>
      <c r="B91" s="214"/>
      <c r="C91" s="214"/>
      <c r="D91" s="214"/>
      <c r="E91" s="214"/>
      <c r="F91" s="214"/>
      <c r="G91" s="214"/>
      <c r="H91" s="214"/>
      <c r="I91" s="214"/>
      <c r="J91" s="214"/>
    </row>
    <row r="92" spans="1:10" x14ac:dyDescent="0.3">
      <c r="A92" s="214"/>
      <c r="B92" s="214"/>
      <c r="C92" s="214"/>
      <c r="D92" s="214"/>
      <c r="E92" s="214"/>
      <c r="F92" s="214"/>
      <c r="G92" s="214"/>
      <c r="H92" s="214"/>
      <c r="I92" s="214"/>
      <c r="J92" s="214"/>
    </row>
    <row r="93" spans="1:10" x14ac:dyDescent="0.3">
      <c r="A93" s="214"/>
      <c r="B93" s="214"/>
      <c r="C93" s="214"/>
      <c r="D93" s="214"/>
      <c r="E93" s="214"/>
      <c r="F93" s="214"/>
      <c r="G93" s="214"/>
      <c r="H93" s="214"/>
      <c r="I93" s="214"/>
      <c r="J93" s="214"/>
    </row>
    <row r="94" spans="1:10" x14ac:dyDescent="0.3">
      <c r="A94" s="214"/>
      <c r="B94" s="214"/>
      <c r="C94" s="214"/>
      <c r="D94" s="214"/>
      <c r="E94" s="214"/>
      <c r="F94" s="214"/>
      <c r="G94" s="214"/>
      <c r="H94" s="214"/>
      <c r="I94" s="214"/>
      <c r="J94" s="214"/>
    </row>
    <row r="95" spans="1:10" x14ac:dyDescent="0.3">
      <c r="A95" s="214"/>
      <c r="B95" s="214"/>
      <c r="C95" s="214"/>
      <c r="D95" s="214"/>
      <c r="E95" s="214"/>
      <c r="F95" s="214"/>
      <c r="G95" s="214"/>
      <c r="H95" s="214"/>
      <c r="I95" s="214"/>
      <c r="J95" s="214"/>
    </row>
    <row r="96" spans="1:10" x14ac:dyDescent="0.3">
      <c r="A96" s="214"/>
      <c r="B96" s="214"/>
      <c r="C96" s="214"/>
      <c r="D96" s="214"/>
      <c r="E96" s="214"/>
      <c r="F96" s="214"/>
      <c r="G96" s="214"/>
      <c r="H96" s="214"/>
      <c r="I96" s="214"/>
      <c r="J96" s="214"/>
    </row>
    <row r="97" spans="1:10" x14ac:dyDescent="0.3">
      <c r="A97" s="214"/>
      <c r="B97" s="214"/>
      <c r="C97" s="214"/>
      <c r="D97" s="214"/>
      <c r="E97" s="214"/>
      <c r="F97" s="214"/>
      <c r="G97" s="214"/>
      <c r="H97" s="214"/>
      <c r="I97" s="214"/>
      <c r="J97" s="214"/>
    </row>
    <row r="98" spans="1:10" x14ac:dyDescent="0.3">
      <c r="A98" s="214"/>
      <c r="B98" s="214"/>
      <c r="C98" s="214"/>
      <c r="D98" s="214"/>
      <c r="E98" s="214"/>
      <c r="F98" s="214"/>
      <c r="G98" s="214"/>
      <c r="H98" s="214"/>
      <c r="I98" s="214"/>
      <c r="J98" s="214"/>
    </row>
    <row r="99" spans="1:10" x14ac:dyDescent="0.3">
      <c r="A99" s="214"/>
      <c r="B99" s="214"/>
      <c r="C99" s="214"/>
      <c r="D99" s="214"/>
      <c r="E99" s="214"/>
      <c r="F99" s="214"/>
      <c r="G99" s="214"/>
      <c r="H99" s="214"/>
      <c r="I99" s="214"/>
      <c r="J99" s="214"/>
    </row>
    <row r="100" spans="1:10" x14ac:dyDescent="0.3">
      <c r="A100" s="214"/>
      <c r="B100" s="214"/>
      <c r="C100" s="214"/>
      <c r="D100" s="214"/>
      <c r="E100" s="214"/>
      <c r="F100" s="214"/>
      <c r="G100" s="214"/>
      <c r="H100" s="214"/>
      <c r="I100" s="214"/>
      <c r="J100" s="214"/>
    </row>
    <row r="101" spans="1:10" x14ac:dyDescent="0.3">
      <c r="A101" s="214"/>
      <c r="B101" s="214"/>
      <c r="C101" s="214"/>
      <c r="D101" s="214"/>
      <c r="E101" s="214"/>
      <c r="F101" s="214"/>
      <c r="G101" s="214"/>
      <c r="H101" s="214"/>
      <c r="I101" s="214"/>
      <c r="J101" s="214"/>
    </row>
    <row r="102" spans="1:10" x14ac:dyDescent="0.3">
      <c r="A102" s="214"/>
      <c r="B102" s="214"/>
      <c r="C102" s="214"/>
      <c r="D102" s="214"/>
      <c r="E102" s="214"/>
      <c r="F102" s="214"/>
      <c r="G102" s="214"/>
      <c r="H102" s="214"/>
      <c r="I102" s="214"/>
      <c r="J102" s="214"/>
    </row>
    <row r="103" spans="1:10" x14ac:dyDescent="0.3">
      <c r="A103" s="214"/>
      <c r="B103" s="214"/>
      <c r="C103" s="214"/>
      <c r="D103" s="214"/>
      <c r="E103" s="214"/>
      <c r="F103" s="214"/>
      <c r="G103" s="214"/>
      <c r="H103" s="214"/>
      <c r="I103" s="214"/>
      <c r="J103" s="214"/>
    </row>
    <row r="104" spans="1:10" x14ac:dyDescent="0.3">
      <c r="A104" s="214"/>
      <c r="B104" s="214"/>
      <c r="C104" s="214"/>
      <c r="D104" s="214"/>
      <c r="E104" s="214"/>
      <c r="F104" s="214"/>
      <c r="G104" s="214"/>
      <c r="H104" s="214"/>
      <c r="I104" s="214"/>
      <c r="J104" s="214"/>
    </row>
    <row r="105" spans="1:10" x14ac:dyDescent="0.3">
      <c r="A105" s="214"/>
      <c r="B105" s="214"/>
      <c r="C105" s="214"/>
      <c r="D105" s="214"/>
      <c r="E105" s="214"/>
      <c r="F105" s="214"/>
      <c r="G105" s="214"/>
      <c r="H105" s="214"/>
      <c r="I105" s="214"/>
      <c r="J105" s="214"/>
    </row>
    <row r="106" spans="1:10" x14ac:dyDescent="0.3">
      <c r="A106" s="214"/>
      <c r="B106" s="214"/>
      <c r="C106" s="214"/>
      <c r="D106" s="214"/>
      <c r="E106" s="214"/>
      <c r="F106" s="214"/>
      <c r="G106" s="214"/>
      <c r="H106" s="214"/>
      <c r="I106" s="214"/>
      <c r="J106" s="214"/>
    </row>
    <row r="107" spans="1:10" x14ac:dyDescent="0.3">
      <c r="A107" s="214"/>
      <c r="B107" s="214"/>
      <c r="C107" s="214"/>
      <c r="D107" s="214"/>
      <c r="E107" s="214"/>
      <c r="F107" s="214"/>
      <c r="G107" s="214"/>
      <c r="H107" s="214"/>
      <c r="I107" s="214"/>
      <c r="J107" s="214"/>
    </row>
    <row r="108" spans="1:10" x14ac:dyDescent="0.3">
      <c r="A108" s="214"/>
      <c r="B108" s="214"/>
      <c r="C108" s="214"/>
      <c r="D108" s="214"/>
      <c r="E108" s="214"/>
      <c r="F108" s="214"/>
      <c r="G108" s="214"/>
      <c r="H108" s="214"/>
      <c r="I108" s="214"/>
      <c r="J108" s="214"/>
    </row>
    <row r="109" spans="1:10" x14ac:dyDescent="0.3">
      <c r="A109" s="214"/>
      <c r="B109" s="214"/>
      <c r="C109" s="214"/>
      <c r="D109" s="214"/>
      <c r="E109" s="214"/>
      <c r="F109" s="214"/>
      <c r="G109" s="214"/>
      <c r="H109" s="214"/>
      <c r="I109" s="214"/>
      <c r="J109" s="214"/>
    </row>
    <row r="110" spans="1:10" x14ac:dyDescent="0.3">
      <c r="A110" s="214"/>
      <c r="B110" s="214"/>
      <c r="C110" s="214"/>
      <c r="D110" s="214"/>
      <c r="E110" s="214"/>
      <c r="F110" s="214"/>
      <c r="G110" s="214"/>
      <c r="H110" s="214"/>
      <c r="I110" s="214"/>
      <c r="J110" s="214"/>
    </row>
    <row r="111" spans="1:10" x14ac:dyDescent="0.3">
      <c r="A111" s="214"/>
      <c r="B111" s="214"/>
      <c r="C111" s="214"/>
      <c r="D111" s="214"/>
      <c r="E111" s="214"/>
      <c r="F111" s="214"/>
      <c r="G111" s="214"/>
      <c r="H111" s="214"/>
      <c r="I111" s="214"/>
      <c r="J111" s="214"/>
    </row>
    <row r="112" spans="1:10" x14ac:dyDescent="0.3">
      <c r="A112" s="214"/>
      <c r="B112" s="214"/>
      <c r="C112" s="214"/>
      <c r="D112" s="214"/>
      <c r="E112" s="214"/>
      <c r="F112" s="214"/>
      <c r="G112" s="214"/>
      <c r="H112" s="214"/>
      <c r="I112" s="214"/>
      <c r="J112" s="214"/>
    </row>
    <row r="113" spans="1:10" x14ac:dyDescent="0.3">
      <c r="A113" s="214"/>
      <c r="B113" s="214"/>
      <c r="C113" s="214"/>
      <c r="D113" s="214"/>
      <c r="E113" s="214"/>
      <c r="F113" s="214"/>
      <c r="G113" s="214"/>
      <c r="H113" s="214"/>
      <c r="I113" s="214"/>
      <c r="J113" s="214"/>
    </row>
    <row r="114" spans="1:10" x14ac:dyDescent="0.3">
      <c r="A114" s="214"/>
      <c r="B114" s="214"/>
      <c r="C114" s="214"/>
      <c r="D114" s="214"/>
      <c r="E114" s="214"/>
      <c r="F114" s="214"/>
      <c r="G114" s="214"/>
      <c r="H114" s="214"/>
      <c r="I114" s="214"/>
      <c r="J114" s="214"/>
    </row>
    <row r="115" spans="1:10" x14ac:dyDescent="0.3">
      <c r="A115" s="214"/>
      <c r="B115" s="214"/>
      <c r="C115" s="214"/>
      <c r="D115" s="214"/>
      <c r="E115" s="214"/>
      <c r="F115" s="214"/>
      <c r="G115" s="214"/>
      <c r="H115" s="214"/>
      <c r="I115" s="214"/>
      <c r="J115" s="214"/>
    </row>
    <row r="116" spans="1:10" x14ac:dyDescent="0.3">
      <c r="A116" s="214"/>
      <c r="B116" s="214"/>
      <c r="C116" s="214"/>
      <c r="D116" s="214"/>
      <c r="E116" s="214"/>
      <c r="F116" s="214"/>
      <c r="G116" s="214"/>
      <c r="H116" s="214"/>
      <c r="I116" s="214"/>
      <c r="J116" s="214"/>
    </row>
    <row r="117" spans="1:10" x14ac:dyDescent="0.3">
      <c r="A117" s="214"/>
      <c r="B117" s="214"/>
      <c r="C117" s="214"/>
      <c r="D117" s="214"/>
      <c r="E117" s="214"/>
      <c r="F117" s="214"/>
      <c r="G117" s="214"/>
      <c r="H117" s="214"/>
      <c r="I117" s="214"/>
      <c r="J117" s="214"/>
    </row>
    <row r="118" spans="1:10" x14ac:dyDescent="0.3">
      <c r="A118" s="214"/>
      <c r="B118" s="214"/>
      <c r="C118" s="214"/>
      <c r="D118" s="214"/>
      <c r="E118" s="214"/>
      <c r="F118" s="214"/>
      <c r="G118" s="214"/>
      <c r="H118" s="214"/>
      <c r="I118" s="214"/>
      <c r="J118" s="214"/>
    </row>
    <row r="119" spans="1:10" x14ac:dyDescent="0.3">
      <c r="A119" s="214"/>
      <c r="B119" s="214"/>
      <c r="C119" s="214"/>
      <c r="D119" s="214"/>
      <c r="E119" s="214"/>
      <c r="F119" s="214"/>
      <c r="G119" s="214"/>
      <c r="H119" s="214"/>
      <c r="I119" s="214"/>
      <c r="J119" s="214"/>
    </row>
    <row r="120" spans="1:10" x14ac:dyDescent="0.3">
      <c r="A120" s="214"/>
      <c r="B120" s="214"/>
      <c r="C120" s="214"/>
      <c r="D120" s="214"/>
      <c r="E120" s="214"/>
      <c r="F120" s="214"/>
      <c r="G120" s="214"/>
      <c r="H120" s="214"/>
      <c r="I120" s="214"/>
      <c r="J120" s="214"/>
    </row>
    <row r="121" spans="1:10" x14ac:dyDescent="0.3">
      <c r="A121" s="214"/>
      <c r="B121" s="214"/>
      <c r="C121" s="214"/>
      <c r="D121" s="214"/>
      <c r="E121" s="214"/>
      <c r="F121" s="214"/>
      <c r="G121" s="214"/>
      <c r="H121" s="214"/>
      <c r="I121" s="214"/>
      <c r="J121" s="214"/>
    </row>
    <row r="122" spans="1:10" x14ac:dyDescent="0.3">
      <c r="A122" s="214"/>
      <c r="B122" s="214"/>
      <c r="C122" s="214"/>
      <c r="D122" s="214"/>
      <c r="E122" s="214"/>
      <c r="F122" s="214"/>
      <c r="G122" s="214"/>
      <c r="H122" s="214"/>
      <c r="I122" s="214"/>
      <c r="J122" s="214"/>
    </row>
    <row r="123" spans="1:10" x14ac:dyDescent="0.3">
      <c r="A123" s="214"/>
      <c r="B123" s="214"/>
      <c r="C123" s="214"/>
      <c r="D123" s="214"/>
      <c r="E123" s="214"/>
      <c r="F123" s="214"/>
      <c r="G123" s="214"/>
      <c r="H123" s="214"/>
      <c r="I123" s="214"/>
      <c r="J123" s="214"/>
    </row>
    <row r="124" spans="1:10" x14ac:dyDescent="0.3">
      <c r="A124" s="214"/>
      <c r="B124" s="214"/>
      <c r="C124" s="214"/>
      <c r="D124" s="214"/>
      <c r="E124" s="214"/>
      <c r="F124" s="214"/>
      <c r="G124" s="214"/>
      <c r="H124" s="214"/>
      <c r="I124" s="214"/>
      <c r="J124" s="214"/>
    </row>
    <row r="125" spans="1:10" x14ac:dyDescent="0.3">
      <c r="A125" s="214"/>
      <c r="B125" s="214"/>
      <c r="C125" s="214"/>
      <c r="D125" s="214"/>
      <c r="E125" s="214"/>
      <c r="F125" s="214"/>
      <c r="G125" s="214"/>
      <c r="H125" s="214"/>
      <c r="I125" s="214"/>
      <c r="J125" s="214"/>
    </row>
    <row r="126" spans="1:10" x14ac:dyDescent="0.3">
      <c r="A126" s="214"/>
      <c r="B126" s="214"/>
      <c r="C126" s="214"/>
      <c r="D126" s="214"/>
      <c r="E126" s="214"/>
      <c r="F126" s="214"/>
      <c r="G126" s="214"/>
      <c r="H126" s="214"/>
      <c r="I126" s="214"/>
      <c r="J126" s="214"/>
    </row>
    <row r="127" spans="1:10" x14ac:dyDescent="0.3">
      <c r="A127" s="214"/>
      <c r="B127" s="214"/>
      <c r="C127" s="214"/>
      <c r="D127" s="214"/>
      <c r="E127" s="214"/>
      <c r="F127" s="214"/>
      <c r="G127" s="214"/>
      <c r="H127" s="214"/>
      <c r="I127" s="214"/>
      <c r="J127" s="214"/>
    </row>
    <row r="128" spans="1:10" x14ac:dyDescent="0.3">
      <c r="A128" s="214"/>
      <c r="B128" s="214"/>
      <c r="C128" s="214"/>
      <c r="D128" s="214"/>
      <c r="E128" s="214"/>
      <c r="F128" s="214"/>
      <c r="G128" s="214"/>
      <c r="H128" s="214"/>
      <c r="I128" s="214"/>
      <c r="J128" s="214"/>
    </row>
    <row r="129" spans="1:10" x14ac:dyDescent="0.3">
      <c r="A129" s="214"/>
      <c r="B129" s="214"/>
      <c r="C129" s="214"/>
      <c r="D129" s="214"/>
      <c r="E129" s="214"/>
      <c r="F129" s="214"/>
      <c r="G129" s="214"/>
      <c r="H129" s="214"/>
      <c r="I129" s="214"/>
      <c r="J129" s="214"/>
    </row>
    <row r="130" spans="1:10" x14ac:dyDescent="0.3">
      <c r="A130" s="214"/>
      <c r="B130" s="214"/>
      <c r="C130" s="214"/>
      <c r="D130" s="214"/>
      <c r="E130" s="214"/>
      <c r="F130" s="214"/>
      <c r="G130" s="214"/>
      <c r="H130" s="214"/>
      <c r="I130" s="214"/>
      <c r="J130" s="214"/>
    </row>
    <row r="131" spans="1:10" x14ac:dyDescent="0.3">
      <c r="A131" s="214"/>
      <c r="B131" s="214"/>
      <c r="C131" s="214"/>
      <c r="D131" s="214"/>
      <c r="E131" s="214"/>
      <c r="F131" s="214"/>
      <c r="G131" s="214"/>
      <c r="H131" s="214"/>
      <c r="I131" s="214"/>
      <c r="J131" s="214"/>
    </row>
    <row r="132" spans="1:10" x14ac:dyDescent="0.3">
      <c r="A132" s="214"/>
      <c r="B132" s="214"/>
      <c r="C132" s="214"/>
      <c r="D132" s="214"/>
      <c r="E132" s="214"/>
      <c r="F132" s="214"/>
      <c r="G132" s="214"/>
      <c r="H132" s="214"/>
      <c r="I132" s="214"/>
      <c r="J132" s="214"/>
    </row>
    <row r="133" spans="1:10" x14ac:dyDescent="0.3">
      <c r="A133" s="214"/>
      <c r="B133" s="214"/>
      <c r="C133" s="214"/>
      <c r="D133" s="214"/>
      <c r="E133" s="214"/>
      <c r="F133" s="214"/>
      <c r="G133" s="214"/>
      <c r="H133" s="214"/>
      <c r="I133" s="214"/>
      <c r="J133" s="214"/>
    </row>
    <row r="134" spans="1:10" x14ac:dyDescent="0.3">
      <c r="A134" s="214"/>
      <c r="B134" s="214"/>
      <c r="C134" s="214"/>
      <c r="D134" s="214"/>
      <c r="E134" s="214"/>
      <c r="F134" s="214"/>
      <c r="G134" s="214"/>
      <c r="H134" s="214"/>
      <c r="I134" s="214"/>
      <c r="J134" s="214"/>
    </row>
    <row r="135" spans="1:10" x14ac:dyDescent="0.3">
      <c r="A135" s="214"/>
      <c r="B135" s="214"/>
      <c r="C135" s="214"/>
      <c r="D135" s="214"/>
      <c r="E135" s="214"/>
      <c r="F135" s="214"/>
      <c r="G135" s="214"/>
      <c r="H135" s="214"/>
      <c r="I135" s="214"/>
      <c r="J135" s="214"/>
    </row>
    <row r="136" spans="1:10" x14ac:dyDescent="0.3">
      <c r="A136" s="214"/>
      <c r="B136" s="214"/>
      <c r="C136" s="214"/>
      <c r="D136" s="214"/>
      <c r="E136" s="214"/>
      <c r="F136" s="214"/>
      <c r="G136" s="214"/>
      <c r="H136" s="214"/>
      <c r="I136" s="214"/>
      <c r="J136" s="214"/>
    </row>
    <row r="137" spans="1:10" x14ac:dyDescent="0.3">
      <c r="A137" s="214"/>
      <c r="B137" s="214"/>
      <c r="C137" s="214"/>
      <c r="D137" s="214"/>
      <c r="E137" s="214"/>
      <c r="F137" s="214"/>
      <c r="G137" s="214"/>
      <c r="H137" s="214"/>
      <c r="I137" s="214"/>
      <c r="J137" s="214"/>
    </row>
    <row r="138" spans="1:10" x14ac:dyDescent="0.3">
      <c r="A138" s="214"/>
      <c r="B138" s="214"/>
      <c r="C138" s="214"/>
      <c r="D138" s="214"/>
      <c r="E138" s="214"/>
      <c r="F138" s="214"/>
      <c r="G138" s="214"/>
      <c r="H138" s="214"/>
      <c r="I138" s="214"/>
      <c r="J138" s="214"/>
    </row>
    <row r="139" spans="1:10" x14ac:dyDescent="0.3">
      <c r="A139" s="214"/>
      <c r="B139" s="214"/>
      <c r="C139" s="214"/>
      <c r="D139" s="214"/>
      <c r="E139" s="214"/>
      <c r="F139" s="214"/>
      <c r="G139" s="214"/>
      <c r="H139" s="214"/>
      <c r="I139" s="214"/>
      <c r="J139" s="214"/>
    </row>
    <row r="140" spans="1:10" x14ac:dyDescent="0.3">
      <c r="A140" s="214"/>
      <c r="B140" s="214"/>
      <c r="C140" s="214"/>
      <c r="D140" s="214"/>
      <c r="E140" s="214"/>
      <c r="F140" s="214"/>
      <c r="G140" s="214"/>
      <c r="H140" s="214"/>
      <c r="I140" s="214"/>
      <c r="J140" s="214"/>
    </row>
    <row r="141" spans="1:10" x14ac:dyDescent="0.3">
      <c r="A141" s="214"/>
      <c r="B141" s="214"/>
      <c r="C141" s="214"/>
      <c r="D141" s="214"/>
      <c r="E141" s="214"/>
      <c r="F141" s="214"/>
      <c r="G141" s="214"/>
      <c r="H141" s="214"/>
      <c r="I141" s="214"/>
      <c r="J141" s="214"/>
    </row>
    <row r="142" spans="1:10" x14ac:dyDescent="0.3">
      <c r="A142" s="214"/>
      <c r="B142" s="214"/>
      <c r="C142" s="214"/>
      <c r="D142" s="214"/>
      <c r="E142" s="214"/>
      <c r="F142" s="214"/>
      <c r="G142" s="214"/>
      <c r="H142" s="214"/>
      <c r="I142" s="214"/>
      <c r="J142" s="214"/>
    </row>
    <row r="143" spans="1:10" x14ac:dyDescent="0.3">
      <c r="A143" s="214"/>
      <c r="B143" s="214"/>
      <c r="C143" s="214"/>
      <c r="D143" s="214"/>
      <c r="E143" s="214"/>
      <c r="F143" s="214"/>
      <c r="G143" s="214"/>
      <c r="H143" s="214"/>
      <c r="I143" s="214"/>
      <c r="J143" s="214"/>
    </row>
    <row r="144" spans="1:10" x14ac:dyDescent="0.3">
      <c r="A144" s="214"/>
      <c r="B144" s="214"/>
      <c r="C144" s="214"/>
      <c r="D144" s="214"/>
      <c r="E144" s="214"/>
      <c r="F144" s="214"/>
      <c r="G144" s="214"/>
      <c r="H144" s="214"/>
      <c r="I144" s="214"/>
      <c r="J144" s="214"/>
    </row>
    <row r="145" spans="1:10" x14ac:dyDescent="0.3">
      <c r="A145" s="214"/>
      <c r="B145" s="214"/>
      <c r="C145" s="214"/>
      <c r="D145" s="214"/>
      <c r="E145" s="214"/>
      <c r="F145" s="214"/>
      <c r="G145" s="214"/>
      <c r="H145" s="214"/>
      <c r="I145" s="214"/>
      <c r="J145" s="214"/>
    </row>
    <row r="146" spans="1:10" x14ac:dyDescent="0.3">
      <c r="A146" s="214"/>
      <c r="B146" s="214"/>
      <c r="C146" s="214"/>
      <c r="D146" s="214"/>
      <c r="E146" s="214"/>
      <c r="F146" s="214"/>
      <c r="G146" s="214"/>
      <c r="H146" s="214"/>
      <c r="I146" s="214"/>
      <c r="J146" s="214"/>
    </row>
    <row r="147" spans="1:10" x14ac:dyDescent="0.3">
      <c r="A147" s="214"/>
      <c r="B147" s="214"/>
      <c r="C147" s="214"/>
      <c r="D147" s="214"/>
      <c r="E147" s="214"/>
      <c r="F147" s="214"/>
      <c r="G147" s="214"/>
      <c r="H147" s="214"/>
      <c r="I147" s="214"/>
      <c r="J147" s="214"/>
    </row>
    <row r="148" spans="1:10" x14ac:dyDescent="0.3">
      <c r="A148" s="214"/>
      <c r="B148" s="214"/>
      <c r="C148" s="214"/>
      <c r="D148" s="214"/>
      <c r="E148" s="214"/>
      <c r="F148" s="214"/>
      <c r="G148" s="214"/>
      <c r="H148" s="214"/>
      <c r="I148" s="214"/>
      <c r="J148" s="214"/>
    </row>
    <row r="149" spans="1:10" x14ac:dyDescent="0.3">
      <c r="A149" s="214"/>
      <c r="B149" s="214"/>
      <c r="C149" s="214"/>
      <c r="D149" s="214"/>
      <c r="E149" s="214"/>
      <c r="F149" s="214"/>
      <c r="G149" s="214"/>
      <c r="H149" s="214"/>
      <c r="I149" s="214"/>
      <c r="J149" s="214"/>
    </row>
    <row r="150" spans="1:10" x14ac:dyDescent="0.3">
      <c r="A150" s="214"/>
      <c r="B150" s="214"/>
      <c r="C150" s="214"/>
      <c r="D150" s="214"/>
      <c r="E150" s="214"/>
      <c r="F150" s="214"/>
      <c r="G150" s="214"/>
      <c r="H150" s="214"/>
      <c r="I150" s="214"/>
      <c r="J150" s="214"/>
    </row>
    <row r="151" spans="1:10" x14ac:dyDescent="0.3">
      <c r="A151" s="214"/>
      <c r="B151" s="214"/>
      <c r="C151" s="214"/>
      <c r="D151" s="214"/>
      <c r="E151" s="214"/>
      <c r="F151" s="214"/>
      <c r="G151" s="214"/>
      <c r="H151" s="214"/>
      <c r="I151" s="214"/>
      <c r="J151" s="214"/>
    </row>
    <row r="152" spans="1:10" x14ac:dyDescent="0.3">
      <c r="A152" s="214"/>
      <c r="B152" s="214"/>
      <c r="C152" s="214"/>
      <c r="D152" s="214"/>
      <c r="E152" s="214"/>
      <c r="F152" s="214"/>
      <c r="G152" s="214"/>
      <c r="H152" s="214"/>
      <c r="I152" s="214"/>
      <c r="J152" s="214"/>
    </row>
    <row r="153" spans="1:10" x14ac:dyDescent="0.3">
      <c r="A153" s="214"/>
      <c r="B153" s="214"/>
      <c r="C153" s="214"/>
      <c r="D153" s="214"/>
      <c r="E153" s="214"/>
      <c r="F153" s="214"/>
      <c r="G153" s="214"/>
      <c r="H153" s="214"/>
      <c r="I153" s="214"/>
      <c r="J153" s="214"/>
    </row>
    <row r="154" spans="1:10" x14ac:dyDescent="0.3">
      <c r="A154" s="214"/>
      <c r="B154" s="214"/>
      <c r="C154" s="214"/>
      <c r="D154" s="214"/>
      <c r="E154" s="214"/>
      <c r="F154" s="214"/>
      <c r="G154" s="214"/>
      <c r="H154" s="214"/>
      <c r="I154" s="214"/>
      <c r="J154" s="214"/>
    </row>
    <row r="155" spans="1:10" x14ac:dyDescent="0.3">
      <c r="A155" s="214"/>
      <c r="B155" s="214"/>
      <c r="C155" s="214"/>
      <c r="D155" s="214"/>
      <c r="E155" s="214"/>
      <c r="F155" s="214"/>
      <c r="G155" s="214"/>
      <c r="H155" s="214"/>
      <c r="I155" s="214"/>
      <c r="J155" s="214"/>
    </row>
    <row r="156" spans="1:10" x14ac:dyDescent="0.3">
      <c r="A156" s="214"/>
      <c r="B156" s="214"/>
      <c r="C156" s="214"/>
      <c r="D156" s="214"/>
      <c r="E156" s="214"/>
      <c r="F156" s="214"/>
      <c r="G156" s="214"/>
      <c r="H156" s="214"/>
      <c r="I156" s="214"/>
      <c r="J156" s="214"/>
    </row>
    <row r="157" spans="1:10" x14ac:dyDescent="0.3">
      <c r="A157" s="214"/>
      <c r="B157" s="214"/>
      <c r="C157" s="214"/>
      <c r="D157" s="214"/>
      <c r="E157" s="214"/>
      <c r="F157" s="214"/>
      <c r="G157" s="214"/>
      <c r="H157" s="214"/>
      <c r="I157" s="214"/>
      <c r="J157" s="214"/>
    </row>
    <row r="158" spans="1:10" x14ac:dyDescent="0.3">
      <c r="A158" s="214"/>
      <c r="B158" s="214"/>
      <c r="C158" s="214"/>
      <c r="D158" s="214"/>
      <c r="E158" s="214"/>
      <c r="F158" s="214"/>
      <c r="G158" s="214"/>
      <c r="H158" s="214"/>
      <c r="I158" s="214"/>
      <c r="J158" s="214"/>
    </row>
    <row r="159" spans="1:10" x14ac:dyDescent="0.3">
      <c r="A159" s="214"/>
      <c r="B159" s="214"/>
      <c r="C159" s="214"/>
      <c r="D159" s="214"/>
      <c r="E159" s="214"/>
      <c r="F159" s="214"/>
      <c r="G159" s="214"/>
      <c r="H159" s="214"/>
      <c r="I159" s="214"/>
      <c r="J159" s="214"/>
    </row>
    <row r="160" spans="1:10" x14ac:dyDescent="0.3">
      <c r="A160" s="214"/>
      <c r="B160" s="214"/>
      <c r="C160" s="214"/>
      <c r="D160" s="214"/>
      <c r="E160" s="214"/>
      <c r="F160" s="214"/>
      <c r="G160" s="214"/>
      <c r="H160" s="214"/>
      <c r="I160" s="214"/>
      <c r="J160" s="214"/>
    </row>
    <row r="161" spans="1:10" x14ac:dyDescent="0.3">
      <c r="A161" s="214"/>
      <c r="B161" s="214"/>
      <c r="C161" s="214"/>
      <c r="D161" s="214"/>
      <c r="E161" s="214"/>
      <c r="F161" s="214"/>
      <c r="G161" s="214"/>
      <c r="H161" s="214"/>
      <c r="I161" s="214"/>
      <c r="J161" s="214"/>
    </row>
    <row r="162" spans="1:10" x14ac:dyDescent="0.3">
      <c r="A162" s="214"/>
      <c r="B162" s="214"/>
      <c r="C162" s="214"/>
      <c r="D162" s="214"/>
      <c r="E162" s="214"/>
      <c r="F162" s="214"/>
      <c r="G162" s="214"/>
      <c r="H162" s="214"/>
      <c r="I162" s="214"/>
      <c r="J162" s="214"/>
    </row>
    <row r="163" spans="1:10" x14ac:dyDescent="0.3">
      <c r="A163" s="214"/>
      <c r="B163" s="214"/>
      <c r="C163" s="214"/>
      <c r="D163" s="214"/>
      <c r="E163" s="214"/>
      <c r="F163" s="214"/>
      <c r="G163" s="214"/>
      <c r="H163" s="214"/>
      <c r="I163" s="214"/>
      <c r="J163" s="214"/>
    </row>
    <row r="164" spans="1:10" x14ac:dyDescent="0.3">
      <c r="A164" s="214"/>
      <c r="B164" s="214"/>
      <c r="C164" s="214"/>
      <c r="D164" s="214"/>
      <c r="E164" s="214"/>
      <c r="F164" s="214"/>
      <c r="G164" s="214"/>
      <c r="H164" s="214"/>
      <c r="I164" s="214"/>
      <c r="J164" s="214"/>
    </row>
    <row r="165" spans="1:10" x14ac:dyDescent="0.3">
      <c r="A165" s="214"/>
      <c r="B165" s="214"/>
      <c r="C165" s="214"/>
      <c r="D165" s="214"/>
      <c r="E165" s="214"/>
      <c r="F165" s="214"/>
      <c r="G165" s="214"/>
      <c r="H165" s="214"/>
      <c r="I165" s="214"/>
      <c r="J165" s="214"/>
    </row>
    <row r="166" spans="1:10" x14ac:dyDescent="0.3">
      <c r="A166" s="214"/>
      <c r="B166" s="214"/>
      <c r="C166" s="214"/>
      <c r="D166" s="214"/>
      <c r="E166" s="214"/>
      <c r="F166" s="214"/>
      <c r="G166" s="214"/>
      <c r="H166" s="214"/>
      <c r="I166" s="214"/>
      <c r="J166" s="214"/>
    </row>
    <row r="167" spans="1:10" x14ac:dyDescent="0.3">
      <c r="A167" s="214"/>
      <c r="B167" s="214"/>
      <c r="C167" s="214"/>
      <c r="D167" s="214"/>
      <c r="E167" s="214"/>
      <c r="F167" s="214"/>
      <c r="G167" s="214"/>
      <c r="H167" s="214"/>
      <c r="I167" s="214"/>
      <c r="J167" s="214"/>
    </row>
    <row r="168" spans="1:10" x14ac:dyDescent="0.3">
      <c r="A168" s="214"/>
      <c r="B168" s="214"/>
      <c r="C168" s="214"/>
      <c r="D168" s="214"/>
      <c r="E168" s="214"/>
      <c r="F168" s="214"/>
      <c r="G168" s="214"/>
      <c r="H168" s="214"/>
      <c r="I168" s="214"/>
      <c r="J168" s="214"/>
    </row>
    <row r="169" spans="1:10" x14ac:dyDescent="0.3">
      <c r="A169" s="214"/>
      <c r="B169" s="214"/>
      <c r="C169" s="214"/>
      <c r="D169" s="214"/>
      <c r="E169" s="214"/>
      <c r="F169" s="214"/>
      <c r="G169" s="214"/>
      <c r="H169" s="214"/>
      <c r="I169" s="214"/>
      <c r="J169" s="214"/>
    </row>
    <row r="170" spans="1:10" x14ac:dyDescent="0.3">
      <c r="A170" s="214"/>
      <c r="B170" s="214"/>
      <c r="C170" s="214"/>
      <c r="D170" s="214"/>
      <c r="E170" s="214"/>
      <c r="F170" s="214"/>
      <c r="G170" s="214"/>
      <c r="H170" s="214"/>
      <c r="I170" s="214"/>
      <c r="J170" s="214"/>
    </row>
    <row r="171" spans="1:10" x14ac:dyDescent="0.3">
      <c r="A171" s="214"/>
      <c r="B171" s="214"/>
      <c r="C171" s="214"/>
      <c r="D171" s="214"/>
      <c r="E171" s="214"/>
      <c r="F171" s="214"/>
      <c r="G171" s="214"/>
      <c r="H171" s="214"/>
      <c r="I171" s="214"/>
      <c r="J171" s="214"/>
    </row>
    <row r="172" spans="1:10" x14ac:dyDescent="0.3">
      <c r="A172" s="214"/>
      <c r="B172" s="214"/>
      <c r="C172" s="214"/>
      <c r="D172" s="214"/>
      <c r="E172" s="214"/>
      <c r="F172" s="214"/>
      <c r="G172" s="214"/>
      <c r="H172" s="214"/>
      <c r="I172" s="214"/>
      <c r="J172" s="214"/>
    </row>
    <row r="173" spans="1:10" x14ac:dyDescent="0.3">
      <c r="A173" s="214"/>
      <c r="B173" s="214"/>
      <c r="C173" s="214"/>
      <c r="D173" s="214"/>
      <c r="E173" s="214"/>
      <c r="F173" s="214"/>
      <c r="G173" s="214"/>
      <c r="H173" s="214"/>
      <c r="I173" s="214"/>
      <c r="J173" s="214"/>
    </row>
    <row r="174" spans="1:10" x14ac:dyDescent="0.3">
      <c r="A174" s="214"/>
      <c r="B174" s="214"/>
      <c r="C174" s="214"/>
      <c r="D174" s="214"/>
      <c r="E174" s="214"/>
      <c r="F174" s="214"/>
      <c r="G174" s="214"/>
      <c r="H174" s="214"/>
      <c r="I174" s="214"/>
      <c r="J174" s="214"/>
    </row>
    <row r="175" spans="1:10" x14ac:dyDescent="0.3">
      <c r="A175" s="214"/>
      <c r="B175" s="214"/>
      <c r="C175" s="214"/>
      <c r="D175" s="214"/>
      <c r="E175" s="214"/>
      <c r="F175" s="214"/>
      <c r="G175" s="214"/>
      <c r="H175" s="214"/>
      <c r="I175" s="214"/>
      <c r="J175" s="214"/>
    </row>
    <row r="176" spans="1:10" x14ac:dyDescent="0.3">
      <c r="A176" s="214"/>
      <c r="B176" s="214"/>
      <c r="C176" s="214"/>
      <c r="D176" s="214"/>
      <c r="E176" s="214"/>
      <c r="F176" s="214"/>
      <c r="G176" s="214"/>
      <c r="H176" s="214"/>
      <c r="I176" s="214"/>
      <c r="J176" s="214"/>
    </row>
    <row r="177" spans="1:10" x14ac:dyDescent="0.3">
      <c r="A177" s="214"/>
      <c r="B177" s="214"/>
      <c r="C177" s="214"/>
      <c r="D177" s="214"/>
      <c r="E177" s="214"/>
      <c r="F177" s="214"/>
      <c r="G177" s="214"/>
      <c r="H177" s="214"/>
      <c r="I177" s="214"/>
      <c r="J177" s="214"/>
    </row>
    <row r="178" spans="1:10" x14ac:dyDescent="0.3">
      <c r="A178" s="214"/>
      <c r="B178" s="214"/>
      <c r="C178" s="214"/>
      <c r="D178" s="214"/>
      <c r="E178" s="214"/>
      <c r="F178" s="214"/>
      <c r="G178" s="214"/>
      <c r="H178" s="214"/>
      <c r="I178" s="214"/>
      <c r="J178" s="214"/>
    </row>
    <row r="179" spans="1:10" x14ac:dyDescent="0.3">
      <c r="A179" s="214"/>
      <c r="B179" s="214"/>
      <c r="C179" s="214"/>
      <c r="D179" s="214"/>
      <c r="E179" s="214"/>
      <c r="F179" s="214"/>
      <c r="G179" s="214"/>
      <c r="H179" s="214"/>
      <c r="I179" s="214"/>
      <c r="J179" s="214"/>
    </row>
    <row r="180" spans="1:10" x14ac:dyDescent="0.3">
      <c r="A180" s="214"/>
      <c r="B180" s="214"/>
      <c r="C180" s="214"/>
      <c r="D180" s="214"/>
      <c r="E180" s="214"/>
      <c r="F180" s="214"/>
      <c r="G180" s="214"/>
      <c r="H180" s="214"/>
      <c r="I180" s="214"/>
      <c r="J180" s="214"/>
    </row>
    <row r="181" spans="1:10" x14ac:dyDescent="0.3">
      <c r="A181" s="214"/>
      <c r="B181" s="214"/>
      <c r="C181" s="214"/>
      <c r="D181" s="214"/>
      <c r="E181" s="214"/>
      <c r="F181" s="214"/>
      <c r="G181" s="214"/>
      <c r="H181" s="214"/>
      <c r="I181" s="214"/>
      <c r="J181" s="214"/>
    </row>
    <row r="182" spans="1:10" x14ac:dyDescent="0.3">
      <c r="A182" s="214"/>
      <c r="B182" s="214"/>
      <c r="C182" s="214"/>
      <c r="D182" s="214"/>
      <c r="E182" s="214"/>
      <c r="F182" s="214"/>
      <c r="G182" s="214"/>
      <c r="H182" s="214"/>
      <c r="I182" s="214"/>
      <c r="J182" s="214"/>
    </row>
    <row r="183" spans="1:10" x14ac:dyDescent="0.3">
      <c r="A183" s="214"/>
      <c r="B183" s="214"/>
      <c r="C183" s="214"/>
      <c r="D183" s="214"/>
      <c r="E183" s="214"/>
      <c r="F183" s="214"/>
      <c r="G183" s="214"/>
      <c r="H183" s="214"/>
      <c r="I183" s="214"/>
      <c r="J183" s="214"/>
    </row>
    <row r="184" spans="1:10" x14ac:dyDescent="0.3">
      <c r="A184" s="214"/>
      <c r="B184" s="214"/>
      <c r="C184" s="214"/>
      <c r="D184" s="214"/>
      <c r="E184" s="214"/>
      <c r="F184" s="214"/>
      <c r="G184" s="214"/>
      <c r="H184" s="214"/>
      <c r="I184" s="214"/>
      <c r="J184" s="214"/>
    </row>
    <row r="185" spans="1:10" x14ac:dyDescent="0.3">
      <c r="A185" s="214"/>
      <c r="B185" s="214"/>
      <c r="C185" s="214"/>
      <c r="D185" s="214"/>
      <c r="E185" s="214"/>
      <c r="F185" s="214"/>
      <c r="G185" s="214"/>
      <c r="H185" s="214"/>
      <c r="I185" s="214"/>
      <c r="J185" s="214"/>
    </row>
    <row r="186" spans="1:10" x14ac:dyDescent="0.3">
      <c r="A186" s="214"/>
      <c r="B186" s="214"/>
      <c r="C186" s="214"/>
      <c r="D186" s="214"/>
      <c r="E186" s="214"/>
      <c r="F186" s="214"/>
      <c r="G186" s="214"/>
      <c r="H186" s="214"/>
      <c r="I186" s="214"/>
      <c r="J186" s="214"/>
    </row>
    <row r="187" spans="1:10" x14ac:dyDescent="0.3">
      <c r="A187" s="214"/>
      <c r="B187" s="214"/>
      <c r="C187" s="214"/>
      <c r="D187" s="214"/>
      <c r="E187" s="214"/>
      <c r="F187" s="214"/>
      <c r="G187" s="214"/>
      <c r="H187" s="214"/>
      <c r="I187" s="214"/>
      <c r="J187" s="214"/>
    </row>
    <row r="188" spans="1:10" x14ac:dyDescent="0.3">
      <c r="A188" s="214"/>
      <c r="B188" s="214"/>
      <c r="C188" s="214"/>
      <c r="D188" s="214"/>
      <c r="E188" s="214"/>
      <c r="F188" s="214"/>
      <c r="G188" s="214"/>
      <c r="H188" s="214"/>
      <c r="I188" s="214"/>
      <c r="J188" s="214"/>
    </row>
    <row r="189" spans="1:10" x14ac:dyDescent="0.3">
      <c r="A189" s="214"/>
      <c r="B189" s="214"/>
      <c r="C189" s="214"/>
      <c r="D189" s="214"/>
      <c r="E189" s="214"/>
      <c r="F189" s="214"/>
      <c r="G189" s="214"/>
      <c r="H189" s="214"/>
      <c r="I189" s="214"/>
      <c r="J189" s="214"/>
    </row>
    <row r="190" spans="1:10" x14ac:dyDescent="0.3">
      <c r="A190" s="214"/>
      <c r="B190" s="214"/>
      <c r="C190" s="214"/>
      <c r="D190" s="214"/>
      <c r="E190" s="214"/>
      <c r="F190" s="214"/>
      <c r="G190" s="214"/>
      <c r="H190" s="214"/>
      <c r="I190" s="214"/>
      <c r="J190" s="214"/>
    </row>
    <row r="191" spans="1:10" x14ac:dyDescent="0.3">
      <c r="A191" s="214"/>
      <c r="B191" s="214"/>
      <c r="C191" s="214"/>
      <c r="D191" s="214"/>
      <c r="E191" s="214"/>
      <c r="F191" s="214"/>
      <c r="G191" s="214"/>
      <c r="H191" s="214"/>
      <c r="I191" s="214"/>
      <c r="J191" s="214"/>
    </row>
    <row r="192" spans="1:10" x14ac:dyDescent="0.3">
      <c r="A192" s="214"/>
      <c r="B192" s="214"/>
      <c r="C192" s="214"/>
      <c r="D192" s="214"/>
      <c r="E192" s="214"/>
      <c r="F192" s="214"/>
      <c r="G192" s="214"/>
      <c r="H192" s="214"/>
      <c r="I192" s="214"/>
      <c r="J192" s="214"/>
    </row>
    <row r="193" spans="1:10" x14ac:dyDescent="0.3">
      <c r="A193" s="214"/>
      <c r="B193" s="214"/>
      <c r="C193" s="214"/>
      <c r="D193" s="214"/>
      <c r="E193" s="214"/>
      <c r="F193" s="214"/>
      <c r="G193" s="214"/>
      <c r="H193" s="214"/>
      <c r="I193" s="214"/>
      <c r="J193" s="214"/>
    </row>
    <row r="194" spans="1:10" x14ac:dyDescent="0.3">
      <c r="A194" s="214"/>
      <c r="B194" s="214"/>
      <c r="C194" s="214"/>
      <c r="D194" s="214"/>
      <c r="E194" s="214"/>
      <c r="F194" s="214"/>
      <c r="G194" s="214"/>
      <c r="H194" s="214"/>
      <c r="I194" s="214"/>
      <c r="J194" s="214"/>
    </row>
    <row r="195" spans="1:10" x14ac:dyDescent="0.3">
      <c r="A195" s="214"/>
      <c r="B195" s="214"/>
      <c r="C195" s="214"/>
      <c r="D195" s="214"/>
      <c r="E195" s="214"/>
      <c r="F195" s="214"/>
      <c r="G195" s="214"/>
      <c r="H195" s="214"/>
      <c r="I195" s="214"/>
      <c r="J195" s="214"/>
    </row>
    <row r="196" spans="1:10" x14ac:dyDescent="0.3">
      <c r="A196" s="214"/>
      <c r="B196" s="214"/>
      <c r="C196" s="214"/>
      <c r="D196" s="214"/>
      <c r="E196" s="214"/>
      <c r="F196" s="214"/>
      <c r="G196" s="214"/>
      <c r="H196" s="214"/>
      <c r="I196" s="214"/>
      <c r="J196" s="214"/>
    </row>
    <row r="197" spans="1:10" x14ac:dyDescent="0.3">
      <c r="A197" s="214"/>
      <c r="B197" s="214"/>
      <c r="C197" s="214"/>
      <c r="D197" s="214"/>
      <c r="E197" s="214"/>
      <c r="F197" s="214"/>
      <c r="G197" s="214"/>
      <c r="H197" s="214"/>
      <c r="I197" s="214"/>
      <c r="J197" s="214"/>
    </row>
    <row r="198" spans="1:10" x14ac:dyDescent="0.3">
      <c r="A198" s="214"/>
      <c r="B198" s="214"/>
      <c r="C198" s="214"/>
      <c r="D198" s="214"/>
      <c r="E198" s="214"/>
      <c r="F198" s="214"/>
      <c r="G198" s="214"/>
      <c r="H198" s="214"/>
      <c r="I198" s="214"/>
      <c r="J198" s="214"/>
    </row>
    <row r="199" spans="1:10" x14ac:dyDescent="0.3">
      <c r="A199" s="214"/>
      <c r="B199" s="214"/>
      <c r="C199" s="214"/>
      <c r="D199" s="214"/>
      <c r="E199" s="214"/>
      <c r="F199" s="214"/>
      <c r="G199" s="214"/>
      <c r="H199" s="214"/>
      <c r="I199" s="214"/>
      <c r="J199" s="214"/>
    </row>
    <row r="200" spans="1:10" x14ac:dyDescent="0.3">
      <c r="A200" s="214"/>
      <c r="B200" s="214"/>
      <c r="C200" s="214"/>
      <c r="D200" s="214"/>
      <c r="E200" s="214"/>
      <c r="F200" s="214"/>
      <c r="G200" s="214"/>
      <c r="H200" s="214"/>
      <c r="I200" s="214"/>
      <c r="J200" s="214"/>
    </row>
    <row r="201" spans="1:10" x14ac:dyDescent="0.3">
      <c r="A201" s="214"/>
      <c r="B201" s="214"/>
      <c r="C201" s="214"/>
      <c r="D201" s="214"/>
      <c r="E201" s="214"/>
      <c r="F201" s="214"/>
      <c r="G201" s="214"/>
      <c r="H201" s="214"/>
      <c r="I201" s="214"/>
      <c r="J201" s="214"/>
    </row>
    <row r="202" spans="1:10" x14ac:dyDescent="0.3">
      <c r="A202" s="214"/>
      <c r="B202" s="214"/>
      <c r="C202" s="214"/>
      <c r="D202" s="214"/>
      <c r="E202" s="214"/>
      <c r="F202" s="214"/>
      <c r="G202" s="214"/>
      <c r="H202" s="214"/>
      <c r="I202" s="214"/>
      <c r="J202" s="214"/>
    </row>
    <row r="203" spans="1:10" x14ac:dyDescent="0.3">
      <c r="A203" s="214"/>
      <c r="B203" s="214"/>
      <c r="C203" s="214"/>
      <c r="D203" s="214"/>
      <c r="E203" s="214"/>
      <c r="F203" s="214"/>
      <c r="G203" s="214"/>
      <c r="H203" s="214"/>
      <c r="I203" s="214"/>
      <c r="J203" s="214"/>
    </row>
    <row r="204" spans="1:10" x14ac:dyDescent="0.3">
      <c r="A204" s="214"/>
      <c r="B204" s="214"/>
      <c r="C204" s="214"/>
      <c r="D204" s="214"/>
      <c r="E204" s="214"/>
      <c r="F204" s="214"/>
      <c r="G204" s="214"/>
      <c r="H204" s="214"/>
      <c r="I204" s="214"/>
      <c r="J204" s="214"/>
    </row>
  </sheetData>
  <mergeCells count="1">
    <mergeCell ref="A2:J2"/>
  </mergeCells>
  <dataValidations count="2">
    <dataValidation type="list" allowBlank="1" sqref="C5:C204" xr:uid="{00000000-0002-0000-0200-000000000000}">
      <formula1>"Y,N,-"</formula1>
    </dataValidation>
    <dataValidation type="list" allowBlank="1" sqref="D5:D204" xr:uid="{00000000-0002-0000-0200-000001000000}">
      <formula1>"EB,GB,SB,LB,TB,-"</formula1>
    </dataValidation>
  </dataValidations>
  <pageMargins left="0.75" right="0.75" top="1" bottom="1" header="0.5" footer="0.5"/>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O204"/>
  <sheetViews>
    <sheetView showGridLines="0" workbookViewId="0">
      <pane ySplit="4" topLeftCell="A5" activePane="bottomLeft" state="frozen"/>
      <selection pane="bottomLeft"/>
    </sheetView>
  </sheetViews>
  <sheetFormatPr defaultRowHeight="14.4" x14ac:dyDescent="0.3"/>
  <cols>
    <col min="1" max="2" width="10" customWidth="1"/>
    <col min="3" max="4" width="9" customWidth="1"/>
    <col min="5" max="6" width="14" customWidth="1"/>
    <col min="7" max="8" width="13" customWidth="1"/>
    <col min="9" max="10" width="9" customWidth="1"/>
    <col min="11" max="11" width="13" customWidth="1"/>
    <col min="12" max="12" width="16" customWidth="1"/>
    <col min="13" max="14" width="12" customWidth="1"/>
    <col min="15" max="15" width="34" customWidth="1"/>
  </cols>
  <sheetData>
    <row r="1" spans="1:15" ht="15.6" x14ac:dyDescent="0.3">
      <c r="A1" s="212" t="s">
        <v>190</v>
      </c>
    </row>
    <row r="2" spans="1:15" ht="30" customHeight="1" x14ac:dyDescent="0.3">
      <c r="A2" s="234" t="s">
        <v>191</v>
      </c>
      <c r="B2" s="233"/>
      <c r="C2" s="233"/>
      <c r="D2" s="233"/>
      <c r="E2" s="233"/>
      <c r="F2" s="233"/>
      <c r="G2" s="233"/>
      <c r="H2" s="233"/>
      <c r="I2" s="233"/>
      <c r="J2" s="233"/>
      <c r="K2" s="233"/>
      <c r="L2" s="233"/>
      <c r="M2" s="233"/>
      <c r="N2" s="233"/>
      <c r="O2" s="233"/>
    </row>
    <row r="4" spans="1:15" ht="30" customHeight="1" x14ac:dyDescent="0.3">
      <c r="A4" s="213" t="s">
        <v>180</v>
      </c>
      <c r="B4" s="213" t="s">
        <v>181</v>
      </c>
      <c r="C4" s="213" t="s">
        <v>192</v>
      </c>
      <c r="D4" s="213" t="s">
        <v>193</v>
      </c>
      <c r="E4" s="213" t="s">
        <v>194</v>
      </c>
      <c r="F4" s="213" t="s">
        <v>195</v>
      </c>
      <c r="G4" s="213" t="s">
        <v>196</v>
      </c>
      <c r="H4" s="213" t="s">
        <v>197</v>
      </c>
      <c r="I4" s="213" t="s">
        <v>198</v>
      </c>
      <c r="J4" s="213" t="s">
        <v>199</v>
      </c>
      <c r="K4" s="213" t="s">
        <v>200</v>
      </c>
      <c r="L4" s="213" t="s">
        <v>201</v>
      </c>
      <c r="M4" s="213" t="s">
        <v>202</v>
      </c>
      <c r="N4" s="213" t="s">
        <v>203</v>
      </c>
      <c r="O4" s="213" t="s">
        <v>189</v>
      </c>
    </row>
    <row r="5" spans="1:15" x14ac:dyDescent="0.3">
      <c r="A5" s="214"/>
      <c r="B5" s="214"/>
      <c r="C5" s="214"/>
      <c r="D5" s="214"/>
      <c r="E5" s="214"/>
      <c r="F5" s="214"/>
      <c r="G5" s="214"/>
      <c r="H5" s="214"/>
      <c r="I5" s="214"/>
      <c r="J5" s="214"/>
      <c r="K5" s="214"/>
      <c r="L5" s="214"/>
      <c r="M5" s="214"/>
      <c r="N5" s="214"/>
      <c r="O5" s="214"/>
    </row>
    <row r="6" spans="1:15" x14ac:dyDescent="0.3">
      <c r="A6" s="214"/>
      <c r="B6" s="214"/>
      <c r="C6" s="214"/>
      <c r="D6" s="214"/>
      <c r="E6" s="214"/>
      <c r="F6" s="214"/>
      <c r="G6" s="214"/>
      <c r="H6" s="214"/>
      <c r="I6" s="214"/>
      <c r="J6" s="214"/>
      <c r="K6" s="214"/>
      <c r="L6" s="214"/>
      <c r="M6" s="214"/>
      <c r="N6" s="214"/>
      <c r="O6" s="214"/>
    </row>
    <row r="7" spans="1:15" x14ac:dyDescent="0.3">
      <c r="A7" s="214"/>
      <c r="B7" s="214"/>
      <c r="C7" s="214"/>
      <c r="D7" s="214"/>
      <c r="E7" s="214"/>
      <c r="F7" s="214"/>
      <c r="G7" s="214"/>
      <c r="H7" s="214"/>
      <c r="I7" s="214"/>
      <c r="J7" s="214"/>
      <c r="K7" s="214"/>
      <c r="L7" s="214"/>
      <c r="M7" s="214"/>
      <c r="N7" s="214"/>
      <c r="O7" s="214"/>
    </row>
    <row r="8" spans="1:15" x14ac:dyDescent="0.3">
      <c r="A8" s="214"/>
      <c r="B8" s="214"/>
      <c r="C8" s="214"/>
      <c r="D8" s="214"/>
      <c r="E8" s="214"/>
      <c r="F8" s="214"/>
      <c r="G8" s="214"/>
      <c r="H8" s="214"/>
      <c r="I8" s="214"/>
      <c r="J8" s="214"/>
      <c r="K8" s="214"/>
      <c r="L8" s="214"/>
      <c r="M8" s="214"/>
      <c r="N8" s="214"/>
      <c r="O8" s="214"/>
    </row>
    <row r="9" spans="1:15" x14ac:dyDescent="0.3">
      <c r="A9" s="214"/>
      <c r="B9" s="214"/>
      <c r="C9" s="214"/>
      <c r="D9" s="214"/>
      <c r="E9" s="214"/>
      <c r="F9" s="214"/>
      <c r="G9" s="214"/>
      <c r="H9" s="214"/>
      <c r="I9" s="214"/>
      <c r="J9" s="214"/>
      <c r="K9" s="214"/>
      <c r="L9" s="214"/>
      <c r="M9" s="214"/>
      <c r="N9" s="214"/>
      <c r="O9" s="214"/>
    </row>
    <row r="10" spans="1:15" x14ac:dyDescent="0.3">
      <c r="A10" s="214"/>
      <c r="B10" s="214"/>
      <c r="C10" s="214"/>
      <c r="D10" s="214"/>
      <c r="E10" s="214"/>
      <c r="F10" s="214"/>
      <c r="G10" s="214"/>
      <c r="H10" s="214"/>
      <c r="I10" s="214"/>
      <c r="J10" s="214"/>
      <c r="K10" s="214"/>
      <c r="L10" s="214"/>
      <c r="M10" s="214"/>
      <c r="N10" s="214"/>
      <c r="O10" s="214"/>
    </row>
    <row r="11" spans="1:15" x14ac:dyDescent="0.3">
      <c r="A11" s="214"/>
      <c r="B11" s="214"/>
      <c r="C11" s="214"/>
      <c r="D11" s="214"/>
      <c r="E11" s="214"/>
      <c r="F11" s="214"/>
      <c r="G11" s="214"/>
      <c r="H11" s="214"/>
      <c r="I11" s="214"/>
      <c r="J11" s="214"/>
      <c r="K11" s="214"/>
      <c r="L11" s="214"/>
      <c r="M11" s="214"/>
      <c r="N11" s="214"/>
      <c r="O11" s="214"/>
    </row>
    <row r="12" spans="1:15" x14ac:dyDescent="0.3">
      <c r="A12" s="214"/>
      <c r="B12" s="214"/>
      <c r="C12" s="214"/>
      <c r="D12" s="214"/>
      <c r="E12" s="214"/>
      <c r="F12" s="214"/>
      <c r="G12" s="214"/>
      <c r="H12" s="214"/>
      <c r="I12" s="214"/>
      <c r="J12" s="214"/>
      <c r="K12" s="214"/>
      <c r="L12" s="214"/>
      <c r="M12" s="214"/>
      <c r="N12" s="214"/>
      <c r="O12" s="214"/>
    </row>
    <row r="13" spans="1:15" x14ac:dyDescent="0.3">
      <c r="A13" s="214"/>
      <c r="B13" s="214"/>
      <c r="C13" s="214"/>
      <c r="D13" s="214"/>
      <c r="E13" s="214"/>
      <c r="F13" s="214"/>
      <c r="G13" s="214"/>
      <c r="H13" s="214"/>
      <c r="I13" s="214"/>
      <c r="J13" s="214"/>
      <c r="K13" s="214"/>
      <c r="L13" s="214"/>
      <c r="M13" s="214"/>
      <c r="N13" s="214"/>
      <c r="O13" s="214"/>
    </row>
    <row r="14" spans="1:15" x14ac:dyDescent="0.3">
      <c r="A14" s="214"/>
      <c r="B14" s="214"/>
      <c r="C14" s="214"/>
      <c r="D14" s="214"/>
      <c r="E14" s="214"/>
      <c r="F14" s="214"/>
      <c r="G14" s="214"/>
      <c r="H14" s="214"/>
      <c r="I14" s="214"/>
      <c r="J14" s="214"/>
      <c r="K14" s="214"/>
      <c r="L14" s="214"/>
      <c r="M14" s="214"/>
      <c r="N14" s="214"/>
      <c r="O14" s="214"/>
    </row>
    <row r="15" spans="1:15" x14ac:dyDescent="0.3">
      <c r="A15" s="214"/>
      <c r="B15" s="214"/>
      <c r="C15" s="214"/>
      <c r="D15" s="214"/>
      <c r="E15" s="214"/>
      <c r="F15" s="214"/>
      <c r="G15" s="214"/>
      <c r="H15" s="214"/>
      <c r="I15" s="214"/>
      <c r="J15" s="214"/>
      <c r="K15" s="214"/>
      <c r="L15" s="214"/>
      <c r="M15" s="214"/>
      <c r="N15" s="214"/>
      <c r="O15" s="214"/>
    </row>
    <row r="16" spans="1:15" x14ac:dyDescent="0.3">
      <c r="A16" s="214"/>
      <c r="B16" s="214"/>
      <c r="C16" s="214"/>
      <c r="D16" s="214"/>
      <c r="E16" s="214"/>
      <c r="F16" s="214"/>
      <c r="G16" s="214"/>
      <c r="H16" s="214"/>
      <c r="I16" s="214"/>
      <c r="J16" s="214"/>
      <c r="K16" s="214"/>
      <c r="L16" s="214"/>
      <c r="M16" s="214"/>
      <c r="N16" s="214"/>
      <c r="O16" s="214"/>
    </row>
    <row r="17" spans="1:15" x14ac:dyDescent="0.3">
      <c r="A17" s="214"/>
      <c r="B17" s="214"/>
      <c r="C17" s="214"/>
      <c r="D17" s="214"/>
      <c r="E17" s="214"/>
      <c r="F17" s="214"/>
      <c r="G17" s="214"/>
      <c r="H17" s="214"/>
      <c r="I17" s="214"/>
      <c r="J17" s="214"/>
      <c r="K17" s="214"/>
      <c r="L17" s="214"/>
      <c r="M17" s="214"/>
      <c r="N17" s="214"/>
      <c r="O17" s="214"/>
    </row>
    <row r="18" spans="1:15" x14ac:dyDescent="0.3">
      <c r="A18" s="214"/>
      <c r="B18" s="214"/>
      <c r="C18" s="214"/>
      <c r="D18" s="214"/>
      <c r="E18" s="214"/>
      <c r="F18" s="214"/>
      <c r="G18" s="214"/>
      <c r="H18" s="214"/>
      <c r="I18" s="214"/>
      <c r="J18" s="214"/>
      <c r="K18" s="214"/>
      <c r="L18" s="214"/>
      <c r="M18" s="214"/>
      <c r="N18" s="214"/>
      <c r="O18" s="214"/>
    </row>
    <row r="19" spans="1:15" x14ac:dyDescent="0.3">
      <c r="A19" s="214"/>
      <c r="B19" s="214"/>
      <c r="C19" s="214"/>
      <c r="D19" s="214"/>
      <c r="E19" s="214"/>
      <c r="F19" s="214"/>
      <c r="G19" s="214"/>
      <c r="H19" s="214"/>
      <c r="I19" s="214"/>
      <c r="J19" s="214"/>
      <c r="K19" s="214"/>
      <c r="L19" s="214"/>
      <c r="M19" s="214"/>
      <c r="N19" s="214"/>
      <c r="O19" s="214"/>
    </row>
    <row r="20" spans="1:15" x14ac:dyDescent="0.3">
      <c r="A20" s="214"/>
      <c r="B20" s="214"/>
      <c r="C20" s="214"/>
      <c r="D20" s="214"/>
      <c r="E20" s="214"/>
      <c r="F20" s="214"/>
      <c r="G20" s="214"/>
      <c r="H20" s="214"/>
      <c r="I20" s="214"/>
      <c r="J20" s="214"/>
      <c r="K20" s="214"/>
      <c r="L20" s="214"/>
      <c r="M20" s="214"/>
      <c r="N20" s="214"/>
      <c r="O20" s="214"/>
    </row>
    <row r="21" spans="1:15" x14ac:dyDescent="0.3">
      <c r="A21" s="214"/>
      <c r="B21" s="214"/>
      <c r="C21" s="214"/>
      <c r="D21" s="214"/>
      <c r="E21" s="214"/>
      <c r="F21" s="214"/>
      <c r="G21" s="214"/>
      <c r="H21" s="214"/>
      <c r="I21" s="214"/>
      <c r="J21" s="214"/>
      <c r="K21" s="214"/>
      <c r="L21" s="214"/>
      <c r="M21" s="214"/>
      <c r="N21" s="214"/>
      <c r="O21" s="214"/>
    </row>
    <row r="22" spans="1:15" x14ac:dyDescent="0.3">
      <c r="A22" s="214"/>
      <c r="B22" s="214"/>
      <c r="C22" s="214"/>
      <c r="D22" s="214"/>
      <c r="E22" s="214"/>
      <c r="F22" s="214"/>
      <c r="G22" s="214"/>
      <c r="H22" s="214"/>
      <c r="I22" s="214"/>
      <c r="J22" s="214"/>
      <c r="K22" s="214"/>
      <c r="L22" s="214"/>
      <c r="M22" s="214"/>
      <c r="N22" s="214"/>
      <c r="O22" s="214"/>
    </row>
    <row r="23" spans="1:15" x14ac:dyDescent="0.3">
      <c r="A23" s="214"/>
      <c r="B23" s="214"/>
      <c r="C23" s="214"/>
      <c r="D23" s="214"/>
      <c r="E23" s="214"/>
      <c r="F23" s="214"/>
      <c r="G23" s="214"/>
      <c r="H23" s="214"/>
      <c r="I23" s="214"/>
      <c r="J23" s="214"/>
      <c r="K23" s="214"/>
      <c r="L23" s="214"/>
      <c r="M23" s="214"/>
      <c r="N23" s="214"/>
      <c r="O23" s="214"/>
    </row>
    <row r="24" spans="1:15" x14ac:dyDescent="0.3">
      <c r="A24" s="214"/>
      <c r="B24" s="214"/>
      <c r="C24" s="214"/>
      <c r="D24" s="214"/>
      <c r="E24" s="214"/>
      <c r="F24" s="214"/>
      <c r="G24" s="214"/>
      <c r="H24" s="214"/>
      <c r="I24" s="214"/>
      <c r="J24" s="214"/>
      <c r="K24" s="214"/>
      <c r="L24" s="214"/>
      <c r="M24" s="214"/>
      <c r="N24" s="214"/>
      <c r="O24" s="214"/>
    </row>
    <row r="25" spans="1:15" x14ac:dyDescent="0.3">
      <c r="A25" s="214"/>
      <c r="B25" s="214"/>
      <c r="C25" s="214"/>
      <c r="D25" s="214"/>
      <c r="E25" s="214"/>
      <c r="F25" s="214"/>
      <c r="G25" s="214"/>
      <c r="H25" s="214"/>
      <c r="I25" s="214"/>
      <c r="J25" s="214"/>
      <c r="K25" s="214"/>
      <c r="L25" s="214"/>
      <c r="M25" s="214"/>
      <c r="N25" s="214"/>
      <c r="O25" s="214"/>
    </row>
    <row r="26" spans="1:15" x14ac:dyDescent="0.3">
      <c r="A26" s="214"/>
      <c r="B26" s="214"/>
      <c r="C26" s="214"/>
      <c r="D26" s="214"/>
      <c r="E26" s="214"/>
      <c r="F26" s="214"/>
      <c r="G26" s="214"/>
      <c r="H26" s="214"/>
      <c r="I26" s="214"/>
      <c r="J26" s="214"/>
      <c r="K26" s="214"/>
      <c r="L26" s="214"/>
      <c r="M26" s="214"/>
      <c r="N26" s="214"/>
      <c r="O26" s="214"/>
    </row>
    <row r="27" spans="1:15" x14ac:dyDescent="0.3">
      <c r="A27" s="214"/>
      <c r="B27" s="214"/>
      <c r="C27" s="214"/>
      <c r="D27" s="214"/>
      <c r="E27" s="214"/>
      <c r="F27" s="214"/>
      <c r="G27" s="214"/>
      <c r="H27" s="214"/>
      <c r="I27" s="214"/>
      <c r="J27" s="214"/>
      <c r="K27" s="214"/>
      <c r="L27" s="214"/>
      <c r="M27" s="214"/>
      <c r="N27" s="214"/>
      <c r="O27" s="214"/>
    </row>
    <row r="28" spans="1:15" x14ac:dyDescent="0.3">
      <c r="A28" s="214"/>
      <c r="B28" s="214"/>
      <c r="C28" s="214"/>
      <c r="D28" s="214"/>
      <c r="E28" s="214"/>
      <c r="F28" s="214"/>
      <c r="G28" s="214"/>
      <c r="H28" s="214"/>
      <c r="I28" s="214"/>
      <c r="J28" s="214"/>
      <c r="K28" s="214"/>
      <c r="L28" s="214"/>
      <c r="M28" s="214"/>
      <c r="N28" s="214"/>
      <c r="O28" s="214"/>
    </row>
    <row r="29" spans="1:15" x14ac:dyDescent="0.3">
      <c r="A29" s="214"/>
      <c r="B29" s="214"/>
      <c r="C29" s="214"/>
      <c r="D29" s="214"/>
      <c r="E29" s="214"/>
      <c r="F29" s="214"/>
      <c r="G29" s="214"/>
      <c r="H29" s="214"/>
      <c r="I29" s="214"/>
      <c r="J29" s="214"/>
      <c r="K29" s="214"/>
      <c r="L29" s="214"/>
      <c r="M29" s="214"/>
      <c r="N29" s="214"/>
      <c r="O29" s="214"/>
    </row>
    <row r="30" spans="1:15" x14ac:dyDescent="0.3">
      <c r="A30" s="214"/>
      <c r="B30" s="214"/>
      <c r="C30" s="214"/>
      <c r="D30" s="214"/>
      <c r="E30" s="214"/>
      <c r="F30" s="214"/>
      <c r="G30" s="214"/>
      <c r="H30" s="214"/>
      <c r="I30" s="214"/>
      <c r="J30" s="214"/>
      <c r="K30" s="214"/>
      <c r="L30" s="214"/>
      <c r="M30" s="214"/>
      <c r="N30" s="214"/>
      <c r="O30" s="214"/>
    </row>
    <row r="31" spans="1:15" x14ac:dyDescent="0.3">
      <c r="A31" s="214"/>
      <c r="B31" s="214"/>
      <c r="C31" s="214"/>
      <c r="D31" s="214"/>
      <c r="E31" s="214"/>
      <c r="F31" s="214"/>
      <c r="G31" s="214"/>
      <c r="H31" s="214"/>
      <c r="I31" s="214"/>
      <c r="J31" s="214"/>
      <c r="K31" s="214"/>
      <c r="L31" s="214"/>
      <c r="M31" s="214"/>
      <c r="N31" s="214"/>
      <c r="O31" s="214"/>
    </row>
    <row r="32" spans="1:15" x14ac:dyDescent="0.3">
      <c r="A32" s="214"/>
      <c r="B32" s="214"/>
      <c r="C32" s="214"/>
      <c r="D32" s="214"/>
      <c r="E32" s="214"/>
      <c r="F32" s="214"/>
      <c r="G32" s="214"/>
      <c r="H32" s="214"/>
      <c r="I32" s="214"/>
      <c r="J32" s="214"/>
      <c r="K32" s="214"/>
      <c r="L32" s="214"/>
      <c r="M32" s="214"/>
      <c r="N32" s="214"/>
      <c r="O32" s="214"/>
    </row>
    <row r="33" spans="1:15" x14ac:dyDescent="0.3">
      <c r="A33" s="214"/>
      <c r="B33" s="214"/>
      <c r="C33" s="214"/>
      <c r="D33" s="214"/>
      <c r="E33" s="214"/>
      <c r="F33" s="214"/>
      <c r="G33" s="214"/>
      <c r="H33" s="214"/>
      <c r="I33" s="214"/>
      <c r="J33" s="214"/>
      <c r="K33" s="214"/>
      <c r="L33" s="214"/>
      <c r="M33" s="214"/>
      <c r="N33" s="214"/>
      <c r="O33" s="214"/>
    </row>
    <row r="34" spans="1:15" x14ac:dyDescent="0.3">
      <c r="A34" s="214"/>
      <c r="B34" s="214"/>
      <c r="C34" s="214"/>
      <c r="D34" s="214"/>
      <c r="E34" s="214"/>
      <c r="F34" s="214"/>
      <c r="G34" s="214"/>
      <c r="H34" s="214"/>
      <c r="I34" s="214"/>
      <c r="J34" s="214"/>
      <c r="K34" s="214"/>
      <c r="L34" s="214"/>
      <c r="M34" s="214"/>
      <c r="N34" s="214"/>
      <c r="O34" s="214"/>
    </row>
    <row r="35" spans="1:15" x14ac:dyDescent="0.3">
      <c r="A35" s="214"/>
      <c r="B35" s="214"/>
      <c r="C35" s="214"/>
      <c r="D35" s="214"/>
      <c r="E35" s="214"/>
      <c r="F35" s="214"/>
      <c r="G35" s="214"/>
      <c r="H35" s="214"/>
      <c r="I35" s="214"/>
      <c r="J35" s="214"/>
      <c r="K35" s="214"/>
      <c r="L35" s="214"/>
      <c r="M35" s="214"/>
      <c r="N35" s="214"/>
      <c r="O35" s="214"/>
    </row>
    <row r="36" spans="1:15" x14ac:dyDescent="0.3">
      <c r="A36" s="214"/>
      <c r="B36" s="214"/>
      <c r="C36" s="214"/>
      <c r="D36" s="214"/>
      <c r="E36" s="214"/>
      <c r="F36" s="214"/>
      <c r="G36" s="214"/>
      <c r="H36" s="214"/>
      <c r="I36" s="214"/>
      <c r="J36" s="214"/>
      <c r="K36" s="214"/>
      <c r="L36" s="214"/>
      <c r="M36" s="214"/>
      <c r="N36" s="214"/>
      <c r="O36" s="214"/>
    </row>
    <row r="37" spans="1:15" x14ac:dyDescent="0.3">
      <c r="A37" s="214"/>
      <c r="B37" s="214"/>
      <c r="C37" s="214"/>
      <c r="D37" s="214"/>
      <c r="E37" s="214"/>
      <c r="F37" s="214"/>
      <c r="G37" s="214"/>
      <c r="H37" s="214"/>
      <c r="I37" s="214"/>
      <c r="J37" s="214"/>
      <c r="K37" s="214"/>
      <c r="L37" s="214"/>
      <c r="M37" s="214"/>
      <c r="N37" s="214"/>
      <c r="O37" s="214"/>
    </row>
    <row r="38" spans="1:15" x14ac:dyDescent="0.3">
      <c r="A38" s="214"/>
      <c r="B38" s="214"/>
      <c r="C38" s="214"/>
      <c r="D38" s="214"/>
      <c r="E38" s="214"/>
      <c r="F38" s="214"/>
      <c r="G38" s="214"/>
      <c r="H38" s="214"/>
      <c r="I38" s="214"/>
      <c r="J38" s="214"/>
      <c r="K38" s="214"/>
      <c r="L38" s="214"/>
      <c r="M38" s="214"/>
      <c r="N38" s="214"/>
      <c r="O38" s="214"/>
    </row>
    <row r="39" spans="1:15" x14ac:dyDescent="0.3">
      <c r="A39" s="214"/>
      <c r="B39" s="214"/>
      <c r="C39" s="214"/>
      <c r="D39" s="214"/>
      <c r="E39" s="214"/>
      <c r="F39" s="214"/>
      <c r="G39" s="214"/>
      <c r="H39" s="214"/>
      <c r="I39" s="214"/>
      <c r="J39" s="214"/>
      <c r="K39" s="214"/>
      <c r="L39" s="214"/>
      <c r="M39" s="214"/>
      <c r="N39" s="214"/>
      <c r="O39" s="214"/>
    </row>
    <row r="40" spans="1:15" x14ac:dyDescent="0.3">
      <c r="A40" s="214"/>
      <c r="B40" s="214"/>
      <c r="C40" s="214"/>
      <c r="D40" s="214"/>
      <c r="E40" s="214"/>
      <c r="F40" s="214"/>
      <c r="G40" s="214"/>
      <c r="H40" s="214"/>
      <c r="I40" s="214"/>
      <c r="J40" s="214"/>
      <c r="K40" s="214"/>
      <c r="L40" s="214"/>
      <c r="M40" s="214"/>
      <c r="N40" s="214"/>
      <c r="O40" s="214"/>
    </row>
    <row r="41" spans="1:15" x14ac:dyDescent="0.3">
      <c r="A41" s="214"/>
      <c r="B41" s="214"/>
      <c r="C41" s="214"/>
      <c r="D41" s="214"/>
      <c r="E41" s="214"/>
      <c r="F41" s="214"/>
      <c r="G41" s="214"/>
      <c r="H41" s="214"/>
      <c r="I41" s="214"/>
      <c r="J41" s="214"/>
      <c r="K41" s="214"/>
      <c r="L41" s="214"/>
      <c r="M41" s="214"/>
      <c r="N41" s="214"/>
      <c r="O41" s="214"/>
    </row>
    <row r="42" spans="1:15" x14ac:dyDescent="0.3">
      <c r="A42" s="214"/>
      <c r="B42" s="214"/>
      <c r="C42" s="214"/>
      <c r="D42" s="214"/>
      <c r="E42" s="214"/>
      <c r="F42" s="214"/>
      <c r="G42" s="214"/>
      <c r="H42" s="214"/>
      <c r="I42" s="214"/>
      <c r="J42" s="214"/>
      <c r="K42" s="214"/>
      <c r="L42" s="214"/>
      <c r="M42" s="214"/>
      <c r="N42" s="214"/>
      <c r="O42" s="214"/>
    </row>
    <row r="43" spans="1:15" x14ac:dyDescent="0.3">
      <c r="A43" s="214"/>
      <c r="B43" s="214"/>
      <c r="C43" s="214"/>
      <c r="D43" s="214"/>
      <c r="E43" s="214"/>
      <c r="F43" s="214"/>
      <c r="G43" s="214"/>
      <c r="H43" s="214"/>
      <c r="I43" s="214"/>
      <c r="J43" s="214"/>
      <c r="K43" s="214"/>
      <c r="L43" s="214"/>
      <c r="M43" s="214"/>
      <c r="N43" s="214"/>
      <c r="O43" s="214"/>
    </row>
    <row r="44" spans="1:15" x14ac:dyDescent="0.3">
      <c r="A44" s="214"/>
      <c r="B44" s="214"/>
      <c r="C44" s="214"/>
      <c r="D44" s="214"/>
      <c r="E44" s="214"/>
      <c r="F44" s="214"/>
      <c r="G44" s="214"/>
      <c r="H44" s="214"/>
      <c r="I44" s="214"/>
      <c r="J44" s="214"/>
      <c r="K44" s="214"/>
      <c r="L44" s="214"/>
      <c r="M44" s="214"/>
      <c r="N44" s="214"/>
      <c r="O44" s="214"/>
    </row>
    <row r="45" spans="1:15" x14ac:dyDescent="0.3">
      <c r="A45" s="214"/>
      <c r="B45" s="214"/>
      <c r="C45" s="214"/>
      <c r="D45" s="214"/>
      <c r="E45" s="214"/>
      <c r="F45" s="214"/>
      <c r="G45" s="214"/>
      <c r="H45" s="214"/>
      <c r="I45" s="214"/>
      <c r="J45" s="214"/>
      <c r="K45" s="214"/>
      <c r="L45" s="214"/>
      <c r="M45" s="214"/>
      <c r="N45" s="214"/>
      <c r="O45" s="214"/>
    </row>
    <row r="46" spans="1:15" x14ac:dyDescent="0.3">
      <c r="A46" s="214"/>
      <c r="B46" s="214"/>
      <c r="C46" s="214"/>
      <c r="D46" s="214"/>
      <c r="E46" s="214"/>
      <c r="F46" s="214"/>
      <c r="G46" s="214"/>
      <c r="H46" s="214"/>
      <c r="I46" s="214"/>
      <c r="J46" s="214"/>
      <c r="K46" s="214"/>
      <c r="L46" s="214"/>
      <c r="M46" s="214"/>
      <c r="N46" s="214"/>
      <c r="O46" s="214"/>
    </row>
    <row r="47" spans="1:15" x14ac:dyDescent="0.3">
      <c r="A47" s="214"/>
      <c r="B47" s="214"/>
      <c r="C47" s="214"/>
      <c r="D47" s="214"/>
      <c r="E47" s="214"/>
      <c r="F47" s="214"/>
      <c r="G47" s="214"/>
      <c r="H47" s="214"/>
      <c r="I47" s="214"/>
      <c r="J47" s="214"/>
      <c r="K47" s="214"/>
      <c r="L47" s="214"/>
      <c r="M47" s="214"/>
      <c r="N47" s="214"/>
      <c r="O47" s="214"/>
    </row>
    <row r="48" spans="1:15" x14ac:dyDescent="0.3">
      <c r="A48" s="214"/>
      <c r="B48" s="214"/>
      <c r="C48" s="214"/>
      <c r="D48" s="214"/>
      <c r="E48" s="214"/>
      <c r="F48" s="214"/>
      <c r="G48" s="214"/>
      <c r="H48" s="214"/>
      <c r="I48" s="214"/>
      <c r="J48" s="214"/>
      <c r="K48" s="214"/>
      <c r="L48" s="214"/>
      <c r="M48" s="214"/>
      <c r="N48" s="214"/>
      <c r="O48" s="214"/>
    </row>
    <row r="49" spans="1:15" x14ac:dyDescent="0.3">
      <c r="A49" s="214"/>
      <c r="B49" s="214"/>
      <c r="C49" s="214"/>
      <c r="D49" s="214"/>
      <c r="E49" s="214"/>
      <c r="F49" s="214"/>
      <c r="G49" s="214"/>
      <c r="H49" s="214"/>
      <c r="I49" s="214"/>
      <c r="J49" s="214"/>
      <c r="K49" s="214"/>
      <c r="L49" s="214"/>
      <c r="M49" s="214"/>
      <c r="N49" s="214"/>
      <c r="O49" s="214"/>
    </row>
    <row r="50" spans="1:15" x14ac:dyDescent="0.3">
      <c r="A50" s="214"/>
      <c r="B50" s="214"/>
      <c r="C50" s="214"/>
      <c r="D50" s="214"/>
      <c r="E50" s="214"/>
      <c r="F50" s="214"/>
      <c r="G50" s="214"/>
      <c r="H50" s="214"/>
      <c r="I50" s="214"/>
      <c r="J50" s="214"/>
      <c r="K50" s="214"/>
      <c r="L50" s="214"/>
      <c r="M50" s="214"/>
      <c r="N50" s="214"/>
      <c r="O50" s="214"/>
    </row>
    <row r="51" spans="1:15" x14ac:dyDescent="0.3">
      <c r="A51" s="214"/>
      <c r="B51" s="214"/>
      <c r="C51" s="214"/>
      <c r="D51" s="214"/>
      <c r="E51" s="214"/>
      <c r="F51" s="214"/>
      <c r="G51" s="214"/>
      <c r="H51" s="214"/>
      <c r="I51" s="214"/>
      <c r="J51" s="214"/>
      <c r="K51" s="214"/>
      <c r="L51" s="214"/>
      <c r="M51" s="214"/>
      <c r="N51" s="214"/>
      <c r="O51" s="214"/>
    </row>
    <row r="52" spans="1:15" x14ac:dyDescent="0.3">
      <c r="A52" s="214"/>
      <c r="B52" s="214"/>
      <c r="C52" s="214"/>
      <c r="D52" s="214"/>
      <c r="E52" s="214"/>
      <c r="F52" s="214"/>
      <c r="G52" s="214"/>
      <c r="H52" s="214"/>
      <c r="I52" s="214"/>
      <c r="J52" s="214"/>
      <c r="K52" s="214"/>
      <c r="L52" s="214"/>
      <c r="M52" s="214"/>
      <c r="N52" s="214"/>
      <c r="O52" s="214"/>
    </row>
    <row r="53" spans="1:15" x14ac:dyDescent="0.3">
      <c r="A53" s="214"/>
      <c r="B53" s="214"/>
      <c r="C53" s="214"/>
      <c r="D53" s="214"/>
      <c r="E53" s="214"/>
      <c r="F53" s="214"/>
      <c r="G53" s="214"/>
      <c r="H53" s="214"/>
      <c r="I53" s="214"/>
      <c r="J53" s="214"/>
      <c r="K53" s="214"/>
      <c r="L53" s="214"/>
      <c r="M53" s="214"/>
      <c r="N53" s="214"/>
      <c r="O53" s="214"/>
    </row>
    <row r="54" spans="1:15" x14ac:dyDescent="0.3">
      <c r="A54" s="214"/>
      <c r="B54" s="214"/>
      <c r="C54" s="214"/>
      <c r="D54" s="214"/>
      <c r="E54" s="214"/>
      <c r="F54" s="214"/>
      <c r="G54" s="214"/>
      <c r="H54" s="214"/>
      <c r="I54" s="214"/>
      <c r="J54" s="214"/>
      <c r="K54" s="214"/>
      <c r="L54" s="214"/>
      <c r="M54" s="214"/>
      <c r="N54" s="214"/>
      <c r="O54" s="214"/>
    </row>
    <row r="55" spans="1:15" x14ac:dyDescent="0.3">
      <c r="A55" s="214"/>
      <c r="B55" s="214"/>
      <c r="C55" s="214"/>
      <c r="D55" s="214"/>
      <c r="E55" s="214"/>
      <c r="F55" s="214"/>
      <c r="G55" s="214"/>
      <c r="H55" s="214"/>
      <c r="I55" s="214"/>
      <c r="J55" s="214"/>
      <c r="K55" s="214"/>
      <c r="L55" s="214"/>
      <c r="M55" s="214"/>
      <c r="N55" s="214"/>
      <c r="O55" s="214"/>
    </row>
    <row r="56" spans="1:15" x14ac:dyDescent="0.3">
      <c r="A56" s="214"/>
      <c r="B56" s="214"/>
      <c r="C56" s="214"/>
      <c r="D56" s="214"/>
      <c r="E56" s="214"/>
      <c r="F56" s="214"/>
      <c r="G56" s="214"/>
      <c r="H56" s="214"/>
      <c r="I56" s="214"/>
      <c r="J56" s="214"/>
      <c r="K56" s="214"/>
      <c r="L56" s="214"/>
      <c r="M56" s="214"/>
      <c r="N56" s="214"/>
      <c r="O56" s="214"/>
    </row>
    <row r="57" spans="1:15" x14ac:dyDescent="0.3">
      <c r="A57" s="214"/>
      <c r="B57" s="214"/>
      <c r="C57" s="214"/>
      <c r="D57" s="214"/>
      <c r="E57" s="214"/>
      <c r="F57" s="214"/>
      <c r="G57" s="214"/>
      <c r="H57" s="214"/>
      <c r="I57" s="214"/>
      <c r="J57" s="214"/>
      <c r="K57" s="214"/>
      <c r="L57" s="214"/>
      <c r="M57" s="214"/>
      <c r="N57" s="214"/>
      <c r="O57" s="214"/>
    </row>
    <row r="58" spans="1:15" x14ac:dyDescent="0.3">
      <c r="A58" s="214"/>
      <c r="B58" s="214"/>
      <c r="C58" s="214"/>
      <c r="D58" s="214"/>
      <c r="E58" s="214"/>
      <c r="F58" s="214"/>
      <c r="G58" s="214"/>
      <c r="H58" s="214"/>
      <c r="I58" s="214"/>
      <c r="J58" s="214"/>
      <c r="K58" s="214"/>
      <c r="L58" s="214"/>
      <c r="M58" s="214"/>
      <c r="N58" s="214"/>
      <c r="O58" s="214"/>
    </row>
    <row r="59" spans="1:15" x14ac:dyDescent="0.3">
      <c r="A59" s="214"/>
      <c r="B59" s="214"/>
      <c r="C59" s="214"/>
      <c r="D59" s="214"/>
      <c r="E59" s="214"/>
      <c r="F59" s="214"/>
      <c r="G59" s="214"/>
      <c r="H59" s="214"/>
      <c r="I59" s="214"/>
      <c r="J59" s="214"/>
      <c r="K59" s="214"/>
      <c r="L59" s="214"/>
      <c r="M59" s="214"/>
      <c r="N59" s="214"/>
      <c r="O59" s="214"/>
    </row>
    <row r="60" spans="1:15" x14ac:dyDescent="0.3">
      <c r="A60" s="214"/>
      <c r="B60" s="214"/>
      <c r="C60" s="214"/>
      <c r="D60" s="214"/>
      <c r="E60" s="214"/>
      <c r="F60" s="214"/>
      <c r="G60" s="214"/>
      <c r="H60" s="214"/>
      <c r="I60" s="214"/>
      <c r="J60" s="214"/>
      <c r="K60" s="214"/>
      <c r="L60" s="214"/>
      <c r="M60" s="214"/>
      <c r="N60" s="214"/>
      <c r="O60" s="214"/>
    </row>
    <row r="61" spans="1:15" x14ac:dyDescent="0.3">
      <c r="A61" s="214"/>
      <c r="B61" s="214"/>
      <c r="C61" s="214"/>
      <c r="D61" s="214"/>
      <c r="E61" s="214"/>
      <c r="F61" s="214"/>
      <c r="G61" s="214"/>
      <c r="H61" s="214"/>
      <c r="I61" s="214"/>
      <c r="J61" s="214"/>
      <c r="K61" s="214"/>
      <c r="L61" s="214"/>
      <c r="M61" s="214"/>
      <c r="N61" s="214"/>
      <c r="O61" s="214"/>
    </row>
    <row r="62" spans="1:15" x14ac:dyDescent="0.3">
      <c r="A62" s="214"/>
      <c r="B62" s="214"/>
      <c r="C62" s="214"/>
      <c r="D62" s="214"/>
      <c r="E62" s="214"/>
      <c r="F62" s="214"/>
      <c r="G62" s="214"/>
      <c r="H62" s="214"/>
      <c r="I62" s="214"/>
      <c r="J62" s="214"/>
      <c r="K62" s="214"/>
      <c r="L62" s="214"/>
      <c r="M62" s="214"/>
      <c r="N62" s="214"/>
      <c r="O62" s="214"/>
    </row>
    <row r="63" spans="1:15" x14ac:dyDescent="0.3">
      <c r="A63" s="214"/>
      <c r="B63" s="214"/>
      <c r="C63" s="214"/>
      <c r="D63" s="214"/>
      <c r="E63" s="214"/>
      <c r="F63" s="214"/>
      <c r="G63" s="214"/>
      <c r="H63" s="214"/>
      <c r="I63" s="214"/>
      <c r="J63" s="214"/>
      <c r="K63" s="214"/>
      <c r="L63" s="214"/>
      <c r="M63" s="214"/>
      <c r="N63" s="214"/>
      <c r="O63" s="214"/>
    </row>
    <row r="64" spans="1:15" x14ac:dyDescent="0.3">
      <c r="A64" s="214"/>
      <c r="B64" s="214"/>
      <c r="C64" s="214"/>
      <c r="D64" s="214"/>
      <c r="E64" s="214"/>
      <c r="F64" s="214"/>
      <c r="G64" s="214"/>
      <c r="H64" s="214"/>
      <c r="I64" s="214"/>
      <c r="J64" s="214"/>
      <c r="K64" s="214"/>
      <c r="L64" s="214"/>
      <c r="M64" s="214"/>
      <c r="N64" s="214"/>
      <c r="O64" s="214"/>
    </row>
    <row r="65" spans="1:15" x14ac:dyDescent="0.3">
      <c r="A65" s="214"/>
      <c r="B65" s="214"/>
      <c r="C65" s="214"/>
      <c r="D65" s="214"/>
      <c r="E65" s="214"/>
      <c r="F65" s="214"/>
      <c r="G65" s="214"/>
      <c r="H65" s="214"/>
      <c r="I65" s="214"/>
      <c r="J65" s="214"/>
      <c r="K65" s="214"/>
      <c r="L65" s="214"/>
      <c r="M65" s="214"/>
      <c r="N65" s="214"/>
      <c r="O65" s="214"/>
    </row>
    <row r="66" spans="1:15" x14ac:dyDescent="0.3">
      <c r="A66" s="214"/>
      <c r="B66" s="214"/>
      <c r="C66" s="214"/>
      <c r="D66" s="214"/>
      <c r="E66" s="214"/>
      <c r="F66" s="214"/>
      <c r="G66" s="214"/>
      <c r="H66" s="214"/>
      <c r="I66" s="214"/>
      <c r="J66" s="214"/>
      <c r="K66" s="214"/>
      <c r="L66" s="214"/>
      <c r="M66" s="214"/>
      <c r="N66" s="214"/>
      <c r="O66" s="214"/>
    </row>
    <row r="67" spans="1:15" x14ac:dyDescent="0.3">
      <c r="A67" s="214"/>
      <c r="B67" s="214"/>
      <c r="C67" s="214"/>
      <c r="D67" s="214"/>
      <c r="E67" s="214"/>
      <c r="F67" s="214"/>
      <c r="G67" s="214"/>
      <c r="H67" s="214"/>
      <c r="I67" s="214"/>
      <c r="J67" s="214"/>
      <c r="K67" s="214"/>
      <c r="L67" s="214"/>
      <c r="M67" s="214"/>
      <c r="N67" s="214"/>
      <c r="O67" s="214"/>
    </row>
    <row r="68" spans="1:15" x14ac:dyDescent="0.3">
      <c r="A68" s="214"/>
      <c r="B68" s="214"/>
      <c r="C68" s="214"/>
      <c r="D68" s="214"/>
      <c r="E68" s="214"/>
      <c r="F68" s="214"/>
      <c r="G68" s="214"/>
      <c r="H68" s="214"/>
      <c r="I68" s="214"/>
      <c r="J68" s="214"/>
      <c r="K68" s="214"/>
      <c r="L68" s="214"/>
      <c r="M68" s="214"/>
      <c r="N68" s="214"/>
      <c r="O68" s="214"/>
    </row>
    <row r="69" spans="1:15" x14ac:dyDescent="0.3">
      <c r="A69" s="214"/>
      <c r="B69" s="214"/>
      <c r="C69" s="214"/>
      <c r="D69" s="214"/>
      <c r="E69" s="214"/>
      <c r="F69" s="214"/>
      <c r="G69" s="214"/>
      <c r="H69" s="214"/>
      <c r="I69" s="214"/>
      <c r="J69" s="214"/>
      <c r="K69" s="214"/>
      <c r="L69" s="214"/>
      <c r="M69" s="214"/>
      <c r="N69" s="214"/>
      <c r="O69" s="214"/>
    </row>
    <row r="70" spans="1:15" x14ac:dyDescent="0.3">
      <c r="A70" s="214"/>
      <c r="B70" s="214"/>
      <c r="C70" s="214"/>
      <c r="D70" s="214"/>
      <c r="E70" s="214"/>
      <c r="F70" s="214"/>
      <c r="G70" s="214"/>
      <c r="H70" s="214"/>
      <c r="I70" s="214"/>
      <c r="J70" s="214"/>
      <c r="K70" s="214"/>
      <c r="L70" s="214"/>
      <c r="M70" s="214"/>
      <c r="N70" s="214"/>
      <c r="O70" s="214"/>
    </row>
    <row r="71" spans="1:15" x14ac:dyDescent="0.3">
      <c r="A71" s="214"/>
      <c r="B71" s="214"/>
      <c r="C71" s="214"/>
      <c r="D71" s="214"/>
      <c r="E71" s="214"/>
      <c r="F71" s="214"/>
      <c r="G71" s="214"/>
      <c r="H71" s="214"/>
      <c r="I71" s="214"/>
      <c r="J71" s="214"/>
      <c r="K71" s="214"/>
      <c r="L71" s="214"/>
      <c r="M71" s="214"/>
      <c r="N71" s="214"/>
      <c r="O71" s="214"/>
    </row>
    <row r="72" spans="1:15" x14ac:dyDescent="0.3">
      <c r="A72" s="214"/>
      <c r="B72" s="214"/>
      <c r="C72" s="214"/>
      <c r="D72" s="214"/>
      <c r="E72" s="214"/>
      <c r="F72" s="214"/>
      <c r="G72" s="214"/>
      <c r="H72" s="214"/>
      <c r="I72" s="214"/>
      <c r="J72" s="214"/>
      <c r="K72" s="214"/>
      <c r="L72" s="214"/>
      <c r="M72" s="214"/>
      <c r="N72" s="214"/>
      <c r="O72" s="214"/>
    </row>
    <row r="73" spans="1:15" x14ac:dyDescent="0.3">
      <c r="A73" s="214"/>
      <c r="B73" s="214"/>
      <c r="C73" s="214"/>
      <c r="D73" s="214"/>
      <c r="E73" s="214"/>
      <c r="F73" s="214"/>
      <c r="G73" s="214"/>
      <c r="H73" s="214"/>
      <c r="I73" s="214"/>
      <c r="J73" s="214"/>
      <c r="K73" s="214"/>
      <c r="L73" s="214"/>
      <c r="M73" s="214"/>
      <c r="N73" s="214"/>
      <c r="O73" s="214"/>
    </row>
    <row r="74" spans="1:15" x14ac:dyDescent="0.3">
      <c r="A74" s="214"/>
      <c r="B74" s="214"/>
      <c r="C74" s="214"/>
      <c r="D74" s="214"/>
      <c r="E74" s="214"/>
      <c r="F74" s="214"/>
      <c r="G74" s="214"/>
      <c r="H74" s="214"/>
      <c r="I74" s="214"/>
      <c r="J74" s="214"/>
      <c r="K74" s="214"/>
      <c r="L74" s="214"/>
      <c r="M74" s="214"/>
      <c r="N74" s="214"/>
      <c r="O74" s="214"/>
    </row>
    <row r="75" spans="1:15" x14ac:dyDescent="0.3">
      <c r="A75" s="214"/>
      <c r="B75" s="214"/>
      <c r="C75" s="214"/>
      <c r="D75" s="214"/>
      <c r="E75" s="214"/>
      <c r="F75" s="214"/>
      <c r="G75" s="214"/>
      <c r="H75" s="214"/>
      <c r="I75" s="214"/>
      <c r="J75" s="214"/>
      <c r="K75" s="214"/>
      <c r="L75" s="214"/>
      <c r="M75" s="214"/>
      <c r="N75" s="214"/>
      <c r="O75" s="214"/>
    </row>
    <row r="76" spans="1:15" x14ac:dyDescent="0.3">
      <c r="A76" s="214"/>
      <c r="B76" s="214"/>
      <c r="C76" s="214"/>
      <c r="D76" s="214"/>
      <c r="E76" s="214"/>
      <c r="F76" s="214"/>
      <c r="G76" s="214"/>
      <c r="H76" s="214"/>
      <c r="I76" s="214"/>
      <c r="J76" s="214"/>
      <c r="K76" s="214"/>
      <c r="L76" s="214"/>
      <c r="M76" s="214"/>
      <c r="N76" s="214"/>
      <c r="O76" s="214"/>
    </row>
    <row r="77" spans="1:15" x14ac:dyDescent="0.3">
      <c r="A77" s="214"/>
      <c r="B77" s="214"/>
      <c r="C77" s="214"/>
      <c r="D77" s="214"/>
      <c r="E77" s="214"/>
      <c r="F77" s="214"/>
      <c r="G77" s="214"/>
      <c r="H77" s="214"/>
      <c r="I77" s="214"/>
      <c r="J77" s="214"/>
      <c r="K77" s="214"/>
      <c r="L77" s="214"/>
      <c r="M77" s="214"/>
      <c r="N77" s="214"/>
      <c r="O77" s="214"/>
    </row>
    <row r="78" spans="1:15" x14ac:dyDescent="0.3">
      <c r="A78" s="214"/>
      <c r="B78" s="214"/>
      <c r="C78" s="214"/>
      <c r="D78" s="214"/>
      <c r="E78" s="214"/>
      <c r="F78" s="214"/>
      <c r="G78" s="214"/>
      <c r="H78" s="214"/>
      <c r="I78" s="214"/>
      <c r="J78" s="214"/>
      <c r="K78" s="214"/>
      <c r="L78" s="214"/>
      <c r="M78" s="214"/>
      <c r="N78" s="214"/>
      <c r="O78" s="214"/>
    </row>
    <row r="79" spans="1:15" x14ac:dyDescent="0.3">
      <c r="A79" s="214"/>
      <c r="B79" s="214"/>
      <c r="C79" s="214"/>
      <c r="D79" s="214"/>
      <c r="E79" s="214"/>
      <c r="F79" s="214"/>
      <c r="G79" s="214"/>
      <c r="H79" s="214"/>
      <c r="I79" s="214"/>
      <c r="J79" s="214"/>
      <c r="K79" s="214"/>
      <c r="L79" s="214"/>
      <c r="M79" s="214"/>
      <c r="N79" s="214"/>
      <c r="O79" s="214"/>
    </row>
    <row r="80" spans="1:15" x14ac:dyDescent="0.3">
      <c r="A80" s="214"/>
      <c r="B80" s="214"/>
      <c r="C80" s="214"/>
      <c r="D80" s="214"/>
      <c r="E80" s="214"/>
      <c r="F80" s="214"/>
      <c r="G80" s="214"/>
      <c r="H80" s="214"/>
      <c r="I80" s="214"/>
      <c r="J80" s="214"/>
      <c r="K80" s="214"/>
      <c r="L80" s="214"/>
      <c r="M80" s="214"/>
      <c r="N80" s="214"/>
      <c r="O80" s="214"/>
    </row>
    <row r="81" spans="1:15" x14ac:dyDescent="0.3">
      <c r="A81" s="214"/>
      <c r="B81" s="214"/>
      <c r="C81" s="214"/>
      <c r="D81" s="214"/>
      <c r="E81" s="214"/>
      <c r="F81" s="214"/>
      <c r="G81" s="214"/>
      <c r="H81" s="214"/>
      <c r="I81" s="214"/>
      <c r="J81" s="214"/>
      <c r="K81" s="214"/>
      <c r="L81" s="214"/>
      <c r="M81" s="214"/>
      <c r="N81" s="214"/>
      <c r="O81" s="214"/>
    </row>
    <row r="82" spans="1:15" x14ac:dyDescent="0.3">
      <c r="A82" s="214"/>
      <c r="B82" s="214"/>
      <c r="C82" s="214"/>
      <c r="D82" s="214"/>
      <c r="E82" s="214"/>
      <c r="F82" s="214"/>
      <c r="G82" s="214"/>
      <c r="H82" s="214"/>
      <c r="I82" s="214"/>
      <c r="J82" s="214"/>
      <c r="K82" s="214"/>
      <c r="L82" s="214"/>
      <c r="M82" s="214"/>
      <c r="N82" s="214"/>
      <c r="O82" s="214"/>
    </row>
    <row r="83" spans="1:15" x14ac:dyDescent="0.3">
      <c r="A83" s="214"/>
      <c r="B83" s="214"/>
      <c r="C83" s="214"/>
      <c r="D83" s="214"/>
      <c r="E83" s="214"/>
      <c r="F83" s="214"/>
      <c r="G83" s="214"/>
      <c r="H83" s="214"/>
      <c r="I83" s="214"/>
      <c r="J83" s="214"/>
      <c r="K83" s="214"/>
      <c r="L83" s="214"/>
      <c r="M83" s="214"/>
      <c r="N83" s="214"/>
      <c r="O83" s="214"/>
    </row>
    <row r="84" spans="1:15" x14ac:dyDescent="0.3">
      <c r="A84" s="214"/>
      <c r="B84" s="214"/>
      <c r="C84" s="214"/>
      <c r="D84" s="214"/>
      <c r="E84" s="214"/>
      <c r="F84" s="214"/>
      <c r="G84" s="214"/>
      <c r="H84" s="214"/>
      <c r="I84" s="214"/>
      <c r="J84" s="214"/>
      <c r="K84" s="214"/>
      <c r="L84" s="214"/>
      <c r="M84" s="214"/>
      <c r="N84" s="214"/>
      <c r="O84" s="214"/>
    </row>
    <row r="85" spans="1:15" x14ac:dyDescent="0.3">
      <c r="A85" s="214"/>
      <c r="B85" s="214"/>
      <c r="C85" s="214"/>
      <c r="D85" s="214"/>
      <c r="E85" s="214"/>
      <c r="F85" s="214"/>
      <c r="G85" s="214"/>
      <c r="H85" s="214"/>
      <c r="I85" s="214"/>
      <c r="J85" s="214"/>
      <c r="K85" s="214"/>
      <c r="L85" s="214"/>
      <c r="M85" s="214"/>
      <c r="N85" s="214"/>
      <c r="O85" s="214"/>
    </row>
    <row r="86" spans="1:15" x14ac:dyDescent="0.3">
      <c r="A86" s="214"/>
      <c r="B86" s="214"/>
      <c r="C86" s="214"/>
      <c r="D86" s="214"/>
      <c r="E86" s="214"/>
      <c r="F86" s="214"/>
      <c r="G86" s="214"/>
      <c r="H86" s="214"/>
      <c r="I86" s="214"/>
      <c r="J86" s="214"/>
      <c r="K86" s="214"/>
      <c r="L86" s="214"/>
      <c r="M86" s="214"/>
      <c r="N86" s="214"/>
      <c r="O86" s="214"/>
    </row>
    <row r="87" spans="1:15" x14ac:dyDescent="0.3">
      <c r="A87" s="214"/>
      <c r="B87" s="214"/>
      <c r="C87" s="214"/>
      <c r="D87" s="214"/>
      <c r="E87" s="214"/>
      <c r="F87" s="214"/>
      <c r="G87" s="214"/>
      <c r="H87" s="214"/>
      <c r="I87" s="214"/>
      <c r="J87" s="214"/>
      <c r="K87" s="214"/>
      <c r="L87" s="214"/>
      <c r="M87" s="214"/>
      <c r="N87" s="214"/>
      <c r="O87" s="214"/>
    </row>
    <row r="88" spans="1:15" x14ac:dyDescent="0.3">
      <c r="A88" s="214"/>
      <c r="B88" s="214"/>
      <c r="C88" s="214"/>
      <c r="D88" s="214"/>
      <c r="E88" s="214"/>
      <c r="F88" s="214"/>
      <c r="G88" s="214"/>
      <c r="H88" s="214"/>
      <c r="I88" s="214"/>
      <c r="J88" s="214"/>
      <c r="K88" s="214"/>
      <c r="L88" s="214"/>
      <c r="M88" s="214"/>
      <c r="N88" s="214"/>
      <c r="O88" s="214"/>
    </row>
    <row r="89" spans="1:15" x14ac:dyDescent="0.3">
      <c r="A89" s="214"/>
      <c r="B89" s="214"/>
      <c r="C89" s="214"/>
      <c r="D89" s="214"/>
      <c r="E89" s="214"/>
      <c r="F89" s="214"/>
      <c r="G89" s="214"/>
      <c r="H89" s="214"/>
      <c r="I89" s="214"/>
      <c r="J89" s="214"/>
      <c r="K89" s="214"/>
      <c r="L89" s="214"/>
      <c r="M89" s="214"/>
      <c r="N89" s="214"/>
      <c r="O89" s="214"/>
    </row>
    <row r="90" spans="1:15" x14ac:dyDescent="0.3">
      <c r="A90" s="214"/>
      <c r="B90" s="214"/>
      <c r="C90" s="214"/>
      <c r="D90" s="214"/>
      <c r="E90" s="214"/>
      <c r="F90" s="214"/>
      <c r="G90" s="214"/>
      <c r="H90" s="214"/>
      <c r="I90" s="214"/>
      <c r="J90" s="214"/>
      <c r="K90" s="214"/>
      <c r="L90" s="214"/>
      <c r="M90" s="214"/>
      <c r="N90" s="214"/>
      <c r="O90" s="214"/>
    </row>
    <row r="91" spans="1:15" x14ac:dyDescent="0.3">
      <c r="A91" s="214"/>
      <c r="B91" s="214"/>
      <c r="C91" s="214"/>
      <c r="D91" s="214"/>
      <c r="E91" s="214"/>
      <c r="F91" s="214"/>
      <c r="G91" s="214"/>
      <c r="H91" s="214"/>
      <c r="I91" s="214"/>
      <c r="J91" s="214"/>
      <c r="K91" s="214"/>
      <c r="L91" s="214"/>
      <c r="M91" s="214"/>
      <c r="N91" s="214"/>
      <c r="O91" s="214"/>
    </row>
    <row r="92" spans="1:15" x14ac:dyDescent="0.3">
      <c r="A92" s="214"/>
      <c r="B92" s="214"/>
      <c r="C92" s="214"/>
      <c r="D92" s="214"/>
      <c r="E92" s="214"/>
      <c r="F92" s="214"/>
      <c r="G92" s="214"/>
      <c r="H92" s="214"/>
      <c r="I92" s="214"/>
      <c r="J92" s="214"/>
      <c r="K92" s="214"/>
      <c r="L92" s="214"/>
      <c r="M92" s="214"/>
      <c r="N92" s="214"/>
      <c r="O92" s="214"/>
    </row>
    <row r="93" spans="1:15" x14ac:dyDescent="0.3">
      <c r="A93" s="214"/>
      <c r="B93" s="214"/>
      <c r="C93" s="214"/>
      <c r="D93" s="214"/>
      <c r="E93" s="214"/>
      <c r="F93" s="214"/>
      <c r="G93" s="214"/>
      <c r="H93" s="214"/>
      <c r="I93" s="214"/>
      <c r="J93" s="214"/>
      <c r="K93" s="214"/>
      <c r="L93" s="214"/>
      <c r="M93" s="214"/>
      <c r="N93" s="214"/>
      <c r="O93" s="214"/>
    </row>
    <row r="94" spans="1:15" x14ac:dyDescent="0.3">
      <c r="A94" s="214"/>
      <c r="B94" s="214"/>
      <c r="C94" s="214"/>
      <c r="D94" s="214"/>
      <c r="E94" s="214"/>
      <c r="F94" s="214"/>
      <c r="G94" s="214"/>
      <c r="H94" s="214"/>
      <c r="I94" s="214"/>
      <c r="J94" s="214"/>
      <c r="K94" s="214"/>
      <c r="L94" s="214"/>
      <c r="M94" s="214"/>
      <c r="N94" s="214"/>
      <c r="O94" s="214"/>
    </row>
    <row r="95" spans="1:15" x14ac:dyDescent="0.3">
      <c r="A95" s="214"/>
      <c r="B95" s="214"/>
      <c r="C95" s="214"/>
      <c r="D95" s="214"/>
      <c r="E95" s="214"/>
      <c r="F95" s="214"/>
      <c r="G95" s="214"/>
      <c r="H95" s="214"/>
      <c r="I95" s="214"/>
      <c r="J95" s="214"/>
      <c r="K95" s="214"/>
      <c r="L95" s="214"/>
      <c r="M95" s="214"/>
      <c r="N95" s="214"/>
      <c r="O95" s="214"/>
    </row>
    <row r="96" spans="1:15" x14ac:dyDescent="0.3">
      <c r="A96" s="214"/>
      <c r="B96" s="214"/>
      <c r="C96" s="214"/>
      <c r="D96" s="214"/>
      <c r="E96" s="214"/>
      <c r="F96" s="214"/>
      <c r="G96" s="214"/>
      <c r="H96" s="214"/>
      <c r="I96" s="214"/>
      <c r="J96" s="214"/>
      <c r="K96" s="214"/>
      <c r="L96" s="214"/>
      <c r="M96" s="214"/>
      <c r="N96" s="214"/>
      <c r="O96" s="214"/>
    </row>
    <row r="97" spans="1:15" x14ac:dyDescent="0.3">
      <c r="A97" s="214"/>
      <c r="B97" s="214"/>
      <c r="C97" s="214"/>
      <c r="D97" s="214"/>
      <c r="E97" s="214"/>
      <c r="F97" s="214"/>
      <c r="G97" s="214"/>
      <c r="H97" s="214"/>
      <c r="I97" s="214"/>
      <c r="J97" s="214"/>
      <c r="K97" s="214"/>
      <c r="L97" s="214"/>
      <c r="M97" s="214"/>
      <c r="N97" s="214"/>
      <c r="O97" s="214"/>
    </row>
    <row r="98" spans="1:15" x14ac:dyDescent="0.3">
      <c r="A98" s="214"/>
      <c r="B98" s="214"/>
      <c r="C98" s="214"/>
      <c r="D98" s="214"/>
      <c r="E98" s="214"/>
      <c r="F98" s="214"/>
      <c r="G98" s="214"/>
      <c r="H98" s="214"/>
      <c r="I98" s="214"/>
      <c r="J98" s="214"/>
      <c r="K98" s="214"/>
      <c r="L98" s="214"/>
      <c r="M98" s="214"/>
      <c r="N98" s="214"/>
      <c r="O98" s="214"/>
    </row>
    <row r="99" spans="1:15" x14ac:dyDescent="0.3">
      <c r="A99" s="214"/>
      <c r="B99" s="214"/>
      <c r="C99" s="214"/>
      <c r="D99" s="214"/>
      <c r="E99" s="214"/>
      <c r="F99" s="214"/>
      <c r="G99" s="214"/>
      <c r="H99" s="214"/>
      <c r="I99" s="214"/>
      <c r="J99" s="214"/>
      <c r="K99" s="214"/>
      <c r="L99" s="214"/>
      <c r="M99" s="214"/>
      <c r="N99" s="214"/>
      <c r="O99" s="214"/>
    </row>
    <row r="100" spans="1:15" x14ac:dyDescent="0.3">
      <c r="A100" s="214"/>
      <c r="B100" s="214"/>
      <c r="C100" s="214"/>
      <c r="D100" s="214"/>
      <c r="E100" s="214"/>
      <c r="F100" s="214"/>
      <c r="G100" s="214"/>
      <c r="H100" s="214"/>
      <c r="I100" s="214"/>
      <c r="J100" s="214"/>
      <c r="K100" s="214"/>
      <c r="L100" s="214"/>
      <c r="M100" s="214"/>
      <c r="N100" s="214"/>
      <c r="O100" s="214"/>
    </row>
    <row r="101" spans="1:15" x14ac:dyDescent="0.3">
      <c r="A101" s="214"/>
      <c r="B101" s="214"/>
      <c r="C101" s="214"/>
      <c r="D101" s="214"/>
      <c r="E101" s="214"/>
      <c r="F101" s="214"/>
      <c r="G101" s="214"/>
      <c r="H101" s="214"/>
      <c r="I101" s="214"/>
      <c r="J101" s="214"/>
      <c r="K101" s="214"/>
      <c r="L101" s="214"/>
      <c r="M101" s="214"/>
      <c r="N101" s="214"/>
      <c r="O101" s="214"/>
    </row>
    <row r="102" spans="1:15" x14ac:dyDescent="0.3">
      <c r="A102" s="214"/>
      <c r="B102" s="214"/>
      <c r="C102" s="214"/>
      <c r="D102" s="214"/>
      <c r="E102" s="214"/>
      <c r="F102" s="214"/>
      <c r="G102" s="214"/>
      <c r="H102" s="214"/>
      <c r="I102" s="214"/>
      <c r="J102" s="214"/>
      <c r="K102" s="214"/>
      <c r="L102" s="214"/>
      <c r="M102" s="214"/>
      <c r="N102" s="214"/>
      <c r="O102" s="214"/>
    </row>
    <row r="103" spans="1:15" x14ac:dyDescent="0.3">
      <c r="A103" s="214"/>
      <c r="B103" s="214"/>
      <c r="C103" s="214"/>
      <c r="D103" s="214"/>
      <c r="E103" s="214"/>
      <c r="F103" s="214"/>
      <c r="G103" s="214"/>
      <c r="H103" s="214"/>
      <c r="I103" s="214"/>
      <c r="J103" s="214"/>
      <c r="K103" s="214"/>
      <c r="L103" s="214"/>
      <c r="M103" s="214"/>
      <c r="N103" s="214"/>
      <c r="O103" s="214"/>
    </row>
    <row r="104" spans="1:15" x14ac:dyDescent="0.3">
      <c r="A104" s="214"/>
      <c r="B104" s="214"/>
      <c r="C104" s="214"/>
      <c r="D104" s="214"/>
      <c r="E104" s="214"/>
      <c r="F104" s="214"/>
      <c r="G104" s="214"/>
      <c r="H104" s="214"/>
      <c r="I104" s="214"/>
      <c r="J104" s="214"/>
      <c r="K104" s="214"/>
      <c r="L104" s="214"/>
      <c r="M104" s="214"/>
      <c r="N104" s="214"/>
      <c r="O104" s="214"/>
    </row>
    <row r="105" spans="1:15" x14ac:dyDescent="0.3">
      <c r="A105" s="214"/>
      <c r="B105" s="214"/>
      <c r="C105" s="214"/>
      <c r="D105" s="214"/>
      <c r="E105" s="214"/>
      <c r="F105" s="214"/>
      <c r="G105" s="214"/>
      <c r="H105" s="214"/>
      <c r="I105" s="214"/>
      <c r="J105" s="214"/>
      <c r="K105" s="214"/>
      <c r="L105" s="214"/>
      <c r="M105" s="214"/>
      <c r="N105" s="214"/>
      <c r="O105" s="214"/>
    </row>
    <row r="106" spans="1:15" x14ac:dyDescent="0.3">
      <c r="A106" s="214"/>
      <c r="B106" s="214"/>
      <c r="C106" s="214"/>
      <c r="D106" s="214"/>
      <c r="E106" s="214"/>
      <c r="F106" s="214"/>
      <c r="G106" s="214"/>
      <c r="H106" s="214"/>
      <c r="I106" s="214"/>
      <c r="J106" s="214"/>
      <c r="K106" s="214"/>
      <c r="L106" s="214"/>
      <c r="M106" s="214"/>
      <c r="N106" s="214"/>
      <c r="O106" s="214"/>
    </row>
    <row r="107" spans="1:15" x14ac:dyDescent="0.3">
      <c r="A107" s="214"/>
      <c r="B107" s="214"/>
      <c r="C107" s="214"/>
      <c r="D107" s="214"/>
      <c r="E107" s="214"/>
      <c r="F107" s="214"/>
      <c r="G107" s="214"/>
      <c r="H107" s="214"/>
      <c r="I107" s="214"/>
      <c r="J107" s="214"/>
      <c r="K107" s="214"/>
      <c r="L107" s="214"/>
      <c r="M107" s="214"/>
      <c r="N107" s="214"/>
      <c r="O107" s="214"/>
    </row>
    <row r="108" spans="1:15" x14ac:dyDescent="0.3">
      <c r="A108" s="214"/>
      <c r="B108" s="214"/>
      <c r="C108" s="214"/>
      <c r="D108" s="214"/>
      <c r="E108" s="214"/>
      <c r="F108" s="214"/>
      <c r="G108" s="214"/>
      <c r="H108" s="214"/>
      <c r="I108" s="214"/>
      <c r="J108" s="214"/>
      <c r="K108" s="214"/>
      <c r="L108" s="214"/>
      <c r="M108" s="214"/>
      <c r="N108" s="214"/>
      <c r="O108" s="214"/>
    </row>
    <row r="109" spans="1:15" x14ac:dyDescent="0.3">
      <c r="A109" s="214"/>
      <c r="B109" s="214"/>
      <c r="C109" s="214"/>
      <c r="D109" s="214"/>
      <c r="E109" s="214"/>
      <c r="F109" s="214"/>
      <c r="G109" s="214"/>
      <c r="H109" s="214"/>
      <c r="I109" s="214"/>
      <c r="J109" s="214"/>
      <c r="K109" s="214"/>
      <c r="L109" s="214"/>
      <c r="M109" s="214"/>
      <c r="N109" s="214"/>
      <c r="O109" s="214"/>
    </row>
    <row r="110" spans="1:15" x14ac:dyDescent="0.3">
      <c r="A110" s="214"/>
      <c r="B110" s="214"/>
      <c r="C110" s="214"/>
      <c r="D110" s="214"/>
      <c r="E110" s="214"/>
      <c r="F110" s="214"/>
      <c r="G110" s="214"/>
      <c r="H110" s="214"/>
      <c r="I110" s="214"/>
      <c r="J110" s="214"/>
      <c r="K110" s="214"/>
      <c r="L110" s="214"/>
      <c r="M110" s="214"/>
      <c r="N110" s="214"/>
      <c r="O110" s="214"/>
    </row>
    <row r="111" spans="1:15" x14ac:dyDescent="0.3">
      <c r="A111" s="214"/>
      <c r="B111" s="214"/>
      <c r="C111" s="214"/>
      <c r="D111" s="214"/>
      <c r="E111" s="214"/>
      <c r="F111" s="214"/>
      <c r="G111" s="214"/>
      <c r="H111" s="214"/>
      <c r="I111" s="214"/>
      <c r="J111" s="214"/>
      <c r="K111" s="214"/>
      <c r="L111" s="214"/>
      <c r="M111" s="214"/>
      <c r="N111" s="214"/>
      <c r="O111" s="214"/>
    </row>
    <row r="112" spans="1:15" x14ac:dyDescent="0.3">
      <c r="A112" s="214"/>
      <c r="B112" s="214"/>
      <c r="C112" s="214"/>
      <c r="D112" s="214"/>
      <c r="E112" s="214"/>
      <c r="F112" s="214"/>
      <c r="G112" s="214"/>
      <c r="H112" s="214"/>
      <c r="I112" s="214"/>
      <c r="J112" s="214"/>
      <c r="K112" s="214"/>
      <c r="L112" s="214"/>
      <c r="M112" s="214"/>
      <c r="N112" s="214"/>
      <c r="O112" s="214"/>
    </row>
    <row r="113" spans="1:15" x14ac:dyDescent="0.3">
      <c r="A113" s="214"/>
      <c r="B113" s="214"/>
      <c r="C113" s="214"/>
      <c r="D113" s="214"/>
      <c r="E113" s="214"/>
      <c r="F113" s="214"/>
      <c r="G113" s="214"/>
      <c r="H113" s="214"/>
      <c r="I113" s="214"/>
      <c r="J113" s="214"/>
      <c r="K113" s="214"/>
      <c r="L113" s="214"/>
      <c r="M113" s="214"/>
      <c r="N113" s="214"/>
      <c r="O113" s="214"/>
    </row>
    <row r="114" spans="1:15" x14ac:dyDescent="0.3">
      <c r="A114" s="214"/>
      <c r="B114" s="214"/>
      <c r="C114" s="214"/>
      <c r="D114" s="214"/>
      <c r="E114" s="214"/>
      <c r="F114" s="214"/>
      <c r="G114" s="214"/>
      <c r="H114" s="214"/>
      <c r="I114" s="214"/>
      <c r="J114" s="214"/>
      <c r="K114" s="214"/>
      <c r="L114" s="214"/>
      <c r="M114" s="214"/>
      <c r="N114" s="214"/>
      <c r="O114" s="214"/>
    </row>
    <row r="115" spans="1:15" x14ac:dyDescent="0.3">
      <c r="A115" s="214"/>
      <c r="B115" s="214"/>
      <c r="C115" s="214"/>
      <c r="D115" s="214"/>
      <c r="E115" s="214"/>
      <c r="F115" s="214"/>
      <c r="G115" s="214"/>
      <c r="H115" s="214"/>
      <c r="I115" s="214"/>
      <c r="J115" s="214"/>
      <c r="K115" s="214"/>
      <c r="L115" s="214"/>
      <c r="M115" s="214"/>
      <c r="N115" s="214"/>
      <c r="O115" s="214"/>
    </row>
    <row r="116" spans="1:15" x14ac:dyDescent="0.3">
      <c r="A116" s="214"/>
      <c r="B116" s="214"/>
      <c r="C116" s="214"/>
      <c r="D116" s="214"/>
      <c r="E116" s="214"/>
      <c r="F116" s="214"/>
      <c r="G116" s="214"/>
      <c r="H116" s="214"/>
      <c r="I116" s="214"/>
      <c r="J116" s="214"/>
      <c r="K116" s="214"/>
      <c r="L116" s="214"/>
      <c r="M116" s="214"/>
      <c r="N116" s="214"/>
      <c r="O116" s="214"/>
    </row>
    <row r="117" spans="1:15" x14ac:dyDescent="0.3">
      <c r="A117" s="214"/>
      <c r="B117" s="214"/>
      <c r="C117" s="214"/>
      <c r="D117" s="214"/>
      <c r="E117" s="214"/>
      <c r="F117" s="214"/>
      <c r="G117" s="214"/>
      <c r="H117" s="214"/>
      <c r="I117" s="214"/>
      <c r="J117" s="214"/>
      <c r="K117" s="214"/>
      <c r="L117" s="214"/>
      <c r="M117" s="214"/>
      <c r="N117" s="214"/>
      <c r="O117" s="214"/>
    </row>
    <row r="118" spans="1:15" x14ac:dyDescent="0.3">
      <c r="A118" s="214"/>
      <c r="B118" s="214"/>
      <c r="C118" s="214"/>
      <c r="D118" s="214"/>
      <c r="E118" s="214"/>
      <c r="F118" s="214"/>
      <c r="G118" s="214"/>
      <c r="H118" s="214"/>
      <c r="I118" s="214"/>
      <c r="J118" s="214"/>
      <c r="K118" s="214"/>
      <c r="L118" s="214"/>
      <c r="M118" s="214"/>
      <c r="N118" s="214"/>
      <c r="O118" s="214"/>
    </row>
    <row r="119" spans="1:15" x14ac:dyDescent="0.3">
      <c r="A119" s="214"/>
      <c r="B119" s="214"/>
      <c r="C119" s="214"/>
      <c r="D119" s="214"/>
      <c r="E119" s="214"/>
      <c r="F119" s="214"/>
      <c r="G119" s="214"/>
      <c r="H119" s="214"/>
      <c r="I119" s="214"/>
      <c r="J119" s="214"/>
      <c r="K119" s="214"/>
      <c r="L119" s="214"/>
      <c r="M119" s="214"/>
      <c r="N119" s="214"/>
      <c r="O119" s="214"/>
    </row>
    <row r="120" spans="1:15" x14ac:dyDescent="0.3">
      <c r="A120" s="214"/>
      <c r="B120" s="214"/>
      <c r="C120" s="214"/>
      <c r="D120" s="214"/>
      <c r="E120" s="214"/>
      <c r="F120" s="214"/>
      <c r="G120" s="214"/>
      <c r="H120" s="214"/>
      <c r="I120" s="214"/>
      <c r="J120" s="214"/>
      <c r="K120" s="214"/>
      <c r="L120" s="214"/>
      <c r="M120" s="214"/>
      <c r="N120" s="214"/>
      <c r="O120" s="214"/>
    </row>
    <row r="121" spans="1:15" x14ac:dyDescent="0.3">
      <c r="A121" s="214"/>
      <c r="B121" s="214"/>
      <c r="C121" s="214"/>
      <c r="D121" s="214"/>
      <c r="E121" s="214"/>
      <c r="F121" s="214"/>
      <c r="G121" s="214"/>
      <c r="H121" s="214"/>
      <c r="I121" s="214"/>
      <c r="J121" s="214"/>
      <c r="K121" s="214"/>
      <c r="L121" s="214"/>
      <c r="M121" s="214"/>
      <c r="N121" s="214"/>
      <c r="O121" s="214"/>
    </row>
    <row r="122" spans="1:15" x14ac:dyDescent="0.3">
      <c r="A122" s="214"/>
      <c r="B122" s="214"/>
      <c r="C122" s="214"/>
      <c r="D122" s="214"/>
      <c r="E122" s="214"/>
      <c r="F122" s="214"/>
      <c r="G122" s="214"/>
      <c r="H122" s="214"/>
      <c r="I122" s="214"/>
      <c r="J122" s="214"/>
      <c r="K122" s="214"/>
      <c r="L122" s="214"/>
      <c r="M122" s="214"/>
      <c r="N122" s="214"/>
      <c r="O122" s="214"/>
    </row>
    <row r="123" spans="1:15" x14ac:dyDescent="0.3">
      <c r="A123" s="214"/>
      <c r="B123" s="214"/>
      <c r="C123" s="214"/>
      <c r="D123" s="214"/>
      <c r="E123" s="214"/>
      <c r="F123" s="214"/>
      <c r="G123" s="214"/>
      <c r="H123" s="214"/>
      <c r="I123" s="214"/>
      <c r="J123" s="214"/>
      <c r="K123" s="214"/>
      <c r="L123" s="214"/>
      <c r="M123" s="214"/>
      <c r="N123" s="214"/>
      <c r="O123" s="214"/>
    </row>
    <row r="124" spans="1:15" x14ac:dyDescent="0.3">
      <c r="A124" s="214"/>
      <c r="B124" s="214"/>
      <c r="C124" s="214"/>
      <c r="D124" s="214"/>
      <c r="E124" s="214"/>
      <c r="F124" s="214"/>
      <c r="G124" s="214"/>
      <c r="H124" s="214"/>
      <c r="I124" s="214"/>
      <c r="J124" s="214"/>
      <c r="K124" s="214"/>
      <c r="L124" s="214"/>
      <c r="M124" s="214"/>
      <c r="N124" s="214"/>
      <c r="O124" s="214"/>
    </row>
    <row r="125" spans="1:15" x14ac:dyDescent="0.3">
      <c r="A125" s="214"/>
      <c r="B125" s="214"/>
      <c r="C125" s="214"/>
      <c r="D125" s="214"/>
      <c r="E125" s="214"/>
      <c r="F125" s="214"/>
      <c r="G125" s="214"/>
      <c r="H125" s="214"/>
      <c r="I125" s="214"/>
      <c r="J125" s="214"/>
      <c r="K125" s="214"/>
      <c r="L125" s="214"/>
      <c r="M125" s="214"/>
      <c r="N125" s="214"/>
      <c r="O125" s="214"/>
    </row>
    <row r="126" spans="1:15" x14ac:dyDescent="0.3">
      <c r="A126" s="214"/>
      <c r="B126" s="214"/>
      <c r="C126" s="214"/>
      <c r="D126" s="214"/>
      <c r="E126" s="214"/>
      <c r="F126" s="214"/>
      <c r="G126" s="214"/>
      <c r="H126" s="214"/>
      <c r="I126" s="214"/>
      <c r="J126" s="214"/>
      <c r="K126" s="214"/>
      <c r="L126" s="214"/>
      <c r="M126" s="214"/>
      <c r="N126" s="214"/>
      <c r="O126" s="214"/>
    </row>
    <row r="127" spans="1:15" x14ac:dyDescent="0.3">
      <c r="A127" s="214"/>
      <c r="B127" s="214"/>
      <c r="C127" s="214"/>
      <c r="D127" s="214"/>
      <c r="E127" s="214"/>
      <c r="F127" s="214"/>
      <c r="G127" s="214"/>
      <c r="H127" s="214"/>
      <c r="I127" s="214"/>
      <c r="J127" s="214"/>
      <c r="K127" s="214"/>
      <c r="L127" s="214"/>
      <c r="M127" s="214"/>
      <c r="N127" s="214"/>
      <c r="O127" s="214"/>
    </row>
    <row r="128" spans="1:15" x14ac:dyDescent="0.3">
      <c r="A128" s="214"/>
      <c r="B128" s="214"/>
      <c r="C128" s="214"/>
      <c r="D128" s="214"/>
      <c r="E128" s="214"/>
      <c r="F128" s="214"/>
      <c r="G128" s="214"/>
      <c r="H128" s="214"/>
      <c r="I128" s="214"/>
      <c r="J128" s="214"/>
      <c r="K128" s="214"/>
      <c r="L128" s="214"/>
      <c r="M128" s="214"/>
      <c r="N128" s="214"/>
      <c r="O128" s="214"/>
    </row>
    <row r="129" spans="1:15" x14ac:dyDescent="0.3">
      <c r="A129" s="214"/>
      <c r="B129" s="214"/>
      <c r="C129" s="214"/>
      <c r="D129" s="214"/>
      <c r="E129" s="214"/>
      <c r="F129" s="214"/>
      <c r="G129" s="214"/>
      <c r="H129" s="214"/>
      <c r="I129" s="214"/>
      <c r="J129" s="214"/>
      <c r="K129" s="214"/>
      <c r="L129" s="214"/>
      <c r="M129" s="214"/>
      <c r="N129" s="214"/>
      <c r="O129" s="214"/>
    </row>
    <row r="130" spans="1:15" x14ac:dyDescent="0.3">
      <c r="A130" s="214"/>
      <c r="B130" s="214"/>
      <c r="C130" s="214"/>
      <c r="D130" s="214"/>
      <c r="E130" s="214"/>
      <c r="F130" s="214"/>
      <c r="G130" s="214"/>
      <c r="H130" s="214"/>
      <c r="I130" s="214"/>
      <c r="J130" s="214"/>
      <c r="K130" s="214"/>
      <c r="L130" s="214"/>
      <c r="M130" s="214"/>
      <c r="N130" s="214"/>
      <c r="O130" s="214"/>
    </row>
    <row r="131" spans="1:15" x14ac:dyDescent="0.3">
      <c r="A131" s="214"/>
      <c r="B131" s="214"/>
      <c r="C131" s="214"/>
      <c r="D131" s="214"/>
      <c r="E131" s="214"/>
      <c r="F131" s="214"/>
      <c r="G131" s="214"/>
      <c r="H131" s="214"/>
      <c r="I131" s="214"/>
      <c r="J131" s="214"/>
      <c r="K131" s="214"/>
      <c r="L131" s="214"/>
      <c r="M131" s="214"/>
      <c r="N131" s="214"/>
      <c r="O131" s="214"/>
    </row>
    <row r="132" spans="1:15" x14ac:dyDescent="0.3">
      <c r="A132" s="214"/>
      <c r="B132" s="214"/>
      <c r="C132" s="214"/>
      <c r="D132" s="214"/>
      <c r="E132" s="214"/>
      <c r="F132" s="214"/>
      <c r="G132" s="214"/>
      <c r="H132" s="214"/>
      <c r="I132" s="214"/>
      <c r="J132" s="214"/>
      <c r="K132" s="214"/>
      <c r="L132" s="214"/>
      <c r="M132" s="214"/>
      <c r="N132" s="214"/>
      <c r="O132" s="214"/>
    </row>
    <row r="133" spans="1:15" x14ac:dyDescent="0.3">
      <c r="A133" s="214"/>
      <c r="B133" s="214"/>
      <c r="C133" s="214"/>
      <c r="D133" s="214"/>
      <c r="E133" s="214"/>
      <c r="F133" s="214"/>
      <c r="G133" s="214"/>
      <c r="H133" s="214"/>
      <c r="I133" s="214"/>
      <c r="J133" s="214"/>
      <c r="K133" s="214"/>
      <c r="L133" s="214"/>
      <c r="M133" s="214"/>
      <c r="N133" s="214"/>
      <c r="O133" s="214"/>
    </row>
    <row r="134" spans="1:15" x14ac:dyDescent="0.3">
      <c r="A134" s="214"/>
      <c r="B134" s="214"/>
      <c r="C134" s="214"/>
      <c r="D134" s="214"/>
      <c r="E134" s="214"/>
      <c r="F134" s="214"/>
      <c r="G134" s="214"/>
      <c r="H134" s="214"/>
      <c r="I134" s="214"/>
      <c r="J134" s="214"/>
      <c r="K134" s="214"/>
      <c r="L134" s="214"/>
      <c r="M134" s="214"/>
      <c r="N134" s="214"/>
      <c r="O134" s="214"/>
    </row>
    <row r="135" spans="1:15" x14ac:dyDescent="0.3">
      <c r="A135" s="214"/>
      <c r="B135" s="214"/>
      <c r="C135" s="214"/>
      <c r="D135" s="214"/>
      <c r="E135" s="214"/>
      <c r="F135" s="214"/>
      <c r="G135" s="214"/>
      <c r="H135" s="214"/>
      <c r="I135" s="214"/>
      <c r="J135" s="214"/>
      <c r="K135" s="214"/>
      <c r="L135" s="214"/>
      <c r="M135" s="214"/>
      <c r="N135" s="214"/>
      <c r="O135" s="214"/>
    </row>
    <row r="136" spans="1:15" x14ac:dyDescent="0.3">
      <c r="A136" s="214"/>
      <c r="B136" s="214"/>
      <c r="C136" s="214"/>
      <c r="D136" s="214"/>
      <c r="E136" s="214"/>
      <c r="F136" s="214"/>
      <c r="G136" s="214"/>
      <c r="H136" s="214"/>
      <c r="I136" s="214"/>
      <c r="J136" s="214"/>
      <c r="K136" s="214"/>
      <c r="L136" s="214"/>
      <c r="M136" s="214"/>
      <c r="N136" s="214"/>
      <c r="O136" s="214"/>
    </row>
    <row r="137" spans="1:15" x14ac:dyDescent="0.3">
      <c r="A137" s="214"/>
      <c r="B137" s="214"/>
      <c r="C137" s="214"/>
      <c r="D137" s="214"/>
      <c r="E137" s="214"/>
      <c r="F137" s="214"/>
      <c r="G137" s="214"/>
      <c r="H137" s="214"/>
      <c r="I137" s="214"/>
      <c r="J137" s="214"/>
      <c r="K137" s="214"/>
      <c r="L137" s="214"/>
      <c r="M137" s="214"/>
      <c r="N137" s="214"/>
      <c r="O137" s="214"/>
    </row>
    <row r="138" spans="1:15" x14ac:dyDescent="0.3">
      <c r="A138" s="214"/>
      <c r="B138" s="214"/>
      <c r="C138" s="214"/>
      <c r="D138" s="214"/>
      <c r="E138" s="214"/>
      <c r="F138" s="214"/>
      <c r="G138" s="214"/>
      <c r="H138" s="214"/>
      <c r="I138" s="214"/>
      <c r="J138" s="214"/>
      <c r="K138" s="214"/>
      <c r="L138" s="214"/>
      <c r="M138" s="214"/>
      <c r="N138" s="214"/>
      <c r="O138" s="214"/>
    </row>
    <row r="139" spans="1:15" x14ac:dyDescent="0.3">
      <c r="A139" s="214"/>
      <c r="B139" s="214"/>
      <c r="C139" s="214"/>
      <c r="D139" s="214"/>
      <c r="E139" s="214"/>
      <c r="F139" s="214"/>
      <c r="G139" s="214"/>
      <c r="H139" s="214"/>
      <c r="I139" s="214"/>
      <c r="J139" s="214"/>
      <c r="K139" s="214"/>
      <c r="L139" s="214"/>
      <c r="M139" s="214"/>
      <c r="N139" s="214"/>
      <c r="O139" s="214"/>
    </row>
    <row r="140" spans="1:15" x14ac:dyDescent="0.3">
      <c r="A140" s="214"/>
      <c r="B140" s="214"/>
      <c r="C140" s="214"/>
      <c r="D140" s="214"/>
      <c r="E140" s="214"/>
      <c r="F140" s="214"/>
      <c r="G140" s="214"/>
      <c r="H140" s="214"/>
      <c r="I140" s="214"/>
      <c r="J140" s="214"/>
      <c r="K140" s="214"/>
      <c r="L140" s="214"/>
      <c r="M140" s="214"/>
      <c r="N140" s="214"/>
      <c r="O140" s="214"/>
    </row>
    <row r="141" spans="1:15" x14ac:dyDescent="0.3">
      <c r="A141" s="214"/>
      <c r="B141" s="214"/>
      <c r="C141" s="214"/>
      <c r="D141" s="214"/>
      <c r="E141" s="214"/>
      <c r="F141" s="214"/>
      <c r="G141" s="214"/>
      <c r="H141" s="214"/>
      <c r="I141" s="214"/>
      <c r="J141" s="214"/>
      <c r="K141" s="214"/>
      <c r="L141" s="214"/>
      <c r="M141" s="214"/>
      <c r="N141" s="214"/>
      <c r="O141" s="214"/>
    </row>
    <row r="142" spans="1:15" x14ac:dyDescent="0.3">
      <c r="A142" s="214"/>
      <c r="B142" s="214"/>
      <c r="C142" s="214"/>
      <c r="D142" s="214"/>
      <c r="E142" s="214"/>
      <c r="F142" s="214"/>
      <c r="G142" s="214"/>
      <c r="H142" s="214"/>
      <c r="I142" s="214"/>
      <c r="J142" s="214"/>
      <c r="K142" s="214"/>
      <c r="L142" s="214"/>
      <c r="M142" s="214"/>
      <c r="N142" s="214"/>
      <c r="O142" s="214"/>
    </row>
    <row r="143" spans="1:15" x14ac:dyDescent="0.3">
      <c r="A143" s="214"/>
      <c r="B143" s="214"/>
      <c r="C143" s="214"/>
      <c r="D143" s="214"/>
      <c r="E143" s="214"/>
      <c r="F143" s="214"/>
      <c r="G143" s="214"/>
      <c r="H143" s="214"/>
      <c r="I143" s="214"/>
      <c r="J143" s="214"/>
      <c r="K143" s="214"/>
      <c r="L143" s="214"/>
      <c r="M143" s="214"/>
      <c r="N143" s="214"/>
      <c r="O143" s="214"/>
    </row>
    <row r="144" spans="1:15" x14ac:dyDescent="0.3">
      <c r="A144" s="214"/>
      <c r="B144" s="214"/>
      <c r="C144" s="214"/>
      <c r="D144" s="214"/>
      <c r="E144" s="214"/>
      <c r="F144" s="214"/>
      <c r="G144" s="214"/>
      <c r="H144" s="214"/>
      <c r="I144" s="214"/>
      <c r="J144" s="214"/>
      <c r="K144" s="214"/>
      <c r="L144" s="214"/>
      <c r="M144" s="214"/>
      <c r="N144" s="214"/>
      <c r="O144" s="214"/>
    </row>
    <row r="145" spans="1:15" x14ac:dyDescent="0.3">
      <c r="A145" s="214"/>
      <c r="B145" s="214"/>
      <c r="C145" s="214"/>
      <c r="D145" s="214"/>
      <c r="E145" s="214"/>
      <c r="F145" s="214"/>
      <c r="G145" s="214"/>
      <c r="H145" s="214"/>
      <c r="I145" s="214"/>
      <c r="J145" s="214"/>
      <c r="K145" s="214"/>
      <c r="L145" s="214"/>
      <c r="M145" s="214"/>
      <c r="N145" s="214"/>
      <c r="O145" s="214"/>
    </row>
    <row r="146" spans="1:15" x14ac:dyDescent="0.3">
      <c r="A146" s="214"/>
      <c r="B146" s="214"/>
      <c r="C146" s="214"/>
      <c r="D146" s="214"/>
      <c r="E146" s="214"/>
      <c r="F146" s="214"/>
      <c r="G146" s="214"/>
      <c r="H146" s="214"/>
      <c r="I146" s="214"/>
      <c r="J146" s="214"/>
      <c r="K146" s="214"/>
      <c r="L146" s="214"/>
      <c r="M146" s="214"/>
      <c r="N146" s="214"/>
      <c r="O146" s="214"/>
    </row>
    <row r="147" spans="1:15" x14ac:dyDescent="0.3">
      <c r="A147" s="214"/>
      <c r="B147" s="214"/>
      <c r="C147" s="214"/>
      <c r="D147" s="214"/>
      <c r="E147" s="214"/>
      <c r="F147" s="214"/>
      <c r="G147" s="214"/>
      <c r="H147" s="214"/>
      <c r="I147" s="214"/>
      <c r="J147" s="214"/>
      <c r="K147" s="214"/>
      <c r="L147" s="214"/>
      <c r="M147" s="214"/>
      <c r="N147" s="214"/>
      <c r="O147" s="214"/>
    </row>
    <row r="148" spans="1:15" x14ac:dyDescent="0.3">
      <c r="A148" s="214"/>
      <c r="B148" s="214"/>
      <c r="C148" s="214"/>
      <c r="D148" s="214"/>
      <c r="E148" s="214"/>
      <c r="F148" s="214"/>
      <c r="G148" s="214"/>
      <c r="H148" s="214"/>
      <c r="I148" s="214"/>
      <c r="J148" s="214"/>
      <c r="K148" s="214"/>
      <c r="L148" s="214"/>
      <c r="M148" s="214"/>
      <c r="N148" s="214"/>
      <c r="O148" s="214"/>
    </row>
    <row r="149" spans="1:15" x14ac:dyDescent="0.3">
      <c r="A149" s="214"/>
      <c r="B149" s="214"/>
      <c r="C149" s="214"/>
      <c r="D149" s="214"/>
      <c r="E149" s="214"/>
      <c r="F149" s="214"/>
      <c r="G149" s="214"/>
      <c r="H149" s="214"/>
      <c r="I149" s="214"/>
      <c r="J149" s="214"/>
      <c r="K149" s="214"/>
      <c r="L149" s="214"/>
      <c r="M149" s="214"/>
      <c r="N149" s="214"/>
      <c r="O149" s="214"/>
    </row>
    <row r="150" spans="1:15" x14ac:dyDescent="0.3">
      <c r="A150" s="214"/>
      <c r="B150" s="214"/>
      <c r="C150" s="214"/>
      <c r="D150" s="214"/>
      <c r="E150" s="214"/>
      <c r="F150" s="214"/>
      <c r="G150" s="214"/>
      <c r="H150" s="214"/>
      <c r="I150" s="214"/>
      <c r="J150" s="214"/>
      <c r="K150" s="214"/>
      <c r="L150" s="214"/>
      <c r="M150" s="214"/>
      <c r="N150" s="214"/>
      <c r="O150" s="214"/>
    </row>
    <row r="151" spans="1:15" x14ac:dyDescent="0.3">
      <c r="A151" s="214"/>
      <c r="B151" s="214"/>
      <c r="C151" s="214"/>
      <c r="D151" s="214"/>
      <c r="E151" s="214"/>
      <c r="F151" s="214"/>
      <c r="G151" s="214"/>
      <c r="H151" s="214"/>
      <c r="I151" s="214"/>
      <c r="J151" s="214"/>
      <c r="K151" s="214"/>
      <c r="L151" s="214"/>
      <c r="M151" s="214"/>
      <c r="N151" s="214"/>
      <c r="O151" s="214"/>
    </row>
    <row r="152" spans="1:15" x14ac:dyDescent="0.3">
      <c r="A152" s="214"/>
      <c r="B152" s="214"/>
      <c r="C152" s="214"/>
      <c r="D152" s="214"/>
      <c r="E152" s="214"/>
      <c r="F152" s="214"/>
      <c r="G152" s="214"/>
      <c r="H152" s="214"/>
      <c r="I152" s="214"/>
      <c r="J152" s="214"/>
      <c r="K152" s="214"/>
      <c r="L152" s="214"/>
      <c r="M152" s="214"/>
      <c r="N152" s="214"/>
      <c r="O152" s="214"/>
    </row>
    <row r="153" spans="1:15" x14ac:dyDescent="0.3">
      <c r="A153" s="214"/>
      <c r="B153" s="214"/>
      <c r="C153" s="214"/>
      <c r="D153" s="214"/>
      <c r="E153" s="214"/>
      <c r="F153" s="214"/>
      <c r="G153" s="214"/>
      <c r="H153" s="214"/>
      <c r="I153" s="214"/>
      <c r="J153" s="214"/>
      <c r="K153" s="214"/>
      <c r="L153" s="214"/>
      <c r="M153" s="214"/>
      <c r="N153" s="214"/>
      <c r="O153" s="214"/>
    </row>
    <row r="154" spans="1:15" x14ac:dyDescent="0.3">
      <c r="A154" s="214"/>
      <c r="B154" s="214"/>
      <c r="C154" s="214"/>
      <c r="D154" s="214"/>
      <c r="E154" s="214"/>
      <c r="F154" s="214"/>
      <c r="G154" s="214"/>
      <c r="H154" s="214"/>
      <c r="I154" s="214"/>
      <c r="J154" s="214"/>
      <c r="K154" s="214"/>
      <c r="L154" s="214"/>
      <c r="M154" s="214"/>
      <c r="N154" s="214"/>
      <c r="O154" s="214"/>
    </row>
    <row r="155" spans="1:15" x14ac:dyDescent="0.3">
      <c r="A155" s="214"/>
      <c r="B155" s="214"/>
      <c r="C155" s="214"/>
      <c r="D155" s="214"/>
      <c r="E155" s="214"/>
      <c r="F155" s="214"/>
      <c r="G155" s="214"/>
      <c r="H155" s="214"/>
      <c r="I155" s="214"/>
      <c r="J155" s="214"/>
      <c r="K155" s="214"/>
      <c r="L155" s="214"/>
      <c r="M155" s="214"/>
      <c r="N155" s="214"/>
      <c r="O155" s="214"/>
    </row>
    <row r="156" spans="1:15" x14ac:dyDescent="0.3">
      <c r="A156" s="214"/>
      <c r="B156" s="214"/>
      <c r="C156" s="214"/>
      <c r="D156" s="214"/>
      <c r="E156" s="214"/>
      <c r="F156" s="214"/>
      <c r="G156" s="214"/>
      <c r="H156" s="214"/>
      <c r="I156" s="214"/>
      <c r="J156" s="214"/>
      <c r="K156" s="214"/>
      <c r="L156" s="214"/>
      <c r="M156" s="214"/>
      <c r="N156" s="214"/>
      <c r="O156" s="214"/>
    </row>
    <row r="157" spans="1:15" x14ac:dyDescent="0.3">
      <c r="A157" s="214"/>
      <c r="B157" s="214"/>
      <c r="C157" s="214"/>
      <c r="D157" s="214"/>
      <c r="E157" s="214"/>
      <c r="F157" s="214"/>
      <c r="G157" s="214"/>
      <c r="H157" s="214"/>
      <c r="I157" s="214"/>
      <c r="J157" s="214"/>
      <c r="K157" s="214"/>
      <c r="L157" s="214"/>
      <c r="M157" s="214"/>
      <c r="N157" s="214"/>
      <c r="O157" s="214"/>
    </row>
    <row r="158" spans="1:15" x14ac:dyDescent="0.3">
      <c r="A158" s="214"/>
      <c r="B158" s="214"/>
      <c r="C158" s="214"/>
      <c r="D158" s="214"/>
      <c r="E158" s="214"/>
      <c r="F158" s="214"/>
      <c r="G158" s="214"/>
      <c r="H158" s="214"/>
      <c r="I158" s="214"/>
      <c r="J158" s="214"/>
      <c r="K158" s="214"/>
      <c r="L158" s="214"/>
      <c r="M158" s="214"/>
      <c r="N158" s="214"/>
      <c r="O158" s="214"/>
    </row>
    <row r="159" spans="1:15" x14ac:dyDescent="0.3">
      <c r="A159" s="214"/>
      <c r="B159" s="214"/>
      <c r="C159" s="214"/>
      <c r="D159" s="214"/>
      <c r="E159" s="214"/>
      <c r="F159" s="214"/>
      <c r="G159" s="214"/>
      <c r="H159" s="214"/>
      <c r="I159" s="214"/>
      <c r="J159" s="214"/>
      <c r="K159" s="214"/>
      <c r="L159" s="214"/>
      <c r="M159" s="214"/>
      <c r="N159" s="214"/>
      <c r="O159" s="214"/>
    </row>
    <row r="160" spans="1:15" x14ac:dyDescent="0.3">
      <c r="A160" s="214"/>
      <c r="B160" s="214"/>
      <c r="C160" s="214"/>
      <c r="D160" s="214"/>
      <c r="E160" s="214"/>
      <c r="F160" s="214"/>
      <c r="G160" s="214"/>
      <c r="H160" s="214"/>
      <c r="I160" s="214"/>
      <c r="J160" s="214"/>
      <c r="K160" s="214"/>
      <c r="L160" s="214"/>
      <c r="M160" s="214"/>
      <c r="N160" s="214"/>
      <c r="O160" s="214"/>
    </row>
    <row r="161" spans="1:15" x14ac:dyDescent="0.3">
      <c r="A161" s="214"/>
      <c r="B161" s="214"/>
      <c r="C161" s="214"/>
      <c r="D161" s="214"/>
      <c r="E161" s="214"/>
      <c r="F161" s="214"/>
      <c r="G161" s="214"/>
      <c r="H161" s="214"/>
      <c r="I161" s="214"/>
      <c r="J161" s="214"/>
      <c r="K161" s="214"/>
      <c r="L161" s="214"/>
      <c r="M161" s="214"/>
      <c r="N161" s="214"/>
      <c r="O161" s="214"/>
    </row>
    <row r="162" spans="1:15" x14ac:dyDescent="0.3">
      <c r="A162" s="214"/>
      <c r="B162" s="214"/>
      <c r="C162" s="214"/>
      <c r="D162" s="214"/>
      <c r="E162" s="214"/>
      <c r="F162" s="214"/>
      <c r="G162" s="214"/>
      <c r="H162" s="214"/>
      <c r="I162" s="214"/>
      <c r="J162" s="214"/>
      <c r="K162" s="214"/>
      <c r="L162" s="214"/>
      <c r="M162" s="214"/>
      <c r="N162" s="214"/>
      <c r="O162" s="214"/>
    </row>
    <row r="163" spans="1:15" x14ac:dyDescent="0.3">
      <c r="A163" s="214"/>
      <c r="B163" s="214"/>
      <c r="C163" s="214"/>
      <c r="D163" s="214"/>
      <c r="E163" s="214"/>
      <c r="F163" s="214"/>
      <c r="G163" s="214"/>
      <c r="H163" s="214"/>
      <c r="I163" s="214"/>
      <c r="J163" s="214"/>
      <c r="K163" s="214"/>
      <c r="L163" s="214"/>
      <c r="M163" s="214"/>
      <c r="N163" s="214"/>
      <c r="O163" s="214"/>
    </row>
    <row r="164" spans="1:15" x14ac:dyDescent="0.3">
      <c r="A164" s="214"/>
      <c r="B164" s="214"/>
      <c r="C164" s="214"/>
      <c r="D164" s="214"/>
      <c r="E164" s="214"/>
      <c r="F164" s="214"/>
      <c r="G164" s="214"/>
      <c r="H164" s="214"/>
      <c r="I164" s="214"/>
      <c r="J164" s="214"/>
      <c r="K164" s="214"/>
      <c r="L164" s="214"/>
      <c r="M164" s="214"/>
      <c r="N164" s="214"/>
      <c r="O164" s="214"/>
    </row>
    <row r="165" spans="1:15" x14ac:dyDescent="0.3">
      <c r="A165" s="214"/>
      <c r="B165" s="214"/>
      <c r="C165" s="214"/>
      <c r="D165" s="214"/>
      <c r="E165" s="214"/>
      <c r="F165" s="214"/>
      <c r="G165" s="214"/>
      <c r="H165" s="214"/>
      <c r="I165" s="214"/>
      <c r="J165" s="214"/>
      <c r="K165" s="214"/>
      <c r="L165" s="214"/>
      <c r="M165" s="214"/>
      <c r="N165" s="214"/>
      <c r="O165" s="214"/>
    </row>
    <row r="166" spans="1:15" x14ac:dyDescent="0.3">
      <c r="A166" s="214"/>
      <c r="B166" s="214"/>
      <c r="C166" s="214"/>
      <c r="D166" s="214"/>
      <c r="E166" s="214"/>
      <c r="F166" s="214"/>
      <c r="G166" s="214"/>
      <c r="H166" s="214"/>
      <c r="I166" s="214"/>
      <c r="J166" s="214"/>
      <c r="K166" s="214"/>
      <c r="L166" s="214"/>
      <c r="M166" s="214"/>
      <c r="N166" s="214"/>
      <c r="O166" s="214"/>
    </row>
    <row r="167" spans="1:15" x14ac:dyDescent="0.3">
      <c r="A167" s="214"/>
      <c r="B167" s="214"/>
      <c r="C167" s="214"/>
      <c r="D167" s="214"/>
      <c r="E167" s="214"/>
      <c r="F167" s="214"/>
      <c r="G167" s="214"/>
      <c r="H167" s="214"/>
      <c r="I167" s="214"/>
      <c r="J167" s="214"/>
      <c r="K167" s="214"/>
      <c r="L167" s="214"/>
      <c r="M167" s="214"/>
      <c r="N167" s="214"/>
      <c r="O167" s="214"/>
    </row>
    <row r="168" spans="1:15" x14ac:dyDescent="0.3">
      <c r="A168" s="214"/>
      <c r="B168" s="214"/>
      <c r="C168" s="214"/>
      <c r="D168" s="214"/>
      <c r="E168" s="214"/>
      <c r="F168" s="214"/>
      <c r="G168" s="214"/>
      <c r="H168" s="214"/>
      <c r="I168" s="214"/>
      <c r="J168" s="214"/>
      <c r="K168" s="214"/>
      <c r="L168" s="214"/>
      <c r="M168" s="214"/>
      <c r="N168" s="214"/>
      <c r="O168" s="214"/>
    </row>
    <row r="169" spans="1:15" x14ac:dyDescent="0.3">
      <c r="A169" s="214"/>
      <c r="B169" s="214"/>
      <c r="C169" s="214"/>
      <c r="D169" s="214"/>
      <c r="E169" s="214"/>
      <c r="F169" s="214"/>
      <c r="G169" s="214"/>
      <c r="H169" s="214"/>
      <c r="I169" s="214"/>
      <c r="J169" s="214"/>
      <c r="K169" s="214"/>
      <c r="L169" s="214"/>
      <c r="M169" s="214"/>
      <c r="N169" s="214"/>
      <c r="O169" s="214"/>
    </row>
    <row r="170" spans="1:15" x14ac:dyDescent="0.3">
      <c r="A170" s="214"/>
      <c r="B170" s="214"/>
      <c r="C170" s="214"/>
      <c r="D170" s="214"/>
      <c r="E170" s="214"/>
      <c r="F170" s="214"/>
      <c r="G170" s="214"/>
      <c r="H170" s="214"/>
      <c r="I170" s="214"/>
      <c r="J170" s="214"/>
      <c r="K170" s="214"/>
      <c r="L170" s="214"/>
      <c r="M170" s="214"/>
      <c r="N170" s="214"/>
      <c r="O170" s="214"/>
    </row>
    <row r="171" spans="1:15" x14ac:dyDescent="0.3">
      <c r="A171" s="214"/>
      <c r="B171" s="214"/>
      <c r="C171" s="214"/>
      <c r="D171" s="214"/>
      <c r="E171" s="214"/>
      <c r="F171" s="214"/>
      <c r="G171" s="214"/>
      <c r="H171" s="214"/>
      <c r="I171" s="214"/>
      <c r="J171" s="214"/>
      <c r="K171" s="214"/>
      <c r="L171" s="214"/>
      <c r="M171" s="214"/>
      <c r="N171" s="214"/>
      <c r="O171" s="214"/>
    </row>
    <row r="172" spans="1:15" x14ac:dyDescent="0.3">
      <c r="A172" s="214"/>
      <c r="B172" s="214"/>
      <c r="C172" s="214"/>
      <c r="D172" s="214"/>
      <c r="E172" s="214"/>
      <c r="F172" s="214"/>
      <c r="G172" s="214"/>
      <c r="H172" s="214"/>
      <c r="I172" s="214"/>
      <c r="J172" s="214"/>
      <c r="K172" s="214"/>
      <c r="L172" s="214"/>
      <c r="M172" s="214"/>
      <c r="N172" s="214"/>
      <c r="O172" s="214"/>
    </row>
    <row r="173" spans="1:15" x14ac:dyDescent="0.3">
      <c r="A173" s="214"/>
      <c r="B173" s="214"/>
      <c r="C173" s="214"/>
      <c r="D173" s="214"/>
      <c r="E173" s="214"/>
      <c r="F173" s="214"/>
      <c r="G173" s="214"/>
      <c r="H173" s="214"/>
      <c r="I173" s="214"/>
      <c r="J173" s="214"/>
      <c r="K173" s="214"/>
      <c r="L173" s="214"/>
      <c r="M173" s="214"/>
      <c r="N173" s="214"/>
      <c r="O173" s="214"/>
    </row>
    <row r="174" spans="1:15" x14ac:dyDescent="0.3">
      <c r="A174" s="214"/>
      <c r="B174" s="214"/>
      <c r="C174" s="214"/>
      <c r="D174" s="214"/>
      <c r="E174" s="214"/>
      <c r="F174" s="214"/>
      <c r="G174" s="214"/>
      <c r="H174" s="214"/>
      <c r="I174" s="214"/>
      <c r="J174" s="214"/>
      <c r="K174" s="214"/>
      <c r="L174" s="214"/>
      <c r="M174" s="214"/>
      <c r="N174" s="214"/>
      <c r="O174" s="214"/>
    </row>
    <row r="175" spans="1:15" x14ac:dyDescent="0.3">
      <c r="A175" s="214"/>
      <c r="B175" s="214"/>
      <c r="C175" s="214"/>
      <c r="D175" s="214"/>
      <c r="E175" s="214"/>
      <c r="F175" s="214"/>
      <c r="G175" s="214"/>
      <c r="H175" s="214"/>
      <c r="I175" s="214"/>
      <c r="J175" s="214"/>
      <c r="K175" s="214"/>
      <c r="L175" s="214"/>
      <c r="M175" s="214"/>
      <c r="N175" s="214"/>
      <c r="O175" s="214"/>
    </row>
    <row r="176" spans="1:15" x14ac:dyDescent="0.3">
      <c r="A176" s="214"/>
      <c r="B176" s="214"/>
      <c r="C176" s="214"/>
      <c r="D176" s="214"/>
      <c r="E176" s="214"/>
      <c r="F176" s="214"/>
      <c r="G176" s="214"/>
      <c r="H176" s="214"/>
      <c r="I176" s="214"/>
      <c r="J176" s="214"/>
      <c r="K176" s="214"/>
      <c r="L176" s="214"/>
      <c r="M176" s="214"/>
      <c r="N176" s="214"/>
      <c r="O176" s="214"/>
    </row>
    <row r="177" spans="1:15" x14ac:dyDescent="0.3">
      <c r="A177" s="214"/>
      <c r="B177" s="214"/>
      <c r="C177" s="214"/>
      <c r="D177" s="214"/>
      <c r="E177" s="214"/>
      <c r="F177" s="214"/>
      <c r="G177" s="214"/>
      <c r="H177" s="214"/>
      <c r="I177" s="214"/>
      <c r="J177" s="214"/>
      <c r="K177" s="214"/>
      <c r="L177" s="214"/>
      <c r="M177" s="214"/>
      <c r="N177" s="214"/>
      <c r="O177" s="214"/>
    </row>
    <row r="178" spans="1:15" x14ac:dyDescent="0.3">
      <c r="A178" s="214"/>
      <c r="B178" s="214"/>
      <c r="C178" s="214"/>
      <c r="D178" s="214"/>
      <c r="E178" s="214"/>
      <c r="F178" s="214"/>
      <c r="G178" s="214"/>
      <c r="H178" s="214"/>
      <c r="I178" s="214"/>
      <c r="J178" s="214"/>
      <c r="K178" s="214"/>
      <c r="L178" s="214"/>
      <c r="M178" s="214"/>
      <c r="N178" s="214"/>
      <c r="O178" s="214"/>
    </row>
    <row r="179" spans="1:15" x14ac:dyDescent="0.3">
      <c r="A179" s="214"/>
      <c r="B179" s="214"/>
      <c r="C179" s="214"/>
      <c r="D179" s="214"/>
      <c r="E179" s="214"/>
      <c r="F179" s="214"/>
      <c r="G179" s="214"/>
      <c r="H179" s="214"/>
      <c r="I179" s="214"/>
      <c r="J179" s="214"/>
      <c r="K179" s="214"/>
      <c r="L179" s="214"/>
      <c r="M179" s="214"/>
      <c r="N179" s="214"/>
      <c r="O179" s="214"/>
    </row>
    <row r="180" spans="1:15" x14ac:dyDescent="0.3">
      <c r="A180" s="214"/>
      <c r="B180" s="214"/>
      <c r="C180" s="214"/>
      <c r="D180" s="214"/>
      <c r="E180" s="214"/>
      <c r="F180" s="214"/>
      <c r="G180" s="214"/>
      <c r="H180" s="214"/>
      <c r="I180" s="214"/>
      <c r="J180" s="214"/>
      <c r="K180" s="214"/>
      <c r="L180" s="214"/>
      <c r="M180" s="214"/>
      <c r="N180" s="214"/>
      <c r="O180" s="214"/>
    </row>
    <row r="181" spans="1:15" x14ac:dyDescent="0.3">
      <c r="A181" s="214"/>
      <c r="B181" s="214"/>
      <c r="C181" s="214"/>
      <c r="D181" s="214"/>
      <c r="E181" s="214"/>
      <c r="F181" s="214"/>
      <c r="G181" s="214"/>
      <c r="H181" s="214"/>
      <c r="I181" s="214"/>
      <c r="J181" s="214"/>
      <c r="K181" s="214"/>
      <c r="L181" s="214"/>
      <c r="M181" s="214"/>
      <c r="N181" s="214"/>
      <c r="O181" s="214"/>
    </row>
    <row r="182" spans="1:15" x14ac:dyDescent="0.3">
      <c r="A182" s="214"/>
      <c r="B182" s="214"/>
      <c r="C182" s="214"/>
      <c r="D182" s="214"/>
      <c r="E182" s="214"/>
      <c r="F182" s="214"/>
      <c r="G182" s="214"/>
      <c r="H182" s="214"/>
      <c r="I182" s="214"/>
      <c r="J182" s="214"/>
      <c r="K182" s="214"/>
      <c r="L182" s="214"/>
      <c r="M182" s="214"/>
      <c r="N182" s="214"/>
      <c r="O182" s="214"/>
    </row>
    <row r="183" spans="1:15" x14ac:dyDescent="0.3">
      <c r="A183" s="214"/>
      <c r="B183" s="214"/>
      <c r="C183" s="214"/>
      <c r="D183" s="214"/>
      <c r="E183" s="214"/>
      <c r="F183" s="214"/>
      <c r="G183" s="214"/>
      <c r="H183" s="214"/>
      <c r="I183" s="214"/>
      <c r="J183" s="214"/>
      <c r="K183" s="214"/>
      <c r="L183" s="214"/>
      <c r="M183" s="214"/>
      <c r="N183" s="214"/>
      <c r="O183" s="214"/>
    </row>
    <row r="184" spans="1:15" x14ac:dyDescent="0.3">
      <c r="A184" s="214"/>
      <c r="B184" s="214"/>
      <c r="C184" s="214"/>
      <c r="D184" s="214"/>
      <c r="E184" s="214"/>
      <c r="F184" s="214"/>
      <c r="G184" s="214"/>
      <c r="H184" s="214"/>
      <c r="I184" s="214"/>
      <c r="J184" s="214"/>
      <c r="K184" s="214"/>
      <c r="L184" s="214"/>
      <c r="M184" s="214"/>
      <c r="N184" s="214"/>
      <c r="O184" s="214"/>
    </row>
    <row r="185" spans="1:15" x14ac:dyDescent="0.3">
      <c r="A185" s="214"/>
      <c r="B185" s="214"/>
      <c r="C185" s="214"/>
      <c r="D185" s="214"/>
      <c r="E185" s="214"/>
      <c r="F185" s="214"/>
      <c r="G185" s="214"/>
      <c r="H185" s="214"/>
      <c r="I185" s="214"/>
      <c r="J185" s="214"/>
      <c r="K185" s="214"/>
      <c r="L185" s="214"/>
      <c r="M185" s="214"/>
      <c r="N185" s="214"/>
      <c r="O185" s="214"/>
    </row>
    <row r="186" spans="1:15" x14ac:dyDescent="0.3">
      <c r="A186" s="214"/>
      <c r="B186" s="214"/>
      <c r="C186" s="214"/>
      <c r="D186" s="214"/>
      <c r="E186" s="214"/>
      <c r="F186" s="214"/>
      <c r="G186" s="214"/>
      <c r="H186" s="214"/>
      <c r="I186" s="214"/>
      <c r="J186" s="214"/>
      <c r="K186" s="214"/>
      <c r="L186" s="214"/>
      <c r="M186" s="214"/>
      <c r="N186" s="214"/>
      <c r="O186" s="214"/>
    </row>
    <row r="187" spans="1:15" x14ac:dyDescent="0.3">
      <c r="A187" s="214"/>
      <c r="B187" s="214"/>
      <c r="C187" s="214"/>
      <c r="D187" s="214"/>
      <c r="E187" s="214"/>
      <c r="F187" s="214"/>
      <c r="G187" s="214"/>
      <c r="H187" s="214"/>
      <c r="I187" s="214"/>
      <c r="J187" s="214"/>
      <c r="K187" s="214"/>
      <c r="L187" s="214"/>
      <c r="M187" s="214"/>
      <c r="N187" s="214"/>
      <c r="O187" s="214"/>
    </row>
    <row r="188" spans="1:15" x14ac:dyDescent="0.3">
      <c r="A188" s="214"/>
      <c r="B188" s="214"/>
      <c r="C188" s="214"/>
      <c r="D188" s="214"/>
      <c r="E188" s="214"/>
      <c r="F188" s="214"/>
      <c r="G188" s="214"/>
      <c r="H188" s="214"/>
      <c r="I188" s="214"/>
      <c r="J188" s="214"/>
      <c r="K188" s="214"/>
      <c r="L188" s="214"/>
      <c r="M188" s="214"/>
      <c r="N188" s="214"/>
      <c r="O188" s="214"/>
    </row>
    <row r="189" spans="1:15" x14ac:dyDescent="0.3">
      <c r="A189" s="214"/>
      <c r="B189" s="214"/>
      <c r="C189" s="214"/>
      <c r="D189" s="214"/>
      <c r="E189" s="214"/>
      <c r="F189" s="214"/>
      <c r="G189" s="214"/>
      <c r="H189" s="214"/>
      <c r="I189" s="214"/>
      <c r="J189" s="214"/>
      <c r="K189" s="214"/>
      <c r="L189" s="214"/>
      <c r="M189" s="214"/>
      <c r="N189" s="214"/>
      <c r="O189" s="214"/>
    </row>
    <row r="190" spans="1:15" x14ac:dyDescent="0.3">
      <c r="A190" s="214"/>
      <c r="B190" s="214"/>
      <c r="C190" s="214"/>
      <c r="D190" s="214"/>
      <c r="E190" s="214"/>
      <c r="F190" s="214"/>
      <c r="G190" s="214"/>
      <c r="H190" s="214"/>
      <c r="I190" s="214"/>
      <c r="J190" s="214"/>
      <c r="K190" s="214"/>
      <c r="L190" s="214"/>
      <c r="M190" s="214"/>
      <c r="N190" s="214"/>
      <c r="O190" s="214"/>
    </row>
    <row r="191" spans="1:15" x14ac:dyDescent="0.3">
      <c r="A191" s="214"/>
      <c r="B191" s="214"/>
      <c r="C191" s="214"/>
      <c r="D191" s="214"/>
      <c r="E191" s="214"/>
      <c r="F191" s="214"/>
      <c r="G191" s="214"/>
      <c r="H191" s="214"/>
      <c r="I191" s="214"/>
      <c r="J191" s="214"/>
      <c r="K191" s="214"/>
      <c r="L191" s="214"/>
      <c r="M191" s="214"/>
      <c r="N191" s="214"/>
      <c r="O191" s="214"/>
    </row>
    <row r="192" spans="1:15" x14ac:dyDescent="0.3">
      <c r="A192" s="214"/>
      <c r="B192" s="214"/>
      <c r="C192" s="214"/>
      <c r="D192" s="214"/>
      <c r="E192" s="214"/>
      <c r="F192" s="214"/>
      <c r="G192" s="214"/>
      <c r="H192" s="214"/>
      <c r="I192" s="214"/>
      <c r="J192" s="214"/>
      <c r="K192" s="214"/>
      <c r="L192" s="214"/>
      <c r="M192" s="214"/>
      <c r="N192" s="214"/>
      <c r="O192" s="214"/>
    </row>
    <row r="193" spans="1:15" x14ac:dyDescent="0.3">
      <c r="A193" s="214"/>
      <c r="B193" s="214"/>
      <c r="C193" s="214"/>
      <c r="D193" s="214"/>
      <c r="E193" s="214"/>
      <c r="F193" s="214"/>
      <c r="G193" s="214"/>
      <c r="H193" s="214"/>
      <c r="I193" s="214"/>
      <c r="J193" s="214"/>
      <c r="K193" s="214"/>
      <c r="L193" s="214"/>
      <c r="M193" s="214"/>
      <c r="N193" s="214"/>
      <c r="O193" s="214"/>
    </row>
    <row r="194" spans="1:15" x14ac:dyDescent="0.3">
      <c r="A194" s="214"/>
      <c r="B194" s="214"/>
      <c r="C194" s="214"/>
      <c r="D194" s="214"/>
      <c r="E194" s="214"/>
      <c r="F194" s="214"/>
      <c r="G194" s="214"/>
      <c r="H194" s="214"/>
      <c r="I194" s="214"/>
      <c r="J194" s="214"/>
      <c r="K194" s="214"/>
      <c r="L194" s="214"/>
      <c r="M194" s="214"/>
      <c r="N194" s="214"/>
      <c r="O194" s="214"/>
    </row>
    <row r="195" spans="1:15" x14ac:dyDescent="0.3">
      <c r="A195" s="214"/>
      <c r="B195" s="214"/>
      <c r="C195" s="214"/>
      <c r="D195" s="214"/>
      <c r="E195" s="214"/>
      <c r="F195" s="214"/>
      <c r="G195" s="214"/>
      <c r="H195" s="214"/>
      <c r="I195" s="214"/>
      <c r="J195" s="214"/>
      <c r="K195" s="214"/>
      <c r="L195" s="214"/>
      <c r="M195" s="214"/>
      <c r="N195" s="214"/>
      <c r="O195" s="214"/>
    </row>
    <row r="196" spans="1:15" x14ac:dyDescent="0.3">
      <c r="A196" s="214"/>
      <c r="B196" s="214"/>
      <c r="C196" s="214"/>
      <c r="D196" s="214"/>
      <c r="E196" s="214"/>
      <c r="F196" s="214"/>
      <c r="G196" s="214"/>
      <c r="H196" s="214"/>
      <c r="I196" s="214"/>
      <c r="J196" s="214"/>
      <c r="K196" s="214"/>
      <c r="L196" s="214"/>
      <c r="M196" s="214"/>
      <c r="N196" s="214"/>
      <c r="O196" s="214"/>
    </row>
    <row r="197" spans="1:15" x14ac:dyDescent="0.3">
      <c r="A197" s="214"/>
      <c r="B197" s="214"/>
      <c r="C197" s="214"/>
      <c r="D197" s="214"/>
      <c r="E197" s="214"/>
      <c r="F197" s="214"/>
      <c r="G197" s="214"/>
      <c r="H197" s="214"/>
      <c r="I197" s="214"/>
      <c r="J197" s="214"/>
      <c r="K197" s="214"/>
      <c r="L197" s="214"/>
      <c r="M197" s="214"/>
      <c r="N197" s="214"/>
      <c r="O197" s="214"/>
    </row>
    <row r="198" spans="1:15" x14ac:dyDescent="0.3">
      <c r="A198" s="214"/>
      <c r="B198" s="214"/>
      <c r="C198" s="214"/>
      <c r="D198" s="214"/>
      <c r="E198" s="214"/>
      <c r="F198" s="214"/>
      <c r="G198" s="214"/>
      <c r="H198" s="214"/>
      <c r="I198" s="214"/>
      <c r="J198" s="214"/>
      <c r="K198" s="214"/>
      <c r="L198" s="214"/>
      <c r="M198" s="214"/>
      <c r="N198" s="214"/>
      <c r="O198" s="214"/>
    </row>
    <row r="199" spans="1:15" x14ac:dyDescent="0.3">
      <c r="A199" s="214"/>
      <c r="B199" s="214"/>
      <c r="C199" s="214"/>
      <c r="D199" s="214"/>
      <c r="E199" s="214"/>
      <c r="F199" s="214"/>
      <c r="G199" s="214"/>
      <c r="H199" s="214"/>
      <c r="I199" s="214"/>
      <c r="J199" s="214"/>
      <c r="K199" s="214"/>
      <c r="L199" s="214"/>
      <c r="M199" s="214"/>
      <c r="N199" s="214"/>
      <c r="O199" s="214"/>
    </row>
    <row r="200" spans="1:15" x14ac:dyDescent="0.3">
      <c r="A200" s="214"/>
      <c r="B200" s="214"/>
      <c r="C200" s="214"/>
      <c r="D200" s="214"/>
      <c r="E200" s="214"/>
      <c r="F200" s="214"/>
      <c r="G200" s="214"/>
      <c r="H200" s="214"/>
      <c r="I200" s="214"/>
      <c r="J200" s="214"/>
      <c r="K200" s="214"/>
      <c r="L200" s="214"/>
      <c r="M200" s="214"/>
      <c r="N200" s="214"/>
      <c r="O200" s="214"/>
    </row>
    <row r="201" spans="1:15" x14ac:dyDescent="0.3">
      <c r="A201" s="214"/>
      <c r="B201" s="214"/>
      <c r="C201" s="214"/>
      <c r="D201" s="214"/>
      <c r="E201" s="214"/>
      <c r="F201" s="214"/>
      <c r="G201" s="214"/>
      <c r="H201" s="214"/>
      <c r="I201" s="214"/>
      <c r="J201" s="214"/>
      <c r="K201" s="214"/>
      <c r="L201" s="214"/>
      <c r="M201" s="214"/>
      <c r="N201" s="214"/>
      <c r="O201" s="214"/>
    </row>
    <row r="202" spans="1:15" x14ac:dyDescent="0.3">
      <c r="A202" s="214"/>
      <c r="B202" s="214"/>
      <c r="C202" s="214"/>
      <c r="D202" s="214"/>
      <c r="E202" s="214"/>
      <c r="F202" s="214"/>
      <c r="G202" s="214"/>
      <c r="H202" s="214"/>
      <c r="I202" s="214"/>
      <c r="J202" s="214"/>
      <c r="K202" s="214"/>
      <c r="L202" s="214"/>
      <c r="M202" s="214"/>
      <c r="N202" s="214"/>
      <c r="O202" s="214"/>
    </row>
    <row r="203" spans="1:15" x14ac:dyDescent="0.3">
      <c r="A203" s="214"/>
      <c r="B203" s="214"/>
      <c r="C203" s="214"/>
      <c r="D203" s="214"/>
      <c r="E203" s="214"/>
      <c r="F203" s="214"/>
      <c r="G203" s="214"/>
      <c r="H203" s="214"/>
      <c r="I203" s="214"/>
      <c r="J203" s="214"/>
      <c r="K203" s="214"/>
      <c r="L203" s="214"/>
      <c r="M203" s="214"/>
      <c r="N203" s="214"/>
      <c r="O203" s="214"/>
    </row>
    <row r="204" spans="1:15" x14ac:dyDescent="0.3">
      <c r="A204" s="214"/>
      <c r="B204" s="214"/>
      <c r="C204" s="214"/>
      <c r="D204" s="214"/>
      <c r="E204" s="214"/>
      <c r="F204" s="214"/>
      <c r="G204" s="214"/>
      <c r="H204" s="214"/>
      <c r="I204" s="214"/>
      <c r="J204" s="214"/>
      <c r="K204" s="214"/>
      <c r="L204" s="214"/>
      <c r="M204" s="214"/>
      <c r="N204" s="214"/>
      <c r="O204" s="214"/>
    </row>
  </sheetData>
  <mergeCells count="1">
    <mergeCell ref="A2:O2"/>
  </mergeCells>
  <dataValidations count="4">
    <dataValidation type="list" allowBlank="1" sqref="C5:D204" xr:uid="{00000000-0002-0000-0300-000000000000}">
      <formula1>"CL,RE,EC,-"</formula1>
    </dataValidation>
    <dataValidation type="list" allowBlank="1" sqref="E5:F204" xr:uid="{00000000-0002-0000-0300-000002000000}">
      <formula1>"45,60,75,90,-"</formula1>
    </dataValidation>
    <dataValidation type="list" allowBlank="1" sqref="M5:N204 G5:J204" xr:uid="{00000000-0002-0000-0300-000004000000}">
      <formula1>"Y,N,-"</formula1>
    </dataValidation>
    <dataValidation type="list" allowBlank="1" sqref="K5:K204" xr:uid="{00000000-0002-0000-0300-000008000000}">
      <formula1>"1,2,-"</formula1>
    </dataValidation>
  </dataValidations>
  <pageMargins left="0.75" right="0.75" top="1" bottom="1" header="0.5" footer="0.5"/>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J204"/>
  <sheetViews>
    <sheetView showGridLines="0" workbookViewId="0">
      <pane ySplit="4" topLeftCell="A5" activePane="bottomLeft" state="frozen"/>
      <selection pane="bottomLeft"/>
    </sheetView>
  </sheetViews>
  <sheetFormatPr defaultRowHeight="14.4" x14ac:dyDescent="0.3"/>
  <cols>
    <col min="1" max="2" width="10" customWidth="1"/>
    <col min="3" max="3" width="17" customWidth="1"/>
    <col min="4" max="4" width="19" customWidth="1"/>
    <col min="5" max="5" width="17" customWidth="1"/>
    <col min="6" max="6" width="15" customWidth="1"/>
    <col min="7" max="9" width="12" customWidth="1"/>
    <col min="10" max="10" width="40" customWidth="1"/>
  </cols>
  <sheetData>
    <row r="1" spans="1:10" ht="15.6" x14ac:dyDescent="0.3">
      <c r="A1" s="212" t="s">
        <v>204</v>
      </c>
    </row>
    <row r="2" spans="1:10" ht="30" customHeight="1" x14ac:dyDescent="0.3">
      <c r="A2" s="234" t="s">
        <v>205</v>
      </c>
      <c r="B2" s="233"/>
      <c r="C2" s="233"/>
      <c r="D2" s="233"/>
      <c r="E2" s="233"/>
      <c r="F2" s="233"/>
      <c r="G2" s="233"/>
      <c r="H2" s="233"/>
      <c r="I2" s="233"/>
      <c r="J2" s="233"/>
    </row>
    <row r="4" spans="1:10" ht="30" customHeight="1" x14ac:dyDescent="0.3">
      <c r="A4" s="213" t="s">
        <v>180</v>
      </c>
      <c r="B4" s="213" t="s">
        <v>181</v>
      </c>
      <c r="C4" s="213" t="s">
        <v>206</v>
      </c>
      <c r="D4" s="213" t="s">
        <v>207</v>
      </c>
      <c r="E4" s="213" t="s">
        <v>208</v>
      </c>
      <c r="F4" s="213" t="s">
        <v>209</v>
      </c>
      <c r="G4" s="213" t="s">
        <v>210</v>
      </c>
      <c r="H4" s="213" t="s">
        <v>211</v>
      </c>
      <c r="I4" s="213" t="s">
        <v>212</v>
      </c>
      <c r="J4" s="213" t="s">
        <v>189</v>
      </c>
    </row>
    <row r="5" spans="1:10" x14ac:dyDescent="0.3">
      <c r="A5" s="214"/>
      <c r="B5" s="214"/>
      <c r="C5" s="214"/>
      <c r="D5" s="214"/>
      <c r="E5" s="214"/>
      <c r="F5" s="214"/>
      <c r="G5" s="214"/>
      <c r="H5" s="214"/>
      <c r="I5" s="214"/>
      <c r="J5" s="214"/>
    </row>
    <row r="6" spans="1:10" x14ac:dyDescent="0.3">
      <c r="A6" s="214"/>
      <c r="B6" s="214"/>
      <c r="C6" s="214"/>
      <c r="D6" s="214"/>
      <c r="E6" s="214"/>
      <c r="F6" s="214"/>
      <c r="G6" s="214"/>
      <c r="H6" s="214"/>
      <c r="I6" s="214"/>
      <c r="J6" s="214"/>
    </row>
    <row r="7" spans="1:10" x14ac:dyDescent="0.3">
      <c r="A7" s="214"/>
      <c r="B7" s="214"/>
      <c r="C7" s="214"/>
      <c r="D7" s="214"/>
      <c r="E7" s="214"/>
      <c r="F7" s="214"/>
      <c r="G7" s="214"/>
      <c r="H7" s="214"/>
      <c r="I7" s="214"/>
      <c r="J7" s="214"/>
    </row>
    <row r="8" spans="1:10" x14ac:dyDescent="0.3">
      <c r="A8" s="214"/>
      <c r="B8" s="214"/>
      <c r="C8" s="214"/>
      <c r="D8" s="214"/>
      <c r="E8" s="214"/>
      <c r="F8" s="214"/>
      <c r="G8" s="214"/>
      <c r="H8" s="214"/>
      <c r="I8" s="214"/>
      <c r="J8" s="214"/>
    </row>
    <row r="9" spans="1:10" x14ac:dyDescent="0.3">
      <c r="A9" s="214"/>
      <c r="B9" s="214"/>
      <c r="C9" s="214"/>
      <c r="D9" s="214"/>
      <c r="E9" s="214"/>
      <c r="F9" s="214"/>
      <c r="G9" s="214"/>
      <c r="H9" s="214"/>
      <c r="I9" s="214"/>
      <c r="J9" s="214"/>
    </row>
    <row r="10" spans="1:10" x14ac:dyDescent="0.3">
      <c r="A10" s="214"/>
      <c r="B10" s="214"/>
      <c r="C10" s="214"/>
      <c r="D10" s="214"/>
      <c r="E10" s="214"/>
      <c r="F10" s="214"/>
      <c r="G10" s="214"/>
      <c r="H10" s="214"/>
      <c r="I10" s="214"/>
      <c r="J10" s="214"/>
    </row>
    <row r="11" spans="1:10" x14ac:dyDescent="0.3">
      <c r="A11" s="214"/>
      <c r="B11" s="214"/>
      <c r="C11" s="214"/>
      <c r="D11" s="214"/>
      <c r="E11" s="214"/>
      <c r="F11" s="214"/>
      <c r="G11" s="214"/>
      <c r="H11" s="214"/>
      <c r="I11" s="214"/>
      <c r="J11" s="214"/>
    </row>
    <row r="12" spans="1:10" x14ac:dyDescent="0.3">
      <c r="A12" s="214"/>
      <c r="B12" s="214"/>
      <c r="C12" s="214"/>
      <c r="D12" s="214"/>
      <c r="E12" s="214"/>
      <c r="F12" s="214"/>
      <c r="G12" s="214"/>
      <c r="H12" s="214"/>
      <c r="I12" s="214"/>
      <c r="J12" s="214"/>
    </row>
    <row r="13" spans="1:10" x14ac:dyDescent="0.3">
      <c r="A13" s="214"/>
      <c r="B13" s="214"/>
      <c r="C13" s="214"/>
      <c r="D13" s="214"/>
      <c r="E13" s="214"/>
      <c r="F13" s="214"/>
      <c r="G13" s="214"/>
      <c r="H13" s="214"/>
      <c r="I13" s="214"/>
      <c r="J13" s="214"/>
    </row>
    <row r="14" spans="1:10" x14ac:dyDescent="0.3">
      <c r="A14" s="214"/>
      <c r="B14" s="214"/>
      <c r="C14" s="214"/>
      <c r="D14" s="214"/>
      <c r="E14" s="214"/>
      <c r="F14" s="214"/>
      <c r="G14" s="214"/>
      <c r="H14" s="214"/>
      <c r="I14" s="214"/>
      <c r="J14" s="214"/>
    </row>
    <row r="15" spans="1:10" x14ac:dyDescent="0.3">
      <c r="A15" s="214"/>
      <c r="B15" s="214"/>
      <c r="C15" s="214"/>
      <c r="D15" s="214"/>
      <c r="E15" s="214"/>
      <c r="F15" s="214"/>
      <c r="G15" s="214"/>
      <c r="H15" s="214"/>
      <c r="I15" s="214"/>
      <c r="J15" s="214"/>
    </row>
    <row r="16" spans="1:10" x14ac:dyDescent="0.3">
      <c r="A16" s="214"/>
      <c r="B16" s="214"/>
      <c r="C16" s="214"/>
      <c r="D16" s="214"/>
      <c r="E16" s="214"/>
      <c r="F16" s="214"/>
      <c r="G16" s="214"/>
      <c r="H16" s="214"/>
      <c r="I16" s="214"/>
      <c r="J16" s="214"/>
    </row>
    <row r="17" spans="1:10" x14ac:dyDescent="0.3">
      <c r="A17" s="214"/>
      <c r="B17" s="214"/>
      <c r="C17" s="214"/>
      <c r="D17" s="214"/>
      <c r="E17" s="214"/>
      <c r="F17" s="214"/>
      <c r="G17" s="214"/>
      <c r="H17" s="214"/>
      <c r="I17" s="214"/>
      <c r="J17" s="214"/>
    </row>
    <row r="18" spans="1:10" x14ac:dyDescent="0.3">
      <c r="A18" s="214"/>
      <c r="B18" s="214"/>
      <c r="C18" s="214"/>
      <c r="D18" s="214"/>
      <c r="E18" s="214"/>
      <c r="F18" s="214"/>
      <c r="G18" s="214"/>
      <c r="H18" s="214"/>
      <c r="I18" s="214"/>
      <c r="J18" s="214"/>
    </row>
    <row r="19" spans="1:10" x14ac:dyDescent="0.3">
      <c r="A19" s="214"/>
      <c r="B19" s="214"/>
      <c r="C19" s="214"/>
      <c r="D19" s="214"/>
      <c r="E19" s="214"/>
      <c r="F19" s="214"/>
      <c r="G19" s="214"/>
      <c r="H19" s="214"/>
      <c r="I19" s="214"/>
      <c r="J19" s="214"/>
    </row>
    <row r="20" spans="1:10" x14ac:dyDescent="0.3">
      <c r="A20" s="214"/>
      <c r="B20" s="214"/>
      <c r="C20" s="214"/>
      <c r="D20" s="214"/>
      <c r="E20" s="214"/>
      <c r="F20" s="214"/>
      <c r="G20" s="214"/>
      <c r="H20" s="214"/>
      <c r="I20" s="214"/>
      <c r="J20" s="214"/>
    </row>
    <row r="21" spans="1:10" x14ac:dyDescent="0.3">
      <c r="A21" s="214"/>
      <c r="B21" s="214"/>
      <c r="C21" s="214"/>
      <c r="D21" s="214"/>
      <c r="E21" s="214"/>
      <c r="F21" s="214"/>
      <c r="G21" s="214"/>
      <c r="H21" s="214"/>
      <c r="I21" s="214"/>
      <c r="J21" s="214"/>
    </row>
    <row r="22" spans="1:10" x14ac:dyDescent="0.3">
      <c r="A22" s="214"/>
      <c r="B22" s="214"/>
      <c r="C22" s="214"/>
      <c r="D22" s="214"/>
      <c r="E22" s="214"/>
      <c r="F22" s="214"/>
      <c r="G22" s="214"/>
      <c r="H22" s="214"/>
      <c r="I22" s="214"/>
      <c r="J22" s="214"/>
    </row>
    <row r="23" spans="1:10" x14ac:dyDescent="0.3">
      <c r="A23" s="214"/>
      <c r="B23" s="214"/>
      <c r="C23" s="214"/>
      <c r="D23" s="214"/>
      <c r="E23" s="214"/>
      <c r="F23" s="214"/>
      <c r="G23" s="214"/>
      <c r="H23" s="214"/>
      <c r="I23" s="214"/>
      <c r="J23" s="214"/>
    </row>
    <row r="24" spans="1:10" x14ac:dyDescent="0.3">
      <c r="A24" s="214"/>
      <c r="B24" s="214"/>
      <c r="C24" s="214"/>
      <c r="D24" s="214"/>
      <c r="E24" s="214"/>
      <c r="F24" s="214"/>
      <c r="G24" s="214"/>
      <c r="H24" s="214"/>
      <c r="I24" s="214"/>
      <c r="J24" s="214"/>
    </row>
    <row r="25" spans="1:10" x14ac:dyDescent="0.3">
      <c r="A25" s="214"/>
      <c r="B25" s="214"/>
      <c r="C25" s="214"/>
      <c r="D25" s="214"/>
      <c r="E25" s="214"/>
      <c r="F25" s="214"/>
      <c r="G25" s="214"/>
      <c r="H25" s="214"/>
      <c r="I25" s="214"/>
      <c r="J25" s="214"/>
    </row>
    <row r="26" spans="1:10" x14ac:dyDescent="0.3">
      <c r="A26" s="214"/>
      <c r="B26" s="214"/>
      <c r="C26" s="214"/>
      <c r="D26" s="214"/>
      <c r="E26" s="214"/>
      <c r="F26" s="214"/>
      <c r="G26" s="214"/>
      <c r="H26" s="214"/>
      <c r="I26" s="214"/>
      <c r="J26" s="214"/>
    </row>
    <row r="27" spans="1:10" x14ac:dyDescent="0.3">
      <c r="A27" s="214"/>
      <c r="B27" s="214"/>
      <c r="C27" s="214"/>
      <c r="D27" s="214"/>
      <c r="E27" s="214"/>
      <c r="F27" s="214"/>
      <c r="G27" s="214"/>
      <c r="H27" s="214"/>
      <c r="I27" s="214"/>
      <c r="J27" s="214"/>
    </row>
    <row r="28" spans="1:10" x14ac:dyDescent="0.3">
      <c r="A28" s="214"/>
      <c r="B28" s="214"/>
      <c r="C28" s="214"/>
      <c r="D28" s="214"/>
      <c r="E28" s="214"/>
      <c r="F28" s="214"/>
      <c r="G28" s="214"/>
      <c r="H28" s="214"/>
      <c r="I28" s="214"/>
      <c r="J28" s="214"/>
    </row>
    <row r="29" spans="1:10" x14ac:dyDescent="0.3">
      <c r="A29" s="214"/>
      <c r="B29" s="214"/>
      <c r="C29" s="214"/>
      <c r="D29" s="214"/>
      <c r="E29" s="214"/>
      <c r="F29" s="214"/>
      <c r="G29" s="214"/>
      <c r="H29" s="214"/>
      <c r="I29" s="214"/>
      <c r="J29" s="214"/>
    </row>
    <row r="30" spans="1:10" x14ac:dyDescent="0.3">
      <c r="A30" s="214"/>
      <c r="B30" s="214"/>
      <c r="C30" s="214"/>
      <c r="D30" s="214"/>
      <c r="E30" s="214"/>
      <c r="F30" s="214"/>
      <c r="G30" s="214"/>
      <c r="H30" s="214"/>
      <c r="I30" s="214"/>
      <c r="J30" s="214"/>
    </row>
    <row r="31" spans="1:10" x14ac:dyDescent="0.3">
      <c r="A31" s="214"/>
      <c r="B31" s="214"/>
      <c r="C31" s="214"/>
      <c r="D31" s="214"/>
      <c r="E31" s="214"/>
      <c r="F31" s="214"/>
      <c r="G31" s="214"/>
      <c r="H31" s="214"/>
      <c r="I31" s="214"/>
      <c r="J31" s="214"/>
    </row>
    <row r="32" spans="1:10" x14ac:dyDescent="0.3">
      <c r="A32" s="214"/>
      <c r="B32" s="214"/>
      <c r="C32" s="214"/>
      <c r="D32" s="214"/>
      <c r="E32" s="214"/>
      <c r="F32" s="214"/>
      <c r="G32" s="214"/>
      <c r="H32" s="214"/>
      <c r="I32" s="214"/>
      <c r="J32" s="214"/>
    </row>
    <row r="33" spans="1:10" x14ac:dyDescent="0.3">
      <c r="A33" s="214"/>
      <c r="B33" s="214"/>
      <c r="C33" s="214"/>
      <c r="D33" s="214"/>
      <c r="E33" s="214"/>
      <c r="F33" s="214"/>
      <c r="G33" s="214"/>
      <c r="H33" s="214"/>
      <c r="I33" s="214"/>
      <c r="J33" s="214"/>
    </row>
    <row r="34" spans="1:10" x14ac:dyDescent="0.3">
      <c r="A34" s="214"/>
      <c r="B34" s="214"/>
      <c r="C34" s="214"/>
      <c r="D34" s="214"/>
      <c r="E34" s="214"/>
      <c r="F34" s="214"/>
      <c r="G34" s="214"/>
      <c r="H34" s="214"/>
      <c r="I34" s="214"/>
      <c r="J34" s="214"/>
    </row>
    <row r="35" spans="1:10" x14ac:dyDescent="0.3">
      <c r="A35" s="214"/>
      <c r="B35" s="214"/>
      <c r="C35" s="214"/>
      <c r="D35" s="214"/>
      <c r="E35" s="214"/>
      <c r="F35" s="214"/>
      <c r="G35" s="214"/>
      <c r="H35" s="214"/>
      <c r="I35" s="214"/>
      <c r="J35" s="214"/>
    </row>
    <row r="36" spans="1:10" x14ac:dyDescent="0.3">
      <c r="A36" s="214"/>
      <c r="B36" s="214"/>
      <c r="C36" s="214"/>
      <c r="D36" s="214"/>
      <c r="E36" s="214"/>
      <c r="F36" s="214"/>
      <c r="G36" s="214"/>
      <c r="H36" s="214"/>
      <c r="I36" s="214"/>
      <c r="J36" s="214"/>
    </row>
    <row r="37" spans="1:10" x14ac:dyDescent="0.3">
      <c r="A37" s="214"/>
      <c r="B37" s="214"/>
      <c r="C37" s="214"/>
      <c r="D37" s="214"/>
      <c r="E37" s="214"/>
      <c r="F37" s="214"/>
      <c r="G37" s="214"/>
      <c r="H37" s="214"/>
      <c r="I37" s="214"/>
      <c r="J37" s="214"/>
    </row>
    <row r="38" spans="1:10" x14ac:dyDescent="0.3">
      <c r="A38" s="214"/>
      <c r="B38" s="214"/>
      <c r="C38" s="214"/>
      <c r="D38" s="214"/>
      <c r="E38" s="214"/>
      <c r="F38" s="214"/>
      <c r="G38" s="214"/>
      <c r="H38" s="214"/>
      <c r="I38" s="214"/>
      <c r="J38" s="214"/>
    </row>
    <row r="39" spans="1:10" x14ac:dyDescent="0.3">
      <c r="A39" s="214"/>
      <c r="B39" s="214"/>
      <c r="C39" s="214"/>
      <c r="D39" s="214"/>
      <c r="E39" s="214"/>
      <c r="F39" s="214"/>
      <c r="G39" s="214"/>
      <c r="H39" s="214"/>
      <c r="I39" s="214"/>
      <c r="J39" s="214"/>
    </row>
    <row r="40" spans="1:10" x14ac:dyDescent="0.3">
      <c r="A40" s="214"/>
      <c r="B40" s="214"/>
      <c r="C40" s="214"/>
      <c r="D40" s="214"/>
      <c r="E40" s="214"/>
      <c r="F40" s="214"/>
      <c r="G40" s="214"/>
      <c r="H40" s="214"/>
      <c r="I40" s="214"/>
      <c r="J40" s="214"/>
    </row>
    <row r="41" spans="1:10" x14ac:dyDescent="0.3">
      <c r="A41" s="214"/>
      <c r="B41" s="214"/>
      <c r="C41" s="214"/>
      <c r="D41" s="214"/>
      <c r="E41" s="214"/>
      <c r="F41" s="214"/>
      <c r="G41" s="214"/>
      <c r="H41" s="214"/>
      <c r="I41" s="214"/>
      <c r="J41" s="214"/>
    </row>
    <row r="42" spans="1:10" x14ac:dyDescent="0.3">
      <c r="A42" s="214"/>
      <c r="B42" s="214"/>
      <c r="C42" s="214"/>
      <c r="D42" s="214"/>
      <c r="E42" s="214"/>
      <c r="F42" s="214"/>
      <c r="G42" s="214"/>
      <c r="H42" s="214"/>
      <c r="I42" s="214"/>
      <c r="J42" s="214"/>
    </row>
    <row r="43" spans="1:10" x14ac:dyDescent="0.3">
      <c r="A43" s="214"/>
      <c r="B43" s="214"/>
      <c r="C43" s="214"/>
      <c r="D43" s="214"/>
      <c r="E43" s="214"/>
      <c r="F43" s="214"/>
      <c r="G43" s="214"/>
      <c r="H43" s="214"/>
      <c r="I43" s="214"/>
      <c r="J43" s="214"/>
    </row>
    <row r="44" spans="1:10" x14ac:dyDescent="0.3">
      <c r="A44" s="214"/>
      <c r="B44" s="214"/>
      <c r="C44" s="214"/>
      <c r="D44" s="214"/>
      <c r="E44" s="214"/>
      <c r="F44" s="214"/>
      <c r="G44" s="214"/>
      <c r="H44" s="214"/>
      <c r="I44" s="214"/>
      <c r="J44" s="214"/>
    </row>
    <row r="45" spans="1:10" x14ac:dyDescent="0.3">
      <c r="A45" s="214"/>
      <c r="B45" s="214"/>
      <c r="C45" s="214"/>
      <c r="D45" s="214"/>
      <c r="E45" s="214"/>
      <c r="F45" s="214"/>
      <c r="G45" s="214"/>
      <c r="H45" s="214"/>
      <c r="I45" s="214"/>
      <c r="J45" s="214"/>
    </row>
    <row r="46" spans="1:10" x14ac:dyDescent="0.3">
      <c r="A46" s="214"/>
      <c r="B46" s="214"/>
      <c r="C46" s="214"/>
      <c r="D46" s="214"/>
      <c r="E46" s="214"/>
      <c r="F46" s="214"/>
      <c r="G46" s="214"/>
      <c r="H46" s="214"/>
      <c r="I46" s="214"/>
      <c r="J46" s="214"/>
    </row>
    <row r="47" spans="1:10" x14ac:dyDescent="0.3">
      <c r="A47" s="214"/>
      <c r="B47" s="214"/>
      <c r="C47" s="214"/>
      <c r="D47" s="214"/>
      <c r="E47" s="214"/>
      <c r="F47" s="214"/>
      <c r="G47" s="214"/>
      <c r="H47" s="214"/>
      <c r="I47" s="214"/>
      <c r="J47" s="214"/>
    </row>
    <row r="48" spans="1:10" x14ac:dyDescent="0.3">
      <c r="A48" s="214"/>
      <c r="B48" s="214"/>
      <c r="C48" s="214"/>
      <c r="D48" s="214"/>
      <c r="E48" s="214"/>
      <c r="F48" s="214"/>
      <c r="G48" s="214"/>
      <c r="H48" s="214"/>
      <c r="I48" s="214"/>
      <c r="J48" s="214"/>
    </row>
    <row r="49" spans="1:10" x14ac:dyDescent="0.3">
      <c r="A49" s="214"/>
      <c r="B49" s="214"/>
      <c r="C49" s="214"/>
      <c r="D49" s="214"/>
      <c r="E49" s="214"/>
      <c r="F49" s="214"/>
      <c r="G49" s="214"/>
      <c r="H49" s="214"/>
      <c r="I49" s="214"/>
      <c r="J49" s="214"/>
    </row>
    <row r="50" spans="1:10" x14ac:dyDescent="0.3">
      <c r="A50" s="214"/>
      <c r="B50" s="214"/>
      <c r="C50" s="214"/>
      <c r="D50" s="214"/>
      <c r="E50" s="214"/>
      <c r="F50" s="214"/>
      <c r="G50" s="214"/>
      <c r="H50" s="214"/>
      <c r="I50" s="214"/>
      <c r="J50" s="214"/>
    </row>
    <row r="51" spans="1:10" x14ac:dyDescent="0.3">
      <c r="A51" s="214"/>
      <c r="B51" s="214"/>
      <c r="C51" s="214"/>
      <c r="D51" s="214"/>
      <c r="E51" s="214"/>
      <c r="F51" s="214"/>
      <c r="G51" s="214"/>
      <c r="H51" s="214"/>
      <c r="I51" s="214"/>
      <c r="J51" s="214"/>
    </row>
    <row r="52" spans="1:10" x14ac:dyDescent="0.3">
      <c r="A52" s="214"/>
      <c r="B52" s="214"/>
      <c r="C52" s="214"/>
      <c r="D52" s="214"/>
      <c r="E52" s="214"/>
      <c r="F52" s="214"/>
      <c r="G52" s="214"/>
      <c r="H52" s="214"/>
      <c r="I52" s="214"/>
      <c r="J52" s="214"/>
    </row>
    <row r="53" spans="1:10" x14ac:dyDescent="0.3">
      <c r="A53" s="214"/>
      <c r="B53" s="214"/>
      <c r="C53" s="214"/>
      <c r="D53" s="214"/>
      <c r="E53" s="214"/>
      <c r="F53" s="214"/>
      <c r="G53" s="214"/>
      <c r="H53" s="214"/>
      <c r="I53" s="214"/>
      <c r="J53" s="214"/>
    </row>
    <row r="54" spans="1:10" x14ac:dyDescent="0.3">
      <c r="A54" s="214"/>
      <c r="B54" s="214"/>
      <c r="C54" s="214"/>
      <c r="D54" s="214"/>
      <c r="E54" s="214"/>
      <c r="F54" s="214"/>
      <c r="G54" s="214"/>
      <c r="H54" s="214"/>
      <c r="I54" s="214"/>
      <c r="J54" s="214"/>
    </row>
    <row r="55" spans="1:10" x14ac:dyDescent="0.3">
      <c r="A55" s="214"/>
      <c r="B55" s="214"/>
      <c r="C55" s="214"/>
      <c r="D55" s="214"/>
      <c r="E55" s="214"/>
      <c r="F55" s="214"/>
      <c r="G55" s="214"/>
      <c r="H55" s="214"/>
      <c r="I55" s="214"/>
      <c r="J55" s="214"/>
    </row>
    <row r="56" spans="1:10" x14ac:dyDescent="0.3">
      <c r="A56" s="214"/>
      <c r="B56" s="214"/>
      <c r="C56" s="214"/>
      <c r="D56" s="214"/>
      <c r="E56" s="214"/>
      <c r="F56" s="214"/>
      <c r="G56" s="214"/>
      <c r="H56" s="214"/>
      <c r="I56" s="214"/>
      <c r="J56" s="214"/>
    </row>
    <row r="57" spans="1:10" x14ac:dyDescent="0.3">
      <c r="A57" s="214"/>
      <c r="B57" s="214"/>
      <c r="C57" s="214"/>
      <c r="D57" s="214"/>
      <c r="E57" s="214"/>
      <c r="F57" s="214"/>
      <c r="G57" s="214"/>
      <c r="H57" s="214"/>
      <c r="I57" s="214"/>
      <c r="J57" s="214"/>
    </row>
    <row r="58" spans="1:10" x14ac:dyDescent="0.3">
      <c r="A58" s="214"/>
      <c r="B58" s="214"/>
      <c r="C58" s="214"/>
      <c r="D58" s="214"/>
      <c r="E58" s="214"/>
      <c r="F58" s="214"/>
      <c r="G58" s="214"/>
      <c r="H58" s="214"/>
      <c r="I58" s="214"/>
      <c r="J58" s="214"/>
    </row>
    <row r="59" spans="1:10" x14ac:dyDescent="0.3">
      <c r="A59" s="214"/>
      <c r="B59" s="214"/>
      <c r="C59" s="214"/>
      <c r="D59" s="214"/>
      <c r="E59" s="214"/>
      <c r="F59" s="214"/>
      <c r="G59" s="214"/>
      <c r="H59" s="214"/>
      <c r="I59" s="214"/>
      <c r="J59" s="214"/>
    </row>
    <row r="60" spans="1:10" x14ac:dyDescent="0.3">
      <c r="A60" s="214"/>
      <c r="B60" s="214"/>
      <c r="C60" s="214"/>
      <c r="D60" s="214"/>
      <c r="E60" s="214"/>
      <c r="F60" s="214"/>
      <c r="G60" s="214"/>
      <c r="H60" s="214"/>
      <c r="I60" s="214"/>
      <c r="J60" s="214"/>
    </row>
    <row r="61" spans="1:10" x14ac:dyDescent="0.3">
      <c r="A61" s="214"/>
      <c r="B61" s="214"/>
      <c r="C61" s="214"/>
      <c r="D61" s="214"/>
      <c r="E61" s="214"/>
      <c r="F61" s="214"/>
      <c r="G61" s="214"/>
      <c r="H61" s="214"/>
      <c r="I61" s="214"/>
      <c r="J61" s="214"/>
    </row>
    <row r="62" spans="1:10" x14ac:dyDescent="0.3">
      <c r="A62" s="214"/>
      <c r="B62" s="214"/>
      <c r="C62" s="214"/>
      <c r="D62" s="214"/>
      <c r="E62" s="214"/>
      <c r="F62" s="214"/>
      <c r="G62" s="214"/>
      <c r="H62" s="214"/>
      <c r="I62" s="214"/>
      <c r="J62" s="214"/>
    </row>
    <row r="63" spans="1:10" x14ac:dyDescent="0.3">
      <c r="A63" s="214"/>
      <c r="B63" s="214"/>
      <c r="C63" s="214"/>
      <c r="D63" s="214"/>
      <c r="E63" s="214"/>
      <c r="F63" s="214"/>
      <c r="G63" s="214"/>
      <c r="H63" s="214"/>
      <c r="I63" s="214"/>
      <c r="J63" s="214"/>
    </row>
    <row r="64" spans="1:10" x14ac:dyDescent="0.3">
      <c r="A64" s="214"/>
      <c r="B64" s="214"/>
      <c r="C64" s="214"/>
      <c r="D64" s="214"/>
      <c r="E64" s="214"/>
      <c r="F64" s="214"/>
      <c r="G64" s="214"/>
      <c r="H64" s="214"/>
      <c r="I64" s="214"/>
      <c r="J64" s="214"/>
    </row>
    <row r="65" spans="1:10" x14ac:dyDescent="0.3">
      <c r="A65" s="214"/>
      <c r="B65" s="214"/>
      <c r="C65" s="214"/>
      <c r="D65" s="214"/>
      <c r="E65" s="214"/>
      <c r="F65" s="214"/>
      <c r="G65" s="214"/>
      <c r="H65" s="214"/>
      <c r="I65" s="214"/>
      <c r="J65" s="214"/>
    </row>
    <row r="66" spans="1:10" x14ac:dyDescent="0.3">
      <c r="A66" s="214"/>
      <c r="B66" s="214"/>
      <c r="C66" s="214"/>
      <c r="D66" s="214"/>
      <c r="E66" s="214"/>
      <c r="F66" s="214"/>
      <c r="G66" s="214"/>
      <c r="H66" s="214"/>
      <c r="I66" s="214"/>
      <c r="J66" s="214"/>
    </row>
    <row r="67" spans="1:10" x14ac:dyDescent="0.3">
      <c r="A67" s="214"/>
      <c r="B67" s="214"/>
      <c r="C67" s="214"/>
      <c r="D67" s="214"/>
      <c r="E67" s="214"/>
      <c r="F67" s="214"/>
      <c r="G67" s="214"/>
      <c r="H67" s="214"/>
      <c r="I67" s="214"/>
      <c r="J67" s="214"/>
    </row>
    <row r="68" spans="1:10" x14ac:dyDescent="0.3">
      <c r="A68" s="214"/>
      <c r="B68" s="214"/>
      <c r="C68" s="214"/>
      <c r="D68" s="214"/>
      <c r="E68" s="214"/>
      <c r="F68" s="214"/>
      <c r="G68" s="214"/>
      <c r="H68" s="214"/>
      <c r="I68" s="214"/>
      <c r="J68" s="214"/>
    </row>
    <row r="69" spans="1:10" x14ac:dyDescent="0.3">
      <c r="A69" s="214"/>
      <c r="B69" s="214"/>
      <c r="C69" s="214"/>
      <c r="D69" s="214"/>
      <c r="E69" s="214"/>
      <c r="F69" s="214"/>
      <c r="G69" s="214"/>
      <c r="H69" s="214"/>
      <c r="I69" s="214"/>
      <c r="J69" s="214"/>
    </row>
    <row r="70" spans="1:10" x14ac:dyDescent="0.3">
      <c r="A70" s="214"/>
      <c r="B70" s="214"/>
      <c r="C70" s="214"/>
      <c r="D70" s="214"/>
      <c r="E70" s="214"/>
      <c r="F70" s="214"/>
      <c r="G70" s="214"/>
      <c r="H70" s="214"/>
      <c r="I70" s="214"/>
      <c r="J70" s="214"/>
    </row>
    <row r="71" spans="1:10" x14ac:dyDescent="0.3">
      <c r="A71" s="214"/>
      <c r="B71" s="214"/>
      <c r="C71" s="214"/>
      <c r="D71" s="214"/>
      <c r="E71" s="214"/>
      <c r="F71" s="214"/>
      <c r="G71" s="214"/>
      <c r="H71" s="214"/>
      <c r="I71" s="214"/>
      <c r="J71" s="214"/>
    </row>
    <row r="72" spans="1:10" x14ac:dyDescent="0.3">
      <c r="A72" s="214"/>
      <c r="B72" s="214"/>
      <c r="C72" s="214"/>
      <c r="D72" s="214"/>
      <c r="E72" s="214"/>
      <c r="F72" s="214"/>
      <c r="G72" s="214"/>
      <c r="H72" s="214"/>
      <c r="I72" s="214"/>
      <c r="J72" s="214"/>
    </row>
    <row r="73" spans="1:10" x14ac:dyDescent="0.3">
      <c r="A73" s="214"/>
      <c r="B73" s="214"/>
      <c r="C73" s="214"/>
      <c r="D73" s="214"/>
      <c r="E73" s="214"/>
      <c r="F73" s="214"/>
      <c r="G73" s="214"/>
      <c r="H73" s="214"/>
      <c r="I73" s="214"/>
      <c r="J73" s="214"/>
    </row>
    <row r="74" spans="1:10" x14ac:dyDescent="0.3">
      <c r="A74" s="214"/>
      <c r="B74" s="214"/>
      <c r="C74" s="214"/>
      <c r="D74" s="214"/>
      <c r="E74" s="214"/>
      <c r="F74" s="214"/>
      <c r="G74" s="214"/>
      <c r="H74" s="214"/>
      <c r="I74" s="214"/>
      <c r="J74" s="214"/>
    </row>
    <row r="75" spans="1:10" x14ac:dyDescent="0.3">
      <c r="A75" s="214"/>
      <c r="B75" s="214"/>
      <c r="C75" s="214"/>
      <c r="D75" s="214"/>
      <c r="E75" s="214"/>
      <c r="F75" s="214"/>
      <c r="G75" s="214"/>
      <c r="H75" s="214"/>
      <c r="I75" s="214"/>
      <c r="J75" s="214"/>
    </row>
    <row r="76" spans="1:10" x14ac:dyDescent="0.3">
      <c r="A76" s="214"/>
      <c r="B76" s="214"/>
      <c r="C76" s="214"/>
      <c r="D76" s="214"/>
      <c r="E76" s="214"/>
      <c r="F76" s="214"/>
      <c r="G76" s="214"/>
      <c r="H76" s="214"/>
      <c r="I76" s="214"/>
      <c r="J76" s="214"/>
    </row>
    <row r="77" spans="1:10" x14ac:dyDescent="0.3">
      <c r="A77" s="214"/>
      <c r="B77" s="214"/>
      <c r="C77" s="214"/>
      <c r="D77" s="214"/>
      <c r="E77" s="214"/>
      <c r="F77" s="214"/>
      <c r="G77" s="214"/>
      <c r="H77" s="214"/>
      <c r="I77" s="214"/>
      <c r="J77" s="214"/>
    </row>
    <row r="78" spans="1:10" x14ac:dyDescent="0.3">
      <c r="A78" s="214"/>
      <c r="B78" s="214"/>
      <c r="C78" s="214"/>
      <c r="D78" s="214"/>
      <c r="E78" s="214"/>
      <c r="F78" s="214"/>
      <c r="G78" s="214"/>
      <c r="H78" s="214"/>
      <c r="I78" s="214"/>
      <c r="J78" s="214"/>
    </row>
    <row r="79" spans="1:10" x14ac:dyDescent="0.3">
      <c r="A79" s="214"/>
      <c r="B79" s="214"/>
      <c r="C79" s="214"/>
      <c r="D79" s="214"/>
      <c r="E79" s="214"/>
      <c r="F79" s="214"/>
      <c r="G79" s="214"/>
      <c r="H79" s="214"/>
      <c r="I79" s="214"/>
      <c r="J79" s="214"/>
    </row>
    <row r="80" spans="1:10" x14ac:dyDescent="0.3">
      <c r="A80" s="214"/>
      <c r="B80" s="214"/>
      <c r="C80" s="214"/>
      <c r="D80" s="214"/>
      <c r="E80" s="214"/>
      <c r="F80" s="214"/>
      <c r="G80" s="214"/>
      <c r="H80" s="214"/>
      <c r="I80" s="214"/>
      <c r="J80" s="214"/>
    </row>
    <row r="81" spans="1:10" x14ac:dyDescent="0.3">
      <c r="A81" s="214"/>
      <c r="B81" s="214"/>
      <c r="C81" s="214"/>
      <c r="D81" s="214"/>
      <c r="E81" s="214"/>
      <c r="F81" s="214"/>
      <c r="G81" s="214"/>
      <c r="H81" s="214"/>
      <c r="I81" s="214"/>
      <c r="J81" s="214"/>
    </row>
    <row r="82" spans="1:10" x14ac:dyDescent="0.3">
      <c r="A82" s="214"/>
      <c r="B82" s="214"/>
      <c r="C82" s="214"/>
      <c r="D82" s="214"/>
      <c r="E82" s="214"/>
      <c r="F82" s="214"/>
      <c r="G82" s="214"/>
      <c r="H82" s="214"/>
      <c r="I82" s="214"/>
      <c r="J82" s="214"/>
    </row>
    <row r="83" spans="1:10" x14ac:dyDescent="0.3">
      <c r="A83" s="214"/>
      <c r="B83" s="214"/>
      <c r="C83" s="214"/>
      <c r="D83" s="214"/>
      <c r="E83" s="214"/>
      <c r="F83" s="214"/>
      <c r="G83" s="214"/>
      <c r="H83" s="214"/>
      <c r="I83" s="214"/>
      <c r="J83" s="214"/>
    </row>
    <row r="84" spans="1:10" x14ac:dyDescent="0.3">
      <c r="A84" s="214"/>
      <c r="B84" s="214"/>
      <c r="C84" s="214"/>
      <c r="D84" s="214"/>
      <c r="E84" s="214"/>
      <c r="F84" s="214"/>
      <c r="G84" s="214"/>
      <c r="H84" s="214"/>
      <c r="I84" s="214"/>
      <c r="J84" s="214"/>
    </row>
    <row r="85" spans="1:10" x14ac:dyDescent="0.3">
      <c r="A85" s="214"/>
      <c r="B85" s="214"/>
      <c r="C85" s="214"/>
      <c r="D85" s="214"/>
      <c r="E85" s="214"/>
      <c r="F85" s="214"/>
      <c r="G85" s="214"/>
      <c r="H85" s="214"/>
      <c r="I85" s="214"/>
      <c r="J85" s="214"/>
    </row>
    <row r="86" spans="1:10" x14ac:dyDescent="0.3">
      <c r="A86" s="214"/>
      <c r="B86" s="214"/>
      <c r="C86" s="214"/>
      <c r="D86" s="214"/>
      <c r="E86" s="214"/>
      <c r="F86" s="214"/>
      <c r="G86" s="214"/>
      <c r="H86" s="214"/>
      <c r="I86" s="214"/>
      <c r="J86" s="214"/>
    </row>
    <row r="87" spans="1:10" x14ac:dyDescent="0.3">
      <c r="A87" s="214"/>
      <c r="B87" s="214"/>
      <c r="C87" s="214"/>
      <c r="D87" s="214"/>
      <c r="E87" s="214"/>
      <c r="F87" s="214"/>
      <c r="G87" s="214"/>
      <c r="H87" s="214"/>
      <c r="I87" s="214"/>
      <c r="J87" s="214"/>
    </row>
    <row r="88" spans="1:10" x14ac:dyDescent="0.3">
      <c r="A88" s="214"/>
      <c r="B88" s="214"/>
      <c r="C88" s="214"/>
      <c r="D88" s="214"/>
      <c r="E88" s="214"/>
      <c r="F88" s="214"/>
      <c r="G88" s="214"/>
      <c r="H88" s="214"/>
      <c r="I88" s="214"/>
      <c r="J88" s="214"/>
    </row>
    <row r="89" spans="1:10" x14ac:dyDescent="0.3">
      <c r="A89" s="214"/>
      <c r="B89" s="214"/>
      <c r="C89" s="214"/>
      <c r="D89" s="214"/>
      <c r="E89" s="214"/>
      <c r="F89" s="214"/>
      <c r="G89" s="214"/>
      <c r="H89" s="214"/>
      <c r="I89" s="214"/>
      <c r="J89" s="214"/>
    </row>
    <row r="90" spans="1:10" x14ac:dyDescent="0.3">
      <c r="A90" s="214"/>
      <c r="B90" s="214"/>
      <c r="C90" s="214"/>
      <c r="D90" s="214"/>
      <c r="E90" s="214"/>
      <c r="F90" s="214"/>
      <c r="G90" s="214"/>
      <c r="H90" s="214"/>
      <c r="I90" s="214"/>
      <c r="J90" s="214"/>
    </row>
    <row r="91" spans="1:10" x14ac:dyDescent="0.3">
      <c r="A91" s="214"/>
      <c r="B91" s="214"/>
      <c r="C91" s="214"/>
      <c r="D91" s="214"/>
      <c r="E91" s="214"/>
      <c r="F91" s="214"/>
      <c r="G91" s="214"/>
      <c r="H91" s="214"/>
      <c r="I91" s="214"/>
      <c r="J91" s="214"/>
    </row>
    <row r="92" spans="1:10" x14ac:dyDescent="0.3">
      <c r="A92" s="214"/>
      <c r="B92" s="214"/>
      <c r="C92" s="214"/>
      <c r="D92" s="214"/>
      <c r="E92" s="214"/>
      <c r="F92" s="214"/>
      <c r="G92" s="214"/>
      <c r="H92" s="214"/>
      <c r="I92" s="214"/>
      <c r="J92" s="214"/>
    </row>
    <row r="93" spans="1:10" x14ac:dyDescent="0.3">
      <c r="A93" s="214"/>
      <c r="B93" s="214"/>
      <c r="C93" s="214"/>
      <c r="D93" s="214"/>
      <c r="E93" s="214"/>
      <c r="F93" s="214"/>
      <c r="G93" s="214"/>
      <c r="H93" s="214"/>
      <c r="I93" s="214"/>
      <c r="J93" s="214"/>
    </row>
    <row r="94" spans="1:10" x14ac:dyDescent="0.3">
      <c r="A94" s="214"/>
      <c r="B94" s="214"/>
      <c r="C94" s="214"/>
      <c r="D94" s="214"/>
      <c r="E94" s="214"/>
      <c r="F94" s="214"/>
      <c r="G94" s="214"/>
      <c r="H94" s="214"/>
      <c r="I94" s="214"/>
      <c r="J94" s="214"/>
    </row>
    <row r="95" spans="1:10" x14ac:dyDescent="0.3">
      <c r="A95" s="214"/>
      <c r="B95" s="214"/>
      <c r="C95" s="214"/>
      <c r="D95" s="214"/>
      <c r="E95" s="214"/>
      <c r="F95" s="214"/>
      <c r="G95" s="214"/>
      <c r="H95" s="214"/>
      <c r="I95" s="214"/>
      <c r="J95" s="214"/>
    </row>
    <row r="96" spans="1:10" x14ac:dyDescent="0.3">
      <c r="A96" s="214"/>
      <c r="B96" s="214"/>
      <c r="C96" s="214"/>
      <c r="D96" s="214"/>
      <c r="E96" s="214"/>
      <c r="F96" s="214"/>
      <c r="G96" s="214"/>
      <c r="H96" s="214"/>
      <c r="I96" s="214"/>
      <c r="J96" s="214"/>
    </row>
    <row r="97" spans="1:10" x14ac:dyDescent="0.3">
      <c r="A97" s="214"/>
      <c r="B97" s="214"/>
      <c r="C97" s="214"/>
      <c r="D97" s="214"/>
      <c r="E97" s="214"/>
      <c r="F97" s="214"/>
      <c r="G97" s="214"/>
      <c r="H97" s="214"/>
      <c r="I97" s="214"/>
      <c r="J97" s="214"/>
    </row>
    <row r="98" spans="1:10" x14ac:dyDescent="0.3">
      <c r="A98" s="214"/>
      <c r="B98" s="214"/>
      <c r="C98" s="214"/>
      <c r="D98" s="214"/>
      <c r="E98" s="214"/>
      <c r="F98" s="214"/>
      <c r="G98" s="214"/>
      <c r="H98" s="214"/>
      <c r="I98" s="214"/>
      <c r="J98" s="214"/>
    </row>
    <row r="99" spans="1:10" x14ac:dyDescent="0.3">
      <c r="A99" s="214"/>
      <c r="B99" s="214"/>
      <c r="C99" s="214"/>
      <c r="D99" s="214"/>
      <c r="E99" s="214"/>
      <c r="F99" s="214"/>
      <c r="G99" s="214"/>
      <c r="H99" s="214"/>
      <c r="I99" s="214"/>
      <c r="J99" s="214"/>
    </row>
    <row r="100" spans="1:10" x14ac:dyDescent="0.3">
      <c r="A100" s="214"/>
      <c r="B100" s="214"/>
      <c r="C100" s="214"/>
      <c r="D100" s="214"/>
      <c r="E100" s="214"/>
      <c r="F100" s="214"/>
      <c r="G100" s="214"/>
      <c r="H100" s="214"/>
      <c r="I100" s="214"/>
      <c r="J100" s="214"/>
    </row>
    <row r="101" spans="1:10" x14ac:dyDescent="0.3">
      <c r="A101" s="214"/>
      <c r="B101" s="214"/>
      <c r="C101" s="214"/>
      <c r="D101" s="214"/>
      <c r="E101" s="214"/>
      <c r="F101" s="214"/>
      <c r="G101" s="214"/>
      <c r="H101" s="214"/>
      <c r="I101" s="214"/>
      <c r="J101" s="214"/>
    </row>
    <row r="102" spans="1:10" x14ac:dyDescent="0.3">
      <c r="A102" s="214"/>
      <c r="B102" s="214"/>
      <c r="C102" s="214"/>
      <c r="D102" s="214"/>
      <c r="E102" s="214"/>
      <c r="F102" s="214"/>
      <c r="G102" s="214"/>
      <c r="H102" s="214"/>
      <c r="I102" s="214"/>
      <c r="J102" s="214"/>
    </row>
    <row r="103" spans="1:10" x14ac:dyDescent="0.3">
      <c r="A103" s="214"/>
      <c r="B103" s="214"/>
      <c r="C103" s="214"/>
      <c r="D103" s="214"/>
      <c r="E103" s="214"/>
      <c r="F103" s="214"/>
      <c r="G103" s="214"/>
      <c r="H103" s="214"/>
      <c r="I103" s="214"/>
      <c r="J103" s="214"/>
    </row>
    <row r="104" spans="1:10" x14ac:dyDescent="0.3">
      <c r="A104" s="214"/>
      <c r="B104" s="214"/>
      <c r="C104" s="214"/>
      <c r="D104" s="214"/>
      <c r="E104" s="214"/>
      <c r="F104" s="214"/>
      <c r="G104" s="214"/>
      <c r="H104" s="214"/>
      <c r="I104" s="214"/>
      <c r="J104" s="214"/>
    </row>
    <row r="105" spans="1:10" x14ac:dyDescent="0.3">
      <c r="A105" s="214"/>
      <c r="B105" s="214"/>
      <c r="C105" s="214"/>
      <c r="D105" s="214"/>
      <c r="E105" s="214"/>
      <c r="F105" s="214"/>
      <c r="G105" s="214"/>
      <c r="H105" s="214"/>
      <c r="I105" s="214"/>
      <c r="J105" s="214"/>
    </row>
    <row r="106" spans="1:10" x14ac:dyDescent="0.3">
      <c r="A106" s="214"/>
      <c r="B106" s="214"/>
      <c r="C106" s="214"/>
      <c r="D106" s="214"/>
      <c r="E106" s="214"/>
      <c r="F106" s="214"/>
      <c r="G106" s="214"/>
      <c r="H106" s="214"/>
      <c r="I106" s="214"/>
      <c r="J106" s="214"/>
    </row>
    <row r="107" spans="1:10" x14ac:dyDescent="0.3">
      <c r="A107" s="214"/>
      <c r="B107" s="214"/>
      <c r="C107" s="214"/>
      <c r="D107" s="214"/>
      <c r="E107" s="214"/>
      <c r="F107" s="214"/>
      <c r="G107" s="214"/>
      <c r="H107" s="214"/>
      <c r="I107" s="214"/>
      <c r="J107" s="214"/>
    </row>
    <row r="108" spans="1:10" x14ac:dyDescent="0.3">
      <c r="A108" s="214"/>
      <c r="B108" s="214"/>
      <c r="C108" s="214"/>
      <c r="D108" s="214"/>
      <c r="E108" s="214"/>
      <c r="F108" s="214"/>
      <c r="G108" s="214"/>
      <c r="H108" s="214"/>
      <c r="I108" s="214"/>
      <c r="J108" s="214"/>
    </row>
    <row r="109" spans="1:10" x14ac:dyDescent="0.3">
      <c r="A109" s="214"/>
      <c r="B109" s="214"/>
      <c r="C109" s="214"/>
      <c r="D109" s="214"/>
      <c r="E109" s="214"/>
      <c r="F109" s="214"/>
      <c r="G109" s="214"/>
      <c r="H109" s="214"/>
      <c r="I109" s="214"/>
      <c r="J109" s="214"/>
    </row>
    <row r="110" spans="1:10" x14ac:dyDescent="0.3">
      <c r="A110" s="214"/>
      <c r="B110" s="214"/>
      <c r="C110" s="214"/>
      <c r="D110" s="214"/>
      <c r="E110" s="214"/>
      <c r="F110" s="214"/>
      <c r="G110" s="214"/>
      <c r="H110" s="214"/>
      <c r="I110" s="214"/>
      <c r="J110" s="214"/>
    </row>
    <row r="111" spans="1:10" x14ac:dyDescent="0.3">
      <c r="A111" s="214"/>
      <c r="B111" s="214"/>
      <c r="C111" s="214"/>
      <c r="D111" s="214"/>
      <c r="E111" s="214"/>
      <c r="F111" s="214"/>
      <c r="G111" s="214"/>
      <c r="H111" s="214"/>
      <c r="I111" s="214"/>
      <c r="J111" s="214"/>
    </row>
    <row r="112" spans="1:10" x14ac:dyDescent="0.3">
      <c r="A112" s="214"/>
      <c r="B112" s="214"/>
      <c r="C112" s="214"/>
      <c r="D112" s="214"/>
      <c r="E112" s="214"/>
      <c r="F112" s="214"/>
      <c r="G112" s="214"/>
      <c r="H112" s="214"/>
      <c r="I112" s="214"/>
      <c r="J112" s="214"/>
    </row>
    <row r="113" spans="1:10" x14ac:dyDescent="0.3">
      <c r="A113" s="214"/>
      <c r="B113" s="214"/>
      <c r="C113" s="214"/>
      <c r="D113" s="214"/>
      <c r="E113" s="214"/>
      <c r="F113" s="214"/>
      <c r="G113" s="214"/>
      <c r="H113" s="214"/>
      <c r="I113" s="214"/>
      <c r="J113" s="214"/>
    </row>
    <row r="114" spans="1:10" x14ac:dyDescent="0.3">
      <c r="A114" s="214"/>
      <c r="B114" s="214"/>
      <c r="C114" s="214"/>
      <c r="D114" s="214"/>
      <c r="E114" s="214"/>
      <c r="F114" s="214"/>
      <c r="G114" s="214"/>
      <c r="H114" s="214"/>
      <c r="I114" s="214"/>
      <c r="J114" s="214"/>
    </row>
    <row r="115" spans="1:10" x14ac:dyDescent="0.3">
      <c r="A115" s="214"/>
      <c r="B115" s="214"/>
      <c r="C115" s="214"/>
      <c r="D115" s="214"/>
      <c r="E115" s="214"/>
      <c r="F115" s="214"/>
      <c r="G115" s="214"/>
      <c r="H115" s="214"/>
      <c r="I115" s="214"/>
      <c r="J115" s="214"/>
    </row>
    <row r="116" spans="1:10" x14ac:dyDescent="0.3">
      <c r="A116" s="214"/>
      <c r="B116" s="214"/>
      <c r="C116" s="214"/>
      <c r="D116" s="214"/>
      <c r="E116" s="214"/>
      <c r="F116" s="214"/>
      <c r="G116" s="214"/>
      <c r="H116" s="214"/>
      <c r="I116" s="214"/>
      <c r="J116" s="214"/>
    </row>
    <row r="117" spans="1:10" x14ac:dyDescent="0.3">
      <c r="A117" s="214"/>
      <c r="B117" s="214"/>
      <c r="C117" s="214"/>
      <c r="D117" s="214"/>
      <c r="E117" s="214"/>
      <c r="F117" s="214"/>
      <c r="G117" s="214"/>
      <c r="H117" s="214"/>
      <c r="I117" s="214"/>
      <c r="J117" s="214"/>
    </row>
    <row r="118" spans="1:10" x14ac:dyDescent="0.3">
      <c r="A118" s="214"/>
      <c r="B118" s="214"/>
      <c r="C118" s="214"/>
      <c r="D118" s="214"/>
      <c r="E118" s="214"/>
      <c r="F118" s="214"/>
      <c r="G118" s="214"/>
      <c r="H118" s="214"/>
      <c r="I118" s="214"/>
      <c r="J118" s="214"/>
    </row>
    <row r="119" spans="1:10" x14ac:dyDescent="0.3">
      <c r="A119" s="214"/>
      <c r="B119" s="214"/>
      <c r="C119" s="214"/>
      <c r="D119" s="214"/>
      <c r="E119" s="214"/>
      <c r="F119" s="214"/>
      <c r="G119" s="214"/>
      <c r="H119" s="214"/>
      <c r="I119" s="214"/>
      <c r="J119" s="214"/>
    </row>
    <row r="120" spans="1:10" x14ac:dyDescent="0.3">
      <c r="A120" s="214"/>
      <c r="B120" s="214"/>
      <c r="C120" s="214"/>
      <c r="D120" s="214"/>
      <c r="E120" s="214"/>
      <c r="F120" s="214"/>
      <c r="G120" s="214"/>
      <c r="H120" s="214"/>
      <c r="I120" s="214"/>
      <c r="J120" s="214"/>
    </row>
    <row r="121" spans="1:10" x14ac:dyDescent="0.3">
      <c r="A121" s="214"/>
      <c r="B121" s="214"/>
      <c r="C121" s="214"/>
      <c r="D121" s="214"/>
      <c r="E121" s="214"/>
      <c r="F121" s="214"/>
      <c r="G121" s="214"/>
      <c r="H121" s="214"/>
      <c r="I121" s="214"/>
      <c r="J121" s="214"/>
    </row>
    <row r="122" spans="1:10" x14ac:dyDescent="0.3">
      <c r="A122" s="214"/>
      <c r="B122" s="214"/>
      <c r="C122" s="214"/>
      <c r="D122" s="214"/>
      <c r="E122" s="214"/>
      <c r="F122" s="214"/>
      <c r="G122" s="214"/>
      <c r="H122" s="214"/>
      <c r="I122" s="214"/>
      <c r="J122" s="214"/>
    </row>
    <row r="123" spans="1:10" x14ac:dyDescent="0.3">
      <c r="A123" s="214"/>
      <c r="B123" s="214"/>
      <c r="C123" s="214"/>
      <c r="D123" s="214"/>
      <c r="E123" s="214"/>
      <c r="F123" s="214"/>
      <c r="G123" s="214"/>
      <c r="H123" s="214"/>
      <c r="I123" s="214"/>
      <c r="J123" s="214"/>
    </row>
    <row r="124" spans="1:10" x14ac:dyDescent="0.3">
      <c r="A124" s="214"/>
      <c r="B124" s="214"/>
      <c r="C124" s="214"/>
      <c r="D124" s="214"/>
      <c r="E124" s="214"/>
      <c r="F124" s="214"/>
      <c r="G124" s="214"/>
      <c r="H124" s="214"/>
      <c r="I124" s="214"/>
      <c r="J124" s="214"/>
    </row>
    <row r="125" spans="1:10" x14ac:dyDescent="0.3">
      <c r="A125" s="214"/>
      <c r="B125" s="214"/>
      <c r="C125" s="214"/>
      <c r="D125" s="214"/>
      <c r="E125" s="214"/>
      <c r="F125" s="214"/>
      <c r="G125" s="214"/>
      <c r="H125" s="214"/>
      <c r="I125" s="214"/>
      <c r="J125" s="214"/>
    </row>
    <row r="126" spans="1:10" x14ac:dyDescent="0.3">
      <c r="A126" s="214"/>
      <c r="B126" s="214"/>
      <c r="C126" s="214"/>
      <c r="D126" s="214"/>
      <c r="E126" s="214"/>
      <c r="F126" s="214"/>
      <c r="G126" s="214"/>
      <c r="H126" s="214"/>
      <c r="I126" s="214"/>
      <c r="J126" s="214"/>
    </row>
    <row r="127" spans="1:10" x14ac:dyDescent="0.3">
      <c r="A127" s="214"/>
      <c r="B127" s="214"/>
      <c r="C127" s="214"/>
      <c r="D127" s="214"/>
      <c r="E127" s="214"/>
      <c r="F127" s="214"/>
      <c r="G127" s="214"/>
      <c r="H127" s="214"/>
      <c r="I127" s="214"/>
      <c r="J127" s="214"/>
    </row>
    <row r="128" spans="1:10" x14ac:dyDescent="0.3">
      <c r="A128" s="214"/>
      <c r="B128" s="214"/>
      <c r="C128" s="214"/>
      <c r="D128" s="214"/>
      <c r="E128" s="214"/>
      <c r="F128" s="214"/>
      <c r="G128" s="214"/>
      <c r="H128" s="214"/>
      <c r="I128" s="214"/>
      <c r="J128" s="214"/>
    </row>
    <row r="129" spans="1:10" x14ac:dyDescent="0.3">
      <c r="A129" s="214"/>
      <c r="B129" s="214"/>
      <c r="C129" s="214"/>
      <c r="D129" s="214"/>
      <c r="E129" s="214"/>
      <c r="F129" s="214"/>
      <c r="G129" s="214"/>
      <c r="H129" s="214"/>
      <c r="I129" s="214"/>
      <c r="J129" s="214"/>
    </row>
    <row r="130" spans="1:10" x14ac:dyDescent="0.3">
      <c r="A130" s="214"/>
      <c r="B130" s="214"/>
      <c r="C130" s="214"/>
      <c r="D130" s="214"/>
      <c r="E130" s="214"/>
      <c r="F130" s="214"/>
      <c r="G130" s="214"/>
      <c r="H130" s="214"/>
      <c r="I130" s="214"/>
      <c r="J130" s="214"/>
    </row>
    <row r="131" spans="1:10" x14ac:dyDescent="0.3">
      <c r="A131" s="214"/>
      <c r="B131" s="214"/>
      <c r="C131" s="214"/>
      <c r="D131" s="214"/>
      <c r="E131" s="214"/>
      <c r="F131" s="214"/>
      <c r="G131" s="214"/>
      <c r="H131" s="214"/>
      <c r="I131" s="214"/>
      <c r="J131" s="214"/>
    </row>
    <row r="132" spans="1:10" x14ac:dyDescent="0.3">
      <c r="A132" s="214"/>
      <c r="B132" s="214"/>
      <c r="C132" s="214"/>
      <c r="D132" s="214"/>
      <c r="E132" s="214"/>
      <c r="F132" s="214"/>
      <c r="G132" s="214"/>
      <c r="H132" s="214"/>
      <c r="I132" s="214"/>
      <c r="J132" s="214"/>
    </row>
    <row r="133" spans="1:10" x14ac:dyDescent="0.3">
      <c r="A133" s="214"/>
      <c r="B133" s="214"/>
      <c r="C133" s="214"/>
      <c r="D133" s="214"/>
      <c r="E133" s="214"/>
      <c r="F133" s="214"/>
      <c r="G133" s="214"/>
      <c r="H133" s="214"/>
      <c r="I133" s="214"/>
      <c r="J133" s="214"/>
    </row>
    <row r="134" spans="1:10" x14ac:dyDescent="0.3">
      <c r="A134" s="214"/>
      <c r="B134" s="214"/>
      <c r="C134" s="214"/>
      <c r="D134" s="214"/>
      <c r="E134" s="214"/>
      <c r="F134" s="214"/>
      <c r="G134" s="214"/>
      <c r="H134" s="214"/>
      <c r="I134" s="214"/>
      <c r="J134" s="214"/>
    </row>
    <row r="135" spans="1:10" x14ac:dyDescent="0.3">
      <c r="A135" s="214"/>
      <c r="B135" s="214"/>
      <c r="C135" s="214"/>
      <c r="D135" s="214"/>
      <c r="E135" s="214"/>
      <c r="F135" s="214"/>
      <c r="G135" s="214"/>
      <c r="H135" s="214"/>
      <c r="I135" s="214"/>
      <c r="J135" s="214"/>
    </row>
    <row r="136" spans="1:10" x14ac:dyDescent="0.3">
      <c r="A136" s="214"/>
      <c r="B136" s="214"/>
      <c r="C136" s="214"/>
      <c r="D136" s="214"/>
      <c r="E136" s="214"/>
      <c r="F136" s="214"/>
      <c r="G136" s="214"/>
      <c r="H136" s="214"/>
      <c r="I136" s="214"/>
      <c r="J136" s="214"/>
    </row>
    <row r="137" spans="1:10" x14ac:dyDescent="0.3">
      <c r="A137" s="214"/>
      <c r="B137" s="214"/>
      <c r="C137" s="214"/>
      <c r="D137" s="214"/>
      <c r="E137" s="214"/>
      <c r="F137" s="214"/>
      <c r="G137" s="214"/>
      <c r="H137" s="214"/>
      <c r="I137" s="214"/>
      <c r="J137" s="214"/>
    </row>
    <row r="138" spans="1:10" x14ac:dyDescent="0.3">
      <c r="A138" s="214"/>
      <c r="B138" s="214"/>
      <c r="C138" s="214"/>
      <c r="D138" s="214"/>
      <c r="E138" s="214"/>
      <c r="F138" s="214"/>
      <c r="G138" s="214"/>
      <c r="H138" s="214"/>
      <c r="I138" s="214"/>
      <c r="J138" s="214"/>
    </row>
    <row r="139" spans="1:10" x14ac:dyDescent="0.3">
      <c r="A139" s="214"/>
      <c r="B139" s="214"/>
      <c r="C139" s="214"/>
      <c r="D139" s="214"/>
      <c r="E139" s="214"/>
      <c r="F139" s="214"/>
      <c r="G139" s="214"/>
      <c r="H139" s="214"/>
      <c r="I139" s="214"/>
      <c r="J139" s="214"/>
    </row>
    <row r="140" spans="1:10" x14ac:dyDescent="0.3">
      <c r="A140" s="214"/>
      <c r="B140" s="214"/>
      <c r="C140" s="214"/>
      <c r="D140" s="214"/>
      <c r="E140" s="214"/>
      <c r="F140" s="214"/>
      <c r="G140" s="214"/>
      <c r="H140" s="214"/>
      <c r="I140" s="214"/>
      <c r="J140" s="214"/>
    </row>
    <row r="141" spans="1:10" x14ac:dyDescent="0.3">
      <c r="A141" s="214"/>
      <c r="B141" s="214"/>
      <c r="C141" s="214"/>
      <c r="D141" s="214"/>
      <c r="E141" s="214"/>
      <c r="F141" s="214"/>
      <c r="G141" s="214"/>
      <c r="H141" s="214"/>
      <c r="I141" s="214"/>
      <c r="J141" s="214"/>
    </row>
    <row r="142" spans="1:10" x14ac:dyDescent="0.3">
      <c r="A142" s="214"/>
      <c r="B142" s="214"/>
      <c r="C142" s="214"/>
      <c r="D142" s="214"/>
      <c r="E142" s="214"/>
      <c r="F142" s="214"/>
      <c r="G142" s="214"/>
      <c r="H142" s="214"/>
      <c r="I142" s="214"/>
      <c r="J142" s="214"/>
    </row>
    <row r="143" spans="1:10" x14ac:dyDescent="0.3">
      <c r="A143" s="214"/>
      <c r="B143" s="214"/>
      <c r="C143" s="214"/>
      <c r="D143" s="214"/>
      <c r="E143" s="214"/>
      <c r="F143" s="214"/>
      <c r="G143" s="214"/>
      <c r="H143" s="214"/>
      <c r="I143" s="214"/>
      <c r="J143" s="214"/>
    </row>
    <row r="144" spans="1:10" x14ac:dyDescent="0.3">
      <c r="A144" s="214"/>
      <c r="B144" s="214"/>
      <c r="C144" s="214"/>
      <c r="D144" s="214"/>
      <c r="E144" s="214"/>
      <c r="F144" s="214"/>
      <c r="G144" s="214"/>
      <c r="H144" s="214"/>
      <c r="I144" s="214"/>
      <c r="J144" s="214"/>
    </row>
    <row r="145" spans="1:10" x14ac:dyDescent="0.3">
      <c r="A145" s="214"/>
      <c r="B145" s="214"/>
      <c r="C145" s="214"/>
      <c r="D145" s="214"/>
      <c r="E145" s="214"/>
      <c r="F145" s="214"/>
      <c r="G145" s="214"/>
      <c r="H145" s="214"/>
      <c r="I145" s="214"/>
      <c r="J145" s="214"/>
    </row>
    <row r="146" spans="1:10" x14ac:dyDescent="0.3">
      <c r="A146" s="214"/>
      <c r="B146" s="214"/>
      <c r="C146" s="214"/>
      <c r="D146" s="214"/>
      <c r="E146" s="214"/>
      <c r="F146" s="214"/>
      <c r="G146" s="214"/>
      <c r="H146" s="214"/>
      <c r="I146" s="214"/>
      <c r="J146" s="214"/>
    </row>
    <row r="147" spans="1:10" x14ac:dyDescent="0.3">
      <c r="A147" s="214"/>
      <c r="B147" s="214"/>
      <c r="C147" s="214"/>
      <c r="D147" s="214"/>
      <c r="E147" s="214"/>
      <c r="F147" s="214"/>
      <c r="G147" s="214"/>
      <c r="H147" s="214"/>
      <c r="I147" s="214"/>
      <c r="J147" s="214"/>
    </row>
    <row r="148" spans="1:10" x14ac:dyDescent="0.3">
      <c r="A148" s="214"/>
      <c r="B148" s="214"/>
      <c r="C148" s="214"/>
      <c r="D148" s="214"/>
      <c r="E148" s="214"/>
      <c r="F148" s="214"/>
      <c r="G148" s="214"/>
      <c r="H148" s="214"/>
      <c r="I148" s="214"/>
      <c r="J148" s="214"/>
    </row>
    <row r="149" spans="1:10" x14ac:dyDescent="0.3">
      <c r="A149" s="214"/>
      <c r="B149" s="214"/>
      <c r="C149" s="214"/>
      <c r="D149" s="214"/>
      <c r="E149" s="214"/>
      <c r="F149" s="214"/>
      <c r="G149" s="214"/>
      <c r="H149" s="214"/>
      <c r="I149" s="214"/>
      <c r="J149" s="214"/>
    </row>
    <row r="150" spans="1:10" x14ac:dyDescent="0.3">
      <c r="A150" s="214"/>
      <c r="B150" s="214"/>
      <c r="C150" s="214"/>
      <c r="D150" s="214"/>
      <c r="E150" s="214"/>
      <c r="F150" s="214"/>
      <c r="G150" s="214"/>
      <c r="H150" s="214"/>
      <c r="I150" s="214"/>
      <c r="J150" s="214"/>
    </row>
    <row r="151" spans="1:10" x14ac:dyDescent="0.3">
      <c r="A151" s="214"/>
      <c r="B151" s="214"/>
      <c r="C151" s="214"/>
      <c r="D151" s="214"/>
      <c r="E151" s="214"/>
      <c r="F151" s="214"/>
      <c r="G151" s="214"/>
      <c r="H151" s="214"/>
      <c r="I151" s="214"/>
      <c r="J151" s="214"/>
    </row>
    <row r="152" spans="1:10" x14ac:dyDescent="0.3">
      <c r="A152" s="214"/>
      <c r="B152" s="214"/>
      <c r="C152" s="214"/>
      <c r="D152" s="214"/>
      <c r="E152" s="214"/>
      <c r="F152" s="214"/>
      <c r="G152" s="214"/>
      <c r="H152" s="214"/>
      <c r="I152" s="214"/>
      <c r="J152" s="214"/>
    </row>
    <row r="153" spans="1:10" x14ac:dyDescent="0.3">
      <c r="A153" s="214"/>
      <c r="B153" s="214"/>
      <c r="C153" s="214"/>
      <c r="D153" s="214"/>
      <c r="E153" s="214"/>
      <c r="F153" s="214"/>
      <c r="G153" s="214"/>
      <c r="H153" s="214"/>
      <c r="I153" s="214"/>
      <c r="J153" s="214"/>
    </row>
    <row r="154" spans="1:10" x14ac:dyDescent="0.3">
      <c r="A154" s="214"/>
      <c r="B154" s="214"/>
      <c r="C154" s="214"/>
      <c r="D154" s="214"/>
      <c r="E154" s="214"/>
      <c r="F154" s="214"/>
      <c r="G154" s="214"/>
      <c r="H154" s="214"/>
      <c r="I154" s="214"/>
      <c r="J154" s="214"/>
    </row>
    <row r="155" spans="1:10" x14ac:dyDescent="0.3">
      <c r="A155" s="214"/>
      <c r="B155" s="214"/>
      <c r="C155" s="214"/>
      <c r="D155" s="214"/>
      <c r="E155" s="214"/>
      <c r="F155" s="214"/>
      <c r="G155" s="214"/>
      <c r="H155" s="214"/>
      <c r="I155" s="214"/>
      <c r="J155" s="214"/>
    </row>
    <row r="156" spans="1:10" x14ac:dyDescent="0.3">
      <c r="A156" s="214"/>
      <c r="B156" s="214"/>
      <c r="C156" s="214"/>
      <c r="D156" s="214"/>
      <c r="E156" s="214"/>
      <c r="F156" s="214"/>
      <c r="G156" s="214"/>
      <c r="H156" s="214"/>
      <c r="I156" s="214"/>
      <c r="J156" s="214"/>
    </row>
    <row r="157" spans="1:10" x14ac:dyDescent="0.3">
      <c r="A157" s="214"/>
      <c r="B157" s="214"/>
      <c r="C157" s="214"/>
      <c r="D157" s="214"/>
      <c r="E157" s="214"/>
      <c r="F157" s="214"/>
      <c r="G157" s="214"/>
      <c r="H157" s="214"/>
      <c r="I157" s="214"/>
      <c r="J157" s="214"/>
    </row>
    <row r="158" spans="1:10" x14ac:dyDescent="0.3">
      <c r="A158" s="214"/>
      <c r="B158" s="214"/>
      <c r="C158" s="214"/>
      <c r="D158" s="214"/>
      <c r="E158" s="214"/>
      <c r="F158" s="214"/>
      <c r="G158" s="214"/>
      <c r="H158" s="214"/>
      <c r="I158" s="214"/>
      <c r="J158" s="214"/>
    </row>
    <row r="159" spans="1:10" x14ac:dyDescent="0.3">
      <c r="A159" s="214"/>
      <c r="B159" s="214"/>
      <c r="C159" s="214"/>
      <c r="D159" s="214"/>
      <c r="E159" s="214"/>
      <c r="F159" s="214"/>
      <c r="G159" s="214"/>
      <c r="H159" s="214"/>
      <c r="I159" s="214"/>
      <c r="J159" s="214"/>
    </row>
    <row r="160" spans="1:10" x14ac:dyDescent="0.3">
      <c r="A160" s="214"/>
      <c r="B160" s="214"/>
      <c r="C160" s="214"/>
      <c r="D160" s="214"/>
      <c r="E160" s="214"/>
      <c r="F160" s="214"/>
      <c r="G160" s="214"/>
      <c r="H160" s="214"/>
      <c r="I160" s="214"/>
      <c r="J160" s="214"/>
    </row>
    <row r="161" spans="1:10" x14ac:dyDescent="0.3">
      <c r="A161" s="214"/>
      <c r="B161" s="214"/>
      <c r="C161" s="214"/>
      <c r="D161" s="214"/>
      <c r="E161" s="214"/>
      <c r="F161" s="214"/>
      <c r="G161" s="214"/>
      <c r="H161" s="214"/>
      <c r="I161" s="214"/>
      <c r="J161" s="214"/>
    </row>
    <row r="162" spans="1:10" x14ac:dyDescent="0.3">
      <c r="A162" s="214"/>
      <c r="B162" s="214"/>
      <c r="C162" s="214"/>
      <c r="D162" s="214"/>
      <c r="E162" s="214"/>
      <c r="F162" s="214"/>
      <c r="G162" s="214"/>
      <c r="H162" s="214"/>
      <c r="I162" s="214"/>
      <c r="J162" s="214"/>
    </row>
    <row r="163" spans="1:10" x14ac:dyDescent="0.3">
      <c r="A163" s="214"/>
      <c r="B163" s="214"/>
      <c r="C163" s="214"/>
      <c r="D163" s="214"/>
      <c r="E163" s="214"/>
      <c r="F163" s="214"/>
      <c r="G163" s="214"/>
      <c r="H163" s="214"/>
      <c r="I163" s="214"/>
      <c r="J163" s="214"/>
    </row>
    <row r="164" spans="1:10" x14ac:dyDescent="0.3">
      <c r="A164" s="214"/>
      <c r="B164" s="214"/>
      <c r="C164" s="214"/>
      <c r="D164" s="214"/>
      <c r="E164" s="214"/>
      <c r="F164" s="214"/>
      <c r="G164" s="214"/>
      <c r="H164" s="214"/>
      <c r="I164" s="214"/>
      <c r="J164" s="214"/>
    </row>
    <row r="165" spans="1:10" x14ac:dyDescent="0.3">
      <c r="A165" s="214"/>
      <c r="B165" s="214"/>
      <c r="C165" s="214"/>
      <c r="D165" s="214"/>
      <c r="E165" s="214"/>
      <c r="F165" s="214"/>
      <c r="G165" s="214"/>
      <c r="H165" s="214"/>
      <c r="I165" s="214"/>
      <c r="J165" s="214"/>
    </row>
    <row r="166" spans="1:10" x14ac:dyDescent="0.3">
      <c r="A166" s="214"/>
      <c r="B166" s="214"/>
      <c r="C166" s="214"/>
      <c r="D166" s="214"/>
      <c r="E166" s="214"/>
      <c r="F166" s="214"/>
      <c r="G166" s="214"/>
      <c r="H166" s="214"/>
      <c r="I166" s="214"/>
      <c r="J166" s="214"/>
    </row>
    <row r="167" spans="1:10" x14ac:dyDescent="0.3">
      <c r="A167" s="214"/>
      <c r="B167" s="214"/>
      <c r="C167" s="214"/>
      <c r="D167" s="214"/>
      <c r="E167" s="214"/>
      <c r="F167" s="214"/>
      <c r="G167" s="214"/>
      <c r="H167" s="214"/>
      <c r="I167" s="214"/>
      <c r="J167" s="214"/>
    </row>
    <row r="168" spans="1:10" x14ac:dyDescent="0.3">
      <c r="A168" s="214"/>
      <c r="B168" s="214"/>
      <c r="C168" s="214"/>
      <c r="D168" s="214"/>
      <c r="E168" s="214"/>
      <c r="F168" s="214"/>
      <c r="G168" s="214"/>
      <c r="H168" s="214"/>
      <c r="I168" s="214"/>
      <c r="J168" s="214"/>
    </row>
    <row r="169" spans="1:10" x14ac:dyDescent="0.3">
      <c r="A169" s="214"/>
      <c r="B169" s="214"/>
      <c r="C169" s="214"/>
      <c r="D169" s="214"/>
      <c r="E169" s="214"/>
      <c r="F169" s="214"/>
      <c r="G169" s="214"/>
      <c r="H169" s="214"/>
      <c r="I169" s="214"/>
      <c r="J169" s="214"/>
    </row>
    <row r="170" spans="1:10" x14ac:dyDescent="0.3">
      <c r="A170" s="214"/>
      <c r="B170" s="214"/>
      <c r="C170" s="214"/>
      <c r="D170" s="214"/>
      <c r="E170" s="214"/>
      <c r="F170" s="214"/>
      <c r="G170" s="214"/>
      <c r="H170" s="214"/>
      <c r="I170" s="214"/>
      <c r="J170" s="214"/>
    </row>
    <row r="171" spans="1:10" x14ac:dyDescent="0.3">
      <c r="A171" s="214"/>
      <c r="B171" s="214"/>
      <c r="C171" s="214"/>
      <c r="D171" s="214"/>
      <c r="E171" s="214"/>
      <c r="F171" s="214"/>
      <c r="G171" s="214"/>
      <c r="H171" s="214"/>
      <c r="I171" s="214"/>
      <c r="J171" s="214"/>
    </row>
    <row r="172" spans="1:10" x14ac:dyDescent="0.3">
      <c r="A172" s="214"/>
      <c r="B172" s="214"/>
      <c r="C172" s="214"/>
      <c r="D172" s="214"/>
      <c r="E172" s="214"/>
      <c r="F172" s="214"/>
      <c r="G172" s="214"/>
      <c r="H172" s="214"/>
      <c r="I172" s="214"/>
      <c r="J172" s="214"/>
    </row>
    <row r="173" spans="1:10" x14ac:dyDescent="0.3">
      <c r="A173" s="214"/>
      <c r="B173" s="214"/>
      <c r="C173" s="214"/>
      <c r="D173" s="214"/>
      <c r="E173" s="214"/>
      <c r="F173" s="214"/>
      <c r="G173" s="214"/>
      <c r="H173" s="214"/>
      <c r="I173" s="214"/>
      <c r="J173" s="214"/>
    </row>
    <row r="174" spans="1:10" x14ac:dyDescent="0.3">
      <c r="A174" s="214"/>
      <c r="B174" s="214"/>
      <c r="C174" s="214"/>
      <c r="D174" s="214"/>
      <c r="E174" s="214"/>
      <c r="F174" s="214"/>
      <c r="G174" s="214"/>
      <c r="H174" s="214"/>
      <c r="I174" s="214"/>
      <c r="J174" s="214"/>
    </row>
    <row r="175" spans="1:10" x14ac:dyDescent="0.3">
      <c r="A175" s="214"/>
      <c r="B175" s="214"/>
      <c r="C175" s="214"/>
      <c r="D175" s="214"/>
      <c r="E175" s="214"/>
      <c r="F175" s="214"/>
      <c r="G175" s="214"/>
      <c r="H175" s="214"/>
      <c r="I175" s="214"/>
      <c r="J175" s="214"/>
    </row>
    <row r="176" spans="1:10" x14ac:dyDescent="0.3">
      <c r="A176" s="214"/>
      <c r="B176" s="214"/>
      <c r="C176" s="214"/>
      <c r="D176" s="214"/>
      <c r="E176" s="214"/>
      <c r="F176" s="214"/>
      <c r="G176" s="214"/>
      <c r="H176" s="214"/>
      <c r="I176" s="214"/>
      <c r="J176" s="214"/>
    </row>
    <row r="177" spans="1:10" x14ac:dyDescent="0.3">
      <c r="A177" s="214"/>
      <c r="B177" s="214"/>
      <c r="C177" s="214"/>
      <c r="D177" s="214"/>
      <c r="E177" s="214"/>
      <c r="F177" s="214"/>
      <c r="G177" s="214"/>
      <c r="H177" s="214"/>
      <c r="I177" s="214"/>
      <c r="J177" s="214"/>
    </row>
    <row r="178" spans="1:10" x14ac:dyDescent="0.3">
      <c r="A178" s="214"/>
      <c r="B178" s="214"/>
      <c r="C178" s="214"/>
      <c r="D178" s="214"/>
      <c r="E178" s="214"/>
      <c r="F178" s="214"/>
      <c r="G178" s="214"/>
      <c r="H178" s="214"/>
      <c r="I178" s="214"/>
      <c r="J178" s="214"/>
    </row>
    <row r="179" spans="1:10" x14ac:dyDescent="0.3">
      <c r="A179" s="214"/>
      <c r="B179" s="214"/>
      <c r="C179" s="214"/>
      <c r="D179" s="214"/>
      <c r="E179" s="214"/>
      <c r="F179" s="214"/>
      <c r="G179" s="214"/>
      <c r="H179" s="214"/>
      <c r="I179" s="214"/>
      <c r="J179" s="214"/>
    </row>
    <row r="180" spans="1:10" x14ac:dyDescent="0.3">
      <c r="A180" s="214"/>
      <c r="B180" s="214"/>
      <c r="C180" s="214"/>
      <c r="D180" s="214"/>
      <c r="E180" s="214"/>
      <c r="F180" s="214"/>
      <c r="G180" s="214"/>
      <c r="H180" s="214"/>
      <c r="I180" s="214"/>
      <c r="J180" s="214"/>
    </row>
    <row r="181" spans="1:10" x14ac:dyDescent="0.3">
      <c r="A181" s="214"/>
      <c r="B181" s="214"/>
      <c r="C181" s="214"/>
      <c r="D181" s="214"/>
      <c r="E181" s="214"/>
      <c r="F181" s="214"/>
      <c r="G181" s="214"/>
      <c r="H181" s="214"/>
      <c r="I181" s="214"/>
      <c r="J181" s="214"/>
    </row>
    <row r="182" spans="1:10" x14ac:dyDescent="0.3">
      <c r="A182" s="214"/>
      <c r="B182" s="214"/>
      <c r="C182" s="214"/>
      <c r="D182" s="214"/>
      <c r="E182" s="214"/>
      <c r="F182" s="214"/>
      <c r="G182" s="214"/>
      <c r="H182" s="214"/>
      <c r="I182" s="214"/>
      <c r="J182" s="214"/>
    </row>
    <row r="183" spans="1:10" x14ac:dyDescent="0.3">
      <c r="A183" s="214"/>
      <c r="B183" s="214"/>
      <c r="C183" s="214"/>
      <c r="D183" s="214"/>
      <c r="E183" s="214"/>
      <c r="F183" s="214"/>
      <c r="G183" s="214"/>
      <c r="H183" s="214"/>
      <c r="I183" s="214"/>
      <c r="J183" s="214"/>
    </row>
    <row r="184" spans="1:10" x14ac:dyDescent="0.3">
      <c r="A184" s="214"/>
      <c r="B184" s="214"/>
      <c r="C184" s="214"/>
      <c r="D184" s="214"/>
      <c r="E184" s="214"/>
      <c r="F184" s="214"/>
      <c r="G184" s="214"/>
      <c r="H184" s="214"/>
      <c r="I184" s="214"/>
      <c r="J184" s="214"/>
    </row>
    <row r="185" spans="1:10" x14ac:dyDescent="0.3">
      <c r="A185" s="214"/>
      <c r="B185" s="214"/>
      <c r="C185" s="214"/>
      <c r="D185" s="214"/>
      <c r="E185" s="214"/>
      <c r="F185" s="214"/>
      <c r="G185" s="214"/>
      <c r="H185" s="214"/>
      <c r="I185" s="214"/>
      <c r="J185" s="214"/>
    </row>
    <row r="186" spans="1:10" x14ac:dyDescent="0.3">
      <c r="A186" s="214"/>
      <c r="B186" s="214"/>
      <c r="C186" s="214"/>
      <c r="D186" s="214"/>
      <c r="E186" s="214"/>
      <c r="F186" s="214"/>
      <c r="G186" s="214"/>
      <c r="H186" s="214"/>
      <c r="I186" s="214"/>
      <c r="J186" s="214"/>
    </row>
    <row r="187" spans="1:10" x14ac:dyDescent="0.3">
      <c r="A187" s="214"/>
      <c r="B187" s="214"/>
      <c r="C187" s="214"/>
      <c r="D187" s="214"/>
      <c r="E187" s="214"/>
      <c r="F187" s="214"/>
      <c r="G187" s="214"/>
      <c r="H187" s="214"/>
      <c r="I187" s="214"/>
      <c r="J187" s="214"/>
    </row>
    <row r="188" spans="1:10" x14ac:dyDescent="0.3">
      <c r="A188" s="214"/>
      <c r="B188" s="214"/>
      <c r="C188" s="214"/>
      <c r="D188" s="214"/>
      <c r="E188" s="214"/>
      <c r="F188" s="214"/>
      <c r="G188" s="214"/>
      <c r="H188" s="214"/>
      <c r="I188" s="214"/>
      <c r="J188" s="214"/>
    </row>
    <row r="189" spans="1:10" x14ac:dyDescent="0.3">
      <c r="A189" s="214"/>
      <c r="B189" s="214"/>
      <c r="C189" s="214"/>
      <c r="D189" s="214"/>
      <c r="E189" s="214"/>
      <c r="F189" s="214"/>
      <c r="G189" s="214"/>
      <c r="H189" s="214"/>
      <c r="I189" s="214"/>
      <c r="J189" s="214"/>
    </row>
    <row r="190" spans="1:10" x14ac:dyDescent="0.3">
      <c r="A190" s="214"/>
      <c r="B190" s="214"/>
      <c r="C190" s="214"/>
      <c r="D190" s="214"/>
      <c r="E190" s="214"/>
      <c r="F190" s="214"/>
      <c r="G190" s="214"/>
      <c r="H190" s="214"/>
      <c r="I190" s="214"/>
      <c r="J190" s="214"/>
    </row>
    <row r="191" spans="1:10" x14ac:dyDescent="0.3">
      <c r="A191" s="214"/>
      <c r="B191" s="214"/>
      <c r="C191" s="214"/>
      <c r="D191" s="214"/>
      <c r="E191" s="214"/>
      <c r="F191" s="214"/>
      <c r="G191" s="214"/>
      <c r="H191" s="214"/>
      <c r="I191" s="214"/>
      <c r="J191" s="214"/>
    </row>
    <row r="192" spans="1:10" x14ac:dyDescent="0.3">
      <c r="A192" s="214"/>
      <c r="B192" s="214"/>
      <c r="C192" s="214"/>
      <c r="D192" s="214"/>
      <c r="E192" s="214"/>
      <c r="F192" s="214"/>
      <c r="G192" s="214"/>
      <c r="H192" s="214"/>
      <c r="I192" s="214"/>
      <c r="J192" s="214"/>
    </row>
    <row r="193" spans="1:10" x14ac:dyDescent="0.3">
      <c r="A193" s="214"/>
      <c r="B193" s="214"/>
      <c r="C193" s="214"/>
      <c r="D193" s="214"/>
      <c r="E193" s="214"/>
      <c r="F193" s="214"/>
      <c r="G193" s="214"/>
      <c r="H193" s="214"/>
      <c r="I193" s="214"/>
      <c r="J193" s="214"/>
    </row>
    <row r="194" spans="1:10" x14ac:dyDescent="0.3">
      <c r="A194" s="214"/>
      <c r="B194" s="214"/>
      <c r="C194" s="214"/>
      <c r="D194" s="214"/>
      <c r="E194" s="214"/>
      <c r="F194" s="214"/>
      <c r="G194" s="214"/>
      <c r="H194" s="214"/>
      <c r="I194" s="214"/>
      <c r="J194" s="214"/>
    </row>
    <row r="195" spans="1:10" x14ac:dyDescent="0.3">
      <c r="A195" s="214"/>
      <c r="B195" s="214"/>
      <c r="C195" s="214"/>
      <c r="D195" s="214"/>
      <c r="E195" s="214"/>
      <c r="F195" s="214"/>
      <c r="G195" s="214"/>
      <c r="H195" s="214"/>
      <c r="I195" s="214"/>
      <c r="J195" s="214"/>
    </row>
    <row r="196" spans="1:10" x14ac:dyDescent="0.3">
      <c r="A196" s="214"/>
      <c r="B196" s="214"/>
      <c r="C196" s="214"/>
      <c r="D196" s="214"/>
      <c r="E196" s="214"/>
      <c r="F196" s="214"/>
      <c r="G196" s="214"/>
      <c r="H196" s="214"/>
      <c r="I196" s="214"/>
      <c r="J196" s="214"/>
    </row>
    <row r="197" spans="1:10" x14ac:dyDescent="0.3">
      <c r="A197" s="214"/>
      <c r="B197" s="214"/>
      <c r="C197" s="214"/>
      <c r="D197" s="214"/>
      <c r="E197" s="214"/>
      <c r="F197" s="214"/>
      <c r="G197" s="214"/>
      <c r="H197" s="214"/>
      <c r="I197" s="214"/>
      <c r="J197" s="214"/>
    </row>
    <row r="198" spans="1:10" x14ac:dyDescent="0.3">
      <c r="A198" s="214"/>
      <c r="B198" s="214"/>
      <c r="C198" s="214"/>
      <c r="D198" s="214"/>
      <c r="E198" s="214"/>
      <c r="F198" s="214"/>
      <c r="G198" s="214"/>
      <c r="H198" s="214"/>
      <c r="I198" s="214"/>
      <c r="J198" s="214"/>
    </row>
    <row r="199" spans="1:10" x14ac:dyDescent="0.3">
      <c r="A199" s="214"/>
      <c r="B199" s="214"/>
      <c r="C199" s="214"/>
      <c r="D199" s="214"/>
      <c r="E199" s="214"/>
      <c r="F199" s="214"/>
      <c r="G199" s="214"/>
      <c r="H199" s="214"/>
      <c r="I199" s="214"/>
      <c r="J199" s="214"/>
    </row>
    <row r="200" spans="1:10" x14ac:dyDescent="0.3">
      <c r="A200" s="214"/>
      <c r="B200" s="214"/>
      <c r="C200" s="214"/>
      <c r="D200" s="214"/>
      <c r="E200" s="214"/>
      <c r="F200" s="214"/>
      <c r="G200" s="214"/>
      <c r="H200" s="214"/>
      <c r="I200" s="214"/>
      <c r="J200" s="214"/>
    </row>
    <row r="201" spans="1:10" x14ac:dyDescent="0.3">
      <c r="A201" s="214"/>
      <c r="B201" s="214"/>
      <c r="C201" s="214"/>
      <c r="D201" s="214"/>
      <c r="E201" s="214"/>
      <c r="F201" s="214"/>
      <c r="G201" s="214"/>
      <c r="H201" s="214"/>
      <c r="I201" s="214"/>
      <c r="J201" s="214"/>
    </row>
    <row r="202" spans="1:10" x14ac:dyDescent="0.3">
      <c r="A202" s="214"/>
      <c r="B202" s="214"/>
      <c r="C202" s="214"/>
      <c r="D202" s="214"/>
      <c r="E202" s="214"/>
      <c r="F202" s="214"/>
      <c r="G202" s="214"/>
      <c r="H202" s="214"/>
      <c r="I202" s="214"/>
      <c r="J202" s="214"/>
    </row>
    <row r="203" spans="1:10" x14ac:dyDescent="0.3">
      <c r="A203" s="214"/>
      <c r="B203" s="214"/>
      <c r="C203" s="214"/>
      <c r="D203" s="214"/>
      <c r="E203" s="214"/>
      <c r="F203" s="214"/>
      <c r="G203" s="214"/>
      <c r="H203" s="214"/>
      <c r="I203" s="214"/>
      <c r="J203" s="214"/>
    </row>
    <row r="204" spans="1:10" x14ac:dyDescent="0.3">
      <c r="A204" s="214"/>
      <c r="B204" s="214"/>
      <c r="C204" s="214"/>
      <c r="D204" s="214"/>
      <c r="E204" s="214"/>
      <c r="F204" s="214"/>
      <c r="G204" s="214"/>
      <c r="H204" s="214"/>
      <c r="I204" s="214"/>
      <c r="J204" s="214"/>
    </row>
  </sheetData>
  <mergeCells count="1">
    <mergeCell ref="A2:J2"/>
  </mergeCells>
  <dataValidations count="5">
    <dataValidation type="list" allowBlank="1" sqref="C5:C204" xr:uid="{00000000-0002-0000-0400-000000000000}">
      <formula1>"G,F,P,VP,NR"</formula1>
    </dataValidation>
    <dataValidation type="list" allowBlank="1" sqref="D5:D204" xr:uid="{00000000-0002-0000-0400-000001000000}">
      <formula1>"BLADE,RESHAPE,SCARIFY,NONE"</formula1>
    </dataValidation>
    <dataValidation type="list" allowBlank="1" sqref="E5:E204" xr:uid="{00000000-0002-0000-0400-000002000000}">
      <formula1>"10,15,-"</formula1>
    </dataValidation>
    <dataValidation type="list" allowBlank="1" sqref="F5:F204" xr:uid="{00000000-0002-0000-0400-000003000000}">
      <formula1>"10,15,20,25,-"</formula1>
    </dataValidation>
    <dataValidation type="list" allowBlank="1" sqref="G5:I204" xr:uid="{00000000-0002-0000-0400-000004000000}">
      <formula1>"Y,N"</formula1>
    </dataValidation>
  </dataValidations>
  <pageMargins left="0.75" right="0.75" top="1" bottom="1" header="0.5" footer="0.5"/>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K204"/>
  <sheetViews>
    <sheetView showGridLines="0" workbookViewId="0">
      <pane ySplit="4" topLeftCell="A5" activePane="bottomLeft" state="frozen"/>
      <selection pane="bottomLeft"/>
    </sheetView>
  </sheetViews>
  <sheetFormatPr defaultRowHeight="14.4" x14ac:dyDescent="0.3"/>
  <cols>
    <col min="1" max="1" width="11" customWidth="1"/>
    <col min="2" max="2" width="14" customWidth="1"/>
    <col min="3" max="3" width="9" customWidth="1"/>
    <col min="4" max="4" width="7" customWidth="1"/>
    <col min="5" max="5" width="12" customWidth="1"/>
    <col min="6" max="6" width="11" customWidth="1"/>
    <col min="7" max="7" width="13" customWidth="1"/>
    <col min="8" max="8" width="10" customWidth="1"/>
    <col min="9" max="9" width="34" customWidth="1"/>
    <col min="11" max="11" width="11" customWidth="1"/>
  </cols>
  <sheetData>
    <row r="1" spans="1:11" ht="15.6" x14ac:dyDescent="0.3">
      <c r="A1" s="212" t="s">
        <v>213</v>
      </c>
    </row>
    <row r="2" spans="1:11" ht="30" customHeight="1" x14ac:dyDescent="0.3">
      <c r="A2" s="234" t="s">
        <v>214</v>
      </c>
      <c r="B2" s="233"/>
      <c r="C2" s="233"/>
      <c r="D2" s="233"/>
      <c r="E2" s="233"/>
      <c r="F2" s="233"/>
      <c r="G2" s="233"/>
      <c r="H2" s="233"/>
      <c r="I2" s="233"/>
    </row>
    <row r="4" spans="1:11" ht="30" customHeight="1" x14ac:dyDescent="0.3">
      <c r="A4" s="213" t="s">
        <v>215</v>
      </c>
      <c r="B4" s="213" t="s">
        <v>216</v>
      </c>
      <c r="C4" s="213" t="s">
        <v>217</v>
      </c>
      <c r="D4" s="213" t="s">
        <v>218</v>
      </c>
      <c r="E4" s="213" t="s">
        <v>219</v>
      </c>
      <c r="F4" s="213" t="s">
        <v>220</v>
      </c>
      <c r="G4" s="213" t="s">
        <v>221</v>
      </c>
      <c r="H4" s="213" t="s">
        <v>222</v>
      </c>
      <c r="I4" s="213" t="s">
        <v>189</v>
      </c>
      <c r="K4" s="215">
        <v>0</v>
      </c>
    </row>
    <row r="5" spans="1:11" x14ac:dyDescent="0.3">
      <c r="A5" s="214"/>
      <c r="B5" s="214"/>
      <c r="C5" s="214"/>
      <c r="D5" s="214"/>
      <c r="E5" s="214"/>
      <c r="F5" s="214"/>
      <c r="G5" s="214"/>
      <c r="H5" s="214"/>
      <c r="I5" s="214"/>
      <c r="K5" s="216" t="str">
        <f>IF(AND(UPPER(TRIM($B5))="PR_CULVERT",$A5&lt;&gt;"",ISNUMBER(MATCH(UPPER(TRIM($C5)),{"PC","BC","UC"},0))),MAX($K$4:K4)+1,"")</f>
        <v/>
      </c>
    </row>
    <row r="6" spans="1:11" x14ac:dyDescent="0.3">
      <c r="A6" s="214"/>
      <c r="B6" s="214"/>
      <c r="C6" s="214"/>
      <c r="D6" s="214"/>
      <c r="E6" s="214"/>
      <c r="F6" s="214"/>
      <c r="G6" s="214"/>
      <c r="H6" s="214"/>
      <c r="I6" s="214"/>
      <c r="K6" s="216" t="str">
        <f>IF(AND(UPPER(TRIM($B6))="PR_CULVERT",$A6&lt;&gt;"",ISNUMBER(MATCH(UPPER(TRIM($C6)),{"PC","BC","UC"},0))),MAX($K$4:K5)+1,"")</f>
        <v/>
      </c>
    </row>
    <row r="7" spans="1:11" x14ac:dyDescent="0.3">
      <c r="A7" s="214"/>
      <c r="B7" s="214"/>
      <c r="C7" s="214"/>
      <c r="D7" s="214"/>
      <c r="E7" s="214"/>
      <c r="F7" s="214"/>
      <c r="G7" s="214"/>
      <c r="H7" s="214"/>
      <c r="I7" s="214"/>
      <c r="K7" s="216" t="str">
        <f>IF(AND(UPPER(TRIM($B7))="PR_CULVERT",$A7&lt;&gt;"",ISNUMBER(MATCH(UPPER(TRIM($C7)),{"PC","BC","UC"},0))),MAX($K$4:K6)+1,"")</f>
        <v/>
      </c>
    </row>
    <row r="8" spans="1:11" x14ac:dyDescent="0.3">
      <c r="A8" s="214"/>
      <c r="B8" s="214"/>
      <c r="C8" s="214"/>
      <c r="D8" s="214"/>
      <c r="E8" s="214"/>
      <c r="F8" s="214"/>
      <c r="G8" s="214"/>
      <c r="H8" s="214"/>
      <c r="I8" s="214"/>
      <c r="K8" s="216" t="str">
        <f>IF(AND(UPPER(TRIM($B8))="PR_CULVERT",$A8&lt;&gt;"",ISNUMBER(MATCH(UPPER(TRIM($C8)),{"PC","BC","UC"},0))),MAX($K$4:K7)+1,"")</f>
        <v/>
      </c>
    </row>
    <row r="9" spans="1:11" x14ac:dyDescent="0.3">
      <c r="A9" s="214"/>
      <c r="B9" s="214"/>
      <c r="C9" s="214"/>
      <c r="D9" s="214"/>
      <c r="E9" s="214"/>
      <c r="F9" s="214"/>
      <c r="G9" s="214"/>
      <c r="H9" s="214"/>
      <c r="I9" s="214"/>
      <c r="K9" s="216" t="str">
        <f>IF(AND(UPPER(TRIM($B9))="PR_CULVERT",$A9&lt;&gt;"",ISNUMBER(MATCH(UPPER(TRIM($C9)),{"PC","BC","UC"},0))),MAX($K$4:K8)+1,"")</f>
        <v/>
      </c>
    </row>
    <row r="10" spans="1:11" x14ac:dyDescent="0.3">
      <c r="A10" s="214"/>
      <c r="B10" s="214"/>
      <c r="C10" s="214"/>
      <c r="D10" s="214"/>
      <c r="E10" s="214"/>
      <c r="F10" s="214"/>
      <c r="G10" s="214"/>
      <c r="H10" s="214"/>
      <c r="I10" s="214"/>
      <c r="K10" s="216" t="str">
        <f>IF(AND(UPPER(TRIM($B10))="PR_CULVERT",$A10&lt;&gt;"",ISNUMBER(MATCH(UPPER(TRIM($C10)),{"PC","BC","UC"},0))),MAX($K$4:K9)+1,"")</f>
        <v/>
      </c>
    </row>
    <row r="11" spans="1:11" x14ac:dyDescent="0.3">
      <c r="A11" s="214"/>
      <c r="B11" s="214"/>
      <c r="C11" s="214"/>
      <c r="D11" s="214"/>
      <c r="E11" s="214"/>
      <c r="F11" s="214"/>
      <c r="G11" s="214"/>
      <c r="H11" s="214"/>
      <c r="I11" s="214"/>
      <c r="K11" s="216" t="str">
        <f>IF(AND(UPPER(TRIM($B11))="PR_CULVERT",$A11&lt;&gt;"",ISNUMBER(MATCH(UPPER(TRIM($C11)),{"PC","BC","UC"},0))),MAX($K$4:K10)+1,"")</f>
        <v/>
      </c>
    </row>
    <row r="12" spans="1:11" x14ac:dyDescent="0.3">
      <c r="A12" s="214"/>
      <c r="B12" s="214"/>
      <c r="C12" s="214"/>
      <c r="D12" s="214"/>
      <c r="E12" s="214"/>
      <c r="F12" s="214"/>
      <c r="G12" s="214"/>
      <c r="H12" s="214"/>
      <c r="I12" s="214"/>
      <c r="K12" s="216" t="str">
        <f>IF(AND(UPPER(TRIM($B12))="PR_CULVERT",$A12&lt;&gt;"",ISNUMBER(MATCH(UPPER(TRIM($C12)),{"PC","BC","UC"},0))),MAX($K$4:K11)+1,"")</f>
        <v/>
      </c>
    </row>
    <row r="13" spans="1:11" x14ac:dyDescent="0.3">
      <c r="A13" s="214"/>
      <c r="B13" s="214"/>
      <c r="C13" s="214"/>
      <c r="D13" s="214"/>
      <c r="E13" s="214"/>
      <c r="F13" s="214"/>
      <c r="G13" s="214"/>
      <c r="H13" s="214"/>
      <c r="I13" s="214"/>
      <c r="K13" s="216" t="str">
        <f>IF(AND(UPPER(TRIM($B13))="PR_CULVERT",$A13&lt;&gt;"",ISNUMBER(MATCH(UPPER(TRIM($C13)),{"PC","BC","UC"},0))),MAX($K$4:K12)+1,"")</f>
        <v/>
      </c>
    </row>
    <row r="14" spans="1:11" x14ac:dyDescent="0.3">
      <c r="A14" s="214"/>
      <c r="B14" s="214"/>
      <c r="C14" s="214"/>
      <c r="D14" s="214"/>
      <c r="E14" s="214"/>
      <c r="F14" s="214"/>
      <c r="G14" s="214"/>
      <c r="H14" s="214"/>
      <c r="I14" s="214"/>
      <c r="K14" s="216" t="str">
        <f>IF(AND(UPPER(TRIM($B14))="PR_CULVERT",$A14&lt;&gt;"",ISNUMBER(MATCH(UPPER(TRIM($C14)),{"PC","BC","UC"},0))),MAX($K$4:K13)+1,"")</f>
        <v/>
      </c>
    </row>
    <row r="15" spans="1:11" x14ac:dyDescent="0.3">
      <c r="A15" s="214"/>
      <c r="B15" s="214"/>
      <c r="C15" s="214"/>
      <c r="D15" s="214"/>
      <c r="E15" s="214"/>
      <c r="F15" s="214"/>
      <c r="G15" s="214"/>
      <c r="H15" s="214"/>
      <c r="I15" s="214"/>
      <c r="K15" s="216" t="str">
        <f>IF(AND(UPPER(TRIM($B15))="PR_CULVERT",$A15&lt;&gt;"",ISNUMBER(MATCH(UPPER(TRIM($C15)),{"PC","BC","UC"},0))),MAX($K$4:K14)+1,"")</f>
        <v/>
      </c>
    </row>
    <row r="16" spans="1:11" x14ac:dyDescent="0.3">
      <c r="A16" s="214"/>
      <c r="B16" s="214"/>
      <c r="C16" s="214"/>
      <c r="D16" s="214"/>
      <c r="E16" s="214"/>
      <c r="F16" s="214"/>
      <c r="G16" s="214"/>
      <c r="H16" s="214"/>
      <c r="I16" s="214"/>
      <c r="K16" s="216" t="str">
        <f>IF(AND(UPPER(TRIM($B16))="PR_CULVERT",$A16&lt;&gt;"",ISNUMBER(MATCH(UPPER(TRIM($C16)),{"PC","BC","UC"},0))),MAX($K$4:K15)+1,"")</f>
        <v/>
      </c>
    </row>
    <row r="17" spans="1:11" x14ac:dyDescent="0.3">
      <c r="A17" s="214"/>
      <c r="B17" s="214"/>
      <c r="C17" s="214"/>
      <c r="D17" s="214"/>
      <c r="E17" s="214"/>
      <c r="F17" s="214"/>
      <c r="G17" s="214"/>
      <c r="H17" s="214"/>
      <c r="I17" s="214"/>
      <c r="K17" s="216" t="str">
        <f>IF(AND(UPPER(TRIM($B17))="PR_CULVERT",$A17&lt;&gt;"",ISNUMBER(MATCH(UPPER(TRIM($C17)),{"PC","BC","UC"},0))),MAX($K$4:K16)+1,"")</f>
        <v/>
      </c>
    </row>
    <row r="18" spans="1:11" x14ac:dyDescent="0.3">
      <c r="A18" s="214"/>
      <c r="B18" s="214"/>
      <c r="C18" s="214"/>
      <c r="D18" s="214"/>
      <c r="E18" s="214"/>
      <c r="F18" s="214"/>
      <c r="G18" s="214"/>
      <c r="H18" s="214"/>
      <c r="I18" s="214"/>
      <c r="K18" s="216" t="str">
        <f>IF(AND(UPPER(TRIM($B18))="PR_CULVERT",$A18&lt;&gt;"",ISNUMBER(MATCH(UPPER(TRIM($C18)),{"PC","BC","UC"},0))),MAX($K$4:K17)+1,"")</f>
        <v/>
      </c>
    </row>
    <row r="19" spans="1:11" x14ac:dyDescent="0.3">
      <c r="A19" s="214"/>
      <c r="B19" s="214"/>
      <c r="C19" s="214"/>
      <c r="D19" s="214"/>
      <c r="E19" s="214"/>
      <c r="F19" s="214"/>
      <c r="G19" s="214"/>
      <c r="H19" s="214"/>
      <c r="I19" s="214"/>
      <c r="K19" s="216" t="str">
        <f>IF(AND(UPPER(TRIM($B19))="PR_CULVERT",$A19&lt;&gt;"",ISNUMBER(MATCH(UPPER(TRIM($C19)),{"PC","BC","UC"},0))),MAX($K$4:K18)+1,"")</f>
        <v/>
      </c>
    </row>
    <row r="20" spans="1:11" x14ac:dyDescent="0.3">
      <c r="A20" s="214"/>
      <c r="B20" s="214"/>
      <c r="C20" s="214"/>
      <c r="D20" s="214"/>
      <c r="E20" s="214"/>
      <c r="F20" s="214"/>
      <c r="G20" s="214"/>
      <c r="H20" s="214"/>
      <c r="I20" s="214"/>
      <c r="K20" s="216" t="str">
        <f>IF(AND(UPPER(TRIM($B20))="PR_CULVERT",$A20&lt;&gt;"",ISNUMBER(MATCH(UPPER(TRIM($C20)),{"PC","BC","UC"},0))),MAX($K$4:K19)+1,"")</f>
        <v/>
      </c>
    </row>
    <row r="21" spans="1:11" x14ac:dyDescent="0.3">
      <c r="A21" s="214"/>
      <c r="B21" s="214"/>
      <c r="C21" s="214"/>
      <c r="D21" s="214"/>
      <c r="E21" s="214"/>
      <c r="F21" s="214"/>
      <c r="G21" s="214"/>
      <c r="H21" s="214"/>
      <c r="I21" s="214"/>
      <c r="K21" s="216" t="str">
        <f>IF(AND(UPPER(TRIM($B21))="PR_CULVERT",$A21&lt;&gt;"",ISNUMBER(MATCH(UPPER(TRIM($C21)),{"PC","BC","UC"},0))),MAX($K$4:K20)+1,"")</f>
        <v/>
      </c>
    </row>
    <row r="22" spans="1:11" x14ac:dyDescent="0.3">
      <c r="A22" s="214"/>
      <c r="B22" s="214"/>
      <c r="C22" s="214"/>
      <c r="D22" s="214"/>
      <c r="E22" s="214"/>
      <c r="F22" s="214"/>
      <c r="G22" s="214"/>
      <c r="H22" s="214"/>
      <c r="I22" s="214"/>
      <c r="K22" s="216" t="str">
        <f>IF(AND(UPPER(TRIM($B22))="PR_CULVERT",$A22&lt;&gt;"",ISNUMBER(MATCH(UPPER(TRIM($C22)),{"PC","BC","UC"},0))),MAX($K$4:K21)+1,"")</f>
        <v/>
      </c>
    </row>
    <row r="23" spans="1:11" x14ac:dyDescent="0.3">
      <c r="A23" s="214"/>
      <c r="B23" s="214"/>
      <c r="C23" s="214"/>
      <c r="D23" s="214"/>
      <c r="E23" s="214"/>
      <c r="F23" s="214"/>
      <c r="G23" s="214"/>
      <c r="H23" s="214"/>
      <c r="I23" s="214"/>
      <c r="K23" s="216" t="str">
        <f>IF(AND(UPPER(TRIM($B23))="PR_CULVERT",$A23&lt;&gt;"",ISNUMBER(MATCH(UPPER(TRIM($C23)),{"PC","BC","UC"},0))),MAX($K$4:K22)+1,"")</f>
        <v/>
      </c>
    </row>
    <row r="24" spans="1:11" x14ac:dyDescent="0.3">
      <c r="A24" s="214"/>
      <c r="B24" s="214"/>
      <c r="C24" s="214"/>
      <c r="D24" s="214"/>
      <c r="E24" s="214"/>
      <c r="F24" s="214"/>
      <c r="G24" s="214"/>
      <c r="H24" s="214"/>
      <c r="I24" s="214"/>
      <c r="K24" s="216" t="str">
        <f>IF(AND(UPPER(TRIM($B24))="PR_CULVERT",$A24&lt;&gt;"",ISNUMBER(MATCH(UPPER(TRIM($C24)),{"PC","BC","UC"},0))),MAX($K$4:K23)+1,"")</f>
        <v/>
      </c>
    </row>
    <row r="25" spans="1:11" x14ac:dyDescent="0.3">
      <c r="A25" s="214"/>
      <c r="B25" s="214"/>
      <c r="C25" s="214"/>
      <c r="D25" s="214"/>
      <c r="E25" s="214"/>
      <c r="F25" s="214"/>
      <c r="G25" s="214"/>
      <c r="H25" s="214"/>
      <c r="I25" s="214"/>
      <c r="K25" s="216" t="str">
        <f>IF(AND(UPPER(TRIM($B25))="PR_CULVERT",$A25&lt;&gt;"",ISNUMBER(MATCH(UPPER(TRIM($C25)),{"PC","BC","UC"},0))),MAX($K$4:K24)+1,"")</f>
        <v/>
      </c>
    </row>
    <row r="26" spans="1:11" x14ac:dyDescent="0.3">
      <c r="A26" s="214"/>
      <c r="B26" s="214"/>
      <c r="C26" s="214"/>
      <c r="D26" s="214"/>
      <c r="E26" s="214"/>
      <c r="F26" s="214"/>
      <c r="G26" s="214"/>
      <c r="H26" s="214"/>
      <c r="I26" s="214"/>
      <c r="K26" s="216" t="str">
        <f>IF(AND(UPPER(TRIM($B26))="PR_CULVERT",$A26&lt;&gt;"",ISNUMBER(MATCH(UPPER(TRIM($C26)),{"PC","BC","UC"},0))),MAX($K$4:K25)+1,"")</f>
        <v/>
      </c>
    </row>
    <row r="27" spans="1:11" x14ac:dyDescent="0.3">
      <c r="A27" s="214"/>
      <c r="B27" s="214"/>
      <c r="C27" s="214"/>
      <c r="D27" s="214"/>
      <c r="E27" s="214"/>
      <c r="F27" s="214"/>
      <c r="G27" s="214"/>
      <c r="H27" s="214"/>
      <c r="I27" s="214"/>
      <c r="K27" s="216" t="str">
        <f>IF(AND(UPPER(TRIM($B27))="PR_CULVERT",$A27&lt;&gt;"",ISNUMBER(MATCH(UPPER(TRIM($C27)),{"PC","BC","UC"},0))),MAX($K$4:K26)+1,"")</f>
        <v/>
      </c>
    </row>
    <row r="28" spans="1:11" x14ac:dyDescent="0.3">
      <c r="A28" s="214"/>
      <c r="B28" s="214"/>
      <c r="C28" s="214"/>
      <c r="D28" s="214"/>
      <c r="E28" s="214"/>
      <c r="F28" s="214"/>
      <c r="G28" s="214"/>
      <c r="H28" s="214"/>
      <c r="I28" s="214"/>
      <c r="K28" s="216" t="str">
        <f>IF(AND(UPPER(TRIM($B28))="PR_CULVERT",$A28&lt;&gt;"",ISNUMBER(MATCH(UPPER(TRIM($C28)),{"PC","BC","UC"},0))),MAX($K$4:K27)+1,"")</f>
        <v/>
      </c>
    </row>
    <row r="29" spans="1:11" x14ac:dyDescent="0.3">
      <c r="A29" s="214"/>
      <c r="B29" s="214"/>
      <c r="C29" s="214"/>
      <c r="D29" s="214"/>
      <c r="E29" s="214"/>
      <c r="F29" s="214"/>
      <c r="G29" s="214"/>
      <c r="H29" s="214"/>
      <c r="I29" s="214"/>
      <c r="K29" s="216" t="str">
        <f>IF(AND(UPPER(TRIM($B29))="PR_CULVERT",$A29&lt;&gt;"",ISNUMBER(MATCH(UPPER(TRIM($C29)),{"PC","BC","UC"},0))),MAX($K$4:K28)+1,"")</f>
        <v/>
      </c>
    </row>
    <row r="30" spans="1:11" x14ac:dyDescent="0.3">
      <c r="A30" s="214"/>
      <c r="B30" s="214"/>
      <c r="C30" s="214"/>
      <c r="D30" s="214"/>
      <c r="E30" s="214"/>
      <c r="F30" s="214"/>
      <c r="G30" s="214"/>
      <c r="H30" s="214"/>
      <c r="I30" s="214"/>
      <c r="K30" s="216" t="str">
        <f>IF(AND(UPPER(TRIM($B30))="PR_CULVERT",$A30&lt;&gt;"",ISNUMBER(MATCH(UPPER(TRIM($C30)),{"PC","BC","UC"},0))),MAX($K$4:K29)+1,"")</f>
        <v/>
      </c>
    </row>
    <row r="31" spans="1:11" x14ac:dyDescent="0.3">
      <c r="A31" s="214"/>
      <c r="B31" s="214"/>
      <c r="C31" s="214"/>
      <c r="D31" s="214"/>
      <c r="E31" s="214"/>
      <c r="F31" s="214"/>
      <c r="G31" s="214"/>
      <c r="H31" s="214"/>
      <c r="I31" s="214"/>
      <c r="K31" s="216" t="str">
        <f>IF(AND(UPPER(TRIM($B31))="PR_CULVERT",$A31&lt;&gt;"",ISNUMBER(MATCH(UPPER(TRIM($C31)),{"PC","BC","UC"},0))),MAX($K$4:K30)+1,"")</f>
        <v/>
      </c>
    </row>
    <row r="32" spans="1:11" x14ac:dyDescent="0.3">
      <c r="A32" s="214"/>
      <c r="B32" s="214"/>
      <c r="C32" s="214"/>
      <c r="D32" s="214"/>
      <c r="E32" s="214"/>
      <c r="F32" s="214"/>
      <c r="G32" s="214"/>
      <c r="H32" s="214"/>
      <c r="I32" s="214"/>
      <c r="K32" s="216" t="str">
        <f>IF(AND(UPPER(TRIM($B32))="PR_CULVERT",$A32&lt;&gt;"",ISNUMBER(MATCH(UPPER(TRIM($C32)),{"PC","BC","UC"},0))),MAX($K$4:K31)+1,"")</f>
        <v/>
      </c>
    </row>
    <row r="33" spans="1:11" x14ac:dyDescent="0.3">
      <c r="A33" s="214"/>
      <c r="B33" s="214"/>
      <c r="C33" s="214"/>
      <c r="D33" s="214"/>
      <c r="E33" s="214"/>
      <c r="F33" s="214"/>
      <c r="G33" s="214"/>
      <c r="H33" s="214"/>
      <c r="I33" s="214"/>
      <c r="K33" s="216" t="str">
        <f>IF(AND(UPPER(TRIM($B33))="PR_CULVERT",$A33&lt;&gt;"",ISNUMBER(MATCH(UPPER(TRIM($C33)),{"PC","BC","UC"},0))),MAX($K$4:K32)+1,"")</f>
        <v/>
      </c>
    </row>
    <row r="34" spans="1:11" x14ac:dyDescent="0.3">
      <c r="A34" s="214"/>
      <c r="B34" s="214"/>
      <c r="C34" s="214"/>
      <c r="D34" s="214"/>
      <c r="E34" s="214"/>
      <c r="F34" s="214"/>
      <c r="G34" s="214"/>
      <c r="H34" s="214"/>
      <c r="I34" s="214"/>
      <c r="K34" s="216" t="str">
        <f>IF(AND(UPPER(TRIM($B34))="PR_CULVERT",$A34&lt;&gt;"",ISNUMBER(MATCH(UPPER(TRIM($C34)),{"PC","BC","UC"},0))),MAX($K$4:K33)+1,"")</f>
        <v/>
      </c>
    </row>
    <row r="35" spans="1:11" x14ac:dyDescent="0.3">
      <c r="A35" s="214"/>
      <c r="B35" s="214"/>
      <c r="C35" s="214"/>
      <c r="D35" s="214"/>
      <c r="E35" s="214"/>
      <c r="F35" s="214"/>
      <c r="G35" s="214"/>
      <c r="H35" s="214"/>
      <c r="I35" s="214"/>
      <c r="K35" s="216" t="str">
        <f>IF(AND(UPPER(TRIM($B35))="PR_CULVERT",$A35&lt;&gt;"",ISNUMBER(MATCH(UPPER(TRIM($C35)),{"PC","BC","UC"},0))),MAX($K$4:K34)+1,"")</f>
        <v/>
      </c>
    </row>
    <row r="36" spans="1:11" x14ac:dyDescent="0.3">
      <c r="A36" s="214"/>
      <c r="B36" s="214"/>
      <c r="C36" s="214"/>
      <c r="D36" s="214"/>
      <c r="E36" s="214"/>
      <c r="F36" s="214"/>
      <c r="G36" s="214"/>
      <c r="H36" s="214"/>
      <c r="I36" s="214"/>
      <c r="K36" s="216" t="str">
        <f>IF(AND(UPPER(TRIM($B36))="PR_CULVERT",$A36&lt;&gt;"",ISNUMBER(MATCH(UPPER(TRIM($C36)),{"PC","BC","UC"},0))),MAX($K$4:K35)+1,"")</f>
        <v/>
      </c>
    </row>
    <row r="37" spans="1:11" x14ac:dyDescent="0.3">
      <c r="A37" s="214"/>
      <c r="B37" s="214"/>
      <c r="C37" s="214"/>
      <c r="D37" s="214"/>
      <c r="E37" s="214"/>
      <c r="F37" s="214"/>
      <c r="G37" s="214"/>
      <c r="H37" s="214"/>
      <c r="I37" s="214"/>
      <c r="K37" s="216" t="str">
        <f>IF(AND(UPPER(TRIM($B37))="PR_CULVERT",$A37&lt;&gt;"",ISNUMBER(MATCH(UPPER(TRIM($C37)),{"PC","BC","UC"},0))),MAX($K$4:K36)+1,"")</f>
        <v/>
      </c>
    </row>
    <row r="38" spans="1:11" x14ac:dyDescent="0.3">
      <c r="A38" s="214"/>
      <c r="B38" s="214"/>
      <c r="C38" s="214"/>
      <c r="D38" s="214"/>
      <c r="E38" s="214"/>
      <c r="F38" s="214"/>
      <c r="G38" s="214"/>
      <c r="H38" s="214"/>
      <c r="I38" s="214"/>
      <c r="K38" s="216" t="str">
        <f>IF(AND(UPPER(TRIM($B38))="PR_CULVERT",$A38&lt;&gt;"",ISNUMBER(MATCH(UPPER(TRIM($C38)),{"PC","BC","UC"},0))),MAX($K$4:K37)+1,"")</f>
        <v/>
      </c>
    </row>
    <row r="39" spans="1:11" x14ac:dyDescent="0.3">
      <c r="A39" s="214"/>
      <c r="B39" s="214"/>
      <c r="C39" s="214"/>
      <c r="D39" s="214"/>
      <c r="E39" s="214"/>
      <c r="F39" s="214"/>
      <c r="G39" s="214"/>
      <c r="H39" s="214"/>
      <c r="I39" s="214"/>
      <c r="K39" s="216" t="str">
        <f>IF(AND(UPPER(TRIM($B39))="PR_CULVERT",$A39&lt;&gt;"",ISNUMBER(MATCH(UPPER(TRIM($C39)),{"PC","BC","UC"},0))),MAX($K$4:K38)+1,"")</f>
        <v/>
      </c>
    </row>
    <row r="40" spans="1:11" x14ac:dyDescent="0.3">
      <c r="A40" s="214"/>
      <c r="B40" s="214"/>
      <c r="C40" s="214"/>
      <c r="D40" s="214"/>
      <c r="E40" s="214"/>
      <c r="F40" s="214"/>
      <c r="G40" s="214"/>
      <c r="H40" s="214"/>
      <c r="I40" s="214"/>
      <c r="K40" s="216" t="str">
        <f>IF(AND(UPPER(TRIM($B40))="PR_CULVERT",$A40&lt;&gt;"",ISNUMBER(MATCH(UPPER(TRIM($C40)),{"PC","BC","UC"},0))),MAX($K$4:K39)+1,"")</f>
        <v/>
      </c>
    </row>
    <row r="41" spans="1:11" x14ac:dyDescent="0.3">
      <c r="A41" s="214"/>
      <c r="B41" s="214"/>
      <c r="C41" s="214"/>
      <c r="D41" s="214"/>
      <c r="E41" s="214"/>
      <c r="F41" s="214"/>
      <c r="G41" s="214"/>
      <c r="H41" s="214"/>
      <c r="I41" s="214"/>
      <c r="K41" s="216" t="str">
        <f>IF(AND(UPPER(TRIM($B41))="PR_CULVERT",$A41&lt;&gt;"",ISNUMBER(MATCH(UPPER(TRIM($C41)),{"PC","BC","UC"},0))),MAX($K$4:K40)+1,"")</f>
        <v/>
      </c>
    </row>
    <row r="42" spans="1:11" x14ac:dyDescent="0.3">
      <c r="A42" s="214"/>
      <c r="B42" s="214"/>
      <c r="C42" s="214"/>
      <c r="D42" s="214"/>
      <c r="E42" s="214"/>
      <c r="F42" s="214"/>
      <c r="G42" s="214"/>
      <c r="H42" s="214"/>
      <c r="I42" s="214"/>
      <c r="K42" s="216" t="str">
        <f>IF(AND(UPPER(TRIM($B42))="PR_CULVERT",$A42&lt;&gt;"",ISNUMBER(MATCH(UPPER(TRIM($C42)),{"PC","BC","UC"},0))),MAX($K$4:K41)+1,"")</f>
        <v/>
      </c>
    </row>
    <row r="43" spans="1:11" x14ac:dyDescent="0.3">
      <c r="A43" s="214"/>
      <c r="B43" s="214"/>
      <c r="C43" s="214"/>
      <c r="D43" s="214"/>
      <c r="E43" s="214"/>
      <c r="F43" s="214"/>
      <c r="G43" s="214"/>
      <c r="H43" s="214"/>
      <c r="I43" s="214"/>
      <c r="K43" s="216" t="str">
        <f>IF(AND(UPPER(TRIM($B43))="PR_CULVERT",$A43&lt;&gt;"",ISNUMBER(MATCH(UPPER(TRIM($C43)),{"PC","BC","UC"},0))),MAX($K$4:K42)+1,"")</f>
        <v/>
      </c>
    </row>
    <row r="44" spans="1:11" x14ac:dyDescent="0.3">
      <c r="A44" s="214"/>
      <c r="B44" s="214"/>
      <c r="C44" s="214"/>
      <c r="D44" s="214"/>
      <c r="E44" s="214"/>
      <c r="F44" s="214"/>
      <c r="G44" s="214"/>
      <c r="H44" s="214"/>
      <c r="I44" s="214"/>
      <c r="K44" s="216" t="str">
        <f>IF(AND(UPPER(TRIM($B44))="PR_CULVERT",$A44&lt;&gt;"",ISNUMBER(MATCH(UPPER(TRIM($C44)),{"PC","BC","UC"},0))),MAX($K$4:K43)+1,"")</f>
        <v/>
      </c>
    </row>
    <row r="45" spans="1:11" x14ac:dyDescent="0.3">
      <c r="A45" s="214"/>
      <c r="B45" s="214"/>
      <c r="C45" s="214"/>
      <c r="D45" s="214"/>
      <c r="E45" s="214"/>
      <c r="F45" s="214"/>
      <c r="G45" s="214"/>
      <c r="H45" s="214"/>
      <c r="I45" s="214"/>
      <c r="K45" s="216" t="str">
        <f>IF(AND(UPPER(TRIM($B45))="PR_CULVERT",$A45&lt;&gt;"",ISNUMBER(MATCH(UPPER(TRIM($C45)),{"PC","BC","UC"},0))),MAX($K$4:K44)+1,"")</f>
        <v/>
      </c>
    </row>
    <row r="46" spans="1:11" x14ac:dyDescent="0.3">
      <c r="A46" s="214"/>
      <c r="B46" s="214"/>
      <c r="C46" s="214"/>
      <c r="D46" s="214"/>
      <c r="E46" s="214"/>
      <c r="F46" s="214"/>
      <c r="G46" s="214"/>
      <c r="H46" s="214"/>
      <c r="I46" s="214"/>
      <c r="K46" s="216" t="str">
        <f>IF(AND(UPPER(TRIM($B46))="PR_CULVERT",$A46&lt;&gt;"",ISNUMBER(MATCH(UPPER(TRIM($C46)),{"PC","BC","UC"},0))),MAX($K$4:K45)+1,"")</f>
        <v/>
      </c>
    </row>
    <row r="47" spans="1:11" x14ac:dyDescent="0.3">
      <c r="A47" s="214"/>
      <c r="B47" s="214"/>
      <c r="C47" s="214"/>
      <c r="D47" s="214"/>
      <c r="E47" s="214"/>
      <c r="F47" s="214"/>
      <c r="G47" s="214"/>
      <c r="H47" s="214"/>
      <c r="I47" s="214"/>
      <c r="K47" s="216" t="str">
        <f>IF(AND(UPPER(TRIM($B47))="PR_CULVERT",$A47&lt;&gt;"",ISNUMBER(MATCH(UPPER(TRIM($C47)),{"PC","BC","UC"},0))),MAX($K$4:K46)+1,"")</f>
        <v/>
      </c>
    </row>
    <row r="48" spans="1:11" x14ac:dyDescent="0.3">
      <c r="A48" s="214"/>
      <c r="B48" s="214"/>
      <c r="C48" s="214"/>
      <c r="D48" s="214"/>
      <c r="E48" s="214"/>
      <c r="F48" s="214"/>
      <c r="G48" s="214"/>
      <c r="H48" s="214"/>
      <c r="I48" s="214"/>
      <c r="K48" s="216" t="str">
        <f>IF(AND(UPPER(TRIM($B48))="PR_CULVERT",$A48&lt;&gt;"",ISNUMBER(MATCH(UPPER(TRIM($C48)),{"PC","BC","UC"},0))),MAX($K$4:K47)+1,"")</f>
        <v/>
      </c>
    </row>
    <row r="49" spans="1:11" x14ac:dyDescent="0.3">
      <c r="A49" s="214"/>
      <c r="B49" s="214"/>
      <c r="C49" s="214"/>
      <c r="D49" s="214"/>
      <c r="E49" s="214"/>
      <c r="F49" s="214"/>
      <c r="G49" s="214"/>
      <c r="H49" s="214"/>
      <c r="I49" s="214"/>
      <c r="K49" s="216" t="str">
        <f>IF(AND(UPPER(TRIM($B49))="PR_CULVERT",$A49&lt;&gt;"",ISNUMBER(MATCH(UPPER(TRIM($C49)),{"PC","BC","UC"},0))),MAX($K$4:K48)+1,"")</f>
        <v/>
      </c>
    </row>
    <row r="50" spans="1:11" x14ac:dyDescent="0.3">
      <c r="A50" s="214"/>
      <c r="B50" s="214"/>
      <c r="C50" s="214"/>
      <c r="D50" s="214"/>
      <c r="E50" s="214"/>
      <c r="F50" s="214"/>
      <c r="G50" s="214"/>
      <c r="H50" s="214"/>
      <c r="I50" s="214"/>
      <c r="K50" s="216" t="str">
        <f>IF(AND(UPPER(TRIM($B50))="PR_CULVERT",$A50&lt;&gt;"",ISNUMBER(MATCH(UPPER(TRIM($C50)),{"PC","BC","UC"},0))),MAX($K$4:K49)+1,"")</f>
        <v/>
      </c>
    </row>
    <row r="51" spans="1:11" x14ac:dyDescent="0.3">
      <c r="A51" s="214"/>
      <c r="B51" s="214"/>
      <c r="C51" s="214"/>
      <c r="D51" s="214"/>
      <c r="E51" s="214"/>
      <c r="F51" s="214"/>
      <c r="G51" s="214"/>
      <c r="H51" s="214"/>
      <c r="I51" s="214"/>
      <c r="K51" s="216" t="str">
        <f>IF(AND(UPPER(TRIM($B51))="PR_CULVERT",$A51&lt;&gt;"",ISNUMBER(MATCH(UPPER(TRIM($C51)),{"PC","BC","UC"},0))),MAX($K$4:K50)+1,"")</f>
        <v/>
      </c>
    </row>
    <row r="52" spans="1:11" x14ac:dyDescent="0.3">
      <c r="A52" s="214"/>
      <c r="B52" s="214"/>
      <c r="C52" s="214"/>
      <c r="D52" s="214"/>
      <c r="E52" s="214"/>
      <c r="F52" s="214"/>
      <c r="G52" s="214"/>
      <c r="H52" s="214"/>
      <c r="I52" s="214"/>
      <c r="K52" s="216" t="str">
        <f>IF(AND(UPPER(TRIM($B52))="PR_CULVERT",$A52&lt;&gt;"",ISNUMBER(MATCH(UPPER(TRIM($C52)),{"PC","BC","UC"},0))),MAX($K$4:K51)+1,"")</f>
        <v/>
      </c>
    </row>
    <row r="53" spans="1:11" x14ac:dyDescent="0.3">
      <c r="A53" s="214"/>
      <c r="B53" s="214"/>
      <c r="C53" s="214"/>
      <c r="D53" s="214"/>
      <c r="E53" s="214"/>
      <c r="F53" s="214"/>
      <c r="G53" s="214"/>
      <c r="H53" s="214"/>
      <c r="I53" s="214"/>
      <c r="K53" s="216" t="str">
        <f>IF(AND(UPPER(TRIM($B53))="PR_CULVERT",$A53&lt;&gt;"",ISNUMBER(MATCH(UPPER(TRIM($C53)),{"PC","BC","UC"},0))),MAX($K$4:K52)+1,"")</f>
        <v/>
      </c>
    </row>
    <row r="54" spans="1:11" x14ac:dyDescent="0.3">
      <c r="A54" s="214"/>
      <c r="B54" s="214"/>
      <c r="C54" s="214"/>
      <c r="D54" s="214"/>
      <c r="E54" s="214"/>
      <c r="F54" s="214"/>
      <c r="G54" s="214"/>
      <c r="H54" s="214"/>
      <c r="I54" s="214"/>
      <c r="K54" s="216" t="str">
        <f>IF(AND(UPPER(TRIM($B54))="PR_CULVERT",$A54&lt;&gt;"",ISNUMBER(MATCH(UPPER(TRIM($C54)),{"PC","BC","UC"},0))),MAX($K$4:K53)+1,"")</f>
        <v/>
      </c>
    </row>
    <row r="55" spans="1:11" x14ac:dyDescent="0.3">
      <c r="A55" s="214"/>
      <c r="B55" s="214"/>
      <c r="C55" s="214"/>
      <c r="D55" s="214"/>
      <c r="E55" s="214"/>
      <c r="F55" s="214"/>
      <c r="G55" s="214"/>
      <c r="H55" s="214"/>
      <c r="I55" s="214"/>
      <c r="K55" s="216" t="str">
        <f>IF(AND(UPPER(TRIM($B55))="PR_CULVERT",$A55&lt;&gt;"",ISNUMBER(MATCH(UPPER(TRIM($C55)),{"PC","BC","UC"},0))),MAX($K$4:K54)+1,"")</f>
        <v/>
      </c>
    </row>
    <row r="56" spans="1:11" x14ac:dyDescent="0.3">
      <c r="A56" s="214"/>
      <c r="B56" s="214"/>
      <c r="C56" s="214"/>
      <c r="D56" s="214"/>
      <c r="E56" s="214"/>
      <c r="F56" s="214"/>
      <c r="G56" s="214"/>
      <c r="H56" s="214"/>
      <c r="I56" s="214"/>
      <c r="K56" s="216" t="str">
        <f>IF(AND(UPPER(TRIM($B56))="PR_CULVERT",$A56&lt;&gt;"",ISNUMBER(MATCH(UPPER(TRIM($C56)),{"PC","BC","UC"},0))),MAX($K$4:K55)+1,"")</f>
        <v/>
      </c>
    </row>
    <row r="57" spans="1:11" x14ac:dyDescent="0.3">
      <c r="A57" s="214"/>
      <c r="B57" s="214"/>
      <c r="C57" s="214"/>
      <c r="D57" s="214"/>
      <c r="E57" s="214"/>
      <c r="F57" s="214"/>
      <c r="G57" s="214"/>
      <c r="H57" s="214"/>
      <c r="I57" s="214"/>
      <c r="K57" s="216" t="str">
        <f>IF(AND(UPPER(TRIM($B57))="PR_CULVERT",$A57&lt;&gt;"",ISNUMBER(MATCH(UPPER(TRIM($C57)),{"PC","BC","UC"},0))),MAX($K$4:K56)+1,"")</f>
        <v/>
      </c>
    </row>
    <row r="58" spans="1:11" x14ac:dyDescent="0.3">
      <c r="A58" s="214"/>
      <c r="B58" s="214"/>
      <c r="C58" s="214"/>
      <c r="D58" s="214"/>
      <c r="E58" s="214"/>
      <c r="F58" s="214"/>
      <c r="G58" s="214"/>
      <c r="H58" s="214"/>
      <c r="I58" s="214"/>
      <c r="K58" s="216" t="str">
        <f>IF(AND(UPPER(TRIM($B58))="PR_CULVERT",$A58&lt;&gt;"",ISNUMBER(MATCH(UPPER(TRIM($C58)),{"PC","BC","UC"},0))),MAX($K$4:K57)+1,"")</f>
        <v/>
      </c>
    </row>
    <row r="59" spans="1:11" x14ac:dyDescent="0.3">
      <c r="A59" s="214"/>
      <c r="B59" s="214"/>
      <c r="C59" s="214"/>
      <c r="D59" s="214"/>
      <c r="E59" s="214"/>
      <c r="F59" s="214"/>
      <c r="G59" s="214"/>
      <c r="H59" s="214"/>
      <c r="I59" s="214"/>
      <c r="K59" s="216" t="str">
        <f>IF(AND(UPPER(TRIM($B59))="PR_CULVERT",$A59&lt;&gt;"",ISNUMBER(MATCH(UPPER(TRIM($C59)),{"PC","BC","UC"},0))),MAX($K$4:K58)+1,"")</f>
        <v/>
      </c>
    </row>
    <row r="60" spans="1:11" x14ac:dyDescent="0.3">
      <c r="A60" s="214"/>
      <c r="B60" s="214"/>
      <c r="C60" s="214"/>
      <c r="D60" s="214"/>
      <c r="E60" s="214"/>
      <c r="F60" s="214"/>
      <c r="G60" s="214"/>
      <c r="H60" s="214"/>
      <c r="I60" s="214"/>
      <c r="K60" s="216" t="str">
        <f>IF(AND(UPPER(TRIM($B60))="PR_CULVERT",$A60&lt;&gt;"",ISNUMBER(MATCH(UPPER(TRIM($C60)),{"PC","BC","UC"},0))),MAX($K$4:K59)+1,"")</f>
        <v/>
      </c>
    </row>
    <row r="61" spans="1:11" x14ac:dyDescent="0.3">
      <c r="A61" s="214"/>
      <c r="B61" s="214"/>
      <c r="C61" s="214"/>
      <c r="D61" s="214"/>
      <c r="E61" s="214"/>
      <c r="F61" s="214"/>
      <c r="G61" s="214"/>
      <c r="H61" s="214"/>
      <c r="I61" s="214"/>
      <c r="K61" s="216" t="str">
        <f>IF(AND(UPPER(TRIM($B61))="PR_CULVERT",$A61&lt;&gt;"",ISNUMBER(MATCH(UPPER(TRIM($C61)),{"PC","BC","UC"},0))),MAX($K$4:K60)+1,"")</f>
        <v/>
      </c>
    </row>
    <row r="62" spans="1:11" x14ac:dyDescent="0.3">
      <c r="A62" s="214"/>
      <c r="B62" s="214"/>
      <c r="C62" s="214"/>
      <c r="D62" s="214"/>
      <c r="E62" s="214"/>
      <c r="F62" s="214"/>
      <c r="G62" s="214"/>
      <c r="H62" s="214"/>
      <c r="I62" s="214"/>
      <c r="K62" s="216" t="str">
        <f>IF(AND(UPPER(TRIM($B62))="PR_CULVERT",$A62&lt;&gt;"",ISNUMBER(MATCH(UPPER(TRIM($C62)),{"PC","BC","UC"},0))),MAX($K$4:K61)+1,"")</f>
        <v/>
      </c>
    </row>
    <row r="63" spans="1:11" x14ac:dyDescent="0.3">
      <c r="A63" s="214"/>
      <c r="B63" s="214"/>
      <c r="C63" s="214"/>
      <c r="D63" s="214"/>
      <c r="E63" s="214"/>
      <c r="F63" s="214"/>
      <c r="G63" s="214"/>
      <c r="H63" s="214"/>
      <c r="I63" s="214"/>
      <c r="K63" s="216" t="str">
        <f>IF(AND(UPPER(TRIM($B63))="PR_CULVERT",$A63&lt;&gt;"",ISNUMBER(MATCH(UPPER(TRIM($C63)),{"PC","BC","UC"},0))),MAX($K$4:K62)+1,"")</f>
        <v/>
      </c>
    </row>
    <row r="64" spans="1:11" x14ac:dyDescent="0.3">
      <c r="A64" s="214"/>
      <c r="B64" s="214"/>
      <c r="C64" s="214"/>
      <c r="D64" s="214"/>
      <c r="E64" s="214"/>
      <c r="F64" s="214"/>
      <c r="G64" s="214"/>
      <c r="H64" s="214"/>
      <c r="I64" s="214"/>
      <c r="K64" s="216" t="str">
        <f>IF(AND(UPPER(TRIM($B64))="PR_CULVERT",$A64&lt;&gt;"",ISNUMBER(MATCH(UPPER(TRIM($C64)),{"PC","BC","UC"},0))),MAX($K$4:K63)+1,"")</f>
        <v/>
      </c>
    </row>
    <row r="65" spans="1:11" x14ac:dyDescent="0.3">
      <c r="A65" s="214"/>
      <c r="B65" s="214"/>
      <c r="C65" s="214"/>
      <c r="D65" s="214"/>
      <c r="E65" s="214"/>
      <c r="F65" s="214"/>
      <c r="G65" s="214"/>
      <c r="H65" s="214"/>
      <c r="I65" s="214"/>
      <c r="K65" s="216" t="str">
        <f>IF(AND(UPPER(TRIM($B65))="PR_CULVERT",$A65&lt;&gt;"",ISNUMBER(MATCH(UPPER(TRIM($C65)),{"PC","BC","UC"},0))),MAX($K$4:K64)+1,"")</f>
        <v/>
      </c>
    </row>
    <row r="66" spans="1:11" x14ac:dyDescent="0.3">
      <c r="A66" s="214"/>
      <c r="B66" s="214"/>
      <c r="C66" s="214"/>
      <c r="D66" s="214"/>
      <c r="E66" s="214"/>
      <c r="F66" s="214"/>
      <c r="G66" s="214"/>
      <c r="H66" s="214"/>
      <c r="I66" s="214"/>
      <c r="K66" s="216" t="str">
        <f>IF(AND(UPPER(TRIM($B66))="PR_CULVERT",$A66&lt;&gt;"",ISNUMBER(MATCH(UPPER(TRIM($C66)),{"PC","BC","UC"},0))),MAX($K$4:K65)+1,"")</f>
        <v/>
      </c>
    </row>
    <row r="67" spans="1:11" x14ac:dyDescent="0.3">
      <c r="A67" s="214"/>
      <c r="B67" s="214"/>
      <c r="C67" s="214"/>
      <c r="D67" s="214"/>
      <c r="E67" s="214"/>
      <c r="F67" s="214"/>
      <c r="G67" s="214"/>
      <c r="H67" s="214"/>
      <c r="I67" s="214"/>
      <c r="K67" s="216" t="str">
        <f>IF(AND(UPPER(TRIM($B67))="PR_CULVERT",$A67&lt;&gt;"",ISNUMBER(MATCH(UPPER(TRIM($C67)),{"PC","BC","UC"},0))),MAX($K$4:K66)+1,"")</f>
        <v/>
      </c>
    </row>
    <row r="68" spans="1:11" x14ac:dyDescent="0.3">
      <c r="A68" s="214"/>
      <c r="B68" s="214"/>
      <c r="C68" s="214"/>
      <c r="D68" s="214"/>
      <c r="E68" s="214"/>
      <c r="F68" s="214"/>
      <c r="G68" s="214"/>
      <c r="H68" s="214"/>
      <c r="I68" s="214"/>
      <c r="K68" s="216" t="str">
        <f>IF(AND(UPPER(TRIM($B68))="PR_CULVERT",$A68&lt;&gt;"",ISNUMBER(MATCH(UPPER(TRIM($C68)),{"PC","BC","UC"},0))),MAX($K$4:K67)+1,"")</f>
        <v/>
      </c>
    </row>
    <row r="69" spans="1:11" x14ac:dyDescent="0.3">
      <c r="A69" s="214"/>
      <c r="B69" s="214"/>
      <c r="C69" s="214"/>
      <c r="D69" s="214"/>
      <c r="E69" s="214"/>
      <c r="F69" s="214"/>
      <c r="G69" s="214"/>
      <c r="H69" s="214"/>
      <c r="I69" s="214"/>
      <c r="K69" s="216" t="str">
        <f>IF(AND(UPPER(TRIM($B69))="PR_CULVERT",$A69&lt;&gt;"",ISNUMBER(MATCH(UPPER(TRIM($C69)),{"PC","BC","UC"},0))),MAX($K$4:K68)+1,"")</f>
        <v/>
      </c>
    </row>
    <row r="70" spans="1:11" x14ac:dyDescent="0.3">
      <c r="A70" s="214"/>
      <c r="B70" s="214"/>
      <c r="C70" s="214"/>
      <c r="D70" s="214"/>
      <c r="E70" s="214"/>
      <c r="F70" s="214"/>
      <c r="G70" s="214"/>
      <c r="H70" s="214"/>
      <c r="I70" s="214"/>
      <c r="K70" s="216" t="str">
        <f>IF(AND(UPPER(TRIM($B70))="PR_CULVERT",$A70&lt;&gt;"",ISNUMBER(MATCH(UPPER(TRIM($C70)),{"PC","BC","UC"},0))),MAX($K$4:K69)+1,"")</f>
        <v/>
      </c>
    </row>
    <row r="71" spans="1:11" x14ac:dyDescent="0.3">
      <c r="A71" s="214"/>
      <c r="B71" s="214"/>
      <c r="C71" s="214"/>
      <c r="D71" s="214"/>
      <c r="E71" s="214"/>
      <c r="F71" s="214"/>
      <c r="G71" s="214"/>
      <c r="H71" s="214"/>
      <c r="I71" s="214"/>
      <c r="K71" s="216" t="str">
        <f>IF(AND(UPPER(TRIM($B71))="PR_CULVERT",$A71&lt;&gt;"",ISNUMBER(MATCH(UPPER(TRIM($C71)),{"PC","BC","UC"},0))),MAX($K$4:K70)+1,"")</f>
        <v/>
      </c>
    </row>
    <row r="72" spans="1:11" x14ac:dyDescent="0.3">
      <c r="A72" s="214"/>
      <c r="B72" s="214"/>
      <c r="C72" s="214"/>
      <c r="D72" s="214"/>
      <c r="E72" s="214"/>
      <c r="F72" s="214"/>
      <c r="G72" s="214"/>
      <c r="H72" s="214"/>
      <c r="I72" s="214"/>
      <c r="K72" s="216" t="str">
        <f>IF(AND(UPPER(TRIM($B72))="PR_CULVERT",$A72&lt;&gt;"",ISNUMBER(MATCH(UPPER(TRIM($C72)),{"PC","BC","UC"},0))),MAX($K$4:K71)+1,"")</f>
        <v/>
      </c>
    </row>
    <row r="73" spans="1:11" x14ac:dyDescent="0.3">
      <c r="A73" s="214"/>
      <c r="B73" s="214"/>
      <c r="C73" s="214"/>
      <c r="D73" s="214"/>
      <c r="E73" s="214"/>
      <c r="F73" s="214"/>
      <c r="G73" s="214"/>
      <c r="H73" s="214"/>
      <c r="I73" s="214"/>
      <c r="K73" s="216" t="str">
        <f>IF(AND(UPPER(TRIM($B73))="PR_CULVERT",$A73&lt;&gt;"",ISNUMBER(MATCH(UPPER(TRIM($C73)),{"PC","BC","UC"},0))),MAX($K$4:K72)+1,"")</f>
        <v/>
      </c>
    </row>
    <row r="74" spans="1:11" x14ac:dyDescent="0.3">
      <c r="A74" s="214"/>
      <c r="B74" s="214"/>
      <c r="C74" s="214"/>
      <c r="D74" s="214"/>
      <c r="E74" s="214"/>
      <c r="F74" s="214"/>
      <c r="G74" s="214"/>
      <c r="H74" s="214"/>
      <c r="I74" s="214"/>
      <c r="K74" s="216" t="str">
        <f>IF(AND(UPPER(TRIM($B74))="PR_CULVERT",$A74&lt;&gt;"",ISNUMBER(MATCH(UPPER(TRIM($C74)),{"PC","BC","UC"},0))),MAX($K$4:K73)+1,"")</f>
        <v/>
      </c>
    </row>
    <row r="75" spans="1:11" x14ac:dyDescent="0.3">
      <c r="A75" s="214"/>
      <c r="B75" s="214"/>
      <c r="C75" s="214"/>
      <c r="D75" s="214"/>
      <c r="E75" s="214"/>
      <c r="F75" s="214"/>
      <c r="G75" s="214"/>
      <c r="H75" s="214"/>
      <c r="I75" s="214"/>
      <c r="K75" s="216" t="str">
        <f>IF(AND(UPPER(TRIM($B75))="PR_CULVERT",$A75&lt;&gt;"",ISNUMBER(MATCH(UPPER(TRIM($C75)),{"PC","BC","UC"},0))),MAX($K$4:K74)+1,"")</f>
        <v/>
      </c>
    </row>
    <row r="76" spans="1:11" x14ac:dyDescent="0.3">
      <c r="A76" s="214"/>
      <c r="B76" s="214"/>
      <c r="C76" s="214"/>
      <c r="D76" s="214"/>
      <c r="E76" s="214"/>
      <c r="F76" s="214"/>
      <c r="G76" s="214"/>
      <c r="H76" s="214"/>
      <c r="I76" s="214"/>
      <c r="K76" s="216" t="str">
        <f>IF(AND(UPPER(TRIM($B76))="PR_CULVERT",$A76&lt;&gt;"",ISNUMBER(MATCH(UPPER(TRIM($C76)),{"PC","BC","UC"},0))),MAX($K$4:K75)+1,"")</f>
        <v/>
      </c>
    </row>
    <row r="77" spans="1:11" x14ac:dyDescent="0.3">
      <c r="A77" s="214"/>
      <c r="B77" s="214"/>
      <c r="C77" s="214"/>
      <c r="D77" s="214"/>
      <c r="E77" s="214"/>
      <c r="F77" s="214"/>
      <c r="G77" s="214"/>
      <c r="H77" s="214"/>
      <c r="I77" s="214"/>
      <c r="K77" s="216" t="str">
        <f>IF(AND(UPPER(TRIM($B77))="PR_CULVERT",$A77&lt;&gt;"",ISNUMBER(MATCH(UPPER(TRIM($C77)),{"PC","BC","UC"},0))),MAX($K$4:K76)+1,"")</f>
        <v/>
      </c>
    </row>
    <row r="78" spans="1:11" x14ac:dyDescent="0.3">
      <c r="A78" s="214"/>
      <c r="B78" s="214"/>
      <c r="C78" s="214"/>
      <c r="D78" s="214"/>
      <c r="E78" s="214"/>
      <c r="F78" s="214"/>
      <c r="G78" s="214"/>
      <c r="H78" s="214"/>
      <c r="I78" s="214"/>
      <c r="K78" s="216" t="str">
        <f>IF(AND(UPPER(TRIM($B78))="PR_CULVERT",$A78&lt;&gt;"",ISNUMBER(MATCH(UPPER(TRIM($C78)),{"PC","BC","UC"},0))),MAX($K$4:K77)+1,"")</f>
        <v/>
      </c>
    </row>
    <row r="79" spans="1:11" x14ac:dyDescent="0.3">
      <c r="A79" s="214"/>
      <c r="B79" s="214"/>
      <c r="C79" s="214"/>
      <c r="D79" s="214"/>
      <c r="E79" s="214"/>
      <c r="F79" s="214"/>
      <c r="G79" s="214"/>
      <c r="H79" s="214"/>
      <c r="I79" s="214"/>
      <c r="K79" s="216" t="str">
        <f>IF(AND(UPPER(TRIM($B79))="PR_CULVERT",$A79&lt;&gt;"",ISNUMBER(MATCH(UPPER(TRIM($C79)),{"PC","BC","UC"},0))),MAX($K$4:K78)+1,"")</f>
        <v/>
      </c>
    </row>
    <row r="80" spans="1:11" x14ac:dyDescent="0.3">
      <c r="A80" s="214"/>
      <c r="B80" s="214"/>
      <c r="C80" s="214"/>
      <c r="D80" s="214"/>
      <c r="E80" s="214"/>
      <c r="F80" s="214"/>
      <c r="G80" s="214"/>
      <c r="H80" s="214"/>
      <c r="I80" s="214"/>
      <c r="K80" s="216" t="str">
        <f>IF(AND(UPPER(TRIM($B80))="PR_CULVERT",$A80&lt;&gt;"",ISNUMBER(MATCH(UPPER(TRIM($C80)),{"PC","BC","UC"},0))),MAX($K$4:K79)+1,"")</f>
        <v/>
      </c>
    </row>
    <row r="81" spans="1:11" x14ac:dyDescent="0.3">
      <c r="A81" s="214"/>
      <c r="B81" s="214"/>
      <c r="C81" s="214"/>
      <c r="D81" s="214"/>
      <c r="E81" s="214"/>
      <c r="F81" s="214"/>
      <c r="G81" s="214"/>
      <c r="H81" s="214"/>
      <c r="I81" s="214"/>
      <c r="K81" s="216" t="str">
        <f>IF(AND(UPPER(TRIM($B81))="PR_CULVERT",$A81&lt;&gt;"",ISNUMBER(MATCH(UPPER(TRIM($C81)),{"PC","BC","UC"},0))),MAX($K$4:K80)+1,"")</f>
        <v/>
      </c>
    </row>
    <row r="82" spans="1:11" x14ac:dyDescent="0.3">
      <c r="A82" s="214"/>
      <c r="B82" s="214"/>
      <c r="C82" s="214"/>
      <c r="D82" s="214"/>
      <c r="E82" s="214"/>
      <c r="F82" s="214"/>
      <c r="G82" s="214"/>
      <c r="H82" s="214"/>
      <c r="I82" s="214"/>
      <c r="K82" s="216" t="str">
        <f>IF(AND(UPPER(TRIM($B82))="PR_CULVERT",$A82&lt;&gt;"",ISNUMBER(MATCH(UPPER(TRIM($C82)),{"PC","BC","UC"},0))),MAX($K$4:K81)+1,"")</f>
        <v/>
      </c>
    </row>
    <row r="83" spans="1:11" x14ac:dyDescent="0.3">
      <c r="A83" s="214"/>
      <c r="B83" s="214"/>
      <c r="C83" s="214"/>
      <c r="D83" s="214"/>
      <c r="E83" s="214"/>
      <c r="F83" s="214"/>
      <c r="G83" s="214"/>
      <c r="H83" s="214"/>
      <c r="I83" s="214"/>
      <c r="K83" s="216" t="str">
        <f>IF(AND(UPPER(TRIM($B83))="PR_CULVERT",$A83&lt;&gt;"",ISNUMBER(MATCH(UPPER(TRIM($C83)),{"PC","BC","UC"},0))),MAX($K$4:K82)+1,"")</f>
        <v/>
      </c>
    </row>
    <row r="84" spans="1:11" x14ac:dyDescent="0.3">
      <c r="A84" s="214"/>
      <c r="B84" s="214"/>
      <c r="C84" s="214"/>
      <c r="D84" s="214"/>
      <c r="E84" s="214"/>
      <c r="F84" s="214"/>
      <c r="G84" s="214"/>
      <c r="H84" s="214"/>
      <c r="I84" s="214"/>
      <c r="K84" s="216" t="str">
        <f>IF(AND(UPPER(TRIM($B84))="PR_CULVERT",$A84&lt;&gt;"",ISNUMBER(MATCH(UPPER(TRIM($C84)),{"PC","BC","UC"},0))),MAX($K$4:K83)+1,"")</f>
        <v/>
      </c>
    </row>
    <row r="85" spans="1:11" x14ac:dyDescent="0.3">
      <c r="A85" s="214"/>
      <c r="B85" s="214"/>
      <c r="C85" s="214"/>
      <c r="D85" s="214"/>
      <c r="E85" s="214"/>
      <c r="F85" s="214"/>
      <c r="G85" s="214"/>
      <c r="H85" s="214"/>
      <c r="I85" s="214"/>
      <c r="K85" s="216" t="str">
        <f>IF(AND(UPPER(TRIM($B85))="PR_CULVERT",$A85&lt;&gt;"",ISNUMBER(MATCH(UPPER(TRIM($C85)),{"PC","BC","UC"},0))),MAX($K$4:K84)+1,"")</f>
        <v/>
      </c>
    </row>
    <row r="86" spans="1:11" x14ac:dyDescent="0.3">
      <c r="A86" s="214"/>
      <c r="B86" s="214"/>
      <c r="C86" s="214"/>
      <c r="D86" s="214"/>
      <c r="E86" s="214"/>
      <c r="F86" s="214"/>
      <c r="G86" s="214"/>
      <c r="H86" s="214"/>
      <c r="I86" s="214"/>
      <c r="K86" s="216" t="str">
        <f>IF(AND(UPPER(TRIM($B86))="PR_CULVERT",$A86&lt;&gt;"",ISNUMBER(MATCH(UPPER(TRIM($C86)),{"PC","BC","UC"},0))),MAX($K$4:K85)+1,"")</f>
        <v/>
      </c>
    </row>
    <row r="87" spans="1:11" x14ac:dyDescent="0.3">
      <c r="A87" s="214"/>
      <c r="B87" s="214"/>
      <c r="C87" s="214"/>
      <c r="D87" s="214"/>
      <c r="E87" s="214"/>
      <c r="F87" s="214"/>
      <c r="G87" s="214"/>
      <c r="H87" s="214"/>
      <c r="I87" s="214"/>
      <c r="K87" s="216" t="str">
        <f>IF(AND(UPPER(TRIM($B87))="PR_CULVERT",$A87&lt;&gt;"",ISNUMBER(MATCH(UPPER(TRIM($C87)),{"PC","BC","UC"},0))),MAX($K$4:K86)+1,"")</f>
        <v/>
      </c>
    </row>
    <row r="88" spans="1:11" x14ac:dyDescent="0.3">
      <c r="A88" s="214"/>
      <c r="B88" s="214"/>
      <c r="C88" s="214"/>
      <c r="D88" s="214"/>
      <c r="E88" s="214"/>
      <c r="F88" s="214"/>
      <c r="G88" s="214"/>
      <c r="H88" s="214"/>
      <c r="I88" s="214"/>
      <c r="K88" s="216" t="str">
        <f>IF(AND(UPPER(TRIM($B88))="PR_CULVERT",$A88&lt;&gt;"",ISNUMBER(MATCH(UPPER(TRIM($C88)),{"PC","BC","UC"},0))),MAX($K$4:K87)+1,"")</f>
        <v/>
      </c>
    </row>
    <row r="89" spans="1:11" x14ac:dyDescent="0.3">
      <c r="A89" s="214"/>
      <c r="B89" s="214"/>
      <c r="C89" s="214"/>
      <c r="D89" s="214"/>
      <c r="E89" s="214"/>
      <c r="F89" s="214"/>
      <c r="G89" s="214"/>
      <c r="H89" s="214"/>
      <c r="I89" s="214"/>
      <c r="K89" s="216" t="str">
        <f>IF(AND(UPPER(TRIM($B89))="PR_CULVERT",$A89&lt;&gt;"",ISNUMBER(MATCH(UPPER(TRIM($C89)),{"PC","BC","UC"},0))),MAX($K$4:K88)+1,"")</f>
        <v/>
      </c>
    </row>
    <row r="90" spans="1:11" x14ac:dyDescent="0.3">
      <c r="A90" s="214"/>
      <c r="B90" s="214"/>
      <c r="C90" s="214"/>
      <c r="D90" s="214"/>
      <c r="E90" s="214"/>
      <c r="F90" s="214"/>
      <c r="G90" s="214"/>
      <c r="H90" s="214"/>
      <c r="I90" s="214"/>
      <c r="K90" s="216" t="str">
        <f>IF(AND(UPPER(TRIM($B90))="PR_CULVERT",$A90&lt;&gt;"",ISNUMBER(MATCH(UPPER(TRIM($C90)),{"PC","BC","UC"},0))),MAX($K$4:K89)+1,"")</f>
        <v/>
      </c>
    </row>
    <row r="91" spans="1:11" x14ac:dyDescent="0.3">
      <c r="A91" s="214"/>
      <c r="B91" s="214"/>
      <c r="C91" s="214"/>
      <c r="D91" s="214"/>
      <c r="E91" s="214"/>
      <c r="F91" s="214"/>
      <c r="G91" s="214"/>
      <c r="H91" s="214"/>
      <c r="I91" s="214"/>
      <c r="K91" s="216" t="str">
        <f>IF(AND(UPPER(TRIM($B91))="PR_CULVERT",$A91&lt;&gt;"",ISNUMBER(MATCH(UPPER(TRIM($C91)),{"PC","BC","UC"},0))),MAX($K$4:K90)+1,"")</f>
        <v/>
      </c>
    </row>
    <row r="92" spans="1:11" x14ac:dyDescent="0.3">
      <c r="A92" s="214"/>
      <c r="B92" s="214"/>
      <c r="C92" s="214"/>
      <c r="D92" s="214"/>
      <c r="E92" s="214"/>
      <c r="F92" s="214"/>
      <c r="G92" s="214"/>
      <c r="H92" s="214"/>
      <c r="I92" s="214"/>
      <c r="K92" s="216" t="str">
        <f>IF(AND(UPPER(TRIM($B92))="PR_CULVERT",$A92&lt;&gt;"",ISNUMBER(MATCH(UPPER(TRIM($C92)),{"PC","BC","UC"},0))),MAX($K$4:K91)+1,"")</f>
        <v/>
      </c>
    </row>
    <row r="93" spans="1:11" x14ac:dyDescent="0.3">
      <c r="A93" s="214"/>
      <c r="B93" s="214"/>
      <c r="C93" s="214"/>
      <c r="D93" s="214"/>
      <c r="E93" s="214"/>
      <c r="F93" s="214"/>
      <c r="G93" s="214"/>
      <c r="H93" s="214"/>
      <c r="I93" s="214"/>
      <c r="K93" s="216" t="str">
        <f>IF(AND(UPPER(TRIM($B93))="PR_CULVERT",$A93&lt;&gt;"",ISNUMBER(MATCH(UPPER(TRIM($C93)),{"PC","BC","UC"},0))),MAX($K$4:K92)+1,"")</f>
        <v/>
      </c>
    </row>
    <row r="94" spans="1:11" x14ac:dyDescent="0.3">
      <c r="A94" s="214"/>
      <c r="B94" s="214"/>
      <c r="C94" s="214"/>
      <c r="D94" s="214"/>
      <c r="E94" s="214"/>
      <c r="F94" s="214"/>
      <c r="G94" s="214"/>
      <c r="H94" s="214"/>
      <c r="I94" s="214"/>
      <c r="K94" s="216" t="str">
        <f>IF(AND(UPPER(TRIM($B94))="PR_CULVERT",$A94&lt;&gt;"",ISNUMBER(MATCH(UPPER(TRIM($C94)),{"PC","BC","UC"},0))),MAX($K$4:K93)+1,"")</f>
        <v/>
      </c>
    </row>
    <row r="95" spans="1:11" x14ac:dyDescent="0.3">
      <c r="A95" s="214"/>
      <c r="B95" s="214"/>
      <c r="C95" s="214"/>
      <c r="D95" s="214"/>
      <c r="E95" s="214"/>
      <c r="F95" s="214"/>
      <c r="G95" s="214"/>
      <c r="H95" s="214"/>
      <c r="I95" s="214"/>
      <c r="K95" s="216" t="str">
        <f>IF(AND(UPPER(TRIM($B95))="PR_CULVERT",$A95&lt;&gt;"",ISNUMBER(MATCH(UPPER(TRIM($C95)),{"PC","BC","UC"},0))),MAX($K$4:K94)+1,"")</f>
        <v/>
      </c>
    </row>
    <row r="96" spans="1:11" x14ac:dyDescent="0.3">
      <c r="A96" s="214"/>
      <c r="B96" s="214"/>
      <c r="C96" s="214"/>
      <c r="D96" s="214"/>
      <c r="E96" s="214"/>
      <c r="F96" s="214"/>
      <c r="G96" s="214"/>
      <c r="H96" s="214"/>
      <c r="I96" s="214"/>
      <c r="K96" s="216" t="str">
        <f>IF(AND(UPPER(TRIM($B96))="PR_CULVERT",$A96&lt;&gt;"",ISNUMBER(MATCH(UPPER(TRIM($C96)),{"PC","BC","UC"},0))),MAX($K$4:K95)+1,"")</f>
        <v/>
      </c>
    </row>
    <row r="97" spans="1:11" x14ac:dyDescent="0.3">
      <c r="A97" s="214"/>
      <c r="B97" s="214"/>
      <c r="C97" s="214"/>
      <c r="D97" s="214"/>
      <c r="E97" s="214"/>
      <c r="F97" s="214"/>
      <c r="G97" s="214"/>
      <c r="H97" s="214"/>
      <c r="I97" s="214"/>
      <c r="K97" s="216" t="str">
        <f>IF(AND(UPPER(TRIM($B97))="PR_CULVERT",$A97&lt;&gt;"",ISNUMBER(MATCH(UPPER(TRIM($C97)),{"PC","BC","UC"},0))),MAX($K$4:K96)+1,"")</f>
        <v/>
      </c>
    </row>
    <row r="98" spans="1:11" x14ac:dyDescent="0.3">
      <c r="A98" s="214"/>
      <c r="B98" s="214"/>
      <c r="C98" s="214"/>
      <c r="D98" s="214"/>
      <c r="E98" s="214"/>
      <c r="F98" s="214"/>
      <c r="G98" s="214"/>
      <c r="H98" s="214"/>
      <c r="I98" s="214"/>
      <c r="K98" s="216" t="str">
        <f>IF(AND(UPPER(TRIM($B98))="PR_CULVERT",$A98&lt;&gt;"",ISNUMBER(MATCH(UPPER(TRIM($C98)),{"PC","BC","UC"},0))),MAX($K$4:K97)+1,"")</f>
        <v/>
      </c>
    </row>
    <row r="99" spans="1:11" x14ac:dyDescent="0.3">
      <c r="A99" s="214"/>
      <c r="B99" s="214"/>
      <c r="C99" s="214"/>
      <c r="D99" s="214"/>
      <c r="E99" s="214"/>
      <c r="F99" s="214"/>
      <c r="G99" s="214"/>
      <c r="H99" s="214"/>
      <c r="I99" s="214"/>
      <c r="K99" s="216" t="str">
        <f>IF(AND(UPPER(TRIM($B99))="PR_CULVERT",$A99&lt;&gt;"",ISNUMBER(MATCH(UPPER(TRIM($C99)),{"PC","BC","UC"},0))),MAX($K$4:K98)+1,"")</f>
        <v/>
      </c>
    </row>
    <row r="100" spans="1:11" x14ac:dyDescent="0.3">
      <c r="A100" s="214"/>
      <c r="B100" s="214"/>
      <c r="C100" s="214"/>
      <c r="D100" s="214"/>
      <c r="E100" s="214"/>
      <c r="F100" s="214"/>
      <c r="G100" s="214"/>
      <c r="H100" s="214"/>
      <c r="I100" s="214"/>
      <c r="K100" s="216" t="str">
        <f>IF(AND(UPPER(TRIM($B100))="PR_CULVERT",$A100&lt;&gt;"",ISNUMBER(MATCH(UPPER(TRIM($C100)),{"PC","BC","UC"},0))),MAX($K$4:K99)+1,"")</f>
        <v/>
      </c>
    </row>
    <row r="101" spans="1:11" x14ac:dyDescent="0.3">
      <c r="A101" s="214"/>
      <c r="B101" s="214"/>
      <c r="C101" s="214"/>
      <c r="D101" s="214"/>
      <c r="E101" s="214"/>
      <c r="F101" s="214"/>
      <c r="G101" s="214"/>
      <c r="H101" s="214"/>
      <c r="I101" s="214"/>
      <c r="K101" s="216" t="str">
        <f>IF(AND(UPPER(TRIM($B101))="PR_CULVERT",$A101&lt;&gt;"",ISNUMBER(MATCH(UPPER(TRIM($C101)),{"PC","BC","UC"},0))),MAX($K$4:K100)+1,"")</f>
        <v/>
      </c>
    </row>
    <row r="102" spans="1:11" x14ac:dyDescent="0.3">
      <c r="A102" s="214"/>
      <c r="B102" s="214"/>
      <c r="C102" s="214"/>
      <c r="D102" s="214"/>
      <c r="E102" s="214"/>
      <c r="F102" s="214"/>
      <c r="G102" s="214"/>
      <c r="H102" s="214"/>
      <c r="I102" s="214"/>
      <c r="K102" s="216" t="str">
        <f>IF(AND(UPPER(TRIM($B102))="PR_CULVERT",$A102&lt;&gt;"",ISNUMBER(MATCH(UPPER(TRIM($C102)),{"PC","BC","UC"},0))),MAX($K$4:K101)+1,"")</f>
        <v/>
      </c>
    </row>
    <row r="103" spans="1:11" x14ac:dyDescent="0.3">
      <c r="A103" s="214"/>
      <c r="B103" s="214"/>
      <c r="C103" s="214"/>
      <c r="D103" s="214"/>
      <c r="E103" s="214"/>
      <c r="F103" s="214"/>
      <c r="G103" s="214"/>
      <c r="H103" s="214"/>
      <c r="I103" s="214"/>
      <c r="K103" s="216" t="str">
        <f>IF(AND(UPPER(TRIM($B103))="PR_CULVERT",$A103&lt;&gt;"",ISNUMBER(MATCH(UPPER(TRIM($C103)),{"PC","BC","UC"},0))),MAX($K$4:K102)+1,"")</f>
        <v/>
      </c>
    </row>
    <row r="104" spans="1:11" x14ac:dyDescent="0.3">
      <c r="A104" s="214"/>
      <c r="B104" s="214"/>
      <c r="C104" s="214"/>
      <c r="D104" s="214"/>
      <c r="E104" s="214"/>
      <c r="F104" s="214"/>
      <c r="G104" s="214"/>
      <c r="H104" s="214"/>
      <c r="I104" s="214"/>
      <c r="K104" s="216" t="str">
        <f>IF(AND(UPPER(TRIM($B104))="PR_CULVERT",$A104&lt;&gt;"",ISNUMBER(MATCH(UPPER(TRIM($C104)),{"PC","BC","UC"},0))),MAX($K$4:K103)+1,"")</f>
        <v/>
      </c>
    </row>
    <row r="105" spans="1:11" x14ac:dyDescent="0.3">
      <c r="A105" s="214"/>
      <c r="B105" s="214"/>
      <c r="C105" s="214"/>
      <c r="D105" s="214"/>
      <c r="E105" s="214"/>
      <c r="F105" s="214"/>
      <c r="G105" s="214"/>
      <c r="H105" s="214"/>
      <c r="I105" s="214"/>
      <c r="K105" s="216" t="str">
        <f>IF(AND(UPPER(TRIM($B105))="PR_CULVERT",$A105&lt;&gt;"",ISNUMBER(MATCH(UPPER(TRIM($C105)),{"PC","BC","UC"},0))),MAX($K$4:K104)+1,"")</f>
        <v/>
      </c>
    </row>
    <row r="106" spans="1:11" x14ac:dyDescent="0.3">
      <c r="A106" s="214"/>
      <c r="B106" s="214"/>
      <c r="C106" s="214"/>
      <c r="D106" s="214"/>
      <c r="E106" s="214"/>
      <c r="F106" s="214"/>
      <c r="G106" s="214"/>
      <c r="H106" s="214"/>
      <c r="I106" s="214"/>
      <c r="K106" s="216" t="str">
        <f>IF(AND(UPPER(TRIM($B106))="PR_CULVERT",$A106&lt;&gt;"",ISNUMBER(MATCH(UPPER(TRIM($C106)),{"PC","BC","UC"},0))),MAX($K$4:K105)+1,"")</f>
        <v/>
      </c>
    </row>
    <row r="107" spans="1:11" x14ac:dyDescent="0.3">
      <c r="A107" s="214"/>
      <c r="B107" s="214"/>
      <c r="C107" s="214"/>
      <c r="D107" s="214"/>
      <c r="E107" s="214"/>
      <c r="F107" s="214"/>
      <c r="G107" s="214"/>
      <c r="H107" s="214"/>
      <c r="I107" s="214"/>
      <c r="K107" s="216" t="str">
        <f>IF(AND(UPPER(TRIM($B107))="PR_CULVERT",$A107&lt;&gt;"",ISNUMBER(MATCH(UPPER(TRIM($C107)),{"PC","BC","UC"},0))),MAX($K$4:K106)+1,"")</f>
        <v/>
      </c>
    </row>
    <row r="108" spans="1:11" x14ac:dyDescent="0.3">
      <c r="A108" s="214"/>
      <c r="B108" s="214"/>
      <c r="C108" s="214"/>
      <c r="D108" s="214"/>
      <c r="E108" s="214"/>
      <c r="F108" s="214"/>
      <c r="G108" s="214"/>
      <c r="H108" s="214"/>
      <c r="I108" s="214"/>
      <c r="K108" s="216" t="str">
        <f>IF(AND(UPPER(TRIM($B108))="PR_CULVERT",$A108&lt;&gt;"",ISNUMBER(MATCH(UPPER(TRIM($C108)),{"PC","BC","UC"},0))),MAX($K$4:K107)+1,"")</f>
        <v/>
      </c>
    </row>
    <row r="109" spans="1:11" x14ac:dyDescent="0.3">
      <c r="A109" s="214"/>
      <c r="B109" s="214"/>
      <c r="C109" s="214"/>
      <c r="D109" s="214"/>
      <c r="E109" s="214"/>
      <c r="F109" s="214"/>
      <c r="G109" s="214"/>
      <c r="H109" s="214"/>
      <c r="I109" s="214"/>
      <c r="K109" s="216" t="str">
        <f>IF(AND(UPPER(TRIM($B109))="PR_CULVERT",$A109&lt;&gt;"",ISNUMBER(MATCH(UPPER(TRIM($C109)),{"PC","BC","UC"},0))),MAX($K$4:K108)+1,"")</f>
        <v/>
      </c>
    </row>
    <row r="110" spans="1:11" x14ac:dyDescent="0.3">
      <c r="A110" s="214"/>
      <c r="B110" s="214"/>
      <c r="C110" s="214"/>
      <c r="D110" s="214"/>
      <c r="E110" s="214"/>
      <c r="F110" s="214"/>
      <c r="G110" s="214"/>
      <c r="H110" s="214"/>
      <c r="I110" s="214"/>
      <c r="K110" s="216" t="str">
        <f>IF(AND(UPPER(TRIM($B110))="PR_CULVERT",$A110&lt;&gt;"",ISNUMBER(MATCH(UPPER(TRIM($C110)),{"PC","BC","UC"},0))),MAX($K$4:K109)+1,"")</f>
        <v/>
      </c>
    </row>
    <row r="111" spans="1:11" x14ac:dyDescent="0.3">
      <c r="A111" s="214"/>
      <c r="B111" s="214"/>
      <c r="C111" s="214"/>
      <c r="D111" s="214"/>
      <c r="E111" s="214"/>
      <c r="F111" s="214"/>
      <c r="G111" s="214"/>
      <c r="H111" s="214"/>
      <c r="I111" s="214"/>
      <c r="K111" s="216" t="str">
        <f>IF(AND(UPPER(TRIM($B111))="PR_CULVERT",$A111&lt;&gt;"",ISNUMBER(MATCH(UPPER(TRIM($C111)),{"PC","BC","UC"},0))),MAX($K$4:K110)+1,"")</f>
        <v/>
      </c>
    </row>
    <row r="112" spans="1:11" x14ac:dyDescent="0.3">
      <c r="A112" s="214"/>
      <c r="B112" s="214"/>
      <c r="C112" s="214"/>
      <c r="D112" s="214"/>
      <c r="E112" s="214"/>
      <c r="F112" s="214"/>
      <c r="G112" s="214"/>
      <c r="H112" s="214"/>
      <c r="I112" s="214"/>
      <c r="K112" s="216" t="str">
        <f>IF(AND(UPPER(TRIM($B112))="PR_CULVERT",$A112&lt;&gt;"",ISNUMBER(MATCH(UPPER(TRIM($C112)),{"PC","BC","UC"},0))),MAX($K$4:K111)+1,"")</f>
        <v/>
      </c>
    </row>
    <row r="113" spans="1:11" x14ac:dyDescent="0.3">
      <c r="A113" s="214"/>
      <c r="B113" s="214"/>
      <c r="C113" s="214"/>
      <c r="D113" s="214"/>
      <c r="E113" s="214"/>
      <c r="F113" s="214"/>
      <c r="G113" s="214"/>
      <c r="H113" s="214"/>
      <c r="I113" s="214"/>
      <c r="K113" s="216" t="str">
        <f>IF(AND(UPPER(TRIM($B113))="PR_CULVERT",$A113&lt;&gt;"",ISNUMBER(MATCH(UPPER(TRIM($C113)),{"PC","BC","UC"},0))),MAX($K$4:K112)+1,"")</f>
        <v/>
      </c>
    </row>
    <row r="114" spans="1:11" x14ac:dyDescent="0.3">
      <c r="A114" s="214"/>
      <c r="B114" s="214"/>
      <c r="C114" s="214"/>
      <c r="D114" s="214"/>
      <c r="E114" s="214"/>
      <c r="F114" s="214"/>
      <c r="G114" s="214"/>
      <c r="H114" s="214"/>
      <c r="I114" s="214"/>
      <c r="K114" s="216" t="str">
        <f>IF(AND(UPPER(TRIM($B114))="PR_CULVERT",$A114&lt;&gt;"",ISNUMBER(MATCH(UPPER(TRIM($C114)),{"PC","BC","UC"},0))),MAX($K$4:K113)+1,"")</f>
        <v/>
      </c>
    </row>
    <row r="115" spans="1:11" x14ac:dyDescent="0.3">
      <c r="A115" s="214"/>
      <c r="B115" s="214"/>
      <c r="C115" s="214"/>
      <c r="D115" s="214"/>
      <c r="E115" s="214"/>
      <c r="F115" s="214"/>
      <c r="G115" s="214"/>
      <c r="H115" s="214"/>
      <c r="I115" s="214"/>
      <c r="K115" s="216" t="str">
        <f>IF(AND(UPPER(TRIM($B115))="PR_CULVERT",$A115&lt;&gt;"",ISNUMBER(MATCH(UPPER(TRIM($C115)),{"PC","BC","UC"},0))),MAX($K$4:K114)+1,"")</f>
        <v/>
      </c>
    </row>
    <row r="116" spans="1:11" x14ac:dyDescent="0.3">
      <c r="A116" s="214"/>
      <c r="B116" s="214"/>
      <c r="C116" s="214"/>
      <c r="D116" s="214"/>
      <c r="E116" s="214"/>
      <c r="F116" s="214"/>
      <c r="G116" s="214"/>
      <c r="H116" s="214"/>
      <c r="I116" s="214"/>
      <c r="K116" s="216" t="str">
        <f>IF(AND(UPPER(TRIM($B116))="PR_CULVERT",$A116&lt;&gt;"",ISNUMBER(MATCH(UPPER(TRIM($C116)),{"PC","BC","UC"},0))),MAX($K$4:K115)+1,"")</f>
        <v/>
      </c>
    </row>
    <row r="117" spans="1:11" x14ac:dyDescent="0.3">
      <c r="A117" s="214"/>
      <c r="B117" s="214"/>
      <c r="C117" s="214"/>
      <c r="D117" s="214"/>
      <c r="E117" s="214"/>
      <c r="F117" s="214"/>
      <c r="G117" s="214"/>
      <c r="H117" s="214"/>
      <c r="I117" s="214"/>
      <c r="K117" s="216" t="str">
        <f>IF(AND(UPPER(TRIM($B117))="PR_CULVERT",$A117&lt;&gt;"",ISNUMBER(MATCH(UPPER(TRIM($C117)),{"PC","BC","UC"},0))),MAX($K$4:K116)+1,"")</f>
        <v/>
      </c>
    </row>
    <row r="118" spans="1:11" x14ac:dyDescent="0.3">
      <c r="A118" s="214"/>
      <c r="B118" s="214"/>
      <c r="C118" s="214"/>
      <c r="D118" s="214"/>
      <c r="E118" s="214"/>
      <c r="F118" s="214"/>
      <c r="G118" s="214"/>
      <c r="H118" s="214"/>
      <c r="I118" s="214"/>
      <c r="K118" s="216" t="str">
        <f>IF(AND(UPPER(TRIM($B118))="PR_CULVERT",$A118&lt;&gt;"",ISNUMBER(MATCH(UPPER(TRIM($C118)),{"PC","BC","UC"},0))),MAX($K$4:K117)+1,"")</f>
        <v/>
      </c>
    </row>
    <row r="119" spans="1:11" x14ac:dyDescent="0.3">
      <c r="A119" s="214"/>
      <c r="B119" s="214"/>
      <c r="C119" s="214"/>
      <c r="D119" s="214"/>
      <c r="E119" s="214"/>
      <c r="F119" s="214"/>
      <c r="G119" s="214"/>
      <c r="H119" s="214"/>
      <c r="I119" s="214"/>
      <c r="K119" s="216" t="str">
        <f>IF(AND(UPPER(TRIM($B119))="PR_CULVERT",$A119&lt;&gt;"",ISNUMBER(MATCH(UPPER(TRIM($C119)),{"PC","BC","UC"},0))),MAX($K$4:K118)+1,"")</f>
        <v/>
      </c>
    </row>
    <row r="120" spans="1:11" x14ac:dyDescent="0.3">
      <c r="A120" s="214"/>
      <c r="B120" s="214"/>
      <c r="C120" s="214"/>
      <c r="D120" s="214"/>
      <c r="E120" s="214"/>
      <c r="F120" s="214"/>
      <c r="G120" s="214"/>
      <c r="H120" s="214"/>
      <c r="I120" s="214"/>
      <c r="K120" s="216" t="str">
        <f>IF(AND(UPPER(TRIM($B120))="PR_CULVERT",$A120&lt;&gt;"",ISNUMBER(MATCH(UPPER(TRIM($C120)),{"PC","BC","UC"},0))),MAX($K$4:K119)+1,"")</f>
        <v/>
      </c>
    </row>
    <row r="121" spans="1:11" x14ac:dyDescent="0.3">
      <c r="A121" s="214"/>
      <c r="B121" s="214"/>
      <c r="C121" s="214"/>
      <c r="D121" s="214"/>
      <c r="E121" s="214"/>
      <c r="F121" s="214"/>
      <c r="G121" s="214"/>
      <c r="H121" s="214"/>
      <c r="I121" s="214"/>
      <c r="K121" s="216" t="str">
        <f>IF(AND(UPPER(TRIM($B121))="PR_CULVERT",$A121&lt;&gt;"",ISNUMBER(MATCH(UPPER(TRIM($C121)),{"PC","BC","UC"},0))),MAX($K$4:K120)+1,"")</f>
        <v/>
      </c>
    </row>
    <row r="122" spans="1:11" x14ac:dyDescent="0.3">
      <c r="A122" s="214"/>
      <c r="B122" s="214"/>
      <c r="C122" s="214"/>
      <c r="D122" s="214"/>
      <c r="E122" s="214"/>
      <c r="F122" s="214"/>
      <c r="G122" s="214"/>
      <c r="H122" s="214"/>
      <c r="I122" s="214"/>
      <c r="K122" s="216" t="str">
        <f>IF(AND(UPPER(TRIM($B122))="PR_CULVERT",$A122&lt;&gt;"",ISNUMBER(MATCH(UPPER(TRIM($C122)),{"PC","BC","UC"},0))),MAX($K$4:K121)+1,"")</f>
        <v/>
      </c>
    </row>
    <row r="123" spans="1:11" x14ac:dyDescent="0.3">
      <c r="A123" s="214"/>
      <c r="B123" s="214"/>
      <c r="C123" s="214"/>
      <c r="D123" s="214"/>
      <c r="E123" s="214"/>
      <c r="F123" s="214"/>
      <c r="G123" s="214"/>
      <c r="H123" s="214"/>
      <c r="I123" s="214"/>
      <c r="K123" s="216" t="str">
        <f>IF(AND(UPPER(TRIM($B123))="PR_CULVERT",$A123&lt;&gt;"",ISNUMBER(MATCH(UPPER(TRIM($C123)),{"PC","BC","UC"},0))),MAX($K$4:K122)+1,"")</f>
        <v/>
      </c>
    </row>
    <row r="124" spans="1:11" x14ac:dyDescent="0.3">
      <c r="A124" s="214"/>
      <c r="B124" s="214"/>
      <c r="C124" s="214"/>
      <c r="D124" s="214"/>
      <c r="E124" s="214"/>
      <c r="F124" s="214"/>
      <c r="G124" s="214"/>
      <c r="H124" s="214"/>
      <c r="I124" s="214"/>
      <c r="K124" s="216" t="str">
        <f>IF(AND(UPPER(TRIM($B124))="PR_CULVERT",$A124&lt;&gt;"",ISNUMBER(MATCH(UPPER(TRIM($C124)),{"PC","BC","UC"},0))),MAX($K$4:K123)+1,"")</f>
        <v/>
      </c>
    </row>
    <row r="125" spans="1:11" x14ac:dyDescent="0.3">
      <c r="A125" s="214"/>
      <c r="B125" s="214"/>
      <c r="C125" s="214"/>
      <c r="D125" s="214"/>
      <c r="E125" s="214"/>
      <c r="F125" s="214"/>
      <c r="G125" s="214"/>
      <c r="H125" s="214"/>
      <c r="I125" s="214"/>
      <c r="K125" s="216" t="str">
        <f>IF(AND(UPPER(TRIM($B125))="PR_CULVERT",$A125&lt;&gt;"",ISNUMBER(MATCH(UPPER(TRIM($C125)),{"PC","BC","UC"},0))),MAX($K$4:K124)+1,"")</f>
        <v/>
      </c>
    </row>
    <row r="126" spans="1:11" x14ac:dyDescent="0.3">
      <c r="A126" s="214"/>
      <c r="B126" s="214"/>
      <c r="C126" s="214"/>
      <c r="D126" s="214"/>
      <c r="E126" s="214"/>
      <c r="F126" s="214"/>
      <c r="G126" s="214"/>
      <c r="H126" s="214"/>
      <c r="I126" s="214"/>
      <c r="K126" s="216" t="str">
        <f>IF(AND(UPPER(TRIM($B126))="PR_CULVERT",$A126&lt;&gt;"",ISNUMBER(MATCH(UPPER(TRIM($C126)),{"PC","BC","UC"},0))),MAX($K$4:K125)+1,"")</f>
        <v/>
      </c>
    </row>
    <row r="127" spans="1:11" x14ac:dyDescent="0.3">
      <c r="A127" s="214"/>
      <c r="B127" s="214"/>
      <c r="C127" s="214"/>
      <c r="D127" s="214"/>
      <c r="E127" s="214"/>
      <c r="F127" s="214"/>
      <c r="G127" s="214"/>
      <c r="H127" s="214"/>
      <c r="I127" s="214"/>
      <c r="K127" s="216" t="str">
        <f>IF(AND(UPPER(TRIM($B127))="PR_CULVERT",$A127&lt;&gt;"",ISNUMBER(MATCH(UPPER(TRIM($C127)),{"PC","BC","UC"},0))),MAX($K$4:K126)+1,"")</f>
        <v/>
      </c>
    </row>
    <row r="128" spans="1:11" x14ac:dyDescent="0.3">
      <c r="A128" s="214"/>
      <c r="B128" s="214"/>
      <c r="C128" s="214"/>
      <c r="D128" s="214"/>
      <c r="E128" s="214"/>
      <c r="F128" s="214"/>
      <c r="G128" s="214"/>
      <c r="H128" s="214"/>
      <c r="I128" s="214"/>
      <c r="K128" s="216" t="str">
        <f>IF(AND(UPPER(TRIM($B128))="PR_CULVERT",$A128&lt;&gt;"",ISNUMBER(MATCH(UPPER(TRIM($C128)),{"PC","BC","UC"},0))),MAX($K$4:K127)+1,"")</f>
        <v/>
      </c>
    </row>
    <row r="129" spans="1:11" x14ac:dyDescent="0.3">
      <c r="A129" s="214"/>
      <c r="B129" s="214"/>
      <c r="C129" s="214"/>
      <c r="D129" s="214"/>
      <c r="E129" s="214"/>
      <c r="F129" s="214"/>
      <c r="G129" s="214"/>
      <c r="H129" s="214"/>
      <c r="I129" s="214"/>
      <c r="K129" s="216" t="str">
        <f>IF(AND(UPPER(TRIM($B129))="PR_CULVERT",$A129&lt;&gt;"",ISNUMBER(MATCH(UPPER(TRIM($C129)),{"PC","BC","UC"},0))),MAX($K$4:K128)+1,"")</f>
        <v/>
      </c>
    </row>
    <row r="130" spans="1:11" x14ac:dyDescent="0.3">
      <c r="A130" s="214"/>
      <c r="B130" s="214"/>
      <c r="C130" s="214"/>
      <c r="D130" s="214"/>
      <c r="E130" s="214"/>
      <c r="F130" s="214"/>
      <c r="G130" s="214"/>
      <c r="H130" s="214"/>
      <c r="I130" s="214"/>
      <c r="K130" s="216" t="str">
        <f>IF(AND(UPPER(TRIM($B130))="PR_CULVERT",$A130&lt;&gt;"",ISNUMBER(MATCH(UPPER(TRIM($C130)),{"PC","BC","UC"},0))),MAX($K$4:K129)+1,"")</f>
        <v/>
      </c>
    </row>
    <row r="131" spans="1:11" x14ac:dyDescent="0.3">
      <c r="A131" s="214"/>
      <c r="B131" s="214"/>
      <c r="C131" s="214"/>
      <c r="D131" s="214"/>
      <c r="E131" s="214"/>
      <c r="F131" s="214"/>
      <c r="G131" s="214"/>
      <c r="H131" s="214"/>
      <c r="I131" s="214"/>
      <c r="K131" s="216" t="str">
        <f>IF(AND(UPPER(TRIM($B131))="PR_CULVERT",$A131&lt;&gt;"",ISNUMBER(MATCH(UPPER(TRIM($C131)),{"PC","BC","UC"},0))),MAX($K$4:K130)+1,"")</f>
        <v/>
      </c>
    </row>
    <row r="132" spans="1:11" x14ac:dyDescent="0.3">
      <c r="A132" s="214"/>
      <c r="B132" s="214"/>
      <c r="C132" s="214"/>
      <c r="D132" s="214"/>
      <c r="E132" s="214"/>
      <c r="F132" s="214"/>
      <c r="G132" s="214"/>
      <c r="H132" s="214"/>
      <c r="I132" s="214"/>
      <c r="K132" s="216" t="str">
        <f>IF(AND(UPPER(TRIM($B132))="PR_CULVERT",$A132&lt;&gt;"",ISNUMBER(MATCH(UPPER(TRIM($C132)),{"PC","BC","UC"},0))),MAX($K$4:K131)+1,"")</f>
        <v/>
      </c>
    </row>
    <row r="133" spans="1:11" x14ac:dyDescent="0.3">
      <c r="A133" s="214"/>
      <c r="B133" s="214"/>
      <c r="C133" s="214"/>
      <c r="D133" s="214"/>
      <c r="E133" s="214"/>
      <c r="F133" s="214"/>
      <c r="G133" s="214"/>
      <c r="H133" s="214"/>
      <c r="I133" s="214"/>
      <c r="K133" s="216" t="str">
        <f>IF(AND(UPPER(TRIM($B133))="PR_CULVERT",$A133&lt;&gt;"",ISNUMBER(MATCH(UPPER(TRIM($C133)),{"PC","BC","UC"},0))),MAX($K$4:K132)+1,"")</f>
        <v/>
      </c>
    </row>
    <row r="134" spans="1:11" x14ac:dyDescent="0.3">
      <c r="A134" s="214"/>
      <c r="B134" s="214"/>
      <c r="C134" s="214"/>
      <c r="D134" s="214"/>
      <c r="E134" s="214"/>
      <c r="F134" s="214"/>
      <c r="G134" s="214"/>
      <c r="H134" s="214"/>
      <c r="I134" s="214"/>
      <c r="K134" s="216" t="str">
        <f>IF(AND(UPPER(TRIM($B134))="PR_CULVERT",$A134&lt;&gt;"",ISNUMBER(MATCH(UPPER(TRIM($C134)),{"PC","BC","UC"},0))),MAX($K$4:K133)+1,"")</f>
        <v/>
      </c>
    </row>
    <row r="135" spans="1:11" x14ac:dyDescent="0.3">
      <c r="A135" s="214"/>
      <c r="B135" s="214"/>
      <c r="C135" s="214"/>
      <c r="D135" s="214"/>
      <c r="E135" s="214"/>
      <c r="F135" s="214"/>
      <c r="G135" s="214"/>
      <c r="H135" s="214"/>
      <c r="I135" s="214"/>
      <c r="K135" s="216" t="str">
        <f>IF(AND(UPPER(TRIM($B135))="PR_CULVERT",$A135&lt;&gt;"",ISNUMBER(MATCH(UPPER(TRIM($C135)),{"PC","BC","UC"},0))),MAX($K$4:K134)+1,"")</f>
        <v/>
      </c>
    </row>
    <row r="136" spans="1:11" x14ac:dyDescent="0.3">
      <c r="A136" s="214"/>
      <c r="B136" s="214"/>
      <c r="C136" s="214"/>
      <c r="D136" s="214"/>
      <c r="E136" s="214"/>
      <c r="F136" s="214"/>
      <c r="G136" s="214"/>
      <c r="H136" s="214"/>
      <c r="I136" s="214"/>
      <c r="K136" s="216" t="str">
        <f>IF(AND(UPPER(TRIM($B136))="PR_CULVERT",$A136&lt;&gt;"",ISNUMBER(MATCH(UPPER(TRIM($C136)),{"PC","BC","UC"},0))),MAX($K$4:K135)+1,"")</f>
        <v/>
      </c>
    </row>
    <row r="137" spans="1:11" x14ac:dyDescent="0.3">
      <c r="A137" s="214"/>
      <c r="B137" s="214"/>
      <c r="C137" s="214"/>
      <c r="D137" s="214"/>
      <c r="E137" s="214"/>
      <c r="F137" s="214"/>
      <c r="G137" s="214"/>
      <c r="H137" s="214"/>
      <c r="I137" s="214"/>
      <c r="K137" s="216" t="str">
        <f>IF(AND(UPPER(TRIM($B137))="PR_CULVERT",$A137&lt;&gt;"",ISNUMBER(MATCH(UPPER(TRIM($C137)),{"PC","BC","UC"},0))),MAX($K$4:K136)+1,"")</f>
        <v/>
      </c>
    </row>
    <row r="138" spans="1:11" x14ac:dyDescent="0.3">
      <c r="A138" s="214"/>
      <c r="B138" s="214"/>
      <c r="C138" s="214"/>
      <c r="D138" s="214"/>
      <c r="E138" s="214"/>
      <c r="F138" s="214"/>
      <c r="G138" s="214"/>
      <c r="H138" s="214"/>
      <c r="I138" s="214"/>
      <c r="K138" s="216" t="str">
        <f>IF(AND(UPPER(TRIM($B138))="PR_CULVERT",$A138&lt;&gt;"",ISNUMBER(MATCH(UPPER(TRIM($C138)),{"PC","BC","UC"},0))),MAX($K$4:K137)+1,"")</f>
        <v/>
      </c>
    </row>
    <row r="139" spans="1:11" x14ac:dyDescent="0.3">
      <c r="A139" s="214"/>
      <c r="B139" s="214"/>
      <c r="C139" s="214"/>
      <c r="D139" s="214"/>
      <c r="E139" s="214"/>
      <c r="F139" s="214"/>
      <c r="G139" s="214"/>
      <c r="H139" s="214"/>
      <c r="I139" s="214"/>
      <c r="K139" s="216" t="str">
        <f>IF(AND(UPPER(TRIM($B139))="PR_CULVERT",$A139&lt;&gt;"",ISNUMBER(MATCH(UPPER(TRIM($C139)),{"PC","BC","UC"},0))),MAX($K$4:K138)+1,"")</f>
        <v/>
      </c>
    </row>
    <row r="140" spans="1:11" x14ac:dyDescent="0.3">
      <c r="A140" s="214"/>
      <c r="B140" s="214"/>
      <c r="C140" s="214"/>
      <c r="D140" s="214"/>
      <c r="E140" s="214"/>
      <c r="F140" s="214"/>
      <c r="G140" s="214"/>
      <c r="H140" s="214"/>
      <c r="I140" s="214"/>
      <c r="K140" s="216" t="str">
        <f>IF(AND(UPPER(TRIM($B140))="PR_CULVERT",$A140&lt;&gt;"",ISNUMBER(MATCH(UPPER(TRIM($C140)),{"PC","BC","UC"},0))),MAX($K$4:K139)+1,"")</f>
        <v/>
      </c>
    </row>
    <row r="141" spans="1:11" x14ac:dyDescent="0.3">
      <c r="A141" s="214"/>
      <c r="B141" s="214"/>
      <c r="C141" s="214"/>
      <c r="D141" s="214"/>
      <c r="E141" s="214"/>
      <c r="F141" s="214"/>
      <c r="G141" s="214"/>
      <c r="H141" s="214"/>
      <c r="I141" s="214"/>
      <c r="K141" s="216" t="str">
        <f>IF(AND(UPPER(TRIM($B141))="PR_CULVERT",$A141&lt;&gt;"",ISNUMBER(MATCH(UPPER(TRIM($C141)),{"PC","BC","UC"},0))),MAX($K$4:K140)+1,"")</f>
        <v/>
      </c>
    </row>
    <row r="142" spans="1:11" x14ac:dyDescent="0.3">
      <c r="A142" s="214"/>
      <c r="B142" s="214"/>
      <c r="C142" s="214"/>
      <c r="D142" s="214"/>
      <c r="E142" s="214"/>
      <c r="F142" s="214"/>
      <c r="G142" s="214"/>
      <c r="H142" s="214"/>
      <c r="I142" s="214"/>
      <c r="K142" s="216" t="str">
        <f>IF(AND(UPPER(TRIM($B142))="PR_CULVERT",$A142&lt;&gt;"",ISNUMBER(MATCH(UPPER(TRIM($C142)),{"PC","BC","UC"},0))),MAX($K$4:K141)+1,"")</f>
        <v/>
      </c>
    </row>
    <row r="143" spans="1:11" x14ac:dyDescent="0.3">
      <c r="A143" s="214"/>
      <c r="B143" s="214"/>
      <c r="C143" s="214"/>
      <c r="D143" s="214"/>
      <c r="E143" s="214"/>
      <c r="F143" s="214"/>
      <c r="G143" s="214"/>
      <c r="H143" s="214"/>
      <c r="I143" s="214"/>
      <c r="K143" s="216" t="str">
        <f>IF(AND(UPPER(TRIM($B143))="PR_CULVERT",$A143&lt;&gt;"",ISNUMBER(MATCH(UPPER(TRIM($C143)),{"PC","BC","UC"},0))),MAX($K$4:K142)+1,"")</f>
        <v/>
      </c>
    </row>
    <row r="144" spans="1:11" x14ac:dyDescent="0.3">
      <c r="A144" s="214"/>
      <c r="B144" s="214"/>
      <c r="C144" s="214"/>
      <c r="D144" s="214"/>
      <c r="E144" s="214"/>
      <c r="F144" s="214"/>
      <c r="G144" s="214"/>
      <c r="H144" s="214"/>
      <c r="I144" s="214"/>
      <c r="K144" s="216" t="str">
        <f>IF(AND(UPPER(TRIM($B144))="PR_CULVERT",$A144&lt;&gt;"",ISNUMBER(MATCH(UPPER(TRIM($C144)),{"PC","BC","UC"},0))),MAX($K$4:K143)+1,"")</f>
        <v/>
      </c>
    </row>
    <row r="145" spans="1:11" x14ac:dyDescent="0.3">
      <c r="A145" s="214"/>
      <c r="B145" s="214"/>
      <c r="C145" s="214"/>
      <c r="D145" s="214"/>
      <c r="E145" s="214"/>
      <c r="F145" s="214"/>
      <c r="G145" s="214"/>
      <c r="H145" s="214"/>
      <c r="I145" s="214"/>
      <c r="K145" s="216" t="str">
        <f>IF(AND(UPPER(TRIM($B145))="PR_CULVERT",$A145&lt;&gt;"",ISNUMBER(MATCH(UPPER(TRIM($C145)),{"PC","BC","UC"},0))),MAX($K$4:K144)+1,"")</f>
        <v/>
      </c>
    </row>
    <row r="146" spans="1:11" x14ac:dyDescent="0.3">
      <c r="A146" s="214"/>
      <c r="B146" s="214"/>
      <c r="C146" s="214"/>
      <c r="D146" s="214"/>
      <c r="E146" s="214"/>
      <c r="F146" s="214"/>
      <c r="G146" s="214"/>
      <c r="H146" s="214"/>
      <c r="I146" s="214"/>
      <c r="K146" s="216" t="str">
        <f>IF(AND(UPPER(TRIM($B146))="PR_CULVERT",$A146&lt;&gt;"",ISNUMBER(MATCH(UPPER(TRIM($C146)),{"PC","BC","UC"},0))),MAX($K$4:K145)+1,"")</f>
        <v/>
      </c>
    </row>
    <row r="147" spans="1:11" x14ac:dyDescent="0.3">
      <c r="A147" s="214"/>
      <c r="B147" s="214"/>
      <c r="C147" s="214"/>
      <c r="D147" s="214"/>
      <c r="E147" s="214"/>
      <c r="F147" s="214"/>
      <c r="G147" s="214"/>
      <c r="H147" s="214"/>
      <c r="I147" s="214"/>
      <c r="K147" s="216" t="str">
        <f>IF(AND(UPPER(TRIM($B147))="PR_CULVERT",$A147&lt;&gt;"",ISNUMBER(MATCH(UPPER(TRIM($C147)),{"PC","BC","UC"},0))),MAX($K$4:K146)+1,"")</f>
        <v/>
      </c>
    </row>
    <row r="148" spans="1:11" x14ac:dyDescent="0.3">
      <c r="A148" s="214"/>
      <c r="B148" s="214"/>
      <c r="C148" s="214"/>
      <c r="D148" s="214"/>
      <c r="E148" s="214"/>
      <c r="F148" s="214"/>
      <c r="G148" s="214"/>
      <c r="H148" s="214"/>
      <c r="I148" s="214"/>
      <c r="K148" s="216" t="str">
        <f>IF(AND(UPPER(TRIM($B148))="PR_CULVERT",$A148&lt;&gt;"",ISNUMBER(MATCH(UPPER(TRIM($C148)),{"PC","BC","UC"},0))),MAX($K$4:K147)+1,"")</f>
        <v/>
      </c>
    </row>
    <row r="149" spans="1:11" x14ac:dyDescent="0.3">
      <c r="A149" s="214"/>
      <c r="B149" s="214"/>
      <c r="C149" s="214"/>
      <c r="D149" s="214"/>
      <c r="E149" s="214"/>
      <c r="F149" s="214"/>
      <c r="G149" s="214"/>
      <c r="H149" s="214"/>
      <c r="I149" s="214"/>
      <c r="K149" s="216" t="str">
        <f>IF(AND(UPPER(TRIM($B149))="PR_CULVERT",$A149&lt;&gt;"",ISNUMBER(MATCH(UPPER(TRIM($C149)),{"PC","BC","UC"},0))),MAX($K$4:K148)+1,"")</f>
        <v/>
      </c>
    </row>
    <row r="150" spans="1:11" x14ac:dyDescent="0.3">
      <c r="A150" s="214"/>
      <c r="B150" s="214"/>
      <c r="C150" s="214"/>
      <c r="D150" s="214"/>
      <c r="E150" s="214"/>
      <c r="F150" s="214"/>
      <c r="G150" s="214"/>
      <c r="H150" s="214"/>
      <c r="I150" s="214"/>
      <c r="K150" s="216" t="str">
        <f>IF(AND(UPPER(TRIM($B150))="PR_CULVERT",$A150&lt;&gt;"",ISNUMBER(MATCH(UPPER(TRIM($C150)),{"PC","BC","UC"},0))),MAX($K$4:K149)+1,"")</f>
        <v/>
      </c>
    </row>
    <row r="151" spans="1:11" x14ac:dyDescent="0.3">
      <c r="A151" s="214"/>
      <c r="B151" s="214"/>
      <c r="C151" s="214"/>
      <c r="D151" s="214"/>
      <c r="E151" s="214"/>
      <c r="F151" s="214"/>
      <c r="G151" s="214"/>
      <c r="H151" s="214"/>
      <c r="I151" s="214"/>
      <c r="K151" s="216" t="str">
        <f>IF(AND(UPPER(TRIM($B151))="PR_CULVERT",$A151&lt;&gt;"",ISNUMBER(MATCH(UPPER(TRIM($C151)),{"PC","BC","UC"},0))),MAX($K$4:K150)+1,"")</f>
        <v/>
      </c>
    </row>
    <row r="152" spans="1:11" x14ac:dyDescent="0.3">
      <c r="A152" s="214"/>
      <c r="B152" s="214"/>
      <c r="C152" s="214"/>
      <c r="D152" s="214"/>
      <c r="E152" s="214"/>
      <c r="F152" s="214"/>
      <c r="G152" s="214"/>
      <c r="H152" s="214"/>
      <c r="I152" s="214"/>
      <c r="K152" s="216" t="str">
        <f>IF(AND(UPPER(TRIM($B152))="PR_CULVERT",$A152&lt;&gt;"",ISNUMBER(MATCH(UPPER(TRIM($C152)),{"PC","BC","UC"},0))),MAX($K$4:K151)+1,"")</f>
        <v/>
      </c>
    </row>
    <row r="153" spans="1:11" x14ac:dyDescent="0.3">
      <c r="A153" s="214"/>
      <c r="B153" s="214"/>
      <c r="C153" s="214"/>
      <c r="D153" s="214"/>
      <c r="E153" s="214"/>
      <c r="F153" s="214"/>
      <c r="G153" s="214"/>
      <c r="H153" s="214"/>
      <c r="I153" s="214"/>
      <c r="K153" s="216" t="str">
        <f>IF(AND(UPPER(TRIM($B153))="PR_CULVERT",$A153&lt;&gt;"",ISNUMBER(MATCH(UPPER(TRIM($C153)),{"PC","BC","UC"},0))),MAX($K$4:K152)+1,"")</f>
        <v/>
      </c>
    </row>
    <row r="154" spans="1:11" x14ac:dyDescent="0.3">
      <c r="A154" s="214"/>
      <c r="B154" s="214"/>
      <c r="C154" s="214"/>
      <c r="D154" s="214"/>
      <c r="E154" s="214"/>
      <c r="F154" s="214"/>
      <c r="G154" s="214"/>
      <c r="H154" s="214"/>
      <c r="I154" s="214"/>
      <c r="K154" s="216" t="str">
        <f>IF(AND(UPPER(TRIM($B154))="PR_CULVERT",$A154&lt;&gt;"",ISNUMBER(MATCH(UPPER(TRIM($C154)),{"PC","BC","UC"},0))),MAX($K$4:K153)+1,"")</f>
        <v/>
      </c>
    </row>
    <row r="155" spans="1:11" x14ac:dyDescent="0.3">
      <c r="A155" s="214"/>
      <c r="B155" s="214"/>
      <c r="C155" s="214"/>
      <c r="D155" s="214"/>
      <c r="E155" s="214"/>
      <c r="F155" s="214"/>
      <c r="G155" s="214"/>
      <c r="H155" s="214"/>
      <c r="I155" s="214"/>
      <c r="K155" s="216" t="str">
        <f>IF(AND(UPPER(TRIM($B155))="PR_CULVERT",$A155&lt;&gt;"",ISNUMBER(MATCH(UPPER(TRIM($C155)),{"PC","BC","UC"},0))),MAX($K$4:K154)+1,"")</f>
        <v/>
      </c>
    </row>
    <row r="156" spans="1:11" x14ac:dyDescent="0.3">
      <c r="A156" s="214"/>
      <c r="B156" s="214"/>
      <c r="C156" s="214"/>
      <c r="D156" s="214"/>
      <c r="E156" s="214"/>
      <c r="F156" s="214"/>
      <c r="G156" s="214"/>
      <c r="H156" s="214"/>
      <c r="I156" s="214"/>
      <c r="K156" s="216" t="str">
        <f>IF(AND(UPPER(TRIM($B156))="PR_CULVERT",$A156&lt;&gt;"",ISNUMBER(MATCH(UPPER(TRIM($C156)),{"PC","BC","UC"},0))),MAX($K$4:K155)+1,"")</f>
        <v/>
      </c>
    </row>
    <row r="157" spans="1:11" x14ac:dyDescent="0.3">
      <c r="A157" s="214"/>
      <c r="B157" s="214"/>
      <c r="C157" s="214"/>
      <c r="D157" s="214"/>
      <c r="E157" s="214"/>
      <c r="F157" s="214"/>
      <c r="G157" s="214"/>
      <c r="H157" s="214"/>
      <c r="I157" s="214"/>
      <c r="K157" s="216" t="str">
        <f>IF(AND(UPPER(TRIM($B157))="PR_CULVERT",$A157&lt;&gt;"",ISNUMBER(MATCH(UPPER(TRIM($C157)),{"PC","BC","UC"},0))),MAX($K$4:K156)+1,"")</f>
        <v/>
      </c>
    </row>
    <row r="158" spans="1:11" x14ac:dyDescent="0.3">
      <c r="A158" s="214"/>
      <c r="B158" s="214"/>
      <c r="C158" s="214"/>
      <c r="D158" s="214"/>
      <c r="E158" s="214"/>
      <c r="F158" s="214"/>
      <c r="G158" s="214"/>
      <c r="H158" s="214"/>
      <c r="I158" s="214"/>
      <c r="K158" s="216" t="str">
        <f>IF(AND(UPPER(TRIM($B158))="PR_CULVERT",$A158&lt;&gt;"",ISNUMBER(MATCH(UPPER(TRIM($C158)),{"PC","BC","UC"},0))),MAX($K$4:K157)+1,"")</f>
        <v/>
      </c>
    </row>
    <row r="159" spans="1:11" x14ac:dyDescent="0.3">
      <c r="A159" s="214"/>
      <c r="B159" s="214"/>
      <c r="C159" s="214"/>
      <c r="D159" s="214"/>
      <c r="E159" s="214"/>
      <c r="F159" s="214"/>
      <c r="G159" s="214"/>
      <c r="H159" s="214"/>
      <c r="I159" s="214"/>
      <c r="K159" s="216" t="str">
        <f>IF(AND(UPPER(TRIM($B159))="PR_CULVERT",$A159&lt;&gt;"",ISNUMBER(MATCH(UPPER(TRIM($C159)),{"PC","BC","UC"},0))),MAX($K$4:K158)+1,"")</f>
        <v/>
      </c>
    </row>
    <row r="160" spans="1:11" x14ac:dyDescent="0.3">
      <c r="A160" s="214"/>
      <c r="B160" s="214"/>
      <c r="C160" s="214"/>
      <c r="D160" s="214"/>
      <c r="E160" s="214"/>
      <c r="F160" s="214"/>
      <c r="G160" s="214"/>
      <c r="H160" s="214"/>
      <c r="I160" s="214"/>
      <c r="K160" s="216" t="str">
        <f>IF(AND(UPPER(TRIM($B160))="PR_CULVERT",$A160&lt;&gt;"",ISNUMBER(MATCH(UPPER(TRIM($C160)),{"PC","BC","UC"},0))),MAX($K$4:K159)+1,"")</f>
        <v/>
      </c>
    </row>
    <row r="161" spans="1:11" x14ac:dyDescent="0.3">
      <c r="A161" s="214"/>
      <c r="B161" s="214"/>
      <c r="C161" s="214"/>
      <c r="D161" s="214"/>
      <c r="E161" s="214"/>
      <c r="F161" s="214"/>
      <c r="G161" s="214"/>
      <c r="H161" s="214"/>
      <c r="I161" s="214"/>
      <c r="K161" s="216" t="str">
        <f>IF(AND(UPPER(TRIM($B161))="PR_CULVERT",$A161&lt;&gt;"",ISNUMBER(MATCH(UPPER(TRIM($C161)),{"PC","BC","UC"},0))),MAX($K$4:K160)+1,"")</f>
        <v/>
      </c>
    </row>
    <row r="162" spans="1:11" x14ac:dyDescent="0.3">
      <c r="A162" s="214"/>
      <c r="B162" s="214"/>
      <c r="C162" s="214"/>
      <c r="D162" s="214"/>
      <c r="E162" s="214"/>
      <c r="F162" s="214"/>
      <c r="G162" s="214"/>
      <c r="H162" s="214"/>
      <c r="I162" s="214"/>
      <c r="K162" s="216" t="str">
        <f>IF(AND(UPPER(TRIM($B162))="PR_CULVERT",$A162&lt;&gt;"",ISNUMBER(MATCH(UPPER(TRIM($C162)),{"PC","BC","UC"},0))),MAX($K$4:K161)+1,"")</f>
        <v/>
      </c>
    </row>
    <row r="163" spans="1:11" x14ac:dyDescent="0.3">
      <c r="A163" s="214"/>
      <c r="B163" s="214"/>
      <c r="C163" s="214"/>
      <c r="D163" s="214"/>
      <c r="E163" s="214"/>
      <c r="F163" s="214"/>
      <c r="G163" s="214"/>
      <c r="H163" s="214"/>
      <c r="I163" s="214"/>
      <c r="K163" s="216" t="str">
        <f>IF(AND(UPPER(TRIM($B163))="PR_CULVERT",$A163&lt;&gt;"",ISNUMBER(MATCH(UPPER(TRIM($C163)),{"PC","BC","UC"},0))),MAX($K$4:K162)+1,"")</f>
        <v/>
      </c>
    </row>
    <row r="164" spans="1:11" x14ac:dyDescent="0.3">
      <c r="A164" s="214"/>
      <c r="B164" s="214"/>
      <c r="C164" s="214"/>
      <c r="D164" s="214"/>
      <c r="E164" s="214"/>
      <c r="F164" s="214"/>
      <c r="G164" s="214"/>
      <c r="H164" s="214"/>
      <c r="I164" s="214"/>
      <c r="K164" s="216" t="str">
        <f>IF(AND(UPPER(TRIM($B164))="PR_CULVERT",$A164&lt;&gt;"",ISNUMBER(MATCH(UPPER(TRIM($C164)),{"PC","BC","UC"},0))),MAX($K$4:K163)+1,"")</f>
        <v/>
      </c>
    </row>
    <row r="165" spans="1:11" x14ac:dyDescent="0.3">
      <c r="A165" s="214"/>
      <c r="B165" s="214"/>
      <c r="C165" s="214"/>
      <c r="D165" s="214"/>
      <c r="E165" s="214"/>
      <c r="F165" s="214"/>
      <c r="G165" s="214"/>
      <c r="H165" s="214"/>
      <c r="I165" s="214"/>
      <c r="K165" s="216" t="str">
        <f>IF(AND(UPPER(TRIM($B165))="PR_CULVERT",$A165&lt;&gt;"",ISNUMBER(MATCH(UPPER(TRIM($C165)),{"PC","BC","UC"},0))),MAX($K$4:K164)+1,"")</f>
        <v/>
      </c>
    </row>
    <row r="166" spans="1:11" x14ac:dyDescent="0.3">
      <c r="A166" s="214"/>
      <c r="B166" s="214"/>
      <c r="C166" s="214"/>
      <c r="D166" s="214"/>
      <c r="E166" s="214"/>
      <c r="F166" s="214"/>
      <c r="G166" s="214"/>
      <c r="H166" s="214"/>
      <c r="I166" s="214"/>
      <c r="K166" s="216" t="str">
        <f>IF(AND(UPPER(TRIM($B166))="PR_CULVERT",$A166&lt;&gt;"",ISNUMBER(MATCH(UPPER(TRIM($C166)),{"PC","BC","UC"},0))),MAX($K$4:K165)+1,"")</f>
        <v/>
      </c>
    </row>
    <row r="167" spans="1:11" x14ac:dyDescent="0.3">
      <c r="A167" s="214"/>
      <c r="B167" s="214"/>
      <c r="C167" s="214"/>
      <c r="D167" s="214"/>
      <c r="E167" s="214"/>
      <c r="F167" s="214"/>
      <c r="G167" s="214"/>
      <c r="H167" s="214"/>
      <c r="I167" s="214"/>
      <c r="K167" s="216" t="str">
        <f>IF(AND(UPPER(TRIM($B167))="PR_CULVERT",$A167&lt;&gt;"",ISNUMBER(MATCH(UPPER(TRIM($C167)),{"PC","BC","UC"},0))),MAX($K$4:K166)+1,"")</f>
        <v/>
      </c>
    </row>
    <row r="168" spans="1:11" x14ac:dyDescent="0.3">
      <c r="A168" s="214"/>
      <c r="B168" s="214"/>
      <c r="C168" s="214"/>
      <c r="D168" s="214"/>
      <c r="E168" s="214"/>
      <c r="F168" s="214"/>
      <c r="G168" s="214"/>
      <c r="H168" s="214"/>
      <c r="I168" s="214"/>
      <c r="K168" s="216" t="str">
        <f>IF(AND(UPPER(TRIM($B168))="PR_CULVERT",$A168&lt;&gt;"",ISNUMBER(MATCH(UPPER(TRIM($C168)),{"PC","BC","UC"},0))),MAX($K$4:K167)+1,"")</f>
        <v/>
      </c>
    </row>
    <row r="169" spans="1:11" x14ac:dyDescent="0.3">
      <c r="A169" s="214"/>
      <c r="B169" s="214"/>
      <c r="C169" s="214"/>
      <c r="D169" s="214"/>
      <c r="E169" s="214"/>
      <c r="F169" s="214"/>
      <c r="G169" s="214"/>
      <c r="H169" s="214"/>
      <c r="I169" s="214"/>
      <c r="K169" s="216" t="str">
        <f>IF(AND(UPPER(TRIM($B169))="PR_CULVERT",$A169&lt;&gt;"",ISNUMBER(MATCH(UPPER(TRIM($C169)),{"PC","BC","UC"},0))),MAX($K$4:K168)+1,"")</f>
        <v/>
      </c>
    </row>
    <row r="170" spans="1:11" x14ac:dyDescent="0.3">
      <c r="A170" s="214"/>
      <c r="B170" s="214"/>
      <c r="C170" s="214"/>
      <c r="D170" s="214"/>
      <c r="E170" s="214"/>
      <c r="F170" s="214"/>
      <c r="G170" s="214"/>
      <c r="H170" s="214"/>
      <c r="I170" s="214"/>
      <c r="K170" s="216" t="str">
        <f>IF(AND(UPPER(TRIM($B170))="PR_CULVERT",$A170&lt;&gt;"",ISNUMBER(MATCH(UPPER(TRIM($C170)),{"PC","BC","UC"},0))),MAX($K$4:K169)+1,"")</f>
        <v/>
      </c>
    </row>
    <row r="171" spans="1:11" x14ac:dyDescent="0.3">
      <c r="A171" s="214"/>
      <c r="B171" s="214"/>
      <c r="C171" s="214"/>
      <c r="D171" s="214"/>
      <c r="E171" s="214"/>
      <c r="F171" s="214"/>
      <c r="G171" s="214"/>
      <c r="H171" s="214"/>
      <c r="I171" s="214"/>
      <c r="K171" s="216" t="str">
        <f>IF(AND(UPPER(TRIM($B171))="PR_CULVERT",$A171&lt;&gt;"",ISNUMBER(MATCH(UPPER(TRIM($C171)),{"PC","BC","UC"},0))),MAX($K$4:K170)+1,"")</f>
        <v/>
      </c>
    </row>
    <row r="172" spans="1:11" x14ac:dyDescent="0.3">
      <c r="A172" s="214"/>
      <c r="B172" s="214"/>
      <c r="C172" s="214"/>
      <c r="D172" s="214"/>
      <c r="E172" s="214"/>
      <c r="F172" s="214"/>
      <c r="G172" s="214"/>
      <c r="H172" s="214"/>
      <c r="I172" s="214"/>
      <c r="K172" s="216" t="str">
        <f>IF(AND(UPPER(TRIM($B172))="PR_CULVERT",$A172&lt;&gt;"",ISNUMBER(MATCH(UPPER(TRIM($C172)),{"PC","BC","UC"},0))),MAX($K$4:K171)+1,"")</f>
        <v/>
      </c>
    </row>
    <row r="173" spans="1:11" x14ac:dyDescent="0.3">
      <c r="A173" s="214"/>
      <c r="B173" s="214"/>
      <c r="C173" s="214"/>
      <c r="D173" s="214"/>
      <c r="E173" s="214"/>
      <c r="F173" s="214"/>
      <c r="G173" s="214"/>
      <c r="H173" s="214"/>
      <c r="I173" s="214"/>
      <c r="K173" s="216" t="str">
        <f>IF(AND(UPPER(TRIM($B173))="PR_CULVERT",$A173&lt;&gt;"",ISNUMBER(MATCH(UPPER(TRIM($C173)),{"PC","BC","UC"},0))),MAX($K$4:K172)+1,"")</f>
        <v/>
      </c>
    </row>
    <row r="174" spans="1:11" x14ac:dyDescent="0.3">
      <c r="A174" s="214"/>
      <c r="B174" s="214"/>
      <c r="C174" s="214"/>
      <c r="D174" s="214"/>
      <c r="E174" s="214"/>
      <c r="F174" s="214"/>
      <c r="G174" s="214"/>
      <c r="H174" s="214"/>
      <c r="I174" s="214"/>
      <c r="K174" s="216" t="str">
        <f>IF(AND(UPPER(TRIM($B174))="PR_CULVERT",$A174&lt;&gt;"",ISNUMBER(MATCH(UPPER(TRIM($C174)),{"PC","BC","UC"},0))),MAX($K$4:K173)+1,"")</f>
        <v/>
      </c>
    </row>
    <row r="175" spans="1:11" x14ac:dyDescent="0.3">
      <c r="A175" s="214"/>
      <c r="B175" s="214"/>
      <c r="C175" s="214"/>
      <c r="D175" s="214"/>
      <c r="E175" s="214"/>
      <c r="F175" s="214"/>
      <c r="G175" s="214"/>
      <c r="H175" s="214"/>
      <c r="I175" s="214"/>
      <c r="K175" s="216" t="str">
        <f>IF(AND(UPPER(TRIM($B175))="PR_CULVERT",$A175&lt;&gt;"",ISNUMBER(MATCH(UPPER(TRIM($C175)),{"PC","BC","UC"},0))),MAX($K$4:K174)+1,"")</f>
        <v/>
      </c>
    </row>
    <row r="176" spans="1:11" x14ac:dyDescent="0.3">
      <c r="A176" s="214"/>
      <c r="B176" s="214"/>
      <c r="C176" s="214"/>
      <c r="D176" s="214"/>
      <c r="E176" s="214"/>
      <c r="F176" s="214"/>
      <c r="G176" s="214"/>
      <c r="H176" s="214"/>
      <c r="I176" s="214"/>
      <c r="K176" s="216" t="str">
        <f>IF(AND(UPPER(TRIM($B176))="PR_CULVERT",$A176&lt;&gt;"",ISNUMBER(MATCH(UPPER(TRIM($C176)),{"PC","BC","UC"},0))),MAX($K$4:K175)+1,"")</f>
        <v/>
      </c>
    </row>
    <row r="177" spans="1:11" x14ac:dyDescent="0.3">
      <c r="A177" s="214"/>
      <c r="B177" s="214"/>
      <c r="C177" s="214"/>
      <c r="D177" s="214"/>
      <c r="E177" s="214"/>
      <c r="F177" s="214"/>
      <c r="G177" s="214"/>
      <c r="H177" s="214"/>
      <c r="I177" s="214"/>
      <c r="K177" s="216" t="str">
        <f>IF(AND(UPPER(TRIM($B177))="PR_CULVERT",$A177&lt;&gt;"",ISNUMBER(MATCH(UPPER(TRIM($C177)),{"PC","BC","UC"},0))),MAX($K$4:K176)+1,"")</f>
        <v/>
      </c>
    </row>
    <row r="178" spans="1:11" x14ac:dyDescent="0.3">
      <c r="A178" s="214"/>
      <c r="B178" s="214"/>
      <c r="C178" s="214"/>
      <c r="D178" s="214"/>
      <c r="E178" s="214"/>
      <c r="F178" s="214"/>
      <c r="G178" s="214"/>
      <c r="H178" s="214"/>
      <c r="I178" s="214"/>
      <c r="K178" s="216" t="str">
        <f>IF(AND(UPPER(TRIM($B178))="PR_CULVERT",$A178&lt;&gt;"",ISNUMBER(MATCH(UPPER(TRIM($C178)),{"PC","BC","UC"},0))),MAX($K$4:K177)+1,"")</f>
        <v/>
      </c>
    </row>
    <row r="179" spans="1:11" x14ac:dyDescent="0.3">
      <c r="A179" s="214"/>
      <c r="B179" s="214"/>
      <c r="C179" s="214"/>
      <c r="D179" s="214"/>
      <c r="E179" s="214"/>
      <c r="F179" s="214"/>
      <c r="G179" s="214"/>
      <c r="H179" s="214"/>
      <c r="I179" s="214"/>
      <c r="K179" s="216" t="str">
        <f>IF(AND(UPPER(TRIM($B179))="PR_CULVERT",$A179&lt;&gt;"",ISNUMBER(MATCH(UPPER(TRIM($C179)),{"PC","BC","UC"},0))),MAX($K$4:K178)+1,"")</f>
        <v/>
      </c>
    </row>
    <row r="180" spans="1:11" x14ac:dyDescent="0.3">
      <c r="A180" s="214"/>
      <c r="B180" s="214"/>
      <c r="C180" s="214"/>
      <c r="D180" s="214"/>
      <c r="E180" s="214"/>
      <c r="F180" s="214"/>
      <c r="G180" s="214"/>
      <c r="H180" s="214"/>
      <c r="I180" s="214"/>
      <c r="K180" s="216" t="str">
        <f>IF(AND(UPPER(TRIM($B180))="PR_CULVERT",$A180&lt;&gt;"",ISNUMBER(MATCH(UPPER(TRIM($C180)),{"PC","BC","UC"},0))),MAX($K$4:K179)+1,"")</f>
        <v/>
      </c>
    </row>
    <row r="181" spans="1:11" x14ac:dyDescent="0.3">
      <c r="A181" s="214"/>
      <c r="B181" s="214"/>
      <c r="C181" s="214"/>
      <c r="D181" s="214"/>
      <c r="E181" s="214"/>
      <c r="F181" s="214"/>
      <c r="G181" s="214"/>
      <c r="H181" s="214"/>
      <c r="I181" s="214"/>
      <c r="K181" s="216" t="str">
        <f>IF(AND(UPPER(TRIM($B181))="PR_CULVERT",$A181&lt;&gt;"",ISNUMBER(MATCH(UPPER(TRIM($C181)),{"PC","BC","UC"},0))),MAX($K$4:K180)+1,"")</f>
        <v/>
      </c>
    </row>
    <row r="182" spans="1:11" x14ac:dyDescent="0.3">
      <c r="A182" s="214"/>
      <c r="B182" s="214"/>
      <c r="C182" s="214"/>
      <c r="D182" s="214"/>
      <c r="E182" s="214"/>
      <c r="F182" s="214"/>
      <c r="G182" s="214"/>
      <c r="H182" s="214"/>
      <c r="I182" s="214"/>
      <c r="K182" s="216" t="str">
        <f>IF(AND(UPPER(TRIM($B182))="PR_CULVERT",$A182&lt;&gt;"",ISNUMBER(MATCH(UPPER(TRIM($C182)),{"PC","BC","UC"},0))),MAX($K$4:K181)+1,"")</f>
        <v/>
      </c>
    </row>
    <row r="183" spans="1:11" x14ac:dyDescent="0.3">
      <c r="A183" s="214"/>
      <c r="B183" s="214"/>
      <c r="C183" s="214"/>
      <c r="D183" s="214"/>
      <c r="E183" s="214"/>
      <c r="F183" s="214"/>
      <c r="G183" s="214"/>
      <c r="H183" s="214"/>
      <c r="I183" s="214"/>
      <c r="K183" s="216" t="str">
        <f>IF(AND(UPPER(TRIM($B183))="PR_CULVERT",$A183&lt;&gt;"",ISNUMBER(MATCH(UPPER(TRIM($C183)),{"PC","BC","UC"},0))),MAX($K$4:K182)+1,"")</f>
        <v/>
      </c>
    </row>
    <row r="184" spans="1:11" x14ac:dyDescent="0.3">
      <c r="A184" s="214"/>
      <c r="B184" s="214"/>
      <c r="C184" s="214"/>
      <c r="D184" s="214"/>
      <c r="E184" s="214"/>
      <c r="F184" s="214"/>
      <c r="G184" s="214"/>
      <c r="H184" s="214"/>
      <c r="I184" s="214"/>
      <c r="K184" s="216" t="str">
        <f>IF(AND(UPPER(TRIM($B184))="PR_CULVERT",$A184&lt;&gt;"",ISNUMBER(MATCH(UPPER(TRIM($C184)),{"PC","BC","UC"},0))),MAX($K$4:K183)+1,"")</f>
        <v/>
      </c>
    </row>
    <row r="185" spans="1:11" x14ac:dyDescent="0.3">
      <c r="A185" s="214"/>
      <c r="B185" s="214"/>
      <c r="C185" s="214"/>
      <c r="D185" s="214"/>
      <c r="E185" s="214"/>
      <c r="F185" s="214"/>
      <c r="G185" s="214"/>
      <c r="H185" s="214"/>
      <c r="I185" s="214"/>
      <c r="K185" s="216" t="str">
        <f>IF(AND(UPPER(TRIM($B185))="PR_CULVERT",$A185&lt;&gt;"",ISNUMBER(MATCH(UPPER(TRIM($C185)),{"PC","BC","UC"},0))),MAX($K$4:K184)+1,"")</f>
        <v/>
      </c>
    </row>
    <row r="186" spans="1:11" x14ac:dyDescent="0.3">
      <c r="A186" s="214"/>
      <c r="B186" s="214"/>
      <c r="C186" s="214"/>
      <c r="D186" s="214"/>
      <c r="E186" s="214"/>
      <c r="F186" s="214"/>
      <c r="G186" s="214"/>
      <c r="H186" s="214"/>
      <c r="I186" s="214"/>
      <c r="K186" s="216" t="str">
        <f>IF(AND(UPPER(TRIM($B186))="PR_CULVERT",$A186&lt;&gt;"",ISNUMBER(MATCH(UPPER(TRIM($C186)),{"PC","BC","UC"},0))),MAX($K$4:K185)+1,"")</f>
        <v/>
      </c>
    </row>
    <row r="187" spans="1:11" x14ac:dyDescent="0.3">
      <c r="A187" s="214"/>
      <c r="B187" s="214"/>
      <c r="C187" s="214"/>
      <c r="D187" s="214"/>
      <c r="E187" s="214"/>
      <c r="F187" s="214"/>
      <c r="G187" s="214"/>
      <c r="H187" s="214"/>
      <c r="I187" s="214"/>
      <c r="K187" s="216" t="str">
        <f>IF(AND(UPPER(TRIM($B187))="PR_CULVERT",$A187&lt;&gt;"",ISNUMBER(MATCH(UPPER(TRIM($C187)),{"PC","BC","UC"},0))),MAX($K$4:K186)+1,"")</f>
        <v/>
      </c>
    </row>
    <row r="188" spans="1:11" x14ac:dyDescent="0.3">
      <c r="A188" s="214"/>
      <c r="B188" s="214"/>
      <c r="C188" s="214"/>
      <c r="D188" s="214"/>
      <c r="E188" s="214"/>
      <c r="F188" s="214"/>
      <c r="G188" s="214"/>
      <c r="H188" s="214"/>
      <c r="I188" s="214"/>
      <c r="K188" s="216" t="str">
        <f>IF(AND(UPPER(TRIM($B188))="PR_CULVERT",$A188&lt;&gt;"",ISNUMBER(MATCH(UPPER(TRIM($C188)),{"PC","BC","UC"},0))),MAX($K$4:K187)+1,"")</f>
        <v/>
      </c>
    </row>
    <row r="189" spans="1:11" x14ac:dyDescent="0.3">
      <c r="A189" s="214"/>
      <c r="B189" s="214"/>
      <c r="C189" s="214"/>
      <c r="D189" s="214"/>
      <c r="E189" s="214"/>
      <c r="F189" s="214"/>
      <c r="G189" s="214"/>
      <c r="H189" s="214"/>
      <c r="I189" s="214"/>
      <c r="K189" s="216" t="str">
        <f>IF(AND(UPPER(TRIM($B189))="PR_CULVERT",$A189&lt;&gt;"",ISNUMBER(MATCH(UPPER(TRIM($C189)),{"PC","BC","UC"},0))),MAX($K$4:K188)+1,"")</f>
        <v/>
      </c>
    </row>
    <row r="190" spans="1:11" x14ac:dyDescent="0.3">
      <c r="A190" s="214"/>
      <c r="B190" s="214"/>
      <c r="C190" s="214"/>
      <c r="D190" s="214"/>
      <c r="E190" s="214"/>
      <c r="F190" s="214"/>
      <c r="G190" s="214"/>
      <c r="H190" s="214"/>
      <c r="I190" s="214"/>
      <c r="K190" s="216" t="str">
        <f>IF(AND(UPPER(TRIM($B190))="PR_CULVERT",$A190&lt;&gt;"",ISNUMBER(MATCH(UPPER(TRIM($C190)),{"PC","BC","UC"},0))),MAX($K$4:K189)+1,"")</f>
        <v/>
      </c>
    </row>
    <row r="191" spans="1:11" x14ac:dyDescent="0.3">
      <c r="A191" s="214"/>
      <c r="B191" s="214"/>
      <c r="C191" s="214"/>
      <c r="D191" s="214"/>
      <c r="E191" s="214"/>
      <c r="F191" s="214"/>
      <c r="G191" s="214"/>
      <c r="H191" s="214"/>
      <c r="I191" s="214"/>
      <c r="K191" s="216" t="str">
        <f>IF(AND(UPPER(TRIM($B191))="PR_CULVERT",$A191&lt;&gt;"",ISNUMBER(MATCH(UPPER(TRIM($C191)),{"PC","BC","UC"},0))),MAX($K$4:K190)+1,"")</f>
        <v/>
      </c>
    </row>
    <row r="192" spans="1:11" x14ac:dyDescent="0.3">
      <c r="A192" s="214"/>
      <c r="B192" s="214"/>
      <c r="C192" s="214"/>
      <c r="D192" s="214"/>
      <c r="E192" s="214"/>
      <c r="F192" s="214"/>
      <c r="G192" s="214"/>
      <c r="H192" s="214"/>
      <c r="I192" s="214"/>
      <c r="K192" s="216" t="str">
        <f>IF(AND(UPPER(TRIM($B192))="PR_CULVERT",$A192&lt;&gt;"",ISNUMBER(MATCH(UPPER(TRIM($C192)),{"PC","BC","UC"},0))),MAX($K$4:K191)+1,"")</f>
        <v/>
      </c>
    </row>
    <row r="193" spans="1:11" x14ac:dyDescent="0.3">
      <c r="A193" s="214"/>
      <c r="B193" s="214"/>
      <c r="C193" s="214"/>
      <c r="D193" s="214"/>
      <c r="E193" s="214"/>
      <c r="F193" s="214"/>
      <c r="G193" s="214"/>
      <c r="H193" s="214"/>
      <c r="I193" s="214"/>
      <c r="K193" s="216" t="str">
        <f>IF(AND(UPPER(TRIM($B193))="PR_CULVERT",$A193&lt;&gt;"",ISNUMBER(MATCH(UPPER(TRIM($C193)),{"PC","BC","UC"},0))),MAX($K$4:K192)+1,"")</f>
        <v/>
      </c>
    </row>
    <row r="194" spans="1:11" x14ac:dyDescent="0.3">
      <c r="A194" s="214"/>
      <c r="B194" s="214"/>
      <c r="C194" s="214"/>
      <c r="D194" s="214"/>
      <c r="E194" s="214"/>
      <c r="F194" s="214"/>
      <c r="G194" s="214"/>
      <c r="H194" s="214"/>
      <c r="I194" s="214"/>
      <c r="K194" s="216" t="str">
        <f>IF(AND(UPPER(TRIM($B194))="PR_CULVERT",$A194&lt;&gt;"",ISNUMBER(MATCH(UPPER(TRIM($C194)),{"PC","BC","UC"},0))),MAX($K$4:K193)+1,"")</f>
        <v/>
      </c>
    </row>
    <row r="195" spans="1:11" x14ac:dyDescent="0.3">
      <c r="A195" s="214"/>
      <c r="B195" s="214"/>
      <c r="C195" s="214"/>
      <c r="D195" s="214"/>
      <c r="E195" s="214"/>
      <c r="F195" s="214"/>
      <c r="G195" s="214"/>
      <c r="H195" s="214"/>
      <c r="I195" s="214"/>
      <c r="K195" s="216" t="str">
        <f>IF(AND(UPPER(TRIM($B195))="PR_CULVERT",$A195&lt;&gt;"",ISNUMBER(MATCH(UPPER(TRIM($C195)),{"PC","BC","UC"},0))),MAX($K$4:K194)+1,"")</f>
        <v/>
      </c>
    </row>
    <row r="196" spans="1:11" x14ac:dyDescent="0.3">
      <c r="A196" s="214"/>
      <c r="B196" s="214"/>
      <c r="C196" s="214"/>
      <c r="D196" s="214"/>
      <c r="E196" s="214"/>
      <c r="F196" s="214"/>
      <c r="G196" s="214"/>
      <c r="H196" s="214"/>
      <c r="I196" s="214"/>
      <c r="K196" s="216" t="str">
        <f>IF(AND(UPPER(TRIM($B196))="PR_CULVERT",$A196&lt;&gt;"",ISNUMBER(MATCH(UPPER(TRIM($C196)),{"PC","BC","UC"},0))),MAX($K$4:K195)+1,"")</f>
        <v/>
      </c>
    </row>
    <row r="197" spans="1:11" x14ac:dyDescent="0.3">
      <c r="A197" s="214"/>
      <c r="B197" s="214"/>
      <c r="C197" s="214"/>
      <c r="D197" s="214"/>
      <c r="E197" s="214"/>
      <c r="F197" s="214"/>
      <c r="G197" s="214"/>
      <c r="H197" s="214"/>
      <c r="I197" s="214"/>
      <c r="K197" s="216" t="str">
        <f>IF(AND(UPPER(TRIM($B197))="PR_CULVERT",$A197&lt;&gt;"",ISNUMBER(MATCH(UPPER(TRIM($C197)),{"PC","BC","UC"},0))),MAX($K$4:K196)+1,"")</f>
        <v/>
      </c>
    </row>
    <row r="198" spans="1:11" x14ac:dyDescent="0.3">
      <c r="A198" s="214"/>
      <c r="B198" s="214"/>
      <c r="C198" s="214"/>
      <c r="D198" s="214"/>
      <c r="E198" s="214"/>
      <c r="F198" s="214"/>
      <c r="G198" s="214"/>
      <c r="H198" s="214"/>
      <c r="I198" s="214"/>
      <c r="K198" s="216" t="str">
        <f>IF(AND(UPPER(TRIM($B198))="PR_CULVERT",$A198&lt;&gt;"",ISNUMBER(MATCH(UPPER(TRIM($C198)),{"PC","BC","UC"},0))),MAX($K$4:K197)+1,"")</f>
        <v/>
      </c>
    </row>
    <row r="199" spans="1:11" x14ac:dyDescent="0.3">
      <c r="A199" s="214"/>
      <c r="B199" s="214"/>
      <c r="C199" s="214"/>
      <c r="D199" s="214"/>
      <c r="E199" s="214"/>
      <c r="F199" s="214"/>
      <c r="G199" s="214"/>
      <c r="H199" s="214"/>
      <c r="I199" s="214"/>
      <c r="K199" s="216" t="str">
        <f>IF(AND(UPPER(TRIM($B199))="PR_CULVERT",$A199&lt;&gt;"",ISNUMBER(MATCH(UPPER(TRIM($C199)),{"PC","BC","UC"},0))),MAX($K$4:K198)+1,"")</f>
        <v/>
      </c>
    </row>
    <row r="200" spans="1:11" x14ac:dyDescent="0.3">
      <c r="A200" s="214"/>
      <c r="B200" s="214"/>
      <c r="C200" s="214"/>
      <c r="D200" s="214"/>
      <c r="E200" s="214"/>
      <c r="F200" s="214"/>
      <c r="G200" s="214"/>
      <c r="H200" s="214"/>
      <c r="I200" s="214"/>
      <c r="K200" s="216" t="str">
        <f>IF(AND(UPPER(TRIM($B200))="PR_CULVERT",$A200&lt;&gt;"",ISNUMBER(MATCH(UPPER(TRIM($C200)),{"PC","BC","UC"},0))),MAX($K$4:K199)+1,"")</f>
        <v/>
      </c>
    </row>
    <row r="201" spans="1:11" x14ac:dyDescent="0.3">
      <c r="A201" s="214"/>
      <c r="B201" s="214"/>
      <c r="C201" s="214"/>
      <c r="D201" s="214"/>
      <c r="E201" s="214"/>
      <c r="F201" s="214"/>
      <c r="G201" s="214"/>
      <c r="H201" s="214"/>
      <c r="I201" s="214"/>
      <c r="K201" s="216" t="str">
        <f>IF(AND(UPPER(TRIM($B201))="PR_CULVERT",$A201&lt;&gt;"",ISNUMBER(MATCH(UPPER(TRIM($C201)),{"PC","BC","UC"},0))),MAX($K$4:K200)+1,"")</f>
        <v/>
      </c>
    </row>
    <row r="202" spans="1:11" x14ac:dyDescent="0.3">
      <c r="A202" s="214"/>
      <c r="B202" s="214"/>
      <c r="C202" s="214"/>
      <c r="D202" s="214"/>
      <c r="E202" s="214"/>
      <c r="F202" s="214"/>
      <c r="G202" s="214"/>
      <c r="H202" s="214"/>
      <c r="I202" s="214"/>
      <c r="K202" s="216" t="str">
        <f>IF(AND(UPPER(TRIM($B202))="PR_CULVERT",$A202&lt;&gt;"",ISNUMBER(MATCH(UPPER(TRIM($C202)),{"PC","BC","UC"},0))),MAX($K$4:K201)+1,"")</f>
        <v/>
      </c>
    </row>
    <row r="203" spans="1:11" x14ac:dyDescent="0.3">
      <c r="A203" s="214"/>
      <c r="B203" s="214"/>
      <c r="C203" s="214"/>
      <c r="D203" s="214"/>
      <c r="E203" s="214"/>
      <c r="F203" s="214"/>
      <c r="G203" s="214"/>
      <c r="H203" s="214"/>
      <c r="I203" s="214"/>
      <c r="K203" s="216" t="str">
        <f>IF(AND(UPPER(TRIM($B203))="PR_CULVERT",$A203&lt;&gt;"",ISNUMBER(MATCH(UPPER(TRIM($C203)),{"PC","BC","UC"},0))),MAX($K$4:K202)+1,"")</f>
        <v/>
      </c>
    </row>
    <row r="204" spans="1:11" x14ac:dyDescent="0.3">
      <c r="A204" s="214"/>
      <c r="B204" s="214"/>
      <c r="C204" s="214"/>
      <c r="D204" s="214"/>
      <c r="E204" s="214"/>
      <c r="F204" s="214"/>
      <c r="G204" s="214"/>
      <c r="H204" s="214"/>
      <c r="I204" s="214"/>
      <c r="K204" s="216" t="str">
        <f>IF(AND(UPPER(TRIM($B204))="PR_CULVERT",$A204&lt;&gt;"",ISNUMBER(MATCH(UPPER(TRIM($C204)),{"PC","BC","UC"},0))),MAX($K$4:K203)+1,"")</f>
        <v/>
      </c>
    </row>
  </sheetData>
  <mergeCells count="1">
    <mergeCell ref="A2:I2"/>
  </mergeCells>
  <dataValidations count="4">
    <dataValidation type="list" allowBlank="1" sqref="B5:B204" xr:uid="{00000000-0002-0000-0500-000000000000}">
      <formula1>"PR_CULVERT,EX_CULVERT,JN_CULVERT,EX_BRIDGE,PR_BRIDGE,GULLY,TURNOUT_L,TURNOUT_R,PITCHING"</formula1>
    </dataValidation>
    <dataValidation type="list" allowBlank="1" sqref="C5:C204" xr:uid="{00000000-0002-0000-0500-000001000000}">
      <formula1>"PC,BC,UC"</formula1>
    </dataValidation>
    <dataValidation type="list" allowBlank="1" sqref="D5:D204" xr:uid="{00000000-0002-0000-0500-000002000000}">
      <formula1>"1,2,3,4"</formula1>
    </dataValidation>
    <dataValidation type="list" allowBlank="1" sqref="G5:G204" xr:uid="{00000000-0002-0000-0500-000003000000}">
      <formula1>"Right Angle,Skew"</formula1>
    </dataValidation>
  </dataValidations>
  <pageMargins left="0.75" right="0.75" top="1" bottom="1" header="0.5" footer="0.5"/>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9"/>
  <sheetViews>
    <sheetView showGridLines="0" workbookViewId="0">
      <selection activeCell="H5" sqref="H5"/>
    </sheetView>
  </sheetViews>
  <sheetFormatPr defaultRowHeight="14.4" x14ac:dyDescent="0.3"/>
  <cols>
    <col min="1" max="1" width="11" customWidth="1"/>
    <col min="2" max="2" width="46" customWidth="1"/>
    <col min="3" max="3" width="12" customWidth="1"/>
    <col min="4" max="4" width="14" customWidth="1"/>
    <col min="5" max="6" width="12" customWidth="1"/>
    <col min="7" max="7" width="11" customWidth="1"/>
    <col min="8" max="8" width="12" customWidth="1"/>
  </cols>
  <sheetData>
    <row r="1" spans="1:8" ht="15.6" x14ac:dyDescent="0.3">
      <c r="A1" s="212" t="s">
        <v>223</v>
      </c>
    </row>
    <row r="2" spans="1:8" ht="28.05" customHeight="1" x14ac:dyDescent="0.3">
      <c r="A2" s="234" t="s">
        <v>224</v>
      </c>
      <c r="B2" s="233"/>
      <c r="C2" s="233"/>
      <c r="D2" s="233"/>
      <c r="E2" s="233"/>
      <c r="F2" s="233"/>
      <c r="G2" s="233"/>
      <c r="H2" s="233"/>
    </row>
    <row r="4" spans="1:8" ht="28.05" customHeight="1" x14ac:dyDescent="0.3">
      <c r="A4" s="213" t="s">
        <v>225</v>
      </c>
      <c r="B4" s="213" t="s">
        <v>226</v>
      </c>
      <c r="C4" s="213" t="s">
        <v>227</v>
      </c>
      <c r="D4" s="213" t="s">
        <v>228</v>
      </c>
      <c r="E4" s="213" t="s">
        <v>229</v>
      </c>
      <c r="F4" s="213" t="s">
        <v>230</v>
      </c>
      <c r="G4" s="213" t="s">
        <v>231</v>
      </c>
      <c r="H4" s="213" t="s">
        <v>232</v>
      </c>
    </row>
    <row r="5" spans="1:8" x14ac:dyDescent="0.3">
      <c r="A5" s="217" t="s">
        <v>233</v>
      </c>
      <c r="B5" s="218" t="s">
        <v>234</v>
      </c>
      <c r="C5" s="219" t="s">
        <v>235</v>
      </c>
      <c r="D5" s="214"/>
      <c r="E5" s="214"/>
      <c r="F5" s="219"/>
      <c r="G5" s="219"/>
      <c r="H5" s="219"/>
    </row>
    <row r="6" spans="1:8" x14ac:dyDescent="0.3">
      <c r="A6" s="217" t="s">
        <v>236</v>
      </c>
      <c r="B6" s="218" t="s">
        <v>237</v>
      </c>
      <c r="C6" s="219" t="s">
        <v>238</v>
      </c>
      <c r="D6" s="214">
        <v>10</v>
      </c>
      <c r="E6" s="214">
        <v>15</v>
      </c>
      <c r="F6" s="219" t="s">
        <v>239</v>
      </c>
      <c r="G6" s="219" t="s">
        <v>239</v>
      </c>
      <c r="H6" s="219" t="s">
        <v>239</v>
      </c>
    </row>
    <row r="7" spans="1:8" x14ac:dyDescent="0.3">
      <c r="A7" s="217" t="s">
        <v>240</v>
      </c>
      <c r="B7" s="218" t="s">
        <v>241</v>
      </c>
      <c r="C7" s="219" t="s">
        <v>238</v>
      </c>
      <c r="D7" s="214">
        <v>15</v>
      </c>
      <c r="E7" s="214">
        <v>15</v>
      </c>
      <c r="F7" s="219" t="s">
        <v>239</v>
      </c>
      <c r="G7" s="219" t="s">
        <v>239</v>
      </c>
      <c r="H7" s="219" t="s">
        <v>239</v>
      </c>
    </row>
    <row r="8" spans="1:8" x14ac:dyDescent="0.3">
      <c r="A8" s="217" t="s">
        <v>242</v>
      </c>
      <c r="B8" s="218" t="s">
        <v>243</v>
      </c>
      <c r="C8" s="219" t="s">
        <v>244</v>
      </c>
      <c r="D8" s="214">
        <v>15</v>
      </c>
      <c r="E8" s="214">
        <v>15</v>
      </c>
      <c r="F8" s="219" t="s">
        <v>239</v>
      </c>
      <c r="G8" s="219" t="s">
        <v>239</v>
      </c>
      <c r="H8" s="219" t="s">
        <v>239</v>
      </c>
    </row>
    <row r="9" spans="1:8" x14ac:dyDescent="0.3">
      <c r="A9" s="217" t="s">
        <v>245</v>
      </c>
      <c r="B9" s="218" t="s">
        <v>246</v>
      </c>
      <c r="C9" s="219" t="s">
        <v>244</v>
      </c>
      <c r="D9" s="214">
        <v>15</v>
      </c>
      <c r="E9" s="214">
        <v>20</v>
      </c>
      <c r="F9" s="219" t="s">
        <v>239</v>
      </c>
      <c r="G9" s="219" t="s">
        <v>239</v>
      </c>
      <c r="H9" s="219" t="s">
        <v>239</v>
      </c>
    </row>
  </sheetData>
  <mergeCells count="1">
    <mergeCell ref="A2:H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41"/>
  <sheetViews>
    <sheetView showGridLines="0" workbookViewId="0">
      <pane ySplit="4" topLeftCell="A5" activePane="bottomLeft" state="frozen"/>
      <selection pane="bottomLeft" activeCell="C4" sqref="C4"/>
    </sheetView>
  </sheetViews>
  <sheetFormatPr defaultRowHeight="14.4" x14ac:dyDescent="0.3"/>
  <cols>
    <col min="1" max="1" width="9" customWidth="1"/>
    <col min="2" max="2" width="34" customWidth="1"/>
    <col min="3" max="3" width="12" customWidth="1"/>
    <col min="4" max="4" width="9" customWidth="1"/>
    <col min="5" max="5" width="44" customWidth="1"/>
    <col min="6" max="6" width="3" customWidth="1"/>
    <col min="7" max="7" width="15" customWidth="1"/>
  </cols>
  <sheetData>
    <row r="1" spans="1:7" ht="15.6" x14ac:dyDescent="0.3">
      <c r="A1" s="212" t="s">
        <v>247</v>
      </c>
    </row>
    <row r="2" spans="1:7" ht="42" customHeight="1" x14ac:dyDescent="0.3">
      <c r="A2" s="234" t="s">
        <v>248</v>
      </c>
      <c r="B2" s="233"/>
      <c r="C2" s="233"/>
      <c r="D2" s="233"/>
      <c r="E2" s="233"/>
      <c r="F2" s="233"/>
      <c r="G2" s="233"/>
    </row>
    <row r="4" spans="1:7" x14ac:dyDescent="0.3">
      <c r="A4" s="220" t="s">
        <v>249</v>
      </c>
      <c r="B4" s="220" t="s">
        <v>41</v>
      </c>
      <c r="C4" s="220" t="s">
        <v>42</v>
      </c>
      <c r="D4" s="220" t="s">
        <v>43</v>
      </c>
      <c r="E4" s="220" t="s">
        <v>44</v>
      </c>
      <c r="F4" s="220"/>
      <c r="G4" s="220" t="s">
        <v>40</v>
      </c>
    </row>
    <row r="5" spans="1:7" x14ac:dyDescent="0.3">
      <c r="A5" s="221" t="s">
        <v>69</v>
      </c>
      <c r="B5" s="222"/>
      <c r="C5" s="222"/>
      <c r="D5" s="222"/>
      <c r="E5" s="222"/>
      <c r="F5" s="222"/>
      <c r="G5" s="222"/>
    </row>
    <row r="6" spans="1:7" x14ac:dyDescent="0.3">
      <c r="A6" s="223"/>
      <c r="B6" s="218" t="s">
        <v>71</v>
      </c>
      <c r="C6" s="214">
        <v>7</v>
      </c>
      <c r="D6" s="218" t="s">
        <v>63</v>
      </c>
      <c r="E6" s="218"/>
      <c r="F6" s="218"/>
      <c r="G6" s="224" t="s">
        <v>70</v>
      </c>
    </row>
    <row r="7" spans="1:7" x14ac:dyDescent="0.3">
      <c r="A7" s="223"/>
      <c r="B7" s="218" t="s">
        <v>73</v>
      </c>
      <c r="C7" s="214">
        <v>1</v>
      </c>
      <c r="D7" s="218" t="s">
        <v>63</v>
      </c>
      <c r="E7" s="218" t="s">
        <v>250</v>
      </c>
      <c r="F7" s="218"/>
      <c r="G7" s="224" t="s">
        <v>72</v>
      </c>
    </row>
    <row r="8" spans="1:7" x14ac:dyDescent="0.3">
      <c r="A8" s="223"/>
      <c r="B8" s="218" t="s">
        <v>77</v>
      </c>
      <c r="C8" s="214">
        <v>4</v>
      </c>
      <c r="D8" s="218" t="s">
        <v>63</v>
      </c>
      <c r="E8" s="218"/>
      <c r="F8" s="218"/>
      <c r="G8" s="224" t="s">
        <v>76</v>
      </c>
    </row>
    <row r="9" spans="1:7" x14ac:dyDescent="0.3">
      <c r="A9" s="223"/>
      <c r="B9" s="218" t="s">
        <v>82</v>
      </c>
      <c r="C9" s="214">
        <v>8</v>
      </c>
      <c r="D9" s="218" t="s">
        <v>63</v>
      </c>
      <c r="E9" s="218"/>
      <c r="F9" s="218"/>
      <c r="G9" s="224" t="s">
        <v>81</v>
      </c>
    </row>
    <row r="10" spans="1:7" x14ac:dyDescent="0.3">
      <c r="A10" s="223"/>
      <c r="B10" s="218" t="s">
        <v>84</v>
      </c>
      <c r="C10" s="214">
        <v>7</v>
      </c>
      <c r="D10" s="218" t="s">
        <v>63</v>
      </c>
      <c r="E10" s="218"/>
      <c r="F10" s="218"/>
      <c r="G10" s="224" t="s">
        <v>83</v>
      </c>
    </row>
    <row r="11" spans="1:7" x14ac:dyDescent="0.3">
      <c r="A11" s="221" t="s">
        <v>85</v>
      </c>
      <c r="B11" s="222"/>
      <c r="C11" s="222"/>
      <c r="D11" s="222"/>
      <c r="E11" s="222"/>
      <c r="F11" s="222"/>
      <c r="G11" s="222"/>
    </row>
    <row r="12" spans="1:7" x14ac:dyDescent="0.3">
      <c r="A12" s="223"/>
      <c r="B12" s="218" t="s">
        <v>87</v>
      </c>
      <c r="C12" s="214">
        <v>0.15</v>
      </c>
      <c r="D12" s="218" t="s">
        <v>63</v>
      </c>
      <c r="E12" s="218" t="s">
        <v>251</v>
      </c>
      <c r="F12" s="218"/>
      <c r="G12" s="224" t="s">
        <v>86</v>
      </c>
    </row>
    <row r="13" spans="1:7" x14ac:dyDescent="0.3">
      <c r="A13" s="223"/>
      <c r="B13" s="218" t="s">
        <v>89</v>
      </c>
      <c r="C13" s="214">
        <v>0.15</v>
      </c>
      <c r="D13" s="218" t="s">
        <v>63</v>
      </c>
      <c r="E13" s="218"/>
      <c r="F13" s="218"/>
      <c r="G13" s="224" t="s">
        <v>88</v>
      </c>
    </row>
    <row r="14" spans="1:7" x14ac:dyDescent="0.3">
      <c r="A14" s="223" t="s">
        <v>252</v>
      </c>
      <c r="B14" s="218" t="s">
        <v>91</v>
      </c>
      <c r="C14" s="214">
        <v>31</v>
      </c>
      <c r="D14" s="218" t="s">
        <v>59</v>
      </c>
      <c r="E14" s="218" t="s">
        <v>253</v>
      </c>
      <c r="F14" s="218"/>
      <c r="G14" s="224" t="s">
        <v>90</v>
      </c>
    </row>
    <row r="15" spans="1:7" x14ac:dyDescent="0.3">
      <c r="A15" s="223" t="s">
        <v>252</v>
      </c>
      <c r="B15" s="218" t="s">
        <v>93</v>
      </c>
      <c r="C15" s="214">
        <v>40</v>
      </c>
      <c r="D15" s="218" t="s">
        <v>59</v>
      </c>
      <c r="E15" s="218" t="s">
        <v>254</v>
      </c>
      <c r="F15" s="218"/>
      <c r="G15" s="224" t="s">
        <v>92</v>
      </c>
    </row>
    <row r="16" spans="1:7" x14ac:dyDescent="0.3">
      <c r="A16" s="221" t="s">
        <v>94</v>
      </c>
      <c r="B16" s="222"/>
      <c r="C16" s="222"/>
      <c r="D16" s="222"/>
      <c r="E16" s="222"/>
      <c r="F16" s="222"/>
      <c r="G16" s="222"/>
    </row>
    <row r="17" spans="1:7" x14ac:dyDescent="0.3">
      <c r="A17" s="223"/>
      <c r="B17" s="218" t="s">
        <v>96</v>
      </c>
      <c r="C17" s="214">
        <v>1.4</v>
      </c>
      <c r="D17" s="218" t="s">
        <v>97</v>
      </c>
      <c r="E17" s="218"/>
      <c r="F17" s="218"/>
      <c r="G17" s="224" t="s">
        <v>95</v>
      </c>
    </row>
    <row r="18" spans="1:7" x14ac:dyDescent="0.3">
      <c r="A18" s="223"/>
      <c r="B18" s="218" t="s">
        <v>99</v>
      </c>
      <c r="C18" s="214">
        <v>1.3</v>
      </c>
      <c r="D18" s="218" t="s">
        <v>97</v>
      </c>
      <c r="E18" s="218"/>
      <c r="F18" s="218"/>
      <c r="G18" s="224" t="s">
        <v>98</v>
      </c>
    </row>
    <row r="19" spans="1:7" x14ac:dyDescent="0.3">
      <c r="A19" s="223"/>
      <c r="B19" s="218" t="s">
        <v>101</v>
      </c>
      <c r="C19" s="214">
        <v>1.2</v>
      </c>
      <c r="D19" s="218" t="s">
        <v>97</v>
      </c>
      <c r="E19" s="218"/>
      <c r="F19" s="218"/>
      <c r="G19" s="224" t="s">
        <v>100</v>
      </c>
    </row>
    <row r="20" spans="1:7" x14ac:dyDescent="0.3">
      <c r="A20" s="223"/>
      <c r="B20" s="218" t="s">
        <v>103</v>
      </c>
      <c r="C20" s="214">
        <v>0.84</v>
      </c>
      <c r="D20" s="218" t="s">
        <v>104</v>
      </c>
      <c r="E20" s="218" t="s">
        <v>105</v>
      </c>
      <c r="F20" s="218"/>
      <c r="G20" s="224" t="s">
        <v>102</v>
      </c>
    </row>
    <row r="21" spans="1:7" x14ac:dyDescent="0.3">
      <c r="A21" s="223"/>
      <c r="B21" s="218" t="s">
        <v>107</v>
      </c>
      <c r="C21" s="214">
        <v>0.16</v>
      </c>
      <c r="D21" s="218" t="s">
        <v>104</v>
      </c>
      <c r="E21" s="218" t="s">
        <v>255</v>
      </c>
      <c r="F21" s="218"/>
      <c r="G21" s="224" t="s">
        <v>106</v>
      </c>
    </row>
    <row r="22" spans="1:7" x14ac:dyDescent="0.3">
      <c r="A22" s="223"/>
      <c r="B22" s="218" t="s">
        <v>109</v>
      </c>
      <c r="C22" s="214">
        <v>120</v>
      </c>
      <c r="D22" s="218" t="s">
        <v>110</v>
      </c>
      <c r="E22" s="218"/>
      <c r="F22" s="218"/>
      <c r="G22" s="224" t="s">
        <v>108</v>
      </c>
    </row>
    <row r="23" spans="1:7" x14ac:dyDescent="0.3">
      <c r="A23" s="223"/>
      <c r="B23" s="218" t="s">
        <v>112</v>
      </c>
      <c r="C23" s="214">
        <v>100</v>
      </c>
      <c r="D23" s="218" t="s">
        <v>110</v>
      </c>
      <c r="E23" s="218"/>
      <c r="F23" s="218"/>
      <c r="G23" s="224" t="s">
        <v>111</v>
      </c>
    </row>
    <row r="24" spans="1:7" x14ac:dyDescent="0.3">
      <c r="A24" s="221" t="s">
        <v>113</v>
      </c>
      <c r="B24" s="222"/>
      <c r="C24" s="222"/>
      <c r="D24" s="222"/>
      <c r="E24" s="222"/>
      <c r="F24" s="222"/>
      <c r="G24" s="222"/>
    </row>
    <row r="25" spans="1:7" x14ac:dyDescent="0.3">
      <c r="A25" s="223" t="s">
        <v>252</v>
      </c>
      <c r="B25" s="218" t="s">
        <v>115</v>
      </c>
      <c r="C25" s="214">
        <v>15</v>
      </c>
      <c r="D25" s="218" t="s">
        <v>59</v>
      </c>
      <c r="E25" s="218"/>
      <c r="F25" s="218"/>
      <c r="G25" s="224" t="s">
        <v>114</v>
      </c>
    </row>
    <row r="26" spans="1:7" x14ac:dyDescent="0.3">
      <c r="A26" s="223" t="s">
        <v>252</v>
      </c>
      <c r="B26" s="218" t="s">
        <v>118</v>
      </c>
      <c r="C26" s="214">
        <v>25</v>
      </c>
      <c r="D26" s="218" t="s">
        <v>59</v>
      </c>
      <c r="E26" s="218"/>
      <c r="F26" s="218"/>
      <c r="G26" s="224" t="s">
        <v>117</v>
      </c>
    </row>
    <row r="27" spans="1:7" x14ac:dyDescent="0.3">
      <c r="A27" s="223" t="s">
        <v>252</v>
      </c>
      <c r="B27" s="218" t="s">
        <v>121</v>
      </c>
      <c r="C27" s="214">
        <v>60</v>
      </c>
      <c r="D27" s="218" t="s">
        <v>59</v>
      </c>
      <c r="E27" s="218"/>
      <c r="F27" s="218"/>
      <c r="G27" s="224" t="s">
        <v>120</v>
      </c>
    </row>
    <row r="28" spans="1:7" x14ac:dyDescent="0.3">
      <c r="A28" s="223" t="s">
        <v>252</v>
      </c>
      <c r="B28" s="218" t="s">
        <v>123</v>
      </c>
      <c r="C28" s="214">
        <v>2</v>
      </c>
      <c r="D28" s="218" t="s">
        <v>59</v>
      </c>
      <c r="E28" s="218"/>
      <c r="F28" s="218"/>
      <c r="G28" s="224" t="s">
        <v>122</v>
      </c>
    </row>
    <row r="29" spans="1:7" x14ac:dyDescent="0.3">
      <c r="A29" s="221" t="s">
        <v>124</v>
      </c>
      <c r="B29" s="222"/>
      <c r="C29" s="222"/>
      <c r="D29" s="222"/>
      <c r="E29" s="222"/>
      <c r="F29" s="222"/>
      <c r="G29" s="222"/>
    </row>
    <row r="30" spans="1:7" x14ac:dyDescent="0.3">
      <c r="A30" s="223" t="s">
        <v>252</v>
      </c>
      <c r="B30" s="218" t="s">
        <v>126</v>
      </c>
      <c r="C30" s="214">
        <v>0.57999999999999996</v>
      </c>
      <c r="D30" s="218" t="s">
        <v>127</v>
      </c>
      <c r="E30" s="218" t="s">
        <v>128</v>
      </c>
      <c r="F30" s="218"/>
      <c r="G30" s="224" t="s">
        <v>125</v>
      </c>
    </row>
    <row r="31" spans="1:7" x14ac:dyDescent="0.3">
      <c r="A31" s="223" t="s">
        <v>252</v>
      </c>
      <c r="B31" s="218" t="s">
        <v>130</v>
      </c>
      <c r="C31" s="214">
        <v>0.92</v>
      </c>
      <c r="D31" s="218" t="s">
        <v>127</v>
      </c>
      <c r="E31" s="218" t="s">
        <v>128</v>
      </c>
      <c r="F31" s="218"/>
      <c r="G31" s="224" t="s">
        <v>129</v>
      </c>
    </row>
    <row r="32" spans="1:7" x14ac:dyDescent="0.3">
      <c r="A32" s="223" t="s">
        <v>252</v>
      </c>
      <c r="B32" s="218" t="s">
        <v>132</v>
      </c>
      <c r="C32" s="214">
        <v>0.55000000000000004</v>
      </c>
      <c r="D32" s="218" t="s">
        <v>127</v>
      </c>
      <c r="E32" s="218" t="s">
        <v>256</v>
      </c>
      <c r="F32" s="218"/>
      <c r="G32" s="224" t="s">
        <v>131</v>
      </c>
    </row>
    <row r="33" spans="1:7" x14ac:dyDescent="0.3">
      <c r="A33" s="223" t="s">
        <v>252</v>
      </c>
      <c r="B33" s="218" t="s">
        <v>135</v>
      </c>
      <c r="C33" s="214">
        <v>0.88</v>
      </c>
      <c r="D33" s="218" t="s">
        <v>127</v>
      </c>
      <c r="E33" s="218" t="s">
        <v>256</v>
      </c>
      <c r="F33" s="218"/>
      <c r="G33" s="224" t="s">
        <v>134</v>
      </c>
    </row>
    <row r="34" spans="1:7" x14ac:dyDescent="0.3">
      <c r="A34" s="221" t="s">
        <v>257</v>
      </c>
      <c r="B34" s="222"/>
      <c r="C34" s="222"/>
      <c r="D34" s="222"/>
      <c r="E34" s="222"/>
      <c r="F34" s="222"/>
      <c r="G34" s="222"/>
    </row>
    <row r="35" spans="1:7" x14ac:dyDescent="0.3">
      <c r="A35" s="223" t="s">
        <v>252</v>
      </c>
      <c r="B35" s="218" t="s">
        <v>138</v>
      </c>
      <c r="C35" s="214">
        <v>10</v>
      </c>
      <c r="D35" s="218" t="s">
        <v>139</v>
      </c>
      <c r="E35" s="218" t="s">
        <v>258</v>
      </c>
      <c r="F35" s="218"/>
      <c r="G35" s="224" t="s">
        <v>137</v>
      </c>
    </row>
    <row r="36" spans="1:7" x14ac:dyDescent="0.3">
      <c r="A36" s="223" t="s">
        <v>252</v>
      </c>
      <c r="B36" s="218" t="s">
        <v>142</v>
      </c>
      <c r="C36" s="214">
        <v>5</v>
      </c>
      <c r="D36" s="218" t="s">
        <v>143</v>
      </c>
      <c r="E36" s="218"/>
      <c r="F36" s="218"/>
      <c r="G36" s="224" t="s">
        <v>141</v>
      </c>
    </row>
    <row r="37" spans="1:7" x14ac:dyDescent="0.3">
      <c r="A37" s="223" t="s">
        <v>252</v>
      </c>
      <c r="B37" s="218" t="s">
        <v>145</v>
      </c>
      <c r="C37" s="214">
        <v>1</v>
      </c>
      <c r="D37" s="218" t="s">
        <v>139</v>
      </c>
      <c r="E37" s="218"/>
      <c r="F37" s="218"/>
      <c r="G37" s="224" t="s">
        <v>144</v>
      </c>
    </row>
    <row r="38" spans="1:7" x14ac:dyDescent="0.3">
      <c r="A38" s="223" t="s">
        <v>252</v>
      </c>
      <c r="B38" s="218" t="s">
        <v>147</v>
      </c>
      <c r="C38" s="214">
        <v>0.6</v>
      </c>
      <c r="D38" s="218" t="s">
        <v>148</v>
      </c>
      <c r="E38" s="218" t="s">
        <v>149</v>
      </c>
      <c r="F38" s="218"/>
      <c r="G38" s="224" t="s">
        <v>146</v>
      </c>
    </row>
    <row r="39" spans="1:7" x14ac:dyDescent="0.3">
      <c r="A39" s="223" t="s">
        <v>252</v>
      </c>
      <c r="B39" s="218" t="s">
        <v>151</v>
      </c>
      <c r="C39" s="214">
        <v>0.4</v>
      </c>
      <c r="D39" s="218" t="s">
        <v>148</v>
      </c>
      <c r="E39" s="218"/>
      <c r="F39" s="218"/>
      <c r="G39" s="224" t="s">
        <v>150</v>
      </c>
    </row>
    <row r="40" spans="1:7" x14ac:dyDescent="0.3">
      <c r="A40" s="223" t="s">
        <v>252</v>
      </c>
      <c r="B40" s="218" t="s">
        <v>153</v>
      </c>
      <c r="C40" s="214">
        <v>2</v>
      </c>
      <c r="D40" s="218" t="s">
        <v>148</v>
      </c>
      <c r="E40" s="218" t="s">
        <v>154</v>
      </c>
      <c r="F40" s="218"/>
      <c r="G40" s="224" t="s">
        <v>152</v>
      </c>
    </row>
    <row r="41" spans="1:7" x14ac:dyDescent="0.3">
      <c r="A41" s="223" t="s">
        <v>252</v>
      </c>
      <c r="B41" s="218" t="s">
        <v>156</v>
      </c>
      <c r="C41" s="214">
        <v>2</v>
      </c>
      <c r="D41" s="218" t="s">
        <v>143</v>
      </c>
      <c r="E41" s="218"/>
      <c r="F41" s="218"/>
      <c r="G41" s="224" t="s">
        <v>155</v>
      </c>
    </row>
  </sheetData>
  <mergeCells count="1">
    <mergeCell ref="A2:G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E75B6"/>
    <pageSetUpPr fitToPage="1"/>
  </sheetPr>
  <dimension ref="A1:AY1005"/>
  <sheetViews>
    <sheetView showGridLines="0" workbookViewId="0">
      <pane xSplit="3" ySplit="5" topLeftCell="D8" activePane="bottomRight" state="frozen"/>
      <selection pane="topRight" activeCell="D1" sqref="D1"/>
      <selection pane="bottomLeft" activeCell="A6" sqref="A6"/>
      <selection pane="bottomRight" activeCell="H26" sqref="H26"/>
    </sheetView>
  </sheetViews>
  <sheetFormatPr defaultColWidth="14.44140625" defaultRowHeight="15" customHeight="1" x14ac:dyDescent="0.3"/>
  <cols>
    <col min="1" max="3" width="10" customWidth="1"/>
    <col min="4" max="41" width="11" customWidth="1"/>
    <col min="43" max="51" width="8" customWidth="1"/>
  </cols>
  <sheetData>
    <row r="1" spans="1:51" ht="19.8" customHeight="1" x14ac:dyDescent="0.4">
      <c r="A1" s="1" t="s">
        <v>259</v>
      </c>
    </row>
    <row r="2" spans="1:51" ht="14.4" customHeight="1" x14ac:dyDescent="0.3">
      <c r="A2" s="2" t="s">
        <v>260</v>
      </c>
    </row>
    <row r="3" spans="1:51" ht="15" customHeight="1" thickBot="1" x14ac:dyDescent="0.35"/>
    <row r="4" spans="1:51" ht="24" customHeight="1" x14ac:dyDescent="0.3">
      <c r="A4" s="193" t="s">
        <v>261</v>
      </c>
      <c r="B4" s="194" t="s">
        <v>262</v>
      </c>
      <c r="C4" s="194" t="s">
        <v>215</v>
      </c>
      <c r="D4" s="194" t="s">
        <v>263</v>
      </c>
      <c r="E4" s="194" t="s">
        <v>183</v>
      </c>
      <c r="F4" s="194" t="s">
        <v>264</v>
      </c>
      <c r="G4" s="194" t="s">
        <v>265</v>
      </c>
      <c r="H4" s="194" t="s">
        <v>266</v>
      </c>
      <c r="I4" s="194" t="s">
        <v>267</v>
      </c>
      <c r="J4" s="194" t="s">
        <v>268</v>
      </c>
      <c r="K4" s="194" t="s">
        <v>269</v>
      </c>
      <c r="L4" s="194" t="s">
        <v>270</v>
      </c>
      <c r="M4" s="194" t="s">
        <v>271</v>
      </c>
      <c r="N4" s="194" t="s">
        <v>272</v>
      </c>
      <c r="O4" s="194" t="s">
        <v>273</v>
      </c>
      <c r="P4" s="194" t="s">
        <v>274</v>
      </c>
      <c r="Q4" s="194" t="s">
        <v>275</v>
      </c>
      <c r="R4" s="194" t="s">
        <v>276</v>
      </c>
      <c r="S4" s="194" t="s">
        <v>277</v>
      </c>
      <c r="T4" s="194" t="s">
        <v>278</v>
      </c>
      <c r="U4" s="194" t="s">
        <v>279</v>
      </c>
      <c r="V4" s="194" t="s">
        <v>280</v>
      </c>
      <c r="W4" s="194" t="s">
        <v>281</v>
      </c>
      <c r="X4" s="194" t="s">
        <v>282</v>
      </c>
      <c r="Y4" s="194" t="s">
        <v>283</v>
      </c>
      <c r="Z4" s="194" t="s">
        <v>284</v>
      </c>
      <c r="AA4" s="194" t="s">
        <v>285</v>
      </c>
      <c r="AB4" s="194" t="s">
        <v>200</v>
      </c>
      <c r="AC4" s="194" t="s">
        <v>286</v>
      </c>
      <c r="AD4" s="194" t="s">
        <v>287</v>
      </c>
      <c r="AE4" s="194" t="s">
        <v>288</v>
      </c>
      <c r="AF4" s="194" t="s">
        <v>289</v>
      </c>
      <c r="AG4" s="194" t="s">
        <v>290</v>
      </c>
      <c r="AH4" s="194" t="s">
        <v>291</v>
      </c>
      <c r="AI4" s="194" t="s">
        <v>292</v>
      </c>
      <c r="AJ4" s="194" t="s">
        <v>293</v>
      </c>
      <c r="AK4" s="194" t="s">
        <v>294</v>
      </c>
      <c r="AL4" s="194" t="s">
        <v>295</v>
      </c>
      <c r="AM4" s="194" t="s">
        <v>230</v>
      </c>
      <c r="AN4" s="194" t="s">
        <v>231</v>
      </c>
      <c r="AO4" s="195" t="s">
        <v>232</v>
      </c>
      <c r="AQ4" s="225" t="s">
        <v>296</v>
      </c>
    </row>
    <row r="5" spans="1:51" thickBot="1" x14ac:dyDescent="0.35">
      <c r="A5" s="187" t="s">
        <v>67</v>
      </c>
      <c r="B5" s="186" t="s">
        <v>63</v>
      </c>
      <c r="C5" s="186"/>
      <c r="D5" s="186" t="s">
        <v>297</v>
      </c>
      <c r="E5" s="186" t="s">
        <v>298</v>
      </c>
      <c r="F5" s="186" t="s">
        <v>297</v>
      </c>
      <c r="G5" s="186" t="s">
        <v>299</v>
      </c>
      <c r="H5" s="186" t="s">
        <v>300</v>
      </c>
      <c r="I5" s="186" t="s">
        <v>297</v>
      </c>
      <c r="J5" s="186" t="s">
        <v>299</v>
      </c>
      <c r="K5" s="186" t="s">
        <v>63</v>
      </c>
      <c r="L5" s="186" t="s">
        <v>297</v>
      </c>
      <c r="M5" s="186" t="s">
        <v>299</v>
      </c>
      <c r="N5" s="186" t="s">
        <v>63</v>
      </c>
      <c r="O5" s="186" t="s">
        <v>301</v>
      </c>
      <c r="P5" s="186" t="s">
        <v>298</v>
      </c>
      <c r="Q5" s="186" t="s">
        <v>298</v>
      </c>
      <c r="R5" s="186" t="s">
        <v>298</v>
      </c>
      <c r="S5" s="186" t="s">
        <v>298</v>
      </c>
      <c r="T5" s="186" t="s">
        <v>297</v>
      </c>
      <c r="U5" s="186" t="s">
        <v>299</v>
      </c>
      <c r="V5" s="186" t="s">
        <v>297</v>
      </c>
      <c r="W5" s="186" t="s">
        <v>299</v>
      </c>
      <c r="X5" s="186" t="s">
        <v>297</v>
      </c>
      <c r="Y5" s="186" t="s">
        <v>297</v>
      </c>
      <c r="Z5" s="186" t="s">
        <v>297</v>
      </c>
      <c r="AA5" s="186" t="s">
        <v>297</v>
      </c>
      <c r="AB5" s="186" t="s">
        <v>302</v>
      </c>
      <c r="AC5" s="186" t="s">
        <v>63</v>
      </c>
      <c r="AD5" s="186" t="s">
        <v>63</v>
      </c>
      <c r="AE5" s="186" t="s">
        <v>63</v>
      </c>
      <c r="AF5" s="186" t="s">
        <v>297</v>
      </c>
      <c r="AG5" s="186" t="s">
        <v>297</v>
      </c>
      <c r="AH5" s="186" t="s">
        <v>297</v>
      </c>
      <c r="AI5" s="186" t="s">
        <v>297</v>
      </c>
      <c r="AJ5" s="186" t="s">
        <v>297</v>
      </c>
      <c r="AK5" s="186" t="s">
        <v>299</v>
      </c>
      <c r="AL5" s="186" t="s">
        <v>299</v>
      </c>
      <c r="AM5" s="186" t="s">
        <v>297</v>
      </c>
      <c r="AN5" s="186" t="s">
        <v>297</v>
      </c>
      <c r="AO5" s="190" t="s">
        <v>297</v>
      </c>
      <c r="AQ5" s="226" t="s">
        <v>303</v>
      </c>
      <c r="AR5" s="226" t="s">
        <v>304</v>
      </c>
      <c r="AS5" s="226" t="s">
        <v>305</v>
      </c>
      <c r="AT5" s="226" t="s">
        <v>306</v>
      </c>
      <c r="AU5" s="226" t="s">
        <v>307</v>
      </c>
      <c r="AV5" s="226" t="s">
        <v>308</v>
      </c>
      <c r="AW5" s="226" t="s">
        <v>309</v>
      </c>
      <c r="AX5" s="226" t="s">
        <v>310</v>
      </c>
      <c r="AY5" s="226" t="s">
        <v>311</v>
      </c>
    </row>
    <row r="6" spans="1:51" ht="14.4" customHeight="1" x14ac:dyDescent="0.3">
      <c r="A6" s="188">
        <v>1</v>
      </c>
      <c r="B6" s="183">
        <v>0</v>
      </c>
      <c r="C6" s="183" t="s">
        <v>312</v>
      </c>
      <c r="D6" s="184" t="str">
        <f>IFERROR(LOOKUP(2,1/((A_Corridor!$A$5:$A$204&lt;&gt;"")*(A_Corridor!$A$5:$A$204&lt;=$B6)*(A_Corridor!$B$5:$B$204&gt;$B6)*(A_Corridor!$C$5:$C$204&lt;&gt;"")),IF(UPPER(A_Corridor!$C$5:$C$204)="Y",1,"")),"")</f>
        <v/>
      </c>
      <c r="E6" s="184" t="str">
        <f>IFERROR(LOOKUP(2,1/((A_Corridor!$A$5:$A$204&lt;&gt;"")*(A_Corridor!$A$5:$A$204&lt;=$B6)*(A_Corridor!$B$5:$B$204&gt;$B6)*(A_Corridor!$D$5:$D$204&lt;&gt;"")),IF(A_Corridor!$D$5:$D$204="-","",UPPER(A_Corridor!$D$5:$D$204))),"")</f>
        <v/>
      </c>
      <c r="F6" s="184" t="str">
        <f>IFERROR(LOOKUP(2,1/((A_Corridor!$A$5:$A$204&lt;&gt;"")*(A_Corridor!$A$5:$A$204&lt;=$B6)*(A_Corridor!$B$5:$B$204&gt;$B6)*(A_Corridor!$E$5:$E$204&lt;&gt;"")),IF(A_Corridor!$E$5:$E$204="-","",1)),"")</f>
        <v/>
      </c>
      <c r="G6" s="184" t="str">
        <f>IFERROR(LOOKUP(2,1/((A_Corridor!$A$5:$A$204&lt;&gt;"")*(A_Corridor!$A$5:$A$204&lt;=$B6)*(A_Corridor!$B$5:$B$204&gt;$B6)*(A_Corridor!$E$5:$E$204&lt;&gt;"")),IF(A_Corridor!$E$5:$E$204="-","",A_Corridor!$E$5:$E$204)),"")</f>
        <v/>
      </c>
      <c r="H6" s="185" t="str">
        <f>IFERROR(LOOKUP(2,1/((D_Points!$A$5:$A$204&lt;&gt;"")*(D_Points!$A$5:$A$204&gt;=$B6)*(D_Points!$A$5:$A$204&lt;$B6+P_Interval)*(UPPER(TRIM(D_Points!$B$5:$B$204))="GULLY")*(D_Points!$H$5:$H$204&lt;&gt;"")),D_Points!$H$5:$H$204),"")</f>
        <v/>
      </c>
      <c r="I6" s="184" t="str">
        <f>IFERROR(LOOKUP(2,1/((A_Corridor!$A$5:$A$204&lt;&gt;"")*(A_Corridor!$A$5:$A$204&lt;=$B6)*(A_Corridor!$B$5:$B$204&gt;$B6)*(A_Corridor!$F$5:$F$204&lt;&gt;"")),IF(A_Corridor!$F$5:$F$204="-","",1)),"")</f>
        <v/>
      </c>
      <c r="J6" s="184" t="str">
        <f>IFERROR(LOOKUP(2,1/((A_Corridor!$A$5:$A$204&lt;&gt;"")*(A_Corridor!$A$5:$A$204&lt;=$B6)*(A_Corridor!$B$5:$B$204&gt;$B6)*(A_Corridor!$F$5:$F$204&lt;&gt;"")),IF(A_Corridor!$F$5:$F$204="-","",A_Corridor!$F$5:$F$204)),"")</f>
        <v/>
      </c>
      <c r="K6" s="184" t="str">
        <f>IFERROR(LOOKUP(2,1/((A_Corridor!$A$5:$A$204&lt;&gt;"")*(A_Corridor!$A$5:$A$204&lt;=$B6)*(A_Corridor!$B$5:$B$204&gt;$B6)*(A_Corridor!$G$5:$G$204&lt;&gt;"")),IF(A_Corridor!$G$5:$G$204="-","",A_Corridor!$G$5:$G$204)),"")</f>
        <v/>
      </c>
      <c r="L6" s="184" t="str">
        <f>IFERROR(LOOKUP(2,1/((A_Corridor!$A$5:$A$204&lt;&gt;"")*(A_Corridor!$A$5:$A$204&lt;=$B6)*(A_Corridor!$B$5:$B$204&gt;$B6)*(A_Corridor!$H$5:$H$204&lt;&gt;"")),IF(A_Corridor!$H$5:$H$204="-","",1)),"")</f>
        <v/>
      </c>
      <c r="M6" s="185" t="str">
        <f>IFERROR(LOOKUP(2,1/((A_Corridor!$A$5:$A$204&lt;&gt;"")*(A_Corridor!$A$5:$A$204&lt;=$B6)*(A_Corridor!$B$5:$B$204&gt;$B6)*(A_Corridor!$H$5:$H$204&lt;&gt;"")),IF(A_Corridor!$H$5:$H$204="-","",A_Corridor!$H$5:$H$204)),"")</f>
        <v/>
      </c>
      <c r="N6" s="185" t="str">
        <f>IFERROR(LOOKUP(2,1/((A_Corridor!$A$5:$A$204&lt;&gt;"")*(A_Corridor!$A$5:$A$204&lt;=$B6)*(A_Corridor!$B$5:$B$204&gt;$B6)*(A_Corridor!$I$5:$I$204&lt;&gt;"")),IF(A_Corridor!$I$5:$I$204="-","",A_Corridor!$I$5:$I$204)),"")</f>
        <v/>
      </c>
      <c r="O6" s="185" t="str">
        <f>IFERROR(LOOKUP(2,1/((D_Points!$A$5:$A$204&lt;&gt;"")*(D_Points!$A$5:$A$204&gt;=$B6)*(D_Points!$A$5:$A$204&lt;$B6+P_Interval)*(UPPER(TRIM(D_Points!$B$5:$B$204))="PITCHING")*(D_Points!$H$5:$H$204&lt;&gt;"")),D_Points!$H$5:$H$204),"")</f>
        <v/>
      </c>
      <c r="P6" s="184" t="str">
        <f>IFERROR(LOOKUP(2,1/((B_Drainage!$A$5:$A$204&lt;&gt;"")*(B_Drainage!$A$5:$A$204&lt;=$B6)*(B_Drainage!$B$5:$B$204&gt;$B6)*(B_Drainage!$C$5:$C$204&lt;&gt;"")),IF(B_Drainage!$C$5:$C$204="-","",UPPER(B_Drainage!$C$5:$C$204))),"")</f>
        <v/>
      </c>
      <c r="Q6" s="184" t="str">
        <f>IFERROR(LOOKUP(2,1/((B_Drainage!$A$5:$A$204&lt;&gt;"")*(B_Drainage!$A$5:$A$204&lt;=$B6)*(B_Drainage!$B$5:$B$204&gt;$B6)*(B_Drainage!$D$5:$D$204&lt;&gt;"")),IF(B_Drainage!$D$5:$D$204="-","",UPPER(B_Drainage!$D$5:$D$204))),"")</f>
        <v/>
      </c>
      <c r="R6" s="185" t="str">
        <f>IFERROR(LOOKUP(2,1/((D_Points!$A$5:$A$204&lt;&gt;"")*(D_Points!$A$5:$A$204&gt;=$B6)*(D_Points!$A$5:$A$204&lt;$B6+P_Interval)*(RIGHT(UPPER(TRIM(D_Points!$B$5:$B$204)),8)="_CULVERT")),IF(LEFT(UPPER(TRIM(D_Points!$B$5:$B$204)),2)="EX",1,IF(LEFT(UPPER(TRIM(D_Points!$B$5:$B$204)),2)="PR",2,3))),"")</f>
        <v/>
      </c>
      <c r="S6" s="185" t="str">
        <f>IFERROR(LOOKUP(2,1/((D_Points!$A$5:$A$204&lt;&gt;"")*(D_Points!$A$5:$A$204&gt;=$B6)*(D_Points!$A$5:$A$204&lt;$B6+P_Interval)*(RIGHT(UPPER(TRIM(D_Points!$B$5:$B$204)),7)="_BRIDGE")),IF(LEFT(UPPER(TRIM(D_Points!$B$5:$B$204)),2)="EX",1,IF(LEFT(UPPER(TRIM(D_Points!$B$5:$B$204)),2)="PR",2,2))),"")</f>
        <v/>
      </c>
      <c r="T6" s="184" t="str">
        <f>IFERROR(LOOKUP(2,1/((B_Drainage!$A$5:$A$204&lt;&gt;"")*(B_Drainage!$A$5:$A$204&lt;=$B6)*(B_Drainage!$B$5:$B$204&gt;$B6)*(B_Drainage!$E$5:$E$204&lt;&gt;"")),IF(B_Drainage!$E$5:$E$204="-","",1)),"")</f>
        <v/>
      </c>
      <c r="U6" s="184" t="str">
        <f>IFERROR(LOOKUP(2,1/((B_Drainage!$A$5:$A$204&lt;&gt;"")*(B_Drainage!$A$5:$A$204&lt;=$B6)*(B_Drainage!$B$5:$B$204&gt;$B6)*(B_Drainage!$E$5:$E$204&lt;&gt;"")),IF(B_Drainage!$E$5:$E$204="-","",B_Drainage!$E$5:$E$204)),"")</f>
        <v/>
      </c>
      <c r="V6" s="184" t="str">
        <f>IFERROR(LOOKUP(2,1/((B_Drainage!$A$5:$A$204&lt;&gt;"")*(B_Drainage!$A$5:$A$204&lt;=$B6)*(B_Drainage!$B$5:$B$204&gt;$B6)*(B_Drainage!$F$5:$F$204&lt;&gt;"")),IF(B_Drainage!$F$5:$F$204="-","",1)),"")</f>
        <v/>
      </c>
      <c r="W6" s="184" t="str">
        <f>IFERROR(LOOKUP(2,1/((B_Drainage!$A$5:$A$204&lt;&gt;"")*(B_Drainage!$A$5:$A$204&lt;=$B6)*(B_Drainage!$B$5:$B$204&gt;$B6)*(B_Drainage!$F$5:$F$204&lt;&gt;"")),IF(B_Drainage!$F$5:$F$204="-","",B_Drainage!$F$5:$F$204)),"")</f>
        <v/>
      </c>
      <c r="X6" s="184" t="str">
        <f>IFERROR(LOOKUP(2,1/((B_Drainage!$A$5:$A$204&lt;&gt;"")*(B_Drainage!$A$5:$A$204&lt;=$B6)*(B_Drainage!$B$5:$B$204&gt;$B6)*(B_Drainage!$G$5:$G$204&lt;&gt;"")),IF(UPPER(B_Drainage!$G$5:$G$204)="Y",1,"")),"")</f>
        <v/>
      </c>
      <c r="Y6" s="184" t="str">
        <f>IFERROR(LOOKUP(2,1/((B_Drainage!$A$5:$A$204&lt;&gt;"")*(B_Drainage!$A$5:$A$204&lt;=$B6)*(B_Drainage!$B$5:$B$204&gt;$B6)*(B_Drainage!$H$5:$H$204&lt;&gt;"")),IF(UPPER(B_Drainage!$H$5:$H$204)="Y",1,"")),"")</f>
        <v/>
      </c>
      <c r="Z6" s="184" t="str">
        <f>IFERROR(LOOKUP(2,1/((B_Drainage!$A$5:$A$204&lt;&gt;"")*(B_Drainage!$A$5:$A$204&lt;=$B6)*(B_Drainage!$B$5:$B$204&gt;$B6)*(B_Drainage!$I$5:$I$204&lt;&gt;"")),IF(UPPER(B_Drainage!$I$5:$I$204)="Y",1,"")),"")</f>
        <v/>
      </c>
      <c r="AA6" s="184" t="str">
        <f>IFERROR(LOOKUP(2,1/((B_Drainage!$A$5:$A$204&lt;&gt;"")*(B_Drainage!$A$5:$A$204&lt;=$B6)*(B_Drainage!$B$5:$B$204&gt;$B6)*(B_Drainage!$J$5:$J$204&lt;&gt;"")),IF(UPPER(B_Drainage!$J$5:$J$204)="Y",1,"")),"")</f>
        <v/>
      </c>
      <c r="AB6" s="185" t="str">
        <f>IFERROR(LOOKUP(2,1/((B_Drainage!$A$5:$A$204&lt;&gt;"")*(B_Drainage!$A$5:$A$204&lt;=$B6)*(B_Drainage!$B$5:$B$204&gt;$B6)*(B_Drainage!$K$5:$K$204&lt;&gt;"")),IF(B_Drainage!$K$5:$K$204="-","",B_Drainage!$K$5:$K$204)),"")</f>
        <v/>
      </c>
      <c r="AC6" s="185" t="str">
        <f>IFERROR(LOOKUP(2,1/((B_Drainage!$A$5:$A$204&lt;&gt;"")*(B_Drainage!$A$5:$A$204&lt;=$B6)*(B_Drainage!$B$5:$B$204&gt;$B6)*(B_Drainage!$L$5:$L$204&lt;&gt;"")),IF(B_Drainage!$L$5:$L$204="-","",B_Drainage!$L$5:$L$204)),"")</f>
        <v/>
      </c>
      <c r="AD6" s="185" t="str">
        <f>IFERROR(LOOKUP(2,1/((D_Points!$A$5:$A$204&lt;&gt;"")*(D_Points!$A$5:$A$204&gt;=$B6)*(D_Points!$A$5:$A$204&lt;$B6+P_Interval)*(UPPER(TRIM(D_Points!$B$5:$B$204))="TURNOUT_L")*(D_Points!$H$5:$H$204&lt;&gt;"")),D_Points!$H$5:$H$204),"")</f>
        <v/>
      </c>
      <c r="AE6" s="185" t="str">
        <f>IFERROR(LOOKUP(2,1/((D_Points!$A$5:$A$204&lt;&gt;"")*(D_Points!$A$5:$A$204&gt;=$B6)*(D_Points!$A$5:$A$204&lt;$B6+P_Interval)*(UPPER(TRIM(D_Points!$B$5:$B$204))="TURNOUT_R")*(D_Points!$H$5:$H$204&lt;&gt;"")),D_Points!$H$5:$H$204),"")</f>
        <v/>
      </c>
      <c r="AF6" s="184" t="str">
        <f>IFERROR(LOOKUP(2,1/((B_Drainage!$A$5:$A$204&lt;&gt;"")*(B_Drainage!$A$5:$A$204&lt;=$B6)*(B_Drainage!$B$5:$B$204&gt;$B6)*(B_Drainage!$M$5:$M$204&lt;&gt;"")),IF(UPPER(B_Drainage!$M$5:$M$204)="Y",1,"")),"")</f>
        <v/>
      </c>
      <c r="AG6" s="184" t="str">
        <f>IFERROR(LOOKUP(2,1/((B_Drainage!$A$5:$A$204&lt;&gt;"")*(B_Drainage!$A$5:$A$204&lt;=$B6)*(B_Drainage!$B$5:$B$204&gt;$B6)*(B_Drainage!$N$5:$N$204&lt;&gt;"")),IF(UPPER(B_Drainage!$N$5:$N$204)="Y",1,"")),"")</f>
        <v/>
      </c>
      <c r="AH6" s="184" t="str">
        <f t="shared" ref="AH6:AH69" si="0">IF($AT6="BLADE",1,"")</f>
        <v/>
      </c>
      <c r="AI6" s="184" t="str">
        <f t="shared" ref="AI6:AI69" si="1">IF($AT6="RESHAPE",1,"")</f>
        <v/>
      </c>
      <c r="AJ6" s="184" t="str">
        <f t="shared" ref="AJ6:AJ69" si="2">IF($AT6="SCARIFY",1,"")</f>
        <v/>
      </c>
      <c r="AK6" s="184" t="str">
        <f t="shared" ref="AK6:AK69" si="3">$AU6</f>
        <v/>
      </c>
      <c r="AL6" s="184" t="str">
        <f t="shared" ref="AL6:AL69" si="4">$AV6</f>
        <v/>
      </c>
      <c r="AM6" s="184" t="str">
        <f t="shared" ref="AM6:AM69" si="5">IF(OR(UPPER($AW6)="Y",$AW6=1),1,"")</f>
        <v/>
      </c>
      <c r="AN6" s="184" t="str">
        <f t="shared" ref="AN6:AN69" si="6">IF(OR(UPPER($AX6)="Y",$AX6=1),1,"")</f>
        <v/>
      </c>
      <c r="AO6" s="191" t="str">
        <f t="shared" ref="AO6:AO69" si="7">IF(OR(UPPER($AY6)="Y",$AY6=1),1,"")</f>
        <v/>
      </c>
      <c r="AQ6" t="str">
        <f>IFERROR(LOOKUP(2,1/((C_Pavement!$A$5:$A$204&lt;&gt;"")*(C_Pavement!$A$5:$A$204&lt;=$B6)*(C_Pavement!$B$5:$B$204&gt;$B6)*(C_Pavement!$C$5:$C$204&lt;&gt;"")),ROW(C_Pavement!$C$5:$C$204)-4),"")</f>
        <v/>
      </c>
      <c r="AR6" t="str">
        <f>IF($AQ6="","",UPPER(TRIM(INDEX(C_Pavement!$C$5:$C$204,$AQ6))))</f>
        <v/>
      </c>
      <c r="AS6" t="str">
        <f>IF($AR6="","",IFERROR(MATCH($AR6,E_Rules!$A$5:$A$9,0),""))</f>
        <v/>
      </c>
      <c r="AT6" t="str">
        <f>IF($AQ6="","",IF(INDEX(C_Pavement!$D$5:$D$204,$AQ6)&lt;&gt;"",UPPER(TRIM(INDEX(C_Pavement!$D$5:$D$204,$AQ6))),IF($AS6="","",INDEX(E_Rules!$C$5:$C$9,$AS6))))</f>
        <v/>
      </c>
      <c r="AU6" t="str">
        <f>IF($AQ6="","",IF(INDEX(C_Pavement!$E$5:$E$204,$AQ6)&lt;&gt;"",IF(INDEX(C_Pavement!$E$5:$E$204,$AQ6)="-","",INDEX(C_Pavement!$E$5:$E$204,$AQ6)),IF($AS6="","",INDEX(E_Rules!$D$5:$D$9,$AS6))))</f>
        <v/>
      </c>
      <c r="AV6" t="str">
        <f>IF($AQ6="","",IF(INDEX(C_Pavement!$F$5:$F$204,$AQ6)&lt;&gt;"",IF(INDEX(C_Pavement!$F$5:$F$204,$AQ6)="-","",INDEX(C_Pavement!$F$5:$F$204,$AQ6)),IF($AS6="","",INDEX(E_Rules!$E$5:$E$9,$AS6))))</f>
        <v/>
      </c>
      <c r="AW6" t="str">
        <f>IF($AQ6="","",IF(INDEX(C_Pavement!$G$5:$G$204,$AQ6)&lt;&gt;"",IF(INDEX(C_Pavement!$G$5:$G$204,$AQ6)="-","",INDEX(C_Pavement!$G$5:$G$204,$AQ6)),IF($AS6="","",INDEX(E_Rules!$F$5:$F$9,$AS6))))</f>
        <v/>
      </c>
      <c r="AX6" t="str">
        <f>IF($AQ6="","",IF(INDEX(C_Pavement!$H$5:$H$204,$AQ6)&lt;&gt;"",IF(INDEX(C_Pavement!$H$5:$H$204,$AQ6)="-","",INDEX(C_Pavement!$H$5:$H$204,$AQ6)),IF($AS6="","",INDEX(E_Rules!$G$5:$G$9,$AS6))))</f>
        <v/>
      </c>
      <c r="AY6" t="str">
        <f>IF($AQ6="","",IF(INDEX(C_Pavement!$I$5:$I$204,$AQ6)&lt;&gt;"",IF(INDEX(C_Pavement!$I$5:$I$204,$AQ6)="-","",INDEX(C_Pavement!$I$5:$I$204,$AQ6)),IF($AS6="","",INDEX(E_Rules!$H$5:$H$9,$AS6))))</f>
        <v/>
      </c>
    </row>
    <row r="7" spans="1:51" ht="14.4" customHeight="1" x14ac:dyDescent="0.3">
      <c r="A7" s="189">
        <v>2</v>
      </c>
      <c r="B7" s="180">
        <v>50</v>
      </c>
      <c r="C7" s="180" t="s">
        <v>313</v>
      </c>
      <c r="D7" s="181" t="str">
        <f>IFERROR(LOOKUP(2,1/((A_Corridor!$A$5:$A$204&lt;&gt;"")*(A_Corridor!$A$5:$A$204&lt;=$B7)*(A_Corridor!$B$5:$B$204&gt;$B7)*(A_Corridor!$C$5:$C$204&lt;&gt;"")),IF(UPPER(A_Corridor!$C$5:$C$204)="Y",1,"")),"")</f>
        <v/>
      </c>
      <c r="E7" s="181" t="str">
        <f>IFERROR(LOOKUP(2,1/((A_Corridor!$A$5:$A$204&lt;&gt;"")*(A_Corridor!$A$5:$A$204&lt;=$B7)*(A_Corridor!$B$5:$B$204&gt;$B7)*(A_Corridor!$D$5:$D$204&lt;&gt;"")),IF(A_Corridor!$D$5:$D$204="-","",UPPER(A_Corridor!$D$5:$D$204))),"")</f>
        <v/>
      </c>
      <c r="F7" s="181" t="str">
        <f>IFERROR(LOOKUP(2,1/((A_Corridor!$A$5:$A$204&lt;&gt;"")*(A_Corridor!$A$5:$A$204&lt;=$B7)*(A_Corridor!$B$5:$B$204&gt;$B7)*(A_Corridor!$E$5:$E$204&lt;&gt;"")),IF(A_Corridor!$E$5:$E$204="-","",1)),"")</f>
        <v/>
      </c>
      <c r="G7" s="181" t="str">
        <f>IFERROR(LOOKUP(2,1/((A_Corridor!$A$5:$A$204&lt;&gt;"")*(A_Corridor!$A$5:$A$204&lt;=$B7)*(A_Corridor!$B$5:$B$204&gt;$B7)*(A_Corridor!$E$5:$E$204&lt;&gt;"")),IF(A_Corridor!$E$5:$E$204="-","",A_Corridor!$E$5:$E$204)),"")</f>
        <v/>
      </c>
      <c r="H7" s="182" t="str">
        <f>IFERROR(LOOKUP(2,1/((D_Points!$A$5:$A$204&lt;&gt;"")*(D_Points!$A$5:$A$204&gt;=$B7)*(D_Points!$A$5:$A$204&lt;$B7+P_Interval)*(UPPER(TRIM(D_Points!$B$5:$B$204))="GULLY")*(D_Points!$H$5:$H$204&lt;&gt;"")),D_Points!$H$5:$H$204),"")</f>
        <v/>
      </c>
      <c r="I7" s="181" t="str">
        <f>IFERROR(LOOKUP(2,1/((A_Corridor!$A$5:$A$204&lt;&gt;"")*(A_Corridor!$A$5:$A$204&lt;=$B7)*(A_Corridor!$B$5:$B$204&gt;$B7)*(A_Corridor!$F$5:$F$204&lt;&gt;"")),IF(A_Corridor!$F$5:$F$204="-","",1)),"")</f>
        <v/>
      </c>
      <c r="J7" s="181" t="str">
        <f>IFERROR(LOOKUP(2,1/((A_Corridor!$A$5:$A$204&lt;&gt;"")*(A_Corridor!$A$5:$A$204&lt;=$B7)*(A_Corridor!$B$5:$B$204&gt;$B7)*(A_Corridor!$F$5:$F$204&lt;&gt;"")),IF(A_Corridor!$F$5:$F$204="-","",A_Corridor!$F$5:$F$204)),"")</f>
        <v/>
      </c>
      <c r="K7" s="181" t="str">
        <f>IFERROR(LOOKUP(2,1/((A_Corridor!$A$5:$A$204&lt;&gt;"")*(A_Corridor!$A$5:$A$204&lt;=$B7)*(A_Corridor!$B$5:$B$204&gt;$B7)*(A_Corridor!$G$5:$G$204&lt;&gt;"")),IF(A_Corridor!$G$5:$G$204="-","",A_Corridor!$G$5:$G$204)),"")</f>
        <v/>
      </c>
      <c r="L7" s="181" t="str">
        <f>IFERROR(LOOKUP(2,1/((A_Corridor!$A$5:$A$204&lt;&gt;"")*(A_Corridor!$A$5:$A$204&lt;=$B7)*(A_Corridor!$B$5:$B$204&gt;$B7)*(A_Corridor!$H$5:$H$204&lt;&gt;"")),IF(A_Corridor!$H$5:$H$204="-","",1)),"")</f>
        <v/>
      </c>
      <c r="M7" s="182" t="str">
        <f>IFERROR(LOOKUP(2,1/((A_Corridor!$A$5:$A$204&lt;&gt;"")*(A_Corridor!$A$5:$A$204&lt;=$B7)*(A_Corridor!$B$5:$B$204&gt;$B7)*(A_Corridor!$H$5:$H$204&lt;&gt;"")),IF(A_Corridor!$H$5:$H$204="-","",A_Corridor!$H$5:$H$204)),"")</f>
        <v/>
      </c>
      <c r="N7" s="182" t="str">
        <f>IFERROR(LOOKUP(2,1/((A_Corridor!$A$5:$A$204&lt;&gt;"")*(A_Corridor!$A$5:$A$204&lt;=$B7)*(A_Corridor!$B$5:$B$204&gt;$B7)*(A_Corridor!$I$5:$I$204&lt;&gt;"")),IF(A_Corridor!$I$5:$I$204="-","",A_Corridor!$I$5:$I$204)),"")</f>
        <v/>
      </c>
      <c r="O7" s="182" t="str">
        <f>IFERROR(LOOKUP(2,1/((D_Points!$A$5:$A$204&lt;&gt;"")*(D_Points!$A$5:$A$204&gt;=$B7)*(D_Points!$A$5:$A$204&lt;$B7+P_Interval)*(UPPER(TRIM(D_Points!$B$5:$B$204))="PITCHING")*(D_Points!$H$5:$H$204&lt;&gt;"")),D_Points!$H$5:$H$204),"")</f>
        <v/>
      </c>
      <c r="P7" s="181" t="str">
        <f>IFERROR(LOOKUP(2,1/((B_Drainage!$A$5:$A$204&lt;&gt;"")*(B_Drainage!$A$5:$A$204&lt;=$B7)*(B_Drainage!$B$5:$B$204&gt;$B7)*(B_Drainage!$C$5:$C$204&lt;&gt;"")),IF(B_Drainage!$C$5:$C$204="-","",UPPER(B_Drainage!$C$5:$C$204))),"")</f>
        <v/>
      </c>
      <c r="Q7" s="181" t="str">
        <f>IFERROR(LOOKUP(2,1/((B_Drainage!$A$5:$A$204&lt;&gt;"")*(B_Drainage!$A$5:$A$204&lt;=$B7)*(B_Drainage!$B$5:$B$204&gt;$B7)*(B_Drainage!$D$5:$D$204&lt;&gt;"")),IF(B_Drainage!$D$5:$D$204="-","",UPPER(B_Drainage!$D$5:$D$204))),"")</f>
        <v/>
      </c>
      <c r="R7" s="182" t="str">
        <f>IFERROR(LOOKUP(2,1/((D_Points!$A$5:$A$204&lt;&gt;"")*(D_Points!$A$5:$A$204&gt;=$B7)*(D_Points!$A$5:$A$204&lt;$B7+P_Interval)*(RIGHT(UPPER(TRIM(D_Points!$B$5:$B$204)),8)="_CULVERT")),IF(LEFT(UPPER(TRIM(D_Points!$B$5:$B$204)),2)="EX",1,IF(LEFT(UPPER(TRIM(D_Points!$B$5:$B$204)),2)="PR",2,3))),"")</f>
        <v/>
      </c>
      <c r="S7" s="182" t="str">
        <f>IFERROR(LOOKUP(2,1/((D_Points!$A$5:$A$204&lt;&gt;"")*(D_Points!$A$5:$A$204&gt;=$B7)*(D_Points!$A$5:$A$204&lt;$B7+P_Interval)*(RIGHT(UPPER(TRIM(D_Points!$B$5:$B$204)),7)="_BRIDGE")),IF(LEFT(UPPER(TRIM(D_Points!$B$5:$B$204)),2)="EX",1,IF(LEFT(UPPER(TRIM(D_Points!$B$5:$B$204)),2)="PR",2,2))),"")</f>
        <v/>
      </c>
      <c r="T7" s="181" t="str">
        <f>IFERROR(LOOKUP(2,1/((B_Drainage!$A$5:$A$204&lt;&gt;"")*(B_Drainage!$A$5:$A$204&lt;=$B7)*(B_Drainage!$B$5:$B$204&gt;$B7)*(B_Drainage!$E$5:$E$204&lt;&gt;"")),IF(B_Drainage!$E$5:$E$204="-","",1)),"")</f>
        <v/>
      </c>
      <c r="U7" s="181" t="str">
        <f>IFERROR(LOOKUP(2,1/((B_Drainage!$A$5:$A$204&lt;&gt;"")*(B_Drainage!$A$5:$A$204&lt;=$B7)*(B_Drainage!$B$5:$B$204&gt;$B7)*(B_Drainage!$E$5:$E$204&lt;&gt;"")),IF(B_Drainage!$E$5:$E$204="-","",B_Drainage!$E$5:$E$204)),"")</f>
        <v/>
      </c>
      <c r="V7" s="181" t="str">
        <f>IFERROR(LOOKUP(2,1/((B_Drainage!$A$5:$A$204&lt;&gt;"")*(B_Drainage!$A$5:$A$204&lt;=$B7)*(B_Drainage!$B$5:$B$204&gt;$B7)*(B_Drainage!$F$5:$F$204&lt;&gt;"")),IF(B_Drainage!$F$5:$F$204="-","",1)),"")</f>
        <v/>
      </c>
      <c r="W7" s="181" t="str">
        <f>IFERROR(LOOKUP(2,1/((B_Drainage!$A$5:$A$204&lt;&gt;"")*(B_Drainage!$A$5:$A$204&lt;=$B7)*(B_Drainage!$B$5:$B$204&gt;$B7)*(B_Drainage!$F$5:$F$204&lt;&gt;"")),IF(B_Drainage!$F$5:$F$204="-","",B_Drainage!$F$5:$F$204)),"")</f>
        <v/>
      </c>
      <c r="X7" s="181" t="str">
        <f>IFERROR(LOOKUP(2,1/((B_Drainage!$A$5:$A$204&lt;&gt;"")*(B_Drainage!$A$5:$A$204&lt;=$B7)*(B_Drainage!$B$5:$B$204&gt;$B7)*(B_Drainage!$G$5:$G$204&lt;&gt;"")),IF(UPPER(B_Drainage!$G$5:$G$204)="Y",1,"")),"")</f>
        <v/>
      </c>
      <c r="Y7" s="181" t="str">
        <f>IFERROR(LOOKUP(2,1/((B_Drainage!$A$5:$A$204&lt;&gt;"")*(B_Drainage!$A$5:$A$204&lt;=$B7)*(B_Drainage!$B$5:$B$204&gt;$B7)*(B_Drainage!$H$5:$H$204&lt;&gt;"")),IF(UPPER(B_Drainage!$H$5:$H$204)="Y",1,"")),"")</f>
        <v/>
      </c>
      <c r="Z7" s="181" t="str">
        <f>IFERROR(LOOKUP(2,1/((B_Drainage!$A$5:$A$204&lt;&gt;"")*(B_Drainage!$A$5:$A$204&lt;=$B7)*(B_Drainage!$B$5:$B$204&gt;$B7)*(B_Drainage!$I$5:$I$204&lt;&gt;"")),IF(UPPER(B_Drainage!$I$5:$I$204)="Y",1,"")),"")</f>
        <v/>
      </c>
      <c r="AA7" s="181" t="str">
        <f>IFERROR(LOOKUP(2,1/((B_Drainage!$A$5:$A$204&lt;&gt;"")*(B_Drainage!$A$5:$A$204&lt;=$B7)*(B_Drainage!$B$5:$B$204&gt;$B7)*(B_Drainage!$J$5:$J$204&lt;&gt;"")),IF(UPPER(B_Drainage!$J$5:$J$204)="Y",1,"")),"")</f>
        <v/>
      </c>
      <c r="AB7" s="182" t="str">
        <f>IFERROR(LOOKUP(2,1/((B_Drainage!$A$5:$A$204&lt;&gt;"")*(B_Drainage!$A$5:$A$204&lt;=$B7)*(B_Drainage!$B$5:$B$204&gt;$B7)*(B_Drainage!$K$5:$K$204&lt;&gt;"")),IF(B_Drainage!$K$5:$K$204="-","",B_Drainage!$K$5:$K$204)),"")</f>
        <v/>
      </c>
      <c r="AC7" s="182" t="str">
        <f>IFERROR(LOOKUP(2,1/((B_Drainage!$A$5:$A$204&lt;&gt;"")*(B_Drainage!$A$5:$A$204&lt;=$B7)*(B_Drainage!$B$5:$B$204&gt;$B7)*(B_Drainage!$L$5:$L$204&lt;&gt;"")),IF(B_Drainage!$L$5:$L$204="-","",B_Drainage!$L$5:$L$204)),"")</f>
        <v/>
      </c>
      <c r="AD7" s="182" t="str">
        <f>IFERROR(LOOKUP(2,1/((D_Points!$A$5:$A$204&lt;&gt;"")*(D_Points!$A$5:$A$204&gt;=$B7)*(D_Points!$A$5:$A$204&lt;$B7+P_Interval)*(UPPER(TRIM(D_Points!$B$5:$B$204))="TURNOUT_L")*(D_Points!$H$5:$H$204&lt;&gt;"")),D_Points!$H$5:$H$204),"")</f>
        <v/>
      </c>
      <c r="AE7" s="182" t="str">
        <f>IFERROR(LOOKUP(2,1/((D_Points!$A$5:$A$204&lt;&gt;"")*(D_Points!$A$5:$A$204&gt;=$B7)*(D_Points!$A$5:$A$204&lt;$B7+P_Interval)*(UPPER(TRIM(D_Points!$B$5:$B$204))="TURNOUT_R")*(D_Points!$H$5:$H$204&lt;&gt;"")),D_Points!$H$5:$H$204),"")</f>
        <v/>
      </c>
      <c r="AF7" s="181" t="str">
        <f>IFERROR(LOOKUP(2,1/((B_Drainage!$A$5:$A$204&lt;&gt;"")*(B_Drainage!$A$5:$A$204&lt;=$B7)*(B_Drainage!$B$5:$B$204&gt;$B7)*(B_Drainage!$M$5:$M$204&lt;&gt;"")),IF(UPPER(B_Drainage!$M$5:$M$204)="Y",1,"")),"")</f>
        <v/>
      </c>
      <c r="AG7" s="181" t="str">
        <f>IFERROR(LOOKUP(2,1/((B_Drainage!$A$5:$A$204&lt;&gt;"")*(B_Drainage!$A$5:$A$204&lt;=$B7)*(B_Drainage!$B$5:$B$204&gt;$B7)*(B_Drainage!$N$5:$N$204&lt;&gt;"")),IF(UPPER(B_Drainage!$N$5:$N$204)="Y",1,"")),"")</f>
        <v/>
      </c>
      <c r="AH7" s="181" t="str">
        <f t="shared" si="0"/>
        <v/>
      </c>
      <c r="AI7" s="181" t="str">
        <f t="shared" si="1"/>
        <v/>
      </c>
      <c r="AJ7" s="181" t="str">
        <f t="shared" si="2"/>
        <v/>
      </c>
      <c r="AK7" s="181" t="str">
        <f t="shared" si="3"/>
        <v/>
      </c>
      <c r="AL7" s="181" t="str">
        <f t="shared" si="4"/>
        <v/>
      </c>
      <c r="AM7" s="181" t="str">
        <f t="shared" si="5"/>
        <v/>
      </c>
      <c r="AN7" s="181" t="str">
        <f t="shared" si="6"/>
        <v/>
      </c>
      <c r="AO7" s="192" t="str">
        <f t="shared" si="7"/>
        <v/>
      </c>
      <c r="AQ7" t="str">
        <f>IFERROR(LOOKUP(2,1/((C_Pavement!$A$5:$A$204&lt;&gt;"")*(C_Pavement!$A$5:$A$204&lt;=$B7)*(C_Pavement!$B$5:$B$204&gt;$B7)*(C_Pavement!$C$5:$C$204&lt;&gt;"")),ROW(C_Pavement!$C$5:$C$204)-4),"")</f>
        <v/>
      </c>
      <c r="AR7" t="str">
        <f>IF($AQ7="","",UPPER(TRIM(INDEX(C_Pavement!$C$5:$C$204,$AQ7))))</f>
        <v/>
      </c>
      <c r="AS7" t="str">
        <f>IF($AR7="","",IFERROR(MATCH($AR7,E_Rules!$A$5:$A$9,0),""))</f>
        <v/>
      </c>
      <c r="AT7" t="str">
        <f>IF($AQ7="","",IF(INDEX(C_Pavement!$D$5:$D$204,$AQ7)&lt;&gt;"",UPPER(TRIM(INDEX(C_Pavement!$D$5:$D$204,$AQ7))),IF($AS7="","",INDEX(E_Rules!$C$5:$C$9,$AS7))))</f>
        <v/>
      </c>
      <c r="AU7" t="str">
        <f>IF($AQ7="","",IF(INDEX(C_Pavement!$E$5:$E$204,$AQ7)&lt;&gt;"",IF(INDEX(C_Pavement!$E$5:$E$204,$AQ7)="-","",INDEX(C_Pavement!$E$5:$E$204,$AQ7)),IF($AS7="","",INDEX(E_Rules!$D$5:$D$9,$AS7))))</f>
        <v/>
      </c>
      <c r="AV7" t="str">
        <f>IF($AQ7="","",IF(INDEX(C_Pavement!$F$5:$F$204,$AQ7)&lt;&gt;"",IF(INDEX(C_Pavement!$F$5:$F$204,$AQ7)="-","",INDEX(C_Pavement!$F$5:$F$204,$AQ7)),IF($AS7="","",INDEX(E_Rules!$E$5:$E$9,$AS7))))</f>
        <v/>
      </c>
      <c r="AW7" t="str">
        <f>IF($AQ7="","",IF(INDEX(C_Pavement!$G$5:$G$204,$AQ7)&lt;&gt;"",IF(INDEX(C_Pavement!$G$5:$G$204,$AQ7)="-","",INDEX(C_Pavement!$G$5:$G$204,$AQ7)),IF($AS7="","",INDEX(E_Rules!$F$5:$F$9,$AS7))))</f>
        <v/>
      </c>
      <c r="AX7" t="str">
        <f>IF($AQ7="","",IF(INDEX(C_Pavement!$H$5:$H$204,$AQ7)&lt;&gt;"",IF(INDEX(C_Pavement!$H$5:$H$204,$AQ7)="-","",INDEX(C_Pavement!$H$5:$H$204,$AQ7)),IF($AS7="","",INDEX(E_Rules!$G$5:$G$9,$AS7))))</f>
        <v/>
      </c>
      <c r="AY7" t="str">
        <f>IF($AQ7="","",IF(INDEX(C_Pavement!$I$5:$I$204,$AQ7)&lt;&gt;"",IF(INDEX(C_Pavement!$I$5:$I$204,$AQ7)="-","",INDEX(C_Pavement!$I$5:$I$204,$AQ7)),IF($AS7="","",INDEX(E_Rules!$H$5:$H$9,$AS7))))</f>
        <v/>
      </c>
    </row>
    <row r="8" spans="1:51" ht="14.4" customHeight="1" x14ac:dyDescent="0.3">
      <c r="A8" s="189">
        <v>3</v>
      </c>
      <c r="B8" s="180">
        <v>100</v>
      </c>
      <c r="C8" s="180" t="s">
        <v>314</v>
      </c>
      <c r="D8" s="181" t="str">
        <f>IFERROR(LOOKUP(2,1/((A_Corridor!$A$5:$A$204&lt;&gt;"")*(A_Corridor!$A$5:$A$204&lt;=$B8)*(A_Corridor!$B$5:$B$204&gt;$B8)*(A_Corridor!$C$5:$C$204&lt;&gt;"")),IF(UPPER(A_Corridor!$C$5:$C$204)="Y",1,"")),"")</f>
        <v/>
      </c>
      <c r="E8" s="181" t="str">
        <f>IFERROR(LOOKUP(2,1/((A_Corridor!$A$5:$A$204&lt;&gt;"")*(A_Corridor!$A$5:$A$204&lt;=$B8)*(A_Corridor!$B$5:$B$204&gt;$B8)*(A_Corridor!$D$5:$D$204&lt;&gt;"")),IF(A_Corridor!$D$5:$D$204="-","",UPPER(A_Corridor!$D$5:$D$204))),"")</f>
        <v/>
      </c>
      <c r="F8" s="181" t="str">
        <f>IFERROR(LOOKUP(2,1/((A_Corridor!$A$5:$A$204&lt;&gt;"")*(A_Corridor!$A$5:$A$204&lt;=$B8)*(A_Corridor!$B$5:$B$204&gt;$B8)*(A_Corridor!$E$5:$E$204&lt;&gt;"")),IF(A_Corridor!$E$5:$E$204="-","",1)),"")</f>
        <v/>
      </c>
      <c r="G8" s="181" t="str">
        <f>IFERROR(LOOKUP(2,1/((A_Corridor!$A$5:$A$204&lt;&gt;"")*(A_Corridor!$A$5:$A$204&lt;=$B8)*(A_Corridor!$B$5:$B$204&gt;$B8)*(A_Corridor!$E$5:$E$204&lt;&gt;"")),IF(A_Corridor!$E$5:$E$204="-","",A_Corridor!$E$5:$E$204)),"")</f>
        <v/>
      </c>
      <c r="H8" s="181" t="str">
        <f>IFERROR(LOOKUP(2,1/((D_Points!$A$5:$A$204&lt;&gt;"")*(D_Points!$A$5:$A$204&gt;=$B8)*(D_Points!$A$5:$A$204&lt;$B8+P_Interval)*(UPPER(TRIM(D_Points!$B$5:$B$204))="GULLY")*(D_Points!$H$5:$H$204&lt;&gt;"")),D_Points!$H$5:$H$204),"")</f>
        <v/>
      </c>
      <c r="I8" s="181" t="str">
        <f>IFERROR(LOOKUP(2,1/((A_Corridor!$A$5:$A$204&lt;&gt;"")*(A_Corridor!$A$5:$A$204&lt;=$B8)*(A_Corridor!$B$5:$B$204&gt;$B8)*(A_Corridor!$F$5:$F$204&lt;&gt;"")),IF(A_Corridor!$F$5:$F$204="-","",1)),"")</f>
        <v/>
      </c>
      <c r="J8" s="181" t="str">
        <f>IFERROR(LOOKUP(2,1/((A_Corridor!$A$5:$A$204&lt;&gt;"")*(A_Corridor!$A$5:$A$204&lt;=$B8)*(A_Corridor!$B$5:$B$204&gt;$B8)*(A_Corridor!$F$5:$F$204&lt;&gt;"")),IF(A_Corridor!$F$5:$F$204="-","",A_Corridor!$F$5:$F$204)),"")</f>
        <v/>
      </c>
      <c r="K8" s="181" t="str">
        <f>IFERROR(LOOKUP(2,1/((A_Corridor!$A$5:$A$204&lt;&gt;"")*(A_Corridor!$A$5:$A$204&lt;=$B8)*(A_Corridor!$B$5:$B$204&gt;$B8)*(A_Corridor!$G$5:$G$204&lt;&gt;"")),IF(A_Corridor!$G$5:$G$204="-","",A_Corridor!$G$5:$G$204)),"")</f>
        <v/>
      </c>
      <c r="L8" s="181" t="str">
        <f>IFERROR(LOOKUP(2,1/((A_Corridor!$A$5:$A$204&lt;&gt;"")*(A_Corridor!$A$5:$A$204&lt;=$B8)*(A_Corridor!$B$5:$B$204&gt;$B8)*(A_Corridor!$H$5:$H$204&lt;&gt;"")),IF(A_Corridor!$H$5:$H$204="-","",1)),"")</f>
        <v/>
      </c>
      <c r="M8" s="182" t="str">
        <f>IFERROR(LOOKUP(2,1/((A_Corridor!$A$5:$A$204&lt;&gt;"")*(A_Corridor!$A$5:$A$204&lt;=$B8)*(A_Corridor!$B$5:$B$204&gt;$B8)*(A_Corridor!$H$5:$H$204&lt;&gt;"")),IF(A_Corridor!$H$5:$H$204="-","",A_Corridor!$H$5:$H$204)),"")</f>
        <v/>
      </c>
      <c r="N8" s="182" t="str">
        <f>IFERROR(LOOKUP(2,1/((A_Corridor!$A$5:$A$204&lt;&gt;"")*(A_Corridor!$A$5:$A$204&lt;=$B8)*(A_Corridor!$B$5:$B$204&gt;$B8)*(A_Corridor!$I$5:$I$204&lt;&gt;"")),IF(A_Corridor!$I$5:$I$204="-","",A_Corridor!$I$5:$I$204)),"")</f>
        <v/>
      </c>
      <c r="O8" s="182" t="str">
        <f>IFERROR(LOOKUP(2,1/((D_Points!$A$5:$A$204&lt;&gt;"")*(D_Points!$A$5:$A$204&gt;=$B8)*(D_Points!$A$5:$A$204&lt;$B8+P_Interval)*(UPPER(TRIM(D_Points!$B$5:$B$204))="PITCHING")*(D_Points!$H$5:$H$204&lt;&gt;"")),D_Points!$H$5:$H$204),"")</f>
        <v/>
      </c>
      <c r="P8" s="181" t="str">
        <f>IFERROR(LOOKUP(2,1/((B_Drainage!$A$5:$A$204&lt;&gt;"")*(B_Drainage!$A$5:$A$204&lt;=$B8)*(B_Drainage!$B$5:$B$204&gt;$B8)*(B_Drainage!$C$5:$C$204&lt;&gt;"")),IF(B_Drainage!$C$5:$C$204="-","",UPPER(B_Drainage!$C$5:$C$204))),"")</f>
        <v/>
      </c>
      <c r="Q8" s="181" t="str">
        <f>IFERROR(LOOKUP(2,1/((B_Drainage!$A$5:$A$204&lt;&gt;"")*(B_Drainage!$A$5:$A$204&lt;=$B8)*(B_Drainage!$B$5:$B$204&gt;$B8)*(B_Drainage!$D$5:$D$204&lt;&gt;"")),IF(B_Drainage!$D$5:$D$204="-","",UPPER(B_Drainage!$D$5:$D$204))),"")</f>
        <v/>
      </c>
      <c r="R8" s="182" t="str">
        <f>IFERROR(LOOKUP(2,1/((D_Points!$A$5:$A$204&lt;&gt;"")*(D_Points!$A$5:$A$204&gt;=$B8)*(D_Points!$A$5:$A$204&lt;$B8+P_Interval)*(RIGHT(UPPER(TRIM(D_Points!$B$5:$B$204)),8)="_CULVERT")),IF(LEFT(UPPER(TRIM(D_Points!$B$5:$B$204)),2)="EX",1,IF(LEFT(UPPER(TRIM(D_Points!$B$5:$B$204)),2)="PR",2,3))),"")</f>
        <v/>
      </c>
      <c r="S8" s="182" t="str">
        <f>IFERROR(LOOKUP(2,1/((D_Points!$A$5:$A$204&lt;&gt;"")*(D_Points!$A$5:$A$204&gt;=$B8)*(D_Points!$A$5:$A$204&lt;$B8+P_Interval)*(RIGHT(UPPER(TRIM(D_Points!$B$5:$B$204)),7)="_BRIDGE")),IF(LEFT(UPPER(TRIM(D_Points!$B$5:$B$204)),2)="EX",1,IF(LEFT(UPPER(TRIM(D_Points!$B$5:$B$204)),2)="PR",2,2))),"")</f>
        <v/>
      </c>
      <c r="T8" s="181" t="str">
        <f>IFERROR(LOOKUP(2,1/((B_Drainage!$A$5:$A$204&lt;&gt;"")*(B_Drainage!$A$5:$A$204&lt;=$B8)*(B_Drainage!$B$5:$B$204&gt;$B8)*(B_Drainage!$E$5:$E$204&lt;&gt;"")),IF(B_Drainage!$E$5:$E$204="-","",1)),"")</f>
        <v/>
      </c>
      <c r="U8" s="181" t="str">
        <f>IFERROR(LOOKUP(2,1/((B_Drainage!$A$5:$A$204&lt;&gt;"")*(B_Drainage!$A$5:$A$204&lt;=$B8)*(B_Drainage!$B$5:$B$204&gt;$B8)*(B_Drainage!$E$5:$E$204&lt;&gt;"")),IF(B_Drainage!$E$5:$E$204="-","",B_Drainage!$E$5:$E$204)),"")</f>
        <v/>
      </c>
      <c r="V8" s="181" t="str">
        <f>IFERROR(LOOKUP(2,1/((B_Drainage!$A$5:$A$204&lt;&gt;"")*(B_Drainage!$A$5:$A$204&lt;=$B8)*(B_Drainage!$B$5:$B$204&gt;$B8)*(B_Drainage!$F$5:$F$204&lt;&gt;"")),IF(B_Drainage!$F$5:$F$204="-","",1)),"")</f>
        <v/>
      </c>
      <c r="W8" s="181" t="str">
        <f>IFERROR(LOOKUP(2,1/((B_Drainage!$A$5:$A$204&lt;&gt;"")*(B_Drainage!$A$5:$A$204&lt;=$B8)*(B_Drainage!$B$5:$B$204&gt;$B8)*(B_Drainage!$F$5:$F$204&lt;&gt;"")),IF(B_Drainage!$F$5:$F$204="-","",B_Drainage!$F$5:$F$204)),"")</f>
        <v/>
      </c>
      <c r="X8" s="181" t="str">
        <f>IFERROR(LOOKUP(2,1/((B_Drainage!$A$5:$A$204&lt;&gt;"")*(B_Drainage!$A$5:$A$204&lt;=$B8)*(B_Drainage!$B$5:$B$204&gt;$B8)*(B_Drainage!$G$5:$G$204&lt;&gt;"")),IF(UPPER(B_Drainage!$G$5:$G$204)="Y",1,"")),"")</f>
        <v/>
      </c>
      <c r="Y8" s="181" t="str">
        <f>IFERROR(LOOKUP(2,1/((B_Drainage!$A$5:$A$204&lt;&gt;"")*(B_Drainage!$A$5:$A$204&lt;=$B8)*(B_Drainage!$B$5:$B$204&gt;$B8)*(B_Drainage!$H$5:$H$204&lt;&gt;"")),IF(UPPER(B_Drainage!$H$5:$H$204)="Y",1,"")),"")</f>
        <v/>
      </c>
      <c r="Z8" s="181" t="str">
        <f>IFERROR(LOOKUP(2,1/((B_Drainage!$A$5:$A$204&lt;&gt;"")*(B_Drainage!$A$5:$A$204&lt;=$B8)*(B_Drainage!$B$5:$B$204&gt;$B8)*(B_Drainage!$I$5:$I$204&lt;&gt;"")),IF(UPPER(B_Drainage!$I$5:$I$204)="Y",1,"")),"")</f>
        <v/>
      </c>
      <c r="AA8" s="181" t="str">
        <f>IFERROR(LOOKUP(2,1/((B_Drainage!$A$5:$A$204&lt;&gt;"")*(B_Drainage!$A$5:$A$204&lt;=$B8)*(B_Drainage!$B$5:$B$204&gt;$B8)*(B_Drainage!$J$5:$J$204&lt;&gt;"")),IF(UPPER(B_Drainage!$J$5:$J$204)="Y",1,"")),"")</f>
        <v/>
      </c>
      <c r="AB8" s="182" t="str">
        <f>IFERROR(LOOKUP(2,1/((B_Drainage!$A$5:$A$204&lt;&gt;"")*(B_Drainage!$A$5:$A$204&lt;=$B8)*(B_Drainage!$B$5:$B$204&gt;$B8)*(B_Drainage!$K$5:$K$204&lt;&gt;"")),IF(B_Drainage!$K$5:$K$204="-","",B_Drainage!$K$5:$K$204)),"")</f>
        <v/>
      </c>
      <c r="AC8" s="182" t="str">
        <f>IFERROR(LOOKUP(2,1/((B_Drainage!$A$5:$A$204&lt;&gt;"")*(B_Drainage!$A$5:$A$204&lt;=$B8)*(B_Drainage!$B$5:$B$204&gt;$B8)*(B_Drainage!$L$5:$L$204&lt;&gt;"")),IF(B_Drainage!$L$5:$L$204="-","",B_Drainage!$L$5:$L$204)),"")</f>
        <v/>
      </c>
      <c r="AD8" s="182" t="str">
        <f>IFERROR(LOOKUP(2,1/((D_Points!$A$5:$A$204&lt;&gt;"")*(D_Points!$A$5:$A$204&gt;=$B8)*(D_Points!$A$5:$A$204&lt;$B8+P_Interval)*(UPPER(TRIM(D_Points!$B$5:$B$204))="TURNOUT_L")*(D_Points!$H$5:$H$204&lt;&gt;"")),D_Points!$H$5:$H$204),"")</f>
        <v/>
      </c>
      <c r="AE8" s="182" t="str">
        <f>IFERROR(LOOKUP(2,1/((D_Points!$A$5:$A$204&lt;&gt;"")*(D_Points!$A$5:$A$204&gt;=$B8)*(D_Points!$A$5:$A$204&lt;$B8+P_Interval)*(UPPER(TRIM(D_Points!$B$5:$B$204))="TURNOUT_R")*(D_Points!$H$5:$H$204&lt;&gt;"")),D_Points!$H$5:$H$204),"")</f>
        <v/>
      </c>
      <c r="AF8" s="181" t="str">
        <f>IFERROR(LOOKUP(2,1/((B_Drainage!$A$5:$A$204&lt;&gt;"")*(B_Drainage!$A$5:$A$204&lt;=$B8)*(B_Drainage!$B$5:$B$204&gt;$B8)*(B_Drainage!$M$5:$M$204&lt;&gt;"")),IF(UPPER(B_Drainage!$M$5:$M$204)="Y",1,"")),"")</f>
        <v/>
      </c>
      <c r="AG8" s="181" t="str">
        <f>IFERROR(LOOKUP(2,1/((B_Drainage!$A$5:$A$204&lt;&gt;"")*(B_Drainage!$A$5:$A$204&lt;=$B8)*(B_Drainage!$B$5:$B$204&gt;$B8)*(B_Drainage!$N$5:$N$204&lt;&gt;"")),IF(UPPER(B_Drainage!$N$5:$N$204)="Y",1,"")),"")</f>
        <v/>
      </c>
      <c r="AH8" s="181" t="str">
        <f t="shared" si="0"/>
        <v/>
      </c>
      <c r="AI8" s="181" t="str">
        <f t="shared" si="1"/>
        <v/>
      </c>
      <c r="AJ8" s="181" t="str">
        <f t="shared" si="2"/>
        <v/>
      </c>
      <c r="AK8" s="181" t="str">
        <f t="shared" si="3"/>
        <v/>
      </c>
      <c r="AL8" s="181" t="str">
        <f t="shared" si="4"/>
        <v/>
      </c>
      <c r="AM8" s="181" t="str">
        <f t="shared" si="5"/>
        <v/>
      </c>
      <c r="AN8" s="181" t="str">
        <f t="shared" si="6"/>
        <v/>
      </c>
      <c r="AO8" s="192" t="str">
        <f t="shared" si="7"/>
        <v/>
      </c>
      <c r="AQ8" t="str">
        <f>IFERROR(LOOKUP(2,1/((C_Pavement!$A$5:$A$204&lt;&gt;"")*(C_Pavement!$A$5:$A$204&lt;=$B8)*(C_Pavement!$B$5:$B$204&gt;$B8)*(C_Pavement!$C$5:$C$204&lt;&gt;"")),ROW(C_Pavement!$C$5:$C$204)-4),"")</f>
        <v/>
      </c>
      <c r="AR8" t="str">
        <f>IF($AQ8="","",UPPER(TRIM(INDEX(C_Pavement!$C$5:$C$204,$AQ8))))</f>
        <v/>
      </c>
      <c r="AS8" t="str">
        <f>IF($AR8="","",IFERROR(MATCH($AR8,E_Rules!$A$5:$A$9,0),""))</f>
        <v/>
      </c>
      <c r="AT8" t="str">
        <f>IF($AQ8="","",IF(INDEX(C_Pavement!$D$5:$D$204,$AQ8)&lt;&gt;"",UPPER(TRIM(INDEX(C_Pavement!$D$5:$D$204,$AQ8))),IF($AS8="","",INDEX(E_Rules!$C$5:$C$9,$AS8))))</f>
        <v/>
      </c>
      <c r="AU8" t="str">
        <f>IF($AQ8="","",IF(INDEX(C_Pavement!$E$5:$E$204,$AQ8)&lt;&gt;"",IF(INDEX(C_Pavement!$E$5:$E$204,$AQ8)="-","",INDEX(C_Pavement!$E$5:$E$204,$AQ8)),IF($AS8="","",INDEX(E_Rules!$D$5:$D$9,$AS8))))</f>
        <v/>
      </c>
      <c r="AV8" t="str">
        <f>IF($AQ8="","",IF(INDEX(C_Pavement!$F$5:$F$204,$AQ8)&lt;&gt;"",IF(INDEX(C_Pavement!$F$5:$F$204,$AQ8)="-","",INDEX(C_Pavement!$F$5:$F$204,$AQ8)),IF($AS8="","",INDEX(E_Rules!$E$5:$E$9,$AS8))))</f>
        <v/>
      </c>
      <c r="AW8" t="str">
        <f>IF($AQ8="","",IF(INDEX(C_Pavement!$G$5:$G$204,$AQ8)&lt;&gt;"",IF(INDEX(C_Pavement!$G$5:$G$204,$AQ8)="-","",INDEX(C_Pavement!$G$5:$G$204,$AQ8)),IF($AS8="","",INDEX(E_Rules!$F$5:$F$9,$AS8))))</f>
        <v/>
      </c>
      <c r="AX8" t="str">
        <f>IF($AQ8="","",IF(INDEX(C_Pavement!$H$5:$H$204,$AQ8)&lt;&gt;"",IF(INDEX(C_Pavement!$H$5:$H$204,$AQ8)="-","",INDEX(C_Pavement!$H$5:$H$204,$AQ8)),IF($AS8="","",INDEX(E_Rules!$G$5:$G$9,$AS8))))</f>
        <v/>
      </c>
      <c r="AY8" t="str">
        <f>IF($AQ8="","",IF(INDEX(C_Pavement!$I$5:$I$204,$AQ8)&lt;&gt;"",IF(INDEX(C_Pavement!$I$5:$I$204,$AQ8)="-","",INDEX(C_Pavement!$I$5:$I$204,$AQ8)),IF($AS8="","",INDEX(E_Rules!$H$5:$H$9,$AS8))))</f>
        <v/>
      </c>
    </row>
    <row r="9" spans="1:51" ht="14.4" customHeight="1" x14ac:dyDescent="0.3">
      <c r="A9" s="189">
        <v>4</v>
      </c>
      <c r="B9" s="180">
        <v>150</v>
      </c>
      <c r="C9" s="180" t="s">
        <v>315</v>
      </c>
      <c r="D9" s="181" t="str">
        <f>IFERROR(LOOKUP(2,1/((A_Corridor!$A$5:$A$204&lt;&gt;"")*(A_Corridor!$A$5:$A$204&lt;=$B9)*(A_Corridor!$B$5:$B$204&gt;$B9)*(A_Corridor!$C$5:$C$204&lt;&gt;"")),IF(UPPER(A_Corridor!$C$5:$C$204)="Y",1,"")),"")</f>
        <v/>
      </c>
      <c r="E9" s="181" t="str">
        <f>IFERROR(LOOKUP(2,1/((A_Corridor!$A$5:$A$204&lt;&gt;"")*(A_Corridor!$A$5:$A$204&lt;=$B9)*(A_Corridor!$B$5:$B$204&gt;$B9)*(A_Corridor!$D$5:$D$204&lt;&gt;"")),IF(A_Corridor!$D$5:$D$204="-","",UPPER(A_Corridor!$D$5:$D$204))),"")</f>
        <v/>
      </c>
      <c r="F9" s="181" t="str">
        <f>IFERROR(LOOKUP(2,1/((A_Corridor!$A$5:$A$204&lt;&gt;"")*(A_Corridor!$A$5:$A$204&lt;=$B9)*(A_Corridor!$B$5:$B$204&gt;$B9)*(A_Corridor!$E$5:$E$204&lt;&gt;"")),IF(A_Corridor!$E$5:$E$204="-","",1)),"")</f>
        <v/>
      </c>
      <c r="G9" s="181" t="str">
        <f>IFERROR(LOOKUP(2,1/((A_Corridor!$A$5:$A$204&lt;&gt;"")*(A_Corridor!$A$5:$A$204&lt;=$B9)*(A_Corridor!$B$5:$B$204&gt;$B9)*(A_Corridor!$E$5:$E$204&lt;&gt;"")),IF(A_Corridor!$E$5:$E$204="-","",A_Corridor!$E$5:$E$204)),"")</f>
        <v/>
      </c>
      <c r="H9" s="182" t="str">
        <f>IFERROR(LOOKUP(2,1/((D_Points!$A$5:$A$204&lt;&gt;"")*(D_Points!$A$5:$A$204&gt;=$B9)*(D_Points!$A$5:$A$204&lt;$B9+P_Interval)*(UPPER(TRIM(D_Points!$B$5:$B$204))="GULLY")*(D_Points!$H$5:$H$204&lt;&gt;"")),D_Points!$H$5:$H$204),"")</f>
        <v/>
      </c>
      <c r="I9" s="181" t="str">
        <f>IFERROR(LOOKUP(2,1/((A_Corridor!$A$5:$A$204&lt;&gt;"")*(A_Corridor!$A$5:$A$204&lt;=$B9)*(A_Corridor!$B$5:$B$204&gt;$B9)*(A_Corridor!$F$5:$F$204&lt;&gt;"")),IF(A_Corridor!$F$5:$F$204="-","",1)),"")</f>
        <v/>
      </c>
      <c r="J9" s="181" t="str">
        <f>IFERROR(LOOKUP(2,1/((A_Corridor!$A$5:$A$204&lt;&gt;"")*(A_Corridor!$A$5:$A$204&lt;=$B9)*(A_Corridor!$B$5:$B$204&gt;$B9)*(A_Corridor!$F$5:$F$204&lt;&gt;"")),IF(A_Corridor!$F$5:$F$204="-","",A_Corridor!$F$5:$F$204)),"")</f>
        <v/>
      </c>
      <c r="K9" s="181" t="str">
        <f>IFERROR(LOOKUP(2,1/((A_Corridor!$A$5:$A$204&lt;&gt;"")*(A_Corridor!$A$5:$A$204&lt;=$B9)*(A_Corridor!$B$5:$B$204&gt;$B9)*(A_Corridor!$G$5:$G$204&lt;&gt;"")),IF(A_Corridor!$G$5:$G$204="-","",A_Corridor!$G$5:$G$204)),"")</f>
        <v/>
      </c>
      <c r="L9" s="181" t="str">
        <f>IFERROR(LOOKUP(2,1/((A_Corridor!$A$5:$A$204&lt;&gt;"")*(A_Corridor!$A$5:$A$204&lt;=$B9)*(A_Corridor!$B$5:$B$204&gt;$B9)*(A_Corridor!$H$5:$H$204&lt;&gt;"")),IF(A_Corridor!$H$5:$H$204="-","",1)),"")</f>
        <v/>
      </c>
      <c r="M9" s="182" t="str">
        <f>IFERROR(LOOKUP(2,1/((A_Corridor!$A$5:$A$204&lt;&gt;"")*(A_Corridor!$A$5:$A$204&lt;=$B9)*(A_Corridor!$B$5:$B$204&gt;$B9)*(A_Corridor!$H$5:$H$204&lt;&gt;"")),IF(A_Corridor!$H$5:$H$204="-","",A_Corridor!$H$5:$H$204)),"")</f>
        <v/>
      </c>
      <c r="N9" s="182" t="str">
        <f>IFERROR(LOOKUP(2,1/((A_Corridor!$A$5:$A$204&lt;&gt;"")*(A_Corridor!$A$5:$A$204&lt;=$B9)*(A_Corridor!$B$5:$B$204&gt;$B9)*(A_Corridor!$I$5:$I$204&lt;&gt;"")),IF(A_Corridor!$I$5:$I$204="-","",A_Corridor!$I$5:$I$204)),"")</f>
        <v/>
      </c>
      <c r="O9" s="182" t="str">
        <f>IFERROR(LOOKUP(2,1/((D_Points!$A$5:$A$204&lt;&gt;"")*(D_Points!$A$5:$A$204&gt;=$B9)*(D_Points!$A$5:$A$204&lt;$B9+P_Interval)*(UPPER(TRIM(D_Points!$B$5:$B$204))="PITCHING")*(D_Points!$H$5:$H$204&lt;&gt;"")),D_Points!$H$5:$H$204),"")</f>
        <v/>
      </c>
      <c r="P9" s="181" t="str">
        <f>IFERROR(LOOKUP(2,1/((B_Drainage!$A$5:$A$204&lt;&gt;"")*(B_Drainage!$A$5:$A$204&lt;=$B9)*(B_Drainage!$B$5:$B$204&gt;$B9)*(B_Drainage!$C$5:$C$204&lt;&gt;"")),IF(B_Drainage!$C$5:$C$204="-","",UPPER(B_Drainage!$C$5:$C$204))),"")</f>
        <v/>
      </c>
      <c r="Q9" s="181" t="str">
        <f>IFERROR(LOOKUP(2,1/((B_Drainage!$A$5:$A$204&lt;&gt;"")*(B_Drainage!$A$5:$A$204&lt;=$B9)*(B_Drainage!$B$5:$B$204&gt;$B9)*(B_Drainage!$D$5:$D$204&lt;&gt;"")),IF(B_Drainage!$D$5:$D$204="-","",UPPER(B_Drainage!$D$5:$D$204))),"")</f>
        <v/>
      </c>
      <c r="R9" s="182" t="str">
        <f>IFERROR(LOOKUP(2,1/((D_Points!$A$5:$A$204&lt;&gt;"")*(D_Points!$A$5:$A$204&gt;=$B9)*(D_Points!$A$5:$A$204&lt;$B9+P_Interval)*(RIGHT(UPPER(TRIM(D_Points!$B$5:$B$204)),8)="_CULVERT")),IF(LEFT(UPPER(TRIM(D_Points!$B$5:$B$204)),2)="EX",1,IF(LEFT(UPPER(TRIM(D_Points!$B$5:$B$204)),2)="PR",2,3))),"")</f>
        <v/>
      </c>
      <c r="S9" s="182" t="str">
        <f>IFERROR(LOOKUP(2,1/((D_Points!$A$5:$A$204&lt;&gt;"")*(D_Points!$A$5:$A$204&gt;=$B9)*(D_Points!$A$5:$A$204&lt;$B9+P_Interval)*(RIGHT(UPPER(TRIM(D_Points!$B$5:$B$204)),7)="_BRIDGE")),IF(LEFT(UPPER(TRIM(D_Points!$B$5:$B$204)),2)="EX",1,IF(LEFT(UPPER(TRIM(D_Points!$B$5:$B$204)),2)="PR",2,2))),"")</f>
        <v/>
      </c>
      <c r="T9" s="181" t="str">
        <f>IFERROR(LOOKUP(2,1/((B_Drainage!$A$5:$A$204&lt;&gt;"")*(B_Drainage!$A$5:$A$204&lt;=$B9)*(B_Drainage!$B$5:$B$204&gt;$B9)*(B_Drainage!$E$5:$E$204&lt;&gt;"")),IF(B_Drainage!$E$5:$E$204="-","",1)),"")</f>
        <v/>
      </c>
      <c r="U9" s="181" t="str">
        <f>IFERROR(LOOKUP(2,1/((B_Drainage!$A$5:$A$204&lt;&gt;"")*(B_Drainage!$A$5:$A$204&lt;=$B9)*(B_Drainage!$B$5:$B$204&gt;$B9)*(B_Drainage!$E$5:$E$204&lt;&gt;"")),IF(B_Drainage!$E$5:$E$204="-","",B_Drainage!$E$5:$E$204)),"")</f>
        <v/>
      </c>
      <c r="V9" s="181" t="str">
        <f>IFERROR(LOOKUP(2,1/((B_Drainage!$A$5:$A$204&lt;&gt;"")*(B_Drainage!$A$5:$A$204&lt;=$B9)*(B_Drainage!$B$5:$B$204&gt;$B9)*(B_Drainage!$F$5:$F$204&lt;&gt;"")),IF(B_Drainage!$F$5:$F$204="-","",1)),"")</f>
        <v/>
      </c>
      <c r="W9" s="181" t="str">
        <f>IFERROR(LOOKUP(2,1/((B_Drainage!$A$5:$A$204&lt;&gt;"")*(B_Drainage!$A$5:$A$204&lt;=$B9)*(B_Drainage!$B$5:$B$204&gt;$B9)*(B_Drainage!$F$5:$F$204&lt;&gt;"")),IF(B_Drainage!$F$5:$F$204="-","",B_Drainage!$F$5:$F$204)),"")</f>
        <v/>
      </c>
      <c r="X9" s="181" t="str">
        <f>IFERROR(LOOKUP(2,1/((B_Drainage!$A$5:$A$204&lt;&gt;"")*(B_Drainage!$A$5:$A$204&lt;=$B9)*(B_Drainage!$B$5:$B$204&gt;$B9)*(B_Drainage!$G$5:$G$204&lt;&gt;"")),IF(UPPER(B_Drainage!$G$5:$G$204)="Y",1,"")),"")</f>
        <v/>
      </c>
      <c r="Y9" s="181" t="str">
        <f>IFERROR(LOOKUP(2,1/((B_Drainage!$A$5:$A$204&lt;&gt;"")*(B_Drainage!$A$5:$A$204&lt;=$B9)*(B_Drainage!$B$5:$B$204&gt;$B9)*(B_Drainage!$H$5:$H$204&lt;&gt;"")),IF(UPPER(B_Drainage!$H$5:$H$204)="Y",1,"")),"")</f>
        <v/>
      </c>
      <c r="Z9" s="181" t="str">
        <f>IFERROR(LOOKUP(2,1/((B_Drainage!$A$5:$A$204&lt;&gt;"")*(B_Drainage!$A$5:$A$204&lt;=$B9)*(B_Drainage!$B$5:$B$204&gt;$B9)*(B_Drainage!$I$5:$I$204&lt;&gt;"")),IF(UPPER(B_Drainage!$I$5:$I$204)="Y",1,"")),"")</f>
        <v/>
      </c>
      <c r="AA9" s="181" t="str">
        <f>IFERROR(LOOKUP(2,1/((B_Drainage!$A$5:$A$204&lt;&gt;"")*(B_Drainage!$A$5:$A$204&lt;=$B9)*(B_Drainage!$B$5:$B$204&gt;$B9)*(B_Drainage!$J$5:$J$204&lt;&gt;"")),IF(UPPER(B_Drainage!$J$5:$J$204)="Y",1,"")),"")</f>
        <v/>
      </c>
      <c r="AB9" s="182" t="str">
        <f>IFERROR(LOOKUP(2,1/((B_Drainage!$A$5:$A$204&lt;&gt;"")*(B_Drainage!$A$5:$A$204&lt;=$B9)*(B_Drainage!$B$5:$B$204&gt;$B9)*(B_Drainage!$K$5:$K$204&lt;&gt;"")),IF(B_Drainage!$K$5:$K$204="-","",B_Drainage!$K$5:$K$204)),"")</f>
        <v/>
      </c>
      <c r="AC9" s="182" t="str">
        <f>IFERROR(LOOKUP(2,1/((B_Drainage!$A$5:$A$204&lt;&gt;"")*(B_Drainage!$A$5:$A$204&lt;=$B9)*(B_Drainage!$B$5:$B$204&gt;$B9)*(B_Drainage!$L$5:$L$204&lt;&gt;"")),IF(B_Drainage!$L$5:$L$204="-","",B_Drainage!$L$5:$L$204)),"")</f>
        <v/>
      </c>
      <c r="AD9" s="182" t="str">
        <f>IFERROR(LOOKUP(2,1/((D_Points!$A$5:$A$204&lt;&gt;"")*(D_Points!$A$5:$A$204&gt;=$B9)*(D_Points!$A$5:$A$204&lt;$B9+P_Interval)*(UPPER(TRIM(D_Points!$B$5:$B$204))="TURNOUT_L")*(D_Points!$H$5:$H$204&lt;&gt;"")),D_Points!$H$5:$H$204),"")</f>
        <v/>
      </c>
      <c r="AE9" s="182" t="str">
        <f>IFERROR(LOOKUP(2,1/((D_Points!$A$5:$A$204&lt;&gt;"")*(D_Points!$A$5:$A$204&gt;=$B9)*(D_Points!$A$5:$A$204&lt;$B9+P_Interval)*(UPPER(TRIM(D_Points!$B$5:$B$204))="TURNOUT_R")*(D_Points!$H$5:$H$204&lt;&gt;"")),D_Points!$H$5:$H$204),"")</f>
        <v/>
      </c>
      <c r="AF9" s="181" t="str">
        <f>IFERROR(LOOKUP(2,1/((B_Drainage!$A$5:$A$204&lt;&gt;"")*(B_Drainage!$A$5:$A$204&lt;=$B9)*(B_Drainage!$B$5:$B$204&gt;$B9)*(B_Drainage!$M$5:$M$204&lt;&gt;"")),IF(UPPER(B_Drainage!$M$5:$M$204)="Y",1,"")),"")</f>
        <v/>
      </c>
      <c r="AG9" s="181" t="str">
        <f>IFERROR(LOOKUP(2,1/((B_Drainage!$A$5:$A$204&lt;&gt;"")*(B_Drainage!$A$5:$A$204&lt;=$B9)*(B_Drainage!$B$5:$B$204&gt;$B9)*(B_Drainage!$N$5:$N$204&lt;&gt;"")),IF(UPPER(B_Drainage!$N$5:$N$204)="Y",1,"")),"")</f>
        <v/>
      </c>
      <c r="AH9" s="181" t="str">
        <f t="shared" si="0"/>
        <v/>
      </c>
      <c r="AI9" s="181" t="str">
        <f t="shared" si="1"/>
        <v/>
      </c>
      <c r="AJ9" s="181" t="str">
        <f t="shared" si="2"/>
        <v/>
      </c>
      <c r="AK9" s="181" t="str">
        <f t="shared" si="3"/>
        <v/>
      </c>
      <c r="AL9" s="181" t="str">
        <f t="shared" si="4"/>
        <v/>
      </c>
      <c r="AM9" s="181" t="str">
        <f t="shared" si="5"/>
        <v/>
      </c>
      <c r="AN9" s="181" t="str">
        <f t="shared" si="6"/>
        <v/>
      </c>
      <c r="AO9" s="192" t="str">
        <f t="shared" si="7"/>
        <v/>
      </c>
      <c r="AQ9" t="str">
        <f>IFERROR(LOOKUP(2,1/((C_Pavement!$A$5:$A$204&lt;&gt;"")*(C_Pavement!$A$5:$A$204&lt;=$B9)*(C_Pavement!$B$5:$B$204&gt;$B9)*(C_Pavement!$C$5:$C$204&lt;&gt;"")),ROW(C_Pavement!$C$5:$C$204)-4),"")</f>
        <v/>
      </c>
      <c r="AR9" t="str">
        <f>IF($AQ9="","",UPPER(TRIM(INDEX(C_Pavement!$C$5:$C$204,$AQ9))))</f>
        <v/>
      </c>
      <c r="AS9" t="str">
        <f>IF($AR9="","",IFERROR(MATCH($AR9,E_Rules!$A$5:$A$9,0),""))</f>
        <v/>
      </c>
      <c r="AT9" t="str">
        <f>IF($AQ9="","",IF(INDEX(C_Pavement!$D$5:$D$204,$AQ9)&lt;&gt;"",UPPER(TRIM(INDEX(C_Pavement!$D$5:$D$204,$AQ9))),IF($AS9="","",INDEX(E_Rules!$C$5:$C$9,$AS9))))</f>
        <v/>
      </c>
      <c r="AU9" t="str">
        <f>IF($AQ9="","",IF(INDEX(C_Pavement!$E$5:$E$204,$AQ9)&lt;&gt;"",IF(INDEX(C_Pavement!$E$5:$E$204,$AQ9)="-","",INDEX(C_Pavement!$E$5:$E$204,$AQ9)),IF($AS9="","",INDEX(E_Rules!$D$5:$D$9,$AS9))))</f>
        <v/>
      </c>
      <c r="AV9" t="str">
        <f>IF($AQ9="","",IF(INDEX(C_Pavement!$F$5:$F$204,$AQ9)&lt;&gt;"",IF(INDEX(C_Pavement!$F$5:$F$204,$AQ9)="-","",INDEX(C_Pavement!$F$5:$F$204,$AQ9)),IF($AS9="","",INDEX(E_Rules!$E$5:$E$9,$AS9))))</f>
        <v/>
      </c>
      <c r="AW9" t="str">
        <f>IF($AQ9="","",IF(INDEX(C_Pavement!$G$5:$G$204,$AQ9)&lt;&gt;"",IF(INDEX(C_Pavement!$G$5:$G$204,$AQ9)="-","",INDEX(C_Pavement!$G$5:$G$204,$AQ9)),IF($AS9="","",INDEX(E_Rules!$F$5:$F$9,$AS9))))</f>
        <v/>
      </c>
      <c r="AX9" t="str">
        <f>IF($AQ9="","",IF(INDEX(C_Pavement!$H$5:$H$204,$AQ9)&lt;&gt;"",IF(INDEX(C_Pavement!$H$5:$H$204,$AQ9)="-","",INDEX(C_Pavement!$H$5:$H$204,$AQ9)),IF($AS9="","",INDEX(E_Rules!$G$5:$G$9,$AS9))))</f>
        <v/>
      </c>
      <c r="AY9" t="str">
        <f>IF($AQ9="","",IF(INDEX(C_Pavement!$I$5:$I$204,$AQ9)&lt;&gt;"",IF(INDEX(C_Pavement!$I$5:$I$204,$AQ9)="-","",INDEX(C_Pavement!$I$5:$I$204,$AQ9)),IF($AS9="","",INDEX(E_Rules!$H$5:$H$9,$AS9))))</f>
        <v/>
      </c>
    </row>
    <row r="10" spans="1:51" ht="14.4" customHeight="1" x14ac:dyDescent="0.3">
      <c r="A10" s="189">
        <v>5</v>
      </c>
      <c r="B10" s="180">
        <v>200</v>
      </c>
      <c r="C10" s="180" t="s">
        <v>316</v>
      </c>
      <c r="D10" s="181" t="str">
        <f>IFERROR(LOOKUP(2,1/((A_Corridor!$A$5:$A$204&lt;&gt;"")*(A_Corridor!$A$5:$A$204&lt;=$B10)*(A_Corridor!$B$5:$B$204&gt;$B10)*(A_Corridor!$C$5:$C$204&lt;&gt;"")),IF(UPPER(A_Corridor!$C$5:$C$204)="Y",1,"")),"")</f>
        <v/>
      </c>
      <c r="E10" s="181" t="str">
        <f>IFERROR(LOOKUP(2,1/((A_Corridor!$A$5:$A$204&lt;&gt;"")*(A_Corridor!$A$5:$A$204&lt;=$B10)*(A_Corridor!$B$5:$B$204&gt;$B10)*(A_Corridor!$D$5:$D$204&lt;&gt;"")),IF(A_Corridor!$D$5:$D$204="-","",UPPER(A_Corridor!$D$5:$D$204))),"")</f>
        <v/>
      </c>
      <c r="F10" s="181" t="str">
        <f>IFERROR(LOOKUP(2,1/((A_Corridor!$A$5:$A$204&lt;&gt;"")*(A_Corridor!$A$5:$A$204&lt;=$B10)*(A_Corridor!$B$5:$B$204&gt;$B10)*(A_Corridor!$E$5:$E$204&lt;&gt;"")),IF(A_Corridor!$E$5:$E$204="-","",1)),"")</f>
        <v/>
      </c>
      <c r="G10" s="181" t="str">
        <f>IFERROR(LOOKUP(2,1/((A_Corridor!$A$5:$A$204&lt;&gt;"")*(A_Corridor!$A$5:$A$204&lt;=$B10)*(A_Corridor!$B$5:$B$204&gt;$B10)*(A_Corridor!$E$5:$E$204&lt;&gt;"")),IF(A_Corridor!$E$5:$E$204="-","",A_Corridor!$E$5:$E$204)),"")</f>
        <v/>
      </c>
      <c r="H10" s="182" t="str">
        <f>IFERROR(LOOKUP(2,1/((D_Points!$A$5:$A$204&lt;&gt;"")*(D_Points!$A$5:$A$204&gt;=$B10)*(D_Points!$A$5:$A$204&lt;$B10+P_Interval)*(UPPER(TRIM(D_Points!$B$5:$B$204))="GULLY")*(D_Points!$H$5:$H$204&lt;&gt;"")),D_Points!$H$5:$H$204),"")</f>
        <v/>
      </c>
      <c r="I10" s="181" t="str">
        <f>IFERROR(LOOKUP(2,1/((A_Corridor!$A$5:$A$204&lt;&gt;"")*(A_Corridor!$A$5:$A$204&lt;=$B10)*(A_Corridor!$B$5:$B$204&gt;$B10)*(A_Corridor!$F$5:$F$204&lt;&gt;"")),IF(A_Corridor!$F$5:$F$204="-","",1)),"")</f>
        <v/>
      </c>
      <c r="J10" s="181" t="str">
        <f>IFERROR(LOOKUP(2,1/((A_Corridor!$A$5:$A$204&lt;&gt;"")*(A_Corridor!$A$5:$A$204&lt;=$B10)*(A_Corridor!$B$5:$B$204&gt;$B10)*(A_Corridor!$F$5:$F$204&lt;&gt;"")),IF(A_Corridor!$F$5:$F$204="-","",A_Corridor!$F$5:$F$204)),"")</f>
        <v/>
      </c>
      <c r="K10" s="181" t="str">
        <f>IFERROR(LOOKUP(2,1/((A_Corridor!$A$5:$A$204&lt;&gt;"")*(A_Corridor!$A$5:$A$204&lt;=$B10)*(A_Corridor!$B$5:$B$204&gt;$B10)*(A_Corridor!$G$5:$G$204&lt;&gt;"")),IF(A_Corridor!$G$5:$G$204="-","",A_Corridor!$G$5:$G$204)),"")</f>
        <v/>
      </c>
      <c r="L10" s="181" t="str">
        <f>IFERROR(LOOKUP(2,1/((A_Corridor!$A$5:$A$204&lt;&gt;"")*(A_Corridor!$A$5:$A$204&lt;=$B10)*(A_Corridor!$B$5:$B$204&gt;$B10)*(A_Corridor!$H$5:$H$204&lt;&gt;"")),IF(A_Corridor!$H$5:$H$204="-","",1)),"")</f>
        <v/>
      </c>
      <c r="M10" s="182" t="str">
        <f>IFERROR(LOOKUP(2,1/((A_Corridor!$A$5:$A$204&lt;&gt;"")*(A_Corridor!$A$5:$A$204&lt;=$B10)*(A_Corridor!$B$5:$B$204&gt;$B10)*(A_Corridor!$H$5:$H$204&lt;&gt;"")),IF(A_Corridor!$H$5:$H$204="-","",A_Corridor!$H$5:$H$204)),"")</f>
        <v/>
      </c>
      <c r="N10" s="182" t="str">
        <f>IFERROR(LOOKUP(2,1/((A_Corridor!$A$5:$A$204&lt;&gt;"")*(A_Corridor!$A$5:$A$204&lt;=$B10)*(A_Corridor!$B$5:$B$204&gt;$B10)*(A_Corridor!$I$5:$I$204&lt;&gt;"")),IF(A_Corridor!$I$5:$I$204="-","",A_Corridor!$I$5:$I$204)),"")</f>
        <v/>
      </c>
      <c r="O10" s="182" t="str">
        <f>IFERROR(LOOKUP(2,1/((D_Points!$A$5:$A$204&lt;&gt;"")*(D_Points!$A$5:$A$204&gt;=$B10)*(D_Points!$A$5:$A$204&lt;$B10+P_Interval)*(UPPER(TRIM(D_Points!$B$5:$B$204))="PITCHING")*(D_Points!$H$5:$H$204&lt;&gt;"")),D_Points!$H$5:$H$204),"")</f>
        <v/>
      </c>
      <c r="P10" s="181" t="str">
        <f>IFERROR(LOOKUP(2,1/((B_Drainage!$A$5:$A$204&lt;&gt;"")*(B_Drainage!$A$5:$A$204&lt;=$B10)*(B_Drainage!$B$5:$B$204&gt;$B10)*(B_Drainage!$C$5:$C$204&lt;&gt;"")),IF(B_Drainage!$C$5:$C$204="-","",UPPER(B_Drainage!$C$5:$C$204))),"")</f>
        <v/>
      </c>
      <c r="Q10" s="181" t="str">
        <f>IFERROR(LOOKUP(2,1/((B_Drainage!$A$5:$A$204&lt;&gt;"")*(B_Drainage!$A$5:$A$204&lt;=$B10)*(B_Drainage!$B$5:$B$204&gt;$B10)*(B_Drainage!$D$5:$D$204&lt;&gt;"")),IF(B_Drainage!$D$5:$D$204="-","",UPPER(B_Drainage!$D$5:$D$204))),"")</f>
        <v/>
      </c>
      <c r="R10" s="182" t="str">
        <f>IFERROR(LOOKUP(2,1/((D_Points!$A$5:$A$204&lt;&gt;"")*(D_Points!$A$5:$A$204&gt;=$B10)*(D_Points!$A$5:$A$204&lt;$B10+P_Interval)*(RIGHT(UPPER(TRIM(D_Points!$B$5:$B$204)),8)="_CULVERT")),IF(LEFT(UPPER(TRIM(D_Points!$B$5:$B$204)),2)="EX",1,IF(LEFT(UPPER(TRIM(D_Points!$B$5:$B$204)),2)="PR",2,3))),"")</f>
        <v/>
      </c>
      <c r="S10" s="182" t="str">
        <f>IFERROR(LOOKUP(2,1/((D_Points!$A$5:$A$204&lt;&gt;"")*(D_Points!$A$5:$A$204&gt;=$B10)*(D_Points!$A$5:$A$204&lt;$B10+P_Interval)*(RIGHT(UPPER(TRIM(D_Points!$B$5:$B$204)),7)="_BRIDGE")),IF(LEFT(UPPER(TRIM(D_Points!$B$5:$B$204)),2)="EX",1,IF(LEFT(UPPER(TRIM(D_Points!$B$5:$B$204)),2)="PR",2,2))),"")</f>
        <v/>
      </c>
      <c r="T10" s="181" t="str">
        <f>IFERROR(LOOKUP(2,1/((B_Drainage!$A$5:$A$204&lt;&gt;"")*(B_Drainage!$A$5:$A$204&lt;=$B10)*(B_Drainage!$B$5:$B$204&gt;$B10)*(B_Drainage!$E$5:$E$204&lt;&gt;"")),IF(B_Drainage!$E$5:$E$204="-","",1)),"")</f>
        <v/>
      </c>
      <c r="U10" s="181" t="str">
        <f>IFERROR(LOOKUP(2,1/((B_Drainage!$A$5:$A$204&lt;&gt;"")*(B_Drainage!$A$5:$A$204&lt;=$B10)*(B_Drainage!$B$5:$B$204&gt;$B10)*(B_Drainage!$E$5:$E$204&lt;&gt;"")),IF(B_Drainage!$E$5:$E$204="-","",B_Drainage!$E$5:$E$204)),"")</f>
        <v/>
      </c>
      <c r="V10" s="181" t="str">
        <f>IFERROR(LOOKUP(2,1/((B_Drainage!$A$5:$A$204&lt;&gt;"")*(B_Drainage!$A$5:$A$204&lt;=$B10)*(B_Drainage!$B$5:$B$204&gt;$B10)*(B_Drainage!$F$5:$F$204&lt;&gt;"")),IF(B_Drainage!$F$5:$F$204="-","",1)),"")</f>
        <v/>
      </c>
      <c r="W10" s="181" t="str">
        <f>IFERROR(LOOKUP(2,1/((B_Drainage!$A$5:$A$204&lt;&gt;"")*(B_Drainage!$A$5:$A$204&lt;=$B10)*(B_Drainage!$B$5:$B$204&gt;$B10)*(B_Drainage!$F$5:$F$204&lt;&gt;"")),IF(B_Drainage!$F$5:$F$204="-","",B_Drainage!$F$5:$F$204)),"")</f>
        <v/>
      </c>
      <c r="X10" s="181" t="str">
        <f>IFERROR(LOOKUP(2,1/((B_Drainage!$A$5:$A$204&lt;&gt;"")*(B_Drainage!$A$5:$A$204&lt;=$B10)*(B_Drainage!$B$5:$B$204&gt;$B10)*(B_Drainage!$G$5:$G$204&lt;&gt;"")),IF(UPPER(B_Drainage!$G$5:$G$204)="Y",1,"")),"")</f>
        <v/>
      </c>
      <c r="Y10" s="181" t="str">
        <f>IFERROR(LOOKUP(2,1/((B_Drainage!$A$5:$A$204&lt;&gt;"")*(B_Drainage!$A$5:$A$204&lt;=$B10)*(B_Drainage!$B$5:$B$204&gt;$B10)*(B_Drainage!$H$5:$H$204&lt;&gt;"")),IF(UPPER(B_Drainage!$H$5:$H$204)="Y",1,"")),"")</f>
        <v/>
      </c>
      <c r="Z10" s="181" t="str">
        <f>IFERROR(LOOKUP(2,1/((B_Drainage!$A$5:$A$204&lt;&gt;"")*(B_Drainage!$A$5:$A$204&lt;=$B10)*(B_Drainage!$B$5:$B$204&gt;$B10)*(B_Drainage!$I$5:$I$204&lt;&gt;"")),IF(UPPER(B_Drainage!$I$5:$I$204)="Y",1,"")),"")</f>
        <v/>
      </c>
      <c r="AA10" s="181" t="str">
        <f>IFERROR(LOOKUP(2,1/((B_Drainage!$A$5:$A$204&lt;&gt;"")*(B_Drainage!$A$5:$A$204&lt;=$B10)*(B_Drainage!$B$5:$B$204&gt;$B10)*(B_Drainage!$J$5:$J$204&lt;&gt;"")),IF(UPPER(B_Drainage!$J$5:$J$204)="Y",1,"")),"")</f>
        <v/>
      </c>
      <c r="AB10" s="182" t="str">
        <f>IFERROR(LOOKUP(2,1/((B_Drainage!$A$5:$A$204&lt;&gt;"")*(B_Drainage!$A$5:$A$204&lt;=$B10)*(B_Drainage!$B$5:$B$204&gt;$B10)*(B_Drainage!$K$5:$K$204&lt;&gt;"")),IF(B_Drainage!$K$5:$K$204="-","",B_Drainage!$K$5:$K$204)),"")</f>
        <v/>
      </c>
      <c r="AC10" s="182" t="str">
        <f>IFERROR(LOOKUP(2,1/((B_Drainage!$A$5:$A$204&lt;&gt;"")*(B_Drainage!$A$5:$A$204&lt;=$B10)*(B_Drainage!$B$5:$B$204&gt;$B10)*(B_Drainage!$L$5:$L$204&lt;&gt;"")),IF(B_Drainage!$L$5:$L$204="-","",B_Drainage!$L$5:$L$204)),"")</f>
        <v/>
      </c>
      <c r="AD10" s="182" t="str">
        <f>IFERROR(LOOKUP(2,1/((D_Points!$A$5:$A$204&lt;&gt;"")*(D_Points!$A$5:$A$204&gt;=$B10)*(D_Points!$A$5:$A$204&lt;$B10+P_Interval)*(UPPER(TRIM(D_Points!$B$5:$B$204))="TURNOUT_L")*(D_Points!$H$5:$H$204&lt;&gt;"")),D_Points!$H$5:$H$204),"")</f>
        <v/>
      </c>
      <c r="AE10" s="182" t="str">
        <f>IFERROR(LOOKUP(2,1/((D_Points!$A$5:$A$204&lt;&gt;"")*(D_Points!$A$5:$A$204&gt;=$B10)*(D_Points!$A$5:$A$204&lt;$B10+P_Interval)*(UPPER(TRIM(D_Points!$B$5:$B$204))="TURNOUT_R")*(D_Points!$H$5:$H$204&lt;&gt;"")),D_Points!$H$5:$H$204),"")</f>
        <v/>
      </c>
      <c r="AF10" s="181" t="str">
        <f>IFERROR(LOOKUP(2,1/((B_Drainage!$A$5:$A$204&lt;&gt;"")*(B_Drainage!$A$5:$A$204&lt;=$B10)*(B_Drainage!$B$5:$B$204&gt;$B10)*(B_Drainage!$M$5:$M$204&lt;&gt;"")),IF(UPPER(B_Drainage!$M$5:$M$204)="Y",1,"")),"")</f>
        <v/>
      </c>
      <c r="AG10" s="181" t="str">
        <f>IFERROR(LOOKUP(2,1/((B_Drainage!$A$5:$A$204&lt;&gt;"")*(B_Drainage!$A$5:$A$204&lt;=$B10)*(B_Drainage!$B$5:$B$204&gt;$B10)*(B_Drainage!$N$5:$N$204&lt;&gt;"")),IF(UPPER(B_Drainage!$N$5:$N$204)="Y",1,"")),"")</f>
        <v/>
      </c>
      <c r="AH10" s="181" t="str">
        <f t="shared" si="0"/>
        <v/>
      </c>
      <c r="AI10" s="181" t="str">
        <f t="shared" si="1"/>
        <v/>
      </c>
      <c r="AJ10" s="181" t="str">
        <f t="shared" si="2"/>
        <v/>
      </c>
      <c r="AK10" s="181" t="str">
        <f t="shared" si="3"/>
        <v/>
      </c>
      <c r="AL10" s="181" t="str">
        <f t="shared" si="4"/>
        <v/>
      </c>
      <c r="AM10" s="181" t="str">
        <f t="shared" si="5"/>
        <v/>
      </c>
      <c r="AN10" s="181" t="str">
        <f t="shared" si="6"/>
        <v/>
      </c>
      <c r="AO10" s="192" t="str">
        <f t="shared" si="7"/>
        <v/>
      </c>
      <c r="AQ10" t="str">
        <f>IFERROR(LOOKUP(2,1/((C_Pavement!$A$5:$A$204&lt;&gt;"")*(C_Pavement!$A$5:$A$204&lt;=$B10)*(C_Pavement!$B$5:$B$204&gt;$B10)*(C_Pavement!$C$5:$C$204&lt;&gt;"")),ROW(C_Pavement!$C$5:$C$204)-4),"")</f>
        <v/>
      </c>
      <c r="AR10" t="str">
        <f>IF($AQ10="","",UPPER(TRIM(INDEX(C_Pavement!$C$5:$C$204,$AQ10))))</f>
        <v/>
      </c>
      <c r="AS10" t="str">
        <f>IF($AR10="","",IFERROR(MATCH($AR10,E_Rules!$A$5:$A$9,0),""))</f>
        <v/>
      </c>
      <c r="AT10" t="str">
        <f>IF($AQ10="","",IF(INDEX(C_Pavement!$D$5:$D$204,$AQ10)&lt;&gt;"",UPPER(TRIM(INDEX(C_Pavement!$D$5:$D$204,$AQ10))),IF($AS10="","",INDEX(E_Rules!$C$5:$C$9,$AS10))))</f>
        <v/>
      </c>
      <c r="AU10" t="str">
        <f>IF($AQ10="","",IF(INDEX(C_Pavement!$E$5:$E$204,$AQ10)&lt;&gt;"",IF(INDEX(C_Pavement!$E$5:$E$204,$AQ10)="-","",INDEX(C_Pavement!$E$5:$E$204,$AQ10)),IF($AS10="","",INDEX(E_Rules!$D$5:$D$9,$AS10))))</f>
        <v/>
      </c>
      <c r="AV10" t="str">
        <f>IF($AQ10="","",IF(INDEX(C_Pavement!$F$5:$F$204,$AQ10)&lt;&gt;"",IF(INDEX(C_Pavement!$F$5:$F$204,$AQ10)="-","",INDEX(C_Pavement!$F$5:$F$204,$AQ10)),IF($AS10="","",INDEX(E_Rules!$E$5:$E$9,$AS10))))</f>
        <v/>
      </c>
      <c r="AW10" t="str">
        <f>IF($AQ10="","",IF(INDEX(C_Pavement!$G$5:$G$204,$AQ10)&lt;&gt;"",IF(INDEX(C_Pavement!$G$5:$G$204,$AQ10)="-","",INDEX(C_Pavement!$G$5:$G$204,$AQ10)),IF($AS10="","",INDEX(E_Rules!$F$5:$F$9,$AS10))))</f>
        <v/>
      </c>
      <c r="AX10" t="str">
        <f>IF($AQ10="","",IF(INDEX(C_Pavement!$H$5:$H$204,$AQ10)&lt;&gt;"",IF(INDEX(C_Pavement!$H$5:$H$204,$AQ10)="-","",INDEX(C_Pavement!$H$5:$H$204,$AQ10)),IF($AS10="","",INDEX(E_Rules!$G$5:$G$9,$AS10))))</f>
        <v/>
      </c>
      <c r="AY10" t="str">
        <f>IF($AQ10="","",IF(INDEX(C_Pavement!$I$5:$I$204,$AQ10)&lt;&gt;"",IF(INDEX(C_Pavement!$I$5:$I$204,$AQ10)="-","",INDEX(C_Pavement!$I$5:$I$204,$AQ10)),IF($AS10="","",INDEX(E_Rules!$H$5:$H$9,$AS10))))</f>
        <v/>
      </c>
    </row>
    <row r="11" spans="1:51" ht="14.4" customHeight="1" x14ac:dyDescent="0.3">
      <c r="A11" s="189">
        <v>6</v>
      </c>
      <c r="B11" s="180">
        <v>250</v>
      </c>
      <c r="C11" s="180" t="s">
        <v>317</v>
      </c>
      <c r="D11" s="181" t="str">
        <f>IFERROR(LOOKUP(2,1/((A_Corridor!$A$5:$A$204&lt;&gt;"")*(A_Corridor!$A$5:$A$204&lt;=$B11)*(A_Corridor!$B$5:$B$204&gt;$B11)*(A_Corridor!$C$5:$C$204&lt;&gt;"")),IF(UPPER(A_Corridor!$C$5:$C$204)="Y",1,"")),"")</f>
        <v/>
      </c>
      <c r="E11" s="181" t="str">
        <f>IFERROR(LOOKUP(2,1/((A_Corridor!$A$5:$A$204&lt;&gt;"")*(A_Corridor!$A$5:$A$204&lt;=$B11)*(A_Corridor!$B$5:$B$204&gt;$B11)*(A_Corridor!$D$5:$D$204&lt;&gt;"")),IF(A_Corridor!$D$5:$D$204="-","",UPPER(A_Corridor!$D$5:$D$204))),"")</f>
        <v/>
      </c>
      <c r="F11" s="181" t="str">
        <f>IFERROR(LOOKUP(2,1/((A_Corridor!$A$5:$A$204&lt;&gt;"")*(A_Corridor!$A$5:$A$204&lt;=$B11)*(A_Corridor!$B$5:$B$204&gt;$B11)*(A_Corridor!$E$5:$E$204&lt;&gt;"")),IF(A_Corridor!$E$5:$E$204="-","",1)),"")</f>
        <v/>
      </c>
      <c r="G11" s="181" t="str">
        <f>IFERROR(LOOKUP(2,1/((A_Corridor!$A$5:$A$204&lt;&gt;"")*(A_Corridor!$A$5:$A$204&lt;=$B11)*(A_Corridor!$B$5:$B$204&gt;$B11)*(A_Corridor!$E$5:$E$204&lt;&gt;"")),IF(A_Corridor!$E$5:$E$204="-","",A_Corridor!$E$5:$E$204)),"")</f>
        <v/>
      </c>
      <c r="H11" s="182" t="str">
        <f>IFERROR(LOOKUP(2,1/((D_Points!$A$5:$A$204&lt;&gt;"")*(D_Points!$A$5:$A$204&gt;=$B11)*(D_Points!$A$5:$A$204&lt;$B11+P_Interval)*(UPPER(TRIM(D_Points!$B$5:$B$204))="GULLY")*(D_Points!$H$5:$H$204&lt;&gt;"")),D_Points!$H$5:$H$204),"")</f>
        <v/>
      </c>
      <c r="I11" s="181" t="str">
        <f>IFERROR(LOOKUP(2,1/((A_Corridor!$A$5:$A$204&lt;&gt;"")*(A_Corridor!$A$5:$A$204&lt;=$B11)*(A_Corridor!$B$5:$B$204&gt;$B11)*(A_Corridor!$F$5:$F$204&lt;&gt;"")),IF(A_Corridor!$F$5:$F$204="-","",1)),"")</f>
        <v/>
      </c>
      <c r="J11" s="182" t="str">
        <f>IFERROR(LOOKUP(2,1/((A_Corridor!$A$5:$A$204&lt;&gt;"")*(A_Corridor!$A$5:$A$204&lt;=$B11)*(A_Corridor!$B$5:$B$204&gt;$B11)*(A_Corridor!$F$5:$F$204&lt;&gt;"")),IF(A_Corridor!$F$5:$F$204="-","",A_Corridor!$F$5:$F$204)),"")</f>
        <v/>
      </c>
      <c r="K11" s="182" t="str">
        <f>IFERROR(LOOKUP(2,1/((A_Corridor!$A$5:$A$204&lt;&gt;"")*(A_Corridor!$A$5:$A$204&lt;=$B11)*(A_Corridor!$B$5:$B$204&gt;$B11)*(A_Corridor!$G$5:$G$204&lt;&gt;"")),IF(A_Corridor!$G$5:$G$204="-","",A_Corridor!$G$5:$G$204)),"")</f>
        <v/>
      </c>
      <c r="L11" s="181" t="str">
        <f>IFERROR(LOOKUP(2,1/((A_Corridor!$A$5:$A$204&lt;&gt;"")*(A_Corridor!$A$5:$A$204&lt;=$B11)*(A_Corridor!$B$5:$B$204&gt;$B11)*(A_Corridor!$H$5:$H$204&lt;&gt;"")),IF(A_Corridor!$H$5:$H$204="-","",1)),"")</f>
        <v/>
      </c>
      <c r="M11" s="181" t="str">
        <f>IFERROR(LOOKUP(2,1/((A_Corridor!$A$5:$A$204&lt;&gt;"")*(A_Corridor!$A$5:$A$204&lt;=$B11)*(A_Corridor!$B$5:$B$204&gt;$B11)*(A_Corridor!$H$5:$H$204&lt;&gt;"")),IF(A_Corridor!$H$5:$H$204="-","",A_Corridor!$H$5:$H$204)),"")</f>
        <v/>
      </c>
      <c r="N11" s="181" t="str">
        <f>IFERROR(LOOKUP(2,1/((A_Corridor!$A$5:$A$204&lt;&gt;"")*(A_Corridor!$A$5:$A$204&lt;=$B11)*(A_Corridor!$B$5:$B$204&gt;$B11)*(A_Corridor!$I$5:$I$204&lt;&gt;"")),IF(A_Corridor!$I$5:$I$204="-","",A_Corridor!$I$5:$I$204)),"")</f>
        <v/>
      </c>
      <c r="O11" s="182" t="str">
        <f>IFERROR(LOOKUP(2,1/((D_Points!$A$5:$A$204&lt;&gt;"")*(D_Points!$A$5:$A$204&gt;=$B11)*(D_Points!$A$5:$A$204&lt;$B11+P_Interval)*(UPPER(TRIM(D_Points!$B$5:$B$204))="PITCHING")*(D_Points!$H$5:$H$204&lt;&gt;"")),D_Points!$H$5:$H$204),"")</f>
        <v/>
      </c>
      <c r="P11" s="181" t="str">
        <f>IFERROR(LOOKUP(2,1/((B_Drainage!$A$5:$A$204&lt;&gt;"")*(B_Drainage!$A$5:$A$204&lt;=$B11)*(B_Drainage!$B$5:$B$204&gt;$B11)*(B_Drainage!$C$5:$C$204&lt;&gt;"")),IF(B_Drainage!$C$5:$C$204="-","",UPPER(B_Drainage!$C$5:$C$204))),"")</f>
        <v/>
      </c>
      <c r="Q11" s="181" t="str">
        <f>IFERROR(LOOKUP(2,1/((B_Drainage!$A$5:$A$204&lt;&gt;"")*(B_Drainage!$A$5:$A$204&lt;=$B11)*(B_Drainage!$B$5:$B$204&gt;$B11)*(B_Drainage!$D$5:$D$204&lt;&gt;"")),IF(B_Drainage!$D$5:$D$204="-","",UPPER(B_Drainage!$D$5:$D$204))),"")</f>
        <v/>
      </c>
      <c r="R11" s="182" t="str">
        <f>IFERROR(LOOKUP(2,1/((D_Points!$A$5:$A$204&lt;&gt;"")*(D_Points!$A$5:$A$204&gt;=$B11)*(D_Points!$A$5:$A$204&lt;$B11+P_Interval)*(RIGHT(UPPER(TRIM(D_Points!$B$5:$B$204)),8)="_CULVERT")),IF(LEFT(UPPER(TRIM(D_Points!$B$5:$B$204)),2)="EX",1,IF(LEFT(UPPER(TRIM(D_Points!$B$5:$B$204)),2)="PR",2,3))),"")</f>
        <v/>
      </c>
      <c r="S11" s="182" t="str">
        <f>IFERROR(LOOKUP(2,1/((D_Points!$A$5:$A$204&lt;&gt;"")*(D_Points!$A$5:$A$204&gt;=$B11)*(D_Points!$A$5:$A$204&lt;$B11+P_Interval)*(RIGHT(UPPER(TRIM(D_Points!$B$5:$B$204)),7)="_BRIDGE")),IF(LEFT(UPPER(TRIM(D_Points!$B$5:$B$204)),2)="EX",1,IF(LEFT(UPPER(TRIM(D_Points!$B$5:$B$204)),2)="PR",2,2))),"")</f>
        <v/>
      </c>
      <c r="T11" s="181" t="str">
        <f>IFERROR(LOOKUP(2,1/((B_Drainage!$A$5:$A$204&lt;&gt;"")*(B_Drainage!$A$5:$A$204&lt;=$B11)*(B_Drainage!$B$5:$B$204&gt;$B11)*(B_Drainage!$E$5:$E$204&lt;&gt;"")),IF(B_Drainage!$E$5:$E$204="-","",1)),"")</f>
        <v/>
      </c>
      <c r="U11" s="181" t="str">
        <f>IFERROR(LOOKUP(2,1/((B_Drainage!$A$5:$A$204&lt;&gt;"")*(B_Drainage!$A$5:$A$204&lt;=$B11)*(B_Drainage!$B$5:$B$204&gt;$B11)*(B_Drainage!$E$5:$E$204&lt;&gt;"")),IF(B_Drainage!$E$5:$E$204="-","",B_Drainage!$E$5:$E$204)),"")</f>
        <v/>
      </c>
      <c r="V11" s="181" t="str">
        <f>IFERROR(LOOKUP(2,1/((B_Drainage!$A$5:$A$204&lt;&gt;"")*(B_Drainage!$A$5:$A$204&lt;=$B11)*(B_Drainage!$B$5:$B$204&gt;$B11)*(B_Drainage!$F$5:$F$204&lt;&gt;"")),IF(B_Drainage!$F$5:$F$204="-","",1)),"")</f>
        <v/>
      </c>
      <c r="W11" s="181" t="str">
        <f>IFERROR(LOOKUP(2,1/((B_Drainage!$A$5:$A$204&lt;&gt;"")*(B_Drainage!$A$5:$A$204&lt;=$B11)*(B_Drainage!$B$5:$B$204&gt;$B11)*(B_Drainage!$F$5:$F$204&lt;&gt;"")),IF(B_Drainage!$F$5:$F$204="-","",B_Drainage!$F$5:$F$204)),"")</f>
        <v/>
      </c>
      <c r="X11" s="181" t="str">
        <f>IFERROR(LOOKUP(2,1/((B_Drainage!$A$5:$A$204&lt;&gt;"")*(B_Drainage!$A$5:$A$204&lt;=$B11)*(B_Drainage!$B$5:$B$204&gt;$B11)*(B_Drainage!$G$5:$G$204&lt;&gt;"")),IF(UPPER(B_Drainage!$G$5:$G$204)="Y",1,"")),"")</f>
        <v/>
      </c>
      <c r="Y11" s="181" t="str">
        <f>IFERROR(LOOKUP(2,1/((B_Drainage!$A$5:$A$204&lt;&gt;"")*(B_Drainage!$A$5:$A$204&lt;=$B11)*(B_Drainage!$B$5:$B$204&gt;$B11)*(B_Drainage!$H$5:$H$204&lt;&gt;"")),IF(UPPER(B_Drainage!$H$5:$H$204)="Y",1,"")),"")</f>
        <v/>
      </c>
      <c r="Z11" s="181" t="str">
        <f>IFERROR(LOOKUP(2,1/((B_Drainage!$A$5:$A$204&lt;&gt;"")*(B_Drainage!$A$5:$A$204&lt;=$B11)*(B_Drainage!$B$5:$B$204&gt;$B11)*(B_Drainage!$I$5:$I$204&lt;&gt;"")),IF(UPPER(B_Drainage!$I$5:$I$204)="Y",1,"")),"")</f>
        <v/>
      </c>
      <c r="AA11" s="181" t="str">
        <f>IFERROR(LOOKUP(2,1/((B_Drainage!$A$5:$A$204&lt;&gt;"")*(B_Drainage!$A$5:$A$204&lt;=$B11)*(B_Drainage!$B$5:$B$204&gt;$B11)*(B_Drainage!$J$5:$J$204&lt;&gt;"")),IF(UPPER(B_Drainage!$J$5:$J$204)="Y",1,"")),"")</f>
        <v/>
      </c>
      <c r="AB11" s="182" t="str">
        <f>IFERROR(LOOKUP(2,1/((B_Drainage!$A$5:$A$204&lt;&gt;"")*(B_Drainage!$A$5:$A$204&lt;=$B11)*(B_Drainage!$B$5:$B$204&gt;$B11)*(B_Drainage!$K$5:$K$204&lt;&gt;"")),IF(B_Drainage!$K$5:$K$204="-","",B_Drainage!$K$5:$K$204)),"")</f>
        <v/>
      </c>
      <c r="AC11" s="182" t="str">
        <f>IFERROR(LOOKUP(2,1/((B_Drainage!$A$5:$A$204&lt;&gt;"")*(B_Drainage!$A$5:$A$204&lt;=$B11)*(B_Drainage!$B$5:$B$204&gt;$B11)*(B_Drainage!$L$5:$L$204&lt;&gt;"")),IF(B_Drainage!$L$5:$L$204="-","",B_Drainage!$L$5:$L$204)),"")</f>
        <v/>
      </c>
      <c r="AD11" s="182" t="str">
        <f>IFERROR(LOOKUP(2,1/((D_Points!$A$5:$A$204&lt;&gt;"")*(D_Points!$A$5:$A$204&gt;=$B11)*(D_Points!$A$5:$A$204&lt;$B11+P_Interval)*(UPPER(TRIM(D_Points!$B$5:$B$204))="TURNOUT_L")*(D_Points!$H$5:$H$204&lt;&gt;"")),D_Points!$H$5:$H$204),"")</f>
        <v/>
      </c>
      <c r="AE11" s="182" t="str">
        <f>IFERROR(LOOKUP(2,1/((D_Points!$A$5:$A$204&lt;&gt;"")*(D_Points!$A$5:$A$204&gt;=$B11)*(D_Points!$A$5:$A$204&lt;$B11+P_Interval)*(UPPER(TRIM(D_Points!$B$5:$B$204))="TURNOUT_R")*(D_Points!$H$5:$H$204&lt;&gt;"")),D_Points!$H$5:$H$204),"")</f>
        <v/>
      </c>
      <c r="AF11" s="181" t="str">
        <f>IFERROR(LOOKUP(2,1/((B_Drainage!$A$5:$A$204&lt;&gt;"")*(B_Drainage!$A$5:$A$204&lt;=$B11)*(B_Drainage!$B$5:$B$204&gt;$B11)*(B_Drainage!$M$5:$M$204&lt;&gt;"")),IF(UPPER(B_Drainage!$M$5:$M$204)="Y",1,"")),"")</f>
        <v/>
      </c>
      <c r="AG11" s="181" t="str">
        <f>IFERROR(LOOKUP(2,1/((B_Drainage!$A$5:$A$204&lt;&gt;"")*(B_Drainage!$A$5:$A$204&lt;=$B11)*(B_Drainage!$B$5:$B$204&gt;$B11)*(B_Drainage!$N$5:$N$204&lt;&gt;"")),IF(UPPER(B_Drainage!$N$5:$N$204)="Y",1,"")),"")</f>
        <v/>
      </c>
      <c r="AH11" s="181" t="str">
        <f t="shared" si="0"/>
        <v/>
      </c>
      <c r="AI11" s="181" t="str">
        <f t="shared" si="1"/>
        <v/>
      </c>
      <c r="AJ11" s="181" t="str">
        <f t="shared" si="2"/>
        <v/>
      </c>
      <c r="AK11" s="181" t="str">
        <f t="shared" si="3"/>
        <v/>
      </c>
      <c r="AL11" s="181" t="str">
        <f t="shared" si="4"/>
        <v/>
      </c>
      <c r="AM11" s="181" t="str">
        <f t="shared" si="5"/>
        <v/>
      </c>
      <c r="AN11" s="181" t="str">
        <f t="shared" si="6"/>
        <v/>
      </c>
      <c r="AO11" s="192" t="str">
        <f t="shared" si="7"/>
        <v/>
      </c>
      <c r="AQ11" t="str">
        <f>IFERROR(LOOKUP(2,1/((C_Pavement!$A$5:$A$204&lt;&gt;"")*(C_Pavement!$A$5:$A$204&lt;=$B11)*(C_Pavement!$B$5:$B$204&gt;$B11)*(C_Pavement!$C$5:$C$204&lt;&gt;"")),ROW(C_Pavement!$C$5:$C$204)-4),"")</f>
        <v/>
      </c>
      <c r="AR11" t="str">
        <f>IF($AQ11="","",UPPER(TRIM(INDEX(C_Pavement!$C$5:$C$204,$AQ11))))</f>
        <v/>
      </c>
      <c r="AS11" t="str">
        <f>IF($AR11="","",IFERROR(MATCH($AR11,E_Rules!$A$5:$A$9,0),""))</f>
        <v/>
      </c>
      <c r="AT11" t="str">
        <f>IF($AQ11="","",IF(INDEX(C_Pavement!$D$5:$D$204,$AQ11)&lt;&gt;"",UPPER(TRIM(INDEX(C_Pavement!$D$5:$D$204,$AQ11))),IF($AS11="","",INDEX(E_Rules!$C$5:$C$9,$AS11))))</f>
        <v/>
      </c>
      <c r="AU11" t="str">
        <f>IF($AQ11="","",IF(INDEX(C_Pavement!$E$5:$E$204,$AQ11)&lt;&gt;"",IF(INDEX(C_Pavement!$E$5:$E$204,$AQ11)="-","",INDEX(C_Pavement!$E$5:$E$204,$AQ11)),IF($AS11="","",INDEX(E_Rules!$D$5:$D$9,$AS11))))</f>
        <v/>
      </c>
      <c r="AV11" t="str">
        <f>IF($AQ11="","",IF(INDEX(C_Pavement!$F$5:$F$204,$AQ11)&lt;&gt;"",IF(INDEX(C_Pavement!$F$5:$F$204,$AQ11)="-","",INDEX(C_Pavement!$F$5:$F$204,$AQ11)),IF($AS11="","",INDEX(E_Rules!$E$5:$E$9,$AS11))))</f>
        <v/>
      </c>
      <c r="AW11" t="str">
        <f>IF($AQ11="","",IF(INDEX(C_Pavement!$G$5:$G$204,$AQ11)&lt;&gt;"",IF(INDEX(C_Pavement!$G$5:$G$204,$AQ11)="-","",INDEX(C_Pavement!$G$5:$G$204,$AQ11)),IF($AS11="","",INDEX(E_Rules!$F$5:$F$9,$AS11))))</f>
        <v/>
      </c>
      <c r="AX11" t="str">
        <f>IF($AQ11="","",IF(INDEX(C_Pavement!$H$5:$H$204,$AQ11)&lt;&gt;"",IF(INDEX(C_Pavement!$H$5:$H$204,$AQ11)="-","",INDEX(C_Pavement!$H$5:$H$204,$AQ11)),IF($AS11="","",INDEX(E_Rules!$G$5:$G$9,$AS11))))</f>
        <v/>
      </c>
      <c r="AY11" t="str">
        <f>IF($AQ11="","",IF(INDEX(C_Pavement!$I$5:$I$204,$AQ11)&lt;&gt;"",IF(INDEX(C_Pavement!$I$5:$I$204,$AQ11)="-","",INDEX(C_Pavement!$I$5:$I$204,$AQ11)),IF($AS11="","",INDEX(E_Rules!$H$5:$H$9,$AS11))))</f>
        <v/>
      </c>
    </row>
    <row r="12" spans="1:51" ht="14.4" customHeight="1" x14ac:dyDescent="0.3">
      <c r="A12" s="189">
        <v>7</v>
      </c>
      <c r="B12" s="180">
        <v>300</v>
      </c>
      <c r="C12" s="180" t="s">
        <v>318</v>
      </c>
      <c r="D12" s="181" t="str">
        <f>IFERROR(LOOKUP(2,1/((A_Corridor!$A$5:$A$204&lt;&gt;"")*(A_Corridor!$A$5:$A$204&lt;=$B12)*(A_Corridor!$B$5:$B$204&gt;$B12)*(A_Corridor!$C$5:$C$204&lt;&gt;"")),IF(UPPER(A_Corridor!$C$5:$C$204)="Y",1,"")),"")</f>
        <v/>
      </c>
      <c r="E12" s="181" t="str">
        <f>IFERROR(LOOKUP(2,1/((A_Corridor!$A$5:$A$204&lt;&gt;"")*(A_Corridor!$A$5:$A$204&lt;=$B12)*(A_Corridor!$B$5:$B$204&gt;$B12)*(A_Corridor!$D$5:$D$204&lt;&gt;"")),IF(A_Corridor!$D$5:$D$204="-","",UPPER(A_Corridor!$D$5:$D$204))),"")</f>
        <v/>
      </c>
      <c r="F12" s="181" t="str">
        <f>IFERROR(LOOKUP(2,1/((A_Corridor!$A$5:$A$204&lt;&gt;"")*(A_Corridor!$A$5:$A$204&lt;=$B12)*(A_Corridor!$B$5:$B$204&gt;$B12)*(A_Corridor!$E$5:$E$204&lt;&gt;"")),IF(A_Corridor!$E$5:$E$204="-","",1)),"")</f>
        <v/>
      </c>
      <c r="G12" s="181" t="str">
        <f>IFERROR(LOOKUP(2,1/((A_Corridor!$A$5:$A$204&lt;&gt;"")*(A_Corridor!$A$5:$A$204&lt;=$B12)*(A_Corridor!$B$5:$B$204&gt;$B12)*(A_Corridor!$E$5:$E$204&lt;&gt;"")),IF(A_Corridor!$E$5:$E$204="-","",A_Corridor!$E$5:$E$204)),"")</f>
        <v/>
      </c>
      <c r="H12" s="182" t="str">
        <f>IFERROR(LOOKUP(2,1/((D_Points!$A$5:$A$204&lt;&gt;"")*(D_Points!$A$5:$A$204&gt;=$B12)*(D_Points!$A$5:$A$204&lt;$B12+P_Interval)*(UPPER(TRIM(D_Points!$B$5:$B$204))="GULLY")*(D_Points!$H$5:$H$204&lt;&gt;"")),D_Points!$H$5:$H$204),"")</f>
        <v/>
      </c>
      <c r="I12" s="181" t="str">
        <f>IFERROR(LOOKUP(2,1/((A_Corridor!$A$5:$A$204&lt;&gt;"")*(A_Corridor!$A$5:$A$204&lt;=$B12)*(A_Corridor!$B$5:$B$204&gt;$B12)*(A_Corridor!$F$5:$F$204&lt;&gt;"")),IF(A_Corridor!$F$5:$F$204="-","",1)),"")</f>
        <v/>
      </c>
      <c r="J12" s="182" t="str">
        <f>IFERROR(LOOKUP(2,1/((A_Corridor!$A$5:$A$204&lt;&gt;"")*(A_Corridor!$A$5:$A$204&lt;=$B12)*(A_Corridor!$B$5:$B$204&gt;$B12)*(A_Corridor!$F$5:$F$204&lt;&gt;"")),IF(A_Corridor!$F$5:$F$204="-","",A_Corridor!$F$5:$F$204)),"")</f>
        <v/>
      </c>
      <c r="K12" s="182" t="str">
        <f>IFERROR(LOOKUP(2,1/((A_Corridor!$A$5:$A$204&lt;&gt;"")*(A_Corridor!$A$5:$A$204&lt;=$B12)*(A_Corridor!$B$5:$B$204&gt;$B12)*(A_Corridor!$G$5:$G$204&lt;&gt;"")),IF(A_Corridor!$G$5:$G$204="-","",A_Corridor!$G$5:$G$204)),"")</f>
        <v/>
      </c>
      <c r="L12" s="181" t="str">
        <f>IFERROR(LOOKUP(2,1/((A_Corridor!$A$5:$A$204&lt;&gt;"")*(A_Corridor!$A$5:$A$204&lt;=$B12)*(A_Corridor!$B$5:$B$204&gt;$B12)*(A_Corridor!$H$5:$H$204&lt;&gt;"")),IF(A_Corridor!$H$5:$H$204="-","",1)),"")</f>
        <v/>
      </c>
      <c r="M12" s="181" t="str">
        <f>IFERROR(LOOKUP(2,1/((A_Corridor!$A$5:$A$204&lt;&gt;"")*(A_Corridor!$A$5:$A$204&lt;=$B12)*(A_Corridor!$B$5:$B$204&gt;$B12)*(A_Corridor!$H$5:$H$204&lt;&gt;"")),IF(A_Corridor!$H$5:$H$204="-","",A_Corridor!$H$5:$H$204)),"")</f>
        <v/>
      </c>
      <c r="N12" s="181" t="str">
        <f>IFERROR(LOOKUP(2,1/((A_Corridor!$A$5:$A$204&lt;&gt;"")*(A_Corridor!$A$5:$A$204&lt;=$B12)*(A_Corridor!$B$5:$B$204&gt;$B12)*(A_Corridor!$I$5:$I$204&lt;&gt;"")),IF(A_Corridor!$I$5:$I$204="-","",A_Corridor!$I$5:$I$204)),"")</f>
        <v/>
      </c>
      <c r="O12" s="182" t="str">
        <f>IFERROR(LOOKUP(2,1/((D_Points!$A$5:$A$204&lt;&gt;"")*(D_Points!$A$5:$A$204&gt;=$B12)*(D_Points!$A$5:$A$204&lt;$B12+P_Interval)*(UPPER(TRIM(D_Points!$B$5:$B$204))="PITCHING")*(D_Points!$H$5:$H$204&lt;&gt;"")),D_Points!$H$5:$H$204),"")</f>
        <v/>
      </c>
      <c r="P12" s="181" t="str">
        <f>IFERROR(LOOKUP(2,1/((B_Drainage!$A$5:$A$204&lt;&gt;"")*(B_Drainage!$A$5:$A$204&lt;=$B12)*(B_Drainage!$B$5:$B$204&gt;$B12)*(B_Drainage!$C$5:$C$204&lt;&gt;"")),IF(B_Drainage!$C$5:$C$204="-","",UPPER(B_Drainage!$C$5:$C$204))),"")</f>
        <v/>
      </c>
      <c r="Q12" s="181" t="str">
        <f>IFERROR(LOOKUP(2,1/((B_Drainage!$A$5:$A$204&lt;&gt;"")*(B_Drainage!$A$5:$A$204&lt;=$B12)*(B_Drainage!$B$5:$B$204&gt;$B12)*(B_Drainage!$D$5:$D$204&lt;&gt;"")),IF(B_Drainage!$D$5:$D$204="-","",UPPER(B_Drainage!$D$5:$D$204))),"")</f>
        <v/>
      </c>
      <c r="R12" s="182" t="str">
        <f>IFERROR(LOOKUP(2,1/((D_Points!$A$5:$A$204&lt;&gt;"")*(D_Points!$A$5:$A$204&gt;=$B12)*(D_Points!$A$5:$A$204&lt;$B12+P_Interval)*(RIGHT(UPPER(TRIM(D_Points!$B$5:$B$204)),8)="_CULVERT")),IF(LEFT(UPPER(TRIM(D_Points!$B$5:$B$204)),2)="EX",1,IF(LEFT(UPPER(TRIM(D_Points!$B$5:$B$204)),2)="PR",2,3))),"")</f>
        <v/>
      </c>
      <c r="S12" s="182" t="str">
        <f>IFERROR(LOOKUP(2,1/((D_Points!$A$5:$A$204&lt;&gt;"")*(D_Points!$A$5:$A$204&gt;=$B12)*(D_Points!$A$5:$A$204&lt;$B12+P_Interval)*(RIGHT(UPPER(TRIM(D_Points!$B$5:$B$204)),7)="_BRIDGE")),IF(LEFT(UPPER(TRIM(D_Points!$B$5:$B$204)),2)="EX",1,IF(LEFT(UPPER(TRIM(D_Points!$B$5:$B$204)),2)="PR",2,2))),"")</f>
        <v/>
      </c>
      <c r="T12" s="181" t="str">
        <f>IFERROR(LOOKUP(2,1/((B_Drainage!$A$5:$A$204&lt;&gt;"")*(B_Drainage!$A$5:$A$204&lt;=$B12)*(B_Drainage!$B$5:$B$204&gt;$B12)*(B_Drainage!$E$5:$E$204&lt;&gt;"")),IF(B_Drainage!$E$5:$E$204="-","",1)),"")</f>
        <v/>
      </c>
      <c r="U12" s="181" t="str">
        <f>IFERROR(LOOKUP(2,1/((B_Drainage!$A$5:$A$204&lt;&gt;"")*(B_Drainage!$A$5:$A$204&lt;=$B12)*(B_Drainage!$B$5:$B$204&gt;$B12)*(B_Drainage!$E$5:$E$204&lt;&gt;"")),IF(B_Drainage!$E$5:$E$204="-","",B_Drainage!$E$5:$E$204)),"")</f>
        <v/>
      </c>
      <c r="V12" s="181" t="str">
        <f>IFERROR(LOOKUP(2,1/((B_Drainage!$A$5:$A$204&lt;&gt;"")*(B_Drainage!$A$5:$A$204&lt;=$B12)*(B_Drainage!$B$5:$B$204&gt;$B12)*(B_Drainage!$F$5:$F$204&lt;&gt;"")),IF(B_Drainage!$F$5:$F$204="-","",1)),"")</f>
        <v/>
      </c>
      <c r="W12" s="181" t="str">
        <f>IFERROR(LOOKUP(2,1/((B_Drainage!$A$5:$A$204&lt;&gt;"")*(B_Drainage!$A$5:$A$204&lt;=$B12)*(B_Drainage!$B$5:$B$204&gt;$B12)*(B_Drainage!$F$5:$F$204&lt;&gt;"")),IF(B_Drainage!$F$5:$F$204="-","",B_Drainage!$F$5:$F$204)),"")</f>
        <v/>
      </c>
      <c r="X12" s="181" t="str">
        <f>IFERROR(LOOKUP(2,1/((B_Drainage!$A$5:$A$204&lt;&gt;"")*(B_Drainage!$A$5:$A$204&lt;=$B12)*(B_Drainage!$B$5:$B$204&gt;$B12)*(B_Drainage!$G$5:$G$204&lt;&gt;"")),IF(UPPER(B_Drainage!$G$5:$G$204)="Y",1,"")),"")</f>
        <v/>
      </c>
      <c r="Y12" s="181" t="str">
        <f>IFERROR(LOOKUP(2,1/((B_Drainage!$A$5:$A$204&lt;&gt;"")*(B_Drainage!$A$5:$A$204&lt;=$B12)*(B_Drainage!$B$5:$B$204&gt;$B12)*(B_Drainage!$H$5:$H$204&lt;&gt;"")),IF(UPPER(B_Drainage!$H$5:$H$204)="Y",1,"")),"")</f>
        <v/>
      </c>
      <c r="Z12" s="181" t="str">
        <f>IFERROR(LOOKUP(2,1/((B_Drainage!$A$5:$A$204&lt;&gt;"")*(B_Drainage!$A$5:$A$204&lt;=$B12)*(B_Drainage!$B$5:$B$204&gt;$B12)*(B_Drainage!$I$5:$I$204&lt;&gt;"")),IF(UPPER(B_Drainage!$I$5:$I$204)="Y",1,"")),"")</f>
        <v/>
      </c>
      <c r="AA12" s="181" t="str">
        <f>IFERROR(LOOKUP(2,1/((B_Drainage!$A$5:$A$204&lt;&gt;"")*(B_Drainage!$A$5:$A$204&lt;=$B12)*(B_Drainage!$B$5:$B$204&gt;$B12)*(B_Drainage!$J$5:$J$204&lt;&gt;"")),IF(UPPER(B_Drainage!$J$5:$J$204)="Y",1,"")),"")</f>
        <v/>
      </c>
      <c r="AB12" s="182" t="str">
        <f>IFERROR(LOOKUP(2,1/((B_Drainage!$A$5:$A$204&lt;&gt;"")*(B_Drainage!$A$5:$A$204&lt;=$B12)*(B_Drainage!$B$5:$B$204&gt;$B12)*(B_Drainage!$K$5:$K$204&lt;&gt;"")),IF(B_Drainage!$K$5:$K$204="-","",B_Drainage!$K$5:$K$204)),"")</f>
        <v/>
      </c>
      <c r="AC12" s="182" t="str">
        <f>IFERROR(LOOKUP(2,1/((B_Drainage!$A$5:$A$204&lt;&gt;"")*(B_Drainage!$A$5:$A$204&lt;=$B12)*(B_Drainage!$B$5:$B$204&gt;$B12)*(B_Drainage!$L$5:$L$204&lt;&gt;"")),IF(B_Drainage!$L$5:$L$204="-","",B_Drainage!$L$5:$L$204)),"")</f>
        <v/>
      </c>
      <c r="AD12" s="182" t="str">
        <f>IFERROR(LOOKUP(2,1/((D_Points!$A$5:$A$204&lt;&gt;"")*(D_Points!$A$5:$A$204&gt;=$B12)*(D_Points!$A$5:$A$204&lt;$B12+P_Interval)*(UPPER(TRIM(D_Points!$B$5:$B$204))="TURNOUT_L")*(D_Points!$H$5:$H$204&lt;&gt;"")),D_Points!$H$5:$H$204),"")</f>
        <v/>
      </c>
      <c r="AE12" s="182" t="str">
        <f>IFERROR(LOOKUP(2,1/((D_Points!$A$5:$A$204&lt;&gt;"")*(D_Points!$A$5:$A$204&gt;=$B12)*(D_Points!$A$5:$A$204&lt;$B12+P_Interval)*(UPPER(TRIM(D_Points!$B$5:$B$204))="TURNOUT_R")*(D_Points!$H$5:$H$204&lt;&gt;"")),D_Points!$H$5:$H$204),"")</f>
        <v/>
      </c>
      <c r="AF12" s="181" t="str">
        <f>IFERROR(LOOKUP(2,1/((B_Drainage!$A$5:$A$204&lt;&gt;"")*(B_Drainage!$A$5:$A$204&lt;=$B12)*(B_Drainage!$B$5:$B$204&gt;$B12)*(B_Drainage!$M$5:$M$204&lt;&gt;"")),IF(UPPER(B_Drainage!$M$5:$M$204)="Y",1,"")),"")</f>
        <v/>
      </c>
      <c r="AG12" s="181" t="str">
        <f>IFERROR(LOOKUP(2,1/((B_Drainage!$A$5:$A$204&lt;&gt;"")*(B_Drainage!$A$5:$A$204&lt;=$B12)*(B_Drainage!$B$5:$B$204&gt;$B12)*(B_Drainage!$N$5:$N$204&lt;&gt;"")),IF(UPPER(B_Drainage!$N$5:$N$204)="Y",1,"")),"")</f>
        <v/>
      </c>
      <c r="AH12" s="181" t="str">
        <f t="shared" si="0"/>
        <v/>
      </c>
      <c r="AI12" s="181" t="str">
        <f t="shared" si="1"/>
        <v/>
      </c>
      <c r="AJ12" s="181" t="str">
        <f t="shared" si="2"/>
        <v/>
      </c>
      <c r="AK12" s="181" t="str">
        <f t="shared" si="3"/>
        <v/>
      </c>
      <c r="AL12" s="181" t="str">
        <f t="shared" si="4"/>
        <v/>
      </c>
      <c r="AM12" s="181" t="str">
        <f t="shared" si="5"/>
        <v/>
      </c>
      <c r="AN12" s="181" t="str">
        <f t="shared" si="6"/>
        <v/>
      </c>
      <c r="AO12" s="192" t="str">
        <f t="shared" si="7"/>
        <v/>
      </c>
      <c r="AQ12" t="str">
        <f>IFERROR(LOOKUP(2,1/((C_Pavement!$A$5:$A$204&lt;&gt;"")*(C_Pavement!$A$5:$A$204&lt;=$B12)*(C_Pavement!$B$5:$B$204&gt;$B12)*(C_Pavement!$C$5:$C$204&lt;&gt;"")),ROW(C_Pavement!$C$5:$C$204)-4),"")</f>
        <v/>
      </c>
      <c r="AR12" t="str">
        <f>IF($AQ12="","",UPPER(TRIM(INDEX(C_Pavement!$C$5:$C$204,$AQ12))))</f>
        <v/>
      </c>
      <c r="AS12" t="str">
        <f>IF($AR12="","",IFERROR(MATCH($AR12,E_Rules!$A$5:$A$9,0),""))</f>
        <v/>
      </c>
      <c r="AT12" t="str">
        <f>IF($AQ12="","",IF(INDEX(C_Pavement!$D$5:$D$204,$AQ12)&lt;&gt;"",UPPER(TRIM(INDEX(C_Pavement!$D$5:$D$204,$AQ12))),IF($AS12="","",INDEX(E_Rules!$C$5:$C$9,$AS12))))</f>
        <v/>
      </c>
      <c r="AU12" t="str">
        <f>IF($AQ12="","",IF(INDEX(C_Pavement!$E$5:$E$204,$AQ12)&lt;&gt;"",IF(INDEX(C_Pavement!$E$5:$E$204,$AQ12)="-","",INDEX(C_Pavement!$E$5:$E$204,$AQ12)),IF($AS12="","",INDEX(E_Rules!$D$5:$D$9,$AS12))))</f>
        <v/>
      </c>
      <c r="AV12" t="str">
        <f>IF($AQ12="","",IF(INDEX(C_Pavement!$F$5:$F$204,$AQ12)&lt;&gt;"",IF(INDEX(C_Pavement!$F$5:$F$204,$AQ12)="-","",INDEX(C_Pavement!$F$5:$F$204,$AQ12)),IF($AS12="","",INDEX(E_Rules!$E$5:$E$9,$AS12))))</f>
        <v/>
      </c>
      <c r="AW12" t="str">
        <f>IF($AQ12="","",IF(INDEX(C_Pavement!$G$5:$G$204,$AQ12)&lt;&gt;"",IF(INDEX(C_Pavement!$G$5:$G$204,$AQ12)="-","",INDEX(C_Pavement!$G$5:$G$204,$AQ12)),IF($AS12="","",INDEX(E_Rules!$F$5:$F$9,$AS12))))</f>
        <v/>
      </c>
      <c r="AX12" t="str">
        <f>IF($AQ12="","",IF(INDEX(C_Pavement!$H$5:$H$204,$AQ12)&lt;&gt;"",IF(INDEX(C_Pavement!$H$5:$H$204,$AQ12)="-","",INDEX(C_Pavement!$H$5:$H$204,$AQ12)),IF($AS12="","",INDEX(E_Rules!$G$5:$G$9,$AS12))))</f>
        <v/>
      </c>
      <c r="AY12" t="str">
        <f>IF($AQ12="","",IF(INDEX(C_Pavement!$I$5:$I$204,$AQ12)&lt;&gt;"",IF(INDEX(C_Pavement!$I$5:$I$204,$AQ12)="-","",INDEX(C_Pavement!$I$5:$I$204,$AQ12)),IF($AS12="","",INDEX(E_Rules!$H$5:$H$9,$AS12))))</f>
        <v/>
      </c>
    </row>
    <row r="13" spans="1:51" ht="14.4" customHeight="1" x14ac:dyDescent="0.3">
      <c r="A13" s="189">
        <v>8</v>
      </c>
      <c r="B13" s="180">
        <v>350</v>
      </c>
      <c r="C13" s="180" t="s">
        <v>319</v>
      </c>
      <c r="D13" s="181" t="str">
        <f>IFERROR(LOOKUP(2,1/((A_Corridor!$A$5:$A$204&lt;&gt;"")*(A_Corridor!$A$5:$A$204&lt;=$B13)*(A_Corridor!$B$5:$B$204&gt;$B13)*(A_Corridor!$C$5:$C$204&lt;&gt;"")),IF(UPPER(A_Corridor!$C$5:$C$204)="Y",1,"")),"")</f>
        <v/>
      </c>
      <c r="E13" s="181" t="str">
        <f>IFERROR(LOOKUP(2,1/((A_Corridor!$A$5:$A$204&lt;&gt;"")*(A_Corridor!$A$5:$A$204&lt;=$B13)*(A_Corridor!$B$5:$B$204&gt;$B13)*(A_Corridor!$D$5:$D$204&lt;&gt;"")),IF(A_Corridor!$D$5:$D$204="-","",UPPER(A_Corridor!$D$5:$D$204))),"")</f>
        <v/>
      </c>
      <c r="F13" s="181" t="str">
        <f>IFERROR(LOOKUP(2,1/((A_Corridor!$A$5:$A$204&lt;&gt;"")*(A_Corridor!$A$5:$A$204&lt;=$B13)*(A_Corridor!$B$5:$B$204&gt;$B13)*(A_Corridor!$E$5:$E$204&lt;&gt;"")),IF(A_Corridor!$E$5:$E$204="-","",1)),"")</f>
        <v/>
      </c>
      <c r="G13" s="182" t="str">
        <f>IFERROR(LOOKUP(2,1/((A_Corridor!$A$5:$A$204&lt;&gt;"")*(A_Corridor!$A$5:$A$204&lt;=$B13)*(A_Corridor!$B$5:$B$204&gt;$B13)*(A_Corridor!$E$5:$E$204&lt;&gt;"")),IF(A_Corridor!$E$5:$E$204="-","",A_Corridor!$E$5:$E$204)),"")</f>
        <v/>
      </c>
      <c r="H13" s="181" t="str">
        <f>IFERROR(LOOKUP(2,1/((D_Points!$A$5:$A$204&lt;&gt;"")*(D_Points!$A$5:$A$204&gt;=$B13)*(D_Points!$A$5:$A$204&lt;$B13+P_Interval)*(UPPER(TRIM(D_Points!$B$5:$B$204))="GULLY")*(D_Points!$H$5:$H$204&lt;&gt;"")),D_Points!$H$5:$H$204),"")</f>
        <v/>
      </c>
      <c r="I13" s="181" t="str">
        <f>IFERROR(LOOKUP(2,1/((A_Corridor!$A$5:$A$204&lt;&gt;"")*(A_Corridor!$A$5:$A$204&lt;=$B13)*(A_Corridor!$B$5:$B$204&gt;$B13)*(A_Corridor!$F$5:$F$204&lt;&gt;"")),IF(A_Corridor!$F$5:$F$204="-","",1)),"")</f>
        <v/>
      </c>
      <c r="J13" s="182" t="str">
        <f>IFERROR(LOOKUP(2,1/((A_Corridor!$A$5:$A$204&lt;&gt;"")*(A_Corridor!$A$5:$A$204&lt;=$B13)*(A_Corridor!$B$5:$B$204&gt;$B13)*(A_Corridor!$F$5:$F$204&lt;&gt;"")),IF(A_Corridor!$F$5:$F$204="-","",A_Corridor!$F$5:$F$204)),"")</f>
        <v/>
      </c>
      <c r="K13" s="182" t="str">
        <f>IFERROR(LOOKUP(2,1/((A_Corridor!$A$5:$A$204&lt;&gt;"")*(A_Corridor!$A$5:$A$204&lt;=$B13)*(A_Corridor!$B$5:$B$204&gt;$B13)*(A_Corridor!$G$5:$G$204&lt;&gt;"")),IF(A_Corridor!$G$5:$G$204="-","",A_Corridor!$G$5:$G$204)),"")</f>
        <v/>
      </c>
      <c r="L13" s="181" t="str">
        <f>IFERROR(LOOKUP(2,1/((A_Corridor!$A$5:$A$204&lt;&gt;"")*(A_Corridor!$A$5:$A$204&lt;=$B13)*(A_Corridor!$B$5:$B$204&gt;$B13)*(A_Corridor!$H$5:$H$204&lt;&gt;"")),IF(A_Corridor!$H$5:$H$204="-","",1)),"")</f>
        <v/>
      </c>
      <c r="M13" s="181" t="str">
        <f>IFERROR(LOOKUP(2,1/((A_Corridor!$A$5:$A$204&lt;&gt;"")*(A_Corridor!$A$5:$A$204&lt;=$B13)*(A_Corridor!$B$5:$B$204&gt;$B13)*(A_Corridor!$H$5:$H$204&lt;&gt;"")),IF(A_Corridor!$H$5:$H$204="-","",A_Corridor!$H$5:$H$204)),"")</f>
        <v/>
      </c>
      <c r="N13" s="181" t="str">
        <f>IFERROR(LOOKUP(2,1/((A_Corridor!$A$5:$A$204&lt;&gt;"")*(A_Corridor!$A$5:$A$204&lt;=$B13)*(A_Corridor!$B$5:$B$204&gt;$B13)*(A_Corridor!$I$5:$I$204&lt;&gt;"")),IF(A_Corridor!$I$5:$I$204="-","",A_Corridor!$I$5:$I$204)),"")</f>
        <v/>
      </c>
      <c r="O13" s="182" t="str">
        <f>IFERROR(LOOKUP(2,1/((D_Points!$A$5:$A$204&lt;&gt;"")*(D_Points!$A$5:$A$204&gt;=$B13)*(D_Points!$A$5:$A$204&lt;$B13+P_Interval)*(UPPER(TRIM(D_Points!$B$5:$B$204))="PITCHING")*(D_Points!$H$5:$H$204&lt;&gt;"")),D_Points!$H$5:$H$204),"")</f>
        <v/>
      </c>
      <c r="P13" s="181" t="str">
        <f>IFERROR(LOOKUP(2,1/((B_Drainage!$A$5:$A$204&lt;&gt;"")*(B_Drainage!$A$5:$A$204&lt;=$B13)*(B_Drainage!$B$5:$B$204&gt;$B13)*(B_Drainage!$C$5:$C$204&lt;&gt;"")),IF(B_Drainage!$C$5:$C$204="-","",UPPER(B_Drainage!$C$5:$C$204))),"")</f>
        <v/>
      </c>
      <c r="Q13" s="181" t="str">
        <f>IFERROR(LOOKUP(2,1/((B_Drainage!$A$5:$A$204&lt;&gt;"")*(B_Drainage!$A$5:$A$204&lt;=$B13)*(B_Drainage!$B$5:$B$204&gt;$B13)*(B_Drainage!$D$5:$D$204&lt;&gt;"")),IF(B_Drainage!$D$5:$D$204="-","",UPPER(B_Drainage!$D$5:$D$204))),"")</f>
        <v/>
      </c>
      <c r="R13" s="182" t="str">
        <f>IFERROR(LOOKUP(2,1/((D_Points!$A$5:$A$204&lt;&gt;"")*(D_Points!$A$5:$A$204&gt;=$B13)*(D_Points!$A$5:$A$204&lt;$B13+P_Interval)*(RIGHT(UPPER(TRIM(D_Points!$B$5:$B$204)),8)="_CULVERT")),IF(LEFT(UPPER(TRIM(D_Points!$B$5:$B$204)),2)="EX",1,IF(LEFT(UPPER(TRIM(D_Points!$B$5:$B$204)),2)="PR",2,3))),"")</f>
        <v/>
      </c>
      <c r="S13" s="182" t="str">
        <f>IFERROR(LOOKUP(2,1/((D_Points!$A$5:$A$204&lt;&gt;"")*(D_Points!$A$5:$A$204&gt;=$B13)*(D_Points!$A$5:$A$204&lt;$B13+P_Interval)*(RIGHT(UPPER(TRIM(D_Points!$B$5:$B$204)),7)="_BRIDGE")),IF(LEFT(UPPER(TRIM(D_Points!$B$5:$B$204)),2)="EX",1,IF(LEFT(UPPER(TRIM(D_Points!$B$5:$B$204)),2)="PR",2,2))),"")</f>
        <v/>
      </c>
      <c r="T13" s="181" t="str">
        <f>IFERROR(LOOKUP(2,1/((B_Drainage!$A$5:$A$204&lt;&gt;"")*(B_Drainage!$A$5:$A$204&lt;=$B13)*(B_Drainage!$B$5:$B$204&gt;$B13)*(B_Drainage!$E$5:$E$204&lt;&gt;"")),IF(B_Drainage!$E$5:$E$204="-","",1)),"")</f>
        <v/>
      </c>
      <c r="U13" s="181" t="str">
        <f>IFERROR(LOOKUP(2,1/((B_Drainage!$A$5:$A$204&lt;&gt;"")*(B_Drainage!$A$5:$A$204&lt;=$B13)*(B_Drainage!$B$5:$B$204&gt;$B13)*(B_Drainage!$E$5:$E$204&lt;&gt;"")),IF(B_Drainage!$E$5:$E$204="-","",B_Drainage!$E$5:$E$204)),"")</f>
        <v/>
      </c>
      <c r="V13" s="181" t="str">
        <f>IFERROR(LOOKUP(2,1/((B_Drainage!$A$5:$A$204&lt;&gt;"")*(B_Drainage!$A$5:$A$204&lt;=$B13)*(B_Drainage!$B$5:$B$204&gt;$B13)*(B_Drainage!$F$5:$F$204&lt;&gt;"")),IF(B_Drainage!$F$5:$F$204="-","",1)),"")</f>
        <v/>
      </c>
      <c r="W13" s="181" t="str">
        <f>IFERROR(LOOKUP(2,1/((B_Drainage!$A$5:$A$204&lt;&gt;"")*(B_Drainage!$A$5:$A$204&lt;=$B13)*(B_Drainage!$B$5:$B$204&gt;$B13)*(B_Drainage!$F$5:$F$204&lt;&gt;"")),IF(B_Drainage!$F$5:$F$204="-","",B_Drainage!$F$5:$F$204)),"")</f>
        <v/>
      </c>
      <c r="X13" s="181" t="str">
        <f>IFERROR(LOOKUP(2,1/((B_Drainage!$A$5:$A$204&lt;&gt;"")*(B_Drainage!$A$5:$A$204&lt;=$B13)*(B_Drainage!$B$5:$B$204&gt;$B13)*(B_Drainage!$G$5:$G$204&lt;&gt;"")),IF(UPPER(B_Drainage!$G$5:$G$204)="Y",1,"")),"")</f>
        <v/>
      </c>
      <c r="Y13" s="181" t="str">
        <f>IFERROR(LOOKUP(2,1/((B_Drainage!$A$5:$A$204&lt;&gt;"")*(B_Drainage!$A$5:$A$204&lt;=$B13)*(B_Drainage!$B$5:$B$204&gt;$B13)*(B_Drainage!$H$5:$H$204&lt;&gt;"")),IF(UPPER(B_Drainage!$H$5:$H$204)="Y",1,"")),"")</f>
        <v/>
      </c>
      <c r="Z13" s="181" t="str">
        <f>IFERROR(LOOKUP(2,1/((B_Drainage!$A$5:$A$204&lt;&gt;"")*(B_Drainage!$A$5:$A$204&lt;=$B13)*(B_Drainage!$B$5:$B$204&gt;$B13)*(B_Drainage!$I$5:$I$204&lt;&gt;"")),IF(UPPER(B_Drainage!$I$5:$I$204)="Y",1,"")),"")</f>
        <v/>
      </c>
      <c r="AA13" s="181" t="str">
        <f>IFERROR(LOOKUP(2,1/((B_Drainage!$A$5:$A$204&lt;&gt;"")*(B_Drainage!$A$5:$A$204&lt;=$B13)*(B_Drainage!$B$5:$B$204&gt;$B13)*(B_Drainage!$J$5:$J$204&lt;&gt;"")),IF(UPPER(B_Drainage!$J$5:$J$204)="Y",1,"")),"")</f>
        <v/>
      </c>
      <c r="AB13" s="182" t="str">
        <f>IFERROR(LOOKUP(2,1/((B_Drainage!$A$5:$A$204&lt;&gt;"")*(B_Drainage!$A$5:$A$204&lt;=$B13)*(B_Drainage!$B$5:$B$204&gt;$B13)*(B_Drainage!$K$5:$K$204&lt;&gt;"")),IF(B_Drainage!$K$5:$K$204="-","",B_Drainage!$K$5:$K$204)),"")</f>
        <v/>
      </c>
      <c r="AC13" s="182" t="str">
        <f>IFERROR(LOOKUP(2,1/((B_Drainage!$A$5:$A$204&lt;&gt;"")*(B_Drainage!$A$5:$A$204&lt;=$B13)*(B_Drainage!$B$5:$B$204&gt;$B13)*(B_Drainage!$L$5:$L$204&lt;&gt;"")),IF(B_Drainage!$L$5:$L$204="-","",B_Drainage!$L$5:$L$204)),"")</f>
        <v/>
      </c>
      <c r="AD13" s="182" t="str">
        <f>IFERROR(LOOKUP(2,1/((D_Points!$A$5:$A$204&lt;&gt;"")*(D_Points!$A$5:$A$204&gt;=$B13)*(D_Points!$A$5:$A$204&lt;$B13+P_Interval)*(UPPER(TRIM(D_Points!$B$5:$B$204))="TURNOUT_L")*(D_Points!$H$5:$H$204&lt;&gt;"")),D_Points!$H$5:$H$204),"")</f>
        <v/>
      </c>
      <c r="AE13" s="182" t="str">
        <f>IFERROR(LOOKUP(2,1/((D_Points!$A$5:$A$204&lt;&gt;"")*(D_Points!$A$5:$A$204&gt;=$B13)*(D_Points!$A$5:$A$204&lt;$B13+P_Interval)*(UPPER(TRIM(D_Points!$B$5:$B$204))="TURNOUT_R")*(D_Points!$H$5:$H$204&lt;&gt;"")),D_Points!$H$5:$H$204),"")</f>
        <v/>
      </c>
      <c r="AF13" s="181" t="str">
        <f>IFERROR(LOOKUP(2,1/((B_Drainage!$A$5:$A$204&lt;&gt;"")*(B_Drainage!$A$5:$A$204&lt;=$B13)*(B_Drainage!$B$5:$B$204&gt;$B13)*(B_Drainage!$M$5:$M$204&lt;&gt;"")),IF(UPPER(B_Drainage!$M$5:$M$204)="Y",1,"")),"")</f>
        <v/>
      </c>
      <c r="AG13" s="181" t="str">
        <f>IFERROR(LOOKUP(2,1/((B_Drainage!$A$5:$A$204&lt;&gt;"")*(B_Drainage!$A$5:$A$204&lt;=$B13)*(B_Drainage!$B$5:$B$204&gt;$B13)*(B_Drainage!$N$5:$N$204&lt;&gt;"")),IF(UPPER(B_Drainage!$N$5:$N$204)="Y",1,"")),"")</f>
        <v/>
      </c>
      <c r="AH13" s="181" t="str">
        <f t="shared" si="0"/>
        <v/>
      </c>
      <c r="AI13" s="181" t="str">
        <f t="shared" si="1"/>
        <v/>
      </c>
      <c r="AJ13" s="181" t="str">
        <f t="shared" si="2"/>
        <v/>
      </c>
      <c r="AK13" s="181" t="str">
        <f t="shared" si="3"/>
        <v/>
      </c>
      <c r="AL13" s="181" t="str">
        <f t="shared" si="4"/>
        <v/>
      </c>
      <c r="AM13" s="181" t="str">
        <f t="shared" si="5"/>
        <v/>
      </c>
      <c r="AN13" s="181" t="str">
        <f t="shared" si="6"/>
        <v/>
      </c>
      <c r="AO13" s="192" t="str">
        <f t="shared" si="7"/>
        <v/>
      </c>
      <c r="AQ13" t="str">
        <f>IFERROR(LOOKUP(2,1/((C_Pavement!$A$5:$A$204&lt;&gt;"")*(C_Pavement!$A$5:$A$204&lt;=$B13)*(C_Pavement!$B$5:$B$204&gt;$B13)*(C_Pavement!$C$5:$C$204&lt;&gt;"")),ROW(C_Pavement!$C$5:$C$204)-4),"")</f>
        <v/>
      </c>
      <c r="AR13" t="str">
        <f>IF($AQ13="","",UPPER(TRIM(INDEX(C_Pavement!$C$5:$C$204,$AQ13))))</f>
        <v/>
      </c>
      <c r="AS13" t="str">
        <f>IF($AR13="","",IFERROR(MATCH($AR13,E_Rules!$A$5:$A$9,0),""))</f>
        <v/>
      </c>
      <c r="AT13" t="str">
        <f>IF($AQ13="","",IF(INDEX(C_Pavement!$D$5:$D$204,$AQ13)&lt;&gt;"",UPPER(TRIM(INDEX(C_Pavement!$D$5:$D$204,$AQ13))),IF($AS13="","",INDEX(E_Rules!$C$5:$C$9,$AS13))))</f>
        <v/>
      </c>
      <c r="AU13" t="str">
        <f>IF($AQ13="","",IF(INDEX(C_Pavement!$E$5:$E$204,$AQ13)&lt;&gt;"",IF(INDEX(C_Pavement!$E$5:$E$204,$AQ13)="-","",INDEX(C_Pavement!$E$5:$E$204,$AQ13)),IF($AS13="","",INDEX(E_Rules!$D$5:$D$9,$AS13))))</f>
        <v/>
      </c>
      <c r="AV13" t="str">
        <f>IF($AQ13="","",IF(INDEX(C_Pavement!$F$5:$F$204,$AQ13)&lt;&gt;"",IF(INDEX(C_Pavement!$F$5:$F$204,$AQ13)="-","",INDEX(C_Pavement!$F$5:$F$204,$AQ13)),IF($AS13="","",INDEX(E_Rules!$E$5:$E$9,$AS13))))</f>
        <v/>
      </c>
      <c r="AW13" t="str">
        <f>IF($AQ13="","",IF(INDEX(C_Pavement!$G$5:$G$204,$AQ13)&lt;&gt;"",IF(INDEX(C_Pavement!$G$5:$G$204,$AQ13)="-","",INDEX(C_Pavement!$G$5:$G$204,$AQ13)),IF($AS13="","",INDEX(E_Rules!$F$5:$F$9,$AS13))))</f>
        <v/>
      </c>
      <c r="AX13" t="str">
        <f>IF($AQ13="","",IF(INDEX(C_Pavement!$H$5:$H$204,$AQ13)&lt;&gt;"",IF(INDEX(C_Pavement!$H$5:$H$204,$AQ13)="-","",INDEX(C_Pavement!$H$5:$H$204,$AQ13)),IF($AS13="","",INDEX(E_Rules!$G$5:$G$9,$AS13))))</f>
        <v/>
      </c>
      <c r="AY13" t="str">
        <f>IF($AQ13="","",IF(INDEX(C_Pavement!$I$5:$I$204,$AQ13)&lt;&gt;"",IF(INDEX(C_Pavement!$I$5:$I$204,$AQ13)="-","",INDEX(C_Pavement!$I$5:$I$204,$AQ13)),IF($AS13="","",INDEX(E_Rules!$H$5:$H$9,$AS13))))</f>
        <v/>
      </c>
    </row>
    <row r="14" spans="1:51" ht="14.4" customHeight="1" x14ac:dyDescent="0.3">
      <c r="A14" s="189">
        <v>9</v>
      </c>
      <c r="B14" s="180">
        <v>400</v>
      </c>
      <c r="C14" s="180" t="s">
        <v>320</v>
      </c>
      <c r="D14" s="181" t="str">
        <f>IFERROR(LOOKUP(2,1/((A_Corridor!$A$5:$A$204&lt;&gt;"")*(A_Corridor!$A$5:$A$204&lt;=$B14)*(A_Corridor!$B$5:$B$204&gt;$B14)*(A_Corridor!$C$5:$C$204&lt;&gt;"")),IF(UPPER(A_Corridor!$C$5:$C$204)="Y",1,"")),"")</f>
        <v/>
      </c>
      <c r="E14" s="181" t="str">
        <f>IFERROR(LOOKUP(2,1/((A_Corridor!$A$5:$A$204&lt;&gt;"")*(A_Corridor!$A$5:$A$204&lt;=$B14)*(A_Corridor!$B$5:$B$204&gt;$B14)*(A_Corridor!$D$5:$D$204&lt;&gt;"")),IF(A_Corridor!$D$5:$D$204="-","",UPPER(A_Corridor!$D$5:$D$204))),"")</f>
        <v/>
      </c>
      <c r="F14" s="181" t="str">
        <f>IFERROR(LOOKUP(2,1/((A_Corridor!$A$5:$A$204&lt;&gt;"")*(A_Corridor!$A$5:$A$204&lt;=$B14)*(A_Corridor!$B$5:$B$204&gt;$B14)*(A_Corridor!$E$5:$E$204&lt;&gt;"")),IF(A_Corridor!$E$5:$E$204="-","",1)),"")</f>
        <v/>
      </c>
      <c r="G14" s="182" t="str">
        <f>IFERROR(LOOKUP(2,1/((A_Corridor!$A$5:$A$204&lt;&gt;"")*(A_Corridor!$A$5:$A$204&lt;=$B14)*(A_Corridor!$B$5:$B$204&gt;$B14)*(A_Corridor!$E$5:$E$204&lt;&gt;"")),IF(A_Corridor!$E$5:$E$204="-","",A_Corridor!$E$5:$E$204)),"")</f>
        <v/>
      </c>
      <c r="H14" s="182" t="str">
        <f>IFERROR(LOOKUP(2,1/((D_Points!$A$5:$A$204&lt;&gt;"")*(D_Points!$A$5:$A$204&gt;=$B14)*(D_Points!$A$5:$A$204&lt;$B14+P_Interval)*(UPPER(TRIM(D_Points!$B$5:$B$204))="GULLY")*(D_Points!$H$5:$H$204&lt;&gt;"")),D_Points!$H$5:$H$204),"")</f>
        <v/>
      </c>
      <c r="I14" s="181" t="str">
        <f>IFERROR(LOOKUP(2,1/((A_Corridor!$A$5:$A$204&lt;&gt;"")*(A_Corridor!$A$5:$A$204&lt;=$B14)*(A_Corridor!$B$5:$B$204&gt;$B14)*(A_Corridor!$F$5:$F$204&lt;&gt;"")),IF(A_Corridor!$F$5:$F$204="-","",1)),"")</f>
        <v/>
      </c>
      <c r="J14" s="181" t="str">
        <f>IFERROR(LOOKUP(2,1/((A_Corridor!$A$5:$A$204&lt;&gt;"")*(A_Corridor!$A$5:$A$204&lt;=$B14)*(A_Corridor!$B$5:$B$204&gt;$B14)*(A_Corridor!$F$5:$F$204&lt;&gt;"")),IF(A_Corridor!$F$5:$F$204="-","",A_Corridor!$F$5:$F$204)),"")</f>
        <v/>
      </c>
      <c r="K14" s="181" t="str">
        <f>IFERROR(LOOKUP(2,1/((A_Corridor!$A$5:$A$204&lt;&gt;"")*(A_Corridor!$A$5:$A$204&lt;=$B14)*(A_Corridor!$B$5:$B$204&gt;$B14)*(A_Corridor!$G$5:$G$204&lt;&gt;"")),IF(A_Corridor!$G$5:$G$204="-","",A_Corridor!$G$5:$G$204)),"")</f>
        <v/>
      </c>
      <c r="L14" s="181" t="str">
        <f>IFERROR(LOOKUP(2,1/((A_Corridor!$A$5:$A$204&lt;&gt;"")*(A_Corridor!$A$5:$A$204&lt;=$B14)*(A_Corridor!$B$5:$B$204&gt;$B14)*(A_Corridor!$H$5:$H$204&lt;&gt;"")),IF(A_Corridor!$H$5:$H$204="-","",1)),"")</f>
        <v/>
      </c>
      <c r="M14" s="182" t="str">
        <f>IFERROR(LOOKUP(2,1/((A_Corridor!$A$5:$A$204&lt;&gt;"")*(A_Corridor!$A$5:$A$204&lt;=$B14)*(A_Corridor!$B$5:$B$204&gt;$B14)*(A_Corridor!$H$5:$H$204&lt;&gt;"")),IF(A_Corridor!$H$5:$H$204="-","",A_Corridor!$H$5:$H$204)),"")</f>
        <v/>
      </c>
      <c r="N14" s="182" t="str">
        <f>IFERROR(LOOKUP(2,1/((A_Corridor!$A$5:$A$204&lt;&gt;"")*(A_Corridor!$A$5:$A$204&lt;=$B14)*(A_Corridor!$B$5:$B$204&gt;$B14)*(A_Corridor!$I$5:$I$204&lt;&gt;"")),IF(A_Corridor!$I$5:$I$204="-","",A_Corridor!$I$5:$I$204)),"")</f>
        <v/>
      </c>
      <c r="O14" s="182" t="str">
        <f>IFERROR(LOOKUP(2,1/((D_Points!$A$5:$A$204&lt;&gt;"")*(D_Points!$A$5:$A$204&gt;=$B14)*(D_Points!$A$5:$A$204&lt;$B14+P_Interval)*(UPPER(TRIM(D_Points!$B$5:$B$204))="PITCHING")*(D_Points!$H$5:$H$204&lt;&gt;"")),D_Points!$H$5:$H$204),"")</f>
        <v/>
      </c>
      <c r="P14" s="181" t="str">
        <f>IFERROR(LOOKUP(2,1/((B_Drainage!$A$5:$A$204&lt;&gt;"")*(B_Drainage!$A$5:$A$204&lt;=$B14)*(B_Drainage!$B$5:$B$204&gt;$B14)*(B_Drainage!$C$5:$C$204&lt;&gt;"")),IF(B_Drainage!$C$5:$C$204="-","",UPPER(B_Drainage!$C$5:$C$204))),"")</f>
        <v/>
      </c>
      <c r="Q14" s="181" t="str">
        <f>IFERROR(LOOKUP(2,1/((B_Drainage!$A$5:$A$204&lt;&gt;"")*(B_Drainage!$A$5:$A$204&lt;=$B14)*(B_Drainage!$B$5:$B$204&gt;$B14)*(B_Drainage!$D$5:$D$204&lt;&gt;"")),IF(B_Drainage!$D$5:$D$204="-","",UPPER(B_Drainage!$D$5:$D$204))),"")</f>
        <v/>
      </c>
      <c r="R14" s="182" t="str">
        <f>IFERROR(LOOKUP(2,1/((D_Points!$A$5:$A$204&lt;&gt;"")*(D_Points!$A$5:$A$204&gt;=$B14)*(D_Points!$A$5:$A$204&lt;$B14+P_Interval)*(RIGHT(UPPER(TRIM(D_Points!$B$5:$B$204)),8)="_CULVERT")),IF(LEFT(UPPER(TRIM(D_Points!$B$5:$B$204)),2)="EX",1,IF(LEFT(UPPER(TRIM(D_Points!$B$5:$B$204)),2)="PR",2,3))),"")</f>
        <v/>
      </c>
      <c r="S14" s="182" t="str">
        <f>IFERROR(LOOKUP(2,1/((D_Points!$A$5:$A$204&lt;&gt;"")*(D_Points!$A$5:$A$204&gt;=$B14)*(D_Points!$A$5:$A$204&lt;$B14+P_Interval)*(RIGHT(UPPER(TRIM(D_Points!$B$5:$B$204)),7)="_BRIDGE")),IF(LEFT(UPPER(TRIM(D_Points!$B$5:$B$204)),2)="EX",1,IF(LEFT(UPPER(TRIM(D_Points!$B$5:$B$204)),2)="PR",2,2))),"")</f>
        <v/>
      </c>
      <c r="T14" s="181" t="str">
        <f>IFERROR(LOOKUP(2,1/((B_Drainage!$A$5:$A$204&lt;&gt;"")*(B_Drainage!$A$5:$A$204&lt;=$B14)*(B_Drainage!$B$5:$B$204&gt;$B14)*(B_Drainage!$E$5:$E$204&lt;&gt;"")),IF(B_Drainage!$E$5:$E$204="-","",1)),"")</f>
        <v/>
      </c>
      <c r="U14" s="181" t="str">
        <f>IFERROR(LOOKUP(2,1/((B_Drainage!$A$5:$A$204&lt;&gt;"")*(B_Drainage!$A$5:$A$204&lt;=$B14)*(B_Drainage!$B$5:$B$204&gt;$B14)*(B_Drainage!$E$5:$E$204&lt;&gt;"")),IF(B_Drainage!$E$5:$E$204="-","",B_Drainage!$E$5:$E$204)),"")</f>
        <v/>
      </c>
      <c r="V14" s="181" t="str">
        <f>IFERROR(LOOKUP(2,1/((B_Drainage!$A$5:$A$204&lt;&gt;"")*(B_Drainage!$A$5:$A$204&lt;=$B14)*(B_Drainage!$B$5:$B$204&gt;$B14)*(B_Drainage!$F$5:$F$204&lt;&gt;"")),IF(B_Drainage!$F$5:$F$204="-","",1)),"")</f>
        <v/>
      </c>
      <c r="W14" s="181" t="str">
        <f>IFERROR(LOOKUP(2,1/((B_Drainage!$A$5:$A$204&lt;&gt;"")*(B_Drainage!$A$5:$A$204&lt;=$B14)*(B_Drainage!$B$5:$B$204&gt;$B14)*(B_Drainage!$F$5:$F$204&lt;&gt;"")),IF(B_Drainage!$F$5:$F$204="-","",B_Drainage!$F$5:$F$204)),"")</f>
        <v/>
      </c>
      <c r="X14" s="181" t="str">
        <f>IFERROR(LOOKUP(2,1/((B_Drainage!$A$5:$A$204&lt;&gt;"")*(B_Drainage!$A$5:$A$204&lt;=$B14)*(B_Drainage!$B$5:$B$204&gt;$B14)*(B_Drainage!$G$5:$G$204&lt;&gt;"")),IF(UPPER(B_Drainage!$G$5:$G$204)="Y",1,"")),"")</f>
        <v/>
      </c>
      <c r="Y14" s="181" t="str">
        <f>IFERROR(LOOKUP(2,1/((B_Drainage!$A$5:$A$204&lt;&gt;"")*(B_Drainage!$A$5:$A$204&lt;=$B14)*(B_Drainage!$B$5:$B$204&gt;$B14)*(B_Drainage!$H$5:$H$204&lt;&gt;"")),IF(UPPER(B_Drainage!$H$5:$H$204)="Y",1,"")),"")</f>
        <v/>
      </c>
      <c r="Z14" s="181" t="str">
        <f>IFERROR(LOOKUP(2,1/((B_Drainage!$A$5:$A$204&lt;&gt;"")*(B_Drainage!$A$5:$A$204&lt;=$B14)*(B_Drainage!$B$5:$B$204&gt;$B14)*(B_Drainage!$I$5:$I$204&lt;&gt;"")),IF(UPPER(B_Drainage!$I$5:$I$204)="Y",1,"")),"")</f>
        <v/>
      </c>
      <c r="AA14" s="181" t="str">
        <f>IFERROR(LOOKUP(2,1/((B_Drainage!$A$5:$A$204&lt;&gt;"")*(B_Drainage!$A$5:$A$204&lt;=$B14)*(B_Drainage!$B$5:$B$204&gt;$B14)*(B_Drainage!$J$5:$J$204&lt;&gt;"")),IF(UPPER(B_Drainage!$J$5:$J$204)="Y",1,"")),"")</f>
        <v/>
      </c>
      <c r="AB14" s="182" t="str">
        <f>IFERROR(LOOKUP(2,1/((B_Drainage!$A$5:$A$204&lt;&gt;"")*(B_Drainage!$A$5:$A$204&lt;=$B14)*(B_Drainage!$B$5:$B$204&gt;$B14)*(B_Drainage!$K$5:$K$204&lt;&gt;"")),IF(B_Drainage!$K$5:$K$204="-","",B_Drainage!$K$5:$K$204)),"")</f>
        <v/>
      </c>
      <c r="AC14" s="182" t="str">
        <f>IFERROR(LOOKUP(2,1/((B_Drainage!$A$5:$A$204&lt;&gt;"")*(B_Drainage!$A$5:$A$204&lt;=$B14)*(B_Drainage!$B$5:$B$204&gt;$B14)*(B_Drainage!$L$5:$L$204&lt;&gt;"")),IF(B_Drainage!$L$5:$L$204="-","",B_Drainage!$L$5:$L$204)),"")</f>
        <v/>
      </c>
      <c r="AD14" s="182" t="str">
        <f>IFERROR(LOOKUP(2,1/((D_Points!$A$5:$A$204&lt;&gt;"")*(D_Points!$A$5:$A$204&gt;=$B14)*(D_Points!$A$5:$A$204&lt;$B14+P_Interval)*(UPPER(TRIM(D_Points!$B$5:$B$204))="TURNOUT_L")*(D_Points!$H$5:$H$204&lt;&gt;"")),D_Points!$H$5:$H$204),"")</f>
        <v/>
      </c>
      <c r="AE14" s="182" t="str">
        <f>IFERROR(LOOKUP(2,1/((D_Points!$A$5:$A$204&lt;&gt;"")*(D_Points!$A$5:$A$204&gt;=$B14)*(D_Points!$A$5:$A$204&lt;$B14+P_Interval)*(UPPER(TRIM(D_Points!$B$5:$B$204))="TURNOUT_R")*(D_Points!$H$5:$H$204&lt;&gt;"")),D_Points!$H$5:$H$204),"")</f>
        <v/>
      </c>
      <c r="AF14" s="181" t="str">
        <f>IFERROR(LOOKUP(2,1/((B_Drainage!$A$5:$A$204&lt;&gt;"")*(B_Drainage!$A$5:$A$204&lt;=$B14)*(B_Drainage!$B$5:$B$204&gt;$B14)*(B_Drainage!$M$5:$M$204&lt;&gt;"")),IF(UPPER(B_Drainage!$M$5:$M$204)="Y",1,"")),"")</f>
        <v/>
      </c>
      <c r="AG14" s="181" t="str">
        <f>IFERROR(LOOKUP(2,1/((B_Drainage!$A$5:$A$204&lt;&gt;"")*(B_Drainage!$A$5:$A$204&lt;=$B14)*(B_Drainage!$B$5:$B$204&gt;$B14)*(B_Drainage!$N$5:$N$204&lt;&gt;"")),IF(UPPER(B_Drainage!$N$5:$N$204)="Y",1,"")),"")</f>
        <v/>
      </c>
      <c r="AH14" s="181" t="str">
        <f t="shared" si="0"/>
        <v/>
      </c>
      <c r="AI14" s="181" t="str">
        <f t="shared" si="1"/>
        <v/>
      </c>
      <c r="AJ14" s="181" t="str">
        <f t="shared" si="2"/>
        <v/>
      </c>
      <c r="AK14" s="181" t="str">
        <f t="shared" si="3"/>
        <v/>
      </c>
      <c r="AL14" s="181" t="str">
        <f t="shared" si="4"/>
        <v/>
      </c>
      <c r="AM14" s="181" t="str">
        <f t="shared" si="5"/>
        <v/>
      </c>
      <c r="AN14" s="181" t="str">
        <f t="shared" si="6"/>
        <v/>
      </c>
      <c r="AO14" s="192" t="str">
        <f t="shared" si="7"/>
        <v/>
      </c>
      <c r="AQ14" t="str">
        <f>IFERROR(LOOKUP(2,1/((C_Pavement!$A$5:$A$204&lt;&gt;"")*(C_Pavement!$A$5:$A$204&lt;=$B14)*(C_Pavement!$B$5:$B$204&gt;$B14)*(C_Pavement!$C$5:$C$204&lt;&gt;"")),ROW(C_Pavement!$C$5:$C$204)-4),"")</f>
        <v/>
      </c>
      <c r="AR14" t="str">
        <f>IF($AQ14="","",UPPER(TRIM(INDEX(C_Pavement!$C$5:$C$204,$AQ14))))</f>
        <v/>
      </c>
      <c r="AS14" t="str">
        <f>IF($AR14="","",IFERROR(MATCH($AR14,E_Rules!$A$5:$A$9,0),""))</f>
        <v/>
      </c>
      <c r="AT14" t="str">
        <f>IF($AQ14="","",IF(INDEX(C_Pavement!$D$5:$D$204,$AQ14)&lt;&gt;"",UPPER(TRIM(INDEX(C_Pavement!$D$5:$D$204,$AQ14))),IF($AS14="","",INDEX(E_Rules!$C$5:$C$9,$AS14))))</f>
        <v/>
      </c>
      <c r="AU14" t="str">
        <f>IF($AQ14="","",IF(INDEX(C_Pavement!$E$5:$E$204,$AQ14)&lt;&gt;"",IF(INDEX(C_Pavement!$E$5:$E$204,$AQ14)="-","",INDEX(C_Pavement!$E$5:$E$204,$AQ14)),IF($AS14="","",INDEX(E_Rules!$D$5:$D$9,$AS14))))</f>
        <v/>
      </c>
      <c r="AV14" t="str">
        <f>IF($AQ14="","",IF(INDEX(C_Pavement!$F$5:$F$204,$AQ14)&lt;&gt;"",IF(INDEX(C_Pavement!$F$5:$F$204,$AQ14)="-","",INDEX(C_Pavement!$F$5:$F$204,$AQ14)),IF($AS14="","",INDEX(E_Rules!$E$5:$E$9,$AS14))))</f>
        <v/>
      </c>
      <c r="AW14" t="str">
        <f>IF($AQ14="","",IF(INDEX(C_Pavement!$G$5:$G$204,$AQ14)&lt;&gt;"",IF(INDEX(C_Pavement!$G$5:$G$204,$AQ14)="-","",INDEX(C_Pavement!$G$5:$G$204,$AQ14)),IF($AS14="","",INDEX(E_Rules!$F$5:$F$9,$AS14))))</f>
        <v/>
      </c>
      <c r="AX14" t="str">
        <f>IF($AQ14="","",IF(INDEX(C_Pavement!$H$5:$H$204,$AQ14)&lt;&gt;"",IF(INDEX(C_Pavement!$H$5:$H$204,$AQ14)="-","",INDEX(C_Pavement!$H$5:$H$204,$AQ14)),IF($AS14="","",INDEX(E_Rules!$G$5:$G$9,$AS14))))</f>
        <v/>
      </c>
      <c r="AY14" t="str">
        <f>IF($AQ14="","",IF(INDEX(C_Pavement!$I$5:$I$204,$AQ14)&lt;&gt;"",IF(INDEX(C_Pavement!$I$5:$I$204,$AQ14)="-","",INDEX(C_Pavement!$I$5:$I$204,$AQ14)),IF($AS14="","",INDEX(E_Rules!$H$5:$H$9,$AS14))))</f>
        <v/>
      </c>
    </row>
    <row r="15" spans="1:51" ht="14.4" customHeight="1" x14ac:dyDescent="0.3">
      <c r="A15" s="189">
        <v>10</v>
      </c>
      <c r="B15" s="180">
        <v>450</v>
      </c>
      <c r="C15" s="180" t="s">
        <v>321</v>
      </c>
      <c r="D15" s="181" t="str">
        <f>IFERROR(LOOKUP(2,1/((A_Corridor!$A$5:$A$204&lt;&gt;"")*(A_Corridor!$A$5:$A$204&lt;=$B15)*(A_Corridor!$B$5:$B$204&gt;$B15)*(A_Corridor!$C$5:$C$204&lt;&gt;"")),IF(UPPER(A_Corridor!$C$5:$C$204)="Y",1,"")),"")</f>
        <v/>
      </c>
      <c r="E15" s="181" t="str">
        <f>IFERROR(LOOKUP(2,1/((A_Corridor!$A$5:$A$204&lt;&gt;"")*(A_Corridor!$A$5:$A$204&lt;=$B15)*(A_Corridor!$B$5:$B$204&gt;$B15)*(A_Corridor!$D$5:$D$204&lt;&gt;"")),IF(A_Corridor!$D$5:$D$204="-","",UPPER(A_Corridor!$D$5:$D$204))),"")</f>
        <v/>
      </c>
      <c r="F15" s="181" t="str">
        <f>IFERROR(LOOKUP(2,1/((A_Corridor!$A$5:$A$204&lt;&gt;"")*(A_Corridor!$A$5:$A$204&lt;=$B15)*(A_Corridor!$B$5:$B$204&gt;$B15)*(A_Corridor!$E$5:$E$204&lt;&gt;"")),IF(A_Corridor!$E$5:$E$204="-","",1)),"")</f>
        <v/>
      </c>
      <c r="G15" s="182" t="str">
        <f>IFERROR(LOOKUP(2,1/((A_Corridor!$A$5:$A$204&lt;&gt;"")*(A_Corridor!$A$5:$A$204&lt;=$B15)*(A_Corridor!$B$5:$B$204&gt;$B15)*(A_Corridor!$E$5:$E$204&lt;&gt;"")),IF(A_Corridor!$E$5:$E$204="-","",A_Corridor!$E$5:$E$204)),"")</f>
        <v/>
      </c>
      <c r="H15" s="182" t="str">
        <f>IFERROR(LOOKUP(2,1/((D_Points!$A$5:$A$204&lt;&gt;"")*(D_Points!$A$5:$A$204&gt;=$B15)*(D_Points!$A$5:$A$204&lt;$B15+P_Interval)*(UPPER(TRIM(D_Points!$B$5:$B$204))="GULLY")*(D_Points!$H$5:$H$204&lt;&gt;"")),D_Points!$H$5:$H$204),"")</f>
        <v/>
      </c>
      <c r="I15" s="181" t="str">
        <f>IFERROR(LOOKUP(2,1/((A_Corridor!$A$5:$A$204&lt;&gt;"")*(A_Corridor!$A$5:$A$204&lt;=$B15)*(A_Corridor!$B$5:$B$204&gt;$B15)*(A_Corridor!$F$5:$F$204&lt;&gt;"")),IF(A_Corridor!$F$5:$F$204="-","",1)),"")</f>
        <v/>
      </c>
      <c r="J15" s="181" t="str">
        <f>IFERROR(LOOKUP(2,1/((A_Corridor!$A$5:$A$204&lt;&gt;"")*(A_Corridor!$A$5:$A$204&lt;=$B15)*(A_Corridor!$B$5:$B$204&gt;$B15)*(A_Corridor!$F$5:$F$204&lt;&gt;"")),IF(A_Corridor!$F$5:$F$204="-","",A_Corridor!$F$5:$F$204)),"")</f>
        <v/>
      </c>
      <c r="K15" s="181" t="str">
        <f>IFERROR(LOOKUP(2,1/((A_Corridor!$A$5:$A$204&lt;&gt;"")*(A_Corridor!$A$5:$A$204&lt;=$B15)*(A_Corridor!$B$5:$B$204&gt;$B15)*(A_Corridor!$G$5:$G$204&lt;&gt;"")),IF(A_Corridor!$G$5:$G$204="-","",A_Corridor!$G$5:$G$204)),"")</f>
        <v/>
      </c>
      <c r="L15" s="181" t="str">
        <f>IFERROR(LOOKUP(2,1/((A_Corridor!$A$5:$A$204&lt;&gt;"")*(A_Corridor!$A$5:$A$204&lt;=$B15)*(A_Corridor!$B$5:$B$204&gt;$B15)*(A_Corridor!$H$5:$H$204&lt;&gt;"")),IF(A_Corridor!$H$5:$H$204="-","",1)),"")</f>
        <v/>
      </c>
      <c r="M15" s="182" t="str">
        <f>IFERROR(LOOKUP(2,1/((A_Corridor!$A$5:$A$204&lt;&gt;"")*(A_Corridor!$A$5:$A$204&lt;=$B15)*(A_Corridor!$B$5:$B$204&gt;$B15)*(A_Corridor!$H$5:$H$204&lt;&gt;"")),IF(A_Corridor!$H$5:$H$204="-","",A_Corridor!$H$5:$H$204)),"")</f>
        <v/>
      </c>
      <c r="N15" s="182" t="str">
        <f>IFERROR(LOOKUP(2,1/((A_Corridor!$A$5:$A$204&lt;&gt;"")*(A_Corridor!$A$5:$A$204&lt;=$B15)*(A_Corridor!$B$5:$B$204&gt;$B15)*(A_Corridor!$I$5:$I$204&lt;&gt;"")),IF(A_Corridor!$I$5:$I$204="-","",A_Corridor!$I$5:$I$204)),"")</f>
        <v/>
      </c>
      <c r="O15" s="182" t="str">
        <f>IFERROR(LOOKUP(2,1/((D_Points!$A$5:$A$204&lt;&gt;"")*(D_Points!$A$5:$A$204&gt;=$B15)*(D_Points!$A$5:$A$204&lt;$B15+P_Interval)*(UPPER(TRIM(D_Points!$B$5:$B$204))="PITCHING")*(D_Points!$H$5:$H$204&lt;&gt;"")),D_Points!$H$5:$H$204),"")</f>
        <v/>
      </c>
      <c r="P15" s="181" t="str">
        <f>IFERROR(LOOKUP(2,1/((B_Drainage!$A$5:$A$204&lt;&gt;"")*(B_Drainage!$A$5:$A$204&lt;=$B15)*(B_Drainage!$B$5:$B$204&gt;$B15)*(B_Drainage!$C$5:$C$204&lt;&gt;"")),IF(B_Drainage!$C$5:$C$204="-","",UPPER(B_Drainage!$C$5:$C$204))),"")</f>
        <v/>
      </c>
      <c r="Q15" s="181" t="str">
        <f>IFERROR(LOOKUP(2,1/((B_Drainage!$A$5:$A$204&lt;&gt;"")*(B_Drainage!$A$5:$A$204&lt;=$B15)*(B_Drainage!$B$5:$B$204&gt;$B15)*(B_Drainage!$D$5:$D$204&lt;&gt;"")),IF(B_Drainage!$D$5:$D$204="-","",UPPER(B_Drainage!$D$5:$D$204))),"")</f>
        <v/>
      </c>
      <c r="R15" s="182" t="str">
        <f>IFERROR(LOOKUP(2,1/((D_Points!$A$5:$A$204&lt;&gt;"")*(D_Points!$A$5:$A$204&gt;=$B15)*(D_Points!$A$5:$A$204&lt;$B15+P_Interval)*(RIGHT(UPPER(TRIM(D_Points!$B$5:$B$204)),8)="_CULVERT")),IF(LEFT(UPPER(TRIM(D_Points!$B$5:$B$204)),2)="EX",1,IF(LEFT(UPPER(TRIM(D_Points!$B$5:$B$204)),2)="PR",2,3))),"")</f>
        <v/>
      </c>
      <c r="S15" s="182" t="str">
        <f>IFERROR(LOOKUP(2,1/((D_Points!$A$5:$A$204&lt;&gt;"")*(D_Points!$A$5:$A$204&gt;=$B15)*(D_Points!$A$5:$A$204&lt;$B15+P_Interval)*(RIGHT(UPPER(TRIM(D_Points!$B$5:$B$204)),7)="_BRIDGE")),IF(LEFT(UPPER(TRIM(D_Points!$B$5:$B$204)),2)="EX",1,IF(LEFT(UPPER(TRIM(D_Points!$B$5:$B$204)),2)="PR",2,2))),"")</f>
        <v/>
      </c>
      <c r="T15" s="181" t="str">
        <f>IFERROR(LOOKUP(2,1/((B_Drainage!$A$5:$A$204&lt;&gt;"")*(B_Drainage!$A$5:$A$204&lt;=$B15)*(B_Drainage!$B$5:$B$204&gt;$B15)*(B_Drainage!$E$5:$E$204&lt;&gt;"")),IF(B_Drainage!$E$5:$E$204="-","",1)),"")</f>
        <v/>
      </c>
      <c r="U15" s="181" t="str">
        <f>IFERROR(LOOKUP(2,1/((B_Drainage!$A$5:$A$204&lt;&gt;"")*(B_Drainage!$A$5:$A$204&lt;=$B15)*(B_Drainage!$B$5:$B$204&gt;$B15)*(B_Drainage!$E$5:$E$204&lt;&gt;"")),IF(B_Drainage!$E$5:$E$204="-","",B_Drainage!$E$5:$E$204)),"")</f>
        <v/>
      </c>
      <c r="V15" s="181" t="str">
        <f>IFERROR(LOOKUP(2,1/((B_Drainage!$A$5:$A$204&lt;&gt;"")*(B_Drainage!$A$5:$A$204&lt;=$B15)*(B_Drainage!$B$5:$B$204&gt;$B15)*(B_Drainage!$F$5:$F$204&lt;&gt;"")),IF(B_Drainage!$F$5:$F$204="-","",1)),"")</f>
        <v/>
      </c>
      <c r="W15" s="181" t="str">
        <f>IFERROR(LOOKUP(2,1/((B_Drainage!$A$5:$A$204&lt;&gt;"")*(B_Drainage!$A$5:$A$204&lt;=$B15)*(B_Drainage!$B$5:$B$204&gt;$B15)*(B_Drainage!$F$5:$F$204&lt;&gt;"")),IF(B_Drainage!$F$5:$F$204="-","",B_Drainage!$F$5:$F$204)),"")</f>
        <v/>
      </c>
      <c r="X15" s="181" t="str">
        <f>IFERROR(LOOKUP(2,1/((B_Drainage!$A$5:$A$204&lt;&gt;"")*(B_Drainage!$A$5:$A$204&lt;=$B15)*(B_Drainage!$B$5:$B$204&gt;$B15)*(B_Drainage!$G$5:$G$204&lt;&gt;"")),IF(UPPER(B_Drainage!$G$5:$G$204)="Y",1,"")),"")</f>
        <v/>
      </c>
      <c r="Y15" s="181" t="str">
        <f>IFERROR(LOOKUP(2,1/((B_Drainage!$A$5:$A$204&lt;&gt;"")*(B_Drainage!$A$5:$A$204&lt;=$B15)*(B_Drainage!$B$5:$B$204&gt;$B15)*(B_Drainage!$H$5:$H$204&lt;&gt;"")),IF(UPPER(B_Drainage!$H$5:$H$204)="Y",1,"")),"")</f>
        <v/>
      </c>
      <c r="Z15" s="181" t="str">
        <f>IFERROR(LOOKUP(2,1/((B_Drainage!$A$5:$A$204&lt;&gt;"")*(B_Drainage!$A$5:$A$204&lt;=$B15)*(B_Drainage!$B$5:$B$204&gt;$B15)*(B_Drainage!$I$5:$I$204&lt;&gt;"")),IF(UPPER(B_Drainage!$I$5:$I$204)="Y",1,"")),"")</f>
        <v/>
      </c>
      <c r="AA15" s="181" t="str">
        <f>IFERROR(LOOKUP(2,1/((B_Drainage!$A$5:$A$204&lt;&gt;"")*(B_Drainage!$A$5:$A$204&lt;=$B15)*(B_Drainage!$B$5:$B$204&gt;$B15)*(B_Drainage!$J$5:$J$204&lt;&gt;"")),IF(UPPER(B_Drainage!$J$5:$J$204)="Y",1,"")),"")</f>
        <v/>
      </c>
      <c r="AB15" s="182" t="str">
        <f>IFERROR(LOOKUP(2,1/((B_Drainage!$A$5:$A$204&lt;&gt;"")*(B_Drainage!$A$5:$A$204&lt;=$B15)*(B_Drainage!$B$5:$B$204&gt;$B15)*(B_Drainage!$K$5:$K$204&lt;&gt;"")),IF(B_Drainage!$K$5:$K$204="-","",B_Drainage!$K$5:$K$204)),"")</f>
        <v/>
      </c>
      <c r="AC15" s="182" t="str">
        <f>IFERROR(LOOKUP(2,1/((B_Drainage!$A$5:$A$204&lt;&gt;"")*(B_Drainage!$A$5:$A$204&lt;=$B15)*(B_Drainage!$B$5:$B$204&gt;$B15)*(B_Drainage!$L$5:$L$204&lt;&gt;"")),IF(B_Drainage!$L$5:$L$204="-","",B_Drainage!$L$5:$L$204)),"")</f>
        <v/>
      </c>
      <c r="AD15" s="182" t="str">
        <f>IFERROR(LOOKUP(2,1/((D_Points!$A$5:$A$204&lt;&gt;"")*(D_Points!$A$5:$A$204&gt;=$B15)*(D_Points!$A$5:$A$204&lt;$B15+P_Interval)*(UPPER(TRIM(D_Points!$B$5:$B$204))="TURNOUT_L")*(D_Points!$H$5:$H$204&lt;&gt;"")),D_Points!$H$5:$H$204),"")</f>
        <v/>
      </c>
      <c r="AE15" s="182" t="str">
        <f>IFERROR(LOOKUP(2,1/((D_Points!$A$5:$A$204&lt;&gt;"")*(D_Points!$A$5:$A$204&gt;=$B15)*(D_Points!$A$5:$A$204&lt;$B15+P_Interval)*(UPPER(TRIM(D_Points!$B$5:$B$204))="TURNOUT_R")*(D_Points!$H$5:$H$204&lt;&gt;"")),D_Points!$H$5:$H$204),"")</f>
        <v/>
      </c>
      <c r="AF15" s="181" t="str">
        <f>IFERROR(LOOKUP(2,1/((B_Drainage!$A$5:$A$204&lt;&gt;"")*(B_Drainage!$A$5:$A$204&lt;=$B15)*(B_Drainage!$B$5:$B$204&gt;$B15)*(B_Drainage!$M$5:$M$204&lt;&gt;"")),IF(UPPER(B_Drainage!$M$5:$M$204)="Y",1,"")),"")</f>
        <v/>
      </c>
      <c r="AG15" s="181" t="str">
        <f>IFERROR(LOOKUP(2,1/((B_Drainage!$A$5:$A$204&lt;&gt;"")*(B_Drainage!$A$5:$A$204&lt;=$B15)*(B_Drainage!$B$5:$B$204&gt;$B15)*(B_Drainage!$N$5:$N$204&lt;&gt;"")),IF(UPPER(B_Drainage!$N$5:$N$204)="Y",1,"")),"")</f>
        <v/>
      </c>
      <c r="AH15" s="181" t="str">
        <f t="shared" si="0"/>
        <v/>
      </c>
      <c r="AI15" s="181" t="str">
        <f t="shared" si="1"/>
        <v/>
      </c>
      <c r="AJ15" s="181" t="str">
        <f t="shared" si="2"/>
        <v/>
      </c>
      <c r="AK15" s="181" t="str">
        <f t="shared" si="3"/>
        <v/>
      </c>
      <c r="AL15" s="181" t="str">
        <f t="shared" si="4"/>
        <v/>
      </c>
      <c r="AM15" s="181" t="str">
        <f t="shared" si="5"/>
        <v/>
      </c>
      <c r="AN15" s="181" t="str">
        <f t="shared" si="6"/>
        <v/>
      </c>
      <c r="AO15" s="192" t="str">
        <f t="shared" si="7"/>
        <v/>
      </c>
      <c r="AQ15" t="str">
        <f>IFERROR(LOOKUP(2,1/((C_Pavement!$A$5:$A$204&lt;&gt;"")*(C_Pavement!$A$5:$A$204&lt;=$B15)*(C_Pavement!$B$5:$B$204&gt;$B15)*(C_Pavement!$C$5:$C$204&lt;&gt;"")),ROW(C_Pavement!$C$5:$C$204)-4),"")</f>
        <v/>
      </c>
      <c r="AR15" t="str">
        <f>IF($AQ15="","",UPPER(TRIM(INDEX(C_Pavement!$C$5:$C$204,$AQ15))))</f>
        <v/>
      </c>
      <c r="AS15" t="str">
        <f>IF($AR15="","",IFERROR(MATCH($AR15,E_Rules!$A$5:$A$9,0),""))</f>
        <v/>
      </c>
      <c r="AT15" t="str">
        <f>IF($AQ15="","",IF(INDEX(C_Pavement!$D$5:$D$204,$AQ15)&lt;&gt;"",UPPER(TRIM(INDEX(C_Pavement!$D$5:$D$204,$AQ15))),IF($AS15="","",INDEX(E_Rules!$C$5:$C$9,$AS15))))</f>
        <v/>
      </c>
      <c r="AU15" t="str">
        <f>IF($AQ15="","",IF(INDEX(C_Pavement!$E$5:$E$204,$AQ15)&lt;&gt;"",IF(INDEX(C_Pavement!$E$5:$E$204,$AQ15)="-","",INDEX(C_Pavement!$E$5:$E$204,$AQ15)),IF($AS15="","",INDEX(E_Rules!$D$5:$D$9,$AS15))))</f>
        <v/>
      </c>
      <c r="AV15" t="str">
        <f>IF($AQ15="","",IF(INDEX(C_Pavement!$F$5:$F$204,$AQ15)&lt;&gt;"",IF(INDEX(C_Pavement!$F$5:$F$204,$AQ15)="-","",INDEX(C_Pavement!$F$5:$F$204,$AQ15)),IF($AS15="","",INDEX(E_Rules!$E$5:$E$9,$AS15))))</f>
        <v/>
      </c>
      <c r="AW15" t="str">
        <f>IF($AQ15="","",IF(INDEX(C_Pavement!$G$5:$G$204,$AQ15)&lt;&gt;"",IF(INDEX(C_Pavement!$G$5:$G$204,$AQ15)="-","",INDEX(C_Pavement!$G$5:$G$204,$AQ15)),IF($AS15="","",INDEX(E_Rules!$F$5:$F$9,$AS15))))</f>
        <v/>
      </c>
      <c r="AX15" t="str">
        <f>IF($AQ15="","",IF(INDEX(C_Pavement!$H$5:$H$204,$AQ15)&lt;&gt;"",IF(INDEX(C_Pavement!$H$5:$H$204,$AQ15)="-","",INDEX(C_Pavement!$H$5:$H$204,$AQ15)),IF($AS15="","",INDEX(E_Rules!$G$5:$G$9,$AS15))))</f>
        <v/>
      </c>
      <c r="AY15" t="str">
        <f>IF($AQ15="","",IF(INDEX(C_Pavement!$I$5:$I$204,$AQ15)&lt;&gt;"",IF(INDEX(C_Pavement!$I$5:$I$204,$AQ15)="-","",INDEX(C_Pavement!$I$5:$I$204,$AQ15)),IF($AS15="","",INDEX(E_Rules!$H$5:$H$9,$AS15))))</f>
        <v/>
      </c>
    </row>
    <row r="16" spans="1:51" ht="14.4" customHeight="1" x14ac:dyDescent="0.3">
      <c r="A16" s="189">
        <v>11</v>
      </c>
      <c r="B16" s="180">
        <v>500</v>
      </c>
      <c r="C16" s="180" t="s">
        <v>322</v>
      </c>
      <c r="D16" s="181" t="str">
        <f>IFERROR(LOOKUP(2,1/((A_Corridor!$A$5:$A$204&lt;&gt;"")*(A_Corridor!$A$5:$A$204&lt;=$B16)*(A_Corridor!$B$5:$B$204&gt;$B16)*(A_Corridor!$C$5:$C$204&lt;&gt;"")),IF(UPPER(A_Corridor!$C$5:$C$204)="Y",1,"")),"")</f>
        <v/>
      </c>
      <c r="E16" s="181" t="str">
        <f>IFERROR(LOOKUP(2,1/((A_Corridor!$A$5:$A$204&lt;&gt;"")*(A_Corridor!$A$5:$A$204&lt;=$B16)*(A_Corridor!$B$5:$B$204&gt;$B16)*(A_Corridor!$D$5:$D$204&lt;&gt;"")),IF(A_Corridor!$D$5:$D$204="-","",UPPER(A_Corridor!$D$5:$D$204))),"")</f>
        <v/>
      </c>
      <c r="F16" s="181" t="str">
        <f>IFERROR(LOOKUP(2,1/((A_Corridor!$A$5:$A$204&lt;&gt;"")*(A_Corridor!$A$5:$A$204&lt;=$B16)*(A_Corridor!$B$5:$B$204&gt;$B16)*(A_Corridor!$E$5:$E$204&lt;&gt;"")),IF(A_Corridor!$E$5:$E$204="-","",1)),"")</f>
        <v/>
      </c>
      <c r="G16" s="182" t="str">
        <f>IFERROR(LOOKUP(2,1/((A_Corridor!$A$5:$A$204&lt;&gt;"")*(A_Corridor!$A$5:$A$204&lt;=$B16)*(A_Corridor!$B$5:$B$204&gt;$B16)*(A_Corridor!$E$5:$E$204&lt;&gt;"")),IF(A_Corridor!$E$5:$E$204="-","",A_Corridor!$E$5:$E$204)),"")</f>
        <v/>
      </c>
      <c r="H16" s="182" t="str">
        <f>IFERROR(LOOKUP(2,1/((D_Points!$A$5:$A$204&lt;&gt;"")*(D_Points!$A$5:$A$204&gt;=$B16)*(D_Points!$A$5:$A$204&lt;$B16+P_Interval)*(UPPER(TRIM(D_Points!$B$5:$B$204))="GULLY")*(D_Points!$H$5:$H$204&lt;&gt;"")),D_Points!$H$5:$H$204),"")</f>
        <v/>
      </c>
      <c r="I16" s="181" t="str">
        <f>IFERROR(LOOKUP(2,1/((A_Corridor!$A$5:$A$204&lt;&gt;"")*(A_Corridor!$A$5:$A$204&lt;=$B16)*(A_Corridor!$B$5:$B$204&gt;$B16)*(A_Corridor!$F$5:$F$204&lt;&gt;"")),IF(A_Corridor!$F$5:$F$204="-","",1)),"")</f>
        <v/>
      </c>
      <c r="J16" s="181" t="str">
        <f>IFERROR(LOOKUP(2,1/((A_Corridor!$A$5:$A$204&lt;&gt;"")*(A_Corridor!$A$5:$A$204&lt;=$B16)*(A_Corridor!$B$5:$B$204&gt;$B16)*(A_Corridor!$F$5:$F$204&lt;&gt;"")),IF(A_Corridor!$F$5:$F$204="-","",A_Corridor!$F$5:$F$204)),"")</f>
        <v/>
      </c>
      <c r="K16" s="181" t="str">
        <f>IFERROR(LOOKUP(2,1/((A_Corridor!$A$5:$A$204&lt;&gt;"")*(A_Corridor!$A$5:$A$204&lt;=$B16)*(A_Corridor!$B$5:$B$204&gt;$B16)*(A_Corridor!$G$5:$G$204&lt;&gt;"")),IF(A_Corridor!$G$5:$G$204="-","",A_Corridor!$G$5:$G$204)),"")</f>
        <v/>
      </c>
      <c r="L16" s="181" t="str">
        <f>IFERROR(LOOKUP(2,1/((A_Corridor!$A$5:$A$204&lt;&gt;"")*(A_Corridor!$A$5:$A$204&lt;=$B16)*(A_Corridor!$B$5:$B$204&gt;$B16)*(A_Corridor!$H$5:$H$204&lt;&gt;"")),IF(A_Corridor!$H$5:$H$204="-","",1)),"")</f>
        <v/>
      </c>
      <c r="M16" s="182" t="str">
        <f>IFERROR(LOOKUP(2,1/((A_Corridor!$A$5:$A$204&lt;&gt;"")*(A_Corridor!$A$5:$A$204&lt;=$B16)*(A_Corridor!$B$5:$B$204&gt;$B16)*(A_Corridor!$H$5:$H$204&lt;&gt;"")),IF(A_Corridor!$H$5:$H$204="-","",A_Corridor!$H$5:$H$204)),"")</f>
        <v/>
      </c>
      <c r="N16" s="182" t="str">
        <f>IFERROR(LOOKUP(2,1/((A_Corridor!$A$5:$A$204&lt;&gt;"")*(A_Corridor!$A$5:$A$204&lt;=$B16)*(A_Corridor!$B$5:$B$204&gt;$B16)*(A_Corridor!$I$5:$I$204&lt;&gt;"")),IF(A_Corridor!$I$5:$I$204="-","",A_Corridor!$I$5:$I$204)),"")</f>
        <v/>
      </c>
      <c r="O16" s="182" t="str">
        <f>IFERROR(LOOKUP(2,1/((D_Points!$A$5:$A$204&lt;&gt;"")*(D_Points!$A$5:$A$204&gt;=$B16)*(D_Points!$A$5:$A$204&lt;$B16+P_Interval)*(UPPER(TRIM(D_Points!$B$5:$B$204))="PITCHING")*(D_Points!$H$5:$H$204&lt;&gt;"")),D_Points!$H$5:$H$204),"")</f>
        <v/>
      </c>
      <c r="P16" s="181" t="str">
        <f>IFERROR(LOOKUP(2,1/((B_Drainage!$A$5:$A$204&lt;&gt;"")*(B_Drainage!$A$5:$A$204&lt;=$B16)*(B_Drainage!$B$5:$B$204&gt;$B16)*(B_Drainage!$C$5:$C$204&lt;&gt;"")),IF(B_Drainage!$C$5:$C$204="-","",UPPER(B_Drainage!$C$5:$C$204))),"")</f>
        <v/>
      </c>
      <c r="Q16" s="181" t="str">
        <f>IFERROR(LOOKUP(2,1/((B_Drainage!$A$5:$A$204&lt;&gt;"")*(B_Drainage!$A$5:$A$204&lt;=$B16)*(B_Drainage!$B$5:$B$204&gt;$B16)*(B_Drainage!$D$5:$D$204&lt;&gt;"")),IF(B_Drainage!$D$5:$D$204="-","",UPPER(B_Drainage!$D$5:$D$204))),"")</f>
        <v/>
      </c>
      <c r="R16" s="182" t="str">
        <f>IFERROR(LOOKUP(2,1/((D_Points!$A$5:$A$204&lt;&gt;"")*(D_Points!$A$5:$A$204&gt;=$B16)*(D_Points!$A$5:$A$204&lt;$B16+P_Interval)*(RIGHT(UPPER(TRIM(D_Points!$B$5:$B$204)),8)="_CULVERT")),IF(LEFT(UPPER(TRIM(D_Points!$B$5:$B$204)),2)="EX",1,IF(LEFT(UPPER(TRIM(D_Points!$B$5:$B$204)),2)="PR",2,3))),"")</f>
        <v/>
      </c>
      <c r="S16" s="182" t="str">
        <f>IFERROR(LOOKUP(2,1/((D_Points!$A$5:$A$204&lt;&gt;"")*(D_Points!$A$5:$A$204&gt;=$B16)*(D_Points!$A$5:$A$204&lt;$B16+P_Interval)*(RIGHT(UPPER(TRIM(D_Points!$B$5:$B$204)),7)="_BRIDGE")),IF(LEFT(UPPER(TRIM(D_Points!$B$5:$B$204)),2)="EX",1,IF(LEFT(UPPER(TRIM(D_Points!$B$5:$B$204)),2)="PR",2,2))),"")</f>
        <v/>
      </c>
      <c r="T16" s="181" t="str">
        <f>IFERROR(LOOKUP(2,1/((B_Drainage!$A$5:$A$204&lt;&gt;"")*(B_Drainage!$A$5:$A$204&lt;=$B16)*(B_Drainage!$B$5:$B$204&gt;$B16)*(B_Drainage!$E$5:$E$204&lt;&gt;"")),IF(B_Drainage!$E$5:$E$204="-","",1)),"")</f>
        <v/>
      </c>
      <c r="U16" s="181" t="str">
        <f>IFERROR(LOOKUP(2,1/((B_Drainage!$A$5:$A$204&lt;&gt;"")*(B_Drainage!$A$5:$A$204&lt;=$B16)*(B_Drainage!$B$5:$B$204&gt;$B16)*(B_Drainage!$E$5:$E$204&lt;&gt;"")),IF(B_Drainage!$E$5:$E$204="-","",B_Drainage!$E$5:$E$204)),"")</f>
        <v/>
      </c>
      <c r="V16" s="181" t="str">
        <f>IFERROR(LOOKUP(2,1/((B_Drainage!$A$5:$A$204&lt;&gt;"")*(B_Drainage!$A$5:$A$204&lt;=$B16)*(B_Drainage!$B$5:$B$204&gt;$B16)*(B_Drainage!$F$5:$F$204&lt;&gt;"")),IF(B_Drainage!$F$5:$F$204="-","",1)),"")</f>
        <v/>
      </c>
      <c r="W16" s="181" t="str">
        <f>IFERROR(LOOKUP(2,1/((B_Drainage!$A$5:$A$204&lt;&gt;"")*(B_Drainage!$A$5:$A$204&lt;=$B16)*(B_Drainage!$B$5:$B$204&gt;$B16)*(B_Drainage!$F$5:$F$204&lt;&gt;"")),IF(B_Drainage!$F$5:$F$204="-","",B_Drainage!$F$5:$F$204)),"")</f>
        <v/>
      </c>
      <c r="X16" s="181" t="str">
        <f>IFERROR(LOOKUP(2,1/((B_Drainage!$A$5:$A$204&lt;&gt;"")*(B_Drainage!$A$5:$A$204&lt;=$B16)*(B_Drainage!$B$5:$B$204&gt;$B16)*(B_Drainage!$G$5:$G$204&lt;&gt;"")),IF(UPPER(B_Drainage!$G$5:$G$204)="Y",1,"")),"")</f>
        <v/>
      </c>
      <c r="Y16" s="181" t="str">
        <f>IFERROR(LOOKUP(2,1/((B_Drainage!$A$5:$A$204&lt;&gt;"")*(B_Drainage!$A$5:$A$204&lt;=$B16)*(B_Drainage!$B$5:$B$204&gt;$B16)*(B_Drainage!$H$5:$H$204&lt;&gt;"")),IF(UPPER(B_Drainage!$H$5:$H$204)="Y",1,"")),"")</f>
        <v/>
      </c>
      <c r="Z16" s="181" t="str">
        <f>IFERROR(LOOKUP(2,1/((B_Drainage!$A$5:$A$204&lt;&gt;"")*(B_Drainage!$A$5:$A$204&lt;=$B16)*(B_Drainage!$B$5:$B$204&gt;$B16)*(B_Drainage!$I$5:$I$204&lt;&gt;"")),IF(UPPER(B_Drainage!$I$5:$I$204)="Y",1,"")),"")</f>
        <v/>
      </c>
      <c r="AA16" s="181" t="str">
        <f>IFERROR(LOOKUP(2,1/((B_Drainage!$A$5:$A$204&lt;&gt;"")*(B_Drainage!$A$5:$A$204&lt;=$B16)*(B_Drainage!$B$5:$B$204&gt;$B16)*(B_Drainage!$J$5:$J$204&lt;&gt;"")),IF(UPPER(B_Drainage!$J$5:$J$204)="Y",1,"")),"")</f>
        <v/>
      </c>
      <c r="AB16" s="182" t="str">
        <f>IFERROR(LOOKUP(2,1/((B_Drainage!$A$5:$A$204&lt;&gt;"")*(B_Drainage!$A$5:$A$204&lt;=$B16)*(B_Drainage!$B$5:$B$204&gt;$B16)*(B_Drainage!$K$5:$K$204&lt;&gt;"")),IF(B_Drainage!$K$5:$K$204="-","",B_Drainage!$K$5:$K$204)),"")</f>
        <v/>
      </c>
      <c r="AC16" s="182" t="str">
        <f>IFERROR(LOOKUP(2,1/((B_Drainage!$A$5:$A$204&lt;&gt;"")*(B_Drainage!$A$5:$A$204&lt;=$B16)*(B_Drainage!$B$5:$B$204&gt;$B16)*(B_Drainage!$L$5:$L$204&lt;&gt;"")),IF(B_Drainage!$L$5:$L$204="-","",B_Drainage!$L$5:$L$204)),"")</f>
        <v/>
      </c>
      <c r="AD16" s="182" t="str">
        <f>IFERROR(LOOKUP(2,1/((D_Points!$A$5:$A$204&lt;&gt;"")*(D_Points!$A$5:$A$204&gt;=$B16)*(D_Points!$A$5:$A$204&lt;$B16+P_Interval)*(UPPER(TRIM(D_Points!$B$5:$B$204))="TURNOUT_L")*(D_Points!$H$5:$H$204&lt;&gt;"")),D_Points!$H$5:$H$204),"")</f>
        <v/>
      </c>
      <c r="AE16" s="182" t="str">
        <f>IFERROR(LOOKUP(2,1/((D_Points!$A$5:$A$204&lt;&gt;"")*(D_Points!$A$5:$A$204&gt;=$B16)*(D_Points!$A$5:$A$204&lt;$B16+P_Interval)*(UPPER(TRIM(D_Points!$B$5:$B$204))="TURNOUT_R")*(D_Points!$H$5:$H$204&lt;&gt;"")),D_Points!$H$5:$H$204),"")</f>
        <v/>
      </c>
      <c r="AF16" s="181" t="str">
        <f>IFERROR(LOOKUP(2,1/((B_Drainage!$A$5:$A$204&lt;&gt;"")*(B_Drainage!$A$5:$A$204&lt;=$B16)*(B_Drainage!$B$5:$B$204&gt;$B16)*(B_Drainage!$M$5:$M$204&lt;&gt;"")),IF(UPPER(B_Drainage!$M$5:$M$204)="Y",1,"")),"")</f>
        <v/>
      </c>
      <c r="AG16" s="181" t="str">
        <f>IFERROR(LOOKUP(2,1/((B_Drainage!$A$5:$A$204&lt;&gt;"")*(B_Drainage!$A$5:$A$204&lt;=$B16)*(B_Drainage!$B$5:$B$204&gt;$B16)*(B_Drainage!$N$5:$N$204&lt;&gt;"")),IF(UPPER(B_Drainage!$N$5:$N$204)="Y",1,"")),"")</f>
        <v/>
      </c>
      <c r="AH16" s="181" t="str">
        <f t="shared" si="0"/>
        <v/>
      </c>
      <c r="AI16" s="181" t="str">
        <f t="shared" si="1"/>
        <v/>
      </c>
      <c r="AJ16" s="181" t="str">
        <f t="shared" si="2"/>
        <v/>
      </c>
      <c r="AK16" s="181" t="str">
        <f t="shared" si="3"/>
        <v/>
      </c>
      <c r="AL16" s="181" t="str">
        <f t="shared" si="4"/>
        <v/>
      </c>
      <c r="AM16" s="181" t="str">
        <f t="shared" si="5"/>
        <v/>
      </c>
      <c r="AN16" s="181" t="str">
        <f t="shared" si="6"/>
        <v/>
      </c>
      <c r="AO16" s="192" t="str">
        <f t="shared" si="7"/>
        <v/>
      </c>
      <c r="AQ16" t="str">
        <f>IFERROR(LOOKUP(2,1/((C_Pavement!$A$5:$A$204&lt;&gt;"")*(C_Pavement!$A$5:$A$204&lt;=$B16)*(C_Pavement!$B$5:$B$204&gt;$B16)*(C_Pavement!$C$5:$C$204&lt;&gt;"")),ROW(C_Pavement!$C$5:$C$204)-4),"")</f>
        <v/>
      </c>
      <c r="AR16" t="str">
        <f>IF($AQ16="","",UPPER(TRIM(INDEX(C_Pavement!$C$5:$C$204,$AQ16))))</f>
        <v/>
      </c>
      <c r="AS16" t="str">
        <f>IF($AR16="","",IFERROR(MATCH($AR16,E_Rules!$A$5:$A$9,0),""))</f>
        <v/>
      </c>
      <c r="AT16" t="str">
        <f>IF($AQ16="","",IF(INDEX(C_Pavement!$D$5:$D$204,$AQ16)&lt;&gt;"",UPPER(TRIM(INDEX(C_Pavement!$D$5:$D$204,$AQ16))),IF($AS16="","",INDEX(E_Rules!$C$5:$C$9,$AS16))))</f>
        <v/>
      </c>
      <c r="AU16" t="str">
        <f>IF($AQ16="","",IF(INDEX(C_Pavement!$E$5:$E$204,$AQ16)&lt;&gt;"",IF(INDEX(C_Pavement!$E$5:$E$204,$AQ16)="-","",INDEX(C_Pavement!$E$5:$E$204,$AQ16)),IF($AS16="","",INDEX(E_Rules!$D$5:$D$9,$AS16))))</f>
        <v/>
      </c>
      <c r="AV16" t="str">
        <f>IF($AQ16="","",IF(INDEX(C_Pavement!$F$5:$F$204,$AQ16)&lt;&gt;"",IF(INDEX(C_Pavement!$F$5:$F$204,$AQ16)="-","",INDEX(C_Pavement!$F$5:$F$204,$AQ16)),IF($AS16="","",INDEX(E_Rules!$E$5:$E$9,$AS16))))</f>
        <v/>
      </c>
      <c r="AW16" t="str">
        <f>IF($AQ16="","",IF(INDEX(C_Pavement!$G$5:$G$204,$AQ16)&lt;&gt;"",IF(INDEX(C_Pavement!$G$5:$G$204,$AQ16)="-","",INDEX(C_Pavement!$G$5:$G$204,$AQ16)),IF($AS16="","",INDEX(E_Rules!$F$5:$F$9,$AS16))))</f>
        <v/>
      </c>
      <c r="AX16" t="str">
        <f>IF($AQ16="","",IF(INDEX(C_Pavement!$H$5:$H$204,$AQ16)&lt;&gt;"",IF(INDEX(C_Pavement!$H$5:$H$204,$AQ16)="-","",INDEX(C_Pavement!$H$5:$H$204,$AQ16)),IF($AS16="","",INDEX(E_Rules!$G$5:$G$9,$AS16))))</f>
        <v/>
      </c>
      <c r="AY16" t="str">
        <f>IF($AQ16="","",IF(INDEX(C_Pavement!$I$5:$I$204,$AQ16)&lt;&gt;"",IF(INDEX(C_Pavement!$I$5:$I$204,$AQ16)="-","",INDEX(C_Pavement!$I$5:$I$204,$AQ16)),IF($AS16="","",INDEX(E_Rules!$H$5:$H$9,$AS16))))</f>
        <v/>
      </c>
    </row>
    <row r="17" spans="1:51" ht="14.4" customHeight="1" x14ac:dyDescent="0.3">
      <c r="A17" s="189">
        <v>12</v>
      </c>
      <c r="B17" s="180">
        <v>550</v>
      </c>
      <c r="C17" s="180" t="s">
        <v>323</v>
      </c>
      <c r="D17" s="181" t="str">
        <f>IFERROR(LOOKUP(2,1/((A_Corridor!$A$5:$A$204&lt;&gt;"")*(A_Corridor!$A$5:$A$204&lt;=$B17)*(A_Corridor!$B$5:$B$204&gt;$B17)*(A_Corridor!$C$5:$C$204&lt;&gt;"")),IF(UPPER(A_Corridor!$C$5:$C$204)="Y",1,"")),"")</f>
        <v/>
      </c>
      <c r="E17" s="181" t="str">
        <f>IFERROR(LOOKUP(2,1/((A_Corridor!$A$5:$A$204&lt;&gt;"")*(A_Corridor!$A$5:$A$204&lt;=$B17)*(A_Corridor!$B$5:$B$204&gt;$B17)*(A_Corridor!$D$5:$D$204&lt;&gt;"")),IF(A_Corridor!$D$5:$D$204="-","",UPPER(A_Corridor!$D$5:$D$204))),"")</f>
        <v/>
      </c>
      <c r="F17" s="181" t="str">
        <f>IFERROR(LOOKUP(2,1/((A_Corridor!$A$5:$A$204&lt;&gt;"")*(A_Corridor!$A$5:$A$204&lt;=$B17)*(A_Corridor!$B$5:$B$204&gt;$B17)*(A_Corridor!$E$5:$E$204&lt;&gt;"")),IF(A_Corridor!$E$5:$E$204="-","",1)),"")</f>
        <v/>
      </c>
      <c r="G17" s="182" t="str">
        <f>IFERROR(LOOKUP(2,1/((A_Corridor!$A$5:$A$204&lt;&gt;"")*(A_Corridor!$A$5:$A$204&lt;=$B17)*(A_Corridor!$B$5:$B$204&gt;$B17)*(A_Corridor!$E$5:$E$204&lt;&gt;"")),IF(A_Corridor!$E$5:$E$204="-","",A_Corridor!$E$5:$E$204)),"")</f>
        <v/>
      </c>
      <c r="H17" s="182" t="str">
        <f>IFERROR(LOOKUP(2,1/((D_Points!$A$5:$A$204&lt;&gt;"")*(D_Points!$A$5:$A$204&gt;=$B17)*(D_Points!$A$5:$A$204&lt;$B17+P_Interval)*(UPPER(TRIM(D_Points!$B$5:$B$204))="GULLY")*(D_Points!$H$5:$H$204&lt;&gt;"")),D_Points!$H$5:$H$204),"")</f>
        <v/>
      </c>
      <c r="I17" s="181" t="str">
        <f>IFERROR(LOOKUP(2,1/((A_Corridor!$A$5:$A$204&lt;&gt;"")*(A_Corridor!$A$5:$A$204&lt;=$B17)*(A_Corridor!$B$5:$B$204&gt;$B17)*(A_Corridor!$F$5:$F$204&lt;&gt;"")),IF(A_Corridor!$F$5:$F$204="-","",1)),"")</f>
        <v/>
      </c>
      <c r="J17" s="181" t="str">
        <f>IFERROR(LOOKUP(2,1/((A_Corridor!$A$5:$A$204&lt;&gt;"")*(A_Corridor!$A$5:$A$204&lt;=$B17)*(A_Corridor!$B$5:$B$204&gt;$B17)*(A_Corridor!$F$5:$F$204&lt;&gt;"")),IF(A_Corridor!$F$5:$F$204="-","",A_Corridor!$F$5:$F$204)),"")</f>
        <v/>
      </c>
      <c r="K17" s="181" t="str">
        <f>IFERROR(LOOKUP(2,1/((A_Corridor!$A$5:$A$204&lt;&gt;"")*(A_Corridor!$A$5:$A$204&lt;=$B17)*(A_Corridor!$B$5:$B$204&gt;$B17)*(A_Corridor!$G$5:$G$204&lt;&gt;"")),IF(A_Corridor!$G$5:$G$204="-","",A_Corridor!$G$5:$G$204)),"")</f>
        <v/>
      </c>
      <c r="L17" s="181" t="str">
        <f>IFERROR(LOOKUP(2,1/((A_Corridor!$A$5:$A$204&lt;&gt;"")*(A_Corridor!$A$5:$A$204&lt;=$B17)*(A_Corridor!$B$5:$B$204&gt;$B17)*(A_Corridor!$H$5:$H$204&lt;&gt;"")),IF(A_Corridor!$H$5:$H$204="-","",1)),"")</f>
        <v/>
      </c>
      <c r="M17" s="182" t="str">
        <f>IFERROR(LOOKUP(2,1/((A_Corridor!$A$5:$A$204&lt;&gt;"")*(A_Corridor!$A$5:$A$204&lt;=$B17)*(A_Corridor!$B$5:$B$204&gt;$B17)*(A_Corridor!$H$5:$H$204&lt;&gt;"")),IF(A_Corridor!$H$5:$H$204="-","",A_Corridor!$H$5:$H$204)),"")</f>
        <v/>
      </c>
      <c r="N17" s="182" t="str">
        <f>IFERROR(LOOKUP(2,1/((A_Corridor!$A$5:$A$204&lt;&gt;"")*(A_Corridor!$A$5:$A$204&lt;=$B17)*(A_Corridor!$B$5:$B$204&gt;$B17)*(A_Corridor!$I$5:$I$204&lt;&gt;"")),IF(A_Corridor!$I$5:$I$204="-","",A_Corridor!$I$5:$I$204)),"")</f>
        <v/>
      </c>
      <c r="O17" s="182" t="str">
        <f>IFERROR(LOOKUP(2,1/((D_Points!$A$5:$A$204&lt;&gt;"")*(D_Points!$A$5:$A$204&gt;=$B17)*(D_Points!$A$5:$A$204&lt;$B17+P_Interval)*(UPPER(TRIM(D_Points!$B$5:$B$204))="PITCHING")*(D_Points!$H$5:$H$204&lt;&gt;"")),D_Points!$H$5:$H$204),"")</f>
        <v/>
      </c>
      <c r="P17" s="181" t="str">
        <f>IFERROR(LOOKUP(2,1/((B_Drainage!$A$5:$A$204&lt;&gt;"")*(B_Drainage!$A$5:$A$204&lt;=$B17)*(B_Drainage!$B$5:$B$204&gt;$B17)*(B_Drainage!$C$5:$C$204&lt;&gt;"")),IF(B_Drainage!$C$5:$C$204="-","",UPPER(B_Drainage!$C$5:$C$204))),"")</f>
        <v/>
      </c>
      <c r="Q17" s="181" t="str">
        <f>IFERROR(LOOKUP(2,1/((B_Drainage!$A$5:$A$204&lt;&gt;"")*(B_Drainage!$A$5:$A$204&lt;=$B17)*(B_Drainage!$B$5:$B$204&gt;$B17)*(B_Drainage!$D$5:$D$204&lt;&gt;"")),IF(B_Drainage!$D$5:$D$204="-","",UPPER(B_Drainage!$D$5:$D$204))),"")</f>
        <v/>
      </c>
      <c r="R17" s="182" t="str">
        <f>IFERROR(LOOKUP(2,1/((D_Points!$A$5:$A$204&lt;&gt;"")*(D_Points!$A$5:$A$204&gt;=$B17)*(D_Points!$A$5:$A$204&lt;$B17+P_Interval)*(RIGHT(UPPER(TRIM(D_Points!$B$5:$B$204)),8)="_CULVERT")),IF(LEFT(UPPER(TRIM(D_Points!$B$5:$B$204)),2)="EX",1,IF(LEFT(UPPER(TRIM(D_Points!$B$5:$B$204)),2)="PR",2,3))),"")</f>
        <v/>
      </c>
      <c r="S17" s="182" t="str">
        <f>IFERROR(LOOKUP(2,1/((D_Points!$A$5:$A$204&lt;&gt;"")*(D_Points!$A$5:$A$204&gt;=$B17)*(D_Points!$A$5:$A$204&lt;$B17+P_Interval)*(RIGHT(UPPER(TRIM(D_Points!$B$5:$B$204)),7)="_BRIDGE")),IF(LEFT(UPPER(TRIM(D_Points!$B$5:$B$204)),2)="EX",1,IF(LEFT(UPPER(TRIM(D_Points!$B$5:$B$204)),2)="PR",2,2))),"")</f>
        <v/>
      </c>
      <c r="T17" s="181" t="str">
        <f>IFERROR(LOOKUP(2,1/((B_Drainage!$A$5:$A$204&lt;&gt;"")*(B_Drainage!$A$5:$A$204&lt;=$B17)*(B_Drainage!$B$5:$B$204&gt;$B17)*(B_Drainage!$E$5:$E$204&lt;&gt;"")),IF(B_Drainage!$E$5:$E$204="-","",1)),"")</f>
        <v/>
      </c>
      <c r="U17" s="181" t="str">
        <f>IFERROR(LOOKUP(2,1/((B_Drainage!$A$5:$A$204&lt;&gt;"")*(B_Drainage!$A$5:$A$204&lt;=$B17)*(B_Drainage!$B$5:$B$204&gt;$B17)*(B_Drainage!$E$5:$E$204&lt;&gt;"")),IF(B_Drainage!$E$5:$E$204="-","",B_Drainage!$E$5:$E$204)),"")</f>
        <v/>
      </c>
      <c r="V17" s="181" t="str">
        <f>IFERROR(LOOKUP(2,1/((B_Drainage!$A$5:$A$204&lt;&gt;"")*(B_Drainage!$A$5:$A$204&lt;=$B17)*(B_Drainage!$B$5:$B$204&gt;$B17)*(B_Drainage!$F$5:$F$204&lt;&gt;"")),IF(B_Drainage!$F$5:$F$204="-","",1)),"")</f>
        <v/>
      </c>
      <c r="W17" s="181" t="str">
        <f>IFERROR(LOOKUP(2,1/((B_Drainage!$A$5:$A$204&lt;&gt;"")*(B_Drainage!$A$5:$A$204&lt;=$B17)*(B_Drainage!$B$5:$B$204&gt;$B17)*(B_Drainage!$F$5:$F$204&lt;&gt;"")),IF(B_Drainage!$F$5:$F$204="-","",B_Drainage!$F$5:$F$204)),"")</f>
        <v/>
      </c>
      <c r="X17" s="181" t="str">
        <f>IFERROR(LOOKUP(2,1/((B_Drainage!$A$5:$A$204&lt;&gt;"")*(B_Drainage!$A$5:$A$204&lt;=$B17)*(B_Drainage!$B$5:$B$204&gt;$B17)*(B_Drainage!$G$5:$G$204&lt;&gt;"")),IF(UPPER(B_Drainage!$G$5:$G$204)="Y",1,"")),"")</f>
        <v/>
      </c>
      <c r="Y17" s="181" t="str">
        <f>IFERROR(LOOKUP(2,1/((B_Drainage!$A$5:$A$204&lt;&gt;"")*(B_Drainage!$A$5:$A$204&lt;=$B17)*(B_Drainage!$B$5:$B$204&gt;$B17)*(B_Drainage!$H$5:$H$204&lt;&gt;"")),IF(UPPER(B_Drainage!$H$5:$H$204)="Y",1,"")),"")</f>
        <v/>
      </c>
      <c r="Z17" s="181" t="str">
        <f>IFERROR(LOOKUP(2,1/((B_Drainage!$A$5:$A$204&lt;&gt;"")*(B_Drainage!$A$5:$A$204&lt;=$B17)*(B_Drainage!$B$5:$B$204&gt;$B17)*(B_Drainage!$I$5:$I$204&lt;&gt;"")),IF(UPPER(B_Drainage!$I$5:$I$204)="Y",1,"")),"")</f>
        <v/>
      </c>
      <c r="AA17" s="181" t="str">
        <f>IFERROR(LOOKUP(2,1/((B_Drainage!$A$5:$A$204&lt;&gt;"")*(B_Drainage!$A$5:$A$204&lt;=$B17)*(B_Drainage!$B$5:$B$204&gt;$B17)*(B_Drainage!$J$5:$J$204&lt;&gt;"")),IF(UPPER(B_Drainage!$J$5:$J$204)="Y",1,"")),"")</f>
        <v/>
      </c>
      <c r="AB17" s="182" t="str">
        <f>IFERROR(LOOKUP(2,1/((B_Drainage!$A$5:$A$204&lt;&gt;"")*(B_Drainage!$A$5:$A$204&lt;=$B17)*(B_Drainage!$B$5:$B$204&gt;$B17)*(B_Drainage!$K$5:$K$204&lt;&gt;"")),IF(B_Drainage!$K$5:$K$204="-","",B_Drainage!$K$5:$K$204)),"")</f>
        <v/>
      </c>
      <c r="AC17" s="182" t="str">
        <f>IFERROR(LOOKUP(2,1/((B_Drainage!$A$5:$A$204&lt;&gt;"")*(B_Drainage!$A$5:$A$204&lt;=$B17)*(B_Drainage!$B$5:$B$204&gt;$B17)*(B_Drainage!$L$5:$L$204&lt;&gt;"")),IF(B_Drainage!$L$5:$L$204="-","",B_Drainage!$L$5:$L$204)),"")</f>
        <v/>
      </c>
      <c r="AD17" s="182" t="str">
        <f>IFERROR(LOOKUP(2,1/((D_Points!$A$5:$A$204&lt;&gt;"")*(D_Points!$A$5:$A$204&gt;=$B17)*(D_Points!$A$5:$A$204&lt;$B17+P_Interval)*(UPPER(TRIM(D_Points!$B$5:$B$204))="TURNOUT_L")*(D_Points!$H$5:$H$204&lt;&gt;"")),D_Points!$H$5:$H$204),"")</f>
        <v/>
      </c>
      <c r="AE17" s="182" t="str">
        <f>IFERROR(LOOKUP(2,1/((D_Points!$A$5:$A$204&lt;&gt;"")*(D_Points!$A$5:$A$204&gt;=$B17)*(D_Points!$A$5:$A$204&lt;$B17+P_Interval)*(UPPER(TRIM(D_Points!$B$5:$B$204))="TURNOUT_R")*(D_Points!$H$5:$H$204&lt;&gt;"")),D_Points!$H$5:$H$204),"")</f>
        <v/>
      </c>
      <c r="AF17" s="181" t="str">
        <f>IFERROR(LOOKUP(2,1/((B_Drainage!$A$5:$A$204&lt;&gt;"")*(B_Drainage!$A$5:$A$204&lt;=$B17)*(B_Drainage!$B$5:$B$204&gt;$B17)*(B_Drainage!$M$5:$M$204&lt;&gt;"")),IF(UPPER(B_Drainage!$M$5:$M$204)="Y",1,"")),"")</f>
        <v/>
      </c>
      <c r="AG17" s="181" t="str">
        <f>IFERROR(LOOKUP(2,1/((B_Drainage!$A$5:$A$204&lt;&gt;"")*(B_Drainage!$A$5:$A$204&lt;=$B17)*(B_Drainage!$B$5:$B$204&gt;$B17)*(B_Drainage!$N$5:$N$204&lt;&gt;"")),IF(UPPER(B_Drainage!$N$5:$N$204)="Y",1,"")),"")</f>
        <v/>
      </c>
      <c r="AH17" s="181" t="str">
        <f t="shared" si="0"/>
        <v/>
      </c>
      <c r="AI17" s="181" t="str">
        <f t="shared" si="1"/>
        <v/>
      </c>
      <c r="AJ17" s="181" t="str">
        <f t="shared" si="2"/>
        <v/>
      </c>
      <c r="AK17" s="181" t="str">
        <f t="shared" si="3"/>
        <v/>
      </c>
      <c r="AL17" s="181" t="str">
        <f t="shared" si="4"/>
        <v/>
      </c>
      <c r="AM17" s="181" t="str">
        <f t="shared" si="5"/>
        <v/>
      </c>
      <c r="AN17" s="181" t="str">
        <f t="shared" si="6"/>
        <v/>
      </c>
      <c r="AO17" s="192" t="str">
        <f t="shared" si="7"/>
        <v/>
      </c>
      <c r="AQ17" t="str">
        <f>IFERROR(LOOKUP(2,1/((C_Pavement!$A$5:$A$204&lt;&gt;"")*(C_Pavement!$A$5:$A$204&lt;=$B17)*(C_Pavement!$B$5:$B$204&gt;$B17)*(C_Pavement!$C$5:$C$204&lt;&gt;"")),ROW(C_Pavement!$C$5:$C$204)-4),"")</f>
        <v/>
      </c>
      <c r="AR17" t="str">
        <f>IF($AQ17="","",UPPER(TRIM(INDEX(C_Pavement!$C$5:$C$204,$AQ17))))</f>
        <v/>
      </c>
      <c r="AS17" t="str">
        <f>IF($AR17="","",IFERROR(MATCH($AR17,E_Rules!$A$5:$A$9,0),""))</f>
        <v/>
      </c>
      <c r="AT17" t="str">
        <f>IF($AQ17="","",IF(INDEX(C_Pavement!$D$5:$D$204,$AQ17)&lt;&gt;"",UPPER(TRIM(INDEX(C_Pavement!$D$5:$D$204,$AQ17))),IF($AS17="","",INDEX(E_Rules!$C$5:$C$9,$AS17))))</f>
        <v/>
      </c>
      <c r="AU17" t="str">
        <f>IF($AQ17="","",IF(INDEX(C_Pavement!$E$5:$E$204,$AQ17)&lt;&gt;"",IF(INDEX(C_Pavement!$E$5:$E$204,$AQ17)="-","",INDEX(C_Pavement!$E$5:$E$204,$AQ17)),IF($AS17="","",INDEX(E_Rules!$D$5:$D$9,$AS17))))</f>
        <v/>
      </c>
      <c r="AV17" t="str">
        <f>IF($AQ17="","",IF(INDEX(C_Pavement!$F$5:$F$204,$AQ17)&lt;&gt;"",IF(INDEX(C_Pavement!$F$5:$F$204,$AQ17)="-","",INDEX(C_Pavement!$F$5:$F$204,$AQ17)),IF($AS17="","",INDEX(E_Rules!$E$5:$E$9,$AS17))))</f>
        <v/>
      </c>
      <c r="AW17" t="str">
        <f>IF($AQ17="","",IF(INDEX(C_Pavement!$G$5:$G$204,$AQ17)&lt;&gt;"",IF(INDEX(C_Pavement!$G$5:$G$204,$AQ17)="-","",INDEX(C_Pavement!$G$5:$G$204,$AQ17)),IF($AS17="","",INDEX(E_Rules!$F$5:$F$9,$AS17))))</f>
        <v/>
      </c>
      <c r="AX17" t="str">
        <f>IF($AQ17="","",IF(INDEX(C_Pavement!$H$5:$H$204,$AQ17)&lt;&gt;"",IF(INDEX(C_Pavement!$H$5:$H$204,$AQ17)="-","",INDEX(C_Pavement!$H$5:$H$204,$AQ17)),IF($AS17="","",INDEX(E_Rules!$G$5:$G$9,$AS17))))</f>
        <v/>
      </c>
      <c r="AY17" t="str">
        <f>IF($AQ17="","",IF(INDEX(C_Pavement!$I$5:$I$204,$AQ17)&lt;&gt;"",IF(INDEX(C_Pavement!$I$5:$I$204,$AQ17)="-","",INDEX(C_Pavement!$I$5:$I$204,$AQ17)),IF($AS17="","",INDEX(E_Rules!$H$5:$H$9,$AS17))))</f>
        <v/>
      </c>
    </row>
    <row r="18" spans="1:51" ht="14.4" customHeight="1" x14ac:dyDescent="0.3">
      <c r="A18" s="189">
        <v>13</v>
      </c>
      <c r="B18" s="180">
        <v>600</v>
      </c>
      <c r="C18" s="180" t="s">
        <v>324</v>
      </c>
      <c r="D18" s="181" t="str">
        <f>IFERROR(LOOKUP(2,1/((A_Corridor!$A$5:$A$204&lt;&gt;"")*(A_Corridor!$A$5:$A$204&lt;=$B18)*(A_Corridor!$B$5:$B$204&gt;$B18)*(A_Corridor!$C$5:$C$204&lt;&gt;"")),IF(UPPER(A_Corridor!$C$5:$C$204)="Y",1,"")),"")</f>
        <v/>
      </c>
      <c r="E18" s="181" t="str">
        <f>IFERROR(LOOKUP(2,1/((A_Corridor!$A$5:$A$204&lt;&gt;"")*(A_Corridor!$A$5:$A$204&lt;=$B18)*(A_Corridor!$B$5:$B$204&gt;$B18)*(A_Corridor!$D$5:$D$204&lt;&gt;"")),IF(A_Corridor!$D$5:$D$204="-","",UPPER(A_Corridor!$D$5:$D$204))),"")</f>
        <v/>
      </c>
      <c r="F18" s="181" t="str">
        <f>IFERROR(LOOKUP(2,1/((A_Corridor!$A$5:$A$204&lt;&gt;"")*(A_Corridor!$A$5:$A$204&lt;=$B18)*(A_Corridor!$B$5:$B$204&gt;$B18)*(A_Corridor!$E$5:$E$204&lt;&gt;"")),IF(A_Corridor!$E$5:$E$204="-","",1)),"")</f>
        <v/>
      </c>
      <c r="G18" s="182" t="str">
        <f>IFERROR(LOOKUP(2,1/((A_Corridor!$A$5:$A$204&lt;&gt;"")*(A_Corridor!$A$5:$A$204&lt;=$B18)*(A_Corridor!$B$5:$B$204&gt;$B18)*(A_Corridor!$E$5:$E$204&lt;&gt;"")),IF(A_Corridor!$E$5:$E$204="-","",A_Corridor!$E$5:$E$204)),"")</f>
        <v/>
      </c>
      <c r="H18" s="182" t="str">
        <f>IFERROR(LOOKUP(2,1/((D_Points!$A$5:$A$204&lt;&gt;"")*(D_Points!$A$5:$A$204&gt;=$B18)*(D_Points!$A$5:$A$204&lt;$B18+P_Interval)*(UPPER(TRIM(D_Points!$B$5:$B$204))="GULLY")*(D_Points!$H$5:$H$204&lt;&gt;"")),D_Points!$H$5:$H$204),"")</f>
        <v/>
      </c>
      <c r="I18" s="181" t="str">
        <f>IFERROR(LOOKUP(2,1/((A_Corridor!$A$5:$A$204&lt;&gt;"")*(A_Corridor!$A$5:$A$204&lt;=$B18)*(A_Corridor!$B$5:$B$204&gt;$B18)*(A_Corridor!$F$5:$F$204&lt;&gt;"")),IF(A_Corridor!$F$5:$F$204="-","",1)),"")</f>
        <v/>
      </c>
      <c r="J18" s="181" t="str">
        <f>IFERROR(LOOKUP(2,1/((A_Corridor!$A$5:$A$204&lt;&gt;"")*(A_Corridor!$A$5:$A$204&lt;=$B18)*(A_Corridor!$B$5:$B$204&gt;$B18)*(A_Corridor!$F$5:$F$204&lt;&gt;"")),IF(A_Corridor!$F$5:$F$204="-","",A_Corridor!$F$5:$F$204)),"")</f>
        <v/>
      </c>
      <c r="K18" s="181" t="str">
        <f>IFERROR(LOOKUP(2,1/((A_Corridor!$A$5:$A$204&lt;&gt;"")*(A_Corridor!$A$5:$A$204&lt;=$B18)*(A_Corridor!$B$5:$B$204&gt;$B18)*(A_Corridor!$G$5:$G$204&lt;&gt;"")),IF(A_Corridor!$G$5:$G$204="-","",A_Corridor!$G$5:$G$204)),"")</f>
        <v/>
      </c>
      <c r="L18" s="181" t="str">
        <f>IFERROR(LOOKUP(2,1/((A_Corridor!$A$5:$A$204&lt;&gt;"")*(A_Corridor!$A$5:$A$204&lt;=$B18)*(A_Corridor!$B$5:$B$204&gt;$B18)*(A_Corridor!$H$5:$H$204&lt;&gt;"")),IF(A_Corridor!$H$5:$H$204="-","",1)),"")</f>
        <v/>
      </c>
      <c r="M18" s="182" t="str">
        <f>IFERROR(LOOKUP(2,1/((A_Corridor!$A$5:$A$204&lt;&gt;"")*(A_Corridor!$A$5:$A$204&lt;=$B18)*(A_Corridor!$B$5:$B$204&gt;$B18)*(A_Corridor!$H$5:$H$204&lt;&gt;"")),IF(A_Corridor!$H$5:$H$204="-","",A_Corridor!$H$5:$H$204)),"")</f>
        <v/>
      </c>
      <c r="N18" s="182" t="str">
        <f>IFERROR(LOOKUP(2,1/((A_Corridor!$A$5:$A$204&lt;&gt;"")*(A_Corridor!$A$5:$A$204&lt;=$B18)*(A_Corridor!$B$5:$B$204&gt;$B18)*(A_Corridor!$I$5:$I$204&lt;&gt;"")),IF(A_Corridor!$I$5:$I$204="-","",A_Corridor!$I$5:$I$204)),"")</f>
        <v/>
      </c>
      <c r="O18" s="182" t="str">
        <f>IFERROR(LOOKUP(2,1/((D_Points!$A$5:$A$204&lt;&gt;"")*(D_Points!$A$5:$A$204&gt;=$B18)*(D_Points!$A$5:$A$204&lt;$B18+P_Interval)*(UPPER(TRIM(D_Points!$B$5:$B$204))="PITCHING")*(D_Points!$H$5:$H$204&lt;&gt;"")),D_Points!$H$5:$H$204),"")</f>
        <v/>
      </c>
      <c r="P18" s="181" t="str">
        <f>IFERROR(LOOKUP(2,1/((B_Drainage!$A$5:$A$204&lt;&gt;"")*(B_Drainage!$A$5:$A$204&lt;=$B18)*(B_Drainage!$B$5:$B$204&gt;$B18)*(B_Drainage!$C$5:$C$204&lt;&gt;"")),IF(B_Drainage!$C$5:$C$204="-","",UPPER(B_Drainage!$C$5:$C$204))),"")</f>
        <v/>
      </c>
      <c r="Q18" s="181" t="str">
        <f>IFERROR(LOOKUP(2,1/((B_Drainage!$A$5:$A$204&lt;&gt;"")*(B_Drainage!$A$5:$A$204&lt;=$B18)*(B_Drainage!$B$5:$B$204&gt;$B18)*(B_Drainage!$D$5:$D$204&lt;&gt;"")),IF(B_Drainage!$D$5:$D$204="-","",UPPER(B_Drainage!$D$5:$D$204))),"")</f>
        <v/>
      </c>
      <c r="R18" s="182" t="str">
        <f>IFERROR(LOOKUP(2,1/((D_Points!$A$5:$A$204&lt;&gt;"")*(D_Points!$A$5:$A$204&gt;=$B18)*(D_Points!$A$5:$A$204&lt;$B18+P_Interval)*(RIGHT(UPPER(TRIM(D_Points!$B$5:$B$204)),8)="_CULVERT")),IF(LEFT(UPPER(TRIM(D_Points!$B$5:$B$204)),2)="EX",1,IF(LEFT(UPPER(TRIM(D_Points!$B$5:$B$204)),2)="PR",2,3))),"")</f>
        <v/>
      </c>
      <c r="S18" s="182" t="str">
        <f>IFERROR(LOOKUP(2,1/((D_Points!$A$5:$A$204&lt;&gt;"")*(D_Points!$A$5:$A$204&gt;=$B18)*(D_Points!$A$5:$A$204&lt;$B18+P_Interval)*(RIGHT(UPPER(TRIM(D_Points!$B$5:$B$204)),7)="_BRIDGE")),IF(LEFT(UPPER(TRIM(D_Points!$B$5:$B$204)),2)="EX",1,IF(LEFT(UPPER(TRIM(D_Points!$B$5:$B$204)),2)="PR",2,2))),"")</f>
        <v/>
      </c>
      <c r="T18" s="181" t="str">
        <f>IFERROR(LOOKUP(2,1/((B_Drainage!$A$5:$A$204&lt;&gt;"")*(B_Drainage!$A$5:$A$204&lt;=$B18)*(B_Drainage!$B$5:$B$204&gt;$B18)*(B_Drainage!$E$5:$E$204&lt;&gt;"")),IF(B_Drainage!$E$5:$E$204="-","",1)),"")</f>
        <v/>
      </c>
      <c r="U18" s="181" t="str">
        <f>IFERROR(LOOKUP(2,1/((B_Drainage!$A$5:$A$204&lt;&gt;"")*(B_Drainage!$A$5:$A$204&lt;=$B18)*(B_Drainage!$B$5:$B$204&gt;$B18)*(B_Drainage!$E$5:$E$204&lt;&gt;"")),IF(B_Drainage!$E$5:$E$204="-","",B_Drainage!$E$5:$E$204)),"")</f>
        <v/>
      </c>
      <c r="V18" s="181" t="str">
        <f>IFERROR(LOOKUP(2,1/((B_Drainage!$A$5:$A$204&lt;&gt;"")*(B_Drainage!$A$5:$A$204&lt;=$B18)*(B_Drainage!$B$5:$B$204&gt;$B18)*(B_Drainage!$F$5:$F$204&lt;&gt;"")),IF(B_Drainage!$F$5:$F$204="-","",1)),"")</f>
        <v/>
      </c>
      <c r="W18" s="181" t="str">
        <f>IFERROR(LOOKUP(2,1/((B_Drainage!$A$5:$A$204&lt;&gt;"")*(B_Drainage!$A$5:$A$204&lt;=$B18)*(B_Drainage!$B$5:$B$204&gt;$B18)*(B_Drainage!$F$5:$F$204&lt;&gt;"")),IF(B_Drainage!$F$5:$F$204="-","",B_Drainage!$F$5:$F$204)),"")</f>
        <v/>
      </c>
      <c r="X18" s="181" t="str">
        <f>IFERROR(LOOKUP(2,1/((B_Drainage!$A$5:$A$204&lt;&gt;"")*(B_Drainage!$A$5:$A$204&lt;=$B18)*(B_Drainage!$B$5:$B$204&gt;$B18)*(B_Drainage!$G$5:$G$204&lt;&gt;"")),IF(UPPER(B_Drainage!$G$5:$G$204)="Y",1,"")),"")</f>
        <v/>
      </c>
      <c r="Y18" s="181" t="str">
        <f>IFERROR(LOOKUP(2,1/((B_Drainage!$A$5:$A$204&lt;&gt;"")*(B_Drainage!$A$5:$A$204&lt;=$B18)*(B_Drainage!$B$5:$B$204&gt;$B18)*(B_Drainage!$H$5:$H$204&lt;&gt;"")),IF(UPPER(B_Drainage!$H$5:$H$204)="Y",1,"")),"")</f>
        <v/>
      </c>
      <c r="Z18" s="181" t="str">
        <f>IFERROR(LOOKUP(2,1/((B_Drainage!$A$5:$A$204&lt;&gt;"")*(B_Drainage!$A$5:$A$204&lt;=$B18)*(B_Drainage!$B$5:$B$204&gt;$B18)*(B_Drainage!$I$5:$I$204&lt;&gt;"")),IF(UPPER(B_Drainage!$I$5:$I$204)="Y",1,"")),"")</f>
        <v/>
      </c>
      <c r="AA18" s="181" t="str">
        <f>IFERROR(LOOKUP(2,1/((B_Drainage!$A$5:$A$204&lt;&gt;"")*(B_Drainage!$A$5:$A$204&lt;=$B18)*(B_Drainage!$B$5:$B$204&gt;$B18)*(B_Drainage!$J$5:$J$204&lt;&gt;"")),IF(UPPER(B_Drainage!$J$5:$J$204)="Y",1,"")),"")</f>
        <v/>
      </c>
      <c r="AB18" s="182" t="str">
        <f>IFERROR(LOOKUP(2,1/((B_Drainage!$A$5:$A$204&lt;&gt;"")*(B_Drainage!$A$5:$A$204&lt;=$B18)*(B_Drainage!$B$5:$B$204&gt;$B18)*(B_Drainage!$K$5:$K$204&lt;&gt;"")),IF(B_Drainage!$K$5:$K$204="-","",B_Drainage!$K$5:$K$204)),"")</f>
        <v/>
      </c>
      <c r="AC18" s="182" t="str">
        <f>IFERROR(LOOKUP(2,1/((B_Drainage!$A$5:$A$204&lt;&gt;"")*(B_Drainage!$A$5:$A$204&lt;=$B18)*(B_Drainage!$B$5:$B$204&gt;$B18)*(B_Drainage!$L$5:$L$204&lt;&gt;"")),IF(B_Drainage!$L$5:$L$204="-","",B_Drainage!$L$5:$L$204)),"")</f>
        <v/>
      </c>
      <c r="AD18" s="182" t="str">
        <f>IFERROR(LOOKUP(2,1/((D_Points!$A$5:$A$204&lt;&gt;"")*(D_Points!$A$5:$A$204&gt;=$B18)*(D_Points!$A$5:$A$204&lt;$B18+P_Interval)*(UPPER(TRIM(D_Points!$B$5:$B$204))="TURNOUT_L")*(D_Points!$H$5:$H$204&lt;&gt;"")),D_Points!$H$5:$H$204),"")</f>
        <v/>
      </c>
      <c r="AE18" s="182" t="str">
        <f>IFERROR(LOOKUP(2,1/((D_Points!$A$5:$A$204&lt;&gt;"")*(D_Points!$A$5:$A$204&gt;=$B18)*(D_Points!$A$5:$A$204&lt;$B18+P_Interval)*(UPPER(TRIM(D_Points!$B$5:$B$204))="TURNOUT_R")*(D_Points!$H$5:$H$204&lt;&gt;"")),D_Points!$H$5:$H$204),"")</f>
        <v/>
      </c>
      <c r="AF18" s="181" t="str">
        <f>IFERROR(LOOKUP(2,1/((B_Drainage!$A$5:$A$204&lt;&gt;"")*(B_Drainage!$A$5:$A$204&lt;=$B18)*(B_Drainage!$B$5:$B$204&gt;$B18)*(B_Drainage!$M$5:$M$204&lt;&gt;"")),IF(UPPER(B_Drainage!$M$5:$M$204)="Y",1,"")),"")</f>
        <v/>
      </c>
      <c r="AG18" s="181" t="str">
        <f>IFERROR(LOOKUP(2,1/((B_Drainage!$A$5:$A$204&lt;&gt;"")*(B_Drainage!$A$5:$A$204&lt;=$B18)*(B_Drainage!$B$5:$B$204&gt;$B18)*(B_Drainage!$N$5:$N$204&lt;&gt;"")),IF(UPPER(B_Drainage!$N$5:$N$204)="Y",1,"")),"")</f>
        <v/>
      </c>
      <c r="AH18" s="181" t="str">
        <f t="shared" si="0"/>
        <v/>
      </c>
      <c r="AI18" s="181" t="str">
        <f t="shared" si="1"/>
        <v/>
      </c>
      <c r="AJ18" s="181" t="str">
        <f t="shared" si="2"/>
        <v/>
      </c>
      <c r="AK18" s="181" t="str">
        <f t="shared" si="3"/>
        <v/>
      </c>
      <c r="AL18" s="181" t="str">
        <f t="shared" si="4"/>
        <v/>
      </c>
      <c r="AM18" s="181" t="str">
        <f t="shared" si="5"/>
        <v/>
      </c>
      <c r="AN18" s="181" t="str">
        <f t="shared" si="6"/>
        <v/>
      </c>
      <c r="AO18" s="192" t="str">
        <f t="shared" si="7"/>
        <v/>
      </c>
      <c r="AQ18" t="str">
        <f>IFERROR(LOOKUP(2,1/((C_Pavement!$A$5:$A$204&lt;&gt;"")*(C_Pavement!$A$5:$A$204&lt;=$B18)*(C_Pavement!$B$5:$B$204&gt;$B18)*(C_Pavement!$C$5:$C$204&lt;&gt;"")),ROW(C_Pavement!$C$5:$C$204)-4),"")</f>
        <v/>
      </c>
      <c r="AR18" t="str">
        <f>IF($AQ18="","",UPPER(TRIM(INDEX(C_Pavement!$C$5:$C$204,$AQ18))))</f>
        <v/>
      </c>
      <c r="AS18" t="str">
        <f>IF($AR18="","",IFERROR(MATCH($AR18,E_Rules!$A$5:$A$9,0),""))</f>
        <v/>
      </c>
      <c r="AT18" t="str">
        <f>IF($AQ18="","",IF(INDEX(C_Pavement!$D$5:$D$204,$AQ18)&lt;&gt;"",UPPER(TRIM(INDEX(C_Pavement!$D$5:$D$204,$AQ18))),IF($AS18="","",INDEX(E_Rules!$C$5:$C$9,$AS18))))</f>
        <v/>
      </c>
      <c r="AU18" t="str">
        <f>IF($AQ18="","",IF(INDEX(C_Pavement!$E$5:$E$204,$AQ18)&lt;&gt;"",IF(INDEX(C_Pavement!$E$5:$E$204,$AQ18)="-","",INDEX(C_Pavement!$E$5:$E$204,$AQ18)),IF($AS18="","",INDEX(E_Rules!$D$5:$D$9,$AS18))))</f>
        <v/>
      </c>
      <c r="AV18" t="str">
        <f>IF($AQ18="","",IF(INDEX(C_Pavement!$F$5:$F$204,$AQ18)&lt;&gt;"",IF(INDEX(C_Pavement!$F$5:$F$204,$AQ18)="-","",INDEX(C_Pavement!$F$5:$F$204,$AQ18)),IF($AS18="","",INDEX(E_Rules!$E$5:$E$9,$AS18))))</f>
        <v/>
      </c>
      <c r="AW18" t="str">
        <f>IF($AQ18="","",IF(INDEX(C_Pavement!$G$5:$G$204,$AQ18)&lt;&gt;"",IF(INDEX(C_Pavement!$G$5:$G$204,$AQ18)="-","",INDEX(C_Pavement!$G$5:$G$204,$AQ18)),IF($AS18="","",INDEX(E_Rules!$F$5:$F$9,$AS18))))</f>
        <v/>
      </c>
      <c r="AX18" t="str">
        <f>IF($AQ18="","",IF(INDEX(C_Pavement!$H$5:$H$204,$AQ18)&lt;&gt;"",IF(INDEX(C_Pavement!$H$5:$H$204,$AQ18)="-","",INDEX(C_Pavement!$H$5:$H$204,$AQ18)),IF($AS18="","",INDEX(E_Rules!$G$5:$G$9,$AS18))))</f>
        <v/>
      </c>
      <c r="AY18" t="str">
        <f>IF($AQ18="","",IF(INDEX(C_Pavement!$I$5:$I$204,$AQ18)&lt;&gt;"",IF(INDEX(C_Pavement!$I$5:$I$204,$AQ18)="-","",INDEX(C_Pavement!$I$5:$I$204,$AQ18)),IF($AS18="","",INDEX(E_Rules!$H$5:$H$9,$AS18))))</f>
        <v/>
      </c>
    </row>
    <row r="19" spans="1:51" ht="14.4" customHeight="1" x14ac:dyDescent="0.3">
      <c r="A19" s="189">
        <v>14</v>
      </c>
      <c r="B19" s="180">
        <v>650</v>
      </c>
      <c r="C19" s="180" t="s">
        <v>325</v>
      </c>
      <c r="D19" s="181" t="str">
        <f>IFERROR(LOOKUP(2,1/((A_Corridor!$A$5:$A$204&lt;&gt;"")*(A_Corridor!$A$5:$A$204&lt;=$B19)*(A_Corridor!$B$5:$B$204&gt;$B19)*(A_Corridor!$C$5:$C$204&lt;&gt;"")),IF(UPPER(A_Corridor!$C$5:$C$204)="Y",1,"")),"")</f>
        <v/>
      </c>
      <c r="E19" s="181" t="str">
        <f>IFERROR(LOOKUP(2,1/((A_Corridor!$A$5:$A$204&lt;&gt;"")*(A_Corridor!$A$5:$A$204&lt;=$B19)*(A_Corridor!$B$5:$B$204&gt;$B19)*(A_Corridor!$D$5:$D$204&lt;&gt;"")),IF(A_Corridor!$D$5:$D$204="-","",UPPER(A_Corridor!$D$5:$D$204))),"")</f>
        <v/>
      </c>
      <c r="F19" s="181" t="str">
        <f>IFERROR(LOOKUP(2,1/((A_Corridor!$A$5:$A$204&lt;&gt;"")*(A_Corridor!$A$5:$A$204&lt;=$B19)*(A_Corridor!$B$5:$B$204&gt;$B19)*(A_Corridor!$E$5:$E$204&lt;&gt;"")),IF(A_Corridor!$E$5:$E$204="-","",1)),"")</f>
        <v/>
      </c>
      <c r="G19" s="182" t="str">
        <f>IFERROR(LOOKUP(2,1/((A_Corridor!$A$5:$A$204&lt;&gt;"")*(A_Corridor!$A$5:$A$204&lt;=$B19)*(A_Corridor!$B$5:$B$204&gt;$B19)*(A_Corridor!$E$5:$E$204&lt;&gt;"")),IF(A_Corridor!$E$5:$E$204="-","",A_Corridor!$E$5:$E$204)),"")</f>
        <v/>
      </c>
      <c r="H19" s="182" t="str">
        <f>IFERROR(LOOKUP(2,1/((D_Points!$A$5:$A$204&lt;&gt;"")*(D_Points!$A$5:$A$204&gt;=$B19)*(D_Points!$A$5:$A$204&lt;$B19+P_Interval)*(UPPER(TRIM(D_Points!$B$5:$B$204))="GULLY")*(D_Points!$H$5:$H$204&lt;&gt;"")),D_Points!$H$5:$H$204),"")</f>
        <v/>
      </c>
      <c r="I19" s="181" t="str">
        <f>IFERROR(LOOKUP(2,1/((A_Corridor!$A$5:$A$204&lt;&gt;"")*(A_Corridor!$A$5:$A$204&lt;=$B19)*(A_Corridor!$B$5:$B$204&gt;$B19)*(A_Corridor!$F$5:$F$204&lt;&gt;"")),IF(A_Corridor!$F$5:$F$204="-","",1)),"")</f>
        <v/>
      </c>
      <c r="J19" s="181" t="str">
        <f>IFERROR(LOOKUP(2,1/((A_Corridor!$A$5:$A$204&lt;&gt;"")*(A_Corridor!$A$5:$A$204&lt;=$B19)*(A_Corridor!$B$5:$B$204&gt;$B19)*(A_Corridor!$F$5:$F$204&lt;&gt;"")),IF(A_Corridor!$F$5:$F$204="-","",A_Corridor!$F$5:$F$204)),"")</f>
        <v/>
      </c>
      <c r="K19" s="181" t="str">
        <f>IFERROR(LOOKUP(2,1/((A_Corridor!$A$5:$A$204&lt;&gt;"")*(A_Corridor!$A$5:$A$204&lt;=$B19)*(A_Corridor!$B$5:$B$204&gt;$B19)*(A_Corridor!$G$5:$G$204&lt;&gt;"")),IF(A_Corridor!$G$5:$G$204="-","",A_Corridor!$G$5:$G$204)),"")</f>
        <v/>
      </c>
      <c r="L19" s="181" t="str">
        <f>IFERROR(LOOKUP(2,1/((A_Corridor!$A$5:$A$204&lt;&gt;"")*(A_Corridor!$A$5:$A$204&lt;=$B19)*(A_Corridor!$B$5:$B$204&gt;$B19)*(A_Corridor!$H$5:$H$204&lt;&gt;"")),IF(A_Corridor!$H$5:$H$204="-","",1)),"")</f>
        <v/>
      </c>
      <c r="M19" s="182" t="str">
        <f>IFERROR(LOOKUP(2,1/((A_Corridor!$A$5:$A$204&lt;&gt;"")*(A_Corridor!$A$5:$A$204&lt;=$B19)*(A_Corridor!$B$5:$B$204&gt;$B19)*(A_Corridor!$H$5:$H$204&lt;&gt;"")),IF(A_Corridor!$H$5:$H$204="-","",A_Corridor!$H$5:$H$204)),"")</f>
        <v/>
      </c>
      <c r="N19" s="182" t="str">
        <f>IFERROR(LOOKUP(2,1/((A_Corridor!$A$5:$A$204&lt;&gt;"")*(A_Corridor!$A$5:$A$204&lt;=$B19)*(A_Corridor!$B$5:$B$204&gt;$B19)*(A_Corridor!$I$5:$I$204&lt;&gt;"")),IF(A_Corridor!$I$5:$I$204="-","",A_Corridor!$I$5:$I$204)),"")</f>
        <v/>
      </c>
      <c r="O19" s="182" t="str">
        <f>IFERROR(LOOKUP(2,1/((D_Points!$A$5:$A$204&lt;&gt;"")*(D_Points!$A$5:$A$204&gt;=$B19)*(D_Points!$A$5:$A$204&lt;$B19+P_Interval)*(UPPER(TRIM(D_Points!$B$5:$B$204))="PITCHING")*(D_Points!$H$5:$H$204&lt;&gt;"")),D_Points!$H$5:$H$204),"")</f>
        <v/>
      </c>
      <c r="P19" s="181" t="str">
        <f>IFERROR(LOOKUP(2,1/((B_Drainage!$A$5:$A$204&lt;&gt;"")*(B_Drainage!$A$5:$A$204&lt;=$B19)*(B_Drainage!$B$5:$B$204&gt;$B19)*(B_Drainage!$C$5:$C$204&lt;&gt;"")),IF(B_Drainage!$C$5:$C$204="-","",UPPER(B_Drainage!$C$5:$C$204))),"")</f>
        <v/>
      </c>
      <c r="Q19" s="181" t="str">
        <f>IFERROR(LOOKUP(2,1/((B_Drainage!$A$5:$A$204&lt;&gt;"")*(B_Drainage!$A$5:$A$204&lt;=$B19)*(B_Drainage!$B$5:$B$204&gt;$B19)*(B_Drainage!$D$5:$D$204&lt;&gt;"")),IF(B_Drainage!$D$5:$D$204="-","",UPPER(B_Drainage!$D$5:$D$204))),"")</f>
        <v/>
      </c>
      <c r="R19" s="182" t="str">
        <f>IFERROR(LOOKUP(2,1/((D_Points!$A$5:$A$204&lt;&gt;"")*(D_Points!$A$5:$A$204&gt;=$B19)*(D_Points!$A$5:$A$204&lt;$B19+P_Interval)*(RIGHT(UPPER(TRIM(D_Points!$B$5:$B$204)),8)="_CULVERT")),IF(LEFT(UPPER(TRIM(D_Points!$B$5:$B$204)),2)="EX",1,IF(LEFT(UPPER(TRIM(D_Points!$B$5:$B$204)),2)="PR",2,3))),"")</f>
        <v/>
      </c>
      <c r="S19" s="182" t="str">
        <f>IFERROR(LOOKUP(2,1/((D_Points!$A$5:$A$204&lt;&gt;"")*(D_Points!$A$5:$A$204&gt;=$B19)*(D_Points!$A$5:$A$204&lt;$B19+P_Interval)*(RIGHT(UPPER(TRIM(D_Points!$B$5:$B$204)),7)="_BRIDGE")),IF(LEFT(UPPER(TRIM(D_Points!$B$5:$B$204)),2)="EX",1,IF(LEFT(UPPER(TRIM(D_Points!$B$5:$B$204)),2)="PR",2,2))),"")</f>
        <v/>
      </c>
      <c r="T19" s="181" t="str">
        <f>IFERROR(LOOKUP(2,1/((B_Drainage!$A$5:$A$204&lt;&gt;"")*(B_Drainage!$A$5:$A$204&lt;=$B19)*(B_Drainage!$B$5:$B$204&gt;$B19)*(B_Drainage!$E$5:$E$204&lt;&gt;"")),IF(B_Drainage!$E$5:$E$204="-","",1)),"")</f>
        <v/>
      </c>
      <c r="U19" s="181" t="str">
        <f>IFERROR(LOOKUP(2,1/((B_Drainage!$A$5:$A$204&lt;&gt;"")*(B_Drainage!$A$5:$A$204&lt;=$B19)*(B_Drainage!$B$5:$B$204&gt;$B19)*(B_Drainage!$E$5:$E$204&lt;&gt;"")),IF(B_Drainage!$E$5:$E$204="-","",B_Drainage!$E$5:$E$204)),"")</f>
        <v/>
      </c>
      <c r="V19" s="181" t="str">
        <f>IFERROR(LOOKUP(2,1/((B_Drainage!$A$5:$A$204&lt;&gt;"")*(B_Drainage!$A$5:$A$204&lt;=$B19)*(B_Drainage!$B$5:$B$204&gt;$B19)*(B_Drainage!$F$5:$F$204&lt;&gt;"")),IF(B_Drainage!$F$5:$F$204="-","",1)),"")</f>
        <v/>
      </c>
      <c r="W19" s="181" t="str">
        <f>IFERROR(LOOKUP(2,1/((B_Drainage!$A$5:$A$204&lt;&gt;"")*(B_Drainage!$A$5:$A$204&lt;=$B19)*(B_Drainage!$B$5:$B$204&gt;$B19)*(B_Drainage!$F$5:$F$204&lt;&gt;"")),IF(B_Drainage!$F$5:$F$204="-","",B_Drainage!$F$5:$F$204)),"")</f>
        <v/>
      </c>
      <c r="X19" s="181" t="str">
        <f>IFERROR(LOOKUP(2,1/((B_Drainage!$A$5:$A$204&lt;&gt;"")*(B_Drainage!$A$5:$A$204&lt;=$B19)*(B_Drainage!$B$5:$B$204&gt;$B19)*(B_Drainage!$G$5:$G$204&lt;&gt;"")),IF(UPPER(B_Drainage!$G$5:$G$204)="Y",1,"")),"")</f>
        <v/>
      </c>
      <c r="Y19" s="181" t="str">
        <f>IFERROR(LOOKUP(2,1/((B_Drainage!$A$5:$A$204&lt;&gt;"")*(B_Drainage!$A$5:$A$204&lt;=$B19)*(B_Drainage!$B$5:$B$204&gt;$B19)*(B_Drainage!$H$5:$H$204&lt;&gt;"")),IF(UPPER(B_Drainage!$H$5:$H$204)="Y",1,"")),"")</f>
        <v/>
      </c>
      <c r="Z19" s="181" t="str">
        <f>IFERROR(LOOKUP(2,1/((B_Drainage!$A$5:$A$204&lt;&gt;"")*(B_Drainage!$A$5:$A$204&lt;=$B19)*(B_Drainage!$B$5:$B$204&gt;$B19)*(B_Drainage!$I$5:$I$204&lt;&gt;"")),IF(UPPER(B_Drainage!$I$5:$I$204)="Y",1,"")),"")</f>
        <v/>
      </c>
      <c r="AA19" s="181" t="str">
        <f>IFERROR(LOOKUP(2,1/((B_Drainage!$A$5:$A$204&lt;&gt;"")*(B_Drainage!$A$5:$A$204&lt;=$B19)*(B_Drainage!$B$5:$B$204&gt;$B19)*(B_Drainage!$J$5:$J$204&lt;&gt;"")),IF(UPPER(B_Drainage!$J$5:$J$204)="Y",1,"")),"")</f>
        <v/>
      </c>
      <c r="AB19" s="182" t="str">
        <f>IFERROR(LOOKUP(2,1/((B_Drainage!$A$5:$A$204&lt;&gt;"")*(B_Drainage!$A$5:$A$204&lt;=$B19)*(B_Drainage!$B$5:$B$204&gt;$B19)*(B_Drainage!$K$5:$K$204&lt;&gt;"")),IF(B_Drainage!$K$5:$K$204="-","",B_Drainage!$K$5:$K$204)),"")</f>
        <v/>
      </c>
      <c r="AC19" s="182" t="str">
        <f>IFERROR(LOOKUP(2,1/((B_Drainage!$A$5:$A$204&lt;&gt;"")*(B_Drainage!$A$5:$A$204&lt;=$B19)*(B_Drainage!$B$5:$B$204&gt;$B19)*(B_Drainage!$L$5:$L$204&lt;&gt;"")),IF(B_Drainage!$L$5:$L$204="-","",B_Drainage!$L$5:$L$204)),"")</f>
        <v/>
      </c>
      <c r="AD19" s="182" t="str">
        <f>IFERROR(LOOKUP(2,1/((D_Points!$A$5:$A$204&lt;&gt;"")*(D_Points!$A$5:$A$204&gt;=$B19)*(D_Points!$A$5:$A$204&lt;$B19+P_Interval)*(UPPER(TRIM(D_Points!$B$5:$B$204))="TURNOUT_L")*(D_Points!$H$5:$H$204&lt;&gt;"")),D_Points!$H$5:$H$204),"")</f>
        <v/>
      </c>
      <c r="AE19" s="182" t="str">
        <f>IFERROR(LOOKUP(2,1/((D_Points!$A$5:$A$204&lt;&gt;"")*(D_Points!$A$5:$A$204&gt;=$B19)*(D_Points!$A$5:$A$204&lt;$B19+P_Interval)*(UPPER(TRIM(D_Points!$B$5:$B$204))="TURNOUT_R")*(D_Points!$H$5:$H$204&lt;&gt;"")),D_Points!$H$5:$H$204),"")</f>
        <v/>
      </c>
      <c r="AF19" s="181" t="str">
        <f>IFERROR(LOOKUP(2,1/((B_Drainage!$A$5:$A$204&lt;&gt;"")*(B_Drainage!$A$5:$A$204&lt;=$B19)*(B_Drainage!$B$5:$B$204&gt;$B19)*(B_Drainage!$M$5:$M$204&lt;&gt;"")),IF(UPPER(B_Drainage!$M$5:$M$204)="Y",1,"")),"")</f>
        <v/>
      </c>
      <c r="AG19" s="181" t="str">
        <f>IFERROR(LOOKUP(2,1/((B_Drainage!$A$5:$A$204&lt;&gt;"")*(B_Drainage!$A$5:$A$204&lt;=$B19)*(B_Drainage!$B$5:$B$204&gt;$B19)*(B_Drainage!$N$5:$N$204&lt;&gt;"")),IF(UPPER(B_Drainage!$N$5:$N$204)="Y",1,"")),"")</f>
        <v/>
      </c>
      <c r="AH19" s="181" t="str">
        <f t="shared" si="0"/>
        <v/>
      </c>
      <c r="AI19" s="181" t="str">
        <f t="shared" si="1"/>
        <v/>
      </c>
      <c r="AJ19" s="181" t="str">
        <f t="shared" si="2"/>
        <v/>
      </c>
      <c r="AK19" s="181" t="str">
        <f t="shared" si="3"/>
        <v/>
      </c>
      <c r="AL19" s="181" t="str">
        <f t="shared" si="4"/>
        <v/>
      </c>
      <c r="AM19" s="181" t="str">
        <f t="shared" si="5"/>
        <v/>
      </c>
      <c r="AN19" s="181" t="str">
        <f t="shared" si="6"/>
        <v/>
      </c>
      <c r="AO19" s="192" t="str">
        <f t="shared" si="7"/>
        <v/>
      </c>
      <c r="AQ19" t="str">
        <f>IFERROR(LOOKUP(2,1/((C_Pavement!$A$5:$A$204&lt;&gt;"")*(C_Pavement!$A$5:$A$204&lt;=$B19)*(C_Pavement!$B$5:$B$204&gt;$B19)*(C_Pavement!$C$5:$C$204&lt;&gt;"")),ROW(C_Pavement!$C$5:$C$204)-4),"")</f>
        <v/>
      </c>
      <c r="AR19" t="str">
        <f>IF($AQ19="","",UPPER(TRIM(INDEX(C_Pavement!$C$5:$C$204,$AQ19))))</f>
        <v/>
      </c>
      <c r="AS19" t="str">
        <f>IF($AR19="","",IFERROR(MATCH($AR19,E_Rules!$A$5:$A$9,0),""))</f>
        <v/>
      </c>
      <c r="AT19" t="str">
        <f>IF($AQ19="","",IF(INDEX(C_Pavement!$D$5:$D$204,$AQ19)&lt;&gt;"",UPPER(TRIM(INDEX(C_Pavement!$D$5:$D$204,$AQ19))),IF($AS19="","",INDEX(E_Rules!$C$5:$C$9,$AS19))))</f>
        <v/>
      </c>
      <c r="AU19" t="str">
        <f>IF($AQ19="","",IF(INDEX(C_Pavement!$E$5:$E$204,$AQ19)&lt;&gt;"",IF(INDEX(C_Pavement!$E$5:$E$204,$AQ19)="-","",INDEX(C_Pavement!$E$5:$E$204,$AQ19)),IF($AS19="","",INDEX(E_Rules!$D$5:$D$9,$AS19))))</f>
        <v/>
      </c>
      <c r="AV19" t="str">
        <f>IF($AQ19="","",IF(INDEX(C_Pavement!$F$5:$F$204,$AQ19)&lt;&gt;"",IF(INDEX(C_Pavement!$F$5:$F$204,$AQ19)="-","",INDEX(C_Pavement!$F$5:$F$204,$AQ19)),IF($AS19="","",INDEX(E_Rules!$E$5:$E$9,$AS19))))</f>
        <v/>
      </c>
      <c r="AW19" t="str">
        <f>IF($AQ19="","",IF(INDEX(C_Pavement!$G$5:$G$204,$AQ19)&lt;&gt;"",IF(INDEX(C_Pavement!$G$5:$G$204,$AQ19)="-","",INDEX(C_Pavement!$G$5:$G$204,$AQ19)),IF($AS19="","",INDEX(E_Rules!$F$5:$F$9,$AS19))))</f>
        <v/>
      </c>
      <c r="AX19" t="str">
        <f>IF($AQ19="","",IF(INDEX(C_Pavement!$H$5:$H$204,$AQ19)&lt;&gt;"",IF(INDEX(C_Pavement!$H$5:$H$204,$AQ19)="-","",INDEX(C_Pavement!$H$5:$H$204,$AQ19)),IF($AS19="","",INDEX(E_Rules!$G$5:$G$9,$AS19))))</f>
        <v/>
      </c>
      <c r="AY19" t="str">
        <f>IF($AQ19="","",IF(INDEX(C_Pavement!$I$5:$I$204,$AQ19)&lt;&gt;"",IF(INDEX(C_Pavement!$I$5:$I$204,$AQ19)="-","",INDEX(C_Pavement!$I$5:$I$204,$AQ19)),IF($AS19="","",INDEX(E_Rules!$H$5:$H$9,$AS19))))</f>
        <v/>
      </c>
    </row>
    <row r="20" spans="1:51" ht="14.4" customHeight="1" x14ac:dyDescent="0.3">
      <c r="A20" s="189">
        <v>15</v>
      </c>
      <c r="B20" s="180">
        <v>700</v>
      </c>
      <c r="C20" s="180" t="s">
        <v>326</v>
      </c>
      <c r="D20" s="181" t="str">
        <f>IFERROR(LOOKUP(2,1/((A_Corridor!$A$5:$A$204&lt;&gt;"")*(A_Corridor!$A$5:$A$204&lt;=$B20)*(A_Corridor!$B$5:$B$204&gt;$B20)*(A_Corridor!$C$5:$C$204&lt;&gt;"")),IF(UPPER(A_Corridor!$C$5:$C$204)="Y",1,"")),"")</f>
        <v/>
      </c>
      <c r="E20" s="181" t="str">
        <f>IFERROR(LOOKUP(2,1/((A_Corridor!$A$5:$A$204&lt;&gt;"")*(A_Corridor!$A$5:$A$204&lt;=$B20)*(A_Corridor!$B$5:$B$204&gt;$B20)*(A_Corridor!$D$5:$D$204&lt;&gt;"")),IF(A_Corridor!$D$5:$D$204="-","",UPPER(A_Corridor!$D$5:$D$204))),"")</f>
        <v/>
      </c>
      <c r="F20" s="181" t="str">
        <f>IFERROR(LOOKUP(2,1/((A_Corridor!$A$5:$A$204&lt;&gt;"")*(A_Corridor!$A$5:$A$204&lt;=$B20)*(A_Corridor!$B$5:$B$204&gt;$B20)*(A_Corridor!$E$5:$E$204&lt;&gt;"")),IF(A_Corridor!$E$5:$E$204="-","",1)),"")</f>
        <v/>
      </c>
      <c r="G20" s="182" t="str">
        <f>IFERROR(LOOKUP(2,1/((A_Corridor!$A$5:$A$204&lt;&gt;"")*(A_Corridor!$A$5:$A$204&lt;=$B20)*(A_Corridor!$B$5:$B$204&gt;$B20)*(A_Corridor!$E$5:$E$204&lt;&gt;"")),IF(A_Corridor!$E$5:$E$204="-","",A_Corridor!$E$5:$E$204)),"")</f>
        <v/>
      </c>
      <c r="H20" s="182" t="str">
        <f>IFERROR(LOOKUP(2,1/((D_Points!$A$5:$A$204&lt;&gt;"")*(D_Points!$A$5:$A$204&gt;=$B20)*(D_Points!$A$5:$A$204&lt;$B20+P_Interval)*(UPPER(TRIM(D_Points!$B$5:$B$204))="GULLY")*(D_Points!$H$5:$H$204&lt;&gt;"")),D_Points!$H$5:$H$204),"")</f>
        <v/>
      </c>
      <c r="I20" s="181" t="str">
        <f>IFERROR(LOOKUP(2,1/((A_Corridor!$A$5:$A$204&lt;&gt;"")*(A_Corridor!$A$5:$A$204&lt;=$B20)*(A_Corridor!$B$5:$B$204&gt;$B20)*(A_Corridor!$F$5:$F$204&lt;&gt;"")),IF(A_Corridor!$F$5:$F$204="-","",1)),"")</f>
        <v/>
      </c>
      <c r="J20" s="182" t="str">
        <f>IFERROR(LOOKUP(2,1/((A_Corridor!$A$5:$A$204&lt;&gt;"")*(A_Corridor!$A$5:$A$204&lt;=$B20)*(A_Corridor!$B$5:$B$204&gt;$B20)*(A_Corridor!$F$5:$F$204&lt;&gt;"")),IF(A_Corridor!$F$5:$F$204="-","",A_Corridor!$F$5:$F$204)),"")</f>
        <v/>
      </c>
      <c r="K20" s="182" t="str">
        <f>IFERROR(LOOKUP(2,1/((A_Corridor!$A$5:$A$204&lt;&gt;"")*(A_Corridor!$A$5:$A$204&lt;=$B20)*(A_Corridor!$B$5:$B$204&gt;$B20)*(A_Corridor!$G$5:$G$204&lt;&gt;"")),IF(A_Corridor!$G$5:$G$204="-","",A_Corridor!$G$5:$G$204)),"")</f>
        <v/>
      </c>
      <c r="L20" s="181" t="str">
        <f>IFERROR(LOOKUP(2,1/((A_Corridor!$A$5:$A$204&lt;&gt;"")*(A_Corridor!$A$5:$A$204&lt;=$B20)*(A_Corridor!$B$5:$B$204&gt;$B20)*(A_Corridor!$H$5:$H$204&lt;&gt;"")),IF(A_Corridor!$H$5:$H$204="-","",1)),"")</f>
        <v/>
      </c>
      <c r="M20" s="182" t="str">
        <f>IFERROR(LOOKUP(2,1/((A_Corridor!$A$5:$A$204&lt;&gt;"")*(A_Corridor!$A$5:$A$204&lt;=$B20)*(A_Corridor!$B$5:$B$204&gt;$B20)*(A_Corridor!$H$5:$H$204&lt;&gt;"")),IF(A_Corridor!$H$5:$H$204="-","",A_Corridor!$H$5:$H$204)),"")</f>
        <v/>
      </c>
      <c r="N20" s="182" t="str">
        <f>IFERROR(LOOKUP(2,1/((A_Corridor!$A$5:$A$204&lt;&gt;"")*(A_Corridor!$A$5:$A$204&lt;=$B20)*(A_Corridor!$B$5:$B$204&gt;$B20)*(A_Corridor!$I$5:$I$204&lt;&gt;"")),IF(A_Corridor!$I$5:$I$204="-","",A_Corridor!$I$5:$I$204)),"")</f>
        <v/>
      </c>
      <c r="O20" s="182" t="str">
        <f>IFERROR(LOOKUP(2,1/((D_Points!$A$5:$A$204&lt;&gt;"")*(D_Points!$A$5:$A$204&gt;=$B20)*(D_Points!$A$5:$A$204&lt;$B20+P_Interval)*(UPPER(TRIM(D_Points!$B$5:$B$204))="PITCHING")*(D_Points!$H$5:$H$204&lt;&gt;"")),D_Points!$H$5:$H$204),"")</f>
        <v/>
      </c>
      <c r="P20" s="181" t="str">
        <f>IFERROR(LOOKUP(2,1/((B_Drainage!$A$5:$A$204&lt;&gt;"")*(B_Drainage!$A$5:$A$204&lt;=$B20)*(B_Drainage!$B$5:$B$204&gt;$B20)*(B_Drainage!$C$5:$C$204&lt;&gt;"")),IF(B_Drainage!$C$5:$C$204="-","",UPPER(B_Drainage!$C$5:$C$204))),"")</f>
        <v/>
      </c>
      <c r="Q20" s="181" t="str">
        <f>IFERROR(LOOKUP(2,1/((B_Drainage!$A$5:$A$204&lt;&gt;"")*(B_Drainage!$A$5:$A$204&lt;=$B20)*(B_Drainage!$B$5:$B$204&gt;$B20)*(B_Drainage!$D$5:$D$204&lt;&gt;"")),IF(B_Drainage!$D$5:$D$204="-","",UPPER(B_Drainage!$D$5:$D$204))),"")</f>
        <v/>
      </c>
      <c r="R20" s="182" t="str">
        <f>IFERROR(LOOKUP(2,1/((D_Points!$A$5:$A$204&lt;&gt;"")*(D_Points!$A$5:$A$204&gt;=$B20)*(D_Points!$A$5:$A$204&lt;$B20+P_Interval)*(RIGHT(UPPER(TRIM(D_Points!$B$5:$B$204)),8)="_CULVERT")),IF(LEFT(UPPER(TRIM(D_Points!$B$5:$B$204)),2)="EX",1,IF(LEFT(UPPER(TRIM(D_Points!$B$5:$B$204)),2)="PR",2,3))),"")</f>
        <v/>
      </c>
      <c r="S20" s="182" t="str">
        <f>IFERROR(LOOKUP(2,1/((D_Points!$A$5:$A$204&lt;&gt;"")*(D_Points!$A$5:$A$204&gt;=$B20)*(D_Points!$A$5:$A$204&lt;$B20+P_Interval)*(RIGHT(UPPER(TRIM(D_Points!$B$5:$B$204)),7)="_BRIDGE")),IF(LEFT(UPPER(TRIM(D_Points!$B$5:$B$204)),2)="EX",1,IF(LEFT(UPPER(TRIM(D_Points!$B$5:$B$204)),2)="PR",2,2))),"")</f>
        <v/>
      </c>
      <c r="T20" s="181" t="str">
        <f>IFERROR(LOOKUP(2,1/((B_Drainage!$A$5:$A$204&lt;&gt;"")*(B_Drainage!$A$5:$A$204&lt;=$B20)*(B_Drainage!$B$5:$B$204&gt;$B20)*(B_Drainage!$E$5:$E$204&lt;&gt;"")),IF(B_Drainage!$E$5:$E$204="-","",1)),"")</f>
        <v/>
      </c>
      <c r="U20" s="181" t="str">
        <f>IFERROR(LOOKUP(2,1/((B_Drainage!$A$5:$A$204&lt;&gt;"")*(B_Drainage!$A$5:$A$204&lt;=$B20)*(B_Drainage!$B$5:$B$204&gt;$B20)*(B_Drainage!$E$5:$E$204&lt;&gt;"")),IF(B_Drainage!$E$5:$E$204="-","",B_Drainage!$E$5:$E$204)),"")</f>
        <v/>
      </c>
      <c r="V20" s="181" t="str">
        <f>IFERROR(LOOKUP(2,1/((B_Drainage!$A$5:$A$204&lt;&gt;"")*(B_Drainage!$A$5:$A$204&lt;=$B20)*(B_Drainage!$B$5:$B$204&gt;$B20)*(B_Drainage!$F$5:$F$204&lt;&gt;"")),IF(B_Drainage!$F$5:$F$204="-","",1)),"")</f>
        <v/>
      </c>
      <c r="W20" s="181" t="str">
        <f>IFERROR(LOOKUP(2,1/((B_Drainage!$A$5:$A$204&lt;&gt;"")*(B_Drainage!$A$5:$A$204&lt;=$B20)*(B_Drainage!$B$5:$B$204&gt;$B20)*(B_Drainage!$F$5:$F$204&lt;&gt;"")),IF(B_Drainage!$F$5:$F$204="-","",B_Drainage!$F$5:$F$204)),"")</f>
        <v/>
      </c>
      <c r="X20" s="181" t="str">
        <f>IFERROR(LOOKUP(2,1/((B_Drainage!$A$5:$A$204&lt;&gt;"")*(B_Drainage!$A$5:$A$204&lt;=$B20)*(B_Drainage!$B$5:$B$204&gt;$B20)*(B_Drainage!$G$5:$G$204&lt;&gt;"")),IF(UPPER(B_Drainage!$G$5:$G$204)="Y",1,"")),"")</f>
        <v/>
      </c>
      <c r="Y20" s="181" t="str">
        <f>IFERROR(LOOKUP(2,1/((B_Drainage!$A$5:$A$204&lt;&gt;"")*(B_Drainage!$A$5:$A$204&lt;=$B20)*(B_Drainage!$B$5:$B$204&gt;$B20)*(B_Drainage!$H$5:$H$204&lt;&gt;"")),IF(UPPER(B_Drainage!$H$5:$H$204)="Y",1,"")),"")</f>
        <v/>
      </c>
      <c r="Z20" s="181" t="str">
        <f>IFERROR(LOOKUP(2,1/((B_Drainage!$A$5:$A$204&lt;&gt;"")*(B_Drainage!$A$5:$A$204&lt;=$B20)*(B_Drainage!$B$5:$B$204&gt;$B20)*(B_Drainage!$I$5:$I$204&lt;&gt;"")),IF(UPPER(B_Drainage!$I$5:$I$204)="Y",1,"")),"")</f>
        <v/>
      </c>
      <c r="AA20" s="181" t="str">
        <f>IFERROR(LOOKUP(2,1/((B_Drainage!$A$5:$A$204&lt;&gt;"")*(B_Drainage!$A$5:$A$204&lt;=$B20)*(B_Drainage!$B$5:$B$204&gt;$B20)*(B_Drainage!$J$5:$J$204&lt;&gt;"")),IF(UPPER(B_Drainage!$J$5:$J$204)="Y",1,"")),"")</f>
        <v/>
      </c>
      <c r="AB20" s="182" t="str">
        <f>IFERROR(LOOKUP(2,1/((B_Drainage!$A$5:$A$204&lt;&gt;"")*(B_Drainage!$A$5:$A$204&lt;=$B20)*(B_Drainage!$B$5:$B$204&gt;$B20)*(B_Drainage!$K$5:$K$204&lt;&gt;"")),IF(B_Drainage!$K$5:$K$204="-","",B_Drainage!$K$5:$K$204)),"")</f>
        <v/>
      </c>
      <c r="AC20" s="182" t="str">
        <f>IFERROR(LOOKUP(2,1/((B_Drainage!$A$5:$A$204&lt;&gt;"")*(B_Drainage!$A$5:$A$204&lt;=$B20)*(B_Drainage!$B$5:$B$204&gt;$B20)*(B_Drainage!$L$5:$L$204&lt;&gt;"")),IF(B_Drainage!$L$5:$L$204="-","",B_Drainage!$L$5:$L$204)),"")</f>
        <v/>
      </c>
      <c r="AD20" s="182" t="str">
        <f>IFERROR(LOOKUP(2,1/((D_Points!$A$5:$A$204&lt;&gt;"")*(D_Points!$A$5:$A$204&gt;=$B20)*(D_Points!$A$5:$A$204&lt;$B20+P_Interval)*(UPPER(TRIM(D_Points!$B$5:$B$204))="TURNOUT_L")*(D_Points!$H$5:$H$204&lt;&gt;"")),D_Points!$H$5:$H$204),"")</f>
        <v/>
      </c>
      <c r="AE20" s="182" t="str">
        <f>IFERROR(LOOKUP(2,1/((D_Points!$A$5:$A$204&lt;&gt;"")*(D_Points!$A$5:$A$204&gt;=$B20)*(D_Points!$A$5:$A$204&lt;$B20+P_Interval)*(UPPER(TRIM(D_Points!$B$5:$B$204))="TURNOUT_R")*(D_Points!$H$5:$H$204&lt;&gt;"")),D_Points!$H$5:$H$204),"")</f>
        <v/>
      </c>
      <c r="AF20" s="181" t="str">
        <f>IFERROR(LOOKUP(2,1/((B_Drainage!$A$5:$A$204&lt;&gt;"")*(B_Drainage!$A$5:$A$204&lt;=$B20)*(B_Drainage!$B$5:$B$204&gt;$B20)*(B_Drainage!$M$5:$M$204&lt;&gt;"")),IF(UPPER(B_Drainage!$M$5:$M$204)="Y",1,"")),"")</f>
        <v/>
      </c>
      <c r="AG20" s="181" t="str">
        <f>IFERROR(LOOKUP(2,1/((B_Drainage!$A$5:$A$204&lt;&gt;"")*(B_Drainage!$A$5:$A$204&lt;=$B20)*(B_Drainage!$B$5:$B$204&gt;$B20)*(B_Drainage!$N$5:$N$204&lt;&gt;"")),IF(UPPER(B_Drainage!$N$5:$N$204)="Y",1,"")),"")</f>
        <v/>
      </c>
      <c r="AH20" s="181" t="str">
        <f t="shared" si="0"/>
        <v/>
      </c>
      <c r="AI20" s="181" t="str">
        <f t="shared" si="1"/>
        <v/>
      </c>
      <c r="AJ20" s="181" t="str">
        <f t="shared" si="2"/>
        <v/>
      </c>
      <c r="AK20" s="181" t="str">
        <f t="shared" si="3"/>
        <v/>
      </c>
      <c r="AL20" s="181" t="str">
        <f t="shared" si="4"/>
        <v/>
      </c>
      <c r="AM20" s="181" t="str">
        <f t="shared" si="5"/>
        <v/>
      </c>
      <c r="AN20" s="181" t="str">
        <f t="shared" si="6"/>
        <v/>
      </c>
      <c r="AO20" s="192" t="str">
        <f t="shared" si="7"/>
        <v/>
      </c>
      <c r="AQ20" t="str">
        <f>IFERROR(LOOKUP(2,1/((C_Pavement!$A$5:$A$204&lt;&gt;"")*(C_Pavement!$A$5:$A$204&lt;=$B20)*(C_Pavement!$B$5:$B$204&gt;$B20)*(C_Pavement!$C$5:$C$204&lt;&gt;"")),ROW(C_Pavement!$C$5:$C$204)-4),"")</f>
        <v/>
      </c>
      <c r="AR20" t="str">
        <f>IF($AQ20="","",UPPER(TRIM(INDEX(C_Pavement!$C$5:$C$204,$AQ20))))</f>
        <v/>
      </c>
      <c r="AS20" t="str">
        <f>IF($AR20="","",IFERROR(MATCH($AR20,E_Rules!$A$5:$A$9,0),""))</f>
        <v/>
      </c>
      <c r="AT20" t="str">
        <f>IF($AQ20="","",IF(INDEX(C_Pavement!$D$5:$D$204,$AQ20)&lt;&gt;"",UPPER(TRIM(INDEX(C_Pavement!$D$5:$D$204,$AQ20))),IF($AS20="","",INDEX(E_Rules!$C$5:$C$9,$AS20))))</f>
        <v/>
      </c>
      <c r="AU20" t="str">
        <f>IF($AQ20="","",IF(INDEX(C_Pavement!$E$5:$E$204,$AQ20)&lt;&gt;"",IF(INDEX(C_Pavement!$E$5:$E$204,$AQ20)="-","",INDEX(C_Pavement!$E$5:$E$204,$AQ20)),IF($AS20="","",INDEX(E_Rules!$D$5:$D$9,$AS20))))</f>
        <v/>
      </c>
      <c r="AV20" t="str">
        <f>IF($AQ20="","",IF(INDEX(C_Pavement!$F$5:$F$204,$AQ20)&lt;&gt;"",IF(INDEX(C_Pavement!$F$5:$F$204,$AQ20)="-","",INDEX(C_Pavement!$F$5:$F$204,$AQ20)),IF($AS20="","",INDEX(E_Rules!$E$5:$E$9,$AS20))))</f>
        <v/>
      </c>
      <c r="AW20" t="str">
        <f>IF($AQ20="","",IF(INDEX(C_Pavement!$G$5:$G$204,$AQ20)&lt;&gt;"",IF(INDEX(C_Pavement!$G$5:$G$204,$AQ20)="-","",INDEX(C_Pavement!$G$5:$G$204,$AQ20)),IF($AS20="","",INDEX(E_Rules!$F$5:$F$9,$AS20))))</f>
        <v/>
      </c>
      <c r="AX20" t="str">
        <f>IF($AQ20="","",IF(INDEX(C_Pavement!$H$5:$H$204,$AQ20)&lt;&gt;"",IF(INDEX(C_Pavement!$H$5:$H$204,$AQ20)="-","",INDEX(C_Pavement!$H$5:$H$204,$AQ20)),IF($AS20="","",INDEX(E_Rules!$G$5:$G$9,$AS20))))</f>
        <v/>
      </c>
      <c r="AY20" t="str">
        <f>IF($AQ20="","",IF(INDEX(C_Pavement!$I$5:$I$204,$AQ20)&lt;&gt;"",IF(INDEX(C_Pavement!$I$5:$I$204,$AQ20)="-","",INDEX(C_Pavement!$I$5:$I$204,$AQ20)),IF($AS20="","",INDEX(E_Rules!$H$5:$H$9,$AS20))))</f>
        <v/>
      </c>
    </row>
    <row r="21" spans="1:51" ht="15.75" customHeight="1" x14ac:dyDescent="0.3">
      <c r="A21" s="189">
        <v>16</v>
      </c>
      <c r="B21" s="180">
        <v>750</v>
      </c>
      <c r="C21" s="180" t="s">
        <v>327</v>
      </c>
      <c r="D21" s="181" t="str">
        <f>IFERROR(LOOKUP(2,1/((A_Corridor!$A$5:$A$204&lt;&gt;"")*(A_Corridor!$A$5:$A$204&lt;=$B21)*(A_Corridor!$B$5:$B$204&gt;$B21)*(A_Corridor!$C$5:$C$204&lt;&gt;"")),IF(UPPER(A_Corridor!$C$5:$C$204)="Y",1,"")),"")</f>
        <v/>
      </c>
      <c r="E21" s="181" t="str">
        <f>IFERROR(LOOKUP(2,1/((A_Corridor!$A$5:$A$204&lt;&gt;"")*(A_Corridor!$A$5:$A$204&lt;=$B21)*(A_Corridor!$B$5:$B$204&gt;$B21)*(A_Corridor!$D$5:$D$204&lt;&gt;"")),IF(A_Corridor!$D$5:$D$204="-","",UPPER(A_Corridor!$D$5:$D$204))),"")</f>
        <v/>
      </c>
      <c r="F21" s="181" t="str">
        <f>IFERROR(LOOKUP(2,1/((A_Corridor!$A$5:$A$204&lt;&gt;"")*(A_Corridor!$A$5:$A$204&lt;=$B21)*(A_Corridor!$B$5:$B$204&gt;$B21)*(A_Corridor!$E$5:$E$204&lt;&gt;"")),IF(A_Corridor!$E$5:$E$204="-","",1)),"")</f>
        <v/>
      </c>
      <c r="G21" s="182" t="str">
        <f>IFERROR(LOOKUP(2,1/((A_Corridor!$A$5:$A$204&lt;&gt;"")*(A_Corridor!$A$5:$A$204&lt;=$B21)*(A_Corridor!$B$5:$B$204&gt;$B21)*(A_Corridor!$E$5:$E$204&lt;&gt;"")),IF(A_Corridor!$E$5:$E$204="-","",A_Corridor!$E$5:$E$204)),"")</f>
        <v/>
      </c>
      <c r="H21" s="182" t="str">
        <f>IFERROR(LOOKUP(2,1/((D_Points!$A$5:$A$204&lt;&gt;"")*(D_Points!$A$5:$A$204&gt;=$B21)*(D_Points!$A$5:$A$204&lt;$B21+P_Interval)*(UPPER(TRIM(D_Points!$B$5:$B$204))="GULLY")*(D_Points!$H$5:$H$204&lt;&gt;"")),D_Points!$H$5:$H$204),"")</f>
        <v/>
      </c>
      <c r="I21" s="181" t="str">
        <f>IFERROR(LOOKUP(2,1/((A_Corridor!$A$5:$A$204&lt;&gt;"")*(A_Corridor!$A$5:$A$204&lt;=$B21)*(A_Corridor!$B$5:$B$204&gt;$B21)*(A_Corridor!$F$5:$F$204&lt;&gt;"")),IF(A_Corridor!$F$5:$F$204="-","",1)),"")</f>
        <v/>
      </c>
      <c r="J21" s="182" t="str">
        <f>IFERROR(LOOKUP(2,1/((A_Corridor!$A$5:$A$204&lt;&gt;"")*(A_Corridor!$A$5:$A$204&lt;=$B21)*(A_Corridor!$B$5:$B$204&gt;$B21)*(A_Corridor!$F$5:$F$204&lt;&gt;"")),IF(A_Corridor!$F$5:$F$204="-","",A_Corridor!$F$5:$F$204)),"")</f>
        <v/>
      </c>
      <c r="K21" s="182" t="str">
        <f>IFERROR(LOOKUP(2,1/((A_Corridor!$A$5:$A$204&lt;&gt;"")*(A_Corridor!$A$5:$A$204&lt;=$B21)*(A_Corridor!$B$5:$B$204&gt;$B21)*(A_Corridor!$G$5:$G$204&lt;&gt;"")),IF(A_Corridor!$G$5:$G$204="-","",A_Corridor!$G$5:$G$204)),"")</f>
        <v/>
      </c>
      <c r="L21" s="181" t="str">
        <f>IFERROR(LOOKUP(2,1/((A_Corridor!$A$5:$A$204&lt;&gt;"")*(A_Corridor!$A$5:$A$204&lt;=$B21)*(A_Corridor!$B$5:$B$204&gt;$B21)*(A_Corridor!$H$5:$H$204&lt;&gt;"")),IF(A_Corridor!$H$5:$H$204="-","",1)),"")</f>
        <v/>
      </c>
      <c r="M21" s="182" t="str">
        <f>IFERROR(LOOKUP(2,1/((A_Corridor!$A$5:$A$204&lt;&gt;"")*(A_Corridor!$A$5:$A$204&lt;=$B21)*(A_Corridor!$B$5:$B$204&gt;$B21)*(A_Corridor!$H$5:$H$204&lt;&gt;"")),IF(A_Corridor!$H$5:$H$204="-","",A_Corridor!$H$5:$H$204)),"")</f>
        <v/>
      </c>
      <c r="N21" s="182" t="str">
        <f>IFERROR(LOOKUP(2,1/((A_Corridor!$A$5:$A$204&lt;&gt;"")*(A_Corridor!$A$5:$A$204&lt;=$B21)*(A_Corridor!$B$5:$B$204&gt;$B21)*(A_Corridor!$I$5:$I$204&lt;&gt;"")),IF(A_Corridor!$I$5:$I$204="-","",A_Corridor!$I$5:$I$204)),"")</f>
        <v/>
      </c>
      <c r="O21" s="182" t="str">
        <f>IFERROR(LOOKUP(2,1/((D_Points!$A$5:$A$204&lt;&gt;"")*(D_Points!$A$5:$A$204&gt;=$B21)*(D_Points!$A$5:$A$204&lt;$B21+P_Interval)*(UPPER(TRIM(D_Points!$B$5:$B$204))="PITCHING")*(D_Points!$H$5:$H$204&lt;&gt;"")),D_Points!$H$5:$H$204),"")</f>
        <v/>
      </c>
      <c r="P21" s="181" t="str">
        <f>IFERROR(LOOKUP(2,1/((B_Drainage!$A$5:$A$204&lt;&gt;"")*(B_Drainage!$A$5:$A$204&lt;=$B21)*(B_Drainage!$B$5:$B$204&gt;$B21)*(B_Drainage!$C$5:$C$204&lt;&gt;"")),IF(B_Drainage!$C$5:$C$204="-","",UPPER(B_Drainage!$C$5:$C$204))),"")</f>
        <v/>
      </c>
      <c r="Q21" s="181" t="str">
        <f>IFERROR(LOOKUP(2,1/((B_Drainage!$A$5:$A$204&lt;&gt;"")*(B_Drainage!$A$5:$A$204&lt;=$B21)*(B_Drainage!$B$5:$B$204&gt;$B21)*(B_Drainage!$D$5:$D$204&lt;&gt;"")),IF(B_Drainage!$D$5:$D$204="-","",UPPER(B_Drainage!$D$5:$D$204))),"")</f>
        <v/>
      </c>
      <c r="R21" s="182" t="str">
        <f>IFERROR(LOOKUP(2,1/((D_Points!$A$5:$A$204&lt;&gt;"")*(D_Points!$A$5:$A$204&gt;=$B21)*(D_Points!$A$5:$A$204&lt;$B21+P_Interval)*(RIGHT(UPPER(TRIM(D_Points!$B$5:$B$204)),8)="_CULVERT")),IF(LEFT(UPPER(TRIM(D_Points!$B$5:$B$204)),2)="EX",1,IF(LEFT(UPPER(TRIM(D_Points!$B$5:$B$204)),2)="PR",2,3))),"")</f>
        <v/>
      </c>
      <c r="S21" s="182" t="str">
        <f>IFERROR(LOOKUP(2,1/((D_Points!$A$5:$A$204&lt;&gt;"")*(D_Points!$A$5:$A$204&gt;=$B21)*(D_Points!$A$5:$A$204&lt;$B21+P_Interval)*(RIGHT(UPPER(TRIM(D_Points!$B$5:$B$204)),7)="_BRIDGE")),IF(LEFT(UPPER(TRIM(D_Points!$B$5:$B$204)),2)="EX",1,IF(LEFT(UPPER(TRIM(D_Points!$B$5:$B$204)),2)="PR",2,2))),"")</f>
        <v/>
      </c>
      <c r="T21" s="181" t="str">
        <f>IFERROR(LOOKUP(2,1/((B_Drainage!$A$5:$A$204&lt;&gt;"")*(B_Drainage!$A$5:$A$204&lt;=$B21)*(B_Drainage!$B$5:$B$204&gt;$B21)*(B_Drainage!$E$5:$E$204&lt;&gt;"")),IF(B_Drainage!$E$5:$E$204="-","",1)),"")</f>
        <v/>
      </c>
      <c r="U21" s="181" t="str">
        <f>IFERROR(LOOKUP(2,1/((B_Drainage!$A$5:$A$204&lt;&gt;"")*(B_Drainage!$A$5:$A$204&lt;=$B21)*(B_Drainage!$B$5:$B$204&gt;$B21)*(B_Drainage!$E$5:$E$204&lt;&gt;"")),IF(B_Drainage!$E$5:$E$204="-","",B_Drainage!$E$5:$E$204)),"")</f>
        <v/>
      </c>
      <c r="V21" s="181" t="str">
        <f>IFERROR(LOOKUP(2,1/((B_Drainage!$A$5:$A$204&lt;&gt;"")*(B_Drainage!$A$5:$A$204&lt;=$B21)*(B_Drainage!$B$5:$B$204&gt;$B21)*(B_Drainage!$F$5:$F$204&lt;&gt;"")),IF(B_Drainage!$F$5:$F$204="-","",1)),"")</f>
        <v/>
      </c>
      <c r="W21" s="181" t="str">
        <f>IFERROR(LOOKUP(2,1/((B_Drainage!$A$5:$A$204&lt;&gt;"")*(B_Drainage!$A$5:$A$204&lt;=$B21)*(B_Drainage!$B$5:$B$204&gt;$B21)*(B_Drainage!$F$5:$F$204&lt;&gt;"")),IF(B_Drainage!$F$5:$F$204="-","",B_Drainage!$F$5:$F$204)),"")</f>
        <v/>
      </c>
      <c r="X21" s="181" t="str">
        <f>IFERROR(LOOKUP(2,1/((B_Drainage!$A$5:$A$204&lt;&gt;"")*(B_Drainage!$A$5:$A$204&lt;=$B21)*(B_Drainage!$B$5:$B$204&gt;$B21)*(B_Drainage!$G$5:$G$204&lt;&gt;"")),IF(UPPER(B_Drainage!$G$5:$G$204)="Y",1,"")),"")</f>
        <v/>
      </c>
      <c r="Y21" s="181" t="str">
        <f>IFERROR(LOOKUP(2,1/((B_Drainage!$A$5:$A$204&lt;&gt;"")*(B_Drainage!$A$5:$A$204&lt;=$B21)*(B_Drainage!$B$5:$B$204&gt;$B21)*(B_Drainage!$H$5:$H$204&lt;&gt;"")),IF(UPPER(B_Drainage!$H$5:$H$204)="Y",1,"")),"")</f>
        <v/>
      </c>
      <c r="Z21" s="181" t="str">
        <f>IFERROR(LOOKUP(2,1/((B_Drainage!$A$5:$A$204&lt;&gt;"")*(B_Drainage!$A$5:$A$204&lt;=$B21)*(B_Drainage!$B$5:$B$204&gt;$B21)*(B_Drainage!$I$5:$I$204&lt;&gt;"")),IF(UPPER(B_Drainage!$I$5:$I$204)="Y",1,"")),"")</f>
        <v/>
      </c>
      <c r="AA21" s="181" t="str">
        <f>IFERROR(LOOKUP(2,1/((B_Drainage!$A$5:$A$204&lt;&gt;"")*(B_Drainage!$A$5:$A$204&lt;=$B21)*(B_Drainage!$B$5:$B$204&gt;$B21)*(B_Drainage!$J$5:$J$204&lt;&gt;"")),IF(UPPER(B_Drainage!$J$5:$J$204)="Y",1,"")),"")</f>
        <v/>
      </c>
      <c r="AB21" s="182" t="str">
        <f>IFERROR(LOOKUP(2,1/((B_Drainage!$A$5:$A$204&lt;&gt;"")*(B_Drainage!$A$5:$A$204&lt;=$B21)*(B_Drainage!$B$5:$B$204&gt;$B21)*(B_Drainage!$K$5:$K$204&lt;&gt;"")),IF(B_Drainage!$K$5:$K$204="-","",B_Drainage!$K$5:$K$204)),"")</f>
        <v/>
      </c>
      <c r="AC21" s="182" t="str">
        <f>IFERROR(LOOKUP(2,1/((B_Drainage!$A$5:$A$204&lt;&gt;"")*(B_Drainage!$A$5:$A$204&lt;=$B21)*(B_Drainage!$B$5:$B$204&gt;$B21)*(B_Drainage!$L$5:$L$204&lt;&gt;"")),IF(B_Drainage!$L$5:$L$204="-","",B_Drainage!$L$5:$L$204)),"")</f>
        <v/>
      </c>
      <c r="AD21" s="182" t="str">
        <f>IFERROR(LOOKUP(2,1/((D_Points!$A$5:$A$204&lt;&gt;"")*(D_Points!$A$5:$A$204&gt;=$B21)*(D_Points!$A$5:$A$204&lt;$B21+P_Interval)*(UPPER(TRIM(D_Points!$B$5:$B$204))="TURNOUT_L")*(D_Points!$H$5:$H$204&lt;&gt;"")),D_Points!$H$5:$H$204),"")</f>
        <v/>
      </c>
      <c r="AE21" s="182" t="str">
        <f>IFERROR(LOOKUP(2,1/((D_Points!$A$5:$A$204&lt;&gt;"")*(D_Points!$A$5:$A$204&gt;=$B21)*(D_Points!$A$5:$A$204&lt;$B21+P_Interval)*(UPPER(TRIM(D_Points!$B$5:$B$204))="TURNOUT_R")*(D_Points!$H$5:$H$204&lt;&gt;"")),D_Points!$H$5:$H$204),"")</f>
        <v/>
      </c>
      <c r="AF21" s="181" t="str">
        <f>IFERROR(LOOKUP(2,1/((B_Drainage!$A$5:$A$204&lt;&gt;"")*(B_Drainage!$A$5:$A$204&lt;=$B21)*(B_Drainage!$B$5:$B$204&gt;$B21)*(B_Drainage!$M$5:$M$204&lt;&gt;"")),IF(UPPER(B_Drainage!$M$5:$M$204)="Y",1,"")),"")</f>
        <v/>
      </c>
      <c r="AG21" s="181" t="str">
        <f>IFERROR(LOOKUP(2,1/((B_Drainage!$A$5:$A$204&lt;&gt;"")*(B_Drainage!$A$5:$A$204&lt;=$B21)*(B_Drainage!$B$5:$B$204&gt;$B21)*(B_Drainage!$N$5:$N$204&lt;&gt;"")),IF(UPPER(B_Drainage!$N$5:$N$204)="Y",1,"")),"")</f>
        <v/>
      </c>
      <c r="AH21" s="181" t="str">
        <f t="shared" si="0"/>
        <v/>
      </c>
      <c r="AI21" s="181" t="str">
        <f t="shared" si="1"/>
        <v/>
      </c>
      <c r="AJ21" s="181" t="str">
        <f t="shared" si="2"/>
        <v/>
      </c>
      <c r="AK21" s="181" t="str">
        <f t="shared" si="3"/>
        <v/>
      </c>
      <c r="AL21" s="181" t="str">
        <f t="shared" si="4"/>
        <v/>
      </c>
      <c r="AM21" s="181" t="str">
        <f t="shared" si="5"/>
        <v/>
      </c>
      <c r="AN21" s="181" t="str">
        <f t="shared" si="6"/>
        <v/>
      </c>
      <c r="AO21" s="192" t="str">
        <f t="shared" si="7"/>
        <v/>
      </c>
      <c r="AQ21" t="str">
        <f>IFERROR(LOOKUP(2,1/((C_Pavement!$A$5:$A$204&lt;&gt;"")*(C_Pavement!$A$5:$A$204&lt;=$B21)*(C_Pavement!$B$5:$B$204&gt;$B21)*(C_Pavement!$C$5:$C$204&lt;&gt;"")),ROW(C_Pavement!$C$5:$C$204)-4),"")</f>
        <v/>
      </c>
      <c r="AR21" t="str">
        <f>IF($AQ21="","",UPPER(TRIM(INDEX(C_Pavement!$C$5:$C$204,$AQ21))))</f>
        <v/>
      </c>
      <c r="AS21" t="str">
        <f>IF($AR21="","",IFERROR(MATCH($AR21,E_Rules!$A$5:$A$9,0),""))</f>
        <v/>
      </c>
      <c r="AT21" t="str">
        <f>IF($AQ21="","",IF(INDEX(C_Pavement!$D$5:$D$204,$AQ21)&lt;&gt;"",UPPER(TRIM(INDEX(C_Pavement!$D$5:$D$204,$AQ21))),IF($AS21="","",INDEX(E_Rules!$C$5:$C$9,$AS21))))</f>
        <v/>
      </c>
      <c r="AU21" t="str">
        <f>IF($AQ21="","",IF(INDEX(C_Pavement!$E$5:$E$204,$AQ21)&lt;&gt;"",IF(INDEX(C_Pavement!$E$5:$E$204,$AQ21)="-","",INDEX(C_Pavement!$E$5:$E$204,$AQ21)),IF($AS21="","",INDEX(E_Rules!$D$5:$D$9,$AS21))))</f>
        <v/>
      </c>
      <c r="AV21" t="str">
        <f>IF($AQ21="","",IF(INDEX(C_Pavement!$F$5:$F$204,$AQ21)&lt;&gt;"",IF(INDEX(C_Pavement!$F$5:$F$204,$AQ21)="-","",INDEX(C_Pavement!$F$5:$F$204,$AQ21)),IF($AS21="","",INDEX(E_Rules!$E$5:$E$9,$AS21))))</f>
        <v/>
      </c>
      <c r="AW21" t="str">
        <f>IF($AQ21="","",IF(INDEX(C_Pavement!$G$5:$G$204,$AQ21)&lt;&gt;"",IF(INDEX(C_Pavement!$G$5:$G$204,$AQ21)="-","",INDEX(C_Pavement!$G$5:$G$204,$AQ21)),IF($AS21="","",INDEX(E_Rules!$F$5:$F$9,$AS21))))</f>
        <v/>
      </c>
      <c r="AX21" t="str">
        <f>IF($AQ21="","",IF(INDEX(C_Pavement!$H$5:$H$204,$AQ21)&lt;&gt;"",IF(INDEX(C_Pavement!$H$5:$H$204,$AQ21)="-","",INDEX(C_Pavement!$H$5:$H$204,$AQ21)),IF($AS21="","",INDEX(E_Rules!$G$5:$G$9,$AS21))))</f>
        <v/>
      </c>
      <c r="AY21" t="str">
        <f>IF($AQ21="","",IF(INDEX(C_Pavement!$I$5:$I$204,$AQ21)&lt;&gt;"",IF(INDEX(C_Pavement!$I$5:$I$204,$AQ21)="-","",INDEX(C_Pavement!$I$5:$I$204,$AQ21)),IF($AS21="","",INDEX(E_Rules!$H$5:$H$9,$AS21))))</f>
        <v/>
      </c>
    </row>
    <row r="22" spans="1:51" ht="15.75" customHeight="1" x14ac:dyDescent="0.3">
      <c r="A22" s="189">
        <v>17</v>
      </c>
      <c r="B22" s="180">
        <v>800</v>
      </c>
      <c r="C22" s="180" t="s">
        <v>328</v>
      </c>
      <c r="D22" s="181" t="str">
        <f>IFERROR(LOOKUP(2,1/((A_Corridor!$A$5:$A$204&lt;&gt;"")*(A_Corridor!$A$5:$A$204&lt;=$B22)*(A_Corridor!$B$5:$B$204&gt;$B22)*(A_Corridor!$C$5:$C$204&lt;&gt;"")),IF(UPPER(A_Corridor!$C$5:$C$204)="Y",1,"")),"")</f>
        <v/>
      </c>
      <c r="E22" s="181" t="str">
        <f>IFERROR(LOOKUP(2,1/((A_Corridor!$A$5:$A$204&lt;&gt;"")*(A_Corridor!$A$5:$A$204&lt;=$B22)*(A_Corridor!$B$5:$B$204&gt;$B22)*(A_Corridor!$D$5:$D$204&lt;&gt;"")),IF(A_Corridor!$D$5:$D$204="-","",UPPER(A_Corridor!$D$5:$D$204))),"")</f>
        <v/>
      </c>
      <c r="F22" s="181" t="str">
        <f>IFERROR(LOOKUP(2,1/((A_Corridor!$A$5:$A$204&lt;&gt;"")*(A_Corridor!$A$5:$A$204&lt;=$B22)*(A_Corridor!$B$5:$B$204&gt;$B22)*(A_Corridor!$E$5:$E$204&lt;&gt;"")),IF(A_Corridor!$E$5:$E$204="-","",1)),"")</f>
        <v/>
      </c>
      <c r="G22" s="182" t="str">
        <f>IFERROR(LOOKUP(2,1/((A_Corridor!$A$5:$A$204&lt;&gt;"")*(A_Corridor!$A$5:$A$204&lt;=$B22)*(A_Corridor!$B$5:$B$204&gt;$B22)*(A_Corridor!$E$5:$E$204&lt;&gt;"")),IF(A_Corridor!$E$5:$E$204="-","",A_Corridor!$E$5:$E$204)),"")</f>
        <v/>
      </c>
      <c r="H22" s="182" t="str">
        <f>IFERROR(LOOKUP(2,1/((D_Points!$A$5:$A$204&lt;&gt;"")*(D_Points!$A$5:$A$204&gt;=$B22)*(D_Points!$A$5:$A$204&lt;$B22+P_Interval)*(UPPER(TRIM(D_Points!$B$5:$B$204))="GULLY")*(D_Points!$H$5:$H$204&lt;&gt;"")),D_Points!$H$5:$H$204),"")</f>
        <v/>
      </c>
      <c r="I22" s="181" t="str">
        <f>IFERROR(LOOKUP(2,1/((A_Corridor!$A$5:$A$204&lt;&gt;"")*(A_Corridor!$A$5:$A$204&lt;=$B22)*(A_Corridor!$B$5:$B$204&gt;$B22)*(A_Corridor!$F$5:$F$204&lt;&gt;"")),IF(A_Corridor!$F$5:$F$204="-","",1)),"")</f>
        <v/>
      </c>
      <c r="J22" s="182" t="str">
        <f>IFERROR(LOOKUP(2,1/((A_Corridor!$A$5:$A$204&lt;&gt;"")*(A_Corridor!$A$5:$A$204&lt;=$B22)*(A_Corridor!$B$5:$B$204&gt;$B22)*(A_Corridor!$F$5:$F$204&lt;&gt;"")),IF(A_Corridor!$F$5:$F$204="-","",A_Corridor!$F$5:$F$204)),"")</f>
        <v/>
      </c>
      <c r="K22" s="182" t="str">
        <f>IFERROR(LOOKUP(2,1/((A_Corridor!$A$5:$A$204&lt;&gt;"")*(A_Corridor!$A$5:$A$204&lt;=$B22)*(A_Corridor!$B$5:$B$204&gt;$B22)*(A_Corridor!$G$5:$G$204&lt;&gt;"")),IF(A_Corridor!$G$5:$G$204="-","",A_Corridor!$G$5:$G$204)),"")</f>
        <v/>
      </c>
      <c r="L22" s="181" t="str">
        <f>IFERROR(LOOKUP(2,1/((A_Corridor!$A$5:$A$204&lt;&gt;"")*(A_Corridor!$A$5:$A$204&lt;=$B22)*(A_Corridor!$B$5:$B$204&gt;$B22)*(A_Corridor!$H$5:$H$204&lt;&gt;"")),IF(A_Corridor!$H$5:$H$204="-","",1)),"")</f>
        <v/>
      </c>
      <c r="M22" s="182" t="str">
        <f>IFERROR(LOOKUP(2,1/((A_Corridor!$A$5:$A$204&lt;&gt;"")*(A_Corridor!$A$5:$A$204&lt;=$B22)*(A_Corridor!$B$5:$B$204&gt;$B22)*(A_Corridor!$H$5:$H$204&lt;&gt;"")),IF(A_Corridor!$H$5:$H$204="-","",A_Corridor!$H$5:$H$204)),"")</f>
        <v/>
      </c>
      <c r="N22" s="182" t="str">
        <f>IFERROR(LOOKUP(2,1/((A_Corridor!$A$5:$A$204&lt;&gt;"")*(A_Corridor!$A$5:$A$204&lt;=$B22)*(A_Corridor!$B$5:$B$204&gt;$B22)*(A_Corridor!$I$5:$I$204&lt;&gt;"")),IF(A_Corridor!$I$5:$I$204="-","",A_Corridor!$I$5:$I$204)),"")</f>
        <v/>
      </c>
      <c r="O22" s="182" t="str">
        <f>IFERROR(LOOKUP(2,1/((D_Points!$A$5:$A$204&lt;&gt;"")*(D_Points!$A$5:$A$204&gt;=$B22)*(D_Points!$A$5:$A$204&lt;$B22+P_Interval)*(UPPER(TRIM(D_Points!$B$5:$B$204))="PITCHING")*(D_Points!$H$5:$H$204&lt;&gt;"")),D_Points!$H$5:$H$204),"")</f>
        <v/>
      </c>
      <c r="P22" s="181" t="str">
        <f>IFERROR(LOOKUP(2,1/((B_Drainage!$A$5:$A$204&lt;&gt;"")*(B_Drainage!$A$5:$A$204&lt;=$B22)*(B_Drainage!$B$5:$B$204&gt;$B22)*(B_Drainage!$C$5:$C$204&lt;&gt;"")),IF(B_Drainage!$C$5:$C$204="-","",UPPER(B_Drainage!$C$5:$C$204))),"")</f>
        <v/>
      </c>
      <c r="Q22" s="181" t="str">
        <f>IFERROR(LOOKUP(2,1/((B_Drainage!$A$5:$A$204&lt;&gt;"")*(B_Drainage!$A$5:$A$204&lt;=$B22)*(B_Drainage!$B$5:$B$204&gt;$B22)*(B_Drainage!$D$5:$D$204&lt;&gt;"")),IF(B_Drainage!$D$5:$D$204="-","",UPPER(B_Drainage!$D$5:$D$204))),"")</f>
        <v/>
      </c>
      <c r="R22" s="182" t="str">
        <f>IFERROR(LOOKUP(2,1/((D_Points!$A$5:$A$204&lt;&gt;"")*(D_Points!$A$5:$A$204&gt;=$B22)*(D_Points!$A$5:$A$204&lt;$B22+P_Interval)*(RIGHT(UPPER(TRIM(D_Points!$B$5:$B$204)),8)="_CULVERT")),IF(LEFT(UPPER(TRIM(D_Points!$B$5:$B$204)),2)="EX",1,IF(LEFT(UPPER(TRIM(D_Points!$B$5:$B$204)),2)="PR",2,3))),"")</f>
        <v/>
      </c>
      <c r="S22" s="182" t="str">
        <f>IFERROR(LOOKUP(2,1/((D_Points!$A$5:$A$204&lt;&gt;"")*(D_Points!$A$5:$A$204&gt;=$B22)*(D_Points!$A$5:$A$204&lt;$B22+P_Interval)*(RIGHT(UPPER(TRIM(D_Points!$B$5:$B$204)),7)="_BRIDGE")),IF(LEFT(UPPER(TRIM(D_Points!$B$5:$B$204)),2)="EX",1,IF(LEFT(UPPER(TRIM(D_Points!$B$5:$B$204)),2)="PR",2,2))),"")</f>
        <v/>
      </c>
      <c r="T22" s="181" t="str">
        <f>IFERROR(LOOKUP(2,1/((B_Drainage!$A$5:$A$204&lt;&gt;"")*(B_Drainage!$A$5:$A$204&lt;=$B22)*(B_Drainage!$B$5:$B$204&gt;$B22)*(B_Drainage!$E$5:$E$204&lt;&gt;"")),IF(B_Drainage!$E$5:$E$204="-","",1)),"")</f>
        <v/>
      </c>
      <c r="U22" s="181" t="str">
        <f>IFERROR(LOOKUP(2,1/((B_Drainage!$A$5:$A$204&lt;&gt;"")*(B_Drainage!$A$5:$A$204&lt;=$B22)*(B_Drainage!$B$5:$B$204&gt;$B22)*(B_Drainage!$E$5:$E$204&lt;&gt;"")),IF(B_Drainage!$E$5:$E$204="-","",B_Drainage!$E$5:$E$204)),"")</f>
        <v/>
      </c>
      <c r="V22" s="181" t="str">
        <f>IFERROR(LOOKUP(2,1/((B_Drainage!$A$5:$A$204&lt;&gt;"")*(B_Drainage!$A$5:$A$204&lt;=$B22)*(B_Drainage!$B$5:$B$204&gt;$B22)*(B_Drainage!$F$5:$F$204&lt;&gt;"")),IF(B_Drainage!$F$5:$F$204="-","",1)),"")</f>
        <v/>
      </c>
      <c r="W22" s="181" t="str">
        <f>IFERROR(LOOKUP(2,1/((B_Drainage!$A$5:$A$204&lt;&gt;"")*(B_Drainage!$A$5:$A$204&lt;=$B22)*(B_Drainage!$B$5:$B$204&gt;$B22)*(B_Drainage!$F$5:$F$204&lt;&gt;"")),IF(B_Drainage!$F$5:$F$204="-","",B_Drainage!$F$5:$F$204)),"")</f>
        <v/>
      </c>
      <c r="X22" s="181" t="str">
        <f>IFERROR(LOOKUP(2,1/((B_Drainage!$A$5:$A$204&lt;&gt;"")*(B_Drainage!$A$5:$A$204&lt;=$B22)*(B_Drainage!$B$5:$B$204&gt;$B22)*(B_Drainage!$G$5:$G$204&lt;&gt;"")),IF(UPPER(B_Drainage!$G$5:$G$204)="Y",1,"")),"")</f>
        <v/>
      </c>
      <c r="Y22" s="181" t="str">
        <f>IFERROR(LOOKUP(2,1/((B_Drainage!$A$5:$A$204&lt;&gt;"")*(B_Drainage!$A$5:$A$204&lt;=$B22)*(B_Drainage!$B$5:$B$204&gt;$B22)*(B_Drainage!$H$5:$H$204&lt;&gt;"")),IF(UPPER(B_Drainage!$H$5:$H$204)="Y",1,"")),"")</f>
        <v/>
      </c>
      <c r="Z22" s="181" t="str">
        <f>IFERROR(LOOKUP(2,1/((B_Drainage!$A$5:$A$204&lt;&gt;"")*(B_Drainage!$A$5:$A$204&lt;=$B22)*(B_Drainage!$B$5:$B$204&gt;$B22)*(B_Drainage!$I$5:$I$204&lt;&gt;"")),IF(UPPER(B_Drainage!$I$5:$I$204)="Y",1,"")),"")</f>
        <v/>
      </c>
      <c r="AA22" s="181" t="str">
        <f>IFERROR(LOOKUP(2,1/((B_Drainage!$A$5:$A$204&lt;&gt;"")*(B_Drainage!$A$5:$A$204&lt;=$B22)*(B_Drainage!$B$5:$B$204&gt;$B22)*(B_Drainage!$J$5:$J$204&lt;&gt;"")),IF(UPPER(B_Drainage!$J$5:$J$204)="Y",1,"")),"")</f>
        <v/>
      </c>
      <c r="AB22" s="182" t="str">
        <f>IFERROR(LOOKUP(2,1/((B_Drainage!$A$5:$A$204&lt;&gt;"")*(B_Drainage!$A$5:$A$204&lt;=$B22)*(B_Drainage!$B$5:$B$204&gt;$B22)*(B_Drainage!$K$5:$K$204&lt;&gt;"")),IF(B_Drainage!$K$5:$K$204="-","",B_Drainage!$K$5:$K$204)),"")</f>
        <v/>
      </c>
      <c r="AC22" s="182" t="str">
        <f>IFERROR(LOOKUP(2,1/((B_Drainage!$A$5:$A$204&lt;&gt;"")*(B_Drainage!$A$5:$A$204&lt;=$B22)*(B_Drainage!$B$5:$B$204&gt;$B22)*(B_Drainage!$L$5:$L$204&lt;&gt;"")),IF(B_Drainage!$L$5:$L$204="-","",B_Drainage!$L$5:$L$204)),"")</f>
        <v/>
      </c>
      <c r="AD22" s="182" t="str">
        <f>IFERROR(LOOKUP(2,1/((D_Points!$A$5:$A$204&lt;&gt;"")*(D_Points!$A$5:$A$204&gt;=$B22)*(D_Points!$A$5:$A$204&lt;$B22+P_Interval)*(UPPER(TRIM(D_Points!$B$5:$B$204))="TURNOUT_L")*(D_Points!$H$5:$H$204&lt;&gt;"")),D_Points!$H$5:$H$204),"")</f>
        <v/>
      </c>
      <c r="AE22" s="182" t="str">
        <f>IFERROR(LOOKUP(2,1/((D_Points!$A$5:$A$204&lt;&gt;"")*(D_Points!$A$5:$A$204&gt;=$B22)*(D_Points!$A$5:$A$204&lt;$B22+P_Interval)*(UPPER(TRIM(D_Points!$B$5:$B$204))="TURNOUT_R")*(D_Points!$H$5:$H$204&lt;&gt;"")),D_Points!$H$5:$H$204),"")</f>
        <v/>
      </c>
      <c r="AF22" s="181" t="str">
        <f>IFERROR(LOOKUP(2,1/((B_Drainage!$A$5:$A$204&lt;&gt;"")*(B_Drainage!$A$5:$A$204&lt;=$B22)*(B_Drainage!$B$5:$B$204&gt;$B22)*(B_Drainage!$M$5:$M$204&lt;&gt;"")),IF(UPPER(B_Drainage!$M$5:$M$204)="Y",1,"")),"")</f>
        <v/>
      </c>
      <c r="AG22" s="181" t="str">
        <f>IFERROR(LOOKUP(2,1/((B_Drainage!$A$5:$A$204&lt;&gt;"")*(B_Drainage!$A$5:$A$204&lt;=$B22)*(B_Drainage!$B$5:$B$204&gt;$B22)*(B_Drainage!$N$5:$N$204&lt;&gt;"")),IF(UPPER(B_Drainage!$N$5:$N$204)="Y",1,"")),"")</f>
        <v/>
      </c>
      <c r="AH22" s="181" t="str">
        <f t="shared" si="0"/>
        <v/>
      </c>
      <c r="AI22" s="181" t="str">
        <f t="shared" si="1"/>
        <v/>
      </c>
      <c r="AJ22" s="181" t="str">
        <f t="shared" si="2"/>
        <v/>
      </c>
      <c r="AK22" s="181" t="str">
        <f t="shared" si="3"/>
        <v/>
      </c>
      <c r="AL22" s="181" t="str">
        <f t="shared" si="4"/>
        <v/>
      </c>
      <c r="AM22" s="181" t="str">
        <f t="shared" si="5"/>
        <v/>
      </c>
      <c r="AN22" s="181" t="str">
        <f t="shared" si="6"/>
        <v/>
      </c>
      <c r="AO22" s="192" t="str">
        <f t="shared" si="7"/>
        <v/>
      </c>
      <c r="AQ22" t="str">
        <f>IFERROR(LOOKUP(2,1/((C_Pavement!$A$5:$A$204&lt;&gt;"")*(C_Pavement!$A$5:$A$204&lt;=$B22)*(C_Pavement!$B$5:$B$204&gt;$B22)*(C_Pavement!$C$5:$C$204&lt;&gt;"")),ROW(C_Pavement!$C$5:$C$204)-4),"")</f>
        <v/>
      </c>
      <c r="AR22" t="str">
        <f>IF($AQ22="","",UPPER(TRIM(INDEX(C_Pavement!$C$5:$C$204,$AQ22))))</f>
        <v/>
      </c>
      <c r="AS22" t="str">
        <f>IF($AR22="","",IFERROR(MATCH($AR22,E_Rules!$A$5:$A$9,0),""))</f>
        <v/>
      </c>
      <c r="AT22" t="str">
        <f>IF($AQ22="","",IF(INDEX(C_Pavement!$D$5:$D$204,$AQ22)&lt;&gt;"",UPPER(TRIM(INDEX(C_Pavement!$D$5:$D$204,$AQ22))),IF($AS22="","",INDEX(E_Rules!$C$5:$C$9,$AS22))))</f>
        <v/>
      </c>
      <c r="AU22" t="str">
        <f>IF($AQ22="","",IF(INDEX(C_Pavement!$E$5:$E$204,$AQ22)&lt;&gt;"",IF(INDEX(C_Pavement!$E$5:$E$204,$AQ22)="-","",INDEX(C_Pavement!$E$5:$E$204,$AQ22)),IF($AS22="","",INDEX(E_Rules!$D$5:$D$9,$AS22))))</f>
        <v/>
      </c>
      <c r="AV22" t="str">
        <f>IF($AQ22="","",IF(INDEX(C_Pavement!$F$5:$F$204,$AQ22)&lt;&gt;"",IF(INDEX(C_Pavement!$F$5:$F$204,$AQ22)="-","",INDEX(C_Pavement!$F$5:$F$204,$AQ22)),IF($AS22="","",INDEX(E_Rules!$E$5:$E$9,$AS22))))</f>
        <v/>
      </c>
      <c r="AW22" t="str">
        <f>IF($AQ22="","",IF(INDEX(C_Pavement!$G$5:$G$204,$AQ22)&lt;&gt;"",IF(INDEX(C_Pavement!$G$5:$G$204,$AQ22)="-","",INDEX(C_Pavement!$G$5:$G$204,$AQ22)),IF($AS22="","",INDEX(E_Rules!$F$5:$F$9,$AS22))))</f>
        <v/>
      </c>
      <c r="AX22" t="str">
        <f>IF($AQ22="","",IF(INDEX(C_Pavement!$H$5:$H$204,$AQ22)&lt;&gt;"",IF(INDEX(C_Pavement!$H$5:$H$204,$AQ22)="-","",INDEX(C_Pavement!$H$5:$H$204,$AQ22)),IF($AS22="","",INDEX(E_Rules!$G$5:$G$9,$AS22))))</f>
        <v/>
      </c>
      <c r="AY22" t="str">
        <f>IF($AQ22="","",IF(INDEX(C_Pavement!$I$5:$I$204,$AQ22)&lt;&gt;"",IF(INDEX(C_Pavement!$I$5:$I$204,$AQ22)="-","",INDEX(C_Pavement!$I$5:$I$204,$AQ22)),IF($AS22="","",INDEX(E_Rules!$H$5:$H$9,$AS22))))</f>
        <v/>
      </c>
    </row>
    <row r="23" spans="1:51" ht="15.75" customHeight="1" x14ac:dyDescent="0.3">
      <c r="A23" s="189">
        <v>18</v>
      </c>
      <c r="B23" s="180">
        <v>850</v>
      </c>
      <c r="C23" s="180" t="s">
        <v>329</v>
      </c>
      <c r="D23" s="181" t="str">
        <f>IFERROR(LOOKUP(2,1/((A_Corridor!$A$5:$A$204&lt;&gt;"")*(A_Corridor!$A$5:$A$204&lt;=$B23)*(A_Corridor!$B$5:$B$204&gt;$B23)*(A_Corridor!$C$5:$C$204&lt;&gt;"")),IF(UPPER(A_Corridor!$C$5:$C$204)="Y",1,"")),"")</f>
        <v/>
      </c>
      <c r="E23" s="181" t="str">
        <f>IFERROR(LOOKUP(2,1/((A_Corridor!$A$5:$A$204&lt;&gt;"")*(A_Corridor!$A$5:$A$204&lt;=$B23)*(A_Corridor!$B$5:$B$204&gt;$B23)*(A_Corridor!$D$5:$D$204&lt;&gt;"")),IF(A_Corridor!$D$5:$D$204="-","",UPPER(A_Corridor!$D$5:$D$204))),"")</f>
        <v/>
      </c>
      <c r="F23" s="181" t="str">
        <f>IFERROR(LOOKUP(2,1/((A_Corridor!$A$5:$A$204&lt;&gt;"")*(A_Corridor!$A$5:$A$204&lt;=$B23)*(A_Corridor!$B$5:$B$204&gt;$B23)*(A_Corridor!$E$5:$E$204&lt;&gt;"")),IF(A_Corridor!$E$5:$E$204="-","",1)),"")</f>
        <v/>
      </c>
      <c r="G23" s="182" t="str">
        <f>IFERROR(LOOKUP(2,1/((A_Corridor!$A$5:$A$204&lt;&gt;"")*(A_Corridor!$A$5:$A$204&lt;=$B23)*(A_Corridor!$B$5:$B$204&gt;$B23)*(A_Corridor!$E$5:$E$204&lt;&gt;"")),IF(A_Corridor!$E$5:$E$204="-","",A_Corridor!$E$5:$E$204)),"")</f>
        <v/>
      </c>
      <c r="H23" s="182" t="str">
        <f>IFERROR(LOOKUP(2,1/((D_Points!$A$5:$A$204&lt;&gt;"")*(D_Points!$A$5:$A$204&gt;=$B23)*(D_Points!$A$5:$A$204&lt;$B23+P_Interval)*(UPPER(TRIM(D_Points!$B$5:$B$204))="GULLY")*(D_Points!$H$5:$H$204&lt;&gt;"")),D_Points!$H$5:$H$204),"")</f>
        <v/>
      </c>
      <c r="I23" s="181" t="str">
        <f>IFERROR(LOOKUP(2,1/((A_Corridor!$A$5:$A$204&lt;&gt;"")*(A_Corridor!$A$5:$A$204&lt;=$B23)*(A_Corridor!$B$5:$B$204&gt;$B23)*(A_Corridor!$F$5:$F$204&lt;&gt;"")),IF(A_Corridor!$F$5:$F$204="-","",1)),"")</f>
        <v/>
      </c>
      <c r="J23" s="182" t="str">
        <f>IFERROR(LOOKUP(2,1/((A_Corridor!$A$5:$A$204&lt;&gt;"")*(A_Corridor!$A$5:$A$204&lt;=$B23)*(A_Corridor!$B$5:$B$204&gt;$B23)*(A_Corridor!$F$5:$F$204&lt;&gt;"")),IF(A_Corridor!$F$5:$F$204="-","",A_Corridor!$F$5:$F$204)),"")</f>
        <v/>
      </c>
      <c r="K23" s="182" t="str">
        <f>IFERROR(LOOKUP(2,1/((A_Corridor!$A$5:$A$204&lt;&gt;"")*(A_Corridor!$A$5:$A$204&lt;=$B23)*(A_Corridor!$B$5:$B$204&gt;$B23)*(A_Corridor!$G$5:$G$204&lt;&gt;"")),IF(A_Corridor!$G$5:$G$204="-","",A_Corridor!$G$5:$G$204)),"")</f>
        <v/>
      </c>
      <c r="L23" s="181" t="str">
        <f>IFERROR(LOOKUP(2,1/((A_Corridor!$A$5:$A$204&lt;&gt;"")*(A_Corridor!$A$5:$A$204&lt;=$B23)*(A_Corridor!$B$5:$B$204&gt;$B23)*(A_Corridor!$H$5:$H$204&lt;&gt;"")),IF(A_Corridor!$H$5:$H$204="-","",1)),"")</f>
        <v/>
      </c>
      <c r="M23" s="182" t="str">
        <f>IFERROR(LOOKUP(2,1/((A_Corridor!$A$5:$A$204&lt;&gt;"")*(A_Corridor!$A$5:$A$204&lt;=$B23)*(A_Corridor!$B$5:$B$204&gt;$B23)*(A_Corridor!$H$5:$H$204&lt;&gt;"")),IF(A_Corridor!$H$5:$H$204="-","",A_Corridor!$H$5:$H$204)),"")</f>
        <v/>
      </c>
      <c r="N23" s="182" t="str">
        <f>IFERROR(LOOKUP(2,1/((A_Corridor!$A$5:$A$204&lt;&gt;"")*(A_Corridor!$A$5:$A$204&lt;=$B23)*(A_Corridor!$B$5:$B$204&gt;$B23)*(A_Corridor!$I$5:$I$204&lt;&gt;"")),IF(A_Corridor!$I$5:$I$204="-","",A_Corridor!$I$5:$I$204)),"")</f>
        <v/>
      </c>
      <c r="O23" s="182" t="str">
        <f>IFERROR(LOOKUP(2,1/((D_Points!$A$5:$A$204&lt;&gt;"")*(D_Points!$A$5:$A$204&gt;=$B23)*(D_Points!$A$5:$A$204&lt;$B23+P_Interval)*(UPPER(TRIM(D_Points!$B$5:$B$204))="PITCHING")*(D_Points!$H$5:$H$204&lt;&gt;"")),D_Points!$H$5:$H$204),"")</f>
        <v/>
      </c>
      <c r="P23" s="181" t="str">
        <f>IFERROR(LOOKUP(2,1/((B_Drainage!$A$5:$A$204&lt;&gt;"")*(B_Drainage!$A$5:$A$204&lt;=$B23)*(B_Drainage!$B$5:$B$204&gt;$B23)*(B_Drainage!$C$5:$C$204&lt;&gt;"")),IF(B_Drainage!$C$5:$C$204="-","",UPPER(B_Drainage!$C$5:$C$204))),"")</f>
        <v/>
      </c>
      <c r="Q23" s="181" t="str">
        <f>IFERROR(LOOKUP(2,1/((B_Drainage!$A$5:$A$204&lt;&gt;"")*(B_Drainage!$A$5:$A$204&lt;=$B23)*(B_Drainage!$B$5:$B$204&gt;$B23)*(B_Drainage!$D$5:$D$204&lt;&gt;"")),IF(B_Drainage!$D$5:$D$204="-","",UPPER(B_Drainage!$D$5:$D$204))),"")</f>
        <v/>
      </c>
      <c r="R23" s="182" t="str">
        <f>IFERROR(LOOKUP(2,1/((D_Points!$A$5:$A$204&lt;&gt;"")*(D_Points!$A$5:$A$204&gt;=$B23)*(D_Points!$A$5:$A$204&lt;$B23+P_Interval)*(RIGHT(UPPER(TRIM(D_Points!$B$5:$B$204)),8)="_CULVERT")),IF(LEFT(UPPER(TRIM(D_Points!$B$5:$B$204)),2)="EX",1,IF(LEFT(UPPER(TRIM(D_Points!$B$5:$B$204)),2)="PR",2,3))),"")</f>
        <v/>
      </c>
      <c r="S23" s="182" t="str">
        <f>IFERROR(LOOKUP(2,1/((D_Points!$A$5:$A$204&lt;&gt;"")*(D_Points!$A$5:$A$204&gt;=$B23)*(D_Points!$A$5:$A$204&lt;$B23+P_Interval)*(RIGHT(UPPER(TRIM(D_Points!$B$5:$B$204)),7)="_BRIDGE")),IF(LEFT(UPPER(TRIM(D_Points!$B$5:$B$204)),2)="EX",1,IF(LEFT(UPPER(TRIM(D_Points!$B$5:$B$204)),2)="PR",2,2))),"")</f>
        <v/>
      </c>
      <c r="T23" s="181" t="str">
        <f>IFERROR(LOOKUP(2,1/((B_Drainage!$A$5:$A$204&lt;&gt;"")*(B_Drainage!$A$5:$A$204&lt;=$B23)*(B_Drainage!$B$5:$B$204&gt;$B23)*(B_Drainage!$E$5:$E$204&lt;&gt;"")),IF(B_Drainage!$E$5:$E$204="-","",1)),"")</f>
        <v/>
      </c>
      <c r="U23" s="181" t="str">
        <f>IFERROR(LOOKUP(2,1/((B_Drainage!$A$5:$A$204&lt;&gt;"")*(B_Drainage!$A$5:$A$204&lt;=$B23)*(B_Drainage!$B$5:$B$204&gt;$B23)*(B_Drainage!$E$5:$E$204&lt;&gt;"")),IF(B_Drainage!$E$5:$E$204="-","",B_Drainage!$E$5:$E$204)),"")</f>
        <v/>
      </c>
      <c r="V23" s="181" t="str">
        <f>IFERROR(LOOKUP(2,1/((B_Drainage!$A$5:$A$204&lt;&gt;"")*(B_Drainage!$A$5:$A$204&lt;=$B23)*(B_Drainage!$B$5:$B$204&gt;$B23)*(B_Drainage!$F$5:$F$204&lt;&gt;"")),IF(B_Drainage!$F$5:$F$204="-","",1)),"")</f>
        <v/>
      </c>
      <c r="W23" s="181" t="str">
        <f>IFERROR(LOOKUP(2,1/((B_Drainage!$A$5:$A$204&lt;&gt;"")*(B_Drainage!$A$5:$A$204&lt;=$B23)*(B_Drainage!$B$5:$B$204&gt;$B23)*(B_Drainage!$F$5:$F$204&lt;&gt;"")),IF(B_Drainage!$F$5:$F$204="-","",B_Drainage!$F$5:$F$204)),"")</f>
        <v/>
      </c>
      <c r="X23" s="181" t="str">
        <f>IFERROR(LOOKUP(2,1/((B_Drainage!$A$5:$A$204&lt;&gt;"")*(B_Drainage!$A$5:$A$204&lt;=$B23)*(B_Drainage!$B$5:$B$204&gt;$B23)*(B_Drainage!$G$5:$G$204&lt;&gt;"")),IF(UPPER(B_Drainage!$G$5:$G$204)="Y",1,"")),"")</f>
        <v/>
      </c>
      <c r="Y23" s="181" t="str">
        <f>IFERROR(LOOKUP(2,1/((B_Drainage!$A$5:$A$204&lt;&gt;"")*(B_Drainage!$A$5:$A$204&lt;=$B23)*(B_Drainage!$B$5:$B$204&gt;$B23)*(B_Drainage!$H$5:$H$204&lt;&gt;"")),IF(UPPER(B_Drainage!$H$5:$H$204)="Y",1,"")),"")</f>
        <v/>
      </c>
      <c r="Z23" s="181" t="str">
        <f>IFERROR(LOOKUP(2,1/((B_Drainage!$A$5:$A$204&lt;&gt;"")*(B_Drainage!$A$5:$A$204&lt;=$B23)*(B_Drainage!$B$5:$B$204&gt;$B23)*(B_Drainage!$I$5:$I$204&lt;&gt;"")),IF(UPPER(B_Drainage!$I$5:$I$204)="Y",1,"")),"")</f>
        <v/>
      </c>
      <c r="AA23" s="181" t="str">
        <f>IFERROR(LOOKUP(2,1/((B_Drainage!$A$5:$A$204&lt;&gt;"")*(B_Drainage!$A$5:$A$204&lt;=$B23)*(B_Drainage!$B$5:$B$204&gt;$B23)*(B_Drainage!$J$5:$J$204&lt;&gt;"")),IF(UPPER(B_Drainage!$J$5:$J$204)="Y",1,"")),"")</f>
        <v/>
      </c>
      <c r="AB23" s="182" t="str">
        <f>IFERROR(LOOKUP(2,1/((B_Drainage!$A$5:$A$204&lt;&gt;"")*(B_Drainage!$A$5:$A$204&lt;=$B23)*(B_Drainage!$B$5:$B$204&gt;$B23)*(B_Drainage!$K$5:$K$204&lt;&gt;"")),IF(B_Drainage!$K$5:$K$204="-","",B_Drainage!$K$5:$K$204)),"")</f>
        <v/>
      </c>
      <c r="AC23" s="182" t="str">
        <f>IFERROR(LOOKUP(2,1/((B_Drainage!$A$5:$A$204&lt;&gt;"")*(B_Drainage!$A$5:$A$204&lt;=$B23)*(B_Drainage!$B$5:$B$204&gt;$B23)*(B_Drainage!$L$5:$L$204&lt;&gt;"")),IF(B_Drainage!$L$5:$L$204="-","",B_Drainage!$L$5:$L$204)),"")</f>
        <v/>
      </c>
      <c r="AD23" s="182" t="str">
        <f>IFERROR(LOOKUP(2,1/((D_Points!$A$5:$A$204&lt;&gt;"")*(D_Points!$A$5:$A$204&gt;=$B23)*(D_Points!$A$5:$A$204&lt;$B23+P_Interval)*(UPPER(TRIM(D_Points!$B$5:$B$204))="TURNOUT_L")*(D_Points!$H$5:$H$204&lt;&gt;"")),D_Points!$H$5:$H$204),"")</f>
        <v/>
      </c>
      <c r="AE23" s="182" t="str">
        <f>IFERROR(LOOKUP(2,1/((D_Points!$A$5:$A$204&lt;&gt;"")*(D_Points!$A$5:$A$204&gt;=$B23)*(D_Points!$A$5:$A$204&lt;$B23+P_Interval)*(UPPER(TRIM(D_Points!$B$5:$B$204))="TURNOUT_R")*(D_Points!$H$5:$H$204&lt;&gt;"")),D_Points!$H$5:$H$204),"")</f>
        <v/>
      </c>
      <c r="AF23" s="181" t="str">
        <f>IFERROR(LOOKUP(2,1/((B_Drainage!$A$5:$A$204&lt;&gt;"")*(B_Drainage!$A$5:$A$204&lt;=$B23)*(B_Drainage!$B$5:$B$204&gt;$B23)*(B_Drainage!$M$5:$M$204&lt;&gt;"")),IF(UPPER(B_Drainage!$M$5:$M$204)="Y",1,"")),"")</f>
        <v/>
      </c>
      <c r="AG23" s="181" t="str">
        <f>IFERROR(LOOKUP(2,1/((B_Drainage!$A$5:$A$204&lt;&gt;"")*(B_Drainage!$A$5:$A$204&lt;=$B23)*(B_Drainage!$B$5:$B$204&gt;$B23)*(B_Drainage!$N$5:$N$204&lt;&gt;"")),IF(UPPER(B_Drainage!$N$5:$N$204)="Y",1,"")),"")</f>
        <v/>
      </c>
      <c r="AH23" s="181" t="str">
        <f t="shared" si="0"/>
        <v/>
      </c>
      <c r="AI23" s="181" t="str">
        <f t="shared" si="1"/>
        <v/>
      </c>
      <c r="AJ23" s="181" t="str">
        <f t="shared" si="2"/>
        <v/>
      </c>
      <c r="AK23" s="181" t="str">
        <f t="shared" si="3"/>
        <v/>
      </c>
      <c r="AL23" s="181" t="str">
        <f t="shared" si="4"/>
        <v/>
      </c>
      <c r="AM23" s="181" t="str">
        <f t="shared" si="5"/>
        <v/>
      </c>
      <c r="AN23" s="181" t="str">
        <f t="shared" si="6"/>
        <v/>
      </c>
      <c r="AO23" s="192" t="str">
        <f t="shared" si="7"/>
        <v/>
      </c>
      <c r="AQ23" t="str">
        <f>IFERROR(LOOKUP(2,1/((C_Pavement!$A$5:$A$204&lt;&gt;"")*(C_Pavement!$A$5:$A$204&lt;=$B23)*(C_Pavement!$B$5:$B$204&gt;$B23)*(C_Pavement!$C$5:$C$204&lt;&gt;"")),ROW(C_Pavement!$C$5:$C$204)-4),"")</f>
        <v/>
      </c>
      <c r="AR23" t="str">
        <f>IF($AQ23="","",UPPER(TRIM(INDEX(C_Pavement!$C$5:$C$204,$AQ23))))</f>
        <v/>
      </c>
      <c r="AS23" t="str">
        <f>IF($AR23="","",IFERROR(MATCH($AR23,E_Rules!$A$5:$A$9,0),""))</f>
        <v/>
      </c>
      <c r="AT23" t="str">
        <f>IF($AQ23="","",IF(INDEX(C_Pavement!$D$5:$D$204,$AQ23)&lt;&gt;"",UPPER(TRIM(INDEX(C_Pavement!$D$5:$D$204,$AQ23))),IF($AS23="","",INDEX(E_Rules!$C$5:$C$9,$AS23))))</f>
        <v/>
      </c>
      <c r="AU23" t="str">
        <f>IF($AQ23="","",IF(INDEX(C_Pavement!$E$5:$E$204,$AQ23)&lt;&gt;"",IF(INDEX(C_Pavement!$E$5:$E$204,$AQ23)="-","",INDEX(C_Pavement!$E$5:$E$204,$AQ23)),IF($AS23="","",INDEX(E_Rules!$D$5:$D$9,$AS23))))</f>
        <v/>
      </c>
      <c r="AV23" t="str">
        <f>IF($AQ23="","",IF(INDEX(C_Pavement!$F$5:$F$204,$AQ23)&lt;&gt;"",IF(INDEX(C_Pavement!$F$5:$F$204,$AQ23)="-","",INDEX(C_Pavement!$F$5:$F$204,$AQ23)),IF($AS23="","",INDEX(E_Rules!$E$5:$E$9,$AS23))))</f>
        <v/>
      </c>
      <c r="AW23" t="str">
        <f>IF($AQ23="","",IF(INDEX(C_Pavement!$G$5:$G$204,$AQ23)&lt;&gt;"",IF(INDEX(C_Pavement!$G$5:$G$204,$AQ23)="-","",INDEX(C_Pavement!$G$5:$G$204,$AQ23)),IF($AS23="","",INDEX(E_Rules!$F$5:$F$9,$AS23))))</f>
        <v/>
      </c>
      <c r="AX23" t="str">
        <f>IF($AQ23="","",IF(INDEX(C_Pavement!$H$5:$H$204,$AQ23)&lt;&gt;"",IF(INDEX(C_Pavement!$H$5:$H$204,$AQ23)="-","",INDEX(C_Pavement!$H$5:$H$204,$AQ23)),IF($AS23="","",INDEX(E_Rules!$G$5:$G$9,$AS23))))</f>
        <v/>
      </c>
      <c r="AY23" t="str">
        <f>IF($AQ23="","",IF(INDEX(C_Pavement!$I$5:$I$204,$AQ23)&lt;&gt;"",IF(INDEX(C_Pavement!$I$5:$I$204,$AQ23)="-","",INDEX(C_Pavement!$I$5:$I$204,$AQ23)),IF($AS23="","",INDEX(E_Rules!$H$5:$H$9,$AS23))))</f>
        <v/>
      </c>
    </row>
    <row r="24" spans="1:51" ht="15.75" customHeight="1" x14ac:dyDescent="0.3">
      <c r="A24" s="189">
        <v>19</v>
      </c>
      <c r="B24" s="180">
        <v>900</v>
      </c>
      <c r="C24" s="180" t="s">
        <v>330</v>
      </c>
      <c r="D24" s="181" t="str">
        <f>IFERROR(LOOKUP(2,1/((A_Corridor!$A$5:$A$204&lt;&gt;"")*(A_Corridor!$A$5:$A$204&lt;=$B24)*(A_Corridor!$B$5:$B$204&gt;$B24)*(A_Corridor!$C$5:$C$204&lt;&gt;"")),IF(UPPER(A_Corridor!$C$5:$C$204)="Y",1,"")),"")</f>
        <v/>
      </c>
      <c r="E24" s="181" t="str">
        <f>IFERROR(LOOKUP(2,1/((A_Corridor!$A$5:$A$204&lt;&gt;"")*(A_Corridor!$A$5:$A$204&lt;=$B24)*(A_Corridor!$B$5:$B$204&gt;$B24)*(A_Corridor!$D$5:$D$204&lt;&gt;"")),IF(A_Corridor!$D$5:$D$204="-","",UPPER(A_Corridor!$D$5:$D$204))),"")</f>
        <v/>
      </c>
      <c r="F24" s="181" t="str">
        <f>IFERROR(LOOKUP(2,1/((A_Corridor!$A$5:$A$204&lt;&gt;"")*(A_Corridor!$A$5:$A$204&lt;=$B24)*(A_Corridor!$B$5:$B$204&gt;$B24)*(A_Corridor!$E$5:$E$204&lt;&gt;"")),IF(A_Corridor!$E$5:$E$204="-","",1)),"")</f>
        <v/>
      </c>
      <c r="G24" s="182" t="str">
        <f>IFERROR(LOOKUP(2,1/((A_Corridor!$A$5:$A$204&lt;&gt;"")*(A_Corridor!$A$5:$A$204&lt;=$B24)*(A_Corridor!$B$5:$B$204&gt;$B24)*(A_Corridor!$E$5:$E$204&lt;&gt;"")),IF(A_Corridor!$E$5:$E$204="-","",A_Corridor!$E$5:$E$204)),"")</f>
        <v/>
      </c>
      <c r="H24" s="182" t="str">
        <f>IFERROR(LOOKUP(2,1/((D_Points!$A$5:$A$204&lt;&gt;"")*(D_Points!$A$5:$A$204&gt;=$B24)*(D_Points!$A$5:$A$204&lt;$B24+P_Interval)*(UPPER(TRIM(D_Points!$B$5:$B$204))="GULLY")*(D_Points!$H$5:$H$204&lt;&gt;"")),D_Points!$H$5:$H$204),"")</f>
        <v/>
      </c>
      <c r="I24" s="181" t="str">
        <f>IFERROR(LOOKUP(2,1/((A_Corridor!$A$5:$A$204&lt;&gt;"")*(A_Corridor!$A$5:$A$204&lt;=$B24)*(A_Corridor!$B$5:$B$204&gt;$B24)*(A_Corridor!$F$5:$F$204&lt;&gt;"")),IF(A_Corridor!$F$5:$F$204="-","",1)),"")</f>
        <v/>
      </c>
      <c r="J24" s="182" t="str">
        <f>IFERROR(LOOKUP(2,1/((A_Corridor!$A$5:$A$204&lt;&gt;"")*(A_Corridor!$A$5:$A$204&lt;=$B24)*(A_Corridor!$B$5:$B$204&gt;$B24)*(A_Corridor!$F$5:$F$204&lt;&gt;"")),IF(A_Corridor!$F$5:$F$204="-","",A_Corridor!$F$5:$F$204)),"")</f>
        <v/>
      </c>
      <c r="K24" s="182" t="str">
        <f>IFERROR(LOOKUP(2,1/((A_Corridor!$A$5:$A$204&lt;&gt;"")*(A_Corridor!$A$5:$A$204&lt;=$B24)*(A_Corridor!$B$5:$B$204&gt;$B24)*(A_Corridor!$G$5:$G$204&lt;&gt;"")),IF(A_Corridor!$G$5:$G$204="-","",A_Corridor!$G$5:$G$204)),"")</f>
        <v/>
      </c>
      <c r="L24" s="181" t="str">
        <f>IFERROR(LOOKUP(2,1/((A_Corridor!$A$5:$A$204&lt;&gt;"")*(A_Corridor!$A$5:$A$204&lt;=$B24)*(A_Corridor!$B$5:$B$204&gt;$B24)*(A_Corridor!$H$5:$H$204&lt;&gt;"")),IF(A_Corridor!$H$5:$H$204="-","",1)),"")</f>
        <v/>
      </c>
      <c r="M24" s="182" t="str">
        <f>IFERROR(LOOKUP(2,1/((A_Corridor!$A$5:$A$204&lt;&gt;"")*(A_Corridor!$A$5:$A$204&lt;=$B24)*(A_Corridor!$B$5:$B$204&gt;$B24)*(A_Corridor!$H$5:$H$204&lt;&gt;"")),IF(A_Corridor!$H$5:$H$204="-","",A_Corridor!$H$5:$H$204)),"")</f>
        <v/>
      </c>
      <c r="N24" s="182" t="str">
        <f>IFERROR(LOOKUP(2,1/((A_Corridor!$A$5:$A$204&lt;&gt;"")*(A_Corridor!$A$5:$A$204&lt;=$B24)*(A_Corridor!$B$5:$B$204&gt;$B24)*(A_Corridor!$I$5:$I$204&lt;&gt;"")),IF(A_Corridor!$I$5:$I$204="-","",A_Corridor!$I$5:$I$204)),"")</f>
        <v/>
      </c>
      <c r="O24" s="182" t="str">
        <f>IFERROR(LOOKUP(2,1/((D_Points!$A$5:$A$204&lt;&gt;"")*(D_Points!$A$5:$A$204&gt;=$B24)*(D_Points!$A$5:$A$204&lt;$B24+P_Interval)*(UPPER(TRIM(D_Points!$B$5:$B$204))="PITCHING")*(D_Points!$H$5:$H$204&lt;&gt;"")),D_Points!$H$5:$H$204),"")</f>
        <v/>
      </c>
      <c r="P24" s="181" t="str">
        <f>IFERROR(LOOKUP(2,1/((B_Drainage!$A$5:$A$204&lt;&gt;"")*(B_Drainage!$A$5:$A$204&lt;=$B24)*(B_Drainage!$B$5:$B$204&gt;$B24)*(B_Drainage!$C$5:$C$204&lt;&gt;"")),IF(B_Drainage!$C$5:$C$204="-","",UPPER(B_Drainage!$C$5:$C$204))),"")</f>
        <v/>
      </c>
      <c r="Q24" s="181" t="str">
        <f>IFERROR(LOOKUP(2,1/((B_Drainage!$A$5:$A$204&lt;&gt;"")*(B_Drainage!$A$5:$A$204&lt;=$B24)*(B_Drainage!$B$5:$B$204&gt;$B24)*(B_Drainage!$D$5:$D$204&lt;&gt;"")),IF(B_Drainage!$D$5:$D$204="-","",UPPER(B_Drainage!$D$5:$D$204))),"")</f>
        <v/>
      </c>
      <c r="R24" s="182" t="str">
        <f>IFERROR(LOOKUP(2,1/((D_Points!$A$5:$A$204&lt;&gt;"")*(D_Points!$A$5:$A$204&gt;=$B24)*(D_Points!$A$5:$A$204&lt;$B24+P_Interval)*(RIGHT(UPPER(TRIM(D_Points!$B$5:$B$204)),8)="_CULVERT")),IF(LEFT(UPPER(TRIM(D_Points!$B$5:$B$204)),2)="EX",1,IF(LEFT(UPPER(TRIM(D_Points!$B$5:$B$204)),2)="PR",2,3))),"")</f>
        <v/>
      </c>
      <c r="S24" s="182" t="str">
        <f>IFERROR(LOOKUP(2,1/((D_Points!$A$5:$A$204&lt;&gt;"")*(D_Points!$A$5:$A$204&gt;=$B24)*(D_Points!$A$5:$A$204&lt;$B24+P_Interval)*(RIGHT(UPPER(TRIM(D_Points!$B$5:$B$204)),7)="_BRIDGE")),IF(LEFT(UPPER(TRIM(D_Points!$B$5:$B$204)),2)="EX",1,IF(LEFT(UPPER(TRIM(D_Points!$B$5:$B$204)),2)="PR",2,2))),"")</f>
        <v/>
      </c>
      <c r="T24" s="181" t="str">
        <f>IFERROR(LOOKUP(2,1/((B_Drainage!$A$5:$A$204&lt;&gt;"")*(B_Drainage!$A$5:$A$204&lt;=$B24)*(B_Drainage!$B$5:$B$204&gt;$B24)*(B_Drainage!$E$5:$E$204&lt;&gt;"")),IF(B_Drainage!$E$5:$E$204="-","",1)),"")</f>
        <v/>
      </c>
      <c r="U24" s="181" t="str">
        <f>IFERROR(LOOKUP(2,1/((B_Drainage!$A$5:$A$204&lt;&gt;"")*(B_Drainage!$A$5:$A$204&lt;=$B24)*(B_Drainage!$B$5:$B$204&gt;$B24)*(B_Drainage!$E$5:$E$204&lt;&gt;"")),IF(B_Drainage!$E$5:$E$204="-","",B_Drainage!$E$5:$E$204)),"")</f>
        <v/>
      </c>
      <c r="V24" s="181" t="str">
        <f>IFERROR(LOOKUP(2,1/((B_Drainage!$A$5:$A$204&lt;&gt;"")*(B_Drainage!$A$5:$A$204&lt;=$B24)*(B_Drainage!$B$5:$B$204&gt;$B24)*(B_Drainage!$F$5:$F$204&lt;&gt;"")),IF(B_Drainage!$F$5:$F$204="-","",1)),"")</f>
        <v/>
      </c>
      <c r="W24" s="181" t="str">
        <f>IFERROR(LOOKUP(2,1/((B_Drainage!$A$5:$A$204&lt;&gt;"")*(B_Drainage!$A$5:$A$204&lt;=$B24)*(B_Drainage!$B$5:$B$204&gt;$B24)*(B_Drainage!$F$5:$F$204&lt;&gt;"")),IF(B_Drainage!$F$5:$F$204="-","",B_Drainage!$F$5:$F$204)),"")</f>
        <v/>
      </c>
      <c r="X24" s="181" t="str">
        <f>IFERROR(LOOKUP(2,1/((B_Drainage!$A$5:$A$204&lt;&gt;"")*(B_Drainage!$A$5:$A$204&lt;=$B24)*(B_Drainage!$B$5:$B$204&gt;$B24)*(B_Drainage!$G$5:$G$204&lt;&gt;"")),IF(UPPER(B_Drainage!$G$5:$G$204)="Y",1,"")),"")</f>
        <v/>
      </c>
      <c r="Y24" s="181" t="str">
        <f>IFERROR(LOOKUP(2,1/((B_Drainage!$A$5:$A$204&lt;&gt;"")*(B_Drainage!$A$5:$A$204&lt;=$B24)*(B_Drainage!$B$5:$B$204&gt;$B24)*(B_Drainage!$H$5:$H$204&lt;&gt;"")),IF(UPPER(B_Drainage!$H$5:$H$204)="Y",1,"")),"")</f>
        <v/>
      </c>
      <c r="Z24" s="181" t="str">
        <f>IFERROR(LOOKUP(2,1/((B_Drainage!$A$5:$A$204&lt;&gt;"")*(B_Drainage!$A$5:$A$204&lt;=$B24)*(B_Drainage!$B$5:$B$204&gt;$B24)*(B_Drainage!$I$5:$I$204&lt;&gt;"")),IF(UPPER(B_Drainage!$I$5:$I$204)="Y",1,"")),"")</f>
        <v/>
      </c>
      <c r="AA24" s="181" t="str">
        <f>IFERROR(LOOKUP(2,1/((B_Drainage!$A$5:$A$204&lt;&gt;"")*(B_Drainage!$A$5:$A$204&lt;=$B24)*(B_Drainage!$B$5:$B$204&gt;$B24)*(B_Drainage!$J$5:$J$204&lt;&gt;"")),IF(UPPER(B_Drainage!$J$5:$J$204)="Y",1,"")),"")</f>
        <v/>
      </c>
      <c r="AB24" s="182" t="str">
        <f>IFERROR(LOOKUP(2,1/((B_Drainage!$A$5:$A$204&lt;&gt;"")*(B_Drainage!$A$5:$A$204&lt;=$B24)*(B_Drainage!$B$5:$B$204&gt;$B24)*(B_Drainage!$K$5:$K$204&lt;&gt;"")),IF(B_Drainage!$K$5:$K$204="-","",B_Drainage!$K$5:$K$204)),"")</f>
        <v/>
      </c>
      <c r="AC24" s="182" t="str">
        <f>IFERROR(LOOKUP(2,1/((B_Drainage!$A$5:$A$204&lt;&gt;"")*(B_Drainage!$A$5:$A$204&lt;=$B24)*(B_Drainage!$B$5:$B$204&gt;$B24)*(B_Drainage!$L$5:$L$204&lt;&gt;"")),IF(B_Drainage!$L$5:$L$204="-","",B_Drainage!$L$5:$L$204)),"")</f>
        <v/>
      </c>
      <c r="AD24" s="182" t="str">
        <f>IFERROR(LOOKUP(2,1/((D_Points!$A$5:$A$204&lt;&gt;"")*(D_Points!$A$5:$A$204&gt;=$B24)*(D_Points!$A$5:$A$204&lt;$B24+P_Interval)*(UPPER(TRIM(D_Points!$B$5:$B$204))="TURNOUT_L")*(D_Points!$H$5:$H$204&lt;&gt;"")),D_Points!$H$5:$H$204),"")</f>
        <v/>
      </c>
      <c r="AE24" s="182" t="str">
        <f>IFERROR(LOOKUP(2,1/((D_Points!$A$5:$A$204&lt;&gt;"")*(D_Points!$A$5:$A$204&gt;=$B24)*(D_Points!$A$5:$A$204&lt;$B24+P_Interval)*(UPPER(TRIM(D_Points!$B$5:$B$204))="TURNOUT_R")*(D_Points!$H$5:$H$204&lt;&gt;"")),D_Points!$H$5:$H$204),"")</f>
        <v/>
      </c>
      <c r="AF24" s="181" t="str">
        <f>IFERROR(LOOKUP(2,1/((B_Drainage!$A$5:$A$204&lt;&gt;"")*(B_Drainage!$A$5:$A$204&lt;=$B24)*(B_Drainage!$B$5:$B$204&gt;$B24)*(B_Drainage!$M$5:$M$204&lt;&gt;"")),IF(UPPER(B_Drainage!$M$5:$M$204)="Y",1,"")),"")</f>
        <v/>
      </c>
      <c r="AG24" s="181" t="str">
        <f>IFERROR(LOOKUP(2,1/((B_Drainage!$A$5:$A$204&lt;&gt;"")*(B_Drainage!$A$5:$A$204&lt;=$B24)*(B_Drainage!$B$5:$B$204&gt;$B24)*(B_Drainage!$N$5:$N$204&lt;&gt;"")),IF(UPPER(B_Drainage!$N$5:$N$204)="Y",1,"")),"")</f>
        <v/>
      </c>
      <c r="AH24" s="181" t="str">
        <f t="shared" si="0"/>
        <v/>
      </c>
      <c r="AI24" s="181" t="str">
        <f t="shared" si="1"/>
        <v/>
      </c>
      <c r="AJ24" s="181" t="str">
        <f t="shared" si="2"/>
        <v/>
      </c>
      <c r="AK24" s="181" t="str">
        <f t="shared" si="3"/>
        <v/>
      </c>
      <c r="AL24" s="181" t="str">
        <f t="shared" si="4"/>
        <v/>
      </c>
      <c r="AM24" s="181" t="str">
        <f t="shared" si="5"/>
        <v/>
      </c>
      <c r="AN24" s="181" t="str">
        <f t="shared" si="6"/>
        <v/>
      </c>
      <c r="AO24" s="192" t="str">
        <f t="shared" si="7"/>
        <v/>
      </c>
      <c r="AQ24" t="str">
        <f>IFERROR(LOOKUP(2,1/((C_Pavement!$A$5:$A$204&lt;&gt;"")*(C_Pavement!$A$5:$A$204&lt;=$B24)*(C_Pavement!$B$5:$B$204&gt;$B24)*(C_Pavement!$C$5:$C$204&lt;&gt;"")),ROW(C_Pavement!$C$5:$C$204)-4),"")</f>
        <v/>
      </c>
      <c r="AR24" t="str">
        <f>IF($AQ24="","",UPPER(TRIM(INDEX(C_Pavement!$C$5:$C$204,$AQ24))))</f>
        <v/>
      </c>
      <c r="AS24" t="str">
        <f>IF($AR24="","",IFERROR(MATCH($AR24,E_Rules!$A$5:$A$9,0),""))</f>
        <v/>
      </c>
      <c r="AT24" t="str">
        <f>IF($AQ24="","",IF(INDEX(C_Pavement!$D$5:$D$204,$AQ24)&lt;&gt;"",UPPER(TRIM(INDEX(C_Pavement!$D$5:$D$204,$AQ24))),IF($AS24="","",INDEX(E_Rules!$C$5:$C$9,$AS24))))</f>
        <v/>
      </c>
      <c r="AU24" t="str">
        <f>IF($AQ24="","",IF(INDEX(C_Pavement!$E$5:$E$204,$AQ24)&lt;&gt;"",IF(INDEX(C_Pavement!$E$5:$E$204,$AQ24)="-","",INDEX(C_Pavement!$E$5:$E$204,$AQ24)),IF($AS24="","",INDEX(E_Rules!$D$5:$D$9,$AS24))))</f>
        <v/>
      </c>
      <c r="AV24" t="str">
        <f>IF($AQ24="","",IF(INDEX(C_Pavement!$F$5:$F$204,$AQ24)&lt;&gt;"",IF(INDEX(C_Pavement!$F$5:$F$204,$AQ24)="-","",INDEX(C_Pavement!$F$5:$F$204,$AQ24)),IF($AS24="","",INDEX(E_Rules!$E$5:$E$9,$AS24))))</f>
        <v/>
      </c>
      <c r="AW24" t="str">
        <f>IF($AQ24="","",IF(INDEX(C_Pavement!$G$5:$G$204,$AQ24)&lt;&gt;"",IF(INDEX(C_Pavement!$G$5:$G$204,$AQ24)="-","",INDEX(C_Pavement!$G$5:$G$204,$AQ24)),IF($AS24="","",INDEX(E_Rules!$F$5:$F$9,$AS24))))</f>
        <v/>
      </c>
      <c r="AX24" t="str">
        <f>IF($AQ24="","",IF(INDEX(C_Pavement!$H$5:$H$204,$AQ24)&lt;&gt;"",IF(INDEX(C_Pavement!$H$5:$H$204,$AQ24)="-","",INDEX(C_Pavement!$H$5:$H$204,$AQ24)),IF($AS24="","",INDEX(E_Rules!$G$5:$G$9,$AS24))))</f>
        <v/>
      </c>
      <c r="AY24" t="str">
        <f>IF($AQ24="","",IF(INDEX(C_Pavement!$I$5:$I$204,$AQ24)&lt;&gt;"",IF(INDEX(C_Pavement!$I$5:$I$204,$AQ24)="-","",INDEX(C_Pavement!$I$5:$I$204,$AQ24)),IF($AS24="","",INDEX(E_Rules!$H$5:$H$9,$AS24))))</f>
        <v/>
      </c>
    </row>
    <row r="25" spans="1:51" ht="15.75" customHeight="1" x14ac:dyDescent="0.3">
      <c r="A25" s="189">
        <v>20</v>
      </c>
      <c r="B25" s="180">
        <v>950</v>
      </c>
      <c r="C25" s="180" t="s">
        <v>331</v>
      </c>
      <c r="D25" s="181" t="str">
        <f>IFERROR(LOOKUP(2,1/((A_Corridor!$A$5:$A$204&lt;&gt;"")*(A_Corridor!$A$5:$A$204&lt;=$B25)*(A_Corridor!$B$5:$B$204&gt;$B25)*(A_Corridor!$C$5:$C$204&lt;&gt;"")),IF(UPPER(A_Corridor!$C$5:$C$204)="Y",1,"")),"")</f>
        <v/>
      </c>
      <c r="E25" s="181" t="str">
        <f>IFERROR(LOOKUP(2,1/((A_Corridor!$A$5:$A$204&lt;&gt;"")*(A_Corridor!$A$5:$A$204&lt;=$B25)*(A_Corridor!$B$5:$B$204&gt;$B25)*(A_Corridor!$D$5:$D$204&lt;&gt;"")),IF(A_Corridor!$D$5:$D$204="-","",UPPER(A_Corridor!$D$5:$D$204))),"")</f>
        <v/>
      </c>
      <c r="F25" s="181" t="str">
        <f>IFERROR(LOOKUP(2,1/((A_Corridor!$A$5:$A$204&lt;&gt;"")*(A_Corridor!$A$5:$A$204&lt;=$B25)*(A_Corridor!$B$5:$B$204&gt;$B25)*(A_Corridor!$E$5:$E$204&lt;&gt;"")),IF(A_Corridor!$E$5:$E$204="-","",1)),"")</f>
        <v/>
      </c>
      <c r="G25" s="182" t="str">
        <f>IFERROR(LOOKUP(2,1/((A_Corridor!$A$5:$A$204&lt;&gt;"")*(A_Corridor!$A$5:$A$204&lt;=$B25)*(A_Corridor!$B$5:$B$204&gt;$B25)*(A_Corridor!$E$5:$E$204&lt;&gt;"")),IF(A_Corridor!$E$5:$E$204="-","",A_Corridor!$E$5:$E$204)),"")</f>
        <v/>
      </c>
      <c r="H25" s="182" t="str">
        <f>IFERROR(LOOKUP(2,1/((D_Points!$A$5:$A$204&lt;&gt;"")*(D_Points!$A$5:$A$204&gt;=$B25)*(D_Points!$A$5:$A$204&lt;$B25+P_Interval)*(UPPER(TRIM(D_Points!$B$5:$B$204))="GULLY")*(D_Points!$H$5:$H$204&lt;&gt;"")),D_Points!$H$5:$H$204),"")</f>
        <v/>
      </c>
      <c r="I25" s="181" t="str">
        <f>IFERROR(LOOKUP(2,1/((A_Corridor!$A$5:$A$204&lt;&gt;"")*(A_Corridor!$A$5:$A$204&lt;=$B25)*(A_Corridor!$B$5:$B$204&gt;$B25)*(A_Corridor!$F$5:$F$204&lt;&gt;"")),IF(A_Corridor!$F$5:$F$204="-","",1)),"")</f>
        <v/>
      </c>
      <c r="J25" s="182" t="str">
        <f>IFERROR(LOOKUP(2,1/((A_Corridor!$A$5:$A$204&lt;&gt;"")*(A_Corridor!$A$5:$A$204&lt;=$B25)*(A_Corridor!$B$5:$B$204&gt;$B25)*(A_Corridor!$F$5:$F$204&lt;&gt;"")),IF(A_Corridor!$F$5:$F$204="-","",A_Corridor!$F$5:$F$204)),"")</f>
        <v/>
      </c>
      <c r="K25" s="182" t="str">
        <f>IFERROR(LOOKUP(2,1/((A_Corridor!$A$5:$A$204&lt;&gt;"")*(A_Corridor!$A$5:$A$204&lt;=$B25)*(A_Corridor!$B$5:$B$204&gt;$B25)*(A_Corridor!$G$5:$G$204&lt;&gt;"")),IF(A_Corridor!$G$5:$G$204="-","",A_Corridor!$G$5:$G$204)),"")</f>
        <v/>
      </c>
      <c r="L25" s="181" t="str">
        <f>IFERROR(LOOKUP(2,1/((A_Corridor!$A$5:$A$204&lt;&gt;"")*(A_Corridor!$A$5:$A$204&lt;=$B25)*(A_Corridor!$B$5:$B$204&gt;$B25)*(A_Corridor!$H$5:$H$204&lt;&gt;"")),IF(A_Corridor!$H$5:$H$204="-","",1)),"")</f>
        <v/>
      </c>
      <c r="M25" s="182" t="str">
        <f>IFERROR(LOOKUP(2,1/((A_Corridor!$A$5:$A$204&lt;&gt;"")*(A_Corridor!$A$5:$A$204&lt;=$B25)*(A_Corridor!$B$5:$B$204&gt;$B25)*(A_Corridor!$H$5:$H$204&lt;&gt;"")),IF(A_Corridor!$H$5:$H$204="-","",A_Corridor!$H$5:$H$204)),"")</f>
        <v/>
      </c>
      <c r="N25" s="182" t="str">
        <f>IFERROR(LOOKUP(2,1/((A_Corridor!$A$5:$A$204&lt;&gt;"")*(A_Corridor!$A$5:$A$204&lt;=$B25)*(A_Corridor!$B$5:$B$204&gt;$B25)*(A_Corridor!$I$5:$I$204&lt;&gt;"")),IF(A_Corridor!$I$5:$I$204="-","",A_Corridor!$I$5:$I$204)),"")</f>
        <v/>
      </c>
      <c r="O25" s="182" t="str">
        <f>IFERROR(LOOKUP(2,1/((D_Points!$A$5:$A$204&lt;&gt;"")*(D_Points!$A$5:$A$204&gt;=$B25)*(D_Points!$A$5:$A$204&lt;$B25+P_Interval)*(UPPER(TRIM(D_Points!$B$5:$B$204))="PITCHING")*(D_Points!$H$5:$H$204&lt;&gt;"")),D_Points!$H$5:$H$204),"")</f>
        <v/>
      </c>
      <c r="P25" s="181" t="str">
        <f>IFERROR(LOOKUP(2,1/((B_Drainage!$A$5:$A$204&lt;&gt;"")*(B_Drainage!$A$5:$A$204&lt;=$B25)*(B_Drainage!$B$5:$B$204&gt;$B25)*(B_Drainage!$C$5:$C$204&lt;&gt;"")),IF(B_Drainage!$C$5:$C$204="-","",UPPER(B_Drainage!$C$5:$C$204))),"")</f>
        <v/>
      </c>
      <c r="Q25" s="181" t="str">
        <f>IFERROR(LOOKUP(2,1/((B_Drainage!$A$5:$A$204&lt;&gt;"")*(B_Drainage!$A$5:$A$204&lt;=$B25)*(B_Drainage!$B$5:$B$204&gt;$B25)*(B_Drainage!$D$5:$D$204&lt;&gt;"")),IF(B_Drainage!$D$5:$D$204="-","",UPPER(B_Drainage!$D$5:$D$204))),"")</f>
        <v/>
      </c>
      <c r="R25" s="182" t="str">
        <f>IFERROR(LOOKUP(2,1/((D_Points!$A$5:$A$204&lt;&gt;"")*(D_Points!$A$5:$A$204&gt;=$B25)*(D_Points!$A$5:$A$204&lt;$B25+P_Interval)*(RIGHT(UPPER(TRIM(D_Points!$B$5:$B$204)),8)="_CULVERT")),IF(LEFT(UPPER(TRIM(D_Points!$B$5:$B$204)),2)="EX",1,IF(LEFT(UPPER(TRIM(D_Points!$B$5:$B$204)),2)="PR",2,3))),"")</f>
        <v/>
      </c>
      <c r="S25" s="182" t="str">
        <f>IFERROR(LOOKUP(2,1/((D_Points!$A$5:$A$204&lt;&gt;"")*(D_Points!$A$5:$A$204&gt;=$B25)*(D_Points!$A$5:$A$204&lt;$B25+P_Interval)*(RIGHT(UPPER(TRIM(D_Points!$B$5:$B$204)),7)="_BRIDGE")),IF(LEFT(UPPER(TRIM(D_Points!$B$5:$B$204)),2)="EX",1,IF(LEFT(UPPER(TRIM(D_Points!$B$5:$B$204)),2)="PR",2,2))),"")</f>
        <v/>
      </c>
      <c r="T25" s="181" t="str">
        <f>IFERROR(LOOKUP(2,1/((B_Drainage!$A$5:$A$204&lt;&gt;"")*(B_Drainage!$A$5:$A$204&lt;=$B25)*(B_Drainage!$B$5:$B$204&gt;$B25)*(B_Drainage!$E$5:$E$204&lt;&gt;"")),IF(B_Drainage!$E$5:$E$204="-","",1)),"")</f>
        <v/>
      </c>
      <c r="U25" s="181" t="str">
        <f>IFERROR(LOOKUP(2,1/((B_Drainage!$A$5:$A$204&lt;&gt;"")*(B_Drainage!$A$5:$A$204&lt;=$B25)*(B_Drainage!$B$5:$B$204&gt;$B25)*(B_Drainage!$E$5:$E$204&lt;&gt;"")),IF(B_Drainage!$E$5:$E$204="-","",B_Drainage!$E$5:$E$204)),"")</f>
        <v/>
      </c>
      <c r="V25" s="181" t="str">
        <f>IFERROR(LOOKUP(2,1/((B_Drainage!$A$5:$A$204&lt;&gt;"")*(B_Drainage!$A$5:$A$204&lt;=$B25)*(B_Drainage!$B$5:$B$204&gt;$B25)*(B_Drainage!$F$5:$F$204&lt;&gt;"")),IF(B_Drainage!$F$5:$F$204="-","",1)),"")</f>
        <v/>
      </c>
      <c r="W25" s="181" t="str">
        <f>IFERROR(LOOKUP(2,1/((B_Drainage!$A$5:$A$204&lt;&gt;"")*(B_Drainage!$A$5:$A$204&lt;=$B25)*(B_Drainage!$B$5:$B$204&gt;$B25)*(B_Drainage!$F$5:$F$204&lt;&gt;"")),IF(B_Drainage!$F$5:$F$204="-","",B_Drainage!$F$5:$F$204)),"")</f>
        <v/>
      </c>
      <c r="X25" s="181" t="str">
        <f>IFERROR(LOOKUP(2,1/((B_Drainage!$A$5:$A$204&lt;&gt;"")*(B_Drainage!$A$5:$A$204&lt;=$B25)*(B_Drainage!$B$5:$B$204&gt;$B25)*(B_Drainage!$G$5:$G$204&lt;&gt;"")),IF(UPPER(B_Drainage!$G$5:$G$204)="Y",1,"")),"")</f>
        <v/>
      </c>
      <c r="Y25" s="181" t="str">
        <f>IFERROR(LOOKUP(2,1/((B_Drainage!$A$5:$A$204&lt;&gt;"")*(B_Drainage!$A$5:$A$204&lt;=$B25)*(B_Drainage!$B$5:$B$204&gt;$B25)*(B_Drainage!$H$5:$H$204&lt;&gt;"")),IF(UPPER(B_Drainage!$H$5:$H$204)="Y",1,"")),"")</f>
        <v/>
      </c>
      <c r="Z25" s="181" t="str">
        <f>IFERROR(LOOKUP(2,1/((B_Drainage!$A$5:$A$204&lt;&gt;"")*(B_Drainage!$A$5:$A$204&lt;=$B25)*(B_Drainage!$B$5:$B$204&gt;$B25)*(B_Drainage!$I$5:$I$204&lt;&gt;"")),IF(UPPER(B_Drainage!$I$5:$I$204)="Y",1,"")),"")</f>
        <v/>
      </c>
      <c r="AA25" s="181" t="str">
        <f>IFERROR(LOOKUP(2,1/((B_Drainage!$A$5:$A$204&lt;&gt;"")*(B_Drainage!$A$5:$A$204&lt;=$B25)*(B_Drainage!$B$5:$B$204&gt;$B25)*(B_Drainage!$J$5:$J$204&lt;&gt;"")),IF(UPPER(B_Drainage!$J$5:$J$204)="Y",1,"")),"")</f>
        <v/>
      </c>
      <c r="AB25" s="182" t="str">
        <f>IFERROR(LOOKUP(2,1/((B_Drainage!$A$5:$A$204&lt;&gt;"")*(B_Drainage!$A$5:$A$204&lt;=$B25)*(B_Drainage!$B$5:$B$204&gt;$B25)*(B_Drainage!$K$5:$K$204&lt;&gt;"")),IF(B_Drainage!$K$5:$K$204="-","",B_Drainage!$K$5:$K$204)),"")</f>
        <v/>
      </c>
      <c r="AC25" s="182" t="str">
        <f>IFERROR(LOOKUP(2,1/((B_Drainage!$A$5:$A$204&lt;&gt;"")*(B_Drainage!$A$5:$A$204&lt;=$B25)*(B_Drainage!$B$5:$B$204&gt;$B25)*(B_Drainage!$L$5:$L$204&lt;&gt;"")),IF(B_Drainage!$L$5:$L$204="-","",B_Drainage!$L$5:$L$204)),"")</f>
        <v/>
      </c>
      <c r="AD25" s="182" t="str">
        <f>IFERROR(LOOKUP(2,1/((D_Points!$A$5:$A$204&lt;&gt;"")*(D_Points!$A$5:$A$204&gt;=$B25)*(D_Points!$A$5:$A$204&lt;$B25+P_Interval)*(UPPER(TRIM(D_Points!$B$5:$B$204))="TURNOUT_L")*(D_Points!$H$5:$H$204&lt;&gt;"")),D_Points!$H$5:$H$204),"")</f>
        <v/>
      </c>
      <c r="AE25" s="182" t="str">
        <f>IFERROR(LOOKUP(2,1/((D_Points!$A$5:$A$204&lt;&gt;"")*(D_Points!$A$5:$A$204&gt;=$B25)*(D_Points!$A$5:$A$204&lt;$B25+P_Interval)*(UPPER(TRIM(D_Points!$B$5:$B$204))="TURNOUT_R")*(D_Points!$H$5:$H$204&lt;&gt;"")),D_Points!$H$5:$H$204),"")</f>
        <v/>
      </c>
      <c r="AF25" s="181" t="str">
        <f>IFERROR(LOOKUP(2,1/((B_Drainage!$A$5:$A$204&lt;&gt;"")*(B_Drainage!$A$5:$A$204&lt;=$B25)*(B_Drainage!$B$5:$B$204&gt;$B25)*(B_Drainage!$M$5:$M$204&lt;&gt;"")),IF(UPPER(B_Drainage!$M$5:$M$204)="Y",1,"")),"")</f>
        <v/>
      </c>
      <c r="AG25" s="181" t="str">
        <f>IFERROR(LOOKUP(2,1/((B_Drainage!$A$5:$A$204&lt;&gt;"")*(B_Drainage!$A$5:$A$204&lt;=$B25)*(B_Drainage!$B$5:$B$204&gt;$B25)*(B_Drainage!$N$5:$N$204&lt;&gt;"")),IF(UPPER(B_Drainage!$N$5:$N$204)="Y",1,"")),"")</f>
        <v/>
      </c>
      <c r="AH25" s="181" t="str">
        <f t="shared" si="0"/>
        <v/>
      </c>
      <c r="AI25" s="181" t="str">
        <f t="shared" si="1"/>
        <v/>
      </c>
      <c r="AJ25" s="181" t="str">
        <f t="shared" si="2"/>
        <v/>
      </c>
      <c r="AK25" s="181" t="str">
        <f t="shared" si="3"/>
        <v/>
      </c>
      <c r="AL25" s="181" t="str">
        <f t="shared" si="4"/>
        <v/>
      </c>
      <c r="AM25" s="181" t="str">
        <f t="shared" si="5"/>
        <v/>
      </c>
      <c r="AN25" s="181" t="str">
        <f t="shared" si="6"/>
        <v/>
      </c>
      <c r="AO25" s="192" t="str">
        <f t="shared" si="7"/>
        <v/>
      </c>
      <c r="AQ25" t="str">
        <f>IFERROR(LOOKUP(2,1/((C_Pavement!$A$5:$A$204&lt;&gt;"")*(C_Pavement!$A$5:$A$204&lt;=$B25)*(C_Pavement!$B$5:$B$204&gt;$B25)*(C_Pavement!$C$5:$C$204&lt;&gt;"")),ROW(C_Pavement!$C$5:$C$204)-4),"")</f>
        <v/>
      </c>
      <c r="AR25" t="str">
        <f>IF($AQ25="","",UPPER(TRIM(INDEX(C_Pavement!$C$5:$C$204,$AQ25))))</f>
        <v/>
      </c>
      <c r="AS25" t="str">
        <f>IF($AR25="","",IFERROR(MATCH($AR25,E_Rules!$A$5:$A$9,0),""))</f>
        <v/>
      </c>
      <c r="AT25" t="str">
        <f>IF($AQ25="","",IF(INDEX(C_Pavement!$D$5:$D$204,$AQ25)&lt;&gt;"",UPPER(TRIM(INDEX(C_Pavement!$D$5:$D$204,$AQ25))),IF($AS25="","",INDEX(E_Rules!$C$5:$C$9,$AS25))))</f>
        <v/>
      </c>
      <c r="AU25" t="str">
        <f>IF($AQ25="","",IF(INDEX(C_Pavement!$E$5:$E$204,$AQ25)&lt;&gt;"",IF(INDEX(C_Pavement!$E$5:$E$204,$AQ25)="-","",INDEX(C_Pavement!$E$5:$E$204,$AQ25)),IF($AS25="","",INDEX(E_Rules!$D$5:$D$9,$AS25))))</f>
        <v/>
      </c>
      <c r="AV25" t="str">
        <f>IF($AQ25="","",IF(INDEX(C_Pavement!$F$5:$F$204,$AQ25)&lt;&gt;"",IF(INDEX(C_Pavement!$F$5:$F$204,$AQ25)="-","",INDEX(C_Pavement!$F$5:$F$204,$AQ25)),IF($AS25="","",INDEX(E_Rules!$E$5:$E$9,$AS25))))</f>
        <v/>
      </c>
      <c r="AW25" t="str">
        <f>IF($AQ25="","",IF(INDEX(C_Pavement!$G$5:$G$204,$AQ25)&lt;&gt;"",IF(INDEX(C_Pavement!$G$5:$G$204,$AQ25)="-","",INDEX(C_Pavement!$G$5:$G$204,$AQ25)),IF($AS25="","",INDEX(E_Rules!$F$5:$F$9,$AS25))))</f>
        <v/>
      </c>
      <c r="AX25" t="str">
        <f>IF($AQ25="","",IF(INDEX(C_Pavement!$H$5:$H$204,$AQ25)&lt;&gt;"",IF(INDEX(C_Pavement!$H$5:$H$204,$AQ25)="-","",INDEX(C_Pavement!$H$5:$H$204,$AQ25)),IF($AS25="","",INDEX(E_Rules!$G$5:$G$9,$AS25))))</f>
        <v/>
      </c>
      <c r="AY25" t="str">
        <f>IF($AQ25="","",IF(INDEX(C_Pavement!$I$5:$I$204,$AQ25)&lt;&gt;"",IF(INDEX(C_Pavement!$I$5:$I$204,$AQ25)="-","",INDEX(C_Pavement!$I$5:$I$204,$AQ25)),IF($AS25="","",INDEX(E_Rules!$H$5:$H$9,$AS25))))</f>
        <v/>
      </c>
    </row>
    <row r="26" spans="1:51" ht="15.75" customHeight="1" x14ac:dyDescent="0.3">
      <c r="A26" s="189">
        <v>21</v>
      </c>
      <c r="B26" s="180">
        <v>1000</v>
      </c>
      <c r="C26" s="180" t="s">
        <v>332</v>
      </c>
      <c r="D26" s="181" t="str">
        <f>IFERROR(LOOKUP(2,1/((A_Corridor!$A$5:$A$204&lt;&gt;"")*(A_Corridor!$A$5:$A$204&lt;=$B26)*(A_Corridor!$B$5:$B$204&gt;$B26)*(A_Corridor!$C$5:$C$204&lt;&gt;"")),IF(UPPER(A_Corridor!$C$5:$C$204)="Y",1,"")),"")</f>
        <v/>
      </c>
      <c r="E26" s="181" t="str">
        <f>IFERROR(LOOKUP(2,1/((A_Corridor!$A$5:$A$204&lt;&gt;"")*(A_Corridor!$A$5:$A$204&lt;=$B26)*(A_Corridor!$B$5:$B$204&gt;$B26)*(A_Corridor!$D$5:$D$204&lt;&gt;"")),IF(A_Corridor!$D$5:$D$204="-","",UPPER(A_Corridor!$D$5:$D$204))),"")</f>
        <v/>
      </c>
      <c r="F26" s="181" t="str">
        <f>IFERROR(LOOKUP(2,1/((A_Corridor!$A$5:$A$204&lt;&gt;"")*(A_Corridor!$A$5:$A$204&lt;=$B26)*(A_Corridor!$B$5:$B$204&gt;$B26)*(A_Corridor!$E$5:$E$204&lt;&gt;"")),IF(A_Corridor!$E$5:$E$204="-","",1)),"")</f>
        <v/>
      </c>
      <c r="G26" s="182" t="str">
        <f>IFERROR(LOOKUP(2,1/((A_Corridor!$A$5:$A$204&lt;&gt;"")*(A_Corridor!$A$5:$A$204&lt;=$B26)*(A_Corridor!$B$5:$B$204&gt;$B26)*(A_Corridor!$E$5:$E$204&lt;&gt;"")),IF(A_Corridor!$E$5:$E$204="-","",A_Corridor!$E$5:$E$204)),"")</f>
        <v/>
      </c>
      <c r="H26" s="182" t="str">
        <f>IFERROR(LOOKUP(2,1/((D_Points!$A$5:$A$204&lt;&gt;"")*(D_Points!$A$5:$A$204&gt;=$B26)*(D_Points!$A$5:$A$204&lt;$B26+P_Interval)*(UPPER(TRIM(D_Points!$B$5:$B$204))="GULLY")*(D_Points!$H$5:$H$204&lt;&gt;"")),D_Points!$H$5:$H$204),"")</f>
        <v/>
      </c>
      <c r="I26" s="181" t="str">
        <f>IFERROR(LOOKUP(2,1/((A_Corridor!$A$5:$A$204&lt;&gt;"")*(A_Corridor!$A$5:$A$204&lt;=$B26)*(A_Corridor!$B$5:$B$204&gt;$B26)*(A_Corridor!$F$5:$F$204&lt;&gt;"")),IF(A_Corridor!$F$5:$F$204="-","",1)),"")</f>
        <v/>
      </c>
      <c r="J26" s="182" t="str">
        <f>IFERROR(LOOKUP(2,1/((A_Corridor!$A$5:$A$204&lt;&gt;"")*(A_Corridor!$A$5:$A$204&lt;=$B26)*(A_Corridor!$B$5:$B$204&gt;$B26)*(A_Corridor!$F$5:$F$204&lt;&gt;"")),IF(A_Corridor!$F$5:$F$204="-","",A_Corridor!$F$5:$F$204)),"")</f>
        <v/>
      </c>
      <c r="K26" s="182" t="str">
        <f>IFERROR(LOOKUP(2,1/((A_Corridor!$A$5:$A$204&lt;&gt;"")*(A_Corridor!$A$5:$A$204&lt;=$B26)*(A_Corridor!$B$5:$B$204&gt;$B26)*(A_Corridor!$G$5:$G$204&lt;&gt;"")),IF(A_Corridor!$G$5:$G$204="-","",A_Corridor!$G$5:$G$204)),"")</f>
        <v/>
      </c>
      <c r="L26" s="181" t="str">
        <f>IFERROR(LOOKUP(2,1/((A_Corridor!$A$5:$A$204&lt;&gt;"")*(A_Corridor!$A$5:$A$204&lt;=$B26)*(A_Corridor!$B$5:$B$204&gt;$B26)*(A_Corridor!$H$5:$H$204&lt;&gt;"")),IF(A_Corridor!$H$5:$H$204="-","",1)),"")</f>
        <v/>
      </c>
      <c r="M26" s="182" t="str">
        <f>IFERROR(LOOKUP(2,1/((A_Corridor!$A$5:$A$204&lt;&gt;"")*(A_Corridor!$A$5:$A$204&lt;=$B26)*(A_Corridor!$B$5:$B$204&gt;$B26)*(A_Corridor!$H$5:$H$204&lt;&gt;"")),IF(A_Corridor!$H$5:$H$204="-","",A_Corridor!$H$5:$H$204)),"")</f>
        <v/>
      </c>
      <c r="N26" s="182" t="str">
        <f>IFERROR(LOOKUP(2,1/((A_Corridor!$A$5:$A$204&lt;&gt;"")*(A_Corridor!$A$5:$A$204&lt;=$B26)*(A_Corridor!$B$5:$B$204&gt;$B26)*(A_Corridor!$I$5:$I$204&lt;&gt;"")),IF(A_Corridor!$I$5:$I$204="-","",A_Corridor!$I$5:$I$204)),"")</f>
        <v/>
      </c>
      <c r="O26" s="182" t="str">
        <f>IFERROR(LOOKUP(2,1/((D_Points!$A$5:$A$204&lt;&gt;"")*(D_Points!$A$5:$A$204&gt;=$B26)*(D_Points!$A$5:$A$204&lt;$B26+P_Interval)*(UPPER(TRIM(D_Points!$B$5:$B$204))="PITCHING")*(D_Points!$H$5:$H$204&lt;&gt;"")),D_Points!$H$5:$H$204),"")</f>
        <v/>
      </c>
      <c r="P26" s="181" t="str">
        <f>IFERROR(LOOKUP(2,1/((B_Drainage!$A$5:$A$204&lt;&gt;"")*(B_Drainage!$A$5:$A$204&lt;=$B26)*(B_Drainage!$B$5:$B$204&gt;$B26)*(B_Drainage!$C$5:$C$204&lt;&gt;"")),IF(B_Drainage!$C$5:$C$204="-","",UPPER(B_Drainage!$C$5:$C$204))),"")</f>
        <v/>
      </c>
      <c r="Q26" s="181" t="str">
        <f>IFERROR(LOOKUP(2,1/((B_Drainage!$A$5:$A$204&lt;&gt;"")*(B_Drainage!$A$5:$A$204&lt;=$B26)*(B_Drainage!$B$5:$B$204&gt;$B26)*(B_Drainage!$D$5:$D$204&lt;&gt;"")),IF(B_Drainage!$D$5:$D$204="-","",UPPER(B_Drainage!$D$5:$D$204))),"")</f>
        <v/>
      </c>
      <c r="R26" s="182" t="str">
        <f>IFERROR(LOOKUP(2,1/((D_Points!$A$5:$A$204&lt;&gt;"")*(D_Points!$A$5:$A$204&gt;=$B26)*(D_Points!$A$5:$A$204&lt;$B26+P_Interval)*(RIGHT(UPPER(TRIM(D_Points!$B$5:$B$204)),8)="_CULVERT")),IF(LEFT(UPPER(TRIM(D_Points!$B$5:$B$204)),2)="EX",1,IF(LEFT(UPPER(TRIM(D_Points!$B$5:$B$204)),2)="PR",2,3))),"")</f>
        <v/>
      </c>
      <c r="S26" s="182" t="str">
        <f>IFERROR(LOOKUP(2,1/((D_Points!$A$5:$A$204&lt;&gt;"")*(D_Points!$A$5:$A$204&gt;=$B26)*(D_Points!$A$5:$A$204&lt;$B26+P_Interval)*(RIGHT(UPPER(TRIM(D_Points!$B$5:$B$204)),7)="_BRIDGE")),IF(LEFT(UPPER(TRIM(D_Points!$B$5:$B$204)),2)="EX",1,IF(LEFT(UPPER(TRIM(D_Points!$B$5:$B$204)),2)="PR",2,2))),"")</f>
        <v/>
      </c>
      <c r="T26" s="181" t="str">
        <f>IFERROR(LOOKUP(2,1/((B_Drainage!$A$5:$A$204&lt;&gt;"")*(B_Drainage!$A$5:$A$204&lt;=$B26)*(B_Drainage!$B$5:$B$204&gt;$B26)*(B_Drainage!$E$5:$E$204&lt;&gt;"")),IF(B_Drainage!$E$5:$E$204="-","",1)),"")</f>
        <v/>
      </c>
      <c r="U26" s="181" t="str">
        <f>IFERROR(LOOKUP(2,1/((B_Drainage!$A$5:$A$204&lt;&gt;"")*(B_Drainage!$A$5:$A$204&lt;=$B26)*(B_Drainage!$B$5:$B$204&gt;$B26)*(B_Drainage!$E$5:$E$204&lt;&gt;"")),IF(B_Drainage!$E$5:$E$204="-","",B_Drainage!$E$5:$E$204)),"")</f>
        <v/>
      </c>
      <c r="V26" s="181" t="str">
        <f>IFERROR(LOOKUP(2,1/((B_Drainage!$A$5:$A$204&lt;&gt;"")*(B_Drainage!$A$5:$A$204&lt;=$B26)*(B_Drainage!$B$5:$B$204&gt;$B26)*(B_Drainage!$F$5:$F$204&lt;&gt;"")),IF(B_Drainage!$F$5:$F$204="-","",1)),"")</f>
        <v/>
      </c>
      <c r="W26" s="181" t="str">
        <f>IFERROR(LOOKUP(2,1/((B_Drainage!$A$5:$A$204&lt;&gt;"")*(B_Drainage!$A$5:$A$204&lt;=$B26)*(B_Drainage!$B$5:$B$204&gt;$B26)*(B_Drainage!$F$5:$F$204&lt;&gt;"")),IF(B_Drainage!$F$5:$F$204="-","",B_Drainage!$F$5:$F$204)),"")</f>
        <v/>
      </c>
      <c r="X26" s="181" t="str">
        <f>IFERROR(LOOKUP(2,1/((B_Drainage!$A$5:$A$204&lt;&gt;"")*(B_Drainage!$A$5:$A$204&lt;=$B26)*(B_Drainage!$B$5:$B$204&gt;$B26)*(B_Drainage!$G$5:$G$204&lt;&gt;"")),IF(UPPER(B_Drainage!$G$5:$G$204)="Y",1,"")),"")</f>
        <v/>
      </c>
      <c r="Y26" s="181" t="str">
        <f>IFERROR(LOOKUP(2,1/((B_Drainage!$A$5:$A$204&lt;&gt;"")*(B_Drainage!$A$5:$A$204&lt;=$B26)*(B_Drainage!$B$5:$B$204&gt;$B26)*(B_Drainage!$H$5:$H$204&lt;&gt;"")),IF(UPPER(B_Drainage!$H$5:$H$204)="Y",1,"")),"")</f>
        <v/>
      </c>
      <c r="Z26" s="181" t="str">
        <f>IFERROR(LOOKUP(2,1/((B_Drainage!$A$5:$A$204&lt;&gt;"")*(B_Drainage!$A$5:$A$204&lt;=$B26)*(B_Drainage!$B$5:$B$204&gt;$B26)*(B_Drainage!$I$5:$I$204&lt;&gt;"")),IF(UPPER(B_Drainage!$I$5:$I$204)="Y",1,"")),"")</f>
        <v/>
      </c>
      <c r="AA26" s="181" t="str">
        <f>IFERROR(LOOKUP(2,1/((B_Drainage!$A$5:$A$204&lt;&gt;"")*(B_Drainage!$A$5:$A$204&lt;=$B26)*(B_Drainage!$B$5:$B$204&gt;$B26)*(B_Drainage!$J$5:$J$204&lt;&gt;"")),IF(UPPER(B_Drainage!$J$5:$J$204)="Y",1,"")),"")</f>
        <v/>
      </c>
      <c r="AB26" s="182" t="str">
        <f>IFERROR(LOOKUP(2,1/((B_Drainage!$A$5:$A$204&lt;&gt;"")*(B_Drainage!$A$5:$A$204&lt;=$B26)*(B_Drainage!$B$5:$B$204&gt;$B26)*(B_Drainage!$K$5:$K$204&lt;&gt;"")),IF(B_Drainage!$K$5:$K$204="-","",B_Drainage!$K$5:$K$204)),"")</f>
        <v/>
      </c>
      <c r="AC26" s="182" t="str">
        <f>IFERROR(LOOKUP(2,1/((B_Drainage!$A$5:$A$204&lt;&gt;"")*(B_Drainage!$A$5:$A$204&lt;=$B26)*(B_Drainage!$B$5:$B$204&gt;$B26)*(B_Drainage!$L$5:$L$204&lt;&gt;"")),IF(B_Drainage!$L$5:$L$204="-","",B_Drainage!$L$5:$L$204)),"")</f>
        <v/>
      </c>
      <c r="AD26" s="182" t="str">
        <f>IFERROR(LOOKUP(2,1/((D_Points!$A$5:$A$204&lt;&gt;"")*(D_Points!$A$5:$A$204&gt;=$B26)*(D_Points!$A$5:$A$204&lt;$B26+P_Interval)*(UPPER(TRIM(D_Points!$B$5:$B$204))="TURNOUT_L")*(D_Points!$H$5:$H$204&lt;&gt;"")),D_Points!$H$5:$H$204),"")</f>
        <v/>
      </c>
      <c r="AE26" s="182" t="str">
        <f>IFERROR(LOOKUP(2,1/((D_Points!$A$5:$A$204&lt;&gt;"")*(D_Points!$A$5:$A$204&gt;=$B26)*(D_Points!$A$5:$A$204&lt;$B26+P_Interval)*(UPPER(TRIM(D_Points!$B$5:$B$204))="TURNOUT_R")*(D_Points!$H$5:$H$204&lt;&gt;"")),D_Points!$H$5:$H$204),"")</f>
        <v/>
      </c>
      <c r="AF26" s="181" t="str">
        <f>IFERROR(LOOKUP(2,1/((B_Drainage!$A$5:$A$204&lt;&gt;"")*(B_Drainage!$A$5:$A$204&lt;=$B26)*(B_Drainage!$B$5:$B$204&gt;$B26)*(B_Drainage!$M$5:$M$204&lt;&gt;"")),IF(UPPER(B_Drainage!$M$5:$M$204)="Y",1,"")),"")</f>
        <v/>
      </c>
      <c r="AG26" s="181" t="str">
        <f>IFERROR(LOOKUP(2,1/((B_Drainage!$A$5:$A$204&lt;&gt;"")*(B_Drainage!$A$5:$A$204&lt;=$B26)*(B_Drainage!$B$5:$B$204&gt;$B26)*(B_Drainage!$N$5:$N$204&lt;&gt;"")),IF(UPPER(B_Drainage!$N$5:$N$204)="Y",1,"")),"")</f>
        <v/>
      </c>
      <c r="AH26" s="181" t="str">
        <f t="shared" si="0"/>
        <v/>
      </c>
      <c r="AI26" s="181" t="str">
        <f t="shared" si="1"/>
        <v/>
      </c>
      <c r="AJ26" s="181" t="str">
        <f t="shared" si="2"/>
        <v/>
      </c>
      <c r="AK26" s="181" t="str">
        <f t="shared" si="3"/>
        <v/>
      </c>
      <c r="AL26" s="181" t="str">
        <f t="shared" si="4"/>
        <v/>
      </c>
      <c r="AM26" s="181" t="str">
        <f t="shared" si="5"/>
        <v/>
      </c>
      <c r="AN26" s="181" t="str">
        <f t="shared" si="6"/>
        <v/>
      </c>
      <c r="AO26" s="192" t="str">
        <f t="shared" si="7"/>
        <v/>
      </c>
      <c r="AQ26" t="str">
        <f>IFERROR(LOOKUP(2,1/((C_Pavement!$A$5:$A$204&lt;&gt;"")*(C_Pavement!$A$5:$A$204&lt;=$B26)*(C_Pavement!$B$5:$B$204&gt;$B26)*(C_Pavement!$C$5:$C$204&lt;&gt;"")),ROW(C_Pavement!$C$5:$C$204)-4),"")</f>
        <v/>
      </c>
      <c r="AR26" t="str">
        <f>IF($AQ26="","",UPPER(TRIM(INDEX(C_Pavement!$C$5:$C$204,$AQ26))))</f>
        <v/>
      </c>
      <c r="AS26" t="str">
        <f>IF($AR26="","",IFERROR(MATCH($AR26,E_Rules!$A$5:$A$9,0),""))</f>
        <v/>
      </c>
      <c r="AT26" t="str">
        <f>IF($AQ26="","",IF(INDEX(C_Pavement!$D$5:$D$204,$AQ26)&lt;&gt;"",UPPER(TRIM(INDEX(C_Pavement!$D$5:$D$204,$AQ26))),IF($AS26="","",INDEX(E_Rules!$C$5:$C$9,$AS26))))</f>
        <v/>
      </c>
      <c r="AU26" t="str">
        <f>IF($AQ26="","",IF(INDEX(C_Pavement!$E$5:$E$204,$AQ26)&lt;&gt;"",IF(INDEX(C_Pavement!$E$5:$E$204,$AQ26)="-","",INDEX(C_Pavement!$E$5:$E$204,$AQ26)),IF($AS26="","",INDEX(E_Rules!$D$5:$D$9,$AS26))))</f>
        <v/>
      </c>
      <c r="AV26" t="str">
        <f>IF($AQ26="","",IF(INDEX(C_Pavement!$F$5:$F$204,$AQ26)&lt;&gt;"",IF(INDEX(C_Pavement!$F$5:$F$204,$AQ26)="-","",INDEX(C_Pavement!$F$5:$F$204,$AQ26)),IF($AS26="","",INDEX(E_Rules!$E$5:$E$9,$AS26))))</f>
        <v/>
      </c>
      <c r="AW26" t="str">
        <f>IF($AQ26="","",IF(INDEX(C_Pavement!$G$5:$G$204,$AQ26)&lt;&gt;"",IF(INDEX(C_Pavement!$G$5:$G$204,$AQ26)="-","",INDEX(C_Pavement!$G$5:$G$204,$AQ26)),IF($AS26="","",INDEX(E_Rules!$F$5:$F$9,$AS26))))</f>
        <v/>
      </c>
      <c r="AX26" t="str">
        <f>IF($AQ26="","",IF(INDEX(C_Pavement!$H$5:$H$204,$AQ26)&lt;&gt;"",IF(INDEX(C_Pavement!$H$5:$H$204,$AQ26)="-","",INDEX(C_Pavement!$H$5:$H$204,$AQ26)),IF($AS26="","",INDEX(E_Rules!$G$5:$G$9,$AS26))))</f>
        <v/>
      </c>
      <c r="AY26" t="str">
        <f>IF($AQ26="","",IF(INDEX(C_Pavement!$I$5:$I$204,$AQ26)&lt;&gt;"",IF(INDEX(C_Pavement!$I$5:$I$204,$AQ26)="-","",INDEX(C_Pavement!$I$5:$I$204,$AQ26)),IF($AS26="","",INDEX(E_Rules!$H$5:$H$9,$AS26))))</f>
        <v/>
      </c>
    </row>
    <row r="27" spans="1:51" ht="15.75" customHeight="1" x14ac:dyDescent="0.3">
      <c r="A27" s="189">
        <v>22</v>
      </c>
      <c r="B27" s="180">
        <v>1050</v>
      </c>
      <c r="C27" s="180" t="s">
        <v>333</v>
      </c>
      <c r="D27" s="181" t="str">
        <f>IFERROR(LOOKUP(2,1/((A_Corridor!$A$5:$A$204&lt;&gt;"")*(A_Corridor!$A$5:$A$204&lt;=$B27)*(A_Corridor!$B$5:$B$204&gt;$B27)*(A_Corridor!$C$5:$C$204&lt;&gt;"")),IF(UPPER(A_Corridor!$C$5:$C$204)="Y",1,"")),"")</f>
        <v/>
      </c>
      <c r="E27" s="181" t="str">
        <f>IFERROR(LOOKUP(2,1/((A_Corridor!$A$5:$A$204&lt;&gt;"")*(A_Corridor!$A$5:$A$204&lt;=$B27)*(A_Corridor!$B$5:$B$204&gt;$B27)*(A_Corridor!$D$5:$D$204&lt;&gt;"")),IF(A_Corridor!$D$5:$D$204="-","",UPPER(A_Corridor!$D$5:$D$204))),"")</f>
        <v/>
      </c>
      <c r="F27" s="181" t="str">
        <f>IFERROR(LOOKUP(2,1/((A_Corridor!$A$5:$A$204&lt;&gt;"")*(A_Corridor!$A$5:$A$204&lt;=$B27)*(A_Corridor!$B$5:$B$204&gt;$B27)*(A_Corridor!$E$5:$E$204&lt;&gt;"")),IF(A_Corridor!$E$5:$E$204="-","",1)),"")</f>
        <v/>
      </c>
      <c r="G27" s="182" t="str">
        <f>IFERROR(LOOKUP(2,1/((A_Corridor!$A$5:$A$204&lt;&gt;"")*(A_Corridor!$A$5:$A$204&lt;=$B27)*(A_Corridor!$B$5:$B$204&gt;$B27)*(A_Corridor!$E$5:$E$204&lt;&gt;"")),IF(A_Corridor!$E$5:$E$204="-","",A_Corridor!$E$5:$E$204)),"")</f>
        <v/>
      </c>
      <c r="H27" s="182" t="str">
        <f>IFERROR(LOOKUP(2,1/((D_Points!$A$5:$A$204&lt;&gt;"")*(D_Points!$A$5:$A$204&gt;=$B27)*(D_Points!$A$5:$A$204&lt;$B27+P_Interval)*(UPPER(TRIM(D_Points!$B$5:$B$204))="GULLY")*(D_Points!$H$5:$H$204&lt;&gt;"")),D_Points!$H$5:$H$204),"")</f>
        <v/>
      </c>
      <c r="I27" s="181" t="str">
        <f>IFERROR(LOOKUP(2,1/((A_Corridor!$A$5:$A$204&lt;&gt;"")*(A_Corridor!$A$5:$A$204&lt;=$B27)*(A_Corridor!$B$5:$B$204&gt;$B27)*(A_Corridor!$F$5:$F$204&lt;&gt;"")),IF(A_Corridor!$F$5:$F$204="-","",1)),"")</f>
        <v/>
      </c>
      <c r="J27" s="182" t="str">
        <f>IFERROR(LOOKUP(2,1/((A_Corridor!$A$5:$A$204&lt;&gt;"")*(A_Corridor!$A$5:$A$204&lt;=$B27)*(A_Corridor!$B$5:$B$204&gt;$B27)*(A_Corridor!$F$5:$F$204&lt;&gt;"")),IF(A_Corridor!$F$5:$F$204="-","",A_Corridor!$F$5:$F$204)),"")</f>
        <v/>
      </c>
      <c r="K27" s="182" t="str">
        <f>IFERROR(LOOKUP(2,1/((A_Corridor!$A$5:$A$204&lt;&gt;"")*(A_Corridor!$A$5:$A$204&lt;=$B27)*(A_Corridor!$B$5:$B$204&gt;$B27)*(A_Corridor!$G$5:$G$204&lt;&gt;"")),IF(A_Corridor!$G$5:$G$204="-","",A_Corridor!$G$5:$G$204)),"")</f>
        <v/>
      </c>
      <c r="L27" s="181" t="str">
        <f>IFERROR(LOOKUP(2,1/((A_Corridor!$A$5:$A$204&lt;&gt;"")*(A_Corridor!$A$5:$A$204&lt;=$B27)*(A_Corridor!$B$5:$B$204&gt;$B27)*(A_Corridor!$H$5:$H$204&lt;&gt;"")),IF(A_Corridor!$H$5:$H$204="-","",1)),"")</f>
        <v/>
      </c>
      <c r="M27" s="182" t="str">
        <f>IFERROR(LOOKUP(2,1/((A_Corridor!$A$5:$A$204&lt;&gt;"")*(A_Corridor!$A$5:$A$204&lt;=$B27)*(A_Corridor!$B$5:$B$204&gt;$B27)*(A_Corridor!$H$5:$H$204&lt;&gt;"")),IF(A_Corridor!$H$5:$H$204="-","",A_Corridor!$H$5:$H$204)),"")</f>
        <v/>
      </c>
      <c r="N27" s="182" t="str">
        <f>IFERROR(LOOKUP(2,1/((A_Corridor!$A$5:$A$204&lt;&gt;"")*(A_Corridor!$A$5:$A$204&lt;=$B27)*(A_Corridor!$B$5:$B$204&gt;$B27)*(A_Corridor!$I$5:$I$204&lt;&gt;"")),IF(A_Corridor!$I$5:$I$204="-","",A_Corridor!$I$5:$I$204)),"")</f>
        <v/>
      </c>
      <c r="O27" s="182" t="str">
        <f>IFERROR(LOOKUP(2,1/((D_Points!$A$5:$A$204&lt;&gt;"")*(D_Points!$A$5:$A$204&gt;=$B27)*(D_Points!$A$5:$A$204&lt;$B27+P_Interval)*(UPPER(TRIM(D_Points!$B$5:$B$204))="PITCHING")*(D_Points!$H$5:$H$204&lt;&gt;"")),D_Points!$H$5:$H$204),"")</f>
        <v/>
      </c>
      <c r="P27" s="181" t="str">
        <f>IFERROR(LOOKUP(2,1/((B_Drainage!$A$5:$A$204&lt;&gt;"")*(B_Drainage!$A$5:$A$204&lt;=$B27)*(B_Drainage!$B$5:$B$204&gt;$B27)*(B_Drainage!$C$5:$C$204&lt;&gt;"")),IF(B_Drainage!$C$5:$C$204="-","",UPPER(B_Drainage!$C$5:$C$204))),"")</f>
        <v/>
      </c>
      <c r="Q27" s="181" t="str">
        <f>IFERROR(LOOKUP(2,1/((B_Drainage!$A$5:$A$204&lt;&gt;"")*(B_Drainage!$A$5:$A$204&lt;=$B27)*(B_Drainage!$B$5:$B$204&gt;$B27)*(B_Drainage!$D$5:$D$204&lt;&gt;"")),IF(B_Drainage!$D$5:$D$204="-","",UPPER(B_Drainage!$D$5:$D$204))),"")</f>
        <v/>
      </c>
      <c r="R27" s="182" t="str">
        <f>IFERROR(LOOKUP(2,1/((D_Points!$A$5:$A$204&lt;&gt;"")*(D_Points!$A$5:$A$204&gt;=$B27)*(D_Points!$A$5:$A$204&lt;$B27+P_Interval)*(RIGHT(UPPER(TRIM(D_Points!$B$5:$B$204)),8)="_CULVERT")),IF(LEFT(UPPER(TRIM(D_Points!$B$5:$B$204)),2)="EX",1,IF(LEFT(UPPER(TRIM(D_Points!$B$5:$B$204)),2)="PR",2,3))),"")</f>
        <v/>
      </c>
      <c r="S27" s="182" t="str">
        <f>IFERROR(LOOKUP(2,1/((D_Points!$A$5:$A$204&lt;&gt;"")*(D_Points!$A$5:$A$204&gt;=$B27)*(D_Points!$A$5:$A$204&lt;$B27+P_Interval)*(RIGHT(UPPER(TRIM(D_Points!$B$5:$B$204)),7)="_BRIDGE")),IF(LEFT(UPPER(TRIM(D_Points!$B$5:$B$204)),2)="EX",1,IF(LEFT(UPPER(TRIM(D_Points!$B$5:$B$204)),2)="PR",2,2))),"")</f>
        <v/>
      </c>
      <c r="T27" s="181" t="str">
        <f>IFERROR(LOOKUP(2,1/((B_Drainage!$A$5:$A$204&lt;&gt;"")*(B_Drainage!$A$5:$A$204&lt;=$B27)*(B_Drainage!$B$5:$B$204&gt;$B27)*(B_Drainage!$E$5:$E$204&lt;&gt;"")),IF(B_Drainage!$E$5:$E$204="-","",1)),"")</f>
        <v/>
      </c>
      <c r="U27" s="181" t="str">
        <f>IFERROR(LOOKUP(2,1/((B_Drainage!$A$5:$A$204&lt;&gt;"")*(B_Drainage!$A$5:$A$204&lt;=$B27)*(B_Drainage!$B$5:$B$204&gt;$B27)*(B_Drainage!$E$5:$E$204&lt;&gt;"")),IF(B_Drainage!$E$5:$E$204="-","",B_Drainage!$E$5:$E$204)),"")</f>
        <v/>
      </c>
      <c r="V27" s="181" t="str">
        <f>IFERROR(LOOKUP(2,1/((B_Drainage!$A$5:$A$204&lt;&gt;"")*(B_Drainage!$A$5:$A$204&lt;=$B27)*(B_Drainage!$B$5:$B$204&gt;$B27)*(B_Drainage!$F$5:$F$204&lt;&gt;"")),IF(B_Drainage!$F$5:$F$204="-","",1)),"")</f>
        <v/>
      </c>
      <c r="W27" s="181" t="str">
        <f>IFERROR(LOOKUP(2,1/((B_Drainage!$A$5:$A$204&lt;&gt;"")*(B_Drainage!$A$5:$A$204&lt;=$B27)*(B_Drainage!$B$5:$B$204&gt;$B27)*(B_Drainage!$F$5:$F$204&lt;&gt;"")),IF(B_Drainage!$F$5:$F$204="-","",B_Drainage!$F$5:$F$204)),"")</f>
        <v/>
      </c>
      <c r="X27" s="181" t="str">
        <f>IFERROR(LOOKUP(2,1/((B_Drainage!$A$5:$A$204&lt;&gt;"")*(B_Drainage!$A$5:$A$204&lt;=$B27)*(B_Drainage!$B$5:$B$204&gt;$B27)*(B_Drainage!$G$5:$G$204&lt;&gt;"")),IF(UPPER(B_Drainage!$G$5:$G$204)="Y",1,"")),"")</f>
        <v/>
      </c>
      <c r="Y27" s="181" t="str">
        <f>IFERROR(LOOKUP(2,1/((B_Drainage!$A$5:$A$204&lt;&gt;"")*(B_Drainage!$A$5:$A$204&lt;=$B27)*(B_Drainage!$B$5:$B$204&gt;$B27)*(B_Drainage!$H$5:$H$204&lt;&gt;"")),IF(UPPER(B_Drainage!$H$5:$H$204)="Y",1,"")),"")</f>
        <v/>
      </c>
      <c r="Z27" s="181" t="str">
        <f>IFERROR(LOOKUP(2,1/((B_Drainage!$A$5:$A$204&lt;&gt;"")*(B_Drainage!$A$5:$A$204&lt;=$B27)*(B_Drainage!$B$5:$B$204&gt;$B27)*(B_Drainage!$I$5:$I$204&lt;&gt;"")),IF(UPPER(B_Drainage!$I$5:$I$204)="Y",1,"")),"")</f>
        <v/>
      </c>
      <c r="AA27" s="181" t="str">
        <f>IFERROR(LOOKUP(2,1/((B_Drainage!$A$5:$A$204&lt;&gt;"")*(B_Drainage!$A$5:$A$204&lt;=$B27)*(B_Drainage!$B$5:$B$204&gt;$B27)*(B_Drainage!$J$5:$J$204&lt;&gt;"")),IF(UPPER(B_Drainage!$J$5:$J$204)="Y",1,"")),"")</f>
        <v/>
      </c>
      <c r="AB27" s="182" t="str">
        <f>IFERROR(LOOKUP(2,1/((B_Drainage!$A$5:$A$204&lt;&gt;"")*(B_Drainage!$A$5:$A$204&lt;=$B27)*(B_Drainage!$B$5:$B$204&gt;$B27)*(B_Drainage!$K$5:$K$204&lt;&gt;"")),IF(B_Drainage!$K$5:$K$204="-","",B_Drainage!$K$5:$K$204)),"")</f>
        <v/>
      </c>
      <c r="AC27" s="182" t="str">
        <f>IFERROR(LOOKUP(2,1/((B_Drainage!$A$5:$A$204&lt;&gt;"")*(B_Drainage!$A$5:$A$204&lt;=$B27)*(B_Drainage!$B$5:$B$204&gt;$B27)*(B_Drainage!$L$5:$L$204&lt;&gt;"")),IF(B_Drainage!$L$5:$L$204="-","",B_Drainage!$L$5:$L$204)),"")</f>
        <v/>
      </c>
      <c r="AD27" s="182" t="str">
        <f>IFERROR(LOOKUP(2,1/((D_Points!$A$5:$A$204&lt;&gt;"")*(D_Points!$A$5:$A$204&gt;=$B27)*(D_Points!$A$5:$A$204&lt;$B27+P_Interval)*(UPPER(TRIM(D_Points!$B$5:$B$204))="TURNOUT_L")*(D_Points!$H$5:$H$204&lt;&gt;"")),D_Points!$H$5:$H$204),"")</f>
        <v/>
      </c>
      <c r="AE27" s="182" t="str">
        <f>IFERROR(LOOKUP(2,1/((D_Points!$A$5:$A$204&lt;&gt;"")*(D_Points!$A$5:$A$204&gt;=$B27)*(D_Points!$A$5:$A$204&lt;$B27+P_Interval)*(UPPER(TRIM(D_Points!$B$5:$B$204))="TURNOUT_R")*(D_Points!$H$5:$H$204&lt;&gt;"")),D_Points!$H$5:$H$204),"")</f>
        <v/>
      </c>
      <c r="AF27" s="181" t="str">
        <f>IFERROR(LOOKUP(2,1/((B_Drainage!$A$5:$A$204&lt;&gt;"")*(B_Drainage!$A$5:$A$204&lt;=$B27)*(B_Drainage!$B$5:$B$204&gt;$B27)*(B_Drainage!$M$5:$M$204&lt;&gt;"")),IF(UPPER(B_Drainage!$M$5:$M$204)="Y",1,"")),"")</f>
        <v/>
      </c>
      <c r="AG27" s="181" t="str">
        <f>IFERROR(LOOKUP(2,1/((B_Drainage!$A$5:$A$204&lt;&gt;"")*(B_Drainage!$A$5:$A$204&lt;=$B27)*(B_Drainage!$B$5:$B$204&gt;$B27)*(B_Drainage!$N$5:$N$204&lt;&gt;"")),IF(UPPER(B_Drainage!$N$5:$N$204)="Y",1,"")),"")</f>
        <v/>
      </c>
      <c r="AH27" s="181" t="str">
        <f t="shared" si="0"/>
        <v/>
      </c>
      <c r="AI27" s="181" t="str">
        <f t="shared" si="1"/>
        <v/>
      </c>
      <c r="AJ27" s="181" t="str">
        <f t="shared" si="2"/>
        <v/>
      </c>
      <c r="AK27" s="181" t="str">
        <f t="shared" si="3"/>
        <v/>
      </c>
      <c r="AL27" s="181" t="str">
        <f t="shared" si="4"/>
        <v/>
      </c>
      <c r="AM27" s="181" t="str">
        <f t="shared" si="5"/>
        <v/>
      </c>
      <c r="AN27" s="181" t="str">
        <f t="shared" si="6"/>
        <v/>
      </c>
      <c r="AO27" s="192" t="str">
        <f t="shared" si="7"/>
        <v/>
      </c>
      <c r="AQ27" t="str">
        <f>IFERROR(LOOKUP(2,1/((C_Pavement!$A$5:$A$204&lt;&gt;"")*(C_Pavement!$A$5:$A$204&lt;=$B27)*(C_Pavement!$B$5:$B$204&gt;$B27)*(C_Pavement!$C$5:$C$204&lt;&gt;"")),ROW(C_Pavement!$C$5:$C$204)-4),"")</f>
        <v/>
      </c>
      <c r="AR27" t="str">
        <f>IF($AQ27="","",UPPER(TRIM(INDEX(C_Pavement!$C$5:$C$204,$AQ27))))</f>
        <v/>
      </c>
      <c r="AS27" t="str">
        <f>IF($AR27="","",IFERROR(MATCH($AR27,E_Rules!$A$5:$A$9,0),""))</f>
        <v/>
      </c>
      <c r="AT27" t="str">
        <f>IF($AQ27="","",IF(INDEX(C_Pavement!$D$5:$D$204,$AQ27)&lt;&gt;"",UPPER(TRIM(INDEX(C_Pavement!$D$5:$D$204,$AQ27))),IF($AS27="","",INDEX(E_Rules!$C$5:$C$9,$AS27))))</f>
        <v/>
      </c>
      <c r="AU27" t="str">
        <f>IF($AQ27="","",IF(INDEX(C_Pavement!$E$5:$E$204,$AQ27)&lt;&gt;"",IF(INDEX(C_Pavement!$E$5:$E$204,$AQ27)="-","",INDEX(C_Pavement!$E$5:$E$204,$AQ27)),IF($AS27="","",INDEX(E_Rules!$D$5:$D$9,$AS27))))</f>
        <v/>
      </c>
      <c r="AV27" t="str">
        <f>IF($AQ27="","",IF(INDEX(C_Pavement!$F$5:$F$204,$AQ27)&lt;&gt;"",IF(INDEX(C_Pavement!$F$5:$F$204,$AQ27)="-","",INDEX(C_Pavement!$F$5:$F$204,$AQ27)),IF($AS27="","",INDEX(E_Rules!$E$5:$E$9,$AS27))))</f>
        <v/>
      </c>
      <c r="AW27" t="str">
        <f>IF($AQ27="","",IF(INDEX(C_Pavement!$G$5:$G$204,$AQ27)&lt;&gt;"",IF(INDEX(C_Pavement!$G$5:$G$204,$AQ27)="-","",INDEX(C_Pavement!$G$5:$G$204,$AQ27)),IF($AS27="","",INDEX(E_Rules!$F$5:$F$9,$AS27))))</f>
        <v/>
      </c>
      <c r="AX27" t="str">
        <f>IF($AQ27="","",IF(INDEX(C_Pavement!$H$5:$H$204,$AQ27)&lt;&gt;"",IF(INDEX(C_Pavement!$H$5:$H$204,$AQ27)="-","",INDEX(C_Pavement!$H$5:$H$204,$AQ27)),IF($AS27="","",INDEX(E_Rules!$G$5:$G$9,$AS27))))</f>
        <v/>
      </c>
      <c r="AY27" t="str">
        <f>IF($AQ27="","",IF(INDEX(C_Pavement!$I$5:$I$204,$AQ27)&lt;&gt;"",IF(INDEX(C_Pavement!$I$5:$I$204,$AQ27)="-","",INDEX(C_Pavement!$I$5:$I$204,$AQ27)),IF($AS27="","",INDEX(E_Rules!$H$5:$H$9,$AS27))))</f>
        <v/>
      </c>
    </row>
    <row r="28" spans="1:51" ht="15.75" customHeight="1" x14ac:dyDescent="0.3">
      <c r="A28" s="189">
        <v>23</v>
      </c>
      <c r="B28" s="180">
        <v>1100</v>
      </c>
      <c r="C28" s="180" t="s">
        <v>334</v>
      </c>
      <c r="D28" s="181" t="str">
        <f>IFERROR(LOOKUP(2,1/((A_Corridor!$A$5:$A$204&lt;&gt;"")*(A_Corridor!$A$5:$A$204&lt;=$B28)*(A_Corridor!$B$5:$B$204&gt;$B28)*(A_Corridor!$C$5:$C$204&lt;&gt;"")),IF(UPPER(A_Corridor!$C$5:$C$204)="Y",1,"")),"")</f>
        <v/>
      </c>
      <c r="E28" s="181" t="str">
        <f>IFERROR(LOOKUP(2,1/((A_Corridor!$A$5:$A$204&lt;&gt;"")*(A_Corridor!$A$5:$A$204&lt;=$B28)*(A_Corridor!$B$5:$B$204&gt;$B28)*(A_Corridor!$D$5:$D$204&lt;&gt;"")),IF(A_Corridor!$D$5:$D$204="-","",UPPER(A_Corridor!$D$5:$D$204))),"")</f>
        <v/>
      </c>
      <c r="F28" s="181" t="str">
        <f>IFERROR(LOOKUP(2,1/((A_Corridor!$A$5:$A$204&lt;&gt;"")*(A_Corridor!$A$5:$A$204&lt;=$B28)*(A_Corridor!$B$5:$B$204&gt;$B28)*(A_Corridor!$E$5:$E$204&lt;&gt;"")),IF(A_Corridor!$E$5:$E$204="-","",1)),"")</f>
        <v/>
      </c>
      <c r="G28" s="182" t="str">
        <f>IFERROR(LOOKUP(2,1/((A_Corridor!$A$5:$A$204&lt;&gt;"")*(A_Corridor!$A$5:$A$204&lt;=$B28)*(A_Corridor!$B$5:$B$204&gt;$B28)*(A_Corridor!$E$5:$E$204&lt;&gt;"")),IF(A_Corridor!$E$5:$E$204="-","",A_Corridor!$E$5:$E$204)),"")</f>
        <v/>
      </c>
      <c r="H28" s="182" t="str">
        <f>IFERROR(LOOKUP(2,1/((D_Points!$A$5:$A$204&lt;&gt;"")*(D_Points!$A$5:$A$204&gt;=$B28)*(D_Points!$A$5:$A$204&lt;$B28+P_Interval)*(UPPER(TRIM(D_Points!$B$5:$B$204))="GULLY")*(D_Points!$H$5:$H$204&lt;&gt;"")),D_Points!$H$5:$H$204),"")</f>
        <v/>
      </c>
      <c r="I28" s="181" t="str">
        <f>IFERROR(LOOKUP(2,1/((A_Corridor!$A$5:$A$204&lt;&gt;"")*(A_Corridor!$A$5:$A$204&lt;=$B28)*(A_Corridor!$B$5:$B$204&gt;$B28)*(A_Corridor!$F$5:$F$204&lt;&gt;"")),IF(A_Corridor!$F$5:$F$204="-","",1)),"")</f>
        <v/>
      </c>
      <c r="J28" s="182" t="str">
        <f>IFERROR(LOOKUP(2,1/((A_Corridor!$A$5:$A$204&lt;&gt;"")*(A_Corridor!$A$5:$A$204&lt;=$B28)*(A_Corridor!$B$5:$B$204&gt;$B28)*(A_Corridor!$F$5:$F$204&lt;&gt;"")),IF(A_Corridor!$F$5:$F$204="-","",A_Corridor!$F$5:$F$204)),"")</f>
        <v/>
      </c>
      <c r="K28" s="182" t="str">
        <f>IFERROR(LOOKUP(2,1/((A_Corridor!$A$5:$A$204&lt;&gt;"")*(A_Corridor!$A$5:$A$204&lt;=$B28)*(A_Corridor!$B$5:$B$204&gt;$B28)*(A_Corridor!$G$5:$G$204&lt;&gt;"")),IF(A_Corridor!$G$5:$G$204="-","",A_Corridor!$G$5:$G$204)),"")</f>
        <v/>
      </c>
      <c r="L28" s="181" t="str">
        <f>IFERROR(LOOKUP(2,1/((A_Corridor!$A$5:$A$204&lt;&gt;"")*(A_Corridor!$A$5:$A$204&lt;=$B28)*(A_Corridor!$B$5:$B$204&gt;$B28)*(A_Corridor!$H$5:$H$204&lt;&gt;"")),IF(A_Corridor!$H$5:$H$204="-","",1)),"")</f>
        <v/>
      </c>
      <c r="M28" s="182" t="str">
        <f>IFERROR(LOOKUP(2,1/((A_Corridor!$A$5:$A$204&lt;&gt;"")*(A_Corridor!$A$5:$A$204&lt;=$B28)*(A_Corridor!$B$5:$B$204&gt;$B28)*(A_Corridor!$H$5:$H$204&lt;&gt;"")),IF(A_Corridor!$H$5:$H$204="-","",A_Corridor!$H$5:$H$204)),"")</f>
        <v/>
      </c>
      <c r="N28" s="182" t="str">
        <f>IFERROR(LOOKUP(2,1/((A_Corridor!$A$5:$A$204&lt;&gt;"")*(A_Corridor!$A$5:$A$204&lt;=$B28)*(A_Corridor!$B$5:$B$204&gt;$B28)*(A_Corridor!$I$5:$I$204&lt;&gt;"")),IF(A_Corridor!$I$5:$I$204="-","",A_Corridor!$I$5:$I$204)),"")</f>
        <v/>
      </c>
      <c r="O28" s="182" t="str">
        <f>IFERROR(LOOKUP(2,1/((D_Points!$A$5:$A$204&lt;&gt;"")*(D_Points!$A$5:$A$204&gt;=$B28)*(D_Points!$A$5:$A$204&lt;$B28+P_Interval)*(UPPER(TRIM(D_Points!$B$5:$B$204))="PITCHING")*(D_Points!$H$5:$H$204&lt;&gt;"")),D_Points!$H$5:$H$204),"")</f>
        <v/>
      </c>
      <c r="P28" s="181" t="str">
        <f>IFERROR(LOOKUP(2,1/((B_Drainage!$A$5:$A$204&lt;&gt;"")*(B_Drainage!$A$5:$A$204&lt;=$B28)*(B_Drainage!$B$5:$B$204&gt;$B28)*(B_Drainage!$C$5:$C$204&lt;&gt;"")),IF(B_Drainage!$C$5:$C$204="-","",UPPER(B_Drainage!$C$5:$C$204))),"")</f>
        <v/>
      </c>
      <c r="Q28" s="181" t="str">
        <f>IFERROR(LOOKUP(2,1/((B_Drainage!$A$5:$A$204&lt;&gt;"")*(B_Drainage!$A$5:$A$204&lt;=$B28)*(B_Drainage!$B$5:$B$204&gt;$B28)*(B_Drainage!$D$5:$D$204&lt;&gt;"")),IF(B_Drainage!$D$5:$D$204="-","",UPPER(B_Drainage!$D$5:$D$204))),"")</f>
        <v/>
      </c>
      <c r="R28" s="182" t="str">
        <f>IFERROR(LOOKUP(2,1/((D_Points!$A$5:$A$204&lt;&gt;"")*(D_Points!$A$5:$A$204&gt;=$B28)*(D_Points!$A$5:$A$204&lt;$B28+P_Interval)*(RIGHT(UPPER(TRIM(D_Points!$B$5:$B$204)),8)="_CULVERT")),IF(LEFT(UPPER(TRIM(D_Points!$B$5:$B$204)),2)="EX",1,IF(LEFT(UPPER(TRIM(D_Points!$B$5:$B$204)),2)="PR",2,3))),"")</f>
        <v/>
      </c>
      <c r="S28" s="182" t="str">
        <f>IFERROR(LOOKUP(2,1/((D_Points!$A$5:$A$204&lt;&gt;"")*(D_Points!$A$5:$A$204&gt;=$B28)*(D_Points!$A$5:$A$204&lt;$B28+P_Interval)*(RIGHT(UPPER(TRIM(D_Points!$B$5:$B$204)),7)="_BRIDGE")),IF(LEFT(UPPER(TRIM(D_Points!$B$5:$B$204)),2)="EX",1,IF(LEFT(UPPER(TRIM(D_Points!$B$5:$B$204)),2)="PR",2,2))),"")</f>
        <v/>
      </c>
      <c r="T28" s="181" t="str">
        <f>IFERROR(LOOKUP(2,1/((B_Drainage!$A$5:$A$204&lt;&gt;"")*(B_Drainage!$A$5:$A$204&lt;=$B28)*(B_Drainage!$B$5:$B$204&gt;$B28)*(B_Drainage!$E$5:$E$204&lt;&gt;"")),IF(B_Drainage!$E$5:$E$204="-","",1)),"")</f>
        <v/>
      </c>
      <c r="U28" s="181" t="str">
        <f>IFERROR(LOOKUP(2,1/((B_Drainage!$A$5:$A$204&lt;&gt;"")*(B_Drainage!$A$5:$A$204&lt;=$B28)*(B_Drainage!$B$5:$B$204&gt;$B28)*(B_Drainage!$E$5:$E$204&lt;&gt;"")),IF(B_Drainage!$E$5:$E$204="-","",B_Drainage!$E$5:$E$204)),"")</f>
        <v/>
      </c>
      <c r="V28" s="181" t="str">
        <f>IFERROR(LOOKUP(2,1/((B_Drainage!$A$5:$A$204&lt;&gt;"")*(B_Drainage!$A$5:$A$204&lt;=$B28)*(B_Drainage!$B$5:$B$204&gt;$B28)*(B_Drainage!$F$5:$F$204&lt;&gt;"")),IF(B_Drainage!$F$5:$F$204="-","",1)),"")</f>
        <v/>
      </c>
      <c r="W28" s="181" t="str">
        <f>IFERROR(LOOKUP(2,1/((B_Drainage!$A$5:$A$204&lt;&gt;"")*(B_Drainage!$A$5:$A$204&lt;=$B28)*(B_Drainage!$B$5:$B$204&gt;$B28)*(B_Drainage!$F$5:$F$204&lt;&gt;"")),IF(B_Drainage!$F$5:$F$204="-","",B_Drainage!$F$5:$F$204)),"")</f>
        <v/>
      </c>
      <c r="X28" s="181" t="str">
        <f>IFERROR(LOOKUP(2,1/((B_Drainage!$A$5:$A$204&lt;&gt;"")*(B_Drainage!$A$5:$A$204&lt;=$B28)*(B_Drainage!$B$5:$B$204&gt;$B28)*(B_Drainage!$G$5:$G$204&lt;&gt;"")),IF(UPPER(B_Drainage!$G$5:$G$204)="Y",1,"")),"")</f>
        <v/>
      </c>
      <c r="Y28" s="181" t="str">
        <f>IFERROR(LOOKUP(2,1/((B_Drainage!$A$5:$A$204&lt;&gt;"")*(B_Drainage!$A$5:$A$204&lt;=$B28)*(B_Drainage!$B$5:$B$204&gt;$B28)*(B_Drainage!$H$5:$H$204&lt;&gt;"")),IF(UPPER(B_Drainage!$H$5:$H$204)="Y",1,"")),"")</f>
        <v/>
      </c>
      <c r="Z28" s="181" t="str">
        <f>IFERROR(LOOKUP(2,1/((B_Drainage!$A$5:$A$204&lt;&gt;"")*(B_Drainage!$A$5:$A$204&lt;=$B28)*(B_Drainage!$B$5:$B$204&gt;$B28)*(B_Drainage!$I$5:$I$204&lt;&gt;"")),IF(UPPER(B_Drainage!$I$5:$I$204)="Y",1,"")),"")</f>
        <v/>
      </c>
      <c r="AA28" s="181" t="str">
        <f>IFERROR(LOOKUP(2,1/((B_Drainage!$A$5:$A$204&lt;&gt;"")*(B_Drainage!$A$5:$A$204&lt;=$B28)*(B_Drainage!$B$5:$B$204&gt;$B28)*(B_Drainage!$J$5:$J$204&lt;&gt;"")),IF(UPPER(B_Drainage!$J$5:$J$204)="Y",1,"")),"")</f>
        <v/>
      </c>
      <c r="AB28" s="182" t="str">
        <f>IFERROR(LOOKUP(2,1/((B_Drainage!$A$5:$A$204&lt;&gt;"")*(B_Drainage!$A$5:$A$204&lt;=$B28)*(B_Drainage!$B$5:$B$204&gt;$B28)*(B_Drainage!$K$5:$K$204&lt;&gt;"")),IF(B_Drainage!$K$5:$K$204="-","",B_Drainage!$K$5:$K$204)),"")</f>
        <v/>
      </c>
      <c r="AC28" s="182" t="str">
        <f>IFERROR(LOOKUP(2,1/((B_Drainage!$A$5:$A$204&lt;&gt;"")*(B_Drainage!$A$5:$A$204&lt;=$B28)*(B_Drainage!$B$5:$B$204&gt;$B28)*(B_Drainage!$L$5:$L$204&lt;&gt;"")),IF(B_Drainage!$L$5:$L$204="-","",B_Drainage!$L$5:$L$204)),"")</f>
        <v/>
      </c>
      <c r="AD28" s="182" t="str">
        <f>IFERROR(LOOKUP(2,1/((D_Points!$A$5:$A$204&lt;&gt;"")*(D_Points!$A$5:$A$204&gt;=$B28)*(D_Points!$A$5:$A$204&lt;$B28+P_Interval)*(UPPER(TRIM(D_Points!$B$5:$B$204))="TURNOUT_L")*(D_Points!$H$5:$H$204&lt;&gt;"")),D_Points!$H$5:$H$204),"")</f>
        <v/>
      </c>
      <c r="AE28" s="182" t="str">
        <f>IFERROR(LOOKUP(2,1/((D_Points!$A$5:$A$204&lt;&gt;"")*(D_Points!$A$5:$A$204&gt;=$B28)*(D_Points!$A$5:$A$204&lt;$B28+P_Interval)*(UPPER(TRIM(D_Points!$B$5:$B$204))="TURNOUT_R")*(D_Points!$H$5:$H$204&lt;&gt;"")),D_Points!$H$5:$H$204),"")</f>
        <v/>
      </c>
      <c r="AF28" s="181" t="str">
        <f>IFERROR(LOOKUP(2,1/((B_Drainage!$A$5:$A$204&lt;&gt;"")*(B_Drainage!$A$5:$A$204&lt;=$B28)*(B_Drainage!$B$5:$B$204&gt;$B28)*(B_Drainage!$M$5:$M$204&lt;&gt;"")),IF(UPPER(B_Drainage!$M$5:$M$204)="Y",1,"")),"")</f>
        <v/>
      </c>
      <c r="AG28" s="181" t="str">
        <f>IFERROR(LOOKUP(2,1/((B_Drainage!$A$5:$A$204&lt;&gt;"")*(B_Drainage!$A$5:$A$204&lt;=$B28)*(B_Drainage!$B$5:$B$204&gt;$B28)*(B_Drainage!$N$5:$N$204&lt;&gt;"")),IF(UPPER(B_Drainage!$N$5:$N$204)="Y",1,"")),"")</f>
        <v/>
      </c>
      <c r="AH28" s="181" t="str">
        <f t="shared" si="0"/>
        <v/>
      </c>
      <c r="AI28" s="181" t="str">
        <f t="shared" si="1"/>
        <v/>
      </c>
      <c r="AJ28" s="181" t="str">
        <f t="shared" si="2"/>
        <v/>
      </c>
      <c r="AK28" s="181" t="str">
        <f t="shared" si="3"/>
        <v/>
      </c>
      <c r="AL28" s="181" t="str">
        <f t="shared" si="4"/>
        <v/>
      </c>
      <c r="AM28" s="181" t="str">
        <f t="shared" si="5"/>
        <v/>
      </c>
      <c r="AN28" s="181" t="str">
        <f t="shared" si="6"/>
        <v/>
      </c>
      <c r="AO28" s="192" t="str">
        <f t="shared" si="7"/>
        <v/>
      </c>
      <c r="AQ28" t="str">
        <f>IFERROR(LOOKUP(2,1/((C_Pavement!$A$5:$A$204&lt;&gt;"")*(C_Pavement!$A$5:$A$204&lt;=$B28)*(C_Pavement!$B$5:$B$204&gt;$B28)*(C_Pavement!$C$5:$C$204&lt;&gt;"")),ROW(C_Pavement!$C$5:$C$204)-4),"")</f>
        <v/>
      </c>
      <c r="AR28" t="str">
        <f>IF($AQ28="","",UPPER(TRIM(INDEX(C_Pavement!$C$5:$C$204,$AQ28))))</f>
        <v/>
      </c>
      <c r="AS28" t="str">
        <f>IF($AR28="","",IFERROR(MATCH($AR28,E_Rules!$A$5:$A$9,0),""))</f>
        <v/>
      </c>
      <c r="AT28" t="str">
        <f>IF($AQ28="","",IF(INDEX(C_Pavement!$D$5:$D$204,$AQ28)&lt;&gt;"",UPPER(TRIM(INDEX(C_Pavement!$D$5:$D$204,$AQ28))),IF($AS28="","",INDEX(E_Rules!$C$5:$C$9,$AS28))))</f>
        <v/>
      </c>
      <c r="AU28" t="str">
        <f>IF($AQ28="","",IF(INDEX(C_Pavement!$E$5:$E$204,$AQ28)&lt;&gt;"",IF(INDEX(C_Pavement!$E$5:$E$204,$AQ28)="-","",INDEX(C_Pavement!$E$5:$E$204,$AQ28)),IF($AS28="","",INDEX(E_Rules!$D$5:$D$9,$AS28))))</f>
        <v/>
      </c>
      <c r="AV28" t="str">
        <f>IF($AQ28="","",IF(INDEX(C_Pavement!$F$5:$F$204,$AQ28)&lt;&gt;"",IF(INDEX(C_Pavement!$F$5:$F$204,$AQ28)="-","",INDEX(C_Pavement!$F$5:$F$204,$AQ28)),IF($AS28="","",INDEX(E_Rules!$E$5:$E$9,$AS28))))</f>
        <v/>
      </c>
      <c r="AW28" t="str">
        <f>IF($AQ28="","",IF(INDEX(C_Pavement!$G$5:$G$204,$AQ28)&lt;&gt;"",IF(INDEX(C_Pavement!$G$5:$G$204,$AQ28)="-","",INDEX(C_Pavement!$G$5:$G$204,$AQ28)),IF($AS28="","",INDEX(E_Rules!$F$5:$F$9,$AS28))))</f>
        <v/>
      </c>
      <c r="AX28" t="str">
        <f>IF($AQ28="","",IF(INDEX(C_Pavement!$H$5:$H$204,$AQ28)&lt;&gt;"",IF(INDEX(C_Pavement!$H$5:$H$204,$AQ28)="-","",INDEX(C_Pavement!$H$5:$H$204,$AQ28)),IF($AS28="","",INDEX(E_Rules!$G$5:$G$9,$AS28))))</f>
        <v/>
      </c>
      <c r="AY28" t="str">
        <f>IF($AQ28="","",IF(INDEX(C_Pavement!$I$5:$I$204,$AQ28)&lt;&gt;"",IF(INDEX(C_Pavement!$I$5:$I$204,$AQ28)="-","",INDEX(C_Pavement!$I$5:$I$204,$AQ28)),IF($AS28="","",INDEX(E_Rules!$H$5:$H$9,$AS28))))</f>
        <v/>
      </c>
    </row>
    <row r="29" spans="1:51" ht="15.75" customHeight="1" x14ac:dyDescent="0.3">
      <c r="A29" s="189">
        <v>24</v>
      </c>
      <c r="B29" s="180">
        <v>1150</v>
      </c>
      <c r="C29" s="180" t="s">
        <v>335</v>
      </c>
      <c r="D29" s="181" t="str">
        <f>IFERROR(LOOKUP(2,1/((A_Corridor!$A$5:$A$204&lt;&gt;"")*(A_Corridor!$A$5:$A$204&lt;=$B29)*(A_Corridor!$B$5:$B$204&gt;$B29)*(A_Corridor!$C$5:$C$204&lt;&gt;"")),IF(UPPER(A_Corridor!$C$5:$C$204)="Y",1,"")),"")</f>
        <v/>
      </c>
      <c r="E29" s="181" t="str">
        <f>IFERROR(LOOKUP(2,1/((A_Corridor!$A$5:$A$204&lt;&gt;"")*(A_Corridor!$A$5:$A$204&lt;=$B29)*(A_Corridor!$B$5:$B$204&gt;$B29)*(A_Corridor!$D$5:$D$204&lt;&gt;"")),IF(A_Corridor!$D$5:$D$204="-","",UPPER(A_Corridor!$D$5:$D$204))),"")</f>
        <v/>
      </c>
      <c r="F29" s="181" t="str">
        <f>IFERROR(LOOKUP(2,1/((A_Corridor!$A$5:$A$204&lt;&gt;"")*(A_Corridor!$A$5:$A$204&lt;=$B29)*(A_Corridor!$B$5:$B$204&gt;$B29)*(A_Corridor!$E$5:$E$204&lt;&gt;"")),IF(A_Corridor!$E$5:$E$204="-","",1)),"")</f>
        <v/>
      </c>
      <c r="G29" s="182" t="str">
        <f>IFERROR(LOOKUP(2,1/((A_Corridor!$A$5:$A$204&lt;&gt;"")*(A_Corridor!$A$5:$A$204&lt;=$B29)*(A_Corridor!$B$5:$B$204&gt;$B29)*(A_Corridor!$E$5:$E$204&lt;&gt;"")),IF(A_Corridor!$E$5:$E$204="-","",A_Corridor!$E$5:$E$204)),"")</f>
        <v/>
      </c>
      <c r="H29" s="182" t="str">
        <f>IFERROR(LOOKUP(2,1/((D_Points!$A$5:$A$204&lt;&gt;"")*(D_Points!$A$5:$A$204&gt;=$B29)*(D_Points!$A$5:$A$204&lt;$B29+P_Interval)*(UPPER(TRIM(D_Points!$B$5:$B$204))="GULLY")*(D_Points!$H$5:$H$204&lt;&gt;"")),D_Points!$H$5:$H$204),"")</f>
        <v/>
      </c>
      <c r="I29" s="181" t="str">
        <f>IFERROR(LOOKUP(2,1/((A_Corridor!$A$5:$A$204&lt;&gt;"")*(A_Corridor!$A$5:$A$204&lt;=$B29)*(A_Corridor!$B$5:$B$204&gt;$B29)*(A_Corridor!$F$5:$F$204&lt;&gt;"")),IF(A_Corridor!$F$5:$F$204="-","",1)),"")</f>
        <v/>
      </c>
      <c r="J29" s="182" t="str">
        <f>IFERROR(LOOKUP(2,1/((A_Corridor!$A$5:$A$204&lt;&gt;"")*(A_Corridor!$A$5:$A$204&lt;=$B29)*(A_Corridor!$B$5:$B$204&gt;$B29)*(A_Corridor!$F$5:$F$204&lt;&gt;"")),IF(A_Corridor!$F$5:$F$204="-","",A_Corridor!$F$5:$F$204)),"")</f>
        <v/>
      </c>
      <c r="K29" s="182" t="str">
        <f>IFERROR(LOOKUP(2,1/((A_Corridor!$A$5:$A$204&lt;&gt;"")*(A_Corridor!$A$5:$A$204&lt;=$B29)*(A_Corridor!$B$5:$B$204&gt;$B29)*(A_Corridor!$G$5:$G$204&lt;&gt;"")),IF(A_Corridor!$G$5:$G$204="-","",A_Corridor!$G$5:$G$204)),"")</f>
        <v/>
      </c>
      <c r="L29" s="181" t="str">
        <f>IFERROR(LOOKUP(2,1/((A_Corridor!$A$5:$A$204&lt;&gt;"")*(A_Corridor!$A$5:$A$204&lt;=$B29)*(A_Corridor!$B$5:$B$204&gt;$B29)*(A_Corridor!$H$5:$H$204&lt;&gt;"")),IF(A_Corridor!$H$5:$H$204="-","",1)),"")</f>
        <v/>
      </c>
      <c r="M29" s="182" t="str">
        <f>IFERROR(LOOKUP(2,1/((A_Corridor!$A$5:$A$204&lt;&gt;"")*(A_Corridor!$A$5:$A$204&lt;=$B29)*(A_Corridor!$B$5:$B$204&gt;$B29)*(A_Corridor!$H$5:$H$204&lt;&gt;"")),IF(A_Corridor!$H$5:$H$204="-","",A_Corridor!$H$5:$H$204)),"")</f>
        <v/>
      </c>
      <c r="N29" s="182" t="str">
        <f>IFERROR(LOOKUP(2,1/((A_Corridor!$A$5:$A$204&lt;&gt;"")*(A_Corridor!$A$5:$A$204&lt;=$B29)*(A_Corridor!$B$5:$B$204&gt;$B29)*(A_Corridor!$I$5:$I$204&lt;&gt;"")),IF(A_Corridor!$I$5:$I$204="-","",A_Corridor!$I$5:$I$204)),"")</f>
        <v/>
      </c>
      <c r="O29" s="182" t="str">
        <f>IFERROR(LOOKUP(2,1/((D_Points!$A$5:$A$204&lt;&gt;"")*(D_Points!$A$5:$A$204&gt;=$B29)*(D_Points!$A$5:$A$204&lt;$B29+P_Interval)*(UPPER(TRIM(D_Points!$B$5:$B$204))="PITCHING")*(D_Points!$H$5:$H$204&lt;&gt;"")),D_Points!$H$5:$H$204),"")</f>
        <v/>
      </c>
      <c r="P29" s="181" t="str">
        <f>IFERROR(LOOKUP(2,1/((B_Drainage!$A$5:$A$204&lt;&gt;"")*(B_Drainage!$A$5:$A$204&lt;=$B29)*(B_Drainage!$B$5:$B$204&gt;$B29)*(B_Drainage!$C$5:$C$204&lt;&gt;"")),IF(B_Drainage!$C$5:$C$204="-","",UPPER(B_Drainage!$C$5:$C$204))),"")</f>
        <v/>
      </c>
      <c r="Q29" s="181" t="str">
        <f>IFERROR(LOOKUP(2,1/((B_Drainage!$A$5:$A$204&lt;&gt;"")*(B_Drainage!$A$5:$A$204&lt;=$B29)*(B_Drainage!$B$5:$B$204&gt;$B29)*(B_Drainage!$D$5:$D$204&lt;&gt;"")),IF(B_Drainage!$D$5:$D$204="-","",UPPER(B_Drainage!$D$5:$D$204))),"")</f>
        <v/>
      </c>
      <c r="R29" s="182" t="str">
        <f>IFERROR(LOOKUP(2,1/((D_Points!$A$5:$A$204&lt;&gt;"")*(D_Points!$A$5:$A$204&gt;=$B29)*(D_Points!$A$5:$A$204&lt;$B29+P_Interval)*(RIGHT(UPPER(TRIM(D_Points!$B$5:$B$204)),8)="_CULVERT")),IF(LEFT(UPPER(TRIM(D_Points!$B$5:$B$204)),2)="EX",1,IF(LEFT(UPPER(TRIM(D_Points!$B$5:$B$204)),2)="PR",2,3))),"")</f>
        <v/>
      </c>
      <c r="S29" s="182" t="str">
        <f>IFERROR(LOOKUP(2,1/((D_Points!$A$5:$A$204&lt;&gt;"")*(D_Points!$A$5:$A$204&gt;=$B29)*(D_Points!$A$5:$A$204&lt;$B29+P_Interval)*(RIGHT(UPPER(TRIM(D_Points!$B$5:$B$204)),7)="_BRIDGE")),IF(LEFT(UPPER(TRIM(D_Points!$B$5:$B$204)),2)="EX",1,IF(LEFT(UPPER(TRIM(D_Points!$B$5:$B$204)),2)="PR",2,2))),"")</f>
        <v/>
      </c>
      <c r="T29" s="181" t="str">
        <f>IFERROR(LOOKUP(2,1/((B_Drainage!$A$5:$A$204&lt;&gt;"")*(B_Drainage!$A$5:$A$204&lt;=$B29)*(B_Drainage!$B$5:$B$204&gt;$B29)*(B_Drainage!$E$5:$E$204&lt;&gt;"")),IF(B_Drainage!$E$5:$E$204="-","",1)),"")</f>
        <v/>
      </c>
      <c r="U29" s="181" t="str">
        <f>IFERROR(LOOKUP(2,1/((B_Drainage!$A$5:$A$204&lt;&gt;"")*(B_Drainage!$A$5:$A$204&lt;=$B29)*(B_Drainage!$B$5:$B$204&gt;$B29)*(B_Drainage!$E$5:$E$204&lt;&gt;"")),IF(B_Drainage!$E$5:$E$204="-","",B_Drainage!$E$5:$E$204)),"")</f>
        <v/>
      </c>
      <c r="V29" s="181" t="str">
        <f>IFERROR(LOOKUP(2,1/((B_Drainage!$A$5:$A$204&lt;&gt;"")*(B_Drainage!$A$5:$A$204&lt;=$B29)*(B_Drainage!$B$5:$B$204&gt;$B29)*(B_Drainage!$F$5:$F$204&lt;&gt;"")),IF(B_Drainage!$F$5:$F$204="-","",1)),"")</f>
        <v/>
      </c>
      <c r="W29" s="181" t="str">
        <f>IFERROR(LOOKUP(2,1/((B_Drainage!$A$5:$A$204&lt;&gt;"")*(B_Drainage!$A$5:$A$204&lt;=$B29)*(B_Drainage!$B$5:$B$204&gt;$B29)*(B_Drainage!$F$5:$F$204&lt;&gt;"")),IF(B_Drainage!$F$5:$F$204="-","",B_Drainage!$F$5:$F$204)),"")</f>
        <v/>
      </c>
      <c r="X29" s="181" t="str">
        <f>IFERROR(LOOKUP(2,1/((B_Drainage!$A$5:$A$204&lt;&gt;"")*(B_Drainage!$A$5:$A$204&lt;=$B29)*(B_Drainage!$B$5:$B$204&gt;$B29)*(B_Drainage!$G$5:$G$204&lt;&gt;"")),IF(UPPER(B_Drainage!$G$5:$G$204)="Y",1,"")),"")</f>
        <v/>
      </c>
      <c r="Y29" s="181" t="str">
        <f>IFERROR(LOOKUP(2,1/((B_Drainage!$A$5:$A$204&lt;&gt;"")*(B_Drainage!$A$5:$A$204&lt;=$B29)*(B_Drainage!$B$5:$B$204&gt;$B29)*(B_Drainage!$H$5:$H$204&lt;&gt;"")),IF(UPPER(B_Drainage!$H$5:$H$204)="Y",1,"")),"")</f>
        <v/>
      </c>
      <c r="Z29" s="181" t="str">
        <f>IFERROR(LOOKUP(2,1/((B_Drainage!$A$5:$A$204&lt;&gt;"")*(B_Drainage!$A$5:$A$204&lt;=$B29)*(B_Drainage!$B$5:$B$204&gt;$B29)*(B_Drainage!$I$5:$I$204&lt;&gt;"")),IF(UPPER(B_Drainage!$I$5:$I$204)="Y",1,"")),"")</f>
        <v/>
      </c>
      <c r="AA29" s="181" t="str">
        <f>IFERROR(LOOKUP(2,1/((B_Drainage!$A$5:$A$204&lt;&gt;"")*(B_Drainage!$A$5:$A$204&lt;=$B29)*(B_Drainage!$B$5:$B$204&gt;$B29)*(B_Drainage!$J$5:$J$204&lt;&gt;"")),IF(UPPER(B_Drainage!$J$5:$J$204)="Y",1,"")),"")</f>
        <v/>
      </c>
      <c r="AB29" s="182" t="str">
        <f>IFERROR(LOOKUP(2,1/((B_Drainage!$A$5:$A$204&lt;&gt;"")*(B_Drainage!$A$5:$A$204&lt;=$B29)*(B_Drainage!$B$5:$B$204&gt;$B29)*(B_Drainage!$K$5:$K$204&lt;&gt;"")),IF(B_Drainage!$K$5:$K$204="-","",B_Drainage!$K$5:$K$204)),"")</f>
        <v/>
      </c>
      <c r="AC29" s="182" t="str">
        <f>IFERROR(LOOKUP(2,1/((B_Drainage!$A$5:$A$204&lt;&gt;"")*(B_Drainage!$A$5:$A$204&lt;=$B29)*(B_Drainage!$B$5:$B$204&gt;$B29)*(B_Drainage!$L$5:$L$204&lt;&gt;"")),IF(B_Drainage!$L$5:$L$204="-","",B_Drainage!$L$5:$L$204)),"")</f>
        <v/>
      </c>
      <c r="AD29" s="182" t="str">
        <f>IFERROR(LOOKUP(2,1/((D_Points!$A$5:$A$204&lt;&gt;"")*(D_Points!$A$5:$A$204&gt;=$B29)*(D_Points!$A$5:$A$204&lt;$B29+P_Interval)*(UPPER(TRIM(D_Points!$B$5:$B$204))="TURNOUT_L")*(D_Points!$H$5:$H$204&lt;&gt;"")),D_Points!$H$5:$H$204),"")</f>
        <v/>
      </c>
      <c r="AE29" s="182" t="str">
        <f>IFERROR(LOOKUP(2,1/((D_Points!$A$5:$A$204&lt;&gt;"")*(D_Points!$A$5:$A$204&gt;=$B29)*(D_Points!$A$5:$A$204&lt;$B29+P_Interval)*(UPPER(TRIM(D_Points!$B$5:$B$204))="TURNOUT_R")*(D_Points!$H$5:$H$204&lt;&gt;"")),D_Points!$H$5:$H$204),"")</f>
        <v/>
      </c>
      <c r="AF29" s="181" t="str">
        <f>IFERROR(LOOKUP(2,1/((B_Drainage!$A$5:$A$204&lt;&gt;"")*(B_Drainage!$A$5:$A$204&lt;=$B29)*(B_Drainage!$B$5:$B$204&gt;$B29)*(B_Drainage!$M$5:$M$204&lt;&gt;"")),IF(UPPER(B_Drainage!$M$5:$M$204)="Y",1,"")),"")</f>
        <v/>
      </c>
      <c r="AG29" s="181" t="str">
        <f>IFERROR(LOOKUP(2,1/((B_Drainage!$A$5:$A$204&lt;&gt;"")*(B_Drainage!$A$5:$A$204&lt;=$B29)*(B_Drainage!$B$5:$B$204&gt;$B29)*(B_Drainage!$N$5:$N$204&lt;&gt;"")),IF(UPPER(B_Drainage!$N$5:$N$204)="Y",1,"")),"")</f>
        <v/>
      </c>
      <c r="AH29" s="181" t="str">
        <f t="shared" si="0"/>
        <v/>
      </c>
      <c r="AI29" s="181" t="str">
        <f t="shared" si="1"/>
        <v/>
      </c>
      <c r="AJ29" s="181" t="str">
        <f t="shared" si="2"/>
        <v/>
      </c>
      <c r="AK29" s="181" t="str">
        <f t="shared" si="3"/>
        <v/>
      </c>
      <c r="AL29" s="181" t="str">
        <f t="shared" si="4"/>
        <v/>
      </c>
      <c r="AM29" s="181" t="str">
        <f t="shared" si="5"/>
        <v/>
      </c>
      <c r="AN29" s="181" t="str">
        <f t="shared" si="6"/>
        <v/>
      </c>
      <c r="AO29" s="192" t="str">
        <f t="shared" si="7"/>
        <v/>
      </c>
      <c r="AQ29" t="str">
        <f>IFERROR(LOOKUP(2,1/((C_Pavement!$A$5:$A$204&lt;&gt;"")*(C_Pavement!$A$5:$A$204&lt;=$B29)*(C_Pavement!$B$5:$B$204&gt;$B29)*(C_Pavement!$C$5:$C$204&lt;&gt;"")),ROW(C_Pavement!$C$5:$C$204)-4),"")</f>
        <v/>
      </c>
      <c r="AR29" t="str">
        <f>IF($AQ29="","",UPPER(TRIM(INDEX(C_Pavement!$C$5:$C$204,$AQ29))))</f>
        <v/>
      </c>
      <c r="AS29" t="str">
        <f>IF($AR29="","",IFERROR(MATCH($AR29,E_Rules!$A$5:$A$9,0),""))</f>
        <v/>
      </c>
      <c r="AT29" t="str">
        <f>IF($AQ29="","",IF(INDEX(C_Pavement!$D$5:$D$204,$AQ29)&lt;&gt;"",UPPER(TRIM(INDEX(C_Pavement!$D$5:$D$204,$AQ29))),IF($AS29="","",INDEX(E_Rules!$C$5:$C$9,$AS29))))</f>
        <v/>
      </c>
      <c r="AU29" t="str">
        <f>IF($AQ29="","",IF(INDEX(C_Pavement!$E$5:$E$204,$AQ29)&lt;&gt;"",IF(INDEX(C_Pavement!$E$5:$E$204,$AQ29)="-","",INDEX(C_Pavement!$E$5:$E$204,$AQ29)),IF($AS29="","",INDEX(E_Rules!$D$5:$D$9,$AS29))))</f>
        <v/>
      </c>
      <c r="AV29" t="str">
        <f>IF($AQ29="","",IF(INDEX(C_Pavement!$F$5:$F$204,$AQ29)&lt;&gt;"",IF(INDEX(C_Pavement!$F$5:$F$204,$AQ29)="-","",INDEX(C_Pavement!$F$5:$F$204,$AQ29)),IF($AS29="","",INDEX(E_Rules!$E$5:$E$9,$AS29))))</f>
        <v/>
      </c>
      <c r="AW29" t="str">
        <f>IF($AQ29="","",IF(INDEX(C_Pavement!$G$5:$G$204,$AQ29)&lt;&gt;"",IF(INDEX(C_Pavement!$G$5:$G$204,$AQ29)="-","",INDEX(C_Pavement!$G$5:$G$204,$AQ29)),IF($AS29="","",INDEX(E_Rules!$F$5:$F$9,$AS29))))</f>
        <v/>
      </c>
      <c r="AX29" t="str">
        <f>IF($AQ29="","",IF(INDEX(C_Pavement!$H$5:$H$204,$AQ29)&lt;&gt;"",IF(INDEX(C_Pavement!$H$5:$H$204,$AQ29)="-","",INDEX(C_Pavement!$H$5:$H$204,$AQ29)),IF($AS29="","",INDEX(E_Rules!$G$5:$G$9,$AS29))))</f>
        <v/>
      </c>
      <c r="AY29" t="str">
        <f>IF($AQ29="","",IF(INDEX(C_Pavement!$I$5:$I$204,$AQ29)&lt;&gt;"",IF(INDEX(C_Pavement!$I$5:$I$204,$AQ29)="-","",INDEX(C_Pavement!$I$5:$I$204,$AQ29)),IF($AS29="","",INDEX(E_Rules!$H$5:$H$9,$AS29))))</f>
        <v/>
      </c>
    </row>
    <row r="30" spans="1:51" ht="15.75" customHeight="1" x14ac:dyDescent="0.3">
      <c r="A30" s="189">
        <v>25</v>
      </c>
      <c r="B30" s="180">
        <v>1200</v>
      </c>
      <c r="C30" s="180" t="s">
        <v>336</v>
      </c>
      <c r="D30" s="181" t="str">
        <f>IFERROR(LOOKUP(2,1/((A_Corridor!$A$5:$A$204&lt;&gt;"")*(A_Corridor!$A$5:$A$204&lt;=$B30)*(A_Corridor!$B$5:$B$204&gt;$B30)*(A_Corridor!$C$5:$C$204&lt;&gt;"")),IF(UPPER(A_Corridor!$C$5:$C$204)="Y",1,"")),"")</f>
        <v/>
      </c>
      <c r="E30" s="181" t="str">
        <f>IFERROR(LOOKUP(2,1/((A_Corridor!$A$5:$A$204&lt;&gt;"")*(A_Corridor!$A$5:$A$204&lt;=$B30)*(A_Corridor!$B$5:$B$204&gt;$B30)*(A_Corridor!$D$5:$D$204&lt;&gt;"")),IF(A_Corridor!$D$5:$D$204="-","",UPPER(A_Corridor!$D$5:$D$204))),"")</f>
        <v/>
      </c>
      <c r="F30" s="181" t="str">
        <f>IFERROR(LOOKUP(2,1/((A_Corridor!$A$5:$A$204&lt;&gt;"")*(A_Corridor!$A$5:$A$204&lt;=$B30)*(A_Corridor!$B$5:$B$204&gt;$B30)*(A_Corridor!$E$5:$E$204&lt;&gt;"")),IF(A_Corridor!$E$5:$E$204="-","",1)),"")</f>
        <v/>
      </c>
      <c r="G30" s="182" t="str">
        <f>IFERROR(LOOKUP(2,1/((A_Corridor!$A$5:$A$204&lt;&gt;"")*(A_Corridor!$A$5:$A$204&lt;=$B30)*(A_Corridor!$B$5:$B$204&gt;$B30)*(A_Corridor!$E$5:$E$204&lt;&gt;"")),IF(A_Corridor!$E$5:$E$204="-","",A_Corridor!$E$5:$E$204)),"")</f>
        <v/>
      </c>
      <c r="H30" s="182" t="str">
        <f>IFERROR(LOOKUP(2,1/((D_Points!$A$5:$A$204&lt;&gt;"")*(D_Points!$A$5:$A$204&gt;=$B30)*(D_Points!$A$5:$A$204&lt;$B30+P_Interval)*(UPPER(TRIM(D_Points!$B$5:$B$204))="GULLY")*(D_Points!$H$5:$H$204&lt;&gt;"")),D_Points!$H$5:$H$204),"")</f>
        <v/>
      </c>
      <c r="I30" s="181" t="str">
        <f>IFERROR(LOOKUP(2,1/((A_Corridor!$A$5:$A$204&lt;&gt;"")*(A_Corridor!$A$5:$A$204&lt;=$B30)*(A_Corridor!$B$5:$B$204&gt;$B30)*(A_Corridor!$F$5:$F$204&lt;&gt;"")),IF(A_Corridor!$F$5:$F$204="-","",1)),"")</f>
        <v/>
      </c>
      <c r="J30" s="182" t="str">
        <f>IFERROR(LOOKUP(2,1/((A_Corridor!$A$5:$A$204&lt;&gt;"")*(A_Corridor!$A$5:$A$204&lt;=$B30)*(A_Corridor!$B$5:$B$204&gt;$B30)*(A_Corridor!$F$5:$F$204&lt;&gt;"")),IF(A_Corridor!$F$5:$F$204="-","",A_Corridor!$F$5:$F$204)),"")</f>
        <v/>
      </c>
      <c r="K30" s="182" t="str">
        <f>IFERROR(LOOKUP(2,1/((A_Corridor!$A$5:$A$204&lt;&gt;"")*(A_Corridor!$A$5:$A$204&lt;=$B30)*(A_Corridor!$B$5:$B$204&gt;$B30)*(A_Corridor!$G$5:$G$204&lt;&gt;"")),IF(A_Corridor!$G$5:$G$204="-","",A_Corridor!$G$5:$G$204)),"")</f>
        <v/>
      </c>
      <c r="L30" s="181" t="str">
        <f>IFERROR(LOOKUP(2,1/((A_Corridor!$A$5:$A$204&lt;&gt;"")*(A_Corridor!$A$5:$A$204&lt;=$B30)*(A_Corridor!$B$5:$B$204&gt;$B30)*(A_Corridor!$H$5:$H$204&lt;&gt;"")),IF(A_Corridor!$H$5:$H$204="-","",1)),"")</f>
        <v/>
      </c>
      <c r="M30" s="182" t="str">
        <f>IFERROR(LOOKUP(2,1/((A_Corridor!$A$5:$A$204&lt;&gt;"")*(A_Corridor!$A$5:$A$204&lt;=$B30)*(A_Corridor!$B$5:$B$204&gt;$B30)*(A_Corridor!$H$5:$H$204&lt;&gt;"")),IF(A_Corridor!$H$5:$H$204="-","",A_Corridor!$H$5:$H$204)),"")</f>
        <v/>
      </c>
      <c r="N30" s="182" t="str">
        <f>IFERROR(LOOKUP(2,1/((A_Corridor!$A$5:$A$204&lt;&gt;"")*(A_Corridor!$A$5:$A$204&lt;=$B30)*(A_Corridor!$B$5:$B$204&gt;$B30)*(A_Corridor!$I$5:$I$204&lt;&gt;"")),IF(A_Corridor!$I$5:$I$204="-","",A_Corridor!$I$5:$I$204)),"")</f>
        <v/>
      </c>
      <c r="O30" s="182" t="str">
        <f>IFERROR(LOOKUP(2,1/((D_Points!$A$5:$A$204&lt;&gt;"")*(D_Points!$A$5:$A$204&gt;=$B30)*(D_Points!$A$5:$A$204&lt;$B30+P_Interval)*(UPPER(TRIM(D_Points!$B$5:$B$204))="PITCHING")*(D_Points!$H$5:$H$204&lt;&gt;"")),D_Points!$H$5:$H$204),"")</f>
        <v/>
      </c>
      <c r="P30" s="181" t="str">
        <f>IFERROR(LOOKUP(2,1/((B_Drainage!$A$5:$A$204&lt;&gt;"")*(B_Drainage!$A$5:$A$204&lt;=$B30)*(B_Drainage!$B$5:$B$204&gt;$B30)*(B_Drainage!$C$5:$C$204&lt;&gt;"")),IF(B_Drainage!$C$5:$C$204="-","",UPPER(B_Drainage!$C$5:$C$204))),"")</f>
        <v/>
      </c>
      <c r="Q30" s="181" t="str">
        <f>IFERROR(LOOKUP(2,1/((B_Drainage!$A$5:$A$204&lt;&gt;"")*(B_Drainage!$A$5:$A$204&lt;=$B30)*(B_Drainage!$B$5:$B$204&gt;$B30)*(B_Drainage!$D$5:$D$204&lt;&gt;"")),IF(B_Drainage!$D$5:$D$204="-","",UPPER(B_Drainage!$D$5:$D$204))),"")</f>
        <v/>
      </c>
      <c r="R30" s="182" t="str">
        <f>IFERROR(LOOKUP(2,1/((D_Points!$A$5:$A$204&lt;&gt;"")*(D_Points!$A$5:$A$204&gt;=$B30)*(D_Points!$A$5:$A$204&lt;$B30+P_Interval)*(RIGHT(UPPER(TRIM(D_Points!$B$5:$B$204)),8)="_CULVERT")),IF(LEFT(UPPER(TRIM(D_Points!$B$5:$B$204)),2)="EX",1,IF(LEFT(UPPER(TRIM(D_Points!$B$5:$B$204)),2)="PR",2,3))),"")</f>
        <v/>
      </c>
      <c r="S30" s="182" t="str">
        <f>IFERROR(LOOKUP(2,1/((D_Points!$A$5:$A$204&lt;&gt;"")*(D_Points!$A$5:$A$204&gt;=$B30)*(D_Points!$A$5:$A$204&lt;$B30+P_Interval)*(RIGHT(UPPER(TRIM(D_Points!$B$5:$B$204)),7)="_BRIDGE")),IF(LEFT(UPPER(TRIM(D_Points!$B$5:$B$204)),2)="EX",1,IF(LEFT(UPPER(TRIM(D_Points!$B$5:$B$204)),2)="PR",2,2))),"")</f>
        <v/>
      </c>
      <c r="T30" s="181" t="str">
        <f>IFERROR(LOOKUP(2,1/((B_Drainage!$A$5:$A$204&lt;&gt;"")*(B_Drainage!$A$5:$A$204&lt;=$B30)*(B_Drainage!$B$5:$B$204&gt;$B30)*(B_Drainage!$E$5:$E$204&lt;&gt;"")),IF(B_Drainage!$E$5:$E$204="-","",1)),"")</f>
        <v/>
      </c>
      <c r="U30" s="181" t="str">
        <f>IFERROR(LOOKUP(2,1/((B_Drainage!$A$5:$A$204&lt;&gt;"")*(B_Drainage!$A$5:$A$204&lt;=$B30)*(B_Drainage!$B$5:$B$204&gt;$B30)*(B_Drainage!$E$5:$E$204&lt;&gt;"")),IF(B_Drainage!$E$5:$E$204="-","",B_Drainage!$E$5:$E$204)),"")</f>
        <v/>
      </c>
      <c r="V30" s="181" t="str">
        <f>IFERROR(LOOKUP(2,1/((B_Drainage!$A$5:$A$204&lt;&gt;"")*(B_Drainage!$A$5:$A$204&lt;=$B30)*(B_Drainage!$B$5:$B$204&gt;$B30)*(B_Drainage!$F$5:$F$204&lt;&gt;"")),IF(B_Drainage!$F$5:$F$204="-","",1)),"")</f>
        <v/>
      </c>
      <c r="W30" s="181" t="str">
        <f>IFERROR(LOOKUP(2,1/((B_Drainage!$A$5:$A$204&lt;&gt;"")*(B_Drainage!$A$5:$A$204&lt;=$B30)*(B_Drainage!$B$5:$B$204&gt;$B30)*(B_Drainage!$F$5:$F$204&lt;&gt;"")),IF(B_Drainage!$F$5:$F$204="-","",B_Drainage!$F$5:$F$204)),"")</f>
        <v/>
      </c>
      <c r="X30" s="181" t="str">
        <f>IFERROR(LOOKUP(2,1/((B_Drainage!$A$5:$A$204&lt;&gt;"")*(B_Drainage!$A$5:$A$204&lt;=$B30)*(B_Drainage!$B$5:$B$204&gt;$B30)*(B_Drainage!$G$5:$G$204&lt;&gt;"")),IF(UPPER(B_Drainage!$G$5:$G$204)="Y",1,"")),"")</f>
        <v/>
      </c>
      <c r="Y30" s="181" t="str">
        <f>IFERROR(LOOKUP(2,1/((B_Drainage!$A$5:$A$204&lt;&gt;"")*(B_Drainage!$A$5:$A$204&lt;=$B30)*(B_Drainage!$B$5:$B$204&gt;$B30)*(B_Drainage!$H$5:$H$204&lt;&gt;"")),IF(UPPER(B_Drainage!$H$5:$H$204)="Y",1,"")),"")</f>
        <v/>
      </c>
      <c r="Z30" s="181" t="str">
        <f>IFERROR(LOOKUP(2,1/((B_Drainage!$A$5:$A$204&lt;&gt;"")*(B_Drainage!$A$5:$A$204&lt;=$B30)*(B_Drainage!$B$5:$B$204&gt;$B30)*(B_Drainage!$I$5:$I$204&lt;&gt;"")),IF(UPPER(B_Drainage!$I$5:$I$204)="Y",1,"")),"")</f>
        <v/>
      </c>
      <c r="AA30" s="181" t="str">
        <f>IFERROR(LOOKUP(2,1/((B_Drainage!$A$5:$A$204&lt;&gt;"")*(B_Drainage!$A$5:$A$204&lt;=$B30)*(B_Drainage!$B$5:$B$204&gt;$B30)*(B_Drainage!$J$5:$J$204&lt;&gt;"")),IF(UPPER(B_Drainage!$J$5:$J$204)="Y",1,"")),"")</f>
        <v/>
      </c>
      <c r="AB30" s="182" t="str">
        <f>IFERROR(LOOKUP(2,1/((B_Drainage!$A$5:$A$204&lt;&gt;"")*(B_Drainage!$A$5:$A$204&lt;=$B30)*(B_Drainage!$B$5:$B$204&gt;$B30)*(B_Drainage!$K$5:$K$204&lt;&gt;"")),IF(B_Drainage!$K$5:$K$204="-","",B_Drainage!$K$5:$K$204)),"")</f>
        <v/>
      </c>
      <c r="AC30" s="182" t="str">
        <f>IFERROR(LOOKUP(2,1/((B_Drainage!$A$5:$A$204&lt;&gt;"")*(B_Drainage!$A$5:$A$204&lt;=$B30)*(B_Drainage!$B$5:$B$204&gt;$B30)*(B_Drainage!$L$5:$L$204&lt;&gt;"")),IF(B_Drainage!$L$5:$L$204="-","",B_Drainage!$L$5:$L$204)),"")</f>
        <v/>
      </c>
      <c r="AD30" s="182" t="str">
        <f>IFERROR(LOOKUP(2,1/((D_Points!$A$5:$A$204&lt;&gt;"")*(D_Points!$A$5:$A$204&gt;=$B30)*(D_Points!$A$5:$A$204&lt;$B30+P_Interval)*(UPPER(TRIM(D_Points!$B$5:$B$204))="TURNOUT_L")*(D_Points!$H$5:$H$204&lt;&gt;"")),D_Points!$H$5:$H$204),"")</f>
        <v/>
      </c>
      <c r="AE30" s="182" t="str">
        <f>IFERROR(LOOKUP(2,1/((D_Points!$A$5:$A$204&lt;&gt;"")*(D_Points!$A$5:$A$204&gt;=$B30)*(D_Points!$A$5:$A$204&lt;$B30+P_Interval)*(UPPER(TRIM(D_Points!$B$5:$B$204))="TURNOUT_R")*(D_Points!$H$5:$H$204&lt;&gt;"")),D_Points!$H$5:$H$204),"")</f>
        <v/>
      </c>
      <c r="AF30" s="181" t="str">
        <f>IFERROR(LOOKUP(2,1/((B_Drainage!$A$5:$A$204&lt;&gt;"")*(B_Drainage!$A$5:$A$204&lt;=$B30)*(B_Drainage!$B$5:$B$204&gt;$B30)*(B_Drainage!$M$5:$M$204&lt;&gt;"")),IF(UPPER(B_Drainage!$M$5:$M$204)="Y",1,"")),"")</f>
        <v/>
      </c>
      <c r="AG30" s="181" t="str">
        <f>IFERROR(LOOKUP(2,1/((B_Drainage!$A$5:$A$204&lt;&gt;"")*(B_Drainage!$A$5:$A$204&lt;=$B30)*(B_Drainage!$B$5:$B$204&gt;$B30)*(B_Drainage!$N$5:$N$204&lt;&gt;"")),IF(UPPER(B_Drainage!$N$5:$N$204)="Y",1,"")),"")</f>
        <v/>
      </c>
      <c r="AH30" s="181" t="str">
        <f t="shared" si="0"/>
        <v/>
      </c>
      <c r="AI30" s="181" t="str">
        <f t="shared" si="1"/>
        <v/>
      </c>
      <c r="AJ30" s="181" t="str">
        <f t="shared" si="2"/>
        <v/>
      </c>
      <c r="AK30" s="181" t="str">
        <f t="shared" si="3"/>
        <v/>
      </c>
      <c r="AL30" s="181" t="str">
        <f t="shared" si="4"/>
        <v/>
      </c>
      <c r="AM30" s="181" t="str">
        <f t="shared" si="5"/>
        <v/>
      </c>
      <c r="AN30" s="181" t="str">
        <f t="shared" si="6"/>
        <v/>
      </c>
      <c r="AO30" s="192" t="str">
        <f t="shared" si="7"/>
        <v/>
      </c>
      <c r="AQ30" t="str">
        <f>IFERROR(LOOKUP(2,1/((C_Pavement!$A$5:$A$204&lt;&gt;"")*(C_Pavement!$A$5:$A$204&lt;=$B30)*(C_Pavement!$B$5:$B$204&gt;$B30)*(C_Pavement!$C$5:$C$204&lt;&gt;"")),ROW(C_Pavement!$C$5:$C$204)-4),"")</f>
        <v/>
      </c>
      <c r="AR30" t="str">
        <f>IF($AQ30="","",UPPER(TRIM(INDEX(C_Pavement!$C$5:$C$204,$AQ30))))</f>
        <v/>
      </c>
      <c r="AS30" t="str">
        <f>IF($AR30="","",IFERROR(MATCH($AR30,E_Rules!$A$5:$A$9,0),""))</f>
        <v/>
      </c>
      <c r="AT30" t="str">
        <f>IF($AQ30="","",IF(INDEX(C_Pavement!$D$5:$D$204,$AQ30)&lt;&gt;"",UPPER(TRIM(INDEX(C_Pavement!$D$5:$D$204,$AQ30))),IF($AS30="","",INDEX(E_Rules!$C$5:$C$9,$AS30))))</f>
        <v/>
      </c>
      <c r="AU30" t="str">
        <f>IF($AQ30="","",IF(INDEX(C_Pavement!$E$5:$E$204,$AQ30)&lt;&gt;"",IF(INDEX(C_Pavement!$E$5:$E$204,$AQ30)="-","",INDEX(C_Pavement!$E$5:$E$204,$AQ30)),IF($AS30="","",INDEX(E_Rules!$D$5:$D$9,$AS30))))</f>
        <v/>
      </c>
      <c r="AV30" t="str">
        <f>IF($AQ30="","",IF(INDEX(C_Pavement!$F$5:$F$204,$AQ30)&lt;&gt;"",IF(INDEX(C_Pavement!$F$5:$F$204,$AQ30)="-","",INDEX(C_Pavement!$F$5:$F$204,$AQ30)),IF($AS30="","",INDEX(E_Rules!$E$5:$E$9,$AS30))))</f>
        <v/>
      </c>
      <c r="AW30" t="str">
        <f>IF($AQ30="","",IF(INDEX(C_Pavement!$G$5:$G$204,$AQ30)&lt;&gt;"",IF(INDEX(C_Pavement!$G$5:$G$204,$AQ30)="-","",INDEX(C_Pavement!$G$5:$G$204,$AQ30)),IF($AS30="","",INDEX(E_Rules!$F$5:$F$9,$AS30))))</f>
        <v/>
      </c>
      <c r="AX30" t="str">
        <f>IF($AQ30="","",IF(INDEX(C_Pavement!$H$5:$H$204,$AQ30)&lt;&gt;"",IF(INDEX(C_Pavement!$H$5:$H$204,$AQ30)="-","",INDEX(C_Pavement!$H$5:$H$204,$AQ30)),IF($AS30="","",INDEX(E_Rules!$G$5:$G$9,$AS30))))</f>
        <v/>
      </c>
      <c r="AY30" t="str">
        <f>IF($AQ30="","",IF(INDEX(C_Pavement!$I$5:$I$204,$AQ30)&lt;&gt;"",IF(INDEX(C_Pavement!$I$5:$I$204,$AQ30)="-","",INDEX(C_Pavement!$I$5:$I$204,$AQ30)),IF($AS30="","",INDEX(E_Rules!$H$5:$H$9,$AS30))))</f>
        <v/>
      </c>
    </row>
    <row r="31" spans="1:51" ht="15.75" customHeight="1" x14ac:dyDescent="0.3">
      <c r="A31" s="189">
        <v>26</v>
      </c>
      <c r="B31" s="180">
        <v>1250</v>
      </c>
      <c r="C31" s="180" t="s">
        <v>337</v>
      </c>
      <c r="D31" s="181" t="str">
        <f>IFERROR(LOOKUP(2,1/((A_Corridor!$A$5:$A$204&lt;&gt;"")*(A_Corridor!$A$5:$A$204&lt;=$B31)*(A_Corridor!$B$5:$B$204&gt;$B31)*(A_Corridor!$C$5:$C$204&lt;&gt;"")),IF(UPPER(A_Corridor!$C$5:$C$204)="Y",1,"")),"")</f>
        <v/>
      </c>
      <c r="E31" s="181" t="str">
        <f>IFERROR(LOOKUP(2,1/((A_Corridor!$A$5:$A$204&lt;&gt;"")*(A_Corridor!$A$5:$A$204&lt;=$B31)*(A_Corridor!$B$5:$B$204&gt;$B31)*(A_Corridor!$D$5:$D$204&lt;&gt;"")),IF(A_Corridor!$D$5:$D$204="-","",UPPER(A_Corridor!$D$5:$D$204))),"")</f>
        <v/>
      </c>
      <c r="F31" s="181" t="str">
        <f>IFERROR(LOOKUP(2,1/((A_Corridor!$A$5:$A$204&lt;&gt;"")*(A_Corridor!$A$5:$A$204&lt;=$B31)*(A_Corridor!$B$5:$B$204&gt;$B31)*(A_Corridor!$E$5:$E$204&lt;&gt;"")),IF(A_Corridor!$E$5:$E$204="-","",1)),"")</f>
        <v/>
      </c>
      <c r="G31" s="182" t="str">
        <f>IFERROR(LOOKUP(2,1/((A_Corridor!$A$5:$A$204&lt;&gt;"")*(A_Corridor!$A$5:$A$204&lt;=$B31)*(A_Corridor!$B$5:$B$204&gt;$B31)*(A_Corridor!$E$5:$E$204&lt;&gt;"")),IF(A_Corridor!$E$5:$E$204="-","",A_Corridor!$E$5:$E$204)),"")</f>
        <v/>
      </c>
      <c r="H31" s="182" t="str">
        <f>IFERROR(LOOKUP(2,1/((D_Points!$A$5:$A$204&lt;&gt;"")*(D_Points!$A$5:$A$204&gt;=$B31)*(D_Points!$A$5:$A$204&lt;$B31+P_Interval)*(UPPER(TRIM(D_Points!$B$5:$B$204))="GULLY")*(D_Points!$H$5:$H$204&lt;&gt;"")),D_Points!$H$5:$H$204),"")</f>
        <v/>
      </c>
      <c r="I31" s="181" t="str">
        <f>IFERROR(LOOKUP(2,1/((A_Corridor!$A$5:$A$204&lt;&gt;"")*(A_Corridor!$A$5:$A$204&lt;=$B31)*(A_Corridor!$B$5:$B$204&gt;$B31)*(A_Corridor!$F$5:$F$204&lt;&gt;"")),IF(A_Corridor!$F$5:$F$204="-","",1)),"")</f>
        <v/>
      </c>
      <c r="J31" s="182" t="str">
        <f>IFERROR(LOOKUP(2,1/((A_Corridor!$A$5:$A$204&lt;&gt;"")*(A_Corridor!$A$5:$A$204&lt;=$B31)*(A_Corridor!$B$5:$B$204&gt;$B31)*(A_Corridor!$F$5:$F$204&lt;&gt;"")),IF(A_Corridor!$F$5:$F$204="-","",A_Corridor!$F$5:$F$204)),"")</f>
        <v/>
      </c>
      <c r="K31" s="182" t="str">
        <f>IFERROR(LOOKUP(2,1/((A_Corridor!$A$5:$A$204&lt;&gt;"")*(A_Corridor!$A$5:$A$204&lt;=$B31)*(A_Corridor!$B$5:$B$204&gt;$B31)*(A_Corridor!$G$5:$G$204&lt;&gt;"")),IF(A_Corridor!$G$5:$G$204="-","",A_Corridor!$G$5:$G$204)),"")</f>
        <v/>
      </c>
      <c r="L31" s="181" t="str">
        <f>IFERROR(LOOKUP(2,1/((A_Corridor!$A$5:$A$204&lt;&gt;"")*(A_Corridor!$A$5:$A$204&lt;=$B31)*(A_Corridor!$B$5:$B$204&gt;$B31)*(A_Corridor!$H$5:$H$204&lt;&gt;"")),IF(A_Corridor!$H$5:$H$204="-","",1)),"")</f>
        <v/>
      </c>
      <c r="M31" s="182" t="str">
        <f>IFERROR(LOOKUP(2,1/((A_Corridor!$A$5:$A$204&lt;&gt;"")*(A_Corridor!$A$5:$A$204&lt;=$B31)*(A_Corridor!$B$5:$B$204&gt;$B31)*(A_Corridor!$H$5:$H$204&lt;&gt;"")),IF(A_Corridor!$H$5:$H$204="-","",A_Corridor!$H$5:$H$204)),"")</f>
        <v/>
      </c>
      <c r="N31" s="182" t="str">
        <f>IFERROR(LOOKUP(2,1/((A_Corridor!$A$5:$A$204&lt;&gt;"")*(A_Corridor!$A$5:$A$204&lt;=$B31)*(A_Corridor!$B$5:$B$204&gt;$B31)*(A_Corridor!$I$5:$I$204&lt;&gt;"")),IF(A_Corridor!$I$5:$I$204="-","",A_Corridor!$I$5:$I$204)),"")</f>
        <v/>
      </c>
      <c r="O31" s="182" t="str">
        <f>IFERROR(LOOKUP(2,1/((D_Points!$A$5:$A$204&lt;&gt;"")*(D_Points!$A$5:$A$204&gt;=$B31)*(D_Points!$A$5:$A$204&lt;$B31+P_Interval)*(UPPER(TRIM(D_Points!$B$5:$B$204))="PITCHING")*(D_Points!$H$5:$H$204&lt;&gt;"")),D_Points!$H$5:$H$204),"")</f>
        <v/>
      </c>
      <c r="P31" s="181" t="str">
        <f>IFERROR(LOOKUP(2,1/((B_Drainage!$A$5:$A$204&lt;&gt;"")*(B_Drainage!$A$5:$A$204&lt;=$B31)*(B_Drainage!$B$5:$B$204&gt;$B31)*(B_Drainage!$C$5:$C$204&lt;&gt;"")),IF(B_Drainage!$C$5:$C$204="-","",UPPER(B_Drainage!$C$5:$C$204))),"")</f>
        <v/>
      </c>
      <c r="Q31" s="181" t="str">
        <f>IFERROR(LOOKUP(2,1/((B_Drainage!$A$5:$A$204&lt;&gt;"")*(B_Drainage!$A$5:$A$204&lt;=$B31)*(B_Drainage!$B$5:$B$204&gt;$B31)*(B_Drainage!$D$5:$D$204&lt;&gt;"")),IF(B_Drainage!$D$5:$D$204="-","",UPPER(B_Drainage!$D$5:$D$204))),"")</f>
        <v/>
      </c>
      <c r="R31" s="182" t="str">
        <f>IFERROR(LOOKUP(2,1/((D_Points!$A$5:$A$204&lt;&gt;"")*(D_Points!$A$5:$A$204&gt;=$B31)*(D_Points!$A$5:$A$204&lt;$B31+P_Interval)*(RIGHT(UPPER(TRIM(D_Points!$B$5:$B$204)),8)="_CULVERT")),IF(LEFT(UPPER(TRIM(D_Points!$B$5:$B$204)),2)="EX",1,IF(LEFT(UPPER(TRIM(D_Points!$B$5:$B$204)),2)="PR",2,3))),"")</f>
        <v/>
      </c>
      <c r="S31" s="182" t="str">
        <f>IFERROR(LOOKUP(2,1/((D_Points!$A$5:$A$204&lt;&gt;"")*(D_Points!$A$5:$A$204&gt;=$B31)*(D_Points!$A$5:$A$204&lt;$B31+P_Interval)*(RIGHT(UPPER(TRIM(D_Points!$B$5:$B$204)),7)="_BRIDGE")),IF(LEFT(UPPER(TRIM(D_Points!$B$5:$B$204)),2)="EX",1,IF(LEFT(UPPER(TRIM(D_Points!$B$5:$B$204)),2)="PR",2,2))),"")</f>
        <v/>
      </c>
      <c r="T31" s="181" t="str">
        <f>IFERROR(LOOKUP(2,1/((B_Drainage!$A$5:$A$204&lt;&gt;"")*(B_Drainage!$A$5:$A$204&lt;=$B31)*(B_Drainage!$B$5:$B$204&gt;$B31)*(B_Drainage!$E$5:$E$204&lt;&gt;"")),IF(B_Drainage!$E$5:$E$204="-","",1)),"")</f>
        <v/>
      </c>
      <c r="U31" s="181" t="str">
        <f>IFERROR(LOOKUP(2,1/((B_Drainage!$A$5:$A$204&lt;&gt;"")*(B_Drainage!$A$5:$A$204&lt;=$B31)*(B_Drainage!$B$5:$B$204&gt;$B31)*(B_Drainage!$E$5:$E$204&lt;&gt;"")),IF(B_Drainage!$E$5:$E$204="-","",B_Drainage!$E$5:$E$204)),"")</f>
        <v/>
      </c>
      <c r="V31" s="181" t="str">
        <f>IFERROR(LOOKUP(2,1/((B_Drainage!$A$5:$A$204&lt;&gt;"")*(B_Drainage!$A$5:$A$204&lt;=$B31)*(B_Drainage!$B$5:$B$204&gt;$B31)*(B_Drainage!$F$5:$F$204&lt;&gt;"")),IF(B_Drainage!$F$5:$F$204="-","",1)),"")</f>
        <v/>
      </c>
      <c r="W31" s="181" t="str">
        <f>IFERROR(LOOKUP(2,1/((B_Drainage!$A$5:$A$204&lt;&gt;"")*(B_Drainage!$A$5:$A$204&lt;=$B31)*(B_Drainage!$B$5:$B$204&gt;$B31)*(B_Drainage!$F$5:$F$204&lt;&gt;"")),IF(B_Drainage!$F$5:$F$204="-","",B_Drainage!$F$5:$F$204)),"")</f>
        <v/>
      </c>
      <c r="X31" s="181" t="str">
        <f>IFERROR(LOOKUP(2,1/((B_Drainage!$A$5:$A$204&lt;&gt;"")*(B_Drainage!$A$5:$A$204&lt;=$B31)*(B_Drainage!$B$5:$B$204&gt;$B31)*(B_Drainage!$G$5:$G$204&lt;&gt;"")),IF(UPPER(B_Drainage!$G$5:$G$204)="Y",1,"")),"")</f>
        <v/>
      </c>
      <c r="Y31" s="181" t="str">
        <f>IFERROR(LOOKUP(2,1/((B_Drainage!$A$5:$A$204&lt;&gt;"")*(B_Drainage!$A$5:$A$204&lt;=$B31)*(B_Drainage!$B$5:$B$204&gt;$B31)*(B_Drainage!$H$5:$H$204&lt;&gt;"")),IF(UPPER(B_Drainage!$H$5:$H$204)="Y",1,"")),"")</f>
        <v/>
      </c>
      <c r="Z31" s="181" t="str">
        <f>IFERROR(LOOKUP(2,1/((B_Drainage!$A$5:$A$204&lt;&gt;"")*(B_Drainage!$A$5:$A$204&lt;=$B31)*(B_Drainage!$B$5:$B$204&gt;$B31)*(B_Drainage!$I$5:$I$204&lt;&gt;"")),IF(UPPER(B_Drainage!$I$5:$I$204)="Y",1,"")),"")</f>
        <v/>
      </c>
      <c r="AA31" s="181" t="str">
        <f>IFERROR(LOOKUP(2,1/((B_Drainage!$A$5:$A$204&lt;&gt;"")*(B_Drainage!$A$5:$A$204&lt;=$B31)*(B_Drainage!$B$5:$B$204&gt;$B31)*(B_Drainage!$J$5:$J$204&lt;&gt;"")),IF(UPPER(B_Drainage!$J$5:$J$204)="Y",1,"")),"")</f>
        <v/>
      </c>
      <c r="AB31" s="182" t="str">
        <f>IFERROR(LOOKUP(2,1/((B_Drainage!$A$5:$A$204&lt;&gt;"")*(B_Drainage!$A$5:$A$204&lt;=$B31)*(B_Drainage!$B$5:$B$204&gt;$B31)*(B_Drainage!$K$5:$K$204&lt;&gt;"")),IF(B_Drainage!$K$5:$K$204="-","",B_Drainage!$K$5:$K$204)),"")</f>
        <v/>
      </c>
      <c r="AC31" s="182" t="str">
        <f>IFERROR(LOOKUP(2,1/((B_Drainage!$A$5:$A$204&lt;&gt;"")*(B_Drainage!$A$5:$A$204&lt;=$B31)*(B_Drainage!$B$5:$B$204&gt;$B31)*(B_Drainage!$L$5:$L$204&lt;&gt;"")),IF(B_Drainage!$L$5:$L$204="-","",B_Drainage!$L$5:$L$204)),"")</f>
        <v/>
      </c>
      <c r="AD31" s="182" t="str">
        <f>IFERROR(LOOKUP(2,1/((D_Points!$A$5:$A$204&lt;&gt;"")*(D_Points!$A$5:$A$204&gt;=$B31)*(D_Points!$A$5:$A$204&lt;$B31+P_Interval)*(UPPER(TRIM(D_Points!$B$5:$B$204))="TURNOUT_L")*(D_Points!$H$5:$H$204&lt;&gt;"")),D_Points!$H$5:$H$204),"")</f>
        <v/>
      </c>
      <c r="AE31" s="182" t="str">
        <f>IFERROR(LOOKUP(2,1/((D_Points!$A$5:$A$204&lt;&gt;"")*(D_Points!$A$5:$A$204&gt;=$B31)*(D_Points!$A$5:$A$204&lt;$B31+P_Interval)*(UPPER(TRIM(D_Points!$B$5:$B$204))="TURNOUT_R")*(D_Points!$H$5:$H$204&lt;&gt;"")),D_Points!$H$5:$H$204),"")</f>
        <v/>
      </c>
      <c r="AF31" s="181" t="str">
        <f>IFERROR(LOOKUP(2,1/((B_Drainage!$A$5:$A$204&lt;&gt;"")*(B_Drainage!$A$5:$A$204&lt;=$B31)*(B_Drainage!$B$5:$B$204&gt;$B31)*(B_Drainage!$M$5:$M$204&lt;&gt;"")),IF(UPPER(B_Drainage!$M$5:$M$204)="Y",1,"")),"")</f>
        <v/>
      </c>
      <c r="AG31" s="181" t="str">
        <f>IFERROR(LOOKUP(2,1/((B_Drainage!$A$5:$A$204&lt;&gt;"")*(B_Drainage!$A$5:$A$204&lt;=$B31)*(B_Drainage!$B$5:$B$204&gt;$B31)*(B_Drainage!$N$5:$N$204&lt;&gt;"")),IF(UPPER(B_Drainage!$N$5:$N$204)="Y",1,"")),"")</f>
        <v/>
      </c>
      <c r="AH31" s="181" t="str">
        <f t="shared" si="0"/>
        <v/>
      </c>
      <c r="AI31" s="181" t="str">
        <f t="shared" si="1"/>
        <v/>
      </c>
      <c r="AJ31" s="181" t="str">
        <f t="shared" si="2"/>
        <v/>
      </c>
      <c r="AK31" s="181" t="str">
        <f t="shared" si="3"/>
        <v/>
      </c>
      <c r="AL31" s="181" t="str">
        <f t="shared" si="4"/>
        <v/>
      </c>
      <c r="AM31" s="181" t="str">
        <f t="shared" si="5"/>
        <v/>
      </c>
      <c r="AN31" s="181" t="str">
        <f t="shared" si="6"/>
        <v/>
      </c>
      <c r="AO31" s="192" t="str">
        <f t="shared" si="7"/>
        <v/>
      </c>
      <c r="AQ31" t="str">
        <f>IFERROR(LOOKUP(2,1/((C_Pavement!$A$5:$A$204&lt;&gt;"")*(C_Pavement!$A$5:$A$204&lt;=$B31)*(C_Pavement!$B$5:$B$204&gt;$B31)*(C_Pavement!$C$5:$C$204&lt;&gt;"")),ROW(C_Pavement!$C$5:$C$204)-4),"")</f>
        <v/>
      </c>
      <c r="AR31" t="str">
        <f>IF($AQ31="","",UPPER(TRIM(INDEX(C_Pavement!$C$5:$C$204,$AQ31))))</f>
        <v/>
      </c>
      <c r="AS31" t="str">
        <f>IF($AR31="","",IFERROR(MATCH($AR31,E_Rules!$A$5:$A$9,0),""))</f>
        <v/>
      </c>
      <c r="AT31" t="str">
        <f>IF($AQ31="","",IF(INDEX(C_Pavement!$D$5:$D$204,$AQ31)&lt;&gt;"",UPPER(TRIM(INDEX(C_Pavement!$D$5:$D$204,$AQ31))),IF($AS31="","",INDEX(E_Rules!$C$5:$C$9,$AS31))))</f>
        <v/>
      </c>
      <c r="AU31" t="str">
        <f>IF($AQ31="","",IF(INDEX(C_Pavement!$E$5:$E$204,$AQ31)&lt;&gt;"",IF(INDEX(C_Pavement!$E$5:$E$204,$AQ31)="-","",INDEX(C_Pavement!$E$5:$E$204,$AQ31)),IF($AS31="","",INDEX(E_Rules!$D$5:$D$9,$AS31))))</f>
        <v/>
      </c>
      <c r="AV31" t="str">
        <f>IF($AQ31="","",IF(INDEX(C_Pavement!$F$5:$F$204,$AQ31)&lt;&gt;"",IF(INDEX(C_Pavement!$F$5:$F$204,$AQ31)="-","",INDEX(C_Pavement!$F$5:$F$204,$AQ31)),IF($AS31="","",INDEX(E_Rules!$E$5:$E$9,$AS31))))</f>
        <v/>
      </c>
      <c r="AW31" t="str">
        <f>IF($AQ31="","",IF(INDEX(C_Pavement!$G$5:$G$204,$AQ31)&lt;&gt;"",IF(INDEX(C_Pavement!$G$5:$G$204,$AQ31)="-","",INDEX(C_Pavement!$G$5:$G$204,$AQ31)),IF($AS31="","",INDEX(E_Rules!$F$5:$F$9,$AS31))))</f>
        <v/>
      </c>
      <c r="AX31" t="str">
        <f>IF($AQ31="","",IF(INDEX(C_Pavement!$H$5:$H$204,$AQ31)&lt;&gt;"",IF(INDEX(C_Pavement!$H$5:$H$204,$AQ31)="-","",INDEX(C_Pavement!$H$5:$H$204,$AQ31)),IF($AS31="","",INDEX(E_Rules!$G$5:$G$9,$AS31))))</f>
        <v/>
      </c>
      <c r="AY31" t="str">
        <f>IF($AQ31="","",IF(INDEX(C_Pavement!$I$5:$I$204,$AQ31)&lt;&gt;"",IF(INDEX(C_Pavement!$I$5:$I$204,$AQ31)="-","",INDEX(C_Pavement!$I$5:$I$204,$AQ31)),IF($AS31="","",INDEX(E_Rules!$H$5:$H$9,$AS31))))</f>
        <v/>
      </c>
    </row>
    <row r="32" spans="1:51" ht="15.75" customHeight="1" x14ac:dyDescent="0.3">
      <c r="A32" s="189">
        <v>27</v>
      </c>
      <c r="B32" s="180">
        <v>1300</v>
      </c>
      <c r="C32" s="180" t="s">
        <v>338</v>
      </c>
      <c r="D32" s="181" t="str">
        <f>IFERROR(LOOKUP(2,1/((A_Corridor!$A$5:$A$204&lt;&gt;"")*(A_Corridor!$A$5:$A$204&lt;=$B32)*(A_Corridor!$B$5:$B$204&gt;$B32)*(A_Corridor!$C$5:$C$204&lt;&gt;"")),IF(UPPER(A_Corridor!$C$5:$C$204)="Y",1,"")),"")</f>
        <v/>
      </c>
      <c r="E32" s="181" t="str">
        <f>IFERROR(LOOKUP(2,1/((A_Corridor!$A$5:$A$204&lt;&gt;"")*(A_Corridor!$A$5:$A$204&lt;=$B32)*(A_Corridor!$B$5:$B$204&gt;$B32)*(A_Corridor!$D$5:$D$204&lt;&gt;"")),IF(A_Corridor!$D$5:$D$204="-","",UPPER(A_Corridor!$D$5:$D$204))),"")</f>
        <v/>
      </c>
      <c r="F32" s="181" t="str">
        <f>IFERROR(LOOKUP(2,1/((A_Corridor!$A$5:$A$204&lt;&gt;"")*(A_Corridor!$A$5:$A$204&lt;=$B32)*(A_Corridor!$B$5:$B$204&gt;$B32)*(A_Corridor!$E$5:$E$204&lt;&gt;"")),IF(A_Corridor!$E$5:$E$204="-","",1)),"")</f>
        <v/>
      </c>
      <c r="G32" s="182" t="str">
        <f>IFERROR(LOOKUP(2,1/((A_Corridor!$A$5:$A$204&lt;&gt;"")*(A_Corridor!$A$5:$A$204&lt;=$B32)*(A_Corridor!$B$5:$B$204&gt;$B32)*(A_Corridor!$E$5:$E$204&lt;&gt;"")),IF(A_Corridor!$E$5:$E$204="-","",A_Corridor!$E$5:$E$204)),"")</f>
        <v/>
      </c>
      <c r="H32" s="182" t="str">
        <f>IFERROR(LOOKUP(2,1/((D_Points!$A$5:$A$204&lt;&gt;"")*(D_Points!$A$5:$A$204&gt;=$B32)*(D_Points!$A$5:$A$204&lt;$B32+P_Interval)*(UPPER(TRIM(D_Points!$B$5:$B$204))="GULLY")*(D_Points!$H$5:$H$204&lt;&gt;"")),D_Points!$H$5:$H$204),"")</f>
        <v/>
      </c>
      <c r="I32" s="181" t="str">
        <f>IFERROR(LOOKUP(2,1/((A_Corridor!$A$5:$A$204&lt;&gt;"")*(A_Corridor!$A$5:$A$204&lt;=$B32)*(A_Corridor!$B$5:$B$204&gt;$B32)*(A_Corridor!$F$5:$F$204&lt;&gt;"")),IF(A_Corridor!$F$5:$F$204="-","",1)),"")</f>
        <v/>
      </c>
      <c r="J32" s="182" t="str">
        <f>IFERROR(LOOKUP(2,1/((A_Corridor!$A$5:$A$204&lt;&gt;"")*(A_Corridor!$A$5:$A$204&lt;=$B32)*(A_Corridor!$B$5:$B$204&gt;$B32)*(A_Corridor!$F$5:$F$204&lt;&gt;"")),IF(A_Corridor!$F$5:$F$204="-","",A_Corridor!$F$5:$F$204)),"")</f>
        <v/>
      </c>
      <c r="K32" s="182" t="str">
        <f>IFERROR(LOOKUP(2,1/((A_Corridor!$A$5:$A$204&lt;&gt;"")*(A_Corridor!$A$5:$A$204&lt;=$B32)*(A_Corridor!$B$5:$B$204&gt;$B32)*(A_Corridor!$G$5:$G$204&lt;&gt;"")),IF(A_Corridor!$G$5:$G$204="-","",A_Corridor!$G$5:$G$204)),"")</f>
        <v/>
      </c>
      <c r="L32" s="181" t="str">
        <f>IFERROR(LOOKUP(2,1/((A_Corridor!$A$5:$A$204&lt;&gt;"")*(A_Corridor!$A$5:$A$204&lt;=$B32)*(A_Corridor!$B$5:$B$204&gt;$B32)*(A_Corridor!$H$5:$H$204&lt;&gt;"")),IF(A_Corridor!$H$5:$H$204="-","",1)),"")</f>
        <v/>
      </c>
      <c r="M32" s="182" t="str">
        <f>IFERROR(LOOKUP(2,1/((A_Corridor!$A$5:$A$204&lt;&gt;"")*(A_Corridor!$A$5:$A$204&lt;=$B32)*(A_Corridor!$B$5:$B$204&gt;$B32)*(A_Corridor!$H$5:$H$204&lt;&gt;"")),IF(A_Corridor!$H$5:$H$204="-","",A_Corridor!$H$5:$H$204)),"")</f>
        <v/>
      </c>
      <c r="N32" s="182" t="str">
        <f>IFERROR(LOOKUP(2,1/((A_Corridor!$A$5:$A$204&lt;&gt;"")*(A_Corridor!$A$5:$A$204&lt;=$B32)*(A_Corridor!$B$5:$B$204&gt;$B32)*(A_Corridor!$I$5:$I$204&lt;&gt;"")),IF(A_Corridor!$I$5:$I$204="-","",A_Corridor!$I$5:$I$204)),"")</f>
        <v/>
      </c>
      <c r="O32" s="182" t="str">
        <f>IFERROR(LOOKUP(2,1/((D_Points!$A$5:$A$204&lt;&gt;"")*(D_Points!$A$5:$A$204&gt;=$B32)*(D_Points!$A$5:$A$204&lt;$B32+P_Interval)*(UPPER(TRIM(D_Points!$B$5:$B$204))="PITCHING")*(D_Points!$H$5:$H$204&lt;&gt;"")),D_Points!$H$5:$H$204),"")</f>
        <v/>
      </c>
      <c r="P32" s="181" t="str">
        <f>IFERROR(LOOKUP(2,1/((B_Drainage!$A$5:$A$204&lt;&gt;"")*(B_Drainage!$A$5:$A$204&lt;=$B32)*(B_Drainage!$B$5:$B$204&gt;$B32)*(B_Drainage!$C$5:$C$204&lt;&gt;"")),IF(B_Drainage!$C$5:$C$204="-","",UPPER(B_Drainage!$C$5:$C$204))),"")</f>
        <v/>
      </c>
      <c r="Q32" s="181" t="str">
        <f>IFERROR(LOOKUP(2,1/((B_Drainage!$A$5:$A$204&lt;&gt;"")*(B_Drainage!$A$5:$A$204&lt;=$B32)*(B_Drainage!$B$5:$B$204&gt;$B32)*(B_Drainage!$D$5:$D$204&lt;&gt;"")),IF(B_Drainage!$D$5:$D$204="-","",UPPER(B_Drainage!$D$5:$D$204))),"")</f>
        <v/>
      </c>
      <c r="R32" s="182" t="str">
        <f>IFERROR(LOOKUP(2,1/((D_Points!$A$5:$A$204&lt;&gt;"")*(D_Points!$A$5:$A$204&gt;=$B32)*(D_Points!$A$5:$A$204&lt;$B32+P_Interval)*(RIGHT(UPPER(TRIM(D_Points!$B$5:$B$204)),8)="_CULVERT")),IF(LEFT(UPPER(TRIM(D_Points!$B$5:$B$204)),2)="EX",1,IF(LEFT(UPPER(TRIM(D_Points!$B$5:$B$204)),2)="PR",2,3))),"")</f>
        <v/>
      </c>
      <c r="S32" s="182" t="str">
        <f>IFERROR(LOOKUP(2,1/((D_Points!$A$5:$A$204&lt;&gt;"")*(D_Points!$A$5:$A$204&gt;=$B32)*(D_Points!$A$5:$A$204&lt;$B32+P_Interval)*(RIGHT(UPPER(TRIM(D_Points!$B$5:$B$204)),7)="_BRIDGE")),IF(LEFT(UPPER(TRIM(D_Points!$B$5:$B$204)),2)="EX",1,IF(LEFT(UPPER(TRIM(D_Points!$B$5:$B$204)),2)="PR",2,2))),"")</f>
        <v/>
      </c>
      <c r="T32" s="181" t="str">
        <f>IFERROR(LOOKUP(2,1/((B_Drainage!$A$5:$A$204&lt;&gt;"")*(B_Drainage!$A$5:$A$204&lt;=$B32)*(B_Drainage!$B$5:$B$204&gt;$B32)*(B_Drainage!$E$5:$E$204&lt;&gt;"")),IF(B_Drainage!$E$5:$E$204="-","",1)),"")</f>
        <v/>
      </c>
      <c r="U32" s="181" t="str">
        <f>IFERROR(LOOKUP(2,1/((B_Drainage!$A$5:$A$204&lt;&gt;"")*(B_Drainage!$A$5:$A$204&lt;=$B32)*(B_Drainage!$B$5:$B$204&gt;$B32)*(B_Drainage!$E$5:$E$204&lt;&gt;"")),IF(B_Drainage!$E$5:$E$204="-","",B_Drainage!$E$5:$E$204)),"")</f>
        <v/>
      </c>
      <c r="V32" s="181" t="str">
        <f>IFERROR(LOOKUP(2,1/((B_Drainage!$A$5:$A$204&lt;&gt;"")*(B_Drainage!$A$5:$A$204&lt;=$B32)*(B_Drainage!$B$5:$B$204&gt;$B32)*(B_Drainage!$F$5:$F$204&lt;&gt;"")),IF(B_Drainage!$F$5:$F$204="-","",1)),"")</f>
        <v/>
      </c>
      <c r="W32" s="181" t="str">
        <f>IFERROR(LOOKUP(2,1/((B_Drainage!$A$5:$A$204&lt;&gt;"")*(B_Drainage!$A$5:$A$204&lt;=$B32)*(B_Drainage!$B$5:$B$204&gt;$B32)*(B_Drainage!$F$5:$F$204&lt;&gt;"")),IF(B_Drainage!$F$5:$F$204="-","",B_Drainage!$F$5:$F$204)),"")</f>
        <v/>
      </c>
      <c r="X32" s="181" t="str">
        <f>IFERROR(LOOKUP(2,1/((B_Drainage!$A$5:$A$204&lt;&gt;"")*(B_Drainage!$A$5:$A$204&lt;=$B32)*(B_Drainage!$B$5:$B$204&gt;$B32)*(B_Drainage!$G$5:$G$204&lt;&gt;"")),IF(UPPER(B_Drainage!$G$5:$G$204)="Y",1,"")),"")</f>
        <v/>
      </c>
      <c r="Y32" s="181" t="str">
        <f>IFERROR(LOOKUP(2,1/((B_Drainage!$A$5:$A$204&lt;&gt;"")*(B_Drainage!$A$5:$A$204&lt;=$B32)*(B_Drainage!$B$5:$B$204&gt;$B32)*(B_Drainage!$H$5:$H$204&lt;&gt;"")),IF(UPPER(B_Drainage!$H$5:$H$204)="Y",1,"")),"")</f>
        <v/>
      </c>
      <c r="Z32" s="181" t="str">
        <f>IFERROR(LOOKUP(2,1/((B_Drainage!$A$5:$A$204&lt;&gt;"")*(B_Drainage!$A$5:$A$204&lt;=$B32)*(B_Drainage!$B$5:$B$204&gt;$B32)*(B_Drainage!$I$5:$I$204&lt;&gt;"")),IF(UPPER(B_Drainage!$I$5:$I$204)="Y",1,"")),"")</f>
        <v/>
      </c>
      <c r="AA32" s="181" t="str">
        <f>IFERROR(LOOKUP(2,1/((B_Drainage!$A$5:$A$204&lt;&gt;"")*(B_Drainage!$A$5:$A$204&lt;=$B32)*(B_Drainage!$B$5:$B$204&gt;$B32)*(B_Drainage!$J$5:$J$204&lt;&gt;"")),IF(UPPER(B_Drainage!$J$5:$J$204)="Y",1,"")),"")</f>
        <v/>
      </c>
      <c r="AB32" s="181" t="str">
        <f>IFERROR(LOOKUP(2,1/((B_Drainage!$A$5:$A$204&lt;&gt;"")*(B_Drainage!$A$5:$A$204&lt;=$B32)*(B_Drainage!$B$5:$B$204&gt;$B32)*(B_Drainage!$K$5:$K$204&lt;&gt;"")),IF(B_Drainage!$K$5:$K$204="-","",B_Drainage!$K$5:$K$204)),"")</f>
        <v/>
      </c>
      <c r="AC32" s="181" t="str">
        <f>IFERROR(LOOKUP(2,1/((B_Drainage!$A$5:$A$204&lt;&gt;"")*(B_Drainage!$A$5:$A$204&lt;=$B32)*(B_Drainage!$B$5:$B$204&gt;$B32)*(B_Drainage!$L$5:$L$204&lt;&gt;"")),IF(B_Drainage!$L$5:$L$204="-","",B_Drainage!$L$5:$L$204)),"")</f>
        <v/>
      </c>
      <c r="AD32" s="182" t="str">
        <f>IFERROR(LOOKUP(2,1/((D_Points!$A$5:$A$204&lt;&gt;"")*(D_Points!$A$5:$A$204&gt;=$B32)*(D_Points!$A$5:$A$204&lt;$B32+P_Interval)*(UPPER(TRIM(D_Points!$B$5:$B$204))="TURNOUT_L")*(D_Points!$H$5:$H$204&lt;&gt;"")),D_Points!$H$5:$H$204),"")</f>
        <v/>
      </c>
      <c r="AE32" s="182" t="str">
        <f>IFERROR(LOOKUP(2,1/((D_Points!$A$5:$A$204&lt;&gt;"")*(D_Points!$A$5:$A$204&gt;=$B32)*(D_Points!$A$5:$A$204&lt;$B32+P_Interval)*(UPPER(TRIM(D_Points!$B$5:$B$204))="TURNOUT_R")*(D_Points!$H$5:$H$204&lt;&gt;"")),D_Points!$H$5:$H$204),"")</f>
        <v/>
      </c>
      <c r="AF32" s="181" t="str">
        <f>IFERROR(LOOKUP(2,1/((B_Drainage!$A$5:$A$204&lt;&gt;"")*(B_Drainage!$A$5:$A$204&lt;=$B32)*(B_Drainage!$B$5:$B$204&gt;$B32)*(B_Drainage!$M$5:$M$204&lt;&gt;"")),IF(UPPER(B_Drainage!$M$5:$M$204)="Y",1,"")),"")</f>
        <v/>
      </c>
      <c r="AG32" s="181" t="str">
        <f>IFERROR(LOOKUP(2,1/((B_Drainage!$A$5:$A$204&lt;&gt;"")*(B_Drainage!$A$5:$A$204&lt;=$B32)*(B_Drainage!$B$5:$B$204&gt;$B32)*(B_Drainage!$N$5:$N$204&lt;&gt;"")),IF(UPPER(B_Drainage!$N$5:$N$204)="Y",1,"")),"")</f>
        <v/>
      </c>
      <c r="AH32" s="181" t="str">
        <f t="shared" si="0"/>
        <v/>
      </c>
      <c r="AI32" s="181" t="str">
        <f t="shared" si="1"/>
        <v/>
      </c>
      <c r="AJ32" s="181" t="str">
        <f t="shared" si="2"/>
        <v/>
      </c>
      <c r="AK32" s="181" t="str">
        <f t="shared" si="3"/>
        <v/>
      </c>
      <c r="AL32" s="181" t="str">
        <f t="shared" si="4"/>
        <v/>
      </c>
      <c r="AM32" s="181" t="str">
        <f t="shared" si="5"/>
        <v/>
      </c>
      <c r="AN32" s="181" t="str">
        <f t="shared" si="6"/>
        <v/>
      </c>
      <c r="AO32" s="192" t="str">
        <f t="shared" si="7"/>
        <v/>
      </c>
      <c r="AQ32" t="str">
        <f>IFERROR(LOOKUP(2,1/((C_Pavement!$A$5:$A$204&lt;&gt;"")*(C_Pavement!$A$5:$A$204&lt;=$B32)*(C_Pavement!$B$5:$B$204&gt;$B32)*(C_Pavement!$C$5:$C$204&lt;&gt;"")),ROW(C_Pavement!$C$5:$C$204)-4),"")</f>
        <v/>
      </c>
      <c r="AR32" t="str">
        <f>IF($AQ32="","",UPPER(TRIM(INDEX(C_Pavement!$C$5:$C$204,$AQ32))))</f>
        <v/>
      </c>
      <c r="AS32" t="str">
        <f>IF($AR32="","",IFERROR(MATCH($AR32,E_Rules!$A$5:$A$9,0),""))</f>
        <v/>
      </c>
      <c r="AT32" t="str">
        <f>IF($AQ32="","",IF(INDEX(C_Pavement!$D$5:$D$204,$AQ32)&lt;&gt;"",UPPER(TRIM(INDEX(C_Pavement!$D$5:$D$204,$AQ32))),IF($AS32="","",INDEX(E_Rules!$C$5:$C$9,$AS32))))</f>
        <v/>
      </c>
      <c r="AU32" t="str">
        <f>IF($AQ32="","",IF(INDEX(C_Pavement!$E$5:$E$204,$AQ32)&lt;&gt;"",IF(INDEX(C_Pavement!$E$5:$E$204,$AQ32)="-","",INDEX(C_Pavement!$E$5:$E$204,$AQ32)),IF($AS32="","",INDEX(E_Rules!$D$5:$D$9,$AS32))))</f>
        <v/>
      </c>
      <c r="AV32" t="str">
        <f>IF($AQ32="","",IF(INDEX(C_Pavement!$F$5:$F$204,$AQ32)&lt;&gt;"",IF(INDEX(C_Pavement!$F$5:$F$204,$AQ32)="-","",INDEX(C_Pavement!$F$5:$F$204,$AQ32)),IF($AS32="","",INDEX(E_Rules!$E$5:$E$9,$AS32))))</f>
        <v/>
      </c>
      <c r="AW32" t="str">
        <f>IF($AQ32="","",IF(INDEX(C_Pavement!$G$5:$G$204,$AQ32)&lt;&gt;"",IF(INDEX(C_Pavement!$G$5:$G$204,$AQ32)="-","",INDEX(C_Pavement!$G$5:$G$204,$AQ32)),IF($AS32="","",INDEX(E_Rules!$F$5:$F$9,$AS32))))</f>
        <v/>
      </c>
      <c r="AX32" t="str">
        <f>IF($AQ32="","",IF(INDEX(C_Pavement!$H$5:$H$204,$AQ32)&lt;&gt;"",IF(INDEX(C_Pavement!$H$5:$H$204,$AQ32)="-","",INDEX(C_Pavement!$H$5:$H$204,$AQ32)),IF($AS32="","",INDEX(E_Rules!$G$5:$G$9,$AS32))))</f>
        <v/>
      </c>
      <c r="AY32" t="str">
        <f>IF($AQ32="","",IF(INDEX(C_Pavement!$I$5:$I$204,$AQ32)&lt;&gt;"",IF(INDEX(C_Pavement!$I$5:$I$204,$AQ32)="-","",INDEX(C_Pavement!$I$5:$I$204,$AQ32)),IF($AS32="","",INDEX(E_Rules!$H$5:$H$9,$AS32))))</f>
        <v/>
      </c>
    </row>
    <row r="33" spans="1:51" ht="15.75" customHeight="1" x14ac:dyDescent="0.3">
      <c r="A33" s="189">
        <v>28</v>
      </c>
      <c r="B33" s="180">
        <v>1350</v>
      </c>
      <c r="C33" s="180" t="s">
        <v>339</v>
      </c>
      <c r="D33" s="181" t="str">
        <f>IFERROR(LOOKUP(2,1/((A_Corridor!$A$5:$A$204&lt;&gt;"")*(A_Corridor!$A$5:$A$204&lt;=$B33)*(A_Corridor!$B$5:$B$204&gt;$B33)*(A_Corridor!$C$5:$C$204&lt;&gt;"")),IF(UPPER(A_Corridor!$C$5:$C$204)="Y",1,"")),"")</f>
        <v/>
      </c>
      <c r="E33" s="181" t="str">
        <f>IFERROR(LOOKUP(2,1/((A_Corridor!$A$5:$A$204&lt;&gt;"")*(A_Corridor!$A$5:$A$204&lt;=$B33)*(A_Corridor!$B$5:$B$204&gt;$B33)*(A_Corridor!$D$5:$D$204&lt;&gt;"")),IF(A_Corridor!$D$5:$D$204="-","",UPPER(A_Corridor!$D$5:$D$204))),"")</f>
        <v/>
      </c>
      <c r="F33" s="181" t="str">
        <f>IFERROR(LOOKUP(2,1/((A_Corridor!$A$5:$A$204&lt;&gt;"")*(A_Corridor!$A$5:$A$204&lt;=$B33)*(A_Corridor!$B$5:$B$204&gt;$B33)*(A_Corridor!$E$5:$E$204&lt;&gt;"")),IF(A_Corridor!$E$5:$E$204="-","",1)),"")</f>
        <v/>
      </c>
      <c r="G33" s="182" t="str">
        <f>IFERROR(LOOKUP(2,1/((A_Corridor!$A$5:$A$204&lt;&gt;"")*(A_Corridor!$A$5:$A$204&lt;=$B33)*(A_Corridor!$B$5:$B$204&gt;$B33)*(A_Corridor!$E$5:$E$204&lt;&gt;"")),IF(A_Corridor!$E$5:$E$204="-","",A_Corridor!$E$5:$E$204)),"")</f>
        <v/>
      </c>
      <c r="H33" s="182" t="str">
        <f>IFERROR(LOOKUP(2,1/((D_Points!$A$5:$A$204&lt;&gt;"")*(D_Points!$A$5:$A$204&gt;=$B33)*(D_Points!$A$5:$A$204&lt;$B33+P_Interval)*(UPPER(TRIM(D_Points!$B$5:$B$204))="GULLY")*(D_Points!$H$5:$H$204&lt;&gt;"")),D_Points!$H$5:$H$204),"")</f>
        <v/>
      </c>
      <c r="I33" s="181" t="str">
        <f>IFERROR(LOOKUP(2,1/((A_Corridor!$A$5:$A$204&lt;&gt;"")*(A_Corridor!$A$5:$A$204&lt;=$B33)*(A_Corridor!$B$5:$B$204&gt;$B33)*(A_Corridor!$F$5:$F$204&lt;&gt;"")),IF(A_Corridor!$F$5:$F$204="-","",1)),"")</f>
        <v/>
      </c>
      <c r="J33" s="182" t="str">
        <f>IFERROR(LOOKUP(2,1/((A_Corridor!$A$5:$A$204&lt;&gt;"")*(A_Corridor!$A$5:$A$204&lt;=$B33)*(A_Corridor!$B$5:$B$204&gt;$B33)*(A_Corridor!$F$5:$F$204&lt;&gt;"")),IF(A_Corridor!$F$5:$F$204="-","",A_Corridor!$F$5:$F$204)),"")</f>
        <v/>
      </c>
      <c r="K33" s="182" t="str">
        <f>IFERROR(LOOKUP(2,1/((A_Corridor!$A$5:$A$204&lt;&gt;"")*(A_Corridor!$A$5:$A$204&lt;=$B33)*(A_Corridor!$B$5:$B$204&gt;$B33)*(A_Corridor!$G$5:$G$204&lt;&gt;"")),IF(A_Corridor!$G$5:$G$204="-","",A_Corridor!$G$5:$G$204)),"")</f>
        <v/>
      </c>
      <c r="L33" s="181" t="str">
        <f>IFERROR(LOOKUP(2,1/((A_Corridor!$A$5:$A$204&lt;&gt;"")*(A_Corridor!$A$5:$A$204&lt;=$B33)*(A_Corridor!$B$5:$B$204&gt;$B33)*(A_Corridor!$H$5:$H$204&lt;&gt;"")),IF(A_Corridor!$H$5:$H$204="-","",1)),"")</f>
        <v/>
      </c>
      <c r="M33" s="182" t="str">
        <f>IFERROR(LOOKUP(2,1/((A_Corridor!$A$5:$A$204&lt;&gt;"")*(A_Corridor!$A$5:$A$204&lt;=$B33)*(A_Corridor!$B$5:$B$204&gt;$B33)*(A_Corridor!$H$5:$H$204&lt;&gt;"")),IF(A_Corridor!$H$5:$H$204="-","",A_Corridor!$H$5:$H$204)),"")</f>
        <v/>
      </c>
      <c r="N33" s="182" t="str">
        <f>IFERROR(LOOKUP(2,1/((A_Corridor!$A$5:$A$204&lt;&gt;"")*(A_Corridor!$A$5:$A$204&lt;=$B33)*(A_Corridor!$B$5:$B$204&gt;$B33)*(A_Corridor!$I$5:$I$204&lt;&gt;"")),IF(A_Corridor!$I$5:$I$204="-","",A_Corridor!$I$5:$I$204)),"")</f>
        <v/>
      </c>
      <c r="O33" s="182" t="str">
        <f>IFERROR(LOOKUP(2,1/((D_Points!$A$5:$A$204&lt;&gt;"")*(D_Points!$A$5:$A$204&gt;=$B33)*(D_Points!$A$5:$A$204&lt;$B33+P_Interval)*(UPPER(TRIM(D_Points!$B$5:$B$204))="PITCHING")*(D_Points!$H$5:$H$204&lt;&gt;"")),D_Points!$H$5:$H$204),"")</f>
        <v/>
      </c>
      <c r="P33" s="181" t="str">
        <f>IFERROR(LOOKUP(2,1/((B_Drainage!$A$5:$A$204&lt;&gt;"")*(B_Drainage!$A$5:$A$204&lt;=$B33)*(B_Drainage!$B$5:$B$204&gt;$B33)*(B_Drainage!$C$5:$C$204&lt;&gt;"")),IF(B_Drainage!$C$5:$C$204="-","",UPPER(B_Drainage!$C$5:$C$204))),"")</f>
        <v/>
      </c>
      <c r="Q33" s="181" t="str">
        <f>IFERROR(LOOKUP(2,1/((B_Drainage!$A$5:$A$204&lt;&gt;"")*(B_Drainage!$A$5:$A$204&lt;=$B33)*(B_Drainage!$B$5:$B$204&gt;$B33)*(B_Drainage!$D$5:$D$204&lt;&gt;"")),IF(B_Drainage!$D$5:$D$204="-","",UPPER(B_Drainage!$D$5:$D$204))),"")</f>
        <v/>
      </c>
      <c r="R33" s="182" t="str">
        <f>IFERROR(LOOKUP(2,1/((D_Points!$A$5:$A$204&lt;&gt;"")*(D_Points!$A$5:$A$204&gt;=$B33)*(D_Points!$A$5:$A$204&lt;$B33+P_Interval)*(RIGHT(UPPER(TRIM(D_Points!$B$5:$B$204)),8)="_CULVERT")),IF(LEFT(UPPER(TRIM(D_Points!$B$5:$B$204)),2)="EX",1,IF(LEFT(UPPER(TRIM(D_Points!$B$5:$B$204)),2)="PR",2,3))),"")</f>
        <v/>
      </c>
      <c r="S33" s="182" t="str">
        <f>IFERROR(LOOKUP(2,1/((D_Points!$A$5:$A$204&lt;&gt;"")*(D_Points!$A$5:$A$204&gt;=$B33)*(D_Points!$A$5:$A$204&lt;$B33+P_Interval)*(RIGHT(UPPER(TRIM(D_Points!$B$5:$B$204)),7)="_BRIDGE")),IF(LEFT(UPPER(TRIM(D_Points!$B$5:$B$204)),2)="EX",1,IF(LEFT(UPPER(TRIM(D_Points!$B$5:$B$204)),2)="PR",2,2))),"")</f>
        <v/>
      </c>
      <c r="T33" s="181" t="str">
        <f>IFERROR(LOOKUP(2,1/((B_Drainage!$A$5:$A$204&lt;&gt;"")*(B_Drainage!$A$5:$A$204&lt;=$B33)*(B_Drainage!$B$5:$B$204&gt;$B33)*(B_Drainage!$E$5:$E$204&lt;&gt;"")),IF(B_Drainage!$E$5:$E$204="-","",1)),"")</f>
        <v/>
      </c>
      <c r="U33" s="181" t="str">
        <f>IFERROR(LOOKUP(2,1/((B_Drainage!$A$5:$A$204&lt;&gt;"")*(B_Drainage!$A$5:$A$204&lt;=$B33)*(B_Drainage!$B$5:$B$204&gt;$B33)*(B_Drainage!$E$5:$E$204&lt;&gt;"")),IF(B_Drainage!$E$5:$E$204="-","",B_Drainage!$E$5:$E$204)),"")</f>
        <v/>
      </c>
      <c r="V33" s="181" t="str">
        <f>IFERROR(LOOKUP(2,1/((B_Drainage!$A$5:$A$204&lt;&gt;"")*(B_Drainage!$A$5:$A$204&lt;=$B33)*(B_Drainage!$B$5:$B$204&gt;$B33)*(B_Drainage!$F$5:$F$204&lt;&gt;"")),IF(B_Drainage!$F$5:$F$204="-","",1)),"")</f>
        <v/>
      </c>
      <c r="W33" s="181" t="str">
        <f>IFERROR(LOOKUP(2,1/((B_Drainage!$A$5:$A$204&lt;&gt;"")*(B_Drainage!$A$5:$A$204&lt;=$B33)*(B_Drainage!$B$5:$B$204&gt;$B33)*(B_Drainage!$F$5:$F$204&lt;&gt;"")),IF(B_Drainage!$F$5:$F$204="-","",B_Drainage!$F$5:$F$204)),"")</f>
        <v/>
      </c>
      <c r="X33" s="181" t="str">
        <f>IFERROR(LOOKUP(2,1/((B_Drainage!$A$5:$A$204&lt;&gt;"")*(B_Drainage!$A$5:$A$204&lt;=$B33)*(B_Drainage!$B$5:$B$204&gt;$B33)*(B_Drainage!$G$5:$G$204&lt;&gt;"")),IF(UPPER(B_Drainage!$G$5:$G$204)="Y",1,"")),"")</f>
        <v/>
      </c>
      <c r="Y33" s="181" t="str">
        <f>IFERROR(LOOKUP(2,1/((B_Drainage!$A$5:$A$204&lt;&gt;"")*(B_Drainage!$A$5:$A$204&lt;=$B33)*(B_Drainage!$B$5:$B$204&gt;$B33)*(B_Drainage!$H$5:$H$204&lt;&gt;"")),IF(UPPER(B_Drainage!$H$5:$H$204)="Y",1,"")),"")</f>
        <v/>
      </c>
      <c r="Z33" s="181" t="str">
        <f>IFERROR(LOOKUP(2,1/((B_Drainage!$A$5:$A$204&lt;&gt;"")*(B_Drainage!$A$5:$A$204&lt;=$B33)*(B_Drainage!$B$5:$B$204&gt;$B33)*(B_Drainage!$I$5:$I$204&lt;&gt;"")),IF(UPPER(B_Drainage!$I$5:$I$204)="Y",1,"")),"")</f>
        <v/>
      </c>
      <c r="AA33" s="181" t="str">
        <f>IFERROR(LOOKUP(2,1/((B_Drainage!$A$5:$A$204&lt;&gt;"")*(B_Drainage!$A$5:$A$204&lt;=$B33)*(B_Drainage!$B$5:$B$204&gt;$B33)*(B_Drainage!$J$5:$J$204&lt;&gt;"")),IF(UPPER(B_Drainage!$J$5:$J$204)="Y",1,"")),"")</f>
        <v/>
      </c>
      <c r="AB33" s="181" t="str">
        <f>IFERROR(LOOKUP(2,1/((B_Drainage!$A$5:$A$204&lt;&gt;"")*(B_Drainage!$A$5:$A$204&lt;=$B33)*(B_Drainage!$B$5:$B$204&gt;$B33)*(B_Drainage!$K$5:$K$204&lt;&gt;"")),IF(B_Drainage!$K$5:$K$204="-","",B_Drainage!$K$5:$K$204)),"")</f>
        <v/>
      </c>
      <c r="AC33" s="181" t="str">
        <f>IFERROR(LOOKUP(2,1/((B_Drainage!$A$5:$A$204&lt;&gt;"")*(B_Drainage!$A$5:$A$204&lt;=$B33)*(B_Drainage!$B$5:$B$204&gt;$B33)*(B_Drainage!$L$5:$L$204&lt;&gt;"")),IF(B_Drainage!$L$5:$L$204="-","",B_Drainage!$L$5:$L$204)),"")</f>
        <v/>
      </c>
      <c r="AD33" s="182" t="str">
        <f>IFERROR(LOOKUP(2,1/((D_Points!$A$5:$A$204&lt;&gt;"")*(D_Points!$A$5:$A$204&gt;=$B33)*(D_Points!$A$5:$A$204&lt;$B33+P_Interval)*(UPPER(TRIM(D_Points!$B$5:$B$204))="TURNOUT_L")*(D_Points!$H$5:$H$204&lt;&gt;"")),D_Points!$H$5:$H$204),"")</f>
        <v/>
      </c>
      <c r="AE33" s="182" t="str">
        <f>IFERROR(LOOKUP(2,1/((D_Points!$A$5:$A$204&lt;&gt;"")*(D_Points!$A$5:$A$204&gt;=$B33)*(D_Points!$A$5:$A$204&lt;$B33+P_Interval)*(UPPER(TRIM(D_Points!$B$5:$B$204))="TURNOUT_R")*(D_Points!$H$5:$H$204&lt;&gt;"")),D_Points!$H$5:$H$204),"")</f>
        <v/>
      </c>
      <c r="AF33" s="181" t="str">
        <f>IFERROR(LOOKUP(2,1/((B_Drainage!$A$5:$A$204&lt;&gt;"")*(B_Drainage!$A$5:$A$204&lt;=$B33)*(B_Drainage!$B$5:$B$204&gt;$B33)*(B_Drainage!$M$5:$M$204&lt;&gt;"")),IF(UPPER(B_Drainage!$M$5:$M$204)="Y",1,"")),"")</f>
        <v/>
      </c>
      <c r="AG33" s="181" t="str">
        <f>IFERROR(LOOKUP(2,1/((B_Drainage!$A$5:$A$204&lt;&gt;"")*(B_Drainage!$A$5:$A$204&lt;=$B33)*(B_Drainage!$B$5:$B$204&gt;$B33)*(B_Drainage!$N$5:$N$204&lt;&gt;"")),IF(UPPER(B_Drainage!$N$5:$N$204)="Y",1,"")),"")</f>
        <v/>
      </c>
      <c r="AH33" s="181" t="str">
        <f t="shared" si="0"/>
        <v/>
      </c>
      <c r="AI33" s="181" t="str">
        <f t="shared" si="1"/>
        <v/>
      </c>
      <c r="AJ33" s="181" t="str">
        <f t="shared" si="2"/>
        <v/>
      </c>
      <c r="AK33" s="181" t="str">
        <f t="shared" si="3"/>
        <v/>
      </c>
      <c r="AL33" s="181" t="str">
        <f t="shared" si="4"/>
        <v/>
      </c>
      <c r="AM33" s="181" t="str">
        <f t="shared" si="5"/>
        <v/>
      </c>
      <c r="AN33" s="181" t="str">
        <f t="shared" si="6"/>
        <v/>
      </c>
      <c r="AO33" s="192" t="str">
        <f t="shared" si="7"/>
        <v/>
      </c>
      <c r="AQ33" t="str">
        <f>IFERROR(LOOKUP(2,1/((C_Pavement!$A$5:$A$204&lt;&gt;"")*(C_Pavement!$A$5:$A$204&lt;=$B33)*(C_Pavement!$B$5:$B$204&gt;$B33)*(C_Pavement!$C$5:$C$204&lt;&gt;"")),ROW(C_Pavement!$C$5:$C$204)-4),"")</f>
        <v/>
      </c>
      <c r="AR33" t="str">
        <f>IF($AQ33="","",UPPER(TRIM(INDEX(C_Pavement!$C$5:$C$204,$AQ33))))</f>
        <v/>
      </c>
      <c r="AS33" t="str">
        <f>IF($AR33="","",IFERROR(MATCH($AR33,E_Rules!$A$5:$A$9,0),""))</f>
        <v/>
      </c>
      <c r="AT33" t="str">
        <f>IF($AQ33="","",IF(INDEX(C_Pavement!$D$5:$D$204,$AQ33)&lt;&gt;"",UPPER(TRIM(INDEX(C_Pavement!$D$5:$D$204,$AQ33))),IF($AS33="","",INDEX(E_Rules!$C$5:$C$9,$AS33))))</f>
        <v/>
      </c>
      <c r="AU33" t="str">
        <f>IF($AQ33="","",IF(INDEX(C_Pavement!$E$5:$E$204,$AQ33)&lt;&gt;"",IF(INDEX(C_Pavement!$E$5:$E$204,$AQ33)="-","",INDEX(C_Pavement!$E$5:$E$204,$AQ33)),IF($AS33="","",INDEX(E_Rules!$D$5:$D$9,$AS33))))</f>
        <v/>
      </c>
      <c r="AV33" t="str">
        <f>IF($AQ33="","",IF(INDEX(C_Pavement!$F$5:$F$204,$AQ33)&lt;&gt;"",IF(INDEX(C_Pavement!$F$5:$F$204,$AQ33)="-","",INDEX(C_Pavement!$F$5:$F$204,$AQ33)),IF($AS33="","",INDEX(E_Rules!$E$5:$E$9,$AS33))))</f>
        <v/>
      </c>
      <c r="AW33" t="str">
        <f>IF($AQ33="","",IF(INDEX(C_Pavement!$G$5:$G$204,$AQ33)&lt;&gt;"",IF(INDEX(C_Pavement!$G$5:$G$204,$AQ33)="-","",INDEX(C_Pavement!$G$5:$G$204,$AQ33)),IF($AS33="","",INDEX(E_Rules!$F$5:$F$9,$AS33))))</f>
        <v/>
      </c>
      <c r="AX33" t="str">
        <f>IF($AQ33="","",IF(INDEX(C_Pavement!$H$5:$H$204,$AQ33)&lt;&gt;"",IF(INDEX(C_Pavement!$H$5:$H$204,$AQ33)="-","",INDEX(C_Pavement!$H$5:$H$204,$AQ33)),IF($AS33="","",INDEX(E_Rules!$G$5:$G$9,$AS33))))</f>
        <v/>
      </c>
      <c r="AY33" t="str">
        <f>IF($AQ33="","",IF(INDEX(C_Pavement!$I$5:$I$204,$AQ33)&lt;&gt;"",IF(INDEX(C_Pavement!$I$5:$I$204,$AQ33)="-","",INDEX(C_Pavement!$I$5:$I$204,$AQ33)),IF($AS33="","",INDEX(E_Rules!$H$5:$H$9,$AS33))))</f>
        <v/>
      </c>
    </row>
    <row r="34" spans="1:51" ht="15.75" customHeight="1" x14ac:dyDescent="0.3">
      <c r="A34" s="189">
        <v>29</v>
      </c>
      <c r="B34" s="180">
        <v>1400</v>
      </c>
      <c r="C34" s="180" t="s">
        <v>340</v>
      </c>
      <c r="D34" s="181" t="str">
        <f>IFERROR(LOOKUP(2,1/((A_Corridor!$A$5:$A$204&lt;&gt;"")*(A_Corridor!$A$5:$A$204&lt;=$B34)*(A_Corridor!$B$5:$B$204&gt;$B34)*(A_Corridor!$C$5:$C$204&lt;&gt;"")),IF(UPPER(A_Corridor!$C$5:$C$204)="Y",1,"")),"")</f>
        <v/>
      </c>
      <c r="E34" s="181" t="str">
        <f>IFERROR(LOOKUP(2,1/((A_Corridor!$A$5:$A$204&lt;&gt;"")*(A_Corridor!$A$5:$A$204&lt;=$B34)*(A_Corridor!$B$5:$B$204&gt;$B34)*(A_Corridor!$D$5:$D$204&lt;&gt;"")),IF(A_Corridor!$D$5:$D$204="-","",UPPER(A_Corridor!$D$5:$D$204))),"")</f>
        <v/>
      </c>
      <c r="F34" s="181" t="str">
        <f>IFERROR(LOOKUP(2,1/((A_Corridor!$A$5:$A$204&lt;&gt;"")*(A_Corridor!$A$5:$A$204&lt;=$B34)*(A_Corridor!$B$5:$B$204&gt;$B34)*(A_Corridor!$E$5:$E$204&lt;&gt;"")),IF(A_Corridor!$E$5:$E$204="-","",1)),"")</f>
        <v/>
      </c>
      <c r="G34" s="182" t="str">
        <f>IFERROR(LOOKUP(2,1/((A_Corridor!$A$5:$A$204&lt;&gt;"")*(A_Corridor!$A$5:$A$204&lt;=$B34)*(A_Corridor!$B$5:$B$204&gt;$B34)*(A_Corridor!$E$5:$E$204&lt;&gt;"")),IF(A_Corridor!$E$5:$E$204="-","",A_Corridor!$E$5:$E$204)),"")</f>
        <v/>
      </c>
      <c r="H34" s="182" t="str">
        <f>IFERROR(LOOKUP(2,1/((D_Points!$A$5:$A$204&lt;&gt;"")*(D_Points!$A$5:$A$204&gt;=$B34)*(D_Points!$A$5:$A$204&lt;$B34+P_Interval)*(UPPER(TRIM(D_Points!$B$5:$B$204))="GULLY")*(D_Points!$H$5:$H$204&lt;&gt;"")),D_Points!$H$5:$H$204),"")</f>
        <v/>
      </c>
      <c r="I34" s="181" t="str">
        <f>IFERROR(LOOKUP(2,1/((A_Corridor!$A$5:$A$204&lt;&gt;"")*(A_Corridor!$A$5:$A$204&lt;=$B34)*(A_Corridor!$B$5:$B$204&gt;$B34)*(A_Corridor!$F$5:$F$204&lt;&gt;"")),IF(A_Corridor!$F$5:$F$204="-","",1)),"")</f>
        <v/>
      </c>
      <c r="J34" s="182" t="str">
        <f>IFERROR(LOOKUP(2,1/((A_Corridor!$A$5:$A$204&lt;&gt;"")*(A_Corridor!$A$5:$A$204&lt;=$B34)*(A_Corridor!$B$5:$B$204&gt;$B34)*(A_Corridor!$F$5:$F$204&lt;&gt;"")),IF(A_Corridor!$F$5:$F$204="-","",A_Corridor!$F$5:$F$204)),"")</f>
        <v/>
      </c>
      <c r="K34" s="182" t="str">
        <f>IFERROR(LOOKUP(2,1/((A_Corridor!$A$5:$A$204&lt;&gt;"")*(A_Corridor!$A$5:$A$204&lt;=$B34)*(A_Corridor!$B$5:$B$204&gt;$B34)*(A_Corridor!$G$5:$G$204&lt;&gt;"")),IF(A_Corridor!$G$5:$G$204="-","",A_Corridor!$G$5:$G$204)),"")</f>
        <v/>
      </c>
      <c r="L34" s="181" t="str">
        <f>IFERROR(LOOKUP(2,1/((A_Corridor!$A$5:$A$204&lt;&gt;"")*(A_Corridor!$A$5:$A$204&lt;=$B34)*(A_Corridor!$B$5:$B$204&gt;$B34)*(A_Corridor!$H$5:$H$204&lt;&gt;"")),IF(A_Corridor!$H$5:$H$204="-","",1)),"")</f>
        <v/>
      </c>
      <c r="M34" s="182" t="str">
        <f>IFERROR(LOOKUP(2,1/((A_Corridor!$A$5:$A$204&lt;&gt;"")*(A_Corridor!$A$5:$A$204&lt;=$B34)*(A_Corridor!$B$5:$B$204&gt;$B34)*(A_Corridor!$H$5:$H$204&lt;&gt;"")),IF(A_Corridor!$H$5:$H$204="-","",A_Corridor!$H$5:$H$204)),"")</f>
        <v/>
      </c>
      <c r="N34" s="182" t="str">
        <f>IFERROR(LOOKUP(2,1/((A_Corridor!$A$5:$A$204&lt;&gt;"")*(A_Corridor!$A$5:$A$204&lt;=$B34)*(A_Corridor!$B$5:$B$204&gt;$B34)*(A_Corridor!$I$5:$I$204&lt;&gt;"")),IF(A_Corridor!$I$5:$I$204="-","",A_Corridor!$I$5:$I$204)),"")</f>
        <v/>
      </c>
      <c r="O34" s="182" t="str">
        <f>IFERROR(LOOKUP(2,1/((D_Points!$A$5:$A$204&lt;&gt;"")*(D_Points!$A$5:$A$204&gt;=$B34)*(D_Points!$A$5:$A$204&lt;$B34+P_Interval)*(UPPER(TRIM(D_Points!$B$5:$B$204))="PITCHING")*(D_Points!$H$5:$H$204&lt;&gt;"")),D_Points!$H$5:$H$204),"")</f>
        <v/>
      </c>
      <c r="P34" s="181" t="str">
        <f>IFERROR(LOOKUP(2,1/((B_Drainage!$A$5:$A$204&lt;&gt;"")*(B_Drainage!$A$5:$A$204&lt;=$B34)*(B_Drainage!$B$5:$B$204&gt;$B34)*(B_Drainage!$C$5:$C$204&lt;&gt;"")),IF(B_Drainage!$C$5:$C$204="-","",UPPER(B_Drainage!$C$5:$C$204))),"")</f>
        <v/>
      </c>
      <c r="Q34" s="181" t="str">
        <f>IFERROR(LOOKUP(2,1/((B_Drainage!$A$5:$A$204&lt;&gt;"")*(B_Drainage!$A$5:$A$204&lt;=$B34)*(B_Drainage!$B$5:$B$204&gt;$B34)*(B_Drainage!$D$5:$D$204&lt;&gt;"")),IF(B_Drainage!$D$5:$D$204="-","",UPPER(B_Drainage!$D$5:$D$204))),"")</f>
        <v/>
      </c>
      <c r="R34" s="182" t="str">
        <f>IFERROR(LOOKUP(2,1/((D_Points!$A$5:$A$204&lt;&gt;"")*(D_Points!$A$5:$A$204&gt;=$B34)*(D_Points!$A$5:$A$204&lt;$B34+P_Interval)*(RIGHT(UPPER(TRIM(D_Points!$B$5:$B$204)),8)="_CULVERT")),IF(LEFT(UPPER(TRIM(D_Points!$B$5:$B$204)),2)="EX",1,IF(LEFT(UPPER(TRIM(D_Points!$B$5:$B$204)),2)="PR",2,3))),"")</f>
        <v/>
      </c>
      <c r="S34" s="182" t="str">
        <f>IFERROR(LOOKUP(2,1/((D_Points!$A$5:$A$204&lt;&gt;"")*(D_Points!$A$5:$A$204&gt;=$B34)*(D_Points!$A$5:$A$204&lt;$B34+P_Interval)*(RIGHT(UPPER(TRIM(D_Points!$B$5:$B$204)),7)="_BRIDGE")),IF(LEFT(UPPER(TRIM(D_Points!$B$5:$B$204)),2)="EX",1,IF(LEFT(UPPER(TRIM(D_Points!$B$5:$B$204)),2)="PR",2,2))),"")</f>
        <v/>
      </c>
      <c r="T34" s="181" t="str">
        <f>IFERROR(LOOKUP(2,1/((B_Drainage!$A$5:$A$204&lt;&gt;"")*(B_Drainage!$A$5:$A$204&lt;=$B34)*(B_Drainage!$B$5:$B$204&gt;$B34)*(B_Drainage!$E$5:$E$204&lt;&gt;"")),IF(B_Drainage!$E$5:$E$204="-","",1)),"")</f>
        <v/>
      </c>
      <c r="U34" s="181" t="str">
        <f>IFERROR(LOOKUP(2,1/((B_Drainage!$A$5:$A$204&lt;&gt;"")*(B_Drainage!$A$5:$A$204&lt;=$B34)*(B_Drainage!$B$5:$B$204&gt;$B34)*(B_Drainage!$E$5:$E$204&lt;&gt;"")),IF(B_Drainage!$E$5:$E$204="-","",B_Drainage!$E$5:$E$204)),"")</f>
        <v/>
      </c>
      <c r="V34" s="181" t="str">
        <f>IFERROR(LOOKUP(2,1/((B_Drainage!$A$5:$A$204&lt;&gt;"")*(B_Drainage!$A$5:$A$204&lt;=$B34)*(B_Drainage!$B$5:$B$204&gt;$B34)*(B_Drainage!$F$5:$F$204&lt;&gt;"")),IF(B_Drainage!$F$5:$F$204="-","",1)),"")</f>
        <v/>
      </c>
      <c r="W34" s="181" t="str">
        <f>IFERROR(LOOKUP(2,1/((B_Drainage!$A$5:$A$204&lt;&gt;"")*(B_Drainage!$A$5:$A$204&lt;=$B34)*(B_Drainage!$B$5:$B$204&gt;$B34)*(B_Drainage!$F$5:$F$204&lt;&gt;"")),IF(B_Drainage!$F$5:$F$204="-","",B_Drainage!$F$5:$F$204)),"")</f>
        <v/>
      </c>
      <c r="X34" s="181" t="str">
        <f>IFERROR(LOOKUP(2,1/((B_Drainage!$A$5:$A$204&lt;&gt;"")*(B_Drainage!$A$5:$A$204&lt;=$B34)*(B_Drainage!$B$5:$B$204&gt;$B34)*(B_Drainage!$G$5:$G$204&lt;&gt;"")),IF(UPPER(B_Drainage!$G$5:$G$204)="Y",1,"")),"")</f>
        <v/>
      </c>
      <c r="Y34" s="181" t="str">
        <f>IFERROR(LOOKUP(2,1/((B_Drainage!$A$5:$A$204&lt;&gt;"")*(B_Drainage!$A$5:$A$204&lt;=$B34)*(B_Drainage!$B$5:$B$204&gt;$B34)*(B_Drainage!$H$5:$H$204&lt;&gt;"")),IF(UPPER(B_Drainage!$H$5:$H$204)="Y",1,"")),"")</f>
        <v/>
      </c>
      <c r="Z34" s="181" t="str">
        <f>IFERROR(LOOKUP(2,1/((B_Drainage!$A$5:$A$204&lt;&gt;"")*(B_Drainage!$A$5:$A$204&lt;=$B34)*(B_Drainage!$B$5:$B$204&gt;$B34)*(B_Drainage!$I$5:$I$204&lt;&gt;"")),IF(UPPER(B_Drainage!$I$5:$I$204)="Y",1,"")),"")</f>
        <v/>
      </c>
      <c r="AA34" s="181" t="str">
        <f>IFERROR(LOOKUP(2,1/((B_Drainage!$A$5:$A$204&lt;&gt;"")*(B_Drainage!$A$5:$A$204&lt;=$B34)*(B_Drainage!$B$5:$B$204&gt;$B34)*(B_Drainage!$J$5:$J$204&lt;&gt;"")),IF(UPPER(B_Drainage!$J$5:$J$204)="Y",1,"")),"")</f>
        <v/>
      </c>
      <c r="AB34" s="181" t="str">
        <f>IFERROR(LOOKUP(2,1/((B_Drainage!$A$5:$A$204&lt;&gt;"")*(B_Drainage!$A$5:$A$204&lt;=$B34)*(B_Drainage!$B$5:$B$204&gt;$B34)*(B_Drainage!$K$5:$K$204&lt;&gt;"")),IF(B_Drainage!$K$5:$K$204="-","",B_Drainage!$K$5:$K$204)),"")</f>
        <v/>
      </c>
      <c r="AC34" s="181" t="str">
        <f>IFERROR(LOOKUP(2,1/((B_Drainage!$A$5:$A$204&lt;&gt;"")*(B_Drainage!$A$5:$A$204&lt;=$B34)*(B_Drainage!$B$5:$B$204&gt;$B34)*(B_Drainage!$L$5:$L$204&lt;&gt;"")),IF(B_Drainage!$L$5:$L$204="-","",B_Drainage!$L$5:$L$204)),"")</f>
        <v/>
      </c>
      <c r="AD34" s="182" t="str">
        <f>IFERROR(LOOKUP(2,1/((D_Points!$A$5:$A$204&lt;&gt;"")*(D_Points!$A$5:$A$204&gt;=$B34)*(D_Points!$A$5:$A$204&lt;$B34+P_Interval)*(UPPER(TRIM(D_Points!$B$5:$B$204))="TURNOUT_L")*(D_Points!$H$5:$H$204&lt;&gt;"")),D_Points!$H$5:$H$204),"")</f>
        <v/>
      </c>
      <c r="AE34" s="182" t="str">
        <f>IFERROR(LOOKUP(2,1/((D_Points!$A$5:$A$204&lt;&gt;"")*(D_Points!$A$5:$A$204&gt;=$B34)*(D_Points!$A$5:$A$204&lt;$B34+P_Interval)*(UPPER(TRIM(D_Points!$B$5:$B$204))="TURNOUT_R")*(D_Points!$H$5:$H$204&lt;&gt;"")),D_Points!$H$5:$H$204),"")</f>
        <v/>
      </c>
      <c r="AF34" s="181" t="str">
        <f>IFERROR(LOOKUP(2,1/((B_Drainage!$A$5:$A$204&lt;&gt;"")*(B_Drainage!$A$5:$A$204&lt;=$B34)*(B_Drainage!$B$5:$B$204&gt;$B34)*(B_Drainage!$M$5:$M$204&lt;&gt;"")),IF(UPPER(B_Drainage!$M$5:$M$204)="Y",1,"")),"")</f>
        <v/>
      </c>
      <c r="AG34" s="181" t="str">
        <f>IFERROR(LOOKUP(2,1/((B_Drainage!$A$5:$A$204&lt;&gt;"")*(B_Drainage!$A$5:$A$204&lt;=$B34)*(B_Drainage!$B$5:$B$204&gt;$B34)*(B_Drainage!$N$5:$N$204&lt;&gt;"")),IF(UPPER(B_Drainage!$N$5:$N$204)="Y",1,"")),"")</f>
        <v/>
      </c>
      <c r="AH34" s="181" t="str">
        <f t="shared" si="0"/>
        <v/>
      </c>
      <c r="AI34" s="181" t="str">
        <f t="shared" si="1"/>
        <v/>
      </c>
      <c r="AJ34" s="181" t="str">
        <f t="shared" si="2"/>
        <v/>
      </c>
      <c r="AK34" s="181" t="str">
        <f t="shared" si="3"/>
        <v/>
      </c>
      <c r="AL34" s="181" t="str">
        <f t="shared" si="4"/>
        <v/>
      </c>
      <c r="AM34" s="181" t="str">
        <f t="shared" si="5"/>
        <v/>
      </c>
      <c r="AN34" s="181" t="str">
        <f t="shared" si="6"/>
        <v/>
      </c>
      <c r="AO34" s="192" t="str">
        <f t="shared" si="7"/>
        <v/>
      </c>
      <c r="AQ34" t="str">
        <f>IFERROR(LOOKUP(2,1/((C_Pavement!$A$5:$A$204&lt;&gt;"")*(C_Pavement!$A$5:$A$204&lt;=$B34)*(C_Pavement!$B$5:$B$204&gt;$B34)*(C_Pavement!$C$5:$C$204&lt;&gt;"")),ROW(C_Pavement!$C$5:$C$204)-4),"")</f>
        <v/>
      </c>
      <c r="AR34" t="str">
        <f>IF($AQ34="","",UPPER(TRIM(INDEX(C_Pavement!$C$5:$C$204,$AQ34))))</f>
        <v/>
      </c>
      <c r="AS34" t="str">
        <f>IF($AR34="","",IFERROR(MATCH($AR34,E_Rules!$A$5:$A$9,0),""))</f>
        <v/>
      </c>
      <c r="AT34" t="str">
        <f>IF($AQ34="","",IF(INDEX(C_Pavement!$D$5:$D$204,$AQ34)&lt;&gt;"",UPPER(TRIM(INDEX(C_Pavement!$D$5:$D$204,$AQ34))),IF($AS34="","",INDEX(E_Rules!$C$5:$C$9,$AS34))))</f>
        <v/>
      </c>
      <c r="AU34" t="str">
        <f>IF($AQ34="","",IF(INDEX(C_Pavement!$E$5:$E$204,$AQ34)&lt;&gt;"",IF(INDEX(C_Pavement!$E$5:$E$204,$AQ34)="-","",INDEX(C_Pavement!$E$5:$E$204,$AQ34)),IF($AS34="","",INDEX(E_Rules!$D$5:$D$9,$AS34))))</f>
        <v/>
      </c>
      <c r="AV34" t="str">
        <f>IF($AQ34="","",IF(INDEX(C_Pavement!$F$5:$F$204,$AQ34)&lt;&gt;"",IF(INDEX(C_Pavement!$F$5:$F$204,$AQ34)="-","",INDEX(C_Pavement!$F$5:$F$204,$AQ34)),IF($AS34="","",INDEX(E_Rules!$E$5:$E$9,$AS34))))</f>
        <v/>
      </c>
      <c r="AW34" t="str">
        <f>IF($AQ34="","",IF(INDEX(C_Pavement!$G$5:$G$204,$AQ34)&lt;&gt;"",IF(INDEX(C_Pavement!$G$5:$G$204,$AQ34)="-","",INDEX(C_Pavement!$G$5:$G$204,$AQ34)),IF($AS34="","",INDEX(E_Rules!$F$5:$F$9,$AS34))))</f>
        <v/>
      </c>
      <c r="AX34" t="str">
        <f>IF($AQ34="","",IF(INDEX(C_Pavement!$H$5:$H$204,$AQ34)&lt;&gt;"",IF(INDEX(C_Pavement!$H$5:$H$204,$AQ34)="-","",INDEX(C_Pavement!$H$5:$H$204,$AQ34)),IF($AS34="","",INDEX(E_Rules!$G$5:$G$9,$AS34))))</f>
        <v/>
      </c>
      <c r="AY34" t="str">
        <f>IF($AQ34="","",IF(INDEX(C_Pavement!$I$5:$I$204,$AQ34)&lt;&gt;"",IF(INDEX(C_Pavement!$I$5:$I$204,$AQ34)="-","",INDEX(C_Pavement!$I$5:$I$204,$AQ34)),IF($AS34="","",INDEX(E_Rules!$H$5:$H$9,$AS34))))</f>
        <v/>
      </c>
    </row>
    <row r="35" spans="1:51" ht="15.75" customHeight="1" x14ac:dyDescent="0.3">
      <c r="A35" s="189">
        <v>30</v>
      </c>
      <c r="B35" s="180">
        <v>1450</v>
      </c>
      <c r="C35" s="180" t="s">
        <v>341</v>
      </c>
      <c r="D35" s="181" t="str">
        <f>IFERROR(LOOKUP(2,1/((A_Corridor!$A$5:$A$204&lt;&gt;"")*(A_Corridor!$A$5:$A$204&lt;=$B35)*(A_Corridor!$B$5:$B$204&gt;$B35)*(A_Corridor!$C$5:$C$204&lt;&gt;"")),IF(UPPER(A_Corridor!$C$5:$C$204)="Y",1,"")),"")</f>
        <v/>
      </c>
      <c r="E35" s="181" t="str">
        <f>IFERROR(LOOKUP(2,1/((A_Corridor!$A$5:$A$204&lt;&gt;"")*(A_Corridor!$A$5:$A$204&lt;=$B35)*(A_Corridor!$B$5:$B$204&gt;$B35)*(A_Corridor!$D$5:$D$204&lt;&gt;"")),IF(A_Corridor!$D$5:$D$204="-","",UPPER(A_Corridor!$D$5:$D$204))),"")</f>
        <v/>
      </c>
      <c r="F35" s="181" t="str">
        <f>IFERROR(LOOKUP(2,1/((A_Corridor!$A$5:$A$204&lt;&gt;"")*(A_Corridor!$A$5:$A$204&lt;=$B35)*(A_Corridor!$B$5:$B$204&gt;$B35)*(A_Corridor!$E$5:$E$204&lt;&gt;"")),IF(A_Corridor!$E$5:$E$204="-","",1)),"")</f>
        <v/>
      </c>
      <c r="G35" s="182" t="str">
        <f>IFERROR(LOOKUP(2,1/((A_Corridor!$A$5:$A$204&lt;&gt;"")*(A_Corridor!$A$5:$A$204&lt;=$B35)*(A_Corridor!$B$5:$B$204&gt;$B35)*(A_Corridor!$E$5:$E$204&lt;&gt;"")),IF(A_Corridor!$E$5:$E$204="-","",A_Corridor!$E$5:$E$204)),"")</f>
        <v/>
      </c>
      <c r="H35" s="182" t="str">
        <f>IFERROR(LOOKUP(2,1/((D_Points!$A$5:$A$204&lt;&gt;"")*(D_Points!$A$5:$A$204&gt;=$B35)*(D_Points!$A$5:$A$204&lt;$B35+P_Interval)*(UPPER(TRIM(D_Points!$B$5:$B$204))="GULLY")*(D_Points!$H$5:$H$204&lt;&gt;"")),D_Points!$H$5:$H$204),"")</f>
        <v/>
      </c>
      <c r="I35" s="181" t="str">
        <f>IFERROR(LOOKUP(2,1/((A_Corridor!$A$5:$A$204&lt;&gt;"")*(A_Corridor!$A$5:$A$204&lt;=$B35)*(A_Corridor!$B$5:$B$204&gt;$B35)*(A_Corridor!$F$5:$F$204&lt;&gt;"")),IF(A_Corridor!$F$5:$F$204="-","",1)),"")</f>
        <v/>
      </c>
      <c r="J35" s="182" t="str">
        <f>IFERROR(LOOKUP(2,1/((A_Corridor!$A$5:$A$204&lt;&gt;"")*(A_Corridor!$A$5:$A$204&lt;=$B35)*(A_Corridor!$B$5:$B$204&gt;$B35)*(A_Corridor!$F$5:$F$204&lt;&gt;"")),IF(A_Corridor!$F$5:$F$204="-","",A_Corridor!$F$5:$F$204)),"")</f>
        <v/>
      </c>
      <c r="K35" s="182" t="str">
        <f>IFERROR(LOOKUP(2,1/((A_Corridor!$A$5:$A$204&lt;&gt;"")*(A_Corridor!$A$5:$A$204&lt;=$B35)*(A_Corridor!$B$5:$B$204&gt;$B35)*(A_Corridor!$G$5:$G$204&lt;&gt;"")),IF(A_Corridor!$G$5:$G$204="-","",A_Corridor!$G$5:$G$204)),"")</f>
        <v/>
      </c>
      <c r="L35" s="181" t="str">
        <f>IFERROR(LOOKUP(2,1/((A_Corridor!$A$5:$A$204&lt;&gt;"")*(A_Corridor!$A$5:$A$204&lt;=$B35)*(A_Corridor!$B$5:$B$204&gt;$B35)*(A_Corridor!$H$5:$H$204&lt;&gt;"")),IF(A_Corridor!$H$5:$H$204="-","",1)),"")</f>
        <v/>
      </c>
      <c r="M35" s="182" t="str">
        <f>IFERROR(LOOKUP(2,1/((A_Corridor!$A$5:$A$204&lt;&gt;"")*(A_Corridor!$A$5:$A$204&lt;=$B35)*(A_Corridor!$B$5:$B$204&gt;$B35)*(A_Corridor!$H$5:$H$204&lt;&gt;"")),IF(A_Corridor!$H$5:$H$204="-","",A_Corridor!$H$5:$H$204)),"")</f>
        <v/>
      </c>
      <c r="N35" s="182" t="str">
        <f>IFERROR(LOOKUP(2,1/((A_Corridor!$A$5:$A$204&lt;&gt;"")*(A_Corridor!$A$5:$A$204&lt;=$B35)*(A_Corridor!$B$5:$B$204&gt;$B35)*(A_Corridor!$I$5:$I$204&lt;&gt;"")),IF(A_Corridor!$I$5:$I$204="-","",A_Corridor!$I$5:$I$204)),"")</f>
        <v/>
      </c>
      <c r="O35" s="182" t="str">
        <f>IFERROR(LOOKUP(2,1/((D_Points!$A$5:$A$204&lt;&gt;"")*(D_Points!$A$5:$A$204&gt;=$B35)*(D_Points!$A$5:$A$204&lt;$B35+P_Interval)*(UPPER(TRIM(D_Points!$B$5:$B$204))="PITCHING")*(D_Points!$H$5:$H$204&lt;&gt;"")),D_Points!$H$5:$H$204),"")</f>
        <v/>
      </c>
      <c r="P35" s="181" t="str">
        <f>IFERROR(LOOKUP(2,1/((B_Drainage!$A$5:$A$204&lt;&gt;"")*(B_Drainage!$A$5:$A$204&lt;=$B35)*(B_Drainage!$B$5:$B$204&gt;$B35)*(B_Drainage!$C$5:$C$204&lt;&gt;"")),IF(B_Drainage!$C$5:$C$204="-","",UPPER(B_Drainage!$C$5:$C$204))),"")</f>
        <v/>
      </c>
      <c r="Q35" s="181" t="str">
        <f>IFERROR(LOOKUP(2,1/((B_Drainage!$A$5:$A$204&lt;&gt;"")*(B_Drainage!$A$5:$A$204&lt;=$B35)*(B_Drainage!$B$5:$B$204&gt;$B35)*(B_Drainage!$D$5:$D$204&lt;&gt;"")),IF(B_Drainage!$D$5:$D$204="-","",UPPER(B_Drainage!$D$5:$D$204))),"")</f>
        <v/>
      </c>
      <c r="R35" s="182" t="str">
        <f>IFERROR(LOOKUP(2,1/((D_Points!$A$5:$A$204&lt;&gt;"")*(D_Points!$A$5:$A$204&gt;=$B35)*(D_Points!$A$5:$A$204&lt;$B35+P_Interval)*(RIGHT(UPPER(TRIM(D_Points!$B$5:$B$204)),8)="_CULVERT")),IF(LEFT(UPPER(TRIM(D_Points!$B$5:$B$204)),2)="EX",1,IF(LEFT(UPPER(TRIM(D_Points!$B$5:$B$204)),2)="PR",2,3))),"")</f>
        <v/>
      </c>
      <c r="S35" s="182" t="str">
        <f>IFERROR(LOOKUP(2,1/((D_Points!$A$5:$A$204&lt;&gt;"")*(D_Points!$A$5:$A$204&gt;=$B35)*(D_Points!$A$5:$A$204&lt;$B35+P_Interval)*(RIGHT(UPPER(TRIM(D_Points!$B$5:$B$204)),7)="_BRIDGE")),IF(LEFT(UPPER(TRIM(D_Points!$B$5:$B$204)),2)="EX",1,IF(LEFT(UPPER(TRIM(D_Points!$B$5:$B$204)),2)="PR",2,2))),"")</f>
        <v/>
      </c>
      <c r="T35" s="181" t="str">
        <f>IFERROR(LOOKUP(2,1/((B_Drainage!$A$5:$A$204&lt;&gt;"")*(B_Drainage!$A$5:$A$204&lt;=$B35)*(B_Drainage!$B$5:$B$204&gt;$B35)*(B_Drainage!$E$5:$E$204&lt;&gt;"")),IF(B_Drainage!$E$5:$E$204="-","",1)),"")</f>
        <v/>
      </c>
      <c r="U35" s="181" t="str">
        <f>IFERROR(LOOKUP(2,1/((B_Drainage!$A$5:$A$204&lt;&gt;"")*(B_Drainage!$A$5:$A$204&lt;=$B35)*(B_Drainage!$B$5:$B$204&gt;$B35)*(B_Drainage!$E$5:$E$204&lt;&gt;"")),IF(B_Drainage!$E$5:$E$204="-","",B_Drainage!$E$5:$E$204)),"")</f>
        <v/>
      </c>
      <c r="V35" s="181" t="str">
        <f>IFERROR(LOOKUP(2,1/((B_Drainage!$A$5:$A$204&lt;&gt;"")*(B_Drainage!$A$5:$A$204&lt;=$B35)*(B_Drainage!$B$5:$B$204&gt;$B35)*(B_Drainage!$F$5:$F$204&lt;&gt;"")),IF(B_Drainage!$F$5:$F$204="-","",1)),"")</f>
        <v/>
      </c>
      <c r="W35" s="181" t="str">
        <f>IFERROR(LOOKUP(2,1/((B_Drainage!$A$5:$A$204&lt;&gt;"")*(B_Drainage!$A$5:$A$204&lt;=$B35)*(B_Drainage!$B$5:$B$204&gt;$B35)*(B_Drainage!$F$5:$F$204&lt;&gt;"")),IF(B_Drainage!$F$5:$F$204="-","",B_Drainage!$F$5:$F$204)),"")</f>
        <v/>
      </c>
      <c r="X35" s="181" t="str">
        <f>IFERROR(LOOKUP(2,1/((B_Drainage!$A$5:$A$204&lt;&gt;"")*(B_Drainage!$A$5:$A$204&lt;=$B35)*(B_Drainage!$B$5:$B$204&gt;$B35)*(B_Drainage!$G$5:$G$204&lt;&gt;"")),IF(UPPER(B_Drainage!$G$5:$G$204)="Y",1,"")),"")</f>
        <v/>
      </c>
      <c r="Y35" s="181" t="str">
        <f>IFERROR(LOOKUP(2,1/((B_Drainage!$A$5:$A$204&lt;&gt;"")*(B_Drainage!$A$5:$A$204&lt;=$B35)*(B_Drainage!$B$5:$B$204&gt;$B35)*(B_Drainage!$H$5:$H$204&lt;&gt;"")),IF(UPPER(B_Drainage!$H$5:$H$204)="Y",1,"")),"")</f>
        <v/>
      </c>
      <c r="Z35" s="181" t="str">
        <f>IFERROR(LOOKUP(2,1/((B_Drainage!$A$5:$A$204&lt;&gt;"")*(B_Drainage!$A$5:$A$204&lt;=$B35)*(B_Drainage!$B$5:$B$204&gt;$B35)*(B_Drainage!$I$5:$I$204&lt;&gt;"")),IF(UPPER(B_Drainage!$I$5:$I$204)="Y",1,"")),"")</f>
        <v/>
      </c>
      <c r="AA35" s="181" t="str">
        <f>IFERROR(LOOKUP(2,1/((B_Drainage!$A$5:$A$204&lt;&gt;"")*(B_Drainage!$A$5:$A$204&lt;=$B35)*(B_Drainage!$B$5:$B$204&gt;$B35)*(B_Drainage!$J$5:$J$204&lt;&gt;"")),IF(UPPER(B_Drainage!$J$5:$J$204)="Y",1,"")),"")</f>
        <v/>
      </c>
      <c r="AB35" s="181" t="str">
        <f>IFERROR(LOOKUP(2,1/((B_Drainage!$A$5:$A$204&lt;&gt;"")*(B_Drainage!$A$5:$A$204&lt;=$B35)*(B_Drainage!$B$5:$B$204&gt;$B35)*(B_Drainage!$K$5:$K$204&lt;&gt;"")),IF(B_Drainage!$K$5:$K$204="-","",B_Drainage!$K$5:$K$204)),"")</f>
        <v/>
      </c>
      <c r="AC35" s="181" t="str">
        <f>IFERROR(LOOKUP(2,1/((B_Drainage!$A$5:$A$204&lt;&gt;"")*(B_Drainage!$A$5:$A$204&lt;=$B35)*(B_Drainage!$B$5:$B$204&gt;$B35)*(B_Drainage!$L$5:$L$204&lt;&gt;"")),IF(B_Drainage!$L$5:$L$204="-","",B_Drainage!$L$5:$L$204)),"")</f>
        <v/>
      </c>
      <c r="AD35" s="182" t="str">
        <f>IFERROR(LOOKUP(2,1/((D_Points!$A$5:$A$204&lt;&gt;"")*(D_Points!$A$5:$A$204&gt;=$B35)*(D_Points!$A$5:$A$204&lt;$B35+P_Interval)*(UPPER(TRIM(D_Points!$B$5:$B$204))="TURNOUT_L")*(D_Points!$H$5:$H$204&lt;&gt;"")),D_Points!$H$5:$H$204),"")</f>
        <v/>
      </c>
      <c r="AE35" s="182" t="str">
        <f>IFERROR(LOOKUP(2,1/((D_Points!$A$5:$A$204&lt;&gt;"")*(D_Points!$A$5:$A$204&gt;=$B35)*(D_Points!$A$5:$A$204&lt;$B35+P_Interval)*(UPPER(TRIM(D_Points!$B$5:$B$204))="TURNOUT_R")*(D_Points!$H$5:$H$204&lt;&gt;"")),D_Points!$H$5:$H$204),"")</f>
        <v/>
      </c>
      <c r="AF35" s="181" t="str">
        <f>IFERROR(LOOKUP(2,1/((B_Drainage!$A$5:$A$204&lt;&gt;"")*(B_Drainage!$A$5:$A$204&lt;=$B35)*(B_Drainage!$B$5:$B$204&gt;$B35)*(B_Drainage!$M$5:$M$204&lt;&gt;"")),IF(UPPER(B_Drainage!$M$5:$M$204)="Y",1,"")),"")</f>
        <v/>
      </c>
      <c r="AG35" s="181" t="str">
        <f>IFERROR(LOOKUP(2,1/((B_Drainage!$A$5:$A$204&lt;&gt;"")*(B_Drainage!$A$5:$A$204&lt;=$B35)*(B_Drainage!$B$5:$B$204&gt;$B35)*(B_Drainage!$N$5:$N$204&lt;&gt;"")),IF(UPPER(B_Drainage!$N$5:$N$204)="Y",1,"")),"")</f>
        <v/>
      </c>
      <c r="AH35" s="181" t="str">
        <f t="shared" si="0"/>
        <v/>
      </c>
      <c r="AI35" s="181" t="str">
        <f t="shared" si="1"/>
        <v/>
      </c>
      <c r="AJ35" s="181" t="str">
        <f t="shared" si="2"/>
        <v/>
      </c>
      <c r="AK35" s="181" t="str">
        <f t="shared" si="3"/>
        <v/>
      </c>
      <c r="AL35" s="181" t="str">
        <f t="shared" si="4"/>
        <v/>
      </c>
      <c r="AM35" s="181" t="str">
        <f t="shared" si="5"/>
        <v/>
      </c>
      <c r="AN35" s="181" t="str">
        <f t="shared" si="6"/>
        <v/>
      </c>
      <c r="AO35" s="192" t="str">
        <f t="shared" si="7"/>
        <v/>
      </c>
      <c r="AQ35" t="str">
        <f>IFERROR(LOOKUP(2,1/((C_Pavement!$A$5:$A$204&lt;&gt;"")*(C_Pavement!$A$5:$A$204&lt;=$B35)*(C_Pavement!$B$5:$B$204&gt;$B35)*(C_Pavement!$C$5:$C$204&lt;&gt;"")),ROW(C_Pavement!$C$5:$C$204)-4),"")</f>
        <v/>
      </c>
      <c r="AR35" t="str">
        <f>IF($AQ35="","",UPPER(TRIM(INDEX(C_Pavement!$C$5:$C$204,$AQ35))))</f>
        <v/>
      </c>
      <c r="AS35" t="str">
        <f>IF($AR35="","",IFERROR(MATCH($AR35,E_Rules!$A$5:$A$9,0),""))</f>
        <v/>
      </c>
      <c r="AT35" t="str">
        <f>IF($AQ35="","",IF(INDEX(C_Pavement!$D$5:$D$204,$AQ35)&lt;&gt;"",UPPER(TRIM(INDEX(C_Pavement!$D$5:$D$204,$AQ35))),IF($AS35="","",INDEX(E_Rules!$C$5:$C$9,$AS35))))</f>
        <v/>
      </c>
      <c r="AU35" t="str">
        <f>IF($AQ35="","",IF(INDEX(C_Pavement!$E$5:$E$204,$AQ35)&lt;&gt;"",IF(INDEX(C_Pavement!$E$5:$E$204,$AQ35)="-","",INDEX(C_Pavement!$E$5:$E$204,$AQ35)),IF($AS35="","",INDEX(E_Rules!$D$5:$D$9,$AS35))))</f>
        <v/>
      </c>
      <c r="AV35" t="str">
        <f>IF($AQ35="","",IF(INDEX(C_Pavement!$F$5:$F$204,$AQ35)&lt;&gt;"",IF(INDEX(C_Pavement!$F$5:$F$204,$AQ35)="-","",INDEX(C_Pavement!$F$5:$F$204,$AQ35)),IF($AS35="","",INDEX(E_Rules!$E$5:$E$9,$AS35))))</f>
        <v/>
      </c>
      <c r="AW35" t="str">
        <f>IF($AQ35="","",IF(INDEX(C_Pavement!$G$5:$G$204,$AQ35)&lt;&gt;"",IF(INDEX(C_Pavement!$G$5:$G$204,$AQ35)="-","",INDEX(C_Pavement!$G$5:$G$204,$AQ35)),IF($AS35="","",INDEX(E_Rules!$F$5:$F$9,$AS35))))</f>
        <v/>
      </c>
      <c r="AX35" t="str">
        <f>IF($AQ35="","",IF(INDEX(C_Pavement!$H$5:$H$204,$AQ35)&lt;&gt;"",IF(INDEX(C_Pavement!$H$5:$H$204,$AQ35)="-","",INDEX(C_Pavement!$H$5:$H$204,$AQ35)),IF($AS35="","",INDEX(E_Rules!$G$5:$G$9,$AS35))))</f>
        <v/>
      </c>
      <c r="AY35" t="str">
        <f>IF($AQ35="","",IF(INDEX(C_Pavement!$I$5:$I$204,$AQ35)&lt;&gt;"",IF(INDEX(C_Pavement!$I$5:$I$204,$AQ35)="-","",INDEX(C_Pavement!$I$5:$I$204,$AQ35)),IF($AS35="","",INDEX(E_Rules!$H$5:$H$9,$AS35))))</f>
        <v/>
      </c>
    </row>
    <row r="36" spans="1:51" ht="15.75" customHeight="1" x14ac:dyDescent="0.3">
      <c r="A36" s="189">
        <v>31</v>
      </c>
      <c r="B36" s="180">
        <v>1500</v>
      </c>
      <c r="C36" s="180" t="s">
        <v>342</v>
      </c>
      <c r="D36" s="181" t="str">
        <f>IFERROR(LOOKUP(2,1/((A_Corridor!$A$5:$A$204&lt;&gt;"")*(A_Corridor!$A$5:$A$204&lt;=$B36)*(A_Corridor!$B$5:$B$204&gt;$B36)*(A_Corridor!$C$5:$C$204&lt;&gt;"")),IF(UPPER(A_Corridor!$C$5:$C$204)="Y",1,"")),"")</f>
        <v/>
      </c>
      <c r="E36" s="181" t="str">
        <f>IFERROR(LOOKUP(2,1/((A_Corridor!$A$5:$A$204&lt;&gt;"")*(A_Corridor!$A$5:$A$204&lt;=$B36)*(A_Corridor!$B$5:$B$204&gt;$B36)*(A_Corridor!$D$5:$D$204&lt;&gt;"")),IF(A_Corridor!$D$5:$D$204="-","",UPPER(A_Corridor!$D$5:$D$204))),"")</f>
        <v/>
      </c>
      <c r="F36" s="181" t="str">
        <f>IFERROR(LOOKUP(2,1/((A_Corridor!$A$5:$A$204&lt;&gt;"")*(A_Corridor!$A$5:$A$204&lt;=$B36)*(A_Corridor!$B$5:$B$204&gt;$B36)*(A_Corridor!$E$5:$E$204&lt;&gt;"")),IF(A_Corridor!$E$5:$E$204="-","",1)),"")</f>
        <v/>
      </c>
      <c r="G36" s="182" t="str">
        <f>IFERROR(LOOKUP(2,1/((A_Corridor!$A$5:$A$204&lt;&gt;"")*(A_Corridor!$A$5:$A$204&lt;=$B36)*(A_Corridor!$B$5:$B$204&gt;$B36)*(A_Corridor!$E$5:$E$204&lt;&gt;"")),IF(A_Corridor!$E$5:$E$204="-","",A_Corridor!$E$5:$E$204)),"")</f>
        <v/>
      </c>
      <c r="H36" s="182" t="str">
        <f>IFERROR(LOOKUP(2,1/((D_Points!$A$5:$A$204&lt;&gt;"")*(D_Points!$A$5:$A$204&gt;=$B36)*(D_Points!$A$5:$A$204&lt;$B36+P_Interval)*(UPPER(TRIM(D_Points!$B$5:$B$204))="GULLY")*(D_Points!$H$5:$H$204&lt;&gt;"")),D_Points!$H$5:$H$204),"")</f>
        <v/>
      </c>
      <c r="I36" s="181" t="str">
        <f>IFERROR(LOOKUP(2,1/((A_Corridor!$A$5:$A$204&lt;&gt;"")*(A_Corridor!$A$5:$A$204&lt;=$B36)*(A_Corridor!$B$5:$B$204&gt;$B36)*(A_Corridor!$F$5:$F$204&lt;&gt;"")),IF(A_Corridor!$F$5:$F$204="-","",1)),"")</f>
        <v/>
      </c>
      <c r="J36" s="182" t="str">
        <f>IFERROR(LOOKUP(2,1/((A_Corridor!$A$5:$A$204&lt;&gt;"")*(A_Corridor!$A$5:$A$204&lt;=$B36)*(A_Corridor!$B$5:$B$204&gt;$B36)*(A_Corridor!$F$5:$F$204&lt;&gt;"")),IF(A_Corridor!$F$5:$F$204="-","",A_Corridor!$F$5:$F$204)),"")</f>
        <v/>
      </c>
      <c r="K36" s="182" t="str">
        <f>IFERROR(LOOKUP(2,1/((A_Corridor!$A$5:$A$204&lt;&gt;"")*(A_Corridor!$A$5:$A$204&lt;=$B36)*(A_Corridor!$B$5:$B$204&gt;$B36)*(A_Corridor!$G$5:$G$204&lt;&gt;"")),IF(A_Corridor!$G$5:$G$204="-","",A_Corridor!$G$5:$G$204)),"")</f>
        <v/>
      </c>
      <c r="L36" s="181" t="str">
        <f>IFERROR(LOOKUP(2,1/((A_Corridor!$A$5:$A$204&lt;&gt;"")*(A_Corridor!$A$5:$A$204&lt;=$B36)*(A_Corridor!$B$5:$B$204&gt;$B36)*(A_Corridor!$H$5:$H$204&lt;&gt;"")),IF(A_Corridor!$H$5:$H$204="-","",1)),"")</f>
        <v/>
      </c>
      <c r="M36" s="182" t="str">
        <f>IFERROR(LOOKUP(2,1/((A_Corridor!$A$5:$A$204&lt;&gt;"")*(A_Corridor!$A$5:$A$204&lt;=$B36)*(A_Corridor!$B$5:$B$204&gt;$B36)*(A_Corridor!$H$5:$H$204&lt;&gt;"")),IF(A_Corridor!$H$5:$H$204="-","",A_Corridor!$H$5:$H$204)),"")</f>
        <v/>
      </c>
      <c r="N36" s="182" t="str">
        <f>IFERROR(LOOKUP(2,1/((A_Corridor!$A$5:$A$204&lt;&gt;"")*(A_Corridor!$A$5:$A$204&lt;=$B36)*(A_Corridor!$B$5:$B$204&gt;$B36)*(A_Corridor!$I$5:$I$204&lt;&gt;"")),IF(A_Corridor!$I$5:$I$204="-","",A_Corridor!$I$5:$I$204)),"")</f>
        <v/>
      </c>
      <c r="O36" s="182" t="str">
        <f>IFERROR(LOOKUP(2,1/((D_Points!$A$5:$A$204&lt;&gt;"")*(D_Points!$A$5:$A$204&gt;=$B36)*(D_Points!$A$5:$A$204&lt;$B36+P_Interval)*(UPPER(TRIM(D_Points!$B$5:$B$204))="PITCHING")*(D_Points!$H$5:$H$204&lt;&gt;"")),D_Points!$H$5:$H$204),"")</f>
        <v/>
      </c>
      <c r="P36" s="181" t="str">
        <f>IFERROR(LOOKUP(2,1/((B_Drainage!$A$5:$A$204&lt;&gt;"")*(B_Drainage!$A$5:$A$204&lt;=$B36)*(B_Drainage!$B$5:$B$204&gt;$B36)*(B_Drainage!$C$5:$C$204&lt;&gt;"")),IF(B_Drainage!$C$5:$C$204="-","",UPPER(B_Drainage!$C$5:$C$204))),"")</f>
        <v/>
      </c>
      <c r="Q36" s="181" t="str">
        <f>IFERROR(LOOKUP(2,1/((B_Drainage!$A$5:$A$204&lt;&gt;"")*(B_Drainage!$A$5:$A$204&lt;=$B36)*(B_Drainage!$B$5:$B$204&gt;$B36)*(B_Drainage!$D$5:$D$204&lt;&gt;"")),IF(B_Drainage!$D$5:$D$204="-","",UPPER(B_Drainage!$D$5:$D$204))),"")</f>
        <v/>
      </c>
      <c r="R36" s="182" t="str">
        <f>IFERROR(LOOKUP(2,1/((D_Points!$A$5:$A$204&lt;&gt;"")*(D_Points!$A$5:$A$204&gt;=$B36)*(D_Points!$A$5:$A$204&lt;$B36+P_Interval)*(RIGHT(UPPER(TRIM(D_Points!$B$5:$B$204)),8)="_CULVERT")),IF(LEFT(UPPER(TRIM(D_Points!$B$5:$B$204)),2)="EX",1,IF(LEFT(UPPER(TRIM(D_Points!$B$5:$B$204)),2)="PR",2,3))),"")</f>
        <v/>
      </c>
      <c r="S36" s="182" t="str">
        <f>IFERROR(LOOKUP(2,1/((D_Points!$A$5:$A$204&lt;&gt;"")*(D_Points!$A$5:$A$204&gt;=$B36)*(D_Points!$A$5:$A$204&lt;$B36+P_Interval)*(RIGHT(UPPER(TRIM(D_Points!$B$5:$B$204)),7)="_BRIDGE")),IF(LEFT(UPPER(TRIM(D_Points!$B$5:$B$204)),2)="EX",1,IF(LEFT(UPPER(TRIM(D_Points!$B$5:$B$204)),2)="PR",2,2))),"")</f>
        <v/>
      </c>
      <c r="T36" s="181" t="str">
        <f>IFERROR(LOOKUP(2,1/((B_Drainage!$A$5:$A$204&lt;&gt;"")*(B_Drainage!$A$5:$A$204&lt;=$B36)*(B_Drainage!$B$5:$B$204&gt;$B36)*(B_Drainage!$E$5:$E$204&lt;&gt;"")),IF(B_Drainage!$E$5:$E$204="-","",1)),"")</f>
        <v/>
      </c>
      <c r="U36" s="181" t="str">
        <f>IFERROR(LOOKUP(2,1/((B_Drainage!$A$5:$A$204&lt;&gt;"")*(B_Drainage!$A$5:$A$204&lt;=$B36)*(B_Drainage!$B$5:$B$204&gt;$B36)*(B_Drainage!$E$5:$E$204&lt;&gt;"")),IF(B_Drainage!$E$5:$E$204="-","",B_Drainage!$E$5:$E$204)),"")</f>
        <v/>
      </c>
      <c r="V36" s="181" t="str">
        <f>IFERROR(LOOKUP(2,1/((B_Drainage!$A$5:$A$204&lt;&gt;"")*(B_Drainage!$A$5:$A$204&lt;=$B36)*(B_Drainage!$B$5:$B$204&gt;$B36)*(B_Drainage!$F$5:$F$204&lt;&gt;"")),IF(B_Drainage!$F$5:$F$204="-","",1)),"")</f>
        <v/>
      </c>
      <c r="W36" s="181" t="str">
        <f>IFERROR(LOOKUP(2,1/((B_Drainage!$A$5:$A$204&lt;&gt;"")*(B_Drainage!$A$5:$A$204&lt;=$B36)*(B_Drainage!$B$5:$B$204&gt;$B36)*(B_Drainage!$F$5:$F$204&lt;&gt;"")),IF(B_Drainage!$F$5:$F$204="-","",B_Drainage!$F$5:$F$204)),"")</f>
        <v/>
      </c>
      <c r="X36" s="181" t="str">
        <f>IFERROR(LOOKUP(2,1/((B_Drainage!$A$5:$A$204&lt;&gt;"")*(B_Drainage!$A$5:$A$204&lt;=$B36)*(B_Drainage!$B$5:$B$204&gt;$B36)*(B_Drainage!$G$5:$G$204&lt;&gt;"")),IF(UPPER(B_Drainage!$G$5:$G$204)="Y",1,"")),"")</f>
        <v/>
      </c>
      <c r="Y36" s="181" t="str">
        <f>IFERROR(LOOKUP(2,1/((B_Drainage!$A$5:$A$204&lt;&gt;"")*(B_Drainage!$A$5:$A$204&lt;=$B36)*(B_Drainage!$B$5:$B$204&gt;$B36)*(B_Drainage!$H$5:$H$204&lt;&gt;"")),IF(UPPER(B_Drainage!$H$5:$H$204)="Y",1,"")),"")</f>
        <v/>
      </c>
      <c r="Z36" s="181" t="str">
        <f>IFERROR(LOOKUP(2,1/((B_Drainage!$A$5:$A$204&lt;&gt;"")*(B_Drainage!$A$5:$A$204&lt;=$B36)*(B_Drainage!$B$5:$B$204&gt;$B36)*(B_Drainage!$I$5:$I$204&lt;&gt;"")),IF(UPPER(B_Drainage!$I$5:$I$204)="Y",1,"")),"")</f>
        <v/>
      </c>
      <c r="AA36" s="181" t="str">
        <f>IFERROR(LOOKUP(2,1/((B_Drainage!$A$5:$A$204&lt;&gt;"")*(B_Drainage!$A$5:$A$204&lt;=$B36)*(B_Drainage!$B$5:$B$204&gt;$B36)*(B_Drainage!$J$5:$J$204&lt;&gt;"")),IF(UPPER(B_Drainage!$J$5:$J$204)="Y",1,"")),"")</f>
        <v/>
      </c>
      <c r="AB36" s="182" t="str">
        <f>IFERROR(LOOKUP(2,1/((B_Drainage!$A$5:$A$204&lt;&gt;"")*(B_Drainage!$A$5:$A$204&lt;=$B36)*(B_Drainage!$B$5:$B$204&gt;$B36)*(B_Drainage!$K$5:$K$204&lt;&gt;"")),IF(B_Drainage!$K$5:$K$204="-","",B_Drainage!$K$5:$K$204)),"")</f>
        <v/>
      </c>
      <c r="AC36" s="182" t="str">
        <f>IFERROR(LOOKUP(2,1/((B_Drainage!$A$5:$A$204&lt;&gt;"")*(B_Drainage!$A$5:$A$204&lt;=$B36)*(B_Drainage!$B$5:$B$204&gt;$B36)*(B_Drainage!$L$5:$L$204&lt;&gt;"")),IF(B_Drainage!$L$5:$L$204="-","",B_Drainage!$L$5:$L$204)),"")</f>
        <v/>
      </c>
      <c r="AD36" s="182" t="str">
        <f>IFERROR(LOOKUP(2,1/((D_Points!$A$5:$A$204&lt;&gt;"")*(D_Points!$A$5:$A$204&gt;=$B36)*(D_Points!$A$5:$A$204&lt;$B36+P_Interval)*(UPPER(TRIM(D_Points!$B$5:$B$204))="TURNOUT_L")*(D_Points!$H$5:$H$204&lt;&gt;"")),D_Points!$H$5:$H$204),"")</f>
        <v/>
      </c>
      <c r="AE36" s="182" t="str">
        <f>IFERROR(LOOKUP(2,1/((D_Points!$A$5:$A$204&lt;&gt;"")*(D_Points!$A$5:$A$204&gt;=$B36)*(D_Points!$A$5:$A$204&lt;$B36+P_Interval)*(UPPER(TRIM(D_Points!$B$5:$B$204))="TURNOUT_R")*(D_Points!$H$5:$H$204&lt;&gt;"")),D_Points!$H$5:$H$204),"")</f>
        <v/>
      </c>
      <c r="AF36" s="181" t="str">
        <f>IFERROR(LOOKUP(2,1/((B_Drainage!$A$5:$A$204&lt;&gt;"")*(B_Drainage!$A$5:$A$204&lt;=$B36)*(B_Drainage!$B$5:$B$204&gt;$B36)*(B_Drainage!$M$5:$M$204&lt;&gt;"")),IF(UPPER(B_Drainage!$M$5:$M$204)="Y",1,"")),"")</f>
        <v/>
      </c>
      <c r="AG36" s="181" t="str">
        <f>IFERROR(LOOKUP(2,1/((B_Drainage!$A$5:$A$204&lt;&gt;"")*(B_Drainage!$A$5:$A$204&lt;=$B36)*(B_Drainage!$B$5:$B$204&gt;$B36)*(B_Drainage!$N$5:$N$204&lt;&gt;"")),IF(UPPER(B_Drainage!$N$5:$N$204)="Y",1,"")),"")</f>
        <v/>
      </c>
      <c r="AH36" s="181" t="str">
        <f t="shared" si="0"/>
        <v/>
      </c>
      <c r="AI36" s="181" t="str">
        <f t="shared" si="1"/>
        <v/>
      </c>
      <c r="AJ36" s="181" t="str">
        <f t="shared" si="2"/>
        <v/>
      </c>
      <c r="AK36" s="181" t="str">
        <f t="shared" si="3"/>
        <v/>
      </c>
      <c r="AL36" s="181" t="str">
        <f t="shared" si="4"/>
        <v/>
      </c>
      <c r="AM36" s="181" t="str">
        <f t="shared" si="5"/>
        <v/>
      </c>
      <c r="AN36" s="181" t="str">
        <f t="shared" si="6"/>
        <v/>
      </c>
      <c r="AO36" s="192" t="str">
        <f t="shared" si="7"/>
        <v/>
      </c>
      <c r="AQ36" t="str">
        <f>IFERROR(LOOKUP(2,1/((C_Pavement!$A$5:$A$204&lt;&gt;"")*(C_Pavement!$A$5:$A$204&lt;=$B36)*(C_Pavement!$B$5:$B$204&gt;$B36)*(C_Pavement!$C$5:$C$204&lt;&gt;"")),ROW(C_Pavement!$C$5:$C$204)-4),"")</f>
        <v/>
      </c>
      <c r="AR36" t="str">
        <f>IF($AQ36="","",UPPER(TRIM(INDEX(C_Pavement!$C$5:$C$204,$AQ36))))</f>
        <v/>
      </c>
      <c r="AS36" t="str">
        <f>IF($AR36="","",IFERROR(MATCH($AR36,E_Rules!$A$5:$A$9,0),""))</f>
        <v/>
      </c>
      <c r="AT36" t="str">
        <f>IF($AQ36="","",IF(INDEX(C_Pavement!$D$5:$D$204,$AQ36)&lt;&gt;"",UPPER(TRIM(INDEX(C_Pavement!$D$5:$D$204,$AQ36))),IF($AS36="","",INDEX(E_Rules!$C$5:$C$9,$AS36))))</f>
        <v/>
      </c>
      <c r="AU36" t="str">
        <f>IF($AQ36="","",IF(INDEX(C_Pavement!$E$5:$E$204,$AQ36)&lt;&gt;"",IF(INDEX(C_Pavement!$E$5:$E$204,$AQ36)="-","",INDEX(C_Pavement!$E$5:$E$204,$AQ36)),IF($AS36="","",INDEX(E_Rules!$D$5:$D$9,$AS36))))</f>
        <v/>
      </c>
      <c r="AV36" t="str">
        <f>IF($AQ36="","",IF(INDEX(C_Pavement!$F$5:$F$204,$AQ36)&lt;&gt;"",IF(INDEX(C_Pavement!$F$5:$F$204,$AQ36)="-","",INDEX(C_Pavement!$F$5:$F$204,$AQ36)),IF($AS36="","",INDEX(E_Rules!$E$5:$E$9,$AS36))))</f>
        <v/>
      </c>
      <c r="AW36" t="str">
        <f>IF($AQ36="","",IF(INDEX(C_Pavement!$G$5:$G$204,$AQ36)&lt;&gt;"",IF(INDEX(C_Pavement!$G$5:$G$204,$AQ36)="-","",INDEX(C_Pavement!$G$5:$G$204,$AQ36)),IF($AS36="","",INDEX(E_Rules!$F$5:$F$9,$AS36))))</f>
        <v/>
      </c>
      <c r="AX36" t="str">
        <f>IF($AQ36="","",IF(INDEX(C_Pavement!$H$5:$H$204,$AQ36)&lt;&gt;"",IF(INDEX(C_Pavement!$H$5:$H$204,$AQ36)="-","",INDEX(C_Pavement!$H$5:$H$204,$AQ36)),IF($AS36="","",INDEX(E_Rules!$G$5:$G$9,$AS36))))</f>
        <v/>
      </c>
      <c r="AY36" t="str">
        <f>IF($AQ36="","",IF(INDEX(C_Pavement!$I$5:$I$204,$AQ36)&lt;&gt;"",IF(INDEX(C_Pavement!$I$5:$I$204,$AQ36)="-","",INDEX(C_Pavement!$I$5:$I$204,$AQ36)),IF($AS36="","",INDEX(E_Rules!$H$5:$H$9,$AS36))))</f>
        <v/>
      </c>
    </row>
    <row r="37" spans="1:51" ht="15.75" customHeight="1" x14ac:dyDescent="0.3">
      <c r="A37" s="189">
        <v>32</v>
      </c>
      <c r="B37" s="180">
        <v>1550</v>
      </c>
      <c r="C37" s="180" t="s">
        <v>343</v>
      </c>
      <c r="D37" s="181" t="str">
        <f>IFERROR(LOOKUP(2,1/((A_Corridor!$A$5:$A$204&lt;&gt;"")*(A_Corridor!$A$5:$A$204&lt;=$B37)*(A_Corridor!$B$5:$B$204&gt;$B37)*(A_Corridor!$C$5:$C$204&lt;&gt;"")),IF(UPPER(A_Corridor!$C$5:$C$204)="Y",1,"")),"")</f>
        <v/>
      </c>
      <c r="E37" s="181" t="str">
        <f>IFERROR(LOOKUP(2,1/((A_Corridor!$A$5:$A$204&lt;&gt;"")*(A_Corridor!$A$5:$A$204&lt;=$B37)*(A_Corridor!$B$5:$B$204&gt;$B37)*(A_Corridor!$D$5:$D$204&lt;&gt;"")),IF(A_Corridor!$D$5:$D$204="-","",UPPER(A_Corridor!$D$5:$D$204))),"")</f>
        <v/>
      </c>
      <c r="F37" s="181" t="str">
        <f>IFERROR(LOOKUP(2,1/((A_Corridor!$A$5:$A$204&lt;&gt;"")*(A_Corridor!$A$5:$A$204&lt;=$B37)*(A_Corridor!$B$5:$B$204&gt;$B37)*(A_Corridor!$E$5:$E$204&lt;&gt;"")),IF(A_Corridor!$E$5:$E$204="-","",1)),"")</f>
        <v/>
      </c>
      <c r="G37" s="182" t="str">
        <f>IFERROR(LOOKUP(2,1/((A_Corridor!$A$5:$A$204&lt;&gt;"")*(A_Corridor!$A$5:$A$204&lt;=$B37)*(A_Corridor!$B$5:$B$204&gt;$B37)*(A_Corridor!$E$5:$E$204&lt;&gt;"")),IF(A_Corridor!$E$5:$E$204="-","",A_Corridor!$E$5:$E$204)),"")</f>
        <v/>
      </c>
      <c r="H37" s="182" t="str">
        <f>IFERROR(LOOKUP(2,1/((D_Points!$A$5:$A$204&lt;&gt;"")*(D_Points!$A$5:$A$204&gt;=$B37)*(D_Points!$A$5:$A$204&lt;$B37+P_Interval)*(UPPER(TRIM(D_Points!$B$5:$B$204))="GULLY")*(D_Points!$H$5:$H$204&lt;&gt;"")),D_Points!$H$5:$H$204),"")</f>
        <v/>
      </c>
      <c r="I37" s="181" t="str">
        <f>IFERROR(LOOKUP(2,1/((A_Corridor!$A$5:$A$204&lt;&gt;"")*(A_Corridor!$A$5:$A$204&lt;=$B37)*(A_Corridor!$B$5:$B$204&gt;$B37)*(A_Corridor!$F$5:$F$204&lt;&gt;"")),IF(A_Corridor!$F$5:$F$204="-","",1)),"")</f>
        <v/>
      </c>
      <c r="J37" s="182" t="str">
        <f>IFERROR(LOOKUP(2,1/((A_Corridor!$A$5:$A$204&lt;&gt;"")*(A_Corridor!$A$5:$A$204&lt;=$B37)*(A_Corridor!$B$5:$B$204&gt;$B37)*(A_Corridor!$F$5:$F$204&lt;&gt;"")),IF(A_Corridor!$F$5:$F$204="-","",A_Corridor!$F$5:$F$204)),"")</f>
        <v/>
      </c>
      <c r="K37" s="182" t="str">
        <f>IFERROR(LOOKUP(2,1/((A_Corridor!$A$5:$A$204&lt;&gt;"")*(A_Corridor!$A$5:$A$204&lt;=$B37)*(A_Corridor!$B$5:$B$204&gt;$B37)*(A_Corridor!$G$5:$G$204&lt;&gt;"")),IF(A_Corridor!$G$5:$G$204="-","",A_Corridor!$G$5:$G$204)),"")</f>
        <v/>
      </c>
      <c r="L37" s="181" t="str">
        <f>IFERROR(LOOKUP(2,1/((A_Corridor!$A$5:$A$204&lt;&gt;"")*(A_Corridor!$A$5:$A$204&lt;=$B37)*(A_Corridor!$B$5:$B$204&gt;$B37)*(A_Corridor!$H$5:$H$204&lt;&gt;"")),IF(A_Corridor!$H$5:$H$204="-","",1)),"")</f>
        <v/>
      </c>
      <c r="M37" s="182" t="str">
        <f>IFERROR(LOOKUP(2,1/((A_Corridor!$A$5:$A$204&lt;&gt;"")*(A_Corridor!$A$5:$A$204&lt;=$B37)*(A_Corridor!$B$5:$B$204&gt;$B37)*(A_Corridor!$H$5:$H$204&lt;&gt;"")),IF(A_Corridor!$H$5:$H$204="-","",A_Corridor!$H$5:$H$204)),"")</f>
        <v/>
      </c>
      <c r="N37" s="182" t="str">
        <f>IFERROR(LOOKUP(2,1/((A_Corridor!$A$5:$A$204&lt;&gt;"")*(A_Corridor!$A$5:$A$204&lt;=$B37)*(A_Corridor!$B$5:$B$204&gt;$B37)*(A_Corridor!$I$5:$I$204&lt;&gt;"")),IF(A_Corridor!$I$5:$I$204="-","",A_Corridor!$I$5:$I$204)),"")</f>
        <v/>
      </c>
      <c r="O37" s="182" t="str">
        <f>IFERROR(LOOKUP(2,1/((D_Points!$A$5:$A$204&lt;&gt;"")*(D_Points!$A$5:$A$204&gt;=$B37)*(D_Points!$A$5:$A$204&lt;$B37+P_Interval)*(UPPER(TRIM(D_Points!$B$5:$B$204))="PITCHING")*(D_Points!$H$5:$H$204&lt;&gt;"")),D_Points!$H$5:$H$204),"")</f>
        <v/>
      </c>
      <c r="P37" s="181" t="str">
        <f>IFERROR(LOOKUP(2,1/((B_Drainage!$A$5:$A$204&lt;&gt;"")*(B_Drainage!$A$5:$A$204&lt;=$B37)*(B_Drainage!$B$5:$B$204&gt;$B37)*(B_Drainage!$C$5:$C$204&lt;&gt;"")),IF(B_Drainage!$C$5:$C$204="-","",UPPER(B_Drainage!$C$5:$C$204))),"")</f>
        <v/>
      </c>
      <c r="Q37" s="181" t="str">
        <f>IFERROR(LOOKUP(2,1/((B_Drainage!$A$5:$A$204&lt;&gt;"")*(B_Drainage!$A$5:$A$204&lt;=$B37)*(B_Drainage!$B$5:$B$204&gt;$B37)*(B_Drainage!$D$5:$D$204&lt;&gt;"")),IF(B_Drainage!$D$5:$D$204="-","",UPPER(B_Drainage!$D$5:$D$204))),"")</f>
        <v/>
      </c>
      <c r="R37" s="182" t="str">
        <f>IFERROR(LOOKUP(2,1/((D_Points!$A$5:$A$204&lt;&gt;"")*(D_Points!$A$5:$A$204&gt;=$B37)*(D_Points!$A$5:$A$204&lt;$B37+P_Interval)*(RIGHT(UPPER(TRIM(D_Points!$B$5:$B$204)),8)="_CULVERT")),IF(LEFT(UPPER(TRIM(D_Points!$B$5:$B$204)),2)="EX",1,IF(LEFT(UPPER(TRIM(D_Points!$B$5:$B$204)),2)="PR",2,3))),"")</f>
        <v/>
      </c>
      <c r="S37" s="182" t="str">
        <f>IFERROR(LOOKUP(2,1/((D_Points!$A$5:$A$204&lt;&gt;"")*(D_Points!$A$5:$A$204&gt;=$B37)*(D_Points!$A$5:$A$204&lt;$B37+P_Interval)*(RIGHT(UPPER(TRIM(D_Points!$B$5:$B$204)),7)="_BRIDGE")),IF(LEFT(UPPER(TRIM(D_Points!$B$5:$B$204)),2)="EX",1,IF(LEFT(UPPER(TRIM(D_Points!$B$5:$B$204)),2)="PR",2,2))),"")</f>
        <v/>
      </c>
      <c r="T37" s="181" t="str">
        <f>IFERROR(LOOKUP(2,1/((B_Drainage!$A$5:$A$204&lt;&gt;"")*(B_Drainage!$A$5:$A$204&lt;=$B37)*(B_Drainage!$B$5:$B$204&gt;$B37)*(B_Drainage!$E$5:$E$204&lt;&gt;"")),IF(B_Drainage!$E$5:$E$204="-","",1)),"")</f>
        <v/>
      </c>
      <c r="U37" s="181" t="str">
        <f>IFERROR(LOOKUP(2,1/((B_Drainage!$A$5:$A$204&lt;&gt;"")*(B_Drainage!$A$5:$A$204&lt;=$B37)*(B_Drainage!$B$5:$B$204&gt;$B37)*(B_Drainage!$E$5:$E$204&lt;&gt;"")),IF(B_Drainage!$E$5:$E$204="-","",B_Drainage!$E$5:$E$204)),"")</f>
        <v/>
      </c>
      <c r="V37" s="181" t="str">
        <f>IFERROR(LOOKUP(2,1/((B_Drainage!$A$5:$A$204&lt;&gt;"")*(B_Drainage!$A$5:$A$204&lt;=$B37)*(B_Drainage!$B$5:$B$204&gt;$B37)*(B_Drainage!$F$5:$F$204&lt;&gt;"")),IF(B_Drainage!$F$5:$F$204="-","",1)),"")</f>
        <v/>
      </c>
      <c r="W37" s="181" t="str">
        <f>IFERROR(LOOKUP(2,1/((B_Drainage!$A$5:$A$204&lt;&gt;"")*(B_Drainage!$A$5:$A$204&lt;=$B37)*(B_Drainage!$B$5:$B$204&gt;$B37)*(B_Drainage!$F$5:$F$204&lt;&gt;"")),IF(B_Drainage!$F$5:$F$204="-","",B_Drainage!$F$5:$F$204)),"")</f>
        <v/>
      </c>
      <c r="X37" s="181" t="str">
        <f>IFERROR(LOOKUP(2,1/((B_Drainage!$A$5:$A$204&lt;&gt;"")*(B_Drainage!$A$5:$A$204&lt;=$B37)*(B_Drainage!$B$5:$B$204&gt;$B37)*(B_Drainage!$G$5:$G$204&lt;&gt;"")),IF(UPPER(B_Drainage!$G$5:$G$204)="Y",1,"")),"")</f>
        <v/>
      </c>
      <c r="Y37" s="181" t="str">
        <f>IFERROR(LOOKUP(2,1/((B_Drainage!$A$5:$A$204&lt;&gt;"")*(B_Drainage!$A$5:$A$204&lt;=$B37)*(B_Drainage!$B$5:$B$204&gt;$B37)*(B_Drainage!$H$5:$H$204&lt;&gt;"")),IF(UPPER(B_Drainage!$H$5:$H$204)="Y",1,"")),"")</f>
        <v/>
      </c>
      <c r="Z37" s="181" t="str">
        <f>IFERROR(LOOKUP(2,1/((B_Drainage!$A$5:$A$204&lt;&gt;"")*(B_Drainage!$A$5:$A$204&lt;=$B37)*(B_Drainage!$B$5:$B$204&gt;$B37)*(B_Drainage!$I$5:$I$204&lt;&gt;"")),IF(UPPER(B_Drainage!$I$5:$I$204)="Y",1,"")),"")</f>
        <v/>
      </c>
      <c r="AA37" s="181" t="str">
        <f>IFERROR(LOOKUP(2,1/((B_Drainage!$A$5:$A$204&lt;&gt;"")*(B_Drainage!$A$5:$A$204&lt;=$B37)*(B_Drainage!$B$5:$B$204&gt;$B37)*(B_Drainage!$J$5:$J$204&lt;&gt;"")),IF(UPPER(B_Drainage!$J$5:$J$204)="Y",1,"")),"")</f>
        <v/>
      </c>
      <c r="AB37" s="182" t="str">
        <f>IFERROR(LOOKUP(2,1/((B_Drainage!$A$5:$A$204&lt;&gt;"")*(B_Drainage!$A$5:$A$204&lt;=$B37)*(B_Drainage!$B$5:$B$204&gt;$B37)*(B_Drainage!$K$5:$K$204&lt;&gt;"")),IF(B_Drainage!$K$5:$K$204="-","",B_Drainage!$K$5:$K$204)),"")</f>
        <v/>
      </c>
      <c r="AC37" s="182" t="str">
        <f>IFERROR(LOOKUP(2,1/((B_Drainage!$A$5:$A$204&lt;&gt;"")*(B_Drainage!$A$5:$A$204&lt;=$B37)*(B_Drainage!$B$5:$B$204&gt;$B37)*(B_Drainage!$L$5:$L$204&lt;&gt;"")),IF(B_Drainage!$L$5:$L$204="-","",B_Drainage!$L$5:$L$204)),"")</f>
        <v/>
      </c>
      <c r="AD37" s="182" t="str">
        <f>IFERROR(LOOKUP(2,1/((D_Points!$A$5:$A$204&lt;&gt;"")*(D_Points!$A$5:$A$204&gt;=$B37)*(D_Points!$A$5:$A$204&lt;$B37+P_Interval)*(UPPER(TRIM(D_Points!$B$5:$B$204))="TURNOUT_L")*(D_Points!$H$5:$H$204&lt;&gt;"")),D_Points!$H$5:$H$204),"")</f>
        <v/>
      </c>
      <c r="AE37" s="182" t="str">
        <f>IFERROR(LOOKUP(2,1/((D_Points!$A$5:$A$204&lt;&gt;"")*(D_Points!$A$5:$A$204&gt;=$B37)*(D_Points!$A$5:$A$204&lt;$B37+P_Interval)*(UPPER(TRIM(D_Points!$B$5:$B$204))="TURNOUT_R")*(D_Points!$H$5:$H$204&lt;&gt;"")),D_Points!$H$5:$H$204),"")</f>
        <v/>
      </c>
      <c r="AF37" s="181" t="str">
        <f>IFERROR(LOOKUP(2,1/((B_Drainage!$A$5:$A$204&lt;&gt;"")*(B_Drainage!$A$5:$A$204&lt;=$B37)*(B_Drainage!$B$5:$B$204&gt;$B37)*(B_Drainage!$M$5:$M$204&lt;&gt;"")),IF(UPPER(B_Drainage!$M$5:$M$204)="Y",1,"")),"")</f>
        <v/>
      </c>
      <c r="AG37" s="181" t="str">
        <f>IFERROR(LOOKUP(2,1/((B_Drainage!$A$5:$A$204&lt;&gt;"")*(B_Drainage!$A$5:$A$204&lt;=$B37)*(B_Drainage!$B$5:$B$204&gt;$B37)*(B_Drainage!$N$5:$N$204&lt;&gt;"")),IF(UPPER(B_Drainage!$N$5:$N$204)="Y",1,"")),"")</f>
        <v/>
      </c>
      <c r="AH37" s="181" t="str">
        <f t="shared" si="0"/>
        <v/>
      </c>
      <c r="AI37" s="181" t="str">
        <f t="shared" si="1"/>
        <v/>
      </c>
      <c r="AJ37" s="181" t="str">
        <f t="shared" si="2"/>
        <v/>
      </c>
      <c r="AK37" s="181" t="str">
        <f t="shared" si="3"/>
        <v/>
      </c>
      <c r="AL37" s="181" t="str">
        <f t="shared" si="4"/>
        <v/>
      </c>
      <c r="AM37" s="181" t="str">
        <f t="shared" si="5"/>
        <v/>
      </c>
      <c r="AN37" s="181" t="str">
        <f t="shared" si="6"/>
        <v/>
      </c>
      <c r="AO37" s="192" t="str">
        <f t="shared" si="7"/>
        <v/>
      </c>
      <c r="AQ37" t="str">
        <f>IFERROR(LOOKUP(2,1/((C_Pavement!$A$5:$A$204&lt;&gt;"")*(C_Pavement!$A$5:$A$204&lt;=$B37)*(C_Pavement!$B$5:$B$204&gt;$B37)*(C_Pavement!$C$5:$C$204&lt;&gt;"")),ROW(C_Pavement!$C$5:$C$204)-4),"")</f>
        <v/>
      </c>
      <c r="AR37" t="str">
        <f>IF($AQ37="","",UPPER(TRIM(INDEX(C_Pavement!$C$5:$C$204,$AQ37))))</f>
        <v/>
      </c>
      <c r="AS37" t="str">
        <f>IF($AR37="","",IFERROR(MATCH($AR37,E_Rules!$A$5:$A$9,0),""))</f>
        <v/>
      </c>
      <c r="AT37" t="str">
        <f>IF($AQ37="","",IF(INDEX(C_Pavement!$D$5:$D$204,$AQ37)&lt;&gt;"",UPPER(TRIM(INDEX(C_Pavement!$D$5:$D$204,$AQ37))),IF($AS37="","",INDEX(E_Rules!$C$5:$C$9,$AS37))))</f>
        <v/>
      </c>
      <c r="AU37" t="str">
        <f>IF($AQ37="","",IF(INDEX(C_Pavement!$E$5:$E$204,$AQ37)&lt;&gt;"",IF(INDEX(C_Pavement!$E$5:$E$204,$AQ37)="-","",INDEX(C_Pavement!$E$5:$E$204,$AQ37)),IF($AS37="","",INDEX(E_Rules!$D$5:$D$9,$AS37))))</f>
        <v/>
      </c>
      <c r="AV37" t="str">
        <f>IF($AQ37="","",IF(INDEX(C_Pavement!$F$5:$F$204,$AQ37)&lt;&gt;"",IF(INDEX(C_Pavement!$F$5:$F$204,$AQ37)="-","",INDEX(C_Pavement!$F$5:$F$204,$AQ37)),IF($AS37="","",INDEX(E_Rules!$E$5:$E$9,$AS37))))</f>
        <v/>
      </c>
      <c r="AW37" t="str">
        <f>IF($AQ37="","",IF(INDEX(C_Pavement!$G$5:$G$204,$AQ37)&lt;&gt;"",IF(INDEX(C_Pavement!$G$5:$G$204,$AQ37)="-","",INDEX(C_Pavement!$G$5:$G$204,$AQ37)),IF($AS37="","",INDEX(E_Rules!$F$5:$F$9,$AS37))))</f>
        <v/>
      </c>
      <c r="AX37" t="str">
        <f>IF($AQ37="","",IF(INDEX(C_Pavement!$H$5:$H$204,$AQ37)&lt;&gt;"",IF(INDEX(C_Pavement!$H$5:$H$204,$AQ37)="-","",INDEX(C_Pavement!$H$5:$H$204,$AQ37)),IF($AS37="","",INDEX(E_Rules!$G$5:$G$9,$AS37))))</f>
        <v/>
      </c>
      <c r="AY37" t="str">
        <f>IF($AQ37="","",IF(INDEX(C_Pavement!$I$5:$I$204,$AQ37)&lt;&gt;"",IF(INDEX(C_Pavement!$I$5:$I$204,$AQ37)="-","",INDEX(C_Pavement!$I$5:$I$204,$AQ37)),IF($AS37="","",INDEX(E_Rules!$H$5:$H$9,$AS37))))</f>
        <v/>
      </c>
    </row>
    <row r="38" spans="1:51" ht="15.75" customHeight="1" x14ac:dyDescent="0.3">
      <c r="A38" s="189">
        <v>33</v>
      </c>
      <c r="B38" s="180">
        <v>1600</v>
      </c>
      <c r="C38" s="180" t="s">
        <v>344</v>
      </c>
      <c r="D38" s="181" t="str">
        <f>IFERROR(LOOKUP(2,1/((A_Corridor!$A$5:$A$204&lt;&gt;"")*(A_Corridor!$A$5:$A$204&lt;=$B38)*(A_Corridor!$B$5:$B$204&gt;$B38)*(A_Corridor!$C$5:$C$204&lt;&gt;"")),IF(UPPER(A_Corridor!$C$5:$C$204)="Y",1,"")),"")</f>
        <v/>
      </c>
      <c r="E38" s="181" t="str">
        <f>IFERROR(LOOKUP(2,1/((A_Corridor!$A$5:$A$204&lt;&gt;"")*(A_Corridor!$A$5:$A$204&lt;=$B38)*(A_Corridor!$B$5:$B$204&gt;$B38)*(A_Corridor!$D$5:$D$204&lt;&gt;"")),IF(A_Corridor!$D$5:$D$204="-","",UPPER(A_Corridor!$D$5:$D$204))),"")</f>
        <v/>
      </c>
      <c r="F38" s="181" t="str">
        <f>IFERROR(LOOKUP(2,1/((A_Corridor!$A$5:$A$204&lt;&gt;"")*(A_Corridor!$A$5:$A$204&lt;=$B38)*(A_Corridor!$B$5:$B$204&gt;$B38)*(A_Corridor!$E$5:$E$204&lt;&gt;"")),IF(A_Corridor!$E$5:$E$204="-","",1)),"")</f>
        <v/>
      </c>
      <c r="G38" s="182" t="str">
        <f>IFERROR(LOOKUP(2,1/((A_Corridor!$A$5:$A$204&lt;&gt;"")*(A_Corridor!$A$5:$A$204&lt;=$B38)*(A_Corridor!$B$5:$B$204&gt;$B38)*(A_Corridor!$E$5:$E$204&lt;&gt;"")),IF(A_Corridor!$E$5:$E$204="-","",A_Corridor!$E$5:$E$204)),"")</f>
        <v/>
      </c>
      <c r="H38" s="182" t="str">
        <f>IFERROR(LOOKUP(2,1/((D_Points!$A$5:$A$204&lt;&gt;"")*(D_Points!$A$5:$A$204&gt;=$B38)*(D_Points!$A$5:$A$204&lt;$B38+P_Interval)*(UPPER(TRIM(D_Points!$B$5:$B$204))="GULLY")*(D_Points!$H$5:$H$204&lt;&gt;"")),D_Points!$H$5:$H$204),"")</f>
        <v/>
      </c>
      <c r="I38" s="181" t="str">
        <f>IFERROR(LOOKUP(2,1/((A_Corridor!$A$5:$A$204&lt;&gt;"")*(A_Corridor!$A$5:$A$204&lt;=$B38)*(A_Corridor!$B$5:$B$204&gt;$B38)*(A_Corridor!$F$5:$F$204&lt;&gt;"")),IF(A_Corridor!$F$5:$F$204="-","",1)),"")</f>
        <v/>
      </c>
      <c r="J38" s="182" t="str">
        <f>IFERROR(LOOKUP(2,1/((A_Corridor!$A$5:$A$204&lt;&gt;"")*(A_Corridor!$A$5:$A$204&lt;=$B38)*(A_Corridor!$B$5:$B$204&gt;$B38)*(A_Corridor!$F$5:$F$204&lt;&gt;"")),IF(A_Corridor!$F$5:$F$204="-","",A_Corridor!$F$5:$F$204)),"")</f>
        <v/>
      </c>
      <c r="K38" s="182" t="str">
        <f>IFERROR(LOOKUP(2,1/((A_Corridor!$A$5:$A$204&lt;&gt;"")*(A_Corridor!$A$5:$A$204&lt;=$B38)*(A_Corridor!$B$5:$B$204&gt;$B38)*(A_Corridor!$G$5:$G$204&lt;&gt;"")),IF(A_Corridor!$G$5:$G$204="-","",A_Corridor!$G$5:$G$204)),"")</f>
        <v/>
      </c>
      <c r="L38" s="181" t="str">
        <f>IFERROR(LOOKUP(2,1/((A_Corridor!$A$5:$A$204&lt;&gt;"")*(A_Corridor!$A$5:$A$204&lt;=$B38)*(A_Corridor!$B$5:$B$204&gt;$B38)*(A_Corridor!$H$5:$H$204&lt;&gt;"")),IF(A_Corridor!$H$5:$H$204="-","",1)),"")</f>
        <v/>
      </c>
      <c r="M38" s="182" t="str">
        <f>IFERROR(LOOKUP(2,1/((A_Corridor!$A$5:$A$204&lt;&gt;"")*(A_Corridor!$A$5:$A$204&lt;=$B38)*(A_Corridor!$B$5:$B$204&gt;$B38)*(A_Corridor!$H$5:$H$204&lt;&gt;"")),IF(A_Corridor!$H$5:$H$204="-","",A_Corridor!$H$5:$H$204)),"")</f>
        <v/>
      </c>
      <c r="N38" s="182" t="str">
        <f>IFERROR(LOOKUP(2,1/((A_Corridor!$A$5:$A$204&lt;&gt;"")*(A_Corridor!$A$5:$A$204&lt;=$B38)*(A_Corridor!$B$5:$B$204&gt;$B38)*(A_Corridor!$I$5:$I$204&lt;&gt;"")),IF(A_Corridor!$I$5:$I$204="-","",A_Corridor!$I$5:$I$204)),"")</f>
        <v/>
      </c>
      <c r="O38" s="182" t="str">
        <f>IFERROR(LOOKUP(2,1/((D_Points!$A$5:$A$204&lt;&gt;"")*(D_Points!$A$5:$A$204&gt;=$B38)*(D_Points!$A$5:$A$204&lt;$B38+P_Interval)*(UPPER(TRIM(D_Points!$B$5:$B$204))="PITCHING")*(D_Points!$H$5:$H$204&lt;&gt;"")),D_Points!$H$5:$H$204),"")</f>
        <v/>
      </c>
      <c r="P38" s="181" t="str">
        <f>IFERROR(LOOKUP(2,1/((B_Drainage!$A$5:$A$204&lt;&gt;"")*(B_Drainage!$A$5:$A$204&lt;=$B38)*(B_Drainage!$B$5:$B$204&gt;$B38)*(B_Drainage!$C$5:$C$204&lt;&gt;"")),IF(B_Drainage!$C$5:$C$204="-","",UPPER(B_Drainage!$C$5:$C$204))),"")</f>
        <v/>
      </c>
      <c r="Q38" s="181" t="str">
        <f>IFERROR(LOOKUP(2,1/((B_Drainage!$A$5:$A$204&lt;&gt;"")*(B_Drainage!$A$5:$A$204&lt;=$B38)*(B_Drainage!$B$5:$B$204&gt;$B38)*(B_Drainage!$D$5:$D$204&lt;&gt;"")),IF(B_Drainage!$D$5:$D$204="-","",UPPER(B_Drainage!$D$5:$D$204))),"")</f>
        <v/>
      </c>
      <c r="R38" s="182" t="str">
        <f>IFERROR(LOOKUP(2,1/((D_Points!$A$5:$A$204&lt;&gt;"")*(D_Points!$A$5:$A$204&gt;=$B38)*(D_Points!$A$5:$A$204&lt;$B38+P_Interval)*(RIGHT(UPPER(TRIM(D_Points!$B$5:$B$204)),8)="_CULVERT")),IF(LEFT(UPPER(TRIM(D_Points!$B$5:$B$204)),2)="EX",1,IF(LEFT(UPPER(TRIM(D_Points!$B$5:$B$204)),2)="PR",2,3))),"")</f>
        <v/>
      </c>
      <c r="S38" s="182" t="str">
        <f>IFERROR(LOOKUP(2,1/((D_Points!$A$5:$A$204&lt;&gt;"")*(D_Points!$A$5:$A$204&gt;=$B38)*(D_Points!$A$5:$A$204&lt;$B38+P_Interval)*(RIGHT(UPPER(TRIM(D_Points!$B$5:$B$204)),7)="_BRIDGE")),IF(LEFT(UPPER(TRIM(D_Points!$B$5:$B$204)),2)="EX",1,IF(LEFT(UPPER(TRIM(D_Points!$B$5:$B$204)),2)="PR",2,2))),"")</f>
        <v/>
      </c>
      <c r="T38" s="181" t="str">
        <f>IFERROR(LOOKUP(2,1/((B_Drainage!$A$5:$A$204&lt;&gt;"")*(B_Drainage!$A$5:$A$204&lt;=$B38)*(B_Drainage!$B$5:$B$204&gt;$B38)*(B_Drainage!$E$5:$E$204&lt;&gt;"")),IF(B_Drainage!$E$5:$E$204="-","",1)),"")</f>
        <v/>
      </c>
      <c r="U38" s="181" t="str">
        <f>IFERROR(LOOKUP(2,1/((B_Drainage!$A$5:$A$204&lt;&gt;"")*(B_Drainage!$A$5:$A$204&lt;=$B38)*(B_Drainage!$B$5:$B$204&gt;$B38)*(B_Drainage!$E$5:$E$204&lt;&gt;"")),IF(B_Drainage!$E$5:$E$204="-","",B_Drainage!$E$5:$E$204)),"")</f>
        <v/>
      </c>
      <c r="V38" s="181" t="str">
        <f>IFERROR(LOOKUP(2,1/((B_Drainage!$A$5:$A$204&lt;&gt;"")*(B_Drainage!$A$5:$A$204&lt;=$B38)*(B_Drainage!$B$5:$B$204&gt;$B38)*(B_Drainage!$F$5:$F$204&lt;&gt;"")),IF(B_Drainage!$F$5:$F$204="-","",1)),"")</f>
        <v/>
      </c>
      <c r="W38" s="181" t="str">
        <f>IFERROR(LOOKUP(2,1/((B_Drainage!$A$5:$A$204&lt;&gt;"")*(B_Drainage!$A$5:$A$204&lt;=$B38)*(B_Drainage!$B$5:$B$204&gt;$B38)*(B_Drainage!$F$5:$F$204&lt;&gt;"")),IF(B_Drainage!$F$5:$F$204="-","",B_Drainage!$F$5:$F$204)),"")</f>
        <v/>
      </c>
      <c r="X38" s="181" t="str">
        <f>IFERROR(LOOKUP(2,1/((B_Drainage!$A$5:$A$204&lt;&gt;"")*(B_Drainage!$A$5:$A$204&lt;=$B38)*(B_Drainage!$B$5:$B$204&gt;$B38)*(B_Drainage!$G$5:$G$204&lt;&gt;"")),IF(UPPER(B_Drainage!$G$5:$G$204)="Y",1,"")),"")</f>
        <v/>
      </c>
      <c r="Y38" s="181" t="str">
        <f>IFERROR(LOOKUP(2,1/((B_Drainage!$A$5:$A$204&lt;&gt;"")*(B_Drainage!$A$5:$A$204&lt;=$B38)*(B_Drainage!$B$5:$B$204&gt;$B38)*(B_Drainage!$H$5:$H$204&lt;&gt;"")),IF(UPPER(B_Drainage!$H$5:$H$204)="Y",1,"")),"")</f>
        <v/>
      </c>
      <c r="Z38" s="181" t="str">
        <f>IFERROR(LOOKUP(2,1/((B_Drainage!$A$5:$A$204&lt;&gt;"")*(B_Drainage!$A$5:$A$204&lt;=$B38)*(B_Drainage!$B$5:$B$204&gt;$B38)*(B_Drainage!$I$5:$I$204&lt;&gt;"")),IF(UPPER(B_Drainage!$I$5:$I$204)="Y",1,"")),"")</f>
        <v/>
      </c>
      <c r="AA38" s="181" t="str">
        <f>IFERROR(LOOKUP(2,1/((B_Drainage!$A$5:$A$204&lt;&gt;"")*(B_Drainage!$A$5:$A$204&lt;=$B38)*(B_Drainage!$B$5:$B$204&gt;$B38)*(B_Drainage!$J$5:$J$204&lt;&gt;"")),IF(UPPER(B_Drainage!$J$5:$J$204)="Y",1,"")),"")</f>
        <v/>
      </c>
      <c r="AB38" s="182" t="str">
        <f>IFERROR(LOOKUP(2,1/((B_Drainage!$A$5:$A$204&lt;&gt;"")*(B_Drainage!$A$5:$A$204&lt;=$B38)*(B_Drainage!$B$5:$B$204&gt;$B38)*(B_Drainage!$K$5:$K$204&lt;&gt;"")),IF(B_Drainage!$K$5:$K$204="-","",B_Drainage!$K$5:$K$204)),"")</f>
        <v/>
      </c>
      <c r="AC38" s="182" t="str">
        <f>IFERROR(LOOKUP(2,1/((B_Drainage!$A$5:$A$204&lt;&gt;"")*(B_Drainage!$A$5:$A$204&lt;=$B38)*(B_Drainage!$B$5:$B$204&gt;$B38)*(B_Drainage!$L$5:$L$204&lt;&gt;"")),IF(B_Drainage!$L$5:$L$204="-","",B_Drainage!$L$5:$L$204)),"")</f>
        <v/>
      </c>
      <c r="AD38" s="182" t="str">
        <f>IFERROR(LOOKUP(2,1/((D_Points!$A$5:$A$204&lt;&gt;"")*(D_Points!$A$5:$A$204&gt;=$B38)*(D_Points!$A$5:$A$204&lt;$B38+P_Interval)*(UPPER(TRIM(D_Points!$B$5:$B$204))="TURNOUT_L")*(D_Points!$H$5:$H$204&lt;&gt;"")),D_Points!$H$5:$H$204),"")</f>
        <v/>
      </c>
      <c r="AE38" s="182" t="str">
        <f>IFERROR(LOOKUP(2,1/((D_Points!$A$5:$A$204&lt;&gt;"")*(D_Points!$A$5:$A$204&gt;=$B38)*(D_Points!$A$5:$A$204&lt;$B38+P_Interval)*(UPPER(TRIM(D_Points!$B$5:$B$204))="TURNOUT_R")*(D_Points!$H$5:$H$204&lt;&gt;"")),D_Points!$H$5:$H$204),"")</f>
        <v/>
      </c>
      <c r="AF38" s="181" t="str">
        <f>IFERROR(LOOKUP(2,1/((B_Drainage!$A$5:$A$204&lt;&gt;"")*(B_Drainage!$A$5:$A$204&lt;=$B38)*(B_Drainage!$B$5:$B$204&gt;$B38)*(B_Drainage!$M$5:$M$204&lt;&gt;"")),IF(UPPER(B_Drainage!$M$5:$M$204)="Y",1,"")),"")</f>
        <v/>
      </c>
      <c r="AG38" s="181" t="str">
        <f>IFERROR(LOOKUP(2,1/((B_Drainage!$A$5:$A$204&lt;&gt;"")*(B_Drainage!$A$5:$A$204&lt;=$B38)*(B_Drainage!$B$5:$B$204&gt;$B38)*(B_Drainage!$N$5:$N$204&lt;&gt;"")),IF(UPPER(B_Drainage!$N$5:$N$204)="Y",1,"")),"")</f>
        <v/>
      </c>
      <c r="AH38" s="181" t="str">
        <f t="shared" si="0"/>
        <v/>
      </c>
      <c r="AI38" s="181" t="str">
        <f t="shared" si="1"/>
        <v/>
      </c>
      <c r="AJ38" s="181" t="str">
        <f t="shared" si="2"/>
        <v/>
      </c>
      <c r="AK38" s="181" t="str">
        <f t="shared" si="3"/>
        <v/>
      </c>
      <c r="AL38" s="181" t="str">
        <f t="shared" si="4"/>
        <v/>
      </c>
      <c r="AM38" s="181" t="str">
        <f t="shared" si="5"/>
        <v/>
      </c>
      <c r="AN38" s="181" t="str">
        <f t="shared" si="6"/>
        <v/>
      </c>
      <c r="AO38" s="192" t="str">
        <f t="shared" si="7"/>
        <v/>
      </c>
      <c r="AQ38" t="str">
        <f>IFERROR(LOOKUP(2,1/((C_Pavement!$A$5:$A$204&lt;&gt;"")*(C_Pavement!$A$5:$A$204&lt;=$B38)*(C_Pavement!$B$5:$B$204&gt;$B38)*(C_Pavement!$C$5:$C$204&lt;&gt;"")),ROW(C_Pavement!$C$5:$C$204)-4),"")</f>
        <v/>
      </c>
      <c r="AR38" t="str">
        <f>IF($AQ38="","",UPPER(TRIM(INDEX(C_Pavement!$C$5:$C$204,$AQ38))))</f>
        <v/>
      </c>
      <c r="AS38" t="str">
        <f>IF($AR38="","",IFERROR(MATCH($AR38,E_Rules!$A$5:$A$9,0),""))</f>
        <v/>
      </c>
      <c r="AT38" t="str">
        <f>IF($AQ38="","",IF(INDEX(C_Pavement!$D$5:$D$204,$AQ38)&lt;&gt;"",UPPER(TRIM(INDEX(C_Pavement!$D$5:$D$204,$AQ38))),IF($AS38="","",INDEX(E_Rules!$C$5:$C$9,$AS38))))</f>
        <v/>
      </c>
      <c r="AU38" t="str">
        <f>IF($AQ38="","",IF(INDEX(C_Pavement!$E$5:$E$204,$AQ38)&lt;&gt;"",IF(INDEX(C_Pavement!$E$5:$E$204,$AQ38)="-","",INDEX(C_Pavement!$E$5:$E$204,$AQ38)),IF($AS38="","",INDEX(E_Rules!$D$5:$D$9,$AS38))))</f>
        <v/>
      </c>
      <c r="AV38" t="str">
        <f>IF($AQ38="","",IF(INDEX(C_Pavement!$F$5:$F$204,$AQ38)&lt;&gt;"",IF(INDEX(C_Pavement!$F$5:$F$204,$AQ38)="-","",INDEX(C_Pavement!$F$5:$F$204,$AQ38)),IF($AS38="","",INDEX(E_Rules!$E$5:$E$9,$AS38))))</f>
        <v/>
      </c>
      <c r="AW38" t="str">
        <f>IF($AQ38="","",IF(INDEX(C_Pavement!$G$5:$G$204,$AQ38)&lt;&gt;"",IF(INDEX(C_Pavement!$G$5:$G$204,$AQ38)="-","",INDEX(C_Pavement!$G$5:$G$204,$AQ38)),IF($AS38="","",INDEX(E_Rules!$F$5:$F$9,$AS38))))</f>
        <v/>
      </c>
      <c r="AX38" t="str">
        <f>IF($AQ38="","",IF(INDEX(C_Pavement!$H$5:$H$204,$AQ38)&lt;&gt;"",IF(INDEX(C_Pavement!$H$5:$H$204,$AQ38)="-","",INDEX(C_Pavement!$H$5:$H$204,$AQ38)),IF($AS38="","",INDEX(E_Rules!$G$5:$G$9,$AS38))))</f>
        <v/>
      </c>
      <c r="AY38" t="str">
        <f>IF($AQ38="","",IF(INDEX(C_Pavement!$I$5:$I$204,$AQ38)&lt;&gt;"",IF(INDEX(C_Pavement!$I$5:$I$204,$AQ38)="-","",INDEX(C_Pavement!$I$5:$I$204,$AQ38)),IF($AS38="","",INDEX(E_Rules!$H$5:$H$9,$AS38))))</f>
        <v/>
      </c>
    </row>
    <row r="39" spans="1:51" ht="15.75" customHeight="1" x14ac:dyDescent="0.3">
      <c r="A39" s="189">
        <v>34</v>
      </c>
      <c r="B39" s="180">
        <v>1650</v>
      </c>
      <c r="C39" s="180" t="s">
        <v>345</v>
      </c>
      <c r="D39" s="181" t="str">
        <f>IFERROR(LOOKUP(2,1/((A_Corridor!$A$5:$A$204&lt;&gt;"")*(A_Corridor!$A$5:$A$204&lt;=$B39)*(A_Corridor!$B$5:$B$204&gt;$B39)*(A_Corridor!$C$5:$C$204&lt;&gt;"")),IF(UPPER(A_Corridor!$C$5:$C$204)="Y",1,"")),"")</f>
        <v/>
      </c>
      <c r="E39" s="181" t="str">
        <f>IFERROR(LOOKUP(2,1/((A_Corridor!$A$5:$A$204&lt;&gt;"")*(A_Corridor!$A$5:$A$204&lt;=$B39)*(A_Corridor!$B$5:$B$204&gt;$B39)*(A_Corridor!$D$5:$D$204&lt;&gt;"")),IF(A_Corridor!$D$5:$D$204="-","",UPPER(A_Corridor!$D$5:$D$204))),"")</f>
        <v/>
      </c>
      <c r="F39" s="181" t="str">
        <f>IFERROR(LOOKUP(2,1/((A_Corridor!$A$5:$A$204&lt;&gt;"")*(A_Corridor!$A$5:$A$204&lt;=$B39)*(A_Corridor!$B$5:$B$204&gt;$B39)*(A_Corridor!$E$5:$E$204&lt;&gt;"")),IF(A_Corridor!$E$5:$E$204="-","",1)),"")</f>
        <v/>
      </c>
      <c r="G39" s="182" t="str">
        <f>IFERROR(LOOKUP(2,1/((A_Corridor!$A$5:$A$204&lt;&gt;"")*(A_Corridor!$A$5:$A$204&lt;=$B39)*(A_Corridor!$B$5:$B$204&gt;$B39)*(A_Corridor!$E$5:$E$204&lt;&gt;"")),IF(A_Corridor!$E$5:$E$204="-","",A_Corridor!$E$5:$E$204)),"")</f>
        <v/>
      </c>
      <c r="H39" s="182" t="str">
        <f>IFERROR(LOOKUP(2,1/((D_Points!$A$5:$A$204&lt;&gt;"")*(D_Points!$A$5:$A$204&gt;=$B39)*(D_Points!$A$5:$A$204&lt;$B39+P_Interval)*(UPPER(TRIM(D_Points!$B$5:$B$204))="GULLY")*(D_Points!$H$5:$H$204&lt;&gt;"")),D_Points!$H$5:$H$204),"")</f>
        <v/>
      </c>
      <c r="I39" s="181" t="str">
        <f>IFERROR(LOOKUP(2,1/((A_Corridor!$A$5:$A$204&lt;&gt;"")*(A_Corridor!$A$5:$A$204&lt;=$B39)*(A_Corridor!$B$5:$B$204&gt;$B39)*(A_Corridor!$F$5:$F$204&lt;&gt;"")),IF(A_Corridor!$F$5:$F$204="-","",1)),"")</f>
        <v/>
      </c>
      <c r="J39" s="182" t="str">
        <f>IFERROR(LOOKUP(2,1/((A_Corridor!$A$5:$A$204&lt;&gt;"")*(A_Corridor!$A$5:$A$204&lt;=$B39)*(A_Corridor!$B$5:$B$204&gt;$B39)*(A_Corridor!$F$5:$F$204&lt;&gt;"")),IF(A_Corridor!$F$5:$F$204="-","",A_Corridor!$F$5:$F$204)),"")</f>
        <v/>
      </c>
      <c r="K39" s="182" t="str">
        <f>IFERROR(LOOKUP(2,1/((A_Corridor!$A$5:$A$204&lt;&gt;"")*(A_Corridor!$A$5:$A$204&lt;=$B39)*(A_Corridor!$B$5:$B$204&gt;$B39)*(A_Corridor!$G$5:$G$204&lt;&gt;"")),IF(A_Corridor!$G$5:$G$204="-","",A_Corridor!$G$5:$G$204)),"")</f>
        <v/>
      </c>
      <c r="L39" s="181" t="str">
        <f>IFERROR(LOOKUP(2,1/((A_Corridor!$A$5:$A$204&lt;&gt;"")*(A_Corridor!$A$5:$A$204&lt;=$B39)*(A_Corridor!$B$5:$B$204&gt;$B39)*(A_Corridor!$H$5:$H$204&lt;&gt;"")),IF(A_Corridor!$H$5:$H$204="-","",1)),"")</f>
        <v/>
      </c>
      <c r="M39" s="182" t="str">
        <f>IFERROR(LOOKUP(2,1/((A_Corridor!$A$5:$A$204&lt;&gt;"")*(A_Corridor!$A$5:$A$204&lt;=$B39)*(A_Corridor!$B$5:$B$204&gt;$B39)*(A_Corridor!$H$5:$H$204&lt;&gt;"")),IF(A_Corridor!$H$5:$H$204="-","",A_Corridor!$H$5:$H$204)),"")</f>
        <v/>
      </c>
      <c r="N39" s="182" t="str">
        <f>IFERROR(LOOKUP(2,1/((A_Corridor!$A$5:$A$204&lt;&gt;"")*(A_Corridor!$A$5:$A$204&lt;=$B39)*(A_Corridor!$B$5:$B$204&gt;$B39)*(A_Corridor!$I$5:$I$204&lt;&gt;"")),IF(A_Corridor!$I$5:$I$204="-","",A_Corridor!$I$5:$I$204)),"")</f>
        <v/>
      </c>
      <c r="O39" s="182" t="str">
        <f>IFERROR(LOOKUP(2,1/((D_Points!$A$5:$A$204&lt;&gt;"")*(D_Points!$A$5:$A$204&gt;=$B39)*(D_Points!$A$5:$A$204&lt;$B39+P_Interval)*(UPPER(TRIM(D_Points!$B$5:$B$204))="PITCHING")*(D_Points!$H$5:$H$204&lt;&gt;"")),D_Points!$H$5:$H$204),"")</f>
        <v/>
      </c>
      <c r="P39" s="181" t="str">
        <f>IFERROR(LOOKUP(2,1/((B_Drainage!$A$5:$A$204&lt;&gt;"")*(B_Drainage!$A$5:$A$204&lt;=$B39)*(B_Drainage!$B$5:$B$204&gt;$B39)*(B_Drainage!$C$5:$C$204&lt;&gt;"")),IF(B_Drainage!$C$5:$C$204="-","",UPPER(B_Drainage!$C$5:$C$204))),"")</f>
        <v/>
      </c>
      <c r="Q39" s="181" t="str">
        <f>IFERROR(LOOKUP(2,1/((B_Drainage!$A$5:$A$204&lt;&gt;"")*(B_Drainage!$A$5:$A$204&lt;=$B39)*(B_Drainage!$B$5:$B$204&gt;$B39)*(B_Drainage!$D$5:$D$204&lt;&gt;"")),IF(B_Drainage!$D$5:$D$204="-","",UPPER(B_Drainage!$D$5:$D$204))),"")</f>
        <v/>
      </c>
      <c r="R39" s="182" t="str">
        <f>IFERROR(LOOKUP(2,1/((D_Points!$A$5:$A$204&lt;&gt;"")*(D_Points!$A$5:$A$204&gt;=$B39)*(D_Points!$A$5:$A$204&lt;$B39+P_Interval)*(RIGHT(UPPER(TRIM(D_Points!$B$5:$B$204)),8)="_CULVERT")),IF(LEFT(UPPER(TRIM(D_Points!$B$5:$B$204)),2)="EX",1,IF(LEFT(UPPER(TRIM(D_Points!$B$5:$B$204)),2)="PR",2,3))),"")</f>
        <v/>
      </c>
      <c r="S39" s="182" t="str">
        <f>IFERROR(LOOKUP(2,1/((D_Points!$A$5:$A$204&lt;&gt;"")*(D_Points!$A$5:$A$204&gt;=$B39)*(D_Points!$A$5:$A$204&lt;$B39+P_Interval)*(RIGHT(UPPER(TRIM(D_Points!$B$5:$B$204)),7)="_BRIDGE")),IF(LEFT(UPPER(TRIM(D_Points!$B$5:$B$204)),2)="EX",1,IF(LEFT(UPPER(TRIM(D_Points!$B$5:$B$204)),2)="PR",2,2))),"")</f>
        <v/>
      </c>
      <c r="T39" s="181" t="str">
        <f>IFERROR(LOOKUP(2,1/((B_Drainage!$A$5:$A$204&lt;&gt;"")*(B_Drainage!$A$5:$A$204&lt;=$B39)*(B_Drainage!$B$5:$B$204&gt;$B39)*(B_Drainage!$E$5:$E$204&lt;&gt;"")),IF(B_Drainage!$E$5:$E$204="-","",1)),"")</f>
        <v/>
      </c>
      <c r="U39" s="181" t="str">
        <f>IFERROR(LOOKUP(2,1/((B_Drainage!$A$5:$A$204&lt;&gt;"")*(B_Drainage!$A$5:$A$204&lt;=$B39)*(B_Drainage!$B$5:$B$204&gt;$B39)*(B_Drainage!$E$5:$E$204&lt;&gt;"")),IF(B_Drainage!$E$5:$E$204="-","",B_Drainage!$E$5:$E$204)),"")</f>
        <v/>
      </c>
      <c r="V39" s="181" t="str">
        <f>IFERROR(LOOKUP(2,1/((B_Drainage!$A$5:$A$204&lt;&gt;"")*(B_Drainage!$A$5:$A$204&lt;=$B39)*(B_Drainage!$B$5:$B$204&gt;$B39)*(B_Drainage!$F$5:$F$204&lt;&gt;"")),IF(B_Drainage!$F$5:$F$204="-","",1)),"")</f>
        <v/>
      </c>
      <c r="W39" s="181" t="str">
        <f>IFERROR(LOOKUP(2,1/((B_Drainage!$A$5:$A$204&lt;&gt;"")*(B_Drainage!$A$5:$A$204&lt;=$B39)*(B_Drainage!$B$5:$B$204&gt;$B39)*(B_Drainage!$F$5:$F$204&lt;&gt;"")),IF(B_Drainage!$F$5:$F$204="-","",B_Drainage!$F$5:$F$204)),"")</f>
        <v/>
      </c>
      <c r="X39" s="181" t="str">
        <f>IFERROR(LOOKUP(2,1/((B_Drainage!$A$5:$A$204&lt;&gt;"")*(B_Drainage!$A$5:$A$204&lt;=$B39)*(B_Drainage!$B$5:$B$204&gt;$B39)*(B_Drainage!$G$5:$G$204&lt;&gt;"")),IF(UPPER(B_Drainage!$G$5:$G$204)="Y",1,"")),"")</f>
        <v/>
      </c>
      <c r="Y39" s="181" t="str">
        <f>IFERROR(LOOKUP(2,1/((B_Drainage!$A$5:$A$204&lt;&gt;"")*(B_Drainage!$A$5:$A$204&lt;=$B39)*(B_Drainage!$B$5:$B$204&gt;$B39)*(B_Drainage!$H$5:$H$204&lt;&gt;"")),IF(UPPER(B_Drainage!$H$5:$H$204)="Y",1,"")),"")</f>
        <v/>
      </c>
      <c r="Z39" s="181" t="str">
        <f>IFERROR(LOOKUP(2,1/((B_Drainage!$A$5:$A$204&lt;&gt;"")*(B_Drainage!$A$5:$A$204&lt;=$B39)*(B_Drainage!$B$5:$B$204&gt;$B39)*(B_Drainage!$I$5:$I$204&lt;&gt;"")),IF(UPPER(B_Drainage!$I$5:$I$204)="Y",1,"")),"")</f>
        <v/>
      </c>
      <c r="AA39" s="181" t="str">
        <f>IFERROR(LOOKUP(2,1/((B_Drainage!$A$5:$A$204&lt;&gt;"")*(B_Drainage!$A$5:$A$204&lt;=$B39)*(B_Drainage!$B$5:$B$204&gt;$B39)*(B_Drainage!$J$5:$J$204&lt;&gt;"")),IF(UPPER(B_Drainage!$J$5:$J$204)="Y",1,"")),"")</f>
        <v/>
      </c>
      <c r="AB39" s="182" t="str">
        <f>IFERROR(LOOKUP(2,1/((B_Drainage!$A$5:$A$204&lt;&gt;"")*(B_Drainage!$A$5:$A$204&lt;=$B39)*(B_Drainage!$B$5:$B$204&gt;$B39)*(B_Drainage!$K$5:$K$204&lt;&gt;"")),IF(B_Drainage!$K$5:$K$204="-","",B_Drainage!$K$5:$K$204)),"")</f>
        <v/>
      </c>
      <c r="AC39" s="182" t="str">
        <f>IFERROR(LOOKUP(2,1/((B_Drainage!$A$5:$A$204&lt;&gt;"")*(B_Drainage!$A$5:$A$204&lt;=$B39)*(B_Drainage!$B$5:$B$204&gt;$B39)*(B_Drainage!$L$5:$L$204&lt;&gt;"")),IF(B_Drainage!$L$5:$L$204="-","",B_Drainage!$L$5:$L$204)),"")</f>
        <v/>
      </c>
      <c r="AD39" s="182" t="str">
        <f>IFERROR(LOOKUP(2,1/((D_Points!$A$5:$A$204&lt;&gt;"")*(D_Points!$A$5:$A$204&gt;=$B39)*(D_Points!$A$5:$A$204&lt;$B39+P_Interval)*(UPPER(TRIM(D_Points!$B$5:$B$204))="TURNOUT_L")*(D_Points!$H$5:$H$204&lt;&gt;"")),D_Points!$H$5:$H$204),"")</f>
        <v/>
      </c>
      <c r="AE39" s="182" t="str">
        <f>IFERROR(LOOKUP(2,1/((D_Points!$A$5:$A$204&lt;&gt;"")*(D_Points!$A$5:$A$204&gt;=$B39)*(D_Points!$A$5:$A$204&lt;$B39+P_Interval)*(UPPER(TRIM(D_Points!$B$5:$B$204))="TURNOUT_R")*(D_Points!$H$5:$H$204&lt;&gt;"")),D_Points!$H$5:$H$204),"")</f>
        <v/>
      </c>
      <c r="AF39" s="181" t="str">
        <f>IFERROR(LOOKUP(2,1/((B_Drainage!$A$5:$A$204&lt;&gt;"")*(B_Drainage!$A$5:$A$204&lt;=$B39)*(B_Drainage!$B$5:$B$204&gt;$B39)*(B_Drainage!$M$5:$M$204&lt;&gt;"")),IF(UPPER(B_Drainage!$M$5:$M$204)="Y",1,"")),"")</f>
        <v/>
      </c>
      <c r="AG39" s="181" t="str">
        <f>IFERROR(LOOKUP(2,1/((B_Drainage!$A$5:$A$204&lt;&gt;"")*(B_Drainage!$A$5:$A$204&lt;=$B39)*(B_Drainage!$B$5:$B$204&gt;$B39)*(B_Drainage!$N$5:$N$204&lt;&gt;"")),IF(UPPER(B_Drainage!$N$5:$N$204)="Y",1,"")),"")</f>
        <v/>
      </c>
      <c r="AH39" s="181" t="str">
        <f t="shared" si="0"/>
        <v/>
      </c>
      <c r="AI39" s="181" t="str">
        <f t="shared" si="1"/>
        <v/>
      </c>
      <c r="AJ39" s="181" t="str">
        <f t="shared" si="2"/>
        <v/>
      </c>
      <c r="AK39" s="181" t="str">
        <f t="shared" si="3"/>
        <v/>
      </c>
      <c r="AL39" s="181" t="str">
        <f t="shared" si="4"/>
        <v/>
      </c>
      <c r="AM39" s="181" t="str">
        <f t="shared" si="5"/>
        <v/>
      </c>
      <c r="AN39" s="181" t="str">
        <f t="shared" si="6"/>
        <v/>
      </c>
      <c r="AO39" s="192" t="str">
        <f t="shared" si="7"/>
        <v/>
      </c>
      <c r="AQ39" t="str">
        <f>IFERROR(LOOKUP(2,1/((C_Pavement!$A$5:$A$204&lt;&gt;"")*(C_Pavement!$A$5:$A$204&lt;=$B39)*(C_Pavement!$B$5:$B$204&gt;$B39)*(C_Pavement!$C$5:$C$204&lt;&gt;"")),ROW(C_Pavement!$C$5:$C$204)-4),"")</f>
        <v/>
      </c>
      <c r="AR39" t="str">
        <f>IF($AQ39="","",UPPER(TRIM(INDEX(C_Pavement!$C$5:$C$204,$AQ39))))</f>
        <v/>
      </c>
      <c r="AS39" t="str">
        <f>IF($AR39="","",IFERROR(MATCH($AR39,E_Rules!$A$5:$A$9,0),""))</f>
        <v/>
      </c>
      <c r="AT39" t="str">
        <f>IF($AQ39="","",IF(INDEX(C_Pavement!$D$5:$D$204,$AQ39)&lt;&gt;"",UPPER(TRIM(INDEX(C_Pavement!$D$5:$D$204,$AQ39))),IF($AS39="","",INDEX(E_Rules!$C$5:$C$9,$AS39))))</f>
        <v/>
      </c>
      <c r="AU39" t="str">
        <f>IF($AQ39="","",IF(INDEX(C_Pavement!$E$5:$E$204,$AQ39)&lt;&gt;"",IF(INDEX(C_Pavement!$E$5:$E$204,$AQ39)="-","",INDEX(C_Pavement!$E$5:$E$204,$AQ39)),IF($AS39="","",INDEX(E_Rules!$D$5:$D$9,$AS39))))</f>
        <v/>
      </c>
      <c r="AV39" t="str">
        <f>IF($AQ39="","",IF(INDEX(C_Pavement!$F$5:$F$204,$AQ39)&lt;&gt;"",IF(INDEX(C_Pavement!$F$5:$F$204,$AQ39)="-","",INDEX(C_Pavement!$F$5:$F$204,$AQ39)),IF($AS39="","",INDEX(E_Rules!$E$5:$E$9,$AS39))))</f>
        <v/>
      </c>
      <c r="AW39" t="str">
        <f>IF($AQ39="","",IF(INDEX(C_Pavement!$G$5:$G$204,$AQ39)&lt;&gt;"",IF(INDEX(C_Pavement!$G$5:$G$204,$AQ39)="-","",INDEX(C_Pavement!$G$5:$G$204,$AQ39)),IF($AS39="","",INDEX(E_Rules!$F$5:$F$9,$AS39))))</f>
        <v/>
      </c>
      <c r="AX39" t="str">
        <f>IF($AQ39="","",IF(INDEX(C_Pavement!$H$5:$H$204,$AQ39)&lt;&gt;"",IF(INDEX(C_Pavement!$H$5:$H$204,$AQ39)="-","",INDEX(C_Pavement!$H$5:$H$204,$AQ39)),IF($AS39="","",INDEX(E_Rules!$G$5:$G$9,$AS39))))</f>
        <v/>
      </c>
      <c r="AY39" t="str">
        <f>IF($AQ39="","",IF(INDEX(C_Pavement!$I$5:$I$204,$AQ39)&lt;&gt;"",IF(INDEX(C_Pavement!$I$5:$I$204,$AQ39)="-","",INDEX(C_Pavement!$I$5:$I$204,$AQ39)),IF($AS39="","",INDEX(E_Rules!$H$5:$H$9,$AS39))))</f>
        <v/>
      </c>
    </row>
    <row r="40" spans="1:51" ht="15.75" customHeight="1" x14ac:dyDescent="0.3">
      <c r="A40" s="189">
        <v>35</v>
      </c>
      <c r="B40" s="180">
        <v>1700</v>
      </c>
      <c r="C40" s="180" t="s">
        <v>346</v>
      </c>
      <c r="D40" s="181" t="str">
        <f>IFERROR(LOOKUP(2,1/((A_Corridor!$A$5:$A$204&lt;&gt;"")*(A_Corridor!$A$5:$A$204&lt;=$B40)*(A_Corridor!$B$5:$B$204&gt;$B40)*(A_Corridor!$C$5:$C$204&lt;&gt;"")),IF(UPPER(A_Corridor!$C$5:$C$204)="Y",1,"")),"")</f>
        <v/>
      </c>
      <c r="E40" s="181" t="str">
        <f>IFERROR(LOOKUP(2,1/((A_Corridor!$A$5:$A$204&lt;&gt;"")*(A_Corridor!$A$5:$A$204&lt;=$B40)*(A_Corridor!$B$5:$B$204&gt;$B40)*(A_Corridor!$D$5:$D$204&lt;&gt;"")),IF(A_Corridor!$D$5:$D$204="-","",UPPER(A_Corridor!$D$5:$D$204))),"")</f>
        <v/>
      </c>
      <c r="F40" s="181" t="str">
        <f>IFERROR(LOOKUP(2,1/((A_Corridor!$A$5:$A$204&lt;&gt;"")*(A_Corridor!$A$5:$A$204&lt;=$B40)*(A_Corridor!$B$5:$B$204&gt;$B40)*(A_Corridor!$E$5:$E$204&lt;&gt;"")),IF(A_Corridor!$E$5:$E$204="-","",1)),"")</f>
        <v/>
      </c>
      <c r="G40" s="182" t="str">
        <f>IFERROR(LOOKUP(2,1/((A_Corridor!$A$5:$A$204&lt;&gt;"")*(A_Corridor!$A$5:$A$204&lt;=$B40)*(A_Corridor!$B$5:$B$204&gt;$B40)*(A_Corridor!$E$5:$E$204&lt;&gt;"")),IF(A_Corridor!$E$5:$E$204="-","",A_Corridor!$E$5:$E$204)),"")</f>
        <v/>
      </c>
      <c r="H40" s="182" t="str">
        <f>IFERROR(LOOKUP(2,1/((D_Points!$A$5:$A$204&lt;&gt;"")*(D_Points!$A$5:$A$204&gt;=$B40)*(D_Points!$A$5:$A$204&lt;$B40+P_Interval)*(UPPER(TRIM(D_Points!$B$5:$B$204))="GULLY")*(D_Points!$H$5:$H$204&lt;&gt;"")),D_Points!$H$5:$H$204),"")</f>
        <v/>
      </c>
      <c r="I40" s="181" t="str">
        <f>IFERROR(LOOKUP(2,1/((A_Corridor!$A$5:$A$204&lt;&gt;"")*(A_Corridor!$A$5:$A$204&lt;=$B40)*(A_Corridor!$B$5:$B$204&gt;$B40)*(A_Corridor!$F$5:$F$204&lt;&gt;"")),IF(A_Corridor!$F$5:$F$204="-","",1)),"")</f>
        <v/>
      </c>
      <c r="J40" s="182" t="str">
        <f>IFERROR(LOOKUP(2,1/((A_Corridor!$A$5:$A$204&lt;&gt;"")*(A_Corridor!$A$5:$A$204&lt;=$B40)*(A_Corridor!$B$5:$B$204&gt;$B40)*(A_Corridor!$F$5:$F$204&lt;&gt;"")),IF(A_Corridor!$F$5:$F$204="-","",A_Corridor!$F$5:$F$204)),"")</f>
        <v/>
      </c>
      <c r="K40" s="182" t="str">
        <f>IFERROR(LOOKUP(2,1/((A_Corridor!$A$5:$A$204&lt;&gt;"")*(A_Corridor!$A$5:$A$204&lt;=$B40)*(A_Corridor!$B$5:$B$204&gt;$B40)*(A_Corridor!$G$5:$G$204&lt;&gt;"")),IF(A_Corridor!$G$5:$G$204="-","",A_Corridor!$G$5:$G$204)),"")</f>
        <v/>
      </c>
      <c r="L40" s="181" t="str">
        <f>IFERROR(LOOKUP(2,1/((A_Corridor!$A$5:$A$204&lt;&gt;"")*(A_Corridor!$A$5:$A$204&lt;=$B40)*(A_Corridor!$B$5:$B$204&gt;$B40)*(A_Corridor!$H$5:$H$204&lt;&gt;"")),IF(A_Corridor!$H$5:$H$204="-","",1)),"")</f>
        <v/>
      </c>
      <c r="M40" s="182" t="str">
        <f>IFERROR(LOOKUP(2,1/((A_Corridor!$A$5:$A$204&lt;&gt;"")*(A_Corridor!$A$5:$A$204&lt;=$B40)*(A_Corridor!$B$5:$B$204&gt;$B40)*(A_Corridor!$H$5:$H$204&lt;&gt;"")),IF(A_Corridor!$H$5:$H$204="-","",A_Corridor!$H$5:$H$204)),"")</f>
        <v/>
      </c>
      <c r="N40" s="182" t="str">
        <f>IFERROR(LOOKUP(2,1/((A_Corridor!$A$5:$A$204&lt;&gt;"")*(A_Corridor!$A$5:$A$204&lt;=$B40)*(A_Corridor!$B$5:$B$204&gt;$B40)*(A_Corridor!$I$5:$I$204&lt;&gt;"")),IF(A_Corridor!$I$5:$I$204="-","",A_Corridor!$I$5:$I$204)),"")</f>
        <v/>
      </c>
      <c r="O40" s="182" t="str">
        <f>IFERROR(LOOKUP(2,1/((D_Points!$A$5:$A$204&lt;&gt;"")*(D_Points!$A$5:$A$204&gt;=$B40)*(D_Points!$A$5:$A$204&lt;$B40+P_Interval)*(UPPER(TRIM(D_Points!$B$5:$B$204))="PITCHING")*(D_Points!$H$5:$H$204&lt;&gt;"")),D_Points!$H$5:$H$204),"")</f>
        <v/>
      </c>
      <c r="P40" s="181" t="str">
        <f>IFERROR(LOOKUP(2,1/((B_Drainage!$A$5:$A$204&lt;&gt;"")*(B_Drainage!$A$5:$A$204&lt;=$B40)*(B_Drainage!$B$5:$B$204&gt;$B40)*(B_Drainage!$C$5:$C$204&lt;&gt;"")),IF(B_Drainage!$C$5:$C$204="-","",UPPER(B_Drainage!$C$5:$C$204))),"")</f>
        <v/>
      </c>
      <c r="Q40" s="181" t="str">
        <f>IFERROR(LOOKUP(2,1/((B_Drainage!$A$5:$A$204&lt;&gt;"")*(B_Drainage!$A$5:$A$204&lt;=$B40)*(B_Drainage!$B$5:$B$204&gt;$B40)*(B_Drainage!$D$5:$D$204&lt;&gt;"")),IF(B_Drainage!$D$5:$D$204="-","",UPPER(B_Drainage!$D$5:$D$204))),"")</f>
        <v/>
      </c>
      <c r="R40" s="182" t="str">
        <f>IFERROR(LOOKUP(2,1/((D_Points!$A$5:$A$204&lt;&gt;"")*(D_Points!$A$5:$A$204&gt;=$B40)*(D_Points!$A$5:$A$204&lt;$B40+P_Interval)*(RIGHT(UPPER(TRIM(D_Points!$B$5:$B$204)),8)="_CULVERT")),IF(LEFT(UPPER(TRIM(D_Points!$B$5:$B$204)),2)="EX",1,IF(LEFT(UPPER(TRIM(D_Points!$B$5:$B$204)),2)="PR",2,3))),"")</f>
        <v/>
      </c>
      <c r="S40" s="182" t="str">
        <f>IFERROR(LOOKUP(2,1/((D_Points!$A$5:$A$204&lt;&gt;"")*(D_Points!$A$5:$A$204&gt;=$B40)*(D_Points!$A$5:$A$204&lt;$B40+P_Interval)*(RIGHT(UPPER(TRIM(D_Points!$B$5:$B$204)),7)="_BRIDGE")),IF(LEFT(UPPER(TRIM(D_Points!$B$5:$B$204)),2)="EX",1,IF(LEFT(UPPER(TRIM(D_Points!$B$5:$B$204)),2)="PR",2,2))),"")</f>
        <v/>
      </c>
      <c r="T40" s="181" t="str">
        <f>IFERROR(LOOKUP(2,1/((B_Drainage!$A$5:$A$204&lt;&gt;"")*(B_Drainage!$A$5:$A$204&lt;=$B40)*(B_Drainage!$B$5:$B$204&gt;$B40)*(B_Drainage!$E$5:$E$204&lt;&gt;"")),IF(B_Drainage!$E$5:$E$204="-","",1)),"")</f>
        <v/>
      </c>
      <c r="U40" s="181" t="str">
        <f>IFERROR(LOOKUP(2,1/((B_Drainage!$A$5:$A$204&lt;&gt;"")*(B_Drainage!$A$5:$A$204&lt;=$B40)*(B_Drainage!$B$5:$B$204&gt;$B40)*(B_Drainage!$E$5:$E$204&lt;&gt;"")),IF(B_Drainage!$E$5:$E$204="-","",B_Drainage!$E$5:$E$204)),"")</f>
        <v/>
      </c>
      <c r="V40" s="181" t="str">
        <f>IFERROR(LOOKUP(2,1/((B_Drainage!$A$5:$A$204&lt;&gt;"")*(B_Drainage!$A$5:$A$204&lt;=$B40)*(B_Drainage!$B$5:$B$204&gt;$B40)*(B_Drainage!$F$5:$F$204&lt;&gt;"")),IF(B_Drainage!$F$5:$F$204="-","",1)),"")</f>
        <v/>
      </c>
      <c r="W40" s="181" t="str">
        <f>IFERROR(LOOKUP(2,1/((B_Drainage!$A$5:$A$204&lt;&gt;"")*(B_Drainage!$A$5:$A$204&lt;=$B40)*(B_Drainage!$B$5:$B$204&gt;$B40)*(B_Drainage!$F$5:$F$204&lt;&gt;"")),IF(B_Drainage!$F$5:$F$204="-","",B_Drainage!$F$5:$F$204)),"")</f>
        <v/>
      </c>
      <c r="X40" s="181" t="str">
        <f>IFERROR(LOOKUP(2,1/((B_Drainage!$A$5:$A$204&lt;&gt;"")*(B_Drainage!$A$5:$A$204&lt;=$B40)*(B_Drainage!$B$5:$B$204&gt;$B40)*(B_Drainage!$G$5:$G$204&lt;&gt;"")),IF(UPPER(B_Drainage!$G$5:$G$204)="Y",1,"")),"")</f>
        <v/>
      </c>
      <c r="Y40" s="181" t="str">
        <f>IFERROR(LOOKUP(2,1/((B_Drainage!$A$5:$A$204&lt;&gt;"")*(B_Drainage!$A$5:$A$204&lt;=$B40)*(B_Drainage!$B$5:$B$204&gt;$B40)*(B_Drainage!$H$5:$H$204&lt;&gt;"")),IF(UPPER(B_Drainage!$H$5:$H$204)="Y",1,"")),"")</f>
        <v/>
      </c>
      <c r="Z40" s="181" t="str">
        <f>IFERROR(LOOKUP(2,1/((B_Drainage!$A$5:$A$204&lt;&gt;"")*(B_Drainage!$A$5:$A$204&lt;=$B40)*(B_Drainage!$B$5:$B$204&gt;$B40)*(B_Drainage!$I$5:$I$204&lt;&gt;"")),IF(UPPER(B_Drainage!$I$5:$I$204)="Y",1,"")),"")</f>
        <v/>
      </c>
      <c r="AA40" s="181" t="str">
        <f>IFERROR(LOOKUP(2,1/((B_Drainage!$A$5:$A$204&lt;&gt;"")*(B_Drainage!$A$5:$A$204&lt;=$B40)*(B_Drainage!$B$5:$B$204&gt;$B40)*(B_Drainage!$J$5:$J$204&lt;&gt;"")),IF(UPPER(B_Drainage!$J$5:$J$204)="Y",1,"")),"")</f>
        <v/>
      </c>
      <c r="AB40" s="182" t="str">
        <f>IFERROR(LOOKUP(2,1/((B_Drainage!$A$5:$A$204&lt;&gt;"")*(B_Drainage!$A$5:$A$204&lt;=$B40)*(B_Drainage!$B$5:$B$204&gt;$B40)*(B_Drainage!$K$5:$K$204&lt;&gt;"")),IF(B_Drainage!$K$5:$K$204="-","",B_Drainage!$K$5:$K$204)),"")</f>
        <v/>
      </c>
      <c r="AC40" s="182" t="str">
        <f>IFERROR(LOOKUP(2,1/((B_Drainage!$A$5:$A$204&lt;&gt;"")*(B_Drainage!$A$5:$A$204&lt;=$B40)*(B_Drainage!$B$5:$B$204&gt;$B40)*(B_Drainage!$L$5:$L$204&lt;&gt;"")),IF(B_Drainage!$L$5:$L$204="-","",B_Drainage!$L$5:$L$204)),"")</f>
        <v/>
      </c>
      <c r="AD40" s="182" t="str">
        <f>IFERROR(LOOKUP(2,1/((D_Points!$A$5:$A$204&lt;&gt;"")*(D_Points!$A$5:$A$204&gt;=$B40)*(D_Points!$A$5:$A$204&lt;$B40+P_Interval)*(UPPER(TRIM(D_Points!$B$5:$B$204))="TURNOUT_L")*(D_Points!$H$5:$H$204&lt;&gt;"")),D_Points!$H$5:$H$204),"")</f>
        <v/>
      </c>
      <c r="AE40" s="182" t="str">
        <f>IFERROR(LOOKUP(2,1/((D_Points!$A$5:$A$204&lt;&gt;"")*(D_Points!$A$5:$A$204&gt;=$B40)*(D_Points!$A$5:$A$204&lt;$B40+P_Interval)*(UPPER(TRIM(D_Points!$B$5:$B$204))="TURNOUT_R")*(D_Points!$H$5:$H$204&lt;&gt;"")),D_Points!$H$5:$H$204),"")</f>
        <v/>
      </c>
      <c r="AF40" s="181" t="str">
        <f>IFERROR(LOOKUP(2,1/((B_Drainage!$A$5:$A$204&lt;&gt;"")*(B_Drainage!$A$5:$A$204&lt;=$B40)*(B_Drainage!$B$5:$B$204&gt;$B40)*(B_Drainage!$M$5:$M$204&lt;&gt;"")),IF(UPPER(B_Drainage!$M$5:$M$204)="Y",1,"")),"")</f>
        <v/>
      </c>
      <c r="AG40" s="181" t="str">
        <f>IFERROR(LOOKUP(2,1/((B_Drainage!$A$5:$A$204&lt;&gt;"")*(B_Drainage!$A$5:$A$204&lt;=$B40)*(B_Drainage!$B$5:$B$204&gt;$B40)*(B_Drainage!$N$5:$N$204&lt;&gt;"")),IF(UPPER(B_Drainage!$N$5:$N$204)="Y",1,"")),"")</f>
        <v/>
      </c>
      <c r="AH40" s="181" t="str">
        <f t="shared" si="0"/>
        <v/>
      </c>
      <c r="AI40" s="181" t="str">
        <f t="shared" si="1"/>
        <v/>
      </c>
      <c r="AJ40" s="181" t="str">
        <f t="shared" si="2"/>
        <v/>
      </c>
      <c r="AK40" s="181" t="str">
        <f t="shared" si="3"/>
        <v/>
      </c>
      <c r="AL40" s="181" t="str">
        <f t="shared" si="4"/>
        <v/>
      </c>
      <c r="AM40" s="181" t="str">
        <f t="shared" si="5"/>
        <v/>
      </c>
      <c r="AN40" s="181" t="str">
        <f t="shared" si="6"/>
        <v/>
      </c>
      <c r="AO40" s="192" t="str">
        <f t="shared" si="7"/>
        <v/>
      </c>
      <c r="AQ40" t="str">
        <f>IFERROR(LOOKUP(2,1/((C_Pavement!$A$5:$A$204&lt;&gt;"")*(C_Pavement!$A$5:$A$204&lt;=$B40)*(C_Pavement!$B$5:$B$204&gt;$B40)*(C_Pavement!$C$5:$C$204&lt;&gt;"")),ROW(C_Pavement!$C$5:$C$204)-4),"")</f>
        <v/>
      </c>
      <c r="AR40" t="str">
        <f>IF($AQ40="","",UPPER(TRIM(INDEX(C_Pavement!$C$5:$C$204,$AQ40))))</f>
        <v/>
      </c>
      <c r="AS40" t="str">
        <f>IF($AR40="","",IFERROR(MATCH($AR40,E_Rules!$A$5:$A$9,0),""))</f>
        <v/>
      </c>
      <c r="AT40" t="str">
        <f>IF($AQ40="","",IF(INDEX(C_Pavement!$D$5:$D$204,$AQ40)&lt;&gt;"",UPPER(TRIM(INDEX(C_Pavement!$D$5:$D$204,$AQ40))),IF($AS40="","",INDEX(E_Rules!$C$5:$C$9,$AS40))))</f>
        <v/>
      </c>
      <c r="AU40" t="str">
        <f>IF($AQ40="","",IF(INDEX(C_Pavement!$E$5:$E$204,$AQ40)&lt;&gt;"",IF(INDEX(C_Pavement!$E$5:$E$204,$AQ40)="-","",INDEX(C_Pavement!$E$5:$E$204,$AQ40)),IF($AS40="","",INDEX(E_Rules!$D$5:$D$9,$AS40))))</f>
        <v/>
      </c>
      <c r="AV40" t="str">
        <f>IF($AQ40="","",IF(INDEX(C_Pavement!$F$5:$F$204,$AQ40)&lt;&gt;"",IF(INDEX(C_Pavement!$F$5:$F$204,$AQ40)="-","",INDEX(C_Pavement!$F$5:$F$204,$AQ40)),IF($AS40="","",INDEX(E_Rules!$E$5:$E$9,$AS40))))</f>
        <v/>
      </c>
      <c r="AW40" t="str">
        <f>IF($AQ40="","",IF(INDEX(C_Pavement!$G$5:$G$204,$AQ40)&lt;&gt;"",IF(INDEX(C_Pavement!$G$5:$G$204,$AQ40)="-","",INDEX(C_Pavement!$G$5:$G$204,$AQ40)),IF($AS40="","",INDEX(E_Rules!$F$5:$F$9,$AS40))))</f>
        <v/>
      </c>
      <c r="AX40" t="str">
        <f>IF($AQ40="","",IF(INDEX(C_Pavement!$H$5:$H$204,$AQ40)&lt;&gt;"",IF(INDEX(C_Pavement!$H$5:$H$204,$AQ40)="-","",INDEX(C_Pavement!$H$5:$H$204,$AQ40)),IF($AS40="","",INDEX(E_Rules!$G$5:$G$9,$AS40))))</f>
        <v/>
      </c>
      <c r="AY40" t="str">
        <f>IF($AQ40="","",IF(INDEX(C_Pavement!$I$5:$I$204,$AQ40)&lt;&gt;"",IF(INDEX(C_Pavement!$I$5:$I$204,$AQ40)="-","",INDEX(C_Pavement!$I$5:$I$204,$AQ40)),IF($AS40="","",INDEX(E_Rules!$H$5:$H$9,$AS40))))</f>
        <v/>
      </c>
    </row>
    <row r="41" spans="1:51" ht="15.75" customHeight="1" x14ac:dyDescent="0.3">
      <c r="A41" s="189">
        <v>36</v>
      </c>
      <c r="B41" s="180">
        <v>1750</v>
      </c>
      <c r="C41" s="180" t="s">
        <v>347</v>
      </c>
      <c r="D41" s="181" t="str">
        <f>IFERROR(LOOKUP(2,1/((A_Corridor!$A$5:$A$204&lt;&gt;"")*(A_Corridor!$A$5:$A$204&lt;=$B41)*(A_Corridor!$B$5:$B$204&gt;$B41)*(A_Corridor!$C$5:$C$204&lt;&gt;"")),IF(UPPER(A_Corridor!$C$5:$C$204)="Y",1,"")),"")</f>
        <v/>
      </c>
      <c r="E41" s="181" t="str">
        <f>IFERROR(LOOKUP(2,1/((A_Corridor!$A$5:$A$204&lt;&gt;"")*(A_Corridor!$A$5:$A$204&lt;=$B41)*(A_Corridor!$B$5:$B$204&gt;$B41)*(A_Corridor!$D$5:$D$204&lt;&gt;"")),IF(A_Corridor!$D$5:$D$204="-","",UPPER(A_Corridor!$D$5:$D$204))),"")</f>
        <v/>
      </c>
      <c r="F41" s="181" t="str">
        <f>IFERROR(LOOKUP(2,1/((A_Corridor!$A$5:$A$204&lt;&gt;"")*(A_Corridor!$A$5:$A$204&lt;=$B41)*(A_Corridor!$B$5:$B$204&gt;$B41)*(A_Corridor!$E$5:$E$204&lt;&gt;"")),IF(A_Corridor!$E$5:$E$204="-","",1)),"")</f>
        <v/>
      </c>
      <c r="G41" s="182" t="str">
        <f>IFERROR(LOOKUP(2,1/((A_Corridor!$A$5:$A$204&lt;&gt;"")*(A_Corridor!$A$5:$A$204&lt;=$B41)*(A_Corridor!$B$5:$B$204&gt;$B41)*(A_Corridor!$E$5:$E$204&lt;&gt;"")),IF(A_Corridor!$E$5:$E$204="-","",A_Corridor!$E$5:$E$204)),"")</f>
        <v/>
      </c>
      <c r="H41" s="182" t="str">
        <f>IFERROR(LOOKUP(2,1/((D_Points!$A$5:$A$204&lt;&gt;"")*(D_Points!$A$5:$A$204&gt;=$B41)*(D_Points!$A$5:$A$204&lt;$B41+P_Interval)*(UPPER(TRIM(D_Points!$B$5:$B$204))="GULLY")*(D_Points!$H$5:$H$204&lt;&gt;"")),D_Points!$H$5:$H$204),"")</f>
        <v/>
      </c>
      <c r="I41" s="181" t="str">
        <f>IFERROR(LOOKUP(2,1/((A_Corridor!$A$5:$A$204&lt;&gt;"")*(A_Corridor!$A$5:$A$204&lt;=$B41)*(A_Corridor!$B$5:$B$204&gt;$B41)*(A_Corridor!$F$5:$F$204&lt;&gt;"")),IF(A_Corridor!$F$5:$F$204="-","",1)),"")</f>
        <v/>
      </c>
      <c r="J41" s="182" t="str">
        <f>IFERROR(LOOKUP(2,1/((A_Corridor!$A$5:$A$204&lt;&gt;"")*(A_Corridor!$A$5:$A$204&lt;=$B41)*(A_Corridor!$B$5:$B$204&gt;$B41)*(A_Corridor!$F$5:$F$204&lt;&gt;"")),IF(A_Corridor!$F$5:$F$204="-","",A_Corridor!$F$5:$F$204)),"")</f>
        <v/>
      </c>
      <c r="K41" s="182" t="str">
        <f>IFERROR(LOOKUP(2,1/((A_Corridor!$A$5:$A$204&lt;&gt;"")*(A_Corridor!$A$5:$A$204&lt;=$B41)*(A_Corridor!$B$5:$B$204&gt;$B41)*(A_Corridor!$G$5:$G$204&lt;&gt;"")),IF(A_Corridor!$G$5:$G$204="-","",A_Corridor!$G$5:$G$204)),"")</f>
        <v/>
      </c>
      <c r="L41" s="181" t="str">
        <f>IFERROR(LOOKUP(2,1/((A_Corridor!$A$5:$A$204&lt;&gt;"")*(A_Corridor!$A$5:$A$204&lt;=$B41)*(A_Corridor!$B$5:$B$204&gt;$B41)*(A_Corridor!$H$5:$H$204&lt;&gt;"")),IF(A_Corridor!$H$5:$H$204="-","",1)),"")</f>
        <v/>
      </c>
      <c r="M41" s="182" t="str">
        <f>IFERROR(LOOKUP(2,1/((A_Corridor!$A$5:$A$204&lt;&gt;"")*(A_Corridor!$A$5:$A$204&lt;=$B41)*(A_Corridor!$B$5:$B$204&gt;$B41)*(A_Corridor!$H$5:$H$204&lt;&gt;"")),IF(A_Corridor!$H$5:$H$204="-","",A_Corridor!$H$5:$H$204)),"")</f>
        <v/>
      </c>
      <c r="N41" s="182" t="str">
        <f>IFERROR(LOOKUP(2,1/((A_Corridor!$A$5:$A$204&lt;&gt;"")*(A_Corridor!$A$5:$A$204&lt;=$B41)*(A_Corridor!$B$5:$B$204&gt;$B41)*(A_Corridor!$I$5:$I$204&lt;&gt;"")),IF(A_Corridor!$I$5:$I$204="-","",A_Corridor!$I$5:$I$204)),"")</f>
        <v/>
      </c>
      <c r="O41" s="182" t="str">
        <f>IFERROR(LOOKUP(2,1/((D_Points!$A$5:$A$204&lt;&gt;"")*(D_Points!$A$5:$A$204&gt;=$B41)*(D_Points!$A$5:$A$204&lt;$B41+P_Interval)*(UPPER(TRIM(D_Points!$B$5:$B$204))="PITCHING")*(D_Points!$H$5:$H$204&lt;&gt;"")),D_Points!$H$5:$H$204),"")</f>
        <v/>
      </c>
      <c r="P41" s="181" t="str">
        <f>IFERROR(LOOKUP(2,1/((B_Drainage!$A$5:$A$204&lt;&gt;"")*(B_Drainage!$A$5:$A$204&lt;=$B41)*(B_Drainage!$B$5:$B$204&gt;$B41)*(B_Drainage!$C$5:$C$204&lt;&gt;"")),IF(B_Drainage!$C$5:$C$204="-","",UPPER(B_Drainage!$C$5:$C$204))),"")</f>
        <v/>
      </c>
      <c r="Q41" s="181" t="str">
        <f>IFERROR(LOOKUP(2,1/((B_Drainage!$A$5:$A$204&lt;&gt;"")*(B_Drainage!$A$5:$A$204&lt;=$B41)*(B_Drainage!$B$5:$B$204&gt;$B41)*(B_Drainage!$D$5:$D$204&lt;&gt;"")),IF(B_Drainage!$D$5:$D$204="-","",UPPER(B_Drainage!$D$5:$D$204))),"")</f>
        <v/>
      </c>
      <c r="R41" s="182" t="str">
        <f>IFERROR(LOOKUP(2,1/((D_Points!$A$5:$A$204&lt;&gt;"")*(D_Points!$A$5:$A$204&gt;=$B41)*(D_Points!$A$5:$A$204&lt;$B41+P_Interval)*(RIGHT(UPPER(TRIM(D_Points!$B$5:$B$204)),8)="_CULVERT")),IF(LEFT(UPPER(TRIM(D_Points!$B$5:$B$204)),2)="EX",1,IF(LEFT(UPPER(TRIM(D_Points!$B$5:$B$204)),2)="PR",2,3))),"")</f>
        <v/>
      </c>
      <c r="S41" s="182" t="str">
        <f>IFERROR(LOOKUP(2,1/((D_Points!$A$5:$A$204&lt;&gt;"")*(D_Points!$A$5:$A$204&gt;=$B41)*(D_Points!$A$5:$A$204&lt;$B41+P_Interval)*(RIGHT(UPPER(TRIM(D_Points!$B$5:$B$204)),7)="_BRIDGE")),IF(LEFT(UPPER(TRIM(D_Points!$B$5:$B$204)),2)="EX",1,IF(LEFT(UPPER(TRIM(D_Points!$B$5:$B$204)),2)="PR",2,2))),"")</f>
        <v/>
      </c>
      <c r="T41" s="181" t="str">
        <f>IFERROR(LOOKUP(2,1/((B_Drainage!$A$5:$A$204&lt;&gt;"")*(B_Drainage!$A$5:$A$204&lt;=$B41)*(B_Drainage!$B$5:$B$204&gt;$B41)*(B_Drainage!$E$5:$E$204&lt;&gt;"")),IF(B_Drainage!$E$5:$E$204="-","",1)),"")</f>
        <v/>
      </c>
      <c r="U41" s="181" t="str">
        <f>IFERROR(LOOKUP(2,1/((B_Drainage!$A$5:$A$204&lt;&gt;"")*(B_Drainage!$A$5:$A$204&lt;=$B41)*(B_Drainage!$B$5:$B$204&gt;$B41)*(B_Drainage!$E$5:$E$204&lt;&gt;"")),IF(B_Drainage!$E$5:$E$204="-","",B_Drainage!$E$5:$E$204)),"")</f>
        <v/>
      </c>
      <c r="V41" s="181" t="str">
        <f>IFERROR(LOOKUP(2,1/((B_Drainage!$A$5:$A$204&lt;&gt;"")*(B_Drainage!$A$5:$A$204&lt;=$B41)*(B_Drainage!$B$5:$B$204&gt;$B41)*(B_Drainage!$F$5:$F$204&lt;&gt;"")),IF(B_Drainage!$F$5:$F$204="-","",1)),"")</f>
        <v/>
      </c>
      <c r="W41" s="181" t="str">
        <f>IFERROR(LOOKUP(2,1/((B_Drainage!$A$5:$A$204&lt;&gt;"")*(B_Drainage!$A$5:$A$204&lt;=$B41)*(B_Drainage!$B$5:$B$204&gt;$B41)*(B_Drainage!$F$5:$F$204&lt;&gt;"")),IF(B_Drainage!$F$5:$F$204="-","",B_Drainage!$F$5:$F$204)),"")</f>
        <v/>
      </c>
      <c r="X41" s="181" t="str">
        <f>IFERROR(LOOKUP(2,1/((B_Drainage!$A$5:$A$204&lt;&gt;"")*(B_Drainage!$A$5:$A$204&lt;=$B41)*(B_Drainage!$B$5:$B$204&gt;$B41)*(B_Drainage!$G$5:$G$204&lt;&gt;"")),IF(UPPER(B_Drainage!$G$5:$G$204)="Y",1,"")),"")</f>
        <v/>
      </c>
      <c r="Y41" s="181" t="str">
        <f>IFERROR(LOOKUP(2,1/((B_Drainage!$A$5:$A$204&lt;&gt;"")*(B_Drainage!$A$5:$A$204&lt;=$B41)*(B_Drainage!$B$5:$B$204&gt;$B41)*(B_Drainage!$H$5:$H$204&lt;&gt;"")),IF(UPPER(B_Drainage!$H$5:$H$204)="Y",1,"")),"")</f>
        <v/>
      </c>
      <c r="Z41" s="181" t="str">
        <f>IFERROR(LOOKUP(2,1/((B_Drainage!$A$5:$A$204&lt;&gt;"")*(B_Drainage!$A$5:$A$204&lt;=$B41)*(B_Drainage!$B$5:$B$204&gt;$B41)*(B_Drainage!$I$5:$I$204&lt;&gt;"")),IF(UPPER(B_Drainage!$I$5:$I$204)="Y",1,"")),"")</f>
        <v/>
      </c>
      <c r="AA41" s="181" t="str">
        <f>IFERROR(LOOKUP(2,1/((B_Drainage!$A$5:$A$204&lt;&gt;"")*(B_Drainage!$A$5:$A$204&lt;=$B41)*(B_Drainage!$B$5:$B$204&gt;$B41)*(B_Drainage!$J$5:$J$204&lt;&gt;"")),IF(UPPER(B_Drainage!$J$5:$J$204)="Y",1,"")),"")</f>
        <v/>
      </c>
      <c r="AB41" s="182" t="str">
        <f>IFERROR(LOOKUP(2,1/((B_Drainage!$A$5:$A$204&lt;&gt;"")*(B_Drainage!$A$5:$A$204&lt;=$B41)*(B_Drainage!$B$5:$B$204&gt;$B41)*(B_Drainage!$K$5:$K$204&lt;&gt;"")),IF(B_Drainage!$K$5:$K$204="-","",B_Drainage!$K$5:$K$204)),"")</f>
        <v/>
      </c>
      <c r="AC41" s="182" t="str">
        <f>IFERROR(LOOKUP(2,1/((B_Drainage!$A$5:$A$204&lt;&gt;"")*(B_Drainage!$A$5:$A$204&lt;=$B41)*(B_Drainage!$B$5:$B$204&gt;$B41)*(B_Drainage!$L$5:$L$204&lt;&gt;"")),IF(B_Drainage!$L$5:$L$204="-","",B_Drainage!$L$5:$L$204)),"")</f>
        <v/>
      </c>
      <c r="AD41" s="182" t="str">
        <f>IFERROR(LOOKUP(2,1/((D_Points!$A$5:$A$204&lt;&gt;"")*(D_Points!$A$5:$A$204&gt;=$B41)*(D_Points!$A$5:$A$204&lt;$B41+P_Interval)*(UPPER(TRIM(D_Points!$B$5:$B$204))="TURNOUT_L")*(D_Points!$H$5:$H$204&lt;&gt;"")),D_Points!$H$5:$H$204),"")</f>
        <v/>
      </c>
      <c r="AE41" s="182" t="str">
        <f>IFERROR(LOOKUP(2,1/((D_Points!$A$5:$A$204&lt;&gt;"")*(D_Points!$A$5:$A$204&gt;=$B41)*(D_Points!$A$5:$A$204&lt;$B41+P_Interval)*(UPPER(TRIM(D_Points!$B$5:$B$204))="TURNOUT_R")*(D_Points!$H$5:$H$204&lt;&gt;"")),D_Points!$H$5:$H$204),"")</f>
        <v/>
      </c>
      <c r="AF41" s="181" t="str">
        <f>IFERROR(LOOKUP(2,1/((B_Drainage!$A$5:$A$204&lt;&gt;"")*(B_Drainage!$A$5:$A$204&lt;=$B41)*(B_Drainage!$B$5:$B$204&gt;$B41)*(B_Drainage!$M$5:$M$204&lt;&gt;"")),IF(UPPER(B_Drainage!$M$5:$M$204)="Y",1,"")),"")</f>
        <v/>
      </c>
      <c r="AG41" s="181" t="str">
        <f>IFERROR(LOOKUP(2,1/((B_Drainage!$A$5:$A$204&lt;&gt;"")*(B_Drainage!$A$5:$A$204&lt;=$B41)*(B_Drainage!$B$5:$B$204&gt;$B41)*(B_Drainage!$N$5:$N$204&lt;&gt;"")),IF(UPPER(B_Drainage!$N$5:$N$204)="Y",1,"")),"")</f>
        <v/>
      </c>
      <c r="AH41" s="181" t="str">
        <f t="shared" si="0"/>
        <v/>
      </c>
      <c r="AI41" s="181" t="str">
        <f t="shared" si="1"/>
        <v/>
      </c>
      <c r="AJ41" s="181" t="str">
        <f t="shared" si="2"/>
        <v/>
      </c>
      <c r="AK41" s="181" t="str">
        <f t="shared" si="3"/>
        <v/>
      </c>
      <c r="AL41" s="181" t="str">
        <f t="shared" si="4"/>
        <v/>
      </c>
      <c r="AM41" s="181" t="str">
        <f t="shared" si="5"/>
        <v/>
      </c>
      <c r="AN41" s="181" t="str">
        <f t="shared" si="6"/>
        <v/>
      </c>
      <c r="AO41" s="192" t="str">
        <f t="shared" si="7"/>
        <v/>
      </c>
      <c r="AQ41" t="str">
        <f>IFERROR(LOOKUP(2,1/((C_Pavement!$A$5:$A$204&lt;&gt;"")*(C_Pavement!$A$5:$A$204&lt;=$B41)*(C_Pavement!$B$5:$B$204&gt;$B41)*(C_Pavement!$C$5:$C$204&lt;&gt;"")),ROW(C_Pavement!$C$5:$C$204)-4),"")</f>
        <v/>
      </c>
      <c r="AR41" t="str">
        <f>IF($AQ41="","",UPPER(TRIM(INDEX(C_Pavement!$C$5:$C$204,$AQ41))))</f>
        <v/>
      </c>
      <c r="AS41" t="str">
        <f>IF($AR41="","",IFERROR(MATCH($AR41,E_Rules!$A$5:$A$9,0),""))</f>
        <v/>
      </c>
      <c r="AT41" t="str">
        <f>IF($AQ41="","",IF(INDEX(C_Pavement!$D$5:$D$204,$AQ41)&lt;&gt;"",UPPER(TRIM(INDEX(C_Pavement!$D$5:$D$204,$AQ41))),IF($AS41="","",INDEX(E_Rules!$C$5:$C$9,$AS41))))</f>
        <v/>
      </c>
      <c r="AU41" t="str">
        <f>IF($AQ41="","",IF(INDEX(C_Pavement!$E$5:$E$204,$AQ41)&lt;&gt;"",IF(INDEX(C_Pavement!$E$5:$E$204,$AQ41)="-","",INDEX(C_Pavement!$E$5:$E$204,$AQ41)),IF($AS41="","",INDEX(E_Rules!$D$5:$D$9,$AS41))))</f>
        <v/>
      </c>
      <c r="AV41" t="str">
        <f>IF($AQ41="","",IF(INDEX(C_Pavement!$F$5:$F$204,$AQ41)&lt;&gt;"",IF(INDEX(C_Pavement!$F$5:$F$204,$AQ41)="-","",INDEX(C_Pavement!$F$5:$F$204,$AQ41)),IF($AS41="","",INDEX(E_Rules!$E$5:$E$9,$AS41))))</f>
        <v/>
      </c>
      <c r="AW41" t="str">
        <f>IF($AQ41="","",IF(INDEX(C_Pavement!$G$5:$G$204,$AQ41)&lt;&gt;"",IF(INDEX(C_Pavement!$G$5:$G$204,$AQ41)="-","",INDEX(C_Pavement!$G$5:$G$204,$AQ41)),IF($AS41="","",INDEX(E_Rules!$F$5:$F$9,$AS41))))</f>
        <v/>
      </c>
      <c r="AX41" t="str">
        <f>IF($AQ41="","",IF(INDEX(C_Pavement!$H$5:$H$204,$AQ41)&lt;&gt;"",IF(INDEX(C_Pavement!$H$5:$H$204,$AQ41)="-","",INDEX(C_Pavement!$H$5:$H$204,$AQ41)),IF($AS41="","",INDEX(E_Rules!$G$5:$G$9,$AS41))))</f>
        <v/>
      </c>
      <c r="AY41" t="str">
        <f>IF($AQ41="","",IF(INDEX(C_Pavement!$I$5:$I$204,$AQ41)&lt;&gt;"",IF(INDEX(C_Pavement!$I$5:$I$204,$AQ41)="-","",INDEX(C_Pavement!$I$5:$I$204,$AQ41)),IF($AS41="","",INDEX(E_Rules!$H$5:$H$9,$AS41))))</f>
        <v/>
      </c>
    </row>
    <row r="42" spans="1:51" ht="15.75" customHeight="1" x14ac:dyDescent="0.3">
      <c r="A42" s="189">
        <v>37</v>
      </c>
      <c r="B42" s="180">
        <v>1800</v>
      </c>
      <c r="C42" s="180" t="s">
        <v>348</v>
      </c>
      <c r="D42" s="181" t="str">
        <f>IFERROR(LOOKUP(2,1/((A_Corridor!$A$5:$A$204&lt;&gt;"")*(A_Corridor!$A$5:$A$204&lt;=$B42)*(A_Corridor!$B$5:$B$204&gt;$B42)*(A_Corridor!$C$5:$C$204&lt;&gt;"")),IF(UPPER(A_Corridor!$C$5:$C$204)="Y",1,"")),"")</f>
        <v/>
      </c>
      <c r="E42" s="181" t="str">
        <f>IFERROR(LOOKUP(2,1/((A_Corridor!$A$5:$A$204&lt;&gt;"")*(A_Corridor!$A$5:$A$204&lt;=$B42)*(A_Corridor!$B$5:$B$204&gt;$B42)*(A_Corridor!$D$5:$D$204&lt;&gt;"")),IF(A_Corridor!$D$5:$D$204="-","",UPPER(A_Corridor!$D$5:$D$204))),"")</f>
        <v/>
      </c>
      <c r="F42" s="181" t="str">
        <f>IFERROR(LOOKUP(2,1/((A_Corridor!$A$5:$A$204&lt;&gt;"")*(A_Corridor!$A$5:$A$204&lt;=$B42)*(A_Corridor!$B$5:$B$204&gt;$B42)*(A_Corridor!$E$5:$E$204&lt;&gt;"")),IF(A_Corridor!$E$5:$E$204="-","",1)),"")</f>
        <v/>
      </c>
      <c r="G42" s="182" t="str">
        <f>IFERROR(LOOKUP(2,1/((A_Corridor!$A$5:$A$204&lt;&gt;"")*(A_Corridor!$A$5:$A$204&lt;=$B42)*(A_Corridor!$B$5:$B$204&gt;$B42)*(A_Corridor!$E$5:$E$204&lt;&gt;"")),IF(A_Corridor!$E$5:$E$204="-","",A_Corridor!$E$5:$E$204)),"")</f>
        <v/>
      </c>
      <c r="H42" s="182" t="str">
        <f>IFERROR(LOOKUP(2,1/((D_Points!$A$5:$A$204&lt;&gt;"")*(D_Points!$A$5:$A$204&gt;=$B42)*(D_Points!$A$5:$A$204&lt;$B42+P_Interval)*(UPPER(TRIM(D_Points!$B$5:$B$204))="GULLY")*(D_Points!$H$5:$H$204&lt;&gt;"")),D_Points!$H$5:$H$204),"")</f>
        <v/>
      </c>
      <c r="I42" s="181" t="str">
        <f>IFERROR(LOOKUP(2,1/((A_Corridor!$A$5:$A$204&lt;&gt;"")*(A_Corridor!$A$5:$A$204&lt;=$B42)*(A_Corridor!$B$5:$B$204&gt;$B42)*(A_Corridor!$F$5:$F$204&lt;&gt;"")),IF(A_Corridor!$F$5:$F$204="-","",1)),"")</f>
        <v/>
      </c>
      <c r="J42" s="182" t="str">
        <f>IFERROR(LOOKUP(2,1/((A_Corridor!$A$5:$A$204&lt;&gt;"")*(A_Corridor!$A$5:$A$204&lt;=$B42)*(A_Corridor!$B$5:$B$204&gt;$B42)*(A_Corridor!$F$5:$F$204&lt;&gt;"")),IF(A_Corridor!$F$5:$F$204="-","",A_Corridor!$F$5:$F$204)),"")</f>
        <v/>
      </c>
      <c r="K42" s="182" t="str">
        <f>IFERROR(LOOKUP(2,1/((A_Corridor!$A$5:$A$204&lt;&gt;"")*(A_Corridor!$A$5:$A$204&lt;=$B42)*(A_Corridor!$B$5:$B$204&gt;$B42)*(A_Corridor!$G$5:$G$204&lt;&gt;"")),IF(A_Corridor!$G$5:$G$204="-","",A_Corridor!$G$5:$G$204)),"")</f>
        <v/>
      </c>
      <c r="L42" s="181" t="str">
        <f>IFERROR(LOOKUP(2,1/((A_Corridor!$A$5:$A$204&lt;&gt;"")*(A_Corridor!$A$5:$A$204&lt;=$B42)*(A_Corridor!$B$5:$B$204&gt;$B42)*(A_Corridor!$H$5:$H$204&lt;&gt;"")),IF(A_Corridor!$H$5:$H$204="-","",1)),"")</f>
        <v/>
      </c>
      <c r="M42" s="182" t="str">
        <f>IFERROR(LOOKUP(2,1/((A_Corridor!$A$5:$A$204&lt;&gt;"")*(A_Corridor!$A$5:$A$204&lt;=$B42)*(A_Corridor!$B$5:$B$204&gt;$B42)*(A_Corridor!$H$5:$H$204&lt;&gt;"")),IF(A_Corridor!$H$5:$H$204="-","",A_Corridor!$H$5:$H$204)),"")</f>
        <v/>
      </c>
      <c r="N42" s="182" t="str">
        <f>IFERROR(LOOKUP(2,1/((A_Corridor!$A$5:$A$204&lt;&gt;"")*(A_Corridor!$A$5:$A$204&lt;=$B42)*(A_Corridor!$B$5:$B$204&gt;$B42)*(A_Corridor!$I$5:$I$204&lt;&gt;"")),IF(A_Corridor!$I$5:$I$204="-","",A_Corridor!$I$5:$I$204)),"")</f>
        <v/>
      </c>
      <c r="O42" s="182" t="str">
        <f>IFERROR(LOOKUP(2,1/((D_Points!$A$5:$A$204&lt;&gt;"")*(D_Points!$A$5:$A$204&gt;=$B42)*(D_Points!$A$5:$A$204&lt;$B42+P_Interval)*(UPPER(TRIM(D_Points!$B$5:$B$204))="PITCHING")*(D_Points!$H$5:$H$204&lt;&gt;"")),D_Points!$H$5:$H$204),"")</f>
        <v/>
      </c>
      <c r="P42" s="181" t="str">
        <f>IFERROR(LOOKUP(2,1/((B_Drainage!$A$5:$A$204&lt;&gt;"")*(B_Drainage!$A$5:$A$204&lt;=$B42)*(B_Drainage!$B$5:$B$204&gt;$B42)*(B_Drainage!$C$5:$C$204&lt;&gt;"")),IF(B_Drainage!$C$5:$C$204="-","",UPPER(B_Drainage!$C$5:$C$204))),"")</f>
        <v/>
      </c>
      <c r="Q42" s="181" t="str">
        <f>IFERROR(LOOKUP(2,1/((B_Drainage!$A$5:$A$204&lt;&gt;"")*(B_Drainage!$A$5:$A$204&lt;=$B42)*(B_Drainage!$B$5:$B$204&gt;$B42)*(B_Drainage!$D$5:$D$204&lt;&gt;"")),IF(B_Drainage!$D$5:$D$204="-","",UPPER(B_Drainage!$D$5:$D$204))),"")</f>
        <v/>
      </c>
      <c r="R42" s="182" t="str">
        <f>IFERROR(LOOKUP(2,1/((D_Points!$A$5:$A$204&lt;&gt;"")*(D_Points!$A$5:$A$204&gt;=$B42)*(D_Points!$A$5:$A$204&lt;$B42+P_Interval)*(RIGHT(UPPER(TRIM(D_Points!$B$5:$B$204)),8)="_CULVERT")),IF(LEFT(UPPER(TRIM(D_Points!$B$5:$B$204)),2)="EX",1,IF(LEFT(UPPER(TRIM(D_Points!$B$5:$B$204)),2)="PR",2,3))),"")</f>
        <v/>
      </c>
      <c r="S42" s="182" t="str">
        <f>IFERROR(LOOKUP(2,1/((D_Points!$A$5:$A$204&lt;&gt;"")*(D_Points!$A$5:$A$204&gt;=$B42)*(D_Points!$A$5:$A$204&lt;$B42+P_Interval)*(RIGHT(UPPER(TRIM(D_Points!$B$5:$B$204)),7)="_BRIDGE")),IF(LEFT(UPPER(TRIM(D_Points!$B$5:$B$204)),2)="EX",1,IF(LEFT(UPPER(TRIM(D_Points!$B$5:$B$204)),2)="PR",2,2))),"")</f>
        <v/>
      </c>
      <c r="T42" s="181" t="str">
        <f>IFERROR(LOOKUP(2,1/((B_Drainage!$A$5:$A$204&lt;&gt;"")*(B_Drainage!$A$5:$A$204&lt;=$B42)*(B_Drainage!$B$5:$B$204&gt;$B42)*(B_Drainage!$E$5:$E$204&lt;&gt;"")),IF(B_Drainage!$E$5:$E$204="-","",1)),"")</f>
        <v/>
      </c>
      <c r="U42" s="181" t="str">
        <f>IFERROR(LOOKUP(2,1/((B_Drainage!$A$5:$A$204&lt;&gt;"")*(B_Drainage!$A$5:$A$204&lt;=$B42)*(B_Drainage!$B$5:$B$204&gt;$B42)*(B_Drainage!$E$5:$E$204&lt;&gt;"")),IF(B_Drainage!$E$5:$E$204="-","",B_Drainage!$E$5:$E$204)),"")</f>
        <v/>
      </c>
      <c r="V42" s="181" t="str">
        <f>IFERROR(LOOKUP(2,1/((B_Drainage!$A$5:$A$204&lt;&gt;"")*(B_Drainage!$A$5:$A$204&lt;=$B42)*(B_Drainage!$B$5:$B$204&gt;$B42)*(B_Drainage!$F$5:$F$204&lt;&gt;"")),IF(B_Drainage!$F$5:$F$204="-","",1)),"")</f>
        <v/>
      </c>
      <c r="W42" s="181" t="str">
        <f>IFERROR(LOOKUP(2,1/((B_Drainage!$A$5:$A$204&lt;&gt;"")*(B_Drainage!$A$5:$A$204&lt;=$B42)*(B_Drainage!$B$5:$B$204&gt;$B42)*(B_Drainage!$F$5:$F$204&lt;&gt;"")),IF(B_Drainage!$F$5:$F$204="-","",B_Drainage!$F$5:$F$204)),"")</f>
        <v/>
      </c>
      <c r="X42" s="181" t="str">
        <f>IFERROR(LOOKUP(2,1/((B_Drainage!$A$5:$A$204&lt;&gt;"")*(B_Drainage!$A$5:$A$204&lt;=$B42)*(B_Drainage!$B$5:$B$204&gt;$B42)*(B_Drainage!$G$5:$G$204&lt;&gt;"")),IF(UPPER(B_Drainage!$G$5:$G$204)="Y",1,"")),"")</f>
        <v/>
      </c>
      <c r="Y42" s="181" t="str">
        <f>IFERROR(LOOKUP(2,1/((B_Drainage!$A$5:$A$204&lt;&gt;"")*(B_Drainage!$A$5:$A$204&lt;=$B42)*(B_Drainage!$B$5:$B$204&gt;$B42)*(B_Drainage!$H$5:$H$204&lt;&gt;"")),IF(UPPER(B_Drainage!$H$5:$H$204)="Y",1,"")),"")</f>
        <v/>
      </c>
      <c r="Z42" s="181" t="str">
        <f>IFERROR(LOOKUP(2,1/((B_Drainage!$A$5:$A$204&lt;&gt;"")*(B_Drainage!$A$5:$A$204&lt;=$B42)*(B_Drainage!$B$5:$B$204&gt;$B42)*(B_Drainage!$I$5:$I$204&lt;&gt;"")),IF(UPPER(B_Drainage!$I$5:$I$204)="Y",1,"")),"")</f>
        <v/>
      </c>
      <c r="AA42" s="181" t="str">
        <f>IFERROR(LOOKUP(2,1/((B_Drainage!$A$5:$A$204&lt;&gt;"")*(B_Drainage!$A$5:$A$204&lt;=$B42)*(B_Drainage!$B$5:$B$204&gt;$B42)*(B_Drainage!$J$5:$J$204&lt;&gt;"")),IF(UPPER(B_Drainage!$J$5:$J$204)="Y",1,"")),"")</f>
        <v/>
      </c>
      <c r="AB42" s="182" t="str">
        <f>IFERROR(LOOKUP(2,1/((B_Drainage!$A$5:$A$204&lt;&gt;"")*(B_Drainage!$A$5:$A$204&lt;=$B42)*(B_Drainage!$B$5:$B$204&gt;$B42)*(B_Drainage!$K$5:$K$204&lt;&gt;"")),IF(B_Drainage!$K$5:$K$204="-","",B_Drainage!$K$5:$K$204)),"")</f>
        <v/>
      </c>
      <c r="AC42" s="182" t="str">
        <f>IFERROR(LOOKUP(2,1/((B_Drainage!$A$5:$A$204&lt;&gt;"")*(B_Drainage!$A$5:$A$204&lt;=$B42)*(B_Drainage!$B$5:$B$204&gt;$B42)*(B_Drainage!$L$5:$L$204&lt;&gt;"")),IF(B_Drainage!$L$5:$L$204="-","",B_Drainage!$L$5:$L$204)),"")</f>
        <v/>
      </c>
      <c r="AD42" s="182" t="str">
        <f>IFERROR(LOOKUP(2,1/((D_Points!$A$5:$A$204&lt;&gt;"")*(D_Points!$A$5:$A$204&gt;=$B42)*(D_Points!$A$5:$A$204&lt;$B42+P_Interval)*(UPPER(TRIM(D_Points!$B$5:$B$204))="TURNOUT_L")*(D_Points!$H$5:$H$204&lt;&gt;"")),D_Points!$H$5:$H$204),"")</f>
        <v/>
      </c>
      <c r="AE42" s="182" t="str">
        <f>IFERROR(LOOKUP(2,1/((D_Points!$A$5:$A$204&lt;&gt;"")*(D_Points!$A$5:$A$204&gt;=$B42)*(D_Points!$A$5:$A$204&lt;$B42+P_Interval)*(UPPER(TRIM(D_Points!$B$5:$B$204))="TURNOUT_R")*(D_Points!$H$5:$H$204&lt;&gt;"")),D_Points!$H$5:$H$204),"")</f>
        <v/>
      </c>
      <c r="AF42" s="181" t="str">
        <f>IFERROR(LOOKUP(2,1/((B_Drainage!$A$5:$A$204&lt;&gt;"")*(B_Drainage!$A$5:$A$204&lt;=$B42)*(B_Drainage!$B$5:$B$204&gt;$B42)*(B_Drainage!$M$5:$M$204&lt;&gt;"")),IF(UPPER(B_Drainage!$M$5:$M$204)="Y",1,"")),"")</f>
        <v/>
      </c>
      <c r="AG42" s="181" t="str">
        <f>IFERROR(LOOKUP(2,1/((B_Drainage!$A$5:$A$204&lt;&gt;"")*(B_Drainage!$A$5:$A$204&lt;=$B42)*(B_Drainage!$B$5:$B$204&gt;$B42)*(B_Drainage!$N$5:$N$204&lt;&gt;"")),IF(UPPER(B_Drainage!$N$5:$N$204)="Y",1,"")),"")</f>
        <v/>
      </c>
      <c r="AH42" s="181" t="str">
        <f t="shared" si="0"/>
        <v/>
      </c>
      <c r="AI42" s="181" t="str">
        <f t="shared" si="1"/>
        <v/>
      </c>
      <c r="AJ42" s="181" t="str">
        <f t="shared" si="2"/>
        <v/>
      </c>
      <c r="AK42" s="181" t="str">
        <f t="shared" si="3"/>
        <v/>
      </c>
      <c r="AL42" s="181" t="str">
        <f t="shared" si="4"/>
        <v/>
      </c>
      <c r="AM42" s="181" t="str">
        <f t="shared" si="5"/>
        <v/>
      </c>
      <c r="AN42" s="181" t="str">
        <f t="shared" si="6"/>
        <v/>
      </c>
      <c r="AO42" s="192" t="str">
        <f t="shared" si="7"/>
        <v/>
      </c>
      <c r="AQ42" t="str">
        <f>IFERROR(LOOKUP(2,1/((C_Pavement!$A$5:$A$204&lt;&gt;"")*(C_Pavement!$A$5:$A$204&lt;=$B42)*(C_Pavement!$B$5:$B$204&gt;$B42)*(C_Pavement!$C$5:$C$204&lt;&gt;"")),ROW(C_Pavement!$C$5:$C$204)-4),"")</f>
        <v/>
      </c>
      <c r="AR42" t="str">
        <f>IF($AQ42="","",UPPER(TRIM(INDEX(C_Pavement!$C$5:$C$204,$AQ42))))</f>
        <v/>
      </c>
      <c r="AS42" t="str">
        <f>IF($AR42="","",IFERROR(MATCH($AR42,E_Rules!$A$5:$A$9,0),""))</f>
        <v/>
      </c>
      <c r="AT42" t="str">
        <f>IF($AQ42="","",IF(INDEX(C_Pavement!$D$5:$D$204,$AQ42)&lt;&gt;"",UPPER(TRIM(INDEX(C_Pavement!$D$5:$D$204,$AQ42))),IF($AS42="","",INDEX(E_Rules!$C$5:$C$9,$AS42))))</f>
        <v/>
      </c>
      <c r="AU42" t="str">
        <f>IF($AQ42="","",IF(INDEX(C_Pavement!$E$5:$E$204,$AQ42)&lt;&gt;"",IF(INDEX(C_Pavement!$E$5:$E$204,$AQ42)="-","",INDEX(C_Pavement!$E$5:$E$204,$AQ42)),IF($AS42="","",INDEX(E_Rules!$D$5:$D$9,$AS42))))</f>
        <v/>
      </c>
      <c r="AV42" t="str">
        <f>IF($AQ42="","",IF(INDEX(C_Pavement!$F$5:$F$204,$AQ42)&lt;&gt;"",IF(INDEX(C_Pavement!$F$5:$F$204,$AQ42)="-","",INDEX(C_Pavement!$F$5:$F$204,$AQ42)),IF($AS42="","",INDEX(E_Rules!$E$5:$E$9,$AS42))))</f>
        <v/>
      </c>
      <c r="AW42" t="str">
        <f>IF($AQ42="","",IF(INDEX(C_Pavement!$G$5:$G$204,$AQ42)&lt;&gt;"",IF(INDEX(C_Pavement!$G$5:$G$204,$AQ42)="-","",INDEX(C_Pavement!$G$5:$G$204,$AQ42)),IF($AS42="","",INDEX(E_Rules!$F$5:$F$9,$AS42))))</f>
        <v/>
      </c>
      <c r="AX42" t="str">
        <f>IF($AQ42="","",IF(INDEX(C_Pavement!$H$5:$H$204,$AQ42)&lt;&gt;"",IF(INDEX(C_Pavement!$H$5:$H$204,$AQ42)="-","",INDEX(C_Pavement!$H$5:$H$204,$AQ42)),IF($AS42="","",INDEX(E_Rules!$G$5:$G$9,$AS42))))</f>
        <v/>
      </c>
      <c r="AY42" t="str">
        <f>IF($AQ42="","",IF(INDEX(C_Pavement!$I$5:$I$204,$AQ42)&lt;&gt;"",IF(INDEX(C_Pavement!$I$5:$I$204,$AQ42)="-","",INDEX(C_Pavement!$I$5:$I$204,$AQ42)),IF($AS42="","",INDEX(E_Rules!$H$5:$H$9,$AS42))))</f>
        <v/>
      </c>
    </row>
    <row r="43" spans="1:51" ht="15.75" customHeight="1" x14ac:dyDescent="0.3">
      <c r="A43" s="189">
        <v>38</v>
      </c>
      <c r="B43" s="180">
        <v>1850</v>
      </c>
      <c r="C43" s="180" t="s">
        <v>349</v>
      </c>
      <c r="D43" s="181" t="str">
        <f>IFERROR(LOOKUP(2,1/((A_Corridor!$A$5:$A$204&lt;&gt;"")*(A_Corridor!$A$5:$A$204&lt;=$B43)*(A_Corridor!$B$5:$B$204&gt;$B43)*(A_Corridor!$C$5:$C$204&lt;&gt;"")),IF(UPPER(A_Corridor!$C$5:$C$204)="Y",1,"")),"")</f>
        <v/>
      </c>
      <c r="E43" s="181" t="str">
        <f>IFERROR(LOOKUP(2,1/((A_Corridor!$A$5:$A$204&lt;&gt;"")*(A_Corridor!$A$5:$A$204&lt;=$B43)*(A_Corridor!$B$5:$B$204&gt;$B43)*(A_Corridor!$D$5:$D$204&lt;&gt;"")),IF(A_Corridor!$D$5:$D$204="-","",UPPER(A_Corridor!$D$5:$D$204))),"")</f>
        <v/>
      </c>
      <c r="F43" s="181" t="str">
        <f>IFERROR(LOOKUP(2,1/((A_Corridor!$A$5:$A$204&lt;&gt;"")*(A_Corridor!$A$5:$A$204&lt;=$B43)*(A_Corridor!$B$5:$B$204&gt;$B43)*(A_Corridor!$E$5:$E$204&lt;&gt;"")),IF(A_Corridor!$E$5:$E$204="-","",1)),"")</f>
        <v/>
      </c>
      <c r="G43" s="182" t="str">
        <f>IFERROR(LOOKUP(2,1/((A_Corridor!$A$5:$A$204&lt;&gt;"")*(A_Corridor!$A$5:$A$204&lt;=$B43)*(A_Corridor!$B$5:$B$204&gt;$B43)*(A_Corridor!$E$5:$E$204&lt;&gt;"")),IF(A_Corridor!$E$5:$E$204="-","",A_Corridor!$E$5:$E$204)),"")</f>
        <v/>
      </c>
      <c r="H43" s="182" t="str">
        <f>IFERROR(LOOKUP(2,1/((D_Points!$A$5:$A$204&lt;&gt;"")*(D_Points!$A$5:$A$204&gt;=$B43)*(D_Points!$A$5:$A$204&lt;$B43+P_Interval)*(UPPER(TRIM(D_Points!$B$5:$B$204))="GULLY")*(D_Points!$H$5:$H$204&lt;&gt;"")),D_Points!$H$5:$H$204),"")</f>
        <v/>
      </c>
      <c r="I43" s="181" t="str">
        <f>IFERROR(LOOKUP(2,1/((A_Corridor!$A$5:$A$204&lt;&gt;"")*(A_Corridor!$A$5:$A$204&lt;=$B43)*(A_Corridor!$B$5:$B$204&gt;$B43)*(A_Corridor!$F$5:$F$204&lt;&gt;"")),IF(A_Corridor!$F$5:$F$204="-","",1)),"")</f>
        <v/>
      </c>
      <c r="J43" s="182" t="str">
        <f>IFERROR(LOOKUP(2,1/((A_Corridor!$A$5:$A$204&lt;&gt;"")*(A_Corridor!$A$5:$A$204&lt;=$B43)*(A_Corridor!$B$5:$B$204&gt;$B43)*(A_Corridor!$F$5:$F$204&lt;&gt;"")),IF(A_Corridor!$F$5:$F$204="-","",A_Corridor!$F$5:$F$204)),"")</f>
        <v/>
      </c>
      <c r="K43" s="182" t="str">
        <f>IFERROR(LOOKUP(2,1/((A_Corridor!$A$5:$A$204&lt;&gt;"")*(A_Corridor!$A$5:$A$204&lt;=$B43)*(A_Corridor!$B$5:$B$204&gt;$B43)*(A_Corridor!$G$5:$G$204&lt;&gt;"")),IF(A_Corridor!$G$5:$G$204="-","",A_Corridor!$G$5:$G$204)),"")</f>
        <v/>
      </c>
      <c r="L43" s="181" t="str">
        <f>IFERROR(LOOKUP(2,1/((A_Corridor!$A$5:$A$204&lt;&gt;"")*(A_Corridor!$A$5:$A$204&lt;=$B43)*(A_Corridor!$B$5:$B$204&gt;$B43)*(A_Corridor!$H$5:$H$204&lt;&gt;"")),IF(A_Corridor!$H$5:$H$204="-","",1)),"")</f>
        <v/>
      </c>
      <c r="M43" s="182" t="str">
        <f>IFERROR(LOOKUP(2,1/((A_Corridor!$A$5:$A$204&lt;&gt;"")*(A_Corridor!$A$5:$A$204&lt;=$B43)*(A_Corridor!$B$5:$B$204&gt;$B43)*(A_Corridor!$H$5:$H$204&lt;&gt;"")),IF(A_Corridor!$H$5:$H$204="-","",A_Corridor!$H$5:$H$204)),"")</f>
        <v/>
      </c>
      <c r="N43" s="182" t="str">
        <f>IFERROR(LOOKUP(2,1/((A_Corridor!$A$5:$A$204&lt;&gt;"")*(A_Corridor!$A$5:$A$204&lt;=$B43)*(A_Corridor!$B$5:$B$204&gt;$B43)*(A_Corridor!$I$5:$I$204&lt;&gt;"")),IF(A_Corridor!$I$5:$I$204="-","",A_Corridor!$I$5:$I$204)),"")</f>
        <v/>
      </c>
      <c r="O43" s="182" t="str">
        <f>IFERROR(LOOKUP(2,1/((D_Points!$A$5:$A$204&lt;&gt;"")*(D_Points!$A$5:$A$204&gt;=$B43)*(D_Points!$A$5:$A$204&lt;$B43+P_Interval)*(UPPER(TRIM(D_Points!$B$5:$B$204))="PITCHING")*(D_Points!$H$5:$H$204&lt;&gt;"")),D_Points!$H$5:$H$204),"")</f>
        <v/>
      </c>
      <c r="P43" s="181" t="str">
        <f>IFERROR(LOOKUP(2,1/((B_Drainage!$A$5:$A$204&lt;&gt;"")*(B_Drainage!$A$5:$A$204&lt;=$B43)*(B_Drainage!$B$5:$B$204&gt;$B43)*(B_Drainage!$C$5:$C$204&lt;&gt;"")),IF(B_Drainage!$C$5:$C$204="-","",UPPER(B_Drainage!$C$5:$C$204))),"")</f>
        <v/>
      </c>
      <c r="Q43" s="181" t="str">
        <f>IFERROR(LOOKUP(2,1/((B_Drainage!$A$5:$A$204&lt;&gt;"")*(B_Drainage!$A$5:$A$204&lt;=$B43)*(B_Drainage!$B$5:$B$204&gt;$B43)*(B_Drainage!$D$5:$D$204&lt;&gt;"")),IF(B_Drainage!$D$5:$D$204="-","",UPPER(B_Drainage!$D$5:$D$204))),"")</f>
        <v/>
      </c>
      <c r="R43" s="182" t="str">
        <f>IFERROR(LOOKUP(2,1/((D_Points!$A$5:$A$204&lt;&gt;"")*(D_Points!$A$5:$A$204&gt;=$B43)*(D_Points!$A$5:$A$204&lt;$B43+P_Interval)*(RIGHT(UPPER(TRIM(D_Points!$B$5:$B$204)),8)="_CULVERT")),IF(LEFT(UPPER(TRIM(D_Points!$B$5:$B$204)),2)="EX",1,IF(LEFT(UPPER(TRIM(D_Points!$B$5:$B$204)),2)="PR",2,3))),"")</f>
        <v/>
      </c>
      <c r="S43" s="182" t="str">
        <f>IFERROR(LOOKUP(2,1/((D_Points!$A$5:$A$204&lt;&gt;"")*(D_Points!$A$5:$A$204&gt;=$B43)*(D_Points!$A$5:$A$204&lt;$B43+P_Interval)*(RIGHT(UPPER(TRIM(D_Points!$B$5:$B$204)),7)="_BRIDGE")),IF(LEFT(UPPER(TRIM(D_Points!$B$5:$B$204)),2)="EX",1,IF(LEFT(UPPER(TRIM(D_Points!$B$5:$B$204)),2)="PR",2,2))),"")</f>
        <v/>
      </c>
      <c r="T43" s="181" t="str">
        <f>IFERROR(LOOKUP(2,1/((B_Drainage!$A$5:$A$204&lt;&gt;"")*(B_Drainage!$A$5:$A$204&lt;=$B43)*(B_Drainage!$B$5:$B$204&gt;$B43)*(B_Drainage!$E$5:$E$204&lt;&gt;"")),IF(B_Drainage!$E$5:$E$204="-","",1)),"")</f>
        <v/>
      </c>
      <c r="U43" s="181" t="str">
        <f>IFERROR(LOOKUP(2,1/((B_Drainage!$A$5:$A$204&lt;&gt;"")*(B_Drainage!$A$5:$A$204&lt;=$B43)*(B_Drainage!$B$5:$B$204&gt;$B43)*(B_Drainage!$E$5:$E$204&lt;&gt;"")),IF(B_Drainage!$E$5:$E$204="-","",B_Drainage!$E$5:$E$204)),"")</f>
        <v/>
      </c>
      <c r="V43" s="181" t="str">
        <f>IFERROR(LOOKUP(2,1/((B_Drainage!$A$5:$A$204&lt;&gt;"")*(B_Drainage!$A$5:$A$204&lt;=$B43)*(B_Drainage!$B$5:$B$204&gt;$B43)*(B_Drainage!$F$5:$F$204&lt;&gt;"")),IF(B_Drainage!$F$5:$F$204="-","",1)),"")</f>
        <v/>
      </c>
      <c r="W43" s="181" t="str">
        <f>IFERROR(LOOKUP(2,1/((B_Drainage!$A$5:$A$204&lt;&gt;"")*(B_Drainage!$A$5:$A$204&lt;=$B43)*(B_Drainage!$B$5:$B$204&gt;$B43)*(B_Drainage!$F$5:$F$204&lt;&gt;"")),IF(B_Drainage!$F$5:$F$204="-","",B_Drainage!$F$5:$F$204)),"")</f>
        <v/>
      </c>
      <c r="X43" s="181" t="str">
        <f>IFERROR(LOOKUP(2,1/((B_Drainage!$A$5:$A$204&lt;&gt;"")*(B_Drainage!$A$5:$A$204&lt;=$B43)*(B_Drainage!$B$5:$B$204&gt;$B43)*(B_Drainage!$G$5:$G$204&lt;&gt;"")),IF(UPPER(B_Drainage!$G$5:$G$204)="Y",1,"")),"")</f>
        <v/>
      </c>
      <c r="Y43" s="181" t="str">
        <f>IFERROR(LOOKUP(2,1/((B_Drainage!$A$5:$A$204&lt;&gt;"")*(B_Drainage!$A$5:$A$204&lt;=$B43)*(B_Drainage!$B$5:$B$204&gt;$B43)*(B_Drainage!$H$5:$H$204&lt;&gt;"")),IF(UPPER(B_Drainage!$H$5:$H$204)="Y",1,"")),"")</f>
        <v/>
      </c>
      <c r="Z43" s="181" t="str">
        <f>IFERROR(LOOKUP(2,1/((B_Drainage!$A$5:$A$204&lt;&gt;"")*(B_Drainage!$A$5:$A$204&lt;=$B43)*(B_Drainage!$B$5:$B$204&gt;$B43)*(B_Drainage!$I$5:$I$204&lt;&gt;"")),IF(UPPER(B_Drainage!$I$5:$I$204)="Y",1,"")),"")</f>
        <v/>
      </c>
      <c r="AA43" s="181" t="str">
        <f>IFERROR(LOOKUP(2,1/((B_Drainage!$A$5:$A$204&lt;&gt;"")*(B_Drainage!$A$5:$A$204&lt;=$B43)*(B_Drainage!$B$5:$B$204&gt;$B43)*(B_Drainage!$J$5:$J$204&lt;&gt;"")),IF(UPPER(B_Drainage!$J$5:$J$204)="Y",1,"")),"")</f>
        <v/>
      </c>
      <c r="AB43" s="182" t="str">
        <f>IFERROR(LOOKUP(2,1/((B_Drainage!$A$5:$A$204&lt;&gt;"")*(B_Drainage!$A$5:$A$204&lt;=$B43)*(B_Drainage!$B$5:$B$204&gt;$B43)*(B_Drainage!$K$5:$K$204&lt;&gt;"")),IF(B_Drainage!$K$5:$K$204="-","",B_Drainage!$K$5:$K$204)),"")</f>
        <v/>
      </c>
      <c r="AC43" s="182" t="str">
        <f>IFERROR(LOOKUP(2,1/((B_Drainage!$A$5:$A$204&lt;&gt;"")*(B_Drainage!$A$5:$A$204&lt;=$B43)*(B_Drainage!$B$5:$B$204&gt;$B43)*(B_Drainage!$L$5:$L$204&lt;&gt;"")),IF(B_Drainage!$L$5:$L$204="-","",B_Drainage!$L$5:$L$204)),"")</f>
        <v/>
      </c>
      <c r="AD43" s="182" t="str">
        <f>IFERROR(LOOKUP(2,1/((D_Points!$A$5:$A$204&lt;&gt;"")*(D_Points!$A$5:$A$204&gt;=$B43)*(D_Points!$A$5:$A$204&lt;$B43+P_Interval)*(UPPER(TRIM(D_Points!$B$5:$B$204))="TURNOUT_L")*(D_Points!$H$5:$H$204&lt;&gt;"")),D_Points!$H$5:$H$204),"")</f>
        <v/>
      </c>
      <c r="AE43" s="182" t="str">
        <f>IFERROR(LOOKUP(2,1/((D_Points!$A$5:$A$204&lt;&gt;"")*(D_Points!$A$5:$A$204&gt;=$B43)*(D_Points!$A$5:$A$204&lt;$B43+P_Interval)*(UPPER(TRIM(D_Points!$B$5:$B$204))="TURNOUT_R")*(D_Points!$H$5:$H$204&lt;&gt;"")),D_Points!$H$5:$H$204),"")</f>
        <v/>
      </c>
      <c r="AF43" s="181" t="str">
        <f>IFERROR(LOOKUP(2,1/((B_Drainage!$A$5:$A$204&lt;&gt;"")*(B_Drainage!$A$5:$A$204&lt;=$B43)*(B_Drainage!$B$5:$B$204&gt;$B43)*(B_Drainage!$M$5:$M$204&lt;&gt;"")),IF(UPPER(B_Drainage!$M$5:$M$204)="Y",1,"")),"")</f>
        <v/>
      </c>
      <c r="AG43" s="181" t="str">
        <f>IFERROR(LOOKUP(2,1/((B_Drainage!$A$5:$A$204&lt;&gt;"")*(B_Drainage!$A$5:$A$204&lt;=$B43)*(B_Drainage!$B$5:$B$204&gt;$B43)*(B_Drainage!$N$5:$N$204&lt;&gt;"")),IF(UPPER(B_Drainage!$N$5:$N$204)="Y",1,"")),"")</f>
        <v/>
      </c>
      <c r="AH43" s="181" t="str">
        <f t="shared" si="0"/>
        <v/>
      </c>
      <c r="AI43" s="181" t="str">
        <f t="shared" si="1"/>
        <v/>
      </c>
      <c r="AJ43" s="181" t="str">
        <f t="shared" si="2"/>
        <v/>
      </c>
      <c r="AK43" s="181" t="str">
        <f t="shared" si="3"/>
        <v/>
      </c>
      <c r="AL43" s="181" t="str">
        <f t="shared" si="4"/>
        <v/>
      </c>
      <c r="AM43" s="181" t="str">
        <f t="shared" si="5"/>
        <v/>
      </c>
      <c r="AN43" s="181" t="str">
        <f t="shared" si="6"/>
        <v/>
      </c>
      <c r="AO43" s="192" t="str">
        <f t="shared" si="7"/>
        <v/>
      </c>
      <c r="AQ43" t="str">
        <f>IFERROR(LOOKUP(2,1/((C_Pavement!$A$5:$A$204&lt;&gt;"")*(C_Pavement!$A$5:$A$204&lt;=$B43)*(C_Pavement!$B$5:$B$204&gt;$B43)*(C_Pavement!$C$5:$C$204&lt;&gt;"")),ROW(C_Pavement!$C$5:$C$204)-4),"")</f>
        <v/>
      </c>
      <c r="AR43" t="str">
        <f>IF($AQ43="","",UPPER(TRIM(INDEX(C_Pavement!$C$5:$C$204,$AQ43))))</f>
        <v/>
      </c>
      <c r="AS43" t="str">
        <f>IF($AR43="","",IFERROR(MATCH($AR43,E_Rules!$A$5:$A$9,0),""))</f>
        <v/>
      </c>
      <c r="AT43" t="str">
        <f>IF($AQ43="","",IF(INDEX(C_Pavement!$D$5:$D$204,$AQ43)&lt;&gt;"",UPPER(TRIM(INDEX(C_Pavement!$D$5:$D$204,$AQ43))),IF($AS43="","",INDEX(E_Rules!$C$5:$C$9,$AS43))))</f>
        <v/>
      </c>
      <c r="AU43" t="str">
        <f>IF($AQ43="","",IF(INDEX(C_Pavement!$E$5:$E$204,$AQ43)&lt;&gt;"",IF(INDEX(C_Pavement!$E$5:$E$204,$AQ43)="-","",INDEX(C_Pavement!$E$5:$E$204,$AQ43)),IF($AS43="","",INDEX(E_Rules!$D$5:$D$9,$AS43))))</f>
        <v/>
      </c>
      <c r="AV43" t="str">
        <f>IF($AQ43="","",IF(INDEX(C_Pavement!$F$5:$F$204,$AQ43)&lt;&gt;"",IF(INDEX(C_Pavement!$F$5:$F$204,$AQ43)="-","",INDEX(C_Pavement!$F$5:$F$204,$AQ43)),IF($AS43="","",INDEX(E_Rules!$E$5:$E$9,$AS43))))</f>
        <v/>
      </c>
      <c r="AW43" t="str">
        <f>IF($AQ43="","",IF(INDEX(C_Pavement!$G$5:$G$204,$AQ43)&lt;&gt;"",IF(INDEX(C_Pavement!$G$5:$G$204,$AQ43)="-","",INDEX(C_Pavement!$G$5:$G$204,$AQ43)),IF($AS43="","",INDEX(E_Rules!$F$5:$F$9,$AS43))))</f>
        <v/>
      </c>
      <c r="AX43" t="str">
        <f>IF($AQ43="","",IF(INDEX(C_Pavement!$H$5:$H$204,$AQ43)&lt;&gt;"",IF(INDEX(C_Pavement!$H$5:$H$204,$AQ43)="-","",INDEX(C_Pavement!$H$5:$H$204,$AQ43)),IF($AS43="","",INDEX(E_Rules!$G$5:$G$9,$AS43))))</f>
        <v/>
      </c>
      <c r="AY43" t="str">
        <f>IF($AQ43="","",IF(INDEX(C_Pavement!$I$5:$I$204,$AQ43)&lt;&gt;"",IF(INDEX(C_Pavement!$I$5:$I$204,$AQ43)="-","",INDEX(C_Pavement!$I$5:$I$204,$AQ43)),IF($AS43="","",INDEX(E_Rules!$H$5:$H$9,$AS43))))</f>
        <v/>
      </c>
    </row>
    <row r="44" spans="1:51" ht="15.75" customHeight="1" x14ac:dyDescent="0.3">
      <c r="A44" s="189">
        <v>39</v>
      </c>
      <c r="B44" s="180">
        <v>1900</v>
      </c>
      <c r="C44" s="180" t="s">
        <v>350</v>
      </c>
      <c r="D44" s="181" t="str">
        <f>IFERROR(LOOKUP(2,1/((A_Corridor!$A$5:$A$204&lt;&gt;"")*(A_Corridor!$A$5:$A$204&lt;=$B44)*(A_Corridor!$B$5:$B$204&gt;$B44)*(A_Corridor!$C$5:$C$204&lt;&gt;"")),IF(UPPER(A_Corridor!$C$5:$C$204)="Y",1,"")),"")</f>
        <v/>
      </c>
      <c r="E44" s="181" t="str">
        <f>IFERROR(LOOKUP(2,1/((A_Corridor!$A$5:$A$204&lt;&gt;"")*(A_Corridor!$A$5:$A$204&lt;=$B44)*(A_Corridor!$B$5:$B$204&gt;$B44)*(A_Corridor!$D$5:$D$204&lt;&gt;"")),IF(A_Corridor!$D$5:$D$204="-","",UPPER(A_Corridor!$D$5:$D$204))),"")</f>
        <v/>
      </c>
      <c r="F44" s="181" t="str">
        <f>IFERROR(LOOKUP(2,1/((A_Corridor!$A$5:$A$204&lt;&gt;"")*(A_Corridor!$A$5:$A$204&lt;=$B44)*(A_Corridor!$B$5:$B$204&gt;$B44)*(A_Corridor!$E$5:$E$204&lt;&gt;"")),IF(A_Corridor!$E$5:$E$204="-","",1)),"")</f>
        <v/>
      </c>
      <c r="G44" s="182" t="str">
        <f>IFERROR(LOOKUP(2,1/((A_Corridor!$A$5:$A$204&lt;&gt;"")*(A_Corridor!$A$5:$A$204&lt;=$B44)*(A_Corridor!$B$5:$B$204&gt;$B44)*(A_Corridor!$E$5:$E$204&lt;&gt;"")),IF(A_Corridor!$E$5:$E$204="-","",A_Corridor!$E$5:$E$204)),"")</f>
        <v/>
      </c>
      <c r="H44" s="182" t="str">
        <f>IFERROR(LOOKUP(2,1/((D_Points!$A$5:$A$204&lt;&gt;"")*(D_Points!$A$5:$A$204&gt;=$B44)*(D_Points!$A$5:$A$204&lt;$B44+P_Interval)*(UPPER(TRIM(D_Points!$B$5:$B$204))="GULLY")*(D_Points!$H$5:$H$204&lt;&gt;"")),D_Points!$H$5:$H$204),"")</f>
        <v/>
      </c>
      <c r="I44" s="181" t="str">
        <f>IFERROR(LOOKUP(2,1/((A_Corridor!$A$5:$A$204&lt;&gt;"")*(A_Corridor!$A$5:$A$204&lt;=$B44)*(A_Corridor!$B$5:$B$204&gt;$B44)*(A_Corridor!$F$5:$F$204&lt;&gt;"")),IF(A_Corridor!$F$5:$F$204="-","",1)),"")</f>
        <v/>
      </c>
      <c r="J44" s="182" t="str">
        <f>IFERROR(LOOKUP(2,1/((A_Corridor!$A$5:$A$204&lt;&gt;"")*(A_Corridor!$A$5:$A$204&lt;=$B44)*(A_Corridor!$B$5:$B$204&gt;$B44)*(A_Corridor!$F$5:$F$204&lt;&gt;"")),IF(A_Corridor!$F$5:$F$204="-","",A_Corridor!$F$5:$F$204)),"")</f>
        <v/>
      </c>
      <c r="K44" s="182" t="str">
        <f>IFERROR(LOOKUP(2,1/((A_Corridor!$A$5:$A$204&lt;&gt;"")*(A_Corridor!$A$5:$A$204&lt;=$B44)*(A_Corridor!$B$5:$B$204&gt;$B44)*(A_Corridor!$G$5:$G$204&lt;&gt;"")),IF(A_Corridor!$G$5:$G$204="-","",A_Corridor!$G$5:$G$204)),"")</f>
        <v/>
      </c>
      <c r="L44" s="181" t="str">
        <f>IFERROR(LOOKUP(2,1/((A_Corridor!$A$5:$A$204&lt;&gt;"")*(A_Corridor!$A$5:$A$204&lt;=$B44)*(A_Corridor!$B$5:$B$204&gt;$B44)*(A_Corridor!$H$5:$H$204&lt;&gt;"")),IF(A_Corridor!$H$5:$H$204="-","",1)),"")</f>
        <v/>
      </c>
      <c r="M44" s="182" t="str">
        <f>IFERROR(LOOKUP(2,1/((A_Corridor!$A$5:$A$204&lt;&gt;"")*(A_Corridor!$A$5:$A$204&lt;=$B44)*(A_Corridor!$B$5:$B$204&gt;$B44)*(A_Corridor!$H$5:$H$204&lt;&gt;"")),IF(A_Corridor!$H$5:$H$204="-","",A_Corridor!$H$5:$H$204)),"")</f>
        <v/>
      </c>
      <c r="N44" s="182" t="str">
        <f>IFERROR(LOOKUP(2,1/((A_Corridor!$A$5:$A$204&lt;&gt;"")*(A_Corridor!$A$5:$A$204&lt;=$B44)*(A_Corridor!$B$5:$B$204&gt;$B44)*(A_Corridor!$I$5:$I$204&lt;&gt;"")),IF(A_Corridor!$I$5:$I$204="-","",A_Corridor!$I$5:$I$204)),"")</f>
        <v/>
      </c>
      <c r="O44" s="182" t="str">
        <f>IFERROR(LOOKUP(2,1/((D_Points!$A$5:$A$204&lt;&gt;"")*(D_Points!$A$5:$A$204&gt;=$B44)*(D_Points!$A$5:$A$204&lt;$B44+P_Interval)*(UPPER(TRIM(D_Points!$B$5:$B$204))="PITCHING")*(D_Points!$H$5:$H$204&lt;&gt;"")),D_Points!$H$5:$H$204),"")</f>
        <v/>
      </c>
      <c r="P44" s="181" t="str">
        <f>IFERROR(LOOKUP(2,1/((B_Drainage!$A$5:$A$204&lt;&gt;"")*(B_Drainage!$A$5:$A$204&lt;=$B44)*(B_Drainage!$B$5:$B$204&gt;$B44)*(B_Drainage!$C$5:$C$204&lt;&gt;"")),IF(B_Drainage!$C$5:$C$204="-","",UPPER(B_Drainage!$C$5:$C$204))),"")</f>
        <v/>
      </c>
      <c r="Q44" s="181" t="str">
        <f>IFERROR(LOOKUP(2,1/((B_Drainage!$A$5:$A$204&lt;&gt;"")*(B_Drainage!$A$5:$A$204&lt;=$B44)*(B_Drainage!$B$5:$B$204&gt;$B44)*(B_Drainage!$D$5:$D$204&lt;&gt;"")),IF(B_Drainage!$D$5:$D$204="-","",UPPER(B_Drainage!$D$5:$D$204))),"")</f>
        <v/>
      </c>
      <c r="R44" s="182" t="str">
        <f>IFERROR(LOOKUP(2,1/((D_Points!$A$5:$A$204&lt;&gt;"")*(D_Points!$A$5:$A$204&gt;=$B44)*(D_Points!$A$5:$A$204&lt;$B44+P_Interval)*(RIGHT(UPPER(TRIM(D_Points!$B$5:$B$204)),8)="_CULVERT")),IF(LEFT(UPPER(TRIM(D_Points!$B$5:$B$204)),2)="EX",1,IF(LEFT(UPPER(TRIM(D_Points!$B$5:$B$204)),2)="PR",2,3))),"")</f>
        <v/>
      </c>
      <c r="S44" s="182" t="str">
        <f>IFERROR(LOOKUP(2,1/((D_Points!$A$5:$A$204&lt;&gt;"")*(D_Points!$A$5:$A$204&gt;=$B44)*(D_Points!$A$5:$A$204&lt;$B44+P_Interval)*(RIGHT(UPPER(TRIM(D_Points!$B$5:$B$204)),7)="_BRIDGE")),IF(LEFT(UPPER(TRIM(D_Points!$B$5:$B$204)),2)="EX",1,IF(LEFT(UPPER(TRIM(D_Points!$B$5:$B$204)),2)="PR",2,2))),"")</f>
        <v/>
      </c>
      <c r="T44" s="181" t="str">
        <f>IFERROR(LOOKUP(2,1/((B_Drainage!$A$5:$A$204&lt;&gt;"")*(B_Drainage!$A$5:$A$204&lt;=$B44)*(B_Drainage!$B$5:$B$204&gt;$B44)*(B_Drainage!$E$5:$E$204&lt;&gt;"")),IF(B_Drainage!$E$5:$E$204="-","",1)),"")</f>
        <v/>
      </c>
      <c r="U44" s="181" t="str">
        <f>IFERROR(LOOKUP(2,1/((B_Drainage!$A$5:$A$204&lt;&gt;"")*(B_Drainage!$A$5:$A$204&lt;=$B44)*(B_Drainage!$B$5:$B$204&gt;$B44)*(B_Drainage!$E$5:$E$204&lt;&gt;"")),IF(B_Drainage!$E$5:$E$204="-","",B_Drainage!$E$5:$E$204)),"")</f>
        <v/>
      </c>
      <c r="V44" s="181" t="str">
        <f>IFERROR(LOOKUP(2,1/((B_Drainage!$A$5:$A$204&lt;&gt;"")*(B_Drainage!$A$5:$A$204&lt;=$B44)*(B_Drainage!$B$5:$B$204&gt;$B44)*(B_Drainage!$F$5:$F$204&lt;&gt;"")),IF(B_Drainage!$F$5:$F$204="-","",1)),"")</f>
        <v/>
      </c>
      <c r="W44" s="181" t="str">
        <f>IFERROR(LOOKUP(2,1/((B_Drainage!$A$5:$A$204&lt;&gt;"")*(B_Drainage!$A$5:$A$204&lt;=$B44)*(B_Drainage!$B$5:$B$204&gt;$B44)*(B_Drainage!$F$5:$F$204&lt;&gt;"")),IF(B_Drainage!$F$5:$F$204="-","",B_Drainage!$F$5:$F$204)),"")</f>
        <v/>
      </c>
      <c r="X44" s="181" t="str">
        <f>IFERROR(LOOKUP(2,1/((B_Drainage!$A$5:$A$204&lt;&gt;"")*(B_Drainage!$A$5:$A$204&lt;=$B44)*(B_Drainage!$B$5:$B$204&gt;$B44)*(B_Drainage!$G$5:$G$204&lt;&gt;"")),IF(UPPER(B_Drainage!$G$5:$G$204)="Y",1,"")),"")</f>
        <v/>
      </c>
      <c r="Y44" s="181" t="str">
        <f>IFERROR(LOOKUP(2,1/((B_Drainage!$A$5:$A$204&lt;&gt;"")*(B_Drainage!$A$5:$A$204&lt;=$B44)*(B_Drainage!$B$5:$B$204&gt;$B44)*(B_Drainage!$H$5:$H$204&lt;&gt;"")),IF(UPPER(B_Drainage!$H$5:$H$204)="Y",1,"")),"")</f>
        <v/>
      </c>
      <c r="Z44" s="181" t="str">
        <f>IFERROR(LOOKUP(2,1/((B_Drainage!$A$5:$A$204&lt;&gt;"")*(B_Drainage!$A$5:$A$204&lt;=$B44)*(B_Drainage!$B$5:$B$204&gt;$B44)*(B_Drainage!$I$5:$I$204&lt;&gt;"")),IF(UPPER(B_Drainage!$I$5:$I$204)="Y",1,"")),"")</f>
        <v/>
      </c>
      <c r="AA44" s="181" t="str">
        <f>IFERROR(LOOKUP(2,1/((B_Drainage!$A$5:$A$204&lt;&gt;"")*(B_Drainage!$A$5:$A$204&lt;=$B44)*(B_Drainage!$B$5:$B$204&gt;$B44)*(B_Drainage!$J$5:$J$204&lt;&gt;"")),IF(UPPER(B_Drainage!$J$5:$J$204)="Y",1,"")),"")</f>
        <v/>
      </c>
      <c r="AB44" s="182" t="str">
        <f>IFERROR(LOOKUP(2,1/((B_Drainage!$A$5:$A$204&lt;&gt;"")*(B_Drainage!$A$5:$A$204&lt;=$B44)*(B_Drainage!$B$5:$B$204&gt;$B44)*(B_Drainage!$K$5:$K$204&lt;&gt;"")),IF(B_Drainage!$K$5:$K$204="-","",B_Drainage!$K$5:$K$204)),"")</f>
        <v/>
      </c>
      <c r="AC44" s="182" t="str">
        <f>IFERROR(LOOKUP(2,1/((B_Drainage!$A$5:$A$204&lt;&gt;"")*(B_Drainage!$A$5:$A$204&lt;=$B44)*(B_Drainage!$B$5:$B$204&gt;$B44)*(B_Drainage!$L$5:$L$204&lt;&gt;"")),IF(B_Drainage!$L$5:$L$204="-","",B_Drainage!$L$5:$L$204)),"")</f>
        <v/>
      </c>
      <c r="AD44" s="182" t="str">
        <f>IFERROR(LOOKUP(2,1/((D_Points!$A$5:$A$204&lt;&gt;"")*(D_Points!$A$5:$A$204&gt;=$B44)*(D_Points!$A$5:$A$204&lt;$B44+P_Interval)*(UPPER(TRIM(D_Points!$B$5:$B$204))="TURNOUT_L")*(D_Points!$H$5:$H$204&lt;&gt;"")),D_Points!$H$5:$H$204),"")</f>
        <v/>
      </c>
      <c r="AE44" s="182" t="str">
        <f>IFERROR(LOOKUP(2,1/((D_Points!$A$5:$A$204&lt;&gt;"")*(D_Points!$A$5:$A$204&gt;=$B44)*(D_Points!$A$5:$A$204&lt;$B44+P_Interval)*(UPPER(TRIM(D_Points!$B$5:$B$204))="TURNOUT_R")*(D_Points!$H$5:$H$204&lt;&gt;"")),D_Points!$H$5:$H$204),"")</f>
        <v/>
      </c>
      <c r="AF44" s="181" t="str">
        <f>IFERROR(LOOKUP(2,1/((B_Drainage!$A$5:$A$204&lt;&gt;"")*(B_Drainage!$A$5:$A$204&lt;=$B44)*(B_Drainage!$B$5:$B$204&gt;$B44)*(B_Drainage!$M$5:$M$204&lt;&gt;"")),IF(UPPER(B_Drainage!$M$5:$M$204)="Y",1,"")),"")</f>
        <v/>
      </c>
      <c r="AG44" s="181" t="str">
        <f>IFERROR(LOOKUP(2,1/((B_Drainage!$A$5:$A$204&lt;&gt;"")*(B_Drainage!$A$5:$A$204&lt;=$B44)*(B_Drainage!$B$5:$B$204&gt;$B44)*(B_Drainage!$N$5:$N$204&lt;&gt;"")),IF(UPPER(B_Drainage!$N$5:$N$204)="Y",1,"")),"")</f>
        <v/>
      </c>
      <c r="AH44" s="181" t="str">
        <f t="shared" si="0"/>
        <v/>
      </c>
      <c r="AI44" s="181" t="str">
        <f t="shared" si="1"/>
        <v/>
      </c>
      <c r="AJ44" s="181" t="str">
        <f t="shared" si="2"/>
        <v/>
      </c>
      <c r="AK44" s="181" t="str">
        <f t="shared" si="3"/>
        <v/>
      </c>
      <c r="AL44" s="181" t="str">
        <f t="shared" si="4"/>
        <v/>
      </c>
      <c r="AM44" s="181" t="str">
        <f t="shared" si="5"/>
        <v/>
      </c>
      <c r="AN44" s="181" t="str">
        <f t="shared" si="6"/>
        <v/>
      </c>
      <c r="AO44" s="192" t="str">
        <f t="shared" si="7"/>
        <v/>
      </c>
      <c r="AQ44" t="str">
        <f>IFERROR(LOOKUP(2,1/((C_Pavement!$A$5:$A$204&lt;&gt;"")*(C_Pavement!$A$5:$A$204&lt;=$B44)*(C_Pavement!$B$5:$B$204&gt;$B44)*(C_Pavement!$C$5:$C$204&lt;&gt;"")),ROW(C_Pavement!$C$5:$C$204)-4),"")</f>
        <v/>
      </c>
      <c r="AR44" t="str">
        <f>IF($AQ44="","",UPPER(TRIM(INDEX(C_Pavement!$C$5:$C$204,$AQ44))))</f>
        <v/>
      </c>
      <c r="AS44" t="str">
        <f>IF($AR44="","",IFERROR(MATCH($AR44,E_Rules!$A$5:$A$9,0),""))</f>
        <v/>
      </c>
      <c r="AT44" t="str">
        <f>IF($AQ44="","",IF(INDEX(C_Pavement!$D$5:$D$204,$AQ44)&lt;&gt;"",UPPER(TRIM(INDEX(C_Pavement!$D$5:$D$204,$AQ44))),IF($AS44="","",INDEX(E_Rules!$C$5:$C$9,$AS44))))</f>
        <v/>
      </c>
      <c r="AU44" t="str">
        <f>IF($AQ44="","",IF(INDEX(C_Pavement!$E$5:$E$204,$AQ44)&lt;&gt;"",IF(INDEX(C_Pavement!$E$5:$E$204,$AQ44)="-","",INDEX(C_Pavement!$E$5:$E$204,$AQ44)),IF($AS44="","",INDEX(E_Rules!$D$5:$D$9,$AS44))))</f>
        <v/>
      </c>
      <c r="AV44" t="str">
        <f>IF($AQ44="","",IF(INDEX(C_Pavement!$F$5:$F$204,$AQ44)&lt;&gt;"",IF(INDEX(C_Pavement!$F$5:$F$204,$AQ44)="-","",INDEX(C_Pavement!$F$5:$F$204,$AQ44)),IF($AS44="","",INDEX(E_Rules!$E$5:$E$9,$AS44))))</f>
        <v/>
      </c>
      <c r="AW44" t="str">
        <f>IF($AQ44="","",IF(INDEX(C_Pavement!$G$5:$G$204,$AQ44)&lt;&gt;"",IF(INDEX(C_Pavement!$G$5:$G$204,$AQ44)="-","",INDEX(C_Pavement!$G$5:$G$204,$AQ44)),IF($AS44="","",INDEX(E_Rules!$F$5:$F$9,$AS44))))</f>
        <v/>
      </c>
      <c r="AX44" t="str">
        <f>IF($AQ44="","",IF(INDEX(C_Pavement!$H$5:$H$204,$AQ44)&lt;&gt;"",IF(INDEX(C_Pavement!$H$5:$H$204,$AQ44)="-","",INDEX(C_Pavement!$H$5:$H$204,$AQ44)),IF($AS44="","",INDEX(E_Rules!$G$5:$G$9,$AS44))))</f>
        <v/>
      </c>
      <c r="AY44" t="str">
        <f>IF($AQ44="","",IF(INDEX(C_Pavement!$I$5:$I$204,$AQ44)&lt;&gt;"",IF(INDEX(C_Pavement!$I$5:$I$204,$AQ44)="-","",INDEX(C_Pavement!$I$5:$I$204,$AQ44)),IF($AS44="","",INDEX(E_Rules!$H$5:$H$9,$AS44))))</f>
        <v/>
      </c>
    </row>
    <row r="45" spans="1:51" ht="15.75" customHeight="1" x14ac:dyDescent="0.3">
      <c r="A45" s="189">
        <v>40</v>
      </c>
      <c r="B45" s="180">
        <v>1950</v>
      </c>
      <c r="C45" s="180" t="s">
        <v>351</v>
      </c>
      <c r="D45" s="181" t="str">
        <f>IFERROR(LOOKUP(2,1/((A_Corridor!$A$5:$A$204&lt;&gt;"")*(A_Corridor!$A$5:$A$204&lt;=$B45)*(A_Corridor!$B$5:$B$204&gt;$B45)*(A_Corridor!$C$5:$C$204&lt;&gt;"")),IF(UPPER(A_Corridor!$C$5:$C$204)="Y",1,"")),"")</f>
        <v/>
      </c>
      <c r="E45" s="181" t="str">
        <f>IFERROR(LOOKUP(2,1/((A_Corridor!$A$5:$A$204&lt;&gt;"")*(A_Corridor!$A$5:$A$204&lt;=$B45)*(A_Corridor!$B$5:$B$204&gt;$B45)*(A_Corridor!$D$5:$D$204&lt;&gt;"")),IF(A_Corridor!$D$5:$D$204="-","",UPPER(A_Corridor!$D$5:$D$204))),"")</f>
        <v/>
      </c>
      <c r="F45" s="181" t="str">
        <f>IFERROR(LOOKUP(2,1/((A_Corridor!$A$5:$A$204&lt;&gt;"")*(A_Corridor!$A$5:$A$204&lt;=$B45)*(A_Corridor!$B$5:$B$204&gt;$B45)*(A_Corridor!$E$5:$E$204&lt;&gt;"")),IF(A_Corridor!$E$5:$E$204="-","",1)),"")</f>
        <v/>
      </c>
      <c r="G45" s="182" t="str">
        <f>IFERROR(LOOKUP(2,1/((A_Corridor!$A$5:$A$204&lt;&gt;"")*(A_Corridor!$A$5:$A$204&lt;=$B45)*(A_Corridor!$B$5:$B$204&gt;$B45)*(A_Corridor!$E$5:$E$204&lt;&gt;"")),IF(A_Corridor!$E$5:$E$204="-","",A_Corridor!$E$5:$E$204)),"")</f>
        <v/>
      </c>
      <c r="H45" s="182" t="str">
        <f>IFERROR(LOOKUP(2,1/((D_Points!$A$5:$A$204&lt;&gt;"")*(D_Points!$A$5:$A$204&gt;=$B45)*(D_Points!$A$5:$A$204&lt;$B45+P_Interval)*(UPPER(TRIM(D_Points!$B$5:$B$204))="GULLY")*(D_Points!$H$5:$H$204&lt;&gt;"")),D_Points!$H$5:$H$204),"")</f>
        <v/>
      </c>
      <c r="I45" s="181" t="str">
        <f>IFERROR(LOOKUP(2,1/((A_Corridor!$A$5:$A$204&lt;&gt;"")*(A_Corridor!$A$5:$A$204&lt;=$B45)*(A_Corridor!$B$5:$B$204&gt;$B45)*(A_Corridor!$F$5:$F$204&lt;&gt;"")),IF(A_Corridor!$F$5:$F$204="-","",1)),"")</f>
        <v/>
      </c>
      <c r="J45" s="182" t="str">
        <f>IFERROR(LOOKUP(2,1/((A_Corridor!$A$5:$A$204&lt;&gt;"")*(A_Corridor!$A$5:$A$204&lt;=$B45)*(A_Corridor!$B$5:$B$204&gt;$B45)*(A_Corridor!$F$5:$F$204&lt;&gt;"")),IF(A_Corridor!$F$5:$F$204="-","",A_Corridor!$F$5:$F$204)),"")</f>
        <v/>
      </c>
      <c r="K45" s="182" t="str">
        <f>IFERROR(LOOKUP(2,1/((A_Corridor!$A$5:$A$204&lt;&gt;"")*(A_Corridor!$A$5:$A$204&lt;=$B45)*(A_Corridor!$B$5:$B$204&gt;$B45)*(A_Corridor!$G$5:$G$204&lt;&gt;"")),IF(A_Corridor!$G$5:$G$204="-","",A_Corridor!$G$5:$G$204)),"")</f>
        <v/>
      </c>
      <c r="L45" s="181" t="str">
        <f>IFERROR(LOOKUP(2,1/((A_Corridor!$A$5:$A$204&lt;&gt;"")*(A_Corridor!$A$5:$A$204&lt;=$B45)*(A_Corridor!$B$5:$B$204&gt;$B45)*(A_Corridor!$H$5:$H$204&lt;&gt;"")),IF(A_Corridor!$H$5:$H$204="-","",1)),"")</f>
        <v/>
      </c>
      <c r="M45" s="182" t="str">
        <f>IFERROR(LOOKUP(2,1/((A_Corridor!$A$5:$A$204&lt;&gt;"")*(A_Corridor!$A$5:$A$204&lt;=$B45)*(A_Corridor!$B$5:$B$204&gt;$B45)*(A_Corridor!$H$5:$H$204&lt;&gt;"")),IF(A_Corridor!$H$5:$H$204="-","",A_Corridor!$H$5:$H$204)),"")</f>
        <v/>
      </c>
      <c r="N45" s="182" t="str">
        <f>IFERROR(LOOKUP(2,1/((A_Corridor!$A$5:$A$204&lt;&gt;"")*(A_Corridor!$A$5:$A$204&lt;=$B45)*(A_Corridor!$B$5:$B$204&gt;$B45)*(A_Corridor!$I$5:$I$204&lt;&gt;"")),IF(A_Corridor!$I$5:$I$204="-","",A_Corridor!$I$5:$I$204)),"")</f>
        <v/>
      </c>
      <c r="O45" s="182" t="str">
        <f>IFERROR(LOOKUP(2,1/((D_Points!$A$5:$A$204&lt;&gt;"")*(D_Points!$A$5:$A$204&gt;=$B45)*(D_Points!$A$5:$A$204&lt;$B45+P_Interval)*(UPPER(TRIM(D_Points!$B$5:$B$204))="PITCHING")*(D_Points!$H$5:$H$204&lt;&gt;"")),D_Points!$H$5:$H$204),"")</f>
        <v/>
      </c>
      <c r="P45" s="181" t="str">
        <f>IFERROR(LOOKUP(2,1/((B_Drainage!$A$5:$A$204&lt;&gt;"")*(B_Drainage!$A$5:$A$204&lt;=$B45)*(B_Drainage!$B$5:$B$204&gt;$B45)*(B_Drainage!$C$5:$C$204&lt;&gt;"")),IF(B_Drainage!$C$5:$C$204="-","",UPPER(B_Drainage!$C$5:$C$204))),"")</f>
        <v/>
      </c>
      <c r="Q45" s="181" t="str">
        <f>IFERROR(LOOKUP(2,1/((B_Drainage!$A$5:$A$204&lt;&gt;"")*(B_Drainage!$A$5:$A$204&lt;=$B45)*(B_Drainage!$B$5:$B$204&gt;$B45)*(B_Drainage!$D$5:$D$204&lt;&gt;"")),IF(B_Drainage!$D$5:$D$204="-","",UPPER(B_Drainage!$D$5:$D$204))),"")</f>
        <v/>
      </c>
      <c r="R45" s="182" t="str">
        <f>IFERROR(LOOKUP(2,1/((D_Points!$A$5:$A$204&lt;&gt;"")*(D_Points!$A$5:$A$204&gt;=$B45)*(D_Points!$A$5:$A$204&lt;$B45+P_Interval)*(RIGHT(UPPER(TRIM(D_Points!$B$5:$B$204)),8)="_CULVERT")),IF(LEFT(UPPER(TRIM(D_Points!$B$5:$B$204)),2)="EX",1,IF(LEFT(UPPER(TRIM(D_Points!$B$5:$B$204)),2)="PR",2,3))),"")</f>
        <v/>
      </c>
      <c r="S45" s="182" t="str">
        <f>IFERROR(LOOKUP(2,1/((D_Points!$A$5:$A$204&lt;&gt;"")*(D_Points!$A$5:$A$204&gt;=$B45)*(D_Points!$A$5:$A$204&lt;$B45+P_Interval)*(RIGHT(UPPER(TRIM(D_Points!$B$5:$B$204)),7)="_BRIDGE")),IF(LEFT(UPPER(TRIM(D_Points!$B$5:$B$204)),2)="EX",1,IF(LEFT(UPPER(TRIM(D_Points!$B$5:$B$204)),2)="PR",2,2))),"")</f>
        <v/>
      </c>
      <c r="T45" s="181" t="str">
        <f>IFERROR(LOOKUP(2,1/((B_Drainage!$A$5:$A$204&lt;&gt;"")*(B_Drainage!$A$5:$A$204&lt;=$B45)*(B_Drainage!$B$5:$B$204&gt;$B45)*(B_Drainage!$E$5:$E$204&lt;&gt;"")),IF(B_Drainage!$E$5:$E$204="-","",1)),"")</f>
        <v/>
      </c>
      <c r="U45" s="181" t="str">
        <f>IFERROR(LOOKUP(2,1/((B_Drainage!$A$5:$A$204&lt;&gt;"")*(B_Drainage!$A$5:$A$204&lt;=$B45)*(B_Drainage!$B$5:$B$204&gt;$B45)*(B_Drainage!$E$5:$E$204&lt;&gt;"")),IF(B_Drainage!$E$5:$E$204="-","",B_Drainage!$E$5:$E$204)),"")</f>
        <v/>
      </c>
      <c r="V45" s="181" t="str">
        <f>IFERROR(LOOKUP(2,1/((B_Drainage!$A$5:$A$204&lt;&gt;"")*(B_Drainage!$A$5:$A$204&lt;=$B45)*(B_Drainage!$B$5:$B$204&gt;$B45)*(B_Drainage!$F$5:$F$204&lt;&gt;"")),IF(B_Drainage!$F$5:$F$204="-","",1)),"")</f>
        <v/>
      </c>
      <c r="W45" s="181" t="str">
        <f>IFERROR(LOOKUP(2,1/((B_Drainage!$A$5:$A$204&lt;&gt;"")*(B_Drainage!$A$5:$A$204&lt;=$B45)*(B_Drainage!$B$5:$B$204&gt;$B45)*(B_Drainage!$F$5:$F$204&lt;&gt;"")),IF(B_Drainage!$F$5:$F$204="-","",B_Drainage!$F$5:$F$204)),"")</f>
        <v/>
      </c>
      <c r="X45" s="181" t="str">
        <f>IFERROR(LOOKUP(2,1/((B_Drainage!$A$5:$A$204&lt;&gt;"")*(B_Drainage!$A$5:$A$204&lt;=$B45)*(B_Drainage!$B$5:$B$204&gt;$B45)*(B_Drainage!$G$5:$G$204&lt;&gt;"")),IF(UPPER(B_Drainage!$G$5:$G$204)="Y",1,"")),"")</f>
        <v/>
      </c>
      <c r="Y45" s="181" t="str">
        <f>IFERROR(LOOKUP(2,1/((B_Drainage!$A$5:$A$204&lt;&gt;"")*(B_Drainage!$A$5:$A$204&lt;=$B45)*(B_Drainage!$B$5:$B$204&gt;$B45)*(B_Drainage!$H$5:$H$204&lt;&gt;"")),IF(UPPER(B_Drainage!$H$5:$H$204)="Y",1,"")),"")</f>
        <v/>
      </c>
      <c r="Z45" s="181" t="str">
        <f>IFERROR(LOOKUP(2,1/((B_Drainage!$A$5:$A$204&lt;&gt;"")*(B_Drainage!$A$5:$A$204&lt;=$B45)*(B_Drainage!$B$5:$B$204&gt;$B45)*(B_Drainage!$I$5:$I$204&lt;&gt;"")),IF(UPPER(B_Drainage!$I$5:$I$204)="Y",1,"")),"")</f>
        <v/>
      </c>
      <c r="AA45" s="181" t="str">
        <f>IFERROR(LOOKUP(2,1/((B_Drainage!$A$5:$A$204&lt;&gt;"")*(B_Drainage!$A$5:$A$204&lt;=$B45)*(B_Drainage!$B$5:$B$204&gt;$B45)*(B_Drainage!$J$5:$J$204&lt;&gt;"")),IF(UPPER(B_Drainage!$J$5:$J$204)="Y",1,"")),"")</f>
        <v/>
      </c>
      <c r="AB45" s="182" t="str">
        <f>IFERROR(LOOKUP(2,1/((B_Drainage!$A$5:$A$204&lt;&gt;"")*(B_Drainage!$A$5:$A$204&lt;=$B45)*(B_Drainage!$B$5:$B$204&gt;$B45)*(B_Drainage!$K$5:$K$204&lt;&gt;"")),IF(B_Drainage!$K$5:$K$204="-","",B_Drainage!$K$5:$K$204)),"")</f>
        <v/>
      </c>
      <c r="AC45" s="182" t="str">
        <f>IFERROR(LOOKUP(2,1/((B_Drainage!$A$5:$A$204&lt;&gt;"")*(B_Drainage!$A$5:$A$204&lt;=$B45)*(B_Drainage!$B$5:$B$204&gt;$B45)*(B_Drainage!$L$5:$L$204&lt;&gt;"")),IF(B_Drainage!$L$5:$L$204="-","",B_Drainage!$L$5:$L$204)),"")</f>
        <v/>
      </c>
      <c r="AD45" s="182" t="str">
        <f>IFERROR(LOOKUP(2,1/((D_Points!$A$5:$A$204&lt;&gt;"")*(D_Points!$A$5:$A$204&gt;=$B45)*(D_Points!$A$5:$A$204&lt;$B45+P_Interval)*(UPPER(TRIM(D_Points!$B$5:$B$204))="TURNOUT_L")*(D_Points!$H$5:$H$204&lt;&gt;"")),D_Points!$H$5:$H$204),"")</f>
        <v/>
      </c>
      <c r="AE45" s="182" t="str">
        <f>IFERROR(LOOKUP(2,1/((D_Points!$A$5:$A$204&lt;&gt;"")*(D_Points!$A$5:$A$204&gt;=$B45)*(D_Points!$A$5:$A$204&lt;$B45+P_Interval)*(UPPER(TRIM(D_Points!$B$5:$B$204))="TURNOUT_R")*(D_Points!$H$5:$H$204&lt;&gt;"")),D_Points!$H$5:$H$204),"")</f>
        <v/>
      </c>
      <c r="AF45" s="181" t="str">
        <f>IFERROR(LOOKUP(2,1/((B_Drainage!$A$5:$A$204&lt;&gt;"")*(B_Drainage!$A$5:$A$204&lt;=$B45)*(B_Drainage!$B$5:$B$204&gt;$B45)*(B_Drainage!$M$5:$M$204&lt;&gt;"")),IF(UPPER(B_Drainage!$M$5:$M$204)="Y",1,"")),"")</f>
        <v/>
      </c>
      <c r="AG45" s="181" t="str">
        <f>IFERROR(LOOKUP(2,1/((B_Drainage!$A$5:$A$204&lt;&gt;"")*(B_Drainage!$A$5:$A$204&lt;=$B45)*(B_Drainage!$B$5:$B$204&gt;$B45)*(B_Drainage!$N$5:$N$204&lt;&gt;"")),IF(UPPER(B_Drainage!$N$5:$N$204)="Y",1,"")),"")</f>
        <v/>
      </c>
      <c r="AH45" s="181" t="str">
        <f t="shared" si="0"/>
        <v/>
      </c>
      <c r="AI45" s="181" t="str">
        <f t="shared" si="1"/>
        <v/>
      </c>
      <c r="AJ45" s="181" t="str">
        <f t="shared" si="2"/>
        <v/>
      </c>
      <c r="AK45" s="181" t="str">
        <f t="shared" si="3"/>
        <v/>
      </c>
      <c r="AL45" s="181" t="str">
        <f t="shared" si="4"/>
        <v/>
      </c>
      <c r="AM45" s="181" t="str">
        <f t="shared" si="5"/>
        <v/>
      </c>
      <c r="AN45" s="181" t="str">
        <f t="shared" si="6"/>
        <v/>
      </c>
      <c r="AO45" s="192" t="str">
        <f t="shared" si="7"/>
        <v/>
      </c>
      <c r="AQ45" t="str">
        <f>IFERROR(LOOKUP(2,1/((C_Pavement!$A$5:$A$204&lt;&gt;"")*(C_Pavement!$A$5:$A$204&lt;=$B45)*(C_Pavement!$B$5:$B$204&gt;$B45)*(C_Pavement!$C$5:$C$204&lt;&gt;"")),ROW(C_Pavement!$C$5:$C$204)-4),"")</f>
        <v/>
      </c>
      <c r="AR45" t="str">
        <f>IF($AQ45="","",UPPER(TRIM(INDEX(C_Pavement!$C$5:$C$204,$AQ45))))</f>
        <v/>
      </c>
      <c r="AS45" t="str">
        <f>IF($AR45="","",IFERROR(MATCH($AR45,E_Rules!$A$5:$A$9,0),""))</f>
        <v/>
      </c>
      <c r="AT45" t="str">
        <f>IF($AQ45="","",IF(INDEX(C_Pavement!$D$5:$D$204,$AQ45)&lt;&gt;"",UPPER(TRIM(INDEX(C_Pavement!$D$5:$D$204,$AQ45))),IF($AS45="","",INDEX(E_Rules!$C$5:$C$9,$AS45))))</f>
        <v/>
      </c>
      <c r="AU45" t="str">
        <f>IF($AQ45="","",IF(INDEX(C_Pavement!$E$5:$E$204,$AQ45)&lt;&gt;"",IF(INDEX(C_Pavement!$E$5:$E$204,$AQ45)="-","",INDEX(C_Pavement!$E$5:$E$204,$AQ45)),IF($AS45="","",INDEX(E_Rules!$D$5:$D$9,$AS45))))</f>
        <v/>
      </c>
      <c r="AV45" t="str">
        <f>IF($AQ45="","",IF(INDEX(C_Pavement!$F$5:$F$204,$AQ45)&lt;&gt;"",IF(INDEX(C_Pavement!$F$5:$F$204,$AQ45)="-","",INDEX(C_Pavement!$F$5:$F$204,$AQ45)),IF($AS45="","",INDEX(E_Rules!$E$5:$E$9,$AS45))))</f>
        <v/>
      </c>
      <c r="AW45" t="str">
        <f>IF($AQ45="","",IF(INDEX(C_Pavement!$G$5:$G$204,$AQ45)&lt;&gt;"",IF(INDEX(C_Pavement!$G$5:$G$204,$AQ45)="-","",INDEX(C_Pavement!$G$5:$G$204,$AQ45)),IF($AS45="","",INDEX(E_Rules!$F$5:$F$9,$AS45))))</f>
        <v/>
      </c>
      <c r="AX45" t="str">
        <f>IF($AQ45="","",IF(INDEX(C_Pavement!$H$5:$H$204,$AQ45)&lt;&gt;"",IF(INDEX(C_Pavement!$H$5:$H$204,$AQ45)="-","",INDEX(C_Pavement!$H$5:$H$204,$AQ45)),IF($AS45="","",INDEX(E_Rules!$G$5:$G$9,$AS45))))</f>
        <v/>
      </c>
      <c r="AY45" t="str">
        <f>IF($AQ45="","",IF(INDEX(C_Pavement!$I$5:$I$204,$AQ45)&lt;&gt;"",IF(INDEX(C_Pavement!$I$5:$I$204,$AQ45)="-","",INDEX(C_Pavement!$I$5:$I$204,$AQ45)),IF($AS45="","",INDEX(E_Rules!$H$5:$H$9,$AS45))))</f>
        <v/>
      </c>
    </row>
    <row r="46" spans="1:51" ht="15.75" customHeight="1" x14ac:dyDescent="0.3">
      <c r="A46" s="189">
        <v>41</v>
      </c>
      <c r="B46" s="180">
        <v>2000</v>
      </c>
      <c r="C46" s="180" t="s">
        <v>352</v>
      </c>
      <c r="D46" s="181" t="str">
        <f>IFERROR(LOOKUP(2,1/((A_Corridor!$A$5:$A$204&lt;&gt;"")*(A_Corridor!$A$5:$A$204&lt;=$B46)*(A_Corridor!$B$5:$B$204&gt;$B46)*(A_Corridor!$C$5:$C$204&lt;&gt;"")),IF(UPPER(A_Corridor!$C$5:$C$204)="Y",1,"")),"")</f>
        <v/>
      </c>
      <c r="E46" s="181" t="str">
        <f>IFERROR(LOOKUP(2,1/((A_Corridor!$A$5:$A$204&lt;&gt;"")*(A_Corridor!$A$5:$A$204&lt;=$B46)*(A_Corridor!$B$5:$B$204&gt;$B46)*(A_Corridor!$D$5:$D$204&lt;&gt;"")),IF(A_Corridor!$D$5:$D$204="-","",UPPER(A_Corridor!$D$5:$D$204))),"")</f>
        <v/>
      </c>
      <c r="F46" s="181" t="str">
        <f>IFERROR(LOOKUP(2,1/((A_Corridor!$A$5:$A$204&lt;&gt;"")*(A_Corridor!$A$5:$A$204&lt;=$B46)*(A_Corridor!$B$5:$B$204&gt;$B46)*(A_Corridor!$E$5:$E$204&lt;&gt;"")),IF(A_Corridor!$E$5:$E$204="-","",1)),"")</f>
        <v/>
      </c>
      <c r="G46" s="182" t="str">
        <f>IFERROR(LOOKUP(2,1/((A_Corridor!$A$5:$A$204&lt;&gt;"")*(A_Corridor!$A$5:$A$204&lt;=$B46)*(A_Corridor!$B$5:$B$204&gt;$B46)*(A_Corridor!$E$5:$E$204&lt;&gt;"")),IF(A_Corridor!$E$5:$E$204="-","",A_Corridor!$E$5:$E$204)),"")</f>
        <v/>
      </c>
      <c r="H46" s="182" t="str">
        <f>IFERROR(LOOKUP(2,1/((D_Points!$A$5:$A$204&lt;&gt;"")*(D_Points!$A$5:$A$204&gt;=$B46)*(D_Points!$A$5:$A$204&lt;$B46+P_Interval)*(UPPER(TRIM(D_Points!$B$5:$B$204))="GULLY")*(D_Points!$H$5:$H$204&lt;&gt;"")),D_Points!$H$5:$H$204),"")</f>
        <v/>
      </c>
      <c r="I46" s="181" t="str">
        <f>IFERROR(LOOKUP(2,1/((A_Corridor!$A$5:$A$204&lt;&gt;"")*(A_Corridor!$A$5:$A$204&lt;=$B46)*(A_Corridor!$B$5:$B$204&gt;$B46)*(A_Corridor!$F$5:$F$204&lt;&gt;"")),IF(A_Corridor!$F$5:$F$204="-","",1)),"")</f>
        <v/>
      </c>
      <c r="J46" s="182" t="str">
        <f>IFERROR(LOOKUP(2,1/((A_Corridor!$A$5:$A$204&lt;&gt;"")*(A_Corridor!$A$5:$A$204&lt;=$B46)*(A_Corridor!$B$5:$B$204&gt;$B46)*(A_Corridor!$F$5:$F$204&lt;&gt;"")),IF(A_Corridor!$F$5:$F$204="-","",A_Corridor!$F$5:$F$204)),"")</f>
        <v/>
      </c>
      <c r="K46" s="182" t="str">
        <f>IFERROR(LOOKUP(2,1/((A_Corridor!$A$5:$A$204&lt;&gt;"")*(A_Corridor!$A$5:$A$204&lt;=$B46)*(A_Corridor!$B$5:$B$204&gt;$B46)*(A_Corridor!$G$5:$G$204&lt;&gt;"")),IF(A_Corridor!$G$5:$G$204="-","",A_Corridor!$G$5:$G$204)),"")</f>
        <v/>
      </c>
      <c r="L46" s="181" t="str">
        <f>IFERROR(LOOKUP(2,1/((A_Corridor!$A$5:$A$204&lt;&gt;"")*(A_Corridor!$A$5:$A$204&lt;=$B46)*(A_Corridor!$B$5:$B$204&gt;$B46)*(A_Corridor!$H$5:$H$204&lt;&gt;"")),IF(A_Corridor!$H$5:$H$204="-","",1)),"")</f>
        <v/>
      </c>
      <c r="M46" s="182" t="str">
        <f>IFERROR(LOOKUP(2,1/((A_Corridor!$A$5:$A$204&lt;&gt;"")*(A_Corridor!$A$5:$A$204&lt;=$B46)*(A_Corridor!$B$5:$B$204&gt;$B46)*(A_Corridor!$H$5:$H$204&lt;&gt;"")),IF(A_Corridor!$H$5:$H$204="-","",A_Corridor!$H$5:$H$204)),"")</f>
        <v/>
      </c>
      <c r="N46" s="182" t="str">
        <f>IFERROR(LOOKUP(2,1/((A_Corridor!$A$5:$A$204&lt;&gt;"")*(A_Corridor!$A$5:$A$204&lt;=$B46)*(A_Corridor!$B$5:$B$204&gt;$B46)*(A_Corridor!$I$5:$I$204&lt;&gt;"")),IF(A_Corridor!$I$5:$I$204="-","",A_Corridor!$I$5:$I$204)),"")</f>
        <v/>
      </c>
      <c r="O46" s="182" t="str">
        <f>IFERROR(LOOKUP(2,1/((D_Points!$A$5:$A$204&lt;&gt;"")*(D_Points!$A$5:$A$204&gt;=$B46)*(D_Points!$A$5:$A$204&lt;$B46+P_Interval)*(UPPER(TRIM(D_Points!$B$5:$B$204))="PITCHING")*(D_Points!$H$5:$H$204&lt;&gt;"")),D_Points!$H$5:$H$204),"")</f>
        <v/>
      </c>
      <c r="P46" s="181" t="str">
        <f>IFERROR(LOOKUP(2,1/((B_Drainage!$A$5:$A$204&lt;&gt;"")*(B_Drainage!$A$5:$A$204&lt;=$B46)*(B_Drainage!$B$5:$B$204&gt;$B46)*(B_Drainage!$C$5:$C$204&lt;&gt;"")),IF(B_Drainage!$C$5:$C$204="-","",UPPER(B_Drainage!$C$5:$C$204))),"")</f>
        <v/>
      </c>
      <c r="Q46" s="181" t="str">
        <f>IFERROR(LOOKUP(2,1/((B_Drainage!$A$5:$A$204&lt;&gt;"")*(B_Drainage!$A$5:$A$204&lt;=$B46)*(B_Drainage!$B$5:$B$204&gt;$B46)*(B_Drainage!$D$5:$D$204&lt;&gt;"")),IF(B_Drainage!$D$5:$D$204="-","",UPPER(B_Drainage!$D$5:$D$204))),"")</f>
        <v/>
      </c>
      <c r="R46" s="182" t="str">
        <f>IFERROR(LOOKUP(2,1/((D_Points!$A$5:$A$204&lt;&gt;"")*(D_Points!$A$5:$A$204&gt;=$B46)*(D_Points!$A$5:$A$204&lt;$B46+P_Interval)*(RIGHT(UPPER(TRIM(D_Points!$B$5:$B$204)),8)="_CULVERT")),IF(LEFT(UPPER(TRIM(D_Points!$B$5:$B$204)),2)="EX",1,IF(LEFT(UPPER(TRIM(D_Points!$B$5:$B$204)),2)="PR",2,3))),"")</f>
        <v/>
      </c>
      <c r="S46" s="182" t="str">
        <f>IFERROR(LOOKUP(2,1/((D_Points!$A$5:$A$204&lt;&gt;"")*(D_Points!$A$5:$A$204&gt;=$B46)*(D_Points!$A$5:$A$204&lt;$B46+P_Interval)*(RIGHT(UPPER(TRIM(D_Points!$B$5:$B$204)),7)="_BRIDGE")),IF(LEFT(UPPER(TRIM(D_Points!$B$5:$B$204)),2)="EX",1,IF(LEFT(UPPER(TRIM(D_Points!$B$5:$B$204)),2)="PR",2,2))),"")</f>
        <v/>
      </c>
      <c r="T46" s="181" t="str">
        <f>IFERROR(LOOKUP(2,1/((B_Drainage!$A$5:$A$204&lt;&gt;"")*(B_Drainage!$A$5:$A$204&lt;=$B46)*(B_Drainage!$B$5:$B$204&gt;$B46)*(B_Drainage!$E$5:$E$204&lt;&gt;"")),IF(B_Drainage!$E$5:$E$204="-","",1)),"")</f>
        <v/>
      </c>
      <c r="U46" s="181" t="str">
        <f>IFERROR(LOOKUP(2,1/((B_Drainage!$A$5:$A$204&lt;&gt;"")*(B_Drainage!$A$5:$A$204&lt;=$B46)*(B_Drainage!$B$5:$B$204&gt;$B46)*(B_Drainage!$E$5:$E$204&lt;&gt;"")),IF(B_Drainage!$E$5:$E$204="-","",B_Drainage!$E$5:$E$204)),"")</f>
        <v/>
      </c>
      <c r="V46" s="181" t="str">
        <f>IFERROR(LOOKUP(2,1/((B_Drainage!$A$5:$A$204&lt;&gt;"")*(B_Drainage!$A$5:$A$204&lt;=$B46)*(B_Drainage!$B$5:$B$204&gt;$B46)*(B_Drainage!$F$5:$F$204&lt;&gt;"")),IF(B_Drainage!$F$5:$F$204="-","",1)),"")</f>
        <v/>
      </c>
      <c r="W46" s="181" t="str">
        <f>IFERROR(LOOKUP(2,1/((B_Drainage!$A$5:$A$204&lt;&gt;"")*(B_Drainage!$A$5:$A$204&lt;=$B46)*(B_Drainage!$B$5:$B$204&gt;$B46)*(B_Drainage!$F$5:$F$204&lt;&gt;"")),IF(B_Drainage!$F$5:$F$204="-","",B_Drainage!$F$5:$F$204)),"")</f>
        <v/>
      </c>
      <c r="X46" s="181" t="str">
        <f>IFERROR(LOOKUP(2,1/((B_Drainage!$A$5:$A$204&lt;&gt;"")*(B_Drainage!$A$5:$A$204&lt;=$B46)*(B_Drainage!$B$5:$B$204&gt;$B46)*(B_Drainage!$G$5:$G$204&lt;&gt;"")),IF(UPPER(B_Drainage!$G$5:$G$204)="Y",1,"")),"")</f>
        <v/>
      </c>
      <c r="Y46" s="181" t="str">
        <f>IFERROR(LOOKUP(2,1/((B_Drainage!$A$5:$A$204&lt;&gt;"")*(B_Drainage!$A$5:$A$204&lt;=$B46)*(B_Drainage!$B$5:$B$204&gt;$B46)*(B_Drainage!$H$5:$H$204&lt;&gt;"")),IF(UPPER(B_Drainage!$H$5:$H$204)="Y",1,"")),"")</f>
        <v/>
      </c>
      <c r="Z46" s="181" t="str">
        <f>IFERROR(LOOKUP(2,1/((B_Drainage!$A$5:$A$204&lt;&gt;"")*(B_Drainage!$A$5:$A$204&lt;=$B46)*(B_Drainage!$B$5:$B$204&gt;$B46)*(B_Drainage!$I$5:$I$204&lt;&gt;"")),IF(UPPER(B_Drainage!$I$5:$I$204)="Y",1,"")),"")</f>
        <v/>
      </c>
      <c r="AA46" s="181" t="str">
        <f>IFERROR(LOOKUP(2,1/((B_Drainage!$A$5:$A$204&lt;&gt;"")*(B_Drainage!$A$5:$A$204&lt;=$B46)*(B_Drainage!$B$5:$B$204&gt;$B46)*(B_Drainage!$J$5:$J$204&lt;&gt;"")),IF(UPPER(B_Drainage!$J$5:$J$204)="Y",1,"")),"")</f>
        <v/>
      </c>
      <c r="AB46" s="182" t="str">
        <f>IFERROR(LOOKUP(2,1/((B_Drainage!$A$5:$A$204&lt;&gt;"")*(B_Drainage!$A$5:$A$204&lt;=$B46)*(B_Drainage!$B$5:$B$204&gt;$B46)*(B_Drainage!$K$5:$K$204&lt;&gt;"")),IF(B_Drainage!$K$5:$K$204="-","",B_Drainage!$K$5:$K$204)),"")</f>
        <v/>
      </c>
      <c r="AC46" s="182" t="str">
        <f>IFERROR(LOOKUP(2,1/((B_Drainage!$A$5:$A$204&lt;&gt;"")*(B_Drainage!$A$5:$A$204&lt;=$B46)*(B_Drainage!$B$5:$B$204&gt;$B46)*(B_Drainage!$L$5:$L$204&lt;&gt;"")),IF(B_Drainage!$L$5:$L$204="-","",B_Drainage!$L$5:$L$204)),"")</f>
        <v/>
      </c>
      <c r="AD46" s="182" t="str">
        <f>IFERROR(LOOKUP(2,1/((D_Points!$A$5:$A$204&lt;&gt;"")*(D_Points!$A$5:$A$204&gt;=$B46)*(D_Points!$A$5:$A$204&lt;$B46+P_Interval)*(UPPER(TRIM(D_Points!$B$5:$B$204))="TURNOUT_L")*(D_Points!$H$5:$H$204&lt;&gt;"")),D_Points!$H$5:$H$204),"")</f>
        <v/>
      </c>
      <c r="AE46" s="182" t="str">
        <f>IFERROR(LOOKUP(2,1/((D_Points!$A$5:$A$204&lt;&gt;"")*(D_Points!$A$5:$A$204&gt;=$B46)*(D_Points!$A$5:$A$204&lt;$B46+P_Interval)*(UPPER(TRIM(D_Points!$B$5:$B$204))="TURNOUT_R")*(D_Points!$H$5:$H$204&lt;&gt;"")),D_Points!$H$5:$H$204),"")</f>
        <v/>
      </c>
      <c r="AF46" s="181" t="str">
        <f>IFERROR(LOOKUP(2,1/((B_Drainage!$A$5:$A$204&lt;&gt;"")*(B_Drainage!$A$5:$A$204&lt;=$B46)*(B_Drainage!$B$5:$B$204&gt;$B46)*(B_Drainage!$M$5:$M$204&lt;&gt;"")),IF(UPPER(B_Drainage!$M$5:$M$204)="Y",1,"")),"")</f>
        <v/>
      </c>
      <c r="AG46" s="181" t="str">
        <f>IFERROR(LOOKUP(2,1/((B_Drainage!$A$5:$A$204&lt;&gt;"")*(B_Drainage!$A$5:$A$204&lt;=$B46)*(B_Drainage!$B$5:$B$204&gt;$B46)*(B_Drainage!$N$5:$N$204&lt;&gt;"")),IF(UPPER(B_Drainage!$N$5:$N$204)="Y",1,"")),"")</f>
        <v/>
      </c>
      <c r="AH46" s="181" t="str">
        <f t="shared" si="0"/>
        <v/>
      </c>
      <c r="AI46" s="181" t="str">
        <f t="shared" si="1"/>
        <v/>
      </c>
      <c r="AJ46" s="181" t="str">
        <f t="shared" si="2"/>
        <v/>
      </c>
      <c r="AK46" s="181" t="str">
        <f t="shared" si="3"/>
        <v/>
      </c>
      <c r="AL46" s="181" t="str">
        <f t="shared" si="4"/>
        <v/>
      </c>
      <c r="AM46" s="181" t="str">
        <f t="shared" si="5"/>
        <v/>
      </c>
      <c r="AN46" s="181" t="str">
        <f t="shared" si="6"/>
        <v/>
      </c>
      <c r="AO46" s="192" t="str">
        <f t="shared" si="7"/>
        <v/>
      </c>
      <c r="AQ46" t="str">
        <f>IFERROR(LOOKUP(2,1/((C_Pavement!$A$5:$A$204&lt;&gt;"")*(C_Pavement!$A$5:$A$204&lt;=$B46)*(C_Pavement!$B$5:$B$204&gt;$B46)*(C_Pavement!$C$5:$C$204&lt;&gt;"")),ROW(C_Pavement!$C$5:$C$204)-4),"")</f>
        <v/>
      </c>
      <c r="AR46" t="str">
        <f>IF($AQ46="","",UPPER(TRIM(INDEX(C_Pavement!$C$5:$C$204,$AQ46))))</f>
        <v/>
      </c>
      <c r="AS46" t="str">
        <f>IF($AR46="","",IFERROR(MATCH($AR46,E_Rules!$A$5:$A$9,0),""))</f>
        <v/>
      </c>
      <c r="AT46" t="str">
        <f>IF($AQ46="","",IF(INDEX(C_Pavement!$D$5:$D$204,$AQ46)&lt;&gt;"",UPPER(TRIM(INDEX(C_Pavement!$D$5:$D$204,$AQ46))),IF($AS46="","",INDEX(E_Rules!$C$5:$C$9,$AS46))))</f>
        <v/>
      </c>
      <c r="AU46" t="str">
        <f>IF($AQ46="","",IF(INDEX(C_Pavement!$E$5:$E$204,$AQ46)&lt;&gt;"",IF(INDEX(C_Pavement!$E$5:$E$204,$AQ46)="-","",INDEX(C_Pavement!$E$5:$E$204,$AQ46)),IF($AS46="","",INDEX(E_Rules!$D$5:$D$9,$AS46))))</f>
        <v/>
      </c>
      <c r="AV46" t="str">
        <f>IF($AQ46="","",IF(INDEX(C_Pavement!$F$5:$F$204,$AQ46)&lt;&gt;"",IF(INDEX(C_Pavement!$F$5:$F$204,$AQ46)="-","",INDEX(C_Pavement!$F$5:$F$204,$AQ46)),IF($AS46="","",INDEX(E_Rules!$E$5:$E$9,$AS46))))</f>
        <v/>
      </c>
      <c r="AW46" t="str">
        <f>IF($AQ46="","",IF(INDEX(C_Pavement!$G$5:$G$204,$AQ46)&lt;&gt;"",IF(INDEX(C_Pavement!$G$5:$G$204,$AQ46)="-","",INDEX(C_Pavement!$G$5:$G$204,$AQ46)),IF($AS46="","",INDEX(E_Rules!$F$5:$F$9,$AS46))))</f>
        <v/>
      </c>
      <c r="AX46" t="str">
        <f>IF($AQ46="","",IF(INDEX(C_Pavement!$H$5:$H$204,$AQ46)&lt;&gt;"",IF(INDEX(C_Pavement!$H$5:$H$204,$AQ46)="-","",INDEX(C_Pavement!$H$5:$H$204,$AQ46)),IF($AS46="","",INDEX(E_Rules!$G$5:$G$9,$AS46))))</f>
        <v/>
      </c>
      <c r="AY46" t="str">
        <f>IF($AQ46="","",IF(INDEX(C_Pavement!$I$5:$I$204,$AQ46)&lt;&gt;"",IF(INDEX(C_Pavement!$I$5:$I$204,$AQ46)="-","",INDEX(C_Pavement!$I$5:$I$204,$AQ46)),IF($AS46="","",INDEX(E_Rules!$H$5:$H$9,$AS46))))</f>
        <v/>
      </c>
    </row>
    <row r="47" spans="1:51" ht="15.75" customHeight="1" x14ac:dyDescent="0.3">
      <c r="A47" s="189">
        <v>42</v>
      </c>
      <c r="B47" s="180">
        <v>2050</v>
      </c>
      <c r="C47" s="180" t="s">
        <v>353</v>
      </c>
      <c r="D47" s="181" t="str">
        <f>IFERROR(LOOKUP(2,1/((A_Corridor!$A$5:$A$204&lt;&gt;"")*(A_Corridor!$A$5:$A$204&lt;=$B47)*(A_Corridor!$B$5:$B$204&gt;$B47)*(A_Corridor!$C$5:$C$204&lt;&gt;"")),IF(UPPER(A_Corridor!$C$5:$C$204)="Y",1,"")),"")</f>
        <v/>
      </c>
      <c r="E47" s="181" t="str">
        <f>IFERROR(LOOKUP(2,1/((A_Corridor!$A$5:$A$204&lt;&gt;"")*(A_Corridor!$A$5:$A$204&lt;=$B47)*(A_Corridor!$B$5:$B$204&gt;$B47)*(A_Corridor!$D$5:$D$204&lt;&gt;"")),IF(A_Corridor!$D$5:$D$204="-","",UPPER(A_Corridor!$D$5:$D$204))),"")</f>
        <v/>
      </c>
      <c r="F47" s="181" t="str">
        <f>IFERROR(LOOKUP(2,1/((A_Corridor!$A$5:$A$204&lt;&gt;"")*(A_Corridor!$A$5:$A$204&lt;=$B47)*(A_Corridor!$B$5:$B$204&gt;$B47)*(A_Corridor!$E$5:$E$204&lt;&gt;"")),IF(A_Corridor!$E$5:$E$204="-","",1)),"")</f>
        <v/>
      </c>
      <c r="G47" s="182" t="str">
        <f>IFERROR(LOOKUP(2,1/((A_Corridor!$A$5:$A$204&lt;&gt;"")*(A_Corridor!$A$5:$A$204&lt;=$B47)*(A_Corridor!$B$5:$B$204&gt;$B47)*(A_Corridor!$E$5:$E$204&lt;&gt;"")),IF(A_Corridor!$E$5:$E$204="-","",A_Corridor!$E$5:$E$204)),"")</f>
        <v/>
      </c>
      <c r="H47" s="182" t="str">
        <f>IFERROR(LOOKUP(2,1/((D_Points!$A$5:$A$204&lt;&gt;"")*(D_Points!$A$5:$A$204&gt;=$B47)*(D_Points!$A$5:$A$204&lt;$B47+P_Interval)*(UPPER(TRIM(D_Points!$B$5:$B$204))="GULLY")*(D_Points!$H$5:$H$204&lt;&gt;"")),D_Points!$H$5:$H$204),"")</f>
        <v/>
      </c>
      <c r="I47" s="181" t="str">
        <f>IFERROR(LOOKUP(2,1/((A_Corridor!$A$5:$A$204&lt;&gt;"")*(A_Corridor!$A$5:$A$204&lt;=$B47)*(A_Corridor!$B$5:$B$204&gt;$B47)*(A_Corridor!$F$5:$F$204&lt;&gt;"")),IF(A_Corridor!$F$5:$F$204="-","",1)),"")</f>
        <v/>
      </c>
      <c r="J47" s="182" t="str">
        <f>IFERROR(LOOKUP(2,1/((A_Corridor!$A$5:$A$204&lt;&gt;"")*(A_Corridor!$A$5:$A$204&lt;=$B47)*(A_Corridor!$B$5:$B$204&gt;$B47)*(A_Corridor!$F$5:$F$204&lt;&gt;"")),IF(A_Corridor!$F$5:$F$204="-","",A_Corridor!$F$5:$F$204)),"")</f>
        <v/>
      </c>
      <c r="K47" s="182" t="str">
        <f>IFERROR(LOOKUP(2,1/((A_Corridor!$A$5:$A$204&lt;&gt;"")*(A_Corridor!$A$5:$A$204&lt;=$B47)*(A_Corridor!$B$5:$B$204&gt;$B47)*(A_Corridor!$G$5:$G$204&lt;&gt;"")),IF(A_Corridor!$G$5:$G$204="-","",A_Corridor!$G$5:$G$204)),"")</f>
        <v/>
      </c>
      <c r="L47" s="181" t="str">
        <f>IFERROR(LOOKUP(2,1/((A_Corridor!$A$5:$A$204&lt;&gt;"")*(A_Corridor!$A$5:$A$204&lt;=$B47)*(A_Corridor!$B$5:$B$204&gt;$B47)*(A_Corridor!$H$5:$H$204&lt;&gt;"")),IF(A_Corridor!$H$5:$H$204="-","",1)),"")</f>
        <v/>
      </c>
      <c r="M47" s="182" t="str">
        <f>IFERROR(LOOKUP(2,1/((A_Corridor!$A$5:$A$204&lt;&gt;"")*(A_Corridor!$A$5:$A$204&lt;=$B47)*(A_Corridor!$B$5:$B$204&gt;$B47)*(A_Corridor!$H$5:$H$204&lt;&gt;"")),IF(A_Corridor!$H$5:$H$204="-","",A_Corridor!$H$5:$H$204)),"")</f>
        <v/>
      </c>
      <c r="N47" s="182" t="str">
        <f>IFERROR(LOOKUP(2,1/((A_Corridor!$A$5:$A$204&lt;&gt;"")*(A_Corridor!$A$5:$A$204&lt;=$B47)*(A_Corridor!$B$5:$B$204&gt;$B47)*(A_Corridor!$I$5:$I$204&lt;&gt;"")),IF(A_Corridor!$I$5:$I$204="-","",A_Corridor!$I$5:$I$204)),"")</f>
        <v/>
      </c>
      <c r="O47" s="182" t="str">
        <f>IFERROR(LOOKUP(2,1/((D_Points!$A$5:$A$204&lt;&gt;"")*(D_Points!$A$5:$A$204&gt;=$B47)*(D_Points!$A$5:$A$204&lt;$B47+P_Interval)*(UPPER(TRIM(D_Points!$B$5:$B$204))="PITCHING")*(D_Points!$H$5:$H$204&lt;&gt;"")),D_Points!$H$5:$H$204),"")</f>
        <v/>
      </c>
      <c r="P47" s="181" t="str">
        <f>IFERROR(LOOKUP(2,1/((B_Drainage!$A$5:$A$204&lt;&gt;"")*(B_Drainage!$A$5:$A$204&lt;=$B47)*(B_Drainage!$B$5:$B$204&gt;$B47)*(B_Drainage!$C$5:$C$204&lt;&gt;"")),IF(B_Drainage!$C$5:$C$204="-","",UPPER(B_Drainage!$C$5:$C$204))),"")</f>
        <v/>
      </c>
      <c r="Q47" s="181" t="str">
        <f>IFERROR(LOOKUP(2,1/((B_Drainage!$A$5:$A$204&lt;&gt;"")*(B_Drainage!$A$5:$A$204&lt;=$B47)*(B_Drainage!$B$5:$B$204&gt;$B47)*(B_Drainage!$D$5:$D$204&lt;&gt;"")),IF(B_Drainage!$D$5:$D$204="-","",UPPER(B_Drainage!$D$5:$D$204))),"")</f>
        <v/>
      </c>
      <c r="R47" s="182" t="str">
        <f>IFERROR(LOOKUP(2,1/((D_Points!$A$5:$A$204&lt;&gt;"")*(D_Points!$A$5:$A$204&gt;=$B47)*(D_Points!$A$5:$A$204&lt;$B47+P_Interval)*(RIGHT(UPPER(TRIM(D_Points!$B$5:$B$204)),8)="_CULVERT")),IF(LEFT(UPPER(TRIM(D_Points!$B$5:$B$204)),2)="EX",1,IF(LEFT(UPPER(TRIM(D_Points!$B$5:$B$204)),2)="PR",2,3))),"")</f>
        <v/>
      </c>
      <c r="S47" s="182" t="str">
        <f>IFERROR(LOOKUP(2,1/((D_Points!$A$5:$A$204&lt;&gt;"")*(D_Points!$A$5:$A$204&gt;=$B47)*(D_Points!$A$5:$A$204&lt;$B47+P_Interval)*(RIGHT(UPPER(TRIM(D_Points!$B$5:$B$204)),7)="_BRIDGE")),IF(LEFT(UPPER(TRIM(D_Points!$B$5:$B$204)),2)="EX",1,IF(LEFT(UPPER(TRIM(D_Points!$B$5:$B$204)),2)="PR",2,2))),"")</f>
        <v/>
      </c>
      <c r="T47" s="181" t="str">
        <f>IFERROR(LOOKUP(2,1/((B_Drainage!$A$5:$A$204&lt;&gt;"")*(B_Drainage!$A$5:$A$204&lt;=$B47)*(B_Drainage!$B$5:$B$204&gt;$B47)*(B_Drainage!$E$5:$E$204&lt;&gt;"")),IF(B_Drainage!$E$5:$E$204="-","",1)),"")</f>
        <v/>
      </c>
      <c r="U47" s="181" t="str">
        <f>IFERROR(LOOKUP(2,1/((B_Drainage!$A$5:$A$204&lt;&gt;"")*(B_Drainage!$A$5:$A$204&lt;=$B47)*(B_Drainage!$B$5:$B$204&gt;$B47)*(B_Drainage!$E$5:$E$204&lt;&gt;"")),IF(B_Drainage!$E$5:$E$204="-","",B_Drainage!$E$5:$E$204)),"")</f>
        <v/>
      </c>
      <c r="V47" s="181" t="str">
        <f>IFERROR(LOOKUP(2,1/((B_Drainage!$A$5:$A$204&lt;&gt;"")*(B_Drainage!$A$5:$A$204&lt;=$B47)*(B_Drainage!$B$5:$B$204&gt;$B47)*(B_Drainage!$F$5:$F$204&lt;&gt;"")),IF(B_Drainage!$F$5:$F$204="-","",1)),"")</f>
        <v/>
      </c>
      <c r="W47" s="181" t="str">
        <f>IFERROR(LOOKUP(2,1/((B_Drainage!$A$5:$A$204&lt;&gt;"")*(B_Drainage!$A$5:$A$204&lt;=$B47)*(B_Drainage!$B$5:$B$204&gt;$B47)*(B_Drainage!$F$5:$F$204&lt;&gt;"")),IF(B_Drainage!$F$5:$F$204="-","",B_Drainage!$F$5:$F$204)),"")</f>
        <v/>
      </c>
      <c r="X47" s="181" t="str">
        <f>IFERROR(LOOKUP(2,1/((B_Drainage!$A$5:$A$204&lt;&gt;"")*(B_Drainage!$A$5:$A$204&lt;=$B47)*(B_Drainage!$B$5:$B$204&gt;$B47)*(B_Drainage!$G$5:$G$204&lt;&gt;"")),IF(UPPER(B_Drainage!$G$5:$G$204)="Y",1,"")),"")</f>
        <v/>
      </c>
      <c r="Y47" s="181" t="str">
        <f>IFERROR(LOOKUP(2,1/((B_Drainage!$A$5:$A$204&lt;&gt;"")*(B_Drainage!$A$5:$A$204&lt;=$B47)*(B_Drainage!$B$5:$B$204&gt;$B47)*(B_Drainage!$H$5:$H$204&lt;&gt;"")),IF(UPPER(B_Drainage!$H$5:$H$204)="Y",1,"")),"")</f>
        <v/>
      </c>
      <c r="Z47" s="181" t="str">
        <f>IFERROR(LOOKUP(2,1/((B_Drainage!$A$5:$A$204&lt;&gt;"")*(B_Drainage!$A$5:$A$204&lt;=$B47)*(B_Drainage!$B$5:$B$204&gt;$B47)*(B_Drainage!$I$5:$I$204&lt;&gt;"")),IF(UPPER(B_Drainage!$I$5:$I$204)="Y",1,"")),"")</f>
        <v/>
      </c>
      <c r="AA47" s="181" t="str">
        <f>IFERROR(LOOKUP(2,1/((B_Drainage!$A$5:$A$204&lt;&gt;"")*(B_Drainage!$A$5:$A$204&lt;=$B47)*(B_Drainage!$B$5:$B$204&gt;$B47)*(B_Drainage!$J$5:$J$204&lt;&gt;"")),IF(UPPER(B_Drainage!$J$5:$J$204)="Y",1,"")),"")</f>
        <v/>
      </c>
      <c r="AB47" s="182" t="str">
        <f>IFERROR(LOOKUP(2,1/((B_Drainage!$A$5:$A$204&lt;&gt;"")*(B_Drainage!$A$5:$A$204&lt;=$B47)*(B_Drainage!$B$5:$B$204&gt;$B47)*(B_Drainage!$K$5:$K$204&lt;&gt;"")),IF(B_Drainage!$K$5:$K$204="-","",B_Drainage!$K$5:$K$204)),"")</f>
        <v/>
      </c>
      <c r="AC47" s="182" t="str">
        <f>IFERROR(LOOKUP(2,1/((B_Drainage!$A$5:$A$204&lt;&gt;"")*(B_Drainage!$A$5:$A$204&lt;=$B47)*(B_Drainage!$B$5:$B$204&gt;$B47)*(B_Drainage!$L$5:$L$204&lt;&gt;"")),IF(B_Drainage!$L$5:$L$204="-","",B_Drainage!$L$5:$L$204)),"")</f>
        <v/>
      </c>
      <c r="AD47" s="182" t="str">
        <f>IFERROR(LOOKUP(2,1/((D_Points!$A$5:$A$204&lt;&gt;"")*(D_Points!$A$5:$A$204&gt;=$B47)*(D_Points!$A$5:$A$204&lt;$B47+P_Interval)*(UPPER(TRIM(D_Points!$B$5:$B$204))="TURNOUT_L")*(D_Points!$H$5:$H$204&lt;&gt;"")),D_Points!$H$5:$H$204),"")</f>
        <v/>
      </c>
      <c r="AE47" s="182" t="str">
        <f>IFERROR(LOOKUP(2,1/((D_Points!$A$5:$A$204&lt;&gt;"")*(D_Points!$A$5:$A$204&gt;=$B47)*(D_Points!$A$5:$A$204&lt;$B47+P_Interval)*(UPPER(TRIM(D_Points!$B$5:$B$204))="TURNOUT_R")*(D_Points!$H$5:$H$204&lt;&gt;"")),D_Points!$H$5:$H$204),"")</f>
        <v/>
      </c>
      <c r="AF47" s="181" t="str">
        <f>IFERROR(LOOKUP(2,1/((B_Drainage!$A$5:$A$204&lt;&gt;"")*(B_Drainage!$A$5:$A$204&lt;=$B47)*(B_Drainage!$B$5:$B$204&gt;$B47)*(B_Drainage!$M$5:$M$204&lt;&gt;"")),IF(UPPER(B_Drainage!$M$5:$M$204)="Y",1,"")),"")</f>
        <v/>
      </c>
      <c r="AG47" s="181" t="str">
        <f>IFERROR(LOOKUP(2,1/((B_Drainage!$A$5:$A$204&lt;&gt;"")*(B_Drainage!$A$5:$A$204&lt;=$B47)*(B_Drainage!$B$5:$B$204&gt;$B47)*(B_Drainage!$N$5:$N$204&lt;&gt;"")),IF(UPPER(B_Drainage!$N$5:$N$204)="Y",1,"")),"")</f>
        <v/>
      </c>
      <c r="AH47" s="181" t="str">
        <f t="shared" si="0"/>
        <v/>
      </c>
      <c r="AI47" s="181" t="str">
        <f t="shared" si="1"/>
        <v/>
      </c>
      <c r="AJ47" s="181" t="str">
        <f t="shared" si="2"/>
        <v/>
      </c>
      <c r="AK47" s="181" t="str">
        <f t="shared" si="3"/>
        <v/>
      </c>
      <c r="AL47" s="181" t="str">
        <f t="shared" si="4"/>
        <v/>
      </c>
      <c r="AM47" s="181" t="str">
        <f t="shared" si="5"/>
        <v/>
      </c>
      <c r="AN47" s="181" t="str">
        <f t="shared" si="6"/>
        <v/>
      </c>
      <c r="AO47" s="192" t="str">
        <f t="shared" si="7"/>
        <v/>
      </c>
      <c r="AQ47" t="str">
        <f>IFERROR(LOOKUP(2,1/((C_Pavement!$A$5:$A$204&lt;&gt;"")*(C_Pavement!$A$5:$A$204&lt;=$B47)*(C_Pavement!$B$5:$B$204&gt;$B47)*(C_Pavement!$C$5:$C$204&lt;&gt;"")),ROW(C_Pavement!$C$5:$C$204)-4),"")</f>
        <v/>
      </c>
      <c r="AR47" t="str">
        <f>IF($AQ47="","",UPPER(TRIM(INDEX(C_Pavement!$C$5:$C$204,$AQ47))))</f>
        <v/>
      </c>
      <c r="AS47" t="str">
        <f>IF($AR47="","",IFERROR(MATCH($AR47,E_Rules!$A$5:$A$9,0),""))</f>
        <v/>
      </c>
      <c r="AT47" t="str">
        <f>IF($AQ47="","",IF(INDEX(C_Pavement!$D$5:$D$204,$AQ47)&lt;&gt;"",UPPER(TRIM(INDEX(C_Pavement!$D$5:$D$204,$AQ47))),IF($AS47="","",INDEX(E_Rules!$C$5:$C$9,$AS47))))</f>
        <v/>
      </c>
      <c r="AU47" t="str">
        <f>IF($AQ47="","",IF(INDEX(C_Pavement!$E$5:$E$204,$AQ47)&lt;&gt;"",IF(INDEX(C_Pavement!$E$5:$E$204,$AQ47)="-","",INDEX(C_Pavement!$E$5:$E$204,$AQ47)),IF($AS47="","",INDEX(E_Rules!$D$5:$D$9,$AS47))))</f>
        <v/>
      </c>
      <c r="AV47" t="str">
        <f>IF($AQ47="","",IF(INDEX(C_Pavement!$F$5:$F$204,$AQ47)&lt;&gt;"",IF(INDEX(C_Pavement!$F$5:$F$204,$AQ47)="-","",INDEX(C_Pavement!$F$5:$F$204,$AQ47)),IF($AS47="","",INDEX(E_Rules!$E$5:$E$9,$AS47))))</f>
        <v/>
      </c>
      <c r="AW47" t="str">
        <f>IF($AQ47="","",IF(INDEX(C_Pavement!$G$5:$G$204,$AQ47)&lt;&gt;"",IF(INDEX(C_Pavement!$G$5:$G$204,$AQ47)="-","",INDEX(C_Pavement!$G$5:$G$204,$AQ47)),IF($AS47="","",INDEX(E_Rules!$F$5:$F$9,$AS47))))</f>
        <v/>
      </c>
      <c r="AX47" t="str">
        <f>IF($AQ47="","",IF(INDEX(C_Pavement!$H$5:$H$204,$AQ47)&lt;&gt;"",IF(INDEX(C_Pavement!$H$5:$H$204,$AQ47)="-","",INDEX(C_Pavement!$H$5:$H$204,$AQ47)),IF($AS47="","",INDEX(E_Rules!$G$5:$G$9,$AS47))))</f>
        <v/>
      </c>
      <c r="AY47" t="str">
        <f>IF($AQ47="","",IF(INDEX(C_Pavement!$I$5:$I$204,$AQ47)&lt;&gt;"",IF(INDEX(C_Pavement!$I$5:$I$204,$AQ47)="-","",INDEX(C_Pavement!$I$5:$I$204,$AQ47)),IF($AS47="","",INDEX(E_Rules!$H$5:$H$9,$AS47))))</f>
        <v/>
      </c>
    </row>
    <row r="48" spans="1:51" ht="15.75" customHeight="1" x14ac:dyDescent="0.3">
      <c r="A48" s="189">
        <v>43</v>
      </c>
      <c r="B48" s="180">
        <v>2100</v>
      </c>
      <c r="C48" s="180" t="s">
        <v>354</v>
      </c>
      <c r="D48" s="181" t="str">
        <f>IFERROR(LOOKUP(2,1/((A_Corridor!$A$5:$A$204&lt;&gt;"")*(A_Corridor!$A$5:$A$204&lt;=$B48)*(A_Corridor!$B$5:$B$204&gt;$B48)*(A_Corridor!$C$5:$C$204&lt;&gt;"")),IF(UPPER(A_Corridor!$C$5:$C$204)="Y",1,"")),"")</f>
        <v/>
      </c>
      <c r="E48" s="181" t="str">
        <f>IFERROR(LOOKUP(2,1/((A_Corridor!$A$5:$A$204&lt;&gt;"")*(A_Corridor!$A$5:$A$204&lt;=$B48)*(A_Corridor!$B$5:$B$204&gt;$B48)*(A_Corridor!$D$5:$D$204&lt;&gt;"")),IF(A_Corridor!$D$5:$D$204="-","",UPPER(A_Corridor!$D$5:$D$204))),"")</f>
        <v/>
      </c>
      <c r="F48" s="181" t="str">
        <f>IFERROR(LOOKUP(2,1/((A_Corridor!$A$5:$A$204&lt;&gt;"")*(A_Corridor!$A$5:$A$204&lt;=$B48)*(A_Corridor!$B$5:$B$204&gt;$B48)*(A_Corridor!$E$5:$E$204&lt;&gt;"")),IF(A_Corridor!$E$5:$E$204="-","",1)),"")</f>
        <v/>
      </c>
      <c r="G48" s="182" t="str">
        <f>IFERROR(LOOKUP(2,1/((A_Corridor!$A$5:$A$204&lt;&gt;"")*(A_Corridor!$A$5:$A$204&lt;=$B48)*(A_Corridor!$B$5:$B$204&gt;$B48)*(A_Corridor!$E$5:$E$204&lt;&gt;"")),IF(A_Corridor!$E$5:$E$204="-","",A_Corridor!$E$5:$E$204)),"")</f>
        <v/>
      </c>
      <c r="H48" s="182" t="str">
        <f>IFERROR(LOOKUP(2,1/((D_Points!$A$5:$A$204&lt;&gt;"")*(D_Points!$A$5:$A$204&gt;=$B48)*(D_Points!$A$5:$A$204&lt;$B48+P_Interval)*(UPPER(TRIM(D_Points!$B$5:$B$204))="GULLY")*(D_Points!$H$5:$H$204&lt;&gt;"")),D_Points!$H$5:$H$204),"")</f>
        <v/>
      </c>
      <c r="I48" s="181" t="str">
        <f>IFERROR(LOOKUP(2,1/((A_Corridor!$A$5:$A$204&lt;&gt;"")*(A_Corridor!$A$5:$A$204&lt;=$B48)*(A_Corridor!$B$5:$B$204&gt;$B48)*(A_Corridor!$F$5:$F$204&lt;&gt;"")),IF(A_Corridor!$F$5:$F$204="-","",1)),"")</f>
        <v/>
      </c>
      <c r="J48" s="182" t="str">
        <f>IFERROR(LOOKUP(2,1/((A_Corridor!$A$5:$A$204&lt;&gt;"")*(A_Corridor!$A$5:$A$204&lt;=$B48)*(A_Corridor!$B$5:$B$204&gt;$B48)*(A_Corridor!$F$5:$F$204&lt;&gt;"")),IF(A_Corridor!$F$5:$F$204="-","",A_Corridor!$F$5:$F$204)),"")</f>
        <v/>
      </c>
      <c r="K48" s="182" t="str">
        <f>IFERROR(LOOKUP(2,1/((A_Corridor!$A$5:$A$204&lt;&gt;"")*(A_Corridor!$A$5:$A$204&lt;=$B48)*(A_Corridor!$B$5:$B$204&gt;$B48)*(A_Corridor!$G$5:$G$204&lt;&gt;"")),IF(A_Corridor!$G$5:$G$204="-","",A_Corridor!$G$5:$G$204)),"")</f>
        <v/>
      </c>
      <c r="L48" s="181" t="str">
        <f>IFERROR(LOOKUP(2,1/((A_Corridor!$A$5:$A$204&lt;&gt;"")*(A_Corridor!$A$5:$A$204&lt;=$B48)*(A_Corridor!$B$5:$B$204&gt;$B48)*(A_Corridor!$H$5:$H$204&lt;&gt;"")),IF(A_Corridor!$H$5:$H$204="-","",1)),"")</f>
        <v/>
      </c>
      <c r="M48" s="182" t="str">
        <f>IFERROR(LOOKUP(2,1/((A_Corridor!$A$5:$A$204&lt;&gt;"")*(A_Corridor!$A$5:$A$204&lt;=$B48)*(A_Corridor!$B$5:$B$204&gt;$B48)*(A_Corridor!$H$5:$H$204&lt;&gt;"")),IF(A_Corridor!$H$5:$H$204="-","",A_Corridor!$H$5:$H$204)),"")</f>
        <v/>
      </c>
      <c r="N48" s="182" t="str">
        <f>IFERROR(LOOKUP(2,1/((A_Corridor!$A$5:$A$204&lt;&gt;"")*(A_Corridor!$A$5:$A$204&lt;=$B48)*(A_Corridor!$B$5:$B$204&gt;$B48)*(A_Corridor!$I$5:$I$204&lt;&gt;"")),IF(A_Corridor!$I$5:$I$204="-","",A_Corridor!$I$5:$I$204)),"")</f>
        <v/>
      </c>
      <c r="O48" s="182" t="str">
        <f>IFERROR(LOOKUP(2,1/((D_Points!$A$5:$A$204&lt;&gt;"")*(D_Points!$A$5:$A$204&gt;=$B48)*(D_Points!$A$5:$A$204&lt;$B48+P_Interval)*(UPPER(TRIM(D_Points!$B$5:$B$204))="PITCHING")*(D_Points!$H$5:$H$204&lt;&gt;"")),D_Points!$H$5:$H$204),"")</f>
        <v/>
      </c>
      <c r="P48" s="181" t="str">
        <f>IFERROR(LOOKUP(2,1/((B_Drainage!$A$5:$A$204&lt;&gt;"")*(B_Drainage!$A$5:$A$204&lt;=$B48)*(B_Drainage!$B$5:$B$204&gt;$B48)*(B_Drainage!$C$5:$C$204&lt;&gt;"")),IF(B_Drainage!$C$5:$C$204="-","",UPPER(B_Drainage!$C$5:$C$204))),"")</f>
        <v/>
      </c>
      <c r="Q48" s="181" t="str">
        <f>IFERROR(LOOKUP(2,1/((B_Drainage!$A$5:$A$204&lt;&gt;"")*(B_Drainage!$A$5:$A$204&lt;=$B48)*(B_Drainage!$B$5:$B$204&gt;$B48)*(B_Drainage!$D$5:$D$204&lt;&gt;"")),IF(B_Drainage!$D$5:$D$204="-","",UPPER(B_Drainage!$D$5:$D$204))),"")</f>
        <v/>
      </c>
      <c r="R48" s="182" t="str">
        <f>IFERROR(LOOKUP(2,1/((D_Points!$A$5:$A$204&lt;&gt;"")*(D_Points!$A$5:$A$204&gt;=$B48)*(D_Points!$A$5:$A$204&lt;$B48+P_Interval)*(RIGHT(UPPER(TRIM(D_Points!$B$5:$B$204)),8)="_CULVERT")),IF(LEFT(UPPER(TRIM(D_Points!$B$5:$B$204)),2)="EX",1,IF(LEFT(UPPER(TRIM(D_Points!$B$5:$B$204)),2)="PR",2,3))),"")</f>
        <v/>
      </c>
      <c r="S48" s="182" t="str">
        <f>IFERROR(LOOKUP(2,1/((D_Points!$A$5:$A$204&lt;&gt;"")*(D_Points!$A$5:$A$204&gt;=$B48)*(D_Points!$A$5:$A$204&lt;$B48+P_Interval)*(RIGHT(UPPER(TRIM(D_Points!$B$5:$B$204)),7)="_BRIDGE")),IF(LEFT(UPPER(TRIM(D_Points!$B$5:$B$204)),2)="EX",1,IF(LEFT(UPPER(TRIM(D_Points!$B$5:$B$204)),2)="PR",2,2))),"")</f>
        <v/>
      </c>
      <c r="T48" s="181" t="str">
        <f>IFERROR(LOOKUP(2,1/((B_Drainage!$A$5:$A$204&lt;&gt;"")*(B_Drainage!$A$5:$A$204&lt;=$B48)*(B_Drainage!$B$5:$B$204&gt;$B48)*(B_Drainage!$E$5:$E$204&lt;&gt;"")),IF(B_Drainage!$E$5:$E$204="-","",1)),"")</f>
        <v/>
      </c>
      <c r="U48" s="181" t="str">
        <f>IFERROR(LOOKUP(2,1/((B_Drainage!$A$5:$A$204&lt;&gt;"")*(B_Drainage!$A$5:$A$204&lt;=$B48)*(B_Drainage!$B$5:$B$204&gt;$B48)*(B_Drainage!$E$5:$E$204&lt;&gt;"")),IF(B_Drainage!$E$5:$E$204="-","",B_Drainage!$E$5:$E$204)),"")</f>
        <v/>
      </c>
      <c r="V48" s="181" t="str">
        <f>IFERROR(LOOKUP(2,1/((B_Drainage!$A$5:$A$204&lt;&gt;"")*(B_Drainage!$A$5:$A$204&lt;=$B48)*(B_Drainage!$B$5:$B$204&gt;$B48)*(B_Drainage!$F$5:$F$204&lt;&gt;"")),IF(B_Drainage!$F$5:$F$204="-","",1)),"")</f>
        <v/>
      </c>
      <c r="W48" s="181" t="str">
        <f>IFERROR(LOOKUP(2,1/((B_Drainage!$A$5:$A$204&lt;&gt;"")*(B_Drainage!$A$5:$A$204&lt;=$B48)*(B_Drainage!$B$5:$B$204&gt;$B48)*(B_Drainage!$F$5:$F$204&lt;&gt;"")),IF(B_Drainage!$F$5:$F$204="-","",B_Drainage!$F$5:$F$204)),"")</f>
        <v/>
      </c>
      <c r="X48" s="181" t="str">
        <f>IFERROR(LOOKUP(2,1/((B_Drainage!$A$5:$A$204&lt;&gt;"")*(B_Drainage!$A$5:$A$204&lt;=$B48)*(B_Drainage!$B$5:$B$204&gt;$B48)*(B_Drainage!$G$5:$G$204&lt;&gt;"")),IF(UPPER(B_Drainage!$G$5:$G$204)="Y",1,"")),"")</f>
        <v/>
      </c>
      <c r="Y48" s="181" t="str">
        <f>IFERROR(LOOKUP(2,1/((B_Drainage!$A$5:$A$204&lt;&gt;"")*(B_Drainage!$A$5:$A$204&lt;=$B48)*(B_Drainage!$B$5:$B$204&gt;$B48)*(B_Drainage!$H$5:$H$204&lt;&gt;"")),IF(UPPER(B_Drainage!$H$5:$H$204)="Y",1,"")),"")</f>
        <v/>
      </c>
      <c r="Z48" s="181" t="str">
        <f>IFERROR(LOOKUP(2,1/((B_Drainage!$A$5:$A$204&lt;&gt;"")*(B_Drainage!$A$5:$A$204&lt;=$B48)*(B_Drainage!$B$5:$B$204&gt;$B48)*(B_Drainage!$I$5:$I$204&lt;&gt;"")),IF(UPPER(B_Drainage!$I$5:$I$204)="Y",1,"")),"")</f>
        <v/>
      </c>
      <c r="AA48" s="181" t="str">
        <f>IFERROR(LOOKUP(2,1/((B_Drainage!$A$5:$A$204&lt;&gt;"")*(B_Drainage!$A$5:$A$204&lt;=$B48)*(B_Drainage!$B$5:$B$204&gt;$B48)*(B_Drainage!$J$5:$J$204&lt;&gt;"")),IF(UPPER(B_Drainage!$J$5:$J$204)="Y",1,"")),"")</f>
        <v/>
      </c>
      <c r="AB48" s="182" t="str">
        <f>IFERROR(LOOKUP(2,1/((B_Drainage!$A$5:$A$204&lt;&gt;"")*(B_Drainage!$A$5:$A$204&lt;=$B48)*(B_Drainage!$B$5:$B$204&gt;$B48)*(B_Drainage!$K$5:$K$204&lt;&gt;"")),IF(B_Drainage!$K$5:$K$204="-","",B_Drainage!$K$5:$K$204)),"")</f>
        <v/>
      </c>
      <c r="AC48" s="182" t="str">
        <f>IFERROR(LOOKUP(2,1/((B_Drainage!$A$5:$A$204&lt;&gt;"")*(B_Drainage!$A$5:$A$204&lt;=$B48)*(B_Drainage!$B$5:$B$204&gt;$B48)*(B_Drainage!$L$5:$L$204&lt;&gt;"")),IF(B_Drainage!$L$5:$L$204="-","",B_Drainage!$L$5:$L$204)),"")</f>
        <v/>
      </c>
      <c r="AD48" s="182" t="str">
        <f>IFERROR(LOOKUP(2,1/((D_Points!$A$5:$A$204&lt;&gt;"")*(D_Points!$A$5:$A$204&gt;=$B48)*(D_Points!$A$5:$A$204&lt;$B48+P_Interval)*(UPPER(TRIM(D_Points!$B$5:$B$204))="TURNOUT_L")*(D_Points!$H$5:$H$204&lt;&gt;"")),D_Points!$H$5:$H$204),"")</f>
        <v/>
      </c>
      <c r="AE48" s="182" t="str">
        <f>IFERROR(LOOKUP(2,1/((D_Points!$A$5:$A$204&lt;&gt;"")*(D_Points!$A$5:$A$204&gt;=$B48)*(D_Points!$A$5:$A$204&lt;$B48+P_Interval)*(UPPER(TRIM(D_Points!$B$5:$B$204))="TURNOUT_R")*(D_Points!$H$5:$H$204&lt;&gt;"")),D_Points!$H$5:$H$204),"")</f>
        <v/>
      </c>
      <c r="AF48" s="181" t="str">
        <f>IFERROR(LOOKUP(2,1/((B_Drainage!$A$5:$A$204&lt;&gt;"")*(B_Drainage!$A$5:$A$204&lt;=$B48)*(B_Drainage!$B$5:$B$204&gt;$B48)*(B_Drainage!$M$5:$M$204&lt;&gt;"")),IF(UPPER(B_Drainage!$M$5:$M$204)="Y",1,"")),"")</f>
        <v/>
      </c>
      <c r="AG48" s="181" t="str">
        <f>IFERROR(LOOKUP(2,1/((B_Drainage!$A$5:$A$204&lt;&gt;"")*(B_Drainage!$A$5:$A$204&lt;=$B48)*(B_Drainage!$B$5:$B$204&gt;$B48)*(B_Drainage!$N$5:$N$204&lt;&gt;"")),IF(UPPER(B_Drainage!$N$5:$N$204)="Y",1,"")),"")</f>
        <v/>
      </c>
      <c r="AH48" s="181" t="str">
        <f t="shared" si="0"/>
        <v/>
      </c>
      <c r="AI48" s="181" t="str">
        <f t="shared" si="1"/>
        <v/>
      </c>
      <c r="AJ48" s="181" t="str">
        <f t="shared" si="2"/>
        <v/>
      </c>
      <c r="AK48" s="181" t="str">
        <f t="shared" si="3"/>
        <v/>
      </c>
      <c r="AL48" s="181" t="str">
        <f t="shared" si="4"/>
        <v/>
      </c>
      <c r="AM48" s="181" t="str">
        <f t="shared" si="5"/>
        <v/>
      </c>
      <c r="AN48" s="181" t="str">
        <f t="shared" si="6"/>
        <v/>
      </c>
      <c r="AO48" s="192" t="str">
        <f t="shared" si="7"/>
        <v/>
      </c>
      <c r="AQ48" t="str">
        <f>IFERROR(LOOKUP(2,1/((C_Pavement!$A$5:$A$204&lt;&gt;"")*(C_Pavement!$A$5:$A$204&lt;=$B48)*(C_Pavement!$B$5:$B$204&gt;$B48)*(C_Pavement!$C$5:$C$204&lt;&gt;"")),ROW(C_Pavement!$C$5:$C$204)-4),"")</f>
        <v/>
      </c>
      <c r="AR48" t="str">
        <f>IF($AQ48="","",UPPER(TRIM(INDEX(C_Pavement!$C$5:$C$204,$AQ48))))</f>
        <v/>
      </c>
      <c r="AS48" t="str">
        <f>IF($AR48="","",IFERROR(MATCH($AR48,E_Rules!$A$5:$A$9,0),""))</f>
        <v/>
      </c>
      <c r="AT48" t="str">
        <f>IF($AQ48="","",IF(INDEX(C_Pavement!$D$5:$D$204,$AQ48)&lt;&gt;"",UPPER(TRIM(INDEX(C_Pavement!$D$5:$D$204,$AQ48))),IF($AS48="","",INDEX(E_Rules!$C$5:$C$9,$AS48))))</f>
        <v/>
      </c>
      <c r="AU48" t="str">
        <f>IF($AQ48="","",IF(INDEX(C_Pavement!$E$5:$E$204,$AQ48)&lt;&gt;"",IF(INDEX(C_Pavement!$E$5:$E$204,$AQ48)="-","",INDEX(C_Pavement!$E$5:$E$204,$AQ48)),IF($AS48="","",INDEX(E_Rules!$D$5:$D$9,$AS48))))</f>
        <v/>
      </c>
      <c r="AV48" t="str">
        <f>IF($AQ48="","",IF(INDEX(C_Pavement!$F$5:$F$204,$AQ48)&lt;&gt;"",IF(INDEX(C_Pavement!$F$5:$F$204,$AQ48)="-","",INDEX(C_Pavement!$F$5:$F$204,$AQ48)),IF($AS48="","",INDEX(E_Rules!$E$5:$E$9,$AS48))))</f>
        <v/>
      </c>
      <c r="AW48" t="str">
        <f>IF($AQ48="","",IF(INDEX(C_Pavement!$G$5:$G$204,$AQ48)&lt;&gt;"",IF(INDEX(C_Pavement!$G$5:$G$204,$AQ48)="-","",INDEX(C_Pavement!$G$5:$G$204,$AQ48)),IF($AS48="","",INDEX(E_Rules!$F$5:$F$9,$AS48))))</f>
        <v/>
      </c>
      <c r="AX48" t="str">
        <f>IF($AQ48="","",IF(INDEX(C_Pavement!$H$5:$H$204,$AQ48)&lt;&gt;"",IF(INDEX(C_Pavement!$H$5:$H$204,$AQ48)="-","",INDEX(C_Pavement!$H$5:$H$204,$AQ48)),IF($AS48="","",INDEX(E_Rules!$G$5:$G$9,$AS48))))</f>
        <v/>
      </c>
      <c r="AY48" t="str">
        <f>IF($AQ48="","",IF(INDEX(C_Pavement!$I$5:$I$204,$AQ48)&lt;&gt;"",IF(INDEX(C_Pavement!$I$5:$I$204,$AQ48)="-","",INDEX(C_Pavement!$I$5:$I$204,$AQ48)),IF($AS48="","",INDEX(E_Rules!$H$5:$H$9,$AS48))))</f>
        <v/>
      </c>
    </row>
    <row r="49" spans="1:51" ht="15.75" customHeight="1" x14ac:dyDescent="0.3">
      <c r="A49" s="189">
        <v>44</v>
      </c>
      <c r="B49" s="180">
        <v>2150</v>
      </c>
      <c r="C49" s="180" t="s">
        <v>355</v>
      </c>
      <c r="D49" s="181" t="str">
        <f>IFERROR(LOOKUP(2,1/((A_Corridor!$A$5:$A$204&lt;&gt;"")*(A_Corridor!$A$5:$A$204&lt;=$B49)*(A_Corridor!$B$5:$B$204&gt;$B49)*(A_Corridor!$C$5:$C$204&lt;&gt;"")),IF(UPPER(A_Corridor!$C$5:$C$204)="Y",1,"")),"")</f>
        <v/>
      </c>
      <c r="E49" s="181" t="str">
        <f>IFERROR(LOOKUP(2,1/((A_Corridor!$A$5:$A$204&lt;&gt;"")*(A_Corridor!$A$5:$A$204&lt;=$B49)*(A_Corridor!$B$5:$B$204&gt;$B49)*(A_Corridor!$D$5:$D$204&lt;&gt;"")),IF(A_Corridor!$D$5:$D$204="-","",UPPER(A_Corridor!$D$5:$D$204))),"")</f>
        <v/>
      </c>
      <c r="F49" s="181" t="str">
        <f>IFERROR(LOOKUP(2,1/((A_Corridor!$A$5:$A$204&lt;&gt;"")*(A_Corridor!$A$5:$A$204&lt;=$B49)*(A_Corridor!$B$5:$B$204&gt;$B49)*(A_Corridor!$E$5:$E$204&lt;&gt;"")),IF(A_Corridor!$E$5:$E$204="-","",1)),"")</f>
        <v/>
      </c>
      <c r="G49" s="182" t="str">
        <f>IFERROR(LOOKUP(2,1/((A_Corridor!$A$5:$A$204&lt;&gt;"")*(A_Corridor!$A$5:$A$204&lt;=$B49)*(A_Corridor!$B$5:$B$204&gt;$B49)*(A_Corridor!$E$5:$E$204&lt;&gt;"")),IF(A_Corridor!$E$5:$E$204="-","",A_Corridor!$E$5:$E$204)),"")</f>
        <v/>
      </c>
      <c r="H49" s="182" t="str">
        <f>IFERROR(LOOKUP(2,1/((D_Points!$A$5:$A$204&lt;&gt;"")*(D_Points!$A$5:$A$204&gt;=$B49)*(D_Points!$A$5:$A$204&lt;$B49+P_Interval)*(UPPER(TRIM(D_Points!$B$5:$B$204))="GULLY")*(D_Points!$H$5:$H$204&lt;&gt;"")),D_Points!$H$5:$H$204),"")</f>
        <v/>
      </c>
      <c r="I49" s="181" t="str">
        <f>IFERROR(LOOKUP(2,1/((A_Corridor!$A$5:$A$204&lt;&gt;"")*(A_Corridor!$A$5:$A$204&lt;=$B49)*(A_Corridor!$B$5:$B$204&gt;$B49)*(A_Corridor!$F$5:$F$204&lt;&gt;"")),IF(A_Corridor!$F$5:$F$204="-","",1)),"")</f>
        <v/>
      </c>
      <c r="J49" s="182" t="str">
        <f>IFERROR(LOOKUP(2,1/((A_Corridor!$A$5:$A$204&lt;&gt;"")*(A_Corridor!$A$5:$A$204&lt;=$B49)*(A_Corridor!$B$5:$B$204&gt;$B49)*(A_Corridor!$F$5:$F$204&lt;&gt;"")),IF(A_Corridor!$F$5:$F$204="-","",A_Corridor!$F$5:$F$204)),"")</f>
        <v/>
      </c>
      <c r="K49" s="182" t="str">
        <f>IFERROR(LOOKUP(2,1/((A_Corridor!$A$5:$A$204&lt;&gt;"")*(A_Corridor!$A$5:$A$204&lt;=$B49)*(A_Corridor!$B$5:$B$204&gt;$B49)*(A_Corridor!$G$5:$G$204&lt;&gt;"")),IF(A_Corridor!$G$5:$G$204="-","",A_Corridor!$G$5:$G$204)),"")</f>
        <v/>
      </c>
      <c r="L49" s="181" t="str">
        <f>IFERROR(LOOKUP(2,1/((A_Corridor!$A$5:$A$204&lt;&gt;"")*(A_Corridor!$A$5:$A$204&lt;=$B49)*(A_Corridor!$B$5:$B$204&gt;$B49)*(A_Corridor!$H$5:$H$204&lt;&gt;"")),IF(A_Corridor!$H$5:$H$204="-","",1)),"")</f>
        <v/>
      </c>
      <c r="M49" s="182" t="str">
        <f>IFERROR(LOOKUP(2,1/((A_Corridor!$A$5:$A$204&lt;&gt;"")*(A_Corridor!$A$5:$A$204&lt;=$B49)*(A_Corridor!$B$5:$B$204&gt;$B49)*(A_Corridor!$H$5:$H$204&lt;&gt;"")),IF(A_Corridor!$H$5:$H$204="-","",A_Corridor!$H$5:$H$204)),"")</f>
        <v/>
      </c>
      <c r="N49" s="182" t="str">
        <f>IFERROR(LOOKUP(2,1/((A_Corridor!$A$5:$A$204&lt;&gt;"")*(A_Corridor!$A$5:$A$204&lt;=$B49)*(A_Corridor!$B$5:$B$204&gt;$B49)*(A_Corridor!$I$5:$I$204&lt;&gt;"")),IF(A_Corridor!$I$5:$I$204="-","",A_Corridor!$I$5:$I$204)),"")</f>
        <v/>
      </c>
      <c r="O49" s="182" t="str">
        <f>IFERROR(LOOKUP(2,1/((D_Points!$A$5:$A$204&lt;&gt;"")*(D_Points!$A$5:$A$204&gt;=$B49)*(D_Points!$A$5:$A$204&lt;$B49+P_Interval)*(UPPER(TRIM(D_Points!$B$5:$B$204))="PITCHING")*(D_Points!$H$5:$H$204&lt;&gt;"")),D_Points!$H$5:$H$204),"")</f>
        <v/>
      </c>
      <c r="P49" s="181" t="str">
        <f>IFERROR(LOOKUP(2,1/((B_Drainage!$A$5:$A$204&lt;&gt;"")*(B_Drainage!$A$5:$A$204&lt;=$B49)*(B_Drainage!$B$5:$B$204&gt;$B49)*(B_Drainage!$C$5:$C$204&lt;&gt;"")),IF(B_Drainage!$C$5:$C$204="-","",UPPER(B_Drainage!$C$5:$C$204))),"")</f>
        <v/>
      </c>
      <c r="Q49" s="181" t="str">
        <f>IFERROR(LOOKUP(2,1/((B_Drainage!$A$5:$A$204&lt;&gt;"")*(B_Drainage!$A$5:$A$204&lt;=$B49)*(B_Drainage!$B$5:$B$204&gt;$B49)*(B_Drainage!$D$5:$D$204&lt;&gt;"")),IF(B_Drainage!$D$5:$D$204="-","",UPPER(B_Drainage!$D$5:$D$204))),"")</f>
        <v/>
      </c>
      <c r="R49" s="182" t="str">
        <f>IFERROR(LOOKUP(2,1/((D_Points!$A$5:$A$204&lt;&gt;"")*(D_Points!$A$5:$A$204&gt;=$B49)*(D_Points!$A$5:$A$204&lt;$B49+P_Interval)*(RIGHT(UPPER(TRIM(D_Points!$B$5:$B$204)),8)="_CULVERT")),IF(LEFT(UPPER(TRIM(D_Points!$B$5:$B$204)),2)="EX",1,IF(LEFT(UPPER(TRIM(D_Points!$B$5:$B$204)),2)="PR",2,3))),"")</f>
        <v/>
      </c>
      <c r="S49" s="182" t="str">
        <f>IFERROR(LOOKUP(2,1/((D_Points!$A$5:$A$204&lt;&gt;"")*(D_Points!$A$5:$A$204&gt;=$B49)*(D_Points!$A$5:$A$204&lt;$B49+P_Interval)*(RIGHT(UPPER(TRIM(D_Points!$B$5:$B$204)),7)="_BRIDGE")),IF(LEFT(UPPER(TRIM(D_Points!$B$5:$B$204)),2)="EX",1,IF(LEFT(UPPER(TRIM(D_Points!$B$5:$B$204)),2)="PR",2,2))),"")</f>
        <v/>
      </c>
      <c r="T49" s="181" t="str">
        <f>IFERROR(LOOKUP(2,1/((B_Drainage!$A$5:$A$204&lt;&gt;"")*(B_Drainage!$A$5:$A$204&lt;=$B49)*(B_Drainage!$B$5:$B$204&gt;$B49)*(B_Drainage!$E$5:$E$204&lt;&gt;"")),IF(B_Drainage!$E$5:$E$204="-","",1)),"")</f>
        <v/>
      </c>
      <c r="U49" s="181" t="str">
        <f>IFERROR(LOOKUP(2,1/((B_Drainage!$A$5:$A$204&lt;&gt;"")*(B_Drainage!$A$5:$A$204&lt;=$B49)*(B_Drainage!$B$5:$B$204&gt;$B49)*(B_Drainage!$E$5:$E$204&lt;&gt;"")),IF(B_Drainage!$E$5:$E$204="-","",B_Drainage!$E$5:$E$204)),"")</f>
        <v/>
      </c>
      <c r="V49" s="181" t="str">
        <f>IFERROR(LOOKUP(2,1/((B_Drainage!$A$5:$A$204&lt;&gt;"")*(B_Drainage!$A$5:$A$204&lt;=$B49)*(B_Drainage!$B$5:$B$204&gt;$B49)*(B_Drainage!$F$5:$F$204&lt;&gt;"")),IF(B_Drainage!$F$5:$F$204="-","",1)),"")</f>
        <v/>
      </c>
      <c r="W49" s="181" t="str">
        <f>IFERROR(LOOKUP(2,1/((B_Drainage!$A$5:$A$204&lt;&gt;"")*(B_Drainage!$A$5:$A$204&lt;=$B49)*(B_Drainage!$B$5:$B$204&gt;$B49)*(B_Drainage!$F$5:$F$204&lt;&gt;"")),IF(B_Drainage!$F$5:$F$204="-","",B_Drainage!$F$5:$F$204)),"")</f>
        <v/>
      </c>
      <c r="X49" s="181" t="str">
        <f>IFERROR(LOOKUP(2,1/((B_Drainage!$A$5:$A$204&lt;&gt;"")*(B_Drainage!$A$5:$A$204&lt;=$B49)*(B_Drainage!$B$5:$B$204&gt;$B49)*(B_Drainage!$G$5:$G$204&lt;&gt;"")),IF(UPPER(B_Drainage!$G$5:$G$204)="Y",1,"")),"")</f>
        <v/>
      </c>
      <c r="Y49" s="181" t="str">
        <f>IFERROR(LOOKUP(2,1/((B_Drainage!$A$5:$A$204&lt;&gt;"")*(B_Drainage!$A$5:$A$204&lt;=$B49)*(B_Drainage!$B$5:$B$204&gt;$B49)*(B_Drainage!$H$5:$H$204&lt;&gt;"")),IF(UPPER(B_Drainage!$H$5:$H$204)="Y",1,"")),"")</f>
        <v/>
      </c>
      <c r="Z49" s="181" t="str">
        <f>IFERROR(LOOKUP(2,1/((B_Drainage!$A$5:$A$204&lt;&gt;"")*(B_Drainage!$A$5:$A$204&lt;=$B49)*(B_Drainage!$B$5:$B$204&gt;$B49)*(B_Drainage!$I$5:$I$204&lt;&gt;"")),IF(UPPER(B_Drainage!$I$5:$I$204)="Y",1,"")),"")</f>
        <v/>
      </c>
      <c r="AA49" s="181" t="str">
        <f>IFERROR(LOOKUP(2,1/((B_Drainage!$A$5:$A$204&lt;&gt;"")*(B_Drainage!$A$5:$A$204&lt;=$B49)*(B_Drainage!$B$5:$B$204&gt;$B49)*(B_Drainage!$J$5:$J$204&lt;&gt;"")),IF(UPPER(B_Drainage!$J$5:$J$204)="Y",1,"")),"")</f>
        <v/>
      </c>
      <c r="AB49" s="182" t="str">
        <f>IFERROR(LOOKUP(2,1/((B_Drainage!$A$5:$A$204&lt;&gt;"")*(B_Drainage!$A$5:$A$204&lt;=$B49)*(B_Drainage!$B$5:$B$204&gt;$B49)*(B_Drainage!$K$5:$K$204&lt;&gt;"")),IF(B_Drainage!$K$5:$K$204="-","",B_Drainage!$K$5:$K$204)),"")</f>
        <v/>
      </c>
      <c r="AC49" s="182" t="str">
        <f>IFERROR(LOOKUP(2,1/((B_Drainage!$A$5:$A$204&lt;&gt;"")*(B_Drainage!$A$5:$A$204&lt;=$B49)*(B_Drainage!$B$5:$B$204&gt;$B49)*(B_Drainage!$L$5:$L$204&lt;&gt;"")),IF(B_Drainage!$L$5:$L$204="-","",B_Drainage!$L$5:$L$204)),"")</f>
        <v/>
      </c>
      <c r="AD49" s="182" t="str">
        <f>IFERROR(LOOKUP(2,1/((D_Points!$A$5:$A$204&lt;&gt;"")*(D_Points!$A$5:$A$204&gt;=$B49)*(D_Points!$A$5:$A$204&lt;$B49+P_Interval)*(UPPER(TRIM(D_Points!$B$5:$B$204))="TURNOUT_L")*(D_Points!$H$5:$H$204&lt;&gt;"")),D_Points!$H$5:$H$204),"")</f>
        <v/>
      </c>
      <c r="AE49" s="182" t="str">
        <f>IFERROR(LOOKUP(2,1/((D_Points!$A$5:$A$204&lt;&gt;"")*(D_Points!$A$5:$A$204&gt;=$B49)*(D_Points!$A$5:$A$204&lt;$B49+P_Interval)*(UPPER(TRIM(D_Points!$B$5:$B$204))="TURNOUT_R")*(D_Points!$H$5:$H$204&lt;&gt;"")),D_Points!$H$5:$H$204),"")</f>
        <v/>
      </c>
      <c r="AF49" s="181" t="str">
        <f>IFERROR(LOOKUP(2,1/((B_Drainage!$A$5:$A$204&lt;&gt;"")*(B_Drainage!$A$5:$A$204&lt;=$B49)*(B_Drainage!$B$5:$B$204&gt;$B49)*(B_Drainage!$M$5:$M$204&lt;&gt;"")),IF(UPPER(B_Drainage!$M$5:$M$204)="Y",1,"")),"")</f>
        <v/>
      </c>
      <c r="AG49" s="181" t="str">
        <f>IFERROR(LOOKUP(2,1/((B_Drainage!$A$5:$A$204&lt;&gt;"")*(B_Drainage!$A$5:$A$204&lt;=$B49)*(B_Drainage!$B$5:$B$204&gt;$B49)*(B_Drainage!$N$5:$N$204&lt;&gt;"")),IF(UPPER(B_Drainage!$N$5:$N$204)="Y",1,"")),"")</f>
        <v/>
      </c>
      <c r="AH49" s="181" t="str">
        <f t="shared" si="0"/>
        <v/>
      </c>
      <c r="AI49" s="181" t="str">
        <f t="shared" si="1"/>
        <v/>
      </c>
      <c r="AJ49" s="181" t="str">
        <f t="shared" si="2"/>
        <v/>
      </c>
      <c r="AK49" s="181" t="str">
        <f t="shared" si="3"/>
        <v/>
      </c>
      <c r="AL49" s="181" t="str">
        <f t="shared" si="4"/>
        <v/>
      </c>
      <c r="AM49" s="181" t="str">
        <f t="shared" si="5"/>
        <v/>
      </c>
      <c r="AN49" s="181" t="str">
        <f t="shared" si="6"/>
        <v/>
      </c>
      <c r="AO49" s="192" t="str">
        <f t="shared" si="7"/>
        <v/>
      </c>
      <c r="AQ49" t="str">
        <f>IFERROR(LOOKUP(2,1/((C_Pavement!$A$5:$A$204&lt;&gt;"")*(C_Pavement!$A$5:$A$204&lt;=$B49)*(C_Pavement!$B$5:$B$204&gt;$B49)*(C_Pavement!$C$5:$C$204&lt;&gt;"")),ROW(C_Pavement!$C$5:$C$204)-4),"")</f>
        <v/>
      </c>
      <c r="AR49" t="str">
        <f>IF($AQ49="","",UPPER(TRIM(INDEX(C_Pavement!$C$5:$C$204,$AQ49))))</f>
        <v/>
      </c>
      <c r="AS49" t="str">
        <f>IF($AR49="","",IFERROR(MATCH($AR49,E_Rules!$A$5:$A$9,0),""))</f>
        <v/>
      </c>
      <c r="AT49" t="str">
        <f>IF($AQ49="","",IF(INDEX(C_Pavement!$D$5:$D$204,$AQ49)&lt;&gt;"",UPPER(TRIM(INDEX(C_Pavement!$D$5:$D$204,$AQ49))),IF($AS49="","",INDEX(E_Rules!$C$5:$C$9,$AS49))))</f>
        <v/>
      </c>
      <c r="AU49" t="str">
        <f>IF($AQ49="","",IF(INDEX(C_Pavement!$E$5:$E$204,$AQ49)&lt;&gt;"",IF(INDEX(C_Pavement!$E$5:$E$204,$AQ49)="-","",INDEX(C_Pavement!$E$5:$E$204,$AQ49)),IF($AS49="","",INDEX(E_Rules!$D$5:$D$9,$AS49))))</f>
        <v/>
      </c>
      <c r="AV49" t="str">
        <f>IF($AQ49="","",IF(INDEX(C_Pavement!$F$5:$F$204,$AQ49)&lt;&gt;"",IF(INDEX(C_Pavement!$F$5:$F$204,$AQ49)="-","",INDEX(C_Pavement!$F$5:$F$204,$AQ49)),IF($AS49="","",INDEX(E_Rules!$E$5:$E$9,$AS49))))</f>
        <v/>
      </c>
      <c r="AW49" t="str">
        <f>IF($AQ49="","",IF(INDEX(C_Pavement!$G$5:$G$204,$AQ49)&lt;&gt;"",IF(INDEX(C_Pavement!$G$5:$G$204,$AQ49)="-","",INDEX(C_Pavement!$G$5:$G$204,$AQ49)),IF($AS49="","",INDEX(E_Rules!$F$5:$F$9,$AS49))))</f>
        <v/>
      </c>
      <c r="AX49" t="str">
        <f>IF($AQ49="","",IF(INDEX(C_Pavement!$H$5:$H$204,$AQ49)&lt;&gt;"",IF(INDEX(C_Pavement!$H$5:$H$204,$AQ49)="-","",INDEX(C_Pavement!$H$5:$H$204,$AQ49)),IF($AS49="","",INDEX(E_Rules!$G$5:$G$9,$AS49))))</f>
        <v/>
      </c>
      <c r="AY49" t="str">
        <f>IF($AQ49="","",IF(INDEX(C_Pavement!$I$5:$I$204,$AQ49)&lt;&gt;"",IF(INDEX(C_Pavement!$I$5:$I$204,$AQ49)="-","",INDEX(C_Pavement!$I$5:$I$204,$AQ49)),IF($AS49="","",INDEX(E_Rules!$H$5:$H$9,$AS49))))</f>
        <v/>
      </c>
    </row>
    <row r="50" spans="1:51" ht="15.75" customHeight="1" x14ac:dyDescent="0.3">
      <c r="A50" s="189">
        <v>45</v>
      </c>
      <c r="B50" s="180">
        <v>2200</v>
      </c>
      <c r="C50" s="180" t="s">
        <v>356</v>
      </c>
      <c r="D50" s="181" t="str">
        <f>IFERROR(LOOKUP(2,1/((A_Corridor!$A$5:$A$204&lt;&gt;"")*(A_Corridor!$A$5:$A$204&lt;=$B50)*(A_Corridor!$B$5:$B$204&gt;$B50)*(A_Corridor!$C$5:$C$204&lt;&gt;"")),IF(UPPER(A_Corridor!$C$5:$C$204)="Y",1,"")),"")</f>
        <v/>
      </c>
      <c r="E50" s="181" t="str">
        <f>IFERROR(LOOKUP(2,1/((A_Corridor!$A$5:$A$204&lt;&gt;"")*(A_Corridor!$A$5:$A$204&lt;=$B50)*(A_Corridor!$B$5:$B$204&gt;$B50)*(A_Corridor!$D$5:$D$204&lt;&gt;"")),IF(A_Corridor!$D$5:$D$204="-","",UPPER(A_Corridor!$D$5:$D$204))),"")</f>
        <v/>
      </c>
      <c r="F50" s="181" t="str">
        <f>IFERROR(LOOKUP(2,1/((A_Corridor!$A$5:$A$204&lt;&gt;"")*(A_Corridor!$A$5:$A$204&lt;=$B50)*(A_Corridor!$B$5:$B$204&gt;$B50)*(A_Corridor!$E$5:$E$204&lt;&gt;"")),IF(A_Corridor!$E$5:$E$204="-","",1)),"")</f>
        <v/>
      </c>
      <c r="G50" s="182" t="str">
        <f>IFERROR(LOOKUP(2,1/((A_Corridor!$A$5:$A$204&lt;&gt;"")*(A_Corridor!$A$5:$A$204&lt;=$B50)*(A_Corridor!$B$5:$B$204&gt;$B50)*(A_Corridor!$E$5:$E$204&lt;&gt;"")),IF(A_Corridor!$E$5:$E$204="-","",A_Corridor!$E$5:$E$204)),"")</f>
        <v/>
      </c>
      <c r="H50" s="182" t="str">
        <f>IFERROR(LOOKUP(2,1/((D_Points!$A$5:$A$204&lt;&gt;"")*(D_Points!$A$5:$A$204&gt;=$B50)*(D_Points!$A$5:$A$204&lt;$B50+P_Interval)*(UPPER(TRIM(D_Points!$B$5:$B$204))="GULLY")*(D_Points!$H$5:$H$204&lt;&gt;"")),D_Points!$H$5:$H$204),"")</f>
        <v/>
      </c>
      <c r="I50" s="181" t="str">
        <f>IFERROR(LOOKUP(2,1/((A_Corridor!$A$5:$A$204&lt;&gt;"")*(A_Corridor!$A$5:$A$204&lt;=$B50)*(A_Corridor!$B$5:$B$204&gt;$B50)*(A_Corridor!$F$5:$F$204&lt;&gt;"")),IF(A_Corridor!$F$5:$F$204="-","",1)),"")</f>
        <v/>
      </c>
      <c r="J50" s="182" t="str">
        <f>IFERROR(LOOKUP(2,1/((A_Corridor!$A$5:$A$204&lt;&gt;"")*(A_Corridor!$A$5:$A$204&lt;=$B50)*(A_Corridor!$B$5:$B$204&gt;$B50)*(A_Corridor!$F$5:$F$204&lt;&gt;"")),IF(A_Corridor!$F$5:$F$204="-","",A_Corridor!$F$5:$F$204)),"")</f>
        <v/>
      </c>
      <c r="K50" s="182" t="str">
        <f>IFERROR(LOOKUP(2,1/((A_Corridor!$A$5:$A$204&lt;&gt;"")*(A_Corridor!$A$5:$A$204&lt;=$B50)*(A_Corridor!$B$5:$B$204&gt;$B50)*(A_Corridor!$G$5:$G$204&lt;&gt;"")),IF(A_Corridor!$G$5:$G$204="-","",A_Corridor!$G$5:$G$204)),"")</f>
        <v/>
      </c>
      <c r="L50" s="181" t="str">
        <f>IFERROR(LOOKUP(2,1/((A_Corridor!$A$5:$A$204&lt;&gt;"")*(A_Corridor!$A$5:$A$204&lt;=$B50)*(A_Corridor!$B$5:$B$204&gt;$B50)*(A_Corridor!$H$5:$H$204&lt;&gt;"")),IF(A_Corridor!$H$5:$H$204="-","",1)),"")</f>
        <v/>
      </c>
      <c r="M50" s="182" t="str">
        <f>IFERROR(LOOKUP(2,1/((A_Corridor!$A$5:$A$204&lt;&gt;"")*(A_Corridor!$A$5:$A$204&lt;=$B50)*(A_Corridor!$B$5:$B$204&gt;$B50)*(A_Corridor!$H$5:$H$204&lt;&gt;"")),IF(A_Corridor!$H$5:$H$204="-","",A_Corridor!$H$5:$H$204)),"")</f>
        <v/>
      </c>
      <c r="N50" s="182" t="str">
        <f>IFERROR(LOOKUP(2,1/((A_Corridor!$A$5:$A$204&lt;&gt;"")*(A_Corridor!$A$5:$A$204&lt;=$B50)*(A_Corridor!$B$5:$B$204&gt;$B50)*(A_Corridor!$I$5:$I$204&lt;&gt;"")),IF(A_Corridor!$I$5:$I$204="-","",A_Corridor!$I$5:$I$204)),"")</f>
        <v/>
      </c>
      <c r="O50" s="182" t="str">
        <f>IFERROR(LOOKUP(2,1/((D_Points!$A$5:$A$204&lt;&gt;"")*(D_Points!$A$5:$A$204&gt;=$B50)*(D_Points!$A$5:$A$204&lt;$B50+P_Interval)*(UPPER(TRIM(D_Points!$B$5:$B$204))="PITCHING")*(D_Points!$H$5:$H$204&lt;&gt;"")),D_Points!$H$5:$H$204),"")</f>
        <v/>
      </c>
      <c r="P50" s="181" t="str">
        <f>IFERROR(LOOKUP(2,1/((B_Drainage!$A$5:$A$204&lt;&gt;"")*(B_Drainage!$A$5:$A$204&lt;=$B50)*(B_Drainage!$B$5:$B$204&gt;$B50)*(B_Drainage!$C$5:$C$204&lt;&gt;"")),IF(B_Drainage!$C$5:$C$204="-","",UPPER(B_Drainage!$C$5:$C$204))),"")</f>
        <v/>
      </c>
      <c r="Q50" s="181" t="str">
        <f>IFERROR(LOOKUP(2,1/((B_Drainage!$A$5:$A$204&lt;&gt;"")*(B_Drainage!$A$5:$A$204&lt;=$B50)*(B_Drainage!$B$5:$B$204&gt;$B50)*(B_Drainage!$D$5:$D$204&lt;&gt;"")),IF(B_Drainage!$D$5:$D$204="-","",UPPER(B_Drainage!$D$5:$D$204))),"")</f>
        <v/>
      </c>
      <c r="R50" s="182" t="str">
        <f>IFERROR(LOOKUP(2,1/((D_Points!$A$5:$A$204&lt;&gt;"")*(D_Points!$A$5:$A$204&gt;=$B50)*(D_Points!$A$5:$A$204&lt;$B50+P_Interval)*(RIGHT(UPPER(TRIM(D_Points!$B$5:$B$204)),8)="_CULVERT")),IF(LEFT(UPPER(TRIM(D_Points!$B$5:$B$204)),2)="EX",1,IF(LEFT(UPPER(TRIM(D_Points!$B$5:$B$204)),2)="PR",2,3))),"")</f>
        <v/>
      </c>
      <c r="S50" s="182" t="str">
        <f>IFERROR(LOOKUP(2,1/((D_Points!$A$5:$A$204&lt;&gt;"")*(D_Points!$A$5:$A$204&gt;=$B50)*(D_Points!$A$5:$A$204&lt;$B50+P_Interval)*(RIGHT(UPPER(TRIM(D_Points!$B$5:$B$204)),7)="_BRIDGE")),IF(LEFT(UPPER(TRIM(D_Points!$B$5:$B$204)),2)="EX",1,IF(LEFT(UPPER(TRIM(D_Points!$B$5:$B$204)),2)="PR",2,2))),"")</f>
        <v/>
      </c>
      <c r="T50" s="181" t="str">
        <f>IFERROR(LOOKUP(2,1/((B_Drainage!$A$5:$A$204&lt;&gt;"")*(B_Drainage!$A$5:$A$204&lt;=$B50)*(B_Drainage!$B$5:$B$204&gt;$B50)*(B_Drainage!$E$5:$E$204&lt;&gt;"")),IF(B_Drainage!$E$5:$E$204="-","",1)),"")</f>
        <v/>
      </c>
      <c r="U50" s="181" t="str">
        <f>IFERROR(LOOKUP(2,1/((B_Drainage!$A$5:$A$204&lt;&gt;"")*(B_Drainage!$A$5:$A$204&lt;=$B50)*(B_Drainage!$B$5:$B$204&gt;$B50)*(B_Drainage!$E$5:$E$204&lt;&gt;"")),IF(B_Drainage!$E$5:$E$204="-","",B_Drainage!$E$5:$E$204)),"")</f>
        <v/>
      </c>
      <c r="V50" s="181" t="str">
        <f>IFERROR(LOOKUP(2,1/((B_Drainage!$A$5:$A$204&lt;&gt;"")*(B_Drainage!$A$5:$A$204&lt;=$B50)*(B_Drainage!$B$5:$B$204&gt;$B50)*(B_Drainage!$F$5:$F$204&lt;&gt;"")),IF(B_Drainage!$F$5:$F$204="-","",1)),"")</f>
        <v/>
      </c>
      <c r="W50" s="181" t="str">
        <f>IFERROR(LOOKUP(2,1/((B_Drainage!$A$5:$A$204&lt;&gt;"")*(B_Drainage!$A$5:$A$204&lt;=$B50)*(B_Drainage!$B$5:$B$204&gt;$B50)*(B_Drainage!$F$5:$F$204&lt;&gt;"")),IF(B_Drainage!$F$5:$F$204="-","",B_Drainage!$F$5:$F$204)),"")</f>
        <v/>
      </c>
      <c r="X50" s="181" t="str">
        <f>IFERROR(LOOKUP(2,1/((B_Drainage!$A$5:$A$204&lt;&gt;"")*(B_Drainage!$A$5:$A$204&lt;=$B50)*(B_Drainage!$B$5:$B$204&gt;$B50)*(B_Drainage!$G$5:$G$204&lt;&gt;"")),IF(UPPER(B_Drainage!$G$5:$G$204)="Y",1,"")),"")</f>
        <v/>
      </c>
      <c r="Y50" s="181" t="str">
        <f>IFERROR(LOOKUP(2,1/((B_Drainage!$A$5:$A$204&lt;&gt;"")*(B_Drainage!$A$5:$A$204&lt;=$B50)*(B_Drainage!$B$5:$B$204&gt;$B50)*(B_Drainage!$H$5:$H$204&lt;&gt;"")),IF(UPPER(B_Drainage!$H$5:$H$204)="Y",1,"")),"")</f>
        <v/>
      </c>
      <c r="Z50" s="181" t="str">
        <f>IFERROR(LOOKUP(2,1/((B_Drainage!$A$5:$A$204&lt;&gt;"")*(B_Drainage!$A$5:$A$204&lt;=$B50)*(B_Drainage!$B$5:$B$204&gt;$B50)*(B_Drainage!$I$5:$I$204&lt;&gt;"")),IF(UPPER(B_Drainage!$I$5:$I$204)="Y",1,"")),"")</f>
        <v/>
      </c>
      <c r="AA50" s="181" t="str">
        <f>IFERROR(LOOKUP(2,1/((B_Drainage!$A$5:$A$204&lt;&gt;"")*(B_Drainage!$A$5:$A$204&lt;=$B50)*(B_Drainage!$B$5:$B$204&gt;$B50)*(B_Drainage!$J$5:$J$204&lt;&gt;"")),IF(UPPER(B_Drainage!$J$5:$J$204)="Y",1,"")),"")</f>
        <v/>
      </c>
      <c r="AB50" s="182" t="str">
        <f>IFERROR(LOOKUP(2,1/((B_Drainage!$A$5:$A$204&lt;&gt;"")*(B_Drainage!$A$5:$A$204&lt;=$B50)*(B_Drainage!$B$5:$B$204&gt;$B50)*(B_Drainage!$K$5:$K$204&lt;&gt;"")),IF(B_Drainage!$K$5:$K$204="-","",B_Drainage!$K$5:$K$204)),"")</f>
        <v/>
      </c>
      <c r="AC50" s="182" t="str">
        <f>IFERROR(LOOKUP(2,1/((B_Drainage!$A$5:$A$204&lt;&gt;"")*(B_Drainage!$A$5:$A$204&lt;=$B50)*(B_Drainage!$B$5:$B$204&gt;$B50)*(B_Drainage!$L$5:$L$204&lt;&gt;"")),IF(B_Drainage!$L$5:$L$204="-","",B_Drainage!$L$5:$L$204)),"")</f>
        <v/>
      </c>
      <c r="AD50" s="182" t="str">
        <f>IFERROR(LOOKUP(2,1/((D_Points!$A$5:$A$204&lt;&gt;"")*(D_Points!$A$5:$A$204&gt;=$B50)*(D_Points!$A$5:$A$204&lt;$B50+P_Interval)*(UPPER(TRIM(D_Points!$B$5:$B$204))="TURNOUT_L")*(D_Points!$H$5:$H$204&lt;&gt;"")),D_Points!$H$5:$H$204),"")</f>
        <v/>
      </c>
      <c r="AE50" s="182" t="str">
        <f>IFERROR(LOOKUP(2,1/((D_Points!$A$5:$A$204&lt;&gt;"")*(D_Points!$A$5:$A$204&gt;=$B50)*(D_Points!$A$5:$A$204&lt;$B50+P_Interval)*(UPPER(TRIM(D_Points!$B$5:$B$204))="TURNOUT_R")*(D_Points!$H$5:$H$204&lt;&gt;"")),D_Points!$H$5:$H$204),"")</f>
        <v/>
      </c>
      <c r="AF50" s="181" t="str">
        <f>IFERROR(LOOKUP(2,1/((B_Drainage!$A$5:$A$204&lt;&gt;"")*(B_Drainage!$A$5:$A$204&lt;=$B50)*(B_Drainage!$B$5:$B$204&gt;$B50)*(B_Drainage!$M$5:$M$204&lt;&gt;"")),IF(UPPER(B_Drainage!$M$5:$M$204)="Y",1,"")),"")</f>
        <v/>
      </c>
      <c r="AG50" s="181" t="str">
        <f>IFERROR(LOOKUP(2,1/((B_Drainage!$A$5:$A$204&lt;&gt;"")*(B_Drainage!$A$5:$A$204&lt;=$B50)*(B_Drainage!$B$5:$B$204&gt;$B50)*(B_Drainage!$N$5:$N$204&lt;&gt;"")),IF(UPPER(B_Drainage!$N$5:$N$204)="Y",1,"")),"")</f>
        <v/>
      </c>
      <c r="AH50" s="181" t="str">
        <f t="shared" si="0"/>
        <v/>
      </c>
      <c r="AI50" s="181" t="str">
        <f t="shared" si="1"/>
        <v/>
      </c>
      <c r="AJ50" s="181" t="str">
        <f t="shared" si="2"/>
        <v/>
      </c>
      <c r="AK50" s="181" t="str">
        <f t="shared" si="3"/>
        <v/>
      </c>
      <c r="AL50" s="181" t="str">
        <f t="shared" si="4"/>
        <v/>
      </c>
      <c r="AM50" s="181" t="str">
        <f t="shared" si="5"/>
        <v/>
      </c>
      <c r="AN50" s="181" t="str">
        <f t="shared" si="6"/>
        <v/>
      </c>
      <c r="AO50" s="192" t="str">
        <f t="shared" si="7"/>
        <v/>
      </c>
      <c r="AQ50" t="str">
        <f>IFERROR(LOOKUP(2,1/((C_Pavement!$A$5:$A$204&lt;&gt;"")*(C_Pavement!$A$5:$A$204&lt;=$B50)*(C_Pavement!$B$5:$B$204&gt;$B50)*(C_Pavement!$C$5:$C$204&lt;&gt;"")),ROW(C_Pavement!$C$5:$C$204)-4),"")</f>
        <v/>
      </c>
      <c r="AR50" t="str">
        <f>IF($AQ50="","",UPPER(TRIM(INDEX(C_Pavement!$C$5:$C$204,$AQ50))))</f>
        <v/>
      </c>
      <c r="AS50" t="str">
        <f>IF($AR50="","",IFERROR(MATCH($AR50,E_Rules!$A$5:$A$9,0),""))</f>
        <v/>
      </c>
      <c r="AT50" t="str">
        <f>IF($AQ50="","",IF(INDEX(C_Pavement!$D$5:$D$204,$AQ50)&lt;&gt;"",UPPER(TRIM(INDEX(C_Pavement!$D$5:$D$204,$AQ50))),IF($AS50="","",INDEX(E_Rules!$C$5:$C$9,$AS50))))</f>
        <v/>
      </c>
      <c r="AU50" t="str">
        <f>IF($AQ50="","",IF(INDEX(C_Pavement!$E$5:$E$204,$AQ50)&lt;&gt;"",IF(INDEX(C_Pavement!$E$5:$E$204,$AQ50)="-","",INDEX(C_Pavement!$E$5:$E$204,$AQ50)),IF($AS50="","",INDEX(E_Rules!$D$5:$D$9,$AS50))))</f>
        <v/>
      </c>
      <c r="AV50" t="str">
        <f>IF($AQ50="","",IF(INDEX(C_Pavement!$F$5:$F$204,$AQ50)&lt;&gt;"",IF(INDEX(C_Pavement!$F$5:$F$204,$AQ50)="-","",INDEX(C_Pavement!$F$5:$F$204,$AQ50)),IF($AS50="","",INDEX(E_Rules!$E$5:$E$9,$AS50))))</f>
        <v/>
      </c>
      <c r="AW50" t="str">
        <f>IF($AQ50="","",IF(INDEX(C_Pavement!$G$5:$G$204,$AQ50)&lt;&gt;"",IF(INDEX(C_Pavement!$G$5:$G$204,$AQ50)="-","",INDEX(C_Pavement!$G$5:$G$204,$AQ50)),IF($AS50="","",INDEX(E_Rules!$F$5:$F$9,$AS50))))</f>
        <v/>
      </c>
      <c r="AX50" t="str">
        <f>IF($AQ50="","",IF(INDEX(C_Pavement!$H$5:$H$204,$AQ50)&lt;&gt;"",IF(INDEX(C_Pavement!$H$5:$H$204,$AQ50)="-","",INDEX(C_Pavement!$H$5:$H$204,$AQ50)),IF($AS50="","",INDEX(E_Rules!$G$5:$G$9,$AS50))))</f>
        <v/>
      </c>
      <c r="AY50" t="str">
        <f>IF($AQ50="","",IF(INDEX(C_Pavement!$I$5:$I$204,$AQ50)&lt;&gt;"",IF(INDEX(C_Pavement!$I$5:$I$204,$AQ50)="-","",INDEX(C_Pavement!$I$5:$I$204,$AQ50)),IF($AS50="","",INDEX(E_Rules!$H$5:$H$9,$AS50))))</f>
        <v/>
      </c>
    </row>
    <row r="51" spans="1:51" ht="15.75" customHeight="1" x14ac:dyDescent="0.3">
      <c r="A51" s="189">
        <v>46</v>
      </c>
      <c r="B51" s="180">
        <v>2250</v>
      </c>
      <c r="C51" s="180" t="s">
        <v>357</v>
      </c>
      <c r="D51" s="181" t="str">
        <f>IFERROR(LOOKUP(2,1/((A_Corridor!$A$5:$A$204&lt;&gt;"")*(A_Corridor!$A$5:$A$204&lt;=$B51)*(A_Corridor!$B$5:$B$204&gt;$B51)*(A_Corridor!$C$5:$C$204&lt;&gt;"")),IF(UPPER(A_Corridor!$C$5:$C$204)="Y",1,"")),"")</f>
        <v/>
      </c>
      <c r="E51" s="181" t="str">
        <f>IFERROR(LOOKUP(2,1/((A_Corridor!$A$5:$A$204&lt;&gt;"")*(A_Corridor!$A$5:$A$204&lt;=$B51)*(A_Corridor!$B$5:$B$204&gt;$B51)*(A_Corridor!$D$5:$D$204&lt;&gt;"")),IF(A_Corridor!$D$5:$D$204="-","",UPPER(A_Corridor!$D$5:$D$204))),"")</f>
        <v/>
      </c>
      <c r="F51" s="181" t="str">
        <f>IFERROR(LOOKUP(2,1/((A_Corridor!$A$5:$A$204&lt;&gt;"")*(A_Corridor!$A$5:$A$204&lt;=$B51)*(A_Corridor!$B$5:$B$204&gt;$B51)*(A_Corridor!$E$5:$E$204&lt;&gt;"")),IF(A_Corridor!$E$5:$E$204="-","",1)),"")</f>
        <v/>
      </c>
      <c r="G51" s="182" t="str">
        <f>IFERROR(LOOKUP(2,1/((A_Corridor!$A$5:$A$204&lt;&gt;"")*(A_Corridor!$A$5:$A$204&lt;=$B51)*(A_Corridor!$B$5:$B$204&gt;$B51)*(A_Corridor!$E$5:$E$204&lt;&gt;"")),IF(A_Corridor!$E$5:$E$204="-","",A_Corridor!$E$5:$E$204)),"")</f>
        <v/>
      </c>
      <c r="H51" s="182" t="str">
        <f>IFERROR(LOOKUP(2,1/((D_Points!$A$5:$A$204&lt;&gt;"")*(D_Points!$A$5:$A$204&gt;=$B51)*(D_Points!$A$5:$A$204&lt;$B51+P_Interval)*(UPPER(TRIM(D_Points!$B$5:$B$204))="GULLY")*(D_Points!$H$5:$H$204&lt;&gt;"")),D_Points!$H$5:$H$204),"")</f>
        <v/>
      </c>
      <c r="I51" s="181" t="str">
        <f>IFERROR(LOOKUP(2,1/((A_Corridor!$A$5:$A$204&lt;&gt;"")*(A_Corridor!$A$5:$A$204&lt;=$B51)*(A_Corridor!$B$5:$B$204&gt;$B51)*(A_Corridor!$F$5:$F$204&lt;&gt;"")),IF(A_Corridor!$F$5:$F$204="-","",1)),"")</f>
        <v/>
      </c>
      <c r="J51" s="182" t="str">
        <f>IFERROR(LOOKUP(2,1/((A_Corridor!$A$5:$A$204&lt;&gt;"")*(A_Corridor!$A$5:$A$204&lt;=$B51)*(A_Corridor!$B$5:$B$204&gt;$B51)*(A_Corridor!$F$5:$F$204&lt;&gt;"")),IF(A_Corridor!$F$5:$F$204="-","",A_Corridor!$F$5:$F$204)),"")</f>
        <v/>
      </c>
      <c r="K51" s="182" t="str">
        <f>IFERROR(LOOKUP(2,1/((A_Corridor!$A$5:$A$204&lt;&gt;"")*(A_Corridor!$A$5:$A$204&lt;=$B51)*(A_Corridor!$B$5:$B$204&gt;$B51)*(A_Corridor!$G$5:$G$204&lt;&gt;"")),IF(A_Corridor!$G$5:$G$204="-","",A_Corridor!$G$5:$G$204)),"")</f>
        <v/>
      </c>
      <c r="L51" s="181" t="str">
        <f>IFERROR(LOOKUP(2,1/((A_Corridor!$A$5:$A$204&lt;&gt;"")*(A_Corridor!$A$5:$A$204&lt;=$B51)*(A_Corridor!$B$5:$B$204&gt;$B51)*(A_Corridor!$H$5:$H$204&lt;&gt;"")),IF(A_Corridor!$H$5:$H$204="-","",1)),"")</f>
        <v/>
      </c>
      <c r="M51" s="182" t="str">
        <f>IFERROR(LOOKUP(2,1/((A_Corridor!$A$5:$A$204&lt;&gt;"")*(A_Corridor!$A$5:$A$204&lt;=$B51)*(A_Corridor!$B$5:$B$204&gt;$B51)*(A_Corridor!$H$5:$H$204&lt;&gt;"")),IF(A_Corridor!$H$5:$H$204="-","",A_Corridor!$H$5:$H$204)),"")</f>
        <v/>
      </c>
      <c r="N51" s="182" t="str">
        <f>IFERROR(LOOKUP(2,1/((A_Corridor!$A$5:$A$204&lt;&gt;"")*(A_Corridor!$A$5:$A$204&lt;=$B51)*(A_Corridor!$B$5:$B$204&gt;$B51)*(A_Corridor!$I$5:$I$204&lt;&gt;"")),IF(A_Corridor!$I$5:$I$204="-","",A_Corridor!$I$5:$I$204)),"")</f>
        <v/>
      </c>
      <c r="O51" s="182" t="str">
        <f>IFERROR(LOOKUP(2,1/((D_Points!$A$5:$A$204&lt;&gt;"")*(D_Points!$A$5:$A$204&gt;=$B51)*(D_Points!$A$5:$A$204&lt;$B51+P_Interval)*(UPPER(TRIM(D_Points!$B$5:$B$204))="PITCHING")*(D_Points!$H$5:$H$204&lt;&gt;"")),D_Points!$H$5:$H$204),"")</f>
        <v/>
      </c>
      <c r="P51" s="181" t="str">
        <f>IFERROR(LOOKUP(2,1/((B_Drainage!$A$5:$A$204&lt;&gt;"")*(B_Drainage!$A$5:$A$204&lt;=$B51)*(B_Drainage!$B$5:$B$204&gt;$B51)*(B_Drainage!$C$5:$C$204&lt;&gt;"")),IF(B_Drainage!$C$5:$C$204="-","",UPPER(B_Drainage!$C$5:$C$204))),"")</f>
        <v/>
      </c>
      <c r="Q51" s="181" t="str">
        <f>IFERROR(LOOKUP(2,1/((B_Drainage!$A$5:$A$204&lt;&gt;"")*(B_Drainage!$A$5:$A$204&lt;=$B51)*(B_Drainage!$B$5:$B$204&gt;$B51)*(B_Drainage!$D$5:$D$204&lt;&gt;"")),IF(B_Drainage!$D$5:$D$204="-","",UPPER(B_Drainage!$D$5:$D$204))),"")</f>
        <v/>
      </c>
      <c r="R51" s="182" t="str">
        <f>IFERROR(LOOKUP(2,1/((D_Points!$A$5:$A$204&lt;&gt;"")*(D_Points!$A$5:$A$204&gt;=$B51)*(D_Points!$A$5:$A$204&lt;$B51+P_Interval)*(RIGHT(UPPER(TRIM(D_Points!$B$5:$B$204)),8)="_CULVERT")),IF(LEFT(UPPER(TRIM(D_Points!$B$5:$B$204)),2)="EX",1,IF(LEFT(UPPER(TRIM(D_Points!$B$5:$B$204)),2)="PR",2,3))),"")</f>
        <v/>
      </c>
      <c r="S51" s="182" t="str">
        <f>IFERROR(LOOKUP(2,1/((D_Points!$A$5:$A$204&lt;&gt;"")*(D_Points!$A$5:$A$204&gt;=$B51)*(D_Points!$A$5:$A$204&lt;$B51+P_Interval)*(RIGHT(UPPER(TRIM(D_Points!$B$5:$B$204)),7)="_BRIDGE")),IF(LEFT(UPPER(TRIM(D_Points!$B$5:$B$204)),2)="EX",1,IF(LEFT(UPPER(TRIM(D_Points!$B$5:$B$204)),2)="PR",2,2))),"")</f>
        <v/>
      </c>
      <c r="T51" s="181" t="str">
        <f>IFERROR(LOOKUP(2,1/((B_Drainage!$A$5:$A$204&lt;&gt;"")*(B_Drainage!$A$5:$A$204&lt;=$B51)*(B_Drainage!$B$5:$B$204&gt;$B51)*(B_Drainage!$E$5:$E$204&lt;&gt;"")),IF(B_Drainage!$E$5:$E$204="-","",1)),"")</f>
        <v/>
      </c>
      <c r="U51" s="181" t="str">
        <f>IFERROR(LOOKUP(2,1/((B_Drainage!$A$5:$A$204&lt;&gt;"")*(B_Drainage!$A$5:$A$204&lt;=$B51)*(B_Drainage!$B$5:$B$204&gt;$B51)*(B_Drainage!$E$5:$E$204&lt;&gt;"")),IF(B_Drainage!$E$5:$E$204="-","",B_Drainage!$E$5:$E$204)),"")</f>
        <v/>
      </c>
      <c r="V51" s="181" t="str">
        <f>IFERROR(LOOKUP(2,1/((B_Drainage!$A$5:$A$204&lt;&gt;"")*(B_Drainage!$A$5:$A$204&lt;=$B51)*(B_Drainage!$B$5:$B$204&gt;$B51)*(B_Drainage!$F$5:$F$204&lt;&gt;"")),IF(B_Drainage!$F$5:$F$204="-","",1)),"")</f>
        <v/>
      </c>
      <c r="W51" s="181" t="str">
        <f>IFERROR(LOOKUP(2,1/((B_Drainage!$A$5:$A$204&lt;&gt;"")*(B_Drainage!$A$5:$A$204&lt;=$B51)*(B_Drainage!$B$5:$B$204&gt;$B51)*(B_Drainage!$F$5:$F$204&lt;&gt;"")),IF(B_Drainage!$F$5:$F$204="-","",B_Drainage!$F$5:$F$204)),"")</f>
        <v/>
      </c>
      <c r="X51" s="181" t="str">
        <f>IFERROR(LOOKUP(2,1/((B_Drainage!$A$5:$A$204&lt;&gt;"")*(B_Drainage!$A$5:$A$204&lt;=$B51)*(B_Drainage!$B$5:$B$204&gt;$B51)*(B_Drainage!$G$5:$G$204&lt;&gt;"")),IF(UPPER(B_Drainage!$G$5:$G$204)="Y",1,"")),"")</f>
        <v/>
      </c>
      <c r="Y51" s="181" t="str">
        <f>IFERROR(LOOKUP(2,1/((B_Drainage!$A$5:$A$204&lt;&gt;"")*(B_Drainage!$A$5:$A$204&lt;=$B51)*(B_Drainage!$B$5:$B$204&gt;$B51)*(B_Drainage!$H$5:$H$204&lt;&gt;"")),IF(UPPER(B_Drainage!$H$5:$H$204)="Y",1,"")),"")</f>
        <v/>
      </c>
      <c r="Z51" s="181" t="str">
        <f>IFERROR(LOOKUP(2,1/((B_Drainage!$A$5:$A$204&lt;&gt;"")*(B_Drainage!$A$5:$A$204&lt;=$B51)*(B_Drainage!$B$5:$B$204&gt;$B51)*(B_Drainage!$I$5:$I$204&lt;&gt;"")),IF(UPPER(B_Drainage!$I$5:$I$204)="Y",1,"")),"")</f>
        <v/>
      </c>
      <c r="AA51" s="181" t="str">
        <f>IFERROR(LOOKUP(2,1/((B_Drainage!$A$5:$A$204&lt;&gt;"")*(B_Drainage!$A$5:$A$204&lt;=$B51)*(B_Drainage!$B$5:$B$204&gt;$B51)*(B_Drainage!$J$5:$J$204&lt;&gt;"")),IF(UPPER(B_Drainage!$J$5:$J$204)="Y",1,"")),"")</f>
        <v/>
      </c>
      <c r="AB51" s="182" t="str">
        <f>IFERROR(LOOKUP(2,1/((B_Drainage!$A$5:$A$204&lt;&gt;"")*(B_Drainage!$A$5:$A$204&lt;=$B51)*(B_Drainage!$B$5:$B$204&gt;$B51)*(B_Drainage!$K$5:$K$204&lt;&gt;"")),IF(B_Drainage!$K$5:$K$204="-","",B_Drainage!$K$5:$K$204)),"")</f>
        <v/>
      </c>
      <c r="AC51" s="182" t="str">
        <f>IFERROR(LOOKUP(2,1/((B_Drainage!$A$5:$A$204&lt;&gt;"")*(B_Drainage!$A$5:$A$204&lt;=$B51)*(B_Drainage!$B$5:$B$204&gt;$B51)*(B_Drainage!$L$5:$L$204&lt;&gt;"")),IF(B_Drainage!$L$5:$L$204="-","",B_Drainage!$L$5:$L$204)),"")</f>
        <v/>
      </c>
      <c r="AD51" s="182" t="str">
        <f>IFERROR(LOOKUP(2,1/((D_Points!$A$5:$A$204&lt;&gt;"")*(D_Points!$A$5:$A$204&gt;=$B51)*(D_Points!$A$5:$A$204&lt;$B51+P_Interval)*(UPPER(TRIM(D_Points!$B$5:$B$204))="TURNOUT_L")*(D_Points!$H$5:$H$204&lt;&gt;"")),D_Points!$H$5:$H$204),"")</f>
        <v/>
      </c>
      <c r="AE51" s="182" t="str">
        <f>IFERROR(LOOKUP(2,1/((D_Points!$A$5:$A$204&lt;&gt;"")*(D_Points!$A$5:$A$204&gt;=$B51)*(D_Points!$A$5:$A$204&lt;$B51+P_Interval)*(UPPER(TRIM(D_Points!$B$5:$B$204))="TURNOUT_R")*(D_Points!$H$5:$H$204&lt;&gt;"")),D_Points!$H$5:$H$204),"")</f>
        <v/>
      </c>
      <c r="AF51" s="181" t="str">
        <f>IFERROR(LOOKUP(2,1/((B_Drainage!$A$5:$A$204&lt;&gt;"")*(B_Drainage!$A$5:$A$204&lt;=$B51)*(B_Drainage!$B$5:$B$204&gt;$B51)*(B_Drainage!$M$5:$M$204&lt;&gt;"")),IF(UPPER(B_Drainage!$M$5:$M$204)="Y",1,"")),"")</f>
        <v/>
      </c>
      <c r="AG51" s="181" t="str">
        <f>IFERROR(LOOKUP(2,1/((B_Drainage!$A$5:$A$204&lt;&gt;"")*(B_Drainage!$A$5:$A$204&lt;=$B51)*(B_Drainage!$B$5:$B$204&gt;$B51)*(B_Drainage!$N$5:$N$204&lt;&gt;"")),IF(UPPER(B_Drainage!$N$5:$N$204)="Y",1,"")),"")</f>
        <v/>
      </c>
      <c r="AH51" s="181" t="str">
        <f t="shared" si="0"/>
        <v/>
      </c>
      <c r="AI51" s="181" t="str">
        <f t="shared" si="1"/>
        <v/>
      </c>
      <c r="AJ51" s="181" t="str">
        <f t="shared" si="2"/>
        <v/>
      </c>
      <c r="AK51" s="181" t="str">
        <f t="shared" si="3"/>
        <v/>
      </c>
      <c r="AL51" s="181" t="str">
        <f t="shared" si="4"/>
        <v/>
      </c>
      <c r="AM51" s="181" t="str">
        <f t="shared" si="5"/>
        <v/>
      </c>
      <c r="AN51" s="181" t="str">
        <f t="shared" si="6"/>
        <v/>
      </c>
      <c r="AO51" s="192" t="str">
        <f t="shared" si="7"/>
        <v/>
      </c>
      <c r="AQ51" t="str">
        <f>IFERROR(LOOKUP(2,1/((C_Pavement!$A$5:$A$204&lt;&gt;"")*(C_Pavement!$A$5:$A$204&lt;=$B51)*(C_Pavement!$B$5:$B$204&gt;$B51)*(C_Pavement!$C$5:$C$204&lt;&gt;"")),ROW(C_Pavement!$C$5:$C$204)-4),"")</f>
        <v/>
      </c>
      <c r="AR51" t="str">
        <f>IF($AQ51="","",UPPER(TRIM(INDEX(C_Pavement!$C$5:$C$204,$AQ51))))</f>
        <v/>
      </c>
      <c r="AS51" t="str">
        <f>IF($AR51="","",IFERROR(MATCH($AR51,E_Rules!$A$5:$A$9,0),""))</f>
        <v/>
      </c>
      <c r="AT51" t="str">
        <f>IF($AQ51="","",IF(INDEX(C_Pavement!$D$5:$D$204,$AQ51)&lt;&gt;"",UPPER(TRIM(INDEX(C_Pavement!$D$5:$D$204,$AQ51))),IF($AS51="","",INDEX(E_Rules!$C$5:$C$9,$AS51))))</f>
        <v/>
      </c>
      <c r="AU51" t="str">
        <f>IF($AQ51="","",IF(INDEX(C_Pavement!$E$5:$E$204,$AQ51)&lt;&gt;"",IF(INDEX(C_Pavement!$E$5:$E$204,$AQ51)="-","",INDEX(C_Pavement!$E$5:$E$204,$AQ51)),IF($AS51="","",INDEX(E_Rules!$D$5:$D$9,$AS51))))</f>
        <v/>
      </c>
      <c r="AV51" t="str">
        <f>IF($AQ51="","",IF(INDEX(C_Pavement!$F$5:$F$204,$AQ51)&lt;&gt;"",IF(INDEX(C_Pavement!$F$5:$F$204,$AQ51)="-","",INDEX(C_Pavement!$F$5:$F$204,$AQ51)),IF($AS51="","",INDEX(E_Rules!$E$5:$E$9,$AS51))))</f>
        <v/>
      </c>
      <c r="AW51" t="str">
        <f>IF($AQ51="","",IF(INDEX(C_Pavement!$G$5:$G$204,$AQ51)&lt;&gt;"",IF(INDEX(C_Pavement!$G$5:$G$204,$AQ51)="-","",INDEX(C_Pavement!$G$5:$G$204,$AQ51)),IF($AS51="","",INDEX(E_Rules!$F$5:$F$9,$AS51))))</f>
        <v/>
      </c>
      <c r="AX51" t="str">
        <f>IF($AQ51="","",IF(INDEX(C_Pavement!$H$5:$H$204,$AQ51)&lt;&gt;"",IF(INDEX(C_Pavement!$H$5:$H$204,$AQ51)="-","",INDEX(C_Pavement!$H$5:$H$204,$AQ51)),IF($AS51="","",INDEX(E_Rules!$G$5:$G$9,$AS51))))</f>
        <v/>
      </c>
      <c r="AY51" t="str">
        <f>IF($AQ51="","",IF(INDEX(C_Pavement!$I$5:$I$204,$AQ51)&lt;&gt;"",IF(INDEX(C_Pavement!$I$5:$I$204,$AQ51)="-","",INDEX(C_Pavement!$I$5:$I$204,$AQ51)),IF($AS51="","",INDEX(E_Rules!$H$5:$H$9,$AS51))))</f>
        <v/>
      </c>
    </row>
    <row r="52" spans="1:51" ht="15.75" customHeight="1" x14ac:dyDescent="0.3">
      <c r="A52" s="189">
        <v>47</v>
      </c>
      <c r="B52" s="180">
        <v>2300</v>
      </c>
      <c r="C52" s="180" t="s">
        <v>358</v>
      </c>
      <c r="D52" s="181" t="str">
        <f>IFERROR(LOOKUP(2,1/((A_Corridor!$A$5:$A$204&lt;&gt;"")*(A_Corridor!$A$5:$A$204&lt;=$B52)*(A_Corridor!$B$5:$B$204&gt;$B52)*(A_Corridor!$C$5:$C$204&lt;&gt;"")),IF(UPPER(A_Corridor!$C$5:$C$204)="Y",1,"")),"")</f>
        <v/>
      </c>
      <c r="E52" s="181" t="str">
        <f>IFERROR(LOOKUP(2,1/((A_Corridor!$A$5:$A$204&lt;&gt;"")*(A_Corridor!$A$5:$A$204&lt;=$B52)*(A_Corridor!$B$5:$B$204&gt;$B52)*(A_Corridor!$D$5:$D$204&lt;&gt;"")),IF(A_Corridor!$D$5:$D$204="-","",UPPER(A_Corridor!$D$5:$D$204))),"")</f>
        <v/>
      </c>
      <c r="F52" s="181" t="str">
        <f>IFERROR(LOOKUP(2,1/((A_Corridor!$A$5:$A$204&lt;&gt;"")*(A_Corridor!$A$5:$A$204&lt;=$B52)*(A_Corridor!$B$5:$B$204&gt;$B52)*(A_Corridor!$E$5:$E$204&lt;&gt;"")),IF(A_Corridor!$E$5:$E$204="-","",1)),"")</f>
        <v/>
      </c>
      <c r="G52" s="182" t="str">
        <f>IFERROR(LOOKUP(2,1/((A_Corridor!$A$5:$A$204&lt;&gt;"")*(A_Corridor!$A$5:$A$204&lt;=$B52)*(A_Corridor!$B$5:$B$204&gt;$B52)*(A_Corridor!$E$5:$E$204&lt;&gt;"")),IF(A_Corridor!$E$5:$E$204="-","",A_Corridor!$E$5:$E$204)),"")</f>
        <v/>
      </c>
      <c r="H52" s="182" t="str">
        <f>IFERROR(LOOKUP(2,1/((D_Points!$A$5:$A$204&lt;&gt;"")*(D_Points!$A$5:$A$204&gt;=$B52)*(D_Points!$A$5:$A$204&lt;$B52+P_Interval)*(UPPER(TRIM(D_Points!$B$5:$B$204))="GULLY")*(D_Points!$H$5:$H$204&lt;&gt;"")),D_Points!$H$5:$H$204),"")</f>
        <v/>
      </c>
      <c r="I52" s="181" t="str">
        <f>IFERROR(LOOKUP(2,1/((A_Corridor!$A$5:$A$204&lt;&gt;"")*(A_Corridor!$A$5:$A$204&lt;=$B52)*(A_Corridor!$B$5:$B$204&gt;$B52)*(A_Corridor!$F$5:$F$204&lt;&gt;"")),IF(A_Corridor!$F$5:$F$204="-","",1)),"")</f>
        <v/>
      </c>
      <c r="J52" s="182" t="str">
        <f>IFERROR(LOOKUP(2,1/((A_Corridor!$A$5:$A$204&lt;&gt;"")*(A_Corridor!$A$5:$A$204&lt;=$B52)*(A_Corridor!$B$5:$B$204&gt;$B52)*(A_Corridor!$F$5:$F$204&lt;&gt;"")),IF(A_Corridor!$F$5:$F$204="-","",A_Corridor!$F$5:$F$204)),"")</f>
        <v/>
      </c>
      <c r="K52" s="182" t="str">
        <f>IFERROR(LOOKUP(2,1/((A_Corridor!$A$5:$A$204&lt;&gt;"")*(A_Corridor!$A$5:$A$204&lt;=$B52)*(A_Corridor!$B$5:$B$204&gt;$B52)*(A_Corridor!$G$5:$G$204&lt;&gt;"")),IF(A_Corridor!$G$5:$G$204="-","",A_Corridor!$G$5:$G$204)),"")</f>
        <v/>
      </c>
      <c r="L52" s="181" t="str">
        <f>IFERROR(LOOKUP(2,1/((A_Corridor!$A$5:$A$204&lt;&gt;"")*(A_Corridor!$A$5:$A$204&lt;=$B52)*(A_Corridor!$B$5:$B$204&gt;$B52)*(A_Corridor!$H$5:$H$204&lt;&gt;"")),IF(A_Corridor!$H$5:$H$204="-","",1)),"")</f>
        <v/>
      </c>
      <c r="M52" s="182" t="str">
        <f>IFERROR(LOOKUP(2,1/((A_Corridor!$A$5:$A$204&lt;&gt;"")*(A_Corridor!$A$5:$A$204&lt;=$B52)*(A_Corridor!$B$5:$B$204&gt;$B52)*(A_Corridor!$H$5:$H$204&lt;&gt;"")),IF(A_Corridor!$H$5:$H$204="-","",A_Corridor!$H$5:$H$204)),"")</f>
        <v/>
      </c>
      <c r="N52" s="182" t="str">
        <f>IFERROR(LOOKUP(2,1/((A_Corridor!$A$5:$A$204&lt;&gt;"")*(A_Corridor!$A$5:$A$204&lt;=$B52)*(A_Corridor!$B$5:$B$204&gt;$B52)*(A_Corridor!$I$5:$I$204&lt;&gt;"")),IF(A_Corridor!$I$5:$I$204="-","",A_Corridor!$I$5:$I$204)),"")</f>
        <v/>
      </c>
      <c r="O52" s="182" t="str">
        <f>IFERROR(LOOKUP(2,1/((D_Points!$A$5:$A$204&lt;&gt;"")*(D_Points!$A$5:$A$204&gt;=$B52)*(D_Points!$A$5:$A$204&lt;$B52+P_Interval)*(UPPER(TRIM(D_Points!$B$5:$B$204))="PITCHING")*(D_Points!$H$5:$H$204&lt;&gt;"")),D_Points!$H$5:$H$204),"")</f>
        <v/>
      </c>
      <c r="P52" s="181" t="str">
        <f>IFERROR(LOOKUP(2,1/((B_Drainage!$A$5:$A$204&lt;&gt;"")*(B_Drainage!$A$5:$A$204&lt;=$B52)*(B_Drainage!$B$5:$B$204&gt;$B52)*(B_Drainage!$C$5:$C$204&lt;&gt;"")),IF(B_Drainage!$C$5:$C$204="-","",UPPER(B_Drainage!$C$5:$C$204))),"")</f>
        <v/>
      </c>
      <c r="Q52" s="181" t="str">
        <f>IFERROR(LOOKUP(2,1/((B_Drainage!$A$5:$A$204&lt;&gt;"")*(B_Drainage!$A$5:$A$204&lt;=$B52)*(B_Drainage!$B$5:$B$204&gt;$B52)*(B_Drainage!$D$5:$D$204&lt;&gt;"")),IF(B_Drainage!$D$5:$D$204="-","",UPPER(B_Drainage!$D$5:$D$204))),"")</f>
        <v/>
      </c>
      <c r="R52" s="182" t="str">
        <f>IFERROR(LOOKUP(2,1/((D_Points!$A$5:$A$204&lt;&gt;"")*(D_Points!$A$5:$A$204&gt;=$B52)*(D_Points!$A$5:$A$204&lt;$B52+P_Interval)*(RIGHT(UPPER(TRIM(D_Points!$B$5:$B$204)),8)="_CULVERT")),IF(LEFT(UPPER(TRIM(D_Points!$B$5:$B$204)),2)="EX",1,IF(LEFT(UPPER(TRIM(D_Points!$B$5:$B$204)),2)="PR",2,3))),"")</f>
        <v/>
      </c>
      <c r="S52" s="182" t="str">
        <f>IFERROR(LOOKUP(2,1/((D_Points!$A$5:$A$204&lt;&gt;"")*(D_Points!$A$5:$A$204&gt;=$B52)*(D_Points!$A$5:$A$204&lt;$B52+P_Interval)*(RIGHT(UPPER(TRIM(D_Points!$B$5:$B$204)),7)="_BRIDGE")),IF(LEFT(UPPER(TRIM(D_Points!$B$5:$B$204)),2)="EX",1,IF(LEFT(UPPER(TRIM(D_Points!$B$5:$B$204)),2)="PR",2,2))),"")</f>
        <v/>
      </c>
      <c r="T52" s="181" t="str">
        <f>IFERROR(LOOKUP(2,1/((B_Drainage!$A$5:$A$204&lt;&gt;"")*(B_Drainage!$A$5:$A$204&lt;=$B52)*(B_Drainage!$B$5:$B$204&gt;$B52)*(B_Drainage!$E$5:$E$204&lt;&gt;"")),IF(B_Drainage!$E$5:$E$204="-","",1)),"")</f>
        <v/>
      </c>
      <c r="U52" s="181" t="str">
        <f>IFERROR(LOOKUP(2,1/((B_Drainage!$A$5:$A$204&lt;&gt;"")*(B_Drainage!$A$5:$A$204&lt;=$B52)*(B_Drainage!$B$5:$B$204&gt;$B52)*(B_Drainage!$E$5:$E$204&lt;&gt;"")),IF(B_Drainage!$E$5:$E$204="-","",B_Drainage!$E$5:$E$204)),"")</f>
        <v/>
      </c>
      <c r="V52" s="181" t="str">
        <f>IFERROR(LOOKUP(2,1/((B_Drainage!$A$5:$A$204&lt;&gt;"")*(B_Drainage!$A$5:$A$204&lt;=$B52)*(B_Drainage!$B$5:$B$204&gt;$B52)*(B_Drainage!$F$5:$F$204&lt;&gt;"")),IF(B_Drainage!$F$5:$F$204="-","",1)),"")</f>
        <v/>
      </c>
      <c r="W52" s="181" t="str">
        <f>IFERROR(LOOKUP(2,1/((B_Drainage!$A$5:$A$204&lt;&gt;"")*(B_Drainage!$A$5:$A$204&lt;=$B52)*(B_Drainage!$B$5:$B$204&gt;$B52)*(B_Drainage!$F$5:$F$204&lt;&gt;"")),IF(B_Drainage!$F$5:$F$204="-","",B_Drainage!$F$5:$F$204)),"")</f>
        <v/>
      </c>
      <c r="X52" s="181" t="str">
        <f>IFERROR(LOOKUP(2,1/((B_Drainage!$A$5:$A$204&lt;&gt;"")*(B_Drainage!$A$5:$A$204&lt;=$B52)*(B_Drainage!$B$5:$B$204&gt;$B52)*(B_Drainage!$G$5:$G$204&lt;&gt;"")),IF(UPPER(B_Drainage!$G$5:$G$204)="Y",1,"")),"")</f>
        <v/>
      </c>
      <c r="Y52" s="181" t="str">
        <f>IFERROR(LOOKUP(2,1/((B_Drainage!$A$5:$A$204&lt;&gt;"")*(B_Drainage!$A$5:$A$204&lt;=$B52)*(B_Drainage!$B$5:$B$204&gt;$B52)*(B_Drainage!$H$5:$H$204&lt;&gt;"")),IF(UPPER(B_Drainage!$H$5:$H$204)="Y",1,"")),"")</f>
        <v/>
      </c>
      <c r="Z52" s="181" t="str">
        <f>IFERROR(LOOKUP(2,1/((B_Drainage!$A$5:$A$204&lt;&gt;"")*(B_Drainage!$A$5:$A$204&lt;=$B52)*(B_Drainage!$B$5:$B$204&gt;$B52)*(B_Drainage!$I$5:$I$204&lt;&gt;"")),IF(UPPER(B_Drainage!$I$5:$I$204)="Y",1,"")),"")</f>
        <v/>
      </c>
      <c r="AA52" s="181" t="str">
        <f>IFERROR(LOOKUP(2,1/((B_Drainage!$A$5:$A$204&lt;&gt;"")*(B_Drainage!$A$5:$A$204&lt;=$B52)*(B_Drainage!$B$5:$B$204&gt;$B52)*(B_Drainage!$J$5:$J$204&lt;&gt;"")),IF(UPPER(B_Drainage!$J$5:$J$204)="Y",1,"")),"")</f>
        <v/>
      </c>
      <c r="AB52" s="182" t="str">
        <f>IFERROR(LOOKUP(2,1/((B_Drainage!$A$5:$A$204&lt;&gt;"")*(B_Drainage!$A$5:$A$204&lt;=$B52)*(B_Drainage!$B$5:$B$204&gt;$B52)*(B_Drainage!$K$5:$K$204&lt;&gt;"")),IF(B_Drainage!$K$5:$K$204="-","",B_Drainage!$K$5:$K$204)),"")</f>
        <v/>
      </c>
      <c r="AC52" s="182" t="str">
        <f>IFERROR(LOOKUP(2,1/((B_Drainage!$A$5:$A$204&lt;&gt;"")*(B_Drainage!$A$5:$A$204&lt;=$B52)*(B_Drainage!$B$5:$B$204&gt;$B52)*(B_Drainage!$L$5:$L$204&lt;&gt;"")),IF(B_Drainage!$L$5:$L$204="-","",B_Drainage!$L$5:$L$204)),"")</f>
        <v/>
      </c>
      <c r="AD52" s="182" t="str">
        <f>IFERROR(LOOKUP(2,1/((D_Points!$A$5:$A$204&lt;&gt;"")*(D_Points!$A$5:$A$204&gt;=$B52)*(D_Points!$A$5:$A$204&lt;$B52+P_Interval)*(UPPER(TRIM(D_Points!$B$5:$B$204))="TURNOUT_L")*(D_Points!$H$5:$H$204&lt;&gt;"")),D_Points!$H$5:$H$204),"")</f>
        <v/>
      </c>
      <c r="AE52" s="182" t="str">
        <f>IFERROR(LOOKUP(2,1/((D_Points!$A$5:$A$204&lt;&gt;"")*(D_Points!$A$5:$A$204&gt;=$B52)*(D_Points!$A$5:$A$204&lt;$B52+P_Interval)*(UPPER(TRIM(D_Points!$B$5:$B$204))="TURNOUT_R")*(D_Points!$H$5:$H$204&lt;&gt;"")),D_Points!$H$5:$H$204),"")</f>
        <v/>
      </c>
      <c r="AF52" s="181" t="str">
        <f>IFERROR(LOOKUP(2,1/((B_Drainage!$A$5:$A$204&lt;&gt;"")*(B_Drainage!$A$5:$A$204&lt;=$B52)*(B_Drainage!$B$5:$B$204&gt;$B52)*(B_Drainage!$M$5:$M$204&lt;&gt;"")),IF(UPPER(B_Drainage!$M$5:$M$204)="Y",1,"")),"")</f>
        <v/>
      </c>
      <c r="AG52" s="181" t="str">
        <f>IFERROR(LOOKUP(2,1/((B_Drainage!$A$5:$A$204&lt;&gt;"")*(B_Drainage!$A$5:$A$204&lt;=$B52)*(B_Drainage!$B$5:$B$204&gt;$B52)*(B_Drainage!$N$5:$N$204&lt;&gt;"")),IF(UPPER(B_Drainage!$N$5:$N$204)="Y",1,"")),"")</f>
        <v/>
      </c>
      <c r="AH52" s="181" t="str">
        <f t="shared" si="0"/>
        <v/>
      </c>
      <c r="AI52" s="181" t="str">
        <f t="shared" si="1"/>
        <v/>
      </c>
      <c r="AJ52" s="181" t="str">
        <f t="shared" si="2"/>
        <v/>
      </c>
      <c r="AK52" s="181" t="str">
        <f t="shared" si="3"/>
        <v/>
      </c>
      <c r="AL52" s="181" t="str">
        <f t="shared" si="4"/>
        <v/>
      </c>
      <c r="AM52" s="181" t="str">
        <f t="shared" si="5"/>
        <v/>
      </c>
      <c r="AN52" s="181" t="str">
        <f t="shared" si="6"/>
        <v/>
      </c>
      <c r="AO52" s="192" t="str">
        <f t="shared" si="7"/>
        <v/>
      </c>
      <c r="AQ52" t="str">
        <f>IFERROR(LOOKUP(2,1/((C_Pavement!$A$5:$A$204&lt;&gt;"")*(C_Pavement!$A$5:$A$204&lt;=$B52)*(C_Pavement!$B$5:$B$204&gt;$B52)*(C_Pavement!$C$5:$C$204&lt;&gt;"")),ROW(C_Pavement!$C$5:$C$204)-4),"")</f>
        <v/>
      </c>
      <c r="AR52" t="str">
        <f>IF($AQ52="","",UPPER(TRIM(INDEX(C_Pavement!$C$5:$C$204,$AQ52))))</f>
        <v/>
      </c>
      <c r="AS52" t="str">
        <f>IF($AR52="","",IFERROR(MATCH($AR52,E_Rules!$A$5:$A$9,0),""))</f>
        <v/>
      </c>
      <c r="AT52" t="str">
        <f>IF($AQ52="","",IF(INDEX(C_Pavement!$D$5:$D$204,$AQ52)&lt;&gt;"",UPPER(TRIM(INDEX(C_Pavement!$D$5:$D$204,$AQ52))),IF($AS52="","",INDEX(E_Rules!$C$5:$C$9,$AS52))))</f>
        <v/>
      </c>
      <c r="AU52" t="str">
        <f>IF($AQ52="","",IF(INDEX(C_Pavement!$E$5:$E$204,$AQ52)&lt;&gt;"",IF(INDEX(C_Pavement!$E$5:$E$204,$AQ52)="-","",INDEX(C_Pavement!$E$5:$E$204,$AQ52)),IF($AS52="","",INDEX(E_Rules!$D$5:$D$9,$AS52))))</f>
        <v/>
      </c>
      <c r="AV52" t="str">
        <f>IF($AQ52="","",IF(INDEX(C_Pavement!$F$5:$F$204,$AQ52)&lt;&gt;"",IF(INDEX(C_Pavement!$F$5:$F$204,$AQ52)="-","",INDEX(C_Pavement!$F$5:$F$204,$AQ52)),IF($AS52="","",INDEX(E_Rules!$E$5:$E$9,$AS52))))</f>
        <v/>
      </c>
      <c r="AW52" t="str">
        <f>IF($AQ52="","",IF(INDEX(C_Pavement!$G$5:$G$204,$AQ52)&lt;&gt;"",IF(INDEX(C_Pavement!$G$5:$G$204,$AQ52)="-","",INDEX(C_Pavement!$G$5:$G$204,$AQ52)),IF($AS52="","",INDEX(E_Rules!$F$5:$F$9,$AS52))))</f>
        <v/>
      </c>
      <c r="AX52" t="str">
        <f>IF($AQ52="","",IF(INDEX(C_Pavement!$H$5:$H$204,$AQ52)&lt;&gt;"",IF(INDEX(C_Pavement!$H$5:$H$204,$AQ52)="-","",INDEX(C_Pavement!$H$5:$H$204,$AQ52)),IF($AS52="","",INDEX(E_Rules!$G$5:$G$9,$AS52))))</f>
        <v/>
      </c>
      <c r="AY52" t="str">
        <f>IF($AQ52="","",IF(INDEX(C_Pavement!$I$5:$I$204,$AQ52)&lt;&gt;"",IF(INDEX(C_Pavement!$I$5:$I$204,$AQ52)="-","",INDEX(C_Pavement!$I$5:$I$204,$AQ52)),IF($AS52="","",INDEX(E_Rules!$H$5:$H$9,$AS52))))</f>
        <v/>
      </c>
    </row>
    <row r="53" spans="1:51" ht="15.75" customHeight="1" x14ac:dyDescent="0.3">
      <c r="A53" s="189">
        <v>48</v>
      </c>
      <c r="B53" s="180">
        <v>2350</v>
      </c>
      <c r="C53" s="180" t="s">
        <v>359</v>
      </c>
      <c r="D53" s="181" t="str">
        <f>IFERROR(LOOKUP(2,1/((A_Corridor!$A$5:$A$204&lt;&gt;"")*(A_Corridor!$A$5:$A$204&lt;=$B53)*(A_Corridor!$B$5:$B$204&gt;$B53)*(A_Corridor!$C$5:$C$204&lt;&gt;"")),IF(UPPER(A_Corridor!$C$5:$C$204)="Y",1,"")),"")</f>
        <v/>
      </c>
      <c r="E53" s="181" t="str">
        <f>IFERROR(LOOKUP(2,1/((A_Corridor!$A$5:$A$204&lt;&gt;"")*(A_Corridor!$A$5:$A$204&lt;=$B53)*(A_Corridor!$B$5:$B$204&gt;$B53)*(A_Corridor!$D$5:$D$204&lt;&gt;"")),IF(A_Corridor!$D$5:$D$204="-","",UPPER(A_Corridor!$D$5:$D$204))),"")</f>
        <v/>
      </c>
      <c r="F53" s="181" t="str">
        <f>IFERROR(LOOKUP(2,1/((A_Corridor!$A$5:$A$204&lt;&gt;"")*(A_Corridor!$A$5:$A$204&lt;=$B53)*(A_Corridor!$B$5:$B$204&gt;$B53)*(A_Corridor!$E$5:$E$204&lt;&gt;"")),IF(A_Corridor!$E$5:$E$204="-","",1)),"")</f>
        <v/>
      </c>
      <c r="G53" s="182" t="str">
        <f>IFERROR(LOOKUP(2,1/((A_Corridor!$A$5:$A$204&lt;&gt;"")*(A_Corridor!$A$5:$A$204&lt;=$B53)*(A_Corridor!$B$5:$B$204&gt;$B53)*(A_Corridor!$E$5:$E$204&lt;&gt;"")),IF(A_Corridor!$E$5:$E$204="-","",A_Corridor!$E$5:$E$204)),"")</f>
        <v/>
      </c>
      <c r="H53" s="182" t="str">
        <f>IFERROR(LOOKUP(2,1/((D_Points!$A$5:$A$204&lt;&gt;"")*(D_Points!$A$5:$A$204&gt;=$B53)*(D_Points!$A$5:$A$204&lt;$B53+P_Interval)*(UPPER(TRIM(D_Points!$B$5:$B$204))="GULLY")*(D_Points!$H$5:$H$204&lt;&gt;"")),D_Points!$H$5:$H$204),"")</f>
        <v/>
      </c>
      <c r="I53" s="181" t="str">
        <f>IFERROR(LOOKUP(2,1/((A_Corridor!$A$5:$A$204&lt;&gt;"")*(A_Corridor!$A$5:$A$204&lt;=$B53)*(A_Corridor!$B$5:$B$204&gt;$B53)*(A_Corridor!$F$5:$F$204&lt;&gt;"")),IF(A_Corridor!$F$5:$F$204="-","",1)),"")</f>
        <v/>
      </c>
      <c r="J53" s="182" t="str">
        <f>IFERROR(LOOKUP(2,1/((A_Corridor!$A$5:$A$204&lt;&gt;"")*(A_Corridor!$A$5:$A$204&lt;=$B53)*(A_Corridor!$B$5:$B$204&gt;$B53)*(A_Corridor!$F$5:$F$204&lt;&gt;"")),IF(A_Corridor!$F$5:$F$204="-","",A_Corridor!$F$5:$F$204)),"")</f>
        <v/>
      </c>
      <c r="K53" s="182" t="str">
        <f>IFERROR(LOOKUP(2,1/((A_Corridor!$A$5:$A$204&lt;&gt;"")*(A_Corridor!$A$5:$A$204&lt;=$B53)*(A_Corridor!$B$5:$B$204&gt;$B53)*(A_Corridor!$G$5:$G$204&lt;&gt;"")),IF(A_Corridor!$G$5:$G$204="-","",A_Corridor!$G$5:$G$204)),"")</f>
        <v/>
      </c>
      <c r="L53" s="181" t="str">
        <f>IFERROR(LOOKUP(2,1/((A_Corridor!$A$5:$A$204&lt;&gt;"")*(A_Corridor!$A$5:$A$204&lt;=$B53)*(A_Corridor!$B$5:$B$204&gt;$B53)*(A_Corridor!$H$5:$H$204&lt;&gt;"")),IF(A_Corridor!$H$5:$H$204="-","",1)),"")</f>
        <v/>
      </c>
      <c r="M53" s="182" t="str">
        <f>IFERROR(LOOKUP(2,1/((A_Corridor!$A$5:$A$204&lt;&gt;"")*(A_Corridor!$A$5:$A$204&lt;=$B53)*(A_Corridor!$B$5:$B$204&gt;$B53)*(A_Corridor!$H$5:$H$204&lt;&gt;"")),IF(A_Corridor!$H$5:$H$204="-","",A_Corridor!$H$5:$H$204)),"")</f>
        <v/>
      </c>
      <c r="N53" s="182" t="str">
        <f>IFERROR(LOOKUP(2,1/((A_Corridor!$A$5:$A$204&lt;&gt;"")*(A_Corridor!$A$5:$A$204&lt;=$B53)*(A_Corridor!$B$5:$B$204&gt;$B53)*(A_Corridor!$I$5:$I$204&lt;&gt;"")),IF(A_Corridor!$I$5:$I$204="-","",A_Corridor!$I$5:$I$204)),"")</f>
        <v/>
      </c>
      <c r="O53" s="182" t="str">
        <f>IFERROR(LOOKUP(2,1/((D_Points!$A$5:$A$204&lt;&gt;"")*(D_Points!$A$5:$A$204&gt;=$B53)*(D_Points!$A$5:$A$204&lt;$B53+P_Interval)*(UPPER(TRIM(D_Points!$B$5:$B$204))="PITCHING")*(D_Points!$H$5:$H$204&lt;&gt;"")),D_Points!$H$5:$H$204),"")</f>
        <v/>
      </c>
      <c r="P53" s="181" t="str">
        <f>IFERROR(LOOKUP(2,1/((B_Drainage!$A$5:$A$204&lt;&gt;"")*(B_Drainage!$A$5:$A$204&lt;=$B53)*(B_Drainage!$B$5:$B$204&gt;$B53)*(B_Drainage!$C$5:$C$204&lt;&gt;"")),IF(B_Drainage!$C$5:$C$204="-","",UPPER(B_Drainage!$C$5:$C$204))),"")</f>
        <v/>
      </c>
      <c r="Q53" s="181" t="str">
        <f>IFERROR(LOOKUP(2,1/((B_Drainage!$A$5:$A$204&lt;&gt;"")*(B_Drainage!$A$5:$A$204&lt;=$B53)*(B_Drainage!$B$5:$B$204&gt;$B53)*(B_Drainage!$D$5:$D$204&lt;&gt;"")),IF(B_Drainage!$D$5:$D$204="-","",UPPER(B_Drainage!$D$5:$D$204))),"")</f>
        <v/>
      </c>
      <c r="R53" s="182" t="str">
        <f>IFERROR(LOOKUP(2,1/((D_Points!$A$5:$A$204&lt;&gt;"")*(D_Points!$A$5:$A$204&gt;=$B53)*(D_Points!$A$5:$A$204&lt;$B53+P_Interval)*(RIGHT(UPPER(TRIM(D_Points!$B$5:$B$204)),8)="_CULVERT")),IF(LEFT(UPPER(TRIM(D_Points!$B$5:$B$204)),2)="EX",1,IF(LEFT(UPPER(TRIM(D_Points!$B$5:$B$204)),2)="PR",2,3))),"")</f>
        <v/>
      </c>
      <c r="S53" s="182" t="str">
        <f>IFERROR(LOOKUP(2,1/((D_Points!$A$5:$A$204&lt;&gt;"")*(D_Points!$A$5:$A$204&gt;=$B53)*(D_Points!$A$5:$A$204&lt;$B53+P_Interval)*(RIGHT(UPPER(TRIM(D_Points!$B$5:$B$204)),7)="_BRIDGE")),IF(LEFT(UPPER(TRIM(D_Points!$B$5:$B$204)),2)="EX",1,IF(LEFT(UPPER(TRIM(D_Points!$B$5:$B$204)),2)="PR",2,2))),"")</f>
        <v/>
      </c>
      <c r="T53" s="181" t="str">
        <f>IFERROR(LOOKUP(2,1/((B_Drainage!$A$5:$A$204&lt;&gt;"")*(B_Drainage!$A$5:$A$204&lt;=$B53)*(B_Drainage!$B$5:$B$204&gt;$B53)*(B_Drainage!$E$5:$E$204&lt;&gt;"")),IF(B_Drainage!$E$5:$E$204="-","",1)),"")</f>
        <v/>
      </c>
      <c r="U53" s="181" t="str">
        <f>IFERROR(LOOKUP(2,1/((B_Drainage!$A$5:$A$204&lt;&gt;"")*(B_Drainage!$A$5:$A$204&lt;=$B53)*(B_Drainage!$B$5:$B$204&gt;$B53)*(B_Drainage!$E$5:$E$204&lt;&gt;"")),IF(B_Drainage!$E$5:$E$204="-","",B_Drainage!$E$5:$E$204)),"")</f>
        <v/>
      </c>
      <c r="V53" s="181" t="str">
        <f>IFERROR(LOOKUP(2,1/((B_Drainage!$A$5:$A$204&lt;&gt;"")*(B_Drainage!$A$5:$A$204&lt;=$B53)*(B_Drainage!$B$5:$B$204&gt;$B53)*(B_Drainage!$F$5:$F$204&lt;&gt;"")),IF(B_Drainage!$F$5:$F$204="-","",1)),"")</f>
        <v/>
      </c>
      <c r="W53" s="181" t="str">
        <f>IFERROR(LOOKUP(2,1/((B_Drainage!$A$5:$A$204&lt;&gt;"")*(B_Drainage!$A$5:$A$204&lt;=$B53)*(B_Drainage!$B$5:$B$204&gt;$B53)*(B_Drainage!$F$5:$F$204&lt;&gt;"")),IF(B_Drainage!$F$5:$F$204="-","",B_Drainage!$F$5:$F$204)),"")</f>
        <v/>
      </c>
      <c r="X53" s="181" t="str">
        <f>IFERROR(LOOKUP(2,1/((B_Drainage!$A$5:$A$204&lt;&gt;"")*(B_Drainage!$A$5:$A$204&lt;=$B53)*(B_Drainage!$B$5:$B$204&gt;$B53)*(B_Drainage!$G$5:$G$204&lt;&gt;"")),IF(UPPER(B_Drainage!$G$5:$G$204)="Y",1,"")),"")</f>
        <v/>
      </c>
      <c r="Y53" s="181" t="str">
        <f>IFERROR(LOOKUP(2,1/((B_Drainage!$A$5:$A$204&lt;&gt;"")*(B_Drainage!$A$5:$A$204&lt;=$B53)*(B_Drainage!$B$5:$B$204&gt;$B53)*(B_Drainage!$H$5:$H$204&lt;&gt;"")),IF(UPPER(B_Drainage!$H$5:$H$204)="Y",1,"")),"")</f>
        <v/>
      </c>
      <c r="Z53" s="181" t="str">
        <f>IFERROR(LOOKUP(2,1/((B_Drainage!$A$5:$A$204&lt;&gt;"")*(B_Drainage!$A$5:$A$204&lt;=$B53)*(B_Drainage!$B$5:$B$204&gt;$B53)*(B_Drainage!$I$5:$I$204&lt;&gt;"")),IF(UPPER(B_Drainage!$I$5:$I$204)="Y",1,"")),"")</f>
        <v/>
      </c>
      <c r="AA53" s="181" t="str">
        <f>IFERROR(LOOKUP(2,1/((B_Drainage!$A$5:$A$204&lt;&gt;"")*(B_Drainage!$A$5:$A$204&lt;=$B53)*(B_Drainage!$B$5:$B$204&gt;$B53)*(B_Drainage!$J$5:$J$204&lt;&gt;"")),IF(UPPER(B_Drainage!$J$5:$J$204)="Y",1,"")),"")</f>
        <v/>
      </c>
      <c r="AB53" s="182" t="str">
        <f>IFERROR(LOOKUP(2,1/((B_Drainage!$A$5:$A$204&lt;&gt;"")*(B_Drainage!$A$5:$A$204&lt;=$B53)*(B_Drainage!$B$5:$B$204&gt;$B53)*(B_Drainage!$K$5:$K$204&lt;&gt;"")),IF(B_Drainage!$K$5:$K$204="-","",B_Drainage!$K$5:$K$204)),"")</f>
        <v/>
      </c>
      <c r="AC53" s="182" t="str">
        <f>IFERROR(LOOKUP(2,1/((B_Drainage!$A$5:$A$204&lt;&gt;"")*(B_Drainage!$A$5:$A$204&lt;=$B53)*(B_Drainage!$B$5:$B$204&gt;$B53)*(B_Drainage!$L$5:$L$204&lt;&gt;"")),IF(B_Drainage!$L$5:$L$204="-","",B_Drainage!$L$5:$L$204)),"")</f>
        <v/>
      </c>
      <c r="AD53" s="182" t="str">
        <f>IFERROR(LOOKUP(2,1/((D_Points!$A$5:$A$204&lt;&gt;"")*(D_Points!$A$5:$A$204&gt;=$B53)*(D_Points!$A$5:$A$204&lt;$B53+P_Interval)*(UPPER(TRIM(D_Points!$B$5:$B$204))="TURNOUT_L")*(D_Points!$H$5:$H$204&lt;&gt;"")),D_Points!$H$5:$H$204),"")</f>
        <v/>
      </c>
      <c r="AE53" s="182" t="str">
        <f>IFERROR(LOOKUP(2,1/((D_Points!$A$5:$A$204&lt;&gt;"")*(D_Points!$A$5:$A$204&gt;=$B53)*(D_Points!$A$5:$A$204&lt;$B53+P_Interval)*(UPPER(TRIM(D_Points!$B$5:$B$204))="TURNOUT_R")*(D_Points!$H$5:$H$204&lt;&gt;"")),D_Points!$H$5:$H$204),"")</f>
        <v/>
      </c>
      <c r="AF53" s="181" t="str">
        <f>IFERROR(LOOKUP(2,1/((B_Drainage!$A$5:$A$204&lt;&gt;"")*(B_Drainage!$A$5:$A$204&lt;=$B53)*(B_Drainage!$B$5:$B$204&gt;$B53)*(B_Drainage!$M$5:$M$204&lt;&gt;"")),IF(UPPER(B_Drainage!$M$5:$M$204)="Y",1,"")),"")</f>
        <v/>
      </c>
      <c r="AG53" s="181" t="str">
        <f>IFERROR(LOOKUP(2,1/((B_Drainage!$A$5:$A$204&lt;&gt;"")*(B_Drainage!$A$5:$A$204&lt;=$B53)*(B_Drainage!$B$5:$B$204&gt;$B53)*(B_Drainage!$N$5:$N$204&lt;&gt;"")),IF(UPPER(B_Drainage!$N$5:$N$204)="Y",1,"")),"")</f>
        <v/>
      </c>
      <c r="AH53" s="181" t="str">
        <f t="shared" si="0"/>
        <v/>
      </c>
      <c r="AI53" s="181" t="str">
        <f t="shared" si="1"/>
        <v/>
      </c>
      <c r="AJ53" s="181" t="str">
        <f t="shared" si="2"/>
        <v/>
      </c>
      <c r="AK53" s="181" t="str">
        <f t="shared" si="3"/>
        <v/>
      </c>
      <c r="AL53" s="181" t="str">
        <f t="shared" si="4"/>
        <v/>
      </c>
      <c r="AM53" s="181" t="str">
        <f t="shared" si="5"/>
        <v/>
      </c>
      <c r="AN53" s="181" t="str">
        <f t="shared" si="6"/>
        <v/>
      </c>
      <c r="AO53" s="192" t="str">
        <f t="shared" si="7"/>
        <v/>
      </c>
      <c r="AQ53" t="str">
        <f>IFERROR(LOOKUP(2,1/((C_Pavement!$A$5:$A$204&lt;&gt;"")*(C_Pavement!$A$5:$A$204&lt;=$B53)*(C_Pavement!$B$5:$B$204&gt;$B53)*(C_Pavement!$C$5:$C$204&lt;&gt;"")),ROW(C_Pavement!$C$5:$C$204)-4),"")</f>
        <v/>
      </c>
      <c r="AR53" t="str">
        <f>IF($AQ53="","",UPPER(TRIM(INDEX(C_Pavement!$C$5:$C$204,$AQ53))))</f>
        <v/>
      </c>
      <c r="AS53" t="str">
        <f>IF($AR53="","",IFERROR(MATCH($AR53,E_Rules!$A$5:$A$9,0),""))</f>
        <v/>
      </c>
      <c r="AT53" t="str">
        <f>IF($AQ53="","",IF(INDEX(C_Pavement!$D$5:$D$204,$AQ53)&lt;&gt;"",UPPER(TRIM(INDEX(C_Pavement!$D$5:$D$204,$AQ53))),IF($AS53="","",INDEX(E_Rules!$C$5:$C$9,$AS53))))</f>
        <v/>
      </c>
      <c r="AU53" t="str">
        <f>IF($AQ53="","",IF(INDEX(C_Pavement!$E$5:$E$204,$AQ53)&lt;&gt;"",IF(INDEX(C_Pavement!$E$5:$E$204,$AQ53)="-","",INDEX(C_Pavement!$E$5:$E$204,$AQ53)),IF($AS53="","",INDEX(E_Rules!$D$5:$D$9,$AS53))))</f>
        <v/>
      </c>
      <c r="AV53" t="str">
        <f>IF($AQ53="","",IF(INDEX(C_Pavement!$F$5:$F$204,$AQ53)&lt;&gt;"",IF(INDEX(C_Pavement!$F$5:$F$204,$AQ53)="-","",INDEX(C_Pavement!$F$5:$F$204,$AQ53)),IF($AS53="","",INDEX(E_Rules!$E$5:$E$9,$AS53))))</f>
        <v/>
      </c>
      <c r="AW53" t="str">
        <f>IF($AQ53="","",IF(INDEX(C_Pavement!$G$5:$G$204,$AQ53)&lt;&gt;"",IF(INDEX(C_Pavement!$G$5:$G$204,$AQ53)="-","",INDEX(C_Pavement!$G$5:$G$204,$AQ53)),IF($AS53="","",INDEX(E_Rules!$F$5:$F$9,$AS53))))</f>
        <v/>
      </c>
      <c r="AX53" t="str">
        <f>IF($AQ53="","",IF(INDEX(C_Pavement!$H$5:$H$204,$AQ53)&lt;&gt;"",IF(INDEX(C_Pavement!$H$5:$H$204,$AQ53)="-","",INDEX(C_Pavement!$H$5:$H$204,$AQ53)),IF($AS53="","",INDEX(E_Rules!$G$5:$G$9,$AS53))))</f>
        <v/>
      </c>
      <c r="AY53" t="str">
        <f>IF($AQ53="","",IF(INDEX(C_Pavement!$I$5:$I$204,$AQ53)&lt;&gt;"",IF(INDEX(C_Pavement!$I$5:$I$204,$AQ53)="-","",INDEX(C_Pavement!$I$5:$I$204,$AQ53)),IF($AS53="","",INDEX(E_Rules!$H$5:$H$9,$AS53))))</f>
        <v/>
      </c>
    </row>
    <row r="54" spans="1:51" ht="15.75" customHeight="1" x14ac:dyDescent="0.3">
      <c r="A54" s="189">
        <v>49</v>
      </c>
      <c r="B54" s="180">
        <v>2400</v>
      </c>
      <c r="C54" s="180" t="s">
        <v>360</v>
      </c>
      <c r="D54" s="181" t="str">
        <f>IFERROR(LOOKUP(2,1/((A_Corridor!$A$5:$A$204&lt;&gt;"")*(A_Corridor!$A$5:$A$204&lt;=$B54)*(A_Corridor!$B$5:$B$204&gt;$B54)*(A_Corridor!$C$5:$C$204&lt;&gt;"")),IF(UPPER(A_Corridor!$C$5:$C$204)="Y",1,"")),"")</f>
        <v/>
      </c>
      <c r="E54" s="181" t="str">
        <f>IFERROR(LOOKUP(2,1/((A_Corridor!$A$5:$A$204&lt;&gt;"")*(A_Corridor!$A$5:$A$204&lt;=$B54)*(A_Corridor!$B$5:$B$204&gt;$B54)*(A_Corridor!$D$5:$D$204&lt;&gt;"")),IF(A_Corridor!$D$5:$D$204="-","",UPPER(A_Corridor!$D$5:$D$204))),"")</f>
        <v/>
      </c>
      <c r="F54" s="181" t="str">
        <f>IFERROR(LOOKUP(2,1/((A_Corridor!$A$5:$A$204&lt;&gt;"")*(A_Corridor!$A$5:$A$204&lt;=$B54)*(A_Corridor!$B$5:$B$204&gt;$B54)*(A_Corridor!$E$5:$E$204&lt;&gt;"")),IF(A_Corridor!$E$5:$E$204="-","",1)),"")</f>
        <v/>
      </c>
      <c r="G54" s="182" t="str">
        <f>IFERROR(LOOKUP(2,1/((A_Corridor!$A$5:$A$204&lt;&gt;"")*(A_Corridor!$A$5:$A$204&lt;=$B54)*(A_Corridor!$B$5:$B$204&gt;$B54)*(A_Corridor!$E$5:$E$204&lt;&gt;"")),IF(A_Corridor!$E$5:$E$204="-","",A_Corridor!$E$5:$E$204)),"")</f>
        <v/>
      </c>
      <c r="H54" s="182" t="str">
        <f>IFERROR(LOOKUP(2,1/((D_Points!$A$5:$A$204&lt;&gt;"")*(D_Points!$A$5:$A$204&gt;=$B54)*(D_Points!$A$5:$A$204&lt;$B54+P_Interval)*(UPPER(TRIM(D_Points!$B$5:$B$204))="GULLY")*(D_Points!$H$5:$H$204&lt;&gt;"")),D_Points!$H$5:$H$204),"")</f>
        <v/>
      </c>
      <c r="I54" s="181" t="str">
        <f>IFERROR(LOOKUP(2,1/((A_Corridor!$A$5:$A$204&lt;&gt;"")*(A_Corridor!$A$5:$A$204&lt;=$B54)*(A_Corridor!$B$5:$B$204&gt;$B54)*(A_Corridor!$F$5:$F$204&lt;&gt;"")),IF(A_Corridor!$F$5:$F$204="-","",1)),"")</f>
        <v/>
      </c>
      <c r="J54" s="182" t="str">
        <f>IFERROR(LOOKUP(2,1/((A_Corridor!$A$5:$A$204&lt;&gt;"")*(A_Corridor!$A$5:$A$204&lt;=$B54)*(A_Corridor!$B$5:$B$204&gt;$B54)*(A_Corridor!$F$5:$F$204&lt;&gt;"")),IF(A_Corridor!$F$5:$F$204="-","",A_Corridor!$F$5:$F$204)),"")</f>
        <v/>
      </c>
      <c r="K54" s="182" t="str">
        <f>IFERROR(LOOKUP(2,1/((A_Corridor!$A$5:$A$204&lt;&gt;"")*(A_Corridor!$A$5:$A$204&lt;=$B54)*(A_Corridor!$B$5:$B$204&gt;$B54)*(A_Corridor!$G$5:$G$204&lt;&gt;"")),IF(A_Corridor!$G$5:$G$204="-","",A_Corridor!$G$5:$G$204)),"")</f>
        <v/>
      </c>
      <c r="L54" s="181" t="str">
        <f>IFERROR(LOOKUP(2,1/((A_Corridor!$A$5:$A$204&lt;&gt;"")*(A_Corridor!$A$5:$A$204&lt;=$B54)*(A_Corridor!$B$5:$B$204&gt;$B54)*(A_Corridor!$H$5:$H$204&lt;&gt;"")),IF(A_Corridor!$H$5:$H$204="-","",1)),"")</f>
        <v/>
      </c>
      <c r="M54" s="182" t="str">
        <f>IFERROR(LOOKUP(2,1/((A_Corridor!$A$5:$A$204&lt;&gt;"")*(A_Corridor!$A$5:$A$204&lt;=$B54)*(A_Corridor!$B$5:$B$204&gt;$B54)*(A_Corridor!$H$5:$H$204&lt;&gt;"")),IF(A_Corridor!$H$5:$H$204="-","",A_Corridor!$H$5:$H$204)),"")</f>
        <v/>
      </c>
      <c r="N54" s="182" t="str">
        <f>IFERROR(LOOKUP(2,1/((A_Corridor!$A$5:$A$204&lt;&gt;"")*(A_Corridor!$A$5:$A$204&lt;=$B54)*(A_Corridor!$B$5:$B$204&gt;$B54)*(A_Corridor!$I$5:$I$204&lt;&gt;"")),IF(A_Corridor!$I$5:$I$204="-","",A_Corridor!$I$5:$I$204)),"")</f>
        <v/>
      </c>
      <c r="O54" s="182" t="str">
        <f>IFERROR(LOOKUP(2,1/((D_Points!$A$5:$A$204&lt;&gt;"")*(D_Points!$A$5:$A$204&gt;=$B54)*(D_Points!$A$5:$A$204&lt;$B54+P_Interval)*(UPPER(TRIM(D_Points!$B$5:$B$204))="PITCHING")*(D_Points!$H$5:$H$204&lt;&gt;"")),D_Points!$H$5:$H$204),"")</f>
        <v/>
      </c>
      <c r="P54" s="181" t="str">
        <f>IFERROR(LOOKUP(2,1/((B_Drainage!$A$5:$A$204&lt;&gt;"")*(B_Drainage!$A$5:$A$204&lt;=$B54)*(B_Drainage!$B$5:$B$204&gt;$B54)*(B_Drainage!$C$5:$C$204&lt;&gt;"")),IF(B_Drainage!$C$5:$C$204="-","",UPPER(B_Drainage!$C$5:$C$204))),"")</f>
        <v/>
      </c>
      <c r="Q54" s="181" t="str">
        <f>IFERROR(LOOKUP(2,1/((B_Drainage!$A$5:$A$204&lt;&gt;"")*(B_Drainage!$A$5:$A$204&lt;=$B54)*(B_Drainage!$B$5:$B$204&gt;$B54)*(B_Drainage!$D$5:$D$204&lt;&gt;"")),IF(B_Drainage!$D$5:$D$204="-","",UPPER(B_Drainage!$D$5:$D$204))),"")</f>
        <v/>
      </c>
      <c r="R54" s="182" t="str">
        <f>IFERROR(LOOKUP(2,1/((D_Points!$A$5:$A$204&lt;&gt;"")*(D_Points!$A$5:$A$204&gt;=$B54)*(D_Points!$A$5:$A$204&lt;$B54+P_Interval)*(RIGHT(UPPER(TRIM(D_Points!$B$5:$B$204)),8)="_CULVERT")),IF(LEFT(UPPER(TRIM(D_Points!$B$5:$B$204)),2)="EX",1,IF(LEFT(UPPER(TRIM(D_Points!$B$5:$B$204)),2)="PR",2,3))),"")</f>
        <v/>
      </c>
      <c r="S54" s="182" t="str">
        <f>IFERROR(LOOKUP(2,1/((D_Points!$A$5:$A$204&lt;&gt;"")*(D_Points!$A$5:$A$204&gt;=$B54)*(D_Points!$A$5:$A$204&lt;$B54+P_Interval)*(RIGHT(UPPER(TRIM(D_Points!$B$5:$B$204)),7)="_BRIDGE")),IF(LEFT(UPPER(TRIM(D_Points!$B$5:$B$204)),2)="EX",1,IF(LEFT(UPPER(TRIM(D_Points!$B$5:$B$204)),2)="PR",2,2))),"")</f>
        <v/>
      </c>
      <c r="T54" s="181" t="str">
        <f>IFERROR(LOOKUP(2,1/((B_Drainage!$A$5:$A$204&lt;&gt;"")*(B_Drainage!$A$5:$A$204&lt;=$B54)*(B_Drainage!$B$5:$B$204&gt;$B54)*(B_Drainage!$E$5:$E$204&lt;&gt;"")),IF(B_Drainage!$E$5:$E$204="-","",1)),"")</f>
        <v/>
      </c>
      <c r="U54" s="181" t="str">
        <f>IFERROR(LOOKUP(2,1/((B_Drainage!$A$5:$A$204&lt;&gt;"")*(B_Drainage!$A$5:$A$204&lt;=$B54)*(B_Drainage!$B$5:$B$204&gt;$B54)*(B_Drainage!$E$5:$E$204&lt;&gt;"")),IF(B_Drainage!$E$5:$E$204="-","",B_Drainage!$E$5:$E$204)),"")</f>
        <v/>
      </c>
      <c r="V54" s="181" t="str">
        <f>IFERROR(LOOKUP(2,1/((B_Drainage!$A$5:$A$204&lt;&gt;"")*(B_Drainage!$A$5:$A$204&lt;=$B54)*(B_Drainage!$B$5:$B$204&gt;$B54)*(B_Drainage!$F$5:$F$204&lt;&gt;"")),IF(B_Drainage!$F$5:$F$204="-","",1)),"")</f>
        <v/>
      </c>
      <c r="W54" s="181" t="str">
        <f>IFERROR(LOOKUP(2,1/((B_Drainage!$A$5:$A$204&lt;&gt;"")*(B_Drainage!$A$5:$A$204&lt;=$B54)*(B_Drainage!$B$5:$B$204&gt;$B54)*(B_Drainage!$F$5:$F$204&lt;&gt;"")),IF(B_Drainage!$F$5:$F$204="-","",B_Drainage!$F$5:$F$204)),"")</f>
        <v/>
      </c>
      <c r="X54" s="181" t="str">
        <f>IFERROR(LOOKUP(2,1/((B_Drainage!$A$5:$A$204&lt;&gt;"")*(B_Drainage!$A$5:$A$204&lt;=$B54)*(B_Drainage!$B$5:$B$204&gt;$B54)*(B_Drainage!$G$5:$G$204&lt;&gt;"")),IF(UPPER(B_Drainage!$G$5:$G$204)="Y",1,"")),"")</f>
        <v/>
      </c>
      <c r="Y54" s="181" t="str">
        <f>IFERROR(LOOKUP(2,1/((B_Drainage!$A$5:$A$204&lt;&gt;"")*(B_Drainage!$A$5:$A$204&lt;=$B54)*(B_Drainage!$B$5:$B$204&gt;$B54)*(B_Drainage!$H$5:$H$204&lt;&gt;"")),IF(UPPER(B_Drainage!$H$5:$H$204)="Y",1,"")),"")</f>
        <v/>
      </c>
      <c r="Z54" s="181" t="str">
        <f>IFERROR(LOOKUP(2,1/((B_Drainage!$A$5:$A$204&lt;&gt;"")*(B_Drainage!$A$5:$A$204&lt;=$B54)*(B_Drainage!$B$5:$B$204&gt;$B54)*(B_Drainage!$I$5:$I$204&lt;&gt;"")),IF(UPPER(B_Drainage!$I$5:$I$204)="Y",1,"")),"")</f>
        <v/>
      </c>
      <c r="AA54" s="181" t="str">
        <f>IFERROR(LOOKUP(2,1/((B_Drainage!$A$5:$A$204&lt;&gt;"")*(B_Drainage!$A$5:$A$204&lt;=$B54)*(B_Drainage!$B$5:$B$204&gt;$B54)*(B_Drainage!$J$5:$J$204&lt;&gt;"")),IF(UPPER(B_Drainage!$J$5:$J$204)="Y",1,"")),"")</f>
        <v/>
      </c>
      <c r="AB54" s="182" t="str">
        <f>IFERROR(LOOKUP(2,1/((B_Drainage!$A$5:$A$204&lt;&gt;"")*(B_Drainage!$A$5:$A$204&lt;=$B54)*(B_Drainage!$B$5:$B$204&gt;$B54)*(B_Drainage!$K$5:$K$204&lt;&gt;"")),IF(B_Drainage!$K$5:$K$204="-","",B_Drainage!$K$5:$K$204)),"")</f>
        <v/>
      </c>
      <c r="AC54" s="182" t="str">
        <f>IFERROR(LOOKUP(2,1/((B_Drainage!$A$5:$A$204&lt;&gt;"")*(B_Drainage!$A$5:$A$204&lt;=$B54)*(B_Drainage!$B$5:$B$204&gt;$B54)*(B_Drainage!$L$5:$L$204&lt;&gt;"")),IF(B_Drainage!$L$5:$L$204="-","",B_Drainage!$L$5:$L$204)),"")</f>
        <v/>
      </c>
      <c r="AD54" s="182" t="str">
        <f>IFERROR(LOOKUP(2,1/((D_Points!$A$5:$A$204&lt;&gt;"")*(D_Points!$A$5:$A$204&gt;=$B54)*(D_Points!$A$5:$A$204&lt;$B54+P_Interval)*(UPPER(TRIM(D_Points!$B$5:$B$204))="TURNOUT_L")*(D_Points!$H$5:$H$204&lt;&gt;"")),D_Points!$H$5:$H$204),"")</f>
        <v/>
      </c>
      <c r="AE54" s="182" t="str">
        <f>IFERROR(LOOKUP(2,1/((D_Points!$A$5:$A$204&lt;&gt;"")*(D_Points!$A$5:$A$204&gt;=$B54)*(D_Points!$A$5:$A$204&lt;$B54+P_Interval)*(UPPER(TRIM(D_Points!$B$5:$B$204))="TURNOUT_R")*(D_Points!$H$5:$H$204&lt;&gt;"")),D_Points!$H$5:$H$204),"")</f>
        <v/>
      </c>
      <c r="AF54" s="181" t="str">
        <f>IFERROR(LOOKUP(2,1/((B_Drainage!$A$5:$A$204&lt;&gt;"")*(B_Drainage!$A$5:$A$204&lt;=$B54)*(B_Drainage!$B$5:$B$204&gt;$B54)*(B_Drainage!$M$5:$M$204&lt;&gt;"")),IF(UPPER(B_Drainage!$M$5:$M$204)="Y",1,"")),"")</f>
        <v/>
      </c>
      <c r="AG54" s="181" t="str">
        <f>IFERROR(LOOKUP(2,1/((B_Drainage!$A$5:$A$204&lt;&gt;"")*(B_Drainage!$A$5:$A$204&lt;=$B54)*(B_Drainage!$B$5:$B$204&gt;$B54)*(B_Drainage!$N$5:$N$204&lt;&gt;"")),IF(UPPER(B_Drainage!$N$5:$N$204)="Y",1,"")),"")</f>
        <v/>
      </c>
      <c r="AH54" s="181" t="str">
        <f t="shared" si="0"/>
        <v/>
      </c>
      <c r="AI54" s="181" t="str">
        <f t="shared" si="1"/>
        <v/>
      </c>
      <c r="AJ54" s="181" t="str">
        <f t="shared" si="2"/>
        <v/>
      </c>
      <c r="AK54" s="181" t="str">
        <f t="shared" si="3"/>
        <v/>
      </c>
      <c r="AL54" s="181" t="str">
        <f t="shared" si="4"/>
        <v/>
      </c>
      <c r="AM54" s="181" t="str">
        <f t="shared" si="5"/>
        <v/>
      </c>
      <c r="AN54" s="181" t="str">
        <f t="shared" si="6"/>
        <v/>
      </c>
      <c r="AO54" s="192" t="str">
        <f t="shared" si="7"/>
        <v/>
      </c>
      <c r="AQ54" t="str">
        <f>IFERROR(LOOKUP(2,1/((C_Pavement!$A$5:$A$204&lt;&gt;"")*(C_Pavement!$A$5:$A$204&lt;=$B54)*(C_Pavement!$B$5:$B$204&gt;$B54)*(C_Pavement!$C$5:$C$204&lt;&gt;"")),ROW(C_Pavement!$C$5:$C$204)-4),"")</f>
        <v/>
      </c>
      <c r="AR54" t="str">
        <f>IF($AQ54="","",UPPER(TRIM(INDEX(C_Pavement!$C$5:$C$204,$AQ54))))</f>
        <v/>
      </c>
      <c r="AS54" t="str">
        <f>IF($AR54="","",IFERROR(MATCH($AR54,E_Rules!$A$5:$A$9,0),""))</f>
        <v/>
      </c>
      <c r="AT54" t="str">
        <f>IF($AQ54="","",IF(INDEX(C_Pavement!$D$5:$D$204,$AQ54)&lt;&gt;"",UPPER(TRIM(INDEX(C_Pavement!$D$5:$D$204,$AQ54))),IF($AS54="","",INDEX(E_Rules!$C$5:$C$9,$AS54))))</f>
        <v/>
      </c>
      <c r="AU54" t="str">
        <f>IF($AQ54="","",IF(INDEX(C_Pavement!$E$5:$E$204,$AQ54)&lt;&gt;"",IF(INDEX(C_Pavement!$E$5:$E$204,$AQ54)="-","",INDEX(C_Pavement!$E$5:$E$204,$AQ54)),IF($AS54="","",INDEX(E_Rules!$D$5:$D$9,$AS54))))</f>
        <v/>
      </c>
      <c r="AV54" t="str">
        <f>IF($AQ54="","",IF(INDEX(C_Pavement!$F$5:$F$204,$AQ54)&lt;&gt;"",IF(INDEX(C_Pavement!$F$5:$F$204,$AQ54)="-","",INDEX(C_Pavement!$F$5:$F$204,$AQ54)),IF($AS54="","",INDEX(E_Rules!$E$5:$E$9,$AS54))))</f>
        <v/>
      </c>
      <c r="AW54" t="str">
        <f>IF($AQ54="","",IF(INDEX(C_Pavement!$G$5:$G$204,$AQ54)&lt;&gt;"",IF(INDEX(C_Pavement!$G$5:$G$204,$AQ54)="-","",INDEX(C_Pavement!$G$5:$G$204,$AQ54)),IF($AS54="","",INDEX(E_Rules!$F$5:$F$9,$AS54))))</f>
        <v/>
      </c>
      <c r="AX54" t="str">
        <f>IF($AQ54="","",IF(INDEX(C_Pavement!$H$5:$H$204,$AQ54)&lt;&gt;"",IF(INDEX(C_Pavement!$H$5:$H$204,$AQ54)="-","",INDEX(C_Pavement!$H$5:$H$204,$AQ54)),IF($AS54="","",INDEX(E_Rules!$G$5:$G$9,$AS54))))</f>
        <v/>
      </c>
      <c r="AY54" t="str">
        <f>IF($AQ54="","",IF(INDEX(C_Pavement!$I$5:$I$204,$AQ54)&lt;&gt;"",IF(INDEX(C_Pavement!$I$5:$I$204,$AQ54)="-","",INDEX(C_Pavement!$I$5:$I$204,$AQ54)),IF($AS54="","",INDEX(E_Rules!$H$5:$H$9,$AS54))))</f>
        <v/>
      </c>
    </row>
    <row r="55" spans="1:51" ht="15.75" customHeight="1" x14ac:dyDescent="0.3">
      <c r="A55" s="189">
        <v>50</v>
      </c>
      <c r="B55" s="180">
        <v>2450</v>
      </c>
      <c r="C55" s="180" t="s">
        <v>361</v>
      </c>
      <c r="D55" s="181" t="str">
        <f>IFERROR(LOOKUP(2,1/((A_Corridor!$A$5:$A$204&lt;&gt;"")*(A_Corridor!$A$5:$A$204&lt;=$B55)*(A_Corridor!$B$5:$B$204&gt;$B55)*(A_Corridor!$C$5:$C$204&lt;&gt;"")),IF(UPPER(A_Corridor!$C$5:$C$204)="Y",1,"")),"")</f>
        <v/>
      </c>
      <c r="E55" s="181" t="str">
        <f>IFERROR(LOOKUP(2,1/((A_Corridor!$A$5:$A$204&lt;&gt;"")*(A_Corridor!$A$5:$A$204&lt;=$B55)*(A_Corridor!$B$5:$B$204&gt;$B55)*(A_Corridor!$D$5:$D$204&lt;&gt;"")),IF(A_Corridor!$D$5:$D$204="-","",UPPER(A_Corridor!$D$5:$D$204))),"")</f>
        <v/>
      </c>
      <c r="F55" s="181" t="str">
        <f>IFERROR(LOOKUP(2,1/((A_Corridor!$A$5:$A$204&lt;&gt;"")*(A_Corridor!$A$5:$A$204&lt;=$B55)*(A_Corridor!$B$5:$B$204&gt;$B55)*(A_Corridor!$E$5:$E$204&lt;&gt;"")),IF(A_Corridor!$E$5:$E$204="-","",1)),"")</f>
        <v/>
      </c>
      <c r="G55" s="182" t="str">
        <f>IFERROR(LOOKUP(2,1/((A_Corridor!$A$5:$A$204&lt;&gt;"")*(A_Corridor!$A$5:$A$204&lt;=$B55)*(A_Corridor!$B$5:$B$204&gt;$B55)*(A_Corridor!$E$5:$E$204&lt;&gt;"")),IF(A_Corridor!$E$5:$E$204="-","",A_Corridor!$E$5:$E$204)),"")</f>
        <v/>
      </c>
      <c r="H55" s="182" t="str">
        <f>IFERROR(LOOKUP(2,1/((D_Points!$A$5:$A$204&lt;&gt;"")*(D_Points!$A$5:$A$204&gt;=$B55)*(D_Points!$A$5:$A$204&lt;$B55+P_Interval)*(UPPER(TRIM(D_Points!$B$5:$B$204))="GULLY")*(D_Points!$H$5:$H$204&lt;&gt;"")),D_Points!$H$5:$H$204),"")</f>
        <v/>
      </c>
      <c r="I55" s="181" t="str">
        <f>IFERROR(LOOKUP(2,1/((A_Corridor!$A$5:$A$204&lt;&gt;"")*(A_Corridor!$A$5:$A$204&lt;=$B55)*(A_Corridor!$B$5:$B$204&gt;$B55)*(A_Corridor!$F$5:$F$204&lt;&gt;"")),IF(A_Corridor!$F$5:$F$204="-","",1)),"")</f>
        <v/>
      </c>
      <c r="J55" s="182" t="str">
        <f>IFERROR(LOOKUP(2,1/((A_Corridor!$A$5:$A$204&lt;&gt;"")*(A_Corridor!$A$5:$A$204&lt;=$B55)*(A_Corridor!$B$5:$B$204&gt;$B55)*(A_Corridor!$F$5:$F$204&lt;&gt;"")),IF(A_Corridor!$F$5:$F$204="-","",A_Corridor!$F$5:$F$204)),"")</f>
        <v/>
      </c>
      <c r="K55" s="182" t="str">
        <f>IFERROR(LOOKUP(2,1/((A_Corridor!$A$5:$A$204&lt;&gt;"")*(A_Corridor!$A$5:$A$204&lt;=$B55)*(A_Corridor!$B$5:$B$204&gt;$B55)*(A_Corridor!$G$5:$G$204&lt;&gt;"")),IF(A_Corridor!$G$5:$G$204="-","",A_Corridor!$G$5:$G$204)),"")</f>
        <v/>
      </c>
      <c r="L55" s="181" t="str">
        <f>IFERROR(LOOKUP(2,1/((A_Corridor!$A$5:$A$204&lt;&gt;"")*(A_Corridor!$A$5:$A$204&lt;=$B55)*(A_Corridor!$B$5:$B$204&gt;$B55)*(A_Corridor!$H$5:$H$204&lt;&gt;"")),IF(A_Corridor!$H$5:$H$204="-","",1)),"")</f>
        <v/>
      </c>
      <c r="M55" s="182" t="str">
        <f>IFERROR(LOOKUP(2,1/((A_Corridor!$A$5:$A$204&lt;&gt;"")*(A_Corridor!$A$5:$A$204&lt;=$B55)*(A_Corridor!$B$5:$B$204&gt;$B55)*(A_Corridor!$H$5:$H$204&lt;&gt;"")),IF(A_Corridor!$H$5:$H$204="-","",A_Corridor!$H$5:$H$204)),"")</f>
        <v/>
      </c>
      <c r="N55" s="182" t="str">
        <f>IFERROR(LOOKUP(2,1/((A_Corridor!$A$5:$A$204&lt;&gt;"")*(A_Corridor!$A$5:$A$204&lt;=$B55)*(A_Corridor!$B$5:$B$204&gt;$B55)*(A_Corridor!$I$5:$I$204&lt;&gt;"")),IF(A_Corridor!$I$5:$I$204="-","",A_Corridor!$I$5:$I$204)),"")</f>
        <v/>
      </c>
      <c r="O55" s="182" t="str">
        <f>IFERROR(LOOKUP(2,1/((D_Points!$A$5:$A$204&lt;&gt;"")*(D_Points!$A$5:$A$204&gt;=$B55)*(D_Points!$A$5:$A$204&lt;$B55+P_Interval)*(UPPER(TRIM(D_Points!$B$5:$B$204))="PITCHING")*(D_Points!$H$5:$H$204&lt;&gt;"")),D_Points!$H$5:$H$204),"")</f>
        <v/>
      </c>
      <c r="P55" s="181" t="str">
        <f>IFERROR(LOOKUP(2,1/((B_Drainage!$A$5:$A$204&lt;&gt;"")*(B_Drainage!$A$5:$A$204&lt;=$B55)*(B_Drainage!$B$5:$B$204&gt;$B55)*(B_Drainage!$C$5:$C$204&lt;&gt;"")),IF(B_Drainage!$C$5:$C$204="-","",UPPER(B_Drainage!$C$5:$C$204))),"")</f>
        <v/>
      </c>
      <c r="Q55" s="181" t="str">
        <f>IFERROR(LOOKUP(2,1/((B_Drainage!$A$5:$A$204&lt;&gt;"")*(B_Drainage!$A$5:$A$204&lt;=$B55)*(B_Drainage!$B$5:$B$204&gt;$B55)*(B_Drainage!$D$5:$D$204&lt;&gt;"")),IF(B_Drainage!$D$5:$D$204="-","",UPPER(B_Drainage!$D$5:$D$204))),"")</f>
        <v/>
      </c>
      <c r="R55" s="182" t="str">
        <f>IFERROR(LOOKUP(2,1/((D_Points!$A$5:$A$204&lt;&gt;"")*(D_Points!$A$5:$A$204&gt;=$B55)*(D_Points!$A$5:$A$204&lt;$B55+P_Interval)*(RIGHT(UPPER(TRIM(D_Points!$B$5:$B$204)),8)="_CULVERT")),IF(LEFT(UPPER(TRIM(D_Points!$B$5:$B$204)),2)="EX",1,IF(LEFT(UPPER(TRIM(D_Points!$B$5:$B$204)),2)="PR",2,3))),"")</f>
        <v/>
      </c>
      <c r="S55" s="182" t="str">
        <f>IFERROR(LOOKUP(2,1/((D_Points!$A$5:$A$204&lt;&gt;"")*(D_Points!$A$5:$A$204&gt;=$B55)*(D_Points!$A$5:$A$204&lt;$B55+P_Interval)*(RIGHT(UPPER(TRIM(D_Points!$B$5:$B$204)),7)="_BRIDGE")),IF(LEFT(UPPER(TRIM(D_Points!$B$5:$B$204)),2)="EX",1,IF(LEFT(UPPER(TRIM(D_Points!$B$5:$B$204)),2)="PR",2,2))),"")</f>
        <v/>
      </c>
      <c r="T55" s="181" t="str">
        <f>IFERROR(LOOKUP(2,1/((B_Drainage!$A$5:$A$204&lt;&gt;"")*(B_Drainage!$A$5:$A$204&lt;=$B55)*(B_Drainage!$B$5:$B$204&gt;$B55)*(B_Drainage!$E$5:$E$204&lt;&gt;"")),IF(B_Drainage!$E$5:$E$204="-","",1)),"")</f>
        <v/>
      </c>
      <c r="U55" s="181" t="str">
        <f>IFERROR(LOOKUP(2,1/((B_Drainage!$A$5:$A$204&lt;&gt;"")*(B_Drainage!$A$5:$A$204&lt;=$B55)*(B_Drainage!$B$5:$B$204&gt;$B55)*(B_Drainage!$E$5:$E$204&lt;&gt;"")),IF(B_Drainage!$E$5:$E$204="-","",B_Drainage!$E$5:$E$204)),"")</f>
        <v/>
      </c>
      <c r="V55" s="181" t="str">
        <f>IFERROR(LOOKUP(2,1/((B_Drainage!$A$5:$A$204&lt;&gt;"")*(B_Drainage!$A$5:$A$204&lt;=$B55)*(B_Drainage!$B$5:$B$204&gt;$B55)*(B_Drainage!$F$5:$F$204&lt;&gt;"")),IF(B_Drainage!$F$5:$F$204="-","",1)),"")</f>
        <v/>
      </c>
      <c r="W55" s="181" t="str">
        <f>IFERROR(LOOKUP(2,1/((B_Drainage!$A$5:$A$204&lt;&gt;"")*(B_Drainage!$A$5:$A$204&lt;=$B55)*(B_Drainage!$B$5:$B$204&gt;$B55)*(B_Drainage!$F$5:$F$204&lt;&gt;"")),IF(B_Drainage!$F$5:$F$204="-","",B_Drainage!$F$5:$F$204)),"")</f>
        <v/>
      </c>
      <c r="X55" s="181" t="str">
        <f>IFERROR(LOOKUP(2,1/((B_Drainage!$A$5:$A$204&lt;&gt;"")*(B_Drainage!$A$5:$A$204&lt;=$B55)*(B_Drainage!$B$5:$B$204&gt;$B55)*(B_Drainage!$G$5:$G$204&lt;&gt;"")),IF(UPPER(B_Drainage!$G$5:$G$204)="Y",1,"")),"")</f>
        <v/>
      </c>
      <c r="Y55" s="181" t="str">
        <f>IFERROR(LOOKUP(2,1/((B_Drainage!$A$5:$A$204&lt;&gt;"")*(B_Drainage!$A$5:$A$204&lt;=$B55)*(B_Drainage!$B$5:$B$204&gt;$B55)*(B_Drainage!$H$5:$H$204&lt;&gt;"")),IF(UPPER(B_Drainage!$H$5:$H$204)="Y",1,"")),"")</f>
        <v/>
      </c>
      <c r="Z55" s="181" t="str">
        <f>IFERROR(LOOKUP(2,1/((B_Drainage!$A$5:$A$204&lt;&gt;"")*(B_Drainage!$A$5:$A$204&lt;=$B55)*(B_Drainage!$B$5:$B$204&gt;$B55)*(B_Drainage!$I$5:$I$204&lt;&gt;"")),IF(UPPER(B_Drainage!$I$5:$I$204)="Y",1,"")),"")</f>
        <v/>
      </c>
      <c r="AA55" s="181" t="str">
        <f>IFERROR(LOOKUP(2,1/((B_Drainage!$A$5:$A$204&lt;&gt;"")*(B_Drainage!$A$5:$A$204&lt;=$B55)*(B_Drainage!$B$5:$B$204&gt;$B55)*(B_Drainage!$J$5:$J$204&lt;&gt;"")),IF(UPPER(B_Drainage!$J$5:$J$204)="Y",1,"")),"")</f>
        <v/>
      </c>
      <c r="AB55" s="182" t="str">
        <f>IFERROR(LOOKUP(2,1/((B_Drainage!$A$5:$A$204&lt;&gt;"")*(B_Drainage!$A$5:$A$204&lt;=$B55)*(B_Drainage!$B$5:$B$204&gt;$B55)*(B_Drainage!$K$5:$K$204&lt;&gt;"")),IF(B_Drainage!$K$5:$K$204="-","",B_Drainage!$K$5:$K$204)),"")</f>
        <v/>
      </c>
      <c r="AC55" s="182" t="str">
        <f>IFERROR(LOOKUP(2,1/((B_Drainage!$A$5:$A$204&lt;&gt;"")*(B_Drainage!$A$5:$A$204&lt;=$B55)*(B_Drainage!$B$5:$B$204&gt;$B55)*(B_Drainage!$L$5:$L$204&lt;&gt;"")),IF(B_Drainage!$L$5:$L$204="-","",B_Drainage!$L$5:$L$204)),"")</f>
        <v/>
      </c>
      <c r="AD55" s="182" t="str">
        <f>IFERROR(LOOKUP(2,1/((D_Points!$A$5:$A$204&lt;&gt;"")*(D_Points!$A$5:$A$204&gt;=$B55)*(D_Points!$A$5:$A$204&lt;$B55+P_Interval)*(UPPER(TRIM(D_Points!$B$5:$B$204))="TURNOUT_L")*(D_Points!$H$5:$H$204&lt;&gt;"")),D_Points!$H$5:$H$204),"")</f>
        <v/>
      </c>
      <c r="AE55" s="182" t="str">
        <f>IFERROR(LOOKUP(2,1/((D_Points!$A$5:$A$204&lt;&gt;"")*(D_Points!$A$5:$A$204&gt;=$B55)*(D_Points!$A$5:$A$204&lt;$B55+P_Interval)*(UPPER(TRIM(D_Points!$B$5:$B$204))="TURNOUT_R")*(D_Points!$H$5:$H$204&lt;&gt;"")),D_Points!$H$5:$H$204),"")</f>
        <v/>
      </c>
      <c r="AF55" s="181" t="str">
        <f>IFERROR(LOOKUP(2,1/((B_Drainage!$A$5:$A$204&lt;&gt;"")*(B_Drainage!$A$5:$A$204&lt;=$B55)*(B_Drainage!$B$5:$B$204&gt;$B55)*(B_Drainage!$M$5:$M$204&lt;&gt;"")),IF(UPPER(B_Drainage!$M$5:$M$204)="Y",1,"")),"")</f>
        <v/>
      </c>
      <c r="AG55" s="181" t="str">
        <f>IFERROR(LOOKUP(2,1/((B_Drainage!$A$5:$A$204&lt;&gt;"")*(B_Drainage!$A$5:$A$204&lt;=$B55)*(B_Drainage!$B$5:$B$204&gt;$B55)*(B_Drainage!$N$5:$N$204&lt;&gt;"")),IF(UPPER(B_Drainage!$N$5:$N$204)="Y",1,"")),"")</f>
        <v/>
      </c>
      <c r="AH55" s="181" t="str">
        <f t="shared" si="0"/>
        <v/>
      </c>
      <c r="AI55" s="181" t="str">
        <f t="shared" si="1"/>
        <v/>
      </c>
      <c r="AJ55" s="181" t="str">
        <f t="shared" si="2"/>
        <v/>
      </c>
      <c r="AK55" s="181" t="str">
        <f t="shared" si="3"/>
        <v/>
      </c>
      <c r="AL55" s="181" t="str">
        <f t="shared" si="4"/>
        <v/>
      </c>
      <c r="AM55" s="181" t="str">
        <f t="shared" si="5"/>
        <v/>
      </c>
      <c r="AN55" s="181" t="str">
        <f t="shared" si="6"/>
        <v/>
      </c>
      <c r="AO55" s="192" t="str">
        <f t="shared" si="7"/>
        <v/>
      </c>
      <c r="AQ55" t="str">
        <f>IFERROR(LOOKUP(2,1/((C_Pavement!$A$5:$A$204&lt;&gt;"")*(C_Pavement!$A$5:$A$204&lt;=$B55)*(C_Pavement!$B$5:$B$204&gt;$B55)*(C_Pavement!$C$5:$C$204&lt;&gt;"")),ROW(C_Pavement!$C$5:$C$204)-4),"")</f>
        <v/>
      </c>
      <c r="AR55" t="str">
        <f>IF($AQ55="","",UPPER(TRIM(INDEX(C_Pavement!$C$5:$C$204,$AQ55))))</f>
        <v/>
      </c>
      <c r="AS55" t="str">
        <f>IF($AR55="","",IFERROR(MATCH($AR55,E_Rules!$A$5:$A$9,0),""))</f>
        <v/>
      </c>
      <c r="AT55" t="str">
        <f>IF($AQ55="","",IF(INDEX(C_Pavement!$D$5:$D$204,$AQ55)&lt;&gt;"",UPPER(TRIM(INDEX(C_Pavement!$D$5:$D$204,$AQ55))),IF($AS55="","",INDEX(E_Rules!$C$5:$C$9,$AS55))))</f>
        <v/>
      </c>
      <c r="AU55" t="str">
        <f>IF($AQ55="","",IF(INDEX(C_Pavement!$E$5:$E$204,$AQ55)&lt;&gt;"",IF(INDEX(C_Pavement!$E$5:$E$204,$AQ55)="-","",INDEX(C_Pavement!$E$5:$E$204,$AQ55)),IF($AS55="","",INDEX(E_Rules!$D$5:$D$9,$AS55))))</f>
        <v/>
      </c>
      <c r="AV55" t="str">
        <f>IF($AQ55="","",IF(INDEX(C_Pavement!$F$5:$F$204,$AQ55)&lt;&gt;"",IF(INDEX(C_Pavement!$F$5:$F$204,$AQ55)="-","",INDEX(C_Pavement!$F$5:$F$204,$AQ55)),IF($AS55="","",INDEX(E_Rules!$E$5:$E$9,$AS55))))</f>
        <v/>
      </c>
      <c r="AW55" t="str">
        <f>IF($AQ55="","",IF(INDEX(C_Pavement!$G$5:$G$204,$AQ55)&lt;&gt;"",IF(INDEX(C_Pavement!$G$5:$G$204,$AQ55)="-","",INDEX(C_Pavement!$G$5:$G$204,$AQ55)),IF($AS55="","",INDEX(E_Rules!$F$5:$F$9,$AS55))))</f>
        <v/>
      </c>
      <c r="AX55" t="str">
        <f>IF($AQ55="","",IF(INDEX(C_Pavement!$H$5:$H$204,$AQ55)&lt;&gt;"",IF(INDEX(C_Pavement!$H$5:$H$204,$AQ55)="-","",INDEX(C_Pavement!$H$5:$H$204,$AQ55)),IF($AS55="","",INDEX(E_Rules!$G$5:$G$9,$AS55))))</f>
        <v/>
      </c>
      <c r="AY55" t="str">
        <f>IF($AQ55="","",IF(INDEX(C_Pavement!$I$5:$I$204,$AQ55)&lt;&gt;"",IF(INDEX(C_Pavement!$I$5:$I$204,$AQ55)="-","",INDEX(C_Pavement!$I$5:$I$204,$AQ55)),IF($AS55="","",INDEX(E_Rules!$H$5:$H$9,$AS55))))</f>
        <v/>
      </c>
    </row>
    <row r="56" spans="1:51" ht="15.75" customHeight="1" x14ac:dyDescent="0.3">
      <c r="A56" s="189">
        <v>51</v>
      </c>
      <c r="B56" s="180">
        <v>2500</v>
      </c>
      <c r="C56" s="180" t="s">
        <v>362</v>
      </c>
      <c r="D56" s="181" t="str">
        <f>IFERROR(LOOKUP(2,1/((A_Corridor!$A$5:$A$204&lt;&gt;"")*(A_Corridor!$A$5:$A$204&lt;=$B56)*(A_Corridor!$B$5:$B$204&gt;$B56)*(A_Corridor!$C$5:$C$204&lt;&gt;"")),IF(UPPER(A_Corridor!$C$5:$C$204)="Y",1,"")),"")</f>
        <v/>
      </c>
      <c r="E56" s="181" t="str">
        <f>IFERROR(LOOKUP(2,1/((A_Corridor!$A$5:$A$204&lt;&gt;"")*(A_Corridor!$A$5:$A$204&lt;=$B56)*(A_Corridor!$B$5:$B$204&gt;$B56)*(A_Corridor!$D$5:$D$204&lt;&gt;"")),IF(A_Corridor!$D$5:$D$204="-","",UPPER(A_Corridor!$D$5:$D$204))),"")</f>
        <v/>
      </c>
      <c r="F56" s="181" t="str">
        <f>IFERROR(LOOKUP(2,1/((A_Corridor!$A$5:$A$204&lt;&gt;"")*(A_Corridor!$A$5:$A$204&lt;=$B56)*(A_Corridor!$B$5:$B$204&gt;$B56)*(A_Corridor!$E$5:$E$204&lt;&gt;"")),IF(A_Corridor!$E$5:$E$204="-","",1)),"")</f>
        <v/>
      </c>
      <c r="G56" s="182" t="str">
        <f>IFERROR(LOOKUP(2,1/((A_Corridor!$A$5:$A$204&lt;&gt;"")*(A_Corridor!$A$5:$A$204&lt;=$B56)*(A_Corridor!$B$5:$B$204&gt;$B56)*(A_Corridor!$E$5:$E$204&lt;&gt;"")),IF(A_Corridor!$E$5:$E$204="-","",A_Corridor!$E$5:$E$204)),"")</f>
        <v/>
      </c>
      <c r="H56" s="182" t="str">
        <f>IFERROR(LOOKUP(2,1/((D_Points!$A$5:$A$204&lt;&gt;"")*(D_Points!$A$5:$A$204&gt;=$B56)*(D_Points!$A$5:$A$204&lt;$B56+P_Interval)*(UPPER(TRIM(D_Points!$B$5:$B$204))="GULLY")*(D_Points!$H$5:$H$204&lt;&gt;"")),D_Points!$H$5:$H$204),"")</f>
        <v/>
      </c>
      <c r="I56" s="181" t="str">
        <f>IFERROR(LOOKUP(2,1/((A_Corridor!$A$5:$A$204&lt;&gt;"")*(A_Corridor!$A$5:$A$204&lt;=$B56)*(A_Corridor!$B$5:$B$204&gt;$B56)*(A_Corridor!$F$5:$F$204&lt;&gt;"")),IF(A_Corridor!$F$5:$F$204="-","",1)),"")</f>
        <v/>
      </c>
      <c r="J56" s="182" t="str">
        <f>IFERROR(LOOKUP(2,1/((A_Corridor!$A$5:$A$204&lt;&gt;"")*(A_Corridor!$A$5:$A$204&lt;=$B56)*(A_Corridor!$B$5:$B$204&gt;$B56)*(A_Corridor!$F$5:$F$204&lt;&gt;"")),IF(A_Corridor!$F$5:$F$204="-","",A_Corridor!$F$5:$F$204)),"")</f>
        <v/>
      </c>
      <c r="K56" s="182" t="str">
        <f>IFERROR(LOOKUP(2,1/((A_Corridor!$A$5:$A$204&lt;&gt;"")*(A_Corridor!$A$5:$A$204&lt;=$B56)*(A_Corridor!$B$5:$B$204&gt;$B56)*(A_Corridor!$G$5:$G$204&lt;&gt;"")),IF(A_Corridor!$G$5:$G$204="-","",A_Corridor!$G$5:$G$204)),"")</f>
        <v/>
      </c>
      <c r="L56" s="181" t="str">
        <f>IFERROR(LOOKUP(2,1/((A_Corridor!$A$5:$A$204&lt;&gt;"")*(A_Corridor!$A$5:$A$204&lt;=$B56)*(A_Corridor!$B$5:$B$204&gt;$B56)*(A_Corridor!$H$5:$H$204&lt;&gt;"")),IF(A_Corridor!$H$5:$H$204="-","",1)),"")</f>
        <v/>
      </c>
      <c r="M56" s="182" t="str">
        <f>IFERROR(LOOKUP(2,1/((A_Corridor!$A$5:$A$204&lt;&gt;"")*(A_Corridor!$A$5:$A$204&lt;=$B56)*(A_Corridor!$B$5:$B$204&gt;$B56)*(A_Corridor!$H$5:$H$204&lt;&gt;"")),IF(A_Corridor!$H$5:$H$204="-","",A_Corridor!$H$5:$H$204)),"")</f>
        <v/>
      </c>
      <c r="N56" s="182" t="str">
        <f>IFERROR(LOOKUP(2,1/((A_Corridor!$A$5:$A$204&lt;&gt;"")*(A_Corridor!$A$5:$A$204&lt;=$B56)*(A_Corridor!$B$5:$B$204&gt;$B56)*(A_Corridor!$I$5:$I$204&lt;&gt;"")),IF(A_Corridor!$I$5:$I$204="-","",A_Corridor!$I$5:$I$204)),"")</f>
        <v/>
      </c>
      <c r="O56" s="182" t="str">
        <f>IFERROR(LOOKUP(2,1/((D_Points!$A$5:$A$204&lt;&gt;"")*(D_Points!$A$5:$A$204&gt;=$B56)*(D_Points!$A$5:$A$204&lt;$B56+P_Interval)*(UPPER(TRIM(D_Points!$B$5:$B$204))="PITCHING")*(D_Points!$H$5:$H$204&lt;&gt;"")),D_Points!$H$5:$H$204),"")</f>
        <v/>
      </c>
      <c r="P56" s="181" t="str">
        <f>IFERROR(LOOKUP(2,1/((B_Drainage!$A$5:$A$204&lt;&gt;"")*(B_Drainage!$A$5:$A$204&lt;=$B56)*(B_Drainage!$B$5:$B$204&gt;$B56)*(B_Drainage!$C$5:$C$204&lt;&gt;"")),IF(B_Drainage!$C$5:$C$204="-","",UPPER(B_Drainage!$C$5:$C$204))),"")</f>
        <v/>
      </c>
      <c r="Q56" s="181" t="str">
        <f>IFERROR(LOOKUP(2,1/((B_Drainage!$A$5:$A$204&lt;&gt;"")*(B_Drainage!$A$5:$A$204&lt;=$B56)*(B_Drainage!$B$5:$B$204&gt;$B56)*(B_Drainage!$D$5:$D$204&lt;&gt;"")),IF(B_Drainage!$D$5:$D$204="-","",UPPER(B_Drainage!$D$5:$D$204))),"")</f>
        <v/>
      </c>
      <c r="R56" s="182" t="str">
        <f>IFERROR(LOOKUP(2,1/((D_Points!$A$5:$A$204&lt;&gt;"")*(D_Points!$A$5:$A$204&gt;=$B56)*(D_Points!$A$5:$A$204&lt;$B56+P_Interval)*(RIGHT(UPPER(TRIM(D_Points!$B$5:$B$204)),8)="_CULVERT")),IF(LEFT(UPPER(TRIM(D_Points!$B$5:$B$204)),2)="EX",1,IF(LEFT(UPPER(TRIM(D_Points!$B$5:$B$204)),2)="PR",2,3))),"")</f>
        <v/>
      </c>
      <c r="S56" s="182" t="str">
        <f>IFERROR(LOOKUP(2,1/((D_Points!$A$5:$A$204&lt;&gt;"")*(D_Points!$A$5:$A$204&gt;=$B56)*(D_Points!$A$5:$A$204&lt;$B56+P_Interval)*(RIGHT(UPPER(TRIM(D_Points!$B$5:$B$204)),7)="_BRIDGE")),IF(LEFT(UPPER(TRIM(D_Points!$B$5:$B$204)),2)="EX",1,IF(LEFT(UPPER(TRIM(D_Points!$B$5:$B$204)),2)="PR",2,2))),"")</f>
        <v/>
      </c>
      <c r="T56" s="181" t="str">
        <f>IFERROR(LOOKUP(2,1/((B_Drainage!$A$5:$A$204&lt;&gt;"")*(B_Drainage!$A$5:$A$204&lt;=$B56)*(B_Drainage!$B$5:$B$204&gt;$B56)*(B_Drainage!$E$5:$E$204&lt;&gt;"")),IF(B_Drainage!$E$5:$E$204="-","",1)),"")</f>
        <v/>
      </c>
      <c r="U56" s="181" t="str">
        <f>IFERROR(LOOKUP(2,1/((B_Drainage!$A$5:$A$204&lt;&gt;"")*(B_Drainage!$A$5:$A$204&lt;=$B56)*(B_Drainage!$B$5:$B$204&gt;$B56)*(B_Drainage!$E$5:$E$204&lt;&gt;"")),IF(B_Drainage!$E$5:$E$204="-","",B_Drainage!$E$5:$E$204)),"")</f>
        <v/>
      </c>
      <c r="V56" s="181" t="str">
        <f>IFERROR(LOOKUP(2,1/((B_Drainage!$A$5:$A$204&lt;&gt;"")*(B_Drainage!$A$5:$A$204&lt;=$B56)*(B_Drainage!$B$5:$B$204&gt;$B56)*(B_Drainage!$F$5:$F$204&lt;&gt;"")),IF(B_Drainage!$F$5:$F$204="-","",1)),"")</f>
        <v/>
      </c>
      <c r="W56" s="181" t="str">
        <f>IFERROR(LOOKUP(2,1/((B_Drainage!$A$5:$A$204&lt;&gt;"")*(B_Drainage!$A$5:$A$204&lt;=$B56)*(B_Drainage!$B$5:$B$204&gt;$B56)*(B_Drainage!$F$5:$F$204&lt;&gt;"")),IF(B_Drainage!$F$5:$F$204="-","",B_Drainage!$F$5:$F$204)),"")</f>
        <v/>
      </c>
      <c r="X56" s="181" t="str">
        <f>IFERROR(LOOKUP(2,1/((B_Drainage!$A$5:$A$204&lt;&gt;"")*(B_Drainage!$A$5:$A$204&lt;=$B56)*(B_Drainage!$B$5:$B$204&gt;$B56)*(B_Drainage!$G$5:$G$204&lt;&gt;"")),IF(UPPER(B_Drainage!$G$5:$G$204)="Y",1,"")),"")</f>
        <v/>
      </c>
      <c r="Y56" s="181" t="str">
        <f>IFERROR(LOOKUP(2,1/((B_Drainage!$A$5:$A$204&lt;&gt;"")*(B_Drainage!$A$5:$A$204&lt;=$B56)*(B_Drainage!$B$5:$B$204&gt;$B56)*(B_Drainage!$H$5:$H$204&lt;&gt;"")),IF(UPPER(B_Drainage!$H$5:$H$204)="Y",1,"")),"")</f>
        <v/>
      </c>
      <c r="Z56" s="181" t="str">
        <f>IFERROR(LOOKUP(2,1/((B_Drainage!$A$5:$A$204&lt;&gt;"")*(B_Drainage!$A$5:$A$204&lt;=$B56)*(B_Drainage!$B$5:$B$204&gt;$B56)*(B_Drainage!$I$5:$I$204&lt;&gt;"")),IF(UPPER(B_Drainage!$I$5:$I$204)="Y",1,"")),"")</f>
        <v/>
      </c>
      <c r="AA56" s="181" t="str">
        <f>IFERROR(LOOKUP(2,1/((B_Drainage!$A$5:$A$204&lt;&gt;"")*(B_Drainage!$A$5:$A$204&lt;=$B56)*(B_Drainage!$B$5:$B$204&gt;$B56)*(B_Drainage!$J$5:$J$204&lt;&gt;"")),IF(UPPER(B_Drainage!$J$5:$J$204)="Y",1,"")),"")</f>
        <v/>
      </c>
      <c r="AB56" s="182" t="str">
        <f>IFERROR(LOOKUP(2,1/((B_Drainage!$A$5:$A$204&lt;&gt;"")*(B_Drainage!$A$5:$A$204&lt;=$B56)*(B_Drainage!$B$5:$B$204&gt;$B56)*(B_Drainage!$K$5:$K$204&lt;&gt;"")),IF(B_Drainage!$K$5:$K$204="-","",B_Drainage!$K$5:$K$204)),"")</f>
        <v/>
      </c>
      <c r="AC56" s="182" t="str">
        <f>IFERROR(LOOKUP(2,1/((B_Drainage!$A$5:$A$204&lt;&gt;"")*(B_Drainage!$A$5:$A$204&lt;=$B56)*(B_Drainage!$B$5:$B$204&gt;$B56)*(B_Drainage!$L$5:$L$204&lt;&gt;"")),IF(B_Drainage!$L$5:$L$204="-","",B_Drainage!$L$5:$L$204)),"")</f>
        <v/>
      </c>
      <c r="AD56" s="182" t="str">
        <f>IFERROR(LOOKUP(2,1/((D_Points!$A$5:$A$204&lt;&gt;"")*(D_Points!$A$5:$A$204&gt;=$B56)*(D_Points!$A$5:$A$204&lt;$B56+P_Interval)*(UPPER(TRIM(D_Points!$B$5:$B$204))="TURNOUT_L")*(D_Points!$H$5:$H$204&lt;&gt;"")),D_Points!$H$5:$H$204),"")</f>
        <v/>
      </c>
      <c r="AE56" s="182" t="str">
        <f>IFERROR(LOOKUP(2,1/((D_Points!$A$5:$A$204&lt;&gt;"")*(D_Points!$A$5:$A$204&gt;=$B56)*(D_Points!$A$5:$A$204&lt;$B56+P_Interval)*(UPPER(TRIM(D_Points!$B$5:$B$204))="TURNOUT_R")*(D_Points!$H$5:$H$204&lt;&gt;"")),D_Points!$H$5:$H$204),"")</f>
        <v/>
      </c>
      <c r="AF56" s="181" t="str">
        <f>IFERROR(LOOKUP(2,1/((B_Drainage!$A$5:$A$204&lt;&gt;"")*(B_Drainage!$A$5:$A$204&lt;=$B56)*(B_Drainage!$B$5:$B$204&gt;$B56)*(B_Drainage!$M$5:$M$204&lt;&gt;"")),IF(UPPER(B_Drainage!$M$5:$M$204)="Y",1,"")),"")</f>
        <v/>
      </c>
      <c r="AG56" s="181" t="str">
        <f>IFERROR(LOOKUP(2,1/((B_Drainage!$A$5:$A$204&lt;&gt;"")*(B_Drainage!$A$5:$A$204&lt;=$B56)*(B_Drainage!$B$5:$B$204&gt;$B56)*(B_Drainage!$N$5:$N$204&lt;&gt;"")),IF(UPPER(B_Drainage!$N$5:$N$204)="Y",1,"")),"")</f>
        <v/>
      </c>
      <c r="AH56" s="181" t="str">
        <f t="shared" si="0"/>
        <v/>
      </c>
      <c r="AI56" s="181" t="str">
        <f t="shared" si="1"/>
        <v/>
      </c>
      <c r="AJ56" s="181" t="str">
        <f t="shared" si="2"/>
        <v/>
      </c>
      <c r="AK56" s="181" t="str">
        <f t="shared" si="3"/>
        <v/>
      </c>
      <c r="AL56" s="181" t="str">
        <f t="shared" si="4"/>
        <v/>
      </c>
      <c r="AM56" s="181" t="str">
        <f t="shared" si="5"/>
        <v/>
      </c>
      <c r="AN56" s="181" t="str">
        <f t="shared" si="6"/>
        <v/>
      </c>
      <c r="AO56" s="192" t="str">
        <f t="shared" si="7"/>
        <v/>
      </c>
      <c r="AQ56" t="str">
        <f>IFERROR(LOOKUP(2,1/((C_Pavement!$A$5:$A$204&lt;&gt;"")*(C_Pavement!$A$5:$A$204&lt;=$B56)*(C_Pavement!$B$5:$B$204&gt;$B56)*(C_Pavement!$C$5:$C$204&lt;&gt;"")),ROW(C_Pavement!$C$5:$C$204)-4),"")</f>
        <v/>
      </c>
      <c r="AR56" t="str">
        <f>IF($AQ56="","",UPPER(TRIM(INDEX(C_Pavement!$C$5:$C$204,$AQ56))))</f>
        <v/>
      </c>
      <c r="AS56" t="str">
        <f>IF($AR56="","",IFERROR(MATCH($AR56,E_Rules!$A$5:$A$9,0),""))</f>
        <v/>
      </c>
      <c r="AT56" t="str">
        <f>IF($AQ56="","",IF(INDEX(C_Pavement!$D$5:$D$204,$AQ56)&lt;&gt;"",UPPER(TRIM(INDEX(C_Pavement!$D$5:$D$204,$AQ56))),IF($AS56="","",INDEX(E_Rules!$C$5:$C$9,$AS56))))</f>
        <v/>
      </c>
      <c r="AU56" t="str">
        <f>IF($AQ56="","",IF(INDEX(C_Pavement!$E$5:$E$204,$AQ56)&lt;&gt;"",IF(INDEX(C_Pavement!$E$5:$E$204,$AQ56)="-","",INDEX(C_Pavement!$E$5:$E$204,$AQ56)),IF($AS56="","",INDEX(E_Rules!$D$5:$D$9,$AS56))))</f>
        <v/>
      </c>
      <c r="AV56" t="str">
        <f>IF($AQ56="","",IF(INDEX(C_Pavement!$F$5:$F$204,$AQ56)&lt;&gt;"",IF(INDEX(C_Pavement!$F$5:$F$204,$AQ56)="-","",INDEX(C_Pavement!$F$5:$F$204,$AQ56)),IF($AS56="","",INDEX(E_Rules!$E$5:$E$9,$AS56))))</f>
        <v/>
      </c>
      <c r="AW56" t="str">
        <f>IF($AQ56="","",IF(INDEX(C_Pavement!$G$5:$G$204,$AQ56)&lt;&gt;"",IF(INDEX(C_Pavement!$G$5:$G$204,$AQ56)="-","",INDEX(C_Pavement!$G$5:$G$204,$AQ56)),IF($AS56="","",INDEX(E_Rules!$F$5:$F$9,$AS56))))</f>
        <v/>
      </c>
      <c r="AX56" t="str">
        <f>IF($AQ56="","",IF(INDEX(C_Pavement!$H$5:$H$204,$AQ56)&lt;&gt;"",IF(INDEX(C_Pavement!$H$5:$H$204,$AQ56)="-","",INDEX(C_Pavement!$H$5:$H$204,$AQ56)),IF($AS56="","",INDEX(E_Rules!$G$5:$G$9,$AS56))))</f>
        <v/>
      </c>
      <c r="AY56" t="str">
        <f>IF($AQ56="","",IF(INDEX(C_Pavement!$I$5:$I$204,$AQ56)&lt;&gt;"",IF(INDEX(C_Pavement!$I$5:$I$204,$AQ56)="-","",INDEX(C_Pavement!$I$5:$I$204,$AQ56)),IF($AS56="","",INDEX(E_Rules!$H$5:$H$9,$AS56))))</f>
        <v/>
      </c>
    </row>
    <row r="57" spans="1:51" ht="15.75" customHeight="1" x14ac:dyDescent="0.3">
      <c r="A57" s="189">
        <v>52</v>
      </c>
      <c r="B57" s="180">
        <v>2550</v>
      </c>
      <c r="C57" s="180" t="s">
        <v>363</v>
      </c>
      <c r="D57" s="181" t="str">
        <f>IFERROR(LOOKUP(2,1/((A_Corridor!$A$5:$A$204&lt;&gt;"")*(A_Corridor!$A$5:$A$204&lt;=$B57)*(A_Corridor!$B$5:$B$204&gt;$B57)*(A_Corridor!$C$5:$C$204&lt;&gt;"")),IF(UPPER(A_Corridor!$C$5:$C$204)="Y",1,"")),"")</f>
        <v/>
      </c>
      <c r="E57" s="181" t="str">
        <f>IFERROR(LOOKUP(2,1/((A_Corridor!$A$5:$A$204&lt;&gt;"")*(A_Corridor!$A$5:$A$204&lt;=$B57)*(A_Corridor!$B$5:$B$204&gt;$B57)*(A_Corridor!$D$5:$D$204&lt;&gt;"")),IF(A_Corridor!$D$5:$D$204="-","",UPPER(A_Corridor!$D$5:$D$204))),"")</f>
        <v/>
      </c>
      <c r="F57" s="181" t="str">
        <f>IFERROR(LOOKUP(2,1/((A_Corridor!$A$5:$A$204&lt;&gt;"")*(A_Corridor!$A$5:$A$204&lt;=$B57)*(A_Corridor!$B$5:$B$204&gt;$B57)*(A_Corridor!$E$5:$E$204&lt;&gt;"")),IF(A_Corridor!$E$5:$E$204="-","",1)),"")</f>
        <v/>
      </c>
      <c r="G57" s="182" t="str">
        <f>IFERROR(LOOKUP(2,1/((A_Corridor!$A$5:$A$204&lt;&gt;"")*(A_Corridor!$A$5:$A$204&lt;=$B57)*(A_Corridor!$B$5:$B$204&gt;$B57)*(A_Corridor!$E$5:$E$204&lt;&gt;"")),IF(A_Corridor!$E$5:$E$204="-","",A_Corridor!$E$5:$E$204)),"")</f>
        <v/>
      </c>
      <c r="H57" s="182" t="str">
        <f>IFERROR(LOOKUP(2,1/((D_Points!$A$5:$A$204&lt;&gt;"")*(D_Points!$A$5:$A$204&gt;=$B57)*(D_Points!$A$5:$A$204&lt;$B57+P_Interval)*(UPPER(TRIM(D_Points!$B$5:$B$204))="GULLY")*(D_Points!$H$5:$H$204&lt;&gt;"")),D_Points!$H$5:$H$204),"")</f>
        <v/>
      </c>
      <c r="I57" s="181" t="str">
        <f>IFERROR(LOOKUP(2,1/((A_Corridor!$A$5:$A$204&lt;&gt;"")*(A_Corridor!$A$5:$A$204&lt;=$B57)*(A_Corridor!$B$5:$B$204&gt;$B57)*(A_Corridor!$F$5:$F$204&lt;&gt;"")),IF(A_Corridor!$F$5:$F$204="-","",1)),"")</f>
        <v/>
      </c>
      <c r="J57" s="182" t="str">
        <f>IFERROR(LOOKUP(2,1/((A_Corridor!$A$5:$A$204&lt;&gt;"")*(A_Corridor!$A$5:$A$204&lt;=$B57)*(A_Corridor!$B$5:$B$204&gt;$B57)*(A_Corridor!$F$5:$F$204&lt;&gt;"")),IF(A_Corridor!$F$5:$F$204="-","",A_Corridor!$F$5:$F$204)),"")</f>
        <v/>
      </c>
      <c r="K57" s="182" t="str">
        <f>IFERROR(LOOKUP(2,1/((A_Corridor!$A$5:$A$204&lt;&gt;"")*(A_Corridor!$A$5:$A$204&lt;=$B57)*(A_Corridor!$B$5:$B$204&gt;$B57)*(A_Corridor!$G$5:$G$204&lt;&gt;"")),IF(A_Corridor!$G$5:$G$204="-","",A_Corridor!$G$5:$G$204)),"")</f>
        <v/>
      </c>
      <c r="L57" s="181" t="str">
        <f>IFERROR(LOOKUP(2,1/((A_Corridor!$A$5:$A$204&lt;&gt;"")*(A_Corridor!$A$5:$A$204&lt;=$B57)*(A_Corridor!$B$5:$B$204&gt;$B57)*(A_Corridor!$H$5:$H$204&lt;&gt;"")),IF(A_Corridor!$H$5:$H$204="-","",1)),"")</f>
        <v/>
      </c>
      <c r="M57" s="182" t="str">
        <f>IFERROR(LOOKUP(2,1/((A_Corridor!$A$5:$A$204&lt;&gt;"")*(A_Corridor!$A$5:$A$204&lt;=$B57)*(A_Corridor!$B$5:$B$204&gt;$B57)*(A_Corridor!$H$5:$H$204&lt;&gt;"")),IF(A_Corridor!$H$5:$H$204="-","",A_Corridor!$H$5:$H$204)),"")</f>
        <v/>
      </c>
      <c r="N57" s="182" t="str">
        <f>IFERROR(LOOKUP(2,1/((A_Corridor!$A$5:$A$204&lt;&gt;"")*(A_Corridor!$A$5:$A$204&lt;=$B57)*(A_Corridor!$B$5:$B$204&gt;$B57)*(A_Corridor!$I$5:$I$204&lt;&gt;"")),IF(A_Corridor!$I$5:$I$204="-","",A_Corridor!$I$5:$I$204)),"")</f>
        <v/>
      </c>
      <c r="O57" s="182" t="str">
        <f>IFERROR(LOOKUP(2,1/((D_Points!$A$5:$A$204&lt;&gt;"")*(D_Points!$A$5:$A$204&gt;=$B57)*(D_Points!$A$5:$A$204&lt;$B57+P_Interval)*(UPPER(TRIM(D_Points!$B$5:$B$204))="PITCHING")*(D_Points!$H$5:$H$204&lt;&gt;"")),D_Points!$H$5:$H$204),"")</f>
        <v/>
      </c>
      <c r="P57" s="181" t="str">
        <f>IFERROR(LOOKUP(2,1/((B_Drainage!$A$5:$A$204&lt;&gt;"")*(B_Drainage!$A$5:$A$204&lt;=$B57)*(B_Drainage!$B$5:$B$204&gt;$B57)*(B_Drainage!$C$5:$C$204&lt;&gt;"")),IF(B_Drainage!$C$5:$C$204="-","",UPPER(B_Drainage!$C$5:$C$204))),"")</f>
        <v/>
      </c>
      <c r="Q57" s="181" t="str">
        <f>IFERROR(LOOKUP(2,1/((B_Drainage!$A$5:$A$204&lt;&gt;"")*(B_Drainage!$A$5:$A$204&lt;=$B57)*(B_Drainage!$B$5:$B$204&gt;$B57)*(B_Drainage!$D$5:$D$204&lt;&gt;"")),IF(B_Drainage!$D$5:$D$204="-","",UPPER(B_Drainage!$D$5:$D$204))),"")</f>
        <v/>
      </c>
      <c r="R57" s="182" t="str">
        <f>IFERROR(LOOKUP(2,1/((D_Points!$A$5:$A$204&lt;&gt;"")*(D_Points!$A$5:$A$204&gt;=$B57)*(D_Points!$A$5:$A$204&lt;$B57+P_Interval)*(RIGHT(UPPER(TRIM(D_Points!$B$5:$B$204)),8)="_CULVERT")),IF(LEFT(UPPER(TRIM(D_Points!$B$5:$B$204)),2)="EX",1,IF(LEFT(UPPER(TRIM(D_Points!$B$5:$B$204)),2)="PR",2,3))),"")</f>
        <v/>
      </c>
      <c r="S57" s="182" t="str">
        <f>IFERROR(LOOKUP(2,1/((D_Points!$A$5:$A$204&lt;&gt;"")*(D_Points!$A$5:$A$204&gt;=$B57)*(D_Points!$A$5:$A$204&lt;$B57+P_Interval)*(RIGHT(UPPER(TRIM(D_Points!$B$5:$B$204)),7)="_BRIDGE")),IF(LEFT(UPPER(TRIM(D_Points!$B$5:$B$204)),2)="EX",1,IF(LEFT(UPPER(TRIM(D_Points!$B$5:$B$204)),2)="PR",2,2))),"")</f>
        <v/>
      </c>
      <c r="T57" s="181" t="str">
        <f>IFERROR(LOOKUP(2,1/((B_Drainage!$A$5:$A$204&lt;&gt;"")*(B_Drainage!$A$5:$A$204&lt;=$B57)*(B_Drainage!$B$5:$B$204&gt;$B57)*(B_Drainage!$E$5:$E$204&lt;&gt;"")),IF(B_Drainage!$E$5:$E$204="-","",1)),"")</f>
        <v/>
      </c>
      <c r="U57" s="181" t="str">
        <f>IFERROR(LOOKUP(2,1/((B_Drainage!$A$5:$A$204&lt;&gt;"")*(B_Drainage!$A$5:$A$204&lt;=$B57)*(B_Drainage!$B$5:$B$204&gt;$B57)*(B_Drainage!$E$5:$E$204&lt;&gt;"")),IF(B_Drainage!$E$5:$E$204="-","",B_Drainage!$E$5:$E$204)),"")</f>
        <v/>
      </c>
      <c r="V57" s="181" t="str">
        <f>IFERROR(LOOKUP(2,1/((B_Drainage!$A$5:$A$204&lt;&gt;"")*(B_Drainage!$A$5:$A$204&lt;=$B57)*(B_Drainage!$B$5:$B$204&gt;$B57)*(B_Drainage!$F$5:$F$204&lt;&gt;"")),IF(B_Drainage!$F$5:$F$204="-","",1)),"")</f>
        <v/>
      </c>
      <c r="W57" s="181" t="str">
        <f>IFERROR(LOOKUP(2,1/((B_Drainage!$A$5:$A$204&lt;&gt;"")*(B_Drainage!$A$5:$A$204&lt;=$B57)*(B_Drainage!$B$5:$B$204&gt;$B57)*(B_Drainage!$F$5:$F$204&lt;&gt;"")),IF(B_Drainage!$F$5:$F$204="-","",B_Drainage!$F$5:$F$204)),"")</f>
        <v/>
      </c>
      <c r="X57" s="181" t="str">
        <f>IFERROR(LOOKUP(2,1/((B_Drainage!$A$5:$A$204&lt;&gt;"")*(B_Drainage!$A$5:$A$204&lt;=$B57)*(B_Drainage!$B$5:$B$204&gt;$B57)*(B_Drainage!$G$5:$G$204&lt;&gt;"")),IF(UPPER(B_Drainage!$G$5:$G$204)="Y",1,"")),"")</f>
        <v/>
      </c>
      <c r="Y57" s="181" t="str">
        <f>IFERROR(LOOKUP(2,1/((B_Drainage!$A$5:$A$204&lt;&gt;"")*(B_Drainage!$A$5:$A$204&lt;=$B57)*(B_Drainage!$B$5:$B$204&gt;$B57)*(B_Drainage!$H$5:$H$204&lt;&gt;"")),IF(UPPER(B_Drainage!$H$5:$H$204)="Y",1,"")),"")</f>
        <v/>
      </c>
      <c r="Z57" s="181" t="str">
        <f>IFERROR(LOOKUP(2,1/((B_Drainage!$A$5:$A$204&lt;&gt;"")*(B_Drainage!$A$5:$A$204&lt;=$B57)*(B_Drainage!$B$5:$B$204&gt;$B57)*(B_Drainage!$I$5:$I$204&lt;&gt;"")),IF(UPPER(B_Drainage!$I$5:$I$204)="Y",1,"")),"")</f>
        <v/>
      </c>
      <c r="AA57" s="181" t="str">
        <f>IFERROR(LOOKUP(2,1/((B_Drainage!$A$5:$A$204&lt;&gt;"")*(B_Drainage!$A$5:$A$204&lt;=$B57)*(B_Drainage!$B$5:$B$204&gt;$B57)*(B_Drainage!$J$5:$J$204&lt;&gt;"")),IF(UPPER(B_Drainage!$J$5:$J$204)="Y",1,"")),"")</f>
        <v/>
      </c>
      <c r="AB57" s="182" t="str">
        <f>IFERROR(LOOKUP(2,1/((B_Drainage!$A$5:$A$204&lt;&gt;"")*(B_Drainage!$A$5:$A$204&lt;=$B57)*(B_Drainage!$B$5:$B$204&gt;$B57)*(B_Drainage!$K$5:$K$204&lt;&gt;"")),IF(B_Drainage!$K$5:$K$204="-","",B_Drainage!$K$5:$K$204)),"")</f>
        <v/>
      </c>
      <c r="AC57" s="182" t="str">
        <f>IFERROR(LOOKUP(2,1/((B_Drainage!$A$5:$A$204&lt;&gt;"")*(B_Drainage!$A$5:$A$204&lt;=$B57)*(B_Drainage!$B$5:$B$204&gt;$B57)*(B_Drainage!$L$5:$L$204&lt;&gt;"")),IF(B_Drainage!$L$5:$L$204="-","",B_Drainage!$L$5:$L$204)),"")</f>
        <v/>
      </c>
      <c r="AD57" s="182" t="str">
        <f>IFERROR(LOOKUP(2,1/((D_Points!$A$5:$A$204&lt;&gt;"")*(D_Points!$A$5:$A$204&gt;=$B57)*(D_Points!$A$5:$A$204&lt;$B57+P_Interval)*(UPPER(TRIM(D_Points!$B$5:$B$204))="TURNOUT_L")*(D_Points!$H$5:$H$204&lt;&gt;"")),D_Points!$H$5:$H$204),"")</f>
        <v/>
      </c>
      <c r="AE57" s="182" t="str">
        <f>IFERROR(LOOKUP(2,1/((D_Points!$A$5:$A$204&lt;&gt;"")*(D_Points!$A$5:$A$204&gt;=$B57)*(D_Points!$A$5:$A$204&lt;$B57+P_Interval)*(UPPER(TRIM(D_Points!$B$5:$B$204))="TURNOUT_R")*(D_Points!$H$5:$H$204&lt;&gt;"")),D_Points!$H$5:$H$204),"")</f>
        <v/>
      </c>
      <c r="AF57" s="181" t="str">
        <f>IFERROR(LOOKUP(2,1/((B_Drainage!$A$5:$A$204&lt;&gt;"")*(B_Drainage!$A$5:$A$204&lt;=$B57)*(B_Drainage!$B$5:$B$204&gt;$B57)*(B_Drainage!$M$5:$M$204&lt;&gt;"")),IF(UPPER(B_Drainage!$M$5:$M$204)="Y",1,"")),"")</f>
        <v/>
      </c>
      <c r="AG57" s="181" t="str">
        <f>IFERROR(LOOKUP(2,1/((B_Drainage!$A$5:$A$204&lt;&gt;"")*(B_Drainage!$A$5:$A$204&lt;=$B57)*(B_Drainage!$B$5:$B$204&gt;$B57)*(B_Drainage!$N$5:$N$204&lt;&gt;"")),IF(UPPER(B_Drainage!$N$5:$N$204)="Y",1,"")),"")</f>
        <v/>
      </c>
      <c r="AH57" s="181" t="str">
        <f t="shared" si="0"/>
        <v/>
      </c>
      <c r="AI57" s="181" t="str">
        <f t="shared" si="1"/>
        <v/>
      </c>
      <c r="AJ57" s="181" t="str">
        <f t="shared" si="2"/>
        <v/>
      </c>
      <c r="AK57" s="181" t="str">
        <f t="shared" si="3"/>
        <v/>
      </c>
      <c r="AL57" s="181" t="str">
        <f t="shared" si="4"/>
        <v/>
      </c>
      <c r="AM57" s="181" t="str">
        <f t="shared" si="5"/>
        <v/>
      </c>
      <c r="AN57" s="181" t="str">
        <f t="shared" si="6"/>
        <v/>
      </c>
      <c r="AO57" s="192" t="str">
        <f t="shared" si="7"/>
        <v/>
      </c>
      <c r="AQ57" t="str">
        <f>IFERROR(LOOKUP(2,1/((C_Pavement!$A$5:$A$204&lt;&gt;"")*(C_Pavement!$A$5:$A$204&lt;=$B57)*(C_Pavement!$B$5:$B$204&gt;$B57)*(C_Pavement!$C$5:$C$204&lt;&gt;"")),ROW(C_Pavement!$C$5:$C$204)-4),"")</f>
        <v/>
      </c>
      <c r="AR57" t="str">
        <f>IF($AQ57="","",UPPER(TRIM(INDEX(C_Pavement!$C$5:$C$204,$AQ57))))</f>
        <v/>
      </c>
      <c r="AS57" t="str">
        <f>IF($AR57="","",IFERROR(MATCH($AR57,E_Rules!$A$5:$A$9,0),""))</f>
        <v/>
      </c>
      <c r="AT57" t="str">
        <f>IF($AQ57="","",IF(INDEX(C_Pavement!$D$5:$D$204,$AQ57)&lt;&gt;"",UPPER(TRIM(INDEX(C_Pavement!$D$5:$D$204,$AQ57))),IF($AS57="","",INDEX(E_Rules!$C$5:$C$9,$AS57))))</f>
        <v/>
      </c>
      <c r="AU57" t="str">
        <f>IF($AQ57="","",IF(INDEX(C_Pavement!$E$5:$E$204,$AQ57)&lt;&gt;"",IF(INDEX(C_Pavement!$E$5:$E$204,$AQ57)="-","",INDEX(C_Pavement!$E$5:$E$204,$AQ57)),IF($AS57="","",INDEX(E_Rules!$D$5:$D$9,$AS57))))</f>
        <v/>
      </c>
      <c r="AV57" t="str">
        <f>IF($AQ57="","",IF(INDEX(C_Pavement!$F$5:$F$204,$AQ57)&lt;&gt;"",IF(INDEX(C_Pavement!$F$5:$F$204,$AQ57)="-","",INDEX(C_Pavement!$F$5:$F$204,$AQ57)),IF($AS57="","",INDEX(E_Rules!$E$5:$E$9,$AS57))))</f>
        <v/>
      </c>
      <c r="AW57" t="str">
        <f>IF($AQ57="","",IF(INDEX(C_Pavement!$G$5:$G$204,$AQ57)&lt;&gt;"",IF(INDEX(C_Pavement!$G$5:$G$204,$AQ57)="-","",INDEX(C_Pavement!$G$5:$G$204,$AQ57)),IF($AS57="","",INDEX(E_Rules!$F$5:$F$9,$AS57))))</f>
        <v/>
      </c>
      <c r="AX57" t="str">
        <f>IF($AQ57="","",IF(INDEX(C_Pavement!$H$5:$H$204,$AQ57)&lt;&gt;"",IF(INDEX(C_Pavement!$H$5:$H$204,$AQ57)="-","",INDEX(C_Pavement!$H$5:$H$204,$AQ57)),IF($AS57="","",INDEX(E_Rules!$G$5:$G$9,$AS57))))</f>
        <v/>
      </c>
      <c r="AY57" t="str">
        <f>IF($AQ57="","",IF(INDEX(C_Pavement!$I$5:$I$204,$AQ57)&lt;&gt;"",IF(INDEX(C_Pavement!$I$5:$I$204,$AQ57)="-","",INDEX(C_Pavement!$I$5:$I$204,$AQ57)),IF($AS57="","",INDEX(E_Rules!$H$5:$H$9,$AS57))))</f>
        <v/>
      </c>
    </row>
    <row r="58" spans="1:51" ht="15.75" customHeight="1" x14ac:dyDescent="0.3">
      <c r="A58" s="189">
        <v>53</v>
      </c>
      <c r="B58" s="180">
        <v>2600</v>
      </c>
      <c r="C58" s="180" t="s">
        <v>364</v>
      </c>
      <c r="D58" s="181" t="str">
        <f>IFERROR(LOOKUP(2,1/((A_Corridor!$A$5:$A$204&lt;&gt;"")*(A_Corridor!$A$5:$A$204&lt;=$B58)*(A_Corridor!$B$5:$B$204&gt;$B58)*(A_Corridor!$C$5:$C$204&lt;&gt;"")),IF(UPPER(A_Corridor!$C$5:$C$204)="Y",1,"")),"")</f>
        <v/>
      </c>
      <c r="E58" s="181" t="str">
        <f>IFERROR(LOOKUP(2,1/((A_Corridor!$A$5:$A$204&lt;&gt;"")*(A_Corridor!$A$5:$A$204&lt;=$B58)*(A_Corridor!$B$5:$B$204&gt;$B58)*(A_Corridor!$D$5:$D$204&lt;&gt;"")),IF(A_Corridor!$D$5:$D$204="-","",UPPER(A_Corridor!$D$5:$D$204))),"")</f>
        <v/>
      </c>
      <c r="F58" s="181" t="str">
        <f>IFERROR(LOOKUP(2,1/((A_Corridor!$A$5:$A$204&lt;&gt;"")*(A_Corridor!$A$5:$A$204&lt;=$B58)*(A_Corridor!$B$5:$B$204&gt;$B58)*(A_Corridor!$E$5:$E$204&lt;&gt;"")),IF(A_Corridor!$E$5:$E$204="-","",1)),"")</f>
        <v/>
      </c>
      <c r="G58" s="182" t="str">
        <f>IFERROR(LOOKUP(2,1/((A_Corridor!$A$5:$A$204&lt;&gt;"")*(A_Corridor!$A$5:$A$204&lt;=$B58)*(A_Corridor!$B$5:$B$204&gt;$B58)*(A_Corridor!$E$5:$E$204&lt;&gt;"")),IF(A_Corridor!$E$5:$E$204="-","",A_Corridor!$E$5:$E$204)),"")</f>
        <v/>
      </c>
      <c r="H58" s="182" t="str">
        <f>IFERROR(LOOKUP(2,1/((D_Points!$A$5:$A$204&lt;&gt;"")*(D_Points!$A$5:$A$204&gt;=$B58)*(D_Points!$A$5:$A$204&lt;$B58+P_Interval)*(UPPER(TRIM(D_Points!$B$5:$B$204))="GULLY")*(D_Points!$H$5:$H$204&lt;&gt;"")),D_Points!$H$5:$H$204),"")</f>
        <v/>
      </c>
      <c r="I58" s="181" t="str">
        <f>IFERROR(LOOKUP(2,1/((A_Corridor!$A$5:$A$204&lt;&gt;"")*(A_Corridor!$A$5:$A$204&lt;=$B58)*(A_Corridor!$B$5:$B$204&gt;$B58)*(A_Corridor!$F$5:$F$204&lt;&gt;"")),IF(A_Corridor!$F$5:$F$204="-","",1)),"")</f>
        <v/>
      </c>
      <c r="J58" s="182" t="str">
        <f>IFERROR(LOOKUP(2,1/((A_Corridor!$A$5:$A$204&lt;&gt;"")*(A_Corridor!$A$5:$A$204&lt;=$B58)*(A_Corridor!$B$5:$B$204&gt;$B58)*(A_Corridor!$F$5:$F$204&lt;&gt;"")),IF(A_Corridor!$F$5:$F$204="-","",A_Corridor!$F$5:$F$204)),"")</f>
        <v/>
      </c>
      <c r="K58" s="182" t="str">
        <f>IFERROR(LOOKUP(2,1/((A_Corridor!$A$5:$A$204&lt;&gt;"")*(A_Corridor!$A$5:$A$204&lt;=$B58)*(A_Corridor!$B$5:$B$204&gt;$B58)*(A_Corridor!$G$5:$G$204&lt;&gt;"")),IF(A_Corridor!$G$5:$G$204="-","",A_Corridor!$G$5:$G$204)),"")</f>
        <v/>
      </c>
      <c r="L58" s="181" t="str">
        <f>IFERROR(LOOKUP(2,1/((A_Corridor!$A$5:$A$204&lt;&gt;"")*(A_Corridor!$A$5:$A$204&lt;=$B58)*(A_Corridor!$B$5:$B$204&gt;$B58)*(A_Corridor!$H$5:$H$204&lt;&gt;"")),IF(A_Corridor!$H$5:$H$204="-","",1)),"")</f>
        <v/>
      </c>
      <c r="M58" s="182" t="str">
        <f>IFERROR(LOOKUP(2,1/((A_Corridor!$A$5:$A$204&lt;&gt;"")*(A_Corridor!$A$5:$A$204&lt;=$B58)*(A_Corridor!$B$5:$B$204&gt;$B58)*(A_Corridor!$H$5:$H$204&lt;&gt;"")),IF(A_Corridor!$H$5:$H$204="-","",A_Corridor!$H$5:$H$204)),"")</f>
        <v/>
      </c>
      <c r="N58" s="182" t="str">
        <f>IFERROR(LOOKUP(2,1/((A_Corridor!$A$5:$A$204&lt;&gt;"")*(A_Corridor!$A$5:$A$204&lt;=$B58)*(A_Corridor!$B$5:$B$204&gt;$B58)*(A_Corridor!$I$5:$I$204&lt;&gt;"")),IF(A_Corridor!$I$5:$I$204="-","",A_Corridor!$I$5:$I$204)),"")</f>
        <v/>
      </c>
      <c r="O58" s="182" t="str">
        <f>IFERROR(LOOKUP(2,1/((D_Points!$A$5:$A$204&lt;&gt;"")*(D_Points!$A$5:$A$204&gt;=$B58)*(D_Points!$A$5:$A$204&lt;$B58+P_Interval)*(UPPER(TRIM(D_Points!$B$5:$B$204))="PITCHING")*(D_Points!$H$5:$H$204&lt;&gt;"")),D_Points!$H$5:$H$204),"")</f>
        <v/>
      </c>
      <c r="P58" s="181" t="str">
        <f>IFERROR(LOOKUP(2,1/((B_Drainage!$A$5:$A$204&lt;&gt;"")*(B_Drainage!$A$5:$A$204&lt;=$B58)*(B_Drainage!$B$5:$B$204&gt;$B58)*(B_Drainage!$C$5:$C$204&lt;&gt;"")),IF(B_Drainage!$C$5:$C$204="-","",UPPER(B_Drainage!$C$5:$C$204))),"")</f>
        <v/>
      </c>
      <c r="Q58" s="181" t="str">
        <f>IFERROR(LOOKUP(2,1/((B_Drainage!$A$5:$A$204&lt;&gt;"")*(B_Drainage!$A$5:$A$204&lt;=$B58)*(B_Drainage!$B$5:$B$204&gt;$B58)*(B_Drainage!$D$5:$D$204&lt;&gt;"")),IF(B_Drainage!$D$5:$D$204="-","",UPPER(B_Drainage!$D$5:$D$204))),"")</f>
        <v/>
      </c>
      <c r="R58" s="182" t="str">
        <f>IFERROR(LOOKUP(2,1/((D_Points!$A$5:$A$204&lt;&gt;"")*(D_Points!$A$5:$A$204&gt;=$B58)*(D_Points!$A$5:$A$204&lt;$B58+P_Interval)*(RIGHT(UPPER(TRIM(D_Points!$B$5:$B$204)),8)="_CULVERT")),IF(LEFT(UPPER(TRIM(D_Points!$B$5:$B$204)),2)="EX",1,IF(LEFT(UPPER(TRIM(D_Points!$B$5:$B$204)),2)="PR",2,3))),"")</f>
        <v/>
      </c>
      <c r="S58" s="182" t="str">
        <f>IFERROR(LOOKUP(2,1/((D_Points!$A$5:$A$204&lt;&gt;"")*(D_Points!$A$5:$A$204&gt;=$B58)*(D_Points!$A$5:$A$204&lt;$B58+P_Interval)*(RIGHT(UPPER(TRIM(D_Points!$B$5:$B$204)),7)="_BRIDGE")),IF(LEFT(UPPER(TRIM(D_Points!$B$5:$B$204)),2)="EX",1,IF(LEFT(UPPER(TRIM(D_Points!$B$5:$B$204)),2)="PR",2,2))),"")</f>
        <v/>
      </c>
      <c r="T58" s="181" t="str">
        <f>IFERROR(LOOKUP(2,1/((B_Drainage!$A$5:$A$204&lt;&gt;"")*(B_Drainage!$A$5:$A$204&lt;=$B58)*(B_Drainage!$B$5:$B$204&gt;$B58)*(B_Drainage!$E$5:$E$204&lt;&gt;"")),IF(B_Drainage!$E$5:$E$204="-","",1)),"")</f>
        <v/>
      </c>
      <c r="U58" s="181" t="str">
        <f>IFERROR(LOOKUP(2,1/((B_Drainage!$A$5:$A$204&lt;&gt;"")*(B_Drainage!$A$5:$A$204&lt;=$B58)*(B_Drainage!$B$5:$B$204&gt;$B58)*(B_Drainage!$E$5:$E$204&lt;&gt;"")),IF(B_Drainage!$E$5:$E$204="-","",B_Drainage!$E$5:$E$204)),"")</f>
        <v/>
      </c>
      <c r="V58" s="181" t="str">
        <f>IFERROR(LOOKUP(2,1/((B_Drainage!$A$5:$A$204&lt;&gt;"")*(B_Drainage!$A$5:$A$204&lt;=$B58)*(B_Drainage!$B$5:$B$204&gt;$B58)*(B_Drainage!$F$5:$F$204&lt;&gt;"")),IF(B_Drainage!$F$5:$F$204="-","",1)),"")</f>
        <v/>
      </c>
      <c r="W58" s="181" t="str">
        <f>IFERROR(LOOKUP(2,1/((B_Drainage!$A$5:$A$204&lt;&gt;"")*(B_Drainage!$A$5:$A$204&lt;=$B58)*(B_Drainage!$B$5:$B$204&gt;$B58)*(B_Drainage!$F$5:$F$204&lt;&gt;"")),IF(B_Drainage!$F$5:$F$204="-","",B_Drainage!$F$5:$F$204)),"")</f>
        <v/>
      </c>
      <c r="X58" s="181" t="str">
        <f>IFERROR(LOOKUP(2,1/((B_Drainage!$A$5:$A$204&lt;&gt;"")*(B_Drainage!$A$5:$A$204&lt;=$B58)*(B_Drainage!$B$5:$B$204&gt;$B58)*(B_Drainage!$G$5:$G$204&lt;&gt;"")),IF(UPPER(B_Drainage!$G$5:$G$204)="Y",1,"")),"")</f>
        <v/>
      </c>
      <c r="Y58" s="181" t="str">
        <f>IFERROR(LOOKUP(2,1/((B_Drainage!$A$5:$A$204&lt;&gt;"")*(B_Drainage!$A$5:$A$204&lt;=$B58)*(B_Drainage!$B$5:$B$204&gt;$B58)*(B_Drainage!$H$5:$H$204&lt;&gt;"")),IF(UPPER(B_Drainage!$H$5:$H$204)="Y",1,"")),"")</f>
        <v/>
      </c>
      <c r="Z58" s="181" t="str">
        <f>IFERROR(LOOKUP(2,1/((B_Drainage!$A$5:$A$204&lt;&gt;"")*(B_Drainage!$A$5:$A$204&lt;=$B58)*(B_Drainage!$B$5:$B$204&gt;$B58)*(B_Drainage!$I$5:$I$204&lt;&gt;"")),IF(UPPER(B_Drainage!$I$5:$I$204)="Y",1,"")),"")</f>
        <v/>
      </c>
      <c r="AA58" s="181" t="str">
        <f>IFERROR(LOOKUP(2,1/((B_Drainage!$A$5:$A$204&lt;&gt;"")*(B_Drainage!$A$5:$A$204&lt;=$B58)*(B_Drainage!$B$5:$B$204&gt;$B58)*(B_Drainage!$J$5:$J$204&lt;&gt;"")),IF(UPPER(B_Drainage!$J$5:$J$204)="Y",1,"")),"")</f>
        <v/>
      </c>
      <c r="AB58" s="182" t="str">
        <f>IFERROR(LOOKUP(2,1/((B_Drainage!$A$5:$A$204&lt;&gt;"")*(B_Drainage!$A$5:$A$204&lt;=$B58)*(B_Drainage!$B$5:$B$204&gt;$B58)*(B_Drainage!$K$5:$K$204&lt;&gt;"")),IF(B_Drainage!$K$5:$K$204="-","",B_Drainage!$K$5:$K$204)),"")</f>
        <v/>
      </c>
      <c r="AC58" s="182" t="str">
        <f>IFERROR(LOOKUP(2,1/((B_Drainage!$A$5:$A$204&lt;&gt;"")*(B_Drainage!$A$5:$A$204&lt;=$B58)*(B_Drainage!$B$5:$B$204&gt;$B58)*(B_Drainage!$L$5:$L$204&lt;&gt;"")),IF(B_Drainage!$L$5:$L$204="-","",B_Drainage!$L$5:$L$204)),"")</f>
        <v/>
      </c>
      <c r="AD58" s="182" t="str">
        <f>IFERROR(LOOKUP(2,1/((D_Points!$A$5:$A$204&lt;&gt;"")*(D_Points!$A$5:$A$204&gt;=$B58)*(D_Points!$A$5:$A$204&lt;$B58+P_Interval)*(UPPER(TRIM(D_Points!$B$5:$B$204))="TURNOUT_L")*(D_Points!$H$5:$H$204&lt;&gt;"")),D_Points!$H$5:$H$204),"")</f>
        <v/>
      </c>
      <c r="AE58" s="182" t="str">
        <f>IFERROR(LOOKUP(2,1/((D_Points!$A$5:$A$204&lt;&gt;"")*(D_Points!$A$5:$A$204&gt;=$B58)*(D_Points!$A$5:$A$204&lt;$B58+P_Interval)*(UPPER(TRIM(D_Points!$B$5:$B$204))="TURNOUT_R")*(D_Points!$H$5:$H$204&lt;&gt;"")),D_Points!$H$5:$H$204),"")</f>
        <v/>
      </c>
      <c r="AF58" s="181" t="str">
        <f>IFERROR(LOOKUP(2,1/((B_Drainage!$A$5:$A$204&lt;&gt;"")*(B_Drainage!$A$5:$A$204&lt;=$B58)*(B_Drainage!$B$5:$B$204&gt;$B58)*(B_Drainage!$M$5:$M$204&lt;&gt;"")),IF(UPPER(B_Drainage!$M$5:$M$204)="Y",1,"")),"")</f>
        <v/>
      </c>
      <c r="AG58" s="181" t="str">
        <f>IFERROR(LOOKUP(2,1/((B_Drainage!$A$5:$A$204&lt;&gt;"")*(B_Drainage!$A$5:$A$204&lt;=$B58)*(B_Drainage!$B$5:$B$204&gt;$B58)*(B_Drainage!$N$5:$N$204&lt;&gt;"")),IF(UPPER(B_Drainage!$N$5:$N$204)="Y",1,"")),"")</f>
        <v/>
      </c>
      <c r="AH58" s="181" t="str">
        <f t="shared" si="0"/>
        <v/>
      </c>
      <c r="AI58" s="181" t="str">
        <f t="shared" si="1"/>
        <v/>
      </c>
      <c r="AJ58" s="181" t="str">
        <f t="shared" si="2"/>
        <v/>
      </c>
      <c r="AK58" s="181" t="str">
        <f t="shared" si="3"/>
        <v/>
      </c>
      <c r="AL58" s="181" t="str">
        <f t="shared" si="4"/>
        <v/>
      </c>
      <c r="AM58" s="181" t="str">
        <f t="shared" si="5"/>
        <v/>
      </c>
      <c r="AN58" s="181" t="str">
        <f t="shared" si="6"/>
        <v/>
      </c>
      <c r="AO58" s="192" t="str">
        <f t="shared" si="7"/>
        <v/>
      </c>
      <c r="AQ58" t="str">
        <f>IFERROR(LOOKUP(2,1/((C_Pavement!$A$5:$A$204&lt;&gt;"")*(C_Pavement!$A$5:$A$204&lt;=$B58)*(C_Pavement!$B$5:$B$204&gt;$B58)*(C_Pavement!$C$5:$C$204&lt;&gt;"")),ROW(C_Pavement!$C$5:$C$204)-4),"")</f>
        <v/>
      </c>
      <c r="AR58" t="str">
        <f>IF($AQ58="","",UPPER(TRIM(INDEX(C_Pavement!$C$5:$C$204,$AQ58))))</f>
        <v/>
      </c>
      <c r="AS58" t="str">
        <f>IF($AR58="","",IFERROR(MATCH($AR58,E_Rules!$A$5:$A$9,0),""))</f>
        <v/>
      </c>
      <c r="AT58" t="str">
        <f>IF($AQ58="","",IF(INDEX(C_Pavement!$D$5:$D$204,$AQ58)&lt;&gt;"",UPPER(TRIM(INDEX(C_Pavement!$D$5:$D$204,$AQ58))),IF($AS58="","",INDEX(E_Rules!$C$5:$C$9,$AS58))))</f>
        <v/>
      </c>
      <c r="AU58" t="str">
        <f>IF($AQ58="","",IF(INDEX(C_Pavement!$E$5:$E$204,$AQ58)&lt;&gt;"",IF(INDEX(C_Pavement!$E$5:$E$204,$AQ58)="-","",INDEX(C_Pavement!$E$5:$E$204,$AQ58)),IF($AS58="","",INDEX(E_Rules!$D$5:$D$9,$AS58))))</f>
        <v/>
      </c>
      <c r="AV58" t="str">
        <f>IF($AQ58="","",IF(INDEX(C_Pavement!$F$5:$F$204,$AQ58)&lt;&gt;"",IF(INDEX(C_Pavement!$F$5:$F$204,$AQ58)="-","",INDEX(C_Pavement!$F$5:$F$204,$AQ58)),IF($AS58="","",INDEX(E_Rules!$E$5:$E$9,$AS58))))</f>
        <v/>
      </c>
      <c r="AW58" t="str">
        <f>IF($AQ58="","",IF(INDEX(C_Pavement!$G$5:$G$204,$AQ58)&lt;&gt;"",IF(INDEX(C_Pavement!$G$5:$G$204,$AQ58)="-","",INDEX(C_Pavement!$G$5:$G$204,$AQ58)),IF($AS58="","",INDEX(E_Rules!$F$5:$F$9,$AS58))))</f>
        <v/>
      </c>
      <c r="AX58" t="str">
        <f>IF($AQ58="","",IF(INDEX(C_Pavement!$H$5:$H$204,$AQ58)&lt;&gt;"",IF(INDEX(C_Pavement!$H$5:$H$204,$AQ58)="-","",INDEX(C_Pavement!$H$5:$H$204,$AQ58)),IF($AS58="","",INDEX(E_Rules!$G$5:$G$9,$AS58))))</f>
        <v/>
      </c>
      <c r="AY58" t="str">
        <f>IF($AQ58="","",IF(INDEX(C_Pavement!$I$5:$I$204,$AQ58)&lt;&gt;"",IF(INDEX(C_Pavement!$I$5:$I$204,$AQ58)="-","",INDEX(C_Pavement!$I$5:$I$204,$AQ58)),IF($AS58="","",INDEX(E_Rules!$H$5:$H$9,$AS58))))</f>
        <v/>
      </c>
    </row>
    <row r="59" spans="1:51" ht="15.75" customHeight="1" x14ac:dyDescent="0.3">
      <c r="A59" s="189">
        <v>54</v>
      </c>
      <c r="B59" s="180">
        <v>2650</v>
      </c>
      <c r="C59" s="180" t="s">
        <v>365</v>
      </c>
      <c r="D59" s="181" t="str">
        <f>IFERROR(LOOKUP(2,1/((A_Corridor!$A$5:$A$204&lt;&gt;"")*(A_Corridor!$A$5:$A$204&lt;=$B59)*(A_Corridor!$B$5:$B$204&gt;$B59)*(A_Corridor!$C$5:$C$204&lt;&gt;"")),IF(UPPER(A_Corridor!$C$5:$C$204)="Y",1,"")),"")</f>
        <v/>
      </c>
      <c r="E59" s="181" t="str">
        <f>IFERROR(LOOKUP(2,1/((A_Corridor!$A$5:$A$204&lt;&gt;"")*(A_Corridor!$A$5:$A$204&lt;=$B59)*(A_Corridor!$B$5:$B$204&gt;$B59)*(A_Corridor!$D$5:$D$204&lt;&gt;"")),IF(A_Corridor!$D$5:$D$204="-","",UPPER(A_Corridor!$D$5:$D$204))),"")</f>
        <v/>
      </c>
      <c r="F59" s="181" t="str">
        <f>IFERROR(LOOKUP(2,1/((A_Corridor!$A$5:$A$204&lt;&gt;"")*(A_Corridor!$A$5:$A$204&lt;=$B59)*(A_Corridor!$B$5:$B$204&gt;$B59)*(A_Corridor!$E$5:$E$204&lt;&gt;"")),IF(A_Corridor!$E$5:$E$204="-","",1)),"")</f>
        <v/>
      </c>
      <c r="G59" s="182" t="str">
        <f>IFERROR(LOOKUP(2,1/((A_Corridor!$A$5:$A$204&lt;&gt;"")*(A_Corridor!$A$5:$A$204&lt;=$B59)*(A_Corridor!$B$5:$B$204&gt;$B59)*(A_Corridor!$E$5:$E$204&lt;&gt;"")),IF(A_Corridor!$E$5:$E$204="-","",A_Corridor!$E$5:$E$204)),"")</f>
        <v/>
      </c>
      <c r="H59" s="182" t="str">
        <f>IFERROR(LOOKUP(2,1/((D_Points!$A$5:$A$204&lt;&gt;"")*(D_Points!$A$5:$A$204&gt;=$B59)*(D_Points!$A$5:$A$204&lt;$B59+P_Interval)*(UPPER(TRIM(D_Points!$B$5:$B$204))="GULLY")*(D_Points!$H$5:$H$204&lt;&gt;"")),D_Points!$H$5:$H$204),"")</f>
        <v/>
      </c>
      <c r="I59" s="181" t="str">
        <f>IFERROR(LOOKUP(2,1/((A_Corridor!$A$5:$A$204&lt;&gt;"")*(A_Corridor!$A$5:$A$204&lt;=$B59)*(A_Corridor!$B$5:$B$204&gt;$B59)*(A_Corridor!$F$5:$F$204&lt;&gt;"")),IF(A_Corridor!$F$5:$F$204="-","",1)),"")</f>
        <v/>
      </c>
      <c r="J59" s="182" t="str">
        <f>IFERROR(LOOKUP(2,1/((A_Corridor!$A$5:$A$204&lt;&gt;"")*(A_Corridor!$A$5:$A$204&lt;=$B59)*(A_Corridor!$B$5:$B$204&gt;$B59)*(A_Corridor!$F$5:$F$204&lt;&gt;"")),IF(A_Corridor!$F$5:$F$204="-","",A_Corridor!$F$5:$F$204)),"")</f>
        <v/>
      </c>
      <c r="K59" s="182" t="str">
        <f>IFERROR(LOOKUP(2,1/((A_Corridor!$A$5:$A$204&lt;&gt;"")*(A_Corridor!$A$5:$A$204&lt;=$B59)*(A_Corridor!$B$5:$B$204&gt;$B59)*(A_Corridor!$G$5:$G$204&lt;&gt;"")),IF(A_Corridor!$G$5:$G$204="-","",A_Corridor!$G$5:$G$204)),"")</f>
        <v/>
      </c>
      <c r="L59" s="181" t="str">
        <f>IFERROR(LOOKUP(2,1/((A_Corridor!$A$5:$A$204&lt;&gt;"")*(A_Corridor!$A$5:$A$204&lt;=$B59)*(A_Corridor!$B$5:$B$204&gt;$B59)*(A_Corridor!$H$5:$H$204&lt;&gt;"")),IF(A_Corridor!$H$5:$H$204="-","",1)),"")</f>
        <v/>
      </c>
      <c r="M59" s="182" t="str">
        <f>IFERROR(LOOKUP(2,1/((A_Corridor!$A$5:$A$204&lt;&gt;"")*(A_Corridor!$A$5:$A$204&lt;=$B59)*(A_Corridor!$B$5:$B$204&gt;$B59)*(A_Corridor!$H$5:$H$204&lt;&gt;"")),IF(A_Corridor!$H$5:$H$204="-","",A_Corridor!$H$5:$H$204)),"")</f>
        <v/>
      </c>
      <c r="N59" s="182" t="str">
        <f>IFERROR(LOOKUP(2,1/((A_Corridor!$A$5:$A$204&lt;&gt;"")*(A_Corridor!$A$5:$A$204&lt;=$B59)*(A_Corridor!$B$5:$B$204&gt;$B59)*(A_Corridor!$I$5:$I$204&lt;&gt;"")),IF(A_Corridor!$I$5:$I$204="-","",A_Corridor!$I$5:$I$204)),"")</f>
        <v/>
      </c>
      <c r="O59" s="182" t="str">
        <f>IFERROR(LOOKUP(2,1/((D_Points!$A$5:$A$204&lt;&gt;"")*(D_Points!$A$5:$A$204&gt;=$B59)*(D_Points!$A$5:$A$204&lt;$B59+P_Interval)*(UPPER(TRIM(D_Points!$B$5:$B$204))="PITCHING")*(D_Points!$H$5:$H$204&lt;&gt;"")),D_Points!$H$5:$H$204),"")</f>
        <v/>
      </c>
      <c r="P59" s="181" t="str">
        <f>IFERROR(LOOKUP(2,1/((B_Drainage!$A$5:$A$204&lt;&gt;"")*(B_Drainage!$A$5:$A$204&lt;=$B59)*(B_Drainage!$B$5:$B$204&gt;$B59)*(B_Drainage!$C$5:$C$204&lt;&gt;"")),IF(B_Drainage!$C$5:$C$204="-","",UPPER(B_Drainage!$C$5:$C$204))),"")</f>
        <v/>
      </c>
      <c r="Q59" s="181" t="str">
        <f>IFERROR(LOOKUP(2,1/((B_Drainage!$A$5:$A$204&lt;&gt;"")*(B_Drainage!$A$5:$A$204&lt;=$B59)*(B_Drainage!$B$5:$B$204&gt;$B59)*(B_Drainage!$D$5:$D$204&lt;&gt;"")),IF(B_Drainage!$D$5:$D$204="-","",UPPER(B_Drainage!$D$5:$D$204))),"")</f>
        <v/>
      </c>
      <c r="R59" s="182" t="str">
        <f>IFERROR(LOOKUP(2,1/((D_Points!$A$5:$A$204&lt;&gt;"")*(D_Points!$A$5:$A$204&gt;=$B59)*(D_Points!$A$5:$A$204&lt;$B59+P_Interval)*(RIGHT(UPPER(TRIM(D_Points!$B$5:$B$204)),8)="_CULVERT")),IF(LEFT(UPPER(TRIM(D_Points!$B$5:$B$204)),2)="EX",1,IF(LEFT(UPPER(TRIM(D_Points!$B$5:$B$204)),2)="PR",2,3))),"")</f>
        <v/>
      </c>
      <c r="S59" s="182" t="str">
        <f>IFERROR(LOOKUP(2,1/((D_Points!$A$5:$A$204&lt;&gt;"")*(D_Points!$A$5:$A$204&gt;=$B59)*(D_Points!$A$5:$A$204&lt;$B59+P_Interval)*(RIGHT(UPPER(TRIM(D_Points!$B$5:$B$204)),7)="_BRIDGE")),IF(LEFT(UPPER(TRIM(D_Points!$B$5:$B$204)),2)="EX",1,IF(LEFT(UPPER(TRIM(D_Points!$B$5:$B$204)),2)="PR",2,2))),"")</f>
        <v/>
      </c>
      <c r="T59" s="181" t="str">
        <f>IFERROR(LOOKUP(2,1/((B_Drainage!$A$5:$A$204&lt;&gt;"")*(B_Drainage!$A$5:$A$204&lt;=$B59)*(B_Drainage!$B$5:$B$204&gt;$B59)*(B_Drainage!$E$5:$E$204&lt;&gt;"")),IF(B_Drainage!$E$5:$E$204="-","",1)),"")</f>
        <v/>
      </c>
      <c r="U59" s="181" t="str">
        <f>IFERROR(LOOKUP(2,1/((B_Drainage!$A$5:$A$204&lt;&gt;"")*(B_Drainage!$A$5:$A$204&lt;=$B59)*(B_Drainage!$B$5:$B$204&gt;$B59)*(B_Drainage!$E$5:$E$204&lt;&gt;"")),IF(B_Drainage!$E$5:$E$204="-","",B_Drainage!$E$5:$E$204)),"")</f>
        <v/>
      </c>
      <c r="V59" s="181" t="str">
        <f>IFERROR(LOOKUP(2,1/((B_Drainage!$A$5:$A$204&lt;&gt;"")*(B_Drainage!$A$5:$A$204&lt;=$B59)*(B_Drainage!$B$5:$B$204&gt;$B59)*(B_Drainage!$F$5:$F$204&lt;&gt;"")),IF(B_Drainage!$F$5:$F$204="-","",1)),"")</f>
        <v/>
      </c>
      <c r="W59" s="181" t="str">
        <f>IFERROR(LOOKUP(2,1/((B_Drainage!$A$5:$A$204&lt;&gt;"")*(B_Drainage!$A$5:$A$204&lt;=$B59)*(B_Drainage!$B$5:$B$204&gt;$B59)*(B_Drainage!$F$5:$F$204&lt;&gt;"")),IF(B_Drainage!$F$5:$F$204="-","",B_Drainage!$F$5:$F$204)),"")</f>
        <v/>
      </c>
      <c r="X59" s="181" t="str">
        <f>IFERROR(LOOKUP(2,1/((B_Drainage!$A$5:$A$204&lt;&gt;"")*(B_Drainage!$A$5:$A$204&lt;=$B59)*(B_Drainage!$B$5:$B$204&gt;$B59)*(B_Drainage!$G$5:$G$204&lt;&gt;"")),IF(UPPER(B_Drainage!$G$5:$G$204)="Y",1,"")),"")</f>
        <v/>
      </c>
      <c r="Y59" s="181" t="str">
        <f>IFERROR(LOOKUP(2,1/((B_Drainage!$A$5:$A$204&lt;&gt;"")*(B_Drainage!$A$5:$A$204&lt;=$B59)*(B_Drainage!$B$5:$B$204&gt;$B59)*(B_Drainage!$H$5:$H$204&lt;&gt;"")),IF(UPPER(B_Drainage!$H$5:$H$204)="Y",1,"")),"")</f>
        <v/>
      </c>
      <c r="Z59" s="181" t="str">
        <f>IFERROR(LOOKUP(2,1/((B_Drainage!$A$5:$A$204&lt;&gt;"")*(B_Drainage!$A$5:$A$204&lt;=$B59)*(B_Drainage!$B$5:$B$204&gt;$B59)*(B_Drainage!$I$5:$I$204&lt;&gt;"")),IF(UPPER(B_Drainage!$I$5:$I$204)="Y",1,"")),"")</f>
        <v/>
      </c>
      <c r="AA59" s="181" t="str">
        <f>IFERROR(LOOKUP(2,1/((B_Drainage!$A$5:$A$204&lt;&gt;"")*(B_Drainage!$A$5:$A$204&lt;=$B59)*(B_Drainage!$B$5:$B$204&gt;$B59)*(B_Drainage!$J$5:$J$204&lt;&gt;"")),IF(UPPER(B_Drainage!$J$5:$J$204)="Y",1,"")),"")</f>
        <v/>
      </c>
      <c r="AB59" s="182" t="str">
        <f>IFERROR(LOOKUP(2,1/((B_Drainage!$A$5:$A$204&lt;&gt;"")*(B_Drainage!$A$5:$A$204&lt;=$B59)*(B_Drainage!$B$5:$B$204&gt;$B59)*(B_Drainage!$K$5:$K$204&lt;&gt;"")),IF(B_Drainage!$K$5:$K$204="-","",B_Drainage!$K$5:$K$204)),"")</f>
        <v/>
      </c>
      <c r="AC59" s="182" t="str">
        <f>IFERROR(LOOKUP(2,1/((B_Drainage!$A$5:$A$204&lt;&gt;"")*(B_Drainage!$A$5:$A$204&lt;=$B59)*(B_Drainage!$B$5:$B$204&gt;$B59)*(B_Drainage!$L$5:$L$204&lt;&gt;"")),IF(B_Drainage!$L$5:$L$204="-","",B_Drainage!$L$5:$L$204)),"")</f>
        <v/>
      </c>
      <c r="AD59" s="182" t="str">
        <f>IFERROR(LOOKUP(2,1/((D_Points!$A$5:$A$204&lt;&gt;"")*(D_Points!$A$5:$A$204&gt;=$B59)*(D_Points!$A$5:$A$204&lt;$B59+P_Interval)*(UPPER(TRIM(D_Points!$B$5:$B$204))="TURNOUT_L")*(D_Points!$H$5:$H$204&lt;&gt;"")),D_Points!$H$5:$H$204),"")</f>
        <v/>
      </c>
      <c r="AE59" s="182" t="str">
        <f>IFERROR(LOOKUP(2,1/((D_Points!$A$5:$A$204&lt;&gt;"")*(D_Points!$A$5:$A$204&gt;=$B59)*(D_Points!$A$5:$A$204&lt;$B59+P_Interval)*(UPPER(TRIM(D_Points!$B$5:$B$204))="TURNOUT_R")*(D_Points!$H$5:$H$204&lt;&gt;"")),D_Points!$H$5:$H$204),"")</f>
        <v/>
      </c>
      <c r="AF59" s="181" t="str">
        <f>IFERROR(LOOKUP(2,1/((B_Drainage!$A$5:$A$204&lt;&gt;"")*(B_Drainage!$A$5:$A$204&lt;=$B59)*(B_Drainage!$B$5:$B$204&gt;$B59)*(B_Drainage!$M$5:$M$204&lt;&gt;"")),IF(UPPER(B_Drainage!$M$5:$M$204)="Y",1,"")),"")</f>
        <v/>
      </c>
      <c r="AG59" s="181" t="str">
        <f>IFERROR(LOOKUP(2,1/((B_Drainage!$A$5:$A$204&lt;&gt;"")*(B_Drainage!$A$5:$A$204&lt;=$B59)*(B_Drainage!$B$5:$B$204&gt;$B59)*(B_Drainage!$N$5:$N$204&lt;&gt;"")),IF(UPPER(B_Drainage!$N$5:$N$204)="Y",1,"")),"")</f>
        <v/>
      </c>
      <c r="AH59" s="181" t="str">
        <f t="shared" si="0"/>
        <v/>
      </c>
      <c r="AI59" s="181" t="str">
        <f t="shared" si="1"/>
        <v/>
      </c>
      <c r="AJ59" s="181" t="str">
        <f t="shared" si="2"/>
        <v/>
      </c>
      <c r="AK59" s="181" t="str">
        <f t="shared" si="3"/>
        <v/>
      </c>
      <c r="AL59" s="181" t="str">
        <f t="shared" si="4"/>
        <v/>
      </c>
      <c r="AM59" s="181" t="str">
        <f t="shared" si="5"/>
        <v/>
      </c>
      <c r="AN59" s="181" t="str">
        <f t="shared" si="6"/>
        <v/>
      </c>
      <c r="AO59" s="192" t="str">
        <f t="shared" si="7"/>
        <v/>
      </c>
      <c r="AQ59" t="str">
        <f>IFERROR(LOOKUP(2,1/((C_Pavement!$A$5:$A$204&lt;&gt;"")*(C_Pavement!$A$5:$A$204&lt;=$B59)*(C_Pavement!$B$5:$B$204&gt;$B59)*(C_Pavement!$C$5:$C$204&lt;&gt;"")),ROW(C_Pavement!$C$5:$C$204)-4),"")</f>
        <v/>
      </c>
      <c r="AR59" t="str">
        <f>IF($AQ59="","",UPPER(TRIM(INDEX(C_Pavement!$C$5:$C$204,$AQ59))))</f>
        <v/>
      </c>
      <c r="AS59" t="str">
        <f>IF($AR59="","",IFERROR(MATCH($AR59,E_Rules!$A$5:$A$9,0),""))</f>
        <v/>
      </c>
      <c r="AT59" t="str">
        <f>IF($AQ59="","",IF(INDEX(C_Pavement!$D$5:$D$204,$AQ59)&lt;&gt;"",UPPER(TRIM(INDEX(C_Pavement!$D$5:$D$204,$AQ59))),IF($AS59="","",INDEX(E_Rules!$C$5:$C$9,$AS59))))</f>
        <v/>
      </c>
      <c r="AU59" t="str">
        <f>IF($AQ59="","",IF(INDEX(C_Pavement!$E$5:$E$204,$AQ59)&lt;&gt;"",IF(INDEX(C_Pavement!$E$5:$E$204,$AQ59)="-","",INDEX(C_Pavement!$E$5:$E$204,$AQ59)),IF($AS59="","",INDEX(E_Rules!$D$5:$D$9,$AS59))))</f>
        <v/>
      </c>
      <c r="AV59" t="str">
        <f>IF($AQ59="","",IF(INDEX(C_Pavement!$F$5:$F$204,$AQ59)&lt;&gt;"",IF(INDEX(C_Pavement!$F$5:$F$204,$AQ59)="-","",INDEX(C_Pavement!$F$5:$F$204,$AQ59)),IF($AS59="","",INDEX(E_Rules!$E$5:$E$9,$AS59))))</f>
        <v/>
      </c>
      <c r="AW59" t="str">
        <f>IF($AQ59="","",IF(INDEX(C_Pavement!$G$5:$G$204,$AQ59)&lt;&gt;"",IF(INDEX(C_Pavement!$G$5:$G$204,$AQ59)="-","",INDEX(C_Pavement!$G$5:$G$204,$AQ59)),IF($AS59="","",INDEX(E_Rules!$F$5:$F$9,$AS59))))</f>
        <v/>
      </c>
      <c r="AX59" t="str">
        <f>IF($AQ59="","",IF(INDEX(C_Pavement!$H$5:$H$204,$AQ59)&lt;&gt;"",IF(INDEX(C_Pavement!$H$5:$H$204,$AQ59)="-","",INDEX(C_Pavement!$H$5:$H$204,$AQ59)),IF($AS59="","",INDEX(E_Rules!$G$5:$G$9,$AS59))))</f>
        <v/>
      </c>
      <c r="AY59" t="str">
        <f>IF($AQ59="","",IF(INDEX(C_Pavement!$I$5:$I$204,$AQ59)&lt;&gt;"",IF(INDEX(C_Pavement!$I$5:$I$204,$AQ59)="-","",INDEX(C_Pavement!$I$5:$I$204,$AQ59)),IF($AS59="","",INDEX(E_Rules!$H$5:$H$9,$AS59))))</f>
        <v/>
      </c>
    </row>
    <row r="60" spans="1:51" ht="15.75" customHeight="1" x14ac:dyDescent="0.3">
      <c r="A60" s="189">
        <v>55</v>
      </c>
      <c r="B60" s="180">
        <v>2700</v>
      </c>
      <c r="C60" s="180" t="s">
        <v>366</v>
      </c>
      <c r="D60" s="181" t="str">
        <f>IFERROR(LOOKUP(2,1/((A_Corridor!$A$5:$A$204&lt;&gt;"")*(A_Corridor!$A$5:$A$204&lt;=$B60)*(A_Corridor!$B$5:$B$204&gt;$B60)*(A_Corridor!$C$5:$C$204&lt;&gt;"")),IF(UPPER(A_Corridor!$C$5:$C$204)="Y",1,"")),"")</f>
        <v/>
      </c>
      <c r="E60" s="181" t="str">
        <f>IFERROR(LOOKUP(2,1/((A_Corridor!$A$5:$A$204&lt;&gt;"")*(A_Corridor!$A$5:$A$204&lt;=$B60)*(A_Corridor!$B$5:$B$204&gt;$B60)*(A_Corridor!$D$5:$D$204&lt;&gt;"")),IF(A_Corridor!$D$5:$D$204="-","",UPPER(A_Corridor!$D$5:$D$204))),"")</f>
        <v/>
      </c>
      <c r="F60" s="181" t="str">
        <f>IFERROR(LOOKUP(2,1/((A_Corridor!$A$5:$A$204&lt;&gt;"")*(A_Corridor!$A$5:$A$204&lt;=$B60)*(A_Corridor!$B$5:$B$204&gt;$B60)*(A_Corridor!$E$5:$E$204&lt;&gt;"")),IF(A_Corridor!$E$5:$E$204="-","",1)),"")</f>
        <v/>
      </c>
      <c r="G60" s="182" t="str">
        <f>IFERROR(LOOKUP(2,1/((A_Corridor!$A$5:$A$204&lt;&gt;"")*(A_Corridor!$A$5:$A$204&lt;=$B60)*(A_Corridor!$B$5:$B$204&gt;$B60)*(A_Corridor!$E$5:$E$204&lt;&gt;"")),IF(A_Corridor!$E$5:$E$204="-","",A_Corridor!$E$5:$E$204)),"")</f>
        <v/>
      </c>
      <c r="H60" s="182" t="str">
        <f>IFERROR(LOOKUP(2,1/((D_Points!$A$5:$A$204&lt;&gt;"")*(D_Points!$A$5:$A$204&gt;=$B60)*(D_Points!$A$5:$A$204&lt;$B60+P_Interval)*(UPPER(TRIM(D_Points!$B$5:$B$204))="GULLY")*(D_Points!$H$5:$H$204&lt;&gt;"")),D_Points!$H$5:$H$204),"")</f>
        <v/>
      </c>
      <c r="I60" s="181" t="str">
        <f>IFERROR(LOOKUP(2,1/((A_Corridor!$A$5:$A$204&lt;&gt;"")*(A_Corridor!$A$5:$A$204&lt;=$B60)*(A_Corridor!$B$5:$B$204&gt;$B60)*(A_Corridor!$F$5:$F$204&lt;&gt;"")),IF(A_Corridor!$F$5:$F$204="-","",1)),"")</f>
        <v/>
      </c>
      <c r="J60" s="182" t="str">
        <f>IFERROR(LOOKUP(2,1/((A_Corridor!$A$5:$A$204&lt;&gt;"")*(A_Corridor!$A$5:$A$204&lt;=$B60)*(A_Corridor!$B$5:$B$204&gt;$B60)*(A_Corridor!$F$5:$F$204&lt;&gt;"")),IF(A_Corridor!$F$5:$F$204="-","",A_Corridor!$F$5:$F$204)),"")</f>
        <v/>
      </c>
      <c r="K60" s="182" t="str">
        <f>IFERROR(LOOKUP(2,1/((A_Corridor!$A$5:$A$204&lt;&gt;"")*(A_Corridor!$A$5:$A$204&lt;=$B60)*(A_Corridor!$B$5:$B$204&gt;$B60)*(A_Corridor!$G$5:$G$204&lt;&gt;"")),IF(A_Corridor!$G$5:$G$204="-","",A_Corridor!$G$5:$G$204)),"")</f>
        <v/>
      </c>
      <c r="L60" s="181" t="str">
        <f>IFERROR(LOOKUP(2,1/((A_Corridor!$A$5:$A$204&lt;&gt;"")*(A_Corridor!$A$5:$A$204&lt;=$B60)*(A_Corridor!$B$5:$B$204&gt;$B60)*(A_Corridor!$H$5:$H$204&lt;&gt;"")),IF(A_Corridor!$H$5:$H$204="-","",1)),"")</f>
        <v/>
      </c>
      <c r="M60" s="182" t="str">
        <f>IFERROR(LOOKUP(2,1/((A_Corridor!$A$5:$A$204&lt;&gt;"")*(A_Corridor!$A$5:$A$204&lt;=$B60)*(A_Corridor!$B$5:$B$204&gt;$B60)*(A_Corridor!$H$5:$H$204&lt;&gt;"")),IF(A_Corridor!$H$5:$H$204="-","",A_Corridor!$H$5:$H$204)),"")</f>
        <v/>
      </c>
      <c r="N60" s="182" t="str">
        <f>IFERROR(LOOKUP(2,1/((A_Corridor!$A$5:$A$204&lt;&gt;"")*(A_Corridor!$A$5:$A$204&lt;=$B60)*(A_Corridor!$B$5:$B$204&gt;$B60)*(A_Corridor!$I$5:$I$204&lt;&gt;"")),IF(A_Corridor!$I$5:$I$204="-","",A_Corridor!$I$5:$I$204)),"")</f>
        <v/>
      </c>
      <c r="O60" s="182" t="str">
        <f>IFERROR(LOOKUP(2,1/((D_Points!$A$5:$A$204&lt;&gt;"")*(D_Points!$A$5:$A$204&gt;=$B60)*(D_Points!$A$5:$A$204&lt;$B60+P_Interval)*(UPPER(TRIM(D_Points!$B$5:$B$204))="PITCHING")*(D_Points!$H$5:$H$204&lt;&gt;"")),D_Points!$H$5:$H$204),"")</f>
        <v/>
      </c>
      <c r="P60" s="181" t="str">
        <f>IFERROR(LOOKUP(2,1/((B_Drainage!$A$5:$A$204&lt;&gt;"")*(B_Drainage!$A$5:$A$204&lt;=$B60)*(B_Drainage!$B$5:$B$204&gt;$B60)*(B_Drainage!$C$5:$C$204&lt;&gt;"")),IF(B_Drainage!$C$5:$C$204="-","",UPPER(B_Drainage!$C$5:$C$204))),"")</f>
        <v/>
      </c>
      <c r="Q60" s="181" t="str">
        <f>IFERROR(LOOKUP(2,1/((B_Drainage!$A$5:$A$204&lt;&gt;"")*(B_Drainage!$A$5:$A$204&lt;=$B60)*(B_Drainage!$B$5:$B$204&gt;$B60)*(B_Drainage!$D$5:$D$204&lt;&gt;"")),IF(B_Drainage!$D$5:$D$204="-","",UPPER(B_Drainage!$D$5:$D$204))),"")</f>
        <v/>
      </c>
      <c r="R60" s="182" t="str">
        <f>IFERROR(LOOKUP(2,1/((D_Points!$A$5:$A$204&lt;&gt;"")*(D_Points!$A$5:$A$204&gt;=$B60)*(D_Points!$A$5:$A$204&lt;$B60+P_Interval)*(RIGHT(UPPER(TRIM(D_Points!$B$5:$B$204)),8)="_CULVERT")),IF(LEFT(UPPER(TRIM(D_Points!$B$5:$B$204)),2)="EX",1,IF(LEFT(UPPER(TRIM(D_Points!$B$5:$B$204)),2)="PR",2,3))),"")</f>
        <v/>
      </c>
      <c r="S60" s="182" t="str">
        <f>IFERROR(LOOKUP(2,1/((D_Points!$A$5:$A$204&lt;&gt;"")*(D_Points!$A$5:$A$204&gt;=$B60)*(D_Points!$A$5:$A$204&lt;$B60+P_Interval)*(RIGHT(UPPER(TRIM(D_Points!$B$5:$B$204)),7)="_BRIDGE")),IF(LEFT(UPPER(TRIM(D_Points!$B$5:$B$204)),2)="EX",1,IF(LEFT(UPPER(TRIM(D_Points!$B$5:$B$204)),2)="PR",2,2))),"")</f>
        <v/>
      </c>
      <c r="T60" s="181" t="str">
        <f>IFERROR(LOOKUP(2,1/((B_Drainage!$A$5:$A$204&lt;&gt;"")*(B_Drainage!$A$5:$A$204&lt;=$B60)*(B_Drainage!$B$5:$B$204&gt;$B60)*(B_Drainage!$E$5:$E$204&lt;&gt;"")),IF(B_Drainage!$E$5:$E$204="-","",1)),"")</f>
        <v/>
      </c>
      <c r="U60" s="181" t="str">
        <f>IFERROR(LOOKUP(2,1/((B_Drainage!$A$5:$A$204&lt;&gt;"")*(B_Drainage!$A$5:$A$204&lt;=$B60)*(B_Drainage!$B$5:$B$204&gt;$B60)*(B_Drainage!$E$5:$E$204&lt;&gt;"")),IF(B_Drainage!$E$5:$E$204="-","",B_Drainage!$E$5:$E$204)),"")</f>
        <v/>
      </c>
      <c r="V60" s="181" t="str">
        <f>IFERROR(LOOKUP(2,1/((B_Drainage!$A$5:$A$204&lt;&gt;"")*(B_Drainage!$A$5:$A$204&lt;=$B60)*(B_Drainage!$B$5:$B$204&gt;$B60)*(B_Drainage!$F$5:$F$204&lt;&gt;"")),IF(B_Drainage!$F$5:$F$204="-","",1)),"")</f>
        <v/>
      </c>
      <c r="W60" s="181" t="str">
        <f>IFERROR(LOOKUP(2,1/((B_Drainage!$A$5:$A$204&lt;&gt;"")*(B_Drainage!$A$5:$A$204&lt;=$B60)*(B_Drainage!$B$5:$B$204&gt;$B60)*(B_Drainage!$F$5:$F$204&lt;&gt;"")),IF(B_Drainage!$F$5:$F$204="-","",B_Drainage!$F$5:$F$204)),"")</f>
        <v/>
      </c>
      <c r="X60" s="181" t="str">
        <f>IFERROR(LOOKUP(2,1/((B_Drainage!$A$5:$A$204&lt;&gt;"")*(B_Drainage!$A$5:$A$204&lt;=$B60)*(B_Drainage!$B$5:$B$204&gt;$B60)*(B_Drainage!$G$5:$G$204&lt;&gt;"")),IF(UPPER(B_Drainage!$G$5:$G$204)="Y",1,"")),"")</f>
        <v/>
      </c>
      <c r="Y60" s="181" t="str">
        <f>IFERROR(LOOKUP(2,1/((B_Drainage!$A$5:$A$204&lt;&gt;"")*(B_Drainage!$A$5:$A$204&lt;=$B60)*(B_Drainage!$B$5:$B$204&gt;$B60)*(B_Drainage!$H$5:$H$204&lt;&gt;"")),IF(UPPER(B_Drainage!$H$5:$H$204)="Y",1,"")),"")</f>
        <v/>
      </c>
      <c r="Z60" s="181" t="str">
        <f>IFERROR(LOOKUP(2,1/((B_Drainage!$A$5:$A$204&lt;&gt;"")*(B_Drainage!$A$5:$A$204&lt;=$B60)*(B_Drainage!$B$5:$B$204&gt;$B60)*(B_Drainage!$I$5:$I$204&lt;&gt;"")),IF(UPPER(B_Drainage!$I$5:$I$204)="Y",1,"")),"")</f>
        <v/>
      </c>
      <c r="AA60" s="181" t="str">
        <f>IFERROR(LOOKUP(2,1/((B_Drainage!$A$5:$A$204&lt;&gt;"")*(B_Drainage!$A$5:$A$204&lt;=$B60)*(B_Drainage!$B$5:$B$204&gt;$B60)*(B_Drainage!$J$5:$J$204&lt;&gt;"")),IF(UPPER(B_Drainage!$J$5:$J$204)="Y",1,"")),"")</f>
        <v/>
      </c>
      <c r="AB60" s="182" t="str">
        <f>IFERROR(LOOKUP(2,1/((B_Drainage!$A$5:$A$204&lt;&gt;"")*(B_Drainage!$A$5:$A$204&lt;=$B60)*(B_Drainage!$B$5:$B$204&gt;$B60)*(B_Drainage!$K$5:$K$204&lt;&gt;"")),IF(B_Drainage!$K$5:$K$204="-","",B_Drainage!$K$5:$K$204)),"")</f>
        <v/>
      </c>
      <c r="AC60" s="182" t="str">
        <f>IFERROR(LOOKUP(2,1/((B_Drainage!$A$5:$A$204&lt;&gt;"")*(B_Drainage!$A$5:$A$204&lt;=$B60)*(B_Drainage!$B$5:$B$204&gt;$B60)*(B_Drainage!$L$5:$L$204&lt;&gt;"")),IF(B_Drainage!$L$5:$L$204="-","",B_Drainage!$L$5:$L$204)),"")</f>
        <v/>
      </c>
      <c r="AD60" s="182" t="str">
        <f>IFERROR(LOOKUP(2,1/((D_Points!$A$5:$A$204&lt;&gt;"")*(D_Points!$A$5:$A$204&gt;=$B60)*(D_Points!$A$5:$A$204&lt;$B60+P_Interval)*(UPPER(TRIM(D_Points!$B$5:$B$204))="TURNOUT_L")*(D_Points!$H$5:$H$204&lt;&gt;"")),D_Points!$H$5:$H$204),"")</f>
        <v/>
      </c>
      <c r="AE60" s="182" t="str">
        <f>IFERROR(LOOKUP(2,1/((D_Points!$A$5:$A$204&lt;&gt;"")*(D_Points!$A$5:$A$204&gt;=$B60)*(D_Points!$A$5:$A$204&lt;$B60+P_Interval)*(UPPER(TRIM(D_Points!$B$5:$B$204))="TURNOUT_R")*(D_Points!$H$5:$H$204&lt;&gt;"")),D_Points!$H$5:$H$204),"")</f>
        <v/>
      </c>
      <c r="AF60" s="181" t="str">
        <f>IFERROR(LOOKUP(2,1/((B_Drainage!$A$5:$A$204&lt;&gt;"")*(B_Drainage!$A$5:$A$204&lt;=$B60)*(B_Drainage!$B$5:$B$204&gt;$B60)*(B_Drainage!$M$5:$M$204&lt;&gt;"")),IF(UPPER(B_Drainage!$M$5:$M$204)="Y",1,"")),"")</f>
        <v/>
      </c>
      <c r="AG60" s="181" t="str">
        <f>IFERROR(LOOKUP(2,1/((B_Drainage!$A$5:$A$204&lt;&gt;"")*(B_Drainage!$A$5:$A$204&lt;=$B60)*(B_Drainage!$B$5:$B$204&gt;$B60)*(B_Drainage!$N$5:$N$204&lt;&gt;"")),IF(UPPER(B_Drainage!$N$5:$N$204)="Y",1,"")),"")</f>
        <v/>
      </c>
      <c r="AH60" s="181" t="str">
        <f t="shared" si="0"/>
        <v/>
      </c>
      <c r="AI60" s="181" t="str">
        <f t="shared" si="1"/>
        <v/>
      </c>
      <c r="AJ60" s="181" t="str">
        <f t="shared" si="2"/>
        <v/>
      </c>
      <c r="AK60" s="181" t="str">
        <f t="shared" si="3"/>
        <v/>
      </c>
      <c r="AL60" s="181" t="str">
        <f t="shared" si="4"/>
        <v/>
      </c>
      <c r="AM60" s="181" t="str">
        <f t="shared" si="5"/>
        <v/>
      </c>
      <c r="AN60" s="181" t="str">
        <f t="shared" si="6"/>
        <v/>
      </c>
      <c r="AO60" s="192" t="str">
        <f t="shared" si="7"/>
        <v/>
      </c>
      <c r="AQ60" t="str">
        <f>IFERROR(LOOKUP(2,1/((C_Pavement!$A$5:$A$204&lt;&gt;"")*(C_Pavement!$A$5:$A$204&lt;=$B60)*(C_Pavement!$B$5:$B$204&gt;$B60)*(C_Pavement!$C$5:$C$204&lt;&gt;"")),ROW(C_Pavement!$C$5:$C$204)-4),"")</f>
        <v/>
      </c>
      <c r="AR60" t="str">
        <f>IF($AQ60="","",UPPER(TRIM(INDEX(C_Pavement!$C$5:$C$204,$AQ60))))</f>
        <v/>
      </c>
      <c r="AS60" t="str">
        <f>IF($AR60="","",IFERROR(MATCH($AR60,E_Rules!$A$5:$A$9,0),""))</f>
        <v/>
      </c>
      <c r="AT60" t="str">
        <f>IF($AQ60="","",IF(INDEX(C_Pavement!$D$5:$D$204,$AQ60)&lt;&gt;"",UPPER(TRIM(INDEX(C_Pavement!$D$5:$D$204,$AQ60))),IF($AS60="","",INDEX(E_Rules!$C$5:$C$9,$AS60))))</f>
        <v/>
      </c>
      <c r="AU60" t="str">
        <f>IF($AQ60="","",IF(INDEX(C_Pavement!$E$5:$E$204,$AQ60)&lt;&gt;"",IF(INDEX(C_Pavement!$E$5:$E$204,$AQ60)="-","",INDEX(C_Pavement!$E$5:$E$204,$AQ60)),IF($AS60="","",INDEX(E_Rules!$D$5:$D$9,$AS60))))</f>
        <v/>
      </c>
      <c r="AV60" t="str">
        <f>IF($AQ60="","",IF(INDEX(C_Pavement!$F$5:$F$204,$AQ60)&lt;&gt;"",IF(INDEX(C_Pavement!$F$5:$F$204,$AQ60)="-","",INDEX(C_Pavement!$F$5:$F$204,$AQ60)),IF($AS60="","",INDEX(E_Rules!$E$5:$E$9,$AS60))))</f>
        <v/>
      </c>
      <c r="AW60" t="str">
        <f>IF($AQ60="","",IF(INDEX(C_Pavement!$G$5:$G$204,$AQ60)&lt;&gt;"",IF(INDEX(C_Pavement!$G$5:$G$204,$AQ60)="-","",INDEX(C_Pavement!$G$5:$G$204,$AQ60)),IF($AS60="","",INDEX(E_Rules!$F$5:$F$9,$AS60))))</f>
        <v/>
      </c>
      <c r="AX60" t="str">
        <f>IF($AQ60="","",IF(INDEX(C_Pavement!$H$5:$H$204,$AQ60)&lt;&gt;"",IF(INDEX(C_Pavement!$H$5:$H$204,$AQ60)="-","",INDEX(C_Pavement!$H$5:$H$204,$AQ60)),IF($AS60="","",INDEX(E_Rules!$G$5:$G$9,$AS60))))</f>
        <v/>
      </c>
      <c r="AY60" t="str">
        <f>IF($AQ60="","",IF(INDEX(C_Pavement!$I$5:$I$204,$AQ60)&lt;&gt;"",IF(INDEX(C_Pavement!$I$5:$I$204,$AQ60)="-","",INDEX(C_Pavement!$I$5:$I$204,$AQ60)),IF($AS60="","",INDEX(E_Rules!$H$5:$H$9,$AS60))))</f>
        <v/>
      </c>
    </row>
    <row r="61" spans="1:51" ht="15.75" customHeight="1" x14ac:dyDescent="0.3">
      <c r="A61" s="189">
        <v>56</v>
      </c>
      <c r="B61" s="180">
        <v>2750</v>
      </c>
      <c r="C61" s="180" t="s">
        <v>367</v>
      </c>
      <c r="D61" s="181" t="str">
        <f>IFERROR(LOOKUP(2,1/((A_Corridor!$A$5:$A$204&lt;&gt;"")*(A_Corridor!$A$5:$A$204&lt;=$B61)*(A_Corridor!$B$5:$B$204&gt;$B61)*(A_Corridor!$C$5:$C$204&lt;&gt;"")),IF(UPPER(A_Corridor!$C$5:$C$204)="Y",1,"")),"")</f>
        <v/>
      </c>
      <c r="E61" s="181" t="str">
        <f>IFERROR(LOOKUP(2,1/((A_Corridor!$A$5:$A$204&lt;&gt;"")*(A_Corridor!$A$5:$A$204&lt;=$B61)*(A_Corridor!$B$5:$B$204&gt;$B61)*(A_Corridor!$D$5:$D$204&lt;&gt;"")),IF(A_Corridor!$D$5:$D$204="-","",UPPER(A_Corridor!$D$5:$D$204))),"")</f>
        <v/>
      </c>
      <c r="F61" s="181" t="str">
        <f>IFERROR(LOOKUP(2,1/((A_Corridor!$A$5:$A$204&lt;&gt;"")*(A_Corridor!$A$5:$A$204&lt;=$B61)*(A_Corridor!$B$5:$B$204&gt;$B61)*(A_Corridor!$E$5:$E$204&lt;&gt;"")),IF(A_Corridor!$E$5:$E$204="-","",1)),"")</f>
        <v/>
      </c>
      <c r="G61" s="182" t="str">
        <f>IFERROR(LOOKUP(2,1/((A_Corridor!$A$5:$A$204&lt;&gt;"")*(A_Corridor!$A$5:$A$204&lt;=$B61)*(A_Corridor!$B$5:$B$204&gt;$B61)*(A_Corridor!$E$5:$E$204&lt;&gt;"")),IF(A_Corridor!$E$5:$E$204="-","",A_Corridor!$E$5:$E$204)),"")</f>
        <v/>
      </c>
      <c r="H61" s="182" t="str">
        <f>IFERROR(LOOKUP(2,1/((D_Points!$A$5:$A$204&lt;&gt;"")*(D_Points!$A$5:$A$204&gt;=$B61)*(D_Points!$A$5:$A$204&lt;$B61+P_Interval)*(UPPER(TRIM(D_Points!$B$5:$B$204))="GULLY")*(D_Points!$H$5:$H$204&lt;&gt;"")),D_Points!$H$5:$H$204),"")</f>
        <v/>
      </c>
      <c r="I61" s="181" t="str">
        <f>IFERROR(LOOKUP(2,1/((A_Corridor!$A$5:$A$204&lt;&gt;"")*(A_Corridor!$A$5:$A$204&lt;=$B61)*(A_Corridor!$B$5:$B$204&gt;$B61)*(A_Corridor!$F$5:$F$204&lt;&gt;"")),IF(A_Corridor!$F$5:$F$204="-","",1)),"")</f>
        <v/>
      </c>
      <c r="J61" s="182" t="str">
        <f>IFERROR(LOOKUP(2,1/((A_Corridor!$A$5:$A$204&lt;&gt;"")*(A_Corridor!$A$5:$A$204&lt;=$B61)*(A_Corridor!$B$5:$B$204&gt;$B61)*(A_Corridor!$F$5:$F$204&lt;&gt;"")),IF(A_Corridor!$F$5:$F$204="-","",A_Corridor!$F$5:$F$204)),"")</f>
        <v/>
      </c>
      <c r="K61" s="182" t="str">
        <f>IFERROR(LOOKUP(2,1/((A_Corridor!$A$5:$A$204&lt;&gt;"")*(A_Corridor!$A$5:$A$204&lt;=$B61)*(A_Corridor!$B$5:$B$204&gt;$B61)*(A_Corridor!$G$5:$G$204&lt;&gt;"")),IF(A_Corridor!$G$5:$G$204="-","",A_Corridor!$G$5:$G$204)),"")</f>
        <v/>
      </c>
      <c r="L61" s="181" t="str">
        <f>IFERROR(LOOKUP(2,1/((A_Corridor!$A$5:$A$204&lt;&gt;"")*(A_Corridor!$A$5:$A$204&lt;=$B61)*(A_Corridor!$B$5:$B$204&gt;$B61)*(A_Corridor!$H$5:$H$204&lt;&gt;"")),IF(A_Corridor!$H$5:$H$204="-","",1)),"")</f>
        <v/>
      </c>
      <c r="M61" s="182" t="str">
        <f>IFERROR(LOOKUP(2,1/((A_Corridor!$A$5:$A$204&lt;&gt;"")*(A_Corridor!$A$5:$A$204&lt;=$B61)*(A_Corridor!$B$5:$B$204&gt;$B61)*(A_Corridor!$H$5:$H$204&lt;&gt;"")),IF(A_Corridor!$H$5:$H$204="-","",A_Corridor!$H$5:$H$204)),"")</f>
        <v/>
      </c>
      <c r="N61" s="182" t="str">
        <f>IFERROR(LOOKUP(2,1/((A_Corridor!$A$5:$A$204&lt;&gt;"")*(A_Corridor!$A$5:$A$204&lt;=$B61)*(A_Corridor!$B$5:$B$204&gt;$B61)*(A_Corridor!$I$5:$I$204&lt;&gt;"")),IF(A_Corridor!$I$5:$I$204="-","",A_Corridor!$I$5:$I$204)),"")</f>
        <v/>
      </c>
      <c r="O61" s="182" t="str">
        <f>IFERROR(LOOKUP(2,1/((D_Points!$A$5:$A$204&lt;&gt;"")*(D_Points!$A$5:$A$204&gt;=$B61)*(D_Points!$A$5:$A$204&lt;$B61+P_Interval)*(UPPER(TRIM(D_Points!$B$5:$B$204))="PITCHING")*(D_Points!$H$5:$H$204&lt;&gt;"")),D_Points!$H$5:$H$204),"")</f>
        <v/>
      </c>
      <c r="P61" s="181" t="str">
        <f>IFERROR(LOOKUP(2,1/((B_Drainage!$A$5:$A$204&lt;&gt;"")*(B_Drainage!$A$5:$A$204&lt;=$B61)*(B_Drainage!$B$5:$B$204&gt;$B61)*(B_Drainage!$C$5:$C$204&lt;&gt;"")),IF(B_Drainage!$C$5:$C$204="-","",UPPER(B_Drainage!$C$5:$C$204))),"")</f>
        <v/>
      </c>
      <c r="Q61" s="181" t="str">
        <f>IFERROR(LOOKUP(2,1/((B_Drainage!$A$5:$A$204&lt;&gt;"")*(B_Drainage!$A$5:$A$204&lt;=$B61)*(B_Drainage!$B$5:$B$204&gt;$B61)*(B_Drainage!$D$5:$D$204&lt;&gt;"")),IF(B_Drainage!$D$5:$D$204="-","",UPPER(B_Drainage!$D$5:$D$204))),"")</f>
        <v/>
      </c>
      <c r="R61" s="182" t="str">
        <f>IFERROR(LOOKUP(2,1/((D_Points!$A$5:$A$204&lt;&gt;"")*(D_Points!$A$5:$A$204&gt;=$B61)*(D_Points!$A$5:$A$204&lt;$B61+P_Interval)*(RIGHT(UPPER(TRIM(D_Points!$B$5:$B$204)),8)="_CULVERT")),IF(LEFT(UPPER(TRIM(D_Points!$B$5:$B$204)),2)="EX",1,IF(LEFT(UPPER(TRIM(D_Points!$B$5:$B$204)),2)="PR",2,3))),"")</f>
        <v/>
      </c>
      <c r="S61" s="182" t="str">
        <f>IFERROR(LOOKUP(2,1/((D_Points!$A$5:$A$204&lt;&gt;"")*(D_Points!$A$5:$A$204&gt;=$B61)*(D_Points!$A$5:$A$204&lt;$B61+P_Interval)*(RIGHT(UPPER(TRIM(D_Points!$B$5:$B$204)),7)="_BRIDGE")),IF(LEFT(UPPER(TRIM(D_Points!$B$5:$B$204)),2)="EX",1,IF(LEFT(UPPER(TRIM(D_Points!$B$5:$B$204)),2)="PR",2,2))),"")</f>
        <v/>
      </c>
      <c r="T61" s="181" t="str">
        <f>IFERROR(LOOKUP(2,1/((B_Drainage!$A$5:$A$204&lt;&gt;"")*(B_Drainage!$A$5:$A$204&lt;=$B61)*(B_Drainage!$B$5:$B$204&gt;$B61)*(B_Drainage!$E$5:$E$204&lt;&gt;"")),IF(B_Drainage!$E$5:$E$204="-","",1)),"")</f>
        <v/>
      </c>
      <c r="U61" s="181" t="str">
        <f>IFERROR(LOOKUP(2,1/((B_Drainage!$A$5:$A$204&lt;&gt;"")*(B_Drainage!$A$5:$A$204&lt;=$B61)*(B_Drainage!$B$5:$B$204&gt;$B61)*(B_Drainage!$E$5:$E$204&lt;&gt;"")),IF(B_Drainage!$E$5:$E$204="-","",B_Drainage!$E$5:$E$204)),"")</f>
        <v/>
      </c>
      <c r="V61" s="181" t="str">
        <f>IFERROR(LOOKUP(2,1/((B_Drainage!$A$5:$A$204&lt;&gt;"")*(B_Drainage!$A$5:$A$204&lt;=$B61)*(B_Drainage!$B$5:$B$204&gt;$B61)*(B_Drainage!$F$5:$F$204&lt;&gt;"")),IF(B_Drainage!$F$5:$F$204="-","",1)),"")</f>
        <v/>
      </c>
      <c r="W61" s="181" t="str">
        <f>IFERROR(LOOKUP(2,1/((B_Drainage!$A$5:$A$204&lt;&gt;"")*(B_Drainage!$A$5:$A$204&lt;=$B61)*(B_Drainage!$B$5:$B$204&gt;$B61)*(B_Drainage!$F$5:$F$204&lt;&gt;"")),IF(B_Drainage!$F$5:$F$204="-","",B_Drainage!$F$5:$F$204)),"")</f>
        <v/>
      </c>
      <c r="X61" s="181" t="str">
        <f>IFERROR(LOOKUP(2,1/((B_Drainage!$A$5:$A$204&lt;&gt;"")*(B_Drainage!$A$5:$A$204&lt;=$B61)*(B_Drainage!$B$5:$B$204&gt;$B61)*(B_Drainage!$G$5:$G$204&lt;&gt;"")),IF(UPPER(B_Drainage!$G$5:$G$204)="Y",1,"")),"")</f>
        <v/>
      </c>
      <c r="Y61" s="181" t="str">
        <f>IFERROR(LOOKUP(2,1/((B_Drainage!$A$5:$A$204&lt;&gt;"")*(B_Drainage!$A$5:$A$204&lt;=$B61)*(B_Drainage!$B$5:$B$204&gt;$B61)*(B_Drainage!$H$5:$H$204&lt;&gt;"")),IF(UPPER(B_Drainage!$H$5:$H$204)="Y",1,"")),"")</f>
        <v/>
      </c>
      <c r="Z61" s="181" t="str">
        <f>IFERROR(LOOKUP(2,1/((B_Drainage!$A$5:$A$204&lt;&gt;"")*(B_Drainage!$A$5:$A$204&lt;=$B61)*(B_Drainage!$B$5:$B$204&gt;$B61)*(B_Drainage!$I$5:$I$204&lt;&gt;"")),IF(UPPER(B_Drainage!$I$5:$I$204)="Y",1,"")),"")</f>
        <v/>
      </c>
      <c r="AA61" s="181" t="str">
        <f>IFERROR(LOOKUP(2,1/((B_Drainage!$A$5:$A$204&lt;&gt;"")*(B_Drainage!$A$5:$A$204&lt;=$B61)*(B_Drainage!$B$5:$B$204&gt;$B61)*(B_Drainage!$J$5:$J$204&lt;&gt;"")),IF(UPPER(B_Drainage!$J$5:$J$204)="Y",1,"")),"")</f>
        <v/>
      </c>
      <c r="AB61" s="182" t="str">
        <f>IFERROR(LOOKUP(2,1/((B_Drainage!$A$5:$A$204&lt;&gt;"")*(B_Drainage!$A$5:$A$204&lt;=$B61)*(B_Drainage!$B$5:$B$204&gt;$B61)*(B_Drainage!$K$5:$K$204&lt;&gt;"")),IF(B_Drainage!$K$5:$K$204="-","",B_Drainage!$K$5:$K$204)),"")</f>
        <v/>
      </c>
      <c r="AC61" s="182" t="str">
        <f>IFERROR(LOOKUP(2,1/((B_Drainage!$A$5:$A$204&lt;&gt;"")*(B_Drainage!$A$5:$A$204&lt;=$B61)*(B_Drainage!$B$5:$B$204&gt;$B61)*(B_Drainage!$L$5:$L$204&lt;&gt;"")),IF(B_Drainage!$L$5:$L$204="-","",B_Drainage!$L$5:$L$204)),"")</f>
        <v/>
      </c>
      <c r="AD61" s="182" t="str">
        <f>IFERROR(LOOKUP(2,1/((D_Points!$A$5:$A$204&lt;&gt;"")*(D_Points!$A$5:$A$204&gt;=$B61)*(D_Points!$A$5:$A$204&lt;$B61+P_Interval)*(UPPER(TRIM(D_Points!$B$5:$B$204))="TURNOUT_L")*(D_Points!$H$5:$H$204&lt;&gt;"")),D_Points!$H$5:$H$204),"")</f>
        <v/>
      </c>
      <c r="AE61" s="182" t="str">
        <f>IFERROR(LOOKUP(2,1/((D_Points!$A$5:$A$204&lt;&gt;"")*(D_Points!$A$5:$A$204&gt;=$B61)*(D_Points!$A$5:$A$204&lt;$B61+P_Interval)*(UPPER(TRIM(D_Points!$B$5:$B$204))="TURNOUT_R")*(D_Points!$H$5:$H$204&lt;&gt;"")),D_Points!$H$5:$H$204),"")</f>
        <v/>
      </c>
      <c r="AF61" s="181" t="str">
        <f>IFERROR(LOOKUP(2,1/((B_Drainage!$A$5:$A$204&lt;&gt;"")*(B_Drainage!$A$5:$A$204&lt;=$B61)*(B_Drainage!$B$5:$B$204&gt;$B61)*(B_Drainage!$M$5:$M$204&lt;&gt;"")),IF(UPPER(B_Drainage!$M$5:$M$204)="Y",1,"")),"")</f>
        <v/>
      </c>
      <c r="AG61" s="181" t="str">
        <f>IFERROR(LOOKUP(2,1/((B_Drainage!$A$5:$A$204&lt;&gt;"")*(B_Drainage!$A$5:$A$204&lt;=$B61)*(B_Drainage!$B$5:$B$204&gt;$B61)*(B_Drainage!$N$5:$N$204&lt;&gt;"")),IF(UPPER(B_Drainage!$N$5:$N$204)="Y",1,"")),"")</f>
        <v/>
      </c>
      <c r="AH61" s="181" t="str">
        <f t="shared" si="0"/>
        <v/>
      </c>
      <c r="AI61" s="181" t="str">
        <f t="shared" si="1"/>
        <v/>
      </c>
      <c r="AJ61" s="181" t="str">
        <f t="shared" si="2"/>
        <v/>
      </c>
      <c r="AK61" s="181" t="str">
        <f t="shared" si="3"/>
        <v/>
      </c>
      <c r="AL61" s="181" t="str">
        <f t="shared" si="4"/>
        <v/>
      </c>
      <c r="AM61" s="181" t="str">
        <f t="shared" si="5"/>
        <v/>
      </c>
      <c r="AN61" s="181" t="str">
        <f t="shared" si="6"/>
        <v/>
      </c>
      <c r="AO61" s="192" t="str">
        <f t="shared" si="7"/>
        <v/>
      </c>
      <c r="AQ61" t="str">
        <f>IFERROR(LOOKUP(2,1/((C_Pavement!$A$5:$A$204&lt;&gt;"")*(C_Pavement!$A$5:$A$204&lt;=$B61)*(C_Pavement!$B$5:$B$204&gt;$B61)*(C_Pavement!$C$5:$C$204&lt;&gt;"")),ROW(C_Pavement!$C$5:$C$204)-4),"")</f>
        <v/>
      </c>
      <c r="AR61" t="str">
        <f>IF($AQ61="","",UPPER(TRIM(INDEX(C_Pavement!$C$5:$C$204,$AQ61))))</f>
        <v/>
      </c>
      <c r="AS61" t="str">
        <f>IF($AR61="","",IFERROR(MATCH($AR61,E_Rules!$A$5:$A$9,0),""))</f>
        <v/>
      </c>
      <c r="AT61" t="str">
        <f>IF($AQ61="","",IF(INDEX(C_Pavement!$D$5:$D$204,$AQ61)&lt;&gt;"",UPPER(TRIM(INDEX(C_Pavement!$D$5:$D$204,$AQ61))),IF($AS61="","",INDEX(E_Rules!$C$5:$C$9,$AS61))))</f>
        <v/>
      </c>
      <c r="AU61" t="str">
        <f>IF($AQ61="","",IF(INDEX(C_Pavement!$E$5:$E$204,$AQ61)&lt;&gt;"",IF(INDEX(C_Pavement!$E$5:$E$204,$AQ61)="-","",INDEX(C_Pavement!$E$5:$E$204,$AQ61)),IF($AS61="","",INDEX(E_Rules!$D$5:$D$9,$AS61))))</f>
        <v/>
      </c>
      <c r="AV61" t="str">
        <f>IF($AQ61="","",IF(INDEX(C_Pavement!$F$5:$F$204,$AQ61)&lt;&gt;"",IF(INDEX(C_Pavement!$F$5:$F$204,$AQ61)="-","",INDEX(C_Pavement!$F$5:$F$204,$AQ61)),IF($AS61="","",INDEX(E_Rules!$E$5:$E$9,$AS61))))</f>
        <v/>
      </c>
      <c r="AW61" t="str">
        <f>IF($AQ61="","",IF(INDEX(C_Pavement!$G$5:$G$204,$AQ61)&lt;&gt;"",IF(INDEX(C_Pavement!$G$5:$G$204,$AQ61)="-","",INDEX(C_Pavement!$G$5:$G$204,$AQ61)),IF($AS61="","",INDEX(E_Rules!$F$5:$F$9,$AS61))))</f>
        <v/>
      </c>
      <c r="AX61" t="str">
        <f>IF($AQ61="","",IF(INDEX(C_Pavement!$H$5:$H$204,$AQ61)&lt;&gt;"",IF(INDEX(C_Pavement!$H$5:$H$204,$AQ61)="-","",INDEX(C_Pavement!$H$5:$H$204,$AQ61)),IF($AS61="","",INDEX(E_Rules!$G$5:$G$9,$AS61))))</f>
        <v/>
      </c>
      <c r="AY61" t="str">
        <f>IF($AQ61="","",IF(INDEX(C_Pavement!$I$5:$I$204,$AQ61)&lt;&gt;"",IF(INDEX(C_Pavement!$I$5:$I$204,$AQ61)="-","",INDEX(C_Pavement!$I$5:$I$204,$AQ61)),IF($AS61="","",INDEX(E_Rules!$H$5:$H$9,$AS61))))</f>
        <v/>
      </c>
    </row>
    <row r="62" spans="1:51" ht="15.75" customHeight="1" x14ac:dyDescent="0.3">
      <c r="A62" s="189">
        <v>57</v>
      </c>
      <c r="B62" s="180">
        <v>2800</v>
      </c>
      <c r="C62" s="180" t="s">
        <v>368</v>
      </c>
      <c r="D62" s="181" t="str">
        <f>IFERROR(LOOKUP(2,1/((A_Corridor!$A$5:$A$204&lt;&gt;"")*(A_Corridor!$A$5:$A$204&lt;=$B62)*(A_Corridor!$B$5:$B$204&gt;$B62)*(A_Corridor!$C$5:$C$204&lt;&gt;"")),IF(UPPER(A_Corridor!$C$5:$C$204)="Y",1,"")),"")</f>
        <v/>
      </c>
      <c r="E62" s="181" t="str">
        <f>IFERROR(LOOKUP(2,1/((A_Corridor!$A$5:$A$204&lt;&gt;"")*(A_Corridor!$A$5:$A$204&lt;=$B62)*(A_Corridor!$B$5:$B$204&gt;$B62)*(A_Corridor!$D$5:$D$204&lt;&gt;"")),IF(A_Corridor!$D$5:$D$204="-","",UPPER(A_Corridor!$D$5:$D$204))),"")</f>
        <v/>
      </c>
      <c r="F62" s="181" t="str">
        <f>IFERROR(LOOKUP(2,1/((A_Corridor!$A$5:$A$204&lt;&gt;"")*(A_Corridor!$A$5:$A$204&lt;=$B62)*(A_Corridor!$B$5:$B$204&gt;$B62)*(A_Corridor!$E$5:$E$204&lt;&gt;"")),IF(A_Corridor!$E$5:$E$204="-","",1)),"")</f>
        <v/>
      </c>
      <c r="G62" s="182" t="str">
        <f>IFERROR(LOOKUP(2,1/((A_Corridor!$A$5:$A$204&lt;&gt;"")*(A_Corridor!$A$5:$A$204&lt;=$B62)*(A_Corridor!$B$5:$B$204&gt;$B62)*(A_Corridor!$E$5:$E$204&lt;&gt;"")),IF(A_Corridor!$E$5:$E$204="-","",A_Corridor!$E$5:$E$204)),"")</f>
        <v/>
      </c>
      <c r="H62" s="182" t="str">
        <f>IFERROR(LOOKUP(2,1/((D_Points!$A$5:$A$204&lt;&gt;"")*(D_Points!$A$5:$A$204&gt;=$B62)*(D_Points!$A$5:$A$204&lt;$B62+P_Interval)*(UPPER(TRIM(D_Points!$B$5:$B$204))="GULLY")*(D_Points!$H$5:$H$204&lt;&gt;"")),D_Points!$H$5:$H$204),"")</f>
        <v/>
      </c>
      <c r="I62" s="181" t="str">
        <f>IFERROR(LOOKUP(2,1/((A_Corridor!$A$5:$A$204&lt;&gt;"")*(A_Corridor!$A$5:$A$204&lt;=$B62)*(A_Corridor!$B$5:$B$204&gt;$B62)*(A_Corridor!$F$5:$F$204&lt;&gt;"")),IF(A_Corridor!$F$5:$F$204="-","",1)),"")</f>
        <v/>
      </c>
      <c r="J62" s="182" t="str">
        <f>IFERROR(LOOKUP(2,1/((A_Corridor!$A$5:$A$204&lt;&gt;"")*(A_Corridor!$A$5:$A$204&lt;=$B62)*(A_Corridor!$B$5:$B$204&gt;$B62)*(A_Corridor!$F$5:$F$204&lt;&gt;"")),IF(A_Corridor!$F$5:$F$204="-","",A_Corridor!$F$5:$F$204)),"")</f>
        <v/>
      </c>
      <c r="K62" s="182" t="str">
        <f>IFERROR(LOOKUP(2,1/((A_Corridor!$A$5:$A$204&lt;&gt;"")*(A_Corridor!$A$5:$A$204&lt;=$B62)*(A_Corridor!$B$5:$B$204&gt;$B62)*(A_Corridor!$G$5:$G$204&lt;&gt;"")),IF(A_Corridor!$G$5:$G$204="-","",A_Corridor!$G$5:$G$204)),"")</f>
        <v/>
      </c>
      <c r="L62" s="181" t="str">
        <f>IFERROR(LOOKUP(2,1/((A_Corridor!$A$5:$A$204&lt;&gt;"")*(A_Corridor!$A$5:$A$204&lt;=$B62)*(A_Corridor!$B$5:$B$204&gt;$B62)*(A_Corridor!$H$5:$H$204&lt;&gt;"")),IF(A_Corridor!$H$5:$H$204="-","",1)),"")</f>
        <v/>
      </c>
      <c r="M62" s="182" t="str">
        <f>IFERROR(LOOKUP(2,1/((A_Corridor!$A$5:$A$204&lt;&gt;"")*(A_Corridor!$A$5:$A$204&lt;=$B62)*(A_Corridor!$B$5:$B$204&gt;$B62)*(A_Corridor!$H$5:$H$204&lt;&gt;"")),IF(A_Corridor!$H$5:$H$204="-","",A_Corridor!$H$5:$H$204)),"")</f>
        <v/>
      </c>
      <c r="N62" s="182" t="str">
        <f>IFERROR(LOOKUP(2,1/((A_Corridor!$A$5:$A$204&lt;&gt;"")*(A_Corridor!$A$5:$A$204&lt;=$B62)*(A_Corridor!$B$5:$B$204&gt;$B62)*(A_Corridor!$I$5:$I$204&lt;&gt;"")),IF(A_Corridor!$I$5:$I$204="-","",A_Corridor!$I$5:$I$204)),"")</f>
        <v/>
      </c>
      <c r="O62" s="182" t="str">
        <f>IFERROR(LOOKUP(2,1/((D_Points!$A$5:$A$204&lt;&gt;"")*(D_Points!$A$5:$A$204&gt;=$B62)*(D_Points!$A$5:$A$204&lt;$B62+P_Interval)*(UPPER(TRIM(D_Points!$B$5:$B$204))="PITCHING")*(D_Points!$H$5:$H$204&lt;&gt;"")),D_Points!$H$5:$H$204),"")</f>
        <v/>
      </c>
      <c r="P62" s="181" t="str">
        <f>IFERROR(LOOKUP(2,1/((B_Drainage!$A$5:$A$204&lt;&gt;"")*(B_Drainage!$A$5:$A$204&lt;=$B62)*(B_Drainage!$B$5:$B$204&gt;$B62)*(B_Drainage!$C$5:$C$204&lt;&gt;"")),IF(B_Drainage!$C$5:$C$204="-","",UPPER(B_Drainage!$C$5:$C$204))),"")</f>
        <v/>
      </c>
      <c r="Q62" s="181" t="str">
        <f>IFERROR(LOOKUP(2,1/((B_Drainage!$A$5:$A$204&lt;&gt;"")*(B_Drainage!$A$5:$A$204&lt;=$B62)*(B_Drainage!$B$5:$B$204&gt;$B62)*(B_Drainage!$D$5:$D$204&lt;&gt;"")),IF(B_Drainage!$D$5:$D$204="-","",UPPER(B_Drainage!$D$5:$D$204))),"")</f>
        <v/>
      </c>
      <c r="R62" s="182" t="str">
        <f>IFERROR(LOOKUP(2,1/((D_Points!$A$5:$A$204&lt;&gt;"")*(D_Points!$A$5:$A$204&gt;=$B62)*(D_Points!$A$5:$A$204&lt;$B62+P_Interval)*(RIGHT(UPPER(TRIM(D_Points!$B$5:$B$204)),8)="_CULVERT")),IF(LEFT(UPPER(TRIM(D_Points!$B$5:$B$204)),2)="EX",1,IF(LEFT(UPPER(TRIM(D_Points!$B$5:$B$204)),2)="PR",2,3))),"")</f>
        <v/>
      </c>
      <c r="S62" s="182" t="str">
        <f>IFERROR(LOOKUP(2,1/((D_Points!$A$5:$A$204&lt;&gt;"")*(D_Points!$A$5:$A$204&gt;=$B62)*(D_Points!$A$5:$A$204&lt;$B62+P_Interval)*(RIGHT(UPPER(TRIM(D_Points!$B$5:$B$204)),7)="_BRIDGE")),IF(LEFT(UPPER(TRIM(D_Points!$B$5:$B$204)),2)="EX",1,IF(LEFT(UPPER(TRIM(D_Points!$B$5:$B$204)),2)="PR",2,2))),"")</f>
        <v/>
      </c>
      <c r="T62" s="181" t="str">
        <f>IFERROR(LOOKUP(2,1/((B_Drainage!$A$5:$A$204&lt;&gt;"")*(B_Drainage!$A$5:$A$204&lt;=$B62)*(B_Drainage!$B$5:$B$204&gt;$B62)*(B_Drainage!$E$5:$E$204&lt;&gt;"")),IF(B_Drainage!$E$5:$E$204="-","",1)),"")</f>
        <v/>
      </c>
      <c r="U62" s="181" t="str">
        <f>IFERROR(LOOKUP(2,1/((B_Drainage!$A$5:$A$204&lt;&gt;"")*(B_Drainage!$A$5:$A$204&lt;=$B62)*(B_Drainage!$B$5:$B$204&gt;$B62)*(B_Drainage!$E$5:$E$204&lt;&gt;"")),IF(B_Drainage!$E$5:$E$204="-","",B_Drainage!$E$5:$E$204)),"")</f>
        <v/>
      </c>
      <c r="V62" s="181" t="str">
        <f>IFERROR(LOOKUP(2,1/((B_Drainage!$A$5:$A$204&lt;&gt;"")*(B_Drainage!$A$5:$A$204&lt;=$B62)*(B_Drainage!$B$5:$B$204&gt;$B62)*(B_Drainage!$F$5:$F$204&lt;&gt;"")),IF(B_Drainage!$F$5:$F$204="-","",1)),"")</f>
        <v/>
      </c>
      <c r="W62" s="181" t="str">
        <f>IFERROR(LOOKUP(2,1/((B_Drainage!$A$5:$A$204&lt;&gt;"")*(B_Drainage!$A$5:$A$204&lt;=$B62)*(B_Drainage!$B$5:$B$204&gt;$B62)*(B_Drainage!$F$5:$F$204&lt;&gt;"")),IF(B_Drainage!$F$5:$F$204="-","",B_Drainage!$F$5:$F$204)),"")</f>
        <v/>
      </c>
      <c r="X62" s="181" t="str">
        <f>IFERROR(LOOKUP(2,1/((B_Drainage!$A$5:$A$204&lt;&gt;"")*(B_Drainage!$A$5:$A$204&lt;=$B62)*(B_Drainage!$B$5:$B$204&gt;$B62)*(B_Drainage!$G$5:$G$204&lt;&gt;"")),IF(UPPER(B_Drainage!$G$5:$G$204)="Y",1,"")),"")</f>
        <v/>
      </c>
      <c r="Y62" s="181" t="str">
        <f>IFERROR(LOOKUP(2,1/((B_Drainage!$A$5:$A$204&lt;&gt;"")*(B_Drainage!$A$5:$A$204&lt;=$B62)*(B_Drainage!$B$5:$B$204&gt;$B62)*(B_Drainage!$H$5:$H$204&lt;&gt;"")),IF(UPPER(B_Drainage!$H$5:$H$204)="Y",1,"")),"")</f>
        <v/>
      </c>
      <c r="Z62" s="181" t="str">
        <f>IFERROR(LOOKUP(2,1/((B_Drainage!$A$5:$A$204&lt;&gt;"")*(B_Drainage!$A$5:$A$204&lt;=$B62)*(B_Drainage!$B$5:$B$204&gt;$B62)*(B_Drainage!$I$5:$I$204&lt;&gt;"")),IF(UPPER(B_Drainage!$I$5:$I$204)="Y",1,"")),"")</f>
        <v/>
      </c>
      <c r="AA62" s="181" t="str">
        <f>IFERROR(LOOKUP(2,1/((B_Drainage!$A$5:$A$204&lt;&gt;"")*(B_Drainage!$A$5:$A$204&lt;=$B62)*(B_Drainage!$B$5:$B$204&gt;$B62)*(B_Drainage!$J$5:$J$204&lt;&gt;"")),IF(UPPER(B_Drainage!$J$5:$J$204)="Y",1,"")),"")</f>
        <v/>
      </c>
      <c r="AB62" s="182" t="str">
        <f>IFERROR(LOOKUP(2,1/((B_Drainage!$A$5:$A$204&lt;&gt;"")*(B_Drainage!$A$5:$A$204&lt;=$B62)*(B_Drainage!$B$5:$B$204&gt;$B62)*(B_Drainage!$K$5:$K$204&lt;&gt;"")),IF(B_Drainage!$K$5:$K$204="-","",B_Drainage!$K$5:$K$204)),"")</f>
        <v/>
      </c>
      <c r="AC62" s="182" t="str">
        <f>IFERROR(LOOKUP(2,1/((B_Drainage!$A$5:$A$204&lt;&gt;"")*(B_Drainage!$A$5:$A$204&lt;=$B62)*(B_Drainage!$B$5:$B$204&gt;$B62)*(B_Drainage!$L$5:$L$204&lt;&gt;"")),IF(B_Drainage!$L$5:$L$204="-","",B_Drainage!$L$5:$L$204)),"")</f>
        <v/>
      </c>
      <c r="AD62" s="182" t="str">
        <f>IFERROR(LOOKUP(2,1/((D_Points!$A$5:$A$204&lt;&gt;"")*(D_Points!$A$5:$A$204&gt;=$B62)*(D_Points!$A$5:$A$204&lt;$B62+P_Interval)*(UPPER(TRIM(D_Points!$B$5:$B$204))="TURNOUT_L")*(D_Points!$H$5:$H$204&lt;&gt;"")),D_Points!$H$5:$H$204),"")</f>
        <v/>
      </c>
      <c r="AE62" s="182" t="str">
        <f>IFERROR(LOOKUP(2,1/((D_Points!$A$5:$A$204&lt;&gt;"")*(D_Points!$A$5:$A$204&gt;=$B62)*(D_Points!$A$5:$A$204&lt;$B62+P_Interval)*(UPPER(TRIM(D_Points!$B$5:$B$204))="TURNOUT_R")*(D_Points!$H$5:$H$204&lt;&gt;"")),D_Points!$H$5:$H$204),"")</f>
        <v/>
      </c>
      <c r="AF62" s="181" t="str">
        <f>IFERROR(LOOKUP(2,1/((B_Drainage!$A$5:$A$204&lt;&gt;"")*(B_Drainage!$A$5:$A$204&lt;=$B62)*(B_Drainage!$B$5:$B$204&gt;$B62)*(B_Drainage!$M$5:$M$204&lt;&gt;"")),IF(UPPER(B_Drainage!$M$5:$M$204)="Y",1,"")),"")</f>
        <v/>
      </c>
      <c r="AG62" s="181" t="str">
        <f>IFERROR(LOOKUP(2,1/((B_Drainage!$A$5:$A$204&lt;&gt;"")*(B_Drainage!$A$5:$A$204&lt;=$B62)*(B_Drainage!$B$5:$B$204&gt;$B62)*(B_Drainage!$N$5:$N$204&lt;&gt;"")),IF(UPPER(B_Drainage!$N$5:$N$204)="Y",1,"")),"")</f>
        <v/>
      </c>
      <c r="AH62" s="181" t="str">
        <f t="shared" si="0"/>
        <v/>
      </c>
      <c r="AI62" s="181" t="str">
        <f t="shared" si="1"/>
        <v/>
      </c>
      <c r="AJ62" s="181" t="str">
        <f t="shared" si="2"/>
        <v/>
      </c>
      <c r="AK62" s="181" t="str">
        <f t="shared" si="3"/>
        <v/>
      </c>
      <c r="AL62" s="181" t="str">
        <f t="shared" si="4"/>
        <v/>
      </c>
      <c r="AM62" s="181" t="str">
        <f t="shared" si="5"/>
        <v/>
      </c>
      <c r="AN62" s="181" t="str">
        <f t="shared" si="6"/>
        <v/>
      </c>
      <c r="AO62" s="192" t="str">
        <f t="shared" si="7"/>
        <v/>
      </c>
      <c r="AQ62" t="str">
        <f>IFERROR(LOOKUP(2,1/((C_Pavement!$A$5:$A$204&lt;&gt;"")*(C_Pavement!$A$5:$A$204&lt;=$B62)*(C_Pavement!$B$5:$B$204&gt;$B62)*(C_Pavement!$C$5:$C$204&lt;&gt;"")),ROW(C_Pavement!$C$5:$C$204)-4),"")</f>
        <v/>
      </c>
      <c r="AR62" t="str">
        <f>IF($AQ62="","",UPPER(TRIM(INDEX(C_Pavement!$C$5:$C$204,$AQ62))))</f>
        <v/>
      </c>
      <c r="AS62" t="str">
        <f>IF($AR62="","",IFERROR(MATCH($AR62,E_Rules!$A$5:$A$9,0),""))</f>
        <v/>
      </c>
      <c r="AT62" t="str">
        <f>IF($AQ62="","",IF(INDEX(C_Pavement!$D$5:$D$204,$AQ62)&lt;&gt;"",UPPER(TRIM(INDEX(C_Pavement!$D$5:$D$204,$AQ62))),IF($AS62="","",INDEX(E_Rules!$C$5:$C$9,$AS62))))</f>
        <v/>
      </c>
      <c r="AU62" t="str">
        <f>IF($AQ62="","",IF(INDEX(C_Pavement!$E$5:$E$204,$AQ62)&lt;&gt;"",IF(INDEX(C_Pavement!$E$5:$E$204,$AQ62)="-","",INDEX(C_Pavement!$E$5:$E$204,$AQ62)),IF($AS62="","",INDEX(E_Rules!$D$5:$D$9,$AS62))))</f>
        <v/>
      </c>
      <c r="AV62" t="str">
        <f>IF($AQ62="","",IF(INDEX(C_Pavement!$F$5:$F$204,$AQ62)&lt;&gt;"",IF(INDEX(C_Pavement!$F$5:$F$204,$AQ62)="-","",INDEX(C_Pavement!$F$5:$F$204,$AQ62)),IF($AS62="","",INDEX(E_Rules!$E$5:$E$9,$AS62))))</f>
        <v/>
      </c>
      <c r="AW62" t="str">
        <f>IF($AQ62="","",IF(INDEX(C_Pavement!$G$5:$G$204,$AQ62)&lt;&gt;"",IF(INDEX(C_Pavement!$G$5:$G$204,$AQ62)="-","",INDEX(C_Pavement!$G$5:$G$204,$AQ62)),IF($AS62="","",INDEX(E_Rules!$F$5:$F$9,$AS62))))</f>
        <v/>
      </c>
      <c r="AX62" t="str">
        <f>IF($AQ62="","",IF(INDEX(C_Pavement!$H$5:$H$204,$AQ62)&lt;&gt;"",IF(INDEX(C_Pavement!$H$5:$H$204,$AQ62)="-","",INDEX(C_Pavement!$H$5:$H$204,$AQ62)),IF($AS62="","",INDEX(E_Rules!$G$5:$G$9,$AS62))))</f>
        <v/>
      </c>
      <c r="AY62" t="str">
        <f>IF($AQ62="","",IF(INDEX(C_Pavement!$I$5:$I$204,$AQ62)&lt;&gt;"",IF(INDEX(C_Pavement!$I$5:$I$204,$AQ62)="-","",INDEX(C_Pavement!$I$5:$I$204,$AQ62)),IF($AS62="","",INDEX(E_Rules!$H$5:$H$9,$AS62))))</f>
        <v/>
      </c>
    </row>
    <row r="63" spans="1:51" ht="15.75" customHeight="1" x14ac:dyDescent="0.3">
      <c r="A63" s="189">
        <v>58</v>
      </c>
      <c r="B63" s="180">
        <v>2850</v>
      </c>
      <c r="C63" s="180" t="s">
        <v>369</v>
      </c>
      <c r="D63" s="181" t="str">
        <f>IFERROR(LOOKUP(2,1/((A_Corridor!$A$5:$A$204&lt;&gt;"")*(A_Corridor!$A$5:$A$204&lt;=$B63)*(A_Corridor!$B$5:$B$204&gt;$B63)*(A_Corridor!$C$5:$C$204&lt;&gt;"")),IF(UPPER(A_Corridor!$C$5:$C$204)="Y",1,"")),"")</f>
        <v/>
      </c>
      <c r="E63" s="181" t="str">
        <f>IFERROR(LOOKUP(2,1/((A_Corridor!$A$5:$A$204&lt;&gt;"")*(A_Corridor!$A$5:$A$204&lt;=$B63)*(A_Corridor!$B$5:$B$204&gt;$B63)*(A_Corridor!$D$5:$D$204&lt;&gt;"")),IF(A_Corridor!$D$5:$D$204="-","",UPPER(A_Corridor!$D$5:$D$204))),"")</f>
        <v/>
      </c>
      <c r="F63" s="181" t="str">
        <f>IFERROR(LOOKUP(2,1/((A_Corridor!$A$5:$A$204&lt;&gt;"")*(A_Corridor!$A$5:$A$204&lt;=$B63)*(A_Corridor!$B$5:$B$204&gt;$B63)*(A_Corridor!$E$5:$E$204&lt;&gt;"")),IF(A_Corridor!$E$5:$E$204="-","",1)),"")</f>
        <v/>
      </c>
      <c r="G63" s="182" t="str">
        <f>IFERROR(LOOKUP(2,1/((A_Corridor!$A$5:$A$204&lt;&gt;"")*(A_Corridor!$A$5:$A$204&lt;=$B63)*(A_Corridor!$B$5:$B$204&gt;$B63)*(A_Corridor!$E$5:$E$204&lt;&gt;"")),IF(A_Corridor!$E$5:$E$204="-","",A_Corridor!$E$5:$E$204)),"")</f>
        <v/>
      </c>
      <c r="H63" s="182" t="str">
        <f>IFERROR(LOOKUP(2,1/((D_Points!$A$5:$A$204&lt;&gt;"")*(D_Points!$A$5:$A$204&gt;=$B63)*(D_Points!$A$5:$A$204&lt;$B63+P_Interval)*(UPPER(TRIM(D_Points!$B$5:$B$204))="GULLY")*(D_Points!$H$5:$H$204&lt;&gt;"")),D_Points!$H$5:$H$204),"")</f>
        <v/>
      </c>
      <c r="I63" s="181" t="str">
        <f>IFERROR(LOOKUP(2,1/((A_Corridor!$A$5:$A$204&lt;&gt;"")*(A_Corridor!$A$5:$A$204&lt;=$B63)*(A_Corridor!$B$5:$B$204&gt;$B63)*(A_Corridor!$F$5:$F$204&lt;&gt;"")),IF(A_Corridor!$F$5:$F$204="-","",1)),"")</f>
        <v/>
      </c>
      <c r="J63" s="182" t="str">
        <f>IFERROR(LOOKUP(2,1/((A_Corridor!$A$5:$A$204&lt;&gt;"")*(A_Corridor!$A$5:$A$204&lt;=$B63)*(A_Corridor!$B$5:$B$204&gt;$B63)*(A_Corridor!$F$5:$F$204&lt;&gt;"")),IF(A_Corridor!$F$5:$F$204="-","",A_Corridor!$F$5:$F$204)),"")</f>
        <v/>
      </c>
      <c r="K63" s="182" t="str">
        <f>IFERROR(LOOKUP(2,1/((A_Corridor!$A$5:$A$204&lt;&gt;"")*(A_Corridor!$A$5:$A$204&lt;=$B63)*(A_Corridor!$B$5:$B$204&gt;$B63)*(A_Corridor!$G$5:$G$204&lt;&gt;"")),IF(A_Corridor!$G$5:$G$204="-","",A_Corridor!$G$5:$G$204)),"")</f>
        <v/>
      </c>
      <c r="L63" s="181" t="str">
        <f>IFERROR(LOOKUP(2,1/((A_Corridor!$A$5:$A$204&lt;&gt;"")*(A_Corridor!$A$5:$A$204&lt;=$B63)*(A_Corridor!$B$5:$B$204&gt;$B63)*(A_Corridor!$H$5:$H$204&lt;&gt;"")),IF(A_Corridor!$H$5:$H$204="-","",1)),"")</f>
        <v/>
      </c>
      <c r="M63" s="182" t="str">
        <f>IFERROR(LOOKUP(2,1/((A_Corridor!$A$5:$A$204&lt;&gt;"")*(A_Corridor!$A$5:$A$204&lt;=$B63)*(A_Corridor!$B$5:$B$204&gt;$B63)*(A_Corridor!$H$5:$H$204&lt;&gt;"")),IF(A_Corridor!$H$5:$H$204="-","",A_Corridor!$H$5:$H$204)),"")</f>
        <v/>
      </c>
      <c r="N63" s="182" t="str">
        <f>IFERROR(LOOKUP(2,1/((A_Corridor!$A$5:$A$204&lt;&gt;"")*(A_Corridor!$A$5:$A$204&lt;=$B63)*(A_Corridor!$B$5:$B$204&gt;$B63)*(A_Corridor!$I$5:$I$204&lt;&gt;"")),IF(A_Corridor!$I$5:$I$204="-","",A_Corridor!$I$5:$I$204)),"")</f>
        <v/>
      </c>
      <c r="O63" s="182" t="str">
        <f>IFERROR(LOOKUP(2,1/((D_Points!$A$5:$A$204&lt;&gt;"")*(D_Points!$A$5:$A$204&gt;=$B63)*(D_Points!$A$5:$A$204&lt;$B63+P_Interval)*(UPPER(TRIM(D_Points!$B$5:$B$204))="PITCHING")*(D_Points!$H$5:$H$204&lt;&gt;"")),D_Points!$H$5:$H$204),"")</f>
        <v/>
      </c>
      <c r="P63" s="181" t="str">
        <f>IFERROR(LOOKUP(2,1/((B_Drainage!$A$5:$A$204&lt;&gt;"")*(B_Drainage!$A$5:$A$204&lt;=$B63)*(B_Drainage!$B$5:$B$204&gt;$B63)*(B_Drainage!$C$5:$C$204&lt;&gt;"")),IF(B_Drainage!$C$5:$C$204="-","",UPPER(B_Drainage!$C$5:$C$204))),"")</f>
        <v/>
      </c>
      <c r="Q63" s="181" t="str">
        <f>IFERROR(LOOKUP(2,1/((B_Drainage!$A$5:$A$204&lt;&gt;"")*(B_Drainage!$A$5:$A$204&lt;=$B63)*(B_Drainage!$B$5:$B$204&gt;$B63)*(B_Drainage!$D$5:$D$204&lt;&gt;"")),IF(B_Drainage!$D$5:$D$204="-","",UPPER(B_Drainage!$D$5:$D$204))),"")</f>
        <v/>
      </c>
      <c r="R63" s="182" t="str">
        <f>IFERROR(LOOKUP(2,1/((D_Points!$A$5:$A$204&lt;&gt;"")*(D_Points!$A$5:$A$204&gt;=$B63)*(D_Points!$A$5:$A$204&lt;$B63+P_Interval)*(RIGHT(UPPER(TRIM(D_Points!$B$5:$B$204)),8)="_CULVERT")),IF(LEFT(UPPER(TRIM(D_Points!$B$5:$B$204)),2)="EX",1,IF(LEFT(UPPER(TRIM(D_Points!$B$5:$B$204)),2)="PR",2,3))),"")</f>
        <v/>
      </c>
      <c r="S63" s="182" t="str">
        <f>IFERROR(LOOKUP(2,1/((D_Points!$A$5:$A$204&lt;&gt;"")*(D_Points!$A$5:$A$204&gt;=$B63)*(D_Points!$A$5:$A$204&lt;$B63+P_Interval)*(RIGHT(UPPER(TRIM(D_Points!$B$5:$B$204)),7)="_BRIDGE")),IF(LEFT(UPPER(TRIM(D_Points!$B$5:$B$204)),2)="EX",1,IF(LEFT(UPPER(TRIM(D_Points!$B$5:$B$204)),2)="PR",2,2))),"")</f>
        <v/>
      </c>
      <c r="T63" s="181" t="str">
        <f>IFERROR(LOOKUP(2,1/((B_Drainage!$A$5:$A$204&lt;&gt;"")*(B_Drainage!$A$5:$A$204&lt;=$B63)*(B_Drainage!$B$5:$B$204&gt;$B63)*(B_Drainage!$E$5:$E$204&lt;&gt;"")),IF(B_Drainage!$E$5:$E$204="-","",1)),"")</f>
        <v/>
      </c>
      <c r="U63" s="181" t="str">
        <f>IFERROR(LOOKUP(2,1/((B_Drainage!$A$5:$A$204&lt;&gt;"")*(B_Drainage!$A$5:$A$204&lt;=$B63)*(B_Drainage!$B$5:$B$204&gt;$B63)*(B_Drainage!$E$5:$E$204&lt;&gt;"")),IF(B_Drainage!$E$5:$E$204="-","",B_Drainage!$E$5:$E$204)),"")</f>
        <v/>
      </c>
      <c r="V63" s="181" t="str">
        <f>IFERROR(LOOKUP(2,1/((B_Drainage!$A$5:$A$204&lt;&gt;"")*(B_Drainage!$A$5:$A$204&lt;=$B63)*(B_Drainage!$B$5:$B$204&gt;$B63)*(B_Drainage!$F$5:$F$204&lt;&gt;"")),IF(B_Drainage!$F$5:$F$204="-","",1)),"")</f>
        <v/>
      </c>
      <c r="W63" s="181" t="str">
        <f>IFERROR(LOOKUP(2,1/((B_Drainage!$A$5:$A$204&lt;&gt;"")*(B_Drainage!$A$5:$A$204&lt;=$B63)*(B_Drainage!$B$5:$B$204&gt;$B63)*(B_Drainage!$F$5:$F$204&lt;&gt;"")),IF(B_Drainage!$F$5:$F$204="-","",B_Drainage!$F$5:$F$204)),"")</f>
        <v/>
      </c>
      <c r="X63" s="181" t="str">
        <f>IFERROR(LOOKUP(2,1/((B_Drainage!$A$5:$A$204&lt;&gt;"")*(B_Drainage!$A$5:$A$204&lt;=$B63)*(B_Drainage!$B$5:$B$204&gt;$B63)*(B_Drainage!$G$5:$G$204&lt;&gt;"")),IF(UPPER(B_Drainage!$G$5:$G$204)="Y",1,"")),"")</f>
        <v/>
      </c>
      <c r="Y63" s="181" t="str">
        <f>IFERROR(LOOKUP(2,1/((B_Drainage!$A$5:$A$204&lt;&gt;"")*(B_Drainage!$A$5:$A$204&lt;=$B63)*(B_Drainage!$B$5:$B$204&gt;$B63)*(B_Drainage!$H$5:$H$204&lt;&gt;"")),IF(UPPER(B_Drainage!$H$5:$H$204)="Y",1,"")),"")</f>
        <v/>
      </c>
      <c r="Z63" s="181" t="str">
        <f>IFERROR(LOOKUP(2,1/((B_Drainage!$A$5:$A$204&lt;&gt;"")*(B_Drainage!$A$5:$A$204&lt;=$B63)*(B_Drainage!$B$5:$B$204&gt;$B63)*(B_Drainage!$I$5:$I$204&lt;&gt;"")),IF(UPPER(B_Drainage!$I$5:$I$204)="Y",1,"")),"")</f>
        <v/>
      </c>
      <c r="AA63" s="181" t="str">
        <f>IFERROR(LOOKUP(2,1/((B_Drainage!$A$5:$A$204&lt;&gt;"")*(B_Drainage!$A$5:$A$204&lt;=$B63)*(B_Drainage!$B$5:$B$204&gt;$B63)*(B_Drainage!$J$5:$J$204&lt;&gt;"")),IF(UPPER(B_Drainage!$J$5:$J$204)="Y",1,"")),"")</f>
        <v/>
      </c>
      <c r="AB63" s="182" t="str">
        <f>IFERROR(LOOKUP(2,1/((B_Drainage!$A$5:$A$204&lt;&gt;"")*(B_Drainage!$A$5:$A$204&lt;=$B63)*(B_Drainage!$B$5:$B$204&gt;$B63)*(B_Drainage!$K$5:$K$204&lt;&gt;"")),IF(B_Drainage!$K$5:$K$204="-","",B_Drainage!$K$5:$K$204)),"")</f>
        <v/>
      </c>
      <c r="AC63" s="182" t="str">
        <f>IFERROR(LOOKUP(2,1/((B_Drainage!$A$5:$A$204&lt;&gt;"")*(B_Drainage!$A$5:$A$204&lt;=$B63)*(B_Drainage!$B$5:$B$204&gt;$B63)*(B_Drainage!$L$5:$L$204&lt;&gt;"")),IF(B_Drainage!$L$5:$L$204="-","",B_Drainage!$L$5:$L$204)),"")</f>
        <v/>
      </c>
      <c r="AD63" s="182" t="str">
        <f>IFERROR(LOOKUP(2,1/((D_Points!$A$5:$A$204&lt;&gt;"")*(D_Points!$A$5:$A$204&gt;=$B63)*(D_Points!$A$5:$A$204&lt;$B63+P_Interval)*(UPPER(TRIM(D_Points!$B$5:$B$204))="TURNOUT_L")*(D_Points!$H$5:$H$204&lt;&gt;"")),D_Points!$H$5:$H$204),"")</f>
        <v/>
      </c>
      <c r="AE63" s="182" t="str">
        <f>IFERROR(LOOKUP(2,1/((D_Points!$A$5:$A$204&lt;&gt;"")*(D_Points!$A$5:$A$204&gt;=$B63)*(D_Points!$A$5:$A$204&lt;$B63+P_Interval)*(UPPER(TRIM(D_Points!$B$5:$B$204))="TURNOUT_R")*(D_Points!$H$5:$H$204&lt;&gt;"")),D_Points!$H$5:$H$204),"")</f>
        <v/>
      </c>
      <c r="AF63" s="181" t="str">
        <f>IFERROR(LOOKUP(2,1/((B_Drainage!$A$5:$A$204&lt;&gt;"")*(B_Drainage!$A$5:$A$204&lt;=$B63)*(B_Drainage!$B$5:$B$204&gt;$B63)*(B_Drainage!$M$5:$M$204&lt;&gt;"")),IF(UPPER(B_Drainage!$M$5:$M$204)="Y",1,"")),"")</f>
        <v/>
      </c>
      <c r="AG63" s="181" t="str">
        <f>IFERROR(LOOKUP(2,1/((B_Drainage!$A$5:$A$204&lt;&gt;"")*(B_Drainage!$A$5:$A$204&lt;=$B63)*(B_Drainage!$B$5:$B$204&gt;$B63)*(B_Drainage!$N$5:$N$204&lt;&gt;"")),IF(UPPER(B_Drainage!$N$5:$N$204)="Y",1,"")),"")</f>
        <v/>
      </c>
      <c r="AH63" s="181" t="str">
        <f t="shared" si="0"/>
        <v/>
      </c>
      <c r="AI63" s="181" t="str">
        <f t="shared" si="1"/>
        <v/>
      </c>
      <c r="AJ63" s="181" t="str">
        <f t="shared" si="2"/>
        <v/>
      </c>
      <c r="AK63" s="181" t="str">
        <f t="shared" si="3"/>
        <v/>
      </c>
      <c r="AL63" s="181" t="str">
        <f t="shared" si="4"/>
        <v/>
      </c>
      <c r="AM63" s="181" t="str">
        <f t="shared" si="5"/>
        <v/>
      </c>
      <c r="AN63" s="181" t="str">
        <f t="shared" si="6"/>
        <v/>
      </c>
      <c r="AO63" s="192" t="str">
        <f t="shared" si="7"/>
        <v/>
      </c>
      <c r="AQ63" t="str">
        <f>IFERROR(LOOKUP(2,1/((C_Pavement!$A$5:$A$204&lt;&gt;"")*(C_Pavement!$A$5:$A$204&lt;=$B63)*(C_Pavement!$B$5:$B$204&gt;$B63)*(C_Pavement!$C$5:$C$204&lt;&gt;"")),ROW(C_Pavement!$C$5:$C$204)-4),"")</f>
        <v/>
      </c>
      <c r="AR63" t="str">
        <f>IF($AQ63="","",UPPER(TRIM(INDEX(C_Pavement!$C$5:$C$204,$AQ63))))</f>
        <v/>
      </c>
      <c r="AS63" t="str">
        <f>IF($AR63="","",IFERROR(MATCH($AR63,E_Rules!$A$5:$A$9,0),""))</f>
        <v/>
      </c>
      <c r="AT63" t="str">
        <f>IF($AQ63="","",IF(INDEX(C_Pavement!$D$5:$D$204,$AQ63)&lt;&gt;"",UPPER(TRIM(INDEX(C_Pavement!$D$5:$D$204,$AQ63))),IF($AS63="","",INDEX(E_Rules!$C$5:$C$9,$AS63))))</f>
        <v/>
      </c>
      <c r="AU63" t="str">
        <f>IF($AQ63="","",IF(INDEX(C_Pavement!$E$5:$E$204,$AQ63)&lt;&gt;"",IF(INDEX(C_Pavement!$E$5:$E$204,$AQ63)="-","",INDEX(C_Pavement!$E$5:$E$204,$AQ63)),IF($AS63="","",INDEX(E_Rules!$D$5:$D$9,$AS63))))</f>
        <v/>
      </c>
      <c r="AV63" t="str">
        <f>IF($AQ63="","",IF(INDEX(C_Pavement!$F$5:$F$204,$AQ63)&lt;&gt;"",IF(INDEX(C_Pavement!$F$5:$F$204,$AQ63)="-","",INDEX(C_Pavement!$F$5:$F$204,$AQ63)),IF($AS63="","",INDEX(E_Rules!$E$5:$E$9,$AS63))))</f>
        <v/>
      </c>
      <c r="AW63" t="str">
        <f>IF($AQ63="","",IF(INDEX(C_Pavement!$G$5:$G$204,$AQ63)&lt;&gt;"",IF(INDEX(C_Pavement!$G$5:$G$204,$AQ63)="-","",INDEX(C_Pavement!$G$5:$G$204,$AQ63)),IF($AS63="","",INDEX(E_Rules!$F$5:$F$9,$AS63))))</f>
        <v/>
      </c>
      <c r="AX63" t="str">
        <f>IF($AQ63="","",IF(INDEX(C_Pavement!$H$5:$H$204,$AQ63)&lt;&gt;"",IF(INDEX(C_Pavement!$H$5:$H$204,$AQ63)="-","",INDEX(C_Pavement!$H$5:$H$204,$AQ63)),IF($AS63="","",INDEX(E_Rules!$G$5:$G$9,$AS63))))</f>
        <v/>
      </c>
      <c r="AY63" t="str">
        <f>IF($AQ63="","",IF(INDEX(C_Pavement!$I$5:$I$204,$AQ63)&lt;&gt;"",IF(INDEX(C_Pavement!$I$5:$I$204,$AQ63)="-","",INDEX(C_Pavement!$I$5:$I$204,$AQ63)),IF($AS63="","",INDEX(E_Rules!$H$5:$H$9,$AS63))))</f>
        <v/>
      </c>
    </row>
    <row r="64" spans="1:51" ht="15.75" customHeight="1" x14ac:dyDescent="0.3">
      <c r="A64" s="189">
        <v>59</v>
      </c>
      <c r="B64" s="180">
        <v>2900</v>
      </c>
      <c r="C64" s="180" t="s">
        <v>370</v>
      </c>
      <c r="D64" s="181" t="str">
        <f>IFERROR(LOOKUP(2,1/((A_Corridor!$A$5:$A$204&lt;&gt;"")*(A_Corridor!$A$5:$A$204&lt;=$B64)*(A_Corridor!$B$5:$B$204&gt;$B64)*(A_Corridor!$C$5:$C$204&lt;&gt;"")),IF(UPPER(A_Corridor!$C$5:$C$204)="Y",1,"")),"")</f>
        <v/>
      </c>
      <c r="E64" s="181" t="str">
        <f>IFERROR(LOOKUP(2,1/((A_Corridor!$A$5:$A$204&lt;&gt;"")*(A_Corridor!$A$5:$A$204&lt;=$B64)*(A_Corridor!$B$5:$B$204&gt;$B64)*(A_Corridor!$D$5:$D$204&lt;&gt;"")),IF(A_Corridor!$D$5:$D$204="-","",UPPER(A_Corridor!$D$5:$D$204))),"")</f>
        <v/>
      </c>
      <c r="F64" s="181" t="str">
        <f>IFERROR(LOOKUP(2,1/((A_Corridor!$A$5:$A$204&lt;&gt;"")*(A_Corridor!$A$5:$A$204&lt;=$B64)*(A_Corridor!$B$5:$B$204&gt;$B64)*(A_Corridor!$E$5:$E$204&lt;&gt;"")),IF(A_Corridor!$E$5:$E$204="-","",1)),"")</f>
        <v/>
      </c>
      <c r="G64" s="182" t="str">
        <f>IFERROR(LOOKUP(2,1/((A_Corridor!$A$5:$A$204&lt;&gt;"")*(A_Corridor!$A$5:$A$204&lt;=$B64)*(A_Corridor!$B$5:$B$204&gt;$B64)*(A_Corridor!$E$5:$E$204&lt;&gt;"")),IF(A_Corridor!$E$5:$E$204="-","",A_Corridor!$E$5:$E$204)),"")</f>
        <v/>
      </c>
      <c r="H64" s="182" t="str">
        <f>IFERROR(LOOKUP(2,1/((D_Points!$A$5:$A$204&lt;&gt;"")*(D_Points!$A$5:$A$204&gt;=$B64)*(D_Points!$A$5:$A$204&lt;$B64+P_Interval)*(UPPER(TRIM(D_Points!$B$5:$B$204))="GULLY")*(D_Points!$H$5:$H$204&lt;&gt;"")),D_Points!$H$5:$H$204),"")</f>
        <v/>
      </c>
      <c r="I64" s="181" t="str">
        <f>IFERROR(LOOKUP(2,1/((A_Corridor!$A$5:$A$204&lt;&gt;"")*(A_Corridor!$A$5:$A$204&lt;=$B64)*(A_Corridor!$B$5:$B$204&gt;$B64)*(A_Corridor!$F$5:$F$204&lt;&gt;"")),IF(A_Corridor!$F$5:$F$204="-","",1)),"")</f>
        <v/>
      </c>
      <c r="J64" s="182" t="str">
        <f>IFERROR(LOOKUP(2,1/((A_Corridor!$A$5:$A$204&lt;&gt;"")*(A_Corridor!$A$5:$A$204&lt;=$B64)*(A_Corridor!$B$5:$B$204&gt;$B64)*(A_Corridor!$F$5:$F$204&lt;&gt;"")),IF(A_Corridor!$F$5:$F$204="-","",A_Corridor!$F$5:$F$204)),"")</f>
        <v/>
      </c>
      <c r="K64" s="182" t="str">
        <f>IFERROR(LOOKUP(2,1/((A_Corridor!$A$5:$A$204&lt;&gt;"")*(A_Corridor!$A$5:$A$204&lt;=$B64)*(A_Corridor!$B$5:$B$204&gt;$B64)*(A_Corridor!$G$5:$G$204&lt;&gt;"")),IF(A_Corridor!$G$5:$G$204="-","",A_Corridor!$G$5:$G$204)),"")</f>
        <v/>
      </c>
      <c r="L64" s="181" t="str">
        <f>IFERROR(LOOKUP(2,1/((A_Corridor!$A$5:$A$204&lt;&gt;"")*(A_Corridor!$A$5:$A$204&lt;=$B64)*(A_Corridor!$B$5:$B$204&gt;$B64)*(A_Corridor!$H$5:$H$204&lt;&gt;"")),IF(A_Corridor!$H$5:$H$204="-","",1)),"")</f>
        <v/>
      </c>
      <c r="M64" s="182" t="str">
        <f>IFERROR(LOOKUP(2,1/((A_Corridor!$A$5:$A$204&lt;&gt;"")*(A_Corridor!$A$5:$A$204&lt;=$B64)*(A_Corridor!$B$5:$B$204&gt;$B64)*(A_Corridor!$H$5:$H$204&lt;&gt;"")),IF(A_Corridor!$H$5:$H$204="-","",A_Corridor!$H$5:$H$204)),"")</f>
        <v/>
      </c>
      <c r="N64" s="182" t="str">
        <f>IFERROR(LOOKUP(2,1/((A_Corridor!$A$5:$A$204&lt;&gt;"")*(A_Corridor!$A$5:$A$204&lt;=$B64)*(A_Corridor!$B$5:$B$204&gt;$B64)*(A_Corridor!$I$5:$I$204&lt;&gt;"")),IF(A_Corridor!$I$5:$I$204="-","",A_Corridor!$I$5:$I$204)),"")</f>
        <v/>
      </c>
      <c r="O64" s="182" t="str">
        <f>IFERROR(LOOKUP(2,1/((D_Points!$A$5:$A$204&lt;&gt;"")*(D_Points!$A$5:$A$204&gt;=$B64)*(D_Points!$A$5:$A$204&lt;$B64+P_Interval)*(UPPER(TRIM(D_Points!$B$5:$B$204))="PITCHING")*(D_Points!$H$5:$H$204&lt;&gt;"")),D_Points!$H$5:$H$204),"")</f>
        <v/>
      </c>
      <c r="P64" s="181" t="str">
        <f>IFERROR(LOOKUP(2,1/((B_Drainage!$A$5:$A$204&lt;&gt;"")*(B_Drainage!$A$5:$A$204&lt;=$B64)*(B_Drainage!$B$5:$B$204&gt;$B64)*(B_Drainage!$C$5:$C$204&lt;&gt;"")),IF(B_Drainage!$C$5:$C$204="-","",UPPER(B_Drainage!$C$5:$C$204))),"")</f>
        <v/>
      </c>
      <c r="Q64" s="181" t="str">
        <f>IFERROR(LOOKUP(2,1/((B_Drainage!$A$5:$A$204&lt;&gt;"")*(B_Drainage!$A$5:$A$204&lt;=$B64)*(B_Drainage!$B$5:$B$204&gt;$B64)*(B_Drainage!$D$5:$D$204&lt;&gt;"")),IF(B_Drainage!$D$5:$D$204="-","",UPPER(B_Drainage!$D$5:$D$204))),"")</f>
        <v/>
      </c>
      <c r="R64" s="182" t="str">
        <f>IFERROR(LOOKUP(2,1/((D_Points!$A$5:$A$204&lt;&gt;"")*(D_Points!$A$5:$A$204&gt;=$B64)*(D_Points!$A$5:$A$204&lt;$B64+P_Interval)*(RIGHT(UPPER(TRIM(D_Points!$B$5:$B$204)),8)="_CULVERT")),IF(LEFT(UPPER(TRIM(D_Points!$B$5:$B$204)),2)="EX",1,IF(LEFT(UPPER(TRIM(D_Points!$B$5:$B$204)),2)="PR",2,3))),"")</f>
        <v/>
      </c>
      <c r="S64" s="182" t="str">
        <f>IFERROR(LOOKUP(2,1/((D_Points!$A$5:$A$204&lt;&gt;"")*(D_Points!$A$5:$A$204&gt;=$B64)*(D_Points!$A$5:$A$204&lt;$B64+P_Interval)*(RIGHT(UPPER(TRIM(D_Points!$B$5:$B$204)),7)="_BRIDGE")),IF(LEFT(UPPER(TRIM(D_Points!$B$5:$B$204)),2)="EX",1,IF(LEFT(UPPER(TRIM(D_Points!$B$5:$B$204)),2)="PR",2,2))),"")</f>
        <v/>
      </c>
      <c r="T64" s="181" t="str">
        <f>IFERROR(LOOKUP(2,1/((B_Drainage!$A$5:$A$204&lt;&gt;"")*(B_Drainage!$A$5:$A$204&lt;=$B64)*(B_Drainage!$B$5:$B$204&gt;$B64)*(B_Drainage!$E$5:$E$204&lt;&gt;"")),IF(B_Drainage!$E$5:$E$204="-","",1)),"")</f>
        <v/>
      </c>
      <c r="U64" s="181" t="str">
        <f>IFERROR(LOOKUP(2,1/((B_Drainage!$A$5:$A$204&lt;&gt;"")*(B_Drainage!$A$5:$A$204&lt;=$B64)*(B_Drainage!$B$5:$B$204&gt;$B64)*(B_Drainage!$E$5:$E$204&lt;&gt;"")),IF(B_Drainage!$E$5:$E$204="-","",B_Drainage!$E$5:$E$204)),"")</f>
        <v/>
      </c>
      <c r="V64" s="181" t="str">
        <f>IFERROR(LOOKUP(2,1/((B_Drainage!$A$5:$A$204&lt;&gt;"")*(B_Drainage!$A$5:$A$204&lt;=$B64)*(B_Drainage!$B$5:$B$204&gt;$B64)*(B_Drainage!$F$5:$F$204&lt;&gt;"")),IF(B_Drainage!$F$5:$F$204="-","",1)),"")</f>
        <v/>
      </c>
      <c r="W64" s="181" t="str">
        <f>IFERROR(LOOKUP(2,1/((B_Drainage!$A$5:$A$204&lt;&gt;"")*(B_Drainage!$A$5:$A$204&lt;=$B64)*(B_Drainage!$B$5:$B$204&gt;$B64)*(B_Drainage!$F$5:$F$204&lt;&gt;"")),IF(B_Drainage!$F$5:$F$204="-","",B_Drainage!$F$5:$F$204)),"")</f>
        <v/>
      </c>
      <c r="X64" s="181" t="str">
        <f>IFERROR(LOOKUP(2,1/((B_Drainage!$A$5:$A$204&lt;&gt;"")*(B_Drainage!$A$5:$A$204&lt;=$B64)*(B_Drainage!$B$5:$B$204&gt;$B64)*(B_Drainage!$G$5:$G$204&lt;&gt;"")),IF(UPPER(B_Drainage!$G$5:$G$204)="Y",1,"")),"")</f>
        <v/>
      </c>
      <c r="Y64" s="181" t="str">
        <f>IFERROR(LOOKUP(2,1/((B_Drainage!$A$5:$A$204&lt;&gt;"")*(B_Drainage!$A$5:$A$204&lt;=$B64)*(B_Drainage!$B$5:$B$204&gt;$B64)*(B_Drainage!$H$5:$H$204&lt;&gt;"")),IF(UPPER(B_Drainage!$H$5:$H$204)="Y",1,"")),"")</f>
        <v/>
      </c>
      <c r="Z64" s="181" t="str">
        <f>IFERROR(LOOKUP(2,1/((B_Drainage!$A$5:$A$204&lt;&gt;"")*(B_Drainage!$A$5:$A$204&lt;=$B64)*(B_Drainage!$B$5:$B$204&gt;$B64)*(B_Drainage!$I$5:$I$204&lt;&gt;"")),IF(UPPER(B_Drainage!$I$5:$I$204)="Y",1,"")),"")</f>
        <v/>
      </c>
      <c r="AA64" s="181" t="str">
        <f>IFERROR(LOOKUP(2,1/((B_Drainage!$A$5:$A$204&lt;&gt;"")*(B_Drainage!$A$5:$A$204&lt;=$B64)*(B_Drainage!$B$5:$B$204&gt;$B64)*(B_Drainage!$J$5:$J$204&lt;&gt;"")),IF(UPPER(B_Drainage!$J$5:$J$204)="Y",1,"")),"")</f>
        <v/>
      </c>
      <c r="AB64" s="182" t="str">
        <f>IFERROR(LOOKUP(2,1/((B_Drainage!$A$5:$A$204&lt;&gt;"")*(B_Drainage!$A$5:$A$204&lt;=$B64)*(B_Drainage!$B$5:$B$204&gt;$B64)*(B_Drainage!$K$5:$K$204&lt;&gt;"")),IF(B_Drainage!$K$5:$K$204="-","",B_Drainage!$K$5:$K$204)),"")</f>
        <v/>
      </c>
      <c r="AC64" s="182" t="str">
        <f>IFERROR(LOOKUP(2,1/((B_Drainage!$A$5:$A$204&lt;&gt;"")*(B_Drainage!$A$5:$A$204&lt;=$B64)*(B_Drainage!$B$5:$B$204&gt;$B64)*(B_Drainage!$L$5:$L$204&lt;&gt;"")),IF(B_Drainage!$L$5:$L$204="-","",B_Drainage!$L$5:$L$204)),"")</f>
        <v/>
      </c>
      <c r="AD64" s="182" t="str">
        <f>IFERROR(LOOKUP(2,1/((D_Points!$A$5:$A$204&lt;&gt;"")*(D_Points!$A$5:$A$204&gt;=$B64)*(D_Points!$A$5:$A$204&lt;$B64+P_Interval)*(UPPER(TRIM(D_Points!$B$5:$B$204))="TURNOUT_L")*(D_Points!$H$5:$H$204&lt;&gt;"")),D_Points!$H$5:$H$204),"")</f>
        <v/>
      </c>
      <c r="AE64" s="182" t="str">
        <f>IFERROR(LOOKUP(2,1/((D_Points!$A$5:$A$204&lt;&gt;"")*(D_Points!$A$5:$A$204&gt;=$B64)*(D_Points!$A$5:$A$204&lt;$B64+P_Interval)*(UPPER(TRIM(D_Points!$B$5:$B$204))="TURNOUT_R")*(D_Points!$H$5:$H$204&lt;&gt;"")),D_Points!$H$5:$H$204),"")</f>
        <v/>
      </c>
      <c r="AF64" s="181" t="str">
        <f>IFERROR(LOOKUP(2,1/((B_Drainage!$A$5:$A$204&lt;&gt;"")*(B_Drainage!$A$5:$A$204&lt;=$B64)*(B_Drainage!$B$5:$B$204&gt;$B64)*(B_Drainage!$M$5:$M$204&lt;&gt;"")),IF(UPPER(B_Drainage!$M$5:$M$204)="Y",1,"")),"")</f>
        <v/>
      </c>
      <c r="AG64" s="181" t="str">
        <f>IFERROR(LOOKUP(2,1/((B_Drainage!$A$5:$A$204&lt;&gt;"")*(B_Drainage!$A$5:$A$204&lt;=$B64)*(B_Drainage!$B$5:$B$204&gt;$B64)*(B_Drainage!$N$5:$N$204&lt;&gt;"")),IF(UPPER(B_Drainage!$N$5:$N$204)="Y",1,"")),"")</f>
        <v/>
      </c>
      <c r="AH64" s="181" t="str">
        <f t="shared" si="0"/>
        <v/>
      </c>
      <c r="AI64" s="181" t="str">
        <f t="shared" si="1"/>
        <v/>
      </c>
      <c r="AJ64" s="181" t="str">
        <f t="shared" si="2"/>
        <v/>
      </c>
      <c r="AK64" s="181" t="str">
        <f t="shared" si="3"/>
        <v/>
      </c>
      <c r="AL64" s="181" t="str">
        <f t="shared" si="4"/>
        <v/>
      </c>
      <c r="AM64" s="181" t="str">
        <f t="shared" si="5"/>
        <v/>
      </c>
      <c r="AN64" s="181" t="str">
        <f t="shared" si="6"/>
        <v/>
      </c>
      <c r="AO64" s="192" t="str">
        <f t="shared" si="7"/>
        <v/>
      </c>
      <c r="AQ64" t="str">
        <f>IFERROR(LOOKUP(2,1/((C_Pavement!$A$5:$A$204&lt;&gt;"")*(C_Pavement!$A$5:$A$204&lt;=$B64)*(C_Pavement!$B$5:$B$204&gt;$B64)*(C_Pavement!$C$5:$C$204&lt;&gt;"")),ROW(C_Pavement!$C$5:$C$204)-4),"")</f>
        <v/>
      </c>
      <c r="AR64" t="str">
        <f>IF($AQ64="","",UPPER(TRIM(INDEX(C_Pavement!$C$5:$C$204,$AQ64))))</f>
        <v/>
      </c>
      <c r="AS64" t="str">
        <f>IF($AR64="","",IFERROR(MATCH($AR64,E_Rules!$A$5:$A$9,0),""))</f>
        <v/>
      </c>
      <c r="AT64" t="str">
        <f>IF($AQ64="","",IF(INDEX(C_Pavement!$D$5:$D$204,$AQ64)&lt;&gt;"",UPPER(TRIM(INDEX(C_Pavement!$D$5:$D$204,$AQ64))),IF($AS64="","",INDEX(E_Rules!$C$5:$C$9,$AS64))))</f>
        <v/>
      </c>
      <c r="AU64" t="str">
        <f>IF($AQ64="","",IF(INDEX(C_Pavement!$E$5:$E$204,$AQ64)&lt;&gt;"",IF(INDEX(C_Pavement!$E$5:$E$204,$AQ64)="-","",INDEX(C_Pavement!$E$5:$E$204,$AQ64)),IF($AS64="","",INDEX(E_Rules!$D$5:$D$9,$AS64))))</f>
        <v/>
      </c>
      <c r="AV64" t="str">
        <f>IF($AQ64="","",IF(INDEX(C_Pavement!$F$5:$F$204,$AQ64)&lt;&gt;"",IF(INDEX(C_Pavement!$F$5:$F$204,$AQ64)="-","",INDEX(C_Pavement!$F$5:$F$204,$AQ64)),IF($AS64="","",INDEX(E_Rules!$E$5:$E$9,$AS64))))</f>
        <v/>
      </c>
      <c r="AW64" t="str">
        <f>IF($AQ64="","",IF(INDEX(C_Pavement!$G$5:$G$204,$AQ64)&lt;&gt;"",IF(INDEX(C_Pavement!$G$5:$G$204,$AQ64)="-","",INDEX(C_Pavement!$G$5:$G$204,$AQ64)),IF($AS64="","",INDEX(E_Rules!$F$5:$F$9,$AS64))))</f>
        <v/>
      </c>
      <c r="AX64" t="str">
        <f>IF($AQ64="","",IF(INDEX(C_Pavement!$H$5:$H$204,$AQ64)&lt;&gt;"",IF(INDEX(C_Pavement!$H$5:$H$204,$AQ64)="-","",INDEX(C_Pavement!$H$5:$H$204,$AQ64)),IF($AS64="","",INDEX(E_Rules!$G$5:$G$9,$AS64))))</f>
        <v/>
      </c>
      <c r="AY64" t="str">
        <f>IF($AQ64="","",IF(INDEX(C_Pavement!$I$5:$I$204,$AQ64)&lt;&gt;"",IF(INDEX(C_Pavement!$I$5:$I$204,$AQ64)="-","",INDEX(C_Pavement!$I$5:$I$204,$AQ64)),IF($AS64="","",INDEX(E_Rules!$H$5:$H$9,$AS64))))</f>
        <v/>
      </c>
    </row>
    <row r="65" spans="1:51" ht="15.75" customHeight="1" x14ac:dyDescent="0.3">
      <c r="A65" s="189">
        <v>60</v>
      </c>
      <c r="B65" s="180">
        <v>2950</v>
      </c>
      <c r="C65" s="180" t="s">
        <v>371</v>
      </c>
      <c r="D65" s="181" t="str">
        <f>IFERROR(LOOKUP(2,1/((A_Corridor!$A$5:$A$204&lt;&gt;"")*(A_Corridor!$A$5:$A$204&lt;=$B65)*(A_Corridor!$B$5:$B$204&gt;$B65)*(A_Corridor!$C$5:$C$204&lt;&gt;"")),IF(UPPER(A_Corridor!$C$5:$C$204)="Y",1,"")),"")</f>
        <v/>
      </c>
      <c r="E65" s="181" t="str">
        <f>IFERROR(LOOKUP(2,1/((A_Corridor!$A$5:$A$204&lt;&gt;"")*(A_Corridor!$A$5:$A$204&lt;=$B65)*(A_Corridor!$B$5:$B$204&gt;$B65)*(A_Corridor!$D$5:$D$204&lt;&gt;"")),IF(A_Corridor!$D$5:$D$204="-","",UPPER(A_Corridor!$D$5:$D$204))),"")</f>
        <v/>
      </c>
      <c r="F65" s="181" t="str">
        <f>IFERROR(LOOKUP(2,1/((A_Corridor!$A$5:$A$204&lt;&gt;"")*(A_Corridor!$A$5:$A$204&lt;=$B65)*(A_Corridor!$B$5:$B$204&gt;$B65)*(A_Corridor!$E$5:$E$204&lt;&gt;"")),IF(A_Corridor!$E$5:$E$204="-","",1)),"")</f>
        <v/>
      </c>
      <c r="G65" s="182" t="str">
        <f>IFERROR(LOOKUP(2,1/((A_Corridor!$A$5:$A$204&lt;&gt;"")*(A_Corridor!$A$5:$A$204&lt;=$B65)*(A_Corridor!$B$5:$B$204&gt;$B65)*(A_Corridor!$E$5:$E$204&lt;&gt;"")),IF(A_Corridor!$E$5:$E$204="-","",A_Corridor!$E$5:$E$204)),"")</f>
        <v/>
      </c>
      <c r="H65" s="182" t="str">
        <f>IFERROR(LOOKUP(2,1/((D_Points!$A$5:$A$204&lt;&gt;"")*(D_Points!$A$5:$A$204&gt;=$B65)*(D_Points!$A$5:$A$204&lt;$B65+P_Interval)*(UPPER(TRIM(D_Points!$B$5:$B$204))="GULLY")*(D_Points!$H$5:$H$204&lt;&gt;"")),D_Points!$H$5:$H$204),"")</f>
        <v/>
      </c>
      <c r="I65" s="181" t="str">
        <f>IFERROR(LOOKUP(2,1/((A_Corridor!$A$5:$A$204&lt;&gt;"")*(A_Corridor!$A$5:$A$204&lt;=$B65)*(A_Corridor!$B$5:$B$204&gt;$B65)*(A_Corridor!$F$5:$F$204&lt;&gt;"")),IF(A_Corridor!$F$5:$F$204="-","",1)),"")</f>
        <v/>
      </c>
      <c r="J65" s="182" t="str">
        <f>IFERROR(LOOKUP(2,1/((A_Corridor!$A$5:$A$204&lt;&gt;"")*(A_Corridor!$A$5:$A$204&lt;=$B65)*(A_Corridor!$B$5:$B$204&gt;$B65)*(A_Corridor!$F$5:$F$204&lt;&gt;"")),IF(A_Corridor!$F$5:$F$204="-","",A_Corridor!$F$5:$F$204)),"")</f>
        <v/>
      </c>
      <c r="K65" s="182" t="str">
        <f>IFERROR(LOOKUP(2,1/((A_Corridor!$A$5:$A$204&lt;&gt;"")*(A_Corridor!$A$5:$A$204&lt;=$B65)*(A_Corridor!$B$5:$B$204&gt;$B65)*(A_Corridor!$G$5:$G$204&lt;&gt;"")),IF(A_Corridor!$G$5:$G$204="-","",A_Corridor!$G$5:$G$204)),"")</f>
        <v/>
      </c>
      <c r="L65" s="181" t="str">
        <f>IFERROR(LOOKUP(2,1/((A_Corridor!$A$5:$A$204&lt;&gt;"")*(A_Corridor!$A$5:$A$204&lt;=$B65)*(A_Corridor!$B$5:$B$204&gt;$B65)*(A_Corridor!$H$5:$H$204&lt;&gt;"")),IF(A_Corridor!$H$5:$H$204="-","",1)),"")</f>
        <v/>
      </c>
      <c r="M65" s="182" t="str">
        <f>IFERROR(LOOKUP(2,1/((A_Corridor!$A$5:$A$204&lt;&gt;"")*(A_Corridor!$A$5:$A$204&lt;=$B65)*(A_Corridor!$B$5:$B$204&gt;$B65)*(A_Corridor!$H$5:$H$204&lt;&gt;"")),IF(A_Corridor!$H$5:$H$204="-","",A_Corridor!$H$5:$H$204)),"")</f>
        <v/>
      </c>
      <c r="N65" s="182" t="str">
        <f>IFERROR(LOOKUP(2,1/((A_Corridor!$A$5:$A$204&lt;&gt;"")*(A_Corridor!$A$5:$A$204&lt;=$B65)*(A_Corridor!$B$5:$B$204&gt;$B65)*(A_Corridor!$I$5:$I$204&lt;&gt;"")),IF(A_Corridor!$I$5:$I$204="-","",A_Corridor!$I$5:$I$204)),"")</f>
        <v/>
      </c>
      <c r="O65" s="182" t="str">
        <f>IFERROR(LOOKUP(2,1/((D_Points!$A$5:$A$204&lt;&gt;"")*(D_Points!$A$5:$A$204&gt;=$B65)*(D_Points!$A$5:$A$204&lt;$B65+P_Interval)*(UPPER(TRIM(D_Points!$B$5:$B$204))="PITCHING")*(D_Points!$H$5:$H$204&lt;&gt;"")),D_Points!$H$5:$H$204),"")</f>
        <v/>
      </c>
      <c r="P65" s="181" t="str">
        <f>IFERROR(LOOKUP(2,1/((B_Drainage!$A$5:$A$204&lt;&gt;"")*(B_Drainage!$A$5:$A$204&lt;=$B65)*(B_Drainage!$B$5:$B$204&gt;$B65)*(B_Drainage!$C$5:$C$204&lt;&gt;"")),IF(B_Drainage!$C$5:$C$204="-","",UPPER(B_Drainage!$C$5:$C$204))),"")</f>
        <v/>
      </c>
      <c r="Q65" s="181" t="str">
        <f>IFERROR(LOOKUP(2,1/((B_Drainage!$A$5:$A$204&lt;&gt;"")*(B_Drainage!$A$5:$A$204&lt;=$B65)*(B_Drainage!$B$5:$B$204&gt;$B65)*(B_Drainage!$D$5:$D$204&lt;&gt;"")),IF(B_Drainage!$D$5:$D$204="-","",UPPER(B_Drainage!$D$5:$D$204))),"")</f>
        <v/>
      </c>
      <c r="R65" s="182" t="str">
        <f>IFERROR(LOOKUP(2,1/((D_Points!$A$5:$A$204&lt;&gt;"")*(D_Points!$A$5:$A$204&gt;=$B65)*(D_Points!$A$5:$A$204&lt;$B65+P_Interval)*(RIGHT(UPPER(TRIM(D_Points!$B$5:$B$204)),8)="_CULVERT")),IF(LEFT(UPPER(TRIM(D_Points!$B$5:$B$204)),2)="EX",1,IF(LEFT(UPPER(TRIM(D_Points!$B$5:$B$204)),2)="PR",2,3))),"")</f>
        <v/>
      </c>
      <c r="S65" s="182" t="str">
        <f>IFERROR(LOOKUP(2,1/((D_Points!$A$5:$A$204&lt;&gt;"")*(D_Points!$A$5:$A$204&gt;=$B65)*(D_Points!$A$5:$A$204&lt;$B65+P_Interval)*(RIGHT(UPPER(TRIM(D_Points!$B$5:$B$204)),7)="_BRIDGE")),IF(LEFT(UPPER(TRIM(D_Points!$B$5:$B$204)),2)="EX",1,IF(LEFT(UPPER(TRIM(D_Points!$B$5:$B$204)),2)="PR",2,2))),"")</f>
        <v/>
      </c>
      <c r="T65" s="181" t="str">
        <f>IFERROR(LOOKUP(2,1/((B_Drainage!$A$5:$A$204&lt;&gt;"")*(B_Drainage!$A$5:$A$204&lt;=$B65)*(B_Drainage!$B$5:$B$204&gt;$B65)*(B_Drainage!$E$5:$E$204&lt;&gt;"")),IF(B_Drainage!$E$5:$E$204="-","",1)),"")</f>
        <v/>
      </c>
      <c r="U65" s="181" t="str">
        <f>IFERROR(LOOKUP(2,1/((B_Drainage!$A$5:$A$204&lt;&gt;"")*(B_Drainage!$A$5:$A$204&lt;=$B65)*(B_Drainage!$B$5:$B$204&gt;$B65)*(B_Drainage!$E$5:$E$204&lt;&gt;"")),IF(B_Drainage!$E$5:$E$204="-","",B_Drainage!$E$5:$E$204)),"")</f>
        <v/>
      </c>
      <c r="V65" s="181" t="str">
        <f>IFERROR(LOOKUP(2,1/((B_Drainage!$A$5:$A$204&lt;&gt;"")*(B_Drainage!$A$5:$A$204&lt;=$B65)*(B_Drainage!$B$5:$B$204&gt;$B65)*(B_Drainage!$F$5:$F$204&lt;&gt;"")),IF(B_Drainage!$F$5:$F$204="-","",1)),"")</f>
        <v/>
      </c>
      <c r="W65" s="181" t="str">
        <f>IFERROR(LOOKUP(2,1/((B_Drainage!$A$5:$A$204&lt;&gt;"")*(B_Drainage!$A$5:$A$204&lt;=$B65)*(B_Drainage!$B$5:$B$204&gt;$B65)*(B_Drainage!$F$5:$F$204&lt;&gt;"")),IF(B_Drainage!$F$5:$F$204="-","",B_Drainage!$F$5:$F$204)),"")</f>
        <v/>
      </c>
      <c r="X65" s="181" t="str">
        <f>IFERROR(LOOKUP(2,1/((B_Drainage!$A$5:$A$204&lt;&gt;"")*(B_Drainage!$A$5:$A$204&lt;=$B65)*(B_Drainage!$B$5:$B$204&gt;$B65)*(B_Drainage!$G$5:$G$204&lt;&gt;"")),IF(UPPER(B_Drainage!$G$5:$G$204)="Y",1,"")),"")</f>
        <v/>
      </c>
      <c r="Y65" s="181" t="str">
        <f>IFERROR(LOOKUP(2,1/((B_Drainage!$A$5:$A$204&lt;&gt;"")*(B_Drainage!$A$5:$A$204&lt;=$B65)*(B_Drainage!$B$5:$B$204&gt;$B65)*(B_Drainage!$H$5:$H$204&lt;&gt;"")),IF(UPPER(B_Drainage!$H$5:$H$204)="Y",1,"")),"")</f>
        <v/>
      </c>
      <c r="Z65" s="181" t="str">
        <f>IFERROR(LOOKUP(2,1/((B_Drainage!$A$5:$A$204&lt;&gt;"")*(B_Drainage!$A$5:$A$204&lt;=$B65)*(B_Drainage!$B$5:$B$204&gt;$B65)*(B_Drainage!$I$5:$I$204&lt;&gt;"")),IF(UPPER(B_Drainage!$I$5:$I$204)="Y",1,"")),"")</f>
        <v/>
      </c>
      <c r="AA65" s="181" t="str">
        <f>IFERROR(LOOKUP(2,1/((B_Drainage!$A$5:$A$204&lt;&gt;"")*(B_Drainage!$A$5:$A$204&lt;=$B65)*(B_Drainage!$B$5:$B$204&gt;$B65)*(B_Drainage!$J$5:$J$204&lt;&gt;"")),IF(UPPER(B_Drainage!$J$5:$J$204)="Y",1,"")),"")</f>
        <v/>
      </c>
      <c r="AB65" s="182" t="str">
        <f>IFERROR(LOOKUP(2,1/((B_Drainage!$A$5:$A$204&lt;&gt;"")*(B_Drainage!$A$5:$A$204&lt;=$B65)*(B_Drainage!$B$5:$B$204&gt;$B65)*(B_Drainage!$K$5:$K$204&lt;&gt;"")),IF(B_Drainage!$K$5:$K$204="-","",B_Drainage!$K$5:$K$204)),"")</f>
        <v/>
      </c>
      <c r="AC65" s="182" t="str">
        <f>IFERROR(LOOKUP(2,1/((B_Drainage!$A$5:$A$204&lt;&gt;"")*(B_Drainage!$A$5:$A$204&lt;=$B65)*(B_Drainage!$B$5:$B$204&gt;$B65)*(B_Drainage!$L$5:$L$204&lt;&gt;"")),IF(B_Drainage!$L$5:$L$204="-","",B_Drainage!$L$5:$L$204)),"")</f>
        <v/>
      </c>
      <c r="AD65" s="182" t="str">
        <f>IFERROR(LOOKUP(2,1/((D_Points!$A$5:$A$204&lt;&gt;"")*(D_Points!$A$5:$A$204&gt;=$B65)*(D_Points!$A$5:$A$204&lt;$B65+P_Interval)*(UPPER(TRIM(D_Points!$B$5:$B$204))="TURNOUT_L")*(D_Points!$H$5:$H$204&lt;&gt;"")),D_Points!$H$5:$H$204),"")</f>
        <v/>
      </c>
      <c r="AE65" s="182" t="str">
        <f>IFERROR(LOOKUP(2,1/((D_Points!$A$5:$A$204&lt;&gt;"")*(D_Points!$A$5:$A$204&gt;=$B65)*(D_Points!$A$5:$A$204&lt;$B65+P_Interval)*(UPPER(TRIM(D_Points!$B$5:$B$204))="TURNOUT_R")*(D_Points!$H$5:$H$204&lt;&gt;"")),D_Points!$H$5:$H$204),"")</f>
        <v/>
      </c>
      <c r="AF65" s="181" t="str">
        <f>IFERROR(LOOKUP(2,1/((B_Drainage!$A$5:$A$204&lt;&gt;"")*(B_Drainage!$A$5:$A$204&lt;=$B65)*(B_Drainage!$B$5:$B$204&gt;$B65)*(B_Drainage!$M$5:$M$204&lt;&gt;"")),IF(UPPER(B_Drainage!$M$5:$M$204)="Y",1,"")),"")</f>
        <v/>
      </c>
      <c r="AG65" s="181" t="str">
        <f>IFERROR(LOOKUP(2,1/((B_Drainage!$A$5:$A$204&lt;&gt;"")*(B_Drainage!$A$5:$A$204&lt;=$B65)*(B_Drainage!$B$5:$B$204&gt;$B65)*(B_Drainage!$N$5:$N$204&lt;&gt;"")),IF(UPPER(B_Drainage!$N$5:$N$204)="Y",1,"")),"")</f>
        <v/>
      </c>
      <c r="AH65" s="181" t="str">
        <f t="shared" si="0"/>
        <v/>
      </c>
      <c r="AI65" s="181" t="str">
        <f t="shared" si="1"/>
        <v/>
      </c>
      <c r="AJ65" s="181" t="str">
        <f t="shared" si="2"/>
        <v/>
      </c>
      <c r="AK65" s="181" t="str">
        <f t="shared" si="3"/>
        <v/>
      </c>
      <c r="AL65" s="181" t="str">
        <f t="shared" si="4"/>
        <v/>
      </c>
      <c r="AM65" s="181" t="str">
        <f t="shared" si="5"/>
        <v/>
      </c>
      <c r="AN65" s="181" t="str">
        <f t="shared" si="6"/>
        <v/>
      </c>
      <c r="AO65" s="192" t="str">
        <f t="shared" si="7"/>
        <v/>
      </c>
      <c r="AQ65" t="str">
        <f>IFERROR(LOOKUP(2,1/((C_Pavement!$A$5:$A$204&lt;&gt;"")*(C_Pavement!$A$5:$A$204&lt;=$B65)*(C_Pavement!$B$5:$B$204&gt;$B65)*(C_Pavement!$C$5:$C$204&lt;&gt;"")),ROW(C_Pavement!$C$5:$C$204)-4),"")</f>
        <v/>
      </c>
      <c r="AR65" t="str">
        <f>IF($AQ65="","",UPPER(TRIM(INDEX(C_Pavement!$C$5:$C$204,$AQ65))))</f>
        <v/>
      </c>
      <c r="AS65" t="str">
        <f>IF($AR65="","",IFERROR(MATCH($AR65,E_Rules!$A$5:$A$9,0),""))</f>
        <v/>
      </c>
      <c r="AT65" t="str">
        <f>IF($AQ65="","",IF(INDEX(C_Pavement!$D$5:$D$204,$AQ65)&lt;&gt;"",UPPER(TRIM(INDEX(C_Pavement!$D$5:$D$204,$AQ65))),IF($AS65="","",INDEX(E_Rules!$C$5:$C$9,$AS65))))</f>
        <v/>
      </c>
      <c r="AU65" t="str">
        <f>IF($AQ65="","",IF(INDEX(C_Pavement!$E$5:$E$204,$AQ65)&lt;&gt;"",IF(INDEX(C_Pavement!$E$5:$E$204,$AQ65)="-","",INDEX(C_Pavement!$E$5:$E$204,$AQ65)),IF($AS65="","",INDEX(E_Rules!$D$5:$D$9,$AS65))))</f>
        <v/>
      </c>
      <c r="AV65" t="str">
        <f>IF($AQ65="","",IF(INDEX(C_Pavement!$F$5:$F$204,$AQ65)&lt;&gt;"",IF(INDEX(C_Pavement!$F$5:$F$204,$AQ65)="-","",INDEX(C_Pavement!$F$5:$F$204,$AQ65)),IF($AS65="","",INDEX(E_Rules!$E$5:$E$9,$AS65))))</f>
        <v/>
      </c>
      <c r="AW65" t="str">
        <f>IF($AQ65="","",IF(INDEX(C_Pavement!$G$5:$G$204,$AQ65)&lt;&gt;"",IF(INDEX(C_Pavement!$G$5:$G$204,$AQ65)="-","",INDEX(C_Pavement!$G$5:$G$204,$AQ65)),IF($AS65="","",INDEX(E_Rules!$F$5:$F$9,$AS65))))</f>
        <v/>
      </c>
      <c r="AX65" t="str">
        <f>IF($AQ65="","",IF(INDEX(C_Pavement!$H$5:$H$204,$AQ65)&lt;&gt;"",IF(INDEX(C_Pavement!$H$5:$H$204,$AQ65)="-","",INDEX(C_Pavement!$H$5:$H$204,$AQ65)),IF($AS65="","",INDEX(E_Rules!$G$5:$G$9,$AS65))))</f>
        <v/>
      </c>
      <c r="AY65" t="str">
        <f>IF($AQ65="","",IF(INDEX(C_Pavement!$I$5:$I$204,$AQ65)&lt;&gt;"",IF(INDEX(C_Pavement!$I$5:$I$204,$AQ65)="-","",INDEX(C_Pavement!$I$5:$I$204,$AQ65)),IF($AS65="","",INDEX(E_Rules!$H$5:$H$9,$AS65))))</f>
        <v/>
      </c>
    </row>
    <row r="66" spans="1:51" ht="15.75" customHeight="1" x14ac:dyDescent="0.3">
      <c r="A66" s="189">
        <v>61</v>
      </c>
      <c r="B66" s="180">
        <v>3000</v>
      </c>
      <c r="C66" s="180" t="s">
        <v>372</v>
      </c>
      <c r="D66" s="181" t="str">
        <f>IFERROR(LOOKUP(2,1/((A_Corridor!$A$5:$A$204&lt;&gt;"")*(A_Corridor!$A$5:$A$204&lt;=$B66)*(A_Corridor!$B$5:$B$204&gt;$B66)*(A_Corridor!$C$5:$C$204&lt;&gt;"")),IF(UPPER(A_Corridor!$C$5:$C$204)="Y",1,"")),"")</f>
        <v/>
      </c>
      <c r="E66" s="181" t="str">
        <f>IFERROR(LOOKUP(2,1/((A_Corridor!$A$5:$A$204&lt;&gt;"")*(A_Corridor!$A$5:$A$204&lt;=$B66)*(A_Corridor!$B$5:$B$204&gt;$B66)*(A_Corridor!$D$5:$D$204&lt;&gt;"")),IF(A_Corridor!$D$5:$D$204="-","",UPPER(A_Corridor!$D$5:$D$204))),"")</f>
        <v/>
      </c>
      <c r="F66" s="181" t="str">
        <f>IFERROR(LOOKUP(2,1/((A_Corridor!$A$5:$A$204&lt;&gt;"")*(A_Corridor!$A$5:$A$204&lt;=$B66)*(A_Corridor!$B$5:$B$204&gt;$B66)*(A_Corridor!$E$5:$E$204&lt;&gt;"")),IF(A_Corridor!$E$5:$E$204="-","",1)),"")</f>
        <v/>
      </c>
      <c r="G66" s="182" t="str">
        <f>IFERROR(LOOKUP(2,1/((A_Corridor!$A$5:$A$204&lt;&gt;"")*(A_Corridor!$A$5:$A$204&lt;=$B66)*(A_Corridor!$B$5:$B$204&gt;$B66)*(A_Corridor!$E$5:$E$204&lt;&gt;"")),IF(A_Corridor!$E$5:$E$204="-","",A_Corridor!$E$5:$E$204)),"")</f>
        <v/>
      </c>
      <c r="H66" s="182" t="str">
        <f>IFERROR(LOOKUP(2,1/((D_Points!$A$5:$A$204&lt;&gt;"")*(D_Points!$A$5:$A$204&gt;=$B66)*(D_Points!$A$5:$A$204&lt;$B66+P_Interval)*(UPPER(TRIM(D_Points!$B$5:$B$204))="GULLY")*(D_Points!$H$5:$H$204&lt;&gt;"")),D_Points!$H$5:$H$204),"")</f>
        <v/>
      </c>
      <c r="I66" s="181" t="str">
        <f>IFERROR(LOOKUP(2,1/((A_Corridor!$A$5:$A$204&lt;&gt;"")*(A_Corridor!$A$5:$A$204&lt;=$B66)*(A_Corridor!$B$5:$B$204&gt;$B66)*(A_Corridor!$F$5:$F$204&lt;&gt;"")),IF(A_Corridor!$F$5:$F$204="-","",1)),"")</f>
        <v/>
      </c>
      <c r="J66" s="182" t="str">
        <f>IFERROR(LOOKUP(2,1/((A_Corridor!$A$5:$A$204&lt;&gt;"")*(A_Corridor!$A$5:$A$204&lt;=$B66)*(A_Corridor!$B$5:$B$204&gt;$B66)*(A_Corridor!$F$5:$F$204&lt;&gt;"")),IF(A_Corridor!$F$5:$F$204="-","",A_Corridor!$F$5:$F$204)),"")</f>
        <v/>
      </c>
      <c r="K66" s="182" t="str">
        <f>IFERROR(LOOKUP(2,1/((A_Corridor!$A$5:$A$204&lt;&gt;"")*(A_Corridor!$A$5:$A$204&lt;=$B66)*(A_Corridor!$B$5:$B$204&gt;$B66)*(A_Corridor!$G$5:$G$204&lt;&gt;"")),IF(A_Corridor!$G$5:$G$204="-","",A_Corridor!$G$5:$G$204)),"")</f>
        <v/>
      </c>
      <c r="L66" s="181" t="str">
        <f>IFERROR(LOOKUP(2,1/((A_Corridor!$A$5:$A$204&lt;&gt;"")*(A_Corridor!$A$5:$A$204&lt;=$B66)*(A_Corridor!$B$5:$B$204&gt;$B66)*(A_Corridor!$H$5:$H$204&lt;&gt;"")),IF(A_Corridor!$H$5:$H$204="-","",1)),"")</f>
        <v/>
      </c>
      <c r="M66" s="182" t="str">
        <f>IFERROR(LOOKUP(2,1/((A_Corridor!$A$5:$A$204&lt;&gt;"")*(A_Corridor!$A$5:$A$204&lt;=$B66)*(A_Corridor!$B$5:$B$204&gt;$B66)*(A_Corridor!$H$5:$H$204&lt;&gt;"")),IF(A_Corridor!$H$5:$H$204="-","",A_Corridor!$H$5:$H$204)),"")</f>
        <v/>
      </c>
      <c r="N66" s="182" t="str">
        <f>IFERROR(LOOKUP(2,1/((A_Corridor!$A$5:$A$204&lt;&gt;"")*(A_Corridor!$A$5:$A$204&lt;=$B66)*(A_Corridor!$B$5:$B$204&gt;$B66)*(A_Corridor!$I$5:$I$204&lt;&gt;"")),IF(A_Corridor!$I$5:$I$204="-","",A_Corridor!$I$5:$I$204)),"")</f>
        <v/>
      </c>
      <c r="O66" s="182" t="str">
        <f>IFERROR(LOOKUP(2,1/((D_Points!$A$5:$A$204&lt;&gt;"")*(D_Points!$A$5:$A$204&gt;=$B66)*(D_Points!$A$5:$A$204&lt;$B66+P_Interval)*(UPPER(TRIM(D_Points!$B$5:$B$204))="PITCHING")*(D_Points!$H$5:$H$204&lt;&gt;"")),D_Points!$H$5:$H$204),"")</f>
        <v/>
      </c>
      <c r="P66" s="181" t="str">
        <f>IFERROR(LOOKUP(2,1/((B_Drainage!$A$5:$A$204&lt;&gt;"")*(B_Drainage!$A$5:$A$204&lt;=$B66)*(B_Drainage!$B$5:$B$204&gt;$B66)*(B_Drainage!$C$5:$C$204&lt;&gt;"")),IF(B_Drainage!$C$5:$C$204="-","",UPPER(B_Drainage!$C$5:$C$204))),"")</f>
        <v/>
      </c>
      <c r="Q66" s="181" t="str">
        <f>IFERROR(LOOKUP(2,1/((B_Drainage!$A$5:$A$204&lt;&gt;"")*(B_Drainage!$A$5:$A$204&lt;=$B66)*(B_Drainage!$B$5:$B$204&gt;$B66)*(B_Drainage!$D$5:$D$204&lt;&gt;"")),IF(B_Drainage!$D$5:$D$204="-","",UPPER(B_Drainage!$D$5:$D$204))),"")</f>
        <v/>
      </c>
      <c r="R66" s="182" t="str">
        <f>IFERROR(LOOKUP(2,1/((D_Points!$A$5:$A$204&lt;&gt;"")*(D_Points!$A$5:$A$204&gt;=$B66)*(D_Points!$A$5:$A$204&lt;$B66+P_Interval)*(RIGHT(UPPER(TRIM(D_Points!$B$5:$B$204)),8)="_CULVERT")),IF(LEFT(UPPER(TRIM(D_Points!$B$5:$B$204)),2)="EX",1,IF(LEFT(UPPER(TRIM(D_Points!$B$5:$B$204)),2)="PR",2,3))),"")</f>
        <v/>
      </c>
      <c r="S66" s="182" t="str">
        <f>IFERROR(LOOKUP(2,1/((D_Points!$A$5:$A$204&lt;&gt;"")*(D_Points!$A$5:$A$204&gt;=$B66)*(D_Points!$A$5:$A$204&lt;$B66+P_Interval)*(RIGHT(UPPER(TRIM(D_Points!$B$5:$B$204)),7)="_BRIDGE")),IF(LEFT(UPPER(TRIM(D_Points!$B$5:$B$204)),2)="EX",1,IF(LEFT(UPPER(TRIM(D_Points!$B$5:$B$204)),2)="PR",2,2))),"")</f>
        <v/>
      </c>
      <c r="T66" s="181" t="str">
        <f>IFERROR(LOOKUP(2,1/((B_Drainage!$A$5:$A$204&lt;&gt;"")*(B_Drainage!$A$5:$A$204&lt;=$B66)*(B_Drainage!$B$5:$B$204&gt;$B66)*(B_Drainage!$E$5:$E$204&lt;&gt;"")),IF(B_Drainage!$E$5:$E$204="-","",1)),"")</f>
        <v/>
      </c>
      <c r="U66" s="181" t="str">
        <f>IFERROR(LOOKUP(2,1/((B_Drainage!$A$5:$A$204&lt;&gt;"")*(B_Drainage!$A$5:$A$204&lt;=$B66)*(B_Drainage!$B$5:$B$204&gt;$B66)*(B_Drainage!$E$5:$E$204&lt;&gt;"")),IF(B_Drainage!$E$5:$E$204="-","",B_Drainage!$E$5:$E$204)),"")</f>
        <v/>
      </c>
      <c r="V66" s="181" t="str">
        <f>IFERROR(LOOKUP(2,1/((B_Drainage!$A$5:$A$204&lt;&gt;"")*(B_Drainage!$A$5:$A$204&lt;=$B66)*(B_Drainage!$B$5:$B$204&gt;$B66)*(B_Drainage!$F$5:$F$204&lt;&gt;"")),IF(B_Drainage!$F$5:$F$204="-","",1)),"")</f>
        <v/>
      </c>
      <c r="W66" s="181" t="str">
        <f>IFERROR(LOOKUP(2,1/((B_Drainage!$A$5:$A$204&lt;&gt;"")*(B_Drainage!$A$5:$A$204&lt;=$B66)*(B_Drainage!$B$5:$B$204&gt;$B66)*(B_Drainage!$F$5:$F$204&lt;&gt;"")),IF(B_Drainage!$F$5:$F$204="-","",B_Drainage!$F$5:$F$204)),"")</f>
        <v/>
      </c>
      <c r="X66" s="181" t="str">
        <f>IFERROR(LOOKUP(2,1/((B_Drainage!$A$5:$A$204&lt;&gt;"")*(B_Drainage!$A$5:$A$204&lt;=$B66)*(B_Drainage!$B$5:$B$204&gt;$B66)*(B_Drainage!$G$5:$G$204&lt;&gt;"")),IF(UPPER(B_Drainage!$G$5:$G$204)="Y",1,"")),"")</f>
        <v/>
      </c>
      <c r="Y66" s="181" t="str">
        <f>IFERROR(LOOKUP(2,1/((B_Drainage!$A$5:$A$204&lt;&gt;"")*(B_Drainage!$A$5:$A$204&lt;=$B66)*(B_Drainage!$B$5:$B$204&gt;$B66)*(B_Drainage!$H$5:$H$204&lt;&gt;"")),IF(UPPER(B_Drainage!$H$5:$H$204)="Y",1,"")),"")</f>
        <v/>
      </c>
      <c r="Z66" s="181" t="str">
        <f>IFERROR(LOOKUP(2,1/((B_Drainage!$A$5:$A$204&lt;&gt;"")*(B_Drainage!$A$5:$A$204&lt;=$B66)*(B_Drainage!$B$5:$B$204&gt;$B66)*(B_Drainage!$I$5:$I$204&lt;&gt;"")),IF(UPPER(B_Drainage!$I$5:$I$204)="Y",1,"")),"")</f>
        <v/>
      </c>
      <c r="AA66" s="181" t="str">
        <f>IFERROR(LOOKUP(2,1/((B_Drainage!$A$5:$A$204&lt;&gt;"")*(B_Drainage!$A$5:$A$204&lt;=$B66)*(B_Drainage!$B$5:$B$204&gt;$B66)*(B_Drainage!$J$5:$J$204&lt;&gt;"")),IF(UPPER(B_Drainage!$J$5:$J$204)="Y",1,"")),"")</f>
        <v/>
      </c>
      <c r="AB66" s="182" t="str">
        <f>IFERROR(LOOKUP(2,1/((B_Drainage!$A$5:$A$204&lt;&gt;"")*(B_Drainage!$A$5:$A$204&lt;=$B66)*(B_Drainage!$B$5:$B$204&gt;$B66)*(B_Drainage!$K$5:$K$204&lt;&gt;"")),IF(B_Drainage!$K$5:$K$204="-","",B_Drainage!$K$5:$K$204)),"")</f>
        <v/>
      </c>
      <c r="AC66" s="182" t="str">
        <f>IFERROR(LOOKUP(2,1/((B_Drainage!$A$5:$A$204&lt;&gt;"")*(B_Drainage!$A$5:$A$204&lt;=$B66)*(B_Drainage!$B$5:$B$204&gt;$B66)*(B_Drainage!$L$5:$L$204&lt;&gt;"")),IF(B_Drainage!$L$5:$L$204="-","",B_Drainage!$L$5:$L$204)),"")</f>
        <v/>
      </c>
      <c r="AD66" s="182" t="str">
        <f>IFERROR(LOOKUP(2,1/((D_Points!$A$5:$A$204&lt;&gt;"")*(D_Points!$A$5:$A$204&gt;=$B66)*(D_Points!$A$5:$A$204&lt;$B66+P_Interval)*(UPPER(TRIM(D_Points!$B$5:$B$204))="TURNOUT_L")*(D_Points!$H$5:$H$204&lt;&gt;"")),D_Points!$H$5:$H$204),"")</f>
        <v/>
      </c>
      <c r="AE66" s="182" t="str">
        <f>IFERROR(LOOKUP(2,1/((D_Points!$A$5:$A$204&lt;&gt;"")*(D_Points!$A$5:$A$204&gt;=$B66)*(D_Points!$A$5:$A$204&lt;$B66+P_Interval)*(UPPER(TRIM(D_Points!$B$5:$B$204))="TURNOUT_R")*(D_Points!$H$5:$H$204&lt;&gt;"")),D_Points!$H$5:$H$204),"")</f>
        <v/>
      </c>
      <c r="AF66" s="181" t="str">
        <f>IFERROR(LOOKUP(2,1/((B_Drainage!$A$5:$A$204&lt;&gt;"")*(B_Drainage!$A$5:$A$204&lt;=$B66)*(B_Drainage!$B$5:$B$204&gt;$B66)*(B_Drainage!$M$5:$M$204&lt;&gt;"")),IF(UPPER(B_Drainage!$M$5:$M$204)="Y",1,"")),"")</f>
        <v/>
      </c>
      <c r="AG66" s="181" t="str">
        <f>IFERROR(LOOKUP(2,1/((B_Drainage!$A$5:$A$204&lt;&gt;"")*(B_Drainage!$A$5:$A$204&lt;=$B66)*(B_Drainage!$B$5:$B$204&gt;$B66)*(B_Drainage!$N$5:$N$204&lt;&gt;"")),IF(UPPER(B_Drainage!$N$5:$N$204)="Y",1,"")),"")</f>
        <v/>
      </c>
      <c r="AH66" s="181" t="str">
        <f t="shared" si="0"/>
        <v/>
      </c>
      <c r="AI66" s="181" t="str">
        <f t="shared" si="1"/>
        <v/>
      </c>
      <c r="AJ66" s="181" t="str">
        <f t="shared" si="2"/>
        <v/>
      </c>
      <c r="AK66" s="181" t="str">
        <f t="shared" si="3"/>
        <v/>
      </c>
      <c r="AL66" s="181" t="str">
        <f t="shared" si="4"/>
        <v/>
      </c>
      <c r="AM66" s="181" t="str">
        <f t="shared" si="5"/>
        <v/>
      </c>
      <c r="AN66" s="181" t="str">
        <f t="shared" si="6"/>
        <v/>
      </c>
      <c r="AO66" s="192" t="str">
        <f t="shared" si="7"/>
        <v/>
      </c>
      <c r="AQ66" t="str">
        <f>IFERROR(LOOKUP(2,1/((C_Pavement!$A$5:$A$204&lt;&gt;"")*(C_Pavement!$A$5:$A$204&lt;=$B66)*(C_Pavement!$B$5:$B$204&gt;$B66)*(C_Pavement!$C$5:$C$204&lt;&gt;"")),ROW(C_Pavement!$C$5:$C$204)-4),"")</f>
        <v/>
      </c>
      <c r="AR66" t="str">
        <f>IF($AQ66="","",UPPER(TRIM(INDEX(C_Pavement!$C$5:$C$204,$AQ66))))</f>
        <v/>
      </c>
      <c r="AS66" t="str">
        <f>IF($AR66="","",IFERROR(MATCH($AR66,E_Rules!$A$5:$A$9,0),""))</f>
        <v/>
      </c>
      <c r="AT66" t="str">
        <f>IF($AQ66="","",IF(INDEX(C_Pavement!$D$5:$D$204,$AQ66)&lt;&gt;"",UPPER(TRIM(INDEX(C_Pavement!$D$5:$D$204,$AQ66))),IF($AS66="","",INDEX(E_Rules!$C$5:$C$9,$AS66))))</f>
        <v/>
      </c>
      <c r="AU66" t="str">
        <f>IF($AQ66="","",IF(INDEX(C_Pavement!$E$5:$E$204,$AQ66)&lt;&gt;"",IF(INDEX(C_Pavement!$E$5:$E$204,$AQ66)="-","",INDEX(C_Pavement!$E$5:$E$204,$AQ66)),IF($AS66="","",INDEX(E_Rules!$D$5:$D$9,$AS66))))</f>
        <v/>
      </c>
      <c r="AV66" t="str">
        <f>IF($AQ66="","",IF(INDEX(C_Pavement!$F$5:$F$204,$AQ66)&lt;&gt;"",IF(INDEX(C_Pavement!$F$5:$F$204,$AQ66)="-","",INDEX(C_Pavement!$F$5:$F$204,$AQ66)),IF($AS66="","",INDEX(E_Rules!$E$5:$E$9,$AS66))))</f>
        <v/>
      </c>
      <c r="AW66" t="str">
        <f>IF($AQ66="","",IF(INDEX(C_Pavement!$G$5:$G$204,$AQ66)&lt;&gt;"",IF(INDEX(C_Pavement!$G$5:$G$204,$AQ66)="-","",INDEX(C_Pavement!$G$5:$G$204,$AQ66)),IF($AS66="","",INDEX(E_Rules!$F$5:$F$9,$AS66))))</f>
        <v/>
      </c>
      <c r="AX66" t="str">
        <f>IF($AQ66="","",IF(INDEX(C_Pavement!$H$5:$H$204,$AQ66)&lt;&gt;"",IF(INDEX(C_Pavement!$H$5:$H$204,$AQ66)="-","",INDEX(C_Pavement!$H$5:$H$204,$AQ66)),IF($AS66="","",INDEX(E_Rules!$G$5:$G$9,$AS66))))</f>
        <v/>
      </c>
      <c r="AY66" t="str">
        <f>IF($AQ66="","",IF(INDEX(C_Pavement!$I$5:$I$204,$AQ66)&lt;&gt;"",IF(INDEX(C_Pavement!$I$5:$I$204,$AQ66)="-","",INDEX(C_Pavement!$I$5:$I$204,$AQ66)),IF($AS66="","",INDEX(E_Rules!$H$5:$H$9,$AS66))))</f>
        <v/>
      </c>
    </row>
    <row r="67" spans="1:51" ht="15.75" customHeight="1" x14ac:dyDescent="0.3">
      <c r="A67" s="189">
        <v>62</v>
      </c>
      <c r="B67" s="180">
        <v>3050</v>
      </c>
      <c r="C67" s="180" t="s">
        <v>373</v>
      </c>
      <c r="D67" s="181" t="str">
        <f>IFERROR(LOOKUP(2,1/((A_Corridor!$A$5:$A$204&lt;&gt;"")*(A_Corridor!$A$5:$A$204&lt;=$B67)*(A_Corridor!$B$5:$B$204&gt;$B67)*(A_Corridor!$C$5:$C$204&lt;&gt;"")),IF(UPPER(A_Corridor!$C$5:$C$204)="Y",1,"")),"")</f>
        <v/>
      </c>
      <c r="E67" s="181" t="str">
        <f>IFERROR(LOOKUP(2,1/((A_Corridor!$A$5:$A$204&lt;&gt;"")*(A_Corridor!$A$5:$A$204&lt;=$B67)*(A_Corridor!$B$5:$B$204&gt;$B67)*(A_Corridor!$D$5:$D$204&lt;&gt;"")),IF(A_Corridor!$D$5:$D$204="-","",UPPER(A_Corridor!$D$5:$D$204))),"")</f>
        <v/>
      </c>
      <c r="F67" s="181" t="str">
        <f>IFERROR(LOOKUP(2,1/((A_Corridor!$A$5:$A$204&lt;&gt;"")*(A_Corridor!$A$5:$A$204&lt;=$B67)*(A_Corridor!$B$5:$B$204&gt;$B67)*(A_Corridor!$E$5:$E$204&lt;&gt;"")),IF(A_Corridor!$E$5:$E$204="-","",1)),"")</f>
        <v/>
      </c>
      <c r="G67" s="182" t="str">
        <f>IFERROR(LOOKUP(2,1/((A_Corridor!$A$5:$A$204&lt;&gt;"")*(A_Corridor!$A$5:$A$204&lt;=$B67)*(A_Corridor!$B$5:$B$204&gt;$B67)*(A_Corridor!$E$5:$E$204&lt;&gt;"")),IF(A_Corridor!$E$5:$E$204="-","",A_Corridor!$E$5:$E$204)),"")</f>
        <v/>
      </c>
      <c r="H67" s="182" t="str">
        <f>IFERROR(LOOKUP(2,1/((D_Points!$A$5:$A$204&lt;&gt;"")*(D_Points!$A$5:$A$204&gt;=$B67)*(D_Points!$A$5:$A$204&lt;$B67+P_Interval)*(UPPER(TRIM(D_Points!$B$5:$B$204))="GULLY")*(D_Points!$H$5:$H$204&lt;&gt;"")),D_Points!$H$5:$H$204),"")</f>
        <v/>
      </c>
      <c r="I67" s="181" t="str">
        <f>IFERROR(LOOKUP(2,1/((A_Corridor!$A$5:$A$204&lt;&gt;"")*(A_Corridor!$A$5:$A$204&lt;=$B67)*(A_Corridor!$B$5:$B$204&gt;$B67)*(A_Corridor!$F$5:$F$204&lt;&gt;"")),IF(A_Corridor!$F$5:$F$204="-","",1)),"")</f>
        <v/>
      </c>
      <c r="J67" s="182" t="str">
        <f>IFERROR(LOOKUP(2,1/((A_Corridor!$A$5:$A$204&lt;&gt;"")*(A_Corridor!$A$5:$A$204&lt;=$B67)*(A_Corridor!$B$5:$B$204&gt;$B67)*(A_Corridor!$F$5:$F$204&lt;&gt;"")),IF(A_Corridor!$F$5:$F$204="-","",A_Corridor!$F$5:$F$204)),"")</f>
        <v/>
      </c>
      <c r="K67" s="182" t="str">
        <f>IFERROR(LOOKUP(2,1/((A_Corridor!$A$5:$A$204&lt;&gt;"")*(A_Corridor!$A$5:$A$204&lt;=$B67)*(A_Corridor!$B$5:$B$204&gt;$B67)*(A_Corridor!$G$5:$G$204&lt;&gt;"")),IF(A_Corridor!$G$5:$G$204="-","",A_Corridor!$G$5:$G$204)),"")</f>
        <v/>
      </c>
      <c r="L67" s="181" t="str">
        <f>IFERROR(LOOKUP(2,1/((A_Corridor!$A$5:$A$204&lt;&gt;"")*(A_Corridor!$A$5:$A$204&lt;=$B67)*(A_Corridor!$B$5:$B$204&gt;$B67)*(A_Corridor!$H$5:$H$204&lt;&gt;"")),IF(A_Corridor!$H$5:$H$204="-","",1)),"")</f>
        <v/>
      </c>
      <c r="M67" s="182" t="str">
        <f>IFERROR(LOOKUP(2,1/((A_Corridor!$A$5:$A$204&lt;&gt;"")*(A_Corridor!$A$5:$A$204&lt;=$B67)*(A_Corridor!$B$5:$B$204&gt;$B67)*(A_Corridor!$H$5:$H$204&lt;&gt;"")),IF(A_Corridor!$H$5:$H$204="-","",A_Corridor!$H$5:$H$204)),"")</f>
        <v/>
      </c>
      <c r="N67" s="182" t="str">
        <f>IFERROR(LOOKUP(2,1/((A_Corridor!$A$5:$A$204&lt;&gt;"")*(A_Corridor!$A$5:$A$204&lt;=$B67)*(A_Corridor!$B$5:$B$204&gt;$B67)*(A_Corridor!$I$5:$I$204&lt;&gt;"")),IF(A_Corridor!$I$5:$I$204="-","",A_Corridor!$I$5:$I$204)),"")</f>
        <v/>
      </c>
      <c r="O67" s="182" t="str">
        <f>IFERROR(LOOKUP(2,1/((D_Points!$A$5:$A$204&lt;&gt;"")*(D_Points!$A$5:$A$204&gt;=$B67)*(D_Points!$A$5:$A$204&lt;$B67+P_Interval)*(UPPER(TRIM(D_Points!$B$5:$B$204))="PITCHING")*(D_Points!$H$5:$H$204&lt;&gt;"")),D_Points!$H$5:$H$204),"")</f>
        <v/>
      </c>
      <c r="P67" s="181" t="str">
        <f>IFERROR(LOOKUP(2,1/((B_Drainage!$A$5:$A$204&lt;&gt;"")*(B_Drainage!$A$5:$A$204&lt;=$B67)*(B_Drainage!$B$5:$B$204&gt;$B67)*(B_Drainage!$C$5:$C$204&lt;&gt;"")),IF(B_Drainage!$C$5:$C$204="-","",UPPER(B_Drainage!$C$5:$C$204))),"")</f>
        <v/>
      </c>
      <c r="Q67" s="181" t="str">
        <f>IFERROR(LOOKUP(2,1/((B_Drainage!$A$5:$A$204&lt;&gt;"")*(B_Drainage!$A$5:$A$204&lt;=$B67)*(B_Drainage!$B$5:$B$204&gt;$B67)*(B_Drainage!$D$5:$D$204&lt;&gt;"")),IF(B_Drainage!$D$5:$D$204="-","",UPPER(B_Drainage!$D$5:$D$204))),"")</f>
        <v/>
      </c>
      <c r="R67" s="182" t="str">
        <f>IFERROR(LOOKUP(2,1/((D_Points!$A$5:$A$204&lt;&gt;"")*(D_Points!$A$5:$A$204&gt;=$B67)*(D_Points!$A$5:$A$204&lt;$B67+P_Interval)*(RIGHT(UPPER(TRIM(D_Points!$B$5:$B$204)),8)="_CULVERT")),IF(LEFT(UPPER(TRIM(D_Points!$B$5:$B$204)),2)="EX",1,IF(LEFT(UPPER(TRIM(D_Points!$B$5:$B$204)),2)="PR",2,3))),"")</f>
        <v/>
      </c>
      <c r="S67" s="182" t="str">
        <f>IFERROR(LOOKUP(2,1/((D_Points!$A$5:$A$204&lt;&gt;"")*(D_Points!$A$5:$A$204&gt;=$B67)*(D_Points!$A$5:$A$204&lt;$B67+P_Interval)*(RIGHT(UPPER(TRIM(D_Points!$B$5:$B$204)),7)="_BRIDGE")),IF(LEFT(UPPER(TRIM(D_Points!$B$5:$B$204)),2)="EX",1,IF(LEFT(UPPER(TRIM(D_Points!$B$5:$B$204)),2)="PR",2,2))),"")</f>
        <v/>
      </c>
      <c r="T67" s="181" t="str">
        <f>IFERROR(LOOKUP(2,1/((B_Drainage!$A$5:$A$204&lt;&gt;"")*(B_Drainage!$A$5:$A$204&lt;=$B67)*(B_Drainage!$B$5:$B$204&gt;$B67)*(B_Drainage!$E$5:$E$204&lt;&gt;"")),IF(B_Drainage!$E$5:$E$204="-","",1)),"")</f>
        <v/>
      </c>
      <c r="U67" s="181" t="str">
        <f>IFERROR(LOOKUP(2,1/((B_Drainage!$A$5:$A$204&lt;&gt;"")*(B_Drainage!$A$5:$A$204&lt;=$B67)*(B_Drainage!$B$5:$B$204&gt;$B67)*(B_Drainage!$E$5:$E$204&lt;&gt;"")),IF(B_Drainage!$E$5:$E$204="-","",B_Drainage!$E$5:$E$204)),"")</f>
        <v/>
      </c>
      <c r="V67" s="181" t="str">
        <f>IFERROR(LOOKUP(2,1/((B_Drainage!$A$5:$A$204&lt;&gt;"")*(B_Drainage!$A$5:$A$204&lt;=$B67)*(B_Drainage!$B$5:$B$204&gt;$B67)*(B_Drainage!$F$5:$F$204&lt;&gt;"")),IF(B_Drainage!$F$5:$F$204="-","",1)),"")</f>
        <v/>
      </c>
      <c r="W67" s="181" t="str">
        <f>IFERROR(LOOKUP(2,1/((B_Drainage!$A$5:$A$204&lt;&gt;"")*(B_Drainage!$A$5:$A$204&lt;=$B67)*(B_Drainage!$B$5:$B$204&gt;$B67)*(B_Drainage!$F$5:$F$204&lt;&gt;"")),IF(B_Drainage!$F$5:$F$204="-","",B_Drainage!$F$5:$F$204)),"")</f>
        <v/>
      </c>
      <c r="X67" s="181" t="str">
        <f>IFERROR(LOOKUP(2,1/((B_Drainage!$A$5:$A$204&lt;&gt;"")*(B_Drainage!$A$5:$A$204&lt;=$B67)*(B_Drainage!$B$5:$B$204&gt;$B67)*(B_Drainage!$G$5:$G$204&lt;&gt;"")),IF(UPPER(B_Drainage!$G$5:$G$204)="Y",1,"")),"")</f>
        <v/>
      </c>
      <c r="Y67" s="181" t="str">
        <f>IFERROR(LOOKUP(2,1/((B_Drainage!$A$5:$A$204&lt;&gt;"")*(B_Drainage!$A$5:$A$204&lt;=$B67)*(B_Drainage!$B$5:$B$204&gt;$B67)*(B_Drainage!$H$5:$H$204&lt;&gt;"")),IF(UPPER(B_Drainage!$H$5:$H$204)="Y",1,"")),"")</f>
        <v/>
      </c>
      <c r="Z67" s="181" t="str">
        <f>IFERROR(LOOKUP(2,1/((B_Drainage!$A$5:$A$204&lt;&gt;"")*(B_Drainage!$A$5:$A$204&lt;=$B67)*(B_Drainage!$B$5:$B$204&gt;$B67)*(B_Drainage!$I$5:$I$204&lt;&gt;"")),IF(UPPER(B_Drainage!$I$5:$I$204)="Y",1,"")),"")</f>
        <v/>
      </c>
      <c r="AA67" s="181" t="str">
        <f>IFERROR(LOOKUP(2,1/((B_Drainage!$A$5:$A$204&lt;&gt;"")*(B_Drainage!$A$5:$A$204&lt;=$B67)*(B_Drainage!$B$5:$B$204&gt;$B67)*(B_Drainage!$J$5:$J$204&lt;&gt;"")),IF(UPPER(B_Drainage!$J$5:$J$204)="Y",1,"")),"")</f>
        <v/>
      </c>
      <c r="AB67" s="182" t="str">
        <f>IFERROR(LOOKUP(2,1/((B_Drainage!$A$5:$A$204&lt;&gt;"")*(B_Drainage!$A$5:$A$204&lt;=$B67)*(B_Drainage!$B$5:$B$204&gt;$B67)*(B_Drainage!$K$5:$K$204&lt;&gt;"")),IF(B_Drainage!$K$5:$K$204="-","",B_Drainage!$K$5:$K$204)),"")</f>
        <v/>
      </c>
      <c r="AC67" s="182" t="str">
        <f>IFERROR(LOOKUP(2,1/((B_Drainage!$A$5:$A$204&lt;&gt;"")*(B_Drainage!$A$5:$A$204&lt;=$B67)*(B_Drainage!$B$5:$B$204&gt;$B67)*(B_Drainage!$L$5:$L$204&lt;&gt;"")),IF(B_Drainage!$L$5:$L$204="-","",B_Drainage!$L$5:$L$204)),"")</f>
        <v/>
      </c>
      <c r="AD67" s="182" t="str">
        <f>IFERROR(LOOKUP(2,1/((D_Points!$A$5:$A$204&lt;&gt;"")*(D_Points!$A$5:$A$204&gt;=$B67)*(D_Points!$A$5:$A$204&lt;$B67+P_Interval)*(UPPER(TRIM(D_Points!$B$5:$B$204))="TURNOUT_L")*(D_Points!$H$5:$H$204&lt;&gt;"")),D_Points!$H$5:$H$204),"")</f>
        <v/>
      </c>
      <c r="AE67" s="182" t="str">
        <f>IFERROR(LOOKUP(2,1/((D_Points!$A$5:$A$204&lt;&gt;"")*(D_Points!$A$5:$A$204&gt;=$B67)*(D_Points!$A$5:$A$204&lt;$B67+P_Interval)*(UPPER(TRIM(D_Points!$B$5:$B$204))="TURNOUT_R")*(D_Points!$H$5:$H$204&lt;&gt;"")),D_Points!$H$5:$H$204),"")</f>
        <v/>
      </c>
      <c r="AF67" s="181" t="str">
        <f>IFERROR(LOOKUP(2,1/((B_Drainage!$A$5:$A$204&lt;&gt;"")*(B_Drainage!$A$5:$A$204&lt;=$B67)*(B_Drainage!$B$5:$B$204&gt;$B67)*(B_Drainage!$M$5:$M$204&lt;&gt;"")),IF(UPPER(B_Drainage!$M$5:$M$204)="Y",1,"")),"")</f>
        <v/>
      </c>
      <c r="AG67" s="181" t="str">
        <f>IFERROR(LOOKUP(2,1/((B_Drainage!$A$5:$A$204&lt;&gt;"")*(B_Drainage!$A$5:$A$204&lt;=$B67)*(B_Drainage!$B$5:$B$204&gt;$B67)*(B_Drainage!$N$5:$N$204&lt;&gt;"")),IF(UPPER(B_Drainage!$N$5:$N$204)="Y",1,"")),"")</f>
        <v/>
      </c>
      <c r="AH67" s="181" t="str">
        <f t="shared" si="0"/>
        <v/>
      </c>
      <c r="AI67" s="181" t="str">
        <f t="shared" si="1"/>
        <v/>
      </c>
      <c r="AJ67" s="181" t="str">
        <f t="shared" si="2"/>
        <v/>
      </c>
      <c r="AK67" s="181" t="str">
        <f t="shared" si="3"/>
        <v/>
      </c>
      <c r="AL67" s="181" t="str">
        <f t="shared" si="4"/>
        <v/>
      </c>
      <c r="AM67" s="181" t="str">
        <f t="shared" si="5"/>
        <v/>
      </c>
      <c r="AN67" s="181" t="str">
        <f t="shared" si="6"/>
        <v/>
      </c>
      <c r="AO67" s="192" t="str">
        <f t="shared" si="7"/>
        <v/>
      </c>
      <c r="AQ67" t="str">
        <f>IFERROR(LOOKUP(2,1/((C_Pavement!$A$5:$A$204&lt;&gt;"")*(C_Pavement!$A$5:$A$204&lt;=$B67)*(C_Pavement!$B$5:$B$204&gt;$B67)*(C_Pavement!$C$5:$C$204&lt;&gt;"")),ROW(C_Pavement!$C$5:$C$204)-4),"")</f>
        <v/>
      </c>
      <c r="AR67" t="str">
        <f>IF($AQ67="","",UPPER(TRIM(INDEX(C_Pavement!$C$5:$C$204,$AQ67))))</f>
        <v/>
      </c>
      <c r="AS67" t="str">
        <f>IF($AR67="","",IFERROR(MATCH($AR67,E_Rules!$A$5:$A$9,0),""))</f>
        <v/>
      </c>
      <c r="AT67" t="str">
        <f>IF($AQ67="","",IF(INDEX(C_Pavement!$D$5:$D$204,$AQ67)&lt;&gt;"",UPPER(TRIM(INDEX(C_Pavement!$D$5:$D$204,$AQ67))),IF($AS67="","",INDEX(E_Rules!$C$5:$C$9,$AS67))))</f>
        <v/>
      </c>
      <c r="AU67" t="str">
        <f>IF($AQ67="","",IF(INDEX(C_Pavement!$E$5:$E$204,$AQ67)&lt;&gt;"",IF(INDEX(C_Pavement!$E$5:$E$204,$AQ67)="-","",INDEX(C_Pavement!$E$5:$E$204,$AQ67)),IF($AS67="","",INDEX(E_Rules!$D$5:$D$9,$AS67))))</f>
        <v/>
      </c>
      <c r="AV67" t="str">
        <f>IF($AQ67="","",IF(INDEX(C_Pavement!$F$5:$F$204,$AQ67)&lt;&gt;"",IF(INDEX(C_Pavement!$F$5:$F$204,$AQ67)="-","",INDEX(C_Pavement!$F$5:$F$204,$AQ67)),IF($AS67="","",INDEX(E_Rules!$E$5:$E$9,$AS67))))</f>
        <v/>
      </c>
      <c r="AW67" t="str">
        <f>IF($AQ67="","",IF(INDEX(C_Pavement!$G$5:$G$204,$AQ67)&lt;&gt;"",IF(INDEX(C_Pavement!$G$5:$G$204,$AQ67)="-","",INDEX(C_Pavement!$G$5:$G$204,$AQ67)),IF($AS67="","",INDEX(E_Rules!$F$5:$F$9,$AS67))))</f>
        <v/>
      </c>
      <c r="AX67" t="str">
        <f>IF($AQ67="","",IF(INDEX(C_Pavement!$H$5:$H$204,$AQ67)&lt;&gt;"",IF(INDEX(C_Pavement!$H$5:$H$204,$AQ67)="-","",INDEX(C_Pavement!$H$5:$H$204,$AQ67)),IF($AS67="","",INDEX(E_Rules!$G$5:$G$9,$AS67))))</f>
        <v/>
      </c>
      <c r="AY67" t="str">
        <f>IF($AQ67="","",IF(INDEX(C_Pavement!$I$5:$I$204,$AQ67)&lt;&gt;"",IF(INDEX(C_Pavement!$I$5:$I$204,$AQ67)="-","",INDEX(C_Pavement!$I$5:$I$204,$AQ67)),IF($AS67="","",INDEX(E_Rules!$H$5:$H$9,$AS67))))</f>
        <v/>
      </c>
    </row>
    <row r="68" spans="1:51" ht="15.75" customHeight="1" x14ac:dyDescent="0.3">
      <c r="A68" s="189">
        <v>63</v>
      </c>
      <c r="B68" s="180">
        <v>3100</v>
      </c>
      <c r="C68" s="180" t="s">
        <v>374</v>
      </c>
      <c r="D68" s="181" t="str">
        <f>IFERROR(LOOKUP(2,1/((A_Corridor!$A$5:$A$204&lt;&gt;"")*(A_Corridor!$A$5:$A$204&lt;=$B68)*(A_Corridor!$B$5:$B$204&gt;$B68)*(A_Corridor!$C$5:$C$204&lt;&gt;"")),IF(UPPER(A_Corridor!$C$5:$C$204)="Y",1,"")),"")</f>
        <v/>
      </c>
      <c r="E68" s="181" t="str">
        <f>IFERROR(LOOKUP(2,1/((A_Corridor!$A$5:$A$204&lt;&gt;"")*(A_Corridor!$A$5:$A$204&lt;=$B68)*(A_Corridor!$B$5:$B$204&gt;$B68)*(A_Corridor!$D$5:$D$204&lt;&gt;"")),IF(A_Corridor!$D$5:$D$204="-","",UPPER(A_Corridor!$D$5:$D$204))),"")</f>
        <v/>
      </c>
      <c r="F68" s="181" t="str">
        <f>IFERROR(LOOKUP(2,1/((A_Corridor!$A$5:$A$204&lt;&gt;"")*(A_Corridor!$A$5:$A$204&lt;=$B68)*(A_Corridor!$B$5:$B$204&gt;$B68)*(A_Corridor!$E$5:$E$204&lt;&gt;"")),IF(A_Corridor!$E$5:$E$204="-","",1)),"")</f>
        <v/>
      </c>
      <c r="G68" s="182" t="str">
        <f>IFERROR(LOOKUP(2,1/((A_Corridor!$A$5:$A$204&lt;&gt;"")*(A_Corridor!$A$5:$A$204&lt;=$B68)*(A_Corridor!$B$5:$B$204&gt;$B68)*(A_Corridor!$E$5:$E$204&lt;&gt;"")),IF(A_Corridor!$E$5:$E$204="-","",A_Corridor!$E$5:$E$204)),"")</f>
        <v/>
      </c>
      <c r="H68" s="182" t="str">
        <f>IFERROR(LOOKUP(2,1/((D_Points!$A$5:$A$204&lt;&gt;"")*(D_Points!$A$5:$A$204&gt;=$B68)*(D_Points!$A$5:$A$204&lt;$B68+P_Interval)*(UPPER(TRIM(D_Points!$B$5:$B$204))="GULLY")*(D_Points!$H$5:$H$204&lt;&gt;"")),D_Points!$H$5:$H$204),"")</f>
        <v/>
      </c>
      <c r="I68" s="181" t="str">
        <f>IFERROR(LOOKUP(2,1/((A_Corridor!$A$5:$A$204&lt;&gt;"")*(A_Corridor!$A$5:$A$204&lt;=$B68)*(A_Corridor!$B$5:$B$204&gt;$B68)*(A_Corridor!$F$5:$F$204&lt;&gt;"")),IF(A_Corridor!$F$5:$F$204="-","",1)),"")</f>
        <v/>
      </c>
      <c r="J68" s="182" t="str">
        <f>IFERROR(LOOKUP(2,1/((A_Corridor!$A$5:$A$204&lt;&gt;"")*(A_Corridor!$A$5:$A$204&lt;=$B68)*(A_Corridor!$B$5:$B$204&gt;$B68)*(A_Corridor!$F$5:$F$204&lt;&gt;"")),IF(A_Corridor!$F$5:$F$204="-","",A_Corridor!$F$5:$F$204)),"")</f>
        <v/>
      </c>
      <c r="K68" s="182" t="str">
        <f>IFERROR(LOOKUP(2,1/((A_Corridor!$A$5:$A$204&lt;&gt;"")*(A_Corridor!$A$5:$A$204&lt;=$B68)*(A_Corridor!$B$5:$B$204&gt;$B68)*(A_Corridor!$G$5:$G$204&lt;&gt;"")),IF(A_Corridor!$G$5:$G$204="-","",A_Corridor!$G$5:$G$204)),"")</f>
        <v/>
      </c>
      <c r="L68" s="181" t="str">
        <f>IFERROR(LOOKUP(2,1/((A_Corridor!$A$5:$A$204&lt;&gt;"")*(A_Corridor!$A$5:$A$204&lt;=$B68)*(A_Corridor!$B$5:$B$204&gt;$B68)*(A_Corridor!$H$5:$H$204&lt;&gt;"")),IF(A_Corridor!$H$5:$H$204="-","",1)),"")</f>
        <v/>
      </c>
      <c r="M68" s="182" t="str">
        <f>IFERROR(LOOKUP(2,1/((A_Corridor!$A$5:$A$204&lt;&gt;"")*(A_Corridor!$A$5:$A$204&lt;=$B68)*(A_Corridor!$B$5:$B$204&gt;$B68)*(A_Corridor!$H$5:$H$204&lt;&gt;"")),IF(A_Corridor!$H$5:$H$204="-","",A_Corridor!$H$5:$H$204)),"")</f>
        <v/>
      </c>
      <c r="N68" s="182" t="str">
        <f>IFERROR(LOOKUP(2,1/((A_Corridor!$A$5:$A$204&lt;&gt;"")*(A_Corridor!$A$5:$A$204&lt;=$B68)*(A_Corridor!$B$5:$B$204&gt;$B68)*(A_Corridor!$I$5:$I$204&lt;&gt;"")),IF(A_Corridor!$I$5:$I$204="-","",A_Corridor!$I$5:$I$204)),"")</f>
        <v/>
      </c>
      <c r="O68" s="182" t="str">
        <f>IFERROR(LOOKUP(2,1/((D_Points!$A$5:$A$204&lt;&gt;"")*(D_Points!$A$5:$A$204&gt;=$B68)*(D_Points!$A$5:$A$204&lt;$B68+P_Interval)*(UPPER(TRIM(D_Points!$B$5:$B$204))="PITCHING")*(D_Points!$H$5:$H$204&lt;&gt;"")),D_Points!$H$5:$H$204),"")</f>
        <v/>
      </c>
      <c r="P68" s="181" t="str">
        <f>IFERROR(LOOKUP(2,1/((B_Drainage!$A$5:$A$204&lt;&gt;"")*(B_Drainage!$A$5:$A$204&lt;=$B68)*(B_Drainage!$B$5:$B$204&gt;$B68)*(B_Drainage!$C$5:$C$204&lt;&gt;"")),IF(B_Drainage!$C$5:$C$204="-","",UPPER(B_Drainage!$C$5:$C$204))),"")</f>
        <v/>
      </c>
      <c r="Q68" s="181" t="str">
        <f>IFERROR(LOOKUP(2,1/((B_Drainage!$A$5:$A$204&lt;&gt;"")*(B_Drainage!$A$5:$A$204&lt;=$B68)*(B_Drainage!$B$5:$B$204&gt;$B68)*(B_Drainage!$D$5:$D$204&lt;&gt;"")),IF(B_Drainage!$D$5:$D$204="-","",UPPER(B_Drainage!$D$5:$D$204))),"")</f>
        <v/>
      </c>
      <c r="R68" s="182" t="str">
        <f>IFERROR(LOOKUP(2,1/((D_Points!$A$5:$A$204&lt;&gt;"")*(D_Points!$A$5:$A$204&gt;=$B68)*(D_Points!$A$5:$A$204&lt;$B68+P_Interval)*(RIGHT(UPPER(TRIM(D_Points!$B$5:$B$204)),8)="_CULVERT")),IF(LEFT(UPPER(TRIM(D_Points!$B$5:$B$204)),2)="EX",1,IF(LEFT(UPPER(TRIM(D_Points!$B$5:$B$204)),2)="PR",2,3))),"")</f>
        <v/>
      </c>
      <c r="S68" s="182" t="str">
        <f>IFERROR(LOOKUP(2,1/((D_Points!$A$5:$A$204&lt;&gt;"")*(D_Points!$A$5:$A$204&gt;=$B68)*(D_Points!$A$5:$A$204&lt;$B68+P_Interval)*(RIGHT(UPPER(TRIM(D_Points!$B$5:$B$204)),7)="_BRIDGE")),IF(LEFT(UPPER(TRIM(D_Points!$B$5:$B$204)),2)="EX",1,IF(LEFT(UPPER(TRIM(D_Points!$B$5:$B$204)),2)="PR",2,2))),"")</f>
        <v/>
      </c>
      <c r="T68" s="181" t="str">
        <f>IFERROR(LOOKUP(2,1/((B_Drainage!$A$5:$A$204&lt;&gt;"")*(B_Drainage!$A$5:$A$204&lt;=$B68)*(B_Drainage!$B$5:$B$204&gt;$B68)*(B_Drainage!$E$5:$E$204&lt;&gt;"")),IF(B_Drainage!$E$5:$E$204="-","",1)),"")</f>
        <v/>
      </c>
      <c r="U68" s="181" t="str">
        <f>IFERROR(LOOKUP(2,1/((B_Drainage!$A$5:$A$204&lt;&gt;"")*(B_Drainage!$A$5:$A$204&lt;=$B68)*(B_Drainage!$B$5:$B$204&gt;$B68)*(B_Drainage!$E$5:$E$204&lt;&gt;"")),IF(B_Drainage!$E$5:$E$204="-","",B_Drainage!$E$5:$E$204)),"")</f>
        <v/>
      </c>
      <c r="V68" s="181" t="str">
        <f>IFERROR(LOOKUP(2,1/((B_Drainage!$A$5:$A$204&lt;&gt;"")*(B_Drainage!$A$5:$A$204&lt;=$B68)*(B_Drainage!$B$5:$B$204&gt;$B68)*(B_Drainage!$F$5:$F$204&lt;&gt;"")),IF(B_Drainage!$F$5:$F$204="-","",1)),"")</f>
        <v/>
      </c>
      <c r="W68" s="181" t="str">
        <f>IFERROR(LOOKUP(2,1/((B_Drainage!$A$5:$A$204&lt;&gt;"")*(B_Drainage!$A$5:$A$204&lt;=$B68)*(B_Drainage!$B$5:$B$204&gt;$B68)*(B_Drainage!$F$5:$F$204&lt;&gt;"")),IF(B_Drainage!$F$5:$F$204="-","",B_Drainage!$F$5:$F$204)),"")</f>
        <v/>
      </c>
      <c r="X68" s="181" t="str">
        <f>IFERROR(LOOKUP(2,1/((B_Drainage!$A$5:$A$204&lt;&gt;"")*(B_Drainage!$A$5:$A$204&lt;=$B68)*(B_Drainage!$B$5:$B$204&gt;$B68)*(B_Drainage!$G$5:$G$204&lt;&gt;"")),IF(UPPER(B_Drainage!$G$5:$G$204)="Y",1,"")),"")</f>
        <v/>
      </c>
      <c r="Y68" s="181" t="str">
        <f>IFERROR(LOOKUP(2,1/((B_Drainage!$A$5:$A$204&lt;&gt;"")*(B_Drainage!$A$5:$A$204&lt;=$B68)*(B_Drainage!$B$5:$B$204&gt;$B68)*(B_Drainage!$H$5:$H$204&lt;&gt;"")),IF(UPPER(B_Drainage!$H$5:$H$204)="Y",1,"")),"")</f>
        <v/>
      </c>
      <c r="Z68" s="181" t="str">
        <f>IFERROR(LOOKUP(2,1/((B_Drainage!$A$5:$A$204&lt;&gt;"")*(B_Drainage!$A$5:$A$204&lt;=$B68)*(B_Drainage!$B$5:$B$204&gt;$B68)*(B_Drainage!$I$5:$I$204&lt;&gt;"")),IF(UPPER(B_Drainage!$I$5:$I$204)="Y",1,"")),"")</f>
        <v/>
      </c>
      <c r="AA68" s="181" t="str">
        <f>IFERROR(LOOKUP(2,1/((B_Drainage!$A$5:$A$204&lt;&gt;"")*(B_Drainage!$A$5:$A$204&lt;=$B68)*(B_Drainage!$B$5:$B$204&gt;$B68)*(B_Drainage!$J$5:$J$204&lt;&gt;"")),IF(UPPER(B_Drainage!$J$5:$J$204)="Y",1,"")),"")</f>
        <v/>
      </c>
      <c r="AB68" s="182" t="str">
        <f>IFERROR(LOOKUP(2,1/((B_Drainage!$A$5:$A$204&lt;&gt;"")*(B_Drainage!$A$5:$A$204&lt;=$B68)*(B_Drainage!$B$5:$B$204&gt;$B68)*(B_Drainage!$K$5:$K$204&lt;&gt;"")),IF(B_Drainage!$K$5:$K$204="-","",B_Drainage!$K$5:$K$204)),"")</f>
        <v/>
      </c>
      <c r="AC68" s="182" t="str">
        <f>IFERROR(LOOKUP(2,1/((B_Drainage!$A$5:$A$204&lt;&gt;"")*(B_Drainage!$A$5:$A$204&lt;=$B68)*(B_Drainage!$B$5:$B$204&gt;$B68)*(B_Drainage!$L$5:$L$204&lt;&gt;"")),IF(B_Drainage!$L$5:$L$204="-","",B_Drainage!$L$5:$L$204)),"")</f>
        <v/>
      </c>
      <c r="AD68" s="182" t="str">
        <f>IFERROR(LOOKUP(2,1/((D_Points!$A$5:$A$204&lt;&gt;"")*(D_Points!$A$5:$A$204&gt;=$B68)*(D_Points!$A$5:$A$204&lt;$B68+P_Interval)*(UPPER(TRIM(D_Points!$B$5:$B$204))="TURNOUT_L")*(D_Points!$H$5:$H$204&lt;&gt;"")),D_Points!$H$5:$H$204),"")</f>
        <v/>
      </c>
      <c r="AE68" s="182" t="str">
        <f>IFERROR(LOOKUP(2,1/((D_Points!$A$5:$A$204&lt;&gt;"")*(D_Points!$A$5:$A$204&gt;=$B68)*(D_Points!$A$5:$A$204&lt;$B68+P_Interval)*(UPPER(TRIM(D_Points!$B$5:$B$204))="TURNOUT_R")*(D_Points!$H$5:$H$204&lt;&gt;"")),D_Points!$H$5:$H$204),"")</f>
        <v/>
      </c>
      <c r="AF68" s="181" t="str">
        <f>IFERROR(LOOKUP(2,1/((B_Drainage!$A$5:$A$204&lt;&gt;"")*(B_Drainage!$A$5:$A$204&lt;=$B68)*(B_Drainage!$B$5:$B$204&gt;$B68)*(B_Drainage!$M$5:$M$204&lt;&gt;"")),IF(UPPER(B_Drainage!$M$5:$M$204)="Y",1,"")),"")</f>
        <v/>
      </c>
      <c r="AG68" s="181" t="str">
        <f>IFERROR(LOOKUP(2,1/((B_Drainage!$A$5:$A$204&lt;&gt;"")*(B_Drainage!$A$5:$A$204&lt;=$B68)*(B_Drainage!$B$5:$B$204&gt;$B68)*(B_Drainage!$N$5:$N$204&lt;&gt;"")),IF(UPPER(B_Drainage!$N$5:$N$204)="Y",1,"")),"")</f>
        <v/>
      </c>
      <c r="AH68" s="181" t="str">
        <f t="shared" si="0"/>
        <v/>
      </c>
      <c r="AI68" s="181" t="str">
        <f t="shared" si="1"/>
        <v/>
      </c>
      <c r="AJ68" s="181" t="str">
        <f t="shared" si="2"/>
        <v/>
      </c>
      <c r="AK68" s="181" t="str">
        <f t="shared" si="3"/>
        <v/>
      </c>
      <c r="AL68" s="181" t="str">
        <f t="shared" si="4"/>
        <v/>
      </c>
      <c r="AM68" s="181" t="str">
        <f t="shared" si="5"/>
        <v/>
      </c>
      <c r="AN68" s="181" t="str">
        <f t="shared" si="6"/>
        <v/>
      </c>
      <c r="AO68" s="192" t="str">
        <f t="shared" si="7"/>
        <v/>
      </c>
      <c r="AQ68" t="str">
        <f>IFERROR(LOOKUP(2,1/((C_Pavement!$A$5:$A$204&lt;&gt;"")*(C_Pavement!$A$5:$A$204&lt;=$B68)*(C_Pavement!$B$5:$B$204&gt;$B68)*(C_Pavement!$C$5:$C$204&lt;&gt;"")),ROW(C_Pavement!$C$5:$C$204)-4),"")</f>
        <v/>
      </c>
      <c r="AR68" t="str">
        <f>IF($AQ68="","",UPPER(TRIM(INDEX(C_Pavement!$C$5:$C$204,$AQ68))))</f>
        <v/>
      </c>
      <c r="AS68" t="str">
        <f>IF($AR68="","",IFERROR(MATCH($AR68,E_Rules!$A$5:$A$9,0),""))</f>
        <v/>
      </c>
      <c r="AT68" t="str">
        <f>IF($AQ68="","",IF(INDEX(C_Pavement!$D$5:$D$204,$AQ68)&lt;&gt;"",UPPER(TRIM(INDEX(C_Pavement!$D$5:$D$204,$AQ68))),IF($AS68="","",INDEX(E_Rules!$C$5:$C$9,$AS68))))</f>
        <v/>
      </c>
      <c r="AU68" t="str">
        <f>IF($AQ68="","",IF(INDEX(C_Pavement!$E$5:$E$204,$AQ68)&lt;&gt;"",IF(INDEX(C_Pavement!$E$5:$E$204,$AQ68)="-","",INDEX(C_Pavement!$E$5:$E$204,$AQ68)),IF($AS68="","",INDEX(E_Rules!$D$5:$D$9,$AS68))))</f>
        <v/>
      </c>
      <c r="AV68" t="str">
        <f>IF($AQ68="","",IF(INDEX(C_Pavement!$F$5:$F$204,$AQ68)&lt;&gt;"",IF(INDEX(C_Pavement!$F$5:$F$204,$AQ68)="-","",INDEX(C_Pavement!$F$5:$F$204,$AQ68)),IF($AS68="","",INDEX(E_Rules!$E$5:$E$9,$AS68))))</f>
        <v/>
      </c>
      <c r="AW68" t="str">
        <f>IF($AQ68="","",IF(INDEX(C_Pavement!$G$5:$G$204,$AQ68)&lt;&gt;"",IF(INDEX(C_Pavement!$G$5:$G$204,$AQ68)="-","",INDEX(C_Pavement!$G$5:$G$204,$AQ68)),IF($AS68="","",INDEX(E_Rules!$F$5:$F$9,$AS68))))</f>
        <v/>
      </c>
      <c r="AX68" t="str">
        <f>IF($AQ68="","",IF(INDEX(C_Pavement!$H$5:$H$204,$AQ68)&lt;&gt;"",IF(INDEX(C_Pavement!$H$5:$H$204,$AQ68)="-","",INDEX(C_Pavement!$H$5:$H$204,$AQ68)),IF($AS68="","",INDEX(E_Rules!$G$5:$G$9,$AS68))))</f>
        <v/>
      </c>
      <c r="AY68" t="str">
        <f>IF($AQ68="","",IF(INDEX(C_Pavement!$I$5:$I$204,$AQ68)&lt;&gt;"",IF(INDEX(C_Pavement!$I$5:$I$204,$AQ68)="-","",INDEX(C_Pavement!$I$5:$I$204,$AQ68)),IF($AS68="","",INDEX(E_Rules!$H$5:$H$9,$AS68))))</f>
        <v/>
      </c>
    </row>
    <row r="69" spans="1:51" ht="15.75" customHeight="1" x14ac:dyDescent="0.3">
      <c r="A69" s="189">
        <v>64</v>
      </c>
      <c r="B69" s="180">
        <v>3150</v>
      </c>
      <c r="C69" s="180" t="s">
        <v>375</v>
      </c>
      <c r="D69" s="181" t="str">
        <f>IFERROR(LOOKUP(2,1/((A_Corridor!$A$5:$A$204&lt;&gt;"")*(A_Corridor!$A$5:$A$204&lt;=$B69)*(A_Corridor!$B$5:$B$204&gt;$B69)*(A_Corridor!$C$5:$C$204&lt;&gt;"")),IF(UPPER(A_Corridor!$C$5:$C$204)="Y",1,"")),"")</f>
        <v/>
      </c>
      <c r="E69" s="181" t="str">
        <f>IFERROR(LOOKUP(2,1/((A_Corridor!$A$5:$A$204&lt;&gt;"")*(A_Corridor!$A$5:$A$204&lt;=$B69)*(A_Corridor!$B$5:$B$204&gt;$B69)*(A_Corridor!$D$5:$D$204&lt;&gt;"")),IF(A_Corridor!$D$5:$D$204="-","",UPPER(A_Corridor!$D$5:$D$204))),"")</f>
        <v/>
      </c>
      <c r="F69" s="181" t="str">
        <f>IFERROR(LOOKUP(2,1/((A_Corridor!$A$5:$A$204&lt;&gt;"")*(A_Corridor!$A$5:$A$204&lt;=$B69)*(A_Corridor!$B$5:$B$204&gt;$B69)*(A_Corridor!$E$5:$E$204&lt;&gt;"")),IF(A_Corridor!$E$5:$E$204="-","",1)),"")</f>
        <v/>
      </c>
      <c r="G69" s="182" t="str">
        <f>IFERROR(LOOKUP(2,1/((A_Corridor!$A$5:$A$204&lt;&gt;"")*(A_Corridor!$A$5:$A$204&lt;=$B69)*(A_Corridor!$B$5:$B$204&gt;$B69)*(A_Corridor!$E$5:$E$204&lt;&gt;"")),IF(A_Corridor!$E$5:$E$204="-","",A_Corridor!$E$5:$E$204)),"")</f>
        <v/>
      </c>
      <c r="H69" s="182" t="str">
        <f>IFERROR(LOOKUP(2,1/((D_Points!$A$5:$A$204&lt;&gt;"")*(D_Points!$A$5:$A$204&gt;=$B69)*(D_Points!$A$5:$A$204&lt;$B69+P_Interval)*(UPPER(TRIM(D_Points!$B$5:$B$204))="GULLY")*(D_Points!$H$5:$H$204&lt;&gt;"")),D_Points!$H$5:$H$204),"")</f>
        <v/>
      </c>
      <c r="I69" s="181" t="str">
        <f>IFERROR(LOOKUP(2,1/((A_Corridor!$A$5:$A$204&lt;&gt;"")*(A_Corridor!$A$5:$A$204&lt;=$B69)*(A_Corridor!$B$5:$B$204&gt;$B69)*(A_Corridor!$F$5:$F$204&lt;&gt;"")),IF(A_Corridor!$F$5:$F$204="-","",1)),"")</f>
        <v/>
      </c>
      <c r="J69" s="182" t="str">
        <f>IFERROR(LOOKUP(2,1/((A_Corridor!$A$5:$A$204&lt;&gt;"")*(A_Corridor!$A$5:$A$204&lt;=$B69)*(A_Corridor!$B$5:$B$204&gt;$B69)*(A_Corridor!$F$5:$F$204&lt;&gt;"")),IF(A_Corridor!$F$5:$F$204="-","",A_Corridor!$F$5:$F$204)),"")</f>
        <v/>
      </c>
      <c r="K69" s="182" t="str">
        <f>IFERROR(LOOKUP(2,1/((A_Corridor!$A$5:$A$204&lt;&gt;"")*(A_Corridor!$A$5:$A$204&lt;=$B69)*(A_Corridor!$B$5:$B$204&gt;$B69)*(A_Corridor!$G$5:$G$204&lt;&gt;"")),IF(A_Corridor!$G$5:$G$204="-","",A_Corridor!$G$5:$G$204)),"")</f>
        <v/>
      </c>
      <c r="L69" s="181" t="str">
        <f>IFERROR(LOOKUP(2,1/((A_Corridor!$A$5:$A$204&lt;&gt;"")*(A_Corridor!$A$5:$A$204&lt;=$B69)*(A_Corridor!$B$5:$B$204&gt;$B69)*(A_Corridor!$H$5:$H$204&lt;&gt;"")),IF(A_Corridor!$H$5:$H$204="-","",1)),"")</f>
        <v/>
      </c>
      <c r="M69" s="182" t="str">
        <f>IFERROR(LOOKUP(2,1/((A_Corridor!$A$5:$A$204&lt;&gt;"")*(A_Corridor!$A$5:$A$204&lt;=$B69)*(A_Corridor!$B$5:$B$204&gt;$B69)*(A_Corridor!$H$5:$H$204&lt;&gt;"")),IF(A_Corridor!$H$5:$H$204="-","",A_Corridor!$H$5:$H$204)),"")</f>
        <v/>
      </c>
      <c r="N69" s="182" t="str">
        <f>IFERROR(LOOKUP(2,1/((A_Corridor!$A$5:$A$204&lt;&gt;"")*(A_Corridor!$A$5:$A$204&lt;=$B69)*(A_Corridor!$B$5:$B$204&gt;$B69)*(A_Corridor!$I$5:$I$204&lt;&gt;"")),IF(A_Corridor!$I$5:$I$204="-","",A_Corridor!$I$5:$I$204)),"")</f>
        <v/>
      </c>
      <c r="O69" s="182" t="str">
        <f>IFERROR(LOOKUP(2,1/((D_Points!$A$5:$A$204&lt;&gt;"")*(D_Points!$A$5:$A$204&gt;=$B69)*(D_Points!$A$5:$A$204&lt;$B69+P_Interval)*(UPPER(TRIM(D_Points!$B$5:$B$204))="PITCHING")*(D_Points!$H$5:$H$204&lt;&gt;"")),D_Points!$H$5:$H$204),"")</f>
        <v/>
      </c>
      <c r="P69" s="181" t="str">
        <f>IFERROR(LOOKUP(2,1/((B_Drainage!$A$5:$A$204&lt;&gt;"")*(B_Drainage!$A$5:$A$204&lt;=$B69)*(B_Drainage!$B$5:$B$204&gt;$B69)*(B_Drainage!$C$5:$C$204&lt;&gt;"")),IF(B_Drainage!$C$5:$C$204="-","",UPPER(B_Drainage!$C$5:$C$204))),"")</f>
        <v/>
      </c>
      <c r="Q69" s="181" t="str">
        <f>IFERROR(LOOKUP(2,1/((B_Drainage!$A$5:$A$204&lt;&gt;"")*(B_Drainage!$A$5:$A$204&lt;=$B69)*(B_Drainage!$B$5:$B$204&gt;$B69)*(B_Drainage!$D$5:$D$204&lt;&gt;"")),IF(B_Drainage!$D$5:$D$204="-","",UPPER(B_Drainage!$D$5:$D$204))),"")</f>
        <v/>
      </c>
      <c r="R69" s="182" t="str">
        <f>IFERROR(LOOKUP(2,1/((D_Points!$A$5:$A$204&lt;&gt;"")*(D_Points!$A$5:$A$204&gt;=$B69)*(D_Points!$A$5:$A$204&lt;$B69+P_Interval)*(RIGHT(UPPER(TRIM(D_Points!$B$5:$B$204)),8)="_CULVERT")),IF(LEFT(UPPER(TRIM(D_Points!$B$5:$B$204)),2)="EX",1,IF(LEFT(UPPER(TRIM(D_Points!$B$5:$B$204)),2)="PR",2,3))),"")</f>
        <v/>
      </c>
      <c r="S69" s="182" t="str">
        <f>IFERROR(LOOKUP(2,1/((D_Points!$A$5:$A$204&lt;&gt;"")*(D_Points!$A$5:$A$204&gt;=$B69)*(D_Points!$A$5:$A$204&lt;$B69+P_Interval)*(RIGHT(UPPER(TRIM(D_Points!$B$5:$B$204)),7)="_BRIDGE")),IF(LEFT(UPPER(TRIM(D_Points!$B$5:$B$204)),2)="EX",1,IF(LEFT(UPPER(TRIM(D_Points!$B$5:$B$204)),2)="PR",2,2))),"")</f>
        <v/>
      </c>
      <c r="T69" s="181" t="str">
        <f>IFERROR(LOOKUP(2,1/((B_Drainage!$A$5:$A$204&lt;&gt;"")*(B_Drainage!$A$5:$A$204&lt;=$B69)*(B_Drainage!$B$5:$B$204&gt;$B69)*(B_Drainage!$E$5:$E$204&lt;&gt;"")),IF(B_Drainage!$E$5:$E$204="-","",1)),"")</f>
        <v/>
      </c>
      <c r="U69" s="181" t="str">
        <f>IFERROR(LOOKUP(2,1/((B_Drainage!$A$5:$A$204&lt;&gt;"")*(B_Drainage!$A$5:$A$204&lt;=$B69)*(B_Drainage!$B$5:$B$204&gt;$B69)*(B_Drainage!$E$5:$E$204&lt;&gt;"")),IF(B_Drainage!$E$5:$E$204="-","",B_Drainage!$E$5:$E$204)),"")</f>
        <v/>
      </c>
      <c r="V69" s="181" t="str">
        <f>IFERROR(LOOKUP(2,1/((B_Drainage!$A$5:$A$204&lt;&gt;"")*(B_Drainage!$A$5:$A$204&lt;=$B69)*(B_Drainage!$B$5:$B$204&gt;$B69)*(B_Drainage!$F$5:$F$204&lt;&gt;"")),IF(B_Drainage!$F$5:$F$204="-","",1)),"")</f>
        <v/>
      </c>
      <c r="W69" s="181" t="str">
        <f>IFERROR(LOOKUP(2,1/((B_Drainage!$A$5:$A$204&lt;&gt;"")*(B_Drainage!$A$5:$A$204&lt;=$B69)*(B_Drainage!$B$5:$B$204&gt;$B69)*(B_Drainage!$F$5:$F$204&lt;&gt;"")),IF(B_Drainage!$F$5:$F$204="-","",B_Drainage!$F$5:$F$204)),"")</f>
        <v/>
      </c>
      <c r="X69" s="181" t="str">
        <f>IFERROR(LOOKUP(2,1/((B_Drainage!$A$5:$A$204&lt;&gt;"")*(B_Drainage!$A$5:$A$204&lt;=$B69)*(B_Drainage!$B$5:$B$204&gt;$B69)*(B_Drainage!$G$5:$G$204&lt;&gt;"")),IF(UPPER(B_Drainage!$G$5:$G$204)="Y",1,"")),"")</f>
        <v/>
      </c>
      <c r="Y69" s="181" t="str">
        <f>IFERROR(LOOKUP(2,1/((B_Drainage!$A$5:$A$204&lt;&gt;"")*(B_Drainage!$A$5:$A$204&lt;=$B69)*(B_Drainage!$B$5:$B$204&gt;$B69)*(B_Drainage!$H$5:$H$204&lt;&gt;"")),IF(UPPER(B_Drainage!$H$5:$H$204)="Y",1,"")),"")</f>
        <v/>
      </c>
      <c r="Z69" s="181" t="str">
        <f>IFERROR(LOOKUP(2,1/((B_Drainage!$A$5:$A$204&lt;&gt;"")*(B_Drainage!$A$5:$A$204&lt;=$B69)*(B_Drainage!$B$5:$B$204&gt;$B69)*(B_Drainage!$I$5:$I$204&lt;&gt;"")),IF(UPPER(B_Drainage!$I$5:$I$204)="Y",1,"")),"")</f>
        <v/>
      </c>
      <c r="AA69" s="181" t="str">
        <f>IFERROR(LOOKUP(2,1/((B_Drainage!$A$5:$A$204&lt;&gt;"")*(B_Drainage!$A$5:$A$204&lt;=$B69)*(B_Drainage!$B$5:$B$204&gt;$B69)*(B_Drainage!$J$5:$J$204&lt;&gt;"")),IF(UPPER(B_Drainage!$J$5:$J$204)="Y",1,"")),"")</f>
        <v/>
      </c>
      <c r="AB69" s="182" t="str">
        <f>IFERROR(LOOKUP(2,1/((B_Drainage!$A$5:$A$204&lt;&gt;"")*(B_Drainage!$A$5:$A$204&lt;=$B69)*(B_Drainage!$B$5:$B$204&gt;$B69)*(B_Drainage!$K$5:$K$204&lt;&gt;"")),IF(B_Drainage!$K$5:$K$204="-","",B_Drainage!$K$5:$K$204)),"")</f>
        <v/>
      </c>
      <c r="AC69" s="182" t="str">
        <f>IFERROR(LOOKUP(2,1/((B_Drainage!$A$5:$A$204&lt;&gt;"")*(B_Drainage!$A$5:$A$204&lt;=$B69)*(B_Drainage!$B$5:$B$204&gt;$B69)*(B_Drainage!$L$5:$L$204&lt;&gt;"")),IF(B_Drainage!$L$5:$L$204="-","",B_Drainage!$L$5:$L$204)),"")</f>
        <v/>
      </c>
      <c r="AD69" s="182" t="str">
        <f>IFERROR(LOOKUP(2,1/((D_Points!$A$5:$A$204&lt;&gt;"")*(D_Points!$A$5:$A$204&gt;=$B69)*(D_Points!$A$5:$A$204&lt;$B69+P_Interval)*(UPPER(TRIM(D_Points!$B$5:$B$204))="TURNOUT_L")*(D_Points!$H$5:$H$204&lt;&gt;"")),D_Points!$H$5:$H$204),"")</f>
        <v/>
      </c>
      <c r="AE69" s="182" t="str">
        <f>IFERROR(LOOKUP(2,1/((D_Points!$A$5:$A$204&lt;&gt;"")*(D_Points!$A$5:$A$204&gt;=$B69)*(D_Points!$A$5:$A$204&lt;$B69+P_Interval)*(UPPER(TRIM(D_Points!$B$5:$B$204))="TURNOUT_R")*(D_Points!$H$5:$H$204&lt;&gt;"")),D_Points!$H$5:$H$204),"")</f>
        <v/>
      </c>
      <c r="AF69" s="181" t="str">
        <f>IFERROR(LOOKUP(2,1/((B_Drainage!$A$5:$A$204&lt;&gt;"")*(B_Drainage!$A$5:$A$204&lt;=$B69)*(B_Drainage!$B$5:$B$204&gt;$B69)*(B_Drainage!$M$5:$M$204&lt;&gt;"")),IF(UPPER(B_Drainage!$M$5:$M$204)="Y",1,"")),"")</f>
        <v/>
      </c>
      <c r="AG69" s="181" t="str">
        <f>IFERROR(LOOKUP(2,1/((B_Drainage!$A$5:$A$204&lt;&gt;"")*(B_Drainage!$A$5:$A$204&lt;=$B69)*(B_Drainage!$B$5:$B$204&gt;$B69)*(B_Drainage!$N$5:$N$204&lt;&gt;"")),IF(UPPER(B_Drainage!$N$5:$N$204)="Y",1,"")),"")</f>
        <v/>
      </c>
      <c r="AH69" s="181" t="str">
        <f t="shared" si="0"/>
        <v/>
      </c>
      <c r="AI69" s="181" t="str">
        <f t="shared" si="1"/>
        <v/>
      </c>
      <c r="AJ69" s="181" t="str">
        <f t="shared" si="2"/>
        <v/>
      </c>
      <c r="AK69" s="181" t="str">
        <f t="shared" si="3"/>
        <v/>
      </c>
      <c r="AL69" s="181" t="str">
        <f t="shared" si="4"/>
        <v/>
      </c>
      <c r="AM69" s="181" t="str">
        <f t="shared" si="5"/>
        <v/>
      </c>
      <c r="AN69" s="181" t="str">
        <f t="shared" si="6"/>
        <v/>
      </c>
      <c r="AO69" s="192" t="str">
        <f t="shared" si="7"/>
        <v/>
      </c>
      <c r="AQ69" t="str">
        <f>IFERROR(LOOKUP(2,1/((C_Pavement!$A$5:$A$204&lt;&gt;"")*(C_Pavement!$A$5:$A$204&lt;=$B69)*(C_Pavement!$B$5:$B$204&gt;$B69)*(C_Pavement!$C$5:$C$204&lt;&gt;"")),ROW(C_Pavement!$C$5:$C$204)-4),"")</f>
        <v/>
      </c>
      <c r="AR69" t="str">
        <f>IF($AQ69="","",UPPER(TRIM(INDEX(C_Pavement!$C$5:$C$204,$AQ69))))</f>
        <v/>
      </c>
      <c r="AS69" t="str">
        <f>IF($AR69="","",IFERROR(MATCH($AR69,E_Rules!$A$5:$A$9,0),""))</f>
        <v/>
      </c>
      <c r="AT69" t="str">
        <f>IF($AQ69="","",IF(INDEX(C_Pavement!$D$5:$D$204,$AQ69)&lt;&gt;"",UPPER(TRIM(INDEX(C_Pavement!$D$5:$D$204,$AQ69))),IF($AS69="","",INDEX(E_Rules!$C$5:$C$9,$AS69))))</f>
        <v/>
      </c>
      <c r="AU69" t="str">
        <f>IF($AQ69="","",IF(INDEX(C_Pavement!$E$5:$E$204,$AQ69)&lt;&gt;"",IF(INDEX(C_Pavement!$E$5:$E$204,$AQ69)="-","",INDEX(C_Pavement!$E$5:$E$204,$AQ69)),IF($AS69="","",INDEX(E_Rules!$D$5:$D$9,$AS69))))</f>
        <v/>
      </c>
      <c r="AV69" t="str">
        <f>IF($AQ69="","",IF(INDEX(C_Pavement!$F$5:$F$204,$AQ69)&lt;&gt;"",IF(INDEX(C_Pavement!$F$5:$F$204,$AQ69)="-","",INDEX(C_Pavement!$F$5:$F$204,$AQ69)),IF($AS69="","",INDEX(E_Rules!$E$5:$E$9,$AS69))))</f>
        <v/>
      </c>
      <c r="AW69" t="str">
        <f>IF($AQ69="","",IF(INDEX(C_Pavement!$G$5:$G$204,$AQ69)&lt;&gt;"",IF(INDEX(C_Pavement!$G$5:$G$204,$AQ69)="-","",INDEX(C_Pavement!$G$5:$G$204,$AQ69)),IF($AS69="","",INDEX(E_Rules!$F$5:$F$9,$AS69))))</f>
        <v/>
      </c>
      <c r="AX69" t="str">
        <f>IF($AQ69="","",IF(INDEX(C_Pavement!$H$5:$H$204,$AQ69)&lt;&gt;"",IF(INDEX(C_Pavement!$H$5:$H$204,$AQ69)="-","",INDEX(C_Pavement!$H$5:$H$204,$AQ69)),IF($AS69="","",INDEX(E_Rules!$G$5:$G$9,$AS69))))</f>
        <v/>
      </c>
      <c r="AY69" t="str">
        <f>IF($AQ69="","",IF(INDEX(C_Pavement!$I$5:$I$204,$AQ69)&lt;&gt;"",IF(INDEX(C_Pavement!$I$5:$I$204,$AQ69)="-","",INDEX(C_Pavement!$I$5:$I$204,$AQ69)),IF($AS69="","",INDEX(E_Rules!$H$5:$H$9,$AS69))))</f>
        <v/>
      </c>
    </row>
    <row r="70" spans="1:51" ht="15.75" customHeight="1" x14ac:dyDescent="0.3">
      <c r="A70" s="189">
        <v>65</v>
      </c>
      <c r="B70" s="180">
        <v>3200</v>
      </c>
      <c r="C70" s="180" t="s">
        <v>376</v>
      </c>
      <c r="D70" s="181" t="str">
        <f>IFERROR(LOOKUP(2,1/((A_Corridor!$A$5:$A$204&lt;&gt;"")*(A_Corridor!$A$5:$A$204&lt;=$B70)*(A_Corridor!$B$5:$B$204&gt;$B70)*(A_Corridor!$C$5:$C$204&lt;&gt;"")),IF(UPPER(A_Corridor!$C$5:$C$204)="Y",1,"")),"")</f>
        <v/>
      </c>
      <c r="E70" s="181" t="str">
        <f>IFERROR(LOOKUP(2,1/((A_Corridor!$A$5:$A$204&lt;&gt;"")*(A_Corridor!$A$5:$A$204&lt;=$B70)*(A_Corridor!$B$5:$B$204&gt;$B70)*(A_Corridor!$D$5:$D$204&lt;&gt;"")),IF(A_Corridor!$D$5:$D$204="-","",UPPER(A_Corridor!$D$5:$D$204))),"")</f>
        <v/>
      </c>
      <c r="F70" s="181" t="str">
        <f>IFERROR(LOOKUP(2,1/((A_Corridor!$A$5:$A$204&lt;&gt;"")*(A_Corridor!$A$5:$A$204&lt;=$B70)*(A_Corridor!$B$5:$B$204&gt;$B70)*(A_Corridor!$E$5:$E$204&lt;&gt;"")),IF(A_Corridor!$E$5:$E$204="-","",1)),"")</f>
        <v/>
      </c>
      <c r="G70" s="182" t="str">
        <f>IFERROR(LOOKUP(2,1/((A_Corridor!$A$5:$A$204&lt;&gt;"")*(A_Corridor!$A$5:$A$204&lt;=$B70)*(A_Corridor!$B$5:$B$204&gt;$B70)*(A_Corridor!$E$5:$E$204&lt;&gt;"")),IF(A_Corridor!$E$5:$E$204="-","",A_Corridor!$E$5:$E$204)),"")</f>
        <v/>
      </c>
      <c r="H70" s="182" t="str">
        <f>IFERROR(LOOKUP(2,1/((D_Points!$A$5:$A$204&lt;&gt;"")*(D_Points!$A$5:$A$204&gt;=$B70)*(D_Points!$A$5:$A$204&lt;$B70+P_Interval)*(UPPER(TRIM(D_Points!$B$5:$B$204))="GULLY")*(D_Points!$H$5:$H$204&lt;&gt;"")),D_Points!$H$5:$H$204),"")</f>
        <v/>
      </c>
      <c r="I70" s="181" t="str">
        <f>IFERROR(LOOKUP(2,1/((A_Corridor!$A$5:$A$204&lt;&gt;"")*(A_Corridor!$A$5:$A$204&lt;=$B70)*(A_Corridor!$B$5:$B$204&gt;$B70)*(A_Corridor!$F$5:$F$204&lt;&gt;"")),IF(A_Corridor!$F$5:$F$204="-","",1)),"")</f>
        <v/>
      </c>
      <c r="J70" s="182" t="str">
        <f>IFERROR(LOOKUP(2,1/((A_Corridor!$A$5:$A$204&lt;&gt;"")*(A_Corridor!$A$5:$A$204&lt;=$B70)*(A_Corridor!$B$5:$B$204&gt;$B70)*(A_Corridor!$F$5:$F$204&lt;&gt;"")),IF(A_Corridor!$F$5:$F$204="-","",A_Corridor!$F$5:$F$204)),"")</f>
        <v/>
      </c>
      <c r="K70" s="182" t="str">
        <f>IFERROR(LOOKUP(2,1/((A_Corridor!$A$5:$A$204&lt;&gt;"")*(A_Corridor!$A$5:$A$204&lt;=$B70)*(A_Corridor!$B$5:$B$204&gt;$B70)*(A_Corridor!$G$5:$G$204&lt;&gt;"")),IF(A_Corridor!$G$5:$G$204="-","",A_Corridor!$G$5:$G$204)),"")</f>
        <v/>
      </c>
      <c r="L70" s="181" t="str">
        <f>IFERROR(LOOKUP(2,1/((A_Corridor!$A$5:$A$204&lt;&gt;"")*(A_Corridor!$A$5:$A$204&lt;=$B70)*(A_Corridor!$B$5:$B$204&gt;$B70)*(A_Corridor!$H$5:$H$204&lt;&gt;"")),IF(A_Corridor!$H$5:$H$204="-","",1)),"")</f>
        <v/>
      </c>
      <c r="M70" s="182" t="str">
        <f>IFERROR(LOOKUP(2,1/((A_Corridor!$A$5:$A$204&lt;&gt;"")*(A_Corridor!$A$5:$A$204&lt;=$B70)*(A_Corridor!$B$5:$B$204&gt;$B70)*(A_Corridor!$H$5:$H$204&lt;&gt;"")),IF(A_Corridor!$H$5:$H$204="-","",A_Corridor!$H$5:$H$204)),"")</f>
        <v/>
      </c>
      <c r="N70" s="182" t="str">
        <f>IFERROR(LOOKUP(2,1/((A_Corridor!$A$5:$A$204&lt;&gt;"")*(A_Corridor!$A$5:$A$204&lt;=$B70)*(A_Corridor!$B$5:$B$204&gt;$B70)*(A_Corridor!$I$5:$I$204&lt;&gt;"")),IF(A_Corridor!$I$5:$I$204="-","",A_Corridor!$I$5:$I$204)),"")</f>
        <v/>
      </c>
      <c r="O70" s="182" t="str">
        <f>IFERROR(LOOKUP(2,1/((D_Points!$A$5:$A$204&lt;&gt;"")*(D_Points!$A$5:$A$204&gt;=$B70)*(D_Points!$A$5:$A$204&lt;$B70+P_Interval)*(UPPER(TRIM(D_Points!$B$5:$B$204))="PITCHING")*(D_Points!$H$5:$H$204&lt;&gt;"")),D_Points!$H$5:$H$204),"")</f>
        <v/>
      </c>
      <c r="P70" s="181" t="str">
        <f>IFERROR(LOOKUP(2,1/((B_Drainage!$A$5:$A$204&lt;&gt;"")*(B_Drainage!$A$5:$A$204&lt;=$B70)*(B_Drainage!$B$5:$B$204&gt;$B70)*(B_Drainage!$C$5:$C$204&lt;&gt;"")),IF(B_Drainage!$C$5:$C$204="-","",UPPER(B_Drainage!$C$5:$C$204))),"")</f>
        <v/>
      </c>
      <c r="Q70" s="181" t="str">
        <f>IFERROR(LOOKUP(2,1/((B_Drainage!$A$5:$A$204&lt;&gt;"")*(B_Drainage!$A$5:$A$204&lt;=$B70)*(B_Drainage!$B$5:$B$204&gt;$B70)*(B_Drainage!$D$5:$D$204&lt;&gt;"")),IF(B_Drainage!$D$5:$D$204="-","",UPPER(B_Drainage!$D$5:$D$204))),"")</f>
        <v/>
      </c>
      <c r="R70" s="182" t="str">
        <f>IFERROR(LOOKUP(2,1/((D_Points!$A$5:$A$204&lt;&gt;"")*(D_Points!$A$5:$A$204&gt;=$B70)*(D_Points!$A$5:$A$204&lt;$B70+P_Interval)*(RIGHT(UPPER(TRIM(D_Points!$B$5:$B$204)),8)="_CULVERT")),IF(LEFT(UPPER(TRIM(D_Points!$B$5:$B$204)),2)="EX",1,IF(LEFT(UPPER(TRIM(D_Points!$B$5:$B$204)),2)="PR",2,3))),"")</f>
        <v/>
      </c>
      <c r="S70" s="182" t="str">
        <f>IFERROR(LOOKUP(2,1/((D_Points!$A$5:$A$204&lt;&gt;"")*(D_Points!$A$5:$A$204&gt;=$B70)*(D_Points!$A$5:$A$204&lt;$B70+P_Interval)*(RIGHT(UPPER(TRIM(D_Points!$B$5:$B$204)),7)="_BRIDGE")),IF(LEFT(UPPER(TRIM(D_Points!$B$5:$B$204)),2)="EX",1,IF(LEFT(UPPER(TRIM(D_Points!$B$5:$B$204)),2)="PR",2,2))),"")</f>
        <v/>
      </c>
      <c r="T70" s="181" t="str">
        <f>IFERROR(LOOKUP(2,1/((B_Drainage!$A$5:$A$204&lt;&gt;"")*(B_Drainage!$A$5:$A$204&lt;=$B70)*(B_Drainage!$B$5:$B$204&gt;$B70)*(B_Drainage!$E$5:$E$204&lt;&gt;"")),IF(B_Drainage!$E$5:$E$204="-","",1)),"")</f>
        <v/>
      </c>
      <c r="U70" s="181" t="str">
        <f>IFERROR(LOOKUP(2,1/((B_Drainage!$A$5:$A$204&lt;&gt;"")*(B_Drainage!$A$5:$A$204&lt;=$B70)*(B_Drainage!$B$5:$B$204&gt;$B70)*(B_Drainage!$E$5:$E$204&lt;&gt;"")),IF(B_Drainage!$E$5:$E$204="-","",B_Drainage!$E$5:$E$204)),"")</f>
        <v/>
      </c>
      <c r="V70" s="181" t="str">
        <f>IFERROR(LOOKUP(2,1/((B_Drainage!$A$5:$A$204&lt;&gt;"")*(B_Drainage!$A$5:$A$204&lt;=$B70)*(B_Drainage!$B$5:$B$204&gt;$B70)*(B_Drainage!$F$5:$F$204&lt;&gt;"")),IF(B_Drainage!$F$5:$F$204="-","",1)),"")</f>
        <v/>
      </c>
      <c r="W70" s="181" t="str">
        <f>IFERROR(LOOKUP(2,1/((B_Drainage!$A$5:$A$204&lt;&gt;"")*(B_Drainage!$A$5:$A$204&lt;=$B70)*(B_Drainage!$B$5:$B$204&gt;$B70)*(B_Drainage!$F$5:$F$204&lt;&gt;"")),IF(B_Drainage!$F$5:$F$204="-","",B_Drainage!$F$5:$F$204)),"")</f>
        <v/>
      </c>
      <c r="X70" s="181" t="str">
        <f>IFERROR(LOOKUP(2,1/((B_Drainage!$A$5:$A$204&lt;&gt;"")*(B_Drainage!$A$5:$A$204&lt;=$B70)*(B_Drainage!$B$5:$B$204&gt;$B70)*(B_Drainage!$G$5:$G$204&lt;&gt;"")),IF(UPPER(B_Drainage!$G$5:$G$204)="Y",1,"")),"")</f>
        <v/>
      </c>
      <c r="Y70" s="181" t="str">
        <f>IFERROR(LOOKUP(2,1/((B_Drainage!$A$5:$A$204&lt;&gt;"")*(B_Drainage!$A$5:$A$204&lt;=$B70)*(B_Drainage!$B$5:$B$204&gt;$B70)*(B_Drainage!$H$5:$H$204&lt;&gt;"")),IF(UPPER(B_Drainage!$H$5:$H$204)="Y",1,"")),"")</f>
        <v/>
      </c>
      <c r="Z70" s="181" t="str">
        <f>IFERROR(LOOKUP(2,1/((B_Drainage!$A$5:$A$204&lt;&gt;"")*(B_Drainage!$A$5:$A$204&lt;=$B70)*(B_Drainage!$B$5:$B$204&gt;$B70)*(B_Drainage!$I$5:$I$204&lt;&gt;"")),IF(UPPER(B_Drainage!$I$5:$I$204)="Y",1,"")),"")</f>
        <v/>
      </c>
      <c r="AA70" s="181" t="str">
        <f>IFERROR(LOOKUP(2,1/((B_Drainage!$A$5:$A$204&lt;&gt;"")*(B_Drainage!$A$5:$A$204&lt;=$B70)*(B_Drainage!$B$5:$B$204&gt;$B70)*(B_Drainage!$J$5:$J$204&lt;&gt;"")),IF(UPPER(B_Drainage!$J$5:$J$204)="Y",1,"")),"")</f>
        <v/>
      </c>
      <c r="AB70" s="182" t="str">
        <f>IFERROR(LOOKUP(2,1/((B_Drainage!$A$5:$A$204&lt;&gt;"")*(B_Drainage!$A$5:$A$204&lt;=$B70)*(B_Drainage!$B$5:$B$204&gt;$B70)*(B_Drainage!$K$5:$K$204&lt;&gt;"")),IF(B_Drainage!$K$5:$K$204="-","",B_Drainage!$K$5:$K$204)),"")</f>
        <v/>
      </c>
      <c r="AC70" s="182" t="str">
        <f>IFERROR(LOOKUP(2,1/((B_Drainage!$A$5:$A$204&lt;&gt;"")*(B_Drainage!$A$5:$A$204&lt;=$B70)*(B_Drainage!$B$5:$B$204&gt;$B70)*(B_Drainage!$L$5:$L$204&lt;&gt;"")),IF(B_Drainage!$L$5:$L$204="-","",B_Drainage!$L$5:$L$204)),"")</f>
        <v/>
      </c>
      <c r="AD70" s="182" t="str">
        <f>IFERROR(LOOKUP(2,1/((D_Points!$A$5:$A$204&lt;&gt;"")*(D_Points!$A$5:$A$204&gt;=$B70)*(D_Points!$A$5:$A$204&lt;$B70+P_Interval)*(UPPER(TRIM(D_Points!$B$5:$B$204))="TURNOUT_L")*(D_Points!$H$5:$H$204&lt;&gt;"")),D_Points!$H$5:$H$204),"")</f>
        <v/>
      </c>
      <c r="AE70" s="182" t="str">
        <f>IFERROR(LOOKUP(2,1/((D_Points!$A$5:$A$204&lt;&gt;"")*(D_Points!$A$5:$A$204&gt;=$B70)*(D_Points!$A$5:$A$204&lt;$B70+P_Interval)*(UPPER(TRIM(D_Points!$B$5:$B$204))="TURNOUT_R")*(D_Points!$H$5:$H$204&lt;&gt;"")),D_Points!$H$5:$H$204),"")</f>
        <v/>
      </c>
      <c r="AF70" s="181" t="str">
        <f>IFERROR(LOOKUP(2,1/((B_Drainage!$A$5:$A$204&lt;&gt;"")*(B_Drainage!$A$5:$A$204&lt;=$B70)*(B_Drainage!$B$5:$B$204&gt;$B70)*(B_Drainage!$M$5:$M$204&lt;&gt;"")),IF(UPPER(B_Drainage!$M$5:$M$204)="Y",1,"")),"")</f>
        <v/>
      </c>
      <c r="AG70" s="181" t="str">
        <f>IFERROR(LOOKUP(2,1/((B_Drainage!$A$5:$A$204&lt;&gt;"")*(B_Drainage!$A$5:$A$204&lt;=$B70)*(B_Drainage!$B$5:$B$204&gt;$B70)*(B_Drainage!$N$5:$N$204&lt;&gt;"")),IF(UPPER(B_Drainage!$N$5:$N$204)="Y",1,"")),"")</f>
        <v/>
      </c>
      <c r="AH70" s="181" t="str">
        <f t="shared" ref="AH70:AH133" si="8">IF($AT70="BLADE",1,"")</f>
        <v/>
      </c>
      <c r="AI70" s="181" t="str">
        <f t="shared" ref="AI70:AI133" si="9">IF($AT70="RESHAPE",1,"")</f>
        <v/>
      </c>
      <c r="AJ70" s="181" t="str">
        <f t="shared" ref="AJ70:AJ133" si="10">IF($AT70="SCARIFY",1,"")</f>
        <v/>
      </c>
      <c r="AK70" s="181" t="str">
        <f t="shared" ref="AK70:AK133" si="11">$AU70</f>
        <v/>
      </c>
      <c r="AL70" s="181" t="str">
        <f t="shared" ref="AL70:AL133" si="12">$AV70</f>
        <v/>
      </c>
      <c r="AM70" s="181" t="str">
        <f t="shared" ref="AM70:AM133" si="13">IF(OR(UPPER($AW70)="Y",$AW70=1),1,"")</f>
        <v/>
      </c>
      <c r="AN70" s="181" t="str">
        <f t="shared" ref="AN70:AN133" si="14">IF(OR(UPPER($AX70)="Y",$AX70=1),1,"")</f>
        <v/>
      </c>
      <c r="AO70" s="192" t="str">
        <f t="shared" ref="AO70:AO133" si="15">IF(OR(UPPER($AY70)="Y",$AY70=1),1,"")</f>
        <v/>
      </c>
      <c r="AQ70" t="str">
        <f>IFERROR(LOOKUP(2,1/((C_Pavement!$A$5:$A$204&lt;&gt;"")*(C_Pavement!$A$5:$A$204&lt;=$B70)*(C_Pavement!$B$5:$B$204&gt;$B70)*(C_Pavement!$C$5:$C$204&lt;&gt;"")),ROW(C_Pavement!$C$5:$C$204)-4),"")</f>
        <v/>
      </c>
      <c r="AR70" t="str">
        <f>IF($AQ70="","",UPPER(TRIM(INDEX(C_Pavement!$C$5:$C$204,$AQ70))))</f>
        <v/>
      </c>
      <c r="AS70" t="str">
        <f>IF($AR70="","",IFERROR(MATCH($AR70,E_Rules!$A$5:$A$9,0),""))</f>
        <v/>
      </c>
      <c r="AT70" t="str">
        <f>IF($AQ70="","",IF(INDEX(C_Pavement!$D$5:$D$204,$AQ70)&lt;&gt;"",UPPER(TRIM(INDEX(C_Pavement!$D$5:$D$204,$AQ70))),IF($AS70="","",INDEX(E_Rules!$C$5:$C$9,$AS70))))</f>
        <v/>
      </c>
      <c r="AU70" t="str">
        <f>IF($AQ70="","",IF(INDEX(C_Pavement!$E$5:$E$204,$AQ70)&lt;&gt;"",IF(INDEX(C_Pavement!$E$5:$E$204,$AQ70)="-","",INDEX(C_Pavement!$E$5:$E$204,$AQ70)),IF($AS70="","",INDEX(E_Rules!$D$5:$D$9,$AS70))))</f>
        <v/>
      </c>
      <c r="AV70" t="str">
        <f>IF($AQ70="","",IF(INDEX(C_Pavement!$F$5:$F$204,$AQ70)&lt;&gt;"",IF(INDEX(C_Pavement!$F$5:$F$204,$AQ70)="-","",INDEX(C_Pavement!$F$5:$F$204,$AQ70)),IF($AS70="","",INDEX(E_Rules!$E$5:$E$9,$AS70))))</f>
        <v/>
      </c>
      <c r="AW70" t="str">
        <f>IF($AQ70="","",IF(INDEX(C_Pavement!$G$5:$G$204,$AQ70)&lt;&gt;"",IF(INDEX(C_Pavement!$G$5:$G$204,$AQ70)="-","",INDEX(C_Pavement!$G$5:$G$204,$AQ70)),IF($AS70="","",INDEX(E_Rules!$F$5:$F$9,$AS70))))</f>
        <v/>
      </c>
      <c r="AX70" t="str">
        <f>IF($AQ70="","",IF(INDEX(C_Pavement!$H$5:$H$204,$AQ70)&lt;&gt;"",IF(INDEX(C_Pavement!$H$5:$H$204,$AQ70)="-","",INDEX(C_Pavement!$H$5:$H$204,$AQ70)),IF($AS70="","",INDEX(E_Rules!$G$5:$G$9,$AS70))))</f>
        <v/>
      </c>
      <c r="AY70" t="str">
        <f>IF($AQ70="","",IF(INDEX(C_Pavement!$I$5:$I$204,$AQ70)&lt;&gt;"",IF(INDEX(C_Pavement!$I$5:$I$204,$AQ70)="-","",INDEX(C_Pavement!$I$5:$I$204,$AQ70)),IF($AS70="","",INDEX(E_Rules!$H$5:$H$9,$AS70))))</f>
        <v/>
      </c>
    </row>
    <row r="71" spans="1:51" ht="15.75" customHeight="1" x14ac:dyDescent="0.3">
      <c r="A71" s="189">
        <v>66</v>
      </c>
      <c r="B71" s="180">
        <v>3250</v>
      </c>
      <c r="C71" s="180" t="s">
        <v>377</v>
      </c>
      <c r="D71" s="181" t="str">
        <f>IFERROR(LOOKUP(2,1/((A_Corridor!$A$5:$A$204&lt;&gt;"")*(A_Corridor!$A$5:$A$204&lt;=$B71)*(A_Corridor!$B$5:$B$204&gt;$B71)*(A_Corridor!$C$5:$C$204&lt;&gt;"")),IF(UPPER(A_Corridor!$C$5:$C$204)="Y",1,"")),"")</f>
        <v/>
      </c>
      <c r="E71" s="181" t="str">
        <f>IFERROR(LOOKUP(2,1/((A_Corridor!$A$5:$A$204&lt;&gt;"")*(A_Corridor!$A$5:$A$204&lt;=$B71)*(A_Corridor!$B$5:$B$204&gt;$B71)*(A_Corridor!$D$5:$D$204&lt;&gt;"")),IF(A_Corridor!$D$5:$D$204="-","",UPPER(A_Corridor!$D$5:$D$204))),"")</f>
        <v/>
      </c>
      <c r="F71" s="181" t="str">
        <f>IFERROR(LOOKUP(2,1/((A_Corridor!$A$5:$A$204&lt;&gt;"")*(A_Corridor!$A$5:$A$204&lt;=$B71)*(A_Corridor!$B$5:$B$204&gt;$B71)*(A_Corridor!$E$5:$E$204&lt;&gt;"")),IF(A_Corridor!$E$5:$E$204="-","",1)),"")</f>
        <v/>
      </c>
      <c r="G71" s="182" t="str">
        <f>IFERROR(LOOKUP(2,1/((A_Corridor!$A$5:$A$204&lt;&gt;"")*(A_Corridor!$A$5:$A$204&lt;=$B71)*(A_Corridor!$B$5:$B$204&gt;$B71)*(A_Corridor!$E$5:$E$204&lt;&gt;"")),IF(A_Corridor!$E$5:$E$204="-","",A_Corridor!$E$5:$E$204)),"")</f>
        <v/>
      </c>
      <c r="H71" s="182" t="str">
        <f>IFERROR(LOOKUP(2,1/((D_Points!$A$5:$A$204&lt;&gt;"")*(D_Points!$A$5:$A$204&gt;=$B71)*(D_Points!$A$5:$A$204&lt;$B71+P_Interval)*(UPPER(TRIM(D_Points!$B$5:$B$204))="GULLY")*(D_Points!$H$5:$H$204&lt;&gt;"")),D_Points!$H$5:$H$204),"")</f>
        <v/>
      </c>
      <c r="I71" s="181" t="str">
        <f>IFERROR(LOOKUP(2,1/((A_Corridor!$A$5:$A$204&lt;&gt;"")*(A_Corridor!$A$5:$A$204&lt;=$B71)*(A_Corridor!$B$5:$B$204&gt;$B71)*(A_Corridor!$F$5:$F$204&lt;&gt;"")),IF(A_Corridor!$F$5:$F$204="-","",1)),"")</f>
        <v/>
      </c>
      <c r="J71" s="182" t="str">
        <f>IFERROR(LOOKUP(2,1/((A_Corridor!$A$5:$A$204&lt;&gt;"")*(A_Corridor!$A$5:$A$204&lt;=$B71)*(A_Corridor!$B$5:$B$204&gt;$B71)*(A_Corridor!$F$5:$F$204&lt;&gt;"")),IF(A_Corridor!$F$5:$F$204="-","",A_Corridor!$F$5:$F$204)),"")</f>
        <v/>
      </c>
      <c r="K71" s="182" t="str">
        <f>IFERROR(LOOKUP(2,1/((A_Corridor!$A$5:$A$204&lt;&gt;"")*(A_Corridor!$A$5:$A$204&lt;=$B71)*(A_Corridor!$B$5:$B$204&gt;$B71)*(A_Corridor!$G$5:$G$204&lt;&gt;"")),IF(A_Corridor!$G$5:$G$204="-","",A_Corridor!$G$5:$G$204)),"")</f>
        <v/>
      </c>
      <c r="L71" s="181" t="str">
        <f>IFERROR(LOOKUP(2,1/((A_Corridor!$A$5:$A$204&lt;&gt;"")*(A_Corridor!$A$5:$A$204&lt;=$B71)*(A_Corridor!$B$5:$B$204&gt;$B71)*(A_Corridor!$H$5:$H$204&lt;&gt;"")),IF(A_Corridor!$H$5:$H$204="-","",1)),"")</f>
        <v/>
      </c>
      <c r="M71" s="182" t="str">
        <f>IFERROR(LOOKUP(2,1/((A_Corridor!$A$5:$A$204&lt;&gt;"")*(A_Corridor!$A$5:$A$204&lt;=$B71)*(A_Corridor!$B$5:$B$204&gt;$B71)*(A_Corridor!$H$5:$H$204&lt;&gt;"")),IF(A_Corridor!$H$5:$H$204="-","",A_Corridor!$H$5:$H$204)),"")</f>
        <v/>
      </c>
      <c r="N71" s="182" t="str">
        <f>IFERROR(LOOKUP(2,1/((A_Corridor!$A$5:$A$204&lt;&gt;"")*(A_Corridor!$A$5:$A$204&lt;=$B71)*(A_Corridor!$B$5:$B$204&gt;$B71)*(A_Corridor!$I$5:$I$204&lt;&gt;"")),IF(A_Corridor!$I$5:$I$204="-","",A_Corridor!$I$5:$I$204)),"")</f>
        <v/>
      </c>
      <c r="O71" s="182" t="str">
        <f>IFERROR(LOOKUP(2,1/((D_Points!$A$5:$A$204&lt;&gt;"")*(D_Points!$A$5:$A$204&gt;=$B71)*(D_Points!$A$5:$A$204&lt;$B71+P_Interval)*(UPPER(TRIM(D_Points!$B$5:$B$204))="PITCHING")*(D_Points!$H$5:$H$204&lt;&gt;"")),D_Points!$H$5:$H$204),"")</f>
        <v/>
      </c>
      <c r="P71" s="181" t="str">
        <f>IFERROR(LOOKUP(2,1/((B_Drainage!$A$5:$A$204&lt;&gt;"")*(B_Drainage!$A$5:$A$204&lt;=$B71)*(B_Drainage!$B$5:$B$204&gt;$B71)*(B_Drainage!$C$5:$C$204&lt;&gt;"")),IF(B_Drainage!$C$5:$C$204="-","",UPPER(B_Drainage!$C$5:$C$204))),"")</f>
        <v/>
      </c>
      <c r="Q71" s="181" t="str">
        <f>IFERROR(LOOKUP(2,1/((B_Drainage!$A$5:$A$204&lt;&gt;"")*(B_Drainage!$A$5:$A$204&lt;=$B71)*(B_Drainage!$B$5:$B$204&gt;$B71)*(B_Drainage!$D$5:$D$204&lt;&gt;"")),IF(B_Drainage!$D$5:$D$204="-","",UPPER(B_Drainage!$D$5:$D$204))),"")</f>
        <v/>
      </c>
      <c r="R71" s="182" t="str">
        <f>IFERROR(LOOKUP(2,1/((D_Points!$A$5:$A$204&lt;&gt;"")*(D_Points!$A$5:$A$204&gt;=$B71)*(D_Points!$A$5:$A$204&lt;$B71+P_Interval)*(RIGHT(UPPER(TRIM(D_Points!$B$5:$B$204)),8)="_CULVERT")),IF(LEFT(UPPER(TRIM(D_Points!$B$5:$B$204)),2)="EX",1,IF(LEFT(UPPER(TRIM(D_Points!$B$5:$B$204)),2)="PR",2,3))),"")</f>
        <v/>
      </c>
      <c r="S71" s="182" t="str">
        <f>IFERROR(LOOKUP(2,1/((D_Points!$A$5:$A$204&lt;&gt;"")*(D_Points!$A$5:$A$204&gt;=$B71)*(D_Points!$A$5:$A$204&lt;$B71+P_Interval)*(RIGHT(UPPER(TRIM(D_Points!$B$5:$B$204)),7)="_BRIDGE")),IF(LEFT(UPPER(TRIM(D_Points!$B$5:$B$204)),2)="EX",1,IF(LEFT(UPPER(TRIM(D_Points!$B$5:$B$204)),2)="PR",2,2))),"")</f>
        <v/>
      </c>
      <c r="T71" s="181" t="str">
        <f>IFERROR(LOOKUP(2,1/((B_Drainage!$A$5:$A$204&lt;&gt;"")*(B_Drainage!$A$5:$A$204&lt;=$B71)*(B_Drainage!$B$5:$B$204&gt;$B71)*(B_Drainage!$E$5:$E$204&lt;&gt;"")),IF(B_Drainage!$E$5:$E$204="-","",1)),"")</f>
        <v/>
      </c>
      <c r="U71" s="181" t="str">
        <f>IFERROR(LOOKUP(2,1/((B_Drainage!$A$5:$A$204&lt;&gt;"")*(B_Drainage!$A$5:$A$204&lt;=$B71)*(B_Drainage!$B$5:$B$204&gt;$B71)*(B_Drainage!$E$5:$E$204&lt;&gt;"")),IF(B_Drainage!$E$5:$E$204="-","",B_Drainage!$E$5:$E$204)),"")</f>
        <v/>
      </c>
      <c r="V71" s="181" t="str">
        <f>IFERROR(LOOKUP(2,1/((B_Drainage!$A$5:$A$204&lt;&gt;"")*(B_Drainage!$A$5:$A$204&lt;=$B71)*(B_Drainage!$B$5:$B$204&gt;$B71)*(B_Drainage!$F$5:$F$204&lt;&gt;"")),IF(B_Drainage!$F$5:$F$204="-","",1)),"")</f>
        <v/>
      </c>
      <c r="W71" s="181" t="str">
        <f>IFERROR(LOOKUP(2,1/((B_Drainage!$A$5:$A$204&lt;&gt;"")*(B_Drainage!$A$5:$A$204&lt;=$B71)*(B_Drainage!$B$5:$B$204&gt;$B71)*(B_Drainage!$F$5:$F$204&lt;&gt;"")),IF(B_Drainage!$F$5:$F$204="-","",B_Drainage!$F$5:$F$204)),"")</f>
        <v/>
      </c>
      <c r="X71" s="181" t="str">
        <f>IFERROR(LOOKUP(2,1/((B_Drainage!$A$5:$A$204&lt;&gt;"")*(B_Drainage!$A$5:$A$204&lt;=$B71)*(B_Drainage!$B$5:$B$204&gt;$B71)*(B_Drainage!$G$5:$G$204&lt;&gt;"")),IF(UPPER(B_Drainage!$G$5:$G$204)="Y",1,"")),"")</f>
        <v/>
      </c>
      <c r="Y71" s="181" t="str">
        <f>IFERROR(LOOKUP(2,1/((B_Drainage!$A$5:$A$204&lt;&gt;"")*(B_Drainage!$A$5:$A$204&lt;=$B71)*(B_Drainage!$B$5:$B$204&gt;$B71)*(B_Drainage!$H$5:$H$204&lt;&gt;"")),IF(UPPER(B_Drainage!$H$5:$H$204)="Y",1,"")),"")</f>
        <v/>
      </c>
      <c r="Z71" s="181" t="str">
        <f>IFERROR(LOOKUP(2,1/((B_Drainage!$A$5:$A$204&lt;&gt;"")*(B_Drainage!$A$5:$A$204&lt;=$B71)*(B_Drainage!$B$5:$B$204&gt;$B71)*(B_Drainage!$I$5:$I$204&lt;&gt;"")),IF(UPPER(B_Drainage!$I$5:$I$204)="Y",1,"")),"")</f>
        <v/>
      </c>
      <c r="AA71" s="181" t="str">
        <f>IFERROR(LOOKUP(2,1/((B_Drainage!$A$5:$A$204&lt;&gt;"")*(B_Drainage!$A$5:$A$204&lt;=$B71)*(B_Drainage!$B$5:$B$204&gt;$B71)*(B_Drainage!$J$5:$J$204&lt;&gt;"")),IF(UPPER(B_Drainage!$J$5:$J$204)="Y",1,"")),"")</f>
        <v/>
      </c>
      <c r="AB71" s="182" t="str">
        <f>IFERROR(LOOKUP(2,1/((B_Drainage!$A$5:$A$204&lt;&gt;"")*(B_Drainage!$A$5:$A$204&lt;=$B71)*(B_Drainage!$B$5:$B$204&gt;$B71)*(B_Drainage!$K$5:$K$204&lt;&gt;"")),IF(B_Drainage!$K$5:$K$204="-","",B_Drainage!$K$5:$K$204)),"")</f>
        <v/>
      </c>
      <c r="AC71" s="182" t="str">
        <f>IFERROR(LOOKUP(2,1/((B_Drainage!$A$5:$A$204&lt;&gt;"")*(B_Drainage!$A$5:$A$204&lt;=$B71)*(B_Drainage!$B$5:$B$204&gt;$B71)*(B_Drainage!$L$5:$L$204&lt;&gt;"")),IF(B_Drainage!$L$5:$L$204="-","",B_Drainage!$L$5:$L$204)),"")</f>
        <v/>
      </c>
      <c r="AD71" s="182" t="str">
        <f>IFERROR(LOOKUP(2,1/((D_Points!$A$5:$A$204&lt;&gt;"")*(D_Points!$A$5:$A$204&gt;=$B71)*(D_Points!$A$5:$A$204&lt;$B71+P_Interval)*(UPPER(TRIM(D_Points!$B$5:$B$204))="TURNOUT_L")*(D_Points!$H$5:$H$204&lt;&gt;"")),D_Points!$H$5:$H$204),"")</f>
        <v/>
      </c>
      <c r="AE71" s="182" t="str">
        <f>IFERROR(LOOKUP(2,1/((D_Points!$A$5:$A$204&lt;&gt;"")*(D_Points!$A$5:$A$204&gt;=$B71)*(D_Points!$A$5:$A$204&lt;$B71+P_Interval)*(UPPER(TRIM(D_Points!$B$5:$B$204))="TURNOUT_R")*(D_Points!$H$5:$H$204&lt;&gt;"")),D_Points!$H$5:$H$204),"")</f>
        <v/>
      </c>
      <c r="AF71" s="181" t="str">
        <f>IFERROR(LOOKUP(2,1/((B_Drainage!$A$5:$A$204&lt;&gt;"")*(B_Drainage!$A$5:$A$204&lt;=$B71)*(B_Drainage!$B$5:$B$204&gt;$B71)*(B_Drainage!$M$5:$M$204&lt;&gt;"")),IF(UPPER(B_Drainage!$M$5:$M$204)="Y",1,"")),"")</f>
        <v/>
      </c>
      <c r="AG71" s="181" t="str">
        <f>IFERROR(LOOKUP(2,1/((B_Drainage!$A$5:$A$204&lt;&gt;"")*(B_Drainage!$A$5:$A$204&lt;=$B71)*(B_Drainage!$B$5:$B$204&gt;$B71)*(B_Drainage!$N$5:$N$204&lt;&gt;"")),IF(UPPER(B_Drainage!$N$5:$N$204)="Y",1,"")),"")</f>
        <v/>
      </c>
      <c r="AH71" s="181" t="str">
        <f t="shared" si="8"/>
        <v/>
      </c>
      <c r="AI71" s="181" t="str">
        <f t="shared" si="9"/>
        <v/>
      </c>
      <c r="AJ71" s="181" t="str">
        <f t="shared" si="10"/>
        <v/>
      </c>
      <c r="AK71" s="181" t="str">
        <f t="shared" si="11"/>
        <v/>
      </c>
      <c r="AL71" s="181" t="str">
        <f t="shared" si="12"/>
        <v/>
      </c>
      <c r="AM71" s="181" t="str">
        <f t="shared" si="13"/>
        <v/>
      </c>
      <c r="AN71" s="181" t="str">
        <f t="shared" si="14"/>
        <v/>
      </c>
      <c r="AO71" s="192" t="str">
        <f t="shared" si="15"/>
        <v/>
      </c>
      <c r="AQ71" t="str">
        <f>IFERROR(LOOKUP(2,1/((C_Pavement!$A$5:$A$204&lt;&gt;"")*(C_Pavement!$A$5:$A$204&lt;=$B71)*(C_Pavement!$B$5:$B$204&gt;$B71)*(C_Pavement!$C$5:$C$204&lt;&gt;"")),ROW(C_Pavement!$C$5:$C$204)-4),"")</f>
        <v/>
      </c>
      <c r="AR71" t="str">
        <f>IF($AQ71="","",UPPER(TRIM(INDEX(C_Pavement!$C$5:$C$204,$AQ71))))</f>
        <v/>
      </c>
      <c r="AS71" t="str">
        <f>IF($AR71="","",IFERROR(MATCH($AR71,E_Rules!$A$5:$A$9,0),""))</f>
        <v/>
      </c>
      <c r="AT71" t="str">
        <f>IF($AQ71="","",IF(INDEX(C_Pavement!$D$5:$D$204,$AQ71)&lt;&gt;"",UPPER(TRIM(INDEX(C_Pavement!$D$5:$D$204,$AQ71))),IF($AS71="","",INDEX(E_Rules!$C$5:$C$9,$AS71))))</f>
        <v/>
      </c>
      <c r="AU71" t="str">
        <f>IF($AQ71="","",IF(INDEX(C_Pavement!$E$5:$E$204,$AQ71)&lt;&gt;"",IF(INDEX(C_Pavement!$E$5:$E$204,$AQ71)="-","",INDEX(C_Pavement!$E$5:$E$204,$AQ71)),IF($AS71="","",INDEX(E_Rules!$D$5:$D$9,$AS71))))</f>
        <v/>
      </c>
      <c r="AV71" t="str">
        <f>IF($AQ71="","",IF(INDEX(C_Pavement!$F$5:$F$204,$AQ71)&lt;&gt;"",IF(INDEX(C_Pavement!$F$5:$F$204,$AQ71)="-","",INDEX(C_Pavement!$F$5:$F$204,$AQ71)),IF($AS71="","",INDEX(E_Rules!$E$5:$E$9,$AS71))))</f>
        <v/>
      </c>
      <c r="AW71" t="str">
        <f>IF($AQ71="","",IF(INDEX(C_Pavement!$G$5:$G$204,$AQ71)&lt;&gt;"",IF(INDEX(C_Pavement!$G$5:$G$204,$AQ71)="-","",INDEX(C_Pavement!$G$5:$G$204,$AQ71)),IF($AS71="","",INDEX(E_Rules!$F$5:$F$9,$AS71))))</f>
        <v/>
      </c>
      <c r="AX71" t="str">
        <f>IF($AQ71="","",IF(INDEX(C_Pavement!$H$5:$H$204,$AQ71)&lt;&gt;"",IF(INDEX(C_Pavement!$H$5:$H$204,$AQ71)="-","",INDEX(C_Pavement!$H$5:$H$204,$AQ71)),IF($AS71="","",INDEX(E_Rules!$G$5:$G$9,$AS71))))</f>
        <v/>
      </c>
      <c r="AY71" t="str">
        <f>IF($AQ71="","",IF(INDEX(C_Pavement!$I$5:$I$204,$AQ71)&lt;&gt;"",IF(INDEX(C_Pavement!$I$5:$I$204,$AQ71)="-","",INDEX(C_Pavement!$I$5:$I$204,$AQ71)),IF($AS71="","",INDEX(E_Rules!$H$5:$H$9,$AS71))))</f>
        <v/>
      </c>
    </row>
    <row r="72" spans="1:51" ht="15.75" customHeight="1" x14ac:dyDescent="0.3">
      <c r="A72" s="189">
        <v>67</v>
      </c>
      <c r="B72" s="180">
        <v>3300</v>
      </c>
      <c r="C72" s="180" t="s">
        <v>378</v>
      </c>
      <c r="D72" s="181" t="str">
        <f>IFERROR(LOOKUP(2,1/((A_Corridor!$A$5:$A$204&lt;&gt;"")*(A_Corridor!$A$5:$A$204&lt;=$B72)*(A_Corridor!$B$5:$B$204&gt;$B72)*(A_Corridor!$C$5:$C$204&lt;&gt;"")),IF(UPPER(A_Corridor!$C$5:$C$204)="Y",1,"")),"")</f>
        <v/>
      </c>
      <c r="E72" s="181" t="str">
        <f>IFERROR(LOOKUP(2,1/((A_Corridor!$A$5:$A$204&lt;&gt;"")*(A_Corridor!$A$5:$A$204&lt;=$B72)*(A_Corridor!$B$5:$B$204&gt;$B72)*(A_Corridor!$D$5:$D$204&lt;&gt;"")),IF(A_Corridor!$D$5:$D$204="-","",UPPER(A_Corridor!$D$5:$D$204))),"")</f>
        <v/>
      </c>
      <c r="F72" s="181" t="str">
        <f>IFERROR(LOOKUP(2,1/((A_Corridor!$A$5:$A$204&lt;&gt;"")*(A_Corridor!$A$5:$A$204&lt;=$B72)*(A_Corridor!$B$5:$B$204&gt;$B72)*(A_Corridor!$E$5:$E$204&lt;&gt;"")),IF(A_Corridor!$E$5:$E$204="-","",1)),"")</f>
        <v/>
      </c>
      <c r="G72" s="182" t="str">
        <f>IFERROR(LOOKUP(2,1/((A_Corridor!$A$5:$A$204&lt;&gt;"")*(A_Corridor!$A$5:$A$204&lt;=$B72)*(A_Corridor!$B$5:$B$204&gt;$B72)*(A_Corridor!$E$5:$E$204&lt;&gt;"")),IF(A_Corridor!$E$5:$E$204="-","",A_Corridor!$E$5:$E$204)),"")</f>
        <v/>
      </c>
      <c r="H72" s="182" t="str">
        <f>IFERROR(LOOKUP(2,1/((D_Points!$A$5:$A$204&lt;&gt;"")*(D_Points!$A$5:$A$204&gt;=$B72)*(D_Points!$A$5:$A$204&lt;$B72+P_Interval)*(UPPER(TRIM(D_Points!$B$5:$B$204))="GULLY")*(D_Points!$H$5:$H$204&lt;&gt;"")),D_Points!$H$5:$H$204),"")</f>
        <v/>
      </c>
      <c r="I72" s="181" t="str">
        <f>IFERROR(LOOKUP(2,1/((A_Corridor!$A$5:$A$204&lt;&gt;"")*(A_Corridor!$A$5:$A$204&lt;=$B72)*(A_Corridor!$B$5:$B$204&gt;$B72)*(A_Corridor!$F$5:$F$204&lt;&gt;"")),IF(A_Corridor!$F$5:$F$204="-","",1)),"")</f>
        <v/>
      </c>
      <c r="J72" s="182" t="str">
        <f>IFERROR(LOOKUP(2,1/((A_Corridor!$A$5:$A$204&lt;&gt;"")*(A_Corridor!$A$5:$A$204&lt;=$B72)*(A_Corridor!$B$5:$B$204&gt;$B72)*(A_Corridor!$F$5:$F$204&lt;&gt;"")),IF(A_Corridor!$F$5:$F$204="-","",A_Corridor!$F$5:$F$204)),"")</f>
        <v/>
      </c>
      <c r="K72" s="182" t="str">
        <f>IFERROR(LOOKUP(2,1/((A_Corridor!$A$5:$A$204&lt;&gt;"")*(A_Corridor!$A$5:$A$204&lt;=$B72)*(A_Corridor!$B$5:$B$204&gt;$B72)*(A_Corridor!$G$5:$G$204&lt;&gt;"")),IF(A_Corridor!$G$5:$G$204="-","",A_Corridor!$G$5:$G$204)),"")</f>
        <v/>
      </c>
      <c r="L72" s="181" t="str">
        <f>IFERROR(LOOKUP(2,1/((A_Corridor!$A$5:$A$204&lt;&gt;"")*(A_Corridor!$A$5:$A$204&lt;=$B72)*(A_Corridor!$B$5:$B$204&gt;$B72)*(A_Corridor!$H$5:$H$204&lt;&gt;"")),IF(A_Corridor!$H$5:$H$204="-","",1)),"")</f>
        <v/>
      </c>
      <c r="M72" s="182" t="str">
        <f>IFERROR(LOOKUP(2,1/((A_Corridor!$A$5:$A$204&lt;&gt;"")*(A_Corridor!$A$5:$A$204&lt;=$B72)*(A_Corridor!$B$5:$B$204&gt;$B72)*(A_Corridor!$H$5:$H$204&lt;&gt;"")),IF(A_Corridor!$H$5:$H$204="-","",A_Corridor!$H$5:$H$204)),"")</f>
        <v/>
      </c>
      <c r="N72" s="182" t="str">
        <f>IFERROR(LOOKUP(2,1/((A_Corridor!$A$5:$A$204&lt;&gt;"")*(A_Corridor!$A$5:$A$204&lt;=$B72)*(A_Corridor!$B$5:$B$204&gt;$B72)*(A_Corridor!$I$5:$I$204&lt;&gt;"")),IF(A_Corridor!$I$5:$I$204="-","",A_Corridor!$I$5:$I$204)),"")</f>
        <v/>
      </c>
      <c r="O72" s="182" t="str">
        <f>IFERROR(LOOKUP(2,1/((D_Points!$A$5:$A$204&lt;&gt;"")*(D_Points!$A$5:$A$204&gt;=$B72)*(D_Points!$A$5:$A$204&lt;$B72+P_Interval)*(UPPER(TRIM(D_Points!$B$5:$B$204))="PITCHING")*(D_Points!$H$5:$H$204&lt;&gt;"")),D_Points!$H$5:$H$204),"")</f>
        <v/>
      </c>
      <c r="P72" s="181" t="str">
        <f>IFERROR(LOOKUP(2,1/((B_Drainage!$A$5:$A$204&lt;&gt;"")*(B_Drainage!$A$5:$A$204&lt;=$B72)*(B_Drainage!$B$5:$B$204&gt;$B72)*(B_Drainage!$C$5:$C$204&lt;&gt;"")),IF(B_Drainage!$C$5:$C$204="-","",UPPER(B_Drainage!$C$5:$C$204))),"")</f>
        <v/>
      </c>
      <c r="Q72" s="181" t="str">
        <f>IFERROR(LOOKUP(2,1/((B_Drainage!$A$5:$A$204&lt;&gt;"")*(B_Drainage!$A$5:$A$204&lt;=$B72)*(B_Drainage!$B$5:$B$204&gt;$B72)*(B_Drainage!$D$5:$D$204&lt;&gt;"")),IF(B_Drainage!$D$5:$D$204="-","",UPPER(B_Drainage!$D$5:$D$204))),"")</f>
        <v/>
      </c>
      <c r="R72" s="182" t="str">
        <f>IFERROR(LOOKUP(2,1/((D_Points!$A$5:$A$204&lt;&gt;"")*(D_Points!$A$5:$A$204&gt;=$B72)*(D_Points!$A$5:$A$204&lt;$B72+P_Interval)*(RIGHT(UPPER(TRIM(D_Points!$B$5:$B$204)),8)="_CULVERT")),IF(LEFT(UPPER(TRIM(D_Points!$B$5:$B$204)),2)="EX",1,IF(LEFT(UPPER(TRIM(D_Points!$B$5:$B$204)),2)="PR",2,3))),"")</f>
        <v/>
      </c>
      <c r="S72" s="182" t="str">
        <f>IFERROR(LOOKUP(2,1/((D_Points!$A$5:$A$204&lt;&gt;"")*(D_Points!$A$5:$A$204&gt;=$B72)*(D_Points!$A$5:$A$204&lt;$B72+P_Interval)*(RIGHT(UPPER(TRIM(D_Points!$B$5:$B$204)),7)="_BRIDGE")),IF(LEFT(UPPER(TRIM(D_Points!$B$5:$B$204)),2)="EX",1,IF(LEFT(UPPER(TRIM(D_Points!$B$5:$B$204)),2)="PR",2,2))),"")</f>
        <v/>
      </c>
      <c r="T72" s="181" t="str">
        <f>IFERROR(LOOKUP(2,1/((B_Drainage!$A$5:$A$204&lt;&gt;"")*(B_Drainage!$A$5:$A$204&lt;=$B72)*(B_Drainage!$B$5:$B$204&gt;$B72)*(B_Drainage!$E$5:$E$204&lt;&gt;"")),IF(B_Drainage!$E$5:$E$204="-","",1)),"")</f>
        <v/>
      </c>
      <c r="U72" s="181" t="str">
        <f>IFERROR(LOOKUP(2,1/((B_Drainage!$A$5:$A$204&lt;&gt;"")*(B_Drainage!$A$5:$A$204&lt;=$B72)*(B_Drainage!$B$5:$B$204&gt;$B72)*(B_Drainage!$E$5:$E$204&lt;&gt;"")),IF(B_Drainage!$E$5:$E$204="-","",B_Drainage!$E$5:$E$204)),"")</f>
        <v/>
      </c>
      <c r="V72" s="181" t="str">
        <f>IFERROR(LOOKUP(2,1/((B_Drainage!$A$5:$A$204&lt;&gt;"")*(B_Drainage!$A$5:$A$204&lt;=$B72)*(B_Drainage!$B$5:$B$204&gt;$B72)*(B_Drainage!$F$5:$F$204&lt;&gt;"")),IF(B_Drainage!$F$5:$F$204="-","",1)),"")</f>
        <v/>
      </c>
      <c r="W72" s="181" t="str">
        <f>IFERROR(LOOKUP(2,1/((B_Drainage!$A$5:$A$204&lt;&gt;"")*(B_Drainage!$A$5:$A$204&lt;=$B72)*(B_Drainage!$B$5:$B$204&gt;$B72)*(B_Drainage!$F$5:$F$204&lt;&gt;"")),IF(B_Drainage!$F$5:$F$204="-","",B_Drainage!$F$5:$F$204)),"")</f>
        <v/>
      </c>
      <c r="X72" s="181" t="str">
        <f>IFERROR(LOOKUP(2,1/((B_Drainage!$A$5:$A$204&lt;&gt;"")*(B_Drainage!$A$5:$A$204&lt;=$B72)*(B_Drainage!$B$5:$B$204&gt;$B72)*(B_Drainage!$G$5:$G$204&lt;&gt;"")),IF(UPPER(B_Drainage!$G$5:$G$204)="Y",1,"")),"")</f>
        <v/>
      </c>
      <c r="Y72" s="181" t="str">
        <f>IFERROR(LOOKUP(2,1/((B_Drainage!$A$5:$A$204&lt;&gt;"")*(B_Drainage!$A$5:$A$204&lt;=$B72)*(B_Drainage!$B$5:$B$204&gt;$B72)*(B_Drainage!$H$5:$H$204&lt;&gt;"")),IF(UPPER(B_Drainage!$H$5:$H$204)="Y",1,"")),"")</f>
        <v/>
      </c>
      <c r="Z72" s="181" t="str">
        <f>IFERROR(LOOKUP(2,1/((B_Drainage!$A$5:$A$204&lt;&gt;"")*(B_Drainage!$A$5:$A$204&lt;=$B72)*(B_Drainage!$B$5:$B$204&gt;$B72)*(B_Drainage!$I$5:$I$204&lt;&gt;"")),IF(UPPER(B_Drainage!$I$5:$I$204)="Y",1,"")),"")</f>
        <v/>
      </c>
      <c r="AA72" s="181" t="str">
        <f>IFERROR(LOOKUP(2,1/((B_Drainage!$A$5:$A$204&lt;&gt;"")*(B_Drainage!$A$5:$A$204&lt;=$B72)*(B_Drainage!$B$5:$B$204&gt;$B72)*(B_Drainage!$J$5:$J$204&lt;&gt;"")),IF(UPPER(B_Drainage!$J$5:$J$204)="Y",1,"")),"")</f>
        <v/>
      </c>
      <c r="AB72" s="182" t="str">
        <f>IFERROR(LOOKUP(2,1/((B_Drainage!$A$5:$A$204&lt;&gt;"")*(B_Drainage!$A$5:$A$204&lt;=$B72)*(B_Drainage!$B$5:$B$204&gt;$B72)*(B_Drainage!$K$5:$K$204&lt;&gt;"")),IF(B_Drainage!$K$5:$K$204="-","",B_Drainage!$K$5:$K$204)),"")</f>
        <v/>
      </c>
      <c r="AC72" s="182" t="str">
        <f>IFERROR(LOOKUP(2,1/((B_Drainage!$A$5:$A$204&lt;&gt;"")*(B_Drainage!$A$5:$A$204&lt;=$B72)*(B_Drainage!$B$5:$B$204&gt;$B72)*(B_Drainage!$L$5:$L$204&lt;&gt;"")),IF(B_Drainage!$L$5:$L$204="-","",B_Drainage!$L$5:$L$204)),"")</f>
        <v/>
      </c>
      <c r="AD72" s="182" t="str">
        <f>IFERROR(LOOKUP(2,1/((D_Points!$A$5:$A$204&lt;&gt;"")*(D_Points!$A$5:$A$204&gt;=$B72)*(D_Points!$A$5:$A$204&lt;$B72+P_Interval)*(UPPER(TRIM(D_Points!$B$5:$B$204))="TURNOUT_L")*(D_Points!$H$5:$H$204&lt;&gt;"")),D_Points!$H$5:$H$204),"")</f>
        <v/>
      </c>
      <c r="AE72" s="182" t="str">
        <f>IFERROR(LOOKUP(2,1/((D_Points!$A$5:$A$204&lt;&gt;"")*(D_Points!$A$5:$A$204&gt;=$B72)*(D_Points!$A$5:$A$204&lt;$B72+P_Interval)*(UPPER(TRIM(D_Points!$B$5:$B$204))="TURNOUT_R")*(D_Points!$H$5:$H$204&lt;&gt;"")),D_Points!$H$5:$H$204),"")</f>
        <v/>
      </c>
      <c r="AF72" s="181" t="str">
        <f>IFERROR(LOOKUP(2,1/((B_Drainage!$A$5:$A$204&lt;&gt;"")*(B_Drainage!$A$5:$A$204&lt;=$B72)*(B_Drainage!$B$5:$B$204&gt;$B72)*(B_Drainage!$M$5:$M$204&lt;&gt;"")),IF(UPPER(B_Drainage!$M$5:$M$204)="Y",1,"")),"")</f>
        <v/>
      </c>
      <c r="AG72" s="181" t="str">
        <f>IFERROR(LOOKUP(2,1/((B_Drainage!$A$5:$A$204&lt;&gt;"")*(B_Drainage!$A$5:$A$204&lt;=$B72)*(B_Drainage!$B$5:$B$204&gt;$B72)*(B_Drainage!$N$5:$N$204&lt;&gt;"")),IF(UPPER(B_Drainage!$N$5:$N$204)="Y",1,"")),"")</f>
        <v/>
      </c>
      <c r="AH72" s="181" t="str">
        <f t="shared" si="8"/>
        <v/>
      </c>
      <c r="AI72" s="181" t="str">
        <f t="shared" si="9"/>
        <v/>
      </c>
      <c r="AJ72" s="181" t="str">
        <f t="shared" si="10"/>
        <v/>
      </c>
      <c r="AK72" s="181" t="str">
        <f t="shared" si="11"/>
        <v/>
      </c>
      <c r="AL72" s="181" t="str">
        <f t="shared" si="12"/>
        <v/>
      </c>
      <c r="AM72" s="181" t="str">
        <f t="shared" si="13"/>
        <v/>
      </c>
      <c r="AN72" s="181" t="str">
        <f t="shared" si="14"/>
        <v/>
      </c>
      <c r="AO72" s="192" t="str">
        <f t="shared" si="15"/>
        <v/>
      </c>
      <c r="AQ72" t="str">
        <f>IFERROR(LOOKUP(2,1/((C_Pavement!$A$5:$A$204&lt;&gt;"")*(C_Pavement!$A$5:$A$204&lt;=$B72)*(C_Pavement!$B$5:$B$204&gt;$B72)*(C_Pavement!$C$5:$C$204&lt;&gt;"")),ROW(C_Pavement!$C$5:$C$204)-4),"")</f>
        <v/>
      </c>
      <c r="AR72" t="str">
        <f>IF($AQ72="","",UPPER(TRIM(INDEX(C_Pavement!$C$5:$C$204,$AQ72))))</f>
        <v/>
      </c>
      <c r="AS72" t="str">
        <f>IF($AR72="","",IFERROR(MATCH($AR72,E_Rules!$A$5:$A$9,0),""))</f>
        <v/>
      </c>
      <c r="AT72" t="str">
        <f>IF($AQ72="","",IF(INDEX(C_Pavement!$D$5:$D$204,$AQ72)&lt;&gt;"",UPPER(TRIM(INDEX(C_Pavement!$D$5:$D$204,$AQ72))),IF($AS72="","",INDEX(E_Rules!$C$5:$C$9,$AS72))))</f>
        <v/>
      </c>
      <c r="AU72" t="str">
        <f>IF($AQ72="","",IF(INDEX(C_Pavement!$E$5:$E$204,$AQ72)&lt;&gt;"",IF(INDEX(C_Pavement!$E$5:$E$204,$AQ72)="-","",INDEX(C_Pavement!$E$5:$E$204,$AQ72)),IF($AS72="","",INDEX(E_Rules!$D$5:$D$9,$AS72))))</f>
        <v/>
      </c>
      <c r="AV72" t="str">
        <f>IF($AQ72="","",IF(INDEX(C_Pavement!$F$5:$F$204,$AQ72)&lt;&gt;"",IF(INDEX(C_Pavement!$F$5:$F$204,$AQ72)="-","",INDEX(C_Pavement!$F$5:$F$204,$AQ72)),IF($AS72="","",INDEX(E_Rules!$E$5:$E$9,$AS72))))</f>
        <v/>
      </c>
      <c r="AW72" t="str">
        <f>IF($AQ72="","",IF(INDEX(C_Pavement!$G$5:$G$204,$AQ72)&lt;&gt;"",IF(INDEX(C_Pavement!$G$5:$G$204,$AQ72)="-","",INDEX(C_Pavement!$G$5:$G$204,$AQ72)),IF($AS72="","",INDEX(E_Rules!$F$5:$F$9,$AS72))))</f>
        <v/>
      </c>
      <c r="AX72" t="str">
        <f>IF($AQ72="","",IF(INDEX(C_Pavement!$H$5:$H$204,$AQ72)&lt;&gt;"",IF(INDEX(C_Pavement!$H$5:$H$204,$AQ72)="-","",INDEX(C_Pavement!$H$5:$H$204,$AQ72)),IF($AS72="","",INDEX(E_Rules!$G$5:$G$9,$AS72))))</f>
        <v/>
      </c>
      <c r="AY72" t="str">
        <f>IF($AQ72="","",IF(INDEX(C_Pavement!$I$5:$I$204,$AQ72)&lt;&gt;"",IF(INDEX(C_Pavement!$I$5:$I$204,$AQ72)="-","",INDEX(C_Pavement!$I$5:$I$204,$AQ72)),IF($AS72="","",INDEX(E_Rules!$H$5:$H$9,$AS72))))</f>
        <v/>
      </c>
    </row>
    <row r="73" spans="1:51" ht="15.75" customHeight="1" x14ac:dyDescent="0.3">
      <c r="A73" s="189">
        <v>68</v>
      </c>
      <c r="B73" s="180">
        <v>3350</v>
      </c>
      <c r="C73" s="180" t="s">
        <v>379</v>
      </c>
      <c r="D73" s="181" t="str">
        <f>IFERROR(LOOKUP(2,1/((A_Corridor!$A$5:$A$204&lt;&gt;"")*(A_Corridor!$A$5:$A$204&lt;=$B73)*(A_Corridor!$B$5:$B$204&gt;$B73)*(A_Corridor!$C$5:$C$204&lt;&gt;"")),IF(UPPER(A_Corridor!$C$5:$C$204)="Y",1,"")),"")</f>
        <v/>
      </c>
      <c r="E73" s="181" t="str">
        <f>IFERROR(LOOKUP(2,1/((A_Corridor!$A$5:$A$204&lt;&gt;"")*(A_Corridor!$A$5:$A$204&lt;=$B73)*(A_Corridor!$B$5:$B$204&gt;$B73)*(A_Corridor!$D$5:$D$204&lt;&gt;"")),IF(A_Corridor!$D$5:$D$204="-","",UPPER(A_Corridor!$D$5:$D$204))),"")</f>
        <v/>
      </c>
      <c r="F73" s="181" t="str">
        <f>IFERROR(LOOKUP(2,1/((A_Corridor!$A$5:$A$204&lt;&gt;"")*(A_Corridor!$A$5:$A$204&lt;=$B73)*(A_Corridor!$B$5:$B$204&gt;$B73)*(A_Corridor!$E$5:$E$204&lt;&gt;"")),IF(A_Corridor!$E$5:$E$204="-","",1)),"")</f>
        <v/>
      </c>
      <c r="G73" s="182" t="str">
        <f>IFERROR(LOOKUP(2,1/((A_Corridor!$A$5:$A$204&lt;&gt;"")*(A_Corridor!$A$5:$A$204&lt;=$B73)*(A_Corridor!$B$5:$B$204&gt;$B73)*(A_Corridor!$E$5:$E$204&lt;&gt;"")),IF(A_Corridor!$E$5:$E$204="-","",A_Corridor!$E$5:$E$204)),"")</f>
        <v/>
      </c>
      <c r="H73" s="182" t="str">
        <f>IFERROR(LOOKUP(2,1/((D_Points!$A$5:$A$204&lt;&gt;"")*(D_Points!$A$5:$A$204&gt;=$B73)*(D_Points!$A$5:$A$204&lt;$B73+P_Interval)*(UPPER(TRIM(D_Points!$B$5:$B$204))="GULLY")*(D_Points!$H$5:$H$204&lt;&gt;"")),D_Points!$H$5:$H$204),"")</f>
        <v/>
      </c>
      <c r="I73" s="181" t="str">
        <f>IFERROR(LOOKUP(2,1/((A_Corridor!$A$5:$A$204&lt;&gt;"")*(A_Corridor!$A$5:$A$204&lt;=$B73)*(A_Corridor!$B$5:$B$204&gt;$B73)*(A_Corridor!$F$5:$F$204&lt;&gt;"")),IF(A_Corridor!$F$5:$F$204="-","",1)),"")</f>
        <v/>
      </c>
      <c r="J73" s="182" t="str">
        <f>IFERROR(LOOKUP(2,1/((A_Corridor!$A$5:$A$204&lt;&gt;"")*(A_Corridor!$A$5:$A$204&lt;=$B73)*(A_Corridor!$B$5:$B$204&gt;$B73)*(A_Corridor!$F$5:$F$204&lt;&gt;"")),IF(A_Corridor!$F$5:$F$204="-","",A_Corridor!$F$5:$F$204)),"")</f>
        <v/>
      </c>
      <c r="K73" s="182" t="str">
        <f>IFERROR(LOOKUP(2,1/((A_Corridor!$A$5:$A$204&lt;&gt;"")*(A_Corridor!$A$5:$A$204&lt;=$B73)*(A_Corridor!$B$5:$B$204&gt;$B73)*(A_Corridor!$G$5:$G$204&lt;&gt;"")),IF(A_Corridor!$G$5:$G$204="-","",A_Corridor!$G$5:$G$204)),"")</f>
        <v/>
      </c>
      <c r="L73" s="181" t="str">
        <f>IFERROR(LOOKUP(2,1/((A_Corridor!$A$5:$A$204&lt;&gt;"")*(A_Corridor!$A$5:$A$204&lt;=$B73)*(A_Corridor!$B$5:$B$204&gt;$B73)*(A_Corridor!$H$5:$H$204&lt;&gt;"")),IF(A_Corridor!$H$5:$H$204="-","",1)),"")</f>
        <v/>
      </c>
      <c r="M73" s="182" t="str">
        <f>IFERROR(LOOKUP(2,1/((A_Corridor!$A$5:$A$204&lt;&gt;"")*(A_Corridor!$A$5:$A$204&lt;=$B73)*(A_Corridor!$B$5:$B$204&gt;$B73)*(A_Corridor!$H$5:$H$204&lt;&gt;"")),IF(A_Corridor!$H$5:$H$204="-","",A_Corridor!$H$5:$H$204)),"")</f>
        <v/>
      </c>
      <c r="N73" s="182" t="str">
        <f>IFERROR(LOOKUP(2,1/((A_Corridor!$A$5:$A$204&lt;&gt;"")*(A_Corridor!$A$5:$A$204&lt;=$B73)*(A_Corridor!$B$5:$B$204&gt;$B73)*(A_Corridor!$I$5:$I$204&lt;&gt;"")),IF(A_Corridor!$I$5:$I$204="-","",A_Corridor!$I$5:$I$204)),"")</f>
        <v/>
      </c>
      <c r="O73" s="182" t="str">
        <f>IFERROR(LOOKUP(2,1/((D_Points!$A$5:$A$204&lt;&gt;"")*(D_Points!$A$5:$A$204&gt;=$B73)*(D_Points!$A$5:$A$204&lt;$B73+P_Interval)*(UPPER(TRIM(D_Points!$B$5:$B$204))="PITCHING")*(D_Points!$H$5:$H$204&lt;&gt;"")),D_Points!$H$5:$H$204),"")</f>
        <v/>
      </c>
      <c r="P73" s="181" t="str">
        <f>IFERROR(LOOKUP(2,1/((B_Drainage!$A$5:$A$204&lt;&gt;"")*(B_Drainage!$A$5:$A$204&lt;=$B73)*(B_Drainage!$B$5:$B$204&gt;$B73)*(B_Drainage!$C$5:$C$204&lt;&gt;"")),IF(B_Drainage!$C$5:$C$204="-","",UPPER(B_Drainage!$C$5:$C$204))),"")</f>
        <v/>
      </c>
      <c r="Q73" s="181" t="str">
        <f>IFERROR(LOOKUP(2,1/((B_Drainage!$A$5:$A$204&lt;&gt;"")*(B_Drainage!$A$5:$A$204&lt;=$B73)*(B_Drainage!$B$5:$B$204&gt;$B73)*(B_Drainage!$D$5:$D$204&lt;&gt;"")),IF(B_Drainage!$D$5:$D$204="-","",UPPER(B_Drainage!$D$5:$D$204))),"")</f>
        <v/>
      </c>
      <c r="R73" s="182" t="str">
        <f>IFERROR(LOOKUP(2,1/((D_Points!$A$5:$A$204&lt;&gt;"")*(D_Points!$A$5:$A$204&gt;=$B73)*(D_Points!$A$5:$A$204&lt;$B73+P_Interval)*(RIGHT(UPPER(TRIM(D_Points!$B$5:$B$204)),8)="_CULVERT")),IF(LEFT(UPPER(TRIM(D_Points!$B$5:$B$204)),2)="EX",1,IF(LEFT(UPPER(TRIM(D_Points!$B$5:$B$204)),2)="PR",2,3))),"")</f>
        <v/>
      </c>
      <c r="S73" s="182" t="str">
        <f>IFERROR(LOOKUP(2,1/((D_Points!$A$5:$A$204&lt;&gt;"")*(D_Points!$A$5:$A$204&gt;=$B73)*(D_Points!$A$5:$A$204&lt;$B73+P_Interval)*(RIGHT(UPPER(TRIM(D_Points!$B$5:$B$204)),7)="_BRIDGE")),IF(LEFT(UPPER(TRIM(D_Points!$B$5:$B$204)),2)="EX",1,IF(LEFT(UPPER(TRIM(D_Points!$B$5:$B$204)),2)="PR",2,2))),"")</f>
        <v/>
      </c>
      <c r="T73" s="181" t="str">
        <f>IFERROR(LOOKUP(2,1/((B_Drainage!$A$5:$A$204&lt;&gt;"")*(B_Drainage!$A$5:$A$204&lt;=$B73)*(B_Drainage!$B$5:$B$204&gt;$B73)*(B_Drainage!$E$5:$E$204&lt;&gt;"")),IF(B_Drainage!$E$5:$E$204="-","",1)),"")</f>
        <v/>
      </c>
      <c r="U73" s="181" t="str">
        <f>IFERROR(LOOKUP(2,1/((B_Drainage!$A$5:$A$204&lt;&gt;"")*(B_Drainage!$A$5:$A$204&lt;=$B73)*(B_Drainage!$B$5:$B$204&gt;$B73)*(B_Drainage!$E$5:$E$204&lt;&gt;"")),IF(B_Drainage!$E$5:$E$204="-","",B_Drainage!$E$5:$E$204)),"")</f>
        <v/>
      </c>
      <c r="V73" s="181" t="str">
        <f>IFERROR(LOOKUP(2,1/((B_Drainage!$A$5:$A$204&lt;&gt;"")*(B_Drainage!$A$5:$A$204&lt;=$B73)*(B_Drainage!$B$5:$B$204&gt;$B73)*(B_Drainage!$F$5:$F$204&lt;&gt;"")),IF(B_Drainage!$F$5:$F$204="-","",1)),"")</f>
        <v/>
      </c>
      <c r="W73" s="181" t="str">
        <f>IFERROR(LOOKUP(2,1/((B_Drainage!$A$5:$A$204&lt;&gt;"")*(B_Drainage!$A$5:$A$204&lt;=$B73)*(B_Drainage!$B$5:$B$204&gt;$B73)*(B_Drainage!$F$5:$F$204&lt;&gt;"")),IF(B_Drainage!$F$5:$F$204="-","",B_Drainage!$F$5:$F$204)),"")</f>
        <v/>
      </c>
      <c r="X73" s="181" t="str">
        <f>IFERROR(LOOKUP(2,1/((B_Drainage!$A$5:$A$204&lt;&gt;"")*(B_Drainage!$A$5:$A$204&lt;=$B73)*(B_Drainage!$B$5:$B$204&gt;$B73)*(B_Drainage!$G$5:$G$204&lt;&gt;"")),IF(UPPER(B_Drainage!$G$5:$G$204)="Y",1,"")),"")</f>
        <v/>
      </c>
      <c r="Y73" s="181" t="str">
        <f>IFERROR(LOOKUP(2,1/((B_Drainage!$A$5:$A$204&lt;&gt;"")*(B_Drainage!$A$5:$A$204&lt;=$B73)*(B_Drainage!$B$5:$B$204&gt;$B73)*(B_Drainage!$H$5:$H$204&lt;&gt;"")),IF(UPPER(B_Drainage!$H$5:$H$204)="Y",1,"")),"")</f>
        <v/>
      </c>
      <c r="Z73" s="181" t="str">
        <f>IFERROR(LOOKUP(2,1/((B_Drainage!$A$5:$A$204&lt;&gt;"")*(B_Drainage!$A$5:$A$204&lt;=$B73)*(B_Drainage!$B$5:$B$204&gt;$B73)*(B_Drainage!$I$5:$I$204&lt;&gt;"")),IF(UPPER(B_Drainage!$I$5:$I$204)="Y",1,"")),"")</f>
        <v/>
      </c>
      <c r="AA73" s="181" t="str">
        <f>IFERROR(LOOKUP(2,1/((B_Drainage!$A$5:$A$204&lt;&gt;"")*(B_Drainage!$A$5:$A$204&lt;=$B73)*(B_Drainage!$B$5:$B$204&gt;$B73)*(B_Drainage!$J$5:$J$204&lt;&gt;"")),IF(UPPER(B_Drainage!$J$5:$J$204)="Y",1,"")),"")</f>
        <v/>
      </c>
      <c r="AB73" s="182" t="str">
        <f>IFERROR(LOOKUP(2,1/((B_Drainage!$A$5:$A$204&lt;&gt;"")*(B_Drainage!$A$5:$A$204&lt;=$B73)*(B_Drainage!$B$5:$B$204&gt;$B73)*(B_Drainage!$K$5:$K$204&lt;&gt;"")),IF(B_Drainage!$K$5:$K$204="-","",B_Drainage!$K$5:$K$204)),"")</f>
        <v/>
      </c>
      <c r="AC73" s="182" t="str">
        <f>IFERROR(LOOKUP(2,1/((B_Drainage!$A$5:$A$204&lt;&gt;"")*(B_Drainage!$A$5:$A$204&lt;=$B73)*(B_Drainage!$B$5:$B$204&gt;$B73)*(B_Drainage!$L$5:$L$204&lt;&gt;"")),IF(B_Drainage!$L$5:$L$204="-","",B_Drainage!$L$5:$L$204)),"")</f>
        <v/>
      </c>
      <c r="AD73" s="182" t="str">
        <f>IFERROR(LOOKUP(2,1/((D_Points!$A$5:$A$204&lt;&gt;"")*(D_Points!$A$5:$A$204&gt;=$B73)*(D_Points!$A$5:$A$204&lt;$B73+P_Interval)*(UPPER(TRIM(D_Points!$B$5:$B$204))="TURNOUT_L")*(D_Points!$H$5:$H$204&lt;&gt;"")),D_Points!$H$5:$H$204),"")</f>
        <v/>
      </c>
      <c r="AE73" s="182" t="str">
        <f>IFERROR(LOOKUP(2,1/((D_Points!$A$5:$A$204&lt;&gt;"")*(D_Points!$A$5:$A$204&gt;=$B73)*(D_Points!$A$5:$A$204&lt;$B73+P_Interval)*(UPPER(TRIM(D_Points!$B$5:$B$204))="TURNOUT_R")*(D_Points!$H$5:$H$204&lt;&gt;"")),D_Points!$H$5:$H$204),"")</f>
        <v/>
      </c>
      <c r="AF73" s="181" t="str">
        <f>IFERROR(LOOKUP(2,1/((B_Drainage!$A$5:$A$204&lt;&gt;"")*(B_Drainage!$A$5:$A$204&lt;=$B73)*(B_Drainage!$B$5:$B$204&gt;$B73)*(B_Drainage!$M$5:$M$204&lt;&gt;"")),IF(UPPER(B_Drainage!$M$5:$M$204)="Y",1,"")),"")</f>
        <v/>
      </c>
      <c r="AG73" s="181" t="str">
        <f>IFERROR(LOOKUP(2,1/((B_Drainage!$A$5:$A$204&lt;&gt;"")*(B_Drainage!$A$5:$A$204&lt;=$B73)*(B_Drainage!$B$5:$B$204&gt;$B73)*(B_Drainage!$N$5:$N$204&lt;&gt;"")),IF(UPPER(B_Drainage!$N$5:$N$204)="Y",1,"")),"")</f>
        <v/>
      </c>
      <c r="AH73" s="181" t="str">
        <f t="shared" si="8"/>
        <v/>
      </c>
      <c r="AI73" s="181" t="str">
        <f t="shared" si="9"/>
        <v/>
      </c>
      <c r="AJ73" s="181" t="str">
        <f t="shared" si="10"/>
        <v/>
      </c>
      <c r="AK73" s="181" t="str">
        <f t="shared" si="11"/>
        <v/>
      </c>
      <c r="AL73" s="181" t="str">
        <f t="shared" si="12"/>
        <v/>
      </c>
      <c r="AM73" s="181" t="str">
        <f t="shared" si="13"/>
        <v/>
      </c>
      <c r="AN73" s="181" t="str">
        <f t="shared" si="14"/>
        <v/>
      </c>
      <c r="AO73" s="192" t="str">
        <f t="shared" si="15"/>
        <v/>
      </c>
      <c r="AQ73" t="str">
        <f>IFERROR(LOOKUP(2,1/((C_Pavement!$A$5:$A$204&lt;&gt;"")*(C_Pavement!$A$5:$A$204&lt;=$B73)*(C_Pavement!$B$5:$B$204&gt;$B73)*(C_Pavement!$C$5:$C$204&lt;&gt;"")),ROW(C_Pavement!$C$5:$C$204)-4),"")</f>
        <v/>
      </c>
      <c r="AR73" t="str">
        <f>IF($AQ73="","",UPPER(TRIM(INDEX(C_Pavement!$C$5:$C$204,$AQ73))))</f>
        <v/>
      </c>
      <c r="AS73" t="str">
        <f>IF($AR73="","",IFERROR(MATCH($AR73,E_Rules!$A$5:$A$9,0),""))</f>
        <v/>
      </c>
      <c r="AT73" t="str">
        <f>IF($AQ73="","",IF(INDEX(C_Pavement!$D$5:$D$204,$AQ73)&lt;&gt;"",UPPER(TRIM(INDEX(C_Pavement!$D$5:$D$204,$AQ73))),IF($AS73="","",INDEX(E_Rules!$C$5:$C$9,$AS73))))</f>
        <v/>
      </c>
      <c r="AU73" t="str">
        <f>IF($AQ73="","",IF(INDEX(C_Pavement!$E$5:$E$204,$AQ73)&lt;&gt;"",IF(INDEX(C_Pavement!$E$5:$E$204,$AQ73)="-","",INDEX(C_Pavement!$E$5:$E$204,$AQ73)),IF($AS73="","",INDEX(E_Rules!$D$5:$D$9,$AS73))))</f>
        <v/>
      </c>
      <c r="AV73" t="str">
        <f>IF($AQ73="","",IF(INDEX(C_Pavement!$F$5:$F$204,$AQ73)&lt;&gt;"",IF(INDEX(C_Pavement!$F$5:$F$204,$AQ73)="-","",INDEX(C_Pavement!$F$5:$F$204,$AQ73)),IF($AS73="","",INDEX(E_Rules!$E$5:$E$9,$AS73))))</f>
        <v/>
      </c>
      <c r="AW73" t="str">
        <f>IF($AQ73="","",IF(INDEX(C_Pavement!$G$5:$G$204,$AQ73)&lt;&gt;"",IF(INDEX(C_Pavement!$G$5:$G$204,$AQ73)="-","",INDEX(C_Pavement!$G$5:$G$204,$AQ73)),IF($AS73="","",INDEX(E_Rules!$F$5:$F$9,$AS73))))</f>
        <v/>
      </c>
      <c r="AX73" t="str">
        <f>IF($AQ73="","",IF(INDEX(C_Pavement!$H$5:$H$204,$AQ73)&lt;&gt;"",IF(INDEX(C_Pavement!$H$5:$H$204,$AQ73)="-","",INDEX(C_Pavement!$H$5:$H$204,$AQ73)),IF($AS73="","",INDEX(E_Rules!$G$5:$G$9,$AS73))))</f>
        <v/>
      </c>
      <c r="AY73" t="str">
        <f>IF($AQ73="","",IF(INDEX(C_Pavement!$I$5:$I$204,$AQ73)&lt;&gt;"",IF(INDEX(C_Pavement!$I$5:$I$204,$AQ73)="-","",INDEX(C_Pavement!$I$5:$I$204,$AQ73)),IF($AS73="","",INDEX(E_Rules!$H$5:$H$9,$AS73))))</f>
        <v/>
      </c>
    </row>
    <row r="74" spans="1:51" ht="15.75" customHeight="1" x14ac:dyDescent="0.3">
      <c r="A74" s="189">
        <v>69</v>
      </c>
      <c r="B74" s="180">
        <v>3400</v>
      </c>
      <c r="C74" s="180" t="s">
        <v>380</v>
      </c>
      <c r="D74" s="181" t="str">
        <f>IFERROR(LOOKUP(2,1/((A_Corridor!$A$5:$A$204&lt;&gt;"")*(A_Corridor!$A$5:$A$204&lt;=$B74)*(A_Corridor!$B$5:$B$204&gt;$B74)*(A_Corridor!$C$5:$C$204&lt;&gt;"")),IF(UPPER(A_Corridor!$C$5:$C$204)="Y",1,"")),"")</f>
        <v/>
      </c>
      <c r="E74" s="181" t="str">
        <f>IFERROR(LOOKUP(2,1/((A_Corridor!$A$5:$A$204&lt;&gt;"")*(A_Corridor!$A$5:$A$204&lt;=$B74)*(A_Corridor!$B$5:$B$204&gt;$B74)*(A_Corridor!$D$5:$D$204&lt;&gt;"")),IF(A_Corridor!$D$5:$D$204="-","",UPPER(A_Corridor!$D$5:$D$204))),"")</f>
        <v/>
      </c>
      <c r="F74" s="181" t="str">
        <f>IFERROR(LOOKUP(2,1/((A_Corridor!$A$5:$A$204&lt;&gt;"")*(A_Corridor!$A$5:$A$204&lt;=$B74)*(A_Corridor!$B$5:$B$204&gt;$B74)*(A_Corridor!$E$5:$E$204&lt;&gt;"")),IF(A_Corridor!$E$5:$E$204="-","",1)),"")</f>
        <v/>
      </c>
      <c r="G74" s="182" t="str">
        <f>IFERROR(LOOKUP(2,1/((A_Corridor!$A$5:$A$204&lt;&gt;"")*(A_Corridor!$A$5:$A$204&lt;=$B74)*(A_Corridor!$B$5:$B$204&gt;$B74)*(A_Corridor!$E$5:$E$204&lt;&gt;"")),IF(A_Corridor!$E$5:$E$204="-","",A_Corridor!$E$5:$E$204)),"")</f>
        <v/>
      </c>
      <c r="H74" s="182" t="str">
        <f>IFERROR(LOOKUP(2,1/((D_Points!$A$5:$A$204&lt;&gt;"")*(D_Points!$A$5:$A$204&gt;=$B74)*(D_Points!$A$5:$A$204&lt;$B74+P_Interval)*(UPPER(TRIM(D_Points!$B$5:$B$204))="GULLY")*(D_Points!$H$5:$H$204&lt;&gt;"")),D_Points!$H$5:$H$204),"")</f>
        <v/>
      </c>
      <c r="I74" s="181" t="str">
        <f>IFERROR(LOOKUP(2,1/((A_Corridor!$A$5:$A$204&lt;&gt;"")*(A_Corridor!$A$5:$A$204&lt;=$B74)*(A_Corridor!$B$5:$B$204&gt;$B74)*(A_Corridor!$F$5:$F$204&lt;&gt;"")),IF(A_Corridor!$F$5:$F$204="-","",1)),"")</f>
        <v/>
      </c>
      <c r="J74" s="182" t="str">
        <f>IFERROR(LOOKUP(2,1/((A_Corridor!$A$5:$A$204&lt;&gt;"")*(A_Corridor!$A$5:$A$204&lt;=$B74)*(A_Corridor!$B$5:$B$204&gt;$B74)*(A_Corridor!$F$5:$F$204&lt;&gt;"")),IF(A_Corridor!$F$5:$F$204="-","",A_Corridor!$F$5:$F$204)),"")</f>
        <v/>
      </c>
      <c r="K74" s="182" t="str">
        <f>IFERROR(LOOKUP(2,1/((A_Corridor!$A$5:$A$204&lt;&gt;"")*(A_Corridor!$A$5:$A$204&lt;=$B74)*(A_Corridor!$B$5:$B$204&gt;$B74)*(A_Corridor!$G$5:$G$204&lt;&gt;"")),IF(A_Corridor!$G$5:$G$204="-","",A_Corridor!$G$5:$G$204)),"")</f>
        <v/>
      </c>
      <c r="L74" s="181" t="str">
        <f>IFERROR(LOOKUP(2,1/((A_Corridor!$A$5:$A$204&lt;&gt;"")*(A_Corridor!$A$5:$A$204&lt;=$B74)*(A_Corridor!$B$5:$B$204&gt;$B74)*(A_Corridor!$H$5:$H$204&lt;&gt;"")),IF(A_Corridor!$H$5:$H$204="-","",1)),"")</f>
        <v/>
      </c>
      <c r="M74" s="182" t="str">
        <f>IFERROR(LOOKUP(2,1/((A_Corridor!$A$5:$A$204&lt;&gt;"")*(A_Corridor!$A$5:$A$204&lt;=$B74)*(A_Corridor!$B$5:$B$204&gt;$B74)*(A_Corridor!$H$5:$H$204&lt;&gt;"")),IF(A_Corridor!$H$5:$H$204="-","",A_Corridor!$H$5:$H$204)),"")</f>
        <v/>
      </c>
      <c r="N74" s="182" t="str">
        <f>IFERROR(LOOKUP(2,1/((A_Corridor!$A$5:$A$204&lt;&gt;"")*(A_Corridor!$A$5:$A$204&lt;=$B74)*(A_Corridor!$B$5:$B$204&gt;$B74)*(A_Corridor!$I$5:$I$204&lt;&gt;"")),IF(A_Corridor!$I$5:$I$204="-","",A_Corridor!$I$5:$I$204)),"")</f>
        <v/>
      </c>
      <c r="O74" s="182" t="str">
        <f>IFERROR(LOOKUP(2,1/((D_Points!$A$5:$A$204&lt;&gt;"")*(D_Points!$A$5:$A$204&gt;=$B74)*(D_Points!$A$5:$A$204&lt;$B74+P_Interval)*(UPPER(TRIM(D_Points!$B$5:$B$204))="PITCHING")*(D_Points!$H$5:$H$204&lt;&gt;"")),D_Points!$H$5:$H$204),"")</f>
        <v/>
      </c>
      <c r="P74" s="181" t="str">
        <f>IFERROR(LOOKUP(2,1/((B_Drainage!$A$5:$A$204&lt;&gt;"")*(B_Drainage!$A$5:$A$204&lt;=$B74)*(B_Drainage!$B$5:$B$204&gt;$B74)*(B_Drainage!$C$5:$C$204&lt;&gt;"")),IF(B_Drainage!$C$5:$C$204="-","",UPPER(B_Drainage!$C$5:$C$204))),"")</f>
        <v/>
      </c>
      <c r="Q74" s="181" t="str">
        <f>IFERROR(LOOKUP(2,1/((B_Drainage!$A$5:$A$204&lt;&gt;"")*(B_Drainage!$A$5:$A$204&lt;=$B74)*(B_Drainage!$B$5:$B$204&gt;$B74)*(B_Drainage!$D$5:$D$204&lt;&gt;"")),IF(B_Drainage!$D$5:$D$204="-","",UPPER(B_Drainage!$D$5:$D$204))),"")</f>
        <v/>
      </c>
      <c r="R74" s="182" t="str">
        <f>IFERROR(LOOKUP(2,1/((D_Points!$A$5:$A$204&lt;&gt;"")*(D_Points!$A$5:$A$204&gt;=$B74)*(D_Points!$A$5:$A$204&lt;$B74+P_Interval)*(RIGHT(UPPER(TRIM(D_Points!$B$5:$B$204)),8)="_CULVERT")),IF(LEFT(UPPER(TRIM(D_Points!$B$5:$B$204)),2)="EX",1,IF(LEFT(UPPER(TRIM(D_Points!$B$5:$B$204)),2)="PR",2,3))),"")</f>
        <v/>
      </c>
      <c r="S74" s="182" t="str">
        <f>IFERROR(LOOKUP(2,1/((D_Points!$A$5:$A$204&lt;&gt;"")*(D_Points!$A$5:$A$204&gt;=$B74)*(D_Points!$A$5:$A$204&lt;$B74+P_Interval)*(RIGHT(UPPER(TRIM(D_Points!$B$5:$B$204)),7)="_BRIDGE")),IF(LEFT(UPPER(TRIM(D_Points!$B$5:$B$204)),2)="EX",1,IF(LEFT(UPPER(TRIM(D_Points!$B$5:$B$204)),2)="PR",2,2))),"")</f>
        <v/>
      </c>
      <c r="T74" s="181" t="str">
        <f>IFERROR(LOOKUP(2,1/((B_Drainage!$A$5:$A$204&lt;&gt;"")*(B_Drainage!$A$5:$A$204&lt;=$B74)*(B_Drainage!$B$5:$B$204&gt;$B74)*(B_Drainage!$E$5:$E$204&lt;&gt;"")),IF(B_Drainage!$E$5:$E$204="-","",1)),"")</f>
        <v/>
      </c>
      <c r="U74" s="181" t="str">
        <f>IFERROR(LOOKUP(2,1/((B_Drainage!$A$5:$A$204&lt;&gt;"")*(B_Drainage!$A$5:$A$204&lt;=$B74)*(B_Drainage!$B$5:$B$204&gt;$B74)*(B_Drainage!$E$5:$E$204&lt;&gt;"")),IF(B_Drainage!$E$5:$E$204="-","",B_Drainage!$E$5:$E$204)),"")</f>
        <v/>
      </c>
      <c r="V74" s="181" t="str">
        <f>IFERROR(LOOKUP(2,1/((B_Drainage!$A$5:$A$204&lt;&gt;"")*(B_Drainage!$A$5:$A$204&lt;=$B74)*(B_Drainage!$B$5:$B$204&gt;$B74)*(B_Drainage!$F$5:$F$204&lt;&gt;"")),IF(B_Drainage!$F$5:$F$204="-","",1)),"")</f>
        <v/>
      </c>
      <c r="W74" s="181" t="str">
        <f>IFERROR(LOOKUP(2,1/((B_Drainage!$A$5:$A$204&lt;&gt;"")*(B_Drainage!$A$5:$A$204&lt;=$B74)*(B_Drainage!$B$5:$B$204&gt;$B74)*(B_Drainage!$F$5:$F$204&lt;&gt;"")),IF(B_Drainage!$F$5:$F$204="-","",B_Drainage!$F$5:$F$204)),"")</f>
        <v/>
      </c>
      <c r="X74" s="181" t="str">
        <f>IFERROR(LOOKUP(2,1/((B_Drainage!$A$5:$A$204&lt;&gt;"")*(B_Drainage!$A$5:$A$204&lt;=$B74)*(B_Drainage!$B$5:$B$204&gt;$B74)*(B_Drainage!$G$5:$G$204&lt;&gt;"")),IF(UPPER(B_Drainage!$G$5:$G$204)="Y",1,"")),"")</f>
        <v/>
      </c>
      <c r="Y74" s="181" t="str">
        <f>IFERROR(LOOKUP(2,1/((B_Drainage!$A$5:$A$204&lt;&gt;"")*(B_Drainage!$A$5:$A$204&lt;=$B74)*(B_Drainage!$B$5:$B$204&gt;$B74)*(B_Drainage!$H$5:$H$204&lt;&gt;"")),IF(UPPER(B_Drainage!$H$5:$H$204)="Y",1,"")),"")</f>
        <v/>
      </c>
      <c r="Z74" s="181" t="str">
        <f>IFERROR(LOOKUP(2,1/((B_Drainage!$A$5:$A$204&lt;&gt;"")*(B_Drainage!$A$5:$A$204&lt;=$B74)*(B_Drainage!$B$5:$B$204&gt;$B74)*(B_Drainage!$I$5:$I$204&lt;&gt;"")),IF(UPPER(B_Drainage!$I$5:$I$204)="Y",1,"")),"")</f>
        <v/>
      </c>
      <c r="AA74" s="181" t="str">
        <f>IFERROR(LOOKUP(2,1/((B_Drainage!$A$5:$A$204&lt;&gt;"")*(B_Drainage!$A$5:$A$204&lt;=$B74)*(B_Drainage!$B$5:$B$204&gt;$B74)*(B_Drainage!$J$5:$J$204&lt;&gt;"")),IF(UPPER(B_Drainage!$J$5:$J$204)="Y",1,"")),"")</f>
        <v/>
      </c>
      <c r="AB74" s="182" t="str">
        <f>IFERROR(LOOKUP(2,1/((B_Drainage!$A$5:$A$204&lt;&gt;"")*(B_Drainage!$A$5:$A$204&lt;=$B74)*(B_Drainage!$B$5:$B$204&gt;$B74)*(B_Drainage!$K$5:$K$204&lt;&gt;"")),IF(B_Drainage!$K$5:$K$204="-","",B_Drainage!$K$5:$K$204)),"")</f>
        <v/>
      </c>
      <c r="AC74" s="182" t="str">
        <f>IFERROR(LOOKUP(2,1/((B_Drainage!$A$5:$A$204&lt;&gt;"")*(B_Drainage!$A$5:$A$204&lt;=$B74)*(B_Drainage!$B$5:$B$204&gt;$B74)*(B_Drainage!$L$5:$L$204&lt;&gt;"")),IF(B_Drainage!$L$5:$L$204="-","",B_Drainage!$L$5:$L$204)),"")</f>
        <v/>
      </c>
      <c r="AD74" s="182" t="str">
        <f>IFERROR(LOOKUP(2,1/((D_Points!$A$5:$A$204&lt;&gt;"")*(D_Points!$A$5:$A$204&gt;=$B74)*(D_Points!$A$5:$A$204&lt;$B74+P_Interval)*(UPPER(TRIM(D_Points!$B$5:$B$204))="TURNOUT_L")*(D_Points!$H$5:$H$204&lt;&gt;"")),D_Points!$H$5:$H$204),"")</f>
        <v/>
      </c>
      <c r="AE74" s="182" t="str">
        <f>IFERROR(LOOKUP(2,1/((D_Points!$A$5:$A$204&lt;&gt;"")*(D_Points!$A$5:$A$204&gt;=$B74)*(D_Points!$A$5:$A$204&lt;$B74+P_Interval)*(UPPER(TRIM(D_Points!$B$5:$B$204))="TURNOUT_R")*(D_Points!$H$5:$H$204&lt;&gt;"")),D_Points!$H$5:$H$204),"")</f>
        <v/>
      </c>
      <c r="AF74" s="181" t="str">
        <f>IFERROR(LOOKUP(2,1/((B_Drainage!$A$5:$A$204&lt;&gt;"")*(B_Drainage!$A$5:$A$204&lt;=$B74)*(B_Drainage!$B$5:$B$204&gt;$B74)*(B_Drainage!$M$5:$M$204&lt;&gt;"")),IF(UPPER(B_Drainage!$M$5:$M$204)="Y",1,"")),"")</f>
        <v/>
      </c>
      <c r="AG74" s="181" t="str">
        <f>IFERROR(LOOKUP(2,1/((B_Drainage!$A$5:$A$204&lt;&gt;"")*(B_Drainage!$A$5:$A$204&lt;=$B74)*(B_Drainage!$B$5:$B$204&gt;$B74)*(B_Drainage!$N$5:$N$204&lt;&gt;"")),IF(UPPER(B_Drainage!$N$5:$N$204)="Y",1,"")),"")</f>
        <v/>
      </c>
      <c r="AH74" s="181" t="str">
        <f t="shared" si="8"/>
        <v/>
      </c>
      <c r="AI74" s="181" t="str">
        <f t="shared" si="9"/>
        <v/>
      </c>
      <c r="AJ74" s="181" t="str">
        <f t="shared" si="10"/>
        <v/>
      </c>
      <c r="AK74" s="181" t="str">
        <f t="shared" si="11"/>
        <v/>
      </c>
      <c r="AL74" s="181" t="str">
        <f t="shared" si="12"/>
        <v/>
      </c>
      <c r="AM74" s="181" t="str">
        <f t="shared" si="13"/>
        <v/>
      </c>
      <c r="AN74" s="181" t="str">
        <f t="shared" si="14"/>
        <v/>
      </c>
      <c r="AO74" s="192" t="str">
        <f t="shared" si="15"/>
        <v/>
      </c>
      <c r="AQ74" t="str">
        <f>IFERROR(LOOKUP(2,1/((C_Pavement!$A$5:$A$204&lt;&gt;"")*(C_Pavement!$A$5:$A$204&lt;=$B74)*(C_Pavement!$B$5:$B$204&gt;$B74)*(C_Pavement!$C$5:$C$204&lt;&gt;"")),ROW(C_Pavement!$C$5:$C$204)-4),"")</f>
        <v/>
      </c>
      <c r="AR74" t="str">
        <f>IF($AQ74="","",UPPER(TRIM(INDEX(C_Pavement!$C$5:$C$204,$AQ74))))</f>
        <v/>
      </c>
      <c r="AS74" t="str">
        <f>IF($AR74="","",IFERROR(MATCH($AR74,E_Rules!$A$5:$A$9,0),""))</f>
        <v/>
      </c>
      <c r="AT74" t="str">
        <f>IF($AQ74="","",IF(INDEX(C_Pavement!$D$5:$D$204,$AQ74)&lt;&gt;"",UPPER(TRIM(INDEX(C_Pavement!$D$5:$D$204,$AQ74))),IF($AS74="","",INDEX(E_Rules!$C$5:$C$9,$AS74))))</f>
        <v/>
      </c>
      <c r="AU74" t="str">
        <f>IF($AQ74="","",IF(INDEX(C_Pavement!$E$5:$E$204,$AQ74)&lt;&gt;"",IF(INDEX(C_Pavement!$E$5:$E$204,$AQ74)="-","",INDEX(C_Pavement!$E$5:$E$204,$AQ74)),IF($AS74="","",INDEX(E_Rules!$D$5:$D$9,$AS74))))</f>
        <v/>
      </c>
      <c r="AV74" t="str">
        <f>IF($AQ74="","",IF(INDEX(C_Pavement!$F$5:$F$204,$AQ74)&lt;&gt;"",IF(INDEX(C_Pavement!$F$5:$F$204,$AQ74)="-","",INDEX(C_Pavement!$F$5:$F$204,$AQ74)),IF($AS74="","",INDEX(E_Rules!$E$5:$E$9,$AS74))))</f>
        <v/>
      </c>
      <c r="AW74" t="str">
        <f>IF($AQ74="","",IF(INDEX(C_Pavement!$G$5:$G$204,$AQ74)&lt;&gt;"",IF(INDEX(C_Pavement!$G$5:$G$204,$AQ74)="-","",INDEX(C_Pavement!$G$5:$G$204,$AQ74)),IF($AS74="","",INDEX(E_Rules!$F$5:$F$9,$AS74))))</f>
        <v/>
      </c>
      <c r="AX74" t="str">
        <f>IF($AQ74="","",IF(INDEX(C_Pavement!$H$5:$H$204,$AQ74)&lt;&gt;"",IF(INDEX(C_Pavement!$H$5:$H$204,$AQ74)="-","",INDEX(C_Pavement!$H$5:$H$204,$AQ74)),IF($AS74="","",INDEX(E_Rules!$G$5:$G$9,$AS74))))</f>
        <v/>
      </c>
      <c r="AY74" t="str">
        <f>IF($AQ74="","",IF(INDEX(C_Pavement!$I$5:$I$204,$AQ74)&lt;&gt;"",IF(INDEX(C_Pavement!$I$5:$I$204,$AQ74)="-","",INDEX(C_Pavement!$I$5:$I$204,$AQ74)),IF($AS74="","",INDEX(E_Rules!$H$5:$H$9,$AS74))))</f>
        <v/>
      </c>
    </row>
    <row r="75" spans="1:51" ht="15.75" customHeight="1" x14ac:dyDescent="0.3">
      <c r="A75" s="189">
        <v>70</v>
      </c>
      <c r="B75" s="180">
        <v>3450</v>
      </c>
      <c r="C75" s="180" t="s">
        <v>381</v>
      </c>
      <c r="D75" s="181" t="str">
        <f>IFERROR(LOOKUP(2,1/((A_Corridor!$A$5:$A$204&lt;&gt;"")*(A_Corridor!$A$5:$A$204&lt;=$B75)*(A_Corridor!$B$5:$B$204&gt;$B75)*(A_Corridor!$C$5:$C$204&lt;&gt;"")),IF(UPPER(A_Corridor!$C$5:$C$204)="Y",1,"")),"")</f>
        <v/>
      </c>
      <c r="E75" s="181" t="str">
        <f>IFERROR(LOOKUP(2,1/((A_Corridor!$A$5:$A$204&lt;&gt;"")*(A_Corridor!$A$5:$A$204&lt;=$B75)*(A_Corridor!$B$5:$B$204&gt;$B75)*(A_Corridor!$D$5:$D$204&lt;&gt;"")),IF(A_Corridor!$D$5:$D$204="-","",UPPER(A_Corridor!$D$5:$D$204))),"")</f>
        <v/>
      </c>
      <c r="F75" s="181" t="str">
        <f>IFERROR(LOOKUP(2,1/((A_Corridor!$A$5:$A$204&lt;&gt;"")*(A_Corridor!$A$5:$A$204&lt;=$B75)*(A_Corridor!$B$5:$B$204&gt;$B75)*(A_Corridor!$E$5:$E$204&lt;&gt;"")),IF(A_Corridor!$E$5:$E$204="-","",1)),"")</f>
        <v/>
      </c>
      <c r="G75" s="182" t="str">
        <f>IFERROR(LOOKUP(2,1/((A_Corridor!$A$5:$A$204&lt;&gt;"")*(A_Corridor!$A$5:$A$204&lt;=$B75)*(A_Corridor!$B$5:$B$204&gt;$B75)*(A_Corridor!$E$5:$E$204&lt;&gt;"")),IF(A_Corridor!$E$5:$E$204="-","",A_Corridor!$E$5:$E$204)),"")</f>
        <v/>
      </c>
      <c r="H75" s="182" t="str">
        <f>IFERROR(LOOKUP(2,1/((D_Points!$A$5:$A$204&lt;&gt;"")*(D_Points!$A$5:$A$204&gt;=$B75)*(D_Points!$A$5:$A$204&lt;$B75+P_Interval)*(UPPER(TRIM(D_Points!$B$5:$B$204))="GULLY")*(D_Points!$H$5:$H$204&lt;&gt;"")),D_Points!$H$5:$H$204),"")</f>
        <v/>
      </c>
      <c r="I75" s="181" t="str">
        <f>IFERROR(LOOKUP(2,1/((A_Corridor!$A$5:$A$204&lt;&gt;"")*(A_Corridor!$A$5:$A$204&lt;=$B75)*(A_Corridor!$B$5:$B$204&gt;$B75)*(A_Corridor!$F$5:$F$204&lt;&gt;"")),IF(A_Corridor!$F$5:$F$204="-","",1)),"")</f>
        <v/>
      </c>
      <c r="J75" s="182" t="str">
        <f>IFERROR(LOOKUP(2,1/((A_Corridor!$A$5:$A$204&lt;&gt;"")*(A_Corridor!$A$5:$A$204&lt;=$B75)*(A_Corridor!$B$5:$B$204&gt;$B75)*(A_Corridor!$F$5:$F$204&lt;&gt;"")),IF(A_Corridor!$F$5:$F$204="-","",A_Corridor!$F$5:$F$204)),"")</f>
        <v/>
      </c>
      <c r="K75" s="182" t="str">
        <f>IFERROR(LOOKUP(2,1/((A_Corridor!$A$5:$A$204&lt;&gt;"")*(A_Corridor!$A$5:$A$204&lt;=$B75)*(A_Corridor!$B$5:$B$204&gt;$B75)*(A_Corridor!$G$5:$G$204&lt;&gt;"")),IF(A_Corridor!$G$5:$G$204="-","",A_Corridor!$G$5:$G$204)),"")</f>
        <v/>
      </c>
      <c r="L75" s="181" t="str">
        <f>IFERROR(LOOKUP(2,1/((A_Corridor!$A$5:$A$204&lt;&gt;"")*(A_Corridor!$A$5:$A$204&lt;=$B75)*(A_Corridor!$B$5:$B$204&gt;$B75)*(A_Corridor!$H$5:$H$204&lt;&gt;"")),IF(A_Corridor!$H$5:$H$204="-","",1)),"")</f>
        <v/>
      </c>
      <c r="M75" s="182" t="str">
        <f>IFERROR(LOOKUP(2,1/((A_Corridor!$A$5:$A$204&lt;&gt;"")*(A_Corridor!$A$5:$A$204&lt;=$B75)*(A_Corridor!$B$5:$B$204&gt;$B75)*(A_Corridor!$H$5:$H$204&lt;&gt;"")),IF(A_Corridor!$H$5:$H$204="-","",A_Corridor!$H$5:$H$204)),"")</f>
        <v/>
      </c>
      <c r="N75" s="182" t="str">
        <f>IFERROR(LOOKUP(2,1/((A_Corridor!$A$5:$A$204&lt;&gt;"")*(A_Corridor!$A$5:$A$204&lt;=$B75)*(A_Corridor!$B$5:$B$204&gt;$B75)*(A_Corridor!$I$5:$I$204&lt;&gt;"")),IF(A_Corridor!$I$5:$I$204="-","",A_Corridor!$I$5:$I$204)),"")</f>
        <v/>
      </c>
      <c r="O75" s="182" t="str">
        <f>IFERROR(LOOKUP(2,1/((D_Points!$A$5:$A$204&lt;&gt;"")*(D_Points!$A$5:$A$204&gt;=$B75)*(D_Points!$A$5:$A$204&lt;$B75+P_Interval)*(UPPER(TRIM(D_Points!$B$5:$B$204))="PITCHING")*(D_Points!$H$5:$H$204&lt;&gt;"")),D_Points!$H$5:$H$204),"")</f>
        <v/>
      </c>
      <c r="P75" s="181" t="str">
        <f>IFERROR(LOOKUP(2,1/((B_Drainage!$A$5:$A$204&lt;&gt;"")*(B_Drainage!$A$5:$A$204&lt;=$B75)*(B_Drainage!$B$5:$B$204&gt;$B75)*(B_Drainage!$C$5:$C$204&lt;&gt;"")),IF(B_Drainage!$C$5:$C$204="-","",UPPER(B_Drainage!$C$5:$C$204))),"")</f>
        <v/>
      </c>
      <c r="Q75" s="181" t="str">
        <f>IFERROR(LOOKUP(2,1/((B_Drainage!$A$5:$A$204&lt;&gt;"")*(B_Drainage!$A$5:$A$204&lt;=$B75)*(B_Drainage!$B$5:$B$204&gt;$B75)*(B_Drainage!$D$5:$D$204&lt;&gt;"")),IF(B_Drainage!$D$5:$D$204="-","",UPPER(B_Drainage!$D$5:$D$204))),"")</f>
        <v/>
      </c>
      <c r="R75" s="182" t="str">
        <f>IFERROR(LOOKUP(2,1/((D_Points!$A$5:$A$204&lt;&gt;"")*(D_Points!$A$5:$A$204&gt;=$B75)*(D_Points!$A$5:$A$204&lt;$B75+P_Interval)*(RIGHT(UPPER(TRIM(D_Points!$B$5:$B$204)),8)="_CULVERT")),IF(LEFT(UPPER(TRIM(D_Points!$B$5:$B$204)),2)="EX",1,IF(LEFT(UPPER(TRIM(D_Points!$B$5:$B$204)),2)="PR",2,3))),"")</f>
        <v/>
      </c>
      <c r="S75" s="182" t="str">
        <f>IFERROR(LOOKUP(2,1/((D_Points!$A$5:$A$204&lt;&gt;"")*(D_Points!$A$5:$A$204&gt;=$B75)*(D_Points!$A$5:$A$204&lt;$B75+P_Interval)*(RIGHT(UPPER(TRIM(D_Points!$B$5:$B$204)),7)="_BRIDGE")),IF(LEFT(UPPER(TRIM(D_Points!$B$5:$B$204)),2)="EX",1,IF(LEFT(UPPER(TRIM(D_Points!$B$5:$B$204)),2)="PR",2,2))),"")</f>
        <v/>
      </c>
      <c r="T75" s="181" t="str">
        <f>IFERROR(LOOKUP(2,1/((B_Drainage!$A$5:$A$204&lt;&gt;"")*(B_Drainage!$A$5:$A$204&lt;=$B75)*(B_Drainage!$B$5:$B$204&gt;$B75)*(B_Drainage!$E$5:$E$204&lt;&gt;"")),IF(B_Drainage!$E$5:$E$204="-","",1)),"")</f>
        <v/>
      </c>
      <c r="U75" s="181" t="str">
        <f>IFERROR(LOOKUP(2,1/((B_Drainage!$A$5:$A$204&lt;&gt;"")*(B_Drainage!$A$5:$A$204&lt;=$B75)*(B_Drainage!$B$5:$B$204&gt;$B75)*(B_Drainage!$E$5:$E$204&lt;&gt;"")),IF(B_Drainage!$E$5:$E$204="-","",B_Drainage!$E$5:$E$204)),"")</f>
        <v/>
      </c>
      <c r="V75" s="181" t="str">
        <f>IFERROR(LOOKUP(2,1/((B_Drainage!$A$5:$A$204&lt;&gt;"")*(B_Drainage!$A$5:$A$204&lt;=$B75)*(B_Drainage!$B$5:$B$204&gt;$B75)*(B_Drainage!$F$5:$F$204&lt;&gt;"")),IF(B_Drainage!$F$5:$F$204="-","",1)),"")</f>
        <v/>
      </c>
      <c r="W75" s="181" t="str">
        <f>IFERROR(LOOKUP(2,1/((B_Drainage!$A$5:$A$204&lt;&gt;"")*(B_Drainage!$A$5:$A$204&lt;=$B75)*(B_Drainage!$B$5:$B$204&gt;$B75)*(B_Drainage!$F$5:$F$204&lt;&gt;"")),IF(B_Drainage!$F$5:$F$204="-","",B_Drainage!$F$5:$F$204)),"")</f>
        <v/>
      </c>
      <c r="X75" s="181" t="str">
        <f>IFERROR(LOOKUP(2,1/((B_Drainage!$A$5:$A$204&lt;&gt;"")*(B_Drainage!$A$5:$A$204&lt;=$B75)*(B_Drainage!$B$5:$B$204&gt;$B75)*(B_Drainage!$G$5:$G$204&lt;&gt;"")),IF(UPPER(B_Drainage!$G$5:$G$204)="Y",1,"")),"")</f>
        <v/>
      </c>
      <c r="Y75" s="181" t="str">
        <f>IFERROR(LOOKUP(2,1/((B_Drainage!$A$5:$A$204&lt;&gt;"")*(B_Drainage!$A$5:$A$204&lt;=$B75)*(B_Drainage!$B$5:$B$204&gt;$B75)*(B_Drainage!$H$5:$H$204&lt;&gt;"")),IF(UPPER(B_Drainage!$H$5:$H$204)="Y",1,"")),"")</f>
        <v/>
      </c>
      <c r="Z75" s="181" t="str">
        <f>IFERROR(LOOKUP(2,1/((B_Drainage!$A$5:$A$204&lt;&gt;"")*(B_Drainage!$A$5:$A$204&lt;=$B75)*(B_Drainage!$B$5:$B$204&gt;$B75)*(B_Drainage!$I$5:$I$204&lt;&gt;"")),IF(UPPER(B_Drainage!$I$5:$I$204)="Y",1,"")),"")</f>
        <v/>
      </c>
      <c r="AA75" s="181" t="str">
        <f>IFERROR(LOOKUP(2,1/((B_Drainage!$A$5:$A$204&lt;&gt;"")*(B_Drainage!$A$5:$A$204&lt;=$B75)*(B_Drainage!$B$5:$B$204&gt;$B75)*(B_Drainage!$J$5:$J$204&lt;&gt;"")),IF(UPPER(B_Drainage!$J$5:$J$204)="Y",1,"")),"")</f>
        <v/>
      </c>
      <c r="AB75" s="182" t="str">
        <f>IFERROR(LOOKUP(2,1/((B_Drainage!$A$5:$A$204&lt;&gt;"")*(B_Drainage!$A$5:$A$204&lt;=$B75)*(B_Drainage!$B$5:$B$204&gt;$B75)*(B_Drainage!$K$5:$K$204&lt;&gt;"")),IF(B_Drainage!$K$5:$K$204="-","",B_Drainage!$K$5:$K$204)),"")</f>
        <v/>
      </c>
      <c r="AC75" s="182" t="str">
        <f>IFERROR(LOOKUP(2,1/((B_Drainage!$A$5:$A$204&lt;&gt;"")*(B_Drainage!$A$5:$A$204&lt;=$B75)*(B_Drainage!$B$5:$B$204&gt;$B75)*(B_Drainage!$L$5:$L$204&lt;&gt;"")),IF(B_Drainage!$L$5:$L$204="-","",B_Drainage!$L$5:$L$204)),"")</f>
        <v/>
      </c>
      <c r="AD75" s="182" t="str">
        <f>IFERROR(LOOKUP(2,1/((D_Points!$A$5:$A$204&lt;&gt;"")*(D_Points!$A$5:$A$204&gt;=$B75)*(D_Points!$A$5:$A$204&lt;$B75+P_Interval)*(UPPER(TRIM(D_Points!$B$5:$B$204))="TURNOUT_L")*(D_Points!$H$5:$H$204&lt;&gt;"")),D_Points!$H$5:$H$204),"")</f>
        <v/>
      </c>
      <c r="AE75" s="182" t="str">
        <f>IFERROR(LOOKUP(2,1/((D_Points!$A$5:$A$204&lt;&gt;"")*(D_Points!$A$5:$A$204&gt;=$B75)*(D_Points!$A$5:$A$204&lt;$B75+P_Interval)*(UPPER(TRIM(D_Points!$B$5:$B$204))="TURNOUT_R")*(D_Points!$H$5:$H$204&lt;&gt;"")),D_Points!$H$5:$H$204),"")</f>
        <v/>
      </c>
      <c r="AF75" s="181" t="str">
        <f>IFERROR(LOOKUP(2,1/((B_Drainage!$A$5:$A$204&lt;&gt;"")*(B_Drainage!$A$5:$A$204&lt;=$B75)*(B_Drainage!$B$5:$B$204&gt;$B75)*(B_Drainage!$M$5:$M$204&lt;&gt;"")),IF(UPPER(B_Drainage!$M$5:$M$204)="Y",1,"")),"")</f>
        <v/>
      </c>
      <c r="AG75" s="181" t="str">
        <f>IFERROR(LOOKUP(2,1/((B_Drainage!$A$5:$A$204&lt;&gt;"")*(B_Drainage!$A$5:$A$204&lt;=$B75)*(B_Drainage!$B$5:$B$204&gt;$B75)*(B_Drainage!$N$5:$N$204&lt;&gt;"")),IF(UPPER(B_Drainage!$N$5:$N$204)="Y",1,"")),"")</f>
        <v/>
      </c>
      <c r="AH75" s="181" t="str">
        <f t="shared" si="8"/>
        <v/>
      </c>
      <c r="AI75" s="181" t="str">
        <f t="shared" si="9"/>
        <v/>
      </c>
      <c r="AJ75" s="181" t="str">
        <f t="shared" si="10"/>
        <v/>
      </c>
      <c r="AK75" s="181" t="str">
        <f t="shared" si="11"/>
        <v/>
      </c>
      <c r="AL75" s="181" t="str">
        <f t="shared" si="12"/>
        <v/>
      </c>
      <c r="AM75" s="181" t="str">
        <f t="shared" si="13"/>
        <v/>
      </c>
      <c r="AN75" s="181" t="str">
        <f t="shared" si="14"/>
        <v/>
      </c>
      <c r="AO75" s="192" t="str">
        <f t="shared" si="15"/>
        <v/>
      </c>
      <c r="AQ75" t="str">
        <f>IFERROR(LOOKUP(2,1/((C_Pavement!$A$5:$A$204&lt;&gt;"")*(C_Pavement!$A$5:$A$204&lt;=$B75)*(C_Pavement!$B$5:$B$204&gt;$B75)*(C_Pavement!$C$5:$C$204&lt;&gt;"")),ROW(C_Pavement!$C$5:$C$204)-4),"")</f>
        <v/>
      </c>
      <c r="AR75" t="str">
        <f>IF($AQ75="","",UPPER(TRIM(INDEX(C_Pavement!$C$5:$C$204,$AQ75))))</f>
        <v/>
      </c>
      <c r="AS75" t="str">
        <f>IF($AR75="","",IFERROR(MATCH($AR75,E_Rules!$A$5:$A$9,0),""))</f>
        <v/>
      </c>
      <c r="AT75" t="str">
        <f>IF($AQ75="","",IF(INDEX(C_Pavement!$D$5:$D$204,$AQ75)&lt;&gt;"",UPPER(TRIM(INDEX(C_Pavement!$D$5:$D$204,$AQ75))),IF($AS75="","",INDEX(E_Rules!$C$5:$C$9,$AS75))))</f>
        <v/>
      </c>
      <c r="AU75" t="str">
        <f>IF($AQ75="","",IF(INDEX(C_Pavement!$E$5:$E$204,$AQ75)&lt;&gt;"",IF(INDEX(C_Pavement!$E$5:$E$204,$AQ75)="-","",INDEX(C_Pavement!$E$5:$E$204,$AQ75)),IF($AS75="","",INDEX(E_Rules!$D$5:$D$9,$AS75))))</f>
        <v/>
      </c>
      <c r="AV75" t="str">
        <f>IF($AQ75="","",IF(INDEX(C_Pavement!$F$5:$F$204,$AQ75)&lt;&gt;"",IF(INDEX(C_Pavement!$F$5:$F$204,$AQ75)="-","",INDEX(C_Pavement!$F$5:$F$204,$AQ75)),IF($AS75="","",INDEX(E_Rules!$E$5:$E$9,$AS75))))</f>
        <v/>
      </c>
      <c r="AW75" t="str">
        <f>IF($AQ75="","",IF(INDEX(C_Pavement!$G$5:$G$204,$AQ75)&lt;&gt;"",IF(INDEX(C_Pavement!$G$5:$G$204,$AQ75)="-","",INDEX(C_Pavement!$G$5:$G$204,$AQ75)),IF($AS75="","",INDEX(E_Rules!$F$5:$F$9,$AS75))))</f>
        <v/>
      </c>
      <c r="AX75" t="str">
        <f>IF($AQ75="","",IF(INDEX(C_Pavement!$H$5:$H$204,$AQ75)&lt;&gt;"",IF(INDEX(C_Pavement!$H$5:$H$204,$AQ75)="-","",INDEX(C_Pavement!$H$5:$H$204,$AQ75)),IF($AS75="","",INDEX(E_Rules!$G$5:$G$9,$AS75))))</f>
        <v/>
      </c>
      <c r="AY75" t="str">
        <f>IF($AQ75="","",IF(INDEX(C_Pavement!$I$5:$I$204,$AQ75)&lt;&gt;"",IF(INDEX(C_Pavement!$I$5:$I$204,$AQ75)="-","",INDEX(C_Pavement!$I$5:$I$204,$AQ75)),IF($AS75="","",INDEX(E_Rules!$H$5:$H$9,$AS75))))</f>
        <v/>
      </c>
    </row>
    <row r="76" spans="1:51" ht="15.75" customHeight="1" x14ac:dyDescent="0.3">
      <c r="A76" s="189">
        <v>71</v>
      </c>
      <c r="B76" s="180">
        <v>3500</v>
      </c>
      <c r="C76" s="180" t="s">
        <v>382</v>
      </c>
      <c r="D76" s="181" t="str">
        <f>IFERROR(LOOKUP(2,1/((A_Corridor!$A$5:$A$204&lt;&gt;"")*(A_Corridor!$A$5:$A$204&lt;=$B76)*(A_Corridor!$B$5:$B$204&gt;$B76)*(A_Corridor!$C$5:$C$204&lt;&gt;"")),IF(UPPER(A_Corridor!$C$5:$C$204)="Y",1,"")),"")</f>
        <v/>
      </c>
      <c r="E76" s="181" t="str">
        <f>IFERROR(LOOKUP(2,1/((A_Corridor!$A$5:$A$204&lt;&gt;"")*(A_Corridor!$A$5:$A$204&lt;=$B76)*(A_Corridor!$B$5:$B$204&gt;$B76)*(A_Corridor!$D$5:$D$204&lt;&gt;"")),IF(A_Corridor!$D$5:$D$204="-","",UPPER(A_Corridor!$D$5:$D$204))),"")</f>
        <v/>
      </c>
      <c r="F76" s="181" t="str">
        <f>IFERROR(LOOKUP(2,1/((A_Corridor!$A$5:$A$204&lt;&gt;"")*(A_Corridor!$A$5:$A$204&lt;=$B76)*(A_Corridor!$B$5:$B$204&gt;$B76)*(A_Corridor!$E$5:$E$204&lt;&gt;"")),IF(A_Corridor!$E$5:$E$204="-","",1)),"")</f>
        <v/>
      </c>
      <c r="G76" s="182" t="str">
        <f>IFERROR(LOOKUP(2,1/((A_Corridor!$A$5:$A$204&lt;&gt;"")*(A_Corridor!$A$5:$A$204&lt;=$B76)*(A_Corridor!$B$5:$B$204&gt;$B76)*(A_Corridor!$E$5:$E$204&lt;&gt;"")),IF(A_Corridor!$E$5:$E$204="-","",A_Corridor!$E$5:$E$204)),"")</f>
        <v/>
      </c>
      <c r="H76" s="182" t="str">
        <f>IFERROR(LOOKUP(2,1/((D_Points!$A$5:$A$204&lt;&gt;"")*(D_Points!$A$5:$A$204&gt;=$B76)*(D_Points!$A$5:$A$204&lt;$B76+P_Interval)*(UPPER(TRIM(D_Points!$B$5:$B$204))="GULLY")*(D_Points!$H$5:$H$204&lt;&gt;"")),D_Points!$H$5:$H$204),"")</f>
        <v/>
      </c>
      <c r="I76" s="181" t="str">
        <f>IFERROR(LOOKUP(2,1/((A_Corridor!$A$5:$A$204&lt;&gt;"")*(A_Corridor!$A$5:$A$204&lt;=$B76)*(A_Corridor!$B$5:$B$204&gt;$B76)*(A_Corridor!$F$5:$F$204&lt;&gt;"")),IF(A_Corridor!$F$5:$F$204="-","",1)),"")</f>
        <v/>
      </c>
      <c r="J76" s="182" t="str">
        <f>IFERROR(LOOKUP(2,1/((A_Corridor!$A$5:$A$204&lt;&gt;"")*(A_Corridor!$A$5:$A$204&lt;=$B76)*(A_Corridor!$B$5:$B$204&gt;$B76)*(A_Corridor!$F$5:$F$204&lt;&gt;"")),IF(A_Corridor!$F$5:$F$204="-","",A_Corridor!$F$5:$F$204)),"")</f>
        <v/>
      </c>
      <c r="K76" s="182" t="str">
        <f>IFERROR(LOOKUP(2,1/((A_Corridor!$A$5:$A$204&lt;&gt;"")*(A_Corridor!$A$5:$A$204&lt;=$B76)*(A_Corridor!$B$5:$B$204&gt;$B76)*(A_Corridor!$G$5:$G$204&lt;&gt;"")),IF(A_Corridor!$G$5:$G$204="-","",A_Corridor!$G$5:$G$204)),"")</f>
        <v/>
      </c>
      <c r="L76" s="181" t="str">
        <f>IFERROR(LOOKUP(2,1/((A_Corridor!$A$5:$A$204&lt;&gt;"")*(A_Corridor!$A$5:$A$204&lt;=$B76)*(A_Corridor!$B$5:$B$204&gt;$B76)*(A_Corridor!$H$5:$H$204&lt;&gt;"")),IF(A_Corridor!$H$5:$H$204="-","",1)),"")</f>
        <v/>
      </c>
      <c r="M76" s="182" t="str">
        <f>IFERROR(LOOKUP(2,1/((A_Corridor!$A$5:$A$204&lt;&gt;"")*(A_Corridor!$A$5:$A$204&lt;=$B76)*(A_Corridor!$B$5:$B$204&gt;$B76)*(A_Corridor!$H$5:$H$204&lt;&gt;"")),IF(A_Corridor!$H$5:$H$204="-","",A_Corridor!$H$5:$H$204)),"")</f>
        <v/>
      </c>
      <c r="N76" s="182" t="str">
        <f>IFERROR(LOOKUP(2,1/((A_Corridor!$A$5:$A$204&lt;&gt;"")*(A_Corridor!$A$5:$A$204&lt;=$B76)*(A_Corridor!$B$5:$B$204&gt;$B76)*(A_Corridor!$I$5:$I$204&lt;&gt;"")),IF(A_Corridor!$I$5:$I$204="-","",A_Corridor!$I$5:$I$204)),"")</f>
        <v/>
      </c>
      <c r="O76" s="182" t="str">
        <f>IFERROR(LOOKUP(2,1/((D_Points!$A$5:$A$204&lt;&gt;"")*(D_Points!$A$5:$A$204&gt;=$B76)*(D_Points!$A$5:$A$204&lt;$B76+P_Interval)*(UPPER(TRIM(D_Points!$B$5:$B$204))="PITCHING")*(D_Points!$H$5:$H$204&lt;&gt;"")),D_Points!$H$5:$H$204),"")</f>
        <v/>
      </c>
      <c r="P76" s="181" t="str">
        <f>IFERROR(LOOKUP(2,1/((B_Drainage!$A$5:$A$204&lt;&gt;"")*(B_Drainage!$A$5:$A$204&lt;=$B76)*(B_Drainage!$B$5:$B$204&gt;$B76)*(B_Drainage!$C$5:$C$204&lt;&gt;"")),IF(B_Drainage!$C$5:$C$204="-","",UPPER(B_Drainage!$C$5:$C$204))),"")</f>
        <v/>
      </c>
      <c r="Q76" s="181" t="str">
        <f>IFERROR(LOOKUP(2,1/((B_Drainage!$A$5:$A$204&lt;&gt;"")*(B_Drainage!$A$5:$A$204&lt;=$B76)*(B_Drainage!$B$5:$B$204&gt;$B76)*(B_Drainage!$D$5:$D$204&lt;&gt;"")),IF(B_Drainage!$D$5:$D$204="-","",UPPER(B_Drainage!$D$5:$D$204))),"")</f>
        <v/>
      </c>
      <c r="R76" s="182" t="str">
        <f>IFERROR(LOOKUP(2,1/((D_Points!$A$5:$A$204&lt;&gt;"")*(D_Points!$A$5:$A$204&gt;=$B76)*(D_Points!$A$5:$A$204&lt;$B76+P_Interval)*(RIGHT(UPPER(TRIM(D_Points!$B$5:$B$204)),8)="_CULVERT")),IF(LEFT(UPPER(TRIM(D_Points!$B$5:$B$204)),2)="EX",1,IF(LEFT(UPPER(TRIM(D_Points!$B$5:$B$204)),2)="PR",2,3))),"")</f>
        <v/>
      </c>
      <c r="S76" s="182" t="str">
        <f>IFERROR(LOOKUP(2,1/((D_Points!$A$5:$A$204&lt;&gt;"")*(D_Points!$A$5:$A$204&gt;=$B76)*(D_Points!$A$5:$A$204&lt;$B76+P_Interval)*(RIGHT(UPPER(TRIM(D_Points!$B$5:$B$204)),7)="_BRIDGE")),IF(LEFT(UPPER(TRIM(D_Points!$B$5:$B$204)),2)="EX",1,IF(LEFT(UPPER(TRIM(D_Points!$B$5:$B$204)),2)="PR",2,2))),"")</f>
        <v/>
      </c>
      <c r="T76" s="181" t="str">
        <f>IFERROR(LOOKUP(2,1/((B_Drainage!$A$5:$A$204&lt;&gt;"")*(B_Drainage!$A$5:$A$204&lt;=$B76)*(B_Drainage!$B$5:$B$204&gt;$B76)*(B_Drainage!$E$5:$E$204&lt;&gt;"")),IF(B_Drainage!$E$5:$E$204="-","",1)),"")</f>
        <v/>
      </c>
      <c r="U76" s="181" t="str">
        <f>IFERROR(LOOKUP(2,1/((B_Drainage!$A$5:$A$204&lt;&gt;"")*(B_Drainage!$A$5:$A$204&lt;=$B76)*(B_Drainage!$B$5:$B$204&gt;$B76)*(B_Drainage!$E$5:$E$204&lt;&gt;"")),IF(B_Drainage!$E$5:$E$204="-","",B_Drainage!$E$5:$E$204)),"")</f>
        <v/>
      </c>
      <c r="V76" s="181" t="str">
        <f>IFERROR(LOOKUP(2,1/((B_Drainage!$A$5:$A$204&lt;&gt;"")*(B_Drainage!$A$5:$A$204&lt;=$B76)*(B_Drainage!$B$5:$B$204&gt;$B76)*(B_Drainage!$F$5:$F$204&lt;&gt;"")),IF(B_Drainage!$F$5:$F$204="-","",1)),"")</f>
        <v/>
      </c>
      <c r="W76" s="181" t="str">
        <f>IFERROR(LOOKUP(2,1/((B_Drainage!$A$5:$A$204&lt;&gt;"")*(B_Drainage!$A$5:$A$204&lt;=$B76)*(B_Drainage!$B$5:$B$204&gt;$B76)*(B_Drainage!$F$5:$F$204&lt;&gt;"")),IF(B_Drainage!$F$5:$F$204="-","",B_Drainage!$F$5:$F$204)),"")</f>
        <v/>
      </c>
      <c r="X76" s="181" t="str">
        <f>IFERROR(LOOKUP(2,1/((B_Drainage!$A$5:$A$204&lt;&gt;"")*(B_Drainage!$A$5:$A$204&lt;=$B76)*(B_Drainage!$B$5:$B$204&gt;$B76)*(B_Drainage!$G$5:$G$204&lt;&gt;"")),IF(UPPER(B_Drainage!$G$5:$G$204)="Y",1,"")),"")</f>
        <v/>
      </c>
      <c r="Y76" s="181" t="str">
        <f>IFERROR(LOOKUP(2,1/((B_Drainage!$A$5:$A$204&lt;&gt;"")*(B_Drainage!$A$5:$A$204&lt;=$B76)*(B_Drainage!$B$5:$B$204&gt;$B76)*(B_Drainage!$H$5:$H$204&lt;&gt;"")),IF(UPPER(B_Drainage!$H$5:$H$204)="Y",1,"")),"")</f>
        <v/>
      </c>
      <c r="Z76" s="181" t="str">
        <f>IFERROR(LOOKUP(2,1/((B_Drainage!$A$5:$A$204&lt;&gt;"")*(B_Drainage!$A$5:$A$204&lt;=$B76)*(B_Drainage!$B$5:$B$204&gt;$B76)*(B_Drainage!$I$5:$I$204&lt;&gt;"")),IF(UPPER(B_Drainage!$I$5:$I$204)="Y",1,"")),"")</f>
        <v/>
      </c>
      <c r="AA76" s="181" t="str">
        <f>IFERROR(LOOKUP(2,1/((B_Drainage!$A$5:$A$204&lt;&gt;"")*(B_Drainage!$A$5:$A$204&lt;=$B76)*(B_Drainage!$B$5:$B$204&gt;$B76)*(B_Drainage!$J$5:$J$204&lt;&gt;"")),IF(UPPER(B_Drainage!$J$5:$J$204)="Y",1,"")),"")</f>
        <v/>
      </c>
      <c r="AB76" s="182" t="str">
        <f>IFERROR(LOOKUP(2,1/((B_Drainage!$A$5:$A$204&lt;&gt;"")*(B_Drainage!$A$5:$A$204&lt;=$B76)*(B_Drainage!$B$5:$B$204&gt;$B76)*(B_Drainage!$K$5:$K$204&lt;&gt;"")),IF(B_Drainage!$K$5:$K$204="-","",B_Drainage!$K$5:$K$204)),"")</f>
        <v/>
      </c>
      <c r="AC76" s="182" t="str">
        <f>IFERROR(LOOKUP(2,1/((B_Drainage!$A$5:$A$204&lt;&gt;"")*(B_Drainage!$A$5:$A$204&lt;=$B76)*(B_Drainage!$B$5:$B$204&gt;$B76)*(B_Drainage!$L$5:$L$204&lt;&gt;"")),IF(B_Drainage!$L$5:$L$204="-","",B_Drainage!$L$5:$L$204)),"")</f>
        <v/>
      </c>
      <c r="AD76" s="182" t="str">
        <f>IFERROR(LOOKUP(2,1/((D_Points!$A$5:$A$204&lt;&gt;"")*(D_Points!$A$5:$A$204&gt;=$B76)*(D_Points!$A$5:$A$204&lt;$B76+P_Interval)*(UPPER(TRIM(D_Points!$B$5:$B$204))="TURNOUT_L")*(D_Points!$H$5:$H$204&lt;&gt;"")),D_Points!$H$5:$H$204),"")</f>
        <v/>
      </c>
      <c r="AE76" s="182" t="str">
        <f>IFERROR(LOOKUP(2,1/((D_Points!$A$5:$A$204&lt;&gt;"")*(D_Points!$A$5:$A$204&gt;=$B76)*(D_Points!$A$5:$A$204&lt;$B76+P_Interval)*(UPPER(TRIM(D_Points!$B$5:$B$204))="TURNOUT_R")*(D_Points!$H$5:$H$204&lt;&gt;"")),D_Points!$H$5:$H$204),"")</f>
        <v/>
      </c>
      <c r="AF76" s="181" t="str">
        <f>IFERROR(LOOKUP(2,1/((B_Drainage!$A$5:$A$204&lt;&gt;"")*(B_Drainage!$A$5:$A$204&lt;=$B76)*(B_Drainage!$B$5:$B$204&gt;$B76)*(B_Drainage!$M$5:$M$204&lt;&gt;"")),IF(UPPER(B_Drainage!$M$5:$M$204)="Y",1,"")),"")</f>
        <v/>
      </c>
      <c r="AG76" s="181" t="str">
        <f>IFERROR(LOOKUP(2,1/((B_Drainage!$A$5:$A$204&lt;&gt;"")*(B_Drainage!$A$5:$A$204&lt;=$B76)*(B_Drainage!$B$5:$B$204&gt;$B76)*(B_Drainage!$N$5:$N$204&lt;&gt;"")),IF(UPPER(B_Drainage!$N$5:$N$204)="Y",1,"")),"")</f>
        <v/>
      </c>
      <c r="AH76" s="181" t="str">
        <f t="shared" si="8"/>
        <v/>
      </c>
      <c r="AI76" s="181" t="str">
        <f t="shared" si="9"/>
        <v/>
      </c>
      <c r="AJ76" s="181" t="str">
        <f t="shared" si="10"/>
        <v/>
      </c>
      <c r="AK76" s="181" t="str">
        <f t="shared" si="11"/>
        <v/>
      </c>
      <c r="AL76" s="181" t="str">
        <f t="shared" si="12"/>
        <v/>
      </c>
      <c r="AM76" s="181" t="str">
        <f t="shared" si="13"/>
        <v/>
      </c>
      <c r="AN76" s="181" t="str">
        <f t="shared" si="14"/>
        <v/>
      </c>
      <c r="AO76" s="192" t="str">
        <f t="shared" si="15"/>
        <v/>
      </c>
      <c r="AQ76" t="str">
        <f>IFERROR(LOOKUP(2,1/((C_Pavement!$A$5:$A$204&lt;&gt;"")*(C_Pavement!$A$5:$A$204&lt;=$B76)*(C_Pavement!$B$5:$B$204&gt;$B76)*(C_Pavement!$C$5:$C$204&lt;&gt;"")),ROW(C_Pavement!$C$5:$C$204)-4),"")</f>
        <v/>
      </c>
      <c r="AR76" t="str">
        <f>IF($AQ76="","",UPPER(TRIM(INDEX(C_Pavement!$C$5:$C$204,$AQ76))))</f>
        <v/>
      </c>
      <c r="AS76" t="str">
        <f>IF($AR76="","",IFERROR(MATCH($AR76,E_Rules!$A$5:$A$9,0),""))</f>
        <v/>
      </c>
      <c r="AT76" t="str">
        <f>IF($AQ76="","",IF(INDEX(C_Pavement!$D$5:$D$204,$AQ76)&lt;&gt;"",UPPER(TRIM(INDEX(C_Pavement!$D$5:$D$204,$AQ76))),IF($AS76="","",INDEX(E_Rules!$C$5:$C$9,$AS76))))</f>
        <v/>
      </c>
      <c r="AU76" t="str">
        <f>IF($AQ76="","",IF(INDEX(C_Pavement!$E$5:$E$204,$AQ76)&lt;&gt;"",IF(INDEX(C_Pavement!$E$5:$E$204,$AQ76)="-","",INDEX(C_Pavement!$E$5:$E$204,$AQ76)),IF($AS76="","",INDEX(E_Rules!$D$5:$D$9,$AS76))))</f>
        <v/>
      </c>
      <c r="AV76" t="str">
        <f>IF($AQ76="","",IF(INDEX(C_Pavement!$F$5:$F$204,$AQ76)&lt;&gt;"",IF(INDEX(C_Pavement!$F$5:$F$204,$AQ76)="-","",INDEX(C_Pavement!$F$5:$F$204,$AQ76)),IF($AS76="","",INDEX(E_Rules!$E$5:$E$9,$AS76))))</f>
        <v/>
      </c>
      <c r="AW76" t="str">
        <f>IF($AQ76="","",IF(INDEX(C_Pavement!$G$5:$G$204,$AQ76)&lt;&gt;"",IF(INDEX(C_Pavement!$G$5:$G$204,$AQ76)="-","",INDEX(C_Pavement!$G$5:$G$204,$AQ76)),IF($AS76="","",INDEX(E_Rules!$F$5:$F$9,$AS76))))</f>
        <v/>
      </c>
      <c r="AX76" t="str">
        <f>IF($AQ76="","",IF(INDEX(C_Pavement!$H$5:$H$204,$AQ76)&lt;&gt;"",IF(INDEX(C_Pavement!$H$5:$H$204,$AQ76)="-","",INDEX(C_Pavement!$H$5:$H$204,$AQ76)),IF($AS76="","",INDEX(E_Rules!$G$5:$G$9,$AS76))))</f>
        <v/>
      </c>
      <c r="AY76" t="str">
        <f>IF($AQ76="","",IF(INDEX(C_Pavement!$I$5:$I$204,$AQ76)&lt;&gt;"",IF(INDEX(C_Pavement!$I$5:$I$204,$AQ76)="-","",INDEX(C_Pavement!$I$5:$I$204,$AQ76)),IF($AS76="","",INDEX(E_Rules!$H$5:$H$9,$AS76))))</f>
        <v/>
      </c>
    </row>
    <row r="77" spans="1:51" ht="15.75" customHeight="1" x14ac:dyDescent="0.3">
      <c r="A77" s="189">
        <v>72</v>
      </c>
      <c r="B77" s="180">
        <v>3550</v>
      </c>
      <c r="C77" s="180" t="s">
        <v>383</v>
      </c>
      <c r="D77" s="181" t="str">
        <f>IFERROR(LOOKUP(2,1/((A_Corridor!$A$5:$A$204&lt;&gt;"")*(A_Corridor!$A$5:$A$204&lt;=$B77)*(A_Corridor!$B$5:$B$204&gt;$B77)*(A_Corridor!$C$5:$C$204&lt;&gt;"")),IF(UPPER(A_Corridor!$C$5:$C$204)="Y",1,"")),"")</f>
        <v/>
      </c>
      <c r="E77" s="181" t="str">
        <f>IFERROR(LOOKUP(2,1/((A_Corridor!$A$5:$A$204&lt;&gt;"")*(A_Corridor!$A$5:$A$204&lt;=$B77)*(A_Corridor!$B$5:$B$204&gt;$B77)*(A_Corridor!$D$5:$D$204&lt;&gt;"")),IF(A_Corridor!$D$5:$D$204="-","",UPPER(A_Corridor!$D$5:$D$204))),"")</f>
        <v/>
      </c>
      <c r="F77" s="181" t="str">
        <f>IFERROR(LOOKUP(2,1/((A_Corridor!$A$5:$A$204&lt;&gt;"")*(A_Corridor!$A$5:$A$204&lt;=$B77)*(A_Corridor!$B$5:$B$204&gt;$B77)*(A_Corridor!$E$5:$E$204&lt;&gt;"")),IF(A_Corridor!$E$5:$E$204="-","",1)),"")</f>
        <v/>
      </c>
      <c r="G77" s="182" t="str">
        <f>IFERROR(LOOKUP(2,1/((A_Corridor!$A$5:$A$204&lt;&gt;"")*(A_Corridor!$A$5:$A$204&lt;=$B77)*(A_Corridor!$B$5:$B$204&gt;$B77)*(A_Corridor!$E$5:$E$204&lt;&gt;"")),IF(A_Corridor!$E$5:$E$204="-","",A_Corridor!$E$5:$E$204)),"")</f>
        <v/>
      </c>
      <c r="H77" s="182" t="str">
        <f>IFERROR(LOOKUP(2,1/((D_Points!$A$5:$A$204&lt;&gt;"")*(D_Points!$A$5:$A$204&gt;=$B77)*(D_Points!$A$5:$A$204&lt;$B77+P_Interval)*(UPPER(TRIM(D_Points!$B$5:$B$204))="GULLY")*(D_Points!$H$5:$H$204&lt;&gt;"")),D_Points!$H$5:$H$204),"")</f>
        <v/>
      </c>
      <c r="I77" s="181" t="str">
        <f>IFERROR(LOOKUP(2,1/((A_Corridor!$A$5:$A$204&lt;&gt;"")*(A_Corridor!$A$5:$A$204&lt;=$B77)*(A_Corridor!$B$5:$B$204&gt;$B77)*(A_Corridor!$F$5:$F$204&lt;&gt;"")),IF(A_Corridor!$F$5:$F$204="-","",1)),"")</f>
        <v/>
      </c>
      <c r="J77" s="182" t="str">
        <f>IFERROR(LOOKUP(2,1/((A_Corridor!$A$5:$A$204&lt;&gt;"")*(A_Corridor!$A$5:$A$204&lt;=$B77)*(A_Corridor!$B$5:$B$204&gt;$B77)*(A_Corridor!$F$5:$F$204&lt;&gt;"")),IF(A_Corridor!$F$5:$F$204="-","",A_Corridor!$F$5:$F$204)),"")</f>
        <v/>
      </c>
      <c r="K77" s="182" t="str">
        <f>IFERROR(LOOKUP(2,1/((A_Corridor!$A$5:$A$204&lt;&gt;"")*(A_Corridor!$A$5:$A$204&lt;=$B77)*(A_Corridor!$B$5:$B$204&gt;$B77)*(A_Corridor!$G$5:$G$204&lt;&gt;"")),IF(A_Corridor!$G$5:$G$204="-","",A_Corridor!$G$5:$G$204)),"")</f>
        <v/>
      </c>
      <c r="L77" s="181" t="str">
        <f>IFERROR(LOOKUP(2,1/((A_Corridor!$A$5:$A$204&lt;&gt;"")*(A_Corridor!$A$5:$A$204&lt;=$B77)*(A_Corridor!$B$5:$B$204&gt;$B77)*(A_Corridor!$H$5:$H$204&lt;&gt;"")),IF(A_Corridor!$H$5:$H$204="-","",1)),"")</f>
        <v/>
      </c>
      <c r="M77" s="182" t="str">
        <f>IFERROR(LOOKUP(2,1/((A_Corridor!$A$5:$A$204&lt;&gt;"")*(A_Corridor!$A$5:$A$204&lt;=$B77)*(A_Corridor!$B$5:$B$204&gt;$B77)*(A_Corridor!$H$5:$H$204&lt;&gt;"")),IF(A_Corridor!$H$5:$H$204="-","",A_Corridor!$H$5:$H$204)),"")</f>
        <v/>
      </c>
      <c r="N77" s="182" t="str">
        <f>IFERROR(LOOKUP(2,1/((A_Corridor!$A$5:$A$204&lt;&gt;"")*(A_Corridor!$A$5:$A$204&lt;=$B77)*(A_Corridor!$B$5:$B$204&gt;$B77)*(A_Corridor!$I$5:$I$204&lt;&gt;"")),IF(A_Corridor!$I$5:$I$204="-","",A_Corridor!$I$5:$I$204)),"")</f>
        <v/>
      </c>
      <c r="O77" s="182" t="str">
        <f>IFERROR(LOOKUP(2,1/((D_Points!$A$5:$A$204&lt;&gt;"")*(D_Points!$A$5:$A$204&gt;=$B77)*(D_Points!$A$5:$A$204&lt;$B77+P_Interval)*(UPPER(TRIM(D_Points!$B$5:$B$204))="PITCHING")*(D_Points!$H$5:$H$204&lt;&gt;"")),D_Points!$H$5:$H$204),"")</f>
        <v/>
      </c>
      <c r="P77" s="181" t="str">
        <f>IFERROR(LOOKUP(2,1/((B_Drainage!$A$5:$A$204&lt;&gt;"")*(B_Drainage!$A$5:$A$204&lt;=$B77)*(B_Drainage!$B$5:$B$204&gt;$B77)*(B_Drainage!$C$5:$C$204&lt;&gt;"")),IF(B_Drainage!$C$5:$C$204="-","",UPPER(B_Drainage!$C$5:$C$204))),"")</f>
        <v/>
      </c>
      <c r="Q77" s="181" t="str">
        <f>IFERROR(LOOKUP(2,1/((B_Drainage!$A$5:$A$204&lt;&gt;"")*(B_Drainage!$A$5:$A$204&lt;=$B77)*(B_Drainage!$B$5:$B$204&gt;$B77)*(B_Drainage!$D$5:$D$204&lt;&gt;"")),IF(B_Drainage!$D$5:$D$204="-","",UPPER(B_Drainage!$D$5:$D$204))),"")</f>
        <v/>
      </c>
      <c r="R77" s="182" t="str">
        <f>IFERROR(LOOKUP(2,1/((D_Points!$A$5:$A$204&lt;&gt;"")*(D_Points!$A$5:$A$204&gt;=$B77)*(D_Points!$A$5:$A$204&lt;$B77+P_Interval)*(RIGHT(UPPER(TRIM(D_Points!$B$5:$B$204)),8)="_CULVERT")),IF(LEFT(UPPER(TRIM(D_Points!$B$5:$B$204)),2)="EX",1,IF(LEFT(UPPER(TRIM(D_Points!$B$5:$B$204)),2)="PR",2,3))),"")</f>
        <v/>
      </c>
      <c r="S77" s="182" t="str">
        <f>IFERROR(LOOKUP(2,1/((D_Points!$A$5:$A$204&lt;&gt;"")*(D_Points!$A$5:$A$204&gt;=$B77)*(D_Points!$A$5:$A$204&lt;$B77+P_Interval)*(RIGHT(UPPER(TRIM(D_Points!$B$5:$B$204)),7)="_BRIDGE")),IF(LEFT(UPPER(TRIM(D_Points!$B$5:$B$204)),2)="EX",1,IF(LEFT(UPPER(TRIM(D_Points!$B$5:$B$204)),2)="PR",2,2))),"")</f>
        <v/>
      </c>
      <c r="T77" s="181" t="str">
        <f>IFERROR(LOOKUP(2,1/((B_Drainage!$A$5:$A$204&lt;&gt;"")*(B_Drainage!$A$5:$A$204&lt;=$B77)*(B_Drainage!$B$5:$B$204&gt;$B77)*(B_Drainage!$E$5:$E$204&lt;&gt;"")),IF(B_Drainage!$E$5:$E$204="-","",1)),"")</f>
        <v/>
      </c>
      <c r="U77" s="181" t="str">
        <f>IFERROR(LOOKUP(2,1/((B_Drainage!$A$5:$A$204&lt;&gt;"")*(B_Drainage!$A$5:$A$204&lt;=$B77)*(B_Drainage!$B$5:$B$204&gt;$B77)*(B_Drainage!$E$5:$E$204&lt;&gt;"")),IF(B_Drainage!$E$5:$E$204="-","",B_Drainage!$E$5:$E$204)),"")</f>
        <v/>
      </c>
      <c r="V77" s="181" t="str">
        <f>IFERROR(LOOKUP(2,1/((B_Drainage!$A$5:$A$204&lt;&gt;"")*(B_Drainage!$A$5:$A$204&lt;=$B77)*(B_Drainage!$B$5:$B$204&gt;$B77)*(B_Drainage!$F$5:$F$204&lt;&gt;"")),IF(B_Drainage!$F$5:$F$204="-","",1)),"")</f>
        <v/>
      </c>
      <c r="W77" s="181" t="str">
        <f>IFERROR(LOOKUP(2,1/((B_Drainage!$A$5:$A$204&lt;&gt;"")*(B_Drainage!$A$5:$A$204&lt;=$B77)*(B_Drainage!$B$5:$B$204&gt;$B77)*(B_Drainage!$F$5:$F$204&lt;&gt;"")),IF(B_Drainage!$F$5:$F$204="-","",B_Drainage!$F$5:$F$204)),"")</f>
        <v/>
      </c>
      <c r="X77" s="181" t="str">
        <f>IFERROR(LOOKUP(2,1/((B_Drainage!$A$5:$A$204&lt;&gt;"")*(B_Drainage!$A$5:$A$204&lt;=$B77)*(B_Drainage!$B$5:$B$204&gt;$B77)*(B_Drainage!$G$5:$G$204&lt;&gt;"")),IF(UPPER(B_Drainage!$G$5:$G$204)="Y",1,"")),"")</f>
        <v/>
      </c>
      <c r="Y77" s="181" t="str">
        <f>IFERROR(LOOKUP(2,1/((B_Drainage!$A$5:$A$204&lt;&gt;"")*(B_Drainage!$A$5:$A$204&lt;=$B77)*(B_Drainage!$B$5:$B$204&gt;$B77)*(B_Drainage!$H$5:$H$204&lt;&gt;"")),IF(UPPER(B_Drainage!$H$5:$H$204)="Y",1,"")),"")</f>
        <v/>
      </c>
      <c r="Z77" s="181" t="str">
        <f>IFERROR(LOOKUP(2,1/((B_Drainage!$A$5:$A$204&lt;&gt;"")*(B_Drainage!$A$5:$A$204&lt;=$B77)*(B_Drainage!$B$5:$B$204&gt;$B77)*(B_Drainage!$I$5:$I$204&lt;&gt;"")),IF(UPPER(B_Drainage!$I$5:$I$204)="Y",1,"")),"")</f>
        <v/>
      </c>
      <c r="AA77" s="181" t="str">
        <f>IFERROR(LOOKUP(2,1/((B_Drainage!$A$5:$A$204&lt;&gt;"")*(B_Drainage!$A$5:$A$204&lt;=$B77)*(B_Drainage!$B$5:$B$204&gt;$B77)*(B_Drainage!$J$5:$J$204&lt;&gt;"")),IF(UPPER(B_Drainage!$J$5:$J$204)="Y",1,"")),"")</f>
        <v/>
      </c>
      <c r="AB77" s="182" t="str">
        <f>IFERROR(LOOKUP(2,1/((B_Drainage!$A$5:$A$204&lt;&gt;"")*(B_Drainage!$A$5:$A$204&lt;=$B77)*(B_Drainage!$B$5:$B$204&gt;$B77)*(B_Drainage!$K$5:$K$204&lt;&gt;"")),IF(B_Drainage!$K$5:$K$204="-","",B_Drainage!$K$5:$K$204)),"")</f>
        <v/>
      </c>
      <c r="AC77" s="182" t="str">
        <f>IFERROR(LOOKUP(2,1/((B_Drainage!$A$5:$A$204&lt;&gt;"")*(B_Drainage!$A$5:$A$204&lt;=$B77)*(B_Drainage!$B$5:$B$204&gt;$B77)*(B_Drainage!$L$5:$L$204&lt;&gt;"")),IF(B_Drainage!$L$5:$L$204="-","",B_Drainage!$L$5:$L$204)),"")</f>
        <v/>
      </c>
      <c r="AD77" s="182" t="str">
        <f>IFERROR(LOOKUP(2,1/((D_Points!$A$5:$A$204&lt;&gt;"")*(D_Points!$A$5:$A$204&gt;=$B77)*(D_Points!$A$5:$A$204&lt;$B77+P_Interval)*(UPPER(TRIM(D_Points!$B$5:$B$204))="TURNOUT_L")*(D_Points!$H$5:$H$204&lt;&gt;"")),D_Points!$H$5:$H$204),"")</f>
        <v/>
      </c>
      <c r="AE77" s="182" t="str">
        <f>IFERROR(LOOKUP(2,1/((D_Points!$A$5:$A$204&lt;&gt;"")*(D_Points!$A$5:$A$204&gt;=$B77)*(D_Points!$A$5:$A$204&lt;$B77+P_Interval)*(UPPER(TRIM(D_Points!$B$5:$B$204))="TURNOUT_R")*(D_Points!$H$5:$H$204&lt;&gt;"")),D_Points!$H$5:$H$204),"")</f>
        <v/>
      </c>
      <c r="AF77" s="181" t="str">
        <f>IFERROR(LOOKUP(2,1/((B_Drainage!$A$5:$A$204&lt;&gt;"")*(B_Drainage!$A$5:$A$204&lt;=$B77)*(B_Drainage!$B$5:$B$204&gt;$B77)*(B_Drainage!$M$5:$M$204&lt;&gt;"")),IF(UPPER(B_Drainage!$M$5:$M$204)="Y",1,"")),"")</f>
        <v/>
      </c>
      <c r="AG77" s="181" t="str">
        <f>IFERROR(LOOKUP(2,1/((B_Drainage!$A$5:$A$204&lt;&gt;"")*(B_Drainage!$A$5:$A$204&lt;=$B77)*(B_Drainage!$B$5:$B$204&gt;$B77)*(B_Drainage!$N$5:$N$204&lt;&gt;"")),IF(UPPER(B_Drainage!$N$5:$N$204)="Y",1,"")),"")</f>
        <v/>
      </c>
      <c r="AH77" s="181" t="str">
        <f t="shared" si="8"/>
        <v/>
      </c>
      <c r="AI77" s="181" t="str">
        <f t="shared" si="9"/>
        <v/>
      </c>
      <c r="AJ77" s="181" t="str">
        <f t="shared" si="10"/>
        <v/>
      </c>
      <c r="AK77" s="181" t="str">
        <f t="shared" si="11"/>
        <v/>
      </c>
      <c r="AL77" s="181" t="str">
        <f t="shared" si="12"/>
        <v/>
      </c>
      <c r="AM77" s="181" t="str">
        <f t="shared" si="13"/>
        <v/>
      </c>
      <c r="AN77" s="181" t="str">
        <f t="shared" si="14"/>
        <v/>
      </c>
      <c r="AO77" s="192" t="str">
        <f t="shared" si="15"/>
        <v/>
      </c>
      <c r="AQ77" t="str">
        <f>IFERROR(LOOKUP(2,1/((C_Pavement!$A$5:$A$204&lt;&gt;"")*(C_Pavement!$A$5:$A$204&lt;=$B77)*(C_Pavement!$B$5:$B$204&gt;$B77)*(C_Pavement!$C$5:$C$204&lt;&gt;"")),ROW(C_Pavement!$C$5:$C$204)-4),"")</f>
        <v/>
      </c>
      <c r="AR77" t="str">
        <f>IF($AQ77="","",UPPER(TRIM(INDEX(C_Pavement!$C$5:$C$204,$AQ77))))</f>
        <v/>
      </c>
      <c r="AS77" t="str">
        <f>IF($AR77="","",IFERROR(MATCH($AR77,E_Rules!$A$5:$A$9,0),""))</f>
        <v/>
      </c>
      <c r="AT77" t="str">
        <f>IF($AQ77="","",IF(INDEX(C_Pavement!$D$5:$D$204,$AQ77)&lt;&gt;"",UPPER(TRIM(INDEX(C_Pavement!$D$5:$D$204,$AQ77))),IF($AS77="","",INDEX(E_Rules!$C$5:$C$9,$AS77))))</f>
        <v/>
      </c>
      <c r="AU77" t="str">
        <f>IF($AQ77="","",IF(INDEX(C_Pavement!$E$5:$E$204,$AQ77)&lt;&gt;"",IF(INDEX(C_Pavement!$E$5:$E$204,$AQ77)="-","",INDEX(C_Pavement!$E$5:$E$204,$AQ77)),IF($AS77="","",INDEX(E_Rules!$D$5:$D$9,$AS77))))</f>
        <v/>
      </c>
      <c r="AV77" t="str">
        <f>IF($AQ77="","",IF(INDEX(C_Pavement!$F$5:$F$204,$AQ77)&lt;&gt;"",IF(INDEX(C_Pavement!$F$5:$F$204,$AQ77)="-","",INDEX(C_Pavement!$F$5:$F$204,$AQ77)),IF($AS77="","",INDEX(E_Rules!$E$5:$E$9,$AS77))))</f>
        <v/>
      </c>
      <c r="AW77" t="str">
        <f>IF($AQ77="","",IF(INDEX(C_Pavement!$G$5:$G$204,$AQ77)&lt;&gt;"",IF(INDEX(C_Pavement!$G$5:$G$204,$AQ77)="-","",INDEX(C_Pavement!$G$5:$G$204,$AQ77)),IF($AS77="","",INDEX(E_Rules!$F$5:$F$9,$AS77))))</f>
        <v/>
      </c>
      <c r="AX77" t="str">
        <f>IF($AQ77="","",IF(INDEX(C_Pavement!$H$5:$H$204,$AQ77)&lt;&gt;"",IF(INDEX(C_Pavement!$H$5:$H$204,$AQ77)="-","",INDEX(C_Pavement!$H$5:$H$204,$AQ77)),IF($AS77="","",INDEX(E_Rules!$G$5:$G$9,$AS77))))</f>
        <v/>
      </c>
      <c r="AY77" t="str">
        <f>IF($AQ77="","",IF(INDEX(C_Pavement!$I$5:$I$204,$AQ77)&lt;&gt;"",IF(INDEX(C_Pavement!$I$5:$I$204,$AQ77)="-","",INDEX(C_Pavement!$I$5:$I$204,$AQ77)),IF($AS77="","",INDEX(E_Rules!$H$5:$H$9,$AS77))))</f>
        <v/>
      </c>
    </row>
    <row r="78" spans="1:51" ht="15.75" customHeight="1" x14ac:dyDescent="0.3">
      <c r="A78" s="189">
        <v>73</v>
      </c>
      <c r="B78" s="180">
        <v>3600</v>
      </c>
      <c r="C78" s="180" t="s">
        <v>384</v>
      </c>
      <c r="D78" s="181" t="str">
        <f>IFERROR(LOOKUP(2,1/((A_Corridor!$A$5:$A$204&lt;&gt;"")*(A_Corridor!$A$5:$A$204&lt;=$B78)*(A_Corridor!$B$5:$B$204&gt;$B78)*(A_Corridor!$C$5:$C$204&lt;&gt;"")),IF(UPPER(A_Corridor!$C$5:$C$204)="Y",1,"")),"")</f>
        <v/>
      </c>
      <c r="E78" s="181" t="str">
        <f>IFERROR(LOOKUP(2,1/((A_Corridor!$A$5:$A$204&lt;&gt;"")*(A_Corridor!$A$5:$A$204&lt;=$B78)*(A_Corridor!$B$5:$B$204&gt;$B78)*(A_Corridor!$D$5:$D$204&lt;&gt;"")),IF(A_Corridor!$D$5:$D$204="-","",UPPER(A_Corridor!$D$5:$D$204))),"")</f>
        <v/>
      </c>
      <c r="F78" s="181" t="str">
        <f>IFERROR(LOOKUP(2,1/((A_Corridor!$A$5:$A$204&lt;&gt;"")*(A_Corridor!$A$5:$A$204&lt;=$B78)*(A_Corridor!$B$5:$B$204&gt;$B78)*(A_Corridor!$E$5:$E$204&lt;&gt;"")),IF(A_Corridor!$E$5:$E$204="-","",1)),"")</f>
        <v/>
      </c>
      <c r="G78" s="182" t="str">
        <f>IFERROR(LOOKUP(2,1/((A_Corridor!$A$5:$A$204&lt;&gt;"")*(A_Corridor!$A$5:$A$204&lt;=$B78)*(A_Corridor!$B$5:$B$204&gt;$B78)*(A_Corridor!$E$5:$E$204&lt;&gt;"")),IF(A_Corridor!$E$5:$E$204="-","",A_Corridor!$E$5:$E$204)),"")</f>
        <v/>
      </c>
      <c r="H78" s="182" t="str">
        <f>IFERROR(LOOKUP(2,1/((D_Points!$A$5:$A$204&lt;&gt;"")*(D_Points!$A$5:$A$204&gt;=$B78)*(D_Points!$A$5:$A$204&lt;$B78+P_Interval)*(UPPER(TRIM(D_Points!$B$5:$B$204))="GULLY")*(D_Points!$H$5:$H$204&lt;&gt;"")),D_Points!$H$5:$H$204),"")</f>
        <v/>
      </c>
      <c r="I78" s="181" t="str">
        <f>IFERROR(LOOKUP(2,1/((A_Corridor!$A$5:$A$204&lt;&gt;"")*(A_Corridor!$A$5:$A$204&lt;=$B78)*(A_Corridor!$B$5:$B$204&gt;$B78)*(A_Corridor!$F$5:$F$204&lt;&gt;"")),IF(A_Corridor!$F$5:$F$204="-","",1)),"")</f>
        <v/>
      </c>
      <c r="J78" s="182" t="str">
        <f>IFERROR(LOOKUP(2,1/((A_Corridor!$A$5:$A$204&lt;&gt;"")*(A_Corridor!$A$5:$A$204&lt;=$B78)*(A_Corridor!$B$5:$B$204&gt;$B78)*(A_Corridor!$F$5:$F$204&lt;&gt;"")),IF(A_Corridor!$F$5:$F$204="-","",A_Corridor!$F$5:$F$204)),"")</f>
        <v/>
      </c>
      <c r="K78" s="182" t="str">
        <f>IFERROR(LOOKUP(2,1/((A_Corridor!$A$5:$A$204&lt;&gt;"")*(A_Corridor!$A$5:$A$204&lt;=$B78)*(A_Corridor!$B$5:$B$204&gt;$B78)*(A_Corridor!$G$5:$G$204&lt;&gt;"")),IF(A_Corridor!$G$5:$G$204="-","",A_Corridor!$G$5:$G$204)),"")</f>
        <v/>
      </c>
      <c r="L78" s="181" t="str">
        <f>IFERROR(LOOKUP(2,1/((A_Corridor!$A$5:$A$204&lt;&gt;"")*(A_Corridor!$A$5:$A$204&lt;=$B78)*(A_Corridor!$B$5:$B$204&gt;$B78)*(A_Corridor!$H$5:$H$204&lt;&gt;"")),IF(A_Corridor!$H$5:$H$204="-","",1)),"")</f>
        <v/>
      </c>
      <c r="M78" s="182" t="str">
        <f>IFERROR(LOOKUP(2,1/((A_Corridor!$A$5:$A$204&lt;&gt;"")*(A_Corridor!$A$5:$A$204&lt;=$B78)*(A_Corridor!$B$5:$B$204&gt;$B78)*(A_Corridor!$H$5:$H$204&lt;&gt;"")),IF(A_Corridor!$H$5:$H$204="-","",A_Corridor!$H$5:$H$204)),"")</f>
        <v/>
      </c>
      <c r="N78" s="182" t="str">
        <f>IFERROR(LOOKUP(2,1/((A_Corridor!$A$5:$A$204&lt;&gt;"")*(A_Corridor!$A$5:$A$204&lt;=$B78)*(A_Corridor!$B$5:$B$204&gt;$B78)*(A_Corridor!$I$5:$I$204&lt;&gt;"")),IF(A_Corridor!$I$5:$I$204="-","",A_Corridor!$I$5:$I$204)),"")</f>
        <v/>
      </c>
      <c r="O78" s="182" t="str">
        <f>IFERROR(LOOKUP(2,1/((D_Points!$A$5:$A$204&lt;&gt;"")*(D_Points!$A$5:$A$204&gt;=$B78)*(D_Points!$A$5:$A$204&lt;$B78+P_Interval)*(UPPER(TRIM(D_Points!$B$5:$B$204))="PITCHING")*(D_Points!$H$5:$H$204&lt;&gt;"")),D_Points!$H$5:$H$204),"")</f>
        <v/>
      </c>
      <c r="P78" s="181" t="str">
        <f>IFERROR(LOOKUP(2,1/((B_Drainage!$A$5:$A$204&lt;&gt;"")*(B_Drainage!$A$5:$A$204&lt;=$B78)*(B_Drainage!$B$5:$B$204&gt;$B78)*(B_Drainage!$C$5:$C$204&lt;&gt;"")),IF(B_Drainage!$C$5:$C$204="-","",UPPER(B_Drainage!$C$5:$C$204))),"")</f>
        <v/>
      </c>
      <c r="Q78" s="181" t="str">
        <f>IFERROR(LOOKUP(2,1/((B_Drainage!$A$5:$A$204&lt;&gt;"")*(B_Drainage!$A$5:$A$204&lt;=$B78)*(B_Drainage!$B$5:$B$204&gt;$B78)*(B_Drainage!$D$5:$D$204&lt;&gt;"")),IF(B_Drainage!$D$5:$D$204="-","",UPPER(B_Drainage!$D$5:$D$204))),"")</f>
        <v/>
      </c>
      <c r="R78" s="182" t="str">
        <f>IFERROR(LOOKUP(2,1/((D_Points!$A$5:$A$204&lt;&gt;"")*(D_Points!$A$5:$A$204&gt;=$B78)*(D_Points!$A$5:$A$204&lt;$B78+P_Interval)*(RIGHT(UPPER(TRIM(D_Points!$B$5:$B$204)),8)="_CULVERT")),IF(LEFT(UPPER(TRIM(D_Points!$B$5:$B$204)),2)="EX",1,IF(LEFT(UPPER(TRIM(D_Points!$B$5:$B$204)),2)="PR",2,3))),"")</f>
        <v/>
      </c>
      <c r="S78" s="182" t="str">
        <f>IFERROR(LOOKUP(2,1/((D_Points!$A$5:$A$204&lt;&gt;"")*(D_Points!$A$5:$A$204&gt;=$B78)*(D_Points!$A$5:$A$204&lt;$B78+P_Interval)*(RIGHT(UPPER(TRIM(D_Points!$B$5:$B$204)),7)="_BRIDGE")),IF(LEFT(UPPER(TRIM(D_Points!$B$5:$B$204)),2)="EX",1,IF(LEFT(UPPER(TRIM(D_Points!$B$5:$B$204)),2)="PR",2,2))),"")</f>
        <v/>
      </c>
      <c r="T78" s="181" t="str">
        <f>IFERROR(LOOKUP(2,1/((B_Drainage!$A$5:$A$204&lt;&gt;"")*(B_Drainage!$A$5:$A$204&lt;=$B78)*(B_Drainage!$B$5:$B$204&gt;$B78)*(B_Drainage!$E$5:$E$204&lt;&gt;"")),IF(B_Drainage!$E$5:$E$204="-","",1)),"")</f>
        <v/>
      </c>
      <c r="U78" s="181" t="str">
        <f>IFERROR(LOOKUP(2,1/((B_Drainage!$A$5:$A$204&lt;&gt;"")*(B_Drainage!$A$5:$A$204&lt;=$B78)*(B_Drainage!$B$5:$B$204&gt;$B78)*(B_Drainage!$E$5:$E$204&lt;&gt;"")),IF(B_Drainage!$E$5:$E$204="-","",B_Drainage!$E$5:$E$204)),"")</f>
        <v/>
      </c>
      <c r="V78" s="181" t="str">
        <f>IFERROR(LOOKUP(2,1/((B_Drainage!$A$5:$A$204&lt;&gt;"")*(B_Drainage!$A$5:$A$204&lt;=$B78)*(B_Drainage!$B$5:$B$204&gt;$B78)*(B_Drainage!$F$5:$F$204&lt;&gt;"")),IF(B_Drainage!$F$5:$F$204="-","",1)),"")</f>
        <v/>
      </c>
      <c r="W78" s="181" t="str">
        <f>IFERROR(LOOKUP(2,1/((B_Drainage!$A$5:$A$204&lt;&gt;"")*(B_Drainage!$A$5:$A$204&lt;=$B78)*(B_Drainage!$B$5:$B$204&gt;$B78)*(B_Drainage!$F$5:$F$204&lt;&gt;"")),IF(B_Drainage!$F$5:$F$204="-","",B_Drainage!$F$5:$F$204)),"")</f>
        <v/>
      </c>
      <c r="X78" s="181" t="str">
        <f>IFERROR(LOOKUP(2,1/((B_Drainage!$A$5:$A$204&lt;&gt;"")*(B_Drainage!$A$5:$A$204&lt;=$B78)*(B_Drainage!$B$5:$B$204&gt;$B78)*(B_Drainage!$G$5:$G$204&lt;&gt;"")),IF(UPPER(B_Drainage!$G$5:$G$204)="Y",1,"")),"")</f>
        <v/>
      </c>
      <c r="Y78" s="181" t="str">
        <f>IFERROR(LOOKUP(2,1/((B_Drainage!$A$5:$A$204&lt;&gt;"")*(B_Drainage!$A$5:$A$204&lt;=$B78)*(B_Drainage!$B$5:$B$204&gt;$B78)*(B_Drainage!$H$5:$H$204&lt;&gt;"")),IF(UPPER(B_Drainage!$H$5:$H$204)="Y",1,"")),"")</f>
        <v/>
      </c>
      <c r="Z78" s="181" t="str">
        <f>IFERROR(LOOKUP(2,1/((B_Drainage!$A$5:$A$204&lt;&gt;"")*(B_Drainage!$A$5:$A$204&lt;=$B78)*(B_Drainage!$B$5:$B$204&gt;$B78)*(B_Drainage!$I$5:$I$204&lt;&gt;"")),IF(UPPER(B_Drainage!$I$5:$I$204)="Y",1,"")),"")</f>
        <v/>
      </c>
      <c r="AA78" s="181" t="str">
        <f>IFERROR(LOOKUP(2,1/((B_Drainage!$A$5:$A$204&lt;&gt;"")*(B_Drainage!$A$5:$A$204&lt;=$B78)*(B_Drainage!$B$5:$B$204&gt;$B78)*(B_Drainage!$J$5:$J$204&lt;&gt;"")),IF(UPPER(B_Drainage!$J$5:$J$204)="Y",1,"")),"")</f>
        <v/>
      </c>
      <c r="AB78" s="182" t="str">
        <f>IFERROR(LOOKUP(2,1/((B_Drainage!$A$5:$A$204&lt;&gt;"")*(B_Drainage!$A$5:$A$204&lt;=$B78)*(B_Drainage!$B$5:$B$204&gt;$B78)*(B_Drainage!$K$5:$K$204&lt;&gt;"")),IF(B_Drainage!$K$5:$K$204="-","",B_Drainage!$K$5:$K$204)),"")</f>
        <v/>
      </c>
      <c r="AC78" s="182" t="str">
        <f>IFERROR(LOOKUP(2,1/((B_Drainage!$A$5:$A$204&lt;&gt;"")*(B_Drainage!$A$5:$A$204&lt;=$B78)*(B_Drainage!$B$5:$B$204&gt;$B78)*(B_Drainage!$L$5:$L$204&lt;&gt;"")),IF(B_Drainage!$L$5:$L$204="-","",B_Drainage!$L$5:$L$204)),"")</f>
        <v/>
      </c>
      <c r="AD78" s="182" t="str">
        <f>IFERROR(LOOKUP(2,1/((D_Points!$A$5:$A$204&lt;&gt;"")*(D_Points!$A$5:$A$204&gt;=$B78)*(D_Points!$A$5:$A$204&lt;$B78+P_Interval)*(UPPER(TRIM(D_Points!$B$5:$B$204))="TURNOUT_L")*(D_Points!$H$5:$H$204&lt;&gt;"")),D_Points!$H$5:$H$204),"")</f>
        <v/>
      </c>
      <c r="AE78" s="182" t="str">
        <f>IFERROR(LOOKUP(2,1/((D_Points!$A$5:$A$204&lt;&gt;"")*(D_Points!$A$5:$A$204&gt;=$B78)*(D_Points!$A$5:$A$204&lt;$B78+P_Interval)*(UPPER(TRIM(D_Points!$B$5:$B$204))="TURNOUT_R")*(D_Points!$H$5:$H$204&lt;&gt;"")),D_Points!$H$5:$H$204),"")</f>
        <v/>
      </c>
      <c r="AF78" s="181" t="str">
        <f>IFERROR(LOOKUP(2,1/((B_Drainage!$A$5:$A$204&lt;&gt;"")*(B_Drainage!$A$5:$A$204&lt;=$B78)*(B_Drainage!$B$5:$B$204&gt;$B78)*(B_Drainage!$M$5:$M$204&lt;&gt;"")),IF(UPPER(B_Drainage!$M$5:$M$204)="Y",1,"")),"")</f>
        <v/>
      </c>
      <c r="AG78" s="181" t="str">
        <f>IFERROR(LOOKUP(2,1/((B_Drainage!$A$5:$A$204&lt;&gt;"")*(B_Drainage!$A$5:$A$204&lt;=$B78)*(B_Drainage!$B$5:$B$204&gt;$B78)*(B_Drainage!$N$5:$N$204&lt;&gt;"")),IF(UPPER(B_Drainage!$N$5:$N$204)="Y",1,"")),"")</f>
        <v/>
      </c>
      <c r="AH78" s="181" t="str">
        <f t="shared" si="8"/>
        <v/>
      </c>
      <c r="AI78" s="181" t="str">
        <f t="shared" si="9"/>
        <v/>
      </c>
      <c r="AJ78" s="181" t="str">
        <f t="shared" si="10"/>
        <v/>
      </c>
      <c r="AK78" s="181" t="str">
        <f t="shared" si="11"/>
        <v/>
      </c>
      <c r="AL78" s="181" t="str">
        <f t="shared" si="12"/>
        <v/>
      </c>
      <c r="AM78" s="181" t="str">
        <f t="shared" si="13"/>
        <v/>
      </c>
      <c r="AN78" s="181" t="str">
        <f t="shared" si="14"/>
        <v/>
      </c>
      <c r="AO78" s="192" t="str">
        <f t="shared" si="15"/>
        <v/>
      </c>
      <c r="AQ78" t="str">
        <f>IFERROR(LOOKUP(2,1/((C_Pavement!$A$5:$A$204&lt;&gt;"")*(C_Pavement!$A$5:$A$204&lt;=$B78)*(C_Pavement!$B$5:$B$204&gt;$B78)*(C_Pavement!$C$5:$C$204&lt;&gt;"")),ROW(C_Pavement!$C$5:$C$204)-4),"")</f>
        <v/>
      </c>
      <c r="AR78" t="str">
        <f>IF($AQ78="","",UPPER(TRIM(INDEX(C_Pavement!$C$5:$C$204,$AQ78))))</f>
        <v/>
      </c>
      <c r="AS78" t="str">
        <f>IF($AR78="","",IFERROR(MATCH($AR78,E_Rules!$A$5:$A$9,0),""))</f>
        <v/>
      </c>
      <c r="AT78" t="str">
        <f>IF($AQ78="","",IF(INDEX(C_Pavement!$D$5:$D$204,$AQ78)&lt;&gt;"",UPPER(TRIM(INDEX(C_Pavement!$D$5:$D$204,$AQ78))),IF($AS78="","",INDEX(E_Rules!$C$5:$C$9,$AS78))))</f>
        <v/>
      </c>
      <c r="AU78" t="str">
        <f>IF($AQ78="","",IF(INDEX(C_Pavement!$E$5:$E$204,$AQ78)&lt;&gt;"",IF(INDEX(C_Pavement!$E$5:$E$204,$AQ78)="-","",INDEX(C_Pavement!$E$5:$E$204,$AQ78)),IF($AS78="","",INDEX(E_Rules!$D$5:$D$9,$AS78))))</f>
        <v/>
      </c>
      <c r="AV78" t="str">
        <f>IF($AQ78="","",IF(INDEX(C_Pavement!$F$5:$F$204,$AQ78)&lt;&gt;"",IF(INDEX(C_Pavement!$F$5:$F$204,$AQ78)="-","",INDEX(C_Pavement!$F$5:$F$204,$AQ78)),IF($AS78="","",INDEX(E_Rules!$E$5:$E$9,$AS78))))</f>
        <v/>
      </c>
      <c r="AW78" t="str">
        <f>IF($AQ78="","",IF(INDEX(C_Pavement!$G$5:$G$204,$AQ78)&lt;&gt;"",IF(INDEX(C_Pavement!$G$5:$G$204,$AQ78)="-","",INDEX(C_Pavement!$G$5:$G$204,$AQ78)),IF($AS78="","",INDEX(E_Rules!$F$5:$F$9,$AS78))))</f>
        <v/>
      </c>
      <c r="AX78" t="str">
        <f>IF($AQ78="","",IF(INDEX(C_Pavement!$H$5:$H$204,$AQ78)&lt;&gt;"",IF(INDEX(C_Pavement!$H$5:$H$204,$AQ78)="-","",INDEX(C_Pavement!$H$5:$H$204,$AQ78)),IF($AS78="","",INDEX(E_Rules!$G$5:$G$9,$AS78))))</f>
        <v/>
      </c>
      <c r="AY78" t="str">
        <f>IF($AQ78="","",IF(INDEX(C_Pavement!$I$5:$I$204,$AQ78)&lt;&gt;"",IF(INDEX(C_Pavement!$I$5:$I$204,$AQ78)="-","",INDEX(C_Pavement!$I$5:$I$204,$AQ78)),IF($AS78="","",INDEX(E_Rules!$H$5:$H$9,$AS78))))</f>
        <v/>
      </c>
    </row>
    <row r="79" spans="1:51" ht="15.75" customHeight="1" x14ac:dyDescent="0.3">
      <c r="A79" s="189">
        <v>74</v>
      </c>
      <c r="B79" s="180">
        <v>3650</v>
      </c>
      <c r="C79" s="180" t="s">
        <v>385</v>
      </c>
      <c r="D79" s="181" t="str">
        <f>IFERROR(LOOKUP(2,1/((A_Corridor!$A$5:$A$204&lt;&gt;"")*(A_Corridor!$A$5:$A$204&lt;=$B79)*(A_Corridor!$B$5:$B$204&gt;$B79)*(A_Corridor!$C$5:$C$204&lt;&gt;"")),IF(UPPER(A_Corridor!$C$5:$C$204)="Y",1,"")),"")</f>
        <v/>
      </c>
      <c r="E79" s="181" t="str">
        <f>IFERROR(LOOKUP(2,1/((A_Corridor!$A$5:$A$204&lt;&gt;"")*(A_Corridor!$A$5:$A$204&lt;=$B79)*(A_Corridor!$B$5:$B$204&gt;$B79)*(A_Corridor!$D$5:$D$204&lt;&gt;"")),IF(A_Corridor!$D$5:$D$204="-","",UPPER(A_Corridor!$D$5:$D$204))),"")</f>
        <v/>
      </c>
      <c r="F79" s="181" t="str">
        <f>IFERROR(LOOKUP(2,1/((A_Corridor!$A$5:$A$204&lt;&gt;"")*(A_Corridor!$A$5:$A$204&lt;=$B79)*(A_Corridor!$B$5:$B$204&gt;$B79)*(A_Corridor!$E$5:$E$204&lt;&gt;"")),IF(A_Corridor!$E$5:$E$204="-","",1)),"")</f>
        <v/>
      </c>
      <c r="G79" s="182" t="str">
        <f>IFERROR(LOOKUP(2,1/((A_Corridor!$A$5:$A$204&lt;&gt;"")*(A_Corridor!$A$5:$A$204&lt;=$B79)*(A_Corridor!$B$5:$B$204&gt;$B79)*(A_Corridor!$E$5:$E$204&lt;&gt;"")),IF(A_Corridor!$E$5:$E$204="-","",A_Corridor!$E$5:$E$204)),"")</f>
        <v/>
      </c>
      <c r="H79" s="182" t="str">
        <f>IFERROR(LOOKUP(2,1/((D_Points!$A$5:$A$204&lt;&gt;"")*(D_Points!$A$5:$A$204&gt;=$B79)*(D_Points!$A$5:$A$204&lt;$B79+P_Interval)*(UPPER(TRIM(D_Points!$B$5:$B$204))="GULLY")*(D_Points!$H$5:$H$204&lt;&gt;"")),D_Points!$H$5:$H$204),"")</f>
        <v/>
      </c>
      <c r="I79" s="181" t="str">
        <f>IFERROR(LOOKUP(2,1/((A_Corridor!$A$5:$A$204&lt;&gt;"")*(A_Corridor!$A$5:$A$204&lt;=$B79)*(A_Corridor!$B$5:$B$204&gt;$B79)*(A_Corridor!$F$5:$F$204&lt;&gt;"")),IF(A_Corridor!$F$5:$F$204="-","",1)),"")</f>
        <v/>
      </c>
      <c r="J79" s="182" t="str">
        <f>IFERROR(LOOKUP(2,1/((A_Corridor!$A$5:$A$204&lt;&gt;"")*(A_Corridor!$A$5:$A$204&lt;=$B79)*(A_Corridor!$B$5:$B$204&gt;$B79)*(A_Corridor!$F$5:$F$204&lt;&gt;"")),IF(A_Corridor!$F$5:$F$204="-","",A_Corridor!$F$5:$F$204)),"")</f>
        <v/>
      </c>
      <c r="K79" s="182" t="str">
        <f>IFERROR(LOOKUP(2,1/((A_Corridor!$A$5:$A$204&lt;&gt;"")*(A_Corridor!$A$5:$A$204&lt;=$B79)*(A_Corridor!$B$5:$B$204&gt;$B79)*(A_Corridor!$G$5:$G$204&lt;&gt;"")),IF(A_Corridor!$G$5:$G$204="-","",A_Corridor!$G$5:$G$204)),"")</f>
        <v/>
      </c>
      <c r="L79" s="181" t="str">
        <f>IFERROR(LOOKUP(2,1/((A_Corridor!$A$5:$A$204&lt;&gt;"")*(A_Corridor!$A$5:$A$204&lt;=$B79)*(A_Corridor!$B$5:$B$204&gt;$B79)*(A_Corridor!$H$5:$H$204&lt;&gt;"")),IF(A_Corridor!$H$5:$H$204="-","",1)),"")</f>
        <v/>
      </c>
      <c r="M79" s="182" t="str">
        <f>IFERROR(LOOKUP(2,1/((A_Corridor!$A$5:$A$204&lt;&gt;"")*(A_Corridor!$A$5:$A$204&lt;=$B79)*(A_Corridor!$B$5:$B$204&gt;$B79)*(A_Corridor!$H$5:$H$204&lt;&gt;"")),IF(A_Corridor!$H$5:$H$204="-","",A_Corridor!$H$5:$H$204)),"")</f>
        <v/>
      </c>
      <c r="N79" s="182" t="str">
        <f>IFERROR(LOOKUP(2,1/((A_Corridor!$A$5:$A$204&lt;&gt;"")*(A_Corridor!$A$5:$A$204&lt;=$B79)*(A_Corridor!$B$5:$B$204&gt;$B79)*(A_Corridor!$I$5:$I$204&lt;&gt;"")),IF(A_Corridor!$I$5:$I$204="-","",A_Corridor!$I$5:$I$204)),"")</f>
        <v/>
      </c>
      <c r="O79" s="182" t="str">
        <f>IFERROR(LOOKUP(2,1/((D_Points!$A$5:$A$204&lt;&gt;"")*(D_Points!$A$5:$A$204&gt;=$B79)*(D_Points!$A$5:$A$204&lt;$B79+P_Interval)*(UPPER(TRIM(D_Points!$B$5:$B$204))="PITCHING")*(D_Points!$H$5:$H$204&lt;&gt;"")),D_Points!$H$5:$H$204),"")</f>
        <v/>
      </c>
      <c r="P79" s="181" t="str">
        <f>IFERROR(LOOKUP(2,1/((B_Drainage!$A$5:$A$204&lt;&gt;"")*(B_Drainage!$A$5:$A$204&lt;=$B79)*(B_Drainage!$B$5:$B$204&gt;$B79)*(B_Drainage!$C$5:$C$204&lt;&gt;"")),IF(B_Drainage!$C$5:$C$204="-","",UPPER(B_Drainage!$C$5:$C$204))),"")</f>
        <v/>
      </c>
      <c r="Q79" s="181" t="str">
        <f>IFERROR(LOOKUP(2,1/((B_Drainage!$A$5:$A$204&lt;&gt;"")*(B_Drainage!$A$5:$A$204&lt;=$B79)*(B_Drainage!$B$5:$B$204&gt;$B79)*(B_Drainage!$D$5:$D$204&lt;&gt;"")),IF(B_Drainage!$D$5:$D$204="-","",UPPER(B_Drainage!$D$5:$D$204))),"")</f>
        <v/>
      </c>
      <c r="R79" s="182" t="str">
        <f>IFERROR(LOOKUP(2,1/((D_Points!$A$5:$A$204&lt;&gt;"")*(D_Points!$A$5:$A$204&gt;=$B79)*(D_Points!$A$5:$A$204&lt;$B79+P_Interval)*(RIGHT(UPPER(TRIM(D_Points!$B$5:$B$204)),8)="_CULVERT")),IF(LEFT(UPPER(TRIM(D_Points!$B$5:$B$204)),2)="EX",1,IF(LEFT(UPPER(TRIM(D_Points!$B$5:$B$204)),2)="PR",2,3))),"")</f>
        <v/>
      </c>
      <c r="S79" s="182" t="str">
        <f>IFERROR(LOOKUP(2,1/((D_Points!$A$5:$A$204&lt;&gt;"")*(D_Points!$A$5:$A$204&gt;=$B79)*(D_Points!$A$5:$A$204&lt;$B79+P_Interval)*(RIGHT(UPPER(TRIM(D_Points!$B$5:$B$204)),7)="_BRIDGE")),IF(LEFT(UPPER(TRIM(D_Points!$B$5:$B$204)),2)="EX",1,IF(LEFT(UPPER(TRIM(D_Points!$B$5:$B$204)),2)="PR",2,2))),"")</f>
        <v/>
      </c>
      <c r="T79" s="181" t="str">
        <f>IFERROR(LOOKUP(2,1/((B_Drainage!$A$5:$A$204&lt;&gt;"")*(B_Drainage!$A$5:$A$204&lt;=$B79)*(B_Drainage!$B$5:$B$204&gt;$B79)*(B_Drainage!$E$5:$E$204&lt;&gt;"")),IF(B_Drainage!$E$5:$E$204="-","",1)),"")</f>
        <v/>
      </c>
      <c r="U79" s="181" t="str">
        <f>IFERROR(LOOKUP(2,1/((B_Drainage!$A$5:$A$204&lt;&gt;"")*(B_Drainage!$A$5:$A$204&lt;=$B79)*(B_Drainage!$B$5:$B$204&gt;$B79)*(B_Drainage!$E$5:$E$204&lt;&gt;"")),IF(B_Drainage!$E$5:$E$204="-","",B_Drainage!$E$5:$E$204)),"")</f>
        <v/>
      </c>
      <c r="V79" s="181" t="str">
        <f>IFERROR(LOOKUP(2,1/((B_Drainage!$A$5:$A$204&lt;&gt;"")*(B_Drainage!$A$5:$A$204&lt;=$B79)*(B_Drainage!$B$5:$B$204&gt;$B79)*(B_Drainage!$F$5:$F$204&lt;&gt;"")),IF(B_Drainage!$F$5:$F$204="-","",1)),"")</f>
        <v/>
      </c>
      <c r="W79" s="181" t="str">
        <f>IFERROR(LOOKUP(2,1/((B_Drainage!$A$5:$A$204&lt;&gt;"")*(B_Drainage!$A$5:$A$204&lt;=$B79)*(B_Drainage!$B$5:$B$204&gt;$B79)*(B_Drainage!$F$5:$F$204&lt;&gt;"")),IF(B_Drainage!$F$5:$F$204="-","",B_Drainage!$F$5:$F$204)),"")</f>
        <v/>
      </c>
      <c r="X79" s="181" t="str">
        <f>IFERROR(LOOKUP(2,1/((B_Drainage!$A$5:$A$204&lt;&gt;"")*(B_Drainage!$A$5:$A$204&lt;=$B79)*(B_Drainage!$B$5:$B$204&gt;$B79)*(B_Drainage!$G$5:$G$204&lt;&gt;"")),IF(UPPER(B_Drainage!$G$5:$G$204)="Y",1,"")),"")</f>
        <v/>
      </c>
      <c r="Y79" s="181" t="str">
        <f>IFERROR(LOOKUP(2,1/((B_Drainage!$A$5:$A$204&lt;&gt;"")*(B_Drainage!$A$5:$A$204&lt;=$B79)*(B_Drainage!$B$5:$B$204&gt;$B79)*(B_Drainage!$H$5:$H$204&lt;&gt;"")),IF(UPPER(B_Drainage!$H$5:$H$204)="Y",1,"")),"")</f>
        <v/>
      </c>
      <c r="Z79" s="181" t="str">
        <f>IFERROR(LOOKUP(2,1/((B_Drainage!$A$5:$A$204&lt;&gt;"")*(B_Drainage!$A$5:$A$204&lt;=$B79)*(B_Drainage!$B$5:$B$204&gt;$B79)*(B_Drainage!$I$5:$I$204&lt;&gt;"")),IF(UPPER(B_Drainage!$I$5:$I$204)="Y",1,"")),"")</f>
        <v/>
      </c>
      <c r="AA79" s="181" t="str">
        <f>IFERROR(LOOKUP(2,1/((B_Drainage!$A$5:$A$204&lt;&gt;"")*(B_Drainage!$A$5:$A$204&lt;=$B79)*(B_Drainage!$B$5:$B$204&gt;$B79)*(B_Drainage!$J$5:$J$204&lt;&gt;"")),IF(UPPER(B_Drainage!$J$5:$J$204)="Y",1,"")),"")</f>
        <v/>
      </c>
      <c r="AB79" s="182" t="str">
        <f>IFERROR(LOOKUP(2,1/((B_Drainage!$A$5:$A$204&lt;&gt;"")*(B_Drainage!$A$5:$A$204&lt;=$B79)*(B_Drainage!$B$5:$B$204&gt;$B79)*(B_Drainage!$K$5:$K$204&lt;&gt;"")),IF(B_Drainage!$K$5:$K$204="-","",B_Drainage!$K$5:$K$204)),"")</f>
        <v/>
      </c>
      <c r="AC79" s="182" t="str">
        <f>IFERROR(LOOKUP(2,1/((B_Drainage!$A$5:$A$204&lt;&gt;"")*(B_Drainage!$A$5:$A$204&lt;=$B79)*(B_Drainage!$B$5:$B$204&gt;$B79)*(B_Drainage!$L$5:$L$204&lt;&gt;"")),IF(B_Drainage!$L$5:$L$204="-","",B_Drainage!$L$5:$L$204)),"")</f>
        <v/>
      </c>
      <c r="AD79" s="182" t="str">
        <f>IFERROR(LOOKUP(2,1/((D_Points!$A$5:$A$204&lt;&gt;"")*(D_Points!$A$5:$A$204&gt;=$B79)*(D_Points!$A$5:$A$204&lt;$B79+P_Interval)*(UPPER(TRIM(D_Points!$B$5:$B$204))="TURNOUT_L")*(D_Points!$H$5:$H$204&lt;&gt;"")),D_Points!$H$5:$H$204),"")</f>
        <v/>
      </c>
      <c r="AE79" s="182" t="str">
        <f>IFERROR(LOOKUP(2,1/((D_Points!$A$5:$A$204&lt;&gt;"")*(D_Points!$A$5:$A$204&gt;=$B79)*(D_Points!$A$5:$A$204&lt;$B79+P_Interval)*(UPPER(TRIM(D_Points!$B$5:$B$204))="TURNOUT_R")*(D_Points!$H$5:$H$204&lt;&gt;"")),D_Points!$H$5:$H$204),"")</f>
        <v/>
      </c>
      <c r="AF79" s="181" t="str">
        <f>IFERROR(LOOKUP(2,1/((B_Drainage!$A$5:$A$204&lt;&gt;"")*(B_Drainage!$A$5:$A$204&lt;=$B79)*(B_Drainage!$B$5:$B$204&gt;$B79)*(B_Drainage!$M$5:$M$204&lt;&gt;"")),IF(UPPER(B_Drainage!$M$5:$M$204)="Y",1,"")),"")</f>
        <v/>
      </c>
      <c r="AG79" s="181" t="str">
        <f>IFERROR(LOOKUP(2,1/((B_Drainage!$A$5:$A$204&lt;&gt;"")*(B_Drainage!$A$5:$A$204&lt;=$B79)*(B_Drainage!$B$5:$B$204&gt;$B79)*(B_Drainage!$N$5:$N$204&lt;&gt;"")),IF(UPPER(B_Drainage!$N$5:$N$204)="Y",1,"")),"")</f>
        <v/>
      </c>
      <c r="AH79" s="181" t="str">
        <f t="shared" si="8"/>
        <v/>
      </c>
      <c r="AI79" s="181" t="str">
        <f t="shared" si="9"/>
        <v/>
      </c>
      <c r="AJ79" s="181" t="str">
        <f t="shared" si="10"/>
        <v/>
      </c>
      <c r="AK79" s="181" t="str">
        <f t="shared" si="11"/>
        <v/>
      </c>
      <c r="AL79" s="181" t="str">
        <f t="shared" si="12"/>
        <v/>
      </c>
      <c r="AM79" s="181" t="str">
        <f t="shared" si="13"/>
        <v/>
      </c>
      <c r="AN79" s="181" t="str">
        <f t="shared" si="14"/>
        <v/>
      </c>
      <c r="AO79" s="192" t="str">
        <f t="shared" si="15"/>
        <v/>
      </c>
      <c r="AQ79" t="str">
        <f>IFERROR(LOOKUP(2,1/((C_Pavement!$A$5:$A$204&lt;&gt;"")*(C_Pavement!$A$5:$A$204&lt;=$B79)*(C_Pavement!$B$5:$B$204&gt;$B79)*(C_Pavement!$C$5:$C$204&lt;&gt;"")),ROW(C_Pavement!$C$5:$C$204)-4),"")</f>
        <v/>
      </c>
      <c r="AR79" t="str">
        <f>IF($AQ79="","",UPPER(TRIM(INDEX(C_Pavement!$C$5:$C$204,$AQ79))))</f>
        <v/>
      </c>
      <c r="AS79" t="str">
        <f>IF($AR79="","",IFERROR(MATCH($AR79,E_Rules!$A$5:$A$9,0),""))</f>
        <v/>
      </c>
      <c r="AT79" t="str">
        <f>IF($AQ79="","",IF(INDEX(C_Pavement!$D$5:$D$204,$AQ79)&lt;&gt;"",UPPER(TRIM(INDEX(C_Pavement!$D$5:$D$204,$AQ79))),IF($AS79="","",INDEX(E_Rules!$C$5:$C$9,$AS79))))</f>
        <v/>
      </c>
      <c r="AU79" t="str">
        <f>IF($AQ79="","",IF(INDEX(C_Pavement!$E$5:$E$204,$AQ79)&lt;&gt;"",IF(INDEX(C_Pavement!$E$5:$E$204,$AQ79)="-","",INDEX(C_Pavement!$E$5:$E$204,$AQ79)),IF($AS79="","",INDEX(E_Rules!$D$5:$D$9,$AS79))))</f>
        <v/>
      </c>
      <c r="AV79" t="str">
        <f>IF($AQ79="","",IF(INDEX(C_Pavement!$F$5:$F$204,$AQ79)&lt;&gt;"",IF(INDEX(C_Pavement!$F$5:$F$204,$AQ79)="-","",INDEX(C_Pavement!$F$5:$F$204,$AQ79)),IF($AS79="","",INDEX(E_Rules!$E$5:$E$9,$AS79))))</f>
        <v/>
      </c>
      <c r="AW79" t="str">
        <f>IF($AQ79="","",IF(INDEX(C_Pavement!$G$5:$G$204,$AQ79)&lt;&gt;"",IF(INDEX(C_Pavement!$G$5:$G$204,$AQ79)="-","",INDEX(C_Pavement!$G$5:$G$204,$AQ79)),IF($AS79="","",INDEX(E_Rules!$F$5:$F$9,$AS79))))</f>
        <v/>
      </c>
      <c r="AX79" t="str">
        <f>IF($AQ79="","",IF(INDEX(C_Pavement!$H$5:$H$204,$AQ79)&lt;&gt;"",IF(INDEX(C_Pavement!$H$5:$H$204,$AQ79)="-","",INDEX(C_Pavement!$H$5:$H$204,$AQ79)),IF($AS79="","",INDEX(E_Rules!$G$5:$G$9,$AS79))))</f>
        <v/>
      </c>
      <c r="AY79" t="str">
        <f>IF($AQ79="","",IF(INDEX(C_Pavement!$I$5:$I$204,$AQ79)&lt;&gt;"",IF(INDEX(C_Pavement!$I$5:$I$204,$AQ79)="-","",INDEX(C_Pavement!$I$5:$I$204,$AQ79)),IF($AS79="","",INDEX(E_Rules!$H$5:$H$9,$AS79))))</f>
        <v/>
      </c>
    </row>
    <row r="80" spans="1:51" ht="15.75" customHeight="1" x14ac:dyDescent="0.3">
      <c r="A80" s="189">
        <v>75</v>
      </c>
      <c r="B80" s="180">
        <v>3700</v>
      </c>
      <c r="C80" s="180" t="s">
        <v>386</v>
      </c>
      <c r="D80" s="181" t="str">
        <f>IFERROR(LOOKUP(2,1/((A_Corridor!$A$5:$A$204&lt;&gt;"")*(A_Corridor!$A$5:$A$204&lt;=$B80)*(A_Corridor!$B$5:$B$204&gt;$B80)*(A_Corridor!$C$5:$C$204&lt;&gt;"")),IF(UPPER(A_Corridor!$C$5:$C$204)="Y",1,"")),"")</f>
        <v/>
      </c>
      <c r="E80" s="181" t="str">
        <f>IFERROR(LOOKUP(2,1/((A_Corridor!$A$5:$A$204&lt;&gt;"")*(A_Corridor!$A$5:$A$204&lt;=$B80)*(A_Corridor!$B$5:$B$204&gt;$B80)*(A_Corridor!$D$5:$D$204&lt;&gt;"")),IF(A_Corridor!$D$5:$D$204="-","",UPPER(A_Corridor!$D$5:$D$204))),"")</f>
        <v/>
      </c>
      <c r="F80" s="181" t="str">
        <f>IFERROR(LOOKUP(2,1/((A_Corridor!$A$5:$A$204&lt;&gt;"")*(A_Corridor!$A$5:$A$204&lt;=$B80)*(A_Corridor!$B$5:$B$204&gt;$B80)*(A_Corridor!$E$5:$E$204&lt;&gt;"")),IF(A_Corridor!$E$5:$E$204="-","",1)),"")</f>
        <v/>
      </c>
      <c r="G80" s="182" t="str">
        <f>IFERROR(LOOKUP(2,1/((A_Corridor!$A$5:$A$204&lt;&gt;"")*(A_Corridor!$A$5:$A$204&lt;=$B80)*(A_Corridor!$B$5:$B$204&gt;$B80)*(A_Corridor!$E$5:$E$204&lt;&gt;"")),IF(A_Corridor!$E$5:$E$204="-","",A_Corridor!$E$5:$E$204)),"")</f>
        <v/>
      </c>
      <c r="H80" s="182" t="str">
        <f>IFERROR(LOOKUP(2,1/((D_Points!$A$5:$A$204&lt;&gt;"")*(D_Points!$A$5:$A$204&gt;=$B80)*(D_Points!$A$5:$A$204&lt;$B80+P_Interval)*(UPPER(TRIM(D_Points!$B$5:$B$204))="GULLY")*(D_Points!$H$5:$H$204&lt;&gt;"")),D_Points!$H$5:$H$204),"")</f>
        <v/>
      </c>
      <c r="I80" s="181" t="str">
        <f>IFERROR(LOOKUP(2,1/((A_Corridor!$A$5:$A$204&lt;&gt;"")*(A_Corridor!$A$5:$A$204&lt;=$B80)*(A_Corridor!$B$5:$B$204&gt;$B80)*(A_Corridor!$F$5:$F$204&lt;&gt;"")),IF(A_Corridor!$F$5:$F$204="-","",1)),"")</f>
        <v/>
      </c>
      <c r="J80" s="182" t="str">
        <f>IFERROR(LOOKUP(2,1/((A_Corridor!$A$5:$A$204&lt;&gt;"")*(A_Corridor!$A$5:$A$204&lt;=$B80)*(A_Corridor!$B$5:$B$204&gt;$B80)*(A_Corridor!$F$5:$F$204&lt;&gt;"")),IF(A_Corridor!$F$5:$F$204="-","",A_Corridor!$F$5:$F$204)),"")</f>
        <v/>
      </c>
      <c r="K80" s="182" t="str">
        <f>IFERROR(LOOKUP(2,1/((A_Corridor!$A$5:$A$204&lt;&gt;"")*(A_Corridor!$A$5:$A$204&lt;=$B80)*(A_Corridor!$B$5:$B$204&gt;$B80)*(A_Corridor!$G$5:$G$204&lt;&gt;"")),IF(A_Corridor!$G$5:$G$204="-","",A_Corridor!$G$5:$G$204)),"")</f>
        <v/>
      </c>
      <c r="L80" s="181" t="str">
        <f>IFERROR(LOOKUP(2,1/((A_Corridor!$A$5:$A$204&lt;&gt;"")*(A_Corridor!$A$5:$A$204&lt;=$B80)*(A_Corridor!$B$5:$B$204&gt;$B80)*(A_Corridor!$H$5:$H$204&lt;&gt;"")),IF(A_Corridor!$H$5:$H$204="-","",1)),"")</f>
        <v/>
      </c>
      <c r="M80" s="182" t="str">
        <f>IFERROR(LOOKUP(2,1/((A_Corridor!$A$5:$A$204&lt;&gt;"")*(A_Corridor!$A$5:$A$204&lt;=$B80)*(A_Corridor!$B$5:$B$204&gt;$B80)*(A_Corridor!$H$5:$H$204&lt;&gt;"")),IF(A_Corridor!$H$5:$H$204="-","",A_Corridor!$H$5:$H$204)),"")</f>
        <v/>
      </c>
      <c r="N80" s="182" t="str">
        <f>IFERROR(LOOKUP(2,1/((A_Corridor!$A$5:$A$204&lt;&gt;"")*(A_Corridor!$A$5:$A$204&lt;=$B80)*(A_Corridor!$B$5:$B$204&gt;$B80)*(A_Corridor!$I$5:$I$204&lt;&gt;"")),IF(A_Corridor!$I$5:$I$204="-","",A_Corridor!$I$5:$I$204)),"")</f>
        <v/>
      </c>
      <c r="O80" s="182" t="str">
        <f>IFERROR(LOOKUP(2,1/((D_Points!$A$5:$A$204&lt;&gt;"")*(D_Points!$A$5:$A$204&gt;=$B80)*(D_Points!$A$5:$A$204&lt;$B80+P_Interval)*(UPPER(TRIM(D_Points!$B$5:$B$204))="PITCHING")*(D_Points!$H$5:$H$204&lt;&gt;"")),D_Points!$H$5:$H$204),"")</f>
        <v/>
      </c>
      <c r="P80" s="181" t="str">
        <f>IFERROR(LOOKUP(2,1/((B_Drainage!$A$5:$A$204&lt;&gt;"")*(B_Drainage!$A$5:$A$204&lt;=$B80)*(B_Drainage!$B$5:$B$204&gt;$B80)*(B_Drainage!$C$5:$C$204&lt;&gt;"")),IF(B_Drainage!$C$5:$C$204="-","",UPPER(B_Drainage!$C$5:$C$204))),"")</f>
        <v/>
      </c>
      <c r="Q80" s="181" t="str">
        <f>IFERROR(LOOKUP(2,1/((B_Drainage!$A$5:$A$204&lt;&gt;"")*(B_Drainage!$A$5:$A$204&lt;=$B80)*(B_Drainage!$B$5:$B$204&gt;$B80)*(B_Drainage!$D$5:$D$204&lt;&gt;"")),IF(B_Drainage!$D$5:$D$204="-","",UPPER(B_Drainage!$D$5:$D$204))),"")</f>
        <v/>
      </c>
      <c r="R80" s="182" t="str">
        <f>IFERROR(LOOKUP(2,1/((D_Points!$A$5:$A$204&lt;&gt;"")*(D_Points!$A$5:$A$204&gt;=$B80)*(D_Points!$A$5:$A$204&lt;$B80+P_Interval)*(RIGHT(UPPER(TRIM(D_Points!$B$5:$B$204)),8)="_CULVERT")),IF(LEFT(UPPER(TRIM(D_Points!$B$5:$B$204)),2)="EX",1,IF(LEFT(UPPER(TRIM(D_Points!$B$5:$B$204)),2)="PR",2,3))),"")</f>
        <v/>
      </c>
      <c r="S80" s="182" t="str">
        <f>IFERROR(LOOKUP(2,1/((D_Points!$A$5:$A$204&lt;&gt;"")*(D_Points!$A$5:$A$204&gt;=$B80)*(D_Points!$A$5:$A$204&lt;$B80+P_Interval)*(RIGHT(UPPER(TRIM(D_Points!$B$5:$B$204)),7)="_BRIDGE")),IF(LEFT(UPPER(TRIM(D_Points!$B$5:$B$204)),2)="EX",1,IF(LEFT(UPPER(TRIM(D_Points!$B$5:$B$204)),2)="PR",2,2))),"")</f>
        <v/>
      </c>
      <c r="T80" s="181" t="str">
        <f>IFERROR(LOOKUP(2,1/((B_Drainage!$A$5:$A$204&lt;&gt;"")*(B_Drainage!$A$5:$A$204&lt;=$B80)*(B_Drainage!$B$5:$B$204&gt;$B80)*(B_Drainage!$E$5:$E$204&lt;&gt;"")),IF(B_Drainage!$E$5:$E$204="-","",1)),"")</f>
        <v/>
      </c>
      <c r="U80" s="181" t="str">
        <f>IFERROR(LOOKUP(2,1/((B_Drainage!$A$5:$A$204&lt;&gt;"")*(B_Drainage!$A$5:$A$204&lt;=$B80)*(B_Drainage!$B$5:$B$204&gt;$B80)*(B_Drainage!$E$5:$E$204&lt;&gt;"")),IF(B_Drainage!$E$5:$E$204="-","",B_Drainage!$E$5:$E$204)),"")</f>
        <v/>
      </c>
      <c r="V80" s="181" t="str">
        <f>IFERROR(LOOKUP(2,1/((B_Drainage!$A$5:$A$204&lt;&gt;"")*(B_Drainage!$A$5:$A$204&lt;=$B80)*(B_Drainage!$B$5:$B$204&gt;$B80)*(B_Drainage!$F$5:$F$204&lt;&gt;"")),IF(B_Drainage!$F$5:$F$204="-","",1)),"")</f>
        <v/>
      </c>
      <c r="W80" s="181" t="str">
        <f>IFERROR(LOOKUP(2,1/((B_Drainage!$A$5:$A$204&lt;&gt;"")*(B_Drainage!$A$5:$A$204&lt;=$B80)*(B_Drainage!$B$5:$B$204&gt;$B80)*(B_Drainage!$F$5:$F$204&lt;&gt;"")),IF(B_Drainage!$F$5:$F$204="-","",B_Drainage!$F$5:$F$204)),"")</f>
        <v/>
      </c>
      <c r="X80" s="181" t="str">
        <f>IFERROR(LOOKUP(2,1/((B_Drainage!$A$5:$A$204&lt;&gt;"")*(B_Drainage!$A$5:$A$204&lt;=$B80)*(B_Drainage!$B$5:$B$204&gt;$B80)*(B_Drainage!$G$5:$G$204&lt;&gt;"")),IF(UPPER(B_Drainage!$G$5:$G$204)="Y",1,"")),"")</f>
        <v/>
      </c>
      <c r="Y80" s="181" t="str">
        <f>IFERROR(LOOKUP(2,1/((B_Drainage!$A$5:$A$204&lt;&gt;"")*(B_Drainage!$A$5:$A$204&lt;=$B80)*(B_Drainage!$B$5:$B$204&gt;$B80)*(B_Drainage!$H$5:$H$204&lt;&gt;"")),IF(UPPER(B_Drainage!$H$5:$H$204)="Y",1,"")),"")</f>
        <v/>
      </c>
      <c r="Z80" s="181" t="str">
        <f>IFERROR(LOOKUP(2,1/((B_Drainage!$A$5:$A$204&lt;&gt;"")*(B_Drainage!$A$5:$A$204&lt;=$B80)*(B_Drainage!$B$5:$B$204&gt;$B80)*(B_Drainage!$I$5:$I$204&lt;&gt;"")),IF(UPPER(B_Drainage!$I$5:$I$204)="Y",1,"")),"")</f>
        <v/>
      </c>
      <c r="AA80" s="181" t="str">
        <f>IFERROR(LOOKUP(2,1/((B_Drainage!$A$5:$A$204&lt;&gt;"")*(B_Drainage!$A$5:$A$204&lt;=$B80)*(B_Drainage!$B$5:$B$204&gt;$B80)*(B_Drainage!$J$5:$J$204&lt;&gt;"")),IF(UPPER(B_Drainage!$J$5:$J$204)="Y",1,"")),"")</f>
        <v/>
      </c>
      <c r="AB80" s="182" t="str">
        <f>IFERROR(LOOKUP(2,1/((B_Drainage!$A$5:$A$204&lt;&gt;"")*(B_Drainage!$A$5:$A$204&lt;=$B80)*(B_Drainage!$B$5:$B$204&gt;$B80)*(B_Drainage!$K$5:$K$204&lt;&gt;"")),IF(B_Drainage!$K$5:$K$204="-","",B_Drainage!$K$5:$K$204)),"")</f>
        <v/>
      </c>
      <c r="AC80" s="182" t="str">
        <f>IFERROR(LOOKUP(2,1/((B_Drainage!$A$5:$A$204&lt;&gt;"")*(B_Drainage!$A$5:$A$204&lt;=$B80)*(B_Drainage!$B$5:$B$204&gt;$B80)*(B_Drainage!$L$5:$L$204&lt;&gt;"")),IF(B_Drainage!$L$5:$L$204="-","",B_Drainage!$L$5:$L$204)),"")</f>
        <v/>
      </c>
      <c r="AD80" s="182" t="str">
        <f>IFERROR(LOOKUP(2,1/((D_Points!$A$5:$A$204&lt;&gt;"")*(D_Points!$A$5:$A$204&gt;=$B80)*(D_Points!$A$5:$A$204&lt;$B80+P_Interval)*(UPPER(TRIM(D_Points!$B$5:$B$204))="TURNOUT_L")*(D_Points!$H$5:$H$204&lt;&gt;"")),D_Points!$H$5:$H$204),"")</f>
        <v/>
      </c>
      <c r="AE80" s="182" t="str">
        <f>IFERROR(LOOKUP(2,1/((D_Points!$A$5:$A$204&lt;&gt;"")*(D_Points!$A$5:$A$204&gt;=$B80)*(D_Points!$A$5:$A$204&lt;$B80+P_Interval)*(UPPER(TRIM(D_Points!$B$5:$B$204))="TURNOUT_R")*(D_Points!$H$5:$H$204&lt;&gt;"")),D_Points!$H$5:$H$204),"")</f>
        <v/>
      </c>
      <c r="AF80" s="181" t="str">
        <f>IFERROR(LOOKUP(2,1/((B_Drainage!$A$5:$A$204&lt;&gt;"")*(B_Drainage!$A$5:$A$204&lt;=$B80)*(B_Drainage!$B$5:$B$204&gt;$B80)*(B_Drainage!$M$5:$M$204&lt;&gt;"")),IF(UPPER(B_Drainage!$M$5:$M$204)="Y",1,"")),"")</f>
        <v/>
      </c>
      <c r="AG80" s="181" t="str">
        <f>IFERROR(LOOKUP(2,1/((B_Drainage!$A$5:$A$204&lt;&gt;"")*(B_Drainage!$A$5:$A$204&lt;=$B80)*(B_Drainage!$B$5:$B$204&gt;$B80)*(B_Drainage!$N$5:$N$204&lt;&gt;"")),IF(UPPER(B_Drainage!$N$5:$N$204)="Y",1,"")),"")</f>
        <v/>
      </c>
      <c r="AH80" s="181" t="str">
        <f t="shared" si="8"/>
        <v/>
      </c>
      <c r="AI80" s="181" t="str">
        <f t="shared" si="9"/>
        <v/>
      </c>
      <c r="AJ80" s="181" t="str">
        <f t="shared" si="10"/>
        <v/>
      </c>
      <c r="AK80" s="181" t="str">
        <f t="shared" si="11"/>
        <v/>
      </c>
      <c r="AL80" s="181" t="str">
        <f t="shared" si="12"/>
        <v/>
      </c>
      <c r="AM80" s="181" t="str">
        <f t="shared" si="13"/>
        <v/>
      </c>
      <c r="AN80" s="181" t="str">
        <f t="shared" si="14"/>
        <v/>
      </c>
      <c r="AO80" s="192" t="str">
        <f t="shared" si="15"/>
        <v/>
      </c>
      <c r="AQ80" t="str">
        <f>IFERROR(LOOKUP(2,1/((C_Pavement!$A$5:$A$204&lt;&gt;"")*(C_Pavement!$A$5:$A$204&lt;=$B80)*(C_Pavement!$B$5:$B$204&gt;$B80)*(C_Pavement!$C$5:$C$204&lt;&gt;"")),ROW(C_Pavement!$C$5:$C$204)-4),"")</f>
        <v/>
      </c>
      <c r="AR80" t="str">
        <f>IF($AQ80="","",UPPER(TRIM(INDEX(C_Pavement!$C$5:$C$204,$AQ80))))</f>
        <v/>
      </c>
      <c r="AS80" t="str">
        <f>IF($AR80="","",IFERROR(MATCH($AR80,E_Rules!$A$5:$A$9,0),""))</f>
        <v/>
      </c>
      <c r="AT80" t="str">
        <f>IF($AQ80="","",IF(INDEX(C_Pavement!$D$5:$D$204,$AQ80)&lt;&gt;"",UPPER(TRIM(INDEX(C_Pavement!$D$5:$D$204,$AQ80))),IF($AS80="","",INDEX(E_Rules!$C$5:$C$9,$AS80))))</f>
        <v/>
      </c>
      <c r="AU80" t="str">
        <f>IF($AQ80="","",IF(INDEX(C_Pavement!$E$5:$E$204,$AQ80)&lt;&gt;"",IF(INDEX(C_Pavement!$E$5:$E$204,$AQ80)="-","",INDEX(C_Pavement!$E$5:$E$204,$AQ80)),IF($AS80="","",INDEX(E_Rules!$D$5:$D$9,$AS80))))</f>
        <v/>
      </c>
      <c r="AV80" t="str">
        <f>IF($AQ80="","",IF(INDEX(C_Pavement!$F$5:$F$204,$AQ80)&lt;&gt;"",IF(INDEX(C_Pavement!$F$5:$F$204,$AQ80)="-","",INDEX(C_Pavement!$F$5:$F$204,$AQ80)),IF($AS80="","",INDEX(E_Rules!$E$5:$E$9,$AS80))))</f>
        <v/>
      </c>
      <c r="AW80" t="str">
        <f>IF($AQ80="","",IF(INDEX(C_Pavement!$G$5:$G$204,$AQ80)&lt;&gt;"",IF(INDEX(C_Pavement!$G$5:$G$204,$AQ80)="-","",INDEX(C_Pavement!$G$5:$G$204,$AQ80)),IF($AS80="","",INDEX(E_Rules!$F$5:$F$9,$AS80))))</f>
        <v/>
      </c>
      <c r="AX80" t="str">
        <f>IF($AQ80="","",IF(INDEX(C_Pavement!$H$5:$H$204,$AQ80)&lt;&gt;"",IF(INDEX(C_Pavement!$H$5:$H$204,$AQ80)="-","",INDEX(C_Pavement!$H$5:$H$204,$AQ80)),IF($AS80="","",INDEX(E_Rules!$G$5:$G$9,$AS80))))</f>
        <v/>
      </c>
      <c r="AY80" t="str">
        <f>IF($AQ80="","",IF(INDEX(C_Pavement!$I$5:$I$204,$AQ80)&lt;&gt;"",IF(INDEX(C_Pavement!$I$5:$I$204,$AQ80)="-","",INDEX(C_Pavement!$I$5:$I$204,$AQ80)),IF($AS80="","",INDEX(E_Rules!$H$5:$H$9,$AS80))))</f>
        <v/>
      </c>
    </row>
    <row r="81" spans="1:51" ht="15.75" customHeight="1" x14ac:dyDescent="0.3">
      <c r="A81" s="189">
        <v>76</v>
      </c>
      <c r="B81" s="180">
        <v>3750</v>
      </c>
      <c r="C81" s="180" t="s">
        <v>387</v>
      </c>
      <c r="D81" s="181" t="str">
        <f>IFERROR(LOOKUP(2,1/((A_Corridor!$A$5:$A$204&lt;&gt;"")*(A_Corridor!$A$5:$A$204&lt;=$B81)*(A_Corridor!$B$5:$B$204&gt;$B81)*(A_Corridor!$C$5:$C$204&lt;&gt;"")),IF(UPPER(A_Corridor!$C$5:$C$204)="Y",1,"")),"")</f>
        <v/>
      </c>
      <c r="E81" s="181" t="str">
        <f>IFERROR(LOOKUP(2,1/((A_Corridor!$A$5:$A$204&lt;&gt;"")*(A_Corridor!$A$5:$A$204&lt;=$B81)*(A_Corridor!$B$5:$B$204&gt;$B81)*(A_Corridor!$D$5:$D$204&lt;&gt;"")),IF(A_Corridor!$D$5:$D$204="-","",UPPER(A_Corridor!$D$5:$D$204))),"")</f>
        <v/>
      </c>
      <c r="F81" s="181" t="str">
        <f>IFERROR(LOOKUP(2,1/((A_Corridor!$A$5:$A$204&lt;&gt;"")*(A_Corridor!$A$5:$A$204&lt;=$B81)*(A_Corridor!$B$5:$B$204&gt;$B81)*(A_Corridor!$E$5:$E$204&lt;&gt;"")),IF(A_Corridor!$E$5:$E$204="-","",1)),"")</f>
        <v/>
      </c>
      <c r="G81" s="182" t="str">
        <f>IFERROR(LOOKUP(2,1/((A_Corridor!$A$5:$A$204&lt;&gt;"")*(A_Corridor!$A$5:$A$204&lt;=$B81)*(A_Corridor!$B$5:$B$204&gt;$B81)*(A_Corridor!$E$5:$E$204&lt;&gt;"")),IF(A_Corridor!$E$5:$E$204="-","",A_Corridor!$E$5:$E$204)),"")</f>
        <v/>
      </c>
      <c r="H81" s="182" t="str">
        <f>IFERROR(LOOKUP(2,1/((D_Points!$A$5:$A$204&lt;&gt;"")*(D_Points!$A$5:$A$204&gt;=$B81)*(D_Points!$A$5:$A$204&lt;$B81+P_Interval)*(UPPER(TRIM(D_Points!$B$5:$B$204))="GULLY")*(D_Points!$H$5:$H$204&lt;&gt;"")),D_Points!$H$5:$H$204),"")</f>
        <v/>
      </c>
      <c r="I81" s="181" t="str">
        <f>IFERROR(LOOKUP(2,1/((A_Corridor!$A$5:$A$204&lt;&gt;"")*(A_Corridor!$A$5:$A$204&lt;=$B81)*(A_Corridor!$B$5:$B$204&gt;$B81)*(A_Corridor!$F$5:$F$204&lt;&gt;"")),IF(A_Corridor!$F$5:$F$204="-","",1)),"")</f>
        <v/>
      </c>
      <c r="J81" s="182" t="str">
        <f>IFERROR(LOOKUP(2,1/((A_Corridor!$A$5:$A$204&lt;&gt;"")*(A_Corridor!$A$5:$A$204&lt;=$B81)*(A_Corridor!$B$5:$B$204&gt;$B81)*(A_Corridor!$F$5:$F$204&lt;&gt;"")),IF(A_Corridor!$F$5:$F$204="-","",A_Corridor!$F$5:$F$204)),"")</f>
        <v/>
      </c>
      <c r="K81" s="182" t="str">
        <f>IFERROR(LOOKUP(2,1/((A_Corridor!$A$5:$A$204&lt;&gt;"")*(A_Corridor!$A$5:$A$204&lt;=$B81)*(A_Corridor!$B$5:$B$204&gt;$B81)*(A_Corridor!$G$5:$G$204&lt;&gt;"")),IF(A_Corridor!$G$5:$G$204="-","",A_Corridor!$G$5:$G$204)),"")</f>
        <v/>
      </c>
      <c r="L81" s="181" t="str">
        <f>IFERROR(LOOKUP(2,1/((A_Corridor!$A$5:$A$204&lt;&gt;"")*(A_Corridor!$A$5:$A$204&lt;=$B81)*(A_Corridor!$B$5:$B$204&gt;$B81)*(A_Corridor!$H$5:$H$204&lt;&gt;"")),IF(A_Corridor!$H$5:$H$204="-","",1)),"")</f>
        <v/>
      </c>
      <c r="M81" s="182" t="str">
        <f>IFERROR(LOOKUP(2,1/((A_Corridor!$A$5:$A$204&lt;&gt;"")*(A_Corridor!$A$5:$A$204&lt;=$B81)*(A_Corridor!$B$5:$B$204&gt;$B81)*(A_Corridor!$H$5:$H$204&lt;&gt;"")),IF(A_Corridor!$H$5:$H$204="-","",A_Corridor!$H$5:$H$204)),"")</f>
        <v/>
      </c>
      <c r="N81" s="182" t="str">
        <f>IFERROR(LOOKUP(2,1/((A_Corridor!$A$5:$A$204&lt;&gt;"")*(A_Corridor!$A$5:$A$204&lt;=$B81)*(A_Corridor!$B$5:$B$204&gt;$B81)*(A_Corridor!$I$5:$I$204&lt;&gt;"")),IF(A_Corridor!$I$5:$I$204="-","",A_Corridor!$I$5:$I$204)),"")</f>
        <v/>
      </c>
      <c r="O81" s="182" t="str">
        <f>IFERROR(LOOKUP(2,1/((D_Points!$A$5:$A$204&lt;&gt;"")*(D_Points!$A$5:$A$204&gt;=$B81)*(D_Points!$A$5:$A$204&lt;$B81+P_Interval)*(UPPER(TRIM(D_Points!$B$5:$B$204))="PITCHING")*(D_Points!$H$5:$H$204&lt;&gt;"")),D_Points!$H$5:$H$204),"")</f>
        <v/>
      </c>
      <c r="P81" s="181" t="str">
        <f>IFERROR(LOOKUP(2,1/((B_Drainage!$A$5:$A$204&lt;&gt;"")*(B_Drainage!$A$5:$A$204&lt;=$B81)*(B_Drainage!$B$5:$B$204&gt;$B81)*(B_Drainage!$C$5:$C$204&lt;&gt;"")),IF(B_Drainage!$C$5:$C$204="-","",UPPER(B_Drainage!$C$5:$C$204))),"")</f>
        <v/>
      </c>
      <c r="Q81" s="181" t="str">
        <f>IFERROR(LOOKUP(2,1/((B_Drainage!$A$5:$A$204&lt;&gt;"")*(B_Drainage!$A$5:$A$204&lt;=$B81)*(B_Drainage!$B$5:$B$204&gt;$B81)*(B_Drainage!$D$5:$D$204&lt;&gt;"")),IF(B_Drainage!$D$5:$D$204="-","",UPPER(B_Drainage!$D$5:$D$204))),"")</f>
        <v/>
      </c>
      <c r="R81" s="182" t="str">
        <f>IFERROR(LOOKUP(2,1/((D_Points!$A$5:$A$204&lt;&gt;"")*(D_Points!$A$5:$A$204&gt;=$B81)*(D_Points!$A$5:$A$204&lt;$B81+P_Interval)*(RIGHT(UPPER(TRIM(D_Points!$B$5:$B$204)),8)="_CULVERT")),IF(LEFT(UPPER(TRIM(D_Points!$B$5:$B$204)),2)="EX",1,IF(LEFT(UPPER(TRIM(D_Points!$B$5:$B$204)),2)="PR",2,3))),"")</f>
        <v/>
      </c>
      <c r="S81" s="182" t="str">
        <f>IFERROR(LOOKUP(2,1/((D_Points!$A$5:$A$204&lt;&gt;"")*(D_Points!$A$5:$A$204&gt;=$B81)*(D_Points!$A$5:$A$204&lt;$B81+P_Interval)*(RIGHT(UPPER(TRIM(D_Points!$B$5:$B$204)),7)="_BRIDGE")),IF(LEFT(UPPER(TRIM(D_Points!$B$5:$B$204)),2)="EX",1,IF(LEFT(UPPER(TRIM(D_Points!$B$5:$B$204)),2)="PR",2,2))),"")</f>
        <v/>
      </c>
      <c r="T81" s="181" t="str">
        <f>IFERROR(LOOKUP(2,1/((B_Drainage!$A$5:$A$204&lt;&gt;"")*(B_Drainage!$A$5:$A$204&lt;=$B81)*(B_Drainage!$B$5:$B$204&gt;$B81)*(B_Drainage!$E$5:$E$204&lt;&gt;"")),IF(B_Drainage!$E$5:$E$204="-","",1)),"")</f>
        <v/>
      </c>
      <c r="U81" s="181" t="str">
        <f>IFERROR(LOOKUP(2,1/((B_Drainage!$A$5:$A$204&lt;&gt;"")*(B_Drainage!$A$5:$A$204&lt;=$B81)*(B_Drainage!$B$5:$B$204&gt;$B81)*(B_Drainage!$E$5:$E$204&lt;&gt;"")),IF(B_Drainage!$E$5:$E$204="-","",B_Drainage!$E$5:$E$204)),"")</f>
        <v/>
      </c>
      <c r="V81" s="181" t="str">
        <f>IFERROR(LOOKUP(2,1/((B_Drainage!$A$5:$A$204&lt;&gt;"")*(B_Drainage!$A$5:$A$204&lt;=$B81)*(B_Drainage!$B$5:$B$204&gt;$B81)*(B_Drainage!$F$5:$F$204&lt;&gt;"")),IF(B_Drainage!$F$5:$F$204="-","",1)),"")</f>
        <v/>
      </c>
      <c r="W81" s="181" t="str">
        <f>IFERROR(LOOKUP(2,1/((B_Drainage!$A$5:$A$204&lt;&gt;"")*(B_Drainage!$A$5:$A$204&lt;=$B81)*(B_Drainage!$B$5:$B$204&gt;$B81)*(B_Drainage!$F$5:$F$204&lt;&gt;"")),IF(B_Drainage!$F$5:$F$204="-","",B_Drainage!$F$5:$F$204)),"")</f>
        <v/>
      </c>
      <c r="X81" s="181" t="str">
        <f>IFERROR(LOOKUP(2,1/((B_Drainage!$A$5:$A$204&lt;&gt;"")*(B_Drainage!$A$5:$A$204&lt;=$B81)*(B_Drainage!$B$5:$B$204&gt;$B81)*(B_Drainage!$G$5:$G$204&lt;&gt;"")),IF(UPPER(B_Drainage!$G$5:$G$204)="Y",1,"")),"")</f>
        <v/>
      </c>
      <c r="Y81" s="181" t="str">
        <f>IFERROR(LOOKUP(2,1/((B_Drainage!$A$5:$A$204&lt;&gt;"")*(B_Drainage!$A$5:$A$204&lt;=$B81)*(B_Drainage!$B$5:$B$204&gt;$B81)*(B_Drainage!$H$5:$H$204&lt;&gt;"")),IF(UPPER(B_Drainage!$H$5:$H$204)="Y",1,"")),"")</f>
        <v/>
      </c>
      <c r="Z81" s="181" t="str">
        <f>IFERROR(LOOKUP(2,1/((B_Drainage!$A$5:$A$204&lt;&gt;"")*(B_Drainage!$A$5:$A$204&lt;=$B81)*(B_Drainage!$B$5:$B$204&gt;$B81)*(B_Drainage!$I$5:$I$204&lt;&gt;"")),IF(UPPER(B_Drainage!$I$5:$I$204)="Y",1,"")),"")</f>
        <v/>
      </c>
      <c r="AA81" s="181" t="str">
        <f>IFERROR(LOOKUP(2,1/((B_Drainage!$A$5:$A$204&lt;&gt;"")*(B_Drainage!$A$5:$A$204&lt;=$B81)*(B_Drainage!$B$5:$B$204&gt;$B81)*(B_Drainage!$J$5:$J$204&lt;&gt;"")),IF(UPPER(B_Drainage!$J$5:$J$204)="Y",1,"")),"")</f>
        <v/>
      </c>
      <c r="AB81" s="182" t="str">
        <f>IFERROR(LOOKUP(2,1/((B_Drainage!$A$5:$A$204&lt;&gt;"")*(B_Drainage!$A$5:$A$204&lt;=$B81)*(B_Drainage!$B$5:$B$204&gt;$B81)*(B_Drainage!$K$5:$K$204&lt;&gt;"")),IF(B_Drainage!$K$5:$K$204="-","",B_Drainage!$K$5:$K$204)),"")</f>
        <v/>
      </c>
      <c r="AC81" s="182" t="str">
        <f>IFERROR(LOOKUP(2,1/((B_Drainage!$A$5:$A$204&lt;&gt;"")*(B_Drainage!$A$5:$A$204&lt;=$B81)*(B_Drainage!$B$5:$B$204&gt;$B81)*(B_Drainage!$L$5:$L$204&lt;&gt;"")),IF(B_Drainage!$L$5:$L$204="-","",B_Drainage!$L$5:$L$204)),"")</f>
        <v/>
      </c>
      <c r="AD81" s="182" t="str">
        <f>IFERROR(LOOKUP(2,1/((D_Points!$A$5:$A$204&lt;&gt;"")*(D_Points!$A$5:$A$204&gt;=$B81)*(D_Points!$A$5:$A$204&lt;$B81+P_Interval)*(UPPER(TRIM(D_Points!$B$5:$B$204))="TURNOUT_L")*(D_Points!$H$5:$H$204&lt;&gt;"")),D_Points!$H$5:$H$204),"")</f>
        <v/>
      </c>
      <c r="AE81" s="182" t="str">
        <f>IFERROR(LOOKUP(2,1/((D_Points!$A$5:$A$204&lt;&gt;"")*(D_Points!$A$5:$A$204&gt;=$B81)*(D_Points!$A$5:$A$204&lt;$B81+P_Interval)*(UPPER(TRIM(D_Points!$B$5:$B$204))="TURNOUT_R")*(D_Points!$H$5:$H$204&lt;&gt;"")),D_Points!$H$5:$H$204),"")</f>
        <v/>
      </c>
      <c r="AF81" s="181" t="str">
        <f>IFERROR(LOOKUP(2,1/((B_Drainage!$A$5:$A$204&lt;&gt;"")*(B_Drainage!$A$5:$A$204&lt;=$B81)*(B_Drainage!$B$5:$B$204&gt;$B81)*(B_Drainage!$M$5:$M$204&lt;&gt;"")),IF(UPPER(B_Drainage!$M$5:$M$204)="Y",1,"")),"")</f>
        <v/>
      </c>
      <c r="AG81" s="181" t="str">
        <f>IFERROR(LOOKUP(2,1/((B_Drainage!$A$5:$A$204&lt;&gt;"")*(B_Drainage!$A$5:$A$204&lt;=$B81)*(B_Drainage!$B$5:$B$204&gt;$B81)*(B_Drainage!$N$5:$N$204&lt;&gt;"")),IF(UPPER(B_Drainage!$N$5:$N$204)="Y",1,"")),"")</f>
        <v/>
      </c>
      <c r="AH81" s="181" t="str">
        <f t="shared" si="8"/>
        <v/>
      </c>
      <c r="AI81" s="181" t="str">
        <f t="shared" si="9"/>
        <v/>
      </c>
      <c r="AJ81" s="181" t="str">
        <f t="shared" si="10"/>
        <v/>
      </c>
      <c r="AK81" s="181" t="str">
        <f t="shared" si="11"/>
        <v/>
      </c>
      <c r="AL81" s="181" t="str">
        <f t="shared" si="12"/>
        <v/>
      </c>
      <c r="AM81" s="181" t="str">
        <f t="shared" si="13"/>
        <v/>
      </c>
      <c r="AN81" s="181" t="str">
        <f t="shared" si="14"/>
        <v/>
      </c>
      <c r="AO81" s="192" t="str">
        <f t="shared" si="15"/>
        <v/>
      </c>
      <c r="AQ81" t="str">
        <f>IFERROR(LOOKUP(2,1/((C_Pavement!$A$5:$A$204&lt;&gt;"")*(C_Pavement!$A$5:$A$204&lt;=$B81)*(C_Pavement!$B$5:$B$204&gt;$B81)*(C_Pavement!$C$5:$C$204&lt;&gt;"")),ROW(C_Pavement!$C$5:$C$204)-4),"")</f>
        <v/>
      </c>
      <c r="AR81" t="str">
        <f>IF($AQ81="","",UPPER(TRIM(INDEX(C_Pavement!$C$5:$C$204,$AQ81))))</f>
        <v/>
      </c>
      <c r="AS81" t="str">
        <f>IF($AR81="","",IFERROR(MATCH($AR81,E_Rules!$A$5:$A$9,0),""))</f>
        <v/>
      </c>
      <c r="AT81" t="str">
        <f>IF($AQ81="","",IF(INDEX(C_Pavement!$D$5:$D$204,$AQ81)&lt;&gt;"",UPPER(TRIM(INDEX(C_Pavement!$D$5:$D$204,$AQ81))),IF($AS81="","",INDEX(E_Rules!$C$5:$C$9,$AS81))))</f>
        <v/>
      </c>
      <c r="AU81" t="str">
        <f>IF($AQ81="","",IF(INDEX(C_Pavement!$E$5:$E$204,$AQ81)&lt;&gt;"",IF(INDEX(C_Pavement!$E$5:$E$204,$AQ81)="-","",INDEX(C_Pavement!$E$5:$E$204,$AQ81)),IF($AS81="","",INDEX(E_Rules!$D$5:$D$9,$AS81))))</f>
        <v/>
      </c>
      <c r="AV81" t="str">
        <f>IF($AQ81="","",IF(INDEX(C_Pavement!$F$5:$F$204,$AQ81)&lt;&gt;"",IF(INDEX(C_Pavement!$F$5:$F$204,$AQ81)="-","",INDEX(C_Pavement!$F$5:$F$204,$AQ81)),IF($AS81="","",INDEX(E_Rules!$E$5:$E$9,$AS81))))</f>
        <v/>
      </c>
      <c r="AW81" t="str">
        <f>IF($AQ81="","",IF(INDEX(C_Pavement!$G$5:$G$204,$AQ81)&lt;&gt;"",IF(INDEX(C_Pavement!$G$5:$G$204,$AQ81)="-","",INDEX(C_Pavement!$G$5:$G$204,$AQ81)),IF($AS81="","",INDEX(E_Rules!$F$5:$F$9,$AS81))))</f>
        <v/>
      </c>
      <c r="AX81" t="str">
        <f>IF($AQ81="","",IF(INDEX(C_Pavement!$H$5:$H$204,$AQ81)&lt;&gt;"",IF(INDEX(C_Pavement!$H$5:$H$204,$AQ81)="-","",INDEX(C_Pavement!$H$5:$H$204,$AQ81)),IF($AS81="","",INDEX(E_Rules!$G$5:$G$9,$AS81))))</f>
        <v/>
      </c>
      <c r="AY81" t="str">
        <f>IF($AQ81="","",IF(INDEX(C_Pavement!$I$5:$I$204,$AQ81)&lt;&gt;"",IF(INDEX(C_Pavement!$I$5:$I$204,$AQ81)="-","",INDEX(C_Pavement!$I$5:$I$204,$AQ81)),IF($AS81="","",INDEX(E_Rules!$H$5:$H$9,$AS81))))</f>
        <v/>
      </c>
    </row>
    <row r="82" spans="1:51" ht="15.75" customHeight="1" x14ac:dyDescent="0.3">
      <c r="A82" s="189">
        <v>77</v>
      </c>
      <c r="B82" s="180">
        <v>3800</v>
      </c>
      <c r="C82" s="180" t="s">
        <v>388</v>
      </c>
      <c r="D82" s="181" t="str">
        <f>IFERROR(LOOKUP(2,1/((A_Corridor!$A$5:$A$204&lt;&gt;"")*(A_Corridor!$A$5:$A$204&lt;=$B82)*(A_Corridor!$B$5:$B$204&gt;$B82)*(A_Corridor!$C$5:$C$204&lt;&gt;"")),IF(UPPER(A_Corridor!$C$5:$C$204)="Y",1,"")),"")</f>
        <v/>
      </c>
      <c r="E82" s="181" t="str">
        <f>IFERROR(LOOKUP(2,1/((A_Corridor!$A$5:$A$204&lt;&gt;"")*(A_Corridor!$A$5:$A$204&lt;=$B82)*(A_Corridor!$B$5:$B$204&gt;$B82)*(A_Corridor!$D$5:$D$204&lt;&gt;"")),IF(A_Corridor!$D$5:$D$204="-","",UPPER(A_Corridor!$D$5:$D$204))),"")</f>
        <v/>
      </c>
      <c r="F82" s="181" t="str">
        <f>IFERROR(LOOKUP(2,1/((A_Corridor!$A$5:$A$204&lt;&gt;"")*(A_Corridor!$A$5:$A$204&lt;=$B82)*(A_Corridor!$B$5:$B$204&gt;$B82)*(A_Corridor!$E$5:$E$204&lt;&gt;"")),IF(A_Corridor!$E$5:$E$204="-","",1)),"")</f>
        <v/>
      </c>
      <c r="G82" s="182" t="str">
        <f>IFERROR(LOOKUP(2,1/((A_Corridor!$A$5:$A$204&lt;&gt;"")*(A_Corridor!$A$5:$A$204&lt;=$B82)*(A_Corridor!$B$5:$B$204&gt;$B82)*(A_Corridor!$E$5:$E$204&lt;&gt;"")),IF(A_Corridor!$E$5:$E$204="-","",A_Corridor!$E$5:$E$204)),"")</f>
        <v/>
      </c>
      <c r="H82" s="182" t="str">
        <f>IFERROR(LOOKUP(2,1/((D_Points!$A$5:$A$204&lt;&gt;"")*(D_Points!$A$5:$A$204&gt;=$B82)*(D_Points!$A$5:$A$204&lt;$B82+P_Interval)*(UPPER(TRIM(D_Points!$B$5:$B$204))="GULLY")*(D_Points!$H$5:$H$204&lt;&gt;"")),D_Points!$H$5:$H$204),"")</f>
        <v/>
      </c>
      <c r="I82" s="181" t="str">
        <f>IFERROR(LOOKUP(2,1/((A_Corridor!$A$5:$A$204&lt;&gt;"")*(A_Corridor!$A$5:$A$204&lt;=$B82)*(A_Corridor!$B$5:$B$204&gt;$B82)*(A_Corridor!$F$5:$F$204&lt;&gt;"")),IF(A_Corridor!$F$5:$F$204="-","",1)),"")</f>
        <v/>
      </c>
      <c r="J82" s="182" t="str">
        <f>IFERROR(LOOKUP(2,1/((A_Corridor!$A$5:$A$204&lt;&gt;"")*(A_Corridor!$A$5:$A$204&lt;=$B82)*(A_Corridor!$B$5:$B$204&gt;$B82)*(A_Corridor!$F$5:$F$204&lt;&gt;"")),IF(A_Corridor!$F$5:$F$204="-","",A_Corridor!$F$5:$F$204)),"")</f>
        <v/>
      </c>
      <c r="K82" s="182" t="str">
        <f>IFERROR(LOOKUP(2,1/((A_Corridor!$A$5:$A$204&lt;&gt;"")*(A_Corridor!$A$5:$A$204&lt;=$B82)*(A_Corridor!$B$5:$B$204&gt;$B82)*(A_Corridor!$G$5:$G$204&lt;&gt;"")),IF(A_Corridor!$G$5:$G$204="-","",A_Corridor!$G$5:$G$204)),"")</f>
        <v/>
      </c>
      <c r="L82" s="181" t="str">
        <f>IFERROR(LOOKUP(2,1/((A_Corridor!$A$5:$A$204&lt;&gt;"")*(A_Corridor!$A$5:$A$204&lt;=$B82)*(A_Corridor!$B$5:$B$204&gt;$B82)*(A_Corridor!$H$5:$H$204&lt;&gt;"")),IF(A_Corridor!$H$5:$H$204="-","",1)),"")</f>
        <v/>
      </c>
      <c r="M82" s="182" t="str">
        <f>IFERROR(LOOKUP(2,1/((A_Corridor!$A$5:$A$204&lt;&gt;"")*(A_Corridor!$A$5:$A$204&lt;=$B82)*(A_Corridor!$B$5:$B$204&gt;$B82)*(A_Corridor!$H$5:$H$204&lt;&gt;"")),IF(A_Corridor!$H$5:$H$204="-","",A_Corridor!$H$5:$H$204)),"")</f>
        <v/>
      </c>
      <c r="N82" s="182" t="str">
        <f>IFERROR(LOOKUP(2,1/((A_Corridor!$A$5:$A$204&lt;&gt;"")*(A_Corridor!$A$5:$A$204&lt;=$B82)*(A_Corridor!$B$5:$B$204&gt;$B82)*(A_Corridor!$I$5:$I$204&lt;&gt;"")),IF(A_Corridor!$I$5:$I$204="-","",A_Corridor!$I$5:$I$204)),"")</f>
        <v/>
      </c>
      <c r="O82" s="182" t="str">
        <f>IFERROR(LOOKUP(2,1/((D_Points!$A$5:$A$204&lt;&gt;"")*(D_Points!$A$5:$A$204&gt;=$B82)*(D_Points!$A$5:$A$204&lt;$B82+P_Interval)*(UPPER(TRIM(D_Points!$B$5:$B$204))="PITCHING")*(D_Points!$H$5:$H$204&lt;&gt;"")),D_Points!$H$5:$H$204),"")</f>
        <v/>
      </c>
      <c r="P82" s="181" t="str">
        <f>IFERROR(LOOKUP(2,1/((B_Drainage!$A$5:$A$204&lt;&gt;"")*(B_Drainage!$A$5:$A$204&lt;=$B82)*(B_Drainage!$B$5:$B$204&gt;$B82)*(B_Drainage!$C$5:$C$204&lt;&gt;"")),IF(B_Drainage!$C$5:$C$204="-","",UPPER(B_Drainage!$C$5:$C$204))),"")</f>
        <v/>
      </c>
      <c r="Q82" s="181" t="str">
        <f>IFERROR(LOOKUP(2,1/((B_Drainage!$A$5:$A$204&lt;&gt;"")*(B_Drainage!$A$5:$A$204&lt;=$B82)*(B_Drainage!$B$5:$B$204&gt;$B82)*(B_Drainage!$D$5:$D$204&lt;&gt;"")),IF(B_Drainage!$D$5:$D$204="-","",UPPER(B_Drainage!$D$5:$D$204))),"")</f>
        <v/>
      </c>
      <c r="R82" s="182" t="str">
        <f>IFERROR(LOOKUP(2,1/((D_Points!$A$5:$A$204&lt;&gt;"")*(D_Points!$A$5:$A$204&gt;=$B82)*(D_Points!$A$5:$A$204&lt;$B82+P_Interval)*(RIGHT(UPPER(TRIM(D_Points!$B$5:$B$204)),8)="_CULVERT")),IF(LEFT(UPPER(TRIM(D_Points!$B$5:$B$204)),2)="EX",1,IF(LEFT(UPPER(TRIM(D_Points!$B$5:$B$204)),2)="PR",2,3))),"")</f>
        <v/>
      </c>
      <c r="S82" s="182" t="str">
        <f>IFERROR(LOOKUP(2,1/((D_Points!$A$5:$A$204&lt;&gt;"")*(D_Points!$A$5:$A$204&gt;=$B82)*(D_Points!$A$5:$A$204&lt;$B82+P_Interval)*(RIGHT(UPPER(TRIM(D_Points!$B$5:$B$204)),7)="_BRIDGE")),IF(LEFT(UPPER(TRIM(D_Points!$B$5:$B$204)),2)="EX",1,IF(LEFT(UPPER(TRIM(D_Points!$B$5:$B$204)),2)="PR",2,2))),"")</f>
        <v/>
      </c>
      <c r="T82" s="181" t="str">
        <f>IFERROR(LOOKUP(2,1/((B_Drainage!$A$5:$A$204&lt;&gt;"")*(B_Drainage!$A$5:$A$204&lt;=$B82)*(B_Drainage!$B$5:$B$204&gt;$B82)*(B_Drainage!$E$5:$E$204&lt;&gt;"")),IF(B_Drainage!$E$5:$E$204="-","",1)),"")</f>
        <v/>
      </c>
      <c r="U82" s="181" t="str">
        <f>IFERROR(LOOKUP(2,1/((B_Drainage!$A$5:$A$204&lt;&gt;"")*(B_Drainage!$A$5:$A$204&lt;=$B82)*(B_Drainage!$B$5:$B$204&gt;$B82)*(B_Drainage!$E$5:$E$204&lt;&gt;"")),IF(B_Drainage!$E$5:$E$204="-","",B_Drainage!$E$5:$E$204)),"")</f>
        <v/>
      </c>
      <c r="V82" s="181" t="str">
        <f>IFERROR(LOOKUP(2,1/((B_Drainage!$A$5:$A$204&lt;&gt;"")*(B_Drainage!$A$5:$A$204&lt;=$B82)*(B_Drainage!$B$5:$B$204&gt;$B82)*(B_Drainage!$F$5:$F$204&lt;&gt;"")),IF(B_Drainage!$F$5:$F$204="-","",1)),"")</f>
        <v/>
      </c>
      <c r="W82" s="181" t="str">
        <f>IFERROR(LOOKUP(2,1/((B_Drainage!$A$5:$A$204&lt;&gt;"")*(B_Drainage!$A$5:$A$204&lt;=$B82)*(B_Drainage!$B$5:$B$204&gt;$B82)*(B_Drainage!$F$5:$F$204&lt;&gt;"")),IF(B_Drainage!$F$5:$F$204="-","",B_Drainage!$F$5:$F$204)),"")</f>
        <v/>
      </c>
      <c r="X82" s="181" t="str">
        <f>IFERROR(LOOKUP(2,1/((B_Drainage!$A$5:$A$204&lt;&gt;"")*(B_Drainage!$A$5:$A$204&lt;=$B82)*(B_Drainage!$B$5:$B$204&gt;$B82)*(B_Drainage!$G$5:$G$204&lt;&gt;"")),IF(UPPER(B_Drainage!$G$5:$G$204)="Y",1,"")),"")</f>
        <v/>
      </c>
      <c r="Y82" s="181" t="str">
        <f>IFERROR(LOOKUP(2,1/((B_Drainage!$A$5:$A$204&lt;&gt;"")*(B_Drainage!$A$5:$A$204&lt;=$B82)*(B_Drainage!$B$5:$B$204&gt;$B82)*(B_Drainage!$H$5:$H$204&lt;&gt;"")),IF(UPPER(B_Drainage!$H$5:$H$204)="Y",1,"")),"")</f>
        <v/>
      </c>
      <c r="Z82" s="181" t="str">
        <f>IFERROR(LOOKUP(2,1/((B_Drainage!$A$5:$A$204&lt;&gt;"")*(B_Drainage!$A$5:$A$204&lt;=$B82)*(B_Drainage!$B$5:$B$204&gt;$B82)*(B_Drainage!$I$5:$I$204&lt;&gt;"")),IF(UPPER(B_Drainage!$I$5:$I$204)="Y",1,"")),"")</f>
        <v/>
      </c>
      <c r="AA82" s="181" t="str">
        <f>IFERROR(LOOKUP(2,1/((B_Drainage!$A$5:$A$204&lt;&gt;"")*(B_Drainage!$A$5:$A$204&lt;=$B82)*(B_Drainage!$B$5:$B$204&gt;$B82)*(B_Drainage!$J$5:$J$204&lt;&gt;"")),IF(UPPER(B_Drainage!$J$5:$J$204)="Y",1,"")),"")</f>
        <v/>
      </c>
      <c r="AB82" s="182" t="str">
        <f>IFERROR(LOOKUP(2,1/((B_Drainage!$A$5:$A$204&lt;&gt;"")*(B_Drainage!$A$5:$A$204&lt;=$B82)*(B_Drainage!$B$5:$B$204&gt;$B82)*(B_Drainage!$K$5:$K$204&lt;&gt;"")),IF(B_Drainage!$K$5:$K$204="-","",B_Drainage!$K$5:$K$204)),"")</f>
        <v/>
      </c>
      <c r="AC82" s="182" t="str">
        <f>IFERROR(LOOKUP(2,1/((B_Drainage!$A$5:$A$204&lt;&gt;"")*(B_Drainage!$A$5:$A$204&lt;=$B82)*(B_Drainage!$B$5:$B$204&gt;$B82)*(B_Drainage!$L$5:$L$204&lt;&gt;"")),IF(B_Drainage!$L$5:$L$204="-","",B_Drainage!$L$5:$L$204)),"")</f>
        <v/>
      </c>
      <c r="AD82" s="182" t="str">
        <f>IFERROR(LOOKUP(2,1/((D_Points!$A$5:$A$204&lt;&gt;"")*(D_Points!$A$5:$A$204&gt;=$B82)*(D_Points!$A$5:$A$204&lt;$B82+P_Interval)*(UPPER(TRIM(D_Points!$B$5:$B$204))="TURNOUT_L")*(D_Points!$H$5:$H$204&lt;&gt;"")),D_Points!$H$5:$H$204),"")</f>
        <v/>
      </c>
      <c r="AE82" s="182" t="str">
        <f>IFERROR(LOOKUP(2,1/((D_Points!$A$5:$A$204&lt;&gt;"")*(D_Points!$A$5:$A$204&gt;=$B82)*(D_Points!$A$5:$A$204&lt;$B82+P_Interval)*(UPPER(TRIM(D_Points!$B$5:$B$204))="TURNOUT_R")*(D_Points!$H$5:$H$204&lt;&gt;"")),D_Points!$H$5:$H$204),"")</f>
        <v/>
      </c>
      <c r="AF82" s="181" t="str">
        <f>IFERROR(LOOKUP(2,1/((B_Drainage!$A$5:$A$204&lt;&gt;"")*(B_Drainage!$A$5:$A$204&lt;=$B82)*(B_Drainage!$B$5:$B$204&gt;$B82)*(B_Drainage!$M$5:$M$204&lt;&gt;"")),IF(UPPER(B_Drainage!$M$5:$M$204)="Y",1,"")),"")</f>
        <v/>
      </c>
      <c r="AG82" s="181" t="str">
        <f>IFERROR(LOOKUP(2,1/((B_Drainage!$A$5:$A$204&lt;&gt;"")*(B_Drainage!$A$5:$A$204&lt;=$B82)*(B_Drainage!$B$5:$B$204&gt;$B82)*(B_Drainage!$N$5:$N$204&lt;&gt;"")),IF(UPPER(B_Drainage!$N$5:$N$204)="Y",1,"")),"")</f>
        <v/>
      </c>
      <c r="AH82" s="181" t="str">
        <f t="shared" si="8"/>
        <v/>
      </c>
      <c r="AI82" s="181" t="str">
        <f t="shared" si="9"/>
        <v/>
      </c>
      <c r="AJ82" s="181" t="str">
        <f t="shared" si="10"/>
        <v/>
      </c>
      <c r="AK82" s="181" t="str">
        <f t="shared" si="11"/>
        <v/>
      </c>
      <c r="AL82" s="181" t="str">
        <f t="shared" si="12"/>
        <v/>
      </c>
      <c r="AM82" s="181" t="str">
        <f t="shared" si="13"/>
        <v/>
      </c>
      <c r="AN82" s="181" t="str">
        <f t="shared" si="14"/>
        <v/>
      </c>
      <c r="AO82" s="192" t="str">
        <f t="shared" si="15"/>
        <v/>
      </c>
      <c r="AQ82" t="str">
        <f>IFERROR(LOOKUP(2,1/((C_Pavement!$A$5:$A$204&lt;&gt;"")*(C_Pavement!$A$5:$A$204&lt;=$B82)*(C_Pavement!$B$5:$B$204&gt;$B82)*(C_Pavement!$C$5:$C$204&lt;&gt;"")),ROW(C_Pavement!$C$5:$C$204)-4),"")</f>
        <v/>
      </c>
      <c r="AR82" t="str">
        <f>IF($AQ82="","",UPPER(TRIM(INDEX(C_Pavement!$C$5:$C$204,$AQ82))))</f>
        <v/>
      </c>
      <c r="AS82" t="str">
        <f>IF($AR82="","",IFERROR(MATCH($AR82,E_Rules!$A$5:$A$9,0),""))</f>
        <v/>
      </c>
      <c r="AT82" t="str">
        <f>IF($AQ82="","",IF(INDEX(C_Pavement!$D$5:$D$204,$AQ82)&lt;&gt;"",UPPER(TRIM(INDEX(C_Pavement!$D$5:$D$204,$AQ82))),IF($AS82="","",INDEX(E_Rules!$C$5:$C$9,$AS82))))</f>
        <v/>
      </c>
      <c r="AU82" t="str">
        <f>IF($AQ82="","",IF(INDEX(C_Pavement!$E$5:$E$204,$AQ82)&lt;&gt;"",IF(INDEX(C_Pavement!$E$5:$E$204,$AQ82)="-","",INDEX(C_Pavement!$E$5:$E$204,$AQ82)),IF($AS82="","",INDEX(E_Rules!$D$5:$D$9,$AS82))))</f>
        <v/>
      </c>
      <c r="AV82" t="str">
        <f>IF($AQ82="","",IF(INDEX(C_Pavement!$F$5:$F$204,$AQ82)&lt;&gt;"",IF(INDEX(C_Pavement!$F$5:$F$204,$AQ82)="-","",INDEX(C_Pavement!$F$5:$F$204,$AQ82)),IF($AS82="","",INDEX(E_Rules!$E$5:$E$9,$AS82))))</f>
        <v/>
      </c>
      <c r="AW82" t="str">
        <f>IF($AQ82="","",IF(INDEX(C_Pavement!$G$5:$G$204,$AQ82)&lt;&gt;"",IF(INDEX(C_Pavement!$G$5:$G$204,$AQ82)="-","",INDEX(C_Pavement!$G$5:$G$204,$AQ82)),IF($AS82="","",INDEX(E_Rules!$F$5:$F$9,$AS82))))</f>
        <v/>
      </c>
      <c r="AX82" t="str">
        <f>IF($AQ82="","",IF(INDEX(C_Pavement!$H$5:$H$204,$AQ82)&lt;&gt;"",IF(INDEX(C_Pavement!$H$5:$H$204,$AQ82)="-","",INDEX(C_Pavement!$H$5:$H$204,$AQ82)),IF($AS82="","",INDEX(E_Rules!$G$5:$G$9,$AS82))))</f>
        <v/>
      </c>
      <c r="AY82" t="str">
        <f>IF($AQ82="","",IF(INDEX(C_Pavement!$I$5:$I$204,$AQ82)&lt;&gt;"",IF(INDEX(C_Pavement!$I$5:$I$204,$AQ82)="-","",INDEX(C_Pavement!$I$5:$I$204,$AQ82)),IF($AS82="","",INDEX(E_Rules!$H$5:$H$9,$AS82))))</f>
        <v/>
      </c>
    </row>
    <row r="83" spans="1:51" ht="15.75" customHeight="1" x14ac:dyDescent="0.3">
      <c r="A83" s="189">
        <v>78</v>
      </c>
      <c r="B83" s="180">
        <v>3850</v>
      </c>
      <c r="C83" s="180" t="s">
        <v>389</v>
      </c>
      <c r="D83" s="181" t="str">
        <f>IFERROR(LOOKUP(2,1/((A_Corridor!$A$5:$A$204&lt;&gt;"")*(A_Corridor!$A$5:$A$204&lt;=$B83)*(A_Corridor!$B$5:$B$204&gt;$B83)*(A_Corridor!$C$5:$C$204&lt;&gt;"")),IF(UPPER(A_Corridor!$C$5:$C$204)="Y",1,"")),"")</f>
        <v/>
      </c>
      <c r="E83" s="181" t="str">
        <f>IFERROR(LOOKUP(2,1/((A_Corridor!$A$5:$A$204&lt;&gt;"")*(A_Corridor!$A$5:$A$204&lt;=$B83)*(A_Corridor!$B$5:$B$204&gt;$B83)*(A_Corridor!$D$5:$D$204&lt;&gt;"")),IF(A_Corridor!$D$5:$D$204="-","",UPPER(A_Corridor!$D$5:$D$204))),"")</f>
        <v/>
      </c>
      <c r="F83" s="181" t="str">
        <f>IFERROR(LOOKUP(2,1/((A_Corridor!$A$5:$A$204&lt;&gt;"")*(A_Corridor!$A$5:$A$204&lt;=$B83)*(A_Corridor!$B$5:$B$204&gt;$B83)*(A_Corridor!$E$5:$E$204&lt;&gt;"")),IF(A_Corridor!$E$5:$E$204="-","",1)),"")</f>
        <v/>
      </c>
      <c r="G83" s="182" t="str">
        <f>IFERROR(LOOKUP(2,1/((A_Corridor!$A$5:$A$204&lt;&gt;"")*(A_Corridor!$A$5:$A$204&lt;=$B83)*(A_Corridor!$B$5:$B$204&gt;$B83)*(A_Corridor!$E$5:$E$204&lt;&gt;"")),IF(A_Corridor!$E$5:$E$204="-","",A_Corridor!$E$5:$E$204)),"")</f>
        <v/>
      </c>
      <c r="H83" s="182" t="str">
        <f>IFERROR(LOOKUP(2,1/((D_Points!$A$5:$A$204&lt;&gt;"")*(D_Points!$A$5:$A$204&gt;=$B83)*(D_Points!$A$5:$A$204&lt;$B83+P_Interval)*(UPPER(TRIM(D_Points!$B$5:$B$204))="GULLY")*(D_Points!$H$5:$H$204&lt;&gt;"")),D_Points!$H$5:$H$204),"")</f>
        <v/>
      </c>
      <c r="I83" s="181" t="str">
        <f>IFERROR(LOOKUP(2,1/((A_Corridor!$A$5:$A$204&lt;&gt;"")*(A_Corridor!$A$5:$A$204&lt;=$B83)*(A_Corridor!$B$5:$B$204&gt;$B83)*(A_Corridor!$F$5:$F$204&lt;&gt;"")),IF(A_Corridor!$F$5:$F$204="-","",1)),"")</f>
        <v/>
      </c>
      <c r="J83" s="182" t="str">
        <f>IFERROR(LOOKUP(2,1/((A_Corridor!$A$5:$A$204&lt;&gt;"")*(A_Corridor!$A$5:$A$204&lt;=$B83)*(A_Corridor!$B$5:$B$204&gt;$B83)*(A_Corridor!$F$5:$F$204&lt;&gt;"")),IF(A_Corridor!$F$5:$F$204="-","",A_Corridor!$F$5:$F$204)),"")</f>
        <v/>
      </c>
      <c r="K83" s="182" t="str">
        <f>IFERROR(LOOKUP(2,1/((A_Corridor!$A$5:$A$204&lt;&gt;"")*(A_Corridor!$A$5:$A$204&lt;=$B83)*(A_Corridor!$B$5:$B$204&gt;$B83)*(A_Corridor!$G$5:$G$204&lt;&gt;"")),IF(A_Corridor!$G$5:$G$204="-","",A_Corridor!$G$5:$G$204)),"")</f>
        <v/>
      </c>
      <c r="L83" s="181" t="str">
        <f>IFERROR(LOOKUP(2,1/((A_Corridor!$A$5:$A$204&lt;&gt;"")*(A_Corridor!$A$5:$A$204&lt;=$B83)*(A_Corridor!$B$5:$B$204&gt;$B83)*(A_Corridor!$H$5:$H$204&lt;&gt;"")),IF(A_Corridor!$H$5:$H$204="-","",1)),"")</f>
        <v/>
      </c>
      <c r="M83" s="182" t="str">
        <f>IFERROR(LOOKUP(2,1/((A_Corridor!$A$5:$A$204&lt;&gt;"")*(A_Corridor!$A$5:$A$204&lt;=$B83)*(A_Corridor!$B$5:$B$204&gt;$B83)*(A_Corridor!$H$5:$H$204&lt;&gt;"")),IF(A_Corridor!$H$5:$H$204="-","",A_Corridor!$H$5:$H$204)),"")</f>
        <v/>
      </c>
      <c r="N83" s="182" t="str">
        <f>IFERROR(LOOKUP(2,1/((A_Corridor!$A$5:$A$204&lt;&gt;"")*(A_Corridor!$A$5:$A$204&lt;=$B83)*(A_Corridor!$B$5:$B$204&gt;$B83)*(A_Corridor!$I$5:$I$204&lt;&gt;"")),IF(A_Corridor!$I$5:$I$204="-","",A_Corridor!$I$5:$I$204)),"")</f>
        <v/>
      </c>
      <c r="O83" s="182" t="str">
        <f>IFERROR(LOOKUP(2,1/((D_Points!$A$5:$A$204&lt;&gt;"")*(D_Points!$A$5:$A$204&gt;=$B83)*(D_Points!$A$5:$A$204&lt;$B83+P_Interval)*(UPPER(TRIM(D_Points!$B$5:$B$204))="PITCHING")*(D_Points!$H$5:$H$204&lt;&gt;"")),D_Points!$H$5:$H$204),"")</f>
        <v/>
      </c>
      <c r="P83" s="181" t="str">
        <f>IFERROR(LOOKUP(2,1/((B_Drainage!$A$5:$A$204&lt;&gt;"")*(B_Drainage!$A$5:$A$204&lt;=$B83)*(B_Drainage!$B$5:$B$204&gt;$B83)*(B_Drainage!$C$5:$C$204&lt;&gt;"")),IF(B_Drainage!$C$5:$C$204="-","",UPPER(B_Drainage!$C$5:$C$204))),"")</f>
        <v/>
      </c>
      <c r="Q83" s="181" t="str">
        <f>IFERROR(LOOKUP(2,1/((B_Drainage!$A$5:$A$204&lt;&gt;"")*(B_Drainage!$A$5:$A$204&lt;=$B83)*(B_Drainage!$B$5:$B$204&gt;$B83)*(B_Drainage!$D$5:$D$204&lt;&gt;"")),IF(B_Drainage!$D$5:$D$204="-","",UPPER(B_Drainage!$D$5:$D$204))),"")</f>
        <v/>
      </c>
      <c r="R83" s="182" t="str">
        <f>IFERROR(LOOKUP(2,1/((D_Points!$A$5:$A$204&lt;&gt;"")*(D_Points!$A$5:$A$204&gt;=$B83)*(D_Points!$A$5:$A$204&lt;$B83+P_Interval)*(RIGHT(UPPER(TRIM(D_Points!$B$5:$B$204)),8)="_CULVERT")),IF(LEFT(UPPER(TRIM(D_Points!$B$5:$B$204)),2)="EX",1,IF(LEFT(UPPER(TRIM(D_Points!$B$5:$B$204)),2)="PR",2,3))),"")</f>
        <v/>
      </c>
      <c r="S83" s="182" t="str">
        <f>IFERROR(LOOKUP(2,1/((D_Points!$A$5:$A$204&lt;&gt;"")*(D_Points!$A$5:$A$204&gt;=$B83)*(D_Points!$A$5:$A$204&lt;$B83+P_Interval)*(RIGHT(UPPER(TRIM(D_Points!$B$5:$B$204)),7)="_BRIDGE")),IF(LEFT(UPPER(TRIM(D_Points!$B$5:$B$204)),2)="EX",1,IF(LEFT(UPPER(TRIM(D_Points!$B$5:$B$204)),2)="PR",2,2))),"")</f>
        <v/>
      </c>
      <c r="T83" s="181" t="str">
        <f>IFERROR(LOOKUP(2,1/((B_Drainage!$A$5:$A$204&lt;&gt;"")*(B_Drainage!$A$5:$A$204&lt;=$B83)*(B_Drainage!$B$5:$B$204&gt;$B83)*(B_Drainage!$E$5:$E$204&lt;&gt;"")),IF(B_Drainage!$E$5:$E$204="-","",1)),"")</f>
        <v/>
      </c>
      <c r="U83" s="181" t="str">
        <f>IFERROR(LOOKUP(2,1/((B_Drainage!$A$5:$A$204&lt;&gt;"")*(B_Drainage!$A$5:$A$204&lt;=$B83)*(B_Drainage!$B$5:$B$204&gt;$B83)*(B_Drainage!$E$5:$E$204&lt;&gt;"")),IF(B_Drainage!$E$5:$E$204="-","",B_Drainage!$E$5:$E$204)),"")</f>
        <v/>
      </c>
      <c r="V83" s="181" t="str">
        <f>IFERROR(LOOKUP(2,1/((B_Drainage!$A$5:$A$204&lt;&gt;"")*(B_Drainage!$A$5:$A$204&lt;=$B83)*(B_Drainage!$B$5:$B$204&gt;$B83)*(B_Drainage!$F$5:$F$204&lt;&gt;"")),IF(B_Drainage!$F$5:$F$204="-","",1)),"")</f>
        <v/>
      </c>
      <c r="W83" s="181" t="str">
        <f>IFERROR(LOOKUP(2,1/((B_Drainage!$A$5:$A$204&lt;&gt;"")*(B_Drainage!$A$5:$A$204&lt;=$B83)*(B_Drainage!$B$5:$B$204&gt;$B83)*(B_Drainage!$F$5:$F$204&lt;&gt;"")),IF(B_Drainage!$F$5:$F$204="-","",B_Drainage!$F$5:$F$204)),"")</f>
        <v/>
      </c>
      <c r="X83" s="181" t="str">
        <f>IFERROR(LOOKUP(2,1/((B_Drainage!$A$5:$A$204&lt;&gt;"")*(B_Drainage!$A$5:$A$204&lt;=$B83)*(B_Drainage!$B$5:$B$204&gt;$B83)*(B_Drainage!$G$5:$G$204&lt;&gt;"")),IF(UPPER(B_Drainage!$G$5:$G$204)="Y",1,"")),"")</f>
        <v/>
      </c>
      <c r="Y83" s="181" t="str">
        <f>IFERROR(LOOKUP(2,1/((B_Drainage!$A$5:$A$204&lt;&gt;"")*(B_Drainage!$A$5:$A$204&lt;=$B83)*(B_Drainage!$B$5:$B$204&gt;$B83)*(B_Drainage!$H$5:$H$204&lt;&gt;"")),IF(UPPER(B_Drainage!$H$5:$H$204)="Y",1,"")),"")</f>
        <v/>
      </c>
      <c r="Z83" s="181" t="str">
        <f>IFERROR(LOOKUP(2,1/((B_Drainage!$A$5:$A$204&lt;&gt;"")*(B_Drainage!$A$5:$A$204&lt;=$B83)*(B_Drainage!$B$5:$B$204&gt;$B83)*(B_Drainage!$I$5:$I$204&lt;&gt;"")),IF(UPPER(B_Drainage!$I$5:$I$204)="Y",1,"")),"")</f>
        <v/>
      </c>
      <c r="AA83" s="181" t="str">
        <f>IFERROR(LOOKUP(2,1/((B_Drainage!$A$5:$A$204&lt;&gt;"")*(B_Drainage!$A$5:$A$204&lt;=$B83)*(B_Drainage!$B$5:$B$204&gt;$B83)*(B_Drainage!$J$5:$J$204&lt;&gt;"")),IF(UPPER(B_Drainage!$J$5:$J$204)="Y",1,"")),"")</f>
        <v/>
      </c>
      <c r="AB83" s="182" t="str">
        <f>IFERROR(LOOKUP(2,1/((B_Drainage!$A$5:$A$204&lt;&gt;"")*(B_Drainage!$A$5:$A$204&lt;=$B83)*(B_Drainage!$B$5:$B$204&gt;$B83)*(B_Drainage!$K$5:$K$204&lt;&gt;"")),IF(B_Drainage!$K$5:$K$204="-","",B_Drainage!$K$5:$K$204)),"")</f>
        <v/>
      </c>
      <c r="AC83" s="182" t="str">
        <f>IFERROR(LOOKUP(2,1/((B_Drainage!$A$5:$A$204&lt;&gt;"")*(B_Drainage!$A$5:$A$204&lt;=$B83)*(B_Drainage!$B$5:$B$204&gt;$B83)*(B_Drainage!$L$5:$L$204&lt;&gt;"")),IF(B_Drainage!$L$5:$L$204="-","",B_Drainage!$L$5:$L$204)),"")</f>
        <v/>
      </c>
      <c r="AD83" s="182" t="str">
        <f>IFERROR(LOOKUP(2,1/((D_Points!$A$5:$A$204&lt;&gt;"")*(D_Points!$A$5:$A$204&gt;=$B83)*(D_Points!$A$5:$A$204&lt;$B83+P_Interval)*(UPPER(TRIM(D_Points!$B$5:$B$204))="TURNOUT_L")*(D_Points!$H$5:$H$204&lt;&gt;"")),D_Points!$H$5:$H$204),"")</f>
        <v/>
      </c>
      <c r="AE83" s="182" t="str">
        <f>IFERROR(LOOKUP(2,1/((D_Points!$A$5:$A$204&lt;&gt;"")*(D_Points!$A$5:$A$204&gt;=$B83)*(D_Points!$A$5:$A$204&lt;$B83+P_Interval)*(UPPER(TRIM(D_Points!$B$5:$B$204))="TURNOUT_R")*(D_Points!$H$5:$H$204&lt;&gt;"")),D_Points!$H$5:$H$204),"")</f>
        <v/>
      </c>
      <c r="AF83" s="181" t="str">
        <f>IFERROR(LOOKUP(2,1/((B_Drainage!$A$5:$A$204&lt;&gt;"")*(B_Drainage!$A$5:$A$204&lt;=$B83)*(B_Drainage!$B$5:$B$204&gt;$B83)*(B_Drainage!$M$5:$M$204&lt;&gt;"")),IF(UPPER(B_Drainage!$M$5:$M$204)="Y",1,"")),"")</f>
        <v/>
      </c>
      <c r="AG83" s="181" t="str">
        <f>IFERROR(LOOKUP(2,1/((B_Drainage!$A$5:$A$204&lt;&gt;"")*(B_Drainage!$A$5:$A$204&lt;=$B83)*(B_Drainage!$B$5:$B$204&gt;$B83)*(B_Drainage!$N$5:$N$204&lt;&gt;"")),IF(UPPER(B_Drainage!$N$5:$N$204)="Y",1,"")),"")</f>
        <v/>
      </c>
      <c r="AH83" s="181" t="str">
        <f t="shared" si="8"/>
        <v/>
      </c>
      <c r="AI83" s="181" t="str">
        <f t="shared" si="9"/>
        <v/>
      </c>
      <c r="AJ83" s="181" t="str">
        <f t="shared" si="10"/>
        <v/>
      </c>
      <c r="AK83" s="181" t="str">
        <f t="shared" si="11"/>
        <v/>
      </c>
      <c r="AL83" s="181" t="str">
        <f t="shared" si="12"/>
        <v/>
      </c>
      <c r="AM83" s="181" t="str">
        <f t="shared" si="13"/>
        <v/>
      </c>
      <c r="AN83" s="181" t="str">
        <f t="shared" si="14"/>
        <v/>
      </c>
      <c r="AO83" s="192" t="str">
        <f t="shared" si="15"/>
        <v/>
      </c>
      <c r="AQ83" t="str">
        <f>IFERROR(LOOKUP(2,1/((C_Pavement!$A$5:$A$204&lt;&gt;"")*(C_Pavement!$A$5:$A$204&lt;=$B83)*(C_Pavement!$B$5:$B$204&gt;$B83)*(C_Pavement!$C$5:$C$204&lt;&gt;"")),ROW(C_Pavement!$C$5:$C$204)-4),"")</f>
        <v/>
      </c>
      <c r="AR83" t="str">
        <f>IF($AQ83="","",UPPER(TRIM(INDEX(C_Pavement!$C$5:$C$204,$AQ83))))</f>
        <v/>
      </c>
      <c r="AS83" t="str">
        <f>IF($AR83="","",IFERROR(MATCH($AR83,E_Rules!$A$5:$A$9,0),""))</f>
        <v/>
      </c>
      <c r="AT83" t="str">
        <f>IF($AQ83="","",IF(INDEX(C_Pavement!$D$5:$D$204,$AQ83)&lt;&gt;"",UPPER(TRIM(INDEX(C_Pavement!$D$5:$D$204,$AQ83))),IF($AS83="","",INDEX(E_Rules!$C$5:$C$9,$AS83))))</f>
        <v/>
      </c>
      <c r="AU83" t="str">
        <f>IF($AQ83="","",IF(INDEX(C_Pavement!$E$5:$E$204,$AQ83)&lt;&gt;"",IF(INDEX(C_Pavement!$E$5:$E$204,$AQ83)="-","",INDEX(C_Pavement!$E$5:$E$204,$AQ83)),IF($AS83="","",INDEX(E_Rules!$D$5:$D$9,$AS83))))</f>
        <v/>
      </c>
      <c r="AV83" t="str">
        <f>IF($AQ83="","",IF(INDEX(C_Pavement!$F$5:$F$204,$AQ83)&lt;&gt;"",IF(INDEX(C_Pavement!$F$5:$F$204,$AQ83)="-","",INDEX(C_Pavement!$F$5:$F$204,$AQ83)),IF($AS83="","",INDEX(E_Rules!$E$5:$E$9,$AS83))))</f>
        <v/>
      </c>
      <c r="AW83" t="str">
        <f>IF($AQ83="","",IF(INDEX(C_Pavement!$G$5:$G$204,$AQ83)&lt;&gt;"",IF(INDEX(C_Pavement!$G$5:$G$204,$AQ83)="-","",INDEX(C_Pavement!$G$5:$G$204,$AQ83)),IF($AS83="","",INDEX(E_Rules!$F$5:$F$9,$AS83))))</f>
        <v/>
      </c>
      <c r="AX83" t="str">
        <f>IF($AQ83="","",IF(INDEX(C_Pavement!$H$5:$H$204,$AQ83)&lt;&gt;"",IF(INDEX(C_Pavement!$H$5:$H$204,$AQ83)="-","",INDEX(C_Pavement!$H$5:$H$204,$AQ83)),IF($AS83="","",INDEX(E_Rules!$G$5:$G$9,$AS83))))</f>
        <v/>
      </c>
      <c r="AY83" t="str">
        <f>IF($AQ83="","",IF(INDEX(C_Pavement!$I$5:$I$204,$AQ83)&lt;&gt;"",IF(INDEX(C_Pavement!$I$5:$I$204,$AQ83)="-","",INDEX(C_Pavement!$I$5:$I$204,$AQ83)),IF($AS83="","",INDEX(E_Rules!$H$5:$H$9,$AS83))))</f>
        <v/>
      </c>
    </row>
    <row r="84" spans="1:51" ht="15.75" customHeight="1" x14ac:dyDescent="0.3">
      <c r="A84" s="189">
        <v>79</v>
      </c>
      <c r="B84" s="180">
        <v>3900</v>
      </c>
      <c r="C84" s="180" t="s">
        <v>390</v>
      </c>
      <c r="D84" s="181" t="str">
        <f>IFERROR(LOOKUP(2,1/((A_Corridor!$A$5:$A$204&lt;&gt;"")*(A_Corridor!$A$5:$A$204&lt;=$B84)*(A_Corridor!$B$5:$B$204&gt;$B84)*(A_Corridor!$C$5:$C$204&lt;&gt;"")),IF(UPPER(A_Corridor!$C$5:$C$204)="Y",1,"")),"")</f>
        <v/>
      </c>
      <c r="E84" s="181" t="str">
        <f>IFERROR(LOOKUP(2,1/((A_Corridor!$A$5:$A$204&lt;&gt;"")*(A_Corridor!$A$5:$A$204&lt;=$B84)*(A_Corridor!$B$5:$B$204&gt;$B84)*(A_Corridor!$D$5:$D$204&lt;&gt;"")),IF(A_Corridor!$D$5:$D$204="-","",UPPER(A_Corridor!$D$5:$D$204))),"")</f>
        <v/>
      </c>
      <c r="F84" s="181" t="str">
        <f>IFERROR(LOOKUP(2,1/((A_Corridor!$A$5:$A$204&lt;&gt;"")*(A_Corridor!$A$5:$A$204&lt;=$B84)*(A_Corridor!$B$5:$B$204&gt;$B84)*(A_Corridor!$E$5:$E$204&lt;&gt;"")),IF(A_Corridor!$E$5:$E$204="-","",1)),"")</f>
        <v/>
      </c>
      <c r="G84" s="182" t="str">
        <f>IFERROR(LOOKUP(2,1/((A_Corridor!$A$5:$A$204&lt;&gt;"")*(A_Corridor!$A$5:$A$204&lt;=$B84)*(A_Corridor!$B$5:$B$204&gt;$B84)*(A_Corridor!$E$5:$E$204&lt;&gt;"")),IF(A_Corridor!$E$5:$E$204="-","",A_Corridor!$E$5:$E$204)),"")</f>
        <v/>
      </c>
      <c r="H84" s="182" t="str">
        <f>IFERROR(LOOKUP(2,1/((D_Points!$A$5:$A$204&lt;&gt;"")*(D_Points!$A$5:$A$204&gt;=$B84)*(D_Points!$A$5:$A$204&lt;$B84+P_Interval)*(UPPER(TRIM(D_Points!$B$5:$B$204))="GULLY")*(D_Points!$H$5:$H$204&lt;&gt;"")),D_Points!$H$5:$H$204),"")</f>
        <v/>
      </c>
      <c r="I84" s="181" t="str">
        <f>IFERROR(LOOKUP(2,1/((A_Corridor!$A$5:$A$204&lt;&gt;"")*(A_Corridor!$A$5:$A$204&lt;=$B84)*(A_Corridor!$B$5:$B$204&gt;$B84)*(A_Corridor!$F$5:$F$204&lt;&gt;"")),IF(A_Corridor!$F$5:$F$204="-","",1)),"")</f>
        <v/>
      </c>
      <c r="J84" s="182" t="str">
        <f>IFERROR(LOOKUP(2,1/((A_Corridor!$A$5:$A$204&lt;&gt;"")*(A_Corridor!$A$5:$A$204&lt;=$B84)*(A_Corridor!$B$5:$B$204&gt;$B84)*(A_Corridor!$F$5:$F$204&lt;&gt;"")),IF(A_Corridor!$F$5:$F$204="-","",A_Corridor!$F$5:$F$204)),"")</f>
        <v/>
      </c>
      <c r="K84" s="182" t="str">
        <f>IFERROR(LOOKUP(2,1/((A_Corridor!$A$5:$A$204&lt;&gt;"")*(A_Corridor!$A$5:$A$204&lt;=$B84)*(A_Corridor!$B$5:$B$204&gt;$B84)*(A_Corridor!$G$5:$G$204&lt;&gt;"")),IF(A_Corridor!$G$5:$G$204="-","",A_Corridor!$G$5:$G$204)),"")</f>
        <v/>
      </c>
      <c r="L84" s="181" t="str">
        <f>IFERROR(LOOKUP(2,1/((A_Corridor!$A$5:$A$204&lt;&gt;"")*(A_Corridor!$A$5:$A$204&lt;=$B84)*(A_Corridor!$B$5:$B$204&gt;$B84)*(A_Corridor!$H$5:$H$204&lt;&gt;"")),IF(A_Corridor!$H$5:$H$204="-","",1)),"")</f>
        <v/>
      </c>
      <c r="M84" s="182" t="str">
        <f>IFERROR(LOOKUP(2,1/((A_Corridor!$A$5:$A$204&lt;&gt;"")*(A_Corridor!$A$5:$A$204&lt;=$B84)*(A_Corridor!$B$5:$B$204&gt;$B84)*(A_Corridor!$H$5:$H$204&lt;&gt;"")),IF(A_Corridor!$H$5:$H$204="-","",A_Corridor!$H$5:$H$204)),"")</f>
        <v/>
      </c>
      <c r="N84" s="182" t="str">
        <f>IFERROR(LOOKUP(2,1/((A_Corridor!$A$5:$A$204&lt;&gt;"")*(A_Corridor!$A$5:$A$204&lt;=$B84)*(A_Corridor!$B$5:$B$204&gt;$B84)*(A_Corridor!$I$5:$I$204&lt;&gt;"")),IF(A_Corridor!$I$5:$I$204="-","",A_Corridor!$I$5:$I$204)),"")</f>
        <v/>
      </c>
      <c r="O84" s="182" t="str">
        <f>IFERROR(LOOKUP(2,1/((D_Points!$A$5:$A$204&lt;&gt;"")*(D_Points!$A$5:$A$204&gt;=$B84)*(D_Points!$A$5:$A$204&lt;$B84+P_Interval)*(UPPER(TRIM(D_Points!$B$5:$B$204))="PITCHING")*(D_Points!$H$5:$H$204&lt;&gt;"")),D_Points!$H$5:$H$204),"")</f>
        <v/>
      </c>
      <c r="P84" s="181" t="str">
        <f>IFERROR(LOOKUP(2,1/((B_Drainage!$A$5:$A$204&lt;&gt;"")*(B_Drainage!$A$5:$A$204&lt;=$B84)*(B_Drainage!$B$5:$B$204&gt;$B84)*(B_Drainage!$C$5:$C$204&lt;&gt;"")),IF(B_Drainage!$C$5:$C$204="-","",UPPER(B_Drainage!$C$5:$C$204))),"")</f>
        <v/>
      </c>
      <c r="Q84" s="181" t="str">
        <f>IFERROR(LOOKUP(2,1/((B_Drainage!$A$5:$A$204&lt;&gt;"")*(B_Drainage!$A$5:$A$204&lt;=$B84)*(B_Drainage!$B$5:$B$204&gt;$B84)*(B_Drainage!$D$5:$D$204&lt;&gt;"")),IF(B_Drainage!$D$5:$D$204="-","",UPPER(B_Drainage!$D$5:$D$204))),"")</f>
        <v/>
      </c>
      <c r="R84" s="182" t="str">
        <f>IFERROR(LOOKUP(2,1/((D_Points!$A$5:$A$204&lt;&gt;"")*(D_Points!$A$5:$A$204&gt;=$B84)*(D_Points!$A$5:$A$204&lt;$B84+P_Interval)*(RIGHT(UPPER(TRIM(D_Points!$B$5:$B$204)),8)="_CULVERT")),IF(LEFT(UPPER(TRIM(D_Points!$B$5:$B$204)),2)="EX",1,IF(LEFT(UPPER(TRIM(D_Points!$B$5:$B$204)),2)="PR",2,3))),"")</f>
        <v/>
      </c>
      <c r="S84" s="182" t="str">
        <f>IFERROR(LOOKUP(2,1/((D_Points!$A$5:$A$204&lt;&gt;"")*(D_Points!$A$5:$A$204&gt;=$B84)*(D_Points!$A$5:$A$204&lt;$B84+P_Interval)*(RIGHT(UPPER(TRIM(D_Points!$B$5:$B$204)),7)="_BRIDGE")),IF(LEFT(UPPER(TRIM(D_Points!$B$5:$B$204)),2)="EX",1,IF(LEFT(UPPER(TRIM(D_Points!$B$5:$B$204)),2)="PR",2,2))),"")</f>
        <v/>
      </c>
      <c r="T84" s="181" t="str">
        <f>IFERROR(LOOKUP(2,1/((B_Drainage!$A$5:$A$204&lt;&gt;"")*(B_Drainage!$A$5:$A$204&lt;=$B84)*(B_Drainage!$B$5:$B$204&gt;$B84)*(B_Drainage!$E$5:$E$204&lt;&gt;"")),IF(B_Drainage!$E$5:$E$204="-","",1)),"")</f>
        <v/>
      </c>
      <c r="U84" s="181" t="str">
        <f>IFERROR(LOOKUP(2,1/((B_Drainage!$A$5:$A$204&lt;&gt;"")*(B_Drainage!$A$5:$A$204&lt;=$B84)*(B_Drainage!$B$5:$B$204&gt;$B84)*(B_Drainage!$E$5:$E$204&lt;&gt;"")),IF(B_Drainage!$E$5:$E$204="-","",B_Drainage!$E$5:$E$204)),"")</f>
        <v/>
      </c>
      <c r="V84" s="181" t="str">
        <f>IFERROR(LOOKUP(2,1/((B_Drainage!$A$5:$A$204&lt;&gt;"")*(B_Drainage!$A$5:$A$204&lt;=$B84)*(B_Drainage!$B$5:$B$204&gt;$B84)*(B_Drainage!$F$5:$F$204&lt;&gt;"")),IF(B_Drainage!$F$5:$F$204="-","",1)),"")</f>
        <v/>
      </c>
      <c r="W84" s="181" t="str">
        <f>IFERROR(LOOKUP(2,1/((B_Drainage!$A$5:$A$204&lt;&gt;"")*(B_Drainage!$A$5:$A$204&lt;=$B84)*(B_Drainage!$B$5:$B$204&gt;$B84)*(B_Drainage!$F$5:$F$204&lt;&gt;"")),IF(B_Drainage!$F$5:$F$204="-","",B_Drainage!$F$5:$F$204)),"")</f>
        <v/>
      </c>
      <c r="X84" s="181" t="str">
        <f>IFERROR(LOOKUP(2,1/((B_Drainage!$A$5:$A$204&lt;&gt;"")*(B_Drainage!$A$5:$A$204&lt;=$B84)*(B_Drainage!$B$5:$B$204&gt;$B84)*(B_Drainage!$G$5:$G$204&lt;&gt;"")),IF(UPPER(B_Drainage!$G$5:$G$204)="Y",1,"")),"")</f>
        <v/>
      </c>
      <c r="Y84" s="181" t="str">
        <f>IFERROR(LOOKUP(2,1/((B_Drainage!$A$5:$A$204&lt;&gt;"")*(B_Drainage!$A$5:$A$204&lt;=$B84)*(B_Drainage!$B$5:$B$204&gt;$B84)*(B_Drainage!$H$5:$H$204&lt;&gt;"")),IF(UPPER(B_Drainage!$H$5:$H$204)="Y",1,"")),"")</f>
        <v/>
      </c>
      <c r="Z84" s="181" t="str">
        <f>IFERROR(LOOKUP(2,1/((B_Drainage!$A$5:$A$204&lt;&gt;"")*(B_Drainage!$A$5:$A$204&lt;=$B84)*(B_Drainage!$B$5:$B$204&gt;$B84)*(B_Drainage!$I$5:$I$204&lt;&gt;"")),IF(UPPER(B_Drainage!$I$5:$I$204)="Y",1,"")),"")</f>
        <v/>
      </c>
      <c r="AA84" s="181" t="str">
        <f>IFERROR(LOOKUP(2,1/((B_Drainage!$A$5:$A$204&lt;&gt;"")*(B_Drainage!$A$5:$A$204&lt;=$B84)*(B_Drainage!$B$5:$B$204&gt;$B84)*(B_Drainage!$J$5:$J$204&lt;&gt;"")),IF(UPPER(B_Drainage!$J$5:$J$204)="Y",1,"")),"")</f>
        <v/>
      </c>
      <c r="AB84" s="182" t="str">
        <f>IFERROR(LOOKUP(2,1/((B_Drainage!$A$5:$A$204&lt;&gt;"")*(B_Drainage!$A$5:$A$204&lt;=$B84)*(B_Drainage!$B$5:$B$204&gt;$B84)*(B_Drainage!$K$5:$K$204&lt;&gt;"")),IF(B_Drainage!$K$5:$K$204="-","",B_Drainage!$K$5:$K$204)),"")</f>
        <v/>
      </c>
      <c r="AC84" s="182" t="str">
        <f>IFERROR(LOOKUP(2,1/((B_Drainage!$A$5:$A$204&lt;&gt;"")*(B_Drainage!$A$5:$A$204&lt;=$B84)*(B_Drainage!$B$5:$B$204&gt;$B84)*(B_Drainage!$L$5:$L$204&lt;&gt;"")),IF(B_Drainage!$L$5:$L$204="-","",B_Drainage!$L$5:$L$204)),"")</f>
        <v/>
      </c>
      <c r="AD84" s="182" t="str">
        <f>IFERROR(LOOKUP(2,1/((D_Points!$A$5:$A$204&lt;&gt;"")*(D_Points!$A$5:$A$204&gt;=$B84)*(D_Points!$A$5:$A$204&lt;$B84+P_Interval)*(UPPER(TRIM(D_Points!$B$5:$B$204))="TURNOUT_L")*(D_Points!$H$5:$H$204&lt;&gt;"")),D_Points!$H$5:$H$204),"")</f>
        <v/>
      </c>
      <c r="AE84" s="182" t="str">
        <f>IFERROR(LOOKUP(2,1/((D_Points!$A$5:$A$204&lt;&gt;"")*(D_Points!$A$5:$A$204&gt;=$B84)*(D_Points!$A$5:$A$204&lt;$B84+P_Interval)*(UPPER(TRIM(D_Points!$B$5:$B$204))="TURNOUT_R")*(D_Points!$H$5:$H$204&lt;&gt;"")),D_Points!$H$5:$H$204),"")</f>
        <v/>
      </c>
      <c r="AF84" s="181" t="str">
        <f>IFERROR(LOOKUP(2,1/((B_Drainage!$A$5:$A$204&lt;&gt;"")*(B_Drainage!$A$5:$A$204&lt;=$B84)*(B_Drainage!$B$5:$B$204&gt;$B84)*(B_Drainage!$M$5:$M$204&lt;&gt;"")),IF(UPPER(B_Drainage!$M$5:$M$204)="Y",1,"")),"")</f>
        <v/>
      </c>
      <c r="AG84" s="181" t="str">
        <f>IFERROR(LOOKUP(2,1/((B_Drainage!$A$5:$A$204&lt;&gt;"")*(B_Drainage!$A$5:$A$204&lt;=$B84)*(B_Drainage!$B$5:$B$204&gt;$B84)*(B_Drainage!$N$5:$N$204&lt;&gt;"")),IF(UPPER(B_Drainage!$N$5:$N$204)="Y",1,"")),"")</f>
        <v/>
      </c>
      <c r="AH84" s="181" t="str">
        <f t="shared" si="8"/>
        <v/>
      </c>
      <c r="AI84" s="181" t="str">
        <f t="shared" si="9"/>
        <v/>
      </c>
      <c r="AJ84" s="181" t="str">
        <f t="shared" si="10"/>
        <v/>
      </c>
      <c r="AK84" s="181" t="str">
        <f t="shared" si="11"/>
        <v/>
      </c>
      <c r="AL84" s="181" t="str">
        <f t="shared" si="12"/>
        <v/>
      </c>
      <c r="AM84" s="181" t="str">
        <f t="shared" si="13"/>
        <v/>
      </c>
      <c r="AN84" s="181" t="str">
        <f t="shared" si="14"/>
        <v/>
      </c>
      <c r="AO84" s="192" t="str">
        <f t="shared" si="15"/>
        <v/>
      </c>
      <c r="AQ84" t="str">
        <f>IFERROR(LOOKUP(2,1/((C_Pavement!$A$5:$A$204&lt;&gt;"")*(C_Pavement!$A$5:$A$204&lt;=$B84)*(C_Pavement!$B$5:$B$204&gt;$B84)*(C_Pavement!$C$5:$C$204&lt;&gt;"")),ROW(C_Pavement!$C$5:$C$204)-4),"")</f>
        <v/>
      </c>
      <c r="AR84" t="str">
        <f>IF($AQ84="","",UPPER(TRIM(INDEX(C_Pavement!$C$5:$C$204,$AQ84))))</f>
        <v/>
      </c>
      <c r="AS84" t="str">
        <f>IF($AR84="","",IFERROR(MATCH($AR84,E_Rules!$A$5:$A$9,0),""))</f>
        <v/>
      </c>
      <c r="AT84" t="str">
        <f>IF($AQ84="","",IF(INDEX(C_Pavement!$D$5:$D$204,$AQ84)&lt;&gt;"",UPPER(TRIM(INDEX(C_Pavement!$D$5:$D$204,$AQ84))),IF($AS84="","",INDEX(E_Rules!$C$5:$C$9,$AS84))))</f>
        <v/>
      </c>
      <c r="AU84" t="str">
        <f>IF($AQ84="","",IF(INDEX(C_Pavement!$E$5:$E$204,$AQ84)&lt;&gt;"",IF(INDEX(C_Pavement!$E$5:$E$204,$AQ84)="-","",INDEX(C_Pavement!$E$5:$E$204,$AQ84)),IF($AS84="","",INDEX(E_Rules!$D$5:$D$9,$AS84))))</f>
        <v/>
      </c>
      <c r="AV84" t="str">
        <f>IF($AQ84="","",IF(INDEX(C_Pavement!$F$5:$F$204,$AQ84)&lt;&gt;"",IF(INDEX(C_Pavement!$F$5:$F$204,$AQ84)="-","",INDEX(C_Pavement!$F$5:$F$204,$AQ84)),IF($AS84="","",INDEX(E_Rules!$E$5:$E$9,$AS84))))</f>
        <v/>
      </c>
      <c r="AW84" t="str">
        <f>IF($AQ84="","",IF(INDEX(C_Pavement!$G$5:$G$204,$AQ84)&lt;&gt;"",IF(INDEX(C_Pavement!$G$5:$G$204,$AQ84)="-","",INDEX(C_Pavement!$G$5:$G$204,$AQ84)),IF($AS84="","",INDEX(E_Rules!$F$5:$F$9,$AS84))))</f>
        <v/>
      </c>
      <c r="AX84" t="str">
        <f>IF($AQ84="","",IF(INDEX(C_Pavement!$H$5:$H$204,$AQ84)&lt;&gt;"",IF(INDEX(C_Pavement!$H$5:$H$204,$AQ84)="-","",INDEX(C_Pavement!$H$5:$H$204,$AQ84)),IF($AS84="","",INDEX(E_Rules!$G$5:$G$9,$AS84))))</f>
        <v/>
      </c>
      <c r="AY84" t="str">
        <f>IF($AQ84="","",IF(INDEX(C_Pavement!$I$5:$I$204,$AQ84)&lt;&gt;"",IF(INDEX(C_Pavement!$I$5:$I$204,$AQ84)="-","",INDEX(C_Pavement!$I$5:$I$204,$AQ84)),IF($AS84="","",INDEX(E_Rules!$H$5:$H$9,$AS84))))</f>
        <v/>
      </c>
    </row>
    <row r="85" spans="1:51" ht="15.75" customHeight="1" x14ac:dyDescent="0.3">
      <c r="A85" s="189">
        <v>80</v>
      </c>
      <c r="B85" s="180">
        <v>3950</v>
      </c>
      <c r="C85" s="180" t="s">
        <v>391</v>
      </c>
      <c r="D85" s="181" t="str">
        <f>IFERROR(LOOKUP(2,1/((A_Corridor!$A$5:$A$204&lt;&gt;"")*(A_Corridor!$A$5:$A$204&lt;=$B85)*(A_Corridor!$B$5:$B$204&gt;$B85)*(A_Corridor!$C$5:$C$204&lt;&gt;"")),IF(UPPER(A_Corridor!$C$5:$C$204)="Y",1,"")),"")</f>
        <v/>
      </c>
      <c r="E85" s="181" t="str">
        <f>IFERROR(LOOKUP(2,1/((A_Corridor!$A$5:$A$204&lt;&gt;"")*(A_Corridor!$A$5:$A$204&lt;=$B85)*(A_Corridor!$B$5:$B$204&gt;$B85)*(A_Corridor!$D$5:$D$204&lt;&gt;"")),IF(A_Corridor!$D$5:$D$204="-","",UPPER(A_Corridor!$D$5:$D$204))),"")</f>
        <v/>
      </c>
      <c r="F85" s="181" t="str">
        <f>IFERROR(LOOKUP(2,1/((A_Corridor!$A$5:$A$204&lt;&gt;"")*(A_Corridor!$A$5:$A$204&lt;=$B85)*(A_Corridor!$B$5:$B$204&gt;$B85)*(A_Corridor!$E$5:$E$204&lt;&gt;"")),IF(A_Corridor!$E$5:$E$204="-","",1)),"")</f>
        <v/>
      </c>
      <c r="G85" s="182" t="str">
        <f>IFERROR(LOOKUP(2,1/((A_Corridor!$A$5:$A$204&lt;&gt;"")*(A_Corridor!$A$5:$A$204&lt;=$B85)*(A_Corridor!$B$5:$B$204&gt;$B85)*(A_Corridor!$E$5:$E$204&lt;&gt;"")),IF(A_Corridor!$E$5:$E$204="-","",A_Corridor!$E$5:$E$204)),"")</f>
        <v/>
      </c>
      <c r="H85" s="182" t="str">
        <f>IFERROR(LOOKUP(2,1/((D_Points!$A$5:$A$204&lt;&gt;"")*(D_Points!$A$5:$A$204&gt;=$B85)*(D_Points!$A$5:$A$204&lt;$B85+P_Interval)*(UPPER(TRIM(D_Points!$B$5:$B$204))="GULLY")*(D_Points!$H$5:$H$204&lt;&gt;"")),D_Points!$H$5:$H$204),"")</f>
        <v/>
      </c>
      <c r="I85" s="181" t="str">
        <f>IFERROR(LOOKUP(2,1/((A_Corridor!$A$5:$A$204&lt;&gt;"")*(A_Corridor!$A$5:$A$204&lt;=$B85)*(A_Corridor!$B$5:$B$204&gt;$B85)*(A_Corridor!$F$5:$F$204&lt;&gt;"")),IF(A_Corridor!$F$5:$F$204="-","",1)),"")</f>
        <v/>
      </c>
      <c r="J85" s="182" t="str">
        <f>IFERROR(LOOKUP(2,1/((A_Corridor!$A$5:$A$204&lt;&gt;"")*(A_Corridor!$A$5:$A$204&lt;=$B85)*(A_Corridor!$B$5:$B$204&gt;$B85)*(A_Corridor!$F$5:$F$204&lt;&gt;"")),IF(A_Corridor!$F$5:$F$204="-","",A_Corridor!$F$5:$F$204)),"")</f>
        <v/>
      </c>
      <c r="K85" s="182" t="str">
        <f>IFERROR(LOOKUP(2,1/((A_Corridor!$A$5:$A$204&lt;&gt;"")*(A_Corridor!$A$5:$A$204&lt;=$B85)*(A_Corridor!$B$5:$B$204&gt;$B85)*(A_Corridor!$G$5:$G$204&lt;&gt;"")),IF(A_Corridor!$G$5:$G$204="-","",A_Corridor!$G$5:$G$204)),"")</f>
        <v/>
      </c>
      <c r="L85" s="181" t="str">
        <f>IFERROR(LOOKUP(2,1/((A_Corridor!$A$5:$A$204&lt;&gt;"")*(A_Corridor!$A$5:$A$204&lt;=$B85)*(A_Corridor!$B$5:$B$204&gt;$B85)*(A_Corridor!$H$5:$H$204&lt;&gt;"")),IF(A_Corridor!$H$5:$H$204="-","",1)),"")</f>
        <v/>
      </c>
      <c r="M85" s="182" t="str">
        <f>IFERROR(LOOKUP(2,1/((A_Corridor!$A$5:$A$204&lt;&gt;"")*(A_Corridor!$A$5:$A$204&lt;=$B85)*(A_Corridor!$B$5:$B$204&gt;$B85)*(A_Corridor!$H$5:$H$204&lt;&gt;"")),IF(A_Corridor!$H$5:$H$204="-","",A_Corridor!$H$5:$H$204)),"")</f>
        <v/>
      </c>
      <c r="N85" s="182" t="str">
        <f>IFERROR(LOOKUP(2,1/((A_Corridor!$A$5:$A$204&lt;&gt;"")*(A_Corridor!$A$5:$A$204&lt;=$B85)*(A_Corridor!$B$5:$B$204&gt;$B85)*(A_Corridor!$I$5:$I$204&lt;&gt;"")),IF(A_Corridor!$I$5:$I$204="-","",A_Corridor!$I$5:$I$204)),"")</f>
        <v/>
      </c>
      <c r="O85" s="182" t="str">
        <f>IFERROR(LOOKUP(2,1/((D_Points!$A$5:$A$204&lt;&gt;"")*(D_Points!$A$5:$A$204&gt;=$B85)*(D_Points!$A$5:$A$204&lt;$B85+P_Interval)*(UPPER(TRIM(D_Points!$B$5:$B$204))="PITCHING")*(D_Points!$H$5:$H$204&lt;&gt;"")),D_Points!$H$5:$H$204),"")</f>
        <v/>
      </c>
      <c r="P85" s="181" t="str">
        <f>IFERROR(LOOKUP(2,1/((B_Drainage!$A$5:$A$204&lt;&gt;"")*(B_Drainage!$A$5:$A$204&lt;=$B85)*(B_Drainage!$B$5:$B$204&gt;$B85)*(B_Drainage!$C$5:$C$204&lt;&gt;"")),IF(B_Drainage!$C$5:$C$204="-","",UPPER(B_Drainage!$C$5:$C$204))),"")</f>
        <v/>
      </c>
      <c r="Q85" s="181" t="str">
        <f>IFERROR(LOOKUP(2,1/((B_Drainage!$A$5:$A$204&lt;&gt;"")*(B_Drainage!$A$5:$A$204&lt;=$B85)*(B_Drainage!$B$5:$B$204&gt;$B85)*(B_Drainage!$D$5:$D$204&lt;&gt;"")),IF(B_Drainage!$D$5:$D$204="-","",UPPER(B_Drainage!$D$5:$D$204))),"")</f>
        <v/>
      </c>
      <c r="R85" s="182" t="str">
        <f>IFERROR(LOOKUP(2,1/((D_Points!$A$5:$A$204&lt;&gt;"")*(D_Points!$A$5:$A$204&gt;=$B85)*(D_Points!$A$5:$A$204&lt;$B85+P_Interval)*(RIGHT(UPPER(TRIM(D_Points!$B$5:$B$204)),8)="_CULVERT")),IF(LEFT(UPPER(TRIM(D_Points!$B$5:$B$204)),2)="EX",1,IF(LEFT(UPPER(TRIM(D_Points!$B$5:$B$204)),2)="PR",2,3))),"")</f>
        <v/>
      </c>
      <c r="S85" s="182" t="str">
        <f>IFERROR(LOOKUP(2,1/((D_Points!$A$5:$A$204&lt;&gt;"")*(D_Points!$A$5:$A$204&gt;=$B85)*(D_Points!$A$5:$A$204&lt;$B85+P_Interval)*(RIGHT(UPPER(TRIM(D_Points!$B$5:$B$204)),7)="_BRIDGE")),IF(LEFT(UPPER(TRIM(D_Points!$B$5:$B$204)),2)="EX",1,IF(LEFT(UPPER(TRIM(D_Points!$B$5:$B$204)),2)="PR",2,2))),"")</f>
        <v/>
      </c>
      <c r="T85" s="181" t="str">
        <f>IFERROR(LOOKUP(2,1/((B_Drainage!$A$5:$A$204&lt;&gt;"")*(B_Drainage!$A$5:$A$204&lt;=$B85)*(B_Drainage!$B$5:$B$204&gt;$B85)*(B_Drainage!$E$5:$E$204&lt;&gt;"")),IF(B_Drainage!$E$5:$E$204="-","",1)),"")</f>
        <v/>
      </c>
      <c r="U85" s="181" t="str">
        <f>IFERROR(LOOKUP(2,1/((B_Drainage!$A$5:$A$204&lt;&gt;"")*(B_Drainage!$A$5:$A$204&lt;=$B85)*(B_Drainage!$B$5:$B$204&gt;$B85)*(B_Drainage!$E$5:$E$204&lt;&gt;"")),IF(B_Drainage!$E$5:$E$204="-","",B_Drainage!$E$5:$E$204)),"")</f>
        <v/>
      </c>
      <c r="V85" s="181" t="str">
        <f>IFERROR(LOOKUP(2,1/((B_Drainage!$A$5:$A$204&lt;&gt;"")*(B_Drainage!$A$5:$A$204&lt;=$B85)*(B_Drainage!$B$5:$B$204&gt;$B85)*(B_Drainage!$F$5:$F$204&lt;&gt;"")),IF(B_Drainage!$F$5:$F$204="-","",1)),"")</f>
        <v/>
      </c>
      <c r="W85" s="181" t="str">
        <f>IFERROR(LOOKUP(2,1/((B_Drainage!$A$5:$A$204&lt;&gt;"")*(B_Drainage!$A$5:$A$204&lt;=$B85)*(B_Drainage!$B$5:$B$204&gt;$B85)*(B_Drainage!$F$5:$F$204&lt;&gt;"")),IF(B_Drainage!$F$5:$F$204="-","",B_Drainage!$F$5:$F$204)),"")</f>
        <v/>
      </c>
      <c r="X85" s="181" t="str">
        <f>IFERROR(LOOKUP(2,1/((B_Drainage!$A$5:$A$204&lt;&gt;"")*(B_Drainage!$A$5:$A$204&lt;=$B85)*(B_Drainage!$B$5:$B$204&gt;$B85)*(B_Drainage!$G$5:$G$204&lt;&gt;"")),IF(UPPER(B_Drainage!$G$5:$G$204)="Y",1,"")),"")</f>
        <v/>
      </c>
      <c r="Y85" s="181" t="str">
        <f>IFERROR(LOOKUP(2,1/((B_Drainage!$A$5:$A$204&lt;&gt;"")*(B_Drainage!$A$5:$A$204&lt;=$B85)*(B_Drainage!$B$5:$B$204&gt;$B85)*(B_Drainage!$H$5:$H$204&lt;&gt;"")),IF(UPPER(B_Drainage!$H$5:$H$204)="Y",1,"")),"")</f>
        <v/>
      </c>
      <c r="Z85" s="181" t="str">
        <f>IFERROR(LOOKUP(2,1/((B_Drainage!$A$5:$A$204&lt;&gt;"")*(B_Drainage!$A$5:$A$204&lt;=$B85)*(B_Drainage!$B$5:$B$204&gt;$B85)*(B_Drainage!$I$5:$I$204&lt;&gt;"")),IF(UPPER(B_Drainage!$I$5:$I$204)="Y",1,"")),"")</f>
        <v/>
      </c>
      <c r="AA85" s="181" t="str">
        <f>IFERROR(LOOKUP(2,1/((B_Drainage!$A$5:$A$204&lt;&gt;"")*(B_Drainage!$A$5:$A$204&lt;=$B85)*(B_Drainage!$B$5:$B$204&gt;$B85)*(B_Drainage!$J$5:$J$204&lt;&gt;"")),IF(UPPER(B_Drainage!$J$5:$J$204)="Y",1,"")),"")</f>
        <v/>
      </c>
      <c r="AB85" s="182" t="str">
        <f>IFERROR(LOOKUP(2,1/((B_Drainage!$A$5:$A$204&lt;&gt;"")*(B_Drainage!$A$5:$A$204&lt;=$B85)*(B_Drainage!$B$5:$B$204&gt;$B85)*(B_Drainage!$K$5:$K$204&lt;&gt;"")),IF(B_Drainage!$K$5:$K$204="-","",B_Drainage!$K$5:$K$204)),"")</f>
        <v/>
      </c>
      <c r="AC85" s="182" t="str">
        <f>IFERROR(LOOKUP(2,1/((B_Drainage!$A$5:$A$204&lt;&gt;"")*(B_Drainage!$A$5:$A$204&lt;=$B85)*(B_Drainage!$B$5:$B$204&gt;$B85)*(B_Drainage!$L$5:$L$204&lt;&gt;"")),IF(B_Drainage!$L$5:$L$204="-","",B_Drainage!$L$5:$L$204)),"")</f>
        <v/>
      </c>
      <c r="AD85" s="182" t="str">
        <f>IFERROR(LOOKUP(2,1/((D_Points!$A$5:$A$204&lt;&gt;"")*(D_Points!$A$5:$A$204&gt;=$B85)*(D_Points!$A$5:$A$204&lt;$B85+P_Interval)*(UPPER(TRIM(D_Points!$B$5:$B$204))="TURNOUT_L")*(D_Points!$H$5:$H$204&lt;&gt;"")),D_Points!$H$5:$H$204),"")</f>
        <v/>
      </c>
      <c r="AE85" s="182" t="str">
        <f>IFERROR(LOOKUP(2,1/((D_Points!$A$5:$A$204&lt;&gt;"")*(D_Points!$A$5:$A$204&gt;=$B85)*(D_Points!$A$5:$A$204&lt;$B85+P_Interval)*(UPPER(TRIM(D_Points!$B$5:$B$204))="TURNOUT_R")*(D_Points!$H$5:$H$204&lt;&gt;"")),D_Points!$H$5:$H$204),"")</f>
        <v/>
      </c>
      <c r="AF85" s="181" t="str">
        <f>IFERROR(LOOKUP(2,1/((B_Drainage!$A$5:$A$204&lt;&gt;"")*(B_Drainage!$A$5:$A$204&lt;=$B85)*(B_Drainage!$B$5:$B$204&gt;$B85)*(B_Drainage!$M$5:$M$204&lt;&gt;"")),IF(UPPER(B_Drainage!$M$5:$M$204)="Y",1,"")),"")</f>
        <v/>
      </c>
      <c r="AG85" s="181" t="str">
        <f>IFERROR(LOOKUP(2,1/((B_Drainage!$A$5:$A$204&lt;&gt;"")*(B_Drainage!$A$5:$A$204&lt;=$B85)*(B_Drainage!$B$5:$B$204&gt;$B85)*(B_Drainage!$N$5:$N$204&lt;&gt;"")),IF(UPPER(B_Drainage!$N$5:$N$204)="Y",1,"")),"")</f>
        <v/>
      </c>
      <c r="AH85" s="181" t="str">
        <f t="shared" si="8"/>
        <v/>
      </c>
      <c r="AI85" s="181" t="str">
        <f t="shared" si="9"/>
        <v/>
      </c>
      <c r="AJ85" s="181" t="str">
        <f t="shared" si="10"/>
        <v/>
      </c>
      <c r="AK85" s="181" t="str">
        <f t="shared" si="11"/>
        <v/>
      </c>
      <c r="AL85" s="181" t="str">
        <f t="shared" si="12"/>
        <v/>
      </c>
      <c r="AM85" s="181" t="str">
        <f t="shared" si="13"/>
        <v/>
      </c>
      <c r="AN85" s="181" t="str">
        <f t="shared" si="14"/>
        <v/>
      </c>
      <c r="AO85" s="192" t="str">
        <f t="shared" si="15"/>
        <v/>
      </c>
      <c r="AQ85" t="str">
        <f>IFERROR(LOOKUP(2,1/((C_Pavement!$A$5:$A$204&lt;&gt;"")*(C_Pavement!$A$5:$A$204&lt;=$B85)*(C_Pavement!$B$5:$B$204&gt;$B85)*(C_Pavement!$C$5:$C$204&lt;&gt;"")),ROW(C_Pavement!$C$5:$C$204)-4),"")</f>
        <v/>
      </c>
      <c r="AR85" t="str">
        <f>IF($AQ85="","",UPPER(TRIM(INDEX(C_Pavement!$C$5:$C$204,$AQ85))))</f>
        <v/>
      </c>
      <c r="AS85" t="str">
        <f>IF($AR85="","",IFERROR(MATCH($AR85,E_Rules!$A$5:$A$9,0),""))</f>
        <v/>
      </c>
      <c r="AT85" t="str">
        <f>IF($AQ85="","",IF(INDEX(C_Pavement!$D$5:$D$204,$AQ85)&lt;&gt;"",UPPER(TRIM(INDEX(C_Pavement!$D$5:$D$204,$AQ85))),IF($AS85="","",INDEX(E_Rules!$C$5:$C$9,$AS85))))</f>
        <v/>
      </c>
      <c r="AU85" t="str">
        <f>IF($AQ85="","",IF(INDEX(C_Pavement!$E$5:$E$204,$AQ85)&lt;&gt;"",IF(INDEX(C_Pavement!$E$5:$E$204,$AQ85)="-","",INDEX(C_Pavement!$E$5:$E$204,$AQ85)),IF($AS85="","",INDEX(E_Rules!$D$5:$D$9,$AS85))))</f>
        <v/>
      </c>
      <c r="AV85" t="str">
        <f>IF($AQ85="","",IF(INDEX(C_Pavement!$F$5:$F$204,$AQ85)&lt;&gt;"",IF(INDEX(C_Pavement!$F$5:$F$204,$AQ85)="-","",INDEX(C_Pavement!$F$5:$F$204,$AQ85)),IF($AS85="","",INDEX(E_Rules!$E$5:$E$9,$AS85))))</f>
        <v/>
      </c>
      <c r="AW85" t="str">
        <f>IF($AQ85="","",IF(INDEX(C_Pavement!$G$5:$G$204,$AQ85)&lt;&gt;"",IF(INDEX(C_Pavement!$G$5:$G$204,$AQ85)="-","",INDEX(C_Pavement!$G$5:$G$204,$AQ85)),IF($AS85="","",INDEX(E_Rules!$F$5:$F$9,$AS85))))</f>
        <v/>
      </c>
      <c r="AX85" t="str">
        <f>IF($AQ85="","",IF(INDEX(C_Pavement!$H$5:$H$204,$AQ85)&lt;&gt;"",IF(INDEX(C_Pavement!$H$5:$H$204,$AQ85)="-","",INDEX(C_Pavement!$H$5:$H$204,$AQ85)),IF($AS85="","",INDEX(E_Rules!$G$5:$G$9,$AS85))))</f>
        <v/>
      </c>
      <c r="AY85" t="str">
        <f>IF($AQ85="","",IF(INDEX(C_Pavement!$I$5:$I$204,$AQ85)&lt;&gt;"",IF(INDEX(C_Pavement!$I$5:$I$204,$AQ85)="-","",INDEX(C_Pavement!$I$5:$I$204,$AQ85)),IF($AS85="","",INDEX(E_Rules!$H$5:$H$9,$AS85))))</f>
        <v/>
      </c>
    </row>
    <row r="86" spans="1:51" ht="15.75" customHeight="1" x14ac:dyDescent="0.3">
      <c r="A86" s="189">
        <v>81</v>
      </c>
      <c r="B86" s="180">
        <v>4000</v>
      </c>
      <c r="C86" s="180" t="s">
        <v>392</v>
      </c>
      <c r="D86" s="181" t="str">
        <f>IFERROR(LOOKUP(2,1/((A_Corridor!$A$5:$A$204&lt;&gt;"")*(A_Corridor!$A$5:$A$204&lt;=$B86)*(A_Corridor!$B$5:$B$204&gt;$B86)*(A_Corridor!$C$5:$C$204&lt;&gt;"")),IF(UPPER(A_Corridor!$C$5:$C$204)="Y",1,"")),"")</f>
        <v/>
      </c>
      <c r="E86" s="181" t="str">
        <f>IFERROR(LOOKUP(2,1/((A_Corridor!$A$5:$A$204&lt;&gt;"")*(A_Corridor!$A$5:$A$204&lt;=$B86)*(A_Corridor!$B$5:$B$204&gt;$B86)*(A_Corridor!$D$5:$D$204&lt;&gt;"")),IF(A_Corridor!$D$5:$D$204="-","",UPPER(A_Corridor!$D$5:$D$204))),"")</f>
        <v/>
      </c>
      <c r="F86" s="181" t="str">
        <f>IFERROR(LOOKUP(2,1/((A_Corridor!$A$5:$A$204&lt;&gt;"")*(A_Corridor!$A$5:$A$204&lt;=$B86)*(A_Corridor!$B$5:$B$204&gt;$B86)*(A_Corridor!$E$5:$E$204&lt;&gt;"")),IF(A_Corridor!$E$5:$E$204="-","",1)),"")</f>
        <v/>
      </c>
      <c r="G86" s="182" t="str">
        <f>IFERROR(LOOKUP(2,1/((A_Corridor!$A$5:$A$204&lt;&gt;"")*(A_Corridor!$A$5:$A$204&lt;=$B86)*(A_Corridor!$B$5:$B$204&gt;$B86)*(A_Corridor!$E$5:$E$204&lt;&gt;"")),IF(A_Corridor!$E$5:$E$204="-","",A_Corridor!$E$5:$E$204)),"")</f>
        <v/>
      </c>
      <c r="H86" s="182" t="str">
        <f>IFERROR(LOOKUP(2,1/((D_Points!$A$5:$A$204&lt;&gt;"")*(D_Points!$A$5:$A$204&gt;=$B86)*(D_Points!$A$5:$A$204&lt;$B86+P_Interval)*(UPPER(TRIM(D_Points!$B$5:$B$204))="GULLY")*(D_Points!$H$5:$H$204&lt;&gt;"")),D_Points!$H$5:$H$204),"")</f>
        <v/>
      </c>
      <c r="I86" s="181" t="str">
        <f>IFERROR(LOOKUP(2,1/((A_Corridor!$A$5:$A$204&lt;&gt;"")*(A_Corridor!$A$5:$A$204&lt;=$B86)*(A_Corridor!$B$5:$B$204&gt;$B86)*(A_Corridor!$F$5:$F$204&lt;&gt;"")),IF(A_Corridor!$F$5:$F$204="-","",1)),"")</f>
        <v/>
      </c>
      <c r="J86" s="182" t="str">
        <f>IFERROR(LOOKUP(2,1/((A_Corridor!$A$5:$A$204&lt;&gt;"")*(A_Corridor!$A$5:$A$204&lt;=$B86)*(A_Corridor!$B$5:$B$204&gt;$B86)*(A_Corridor!$F$5:$F$204&lt;&gt;"")),IF(A_Corridor!$F$5:$F$204="-","",A_Corridor!$F$5:$F$204)),"")</f>
        <v/>
      </c>
      <c r="K86" s="182" t="str">
        <f>IFERROR(LOOKUP(2,1/((A_Corridor!$A$5:$A$204&lt;&gt;"")*(A_Corridor!$A$5:$A$204&lt;=$B86)*(A_Corridor!$B$5:$B$204&gt;$B86)*(A_Corridor!$G$5:$G$204&lt;&gt;"")),IF(A_Corridor!$G$5:$G$204="-","",A_Corridor!$G$5:$G$204)),"")</f>
        <v/>
      </c>
      <c r="L86" s="181" t="str">
        <f>IFERROR(LOOKUP(2,1/((A_Corridor!$A$5:$A$204&lt;&gt;"")*(A_Corridor!$A$5:$A$204&lt;=$B86)*(A_Corridor!$B$5:$B$204&gt;$B86)*(A_Corridor!$H$5:$H$204&lt;&gt;"")),IF(A_Corridor!$H$5:$H$204="-","",1)),"")</f>
        <v/>
      </c>
      <c r="M86" s="182" t="str">
        <f>IFERROR(LOOKUP(2,1/((A_Corridor!$A$5:$A$204&lt;&gt;"")*(A_Corridor!$A$5:$A$204&lt;=$B86)*(A_Corridor!$B$5:$B$204&gt;$B86)*(A_Corridor!$H$5:$H$204&lt;&gt;"")),IF(A_Corridor!$H$5:$H$204="-","",A_Corridor!$H$5:$H$204)),"")</f>
        <v/>
      </c>
      <c r="N86" s="182" t="str">
        <f>IFERROR(LOOKUP(2,1/((A_Corridor!$A$5:$A$204&lt;&gt;"")*(A_Corridor!$A$5:$A$204&lt;=$B86)*(A_Corridor!$B$5:$B$204&gt;$B86)*(A_Corridor!$I$5:$I$204&lt;&gt;"")),IF(A_Corridor!$I$5:$I$204="-","",A_Corridor!$I$5:$I$204)),"")</f>
        <v/>
      </c>
      <c r="O86" s="182" t="str">
        <f>IFERROR(LOOKUP(2,1/((D_Points!$A$5:$A$204&lt;&gt;"")*(D_Points!$A$5:$A$204&gt;=$B86)*(D_Points!$A$5:$A$204&lt;$B86+P_Interval)*(UPPER(TRIM(D_Points!$B$5:$B$204))="PITCHING")*(D_Points!$H$5:$H$204&lt;&gt;"")),D_Points!$H$5:$H$204),"")</f>
        <v/>
      </c>
      <c r="P86" s="181" t="str">
        <f>IFERROR(LOOKUP(2,1/((B_Drainage!$A$5:$A$204&lt;&gt;"")*(B_Drainage!$A$5:$A$204&lt;=$B86)*(B_Drainage!$B$5:$B$204&gt;$B86)*(B_Drainage!$C$5:$C$204&lt;&gt;"")),IF(B_Drainage!$C$5:$C$204="-","",UPPER(B_Drainage!$C$5:$C$204))),"")</f>
        <v/>
      </c>
      <c r="Q86" s="181" t="str">
        <f>IFERROR(LOOKUP(2,1/((B_Drainage!$A$5:$A$204&lt;&gt;"")*(B_Drainage!$A$5:$A$204&lt;=$B86)*(B_Drainage!$B$5:$B$204&gt;$B86)*(B_Drainage!$D$5:$D$204&lt;&gt;"")),IF(B_Drainage!$D$5:$D$204="-","",UPPER(B_Drainage!$D$5:$D$204))),"")</f>
        <v/>
      </c>
      <c r="R86" s="182" t="str">
        <f>IFERROR(LOOKUP(2,1/((D_Points!$A$5:$A$204&lt;&gt;"")*(D_Points!$A$5:$A$204&gt;=$B86)*(D_Points!$A$5:$A$204&lt;$B86+P_Interval)*(RIGHT(UPPER(TRIM(D_Points!$B$5:$B$204)),8)="_CULVERT")),IF(LEFT(UPPER(TRIM(D_Points!$B$5:$B$204)),2)="EX",1,IF(LEFT(UPPER(TRIM(D_Points!$B$5:$B$204)),2)="PR",2,3))),"")</f>
        <v/>
      </c>
      <c r="S86" s="182" t="str">
        <f>IFERROR(LOOKUP(2,1/((D_Points!$A$5:$A$204&lt;&gt;"")*(D_Points!$A$5:$A$204&gt;=$B86)*(D_Points!$A$5:$A$204&lt;$B86+P_Interval)*(RIGHT(UPPER(TRIM(D_Points!$B$5:$B$204)),7)="_BRIDGE")),IF(LEFT(UPPER(TRIM(D_Points!$B$5:$B$204)),2)="EX",1,IF(LEFT(UPPER(TRIM(D_Points!$B$5:$B$204)),2)="PR",2,2))),"")</f>
        <v/>
      </c>
      <c r="T86" s="181" t="str">
        <f>IFERROR(LOOKUP(2,1/((B_Drainage!$A$5:$A$204&lt;&gt;"")*(B_Drainage!$A$5:$A$204&lt;=$B86)*(B_Drainage!$B$5:$B$204&gt;$B86)*(B_Drainage!$E$5:$E$204&lt;&gt;"")),IF(B_Drainage!$E$5:$E$204="-","",1)),"")</f>
        <v/>
      </c>
      <c r="U86" s="181" t="str">
        <f>IFERROR(LOOKUP(2,1/((B_Drainage!$A$5:$A$204&lt;&gt;"")*(B_Drainage!$A$5:$A$204&lt;=$B86)*(B_Drainage!$B$5:$B$204&gt;$B86)*(B_Drainage!$E$5:$E$204&lt;&gt;"")),IF(B_Drainage!$E$5:$E$204="-","",B_Drainage!$E$5:$E$204)),"")</f>
        <v/>
      </c>
      <c r="V86" s="181" t="str">
        <f>IFERROR(LOOKUP(2,1/((B_Drainage!$A$5:$A$204&lt;&gt;"")*(B_Drainage!$A$5:$A$204&lt;=$B86)*(B_Drainage!$B$5:$B$204&gt;$B86)*(B_Drainage!$F$5:$F$204&lt;&gt;"")),IF(B_Drainage!$F$5:$F$204="-","",1)),"")</f>
        <v/>
      </c>
      <c r="W86" s="181" t="str">
        <f>IFERROR(LOOKUP(2,1/((B_Drainage!$A$5:$A$204&lt;&gt;"")*(B_Drainage!$A$5:$A$204&lt;=$B86)*(B_Drainage!$B$5:$B$204&gt;$B86)*(B_Drainage!$F$5:$F$204&lt;&gt;"")),IF(B_Drainage!$F$5:$F$204="-","",B_Drainage!$F$5:$F$204)),"")</f>
        <v/>
      </c>
      <c r="X86" s="181" t="str">
        <f>IFERROR(LOOKUP(2,1/((B_Drainage!$A$5:$A$204&lt;&gt;"")*(B_Drainage!$A$5:$A$204&lt;=$B86)*(B_Drainage!$B$5:$B$204&gt;$B86)*(B_Drainage!$G$5:$G$204&lt;&gt;"")),IF(UPPER(B_Drainage!$G$5:$G$204)="Y",1,"")),"")</f>
        <v/>
      </c>
      <c r="Y86" s="181" t="str">
        <f>IFERROR(LOOKUP(2,1/((B_Drainage!$A$5:$A$204&lt;&gt;"")*(B_Drainage!$A$5:$A$204&lt;=$B86)*(B_Drainage!$B$5:$B$204&gt;$B86)*(B_Drainage!$H$5:$H$204&lt;&gt;"")),IF(UPPER(B_Drainage!$H$5:$H$204)="Y",1,"")),"")</f>
        <v/>
      </c>
      <c r="Z86" s="181" t="str">
        <f>IFERROR(LOOKUP(2,1/((B_Drainage!$A$5:$A$204&lt;&gt;"")*(B_Drainage!$A$5:$A$204&lt;=$B86)*(B_Drainage!$B$5:$B$204&gt;$B86)*(B_Drainage!$I$5:$I$204&lt;&gt;"")),IF(UPPER(B_Drainage!$I$5:$I$204)="Y",1,"")),"")</f>
        <v/>
      </c>
      <c r="AA86" s="181" t="str">
        <f>IFERROR(LOOKUP(2,1/((B_Drainage!$A$5:$A$204&lt;&gt;"")*(B_Drainage!$A$5:$A$204&lt;=$B86)*(B_Drainage!$B$5:$B$204&gt;$B86)*(B_Drainage!$J$5:$J$204&lt;&gt;"")),IF(UPPER(B_Drainage!$J$5:$J$204)="Y",1,"")),"")</f>
        <v/>
      </c>
      <c r="AB86" s="182" t="str">
        <f>IFERROR(LOOKUP(2,1/((B_Drainage!$A$5:$A$204&lt;&gt;"")*(B_Drainage!$A$5:$A$204&lt;=$B86)*(B_Drainage!$B$5:$B$204&gt;$B86)*(B_Drainage!$K$5:$K$204&lt;&gt;"")),IF(B_Drainage!$K$5:$K$204="-","",B_Drainage!$K$5:$K$204)),"")</f>
        <v/>
      </c>
      <c r="AC86" s="182" t="str">
        <f>IFERROR(LOOKUP(2,1/((B_Drainage!$A$5:$A$204&lt;&gt;"")*(B_Drainage!$A$5:$A$204&lt;=$B86)*(B_Drainage!$B$5:$B$204&gt;$B86)*(B_Drainage!$L$5:$L$204&lt;&gt;"")),IF(B_Drainage!$L$5:$L$204="-","",B_Drainage!$L$5:$L$204)),"")</f>
        <v/>
      </c>
      <c r="AD86" s="182" t="str">
        <f>IFERROR(LOOKUP(2,1/((D_Points!$A$5:$A$204&lt;&gt;"")*(D_Points!$A$5:$A$204&gt;=$B86)*(D_Points!$A$5:$A$204&lt;$B86+P_Interval)*(UPPER(TRIM(D_Points!$B$5:$B$204))="TURNOUT_L")*(D_Points!$H$5:$H$204&lt;&gt;"")),D_Points!$H$5:$H$204),"")</f>
        <v/>
      </c>
      <c r="AE86" s="182" t="str">
        <f>IFERROR(LOOKUP(2,1/((D_Points!$A$5:$A$204&lt;&gt;"")*(D_Points!$A$5:$A$204&gt;=$B86)*(D_Points!$A$5:$A$204&lt;$B86+P_Interval)*(UPPER(TRIM(D_Points!$B$5:$B$204))="TURNOUT_R")*(D_Points!$H$5:$H$204&lt;&gt;"")),D_Points!$H$5:$H$204),"")</f>
        <v/>
      </c>
      <c r="AF86" s="181" t="str">
        <f>IFERROR(LOOKUP(2,1/((B_Drainage!$A$5:$A$204&lt;&gt;"")*(B_Drainage!$A$5:$A$204&lt;=$B86)*(B_Drainage!$B$5:$B$204&gt;$B86)*(B_Drainage!$M$5:$M$204&lt;&gt;"")),IF(UPPER(B_Drainage!$M$5:$M$204)="Y",1,"")),"")</f>
        <v/>
      </c>
      <c r="AG86" s="181" t="str">
        <f>IFERROR(LOOKUP(2,1/((B_Drainage!$A$5:$A$204&lt;&gt;"")*(B_Drainage!$A$5:$A$204&lt;=$B86)*(B_Drainage!$B$5:$B$204&gt;$B86)*(B_Drainage!$N$5:$N$204&lt;&gt;"")),IF(UPPER(B_Drainage!$N$5:$N$204)="Y",1,"")),"")</f>
        <v/>
      </c>
      <c r="AH86" s="181" t="str">
        <f t="shared" si="8"/>
        <v/>
      </c>
      <c r="AI86" s="181" t="str">
        <f t="shared" si="9"/>
        <v/>
      </c>
      <c r="AJ86" s="181" t="str">
        <f t="shared" si="10"/>
        <v/>
      </c>
      <c r="AK86" s="181" t="str">
        <f t="shared" si="11"/>
        <v/>
      </c>
      <c r="AL86" s="181" t="str">
        <f t="shared" si="12"/>
        <v/>
      </c>
      <c r="AM86" s="181" t="str">
        <f t="shared" si="13"/>
        <v/>
      </c>
      <c r="AN86" s="181" t="str">
        <f t="shared" si="14"/>
        <v/>
      </c>
      <c r="AO86" s="192" t="str">
        <f t="shared" si="15"/>
        <v/>
      </c>
      <c r="AQ86" t="str">
        <f>IFERROR(LOOKUP(2,1/((C_Pavement!$A$5:$A$204&lt;&gt;"")*(C_Pavement!$A$5:$A$204&lt;=$B86)*(C_Pavement!$B$5:$B$204&gt;$B86)*(C_Pavement!$C$5:$C$204&lt;&gt;"")),ROW(C_Pavement!$C$5:$C$204)-4),"")</f>
        <v/>
      </c>
      <c r="AR86" t="str">
        <f>IF($AQ86="","",UPPER(TRIM(INDEX(C_Pavement!$C$5:$C$204,$AQ86))))</f>
        <v/>
      </c>
      <c r="AS86" t="str">
        <f>IF($AR86="","",IFERROR(MATCH($AR86,E_Rules!$A$5:$A$9,0),""))</f>
        <v/>
      </c>
      <c r="AT86" t="str">
        <f>IF($AQ86="","",IF(INDEX(C_Pavement!$D$5:$D$204,$AQ86)&lt;&gt;"",UPPER(TRIM(INDEX(C_Pavement!$D$5:$D$204,$AQ86))),IF($AS86="","",INDEX(E_Rules!$C$5:$C$9,$AS86))))</f>
        <v/>
      </c>
      <c r="AU86" t="str">
        <f>IF($AQ86="","",IF(INDEX(C_Pavement!$E$5:$E$204,$AQ86)&lt;&gt;"",IF(INDEX(C_Pavement!$E$5:$E$204,$AQ86)="-","",INDEX(C_Pavement!$E$5:$E$204,$AQ86)),IF($AS86="","",INDEX(E_Rules!$D$5:$D$9,$AS86))))</f>
        <v/>
      </c>
      <c r="AV86" t="str">
        <f>IF($AQ86="","",IF(INDEX(C_Pavement!$F$5:$F$204,$AQ86)&lt;&gt;"",IF(INDEX(C_Pavement!$F$5:$F$204,$AQ86)="-","",INDEX(C_Pavement!$F$5:$F$204,$AQ86)),IF($AS86="","",INDEX(E_Rules!$E$5:$E$9,$AS86))))</f>
        <v/>
      </c>
      <c r="AW86" t="str">
        <f>IF($AQ86="","",IF(INDEX(C_Pavement!$G$5:$G$204,$AQ86)&lt;&gt;"",IF(INDEX(C_Pavement!$G$5:$G$204,$AQ86)="-","",INDEX(C_Pavement!$G$5:$G$204,$AQ86)),IF($AS86="","",INDEX(E_Rules!$F$5:$F$9,$AS86))))</f>
        <v/>
      </c>
      <c r="AX86" t="str">
        <f>IF($AQ86="","",IF(INDEX(C_Pavement!$H$5:$H$204,$AQ86)&lt;&gt;"",IF(INDEX(C_Pavement!$H$5:$H$204,$AQ86)="-","",INDEX(C_Pavement!$H$5:$H$204,$AQ86)),IF($AS86="","",INDEX(E_Rules!$G$5:$G$9,$AS86))))</f>
        <v/>
      </c>
      <c r="AY86" t="str">
        <f>IF($AQ86="","",IF(INDEX(C_Pavement!$I$5:$I$204,$AQ86)&lt;&gt;"",IF(INDEX(C_Pavement!$I$5:$I$204,$AQ86)="-","",INDEX(C_Pavement!$I$5:$I$204,$AQ86)),IF($AS86="","",INDEX(E_Rules!$H$5:$H$9,$AS86))))</f>
        <v/>
      </c>
    </row>
    <row r="87" spans="1:51" ht="15.75" customHeight="1" x14ac:dyDescent="0.3">
      <c r="A87" s="189">
        <v>82</v>
      </c>
      <c r="B87" s="180">
        <v>4050</v>
      </c>
      <c r="C87" s="180" t="s">
        <v>393</v>
      </c>
      <c r="D87" s="181" t="str">
        <f>IFERROR(LOOKUP(2,1/((A_Corridor!$A$5:$A$204&lt;&gt;"")*(A_Corridor!$A$5:$A$204&lt;=$B87)*(A_Corridor!$B$5:$B$204&gt;$B87)*(A_Corridor!$C$5:$C$204&lt;&gt;"")),IF(UPPER(A_Corridor!$C$5:$C$204)="Y",1,"")),"")</f>
        <v/>
      </c>
      <c r="E87" s="181" t="str">
        <f>IFERROR(LOOKUP(2,1/((A_Corridor!$A$5:$A$204&lt;&gt;"")*(A_Corridor!$A$5:$A$204&lt;=$B87)*(A_Corridor!$B$5:$B$204&gt;$B87)*(A_Corridor!$D$5:$D$204&lt;&gt;"")),IF(A_Corridor!$D$5:$D$204="-","",UPPER(A_Corridor!$D$5:$D$204))),"")</f>
        <v/>
      </c>
      <c r="F87" s="181" t="str">
        <f>IFERROR(LOOKUP(2,1/((A_Corridor!$A$5:$A$204&lt;&gt;"")*(A_Corridor!$A$5:$A$204&lt;=$B87)*(A_Corridor!$B$5:$B$204&gt;$B87)*(A_Corridor!$E$5:$E$204&lt;&gt;"")),IF(A_Corridor!$E$5:$E$204="-","",1)),"")</f>
        <v/>
      </c>
      <c r="G87" s="182" t="str">
        <f>IFERROR(LOOKUP(2,1/((A_Corridor!$A$5:$A$204&lt;&gt;"")*(A_Corridor!$A$5:$A$204&lt;=$B87)*(A_Corridor!$B$5:$B$204&gt;$B87)*(A_Corridor!$E$5:$E$204&lt;&gt;"")),IF(A_Corridor!$E$5:$E$204="-","",A_Corridor!$E$5:$E$204)),"")</f>
        <v/>
      </c>
      <c r="H87" s="182" t="str">
        <f>IFERROR(LOOKUP(2,1/((D_Points!$A$5:$A$204&lt;&gt;"")*(D_Points!$A$5:$A$204&gt;=$B87)*(D_Points!$A$5:$A$204&lt;$B87+P_Interval)*(UPPER(TRIM(D_Points!$B$5:$B$204))="GULLY")*(D_Points!$H$5:$H$204&lt;&gt;"")),D_Points!$H$5:$H$204),"")</f>
        <v/>
      </c>
      <c r="I87" s="181" t="str">
        <f>IFERROR(LOOKUP(2,1/((A_Corridor!$A$5:$A$204&lt;&gt;"")*(A_Corridor!$A$5:$A$204&lt;=$B87)*(A_Corridor!$B$5:$B$204&gt;$B87)*(A_Corridor!$F$5:$F$204&lt;&gt;"")),IF(A_Corridor!$F$5:$F$204="-","",1)),"")</f>
        <v/>
      </c>
      <c r="J87" s="182" t="str">
        <f>IFERROR(LOOKUP(2,1/((A_Corridor!$A$5:$A$204&lt;&gt;"")*(A_Corridor!$A$5:$A$204&lt;=$B87)*(A_Corridor!$B$5:$B$204&gt;$B87)*(A_Corridor!$F$5:$F$204&lt;&gt;"")),IF(A_Corridor!$F$5:$F$204="-","",A_Corridor!$F$5:$F$204)),"")</f>
        <v/>
      </c>
      <c r="K87" s="182" t="str">
        <f>IFERROR(LOOKUP(2,1/((A_Corridor!$A$5:$A$204&lt;&gt;"")*(A_Corridor!$A$5:$A$204&lt;=$B87)*(A_Corridor!$B$5:$B$204&gt;$B87)*(A_Corridor!$G$5:$G$204&lt;&gt;"")),IF(A_Corridor!$G$5:$G$204="-","",A_Corridor!$G$5:$G$204)),"")</f>
        <v/>
      </c>
      <c r="L87" s="181" t="str">
        <f>IFERROR(LOOKUP(2,1/((A_Corridor!$A$5:$A$204&lt;&gt;"")*(A_Corridor!$A$5:$A$204&lt;=$B87)*(A_Corridor!$B$5:$B$204&gt;$B87)*(A_Corridor!$H$5:$H$204&lt;&gt;"")),IF(A_Corridor!$H$5:$H$204="-","",1)),"")</f>
        <v/>
      </c>
      <c r="M87" s="182" t="str">
        <f>IFERROR(LOOKUP(2,1/((A_Corridor!$A$5:$A$204&lt;&gt;"")*(A_Corridor!$A$5:$A$204&lt;=$B87)*(A_Corridor!$B$5:$B$204&gt;$B87)*(A_Corridor!$H$5:$H$204&lt;&gt;"")),IF(A_Corridor!$H$5:$H$204="-","",A_Corridor!$H$5:$H$204)),"")</f>
        <v/>
      </c>
      <c r="N87" s="182" t="str">
        <f>IFERROR(LOOKUP(2,1/((A_Corridor!$A$5:$A$204&lt;&gt;"")*(A_Corridor!$A$5:$A$204&lt;=$B87)*(A_Corridor!$B$5:$B$204&gt;$B87)*(A_Corridor!$I$5:$I$204&lt;&gt;"")),IF(A_Corridor!$I$5:$I$204="-","",A_Corridor!$I$5:$I$204)),"")</f>
        <v/>
      </c>
      <c r="O87" s="182" t="str">
        <f>IFERROR(LOOKUP(2,1/((D_Points!$A$5:$A$204&lt;&gt;"")*(D_Points!$A$5:$A$204&gt;=$B87)*(D_Points!$A$5:$A$204&lt;$B87+P_Interval)*(UPPER(TRIM(D_Points!$B$5:$B$204))="PITCHING")*(D_Points!$H$5:$H$204&lt;&gt;"")),D_Points!$H$5:$H$204),"")</f>
        <v/>
      </c>
      <c r="P87" s="181" t="str">
        <f>IFERROR(LOOKUP(2,1/((B_Drainage!$A$5:$A$204&lt;&gt;"")*(B_Drainage!$A$5:$A$204&lt;=$B87)*(B_Drainage!$B$5:$B$204&gt;$B87)*(B_Drainage!$C$5:$C$204&lt;&gt;"")),IF(B_Drainage!$C$5:$C$204="-","",UPPER(B_Drainage!$C$5:$C$204))),"")</f>
        <v/>
      </c>
      <c r="Q87" s="181" t="str">
        <f>IFERROR(LOOKUP(2,1/((B_Drainage!$A$5:$A$204&lt;&gt;"")*(B_Drainage!$A$5:$A$204&lt;=$B87)*(B_Drainage!$B$5:$B$204&gt;$B87)*(B_Drainage!$D$5:$D$204&lt;&gt;"")),IF(B_Drainage!$D$5:$D$204="-","",UPPER(B_Drainage!$D$5:$D$204))),"")</f>
        <v/>
      </c>
      <c r="R87" s="182" t="str">
        <f>IFERROR(LOOKUP(2,1/((D_Points!$A$5:$A$204&lt;&gt;"")*(D_Points!$A$5:$A$204&gt;=$B87)*(D_Points!$A$5:$A$204&lt;$B87+P_Interval)*(RIGHT(UPPER(TRIM(D_Points!$B$5:$B$204)),8)="_CULVERT")),IF(LEFT(UPPER(TRIM(D_Points!$B$5:$B$204)),2)="EX",1,IF(LEFT(UPPER(TRIM(D_Points!$B$5:$B$204)),2)="PR",2,3))),"")</f>
        <v/>
      </c>
      <c r="S87" s="182" t="str">
        <f>IFERROR(LOOKUP(2,1/((D_Points!$A$5:$A$204&lt;&gt;"")*(D_Points!$A$5:$A$204&gt;=$B87)*(D_Points!$A$5:$A$204&lt;$B87+P_Interval)*(RIGHT(UPPER(TRIM(D_Points!$B$5:$B$204)),7)="_BRIDGE")),IF(LEFT(UPPER(TRIM(D_Points!$B$5:$B$204)),2)="EX",1,IF(LEFT(UPPER(TRIM(D_Points!$B$5:$B$204)),2)="PR",2,2))),"")</f>
        <v/>
      </c>
      <c r="T87" s="181" t="str">
        <f>IFERROR(LOOKUP(2,1/((B_Drainage!$A$5:$A$204&lt;&gt;"")*(B_Drainage!$A$5:$A$204&lt;=$B87)*(B_Drainage!$B$5:$B$204&gt;$B87)*(B_Drainage!$E$5:$E$204&lt;&gt;"")),IF(B_Drainage!$E$5:$E$204="-","",1)),"")</f>
        <v/>
      </c>
      <c r="U87" s="181" t="str">
        <f>IFERROR(LOOKUP(2,1/((B_Drainage!$A$5:$A$204&lt;&gt;"")*(B_Drainage!$A$5:$A$204&lt;=$B87)*(B_Drainage!$B$5:$B$204&gt;$B87)*(B_Drainage!$E$5:$E$204&lt;&gt;"")),IF(B_Drainage!$E$5:$E$204="-","",B_Drainage!$E$5:$E$204)),"")</f>
        <v/>
      </c>
      <c r="V87" s="181" t="str">
        <f>IFERROR(LOOKUP(2,1/((B_Drainage!$A$5:$A$204&lt;&gt;"")*(B_Drainage!$A$5:$A$204&lt;=$B87)*(B_Drainage!$B$5:$B$204&gt;$B87)*(B_Drainage!$F$5:$F$204&lt;&gt;"")),IF(B_Drainage!$F$5:$F$204="-","",1)),"")</f>
        <v/>
      </c>
      <c r="W87" s="181" t="str">
        <f>IFERROR(LOOKUP(2,1/((B_Drainage!$A$5:$A$204&lt;&gt;"")*(B_Drainage!$A$5:$A$204&lt;=$B87)*(B_Drainage!$B$5:$B$204&gt;$B87)*(B_Drainage!$F$5:$F$204&lt;&gt;"")),IF(B_Drainage!$F$5:$F$204="-","",B_Drainage!$F$5:$F$204)),"")</f>
        <v/>
      </c>
      <c r="X87" s="181" t="str">
        <f>IFERROR(LOOKUP(2,1/((B_Drainage!$A$5:$A$204&lt;&gt;"")*(B_Drainage!$A$5:$A$204&lt;=$B87)*(B_Drainage!$B$5:$B$204&gt;$B87)*(B_Drainage!$G$5:$G$204&lt;&gt;"")),IF(UPPER(B_Drainage!$G$5:$G$204)="Y",1,"")),"")</f>
        <v/>
      </c>
      <c r="Y87" s="181" t="str">
        <f>IFERROR(LOOKUP(2,1/((B_Drainage!$A$5:$A$204&lt;&gt;"")*(B_Drainage!$A$5:$A$204&lt;=$B87)*(B_Drainage!$B$5:$B$204&gt;$B87)*(B_Drainage!$H$5:$H$204&lt;&gt;"")),IF(UPPER(B_Drainage!$H$5:$H$204)="Y",1,"")),"")</f>
        <v/>
      </c>
      <c r="Z87" s="181" t="str">
        <f>IFERROR(LOOKUP(2,1/((B_Drainage!$A$5:$A$204&lt;&gt;"")*(B_Drainage!$A$5:$A$204&lt;=$B87)*(B_Drainage!$B$5:$B$204&gt;$B87)*(B_Drainage!$I$5:$I$204&lt;&gt;"")),IF(UPPER(B_Drainage!$I$5:$I$204)="Y",1,"")),"")</f>
        <v/>
      </c>
      <c r="AA87" s="181" t="str">
        <f>IFERROR(LOOKUP(2,1/((B_Drainage!$A$5:$A$204&lt;&gt;"")*(B_Drainage!$A$5:$A$204&lt;=$B87)*(B_Drainage!$B$5:$B$204&gt;$B87)*(B_Drainage!$J$5:$J$204&lt;&gt;"")),IF(UPPER(B_Drainage!$J$5:$J$204)="Y",1,"")),"")</f>
        <v/>
      </c>
      <c r="AB87" s="182" t="str">
        <f>IFERROR(LOOKUP(2,1/((B_Drainage!$A$5:$A$204&lt;&gt;"")*(B_Drainage!$A$5:$A$204&lt;=$B87)*(B_Drainage!$B$5:$B$204&gt;$B87)*(B_Drainage!$K$5:$K$204&lt;&gt;"")),IF(B_Drainage!$K$5:$K$204="-","",B_Drainage!$K$5:$K$204)),"")</f>
        <v/>
      </c>
      <c r="AC87" s="182" t="str">
        <f>IFERROR(LOOKUP(2,1/((B_Drainage!$A$5:$A$204&lt;&gt;"")*(B_Drainage!$A$5:$A$204&lt;=$B87)*(B_Drainage!$B$5:$B$204&gt;$B87)*(B_Drainage!$L$5:$L$204&lt;&gt;"")),IF(B_Drainage!$L$5:$L$204="-","",B_Drainage!$L$5:$L$204)),"")</f>
        <v/>
      </c>
      <c r="AD87" s="182" t="str">
        <f>IFERROR(LOOKUP(2,1/((D_Points!$A$5:$A$204&lt;&gt;"")*(D_Points!$A$5:$A$204&gt;=$B87)*(D_Points!$A$5:$A$204&lt;$B87+P_Interval)*(UPPER(TRIM(D_Points!$B$5:$B$204))="TURNOUT_L")*(D_Points!$H$5:$H$204&lt;&gt;"")),D_Points!$H$5:$H$204),"")</f>
        <v/>
      </c>
      <c r="AE87" s="182" t="str">
        <f>IFERROR(LOOKUP(2,1/((D_Points!$A$5:$A$204&lt;&gt;"")*(D_Points!$A$5:$A$204&gt;=$B87)*(D_Points!$A$5:$A$204&lt;$B87+P_Interval)*(UPPER(TRIM(D_Points!$B$5:$B$204))="TURNOUT_R")*(D_Points!$H$5:$H$204&lt;&gt;"")),D_Points!$H$5:$H$204),"")</f>
        <v/>
      </c>
      <c r="AF87" s="181" t="str">
        <f>IFERROR(LOOKUP(2,1/((B_Drainage!$A$5:$A$204&lt;&gt;"")*(B_Drainage!$A$5:$A$204&lt;=$B87)*(B_Drainage!$B$5:$B$204&gt;$B87)*(B_Drainage!$M$5:$M$204&lt;&gt;"")),IF(UPPER(B_Drainage!$M$5:$M$204)="Y",1,"")),"")</f>
        <v/>
      </c>
      <c r="AG87" s="181" t="str">
        <f>IFERROR(LOOKUP(2,1/((B_Drainage!$A$5:$A$204&lt;&gt;"")*(B_Drainage!$A$5:$A$204&lt;=$B87)*(B_Drainage!$B$5:$B$204&gt;$B87)*(B_Drainage!$N$5:$N$204&lt;&gt;"")),IF(UPPER(B_Drainage!$N$5:$N$204)="Y",1,"")),"")</f>
        <v/>
      </c>
      <c r="AH87" s="181" t="str">
        <f t="shared" si="8"/>
        <v/>
      </c>
      <c r="AI87" s="181" t="str">
        <f t="shared" si="9"/>
        <v/>
      </c>
      <c r="AJ87" s="181" t="str">
        <f t="shared" si="10"/>
        <v/>
      </c>
      <c r="AK87" s="181" t="str">
        <f t="shared" si="11"/>
        <v/>
      </c>
      <c r="AL87" s="181" t="str">
        <f t="shared" si="12"/>
        <v/>
      </c>
      <c r="AM87" s="181" t="str">
        <f t="shared" si="13"/>
        <v/>
      </c>
      <c r="AN87" s="181" t="str">
        <f t="shared" si="14"/>
        <v/>
      </c>
      <c r="AO87" s="192" t="str">
        <f t="shared" si="15"/>
        <v/>
      </c>
      <c r="AQ87" t="str">
        <f>IFERROR(LOOKUP(2,1/((C_Pavement!$A$5:$A$204&lt;&gt;"")*(C_Pavement!$A$5:$A$204&lt;=$B87)*(C_Pavement!$B$5:$B$204&gt;$B87)*(C_Pavement!$C$5:$C$204&lt;&gt;"")),ROW(C_Pavement!$C$5:$C$204)-4),"")</f>
        <v/>
      </c>
      <c r="AR87" t="str">
        <f>IF($AQ87="","",UPPER(TRIM(INDEX(C_Pavement!$C$5:$C$204,$AQ87))))</f>
        <v/>
      </c>
      <c r="AS87" t="str">
        <f>IF($AR87="","",IFERROR(MATCH($AR87,E_Rules!$A$5:$A$9,0),""))</f>
        <v/>
      </c>
      <c r="AT87" t="str">
        <f>IF($AQ87="","",IF(INDEX(C_Pavement!$D$5:$D$204,$AQ87)&lt;&gt;"",UPPER(TRIM(INDEX(C_Pavement!$D$5:$D$204,$AQ87))),IF($AS87="","",INDEX(E_Rules!$C$5:$C$9,$AS87))))</f>
        <v/>
      </c>
      <c r="AU87" t="str">
        <f>IF($AQ87="","",IF(INDEX(C_Pavement!$E$5:$E$204,$AQ87)&lt;&gt;"",IF(INDEX(C_Pavement!$E$5:$E$204,$AQ87)="-","",INDEX(C_Pavement!$E$5:$E$204,$AQ87)),IF($AS87="","",INDEX(E_Rules!$D$5:$D$9,$AS87))))</f>
        <v/>
      </c>
      <c r="AV87" t="str">
        <f>IF($AQ87="","",IF(INDEX(C_Pavement!$F$5:$F$204,$AQ87)&lt;&gt;"",IF(INDEX(C_Pavement!$F$5:$F$204,$AQ87)="-","",INDEX(C_Pavement!$F$5:$F$204,$AQ87)),IF($AS87="","",INDEX(E_Rules!$E$5:$E$9,$AS87))))</f>
        <v/>
      </c>
      <c r="AW87" t="str">
        <f>IF($AQ87="","",IF(INDEX(C_Pavement!$G$5:$G$204,$AQ87)&lt;&gt;"",IF(INDEX(C_Pavement!$G$5:$G$204,$AQ87)="-","",INDEX(C_Pavement!$G$5:$G$204,$AQ87)),IF($AS87="","",INDEX(E_Rules!$F$5:$F$9,$AS87))))</f>
        <v/>
      </c>
      <c r="AX87" t="str">
        <f>IF($AQ87="","",IF(INDEX(C_Pavement!$H$5:$H$204,$AQ87)&lt;&gt;"",IF(INDEX(C_Pavement!$H$5:$H$204,$AQ87)="-","",INDEX(C_Pavement!$H$5:$H$204,$AQ87)),IF($AS87="","",INDEX(E_Rules!$G$5:$G$9,$AS87))))</f>
        <v/>
      </c>
      <c r="AY87" t="str">
        <f>IF($AQ87="","",IF(INDEX(C_Pavement!$I$5:$I$204,$AQ87)&lt;&gt;"",IF(INDEX(C_Pavement!$I$5:$I$204,$AQ87)="-","",INDEX(C_Pavement!$I$5:$I$204,$AQ87)),IF($AS87="","",INDEX(E_Rules!$H$5:$H$9,$AS87))))</f>
        <v/>
      </c>
    </row>
    <row r="88" spans="1:51" ht="15.75" customHeight="1" x14ac:dyDescent="0.3">
      <c r="A88" s="189">
        <v>83</v>
      </c>
      <c r="B88" s="180">
        <v>4100</v>
      </c>
      <c r="C88" s="180" t="s">
        <v>394</v>
      </c>
      <c r="D88" s="181" t="str">
        <f>IFERROR(LOOKUP(2,1/((A_Corridor!$A$5:$A$204&lt;&gt;"")*(A_Corridor!$A$5:$A$204&lt;=$B88)*(A_Corridor!$B$5:$B$204&gt;$B88)*(A_Corridor!$C$5:$C$204&lt;&gt;"")),IF(UPPER(A_Corridor!$C$5:$C$204)="Y",1,"")),"")</f>
        <v/>
      </c>
      <c r="E88" s="181" t="str">
        <f>IFERROR(LOOKUP(2,1/((A_Corridor!$A$5:$A$204&lt;&gt;"")*(A_Corridor!$A$5:$A$204&lt;=$B88)*(A_Corridor!$B$5:$B$204&gt;$B88)*(A_Corridor!$D$5:$D$204&lt;&gt;"")),IF(A_Corridor!$D$5:$D$204="-","",UPPER(A_Corridor!$D$5:$D$204))),"")</f>
        <v/>
      </c>
      <c r="F88" s="181" t="str">
        <f>IFERROR(LOOKUP(2,1/((A_Corridor!$A$5:$A$204&lt;&gt;"")*(A_Corridor!$A$5:$A$204&lt;=$B88)*(A_Corridor!$B$5:$B$204&gt;$B88)*(A_Corridor!$E$5:$E$204&lt;&gt;"")),IF(A_Corridor!$E$5:$E$204="-","",1)),"")</f>
        <v/>
      </c>
      <c r="G88" s="182" t="str">
        <f>IFERROR(LOOKUP(2,1/((A_Corridor!$A$5:$A$204&lt;&gt;"")*(A_Corridor!$A$5:$A$204&lt;=$B88)*(A_Corridor!$B$5:$B$204&gt;$B88)*(A_Corridor!$E$5:$E$204&lt;&gt;"")),IF(A_Corridor!$E$5:$E$204="-","",A_Corridor!$E$5:$E$204)),"")</f>
        <v/>
      </c>
      <c r="H88" s="182" t="str">
        <f>IFERROR(LOOKUP(2,1/((D_Points!$A$5:$A$204&lt;&gt;"")*(D_Points!$A$5:$A$204&gt;=$B88)*(D_Points!$A$5:$A$204&lt;$B88+P_Interval)*(UPPER(TRIM(D_Points!$B$5:$B$204))="GULLY")*(D_Points!$H$5:$H$204&lt;&gt;"")),D_Points!$H$5:$H$204),"")</f>
        <v/>
      </c>
      <c r="I88" s="181" t="str">
        <f>IFERROR(LOOKUP(2,1/((A_Corridor!$A$5:$A$204&lt;&gt;"")*(A_Corridor!$A$5:$A$204&lt;=$B88)*(A_Corridor!$B$5:$B$204&gt;$B88)*(A_Corridor!$F$5:$F$204&lt;&gt;"")),IF(A_Corridor!$F$5:$F$204="-","",1)),"")</f>
        <v/>
      </c>
      <c r="J88" s="182" t="str">
        <f>IFERROR(LOOKUP(2,1/((A_Corridor!$A$5:$A$204&lt;&gt;"")*(A_Corridor!$A$5:$A$204&lt;=$B88)*(A_Corridor!$B$5:$B$204&gt;$B88)*(A_Corridor!$F$5:$F$204&lt;&gt;"")),IF(A_Corridor!$F$5:$F$204="-","",A_Corridor!$F$5:$F$204)),"")</f>
        <v/>
      </c>
      <c r="K88" s="182" t="str">
        <f>IFERROR(LOOKUP(2,1/((A_Corridor!$A$5:$A$204&lt;&gt;"")*(A_Corridor!$A$5:$A$204&lt;=$B88)*(A_Corridor!$B$5:$B$204&gt;$B88)*(A_Corridor!$G$5:$G$204&lt;&gt;"")),IF(A_Corridor!$G$5:$G$204="-","",A_Corridor!$G$5:$G$204)),"")</f>
        <v/>
      </c>
      <c r="L88" s="181" t="str">
        <f>IFERROR(LOOKUP(2,1/((A_Corridor!$A$5:$A$204&lt;&gt;"")*(A_Corridor!$A$5:$A$204&lt;=$B88)*(A_Corridor!$B$5:$B$204&gt;$B88)*(A_Corridor!$H$5:$H$204&lt;&gt;"")),IF(A_Corridor!$H$5:$H$204="-","",1)),"")</f>
        <v/>
      </c>
      <c r="M88" s="182" t="str">
        <f>IFERROR(LOOKUP(2,1/((A_Corridor!$A$5:$A$204&lt;&gt;"")*(A_Corridor!$A$5:$A$204&lt;=$B88)*(A_Corridor!$B$5:$B$204&gt;$B88)*(A_Corridor!$H$5:$H$204&lt;&gt;"")),IF(A_Corridor!$H$5:$H$204="-","",A_Corridor!$H$5:$H$204)),"")</f>
        <v/>
      </c>
      <c r="N88" s="182" t="str">
        <f>IFERROR(LOOKUP(2,1/((A_Corridor!$A$5:$A$204&lt;&gt;"")*(A_Corridor!$A$5:$A$204&lt;=$B88)*(A_Corridor!$B$5:$B$204&gt;$B88)*(A_Corridor!$I$5:$I$204&lt;&gt;"")),IF(A_Corridor!$I$5:$I$204="-","",A_Corridor!$I$5:$I$204)),"")</f>
        <v/>
      </c>
      <c r="O88" s="182" t="str">
        <f>IFERROR(LOOKUP(2,1/((D_Points!$A$5:$A$204&lt;&gt;"")*(D_Points!$A$5:$A$204&gt;=$B88)*(D_Points!$A$5:$A$204&lt;$B88+P_Interval)*(UPPER(TRIM(D_Points!$B$5:$B$204))="PITCHING")*(D_Points!$H$5:$H$204&lt;&gt;"")),D_Points!$H$5:$H$204),"")</f>
        <v/>
      </c>
      <c r="P88" s="181" t="str">
        <f>IFERROR(LOOKUP(2,1/((B_Drainage!$A$5:$A$204&lt;&gt;"")*(B_Drainage!$A$5:$A$204&lt;=$B88)*(B_Drainage!$B$5:$B$204&gt;$B88)*(B_Drainage!$C$5:$C$204&lt;&gt;"")),IF(B_Drainage!$C$5:$C$204="-","",UPPER(B_Drainage!$C$5:$C$204))),"")</f>
        <v/>
      </c>
      <c r="Q88" s="181" t="str">
        <f>IFERROR(LOOKUP(2,1/((B_Drainage!$A$5:$A$204&lt;&gt;"")*(B_Drainage!$A$5:$A$204&lt;=$B88)*(B_Drainage!$B$5:$B$204&gt;$B88)*(B_Drainage!$D$5:$D$204&lt;&gt;"")),IF(B_Drainage!$D$5:$D$204="-","",UPPER(B_Drainage!$D$5:$D$204))),"")</f>
        <v/>
      </c>
      <c r="R88" s="182" t="str">
        <f>IFERROR(LOOKUP(2,1/((D_Points!$A$5:$A$204&lt;&gt;"")*(D_Points!$A$5:$A$204&gt;=$B88)*(D_Points!$A$5:$A$204&lt;$B88+P_Interval)*(RIGHT(UPPER(TRIM(D_Points!$B$5:$B$204)),8)="_CULVERT")),IF(LEFT(UPPER(TRIM(D_Points!$B$5:$B$204)),2)="EX",1,IF(LEFT(UPPER(TRIM(D_Points!$B$5:$B$204)),2)="PR",2,3))),"")</f>
        <v/>
      </c>
      <c r="S88" s="182" t="str">
        <f>IFERROR(LOOKUP(2,1/((D_Points!$A$5:$A$204&lt;&gt;"")*(D_Points!$A$5:$A$204&gt;=$B88)*(D_Points!$A$5:$A$204&lt;$B88+P_Interval)*(RIGHT(UPPER(TRIM(D_Points!$B$5:$B$204)),7)="_BRIDGE")),IF(LEFT(UPPER(TRIM(D_Points!$B$5:$B$204)),2)="EX",1,IF(LEFT(UPPER(TRIM(D_Points!$B$5:$B$204)),2)="PR",2,2))),"")</f>
        <v/>
      </c>
      <c r="T88" s="181" t="str">
        <f>IFERROR(LOOKUP(2,1/((B_Drainage!$A$5:$A$204&lt;&gt;"")*(B_Drainage!$A$5:$A$204&lt;=$B88)*(B_Drainage!$B$5:$B$204&gt;$B88)*(B_Drainage!$E$5:$E$204&lt;&gt;"")),IF(B_Drainage!$E$5:$E$204="-","",1)),"")</f>
        <v/>
      </c>
      <c r="U88" s="181" t="str">
        <f>IFERROR(LOOKUP(2,1/((B_Drainage!$A$5:$A$204&lt;&gt;"")*(B_Drainage!$A$5:$A$204&lt;=$B88)*(B_Drainage!$B$5:$B$204&gt;$B88)*(B_Drainage!$E$5:$E$204&lt;&gt;"")),IF(B_Drainage!$E$5:$E$204="-","",B_Drainage!$E$5:$E$204)),"")</f>
        <v/>
      </c>
      <c r="V88" s="181" t="str">
        <f>IFERROR(LOOKUP(2,1/((B_Drainage!$A$5:$A$204&lt;&gt;"")*(B_Drainage!$A$5:$A$204&lt;=$B88)*(B_Drainage!$B$5:$B$204&gt;$B88)*(B_Drainage!$F$5:$F$204&lt;&gt;"")),IF(B_Drainage!$F$5:$F$204="-","",1)),"")</f>
        <v/>
      </c>
      <c r="W88" s="181" t="str">
        <f>IFERROR(LOOKUP(2,1/((B_Drainage!$A$5:$A$204&lt;&gt;"")*(B_Drainage!$A$5:$A$204&lt;=$B88)*(B_Drainage!$B$5:$B$204&gt;$B88)*(B_Drainage!$F$5:$F$204&lt;&gt;"")),IF(B_Drainage!$F$5:$F$204="-","",B_Drainage!$F$5:$F$204)),"")</f>
        <v/>
      </c>
      <c r="X88" s="181" t="str">
        <f>IFERROR(LOOKUP(2,1/((B_Drainage!$A$5:$A$204&lt;&gt;"")*(B_Drainage!$A$5:$A$204&lt;=$B88)*(B_Drainage!$B$5:$B$204&gt;$B88)*(B_Drainage!$G$5:$G$204&lt;&gt;"")),IF(UPPER(B_Drainage!$G$5:$G$204)="Y",1,"")),"")</f>
        <v/>
      </c>
      <c r="Y88" s="181" t="str">
        <f>IFERROR(LOOKUP(2,1/((B_Drainage!$A$5:$A$204&lt;&gt;"")*(B_Drainage!$A$5:$A$204&lt;=$B88)*(B_Drainage!$B$5:$B$204&gt;$B88)*(B_Drainage!$H$5:$H$204&lt;&gt;"")),IF(UPPER(B_Drainage!$H$5:$H$204)="Y",1,"")),"")</f>
        <v/>
      </c>
      <c r="Z88" s="181" t="str">
        <f>IFERROR(LOOKUP(2,1/((B_Drainage!$A$5:$A$204&lt;&gt;"")*(B_Drainage!$A$5:$A$204&lt;=$B88)*(B_Drainage!$B$5:$B$204&gt;$B88)*(B_Drainage!$I$5:$I$204&lt;&gt;"")),IF(UPPER(B_Drainage!$I$5:$I$204)="Y",1,"")),"")</f>
        <v/>
      </c>
      <c r="AA88" s="181" t="str">
        <f>IFERROR(LOOKUP(2,1/((B_Drainage!$A$5:$A$204&lt;&gt;"")*(B_Drainage!$A$5:$A$204&lt;=$B88)*(B_Drainage!$B$5:$B$204&gt;$B88)*(B_Drainage!$J$5:$J$204&lt;&gt;"")),IF(UPPER(B_Drainage!$J$5:$J$204)="Y",1,"")),"")</f>
        <v/>
      </c>
      <c r="AB88" s="182" t="str">
        <f>IFERROR(LOOKUP(2,1/((B_Drainage!$A$5:$A$204&lt;&gt;"")*(B_Drainage!$A$5:$A$204&lt;=$B88)*(B_Drainage!$B$5:$B$204&gt;$B88)*(B_Drainage!$K$5:$K$204&lt;&gt;"")),IF(B_Drainage!$K$5:$K$204="-","",B_Drainage!$K$5:$K$204)),"")</f>
        <v/>
      </c>
      <c r="AC88" s="182" t="str">
        <f>IFERROR(LOOKUP(2,1/((B_Drainage!$A$5:$A$204&lt;&gt;"")*(B_Drainage!$A$5:$A$204&lt;=$B88)*(B_Drainage!$B$5:$B$204&gt;$B88)*(B_Drainage!$L$5:$L$204&lt;&gt;"")),IF(B_Drainage!$L$5:$L$204="-","",B_Drainage!$L$5:$L$204)),"")</f>
        <v/>
      </c>
      <c r="AD88" s="182" t="str">
        <f>IFERROR(LOOKUP(2,1/((D_Points!$A$5:$A$204&lt;&gt;"")*(D_Points!$A$5:$A$204&gt;=$B88)*(D_Points!$A$5:$A$204&lt;$B88+P_Interval)*(UPPER(TRIM(D_Points!$B$5:$B$204))="TURNOUT_L")*(D_Points!$H$5:$H$204&lt;&gt;"")),D_Points!$H$5:$H$204),"")</f>
        <v/>
      </c>
      <c r="AE88" s="182" t="str">
        <f>IFERROR(LOOKUP(2,1/((D_Points!$A$5:$A$204&lt;&gt;"")*(D_Points!$A$5:$A$204&gt;=$B88)*(D_Points!$A$5:$A$204&lt;$B88+P_Interval)*(UPPER(TRIM(D_Points!$B$5:$B$204))="TURNOUT_R")*(D_Points!$H$5:$H$204&lt;&gt;"")),D_Points!$H$5:$H$204),"")</f>
        <v/>
      </c>
      <c r="AF88" s="181" t="str">
        <f>IFERROR(LOOKUP(2,1/((B_Drainage!$A$5:$A$204&lt;&gt;"")*(B_Drainage!$A$5:$A$204&lt;=$B88)*(B_Drainage!$B$5:$B$204&gt;$B88)*(B_Drainage!$M$5:$M$204&lt;&gt;"")),IF(UPPER(B_Drainage!$M$5:$M$204)="Y",1,"")),"")</f>
        <v/>
      </c>
      <c r="AG88" s="181" t="str">
        <f>IFERROR(LOOKUP(2,1/((B_Drainage!$A$5:$A$204&lt;&gt;"")*(B_Drainage!$A$5:$A$204&lt;=$B88)*(B_Drainage!$B$5:$B$204&gt;$B88)*(B_Drainage!$N$5:$N$204&lt;&gt;"")),IF(UPPER(B_Drainage!$N$5:$N$204)="Y",1,"")),"")</f>
        <v/>
      </c>
      <c r="AH88" s="181" t="str">
        <f t="shared" si="8"/>
        <v/>
      </c>
      <c r="AI88" s="181" t="str">
        <f t="shared" si="9"/>
        <v/>
      </c>
      <c r="AJ88" s="181" t="str">
        <f t="shared" si="10"/>
        <v/>
      </c>
      <c r="AK88" s="181" t="str">
        <f t="shared" si="11"/>
        <v/>
      </c>
      <c r="AL88" s="181" t="str">
        <f t="shared" si="12"/>
        <v/>
      </c>
      <c r="AM88" s="181" t="str">
        <f t="shared" si="13"/>
        <v/>
      </c>
      <c r="AN88" s="181" t="str">
        <f t="shared" si="14"/>
        <v/>
      </c>
      <c r="AO88" s="192" t="str">
        <f t="shared" si="15"/>
        <v/>
      </c>
      <c r="AQ88" t="str">
        <f>IFERROR(LOOKUP(2,1/((C_Pavement!$A$5:$A$204&lt;&gt;"")*(C_Pavement!$A$5:$A$204&lt;=$B88)*(C_Pavement!$B$5:$B$204&gt;$B88)*(C_Pavement!$C$5:$C$204&lt;&gt;"")),ROW(C_Pavement!$C$5:$C$204)-4),"")</f>
        <v/>
      </c>
      <c r="AR88" t="str">
        <f>IF($AQ88="","",UPPER(TRIM(INDEX(C_Pavement!$C$5:$C$204,$AQ88))))</f>
        <v/>
      </c>
      <c r="AS88" t="str">
        <f>IF($AR88="","",IFERROR(MATCH($AR88,E_Rules!$A$5:$A$9,0),""))</f>
        <v/>
      </c>
      <c r="AT88" t="str">
        <f>IF($AQ88="","",IF(INDEX(C_Pavement!$D$5:$D$204,$AQ88)&lt;&gt;"",UPPER(TRIM(INDEX(C_Pavement!$D$5:$D$204,$AQ88))),IF($AS88="","",INDEX(E_Rules!$C$5:$C$9,$AS88))))</f>
        <v/>
      </c>
      <c r="AU88" t="str">
        <f>IF($AQ88="","",IF(INDEX(C_Pavement!$E$5:$E$204,$AQ88)&lt;&gt;"",IF(INDEX(C_Pavement!$E$5:$E$204,$AQ88)="-","",INDEX(C_Pavement!$E$5:$E$204,$AQ88)),IF($AS88="","",INDEX(E_Rules!$D$5:$D$9,$AS88))))</f>
        <v/>
      </c>
      <c r="AV88" t="str">
        <f>IF($AQ88="","",IF(INDEX(C_Pavement!$F$5:$F$204,$AQ88)&lt;&gt;"",IF(INDEX(C_Pavement!$F$5:$F$204,$AQ88)="-","",INDEX(C_Pavement!$F$5:$F$204,$AQ88)),IF($AS88="","",INDEX(E_Rules!$E$5:$E$9,$AS88))))</f>
        <v/>
      </c>
      <c r="AW88" t="str">
        <f>IF($AQ88="","",IF(INDEX(C_Pavement!$G$5:$G$204,$AQ88)&lt;&gt;"",IF(INDEX(C_Pavement!$G$5:$G$204,$AQ88)="-","",INDEX(C_Pavement!$G$5:$G$204,$AQ88)),IF($AS88="","",INDEX(E_Rules!$F$5:$F$9,$AS88))))</f>
        <v/>
      </c>
      <c r="AX88" t="str">
        <f>IF($AQ88="","",IF(INDEX(C_Pavement!$H$5:$H$204,$AQ88)&lt;&gt;"",IF(INDEX(C_Pavement!$H$5:$H$204,$AQ88)="-","",INDEX(C_Pavement!$H$5:$H$204,$AQ88)),IF($AS88="","",INDEX(E_Rules!$G$5:$G$9,$AS88))))</f>
        <v/>
      </c>
      <c r="AY88" t="str">
        <f>IF($AQ88="","",IF(INDEX(C_Pavement!$I$5:$I$204,$AQ88)&lt;&gt;"",IF(INDEX(C_Pavement!$I$5:$I$204,$AQ88)="-","",INDEX(C_Pavement!$I$5:$I$204,$AQ88)),IF($AS88="","",INDEX(E_Rules!$H$5:$H$9,$AS88))))</f>
        <v/>
      </c>
    </row>
    <row r="89" spans="1:51" ht="15.75" customHeight="1" x14ac:dyDescent="0.3">
      <c r="A89" s="189">
        <v>84</v>
      </c>
      <c r="B89" s="180">
        <v>4150</v>
      </c>
      <c r="C89" s="180" t="s">
        <v>395</v>
      </c>
      <c r="D89" s="181" t="str">
        <f>IFERROR(LOOKUP(2,1/((A_Corridor!$A$5:$A$204&lt;&gt;"")*(A_Corridor!$A$5:$A$204&lt;=$B89)*(A_Corridor!$B$5:$B$204&gt;$B89)*(A_Corridor!$C$5:$C$204&lt;&gt;"")),IF(UPPER(A_Corridor!$C$5:$C$204)="Y",1,"")),"")</f>
        <v/>
      </c>
      <c r="E89" s="181" t="str">
        <f>IFERROR(LOOKUP(2,1/((A_Corridor!$A$5:$A$204&lt;&gt;"")*(A_Corridor!$A$5:$A$204&lt;=$B89)*(A_Corridor!$B$5:$B$204&gt;$B89)*(A_Corridor!$D$5:$D$204&lt;&gt;"")),IF(A_Corridor!$D$5:$D$204="-","",UPPER(A_Corridor!$D$5:$D$204))),"")</f>
        <v/>
      </c>
      <c r="F89" s="181" t="str">
        <f>IFERROR(LOOKUP(2,1/((A_Corridor!$A$5:$A$204&lt;&gt;"")*(A_Corridor!$A$5:$A$204&lt;=$B89)*(A_Corridor!$B$5:$B$204&gt;$B89)*(A_Corridor!$E$5:$E$204&lt;&gt;"")),IF(A_Corridor!$E$5:$E$204="-","",1)),"")</f>
        <v/>
      </c>
      <c r="G89" s="182" t="str">
        <f>IFERROR(LOOKUP(2,1/((A_Corridor!$A$5:$A$204&lt;&gt;"")*(A_Corridor!$A$5:$A$204&lt;=$B89)*(A_Corridor!$B$5:$B$204&gt;$B89)*(A_Corridor!$E$5:$E$204&lt;&gt;"")),IF(A_Corridor!$E$5:$E$204="-","",A_Corridor!$E$5:$E$204)),"")</f>
        <v/>
      </c>
      <c r="H89" s="182" t="str">
        <f>IFERROR(LOOKUP(2,1/((D_Points!$A$5:$A$204&lt;&gt;"")*(D_Points!$A$5:$A$204&gt;=$B89)*(D_Points!$A$5:$A$204&lt;$B89+P_Interval)*(UPPER(TRIM(D_Points!$B$5:$B$204))="GULLY")*(D_Points!$H$5:$H$204&lt;&gt;"")),D_Points!$H$5:$H$204),"")</f>
        <v/>
      </c>
      <c r="I89" s="181" t="str">
        <f>IFERROR(LOOKUP(2,1/((A_Corridor!$A$5:$A$204&lt;&gt;"")*(A_Corridor!$A$5:$A$204&lt;=$B89)*(A_Corridor!$B$5:$B$204&gt;$B89)*(A_Corridor!$F$5:$F$204&lt;&gt;"")),IF(A_Corridor!$F$5:$F$204="-","",1)),"")</f>
        <v/>
      </c>
      <c r="J89" s="182" t="str">
        <f>IFERROR(LOOKUP(2,1/((A_Corridor!$A$5:$A$204&lt;&gt;"")*(A_Corridor!$A$5:$A$204&lt;=$B89)*(A_Corridor!$B$5:$B$204&gt;$B89)*(A_Corridor!$F$5:$F$204&lt;&gt;"")),IF(A_Corridor!$F$5:$F$204="-","",A_Corridor!$F$5:$F$204)),"")</f>
        <v/>
      </c>
      <c r="K89" s="182" t="str">
        <f>IFERROR(LOOKUP(2,1/((A_Corridor!$A$5:$A$204&lt;&gt;"")*(A_Corridor!$A$5:$A$204&lt;=$B89)*(A_Corridor!$B$5:$B$204&gt;$B89)*(A_Corridor!$G$5:$G$204&lt;&gt;"")),IF(A_Corridor!$G$5:$G$204="-","",A_Corridor!$G$5:$G$204)),"")</f>
        <v/>
      </c>
      <c r="L89" s="181" t="str">
        <f>IFERROR(LOOKUP(2,1/((A_Corridor!$A$5:$A$204&lt;&gt;"")*(A_Corridor!$A$5:$A$204&lt;=$B89)*(A_Corridor!$B$5:$B$204&gt;$B89)*(A_Corridor!$H$5:$H$204&lt;&gt;"")),IF(A_Corridor!$H$5:$H$204="-","",1)),"")</f>
        <v/>
      </c>
      <c r="M89" s="182" t="str">
        <f>IFERROR(LOOKUP(2,1/((A_Corridor!$A$5:$A$204&lt;&gt;"")*(A_Corridor!$A$5:$A$204&lt;=$B89)*(A_Corridor!$B$5:$B$204&gt;$B89)*(A_Corridor!$H$5:$H$204&lt;&gt;"")),IF(A_Corridor!$H$5:$H$204="-","",A_Corridor!$H$5:$H$204)),"")</f>
        <v/>
      </c>
      <c r="N89" s="182" t="str">
        <f>IFERROR(LOOKUP(2,1/((A_Corridor!$A$5:$A$204&lt;&gt;"")*(A_Corridor!$A$5:$A$204&lt;=$B89)*(A_Corridor!$B$5:$B$204&gt;$B89)*(A_Corridor!$I$5:$I$204&lt;&gt;"")),IF(A_Corridor!$I$5:$I$204="-","",A_Corridor!$I$5:$I$204)),"")</f>
        <v/>
      </c>
      <c r="O89" s="182" t="str">
        <f>IFERROR(LOOKUP(2,1/((D_Points!$A$5:$A$204&lt;&gt;"")*(D_Points!$A$5:$A$204&gt;=$B89)*(D_Points!$A$5:$A$204&lt;$B89+P_Interval)*(UPPER(TRIM(D_Points!$B$5:$B$204))="PITCHING")*(D_Points!$H$5:$H$204&lt;&gt;"")),D_Points!$H$5:$H$204),"")</f>
        <v/>
      </c>
      <c r="P89" s="181" t="str">
        <f>IFERROR(LOOKUP(2,1/((B_Drainage!$A$5:$A$204&lt;&gt;"")*(B_Drainage!$A$5:$A$204&lt;=$B89)*(B_Drainage!$B$5:$B$204&gt;$B89)*(B_Drainage!$C$5:$C$204&lt;&gt;"")),IF(B_Drainage!$C$5:$C$204="-","",UPPER(B_Drainage!$C$5:$C$204))),"")</f>
        <v/>
      </c>
      <c r="Q89" s="181" t="str">
        <f>IFERROR(LOOKUP(2,1/((B_Drainage!$A$5:$A$204&lt;&gt;"")*(B_Drainage!$A$5:$A$204&lt;=$B89)*(B_Drainage!$B$5:$B$204&gt;$B89)*(B_Drainage!$D$5:$D$204&lt;&gt;"")),IF(B_Drainage!$D$5:$D$204="-","",UPPER(B_Drainage!$D$5:$D$204))),"")</f>
        <v/>
      </c>
      <c r="R89" s="182" t="str">
        <f>IFERROR(LOOKUP(2,1/((D_Points!$A$5:$A$204&lt;&gt;"")*(D_Points!$A$5:$A$204&gt;=$B89)*(D_Points!$A$5:$A$204&lt;$B89+P_Interval)*(RIGHT(UPPER(TRIM(D_Points!$B$5:$B$204)),8)="_CULVERT")),IF(LEFT(UPPER(TRIM(D_Points!$B$5:$B$204)),2)="EX",1,IF(LEFT(UPPER(TRIM(D_Points!$B$5:$B$204)),2)="PR",2,3))),"")</f>
        <v/>
      </c>
      <c r="S89" s="182" t="str">
        <f>IFERROR(LOOKUP(2,1/((D_Points!$A$5:$A$204&lt;&gt;"")*(D_Points!$A$5:$A$204&gt;=$B89)*(D_Points!$A$5:$A$204&lt;$B89+P_Interval)*(RIGHT(UPPER(TRIM(D_Points!$B$5:$B$204)),7)="_BRIDGE")),IF(LEFT(UPPER(TRIM(D_Points!$B$5:$B$204)),2)="EX",1,IF(LEFT(UPPER(TRIM(D_Points!$B$5:$B$204)),2)="PR",2,2))),"")</f>
        <v/>
      </c>
      <c r="T89" s="181" t="str">
        <f>IFERROR(LOOKUP(2,1/((B_Drainage!$A$5:$A$204&lt;&gt;"")*(B_Drainage!$A$5:$A$204&lt;=$B89)*(B_Drainage!$B$5:$B$204&gt;$B89)*(B_Drainage!$E$5:$E$204&lt;&gt;"")),IF(B_Drainage!$E$5:$E$204="-","",1)),"")</f>
        <v/>
      </c>
      <c r="U89" s="181" t="str">
        <f>IFERROR(LOOKUP(2,1/((B_Drainage!$A$5:$A$204&lt;&gt;"")*(B_Drainage!$A$5:$A$204&lt;=$B89)*(B_Drainage!$B$5:$B$204&gt;$B89)*(B_Drainage!$E$5:$E$204&lt;&gt;"")),IF(B_Drainage!$E$5:$E$204="-","",B_Drainage!$E$5:$E$204)),"")</f>
        <v/>
      </c>
      <c r="V89" s="181" t="str">
        <f>IFERROR(LOOKUP(2,1/((B_Drainage!$A$5:$A$204&lt;&gt;"")*(B_Drainage!$A$5:$A$204&lt;=$B89)*(B_Drainage!$B$5:$B$204&gt;$B89)*(B_Drainage!$F$5:$F$204&lt;&gt;"")),IF(B_Drainage!$F$5:$F$204="-","",1)),"")</f>
        <v/>
      </c>
      <c r="W89" s="181" t="str">
        <f>IFERROR(LOOKUP(2,1/((B_Drainage!$A$5:$A$204&lt;&gt;"")*(B_Drainage!$A$5:$A$204&lt;=$B89)*(B_Drainage!$B$5:$B$204&gt;$B89)*(B_Drainage!$F$5:$F$204&lt;&gt;"")),IF(B_Drainage!$F$5:$F$204="-","",B_Drainage!$F$5:$F$204)),"")</f>
        <v/>
      </c>
      <c r="X89" s="181" t="str">
        <f>IFERROR(LOOKUP(2,1/((B_Drainage!$A$5:$A$204&lt;&gt;"")*(B_Drainage!$A$5:$A$204&lt;=$B89)*(B_Drainage!$B$5:$B$204&gt;$B89)*(B_Drainage!$G$5:$G$204&lt;&gt;"")),IF(UPPER(B_Drainage!$G$5:$G$204)="Y",1,"")),"")</f>
        <v/>
      </c>
      <c r="Y89" s="181" t="str">
        <f>IFERROR(LOOKUP(2,1/((B_Drainage!$A$5:$A$204&lt;&gt;"")*(B_Drainage!$A$5:$A$204&lt;=$B89)*(B_Drainage!$B$5:$B$204&gt;$B89)*(B_Drainage!$H$5:$H$204&lt;&gt;"")),IF(UPPER(B_Drainage!$H$5:$H$204)="Y",1,"")),"")</f>
        <v/>
      </c>
      <c r="Z89" s="181" t="str">
        <f>IFERROR(LOOKUP(2,1/((B_Drainage!$A$5:$A$204&lt;&gt;"")*(B_Drainage!$A$5:$A$204&lt;=$B89)*(B_Drainage!$B$5:$B$204&gt;$B89)*(B_Drainage!$I$5:$I$204&lt;&gt;"")),IF(UPPER(B_Drainage!$I$5:$I$204)="Y",1,"")),"")</f>
        <v/>
      </c>
      <c r="AA89" s="181" t="str">
        <f>IFERROR(LOOKUP(2,1/((B_Drainage!$A$5:$A$204&lt;&gt;"")*(B_Drainage!$A$5:$A$204&lt;=$B89)*(B_Drainage!$B$5:$B$204&gt;$B89)*(B_Drainage!$J$5:$J$204&lt;&gt;"")),IF(UPPER(B_Drainage!$J$5:$J$204)="Y",1,"")),"")</f>
        <v/>
      </c>
      <c r="AB89" s="182" t="str">
        <f>IFERROR(LOOKUP(2,1/((B_Drainage!$A$5:$A$204&lt;&gt;"")*(B_Drainage!$A$5:$A$204&lt;=$B89)*(B_Drainage!$B$5:$B$204&gt;$B89)*(B_Drainage!$K$5:$K$204&lt;&gt;"")),IF(B_Drainage!$K$5:$K$204="-","",B_Drainage!$K$5:$K$204)),"")</f>
        <v/>
      </c>
      <c r="AC89" s="182" t="str">
        <f>IFERROR(LOOKUP(2,1/((B_Drainage!$A$5:$A$204&lt;&gt;"")*(B_Drainage!$A$5:$A$204&lt;=$B89)*(B_Drainage!$B$5:$B$204&gt;$B89)*(B_Drainage!$L$5:$L$204&lt;&gt;"")),IF(B_Drainage!$L$5:$L$204="-","",B_Drainage!$L$5:$L$204)),"")</f>
        <v/>
      </c>
      <c r="AD89" s="182" t="str">
        <f>IFERROR(LOOKUP(2,1/((D_Points!$A$5:$A$204&lt;&gt;"")*(D_Points!$A$5:$A$204&gt;=$B89)*(D_Points!$A$5:$A$204&lt;$B89+P_Interval)*(UPPER(TRIM(D_Points!$B$5:$B$204))="TURNOUT_L")*(D_Points!$H$5:$H$204&lt;&gt;"")),D_Points!$H$5:$H$204),"")</f>
        <v/>
      </c>
      <c r="AE89" s="182" t="str">
        <f>IFERROR(LOOKUP(2,1/((D_Points!$A$5:$A$204&lt;&gt;"")*(D_Points!$A$5:$A$204&gt;=$B89)*(D_Points!$A$5:$A$204&lt;$B89+P_Interval)*(UPPER(TRIM(D_Points!$B$5:$B$204))="TURNOUT_R")*(D_Points!$H$5:$H$204&lt;&gt;"")),D_Points!$H$5:$H$204),"")</f>
        <v/>
      </c>
      <c r="AF89" s="181" t="str">
        <f>IFERROR(LOOKUP(2,1/((B_Drainage!$A$5:$A$204&lt;&gt;"")*(B_Drainage!$A$5:$A$204&lt;=$B89)*(B_Drainage!$B$5:$B$204&gt;$B89)*(B_Drainage!$M$5:$M$204&lt;&gt;"")),IF(UPPER(B_Drainage!$M$5:$M$204)="Y",1,"")),"")</f>
        <v/>
      </c>
      <c r="AG89" s="181" t="str">
        <f>IFERROR(LOOKUP(2,1/((B_Drainage!$A$5:$A$204&lt;&gt;"")*(B_Drainage!$A$5:$A$204&lt;=$B89)*(B_Drainage!$B$5:$B$204&gt;$B89)*(B_Drainage!$N$5:$N$204&lt;&gt;"")),IF(UPPER(B_Drainage!$N$5:$N$204)="Y",1,"")),"")</f>
        <v/>
      </c>
      <c r="AH89" s="181" t="str">
        <f t="shared" si="8"/>
        <v/>
      </c>
      <c r="AI89" s="181" t="str">
        <f t="shared" si="9"/>
        <v/>
      </c>
      <c r="AJ89" s="181" t="str">
        <f t="shared" si="10"/>
        <v/>
      </c>
      <c r="AK89" s="181" t="str">
        <f t="shared" si="11"/>
        <v/>
      </c>
      <c r="AL89" s="181" t="str">
        <f t="shared" si="12"/>
        <v/>
      </c>
      <c r="AM89" s="181" t="str">
        <f t="shared" si="13"/>
        <v/>
      </c>
      <c r="AN89" s="181" t="str">
        <f t="shared" si="14"/>
        <v/>
      </c>
      <c r="AO89" s="192" t="str">
        <f t="shared" si="15"/>
        <v/>
      </c>
      <c r="AQ89" t="str">
        <f>IFERROR(LOOKUP(2,1/((C_Pavement!$A$5:$A$204&lt;&gt;"")*(C_Pavement!$A$5:$A$204&lt;=$B89)*(C_Pavement!$B$5:$B$204&gt;$B89)*(C_Pavement!$C$5:$C$204&lt;&gt;"")),ROW(C_Pavement!$C$5:$C$204)-4),"")</f>
        <v/>
      </c>
      <c r="AR89" t="str">
        <f>IF($AQ89="","",UPPER(TRIM(INDEX(C_Pavement!$C$5:$C$204,$AQ89))))</f>
        <v/>
      </c>
      <c r="AS89" t="str">
        <f>IF($AR89="","",IFERROR(MATCH($AR89,E_Rules!$A$5:$A$9,0),""))</f>
        <v/>
      </c>
      <c r="AT89" t="str">
        <f>IF($AQ89="","",IF(INDEX(C_Pavement!$D$5:$D$204,$AQ89)&lt;&gt;"",UPPER(TRIM(INDEX(C_Pavement!$D$5:$D$204,$AQ89))),IF($AS89="","",INDEX(E_Rules!$C$5:$C$9,$AS89))))</f>
        <v/>
      </c>
      <c r="AU89" t="str">
        <f>IF($AQ89="","",IF(INDEX(C_Pavement!$E$5:$E$204,$AQ89)&lt;&gt;"",IF(INDEX(C_Pavement!$E$5:$E$204,$AQ89)="-","",INDEX(C_Pavement!$E$5:$E$204,$AQ89)),IF($AS89="","",INDEX(E_Rules!$D$5:$D$9,$AS89))))</f>
        <v/>
      </c>
      <c r="AV89" t="str">
        <f>IF($AQ89="","",IF(INDEX(C_Pavement!$F$5:$F$204,$AQ89)&lt;&gt;"",IF(INDEX(C_Pavement!$F$5:$F$204,$AQ89)="-","",INDEX(C_Pavement!$F$5:$F$204,$AQ89)),IF($AS89="","",INDEX(E_Rules!$E$5:$E$9,$AS89))))</f>
        <v/>
      </c>
      <c r="AW89" t="str">
        <f>IF($AQ89="","",IF(INDEX(C_Pavement!$G$5:$G$204,$AQ89)&lt;&gt;"",IF(INDEX(C_Pavement!$G$5:$G$204,$AQ89)="-","",INDEX(C_Pavement!$G$5:$G$204,$AQ89)),IF($AS89="","",INDEX(E_Rules!$F$5:$F$9,$AS89))))</f>
        <v/>
      </c>
      <c r="AX89" t="str">
        <f>IF($AQ89="","",IF(INDEX(C_Pavement!$H$5:$H$204,$AQ89)&lt;&gt;"",IF(INDEX(C_Pavement!$H$5:$H$204,$AQ89)="-","",INDEX(C_Pavement!$H$5:$H$204,$AQ89)),IF($AS89="","",INDEX(E_Rules!$G$5:$G$9,$AS89))))</f>
        <v/>
      </c>
      <c r="AY89" t="str">
        <f>IF($AQ89="","",IF(INDEX(C_Pavement!$I$5:$I$204,$AQ89)&lt;&gt;"",IF(INDEX(C_Pavement!$I$5:$I$204,$AQ89)="-","",INDEX(C_Pavement!$I$5:$I$204,$AQ89)),IF($AS89="","",INDEX(E_Rules!$H$5:$H$9,$AS89))))</f>
        <v/>
      </c>
    </row>
    <row r="90" spans="1:51" ht="15.75" customHeight="1" x14ac:dyDescent="0.3">
      <c r="A90" s="189">
        <v>85</v>
      </c>
      <c r="B90" s="180">
        <v>4200</v>
      </c>
      <c r="C90" s="180" t="s">
        <v>396</v>
      </c>
      <c r="D90" s="181" t="str">
        <f>IFERROR(LOOKUP(2,1/((A_Corridor!$A$5:$A$204&lt;&gt;"")*(A_Corridor!$A$5:$A$204&lt;=$B90)*(A_Corridor!$B$5:$B$204&gt;$B90)*(A_Corridor!$C$5:$C$204&lt;&gt;"")),IF(UPPER(A_Corridor!$C$5:$C$204)="Y",1,"")),"")</f>
        <v/>
      </c>
      <c r="E90" s="181" t="str">
        <f>IFERROR(LOOKUP(2,1/((A_Corridor!$A$5:$A$204&lt;&gt;"")*(A_Corridor!$A$5:$A$204&lt;=$B90)*(A_Corridor!$B$5:$B$204&gt;$B90)*(A_Corridor!$D$5:$D$204&lt;&gt;"")),IF(A_Corridor!$D$5:$D$204="-","",UPPER(A_Corridor!$D$5:$D$204))),"")</f>
        <v/>
      </c>
      <c r="F90" s="181" t="str">
        <f>IFERROR(LOOKUP(2,1/((A_Corridor!$A$5:$A$204&lt;&gt;"")*(A_Corridor!$A$5:$A$204&lt;=$B90)*(A_Corridor!$B$5:$B$204&gt;$B90)*(A_Corridor!$E$5:$E$204&lt;&gt;"")),IF(A_Corridor!$E$5:$E$204="-","",1)),"")</f>
        <v/>
      </c>
      <c r="G90" s="182" t="str">
        <f>IFERROR(LOOKUP(2,1/((A_Corridor!$A$5:$A$204&lt;&gt;"")*(A_Corridor!$A$5:$A$204&lt;=$B90)*(A_Corridor!$B$5:$B$204&gt;$B90)*(A_Corridor!$E$5:$E$204&lt;&gt;"")),IF(A_Corridor!$E$5:$E$204="-","",A_Corridor!$E$5:$E$204)),"")</f>
        <v/>
      </c>
      <c r="H90" s="182" t="str">
        <f>IFERROR(LOOKUP(2,1/((D_Points!$A$5:$A$204&lt;&gt;"")*(D_Points!$A$5:$A$204&gt;=$B90)*(D_Points!$A$5:$A$204&lt;$B90+P_Interval)*(UPPER(TRIM(D_Points!$B$5:$B$204))="GULLY")*(D_Points!$H$5:$H$204&lt;&gt;"")),D_Points!$H$5:$H$204),"")</f>
        <v/>
      </c>
      <c r="I90" s="181" t="str">
        <f>IFERROR(LOOKUP(2,1/((A_Corridor!$A$5:$A$204&lt;&gt;"")*(A_Corridor!$A$5:$A$204&lt;=$B90)*(A_Corridor!$B$5:$B$204&gt;$B90)*(A_Corridor!$F$5:$F$204&lt;&gt;"")),IF(A_Corridor!$F$5:$F$204="-","",1)),"")</f>
        <v/>
      </c>
      <c r="J90" s="182" t="str">
        <f>IFERROR(LOOKUP(2,1/((A_Corridor!$A$5:$A$204&lt;&gt;"")*(A_Corridor!$A$5:$A$204&lt;=$B90)*(A_Corridor!$B$5:$B$204&gt;$B90)*(A_Corridor!$F$5:$F$204&lt;&gt;"")),IF(A_Corridor!$F$5:$F$204="-","",A_Corridor!$F$5:$F$204)),"")</f>
        <v/>
      </c>
      <c r="K90" s="182" t="str">
        <f>IFERROR(LOOKUP(2,1/((A_Corridor!$A$5:$A$204&lt;&gt;"")*(A_Corridor!$A$5:$A$204&lt;=$B90)*(A_Corridor!$B$5:$B$204&gt;$B90)*(A_Corridor!$G$5:$G$204&lt;&gt;"")),IF(A_Corridor!$G$5:$G$204="-","",A_Corridor!$G$5:$G$204)),"")</f>
        <v/>
      </c>
      <c r="L90" s="181" t="str">
        <f>IFERROR(LOOKUP(2,1/((A_Corridor!$A$5:$A$204&lt;&gt;"")*(A_Corridor!$A$5:$A$204&lt;=$B90)*(A_Corridor!$B$5:$B$204&gt;$B90)*(A_Corridor!$H$5:$H$204&lt;&gt;"")),IF(A_Corridor!$H$5:$H$204="-","",1)),"")</f>
        <v/>
      </c>
      <c r="M90" s="182" t="str">
        <f>IFERROR(LOOKUP(2,1/((A_Corridor!$A$5:$A$204&lt;&gt;"")*(A_Corridor!$A$5:$A$204&lt;=$B90)*(A_Corridor!$B$5:$B$204&gt;$B90)*(A_Corridor!$H$5:$H$204&lt;&gt;"")),IF(A_Corridor!$H$5:$H$204="-","",A_Corridor!$H$5:$H$204)),"")</f>
        <v/>
      </c>
      <c r="N90" s="182" t="str">
        <f>IFERROR(LOOKUP(2,1/((A_Corridor!$A$5:$A$204&lt;&gt;"")*(A_Corridor!$A$5:$A$204&lt;=$B90)*(A_Corridor!$B$5:$B$204&gt;$B90)*(A_Corridor!$I$5:$I$204&lt;&gt;"")),IF(A_Corridor!$I$5:$I$204="-","",A_Corridor!$I$5:$I$204)),"")</f>
        <v/>
      </c>
      <c r="O90" s="182" t="str">
        <f>IFERROR(LOOKUP(2,1/((D_Points!$A$5:$A$204&lt;&gt;"")*(D_Points!$A$5:$A$204&gt;=$B90)*(D_Points!$A$5:$A$204&lt;$B90+P_Interval)*(UPPER(TRIM(D_Points!$B$5:$B$204))="PITCHING")*(D_Points!$H$5:$H$204&lt;&gt;"")),D_Points!$H$5:$H$204),"")</f>
        <v/>
      </c>
      <c r="P90" s="181" t="str">
        <f>IFERROR(LOOKUP(2,1/((B_Drainage!$A$5:$A$204&lt;&gt;"")*(B_Drainage!$A$5:$A$204&lt;=$B90)*(B_Drainage!$B$5:$B$204&gt;$B90)*(B_Drainage!$C$5:$C$204&lt;&gt;"")),IF(B_Drainage!$C$5:$C$204="-","",UPPER(B_Drainage!$C$5:$C$204))),"")</f>
        <v/>
      </c>
      <c r="Q90" s="181" t="str">
        <f>IFERROR(LOOKUP(2,1/((B_Drainage!$A$5:$A$204&lt;&gt;"")*(B_Drainage!$A$5:$A$204&lt;=$B90)*(B_Drainage!$B$5:$B$204&gt;$B90)*(B_Drainage!$D$5:$D$204&lt;&gt;"")),IF(B_Drainage!$D$5:$D$204="-","",UPPER(B_Drainage!$D$5:$D$204))),"")</f>
        <v/>
      </c>
      <c r="R90" s="182" t="str">
        <f>IFERROR(LOOKUP(2,1/((D_Points!$A$5:$A$204&lt;&gt;"")*(D_Points!$A$5:$A$204&gt;=$B90)*(D_Points!$A$5:$A$204&lt;$B90+P_Interval)*(RIGHT(UPPER(TRIM(D_Points!$B$5:$B$204)),8)="_CULVERT")),IF(LEFT(UPPER(TRIM(D_Points!$B$5:$B$204)),2)="EX",1,IF(LEFT(UPPER(TRIM(D_Points!$B$5:$B$204)),2)="PR",2,3))),"")</f>
        <v/>
      </c>
      <c r="S90" s="182" t="str">
        <f>IFERROR(LOOKUP(2,1/((D_Points!$A$5:$A$204&lt;&gt;"")*(D_Points!$A$5:$A$204&gt;=$B90)*(D_Points!$A$5:$A$204&lt;$B90+P_Interval)*(RIGHT(UPPER(TRIM(D_Points!$B$5:$B$204)),7)="_BRIDGE")),IF(LEFT(UPPER(TRIM(D_Points!$B$5:$B$204)),2)="EX",1,IF(LEFT(UPPER(TRIM(D_Points!$B$5:$B$204)),2)="PR",2,2))),"")</f>
        <v/>
      </c>
      <c r="T90" s="181" t="str">
        <f>IFERROR(LOOKUP(2,1/((B_Drainage!$A$5:$A$204&lt;&gt;"")*(B_Drainage!$A$5:$A$204&lt;=$B90)*(B_Drainage!$B$5:$B$204&gt;$B90)*(B_Drainage!$E$5:$E$204&lt;&gt;"")),IF(B_Drainage!$E$5:$E$204="-","",1)),"")</f>
        <v/>
      </c>
      <c r="U90" s="181" t="str">
        <f>IFERROR(LOOKUP(2,1/((B_Drainage!$A$5:$A$204&lt;&gt;"")*(B_Drainage!$A$5:$A$204&lt;=$B90)*(B_Drainage!$B$5:$B$204&gt;$B90)*(B_Drainage!$E$5:$E$204&lt;&gt;"")),IF(B_Drainage!$E$5:$E$204="-","",B_Drainage!$E$5:$E$204)),"")</f>
        <v/>
      </c>
      <c r="V90" s="181" t="str">
        <f>IFERROR(LOOKUP(2,1/((B_Drainage!$A$5:$A$204&lt;&gt;"")*(B_Drainage!$A$5:$A$204&lt;=$B90)*(B_Drainage!$B$5:$B$204&gt;$B90)*(B_Drainage!$F$5:$F$204&lt;&gt;"")),IF(B_Drainage!$F$5:$F$204="-","",1)),"")</f>
        <v/>
      </c>
      <c r="W90" s="181" t="str">
        <f>IFERROR(LOOKUP(2,1/((B_Drainage!$A$5:$A$204&lt;&gt;"")*(B_Drainage!$A$5:$A$204&lt;=$B90)*(B_Drainage!$B$5:$B$204&gt;$B90)*(B_Drainage!$F$5:$F$204&lt;&gt;"")),IF(B_Drainage!$F$5:$F$204="-","",B_Drainage!$F$5:$F$204)),"")</f>
        <v/>
      </c>
      <c r="X90" s="181" t="str">
        <f>IFERROR(LOOKUP(2,1/((B_Drainage!$A$5:$A$204&lt;&gt;"")*(B_Drainage!$A$5:$A$204&lt;=$B90)*(B_Drainage!$B$5:$B$204&gt;$B90)*(B_Drainage!$G$5:$G$204&lt;&gt;"")),IF(UPPER(B_Drainage!$G$5:$G$204)="Y",1,"")),"")</f>
        <v/>
      </c>
      <c r="Y90" s="181" t="str">
        <f>IFERROR(LOOKUP(2,1/((B_Drainage!$A$5:$A$204&lt;&gt;"")*(B_Drainage!$A$5:$A$204&lt;=$B90)*(B_Drainage!$B$5:$B$204&gt;$B90)*(B_Drainage!$H$5:$H$204&lt;&gt;"")),IF(UPPER(B_Drainage!$H$5:$H$204)="Y",1,"")),"")</f>
        <v/>
      </c>
      <c r="Z90" s="181" t="str">
        <f>IFERROR(LOOKUP(2,1/((B_Drainage!$A$5:$A$204&lt;&gt;"")*(B_Drainage!$A$5:$A$204&lt;=$B90)*(B_Drainage!$B$5:$B$204&gt;$B90)*(B_Drainage!$I$5:$I$204&lt;&gt;"")),IF(UPPER(B_Drainage!$I$5:$I$204)="Y",1,"")),"")</f>
        <v/>
      </c>
      <c r="AA90" s="181" t="str">
        <f>IFERROR(LOOKUP(2,1/((B_Drainage!$A$5:$A$204&lt;&gt;"")*(B_Drainage!$A$5:$A$204&lt;=$B90)*(B_Drainage!$B$5:$B$204&gt;$B90)*(B_Drainage!$J$5:$J$204&lt;&gt;"")),IF(UPPER(B_Drainage!$J$5:$J$204)="Y",1,"")),"")</f>
        <v/>
      </c>
      <c r="AB90" s="182" t="str">
        <f>IFERROR(LOOKUP(2,1/((B_Drainage!$A$5:$A$204&lt;&gt;"")*(B_Drainage!$A$5:$A$204&lt;=$B90)*(B_Drainage!$B$5:$B$204&gt;$B90)*(B_Drainage!$K$5:$K$204&lt;&gt;"")),IF(B_Drainage!$K$5:$K$204="-","",B_Drainage!$K$5:$K$204)),"")</f>
        <v/>
      </c>
      <c r="AC90" s="182" t="str">
        <f>IFERROR(LOOKUP(2,1/((B_Drainage!$A$5:$A$204&lt;&gt;"")*(B_Drainage!$A$5:$A$204&lt;=$B90)*(B_Drainage!$B$5:$B$204&gt;$B90)*(B_Drainage!$L$5:$L$204&lt;&gt;"")),IF(B_Drainage!$L$5:$L$204="-","",B_Drainage!$L$5:$L$204)),"")</f>
        <v/>
      </c>
      <c r="AD90" s="182" t="str">
        <f>IFERROR(LOOKUP(2,1/((D_Points!$A$5:$A$204&lt;&gt;"")*(D_Points!$A$5:$A$204&gt;=$B90)*(D_Points!$A$5:$A$204&lt;$B90+P_Interval)*(UPPER(TRIM(D_Points!$B$5:$B$204))="TURNOUT_L")*(D_Points!$H$5:$H$204&lt;&gt;"")),D_Points!$H$5:$H$204),"")</f>
        <v/>
      </c>
      <c r="AE90" s="182" t="str">
        <f>IFERROR(LOOKUP(2,1/((D_Points!$A$5:$A$204&lt;&gt;"")*(D_Points!$A$5:$A$204&gt;=$B90)*(D_Points!$A$5:$A$204&lt;$B90+P_Interval)*(UPPER(TRIM(D_Points!$B$5:$B$204))="TURNOUT_R")*(D_Points!$H$5:$H$204&lt;&gt;"")),D_Points!$H$5:$H$204),"")</f>
        <v/>
      </c>
      <c r="AF90" s="181" t="str">
        <f>IFERROR(LOOKUP(2,1/((B_Drainage!$A$5:$A$204&lt;&gt;"")*(B_Drainage!$A$5:$A$204&lt;=$B90)*(B_Drainage!$B$5:$B$204&gt;$B90)*(B_Drainage!$M$5:$M$204&lt;&gt;"")),IF(UPPER(B_Drainage!$M$5:$M$204)="Y",1,"")),"")</f>
        <v/>
      </c>
      <c r="AG90" s="181" t="str">
        <f>IFERROR(LOOKUP(2,1/((B_Drainage!$A$5:$A$204&lt;&gt;"")*(B_Drainage!$A$5:$A$204&lt;=$B90)*(B_Drainage!$B$5:$B$204&gt;$B90)*(B_Drainage!$N$5:$N$204&lt;&gt;"")),IF(UPPER(B_Drainage!$N$5:$N$204)="Y",1,"")),"")</f>
        <v/>
      </c>
      <c r="AH90" s="181" t="str">
        <f t="shared" si="8"/>
        <v/>
      </c>
      <c r="AI90" s="181" t="str">
        <f t="shared" si="9"/>
        <v/>
      </c>
      <c r="AJ90" s="181" t="str">
        <f t="shared" si="10"/>
        <v/>
      </c>
      <c r="AK90" s="181" t="str">
        <f t="shared" si="11"/>
        <v/>
      </c>
      <c r="AL90" s="181" t="str">
        <f t="shared" si="12"/>
        <v/>
      </c>
      <c r="AM90" s="181" t="str">
        <f t="shared" si="13"/>
        <v/>
      </c>
      <c r="AN90" s="181" t="str">
        <f t="shared" si="14"/>
        <v/>
      </c>
      <c r="AO90" s="192" t="str">
        <f t="shared" si="15"/>
        <v/>
      </c>
      <c r="AQ90" t="str">
        <f>IFERROR(LOOKUP(2,1/((C_Pavement!$A$5:$A$204&lt;&gt;"")*(C_Pavement!$A$5:$A$204&lt;=$B90)*(C_Pavement!$B$5:$B$204&gt;$B90)*(C_Pavement!$C$5:$C$204&lt;&gt;"")),ROW(C_Pavement!$C$5:$C$204)-4),"")</f>
        <v/>
      </c>
      <c r="AR90" t="str">
        <f>IF($AQ90="","",UPPER(TRIM(INDEX(C_Pavement!$C$5:$C$204,$AQ90))))</f>
        <v/>
      </c>
      <c r="AS90" t="str">
        <f>IF($AR90="","",IFERROR(MATCH($AR90,E_Rules!$A$5:$A$9,0),""))</f>
        <v/>
      </c>
      <c r="AT90" t="str">
        <f>IF($AQ90="","",IF(INDEX(C_Pavement!$D$5:$D$204,$AQ90)&lt;&gt;"",UPPER(TRIM(INDEX(C_Pavement!$D$5:$D$204,$AQ90))),IF($AS90="","",INDEX(E_Rules!$C$5:$C$9,$AS90))))</f>
        <v/>
      </c>
      <c r="AU90" t="str">
        <f>IF($AQ90="","",IF(INDEX(C_Pavement!$E$5:$E$204,$AQ90)&lt;&gt;"",IF(INDEX(C_Pavement!$E$5:$E$204,$AQ90)="-","",INDEX(C_Pavement!$E$5:$E$204,$AQ90)),IF($AS90="","",INDEX(E_Rules!$D$5:$D$9,$AS90))))</f>
        <v/>
      </c>
      <c r="AV90" t="str">
        <f>IF($AQ90="","",IF(INDEX(C_Pavement!$F$5:$F$204,$AQ90)&lt;&gt;"",IF(INDEX(C_Pavement!$F$5:$F$204,$AQ90)="-","",INDEX(C_Pavement!$F$5:$F$204,$AQ90)),IF($AS90="","",INDEX(E_Rules!$E$5:$E$9,$AS90))))</f>
        <v/>
      </c>
      <c r="AW90" t="str">
        <f>IF($AQ90="","",IF(INDEX(C_Pavement!$G$5:$G$204,$AQ90)&lt;&gt;"",IF(INDEX(C_Pavement!$G$5:$G$204,$AQ90)="-","",INDEX(C_Pavement!$G$5:$G$204,$AQ90)),IF($AS90="","",INDEX(E_Rules!$F$5:$F$9,$AS90))))</f>
        <v/>
      </c>
      <c r="AX90" t="str">
        <f>IF($AQ90="","",IF(INDEX(C_Pavement!$H$5:$H$204,$AQ90)&lt;&gt;"",IF(INDEX(C_Pavement!$H$5:$H$204,$AQ90)="-","",INDEX(C_Pavement!$H$5:$H$204,$AQ90)),IF($AS90="","",INDEX(E_Rules!$G$5:$G$9,$AS90))))</f>
        <v/>
      </c>
      <c r="AY90" t="str">
        <f>IF($AQ90="","",IF(INDEX(C_Pavement!$I$5:$I$204,$AQ90)&lt;&gt;"",IF(INDEX(C_Pavement!$I$5:$I$204,$AQ90)="-","",INDEX(C_Pavement!$I$5:$I$204,$AQ90)),IF($AS90="","",INDEX(E_Rules!$H$5:$H$9,$AS90))))</f>
        <v/>
      </c>
    </row>
    <row r="91" spans="1:51" ht="15.75" customHeight="1" x14ac:dyDescent="0.3">
      <c r="A91" s="189">
        <v>86</v>
      </c>
      <c r="B91" s="180">
        <v>4250</v>
      </c>
      <c r="C91" s="180" t="s">
        <v>397</v>
      </c>
      <c r="D91" s="181" t="str">
        <f>IFERROR(LOOKUP(2,1/((A_Corridor!$A$5:$A$204&lt;&gt;"")*(A_Corridor!$A$5:$A$204&lt;=$B91)*(A_Corridor!$B$5:$B$204&gt;$B91)*(A_Corridor!$C$5:$C$204&lt;&gt;"")),IF(UPPER(A_Corridor!$C$5:$C$204)="Y",1,"")),"")</f>
        <v/>
      </c>
      <c r="E91" s="181" t="str">
        <f>IFERROR(LOOKUP(2,1/((A_Corridor!$A$5:$A$204&lt;&gt;"")*(A_Corridor!$A$5:$A$204&lt;=$B91)*(A_Corridor!$B$5:$B$204&gt;$B91)*(A_Corridor!$D$5:$D$204&lt;&gt;"")),IF(A_Corridor!$D$5:$D$204="-","",UPPER(A_Corridor!$D$5:$D$204))),"")</f>
        <v/>
      </c>
      <c r="F91" s="181" t="str">
        <f>IFERROR(LOOKUP(2,1/((A_Corridor!$A$5:$A$204&lt;&gt;"")*(A_Corridor!$A$5:$A$204&lt;=$B91)*(A_Corridor!$B$5:$B$204&gt;$B91)*(A_Corridor!$E$5:$E$204&lt;&gt;"")),IF(A_Corridor!$E$5:$E$204="-","",1)),"")</f>
        <v/>
      </c>
      <c r="G91" s="182" t="str">
        <f>IFERROR(LOOKUP(2,1/((A_Corridor!$A$5:$A$204&lt;&gt;"")*(A_Corridor!$A$5:$A$204&lt;=$B91)*(A_Corridor!$B$5:$B$204&gt;$B91)*(A_Corridor!$E$5:$E$204&lt;&gt;"")),IF(A_Corridor!$E$5:$E$204="-","",A_Corridor!$E$5:$E$204)),"")</f>
        <v/>
      </c>
      <c r="H91" s="182" t="str">
        <f>IFERROR(LOOKUP(2,1/((D_Points!$A$5:$A$204&lt;&gt;"")*(D_Points!$A$5:$A$204&gt;=$B91)*(D_Points!$A$5:$A$204&lt;$B91+P_Interval)*(UPPER(TRIM(D_Points!$B$5:$B$204))="GULLY")*(D_Points!$H$5:$H$204&lt;&gt;"")),D_Points!$H$5:$H$204),"")</f>
        <v/>
      </c>
      <c r="I91" s="181" t="str">
        <f>IFERROR(LOOKUP(2,1/((A_Corridor!$A$5:$A$204&lt;&gt;"")*(A_Corridor!$A$5:$A$204&lt;=$B91)*(A_Corridor!$B$5:$B$204&gt;$B91)*(A_Corridor!$F$5:$F$204&lt;&gt;"")),IF(A_Corridor!$F$5:$F$204="-","",1)),"")</f>
        <v/>
      </c>
      <c r="J91" s="182" t="str">
        <f>IFERROR(LOOKUP(2,1/((A_Corridor!$A$5:$A$204&lt;&gt;"")*(A_Corridor!$A$5:$A$204&lt;=$B91)*(A_Corridor!$B$5:$B$204&gt;$B91)*(A_Corridor!$F$5:$F$204&lt;&gt;"")),IF(A_Corridor!$F$5:$F$204="-","",A_Corridor!$F$5:$F$204)),"")</f>
        <v/>
      </c>
      <c r="K91" s="182" t="str">
        <f>IFERROR(LOOKUP(2,1/((A_Corridor!$A$5:$A$204&lt;&gt;"")*(A_Corridor!$A$5:$A$204&lt;=$B91)*(A_Corridor!$B$5:$B$204&gt;$B91)*(A_Corridor!$G$5:$G$204&lt;&gt;"")),IF(A_Corridor!$G$5:$G$204="-","",A_Corridor!$G$5:$G$204)),"")</f>
        <v/>
      </c>
      <c r="L91" s="181" t="str">
        <f>IFERROR(LOOKUP(2,1/((A_Corridor!$A$5:$A$204&lt;&gt;"")*(A_Corridor!$A$5:$A$204&lt;=$B91)*(A_Corridor!$B$5:$B$204&gt;$B91)*(A_Corridor!$H$5:$H$204&lt;&gt;"")),IF(A_Corridor!$H$5:$H$204="-","",1)),"")</f>
        <v/>
      </c>
      <c r="M91" s="182" t="str">
        <f>IFERROR(LOOKUP(2,1/((A_Corridor!$A$5:$A$204&lt;&gt;"")*(A_Corridor!$A$5:$A$204&lt;=$B91)*(A_Corridor!$B$5:$B$204&gt;$B91)*(A_Corridor!$H$5:$H$204&lt;&gt;"")),IF(A_Corridor!$H$5:$H$204="-","",A_Corridor!$H$5:$H$204)),"")</f>
        <v/>
      </c>
      <c r="N91" s="182" t="str">
        <f>IFERROR(LOOKUP(2,1/((A_Corridor!$A$5:$A$204&lt;&gt;"")*(A_Corridor!$A$5:$A$204&lt;=$B91)*(A_Corridor!$B$5:$B$204&gt;$B91)*(A_Corridor!$I$5:$I$204&lt;&gt;"")),IF(A_Corridor!$I$5:$I$204="-","",A_Corridor!$I$5:$I$204)),"")</f>
        <v/>
      </c>
      <c r="O91" s="182" t="str">
        <f>IFERROR(LOOKUP(2,1/((D_Points!$A$5:$A$204&lt;&gt;"")*(D_Points!$A$5:$A$204&gt;=$B91)*(D_Points!$A$5:$A$204&lt;$B91+P_Interval)*(UPPER(TRIM(D_Points!$B$5:$B$204))="PITCHING")*(D_Points!$H$5:$H$204&lt;&gt;"")),D_Points!$H$5:$H$204),"")</f>
        <v/>
      </c>
      <c r="P91" s="181" t="str">
        <f>IFERROR(LOOKUP(2,1/((B_Drainage!$A$5:$A$204&lt;&gt;"")*(B_Drainage!$A$5:$A$204&lt;=$B91)*(B_Drainage!$B$5:$B$204&gt;$B91)*(B_Drainage!$C$5:$C$204&lt;&gt;"")),IF(B_Drainage!$C$5:$C$204="-","",UPPER(B_Drainage!$C$5:$C$204))),"")</f>
        <v/>
      </c>
      <c r="Q91" s="181" t="str">
        <f>IFERROR(LOOKUP(2,1/((B_Drainage!$A$5:$A$204&lt;&gt;"")*(B_Drainage!$A$5:$A$204&lt;=$B91)*(B_Drainage!$B$5:$B$204&gt;$B91)*(B_Drainage!$D$5:$D$204&lt;&gt;"")),IF(B_Drainage!$D$5:$D$204="-","",UPPER(B_Drainage!$D$5:$D$204))),"")</f>
        <v/>
      </c>
      <c r="R91" s="182" t="str">
        <f>IFERROR(LOOKUP(2,1/((D_Points!$A$5:$A$204&lt;&gt;"")*(D_Points!$A$5:$A$204&gt;=$B91)*(D_Points!$A$5:$A$204&lt;$B91+P_Interval)*(RIGHT(UPPER(TRIM(D_Points!$B$5:$B$204)),8)="_CULVERT")),IF(LEFT(UPPER(TRIM(D_Points!$B$5:$B$204)),2)="EX",1,IF(LEFT(UPPER(TRIM(D_Points!$B$5:$B$204)),2)="PR",2,3))),"")</f>
        <v/>
      </c>
      <c r="S91" s="182" t="str">
        <f>IFERROR(LOOKUP(2,1/((D_Points!$A$5:$A$204&lt;&gt;"")*(D_Points!$A$5:$A$204&gt;=$B91)*(D_Points!$A$5:$A$204&lt;$B91+P_Interval)*(RIGHT(UPPER(TRIM(D_Points!$B$5:$B$204)),7)="_BRIDGE")),IF(LEFT(UPPER(TRIM(D_Points!$B$5:$B$204)),2)="EX",1,IF(LEFT(UPPER(TRIM(D_Points!$B$5:$B$204)),2)="PR",2,2))),"")</f>
        <v/>
      </c>
      <c r="T91" s="181" t="str">
        <f>IFERROR(LOOKUP(2,1/((B_Drainage!$A$5:$A$204&lt;&gt;"")*(B_Drainage!$A$5:$A$204&lt;=$B91)*(B_Drainage!$B$5:$B$204&gt;$B91)*(B_Drainage!$E$5:$E$204&lt;&gt;"")),IF(B_Drainage!$E$5:$E$204="-","",1)),"")</f>
        <v/>
      </c>
      <c r="U91" s="181" t="str">
        <f>IFERROR(LOOKUP(2,1/((B_Drainage!$A$5:$A$204&lt;&gt;"")*(B_Drainage!$A$5:$A$204&lt;=$B91)*(B_Drainage!$B$5:$B$204&gt;$B91)*(B_Drainage!$E$5:$E$204&lt;&gt;"")),IF(B_Drainage!$E$5:$E$204="-","",B_Drainage!$E$5:$E$204)),"")</f>
        <v/>
      </c>
      <c r="V91" s="181" t="str">
        <f>IFERROR(LOOKUP(2,1/((B_Drainage!$A$5:$A$204&lt;&gt;"")*(B_Drainage!$A$5:$A$204&lt;=$B91)*(B_Drainage!$B$5:$B$204&gt;$B91)*(B_Drainage!$F$5:$F$204&lt;&gt;"")),IF(B_Drainage!$F$5:$F$204="-","",1)),"")</f>
        <v/>
      </c>
      <c r="W91" s="181" t="str">
        <f>IFERROR(LOOKUP(2,1/((B_Drainage!$A$5:$A$204&lt;&gt;"")*(B_Drainage!$A$5:$A$204&lt;=$B91)*(B_Drainage!$B$5:$B$204&gt;$B91)*(B_Drainage!$F$5:$F$204&lt;&gt;"")),IF(B_Drainage!$F$5:$F$204="-","",B_Drainage!$F$5:$F$204)),"")</f>
        <v/>
      </c>
      <c r="X91" s="181" t="str">
        <f>IFERROR(LOOKUP(2,1/((B_Drainage!$A$5:$A$204&lt;&gt;"")*(B_Drainage!$A$5:$A$204&lt;=$B91)*(B_Drainage!$B$5:$B$204&gt;$B91)*(B_Drainage!$G$5:$G$204&lt;&gt;"")),IF(UPPER(B_Drainage!$G$5:$G$204)="Y",1,"")),"")</f>
        <v/>
      </c>
      <c r="Y91" s="181" t="str">
        <f>IFERROR(LOOKUP(2,1/((B_Drainage!$A$5:$A$204&lt;&gt;"")*(B_Drainage!$A$5:$A$204&lt;=$B91)*(B_Drainage!$B$5:$B$204&gt;$B91)*(B_Drainage!$H$5:$H$204&lt;&gt;"")),IF(UPPER(B_Drainage!$H$5:$H$204)="Y",1,"")),"")</f>
        <v/>
      </c>
      <c r="Z91" s="181" t="str">
        <f>IFERROR(LOOKUP(2,1/((B_Drainage!$A$5:$A$204&lt;&gt;"")*(B_Drainage!$A$5:$A$204&lt;=$B91)*(B_Drainage!$B$5:$B$204&gt;$B91)*(B_Drainage!$I$5:$I$204&lt;&gt;"")),IF(UPPER(B_Drainage!$I$5:$I$204)="Y",1,"")),"")</f>
        <v/>
      </c>
      <c r="AA91" s="181" t="str">
        <f>IFERROR(LOOKUP(2,1/((B_Drainage!$A$5:$A$204&lt;&gt;"")*(B_Drainage!$A$5:$A$204&lt;=$B91)*(B_Drainage!$B$5:$B$204&gt;$B91)*(B_Drainage!$J$5:$J$204&lt;&gt;"")),IF(UPPER(B_Drainage!$J$5:$J$204)="Y",1,"")),"")</f>
        <v/>
      </c>
      <c r="AB91" s="182" t="str">
        <f>IFERROR(LOOKUP(2,1/((B_Drainage!$A$5:$A$204&lt;&gt;"")*(B_Drainage!$A$5:$A$204&lt;=$B91)*(B_Drainage!$B$5:$B$204&gt;$B91)*(B_Drainage!$K$5:$K$204&lt;&gt;"")),IF(B_Drainage!$K$5:$K$204="-","",B_Drainage!$K$5:$K$204)),"")</f>
        <v/>
      </c>
      <c r="AC91" s="182" t="str">
        <f>IFERROR(LOOKUP(2,1/((B_Drainage!$A$5:$A$204&lt;&gt;"")*(B_Drainage!$A$5:$A$204&lt;=$B91)*(B_Drainage!$B$5:$B$204&gt;$B91)*(B_Drainage!$L$5:$L$204&lt;&gt;"")),IF(B_Drainage!$L$5:$L$204="-","",B_Drainage!$L$5:$L$204)),"")</f>
        <v/>
      </c>
      <c r="AD91" s="182" t="str">
        <f>IFERROR(LOOKUP(2,1/((D_Points!$A$5:$A$204&lt;&gt;"")*(D_Points!$A$5:$A$204&gt;=$B91)*(D_Points!$A$5:$A$204&lt;$B91+P_Interval)*(UPPER(TRIM(D_Points!$B$5:$B$204))="TURNOUT_L")*(D_Points!$H$5:$H$204&lt;&gt;"")),D_Points!$H$5:$H$204),"")</f>
        <v/>
      </c>
      <c r="AE91" s="182" t="str">
        <f>IFERROR(LOOKUP(2,1/((D_Points!$A$5:$A$204&lt;&gt;"")*(D_Points!$A$5:$A$204&gt;=$B91)*(D_Points!$A$5:$A$204&lt;$B91+P_Interval)*(UPPER(TRIM(D_Points!$B$5:$B$204))="TURNOUT_R")*(D_Points!$H$5:$H$204&lt;&gt;"")),D_Points!$H$5:$H$204),"")</f>
        <v/>
      </c>
      <c r="AF91" s="181" t="str">
        <f>IFERROR(LOOKUP(2,1/((B_Drainage!$A$5:$A$204&lt;&gt;"")*(B_Drainage!$A$5:$A$204&lt;=$B91)*(B_Drainage!$B$5:$B$204&gt;$B91)*(B_Drainage!$M$5:$M$204&lt;&gt;"")),IF(UPPER(B_Drainage!$M$5:$M$204)="Y",1,"")),"")</f>
        <v/>
      </c>
      <c r="AG91" s="181" t="str">
        <f>IFERROR(LOOKUP(2,1/((B_Drainage!$A$5:$A$204&lt;&gt;"")*(B_Drainage!$A$5:$A$204&lt;=$B91)*(B_Drainage!$B$5:$B$204&gt;$B91)*(B_Drainage!$N$5:$N$204&lt;&gt;"")),IF(UPPER(B_Drainage!$N$5:$N$204)="Y",1,"")),"")</f>
        <v/>
      </c>
      <c r="AH91" s="181" t="str">
        <f t="shared" si="8"/>
        <v/>
      </c>
      <c r="AI91" s="181" t="str">
        <f t="shared" si="9"/>
        <v/>
      </c>
      <c r="AJ91" s="181" t="str">
        <f t="shared" si="10"/>
        <v/>
      </c>
      <c r="AK91" s="181" t="str">
        <f t="shared" si="11"/>
        <v/>
      </c>
      <c r="AL91" s="181" t="str">
        <f t="shared" si="12"/>
        <v/>
      </c>
      <c r="AM91" s="181" t="str">
        <f t="shared" si="13"/>
        <v/>
      </c>
      <c r="AN91" s="181" t="str">
        <f t="shared" si="14"/>
        <v/>
      </c>
      <c r="AO91" s="192" t="str">
        <f t="shared" si="15"/>
        <v/>
      </c>
      <c r="AQ91" t="str">
        <f>IFERROR(LOOKUP(2,1/((C_Pavement!$A$5:$A$204&lt;&gt;"")*(C_Pavement!$A$5:$A$204&lt;=$B91)*(C_Pavement!$B$5:$B$204&gt;$B91)*(C_Pavement!$C$5:$C$204&lt;&gt;"")),ROW(C_Pavement!$C$5:$C$204)-4),"")</f>
        <v/>
      </c>
      <c r="AR91" t="str">
        <f>IF($AQ91="","",UPPER(TRIM(INDEX(C_Pavement!$C$5:$C$204,$AQ91))))</f>
        <v/>
      </c>
      <c r="AS91" t="str">
        <f>IF($AR91="","",IFERROR(MATCH($AR91,E_Rules!$A$5:$A$9,0),""))</f>
        <v/>
      </c>
      <c r="AT91" t="str">
        <f>IF($AQ91="","",IF(INDEX(C_Pavement!$D$5:$D$204,$AQ91)&lt;&gt;"",UPPER(TRIM(INDEX(C_Pavement!$D$5:$D$204,$AQ91))),IF($AS91="","",INDEX(E_Rules!$C$5:$C$9,$AS91))))</f>
        <v/>
      </c>
      <c r="AU91" t="str">
        <f>IF($AQ91="","",IF(INDEX(C_Pavement!$E$5:$E$204,$AQ91)&lt;&gt;"",IF(INDEX(C_Pavement!$E$5:$E$204,$AQ91)="-","",INDEX(C_Pavement!$E$5:$E$204,$AQ91)),IF($AS91="","",INDEX(E_Rules!$D$5:$D$9,$AS91))))</f>
        <v/>
      </c>
      <c r="AV91" t="str">
        <f>IF($AQ91="","",IF(INDEX(C_Pavement!$F$5:$F$204,$AQ91)&lt;&gt;"",IF(INDEX(C_Pavement!$F$5:$F$204,$AQ91)="-","",INDEX(C_Pavement!$F$5:$F$204,$AQ91)),IF($AS91="","",INDEX(E_Rules!$E$5:$E$9,$AS91))))</f>
        <v/>
      </c>
      <c r="AW91" t="str">
        <f>IF($AQ91="","",IF(INDEX(C_Pavement!$G$5:$G$204,$AQ91)&lt;&gt;"",IF(INDEX(C_Pavement!$G$5:$G$204,$AQ91)="-","",INDEX(C_Pavement!$G$5:$G$204,$AQ91)),IF($AS91="","",INDEX(E_Rules!$F$5:$F$9,$AS91))))</f>
        <v/>
      </c>
      <c r="AX91" t="str">
        <f>IF($AQ91="","",IF(INDEX(C_Pavement!$H$5:$H$204,$AQ91)&lt;&gt;"",IF(INDEX(C_Pavement!$H$5:$H$204,$AQ91)="-","",INDEX(C_Pavement!$H$5:$H$204,$AQ91)),IF($AS91="","",INDEX(E_Rules!$G$5:$G$9,$AS91))))</f>
        <v/>
      </c>
      <c r="AY91" t="str">
        <f>IF($AQ91="","",IF(INDEX(C_Pavement!$I$5:$I$204,$AQ91)&lt;&gt;"",IF(INDEX(C_Pavement!$I$5:$I$204,$AQ91)="-","",INDEX(C_Pavement!$I$5:$I$204,$AQ91)),IF($AS91="","",INDEX(E_Rules!$H$5:$H$9,$AS91))))</f>
        <v/>
      </c>
    </row>
    <row r="92" spans="1:51" ht="15.75" customHeight="1" x14ac:dyDescent="0.3">
      <c r="A92" s="189">
        <v>87</v>
      </c>
      <c r="B92" s="180">
        <v>4300</v>
      </c>
      <c r="C92" s="180" t="s">
        <v>398</v>
      </c>
      <c r="D92" s="181" t="str">
        <f>IFERROR(LOOKUP(2,1/((A_Corridor!$A$5:$A$204&lt;&gt;"")*(A_Corridor!$A$5:$A$204&lt;=$B92)*(A_Corridor!$B$5:$B$204&gt;$B92)*(A_Corridor!$C$5:$C$204&lt;&gt;"")),IF(UPPER(A_Corridor!$C$5:$C$204)="Y",1,"")),"")</f>
        <v/>
      </c>
      <c r="E92" s="181" t="str">
        <f>IFERROR(LOOKUP(2,1/((A_Corridor!$A$5:$A$204&lt;&gt;"")*(A_Corridor!$A$5:$A$204&lt;=$B92)*(A_Corridor!$B$5:$B$204&gt;$B92)*(A_Corridor!$D$5:$D$204&lt;&gt;"")),IF(A_Corridor!$D$5:$D$204="-","",UPPER(A_Corridor!$D$5:$D$204))),"")</f>
        <v/>
      </c>
      <c r="F92" s="181" t="str">
        <f>IFERROR(LOOKUP(2,1/((A_Corridor!$A$5:$A$204&lt;&gt;"")*(A_Corridor!$A$5:$A$204&lt;=$B92)*(A_Corridor!$B$5:$B$204&gt;$B92)*(A_Corridor!$E$5:$E$204&lt;&gt;"")),IF(A_Corridor!$E$5:$E$204="-","",1)),"")</f>
        <v/>
      </c>
      <c r="G92" s="182" t="str">
        <f>IFERROR(LOOKUP(2,1/((A_Corridor!$A$5:$A$204&lt;&gt;"")*(A_Corridor!$A$5:$A$204&lt;=$B92)*(A_Corridor!$B$5:$B$204&gt;$B92)*(A_Corridor!$E$5:$E$204&lt;&gt;"")),IF(A_Corridor!$E$5:$E$204="-","",A_Corridor!$E$5:$E$204)),"")</f>
        <v/>
      </c>
      <c r="H92" s="182" t="str">
        <f>IFERROR(LOOKUP(2,1/((D_Points!$A$5:$A$204&lt;&gt;"")*(D_Points!$A$5:$A$204&gt;=$B92)*(D_Points!$A$5:$A$204&lt;$B92+P_Interval)*(UPPER(TRIM(D_Points!$B$5:$B$204))="GULLY")*(D_Points!$H$5:$H$204&lt;&gt;"")),D_Points!$H$5:$H$204),"")</f>
        <v/>
      </c>
      <c r="I92" s="181" t="str">
        <f>IFERROR(LOOKUP(2,1/((A_Corridor!$A$5:$A$204&lt;&gt;"")*(A_Corridor!$A$5:$A$204&lt;=$B92)*(A_Corridor!$B$5:$B$204&gt;$B92)*(A_Corridor!$F$5:$F$204&lt;&gt;"")),IF(A_Corridor!$F$5:$F$204="-","",1)),"")</f>
        <v/>
      </c>
      <c r="J92" s="182" t="str">
        <f>IFERROR(LOOKUP(2,1/((A_Corridor!$A$5:$A$204&lt;&gt;"")*(A_Corridor!$A$5:$A$204&lt;=$B92)*(A_Corridor!$B$5:$B$204&gt;$B92)*(A_Corridor!$F$5:$F$204&lt;&gt;"")),IF(A_Corridor!$F$5:$F$204="-","",A_Corridor!$F$5:$F$204)),"")</f>
        <v/>
      </c>
      <c r="K92" s="182" t="str">
        <f>IFERROR(LOOKUP(2,1/((A_Corridor!$A$5:$A$204&lt;&gt;"")*(A_Corridor!$A$5:$A$204&lt;=$B92)*(A_Corridor!$B$5:$B$204&gt;$B92)*(A_Corridor!$G$5:$G$204&lt;&gt;"")),IF(A_Corridor!$G$5:$G$204="-","",A_Corridor!$G$5:$G$204)),"")</f>
        <v/>
      </c>
      <c r="L92" s="181" t="str">
        <f>IFERROR(LOOKUP(2,1/((A_Corridor!$A$5:$A$204&lt;&gt;"")*(A_Corridor!$A$5:$A$204&lt;=$B92)*(A_Corridor!$B$5:$B$204&gt;$B92)*(A_Corridor!$H$5:$H$204&lt;&gt;"")),IF(A_Corridor!$H$5:$H$204="-","",1)),"")</f>
        <v/>
      </c>
      <c r="M92" s="182" t="str">
        <f>IFERROR(LOOKUP(2,1/((A_Corridor!$A$5:$A$204&lt;&gt;"")*(A_Corridor!$A$5:$A$204&lt;=$B92)*(A_Corridor!$B$5:$B$204&gt;$B92)*(A_Corridor!$H$5:$H$204&lt;&gt;"")),IF(A_Corridor!$H$5:$H$204="-","",A_Corridor!$H$5:$H$204)),"")</f>
        <v/>
      </c>
      <c r="N92" s="182" t="str">
        <f>IFERROR(LOOKUP(2,1/((A_Corridor!$A$5:$A$204&lt;&gt;"")*(A_Corridor!$A$5:$A$204&lt;=$B92)*(A_Corridor!$B$5:$B$204&gt;$B92)*(A_Corridor!$I$5:$I$204&lt;&gt;"")),IF(A_Corridor!$I$5:$I$204="-","",A_Corridor!$I$5:$I$204)),"")</f>
        <v/>
      </c>
      <c r="O92" s="182" t="str">
        <f>IFERROR(LOOKUP(2,1/((D_Points!$A$5:$A$204&lt;&gt;"")*(D_Points!$A$5:$A$204&gt;=$B92)*(D_Points!$A$5:$A$204&lt;$B92+P_Interval)*(UPPER(TRIM(D_Points!$B$5:$B$204))="PITCHING")*(D_Points!$H$5:$H$204&lt;&gt;"")),D_Points!$H$5:$H$204),"")</f>
        <v/>
      </c>
      <c r="P92" s="181" t="str">
        <f>IFERROR(LOOKUP(2,1/((B_Drainage!$A$5:$A$204&lt;&gt;"")*(B_Drainage!$A$5:$A$204&lt;=$B92)*(B_Drainage!$B$5:$B$204&gt;$B92)*(B_Drainage!$C$5:$C$204&lt;&gt;"")),IF(B_Drainage!$C$5:$C$204="-","",UPPER(B_Drainage!$C$5:$C$204))),"")</f>
        <v/>
      </c>
      <c r="Q92" s="181" t="str">
        <f>IFERROR(LOOKUP(2,1/((B_Drainage!$A$5:$A$204&lt;&gt;"")*(B_Drainage!$A$5:$A$204&lt;=$B92)*(B_Drainage!$B$5:$B$204&gt;$B92)*(B_Drainage!$D$5:$D$204&lt;&gt;"")),IF(B_Drainage!$D$5:$D$204="-","",UPPER(B_Drainage!$D$5:$D$204))),"")</f>
        <v/>
      </c>
      <c r="R92" s="182" t="str">
        <f>IFERROR(LOOKUP(2,1/((D_Points!$A$5:$A$204&lt;&gt;"")*(D_Points!$A$5:$A$204&gt;=$B92)*(D_Points!$A$5:$A$204&lt;$B92+P_Interval)*(RIGHT(UPPER(TRIM(D_Points!$B$5:$B$204)),8)="_CULVERT")),IF(LEFT(UPPER(TRIM(D_Points!$B$5:$B$204)),2)="EX",1,IF(LEFT(UPPER(TRIM(D_Points!$B$5:$B$204)),2)="PR",2,3))),"")</f>
        <v/>
      </c>
      <c r="S92" s="182" t="str">
        <f>IFERROR(LOOKUP(2,1/((D_Points!$A$5:$A$204&lt;&gt;"")*(D_Points!$A$5:$A$204&gt;=$B92)*(D_Points!$A$5:$A$204&lt;$B92+P_Interval)*(RIGHT(UPPER(TRIM(D_Points!$B$5:$B$204)),7)="_BRIDGE")),IF(LEFT(UPPER(TRIM(D_Points!$B$5:$B$204)),2)="EX",1,IF(LEFT(UPPER(TRIM(D_Points!$B$5:$B$204)),2)="PR",2,2))),"")</f>
        <v/>
      </c>
      <c r="T92" s="181" t="str">
        <f>IFERROR(LOOKUP(2,1/((B_Drainage!$A$5:$A$204&lt;&gt;"")*(B_Drainage!$A$5:$A$204&lt;=$B92)*(B_Drainage!$B$5:$B$204&gt;$B92)*(B_Drainage!$E$5:$E$204&lt;&gt;"")),IF(B_Drainage!$E$5:$E$204="-","",1)),"")</f>
        <v/>
      </c>
      <c r="U92" s="181" t="str">
        <f>IFERROR(LOOKUP(2,1/((B_Drainage!$A$5:$A$204&lt;&gt;"")*(B_Drainage!$A$5:$A$204&lt;=$B92)*(B_Drainage!$B$5:$B$204&gt;$B92)*(B_Drainage!$E$5:$E$204&lt;&gt;"")),IF(B_Drainage!$E$5:$E$204="-","",B_Drainage!$E$5:$E$204)),"")</f>
        <v/>
      </c>
      <c r="V92" s="181" t="str">
        <f>IFERROR(LOOKUP(2,1/((B_Drainage!$A$5:$A$204&lt;&gt;"")*(B_Drainage!$A$5:$A$204&lt;=$B92)*(B_Drainage!$B$5:$B$204&gt;$B92)*(B_Drainage!$F$5:$F$204&lt;&gt;"")),IF(B_Drainage!$F$5:$F$204="-","",1)),"")</f>
        <v/>
      </c>
      <c r="W92" s="181" t="str">
        <f>IFERROR(LOOKUP(2,1/((B_Drainage!$A$5:$A$204&lt;&gt;"")*(B_Drainage!$A$5:$A$204&lt;=$B92)*(B_Drainage!$B$5:$B$204&gt;$B92)*(B_Drainage!$F$5:$F$204&lt;&gt;"")),IF(B_Drainage!$F$5:$F$204="-","",B_Drainage!$F$5:$F$204)),"")</f>
        <v/>
      </c>
      <c r="X92" s="181" t="str">
        <f>IFERROR(LOOKUP(2,1/((B_Drainage!$A$5:$A$204&lt;&gt;"")*(B_Drainage!$A$5:$A$204&lt;=$B92)*(B_Drainage!$B$5:$B$204&gt;$B92)*(B_Drainage!$G$5:$G$204&lt;&gt;"")),IF(UPPER(B_Drainage!$G$5:$G$204)="Y",1,"")),"")</f>
        <v/>
      </c>
      <c r="Y92" s="181" t="str">
        <f>IFERROR(LOOKUP(2,1/((B_Drainage!$A$5:$A$204&lt;&gt;"")*(B_Drainage!$A$5:$A$204&lt;=$B92)*(B_Drainage!$B$5:$B$204&gt;$B92)*(B_Drainage!$H$5:$H$204&lt;&gt;"")),IF(UPPER(B_Drainage!$H$5:$H$204)="Y",1,"")),"")</f>
        <v/>
      </c>
      <c r="Z92" s="181" t="str">
        <f>IFERROR(LOOKUP(2,1/((B_Drainage!$A$5:$A$204&lt;&gt;"")*(B_Drainage!$A$5:$A$204&lt;=$B92)*(B_Drainage!$B$5:$B$204&gt;$B92)*(B_Drainage!$I$5:$I$204&lt;&gt;"")),IF(UPPER(B_Drainage!$I$5:$I$204)="Y",1,"")),"")</f>
        <v/>
      </c>
      <c r="AA92" s="181" t="str">
        <f>IFERROR(LOOKUP(2,1/((B_Drainage!$A$5:$A$204&lt;&gt;"")*(B_Drainage!$A$5:$A$204&lt;=$B92)*(B_Drainage!$B$5:$B$204&gt;$B92)*(B_Drainage!$J$5:$J$204&lt;&gt;"")),IF(UPPER(B_Drainage!$J$5:$J$204)="Y",1,"")),"")</f>
        <v/>
      </c>
      <c r="AB92" s="182" t="str">
        <f>IFERROR(LOOKUP(2,1/((B_Drainage!$A$5:$A$204&lt;&gt;"")*(B_Drainage!$A$5:$A$204&lt;=$B92)*(B_Drainage!$B$5:$B$204&gt;$B92)*(B_Drainage!$K$5:$K$204&lt;&gt;"")),IF(B_Drainage!$K$5:$K$204="-","",B_Drainage!$K$5:$K$204)),"")</f>
        <v/>
      </c>
      <c r="AC92" s="182" t="str">
        <f>IFERROR(LOOKUP(2,1/((B_Drainage!$A$5:$A$204&lt;&gt;"")*(B_Drainage!$A$5:$A$204&lt;=$B92)*(B_Drainage!$B$5:$B$204&gt;$B92)*(B_Drainage!$L$5:$L$204&lt;&gt;"")),IF(B_Drainage!$L$5:$L$204="-","",B_Drainage!$L$5:$L$204)),"")</f>
        <v/>
      </c>
      <c r="AD92" s="182" t="str">
        <f>IFERROR(LOOKUP(2,1/((D_Points!$A$5:$A$204&lt;&gt;"")*(D_Points!$A$5:$A$204&gt;=$B92)*(D_Points!$A$5:$A$204&lt;$B92+P_Interval)*(UPPER(TRIM(D_Points!$B$5:$B$204))="TURNOUT_L")*(D_Points!$H$5:$H$204&lt;&gt;"")),D_Points!$H$5:$H$204),"")</f>
        <v/>
      </c>
      <c r="AE92" s="182" t="str">
        <f>IFERROR(LOOKUP(2,1/((D_Points!$A$5:$A$204&lt;&gt;"")*(D_Points!$A$5:$A$204&gt;=$B92)*(D_Points!$A$5:$A$204&lt;$B92+P_Interval)*(UPPER(TRIM(D_Points!$B$5:$B$204))="TURNOUT_R")*(D_Points!$H$5:$H$204&lt;&gt;"")),D_Points!$H$5:$H$204),"")</f>
        <v/>
      </c>
      <c r="AF92" s="181" t="str">
        <f>IFERROR(LOOKUP(2,1/((B_Drainage!$A$5:$A$204&lt;&gt;"")*(B_Drainage!$A$5:$A$204&lt;=$B92)*(B_Drainage!$B$5:$B$204&gt;$B92)*(B_Drainage!$M$5:$M$204&lt;&gt;"")),IF(UPPER(B_Drainage!$M$5:$M$204)="Y",1,"")),"")</f>
        <v/>
      </c>
      <c r="AG92" s="181" t="str">
        <f>IFERROR(LOOKUP(2,1/((B_Drainage!$A$5:$A$204&lt;&gt;"")*(B_Drainage!$A$5:$A$204&lt;=$B92)*(B_Drainage!$B$5:$B$204&gt;$B92)*(B_Drainage!$N$5:$N$204&lt;&gt;"")),IF(UPPER(B_Drainage!$N$5:$N$204)="Y",1,"")),"")</f>
        <v/>
      </c>
      <c r="AH92" s="181" t="str">
        <f t="shared" si="8"/>
        <v/>
      </c>
      <c r="AI92" s="181" t="str">
        <f t="shared" si="9"/>
        <v/>
      </c>
      <c r="AJ92" s="181" t="str">
        <f t="shared" si="10"/>
        <v/>
      </c>
      <c r="AK92" s="181" t="str">
        <f t="shared" si="11"/>
        <v/>
      </c>
      <c r="AL92" s="181" t="str">
        <f t="shared" si="12"/>
        <v/>
      </c>
      <c r="AM92" s="181" t="str">
        <f t="shared" si="13"/>
        <v/>
      </c>
      <c r="AN92" s="181" t="str">
        <f t="shared" si="14"/>
        <v/>
      </c>
      <c r="AO92" s="192" t="str">
        <f t="shared" si="15"/>
        <v/>
      </c>
      <c r="AQ92" t="str">
        <f>IFERROR(LOOKUP(2,1/((C_Pavement!$A$5:$A$204&lt;&gt;"")*(C_Pavement!$A$5:$A$204&lt;=$B92)*(C_Pavement!$B$5:$B$204&gt;$B92)*(C_Pavement!$C$5:$C$204&lt;&gt;"")),ROW(C_Pavement!$C$5:$C$204)-4),"")</f>
        <v/>
      </c>
      <c r="AR92" t="str">
        <f>IF($AQ92="","",UPPER(TRIM(INDEX(C_Pavement!$C$5:$C$204,$AQ92))))</f>
        <v/>
      </c>
      <c r="AS92" t="str">
        <f>IF($AR92="","",IFERROR(MATCH($AR92,E_Rules!$A$5:$A$9,0),""))</f>
        <v/>
      </c>
      <c r="AT92" t="str">
        <f>IF($AQ92="","",IF(INDEX(C_Pavement!$D$5:$D$204,$AQ92)&lt;&gt;"",UPPER(TRIM(INDEX(C_Pavement!$D$5:$D$204,$AQ92))),IF($AS92="","",INDEX(E_Rules!$C$5:$C$9,$AS92))))</f>
        <v/>
      </c>
      <c r="AU92" t="str">
        <f>IF($AQ92="","",IF(INDEX(C_Pavement!$E$5:$E$204,$AQ92)&lt;&gt;"",IF(INDEX(C_Pavement!$E$5:$E$204,$AQ92)="-","",INDEX(C_Pavement!$E$5:$E$204,$AQ92)),IF($AS92="","",INDEX(E_Rules!$D$5:$D$9,$AS92))))</f>
        <v/>
      </c>
      <c r="AV92" t="str">
        <f>IF($AQ92="","",IF(INDEX(C_Pavement!$F$5:$F$204,$AQ92)&lt;&gt;"",IF(INDEX(C_Pavement!$F$5:$F$204,$AQ92)="-","",INDEX(C_Pavement!$F$5:$F$204,$AQ92)),IF($AS92="","",INDEX(E_Rules!$E$5:$E$9,$AS92))))</f>
        <v/>
      </c>
      <c r="AW92" t="str">
        <f>IF($AQ92="","",IF(INDEX(C_Pavement!$G$5:$G$204,$AQ92)&lt;&gt;"",IF(INDEX(C_Pavement!$G$5:$G$204,$AQ92)="-","",INDEX(C_Pavement!$G$5:$G$204,$AQ92)),IF($AS92="","",INDEX(E_Rules!$F$5:$F$9,$AS92))))</f>
        <v/>
      </c>
      <c r="AX92" t="str">
        <f>IF($AQ92="","",IF(INDEX(C_Pavement!$H$5:$H$204,$AQ92)&lt;&gt;"",IF(INDEX(C_Pavement!$H$5:$H$204,$AQ92)="-","",INDEX(C_Pavement!$H$5:$H$204,$AQ92)),IF($AS92="","",INDEX(E_Rules!$G$5:$G$9,$AS92))))</f>
        <v/>
      </c>
      <c r="AY92" t="str">
        <f>IF($AQ92="","",IF(INDEX(C_Pavement!$I$5:$I$204,$AQ92)&lt;&gt;"",IF(INDEX(C_Pavement!$I$5:$I$204,$AQ92)="-","",INDEX(C_Pavement!$I$5:$I$204,$AQ92)),IF($AS92="","",INDEX(E_Rules!$H$5:$H$9,$AS92))))</f>
        <v/>
      </c>
    </row>
    <row r="93" spans="1:51" ht="15.75" customHeight="1" x14ac:dyDescent="0.3">
      <c r="A93" s="189">
        <v>88</v>
      </c>
      <c r="B93" s="180">
        <v>4350</v>
      </c>
      <c r="C93" s="180" t="s">
        <v>399</v>
      </c>
      <c r="D93" s="181" t="str">
        <f>IFERROR(LOOKUP(2,1/((A_Corridor!$A$5:$A$204&lt;&gt;"")*(A_Corridor!$A$5:$A$204&lt;=$B93)*(A_Corridor!$B$5:$B$204&gt;$B93)*(A_Corridor!$C$5:$C$204&lt;&gt;"")),IF(UPPER(A_Corridor!$C$5:$C$204)="Y",1,"")),"")</f>
        <v/>
      </c>
      <c r="E93" s="181" t="str">
        <f>IFERROR(LOOKUP(2,1/((A_Corridor!$A$5:$A$204&lt;&gt;"")*(A_Corridor!$A$5:$A$204&lt;=$B93)*(A_Corridor!$B$5:$B$204&gt;$B93)*(A_Corridor!$D$5:$D$204&lt;&gt;"")),IF(A_Corridor!$D$5:$D$204="-","",UPPER(A_Corridor!$D$5:$D$204))),"")</f>
        <v/>
      </c>
      <c r="F93" s="181" t="str">
        <f>IFERROR(LOOKUP(2,1/((A_Corridor!$A$5:$A$204&lt;&gt;"")*(A_Corridor!$A$5:$A$204&lt;=$B93)*(A_Corridor!$B$5:$B$204&gt;$B93)*(A_Corridor!$E$5:$E$204&lt;&gt;"")),IF(A_Corridor!$E$5:$E$204="-","",1)),"")</f>
        <v/>
      </c>
      <c r="G93" s="182" t="str">
        <f>IFERROR(LOOKUP(2,1/((A_Corridor!$A$5:$A$204&lt;&gt;"")*(A_Corridor!$A$5:$A$204&lt;=$B93)*(A_Corridor!$B$5:$B$204&gt;$B93)*(A_Corridor!$E$5:$E$204&lt;&gt;"")),IF(A_Corridor!$E$5:$E$204="-","",A_Corridor!$E$5:$E$204)),"")</f>
        <v/>
      </c>
      <c r="H93" s="182" t="str">
        <f>IFERROR(LOOKUP(2,1/((D_Points!$A$5:$A$204&lt;&gt;"")*(D_Points!$A$5:$A$204&gt;=$B93)*(D_Points!$A$5:$A$204&lt;$B93+P_Interval)*(UPPER(TRIM(D_Points!$B$5:$B$204))="GULLY")*(D_Points!$H$5:$H$204&lt;&gt;"")),D_Points!$H$5:$H$204),"")</f>
        <v/>
      </c>
      <c r="I93" s="181" t="str">
        <f>IFERROR(LOOKUP(2,1/((A_Corridor!$A$5:$A$204&lt;&gt;"")*(A_Corridor!$A$5:$A$204&lt;=$B93)*(A_Corridor!$B$5:$B$204&gt;$B93)*(A_Corridor!$F$5:$F$204&lt;&gt;"")),IF(A_Corridor!$F$5:$F$204="-","",1)),"")</f>
        <v/>
      </c>
      <c r="J93" s="182" t="str">
        <f>IFERROR(LOOKUP(2,1/((A_Corridor!$A$5:$A$204&lt;&gt;"")*(A_Corridor!$A$5:$A$204&lt;=$B93)*(A_Corridor!$B$5:$B$204&gt;$B93)*(A_Corridor!$F$5:$F$204&lt;&gt;"")),IF(A_Corridor!$F$5:$F$204="-","",A_Corridor!$F$5:$F$204)),"")</f>
        <v/>
      </c>
      <c r="K93" s="182" t="str">
        <f>IFERROR(LOOKUP(2,1/((A_Corridor!$A$5:$A$204&lt;&gt;"")*(A_Corridor!$A$5:$A$204&lt;=$B93)*(A_Corridor!$B$5:$B$204&gt;$B93)*(A_Corridor!$G$5:$G$204&lt;&gt;"")),IF(A_Corridor!$G$5:$G$204="-","",A_Corridor!$G$5:$G$204)),"")</f>
        <v/>
      </c>
      <c r="L93" s="181" t="str">
        <f>IFERROR(LOOKUP(2,1/((A_Corridor!$A$5:$A$204&lt;&gt;"")*(A_Corridor!$A$5:$A$204&lt;=$B93)*(A_Corridor!$B$5:$B$204&gt;$B93)*(A_Corridor!$H$5:$H$204&lt;&gt;"")),IF(A_Corridor!$H$5:$H$204="-","",1)),"")</f>
        <v/>
      </c>
      <c r="M93" s="182" t="str">
        <f>IFERROR(LOOKUP(2,1/((A_Corridor!$A$5:$A$204&lt;&gt;"")*(A_Corridor!$A$5:$A$204&lt;=$B93)*(A_Corridor!$B$5:$B$204&gt;$B93)*(A_Corridor!$H$5:$H$204&lt;&gt;"")),IF(A_Corridor!$H$5:$H$204="-","",A_Corridor!$H$5:$H$204)),"")</f>
        <v/>
      </c>
      <c r="N93" s="182" t="str">
        <f>IFERROR(LOOKUP(2,1/((A_Corridor!$A$5:$A$204&lt;&gt;"")*(A_Corridor!$A$5:$A$204&lt;=$B93)*(A_Corridor!$B$5:$B$204&gt;$B93)*(A_Corridor!$I$5:$I$204&lt;&gt;"")),IF(A_Corridor!$I$5:$I$204="-","",A_Corridor!$I$5:$I$204)),"")</f>
        <v/>
      </c>
      <c r="O93" s="182" t="str">
        <f>IFERROR(LOOKUP(2,1/((D_Points!$A$5:$A$204&lt;&gt;"")*(D_Points!$A$5:$A$204&gt;=$B93)*(D_Points!$A$5:$A$204&lt;$B93+P_Interval)*(UPPER(TRIM(D_Points!$B$5:$B$204))="PITCHING")*(D_Points!$H$5:$H$204&lt;&gt;"")),D_Points!$H$5:$H$204),"")</f>
        <v/>
      </c>
      <c r="P93" s="181" t="str">
        <f>IFERROR(LOOKUP(2,1/((B_Drainage!$A$5:$A$204&lt;&gt;"")*(B_Drainage!$A$5:$A$204&lt;=$B93)*(B_Drainage!$B$5:$B$204&gt;$B93)*(B_Drainage!$C$5:$C$204&lt;&gt;"")),IF(B_Drainage!$C$5:$C$204="-","",UPPER(B_Drainage!$C$5:$C$204))),"")</f>
        <v/>
      </c>
      <c r="Q93" s="181" t="str">
        <f>IFERROR(LOOKUP(2,1/((B_Drainage!$A$5:$A$204&lt;&gt;"")*(B_Drainage!$A$5:$A$204&lt;=$B93)*(B_Drainage!$B$5:$B$204&gt;$B93)*(B_Drainage!$D$5:$D$204&lt;&gt;"")),IF(B_Drainage!$D$5:$D$204="-","",UPPER(B_Drainage!$D$5:$D$204))),"")</f>
        <v/>
      </c>
      <c r="R93" s="182" t="str">
        <f>IFERROR(LOOKUP(2,1/((D_Points!$A$5:$A$204&lt;&gt;"")*(D_Points!$A$5:$A$204&gt;=$B93)*(D_Points!$A$5:$A$204&lt;$B93+P_Interval)*(RIGHT(UPPER(TRIM(D_Points!$B$5:$B$204)),8)="_CULVERT")),IF(LEFT(UPPER(TRIM(D_Points!$B$5:$B$204)),2)="EX",1,IF(LEFT(UPPER(TRIM(D_Points!$B$5:$B$204)),2)="PR",2,3))),"")</f>
        <v/>
      </c>
      <c r="S93" s="182" t="str">
        <f>IFERROR(LOOKUP(2,1/((D_Points!$A$5:$A$204&lt;&gt;"")*(D_Points!$A$5:$A$204&gt;=$B93)*(D_Points!$A$5:$A$204&lt;$B93+P_Interval)*(RIGHT(UPPER(TRIM(D_Points!$B$5:$B$204)),7)="_BRIDGE")),IF(LEFT(UPPER(TRIM(D_Points!$B$5:$B$204)),2)="EX",1,IF(LEFT(UPPER(TRIM(D_Points!$B$5:$B$204)),2)="PR",2,2))),"")</f>
        <v/>
      </c>
      <c r="T93" s="181" t="str">
        <f>IFERROR(LOOKUP(2,1/((B_Drainage!$A$5:$A$204&lt;&gt;"")*(B_Drainage!$A$5:$A$204&lt;=$B93)*(B_Drainage!$B$5:$B$204&gt;$B93)*(B_Drainage!$E$5:$E$204&lt;&gt;"")),IF(B_Drainage!$E$5:$E$204="-","",1)),"")</f>
        <v/>
      </c>
      <c r="U93" s="181" t="str">
        <f>IFERROR(LOOKUP(2,1/((B_Drainage!$A$5:$A$204&lt;&gt;"")*(B_Drainage!$A$5:$A$204&lt;=$B93)*(B_Drainage!$B$5:$B$204&gt;$B93)*(B_Drainage!$E$5:$E$204&lt;&gt;"")),IF(B_Drainage!$E$5:$E$204="-","",B_Drainage!$E$5:$E$204)),"")</f>
        <v/>
      </c>
      <c r="V93" s="181" t="str">
        <f>IFERROR(LOOKUP(2,1/((B_Drainage!$A$5:$A$204&lt;&gt;"")*(B_Drainage!$A$5:$A$204&lt;=$B93)*(B_Drainage!$B$5:$B$204&gt;$B93)*(B_Drainage!$F$5:$F$204&lt;&gt;"")),IF(B_Drainage!$F$5:$F$204="-","",1)),"")</f>
        <v/>
      </c>
      <c r="W93" s="181" t="str">
        <f>IFERROR(LOOKUP(2,1/((B_Drainage!$A$5:$A$204&lt;&gt;"")*(B_Drainage!$A$5:$A$204&lt;=$B93)*(B_Drainage!$B$5:$B$204&gt;$B93)*(B_Drainage!$F$5:$F$204&lt;&gt;"")),IF(B_Drainage!$F$5:$F$204="-","",B_Drainage!$F$5:$F$204)),"")</f>
        <v/>
      </c>
      <c r="X93" s="181" t="str">
        <f>IFERROR(LOOKUP(2,1/((B_Drainage!$A$5:$A$204&lt;&gt;"")*(B_Drainage!$A$5:$A$204&lt;=$B93)*(B_Drainage!$B$5:$B$204&gt;$B93)*(B_Drainage!$G$5:$G$204&lt;&gt;"")),IF(UPPER(B_Drainage!$G$5:$G$204)="Y",1,"")),"")</f>
        <v/>
      </c>
      <c r="Y93" s="181" t="str">
        <f>IFERROR(LOOKUP(2,1/((B_Drainage!$A$5:$A$204&lt;&gt;"")*(B_Drainage!$A$5:$A$204&lt;=$B93)*(B_Drainage!$B$5:$B$204&gt;$B93)*(B_Drainage!$H$5:$H$204&lt;&gt;"")),IF(UPPER(B_Drainage!$H$5:$H$204)="Y",1,"")),"")</f>
        <v/>
      </c>
      <c r="Z93" s="181" t="str">
        <f>IFERROR(LOOKUP(2,1/((B_Drainage!$A$5:$A$204&lt;&gt;"")*(B_Drainage!$A$5:$A$204&lt;=$B93)*(B_Drainage!$B$5:$B$204&gt;$B93)*(B_Drainage!$I$5:$I$204&lt;&gt;"")),IF(UPPER(B_Drainage!$I$5:$I$204)="Y",1,"")),"")</f>
        <v/>
      </c>
      <c r="AA93" s="181" t="str">
        <f>IFERROR(LOOKUP(2,1/((B_Drainage!$A$5:$A$204&lt;&gt;"")*(B_Drainage!$A$5:$A$204&lt;=$B93)*(B_Drainage!$B$5:$B$204&gt;$B93)*(B_Drainage!$J$5:$J$204&lt;&gt;"")),IF(UPPER(B_Drainage!$J$5:$J$204)="Y",1,"")),"")</f>
        <v/>
      </c>
      <c r="AB93" s="182" t="str">
        <f>IFERROR(LOOKUP(2,1/((B_Drainage!$A$5:$A$204&lt;&gt;"")*(B_Drainage!$A$5:$A$204&lt;=$B93)*(B_Drainage!$B$5:$B$204&gt;$B93)*(B_Drainage!$K$5:$K$204&lt;&gt;"")),IF(B_Drainage!$K$5:$K$204="-","",B_Drainage!$K$5:$K$204)),"")</f>
        <v/>
      </c>
      <c r="AC93" s="182" t="str">
        <f>IFERROR(LOOKUP(2,1/((B_Drainage!$A$5:$A$204&lt;&gt;"")*(B_Drainage!$A$5:$A$204&lt;=$B93)*(B_Drainage!$B$5:$B$204&gt;$B93)*(B_Drainage!$L$5:$L$204&lt;&gt;"")),IF(B_Drainage!$L$5:$L$204="-","",B_Drainage!$L$5:$L$204)),"")</f>
        <v/>
      </c>
      <c r="AD93" s="182" t="str">
        <f>IFERROR(LOOKUP(2,1/((D_Points!$A$5:$A$204&lt;&gt;"")*(D_Points!$A$5:$A$204&gt;=$B93)*(D_Points!$A$5:$A$204&lt;$B93+P_Interval)*(UPPER(TRIM(D_Points!$B$5:$B$204))="TURNOUT_L")*(D_Points!$H$5:$H$204&lt;&gt;"")),D_Points!$H$5:$H$204),"")</f>
        <v/>
      </c>
      <c r="AE93" s="182" t="str">
        <f>IFERROR(LOOKUP(2,1/((D_Points!$A$5:$A$204&lt;&gt;"")*(D_Points!$A$5:$A$204&gt;=$B93)*(D_Points!$A$5:$A$204&lt;$B93+P_Interval)*(UPPER(TRIM(D_Points!$B$5:$B$204))="TURNOUT_R")*(D_Points!$H$5:$H$204&lt;&gt;"")),D_Points!$H$5:$H$204),"")</f>
        <v/>
      </c>
      <c r="AF93" s="181" t="str">
        <f>IFERROR(LOOKUP(2,1/((B_Drainage!$A$5:$A$204&lt;&gt;"")*(B_Drainage!$A$5:$A$204&lt;=$B93)*(B_Drainage!$B$5:$B$204&gt;$B93)*(B_Drainage!$M$5:$M$204&lt;&gt;"")),IF(UPPER(B_Drainage!$M$5:$M$204)="Y",1,"")),"")</f>
        <v/>
      </c>
      <c r="AG93" s="181" t="str">
        <f>IFERROR(LOOKUP(2,1/((B_Drainage!$A$5:$A$204&lt;&gt;"")*(B_Drainage!$A$5:$A$204&lt;=$B93)*(B_Drainage!$B$5:$B$204&gt;$B93)*(B_Drainage!$N$5:$N$204&lt;&gt;"")),IF(UPPER(B_Drainage!$N$5:$N$204)="Y",1,"")),"")</f>
        <v/>
      </c>
      <c r="AH93" s="181" t="str">
        <f t="shared" si="8"/>
        <v/>
      </c>
      <c r="AI93" s="181" t="str">
        <f t="shared" si="9"/>
        <v/>
      </c>
      <c r="AJ93" s="181" t="str">
        <f t="shared" si="10"/>
        <v/>
      </c>
      <c r="AK93" s="181" t="str">
        <f t="shared" si="11"/>
        <v/>
      </c>
      <c r="AL93" s="181" t="str">
        <f t="shared" si="12"/>
        <v/>
      </c>
      <c r="AM93" s="181" t="str">
        <f t="shared" si="13"/>
        <v/>
      </c>
      <c r="AN93" s="181" t="str">
        <f t="shared" si="14"/>
        <v/>
      </c>
      <c r="AO93" s="192" t="str">
        <f t="shared" si="15"/>
        <v/>
      </c>
      <c r="AQ93" t="str">
        <f>IFERROR(LOOKUP(2,1/((C_Pavement!$A$5:$A$204&lt;&gt;"")*(C_Pavement!$A$5:$A$204&lt;=$B93)*(C_Pavement!$B$5:$B$204&gt;$B93)*(C_Pavement!$C$5:$C$204&lt;&gt;"")),ROW(C_Pavement!$C$5:$C$204)-4),"")</f>
        <v/>
      </c>
      <c r="AR93" t="str">
        <f>IF($AQ93="","",UPPER(TRIM(INDEX(C_Pavement!$C$5:$C$204,$AQ93))))</f>
        <v/>
      </c>
      <c r="AS93" t="str">
        <f>IF($AR93="","",IFERROR(MATCH($AR93,E_Rules!$A$5:$A$9,0),""))</f>
        <v/>
      </c>
      <c r="AT93" t="str">
        <f>IF($AQ93="","",IF(INDEX(C_Pavement!$D$5:$D$204,$AQ93)&lt;&gt;"",UPPER(TRIM(INDEX(C_Pavement!$D$5:$D$204,$AQ93))),IF($AS93="","",INDEX(E_Rules!$C$5:$C$9,$AS93))))</f>
        <v/>
      </c>
      <c r="AU93" t="str">
        <f>IF($AQ93="","",IF(INDEX(C_Pavement!$E$5:$E$204,$AQ93)&lt;&gt;"",IF(INDEX(C_Pavement!$E$5:$E$204,$AQ93)="-","",INDEX(C_Pavement!$E$5:$E$204,$AQ93)),IF($AS93="","",INDEX(E_Rules!$D$5:$D$9,$AS93))))</f>
        <v/>
      </c>
      <c r="AV93" t="str">
        <f>IF($AQ93="","",IF(INDEX(C_Pavement!$F$5:$F$204,$AQ93)&lt;&gt;"",IF(INDEX(C_Pavement!$F$5:$F$204,$AQ93)="-","",INDEX(C_Pavement!$F$5:$F$204,$AQ93)),IF($AS93="","",INDEX(E_Rules!$E$5:$E$9,$AS93))))</f>
        <v/>
      </c>
      <c r="AW93" t="str">
        <f>IF($AQ93="","",IF(INDEX(C_Pavement!$G$5:$G$204,$AQ93)&lt;&gt;"",IF(INDEX(C_Pavement!$G$5:$G$204,$AQ93)="-","",INDEX(C_Pavement!$G$5:$G$204,$AQ93)),IF($AS93="","",INDEX(E_Rules!$F$5:$F$9,$AS93))))</f>
        <v/>
      </c>
      <c r="AX93" t="str">
        <f>IF($AQ93="","",IF(INDEX(C_Pavement!$H$5:$H$204,$AQ93)&lt;&gt;"",IF(INDEX(C_Pavement!$H$5:$H$204,$AQ93)="-","",INDEX(C_Pavement!$H$5:$H$204,$AQ93)),IF($AS93="","",INDEX(E_Rules!$G$5:$G$9,$AS93))))</f>
        <v/>
      </c>
      <c r="AY93" t="str">
        <f>IF($AQ93="","",IF(INDEX(C_Pavement!$I$5:$I$204,$AQ93)&lt;&gt;"",IF(INDEX(C_Pavement!$I$5:$I$204,$AQ93)="-","",INDEX(C_Pavement!$I$5:$I$204,$AQ93)),IF($AS93="","",INDEX(E_Rules!$H$5:$H$9,$AS93))))</f>
        <v/>
      </c>
    </row>
    <row r="94" spans="1:51" ht="15.75" customHeight="1" x14ac:dyDescent="0.3">
      <c r="A94" s="189">
        <v>89</v>
      </c>
      <c r="B94" s="180">
        <v>4400</v>
      </c>
      <c r="C94" s="180" t="s">
        <v>400</v>
      </c>
      <c r="D94" s="181" t="str">
        <f>IFERROR(LOOKUP(2,1/((A_Corridor!$A$5:$A$204&lt;&gt;"")*(A_Corridor!$A$5:$A$204&lt;=$B94)*(A_Corridor!$B$5:$B$204&gt;$B94)*(A_Corridor!$C$5:$C$204&lt;&gt;"")),IF(UPPER(A_Corridor!$C$5:$C$204)="Y",1,"")),"")</f>
        <v/>
      </c>
      <c r="E94" s="181" t="str">
        <f>IFERROR(LOOKUP(2,1/((A_Corridor!$A$5:$A$204&lt;&gt;"")*(A_Corridor!$A$5:$A$204&lt;=$B94)*(A_Corridor!$B$5:$B$204&gt;$B94)*(A_Corridor!$D$5:$D$204&lt;&gt;"")),IF(A_Corridor!$D$5:$D$204="-","",UPPER(A_Corridor!$D$5:$D$204))),"")</f>
        <v/>
      </c>
      <c r="F94" s="181" t="str">
        <f>IFERROR(LOOKUP(2,1/((A_Corridor!$A$5:$A$204&lt;&gt;"")*(A_Corridor!$A$5:$A$204&lt;=$B94)*(A_Corridor!$B$5:$B$204&gt;$B94)*(A_Corridor!$E$5:$E$204&lt;&gt;"")),IF(A_Corridor!$E$5:$E$204="-","",1)),"")</f>
        <v/>
      </c>
      <c r="G94" s="182" t="str">
        <f>IFERROR(LOOKUP(2,1/((A_Corridor!$A$5:$A$204&lt;&gt;"")*(A_Corridor!$A$5:$A$204&lt;=$B94)*(A_Corridor!$B$5:$B$204&gt;$B94)*(A_Corridor!$E$5:$E$204&lt;&gt;"")),IF(A_Corridor!$E$5:$E$204="-","",A_Corridor!$E$5:$E$204)),"")</f>
        <v/>
      </c>
      <c r="H94" s="182" t="str">
        <f>IFERROR(LOOKUP(2,1/((D_Points!$A$5:$A$204&lt;&gt;"")*(D_Points!$A$5:$A$204&gt;=$B94)*(D_Points!$A$5:$A$204&lt;$B94+P_Interval)*(UPPER(TRIM(D_Points!$B$5:$B$204))="GULLY")*(D_Points!$H$5:$H$204&lt;&gt;"")),D_Points!$H$5:$H$204),"")</f>
        <v/>
      </c>
      <c r="I94" s="181" t="str">
        <f>IFERROR(LOOKUP(2,1/((A_Corridor!$A$5:$A$204&lt;&gt;"")*(A_Corridor!$A$5:$A$204&lt;=$B94)*(A_Corridor!$B$5:$B$204&gt;$B94)*(A_Corridor!$F$5:$F$204&lt;&gt;"")),IF(A_Corridor!$F$5:$F$204="-","",1)),"")</f>
        <v/>
      </c>
      <c r="J94" s="182" t="str">
        <f>IFERROR(LOOKUP(2,1/((A_Corridor!$A$5:$A$204&lt;&gt;"")*(A_Corridor!$A$5:$A$204&lt;=$B94)*(A_Corridor!$B$5:$B$204&gt;$B94)*(A_Corridor!$F$5:$F$204&lt;&gt;"")),IF(A_Corridor!$F$5:$F$204="-","",A_Corridor!$F$5:$F$204)),"")</f>
        <v/>
      </c>
      <c r="K94" s="182" t="str">
        <f>IFERROR(LOOKUP(2,1/((A_Corridor!$A$5:$A$204&lt;&gt;"")*(A_Corridor!$A$5:$A$204&lt;=$B94)*(A_Corridor!$B$5:$B$204&gt;$B94)*(A_Corridor!$G$5:$G$204&lt;&gt;"")),IF(A_Corridor!$G$5:$G$204="-","",A_Corridor!$G$5:$G$204)),"")</f>
        <v/>
      </c>
      <c r="L94" s="181" t="str">
        <f>IFERROR(LOOKUP(2,1/((A_Corridor!$A$5:$A$204&lt;&gt;"")*(A_Corridor!$A$5:$A$204&lt;=$B94)*(A_Corridor!$B$5:$B$204&gt;$B94)*(A_Corridor!$H$5:$H$204&lt;&gt;"")),IF(A_Corridor!$H$5:$H$204="-","",1)),"")</f>
        <v/>
      </c>
      <c r="M94" s="182" t="str">
        <f>IFERROR(LOOKUP(2,1/((A_Corridor!$A$5:$A$204&lt;&gt;"")*(A_Corridor!$A$5:$A$204&lt;=$B94)*(A_Corridor!$B$5:$B$204&gt;$B94)*(A_Corridor!$H$5:$H$204&lt;&gt;"")),IF(A_Corridor!$H$5:$H$204="-","",A_Corridor!$H$5:$H$204)),"")</f>
        <v/>
      </c>
      <c r="N94" s="182" t="str">
        <f>IFERROR(LOOKUP(2,1/((A_Corridor!$A$5:$A$204&lt;&gt;"")*(A_Corridor!$A$5:$A$204&lt;=$B94)*(A_Corridor!$B$5:$B$204&gt;$B94)*(A_Corridor!$I$5:$I$204&lt;&gt;"")),IF(A_Corridor!$I$5:$I$204="-","",A_Corridor!$I$5:$I$204)),"")</f>
        <v/>
      </c>
      <c r="O94" s="182" t="str">
        <f>IFERROR(LOOKUP(2,1/((D_Points!$A$5:$A$204&lt;&gt;"")*(D_Points!$A$5:$A$204&gt;=$B94)*(D_Points!$A$5:$A$204&lt;$B94+P_Interval)*(UPPER(TRIM(D_Points!$B$5:$B$204))="PITCHING")*(D_Points!$H$5:$H$204&lt;&gt;"")),D_Points!$H$5:$H$204),"")</f>
        <v/>
      </c>
      <c r="P94" s="181" t="str">
        <f>IFERROR(LOOKUP(2,1/((B_Drainage!$A$5:$A$204&lt;&gt;"")*(B_Drainage!$A$5:$A$204&lt;=$B94)*(B_Drainage!$B$5:$B$204&gt;$B94)*(B_Drainage!$C$5:$C$204&lt;&gt;"")),IF(B_Drainage!$C$5:$C$204="-","",UPPER(B_Drainage!$C$5:$C$204))),"")</f>
        <v/>
      </c>
      <c r="Q94" s="181" t="str">
        <f>IFERROR(LOOKUP(2,1/((B_Drainage!$A$5:$A$204&lt;&gt;"")*(B_Drainage!$A$5:$A$204&lt;=$B94)*(B_Drainage!$B$5:$B$204&gt;$B94)*(B_Drainage!$D$5:$D$204&lt;&gt;"")),IF(B_Drainage!$D$5:$D$204="-","",UPPER(B_Drainage!$D$5:$D$204))),"")</f>
        <v/>
      </c>
      <c r="R94" s="182" t="str">
        <f>IFERROR(LOOKUP(2,1/((D_Points!$A$5:$A$204&lt;&gt;"")*(D_Points!$A$5:$A$204&gt;=$B94)*(D_Points!$A$5:$A$204&lt;$B94+P_Interval)*(RIGHT(UPPER(TRIM(D_Points!$B$5:$B$204)),8)="_CULVERT")),IF(LEFT(UPPER(TRIM(D_Points!$B$5:$B$204)),2)="EX",1,IF(LEFT(UPPER(TRIM(D_Points!$B$5:$B$204)),2)="PR",2,3))),"")</f>
        <v/>
      </c>
      <c r="S94" s="182" t="str">
        <f>IFERROR(LOOKUP(2,1/((D_Points!$A$5:$A$204&lt;&gt;"")*(D_Points!$A$5:$A$204&gt;=$B94)*(D_Points!$A$5:$A$204&lt;$B94+P_Interval)*(RIGHT(UPPER(TRIM(D_Points!$B$5:$B$204)),7)="_BRIDGE")),IF(LEFT(UPPER(TRIM(D_Points!$B$5:$B$204)),2)="EX",1,IF(LEFT(UPPER(TRIM(D_Points!$B$5:$B$204)),2)="PR",2,2))),"")</f>
        <v/>
      </c>
      <c r="T94" s="181" t="str">
        <f>IFERROR(LOOKUP(2,1/((B_Drainage!$A$5:$A$204&lt;&gt;"")*(B_Drainage!$A$5:$A$204&lt;=$B94)*(B_Drainage!$B$5:$B$204&gt;$B94)*(B_Drainage!$E$5:$E$204&lt;&gt;"")),IF(B_Drainage!$E$5:$E$204="-","",1)),"")</f>
        <v/>
      </c>
      <c r="U94" s="181" t="str">
        <f>IFERROR(LOOKUP(2,1/((B_Drainage!$A$5:$A$204&lt;&gt;"")*(B_Drainage!$A$5:$A$204&lt;=$B94)*(B_Drainage!$B$5:$B$204&gt;$B94)*(B_Drainage!$E$5:$E$204&lt;&gt;"")),IF(B_Drainage!$E$5:$E$204="-","",B_Drainage!$E$5:$E$204)),"")</f>
        <v/>
      </c>
      <c r="V94" s="181" t="str">
        <f>IFERROR(LOOKUP(2,1/((B_Drainage!$A$5:$A$204&lt;&gt;"")*(B_Drainage!$A$5:$A$204&lt;=$B94)*(B_Drainage!$B$5:$B$204&gt;$B94)*(B_Drainage!$F$5:$F$204&lt;&gt;"")),IF(B_Drainage!$F$5:$F$204="-","",1)),"")</f>
        <v/>
      </c>
      <c r="W94" s="181" t="str">
        <f>IFERROR(LOOKUP(2,1/((B_Drainage!$A$5:$A$204&lt;&gt;"")*(B_Drainage!$A$5:$A$204&lt;=$B94)*(B_Drainage!$B$5:$B$204&gt;$B94)*(B_Drainage!$F$5:$F$204&lt;&gt;"")),IF(B_Drainage!$F$5:$F$204="-","",B_Drainage!$F$5:$F$204)),"")</f>
        <v/>
      </c>
      <c r="X94" s="181" t="str">
        <f>IFERROR(LOOKUP(2,1/((B_Drainage!$A$5:$A$204&lt;&gt;"")*(B_Drainage!$A$5:$A$204&lt;=$B94)*(B_Drainage!$B$5:$B$204&gt;$B94)*(B_Drainage!$G$5:$G$204&lt;&gt;"")),IF(UPPER(B_Drainage!$G$5:$G$204)="Y",1,"")),"")</f>
        <v/>
      </c>
      <c r="Y94" s="181" t="str">
        <f>IFERROR(LOOKUP(2,1/((B_Drainage!$A$5:$A$204&lt;&gt;"")*(B_Drainage!$A$5:$A$204&lt;=$B94)*(B_Drainage!$B$5:$B$204&gt;$B94)*(B_Drainage!$H$5:$H$204&lt;&gt;"")),IF(UPPER(B_Drainage!$H$5:$H$204)="Y",1,"")),"")</f>
        <v/>
      </c>
      <c r="Z94" s="181" t="str">
        <f>IFERROR(LOOKUP(2,1/((B_Drainage!$A$5:$A$204&lt;&gt;"")*(B_Drainage!$A$5:$A$204&lt;=$B94)*(B_Drainage!$B$5:$B$204&gt;$B94)*(B_Drainage!$I$5:$I$204&lt;&gt;"")),IF(UPPER(B_Drainage!$I$5:$I$204)="Y",1,"")),"")</f>
        <v/>
      </c>
      <c r="AA94" s="181" t="str">
        <f>IFERROR(LOOKUP(2,1/((B_Drainage!$A$5:$A$204&lt;&gt;"")*(B_Drainage!$A$5:$A$204&lt;=$B94)*(B_Drainage!$B$5:$B$204&gt;$B94)*(B_Drainage!$J$5:$J$204&lt;&gt;"")),IF(UPPER(B_Drainage!$J$5:$J$204)="Y",1,"")),"")</f>
        <v/>
      </c>
      <c r="AB94" s="182" t="str">
        <f>IFERROR(LOOKUP(2,1/((B_Drainage!$A$5:$A$204&lt;&gt;"")*(B_Drainage!$A$5:$A$204&lt;=$B94)*(B_Drainage!$B$5:$B$204&gt;$B94)*(B_Drainage!$K$5:$K$204&lt;&gt;"")),IF(B_Drainage!$K$5:$K$204="-","",B_Drainage!$K$5:$K$204)),"")</f>
        <v/>
      </c>
      <c r="AC94" s="182" t="str">
        <f>IFERROR(LOOKUP(2,1/((B_Drainage!$A$5:$A$204&lt;&gt;"")*(B_Drainage!$A$5:$A$204&lt;=$B94)*(B_Drainage!$B$5:$B$204&gt;$B94)*(B_Drainage!$L$5:$L$204&lt;&gt;"")),IF(B_Drainage!$L$5:$L$204="-","",B_Drainage!$L$5:$L$204)),"")</f>
        <v/>
      </c>
      <c r="AD94" s="182" t="str">
        <f>IFERROR(LOOKUP(2,1/((D_Points!$A$5:$A$204&lt;&gt;"")*(D_Points!$A$5:$A$204&gt;=$B94)*(D_Points!$A$5:$A$204&lt;$B94+P_Interval)*(UPPER(TRIM(D_Points!$B$5:$B$204))="TURNOUT_L")*(D_Points!$H$5:$H$204&lt;&gt;"")),D_Points!$H$5:$H$204),"")</f>
        <v/>
      </c>
      <c r="AE94" s="182" t="str">
        <f>IFERROR(LOOKUP(2,1/((D_Points!$A$5:$A$204&lt;&gt;"")*(D_Points!$A$5:$A$204&gt;=$B94)*(D_Points!$A$5:$A$204&lt;$B94+P_Interval)*(UPPER(TRIM(D_Points!$B$5:$B$204))="TURNOUT_R")*(D_Points!$H$5:$H$204&lt;&gt;"")),D_Points!$H$5:$H$204),"")</f>
        <v/>
      </c>
      <c r="AF94" s="181" t="str">
        <f>IFERROR(LOOKUP(2,1/((B_Drainage!$A$5:$A$204&lt;&gt;"")*(B_Drainage!$A$5:$A$204&lt;=$B94)*(B_Drainage!$B$5:$B$204&gt;$B94)*(B_Drainage!$M$5:$M$204&lt;&gt;"")),IF(UPPER(B_Drainage!$M$5:$M$204)="Y",1,"")),"")</f>
        <v/>
      </c>
      <c r="AG94" s="181" t="str">
        <f>IFERROR(LOOKUP(2,1/((B_Drainage!$A$5:$A$204&lt;&gt;"")*(B_Drainage!$A$5:$A$204&lt;=$B94)*(B_Drainage!$B$5:$B$204&gt;$B94)*(B_Drainage!$N$5:$N$204&lt;&gt;"")),IF(UPPER(B_Drainage!$N$5:$N$204)="Y",1,"")),"")</f>
        <v/>
      </c>
      <c r="AH94" s="181" t="str">
        <f t="shared" si="8"/>
        <v/>
      </c>
      <c r="AI94" s="181" t="str">
        <f t="shared" si="9"/>
        <v/>
      </c>
      <c r="AJ94" s="181" t="str">
        <f t="shared" si="10"/>
        <v/>
      </c>
      <c r="AK94" s="181" t="str">
        <f t="shared" si="11"/>
        <v/>
      </c>
      <c r="AL94" s="181" t="str">
        <f t="shared" si="12"/>
        <v/>
      </c>
      <c r="AM94" s="181" t="str">
        <f t="shared" si="13"/>
        <v/>
      </c>
      <c r="AN94" s="181" t="str">
        <f t="shared" si="14"/>
        <v/>
      </c>
      <c r="AO94" s="192" t="str">
        <f t="shared" si="15"/>
        <v/>
      </c>
      <c r="AQ94" t="str">
        <f>IFERROR(LOOKUP(2,1/((C_Pavement!$A$5:$A$204&lt;&gt;"")*(C_Pavement!$A$5:$A$204&lt;=$B94)*(C_Pavement!$B$5:$B$204&gt;$B94)*(C_Pavement!$C$5:$C$204&lt;&gt;"")),ROW(C_Pavement!$C$5:$C$204)-4),"")</f>
        <v/>
      </c>
      <c r="AR94" t="str">
        <f>IF($AQ94="","",UPPER(TRIM(INDEX(C_Pavement!$C$5:$C$204,$AQ94))))</f>
        <v/>
      </c>
      <c r="AS94" t="str">
        <f>IF($AR94="","",IFERROR(MATCH($AR94,E_Rules!$A$5:$A$9,0),""))</f>
        <v/>
      </c>
      <c r="AT94" t="str">
        <f>IF($AQ94="","",IF(INDEX(C_Pavement!$D$5:$D$204,$AQ94)&lt;&gt;"",UPPER(TRIM(INDEX(C_Pavement!$D$5:$D$204,$AQ94))),IF($AS94="","",INDEX(E_Rules!$C$5:$C$9,$AS94))))</f>
        <v/>
      </c>
      <c r="AU94" t="str">
        <f>IF($AQ94="","",IF(INDEX(C_Pavement!$E$5:$E$204,$AQ94)&lt;&gt;"",IF(INDEX(C_Pavement!$E$5:$E$204,$AQ94)="-","",INDEX(C_Pavement!$E$5:$E$204,$AQ94)),IF($AS94="","",INDEX(E_Rules!$D$5:$D$9,$AS94))))</f>
        <v/>
      </c>
      <c r="AV94" t="str">
        <f>IF($AQ94="","",IF(INDEX(C_Pavement!$F$5:$F$204,$AQ94)&lt;&gt;"",IF(INDEX(C_Pavement!$F$5:$F$204,$AQ94)="-","",INDEX(C_Pavement!$F$5:$F$204,$AQ94)),IF($AS94="","",INDEX(E_Rules!$E$5:$E$9,$AS94))))</f>
        <v/>
      </c>
      <c r="AW94" t="str">
        <f>IF($AQ94="","",IF(INDEX(C_Pavement!$G$5:$G$204,$AQ94)&lt;&gt;"",IF(INDEX(C_Pavement!$G$5:$G$204,$AQ94)="-","",INDEX(C_Pavement!$G$5:$G$204,$AQ94)),IF($AS94="","",INDEX(E_Rules!$F$5:$F$9,$AS94))))</f>
        <v/>
      </c>
      <c r="AX94" t="str">
        <f>IF($AQ94="","",IF(INDEX(C_Pavement!$H$5:$H$204,$AQ94)&lt;&gt;"",IF(INDEX(C_Pavement!$H$5:$H$204,$AQ94)="-","",INDEX(C_Pavement!$H$5:$H$204,$AQ94)),IF($AS94="","",INDEX(E_Rules!$G$5:$G$9,$AS94))))</f>
        <v/>
      </c>
      <c r="AY94" t="str">
        <f>IF($AQ94="","",IF(INDEX(C_Pavement!$I$5:$I$204,$AQ94)&lt;&gt;"",IF(INDEX(C_Pavement!$I$5:$I$204,$AQ94)="-","",INDEX(C_Pavement!$I$5:$I$204,$AQ94)),IF($AS94="","",INDEX(E_Rules!$H$5:$H$9,$AS94))))</f>
        <v/>
      </c>
    </row>
    <row r="95" spans="1:51" ht="15.75" customHeight="1" x14ac:dyDescent="0.3">
      <c r="A95" s="189">
        <v>90</v>
      </c>
      <c r="B95" s="180">
        <v>4450</v>
      </c>
      <c r="C95" s="180" t="s">
        <v>401</v>
      </c>
      <c r="D95" s="181" t="str">
        <f>IFERROR(LOOKUP(2,1/((A_Corridor!$A$5:$A$204&lt;&gt;"")*(A_Corridor!$A$5:$A$204&lt;=$B95)*(A_Corridor!$B$5:$B$204&gt;$B95)*(A_Corridor!$C$5:$C$204&lt;&gt;"")),IF(UPPER(A_Corridor!$C$5:$C$204)="Y",1,"")),"")</f>
        <v/>
      </c>
      <c r="E95" s="181" t="str">
        <f>IFERROR(LOOKUP(2,1/((A_Corridor!$A$5:$A$204&lt;&gt;"")*(A_Corridor!$A$5:$A$204&lt;=$B95)*(A_Corridor!$B$5:$B$204&gt;$B95)*(A_Corridor!$D$5:$D$204&lt;&gt;"")),IF(A_Corridor!$D$5:$D$204="-","",UPPER(A_Corridor!$D$5:$D$204))),"")</f>
        <v/>
      </c>
      <c r="F95" s="181" t="str">
        <f>IFERROR(LOOKUP(2,1/((A_Corridor!$A$5:$A$204&lt;&gt;"")*(A_Corridor!$A$5:$A$204&lt;=$B95)*(A_Corridor!$B$5:$B$204&gt;$B95)*(A_Corridor!$E$5:$E$204&lt;&gt;"")),IF(A_Corridor!$E$5:$E$204="-","",1)),"")</f>
        <v/>
      </c>
      <c r="G95" s="182" t="str">
        <f>IFERROR(LOOKUP(2,1/((A_Corridor!$A$5:$A$204&lt;&gt;"")*(A_Corridor!$A$5:$A$204&lt;=$B95)*(A_Corridor!$B$5:$B$204&gt;$B95)*(A_Corridor!$E$5:$E$204&lt;&gt;"")),IF(A_Corridor!$E$5:$E$204="-","",A_Corridor!$E$5:$E$204)),"")</f>
        <v/>
      </c>
      <c r="H95" s="182" t="str">
        <f>IFERROR(LOOKUP(2,1/((D_Points!$A$5:$A$204&lt;&gt;"")*(D_Points!$A$5:$A$204&gt;=$B95)*(D_Points!$A$5:$A$204&lt;$B95+P_Interval)*(UPPER(TRIM(D_Points!$B$5:$B$204))="GULLY")*(D_Points!$H$5:$H$204&lt;&gt;"")),D_Points!$H$5:$H$204),"")</f>
        <v/>
      </c>
      <c r="I95" s="181" t="str">
        <f>IFERROR(LOOKUP(2,1/((A_Corridor!$A$5:$A$204&lt;&gt;"")*(A_Corridor!$A$5:$A$204&lt;=$B95)*(A_Corridor!$B$5:$B$204&gt;$B95)*(A_Corridor!$F$5:$F$204&lt;&gt;"")),IF(A_Corridor!$F$5:$F$204="-","",1)),"")</f>
        <v/>
      </c>
      <c r="J95" s="182" t="str">
        <f>IFERROR(LOOKUP(2,1/((A_Corridor!$A$5:$A$204&lt;&gt;"")*(A_Corridor!$A$5:$A$204&lt;=$B95)*(A_Corridor!$B$5:$B$204&gt;$B95)*(A_Corridor!$F$5:$F$204&lt;&gt;"")),IF(A_Corridor!$F$5:$F$204="-","",A_Corridor!$F$5:$F$204)),"")</f>
        <v/>
      </c>
      <c r="K95" s="182" t="str">
        <f>IFERROR(LOOKUP(2,1/((A_Corridor!$A$5:$A$204&lt;&gt;"")*(A_Corridor!$A$5:$A$204&lt;=$B95)*(A_Corridor!$B$5:$B$204&gt;$B95)*(A_Corridor!$G$5:$G$204&lt;&gt;"")),IF(A_Corridor!$G$5:$G$204="-","",A_Corridor!$G$5:$G$204)),"")</f>
        <v/>
      </c>
      <c r="L95" s="181" t="str">
        <f>IFERROR(LOOKUP(2,1/((A_Corridor!$A$5:$A$204&lt;&gt;"")*(A_Corridor!$A$5:$A$204&lt;=$B95)*(A_Corridor!$B$5:$B$204&gt;$B95)*(A_Corridor!$H$5:$H$204&lt;&gt;"")),IF(A_Corridor!$H$5:$H$204="-","",1)),"")</f>
        <v/>
      </c>
      <c r="M95" s="182" t="str">
        <f>IFERROR(LOOKUP(2,1/((A_Corridor!$A$5:$A$204&lt;&gt;"")*(A_Corridor!$A$5:$A$204&lt;=$B95)*(A_Corridor!$B$5:$B$204&gt;$B95)*(A_Corridor!$H$5:$H$204&lt;&gt;"")),IF(A_Corridor!$H$5:$H$204="-","",A_Corridor!$H$5:$H$204)),"")</f>
        <v/>
      </c>
      <c r="N95" s="182" t="str">
        <f>IFERROR(LOOKUP(2,1/((A_Corridor!$A$5:$A$204&lt;&gt;"")*(A_Corridor!$A$5:$A$204&lt;=$B95)*(A_Corridor!$B$5:$B$204&gt;$B95)*(A_Corridor!$I$5:$I$204&lt;&gt;"")),IF(A_Corridor!$I$5:$I$204="-","",A_Corridor!$I$5:$I$204)),"")</f>
        <v/>
      </c>
      <c r="O95" s="182" t="str">
        <f>IFERROR(LOOKUP(2,1/((D_Points!$A$5:$A$204&lt;&gt;"")*(D_Points!$A$5:$A$204&gt;=$B95)*(D_Points!$A$5:$A$204&lt;$B95+P_Interval)*(UPPER(TRIM(D_Points!$B$5:$B$204))="PITCHING")*(D_Points!$H$5:$H$204&lt;&gt;"")),D_Points!$H$5:$H$204),"")</f>
        <v/>
      </c>
      <c r="P95" s="181" t="str">
        <f>IFERROR(LOOKUP(2,1/((B_Drainage!$A$5:$A$204&lt;&gt;"")*(B_Drainage!$A$5:$A$204&lt;=$B95)*(B_Drainage!$B$5:$B$204&gt;$B95)*(B_Drainage!$C$5:$C$204&lt;&gt;"")),IF(B_Drainage!$C$5:$C$204="-","",UPPER(B_Drainage!$C$5:$C$204))),"")</f>
        <v/>
      </c>
      <c r="Q95" s="181" t="str">
        <f>IFERROR(LOOKUP(2,1/((B_Drainage!$A$5:$A$204&lt;&gt;"")*(B_Drainage!$A$5:$A$204&lt;=$B95)*(B_Drainage!$B$5:$B$204&gt;$B95)*(B_Drainage!$D$5:$D$204&lt;&gt;"")),IF(B_Drainage!$D$5:$D$204="-","",UPPER(B_Drainage!$D$5:$D$204))),"")</f>
        <v/>
      </c>
      <c r="R95" s="182" t="str">
        <f>IFERROR(LOOKUP(2,1/((D_Points!$A$5:$A$204&lt;&gt;"")*(D_Points!$A$5:$A$204&gt;=$B95)*(D_Points!$A$5:$A$204&lt;$B95+P_Interval)*(RIGHT(UPPER(TRIM(D_Points!$B$5:$B$204)),8)="_CULVERT")),IF(LEFT(UPPER(TRIM(D_Points!$B$5:$B$204)),2)="EX",1,IF(LEFT(UPPER(TRIM(D_Points!$B$5:$B$204)),2)="PR",2,3))),"")</f>
        <v/>
      </c>
      <c r="S95" s="182" t="str">
        <f>IFERROR(LOOKUP(2,1/((D_Points!$A$5:$A$204&lt;&gt;"")*(D_Points!$A$5:$A$204&gt;=$B95)*(D_Points!$A$5:$A$204&lt;$B95+P_Interval)*(RIGHT(UPPER(TRIM(D_Points!$B$5:$B$204)),7)="_BRIDGE")),IF(LEFT(UPPER(TRIM(D_Points!$B$5:$B$204)),2)="EX",1,IF(LEFT(UPPER(TRIM(D_Points!$B$5:$B$204)),2)="PR",2,2))),"")</f>
        <v/>
      </c>
      <c r="T95" s="181" t="str">
        <f>IFERROR(LOOKUP(2,1/((B_Drainage!$A$5:$A$204&lt;&gt;"")*(B_Drainage!$A$5:$A$204&lt;=$B95)*(B_Drainage!$B$5:$B$204&gt;$B95)*(B_Drainage!$E$5:$E$204&lt;&gt;"")),IF(B_Drainage!$E$5:$E$204="-","",1)),"")</f>
        <v/>
      </c>
      <c r="U95" s="181" t="str">
        <f>IFERROR(LOOKUP(2,1/((B_Drainage!$A$5:$A$204&lt;&gt;"")*(B_Drainage!$A$5:$A$204&lt;=$B95)*(B_Drainage!$B$5:$B$204&gt;$B95)*(B_Drainage!$E$5:$E$204&lt;&gt;"")),IF(B_Drainage!$E$5:$E$204="-","",B_Drainage!$E$5:$E$204)),"")</f>
        <v/>
      </c>
      <c r="V95" s="181" t="str">
        <f>IFERROR(LOOKUP(2,1/((B_Drainage!$A$5:$A$204&lt;&gt;"")*(B_Drainage!$A$5:$A$204&lt;=$B95)*(B_Drainage!$B$5:$B$204&gt;$B95)*(B_Drainage!$F$5:$F$204&lt;&gt;"")),IF(B_Drainage!$F$5:$F$204="-","",1)),"")</f>
        <v/>
      </c>
      <c r="W95" s="181" t="str">
        <f>IFERROR(LOOKUP(2,1/((B_Drainage!$A$5:$A$204&lt;&gt;"")*(B_Drainage!$A$5:$A$204&lt;=$B95)*(B_Drainage!$B$5:$B$204&gt;$B95)*(B_Drainage!$F$5:$F$204&lt;&gt;"")),IF(B_Drainage!$F$5:$F$204="-","",B_Drainage!$F$5:$F$204)),"")</f>
        <v/>
      </c>
      <c r="X95" s="181" t="str">
        <f>IFERROR(LOOKUP(2,1/((B_Drainage!$A$5:$A$204&lt;&gt;"")*(B_Drainage!$A$5:$A$204&lt;=$B95)*(B_Drainage!$B$5:$B$204&gt;$B95)*(B_Drainage!$G$5:$G$204&lt;&gt;"")),IF(UPPER(B_Drainage!$G$5:$G$204)="Y",1,"")),"")</f>
        <v/>
      </c>
      <c r="Y95" s="181" t="str">
        <f>IFERROR(LOOKUP(2,1/((B_Drainage!$A$5:$A$204&lt;&gt;"")*(B_Drainage!$A$5:$A$204&lt;=$B95)*(B_Drainage!$B$5:$B$204&gt;$B95)*(B_Drainage!$H$5:$H$204&lt;&gt;"")),IF(UPPER(B_Drainage!$H$5:$H$204)="Y",1,"")),"")</f>
        <v/>
      </c>
      <c r="Z95" s="181" t="str">
        <f>IFERROR(LOOKUP(2,1/((B_Drainage!$A$5:$A$204&lt;&gt;"")*(B_Drainage!$A$5:$A$204&lt;=$B95)*(B_Drainage!$B$5:$B$204&gt;$B95)*(B_Drainage!$I$5:$I$204&lt;&gt;"")),IF(UPPER(B_Drainage!$I$5:$I$204)="Y",1,"")),"")</f>
        <v/>
      </c>
      <c r="AA95" s="181" t="str">
        <f>IFERROR(LOOKUP(2,1/((B_Drainage!$A$5:$A$204&lt;&gt;"")*(B_Drainage!$A$5:$A$204&lt;=$B95)*(B_Drainage!$B$5:$B$204&gt;$B95)*(B_Drainage!$J$5:$J$204&lt;&gt;"")),IF(UPPER(B_Drainage!$J$5:$J$204)="Y",1,"")),"")</f>
        <v/>
      </c>
      <c r="AB95" s="182" t="str">
        <f>IFERROR(LOOKUP(2,1/((B_Drainage!$A$5:$A$204&lt;&gt;"")*(B_Drainage!$A$5:$A$204&lt;=$B95)*(B_Drainage!$B$5:$B$204&gt;$B95)*(B_Drainage!$K$5:$K$204&lt;&gt;"")),IF(B_Drainage!$K$5:$K$204="-","",B_Drainage!$K$5:$K$204)),"")</f>
        <v/>
      </c>
      <c r="AC95" s="182" t="str">
        <f>IFERROR(LOOKUP(2,1/((B_Drainage!$A$5:$A$204&lt;&gt;"")*(B_Drainage!$A$5:$A$204&lt;=$B95)*(B_Drainage!$B$5:$B$204&gt;$B95)*(B_Drainage!$L$5:$L$204&lt;&gt;"")),IF(B_Drainage!$L$5:$L$204="-","",B_Drainage!$L$5:$L$204)),"")</f>
        <v/>
      </c>
      <c r="AD95" s="182" t="str">
        <f>IFERROR(LOOKUP(2,1/((D_Points!$A$5:$A$204&lt;&gt;"")*(D_Points!$A$5:$A$204&gt;=$B95)*(D_Points!$A$5:$A$204&lt;$B95+P_Interval)*(UPPER(TRIM(D_Points!$B$5:$B$204))="TURNOUT_L")*(D_Points!$H$5:$H$204&lt;&gt;"")),D_Points!$H$5:$H$204),"")</f>
        <v/>
      </c>
      <c r="AE95" s="182" t="str">
        <f>IFERROR(LOOKUP(2,1/((D_Points!$A$5:$A$204&lt;&gt;"")*(D_Points!$A$5:$A$204&gt;=$B95)*(D_Points!$A$5:$A$204&lt;$B95+P_Interval)*(UPPER(TRIM(D_Points!$B$5:$B$204))="TURNOUT_R")*(D_Points!$H$5:$H$204&lt;&gt;"")),D_Points!$H$5:$H$204),"")</f>
        <v/>
      </c>
      <c r="AF95" s="181" t="str">
        <f>IFERROR(LOOKUP(2,1/((B_Drainage!$A$5:$A$204&lt;&gt;"")*(B_Drainage!$A$5:$A$204&lt;=$B95)*(B_Drainage!$B$5:$B$204&gt;$B95)*(B_Drainage!$M$5:$M$204&lt;&gt;"")),IF(UPPER(B_Drainage!$M$5:$M$204)="Y",1,"")),"")</f>
        <v/>
      </c>
      <c r="AG95" s="181" t="str">
        <f>IFERROR(LOOKUP(2,1/((B_Drainage!$A$5:$A$204&lt;&gt;"")*(B_Drainage!$A$5:$A$204&lt;=$B95)*(B_Drainage!$B$5:$B$204&gt;$B95)*(B_Drainage!$N$5:$N$204&lt;&gt;"")),IF(UPPER(B_Drainage!$N$5:$N$204)="Y",1,"")),"")</f>
        <v/>
      </c>
      <c r="AH95" s="181" t="str">
        <f t="shared" si="8"/>
        <v/>
      </c>
      <c r="AI95" s="181" t="str">
        <f t="shared" si="9"/>
        <v/>
      </c>
      <c r="AJ95" s="181" t="str">
        <f t="shared" si="10"/>
        <v/>
      </c>
      <c r="AK95" s="181" t="str">
        <f t="shared" si="11"/>
        <v/>
      </c>
      <c r="AL95" s="181" t="str">
        <f t="shared" si="12"/>
        <v/>
      </c>
      <c r="AM95" s="181" t="str">
        <f t="shared" si="13"/>
        <v/>
      </c>
      <c r="AN95" s="181" t="str">
        <f t="shared" si="14"/>
        <v/>
      </c>
      <c r="AO95" s="192" t="str">
        <f t="shared" si="15"/>
        <v/>
      </c>
      <c r="AQ95" t="str">
        <f>IFERROR(LOOKUP(2,1/((C_Pavement!$A$5:$A$204&lt;&gt;"")*(C_Pavement!$A$5:$A$204&lt;=$B95)*(C_Pavement!$B$5:$B$204&gt;$B95)*(C_Pavement!$C$5:$C$204&lt;&gt;"")),ROW(C_Pavement!$C$5:$C$204)-4),"")</f>
        <v/>
      </c>
      <c r="AR95" t="str">
        <f>IF($AQ95="","",UPPER(TRIM(INDEX(C_Pavement!$C$5:$C$204,$AQ95))))</f>
        <v/>
      </c>
      <c r="AS95" t="str">
        <f>IF($AR95="","",IFERROR(MATCH($AR95,E_Rules!$A$5:$A$9,0),""))</f>
        <v/>
      </c>
      <c r="AT95" t="str">
        <f>IF($AQ95="","",IF(INDEX(C_Pavement!$D$5:$D$204,$AQ95)&lt;&gt;"",UPPER(TRIM(INDEX(C_Pavement!$D$5:$D$204,$AQ95))),IF($AS95="","",INDEX(E_Rules!$C$5:$C$9,$AS95))))</f>
        <v/>
      </c>
      <c r="AU95" t="str">
        <f>IF($AQ95="","",IF(INDEX(C_Pavement!$E$5:$E$204,$AQ95)&lt;&gt;"",IF(INDEX(C_Pavement!$E$5:$E$204,$AQ95)="-","",INDEX(C_Pavement!$E$5:$E$204,$AQ95)),IF($AS95="","",INDEX(E_Rules!$D$5:$D$9,$AS95))))</f>
        <v/>
      </c>
      <c r="AV95" t="str">
        <f>IF($AQ95="","",IF(INDEX(C_Pavement!$F$5:$F$204,$AQ95)&lt;&gt;"",IF(INDEX(C_Pavement!$F$5:$F$204,$AQ95)="-","",INDEX(C_Pavement!$F$5:$F$204,$AQ95)),IF($AS95="","",INDEX(E_Rules!$E$5:$E$9,$AS95))))</f>
        <v/>
      </c>
      <c r="AW95" t="str">
        <f>IF($AQ95="","",IF(INDEX(C_Pavement!$G$5:$G$204,$AQ95)&lt;&gt;"",IF(INDEX(C_Pavement!$G$5:$G$204,$AQ95)="-","",INDEX(C_Pavement!$G$5:$G$204,$AQ95)),IF($AS95="","",INDEX(E_Rules!$F$5:$F$9,$AS95))))</f>
        <v/>
      </c>
      <c r="AX95" t="str">
        <f>IF($AQ95="","",IF(INDEX(C_Pavement!$H$5:$H$204,$AQ95)&lt;&gt;"",IF(INDEX(C_Pavement!$H$5:$H$204,$AQ95)="-","",INDEX(C_Pavement!$H$5:$H$204,$AQ95)),IF($AS95="","",INDEX(E_Rules!$G$5:$G$9,$AS95))))</f>
        <v/>
      </c>
      <c r="AY95" t="str">
        <f>IF($AQ95="","",IF(INDEX(C_Pavement!$I$5:$I$204,$AQ95)&lt;&gt;"",IF(INDEX(C_Pavement!$I$5:$I$204,$AQ95)="-","",INDEX(C_Pavement!$I$5:$I$204,$AQ95)),IF($AS95="","",INDEX(E_Rules!$H$5:$H$9,$AS95))))</f>
        <v/>
      </c>
    </row>
    <row r="96" spans="1:51" ht="15.75" customHeight="1" x14ac:dyDescent="0.3">
      <c r="A96" s="189">
        <v>91</v>
      </c>
      <c r="B96" s="180">
        <v>4500</v>
      </c>
      <c r="C96" s="180" t="s">
        <v>402</v>
      </c>
      <c r="D96" s="181" t="str">
        <f>IFERROR(LOOKUP(2,1/((A_Corridor!$A$5:$A$204&lt;&gt;"")*(A_Corridor!$A$5:$A$204&lt;=$B96)*(A_Corridor!$B$5:$B$204&gt;$B96)*(A_Corridor!$C$5:$C$204&lt;&gt;"")),IF(UPPER(A_Corridor!$C$5:$C$204)="Y",1,"")),"")</f>
        <v/>
      </c>
      <c r="E96" s="181" t="str">
        <f>IFERROR(LOOKUP(2,1/((A_Corridor!$A$5:$A$204&lt;&gt;"")*(A_Corridor!$A$5:$A$204&lt;=$B96)*(A_Corridor!$B$5:$B$204&gt;$B96)*(A_Corridor!$D$5:$D$204&lt;&gt;"")),IF(A_Corridor!$D$5:$D$204="-","",UPPER(A_Corridor!$D$5:$D$204))),"")</f>
        <v/>
      </c>
      <c r="F96" s="181" t="str">
        <f>IFERROR(LOOKUP(2,1/((A_Corridor!$A$5:$A$204&lt;&gt;"")*(A_Corridor!$A$5:$A$204&lt;=$B96)*(A_Corridor!$B$5:$B$204&gt;$B96)*(A_Corridor!$E$5:$E$204&lt;&gt;"")),IF(A_Corridor!$E$5:$E$204="-","",1)),"")</f>
        <v/>
      </c>
      <c r="G96" s="182" t="str">
        <f>IFERROR(LOOKUP(2,1/((A_Corridor!$A$5:$A$204&lt;&gt;"")*(A_Corridor!$A$5:$A$204&lt;=$B96)*(A_Corridor!$B$5:$B$204&gt;$B96)*(A_Corridor!$E$5:$E$204&lt;&gt;"")),IF(A_Corridor!$E$5:$E$204="-","",A_Corridor!$E$5:$E$204)),"")</f>
        <v/>
      </c>
      <c r="H96" s="182" t="str">
        <f>IFERROR(LOOKUP(2,1/((D_Points!$A$5:$A$204&lt;&gt;"")*(D_Points!$A$5:$A$204&gt;=$B96)*(D_Points!$A$5:$A$204&lt;$B96+P_Interval)*(UPPER(TRIM(D_Points!$B$5:$B$204))="GULLY")*(D_Points!$H$5:$H$204&lt;&gt;"")),D_Points!$H$5:$H$204),"")</f>
        <v/>
      </c>
      <c r="I96" s="181" t="str">
        <f>IFERROR(LOOKUP(2,1/((A_Corridor!$A$5:$A$204&lt;&gt;"")*(A_Corridor!$A$5:$A$204&lt;=$B96)*(A_Corridor!$B$5:$B$204&gt;$B96)*(A_Corridor!$F$5:$F$204&lt;&gt;"")),IF(A_Corridor!$F$5:$F$204="-","",1)),"")</f>
        <v/>
      </c>
      <c r="J96" s="182" t="str">
        <f>IFERROR(LOOKUP(2,1/((A_Corridor!$A$5:$A$204&lt;&gt;"")*(A_Corridor!$A$5:$A$204&lt;=$B96)*(A_Corridor!$B$5:$B$204&gt;$B96)*(A_Corridor!$F$5:$F$204&lt;&gt;"")),IF(A_Corridor!$F$5:$F$204="-","",A_Corridor!$F$5:$F$204)),"")</f>
        <v/>
      </c>
      <c r="K96" s="182" t="str">
        <f>IFERROR(LOOKUP(2,1/((A_Corridor!$A$5:$A$204&lt;&gt;"")*(A_Corridor!$A$5:$A$204&lt;=$B96)*(A_Corridor!$B$5:$B$204&gt;$B96)*(A_Corridor!$G$5:$G$204&lt;&gt;"")),IF(A_Corridor!$G$5:$G$204="-","",A_Corridor!$G$5:$G$204)),"")</f>
        <v/>
      </c>
      <c r="L96" s="181" t="str">
        <f>IFERROR(LOOKUP(2,1/((A_Corridor!$A$5:$A$204&lt;&gt;"")*(A_Corridor!$A$5:$A$204&lt;=$B96)*(A_Corridor!$B$5:$B$204&gt;$B96)*(A_Corridor!$H$5:$H$204&lt;&gt;"")),IF(A_Corridor!$H$5:$H$204="-","",1)),"")</f>
        <v/>
      </c>
      <c r="M96" s="182" t="str">
        <f>IFERROR(LOOKUP(2,1/((A_Corridor!$A$5:$A$204&lt;&gt;"")*(A_Corridor!$A$5:$A$204&lt;=$B96)*(A_Corridor!$B$5:$B$204&gt;$B96)*(A_Corridor!$H$5:$H$204&lt;&gt;"")),IF(A_Corridor!$H$5:$H$204="-","",A_Corridor!$H$5:$H$204)),"")</f>
        <v/>
      </c>
      <c r="N96" s="182" t="str">
        <f>IFERROR(LOOKUP(2,1/((A_Corridor!$A$5:$A$204&lt;&gt;"")*(A_Corridor!$A$5:$A$204&lt;=$B96)*(A_Corridor!$B$5:$B$204&gt;$B96)*(A_Corridor!$I$5:$I$204&lt;&gt;"")),IF(A_Corridor!$I$5:$I$204="-","",A_Corridor!$I$5:$I$204)),"")</f>
        <v/>
      </c>
      <c r="O96" s="182" t="str">
        <f>IFERROR(LOOKUP(2,1/((D_Points!$A$5:$A$204&lt;&gt;"")*(D_Points!$A$5:$A$204&gt;=$B96)*(D_Points!$A$5:$A$204&lt;$B96+P_Interval)*(UPPER(TRIM(D_Points!$B$5:$B$204))="PITCHING")*(D_Points!$H$5:$H$204&lt;&gt;"")),D_Points!$H$5:$H$204),"")</f>
        <v/>
      </c>
      <c r="P96" s="181" t="str">
        <f>IFERROR(LOOKUP(2,1/((B_Drainage!$A$5:$A$204&lt;&gt;"")*(B_Drainage!$A$5:$A$204&lt;=$B96)*(B_Drainage!$B$5:$B$204&gt;$B96)*(B_Drainage!$C$5:$C$204&lt;&gt;"")),IF(B_Drainage!$C$5:$C$204="-","",UPPER(B_Drainage!$C$5:$C$204))),"")</f>
        <v/>
      </c>
      <c r="Q96" s="181" t="str">
        <f>IFERROR(LOOKUP(2,1/((B_Drainage!$A$5:$A$204&lt;&gt;"")*(B_Drainage!$A$5:$A$204&lt;=$B96)*(B_Drainage!$B$5:$B$204&gt;$B96)*(B_Drainage!$D$5:$D$204&lt;&gt;"")),IF(B_Drainage!$D$5:$D$204="-","",UPPER(B_Drainage!$D$5:$D$204))),"")</f>
        <v/>
      </c>
      <c r="R96" s="182" t="str">
        <f>IFERROR(LOOKUP(2,1/((D_Points!$A$5:$A$204&lt;&gt;"")*(D_Points!$A$5:$A$204&gt;=$B96)*(D_Points!$A$5:$A$204&lt;$B96+P_Interval)*(RIGHT(UPPER(TRIM(D_Points!$B$5:$B$204)),8)="_CULVERT")),IF(LEFT(UPPER(TRIM(D_Points!$B$5:$B$204)),2)="EX",1,IF(LEFT(UPPER(TRIM(D_Points!$B$5:$B$204)),2)="PR",2,3))),"")</f>
        <v/>
      </c>
      <c r="S96" s="182" t="str">
        <f>IFERROR(LOOKUP(2,1/((D_Points!$A$5:$A$204&lt;&gt;"")*(D_Points!$A$5:$A$204&gt;=$B96)*(D_Points!$A$5:$A$204&lt;$B96+P_Interval)*(RIGHT(UPPER(TRIM(D_Points!$B$5:$B$204)),7)="_BRIDGE")),IF(LEFT(UPPER(TRIM(D_Points!$B$5:$B$204)),2)="EX",1,IF(LEFT(UPPER(TRIM(D_Points!$B$5:$B$204)),2)="PR",2,2))),"")</f>
        <v/>
      </c>
      <c r="T96" s="181" t="str">
        <f>IFERROR(LOOKUP(2,1/((B_Drainage!$A$5:$A$204&lt;&gt;"")*(B_Drainage!$A$5:$A$204&lt;=$B96)*(B_Drainage!$B$5:$B$204&gt;$B96)*(B_Drainage!$E$5:$E$204&lt;&gt;"")),IF(B_Drainage!$E$5:$E$204="-","",1)),"")</f>
        <v/>
      </c>
      <c r="U96" s="181" t="str">
        <f>IFERROR(LOOKUP(2,1/((B_Drainage!$A$5:$A$204&lt;&gt;"")*(B_Drainage!$A$5:$A$204&lt;=$B96)*(B_Drainage!$B$5:$B$204&gt;$B96)*(B_Drainage!$E$5:$E$204&lt;&gt;"")),IF(B_Drainage!$E$5:$E$204="-","",B_Drainage!$E$5:$E$204)),"")</f>
        <v/>
      </c>
      <c r="V96" s="181" t="str">
        <f>IFERROR(LOOKUP(2,1/((B_Drainage!$A$5:$A$204&lt;&gt;"")*(B_Drainage!$A$5:$A$204&lt;=$B96)*(B_Drainage!$B$5:$B$204&gt;$B96)*(B_Drainage!$F$5:$F$204&lt;&gt;"")),IF(B_Drainage!$F$5:$F$204="-","",1)),"")</f>
        <v/>
      </c>
      <c r="W96" s="181" t="str">
        <f>IFERROR(LOOKUP(2,1/((B_Drainage!$A$5:$A$204&lt;&gt;"")*(B_Drainage!$A$5:$A$204&lt;=$B96)*(B_Drainage!$B$5:$B$204&gt;$B96)*(B_Drainage!$F$5:$F$204&lt;&gt;"")),IF(B_Drainage!$F$5:$F$204="-","",B_Drainage!$F$5:$F$204)),"")</f>
        <v/>
      </c>
      <c r="X96" s="181" t="str">
        <f>IFERROR(LOOKUP(2,1/((B_Drainage!$A$5:$A$204&lt;&gt;"")*(B_Drainage!$A$5:$A$204&lt;=$B96)*(B_Drainage!$B$5:$B$204&gt;$B96)*(B_Drainage!$G$5:$G$204&lt;&gt;"")),IF(UPPER(B_Drainage!$G$5:$G$204)="Y",1,"")),"")</f>
        <v/>
      </c>
      <c r="Y96" s="181" t="str">
        <f>IFERROR(LOOKUP(2,1/((B_Drainage!$A$5:$A$204&lt;&gt;"")*(B_Drainage!$A$5:$A$204&lt;=$B96)*(B_Drainage!$B$5:$B$204&gt;$B96)*(B_Drainage!$H$5:$H$204&lt;&gt;"")),IF(UPPER(B_Drainage!$H$5:$H$204)="Y",1,"")),"")</f>
        <v/>
      </c>
      <c r="Z96" s="181" t="str">
        <f>IFERROR(LOOKUP(2,1/((B_Drainage!$A$5:$A$204&lt;&gt;"")*(B_Drainage!$A$5:$A$204&lt;=$B96)*(B_Drainage!$B$5:$B$204&gt;$B96)*(B_Drainage!$I$5:$I$204&lt;&gt;"")),IF(UPPER(B_Drainage!$I$5:$I$204)="Y",1,"")),"")</f>
        <v/>
      </c>
      <c r="AA96" s="181" t="str">
        <f>IFERROR(LOOKUP(2,1/((B_Drainage!$A$5:$A$204&lt;&gt;"")*(B_Drainage!$A$5:$A$204&lt;=$B96)*(B_Drainage!$B$5:$B$204&gt;$B96)*(B_Drainage!$J$5:$J$204&lt;&gt;"")),IF(UPPER(B_Drainage!$J$5:$J$204)="Y",1,"")),"")</f>
        <v/>
      </c>
      <c r="AB96" s="182" t="str">
        <f>IFERROR(LOOKUP(2,1/((B_Drainage!$A$5:$A$204&lt;&gt;"")*(B_Drainage!$A$5:$A$204&lt;=$B96)*(B_Drainage!$B$5:$B$204&gt;$B96)*(B_Drainage!$K$5:$K$204&lt;&gt;"")),IF(B_Drainage!$K$5:$K$204="-","",B_Drainage!$K$5:$K$204)),"")</f>
        <v/>
      </c>
      <c r="AC96" s="182" t="str">
        <f>IFERROR(LOOKUP(2,1/((B_Drainage!$A$5:$A$204&lt;&gt;"")*(B_Drainage!$A$5:$A$204&lt;=$B96)*(B_Drainage!$B$5:$B$204&gt;$B96)*(B_Drainage!$L$5:$L$204&lt;&gt;"")),IF(B_Drainage!$L$5:$L$204="-","",B_Drainage!$L$5:$L$204)),"")</f>
        <v/>
      </c>
      <c r="AD96" s="182" t="str">
        <f>IFERROR(LOOKUP(2,1/((D_Points!$A$5:$A$204&lt;&gt;"")*(D_Points!$A$5:$A$204&gt;=$B96)*(D_Points!$A$5:$A$204&lt;$B96+P_Interval)*(UPPER(TRIM(D_Points!$B$5:$B$204))="TURNOUT_L")*(D_Points!$H$5:$H$204&lt;&gt;"")),D_Points!$H$5:$H$204),"")</f>
        <v/>
      </c>
      <c r="AE96" s="182" t="str">
        <f>IFERROR(LOOKUP(2,1/((D_Points!$A$5:$A$204&lt;&gt;"")*(D_Points!$A$5:$A$204&gt;=$B96)*(D_Points!$A$5:$A$204&lt;$B96+P_Interval)*(UPPER(TRIM(D_Points!$B$5:$B$204))="TURNOUT_R")*(D_Points!$H$5:$H$204&lt;&gt;"")),D_Points!$H$5:$H$204),"")</f>
        <v/>
      </c>
      <c r="AF96" s="181" t="str">
        <f>IFERROR(LOOKUP(2,1/((B_Drainage!$A$5:$A$204&lt;&gt;"")*(B_Drainage!$A$5:$A$204&lt;=$B96)*(B_Drainage!$B$5:$B$204&gt;$B96)*(B_Drainage!$M$5:$M$204&lt;&gt;"")),IF(UPPER(B_Drainage!$M$5:$M$204)="Y",1,"")),"")</f>
        <v/>
      </c>
      <c r="AG96" s="181" t="str">
        <f>IFERROR(LOOKUP(2,1/((B_Drainage!$A$5:$A$204&lt;&gt;"")*(B_Drainage!$A$5:$A$204&lt;=$B96)*(B_Drainage!$B$5:$B$204&gt;$B96)*(B_Drainage!$N$5:$N$204&lt;&gt;"")),IF(UPPER(B_Drainage!$N$5:$N$204)="Y",1,"")),"")</f>
        <v/>
      </c>
      <c r="AH96" s="181" t="str">
        <f t="shared" si="8"/>
        <v/>
      </c>
      <c r="AI96" s="181" t="str">
        <f t="shared" si="9"/>
        <v/>
      </c>
      <c r="AJ96" s="181" t="str">
        <f t="shared" si="10"/>
        <v/>
      </c>
      <c r="AK96" s="181" t="str">
        <f t="shared" si="11"/>
        <v/>
      </c>
      <c r="AL96" s="181" t="str">
        <f t="shared" si="12"/>
        <v/>
      </c>
      <c r="AM96" s="181" t="str">
        <f t="shared" si="13"/>
        <v/>
      </c>
      <c r="AN96" s="181" t="str">
        <f t="shared" si="14"/>
        <v/>
      </c>
      <c r="AO96" s="192" t="str">
        <f t="shared" si="15"/>
        <v/>
      </c>
      <c r="AQ96" t="str">
        <f>IFERROR(LOOKUP(2,1/((C_Pavement!$A$5:$A$204&lt;&gt;"")*(C_Pavement!$A$5:$A$204&lt;=$B96)*(C_Pavement!$B$5:$B$204&gt;$B96)*(C_Pavement!$C$5:$C$204&lt;&gt;"")),ROW(C_Pavement!$C$5:$C$204)-4),"")</f>
        <v/>
      </c>
      <c r="AR96" t="str">
        <f>IF($AQ96="","",UPPER(TRIM(INDEX(C_Pavement!$C$5:$C$204,$AQ96))))</f>
        <v/>
      </c>
      <c r="AS96" t="str">
        <f>IF($AR96="","",IFERROR(MATCH($AR96,E_Rules!$A$5:$A$9,0),""))</f>
        <v/>
      </c>
      <c r="AT96" t="str">
        <f>IF($AQ96="","",IF(INDEX(C_Pavement!$D$5:$D$204,$AQ96)&lt;&gt;"",UPPER(TRIM(INDEX(C_Pavement!$D$5:$D$204,$AQ96))),IF($AS96="","",INDEX(E_Rules!$C$5:$C$9,$AS96))))</f>
        <v/>
      </c>
      <c r="AU96" t="str">
        <f>IF($AQ96="","",IF(INDEX(C_Pavement!$E$5:$E$204,$AQ96)&lt;&gt;"",IF(INDEX(C_Pavement!$E$5:$E$204,$AQ96)="-","",INDEX(C_Pavement!$E$5:$E$204,$AQ96)),IF($AS96="","",INDEX(E_Rules!$D$5:$D$9,$AS96))))</f>
        <v/>
      </c>
      <c r="AV96" t="str">
        <f>IF($AQ96="","",IF(INDEX(C_Pavement!$F$5:$F$204,$AQ96)&lt;&gt;"",IF(INDEX(C_Pavement!$F$5:$F$204,$AQ96)="-","",INDEX(C_Pavement!$F$5:$F$204,$AQ96)),IF($AS96="","",INDEX(E_Rules!$E$5:$E$9,$AS96))))</f>
        <v/>
      </c>
      <c r="AW96" t="str">
        <f>IF($AQ96="","",IF(INDEX(C_Pavement!$G$5:$G$204,$AQ96)&lt;&gt;"",IF(INDEX(C_Pavement!$G$5:$G$204,$AQ96)="-","",INDEX(C_Pavement!$G$5:$G$204,$AQ96)),IF($AS96="","",INDEX(E_Rules!$F$5:$F$9,$AS96))))</f>
        <v/>
      </c>
      <c r="AX96" t="str">
        <f>IF($AQ96="","",IF(INDEX(C_Pavement!$H$5:$H$204,$AQ96)&lt;&gt;"",IF(INDEX(C_Pavement!$H$5:$H$204,$AQ96)="-","",INDEX(C_Pavement!$H$5:$H$204,$AQ96)),IF($AS96="","",INDEX(E_Rules!$G$5:$G$9,$AS96))))</f>
        <v/>
      </c>
      <c r="AY96" t="str">
        <f>IF($AQ96="","",IF(INDEX(C_Pavement!$I$5:$I$204,$AQ96)&lt;&gt;"",IF(INDEX(C_Pavement!$I$5:$I$204,$AQ96)="-","",INDEX(C_Pavement!$I$5:$I$204,$AQ96)),IF($AS96="","",INDEX(E_Rules!$H$5:$H$9,$AS96))))</f>
        <v/>
      </c>
    </row>
    <row r="97" spans="1:51" ht="15.75" customHeight="1" x14ac:dyDescent="0.3">
      <c r="A97" s="189">
        <v>92</v>
      </c>
      <c r="B97" s="180">
        <v>4550</v>
      </c>
      <c r="C97" s="180" t="s">
        <v>403</v>
      </c>
      <c r="D97" s="181" t="str">
        <f>IFERROR(LOOKUP(2,1/((A_Corridor!$A$5:$A$204&lt;&gt;"")*(A_Corridor!$A$5:$A$204&lt;=$B97)*(A_Corridor!$B$5:$B$204&gt;$B97)*(A_Corridor!$C$5:$C$204&lt;&gt;"")),IF(UPPER(A_Corridor!$C$5:$C$204)="Y",1,"")),"")</f>
        <v/>
      </c>
      <c r="E97" s="181" t="str">
        <f>IFERROR(LOOKUP(2,1/((A_Corridor!$A$5:$A$204&lt;&gt;"")*(A_Corridor!$A$5:$A$204&lt;=$B97)*(A_Corridor!$B$5:$B$204&gt;$B97)*(A_Corridor!$D$5:$D$204&lt;&gt;"")),IF(A_Corridor!$D$5:$D$204="-","",UPPER(A_Corridor!$D$5:$D$204))),"")</f>
        <v/>
      </c>
      <c r="F97" s="181" t="str">
        <f>IFERROR(LOOKUP(2,1/((A_Corridor!$A$5:$A$204&lt;&gt;"")*(A_Corridor!$A$5:$A$204&lt;=$B97)*(A_Corridor!$B$5:$B$204&gt;$B97)*(A_Corridor!$E$5:$E$204&lt;&gt;"")),IF(A_Corridor!$E$5:$E$204="-","",1)),"")</f>
        <v/>
      </c>
      <c r="G97" s="182" t="str">
        <f>IFERROR(LOOKUP(2,1/((A_Corridor!$A$5:$A$204&lt;&gt;"")*(A_Corridor!$A$5:$A$204&lt;=$B97)*(A_Corridor!$B$5:$B$204&gt;$B97)*(A_Corridor!$E$5:$E$204&lt;&gt;"")),IF(A_Corridor!$E$5:$E$204="-","",A_Corridor!$E$5:$E$204)),"")</f>
        <v/>
      </c>
      <c r="H97" s="182" t="str">
        <f>IFERROR(LOOKUP(2,1/((D_Points!$A$5:$A$204&lt;&gt;"")*(D_Points!$A$5:$A$204&gt;=$B97)*(D_Points!$A$5:$A$204&lt;$B97+P_Interval)*(UPPER(TRIM(D_Points!$B$5:$B$204))="GULLY")*(D_Points!$H$5:$H$204&lt;&gt;"")),D_Points!$H$5:$H$204),"")</f>
        <v/>
      </c>
      <c r="I97" s="181" t="str">
        <f>IFERROR(LOOKUP(2,1/((A_Corridor!$A$5:$A$204&lt;&gt;"")*(A_Corridor!$A$5:$A$204&lt;=$B97)*(A_Corridor!$B$5:$B$204&gt;$B97)*(A_Corridor!$F$5:$F$204&lt;&gt;"")),IF(A_Corridor!$F$5:$F$204="-","",1)),"")</f>
        <v/>
      </c>
      <c r="J97" s="182" t="str">
        <f>IFERROR(LOOKUP(2,1/((A_Corridor!$A$5:$A$204&lt;&gt;"")*(A_Corridor!$A$5:$A$204&lt;=$B97)*(A_Corridor!$B$5:$B$204&gt;$B97)*(A_Corridor!$F$5:$F$204&lt;&gt;"")),IF(A_Corridor!$F$5:$F$204="-","",A_Corridor!$F$5:$F$204)),"")</f>
        <v/>
      </c>
      <c r="K97" s="182" t="str">
        <f>IFERROR(LOOKUP(2,1/((A_Corridor!$A$5:$A$204&lt;&gt;"")*(A_Corridor!$A$5:$A$204&lt;=$B97)*(A_Corridor!$B$5:$B$204&gt;$B97)*(A_Corridor!$G$5:$G$204&lt;&gt;"")),IF(A_Corridor!$G$5:$G$204="-","",A_Corridor!$G$5:$G$204)),"")</f>
        <v/>
      </c>
      <c r="L97" s="181" t="str">
        <f>IFERROR(LOOKUP(2,1/((A_Corridor!$A$5:$A$204&lt;&gt;"")*(A_Corridor!$A$5:$A$204&lt;=$B97)*(A_Corridor!$B$5:$B$204&gt;$B97)*(A_Corridor!$H$5:$H$204&lt;&gt;"")),IF(A_Corridor!$H$5:$H$204="-","",1)),"")</f>
        <v/>
      </c>
      <c r="M97" s="182" t="str">
        <f>IFERROR(LOOKUP(2,1/((A_Corridor!$A$5:$A$204&lt;&gt;"")*(A_Corridor!$A$5:$A$204&lt;=$B97)*(A_Corridor!$B$5:$B$204&gt;$B97)*(A_Corridor!$H$5:$H$204&lt;&gt;"")),IF(A_Corridor!$H$5:$H$204="-","",A_Corridor!$H$5:$H$204)),"")</f>
        <v/>
      </c>
      <c r="N97" s="182" t="str">
        <f>IFERROR(LOOKUP(2,1/((A_Corridor!$A$5:$A$204&lt;&gt;"")*(A_Corridor!$A$5:$A$204&lt;=$B97)*(A_Corridor!$B$5:$B$204&gt;$B97)*(A_Corridor!$I$5:$I$204&lt;&gt;"")),IF(A_Corridor!$I$5:$I$204="-","",A_Corridor!$I$5:$I$204)),"")</f>
        <v/>
      </c>
      <c r="O97" s="182" t="str">
        <f>IFERROR(LOOKUP(2,1/((D_Points!$A$5:$A$204&lt;&gt;"")*(D_Points!$A$5:$A$204&gt;=$B97)*(D_Points!$A$5:$A$204&lt;$B97+P_Interval)*(UPPER(TRIM(D_Points!$B$5:$B$204))="PITCHING")*(D_Points!$H$5:$H$204&lt;&gt;"")),D_Points!$H$5:$H$204),"")</f>
        <v/>
      </c>
      <c r="P97" s="181" t="str">
        <f>IFERROR(LOOKUP(2,1/((B_Drainage!$A$5:$A$204&lt;&gt;"")*(B_Drainage!$A$5:$A$204&lt;=$B97)*(B_Drainage!$B$5:$B$204&gt;$B97)*(B_Drainage!$C$5:$C$204&lt;&gt;"")),IF(B_Drainage!$C$5:$C$204="-","",UPPER(B_Drainage!$C$5:$C$204))),"")</f>
        <v/>
      </c>
      <c r="Q97" s="181" t="str">
        <f>IFERROR(LOOKUP(2,1/((B_Drainage!$A$5:$A$204&lt;&gt;"")*(B_Drainage!$A$5:$A$204&lt;=$B97)*(B_Drainage!$B$5:$B$204&gt;$B97)*(B_Drainage!$D$5:$D$204&lt;&gt;"")),IF(B_Drainage!$D$5:$D$204="-","",UPPER(B_Drainage!$D$5:$D$204))),"")</f>
        <v/>
      </c>
      <c r="R97" s="182" t="str">
        <f>IFERROR(LOOKUP(2,1/((D_Points!$A$5:$A$204&lt;&gt;"")*(D_Points!$A$5:$A$204&gt;=$B97)*(D_Points!$A$5:$A$204&lt;$B97+P_Interval)*(RIGHT(UPPER(TRIM(D_Points!$B$5:$B$204)),8)="_CULVERT")),IF(LEFT(UPPER(TRIM(D_Points!$B$5:$B$204)),2)="EX",1,IF(LEFT(UPPER(TRIM(D_Points!$B$5:$B$204)),2)="PR",2,3))),"")</f>
        <v/>
      </c>
      <c r="S97" s="182" t="str">
        <f>IFERROR(LOOKUP(2,1/((D_Points!$A$5:$A$204&lt;&gt;"")*(D_Points!$A$5:$A$204&gt;=$B97)*(D_Points!$A$5:$A$204&lt;$B97+P_Interval)*(RIGHT(UPPER(TRIM(D_Points!$B$5:$B$204)),7)="_BRIDGE")),IF(LEFT(UPPER(TRIM(D_Points!$B$5:$B$204)),2)="EX",1,IF(LEFT(UPPER(TRIM(D_Points!$B$5:$B$204)),2)="PR",2,2))),"")</f>
        <v/>
      </c>
      <c r="T97" s="181" t="str">
        <f>IFERROR(LOOKUP(2,1/((B_Drainage!$A$5:$A$204&lt;&gt;"")*(B_Drainage!$A$5:$A$204&lt;=$B97)*(B_Drainage!$B$5:$B$204&gt;$B97)*(B_Drainage!$E$5:$E$204&lt;&gt;"")),IF(B_Drainage!$E$5:$E$204="-","",1)),"")</f>
        <v/>
      </c>
      <c r="U97" s="181" t="str">
        <f>IFERROR(LOOKUP(2,1/((B_Drainage!$A$5:$A$204&lt;&gt;"")*(B_Drainage!$A$5:$A$204&lt;=$B97)*(B_Drainage!$B$5:$B$204&gt;$B97)*(B_Drainage!$E$5:$E$204&lt;&gt;"")),IF(B_Drainage!$E$5:$E$204="-","",B_Drainage!$E$5:$E$204)),"")</f>
        <v/>
      </c>
      <c r="V97" s="181" t="str">
        <f>IFERROR(LOOKUP(2,1/((B_Drainage!$A$5:$A$204&lt;&gt;"")*(B_Drainage!$A$5:$A$204&lt;=$B97)*(B_Drainage!$B$5:$B$204&gt;$B97)*(B_Drainage!$F$5:$F$204&lt;&gt;"")),IF(B_Drainage!$F$5:$F$204="-","",1)),"")</f>
        <v/>
      </c>
      <c r="W97" s="181" t="str">
        <f>IFERROR(LOOKUP(2,1/((B_Drainage!$A$5:$A$204&lt;&gt;"")*(B_Drainage!$A$5:$A$204&lt;=$B97)*(B_Drainage!$B$5:$B$204&gt;$B97)*(B_Drainage!$F$5:$F$204&lt;&gt;"")),IF(B_Drainage!$F$5:$F$204="-","",B_Drainage!$F$5:$F$204)),"")</f>
        <v/>
      </c>
      <c r="X97" s="181" t="str">
        <f>IFERROR(LOOKUP(2,1/((B_Drainage!$A$5:$A$204&lt;&gt;"")*(B_Drainage!$A$5:$A$204&lt;=$B97)*(B_Drainage!$B$5:$B$204&gt;$B97)*(B_Drainage!$G$5:$G$204&lt;&gt;"")),IF(UPPER(B_Drainage!$G$5:$G$204)="Y",1,"")),"")</f>
        <v/>
      </c>
      <c r="Y97" s="181" t="str">
        <f>IFERROR(LOOKUP(2,1/((B_Drainage!$A$5:$A$204&lt;&gt;"")*(B_Drainage!$A$5:$A$204&lt;=$B97)*(B_Drainage!$B$5:$B$204&gt;$B97)*(B_Drainage!$H$5:$H$204&lt;&gt;"")),IF(UPPER(B_Drainage!$H$5:$H$204)="Y",1,"")),"")</f>
        <v/>
      </c>
      <c r="Z97" s="181" t="str">
        <f>IFERROR(LOOKUP(2,1/((B_Drainage!$A$5:$A$204&lt;&gt;"")*(B_Drainage!$A$5:$A$204&lt;=$B97)*(B_Drainage!$B$5:$B$204&gt;$B97)*(B_Drainage!$I$5:$I$204&lt;&gt;"")),IF(UPPER(B_Drainage!$I$5:$I$204)="Y",1,"")),"")</f>
        <v/>
      </c>
      <c r="AA97" s="181" t="str">
        <f>IFERROR(LOOKUP(2,1/((B_Drainage!$A$5:$A$204&lt;&gt;"")*(B_Drainage!$A$5:$A$204&lt;=$B97)*(B_Drainage!$B$5:$B$204&gt;$B97)*(B_Drainage!$J$5:$J$204&lt;&gt;"")),IF(UPPER(B_Drainage!$J$5:$J$204)="Y",1,"")),"")</f>
        <v/>
      </c>
      <c r="AB97" s="182" t="str">
        <f>IFERROR(LOOKUP(2,1/((B_Drainage!$A$5:$A$204&lt;&gt;"")*(B_Drainage!$A$5:$A$204&lt;=$B97)*(B_Drainage!$B$5:$B$204&gt;$B97)*(B_Drainage!$K$5:$K$204&lt;&gt;"")),IF(B_Drainage!$K$5:$K$204="-","",B_Drainage!$K$5:$K$204)),"")</f>
        <v/>
      </c>
      <c r="AC97" s="182" t="str">
        <f>IFERROR(LOOKUP(2,1/((B_Drainage!$A$5:$A$204&lt;&gt;"")*(B_Drainage!$A$5:$A$204&lt;=$B97)*(B_Drainage!$B$5:$B$204&gt;$B97)*(B_Drainage!$L$5:$L$204&lt;&gt;"")),IF(B_Drainage!$L$5:$L$204="-","",B_Drainage!$L$5:$L$204)),"")</f>
        <v/>
      </c>
      <c r="AD97" s="182" t="str">
        <f>IFERROR(LOOKUP(2,1/((D_Points!$A$5:$A$204&lt;&gt;"")*(D_Points!$A$5:$A$204&gt;=$B97)*(D_Points!$A$5:$A$204&lt;$B97+P_Interval)*(UPPER(TRIM(D_Points!$B$5:$B$204))="TURNOUT_L")*(D_Points!$H$5:$H$204&lt;&gt;"")),D_Points!$H$5:$H$204),"")</f>
        <v/>
      </c>
      <c r="AE97" s="182" t="str">
        <f>IFERROR(LOOKUP(2,1/((D_Points!$A$5:$A$204&lt;&gt;"")*(D_Points!$A$5:$A$204&gt;=$B97)*(D_Points!$A$5:$A$204&lt;$B97+P_Interval)*(UPPER(TRIM(D_Points!$B$5:$B$204))="TURNOUT_R")*(D_Points!$H$5:$H$204&lt;&gt;"")),D_Points!$H$5:$H$204),"")</f>
        <v/>
      </c>
      <c r="AF97" s="181" t="str">
        <f>IFERROR(LOOKUP(2,1/((B_Drainage!$A$5:$A$204&lt;&gt;"")*(B_Drainage!$A$5:$A$204&lt;=$B97)*(B_Drainage!$B$5:$B$204&gt;$B97)*(B_Drainage!$M$5:$M$204&lt;&gt;"")),IF(UPPER(B_Drainage!$M$5:$M$204)="Y",1,"")),"")</f>
        <v/>
      </c>
      <c r="AG97" s="181" t="str">
        <f>IFERROR(LOOKUP(2,1/((B_Drainage!$A$5:$A$204&lt;&gt;"")*(B_Drainage!$A$5:$A$204&lt;=$B97)*(B_Drainage!$B$5:$B$204&gt;$B97)*(B_Drainage!$N$5:$N$204&lt;&gt;"")),IF(UPPER(B_Drainage!$N$5:$N$204)="Y",1,"")),"")</f>
        <v/>
      </c>
      <c r="AH97" s="181" t="str">
        <f t="shared" si="8"/>
        <v/>
      </c>
      <c r="AI97" s="181" t="str">
        <f t="shared" si="9"/>
        <v/>
      </c>
      <c r="AJ97" s="181" t="str">
        <f t="shared" si="10"/>
        <v/>
      </c>
      <c r="AK97" s="181" t="str">
        <f t="shared" si="11"/>
        <v/>
      </c>
      <c r="AL97" s="181" t="str">
        <f t="shared" si="12"/>
        <v/>
      </c>
      <c r="AM97" s="181" t="str">
        <f t="shared" si="13"/>
        <v/>
      </c>
      <c r="AN97" s="181" t="str">
        <f t="shared" si="14"/>
        <v/>
      </c>
      <c r="AO97" s="192" t="str">
        <f t="shared" si="15"/>
        <v/>
      </c>
      <c r="AQ97" t="str">
        <f>IFERROR(LOOKUP(2,1/((C_Pavement!$A$5:$A$204&lt;&gt;"")*(C_Pavement!$A$5:$A$204&lt;=$B97)*(C_Pavement!$B$5:$B$204&gt;$B97)*(C_Pavement!$C$5:$C$204&lt;&gt;"")),ROW(C_Pavement!$C$5:$C$204)-4),"")</f>
        <v/>
      </c>
      <c r="AR97" t="str">
        <f>IF($AQ97="","",UPPER(TRIM(INDEX(C_Pavement!$C$5:$C$204,$AQ97))))</f>
        <v/>
      </c>
      <c r="AS97" t="str">
        <f>IF($AR97="","",IFERROR(MATCH($AR97,E_Rules!$A$5:$A$9,0),""))</f>
        <v/>
      </c>
      <c r="AT97" t="str">
        <f>IF($AQ97="","",IF(INDEX(C_Pavement!$D$5:$D$204,$AQ97)&lt;&gt;"",UPPER(TRIM(INDEX(C_Pavement!$D$5:$D$204,$AQ97))),IF($AS97="","",INDEX(E_Rules!$C$5:$C$9,$AS97))))</f>
        <v/>
      </c>
      <c r="AU97" t="str">
        <f>IF($AQ97="","",IF(INDEX(C_Pavement!$E$5:$E$204,$AQ97)&lt;&gt;"",IF(INDEX(C_Pavement!$E$5:$E$204,$AQ97)="-","",INDEX(C_Pavement!$E$5:$E$204,$AQ97)),IF($AS97="","",INDEX(E_Rules!$D$5:$D$9,$AS97))))</f>
        <v/>
      </c>
      <c r="AV97" t="str">
        <f>IF($AQ97="","",IF(INDEX(C_Pavement!$F$5:$F$204,$AQ97)&lt;&gt;"",IF(INDEX(C_Pavement!$F$5:$F$204,$AQ97)="-","",INDEX(C_Pavement!$F$5:$F$204,$AQ97)),IF($AS97="","",INDEX(E_Rules!$E$5:$E$9,$AS97))))</f>
        <v/>
      </c>
      <c r="AW97" t="str">
        <f>IF($AQ97="","",IF(INDEX(C_Pavement!$G$5:$G$204,$AQ97)&lt;&gt;"",IF(INDEX(C_Pavement!$G$5:$G$204,$AQ97)="-","",INDEX(C_Pavement!$G$5:$G$204,$AQ97)),IF($AS97="","",INDEX(E_Rules!$F$5:$F$9,$AS97))))</f>
        <v/>
      </c>
      <c r="AX97" t="str">
        <f>IF($AQ97="","",IF(INDEX(C_Pavement!$H$5:$H$204,$AQ97)&lt;&gt;"",IF(INDEX(C_Pavement!$H$5:$H$204,$AQ97)="-","",INDEX(C_Pavement!$H$5:$H$204,$AQ97)),IF($AS97="","",INDEX(E_Rules!$G$5:$G$9,$AS97))))</f>
        <v/>
      </c>
      <c r="AY97" t="str">
        <f>IF($AQ97="","",IF(INDEX(C_Pavement!$I$5:$I$204,$AQ97)&lt;&gt;"",IF(INDEX(C_Pavement!$I$5:$I$204,$AQ97)="-","",INDEX(C_Pavement!$I$5:$I$204,$AQ97)),IF($AS97="","",INDEX(E_Rules!$H$5:$H$9,$AS97))))</f>
        <v/>
      </c>
    </row>
    <row r="98" spans="1:51" ht="15.75" customHeight="1" x14ac:dyDescent="0.3">
      <c r="A98" s="189">
        <v>93</v>
      </c>
      <c r="B98" s="180">
        <v>4600</v>
      </c>
      <c r="C98" s="180" t="s">
        <v>404</v>
      </c>
      <c r="D98" s="181" t="str">
        <f>IFERROR(LOOKUP(2,1/((A_Corridor!$A$5:$A$204&lt;&gt;"")*(A_Corridor!$A$5:$A$204&lt;=$B98)*(A_Corridor!$B$5:$B$204&gt;$B98)*(A_Corridor!$C$5:$C$204&lt;&gt;"")),IF(UPPER(A_Corridor!$C$5:$C$204)="Y",1,"")),"")</f>
        <v/>
      </c>
      <c r="E98" s="181" t="str">
        <f>IFERROR(LOOKUP(2,1/((A_Corridor!$A$5:$A$204&lt;&gt;"")*(A_Corridor!$A$5:$A$204&lt;=$B98)*(A_Corridor!$B$5:$B$204&gt;$B98)*(A_Corridor!$D$5:$D$204&lt;&gt;"")),IF(A_Corridor!$D$5:$D$204="-","",UPPER(A_Corridor!$D$5:$D$204))),"")</f>
        <v/>
      </c>
      <c r="F98" s="181" t="str">
        <f>IFERROR(LOOKUP(2,1/((A_Corridor!$A$5:$A$204&lt;&gt;"")*(A_Corridor!$A$5:$A$204&lt;=$B98)*(A_Corridor!$B$5:$B$204&gt;$B98)*(A_Corridor!$E$5:$E$204&lt;&gt;"")),IF(A_Corridor!$E$5:$E$204="-","",1)),"")</f>
        <v/>
      </c>
      <c r="G98" s="182" t="str">
        <f>IFERROR(LOOKUP(2,1/((A_Corridor!$A$5:$A$204&lt;&gt;"")*(A_Corridor!$A$5:$A$204&lt;=$B98)*(A_Corridor!$B$5:$B$204&gt;$B98)*(A_Corridor!$E$5:$E$204&lt;&gt;"")),IF(A_Corridor!$E$5:$E$204="-","",A_Corridor!$E$5:$E$204)),"")</f>
        <v/>
      </c>
      <c r="H98" s="182" t="str">
        <f>IFERROR(LOOKUP(2,1/((D_Points!$A$5:$A$204&lt;&gt;"")*(D_Points!$A$5:$A$204&gt;=$B98)*(D_Points!$A$5:$A$204&lt;$B98+P_Interval)*(UPPER(TRIM(D_Points!$B$5:$B$204))="GULLY")*(D_Points!$H$5:$H$204&lt;&gt;"")),D_Points!$H$5:$H$204),"")</f>
        <v/>
      </c>
      <c r="I98" s="181" t="str">
        <f>IFERROR(LOOKUP(2,1/((A_Corridor!$A$5:$A$204&lt;&gt;"")*(A_Corridor!$A$5:$A$204&lt;=$B98)*(A_Corridor!$B$5:$B$204&gt;$B98)*(A_Corridor!$F$5:$F$204&lt;&gt;"")),IF(A_Corridor!$F$5:$F$204="-","",1)),"")</f>
        <v/>
      </c>
      <c r="J98" s="182" t="str">
        <f>IFERROR(LOOKUP(2,1/((A_Corridor!$A$5:$A$204&lt;&gt;"")*(A_Corridor!$A$5:$A$204&lt;=$B98)*(A_Corridor!$B$5:$B$204&gt;$B98)*(A_Corridor!$F$5:$F$204&lt;&gt;"")),IF(A_Corridor!$F$5:$F$204="-","",A_Corridor!$F$5:$F$204)),"")</f>
        <v/>
      </c>
      <c r="K98" s="182" t="str">
        <f>IFERROR(LOOKUP(2,1/((A_Corridor!$A$5:$A$204&lt;&gt;"")*(A_Corridor!$A$5:$A$204&lt;=$B98)*(A_Corridor!$B$5:$B$204&gt;$B98)*(A_Corridor!$G$5:$G$204&lt;&gt;"")),IF(A_Corridor!$G$5:$G$204="-","",A_Corridor!$G$5:$G$204)),"")</f>
        <v/>
      </c>
      <c r="L98" s="181" t="str">
        <f>IFERROR(LOOKUP(2,1/((A_Corridor!$A$5:$A$204&lt;&gt;"")*(A_Corridor!$A$5:$A$204&lt;=$B98)*(A_Corridor!$B$5:$B$204&gt;$B98)*(A_Corridor!$H$5:$H$204&lt;&gt;"")),IF(A_Corridor!$H$5:$H$204="-","",1)),"")</f>
        <v/>
      </c>
      <c r="M98" s="182" t="str">
        <f>IFERROR(LOOKUP(2,1/((A_Corridor!$A$5:$A$204&lt;&gt;"")*(A_Corridor!$A$5:$A$204&lt;=$B98)*(A_Corridor!$B$5:$B$204&gt;$B98)*(A_Corridor!$H$5:$H$204&lt;&gt;"")),IF(A_Corridor!$H$5:$H$204="-","",A_Corridor!$H$5:$H$204)),"")</f>
        <v/>
      </c>
      <c r="N98" s="182" t="str">
        <f>IFERROR(LOOKUP(2,1/((A_Corridor!$A$5:$A$204&lt;&gt;"")*(A_Corridor!$A$5:$A$204&lt;=$B98)*(A_Corridor!$B$5:$B$204&gt;$B98)*(A_Corridor!$I$5:$I$204&lt;&gt;"")),IF(A_Corridor!$I$5:$I$204="-","",A_Corridor!$I$5:$I$204)),"")</f>
        <v/>
      </c>
      <c r="O98" s="182" t="str">
        <f>IFERROR(LOOKUP(2,1/((D_Points!$A$5:$A$204&lt;&gt;"")*(D_Points!$A$5:$A$204&gt;=$B98)*(D_Points!$A$5:$A$204&lt;$B98+P_Interval)*(UPPER(TRIM(D_Points!$B$5:$B$204))="PITCHING")*(D_Points!$H$5:$H$204&lt;&gt;"")),D_Points!$H$5:$H$204),"")</f>
        <v/>
      </c>
      <c r="P98" s="181" t="str">
        <f>IFERROR(LOOKUP(2,1/((B_Drainage!$A$5:$A$204&lt;&gt;"")*(B_Drainage!$A$5:$A$204&lt;=$B98)*(B_Drainage!$B$5:$B$204&gt;$B98)*(B_Drainage!$C$5:$C$204&lt;&gt;"")),IF(B_Drainage!$C$5:$C$204="-","",UPPER(B_Drainage!$C$5:$C$204))),"")</f>
        <v/>
      </c>
      <c r="Q98" s="181" t="str">
        <f>IFERROR(LOOKUP(2,1/((B_Drainage!$A$5:$A$204&lt;&gt;"")*(B_Drainage!$A$5:$A$204&lt;=$B98)*(B_Drainage!$B$5:$B$204&gt;$B98)*(B_Drainage!$D$5:$D$204&lt;&gt;"")),IF(B_Drainage!$D$5:$D$204="-","",UPPER(B_Drainage!$D$5:$D$204))),"")</f>
        <v/>
      </c>
      <c r="R98" s="182" t="str">
        <f>IFERROR(LOOKUP(2,1/((D_Points!$A$5:$A$204&lt;&gt;"")*(D_Points!$A$5:$A$204&gt;=$B98)*(D_Points!$A$5:$A$204&lt;$B98+P_Interval)*(RIGHT(UPPER(TRIM(D_Points!$B$5:$B$204)),8)="_CULVERT")),IF(LEFT(UPPER(TRIM(D_Points!$B$5:$B$204)),2)="EX",1,IF(LEFT(UPPER(TRIM(D_Points!$B$5:$B$204)),2)="PR",2,3))),"")</f>
        <v/>
      </c>
      <c r="S98" s="182" t="str">
        <f>IFERROR(LOOKUP(2,1/((D_Points!$A$5:$A$204&lt;&gt;"")*(D_Points!$A$5:$A$204&gt;=$B98)*(D_Points!$A$5:$A$204&lt;$B98+P_Interval)*(RIGHT(UPPER(TRIM(D_Points!$B$5:$B$204)),7)="_BRIDGE")),IF(LEFT(UPPER(TRIM(D_Points!$B$5:$B$204)),2)="EX",1,IF(LEFT(UPPER(TRIM(D_Points!$B$5:$B$204)),2)="PR",2,2))),"")</f>
        <v/>
      </c>
      <c r="T98" s="181" t="str">
        <f>IFERROR(LOOKUP(2,1/((B_Drainage!$A$5:$A$204&lt;&gt;"")*(B_Drainage!$A$5:$A$204&lt;=$B98)*(B_Drainage!$B$5:$B$204&gt;$B98)*(B_Drainage!$E$5:$E$204&lt;&gt;"")),IF(B_Drainage!$E$5:$E$204="-","",1)),"")</f>
        <v/>
      </c>
      <c r="U98" s="181" t="str">
        <f>IFERROR(LOOKUP(2,1/((B_Drainage!$A$5:$A$204&lt;&gt;"")*(B_Drainage!$A$5:$A$204&lt;=$B98)*(B_Drainage!$B$5:$B$204&gt;$B98)*(B_Drainage!$E$5:$E$204&lt;&gt;"")),IF(B_Drainage!$E$5:$E$204="-","",B_Drainage!$E$5:$E$204)),"")</f>
        <v/>
      </c>
      <c r="V98" s="181" t="str">
        <f>IFERROR(LOOKUP(2,1/((B_Drainage!$A$5:$A$204&lt;&gt;"")*(B_Drainage!$A$5:$A$204&lt;=$B98)*(B_Drainage!$B$5:$B$204&gt;$B98)*(B_Drainage!$F$5:$F$204&lt;&gt;"")),IF(B_Drainage!$F$5:$F$204="-","",1)),"")</f>
        <v/>
      </c>
      <c r="W98" s="181" t="str">
        <f>IFERROR(LOOKUP(2,1/((B_Drainage!$A$5:$A$204&lt;&gt;"")*(B_Drainage!$A$5:$A$204&lt;=$B98)*(B_Drainage!$B$5:$B$204&gt;$B98)*(B_Drainage!$F$5:$F$204&lt;&gt;"")),IF(B_Drainage!$F$5:$F$204="-","",B_Drainage!$F$5:$F$204)),"")</f>
        <v/>
      </c>
      <c r="X98" s="181" t="str">
        <f>IFERROR(LOOKUP(2,1/((B_Drainage!$A$5:$A$204&lt;&gt;"")*(B_Drainage!$A$5:$A$204&lt;=$B98)*(B_Drainage!$B$5:$B$204&gt;$B98)*(B_Drainage!$G$5:$G$204&lt;&gt;"")),IF(UPPER(B_Drainage!$G$5:$G$204)="Y",1,"")),"")</f>
        <v/>
      </c>
      <c r="Y98" s="181" t="str">
        <f>IFERROR(LOOKUP(2,1/((B_Drainage!$A$5:$A$204&lt;&gt;"")*(B_Drainage!$A$5:$A$204&lt;=$B98)*(B_Drainage!$B$5:$B$204&gt;$B98)*(B_Drainage!$H$5:$H$204&lt;&gt;"")),IF(UPPER(B_Drainage!$H$5:$H$204)="Y",1,"")),"")</f>
        <v/>
      </c>
      <c r="Z98" s="181" t="str">
        <f>IFERROR(LOOKUP(2,1/((B_Drainage!$A$5:$A$204&lt;&gt;"")*(B_Drainage!$A$5:$A$204&lt;=$B98)*(B_Drainage!$B$5:$B$204&gt;$B98)*(B_Drainage!$I$5:$I$204&lt;&gt;"")),IF(UPPER(B_Drainage!$I$5:$I$204)="Y",1,"")),"")</f>
        <v/>
      </c>
      <c r="AA98" s="181" t="str">
        <f>IFERROR(LOOKUP(2,1/((B_Drainage!$A$5:$A$204&lt;&gt;"")*(B_Drainage!$A$5:$A$204&lt;=$B98)*(B_Drainage!$B$5:$B$204&gt;$B98)*(B_Drainage!$J$5:$J$204&lt;&gt;"")),IF(UPPER(B_Drainage!$J$5:$J$204)="Y",1,"")),"")</f>
        <v/>
      </c>
      <c r="AB98" s="182" t="str">
        <f>IFERROR(LOOKUP(2,1/((B_Drainage!$A$5:$A$204&lt;&gt;"")*(B_Drainage!$A$5:$A$204&lt;=$B98)*(B_Drainage!$B$5:$B$204&gt;$B98)*(B_Drainage!$K$5:$K$204&lt;&gt;"")),IF(B_Drainage!$K$5:$K$204="-","",B_Drainage!$K$5:$K$204)),"")</f>
        <v/>
      </c>
      <c r="AC98" s="182" t="str">
        <f>IFERROR(LOOKUP(2,1/((B_Drainage!$A$5:$A$204&lt;&gt;"")*(B_Drainage!$A$5:$A$204&lt;=$B98)*(B_Drainage!$B$5:$B$204&gt;$B98)*(B_Drainage!$L$5:$L$204&lt;&gt;"")),IF(B_Drainage!$L$5:$L$204="-","",B_Drainage!$L$5:$L$204)),"")</f>
        <v/>
      </c>
      <c r="AD98" s="182" t="str">
        <f>IFERROR(LOOKUP(2,1/((D_Points!$A$5:$A$204&lt;&gt;"")*(D_Points!$A$5:$A$204&gt;=$B98)*(D_Points!$A$5:$A$204&lt;$B98+P_Interval)*(UPPER(TRIM(D_Points!$B$5:$B$204))="TURNOUT_L")*(D_Points!$H$5:$H$204&lt;&gt;"")),D_Points!$H$5:$H$204),"")</f>
        <v/>
      </c>
      <c r="AE98" s="182" t="str">
        <f>IFERROR(LOOKUP(2,1/((D_Points!$A$5:$A$204&lt;&gt;"")*(D_Points!$A$5:$A$204&gt;=$B98)*(D_Points!$A$5:$A$204&lt;$B98+P_Interval)*(UPPER(TRIM(D_Points!$B$5:$B$204))="TURNOUT_R")*(D_Points!$H$5:$H$204&lt;&gt;"")),D_Points!$H$5:$H$204),"")</f>
        <v/>
      </c>
      <c r="AF98" s="181" t="str">
        <f>IFERROR(LOOKUP(2,1/((B_Drainage!$A$5:$A$204&lt;&gt;"")*(B_Drainage!$A$5:$A$204&lt;=$B98)*(B_Drainage!$B$5:$B$204&gt;$B98)*(B_Drainage!$M$5:$M$204&lt;&gt;"")),IF(UPPER(B_Drainage!$M$5:$M$204)="Y",1,"")),"")</f>
        <v/>
      </c>
      <c r="AG98" s="181" t="str">
        <f>IFERROR(LOOKUP(2,1/((B_Drainage!$A$5:$A$204&lt;&gt;"")*(B_Drainage!$A$5:$A$204&lt;=$B98)*(B_Drainage!$B$5:$B$204&gt;$B98)*(B_Drainage!$N$5:$N$204&lt;&gt;"")),IF(UPPER(B_Drainage!$N$5:$N$204)="Y",1,"")),"")</f>
        <v/>
      </c>
      <c r="AH98" s="181" t="str">
        <f t="shared" si="8"/>
        <v/>
      </c>
      <c r="AI98" s="181" t="str">
        <f t="shared" si="9"/>
        <v/>
      </c>
      <c r="AJ98" s="181" t="str">
        <f t="shared" si="10"/>
        <v/>
      </c>
      <c r="AK98" s="181" t="str">
        <f t="shared" si="11"/>
        <v/>
      </c>
      <c r="AL98" s="181" t="str">
        <f t="shared" si="12"/>
        <v/>
      </c>
      <c r="AM98" s="181" t="str">
        <f t="shared" si="13"/>
        <v/>
      </c>
      <c r="AN98" s="181" t="str">
        <f t="shared" si="14"/>
        <v/>
      </c>
      <c r="AO98" s="192" t="str">
        <f t="shared" si="15"/>
        <v/>
      </c>
      <c r="AQ98" t="str">
        <f>IFERROR(LOOKUP(2,1/((C_Pavement!$A$5:$A$204&lt;&gt;"")*(C_Pavement!$A$5:$A$204&lt;=$B98)*(C_Pavement!$B$5:$B$204&gt;$B98)*(C_Pavement!$C$5:$C$204&lt;&gt;"")),ROW(C_Pavement!$C$5:$C$204)-4),"")</f>
        <v/>
      </c>
      <c r="AR98" t="str">
        <f>IF($AQ98="","",UPPER(TRIM(INDEX(C_Pavement!$C$5:$C$204,$AQ98))))</f>
        <v/>
      </c>
      <c r="AS98" t="str">
        <f>IF($AR98="","",IFERROR(MATCH($AR98,E_Rules!$A$5:$A$9,0),""))</f>
        <v/>
      </c>
      <c r="AT98" t="str">
        <f>IF($AQ98="","",IF(INDEX(C_Pavement!$D$5:$D$204,$AQ98)&lt;&gt;"",UPPER(TRIM(INDEX(C_Pavement!$D$5:$D$204,$AQ98))),IF($AS98="","",INDEX(E_Rules!$C$5:$C$9,$AS98))))</f>
        <v/>
      </c>
      <c r="AU98" t="str">
        <f>IF($AQ98="","",IF(INDEX(C_Pavement!$E$5:$E$204,$AQ98)&lt;&gt;"",IF(INDEX(C_Pavement!$E$5:$E$204,$AQ98)="-","",INDEX(C_Pavement!$E$5:$E$204,$AQ98)),IF($AS98="","",INDEX(E_Rules!$D$5:$D$9,$AS98))))</f>
        <v/>
      </c>
      <c r="AV98" t="str">
        <f>IF($AQ98="","",IF(INDEX(C_Pavement!$F$5:$F$204,$AQ98)&lt;&gt;"",IF(INDEX(C_Pavement!$F$5:$F$204,$AQ98)="-","",INDEX(C_Pavement!$F$5:$F$204,$AQ98)),IF($AS98="","",INDEX(E_Rules!$E$5:$E$9,$AS98))))</f>
        <v/>
      </c>
      <c r="AW98" t="str">
        <f>IF($AQ98="","",IF(INDEX(C_Pavement!$G$5:$G$204,$AQ98)&lt;&gt;"",IF(INDEX(C_Pavement!$G$5:$G$204,$AQ98)="-","",INDEX(C_Pavement!$G$5:$G$204,$AQ98)),IF($AS98="","",INDEX(E_Rules!$F$5:$F$9,$AS98))))</f>
        <v/>
      </c>
      <c r="AX98" t="str">
        <f>IF($AQ98="","",IF(INDEX(C_Pavement!$H$5:$H$204,$AQ98)&lt;&gt;"",IF(INDEX(C_Pavement!$H$5:$H$204,$AQ98)="-","",INDEX(C_Pavement!$H$5:$H$204,$AQ98)),IF($AS98="","",INDEX(E_Rules!$G$5:$G$9,$AS98))))</f>
        <v/>
      </c>
      <c r="AY98" t="str">
        <f>IF($AQ98="","",IF(INDEX(C_Pavement!$I$5:$I$204,$AQ98)&lt;&gt;"",IF(INDEX(C_Pavement!$I$5:$I$204,$AQ98)="-","",INDEX(C_Pavement!$I$5:$I$204,$AQ98)),IF($AS98="","",INDEX(E_Rules!$H$5:$H$9,$AS98))))</f>
        <v/>
      </c>
    </row>
    <row r="99" spans="1:51" ht="15.75" customHeight="1" x14ac:dyDescent="0.3">
      <c r="A99" s="189">
        <v>94</v>
      </c>
      <c r="B99" s="180">
        <v>4650</v>
      </c>
      <c r="C99" s="180" t="s">
        <v>405</v>
      </c>
      <c r="D99" s="181" t="str">
        <f>IFERROR(LOOKUP(2,1/((A_Corridor!$A$5:$A$204&lt;&gt;"")*(A_Corridor!$A$5:$A$204&lt;=$B99)*(A_Corridor!$B$5:$B$204&gt;$B99)*(A_Corridor!$C$5:$C$204&lt;&gt;"")),IF(UPPER(A_Corridor!$C$5:$C$204)="Y",1,"")),"")</f>
        <v/>
      </c>
      <c r="E99" s="181" t="str">
        <f>IFERROR(LOOKUP(2,1/((A_Corridor!$A$5:$A$204&lt;&gt;"")*(A_Corridor!$A$5:$A$204&lt;=$B99)*(A_Corridor!$B$5:$B$204&gt;$B99)*(A_Corridor!$D$5:$D$204&lt;&gt;"")),IF(A_Corridor!$D$5:$D$204="-","",UPPER(A_Corridor!$D$5:$D$204))),"")</f>
        <v/>
      </c>
      <c r="F99" s="181" t="str">
        <f>IFERROR(LOOKUP(2,1/((A_Corridor!$A$5:$A$204&lt;&gt;"")*(A_Corridor!$A$5:$A$204&lt;=$B99)*(A_Corridor!$B$5:$B$204&gt;$B99)*(A_Corridor!$E$5:$E$204&lt;&gt;"")),IF(A_Corridor!$E$5:$E$204="-","",1)),"")</f>
        <v/>
      </c>
      <c r="G99" s="182" t="str">
        <f>IFERROR(LOOKUP(2,1/((A_Corridor!$A$5:$A$204&lt;&gt;"")*(A_Corridor!$A$5:$A$204&lt;=$B99)*(A_Corridor!$B$5:$B$204&gt;$B99)*(A_Corridor!$E$5:$E$204&lt;&gt;"")),IF(A_Corridor!$E$5:$E$204="-","",A_Corridor!$E$5:$E$204)),"")</f>
        <v/>
      </c>
      <c r="H99" s="182" t="str">
        <f>IFERROR(LOOKUP(2,1/((D_Points!$A$5:$A$204&lt;&gt;"")*(D_Points!$A$5:$A$204&gt;=$B99)*(D_Points!$A$5:$A$204&lt;$B99+P_Interval)*(UPPER(TRIM(D_Points!$B$5:$B$204))="GULLY")*(D_Points!$H$5:$H$204&lt;&gt;"")),D_Points!$H$5:$H$204),"")</f>
        <v/>
      </c>
      <c r="I99" s="181" t="str">
        <f>IFERROR(LOOKUP(2,1/((A_Corridor!$A$5:$A$204&lt;&gt;"")*(A_Corridor!$A$5:$A$204&lt;=$B99)*(A_Corridor!$B$5:$B$204&gt;$B99)*(A_Corridor!$F$5:$F$204&lt;&gt;"")),IF(A_Corridor!$F$5:$F$204="-","",1)),"")</f>
        <v/>
      </c>
      <c r="J99" s="182" t="str">
        <f>IFERROR(LOOKUP(2,1/((A_Corridor!$A$5:$A$204&lt;&gt;"")*(A_Corridor!$A$5:$A$204&lt;=$B99)*(A_Corridor!$B$5:$B$204&gt;$B99)*(A_Corridor!$F$5:$F$204&lt;&gt;"")),IF(A_Corridor!$F$5:$F$204="-","",A_Corridor!$F$5:$F$204)),"")</f>
        <v/>
      </c>
      <c r="K99" s="182" t="str">
        <f>IFERROR(LOOKUP(2,1/((A_Corridor!$A$5:$A$204&lt;&gt;"")*(A_Corridor!$A$5:$A$204&lt;=$B99)*(A_Corridor!$B$5:$B$204&gt;$B99)*(A_Corridor!$G$5:$G$204&lt;&gt;"")),IF(A_Corridor!$G$5:$G$204="-","",A_Corridor!$G$5:$G$204)),"")</f>
        <v/>
      </c>
      <c r="L99" s="181" t="str">
        <f>IFERROR(LOOKUP(2,1/((A_Corridor!$A$5:$A$204&lt;&gt;"")*(A_Corridor!$A$5:$A$204&lt;=$B99)*(A_Corridor!$B$5:$B$204&gt;$B99)*(A_Corridor!$H$5:$H$204&lt;&gt;"")),IF(A_Corridor!$H$5:$H$204="-","",1)),"")</f>
        <v/>
      </c>
      <c r="M99" s="182" t="str">
        <f>IFERROR(LOOKUP(2,1/((A_Corridor!$A$5:$A$204&lt;&gt;"")*(A_Corridor!$A$5:$A$204&lt;=$B99)*(A_Corridor!$B$5:$B$204&gt;$B99)*(A_Corridor!$H$5:$H$204&lt;&gt;"")),IF(A_Corridor!$H$5:$H$204="-","",A_Corridor!$H$5:$H$204)),"")</f>
        <v/>
      </c>
      <c r="N99" s="182" t="str">
        <f>IFERROR(LOOKUP(2,1/((A_Corridor!$A$5:$A$204&lt;&gt;"")*(A_Corridor!$A$5:$A$204&lt;=$B99)*(A_Corridor!$B$5:$B$204&gt;$B99)*(A_Corridor!$I$5:$I$204&lt;&gt;"")),IF(A_Corridor!$I$5:$I$204="-","",A_Corridor!$I$5:$I$204)),"")</f>
        <v/>
      </c>
      <c r="O99" s="182" t="str">
        <f>IFERROR(LOOKUP(2,1/((D_Points!$A$5:$A$204&lt;&gt;"")*(D_Points!$A$5:$A$204&gt;=$B99)*(D_Points!$A$5:$A$204&lt;$B99+P_Interval)*(UPPER(TRIM(D_Points!$B$5:$B$204))="PITCHING")*(D_Points!$H$5:$H$204&lt;&gt;"")),D_Points!$H$5:$H$204),"")</f>
        <v/>
      </c>
      <c r="P99" s="181" t="str">
        <f>IFERROR(LOOKUP(2,1/((B_Drainage!$A$5:$A$204&lt;&gt;"")*(B_Drainage!$A$5:$A$204&lt;=$B99)*(B_Drainage!$B$5:$B$204&gt;$B99)*(B_Drainage!$C$5:$C$204&lt;&gt;"")),IF(B_Drainage!$C$5:$C$204="-","",UPPER(B_Drainage!$C$5:$C$204))),"")</f>
        <v/>
      </c>
      <c r="Q99" s="181" t="str">
        <f>IFERROR(LOOKUP(2,1/((B_Drainage!$A$5:$A$204&lt;&gt;"")*(B_Drainage!$A$5:$A$204&lt;=$B99)*(B_Drainage!$B$5:$B$204&gt;$B99)*(B_Drainage!$D$5:$D$204&lt;&gt;"")),IF(B_Drainage!$D$5:$D$204="-","",UPPER(B_Drainage!$D$5:$D$204))),"")</f>
        <v/>
      </c>
      <c r="R99" s="182" t="str">
        <f>IFERROR(LOOKUP(2,1/((D_Points!$A$5:$A$204&lt;&gt;"")*(D_Points!$A$5:$A$204&gt;=$B99)*(D_Points!$A$5:$A$204&lt;$B99+P_Interval)*(RIGHT(UPPER(TRIM(D_Points!$B$5:$B$204)),8)="_CULVERT")),IF(LEFT(UPPER(TRIM(D_Points!$B$5:$B$204)),2)="EX",1,IF(LEFT(UPPER(TRIM(D_Points!$B$5:$B$204)),2)="PR",2,3))),"")</f>
        <v/>
      </c>
      <c r="S99" s="182" t="str">
        <f>IFERROR(LOOKUP(2,1/((D_Points!$A$5:$A$204&lt;&gt;"")*(D_Points!$A$5:$A$204&gt;=$B99)*(D_Points!$A$5:$A$204&lt;$B99+P_Interval)*(RIGHT(UPPER(TRIM(D_Points!$B$5:$B$204)),7)="_BRIDGE")),IF(LEFT(UPPER(TRIM(D_Points!$B$5:$B$204)),2)="EX",1,IF(LEFT(UPPER(TRIM(D_Points!$B$5:$B$204)),2)="PR",2,2))),"")</f>
        <v/>
      </c>
      <c r="T99" s="181" t="str">
        <f>IFERROR(LOOKUP(2,1/((B_Drainage!$A$5:$A$204&lt;&gt;"")*(B_Drainage!$A$5:$A$204&lt;=$B99)*(B_Drainage!$B$5:$B$204&gt;$B99)*(B_Drainage!$E$5:$E$204&lt;&gt;"")),IF(B_Drainage!$E$5:$E$204="-","",1)),"")</f>
        <v/>
      </c>
      <c r="U99" s="181" t="str">
        <f>IFERROR(LOOKUP(2,1/((B_Drainage!$A$5:$A$204&lt;&gt;"")*(B_Drainage!$A$5:$A$204&lt;=$B99)*(B_Drainage!$B$5:$B$204&gt;$B99)*(B_Drainage!$E$5:$E$204&lt;&gt;"")),IF(B_Drainage!$E$5:$E$204="-","",B_Drainage!$E$5:$E$204)),"")</f>
        <v/>
      </c>
      <c r="V99" s="181" t="str">
        <f>IFERROR(LOOKUP(2,1/((B_Drainage!$A$5:$A$204&lt;&gt;"")*(B_Drainage!$A$5:$A$204&lt;=$B99)*(B_Drainage!$B$5:$B$204&gt;$B99)*(B_Drainage!$F$5:$F$204&lt;&gt;"")),IF(B_Drainage!$F$5:$F$204="-","",1)),"")</f>
        <v/>
      </c>
      <c r="W99" s="181" t="str">
        <f>IFERROR(LOOKUP(2,1/((B_Drainage!$A$5:$A$204&lt;&gt;"")*(B_Drainage!$A$5:$A$204&lt;=$B99)*(B_Drainage!$B$5:$B$204&gt;$B99)*(B_Drainage!$F$5:$F$204&lt;&gt;"")),IF(B_Drainage!$F$5:$F$204="-","",B_Drainage!$F$5:$F$204)),"")</f>
        <v/>
      </c>
      <c r="X99" s="181" t="str">
        <f>IFERROR(LOOKUP(2,1/((B_Drainage!$A$5:$A$204&lt;&gt;"")*(B_Drainage!$A$5:$A$204&lt;=$B99)*(B_Drainage!$B$5:$B$204&gt;$B99)*(B_Drainage!$G$5:$G$204&lt;&gt;"")),IF(UPPER(B_Drainage!$G$5:$G$204)="Y",1,"")),"")</f>
        <v/>
      </c>
      <c r="Y99" s="181" t="str">
        <f>IFERROR(LOOKUP(2,1/((B_Drainage!$A$5:$A$204&lt;&gt;"")*(B_Drainage!$A$5:$A$204&lt;=$B99)*(B_Drainage!$B$5:$B$204&gt;$B99)*(B_Drainage!$H$5:$H$204&lt;&gt;"")),IF(UPPER(B_Drainage!$H$5:$H$204)="Y",1,"")),"")</f>
        <v/>
      </c>
      <c r="Z99" s="181" t="str">
        <f>IFERROR(LOOKUP(2,1/((B_Drainage!$A$5:$A$204&lt;&gt;"")*(B_Drainage!$A$5:$A$204&lt;=$B99)*(B_Drainage!$B$5:$B$204&gt;$B99)*(B_Drainage!$I$5:$I$204&lt;&gt;"")),IF(UPPER(B_Drainage!$I$5:$I$204)="Y",1,"")),"")</f>
        <v/>
      </c>
      <c r="AA99" s="181" t="str">
        <f>IFERROR(LOOKUP(2,1/((B_Drainage!$A$5:$A$204&lt;&gt;"")*(B_Drainage!$A$5:$A$204&lt;=$B99)*(B_Drainage!$B$5:$B$204&gt;$B99)*(B_Drainage!$J$5:$J$204&lt;&gt;"")),IF(UPPER(B_Drainage!$J$5:$J$204)="Y",1,"")),"")</f>
        <v/>
      </c>
      <c r="AB99" s="182" t="str">
        <f>IFERROR(LOOKUP(2,1/((B_Drainage!$A$5:$A$204&lt;&gt;"")*(B_Drainage!$A$5:$A$204&lt;=$B99)*(B_Drainage!$B$5:$B$204&gt;$B99)*(B_Drainage!$K$5:$K$204&lt;&gt;"")),IF(B_Drainage!$K$5:$K$204="-","",B_Drainage!$K$5:$K$204)),"")</f>
        <v/>
      </c>
      <c r="AC99" s="182" t="str">
        <f>IFERROR(LOOKUP(2,1/((B_Drainage!$A$5:$A$204&lt;&gt;"")*(B_Drainage!$A$5:$A$204&lt;=$B99)*(B_Drainage!$B$5:$B$204&gt;$B99)*(B_Drainage!$L$5:$L$204&lt;&gt;"")),IF(B_Drainage!$L$5:$L$204="-","",B_Drainage!$L$5:$L$204)),"")</f>
        <v/>
      </c>
      <c r="AD99" s="182" t="str">
        <f>IFERROR(LOOKUP(2,1/((D_Points!$A$5:$A$204&lt;&gt;"")*(D_Points!$A$5:$A$204&gt;=$B99)*(D_Points!$A$5:$A$204&lt;$B99+P_Interval)*(UPPER(TRIM(D_Points!$B$5:$B$204))="TURNOUT_L")*(D_Points!$H$5:$H$204&lt;&gt;"")),D_Points!$H$5:$H$204),"")</f>
        <v/>
      </c>
      <c r="AE99" s="182" t="str">
        <f>IFERROR(LOOKUP(2,1/((D_Points!$A$5:$A$204&lt;&gt;"")*(D_Points!$A$5:$A$204&gt;=$B99)*(D_Points!$A$5:$A$204&lt;$B99+P_Interval)*(UPPER(TRIM(D_Points!$B$5:$B$204))="TURNOUT_R")*(D_Points!$H$5:$H$204&lt;&gt;"")),D_Points!$H$5:$H$204),"")</f>
        <v/>
      </c>
      <c r="AF99" s="181" t="str">
        <f>IFERROR(LOOKUP(2,1/((B_Drainage!$A$5:$A$204&lt;&gt;"")*(B_Drainage!$A$5:$A$204&lt;=$B99)*(B_Drainage!$B$5:$B$204&gt;$B99)*(B_Drainage!$M$5:$M$204&lt;&gt;"")),IF(UPPER(B_Drainage!$M$5:$M$204)="Y",1,"")),"")</f>
        <v/>
      </c>
      <c r="AG99" s="181" t="str">
        <f>IFERROR(LOOKUP(2,1/((B_Drainage!$A$5:$A$204&lt;&gt;"")*(B_Drainage!$A$5:$A$204&lt;=$B99)*(B_Drainage!$B$5:$B$204&gt;$B99)*(B_Drainage!$N$5:$N$204&lt;&gt;"")),IF(UPPER(B_Drainage!$N$5:$N$204)="Y",1,"")),"")</f>
        <v/>
      </c>
      <c r="AH99" s="181" t="str">
        <f t="shared" si="8"/>
        <v/>
      </c>
      <c r="AI99" s="181" t="str">
        <f t="shared" si="9"/>
        <v/>
      </c>
      <c r="AJ99" s="181" t="str">
        <f t="shared" si="10"/>
        <v/>
      </c>
      <c r="AK99" s="181" t="str">
        <f t="shared" si="11"/>
        <v/>
      </c>
      <c r="AL99" s="181" t="str">
        <f t="shared" si="12"/>
        <v/>
      </c>
      <c r="AM99" s="181" t="str">
        <f t="shared" si="13"/>
        <v/>
      </c>
      <c r="AN99" s="181" t="str">
        <f t="shared" si="14"/>
        <v/>
      </c>
      <c r="AO99" s="192" t="str">
        <f t="shared" si="15"/>
        <v/>
      </c>
      <c r="AQ99" t="str">
        <f>IFERROR(LOOKUP(2,1/((C_Pavement!$A$5:$A$204&lt;&gt;"")*(C_Pavement!$A$5:$A$204&lt;=$B99)*(C_Pavement!$B$5:$B$204&gt;$B99)*(C_Pavement!$C$5:$C$204&lt;&gt;"")),ROW(C_Pavement!$C$5:$C$204)-4),"")</f>
        <v/>
      </c>
      <c r="AR99" t="str">
        <f>IF($AQ99="","",UPPER(TRIM(INDEX(C_Pavement!$C$5:$C$204,$AQ99))))</f>
        <v/>
      </c>
      <c r="AS99" t="str">
        <f>IF($AR99="","",IFERROR(MATCH($AR99,E_Rules!$A$5:$A$9,0),""))</f>
        <v/>
      </c>
      <c r="AT99" t="str">
        <f>IF($AQ99="","",IF(INDEX(C_Pavement!$D$5:$D$204,$AQ99)&lt;&gt;"",UPPER(TRIM(INDEX(C_Pavement!$D$5:$D$204,$AQ99))),IF($AS99="","",INDEX(E_Rules!$C$5:$C$9,$AS99))))</f>
        <v/>
      </c>
      <c r="AU99" t="str">
        <f>IF($AQ99="","",IF(INDEX(C_Pavement!$E$5:$E$204,$AQ99)&lt;&gt;"",IF(INDEX(C_Pavement!$E$5:$E$204,$AQ99)="-","",INDEX(C_Pavement!$E$5:$E$204,$AQ99)),IF($AS99="","",INDEX(E_Rules!$D$5:$D$9,$AS99))))</f>
        <v/>
      </c>
      <c r="AV99" t="str">
        <f>IF($AQ99="","",IF(INDEX(C_Pavement!$F$5:$F$204,$AQ99)&lt;&gt;"",IF(INDEX(C_Pavement!$F$5:$F$204,$AQ99)="-","",INDEX(C_Pavement!$F$5:$F$204,$AQ99)),IF($AS99="","",INDEX(E_Rules!$E$5:$E$9,$AS99))))</f>
        <v/>
      </c>
      <c r="AW99" t="str">
        <f>IF($AQ99="","",IF(INDEX(C_Pavement!$G$5:$G$204,$AQ99)&lt;&gt;"",IF(INDEX(C_Pavement!$G$5:$G$204,$AQ99)="-","",INDEX(C_Pavement!$G$5:$G$204,$AQ99)),IF($AS99="","",INDEX(E_Rules!$F$5:$F$9,$AS99))))</f>
        <v/>
      </c>
      <c r="AX99" t="str">
        <f>IF($AQ99="","",IF(INDEX(C_Pavement!$H$5:$H$204,$AQ99)&lt;&gt;"",IF(INDEX(C_Pavement!$H$5:$H$204,$AQ99)="-","",INDEX(C_Pavement!$H$5:$H$204,$AQ99)),IF($AS99="","",INDEX(E_Rules!$G$5:$G$9,$AS99))))</f>
        <v/>
      </c>
      <c r="AY99" t="str">
        <f>IF($AQ99="","",IF(INDEX(C_Pavement!$I$5:$I$204,$AQ99)&lt;&gt;"",IF(INDEX(C_Pavement!$I$5:$I$204,$AQ99)="-","",INDEX(C_Pavement!$I$5:$I$204,$AQ99)),IF($AS99="","",INDEX(E_Rules!$H$5:$H$9,$AS99))))</f>
        <v/>
      </c>
    </row>
    <row r="100" spans="1:51" ht="15.75" customHeight="1" x14ac:dyDescent="0.3">
      <c r="A100" s="189">
        <v>95</v>
      </c>
      <c r="B100" s="180">
        <v>4700</v>
      </c>
      <c r="C100" s="180" t="s">
        <v>406</v>
      </c>
      <c r="D100" s="181" t="str">
        <f>IFERROR(LOOKUP(2,1/((A_Corridor!$A$5:$A$204&lt;&gt;"")*(A_Corridor!$A$5:$A$204&lt;=$B100)*(A_Corridor!$B$5:$B$204&gt;$B100)*(A_Corridor!$C$5:$C$204&lt;&gt;"")),IF(UPPER(A_Corridor!$C$5:$C$204)="Y",1,"")),"")</f>
        <v/>
      </c>
      <c r="E100" s="181" t="str">
        <f>IFERROR(LOOKUP(2,1/((A_Corridor!$A$5:$A$204&lt;&gt;"")*(A_Corridor!$A$5:$A$204&lt;=$B100)*(A_Corridor!$B$5:$B$204&gt;$B100)*(A_Corridor!$D$5:$D$204&lt;&gt;"")),IF(A_Corridor!$D$5:$D$204="-","",UPPER(A_Corridor!$D$5:$D$204))),"")</f>
        <v/>
      </c>
      <c r="F100" s="181" t="str">
        <f>IFERROR(LOOKUP(2,1/((A_Corridor!$A$5:$A$204&lt;&gt;"")*(A_Corridor!$A$5:$A$204&lt;=$B100)*(A_Corridor!$B$5:$B$204&gt;$B100)*(A_Corridor!$E$5:$E$204&lt;&gt;"")),IF(A_Corridor!$E$5:$E$204="-","",1)),"")</f>
        <v/>
      </c>
      <c r="G100" s="182" t="str">
        <f>IFERROR(LOOKUP(2,1/((A_Corridor!$A$5:$A$204&lt;&gt;"")*(A_Corridor!$A$5:$A$204&lt;=$B100)*(A_Corridor!$B$5:$B$204&gt;$B100)*(A_Corridor!$E$5:$E$204&lt;&gt;"")),IF(A_Corridor!$E$5:$E$204="-","",A_Corridor!$E$5:$E$204)),"")</f>
        <v/>
      </c>
      <c r="H100" s="182" t="str">
        <f>IFERROR(LOOKUP(2,1/((D_Points!$A$5:$A$204&lt;&gt;"")*(D_Points!$A$5:$A$204&gt;=$B100)*(D_Points!$A$5:$A$204&lt;$B100+P_Interval)*(UPPER(TRIM(D_Points!$B$5:$B$204))="GULLY")*(D_Points!$H$5:$H$204&lt;&gt;"")),D_Points!$H$5:$H$204),"")</f>
        <v/>
      </c>
      <c r="I100" s="181" t="str">
        <f>IFERROR(LOOKUP(2,1/((A_Corridor!$A$5:$A$204&lt;&gt;"")*(A_Corridor!$A$5:$A$204&lt;=$B100)*(A_Corridor!$B$5:$B$204&gt;$B100)*(A_Corridor!$F$5:$F$204&lt;&gt;"")),IF(A_Corridor!$F$5:$F$204="-","",1)),"")</f>
        <v/>
      </c>
      <c r="J100" s="182" t="str">
        <f>IFERROR(LOOKUP(2,1/((A_Corridor!$A$5:$A$204&lt;&gt;"")*(A_Corridor!$A$5:$A$204&lt;=$B100)*(A_Corridor!$B$5:$B$204&gt;$B100)*(A_Corridor!$F$5:$F$204&lt;&gt;"")),IF(A_Corridor!$F$5:$F$204="-","",A_Corridor!$F$5:$F$204)),"")</f>
        <v/>
      </c>
      <c r="K100" s="182" t="str">
        <f>IFERROR(LOOKUP(2,1/((A_Corridor!$A$5:$A$204&lt;&gt;"")*(A_Corridor!$A$5:$A$204&lt;=$B100)*(A_Corridor!$B$5:$B$204&gt;$B100)*(A_Corridor!$G$5:$G$204&lt;&gt;"")),IF(A_Corridor!$G$5:$G$204="-","",A_Corridor!$G$5:$G$204)),"")</f>
        <v/>
      </c>
      <c r="L100" s="181" t="str">
        <f>IFERROR(LOOKUP(2,1/((A_Corridor!$A$5:$A$204&lt;&gt;"")*(A_Corridor!$A$5:$A$204&lt;=$B100)*(A_Corridor!$B$5:$B$204&gt;$B100)*(A_Corridor!$H$5:$H$204&lt;&gt;"")),IF(A_Corridor!$H$5:$H$204="-","",1)),"")</f>
        <v/>
      </c>
      <c r="M100" s="182" t="str">
        <f>IFERROR(LOOKUP(2,1/((A_Corridor!$A$5:$A$204&lt;&gt;"")*(A_Corridor!$A$5:$A$204&lt;=$B100)*(A_Corridor!$B$5:$B$204&gt;$B100)*(A_Corridor!$H$5:$H$204&lt;&gt;"")),IF(A_Corridor!$H$5:$H$204="-","",A_Corridor!$H$5:$H$204)),"")</f>
        <v/>
      </c>
      <c r="N100" s="182" t="str">
        <f>IFERROR(LOOKUP(2,1/((A_Corridor!$A$5:$A$204&lt;&gt;"")*(A_Corridor!$A$5:$A$204&lt;=$B100)*(A_Corridor!$B$5:$B$204&gt;$B100)*(A_Corridor!$I$5:$I$204&lt;&gt;"")),IF(A_Corridor!$I$5:$I$204="-","",A_Corridor!$I$5:$I$204)),"")</f>
        <v/>
      </c>
      <c r="O100" s="182" t="str">
        <f>IFERROR(LOOKUP(2,1/((D_Points!$A$5:$A$204&lt;&gt;"")*(D_Points!$A$5:$A$204&gt;=$B100)*(D_Points!$A$5:$A$204&lt;$B100+P_Interval)*(UPPER(TRIM(D_Points!$B$5:$B$204))="PITCHING")*(D_Points!$H$5:$H$204&lt;&gt;"")),D_Points!$H$5:$H$204),"")</f>
        <v/>
      </c>
      <c r="P100" s="181" t="str">
        <f>IFERROR(LOOKUP(2,1/((B_Drainage!$A$5:$A$204&lt;&gt;"")*(B_Drainage!$A$5:$A$204&lt;=$B100)*(B_Drainage!$B$5:$B$204&gt;$B100)*(B_Drainage!$C$5:$C$204&lt;&gt;"")),IF(B_Drainage!$C$5:$C$204="-","",UPPER(B_Drainage!$C$5:$C$204))),"")</f>
        <v/>
      </c>
      <c r="Q100" s="181" t="str">
        <f>IFERROR(LOOKUP(2,1/((B_Drainage!$A$5:$A$204&lt;&gt;"")*(B_Drainage!$A$5:$A$204&lt;=$B100)*(B_Drainage!$B$5:$B$204&gt;$B100)*(B_Drainage!$D$5:$D$204&lt;&gt;"")),IF(B_Drainage!$D$5:$D$204="-","",UPPER(B_Drainage!$D$5:$D$204))),"")</f>
        <v/>
      </c>
      <c r="R100" s="182" t="str">
        <f>IFERROR(LOOKUP(2,1/((D_Points!$A$5:$A$204&lt;&gt;"")*(D_Points!$A$5:$A$204&gt;=$B100)*(D_Points!$A$5:$A$204&lt;$B100+P_Interval)*(RIGHT(UPPER(TRIM(D_Points!$B$5:$B$204)),8)="_CULVERT")),IF(LEFT(UPPER(TRIM(D_Points!$B$5:$B$204)),2)="EX",1,IF(LEFT(UPPER(TRIM(D_Points!$B$5:$B$204)),2)="PR",2,3))),"")</f>
        <v/>
      </c>
      <c r="S100" s="182" t="str">
        <f>IFERROR(LOOKUP(2,1/((D_Points!$A$5:$A$204&lt;&gt;"")*(D_Points!$A$5:$A$204&gt;=$B100)*(D_Points!$A$5:$A$204&lt;$B100+P_Interval)*(RIGHT(UPPER(TRIM(D_Points!$B$5:$B$204)),7)="_BRIDGE")),IF(LEFT(UPPER(TRIM(D_Points!$B$5:$B$204)),2)="EX",1,IF(LEFT(UPPER(TRIM(D_Points!$B$5:$B$204)),2)="PR",2,2))),"")</f>
        <v/>
      </c>
      <c r="T100" s="181" t="str">
        <f>IFERROR(LOOKUP(2,1/((B_Drainage!$A$5:$A$204&lt;&gt;"")*(B_Drainage!$A$5:$A$204&lt;=$B100)*(B_Drainage!$B$5:$B$204&gt;$B100)*(B_Drainage!$E$5:$E$204&lt;&gt;"")),IF(B_Drainage!$E$5:$E$204="-","",1)),"")</f>
        <v/>
      </c>
      <c r="U100" s="181" t="str">
        <f>IFERROR(LOOKUP(2,1/((B_Drainage!$A$5:$A$204&lt;&gt;"")*(B_Drainage!$A$5:$A$204&lt;=$B100)*(B_Drainage!$B$5:$B$204&gt;$B100)*(B_Drainage!$E$5:$E$204&lt;&gt;"")),IF(B_Drainage!$E$5:$E$204="-","",B_Drainage!$E$5:$E$204)),"")</f>
        <v/>
      </c>
      <c r="V100" s="181" t="str">
        <f>IFERROR(LOOKUP(2,1/((B_Drainage!$A$5:$A$204&lt;&gt;"")*(B_Drainage!$A$5:$A$204&lt;=$B100)*(B_Drainage!$B$5:$B$204&gt;$B100)*(B_Drainage!$F$5:$F$204&lt;&gt;"")),IF(B_Drainage!$F$5:$F$204="-","",1)),"")</f>
        <v/>
      </c>
      <c r="W100" s="181" t="str">
        <f>IFERROR(LOOKUP(2,1/((B_Drainage!$A$5:$A$204&lt;&gt;"")*(B_Drainage!$A$5:$A$204&lt;=$B100)*(B_Drainage!$B$5:$B$204&gt;$B100)*(B_Drainage!$F$5:$F$204&lt;&gt;"")),IF(B_Drainage!$F$5:$F$204="-","",B_Drainage!$F$5:$F$204)),"")</f>
        <v/>
      </c>
      <c r="X100" s="181" t="str">
        <f>IFERROR(LOOKUP(2,1/((B_Drainage!$A$5:$A$204&lt;&gt;"")*(B_Drainage!$A$5:$A$204&lt;=$B100)*(B_Drainage!$B$5:$B$204&gt;$B100)*(B_Drainage!$G$5:$G$204&lt;&gt;"")),IF(UPPER(B_Drainage!$G$5:$G$204)="Y",1,"")),"")</f>
        <v/>
      </c>
      <c r="Y100" s="181" t="str">
        <f>IFERROR(LOOKUP(2,1/((B_Drainage!$A$5:$A$204&lt;&gt;"")*(B_Drainage!$A$5:$A$204&lt;=$B100)*(B_Drainage!$B$5:$B$204&gt;$B100)*(B_Drainage!$H$5:$H$204&lt;&gt;"")),IF(UPPER(B_Drainage!$H$5:$H$204)="Y",1,"")),"")</f>
        <v/>
      </c>
      <c r="Z100" s="181" t="str">
        <f>IFERROR(LOOKUP(2,1/((B_Drainage!$A$5:$A$204&lt;&gt;"")*(B_Drainage!$A$5:$A$204&lt;=$B100)*(B_Drainage!$B$5:$B$204&gt;$B100)*(B_Drainage!$I$5:$I$204&lt;&gt;"")),IF(UPPER(B_Drainage!$I$5:$I$204)="Y",1,"")),"")</f>
        <v/>
      </c>
      <c r="AA100" s="181" t="str">
        <f>IFERROR(LOOKUP(2,1/((B_Drainage!$A$5:$A$204&lt;&gt;"")*(B_Drainage!$A$5:$A$204&lt;=$B100)*(B_Drainage!$B$5:$B$204&gt;$B100)*(B_Drainage!$J$5:$J$204&lt;&gt;"")),IF(UPPER(B_Drainage!$J$5:$J$204)="Y",1,"")),"")</f>
        <v/>
      </c>
      <c r="AB100" s="182" t="str">
        <f>IFERROR(LOOKUP(2,1/((B_Drainage!$A$5:$A$204&lt;&gt;"")*(B_Drainage!$A$5:$A$204&lt;=$B100)*(B_Drainage!$B$5:$B$204&gt;$B100)*(B_Drainage!$K$5:$K$204&lt;&gt;"")),IF(B_Drainage!$K$5:$K$204="-","",B_Drainage!$K$5:$K$204)),"")</f>
        <v/>
      </c>
      <c r="AC100" s="182" t="str">
        <f>IFERROR(LOOKUP(2,1/((B_Drainage!$A$5:$A$204&lt;&gt;"")*(B_Drainage!$A$5:$A$204&lt;=$B100)*(B_Drainage!$B$5:$B$204&gt;$B100)*(B_Drainage!$L$5:$L$204&lt;&gt;"")),IF(B_Drainage!$L$5:$L$204="-","",B_Drainage!$L$5:$L$204)),"")</f>
        <v/>
      </c>
      <c r="AD100" s="182" t="str">
        <f>IFERROR(LOOKUP(2,1/((D_Points!$A$5:$A$204&lt;&gt;"")*(D_Points!$A$5:$A$204&gt;=$B100)*(D_Points!$A$5:$A$204&lt;$B100+P_Interval)*(UPPER(TRIM(D_Points!$B$5:$B$204))="TURNOUT_L")*(D_Points!$H$5:$H$204&lt;&gt;"")),D_Points!$H$5:$H$204),"")</f>
        <v/>
      </c>
      <c r="AE100" s="182" t="str">
        <f>IFERROR(LOOKUP(2,1/((D_Points!$A$5:$A$204&lt;&gt;"")*(D_Points!$A$5:$A$204&gt;=$B100)*(D_Points!$A$5:$A$204&lt;$B100+P_Interval)*(UPPER(TRIM(D_Points!$B$5:$B$204))="TURNOUT_R")*(D_Points!$H$5:$H$204&lt;&gt;"")),D_Points!$H$5:$H$204),"")</f>
        <v/>
      </c>
      <c r="AF100" s="181" t="str">
        <f>IFERROR(LOOKUP(2,1/((B_Drainage!$A$5:$A$204&lt;&gt;"")*(B_Drainage!$A$5:$A$204&lt;=$B100)*(B_Drainage!$B$5:$B$204&gt;$B100)*(B_Drainage!$M$5:$M$204&lt;&gt;"")),IF(UPPER(B_Drainage!$M$5:$M$204)="Y",1,"")),"")</f>
        <v/>
      </c>
      <c r="AG100" s="181" t="str">
        <f>IFERROR(LOOKUP(2,1/((B_Drainage!$A$5:$A$204&lt;&gt;"")*(B_Drainage!$A$5:$A$204&lt;=$B100)*(B_Drainage!$B$5:$B$204&gt;$B100)*(B_Drainage!$N$5:$N$204&lt;&gt;"")),IF(UPPER(B_Drainage!$N$5:$N$204)="Y",1,"")),"")</f>
        <v/>
      </c>
      <c r="AH100" s="181" t="str">
        <f t="shared" si="8"/>
        <v/>
      </c>
      <c r="AI100" s="181" t="str">
        <f t="shared" si="9"/>
        <v/>
      </c>
      <c r="AJ100" s="181" t="str">
        <f t="shared" si="10"/>
        <v/>
      </c>
      <c r="AK100" s="181" t="str">
        <f t="shared" si="11"/>
        <v/>
      </c>
      <c r="AL100" s="181" t="str">
        <f t="shared" si="12"/>
        <v/>
      </c>
      <c r="AM100" s="181" t="str">
        <f t="shared" si="13"/>
        <v/>
      </c>
      <c r="AN100" s="181" t="str">
        <f t="shared" si="14"/>
        <v/>
      </c>
      <c r="AO100" s="192" t="str">
        <f t="shared" si="15"/>
        <v/>
      </c>
      <c r="AQ100" t="str">
        <f>IFERROR(LOOKUP(2,1/((C_Pavement!$A$5:$A$204&lt;&gt;"")*(C_Pavement!$A$5:$A$204&lt;=$B100)*(C_Pavement!$B$5:$B$204&gt;$B100)*(C_Pavement!$C$5:$C$204&lt;&gt;"")),ROW(C_Pavement!$C$5:$C$204)-4),"")</f>
        <v/>
      </c>
      <c r="AR100" t="str">
        <f>IF($AQ100="","",UPPER(TRIM(INDEX(C_Pavement!$C$5:$C$204,$AQ100))))</f>
        <v/>
      </c>
      <c r="AS100" t="str">
        <f>IF($AR100="","",IFERROR(MATCH($AR100,E_Rules!$A$5:$A$9,0),""))</f>
        <v/>
      </c>
      <c r="AT100" t="str">
        <f>IF($AQ100="","",IF(INDEX(C_Pavement!$D$5:$D$204,$AQ100)&lt;&gt;"",UPPER(TRIM(INDEX(C_Pavement!$D$5:$D$204,$AQ100))),IF($AS100="","",INDEX(E_Rules!$C$5:$C$9,$AS100))))</f>
        <v/>
      </c>
      <c r="AU100" t="str">
        <f>IF($AQ100="","",IF(INDEX(C_Pavement!$E$5:$E$204,$AQ100)&lt;&gt;"",IF(INDEX(C_Pavement!$E$5:$E$204,$AQ100)="-","",INDEX(C_Pavement!$E$5:$E$204,$AQ100)),IF($AS100="","",INDEX(E_Rules!$D$5:$D$9,$AS100))))</f>
        <v/>
      </c>
      <c r="AV100" t="str">
        <f>IF($AQ100="","",IF(INDEX(C_Pavement!$F$5:$F$204,$AQ100)&lt;&gt;"",IF(INDEX(C_Pavement!$F$5:$F$204,$AQ100)="-","",INDEX(C_Pavement!$F$5:$F$204,$AQ100)),IF($AS100="","",INDEX(E_Rules!$E$5:$E$9,$AS100))))</f>
        <v/>
      </c>
      <c r="AW100" t="str">
        <f>IF($AQ100="","",IF(INDEX(C_Pavement!$G$5:$G$204,$AQ100)&lt;&gt;"",IF(INDEX(C_Pavement!$G$5:$G$204,$AQ100)="-","",INDEX(C_Pavement!$G$5:$G$204,$AQ100)),IF($AS100="","",INDEX(E_Rules!$F$5:$F$9,$AS100))))</f>
        <v/>
      </c>
      <c r="AX100" t="str">
        <f>IF($AQ100="","",IF(INDEX(C_Pavement!$H$5:$H$204,$AQ100)&lt;&gt;"",IF(INDEX(C_Pavement!$H$5:$H$204,$AQ100)="-","",INDEX(C_Pavement!$H$5:$H$204,$AQ100)),IF($AS100="","",INDEX(E_Rules!$G$5:$G$9,$AS100))))</f>
        <v/>
      </c>
      <c r="AY100" t="str">
        <f>IF($AQ100="","",IF(INDEX(C_Pavement!$I$5:$I$204,$AQ100)&lt;&gt;"",IF(INDEX(C_Pavement!$I$5:$I$204,$AQ100)="-","",INDEX(C_Pavement!$I$5:$I$204,$AQ100)),IF($AS100="","",INDEX(E_Rules!$H$5:$H$9,$AS100))))</f>
        <v/>
      </c>
    </row>
    <row r="101" spans="1:51" ht="15.75" customHeight="1" x14ac:dyDescent="0.3">
      <c r="A101" s="189">
        <v>96</v>
      </c>
      <c r="B101" s="180">
        <v>4750</v>
      </c>
      <c r="C101" s="180" t="s">
        <v>407</v>
      </c>
      <c r="D101" s="181" t="str">
        <f>IFERROR(LOOKUP(2,1/((A_Corridor!$A$5:$A$204&lt;&gt;"")*(A_Corridor!$A$5:$A$204&lt;=$B101)*(A_Corridor!$B$5:$B$204&gt;$B101)*(A_Corridor!$C$5:$C$204&lt;&gt;"")),IF(UPPER(A_Corridor!$C$5:$C$204)="Y",1,"")),"")</f>
        <v/>
      </c>
      <c r="E101" s="181" t="str">
        <f>IFERROR(LOOKUP(2,1/((A_Corridor!$A$5:$A$204&lt;&gt;"")*(A_Corridor!$A$5:$A$204&lt;=$B101)*(A_Corridor!$B$5:$B$204&gt;$B101)*(A_Corridor!$D$5:$D$204&lt;&gt;"")),IF(A_Corridor!$D$5:$D$204="-","",UPPER(A_Corridor!$D$5:$D$204))),"")</f>
        <v/>
      </c>
      <c r="F101" s="181" t="str">
        <f>IFERROR(LOOKUP(2,1/((A_Corridor!$A$5:$A$204&lt;&gt;"")*(A_Corridor!$A$5:$A$204&lt;=$B101)*(A_Corridor!$B$5:$B$204&gt;$B101)*(A_Corridor!$E$5:$E$204&lt;&gt;"")),IF(A_Corridor!$E$5:$E$204="-","",1)),"")</f>
        <v/>
      </c>
      <c r="G101" s="182" t="str">
        <f>IFERROR(LOOKUP(2,1/((A_Corridor!$A$5:$A$204&lt;&gt;"")*(A_Corridor!$A$5:$A$204&lt;=$B101)*(A_Corridor!$B$5:$B$204&gt;$B101)*(A_Corridor!$E$5:$E$204&lt;&gt;"")),IF(A_Corridor!$E$5:$E$204="-","",A_Corridor!$E$5:$E$204)),"")</f>
        <v/>
      </c>
      <c r="H101" s="182" t="str">
        <f>IFERROR(LOOKUP(2,1/((D_Points!$A$5:$A$204&lt;&gt;"")*(D_Points!$A$5:$A$204&gt;=$B101)*(D_Points!$A$5:$A$204&lt;$B101+P_Interval)*(UPPER(TRIM(D_Points!$B$5:$B$204))="GULLY")*(D_Points!$H$5:$H$204&lt;&gt;"")),D_Points!$H$5:$H$204),"")</f>
        <v/>
      </c>
      <c r="I101" s="181" t="str">
        <f>IFERROR(LOOKUP(2,1/((A_Corridor!$A$5:$A$204&lt;&gt;"")*(A_Corridor!$A$5:$A$204&lt;=$B101)*(A_Corridor!$B$5:$B$204&gt;$B101)*(A_Corridor!$F$5:$F$204&lt;&gt;"")),IF(A_Corridor!$F$5:$F$204="-","",1)),"")</f>
        <v/>
      </c>
      <c r="J101" s="182" t="str">
        <f>IFERROR(LOOKUP(2,1/((A_Corridor!$A$5:$A$204&lt;&gt;"")*(A_Corridor!$A$5:$A$204&lt;=$B101)*(A_Corridor!$B$5:$B$204&gt;$B101)*(A_Corridor!$F$5:$F$204&lt;&gt;"")),IF(A_Corridor!$F$5:$F$204="-","",A_Corridor!$F$5:$F$204)),"")</f>
        <v/>
      </c>
      <c r="K101" s="182" t="str">
        <f>IFERROR(LOOKUP(2,1/((A_Corridor!$A$5:$A$204&lt;&gt;"")*(A_Corridor!$A$5:$A$204&lt;=$B101)*(A_Corridor!$B$5:$B$204&gt;$B101)*(A_Corridor!$G$5:$G$204&lt;&gt;"")),IF(A_Corridor!$G$5:$G$204="-","",A_Corridor!$G$5:$G$204)),"")</f>
        <v/>
      </c>
      <c r="L101" s="181" t="str">
        <f>IFERROR(LOOKUP(2,1/((A_Corridor!$A$5:$A$204&lt;&gt;"")*(A_Corridor!$A$5:$A$204&lt;=$B101)*(A_Corridor!$B$5:$B$204&gt;$B101)*(A_Corridor!$H$5:$H$204&lt;&gt;"")),IF(A_Corridor!$H$5:$H$204="-","",1)),"")</f>
        <v/>
      </c>
      <c r="M101" s="182" t="str">
        <f>IFERROR(LOOKUP(2,1/((A_Corridor!$A$5:$A$204&lt;&gt;"")*(A_Corridor!$A$5:$A$204&lt;=$B101)*(A_Corridor!$B$5:$B$204&gt;$B101)*(A_Corridor!$H$5:$H$204&lt;&gt;"")),IF(A_Corridor!$H$5:$H$204="-","",A_Corridor!$H$5:$H$204)),"")</f>
        <v/>
      </c>
      <c r="N101" s="182" t="str">
        <f>IFERROR(LOOKUP(2,1/((A_Corridor!$A$5:$A$204&lt;&gt;"")*(A_Corridor!$A$5:$A$204&lt;=$B101)*(A_Corridor!$B$5:$B$204&gt;$B101)*(A_Corridor!$I$5:$I$204&lt;&gt;"")),IF(A_Corridor!$I$5:$I$204="-","",A_Corridor!$I$5:$I$204)),"")</f>
        <v/>
      </c>
      <c r="O101" s="182" t="str">
        <f>IFERROR(LOOKUP(2,1/((D_Points!$A$5:$A$204&lt;&gt;"")*(D_Points!$A$5:$A$204&gt;=$B101)*(D_Points!$A$5:$A$204&lt;$B101+P_Interval)*(UPPER(TRIM(D_Points!$B$5:$B$204))="PITCHING")*(D_Points!$H$5:$H$204&lt;&gt;"")),D_Points!$H$5:$H$204),"")</f>
        <v/>
      </c>
      <c r="P101" s="181" t="str">
        <f>IFERROR(LOOKUP(2,1/((B_Drainage!$A$5:$A$204&lt;&gt;"")*(B_Drainage!$A$5:$A$204&lt;=$B101)*(B_Drainage!$B$5:$B$204&gt;$B101)*(B_Drainage!$C$5:$C$204&lt;&gt;"")),IF(B_Drainage!$C$5:$C$204="-","",UPPER(B_Drainage!$C$5:$C$204))),"")</f>
        <v/>
      </c>
      <c r="Q101" s="181" t="str">
        <f>IFERROR(LOOKUP(2,1/((B_Drainage!$A$5:$A$204&lt;&gt;"")*(B_Drainage!$A$5:$A$204&lt;=$B101)*(B_Drainage!$B$5:$B$204&gt;$B101)*(B_Drainage!$D$5:$D$204&lt;&gt;"")),IF(B_Drainage!$D$5:$D$204="-","",UPPER(B_Drainage!$D$5:$D$204))),"")</f>
        <v/>
      </c>
      <c r="R101" s="182" t="str">
        <f>IFERROR(LOOKUP(2,1/((D_Points!$A$5:$A$204&lt;&gt;"")*(D_Points!$A$5:$A$204&gt;=$B101)*(D_Points!$A$5:$A$204&lt;$B101+P_Interval)*(RIGHT(UPPER(TRIM(D_Points!$B$5:$B$204)),8)="_CULVERT")),IF(LEFT(UPPER(TRIM(D_Points!$B$5:$B$204)),2)="EX",1,IF(LEFT(UPPER(TRIM(D_Points!$B$5:$B$204)),2)="PR",2,3))),"")</f>
        <v/>
      </c>
      <c r="S101" s="182" t="str">
        <f>IFERROR(LOOKUP(2,1/((D_Points!$A$5:$A$204&lt;&gt;"")*(D_Points!$A$5:$A$204&gt;=$B101)*(D_Points!$A$5:$A$204&lt;$B101+P_Interval)*(RIGHT(UPPER(TRIM(D_Points!$B$5:$B$204)),7)="_BRIDGE")),IF(LEFT(UPPER(TRIM(D_Points!$B$5:$B$204)),2)="EX",1,IF(LEFT(UPPER(TRIM(D_Points!$B$5:$B$204)),2)="PR",2,2))),"")</f>
        <v/>
      </c>
      <c r="T101" s="181" t="str">
        <f>IFERROR(LOOKUP(2,1/((B_Drainage!$A$5:$A$204&lt;&gt;"")*(B_Drainage!$A$5:$A$204&lt;=$B101)*(B_Drainage!$B$5:$B$204&gt;$B101)*(B_Drainage!$E$5:$E$204&lt;&gt;"")),IF(B_Drainage!$E$5:$E$204="-","",1)),"")</f>
        <v/>
      </c>
      <c r="U101" s="181" t="str">
        <f>IFERROR(LOOKUP(2,1/((B_Drainage!$A$5:$A$204&lt;&gt;"")*(B_Drainage!$A$5:$A$204&lt;=$B101)*(B_Drainage!$B$5:$B$204&gt;$B101)*(B_Drainage!$E$5:$E$204&lt;&gt;"")),IF(B_Drainage!$E$5:$E$204="-","",B_Drainage!$E$5:$E$204)),"")</f>
        <v/>
      </c>
      <c r="V101" s="181" t="str">
        <f>IFERROR(LOOKUP(2,1/((B_Drainage!$A$5:$A$204&lt;&gt;"")*(B_Drainage!$A$5:$A$204&lt;=$B101)*(B_Drainage!$B$5:$B$204&gt;$B101)*(B_Drainage!$F$5:$F$204&lt;&gt;"")),IF(B_Drainage!$F$5:$F$204="-","",1)),"")</f>
        <v/>
      </c>
      <c r="W101" s="181" t="str">
        <f>IFERROR(LOOKUP(2,1/((B_Drainage!$A$5:$A$204&lt;&gt;"")*(B_Drainage!$A$5:$A$204&lt;=$B101)*(B_Drainage!$B$5:$B$204&gt;$B101)*(B_Drainage!$F$5:$F$204&lt;&gt;"")),IF(B_Drainage!$F$5:$F$204="-","",B_Drainage!$F$5:$F$204)),"")</f>
        <v/>
      </c>
      <c r="X101" s="181" t="str">
        <f>IFERROR(LOOKUP(2,1/((B_Drainage!$A$5:$A$204&lt;&gt;"")*(B_Drainage!$A$5:$A$204&lt;=$B101)*(B_Drainage!$B$5:$B$204&gt;$B101)*(B_Drainage!$G$5:$G$204&lt;&gt;"")),IF(UPPER(B_Drainage!$G$5:$G$204)="Y",1,"")),"")</f>
        <v/>
      </c>
      <c r="Y101" s="181" t="str">
        <f>IFERROR(LOOKUP(2,1/((B_Drainage!$A$5:$A$204&lt;&gt;"")*(B_Drainage!$A$5:$A$204&lt;=$B101)*(B_Drainage!$B$5:$B$204&gt;$B101)*(B_Drainage!$H$5:$H$204&lt;&gt;"")),IF(UPPER(B_Drainage!$H$5:$H$204)="Y",1,"")),"")</f>
        <v/>
      </c>
      <c r="Z101" s="181" t="str">
        <f>IFERROR(LOOKUP(2,1/((B_Drainage!$A$5:$A$204&lt;&gt;"")*(B_Drainage!$A$5:$A$204&lt;=$B101)*(B_Drainage!$B$5:$B$204&gt;$B101)*(B_Drainage!$I$5:$I$204&lt;&gt;"")),IF(UPPER(B_Drainage!$I$5:$I$204)="Y",1,"")),"")</f>
        <v/>
      </c>
      <c r="AA101" s="181" t="str">
        <f>IFERROR(LOOKUP(2,1/((B_Drainage!$A$5:$A$204&lt;&gt;"")*(B_Drainage!$A$5:$A$204&lt;=$B101)*(B_Drainage!$B$5:$B$204&gt;$B101)*(B_Drainage!$J$5:$J$204&lt;&gt;"")),IF(UPPER(B_Drainage!$J$5:$J$204)="Y",1,"")),"")</f>
        <v/>
      </c>
      <c r="AB101" s="182" t="str">
        <f>IFERROR(LOOKUP(2,1/((B_Drainage!$A$5:$A$204&lt;&gt;"")*(B_Drainage!$A$5:$A$204&lt;=$B101)*(B_Drainage!$B$5:$B$204&gt;$B101)*(B_Drainage!$K$5:$K$204&lt;&gt;"")),IF(B_Drainage!$K$5:$K$204="-","",B_Drainage!$K$5:$K$204)),"")</f>
        <v/>
      </c>
      <c r="AC101" s="182" t="str">
        <f>IFERROR(LOOKUP(2,1/((B_Drainage!$A$5:$A$204&lt;&gt;"")*(B_Drainage!$A$5:$A$204&lt;=$B101)*(B_Drainage!$B$5:$B$204&gt;$B101)*(B_Drainage!$L$5:$L$204&lt;&gt;"")),IF(B_Drainage!$L$5:$L$204="-","",B_Drainage!$L$5:$L$204)),"")</f>
        <v/>
      </c>
      <c r="AD101" s="182" t="str">
        <f>IFERROR(LOOKUP(2,1/((D_Points!$A$5:$A$204&lt;&gt;"")*(D_Points!$A$5:$A$204&gt;=$B101)*(D_Points!$A$5:$A$204&lt;$B101+P_Interval)*(UPPER(TRIM(D_Points!$B$5:$B$204))="TURNOUT_L")*(D_Points!$H$5:$H$204&lt;&gt;"")),D_Points!$H$5:$H$204),"")</f>
        <v/>
      </c>
      <c r="AE101" s="182" t="str">
        <f>IFERROR(LOOKUP(2,1/((D_Points!$A$5:$A$204&lt;&gt;"")*(D_Points!$A$5:$A$204&gt;=$B101)*(D_Points!$A$5:$A$204&lt;$B101+P_Interval)*(UPPER(TRIM(D_Points!$B$5:$B$204))="TURNOUT_R")*(D_Points!$H$5:$H$204&lt;&gt;"")),D_Points!$H$5:$H$204),"")</f>
        <v/>
      </c>
      <c r="AF101" s="181" t="str">
        <f>IFERROR(LOOKUP(2,1/((B_Drainage!$A$5:$A$204&lt;&gt;"")*(B_Drainage!$A$5:$A$204&lt;=$B101)*(B_Drainage!$B$5:$B$204&gt;$B101)*(B_Drainage!$M$5:$M$204&lt;&gt;"")),IF(UPPER(B_Drainage!$M$5:$M$204)="Y",1,"")),"")</f>
        <v/>
      </c>
      <c r="AG101" s="181" t="str">
        <f>IFERROR(LOOKUP(2,1/((B_Drainage!$A$5:$A$204&lt;&gt;"")*(B_Drainage!$A$5:$A$204&lt;=$B101)*(B_Drainage!$B$5:$B$204&gt;$B101)*(B_Drainage!$N$5:$N$204&lt;&gt;"")),IF(UPPER(B_Drainage!$N$5:$N$204)="Y",1,"")),"")</f>
        <v/>
      </c>
      <c r="AH101" s="181" t="str">
        <f t="shared" si="8"/>
        <v/>
      </c>
      <c r="AI101" s="181" t="str">
        <f t="shared" si="9"/>
        <v/>
      </c>
      <c r="AJ101" s="181" t="str">
        <f t="shared" si="10"/>
        <v/>
      </c>
      <c r="AK101" s="181" t="str">
        <f t="shared" si="11"/>
        <v/>
      </c>
      <c r="AL101" s="181" t="str">
        <f t="shared" si="12"/>
        <v/>
      </c>
      <c r="AM101" s="181" t="str">
        <f t="shared" si="13"/>
        <v/>
      </c>
      <c r="AN101" s="181" t="str">
        <f t="shared" si="14"/>
        <v/>
      </c>
      <c r="AO101" s="192" t="str">
        <f t="shared" si="15"/>
        <v/>
      </c>
      <c r="AQ101" t="str">
        <f>IFERROR(LOOKUP(2,1/((C_Pavement!$A$5:$A$204&lt;&gt;"")*(C_Pavement!$A$5:$A$204&lt;=$B101)*(C_Pavement!$B$5:$B$204&gt;$B101)*(C_Pavement!$C$5:$C$204&lt;&gt;"")),ROW(C_Pavement!$C$5:$C$204)-4),"")</f>
        <v/>
      </c>
      <c r="AR101" t="str">
        <f>IF($AQ101="","",UPPER(TRIM(INDEX(C_Pavement!$C$5:$C$204,$AQ101))))</f>
        <v/>
      </c>
      <c r="AS101" t="str">
        <f>IF($AR101="","",IFERROR(MATCH($AR101,E_Rules!$A$5:$A$9,0),""))</f>
        <v/>
      </c>
      <c r="AT101" t="str">
        <f>IF($AQ101="","",IF(INDEX(C_Pavement!$D$5:$D$204,$AQ101)&lt;&gt;"",UPPER(TRIM(INDEX(C_Pavement!$D$5:$D$204,$AQ101))),IF($AS101="","",INDEX(E_Rules!$C$5:$C$9,$AS101))))</f>
        <v/>
      </c>
      <c r="AU101" t="str">
        <f>IF($AQ101="","",IF(INDEX(C_Pavement!$E$5:$E$204,$AQ101)&lt;&gt;"",IF(INDEX(C_Pavement!$E$5:$E$204,$AQ101)="-","",INDEX(C_Pavement!$E$5:$E$204,$AQ101)),IF($AS101="","",INDEX(E_Rules!$D$5:$D$9,$AS101))))</f>
        <v/>
      </c>
      <c r="AV101" t="str">
        <f>IF($AQ101="","",IF(INDEX(C_Pavement!$F$5:$F$204,$AQ101)&lt;&gt;"",IF(INDEX(C_Pavement!$F$5:$F$204,$AQ101)="-","",INDEX(C_Pavement!$F$5:$F$204,$AQ101)),IF($AS101="","",INDEX(E_Rules!$E$5:$E$9,$AS101))))</f>
        <v/>
      </c>
      <c r="AW101" t="str">
        <f>IF($AQ101="","",IF(INDEX(C_Pavement!$G$5:$G$204,$AQ101)&lt;&gt;"",IF(INDEX(C_Pavement!$G$5:$G$204,$AQ101)="-","",INDEX(C_Pavement!$G$5:$G$204,$AQ101)),IF($AS101="","",INDEX(E_Rules!$F$5:$F$9,$AS101))))</f>
        <v/>
      </c>
      <c r="AX101" t="str">
        <f>IF($AQ101="","",IF(INDEX(C_Pavement!$H$5:$H$204,$AQ101)&lt;&gt;"",IF(INDEX(C_Pavement!$H$5:$H$204,$AQ101)="-","",INDEX(C_Pavement!$H$5:$H$204,$AQ101)),IF($AS101="","",INDEX(E_Rules!$G$5:$G$9,$AS101))))</f>
        <v/>
      </c>
      <c r="AY101" t="str">
        <f>IF($AQ101="","",IF(INDEX(C_Pavement!$I$5:$I$204,$AQ101)&lt;&gt;"",IF(INDEX(C_Pavement!$I$5:$I$204,$AQ101)="-","",INDEX(C_Pavement!$I$5:$I$204,$AQ101)),IF($AS101="","",INDEX(E_Rules!$H$5:$H$9,$AS101))))</f>
        <v/>
      </c>
    </row>
    <row r="102" spans="1:51" ht="15.75" customHeight="1" x14ac:dyDescent="0.3">
      <c r="A102" s="189">
        <v>97</v>
      </c>
      <c r="B102" s="180">
        <v>4800</v>
      </c>
      <c r="C102" s="180" t="s">
        <v>408</v>
      </c>
      <c r="D102" s="181" t="str">
        <f>IFERROR(LOOKUP(2,1/((A_Corridor!$A$5:$A$204&lt;&gt;"")*(A_Corridor!$A$5:$A$204&lt;=$B102)*(A_Corridor!$B$5:$B$204&gt;$B102)*(A_Corridor!$C$5:$C$204&lt;&gt;"")),IF(UPPER(A_Corridor!$C$5:$C$204)="Y",1,"")),"")</f>
        <v/>
      </c>
      <c r="E102" s="181" t="str">
        <f>IFERROR(LOOKUP(2,1/((A_Corridor!$A$5:$A$204&lt;&gt;"")*(A_Corridor!$A$5:$A$204&lt;=$B102)*(A_Corridor!$B$5:$B$204&gt;$B102)*(A_Corridor!$D$5:$D$204&lt;&gt;"")),IF(A_Corridor!$D$5:$D$204="-","",UPPER(A_Corridor!$D$5:$D$204))),"")</f>
        <v/>
      </c>
      <c r="F102" s="181" t="str">
        <f>IFERROR(LOOKUP(2,1/((A_Corridor!$A$5:$A$204&lt;&gt;"")*(A_Corridor!$A$5:$A$204&lt;=$B102)*(A_Corridor!$B$5:$B$204&gt;$B102)*(A_Corridor!$E$5:$E$204&lt;&gt;"")),IF(A_Corridor!$E$5:$E$204="-","",1)),"")</f>
        <v/>
      </c>
      <c r="G102" s="182" t="str">
        <f>IFERROR(LOOKUP(2,1/((A_Corridor!$A$5:$A$204&lt;&gt;"")*(A_Corridor!$A$5:$A$204&lt;=$B102)*(A_Corridor!$B$5:$B$204&gt;$B102)*(A_Corridor!$E$5:$E$204&lt;&gt;"")),IF(A_Corridor!$E$5:$E$204="-","",A_Corridor!$E$5:$E$204)),"")</f>
        <v/>
      </c>
      <c r="H102" s="182" t="str">
        <f>IFERROR(LOOKUP(2,1/((D_Points!$A$5:$A$204&lt;&gt;"")*(D_Points!$A$5:$A$204&gt;=$B102)*(D_Points!$A$5:$A$204&lt;$B102+P_Interval)*(UPPER(TRIM(D_Points!$B$5:$B$204))="GULLY")*(D_Points!$H$5:$H$204&lt;&gt;"")),D_Points!$H$5:$H$204),"")</f>
        <v/>
      </c>
      <c r="I102" s="181" t="str">
        <f>IFERROR(LOOKUP(2,1/((A_Corridor!$A$5:$A$204&lt;&gt;"")*(A_Corridor!$A$5:$A$204&lt;=$B102)*(A_Corridor!$B$5:$B$204&gt;$B102)*(A_Corridor!$F$5:$F$204&lt;&gt;"")),IF(A_Corridor!$F$5:$F$204="-","",1)),"")</f>
        <v/>
      </c>
      <c r="J102" s="182" t="str">
        <f>IFERROR(LOOKUP(2,1/((A_Corridor!$A$5:$A$204&lt;&gt;"")*(A_Corridor!$A$5:$A$204&lt;=$B102)*(A_Corridor!$B$5:$B$204&gt;$B102)*(A_Corridor!$F$5:$F$204&lt;&gt;"")),IF(A_Corridor!$F$5:$F$204="-","",A_Corridor!$F$5:$F$204)),"")</f>
        <v/>
      </c>
      <c r="K102" s="182" t="str">
        <f>IFERROR(LOOKUP(2,1/((A_Corridor!$A$5:$A$204&lt;&gt;"")*(A_Corridor!$A$5:$A$204&lt;=$B102)*(A_Corridor!$B$5:$B$204&gt;$B102)*(A_Corridor!$G$5:$G$204&lt;&gt;"")),IF(A_Corridor!$G$5:$G$204="-","",A_Corridor!$G$5:$G$204)),"")</f>
        <v/>
      </c>
      <c r="L102" s="181" t="str">
        <f>IFERROR(LOOKUP(2,1/((A_Corridor!$A$5:$A$204&lt;&gt;"")*(A_Corridor!$A$5:$A$204&lt;=$B102)*(A_Corridor!$B$5:$B$204&gt;$B102)*(A_Corridor!$H$5:$H$204&lt;&gt;"")),IF(A_Corridor!$H$5:$H$204="-","",1)),"")</f>
        <v/>
      </c>
      <c r="M102" s="182" t="str">
        <f>IFERROR(LOOKUP(2,1/((A_Corridor!$A$5:$A$204&lt;&gt;"")*(A_Corridor!$A$5:$A$204&lt;=$B102)*(A_Corridor!$B$5:$B$204&gt;$B102)*(A_Corridor!$H$5:$H$204&lt;&gt;"")),IF(A_Corridor!$H$5:$H$204="-","",A_Corridor!$H$5:$H$204)),"")</f>
        <v/>
      </c>
      <c r="N102" s="182" t="str">
        <f>IFERROR(LOOKUP(2,1/((A_Corridor!$A$5:$A$204&lt;&gt;"")*(A_Corridor!$A$5:$A$204&lt;=$B102)*(A_Corridor!$B$5:$B$204&gt;$B102)*(A_Corridor!$I$5:$I$204&lt;&gt;"")),IF(A_Corridor!$I$5:$I$204="-","",A_Corridor!$I$5:$I$204)),"")</f>
        <v/>
      </c>
      <c r="O102" s="182" t="str">
        <f>IFERROR(LOOKUP(2,1/((D_Points!$A$5:$A$204&lt;&gt;"")*(D_Points!$A$5:$A$204&gt;=$B102)*(D_Points!$A$5:$A$204&lt;$B102+P_Interval)*(UPPER(TRIM(D_Points!$B$5:$B$204))="PITCHING")*(D_Points!$H$5:$H$204&lt;&gt;"")),D_Points!$H$5:$H$204),"")</f>
        <v/>
      </c>
      <c r="P102" s="181" t="str">
        <f>IFERROR(LOOKUP(2,1/((B_Drainage!$A$5:$A$204&lt;&gt;"")*(B_Drainage!$A$5:$A$204&lt;=$B102)*(B_Drainage!$B$5:$B$204&gt;$B102)*(B_Drainage!$C$5:$C$204&lt;&gt;"")),IF(B_Drainage!$C$5:$C$204="-","",UPPER(B_Drainage!$C$5:$C$204))),"")</f>
        <v/>
      </c>
      <c r="Q102" s="181" t="str">
        <f>IFERROR(LOOKUP(2,1/((B_Drainage!$A$5:$A$204&lt;&gt;"")*(B_Drainage!$A$5:$A$204&lt;=$B102)*(B_Drainage!$B$5:$B$204&gt;$B102)*(B_Drainage!$D$5:$D$204&lt;&gt;"")),IF(B_Drainage!$D$5:$D$204="-","",UPPER(B_Drainage!$D$5:$D$204))),"")</f>
        <v/>
      </c>
      <c r="R102" s="182" t="str">
        <f>IFERROR(LOOKUP(2,1/((D_Points!$A$5:$A$204&lt;&gt;"")*(D_Points!$A$5:$A$204&gt;=$B102)*(D_Points!$A$5:$A$204&lt;$B102+P_Interval)*(RIGHT(UPPER(TRIM(D_Points!$B$5:$B$204)),8)="_CULVERT")),IF(LEFT(UPPER(TRIM(D_Points!$B$5:$B$204)),2)="EX",1,IF(LEFT(UPPER(TRIM(D_Points!$B$5:$B$204)),2)="PR",2,3))),"")</f>
        <v/>
      </c>
      <c r="S102" s="182" t="str">
        <f>IFERROR(LOOKUP(2,1/((D_Points!$A$5:$A$204&lt;&gt;"")*(D_Points!$A$5:$A$204&gt;=$B102)*(D_Points!$A$5:$A$204&lt;$B102+P_Interval)*(RIGHT(UPPER(TRIM(D_Points!$B$5:$B$204)),7)="_BRIDGE")),IF(LEFT(UPPER(TRIM(D_Points!$B$5:$B$204)),2)="EX",1,IF(LEFT(UPPER(TRIM(D_Points!$B$5:$B$204)),2)="PR",2,2))),"")</f>
        <v/>
      </c>
      <c r="T102" s="181" t="str">
        <f>IFERROR(LOOKUP(2,1/((B_Drainage!$A$5:$A$204&lt;&gt;"")*(B_Drainage!$A$5:$A$204&lt;=$B102)*(B_Drainage!$B$5:$B$204&gt;$B102)*(B_Drainage!$E$5:$E$204&lt;&gt;"")),IF(B_Drainage!$E$5:$E$204="-","",1)),"")</f>
        <v/>
      </c>
      <c r="U102" s="181" t="str">
        <f>IFERROR(LOOKUP(2,1/((B_Drainage!$A$5:$A$204&lt;&gt;"")*(B_Drainage!$A$5:$A$204&lt;=$B102)*(B_Drainage!$B$5:$B$204&gt;$B102)*(B_Drainage!$E$5:$E$204&lt;&gt;"")),IF(B_Drainage!$E$5:$E$204="-","",B_Drainage!$E$5:$E$204)),"")</f>
        <v/>
      </c>
      <c r="V102" s="181" t="str">
        <f>IFERROR(LOOKUP(2,1/((B_Drainage!$A$5:$A$204&lt;&gt;"")*(B_Drainage!$A$5:$A$204&lt;=$B102)*(B_Drainage!$B$5:$B$204&gt;$B102)*(B_Drainage!$F$5:$F$204&lt;&gt;"")),IF(B_Drainage!$F$5:$F$204="-","",1)),"")</f>
        <v/>
      </c>
      <c r="W102" s="181" t="str">
        <f>IFERROR(LOOKUP(2,1/((B_Drainage!$A$5:$A$204&lt;&gt;"")*(B_Drainage!$A$5:$A$204&lt;=$B102)*(B_Drainage!$B$5:$B$204&gt;$B102)*(B_Drainage!$F$5:$F$204&lt;&gt;"")),IF(B_Drainage!$F$5:$F$204="-","",B_Drainage!$F$5:$F$204)),"")</f>
        <v/>
      </c>
      <c r="X102" s="181" t="str">
        <f>IFERROR(LOOKUP(2,1/((B_Drainage!$A$5:$A$204&lt;&gt;"")*(B_Drainage!$A$5:$A$204&lt;=$B102)*(B_Drainage!$B$5:$B$204&gt;$B102)*(B_Drainage!$G$5:$G$204&lt;&gt;"")),IF(UPPER(B_Drainage!$G$5:$G$204)="Y",1,"")),"")</f>
        <v/>
      </c>
      <c r="Y102" s="181" t="str">
        <f>IFERROR(LOOKUP(2,1/((B_Drainage!$A$5:$A$204&lt;&gt;"")*(B_Drainage!$A$5:$A$204&lt;=$B102)*(B_Drainage!$B$5:$B$204&gt;$B102)*(B_Drainage!$H$5:$H$204&lt;&gt;"")),IF(UPPER(B_Drainage!$H$5:$H$204)="Y",1,"")),"")</f>
        <v/>
      </c>
      <c r="Z102" s="181" t="str">
        <f>IFERROR(LOOKUP(2,1/((B_Drainage!$A$5:$A$204&lt;&gt;"")*(B_Drainage!$A$5:$A$204&lt;=$B102)*(B_Drainage!$B$5:$B$204&gt;$B102)*(B_Drainage!$I$5:$I$204&lt;&gt;"")),IF(UPPER(B_Drainage!$I$5:$I$204)="Y",1,"")),"")</f>
        <v/>
      </c>
      <c r="AA102" s="181" t="str">
        <f>IFERROR(LOOKUP(2,1/((B_Drainage!$A$5:$A$204&lt;&gt;"")*(B_Drainage!$A$5:$A$204&lt;=$B102)*(B_Drainage!$B$5:$B$204&gt;$B102)*(B_Drainage!$J$5:$J$204&lt;&gt;"")),IF(UPPER(B_Drainage!$J$5:$J$204)="Y",1,"")),"")</f>
        <v/>
      </c>
      <c r="AB102" s="182" t="str">
        <f>IFERROR(LOOKUP(2,1/((B_Drainage!$A$5:$A$204&lt;&gt;"")*(B_Drainage!$A$5:$A$204&lt;=$B102)*(B_Drainage!$B$5:$B$204&gt;$B102)*(B_Drainage!$K$5:$K$204&lt;&gt;"")),IF(B_Drainage!$K$5:$K$204="-","",B_Drainage!$K$5:$K$204)),"")</f>
        <v/>
      </c>
      <c r="AC102" s="182" t="str">
        <f>IFERROR(LOOKUP(2,1/((B_Drainage!$A$5:$A$204&lt;&gt;"")*(B_Drainage!$A$5:$A$204&lt;=$B102)*(B_Drainage!$B$5:$B$204&gt;$B102)*(B_Drainage!$L$5:$L$204&lt;&gt;"")),IF(B_Drainage!$L$5:$L$204="-","",B_Drainage!$L$5:$L$204)),"")</f>
        <v/>
      </c>
      <c r="AD102" s="182" t="str">
        <f>IFERROR(LOOKUP(2,1/((D_Points!$A$5:$A$204&lt;&gt;"")*(D_Points!$A$5:$A$204&gt;=$B102)*(D_Points!$A$5:$A$204&lt;$B102+P_Interval)*(UPPER(TRIM(D_Points!$B$5:$B$204))="TURNOUT_L")*(D_Points!$H$5:$H$204&lt;&gt;"")),D_Points!$H$5:$H$204),"")</f>
        <v/>
      </c>
      <c r="AE102" s="182" t="str">
        <f>IFERROR(LOOKUP(2,1/((D_Points!$A$5:$A$204&lt;&gt;"")*(D_Points!$A$5:$A$204&gt;=$B102)*(D_Points!$A$5:$A$204&lt;$B102+P_Interval)*(UPPER(TRIM(D_Points!$B$5:$B$204))="TURNOUT_R")*(D_Points!$H$5:$H$204&lt;&gt;"")),D_Points!$H$5:$H$204),"")</f>
        <v/>
      </c>
      <c r="AF102" s="181" t="str">
        <f>IFERROR(LOOKUP(2,1/((B_Drainage!$A$5:$A$204&lt;&gt;"")*(B_Drainage!$A$5:$A$204&lt;=$B102)*(B_Drainage!$B$5:$B$204&gt;$B102)*(B_Drainage!$M$5:$M$204&lt;&gt;"")),IF(UPPER(B_Drainage!$M$5:$M$204)="Y",1,"")),"")</f>
        <v/>
      </c>
      <c r="AG102" s="181" t="str">
        <f>IFERROR(LOOKUP(2,1/((B_Drainage!$A$5:$A$204&lt;&gt;"")*(B_Drainage!$A$5:$A$204&lt;=$B102)*(B_Drainage!$B$5:$B$204&gt;$B102)*(B_Drainage!$N$5:$N$204&lt;&gt;"")),IF(UPPER(B_Drainage!$N$5:$N$204)="Y",1,"")),"")</f>
        <v/>
      </c>
      <c r="AH102" s="181" t="str">
        <f t="shared" si="8"/>
        <v/>
      </c>
      <c r="AI102" s="181" t="str">
        <f t="shared" si="9"/>
        <v/>
      </c>
      <c r="AJ102" s="181" t="str">
        <f t="shared" si="10"/>
        <v/>
      </c>
      <c r="AK102" s="181" t="str">
        <f t="shared" si="11"/>
        <v/>
      </c>
      <c r="AL102" s="181" t="str">
        <f t="shared" si="12"/>
        <v/>
      </c>
      <c r="AM102" s="181" t="str">
        <f t="shared" si="13"/>
        <v/>
      </c>
      <c r="AN102" s="181" t="str">
        <f t="shared" si="14"/>
        <v/>
      </c>
      <c r="AO102" s="192" t="str">
        <f t="shared" si="15"/>
        <v/>
      </c>
      <c r="AQ102" t="str">
        <f>IFERROR(LOOKUP(2,1/((C_Pavement!$A$5:$A$204&lt;&gt;"")*(C_Pavement!$A$5:$A$204&lt;=$B102)*(C_Pavement!$B$5:$B$204&gt;$B102)*(C_Pavement!$C$5:$C$204&lt;&gt;"")),ROW(C_Pavement!$C$5:$C$204)-4),"")</f>
        <v/>
      </c>
      <c r="AR102" t="str">
        <f>IF($AQ102="","",UPPER(TRIM(INDEX(C_Pavement!$C$5:$C$204,$AQ102))))</f>
        <v/>
      </c>
      <c r="AS102" t="str">
        <f>IF($AR102="","",IFERROR(MATCH($AR102,E_Rules!$A$5:$A$9,0),""))</f>
        <v/>
      </c>
      <c r="AT102" t="str">
        <f>IF($AQ102="","",IF(INDEX(C_Pavement!$D$5:$D$204,$AQ102)&lt;&gt;"",UPPER(TRIM(INDEX(C_Pavement!$D$5:$D$204,$AQ102))),IF($AS102="","",INDEX(E_Rules!$C$5:$C$9,$AS102))))</f>
        <v/>
      </c>
      <c r="AU102" t="str">
        <f>IF($AQ102="","",IF(INDEX(C_Pavement!$E$5:$E$204,$AQ102)&lt;&gt;"",IF(INDEX(C_Pavement!$E$5:$E$204,$AQ102)="-","",INDEX(C_Pavement!$E$5:$E$204,$AQ102)),IF($AS102="","",INDEX(E_Rules!$D$5:$D$9,$AS102))))</f>
        <v/>
      </c>
      <c r="AV102" t="str">
        <f>IF($AQ102="","",IF(INDEX(C_Pavement!$F$5:$F$204,$AQ102)&lt;&gt;"",IF(INDEX(C_Pavement!$F$5:$F$204,$AQ102)="-","",INDEX(C_Pavement!$F$5:$F$204,$AQ102)),IF($AS102="","",INDEX(E_Rules!$E$5:$E$9,$AS102))))</f>
        <v/>
      </c>
      <c r="AW102" t="str">
        <f>IF($AQ102="","",IF(INDEX(C_Pavement!$G$5:$G$204,$AQ102)&lt;&gt;"",IF(INDEX(C_Pavement!$G$5:$G$204,$AQ102)="-","",INDEX(C_Pavement!$G$5:$G$204,$AQ102)),IF($AS102="","",INDEX(E_Rules!$F$5:$F$9,$AS102))))</f>
        <v/>
      </c>
      <c r="AX102" t="str">
        <f>IF($AQ102="","",IF(INDEX(C_Pavement!$H$5:$H$204,$AQ102)&lt;&gt;"",IF(INDEX(C_Pavement!$H$5:$H$204,$AQ102)="-","",INDEX(C_Pavement!$H$5:$H$204,$AQ102)),IF($AS102="","",INDEX(E_Rules!$G$5:$G$9,$AS102))))</f>
        <v/>
      </c>
      <c r="AY102" t="str">
        <f>IF($AQ102="","",IF(INDEX(C_Pavement!$I$5:$I$204,$AQ102)&lt;&gt;"",IF(INDEX(C_Pavement!$I$5:$I$204,$AQ102)="-","",INDEX(C_Pavement!$I$5:$I$204,$AQ102)),IF($AS102="","",INDEX(E_Rules!$H$5:$H$9,$AS102))))</f>
        <v/>
      </c>
    </row>
    <row r="103" spans="1:51" ht="15.75" customHeight="1" x14ac:dyDescent="0.3">
      <c r="A103" s="189">
        <v>98</v>
      </c>
      <c r="B103" s="180">
        <v>4850</v>
      </c>
      <c r="C103" s="180" t="s">
        <v>409</v>
      </c>
      <c r="D103" s="181" t="str">
        <f>IFERROR(LOOKUP(2,1/((A_Corridor!$A$5:$A$204&lt;&gt;"")*(A_Corridor!$A$5:$A$204&lt;=$B103)*(A_Corridor!$B$5:$B$204&gt;$B103)*(A_Corridor!$C$5:$C$204&lt;&gt;"")),IF(UPPER(A_Corridor!$C$5:$C$204)="Y",1,"")),"")</f>
        <v/>
      </c>
      <c r="E103" s="181" t="str">
        <f>IFERROR(LOOKUP(2,1/((A_Corridor!$A$5:$A$204&lt;&gt;"")*(A_Corridor!$A$5:$A$204&lt;=$B103)*(A_Corridor!$B$5:$B$204&gt;$B103)*(A_Corridor!$D$5:$D$204&lt;&gt;"")),IF(A_Corridor!$D$5:$D$204="-","",UPPER(A_Corridor!$D$5:$D$204))),"")</f>
        <v/>
      </c>
      <c r="F103" s="181" t="str">
        <f>IFERROR(LOOKUP(2,1/((A_Corridor!$A$5:$A$204&lt;&gt;"")*(A_Corridor!$A$5:$A$204&lt;=$B103)*(A_Corridor!$B$5:$B$204&gt;$B103)*(A_Corridor!$E$5:$E$204&lt;&gt;"")),IF(A_Corridor!$E$5:$E$204="-","",1)),"")</f>
        <v/>
      </c>
      <c r="G103" s="182" t="str">
        <f>IFERROR(LOOKUP(2,1/((A_Corridor!$A$5:$A$204&lt;&gt;"")*(A_Corridor!$A$5:$A$204&lt;=$B103)*(A_Corridor!$B$5:$B$204&gt;$B103)*(A_Corridor!$E$5:$E$204&lt;&gt;"")),IF(A_Corridor!$E$5:$E$204="-","",A_Corridor!$E$5:$E$204)),"")</f>
        <v/>
      </c>
      <c r="H103" s="182" t="str">
        <f>IFERROR(LOOKUP(2,1/((D_Points!$A$5:$A$204&lt;&gt;"")*(D_Points!$A$5:$A$204&gt;=$B103)*(D_Points!$A$5:$A$204&lt;$B103+P_Interval)*(UPPER(TRIM(D_Points!$B$5:$B$204))="GULLY")*(D_Points!$H$5:$H$204&lt;&gt;"")),D_Points!$H$5:$H$204),"")</f>
        <v/>
      </c>
      <c r="I103" s="181" t="str">
        <f>IFERROR(LOOKUP(2,1/((A_Corridor!$A$5:$A$204&lt;&gt;"")*(A_Corridor!$A$5:$A$204&lt;=$B103)*(A_Corridor!$B$5:$B$204&gt;$B103)*(A_Corridor!$F$5:$F$204&lt;&gt;"")),IF(A_Corridor!$F$5:$F$204="-","",1)),"")</f>
        <v/>
      </c>
      <c r="J103" s="182" t="str">
        <f>IFERROR(LOOKUP(2,1/((A_Corridor!$A$5:$A$204&lt;&gt;"")*(A_Corridor!$A$5:$A$204&lt;=$B103)*(A_Corridor!$B$5:$B$204&gt;$B103)*(A_Corridor!$F$5:$F$204&lt;&gt;"")),IF(A_Corridor!$F$5:$F$204="-","",A_Corridor!$F$5:$F$204)),"")</f>
        <v/>
      </c>
      <c r="K103" s="182" t="str">
        <f>IFERROR(LOOKUP(2,1/((A_Corridor!$A$5:$A$204&lt;&gt;"")*(A_Corridor!$A$5:$A$204&lt;=$B103)*(A_Corridor!$B$5:$B$204&gt;$B103)*(A_Corridor!$G$5:$G$204&lt;&gt;"")),IF(A_Corridor!$G$5:$G$204="-","",A_Corridor!$G$5:$G$204)),"")</f>
        <v/>
      </c>
      <c r="L103" s="181" t="str">
        <f>IFERROR(LOOKUP(2,1/((A_Corridor!$A$5:$A$204&lt;&gt;"")*(A_Corridor!$A$5:$A$204&lt;=$B103)*(A_Corridor!$B$5:$B$204&gt;$B103)*(A_Corridor!$H$5:$H$204&lt;&gt;"")),IF(A_Corridor!$H$5:$H$204="-","",1)),"")</f>
        <v/>
      </c>
      <c r="M103" s="182" t="str">
        <f>IFERROR(LOOKUP(2,1/((A_Corridor!$A$5:$A$204&lt;&gt;"")*(A_Corridor!$A$5:$A$204&lt;=$B103)*(A_Corridor!$B$5:$B$204&gt;$B103)*(A_Corridor!$H$5:$H$204&lt;&gt;"")),IF(A_Corridor!$H$5:$H$204="-","",A_Corridor!$H$5:$H$204)),"")</f>
        <v/>
      </c>
      <c r="N103" s="182" t="str">
        <f>IFERROR(LOOKUP(2,1/((A_Corridor!$A$5:$A$204&lt;&gt;"")*(A_Corridor!$A$5:$A$204&lt;=$B103)*(A_Corridor!$B$5:$B$204&gt;$B103)*(A_Corridor!$I$5:$I$204&lt;&gt;"")),IF(A_Corridor!$I$5:$I$204="-","",A_Corridor!$I$5:$I$204)),"")</f>
        <v/>
      </c>
      <c r="O103" s="182" t="str">
        <f>IFERROR(LOOKUP(2,1/((D_Points!$A$5:$A$204&lt;&gt;"")*(D_Points!$A$5:$A$204&gt;=$B103)*(D_Points!$A$5:$A$204&lt;$B103+P_Interval)*(UPPER(TRIM(D_Points!$B$5:$B$204))="PITCHING")*(D_Points!$H$5:$H$204&lt;&gt;"")),D_Points!$H$5:$H$204),"")</f>
        <v/>
      </c>
      <c r="P103" s="181" t="str">
        <f>IFERROR(LOOKUP(2,1/((B_Drainage!$A$5:$A$204&lt;&gt;"")*(B_Drainage!$A$5:$A$204&lt;=$B103)*(B_Drainage!$B$5:$B$204&gt;$B103)*(B_Drainage!$C$5:$C$204&lt;&gt;"")),IF(B_Drainage!$C$5:$C$204="-","",UPPER(B_Drainage!$C$5:$C$204))),"")</f>
        <v/>
      </c>
      <c r="Q103" s="181" t="str">
        <f>IFERROR(LOOKUP(2,1/((B_Drainage!$A$5:$A$204&lt;&gt;"")*(B_Drainage!$A$5:$A$204&lt;=$B103)*(B_Drainage!$B$5:$B$204&gt;$B103)*(B_Drainage!$D$5:$D$204&lt;&gt;"")),IF(B_Drainage!$D$5:$D$204="-","",UPPER(B_Drainage!$D$5:$D$204))),"")</f>
        <v/>
      </c>
      <c r="R103" s="182" t="str">
        <f>IFERROR(LOOKUP(2,1/((D_Points!$A$5:$A$204&lt;&gt;"")*(D_Points!$A$5:$A$204&gt;=$B103)*(D_Points!$A$5:$A$204&lt;$B103+P_Interval)*(RIGHT(UPPER(TRIM(D_Points!$B$5:$B$204)),8)="_CULVERT")),IF(LEFT(UPPER(TRIM(D_Points!$B$5:$B$204)),2)="EX",1,IF(LEFT(UPPER(TRIM(D_Points!$B$5:$B$204)),2)="PR",2,3))),"")</f>
        <v/>
      </c>
      <c r="S103" s="182" t="str">
        <f>IFERROR(LOOKUP(2,1/((D_Points!$A$5:$A$204&lt;&gt;"")*(D_Points!$A$5:$A$204&gt;=$B103)*(D_Points!$A$5:$A$204&lt;$B103+P_Interval)*(RIGHT(UPPER(TRIM(D_Points!$B$5:$B$204)),7)="_BRIDGE")),IF(LEFT(UPPER(TRIM(D_Points!$B$5:$B$204)),2)="EX",1,IF(LEFT(UPPER(TRIM(D_Points!$B$5:$B$204)),2)="PR",2,2))),"")</f>
        <v/>
      </c>
      <c r="T103" s="181" t="str">
        <f>IFERROR(LOOKUP(2,1/((B_Drainage!$A$5:$A$204&lt;&gt;"")*(B_Drainage!$A$5:$A$204&lt;=$B103)*(B_Drainage!$B$5:$B$204&gt;$B103)*(B_Drainage!$E$5:$E$204&lt;&gt;"")),IF(B_Drainage!$E$5:$E$204="-","",1)),"")</f>
        <v/>
      </c>
      <c r="U103" s="181" t="str">
        <f>IFERROR(LOOKUP(2,1/((B_Drainage!$A$5:$A$204&lt;&gt;"")*(B_Drainage!$A$5:$A$204&lt;=$B103)*(B_Drainage!$B$5:$B$204&gt;$B103)*(B_Drainage!$E$5:$E$204&lt;&gt;"")),IF(B_Drainage!$E$5:$E$204="-","",B_Drainage!$E$5:$E$204)),"")</f>
        <v/>
      </c>
      <c r="V103" s="181" t="str">
        <f>IFERROR(LOOKUP(2,1/((B_Drainage!$A$5:$A$204&lt;&gt;"")*(B_Drainage!$A$5:$A$204&lt;=$B103)*(B_Drainage!$B$5:$B$204&gt;$B103)*(B_Drainage!$F$5:$F$204&lt;&gt;"")),IF(B_Drainage!$F$5:$F$204="-","",1)),"")</f>
        <v/>
      </c>
      <c r="W103" s="181" t="str">
        <f>IFERROR(LOOKUP(2,1/((B_Drainage!$A$5:$A$204&lt;&gt;"")*(B_Drainage!$A$5:$A$204&lt;=$B103)*(B_Drainage!$B$5:$B$204&gt;$B103)*(B_Drainage!$F$5:$F$204&lt;&gt;"")),IF(B_Drainage!$F$5:$F$204="-","",B_Drainage!$F$5:$F$204)),"")</f>
        <v/>
      </c>
      <c r="X103" s="181" t="str">
        <f>IFERROR(LOOKUP(2,1/((B_Drainage!$A$5:$A$204&lt;&gt;"")*(B_Drainage!$A$5:$A$204&lt;=$B103)*(B_Drainage!$B$5:$B$204&gt;$B103)*(B_Drainage!$G$5:$G$204&lt;&gt;"")),IF(UPPER(B_Drainage!$G$5:$G$204)="Y",1,"")),"")</f>
        <v/>
      </c>
      <c r="Y103" s="181" t="str">
        <f>IFERROR(LOOKUP(2,1/((B_Drainage!$A$5:$A$204&lt;&gt;"")*(B_Drainage!$A$5:$A$204&lt;=$B103)*(B_Drainage!$B$5:$B$204&gt;$B103)*(B_Drainage!$H$5:$H$204&lt;&gt;"")),IF(UPPER(B_Drainage!$H$5:$H$204)="Y",1,"")),"")</f>
        <v/>
      </c>
      <c r="Z103" s="181" t="str">
        <f>IFERROR(LOOKUP(2,1/((B_Drainage!$A$5:$A$204&lt;&gt;"")*(B_Drainage!$A$5:$A$204&lt;=$B103)*(B_Drainage!$B$5:$B$204&gt;$B103)*(B_Drainage!$I$5:$I$204&lt;&gt;"")),IF(UPPER(B_Drainage!$I$5:$I$204)="Y",1,"")),"")</f>
        <v/>
      </c>
      <c r="AA103" s="181" t="str">
        <f>IFERROR(LOOKUP(2,1/((B_Drainage!$A$5:$A$204&lt;&gt;"")*(B_Drainage!$A$5:$A$204&lt;=$B103)*(B_Drainage!$B$5:$B$204&gt;$B103)*(B_Drainage!$J$5:$J$204&lt;&gt;"")),IF(UPPER(B_Drainage!$J$5:$J$204)="Y",1,"")),"")</f>
        <v/>
      </c>
      <c r="AB103" s="182" t="str">
        <f>IFERROR(LOOKUP(2,1/((B_Drainage!$A$5:$A$204&lt;&gt;"")*(B_Drainage!$A$5:$A$204&lt;=$B103)*(B_Drainage!$B$5:$B$204&gt;$B103)*(B_Drainage!$K$5:$K$204&lt;&gt;"")),IF(B_Drainage!$K$5:$K$204="-","",B_Drainage!$K$5:$K$204)),"")</f>
        <v/>
      </c>
      <c r="AC103" s="182" t="str">
        <f>IFERROR(LOOKUP(2,1/((B_Drainage!$A$5:$A$204&lt;&gt;"")*(B_Drainage!$A$5:$A$204&lt;=$B103)*(B_Drainage!$B$5:$B$204&gt;$B103)*(B_Drainage!$L$5:$L$204&lt;&gt;"")),IF(B_Drainage!$L$5:$L$204="-","",B_Drainage!$L$5:$L$204)),"")</f>
        <v/>
      </c>
      <c r="AD103" s="182" t="str">
        <f>IFERROR(LOOKUP(2,1/((D_Points!$A$5:$A$204&lt;&gt;"")*(D_Points!$A$5:$A$204&gt;=$B103)*(D_Points!$A$5:$A$204&lt;$B103+P_Interval)*(UPPER(TRIM(D_Points!$B$5:$B$204))="TURNOUT_L")*(D_Points!$H$5:$H$204&lt;&gt;"")),D_Points!$H$5:$H$204),"")</f>
        <v/>
      </c>
      <c r="AE103" s="182" t="str">
        <f>IFERROR(LOOKUP(2,1/((D_Points!$A$5:$A$204&lt;&gt;"")*(D_Points!$A$5:$A$204&gt;=$B103)*(D_Points!$A$5:$A$204&lt;$B103+P_Interval)*(UPPER(TRIM(D_Points!$B$5:$B$204))="TURNOUT_R")*(D_Points!$H$5:$H$204&lt;&gt;"")),D_Points!$H$5:$H$204),"")</f>
        <v/>
      </c>
      <c r="AF103" s="181" t="str">
        <f>IFERROR(LOOKUP(2,1/((B_Drainage!$A$5:$A$204&lt;&gt;"")*(B_Drainage!$A$5:$A$204&lt;=$B103)*(B_Drainage!$B$5:$B$204&gt;$B103)*(B_Drainage!$M$5:$M$204&lt;&gt;"")),IF(UPPER(B_Drainage!$M$5:$M$204)="Y",1,"")),"")</f>
        <v/>
      </c>
      <c r="AG103" s="181" t="str">
        <f>IFERROR(LOOKUP(2,1/((B_Drainage!$A$5:$A$204&lt;&gt;"")*(B_Drainage!$A$5:$A$204&lt;=$B103)*(B_Drainage!$B$5:$B$204&gt;$B103)*(B_Drainage!$N$5:$N$204&lt;&gt;"")),IF(UPPER(B_Drainage!$N$5:$N$204)="Y",1,"")),"")</f>
        <v/>
      </c>
      <c r="AH103" s="181" t="str">
        <f t="shared" si="8"/>
        <v/>
      </c>
      <c r="AI103" s="181" t="str">
        <f t="shared" si="9"/>
        <v/>
      </c>
      <c r="AJ103" s="181" t="str">
        <f t="shared" si="10"/>
        <v/>
      </c>
      <c r="AK103" s="181" t="str">
        <f t="shared" si="11"/>
        <v/>
      </c>
      <c r="AL103" s="181" t="str">
        <f t="shared" si="12"/>
        <v/>
      </c>
      <c r="AM103" s="181" t="str">
        <f t="shared" si="13"/>
        <v/>
      </c>
      <c r="AN103" s="181" t="str">
        <f t="shared" si="14"/>
        <v/>
      </c>
      <c r="AO103" s="192" t="str">
        <f t="shared" si="15"/>
        <v/>
      </c>
      <c r="AQ103" t="str">
        <f>IFERROR(LOOKUP(2,1/((C_Pavement!$A$5:$A$204&lt;&gt;"")*(C_Pavement!$A$5:$A$204&lt;=$B103)*(C_Pavement!$B$5:$B$204&gt;$B103)*(C_Pavement!$C$5:$C$204&lt;&gt;"")),ROW(C_Pavement!$C$5:$C$204)-4),"")</f>
        <v/>
      </c>
      <c r="AR103" t="str">
        <f>IF($AQ103="","",UPPER(TRIM(INDEX(C_Pavement!$C$5:$C$204,$AQ103))))</f>
        <v/>
      </c>
      <c r="AS103" t="str">
        <f>IF($AR103="","",IFERROR(MATCH($AR103,E_Rules!$A$5:$A$9,0),""))</f>
        <v/>
      </c>
      <c r="AT103" t="str">
        <f>IF($AQ103="","",IF(INDEX(C_Pavement!$D$5:$D$204,$AQ103)&lt;&gt;"",UPPER(TRIM(INDEX(C_Pavement!$D$5:$D$204,$AQ103))),IF($AS103="","",INDEX(E_Rules!$C$5:$C$9,$AS103))))</f>
        <v/>
      </c>
      <c r="AU103" t="str">
        <f>IF($AQ103="","",IF(INDEX(C_Pavement!$E$5:$E$204,$AQ103)&lt;&gt;"",IF(INDEX(C_Pavement!$E$5:$E$204,$AQ103)="-","",INDEX(C_Pavement!$E$5:$E$204,$AQ103)),IF($AS103="","",INDEX(E_Rules!$D$5:$D$9,$AS103))))</f>
        <v/>
      </c>
      <c r="AV103" t="str">
        <f>IF($AQ103="","",IF(INDEX(C_Pavement!$F$5:$F$204,$AQ103)&lt;&gt;"",IF(INDEX(C_Pavement!$F$5:$F$204,$AQ103)="-","",INDEX(C_Pavement!$F$5:$F$204,$AQ103)),IF($AS103="","",INDEX(E_Rules!$E$5:$E$9,$AS103))))</f>
        <v/>
      </c>
      <c r="AW103" t="str">
        <f>IF($AQ103="","",IF(INDEX(C_Pavement!$G$5:$G$204,$AQ103)&lt;&gt;"",IF(INDEX(C_Pavement!$G$5:$G$204,$AQ103)="-","",INDEX(C_Pavement!$G$5:$G$204,$AQ103)),IF($AS103="","",INDEX(E_Rules!$F$5:$F$9,$AS103))))</f>
        <v/>
      </c>
      <c r="AX103" t="str">
        <f>IF($AQ103="","",IF(INDEX(C_Pavement!$H$5:$H$204,$AQ103)&lt;&gt;"",IF(INDEX(C_Pavement!$H$5:$H$204,$AQ103)="-","",INDEX(C_Pavement!$H$5:$H$204,$AQ103)),IF($AS103="","",INDEX(E_Rules!$G$5:$G$9,$AS103))))</f>
        <v/>
      </c>
      <c r="AY103" t="str">
        <f>IF($AQ103="","",IF(INDEX(C_Pavement!$I$5:$I$204,$AQ103)&lt;&gt;"",IF(INDEX(C_Pavement!$I$5:$I$204,$AQ103)="-","",INDEX(C_Pavement!$I$5:$I$204,$AQ103)),IF($AS103="","",INDEX(E_Rules!$H$5:$H$9,$AS103))))</f>
        <v/>
      </c>
    </row>
    <row r="104" spans="1:51" ht="15.75" customHeight="1" x14ac:dyDescent="0.3">
      <c r="A104" s="189">
        <v>99</v>
      </c>
      <c r="B104" s="180">
        <v>4900</v>
      </c>
      <c r="C104" s="180" t="s">
        <v>410</v>
      </c>
      <c r="D104" s="181" t="str">
        <f>IFERROR(LOOKUP(2,1/((A_Corridor!$A$5:$A$204&lt;&gt;"")*(A_Corridor!$A$5:$A$204&lt;=$B104)*(A_Corridor!$B$5:$B$204&gt;$B104)*(A_Corridor!$C$5:$C$204&lt;&gt;"")),IF(UPPER(A_Corridor!$C$5:$C$204)="Y",1,"")),"")</f>
        <v/>
      </c>
      <c r="E104" s="181" t="str">
        <f>IFERROR(LOOKUP(2,1/((A_Corridor!$A$5:$A$204&lt;&gt;"")*(A_Corridor!$A$5:$A$204&lt;=$B104)*(A_Corridor!$B$5:$B$204&gt;$B104)*(A_Corridor!$D$5:$D$204&lt;&gt;"")),IF(A_Corridor!$D$5:$D$204="-","",UPPER(A_Corridor!$D$5:$D$204))),"")</f>
        <v/>
      </c>
      <c r="F104" s="181" t="str">
        <f>IFERROR(LOOKUP(2,1/((A_Corridor!$A$5:$A$204&lt;&gt;"")*(A_Corridor!$A$5:$A$204&lt;=$B104)*(A_Corridor!$B$5:$B$204&gt;$B104)*(A_Corridor!$E$5:$E$204&lt;&gt;"")),IF(A_Corridor!$E$5:$E$204="-","",1)),"")</f>
        <v/>
      </c>
      <c r="G104" s="182" t="str">
        <f>IFERROR(LOOKUP(2,1/((A_Corridor!$A$5:$A$204&lt;&gt;"")*(A_Corridor!$A$5:$A$204&lt;=$B104)*(A_Corridor!$B$5:$B$204&gt;$B104)*(A_Corridor!$E$5:$E$204&lt;&gt;"")),IF(A_Corridor!$E$5:$E$204="-","",A_Corridor!$E$5:$E$204)),"")</f>
        <v/>
      </c>
      <c r="H104" s="182" t="str">
        <f>IFERROR(LOOKUP(2,1/((D_Points!$A$5:$A$204&lt;&gt;"")*(D_Points!$A$5:$A$204&gt;=$B104)*(D_Points!$A$5:$A$204&lt;$B104+P_Interval)*(UPPER(TRIM(D_Points!$B$5:$B$204))="GULLY")*(D_Points!$H$5:$H$204&lt;&gt;"")),D_Points!$H$5:$H$204),"")</f>
        <v/>
      </c>
      <c r="I104" s="181" t="str">
        <f>IFERROR(LOOKUP(2,1/((A_Corridor!$A$5:$A$204&lt;&gt;"")*(A_Corridor!$A$5:$A$204&lt;=$B104)*(A_Corridor!$B$5:$B$204&gt;$B104)*(A_Corridor!$F$5:$F$204&lt;&gt;"")),IF(A_Corridor!$F$5:$F$204="-","",1)),"")</f>
        <v/>
      </c>
      <c r="J104" s="182" t="str">
        <f>IFERROR(LOOKUP(2,1/((A_Corridor!$A$5:$A$204&lt;&gt;"")*(A_Corridor!$A$5:$A$204&lt;=$B104)*(A_Corridor!$B$5:$B$204&gt;$B104)*(A_Corridor!$F$5:$F$204&lt;&gt;"")),IF(A_Corridor!$F$5:$F$204="-","",A_Corridor!$F$5:$F$204)),"")</f>
        <v/>
      </c>
      <c r="K104" s="182" t="str">
        <f>IFERROR(LOOKUP(2,1/((A_Corridor!$A$5:$A$204&lt;&gt;"")*(A_Corridor!$A$5:$A$204&lt;=$B104)*(A_Corridor!$B$5:$B$204&gt;$B104)*(A_Corridor!$G$5:$G$204&lt;&gt;"")),IF(A_Corridor!$G$5:$G$204="-","",A_Corridor!$G$5:$G$204)),"")</f>
        <v/>
      </c>
      <c r="L104" s="181" t="str">
        <f>IFERROR(LOOKUP(2,1/((A_Corridor!$A$5:$A$204&lt;&gt;"")*(A_Corridor!$A$5:$A$204&lt;=$B104)*(A_Corridor!$B$5:$B$204&gt;$B104)*(A_Corridor!$H$5:$H$204&lt;&gt;"")),IF(A_Corridor!$H$5:$H$204="-","",1)),"")</f>
        <v/>
      </c>
      <c r="M104" s="182" t="str">
        <f>IFERROR(LOOKUP(2,1/((A_Corridor!$A$5:$A$204&lt;&gt;"")*(A_Corridor!$A$5:$A$204&lt;=$B104)*(A_Corridor!$B$5:$B$204&gt;$B104)*(A_Corridor!$H$5:$H$204&lt;&gt;"")),IF(A_Corridor!$H$5:$H$204="-","",A_Corridor!$H$5:$H$204)),"")</f>
        <v/>
      </c>
      <c r="N104" s="182" t="str">
        <f>IFERROR(LOOKUP(2,1/((A_Corridor!$A$5:$A$204&lt;&gt;"")*(A_Corridor!$A$5:$A$204&lt;=$B104)*(A_Corridor!$B$5:$B$204&gt;$B104)*(A_Corridor!$I$5:$I$204&lt;&gt;"")),IF(A_Corridor!$I$5:$I$204="-","",A_Corridor!$I$5:$I$204)),"")</f>
        <v/>
      </c>
      <c r="O104" s="182" t="str">
        <f>IFERROR(LOOKUP(2,1/((D_Points!$A$5:$A$204&lt;&gt;"")*(D_Points!$A$5:$A$204&gt;=$B104)*(D_Points!$A$5:$A$204&lt;$B104+P_Interval)*(UPPER(TRIM(D_Points!$B$5:$B$204))="PITCHING")*(D_Points!$H$5:$H$204&lt;&gt;"")),D_Points!$H$5:$H$204),"")</f>
        <v/>
      </c>
      <c r="P104" s="181" t="str">
        <f>IFERROR(LOOKUP(2,1/((B_Drainage!$A$5:$A$204&lt;&gt;"")*(B_Drainage!$A$5:$A$204&lt;=$B104)*(B_Drainage!$B$5:$B$204&gt;$B104)*(B_Drainage!$C$5:$C$204&lt;&gt;"")),IF(B_Drainage!$C$5:$C$204="-","",UPPER(B_Drainage!$C$5:$C$204))),"")</f>
        <v/>
      </c>
      <c r="Q104" s="181" t="str">
        <f>IFERROR(LOOKUP(2,1/((B_Drainage!$A$5:$A$204&lt;&gt;"")*(B_Drainage!$A$5:$A$204&lt;=$B104)*(B_Drainage!$B$5:$B$204&gt;$B104)*(B_Drainage!$D$5:$D$204&lt;&gt;"")),IF(B_Drainage!$D$5:$D$204="-","",UPPER(B_Drainage!$D$5:$D$204))),"")</f>
        <v/>
      </c>
      <c r="R104" s="182" t="str">
        <f>IFERROR(LOOKUP(2,1/((D_Points!$A$5:$A$204&lt;&gt;"")*(D_Points!$A$5:$A$204&gt;=$B104)*(D_Points!$A$5:$A$204&lt;$B104+P_Interval)*(RIGHT(UPPER(TRIM(D_Points!$B$5:$B$204)),8)="_CULVERT")),IF(LEFT(UPPER(TRIM(D_Points!$B$5:$B$204)),2)="EX",1,IF(LEFT(UPPER(TRIM(D_Points!$B$5:$B$204)),2)="PR",2,3))),"")</f>
        <v/>
      </c>
      <c r="S104" s="182" t="str">
        <f>IFERROR(LOOKUP(2,1/((D_Points!$A$5:$A$204&lt;&gt;"")*(D_Points!$A$5:$A$204&gt;=$B104)*(D_Points!$A$5:$A$204&lt;$B104+P_Interval)*(RIGHT(UPPER(TRIM(D_Points!$B$5:$B$204)),7)="_BRIDGE")),IF(LEFT(UPPER(TRIM(D_Points!$B$5:$B$204)),2)="EX",1,IF(LEFT(UPPER(TRIM(D_Points!$B$5:$B$204)),2)="PR",2,2))),"")</f>
        <v/>
      </c>
      <c r="T104" s="181" t="str">
        <f>IFERROR(LOOKUP(2,1/((B_Drainage!$A$5:$A$204&lt;&gt;"")*(B_Drainage!$A$5:$A$204&lt;=$B104)*(B_Drainage!$B$5:$B$204&gt;$B104)*(B_Drainage!$E$5:$E$204&lt;&gt;"")),IF(B_Drainage!$E$5:$E$204="-","",1)),"")</f>
        <v/>
      </c>
      <c r="U104" s="181" t="str">
        <f>IFERROR(LOOKUP(2,1/((B_Drainage!$A$5:$A$204&lt;&gt;"")*(B_Drainage!$A$5:$A$204&lt;=$B104)*(B_Drainage!$B$5:$B$204&gt;$B104)*(B_Drainage!$E$5:$E$204&lt;&gt;"")),IF(B_Drainage!$E$5:$E$204="-","",B_Drainage!$E$5:$E$204)),"")</f>
        <v/>
      </c>
      <c r="V104" s="181" t="str">
        <f>IFERROR(LOOKUP(2,1/((B_Drainage!$A$5:$A$204&lt;&gt;"")*(B_Drainage!$A$5:$A$204&lt;=$B104)*(B_Drainage!$B$5:$B$204&gt;$B104)*(B_Drainage!$F$5:$F$204&lt;&gt;"")),IF(B_Drainage!$F$5:$F$204="-","",1)),"")</f>
        <v/>
      </c>
      <c r="W104" s="181" t="str">
        <f>IFERROR(LOOKUP(2,1/((B_Drainage!$A$5:$A$204&lt;&gt;"")*(B_Drainage!$A$5:$A$204&lt;=$B104)*(B_Drainage!$B$5:$B$204&gt;$B104)*(B_Drainage!$F$5:$F$204&lt;&gt;"")),IF(B_Drainage!$F$5:$F$204="-","",B_Drainage!$F$5:$F$204)),"")</f>
        <v/>
      </c>
      <c r="X104" s="181" t="str">
        <f>IFERROR(LOOKUP(2,1/((B_Drainage!$A$5:$A$204&lt;&gt;"")*(B_Drainage!$A$5:$A$204&lt;=$B104)*(B_Drainage!$B$5:$B$204&gt;$B104)*(B_Drainage!$G$5:$G$204&lt;&gt;"")),IF(UPPER(B_Drainage!$G$5:$G$204)="Y",1,"")),"")</f>
        <v/>
      </c>
      <c r="Y104" s="181" t="str">
        <f>IFERROR(LOOKUP(2,1/((B_Drainage!$A$5:$A$204&lt;&gt;"")*(B_Drainage!$A$5:$A$204&lt;=$B104)*(B_Drainage!$B$5:$B$204&gt;$B104)*(B_Drainage!$H$5:$H$204&lt;&gt;"")),IF(UPPER(B_Drainage!$H$5:$H$204)="Y",1,"")),"")</f>
        <v/>
      </c>
      <c r="Z104" s="181" t="str">
        <f>IFERROR(LOOKUP(2,1/((B_Drainage!$A$5:$A$204&lt;&gt;"")*(B_Drainage!$A$5:$A$204&lt;=$B104)*(B_Drainage!$B$5:$B$204&gt;$B104)*(B_Drainage!$I$5:$I$204&lt;&gt;"")),IF(UPPER(B_Drainage!$I$5:$I$204)="Y",1,"")),"")</f>
        <v/>
      </c>
      <c r="AA104" s="181" t="str">
        <f>IFERROR(LOOKUP(2,1/((B_Drainage!$A$5:$A$204&lt;&gt;"")*(B_Drainage!$A$5:$A$204&lt;=$B104)*(B_Drainage!$B$5:$B$204&gt;$B104)*(B_Drainage!$J$5:$J$204&lt;&gt;"")),IF(UPPER(B_Drainage!$J$5:$J$204)="Y",1,"")),"")</f>
        <v/>
      </c>
      <c r="AB104" s="182" t="str">
        <f>IFERROR(LOOKUP(2,1/((B_Drainage!$A$5:$A$204&lt;&gt;"")*(B_Drainage!$A$5:$A$204&lt;=$B104)*(B_Drainage!$B$5:$B$204&gt;$B104)*(B_Drainage!$K$5:$K$204&lt;&gt;"")),IF(B_Drainage!$K$5:$K$204="-","",B_Drainage!$K$5:$K$204)),"")</f>
        <v/>
      </c>
      <c r="AC104" s="182" t="str">
        <f>IFERROR(LOOKUP(2,1/((B_Drainage!$A$5:$A$204&lt;&gt;"")*(B_Drainage!$A$5:$A$204&lt;=$B104)*(B_Drainage!$B$5:$B$204&gt;$B104)*(B_Drainage!$L$5:$L$204&lt;&gt;"")),IF(B_Drainage!$L$5:$L$204="-","",B_Drainage!$L$5:$L$204)),"")</f>
        <v/>
      </c>
      <c r="AD104" s="182" t="str">
        <f>IFERROR(LOOKUP(2,1/((D_Points!$A$5:$A$204&lt;&gt;"")*(D_Points!$A$5:$A$204&gt;=$B104)*(D_Points!$A$5:$A$204&lt;$B104+P_Interval)*(UPPER(TRIM(D_Points!$B$5:$B$204))="TURNOUT_L")*(D_Points!$H$5:$H$204&lt;&gt;"")),D_Points!$H$5:$H$204),"")</f>
        <v/>
      </c>
      <c r="AE104" s="182" t="str">
        <f>IFERROR(LOOKUP(2,1/((D_Points!$A$5:$A$204&lt;&gt;"")*(D_Points!$A$5:$A$204&gt;=$B104)*(D_Points!$A$5:$A$204&lt;$B104+P_Interval)*(UPPER(TRIM(D_Points!$B$5:$B$204))="TURNOUT_R")*(D_Points!$H$5:$H$204&lt;&gt;"")),D_Points!$H$5:$H$204),"")</f>
        <v/>
      </c>
      <c r="AF104" s="181" t="str">
        <f>IFERROR(LOOKUP(2,1/((B_Drainage!$A$5:$A$204&lt;&gt;"")*(B_Drainage!$A$5:$A$204&lt;=$B104)*(B_Drainage!$B$5:$B$204&gt;$B104)*(B_Drainage!$M$5:$M$204&lt;&gt;"")),IF(UPPER(B_Drainage!$M$5:$M$204)="Y",1,"")),"")</f>
        <v/>
      </c>
      <c r="AG104" s="181" t="str">
        <f>IFERROR(LOOKUP(2,1/((B_Drainage!$A$5:$A$204&lt;&gt;"")*(B_Drainage!$A$5:$A$204&lt;=$B104)*(B_Drainage!$B$5:$B$204&gt;$B104)*(B_Drainage!$N$5:$N$204&lt;&gt;"")),IF(UPPER(B_Drainage!$N$5:$N$204)="Y",1,"")),"")</f>
        <v/>
      </c>
      <c r="AH104" s="181" t="str">
        <f t="shared" si="8"/>
        <v/>
      </c>
      <c r="AI104" s="181" t="str">
        <f t="shared" si="9"/>
        <v/>
      </c>
      <c r="AJ104" s="181" t="str">
        <f t="shared" si="10"/>
        <v/>
      </c>
      <c r="AK104" s="181" t="str">
        <f t="shared" si="11"/>
        <v/>
      </c>
      <c r="AL104" s="181" t="str">
        <f t="shared" si="12"/>
        <v/>
      </c>
      <c r="AM104" s="181" t="str">
        <f t="shared" si="13"/>
        <v/>
      </c>
      <c r="AN104" s="181" t="str">
        <f t="shared" si="14"/>
        <v/>
      </c>
      <c r="AO104" s="192" t="str">
        <f t="shared" si="15"/>
        <v/>
      </c>
      <c r="AQ104" t="str">
        <f>IFERROR(LOOKUP(2,1/((C_Pavement!$A$5:$A$204&lt;&gt;"")*(C_Pavement!$A$5:$A$204&lt;=$B104)*(C_Pavement!$B$5:$B$204&gt;$B104)*(C_Pavement!$C$5:$C$204&lt;&gt;"")),ROW(C_Pavement!$C$5:$C$204)-4),"")</f>
        <v/>
      </c>
      <c r="AR104" t="str">
        <f>IF($AQ104="","",UPPER(TRIM(INDEX(C_Pavement!$C$5:$C$204,$AQ104))))</f>
        <v/>
      </c>
      <c r="AS104" t="str">
        <f>IF($AR104="","",IFERROR(MATCH($AR104,E_Rules!$A$5:$A$9,0),""))</f>
        <v/>
      </c>
      <c r="AT104" t="str">
        <f>IF($AQ104="","",IF(INDEX(C_Pavement!$D$5:$D$204,$AQ104)&lt;&gt;"",UPPER(TRIM(INDEX(C_Pavement!$D$5:$D$204,$AQ104))),IF($AS104="","",INDEX(E_Rules!$C$5:$C$9,$AS104))))</f>
        <v/>
      </c>
      <c r="AU104" t="str">
        <f>IF($AQ104="","",IF(INDEX(C_Pavement!$E$5:$E$204,$AQ104)&lt;&gt;"",IF(INDEX(C_Pavement!$E$5:$E$204,$AQ104)="-","",INDEX(C_Pavement!$E$5:$E$204,$AQ104)),IF($AS104="","",INDEX(E_Rules!$D$5:$D$9,$AS104))))</f>
        <v/>
      </c>
      <c r="AV104" t="str">
        <f>IF($AQ104="","",IF(INDEX(C_Pavement!$F$5:$F$204,$AQ104)&lt;&gt;"",IF(INDEX(C_Pavement!$F$5:$F$204,$AQ104)="-","",INDEX(C_Pavement!$F$5:$F$204,$AQ104)),IF($AS104="","",INDEX(E_Rules!$E$5:$E$9,$AS104))))</f>
        <v/>
      </c>
      <c r="AW104" t="str">
        <f>IF($AQ104="","",IF(INDEX(C_Pavement!$G$5:$G$204,$AQ104)&lt;&gt;"",IF(INDEX(C_Pavement!$G$5:$G$204,$AQ104)="-","",INDEX(C_Pavement!$G$5:$G$204,$AQ104)),IF($AS104="","",INDEX(E_Rules!$F$5:$F$9,$AS104))))</f>
        <v/>
      </c>
      <c r="AX104" t="str">
        <f>IF($AQ104="","",IF(INDEX(C_Pavement!$H$5:$H$204,$AQ104)&lt;&gt;"",IF(INDEX(C_Pavement!$H$5:$H$204,$AQ104)="-","",INDEX(C_Pavement!$H$5:$H$204,$AQ104)),IF($AS104="","",INDEX(E_Rules!$G$5:$G$9,$AS104))))</f>
        <v/>
      </c>
      <c r="AY104" t="str">
        <f>IF($AQ104="","",IF(INDEX(C_Pavement!$I$5:$I$204,$AQ104)&lt;&gt;"",IF(INDEX(C_Pavement!$I$5:$I$204,$AQ104)="-","",INDEX(C_Pavement!$I$5:$I$204,$AQ104)),IF($AS104="","",INDEX(E_Rules!$H$5:$H$9,$AS104))))</f>
        <v/>
      </c>
    </row>
    <row r="105" spans="1:51" ht="15.75" customHeight="1" x14ac:dyDescent="0.3">
      <c r="A105" s="189">
        <v>100</v>
      </c>
      <c r="B105" s="180">
        <v>4950</v>
      </c>
      <c r="C105" s="180" t="s">
        <v>411</v>
      </c>
      <c r="D105" s="181" t="str">
        <f>IFERROR(LOOKUP(2,1/((A_Corridor!$A$5:$A$204&lt;&gt;"")*(A_Corridor!$A$5:$A$204&lt;=$B105)*(A_Corridor!$B$5:$B$204&gt;$B105)*(A_Corridor!$C$5:$C$204&lt;&gt;"")),IF(UPPER(A_Corridor!$C$5:$C$204)="Y",1,"")),"")</f>
        <v/>
      </c>
      <c r="E105" s="181" t="str">
        <f>IFERROR(LOOKUP(2,1/((A_Corridor!$A$5:$A$204&lt;&gt;"")*(A_Corridor!$A$5:$A$204&lt;=$B105)*(A_Corridor!$B$5:$B$204&gt;$B105)*(A_Corridor!$D$5:$D$204&lt;&gt;"")),IF(A_Corridor!$D$5:$D$204="-","",UPPER(A_Corridor!$D$5:$D$204))),"")</f>
        <v/>
      </c>
      <c r="F105" s="181" t="str">
        <f>IFERROR(LOOKUP(2,1/((A_Corridor!$A$5:$A$204&lt;&gt;"")*(A_Corridor!$A$5:$A$204&lt;=$B105)*(A_Corridor!$B$5:$B$204&gt;$B105)*(A_Corridor!$E$5:$E$204&lt;&gt;"")),IF(A_Corridor!$E$5:$E$204="-","",1)),"")</f>
        <v/>
      </c>
      <c r="G105" s="182" t="str">
        <f>IFERROR(LOOKUP(2,1/((A_Corridor!$A$5:$A$204&lt;&gt;"")*(A_Corridor!$A$5:$A$204&lt;=$B105)*(A_Corridor!$B$5:$B$204&gt;$B105)*(A_Corridor!$E$5:$E$204&lt;&gt;"")),IF(A_Corridor!$E$5:$E$204="-","",A_Corridor!$E$5:$E$204)),"")</f>
        <v/>
      </c>
      <c r="H105" s="182" t="str">
        <f>IFERROR(LOOKUP(2,1/((D_Points!$A$5:$A$204&lt;&gt;"")*(D_Points!$A$5:$A$204&gt;=$B105)*(D_Points!$A$5:$A$204&lt;$B105+P_Interval)*(UPPER(TRIM(D_Points!$B$5:$B$204))="GULLY")*(D_Points!$H$5:$H$204&lt;&gt;"")),D_Points!$H$5:$H$204),"")</f>
        <v/>
      </c>
      <c r="I105" s="181" t="str">
        <f>IFERROR(LOOKUP(2,1/((A_Corridor!$A$5:$A$204&lt;&gt;"")*(A_Corridor!$A$5:$A$204&lt;=$B105)*(A_Corridor!$B$5:$B$204&gt;$B105)*(A_Corridor!$F$5:$F$204&lt;&gt;"")),IF(A_Corridor!$F$5:$F$204="-","",1)),"")</f>
        <v/>
      </c>
      <c r="J105" s="182" t="str">
        <f>IFERROR(LOOKUP(2,1/((A_Corridor!$A$5:$A$204&lt;&gt;"")*(A_Corridor!$A$5:$A$204&lt;=$B105)*(A_Corridor!$B$5:$B$204&gt;$B105)*(A_Corridor!$F$5:$F$204&lt;&gt;"")),IF(A_Corridor!$F$5:$F$204="-","",A_Corridor!$F$5:$F$204)),"")</f>
        <v/>
      </c>
      <c r="K105" s="182" t="str">
        <f>IFERROR(LOOKUP(2,1/((A_Corridor!$A$5:$A$204&lt;&gt;"")*(A_Corridor!$A$5:$A$204&lt;=$B105)*(A_Corridor!$B$5:$B$204&gt;$B105)*(A_Corridor!$G$5:$G$204&lt;&gt;"")),IF(A_Corridor!$G$5:$G$204="-","",A_Corridor!$G$5:$G$204)),"")</f>
        <v/>
      </c>
      <c r="L105" s="181" t="str">
        <f>IFERROR(LOOKUP(2,1/((A_Corridor!$A$5:$A$204&lt;&gt;"")*(A_Corridor!$A$5:$A$204&lt;=$B105)*(A_Corridor!$B$5:$B$204&gt;$B105)*(A_Corridor!$H$5:$H$204&lt;&gt;"")),IF(A_Corridor!$H$5:$H$204="-","",1)),"")</f>
        <v/>
      </c>
      <c r="M105" s="182" t="str">
        <f>IFERROR(LOOKUP(2,1/((A_Corridor!$A$5:$A$204&lt;&gt;"")*(A_Corridor!$A$5:$A$204&lt;=$B105)*(A_Corridor!$B$5:$B$204&gt;$B105)*(A_Corridor!$H$5:$H$204&lt;&gt;"")),IF(A_Corridor!$H$5:$H$204="-","",A_Corridor!$H$5:$H$204)),"")</f>
        <v/>
      </c>
      <c r="N105" s="182" t="str">
        <f>IFERROR(LOOKUP(2,1/((A_Corridor!$A$5:$A$204&lt;&gt;"")*(A_Corridor!$A$5:$A$204&lt;=$B105)*(A_Corridor!$B$5:$B$204&gt;$B105)*(A_Corridor!$I$5:$I$204&lt;&gt;"")),IF(A_Corridor!$I$5:$I$204="-","",A_Corridor!$I$5:$I$204)),"")</f>
        <v/>
      </c>
      <c r="O105" s="182" t="str">
        <f>IFERROR(LOOKUP(2,1/((D_Points!$A$5:$A$204&lt;&gt;"")*(D_Points!$A$5:$A$204&gt;=$B105)*(D_Points!$A$5:$A$204&lt;$B105+P_Interval)*(UPPER(TRIM(D_Points!$B$5:$B$204))="PITCHING")*(D_Points!$H$5:$H$204&lt;&gt;"")),D_Points!$H$5:$H$204),"")</f>
        <v/>
      </c>
      <c r="P105" s="181" t="str">
        <f>IFERROR(LOOKUP(2,1/((B_Drainage!$A$5:$A$204&lt;&gt;"")*(B_Drainage!$A$5:$A$204&lt;=$B105)*(B_Drainage!$B$5:$B$204&gt;$B105)*(B_Drainage!$C$5:$C$204&lt;&gt;"")),IF(B_Drainage!$C$5:$C$204="-","",UPPER(B_Drainage!$C$5:$C$204))),"")</f>
        <v/>
      </c>
      <c r="Q105" s="181" t="str">
        <f>IFERROR(LOOKUP(2,1/((B_Drainage!$A$5:$A$204&lt;&gt;"")*(B_Drainage!$A$5:$A$204&lt;=$B105)*(B_Drainage!$B$5:$B$204&gt;$B105)*(B_Drainage!$D$5:$D$204&lt;&gt;"")),IF(B_Drainage!$D$5:$D$204="-","",UPPER(B_Drainage!$D$5:$D$204))),"")</f>
        <v/>
      </c>
      <c r="R105" s="182" t="str">
        <f>IFERROR(LOOKUP(2,1/((D_Points!$A$5:$A$204&lt;&gt;"")*(D_Points!$A$5:$A$204&gt;=$B105)*(D_Points!$A$5:$A$204&lt;$B105+P_Interval)*(RIGHT(UPPER(TRIM(D_Points!$B$5:$B$204)),8)="_CULVERT")),IF(LEFT(UPPER(TRIM(D_Points!$B$5:$B$204)),2)="EX",1,IF(LEFT(UPPER(TRIM(D_Points!$B$5:$B$204)),2)="PR",2,3))),"")</f>
        <v/>
      </c>
      <c r="S105" s="182" t="str">
        <f>IFERROR(LOOKUP(2,1/((D_Points!$A$5:$A$204&lt;&gt;"")*(D_Points!$A$5:$A$204&gt;=$B105)*(D_Points!$A$5:$A$204&lt;$B105+P_Interval)*(RIGHT(UPPER(TRIM(D_Points!$B$5:$B$204)),7)="_BRIDGE")),IF(LEFT(UPPER(TRIM(D_Points!$B$5:$B$204)),2)="EX",1,IF(LEFT(UPPER(TRIM(D_Points!$B$5:$B$204)),2)="PR",2,2))),"")</f>
        <v/>
      </c>
      <c r="T105" s="181" t="str">
        <f>IFERROR(LOOKUP(2,1/((B_Drainage!$A$5:$A$204&lt;&gt;"")*(B_Drainage!$A$5:$A$204&lt;=$B105)*(B_Drainage!$B$5:$B$204&gt;$B105)*(B_Drainage!$E$5:$E$204&lt;&gt;"")),IF(B_Drainage!$E$5:$E$204="-","",1)),"")</f>
        <v/>
      </c>
      <c r="U105" s="181" t="str">
        <f>IFERROR(LOOKUP(2,1/((B_Drainage!$A$5:$A$204&lt;&gt;"")*(B_Drainage!$A$5:$A$204&lt;=$B105)*(B_Drainage!$B$5:$B$204&gt;$B105)*(B_Drainage!$E$5:$E$204&lt;&gt;"")),IF(B_Drainage!$E$5:$E$204="-","",B_Drainage!$E$5:$E$204)),"")</f>
        <v/>
      </c>
      <c r="V105" s="181" t="str">
        <f>IFERROR(LOOKUP(2,1/((B_Drainage!$A$5:$A$204&lt;&gt;"")*(B_Drainage!$A$5:$A$204&lt;=$B105)*(B_Drainage!$B$5:$B$204&gt;$B105)*(B_Drainage!$F$5:$F$204&lt;&gt;"")),IF(B_Drainage!$F$5:$F$204="-","",1)),"")</f>
        <v/>
      </c>
      <c r="W105" s="181" t="str">
        <f>IFERROR(LOOKUP(2,1/((B_Drainage!$A$5:$A$204&lt;&gt;"")*(B_Drainage!$A$5:$A$204&lt;=$B105)*(B_Drainage!$B$5:$B$204&gt;$B105)*(B_Drainage!$F$5:$F$204&lt;&gt;"")),IF(B_Drainage!$F$5:$F$204="-","",B_Drainage!$F$5:$F$204)),"")</f>
        <v/>
      </c>
      <c r="X105" s="181" t="str">
        <f>IFERROR(LOOKUP(2,1/((B_Drainage!$A$5:$A$204&lt;&gt;"")*(B_Drainage!$A$5:$A$204&lt;=$B105)*(B_Drainage!$B$5:$B$204&gt;$B105)*(B_Drainage!$G$5:$G$204&lt;&gt;"")),IF(UPPER(B_Drainage!$G$5:$G$204)="Y",1,"")),"")</f>
        <v/>
      </c>
      <c r="Y105" s="181" t="str">
        <f>IFERROR(LOOKUP(2,1/((B_Drainage!$A$5:$A$204&lt;&gt;"")*(B_Drainage!$A$5:$A$204&lt;=$B105)*(B_Drainage!$B$5:$B$204&gt;$B105)*(B_Drainage!$H$5:$H$204&lt;&gt;"")),IF(UPPER(B_Drainage!$H$5:$H$204)="Y",1,"")),"")</f>
        <v/>
      </c>
      <c r="Z105" s="181" t="str">
        <f>IFERROR(LOOKUP(2,1/((B_Drainage!$A$5:$A$204&lt;&gt;"")*(B_Drainage!$A$5:$A$204&lt;=$B105)*(B_Drainage!$B$5:$B$204&gt;$B105)*(B_Drainage!$I$5:$I$204&lt;&gt;"")),IF(UPPER(B_Drainage!$I$5:$I$204)="Y",1,"")),"")</f>
        <v/>
      </c>
      <c r="AA105" s="181" t="str">
        <f>IFERROR(LOOKUP(2,1/((B_Drainage!$A$5:$A$204&lt;&gt;"")*(B_Drainage!$A$5:$A$204&lt;=$B105)*(B_Drainage!$B$5:$B$204&gt;$B105)*(B_Drainage!$J$5:$J$204&lt;&gt;"")),IF(UPPER(B_Drainage!$J$5:$J$204)="Y",1,"")),"")</f>
        <v/>
      </c>
      <c r="AB105" s="182" t="str">
        <f>IFERROR(LOOKUP(2,1/((B_Drainage!$A$5:$A$204&lt;&gt;"")*(B_Drainage!$A$5:$A$204&lt;=$B105)*(B_Drainage!$B$5:$B$204&gt;$B105)*(B_Drainage!$K$5:$K$204&lt;&gt;"")),IF(B_Drainage!$K$5:$K$204="-","",B_Drainage!$K$5:$K$204)),"")</f>
        <v/>
      </c>
      <c r="AC105" s="182" t="str">
        <f>IFERROR(LOOKUP(2,1/((B_Drainage!$A$5:$A$204&lt;&gt;"")*(B_Drainage!$A$5:$A$204&lt;=$B105)*(B_Drainage!$B$5:$B$204&gt;$B105)*(B_Drainage!$L$5:$L$204&lt;&gt;"")),IF(B_Drainage!$L$5:$L$204="-","",B_Drainage!$L$5:$L$204)),"")</f>
        <v/>
      </c>
      <c r="AD105" s="182" t="str">
        <f>IFERROR(LOOKUP(2,1/((D_Points!$A$5:$A$204&lt;&gt;"")*(D_Points!$A$5:$A$204&gt;=$B105)*(D_Points!$A$5:$A$204&lt;$B105+P_Interval)*(UPPER(TRIM(D_Points!$B$5:$B$204))="TURNOUT_L")*(D_Points!$H$5:$H$204&lt;&gt;"")),D_Points!$H$5:$H$204),"")</f>
        <v/>
      </c>
      <c r="AE105" s="182" t="str">
        <f>IFERROR(LOOKUP(2,1/((D_Points!$A$5:$A$204&lt;&gt;"")*(D_Points!$A$5:$A$204&gt;=$B105)*(D_Points!$A$5:$A$204&lt;$B105+P_Interval)*(UPPER(TRIM(D_Points!$B$5:$B$204))="TURNOUT_R")*(D_Points!$H$5:$H$204&lt;&gt;"")),D_Points!$H$5:$H$204),"")</f>
        <v/>
      </c>
      <c r="AF105" s="181" t="str">
        <f>IFERROR(LOOKUP(2,1/((B_Drainage!$A$5:$A$204&lt;&gt;"")*(B_Drainage!$A$5:$A$204&lt;=$B105)*(B_Drainage!$B$5:$B$204&gt;$B105)*(B_Drainage!$M$5:$M$204&lt;&gt;"")),IF(UPPER(B_Drainage!$M$5:$M$204)="Y",1,"")),"")</f>
        <v/>
      </c>
      <c r="AG105" s="181" t="str">
        <f>IFERROR(LOOKUP(2,1/((B_Drainage!$A$5:$A$204&lt;&gt;"")*(B_Drainage!$A$5:$A$204&lt;=$B105)*(B_Drainage!$B$5:$B$204&gt;$B105)*(B_Drainage!$N$5:$N$204&lt;&gt;"")),IF(UPPER(B_Drainage!$N$5:$N$204)="Y",1,"")),"")</f>
        <v/>
      </c>
      <c r="AH105" s="181" t="str">
        <f t="shared" si="8"/>
        <v/>
      </c>
      <c r="AI105" s="181" t="str">
        <f t="shared" si="9"/>
        <v/>
      </c>
      <c r="AJ105" s="181" t="str">
        <f t="shared" si="10"/>
        <v/>
      </c>
      <c r="AK105" s="181" t="str">
        <f t="shared" si="11"/>
        <v/>
      </c>
      <c r="AL105" s="181" t="str">
        <f t="shared" si="12"/>
        <v/>
      </c>
      <c r="AM105" s="181" t="str">
        <f t="shared" si="13"/>
        <v/>
      </c>
      <c r="AN105" s="181" t="str">
        <f t="shared" si="14"/>
        <v/>
      </c>
      <c r="AO105" s="192" t="str">
        <f t="shared" si="15"/>
        <v/>
      </c>
      <c r="AQ105" t="str">
        <f>IFERROR(LOOKUP(2,1/((C_Pavement!$A$5:$A$204&lt;&gt;"")*(C_Pavement!$A$5:$A$204&lt;=$B105)*(C_Pavement!$B$5:$B$204&gt;$B105)*(C_Pavement!$C$5:$C$204&lt;&gt;"")),ROW(C_Pavement!$C$5:$C$204)-4),"")</f>
        <v/>
      </c>
      <c r="AR105" t="str">
        <f>IF($AQ105="","",UPPER(TRIM(INDEX(C_Pavement!$C$5:$C$204,$AQ105))))</f>
        <v/>
      </c>
      <c r="AS105" t="str">
        <f>IF($AR105="","",IFERROR(MATCH($AR105,E_Rules!$A$5:$A$9,0),""))</f>
        <v/>
      </c>
      <c r="AT105" t="str">
        <f>IF($AQ105="","",IF(INDEX(C_Pavement!$D$5:$D$204,$AQ105)&lt;&gt;"",UPPER(TRIM(INDEX(C_Pavement!$D$5:$D$204,$AQ105))),IF($AS105="","",INDEX(E_Rules!$C$5:$C$9,$AS105))))</f>
        <v/>
      </c>
      <c r="AU105" t="str">
        <f>IF($AQ105="","",IF(INDEX(C_Pavement!$E$5:$E$204,$AQ105)&lt;&gt;"",IF(INDEX(C_Pavement!$E$5:$E$204,$AQ105)="-","",INDEX(C_Pavement!$E$5:$E$204,$AQ105)),IF($AS105="","",INDEX(E_Rules!$D$5:$D$9,$AS105))))</f>
        <v/>
      </c>
      <c r="AV105" t="str">
        <f>IF($AQ105="","",IF(INDEX(C_Pavement!$F$5:$F$204,$AQ105)&lt;&gt;"",IF(INDEX(C_Pavement!$F$5:$F$204,$AQ105)="-","",INDEX(C_Pavement!$F$5:$F$204,$AQ105)),IF($AS105="","",INDEX(E_Rules!$E$5:$E$9,$AS105))))</f>
        <v/>
      </c>
      <c r="AW105" t="str">
        <f>IF($AQ105="","",IF(INDEX(C_Pavement!$G$5:$G$204,$AQ105)&lt;&gt;"",IF(INDEX(C_Pavement!$G$5:$G$204,$AQ105)="-","",INDEX(C_Pavement!$G$5:$G$204,$AQ105)),IF($AS105="","",INDEX(E_Rules!$F$5:$F$9,$AS105))))</f>
        <v/>
      </c>
      <c r="AX105" t="str">
        <f>IF($AQ105="","",IF(INDEX(C_Pavement!$H$5:$H$204,$AQ105)&lt;&gt;"",IF(INDEX(C_Pavement!$H$5:$H$204,$AQ105)="-","",INDEX(C_Pavement!$H$5:$H$204,$AQ105)),IF($AS105="","",INDEX(E_Rules!$G$5:$G$9,$AS105))))</f>
        <v/>
      </c>
      <c r="AY105" t="str">
        <f>IF($AQ105="","",IF(INDEX(C_Pavement!$I$5:$I$204,$AQ105)&lt;&gt;"",IF(INDEX(C_Pavement!$I$5:$I$204,$AQ105)="-","",INDEX(C_Pavement!$I$5:$I$204,$AQ105)),IF($AS105="","",INDEX(E_Rules!$H$5:$H$9,$AS105))))</f>
        <v/>
      </c>
    </row>
    <row r="106" spans="1:51" ht="15.75" customHeight="1" x14ac:dyDescent="0.3">
      <c r="A106" s="189">
        <v>101</v>
      </c>
      <c r="B106" s="180">
        <v>5000</v>
      </c>
      <c r="C106" s="180" t="s">
        <v>412</v>
      </c>
      <c r="D106" s="181" t="str">
        <f>IFERROR(LOOKUP(2,1/((A_Corridor!$A$5:$A$204&lt;&gt;"")*(A_Corridor!$A$5:$A$204&lt;=$B106)*(A_Corridor!$B$5:$B$204&gt;$B106)*(A_Corridor!$C$5:$C$204&lt;&gt;"")),IF(UPPER(A_Corridor!$C$5:$C$204)="Y",1,"")),"")</f>
        <v/>
      </c>
      <c r="E106" s="181" t="str">
        <f>IFERROR(LOOKUP(2,1/((A_Corridor!$A$5:$A$204&lt;&gt;"")*(A_Corridor!$A$5:$A$204&lt;=$B106)*(A_Corridor!$B$5:$B$204&gt;$B106)*(A_Corridor!$D$5:$D$204&lt;&gt;"")),IF(A_Corridor!$D$5:$D$204="-","",UPPER(A_Corridor!$D$5:$D$204))),"")</f>
        <v/>
      </c>
      <c r="F106" s="181" t="str">
        <f>IFERROR(LOOKUP(2,1/((A_Corridor!$A$5:$A$204&lt;&gt;"")*(A_Corridor!$A$5:$A$204&lt;=$B106)*(A_Corridor!$B$5:$B$204&gt;$B106)*(A_Corridor!$E$5:$E$204&lt;&gt;"")),IF(A_Corridor!$E$5:$E$204="-","",1)),"")</f>
        <v/>
      </c>
      <c r="G106" s="182" t="str">
        <f>IFERROR(LOOKUP(2,1/((A_Corridor!$A$5:$A$204&lt;&gt;"")*(A_Corridor!$A$5:$A$204&lt;=$B106)*(A_Corridor!$B$5:$B$204&gt;$B106)*(A_Corridor!$E$5:$E$204&lt;&gt;"")),IF(A_Corridor!$E$5:$E$204="-","",A_Corridor!$E$5:$E$204)),"")</f>
        <v/>
      </c>
      <c r="H106" s="182" t="str">
        <f>IFERROR(LOOKUP(2,1/((D_Points!$A$5:$A$204&lt;&gt;"")*(D_Points!$A$5:$A$204&gt;=$B106)*(D_Points!$A$5:$A$204&lt;$B106+P_Interval)*(UPPER(TRIM(D_Points!$B$5:$B$204))="GULLY")*(D_Points!$H$5:$H$204&lt;&gt;"")),D_Points!$H$5:$H$204),"")</f>
        <v/>
      </c>
      <c r="I106" s="181" t="str">
        <f>IFERROR(LOOKUP(2,1/((A_Corridor!$A$5:$A$204&lt;&gt;"")*(A_Corridor!$A$5:$A$204&lt;=$B106)*(A_Corridor!$B$5:$B$204&gt;$B106)*(A_Corridor!$F$5:$F$204&lt;&gt;"")),IF(A_Corridor!$F$5:$F$204="-","",1)),"")</f>
        <v/>
      </c>
      <c r="J106" s="182" t="str">
        <f>IFERROR(LOOKUP(2,1/((A_Corridor!$A$5:$A$204&lt;&gt;"")*(A_Corridor!$A$5:$A$204&lt;=$B106)*(A_Corridor!$B$5:$B$204&gt;$B106)*(A_Corridor!$F$5:$F$204&lt;&gt;"")),IF(A_Corridor!$F$5:$F$204="-","",A_Corridor!$F$5:$F$204)),"")</f>
        <v/>
      </c>
      <c r="K106" s="182" t="str">
        <f>IFERROR(LOOKUP(2,1/((A_Corridor!$A$5:$A$204&lt;&gt;"")*(A_Corridor!$A$5:$A$204&lt;=$B106)*(A_Corridor!$B$5:$B$204&gt;$B106)*(A_Corridor!$G$5:$G$204&lt;&gt;"")),IF(A_Corridor!$G$5:$G$204="-","",A_Corridor!$G$5:$G$204)),"")</f>
        <v/>
      </c>
      <c r="L106" s="181" t="str">
        <f>IFERROR(LOOKUP(2,1/((A_Corridor!$A$5:$A$204&lt;&gt;"")*(A_Corridor!$A$5:$A$204&lt;=$B106)*(A_Corridor!$B$5:$B$204&gt;$B106)*(A_Corridor!$H$5:$H$204&lt;&gt;"")),IF(A_Corridor!$H$5:$H$204="-","",1)),"")</f>
        <v/>
      </c>
      <c r="M106" s="182" t="str">
        <f>IFERROR(LOOKUP(2,1/((A_Corridor!$A$5:$A$204&lt;&gt;"")*(A_Corridor!$A$5:$A$204&lt;=$B106)*(A_Corridor!$B$5:$B$204&gt;$B106)*(A_Corridor!$H$5:$H$204&lt;&gt;"")),IF(A_Corridor!$H$5:$H$204="-","",A_Corridor!$H$5:$H$204)),"")</f>
        <v/>
      </c>
      <c r="N106" s="182" t="str">
        <f>IFERROR(LOOKUP(2,1/((A_Corridor!$A$5:$A$204&lt;&gt;"")*(A_Corridor!$A$5:$A$204&lt;=$B106)*(A_Corridor!$B$5:$B$204&gt;$B106)*(A_Corridor!$I$5:$I$204&lt;&gt;"")),IF(A_Corridor!$I$5:$I$204="-","",A_Corridor!$I$5:$I$204)),"")</f>
        <v/>
      </c>
      <c r="O106" s="182" t="str">
        <f>IFERROR(LOOKUP(2,1/((D_Points!$A$5:$A$204&lt;&gt;"")*(D_Points!$A$5:$A$204&gt;=$B106)*(D_Points!$A$5:$A$204&lt;$B106+P_Interval)*(UPPER(TRIM(D_Points!$B$5:$B$204))="PITCHING")*(D_Points!$H$5:$H$204&lt;&gt;"")),D_Points!$H$5:$H$204),"")</f>
        <v/>
      </c>
      <c r="P106" s="181" t="str">
        <f>IFERROR(LOOKUP(2,1/((B_Drainage!$A$5:$A$204&lt;&gt;"")*(B_Drainage!$A$5:$A$204&lt;=$B106)*(B_Drainage!$B$5:$B$204&gt;$B106)*(B_Drainage!$C$5:$C$204&lt;&gt;"")),IF(B_Drainage!$C$5:$C$204="-","",UPPER(B_Drainage!$C$5:$C$204))),"")</f>
        <v/>
      </c>
      <c r="Q106" s="181" t="str">
        <f>IFERROR(LOOKUP(2,1/((B_Drainage!$A$5:$A$204&lt;&gt;"")*(B_Drainage!$A$5:$A$204&lt;=$B106)*(B_Drainage!$B$5:$B$204&gt;$B106)*(B_Drainage!$D$5:$D$204&lt;&gt;"")),IF(B_Drainage!$D$5:$D$204="-","",UPPER(B_Drainage!$D$5:$D$204))),"")</f>
        <v/>
      </c>
      <c r="R106" s="182" t="str">
        <f>IFERROR(LOOKUP(2,1/((D_Points!$A$5:$A$204&lt;&gt;"")*(D_Points!$A$5:$A$204&gt;=$B106)*(D_Points!$A$5:$A$204&lt;$B106+P_Interval)*(RIGHT(UPPER(TRIM(D_Points!$B$5:$B$204)),8)="_CULVERT")),IF(LEFT(UPPER(TRIM(D_Points!$B$5:$B$204)),2)="EX",1,IF(LEFT(UPPER(TRIM(D_Points!$B$5:$B$204)),2)="PR",2,3))),"")</f>
        <v/>
      </c>
      <c r="S106" s="182" t="str">
        <f>IFERROR(LOOKUP(2,1/((D_Points!$A$5:$A$204&lt;&gt;"")*(D_Points!$A$5:$A$204&gt;=$B106)*(D_Points!$A$5:$A$204&lt;$B106+P_Interval)*(RIGHT(UPPER(TRIM(D_Points!$B$5:$B$204)),7)="_BRIDGE")),IF(LEFT(UPPER(TRIM(D_Points!$B$5:$B$204)),2)="EX",1,IF(LEFT(UPPER(TRIM(D_Points!$B$5:$B$204)),2)="PR",2,2))),"")</f>
        <v/>
      </c>
      <c r="T106" s="181" t="str">
        <f>IFERROR(LOOKUP(2,1/((B_Drainage!$A$5:$A$204&lt;&gt;"")*(B_Drainage!$A$5:$A$204&lt;=$B106)*(B_Drainage!$B$5:$B$204&gt;$B106)*(B_Drainage!$E$5:$E$204&lt;&gt;"")),IF(B_Drainage!$E$5:$E$204="-","",1)),"")</f>
        <v/>
      </c>
      <c r="U106" s="181" t="str">
        <f>IFERROR(LOOKUP(2,1/((B_Drainage!$A$5:$A$204&lt;&gt;"")*(B_Drainage!$A$5:$A$204&lt;=$B106)*(B_Drainage!$B$5:$B$204&gt;$B106)*(B_Drainage!$E$5:$E$204&lt;&gt;"")),IF(B_Drainage!$E$5:$E$204="-","",B_Drainage!$E$5:$E$204)),"")</f>
        <v/>
      </c>
      <c r="V106" s="181" t="str">
        <f>IFERROR(LOOKUP(2,1/((B_Drainage!$A$5:$A$204&lt;&gt;"")*(B_Drainage!$A$5:$A$204&lt;=$B106)*(B_Drainage!$B$5:$B$204&gt;$B106)*(B_Drainage!$F$5:$F$204&lt;&gt;"")),IF(B_Drainage!$F$5:$F$204="-","",1)),"")</f>
        <v/>
      </c>
      <c r="W106" s="181" t="str">
        <f>IFERROR(LOOKUP(2,1/((B_Drainage!$A$5:$A$204&lt;&gt;"")*(B_Drainage!$A$5:$A$204&lt;=$B106)*(B_Drainage!$B$5:$B$204&gt;$B106)*(B_Drainage!$F$5:$F$204&lt;&gt;"")),IF(B_Drainage!$F$5:$F$204="-","",B_Drainage!$F$5:$F$204)),"")</f>
        <v/>
      </c>
      <c r="X106" s="181" t="str">
        <f>IFERROR(LOOKUP(2,1/((B_Drainage!$A$5:$A$204&lt;&gt;"")*(B_Drainage!$A$5:$A$204&lt;=$B106)*(B_Drainage!$B$5:$B$204&gt;$B106)*(B_Drainage!$G$5:$G$204&lt;&gt;"")),IF(UPPER(B_Drainage!$G$5:$G$204)="Y",1,"")),"")</f>
        <v/>
      </c>
      <c r="Y106" s="181" t="str">
        <f>IFERROR(LOOKUP(2,1/((B_Drainage!$A$5:$A$204&lt;&gt;"")*(B_Drainage!$A$5:$A$204&lt;=$B106)*(B_Drainage!$B$5:$B$204&gt;$B106)*(B_Drainage!$H$5:$H$204&lt;&gt;"")),IF(UPPER(B_Drainage!$H$5:$H$204)="Y",1,"")),"")</f>
        <v/>
      </c>
      <c r="Z106" s="181" t="str">
        <f>IFERROR(LOOKUP(2,1/((B_Drainage!$A$5:$A$204&lt;&gt;"")*(B_Drainage!$A$5:$A$204&lt;=$B106)*(B_Drainage!$B$5:$B$204&gt;$B106)*(B_Drainage!$I$5:$I$204&lt;&gt;"")),IF(UPPER(B_Drainage!$I$5:$I$204)="Y",1,"")),"")</f>
        <v/>
      </c>
      <c r="AA106" s="181" t="str">
        <f>IFERROR(LOOKUP(2,1/((B_Drainage!$A$5:$A$204&lt;&gt;"")*(B_Drainage!$A$5:$A$204&lt;=$B106)*(B_Drainage!$B$5:$B$204&gt;$B106)*(B_Drainage!$J$5:$J$204&lt;&gt;"")),IF(UPPER(B_Drainage!$J$5:$J$204)="Y",1,"")),"")</f>
        <v/>
      </c>
      <c r="AB106" s="182" t="str">
        <f>IFERROR(LOOKUP(2,1/((B_Drainage!$A$5:$A$204&lt;&gt;"")*(B_Drainage!$A$5:$A$204&lt;=$B106)*(B_Drainage!$B$5:$B$204&gt;$B106)*(B_Drainage!$K$5:$K$204&lt;&gt;"")),IF(B_Drainage!$K$5:$K$204="-","",B_Drainage!$K$5:$K$204)),"")</f>
        <v/>
      </c>
      <c r="AC106" s="182" t="str">
        <f>IFERROR(LOOKUP(2,1/((B_Drainage!$A$5:$A$204&lt;&gt;"")*(B_Drainage!$A$5:$A$204&lt;=$B106)*(B_Drainage!$B$5:$B$204&gt;$B106)*(B_Drainage!$L$5:$L$204&lt;&gt;"")),IF(B_Drainage!$L$5:$L$204="-","",B_Drainage!$L$5:$L$204)),"")</f>
        <v/>
      </c>
      <c r="AD106" s="182" t="str">
        <f>IFERROR(LOOKUP(2,1/((D_Points!$A$5:$A$204&lt;&gt;"")*(D_Points!$A$5:$A$204&gt;=$B106)*(D_Points!$A$5:$A$204&lt;$B106+P_Interval)*(UPPER(TRIM(D_Points!$B$5:$B$204))="TURNOUT_L")*(D_Points!$H$5:$H$204&lt;&gt;"")),D_Points!$H$5:$H$204),"")</f>
        <v/>
      </c>
      <c r="AE106" s="182" t="str">
        <f>IFERROR(LOOKUP(2,1/((D_Points!$A$5:$A$204&lt;&gt;"")*(D_Points!$A$5:$A$204&gt;=$B106)*(D_Points!$A$5:$A$204&lt;$B106+P_Interval)*(UPPER(TRIM(D_Points!$B$5:$B$204))="TURNOUT_R")*(D_Points!$H$5:$H$204&lt;&gt;"")),D_Points!$H$5:$H$204),"")</f>
        <v/>
      </c>
      <c r="AF106" s="181" t="str">
        <f>IFERROR(LOOKUP(2,1/((B_Drainage!$A$5:$A$204&lt;&gt;"")*(B_Drainage!$A$5:$A$204&lt;=$B106)*(B_Drainage!$B$5:$B$204&gt;$B106)*(B_Drainage!$M$5:$M$204&lt;&gt;"")),IF(UPPER(B_Drainage!$M$5:$M$204)="Y",1,"")),"")</f>
        <v/>
      </c>
      <c r="AG106" s="181" t="str">
        <f>IFERROR(LOOKUP(2,1/((B_Drainage!$A$5:$A$204&lt;&gt;"")*(B_Drainage!$A$5:$A$204&lt;=$B106)*(B_Drainage!$B$5:$B$204&gt;$B106)*(B_Drainage!$N$5:$N$204&lt;&gt;"")),IF(UPPER(B_Drainage!$N$5:$N$204)="Y",1,"")),"")</f>
        <v/>
      </c>
      <c r="AH106" s="181" t="str">
        <f t="shared" si="8"/>
        <v/>
      </c>
      <c r="AI106" s="181" t="str">
        <f t="shared" si="9"/>
        <v/>
      </c>
      <c r="AJ106" s="181" t="str">
        <f t="shared" si="10"/>
        <v/>
      </c>
      <c r="AK106" s="181" t="str">
        <f t="shared" si="11"/>
        <v/>
      </c>
      <c r="AL106" s="181" t="str">
        <f t="shared" si="12"/>
        <v/>
      </c>
      <c r="AM106" s="181" t="str">
        <f t="shared" si="13"/>
        <v/>
      </c>
      <c r="AN106" s="181" t="str">
        <f t="shared" si="14"/>
        <v/>
      </c>
      <c r="AO106" s="192" t="str">
        <f t="shared" si="15"/>
        <v/>
      </c>
      <c r="AQ106" t="str">
        <f>IFERROR(LOOKUP(2,1/((C_Pavement!$A$5:$A$204&lt;&gt;"")*(C_Pavement!$A$5:$A$204&lt;=$B106)*(C_Pavement!$B$5:$B$204&gt;$B106)*(C_Pavement!$C$5:$C$204&lt;&gt;"")),ROW(C_Pavement!$C$5:$C$204)-4),"")</f>
        <v/>
      </c>
      <c r="AR106" t="str">
        <f>IF($AQ106="","",UPPER(TRIM(INDEX(C_Pavement!$C$5:$C$204,$AQ106))))</f>
        <v/>
      </c>
      <c r="AS106" t="str">
        <f>IF($AR106="","",IFERROR(MATCH($AR106,E_Rules!$A$5:$A$9,0),""))</f>
        <v/>
      </c>
      <c r="AT106" t="str">
        <f>IF($AQ106="","",IF(INDEX(C_Pavement!$D$5:$D$204,$AQ106)&lt;&gt;"",UPPER(TRIM(INDEX(C_Pavement!$D$5:$D$204,$AQ106))),IF($AS106="","",INDEX(E_Rules!$C$5:$C$9,$AS106))))</f>
        <v/>
      </c>
      <c r="AU106" t="str">
        <f>IF($AQ106="","",IF(INDEX(C_Pavement!$E$5:$E$204,$AQ106)&lt;&gt;"",IF(INDEX(C_Pavement!$E$5:$E$204,$AQ106)="-","",INDEX(C_Pavement!$E$5:$E$204,$AQ106)),IF($AS106="","",INDEX(E_Rules!$D$5:$D$9,$AS106))))</f>
        <v/>
      </c>
      <c r="AV106" t="str">
        <f>IF($AQ106="","",IF(INDEX(C_Pavement!$F$5:$F$204,$AQ106)&lt;&gt;"",IF(INDEX(C_Pavement!$F$5:$F$204,$AQ106)="-","",INDEX(C_Pavement!$F$5:$F$204,$AQ106)),IF($AS106="","",INDEX(E_Rules!$E$5:$E$9,$AS106))))</f>
        <v/>
      </c>
      <c r="AW106" t="str">
        <f>IF($AQ106="","",IF(INDEX(C_Pavement!$G$5:$G$204,$AQ106)&lt;&gt;"",IF(INDEX(C_Pavement!$G$5:$G$204,$AQ106)="-","",INDEX(C_Pavement!$G$5:$G$204,$AQ106)),IF($AS106="","",INDEX(E_Rules!$F$5:$F$9,$AS106))))</f>
        <v/>
      </c>
      <c r="AX106" t="str">
        <f>IF($AQ106="","",IF(INDEX(C_Pavement!$H$5:$H$204,$AQ106)&lt;&gt;"",IF(INDEX(C_Pavement!$H$5:$H$204,$AQ106)="-","",INDEX(C_Pavement!$H$5:$H$204,$AQ106)),IF($AS106="","",INDEX(E_Rules!$G$5:$G$9,$AS106))))</f>
        <v/>
      </c>
      <c r="AY106" t="str">
        <f>IF($AQ106="","",IF(INDEX(C_Pavement!$I$5:$I$204,$AQ106)&lt;&gt;"",IF(INDEX(C_Pavement!$I$5:$I$204,$AQ106)="-","",INDEX(C_Pavement!$I$5:$I$204,$AQ106)),IF($AS106="","",INDEX(E_Rules!$H$5:$H$9,$AS106))))</f>
        <v/>
      </c>
    </row>
    <row r="107" spans="1:51" ht="15.75" customHeight="1" x14ac:dyDescent="0.3">
      <c r="A107" s="189">
        <v>102</v>
      </c>
      <c r="B107" s="180">
        <v>5050</v>
      </c>
      <c r="C107" s="180" t="s">
        <v>413</v>
      </c>
      <c r="D107" s="181" t="str">
        <f>IFERROR(LOOKUP(2,1/((A_Corridor!$A$5:$A$204&lt;&gt;"")*(A_Corridor!$A$5:$A$204&lt;=$B107)*(A_Corridor!$B$5:$B$204&gt;$B107)*(A_Corridor!$C$5:$C$204&lt;&gt;"")),IF(UPPER(A_Corridor!$C$5:$C$204)="Y",1,"")),"")</f>
        <v/>
      </c>
      <c r="E107" s="181" t="str">
        <f>IFERROR(LOOKUP(2,1/((A_Corridor!$A$5:$A$204&lt;&gt;"")*(A_Corridor!$A$5:$A$204&lt;=$B107)*(A_Corridor!$B$5:$B$204&gt;$B107)*(A_Corridor!$D$5:$D$204&lt;&gt;"")),IF(A_Corridor!$D$5:$D$204="-","",UPPER(A_Corridor!$D$5:$D$204))),"")</f>
        <v/>
      </c>
      <c r="F107" s="181" t="str">
        <f>IFERROR(LOOKUP(2,1/((A_Corridor!$A$5:$A$204&lt;&gt;"")*(A_Corridor!$A$5:$A$204&lt;=$B107)*(A_Corridor!$B$5:$B$204&gt;$B107)*(A_Corridor!$E$5:$E$204&lt;&gt;"")),IF(A_Corridor!$E$5:$E$204="-","",1)),"")</f>
        <v/>
      </c>
      <c r="G107" s="182" t="str">
        <f>IFERROR(LOOKUP(2,1/((A_Corridor!$A$5:$A$204&lt;&gt;"")*(A_Corridor!$A$5:$A$204&lt;=$B107)*(A_Corridor!$B$5:$B$204&gt;$B107)*(A_Corridor!$E$5:$E$204&lt;&gt;"")),IF(A_Corridor!$E$5:$E$204="-","",A_Corridor!$E$5:$E$204)),"")</f>
        <v/>
      </c>
      <c r="H107" s="182" t="str">
        <f>IFERROR(LOOKUP(2,1/((D_Points!$A$5:$A$204&lt;&gt;"")*(D_Points!$A$5:$A$204&gt;=$B107)*(D_Points!$A$5:$A$204&lt;$B107+P_Interval)*(UPPER(TRIM(D_Points!$B$5:$B$204))="GULLY")*(D_Points!$H$5:$H$204&lt;&gt;"")),D_Points!$H$5:$H$204),"")</f>
        <v/>
      </c>
      <c r="I107" s="181" t="str">
        <f>IFERROR(LOOKUP(2,1/((A_Corridor!$A$5:$A$204&lt;&gt;"")*(A_Corridor!$A$5:$A$204&lt;=$B107)*(A_Corridor!$B$5:$B$204&gt;$B107)*(A_Corridor!$F$5:$F$204&lt;&gt;"")),IF(A_Corridor!$F$5:$F$204="-","",1)),"")</f>
        <v/>
      </c>
      <c r="J107" s="182" t="str">
        <f>IFERROR(LOOKUP(2,1/((A_Corridor!$A$5:$A$204&lt;&gt;"")*(A_Corridor!$A$5:$A$204&lt;=$B107)*(A_Corridor!$B$5:$B$204&gt;$B107)*(A_Corridor!$F$5:$F$204&lt;&gt;"")),IF(A_Corridor!$F$5:$F$204="-","",A_Corridor!$F$5:$F$204)),"")</f>
        <v/>
      </c>
      <c r="K107" s="182" t="str">
        <f>IFERROR(LOOKUP(2,1/((A_Corridor!$A$5:$A$204&lt;&gt;"")*(A_Corridor!$A$5:$A$204&lt;=$B107)*(A_Corridor!$B$5:$B$204&gt;$B107)*(A_Corridor!$G$5:$G$204&lt;&gt;"")),IF(A_Corridor!$G$5:$G$204="-","",A_Corridor!$G$5:$G$204)),"")</f>
        <v/>
      </c>
      <c r="L107" s="181" t="str">
        <f>IFERROR(LOOKUP(2,1/((A_Corridor!$A$5:$A$204&lt;&gt;"")*(A_Corridor!$A$5:$A$204&lt;=$B107)*(A_Corridor!$B$5:$B$204&gt;$B107)*(A_Corridor!$H$5:$H$204&lt;&gt;"")),IF(A_Corridor!$H$5:$H$204="-","",1)),"")</f>
        <v/>
      </c>
      <c r="M107" s="182" t="str">
        <f>IFERROR(LOOKUP(2,1/((A_Corridor!$A$5:$A$204&lt;&gt;"")*(A_Corridor!$A$5:$A$204&lt;=$B107)*(A_Corridor!$B$5:$B$204&gt;$B107)*(A_Corridor!$H$5:$H$204&lt;&gt;"")),IF(A_Corridor!$H$5:$H$204="-","",A_Corridor!$H$5:$H$204)),"")</f>
        <v/>
      </c>
      <c r="N107" s="182" t="str">
        <f>IFERROR(LOOKUP(2,1/((A_Corridor!$A$5:$A$204&lt;&gt;"")*(A_Corridor!$A$5:$A$204&lt;=$B107)*(A_Corridor!$B$5:$B$204&gt;$B107)*(A_Corridor!$I$5:$I$204&lt;&gt;"")),IF(A_Corridor!$I$5:$I$204="-","",A_Corridor!$I$5:$I$204)),"")</f>
        <v/>
      </c>
      <c r="O107" s="182" t="str">
        <f>IFERROR(LOOKUP(2,1/((D_Points!$A$5:$A$204&lt;&gt;"")*(D_Points!$A$5:$A$204&gt;=$B107)*(D_Points!$A$5:$A$204&lt;$B107+P_Interval)*(UPPER(TRIM(D_Points!$B$5:$B$204))="PITCHING")*(D_Points!$H$5:$H$204&lt;&gt;"")),D_Points!$H$5:$H$204),"")</f>
        <v/>
      </c>
      <c r="P107" s="181" t="str">
        <f>IFERROR(LOOKUP(2,1/((B_Drainage!$A$5:$A$204&lt;&gt;"")*(B_Drainage!$A$5:$A$204&lt;=$B107)*(B_Drainage!$B$5:$B$204&gt;$B107)*(B_Drainage!$C$5:$C$204&lt;&gt;"")),IF(B_Drainage!$C$5:$C$204="-","",UPPER(B_Drainage!$C$5:$C$204))),"")</f>
        <v/>
      </c>
      <c r="Q107" s="181" t="str">
        <f>IFERROR(LOOKUP(2,1/((B_Drainage!$A$5:$A$204&lt;&gt;"")*(B_Drainage!$A$5:$A$204&lt;=$B107)*(B_Drainage!$B$5:$B$204&gt;$B107)*(B_Drainage!$D$5:$D$204&lt;&gt;"")),IF(B_Drainage!$D$5:$D$204="-","",UPPER(B_Drainage!$D$5:$D$204))),"")</f>
        <v/>
      </c>
      <c r="R107" s="182" t="str">
        <f>IFERROR(LOOKUP(2,1/((D_Points!$A$5:$A$204&lt;&gt;"")*(D_Points!$A$5:$A$204&gt;=$B107)*(D_Points!$A$5:$A$204&lt;$B107+P_Interval)*(RIGHT(UPPER(TRIM(D_Points!$B$5:$B$204)),8)="_CULVERT")),IF(LEFT(UPPER(TRIM(D_Points!$B$5:$B$204)),2)="EX",1,IF(LEFT(UPPER(TRIM(D_Points!$B$5:$B$204)),2)="PR",2,3))),"")</f>
        <v/>
      </c>
      <c r="S107" s="182" t="str">
        <f>IFERROR(LOOKUP(2,1/((D_Points!$A$5:$A$204&lt;&gt;"")*(D_Points!$A$5:$A$204&gt;=$B107)*(D_Points!$A$5:$A$204&lt;$B107+P_Interval)*(RIGHT(UPPER(TRIM(D_Points!$B$5:$B$204)),7)="_BRIDGE")),IF(LEFT(UPPER(TRIM(D_Points!$B$5:$B$204)),2)="EX",1,IF(LEFT(UPPER(TRIM(D_Points!$B$5:$B$204)),2)="PR",2,2))),"")</f>
        <v/>
      </c>
      <c r="T107" s="181" t="str">
        <f>IFERROR(LOOKUP(2,1/((B_Drainage!$A$5:$A$204&lt;&gt;"")*(B_Drainage!$A$5:$A$204&lt;=$B107)*(B_Drainage!$B$5:$B$204&gt;$B107)*(B_Drainage!$E$5:$E$204&lt;&gt;"")),IF(B_Drainage!$E$5:$E$204="-","",1)),"")</f>
        <v/>
      </c>
      <c r="U107" s="181" t="str">
        <f>IFERROR(LOOKUP(2,1/((B_Drainage!$A$5:$A$204&lt;&gt;"")*(B_Drainage!$A$5:$A$204&lt;=$B107)*(B_Drainage!$B$5:$B$204&gt;$B107)*(B_Drainage!$E$5:$E$204&lt;&gt;"")),IF(B_Drainage!$E$5:$E$204="-","",B_Drainage!$E$5:$E$204)),"")</f>
        <v/>
      </c>
      <c r="V107" s="181" t="str">
        <f>IFERROR(LOOKUP(2,1/((B_Drainage!$A$5:$A$204&lt;&gt;"")*(B_Drainage!$A$5:$A$204&lt;=$B107)*(B_Drainage!$B$5:$B$204&gt;$B107)*(B_Drainage!$F$5:$F$204&lt;&gt;"")),IF(B_Drainage!$F$5:$F$204="-","",1)),"")</f>
        <v/>
      </c>
      <c r="W107" s="181" t="str">
        <f>IFERROR(LOOKUP(2,1/((B_Drainage!$A$5:$A$204&lt;&gt;"")*(B_Drainage!$A$5:$A$204&lt;=$B107)*(B_Drainage!$B$5:$B$204&gt;$B107)*(B_Drainage!$F$5:$F$204&lt;&gt;"")),IF(B_Drainage!$F$5:$F$204="-","",B_Drainage!$F$5:$F$204)),"")</f>
        <v/>
      </c>
      <c r="X107" s="181" t="str">
        <f>IFERROR(LOOKUP(2,1/((B_Drainage!$A$5:$A$204&lt;&gt;"")*(B_Drainage!$A$5:$A$204&lt;=$B107)*(B_Drainage!$B$5:$B$204&gt;$B107)*(B_Drainage!$G$5:$G$204&lt;&gt;"")),IF(UPPER(B_Drainage!$G$5:$G$204)="Y",1,"")),"")</f>
        <v/>
      </c>
      <c r="Y107" s="181" t="str">
        <f>IFERROR(LOOKUP(2,1/((B_Drainage!$A$5:$A$204&lt;&gt;"")*(B_Drainage!$A$5:$A$204&lt;=$B107)*(B_Drainage!$B$5:$B$204&gt;$B107)*(B_Drainage!$H$5:$H$204&lt;&gt;"")),IF(UPPER(B_Drainage!$H$5:$H$204)="Y",1,"")),"")</f>
        <v/>
      </c>
      <c r="Z107" s="181" t="str">
        <f>IFERROR(LOOKUP(2,1/((B_Drainage!$A$5:$A$204&lt;&gt;"")*(B_Drainage!$A$5:$A$204&lt;=$B107)*(B_Drainage!$B$5:$B$204&gt;$B107)*(B_Drainage!$I$5:$I$204&lt;&gt;"")),IF(UPPER(B_Drainage!$I$5:$I$204)="Y",1,"")),"")</f>
        <v/>
      </c>
      <c r="AA107" s="181" t="str">
        <f>IFERROR(LOOKUP(2,1/((B_Drainage!$A$5:$A$204&lt;&gt;"")*(B_Drainage!$A$5:$A$204&lt;=$B107)*(B_Drainage!$B$5:$B$204&gt;$B107)*(B_Drainage!$J$5:$J$204&lt;&gt;"")),IF(UPPER(B_Drainage!$J$5:$J$204)="Y",1,"")),"")</f>
        <v/>
      </c>
      <c r="AB107" s="182" t="str">
        <f>IFERROR(LOOKUP(2,1/((B_Drainage!$A$5:$A$204&lt;&gt;"")*(B_Drainage!$A$5:$A$204&lt;=$B107)*(B_Drainage!$B$5:$B$204&gt;$B107)*(B_Drainage!$K$5:$K$204&lt;&gt;"")),IF(B_Drainage!$K$5:$K$204="-","",B_Drainage!$K$5:$K$204)),"")</f>
        <v/>
      </c>
      <c r="AC107" s="182" t="str">
        <f>IFERROR(LOOKUP(2,1/((B_Drainage!$A$5:$A$204&lt;&gt;"")*(B_Drainage!$A$5:$A$204&lt;=$B107)*(B_Drainage!$B$5:$B$204&gt;$B107)*(B_Drainage!$L$5:$L$204&lt;&gt;"")),IF(B_Drainage!$L$5:$L$204="-","",B_Drainage!$L$5:$L$204)),"")</f>
        <v/>
      </c>
      <c r="AD107" s="182" t="str">
        <f>IFERROR(LOOKUP(2,1/((D_Points!$A$5:$A$204&lt;&gt;"")*(D_Points!$A$5:$A$204&gt;=$B107)*(D_Points!$A$5:$A$204&lt;$B107+P_Interval)*(UPPER(TRIM(D_Points!$B$5:$B$204))="TURNOUT_L")*(D_Points!$H$5:$H$204&lt;&gt;"")),D_Points!$H$5:$H$204),"")</f>
        <v/>
      </c>
      <c r="AE107" s="182" t="str">
        <f>IFERROR(LOOKUP(2,1/((D_Points!$A$5:$A$204&lt;&gt;"")*(D_Points!$A$5:$A$204&gt;=$B107)*(D_Points!$A$5:$A$204&lt;$B107+P_Interval)*(UPPER(TRIM(D_Points!$B$5:$B$204))="TURNOUT_R")*(D_Points!$H$5:$H$204&lt;&gt;"")),D_Points!$H$5:$H$204),"")</f>
        <v/>
      </c>
      <c r="AF107" s="181" t="str">
        <f>IFERROR(LOOKUP(2,1/((B_Drainage!$A$5:$A$204&lt;&gt;"")*(B_Drainage!$A$5:$A$204&lt;=$B107)*(B_Drainage!$B$5:$B$204&gt;$B107)*(B_Drainage!$M$5:$M$204&lt;&gt;"")),IF(UPPER(B_Drainage!$M$5:$M$204)="Y",1,"")),"")</f>
        <v/>
      </c>
      <c r="AG107" s="181" t="str">
        <f>IFERROR(LOOKUP(2,1/((B_Drainage!$A$5:$A$204&lt;&gt;"")*(B_Drainage!$A$5:$A$204&lt;=$B107)*(B_Drainage!$B$5:$B$204&gt;$B107)*(B_Drainage!$N$5:$N$204&lt;&gt;"")),IF(UPPER(B_Drainage!$N$5:$N$204)="Y",1,"")),"")</f>
        <v/>
      </c>
      <c r="AH107" s="181" t="str">
        <f t="shared" si="8"/>
        <v/>
      </c>
      <c r="AI107" s="181" t="str">
        <f t="shared" si="9"/>
        <v/>
      </c>
      <c r="AJ107" s="181" t="str">
        <f t="shared" si="10"/>
        <v/>
      </c>
      <c r="AK107" s="181" t="str">
        <f t="shared" si="11"/>
        <v/>
      </c>
      <c r="AL107" s="181" t="str">
        <f t="shared" si="12"/>
        <v/>
      </c>
      <c r="AM107" s="181" t="str">
        <f t="shared" si="13"/>
        <v/>
      </c>
      <c r="AN107" s="181" t="str">
        <f t="shared" si="14"/>
        <v/>
      </c>
      <c r="AO107" s="192" t="str">
        <f t="shared" si="15"/>
        <v/>
      </c>
      <c r="AQ107" t="str">
        <f>IFERROR(LOOKUP(2,1/((C_Pavement!$A$5:$A$204&lt;&gt;"")*(C_Pavement!$A$5:$A$204&lt;=$B107)*(C_Pavement!$B$5:$B$204&gt;$B107)*(C_Pavement!$C$5:$C$204&lt;&gt;"")),ROW(C_Pavement!$C$5:$C$204)-4),"")</f>
        <v/>
      </c>
      <c r="AR107" t="str">
        <f>IF($AQ107="","",UPPER(TRIM(INDEX(C_Pavement!$C$5:$C$204,$AQ107))))</f>
        <v/>
      </c>
      <c r="AS107" t="str">
        <f>IF($AR107="","",IFERROR(MATCH($AR107,E_Rules!$A$5:$A$9,0),""))</f>
        <v/>
      </c>
      <c r="AT107" t="str">
        <f>IF($AQ107="","",IF(INDEX(C_Pavement!$D$5:$D$204,$AQ107)&lt;&gt;"",UPPER(TRIM(INDEX(C_Pavement!$D$5:$D$204,$AQ107))),IF($AS107="","",INDEX(E_Rules!$C$5:$C$9,$AS107))))</f>
        <v/>
      </c>
      <c r="AU107" t="str">
        <f>IF($AQ107="","",IF(INDEX(C_Pavement!$E$5:$E$204,$AQ107)&lt;&gt;"",IF(INDEX(C_Pavement!$E$5:$E$204,$AQ107)="-","",INDEX(C_Pavement!$E$5:$E$204,$AQ107)),IF($AS107="","",INDEX(E_Rules!$D$5:$D$9,$AS107))))</f>
        <v/>
      </c>
      <c r="AV107" t="str">
        <f>IF($AQ107="","",IF(INDEX(C_Pavement!$F$5:$F$204,$AQ107)&lt;&gt;"",IF(INDEX(C_Pavement!$F$5:$F$204,$AQ107)="-","",INDEX(C_Pavement!$F$5:$F$204,$AQ107)),IF($AS107="","",INDEX(E_Rules!$E$5:$E$9,$AS107))))</f>
        <v/>
      </c>
      <c r="AW107" t="str">
        <f>IF($AQ107="","",IF(INDEX(C_Pavement!$G$5:$G$204,$AQ107)&lt;&gt;"",IF(INDEX(C_Pavement!$G$5:$G$204,$AQ107)="-","",INDEX(C_Pavement!$G$5:$G$204,$AQ107)),IF($AS107="","",INDEX(E_Rules!$F$5:$F$9,$AS107))))</f>
        <v/>
      </c>
      <c r="AX107" t="str">
        <f>IF($AQ107="","",IF(INDEX(C_Pavement!$H$5:$H$204,$AQ107)&lt;&gt;"",IF(INDEX(C_Pavement!$H$5:$H$204,$AQ107)="-","",INDEX(C_Pavement!$H$5:$H$204,$AQ107)),IF($AS107="","",INDEX(E_Rules!$G$5:$G$9,$AS107))))</f>
        <v/>
      </c>
      <c r="AY107" t="str">
        <f>IF($AQ107="","",IF(INDEX(C_Pavement!$I$5:$I$204,$AQ107)&lt;&gt;"",IF(INDEX(C_Pavement!$I$5:$I$204,$AQ107)="-","",INDEX(C_Pavement!$I$5:$I$204,$AQ107)),IF($AS107="","",INDEX(E_Rules!$H$5:$H$9,$AS107))))</f>
        <v/>
      </c>
    </row>
    <row r="108" spans="1:51" ht="15.75" customHeight="1" x14ac:dyDescent="0.3">
      <c r="A108" s="189">
        <v>103</v>
      </c>
      <c r="B108" s="180">
        <v>5100</v>
      </c>
      <c r="C108" s="180" t="s">
        <v>414</v>
      </c>
      <c r="D108" s="181" t="str">
        <f>IFERROR(LOOKUP(2,1/((A_Corridor!$A$5:$A$204&lt;&gt;"")*(A_Corridor!$A$5:$A$204&lt;=$B108)*(A_Corridor!$B$5:$B$204&gt;$B108)*(A_Corridor!$C$5:$C$204&lt;&gt;"")),IF(UPPER(A_Corridor!$C$5:$C$204)="Y",1,"")),"")</f>
        <v/>
      </c>
      <c r="E108" s="181" t="str">
        <f>IFERROR(LOOKUP(2,1/((A_Corridor!$A$5:$A$204&lt;&gt;"")*(A_Corridor!$A$5:$A$204&lt;=$B108)*(A_Corridor!$B$5:$B$204&gt;$B108)*(A_Corridor!$D$5:$D$204&lt;&gt;"")),IF(A_Corridor!$D$5:$D$204="-","",UPPER(A_Corridor!$D$5:$D$204))),"")</f>
        <v/>
      </c>
      <c r="F108" s="181" t="str">
        <f>IFERROR(LOOKUP(2,1/((A_Corridor!$A$5:$A$204&lt;&gt;"")*(A_Corridor!$A$5:$A$204&lt;=$B108)*(A_Corridor!$B$5:$B$204&gt;$B108)*(A_Corridor!$E$5:$E$204&lt;&gt;"")),IF(A_Corridor!$E$5:$E$204="-","",1)),"")</f>
        <v/>
      </c>
      <c r="G108" s="182" t="str">
        <f>IFERROR(LOOKUP(2,1/((A_Corridor!$A$5:$A$204&lt;&gt;"")*(A_Corridor!$A$5:$A$204&lt;=$B108)*(A_Corridor!$B$5:$B$204&gt;$B108)*(A_Corridor!$E$5:$E$204&lt;&gt;"")),IF(A_Corridor!$E$5:$E$204="-","",A_Corridor!$E$5:$E$204)),"")</f>
        <v/>
      </c>
      <c r="H108" s="182" t="str">
        <f>IFERROR(LOOKUP(2,1/((D_Points!$A$5:$A$204&lt;&gt;"")*(D_Points!$A$5:$A$204&gt;=$B108)*(D_Points!$A$5:$A$204&lt;$B108+P_Interval)*(UPPER(TRIM(D_Points!$B$5:$B$204))="GULLY")*(D_Points!$H$5:$H$204&lt;&gt;"")),D_Points!$H$5:$H$204),"")</f>
        <v/>
      </c>
      <c r="I108" s="181" t="str">
        <f>IFERROR(LOOKUP(2,1/((A_Corridor!$A$5:$A$204&lt;&gt;"")*(A_Corridor!$A$5:$A$204&lt;=$B108)*(A_Corridor!$B$5:$B$204&gt;$B108)*(A_Corridor!$F$5:$F$204&lt;&gt;"")),IF(A_Corridor!$F$5:$F$204="-","",1)),"")</f>
        <v/>
      </c>
      <c r="J108" s="182" t="str">
        <f>IFERROR(LOOKUP(2,1/((A_Corridor!$A$5:$A$204&lt;&gt;"")*(A_Corridor!$A$5:$A$204&lt;=$B108)*(A_Corridor!$B$5:$B$204&gt;$B108)*(A_Corridor!$F$5:$F$204&lt;&gt;"")),IF(A_Corridor!$F$5:$F$204="-","",A_Corridor!$F$5:$F$204)),"")</f>
        <v/>
      </c>
      <c r="K108" s="182" t="str">
        <f>IFERROR(LOOKUP(2,1/((A_Corridor!$A$5:$A$204&lt;&gt;"")*(A_Corridor!$A$5:$A$204&lt;=$B108)*(A_Corridor!$B$5:$B$204&gt;$B108)*(A_Corridor!$G$5:$G$204&lt;&gt;"")),IF(A_Corridor!$G$5:$G$204="-","",A_Corridor!$G$5:$G$204)),"")</f>
        <v/>
      </c>
      <c r="L108" s="181" t="str">
        <f>IFERROR(LOOKUP(2,1/((A_Corridor!$A$5:$A$204&lt;&gt;"")*(A_Corridor!$A$5:$A$204&lt;=$B108)*(A_Corridor!$B$5:$B$204&gt;$B108)*(A_Corridor!$H$5:$H$204&lt;&gt;"")),IF(A_Corridor!$H$5:$H$204="-","",1)),"")</f>
        <v/>
      </c>
      <c r="M108" s="182" t="str">
        <f>IFERROR(LOOKUP(2,1/((A_Corridor!$A$5:$A$204&lt;&gt;"")*(A_Corridor!$A$5:$A$204&lt;=$B108)*(A_Corridor!$B$5:$B$204&gt;$B108)*(A_Corridor!$H$5:$H$204&lt;&gt;"")),IF(A_Corridor!$H$5:$H$204="-","",A_Corridor!$H$5:$H$204)),"")</f>
        <v/>
      </c>
      <c r="N108" s="182" t="str">
        <f>IFERROR(LOOKUP(2,1/((A_Corridor!$A$5:$A$204&lt;&gt;"")*(A_Corridor!$A$5:$A$204&lt;=$B108)*(A_Corridor!$B$5:$B$204&gt;$B108)*(A_Corridor!$I$5:$I$204&lt;&gt;"")),IF(A_Corridor!$I$5:$I$204="-","",A_Corridor!$I$5:$I$204)),"")</f>
        <v/>
      </c>
      <c r="O108" s="182" t="str">
        <f>IFERROR(LOOKUP(2,1/((D_Points!$A$5:$A$204&lt;&gt;"")*(D_Points!$A$5:$A$204&gt;=$B108)*(D_Points!$A$5:$A$204&lt;$B108+P_Interval)*(UPPER(TRIM(D_Points!$B$5:$B$204))="PITCHING")*(D_Points!$H$5:$H$204&lt;&gt;"")),D_Points!$H$5:$H$204),"")</f>
        <v/>
      </c>
      <c r="P108" s="181" t="str">
        <f>IFERROR(LOOKUP(2,1/((B_Drainage!$A$5:$A$204&lt;&gt;"")*(B_Drainage!$A$5:$A$204&lt;=$B108)*(B_Drainage!$B$5:$B$204&gt;$B108)*(B_Drainage!$C$5:$C$204&lt;&gt;"")),IF(B_Drainage!$C$5:$C$204="-","",UPPER(B_Drainage!$C$5:$C$204))),"")</f>
        <v/>
      </c>
      <c r="Q108" s="181" t="str">
        <f>IFERROR(LOOKUP(2,1/((B_Drainage!$A$5:$A$204&lt;&gt;"")*(B_Drainage!$A$5:$A$204&lt;=$B108)*(B_Drainage!$B$5:$B$204&gt;$B108)*(B_Drainage!$D$5:$D$204&lt;&gt;"")),IF(B_Drainage!$D$5:$D$204="-","",UPPER(B_Drainage!$D$5:$D$204))),"")</f>
        <v/>
      </c>
      <c r="R108" s="182" t="str">
        <f>IFERROR(LOOKUP(2,1/((D_Points!$A$5:$A$204&lt;&gt;"")*(D_Points!$A$5:$A$204&gt;=$B108)*(D_Points!$A$5:$A$204&lt;$B108+P_Interval)*(RIGHT(UPPER(TRIM(D_Points!$B$5:$B$204)),8)="_CULVERT")),IF(LEFT(UPPER(TRIM(D_Points!$B$5:$B$204)),2)="EX",1,IF(LEFT(UPPER(TRIM(D_Points!$B$5:$B$204)),2)="PR",2,3))),"")</f>
        <v/>
      </c>
      <c r="S108" s="182" t="str">
        <f>IFERROR(LOOKUP(2,1/((D_Points!$A$5:$A$204&lt;&gt;"")*(D_Points!$A$5:$A$204&gt;=$B108)*(D_Points!$A$5:$A$204&lt;$B108+P_Interval)*(RIGHT(UPPER(TRIM(D_Points!$B$5:$B$204)),7)="_BRIDGE")),IF(LEFT(UPPER(TRIM(D_Points!$B$5:$B$204)),2)="EX",1,IF(LEFT(UPPER(TRIM(D_Points!$B$5:$B$204)),2)="PR",2,2))),"")</f>
        <v/>
      </c>
      <c r="T108" s="181" t="str">
        <f>IFERROR(LOOKUP(2,1/((B_Drainage!$A$5:$A$204&lt;&gt;"")*(B_Drainage!$A$5:$A$204&lt;=$B108)*(B_Drainage!$B$5:$B$204&gt;$B108)*(B_Drainage!$E$5:$E$204&lt;&gt;"")),IF(B_Drainage!$E$5:$E$204="-","",1)),"")</f>
        <v/>
      </c>
      <c r="U108" s="181" t="str">
        <f>IFERROR(LOOKUP(2,1/((B_Drainage!$A$5:$A$204&lt;&gt;"")*(B_Drainage!$A$5:$A$204&lt;=$B108)*(B_Drainage!$B$5:$B$204&gt;$B108)*(B_Drainage!$E$5:$E$204&lt;&gt;"")),IF(B_Drainage!$E$5:$E$204="-","",B_Drainage!$E$5:$E$204)),"")</f>
        <v/>
      </c>
      <c r="V108" s="181" t="str">
        <f>IFERROR(LOOKUP(2,1/((B_Drainage!$A$5:$A$204&lt;&gt;"")*(B_Drainage!$A$5:$A$204&lt;=$B108)*(B_Drainage!$B$5:$B$204&gt;$B108)*(B_Drainage!$F$5:$F$204&lt;&gt;"")),IF(B_Drainage!$F$5:$F$204="-","",1)),"")</f>
        <v/>
      </c>
      <c r="W108" s="181" t="str">
        <f>IFERROR(LOOKUP(2,1/((B_Drainage!$A$5:$A$204&lt;&gt;"")*(B_Drainage!$A$5:$A$204&lt;=$B108)*(B_Drainage!$B$5:$B$204&gt;$B108)*(B_Drainage!$F$5:$F$204&lt;&gt;"")),IF(B_Drainage!$F$5:$F$204="-","",B_Drainage!$F$5:$F$204)),"")</f>
        <v/>
      </c>
      <c r="X108" s="181" t="str">
        <f>IFERROR(LOOKUP(2,1/((B_Drainage!$A$5:$A$204&lt;&gt;"")*(B_Drainage!$A$5:$A$204&lt;=$B108)*(B_Drainage!$B$5:$B$204&gt;$B108)*(B_Drainage!$G$5:$G$204&lt;&gt;"")),IF(UPPER(B_Drainage!$G$5:$G$204)="Y",1,"")),"")</f>
        <v/>
      </c>
      <c r="Y108" s="181" t="str">
        <f>IFERROR(LOOKUP(2,1/((B_Drainage!$A$5:$A$204&lt;&gt;"")*(B_Drainage!$A$5:$A$204&lt;=$B108)*(B_Drainage!$B$5:$B$204&gt;$B108)*(B_Drainage!$H$5:$H$204&lt;&gt;"")),IF(UPPER(B_Drainage!$H$5:$H$204)="Y",1,"")),"")</f>
        <v/>
      </c>
      <c r="Z108" s="181" t="str">
        <f>IFERROR(LOOKUP(2,1/((B_Drainage!$A$5:$A$204&lt;&gt;"")*(B_Drainage!$A$5:$A$204&lt;=$B108)*(B_Drainage!$B$5:$B$204&gt;$B108)*(B_Drainage!$I$5:$I$204&lt;&gt;"")),IF(UPPER(B_Drainage!$I$5:$I$204)="Y",1,"")),"")</f>
        <v/>
      </c>
      <c r="AA108" s="181" t="str">
        <f>IFERROR(LOOKUP(2,1/((B_Drainage!$A$5:$A$204&lt;&gt;"")*(B_Drainage!$A$5:$A$204&lt;=$B108)*(B_Drainage!$B$5:$B$204&gt;$B108)*(B_Drainage!$J$5:$J$204&lt;&gt;"")),IF(UPPER(B_Drainage!$J$5:$J$204)="Y",1,"")),"")</f>
        <v/>
      </c>
      <c r="AB108" s="182" t="str">
        <f>IFERROR(LOOKUP(2,1/((B_Drainage!$A$5:$A$204&lt;&gt;"")*(B_Drainage!$A$5:$A$204&lt;=$B108)*(B_Drainage!$B$5:$B$204&gt;$B108)*(B_Drainage!$K$5:$K$204&lt;&gt;"")),IF(B_Drainage!$K$5:$K$204="-","",B_Drainage!$K$5:$K$204)),"")</f>
        <v/>
      </c>
      <c r="AC108" s="182" t="str">
        <f>IFERROR(LOOKUP(2,1/((B_Drainage!$A$5:$A$204&lt;&gt;"")*(B_Drainage!$A$5:$A$204&lt;=$B108)*(B_Drainage!$B$5:$B$204&gt;$B108)*(B_Drainage!$L$5:$L$204&lt;&gt;"")),IF(B_Drainage!$L$5:$L$204="-","",B_Drainage!$L$5:$L$204)),"")</f>
        <v/>
      </c>
      <c r="AD108" s="182" t="str">
        <f>IFERROR(LOOKUP(2,1/((D_Points!$A$5:$A$204&lt;&gt;"")*(D_Points!$A$5:$A$204&gt;=$B108)*(D_Points!$A$5:$A$204&lt;$B108+P_Interval)*(UPPER(TRIM(D_Points!$B$5:$B$204))="TURNOUT_L")*(D_Points!$H$5:$H$204&lt;&gt;"")),D_Points!$H$5:$H$204),"")</f>
        <v/>
      </c>
      <c r="AE108" s="182" t="str">
        <f>IFERROR(LOOKUP(2,1/((D_Points!$A$5:$A$204&lt;&gt;"")*(D_Points!$A$5:$A$204&gt;=$B108)*(D_Points!$A$5:$A$204&lt;$B108+P_Interval)*(UPPER(TRIM(D_Points!$B$5:$B$204))="TURNOUT_R")*(D_Points!$H$5:$H$204&lt;&gt;"")),D_Points!$H$5:$H$204),"")</f>
        <v/>
      </c>
      <c r="AF108" s="181" t="str">
        <f>IFERROR(LOOKUP(2,1/((B_Drainage!$A$5:$A$204&lt;&gt;"")*(B_Drainage!$A$5:$A$204&lt;=$B108)*(B_Drainage!$B$5:$B$204&gt;$B108)*(B_Drainage!$M$5:$M$204&lt;&gt;"")),IF(UPPER(B_Drainage!$M$5:$M$204)="Y",1,"")),"")</f>
        <v/>
      </c>
      <c r="AG108" s="181" t="str">
        <f>IFERROR(LOOKUP(2,1/((B_Drainage!$A$5:$A$204&lt;&gt;"")*(B_Drainage!$A$5:$A$204&lt;=$B108)*(B_Drainage!$B$5:$B$204&gt;$B108)*(B_Drainage!$N$5:$N$204&lt;&gt;"")),IF(UPPER(B_Drainage!$N$5:$N$204)="Y",1,"")),"")</f>
        <v/>
      </c>
      <c r="AH108" s="181" t="str">
        <f t="shared" si="8"/>
        <v/>
      </c>
      <c r="AI108" s="181" t="str">
        <f t="shared" si="9"/>
        <v/>
      </c>
      <c r="AJ108" s="181" t="str">
        <f t="shared" si="10"/>
        <v/>
      </c>
      <c r="AK108" s="181" t="str">
        <f t="shared" si="11"/>
        <v/>
      </c>
      <c r="AL108" s="181" t="str">
        <f t="shared" si="12"/>
        <v/>
      </c>
      <c r="AM108" s="181" t="str">
        <f t="shared" si="13"/>
        <v/>
      </c>
      <c r="AN108" s="181" t="str">
        <f t="shared" si="14"/>
        <v/>
      </c>
      <c r="AO108" s="192" t="str">
        <f t="shared" si="15"/>
        <v/>
      </c>
      <c r="AQ108" t="str">
        <f>IFERROR(LOOKUP(2,1/((C_Pavement!$A$5:$A$204&lt;&gt;"")*(C_Pavement!$A$5:$A$204&lt;=$B108)*(C_Pavement!$B$5:$B$204&gt;$B108)*(C_Pavement!$C$5:$C$204&lt;&gt;"")),ROW(C_Pavement!$C$5:$C$204)-4),"")</f>
        <v/>
      </c>
      <c r="AR108" t="str">
        <f>IF($AQ108="","",UPPER(TRIM(INDEX(C_Pavement!$C$5:$C$204,$AQ108))))</f>
        <v/>
      </c>
      <c r="AS108" t="str">
        <f>IF($AR108="","",IFERROR(MATCH($AR108,E_Rules!$A$5:$A$9,0),""))</f>
        <v/>
      </c>
      <c r="AT108" t="str">
        <f>IF($AQ108="","",IF(INDEX(C_Pavement!$D$5:$D$204,$AQ108)&lt;&gt;"",UPPER(TRIM(INDEX(C_Pavement!$D$5:$D$204,$AQ108))),IF($AS108="","",INDEX(E_Rules!$C$5:$C$9,$AS108))))</f>
        <v/>
      </c>
      <c r="AU108" t="str">
        <f>IF($AQ108="","",IF(INDEX(C_Pavement!$E$5:$E$204,$AQ108)&lt;&gt;"",IF(INDEX(C_Pavement!$E$5:$E$204,$AQ108)="-","",INDEX(C_Pavement!$E$5:$E$204,$AQ108)),IF($AS108="","",INDEX(E_Rules!$D$5:$D$9,$AS108))))</f>
        <v/>
      </c>
      <c r="AV108" t="str">
        <f>IF($AQ108="","",IF(INDEX(C_Pavement!$F$5:$F$204,$AQ108)&lt;&gt;"",IF(INDEX(C_Pavement!$F$5:$F$204,$AQ108)="-","",INDEX(C_Pavement!$F$5:$F$204,$AQ108)),IF($AS108="","",INDEX(E_Rules!$E$5:$E$9,$AS108))))</f>
        <v/>
      </c>
      <c r="AW108" t="str">
        <f>IF($AQ108="","",IF(INDEX(C_Pavement!$G$5:$G$204,$AQ108)&lt;&gt;"",IF(INDEX(C_Pavement!$G$5:$G$204,$AQ108)="-","",INDEX(C_Pavement!$G$5:$G$204,$AQ108)),IF($AS108="","",INDEX(E_Rules!$F$5:$F$9,$AS108))))</f>
        <v/>
      </c>
      <c r="AX108" t="str">
        <f>IF($AQ108="","",IF(INDEX(C_Pavement!$H$5:$H$204,$AQ108)&lt;&gt;"",IF(INDEX(C_Pavement!$H$5:$H$204,$AQ108)="-","",INDEX(C_Pavement!$H$5:$H$204,$AQ108)),IF($AS108="","",INDEX(E_Rules!$G$5:$G$9,$AS108))))</f>
        <v/>
      </c>
      <c r="AY108" t="str">
        <f>IF($AQ108="","",IF(INDEX(C_Pavement!$I$5:$I$204,$AQ108)&lt;&gt;"",IF(INDEX(C_Pavement!$I$5:$I$204,$AQ108)="-","",INDEX(C_Pavement!$I$5:$I$204,$AQ108)),IF($AS108="","",INDEX(E_Rules!$H$5:$H$9,$AS108))))</f>
        <v/>
      </c>
    </row>
    <row r="109" spans="1:51" ht="15.75" customHeight="1" x14ac:dyDescent="0.3">
      <c r="A109" s="189">
        <v>104</v>
      </c>
      <c r="B109" s="180">
        <v>5150</v>
      </c>
      <c r="C109" s="180" t="s">
        <v>415</v>
      </c>
      <c r="D109" s="181" t="str">
        <f>IFERROR(LOOKUP(2,1/((A_Corridor!$A$5:$A$204&lt;&gt;"")*(A_Corridor!$A$5:$A$204&lt;=$B109)*(A_Corridor!$B$5:$B$204&gt;$B109)*(A_Corridor!$C$5:$C$204&lt;&gt;"")),IF(UPPER(A_Corridor!$C$5:$C$204)="Y",1,"")),"")</f>
        <v/>
      </c>
      <c r="E109" s="181" t="str">
        <f>IFERROR(LOOKUP(2,1/((A_Corridor!$A$5:$A$204&lt;&gt;"")*(A_Corridor!$A$5:$A$204&lt;=$B109)*(A_Corridor!$B$5:$B$204&gt;$B109)*(A_Corridor!$D$5:$D$204&lt;&gt;"")),IF(A_Corridor!$D$5:$D$204="-","",UPPER(A_Corridor!$D$5:$D$204))),"")</f>
        <v/>
      </c>
      <c r="F109" s="181" t="str">
        <f>IFERROR(LOOKUP(2,1/((A_Corridor!$A$5:$A$204&lt;&gt;"")*(A_Corridor!$A$5:$A$204&lt;=$B109)*(A_Corridor!$B$5:$B$204&gt;$B109)*(A_Corridor!$E$5:$E$204&lt;&gt;"")),IF(A_Corridor!$E$5:$E$204="-","",1)),"")</f>
        <v/>
      </c>
      <c r="G109" s="182" t="str">
        <f>IFERROR(LOOKUP(2,1/((A_Corridor!$A$5:$A$204&lt;&gt;"")*(A_Corridor!$A$5:$A$204&lt;=$B109)*(A_Corridor!$B$5:$B$204&gt;$B109)*(A_Corridor!$E$5:$E$204&lt;&gt;"")),IF(A_Corridor!$E$5:$E$204="-","",A_Corridor!$E$5:$E$204)),"")</f>
        <v/>
      </c>
      <c r="H109" s="182" t="str">
        <f>IFERROR(LOOKUP(2,1/((D_Points!$A$5:$A$204&lt;&gt;"")*(D_Points!$A$5:$A$204&gt;=$B109)*(D_Points!$A$5:$A$204&lt;$B109+P_Interval)*(UPPER(TRIM(D_Points!$B$5:$B$204))="GULLY")*(D_Points!$H$5:$H$204&lt;&gt;"")),D_Points!$H$5:$H$204),"")</f>
        <v/>
      </c>
      <c r="I109" s="181" t="str">
        <f>IFERROR(LOOKUP(2,1/((A_Corridor!$A$5:$A$204&lt;&gt;"")*(A_Corridor!$A$5:$A$204&lt;=$B109)*(A_Corridor!$B$5:$B$204&gt;$B109)*(A_Corridor!$F$5:$F$204&lt;&gt;"")),IF(A_Corridor!$F$5:$F$204="-","",1)),"")</f>
        <v/>
      </c>
      <c r="J109" s="182" t="str">
        <f>IFERROR(LOOKUP(2,1/((A_Corridor!$A$5:$A$204&lt;&gt;"")*(A_Corridor!$A$5:$A$204&lt;=$B109)*(A_Corridor!$B$5:$B$204&gt;$B109)*(A_Corridor!$F$5:$F$204&lt;&gt;"")),IF(A_Corridor!$F$5:$F$204="-","",A_Corridor!$F$5:$F$204)),"")</f>
        <v/>
      </c>
      <c r="K109" s="182" t="str">
        <f>IFERROR(LOOKUP(2,1/((A_Corridor!$A$5:$A$204&lt;&gt;"")*(A_Corridor!$A$5:$A$204&lt;=$B109)*(A_Corridor!$B$5:$B$204&gt;$B109)*(A_Corridor!$G$5:$G$204&lt;&gt;"")),IF(A_Corridor!$G$5:$G$204="-","",A_Corridor!$G$5:$G$204)),"")</f>
        <v/>
      </c>
      <c r="L109" s="181" t="str">
        <f>IFERROR(LOOKUP(2,1/((A_Corridor!$A$5:$A$204&lt;&gt;"")*(A_Corridor!$A$5:$A$204&lt;=$B109)*(A_Corridor!$B$5:$B$204&gt;$B109)*(A_Corridor!$H$5:$H$204&lt;&gt;"")),IF(A_Corridor!$H$5:$H$204="-","",1)),"")</f>
        <v/>
      </c>
      <c r="M109" s="182" t="str">
        <f>IFERROR(LOOKUP(2,1/((A_Corridor!$A$5:$A$204&lt;&gt;"")*(A_Corridor!$A$5:$A$204&lt;=$B109)*(A_Corridor!$B$5:$B$204&gt;$B109)*(A_Corridor!$H$5:$H$204&lt;&gt;"")),IF(A_Corridor!$H$5:$H$204="-","",A_Corridor!$H$5:$H$204)),"")</f>
        <v/>
      </c>
      <c r="N109" s="182" t="str">
        <f>IFERROR(LOOKUP(2,1/((A_Corridor!$A$5:$A$204&lt;&gt;"")*(A_Corridor!$A$5:$A$204&lt;=$B109)*(A_Corridor!$B$5:$B$204&gt;$B109)*(A_Corridor!$I$5:$I$204&lt;&gt;"")),IF(A_Corridor!$I$5:$I$204="-","",A_Corridor!$I$5:$I$204)),"")</f>
        <v/>
      </c>
      <c r="O109" s="182" t="str">
        <f>IFERROR(LOOKUP(2,1/((D_Points!$A$5:$A$204&lt;&gt;"")*(D_Points!$A$5:$A$204&gt;=$B109)*(D_Points!$A$5:$A$204&lt;$B109+P_Interval)*(UPPER(TRIM(D_Points!$B$5:$B$204))="PITCHING")*(D_Points!$H$5:$H$204&lt;&gt;"")),D_Points!$H$5:$H$204),"")</f>
        <v/>
      </c>
      <c r="P109" s="181" t="str">
        <f>IFERROR(LOOKUP(2,1/((B_Drainage!$A$5:$A$204&lt;&gt;"")*(B_Drainage!$A$5:$A$204&lt;=$B109)*(B_Drainage!$B$5:$B$204&gt;$B109)*(B_Drainage!$C$5:$C$204&lt;&gt;"")),IF(B_Drainage!$C$5:$C$204="-","",UPPER(B_Drainage!$C$5:$C$204))),"")</f>
        <v/>
      </c>
      <c r="Q109" s="181" t="str">
        <f>IFERROR(LOOKUP(2,1/((B_Drainage!$A$5:$A$204&lt;&gt;"")*(B_Drainage!$A$5:$A$204&lt;=$B109)*(B_Drainage!$B$5:$B$204&gt;$B109)*(B_Drainage!$D$5:$D$204&lt;&gt;"")),IF(B_Drainage!$D$5:$D$204="-","",UPPER(B_Drainage!$D$5:$D$204))),"")</f>
        <v/>
      </c>
      <c r="R109" s="182" t="str">
        <f>IFERROR(LOOKUP(2,1/((D_Points!$A$5:$A$204&lt;&gt;"")*(D_Points!$A$5:$A$204&gt;=$B109)*(D_Points!$A$5:$A$204&lt;$B109+P_Interval)*(RIGHT(UPPER(TRIM(D_Points!$B$5:$B$204)),8)="_CULVERT")),IF(LEFT(UPPER(TRIM(D_Points!$B$5:$B$204)),2)="EX",1,IF(LEFT(UPPER(TRIM(D_Points!$B$5:$B$204)),2)="PR",2,3))),"")</f>
        <v/>
      </c>
      <c r="S109" s="182" t="str">
        <f>IFERROR(LOOKUP(2,1/((D_Points!$A$5:$A$204&lt;&gt;"")*(D_Points!$A$5:$A$204&gt;=$B109)*(D_Points!$A$5:$A$204&lt;$B109+P_Interval)*(RIGHT(UPPER(TRIM(D_Points!$B$5:$B$204)),7)="_BRIDGE")),IF(LEFT(UPPER(TRIM(D_Points!$B$5:$B$204)),2)="EX",1,IF(LEFT(UPPER(TRIM(D_Points!$B$5:$B$204)),2)="PR",2,2))),"")</f>
        <v/>
      </c>
      <c r="T109" s="181" t="str">
        <f>IFERROR(LOOKUP(2,1/((B_Drainage!$A$5:$A$204&lt;&gt;"")*(B_Drainage!$A$5:$A$204&lt;=$B109)*(B_Drainage!$B$5:$B$204&gt;$B109)*(B_Drainage!$E$5:$E$204&lt;&gt;"")),IF(B_Drainage!$E$5:$E$204="-","",1)),"")</f>
        <v/>
      </c>
      <c r="U109" s="181" t="str">
        <f>IFERROR(LOOKUP(2,1/((B_Drainage!$A$5:$A$204&lt;&gt;"")*(B_Drainage!$A$5:$A$204&lt;=$B109)*(B_Drainage!$B$5:$B$204&gt;$B109)*(B_Drainage!$E$5:$E$204&lt;&gt;"")),IF(B_Drainage!$E$5:$E$204="-","",B_Drainage!$E$5:$E$204)),"")</f>
        <v/>
      </c>
      <c r="V109" s="181" t="str">
        <f>IFERROR(LOOKUP(2,1/((B_Drainage!$A$5:$A$204&lt;&gt;"")*(B_Drainage!$A$5:$A$204&lt;=$B109)*(B_Drainage!$B$5:$B$204&gt;$B109)*(B_Drainage!$F$5:$F$204&lt;&gt;"")),IF(B_Drainage!$F$5:$F$204="-","",1)),"")</f>
        <v/>
      </c>
      <c r="W109" s="181" t="str">
        <f>IFERROR(LOOKUP(2,1/((B_Drainage!$A$5:$A$204&lt;&gt;"")*(B_Drainage!$A$5:$A$204&lt;=$B109)*(B_Drainage!$B$5:$B$204&gt;$B109)*(B_Drainage!$F$5:$F$204&lt;&gt;"")),IF(B_Drainage!$F$5:$F$204="-","",B_Drainage!$F$5:$F$204)),"")</f>
        <v/>
      </c>
      <c r="X109" s="181" t="str">
        <f>IFERROR(LOOKUP(2,1/((B_Drainage!$A$5:$A$204&lt;&gt;"")*(B_Drainage!$A$5:$A$204&lt;=$B109)*(B_Drainage!$B$5:$B$204&gt;$B109)*(B_Drainage!$G$5:$G$204&lt;&gt;"")),IF(UPPER(B_Drainage!$G$5:$G$204)="Y",1,"")),"")</f>
        <v/>
      </c>
      <c r="Y109" s="181" t="str">
        <f>IFERROR(LOOKUP(2,1/((B_Drainage!$A$5:$A$204&lt;&gt;"")*(B_Drainage!$A$5:$A$204&lt;=$B109)*(B_Drainage!$B$5:$B$204&gt;$B109)*(B_Drainage!$H$5:$H$204&lt;&gt;"")),IF(UPPER(B_Drainage!$H$5:$H$204)="Y",1,"")),"")</f>
        <v/>
      </c>
      <c r="Z109" s="181" t="str">
        <f>IFERROR(LOOKUP(2,1/((B_Drainage!$A$5:$A$204&lt;&gt;"")*(B_Drainage!$A$5:$A$204&lt;=$B109)*(B_Drainage!$B$5:$B$204&gt;$B109)*(B_Drainage!$I$5:$I$204&lt;&gt;"")),IF(UPPER(B_Drainage!$I$5:$I$204)="Y",1,"")),"")</f>
        <v/>
      </c>
      <c r="AA109" s="181" t="str">
        <f>IFERROR(LOOKUP(2,1/((B_Drainage!$A$5:$A$204&lt;&gt;"")*(B_Drainage!$A$5:$A$204&lt;=$B109)*(B_Drainage!$B$5:$B$204&gt;$B109)*(B_Drainage!$J$5:$J$204&lt;&gt;"")),IF(UPPER(B_Drainage!$J$5:$J$204)="Y",1,"")),"")</f>
        <v/>
      </c>
      <c r="AB109" s="182" t="str">
        <f>IFERROR(LOOKUP(2,1/((B_Drainage!$A$5:$A$204&lt;&gt;"")*(B_Drainage!$A$5:$A$204&lt;=$B109)*(B_Drainage!$B$5:$B$204&gt;$B109)*(B_Drainage!$K$5:$K$204&lt;&gt;"")),IF(B_Drainage!$K$5:$K$204="-","",B_Drainage!$K$5:$K$204)),"")</f>
        <v/>
      </c>
      <c r="AC109" s="182" t="str">
        <f>IFERROR(LOOKUP(2,1/((B_Drainage!$A$5:$A$204&lt;&gt;"")*(B_Drainage!$A$5:$A$204&lt;=$B109)*(B_Drainage!$B$5:$B$204&gt;$B109)*(B_Drainage!$L$5:$L$204&lt;&gt;"")),IF(B_Drainage!$L$5:$L$204="-","",B_Drainage!$L$5:$L$204)),"")</f>
        <v/>
      </c>
      <c r="AD109" s="182" t="str">
        <f>IFERROR(LOOKUP(2,1/((D_Points!$A$5:$A$204&lt;&gt;"")*(D_Points!$A$5:$A$204&gt;=$B109)*(D_Points!$A$5:$A$204&lt;$B109+P_Interval)*(UPPER(TRIM(D_Points!$B$5:$B$204))="TURNOUT_L")*(D_Points!$H$5:$H$204&lt;&gt;"")),D_Points!$H$5:$H$204),"")</f>
        <v/>
      </c>
      <c r="AE109" s="182" t="str">
        <f>IFERROR(LOOKUP(2,1/((D_Points!$A$5:$A$204&lt;&gt;"")*(D_Points!$A$5:$A$204&gt;=$B109)*(D_Points!$A$5:$A$204&lt;$B109+P_Interval)*(UPPER(TRIM(D_Points!$B$5:$B$204))="TURNOUT_R")*(D_Points!$H$5:$H$204&lt;&gt;"")),D_Points!$H$5:$H$204),"")</f>
        <v/>
      </c>
      <c r="AF109" s="181" t="str">
        <f>IFERROR(LOOKUP(2,1/((B_Drainage!$A$5:$A$204&lt;&gt;"")*(B_Drainage!$A$5:$A$204&lt;=$B109)*(B_Drainage!$B$5:$B$204&gt;$B109)*(B_Drainage!$M$5:$M$204&lt;&gt;"")),IF(UPPER(B_Drainage!$M$5:$M$204)="Y",1,"")),"")</f>
        <v/>
      </c>
      <c r="AG109" s="181" t="str">
        <f>IFERROR(LOOKUP(2,1/((B_Drainage!$A$5:$A$204&lt;&gt;"")*(B_Drainage!$A$5:$A$204&lt;=$B109)*(B_Drainage!$B$5:$B$204&gt;$B109)*(B_Drainage!$N$5:$N$204&lt;&gt;"")),IF(UPPER(B_Drainage!$N$5:$N$204)="Y",1,"")),"")</f>
        <v/>
      </c>
      <c r="AH109" s="181" t="str">
        <f t="shared" si="8"/>
        <v/>
      </c>
      <c r="AI109" s="181" t="str">
        <f t="shared" si="9"/>
        <v/>
      </c>
      <c r="AJ109" s="181" t="str">
        <f t="shared" si="10"/>
        <v/>
      </c>
      <c r="AK109" s="181" t="str">
        <f t="shared" si="11"/>
        <v/>
      </c>
      <c r="AL109" s="181" t="str">
        <f t="shared" si="12"/>
        <v/>
      </c>
      <c r="AM109" s="181" t="str">
        <f t="shared" si="13"/>
        <v/>
      </c>
      <c r="AN109" s="181" t="str">
        <f t="shared" si="14"/>
        <v/>
      </c>
      <c r="AO109" s="192" t="str">
        <f t="shared" si="15"/>
        <v/>
      </c>
      <c r="AQ109" t="str">
        <f>IFERROR(LOOKUP(2,1/((C_Pavement!$A$5:$A$204&lt;&gt;"")*(C_Pavement!$A$5:$A$204&lt;=$B109)*(C_Pavement!$B$5:$B$204&gt;$B109)*(C_Pavement!$C$5:$C$204&lt;&gt;"")),ROW(C_Pavement!$C$5:$C$204)-4),"")</f>
        <v/>
      </c>
      <c r="AR109" t="str">
        <f>IF($AQ109="","",UPPER(TRIM(INDEX(C_Pavement!$C$5:$C$204,$AQ109))))</f>
        <v/>
      </c>
      <c r="AS109" t="str">
        <f>IF($AR109="","",IFERROR(MATCH($AR109,E_Rules!$A$5:$A$9,0),""))</f>
        <v/>
      </c>
      <c r="AT109" t="str">
        <f>IF($AQ109="","",IF(INDEX(C_Pavement!$D$5:$D$204,$AQ109)&lt;&gt;"",UPPER(TRIM(INDEX(C_Pavement!$D$5:$D$204,$AQ109))),IF($AS109="","",INDEX(E_Rules!$C$5:$C$9,$AS109))))</f>
        <v/>
      </c>
      <c r="AU109" t="str">
        <f>IF($AQ109="","",IF(INDEX(C_Pavement!$E$5:$E$204,$AQ109)&lt;&gt;"",IF(INDEX(C_Pavement!$E$5:$E$204,$AQ109)="-","",INDEX(C_Pavement!$E$5:$E$204,$AQ109)),IF($AS109="","",INDEX(E_Rules!$D$5:$D$9,$AS109))))</f>
        <v/>
      </c>
      <c r="AV109" t="str">
        <f>IF($AQ109="","",IF(INDEX(C_Pavement!$F$5:$F$204,$AQ109)&lt;&gt;"",IF(INDEX(C_Pavement!$F$5:$F$204,$AQ109)="-","",INDEX(C_Pavement!$F$5:$F$204,$AQ109)),IF($AS109="","",INDEX(E_Rules!$E$5:$E$9,$AS109))))</f>
        <v/>
      </c>
      <c r="AW109" t="str">
        <f>IF($AQ109="","",IF(INDEX(C_Pavement!$G$5:$G$204,$AQ109)&lt;&gt;"",IF(INDEX(C_Pavement!$G$5:$G$204,$AQ109)="-","",INDEX(C_Pavement!$G$5:$G$204,$AQ109)),IF($AS109="","",INDEX(E_Rules!$F$5:$F$9,$AS109))))</f>
        <v/>
      </c>
      <c r="AX109" t="str">
        <f>IF($AQ109="","",IF(INDEX(C_Pavement!$H$5:$H$204,$AQ109)&lt;&gt;"",IF(INDEX(C_Pavement!$H$5:$H$204,$AQ109)="-","",INDEX(C_Pavement!$H$5:$H$204,$AQ109)),IF($AS109="","",INDEX(E_Rules!$G$5:$G$9,$AS109))))</f>
        <v/>
      </c>
      <c r="AY109" t="str">
        <f>IF($AQ109="","",IF(INDEX(C_Pavement!$I$5:$I$204,$AQ109)&lt;&gt;"",IF(INDEX(C_Pavement!$I$5:$I$204,$AQ109)="-","",INDEX(C_Pavement!$I$5:$I$204,$AQ109)),IF($AS109="","",INDEX(E_Rules!$H$5:$H$9,$AS109))))</f>
        <v/>
      </c>
    </row>
    <row r="110" spans="1:51" ht="15.75" customHeight="1" x14ac:dyDescent="0.3">
      <c r="A110" s="189">
        <v>105</v>
      </c>
      <c r="B110" s="180">
        <v>5200</v>
      </c>
      <c r="C110" s="180" t="s">
        <v>416</v>
      </c>
      <c r="D110" s="181" t="str">
        <f>IFERROR(LOOKUP(2,1/((A_Corridor!$A$5:$A$204&lt;&gt;"")*(A_Corridor!$A$5:$A$204&lt;=$B110)*(A_Corridor!$B$5:$B$204&gt;$B110)*(A_Corridor!$C$5:$C$204&lt;&gt;"")),IF(UPPER(A_Corridor!$C$5:$C$204)="Y",1,"")),"")</f>
        <v/>
      </c>
      <c r="E110" s="181" t="str">
        <f>IFERROR(LOOKUP(2,1/((A_Corridor!$A$5:$A$204&lt;&gt;"")*(A_Corridor!$A$5:$A$204&lt;=$B110)*(A_Corridor!$B$5:$B$204&gt;$B110)*(A_Corridor!$D$5:$D$204&lt;&gt;"")),IF(A_Corridor!$D$5:$D$204="-","",UPPER(A_Corridor!$D$5:$D$204))),"")</f>
        <v/>
      </c>
      <c r="F110" s="181" t="str">
        <f>IFERROR(LOOKUP(2,1/((A_Corridor!$A$5:$A$204&lt;&gt;"")*(A_Corridor!$A$5:$A$204&lt;=$B110)*(A_Corridor!$B$5:$B$204&gt;$B110)*(A_Corridor!$E$5:$E$204&lt;&gt;"")),IF(A_Corridor!$E$5:$E$204="-","",1)),"")</f>
        <v/>
      </c>
      <c r="G110" s="182" t="str">
        <f>IFERROR(LOOKUP(2,1/((A_Corridor!$A$5:$A$204&lt;&gt;"")*(A_Corridor!$A$5:$A$204&lt;=$B110)*(A_Corridor!$B$5:$B$204&gt;$B110)*(A_Corridor!$E$5:$E$204&lt;&gt;"")),IF(A_Corridor!$E$5:$E$204="-","",A_Corridor!$E$5:$E$204)),"")</f>
        <v/>
      </c>
      <c r="H110" s="182" t="str">
        <f>IFERROR(LOOKUP(2,1/((D_Points!$A$5:$A$204&lt;&gt;"")*(D_Points!$A$5:$A$204&gt;=$B110)*(D_Points!$A$5:$A$204&lt;$B110+P_Interval)*(UPPER(TRIM(D_Points!$B$5:$B$204))="GULLY")*(D_Points!$H$5:$H$204&lt;&gt;"")),D_Points!$H$5:$H$204),"")</f>
        <v/>
      </c>
      <c r="I110" s="181" t="str">
        <f>IFERROR(LOOKUP(2,1/((A_Corridor!$A$5:$A$204&lt;&gt;"")*(A_Corridor!$A$5:$A$204&lt;=$B110)*(A_Corridor!$B$5:$B$204&gt;$B110)*(A_Corridor!$F$5:$F$204&lt;&gt;"")),IF(A_Corridor!$F$5:$F$204="-","",1)),"")</f>
        <v/>
      </c>
      <c r="J110" s="182" t="str">
        <f>IFERROR(LOOKUP(2,1/((A_Corridor!$A$5:$A$204&lt;&gt;"")*(A_Corridor!$A$5:$A$204&lt;=$B110)*(A_Corridor!$B$5:$B$204&gt;$B110)*(A_Corridor!$F$5:$F$204&lt;&gt;"")),IF(A_Corridor!$F$5:$F$204="-","",A_Corridor!$F$5:$F$204)),"")</f>
        <v/>
      </c>
      <c r="K110" s="182" t="str">
        <f>IFERROR(LOOKUP(2,1/((A_Corridor!$A$5:$A$204&lt;&gt;"")*(A_Corridor!$A$5:$A$204&lt;=$B110)*(A_Corridor!$B$5:$B$204&gt;$B110)*(A_Corridor!$G$5:$G$204&lt;&gt;"")),IF(A_Corridor!$G$5:$G$204="-","",A_Corridor!$G$5:$G$204)),"")</f>
        <v/>
      </c>
      <c r="L110" s="181" t="str">
        <f>IFERROR(LOOKUP(2,1/((A_Corridor!$A$5:$A$204&lt;&gt;"")*(A_Corridor!$A$5:$A$204&lt;=$B110)*(A_Corridor!$B$5:$B$204&gt;$B110)*(A_Corridor!$H$5:$H$204&lt;&gt;"")),IF(A_Corridor!$H$5:$H$204="-","",1)),"")</f>
        <v/>
      </c>
      <c r="M110" s="182" t="str">
        <f>IFERROR(LOOKUP(2,1/((A_Corridor!$A$5:$A$204&lt;&gt;"")*(A_Corridor!$A$5:$A$204&lt;=$B110)*(A_Corridor!$B$5:$B$204&gt;$B110)*(A_Corridor!$H$5:$H$204&lt;&gt;"")),IF(A_Corridor!$H$5:$H$204="-","",A_Corridor!$H$5:$H$204)),"")</f>
        <v/>
      </c>
      <c r="N110" s="182" t="str">
        <f>IFERROR(LOOKUP(2,1/((A_Corridor!$A$5:$A$204&lt;&gt;"")*(A_Corridor!$A$5:$A$204&lt;=$B110)*(A_Corridor!$B$5:$B$204&gt;$B110)*(A_Corridor!$I$5:$I$204&lt;&gt;"")),IF(A_Corridor!$I$5:$I$204="-","",A_Corridor!$I$5:$I$204)),"")</f>
        <v/>
      </c>
      <c r="O110" s="182" t="str">
        <f>IFERROR(LOOKUP(2,1/((D_Points!$A$5:$A$204&lt;&gt;"")*(D_Points!$A$5:$A$204&gt;=$B110)*(D_Points!$A$5:$A$204&lt;$B110+P_Interval)*(UPPER(TRIM(D_Points!$B$5:$B$204))="PITCHING")*(D_Points!$H$5:$H$204&lt;&gt;"")),D_Points!$H$5:$H$204),"")</f>
        <v/>
      </c>
      <c r="P110" s="181" t="str">
        <f>IFERROR(LOOKUP(2,1/((B_Drainage!$A$5:$A$204&lt;&gt;"")*(B_Drainage!$A$5:$A$204&lt;=$B110)*(B_Drainage!$B$5:$B$204&gt;$B110)*(B_Drainage!$C$5:$C$204&lt;&gt;"")),IF(B_Drainage!$C$5:$C$204="-","",UPPER(B_Drainage!$C$5:$C$204))),"")</f>
        <v/>
      </c>
      <c r="Q110" s="181" t="str">
        <f>IFERROR(LOOKUP(2,1/((B_Drainage!$A$5:$A$204&lt;&gt;"")*(B_Drainage!$A$5:$A$204&lt;=$B110)*(B_Drainage!$B$5:$B$204&gt;$B110)*(B_Drainage!$D$5:$D$204&lt;&gt;"")),IF(B_Drainage!$D$5:$D$204="-","",UPPER(B_Drainage!$D$5:$D$204))),"")</f>
        <v/>
      </c>
      <c r="R110" s="182" t="str">
        <f>IFERROR(LOOKUP(2,1/((D_Points!$A$5:$A$204&lt;&gt;"")*(D_Points!$A$5:$A$204&gt;=$B110)*(D_Points!$A$5:$A$204&lt;$B110+P_Interval)*(RIGHT(UPPER(TRIM(D_Points!$B$5:$B$204)),8)="_CULVERT")),IF(LEFT(UPPER(TRIM(D_Points!$B$5:$B$204)),2)="EX",1,IF(LEFT(UPPER(TRIM(D_Points!$B$5:$B$204)),2)="PR",2,3))),"")</f>
        <v/>
      </c>
      <c r="S110" s="182" t="str">
        <f>IFERROR(LOOKUP(2,1/((D_Points!$A$5:$A$204&lt;&gt;"")*(D_Points!$A$5:$A$204&gt;=$B110)*(D_Points!$A$5:$A$204&lt;$B110+P_Interval)*(RIGHT(UPPER(TRIM(D_Points!$B$5:$B$204)),7)="_BRIDGE")),IF(LEFT(UPPER(TRIM(D_Points!$B$5:$B$204)),2)="EX",1,IF(LEFT(UPPER(TRIM(D_Points!$B$5:$B$204)),2)="PR",2,2))),"")</f>
        <v/>
      </c>
      <c r="T110" s="181" t="str">
        <f>IFERROR(LOOKUP(2,1/((B_Drainage!$A$5:$A$204&lt;&gt;"")*(B_Drainage!$A$5:$A$204&lt;=$B110)*(B_Drainage!$B$5:$B$204&gt;$B110)*(B_Drainage!$E$5:$E$204&lt;&gt;"")),IF(B_Drainage!$E$5:$E$204="-","",1)),"")</f>
        <v/>
      </c>
      <c r="U110" s="181" t="str">
        <f>IFERROR(LOOKUP(2,1/((B_Drainage!$A$5:$A$204&lt;&gt;"")*(B_Drainage!$A$5:$A$204&lt;=$B110)*(B_Drainage!$B$5:$B$204&gt;$B110)*(B_Drainage!$E$5:$E$204&lt;&gt;"")),IF(B_Drainage!$E$5:$E$204="-","",B_Drainage!$E$5:$E$204)),"")</f>
        <v/>
      </c>
      <c r="V110" s="181" t="str">
        <f>IFERROR(LOOKUP(2,1/((B_Drainage!$A$5:$A$204&lt;&gt;"")*(B_Drainage!$A$5:$A$204&lt;=$B110)*(B_Drainage!$B$5:$B$204&gt;$B110)*(B_Drainage!$F$5:$F$204&lt;&gt;"")),IF(B_Drainage!$F$5:$F$204="-","",1)),"")</f>
        <v/>
      </c>
      <c r="W110" s="181" t="str">
        <f>IFERROR(LOOKUP(2,1/((B_Drainage!$A$5:$A$204&lt;&gt;"")*(B_Drainage!$A$5:$A$204&lt;=$B110)*(B_Drainage!$B$5:$B$204&gt;$B110)*(B_Drainage!$F$5:$F$204&lt;&gt;"")),IF(B_Drainage!$F$5:$F$204="-","",B_Drainage!$F$5:$F$204)),"")</f>
        <v/>
      </c>
      <c r="X110" s="181" t="str">
        <f>IFERROR(LOOKUP(2,1/((B_Drainage!$A$5:$A$204&lt;&gt;"")*(B_Drainage!$A$5:$A$204&lt;=$B110)*(B_Drainage!$B$5:$B$204&gt;$B110)*(B_Drainage!$G$5:$G$204&lt;&gt;"")),IF(UPPER(B_Drainage!$G$5:$G$204)="Y",1,"")),"")</f>
        <v/>
      </c>
      <c r="Y110" s="181" t="str">
        <f>IFERROR(LOOKUP(2,1/((B_Drainage!$A$5:$A$204&lt;&gt;"")*(B_Drainage!$A$5:$A$204&lt;=$B110)*(B_Drainage!$B$5:$B$204&gt;$B110)*(B_Drainage!$H$5:$H$204&lt;&gt;"")),IF(UPPER(B_Drainage!$H$5:$H$204)="Y",1,"")),"")</f>
        <v/>
      </c>
      <c r="Z110" s="181" t="str">
        <f>IFERROR(LOOKUP(2,1/((B_Drainage!$A$5:$A$204&lt;&gt;"")*(B_Drainage!$A$5:$A$204&lt;=$B110)*(B_Drainage!$B$5:$B$204&gt;$B110)*(B_Drainage!$I$5:$I$204&lt;&gt;"")),IF(UPPER(B_Drainage!$I$5:$I$204)="Y",1,"")),"")</f>
        <v/>
      </c>
      <c r="AA110" s="181" t="str">
        <f>IFERROR(LOOKUP(2,1/((B_Drainage!$A$5:$A$204&lt;&gt;"")*(B_Drainage!$A$5:$A$204&lt;=$B110)*(B_Drainage!$B$5:$B$204&gt;$B110)*(B_Drainage!$J$5:$J$204&lt;&gt;"")),IF(UPPER(B_Drainage!$J$5:$J$204)="Y",1,"")),"")</f>
        <v/>
      </c>
      <c r="AB110" s="182" t="str">
        <f>IFERROR(LOOKUP(2,1/((B_Drainage!$A$5:$A$204&lt;&gt;"")*(B_Drainage!$A$5:$A$204&lt;=$B110)*(B_Drainage!$B$5:$B$204&gt;$B110)*(B_Drainage!$K$5:$K$204&lt;&gt;"")),IF(B_Drainage!$K$5:$K$204="-","",B_Drainage!$K$5:$K$204)),"")</f>
        <v/>
      </c>
      <c r="AC110" s="182" t="str">
        <f>IFERROR(LOOKUP(2,1/((B_Drainage!$A$5:$A$204&lt;&gt;"")*(B_Drainage!$A$5:$A$204&lt;=$B110)*(B_Drainage!$B$5:$B$204&gt;$B110)*(B_Drainage!$L$5:$L$204&lt;&gt;"")),IF(B_Drainage!$L$5:$L$204="-","",B_Drainage!$L$5:$L$204)),"")</f>
        <v/>
      </c>
      <c r="AD110" s="182" t="str">
        <f>IFERROR(LOOKUP(2,1/((D_Points!$A$5:$A$204&lt;&gt;"")*(D_Points!$A$5:$A$204&gt;=$B110)*(D_Points!$A$5:$A$204&lt;$B110+P_Interval)*(UPPER(TRIM(D_Points!$B$5:$B$204))="TURNOUT_L")*(D_Points!$H$5:$H$204&lt;&gt;"")),D_Points!$H$5:$H$204),"")</f>
        <v/>
      </c>
      <c r="AE110" s="182" t="str">
        <f>IFERROR(LOOKUP(2,1/((D_Points!$A$5:$A$204&lt;&gt;"")*(D_Points!$A$5:$A$204&gt;=$B110)*(D_Points!$A$5:$A$204&lt;$B110+P_Interval)*(UPPER(TRIM(D_Points!$B$5:$B$204))="TURNOUT_R")*(D_Points!$H$5:$H$204&lt;&gt;"")),D_Points!$H$5:$H$204),"")</f>
        <v/>
      </c>
      <c r="AF110" s="181" t="str">
        <f>IFERROR(LOOKUP(2,1/((B_Drainage!$A$5:$A$204&lt;&gt;"")*(B_Drainage!$A$5:$A$204&lt;=$B110)*(B_Drainage!$B$5:$B$204&gt;$B110)*(B_Drainage!$M$5:$M$204&lt;&gt;"")),IF(UPPER(B_Drainage!$M$5:$M$204)="Y",1,"")),"")</f>
        <v/>
      </c>
      <c r="AG110" s="181" t="str">
        <f>IFERROR(LOOKUP(2,1/((B_Drainage!$A$5:$A$204&lt;&gt;"")*(B_Drainage!$A$5:$A$204&lt;=$B110)*(B_Drainage!$B$5:$B$204&gt;$B110)*(B_Drainage!$N$5:$N$204&lt;&gt;"")),IF(UPPER(B_Drainage!$N$5:$N$204)="Y",1,"")),"")</f>
        <v/>
      </c>
      <c r="AH110" s="181" t="str">
        <f t="shared" si="8"/>
        <v/>
      </c>
      <c r="AI110" s="181" t="str">
        <f t="shared" si="9"/>
        <v/>
      </c>
      <c r="AJ110" s="181" t="str">
        <f t="shared" si="10"/>
        <v/>
      </c>
      <c r="AK110" s="181" t="str">
        <f t="shared" si="11"/>
        <v/>
      </c>
      <c r="AL110" s="181" t="str">
        <f t="shared" si="12"/>
        <v/>
      </c>
      <c r="AM110" s="181" t="str">
        <f t="shared" si="13"/>
        <v/>
      </c>
      <c r="AN110" s="181" t="str">
        <f t="shared" si="14"/>
        <v/>
      </c>
      <c r="AO110" s="192" t="str">
        <f t="shared" si="15"/>
        <v/>
      </c>
      <c r="AQ110" t="str">
        <f>IFERROR(LOOKUP(2,1/((C_Pavement!$A$5:$A$204&lt;&gt;"")*(C_Pavement!$A$5:$A$204&lt;=$B110)*(C_Pavement!$B$5:$B$204&gt;$B110)*(C_Pavement!$C$5:$C$204&lt;&gt;"")),ROW(C_Pavement!$C$5:$C$204)-4),"")</f>
        <v/>
      </c>
      <c r="AR110" t="str">
        <f>IF($AQ110="","",UPPER(TRIM(INDEX(C_Pavement!$C$5:$C$204,$AQ110))))</f>
        <v/>
      </c>
      <c r="AS110" t="str">
        <f>IF($AR110="","",IFERROR(MATCH($AR110,E_Rules!$A$5:$A$9,0),""))</f>
        <v/>
      </c>
      <c r="AT110" t="str">
        <f>IF($AQ110="","",IF(INDEX(C_Pavement!$D$5:$D$204,$AQ110)&lt;&gt;"",UPPER(TRIM(INDEX(C_Pavement!$D$5:$D$204,$AQ110))),IF($AS110="","",INDEX(E_Rules!$C$5:$C$9,$AS110))))</f>
        <v/>
      </c>
      <c r="AU110" t="str">
        <f>IF($AQ110="","",IF(INDEX(C_Pavement!$E$5:$E$204,$AQ110)&lt;&gt;"",IF(INDEX(C_Pavement!$E$5:$E$204,$AQ110)="-","",INDEX(C_Pavement!$E$5:$E$204,$AQ110)),IF($AS110="","",INDEX(E_Rules!$D$5:$D$9,$AS110))))</f>
        <v/>
      </c>
      <c r="AV110" t="str">
        <f>IF($AQ110="","",IF(INDEX(C_Pavement!$F$5:$F$204,$AQ110)&lt;&gt;"",IF(INDEX(C_Pavement!$F$5:$F$204,$AQ110)="-","",INDEX(C_Pavement!$F$5:$F$204,$AQ110)),IF($AS110="","",INDEX(E_Rules!$E$5:$E$9,$AS110))))</f>
        <v/>
      </c>
      <c r="AW110" t="str">
        <f>IF($AQ110="","",IF(INDEX(C_Pavement!$G$5:$G$204,$AQ110)&lt;&gt;"",IF(INDEX(C_Pavement!$G$5:$G$204,$AQ110)="-","",INDEX(C_Pavement!$G$5:$G$204,$AQ110)),IF($AS110="","",INDEX(E_Rules!$F$5:$F$9,$AS110))))</f>
        <v/>
      </c>
      <c r="AX110" t="str">
        <f>IF($AQ110="","",IF(INDEX(C_Pavement!$H$5:$H$204,$AQ110)&lt;&gt;"",IF(INDEX(C_Pavement!$H$5:$H$204,$AQ110)="-","",INDEX(C_Pavement!$H$5:$H$204,$AQ110)),IF($AS110="","",INDEX(E_Rules!$G$5:$G$9,$AS110))))</f>
        <v/>
      </c>
      <c r="AY110" t="str">
        <f>IF($AQ110="","",IF(INDEX(C_Pavement!$I$5:$I$204,$AQ110)&lt;&gt;"",IF(INDEX(C_Pavement!$I$5:$I$204,$AQ110)="-","",INDEX(C_Pavement!$I$5:$I$204,$AQ110)),IF($AS110="","",INDEX(E_Rules!$H$5:$H$9,$AS110))))</f>
        <v/>
      </c>
    </row>
    <row r="111" spans="1:51" ht="15.75" customHeight="1" x14ac:dyDescent="0.3">
      <c r="A111" s="189">
        <v>106</v>
      </c>
      <c r="B111" s="180">
        <v>5250</v>
      </c>
      <c r="C111" s="180" t="s">
        <v>417</v>
      </c>
      <c r="D111" s="181" t="str">
        <f>IFERROR(LOOKUP(2,1/((A_Corridor!$A$5:$A$204&lt;&gt;"")*(A_Corridor!$A$5:$A$204&lt;=$B111)*(A_Corridor!$B$5:$B$204&gt;$B111)*(A_Corridor!$C$5:$C$204&lt;&gt;"")),IF(UPPER(A_Corridor!$C$5:$C$204)="Y",1,"")),"")</f>
        <v/>
      </c>
      <c r="E111" s="181" t="str">
        <f>IFERROR(LOOKUP(2,1/((A_Corridor!$A$5:$A$204&lt;&gt;"")*(A_Corridor!$A$5:$A$204&lt;=$B111)*(A_Corridor!$B$5:$B$204&gt;$B111)*(A_Corridor!$D$5:$D$204&lt;&gt;"")),IF(A_Corridor!$D$5:$D$204="-","",UPPER(A_Corridor!$D$5:$D$204))),"")</f>
        <v/>
      </c>
      <c r="F111" s="181" t="str">
        <f>IFERROR(LOOKUP(2,1/((A_Corridor!$A$5:$A$204&lt;&gt;"")*(A_Corridor!$A$5:$A$204&lt;=$B111)*(A_Corridor!$B$5:$B$204&gt;$B111)*(A_Corridor!$E$5:$E$204&lt;&gt;"")),IF(A_Corridor!$E$5:$E$204="-","",1)),"")</f>
        <v/>
      </c>
      <c r="G111" s="182" t="str">
        <f>IFERROR(LOOKUP(2,1/((A_Corridor!$A$5:$A$204&lt;&gt;"")*(A_Corridor!$A$5:$A$204&lt;=$B111)*(A_Corridor!$B$5:$B$204&gt;$B111)*(A_Corridor!$E$5:$E$204&lt;&gt;"")),IF(A_Corridor!$E$5:$E$204="-","",A_Corridor!$E$5:$E$204)),"")</f>
        <v/>
      </c>
      <c r="H111" s="182" t="str">
        <f>IFERROR(LOOKUP(2,1/((D_Points!$A$5:$A$204&lt;&gt;"")*(D_Points!$A$5:$A$204&gt;=$B111)*(D_Points!$A$5:$A$204&lt;$B111+P_Interval)*(UPPER(TRIM(D_Points!$B$5:$B$204))="GULLY")*(D_Points!$H$5:$H$204&lt;&gt;"")),D_Points!$H$5:$H$204),"")</f>
        <v/>
      </c>
      <c r="I111" s="181" t="str">
        <f>IFERROR(LOOKUP(2,1/((A_Corridor!$A$5:$A$204&lt;&gt;"")*(A_Corridor!$A$5:$A$204&lt;=$B111)*(A_Corridor!$B$5:$B$204&gt;$B111)*(A_Corridor!$F$5:$F$204&lt;&gt;"")),IF(A_Corridor!$F$5:$F$204="-","",1)),"")</f>
        <v/>
      </c>
      <c r="J111" s="182" t="str">
        <f>IFERROR(LOOKUP(2,1/((A_Corridor!$A$5:$A$204&lt;&gt;"")*(A_Corridor!$A$5:$A$204&lt;=$B111)*(A_Corridor!$B$5:$B$204&gt;$B111)*(A_Corridor!$F$5:$F$204&lt;&gt;"")),IF(A_Corridor!$F$5:$F$204="-","",A_Corridor!$F$5:$F$204)),"")</f>
        <v/>
      </c>
      <c r="K111" s="182" t="str">
        <f>IFERROR(LOOKUP(2,1/((A_Corridor!$A$5:$A$204&lt;&gt;"")*(A_Corridor!$A$5:$A$204&lt;=$B111)*(A_Corridor!$B$5:$B$204&gt;$B111)*(A_Corridor!$G$5:$G$204&lt;&gt;"")),IF(A_Corridor!$G$5:$G$204="-","",A_Corridor!$G$5:$G$204)),"")</f>
        <v/>
      </c>
      <c r="L111" s="181" t="str">
        <f>IFERROR(LOOKUP(2,1/((A_Corridor!$A$5:$A$204&lt;&gt;"")*(A_Corridor!$A$5:$A$204&lt;=$B111)*(A_Corridor!$B$5:$B$204&gt;$B111)*(A_Corridor!$H$5:$H$204&lt;&gt;"")),IF(A_Corridor!$H$5:$H$204="-","",1)),"")</f>
        <v/>
      </c>
      <c r="M111" s="182" t="str">
        <f>IFERROR(LOOKUP(2,1/((A_Corridor!$A$5:$A$204&lt;&gt;"")*(A_Corridor!$A$5:$A$204&lt;=$B111)*(A_Corridor!$B$5:$B$204&gt;$B111)*(A_Corridor!$H$5:$H$204&lt;&gt;"")),IF(A_Corridor!$H$5:$H$204="-","",A_Corridor!$H$5:$H$204)),"")</f>
        <v/>
      </c>
      <c r="N111" s="182" t="str">
        <f>IFERROR(LOOKUP(2,1/((A_Corridor!$A$5:$A$204&lt;&gt;"")*(A_Corridor!$A$5:$A$204&lt;=$B111)*(A_Corridor!$B$5:$B$204&gt;$B111)*(A_Corridor!$I$5:$I$204&lt;&gt;"")),IF(A_Corridor!$I$5:$I$204="-","",A_Corridor!$I$5:$I$204)),"")</f>
        <v/>
      </c>
      <c r="O111" s="182" t="str">
        <f>IFERROR(LOOKUP(2,1/((D_Points!$A$5:$A$204&lt;&gt;"")*(D_Points!$A$5:$A$204&gt;=$B111)*(D_Points!$A$5:$A$204&lt;$B111+P_Interval)*(UPPER(TRIM(D_Points!$B$5:$B$204))="PITCHING")*(D_Points!$H$5:$H$204&lt;&gt;"")),D_Points!$H$5:$H$204),"")</f>
        <v/>
      </c>
      <c r="P111" s="181" t="str">
        <f>IFERROR(LOOKUP(2,1/((B_Drainage!$A$5:$A$204&lt;&gt;"")*(B_Drainage!$A$5:$A$204&lt;=$B111)*(B_Drainage!$B$5:$B$204&gt;$B111)*(B_Drainage!$C$5:$C$204&lt;&gt;"")),IF(B_Drainage!$C$5:$C$204="-","",UPPER(B_Drainage!$C$5:$C$204))),"")</f>
        <v/>
      </c>
      <c r="Q111" s="181" t="str">
        <f>IFERROR(LOOKUP(2,1/((B_Drainage!$A$5:$A$204&lt;&gt;"")*(B_Drainage!$A$5:$A$204&lt;=$B111)*(B_Drainage!$B$5:$B$204&gt;$B111)*(B_Drainage!$D$5:$D$204&lt;&gt;"")),IF(B_Drainage!$D$5:$D$204="-","",UPPER(B_Drainage!$D$5:$D$204))),"")</f>
        <v/>
      </c>
      <c r="R111" s="182" t="str">
        <f>IFERROR(LOOKUP(2,1/((D_Points!$A$5:$A$204&lt;&gt;"")*(D_Points!$A$5:$A$204&gt;=$B111)*(D_Points!$A$5:$A$204&lt;$B111+P_Interval)*(RIGHT(UPPER(TRIM(D_Points!$B$5:$B$204)),8)="_CULVERT")),IF(LEFT(UPPER(TRIM(D_Points!$B$5:$B$204)),2)="EX",1,IF(LEFT(UPPER(TRIM(D_Points!$B$5:$B$204)),2)="PR",2,3))),"")</f>
        <v/>
      </c>
      <c r="S111" s="182" t="str">
        <f>IFERROR(LOOKUP(2,1/((D_Points!$A$5:$A$204&lt;&gt;"")*(D_Points!$A$5:$A$204&gt;=$B111)*(D_Points!$A$5:$A$204&lt;$B111+P_Interval)*(RIGHT(UPPER(TRIM(D_Points!$B$5:$B$204)),7)="_BRIDGE")),IF(LEFT(UPPER(TRIM(D_Points!$B$5:$B$204)),2)="EX",1,IF(LEFT(UPPER(TRIM(D_Points!$B$5:$B$204)),2)="PR",2,2))),"")</f>
        <v/>
      </c>
      <c r="T111" s="181" t="str">
        <f>IFERROR(LOOKUP(2,1/((B_Drainage!$A$5:$A$204&lt;&gt;"")*(B_Drainage!$A$5:$A$204&lt;=$B111)*(B_Drainage!$B$5:$B$204&gt;$B111)*(B_Drainage!$E$5:$E$204&lt;&gt;"")),IF(B_Drainage!$E$5:$E$204="-","",1)),"")</f>
        <v/>
      </c>
      <c r="U111" s="181" t="str">
        <f>IFERROR(LOOKUP(2,1/((B_Drainage!$A$5:$A$204&lt;&gt;"")*(B_Drainage!$A$5:$A$204&lt;=$B111)*(B_Drainage!$B$5:$B$204&gt;$B111)*(B_Drainage!$E$5:$E$204&lt;&gt;"")),IF(B_Drainage!$E$5:$E$204="-","",B_Drainage!$E$5:$E$204)),"")</f>
        <v/>
      </c>
      <c r="V111" s="181" t="str">
        <f>IFERROR(LOOKUP(2,1/((B_Drainage!$A$5:$A$204&lt;&gt;"")*(B_Drainage!$A$5:$A$204&lt;=$B111)*(B_Drainage!$B$5:$B$204&gt;$B111)*(B_Drainage!$F$5:$F$204&lt;&gt;"")),IF(B_Drainage!$F$5:$F$204="-","",1)),"")</f>
        <v/>
      </c>
      <c r="W111" s="181" t="str">
        <f>IFERROR(LOOKUP(2,1/((B_Drainage!$A$5:$A$204&lt;&gt;"")*(B_Drainage!$A$5:$A$204&lt;=$B111)*(B_Drainage!$B$5:$B$204&gt;$B111)*(B_Drainage!$F$5:$F$204&lt;&gt;"")),IF(B_Drainage!$F$5:$F$204="-","",B_Drainage!$F$5:$F$204)),"")</f>
        <v/>
      </c>
      <c r="X111" s="181" t="str">
        <f>IFERROR(LOOKUP(2,1/((B_Drainage!$A$5:$A$204&lt;&gt;"")*(B_Drainage!$A$5:$A$204&lt;=$B111)*(B_Drainage!$B$5:$B$204&gt;$B111)*(B_Drainage!$G$5:$G$204&lt;&gt;"")),IF(UPPER(B_Drainage!$G$5:$G$204)="Y",1,"")),"")</f>
        <v/>
      </c>
      <c r="Y111" s="181" t="str">
        <f>IFERROR(LOOKUP(2,1/((B_Drainage!$A$5:$A$204&lt;&gt;"")*(B_Drainage!$A$5:$A$204&lt;=$B111)*(B_Drainage!$B$5:$B$204&gt;$B111)*(B_Drainage!$H$5:$H$204&lt;&gt;"")),IF(UPPER(B_Drainage!$H$5:$H$204)="Y",1,"")),"")</f>
        <v/>
      </c>
      <c r="Z111" s="181" t="str">
        <f>IFERROR(LOOKUP(2,1/((B_Drainage!$A$5:$A$204&lt;&gt;"")*(B_Drainage!$A$5:$A$204&lt;=$B111)*(B_Drainage!$B$5:$B$204&gt;$B111)*(B_Drainage!$I$5:$I$204&lt;&gt;"")),IF(UPPER(B_Drainage!$I$5:$I$204)="Y",1,"")),"")</f>
        <v/>
      </c>
      <c r="AA111" s="181" t="str">
        <f>IFERROR(LOOKUP(2,1/((B_Drainage!$A$5:$A$204&lt;&gt;"")*(B_Drainage!$A$5:$A$204&lt;=$B111)*(B_Drainage!$B$5:$B$204&gt;$B111)*(B_Drainage!$J$5:$J$204&lt;&gt;"")),IF(UPPER(B_Drainage!$J$5:$J$204)="Y",1,"")),"")</f>
        <v/>
      </c>
      <c r="AB111" s="182" t="str">
        <f>IFERROR(LOOKUP(2,1/((B_Drainage!$A$5:$A$204&lt;&gt;"")*(B_Drainage!$A$5:$A$204&lt;=$B111)*(B_Drainage!$B$5:$B$204&gt;$B111)*(B_Drainage!$K$5:$K$204&lt;&gt;"")),IF(B_Drainage!$K$5:$K$204="-","",B_Drainage!$K$5:$K$204)),"")</f>
        <v/>
      </c>
      <c r="AC111" s="182" t="str">
        <f>IFERROR(LOOKUP(2,1/((B_Drainage!$A$5:$A$204&lt;&gt;"")*(B_Drainage!$A$5:$A$204&lt;=$B111)*(B_Drainage!$B$5:$B$204&gt;$B111)*(B_Drainage!$L$5:$L$204&lt;&gt;"")),IF(B_Drainage!$L$5:$L$204="-","",B_Drainage!$L$5:$L$204)),"")</f>
        <v/>
      </c>
      <c r="AD111" s="182" t="str">
        <f>IFERROR(LOOKUP(2,1/((D_Points!$A$5:$A$204&lt;&gt;"")*(D_Points!$A$5:$A$204&gt;=$B111)*(D_Points!$A$5:$A$204&lt;$B111+P_Interval)*(UPPER(TRIM(D_Points!$B$5:$B$204))="TURNOUT_L")*(D_Points!$H$5:$H$204&lt;&gt;"")),D_Points!$H$5:$H$204),"")</f>
        <v/>
      </c>
      <c r="AE111" s="182" t="str">
        <f>IFERROR(LOOKUP(2,1/((D_Points!$A$5:$A$204&lt;&gt;"")*(D_Points!$A$5:$A$204&gt;=$B111)*(D_Points!$A$5:$A$204&lt;$B111+P_Interval)*(UPPER(TRIM(D_Points!$B$5:$B$204))="TURNOUT_R")*(D_Points!$H$5:$H$204&lt;&gt;"")),D_Points!$H$5:$H$204),"")</f>
        <v/>
      </c>
      <c r="AF111" s="181" t="str">
        <f>IFERROR(LOOKUP(2,1/((B_Drainage!$A$5:$A$204&lt;&gt;"")*(B_Drainage!$A$5:$A$204&lt;=$B111)*(B_Drainage!$B$5:$B$204&gt;$B111)*(B_Drainage!$M$5:$M$204&lt;&gt;"")),IF(UPPER(B_Drainage!$M$5:$M$204)="Y",1,"")),"")</f>
        <v/>
      </c>
      <c r="AG111" s="181" t="str">
        <f>IFERROR(LOOKUP(2,1/((B_Drainage!$A$5:$A$204&lt;&gt;"")*(B_Drainage!$A$5:$A$204&lt;=$B111)*(B_Drainage!$B$5:$B$204&gt;$B111)*(B_Drainage!$N$5:$N$204&lt;&gt;"")),IF(UPPER(B_Drainage!$N$5:$N$204)="Y",1,"")),"")</f>
        <v/>
      </c>
      <c r="AH111" s="181" t="str">
        <f t="shared" si="8"/>
        <v/>
      </c>
      <c r="AI111" s="181" t="str">
        <f t="shared" si="9"/>
        <v/>
      </c>
      <c r="AJ111" s="181" t="str">
        <f t="shared" si="10"/>
        <v/>
      </c>
      <c r="AK111" s="181" t="str">
        <f t="shared" si="11"/>
        <v/>
      </c>
      <c r="AL111" s="181" t="str">
        <f t="shared" si="12"/>
        <v/>
      </c>
      <c r="AM111" s="181" t="str">
        <f t="shared" si="13"/>
        <v/>
      </c>
      <c r="AN111" s="181" t="str">
        <f t="shared" si="14"/>
        <v/>
      </c>
      <c r="AO111" s="192" t="str">
        <f t="shared" si="15"/>
        <v/>
      </c>
      <c r="AQ111" t="str">
        <f>IFERROR(LOOKUP(2,1/((C_Pavement!$A$5:$A$204&lt;&gt;"")*(C_Pavement!$A$5:$A$204&lt;=$B111)*(C_Pavement!$B$5:$B$204&gt;$B111)*(C_Pavement!$C$5:$C$204&lt;&gt;"")),ROW(C_Pavement!$C$5:$C$204)-4),"")</f>
        <v/>
      </c>
      <c r="AR111" t="str">
        <f>IF($AQ111="","",UPPER(TRIM(INDEX(C_Pavement!$C$5:$C$204,$AQ111))))</f>
        <v/>
      </c>
      <c r="AS111" t="str">
        <f>IF($AR111="","",IFERROR(MATCH($AR111,E_Rules!$A$5:$A$9,0),""))</f>
        <v/>
      </c>
      <c r="AT111" t="str">
        <f>IF($AQ111="","",IF(INDEX(C_Pavement!$D$5:$D$204,$AQ111)&lt;&gt;"",UPPER(TRIM(INDEX(C_Pavement!$D$5:$D$204,$AQ111))),IF($AS111="","",INDEX(E_Rules!$C$5:$C$9,$AS111))))</f>
        <v/>
      </c>
      <c r="AU111" t="str">
        <f>IF($AQ111="","",IF(INDEX(C_Pavement!$E$5:$E$204,$AQ111)&lt;&gt;"",IF(INDEX(C_Pavement!$E$5:$E$204,$AQ111)="-","",INDEX(C_Pavement!$E$5:$E$204,$AQ111)),IF($AS111="","",INDEX(E_Rules!$D$5:$D$9,$AS111))))</f>
        <v/>
      </c>
      <c r="AV111" t="str">
        <f>IF($AQ111="","",IF(INDEX(C_Pavement!$F$5:$F$204,$AQ111)&lt;&gt;"",IF(INDEX(C_Pavement!$F$5:$F$204,$AQ111)="-","",INDEX(C_Pavement!$F$5:$F$204,$AQ111)),IF($AS111="","",INDEX(E_Rules!$E$5:$E$9,$AS111))))</f>
        <v/>
      </c>
      <c r="AW111" t="str">
        <f>IF($AQ111="","",IF(INDEX(C_Pavement!$G$5:$G$204,$AQ111)&lt;&gt;"",IF(INDEX(C_Pavement!$G$5:$G$204,$AQ111)="-","",INDEX(C_Pavement!$G$5:$G$204,$AQ111)),IF($AS111="","",INDEX(E_Rules!$F$5:$F$9,$AS111))))</f>
        <v/>
      </c>
      <c r="AX111" t="str">
        <f>IF($AQ111="","",IF(INDEX(C_Pavement!$H$5:$H$204,$AQ111)&lt;&gt;"",IF(INDEX(C_Pavement!$H$5:$H$204,$AQ111)="-","",INDEX(C_Pavement!$H$5:$H$204,$AQ111)),IF($AS111="","",INDEX(E_Rules!$G$5:$G$9,$AS111))))</f>
        <v/>
      </c>
      <c r="AY111" t="str">
        <f>IF($AQ111="","",IF(INDEX(C_Pavement!$I$5:$I$204,$AQ111)&lt;&gt;"",IF(INDEX(C_Pavement!$I$5:$I$204,$AQ111)="-","",INDEX(C_Pavement!$I$5:$I$204,$AQ111)),IF($AS111="","",INDEX(E_Rules!$H$5:$H$9,$AS111))))</f>
        <v/>
      </c>
    </row>
    <row r="112" spans="1:51" ht="15.75" customHeight="1" x14ac:dyDescent="0.3">
      <c r="A112" s="189">
        <v>107</v>
      </c>
      <c r="B112" s="180">
        <v>5300</v>
      </c>
      <c r="C112" s="180" t="s">
        <v>418</v>
      </c>
      <c r="D112" s="181" t="str">
        <f>IFERROR(LOOKUP(2,1/((A_Corridor!$A$5:$A$204&lt;&gt;"")*(A_Corridor!$A$5:$A$204&lt;=$B112)*(A_Corridor!$B$5:$B$204&gt;$B112)*(A_Corridor!$C$5:$C$204&lt;&gt;"")),IF(UPPER(A_Corridor!$C$5:$C$204)="Y",1,"")),"")</f>
        <v/>
      </c>
      <c r="E112" s="181" t="str">
        <f>IFERROR(LOOKUP(2,1/((A_Corridor!$A$5:$A$204&lt;&gt;"")*(A_Corridor!$A$5:$A$204&lt;=$B112)*(A_Corridor!$B$5:$B$204&gt;$B112)*(A_Corridor!$D$5:$D$204&lt;&gt;"")),IF(A_Corridor!$D$5:$D$204="-","",UPPER(A_Corridor!$D$5:$D$204))),"")</f>
        <v/>
      </c>
      <c r="F112" s="181" t="str">
        <f>IFERROR(LOOKUP(2,1/((A_Corridor!$A$5:$A$204&lt;&gt;"")*(A_Corridor!$A$5:$A$204&lt;=$B112)*(A_Corridor!$B$5:$B$204&gt;$B112)*(A_Corridor!$E$5:$E$204&lt;&gt;"")),IF(A_Corridor!$E$5:$E$204="-","",1)),"")</f>
        <v/>
      </c>
      <c r="G112" s="182" t="str">
        <f>IFERROR(LOOKUP(2,1/((A_Corridor!$A$5:$A$204&lt;&gt;"")*(A_Corridor!$A$5:$A$204&lt;=$B112)*(A_Corridor!$B$5:$B$204&gt;$B112)*(A_Corridor!$E$5:$E$204&lt;&gt;"")),IF(A_Corridor!$E$5:$E$204="-","",A_Corridor!$E$5:$E$204)),"")</f>
        <v/>
      </c>
      <c r="H112" s="182" t="str">
        <f>IFERROR(LOOKUP(2,1/((D_Points!$A$5:$A$204&lt;&gt;"")*(D_Points!$A$5:$A$204&gt;=$B112)*(D_Points!$A$5:$A$204&lt;$B112+P_Interval)*(UPPER(TRIM(D_Points!$B$5:$B$204))="GULLY")*(D_Points!$H$5:$H$204&lt;&gt;"")),D_Points!$H$5:$H$204),"")</f>
        <v/>
      </c>
      <c r="I112" s="181" t="str">
        <f>IFERROR(LOOKUP(2,1/((A_Corridor!$A$5:$A$204&lt;&gt;"")*(A_Corridor!$A$5:$A$204&lt;=$B112)*(A_Corridor!$B$5:$B$204&gt;$B112)*(A_Corridor!$F$5:$F$204&lt;&gt;"")),IF(A_Corridor!$F$5:$F$204="-","",1)),"")</f>
        <v/>
      </c>
      <c r="J112" s="182" t="str">
        <f>IFERROR(LOOKUP(2,1/((A_Corridor!$A$5:$A$204&lt;&gt;"")*(A_Corridor!$A$5:$A$204&lt;=$B112)*(A_Corridor!$B$5:$B$204&gt;$B112)*(A_Corridor!$F$5:$F$204&lt;&gt;"")),IF(A_Corridor!$F$5:$F$204="-","",A_Corridor!$F$5:$F$204)),"")</f>
        <v/>
      </c>
      <c r="K112" s="182" t="str">
        <f>IFERROR(LOOKUP(2,1/((A_Corridor!$A$5:$A$204&lt;&gt;"")*(A_Corridor!$A$5:$A$204&lt;=$B112)*(A_Corridor!$B$5:$B$204&gt;$B112)*(A_Corridor!$G$5:$G$204&lt;&gt;"")),IF(A_Corridor!$G$5:$G$204="-","",A_Corridor!$G$5:$G$204)),"")</f>
        <v/>
      </c>
      <c r="L112" s="181" t="str">
        <f>IFERROR(LOOKUP(2,1/((A_Corridor!$A$5:$A$204&lt;&gt;"")*(A_Corridor!$A$5:$A$204&lt;=$B112)*(A_Corridor!$B$5:$B$204&gt;$B112)*(A_Corridor!$H$5:$H$204&lt;&gt;"")),IF(A_Corridor!$H$5:$H$204="-","",1)),"")</f>
        <v/>
      </c>
      <c r="M112" s="182" t="str">
        <f>IFERROR(LOOKUP(2,1/((A_Corridor!$A$5:$A$204&lt;&gt;"")*(A_Corridor!$A$5:$A$204&lt;=$B112)*(A_Corridor!$B$5:$B$204&gt;$B112)*(A_Corridor!$H$5:$H$204&lt;&gt;"")),IF(A_Corridor!$H$5:$H$204="-","",A_Corridor!$H$5:$H$204)),"")</f>
        <v/>
      </c>
      <c r="N112" s="182" t="str">
        <f>IFERROR(LOOKUP(2,1/((A_Corridor!$A$5:$A$204&lt;&gt;"")*(A_Corridor!$A$5:$A$204&lt;=$B112)*(A_Corridor!$B$5:$B$204&gt;$B112)*(A_Corridor!$I$5:$I$204&lt;&gt;"")),IF(A_Corridor!$I$5:$I$204="-","",A_Corridor!$I$5:$I$204)),"")</f>
        <v/>
      </c>
      <c r="O112" s="182" t="str">
        <f>IFERROR(LOOKUP(2,1/((D_Points!$A$5:$A$204&lt;&gt;"")*(D_Points!$A$5:$A$204&gt;=$B112)*(D_Points!$A$5:$A$204&lt;$B112+P_Interval)*(UPPER(TRIM(D_Points!$B$5:$B$204))="PITCHING")*(D_Points!$H$5:$H$204&lt;&gt;"")),D_Points!$H$5:$H$204),"")</f>
        <v/>
      </c>
      <c r="P112" s="181" t="str">
        <f>IFERROR(LOOKUP(2,1/((B_Drainage!$A$5:$A$204&lt;&gt;"")*(B_Drainage!$A$5:$A$204&lt;=$B112)*(B_Drainage!$B$5:$B$204&gt;$B112)*(B_Drainage!$C$5:$C$204&lt;&gt;"")),IF(B_Drainage!$C$5:$C$204="-","",UPPER(B_Drainage!$C$5:$C$204))),"")</f>
        <v/>
      </c>
      <c r="Q112" s="181" t="str">
        <f>IFERROR(LOOKUP(2,1/((B_Drainage!$A$5:$A$204&lt;&gt;"")*(B_Drainage!$A$5:$A$204&lt;=$B112)*(B_Drainage!$B$5:$B$204&gt;$B112)*(B_Drainage!$D$5:$D$204&lt;&gt;"")),IF(B_Drainage!$D$5:$D$204="-","",UPPER(B_Drainage!$D$5:$D$204))),"")</f>
        <v/>
      </c>
      <c r="R112" s="182" t="str">
        <f>IFERROR(LOOKUP(2,1/((D_Points!$A$5:$A$204&lt;&gt;"")*(D_Points!$A$5:$A$204&gt;=$B112)*(D_Points!$A$5:$A$204&lt;$B112+P_Interval)*(RIGHT(UPPER(TRIM(D_Points!$B$5:$B$204)),8)="_CULVERT")),IF(LEFT(UPPER(TRIM(D_Points!$B$5:$B$204)),2)="EX",1,IF(LEFT(UPPER(TRIM(D_Points!$B$5:$B$204)),2)="PR",2,3))),"")</f>
        <v/>
      </c>
      <c r="S112" s="182" t="str">
        <f>IFERROR(LOOKUP(2,1/((D_Points!$A$5:$A$204&lt;&gt;"")*(D_Points!$A$5:$A$204&gt;=$B112)*(D_Points!$A$5:$A$204&lt;$B112+P_Interval)*(RIGHT(UPPER(TRIM(D_Points!$B$5:$B$204)),7)="_BRIDGE")),IF(LEFT(UPPER(TRIM(D_Points!$B$5:$B$204)),2)="EX",1,IF(LEFT(UPPER(TRIM(D_Points!$B$5:$B$204)),2)="PR",2,2))),"")</f>
        <v/>
      </c>
      <c r="T112" s="181" t="str">
        <f>IFERROR(LOOKUP(2,1/((B_Drainage!$A$5:$A$204&lt;&gt;"")*(B_Drainage!$A$5:$A$204&lt;=$B112)*(B_Drainage!$B$5:$B$204&gt;$B112)*(B_Drainage!$E$5:$E$204&lt;&gt;"")),IF(B_Drainage!$E$5:$E$204="-","",1)),"")</f>
        <v/>
      </c>
      <c r="U112" s="181" t="str">
        <f>IFERROR(LOOKUP(2,1/((B_Drainage!$A$5:$A$204&lt;&gt;"")*(B_Drainage!$A$5:$A$204&lt;=$B112)*(B_Drainage!$B$5:$B$204&gt;$B112)*(B_Drainage!$E$5:$E$204&lt;&gt;"")),IF(B_Drainage!$E$5:$E$204="-","",B_Drainage!$E$5:$E$204)),"")</f>
        <v/>
      </c>
      <c r="V112" s="181" t="str">
        <f>IFERROR(LOOKUP(2,1/((B_Drainage!$A$5:$A$204&lt;&gt;"")*(B_Drainage!$A$5:$A$204&lt;=$B112)*(B_Drainage!$B$5:$B$204&gt;$B112)*(B_Drainage!$F$5:$F$204&lt;&gt;"")),IF(B_Drainage!$F$5:$F$204="-","",1)),"")</f>
        <v/>
      </c>
      <c r="W112" s="181" t="str">
        <f>IFERROR(LOOKUP(2,1/((B_Drainage!$A$5:$A$204&lt;&gt;"")*(B_Drainage!$A$5:$A$204&lt;=$B112)*(B_Drainage!$B$5:$B$204&gt;$B112)*(B_Drainage!$F$5:$F$204&lt;&gt;"")),IF(B_Drainage!$F$5:$F$204="-","",B_Drainage!$F$5:$F$204)),"")</f>
        <v/>
      </c>
      <c r="X112" s="181" t="str">
        <f>IFERROR(LOOKUP(2,1/((B_Drainage!$A$5:$A$204&lt;&gt;"")*(B_Drainage!$A$5:$A$204&lt;=$B112)*(B_Drainage!$B$5:$B$204&gt;$B112)*(B_Drainage!$G$5:$G$204&lt;&gt;"")),IF(UPPER(B_Drainage!$G$5:$G$204)="Y",1,"")),"")</f>
        <v/>
      </c>
      <c r="Y112" s="181" t="str">
        <f>IFERROR(LOOKUP(2,1/((B_Drainage!$A$5:$A$204&lt;&gt;"")*(B_Drainage!$A$5:$A$204&lt;=$B112)*(B_Drainage!$B$5:$B$204&gt;$B112)*(B_Drainage!$H$5:$H$204&lt;&gt;"")),IF(UPPER(B_Drainage!$H$5:$H$204)="Y",1,"")),"")</f>
        <v/>
      </c>
      <c r="Z112" s="181" t="str">
        <f>IFERROR(LOOKUP(2,1/((B_Drainage!$A$5:$A$204&lt;&gt;"")*(B_Drainage!$A$5:$A$204&lt;=$B112)*(B_Drainage!$B$5:$B$204&gt;$B112)*(B_Drainage!$I$5:$I$204&lt;&gt;"")),IF(UPPER(B_Drainage!$I$5:$I$204)="Y",1,"")),"")</f>
        <v/>
      </c>
      <c r="AA112" s="181" t="str">
        <f>IFERROR(LOOKUP(2,1/((B_Drainage!$A$5:$A$204&lt;&gt;"")*(B_Drainage!$A$5:$A$204&lt;=$B112)*(B_Drainage!$B$5:$B$204&gt;$B112)*(B_Drainage!$J$5:$J$204&lt;&gt;"")),IF(UPPER(B_Drainage!$J$5:$J$204)="Y",1,"")),"")</f>
        <v/>
      </c>
      <c r="AB112" s="182" t="str">
        <f>IFERROR(LOOKUP(2,1/((B_Drainage!$A$5:$A$204&lt;&gt;"")*(B_Drainage!$A$5:$A$204&lt;=$B112)*(B_Drainage!$B$5:$B$204&gt;$B112)*(B_Drainage!$K$5:$K$204&lt;&gt;"")),IF(B_Drainage!$K$5:$K$204="-","",B_Drainage!$K$5:$K$204)),"")</f>
        <v/>
      </c>
      <c r="AC112" s="182" t="str">
        <f>IFERROR(LOOKUP(2,1/((B_Drainage!$A$5:$A$204&lt;&gt;"")*(B_Drainage!$A$5:$A$204&lt;=$B112)*(B_Drainage!$B$5:$B$204&gt;$B112)*(B_Drainage!$L$5:$L$204&lt;&gt;"")),IF(B_Drainage!$L$5:$L$204="-","",B_Drainage!$L$5:$L$204)),"")</f>
        <v/>
      </c>
      <c r="AD112" s="182" t="str">
        <f>IFERROR(LOOKUP(2,1/((D_Points!$A$5:$A$204&lt;&gt;"")*(D_Points!$A$5:$A$204&gt;=$B112)*(D_Points!$A$5:$A$204&lt;$B112+P_Interval)*(UPPER(TRIM(D_Points!$B$5:$B$204))="TURNOUT_L")*(D_Points!$H$5:$H$204&lt;&gt;"")),D_Points!$H$5:$H$204),"")</f>
        <v/>
      </c>
      <c r="AE112" s="182" t="str">
        <f>IFERROR(LOOKUP(2,1/((D_Points!$A$5:$A$204&lt;&gt;"")*(D_Points!$A$5:$A$204&gt;=$B112)*(D_Points!$A$5:$A$204&lt;$B112+P_Interval)*(UPPER(TRIM(D_Points!$B$5:$B$204))="TURNOUT_R")*(D_Points!$H$5:$H$204&lt;&gt;"")),D_Points!$H$5:$H$204),"")</f>
        <v/>
      </c>
      <c r="AF112" s="181" t="str">
        <f>IFERROR(LOOKUP(2,1/((B_Drainage!$A$5:$A$204&lt;&gt;"")*(B_Drainage!$A$5:$A$204&lt;=$B112)*(B_Drainage!$B$5:$B$204&gt;$B112)*(B_Drainage!$M$5:$M$204&lt;&gt;"")),IF(UPPER(B_Drainage!$M$5:$M$204)="Y",1,"")),"")</f>
        <v/>
      </c>
      <c r="AG112" s="181" t="str">
        <f>IFERROR(LOOKUP(2,1/((B_Drainage!$A$5:$A$204&lt;&gt;"")*(B_Drainage!$A$5:$A$204&lt;=$B112)*(B_Drainage!$B$5:$B$204&gt;$B112)*(B_Drainage!$N$5:$N$204&lt;&gt;"")),IF(UPPER(B_Drainage!$N$5:$N$204)="Y",1,"")),"")</f>
        <v/>
      </c>
      <c r="AH112" s="181" t="str">
        <f t="shared" si="8"/>
        <v/>
      </c>
      <c r="AI112" s="181" t="str">
        <f t="shared" si="9"/>
        <v/>
      </c>
      <c r="AJ112" s="181" t="str">
        <f t="shared" si="10"/>
        <v/>
      </c>
      <c r="AK112" s="181" t="str">
        <f t="shared" si="11"/>
        <v/>
      </c>
      <c r="AL112" s="181" t="str">
        <f t="shared" si="12"/>
        <v/>
      </c>
      <c r="AM112" s="181" t="str">
        <f t="shared" si="13"/>
        <v/>
      </c>
      <c r="AN112" s="181" t="str">
        <f t="shared" si="14"/>
        <v/>
      </c>
      <c r="AO112" s="192" t="str">
        <f t="shared" si="15"/>
        <v/>
      </c>
      <c r="AQ112" t="str">
        <f>IFERROR(LOOKUP(2,1/((C_Pavement!$A$5:$A$204&lt;&gt;"")*(C_Pavement!$A$5:$A$204&lt;=$B112)*(C_Pavement!$B$5:$B$204&gt;$B112)*(C_Pavement!$C$5:$C$204&lt;&gt;"")),ROW(C_Pavement!$C$5:$C$204)-4),"")</f>
        <v/>
      </c>
      <c r="AR112" t="str">
        <f>IF($AQ112="","",UPPER(TRIM(INDEX(C_Pavement!$C$5:$C$204,$AQ112))))</f>
        <v/>
      </c>
      <c r="AS112" t="str">
        <f>IF($AR112="","",IFERROR(MATCH($AR112,E_Rules!$A$5:$A$9,0),""))</f>
        <v/>
      </c>
      <c r="AT112" t="str">
        <f>IF($AQ112="","",IF(INDEX(C_Pavement!$D$5:$D$204,$AQ112)&lt;&gt;"",UPPER(TRIM(INDEX(C_Pavement!$D$5:$D$204,$AQ112))),IF($AS112="","",INDEX(E_Rules!$C$5:$C$9,$AS112))))</f>
        <v/>
      </c>
      <c r="AU112" t="str">
        <f>IF($AQ112="","",IF(INDEX(C_Pavement!$E$5:$E$204,$AQ112)&lt;&gt;"",IF(INDEX(C_Pavement!$E$5:$E$204,$AQ112)="-","",INDEX(C_Pavement!$E$5:$E$204,$AQ112)),IF($AS112="","",INDEX(E_Rules!$D$5:$D$9,$AS112))))</f>
        <v/>
      </c>
      <c r="AV112" t="str">
        <f>IF($AQ112="","",IF(INDEX(C_Pavement!$F$5:$F$204,$AQ112)&lt;&gt;"",IF(INDEX(C_Pavement!$F$5:$F$204,$AQ112)="-","",INDEX(C_Pavement!$F$5:$F$204,$AQ112)),IF($AS112="","",INDEX(E_Rules!$E$5:$E$9,$AS112))))</f>
        <v/>
      </c>
      <c r="AW112" t="str">
        <f>IF($AQ112="","",IF(INDEX(C_Pavement!$G$5:$G$204,$AQ112)&lt;&gt;"",IF(INDEX(C_Pavement!$G$5:$G$204,$AQ112)="-","",INDEX(C_Pavement!$G$5:$G$204,$AQ112)),IF($AS112="","",INDEX(E_Rules!$F$5:$F$9,$AS112))))</f>
        <v/>
      </c>
      <c r="AX112" t="str">
        <f>IF($AQ112="","",IF(INDEX(C_Pavement!$H$5:$H$204,$AQ112)&lt;&gt;"",IF(INDEX(C_Pavement!$H$5:$H$204,$AQ112)="-","",INDEX(C_Pavement!$H$5:$H$204,$AQ112)),IF($AS112="","",INDEX(E_Rules!$G$5:$G$9,$AS112))))</f>
        <v/>
      </c>
      <c r="AY112" t="str">
        <f>IF($AQ112="","",IF(INDEX(C_Pavement!$I$5:$I$204,$AQ112)&lt;&gt;"",IF(INDEX(C_Pavement!$I$5:$I$204,$AQ112)="-","",INDEX(C_Pavement!$I$5:$I$204,$AQ112)),IF($AS112="","",INDEX(E_Rules!$H$5:$H$9,$AS112))))</f>
        <v/>
      </c>
    </row>
    <row r="113" spans="1:51" ht="15.75" customHeight="1" x14ac:dyDescent="0.3">
      <c r="A113" s="189">
        <v>108</v>
      </c>
      <c r="B113" s="180">
        <v>5350</v>
      </c>
      <c r="C113" s="180" t="s">
        <v>419</v>
      </c>
      <c r="D113" s="181" t="str">
        <f>IFERROR(LOOKUP(2,1/((A_Corridor!$A$5:$A$204&lt;&gt;"")*(A_Corridor!$A$5:$A$204&lt;=$B113)*(A_Corridor!$B$5:$B$204&gt;$B113)*(A_Corridor!$C$5:$C$204&lt;&gt;"")),IF(UPPER(A_Corridor!$C$5:$C$204)="Y",1,"")),"")</f>
        <v/>
      </c>
      <c r="E113" s="181" t="str">
        <f>IFERROR(LOOKUP(2,1/((A_Corridor!$A$5:$A$204&lt;&gt;"")*(A_Corridor!$A$5:$A$204&lt;=$B113)*(A_Corridor!$B$5:$B$204&gt;$B113)*(A_Corridor!$D$5:$D$204&lt;&gt;"")),IF(A_Corridor!$D$5:$D$204="-","",UPPER(A_Corridor!$D$5:$D$204))),"")</f>
        <v/>
      </c>
      <c r="F113" s="181" t="str">
        <f>IFERROR(LOOKUP(2,1/((A_Corridor!$A$5:$A$204&lt;&gt;"")*(A_Corridor!$A$5:$A$204&lt;=$B113)*(A_Corridor!$B$5:$B$204&gt;$B113)*(A_Corridor!$E$5:$E$204&lt;&gt;"")),IF(A_Corridor!$E$5:$E$204="-","",1)),"")</f>
        <v/>
      </c>
      <c r="G113" s="182" t="str">
        <f>IFERROR(LOOKUP(2,1/((A_Corridor!$A$5:$A$204&lt;&gt;"")*(A_Corridor!$A$5:$A$204&lt;=$B113)*(A_Corridor!$B$5:$B$204&gt;$B113)*(A_Corridor!$E$5:$E$204&lt;&gt;"")),IF(A_Corridor!$E$5:$E$204="-","",A_Corridor!$E$5:$E$204)),"")</f>
        <v/>
      </c>
      <c r="H113" s="182" t="str">
        <f>IFERROR(LOOKUP(2,1/((D_Points!$A$5:$A$204&lt;&gt;"")*(D_Points!$A$5:$A$204&gt;=$B113)*(D_Points!$A$5:$A$204&lt;$B113+P_Interval)*(UPPER(TRIM(D_Points!$B$5:$B$204))="GULLY")*(D_Points!$H$5:$H$204&lt;&gt;"")),D_Points!$H$5:$H$204),"")</f>
        <v/>
      </c>
      <c r="I113" s="181" t="str">
        <f>IFERROR(LOOKUP(2,1/((A_Corridor!$A$5:$A$204&lt;&gt;"")*(A_Corridor!$A$5:$A$204&lt;=$B113)*(A_Corridor!$B$5:$B$204&gt;$B113)*(A_Corridor!$F$5:$F$204&lt;&gt;"")),IF(A_Corridor!$F$5:$F$204="-","",1)),"")</f>
        <v/>
      </c>
      <c r="J113" s="182" t="str">
        <f>IFERROR(LOOKUP(2,1/((A_Corridor!$A$5:$A$204&lt;&gt;"")*(A_Corridor!$A$5:$A$204&lt;=$B113)*(A_Corridor!$B$5:$B$204&gt;$B113)*(A_Corridor!$F$5:$F$204&lt;&gt;"")),IF(A_Corridor!$F$5:$F$204="-","",A_Corridor!$F$5:$F$204)),"")</f>
        <v/>
      </c>
      <c r="K113" s="182" t="str">
        <f>IFERROR(LOOKUP(2,1/((A_Corridor!$A$5:$A$204&lt;&gt;"")*(A_Corridor!$A$5:$A$204&lt;=$B113)*(A_Corridor!$B$5:$B$204&gt;$B113)*(A_Corridor!$G$5:$G$204&lt;&gt;"")),IF(A_Corridor!$G$5:$G$204="-","",A_Corridor!$G$5:$G$204)),"")</f>
        <v/>
      </c>
      <c r="L113" s="181" t="str">
        <f>IFERROR(LOOKUP(2,1/((A_Corridor!$A$5:$A$204&lt;&gt;"")*(A_Corridor!$A$5:$A$204&lt;=$B113)*(A_Corridor!$B$5:$B$204&gt;$B113)*(A_Corridor!$H$5:$H$204&lt;&gt;"")),IF(A_Corridor!$H$5:$H$204="-","",1)),"")</f>
        <v/>
      </c>
      <c r="M113" s="182" t="str">
        <f>IFERROR(LOOKUP(2,1/((A_Corridor!$A$5:$A$204&lt;&gt;"")*(A_Corridor!$A$5:$A$204&lt;=$B113)*(A_Corridor!$B$5:$B$204&gt;$B113)*(A_Corridor!$H$5:$H$204&lt;&gt;"")),IF(A_Corridor!$H$5:$H$204="-","",A_Corridor!$H$5:$H$204)),"")</f>
        <v/>
      </c>
      <c r="N113" s="182" t="str">
        <f>IFERROR(LOOKUP(2,1/((A_Corridor!$A$5:$A$204&lt;&gt;"")*(A_Corridor!$A$5:$A$204&lt;=$B113)*(A_Corridor!$B$5:$B$204&gt;$B113)*(A_Corridor!$I$5:$I$204&lt;&gt;"")),IF(A_Corridor!$I$5:$I$204="-","",A_Corridor!$I$5:$I$204)),"")</f>
        <v/>
      </c>
      <c r="O113" s="182" t="str">
        <f>IFERROR(LOOKUP(2,1/((D_Points!$A$5:$A$204&lt;&gt;"")*(D_Points!$A$5:$A$204&gt;=$B113)*(D_Points!$A$5:$A$204&lt;$B113+P_Interval)*(UPPER(TRIM(D_Points!$B$5:$B$204))="PITCHING")*(D_Points!$H$5:$H$204&lt;&gt;"")),D_Points!$H$5:$H$204),"")</f>
        <v/>
      </c>
      <c r="P113" s="181" t="str">
        <f>IFERROR(LOOKUP(2,1/((B_Drainage!$A$5:$A$204&lt;&gt;"")*(B_Drainage!$A$5:$A$204&lt;=$B113)*(B_Drainage!$B$5:$B$204&gt;$B113)*(B_Drainage!$C$5:$C$204&lt;&gt;"")),IF(B_Drainage!$C$5:$C$204="-","",UPPER(B_Drainage!$C$5:$C$204))),"")</f>
        <v/>
      </c>
      <c r="Q113" s="181" t="str">
        <f>IFERROR(LOOKUP(2,1/((B_Drainage!$A$5:$A$204&lt;&gt;"")*(B_Drainage!$A$5:$A$204&lt;=$B113)*(B_Drainage!$B$5:$B$204&gt;$B113)*(B_Drainage!$D$5:$D$204&lt;&gt;"")),IF(B_Drainage!$D$5:$D$204="-","",UPPER(B_Drainage!$D$5:$D$204))),"")</f>
        <v/>
      </c>
      <c r="R113" s="182" t="str">
        <f>IFERROR(LOOKUP(2,1/((D_Points!$A$5:$A$204&lt;&gt;"")*(D_Points!$A$5:$A$204&gt;=$B113)*(D_Points!$A$5:$A$204&lt;$B113+P_Interval)*(RIGHT(UPPER(TRIM(D_Points!$B$5:$B$204)),8)="_CULVERT")),IF(LEFT(UPPER(TRIM(D_Points!$B$5:$B$204)),2)="EX",1,IF(LEFT(UPPER(TRIM(D_Points!$B$5:$B$204)),2)="PR",2,3))),"")</f>
        <v/>
      </c>
      <c r="S113" s="182" t="str">
        <f>IFERROR(LOOKUP(2,1/((D_Points!$A$5:$A$204&lt;&gt;"")*(D_Points!$A$5:$A$204&gt;=$B113)*(D_Points!$A$5:$A$204&lt;$B113+P_Interval)*(RIGHT(UPPER(TRIM(D_Points!$B$5:$B$204)),7)="_BRIDGE")),IF(LEFT(UPPER(TRIM(D_Points!$B$5:$B$204)),2)="EX",1,IF(LEFT(UPPER(TRIM(D_Points!$B$5:$B$204)),2)="PR",2,2))),"")</f>
        <v/>
      </c>
      <c r="T113" s="181" t="str">
        <f>IFERROR(LOOKUP(2,1/((B_Drainage!$A$5:$A$204&lt;&gt;"")*(B_Drainage!$A$5:$A$204&lt;=$B113)*(B_Drainage!$B$5:$B$204&gt;$B113)*(B_Drainage!$E$5:$E$204&lt;&gt;"")),IF(B_Drainage!$E$5:$E$204="-","",1)),"")</f>
        <v/>
      </c>
      <c r="U113" s="181" t="str">
        <f>IFERROR(LOOKUP(2,1/((B_Drainage!$A$5:$A$204&lt;&gt;"")*(B_Drainage!$A$5:$A$204&lt;=$B113)*(B_Drainage!$B$5:$B$204&gt;$B113)*(B_Drainage!$E$5:$E$204&lt;&gt;"")),IF(B_Drainage!$E$5:$E$204="-","",B_Drainage!$E$5:$E$204)),"")</f>
        <v/>
      </c>
      <c r="V113" s="181" t="str">
        <f>IFERROR(LOOKUP(2,1/((B_Drainage!$A$5:$A$204&lt;&gt;"")*(B_Drainage!$A$5:$A$204&lt;=$B113)*(B_Drainage!$B$5:$B$204&gt;$B113)*(B_Drainage!$F$5:$F$204&lt;&gt;"")),IF(B_Drainage!$F$5:$F$204="-","",1)),"")</f>
        <v/>
      </c>
      <c r="W113" s="181" t="str">
        <f>IFERROR(LOOKUP(2,1/((B_Drainage!$A$5:$A$204&lt;&gt;"")*(B_Drainage!$A$5:$A$204&lt;=$B113)*(B_Drainage!$B$5:$B$204&gt;$B113)*(B_Drainage!$F$5:$F$204&lt;&gt;"")),IF(B_Drainage!$F$5:$F$204="-","",B_Drainage!$F$5:$F$204)),"")</f>
        <v/>
      </c>
      <c r="X113" s="181" t="str">
        <f>IFERROR(LOOKUP(2,1/((B_Drainage!$A$5:$A$204&lt;&gt;"")*(B_Drainage!$A$5:$A$204&lt;=$B113)*(B_Drainage!$B$5:$B$204&gt;$B113)*(B_Drainage!$G$5:$G$204&lt;&gt;"")),IF(UPPER(B_Drainage!$G$5:$G$204)="Y",1,"")),"")</f>
        <v/>
      </c>
      <c r="Y113" s="181" t="str">
        <f>IFERROR(LOOKUP(2,1/((B_Drainage!$A$5:$A$204&lt;&gt;"")*(B_Drainage!$A$5:$A$204&lt;=$B113)*(B_Drainage!$B$5:$B$204&gt;$B113)*(B_Drainage!$H$5:$H$204&lt;&gt;"")),IF(UPPER(B_Drainage!$H$5:$H$204)="Y",1,"")),"")</f>
        <v/>
      </c>
      <c r="Z113" s="181" t="str">
        <f>IFERROR(LOOKUP(2,1/((B_Drainage!$A$5:$A$204&lt;&gt;"")*(B_Drainage!$A$5:$A$204&lt;=$B113)*(B_Drainage!$B$5:$B$204&gt;$B113)*(B_Drainage!$I$5:$I$204&lt;&gt;"")),IF(UPPER(B_Drainage!$I$5:$I$204)="Y",1,"")),"")</f>
        <v/>
      </c>
      <c r="AA113" s="181" t="str">
        <f>IFERROR(LOOKUP(2,1/((B_Drainage!$A$5:$A$204&lt;&gt;"")*(B_Drainage!$A$5:$A$204&lt;=$B113)*(B_Drainage!$B$5:$B$204&gt;$B113)*(B_Drainage!$J$5:$J$204&lt;&gt;"")),IF(UPPER(B_Drainage!$J$5:$J$204)="Y",1,"")),"")</f>
        <v/>
      </c>
      <c r="AB113" s="182" t="str">
        <f>IFERROR(LOOKUP(2,1/((B_Drainage!$A$5:$A$204&lt;&gt;"")*(B_Drainage!$A$5:$A$204&lt;=$B113)*(B_Drainage!$B$5:$B$204&gt;$B113)*(B_Drainage!$K$5:$K$204&lt;&gt;"")),IF(B_Drainage!$K$5:$K$204="-","",B_Drainage!$K$5:$K$204)),"")</f>
        <v/>
      </c>
      <c r="AC113" s="182" t="str">
        <f>IFERROR(LOOKUP(2,1/((B_Drainage!$A$5:$A$204&lt;&gt;"")*(B_Drainage!$A$5:$A$204&lt;=$B113)*(B_Drainage!$B$5:$B$204&gt;$B113)*(B_Drainage!$L$5:$L$204&lt;&gt;"")),IF(B_Drainage!$L$5:$L$204="-","",B_Drainage!$L$5:$L$204)),"")</f>
        <v/>
      </c>
      <c r="AD113" s="182" t="str">
        <f>IFERROR(LOOKUP(2,1/((D_Points!$A$5:$A$204&lt;&gt;"")*(D_Points!$A$5:$A$204&gt;=$B113)*(D_Points!$A$5:$A$204&lt;$B113+P_Interval)*(UPPER(TRIM(D_Points!$B$5:$B$204))="TURNOUT_L")*(D_Points!$H$5:$H$204&lt;&gt;"")),D_Points!$H$5:$H$204),"")</f>
        <v/>
      </c>
      <c r="AE113" s="182" t="str">
        <f>IFERROR(LOOKUP(2,1/((D_Points!$A$5:$A$204&lt;&gt;"")*(D_Points!$A$5:$A$204&gt;=$B113)*(D_Points!$A$5:$A$204&lt;$B113+P_Interval)*(UPPER(TRIM(D_Points!$B$5:$B$204))="TURNOUT_R")*(D_Points!$H$5:$H$204&lt;&gt;"")),D_Points!$H$5:$H$204),"")</f>
        <v/>
      </c>
      <c r="AF113" s="181" t="str">
        <f>IFERROR(LOOKUP(2,1/((B_Drainage!$A$5:$A$204&lt;&gt;"")*(B_Drainage!$A$5:$A$204&lt;=$B113)*(B_Drainage!$B$5:$B$204&gt;$B113)*(B_Drainage!$M$5:$M$204&lt;&gt;"")),IF(UPPER(B_Drainage!$M$5:$M$204)="Y",1,"")),"")</f>
        <v/>
      </c>
      <c r="AG113" s="181" t="str">
        <f>IFERROR(LOOKUP(2,1/((B_Drainage!$A$5:$A$204&lt;&gt;"")*(B_Drainage!$A$5:$A$204&lt;=$B113)*(B_Drainage!$B$5:$B$204&gt;$B113)*(B_Drainage!$N$5:$N$204&lt;&gt;"")),IF(UPPER(B_Drainage!$N$5:$N$204)="Y",1,"")),"")</f>
        <v/>
      </c>
      <c r="AH113" s="181" t="str">
        <f t="shared" si="8"/>
        <v/>
      </c>
      <c r="AI113" s="181" t="str">
        <f t="shared" si="9"/>
        <v/>
      </c>
      <c r="AJ113" s="181" t="str">
        <f t="shared" si="10"/>
        <v/>
      </c>
      <c r="AK113" s="181" t="str">
        <f t="shared" si="11"/>
        <v/>
      </c>
      <c r="AL113" s="181" t="str">
        <f t="shared" si="12"/>
        <v/>
      </c>
      <c r="AM113" s="181" t="str">
        <f t="shared" si="13"/>
        <v/>
      </c>
      <c r="AN113" s="181" t="str">
        <f t="shared" si="14"/>
        <v/>
      </c>
      <c r="AO113" s="192" t="str">
        <f t="shared" si="15"/>
        <v/>
      </c>
      <c r="AQ113" t="str">
        <f>IFERROR(LOOKUP(2,1/((C_Pavement!$A$5:$A$204&lt;&gt;"")*(C_Pavement!$A$5:$A$204&lt;=$B113)*(C_Pavement!$B$5:$B$204&gt;$B113)*(C_Pavement!$C$5:$C$204&lt;&gt;"")),ROW(C_Pavement!$C$5:$C$204)-4),"")</f>
        <v/>
      </c>
      <c r="AR113" t="str">
        <f>IF($AQ113="","",UPPER(TRIM(INDEX(C_Pavement!$C$5:$C$204,$AQ113))))</f>
        <v/>
      </c>
      <c r="AS113" t="str">
        <f>IF($AR113="","",IFERROR(MATCH($AR113,E_Rules!$A$5:$A$9,0),""))</f>
        <v/>
      </c>
      <c r="AT113" t="str">
        <f>IF($AQ113="","",IF(INDEX(C_Pavement!$D$5:$D$204,$AQ113)&lt;&gt;"",UPPER(TRIM(INDEX(C_Pavement!$D$5:$D$204,$AQ113))),IF($AS113="","",INDEX(E_Rules!$C$5:$C$9,$AS113))))</f>
        <v/>
      </c>
      <c r="AU113" t="str">
        <f>IF($AQ113="","",IF(INDEX(C_Pavement!$E$5:$E$204,$AQ113)&lt;&gt;"",IF(INDEX(C_Pavement!$E$5:$E$204,$AQ113)="-","",INDEX(C_Pavement!$E$5:$E$204,$AQ113)),IF($AS113="","",INDEX(E_Rules!$D$5:$D$9,$AS113))))</f>
        <v/>
      </c>
      <c r="AV113" t="str">
        <f>IF($AQ113="","",IF(INDEX(C_Pavement!$F$5:$F$204,$AQ113)&lt;&gt;"",IF(INDEX(C_Pavement!$F$5:$F$204,$AQ113)="-","",INDEX(C_Pavement!$F$5:$F$204,$AQ113)),IF($AS113="","",INDEX(E_Rules!$E$5:$E$9,$AS113))))</f>
        <v/>
      </c>
      <c r="AW113" t="str">
        <f>IF($AQ113="","",IF(INDEX(C_Pavement!$G$5:$G$204,$AQ113)&lt;&gt;"",IF(INDEX(C_Pavement!$G$5:$G$204,$AQ113)="-","",INDEX(C_Pavement!$G$5:$G$204,$AQ113)),IF($AS113="","",INDEX(E_Rules!$F$5:$F$9,$AS113))))</f>
        <v/>
      </c>
      <c r="AX113" t="str">
        <f>IF($AQ113="","",IF(INDEX(C_Pavement!$H$5:$H$204,$AQ113)&lt;&gt;"",IF(INDEX(C_Pavement!$H$5:$H$204,$AQ113)="-","",INDEX(C_Pavement!$H$5:$H$204,$AQ113)),IF($AS113="","",INDEX(E_Rules!$G$5:$G$9,$AS113))))</f>
        <v/>
      </c>
      <c r="AY113" t="str">
        <f>IF($AQ113="","",IF(INDEX(C_Pavement!$I$5:$I$204,$AQ113)&lt;&gt;"",IF(INDEX(C_Pavement!$I$5:$I$204,$AQ113)="-","",INDEX(C_Pavement!$I$5:$I$204,$AQ113)),IF($AS113="","",INDEX(E_Rules!$H$5:$H$9,$AS113))))</f>
        <v/>
      </c>
    </row>
    <row r="114" spans="1:51" ht="15.75" customHeight="1" x14ac:dyDescent="0.3">
      <c r="A114" s="189">
        <v>109</v>
      </c>
      <c r="B114" s="180">
        <v>5400</v>
      </c>
      <c r="C114" s="180" t="s">
        <v>420</v>
      </c>
      <c r="D114" s="181" t="str">
        <f>IFERROR(LOOKUP(2,1/((A_Corridor!$A$5:$A$204&lt;&gt;"")*(A_Corridor!$A$5:$A$204&lt;=$B114)*(A_Corridor!$B$5:$B$204&gt;$B114)*(A_Corridor!$C$5:$C$204&lt;&gt;"")),IF(UPPER(A_Corridor!$C$5:$C$204)="Y",1,"")),"")</f>
        <v/>
      </c>
      <c r="E114" s="181" t="str">
        <f>IFERROR(LOOKUP(2,1/((A_Corridor!$A$5:$A$204&lt;&gt;"")*(A_Corridor!$A$5:$A$204&lt;=$B114)*(A_Corridor!$B$5:$B$204&gt;$B114)*(A_Corridor!$D$5:$D$204&lt;&gt;"")),IF(A_Corridor!$D$5:$D$204="-","",UPPER(A_Corridor!$D$5:$D$204))),"")</f>
        <v/>
      </c>
      <c r="F114" s="181" t="str">
        <f>IFERROR(LOOKUP(2,1/((A_Corridor!$A$5:$A$204&lt;&gt;"")*(A_Corridor!$A$5:$A$204&lt;=$B114)*(A_Corridor!$B$5:$B$204&gt;$B114)*(A_Corridor!$E$5:$E$204&lt;&gt;"")),IF(A_Corridor!$E$5:$E$204="-","",1)),"")</f>
        <v/>
      </c>
      <c r="G114" s="182" t="str">
        <f>IFERROR(LOOKUP(2,1/((A_Corridor!$A$5:$A$204&lt;&gt;"")*(A_Corridor!$A$5:$A$204&lt;=$B114)*(A_Corridor!$B$5:$B$204&gt;$B114)*(A_Corridor!$E$5:$E$204&lt;&gt;"")),IF(A_Corridor!$E$5:$E$204="-","",A_Corridor!$E$5:$E$204)),"")</f>
        <v/>
      </c>
      <c r="H114" s="182" t="str">
        <f>IFERROR(LOOKUP(2,1/((D_Points!$A$5:$A$204&lt;&gt;"")*(D_Points!$A$5:$A$204&gt;=$B114)*(D_Points!$A$5:$A$204&lt;$B114+P_Interval)*(UPPER(TRIM(D_Points!$B$5:$B$204))="GULLY")*(D_Points!$H$5:$H$204&lt;&gt;"")),D_Points!$H$5:$H$204),"")</f>
        <v/>
      </c>
      <c r="I114" s="181" t="str">
        <f>IFERROR(LOOKUP(2,1/((A_Corridor!$A$5:$A$204&lt;&gt;"")*(A_Corridor!$A$5:$A$204&lt;=$B114)*(A_Corridor!$B$5:$B$204&gt;$B114)*(A_Corridor!$F$5:$F$204&lt;&gt;"")),IF(A_Corridor!$F$5:$F$204="-","",1)),"")</f>
        <v/>
      </c>
      <c r="J114" s="182" t="str">
        <f>IFERROR(LOOKUP(2,1/((A_Corridor!$A$5:$A$204&lt;&gt;"")*(A_Corridor!$A$5:$A$204&lt;=$B114)*(A_Corridor!$B$5:$B$204&gt;$B114)*(A_Corridor!$F$5:$F$204&lt;&gt;"")),IF(A_Corridor!$F$5:$F$204="-","",A_Corridor!$F$5:$F$204)),"")</f>
        <v/>
      </c>
      <c r="K114" s="182" t="str">
        <f>IFERROR(LOOKUP(2,1/((A_Corridor!$A$5:$A$204&lt;&gt;"")*(A_Corridor!$A$5:$A$204&lt;=$B114)*(A_Corridor!$B$5:$B$204&gt;$B114)*(A_Corridor!$G$5:$G$204&lt;&gt;"")),IF(A_Corridor!$G$5:$G$204="-","",A_Corridor!$G$5:$G$204)),"")</f>
        <v/>
      </c>
      <c r="L114" s="181" t="str">
        <f>IFERROR(LOOKUP(2,1/((A_Corridor!$A$5:$A$204&lt;&gt;"")*(A_Corridor!$A$5:$A$204&lt;=$B114)*(A_Corridor!$B$5:$B$204&gt;$B114)*(A_Corridor!$H$5:$H$204&lt;&gt;"")),IF(A_Corridor!$H$5:$H$204="-","",1)),"")</f>
        <v/>
      </c>
      <c r="M114" s="182" t="str">
        <f>IFERROR(LOOKUP(2,1/((A_Corridor!$A$5:$A$204&lt;&gt;"")*(A_Corridor!$A$5:$A$204&lt;=$B114)*(A_Corridor!$B$5:$B$204&gt;$B114)*(A_Corridor!$H$5:$H$204&lt;&gt;"")),IF(A_Corridor!$H$5:$H$204="-","",A_Corridor!$H$5:$H$204)),"")</f>
        <v/>
      </c>
      <c r="N114" s="182" t="str">
        <f>IFERROR(LOOKUP(2,1/((A_Corridor!$A$5:$A$204&lt;&gt;"")*(A_Corridor!$A$5:$A$204&lt;=$B114)*(A_Corridor!$B$5:$B$204&gt;$B114)*(A_Corridor!$I$5:$I$204&lt;&gt;"")),IF(A_Corridor!$I$5:$I$204="-","",A_Corridor!$I$5:$I$204)),"")</f>
        <v/>
      </c>
      <c r="O114" s="182" t="str">
        <f>IFERROR(LOOKUP(2,1/((D_Points!$A$5:$A$204&lt;&gt;"")*(D_Points!$A$5:$A$204&gt;=$B114)*(D_Points!$A$5:$A$204&lt;$B114+P_Interval)*(UPPER(TRIM(D_Points!$B$5:$B$204))="PITCHING")*(D_Points!$H$5:$H$204&lt;&gt;"")),D_Points!$H$5:$H$204),"")</f>
        <v/>
      </c>
      <c r="P114" s="181" t="str">
        <f>IFERROR(LOOKUP(2,1/((B_Drainage!$A$5:$A$204&lt;&gt;"")*(B_Drainage!$A$5:$A$204&lt;=$B114)*(B_Drainage!$B$5:$B$204&gt;$B114)*(B_Drainage!$C$5:$C$204&lt;&gt;"")),IF(B_Drainage!$C$5:$C$204="-","",UPPER(B_Drainage!$C$5:$C$204))),"")</f>
        <v/>
      </c>
      <c r="Q114" s="181" t="str">
        <f>IFERROR(LOOKUP(2,1/((B_Drainage!$A$5:$A$204&lt;&gt;"")*(B_Drainage!$A$5:$A$204&lt;=$B114)*(B_Drainage!$B$5:$B$204&gt;$B114)*(B_Drainage!$D$5:$D$204&lt;&gt;"")),IF(B_Drainage!$D$5:$D$204="-","",UPPER(B_Drainage!$D$5:$D$204))),"")</f>
        <v/>
      </c>
      <c r="R114" s="182" t="str">
        <f>IFERROR(LOOKUP(2,1/((D_Points!$A$5:$A$204&lt;&gt;"")*(D_Points!$A$5:$A$204&gt;=$B114)*(D_Points!$A$5:$A$204&lt;$B114+P_Interval)*(RIGHT(UPPER(TRIM(D_Points!$B$5:$B$204)),8)="_CULVERT")),IF(LEFT(UPPER(TRIM(D_Points!$B$5:$B$204)),2)="EX",1,IF(LEFT(UPPER(TRIM(D_Points!$B$5:$B$204)),2)="PR",2,3))),"")</f>
        <v/>
      </c>
      <c r="S114" s="182" t="str">
        <f>IFERROR(LOOKUP(2,1/((D_Points!$A$5:$A$204&lt;&gt;"")*(D_Points!$A$5:$A$204&gt;=$B114)*(D_Points!$A$5:$A$204&lt;$B114+P_Interval)*(RIGHT(UPPER(TRIM(D_Points!$B$5:$B$204)),7)="_BRIDGE")),IF(LEFT(UPPER(TRIM(D_Points!$B$5:$B$204)),2)="EX",1,IF(LEFT(UPPER(TRIM(D_Points!$B$5:$B$204)),2)="PR",2,2))),"")</f>
        <v/>
      </c>
      <c r="T114" s="181" t="str">
        <f>IFERROR(LOOKUP(2,1/((B_Drainage!$A$5:$A$204&lt;&gt;"")*(B_Drainage!$A$5:$A$204&lt;=$B114)*(B_Drainage!$B$5:$B$204&gt;$B114)*(B_Drainage!$E$5:$E$204&lt;&gt;"")),IF(B_Drainage!$E$5:$E$204="-","",1)),"")</f>
        <v/>
      </c>
      <c r="U114" s="181" t="str">
        <f>IFERROR(LOOKUP(2,1/((B_Drainage!$A$5:$A$204&lt;&gt;"")*(B_Drainage!$A$5:$A$204&lt;=$B114)*(B_Drainage!$B$5:$B$204&gt;$B114)*(B_Drainage!$E$5:$E$204&lt;&gt;"")),IF(B_Drainage!$E$5:$E$204="-","",B_Drainage!$E$5:$E$204)),"")</f>
        <v/>
      </c>
      <c r="V114" s="181" t="str">
        <f>IFERROR(LOOKUP(2,1/((B_Drainage!$A$5:$A$204&lt;&gt;"")*(B_Drainage!$A$5:$A$204&lt;=$B114)*(B_Drainage!$B$5:$B$204&gt;$B114)*(B_Drainage!$F$5:$F$204&lt;&gt;"")),IF(B_Drainage!$F$5:$F$204="-","",1)),"")</f>
        <v/>
      </c>
      <c r="W114" s="181" t="str">
        <f>IFERROR(LOOKUP(2,1/((B_Drainage!$A$5:$A$204&lt;&gt;"")*(B_Drainage!$A$5:$A$204&lt;=$B114)*(B_Drainage!$B$5:$B$204&gt;$B114)*(B_Drainage!$F$5:$F$204&lt;&gt;"")),IF(B_Drainage!$F$5:$F$204="-","",B_Drainage!$F$5:$F$204)),"")</f>
        <v/>
      </c>
      <c r="X114" s="181" t="str">
        <f>IFERROR(LOOKUP(2,1/((B_Drainage!$A$5:$A$204&lt;&gt;"")*(B_Drainage!$A$5:$A$204&lt;=$B114)*(B_Drainage!$B$5:$B$204&gt;$B114)*(B_Drainage!$G$5:$G$204&lt;&gt;"")),IF(UPPER(B_Drainage!$G$5:$G$204)="Y",1,"")),"")</f>
        <v/>
      </c>
      <c r="Y114" s="181" t="str">
        <f>IFERROR(LOOKUP(2,1/((B_Drainage!$A$5:$A$204&lt;&gt;"")*(B_Drainage!$A$5:$A$204&lt;=$B114)*(B_Drainage!$B$5:$B$204&gt;$B114)*(B_Drainage!$H$5:$H$204&lt;&gt;"")),IF(UPPER(B_Drainage!$H$5:$H$204)="Y",1,"")),"")</f>
        <v/>
      </c>
      <c r="Z114" s="181" t="str">
        <f>IFERROR(LOOKUP(2,1/((B_Drainage!$A$5:$A$204&lt;&gt;"")*(B_Drainage!$A$5:$A$204&lt;=$B114)*(B_Drainage!$B$5:$B$204&gt;$B114)*(B_Drainage!$I$5:$I$204&lt;&gt;"")),IF(UPPER(B_Drainage!$I$5:$I$204)="Y",1,"")),"")</f>
        <v/>
      </c>
      <c r="AA114" s="181" t="str">
        <f>IFERROR(LOOKUP(2,1/((B_Drainage!$A$5:$A$204&lt;&gt;"")*(B_Drainage!$A$5:$A$204&lt;=$B114)*(B_Drainage!$B$5:$B$204&gt;$B114)*(B_Drainage!$J$5:$J$204&lt;&gt;"")),IF(UPPER(B_Drainage!$J$5:$J$204)="Y",1,"")),"")</f>
        <v/>
      </c>
      <c r="AB114" s="182" t="str">
        <f>IFERROR(LOOKUP(2,1/((B_Drainage!$A$5:$A$204&lt;&gt;"")*(B_Drainage!$A$5:$A$204&lt;=$B114)*(B_Drainage!$B$5:$B$204&gt;$B114)*(B_Drainage!$K$5:$K$204&lt;&gt;"")),IF(B_Drainage!$K$5:$K$204="-","",B_Drainage!$K$5:$K$204)),"")</f>
        <v/>
      </c>
      <c r="AC114" s="182" t="str">
        <f>IFERROR(LOOKUP(2,1/((B_Drainage!$A$5:$A$204&lt;&gt;"")*(B_Drainage!$A$5:$A$204&lt;=$B114)*(B_Drainage!$B$5:$B$204&gt;$B114)*(B_Drainage!$L$5:$L$204&lt;&gt;"")),IF(B_Drainage!$L$5:$L$204="-","",B_Drainage!$L$5:$L$204)),"")</f>
        <v/>
      </c>
      <c r="AD114" s="182" t="str">
        <f>IFERROR(LOOKUP(2,1/((D_Points!$A$5:$A$204&lt;&gt;"")*(D_Points!$A$5:$A$204&gt;=$B114)*(D_Points!$A$5:$A$204&lt;$B114+P_Interval)*(UPPER(TRIM(D_Points!$B$5:$B$204))="TURNOUT_L")*(D_Points!$H$5:$H$204&lt;&gt;"")),D_Points!$H$5:$H$204),"")</f>
        <v/>
      </c>
      <c r="AE114" s="182" t="str">
        <f>IFERROR(LOOKUP(2,1/((D_Points!$A$5:$A$204&lt;&gt;"")*(D_Points!$A$5:$A$204&gt;=$B114)*(D_Points!$A$5:$A$204&lt;$B114+P_Interval)*(UPPER(TRIM(D_Points!$B$5:$B$204))="TURNOUT_R")*(D_Points!$H$5:$H$204&lt;&gt;"")),D_Points!$H$5:$H$204),"")</f>
        <v/>
      </c>
      <c r="AF114" s="181" t="str">
        <f>IFERROR(LOOKUP(2,1/((B_Drainage!$A$5:$A$204&lt;&gt;"")*(B_Drainage!$A$5:$A$204&lt;=$B114)*(B_Drainage!$B$5:$B$204&gt;$B114)*(B_Drainage!$M$5:$M$204&lt;&gt;"")),IF(UPPER(B_Drainage!$M$5:$M$204)="Y",1,"")),"")</f>
        <v/>
      </c>
      <c r="AG114" s="181" t="str">
        <f>IFERROR(LOOKUP(2,1/((B_Drainage!$A$5:$A$204&lt;&gt;"")*(B_Drainage!$A$5:$A$204&lt;=$B114)*(B_Drainage!$B$5:$B$204&gt;$B114)*(B_Drainage!$N$5:$N$204&lt;&gt;"")),IF(UPPER(B_Drainage!$N$5:$N$204)="Y",1,"")),"")</f>
        <v/>
      </c>
      <c r="AH114" s="181" t="str">
        <f t="shared" si="8"/>
        <v/>
      </c>
      <c r="AI114" s="181" t="str">
        <f t="shared" si="9"/>
        <v/>
      </c>
      <c r="AJ114" s="181" t="str">
        <f t="shared" si="10"/>
        <v/>
      </c>
      <c r="AK114" s="181" t="str">
        <f t="shared" si="11"/>
        <v/>
      </c>
      <c r="AL114" s="181" t="str">
        <f t="shared" si="12"/>
        <v/>
      </c>
      <c r="AM114" s="181" t="str">
        <f t="shared" si="13"/>
        <v/>
      </c>
      <c r="AN114" s="181" t="str">
        <f t="shared" si="14"/>
        <v/>
      </c>
      <c r="AO114" s="192" t="str">
        <f t="shared" si="15"/>
        <v/>
      </c>
      <c r="AQ114" t="str">
        <f>IFERROR(LOOKUP(2,1/((C_Pavement!$A$5:$A$204&lt;&gt;"")*(C_Pavement!$A$5:$A$204&lt;=$B114)*(C_Pavement!$B$5:$B$204&gt;$B114)*(C_Pavement!$C$5:$C$204&lt;&gt;"")),ROW(C_Pavement!$C$5:$C$204)-4),"")</f>
        <v/>
      </c>
      <c r="AR114" t="str">
        <f>IF($AQ114="","",UPPER(TRIM(INDEX(C_Pavement!$C$5:$C$204,$AQ114))))</f>
        <v/>
      </c>
      <c r="AS114" t="str">
        <f>IF($AR114="","",IFERROR(MATCH($AR114,E_Rules!$A$5:$A$9,0),""))</f>
        <v/>
      </c>
      <c r="AT114" t="str">
        <f>IF($AQ114="","",IF(INDEX(C_Pavement!$D$5:$D$204,$AQ114)&lt;&gt;"",UPPER(TRIM(INDEX(C_Pavement!$D$5:$D$204,$AQ114))),IF($AS114="","",INDEX(E_Rules!$C$5:$C$9,$AS114))))</f>
        <v/>
      </c>
      <c r="AU114" t="str">
        <f>IF($AQ114="","",IF(INDEX(C_Pavement!$E$5:$E$204,$AQ114)&lt;&gt;"",IF(INDEX(C_Pavement!$E$5:$E$204,$AQ114)="-","",INDEX(C_Pavement!$E$5:$E$204,$AQ114)),IF($AS114="","",INDEX(E_Rules!$D$5:$D$9,$AS114))))</f>
        <v/>
      </c>
      <c r="AV114" t="str">
        <f>IF($AQ114="","",IF(INDEX(C_Pavement!$F$5:$F$204,$AQ114)&lt;&gt;"",IF(INDEX(C_Pavement!$F$5:$F$204,$AQ114)="-","",INDEX(C_Pavement!$F$5:$F$204,$AQ114)),IF($AS114="","",INDEX(E_Rules!$E$5:$E$9,$AS114))))</f>
        <v/>
      </c>
      <c r="AW114" t="str">
        <f>IF($AQ114="","",IF(INDEX(C_Pavement!$G$5:$G$204,$AQ114)&lt;&gt;"",IF(INDEX(C_Pavement!$G$5:$G$204,$AQ114)="-","",INDEX(C_Pavement!$G$5:$G$204,$AQ114)),IF($AS114="","",INDEX(E_Rules!$F$5:$F$9,$AS114))))</f>
        <v/>
      </c>
      <c r="AX114" t="str">
        <f>IF($AQ114="","",IF(INDEX(C_Pavement!$H$5:$H$204,$AQ114)&lt;&gt;"",IF(INDEX(C_Pavement!$H$5:$H$204,$AQ114)="-","",INDEX(C_Pavement!$H$5:$H$204,$AQ114)),IF($AS114="","",INDEX(E_Rules!$G$5:$G$9,$AS114))))</f>
        <v/>
      </c>
      <c r="AY114" t="str">
        <f>IF($AQ114="","",IF(INDEX(C_Pavement!$I$5:$I$204,$AQ114)&lt;&gt;"",IF(INDEX(C_Pavement!$I$5:$I$204,$AQ114)="-","",INDEX(C_Pavement!$I$5:$I$204,$AQ114)),IF($AS114="","",INDEX(E_Rules!$H$5:$H$9,$AS114))))</f>
        <v/>
      </c>
    </row>
    <row r="115" spans="1:51" ht="15.75" customHeight="1" x14ac:dyDescent="0.3">
      <c r="A115" s="189">
        <v>110</v>
      </c>
      <c r="B115" s="180">
        <v>5450</v>
      </c>
      <c r="C115" s="180" t="s">
        <v>421</v>
      </c>
      <c r="D115" s="181" t="str">
        <f>IFERROR(LOOKUP(2,1/((A_Corridor!$A$5:$A$204&lt;&gt;"")*(A_Corridor!$A$5:$A$204&lt;=$B115)*(A_Corridor!$B$5:$B$204&gt;$B115)*(A_Corridor!$C$5:$C$204&lt;&gt;"")),IF(UPPER(A_Corridor!$C$5:$C$204)="Y",1,"")),"")</f>
        <v/>
      </c>
      <c r="E115" s="181" t="str">
        <f>IFERROR(LOOKUP(2,1/((A_Corridor!$A$5:$A$204&lt;&gt;"")*(A_Corridor!$A$5:$A$204&lt;=$B115)*(A_Corridor!$B$5:$B$204&gt;$B115)*(A_Corridor!$D$5:$D$204&lt;&gt;"")),IF(A_Corridor!$D$5:$D$204="-","",UPPER(A_Corridor!$D$5:$D$204))),"")</f>
        <v/>
      </c>
      <c r="F115" s="181" t="str">
        <f>IFERROR(LOOKUP(2,1/((A_Corridor!$A$5:$A$204&lt;&gt;"")*(A_Corridor!$A$5:$A$204&lt;=$B115)*(A_Corridor!$B$5:$B$204&gt;$B115)*(A_Corridor!$E$5:$E$204&lt;&gt;"")),IF(A_Corridor!$E$5:$E$204="-","",1)),"")</f>
        <v/>
      </c>
      <c r="G115" s="182" t="str">
        <f>IFERROR(LOOKUP(2,1/((A_Corridor!$A$5:$A$204&lt;&gt;"")*(A_Corridor!$A$5:$A$204&lt;=$B115)*(A_Corridor!$B$5:$B$204&gt;$B115)*(A_Corridor!$E$5:$E$204&lt;&gt;"")),IF(A_Corridor!$E$5:$E$204="-","",A_Corridor!$E$5:$E$204)),"")</f>
        <v/>
      </c>
      <c r="H115" s="182" t="str">
        <f>IFERROR(LOOKUP(2,1/((D_Points!$A$5:$A$204&lt;&gt;"")*(D_Points!$A$5:$A$204&gt;=$B115)*(D_Points!$A$5:$A$204&lt;$B115+P_Interval)*(UPPER(TRIM(D_Points!$B$5:$B$204))="GULLY")*(D_Points!$H$5:$H$204&lt;&gt;"")),D_Points!$H$5:$H$204),"")</f>
        <v/>
      </c>
      <c r="I115" s="181" t="str">
        <f>IFERROR(LOOKUP(2,1/((A_Corridor!$A$5:$A$204&lt;&gt;"")*(A_Corridor!$A$5:$A$204&lt;=$B115)*(A_Corridor!$B$5:$B$204&gt;$B115)*(A_Corridor!$F$5:$F$204&lt;&gt;"")),IF(A_Corridor!$F$5:$F$204="-","",1)),"")</f>
        <v/>
      </c>
      <c r="J115" s="182" t="str">
        <f>IFERROR(LOOKUP(2,1/((A_Corridor!$A$5:$A$204&lt;&gt;"")*(A_Corridor!$A$5:$A$204&lt;=$B115)*(A_Corridor!$B$5:$B$204&gt;$B115)*(A_Corridor!$F$5:$F$204&lt;&gt;"")),IF(A_Corridor!$F$5:$F$204="-","",A_Corridor!$F$5:$F$204)),"")</f>
        <v/>
      </c>
      <c r="K115" s="182" t="str">
        <f>IFERROR(LOOKUP(2,1/((A_Corridor!$A$5:$A$204&lt;&gt;"")*(A_Corridor!$A$5:$A$204&lt;=$B115)*(A_Corridor!$B$5:$B$204&gt;$B115)*(A_Corridor!$G$5:$G$204&lt;&gt;"")),IF(A_Corridor!$G$5:$G$204="-","",A_Corridor!$G$5:$G$204)),"")</f>
        <v/>
      </c>
      <c r="L115" s="181" t="str">
        <f>IFERROR(LOOKUP(2,1/((A_Corridor!$A$5:$A$204&lt;&gt;"")*(A_Corridor!$A$5:$A$204&lt;=$B115)*(A_Corridor!$B$5:$B$204&gt;$B115)*(A_Corridor!$H$5:$H$204&lt;&gt;"")),IF(A_Corridor!$H$5:$H$204="-","",1)),"")</f>
        <v/>
      </c>
      <c r="M115" s="182" t="str">
        <f>IFERROR(LOOKUP(2,1/((A_Corridor!$A$5:$A$204&lt;&gt;"")*(A_Corridor!$A$5:$A$204&lt;=$B115)*(A_Corridor!$B$5:$B$204&gt;$B115)*(A_Corridor!$H$5:$H$204&lt;&gt;"")),IF(A_Corridor!$H$5:$H$204="-","",A_Corridor!$H$5:$H$204)),"")</f>
        <v/>
      </c>
      <c r="N115" s="182" t="str">
        <f>IFERROR(LOOKUP(2,1/((A_Corridor!$A$5:$A$204&lt;&gt;"")*(A_Corridor!$A$5:$A$204&lt;=$B115)*(A_Corridor!$B$5:$B$204&gt;$B115)*(A_Corridor!$I$5:$I$204&lt;&gt;"")),IF(A_Corridor!$I$5:$I$204="-","",A_Corridor!$I$5:$I$204)),"")</f>
        <v/>
      </c>
      <c r="O115" s="182" t="str">
        <f>IFERROR(LOOKUP(2,1/((D_Points!$A$5:$A$204&lt;&gt;"")*(D_Points!$A$5:$A$204&gt;=$B115)*(D_Points!$A$5:$A$204&lt;$B115+P_Interval)*(UPPER(TRIM(D_Points!$B$5:$B$204))="PITCHING")*(D_Points!$H$5:$H$204&lt;&gt;"")),D_Points!$H$5:$H$204),"")</f>
        <v/>
      </c>
      <c r="P115" s="181" t="str">
        <f>IFERROR(LOOKUP(2,1/((B_Drainage!$A$5:$A$204&lt;&gt;"")*(B_Drainage!$A$5:$A$204&lt;=$B115)*(B_Drainage!$B$5:$B$204&gt;$B115)*(B_Drainage!$C$5:$C$204&lt;&gt;"")),IF(B_Drainage!$C$5:$C$204="-","",UPPER(B_Drainage!$C$5:$C$204))),"")</f>
        <v/>
      </c>
      <c r="Q115" s="181" t="str">
        <f>IFERROR(LOOKUP(2,1/((B_Drainage!$A$5:$A$204&lt;&gt;"")*(B_Drainage!$A$5:$A$204&lt;=$B115)*(B_Drainage!$B$5:$B$204&gt;$B115)*(B_Drainage!$D$5:$D$204&lt;&gt;"")),IF(B_Drainage!$D$5:$D$204="-","",UPPER(B_Drainage!$D$5:$D$204))),"")</f>
        <v/>
      </c>
      <c r="R115" s="182" t="str">
        <f>IFERROR(LOOKUP(2,1/((D_Points!$A$5:$A$204&lt;&gt;"")*(D_Points!$A$5:$A$204&gt;=$B115)*(D_Points!$A$5:$A$204&lt;$B115+P_Interval)*(RIGHT(UPPER(TRIM(D_Points!$B$5:$B$204)),8)="_CULVERT")),IF(LEFT(UPPER(TRIM(D_Points!$B$5:$B$204)),2)="EX",1,IF(LEFT(UPPER(TRIM(D_Points!$B$5:$B$204)),2)="PR",2,3))),"")</f>
        <v/>
      </c>
      <c r="S115" s="182" t="str">
        <f>IFERROR(LOOKUP(2,1/((D_Points!$A$5:$A$204&lt;&gt;"")*(D_Points!$A$5:$A$204&gt;=$B115)*(D_Points!$A$5:$A$204&lt;$B115+P_Interval)*(RIGHT(UPPER(TRIM(D_Points!$B$5:$B$204)),7)="_BRIDGE")),IF(LEFT(UPPER(TRIM(D_Points!$B$5:$B$204)),2)="EX",1,IF(LEFT(UPPER(TRIM(D_Points!$B$5:$B$204)),2)="PR",2,2))),"")</f>
        <v/>
      </c>
      <c r="T115" s="181" t="str">
        <f>IFERROR(LOOKUP(2,1/((B_Drainage!$A$5:$A$204&lt;&gt;"")*(B_Drainage!$A$5:$A$204&lt;=$B115)*(B_Drainage!$B$5:$B$204&gt;$B115)*(B_Drainage!$E$5:$E$204&lt;&gt;"")),IF(B_Drainage!$E$5:$E$204="-","",1)),"")</f>
        <v/>
      </c>
      <c r="U115" s="181" t="str">
        <f>IFERROR(LOOKUP(2,1/((B_Drainage!$A$5:$A$204&lt;&gt;"")*(B_Drainage!$A$5:$A$204&lt;=$B115)*(B_Drainage!$B$5:$B$204&gt;$B115)*(B_Drainage!$E$5:$E$204&lt;&gt;"")),IF(B_Drainage!$E$5:$E$204="-","",B_Drainage!$E$5:$E$204)),"")</f>
        <v/>
      </c>
      <c r="V115" s="181" t="str">
        <f>IFERROR(LOOKUP(2,1/((B_Drainage!$A$5:$A$204&lt;&gt;"")*(B_Drainage!$A$5:$A$204&lt;=$B115)*(B_Drainage!$B$5:$B$204&gt;$B115)*(B_Drainage!$F$5:$F$204&lt;&gt;"")),IF(B_Drainage!$F$5:$F$204="-","",1)),"")</f>
        <v/>
      </c>
      <c r="W115" s="181" t="str">
        <f>IFERROR(LOOKUP(2,1/((B_Drainage!$A$5:$A$204&lt;&gt;"")*(B_Drainage!$A$5:$A$204&lt;=$B115)*(B_Drainage!$B$5:$B$204&gt;$B115)*(B_Drainage!$F$5:$F$204&lt;&gt;"")),IF(B_Drainage!$F$5:$F$204="-","",B_Drainage!$F$5:$F$204)),"")</f>
        <v/>
      </c>
      <c r="X115" s="181" t="str">
        <f>IFERROR(LOOKUP(2,1/((B_Drainage!$A$5:$A$204&lt;&gt;"")*(B_Drainage!$A$5:$A$204&lt;=$B115)*(B_Drainage!$B$5:$B$204&gt;$B115)*(B_Drainage!$G$5:$G$204&lt;&gt;"")),IF(UPPER(B_Drainage!$G$5:$G$204)="Y",1,"")),"")</f>
        <v/>
      </c>
      <c r="Y115" s="181" t="str">
        <f>IFERROR(LOOKUP(2,1/((B_Drainage!$A$5:$A$204&lt;&gt;"")*(B_Drainage!$A$5:$A$204&lt;=$B115)*(B_Drainage!$B$5:$B$204&gt;$B115)*(B_Drainage!$H$5:$H$204&lt;&gt;"")),IF(UPPER(B_Drainage!$H$5:$H$204)="Y",1,"")),"")</f>
        <v/>
      </c>
      <c r="Z115" s="181" t="str">
        <f>IFERROR(LOOKUP(2,1/((B_Drainage!$A$5:$A$204&lt;&gt;"")*(B_Drainage!$A$5:$A$204&lt;=$B115)*(B_Drainage!$B$5:$B$204&gt;$B115)*(B_Drainage!$I$5:$I$204&lt;&gt;"")),IF(UPPER(B_Drainage!$I$5:$I$204)="Y",1,"")),"")</f>
        <v/>
      </c>
      <c r="AA115" s="181" t="str">
        <f>IFERROR(LOOKUP(2,1/((B_Drainage!$A$5:$A$204&lt;&gt;"")*(B_Drainage!$A$5:$A$204&lt;=$B115)*(B_Drainage!$B$5:$B$204&gt;$B115)*(B_Drainage!$J$5:$J$204&lt;&gt;"")),IF(UPPER(B_Drainage!$J$5:$J$204)="Y",1,"")),"")</f>
        <v/>
      </c>
      <c r="AB115" s="182" t="str">
        <f>IFERROR(LOOKUP(2,1/((B_Drainage!$A$5:$A$204&lt;&gt;"")*(B_Drainage!$A$5:$A$204&lt;=$B115)*(B_Drainage!$B$5:$B$204&gt;$B115)*(B_Drainage!$K$5:$K$204&lt;&gt;"")),IF(B_Drainage!$K$5:$K$204="-","",B_Drainage!$K$5:$K$204)),"")</f>
        <v/>
      </c>
      <c r="AC115" s="182" t="str">
        <f>IFERROR(LOOKUP(2,1/((B_Drainage!$A$5:$A$204&lt;&gt;"")*(B_Drainage!$A$5:$A$204&lt;=$B115)*(B_Drainage!$B$5:$B$204&gt;$B115)*(B_Drainage!$L$5:$L$204&lt;&gt;"")),IF(B_Drainage!$L$5:$L$204="-","",B_Drainage!$L$5:$L$204)),"")</f>
        <v/>
      </c>
      <c r="AD115" s="182" t="str">
        <f>IFERROR(LOOKUP(2,1/((D_Points!$A$5:$A$204&lt;&gt;"")*(D_Points!$A$5:$A$204&gt;=$B115)*(D_Points!$A$5:$A$204&lt;$B115+P_Interval)*(UPPER(TRIM(D_Points!$B$5:$B$204))="TURNOUT_L")*(D_Points!$H$5:$H$204&lt;&gt;"")),D_Points!$H$5:$H$204),"")</f>
        <v/>
      </c>
      <c r="AE115" s="182" t="str">
        <f>IFERROR(LOOKUP(2,1/((D_Points!$A$5:$A$204&lt;&gt;"")*(D_Points!$A$5:$A$204&gt;=$B115)*(D_Points!$A$5:$A$204&lt;$B115+P_Interval)*(UPPER(TRIM(D_Points!$B$5:$B$204))="TURNOUT_R")*(D_Points!$H$5:$H$204&lt;&gt;"")),D_Points!$H$5:$H$204),"")</f>
        <v/>
      </c>
      <c r="AF115" s="181" t="str">
        <f>IFERROR(LOOKUP(2,1/((B_Drainage!$A$5:$A$204&lt;&gt;"")*(B_Drainage!$A$5:$A$204&lt;=$B115)*(B_Drainage!$B$5:$B$204&gt;$B115)*(B_Drainage!$M$5:$M$204&lt;&gt;"")),IF(UPPER(B_Drainage!$M$5:$M$204)="Y",1,"")),"")</f>
        <v/>
      </c>
      <c r="AG115" s="181" t="str">
        <f>IFERROR(LOOKUP(2,1/((B_Drainage!$A$5:$A$204&lt;&gt;"")*(B_Drainage!$A$5:$A$204&lt;=$B115)*(B_Drainage!$B$5:$B$204&gt;$B115)*(B_Drainage!$N$5:$N$204&lt;&gt;"")),IF(UPPER(B_Drainage!$N$5:$N$204)="Y",1,"")),"")</f>
        <v/>
      </c>
      <c r="AH115" s="181" t="str">
        <f t="shared" si="8"/>
        <v/>
      </c>
      <c r="AI115" s="181" t="str">
        <f t="shared" si="9"/>
        <v/>
      </c>
      <c r="AJ115" s="181" t="str">
        <f t="shared" si="10"/>
        <v/>
      </c>
      <c r="AK115" s="181" t="str">
        <f t="shared" si="11"/>
        <v/>
      </c>
      <c r="AL115" s="181" t="str">
        <f t="shared" si="12"/>
        <v/>
      </c>
      <c r="AM115" s="181" t="str">
        <f t="shared" si="13"/>
        <v/>
      </c>
      <c r="AN115" s="181" t="str">
        <f t="shared" si="14"/>
        <v/>
      </c>
      <c r="AO115" s="192" t="str">
        <f t="shared" si="15"/>
        <v/>
      </c>
      <c r="AQ115" t="str">
        <f>IFERROR(LOOKUP(2,1/((C_Pavement!$A$5:$A$204&lt;&gt;"")*(C_Pavement!$A$5:$A$204&lt;=$B115)*(C_Pavement!$B$5:$B$204&gt;$B115)*(C_Pavement!$C$5:$C$204&lt;&gt;"")),ROW(C_Pavement!$C$5:$C$204)-4),"")</f>
        <v/>
      </c>
      <c r="AR115" t="str">
        <f>IF($AQ115="","",UPPER(TRIM(INDEX(C_Pavement!$C$5:$C$204,$AQ115))))</f>
        <v/>
      </c>
      <c r="AS115" t="str">
        <f>IF($AR115="","",IFERROR(MATCH($AR115,E_Rules!$A$5:$A$9,0),""))</f>
        <v/>
      </c>
      <c r="AT115" t="str">
        <f>IF($AQ115="","",IF(INDEX(C_Pavement!$D$5:$D$204,$AQ115)&lt;&gt;"",UPPER(TRIM(INDEX(C_Pavement!$D$5:$D$204,$AQ115))),IF($AS115="","",INDEX(E_Rules!$C$5:$C$9,$AS115))))</f>
        <v/>
      </c>
      <c r="AU115" t="str">
        <f>IF($AQ115="","",IF(INDEX(C_Pavement!$E$5:$E$204,$AQ115)&lt;&gt;"",IF(INDEX(C_Pavement!$E$5:$E$204,$AQ115)="-","",INDEX(C_Pavement!$E$5:$E$204,$AQ115)),IF($AS115="","",INDEX(E_Rules!$D$5:$D$9,$AS115))))</f>
        <v/>
      </c>
      <c r="AV115" t="str">
        <f>IF($AQ115="","",IF(INDEX(C_Pavement!$F$5:$F$204,$AQ115)&lt;&gt;"",IF(INDEX(C_Pavement!$F$5:$F$204,$AQ115)="-","",INDEX(C_Pavement!$F$5:$F$204,$AQ115)),IF($AS115="","",INDEX(E_Rules!$E$5:$E$9,$AS115))))</f>
        <v/>
      </c>
      <c r="AW115" t="str">
        <f>IF($AQ115="","",IF(INDEX(C_Pavement!$G$5:$G$204,$AQ115)&lt;&gt;"",IF(INDEX(C_Pavement!$G$5:$G$204,$AQ115)="-","",INDEX(C_Pavement!$G$5:$G$204,$AQ115)),IF($AS115="","",INDEX(E_Rules!$F$5:$F$9,$AS115))))</f>
        <v/>
      </c>
      <c r="AX115" t="str">
        <f>IF($AQ115="","",IF(INDEX(C_Pavement!$H$5:$H$204,$AQ115)&lt;&gt;"",IF(INDEX(C_Pavement!$H$5:$H$204,$AQ115)="-","",INDEX(C_Pavement!$H$5:$H$204,$AQ115)),IF($AS115="","",INDEX(E_Rules!$G$5:$G$9,$AS115))))</f>
        <v/>
      </c>
      <c r="AY115" t="str">
        <f>IF($AQ115="","",IF(INDEX(C_Pavement!$I$5:$I$204,$AQ115)&lt;&gt;"",IF(INDEX(C_Pavement!$I$5:$I$204,$AQ115)="-","",INDEX(C_Pavement!$I$5:$I$204,$AQ115)),IF($AS115="","",INDEX(E_Rules!$H$5:$H$9,$AS115))))</f>
        <v/>
      </c>
    </row>
    <row r="116" spans="1:51" ht="15.75" customHeight="1" x14ac:dyDescent="0.3">
      <c r="A116" s="189">
        <v>111</v>
      </c>
      <c r="B116" s="180">
        <v>5500</v>
      </c>
      <c r="C116" s="180" t="s">
        <v>422</v>
      </c>
      <c r="D116" s="181" t="str">
        <f>IFERROR(LOOKUP(2,1/((A_Corridor!$A$5:$A$204&lt;&gt;"")*(A_Corridor!$A$5:$A$204&lt;=$B116)*(A_Corridor!$B$5:$B$204&gt;$B116)*(A_Corridor!$C$5:$C$204&lt;&gt;"")),IF(UPPER(A_Corridor!$C$5:$C$204)="Y",1,"")),"")</f>
        <v/>
      </c>
      <c r="E116" s="181" t="str">
        <f>IFERROR(LOOKUP(2,1/((A_Corridor!$A$5:$A$204&lt;&gt;"")*(A_Corridor!$A$5:$A$204&lt;=$B116)*(A_Corridor!$B$5:$B$204&gt;$B116)*(A_Corridor!$D$5:$D$204&lt;&gt;"")),IF(A_Corridor!$D$5:$D$204="-","",UPPER(A_Corridor!$D$5:$D$204))),"")</f>
        <v/>
      </c>
      <c r="F116" s="181" t="str">
        <f>IFERROR(LOOKUP(2,1/((A_Corridor!$A$5:$A$204&lt;&gt;"")*(A_Corridor!$A$5:$A$204&lt;=$B116)*(A_Corridor!$B$5:$B$204&gt;$B116)*(A_Corridor!$E$5:$E$204&lt;&gt;"")),IF(A_Corridor!$E$5:$E$204="-","",1)),"")</f>
        <v/>
      </c>
      <c r="G116" s="182" t="str">
        <f>IFERROR(LOOKUP(2,1/((A_Corridor!$A$5:$A$204&lt;&gt;"")*(A_Corridor!$A$5:$A$204&lt;=$B116)*(A_Corridor!$B$5:$B$204&gt;$B116)*(A_Corridor!$E$5:$E$204&lt;&gt;"")),IF(A_Corridor!$E$5:$E$204="-","",A_Corridor!$E$5:$E$204)),"")</f>
        <v/>
      </c>
      <c r="H116" s="182" t="str">
        <f>IFERROR(LOOKUP(2,1/((D_Points!$A$5:$A$204&lt;&gt;"")*(D_Points!$A$5:$A$204&gt;=$B116)*(D_Points!$A$5:$A$204&lt;$B116+P_Interval)*(UPPER(TRIM(D_Points!$B$5:$B$204))="GULLY")*(D_Points!$H$5:$H$204&lt;&gt;"")),D_Points!$H$5:$H$204),"")</f>
        <v/>
      </c>
      <c r="I116" s="181" t="str">
        <f>IFERROR(LOOKUP(2,1/((A_Corridor!$A$5:$A$204&lt;&gt;"")*(A_Corridor!$A$5:$A$204&lt;=$B116)*(A_Corridor!$B$5:$B$204&gt;$B116)*(A_Corridor!$F$5:$F$204&lt;&gt;"")),IF(A_Corridor!$F$5:$F$204="-","",1)),"")</f>
        <v/>
      </c>
      <c r="J116" s="182" t="str">
        <f>IFERROR(LOOKUP(2,1/((A_Corridor!$A$5:$A$204&lt;&gt;"")*(A_Corridor!$A$5:$A$204&lt;=$B116)*(A_Corridor!$B$5:$B$204&gt;$B116)*(A_Corridor!$F$5:$F$204&lt;&gt;"")),IF(A_Corridor!$F$5:$F$204="-","",A_Corridor!$F$5:$F$204)),"")</f>
        <v/>
      </c>
      <c r="K116" s="182" t="str">
        <f>IFERROR(LOOKUP(2,1/((A_Corridor!$A$5:$A$204&lt;&gt;"")*(A_Corridor!$A$5:$A$204&lt;=$B116)*(A_Corridor!$B$5:$B$204&gt;$B116)*(A_Corridor!$G$5:$G$204&lt;&gt;"")),IF(A_Corridor!$G$5:$G$204="-","",A_Corridor!$G$5:$G$204)),"")</f>
        <v/>
      </c>
      <c r="L116" s="181" t="str">
        <f>IFERROR(LOOKUP(2,1/((A_Corridor!$A$5:$A$204&lt;&gt;"")*(A_Corridor!$A$5:$A$204&lt;=$B116)*(A_Corridor!$B$5:$B$204&gt;$B116)*(A_Corridor!$H$5:$H$204&lt;&gt;"")),IF(A_Corridor!$H$5:$H$204="-","",1)),"")</f>
        <v/>
      </c>
      <c r="M116" s="182" t="str">
        <f>IFERROR(LOOKUP(2,1/((A_Corridor!$A$5:$A$204&lt;&gt;"")*(A_Corridor!$A$5:$A$204&lt;=$B116)*(A_Corridor!$B$5:$B$204&gt;$B116)*(A_Corridor!$H$5:$H$204&lt;&gt;"")),IF(A_Corridor!$H$5:$H$204="-","",A_Corridor!$H$5:$H$204)),"")</f>
        <v/>
      </c>
      <c r="N116" s="182" t="str">
        <f>IFERROR(LOOKUP(2,1/((A_Corridor!$A$5:$A$204&lt;&gt;"")*(A_Corridor!$A$5:$A$204&lt;=$B116)*(A_Corridor!$B$5:$B$204&gt;$B116)*(A_Corridor!$I$5:$I$204&lt;&gt;"")),IF(A_Corridor!$I$5:$I$204="-","",A_Corridor!$I$5:$I$204)),"")</f>
        <v/>
      </c>
      <c r="O116" s="182" t="str">
        <f>IFERROR(LOOKUP(2,1/((D_Points!$A$5:$A$204&lt;&gt;"")*(D_Points!$A$5:$A$204&gt;=$B116)*(D_Points!$A$5:$A$204&lt;$B116+P_Interval)*(UPPER(TRIM(D_Points!$B$5:$B$204))="PITCHING")*(D_Points!$H$5:$H$204&lt;&gt;"")),D_Points!$H$5:$H$204),"")</f>
        <v/>
      </c>
      <c r="P116" s="181" t="str">
        <f>IFERROR(LOOKUP(2,1/((B_Drainage!$A$5:$A$204&lt;&gt;"")*(B_Drainage!$A$5:$A$204&lt;=$B116)*(B_Drainage!$B$5:$B$204&gt;$B116)*(B_Drainage!$C$5:$C$204&lt;&gt;"")),IF(B_Drainage!$C$5:$C$204="-","",UPPER(B_Drainage!$C$5:$C$204))),"")</f>
        <v/>
      </c>
      <c r="Q116" s="181" t="str">
        <f>IFERROR(LOOKUP(2,1/((B_Drainage!$A$5:$A$204&lt;&gt;"")*(B_Drainage!$A$5:$A$204&lt;=$B116)*(B_Drainage!$B$5:$B$204&gt;$B116)*(B_Drainage!$D$5:$D$204&lt;&gt;"")),IF(B_Drainage!$D$5:$D$204="-","",UPPER(B_Drainage!$D$5:$D$204))),"")</f>
        <v/>
      </c>
      <c r="R116" s="182" t="str">
        <f>IFERROR(LOOKUP(2,1/((D_Points!$A$5:$A$204&lt;&gt;"")*(D_Points!$A$5:$A$204&gt;=$B116)*(D_Points!$A$5:$A$204&lt;$B116+P_Interval)*(RIGHT(UPPER(TRIM(D_Points!$B$5:$B$204)),8)="_CULVERT")),IF(LEFT(UPPER(TRIM(D_Points!$B$5:$B$204)),2)="EX",1,IF(LEFT(UPPER(TRIM(D_Points!$B$5:$B$204)),2)="PR",2,3))),"")</f>
        <v/>
      </c>
      <c r="S116" s="182" t="str">
        <f>IFERROR(LOOKUP(2,1/((D_Points!$A$5:$A$204&lt;&gt;"")*(D_Points!$A$5:$A$204&gt;=$B116)*(D_Points!$A$5:$A$204&lt;$B116+P_Interval)*(RIGHT(UPPER(TRIM(D_Points!$B$5:$B$204)),7)="_BRIDGE")),IF(LEFT(UPPER(TRIM(D_Points!$B$5:$B$204)),2)="EX",1,IF(LEFT(UPPER(TRIM(D_Points!$B$5:$B$204)),2)="PR",2,2))),"")</f>
        <v/>
      </c>
      <c r="T116" s="181" t="str">
        <f>IFERROR(LOOKUP(2,1/((B_Drainage!$A$5:$A$204&lt;&gt;"")*(B_Drainage!$A$5:$A$204&lt;=$B116)*(B_Drainage!$B$5:$B$204&gt;$B116)*(B_Drainage!$E$5:$E$204&lt;&gt;"")),IF(B_Drainage!$E$5:$E$204="-","",1)),"")</f>
        <v/>
      </c>
      <c r="U116" s="181" t="str">
        <f>IFERROR(LOOKUP(2,1/((B_Drainage!$A$5:$A$204&lt;&gt;"")*(B_Drainage!$A$5:$A$204&lt;=$B116)*(B_Drainage!$B$5:$B$204&gt;$B116)*(B_Drainage!$E$5:$E$204&lt;&gt;"")),IF(B_Drainage!$E$5:$E$204="-","",B_Drainage!$E$5:$E$204)),"")</f>
        <v/>
      </c>
      <c r="V116" s="181" t="str">
        <f>IFERROR(LOOKUP(2,1/((B_Drainage!$A$5:$A$204&lt;&gt;"")*(B_Drainage!$A$5:$A$204&lt;=$B116)*(B_Drainage!$B$5:$B$204&gt;$B116)*(B_Drainage!$F$5:$F$204&lt;&gt;"")),IF(B_Drainage!$F$5:$F$204="-","",1)),"")</f>
        <v/>
      </c>
      <c r="W116" s="181" t="str">
        <f>IFERROR(LOOKUP(2,1/((B_Drainage!$A$5:$A$204&lt;&gt;"")*(B_Drainage!$A$5:$A$204&lt;=$B116)*(B_Drainage!$B$5:$B$204&gt;$B116)*(B_Drainage!$F$5:$F$204&lt;&gt;"")),IF(B_Drainage!$F$5:$F$204="-","",B_Drainage!$F$5:$F$204)),"")</f>
        <v/>
      </c>
      <c r="X116" s="181" t="str">
        <f>IFERROR(LOOKUP(2,1/((B_Drainage!$A$5:$A$204&lt;&gt;"")*(B_Drainage!$A$5:$A$204&lt;=$B116)*(B_Drainage!$B$5:$B$204&gt;$B116)*(B_Drainage!$G$5:$G$204&lt;&gt;"")),IF(UPPER(B_Drainage!$G$5:$G$204)="Y",1,"")),"")</f>
        <v/>
      </c>
      <c r="Y116" s="181" t="str">
        <f>IFERROR(LOOKUP(2,1/((B_Drainage!$A$5:$A$204&lt;&gt;"")*(B_Drainage!$A$5:$A$204&lt;=$B116)*(B_Drainage!$B$5:$B$204&gt;$B116)*(B_Drainage!$H$5:$H$204&lt;&gt;"")),IF(UPPER(B_Drainage!$H$5:$H$204)="Y",1,"")),"")</f>
        <v/>
      </c>
      <c r="Z116" s="181" t="str">
        <f>IFERROR(LOOKUP(2,1/((B_Drainage!$A$5:$A$204&lt;&gt;"")*(B_Drainage!$A$5:$A$204&lt;=$B116)*(B_Drainage!$B$5:$B$204&gt;$B116)*(B_Drainage!$I$5:$I$204&lt;&gt;"")),IF(UPPER(B_Drainage!$I$5:$I$204)="Y",1,"")),"")</f>
        <v/>
      </c>
      <c r="AA116" s="181" t="str">
        <f>IFERROR(LOOKUP(2,1/((B_Drainage!$A$5:$A$204&lt;&gt;"")*(B_Drainage!$A$5:$A$204&lt;=$B116)*(B_Drainage!$B$5:$B$204&gt;$B116)*(B_Drainage!$J$5:$J$204&lt;&gt;"")),IF(UPPER(B_Drainage!$J$5:$J$204)="Y",1,"")),"")</f>
        <v/>
      </c>
      <c r="AB116" s="182" t="str">
        <f>IFERROR(LOOKUP(2,1/((B_Drainage!$A$5:$A$204&lt;&gt;"")*(B_Drainage!$A$5:$A$204&lt;=$B116)*(B_Drainage!$B$5:$B$204&gt;$B116)*(B_Drainage!$K$5:$K$204&lt;&gt;"")),IF(B_Drainage!$K$5:$K$204="-","",B_Drainage!$K$5:$K$204)),"")</f>
        <v/>
      </c>
      <c r="AC116" s="182" t="str">
        <f>IFERROR(LOOKUP(2,1/((B_Drainage!$A$5:$A$204&lt;&gt;"")*(B_Drainage!$A$5:$A$204&lt;=$B116)*(B_Drainage!$B$5:$B$204&gt;$B116)*(B_Drainage!$L$5:$L$204&lt;&gt;"")),IF(B_Drainage!$L$5:$L$204="-","",B_Drainage!$L$5:$L$204)),"")</f>
        <v/>
      </c>
      <c r="AD116" s="182" t="str">
        <f>IFERROR(LOOKUP(2,1/((D_Points!$A$5:$A$204&lt;&gt;"")*(D_Points!$A$5:$A$204&gt;=$B116)*(D_Points!$A$5:$A$204&lt;$B116+P_Interval)*(UPPER(TRIM(D_Points!$B$5:$B$204))="TURNOUT_L")*(D_Points!$H$5:$H$204&lt;&gt;"")),D_Points!$H$5:$H$204),"")</f>
        <v/>
      </c>
      <c r="AE116" s="182" t="str">
        <f>IFERROR(LOOKUP(2,1/((D_Points!$A$5:$A$204&lt;&gt;"")*(D_Points!$A$5:$A$204&gt;=$B116)*(D_Points!$A$5:$A$204&lt;$B116+P_Interval)*(UPPER(TRIM(D_Points!$B$5:$B$204))="TURNOUT_R")*(D_Points!$H$5:$H$204&lt;&gt;"")),D_Points!$H$5:$H$204),"")</f>
        <v/>
      </c>
      <c r="AF116" s="181" t="str">
        <f>IFERROR(LOOKUP(2,1/((B_Drainage!$A$5:$A$204&lt;&gt;"")*(B_Drainage!$A$5:$A$204&lt;=$B116)*(B_Drainage!$B$5:$B$204&gt;$B116)*(B_Drainage!$M$5:$M$204&lt;&gt;"")),IF(UPPER(B_Drainage!$M$5:$M$204)="Y",1,"")),"")</f>
        <v/>
      </c>
      <c r="AG116" s="181" t="str">
        <f>IFERROR(LOOKUP(2,1/((B_Drainage!$A$5:$A$204&lt;&gt;"")*(B_Drainage!$A$5:$A$204&lt;=$B116)*(B_Drainage!$B$5:$B$204&gt;$B116)*(B_Drainage!$N$5:$N$204&lt;&gt;"")),IF(UPPER(B_Drainage!$N$5:$N$204)="Y",1,"")),"")</f>
        <v/>
      </c>
      <c r="AH116" s="181" t="str">
        <f t="shared" si="8"/>
        <v/>
      </c>
      <c r="AI116" s="181" t="str">
        <f t="shared" si="9"/>
        <v/>
      </c>
      <c r="AJ116" s="181" t="str">
        <f t="shared" si="10"/>
        <v/>
      </c>
      <c r="AK116" s="181" t="str">
        <f t="shared" si="11"/>
        <v/>
      </c>
      <c r="AL116" s="181" t="str">
        <f t="shared" si="12"/>
        <v/>
      </c>
      <c r="AM116" s="181" t="str">
        <f t="shared" si="13"/>
        <v/>
      </c>
      <c r="AN116" s="181" t="str">
        <f t="shared" si="14"/>
        <v/>
      </c>
      <c r="AO116" s="192" t="str">
        <f t="shared" si="15"/>
        <v/>
      </c>
      <c r="AQ116" t="str">
        <f>IFERROR(LOOKUP(2,1/((C_Pavement!$A$5:$A$204&lt;&gt;"")*(C_Pavement!$A$5:$A$204&lt;=$B116)*(C_Pavement!$B$5:$B$204&gt;$B116)*(C_Pavement!$C$5:$C$204&lt;&gt;"")),ROW(C_Pavement!$C$5:$C$204)-4),"")</f>
        <v/>
      </c>
      <c r="AR116" t="str">
        <f>IF($AQ116="","",UPPER(TRIM(INDEX(C_Pavement!$C$5:$C$204,$AQ116))))</f>
        <v/>
      </c>
      <c r="AS116" t="str">
        <f>IF($AR116="","",IFERROR(MATCH($AR116,E_Rules!$A$5:$A$9,0),""))</f>
        <v/>
      </c>
      <c r="AT116" t="str">
        <f>IF($AQ116="","",IF(INDEX(C_Pavement!$D$5:$D$204,$AQ116)&lt;&gt;"",UPPER(TRIM(INDEX(C_Pavement!$D$5:$D$204,$AQ116))),IF($AS116="","",INDEX(E_Rules!$C$5:$C$9,$AS116))))</f>
        <v/>
      </c>
      <c r="AU116" t="str">
        <f>IF($AQ116="","",IF(INDEX(C_Pavement!$E$5:$E$204,$AQ116)&lt;&gt;"",IF(INDEX(C_Pavement!$E$5:$E$204,$AQ116)="-","",INDEX(C_Pavement!$E$5:$E$204,$AQ116)),IF($AS116="","",INDEX(E_Rules!$D$5:$D$9,$AS116))))</f>
        <v/>
      </c>
      <c r="AV116" t="str">
        <f>IF($AQ116="","",IF(INDEX(C_Pavement!$F$5:$F$204,$AQ116)&lt;&gt;"",IF(INDEX(C_Pavement!$F$5:$F$204,$AQ116)="-","",INDEX(C_Pavement!$F$5:$F$204,$AQ116)),IF($AS116="","",INDEX(E_Rules!$E$5:$E$9,$AS116))))</f>
        <v/>
      </c>
      <c r="AW116" t="str">
        <f>IF($AQ116="","",IF(INDEX(C_Pavement!$G$5:$G$204,$AQ116)&lt;&gt;"",IF(INDEX(C_Pavement!$G$5:$G$204,$AQ116)="-","",INDEX(C_Pavement!$G$5:$G$204,$AQ116)),IF($AS116="","",INDEX(E_Rules!$F$5:$F$9,$AS116))))</f>
        <v/>
      </c>
      <c r="AX116" t="str">
        <f>IF($AQ116="","",IF(INDEX(C_Pavement!$H$5:$H$204,$AQ116)&lt;&gt;"",IF(INDEX(C_Pavement!$H$5:$H$204,$AQ116)="-","",INDEX(C_Pavement!$H$5:$H$204,$AQ116)),IF($AS116="","",INDEX(E_Rules!$G$5:$G$9,$AS116))))</f>
        <v/>
      </c>
      <c r="AY116" t="str">
        <f>IF($AQ116="","",IF(INDEX(C_Pavement!$I$5:$I$204,$AQ116)&lt;&gt;"",IF(INDEX(C_Pavement!$I$5:$I$204,$AQ116)="-","",INDEX(C_Pavement!$I$5:$I$204,$AQ116)),IF($AS116="","",INDEX(E_Rules!$H$5:$H$9,$AS116))))</f>
        <v/>
      </c>
    </row>
    <row r="117" spans="1:51" ht="15.75" customHeight="1" x14ac:dyDescent="0.3">
      <c r="A117" s="189">
        <v>112</v>
      </c>
      <c r="B117" s="180">
        <v>5550</v>
      </c>
      <c r="C117" s="180" t="s">
        <v>423</v>
      </c>
      <c r="D117" s="181" t="str">
        <f>IFERROR(LOOKUP(2,1/((A_Corridor!$A$5:$A$204&lt;&gt;"")*(A_Corridor!$A$5:$A$204&lt;=$B117)*(A_Corridor!$B$5:$B$204&gt;$B117)*(A_Corridor!$C$5:$C$204&lt;&gt;"")),IF(UPPER(A_Corridor!$C$5:$C$204)="Y",1,"")),"")</f>
        <v/>
      </c>
      <c r="E117" s="181" t="str">
        <f>IFERROR(LOOKUP(2,1/((A_Corridor!$A$5:$A$204&lt;&gt;"")*(A_Corridor!$A$5:$A$204&lt;=$B117)*(A_Corridor!$B$5:$B$204&gt;$B117)*(A_Corridor!$D$5:$D$204&lt;&gt;"")),IF(A_Corridor!$D$5:$D$204="-","",UPPER(A_Corridor!$D$5:$D$204))),"")</f>
        <v/>
      </c>
      <c r="F117" s="181" t="str">
        <f>IFERROR(LOOKUP(2,1/((A_Corridor!$A$5:$A$204&lt;&gt;"")*(A_Corridor!$A$5:$A$204&lt;=$B117)*(A_Corridor!$B$5:$B$204&gt;$B117)*(A_Corridor!$E$5:$E$204&lt;&gt;"")),IF(A_Corridor!$E$5:$E$204="-","",1)),"")</f>
        <v/>
      </c>
      <c r="G117" s="182" t="str">
        <f>IFERROR(LOOKUP(2,1/((A_Corridor!$A$5:$A$204&lt;&gt;"")*(A_Corridor!$A$5:$A$204&lt;=$B117)*(A_Corridor!$B$5:$B$204&gt;$B117)*(A_Corridor!$E$5:$E$204&lt;&gt;"")),IF(A_Corridor!$E$5:$E$204="-","",A_Corridor!$E$5:$E$204)),"")</f>
        <v/>
      </c>
      <c r="H117" s="182" t="str">
        <f>IFERROR(LOOKUP(2,1/((D_Points!$A$5:$A$204&lt;&gt;"")*(D_Points!$A$5:$A$204&gt;=$B117)*(D_Points!$A$5:$A$204&lt;$B117+P_Interval)*(UPPER(TRIM(D_Points!$B$5:$B$204))="GULLY")*(D_Points!$H$5:$H$204&lt;&gt;"")),D_Points!$H$5:$H$204),"")</f>
        <v/>
      </c>
      <c r="I117" s="181" t="str">
        <f>IFERROR(LOOKUP(2,1/((A_Corridor!$A$5:$A$204&lt;&gt;"")*(A_Corridor!$A$5:$A$204&lt;=$B117)*(A_Corridor!$B$5:$B$204&gt;$B117)*(A_Corridor!$F$5:$F$204&lt;&gt;"")),IF(A_Corridor!$F$5:$F$204="-","",1)),"")</f>
        <v/>
      </c>
      <c r="J117" s="182" t="str">
        <f>IFERROR(LOOKUP(2,1/((A_Corridor!$A$5:$A$204&lt;&gt;"")*(A_Corridor!$A$5:$A$204&lt;=$B117)*(A_Corridor!$B$5:$B$204&gt;$B117)*(A_Corridor!$F$5:$F$204&lt;&gt;"")),IF(A_Corridor!$F$5:$F$204="-","",A_Corridor!$F$5:$F$204)),"")</f>
        <v/>
      </c>
      <c r="K117" s="182" t="str">
        <f>IFERROR(LOOKUP(2,1/((A_Corridor!$A$5:$A$204&lt;&gt;"")*(A_Corridor!$A$5:$A$204&lt;=$B117)*(A_Corridor!$B$5:$B$204&gt;$B117)*(A_Corridor!$G$5:$G$204&lt;&gt;"")),IF(A_Corridor!$G$5:$G$204="-","",A_Corridor!$G$5:$G$204)),"")</f>
        <v/>
      </c>
      <c r="L117" s="181" t="str">
        <f>IFERROR(LOOKUP(2,1/((A_Corridor!$A$5:$A$204&lt;&gt;"")*(A_Corridor!$A$5:$A$204&lt;=$B117)*(A_Corridor!$B$5:$B$204&gt;$B117)*(A_Corridor!$H$5:$H$204&lt;&gt;"")),IF(A_Corridor!$H$5:$H$204="-","",1)),"")</f>
        <v/>
      </c>
      <c r="M117" s="182" t="str">
        <f>IFERROR(LOOKUP(2,1/((A_Corridor!$A$5:$A$204&lt;&gt;"")*(A_Corridor!$A$5:$A$204&lt;=$B117)*(A_Corridor!$B$5:$B$204&gt;$B117)*(A_Corridor!$H$5:$H$204&lt;&gt;"")),IF(A_Corridor!$H$5:$H$204="-","",A_Corridor!$H$5:$H$204)),"")</f>
        <v/>
      </c>
      <c r="N117" s="182" t="str">
        <f>IFERROR(LOOKUP(2,1/((A_Corridor!$A$5:$A$204&lt;&gt;"")*(A_Corridor!$A$5:$A$204&lt;=$B117)*(A_Corridor!$B$5:$B$204&gt;$B117)*(A_Corridor!$I$5:$I$204&lt;&gt;"")),IF(A_Corridor!$I$5:$I$204="-","",A_Corridor!$I$5:$I$204)),"")</f>
        <v/>
      </c>
      <c r="O117" s="182" t="str">
        <f>IFERROR(LOOKUP(2,1/((D_Points!$A$5:$A$204&lt;&gt;"")*(D_Points!$A$5:$A$204&gt;=$B117)*(D_Points!$A$5:$A$204&lt;$B117+P_Interval)*(UPPER(TRIM(D_Points!$B$5:$B$204))="PITCHING")*(D_Points!$H$5:$H$204&lt;&gt;"")),D_Points!$H$5:$H$204),"")</f>
        <v/>
      </c>
      <c r="P117" s="181" t="str">
        <f>IFERROR(LOOKUP(2,1/((B_Drainage!$A$5:$A$204&lt;&gt;"")*(B_Drainage!$A$5:$A$204&lt;=$B117)*(B_Drainage!$B$5:$B$204&gt;$B117)*(B_Drainage!$C$5:$C$204&lt;&gt;"")),IF(B_Drainage!$C$5:$C$204="-","",UPPER(B_Drainage!$C$5:$C$204))),"")</f>
        <v/>
      </c>
      <c r="Q117" s="181" t="str">
        <f>IFERROR(LOOKUP(2,1/((B_Drainage!$A$5:$A$204&lt;&gt;"")*(B_Drainage!$A$5:$A$204&lt;=$B117)*(B_Drainage!$B$5:$B$204&gt;$B117)*(B_Drainage!$D$5:$D$204&lt;&gt;"")),IF(B_Drainage!$D$5:$D$204="-","",UPPER(B_Drainage!$D$5:$D$204))),"")</f>
        <v/>
      </c>
      <c r="R117" s="182" t="str">
        <f>IFERROR(LOOKUP(2,1/((D_Points!$A$5:$A$204&lt;&gt;"")*(D_Points!$A$5:$A$204&gt;=$B117)*(D_Points!$A$5:$A$204&lt;$B117+P_Interval)*(RIGHT(UPPER(TRIM(D_Points!$B$5:$B$204)),8)="_CULVERT")),IF(LEFT(UPPER(TRIM(D_Points!$B$5:$B$204)),2)="EX",1,IF(LEFT(UPPER(TRIM(D_Points!$B$5:$B$204)),2)="PR",2,3))),"")</f>
        <v/>
      </c>
      <c r="S117" s="182" t="str">
        <f>IFERROR(LOOKUP(2,1/((D_Points!$A$5:$A$204&lt;&gt;"")*(D_Points!$A$5:$A$204&gt;=$B117)*(D_Points!$A$5:$A$204&lt;$B117+P_Interval)*(RIGHT(UPPER(TRIM(D_Points!$B$5:$B$204)),7)="_BRIDGE")),IF(LEFT(UPPER(TRIM(D_Points!$B$5:$B$204)),2)="EX",1,IF(LEFT(UPPER(TRIM(D_Points!$B$5:$B$204)),2)="PR",2,2))),"")</f>
        <v/>
      </c>
      <c r="T117" s="181" t="str">
        <f>IFERROR(LOOKUP(2,1/((B_Drainage!$A$5:$A$204&lt;&gt;"")*(B_Drainage!$A$5:$A$204&lt;=$B117)*(B_Drainage!$B$5:$B$204&gt;$B117)*(B_Drainage!$E$5:$E$204&lt;&gt;"")),IF(B_Drainage!$E$5:$E$204="-","",1)),"")</f>
        <v/>
      </c>
      <c r="U117" s="181" t="str">
        <f>IFERROR(LOOKUP(2,1/((B_Drainage!$A$5:$A$204&lt;&gt;"")*(B_Drainage!$A$5:$A$204&lt;=$B117)*(B_Drainage!$B$5:$B$204&gt;$B117)*(B_Drainage!$E$5:$E$204&lt;&gt;"")),IF(B_Drainage!$E$5:$E$204="-","",B_Drainage!$E$5:$E$204)),"")</f>
        <v/>
      </c>
      <c r="V117" s="181" t="str">
        <f>IFERROR(LOOKUP(2,1/((B_Drainage!$A$5:$A$204&lt;&gt;"")*(B_Drainage!$A$5:$A$204&lt;=$B117)*(B_Drainage!$B$5:$B$204&gt;$B117)*(B_Drainage!$F$5:$F$204&lt;&gt;"")),IF(B_Drainage!$F$5:$F$204="-","",1)),"")</f>
        <v/>
      </c>
      <c r="W117" s="181" t="str">
        <f>IFERROR(LOOKUP(2,1/((B_Drainage!$A$5:$A$204&lt;&gt;"")*(B_Drainage!$A$5:$A$204&lt;=$B117)*(B_Drainage!$B$5:$B$204&gt;$B117)*(B_Drainage!$F$5:$F$204&lt;&gt;"")),IF(B_Drainage!$F$5:$F$204="-","",B_Drainage!$F$5:$F$204)),"")</f>
        <v/>
      </c>
      <c r="X117" s="181" t="str">
        <f>IFERROR(LOOKUP(2,1/((B_Drainage!$A$5:$A$204&lt;&gt;"")*(B_Drainage!$A$5:$A$204&lt;=$B117)*(B_Drainage!$B$5:$B$204&gt;$B117)*(B_Drainage!$G$5:$G$204&lt;&gt;"")),IF(UPPER(B_Drainage!$G$5:$G$204)="Y",1,"")),"")</f>
        <v/>
      </c>
      <c r="Y117" s="181" t="str">
        <f>IFERROR(LOOKUP(2,1/((B_Drainage!$A$5:$A$204&lt;&gt;"")*(B_Drainage!$A$5:$A$204&lt;=$B117)*(B_Drainage!$B$5:$B$204&gt;$B117)*(B_Drainage!$H$5:$H$204&lt;&gt;"")),IF(UPPER(B_Drainage!$H$5:$H$204)="Y",1,"")),"")</f>
        <v/>
      </c>
      <c r="Z117" s="181" t="str">
        <f>IFERROR(LOOKUP(2,1/((B_Drainage!$A$5:$A$204&lt;&gt;"")*(B_Drainage!$A$5:$A$204&lt;=$B117)*(B_Drainage!$B$5:$B$204&gt;$B117)*(B_Drainage!$I$5:$I$204&lt;&gt;"")),IF(UPPER(B_Drainage!$I$5:$I$204)="Y",1,"")),"")</f>
        <v/>
      </c>
      <c r="AA117" s="181" t="str">
        <f>IFERROR(LOOKUP(2,1/((B_Drainage!$A$5:$A$204&lt;&gt;"")*(B_Drainage!$A$5:$A$204&lt;=$B117)*(B_Drainage!$B$5:$B$204&gt;$B117)*(B_Drainage!$J$5:$J$204&lt;&gt;"")),IF(UPPER(B_Drainage!$J$5:$J$204)="Y",1,"")),"")</f>
        <v/>
      </c>
      <c r="AB117" s="182" t="str">
        <f>IFERROR(LOOKUP(2,1/((B_Drainage!$A$5:$A$204&lt;&gt;"")*(B_Drainage!$A$5:$A$204&lt;=$B117)*(B_Drainage!$B$5:$B$204&gt;$B117)*(B_Drainage!$K$5:$K$204&lt;&gt;"")),IF(B_Drainage!$K$5:$K$204="-","",B_Drainage!$K$5:$K$204)),"")</f>
        <v/>
      </c>
      <c r="AC117" s="182" t="str">
        <f>IFERROR(LOOKUP(2,1/((B_Drainage!$A$5:$A$204&lt;&gt;"")*(B_Drainage!$A$5:$A$204&lt;=$B117)*(B_Drainage!$B$5:$B$204&gt;$B117)*(B_Drainage!$L$5:$L$204&lt;&gt;"")),IF(B_Drainage!$L$5:$L$204="-","",B_Drainage!$L$5:$L$204)),"")</f>
        <v/>
      </c>
      <c r="AD117" s="182" t="str">
        <f>IFERROR(LOOKUP(2,1/((D_Points!$A$5:$A$204&lt;&gt;"")*(D_Points!$A$5:$A$204&gt;=$B117)*(D_Points!$A$5:$A$204&lt;$B117+P_Interval)*(UPPER(TRIM(D_Points!$B$5:$B$204))="TURNOUT_L")*(D_Points!$H$5:$H$204&lt;&gt;"")),D_Points!$H$5:$H$204),"")</f>
        <v/>
      </c>
      <c r="AE117" s="182" t="str">
        <f>IFERROR(LOOKUP(2,1/((D_Points!$A$5:$A$204&lt;&gt;"")*(D_Points!$A$5:$A$204&gt;=$B117)*(D_Points!$A$5:$A$204&lt;$B117+P_Interval)*(UPPER(TRIM(D_Points!$B$5:$B$204))="TURNOUT_R")*(D_Points!$H$5:$H$204&lt;&gt;"")),D_Points!$H$5:$H$204),"")</f>
        <v/>
      </c>
      <c r="AF117" s="181" t="str">
        <f>IFERROR(LOOKUP(2,1/((B_Drainage!$A$5:$A$204&lt;&gt;"")*(B_Drainage!$A$5:$A$204&lt;=$B117)*(B_Drainage!$B$5:$B$204&gt;$B117)*(B_Drainage!$M$5:$M$204&lt;&gt;"")),IF(UPPER(B_Drainage!$M$5:$M$204)="Y",1,"")),"")</f>
        <v/>
      </c>
      <c r="AG117" s="181" t="str">
        <f>IFERROR(LOOKUP(2,1/((B_Drainage!$A$5:$A$204&lt;&gt;"")*(B_Drainage!$A$5:$A$204&lt;=$B117)*(B_Drainage!$B$5:$B$204&gt;$B117)*(B_Drainage!$N$5:$N$204&lt;&gt;"")),IF(UPPER(B_Drainage!$N$5:$N$204)="Y",1,"")),"")</f>
        <v/>
      </c>
      <c r="AH117" s="181" t="str">
        <f t="shared" si="8"/>
        <v/>
      </c>
      <c r="AI117" s="181" t="str">
        <f t="shared" si="9"/>
        <v/>
      </c>
      <c r="AJ117" s="181" t="str">
        <f t="shared" si="10"/>
        <v/>
      </c>
      <c r="AK117" s="181" t="str">
        <f t="shared" si="11"/>
        <v/>
      </c>
      <c r="AL117" s="181" t="str">
        <f t="shared" si="12"/>
        <v/>
      </c>
      <c r="AM117" s="181" t="str">
        <f t="shared" si="13"/>
        <v/>
      </c>
      <c r="AN117" s="181" t="str">
        <f t="shared" si="14"/>
        <v/>
      </c>
      <c r="AO117" s="192" t="str">
        <f t="shared" si="15"/>
        <v/>
      </c>
      <c r="AQ117" t="str">
        <f>IFERROR(LOOKUP(2,1/((C_Pavement!$A$5:$A$204&lt;&gt;"")*(C_Pavement!$A$5:$A$204&lt;=$B117)*(C_Pavement!$B$5:$B$204&gt;$B117)*(C_Pavement!$C$5:$C$204&lt;&gt;"")),ROW(C_Pavement!$C$5:$C$204)-4),"")</f>
        <v/>
      </c>
      <c r="AR117" t="str">
        <f>IF($AQ117="","",UPPER(TRIM(INDEX(C_Pavement!$C$5:$C$204,$AQ117))))</f>
        <v/>
      </c>
      <c r="AS117" t="str">
        <f>IF($AR117="","",IFERROR(MATCH($AR117,E_Rules!$A$5:$A$9,0),""))</f>
        <v/>
      </c>
      <c r="AT117" t="str">
        <f>IF($AQ117="","",IF(INDEX(C_Pavement!$D$5:$D$204,$AQ117)&lt;&gt;"",UPPER(TRIM(INDEX(C_Pavement!$D$5:$D$204,$AQ117))),IF($AS117="","",INDEX(E_Rules!$C$5:$C$9,$AS117))))</f>
        <v/>
      </c>
      <c r="AU117" t="str">
        <f>IF($AQ117="","",IF(INDEX(C_Pavement!$E$5:$E$204,$AQ117)&lt;&gt;"",IF(INDEX(C_Pavement!$E$5:$E$204,$AQ117)="-","",INDEX(C_Pavement!$E$5:$E$204,$AQ117)),IF($AS117="","",INDEX(E_Rules!$D$5:$D$9,$AS117))))</f>
        <v/>
      </c>
      <c r="AV117" t="str">
        <f>IF($AQ117="","",IF(INDEX(C_Pavement!$F$5:$F$204,$AQ117)&lt;&gt;"",IF(INDEX(C_Pavement!$F$5:$F$204,$AQ117)="-","",INDEX(C_Pavement!$F$5:$F$204,$AQ117)),IF($AS117="","",INDEX(E_Rules!$E$5:$E$9,$AS117))))</f>
        <v/>
      </c>
      <c r="AW117" t="str">
        <f>IF($AQ117="","",IF(INDEX(C_Pavement!$G$5:$G$204,$AQ117)&lt;&gt;"",IF(INDEX(C_Pavement!$G$5:$G$204,$AQ117)="-","",INDEX(C_Pavement!$G$5:$G$204,$AQ117)),IF($AS117="","",INDEX(E_Rules!$F$5:$F$9,$AS117))))</f>
        <v/>
      </c>
      <c r="AX117" t="str">
        <f>IF($AQ117="","",IF(INDEX(C_Pavement!$H$5:$H$204,$AQ117)&lt;&gt;"",IF(INDEX(C_Pavement!$H$5:$H$204,$AQ117)="-","",INDEX(C_Pavement!$H$5:$H$204,$AQ117)),IF($AS117="","",INDEX(E_Rules!$G$5:$G$9,$AS117))))</f>
        <v/>
      </c>
      <c r="AY117" t="str">
        <f>IF($AQ117="","",IF(INDEX(C_Pavement!$I$5:$I$204,$AQ117)&lt;&gt;"",IF(INDEX(C_Pavement!$I$5:$I$204,$AQ117)="-","",INDEX(C_Pavement!$I$5:$I$204,$AQ117)),IF($AS117="","",INDEX(E_Rules!$H$5:$H$9,$AS117))))</f>
        <v/>
      </c>
    </row>
    <row r="118" spans="1:51" ht="15.75" customHeight="1" x14ac:dyDescent="0.3">
      <c r="A118" s="189">
        <v>113</v>
      </c>
      <c r="B118" s="180">
        <v>5600</v>
      </c>
      <c r="C118" s="180" t="s">
        <v>424</v>
      </c>
      <c r="D118" s="181" t="str">
        <f>IFERROR(LOOKUP(2,1/((A_Corridor!$A$5:$A$204&lt;&gt;"")*(A_Corridor!$A$5:$A$204&lt;=$B118)*(A_Corridor!$B$5:$B$204&gt;$B118)*(A_Corridor!$C$5:$C$204&lt;&gt;"")),IF(UPPER(A_Corridor!$C$5:$C$204)="Y",1,"")),"")</f>
        <v/>
      </c>
      <c r="E118" s="181" t="str">
        <f>IFERROR(LOOKUP(2,1/((A_Corridor!$A$5:$A$204&lt;&gt;"")*(A_Corridor!$A$5:$A$204&lt;=$B118)*(A_Corridor!$B$5:$B$204&gt;$B118)*(A_Corridor!$D$5:$D$204&lt;&gt;"")),IF(A_Corridor!$D$5:$D$204="-","",UPPER(A_Corridor!$D$5:$D$204))),"")</f>
        <v/>
      </c>
      <c r="F118" s="181" t="str">
        <f>IFERROR(LOOKUP(2,1/((A_Corridor!$A$5:$A$204&lt;&gt;"")*(A_Corridor!$A$5:$A$204&lt;=$B118)*(A_Corridor!$B$5:$B$204&gt;$B118)*(A_Corridor!$E$5:$E$204&lt;&gt;"")),IF(A_Corridor!$E$5:$E$204="-","",1)),"")</f>
        <v/>
      </c>
      <c r="G118" s="182" t="str">
        <f>IFERROR(LOOKUP(2,1/((A_Corridor!$A$5:$A$204&lt;&gt;"")*(A_Corridor!$A$5:$A$204&lt;=$B118)*(A_Corridor!$B$5:$B$204&gt;$B118)*(A_Corridor!$E$5:$E$204&lt;&gt;"")),IF(A_Corridor!$E$5:$E$204="-","",A_Corridor!$E$5:$E$204)),"")</f>
        <v/>
      </c>
      <c r="H118" s="182" t="str">
        <f>IFERROR(LOOKUP(2,1/((D_Points!$A$5:$A$204&lt;&gt;"")*(D_Points!$A$5:$A$204&gt;=$B118)*(D_Points!$A$5:$A$204&lt;$B118+P_Interval)*(UPPER(TRIM(D_Points!$B$5:$B$204))="GULLY")*(D_Points!$H$5:$H$204&lt;&gt;"")),D_Points!$H$5:$H$204),"")</f>
        <v/>
      </c>
      <c r="I118" s="181" t="str">
        <f>IFERROR(LOOKUP(2,1/((A_Corridor!$A$5:$A$204&lt;&gt;"")*(A_Corridor!$A$5:$A$204&lt;=$B118)*(A_Corridor!$B$5:$B$204&gt;$B118)*(A_Corridor!$F$5:$F$204&lt;&gt;"")),IF(A_Corridor!$F$5:$F$204="-","",1)),"")</f>
        <v/>
      </c>
      <c r="J118" s="182" t="str">
        <f>IFERROR(LOOKUP(2,1/((A_Corridor!$A$5:$A$204&lt;&gt;"")*(A_Corridor!$A$5:$A$204&lt;=$B118)*(A_Corridor!$B$5:$B$204&gt;$B118)*(A_Corridor!$F$5:$F$204&lt;&gt;"")),IF(A_Corridor!$F$5:$F$204="-","",A_Corridor!$F$5:$F$204)),"")</f>
        <v/>
      </c>
      <c r="K118" s="182" t="str">
        <f>IFERROR(LOOKUP(2,1/((A_Corridor!$A$5:$A$204&lt;&gt;"")*(A_Corridor!$A$5:$A$204&lt;=$B118)*(A_Corridor!$B$5:$B$204&gt;$B118)*(A_Corridor!$G$5:$G$204&lt;&gt;"")),IF(A_Corridor!$G$5:$G$204="-","",A_Corridor!$G$5:$G$204)),"")</f>
        <v/>
      </c>
      <c r="L118" s="181" t="str">
        <f>IFERROR(LOOKUP(2,1/((A_Corridor!$A$5:$A$204&lt;&gt;"")*(A_Corridor!$A$5:$A$204&lt;=$B118)*(A_Corridor!$B$5:$B$204&gt;$B118)*(A_Corridor!$H$5:$H$204&lt;&gt;"")),IF(A_Corridor!$H$5:$H$204="-","",1)),"")</f>
        <v/>
      </c>
      <c r="M118" s="182" t="str">
        <f>IFERROR(LOOKUP(2,1/((A_Corridor!$A$5:$A$204&lt;&gt;"")*(A_Corridor!$A$5:$A$204&lt;=$B118)*(A_Corridor!$B$5:$B$204&gt;$B118)*(A_Corridor!$H$5:$H$204&lt;&gt;"")),IF(A_Corridor!$H$5:$H$204="-","",A_Corridor!$H$5:$H$204)),"")</f>
        <v/>
      </c>
      <c r="N118" s="182" t="str">
        <f>IFERROR(LOOKUP(2,1/((A_Corridor!$A$5:$A$204&lt;&gt;"")*(A_Corridor!$A$5:$A$204&lt;=$B118)*(A_Corridor!$B$5:$B$204&gt;$B118)*(A_Corridor!$I$5:$I$204&lt;&gt;"")),IF(A_Corridor!$I$5:$I$204="-","",A_Corridor!$I$5:$I$204)),"")</f>
        <v/>
      </c>
      <c r="O118" s="182" t="str">
        <f>IFERROR(LOOKUP(2,1/((D_Points!$A$5:$A$204&lt;&gt;"")*(D_Points!$A$5:$A$204&gt;=$B118)*(D_Points!$A$5:$A$204&lt;$B118+P_Interval)*(UPPER(TRIM(D_Points!$B$5:$B$204))="PITCHING")*(D_Points!$H$5:$H$204&lt;&gt;"")),D_Points!$H$5:$H$204),"")</f>
        <v/>
      </c>
      <c r="P118" s="181" t="str">
        <f>IFERROR(LOOKUP(2,1/((B_Drainage!$A$5:$A$204&lt;&gt;"")*(B_Drainage!$A$5:$A$204&lt;=$B118)*(B_Drainage!$B$5:$B$204&gt;$B118)*(B_Drainage!$C$5:$C$204&lt;&gt;"")),IF(B_Drainage!$C$5:$C$204="-","",UPPER(B_Drainage!$C$5:$C$204))),"")</f>
        <v/>
      </c>
      <c r="Q118" s="181" t="str">
        <f>IFERROR(LOOKUP(2,1/((B_Drainage!$A$5:$A$204&lt;&gt;"")*(B_Drainage!$A$5:$A$204&lt;=$B118)*(B_Drainage!$B$5:$B$204&gt;$B118)*(B_Drainage!$D$5:$D$204&lt;&gt;"")),IF(B_Drainage!$D$5:$D$204="-","",UPPER(B_Drainage!$D$5:$D$204))),"")</f>
        <v/>
      </c>
      <c r="R118" s="182" t="str">
        <f>IFERROR(LOOKUP(2,1/((D_Points!$A$5:$A$204&lt;&gt;"")*(D_Points!$A$5:$A$204&gt;=$B118)*(D_Points!$A$5:$A$204&lt;$B118+P_Interval)*(RIGHT(UPPER(TRIM(D_Points!$B$5:$B$204)),8)="_CULVERT")),IF(LEFT(UPPER(TRIM(D_Points!$B$5:$B$204)),2)="EX",1,IF(LEFT(UPPER(TRIM(D_Points!$B$5:$B$204)),2)="PR",2,3))),"")</f>
        <v/>
      </c>
      <c r="S118" s="182" t="str">
        <f>IFERROR(LOOKUP(2,1/((D_Points!$A$5:$A$204&lt;&gt;"")*(D_Points!$A$5:$A$204&gt;=$B118)*(D_Points!$A$5:$A$204&lt;$B118+P_Interval)*(RIGHT(UPPER(TRIM(D_Points!$B$5:$B$204)),7)="_BRIDGE")),IF(LEFT(UPPER(TRIM(D_Points!$B$5:$B$204)),2)="EX",1,IF(LEFT(UPPER(TRIM(D_Points!$B$5:$B$204)),2)="PR",2,2))),"")</f>
        <v/>
      </c>
      <c r="T118" s="181" t="str">
        <f>IFERROR(LOOKUP(2,1/((B_Drainage!$A$5:$A$204&lt;&gt;"")*(B_Drainage!$A$5:$A$204&lt;=$B118)*(B_Drainage!$B$5:$B$204&gt;$B118)*(B_Drainage!$E$5:$E$204&lt;&gt;"")),IF(B_Drainage!$E$5:$E$204="-","",1)),"")</f>
        <v/>
      </c>
      <c r="U118" s="181" t="str">
        <f>IFERROR(LOOKUP(2,1/((B_Drainage!$A$5:$A$204&lt;&gt;"")*(B_Drainage!$A$5:$A$204&lt;=$B118)*(B_Drainage!$B$5:$B$204&gt;$B118)*(B_Drainage!$E$5:$E$204&lt;&gt;"")),IF(B_Drainage!$E$5:$E$204="-","",B_Drainage!$E$5:$E$204)),"")</f>
        <v/>
      </c>
      <c r="V118" s="181" t="str">
        <f>IFERROR(LOOKUP(2,1/((B_Drainage!$A$5:$A$204&lt;&gt;"")*(B_Drainage!$A$5:$A$204&lt;=$B118)*(B_Drainage!$B$5:$B$204&gt;$B118)*(B_Drainage!$F$5:$F$204&lt;&gt;"")),IF(B_Drainage!$F$5:$F$204="-","",1)),"")</f>
        <v/>
      </c>
      <c r="W118" s="181" t="str">
        <f>IFERROR(LOOKUP(2,1/((B_Drainage!$A$5:$A$204&lt;&gt;"")*(B_Drainage!$A$5:$A$204&lt;=$B118)*(B_Drainage!$B$5:$B$204&gt;$B118)*(B_Drainage!$F$5:$F$204&lt;&gt;"")),IF(B_Drainage!$F$5:$F$204="-","",B_Drainage!$F$5:$F$204)),"")</f>
        <v/>
      </c>
      <c r="X118" s="181" t="str">
        <f>IFERROR(LOOKUP(2,1/((B_Drainage!$A$5:$A$204&lt;&gt;"")*(B_Drainage!$A$5:$A$204&lt;=$B118)*(B_Drainage!$B$5:$B$204&gt;$B118)*(B_Drainage!$G$5:$G$204&lt;&gt;"")),IF(UPPER(B_Drainage!$G$5:$G$204)="Y",1,"")),"")</f>
        <v/>
      </c>
      <c r="Y118" s="181" t="str">
        <f>IFERROR(LOOKUP(2,1/((B_Drainage!$A$5:$A$204&lt;&gt;"")*(B_Drainage!$A$5:$A$204&lt;=$B118)*(B_Drainage!$B$5:$B$204&gt;$B118)*(B_Drainage!$H$5:$H$204&lt;&gt;"")),IF(UPPER(B_Drainage!$H$5:$H$204)="Y",1,"")),"")</f>
        <v/>
      </c>
      <c r="Z118" s="181" t="str">
        <f>IFERROR(LOOKUP(2,1/((B_Drainage!$A$5:$A$204&lt;&gt;"")*(B_Drainage!$A$5:$A$204&lt;=$B118)*(B_Drainage!$B$5:$B$204&gt;$B118)*(B_Drainage!$I$5:$I$204&lt;&gt;"")),IF(UPPER(B_Drainage!$I$5:$I$204)="Y",1,"")),"")</f>
        <v/>
      </c>
      <c r="AA118" s="181" t="str">
        <f>IFERROR(LOOKUP(2,1/((B_Drainage!$A$5:$A$204&lt;&gt;"")*(B_Drainage!$A$5:$A$204&lt;=$B118)*(B_Drainage!$B$5:$B$204&gt;$B118)*(B_Drainage!$J$5:$J$204&lt;&gt;"")),IF(UPPER(B_Drainage!$J$5:$J$204)="Y",1,"")),"")</f>
        <v/>
      </c>
      <c r="AB118" s="182" t="str">
        <f>IFERROR(LOOKUP(2,1/((B_Drainage!$A$5:$A$204&lt;&gt;"")*(B_Drainage!$A$5:$A$204&lt;=$B118)*(B_Drainage!$B$5:$B$204&gt;$B118)*(B_Drainage!$K$5:$K$204&lt;&gt;"")),IF(B_Drainage!$K$5:$K$204="-","",B_Drainage!$K$5:$K$204)),"")</f>
        <v/>
      </c>
      <c r="AC118" s="182" t="str">
        <f>IFERROR(LOOKUP(2,1/((B_Drainage!$A$5:$A$204&lt;&gt;"")*(B_Drainage!$A$5:$A$204&lt;=$B118)*(B_Drainage!$B$5:$B$204&gt;$B118)*(B_Drainage!$L$5:$L$204&lt;&gt;"")),IF(B_Drainage!$L$5:$L$204="-","",B_Drainage!$L$5:$L$204)),"")</f>
        <v/>
      </c>
      <c r="AD118" s="182" t="str">
        <f>IFERROR(LOOKUP(2,1/((D_Points!$A$5:$A$204&lt;&gt;"")*(D_Points!$A$5:$A$204&gt;=$B118)*(D_Points!$A$5:$A$204&lt;$B118+P_Interval)*(UPPER(TRIM(D_Points!$B$5:$B$204))="TURNOUT_L")*(D_Points!$H$5:$H$204&lt;&gt;"")),D_Points!$H$5:$H$204),"")</f>
        <v/>
      </c>
      <c r="AE118" s="182" t="str">
        <f>IFERROR(LOOKUP(2,1/((D_Points!$A$5:$A$204&lt;&gt;"")*(D_Points!$A$5:$A$204&gt;=$B118)*(D_Points!$A$5:$A$204&lt;$B118+P_Interval)*(UPPER(TRIM(D_Points!$B$5:$B$204))="TURNOUT_R")*(D_Points!$H$5:$H$204&lt;&gt;"")),D_Points!$H$5:$H$204),"")</f>
        <v/>
      </c>
      <c r="AF118" s="181" t="str">
        <f>IFERROR(LOOKUP(2,1/((B_Drainage!$A$5:$A$204&lt;&gt;"")*(B_Drainage!$A$5:$A$204&lt;=$B118)*(B_Drainage!$B$5:$B$204&gt;$B118)*(B_Drainage!$M$5:$M$204&lt;&gt;"")),IF(UPPER(B_Drainage!$M$5:$M$204)="Y",1,"")),"")</f>
        <v/>
      </c>
      <c r="AG118" s="181" t="str">
        <f>IFERROR(LOOKUP(2,1/((B_Drainage!$A$5:$A$204&lt;&gt;"")*(B_Drainage!$A$5:$A$204&lt;=$B118)*(B_Drainage!$B$5:$B$204&gt;$B118)*(B_Drainage!$N$5:$N$204&lt;&gt;"")),IF(UPPER(B_Drainage!$N$5:$N$204)="Y",1,"")),"")</f>
        <v/>
      </c>
      <c r="AH118" s="181" t="str">
        <f t="shared" si="8"/>
        <v/>
      </c>
      <c r="AI118" s="181" t="str">
        <f t="shared" si="9"/>
        <v/>
      </c>
      <c r="AJ118" s="181" t="str">
        <f t="shared" si="10"/>
        <v/>
      </c>
      <c r="AK118" s="181" t="str">
        <f t="shared" si="11"/>
        <v/>
      </c>
      <c r="AL118" s="181" t="str">
        <f t="shared" si="12"/>
        <v/>
      </c>
      <c r="AM118" s="181" t="str">
        <f t="shared" si="13"/>
        <v/>
      </c>
      <c r="AN118" s="181" t="str">
        <f t="shared" si="14"/>
        <v/>
      </c>
      <c r="AO118" s="192" t="str">
        <f t="shared" si="15"/>
        <v/>
      </c>
      <c r="AQ118" t="str">
        <f>IFERROR(LOOKUP(2,1/((C_Pavement!$A$5:$A$204&lt;&gt;"")*(C_Pavement!$A$5:$A$204&lt;=$B118)*(C_Pavement!$B$5:$B$204&gt;$B118)*(C_Pavement!$C$5:$C$204&lt;&gt;"")),ROW(C_Pavement!$C$5:$C$204)-4),"")</f>
        <v/>
      </c>
      <c r="AR118" t="str">
        <f>IF($AQ118="","",UPPER(TRIM(INDEX(C_Pavement!$C$5:$C$204,$AQ118))))</f>
        <v/>
      </c>
      <c r="AS118" t="str">
        <f>IF($AR118="","",IFERROR(MATCH($AR118,E_Rules!$A$5:$A$9,0),""))</f>
        <v/>
      </c>
      <c r="AT118" t="str">
        <f>IF($AQ118="","",IF(INDEX(C_Pavement!$D$5:$D$204,$AQ118)&lt;&gt;"",UPPER(TRIM(INDEX(C_Pavement!$D$5:$D$204,$AQ118))),IF($AS118="","",INDEX(E_Rules!$C$5:$C$9,$AS118))))</f>
        <v/>
      </c>
      <c r="AU118" t="str">
        <f>IF($AQ118="","",IF(INDEX(C_Pavement!$E$5:$E$204,$AQ118)&lt;&gt;"",IF(INDEX(C_Pavement!$E$5:$E$204,$AQ118)="-","",INDEX(C_Pavement!$E$5:$E$204,$AQ118)),IF($AS118="","",INDEX(E_Rules!$D$5:$D$9,$AS118))))</f>
        <v/>
      </c>
      <c r="AV118" t="str">
        <f>IF($AQ118="","",IF(INDEX(C_Pavement!$F$5:$F$204,$AQ118)&lt;&gt;"",IF(INDEX(C_Pavement!$F$5:$F$204,$AQ118)="-","",INDEX(C_Pavement!$F$5:$F$204,$AQ118)),IF($AS118="","",INDEX(E_Rules!$E$5:$E$9,$AS118))))</f>
        <v/>
      </c>
      <c r="AW118" t="str">
        <f>IF($AQ118="","",IF(INDEX(C_Pavement!$G$5:$G$204,$AQ118)&lt;&gt;"",IF(INDEX(C_Pavement!$G$5:$G$204,$AQ118)="-","",INDEX(C_Pavement!$G$5:$G$204,$AQ118)),IF($AS118="","",INDEX(E_Rules!$F$5:$F$9,$AS118))))</f>
        <v/>
      </c>
      <c r="AX118" t="str">
        <f>IF($AQ118="","",IF(INDEX(C_Pavement!$H$5:$H$204,$AQ118)&lt;&gt;"",IF(INDEX(C_Pavement!$H$5:$H$204,$AQ118)="-","",INDEX(C_Pavement!$H$5:$H$204,$AQ118)),IF($AS118="","",INDEX(E_Rules!$G$5:$G$9,$AS118))))</f>
        <v/>
      </c>
      <c r="AY118" t="str">
        <f>IF($AQ118="","",IF(INDEX(C_Pavement!$I$5:$I$204,$AQ118)&lt;&gt;"",IF(INDEX(C_Pavement!$I$5:$I$204,$AQ118)="-","",INDEX(C_Pavement!$I$5:$I$204,$AQ118)),IF($AS118="","",INDEX(E_Rules!$H$5:$H$9,$AS118))))</f>
        <v/>
      </c>
    </row>
    <row r="119" spans="1:51" ht="15.75" customHeight="1" x14ac:dyDescent="0.3">
      <c r="A119" s="189">
        <v>114</v>
      </c>
      <c r="B119" s="180">
        <v>5650</v>
      </c>
      <c r="C119" s="180" t="s">
        <v>425</v>
      </c>
      <c r="D119" s="181" t="str">
        <f>IFERROR(LOOKUP(2,1/((A_Corridor!$A$5:$A$204&lt;&gt;"")*(A_Corridor!$A$5:$A$204&lt;=$B119)*(A_Corridor!$B$5:$B$204&gt;$B119)*(A_Corridor!$C$5:$C$204&lt;&gt;"")),IF(UPPER(A_Corridor!$C$5:$C$204)="Y",1,"")),"")</f>
        <v/>
      </c>
      <c r="E119" s="181" t="str">
        <f>IFERROR(LOOKUP(2,1/((A_Corridor!$A$5:$A$204&lt;&gt;"")*(A_Corridor!$A$5:$A$204&lt;=$B119)*(A_Corridor!$B$5:$B$204&gt;$B119)*(A_Corridor!$D$5:$D$204&lt;&gt;"")),IF(A_Corridor!$D$5:$D$204="-","",UPPER(A_Corridor!$D$5:$D$204))),"")</f>
        <v/>
      </c>
      <c r="F119" s="181" t="str">
        <f>IFERROR(LOOKUP(2,1/((A_Corridor!$A$5:$A$204&lt;&gt;"")*(A_Corridor!$A$5:$A$204&lt;=$B119)*(A_Corridor!$B$5:$B$204&gt;$B119)*(A_Corridor!$E$5:$E$204&lt;&gt;"")),IF(A_Corridor!$E$5:$E$204="-","",1)),"")</f>
        <v/>
      </c>
      <c r="G119" s="182" t="str">
        <f>IFERROR(LOOKUP(2,1/((A_Corridor!$A$5:$A$204&lt;&gt;"")*(A_Corridor!$A$5:$A$204&lt;=$B119)*(A_Corridor!$B$5:$B$204&gt;$B119)*(A_Corridor!$E$5:$E$204&lt;&gt;"")),IF(A_Corridor!$E$5:$E$204="-","",A_Corridor!$E$5:$E$204)),"")</f>
        <v/>
      </c>
      <c r="H119" s="182" t="str">
        <f>IFERROR(LOOKUP(2,1/((D_Points!$A$5:$A$204&lt;&gt;"")*(D_Points!$A$5:$A$204&gt;=$B119)*(D_Points!$A$5:$A$204&lt;$B119+P_Interval)*(UPPER(TRIM(D_Points!$B$5:$B$204))="GULLY")*(D_Points!$H$5:$H$204&lt;&gt;"")),D_Points!$H$5:$H$204),"")</f>
        <v/>
      </c>
      <c r="I119" s="181" t="str">
        <f>IFERROR(LOOKUP(2,1/((A_Corridor!$A$5:$A$204&lt;&gt;"")*(A_Corridor!$A$5:$A$204&lt;=$B119)*(A_Corridor!$B$5:$B$204&gt;$B119)*(A_Corridor!$F$5:$F$204&lt;&gt;"")),IF(A_Corridor!$F$5:$F$204="-","",1)),"")</f>
        <v/>
      </c>
      <c r="J119" s="182" t="str">
        <f>IFERROR(LOOKUP(2,1/((A_Corridor!$A$5:$A$204&lt;&gt;"")*(A_Corridor!$A$5:$A$204&lt;=$B119)*(A_Corridor!$B$5:$B$204&gt;$B119)*(A_Corridor!$F$5:$F$204&lt;&gt;"")),IF(A_Corridor!$F$5:$F$204="-","",A_Corridor!$F$5:$F$204)),"")</f>
        <v/>
      </c>
      <c r="K119" s="182" t="str">
        <f>IFERROR(LOOKUP(2,1/((A_Corridor!$A$5:$A$204&lt;&gt;"")*(A_Corridor!$A$5:$A$204&lt;=$B119)*(A_Corridor!$B$5:$B$204&gt;$B119)*(A_Corridor!$G$5:$G$204&lt;&gt;"")),IF(A_Corridor!$G$5:$G$204="-","",A_Corridor!$G$5:$G$204)),"")</f>
        <v/>
      </c>
      <c r="L119" s="181" t="str">
        <f>IFERROR(LOOKUP(2,1/((A_Corridor!$A$5:$A$204&lt;&gt;"")*(A_Corridor!$A$5:$A$204&lt;=$B119)*(A_Corridor!$B$5:$B$204&gt;$B119)*(A_Corridor!$H$5:$H$204&lt;&gt;"")),IF(A_Corridor!$H$5:$H$204="-","",1)),"")</f>
        <v/>
      </c>
      <c r="M119" s="182" t="str">
        <f>IFERROR(LOOKUP(2,1/((A_Corridor!$A$5:$A$204&lt;&gt;"")*(A_Corridor!$A$5:$A$204&lt;=$B119)*(A_Corridor!$B$5:$B$204&gt;$B119)*(A_Corridor!$H$5:$H$204&lt;&gt;"")),IF(A_Corridor!$H$5:$H$204="-","",A_Corridor!$H$5:$H$204)),"")</f>
        <v/>
      </c>
      <c r="N119" s="182" t="str">
        <f>IFERROR(LOOKUP(2,1/((A_Corridor!$A$5:$A$204&lt;&gt;"")*(A_Corridor!$A$5:$A$204&lt;=$B119)*(A_Corridor!$B$5:$B$204&gt;$B119)*(A_Corridor!$I$5:$I$204&lt;&gt;"")),IF(A_Corridor!$I$5:$I$204="-","",A_Corridor!$I$5:$I$204)),"")</f>
        <v/>
      </c>
      <c r="O119" s="182" t="str">
        <f>IFERROR(LOOKUP(2,1/((D_Points!$A$5:$A$204&lt;&gt;"")*(D_Points!$A$5:$A$204&gt;=$B119)*(D_Points!$A$5:$A$204&lt;$B119+P_Interval)*(UPPER(TRIM(D_Points!$B$5:$B$204))="PITCHING")*(D_Points!$H$5:$H$204&lt;&gt;"")),D_Points!$H$5:$H$204),"")</f>
        <v/>
      </c>
      <c r="P119" s="181" t="str">
        <f>IFERROR(LOOKUP(2,1/((B_Drainage!$A$5:$A$204&lt;&gt;"")*(B_Drainage!$A$5:$A$204&lt;=$B119)*(B_Drainage!$B$5:$B$204&gt;$B119)*(B_Drainage!$C$5:$C$204&lt;&gt;"")),IF(B_Drainage!$C$5:$C$204="-","",UPPER(B_Drainage!$C$5:$C$204))),"")</f>
        <v/>
      </c>
      <c r="Q119" s="181" t="str">
        <f>IFERROR(LOOKUP(2,1/((B_Drainage!$A$5:$A$204&lt;&gt;"")*(B_Drainage!$A$5:$A$204&lt;=$B119)*(B_Drainage!$B$5:$B$204&gt;$B119)*(B_Drainage!$D$5:$D$204&lt;&gt;"")),IF(B_Drainage!$D$5:$D$204="-","",UPPER(B_Drainage!$D$5:$D$204))),"")</f>
        <v/>
      </c>
      <c r="R119" s="182" t="str">
        <f>IFERROR(LOOKUP(2,1/((D_Points!$A$5:$A$204&lt;&gt;"")*(D_Points!$A$5:$A$204&gt;=$B119)*(D_Points!$A$5:$A$204&lt;$B119+P_Interval)*(RIGHT(UPPER(TRIM(D_Points!$B$5:$B$204)),8)="_CULVERT")),IF(LEFT(UPPER(TRIM(D_Points!$B$5:$B$204)),2)="EX",1,IF(LEFT(UPPER(TRIM(D_Points!$B$5:$B$204)),2)="PR",2,3))),"")</f>
        <v/>
      </c>
      <c r="S119" s="182" t="str">
        <f>IFERROR(LOOKUP(2,1/((D_Points!$A$5:$A$204&lt;&gt;"")*(D_Points!$A$5:$A$204&gt;=$B119)*(D_Points!$A$5:$A$204&lt;$B119+P_Interval)*(RIGHT(UPPER(TRIM(D_Points!$B$5:$B$204)),7)="_BRIDGE")),IF(LEFT(UPPER(TRIM(D_Points!$B$5:$B$204)),2)="EX",1,IF(LEFT(UPPER(TRIM(D_Points!$B$5:$B$204)),2)="PR",2,2))),"")</f>
        <v/>
      </c>
      <c r="T119" s="181" t="str">
        <f>IFERROR(LOOKUP(2,1/((B_Drainage!$A$5:$A$204&lt;&gt;"")*(B_Drainage!$A$5:$A$204&lt;=$B119)*(B_Drainage!$B$5:$B$204&gt;$B119)*(B_Drainage!$E$5:$E$204&lt;&gt;"")),IF(B_Drainage!$E$5:$E$204="-","",1)),"")</f>
        <v/>
      </c>
      <c r="U119" s="181" t="str">
        <f>IFERROR(LOOKUP(2,1/((B_Drainage!$A$5:$A$204&lt;&gt;"")*(B_Drainage!$A$5:$A$204&lt;=$B119)*(B_Drainage!$B$5:$B$204&gt;$B119)*(B_Drainage!$E$5:$E$204&lt;&gt;"")),IF(B_Drainage!$E$5:$E$204="-","",B_Drainage!$E$5:$E$204)),"")</f>
        <v/>
      </c>
      <c r="V119" s="181" t="str">
        <f>IFERROR(LOOKUP(2,1/((B_Drainage!$A$5:$A$204&lt;&gt;"")*(B_Drainage!$A$5:$A$204&lt;=$B119)*(B_Drainage!$B$5:$B$204&gt;$B119)*(B_Drainage!$F$5:$F$204&lt;&gt;"")),IF(B_Drainage!$F$5:$F$204="-","",1)),"")</f>
        <v/>
      </c>
      <c r="W119" s="181" t="str">
        <f>IFERROR(LOOKUP(2,1/((B_Drainage!$A$5:$A$204&lt;&gt;"")*(B_Drainage!$A$5:$A$204&lt;=$B119)*(B_Drainage!$B$5:$B$204&gt;$B119)*(B_Drainage!$F$5:$F$204&lt;&gt;"")),IF(B_Drainage!$F$5:$F$204="-","",B_Drainage!$F$5:$F$204)),"")</f>
        <v/>
      </c>
      <c r="X119" s="181" t="str">
        <f>IFERROR(LOOKUP(2,1/((B_Drainage!$A$5:$A$204&lt;&gt;"")*(B_Drainage!$A$5:$A$204&lt;=$B119)*(B_Drainage!$B$5:$B$204&gt;$B119)*(B_Drainage!$G$5:$G$204&lt;&gt;"")),IF(UPPER(B_Drainage!$G$5:$G$204)="Y",1,"")),"")</f>
        <v/>
      </c>
      <c r="Y119" s="181" t="str">
        <f>IFERROR(LOOKUP(2,1/((B_Drainage!$A$5:$A$204&lt;&gt;"")*(B_Drainage!$A$5:$A$204&lt;=$B119)*(B_Drainage!$B$5:$B$204&gt;$B119)*(B_Drainage!$H$5:$H$204&lt;&gt;"")),IF(UPPER(B_Drainage!$H$5:$H$204)="Y",1,"")),"")</f>
        <v/>
      </c>
      <c r="Z119" s="181" t="str">
        <f>IFERROR(LOOKUP(2,1/((B_Drainage!$A$5:$A$204&lt;&gt;"")*(B_Drainage!$A$5:$A$204&lt;=$B119)*(B_Drainage!$B$5:$B$204&gt;$B119)*(B_Drainage!$I$5:$I$204&lt;&gt;"")),IF(UPPER(B_Drainage!$I$5:$I$204)="Y",1,"")),"")</f>
        <v/>
      </c>
      <c r="AA119" s="181" t="str">
        <f>IFERROR(LOOKUP(2,1/((B_Drainage!$A$5:$A$204&lt;&gt;"")*(B_Drainage!$A$5:$A$204&lt;=$B119)*(B_Drainage!$B$5:$B$204&gt;$B119)*(B_Drainage!$J$5:$J$204&lt;&gt;"")),IF(UPPER(B_Drainage!$J$5:$J$204)="Y",1,"")),"")</f>
        <v/>
      </c>
      <c r="AB119" s="182" t="str">
        <f>IFERROR(LOOKUP(2,1/((B_Drainage!$A$5:$A$204&lt;&gt;"")*(B_Drainage!$A$5:$A$204&lt;=$B119)*(B_Drainage!$B$5:$B$204&gt;$B119)*(B_Drainage!$K$5:$K$204&lt;&gt;"")),IF(B_Drainage!$K$5:$K$204="-","",B_Drainage!$K$5:$K$204)),"")</f>
        <v/>
      </c>
      <c r="AC119" s="182" t="str">
        <f>IFERROR(LOOKUP(2,1/((B_Drainage!$A$5:$A$204&lt;&gt;"")*(B_Drainage!$A$5:$A$204&lt;=$B119)*(B_Drainage!$B$5:$B$204&gt;$B119)*(B_Drainage!$L$5:$L$204&lt;&gt;"")),IF(B_Drainage!$L$5:$L$204="-","",B_Drainage!$L$5:$L$204)),"")</f>
        <v/>
      </c>
      <c r="AD119" s="182" t="str">
        <f>IFERROR(LOOKUP(2,1/((D_Points!$A$5:$A$204&lt;&gt;"")*(D_Points!$A$5:$A$204&gt;=$B119)*(D_Points!$A$5:$A$204&lt;$B119+P_Interval)*(UPPER(TRIM(D_Points!$B$5:$B$204))="TURNOUT_L")*(D_Points!$H$5:$H$204&lt;&gt;"")),D_Points!$H$5:$H$204),"")</f>
        <v/>
      </c>
      <c r="AE119" s="182" t="str">
        <f>IFERROR(LOOKUP(2,1/((D_Points!$A$5:$A$204&lt;&gt;"")*(D_Points!$A$5:$A$204&gt;=$B119)*(D_Points!$A$5:$A$204&lt;$B119+P_Interval)*(UPPER(TRIM(D_Points!$B$5:$B$204))="TURNOUT_R")*(D_Points!$H$5:$H$204&lt;&gt;"")),D_Points!$H$5:$H$204),"")</f>
        <v/>
      </c>
      <c r="AF119" s="181" t="str">
        <f>IFERROR(LOOKUP(2,1/((B_Drainage!$A$5:$A$204&lt;&gt;"")*(B_Drainage!$A$5:$A$204&lt;=$B119)*(B_Drainage!$B$5:$B$204&gt;$B119)*(B_Drainage!$M$5:$M$204&lt;&gt;"")),IF(UPPER(B_Drainage!$M$5:$M$204)="Y",1,"")),"")</f>
        <v/>
      </c>
      <c r="AG119" s="181" t="str">
        <f>IFERROR(LOOKUP(2,1/((B_Drainage!$A$5:$A$204&lt;&gt;"")*(B_Drainage!$A$5:$A$204&lt;=$B119)*(B_Drainage!$B$5:$B$204&gt;$B119)*(B_Drainage!$N$5:$N$204&lt;&gt;"")),IF(UPPER(B_Drainage!$N$5:$N$204)="Y",1,"")),"")</f>
        <v/>
      </c>
      <c r="AH119" s="181" t="str">
        <f t="shared" si="8"/>
        <v/>
      </c>
      <c r="AI119" s="181" t="str">
        <f t="shared" si="9"/>
        <v/>
      </c>
      <c r="AJ119" s="181" t="str">
        <f t="shared" si="10"/>
        <v/>
      </c>
      <c r="AK119" s="181" t="str">
        <f t="shared" si="11"/>
        <v/>
      </c>
      <c r="AL119" s="181" t="str">
        <f t="shared" si="12"/>
        <v/>
      </c>
      <c r="AM119" s="181" t="str">
        <f t="shared" si="13"/>
        <v/>
      </c>
      <c r="AN119" s="181" t="str">
        <f t="shared" si="14"/>
        <v/>
      </c>
      <c r="AO119" s="192" t="str">
        <f t="shared" si="15"/>
        <v/>
      </c>
      <c r="AQ119" t="str">
        <f>IFERROR(LOOKUP(2,1/((C_Pavement!$A$5:$A$204&lt;&gt;"")*(C_Pavement!$A$5:$A$204&lt;=$B119)*(C_Pavement!$B$5:$B$204&gt;$B119)*(C_Pavement!$C$5:$C$204&lt;&gt;"")),ROW(C_Pavement!$C$5:$C$204)-4),"")</f>
        <v/>
      </c>
      <c r="AR119" t="str">
        <f>IF($AQ119="","",UPPER(TRIM(INDEX(C_Pavement!$C$5:$C$204,$AQ119))))</f>
        <v/>
      </c>
      <c r="AS119" t="str">
        <f>IF($AR119="","",IFERROR(MATCH($AR119,E_Rules!$A$5:$A$9,0),""))</f>
        <v/>
      </c>
      <c r="AT119" t="str">
        <f>IF($AQ119="","",IF(INDEX(C_Pavement!$D$5:$D$204,$AQ119)&lt;&gt;"",UPPER(TRIM(INDEX(C_Pavement!$D$5:$D$204,$AQ119))),IF($AS119="","",INDEX(E_Rules!$C$5:$C$9,$AS119))))</f>
        <v/>
      </c>
      <c r="AU119" t="str">
        <f>IF($AQ119="","",IF(INDEX(C_Pavement!$E$5:$E$204,$AQ119)&lt;&gt;"",IF(INDEX(C_Pavement!$E$5:$E$204,$AQ119)="-","",INDEX(C_Pavement!$E$5:$E$204,$AQ119)),IF($AS119="","",INDEX(E_Rules!$D$5:$D$9,$AS119))))</f>
        <v/>
      </c>
      <c r="AV119" t="str">
        <f>IF($AQ119="","",IF(INDEX(C_Pavement!$F$5:$F$204,$AQ119)&lt;&gt;"",IF(INDEX(C_Pavement!$F$5:$F$204,$AQ119)="-","",INDEX(C_Pavement!$F$5:$F$204,$AQ119)),IF($AS119="","",INDEX(E_Rules!$E$5:$E$9,$AS119))))</f>
        <v/>
      </c>
      <c r="AW119" t="str">
        <f>IF($AQ119="","",IF(INDEX(C_Pavement!$G$5:$G$204,$AQ119)&lt;&gt;"",IF(INDEX(C_Pavement!$G$5:$G$204,$AQ119)="-","",INDEX(C_Pavement!$G$5:$G$204,$AQ119)),IF($AS119="","",INDEX(E_Rules!$F$5:$F$9,$AS119))))</f>
        <v/>
      </c>
      <c r="AX119" t="str">
        <f>IF($AQ119="","",IF(INDEX(C_Pavement!$H$5:$H$204,$AQ119)&lt;&gt;"",IF(INDEX(C_Pavement!$H$5:$H$204,$AQ119)="-","",INDEX(C_Pavement!$H$5:$H$204,$AQ119)),IF($AS119="","",INDEX(E_Rules!$G$5:$G$9,$AS119))))</f>
        <v/>
      </c>
      <c r="AY119" t="str">
        <f>IF($AQ119="","",IF(INDEX(C_Pavement!$I$5:$I$204,$AQ119)&lt;&gt;"",IF(INDEX(C_Pavement!$I$5:$I$204,$AQ119)="-","",INDEX(C_Pavement!$I$5:$I$204,$AQ119)),IF($AS119="","",INDEX(E_Rules!$H$5:$H$9,$AS119))))</f>
        <v/>
      </c>
    </row>
    <row r="120" spans="1:51" ht="15.75" customHeight="1" x14ac:dyDescent="0.3">
      <c r="A120" s="189">
        <v>115</v>
      </c>
      <c r="B120" s="180">
        <v>5700</v>
      </c>
      <c r="C120" s="180" t="s">
        <v>426</v>
      </c>
      <c r="D120" s="181" t="str">
        <f>IFERROR(LOOKUP(2,1/((A_Corridor!$A$5:$A$204&lt;&gt;"")*(A_Corridor!$A$5:$A$204&lt;=$B120)*(A_Corridor!$B$5:$B$204&gt;$B120)*(A_Corridor!$C$5:$C$204&lt;&gt;"")),IF(UPPER(A_Corridor!$C$5:$C$204)="Y",1,"")),"")</f>
        <v/>
      </c>
      <c r="E120" s="181" t="str">
        <f>IFERROR(LOOKUP(2,1/((A_Corridor!$A$5:$A$204&lt;&gt;"")*(A_Corridor!$A$5:$A$204&lt;=$B120)*(A_Corridor!$B$5:$B$204&gt;$B120)*(A_Corridor!$D$5:$D$204&lt;&gt;"")),IF(A_Corridor!$D$5:$D$204="-","",UPPER(A_Corridor!$D$5:$D$204))),"")</f>
        <v/>
      </c>
      <c r="F120" s="181" t="str">
        <f>IFERROR(LOOKUP(2,1/((A_Corridor!$A$5:$A$204&lt;&gt;"")*(A_Corridor!$A$5:$A$204&lt;=$B120)*(A_Corridor!$B$5:$B$204&gt;$B120)*(A_Corridor!$E$5:$E$204&lt;&gt;"")),IF(A_Corridor!$E$5:$E$204="-","",1)),"")</f>
        <v/>
      </c>
      <c r="G120" s="182" t="str">
        <f>IFERROR(LOOKUP(2,1/((A_Corridor!$A$5:$A$204&lt;&gt;"")*(A_Corridor!$A$5:$A$204&lt;=$B120)*(A_Corridor!$B$5:$B$204&gt;$B120)*(A_Corridor!$E$5:$E$204&lt;&gt;"")),IF(A_Corridor!$E$5:$E$204="-","",A_Corridor!$E$5:$E$204)),"")</f>
        <v/>
      </c>
      <c r="H120" s="182" t="str">
        <f>IFERROR(LOOKUP(2,1/((D_Points!$A$5:$A$204&lt;&gt;"")*(D_Points!$A$5:$A$204&gt;=$B120)*(D_Points!$A$5:$A$204&lt;$B120+P_Interval)*(UPPER(TRIM(D_Points!$B$5:$B$204))="GULLY")*(D_Points!$H$5:$H$204&lt;&gt;"")),D_Points!$H$5:$H$204),"")</f>
        <v/>
      </c>
      <c r="I120" s="181" t="str">
        <f>IFERROR(LOOKUP(2,1/((A_Corridor!$A$5:$A$204&lt;&gt;"")*(A_Corridor!$A$5:$A$204&lt;=$B120)*(A_Corridor!$B$5:$B$204&gt;$B120)*(A_Corridor!$F$5:$F$204&lt;&gt;"")),IF(A_Corridor!$F$5:$F$204="-","",1)),"")</f>
        <v/>
      </c>
      <c r="J120" s="182" t="str">
        <f>IFERROR(LOOKUP(2,1/((A_Corridor!$A$5:$A$204&lt;&gt;"")*(A_Corridor!$A$5:$A$204&lt;=$B120)*(A_Corridor!$B$5:$B$204&gt;$B120)*(A_Corridor!$F$5:$F$204&lt;&gt;"")),IF(A_Corridor!$F$5:$F$204="-","",A_Corridor!$F$5:$F$204)),"")</f>
        <v/>
      </c>
      <c r="K120" s="182" t="str">
        <f>IFERROR(LOOKUP(2,1/((A_Corridor!$A$5:$A$204&lt;&gt;"")*(A_Corridor!$A$5:$A$204&lt;=$B120)*(A_Corridor!$B$5:$B$204&gt;$B120)*(A_Corridor!$G$5:$G$204&lt;&gt;"")),IF(A_Corridor!$G$5:$G$204="-","",A_Corridor!$G$5:$G$204)),"")</f>
        <v/>
      </c>
      <c r="L120" s="181" t="str">
        <f>IFERROR(LOOKUP(2,1/((A_Corridor!$A$5:$A$204&lt;&gt;"")*(A_Corridor!$A$5:$A$204&lt;=$B120)*(A_Corridor!$B$5:$B$204&gt;$B120)*(A_Corridor!$H$5:$H$204&lt;&gt;"")),IF(A_Corridor!$H$5:$H$204="-","",1)),"")</f>
        <v/>
      </c>
      <c r="M120" s="182" t="str">
        <f>IFERROR(LOOKUP(2,1/((A_Corridor!$A$5:$A$204&lt;&gt;"")*(A_Corridor!$A$5:$A$204&lt;=$B120)*(A_Corridor!$B$5:$B$204&gt;$B120)*(A_Corridor!$H$5:$H$204&lt;&gt;"")),IF(A_Corridor!$H$5:$H$204="-","",A_Corridor!$H$5:$H$204)),"")</f>
        <v/>
      </c>
      <c r="N120" s="182" t="str">
        <f>IFERROR(LOOKUP(2,1/((A_Corridor!$A$5:$A$204&lt;&gt;"")*(A_Corridor!$A$5:$A$204&lt;=$B120)*(A_Corridor!$B$5:$B$204&gt;$B120)*(A_Corridor!$I$5:$I$204&lt;&gt;"")),IF(A_Corridor!$I$5:$I$204="-","",A_Corridor!$I$5:$I$204)),"")</f>
        <v/>
      </c>
      <c r="O120" s="182" t="str">
        <f>IFERROR(LOOKUP(2,1/((D_Points!$A$5:$A$204&lt;&gt;"")*(D_Points!$A$5:$A$204&gt;=$B120)*(D_Points!$A$5:$A$204&lt;$B120+P_Interval)*(UPPER(TRIM(D_Points!$B$5:$B$204))="PITCHING")*(D_Points!$H$5:$H$204&lt;&gt;"")),D_Points!$H$5:$H$204),"")</f>
        <v/>
      </c>
      <c r="P120" s="181" t="str">
        <f>IFERROR(LOOKUP(2,1/((B_Drainage!$A$5:$A$204&lt;&gt;"")*(B_Drainage!$A$5:$A$204&lt;=$B120)*(B_Drainage!$B$5:$B$204&gt;$B120)*(B_Drainage!$C$5:$C$204&lt;&gt;"")),IF(B_Drainage!$C$5:$C$204="-","",UPPER(B_Drainage!$C$5:$C$204))),"")</f>
        <v/>
      </c>
      <c r="Q120" s="181" t="str">
        <f>IFERROR(LOOKUP(2,1/((B_Drainage!$A$5:$A$204&lt;&gt;"")*(B_Drainage!$A$5:$A$204&lt;=$B120)*(B_Drainage!$B$5:$B$204&gt;$B120)*(B_Drainage!$D$5:$D$204&lt;&gt;"")),IF(B_Drainage!$D$5:$D$204="-","",UPPER(B_Drainage!$D$5:$D$204))),"")</f>
        <v/>
      </c>
      <c r="R120" s="182" t="str">
        <f>IFERROR(LOOKUP(2,1/((D_Points!$A$5:$A$204&lt;&gt;"")*(D_Points!$A$5:$A$204&gt;=$B120)*(D_Points!$A$5:$A$204&lt;$B120+P_Interval)*(RIGHT(UPPER(TRIM(D_Points!$B$5:$B$204)),8)="_CULVERT")),IF(LEFT(UPPER(TRIM(D_Points!$B$5:$B$204)),2)="EX",1,IF(LEFT(UPPER(TRIM(D_Points!$B$5:$B$204)),2)="PR",2,3))),"")</f>
        <v/>
      </c>
      <c r="S120" s="182" t="str">
        <f>IFERROR(LOOKUP(2,1/((D_Points!$A$5:$A$204&lt;&gt;"")*(D_Points!$A$5:$A$204&gt;=$B120)*(D_Points!$A$5:$A$204&lt;$B120+P_Interval)*(RIGHT(UPPER(TRIM(D_Points!$B$5:$B$204)),7)="_BRIDGE")),IF(LEFT(UPPER(TRIM(D_Points!$B$5:$B$204)),2)="EX",1,IF(LEFT(UPPER(TRIM(D_Points!$B$5:$B$204)),2)="PR",2,2))),"")</f>
        <v/>
      </c>
      <c r="T120" s="181" t="str">
        <f>IFERROR(LOOKUP(2,1/((B_Drainage!$A$5:$A$204&lt;&gt;"")*(B_Drainage!$A$5:$A$204&lt;=$B120)*(B_Drainage!$B$5:$B$204&gt;$B120)*(B_Drainage!$E$5:$E$204&lt;&gt;"")),IF(B_Drainage!$E$5:$E$204="-","",1)),"")</f>
        <v/>
      </c>
      <c r="U120" s="181" t="str">
        <f>IFERROR(LOOKUP(2,1/((B_Drainage!$A$5:$A$204&lt;&gt;"")*(B_Drainage!$A$5:$A$204&lt;=$B120)*(B_Drainage!$B$5:$B$204&gt;$B120)*(B_Drainage!$E$5:$E$204&lt;&gt;"")),IF(B_Drainage!$E$5:$E$204="-","",B_Drainage!$E$5:$E$204)),"")</f>
        <v/>
      </c>
      <c r="V120" s="181" t="str">
        <f>IFERROR(LOOKUP(2,1/((B_Drainage!$A$5:$A$204&lt;&gt;"")*(B_Drainage!$A$5:$A$204&lt;=$B120)*(B_Drainage!$B$5:$B$204&gt;$B120)*(B_Drainage!$F$5:$F$204&lt;&gt;"")),IF(B_Drainage!$F$5:$F$204="-","",1)),"")</f>
        <v/>
      </c>
      <c r="W120" s="181" t="str">
        <f>IFERROR(LOOKUP(2,1/((B_Drainage!$A$5:$A$204&lt;&gt;"")*(B_Drainage!$A$5:$A$204&lt;=$B120)*(B_Drainage!$B$5:$B$204&gt;$B120)*(B_Drainage!$F$5:$F$204&lt;&gt;"")),IF(B_Drainage!$F$5:$F$204="-","",B_Drainage!$F$5:$F$204)),"")</f>
        <v/>
      </c>
      <c r="X120" s="181" t="str">
        <f>IFERROR(LOOKUP(2,1/((B_Drainage!$A$5:$A$204&lt;&gt;"")*(B_Drainage!$A$5:$A$204&lt;=$B120)*(B_Drainage!$B$5:$B$204&gt;$B120)*(B_Drainage!$G$5:$G$204&lt;&gt;"")),IF(UPPER(B_Drainage!$G$5:$G$204)="Y",1,"")),"")</f>
        <v/>
      </c>
      <c r="Y120" s="181" t="str">
        <f>IFERROR(LOOKUP(2,1/((B_Drainage!$A$5:$A$204&lt;&gt;"")*(B_Drainage!$A$5:$A$204&lt;=$B120)*(B_Drainage!$B$5:$B$204&gt;$B120)*(B_Drainage!$H$5:$H$204&lt;&gt;"")),IF(UPPER(B_Drainage!$H$5:$H$204)="Y",1,"")),"")</f>
        <v/>
      </c>
      <c r="Z120" s="181" t="str">
        <f>IFERROR(LOOKUP(2,1/((B_Drainage!$A$5:$A$204&lt;&gt;"")*(B_Drainage!$A$5:$A$204&lt;=$B120)*(B_Drainage!$B$5:$B$204&gt;$B120)*(B_Drainage!$I$5:$I$204&lt;&gt;"")),IF(UPPER(B_Drainage!$I$5:$I$204)="Y",1,"")),"")</f>
        <v/>
      </c>
      <c r="AA120" s="181" t="str">
        <f>IFERROR(LOOKUP(2,1/((B_Drainage!$A$5:$A$204&lt;&gt;"")*(B_Drainage!$A$5:$A$204&lt;=$B120)*(B_Drainage!$B$5:$B$204&gt;$B120)*(B_Drainage!$J$5:$J$204&lt;&gt;"")),IF(UPPER(B_Drainage!$J$5:$J$204)="Y",1,"")),"")</f>
        <v/>
      </c>
      <c r="AB120" s="182" t="str">
        <f>IFERROR(LOOKUP(2,1/((B_Drainage!$A$5:$A$204&lt;&gt;"")*(B_Drainage!$A$5:$A$204&lt;=$B120)*(B_Drainage!$B$5:$B$204&gt;$B120)*(B_Drainage!$K$5:$K$204&lt;&gt;"")),IF(B_Drainage!$K$5:$K$204="-","",B_Drainage!$K$5:$K$204)),"")</f>
        <v/>
      </c>
      <c r="AC120" s="182" t="str">
        <f>IFERROR(LOOKUP(2,1/((B_Drainage!$A$5:$A$204&lt;&gt;"")*(B_Drainage!$A$5:$A$204&lt;=$B120)*(B_Drainage!$B$5:$B$204&gt;$B120)*(B_Drainage!$L$5:$L$204&lt;&gt;"")),IF(B_Drainage!$L$5:$L$204="-","",B_Drainage!$L$5:$L$204)),"")</f>
        <v/>
      </c>
      <c r="AD120" s="182" t="str">
        <f>IFERROR(LOOKUP(2,1/((D_Points!$A$5:$A$204&lt;&gt;"")*(D_Points!$A$5:$A$204&gt;=$B120)*(D_Points!$A$5:$A$204&lt;$B120+P_Interval)*(UPPER(TRIM(D_Points!$B$5:$B$204))="TURNOUT_L")*(D_Points!$H$5:$H$204&lt;&gt;"")),D_Points!$H$5:$H$204),"")</f>
        <v/>
      </c>
      <c r="AE120" s="182" t="str">
        <f>IFERROR(LOOKUP(2,1/((D_Points!$A$5:$A$204&lt;&gt;"")*(D_Points!$A$5:$A$204&gt;=$B120)*(D_Points!$A$5:$A$204&lt;$B120+P_Interval)*(UPPER(TRIM(D_Points!$B$5:$B$204))="TURNOUT_R")*(D_Points!$H$5:$H$204&lt;&gt;"")),D_Points!$H$5:$H$204),"")</f>
        <v/>
      </c>
      <c r="AF120" s="181" t="str">
        <f>IFERROR(LOOKUP(2,1/((B_Drainage!$A$5:$A$204&lt;&gt;"")*(B_Drainage!$A$5:$A$204&lt;=$B120)*(B_Drainage!$B$5:$B$204&gt;$B120)*(B_Drainage!$M$5:$M$204&lt;&gt;"")),IF(UPPER(B_Drainage!$M$5:$M$204)="Y",1,"")),"")</f>
        <v/>
      </c>
      <c r="AG120" s="181" t="str">
        <f>IFERROR(LOOKUP(2,1/((B_Drainage!$A$5:$A$204&lt;&gt;"")*(B_Drainage!$A$5:$A$204&lt;=$B120)*(B_Drainage!$B$5:$B$204&gt;$B120)*(B_Drainage!$N$5:$N$204&lt;&gt;"")),IF(UPPER(B_Drainage!$N$5:$N$204)="Y",1,"")),"")</f>
        <v/>
      </c>
      <c r="AH120" s="181" t="str">
        <f t="shared" si="8"/>
        <v/>
      </c>
      <c r="AI120" s="181" t="str">
        <f t="shared" si="9"/>
        <v/>
      </c>
      <c r="AJ120" s="181" t="str">
        <f t="shared" si="10"/>
        <v/>
      </c>
      <c r="AK120" s="181" t="str">
        <f t="shared" si="11"/>
        <v/>
      </c>
      <c r="AL120" s="181" t="str">
        <f t="shared" si="12"/>
        <v/>
      </c>
      <c r="AM120" s="181" t="str">
        <f t="shared" si="13"/>
        <v/>
      </c>
      <c r="AN120" s="181" t="str">
        <f t="shared" si="14"/>
        <v/>
      </c>
      <c r="AO120" s="192" t="str">
        <f t="shared" si="15"/>
        <v/>
      </c>
      <c r="AQ120" t="str">
        <f>IFERROR(LOOKUP(2,1/((C_Pavement!$A$5:$A$204&lt;&gt;"")*(C_Pavement!$A$5:$A$204&lt;=$B120)*(C_Pavement!$B$5:$B$204&gt;$B120)*(C_Pavement!$C$5:$C$204&lt;&gt;"")),ROW(C_Pavement!$C$5:$C$204)-4),"")</f>
        <v/>
      </c>
      <c r="AR120" t="str">
        <f>IF($AQ120="","",UPPER(TRIM(INDEX(C_Pavement!$C$5:$C$204,$AQ120))))</f>
        <v/>
      </c>
      <c r="AS120" t="str">
        <f>IF($AR120="","",IFERROR(MATCH($AR120,E_Rules!$A$5:$A$9,0),""))</f>
        <v/>
      </c>
      <c r="AT120" t="str">
        <f>IF($AQ120="","",IF(INDEX(C_Pavement!$D$5:$D$204,$AQ120)&lt;&gt;"",UPPER(TRIM(INDEX(C_Pavement!$D$5:$D$204,$AQ120))),IF($AS120="","",INDEX(E_Rules!$C$5:$C$9,$AS120))))</f>
        <v/>
      </c>
      <c r="AU120" t="str">
        <f>IF($AQ120="","",IF(INDEX(C_Pavement!$E$5:$E$204,$AQ120)&lt;&gt;"",IF(INDEX(C_Pavement!$E$5:$E$204,$AQ120)="-","",INDEX(C_Pavement!$E$5:$E$204,$AQ120)),IF($AS120="","",INDEX(E_Rules!$D$5:$D$9,$AS120))))</f>
        <v/>
      </c>
      <c r="AV120" t="str">
        <f>IF($AQ120="","",IF(INDEX(C_Pavement!$F$5:$F$204,$AQ120)&lt;&gt;"",IF(INDEX(C_Pavement!$F$5:$F$204,$AQ120)="-","",INDEX(C_Pavement!$F$5:$F$204,$AQ120)),IF($AS120="","",INDEX(E_Rules!$E$5:$E$9,$AS120))))</f>
        <v/>
      </c>
      <c r="AW120" t="str">
        <f>IF($AQ120="","",IF(INDEX(C_Pavement!$G$5:$G$204,$AQ120)&lt;&gt;"",IF(INDEX(C_Pavement!$G$5:$G$204,$AQ120)="-","",INDEX(C_Pavement!$G$5:$G$204,$AQ120)),IF($AS120="","",INDEX(E_Rules!$F$5:$F$9,$AS120))))</f>
        <v/>
      </c>
      <c r="AX120" t="str">
        <f>IF($AQ120="","",IF(INDEX(C_Pavement!$H$5:$H$204,$AQ120)&lt;&gt;"",IF(INDEX(C_Pavement!$H$5:$H$204,$AQ120)="-","",INDEX(C_Pavement!$H$5:$H$204,$AQ120)),IF($AS120="","",INDEX(E_Rules!$G$5:$G$9,$AS120))))</f>
        <v/>
      </c>
      <c r="AY120" t="str">
        <f>IF($AQ120="","",IF(INDEX(C_Pavement!$I$5:$I$204,$AQ120)&lt;&gt;"",IF(INDEX(C_Pavement!$I$5:$I$204,$AQ120)="-","",INDEX(C_Pavement!$I$5:$I$204,$AQ120)),IF($AS120="","",INDEX(E_Rules!$H$5:$H$9,$AS120))))</f>
        <v/>
      </c>
    </row>
    <row r="121" spans="1:51" ht="15.75" customHeight="1" x14ac:dyDescent="0.3">
      <c r="A121" s="189">
        <v>116</v>
      </c>
      <c r="B121" s="180">
        <v>5750</v>
      </c>
      <c r="C121" s="180" t="s">
        <v>427</v>
      </c>
      <c r="D121" s="181" t="str">
        <f>IFERROR(LOOKUP(2,1/((A_Corridor!$A$5:$A$204&lt;&gt;"")*(A_Corridor!$A$5:$A$204&lt;=$B121)*(A_Corridor!$B$5:$B$204&gt;$B121)*(A_Corridor!$C$5:$C$204&lt;&gt;"")),IF(UPPER(A_Corridor!$C$5:$C$204)="Y",1,"")),"")</f>
        <v/>
      </c>
      <c r="E121" s="181" t="str">
        <f>IFERROR(LOOKUP(2,1/((A_Corridor!$A$5:$A$204&lt;&gt;"")*(A_Corridor!$A$5:$A$204&lt;=$B121)*(A_Corridor!$B$5:$B$204&gt;$B121)*(A_Corridor!$D$5:$D$204&lt;&gt;"")),IF(A_Corridor!$D$5:$D$204="-","",UPPER(A_Corridor!$D$5:$D$204))),"")</f>
        <v/>
      </c>
      <c r="F121" s="181" t="str">
        <f>IFERROR(LOOKUP(2,1/((A_Corridor!$A$5:$A$204&lt;&gt;"")*(A_Corridor!$A$5:$A$204&lt;=$B121)*(A_Corridor!$B$5:$B$204&gt;$B121)*(A_Corridor!$E$5:$E$204&lt;&gt;"")),IF(A_Corridor!$E$5:$E$204="-","",1)),"")</f>
        <v/>
      </c>
      <c r="G121" s="182" t="str">
        <f>IFERROR(LOOKUP(2,1/((A_Corridor!$A$5:$A$204&lt;&gt;"")*(A_Corridor!$A$5:$A$204&lt;=$B121)*(A_Corridor!$B$5:$B$204&gt;$B121)*(A_Corridor!$E$5:$E$204&lt;&gt;"")),IF(A_Corridor!$E$5:$E$204="-","",A_Corridor!$E$5:$E$204)),"")</f>
        <v/>
      </c>
      <c r="H121" s="182" t="str">
        <f>IFERROR(LOOKUP(2,1/((D_Points!$A$5:$A$204&lt;&gt;"")*(D_Points!$A$5:$A$204&gt;=$B121)*(D_Points!$A$5:$A$204&lt;$B121+P_Interval)*(UPPER(TRIM(D_Points!$B$5:$B$204))="GULLY")*(D_Points!$H$5:$H$204&lt;&gt;"")),D_Points!$H$5:$H$204),"")</f>
        <v/>
      </c>
      <c r="I121" s="181" t="str">
        <f>IFERROR(LOOKUP(2,1/((A_Corridor!$A$5:$A$204&lt;&gt;"")*(A_Corridor!$A$5:$A$204&lt;=$B121)*(A_Corridor!$B$5:$B$204&gt;$B121)*(A_Corridor!$F$5:$F$204&lt;&gt;"")),IF(A_Corridor!$F$5:$F$204="-","",1)),"")</f>
        <v/>
      </c>
      <c r="J121" s="182" t="str">
        <f>IFERROR(LOOKUP(2,1/((A_Corridor!$A$5:$A$204&lt;&gt;"")*(A_Corridor!$A$5:$A$204&lt;=$B121)*(A_Corridor!$B$5:$B$204&gt;$B121)*(A_Corridor!$F$5:$F$204&lt;&gt;"")),IF(A_Corridor!$F$5:$F$204="-","",A_Corridor!$F$5:$F$204)),"")</f>
        <v/>
      </c>
      <c r="K121" s="182" t="str">
        <f>IFERROR(LOOKUP(2,1/((A_Corridor!$A$5:$A$204&lt;&gt;"")*(A_Corridor!$A$5:$A$204&lt;=$B121)*(A_Corridor!$B$5:$B$204&gt;$B121)*(A_Corridor!$G$5:$G$204&lt;&gt;"")),IF(A_Corridor!$G$5:$G$204="-","",A_Corridor!$G$5:$G$204)),"")</f>
        <v/>
      </c>
      <c r="L121" s="181" t="str">
        <f>IFERROR(LOOKUP(2,1/((A_Corridor!$A$5:$A$204&lt;&gt;"")*(A_Corridor!$A$5:$A$204&lt;=$B121)*(A_Corridor!$B$5:$B$204&gt;$B121)*(A_Corridor!$H$5:$H$204&lt;&gt;"")),IF(A_Corridor!$H$5:$H$204="-","",1)),"")</f>
        <v/>
      </c>
      <c r="M121" s="182" t="str">
        <f>IFERROR(LOOKUP(2,1/((A_Corridor!$A$5:$A$204&lt;&gt;"")*(A_Corridor!$A$5:$A$204&lt;=$B121)*(A_Corridor!$B$5:$B$204&gt;$B121)*(A_Corridor!$H$5:$H$204&lt;&gt;"")),IF(A_Corridor!$H$5:$H$204="-","",A_Corridor!$H$5:$H$204)),"")</f>
        <v/>
      </c>
      <c r="N121" s="182" t="str">
        <f>IFERROR(LOOKUP(2,1/((A_Corridor!$A$5:$A$204&lt;&gt;"")*(A_Corridor!$A$5:$A$204&lt;=$B121)*(A_Corridor!$B$5:$B$204&gt;$B121)*(A_Corridor!$I$5:$I$204&lt;&gt;"")),IF(A_Corridor!$I$5:$I$204="-","",A_Corridor!$I$5:$I$204)),"")</f>
        <v/>
      </c>
      <c r="O121" s="182" t="str">
        <f>IFERROR(LOOKUP(2,1/((D_Points!$A$5:$A$204&lt;&gt;"")*(D_Points!$A$5:$A$204&gt;=$B121)*(D_Points!$A$5:$A$204&lt;$B121+P_Interval)*(UPPER(TRIM(D_Points!$B$5:$B$204))="PITCHING")*(D_Points!$H$5:$H$204&lt;&gt;"")),D_Points!$H$5:$H$204),"")</f>
        <v/>
      </c>
      <c r="P121" s="181" t="str">
        <f>IFERROR(LOOKUP(2,1/((B_Drainage!$A$5:$A$204&lt;&gt;"")*(B_Drainage!$A$5:$A$204&lt;=$B121)*(B_Drainage!$B$5:$B$204&gt;$B121)*(B_Drainage!$C$5:$C$204&lt;&gt;"")),IF(B_Drainage!$C$5:$C$204="-","",UPPER(B_Drainage!$C$5:$C$204))),"")</f>
        <v/>
      </c>
      <c r="Q121" s="181" t="str">
        <f>IFERROR(LOOKUP(2,1/((B_Drainage!$A$5:$A$204&lt;&gt;"")*(B_Drainage!$A$5:$A$204&lt;=$B121)*(B_Drainage!$B$5:$B$204&gt;$B121)*(B_Drainage!$D$5:$D$204&lt;&gt;"")),IF(B_Drainage!$D$5:$D$204="-","",UPPER(B_Drainage!$D$5:$D$204))),"")</f>
        <v/>
      </c>
      <c r="R121" s="182" t="str">
        <f>IFERROR(LOOKUP(2,1/((D_Points!$A$5:$A$204&lt;&gt;"")*(D_Points!$A$5:$A$204&gt;=$B121)*(D_Points!$A$5:$A$204&lt;$B121+P_Interval)*(RIGHT(UPPER(TRIM(D_Points!$B$5:$B$204)),8)="_CULVERT")),IF(LEFT(UPPER(TRIM(D_Points!$B$5:$B$204)),2)="EX",1,IF(LEFT(UPPER(TRIM(D_Points!$B$5:$B$204)),2)="PR",2,3))),"")</f>
        <v/>
      </c>
      <c r="S121" s="182" t="str">
        <f>IFERROR(LOOKUP(2,1/((D_Points!$A$5:$A$204&lt;&gt;"")*(D_Points!$A$5:$A$204&gt;=$B121)*(D_Points!$A$5:$A$204&lt;$B121+P_Interval)*(RIGHT(UPPER(TRIM(D_Points!$B$5:$B$204)),7)="_BRIDGE")),IF(LEFT(UPPER(TRIM(D_Points!$B$5:$B$204)),2)="EX",1,IF(LEFT(UPPER(TRIM(D_Points!$B$5:$B$204)),2)="PR",2,2))),"")</f>
        <v/>
      </c>
      <c r="T121" s="181" t="str">
        <f>IFERROR(LOOKUP(2,1/((B_Drainage!$A$5:$A$204&lt;&gt;"")*(B_Drainage!$A$5:$A$204&lt;=$B121)*(B_Drainage!$B$5:$B$204&gt;$B121)*(B_Drainage!$E$5:$E$204&lt;&gt;"")),IF(B_Drainage!$E$5:$E$204="-","",1)),"")</f>
        <v/>
      </c>
      <c r="U121" s="181" t="str">
        <f>IFERROR(LOOKUP(2,1/((B_Drainage!$A$5:$A$204&lt;&gt;"")*(B_Drainage!$A$5:$A$204&lt;=$B121)*(B_Drainage!$B$5:$B$204&gt;$B121)*(B_Drainage!$E$5:$E$204&lt;&gt;"")),IF(B_Drainage!$E$5:$E$204="-","",B_Drainage!$E$5:$E$204)),"")</f>
        <v/>
      </c>
      <c r="V121" s="181" t="str">
        <f>IFERROR(LOOKUP(2,1/((B_Drainage!$A$5:$A$204&lt;&gt;"")*(B_Drainage!$A$5:$A$204&lt;=$B121)*(B_Drainage!$B$5:$B$204&gt;$B121)*(B_Drainage!$F$5:$F$204&lt;&gt;"")),IF(B_Drainage!$F$5:$F$204="-","",1)),"")</f>
        <v/>
      </c>
      <c r="W121" s="181" t="str">
        <f>IFERROR(LOOKUP(2,1/((B_Drainage!$A$5:$A$204&lt;&gt;"")*(B_Drainage!$A$5:$A$204&lt;=$B121)*(B_Drainage!$B$5:$B$204&gt;$B121)*(B_Drainage!$F$5:$F$204&lt;&gt;"")),IF(B_Drainage!$F$5:$F$204="-","",B_Drainage!$F$5:$F$204)),"")</f>
        <v/>
      </c>
      <c r="X121" s="181" t="str">
        <f>IFERROR(LOOKUP(2,1/((B_Drainage!$A$5:$A$204&lt;&gt;"")*(B_Drainage!$A$5:$A$204&lt;=$B121)*(B_Drainage!$B$5:$B$204&gt;$B121)*(B_Drainage!$G$5:$G$204&lt;&gt;"")),IF(UPPER(B_Drainage!$G$5:$G$204)="Y",1,"")),"")</f>
        <v/>
      </c>
      <c r="Y121" s="181" t="str">
        <f>IFERROR(LOOKUP(2,1/((B_Drainage!$A$5:$A$204&lt;&gt;"")*(B_Drainage!$A$5:$A$204&lt;=$B121)*(B_Drainage!$B$5:$B$204&gt;$B121)*(B_Drainage!$H$5:$H$204&lt;&gt;"")),IF(UPPER(B_Drainage!$H$5:$H$204)="Y",1,"")),"")</f>
        <v/>
      </c>
      <c r="Z121" s="181" t="str">
        <f>IFERROR(LOOKUP(2,1/((B_Drainage!$A$5:$A$204&lt;&gt;"")*(B_Drainage!$A$5:$A$204&lt;=$B121)*(B_Drainage!$B$5:$B$204&gt;$B121)*(B_Drainage!$I$5:$I$204&lt;&gt;"")),IF(UPPER(B_Drainage!$I$5:$I$204)="Y",1,"")),"")</f>
        <v/>
      </c>
      <c r="AA121" s="181" t="str">
        <f>IFERROR(LOOKUP(2,1/((B_Drainage!$A$5:$A$204&lt;&gt;"")*(B_Drainage!$A$5:$A$204&lt;=$B121)*(B_Drainage!$B$5:$B$204&gt;$B121)*(B_Drainage!$J$5:$J$204&lt;&gt;"")),IF(UPPER(B_Drainage!$J$5:$J$204)="Y",1,"")),"")</f>
        <v/>
      </c>
      <c r="AB121" s="182" t="str">
        <f>IFERROR(LOOKUP(2,1/((B_Drainage!$A$5:$A$204&lt;&gt;"")*(B_Drainage!$A$5:$A$204&lt;=$B121)*(B_Drainage!$B$5:$B$204&gt;$B121)*(B_Drainage!$K$5:$K$204&lt;&gt;"")),IF(B_Drainage!$K$5:$K$204="-","",B_Drainage!$K$5:$K$204)),"")</f>
        <v/>
      </c>
      <c r="AC121" s="182" t="str">
        <f>IFERROR(LOOKUP(2,1/((B_Drainage!$A$5:$A$204&lt;&gt;"")*(B_Drainage!$A$5:$A$204&lt;=$B121)*(B_Drainage!$B$5:$B$204&gt;$B121)*(B_Drainage!$L$5:$L$204&lt;&gt;"")),IF(B_Drainage!$L$5:$L$204="-","",B_Drainage!$L$5:$L$204)),"")</f>
        <v/>
      </c>
      <c r="AD121" s="182" t="str">
        <f>IFERROR(LOOKUP(2,1/((D_Points!$A$5:$A$204&lt;&gt;"")*(D_Points!$A$5:$A$204&gt;=$B121)*(D_Points!$A$5:$A$204&lt;$B121+P_Interval)*(UPPER(TRIM(D_Points!$B$5:$B$204))="TURNOUT_L")*(D_Points!$H$5:$H$204&lt;&gt;"")),D_Points!$H$5:$H$204),"")</f>
        <v/>
      </c>
      <c r="AE121" s="182" t="str">
        <f>IFERROR(LOOKUP(2,1/((D_Points!$A$5:$A$204&lt;&gt;"")*(D_Points!$A$5:$A$204&gt;=$B121)*(D_Points!$A$5:$A$204&lt;$B121+P_Interval)*(UPPER(TRIM(D_Points!$B$5:$B$204))="TURNOUT_R")*(D_Points!$H$5:$H$204&lt;&gt;"")),D_Points!$H$5:$H$204),"")</f>
        <v/>
      </c>
      <c r="AF121" s="181" t="str">
        <f>IFERROR(LOOKUP(2,1/((B_Drainage!$A$5:$A$204&lt;&gt;"")*(B_Drainage!$A$5:$A$204&lt;=$B121)*(B_Drainage!$B$5:$B$204&gt;$B121)*(B_Drainage!$M$5:$M$204&lt;&gt;"")),IF(UPPER(B_Drainage!$M$5:$M$204)="Y",1,"")),"")</f>
        <v/>
      </c>
      <c r="AG121" s="181" t="str">
        <f>IFERROR(LOOKUP(2,1/((B_Drainage!$A$5:$A$204&lt;&gt;"")*(B_Drainage!$A$5:$A$204&lt;=$B121)*(B_Drainage!$B$5:$B$204&gt;$B121)*(B_Drainage!$N$5:$N$204&lt;&gt;"")),IF(UPPER(B_Drainage!$N$5:$N$204)="Y",1,"")),"")</f>
        <v/>
      </c>
      <c r="AH121" s="181" t="str">
        <f t="shared" si="8"/>
        <v/>
      </c>
      <c r="AI121" s="181" t="str">
        <f t="shared" si="9"/>
        <v/>
      </c>
      <c r="AJ121" s="181" t="str">
        <f t="shared" si="10"/>
        <v/>
      </c>
      <c r="AK121" s="181" t="str">
        <f t="shared" si="11"/>
        <v/>
      </c>
      <c r="AL121" s="181" t="str">
        <f t="shared" si="12"/>
        <v/>
      </c>
      <c r="AM121" s="181" t="str">
        <f t="shared" si="13"/>
        <v/>
      </c>
      <c r="AN121" s="181" t="str">
        <f t="shared" si="14"/>
        <v/>
      </c>
      <c r="AO121" s="192" t="str">
        <f t="shared" si="15"/>
        <v/>
      </c>
      <c r="AQ121" t="str">
        <f>IFERROR(LOOKUP(2,1/((C_Pavement!$A$5:$A$204&lt;&gt;"")*(C_Pavement!$A$5:$A$204&lt;=$B121)*(C_Pavement!$B$5:$B$204&gt;$B121)*(C_Pavement!$C$5:$C$204&lt;&gt;"")),ROW(C_Pavement!$C$5:$C$204)-4),"")</f>
        <v/>
      </c>
      <c r="AR121" t="str">
        <f>IF($AQ121="","",UPPER(TRIM(INDEX(C_Pavement!$C$5:$C$204,$AQ121))))</f>
        <v/>
      </c>
      <c r="AS121" t="str">
        <f>IF($AR121="","",IFERROR(MATCH($AR121,E_Rules!$A$5:$A$9,0),""))</f>
        <v/>
      </c>
      <c r="AT121" t="str">
        <f>IF($AQ121="","",IF(INDEX(C_Pavement!$D$5:$D$204,$AQ121)&lt;&gt;"",UPPER(TRIM(INDEX(C_Pavement!$D$5:$D$204,$AQ121))),IF($AS121="","",INDEX(E_Rules!$C$5:$C$9,$AS121))))</f>
        <v/>
      </c>
      <c r="AU121" t="str">
        <f>IF($AQ121="","",IF(INDEX(C_Pavement!$E$5:$E$204,$AQ121)&lt;&gt;"",IF(INDEX(C_Pavement!$E$5:$E$204,$AQ121)="-","",INDEX(C_Pavement!$E$5:$E$204,$AQ121)),IF($AS121="","",INDEX(E_Rules!$D$5:$D$9,$AS121))))</f>
        <v/>
      </c>
      <c r="AV121" t="str">
        <f>IF($AQ121="","",IF(INDEX(C_Pavement!$F$5:$F$204,$AQ121)&lt;&gt;"",IF(INDEX(C_Pavement!$F$5:$F$204,$AQ121)="-","",INDEX(C_Pavement!$F$5:$F$204,$AQ121)),IF($AS121="","",INDEX(E_Rules!$E$5:$E$9,$AS121))))</f>
        <v/>
      </c>
      <c r="AW121" t="str">
        <f>IF($AQ121="","",IF(INDEX(C_Pavement!$G$5:$G$204,$AQ121)&lt;&gt;"",IF(INDEX(C_Pavement!$G$5:$G$204,$AQ121)="-","",INDEX(C_Pavement!$G$5:$G$204,$AQ121)),IF($AS121="","",INDEX(E_Rules!$F$5:$F$9,$AS121))))</f>
        <v/>
      </c>
      <c r="AX121" t="str">
        <f>IF($AQ121="","",IF(INDEX(C_Pavement!$H$5:$H$204,$AQ121)&lt;&gt;"",IF(INDEX(C_Pavement!$H$5:$H$204,$AQ121)="-","",INDEX(C_Pavement!$H$5:$H$204,$AQ121)),IF($AS121="","",INDEX(E_Rules!$G$5:$G$9,$AS121))))</f>
        <v/>
      </c>
      <c r="AY121" t="str">
        <f>IF($AQ121="","",IF(INDEX(C_Pavement!$I$5:$I$204,$AQ121)&lt;&gt;"",IF(INDEX(C_Pavement!$I$5:$I$204,$AQ121)="-","",INDEX(C_Pavement!$I$5:$I$204,$AQ121)),IF($AS121="","",INDEX(E_Rules!$H$5:$H$9,$AS121))))</f>
        <v/>
      </c>
    </row>
    <row r="122" spans="1:51" ht="15.75" customHeight="1" x14ac:dyDescent="0.3">
      <c r="A122" s="189">
        <v>117</v>
      </c>
      <c r="B122" s="180">
        <v>5800</v>
      </c>
      <c r="C122" s="180" t="s">
        <v>428</v>
      </c>
      <c r="D122" s="181" t="str">
        <f>IFERROR(LOOKUP(2,1/((A_Corridor!$A$5:$A$204&lt;&gt;"")*(A_Corridor!$A$5:$A$204&lt;=$B122)*(A_Corridor!$B$5:$B$204&gt;$B122)*(A_Corridor!$C$5:$C$204&lt;&gt;"")),IF(UPPER(A_Corridor!$C$5:$C$204)="Y",1,"")),"")</f>
        <v/>
      </c>
      <c r="E122" s="181" t="str">
        <f>IFERROR(LOOKUP(2,1/((A_Corridor!$A$5:$A$204&lt;&gt;"")*(A_Corridor!$A$5:$A$204&lt;=$B122)*(A_Corridor!$B$5:$B$204&gt;$B122)*(A_Corridor!$D$5:$D$204&lt;&gt;"")),IF(A_Corridor!$D$5:$D$204="-","",UPPER(A_Corridor!$D$5:$D$204))),"")</f>
        <v/>
      </c>
      <c r="F122" s="181" t="str">
        <f>IFERROR(LOOKUP(2,1/((A_Corridor!$A$5:$A$204&lt;&gt;"")*(A_Corridor!$A$5:$A$204&lt;=$B122)*(A_Corridor!$B$5:$B$204&gt;$B122)*(A_Corridor!$E$5:$E$204&lt;&gt;"")),IF(A_Corridor!$E$5:$E$204="-","",1)),"")</f>
        <v/>
      </c>
      <c r="G122" s="182" t="str">
        <f>IFERROR(LOOKUP(2,1/((A_Corridor!$A$5:$A$204&lt;&gt;"")*(A_Corridor!$A$5:$A$204&lt;=$B122)*(A_Corridor!$B$5:$B$204&gt;$B122)*(A_Corridor!$E$5:$E$204&lt;&gt;"")),IF(A_Corridor!$E$5:$E$204="-","",A_Corridor!$E$5:$E$204)),"")</f>
        <v/>
      </c>
      <c r="H122" s="182" t="str">
        <f>IFERROR(LOOKUP(2,1/((D_Points!$A$5:$A$204&lt;&gt;"")*(D_Points!$A$5:$A$204&gt;=$B122)*(D_Points!$A$5:$A$204&lt;$B122+P_Interval)*(UPPER(TRIM(D_Points!$B$5:$B$204))="GULLY")*(D_Points!$H$5:$H$204&lt;&gt;"")),D_Points!$H$5:$H$204),"")</f>
        <v/>
      </c>
      <c r="I122" s="181" t="str">
        <f>IFERROR(LOOKUP(2,1/((A_Corridor!$A$5:$A$204&lt;&gt;"")*(A_Corridor!$A$5:$A$204&lt;=$B122)*(A_Corridor!$B$5:$B$204&gt;$B122)*(A_Corridor!$F$5:$F$204&lt;&gt;"")),IF(A_Corridor!$F$5:$F$204="-","",1)),"")</f>
        <v/>
      </c>
      <c r="J122" s="182" t="str">
        <f>IFERROR(LOOKUP(2,1/((A_Corridor!$A$5:$A$204&lt;&gt;"")*(A_Corridor!$A$5:$A$204&lt;=$B122)*(A_Corridor!$B$5:$B$204&gt;$B122)*(A_Corridor!$F$5:$F$204&lt;&gt;"")),IF(A_Corridor!$F$5:$F$204="-","",A_Corridor!$F$5:$F$204)),"")</f>
        <v/>
      </c>
      <c r="K122" s="182" t="str">
        <f>IFERROR(LOOKUP(2,1/((A_Corridor!$A$5:$A$204&lt;&gt;"")*(A_Corridor!$A$5:$A$204&lt;=$B122)*(A_Corridor!$B$5:$B$204&gt;$B122)*(A_Corridor!$G$5:$G$204&lt;&gt;"")),IF(A_Corridor!$G$5:$G$204="-","",A_Corridor!$G$5:$G$204)),"")</f>
        <v/>
      </c>
      <c r="L122" s="181" t="str">
        <f>IFERROR(LOOKUP(2,1/((A_Corridor!$A$5:$A$204&lt;&gt;"")*(A_Corridor!$A$5:$A$204&lt;=$B122)*(A_Corridor!$B$5:$B$204&gt;$B122)*(A_Corridor!$H$5:$H$204&lt;&gt;"")),IF(A_Corridor!$H$5:$H$204="-","",1)),"")</f>
        <v/>
      </c>
      <c r="M122" s="182" t="str">
        <f>IFERROR(LOOKUP(2,1/((A_Corridor!$A$5:$A$204&lt;&gt;"")*(A_Corridor!$A$5:$A$204&lt;=$B122)*(A_Corridor!$B$5:$B$204&gt;$B122)*(A_Corridor!$H$5:$H$204&lt;&gt;"")),IF(A_Corridor!$H$5:$H$204="-","",A_Corridor!$H$5:$H$204)),"")</f>
        <v/>
      </c>
      <c r="N122" s="182" t="str">
        <f>IFERROR(LOOKUP(2,1/((A_Corridor!$A$5:$A$204&lt;&gt;"")*(A_Corridor!$A$5:$A$204&lt;=$B122)*(A_Corridor!$B$5:$B$204&gt;$B122)*(A_Corridor!$I$5:$I$204&lt;&gt;"")),IF(A_Corridor!$I$5:$I$204="-","",A_Corridor!$I$5:$I$204)),"")</f>
        <v/>
      </c>
      <c r="O122" s="182" t="str">
        <f>IFERROR(LOOKUP(2,1/((D_Points!$A$5:$A$204&lt;&gt;"")*(D_Points!$A$5:$A$204&gt;=$B122)*(D_Points!$A$5:$A$204&lt;$B122+P_Interval)*(UPPER(TRIM(D_Points!$B$5:$B$204))="PITCHING")*(D_Points!$H$5:$H$204&lt;&gt;"")),D_Points!$H$5:$H$204),"")</f>
        <v/>
      </c>
      <c r="P122" s="181" t="str">
        <f>IFERROR(LOOKUP(2,1/((B_Drainage!$A$5:$A$204&lt;&gt;"")*(B_Drainage!$A$5:$A$204&lt;=$B122)*(B_Drainage!$B$5:$B$204&gt;$B122)*(B_Drainage!$C$5:$C$204&lt;&gt;"")),IF(B_Drainage!$C$5:$C$204="-","",UPPER(B_Drainage!$C$5:$C$204))),"")</f>
        <v/>
      </c>
      <c r="Q122" s="181" t="str">
        <f>IFERROR(LOOKUP(2,1/((B_Drainage!$A$5:$A$204&lt;&gt;"")*(B_Drainage!$A$5:$A$204&lt;=$B122)*(B_Drainage!$B$5:$B$204&gt;$B122)*(B_Drainage!$D$5:$D$204&lt;&gt;"")),IF(B_Drainage!$D$5:$D$204="-","",UPPER(B_Drainage!$D$5:$D$204))),"")</f>
        <v/>
      </c>
      <c r="R122" s="182" t="str">
        <f>IFERROR(LOOKUP(2,1/((D_Points!$A$5:$A$204&lt;&gt;"")*(D_Points!$A$5:$A$204&gt;=$B122)*(D_Points!$A$5:$A$204&lt;$B122+P_Interval)*(RIGHT(UPPER(TRIM(D_Points!$B$5:$B$204)),8)="_CULVERT")),IF(LEFT(UPPER(TRIM(D_Points!$B$5:$B$204)),2)="EX",1,IF(LEFT(UPPER(TRIM(D_Points!$B$5:$B$204)),2)="PR",2,3))),"")</f>
        <v/>
      </c>
      <c r="S122" s="182" t="str">
        <f>IFERROR(LOOKUP(2,1/((D_Points!$A$5:$A$204&lt;&gt;"")*(D_Points!$A$5:$A$204&gt;=$B122)*(D_Points!$A$5:$A$204&lt;$B122+P_Interval)*(RIGHT(UPPER(TRIM(D_Points!$B$5:$B$204)),7)="_BRIDGE")),IF(LEFT(UPPER(TRIM(D_Points!$B$5:$B$204)),2)="EX",1,IF(LEFT(UPPER(TRIM(D_Points!$B$5:$B$204)),2)="PR",2,2))),"")</f>
        <v/>
      </c>
      <c r="T122" s="181" t="str">
        <f>IFERROR(LOOKUP(2,1/((B_Drainage!$A$5:$A$204&lt;&gt;"")*(B_Drainage!$A$5:$A$204&lt;=$B122)*(B_Drainage!$B$5:$B$204&gt;$B122)*(B_Drainage!$E$5:$E$204&lt;&gt;"")),IF(B_Drainage!$E$5:$E$204="-","",1)),"")</f>
        <v/>
      </c>
      <c r="U122" s="181" t="str">
        <f>IFERROR(LOOKUP(2,1/((B_Drainage!$A$5:$A$204&lt;&gt;"")*(B_Drainage!$A$5:$A$204&lt;=$B122)*(B_Drainage!$B$5:$B$204&gt;$B122)*(B_Drainage!$E$5:$E$204&lt;&gt;"")),IF(B_Drainage!$E$5:$E$204="-","",B_Drainage!$E$5:$E$204)),"")</f>
        <v/>
      </c>
      <c r="V122" s="181" t="str">
        <f>IFERROR(LOOKUP(2,1/((B_Drainage!$A$5:$A$204&lt;&gt;"")*(B_Drainage!$A$5:$A$204&lt;=$B122)*(B_Drainage!$B$5:$B$204&gt;$B122)*(B_Drainage!$F$5:$F$204&lt;&gt;"")),IF(B_Drainage!$F$5:$F$204="-","",1)),"")</f>
        <v/>
      </c>
      <c r="W122" s="181" t="str">
        <f>IFERROR(LOOKUP(2,1/((B_Drainage!$A$5:$A$204&lt;&gt;"")*(B_Drainage!$A$5:$A$204&lt;=$B122)*(B_Drainage!$B$5:$B$204&gt;$B122)*(B_Drainage!$F$5:$F$204&lt;&gt;"")),IF(B_Drainage!$F$5:$F$204="-","",B_Drainage!$F$5:$F$204)),"")</f>
        <v/>
      </c>
      <c r="X122" s="181" t="str">
        <f>IFERROR(LOOKUP(2,1/((B_Drainage!$A$5:$A$204&lt;&gt;"")*(B_Drainage!$A$5:$A$204&lt;=$B122)*(B_Drainage!$B$5:$B$204&gt;$B122)*(B_Drainage!$G$5:$G$204&lt;&gt;"")),IF(UPPER(B_Drainage!$G$5:$G$204)="Y",1,"")),"")</f>
        <v/>
      </c>
      <c r="Y122" s="181" t="str">
        <f>IFERROR(LOOKUP(2,1/((B_Drainage!$A$5:$A$204&lt;&gt;"")*(B_Drainage!$A$5:$A$204&lt;=$B122)*(B_Drainage!$B$5:$B$204&gt;$B122)*(B_Drainage!$H$5:$H$204&lt;&gt;"")),IF(UPPER(B_Drainage!$H$5:$H$204)="Y",1,"")),"")</f>
        <v/>
      </c>
      <c r="Z122" s="181" t="str">
        <f>IFERROR(LOOKUP(2,1/((B_Drainage!$A$5:$A$204&lt;&gt;"")*(B_Drainage!$A$5:$A$204&lt;=$B122)*(B_Drainage!$B$5:$B$204&gt;$B122)*(B_Drainage!$I$5:$I$204&lt;&gt;"")),IF(UPPER(B_Drainage!$I$5:$I$204)="Y",1,"")),"")</f>
        <v/>
      </c>
      <c r="AA122" s="181" t="str">
        <f>IFERROR(LOOKUP(2,1/((B_Drainage!$A$5:$A$204&lt;&gt;"")*(B_Drainage!$A$5:$A$204&lt;=$B122)*(B_Drainage!$B$5:$B$204&gt;$B122)*(B_Drainage!$J$5:$J$204&lt;&gt;"")),IF(UPPER(B_Drainage!$J$5:$J$204)="Y",1,"")),"")</f>
        <v/>
      </c>
      <c r="AB122" s="182" t="str">
        <f>IFERROR(LOOKUP(2,1/((B_Drainage!$A$5:$A$204&lt;&gt;"")*(B_Drainage!$A$5:$A$204&lt;=$B122)*(B_Drainage!$B$5:$B$204&gt;$B122)*(B_Drainage!$K$5:$K$204&lt;&gt;"")),IF(B_Drainage!$K$5:$K$204="-","",B_Drainage!$K$5:$K$204)),"")</f>
        <v/>
      </c>
      <c r="AC122" s="182" t="str">
        <f>IFERROR(LOOKUP(2,1/((B_Drainage!$A$5:$A$204&lt;&gt;"")*(B_Drainage!$A$5:$A$204&lt;=$B122)*(B_Drainage!$B$5:$B$204&gt;$B122)*(B_Drainage!$L$5:$L$204&lt;&gt;"")),IF(B_Drainage!$L$5:$L$204="-","",B_Drainage!$L$5:$L$204)),"")</f>
        <v/>
      </c>
      <c r="AD122" s="182" t="str">
        <f>IFERROR(LOOKUP(2,1/((D_Points!$A$5:$A$204&lt;&gt;"")*(D_Points!$A$5:$A$204&gt;=$B122)*(D_Points!$A$5:$A$204&lt;$B122+P_Interval)*(UPPER(TRIM(D_Points!$B$5:$B$204))="TURNOUT_L")*(D_Points!$H$5:$H$204&lt;&gt;"")),D_Points!$H$5:$H$204),"")</f>
        <v/>
      </c>
      <c r="AE122" s="182" t="str">
        <f>IFERROR(LOOKUP(2,1/((D_Points!$A$5:$A$204&lt;&gt;"")*(D_Points!$A$5:$A$204&gt;=$B122)*(D_Points!$A$5:$A$204&lt;$B122+P_Interval)*(UPPER(TRIM(D_Points!$B$5:$B$204))="TURNOUT_R")*(D_Points!$H$5:$H$204&lt;&gt;"")),D_Points!$H$5:$H$204),"")</f>
        <v/>
      </c>
      <c r="AF122" s="181" t="str">
        <f>IFERROR(LOOKUP(2,1/((B_Drainage!$A$5:$A$204&lt;&gt;"")*(B_Drainage!$A$5:$A$204&lt;=$B122)*(B_Drainage!$B$5:$B$204&gt;$B122)*(B_Drainage!$M$5:$M$204&lt;&gt;"")),IF(UPPER(B_Drainage!$M$5:$M$204)="Y",1,"")),"")</f>
        <v/>
      </c>
      <c r="AG122" s="181" t="str">
        <f>IFERROR(LOOKUP(2,1/((B_Drainage!$A$5:$A$204&lt;&gt;"")*(B_Drainage!$A$5:$A$204&lt;=$B122)*(B_Drainage!$B$5:$B$204&gt;$B122)*(B_Drainage!$N$5:$N$204&lt;&gt;"")),IF(UPPER(B_Drainage!$N$5:$N$204)="Y",1,"")),"")</f>
        <v/>
      </c>
      <c r="AH122" s="181" t="str">
        <f t="shared" si="8"/>
        <v/>
      </c>
      <c r="AI122" s="181" t="str">
        <f t="shared" si="9"/>
        <v/>
      </c>
      <c r="AJ122" s="181" t="str">
        <f t="shared" si="10"/>
        <v/>
      </c>
      <c r="AK122" s="181" t="str">
        <f t="shared" si="11"/>
        <v/>
      </c>
      <c r="AL122" s="181" t="str">
        <f t="shared" si="12"/>
        <v/>
      </c>
      <c r="AM122" s="181" t="str">
        <f t="shared" si="13"/>
        <v/>
      </c>
      <c r="AN122" s="181" t="str">
        <f t="shared" si="14"/>
        <v/>
      </c>
      <c r="AO122" s="192" t="str">
        <f t="shared" si="15"/>
        <v/>
      </c>
      <c r="AQ122" t="str">
        <f>IFERROR(LOOKUP(2,1/((C_Pavement!$A$5:$A$204&lt;&gt;"")*(C_Pavement!$A$5:$A$204&lt;=$B122)*(C_Pavement!$B$5:$B$204&gt;$B122)*(C_Pavement!$C$5:$C$204&lt;&gt;"")),ROW(C_Pavement!$C$5:$C$204)-4),"")</f>
        <v/>
      </c>
      <c r="AR122" t="str">
        <f>IF($AQ122="","",UPPER(TRIM(INDEX(C_Pavement!$C$5:$C$204,$AQ122))))</f>
        <v/>
      </c>
      <c r="AS122" t="str">
        <f>IF($AR122="","",IFERROR(MATCH($AR122,E_Rules!$A$5:$A$9,0),""))</f>
        <v/>
      </c>
      <c r="AT122" t="str">
        <f>IF($AQ122="","",IF(INDEX(C_Pavement!$D$5:$D$204,$AQ122)&lt;&gt;"",UPPER(TRIM(INDEX(C_Pavement!$D$5:$D$204,$AQ122))),IF($AS122="","",INDEX(E_Rules!$C$5:$C$9,$AS122))))</f>
        <v/>
      </c>
      <c r="AU122" t="str">
        <f>IF($AQ122="","",IF(INDEX(C_Pavement!$E$5:$E$204,$AQ122)&lt;&gt;"",IF(INDEX(C_Pavement!$E$5:$E$204,$AQ122)="-","",INDEX(C_Pavement!$E$5:$E$204,$AQ122)),IF($AS122="","",INDEX(E_Rules!$D$5:$D$9,$AS122))))</f>
        <v/>
      </c>
      <c r="AV122" t="str">
        <f>IF($AQ122="","",IF(INDEX(C_Pavement!$F$5:$F$204,$AQ122)&lt;&gt;"",IF(INDEX(C_Pavement!$F$5:$F$204,$AQ122)="-","",INDEX(C_Pavement!$F$5:$F$204,$AQ122)),IF($AS122="","",INDEX(E_Rules!$E$5:$E$9,$AS122))))</f>
        <v/>
      </c>
      <c r="AW122" t="str">
        <f>IF($AQ122="","",IF(INDEX(C_Pavement!$G$5:$G$204,$AQ122)&lt;&gt;"",IF(INDEX(C_Pavement!$G$5:$G$204,$AQ122)="-","",INDEX(C_Pavement!$G$5:$G$204,$AQ122)),IF($AS122="","",INDEX(E_Rules!$F$5:$F$9,$AS122))))</f>
        <v/>
      </c>
      <c r="AX122" t="str">
        <f>IF($AQ122="","",IF(INDEX(C_Pavement!$H$5:$H$204,$AQ122)&lt;&gt;"",IF(INDEX(C_Pavement!$H$5:$H$204,$AQ122)="-","",INDEX(C_Pavement!$H$5:$H$204,$AQ122)),IF($AS122="","",INDEX(E_Rules!$G$5:$G$9,$AS122))))</f>
        <v/>
      </c>
      <c r="AY122" t="str">
        <f>IF($AQ122="","",IF(INDEX(C_Pavement!$I$5:$I$204,$AQ122)&lt;&gt;"",IF(INDEX(C_Pavement!$I$5:$I$204,$AQ122)="-","",INDEX(C_Pavement!$I$5:$I$204,$AQ122)),IF($AS122="","",INDEX(E_Rules!$H$5:$H$9,$AS122))))</f>
        <v/>
      </c>
    </row>
    <row r="123" spans="1:51" ht="15.75" customHeight="1" x14ac:dyDescent="0.3">
      <c r="A123" s="189">
        <v>118</v>
      </c>
      <c r="B123" s="180">
        <v>5850</v>
      </c>
      <c r="C123" s="180" t="s">
        <v>429</v>
      </c>
      <c r="D123" s="181" t="str">
        <f>IFERROR(LOOKUP(2,1/((A_Corridor!$A$5:$A$204&lt;&gt;"")*(A_Corridor!$A$5:$A$204&lt;=$B123)*(A_Corridor!$B$5:$B$204&gt;$B123)*(A_Corridor!$C$5:$C$204&lt;&gt;"")),IF(UPPER(A_Corridor!$C$5:$C$204)="Y",1,"")),"")</f>
        <v/>
      </c>
      <c r="E123" s="181" t="str">
        <f>IFERROR(LOOKUP(2,1/((A_Corridor!$A$5:$A$204&lt;&gt;"")*(A_Corridor!$A$5:$A$204&lt;=$B123)*(A_Corridor!$B$5:$B$204&gt;$B123)*(A_Corridor!$D$5:$D$204&lt;&gt;"")),IF(A_Corridor!$D$5:$D$204="-","",UPPER(A_Corridor!$D$5:$D$204))),"")</f>
        <v/>
      </c>
      <c r="F123" s="181" t="str">
        <f>IFERROR(LOOKUP(2,1/((A_Corridor!$A$5:$A$204&lt;&gt;"")*(A_Corridor!$A$5:$A$204&lt;=$B123)*(A_Corridor!$B$5:$B$204&gt;$B123)*(A_Corridor!$E$5:$E$204&lt;&gt;"")),IF(A_Corridor!$E$5:$E$204="-","",1)),"")</f>
        <v/>
      </c>
      <c r="G123" s="182" t="str">
        <f>IFERROR(LOOKUP(2,1/((A_Corridor!$A$5:$A$204&lt;&gt;"")*(A_Corridor!$A$5:$A$204&lt;=$B123)*(A_Corridor!$B$5:$B$204&gt;$B123)*(A_Corridor!$E$5:$E$204&lt;&gt;"")),IF(A_Corridor!$E$5:$E$204="-","",A_Corridor!$E$5:$E$204)),"")</f>
        <v/>
      </c>
      <c r="H123" s="182" t="str">
        <f>IFERROR(LOOKUP(2,1/((D_Points!$A$5:$A$204&lt;&gt;"")*(D_Points!$A$5:$A$204&gt;=$B123)*(D_Points!$A$5:$A$204&lt;$B123+P_Interval)*(UPPER(TRIM(D_Points!$B$5:$B$204))="GULLY")*(D_Points!$H$5:$H$204&lt;&gt;"")),D_Points!$H$5:$H$204),"")</f>
        <v/>
      </c>
      <c r="I123" s="181" t="str">
        <f>IFERROR(LOOKUP(2,1/((A_Corridor!$A$5:$A$204&lt;&gt;"")*(A_Corridor!$A$5:$A$204&lt;=$B123)*(A_Corridor!$B$5:$B$204&gt;$B123)*(A_Corridor!$F$5:$F$204&lt;&gt;"")),IF(A_Corridor!$F$5:$F$204="-","",1)),"")</f>
        <v/>
      </c>
      <c r="J123" s="182" t="str">
        <f>IFERROR(LOOKUP(2,1/((A_Corridor!$A$5:$A$204&lt;&gt;"")*(A_Corridor!$A$5:$A$204&lt;=$B123)*(A_Corridor!$B$5:$B$204&gt;$B123)*(A_Corridor!$F$5:$F$204&lt;&gt;"")),IF(A_Corridor!$F$5:$F$204="-","",A_Corridor!$F$5:$F$204)),"")</f>
        <v/>
      </c>
      <c r="K123" s="182" t="str">
        <f>IFERROR(LOOKUP(2,1/((A_Corridor!$A$5:$A$204&lt;&gt;"")*(A_Corridor!$A$5:$A$204&lt;=$B123)*(A_Corridor!$B$5:$B$204&gt;$B123)*(A_Corridor!$G$5:$G$204&lt;&gt;"")),IF(A_Corridor!$G$5:$G$204="-","",A_Corridor!$G$5:$G$204)),"")</f>
        <v/>
      </c>
      <c r="L123" s="181" t="str">
        <f>IFERROR(LOOKUP(2,1/((A_Corridor!$A$5:$A$204&lt;&gt;"")*(A_Corridor!$A$5:$A$204&lt;=$B123)*(A_Corridor!$B$5:$B$204&gt;$B123)*(A_Corridor!$H$5:$H$204&lt;&gt;"")),IF(A_Corridor!$H$5:$H$204="-","",1)),"")</f>
        <v/>
      </c>
      <c r="M123" s="182" t="str">
        <f>IFERROR(LOOKUP(2,1/((A_Corridor!$A$5:$A$204&lt;&gt;"")*(A_Corridor!$A$5:$A$204&lt;=$B123)*(A_Corridor!$B$5:$B$204&gt;$B123)*(A_Corridor!$H$5:$H$204&lt;&gt;"")),IF(A_Corridor!$H$5:$H$204="-","",A_Corridor!$H$5:$H$204)),"")</f>
        <v/>
      </c>
      <c r="N123" s="182" t="str">
        <f>IFERROR(LOOKUP(2,1/((A_Corridor!$A$5:$A$204&lt;&gt;"")*(A_Corridor!$A$5:$A$204&lt;=$B123)*(A_Corridor!$B$5:$B$204&gt;$B123)*(A_Corridor!$I$5:$I$204&lt;&gt;"")),IF(A_Corridor!$I$5:$I$204="-","",A_Corridor!$I$5:$I$204)),"")</f>
        <v/>
      </c>
      <c r="O123" s="182" t="str">
        <f>IFERROR(LOOKUP(2,1/((D_Points!$A$5:$A$204&lt;&gt;"")*(D_Points!$A$5:$A$204&gt;=$B123)*(D_Points!$A$5:$A$204&lt;$B123+P_Interval)*(UPPER(TRIM(D_Points!$B$5:$B$204))="PITCHING")*(D_Points!$H$5:$H$204&lt;&gt;"")),D_Points!$H$5:$H$204),"")</f>
        <v/>
      </c>
      <c r="P123" s="181" t="str">
        <f>IFERROR(LOOKUP(2,1/((B_Drainage!$A$5:$A$204&lt;&gt;"")*(B_Drainage!$A$5:$A$204&lt;=$B123)*(B_Drainage!$B$5:$B$204&gt;$B123)*(B_Drainage!$C$5:$C$204&lt;&gt;"")),IF(B_Drainage!$C$5:$C$204="-","",UPPER(B_Drainage!$C$5:$C$204))),"")</f>
        <v/>
      </c>
      <c r="Q123" s="181" t="str">
        <f>IFERROR(LOOKUP(2,1/((B_Drainage!$A$5:$A$204&lt;&gt;"")*(B_Drainage!$A$5:$A$204&lt;=$B123)*(B_Drainage!$B$5:$B$204&gt;$B123)*(B_Drainage!$D$5:$D$204&lt;&gt;"")),IF(B_Drainage!$D$5:$D$204="-","",UPPER(B_Drainage!$D$5:$D$204))),"")</f>
        <v/>
      </c>
      <c r="R123" s="182" t="str">
        <f>IFERROR(LOOKUP(2,1/((D_Points!$A$5:$A$204&lt;&gt;"")*(D_Points!$A$5:$A$204&gt;=$B123)*(D_Points!$A$5:$A$204&lt;$B123+P_Interval)*(RIGHT(UPPER(TRIM(D_Points!$B$5:$B$204)),8)="_CULVERT")),IF(LEFT(UPPER(TRIM(D_Points!$B$5:$B$204)),2)="EX",1,IF(LEFT(UPPER(TRIM(D_Points!$B$5:$B$204)),2)="PR",2,3))),"")</f>
        <v/>
      </c>
      <c r="S123" s="182" t="str">
        <f>IFERROR(LOOKUP(2,1/((D_Points!$A$5:$A$204&lt;&gt;"")*(D_Points!$A$5:$A$204&gt;=$B123)*(D_Points!$A$5:$A$204&lt;$B123+P_Interval)*(RIGHT(UPPER(TRIM(D_Points!$B$5:$B$204)),7)="_BRIDGE")),IF(LEFT(UPPER(TRIM(D_Points!$B$5:$B$204)),2)="EX",1,IF(LEFT(UPPER(TRIM(D_Points!$B$5:$B$204)),2)="PR",2,2))),"")</f>
        <v/>
      </c>
      <c r="T123" s="181" t="str">
        <f>IFERROR(LOOKUP(2,1/((B_Drainage!$A$5:$A$204&lt;&gt;"")*(B_Drainage!$A$5:$A$204&lt;=$B123)*(B_Drainage!$B$5:$B$204&gt;$B123)*(B_Drainage!$E$5:$E$204&lt;&gt;"")),IF(B_Drainage!$E$5:$E$204="-","",1)),"")</f>
        <v/>
      </c>
      <c r="U123" s="181" t="str">
        <f>IFERROR(LOOKUP(2,1/((B_Drainage!$A$5:$A$204&lt;&gt;"")*(B_Drainage!$A$5:$A$204&lt;=$B123)*(B_Drainage!$B$5:$B$204&gt;$B123)*(B_Drainage!$E$5:$E$204&lt;&gt;"")),IF(B_Drainage!$E$5:$E$204="-","",B_Drainage!$E$5:$E$204)),"")</f>
        <v/>
      </c>
      <c r="V123" s="181" t="str">
        <f>IFERROR(LOOKUP(2,1/((B_Drainage!$A$5:$A$204&lt;&gt;"")*(B_Drainage!$A$5:$A$204&lt;=$B123)*(B_Drainage!$B$5:$B$204&gt;$B123)*(B_Drainage!$F$5:$F$204&lt;&gt;"")),IF(B_Drainage!$F$5:$F$204="-","",1)),"")</f>
        <v/>
      </c>
      <c r="W123" s="181" t="str">
        <f>IFERROR(LOOKUP(2,1/((B_Drainage!$A$5:$A$204&lt;&gt;"")*(B_Drainage!$A$5:$A$204&lt;=$B123)*(B_Drainage!$B$5:$B$204&gt;$B123)*(B_Drainage!$F$5:$F$204&lt;&gt;"")),IF(B_Drainage!$F$5:$F$204="-","",B_Drainage!$F$5:$F$204)),"")</f>
        <v/>
      </c>
      <c r="X123" s="181" t="str">
        <f>IFERROR(LOOKUP(2,1/((B_Drainage!$A$5:$A$204&lt;&gt;"")*(B_Drainage!$A$5:$A$204&lt;=$B123)*(B_Drainage!$B$5:$B$204&gt;$B123)*(B_Drainage!$G$5:$G$204&lt;&gt;"")),IF(UPPER(B_Drainage!$G$5:$G$204)="Y",1,"")),"")</f>
        <v/>
      </c>
      <c r="Y123" s="181" t="str">
        <f>IFERROR(LOOKUP(2,1/((B_Drainage!$A$5:$A$204&lt;&gt;"")*(B_Drainage!$A$5:$A$204&lt;=$B123)*(B_Drainage!$B$5:$B$204&gt;$B123)*(B_Drainage!$H$5:$H$204&lt;&gt;"")),IF(UPPER(B_Drainage!$H$5:$H$204)="Y",1,"")),"")</f>
        <v/>
      </c>
      <c r="Z123" s="181" t="str">
        <f>IFERROR(LOOKUP(2,1/((B_Drainage!$A$5:$A$204&lt;&gt;"")*(B_Drainage!$A$5:$A$204&lt;=$B123)*(B_Drainage!$B$5:$B$204&gt;$B123)*(B_Drainage!$I$5:$I$204&lt;&gt;"")),IF(UPPER(B_Drainage!$I$5:$I$204)="Y",1,"")),"")</f>
        <v/>
      </c>
      <c r="AA123" s="181" t="str">
        <f>IFERROR(LOOKUP(2,1/((B_Drainage!$A$5:$A$204&lt;&gt;"")*(B_Drainage!$A$5:$A$204&lt;=$B123)*(B_Drainage!$B$5:$B$204&gt;$B123)*(B_Drainage!$J$5:$J$204&lt;&gt;"")),IF(UPPER(B_Drainage!$J$5:$J$204)="Y",1,"")),"")</f>
        <v/>
      </c>
      <c r="AB123" s="182" t="str">
        <f>IFERROR(LOOKUP(2,1/((B_Drainage!$A$5:$A$204&lt;&gt;"")*(B_Drainage!$A$5:$A$204&lt;=$B123)*(B_Drainage!$B$5:$B$204&gt;$B123)*(B_Drainage!$K$5:$K$204&lt;&gt;"")),IF(B_Drainage!$K$5:$K$204="-","",B_Drainage!$K$5:$K$204)),"")</f>
        <v/>
      </c>
      <c r="AC123" s="182" t="str">
        <f>IFERROR(LOOKUP(2,1/((B_Drainage!$A$5:$A$204&lt;&gt;"")*(B_Drainage!$A$5:$A$204&lt;=$B123)*(B_Drainage!$B$5:$B$204&gt;$B123)*(B_Drainage!$L$5:$L$204&lt;&gt;"")),IF(B_Drainage!$L$5:$L$204="-","",B_Drainage!$L$5:$L$204)),"")</f>
        <v/>
      </c>
      <c r="AD123" s="182" t="str">
        <f>IFERROR(LOOKUP(2,1/((D_Points!$A$5:$A$204&lt;&gt;"")*(D_Points!$A$5:$A$204&gt;=$B123)*(D_Points!$A$5:$A$204&lt;$B123+P_Interval)*(UPPER(TRIM(D_Points!$B$5:$B$204))="TURNOUT_L")*(D_Points!$H$5:$H$204&lt;&gt;"")),D_Points!$H$5:$H$204),"")</f>
        <v/>
      </c>
      <c r="AE123" s="182" t="str">
        <f>IFERROR(LOOKUP(2,1/((D_Points!$A$5:$A$204&lt;&gt;"")*(D_Points!$A$5:$A$204&gt;=$B123)*(D_Points!$A$5:$A$204&lt;$B123+P_Interval)*(UPPER(TRIM(D_Points!$B$5:$B$204))="TURNOUT_R")*(D_Points!$H$5:$H$204&lt;&gt;"")),D_Points!$H$5:$H$204),"")</f>
        <v/>
      </c>
      <c r="AF123" s="181" t="str">
        <f>IFERROR(LOOKUP(2,1/((B_Drainage!$A$5:$A$204&lt;&gt;"")*(B_Drainage!$A$5:$A$204&lt;=$B123)*(B_Drainage!$B$5:$B$204&gt;$B123)*(B_Drainage!$M$5:$M$204&lt;&gt;"")),IF(UPPER(B_Drainage!$M$5:$M$204)="Y",1,"")),"")</f>
        <v/>
      </c>
      <c r="AG123" s="181" t="str">
        <f>IFERROR(LOOKUP(2,1/((B_Drainage!$A$5:$A$204&lt;&gt;"")*(B_Drainage!$A$5:$A$204&lt;=$B123)*(B_Drainage!$B$5:$B$204&gt;$B123)*(B_Drainage!$N$5:$N$204&lt;&gt;"")),IF(UPPER(B_Drainage!$N$5:$N$204)="Y",1,"")),"")</f>
        <v/>
      </c>
      <c r="AH123" s="181" t="str">
        <f t="shared" si="8"/>
        <v/>
      </c>
      <c r="AI123" s="181" t="str">
        <f t="shared" si="9"/>
        <v/>
      </c>
      <c r="AJ123" s="181" t="str">
        <f t="shared" si="10"/>
        <v/>
      </c>
      <c r="AK123" s="181" t="str">
        <f t="shared" si="11"/>
        <v/>
      </c>
      <c r="AL123" s="181" t="str">
        <f t="shared" si="12"/>
        <v/>
      </c>
      <c r="AM123" s="181" t="str">
        <f t="shared" si="13"/>
        <v/>
      </c>
      <c r="AN123" s="181" t="str">
        <f t="shared" si="14"/>
        <v/>
      </c>
      <c r="AO123" s="192" t="str">
        <f t="shared" si="15"/>
        <v/>
      </c>
      <c r="AQ123" t="str">
        <f>IFERROR(LOOKUP(2,1/((C_Pavement!$A$5:$A$204&lt;&gt;"")*(C_Pavement!$A$5:$A$204&lt;=$B123)*(C_Pavement!$B$5:$B$204&gt;$B123)*(C_Pavement!$C$5:$C$204&lt;&gt;"")),ROW(C_Pavement!$C$5:$C$204)-4),"")</f>
        <v/>
      </c>
      <c r="AR123" t="str">
        <f>IF($AQ123="","",UPPER(TRIM(INDEX(C_Pavement!$C$5:$C$204,$AQ123))))</f>
        <v/>
      </c>
      <c r="AS123" t="str">
        <f>IF($AR123="","",IFERROR(MATCH($AR123,E_Rules!$A$5:$A$9,0),""))</f>
        <v/>
      </c>
      <c r="AT123" t="str">
        <f>IF($AQ123="","",IF(INDEX(C_Pavement!$D$5:$D$204,$AQ123)&lt;&gt;"",UPPER(TRIM(INDEX(C_Pavement!$D$5:$D$204,$AQ123))),IF($AS123="","",INDEX(E_Rules!$C$5:$C$9,$AS123))))</f>
        <v/>
      </c>
      <c r="AU123" t="str">
        <f>IF($AQ123="","",IF(INDEX(C_Pavement!$E$5:$E$204,$AQ123)&lt;&gt;"",IF(INDEX(C_Pavement!$E$5:$E$204,$AQ123)="-","",INDEX(C_Pavement!$E$5:$E$204,$AQ123)),IF($AS123="","",INDEX(E_Rules!$D$5:$D$9,$AS123))))</f>
        <v/>
      </c>
      <c r="AV123" t="str">
        <f>IF($AQ123="","",IF(INDEX(C_Pavement!$F$5:$F$204,$AQ123)&lt;&gt;"",IF(INDEX(C_Pavement!$F$5:$F$204,$AQ123)="-","",INDEX(C_Pavement!$F$5:$F$204,$AQ123)),IF($AS123="","",INDEX(E_Rules!$E$5:$E$9,$AS123))))</f>
        <v/>
      </c>
      <c r="AW123" t="str">
        <f>IF($AQ123="","",IF(INDEX(C_Pavement!$G$5:$G$204,$AQ123)&lt;&gt;"",IF(INDEX(C_Pavement!$G$5:$G$204,$AQ123)="-","",INDEX(C_Pavement!$G$5:$G$204,$AQ123)),IF($AS123="","",INDEX(E_Rules!$F$5:$F$9,$AS123))))</f>
        <v/>
      </c>
      <c r="AX123" t="str">
        <f>IF($AQ123="","",IF(INDEX(C_Pavement!$H$5:$H$204,$AQ123)&lt;&gt;"",IF(INDEX(C_Pavement!$H$5:$H$204,$AQ123)="-","",INDEX(C_Pavement!$H$5:$H$204,$AQ123)),IF($AS123="","",INDEX(E_Rules!$G$5:$G$9,$AS123))))</f>
        <v/>
      </c>
      <c r="AY123" t="str">
        <f>IF($AQ123="","",IF(INDEX(C_Pavement!$I$5:$I$204,$AQ123)&lt;&gt;"",IF(INDEX(C_Pavement!$I$5:$I$204,$AQ123)="-","",INDEX(C_Pavement!$I$5:$I$204,$AQ123)),IF($AS123="","",INDEX(E_Rules!$H$5:$H$9,$AS123))))</f>
        <v/>
      </c>
    </row>
    <row r="124" spans="1:51" ht="15.75" customHeight="1" x14ac:dyDescent="0.3">
      <c r="A124" s="189">
        <v>119</v>
      </c>
      <c r="B124" s="180">
        <v>5900</v>
      </c>
      <c r="C124" s="180" t="s">
        <v>430</v>
      </c>
      <c r="D124" s="181" t="str">
        <f>IFERROR(LOOKUP(2,1/((A_Corridor!$A$5:$A$204&lt;&gt;"")*(A_Corridor!$A$5:$A$204&lt;=$B124)*(A_Corridor!$B$5:$B$204&gt;$B124)*(A_Corridor!$C$5:$C$204&lt;&gt;"")),IF(UPPER(A_Corridor!$C$5:$C$204)="Y",1,"")),"")</f>
        <v/>
      </c>
      <c r="E124" s="181" t="str">
        <f>IFERROR(LOOKUP(2,1/((A_Corridor!$A$5:$A$204&lt;&gt;"")*(A_Corridor!$A$5:$A$204&lt;=$B124)*(A_Corridor!$B$5:$B$204&gt;$B124)*(A_Corridor!$D$5:$D$204&lt;&gt;"")),IF(A_Corridor!$D$5:$D$204="-","",UPPER(A_Corridor!$D$5:$D$204))),"")</f>
        <v/>
      </c>
      <c r="F124" s="181" t="str">
        <f>IFERROR(LOOKUP(2,1/((A_Corridor!$A$5:$A$204&lt;&gt;"")*(A_Corridor!$A$5:$A$204&lt;=$B124)*(A_Corridor!$B$5:$B$204&gt;$B124)*(A_Corridor!$E$5:$E$204&lt;&gt;"")),IF(A_Corridor!$E$5:$E$204="-","",1)),"")</f>
        <v/>
      </c>
      <c r="G124" s="182" t="str">
        <f>IFERROR(LOOKUP(2,1/((A_Corridor!$A$5:$A$204&lt;&gt;"")*(A_Corridor!$A$5:$A$204&lt;=$B124)*(A_Corridor!$B$5:$B$204&gt;$B124)*(A_Corridor!$E$5:$E$204&lt;&gt;"")),IF(A_Corridor!$E$5:$E$204="-","",A_Corridor!$E$5:$E$204)),"")</f>
        <v/>
      </c>
      <c r="H124" s="182" t="str">
        <f>IFERROR(LOOKUP(2,1/((D_Points!$A$5:$A$204&lt;&gt;"")*(D_Points!$A$5:$A$204&gt;=$B124)*(D_Points!$A$5:$A$204&lt;$B124+P_Interval)*(UPPER(TRIM(D_Points!$B$5:$B$204))="GULLY")*(D_Points!$H$5:$H$204&lt;&gt;"")),D_Points!$H$5:$H$204),"")</f>
        <v/>
      </c>
      <c r="I124" s="181" t="str">
        <f>IFERROR(LOOKUP(2,1/((A_Corridor!$A$5:$A$204&lt;&gt;"")*(A_Corridor!$A$5:$A$204&lt;=$B124)*(A_Corridor!$B$5:$B$204&gt;$B124)*(A_Corridor!$F$5:$F$204&lt;&gt;"")),IF(A_Corridor!$F$5:$F$204="-","",1)),"")</f>
        <v/>
      </c>
      <c r="J124" s="182" t="str">
        <f>IFERROR(LOOKUP(2,1/((A_Corridor!$A$5:$A$204&lt;&gt;"")*(A_Corridor!$A$5:$A$204&lt;=$B124)*(A_Corridor!$B$5:$B$204&gt;$B124)*(A_Corridor!$F$5:$F$204&lt;&gt;"")),IF(A_Corridor!$F$5:$F$204="-","",A_Corridor!$F$5:$F$204)),"")</f>
        <v/>
      </c>
      <c r="K124" s="182" t="str">
        <f>IFERROR(LOOKUP(2,1/((A_Corridor!$A$5:$A$204&lt;&gt;"")*(A_Corridor!$A$5:$A$204&lt;=$B124)*(A_Corridor!$B$5:$B$204&gt;$B124)*(A_Corridor!$G$5:$G$204&lt;&gt;"")),IF(A_Corridor!$G$5:$G$204="-","",A_Corridor!$G$5:$G$204)),"")</f>
        <v/>
      </c>
      <c r="L124" s="181" t="str">
        <f>IFERROR(LOOKUP(2,1/((A_Corridor!$A$5:$A$204&lt;&gt;"")*(A_Corridor!$A$5:$A$204&lt;=$B124)*(A_Corridor!$B$5:$B$204&gt;$B124)*(A_Corridor!$H$5:$H$204&lt;&gt;"")),IF(A_Corridor!$H$5:$H$204="-","",1)),"")</f>
        <v/>
      </c>
      <c r="M124" s="182" t="str">
        <f>IFERROR(LOOKUP(2,1/((A_Corridor!$A$5:$A$204&lt;&gt;"")*(A_Corridor!$A$5:$A$204&lt;=$B124)*(A_Corridor!$B$5:$B$204&gt;$B124)*(A_Corridor!$H$5:$H$204&lt;&gt;"")),IF(A_Corridor!$H$5:$H$204="-","",A_Corridor!$H$5:$H$204)),"")</f>
        <v/>
      </c>
      <c r="N124" s="182" t="str">
        <f>IFERROR(LOOKUP(2,1/((A_Corridor!$A$5:$A$204&lt;&gt;"")*(A_Corridor!$A$5:$A$204&lt;=$B124)*(A_Corridor!$B$5:$B$204&gt;$B124)*(A_Corridor!$I$5:$I$204&lt;&gt;"")),IF(A_Corridor!$I$5:$I$204="-","",A_Corridor!$I$5:$I$204)),"")</f>
        <v/>
      </c>
      <c r="O124" s="182" t="str">
        <f>IFERROR(LOOKUP(2,1/((D_Points!$A$5:$A$204&lt;&gt;"")*(D_Points!$A$5:$A$204&gt;=$B124)*(D_Points!$A$5:$A$204&lt;$B124+P_Interval)*(UPPER(TRIM(D_Points!$B$5:$B$204))="PITCHING")*(D_Points!$H$5:$H$204&lt;&gt;"")),D_Points!$H$5:$H$204),"")</f>
        <v/>
      </c>
      <c r="P124" s="181" t="str">
        <f>IFERROR(LOOKUP(2,1/((B_Drainage!$A$5:$A$204&lt;&gt;"")*(B_Drainage!$A$5:$A$204&lt;=$B124)*(B_Drainage!$B$5:$B$204&gt;$B124)*(B_Drainage!$C$5:$C$204&lt;&gt;"")),IF(B_Drainage!$C$5:$C$204="-","",UPPER(B_Drainage!$C$5:$C$204))),"")</f>
        <v/>
      </c>
      <c r="Q124" s="181" t="str">
        <f>IFERROR(LOOKUP(2,1/((B_Drainage!$A$5:$A$204&lt;&gt;"")*(B_Drainage!$A$5:$A$204&lt;=$B124)*(B_Drainage!$B$5:$B$204&gt;$B124)*(B_Drainage!$D$5:$D$204&lt;&gt;"")),IF(B_Drainage!$D$5:$D$204="-","",UPPER(B_Drainage!$D$5:$D$204))),"")</f>
        <v/>
      </c>
      <c r="R124" s="182" t="str">
        <f>IFERROR(LOOKUP(2,1/((D_Points!$A$5:$A$204&lt;&gt;"")*(D_Points!$A$5:$A$204&gt;=$B124)*(D_Points!$A$5:$A$204&lt;$B124+P_Interval)*(RIGHT(UPPER(TRIM(D_Points!$B$5:$B$204)),8)="_CULVERT")),IF(LEFT(UPPER(TRIM(D_Points!$B$5:$B$204)),2)="EX",1,IF(LEFT(UPPER(TRIM(D_Points!$B$5:$B$204)),2)="PR",2,3))),"")</f>
        <v/>
      </c>
      <c r="S124" s="182" t="str">
        <f>IFERROR(LOOKUP(2,1/((D_Points!$A$5:$A$204&lt;&gt;"")*(D_Points!$A$5:$A$204&gt;=$B124)*(D_Points!$A$5:$A$204&lt;$B124+P_Interval)*(RIGHT(UPPER(TRIM(D_Points!$B$5:$B$204)),7)="_BRIDGE")),IF(LEFT(UPPER(TRIM(D_Points!$B$5:$B$204)),2)="EX",1,IF(LEFT(UPPER(TRIM(D_Points!$B$5:$B$204)),2)="PR",2,2))),"")</f>
        <v/>
      </c>
      <c r="T124" s="181" t="str">
        <f>IFERROR(LOOKUP(2,1/((B_Drainage!$A$5:$A$204&lt;&gt;"")*(B_Drainage!$A$5:$A$204&lt;=$B124)*(B_Drainage!$B$5:$B$204&gt;$B124)*(B_Drainage!$E$5:$E$204&lt;&gt;"")),IF(B_Drainage!$E$5:$E$204="-","",1)),"")</f>
        <v/>
      </c>
      <c r="U124" s="181" t="str">
        <f>IFERROR(LOOKUP(2,1/((B_Drainage!$A$5:$A$204&lt;&gt;"")*(B_Drainage!$A$5:$A$204&lt;=$B124)*(B_Drainage!$B$5:$B$204&gt;$B124)*(B_Drainage!$E$5:$E$204&lt;&gt;"")),IF(B_Drainage!$E$5:$E$204="-","",B_Drainage!$E$5:$E$204)),"")</f>
        <v/>
      </c>
      <c r="V124" s="181" t="str">
        <f>IFERROR(LOOKUP(2,1/((B_Drainage!$A$5:$A$204&lt;&gt;"")*(B_Drainage!$A$5:$A$204&lt;=$B124)*(B_Drainage!$B$5:$B$204&gt;$B124)*(B_Drainage!$F$5:$F$204&lt;&gt;"")),IF(B_Drainage!$F$5:$F$204="-","",1)),"")</f>
        <v/>
      </c>
      <c r="W124" s="181" t="str">
        <f>IFERROR(LOOKUP(2,1/((B_Drainage!$A$5:$A$204&lt;&gt;"")*(B_Drainage!$A$5:$A$204&lt;=$B124)*(B_Drainage!$B$5:$B$204&gt;$B124)*(B_Drainage!$F$5:$F$204&lt;&gt;"")),IF(B_Drainage!$F$5:$F$204="-","",B_Drainage!$F$5:$F$204)),"")</f>
        <v/>
      </c>
      <c r="X124" s="181" t="str">
        <f>IFERROR(LOOKUP(2,1/((B_Drainage!$A$5:$A$204&lt;&gt;"")*(B_Drainage!$A$5:$A$204&lt;=$B124)*(B_Drainage!$B$5:$B$204&gt;$B124)*(B_Drainage!$G$5:$G$204&lt;&gt;"")),IF(UPPER(B_Drainage!$G$5:$G$204)="Y",1,"")),"")</f>
        <v/>
      </c>
      <c r="Y124" s="181" t="str">
        <f>IFERROR(LOOKUP(2,1/((B_Drainage!$A$5:$A$204&lt;&gt;"")*(B_Drainage!$A$5:$A$204&lt;=$B124)*(B_Drainage!$B$5:$B$204&gt;$B124)*(B_Drainage!$H$5:$H$204&lt;&gt;"")),IF(UPPER(B_Drainage!$H$5:$H$204)="Y",1,"")),"")</f>
        <v/>
      </c>
      <c r="Z124" s="181" t="str">
        <f>IFERROR(LOOKUP(2,1/((B_Drainage!$A$5:$A$204&lt;&gt;"")*(B_Drainage!$A$5:$A$204&lt;=$B124)*(B_Drainage!$B$5:$B$204&gt;$B124)*(B_Drainage!$I$5:$I$204&lt;&gt;"")),IF(UPPER(B_Drainage!$I$5:$I$204)="Y",1,"")),"")</f>
        <v/>
      </c>
      <c r="AA124" s="181" t="str">
        <f>IFERROR(LOOKUP(2,1/((B_Drainage!$A$5:$A$204&lt;&gt;"")*(B_Drainage!$A$5:$A$204&lt;=$B124)*(B_Drainage!$B$5:$B$204&gt;$B124)*(B_Drainage!$J$5:$J$204&lt;&gt;"")),IF(UPPER(B_Drainage!$J$5:$J$204)="Y",1,"")),"")</f>
        <v/>
      </c>
      <c r="AB124" s="182" t="str">
        <f>IFERROR(LOOKUP(2,1/((B_Drainage!$A$5:$A$204&lt;&gt;"")*(B_Drainage!$A$5:$A$204&lt;=$B124)*(B_Drainage!$B$5:$B$204&gt;$B124)*(B_Drainage!$K$5:$K$204&lt;&gt;"")),IF(B_Drainage!$K$5:$K$204="-","",B_Drainage!$K$5:$K$204)),"")</f>
        <v/>
      </c>
      <c r="AC124" s="182" t="str">
        <f>IFERROR(LOOKUP(2,1/((B_Drainage!$A$5:$A$204&lt;&gt;"")*(B_Drainage!$A$5:$A$204&lt;=$B124)*(B_Drainage!$B$5:$B$204&gt;$B124)*(B_Drainage!$L$5:$L$204&lt;&gt;"")),IF(B_Drainage!$L$5:$L$204="-","",B_Drainage!$L$5:$L$204)),"")</f>
        <v/>
      </c>
      <c r="AD124" s="182" t="str">
        <f>IFERROR(LOOKUP(2,1/((D_Points!$A$5:$A$204&lt;&gt;"")*(D_Points!$A$5:$A$204&gt;=$B124)*(D_Points!$A$5:$A$204&lt;$B124+P_Interval)*(UPPER(TRIM(D_Points!$B$5:$B$204))="TURNOUT_L")*(D_Points!$H$5:$H$204&lt;&gt;"")),D_Points!$H$5:$H$204),"")</f>
        <v/>
      </c>
      <c r="AE124" s="182" t="str">
        <f>IFERROR(LOOKUP(2,1/((D_Points!$A$5:$A$204&lt;&gt;"")*(D_Points!$A$5:$A$204&gt;=$B124)*(D_Points!$A$5:$A$204&lt;$B124+P_Interval)*(UPPER(TRIM(D_Points!$B$5:$B$204))="TURNOUT_R")*(D_Points!$H$5:$H$204&lt;&gt;"")),D_Points!$H$5:$H$204),"")</f>
        <v/>
      </c>
      <c r="AF124" s="181" t="str">
        <f>IFERROR(LOOKUP(2,1/((B_Drainage!$A$5:$A$204&lt;&gt;"")*(B_Drainage!$A$5:$A$204&lt;=$B124)*(B_Drainage!$B$5:$B$204&gt;$B124)*(B_Drainage!$M$5:$M$204&lt;&gt;"")),IF(UPPER(B_Drainage!$M$5:$M$204)="Y",1,"")),"")</f>
        <v/>
      </c>
      <c r="AG124" s="181" t="str">
        <f>IFERROR(LOOKUP(2,1/((B_Drainage!$A$5:$A$204&lt;&gt;"")*(B_Drainage!$A$5:$A$204&lt;=$B124)*(B_Drainage!$B$5:$B$204&gt;$B124)*(B_Drainage!$N$5:$N$204&lt;&gt;"")),IF(UPPER(B_Drainage!$N$5:$N$204)="Y",1,"")),"")</f>
        <v/>
      </c>
      <c r="AH124" s="181" t="str">
        <f t="shared" si="8"/>
        <v/>
      </c>
      <c r="AI124" s="181" t="str">
        <f t="shared" si="9"/>
        <v/>
      </c>
      <c r="AJ124" s="181" t="str">
        <f t="shared" si="10"/>
        <v/>
      </c>
      <c r="AK124" s="181" t="str">
        <f t="shared" si="11"/>
        <v/>
      </c>
      <c r="AL124" s="181" t="str">
        <f t="shared" si="12"/>
        <v/>
      </c>
      <c r="AM124" s="181" t="str">
        <f t="shared" si="13"/>
        <v/>
      </c>
      <c r="AN124" s="181" t="str">
        <f t="shared" si="14"/>
        <v/>
      </c>
      <c r="AO124" s="192" t="str">
        <f t="shared" si="15"/>
        <v/>
      </c>
      <c r="AQ124" t="str">
        <f>IFERROR(LOOKUP(2,1/((C_Pavement!$A$5:$A$204&lt;&gt;"")*(C_Pavement!$A$5:$A$204&lt;=$B124)*(C_Pavement!$B$5:$B$204&gt;$B124)*(C_Pavement!$C$5:$C$204&lt;&gt;"")),ROW(C_Pavement!$C$5:$C$204)-4),"")</f>
        <v/>
      </c>
      <c r="AR124" t="str">
        <f>IF($AQ124="","",UPPER(TRIM(INDEX(C_Pavement!$C$5:$C$204,$AQ124))))</f>
        <v/>
      </c>
      <c r="AS124" t="str">
        <f>IF($AR124="","",IFERROR(MATCH($AR124,E_Rules!$A$5:$A$9,0),""))</f>
        <v/>
      </c>
      <c r="AT124" t="str">
        <f>IF($AQ124="","",IF(INDEX(C_Pavement!$D$5:$D$204,$AQ124)&lt;&gt;"",UPPER(TRIM(INDEX(C_Pavement!$D$5:$D$204,$AQ124))),IF($AS124="","",INDEX(E_Rules!$C$5:$C$9,$AS124))))</f>
        <v/>
      </c>
      <c r="AU124" t="str">
        <f>IF($AQ124="","",IF(INDEX(C_Pavement!$E$5:$E$204,$AQ124)&lt;&gt;"",IF(INDEX(C_Pavement!$E$5:$E$204,$AQ124)="-","",INDEX(C_Pavement!$E$5:$E$204,$AQ124)),IF($AS124="","",INDEX(E_Rules!$D$5:$D$9,$AS124))))</f>
        <v/>
      </c>
      <c r="AV124" t="str">
        <f>IF($AQ124="","",IF(INDEX(C_Pavement!$F$5:$F$204,$AQ124)&lt;&gt;"",IF(INDEX(C_Pavement!$F$5:$F$204,$AQ124)="-","",INDEX(C_Pavement!$F$5:$F$204,$AQ124)),IF($AS124="","",INDEX(E_Rules!$E$5:$E$9,$AS124))))</f>
        <v/>
      </c>
      <c r="AW124" t="str">
        <f>IF($AQ124="","",IF(INDEX(C_Pavement!$G$5:$G$204,$AQ124)&lt;&gt;"",IF(INDEX(C_Pavement!$G$5:$G$204,$AQ124)="-","",INDEX(C_Pavement!$G$5:$G$204,$AQ124)),IF($AS124="","",INDEX(E_Rules!$F$5:$F$9,$AS124))))</f>
        <v/>
      </c>
      <c r="AX124" t="str">
        <f>IF($AQ124="","",IF(INDEX(C_Pavement!$H$5:$H$204,$AQ124)&lt;&gt;"",IF(INDEX(C_Pavement!$H$5:$H$204,$AQ124)="-","",INDEX(C_Pavement!$H$5:$H$204,$AQ124)),IF($AS124="","",INDEX(E_Rules!$G$5:$G$9,$AS124))))</f>
        <v/>
      </c>
      <c r="AY124" t="str">
        <f>IF($AQ124="","",IF(INDEX(C_Pavement!$I$5:$I$204,$AQ124)&lt;&gt;"",IF(INDEX(C_Pavement!$I$5:$I$204,$AQ124)="-","",INDEX(C_Pavement!$I$5:$I$204,$AQ124)),IF($AS124="","",INDEX(E_Rules!$H$5:$H$9,$AS124))))</f>
        <v/>
      </c>
    </row>
    <row r="125" spans="1:51" ht="15.75" customHeight="1" x14ac:dyDescent="0.3">
      <c r="A125" s="189">
        <v>120</v>
      </c>
      <c r="B125" s="180">
        <v>5950</v>
      </c>
      <c r="C125" s="180" t="s">
        <v>431</v>
      </c>
      <c r="D125" s="181" t="str">
        <f>IFERROR(LOOKUP(2,1/((A_Corridor!$A$5:$A$204&lt;&gt;"")*(A_Corridor!$A$5:$A$204&lt;=$B125)*(A_Corridor!$B$5:$B$204&gt;$B125)*(A_Corridor!$C$5:$C$204&lt;&gt;"")),IF(UPPER(A_Corridor!$C$5:$C$204)="Y",1,"")),"")</f>
        <v/>
      </c>
      <c r="E125" s="181" t="str">
        <f>IFERROR(LOOKUP(2,1/((A_Corridor!$A$5:$A$204&lt;&gt;"")*(A_Corridor!$A$5:$A$204&lt;=$B125)*(A_Corridor!$B$5:$B$204&gt;$B125)*(A_Corridor!$D$5:$D$204&lt;&gt;"")),IF(A_Corridor!$D$5:$D$204="-","",UPPER(A_Corridor!$D$5:$D$204))),"")</f>
        <v/>
      </c>
      <c r="F125" s="181" t="str">
        <f>IFERROR(LOOKUP(2,1/((A_Corridor!$A$5:$A$204&lt;&gt;"")*(A_Corridor!$A$5:$A$204&lt;=$B125)*(A_Corridor!$B$5:$B$204&gt;$B125)*(A_Corridor!$E$5:$E$204&lt;&gt;"")),IF(A_Corridor!$E$5:$E$204="-","",1)),"")</f>
        <v/>
      </c>
      <c r="G125" s="182" t="str">
        <f>IFERROR(LOOKUP(2,1/((A_Corridor!$A$5:$A$204&lt;&gt;"")*(A_Corridor!$A$5:$A$204&lt;=$B125)*(A_Corridor!$B$5:$B$204&gt;$B125)*(A_Corridor!$E$5:$E$204&lt;&gt;"")),IF(A_Corridor!$E$5:$E$204="-","",A_Corridor!$E$5:$E$204)),"")</f>
        <v/>
      </c>
      <c r="H125" s="182" t="str">
        <f>IFERROR(LOOKUP(2,1/((D_Points!$A$5:$A$204&lt;&gt;"")*(D_Points!$A$5:$A$204&gt;=$B125)*(D_Points!$A$5:$A$204&lt;$B125+P_Interval)*(UPPER(TRIM(D_Points!$B$5:$B$204))="GULLY")*(D_Points!$H$5:$H$204&lt;&gt;"")),D_Points!$H$5:$H$204),"")</f>
        <v/>
      </c>
      <c r="I125" s="181" t="str">
        <f>IFERROR(LOOKUP(2,1/((A_Corridor!$A$5:$A$204&lt;&gt;"")*(A_Corridor!$A$5:$A$204&lt;=$B125)*(A_Corridor!$B$5:$B$204&gt;$B125)*(A_Corridor!$F$5:$F$204&lt;&gt;"")),IF(A_Corridor!$F$5:$F$204="-","",1)),"")</f>
        <v/>
      </c>
      <c r="J125" s="182" t="str">
        <f>IFERROR(LOOKUP(2,1/((A_Corridor!$A$5:$A$204&lt;&gt;"")*(A_Corridor!$A$5:$A$204&lt;=$B125)*(A_Corridor!$B$5:$B$204&gt;$B125)*(A_Corridor!$F$5:$F$204&lt;&gt;"")),IF(A_Corridor!$F$5:$F$204="-","",A_Corridor!$F$5:$F$204)),"")</f>
        <v/>
      </c>
      <c r="K125" s="182" t="str">
        <f>IFERROR(LOOKUP(2,1/((A_Corridor!$A$5:$A$204&lt;&gt;"")*(A_Corridor!$A$5:$A$204&lt;=$B125)*(A_Corridor!$B$5:$B$204&gt;$B125)*(A_Corridor!$G$5:$G$204&lt;&gt;"")),IF(A_Corridor!$G$5:$G$204="-","",A_Corridor!$G$5:$G$204)),"")</f>
        <v/>
      </c>
      <c r="L125" s="181" t="str">
        <f>IFERROR(LOOKUP(2,1/((A_Corridor!$A$5:$A$204&lt;&gt;"")*(A_Corridor!$A$5:$A$204&lt;=$B125)*(A_Corridor!$B$5:$B$204&gt;$B125)*(A_Corridor!$H$5:$H$204&lt;&gt;"")),IF(A_Corridor!$H$5:$H$204="-","",1)),"")</f>
        <v/>
      </c>
      <c r="M125" s="182" t="str">
        <f>IFERROR(LOOKUP(2,1/((A_Corridor!$A$5:$A$204&lt;&gt;"")*(A_Corridor!$A$5:$A$204&lt;=$B125)*(A_Corridor!$B$5:$B$204&gt;$B125)*(A_Corridor!$H$5:$H$204&lt;&gt;"")),IF(A_Corridor!$H$5:$H$204="-","",A_Corridor!$H$5:$H$204)),"")</f>
        <v/>
      </c>
      <c r="N125" s="182" t="str">
        <f>IFERROR(LOOKUP(2,1/((A_Corridor!$A$5:$A$204&lt;&gt;"")*(A_Corridor!$A$5:$A$204&lt;=$B125)*(A_Corridor!$B$5:$B$204&gt;$B125)*(A_Corridor!$I$5:$I$204&lt;&gt;"")),IF(A_Corridor!$I$5:$I$204="-","",A_Corridor!$I$5:$I$204)),"")</f>
        <v/>
      </c>
      <c r="O125" s="182" t="str">
        <f>IFERROR(LOOKUP(2,1/((D_Points!$A$5:$A$204&lt;&gt;"")*(D_Points!$A$5:$A$204&gt;=$B125)*(D_Points!$A$5:$A$204&lt;$B125+P_Interval)*(UPPER(TRIM(D_Points!$B$5:$B$204))="PITCHING")*(D_Points!$H$5:$H$204&lt;&gt;"")),D_Points!$H$5:$H$204),"")</f>
        <v/>
      </c>
      <c r="P125" s="181" t="str">
        <f>IFERROR(LOOKUP(2,1/((B_Drainage!$A$5:$A$204&lt;&gt;"")*(B_Drainage!$A$5:$A$204&lt;=$B125)*(B_Drainage!$B$5:$B$204&gt;$B125)*(B_Drainage!$C$5:$C$204&lt;&gt;"")),IF(B_Drainage!$C$5:$C$204="-","",UPPER(B_Drainage!$C$5:$C$204))),"")</f>
        <v/>
      </c>
      <c r="Q125" s="181" t="str">
        <f>IFERROR(LOOKUP(2,1/((B_Drainage!$A$5:$A$204&lt;&gt;"")*(B_Drainage!$A$5:$A$204&lt;=$B125)*(B_Drainage!$B$5:$B$204&gt;$B125)*(B_Drainage!$D$5:$D$204&lt;&gt;"")),IF(B_Drainage!$D$5:$D$204="-","",UPPER(B_Drainage!$D$5:$D$204))),"")</f>
        <v/>
      </c>
      <c r="R125" s="182" t="str">
        <f>IFERROR(LOOKUP(2,1/((D_Points!$A$5:$A$204&lt;&gt;"")*(D_Points!$A$5:$A$204&gt;=$B125)*(D_Points!$A$5:$A$204&lt;$B125+P_Interval)*(RIGHT(UPPER(TRIM(D_Points!$B$5:$B$204)),8)="_CULVERT")),IF(LEFT(UPPER(TRIM(D_Points!$B$5:$B$204)),2)="EX",1,IF(LEFT(UPPER(TRIM(D_Points!$B$5:$B$204)),2)="PR",2,3))),"")</f>
        <v/>
      </c>
      <c r="S125" s="182" t="str">
        <f>IFERROR(LOOKUP(2,1/((D_Points!$A$5:$A$204&lt;&gt;"")*(D_Points!$A$5:$A$204&gt;=$B125)*(D_Points!$A$5:$A$204&lt;$B125+P_Interval)*(RIGHT(UPPER(TRIM(D_Points!$B$5:$B$204)),7)="_BRIDGE")),IF(LEFT(UPPER(TRIM(D_Points!$B$5:$B$204)),2)="EX",1,IF(LEFT(UPPER(TRIM(D_Points!$B$5:$B$204)),2)="PR",2,2))),"")</f>
        <v/>
      </c>
      <c r="T125" s="181" t="str">
        <f>IFERROR(LOOKUP(2,1/((B_Drainage!$A$5:$A$204&lt;&gt;"")*(B_Drainage!$A$5:$A$204&lt;=$B125)*(B_Drainage!$B$5:$B$204&gt;$B125)*(B_Drainage!$E$5:$E$204&lt;&gt;"")),IF(B_Drainage!$E$5:$E$204="-","",1)),"")</f>
        <v/>
      </c>
      <c r="U125" s="181" t="str">
        <f>IFERROR(LOOKUP(2,1/((B_Drainage!$A$5:$A$204&lt;&gt;"")*(B_Drainage!$A$5:$A$204&lt;=$B125)*(B_Drainage!$B$5:$B$204&gt;$B125)*(B_Drainage!$E$5:$E$204&lt;&gt;"")),IF(B_Drainage!$E$5:$E$204="-","",B_Drainage!$E$5:$E$204)),"")</f>
        <v/>
      </c>
      <c r="V125" s="181" t="str">
        <f>IFERROR(LOOKUP(2,1/((B_Drainage!$A$5:$A$204&lt;&gt;"")*(B_Drainage!$A$5:$A$204&lt;=$B125)*(B_Drainage!$B$5:$B$204&gt;$B125)*(B_Drainage!$F$5:$F$204&lt;&gt;"")),IF(B_Drainage!$F$5:$F$204="-","",1)),"")</f>
        <v/>
      </c>
      <c r="W125" s="181" t="str">
        <f>IFERROR(LOOKUP(2,1/((B_Drainage!$A$5:$A$204&lt;&gt;"")*(B_Drainage!$A$5:$A$204&lt;=$B125)*(B_Drainage!$B$5:$B$204&gt;$B125)*(B_Drainage!$F$5:$F$204&lt;&gt;"")),IF(B_Drainage!$F$5:$F$204="-","",B_Drainage!$F$5:$F$204)),"")</f>
        <v/>
      </c>
      <c r="X125" s="181" t="str">
        <f>IFERROR(LOOKUP(2,1/((B_Drainage!$A$5:$A$204&lt;&gt;"")*(B_Drainage!$A$5:$A$204&lt;=$B125)*(B_Drainage!$B$5:$B$204&gt;$B125)*(B_Drainage!$G$5:$G$204&lt;&gt;"")),IF(UPPER(B_Drainage!$G$5:$G$204)="Y",1,"")),"")</f>
        <v/>
      </c>
      <c r="Y125" s="181" t="str">
        <f>IFERROR(LOOKUP(2,1/((B_Drainage!$A$5:$A$204&lt;&gt;"")*(B_Drainage!$A$5:$A$204&lt;=$B125)*(B_Drainage!$B$5:$B$204&gt;$B125)*(B_Drainage!$H$5:$H$204&lt;&gt;"")),IF(UPPER(B_Drainage!$H$5:$H$204)="Y",1,"")),"")</f>
        <v/>
      </c>
      <c r="Z125" s="181" t="str">
        <f>IFERROR(LOOKUP(2,1/((B_Drainage!$A$5:$A$204&lt;&gt;"")*(B_Drainage!$A$5:$A$204&lt;=$B125)*(B_Drainage!$B$5:$B$204&gt;$B125)*(B_Drainage!$I$5:$I$204&lt;&gt;"")),IF(UPPER(B_Drainage!$I$5:$I$204)="Y",1,"")),"")</f>
        <v/>
      </c>
      <c r="AA125" s="181" t="str">
        <f>IFERROR(LOOKUP(2,1/((B_Drainage!$A$5:$A$204&lt;&gt;"")*(B_Drainage!$A$5:$A$204&lt;=$B125)*(B_Drainage!$B$5:$B$204&gt;$B125)*(B_Drainage!$J$5:$J$204&lt;&gt;"")),IF(UPPER(B_Drainage!$J$5:$J$204)="Y",1,"")),"")</f>
        <v/>
      </c>
      <c r="AB125" s="182" t="str">
        <f>IFERROR(LOOKUP(2,1/((B_Drainage!$A$5:$A$204&lt;&gt;"")*(B_Drainage!$A$5:$A$204&lt;=$B125)*(B_Drainage!$B$5:$B$204&gt;$B125)*(B_Drainage!$K$5:$K$204&lt;&gt;"")),IF(B_Drainage!$K$5:$K$204="-","",B_Drainage!$K$5:$K$204)),"")</f>
        <v/>
      </c>
      <c r="AC125" s="182" t="str">
        <f>IFERROR(LOOKUP(2,1/((B_Drainage!$A$5:$A$204&lt;&gt;"")*(B_Drainage!$A$5:$A$204&lt;=$B125)*(B_Drainage!$B$5:$B$204&gt;$B125)*(B_Drainage!$L$5:$L$204&lt;&gt;"")),IF(B_Drainage!$L$5:$L$204="-","",B_Drainage!$L$5:$L$204)),"")</f>
        <v/>
      </c>
      <c r="AD125" s="182" t="str">
        <f>IFERROR(LOOKUP(2,1/((D_Points!$A$5:$A$204&lt;&gt;"")*(D_Points!$A$5:$A$204&gt;=$B125)*(D_Points!$A$5:$A$204&lt;$B125+P_Interval)*(UPPER(TRIM(D_Points!$B$5:$B$204))="TURNOUT_L")*(D_Points!$H$5:$H$204&lt;&gt;"")),D_Points!$H$5:$H$204),"")</f>
        <v/>
      </c>
      <c r="AE125" s="182" t="str">
        <f>IFERROR(LOOKUP(2,1/((D_Points!$A$5:$A$204&lt;&gt;"")*(D_Points!$A$5:$A$204&gt;=$B125)*(D_Points!$A$5:$A$204&lt;$B125+P_Interval)*(UPPER(TRIM(D_Points!$B$5:$B$204))="TURNOUT_R")*(D_Points!$H$5:$H$204&lt;&gt;"")),D_Points!$H$5:$H$204),"")</f>
        <v/>
      </c>
      <c r="AF125" s="181" t="str">
        <f>IFERROR(LOOKUP(2,1/((B_Drainage!$A$5:$A$204&lt;&gt;"")*(B_Drainage!$A$5:$A$204&lt;=$B125)*(B_Drainage!$B$5:$B$204&gt;$B125)*(B_Drainage!$M$5:$M$204&lt;&gt;"")),IF(UPPER(B_Drainage!$M$5:$M$204)="Y",1,"")),"")</f>
        <v/>
      </c>
      <c r="AG125" s="181" t="str">
        <f>IFERROR(LOOKUP(2,1/((B_Drainage!$A$5:$A$204&lt;&gt;"")*(B_Drainage!$A$5:$A$204&lt;=$B125)*(B_Drainage!$B$5:$B$204&gt;$B125)*(B_Drainage!$N$5:$N$204&lt;&gt;"")),IF(UPPER(B_Drainage!$N$5:$N$204)="Y",1,"")),"")</f>
        <v/>
      </c>
      <c r="AH125" s="181" t="str">
        <f t="shared" si="8"/>
        <v/>
      </c>
      <c r="AI125" s="181" t="str">
        <f t="shared" si="9"/>
        <v/>
      </c>
      <c r="AJ125" s="181" t="str">
        <f t="shared" si="10"/>
        <v/>
      </c>
      <c r="AK125" s="181" t="str">
        <f t="shared" si="11"/>
        <v/>
      </c>
      <c r="AL125" s="181" t="str">
        <f t="shared" si="12"/>
        <v/>
      </c>
      <c r="AM125" s="181" t="str">
        <f t="shared" si="13"/>
        <v/>
      </c>
      <c r="AN125" s="181" t="str">
        <f t="shared" si="14"/>
        <v/>
      </c>
      <c r="AO125" s="192" t="str">
        <f t="shared" si="15"/>
        <v/>
      </c>
      <c r="AQ125" t="str">
        <f>IFERROR(LOOKUP(2,1/((C_Pavement!$A$5:$A$204&lt;&gt;"")*(C_Pavement!$A$5:$A$204&lt;=$B125)*(C_Pavement!$B$5:$B$204&gt;$B125)*(C_Pavement!$C$5:$C$204&lt;&gt;"")),ROW(C_Pavement!$C$5:$C$204)-4),"")</f>
        <v/>
      </c>
      <c r="AR125" t="str">
        <f>IF($AQ125="","",UPPER(TRIM(INDEX(C_Pavement!$C$5:$C$204,$AQ125))))</f>
        <v/>
      </c>
      <c r="AS125" t="str">
        <f>IF($AR125="","",IFERROR(MATCH($AR125,E_Rules!$A$5:$A$9,0),""))</f>
        <v/>
      </c>
      <c r="AT125" t="str">
        <f>IF($AQ125="","",IF(INDEX(C_Pavement!$D$5:$D$204,$AQ125)&lt;&gt;"",UPPER(TRIM(INDEX(C_Pavement!$D$5:$D$204,$AQ125))),IF($AS125="","",INDEX(E_Rules!$C$5:$C$9,$AS125))))</f>
        <v/>
      </c>
      <c r="AU125" t="str">
        <f>IF($AQ125="","",IF(INDEX(C_Pavement!$E$5:$E$204,$AQ125)&lt;&gt;"",IF(INDEX(C_Pavement!$E$5:$E$204,$AQ125)="-","",INDEX(C_Pavement!$E$5:$E$204,$AQ125)),IF($AS125="","",INDEX(E_Rules!$D$5:$D$9,$AS125))))</f>
        <v/>
      </c>
      <c r="AV125" t="str">
        <f>IF($AQ125="","",IF(INDEX(C_Pavement!$F$5:$F$204,$AQ125)&lt;&gt;"",IF(INDEX(C_Pavement!$F$5:$F$204,$AQ125)="-","",INDEX(C_Pavement!$F$5:$F$204,$AQ125)),IF($AS125="","",INDEX(E_Rules!$E$5:$E$9,$AS125))))</f>
        <v/>
      </c>
      <c r="AW125" t="str">
        <f>IF($AQ125="","",IF(INDEX(C_Pavement!$G$5:$G$204,$AQ125)&lt;&gt;"",IF(INDEX(C_Pavement!$G$5:$G$204,$AQ125)="-","",INDEX(C_Pavement!$G$5:$G$204,$AQ125)),IF($AS125="","",INDEX(E_Rules!$F$5:$F$9,$AS125))))</f>
        <v/>
      </c>
      <c r="AX125" t="str">
        <f>IF($AQ125="","",IF(INDEX(C_Pavement!$H$5:$H$204,$AQ125)&lt;&gt;"",IF(INDEX(C_Pavement!$H$5:$H$204,$AQ125)="-","",INDEX(C_Pavement!$H$5:$H$204,$AQ125)),IF($AS125="","",INDEX(E_Rules!$G$5:$G$9,$AS125))))</f>
        <v/>
      </c>
      <c r="AY125" t="str">
        <f>IF($AQ125="","",IF(INDEX(C_Pavement!$I$5:$I$204,$AQ125)&lt;&gt;"",IF(INDEX(C_Pavement!$I$5:$I$204,$AQ125)="-","",INDEX(C_Pavement!$I$5:$I$204,$AQ125)),IF($AS125="","",INDEX(E_Rules!$H$5:$H$9,$AS125))))</f>
        <v/>
      </c>
    </row>
    <row r="126" spans="1:51" ht="15.75" customHeight="1" x14ac:dyDescent="0.3">
      <c r="A126" s="189">
        <v>121</v>
      </c>
      <c r="B126" s="180">
        <v>6000</v>
      </c>
      <c r="C126" s="180" t="s">
        <v>432</v>
      </c>
      <c r="D126" s="181" t="str">
        <f>IFERROR(LOOKUP(2,1/((A_Corridor!$A$5:$A$204&lt;&gt;"")*(A_Corridor!$A$5:$A$204&lt;=$B126)*(A_Corridor!$B$5:$B$204&gt;$B126)*(A_Corridor!$C$5:$C$204&lt;&gt;"")),IF(UPPER(A_Corridor!$C$5:$C$204)="Y",1,"")),"")</f>
        <v/>
      </c>
      <c r="E126" s="181" t="str">
        <f>IFERROR(LOOKUP(2,1/((A_Corridor!$A$5:$A$204&lt;&gt;"")*(A_Corridor!$A$5:$A$204&lt;=$B126)*(A_Corridor!$B$5:$B$204&gt;$B126)*(A_Corridor!$D$5:$D$204&lt;&gt;"")),IF(A_Corridor!$D$5:$D$204="-","",UPPER(A_Corridor!$D$5:$D$204))),"")</f>
        <v/>
      </c>
      <c r="F126" s="181" t="str">
        <f>IFERROR(LOOKUP(2,1/((A_Corridor!$A$5:$A$204&lt;&gt;"")*(A_Corridor!$A$5:$A$204&lt;=$B126)*(A_Corridor!$B$5:$B$204&gt;$B126)*(A_Corridor!$E$5:$E$204&lt;&gt;"")),IF(A_Corridor!$E$5:$E$204="-","",1)),"")</f>
        <v/>
      </c>
      <c r="G126" s="182" t="str">
        <f>IFERROR(LOOKUP(2,1/((A_Corridor!$A$5:$A$204&lt;&gt;"")*(A_Corridor!$A$5:$A$204&lt;=$B126)*(A_Corridor!$B$5:$B$204&gt;$B126)*(A_Corridor!$E$5:$E$204&lt;&gt;"")),IF(A_Corridor!$E$5:$E$204="-","",A_Corridor!$E$5:$E$204)),"")</f>
        <v/>
      </c>
      <c r="H126" s="182" t="str">
        <f>IFERROR(LOOKUP(2,1/((D_Points!$A$5:$A$204&lt;&gt;"")*(D_Points!$A$5:$A$204&gt;=$B126)*(D_Points!$A$5:$A$204&lt;$B126+P_Interval)*(UPPER(TRIM(D_Points!$B$5:$B$204))="GULLY")*(D_Points!$H$5:$H$204&lt;&gt;"")),D_Points!$H$5:$H$204),"")</f>
        <v/>
      </c>
      <c r="I126" s="181" t="str">
        <f>IFERROR(LOOKUP(2,1/((A_Corridor!$A$5:$A$204&lt;&gt;"")*(A_Corridor!$A$5:$A$204&lt;=$B126)*(A_Corridor!$B$5:$B$204&gt;$B126)*(A_Corridor!$F$5:$F$204&lt;&gt;"")),IF(A_Corridor!$F$5:$F$204="-","",1)),"")</f>
        <v/>
      </c>
      <c r="J126" s="182" t="str">
        <f>IFERROR(LOOKUP(2,1/((A_Corridor!$A$5:$A$204&lt;&gt;"")*(A_Corridor!$A$5:$A$204&lt;=$B126)*(A_Corridor!$B$5:$B$204&gt;$B126)*(A_Corridor!$F$5:$F$204&lt;&gt;"")),IF(A_Corridor!$F$5:$F$204="-","",A_Corridor!$F$5:$F$204)),"")</f>
        <v/>
      </c>
      <c r="K126" s="182" t="str">
        <f>IFERROR(LOOKUP(2,1/((A_Corridor!$A$5:$A$204&lt;&gt;"")*(A_Corridor!$A$5:$A$204&lt;=$B126)*(A_Corridor!$B$5:$B$204&gt;$B126)*(A_Corridor!$G$5:$G$204&lt;&gt;"")),IF(A_Corridor!$G$5:$G$204="-","",A_Corridor!$G$5:$G$204)),"")</f>
        <v/>
      </c>
      <c r="L126" s="181" t="str">
        <f>IFERROR(LOOKUP(2,1/((A_Corridor!$A$5:$A$204&lt;&gt;"")*(A_Corridor!$A$5:$A$204&lt;=$B126)*(A_Corridor!$B$5:$B$204&gt;$B126)*(A_Corridor!$H$5:$H$204&lt;&gt;"")),IF(A_Corridor!$H$5:$H$204="-","",1)),"")</f>
        <v/>
      </c>
      <c r="M126" s="182" t="str">
        <f>IFERROR(LOOKUP(2,1/((A_Corridor!$A$5:$A$204&lt;&gt;"")*(A_Corridor!$A$5:$A$204&lt;=$B126)*(A_Corridor!$B$5:$B$204&gt;$B126)*(A_Corridor!$H$5:$H$204&lt;&gt;"")),IF(A_Corridor!$H$5:$H$204="-","",A_Corridor!$H$5:$H$204)),"")</f>
        <v/>
      </c>
      <c r="N126" s="182" t="str">
        <f>IFERROR(LOOKUP(2,1/((A_Corridor!$A$5:$A$204&lt;&gt;"")*(A_Corridor!$A$5:$A$204&lt;=$B126)*(A_Corridor!$B$5:$B$204&gt;$B126)*(A_Corridor!$I$5:$I$204&lt;&gt;"")),IF(A_Corridor!$I$5:$I$204="-","",A_Corridor!$I$5:$I$204)),"")</f>
        <v/>
      </c>
      <c r="O126" s="182" t="str">
        <f>IFERROR(LOOKUP(2,1/((D_Points!$A$5:$A$204&lt;&gt;"")*(D_Points!$A$5:$A$204&gt;=$B126)*(D_Points!$A$5:$A$204&lt;$B126+P_Interval)*(UPPER(TRIM(D_Points!$B$5:$B$204))="PITCHING")*(D_Points!$H$5:$H$204&lt;&gt;"")),D_Points!$H$5:$H$204),"")</f>
        <v/>
      </c>
      <c r="P126" s="181" t="str">
        <f>IFERROR(LOOKUP(2,1/((B_Drainage!$A$5:$A$204&lt;&gt;"")*(B_Drainage!$A$5:$A$204&lt;=$B126)*(B_Drainage!$B$5:$B$204&gt;$B126)*(B_Drainage!$C$5:$C$204&lt;&gt;"")),IF(B_Drainage!$C$5:$C$204="-","",UPPER(B_Drainage!$C$5:$C$204))),"")</f>
        <v/>
      </c>
      <c r="Q126" s="181" t="str">
        <f>IFERROR(LOOKUP(2,1/((B_Drainage!$A$5:$A$204&lt;&gt;"")*(B_Drainage!$A$5:$A$204&lt;=$B126)*(B_Drainage!$B$5:$B$204&gt;$B126)*(B_Drainage!$D$5:$D$204&lt;&gt;"")),IF(B_Drainage!$D$5:$D$204="-","",UPPER(B_Drainage!$D$5:$D$204))),"")</f>
        <v/>
      </c>
      <c r="R126" s="182" t="str">
        <f>IFERROR(LOOKUP(2,1/((D_Points!$A$5:$A$204&lt;&gt;"")*(D_Points!$A$5:$A$204&gt;=$B126)*(D_Points!$A$5:$A$204&lt;$B126+P_Interval)*(RIGHT(UPPER(TRIM(D_Points!$B$5:$B$204)),8)="_CULVERT")),IF(LEFT(UPPER(TRIM(D_Points!$B$5:$B$204)),2)="EX",1,IF(LEFT(UPPER(TRIM(D_Points!$B$5:$B$204)),2)="PR",2,3))),"")</f>
        <v/>
      </c>
      <c r="S126" s="182" t="str">
        <f>IFERROR(LOOKUP(2,1/((D_Points!$A$5:$A$204&lt;&gt;"")*(D_Points!$A$5:$A$204&gt;=$B126)*(D_Points!$A$5:$A$204&lt;$B126+P_Interval)*(RIGHT(UPPER(TRIM(D_Points!$B$5:$B$204)),7)="_BRIDGE")),IF(LEFT(UPPER(TRIM(D_Points!$B$5:$B$204)),2)="EX",1,IF(LEFT(UPPER(TRIM(D_Points!$B$5:$B$204)),2)="PR",2,2))),"")</f>
        <v/>
      </c>
      <c r="T126" s="181" t="str">
        <f>IFERROR(LOOKUP(2,1/((B_Drainage!$A$5:$A$204&lt;&gt;"")*(B_Drainage!$A$5:$A$204&lt;=$B126)*(B_Drainage!$B$5:$B$204&gt;$B126)*(B_Drainage!$E$5:$E$204&lt;&gt;"")),IF(B_Drainage!$E$5:$E$204="-","",1)),"")</f>
        <v/>
      </c>
      <c r="U126" s="181" t="str">
        <f>IFERROR(LOOKUP(2,1/((B_Drainage!$A$5:$A$204&lt;&gt;"")*(B_Drainage!$A$5:$A$204&lt;=$B126)*(B_Drainage!$B$5:$B$204&gt;$B126)*(B_Drainage!$E$5:$E$204&lt;&gt;"")),IF(B_Drainage!$E$5:$E$204="-","",B_Drainage!$E$5:$E$204)),"")</f>
        <v/>
      </c>
      <c r="V126" s="181" t="str">
        <f>IFERROR(LOOKUP(2,1/((B_Drainage!$A$5:$A$204&lt;&gt;"")*(B_Drainage!$A$5:$A$204&lt;=$B126)*(B_Drainage!$B$5:$B$204&gt;$B126)*(B_Drainage!$F$5:$F$204&lt;&gt;"")),IF(B_Drainage!$F$5:$F$204="-","",1)),"")</f>
        <v/>
      </c>
      <c r="W126" s="181" t="str">
        <f>IFERROR(LOOKUP(2,1/((B_Drainage!$A$5:$A$204&lt;&gt;"")*(B_Drainage!$A$5:$A$204&lt;=$B126)*(B_Drainage!$B$5:$B$204&gt;$B126)*(B_Drainage!$F$5:$F$204&lt;&gt;"")),IF(B_Drainage!$F$5:$F$204="-","",B_Drainage!$F$5:$F$204)),"")</f>
        <v/>
      </c>
      <c r="X126" s="181" t="str">
        <f>IFERROR(LOOKUP(2,1/((B_Drainage!$A$5:$A$204&lt;&gt;"")*(B_Drainage!$A$5:$A$204&lt;=$B126)*(B_Drainage!$B$5:$B$204&gt;$B126)*(B_Drainage!$G$5:$G$204&lt;&gt;"")),IF(UPPER(B_Drainage!$G$5:$G$204)="Y",1,"")),"")</f>
        <v/>
      </c>
      <c r="Y126" s="181" t="str">
        <f>IFERROR(LOOKUP(2,1/((B_Drainage!$A$5:$A$204&lt;&gt;"")*(B_Drainage!$A$5:$A$204&lt;=$B126)*(B_Drainage!$B$5:$B$204&gt;$B126)*(B_Drainage!$H$5:$H$204&lt;&gt;"")),IF(UPPER(B_Drainage!$H$5:$H$204)="Y",1,"")),"")</f>
        <v/>
      </c>
      <c r="Z126" s="181" t="str">
        <f>IFERROR(LOOKUP(2,1/((B_Drainage!$A$5:$A$204&lt;&gt;"")*(B_Drainage!$A$5:$A$204&lt;=$B126)*(B_Drainage!$B$5:$B$204&gt;$B126)*(B_Drainage!$I$5:$I$204&lt;&gt;"")),IF(UPPER(B_Drainage!$I$5:$I$204)="Y",1,"")),"")</f>
        <v/>
      </c>
      <c r="AA126" s="181" t="str">
        <f>IFERROR(LOOKUP(2,1/((B_Drainage!$A$5:$A$204&lt;&gt;"")*(B_Drainage!$A$5:$A$204&lt;=$B126)*(B_Drainage!$B$5:$B$204&gt;$B126)*(B_Drainage!$J$5:$J$204&lt;&gt;"")),IF(UPPER(B_Drainage!$J$5:$J$204)="Y",1,"")),"")</f>
        <v/>
      </c>
      <c r="AB126" s="182" t="str">
        <f>IFERROR(LOOKUP(2,1/((B_Drainage!$A$5:$A$204&lt;&gt;"")*(B_Drainage!$A$5:$A$204&lt;=$B126)*(B_Drainage!$B$5:$B$204&gt;$B126)*(B_Drainage!$K$5:$K$204&lt;&gt;"")),IF(B_Drainage!$K$5:$K$204="-","",B_Drainage!$K$5:$K$204)),"")</f>
        <v/>
      </c>
      <c r="AC126" s="182" t="str">
        <f>IFERROR(LOOKUP(2,1/((B_Drainage!$A$5:$A$204&lt;&gt;"")*(B_Drainage!$A$5:$A$204&lt;=$B126)*(B_Drainage!$B$5:$B$204&gt;$B126)*(B_Drainage!$L$5:$L$204&lt;&gt;"")),IF(B_Drainage!$L$5:$L$204="-","",B_Drainage!$L$5:$L$204)),"")</f>
        <v/>
      </c>
      <c r="AD126" s="182" t="str">
        <f>IFERROR(LOOKUP(2,1/((D_Points!$A$5:$A$204&lt;&gt;"")*(D_Points!$A$5:$A$204&gt;=$B126)*(D_Points!$A$5:$A$204&lt;$B126+P_Interval)*(UPPER(TRIM(D_Points!$B$5:$B$204))="TURNOUT_L")*(D_Points!$H$5:$H$204&lt;&gt;"")),D_Points!$H$5:$H$204),"")</f>
        <v/>
      </c>
      <c r="AE126" s="182" t="str">
        <f>IFERROR(LOOKUP(2,1/((D_Points!$A$5:$A$204&lt;&gt;"")*(D_Points!$A$5:$A$204&gt;=$B126)*(D_Points!$A$5:$A$204&lt;$B126+P_Interval)*(UPPER(TRIM(D_Points!$B$5:$B$204))="TURNOUT_R")*(D_Points!$H$5:$H$204&lt;&gt;"")),D_Points!$H$5:$H$204),"")</f>
        <v/>
      </c>
      <c r="AF126" s="181" t="str">
        <f>IFERROR(LOOKUP(2,1/((B_Drainage!$A$5:$A$204&lt;&gt;"")*(B_Drainage!$A$5:$A$204&lt;=$B126)*(B_Drainage!$B$5:$B$204&gt;$B126)*(B_Drainage!$M$5:$M$204&lt;&gt;"")),IF(UPPER(B_Drainage!$M$5:$M$204)="Y",1,"")),"")</f>
        <v/>
      </c>
      <c r="AG126" s="181" t="str">
        <f>IFERROR(LOOKUP(2,1/((B_Drainage!$A$5:$A$204&lt;&gt;"")*(B_Drainage!$A$5:$A$204&lt;=$B126)*(B_Drainage!$B$5:$B$204&gt;$B126)*(B_Drainage!$N$5:$N$204&lt;&gt;"")),IF(UPPER(B_Drainage!$N$5:$N$204)="Y",1,"")),"")</f>
        <v/>
      </c>
      <c r="AH126" s="181" t="str">
        <f t="shared" si="8"/>
        <v/>
      </c>
      <c r="AI126" s="181" t="str">
        <f t="shared" si="9"/>
        <v/>
      </c>
      <c r="AJ126" s="181" t="str">
        <f t="shared" si="10"/>
        <v/>
      </c>
      <c r="AK126" s="181" t="str">
        <f t="shared" si="11"/>
        <v/>
      </c>
      <c r="AL126" s="181" t="str">
        <f t="shared" si="12"/>
        <v/>
      </c>
      <c r="AM126" s="181" t="str">
        <f t="shared" si="13"/>
        <v/>
      </c>
      <c r="AN126" s="181" t="str">
        <f t="shared" si="14"/>
        <v/>
      </c>
      <c r="AO126" s="192" t="str">
        <f t="shared" si="15"/>
        <v/>
      </c>
      <c r="AQ126" t="str">
        <f>IFERROR(LOOKUP(2,1/((C_Pavement!$A$5:$A$204&lt;&gt;"")*(C_Pavement!$A$5:$A$204&lt;=$B126)*(C_Pavement!$B$5:$B$204&gt;$B126)*(C_Pavement!$C$5:$C$204&lt;&gt;"")),ROW(C_Pavement!$C$5:$C$204)-4),"")</f>
        <v/>
      </c>
      <c r="AR126" t="str">
        <f>IF($AQ126="","",UPPER(TRIM(INDEX(C_Pavement!$C$5:$C$204,$AQ126))))</f>
        <v/>
      </c>
      <c r="AS126" t="str">
        <f>IF($AR126="","",IFERROR(MATCH($AR126,E_Rules!$A$5:$A$9,0),""))</f>
        <v/>
      </c>
      <c r="AT126" t="str">
        <f>IF($AQ126="","",IF(INDEX(C_Pavement!$D$5:$D$204,$AQ126)&lt;&gt;"",UPPER(TRIM(INDEX(C_Pavement!$D$5:$D$204,$AQ126))),IF($AS126="","",INDEX(E_Rules!$C$5:$C$9,$AS126))))</f>
        <v/>
      </c>
      <c r="AU126" t="str">
        <f>IF($AQ126="","",IF(INDEX(C_Pavement!$E$5:$E$204,$AQ126)&lt;&gt;"",IF(INDEX(C_Pavement!$E$5:$E$204,$AQ126)="-","",INDEX(C_Pavement!$E$5:$E$204,$AQ126)),IF($AS126="","",INDEX(E_Rules!$D$5:$D$9,$AS126))))</f>
        <v/>
      </c>
      <c r="AV126" t="str">
        <f>IF($AQ126="","",IF(INDEX(C_Pavement!$F$5:$F$204,$AQ126)&lt;&gt;"",IF(INDEX(C_Pavement!$F$5:$F$204,$AQ126)="-","",INDEX(C_Pavement!$F$5:$F$204,$AQ126)),IF($AS126="","",INDEX(E_Rules!$E$5:$E$9,$AS126))))</f>
        <v/>
      </c>
      <c r="AW126" t="str">
        <f>IF($AQ126="","",IF(INDEX(C_Pavement!$G$5:$G$204,$AQ126)&lt;&gt;"",IF(INDEX(C_Pavement!$G$5:$G$204,$AQ126)="-","",INDEX(C_Pavement!$G$5:$G$204,$AQ126)),IF($AS126="","",INDEX(E_Rules!$F$5:$F$9,$AS126))))</f>
        <v/>
      </c>
      <c r="AX126" t="str">
        <f>IF($AQ126="","",IF(INDEX(C_Pavement!$H$5:$H$204,$AQ126)&lt;&gt;"",IF(INDEX(C_Pavement!$H$5:$H$204,$AQ126)="-","",INDEX(C_Pavement!$H$5:$H$204,$AQ126)),IF($AS126="","",INDEX(E_Rules!$G$5:$G$9,$AS126))))</f>
        <v/>
      </c>
      <c r="AY126" t="str">
        <f>IF($AQ126="","",IF(INDEX(C_Pavement!$I$5:$I$204,$AQ126)&lt;&gt;"",IF(INDEX(C_Pavement!$I$5:$I$204,$AQ126)="-","",INDEX(C_Pavement!$I$5:$I$204,$AQ126)),IF($AS126="","",INDEX(E_Rules!$H$5:$H$9,$AS126))))</f>
        <v/>
      </c>
    </row>
    <row r="127" spans="1:51" ht="15.75" customHeight="1" x14ac:dyDescent="0.3">
      <c r="A127" s="189">
        <v>122</v>
      </c>
      <c r="B127" s="180">
        <v>6050</v>
      </c>
      <c r="C127" s="180" t="s">
        <v>433</v>
      </c>
      <c r="D127" s="181" t="str">
        <f>IFERROR(LOOKUP(2,1/((A_Corridor!$A$5:$A$204&lt;&gt;"")*(A_Corridor!$A$5:$A$204&lt;=$B127)*(A_Corridor!$B$5:$B$204&gt;$B127)*(A_Corridor!$C$5:$C$204&lt;&gt;"")),IF(UPPER(A_Corridor!$C$5:$C$204)="Y",1,"")),"")</f>
        <v/>
      </c>
      <c r="E127" s="181" t="str">
        <f>IFERROR(LOOKUP(2,1/((A_Corridor!$A$5:$A$204&lt;&gt;"")*(A_Corridor!$A$5:$A$204&lt;=$B127)*(A_Corridor!$B$5:$B$204&gt;$B127)*(A_Corridor!$D$5:$D$204&lt;&gt;"")),IF(A_Corridor!$D$5:$D$204="-","",UPPER(A_Corridor!$D$5:$D$204))),"")</f>
        <v/>
      </c>
      <c r="F127" s="181" t="str">
        <f>IFERROR(LOOKUP(2,1/((A_Corridor!$A$5:$A$204&lt;&gt;"")*(A_Corridor!$A$5:$A$204&lt;=$B127)*(A_Corridor!$B$5:$B$204&gt;$B127)*(A_Corridor!$E$5:$E$204&lt;&gt;"")),IF(A_Corridor!$E$5:$E$204="-","",1)),"")</f>
        <v/>
      </c>
      <c r="G127" s="182" t="str">
        <f>IFERROR(LOOKUP(2,1/((A_Corridor!$A$5:$A$204&lt;&gt;"")*(A_Corridor!$A$5:$A$204&lt;=$B127)*(A_Corridor!$B$5:$B$204&gt;$B127)*(A_Corridor!$E$5:$E$204&lt;&gt;"")),IF(A_Corridor!$E$5:$E$204="-","",A_Corridor!$E$5:$E$204)),"")</f>
        <v/>
      </c>
      <c r="H127" s="182" t="str">
        <f>IFERROR(LOOKUP(2,1/((D_Points!$A$5:$A$204&lt;&gt;"")*(D_Points!$A$5:$A$204&gt;=$B127)*(D_Points!$A$5:$A$204&lt;$B127+P_Interval)*(UPPER(TRIM(D_Points!$B$5:$B$204))="GULLY")*(D_Points!$H$5:$H$204&lt;&gt;"")),D_Points!$H$5:$H$204),"")</f>
        <v/>
      </c>
      <c r="I127" s="181" t="str">
        <f>IFERROR(LOOKUP(2,1/((A_Corridor!$A$5:$A$204&lt;&gt;"")*(A_Corridor!$A$5:$A$204&lt;=$B127)*(A_Corridor!$B$5:$B$204&gt;$B127)*(A_Corridor!$F$5:$F$204&lt;&gt;"")),IF(A_Corridor!$F$5:$F$204="-","",1)),"")</f>
        <v/>
      </c>
      <c r="J127" s="182" t="str">
        <f>IFERROR(LOOKUP(2,1/((A_Corridor!$A$5:$A$204&lt;&gt;"")*(A_Corridor!$A$5:$A$204&lt;=$B127)*(A_Corridor!$B$5:$B$204&gt;$B127)*(A_Corridor!$F$5:$F$204&lt;&gt;"")),IF(A_Corridor!$F$5:$F$204="-","",A_Corridor!$F$5:$F$204)),"")</f>
        <v/>
      </c>
      <c r="K127" s="182" t="str">
        <f>IFERROR(LOOKUP(2,1/((A_Corridor!$A$5:$A$204&lt;&gt;"")*(A_Corridor!$A$5:$A$204&lt;=$B127)*(A_Corridor!$B$5:$B$204&gt;$B127)*(A_Corridor!$G$5:$G$204&lt;&gt;"")),IF(A_Corridor!$G$5:$G$204="-","",A_Corridor!$G$5:$G$204)),"")</f>
        <v/>
      </c>
      <c r="L127" s="181" t="str">
        <f>IFERROR(LOOKUP(2,1/((A_Corridor!$A$5:$A$204&lt;&gt;"")*(A_Corridor!$A$5:$A$204&lt;=$B127)*(A_Corridor!$B$5:$B$204&gt;$B127)*(A_Corridor!$H$5:$H$204&lt;&gt;"")),IF(A_Corridor!$H$5:$H$204="-","",1)),"")</f>
        <v/>
      </c>
      <c r="M127" s="182" t="str">
        <f>IFERROR(LOOKUP(2,1/((A_Corridor!$A$5:$A$204&lt;&gt;"")*(A_Corridor!$A$5:$A$204&lt;=$B127)*(A_Corridor!$B$5:$B$204&gt;$B127)*(A_Corridor!$H$5:$H$204&lt;&gt;"")),IF(A_Corridor!$H$5:$H$204="-","",A_Corridor!$H$5:$H$204)),"")</f>
        <v/>
      </c>
      <c r="N127" s="182" t="str">
        <f>IFERROR(LOOKUP(2,1/((A_Corridor!$A$5:$A$204&lt;&gt;"")*(A_Corridor!$A$5:$A$204&lt;=$B127)*(A_Corridor!$B$5:$B$204&gt;$B127)*(A_Corridor!$I$5:$I$204&lt;&gt;"")),IF(A_Corridor!$I$5:$I$204="-","",A_Corridor!$I$5:$I$204)),"")</f>
        <v/>
      </c>
      <c r="O127" s="182" t="str">
        <f>IFERROR(LOOKUP(2,1/((D_Points!$A$5:$A$204&lt;&gt;"")*(D_Points!$A$5:$A$204&gt;=$B127)*(D_Points!$A$5:$A$204&lt;$B127+P_Interval)*(UPPER(TRIM(D_Points!$B$5:$B$204))="PITCHING")*(D_Points!$H$5:$H$204&lt;&gt;"")),D_Points!$H$5:$H$204),"")</f>
        <v/>
      </c>
      <c r="P127" s="181" t="str">
        <f>IFERROR(LOOKUP(2,1/((B_Drainage!$A$5:$A$204&lt;&gt;"")*(B_Drainage!$A$5:$A$204&lt;=$B127)*(B_Drainage!$B$5:$B$204&gt;$B127)*(B_Drainage!$C$5:$C$204&lt;&gt;"")),IF(B_Drainage!$C$5:$C$204="-","",UPPER(B_Drainage!$C$5:$C$204))),"")</f>
        <v/>
      </c>
      <c r="Q127" s="181" t="str">
        <f>IFERROR(LOOKUP(2,1/((B_Drainage!$A$5:$A$204&lt;&gt;"")*(B_Drainage!$A$5:$A$204&lt;=$B127)*(B_Drainage!$B$5:$B$204&gt;$B127)*(B_Drainage!$D$5:$D$204&lt;&gt;"")),IF(B_Drainage!$D$5:$D$204="-","",UPPER(B_Drainage!$D$5:$D$204))),"")</f>
        <v/>
      </c>
      <c r="R127" s="182" t="str">
        <f>IFERROR(LOOKUP(2,1/((D_Points!$A$5:$A$204&lt;&gt;"")*(D_Points!$A$5:$A$204&gt;=$B127)*(D_Points!$A$5:$A$204&lt;$B127+P_Interval)*(RIGHT(UPPER(TRIM(D_Points!$B$5:$B$204)),8)="_CULVERT")),IF(LEFT(UPPER(TRIM(D_Points!$B$5:$B$204)),2)="EX",1,IF(LEFT(UPPER(TRIM(D_Points!$B$5:$B$204)),2)="PR",2,3))),"")</f>
        <v/>
      </c>
      <c r="S127" s="182" t="str">
        <f>IFERROR(LOOKUP(2,1/((D_Points!$A$5:$A$204&lt;&gt;"")*(D_Points!$A$5:$A$204&gt;=$B127)*(D_Points!$A$5:$A$204&lt;$B127+P_Interval)*(RIGHT(UPPER(TRIM(D_Points!$B$5:$B$204)),7)="_BRIDGE")),IF(LEFT(UPPER(TRIM(D_Points!$B$5:$B$204)),2)="EX",1,IF(LEFT(UPPER(TRIM(D_Points!$B$5:$B$204)),2)="PR",2,2))),"")</f>
        <v/>
      </c>
      <c r="T127" s="181" t="str">
        <f>IFERROR(LOOKUP(2,1/((B_Drainage!$A$5:$A$204&lt;&gt;"")*(B_Drainage!$A$5:$A$204&lt;=$B127)*(B_Drainage!$B$5:$B$204&gt;$B127)*(B_Drainage!$E$5:$E$204&lt;&gt;"")),IF(B_Drainage!$E$5:$E$204="-","",1)),"")</f>
        <v/>
      </c>
      <c r="U127" s="181" t="str">
        <f>IFERROR(LOOKUP(2,1/((B_Drainage!$A$5:$A$204&lt;&gt;"")*(B_Drainage!$A$5:$A$204&lt;=$B127)*(B_Drainage!$B$5:$B$204&gt;$B127)*(B_Drainage!$E$5:$E$204&lt;&gt;"")),IF(B_Drainage!$E$5:$E$204="-","",B_Drainage!$E$5:$E$204)),"")</f>
        <v/>
      </c>
      <c r="V127" s="181" t="str">
        <f>IFERROR(LOOKUP(2,1/((B_Drainage!$A$5:$A$204&lt;&gt;"")*(B_Drainage!$A$5:$A$204&lt;=$B127)*(B_Drainage!$B$5:$B$204&gt;$B127)*(B_Drainage!$F$5:$F$204&lt;&gt;"")),IF(B_Drainage!$F$5:$F$204="-","",1)),"")</f>
        <v/>
      </c>
      <c r="W127" s="181" t="str">
        <f>IFERROR(LOOKUP(2,1/((B_Drainage!$A$5:$A$204&lt;&gt;"")*(B_Drainage!$A$5:$A$204&lt;=$B127)*(B_Drainage!$B$5:$B$204&gt;$B127)*(B_Drainage!$F$5:$F$204&lt;&gt;"")),IF(B_Drainage!$F$5:$F$204="-","",B_Drainage!$F$5:$F$204)),"")</f>
        <v/>
      </c>
      <c r="X127" s="181" t="str">
        <f>IFERROR(LOOKUP(2,1/((B_Drainage!$A$5:$A$204&lt;&gt;"")*(B_Drainage!$A$5:$A$204&lt;=$B127)*(B_Drainage!$B$5:$B$204&gt;$B127)*(B_Drainage!$G$5:$G$204&lt;&gt;"")),IF(UPPER(B_Drainage!$G$5:$G$204)="Y",1,"")),"")</f>
        <v/>
      </c>
      <c r="Y127" s="181" t="str">
        <f>IFERROR(LOOKUP(2,1/((B_Drainage!$A$5:$A$204&lt;&gt;"")*(B_Drainage!$A$5:$A$204&lt;=$B127)*(B_Drainage!$B$5:$B$204&gt;$B127)*(B_Drainage!$H$5:$H$204&lt;&gt;"")),IF(UPPER(B_Drainage!$H$5:$H$204)="Y",1,"")),"")</f>
        <v/>
      </c>
      <c r="Z127" s="181" t="str">
        <f>IFERROR(LOOKUP(2,1/((B_Drainage!$A$5:$A$204&lt;&gt;"")*(B_Drainage!$A$5:$A$204&lt;=$B127)*(B_Drainage!$B$5:$B$204&gt;$B127)*(B_Drainage!$I$5:$I$204&lt;&gt;"")),IF(UPPER(B_Drainage!$I$5:$I$204)="Y",1,"")),"")</f>
        <v/>
      </c>
      <c r="AA127" s="181" t="str">
        <f>IFERROR(LOOKUP(2,1/((B_Drainage!$A$5:$A$204&lt;&gt;"")*(B_Drainage!$A$5:$A$204&lt;=$B127)*(B_Drainage!$B$5:$B$204&gt;$B127)*(B_Drainage!$J$5:$J$204&lt;&gt;"")),IF(UPPER(B_Drainage!$J$5:$J$204)="Y",1,"")),"")</f>
        <v/>
      </c>
      <c r="AB127" s="182" t="str">
        <f>IFERROR(LOOKUP(2,1/((B_Drainage!$A$5:$A$204&lt;&gt;"")*(B_Drainage!$A$5:$A$204&lt;=$B127)*(B_Drainage!$B$5:$B$204&gt;$B127)*(B_Drainage!$K$5:$K$204&lt;&gt;"")),IF(B_Drainage!$K$5:$K$204="-","",B_Drainage!$K$5:$K$204)),"")</f>
        <v/>
      </c>
      <c r="AC127" s="182" t="str">
        <f>IFERROR(LOOKUP(2,1/((B_Drainage!$A$5:$A$204&lt;&gt;"")*(B_Drainage!$A$5:$A$204&lt;=$B127)*(B_Drainage!$B$5:$B$204&gt;$B127)*(B_Drainage!$L$5:$L$204&lt;&gt;"")),IF(B_Drainage!$L$5:$L$204="-","",B_Drainage!$L$5:$L$204)),"")</f>
        <v/>
      </c>
      <c r="AD127" s="182" t="str">
        <f>IFERROR(LOOKUP(2,1/((D_Points!$A$5:$A$204&lt;&gt;"")*(D_Points!$A$5:$A$204&gt;=$B127)*(D_Points!$A$5:$A$204&lt;$B127+P_Interval)*(UPPER(TRIM(D_Points!$B$5:$B$204))="TURNOUT_L")*(D_Points!$H$5:$H$204&lt;&gt;"")),D_Points!$H$5:$H$204),"")</f>
        <v/>
      </c>
      <c r="AE127" s="182" t="str">
        <f>IFERROR(LOOKUP(2,1/((D_Points!$A$5:$A$204&lt;&gt;"")*(D_Points!$A$5:$A$204&gt;=$B127)*(D_Points!$A$5:$A$204&lt;$B127+P_Interval)*(UPPER(TRIM(D_Points!$B$5:$B$204))="TURNOUT_R")*(D_Points!$H$5:$H$204&lt;&gt;"")),D_Points!$H$5:$H$204),"")</f>
        <v/>
      </c>
      <c r="AF127" s="181" t="str">
        <f>IFERROR(LOOKUP(2,1/((B_Drainage!$A$5:$A$204&lt;&gt;"")*(B_Drainage!$A$5:$A$204&lt;=$B127)*(B_Drainage!$B$5:$B$204&gt;$B127)*(B_Drainage!$M$5:$M$204&lt;&gt;"")),IF(UPPER(B_Drainage!$M$5:$M$204)="Y",1,"")),"")</f>
        <v/>
      </c>
      <c r="AG127" s="181" t="str">
        <f>IFERROR(LOOKUP(2,1/((B_Drainage!$A$5:$A$204&lt;&gt;"")*(B_Drainage!$A$5:$A$204&lt;=$B127)*(B_Drainage!$B$5:$B$204&gt;$B127)*(B_Drainage!$N$5:$N$204&lt;&gt;"")),IF(UPPER(B_Drainage!$N$5:$N$204)="Y",1,"")),"")</f>
        <v/>
      </c>
      <c r="AH127" s="181" t="str">
        <f t="shared" si="8"/>
        <v/>
      </c>
      <c r="AI127" s="181" t="str">
        <f t="shared" si="9"/>
        <v/>
      </c>
      <c r="AJ127" s="181" t="str">
        <f t="shared" si="10"/>
        <v/>
      </c>
      <c r="AK127" s="181" t="str">
        <f t="shared" si="11"/>
        <v/>
      </c>
      <c r="AL127" s="181" t="str">
        <f t="shared" si="12"/>
        <v/>
      </c>
      <c r="AM127" s="181" t="str">
        <f t="shared" si="13"/>
        <v/>
      </c>
      <c r="AN127" s="181" t="str">
        <f t="shared" si="14"/>
        <v/>
      </c>
      <c r="AO127" s="192" t="str">
        <f t="shared" si="15"/>
        <v/>
      </c>
      <c r="AQ127" t="str">
        <f>IFERROR(LOOKUP(2,1/((C_Pavement!$A$5:$A$204&lt;&gt;"")*(C_Pavement!$A$5:$A$204&lt;=$B127)*(C_Pavement!$B$5:$B$204&gt;$B127)*(C_Pavement!$C$5:$C$204&lt;&gt;"")),ROW(C_Pavement!$C$5:$C$204)-4),"")</f>
        <v/>
      </c>
      <c r="AR127" t="str">
        <f>IF($AQ127="","",UPPER(TRIM(INDEX(C_Pavement!$C$5:$C$204,$AQ127))))</f>
        <v/>
      </c>
      <c r="AS127" t="str">
        <f>IF($AR127="","",IFERROR(MATCH($AR127,E_Rules!$A$5:$A$9,0),""))</f>
        <v/>
      </c>
      <c r="AT127" t="str">
        <f>IF($AQ127="","",IF(INDEX(C_Pavement!$D$5:$D$204,$AQ127)&lt;&gt;"",UPPER(TRIM(INDEX(C_Pavement!$D$5:$D$204,$AQ127))),IF($AS127="","",INDEX(E_Rules!$C$5:$C$9,$AS127))))</f>
        <v/>
      </c>
      <c r="AU127" t="str">
        <f>IF($AQ127="","",IF(INDEX(C_Pavement!$E$5:$E$204,$AQ127)&lt;&gt;"",IF(INDEX(C_Pavement!$E$5:$E$204,$AQ127)="-","",INDEX(C_Pavement!$E$5:$E$204,$AQ127)),IF($AS127="","",INDEX(E_Rules!$D$5:$D$9,$AS127))))</f>
        <v/>
      </c>
      <c r="AV127" t="str">
        <f>IF($AQ127="","",IF(INDEX(C_Pavement!$F$5:$F$204,$AQ127)&lt;&gt;"",IF(INDEX(C_Pavement!$F$5:$F$204,$AQ127)="-","",INDEX(C_Pavement!$F$5:$F$204,$AQ127)),IF($AS127="","",INDEX(E_Rules!$E$5:$E$9,$AS127))))</f>
        <v/>
      </c>
      <c r="AW127" t="str">
        <f>IF($AQ127="","",IF(INDEX(C_Pavement!$G$5:$G$204,$AQ127)&lt;&gt;"",IF(INDEX(C_Pavement!$G$5:$G$204,$AQ127)="-","",INDEX(C_Pavement!$G$5:$G$204,$AQ127)),IF($AS127="","",INDEX(E_Rules!$F$5:$F$9,$AS127))))</f>
        <v/>
      </c>
      <c r="AX127" t="str">
        <f>IF($AQ127="","",IF(INDEX(C_Pavement!$H$5:$H$204,$AQ127)&lt;&gt;"",IF(INDEX(C_Pavement!$H$5:$H$204,$AQ127)="-","",INDEX(C_Pavement!$H$5:$H$204,$AQ127)),IF($AS127="","",INDEX(E_Rules!$G$5:$G$9,$AS127))))</f>
        <v/>
      </c>
      <c r="AY127" t="str">
        <f>IF($AQ127="","",IF(INDEX(C_Pavement!$I$5:$I$204,$AQ127)&lt;&gt;"",IF(INDEX(C_Pavement!$I$5:$I$204,$AQ127)="-","",INDEX(C_Pavement!$I$5:$I$204,$AQ127)),IF($AS127="","",INDEX(E_Rules!$H$5:$H$9,$AS127))))</f>
        <v/>
      </c>
    </row>
    <row r="128" spans="1:51" ht="15.75" customHeight="1" x14ac:dyDescent="0.3">
      <c r="A128" s="189">
        <v>123</v>
      </c>
      <c r="B128" s="180">
        <v>6100</v>
      </c>
      <c r="C128" s="180" t="s">
        <v>434</v>
      </c>
      <c r="D128" s="181" t="str">
        <f>IFERROR(LOOKUP(2,1/((A_Corridor!$A$5:$A$204&lt;&gt;"")*(A_Corridor!$A$5:$A$204&lt;=$B128)*(A_Corridor!$B$5:$B$204&gt;$B128)*(A_Corridor!$C$5:$C$204&lt;&gt;"")),IF(UPPER(A_Corridor!$C$5:$C$204)="Y",1,"")),"")</f>
        <v/>
      </c>
      <c r="E128" s="181" t="str">
        <f>IFERROR(LOOKUP(2,1/((A_Corridor!$A$5:$A$204&lt;&gt;"")*(A_Corridor!$A$5:$A$204&lt;=$B128)*(A_Corridor!$B$5:$B$204&gt;$B128)*(A_Corridor!$D$5:$D$204&lt;&gt;"")),IF(A_Corridor!$D$5:$D$204="-","",UPPER(A_Corridor!$D$5:$D$204))),"")</f>
        <v/>
      </c>
      <c r="F128" s="181" t="str">
        <f>IFERROR(LOOKUP(2,1/((A_Corridor!$A$5:$A$204&lt;&gt;"")*(A_Corridor!$A$5:$A$204&lt;=$B128)*(A_Corridor!$B$5:$B$204&gt;$B128)*(A_Corridor!$E$5:$E$204&lt;&gt;"")),IF(A_Corridor!$E$5:$E$204="-","",1)),"")</f>
        <v/>
      </c>
      <c r="G128" s="182" t="str">
        <f>IFERROR(LOOKUP(2,1/((A_Corridor!$A$5:$A$204&lt;&gt;"")*(A_Corridor!$A$5:$A$204&lt;=$B128)*(A_Corridor!$B$5:$B$204&gt;$B128)*(A_Corridor!$E$5:$E$204&lt;&gt;"")),IF(A_Corridor!$E$5:$E$204="-","",A_Corridor!$E$5:$E$204)),"")</f>
        <v/>
      </c>
      <c r="H128" s="182" t="str">
        <f>IFERROR(LOOKUP(2,1/((D_Points!$A$5:$A$204&lt;&gt;"")*(D_Points!$A$5:$A$204&gt;=$B128)*(D_Points!$A$5:$A$204&lt;$B128+P_Interval)*(UPPER(TRIM(D_Points!$B$5:$B$204))="GULLY")*(D_Points!$H$5:$H$204&lt;&gt;"")),D_Points!$H$5:$H$204),"")</f>
        <v/>
      </c>
      <c r="I128" s="181" t="str">
        <f>IFERROR(LOOKUP(2,1/((A_Corridor!$A$5:$A$204&lt;&gt;"")*(A_Corridor!$A$5:$A$204&lt;=$B128)*(A_Corridor!$B$5:$B$204&gt;$B128)*(A_Corridor!$F$5:$F$204&lt;&gt;"")),IF(A_Corridor!$F$5:$F$204="-","",1)),"")</f>
        <v/>
      </c>
      <c r="J128" s="182" t="str">
        <f>IFERROR(LOOKUP(2,1/((A_Corridor!$A$5:$A$204&lt;&gt;"")*(A_Corridor!$A$5:$A$204&lt;=$B128)*(A_Corridor!$B$5:$B$204&gt;$B128)*(A_Corridor!$F$5:$F$204&lt;&gt;"")),IF(A_Corridor!$F$5:$F$204="-","",A_Corridor!$F$5:$F$204)),"")</f>
        <v/>
      </c>
      <c r="K128" s="182" t="str">
        <f>IFERROR(LOOKUP(2,1/((A_Corridor!$A$5:$A$204&lt;&gt;"")*(A_Corridor!$A$5:$A$204&lt;=$B128)*(A_Corridor!$B$5:$B$204&gt;$B128)*(A_Corridor!$G$5:$G$204&lt;&gt;"")),IF(A_Corridor!$G$5:$G$204="-","",A_Corridor!$G$5:$G$204)),"")</f>
        <v/>
      </c>
      <c r="L128" s="181" t="str">
        <f>IFERROR(LOOKUP(2,1/((A_Corridor!$A$5:$A$204&lt;&gt;"")*(A_Corridor!$A$5:$A$204&lt;=$B128)*(A_Corridor!$B$5:$B$204&gt;$B128)*(A_Corridor!$H$5:$H$204&lt;&gt;"")),IF(A_Corridor!$H$5:$H$204="-","",1)),"")</f>
        <v/>
      </c>
      <c r="M128" s="182" t="str">
        <f>IFERROR(LOOKUP(2,1/((A_Corridor!$A$5:$A$204&lt;&gt;"")*(A_Corridor!$A$5:$A$204&lt;=$B128)*(A_Corridor!$B$5:$B$204&gt;$B128)*(A_Corridor!$H$5:$H$204&lt;&gt;"")),IF(A_Corridor!$H$5:$H$204="-","",A_Corridor!$H$5:$H$204)),"")</f>
        <v/>
      </c>
      <c r="N128" s="182" t="str">
        <f>IFERROR(LOOKUP(2,1/((A_Corridor!$A$5:$A$204&lt;&gt;"")*(A_Corridor!$A$5:$A$204&lt;=$B128)*(A_Corridor!$B$5:$B$204&gt;$B128)*(A_Corridor!$I$5:$I$204&lt;&gt;"")),IF(A_Corridor!$I$5:$I$204="-","",A_Corridor!$I$5:$I$204)),"")</f>
        <v/>
      </c>
      <c r="O128" s="182" t="str">
        <f>IFERROR(LOOKUP(2,1/((D_Points!$A$5:$A$204&lt;&gt;"")*(D_Points!$A$5:$A$204&gt;=$B128)*(D_Points!$A$5:$A$204&lt;$B128+P_Interval)*(UPPER(TRIM(D_Points!$B$5:$B$204))="PITCHING")*(D_Points!$H$5:$H$204&lt;&gt;"")),D_Points!$H$5:$H$204),"")</f>
        <v/>
      </c>
      <c r="P128" s="181" t="str">
        <f>IFERROR(LOOKUP(2,1/((B_Drainage!$A$5:$A$204&lt;&gt;"")*(B_Drainage!$A$5:$A$204&lt;=$B128)*(B_Drainage!$B$5:$B$204&gt;$B128)*(B_Drainage!$C$5:$C$204&lt;&gt;"")),IF(B_Drainage!$C$5:$C$204="-","",UPPER(B_Drainage!$C$5:$C$204))),"")</f>
        <v/>
      </c>
      <c r="Q128" s="181" t="str">
        <f>IFERROR(LOOKUP(2,1/((B_Drainage!$A$5:$A$204&lt;&gt;"")*(B_Drainage!$A$5:$A$204&lt;=$B128)*(B_Drainage!$B$5:$B$204&gt;$B128)*(B_Drainage!$D$5:$D$204&lt;&gt;"")),IF(B_Drainage!$D$5:$D$204="-","",UPPER(B_Drainage!$D$5:$D$204))),"")</f>
        <v/>
      </c>
      <c r="R128" s="182" t="str">
        <f>IFERROR(LOOKUP(2,1/((D_Points!$A$5:$A$204&lt;&gt;"")*(D_Points!$A$5:$A$204&gt;=$B128)*(D_Points!$A$5:$A$204&lt;$B128+P_Interval)*(RIGHT(UPPER(TRIM(D_Points!$B$5:$B$204)),8)="_CULVERT")),IF(LEFT(UPPER(TRIM(D_Points!$B$5:$B$204)),2)="EX",1,IF(LEFT(UPPER(TRIM(D_Points!$B$5:$B$204)),2)="PR",2,3))),"")</f>
        <v/>
      </c>
      <c r="S128" s="182" t="str">
        <f>IFERROR(LOOKUP(2,1/((D_Points!$A$5:$A$204&lt;&gt;"")*(D_Points!$A$5:$A$204&gt;=$B128)*(D_Points!$A$5:$A$204&lt;$B128+P_Interval)*(RIGHT(UPPER(TRIM(D_Points!$B$5:$B$204)),7)="_BRIDGE")),IF(LEFT(UPPER(TRIM(D_Points!$B$5:$B$204)),2)="EX",1,IF(LEFT(UPPER(TRIM(D_Points!$B$5:$B$204)),2)="PR",2,2))),"")</f>
        <v/>
      </c>
      <c r="T128" s="181" t="str">
        <f>IFERROR(LOOKUP(2,1/((B_Drainage!$A$5:$A$204&lt;&gt;"")*(B_Drainage!$A$5:$A$204&lt;=$B128)*(B_Drainage!$B$5:$B$204&gt;$B128)*(B_Drainage!$E$5:$E$204&lt;&gt;"")),IF(B_Drainage!$E$5:$E$204="-","",1)),"")</f>
        <v/>
      </c>
      <c r="U128" s="181" t="str">
        <f>IFERROR(LOOKUP(2,1/((B_Drainage!$A$5:$A$204&lt;&gt;"")*(B_Drainage!$A$5:$A$204&lt;=$B128)*(B_Drainage!$B$5:$B$204&gt;$B128)*(B_Drainage!$E$5:$E$204&lt;&gt;"")),IF(B_Drainage!$E$5:$E$204="-","",B_Drainage!$E$5:$E$204)),"")</f>
        <v/>
      </c>
      <c r="V128" s="181" t="str">
        <f>IFERROR(LOOKUP(2,1/((B_Drainage!$A$5:$A$204&lt;&gt;"")*(B_Drainage!$A$5:$A$204&lt;=$B128)*(B_Drainage!$B$5:$B$204&gt;$B128)*(B_Drainage!$F$5:$F$204&lt;&gt;"")),IF(B_Drainage!$F$5:$F$204="-","",1)),"")</f>
        <v/>
      </c>
      <c r="W128" s="181" t="str">
        <f>IFERROR(LOOKUP(2,1/((B_Drainage!$A$5:$A$204&lt;&gt;"")*(B_Drainage!$A$5:$A$204&lt;=$B128)*(B_Drainage!$B$5:$B$204&gt;$B128)*(B_Drainage!$F$5:$F$204&lt;&gt;"")),IF(B_Drainage!$F$5:$F$204="-","",B_Drainage!$F$5:$F$204)),"")</f>
        <v/>
      </c>
      <c r="X128" s="181" t="str">
        <f>IFERROR(LOOKUP(2,1/((B_Drainage!$A$5:$A$204&lt;&gt;"")*(B_Drainage!$A$5:$A$204&lt;=$B128)*(B_Drainage!$B$5:$B$204&gt;$B128)*(B_Drainage!$G$5:$G$204&lt;&gt;"")),IF(UPPER(B_Drainage!$G$5:$G$204)="Y",1,"")),"")</f>
        <v/>
      </c>
      <c r="Y128" s="181" t="str">
        <f>IFERROR(LOOKUP(2,1/((B_Drainage!$A$5:$A$204&lt;&gt;"")*(B_Drainage!$A$5:$A$204&lt;=$B128)*(B_Drainage!$B$5:$B$204&gt;$B128)*(B_Drainage!$H$5:$H$204&lt;&gt;"")),IF(UPPER(B_Drainage!$H$5:$H$204)="Y",1,"")),"")</f>
        <v/>
      </c>
      <c r="Z128" s="181" t="str">
        <f>IFERROR(LOOKUP(2,1/((B_Drainage!$A$5:$A$204&lt;&gt;"")*(B_Drainage!$A$5:$A$204&lt;=$B128)*(B_Drainage!$B$5:$B$204&gt;$B128)*(B_Drainage!$I$5:$I$204&lt;&gt;"")),IF(UPPER(B_Drainage!$I$5:$I$204)="Y",1,"")),"")</f>
        <v/>
      </c>
      <c r="AA128" s="181" t="str">
        <f>IFERROR(LOOKUP(2,1/((B_Drainage!$A$5:$A$204&lt;&gt;"")*(B_Drainage!$A$5:$A$204&lt;=$B128)*(B_Drainage!$B$5:$B$204&gt;$B128)*(B_Drainage!$J$5:$J$204&lt;&gt;"")),IF(UPPER(B_Drainage!$J$5:$J$204)="Y",1,"")),"")</f>
        <v/>
      </c>
      <c r="AB128" s="182" t="str">
        <f>IFERROR(LOOKUP(2,1/((B_Drainage!$A$5:$A$204&lt;&gt;"")*(B_Drainage!$A$5:$A$204&lt;=$B128)*(B_Drainage!$B$5:$B$204&gt;$B128)*(B_Drainage!$K$5:$K$204&lt;&gt;"")),IF(B_Drainage!$K$5:$K$204="-","",B_Drainage!$K$5:$K$204)),"")</f>
        <v/>
      </c>
      <c r="AC128" s="182" t="str">
        <f>IFERROR(LOOKUP(2,1/((B_Drainage!$A$5:$A$204&lt;&gt;"")*(B_Drainage!$A$5:$A$204&lt;=$B128)*(B_Drainage!$B$5:$B$204&gt;$B128)*(B_Drainage!$L$5:$L$204&lt;&gt;"")),IF(B_Drainage!$L$5:$L$204="-","",B_Drainage!$L$5:$L$204)),"")</f>
        <v/>
      </c>
      <c r="AD128" s="182" t="str">
        <f>IFERROR(LOOKUP(2,1/((D_Points!$A$5:$A$204&lt;&gt;"")*(D_Points!$A$5:$A$204&gt;=$B128)*(D_Points!$A$5:$A$204&lt;$B128+P_Interval)*(UPPER(TRIM(D_Points!$B$5:$B$204))="TURNOUT_L")*(D_Points!$H$5:$H$204&lt;&gt;"")),D_Points!$H$5:$H$204),"")</f>
        <v/>
      </c>
      <c r="AE128" s="182" t="str">
        <f>IFERROR(LOOKUP(2,1/((D_Points!$A$5:$A$204&lt;&gt;"")*(D_Points!$A$5:$A$204&gt;=$B128)*(D_Points!$A$5:$A$204&lt;$B128+P_Interval)*(UPPER(TRIM(D_Points!$B$5:$B$204))="TURNOUT_R")*(D_Points!$H$5:$H$204&lt;&gt;"")),D_Points!$H$5:$H$204),"")</f>
        <v/>
      </c>
      <c r="AF128" s="181" t="str">
        <f>IFERROR(LOOKUP(2,1/((B_Drainage!$A$5:$A$204&lt;&gt;"")*(B_Drainage!$A$5:$A$204&lt;=$B128)*(B_Drainage!$B$5:$B$204&gt;$B128)*(B_Drainage!$M$5:$M$204&lt;&gt;"")),IF(UPPER(B_Drainage!$M$5:$M$204)="Y",1,"")),"")</f>
        <v/>
      </c>
      <c r="AG128" s="181" t="str">
        <f>IFERROR(LOOKUP(2,1/((B_Drainage!$A$5:$A$204&lt;&gt;"")*(B_Drainage!$A$5:$A$204&lt;=$B128)*(B_Drainage!$B$5:$B$204&gt;$B128)*(B_Drainage!$N$5:$N$204&lt;&gt;"")),IF(UPPER(B_Drainage!$N$5:$N$204)="Y",1,"")),"")</f>
        <v/>
      </c>
      <c r="AH128" s="181" t="str">
        <f t="shared" si="8"/>
        <v/>
      </c>
      <c r="AI128" s="181" t="str">
        <f t="shared" si="9"/>
        <v/>
      </c>
      <c r="AJ128" s="181" t="str">
        <f t="shared" si="10"/>
        <v/>
      </c>
      <c r="AK128" s="181" t="str">
        <f t="shared" si="11"/>
        <v/>
      </c>
      <c r="AL128" s="181" t="str">
        <f t="shared" si="12"/>
        <v/>
      </c>
      <c r="AM128" s="181" t="str">
        <f t="shared" si="13"/>
        <v/>
      </c>
      <c r="AN128" s="181" t="str">
        <f t="shared" si="14"/>
        <v/>
      </c>
      <c r="AO128" s="192" t="str">
        <f t="shared" si="15"/>
        <v/>
      </c>
      <c r="AQ128" t="str">
        <f>IFERROR(LOOKUP(2,1/((C_Pavement!$A$5:$A$204&lt;&gt;"")*(C_Pavement!$A$5:$A$204&lt;=$B128)*(C_Pavement!$B$5:$B$204&gt;$B128)*(C_Pavement!$C$5:$C$204&lt;&gt;"")),ROW(C_Pavement!$C$5:$C$204)-4),"")</f>
        <v/>
      </c>
      <c r="AR128" t="str">
        <f>IF($AQ128="","",UPPER(TRIM(INDEX(C_Pavement!$C$5:$C$204,$AQ128))))</f>
        <v/>
      </c>
      <c r="AS128" t="str">
        <f>IF($AR128="","",IFERROR(MATCH($AR128,E_Rules!$A$5:$A$9,0),""))</f>
        <v/>
      </c>
      <c r="AT128" t="str">
        <f>IF($AQ128="","",IF(INDEX(C_Pavement!$D$5:$D$204,$AQ128)&lt;&gt;"",UPPER(TRIM(INDEX(C_Pavement!$D$5:$D$204,$AQ128))),IF($AS128="","",INDEX(E_Rules!$C$5:$C$9,$AS128))))</f>
        <v/>
      </c>
      <c r="AU128" t="str">
        <f>IF($AQ128="","",IF(INDEX(C_Pavement!$E$5:$E$204,$AQ128)&lt;&gt;"",IF(INDEX(C_Pavement!$E$5:$E$204,$AQ128)="-","",INDEX(C_Pavement!$E$5:$E$204,$AQ128)),IF($AS128="","",INDEX(E_Rules!$D$5:$D$9,$AS128))))</f>
        <v/>
      </c>
      <c r="AV128" t="str">
        <f>IF($AQ128="","",IF(INDEX(C_Pavement!$F$5:$F$204,$AQ128)&lt;&gt;"",IF(INDEX(C_Pavement!$F$5:$F$204,$AQ128)="-","",INDEX(C_Pavement!$F$5:$F$204,$AQ128)),IF($AS128="","",INDEX(E_Rules!$E$5:$E$9,$AS128))))</f>
        <v/>
      </c>
      <c r="AW128" t="str">
        <f>IF($AQ128="","",IF(INDEX(C_Pavement!$G$5:$G$204,$AQ128)&lt;&gt;"",IF(INDEX(C_Pavement!$G$5:$G$204,$AQ128)="-","",INDEX(C_Pavement!$G$5:$G$204,$AQ128)),IF($AS128="","",INDEX(E_Rules!$F$5:$F$9,$AS128))))</f>
        <v/>
      </c>
      <c r="AX128" t="str">
        <f>IF($AQ128="","",IF(INDEX(C_Pavement!$H$5:$H$204,$AQ128)&lt;&gt;"",IF(INDEX(C_Pavement!$H$5:$H$204,$AQ128)="-","",INDEX(C_Pavement!$H$5:$H$204,$AQ128)),IF($AS128="","",INDEX(E_Rules!$G$5:$G$9,$AS128))))</f>
        <v/>
      </c>
      <c r="AY128" t="str">
        <f>IF($AQ128="","",IF(INDEX(C_Pavement!$I$5:$I$204,$AQ128)&lt;&gt;"",IF(INDEX(C_Pavement!$I$5:$I$204,$AQ128)="-","",INDEX(C_Pavement!$I$5:$I$204,$AQ128)),IF($AS128="","",INDEX(E_Rules!$H$5:$H$9,$AS128))))</f>
        <v/>
      </c>
    </row>
    <row r="129" spans="1:51" ht="15.75" customHeight="1" x14ac:dyDescent="0.3">
      <c r="A129" s="189">
        <v>124</v>
      </c>
      <c r="B129" s="180">
        <v>6150</v>
      </c>
      <c r="C129" s="180" t="s">
        <v>435</v>
      </c>
      <c r="D129" s="181" t="str">
        <f>IFERROR(LOOKUP(2,1/((A_Corridor!$A$5:$A$204&lt;&gt;"")*(A_Corridor!$A$5:$A$204&lt;=$B129)*(A_Corridor!$B$5:$B$204&gt;$B129)*(A_Corridor!$C$5:$C$204&lt;&gt;"")),IF(UPPER(A_Corridor!$C$5:$C$204)="Y",1,"")),"")</f>
        <v/>
      </c>
      <c r="E129" s="181" t="str">
        <f>IFERROR(LOOKUP(2,1/((A_Corridor!$A$5:$A$204&lt;&gt;"")*(A_Corridor!$A$5:$A$204&lt;=$B129)*(A_Corridor!$B$5:$B$204&gt;$B129)*(A_Corridor!$D$5:$D$204&lt;&gt;"")),IF(A_Corridor!$D$5:$D$204="-","",UPPER(A_Corridor!$D$5:$D$204))),"")</f>
        <v/>
      </c>
      <c r="F129" s="181" t="str">
        <f>IFERROR(LOOKUP(2,1/((A_Corridor!$A$5:$A$204&lt;&gt;"")*(A_Corridor!$A$5:$A$204&lt;=$B129)*(A_Corridor!$B$5:$B$204&gt;$B129)*(A_Corridor!$E$5:$E$204&lt;&gt;"")),IF(A_Corridor!$E$5:$E$204="-","",1)),"")</f>
        <v/>
      </c>
      <c r="G129" s="182" t="str">
        <f>IFERROR(LOOKUP(2,1/((A_Corridor!$A$5:$A$204&lt;&gt;"")*(A_Corridor!$A$5:$A$204&lt;=$B129)*(A_Corridor!$B$5:$B$204&gt;$B129)*(A_Corridor!$E$5:$E$204&lt;&gt;"")),IF(A_Corridor!$E$5:$E$204="-","",A_Corridor!$E$5:$E$204)),"")</f>
        <v/>
      </c>
      <c r="H129" s="182" t="str">
        <f>IFERROR(LOOKUP(2,1/((D_Points!$A$5:$A$204&lt;&gt;"")*(D_Points!$A$5:$A$204&gt;=$B129)*(D_Points!$A$5:$A$204&lt;$B129+P_Interval)*(UPPER(TRIM(D_Points!$B$5:$B$204))="GULLY")*(D_Points!$H$5:$H$204&lt;&gt;"")),D_Points!$H$5:$H$204),"")</f>
        <v/>
      </c>
      <c r="I129" s="181" t="str">
        <f>IFERROR(LOOKUP(2,1/((A_Corridor!$A$5:$A$204&lt;&gt;"")*(A_Corridor!$A$5:$A$204&lt;=$B129)*(A_Corridor!$B$5:$B$204&gt;$B129)*(A_Corridor!$F$5:$F$204&lt;&gt;"")),IF(A_Corridor!$F$5:$F$204="-","",1)),"")</f>
        <v/>
      </c>
      <c r="J129" s="182" t="str">
        <f>IFERROR(LOOKUP(2,1/((A_Corridor!$A$5:$A$204&lt;&gt;"")*(A_Corridor!$A$5:$A$204&lt;=$B129)*(A_Corridor!$B$5:$B$204&gt;$B129)*(A_Corridor!$F$5:$F$204&lt;&gt;"")),IF(A_Corridor!$F$5:$F$204="-","",A_Corridor!$F$5:$F$204)),"")</f>
        <v/>
      </c>
      <c r="K129" s="182" t="str">
        <f>IFERROR(LOOKUP(2,1/((A_Corridor!$A$5:$A$204&lt;&gt;"")*(A_Corridor!$A$5:$A$204&lt;=$B129)*(A_Corridor!$B$5:$B$204&gt;$B129)*(A_Corridor!$G$5:$G$204&lt;&gt;"")),IF(A_Corridor!$G$5:$G$204="-","",A_Corridor!$G$5:$G$204)),"")</f>
        <v/>
      </c>
      <c r="L129" s="181" t="str">
        <f>IFERROR(LOOKUP(2,1/((A_Corridor!$A$5:$A$204&lt;&gt;"")*(A_Corridor!$A$5:$A$204&lt;=$B129)*(A_Corridor!$B$5:$B$204&gt;$B129)*(A_Corridor!$H$5:$H$204&lt;&gt;"")),IF(A_Corridor!$H$5:$H$204="-","",1)),"")</f>
        <v/>
      </c>
      <c r="M129" s="182" t="str">
        <f>IFERROR(LOOKUP(2,1/((A_Corridor!$A$5:$A$204&lt;&gt;"")*(A_Corridor!$A$5:$A$204&lt;=$B129)*(A_Corridor!$B$5:$B$204&gt;$B129)*(A_Corridor!$H$5:$H$204&lt;&gt;"")),IF(A_Corridor!$H$5:$H$204="-","",A_Corridor!$H$5:$H$204)),"")</f>
        <v/>
      </c>
      <c r="N129" s="182" t="str">
        <f>IFERROR(LOOKUP(2,1/((A_Corridor!$A$5:$A$204&lt;&gt;"")*(A_Corridor!$A$5:$A$204&lt;=$B129)*(A_Corridor!$B$5:$B$204&gt;$B129)*(A_Corridor!$I$5:$I$204&lt;&gt;"")),IF(A_Corridor!$I$5:$I$204="-","",A_Corridor!$I$5:$I$204)),"")</f>
        <v/>
      </c>
      <c r="O129" s="182" t="str">
        <f>IFERROR(LOOKUP(2,1/((D_Points!$A$5:$A$204&lt;&gt;"")*(D_Points!$A$5:$A$204&gt;=$B129)*(D_Points!$A$5:$A$204&lt;$B129+P_Interval)*(UPPER(TRIM(D_Points!$B$5:$B$204))="PITCHING")*(D_Points!$H$5:$H$204&lt;&gt;"")),D_Points!$H$5:$H$204),"")</f>
        <v/>
      </c>
      <c r="P129" s="181" t="str">
        <f>IFERROR(LOOKUP(2,1/((B_Drainage!$A$5:$A$204&lt;&gt;"")*(B_Drainage!$A$5:$A$204&lt;=$B129)*(B_Drainage!$B$5:$B$204&gt;$B129)*(B_Drainage!$C$5:$C$204&lt;&gt;"")),IF(B_Drainage!$C$5:$C$204="-","",UPPER(B_Drainage!$C$5:$C$204))),"")</f>
        <v/>
      </c>
      <c r="Q129" s="181" t="str">
        <f>IFERROR(LOOKUP(2,1/((B_Drainage!$A$5:$A$204&lt;&gt;"")*(B_Drainage!$A$5:$A$204&lt;=$B129)*(B_Drainage!$B$5:$B$204&gt;$B129)*(B_Drainage!$D$5:$D$204&lt;&gt;"")),IF(B_Drainage!$D$5:$D$204="-","",UPPER(B_Drainage!$D$5:$D$204))),"")</f>
        <v/>
      </c>
      <c r="R129" s="182" t="str">
        <f>IFERROR(LOOKUP(2,1/((D_Points!$A$5:$A$204&lt;&gt;"")*(D_Points!$A$5:$A$204&gt;=$B129)*(D_Points!$A$5:$A$204&lt;$B129+P_Interval)*(RIGHT(UPPER(TRIM(D_Points!$B$5:$B$204)),8)="_CULVERT")),IF(LEFT(UPPER(TRIM(D_Points!$B$5:$B$204)),2)="EX",1,IF(LEFT(UPPER(TRIM(D_Points!$B$5:$B$204)),2)="PR",2,3))),"")</f>
        <v/>
      </c>
      <c r="S129" s="182" t="str">
        <f>IFERROR(LOOKUP(2,1/((D_Points!$A$5:$A$204&lt;&gt;"")*(D_Points!$A$5:$A$204&gt;=$B129)*(D_Points!$A$5:$A$204&lt;$B129+P_Interval)*(RIGHT(UPPER(TRIM(D_Points!$B$5:$B$204)),7)="_BRIDGE")),IF(LEFT(UPPER(TRIM(D_Points!$B$5:$B$204)),2)="EX",1,IF(LEFT(UPPER(TRIM(D_Points!$B$5:$B$204)),2)="PR",2,2))),"")</f>
        <v/>
      </c>
      <c r="T129" s="181" t="str">
        <f>IFERROR(LOOKUP(2,1/((B_Drainage!$A$5:$A$204&lt;&gt;"")*(B_Drainage!$A$5:$A$204&lt;=$B129)*(B_Drainage!$B$5:$B$204&gt;$B129)*(B_Drainage!$E$5:$E$204&lt;&gt;"")),IF(B_Drainage!$E$5:$E$204="-","",1)),"")</f>
        <v/>
      </c>
      <c r="U129" s="181" t="str">
        <f>IFERROR(LOOKUP(2,1/((B_Drainage!$A$5:$A$204&lt;&gt;"")*(B_Drainage!$A$5:$A$204&lt;=$B129)*(B_Drainage!$B$5:$B$204&gt;$B129)*(B_Drainage!$E$5:$E$204&lt;&gt;"")),IF(B_Drainage!$E$5:$E$204="-","",B_Drainage!$E$5:$E$204)),"")</f>
        <v/>
      </c>
      <c r="V129" s="181" t="str">
        <f>IFERROR(LOOKUP(2,1/((B_Drainage!$A$5:$A$204&lt;&gt;"")*(B_Drainage!$A$5:$A$204&lt;=$B129)*(B_Drainage!$B$5:$B$204&gt;$B129)*(B_Drainage!$F$5:$F$204&lt;&gt;"")),IF(B_Drainage!$F$5:$F$204="-","",1)),"")</f>
        <v/>
      </c>
      <c r="W129" s="181" t="str">
        <f>IFERROR(LOOKUP(2,1/((B_Drainage!$A$5:$A$204&lt;&gt;"")*(B_Drainage!$A$5:$A$204&lt;=$B129)*(B_Drainage!$B$5:$B$204&gt;$B129)*(B_Drainage!$F$5:$F$204&lt;&gt;"")),IF(B_Drainage!$F$5:$F$204="-","",B_Drainage!$F$5:$F$204)),"")</f>
        <v/>
      </c>
      <c r="X129" s="181" t="str">
        <f>IFERROR(LOOKUP(2,1/((B_Drainage!$A$5:$A$204&lt;&gt;"")*(B_Drainage!$A$5:$A$204&lt;=$B129)*(B_Drainage!$B$5:$B$204&gt;$B129)*(B_Drainage!$G$5:$G$204&lt;&gt;"")),IF(UPPER(B_Drainage!$G$5:$G$204)="Y",1,"")),"")</f>
        <v/>
      </c>
      <c r="Y129" s="181" t="str">
        <f>IFERROR(LOOKUP(2,1/((B_Drainage!$A$5:$A$204&lt;&gt;"")*(B_Drainage!$A$5:$A$204&lt;=$B129)*(B_Drainage!$B$5:$B$204&gt;$B129)*(B_Drainage!$H$5:$H$204&lt;&gt;"")),IF(UPPER(B_Drainage!$H$5:$H$204)="Y",1,"")),"")</f>
        <v/>
      </c>
      <c r="Z129" s="181" t="str">
        <f>IFERROR(LOOKUP(2,1/((B_Drainage!$A$5:$A$204&lt;&gt;"")*(B_Drainage!$A$5:$A$204&lt;=$B129)*(B_Drainage!$B$5:$B$204&gt;$B129)*(B_Drainage!$I$5:$I$204&lt;&gt;"")),IF(UPPER(B_Drainage!$I$5:$I$204)="Y",1,"")),"")</f>
        <v/>
      </c>
      <c r="AA129" s="181" t="str">
        <f>IFERROR(LOOKUP(2,1/((B_Drainage!$A$5:$A$204&lt;&gt;"")*(B_Drainage!$A$5:$A$204&lt;=$B129)*(B_Drainage!$B$5:$B$204&gt;$B129)*(B_Drainage!$J$5:$J$204&lt;&gt;"")),IF(UPPER(B_Drainage!$J$5:$J$204)="Y",1,"")),"")</f>
        <v/>
      </c>
      <c r="AB129" s="182" t="str">
        <f>IFERROR(LOOKUP(2,1/((B_Drainage!$A$5:$A$204&lt;&gt;"")*(B_Drainage!$A$5:$A$204&lt;=$B129)*(B_Drainage!$B$5:$B$204&gt;$B129)*(B_Drainage!$K$5:$K$204&lt;&gt;"")),IF(B_Drainage!$K$5:$K$204="-","",B_Drainage!$K$5:$K$204)),"")</f>
        <v/>
      </c>
      <c r="AC129" s="182" t="str">
        <f>IFERROR(LOOKUP(2,1/((B_Drainage!$A$5:$A$204&lt;&gt;"")*(B_Drainage!$A$5:$A$204&lt;=$B129)*(B_Drainage!$B$5:$B$204&gt;$B129)*(B_Drainage!$L$5:$L$204&lt;&gt;"")),IF(B_Drainage!$L$5:$L$204="-","",B_Drainage!$L$5:$L$204)),"")</f>
        <v/>
      </c>
      <c r="AD129" s="182" t="str">
        <f>IFERROR(LOOKUP(2,1/((D_Points!$A$5:$A$204&lt;&gt;"")*(D_Points!$A$5:$A$204&gt;=$B129)*(D_Points!$A$5:$A$204&lt;$B129+P_Interval)*(UPPER(TRIM(D_Points!$B$5:$B$204))="TURNOUT_L")*(D_Points!$H$5:$H$204&lt;&gt;"")),D_Points!$H$5:$H$204),"")</f>
        <v/>
      </c>
      <c r="AE129" s="182" t="str">
        <f>IFERROR(LOOKUP(2,1/((D_Points!$A$5:$A$204&lt;&gt;"")*(D_Points!$A$5:$A$204&gt;=$B129)*(D_Points!$A$5:$A$204&lt;$B129+P_Interval)*(UPPER(TRIM(D_Points!$B$5:$B$204))="TURNOUT_R")*(D_Points!$H$5:$H$204&lt;&gt;"")),D_Points!$H$5:$H$204),"")</f>
        <v/>
      </c>
      <c r="AF129" s="181" t="str">
        <f>IFERROR(LOOKUP(2,1/((B_Drainage!$A$5:$A$204&lt;&gt;"")*(B_Drainage!$A$5:$A$204&lt;=$B129)*(B_Drainage!$B$5:$B$204&gt;$B129)*(B_Drainage!$M$5:$M$204&lt;&gt;"")),IF(UPPER(B_Drainage!$M$5:$M$204)="Y",1,"")),"")</f>
        <v/>
      </c>
      <c r="AG129" s="181" t="str">
        <f>IFERROR(LOOKUP(2,1/((B_Drainage!$A$5:$A$204&lt;&gt;"")*(B_Drainage!$A$5:$A$204&lt;=$B129)*(B_Drainage!$B$5:$B$204&gt;$B129)*(B_Drainage!$N$5:$N$204&lt;&gt;"")),IF(UPPER(B_Drainage!$N$5:$N$204)="Y",1,"")),"")</f>
        <v/>
      </c>
      <c r="AH129" s="181" t="str">
        <f t="shared" si="8"/>
        <v/>
      </c>
      <c r="AI129" s="181" t="str">
        <f t="shared" si="9"/>
        <v/>
      </c>
      <c r="AJ129" s="181" t="str">
        <f t="shared" si="10"/>
        <v/>
      </c>
      <c r="AK129" s="181" t="str">
        <f t="shared" si="11"/>
        <v/>
      </c>
      <c r="AL129" s="181" t="str">
        <f t="shared" si="12"/>
        <v/>
      </c>
      <c r="AM129" s="181" t="str">
        <f t="shared" si="13"/>
        <v/>
      </c>
      <c r="AN129" s="181" t="str">
        <f t="shared" si="14"/>
        <v/>
      </c>
      <c r="AO129" s="192" t="str">
        <f t="shared" si="15"/>
        <v/>
      </c>
      <c r="AQ129" t="str">
        <f>IFERROR(LOOKUP(2,1/((C_Pavement!$A$5:$A$204&lt;&gt;"")*(C_Pavement!$A$5:$A$204&lt;=$B129)*(C_Pavement!$B$5:$B$204&gt;$B129)*(C_Pavement!$C$5:$C$204&lt;&gt;"")),ROW(C_Pavement!$C$5:$C$204)-4),"")</f>
        <v/>
      </c>
      <c r="AR129" t="str">
        <f>IF($AQ129="","",UPPER(TRIM(INDEX(C_Pavement!$C$5:$C$204,$AQ129))))</f>
        <v/>
      </c>
      <c r="AS129" t="str">
        <f>IF($AR129="","",IFERROR(MATCH($AR129,E_Rules!$A$5:$A$9,0),""))</f>
        <v/>
      </c>
      <c r="AT129" t="str">
        <f>IF($AQ129="","",IF(INDEX(C_Pavement!$D$5:$D$204,$AQ129)&lt;&gt;"",UPPER(TRIM(INDEX(C_Pavement!$D$5:$D$204,$AQ129))),IF($AS129="","",INDEX(E_Rules!$C$5:$C$9,$AS129))))</f>
        <v/>
      </c>
      <c r="AU129" t="str">
        <f>IF($AQ129="","",IF(INDEX(C_Pavement!$E$5:$E$204,$AQ129)&lt;&gt;"",IF(INDEX(C_Pavement!$E$5:$E$204,$AQ129)="-","",INDEX(C_Pavement!$E$5:$E$204,$AQ129)),IF($AS129="","",INDEX(E_Rules!$D$5:$D$9,$AS129))))</f>
        <v/>
      </c>
      <c r="AV129" t="str">
        <f>IF($AQ129="","",IF(INDEX(C_Pavement!$F$5:$F$204,$AQ129)&lt;&gt;"",IF(INDEX(C_Pavement!$F$5:$F$204,$AQ129)="-","",INDEX(C_Pavement!$F$5:$F$204,$AQ129)),IF($AS129="","",INDEX(E_Rules!$E$5:$E$9,$AS129))))</f>
        <v/>
      </c>
      <c r="AW129" t="str">
        <f>IF($AQ129="","",IF(INDEX(C_Pavement!$G$5:$G$204,$AQ129)&lt;&gt;"",IF(INDEX(C_Pavement!$G$5:$G$204,$AQ129)="-","",INDEX(C_Pavement!$G$5:$G$204,$AQ129)),IF($AS129="","",INDEX(E_Rules!$F$5:$F$9,$AS129))))</f>
        <v/>
      </c>
      <c r="AX129" t="str">
        <f>IF($AQ129="","",IF(INDEX(C_Pavement!$H$5:$H$204,$AQ129)&lt;&gt;"",IF(INDEX(C_Pavement!$H$5:$H$204,$AQ129)="-","",INDEX(C_Pavement!$H$5:$H$204,$AQ129)),IF($AS129="","",INDEX(E_Rules!$G$5:$G$9,$AS129))))</f>
        <v/>
      </c>
      <c r="AY129" t="str">
        <f>IF($AQ129="","",IF(INDEX(C_Pavement!$I$5:$I$204,$AQ129)&lt;&gt;"",IF(INDEX(C_Pavement!$I$5:$I$204,$AQ129)="-","",INDEX(C_Pavement!$I$5:$I$204,$AQ129)),IF($AS129="","",INDEX(E_Rules!$H$5:$H$9,$AS129))))</f>
        <v/>
      </c>
    </row>
    <row r="130" spans="1:51" ht="15.75" customHeight="1" x14ac:dyDescent="0.3">
      <c r="A130" s="189">
        <v>125</v>
      </c>
      <c r="B130" s="180">
        <v>6200</v>
      </c>
      <c r="C130" s="180" t="s">
        <v>436</v>
      </c>
      <c r="D130" s="181" t="str">
        <f>IFERROR(LOOKUP(2,1/((A_Corridor!$A$5:$A$204&lt;&gt;"")*(A_Corridor!$A$5:$A$204&lt;=$B130)*(A_Corridor!$B$5:$B$204&gt;$B130)*(A_Corridor!$C$5:$C$204&lt;&gt;"")),IF(UPPER(A_Corridor!$C$5:$C$204)="Y",1,"")),"")</f>
        <v/>
      </c>
      <c r="E130" s="181" t="str">
        <f>IFERROR(LOOKUP(2,1/((A_Corridor!$A$5:$A$204&lt;&gt;"")*(A_Corridor!$A$5:$A$204&lt;=$B130)*(A_Corridor!$B$5:$B$204&gt;$B130)*(A_Corridor!$D$5:$D$204&lt;&gt;"")),IF(A_Corridor!$D$5:$D$204="-","",UPPER(A_Corridor!$D$5:$D$204))),"")</f>
        <v/>
      </c>
      <c r="F130" s="181" t="str">
        <f>IFERROR(LOOKUP(2,1/((A_Corridor!$A$5:$A$204&lt;&gt;"")*(A_Corridor!$A$5:$A$204&lt;=$B130)*(A_Corridor!$B$5:$B$204&gt;$B130)*(A_Corridor!$E$5:$E$204&lt;&gt;"")),IF(A_Corridor!$E$5:$E$204="-","",1)),"")</f>
        <v/>
      </c>
      <c r="G130" s="182" t="str">
        <f>IFERROR(LOOKUP(2,1/((A_Corridor!$A$5:$A$204&lt;&gt;"")*(A_Corridor!$A$5:$A$204&lt;=$B130)*(A_Corridor!$B$5:$B$204&gt;$B130)*(A_Corridor!$E$5:$E$204&lt;&gt;"")),IF(A_Corridor!$E$5:$E$204="-","",A_Corridor!$E$5:$E$204)),"")</f>
        <v/>
      </c>
      <c r="H130" s="182" t="str">
        <f>IFERROR(LOOKUP(2,1/((D_Points!$A$5:$A$204&lt;&gt;"")*(D_Points!$A$5:$A$204&gt;=$B130)*(D_Points!$A$5:$A$204&lt;$B130+P_Interval)*(UPPER(TRIM(D_Points!$B$5:$B$204))="GULLY")*(D_Points!$H$5:$H$204&lt;&gt;"")),D_Points!$H$5:$H$204),"")</f>
        <v/>
      </c>
      <c r="I130" s="181" t="str">
        <f>IFERROR(LOOKUP(2,1/((A_Corridor!$A$5:$A$204&lt;&gt;"")*(A_Corridor!$A$5:$A$204&lt;=$B130)*(A_Corridor!$B$5:$B$204&gt;$B130)*(A_Corridor!$F$5:$F$204&lt;&gt;"")),IF(A_Corridor!$F$5:$F$204="-","",1)),"")</f>
        <v/>
      </c>
      <c r="J130" s="182" t="str">
        <f>IFERROR(LOOKUP(2,1/((A_Corridor!$A$5:$A$204&lt;&gt;"")*(A_Corridor!$A$5:$A$204&lt;=$B130)*(A_Corridor!$B$5:$B$204&gt;$B130)*(A_Corridor!$F$5:$F$204&lt;&gt;"")),IF(A_Corridor!$F$5:$F$204="-","",A_Corridor!$F$5:$F$204)),"")</f>
        <v/>
      </c>
      <c r="K130" s="182" t="str">
        <f>IFERROR(LOOKUP(2,1/((A_Corridor!$A$5:$A$204&lt;&gt;"")*(A_Corridor!$A$5:$A$204&lt;=$B130)*(A_Corridor!$B$5:$B$204&gt;$B130)*(A_Corridor!$G$5:$G$204&lt;&gt;"")),IF(A_Corridor!$G$5:$G$204="-","",A_Corridor!$G$5:$G$204)),"")</f>
        <v/>
      </c>
      <c r="L130" s="181" t="str">
        <f>IFERROR(LOOKUP(2,1/((A_Corridor!$A$5:$A$204&lt;&gt;"")*(A_Corridor!$A$5:$A$204&lt;=$B130)*(A_Corridor!$B$5:$B$204&gt;$B130)*(A_Corridor!$H$5:$H$204&lt;&gt;"")),IF(A_Corridor!$H$5:$H$204="-","",1)),"")</f>
        <v/>
      </c>
      <c r="M130" s="182" t="str">
        <f>IFERROR(LOOKUP(2,1/((A_Corridor!$A$5:$A$204&lt;&gt;"")*(A_Corridor!$A$5:$A$204&lt;=$B130)*(A_Corridor!$B$5:$B$204&gt;$B130)*(A_Corridor!$H$5:$H$204&lt;&gt;"")),IF(A_Corridor!$H$5:$H$204="-","",A_Corridor!$H$5:$H$204)),"")</f>
        <v/>
      </c>
      <c r="N130" s="182" t="str">
        <f>IFERROR(LOOKUP(2,1/((A_Corridor!$A$5:$A$204&lt;&gt;"")*(A_Corridor!$A$5:$A$204&lt;=$B130)*(A_Corridor!$B$5:$B$204&gt;$B130)*(A_Corridor!$I$5:$I$204&lt;&gt;"")),IF(A_Corridor!$I$5:$I$204="-","",A_Corridor!$I$5:$I$204)),"")</f>
        <v/>
      </c>
      <c r="O130" s="182" t="str">
        <f>IFERROR(LOOKUP(2,1/((D_Points!$A$5:$A$204&lt;&gt;"")*(D_Points!$A$5:$A$204&gt;=$B130)*(D_Points!$A$5:$A$204&lt;$B130+P_Interval)*(UPPER(TRIM(D_Points!$B$5:$B$204))="PITCHING")*(D_Points!$H$5:$H$204&lt;&gt;"")),D_Points!$H$5:$H$204),"")</f>
        <v/>
      </c>
      <c r="P130" s="181" t="str">
        <f>IFERROR(LOOKUP(2,1/((B_Drainage!$A$5:$A$204&lt;&gt;"")*(B_Drainage!$A$5:$A$204&lt;=$B130)*(B_Drainage!$B$5:$B$204&gt;$B130)*(B_Drainage!$C$5:$C$204&lt;&gt;"")),IF(B_Drainage!$C$5:$C$204="-","",UPPER(B_Drainage!$C$5:$C$204))),"")</f>
        <v/>
      </c>
      <c r="Q130" s="181" t="str">
        <f>IFERROR(LOOKUP(2,1/((B_Drainage!$A$5:$A$204&lt;&gt;"")*(B_Drainage!$A$5:$A$204&lt;=$B130)*(B_Drainage!$B$5:$B$204&gt;$B130)*(B_Drainage!$D$5:$D$204&lt;&gt;"")),IF(B_Drainage!$D$5:$D$204="-","",UPPER(B_Drainage!$D$5:$D$204))),"")</f>
        <v/>
      </c>
      <c r="R130" s="182" t="str">
        <f>IFERROR(LOOKUP(2,1/((D_Points!$A$5:$A$204&lt;&gt;"")*(D_Points!$A$5:$A$204&gt;=$B130)*(D_Points!$A$5:$A$204&lt;$B130+P_Interval)*(RIGHT(UPPER(TRIM(D_Points!$B$5:$B$204)),8)="_CULVERT")),IF(LEFT(UPPER(TRIM(D_Points!$B$5:$B$204)),2)="EX",1,IF(LEFT(UPPER(TRIM(D_Points!$B$5:$B$204)),2)="PR",2,3))),"")</f>
        <v/>
      </c>
      <c r="S130" s="182" t="str">
        <f>IFERROR(LOOKUP(2,1/((D_Points!$A$5:$A$204&lt;&gt;"")*(D_Points!$A$5:$A$204&gt;=$B130)*(D_Points!$A$5:$A$204&lt;$B130+P_Interval)*(RIGHT(UPPER(TRIM(D_Points!$B$5:$B$204)),7)="_BRIDGE")),IF(LEFT(UPPER(TRIM(D_Points!$B$5:$B$204)),2)="EX",1,IF(LEFT(UPPER(TRIM(D_Points!$B$5:$B$204)),2)="PR",2,2))),"")</f>
        <v/>
      </c>
      <c r="T130" s="181" t="str">
        <f>IFERROR(LOOKUP(2,1/((B_Drainage!$A$5:$A$204&lt;&gt;"")*(B_Drainage!$A$5:$A$204&lt;=$B130)*(B_Drainage!$B$5:$B$204&gt;$B130)*(B_Drainage!$E$5:$E$204&lt;&gt;"")),IF(B_Drainage!$E$5:$E$204="-","",1)),"")</f>
        <v/>
      </c>
      <c r="U130" s="181" t="str">
        <f>IFERROR(LOOKUP(2,1/((B_Drainage!$A$5:$A$204&lt;&gt;"")*(B_Drainage!$A$5:$A$204&lt;=$B130)*(B_Drainage!$B$5:$B$204&gt;$B130)*(B_Drainage!$E$5:$E$204&lt;&gt;"")),IF(B_Drainage!$E$5:$E$204="-","",B_Drainage!$E$5:$E$204)),"")</f>
        <v/>
      </c>
      <c r="V130" s="181" t="str">
        <f>IFERROR(LOOKUP(2,1/((B_Drainage!$A$5:$A$204&lt;&gt;"")*(B_Drainage!$A$5:$A$204&lt;=$B130)*(B_Drainage!$B$5:$B$204&gt;$B130)*(B_Drainage!$F$5:$F$204&lt;&gt;"")),IF(B_Drainage!$F$5:$F$204="-","",1)),"")</f>
        <v/>
      </c>
      <c r="W130" s="181" t="str">
        <f>IFERROR(LOOKUP(2,1/((B_Drainage!$A$5:$A$204&lt;&gt;"")*(B_Drainage!$A$5:$A$204&lt;=$B130)*(B_Drainage!$B$5:$B$204&gt;$B130)*(B_Drainage!$F$5:$F$204&lt;&gt;"")),IF(B_Drainage!$F$5:$F$204="-","",B_Drainage!$F$5:$F$204)),"")</f>
        <v/>
      </c>
      <c r="X130" s="181" t="str">
        <f>IFERROR(LOOKUP(2,1/((B_Drainage!$A$5:$A$204&lt;&gt;"")*(B_Drainage!$A$5:$A$204&lt;=$B130)*(B_Drainage!$B$5:$B$204&gt;$B130)*(B_Drainage!$G$5:$G$204&lt;&gt;"")),IF(UPPER(B_Drainage!$G$5:$G$204)="Y",1,"")),"")</f>
        <v/>
      </c>
      <c r="Y130" s="181" t="str">
        <f>IFERROR(LOOKUP(2,1/((B_Drainage!$A$5:$A$204&lt;&gt;"")*(B_Drainage!$A$5:$A$204&lt;=$B130)*(B_Drainage!$B$5:$B$204&gt;$B130)*(B_Drainage!$H$5:$H$204&lt;&gt;"")),IF(UPPER(B_Drainage!$H$5:$H$204)="Y",1,"")),"")</f>
        <v/>
      </c>
      <c r="Z130" s="181" t="str">
        <f>IFERROR(LOOKUP(2,1/((B_Drainage!$A$5:$A$204&lt;&gt;"")*(B_Drainage!$A$5:$A$204&lt;=$B130)*(B_Drainage!$B$5:$B$204&gt;$B130)*(B_Drainage!$I$5:$I$204&lt;&gt;"")),IF(UPPER(B_Drainage!$I$5:$I$204)="Y",1,"")),"")</f>
        <v/>
      </c>
      <c r="AA130" s="181" t="str">
        <f>IFERROR(LOOKUP(2,1/((B_Drainage!$A$5:$A$204&lt;&gt;"")*(B_Drainage!$A$5:$A$204&lt;=$B130)*(B_Drainage!$B$5:$B$204&gt;$B130)*(B_Drainage!$J$5:$J$204&lt;&gt;"")),IF(UPPER(B_Drainage!$J$5:$J$204)="Y",1,"")),"")</f>
        <v/>
      </c>
      <c r="AB130" s="182" t="str">
        <f>IFERROR(LOOKUP(2,1/((B_Drainage!$A$5:$A$204&lt;&gt;"")*(B_Drainage!$A$5:$A$204&lt;=$B130)*(B_Drainage!$B$5:$B$204&gt;$B130)*(B_Drainage!$K$5:$K$204&lt;&gt;"")),IF(B_Drainage!$K$5:$K$204="-","",B_Drainage!$K$5:$K$204)),"")</f>
        <v/>
      </c>
      <c r="AC130" s="182" t="str">
        <f>IFERROR(LOOKUP(2,1/((B_Drainage!$A$5:$A$204&lt;&gt;"")*(B_Drainage!$A$5:$A$204&lt;=$B130)*(B_Drainage!$B$5:$B$204&gt;$B130)*(B_Drainage!$L$5:$L$204&lt;&gt;"")),IF(B_Drainage!$L$5:$L$204="-","",B_Drainage!$L$5:$L$204)),"")</f>
        <v/>
      </c>
      <c r="AD130" s="182" t="str">
        <f>IFERROR(LOOKUP(2,1/((D_Points!$A$5:$A$204&lt;&gt;"")*(D_Points!$A$5:$A$204&gt;=$B130)*(D_Points!$A$5:$A$204&lt;$B130+P_Interval)*(UPPER(TRIM(D_Points!$B$5:$B$204))="TURNOUT_L")*(D_Points!$H$5:$H$204&lt;&gt;"")),D_Points!$H$5:$H$204),"")</f>
        <v/>
      </c>
      <c r="AE130" s="182" t="str">
        <f>IFERROR(LOOKUP(2,1/((D_Points!$A$5:$A$204&lt;&gt;"")*(D_Points!$A$5:$A$204&gt;=$B130)*(D_Points!$A$5:$A$204&lt;$B130+P_Interval)*(UPPER(TRIM(D_Points!$B$5:$B$204))="TURNOUT_R")*(D_Points!$H$5:$H$204&lt;&gt;"")),D_Points!$H$5:$H$204),"")</f>
        <v/>
      </c>
      <c r="AF130" s="181" t="str">
        <f>IFERROR(LOOKUP(2,1/((B_Drainage!$A$5:$A$204&lt;&gt;"")*(B_Drainage!$A$5:$A$204&lt;=$B130)*(B_Drainage!$B$5:$B$204&gt;$B130)*(B_Drainage!$M$5:$M$204&lt;&gt;"")),IF(UPPER(B_Drainage!$M$5:$M$204)="Y",1,"")),"")</f>
        <v/>
      </c>
      <c r="AG130" s="181" t="str">
        <f>IFERROR(LOOKUP(2,1/((B_Drainage!$A$5:$A$204&lt;&gt;"")*(B_Drainage!$A$5:$A$204&lt;=$B130)*(B_Drainage!$B$5:$B$204&gt;$B130)*(B_Drainage!$N$5:$N$204&lt;&gt;"")),IF(UPPER(B_Drainage!$N$5:$N$204)="Y",1,"")),"")</f>
        <v/>
      </c>
      <c r="AH130" s="181" t="str">
        <f t="shared" si="8"/>
        <v/>
      </c>
      <c r="AI130" s="181" t="str">
        <f t="shared" si="9"/>
        <v/>
      </c>
      <c r="AJ130" s="181" t="str">
        <f t="shared" si="10"/>
        <v/>
      </c>
      <c r="AK130" s="181" t="str">
        <f t="shared" si="11"/>
        <v/>
      </c>
      <c r="AL130" s="181" t="str">
        <f t="shared" si="12"/>
        <v/>
      </c>
      <c r="AM130" s="181" t="str">
        <f t="shared" si="13"/>
        <v/>
      </c>
      <c r="AN130" s="181" t="str">
        <f t="shared" si="14"/>
        <v/>
      </c>
      <c r="AO130" s="192" t="str">
        <f t="shared" si="15"/>
        <v/>
      </c>
      <c r="AQ130" t="str">
        <f>IFERROR(LOOKUP(2,1/((C_Pavement!$A$5:$A$204&lt;&gt;"")*(C_Pavement!$A$5:$A$204&lt;=$B130)*(C_Pavement!$B$5:$B$204&gt;$B130)*(C_Pavement!$C$5:$C$204&lt;&gt;"")),ROW(C_Pavement!$C$5:$C$204)-4),"")</f>
        <v/>
      </c>
      <c r="AR130" t="str">
        <f>IF($AQ130="","",UPPER(TRIM(INDEX(C_Pavement!$C$5:$C$204,$AQ130))))</f>
        <v/>
      </c>
      <c r="AS130" t="str">
        <f>IF($AR130="","",IFERROR(MATCH($AR130,E_Rules!$A$5:$A$9,0),""))</f>
        <v/>
      </c>
      <c r="AT130" t="str">
        <f>IF($AQ130="","",IF(INDEX(C_Pavement!$D$5:$D$204,$AQ130)&lt;&gt;"",UPPER(TRIM(INDEX(C_Pavement!$D$5:$D$204,$AQ130))),IF($AS130="","",INDEX(E_Rules!$C$5:$C$9,$AS130))))</f>
        <v/>
      </c>
      <c r="AU130" t="str">
        <f>IF($AQ130="","",IF(INDEX(C_Pavement!$E$5:$E$204,$AQ130)&lt;&gt;"",IF(INDEX(C_Pavement!$E$5:$E$204,$AQ130)="-","",INDEX(C_Pavement!$E$5:$E$204,$AQ130)),IF($AS130="","",INDEX(E_Rules!$D$5:$D$9,$AS130))))</f>
        <v/>
      </c>
      <c r="AV130" t="str">
        <f>IF($AQ130="","",IF(INDEX(C_Pavement!$F$5:$F$204,$AQ130)&lt;&gt;"",IF(INDEX(C_Pavement!$F$5:$F$204,$AQ130)="-","",INDEX(C_Pavement!$F$5:$F$204,$AQ130)),IF($AS130="","",INDEX(E_Rules!$E$5:$E$9,$AS130))))</f>
        <v/>
      </c>
      <c r="AW130" t="str">
        <f>IF($AQ130="","",IF(INDEX(C_Pavement!$G$5:$G$204,$AQ130)&lt;&gt;"",IF(INDEX(C_Pavement!$G$5:$G$204,$AQ130)="-","",INDEX(C_Pavement!$G$5:$G$204,$AQ130)),IF($AS130="","",INDEX(E_Rules!$F$5:$F$9,$AS130))))</f>
        <v/>
      </c>
      <c r="AX130" t="str">
        <f>IF($AQ130="","",IF(INDEX(C_Pavement!$H$5:$H$204,$AQ130)&lt;&gt;"",IF(INDEX(C_Pavement!$H$5:$H$204,$AQ130)="-","",INDEX(C_Pavement!$H$5:$H$204,$AQ130)),IF($AS130="","",INDEX(E_Rules!$G$5:$G$9,$AS130))))</f>
        <v/>
      </c>
      <c r="AY130" t="str">
        <f>IF($AQ130="","",IF(INDEX(C_Pavement!$I$5:$I$204,$AQ130)&lt;&gt;"",IF(INDEX(C_Pavement!$I$5:$I$204,$AQ130)="-","",INDEX(C_Pavement!$I$5:$I$204,$AQ130)),IF($AS130="","",INDEX(E_Rules!$H$5:$H$9,$AS130))))</f>
        <v/>
      </c>
    </row>
    <row r="131" spans="1:51" ht="15.75" customHeight="1" x14ac:dyDescent="0.3">
      <c r="A131" s="189">
        <v>126</v>
      </c>
      <c r="B131" s="180">
        <v>6250</v>
      </c>
      <c r="C131" s="180" t="s">
        <v>437</v>
      </c>
      <c r="D131" s="181" t="str">
        <f>IFERROR(LOOKUP(2,1/((A_Corridor!$A$5:$A$204&lt;&gt;"")*(A_Corridor!$A$5:$A$204&lt;=$B131)*(A_Corridor!$B$5:$B$204&gt;$B131)*(A_Corridor!$C$5:$C$204&lt;&gt;"")),IF(UPPER(A_Corridor!$C$5:$C$204)="Y",1,"")),"")</f>
        <v/>
      </c>
      <c r="E131" s="181" t="str">
        <f>IFERROR(LOOKUP(2,1/((A_Corridor!$A$5:$A$204&lt;&gt;"")*(A_Corridor!$A$5:$A$204&lt;=$B131)*(A_Corridor!$B$5:$B$204&gt;$B131)*(A_Corridor!$D$5:$D$204&lt;&gt;"")),IF(A_Corridor!$D$5:$D$204="-","",UPPER(A_Corridor!$D$5:$D$204))),"")</f>
        <v/>
      </c>
      <c r="F131" s="181" t="str">
        <f>IFERROR(LOOKUP(2,1/((A_Corridor!$A$5:$A$204&lt;&gt;"")*(A_Corridor!$A$5:$A$204&lt;=$B131)*(A_Corridor!$B$5:$B$204&gt;$B131)*(A_Corridor!$E$5:$E$204&lt;&gt;"")),IF(A_Corridor!$E$5:$E$204="-","",1)),"")</f>
        <v/>
      </c>
      <c r="G131" s="182" t="str">
        <f>IFERROR(LOOKUP(2,1/((A_Corridor!$A$5:$A$204&lt;&gt;"")*(A_Corridor!$A$5:$A$204&lt;=$B131)*(A_Corridor!$B$5:$B$204&gt;$B131)*(A_Corridor!$E$5:$E$204&lt;&gt;"")),IF(A_Corridor!$E$5:$E$204="-","",A_Corridor!$E$5:$E$204)),"")</f>
        <v/>
      </c>
      <c r="H131" s="182" t="str">
        <f>IFERROR(LOOKUP(2,1/((D_Points!$A$5:$A$204&lt;&gt;"")*(D_Points!$A$5:$A$204&gt;=$B131)*(D_Points!$A$5:$A$204&lt;$B131+P_Interval)*(UPPER(TRIM(D_Points!$B$5:$B$204))="GULLY")*(D_Points!$H$5:$H$204&lt;&gt;"")),D_Points!$H$5:$H$204),"")</f>
        <v/>
      </c>
      <c r="I131" s="181" t="str">
        <f>IFERROR(LOOKUP(2,1/((A_Corridor!$A$5:$A$204&lt;&gt;"")*(A_Corridor!$A$5:$A$204&lt;=$B131)*(A_Corridor!$B$5:$B$204&gt;$B131)*(A_Corridor!$F$5:$F$204&lt;&gt;"")),IF(A_Corridor!$F$5:$F$204="-","",1)),"")</f>
        <v/>
      </c>
      <c r="J131" s="182" t="str">
        <f>IFERROR(LOOKUP(2,1/((A_Corridor!$A$5:$A$204&lt;&gt;"")*(A_Corridor!$A$5:$A$204&lt;=$B131)*(A_Corridor!$B$5:$B$204&gt;$B131)*(A_Corridor!$F$5:$F$204&lt;&gt;"")),IF(A_Corridor!$F$5:$F$204="-","",A_Corridor!$F$5:$F$204)),"")</f>
        <v/>
      </c>
      <c r="K131" s="182" t="str">
        <f>IFERROR(LOOKUP(2,1/((A_Corridor!$A$5:$A$204&lt;&gt;"")*(A_Corridor!$A$5:$A$204&lt;=$B131)*(A_Corridor!$B$5:$B$204&gt;$B131)*(A_Corridor!$G$5:$G$204&lt;&gt;"")),IF(A_Corridor!$G$5:$G$204="-","",A_Corridor!$G$5:$G$204)),"")</f>
        <v/>
      </c>
      <c r="L131" s="181" t="str">
        <f>IFERROR(LOOKUP(2,1/((A_Corridor!$A$5:$A$204&lt;&gt;"")*(A_Corridor!$A$5:$A$204&lt;=$B131)*(A_Corridor!$B$5:$B$204&gt;$B131)*(A_Corridor!$H$5:$H$204&lt;&gt;"")),IF(A_Corridor!$H$5:$H$204="-","",1)),"")</f>
        <v/>
      </c>
      <c r="M131" s="182" t="str">
        <f>IFERROR(LOOKUP(2,1/((A_Corridor!$A$5:$A$204&lt;&gt;"")*(A_Corridor!$A$5:$A$204&lt;=$B131)*(A_Corridor!$B$5:$B$204&gt;$B131)*(A_Corridor!$H$5:$H$204&lt;&gt;"")),IF(A_Corridor!$H$5:$H$204="-","",A_Corridor!$H$5:$H$204)),"")</f>
        <v/>
      </c>
      <c r="N131" s="182" t="str">
        <f>IFERROR(LOOKUP(2,1/((A_Corridor!$A$5:$A$204&lt;&gt;"")*(A_Corridor!$A$5:$A$204&lt;=$B131)*(A_Corridor!$B$5:$B$204&gt;$B131)*(A_Corridor!$I$5:$I$204&lt;&gt;"")),IF(A_Corridor!$I$5:$I$204="-","",A_Corridor!$I$5:$I$204)),"")</f>
        <v/>
      </c>
      <c r="O131" s="182" t="str">
        <f>IFERROR(LOOKUP(2,1/((D_Points!$A$5:$A$204&lt;&gt;"")*(D_Points!$A$5:$A$204&gt;=$B131)*(D_Points!$A$5:$A$204&lt;$B131+P_Interval)*(UPPER(TRIM(D_Points!$B$5:$B$204))="PITCHING")*(D_Points!$H$5:$H$204&lt;&gt;"")),D_Points!$H$5:$H$204),"")</f>
        <v/>
      </c>
      <c r="P131" s="181" t="str">
        <f>IFERROR(LOOKUP(2,1/((B_Drainage!$A$5:$A$204&lt;&gt;"")*(B_Drainage!$A$5:$A$204&lt;=$B131)*(B_Drainage!$B$5:$B$204&gt;$B131)*(B_Drainage!$C$5:$C$204&lt;&gt;"")),IF(B_Drainage!$C$5:$C$204="-","",UPPER(B_Drainage!$C$5:$C$204))),"")</f>
        <v/>
      </c>
      <c r="Q131" s="181" t="str">
        <f>IFERROR(LOOKUP(2,1/((B_Drainage!$A$5:$A$204&lt;&gt;"")*(B_Drainage!$A$5:$A$204&lt;=$B131)*(B_Drainage!$B$5:$B$204&gt;$B131)*(B_Drainage!$D$5:$D$204&lt;&gt;"")),IF(B_Drainage!$D$5:$D$204="-","",UPPER(B_Drainage!$D$5:$D$204))),"")</f>
        <v/>
      </c>
      <c r="R131" s="182" t="str">
        <f>IFERROR(LOOKUP(2,1/((D_Points!$A$5:$A$204&lt;&gt;"")*(D_Points!$A$5:$A$204&gt;=$B131)*(D_Points!$A$5:$A$204&lt;$B131+P_Interval)*(RIGHT(UPPER(TRIM(D_Points!$B$5:$B$204)),8)="_CULVERT")),IF(LEFT(UPPER(TRIM(D_Points!$B$5:$B$204)),2)="EX",1,IF(LEFT(UPPER(TRIM(D_Points!$B$5:$B$204)),2)="PR",2,3))),"")</f>
        <v/>
      </c>
      <c r="S131" s="182" t="str">
        <f>IFERROR(LOOKUP(2,1/((D_Points!$A$5:$A$204&lt;&gt;"")*(D_Points!$A$5:$A$204&gt;=$B131)*(D_Points!$A$5:$A$204&lt;$B131+P_Interval)*(RIGHT(UPPER(TRIM(D_Points!$B$5:$B$204)),7)="_BRIDGE")),IF(LEFT(UPPER(TRIM(D_Points!$B$5:$B$204)),2)="EX",1,IF(LEFT(UPPER(TRIM(D_Points!$B$5:$B$204)),2)="PR",2,2))),"")</f>
        <v/>
      </c>
      <c r="T131" s="181" t="str">
        <f>IFERROR(LOOKUP(2,1/((B_Drainage!$A$5:$A$204&lt;&gt;"")*(B_Drainage!$A$5:$A$204&lt;=$B131)*(B_Drainage!$B$5:$B$204&gt;$B131)*(B_Drainage!$E$5:$E$204&lt;&gt;"")),IF(B_Drainage!$E$5:$E$204="-","",1)),"")</f>
        <v/>
      </c>
      <c r="U131" s="181" t="str">
        <f>IFERROR(LOOKUP(2,1/((B_Drainage!$A$5:$A$204&lt;&gt;"")*(B_Drainage!$A$5:$A$204&lt;=$B131)*(B_Drainage!$B$5:$B$204&gt;$B131)*(B_Drainage!$E$5:$E$204&lt;&gt;"")),IF(B_Drainage!$E$5:$E$204="-","",B_Drainage!$E$5:$E$204)),"")</f>
        <v/>
      </c>
      <c r="V131" s="181" t="str">
        <f>IFERROR(LOOKUP(2,1/((B_Drainage!$A$5:$A$204&lt;&gt;"")*(B_Drainage!$A$5:$A$204&lt;=$B131)*(B_Drainage!$B$5:$B$204&gt;$B131)*(B_Drainage!$F$5:$F$204&lt;&gt;"")),IF(B_Drainage!$F$5:$F$204="-","",1)),"")</f>
        <v/>
      </c>
      <c r="W131" s="181" t="str">
        <f>IFERROR(LOOKUP(2,1/((B_Drainage!$A$5:$A$204&lt;&gt;"")*(B_Drainage!$A$5:$A$204&lt;=$B131)*(B_Drainage!$B$5:$B$204&gt;$B131)*(B_Drainage!$F$5:$F$204&lt;&gt;"")),IF(B_Drainage!$F$5:$F$204="-","",B_Drainage!$F$5:$F$204)),"")</f>
        <v/>
      </c>
      <c r="X131" s="181" t="str">
        <f>IFERROR(LOOKUP(2,1/((B_Drainage!$A$5:$A$204&lt;&gt;"")*(B_Drainage!$A$5:$A$204&lt;=$B131)*(B_Drainage!$B$5:$B$204&gt;$B131)*(B_Drainage!$G$5:$G$204&lt;&gt;"")),IF(UPPER(B_Drainage!$G$5:$G$204)="Y",1,"")),"")</f>
        <v/>
      </c>
      <c r="Y131" s="181" t="str">
        <f>IFERROR(LOOKUP(2,1/((B_Drainage!$A$5:$A$204&lt;&gt;"")*(B_Drainage!$A$5:$A$204&lt;=$B131)*(B_Drainage!$B$5:$B$204&gt;$B131)*(B_Drainage!$H$5:$H$204&lt;&gt;"")),IF(UPPER(B_Drainage!$H$5:$H$204)="Y",1,"")),"")</f>
        <v/>
      </c>
      <c r="Z131" s="181" t="str">
        <f>IFERROR(LOOKUP(2,1/((B_Drainage!$A$5:$A$204&lt;&gt;"")*(B_Drainage!$A$5:$A$204&lt;=$B131)*(B_Drainage!$B$5:$B$204&gt;$B131)*(B_Drainage!$I$5:$I$204&lt;&gt;"")),IF(UPPER(B_Drainage!$I$5:$I$204)="Y",1,"")),"")</f>
        <v/>
      </c>
      <c r="AA131" s="181" t="str">
        <f>IFERROR(LOOKUP(2,1/((B_Drainage!$A$5:$A$204&lt;&gt;"")*(B_Drainage!$A$5:$A$204&lt;=$B131)*(B_Drainage!$B$5:$B$204&gt;$B131)*(B_Drainage!$J$5:$J$204&lt;&gt;"")),IF(UPPER(B_Drainage!$J$5:$J$204)="Y",1,"")),"")</f>
        <v/>
      </c>
      <c r="AB131" s="182" t="str">
        <f>IFERROR(LOOKUP(2,1/((B_Drainage!$A$5:$A$204&lt;&gt;"")*(B_Drainage!$A$5:$A$204&lt;=$B131)*(B_Drainage!$B$5:$B$204&gt;$B131)*(B_Drainage!$K$5:$K$204&lt;&gt;"")),IF(B_Drainage!$K$5:$K$204="-","",B_Drainage!$K$5:$K$204)),"")</f>
        <v/>
      </c>
      <c r="AC131" s="182" t="str">
        <f>IFERROR(LOOKUP(2,1/((B_Drainage!$A$5:$A$204&lt;&gt;"")*(B_Drainage!$A$5:$A$204&lt;=$B131)*(B_Drainage!$B$5:$B$204&gt;$B131)*(B_Drainage!$L$5:$L$204&lt;&gt;"")),IF(B_Drainage!$L$5:$L$204="-","",B_Drainage!$L$5:$L$204)),"")</f>
        <v/>
      </c>
      <c r="AD131" s="182" t="str">
        <f>IFERROR(LOOKUP(2,1/((D_Points!$A$5:$A$204&lt;&gt;"")*(D_Points!$A$5:$A$204&gt;=$B131)*(D_Points!$A$5:$A$204&lt;$B131+P_Interval)*(UPPER(TRIM(D_Points!$B$5:$B$204))="TURNOUT_L")*(D_Points!$H$5:$H$204&lt;&gt;"")),D_Points!$H$5:$H$204),"")</f>
        <v/>
      </c>
      <c r="AE131" s="182" t="str">
        <f>IFERROR(LOOKUP(2,1/((D_Points!$A$5:$A$204&lt;&gt;"")*(D_Points!$A$5:$A$204&gt;=$B131)*(D_Points!$A$5:$A$204&lt;$B131+P_Interval)*(UPPER(TRIM(D_Points!$B$5:$B$204))="TURNOUT_R")*(D_Points!$H$5:$H$204&lt;&gt;"")),D_Points!$H$5:$H$204),"")</f>
        <v/>
      </c>
      <c r="AF131" s="181" t="str">
        <f>IFERROR(LOOKUP(2,1/((B_Drainage!$A$5:$A$204&lt;&gt;"")*(B_Drainage!$A$5:$A$204&lt;=$B131)*(B_Drainage!$B$5:$B$204&gt;$B131)*(B_Drainage!$M$5:$M$204&lt;&gt;"")),IF(UPPER(B_Drainage!$M$5:$M$204)="Y",1,"")),"")</f>
        <v/>
      </c>
      <c r="AG131" s="181" t="str">
        <f>IFERROR(LOOKUP(2,1/((B_Drainage!$A$5:$A$204&lt;&gt;"")*(B_Drainage!$A$5:$A$204&lt;=$B131)*(B_Drainage!$B$5:$B$204&gt;$B131)*(B_Drainage!$N$5:$N$204&lt;&gt;"")),IF(UPPER(B_Drainage!$N$5:$N$204)="Y",1,"")),"")</f>
        <v/>
      </c>
      <c r="AH131" s="181" t="str">
        <f t="shared" si="8"/>
        <v/>
      </c>
      <c r="AI131" s="181" t="str">
        <f t="shared" si="9"/>
        <v/>
      </c>
      <c r="AJ131" s="181" t="str">
        <f t="shared" si="10"/>
        <v/>
      </c>
      <c r="AK131" s="181" t="str">
        <f t="shared" si="11"/>
        <v/>
      </c>
      <c r="AL131" s="181" t="str">
        <f t="shared" si="12"/>
        <v/>
      </c>
      <c r="AM131" s="181" t="str">
        <f t="shared" si="13"/>
        <v/>
      </c>
      <c r="AN131" s="181" t="str">
        <f t="shared" si="14"/>
        <v/>
      </c>
      <c r="AO131" s="192" t="str">
        <f t="shared" si="15"/>
        <v/>
      </c>
      <c r="AQ131" t="str">
        <f>IFERROR(LOOKUP(2,1/((C_Pavement!$A$5:$A$204&lt;&gt;"")*(C_Pavement!$A$5:$A$204&lt;=$B131)*(C_Pavement!$B$5:$B$204&gt;$B131)*(C_Pavement!$C$5:$C$204&lt;&gt;"")),ROW(C_Pavement!$C$5:$C$204)-4),"")</f>
        <v/>
      </c>
      <c r="AR131" t="str">
        <f>IF($AQ131="","",UPPER(TRIM(INDEX(C_Pavement!$C$5:$C$204,$AQ131))))</f>
        <v/>
      </c>
      <c r="AS131" t="str">
        <f>IF($AR131="","",IFERROR(MATCH($AR131,E_Rules!$A$5:$A$9,0),""))</f>
        <v/>
      </c>
      <c r="AT131" t="str">
        <f>IF($AQ131="","",IF(INDEX(C_Pavement!$D$5:$D$204,$AQ131)&lt;&gt;"",UPPER(TRIM(INDEX(C_Pavement!$D$5:$D$204,$AQ131))),IF($AS131="","",INDEX(E_Rules!$C$5:$C$9,$AS131))))</f>
        <v/>
      </c>
      <c r="AU131" t="str">
        <f>IF($AQ131="","",IF(INDEX(C_Pavement!$E$5:$E$204,$AQ131)&lt;&gt;"",IF(INDEX(C_Pavement!$E$5:$E$204,$AQ131)="-","",INDEX(C_Pavement!$E$5:$E$204,$AQ131)),IF($AS131="","",INDEX(E_Rules!$D$5:$D$9,$AS131))))</f>
        <v/>
      </c>
      <c r="AV131" t="str">
        <f>IF($AQ131="","",IF(INDEX(C_Pavement!$F$5:$F$204,$AQ131)&lt;&gt;"",IF(INDEX(C_Pavement!$F$5:$F$204,$AQ131)="-","",INDEX(C_Pavement!$F$5:$F$204,$AQ131)),IF($AS131="","",INDEX(E_Rules!$E$5:$E$9,$AS131))))</f>
        <v/>
      </c>
      <c r="AW131" t="str">
        <f>IF($AQ131="","",IF(INDEX(C_Pavement!$G$5:$G$204,$AQ131)&lt;&gt;"",IF(INDEX(C_Pavement!$G$5:$G$204,$AQ131)="-","",INDEX(C_Pavement!$G$5:$G$204,$AQ131)),IF($AS131="","",INDEX(E_Rules!$F$5:$F$9,$AS131))))</f>
        <v/>
      </c>
      <c r="AX131" t="str">
        <f>IF($AQ131="","",IF(INDEX(C_Pavement!$H$5:$H$204,$AQ131)&lt;&gt;"",IF(INDEX(C_Pavement!$H$5:$H$204,$AQ131)="-","",INDEX(C_Pavement!$H$5:$H$204,$AQ131)),IF($AS131="","",INDEX(E_Rules!$G$5:$G$9,$AS131))))</f>
        <v/>
      </c>
      <c r="AY131" t="str">
        <f>IF($AQ131="","",IF(INDEX(C_Pavement!$I$5:$I$204,$AQ131)&lt;&gt;"",IF(INDEX(C_Pavement!$I$5:$I$204,$AQ131)="-","",INDEX(C_Pavement!$I$5:$I$204,$AQ131)),IF($AS131="","",INDEX(E_Rules!$H$5:$H$9,$AS131))))</f>
        <v/>
      </c>
    </row>
    <row r="132" spans="1:51" ht="15.75" customHeight="1" x14ac:dyDescent="0.3">
      <c r="A132" s="189">
        <v>127</v>
      </c>
      <c r="B132" s="180">
        <v>6300</v>
      </c>
      <c r="C132" s="180" t="s">
        <v>438</v>
      </c>
      <c r="D132" s="181" t="str">
        <f>IFERROR(LOOKUP(2,1/((A_Corridor!$A$5:$A$204&lt;&gt;"")*(A_Corridor!$A$5:$A$204&lt;=$B132)*(A_Corridor!$B$5:$B$204&gt;$B132)*(A_Corridor!$C$5:$C$204&lt;&gt;"")),IF(UPPER(A_Corridor!$C$5:$C$204)="Y",1,"")),"")</f>
        <v/>
      </c>
      <c r="E132" s="181" t="str">
        <f>IFERROR(LOOKUP(2,1/((A_Corridor!$A$5:$A$204&lt;&gt;"")*(A_Corridor!$A$5:$A$204&lt;=$B132)*(A_Corridor!$B$5:$B$204&gt;$B132)*(A_Corridor!$D$5:$D$204&lt;&gt;"")),IF(A_Corridor!$D$5:$D$204="-","",UPPER(A_Corridor!$D$5:$D$204))),"")</f>
        <v/>
      </c>
      <c r="F132" s="181" t="str">
        <f>IFERROR(LOOKUP(2,1/((A_Corridor!$A$5:$A$204&lt;&gt;"")*(A_Corridor!$A$5:$A$204&lt;=$B132)*(A_Corridor!$B$5:$B$204&gt;$B132)*(A_Corridor!$E$5:$E$204&lt;&gt;"")),IF(A_Corridor!$E$5:$E$204="-","",1)),"")</f>
        <v/>
      </c>
      <c r="G132" s="182" t="str">
        <f>IFERROR(LOOKUP(2,1/((A_Corridor!$A$5:$A$204&lt;&gt;"")*(A_Corridor!$A$5:$A$204&lt;=$B132)*(A_Corridor!$B$5:$B$204&gt;$B132)*(A_Corridor!$E$5:$E$204&lt;&gt;"")),IF(A_Corridor!$E$5:$E$204="-","",A_Corridor!$E$5:$E$204)),"")</f>
        <v/>
      </c>
      <c r="H132" s="182" t="str">
        <f>IFERROR(LOOKUP(2,1/((D_Points!$A$5:$A$204&lt;&gt;"")*(D_Points!$A$5:$A$204&gt;=$B132)*(D_Points!$A$5:$A$204&lt;$B132+P_Interval)*(UPPER(TRIM(D_Points!$B$5:$B$204))="GULLY")*(D_Points!$H$5:$H$204&lt;&gt;"")),D_Points!$H$5:$H$204),"")</f>
        <v/>
      </c>
      <c r="I132" s="181" t="str">
        <f>IFERROR(LOOKUP(2,1/((A_Corridor!$A$5:$A$204&lt;&gt;"")*(A_Corridor!$A$5:$A$204&lt;=$B132)*(A_Corridor!$B$5:$B$204&gt;$B132)*(A_Corridor!$F$5:$F$204&lt;&gt;"")),IF(A_Corridor!$F$5:$F$204="-","",1)),"")</f>
        <v/>
      </c>
      <c r="J132" s="182" t="str">
        <f>IFERROR(LOOKUP(2,1/((A_Corridor!$A$5:$A$204&lt;&gt;"")*(A_Corridor!$A$5:$A$204&lt;=$B132)*(A_Corridor!$B$5:$B$204&gt;$B132)*(A_Corridor!$F$5:$F$204&lt;&gt;"")),IF(A_Corridor!$F$5:$F$204="-","",A_Corridor!$F$5:$F$204)),"")</f>
        <v/>
      </c>
      <c r="K132" s="182" t="str">
        <f>IFERROR(LOOKUP(2,1/((A_Corridor!$A$5:$A$204&lt;&gt;"")*(A_Corridor!$A$5:$A$204&lt;=$B132)*(A_Corridor!$B$5:$B$204&gt;$B132)*(A_Corridor!$G$5:$G$204&lt;&gt;"")),IF(A_Corridor!$G$5:$G$204="-","",A_Corridor!$G$5:$G$204)),"")</f>
        <v/>
      </c>
      <c r="L132" s="181" t="str">
        <f>IFERROR(LOOKUP(2,1/((A_Corridor!$A$5:$A$204&lt;&gt;"")*(A_Corridor!$A$5:$A$204&lt;=$B132)*(A_Corridor!$B$5:$B$204&gt;$B132)*(A_Corridor!$H$5:$H$204&lt;&gt;"")),IF(A_Corridor!$H$5:$H$204="-","",1)),"")</f>
        <v/>
      </c>
      <c r="M132" s="182" t="str">
        <f>IFERROR(LOOKUP(2,1/((A_Corridor!$A$5:$A$204&lt;&gt;"")*(A_Corridor!$A$5:$A$204&lt;=$B132)*(A_Corridor!$B$5:$B$204&gt;$B132)*(A_Corridor!$H$5:$H$204&lt;&gt;"")),IF(A_Corridor!$H$5:$H$204="-","",A_Corridor!$H$5:$H$204)),"")</f>
        <v/>
      </c>
      <c r="N132" s="182" t="str">
        <f>IFERROR(LOOKUP(2,1/((A_Corridor!$A$5:$A$204&lt;&gt;"")*(A_Corridor!$A$5:$A$204&lt;=$B132)*(A_Corridor!$B$5:$B$204&gt;$B132)*(A_Corridor!$I$5:$I$204&lt;&gt;"")),IF(A_Corridor!$I$5:$I$204="-","",A_Corridor!$I$5:$I$204)),"")</f>
        <v/>
      </c>
      <c r="O132" s="182" t="str">
        <f>IFERROR(LOOKUP(2,1/((D_Points!$A$5:$A$204&lt;&gt;"")*(D_Points!$A$5:$A$204&gt;=$B132)*(D_Points!$A$5:$A$204&lt;$B132+P_Interval)*(UPPER(TRIM(D_Points!$B$5:$B$204))="PITCHING")*(D_Points!$H$5:$H$204&lt;&gt;"")),D_Points!$H$5:$H$204),"")</f>
        <v/>
      </c>
      <c r="P132" s="181" t="str">
        <f>IFERROR(LOOKUP(2,1/((B_Drainage!$A$5:$A$204&lt;&gt;"")*(B_Drainage!$A$5:$A$204&lt;=$B132)*(B_Drainage!$B$5:$B$204&gt;$B132)*(B_Drainage!$C$5:$C$204&lt;&gt;"")),IF(B_Drainage!$C$5:$C$204="-","",UPPER(B_Drainage!$C$5:$C$204))),"")</f>
        <v/>
      </c>
      <c r="Q132" s="181" t="str">
        <f>IFERROR(LOOKUP(2,1/((B_Drainage!$A$5:$A$204&lt;&gt;"")*(B_Drainage!$A$5:$A$204&lt;=$B132)*(B_Drainage!$B$5:$B$204&gt;$B132)*(B_Drainage!$D$5:$D$204&lt;&gt;"")),IF(B_Drainage!$D$5:$D$204="-","",UPPER(B_Drainage!$D$5:$D$204))),"")</f>
        <v/>
      </c>
      <c r="R132" s="182" t="str">
        <f>IFERROR(LOOKUP(2,1/((D_Points!$A$5:$A$204&lt;&gt;"")*(D_Points!$A$5:$A$204&gt;=$B132)*(D_Points!$A$5:$A$204&lt;$B132+P_Interval)*(RIGHT(UPPER(TRIM(D_Points!$B$5:$B$204)),8)="_CULVERT")),IF(LEFT(UPPER(TRIM(D_Points!$B$5:$B$204)),2)="EX",1,IF(LEFT(UPPER(TRIM(D_Points!$B$5:$B$204)),2)="PR",2,3))),"")</f>
        <v/>
      </c>
      <c r="S132" s="182" t="str">
        <f>IFERROR(LOOKUP(2,1/((D_Points!$A$5:$A$204&lt;&gt;"")*(D_Points!$A$5:$A$204&gt;=$B132)*(D_Points!$A$5:$A$204&lt;$B132+P_Interval)*(RIGHT(UPPER(TRIM(D_Points!$B$5:$B$204)),7)="_BRIDGE")),IF(LEFT(UPPER(TRIM(D_Points!$B$5:$B$204)),2)="EX",1,IF(LEFT(UPPER(TRIM(D_Points!$B$5:$B$204)),2)="PR",2,2))),"")</f>
        <v/>
      </c>
      <c r="T132" s="181" t="str">
        <f>IFERROR(LOOKUP(2,1/((B_Drainage!$A$5:$A$204&lt;&gt;"")*(B_Drainage!$A$5:$A$204&lt;=$B132)*(B_Drainage!$B$5:$B$204&gt;$B132)*(B_Drainage!$E$5:$E$204&lt;&gt;"")),IF(B_Drainage!$E$5:$E$204="-","",1)),"")</f>
        <v/>
      </c>
      <c r="U132" s="181" t="str">
        <f>IFERROR(LOOKUP(2,1/((B_Drainage!$A$5:$A$204&lt;&gt;"")*(B_Drainage!$A$5:$A$204&lt;=$B132)*(B_Drainage!$B$5:$B$204&gt;$B132)*(B_Drainage!$E$5:$E$204&lt;&gt;"")),IF(B_Drainage!$E$5:$E$204="-","",B_Drainage!$E$5:$E$204)),"")</f>
        <v/>
      </c>
      <c r="V132" s="181" t="str">
        <f>IFERROR(LOOKUP(2,1/((B_Drainage!$A$5:$A$204&lt;&gt;"")*(B_Drainage!$A$5:$A$204&lt;=$B132)*(B_Drainage!$B$5:$B$204&gt;$B132)*(B_Drainage!$F$5:$F$204&lt;&gt;"")),IF(B_Drainage!$F$5:$F$204="-","",1)),"")</f>
        <v/>
      </c>
      <c r="W132" s="181" t="str">
        <f>IFERROR(LOOKUP(2,1/((B_Drainage!$A$5:$A$204&lt;&gt;"")*(B_Drainage!$A$5:$A$204&lt;=$B132)*(B_Drainage!$B$5:$B$204&gt;$B132)*(B_Drainage!$F$5:$F$204&lt;&gt;"")),IF(B_Drainage!$F$5:$F$204="-","",B_Drainage!$F$5:$F$204)),"")</f>
        <v/>
      </c>
      <c r="X132" s="181" t="str">
        <f>IFERROR(LOOKUP(2,1/((B_Drainage!$A$5:$A$204&lt;&gt;"")*(B_Drainage!$A$5:$A$204&lt;=$B132)*(B_Drainage!$B$5:$B$204&gt;$B132)*(B_Drainage!$G$5:$G$204&lt;&gt;"")),IF(UPPER(B_Drainage!$G$5:$G$204)="Y",1,"")),"")</f>
        <v/>
      </c>
      <c r="Y132" s="181" t="str">
        <f>IFERROR(LOOKUP(2,1/((B_Drainage!$A$5:$A$204&lt;&gt;"")*(B_Drainage!$A$5:$A$204&lt;=$B132)*(B_Drainage!$B$5:$B$204&gt;$B132)*(B_Drainage!$H$5:$H$204&lt;&gt;"")),IF(UPPER(B_Drainage!$H$5:$H$204)="Y",1,"")),"")</f>
        <v/>
      </c>
      <c r="Z132" s="181" t="str">
        <f>IFERROR(LOOKUP(2,1/((B_Drainage!$A$5:$A$204&lt;&gt;"")*(B_Drainage!$A$5:$A$204&lt;=$B132)*(B_Drainage!$B$5:$B$204&gt;$B132)*(B_Drainage!$I$5:$I$204&lt;&gt;"")),IF(UPPER(B_Drainage!$I$5:$I$204)="Y",1,"")),"")</f>
        <v/>
      </c>
      <c r="AA132" s="181" t="str">
        <f>IFERROR(LOOKUP(2,1/((B_Drainage!$A$5:$A$204&lt;&gt;"")*(B_Drainage!$A$5:$A$204&lt;=$B132)*(B_Drainage!$B$5:$B$204&gt;$B132)*(B_Drainage!$J$5:$J$204&lt;&gt;"")),IF(UPPER(B_Drainage!$J$5:$J$204)="Y",1,"")),"")</f>
        <v/>
      </c>
      <c r="AB132" s="182" t="str">
        <f>IFERROR(LOOKUP(2,1/((B_Drainage!$A$5:$A$204&lt;&gt;"")*(B_Drainage!$A$5:$A$204&lt;=$B132)*(B_Drainage!$B$5:$B$204&gt;$B132)*(B_Drainage!$K$5:$K$204&lt;&gt;"")),IF(B_Drainage!$K$5:$K$204="-","",B_Drainage!$K$5:$K$204)),"")</f>
        <v/>
      </c>
      <c r="AC132" s="182" t="str">
        <f>IFERROR(LOOKUP(2,1/((B_Drainage!$A$5:$A$204&lt;&gt;"")*(B_Drainage!$A$5:$A$204&lt;=$B132)*(B_Drainage!$B$5:$B$204&gt;$B132)*(B_Drainage!$L$5:$L$204&lt;&gt;"")),IF(B_Drainage!$L$5:$L$204="-","",B_Drainage!$L$5:$L$204)),"")</f>
        <v/>
      </c>
      <c r="AD132" s="182" t="str">
        <f>IFERROR(LOOKUP(2,1/((D_Points!$A$5:$A$204&lt;&gt;"")*(D_Points!$A$5:$A$204&gt;=$B132)*(D_Points!$A$5:$A$204&lt;$B132+P_Interval)*(UPPER(TRIM(D_Points!$B$5:$B$204))="TURNOUT_L")*(D_Points!$H$5:$H$204&lt;&gt;"")),D_Points!$H$5:$H$204),"")</f>
        <v/>
      </c>
      <c r="AE132" s="182" t="str">
        <f>IFERROR(LOOKUP(2,1/((D_Points!$A$5:$A$204&lt;&gt;"")*(D_Points!$A$5:$A$204&gt;=$B132)*(D_Points!$A$5:$A$204&lt;$B132+P_Interval)*(UPPER(TRIM(D_Points!$B$5:$B$204))="TURNOUT_R")*(D_Points!$H$5:$H$204&lt;&gt;"")),D_Points!$H$5:$H$204),"")</f>
        <v/>
      </c>
      <c r="AF132" s="181" t="str">
        <f>IFERROR(LOOKUP(2,1/((B_Drainage!$A$5:$A$204&lt;&gt;"")*(B_Drainage!$A$5:$A$204&lt;=$B132)*(B_Drainage!$B$5:$B$204&gt;$B132)*(B_Drainage!$M$5:$M$204&lt;&gt;"")),IF(UPPER(B_Drainage!$M$5:$M$204)="Y",1,"")),"")</f>
        <v/>
      </c>
      <c r="AG132" s="181" t="str">
        <f>IFERROR(LOOKUP(2,1/((B_Drainage!$A$5:$A$204&lt;&gt;"")*(B_Drainage!$A$5:$A$204&lt;=$B132)*(B_Drainage!$B$5:$B$204&gt;$B132)*(B_Drainage!$N$5:$N$204&lt;&gt;"")),IF(UPPER(B_Drainage!$N$5:$N$204)="Y",1,"")),"")</f>
        <v/>
      </c>
      <c r="AH132" s="181" t="str">
        <f t="shared" si="8"/>
        <v/>
      </c>
      <c r="AI132" s="181" t="str">
        <f t="shared" si="9"/>
        <v/>
      </c>
      <c r="AJ132" s="181" t="str">
        <f t="shared" si="10"/>
        <v/>
      </c>
      <c r="AK132" s="181" t="str">
        <f t="shared" si="11"/>
        <v/>
      </c>
      <c r="AL132" s="181" t="str">
        <f t="shared" si="12"/>
        <v/>
      </c>
      <c r="AM132" s="181" t="str">
        <f t="shared" si="13"/>
        <v/>
      </c>
      <c r="AN132" s="181" t="str">
        <f t="shared" si="14"/>
        <v/>
      </c>
      <c r="AO132" s="192" t="str">
        <f t="shared" si="15"/>
        <v/>
      </c>
      <c r="AQ132" t="str">
        <f>IFERROR(LOOKUP(2,1/((C_Pavement!$A$5:$A$204&lt;&gt;"")*(C_Pavement!$A$5:$A$204&lt;=$B132)*(C_Pavement!$B$5:$B$204&gt;$B132)*(C_Pavement!$C$5:$C$204&lt;&gt;"")),ROW(C_Pavement!$C$5:$C$204)-4),"")</f>
        <v/>
      </c>
      <c r="AR132" t="str">
        <f>IF($AQ132="","",UPPER(TRIM(INDEX(C_Pavement!$C$5:$C$204,$AQ132))))</f>
        <v/>
      </c>
      <c r="AS132" t="str">
        <f>IF($AR132="","",IFERROR(MATCH($AR132,E_Rules!$A$5:$A$9,0),""))</f>
        <v/>
      </c>
      <c r="AT132" t="str">
        <f>IF($AQ132="","",IF(INDEX(C_Pavement!$D$5:$D$204,$AQ132)&lt;&gt;"",UPPER(TRIM(INDEX(C_Pavement!$D$5:$D$204,$AQ132))),IF($AS132="","",INDEX(E_Rules!$C$5:$C$9,$AS132))))</f>
        <v/>
      </c>
      <c r="AU132" t="str">
        <f>IF($AQ132="","",IF(INDEX(C_Pavement!$E$5:$E$204,$AQ132)&lt;&gt;"",IF(INDEX(C_Pavement!$E$5:$E$204,$AQ132)="-","",INDEX(C_Pavement!$E$5:$E$204,$AQ132)),IF($AS132="","",INDEX(E_Rules!$D$5:$D$9,$AS132))))</f>
        <v/>
      </c>
      <c r="AV132" t="str">
        <f>IF($AQ132="","",IF(INDEX(C_Pavement!$F$5:$F$204,$AQ132)&lt;&gt;"",IF(INDEX(C_Pavement!$F$5:$F$204,$AQ132)="-","",INDEX(C_Pavement!$F$5:$F$204,$AQ132)),IF($AS132="","",INDEX(E_Rules!$E$5:$E$9,$AS132))))</f>
        <v/>
      </c>
      <c r="AW132" t="str">
        <f>IF($AQ132="","",IF(INDEX(C_Pavement!$G$5:$G$204,$AQ132)&lt;&gt;"",IF(INDEX(C_Pavement!$G$5:$G$204,$AQ132)="-","",INDEX(C_Pavement!$G$5:$G$204,$AQ132)),IF($AS132="","",INDEX(E_Rules!$F$5:$F$9,$AS132))))</f>
        <v/>
      </c>
      <c r="AX132" t="str">
        <f>IF($AQ132="","",IF(INDEX(C_Pavement!$H$5:$H$204,$AQ132)&lt;&gt;"",IF(INDEX(C_Pavement!$H$5:$H$204,$AQ132)="-","",INDEX(C_Pavement!$H$5:$H$204,$AQ132)),IF($AS132="","",INDEX(E_Rules!$G$5:$G$9,$AS132))))</f>
        <v/>
      </c>
      <c r="AY132" t="str">
        <f>IF($AQ132="","",IF(INDEX(C_Pavement!$I$5:$I$204,$AQ132)&lt;&gt;"",IF(INDEX(C_Pavement!$I$5:$I$204,$AQ132)="-","",INDEX(C_Pavement!$I$5:$I$204,$AQ132)),IF($AS132="","",INDEX(E_Rules!$H$5:$H$9,$AS132))))</f>
        <v/>
      </c>
    </row>
    <row r="133" spans="1:51" ht="15.75" customHeight="1" x14ac:dyDescent="0.3">
      <c r="A133" s="189">
        <v>128</v>
      </c>
      <c r="B133" s="180">
        <v>6350</v>
      </c>
      <c r="C133" s="180" t="s">
        <v>439</v>
      </c>
      <c r="D133" s="181" t="str">
        <f>IFERROR(LOOKUP(2,1/((A_Corridor!$A$5:$A$204&lt;&gt;"")*(A_Corridor!$A$5:$A$204&lt;=$B133)*(A_Corridor!$B$5:$B$204&gt;$B133)*(A_Corridor!$C$5:$C$204&lt;&gt;"")),IF(UPPER(A_Corridor!$C$5:$C$204)="Y",1,"")),"")</f>
        <v/>
      </c>
      <c r="E133" s="181" t="str">
        <f>IFERROR(LOOKUP(2,1/((A_Corridor!$A$5:$A$204&lt;&gt;"")*(A_Corridor!$A$5:$A$204&lt;=$B133)*(A_Corridor!$B$5:$B$204&gt;$B133)*(A_Corridor!$D$5:$D$204&lt;&gt;"")),IF(A_Corridor!$D$5:$D$204="-","",UPPER(A_Corridor!$D$5:$D$204))),"")</f>
        <v/>
      </c>
      <c r="F133" s="181" t="str">
        <f>IFERROR(LOOKUP(2,1/((A_Corridor!$A$5:$A$204&lt;&gt;"")*(A_Corridor!$A$5:$A$204&lt;=$B133)*(A_Corridor!$B$5:$B$204&gt;$B133)*(A_Corridor!$E$5:$E$204&lt;&gt;"")),IF(A_Corridor!$E$5:$E$204="-","",1)),"")</f>
        <v/>
      </c>
      <c r="G133" s="182" t="str">
        <f>IFERROR(LOOKUP(2,1/((A_Corridor!$A$5:$A$204&lt;&gt;"")*(A_Corridor!$A$5:$A$204&lt;=$B133)*(A_Corridor!$B$5:$B$204&gt;$B133)*(A_Corridor!$E$5:$E$204&lt;&gt;"")),IF(A_Corridor!$E$5:$E$204="-","",A_Corridor!$E$5:$E$204)),"")</f>
        <v/>
      </c>
      <c r="H133" s="182" t="str">
        <f>IFERROR(LOOKUP(2,1/((D_Points!$A$5:$A$204&lt;&gt;"")*(D_Points!$A$5:$A$204&gt;=$B133)*(D_Points!$A$5:$A$204&lt;$B133+P_Interval)*(UPPER(TRIM(D_Points!$B$5:$B$204))="GULLY")*(D_Points!$H$5:$H$204&lt;&gt;"")),D_Points!$H$5:$H$204),"")</f>
        <v/>
      </c>
      <c r="I133" s="181" t="str">
        <f>IFERROR(LOOKUP(2,1/((A_Corridor!$A$5:$A$204&lt;&gt;"")*(A_Corridor!$A$5:$A$204&lt;=$B133)*(A_Corridor!$B$5:$B$204&gt;$B133)*(A_Corridor!$F$5:$F$204&lt;&gt;"")),IF(A_Corridor!$F$5:$F$204="-","",1)),"")</f>
        <v/>
      </c>
      <c r="J133" s="182" t="str">
        <f>IFERROR(LOOKUP(2,1/((A_Corridor!$A$5:$A$204&lt;&gt;"")*(A_Corridor!$A$5:$A$204&lt;=$B133)*(A_Corridor!$B$5:$B$204&gt;$B133)*(A_Corridor!$F$5:$F$204&lt;&gt;"")),IF(A_Corridor!$F$5:$F$204="-","",A_Corridor!$F$5:$F$204)),"")</f>
        <v/>
      </c>
      <c r="K133" s="182" t="str">
        <f>IFERROR(LOOKUP(2,1/((A_Corridor!$A$5:$A$204&lt;&gt;"")*(A_Corridor!$A$5:$A$204&lt;=$B133)*(A_Corridor!$B$5:$B$204&gt;$B133)*(A_Corridor!$G$5:$G$204&lt;&gt;"")),IF(A_Corridor!$G$5:$G$204="-","",A_Corridor!$G$5:$G$204)),"")</f>
        <v/>
      </c>
      <c r="L133" s="181" t="str">
        <f>IFERROR(LOOKUP(2,1/((A_Corridor!$A$5:$A$204&lt;&gt;"")*(A_Corridor!$A$5:$A$204&lt;=$B133)*(A_Corridor!$B$5:$B$204&gt;$B133)*(A_Corridor!$H$5:$H$204&lt;&gt;"")),IF(A_Corridor!$H$5:$H$204="-","",1)),"")</f>
        <v/>
      </c>
      <c r="M133" s="182" t="str">
        <f>IFERROR(LOOKUP(2,1/((A_Corridor!$A$5:$A$204&lt;&gt;"")*(A_Corridor!$A$5:$A$204&lt;=$B133)*(A_Corridor!$B$5:$B$204&gt;$B133)*(A_Corridor!$H$5:$H$204&lt;&gt;"")),IF(A_Corridor!$H$5:$H$204="-","",A_Corridor!$H$5:$H$204)),"")</f>
        <v/>
      </c>
      <c r="N133" s="182" t="str">
        <f>IFERROR(LOOKUP(2,1/((A_Corridor!$A$5:$A$204&lt;&gt;"")*(A_Corridor!$A$5:$A$204&lt;=$B133)*(A_Corridor!$B$5:$B$204&gt;$B133)*(A_Corridor!$I$5:$I$204&lt;&gt;"")),IF(A_Corridor!$I$5:$I$204="-","",A_Corridor!$I$5:$I$204)),"")</f>
        <v/>
      </c>
      <c r="O133" s="182" t="str">
        <f>IFERROR(LOOKUP(2,1/((D_Points!$A$5:$A$204&lt;&gt;"")*(D_Points!$A$5:$A$204&gt;=$B133)*(D_Points!$A$5:$A$204&lt;$B133+P_Interval)*(UPPER(TRIM(D_Points!$B$5:$B$204))="PITCHING")*(D_Points!$H$5:$H$204&lt;&gt;"")),D_Points!$H$5:$H$204),"")</f>
        <v/>
      </c>
      <c r="P133" s="181" t="str">
        <f>IFERROR(LOOKUP(2,1/((B_Drainage!$A$5:$A$204&lt;&gt;"")*(B_Drainage!$A$5:$A$204&lt;=$B133)*(B_Drainage!$B$5:$B$204&gt;$B133)*(B_Drainage!$C$5:$C$204&lt;&gt;"")),IF(B_Drainage!$C$5:$C$204="-","",UPPER(B_Drainage!$C$5:$C$204))),"")</f>
        <v/>
      </c>
      <c r="Q133" s="181" t="str">
        <f>IFERROR(LOOKUP(2,1/((B_Drainage!$A$5:$A$204&lt;&gt;"")*(B_Drainage!$A$5:$A$204&lt;=$B133)*(B_Drainage!$B$5:$B$204&gt;$B133)*(B_Drainage!$D$5:$D$204&lt;&gt;"")),IF(B_Drainage!$D$5:$D$204="-","",UPPER(B_Drainage!$D$5:$D$204))),"")</f>
        <v/>
      </c>
      <c r="R133" s="182" t="str">
        <f>IFERROR(LOOKUP(2,1/((D_Points!$A$5:$A$204&lt;&gt;"")*(D_Points!$A$5:$A$204&gt;=$B133)*(D_Points!$A$5:$A$204&lt;$B133+P_Interval)*(RIGHT(UPPER(TRIM(D_Points!$B$5:$B$204)),8)="_CULVERT")),IF(LEFT(UPPER(TRIM(D_Points!$B$5:$B$204)),2)="EX",1,IF(LEFT(UPPER(TRIM(D_Points!$B$5:$B$204)),2)="PR",2,3))),"")</f>
        <v/>
      </c>
      <c r="S133" s="182" t="str">
        <f>IFERROR(LOOKUP(2,1/((D_Points!$A$5:$A$204&lt;&gt;"")*(D_Points!$A$5:$A$204&gt;=$B133)*(D_Points!$A$5:$A$204&lt;$B133+P_Interval)*(RIGHT(UPPER(TRIM(D_Points!$B$5:$B$204)),7)="_BRIDGE")),IF(LEFT(UPPER(TRIM(D_Points!$B$5:$B$204)),2)="EX",1,IF(LEFT(UPPER(TRIM(D_Points!$B$5:$B$204)),2)="PR",2,2))),"")</f>
        <v/>
      </c>
      <c r="T133" s="181" t="str">
        <f>IFERROR(LOOKUP(2,1/((B_Drainage!$A$5:$A$204&lt;&gt;"")*(B_Drainage!$A$5:$A$204&lt;=$B133)*(B_Drainage!$B$5:$B$204&gt;$B133)*(B_Drainage!$E$5:$E$204&lt;&gt;"")),IF(B_Drainage!$E$5:$E$204="-","",1)),"")</f>
        <v/>
      </c>
      <c r="U133" s="181" t="str">
        <f>IFERROR(LOOKUP(2,1/((B_Drainage!$A$5:$A$204&lt;&gt;"")*(B_Drainage!$A$5:$A$204&lt;=$B133)*(B_Drainage!$B$5:$B$204&gt;$B133)*(B_Drainage!$E$5:$E$204&lt;&gt;"")),IF(B_Drainage!$E$5:$E$204="-","",B_Drainage!$E$5:$E$204)),"")</f>
        <v/>
      </c>
      <c r="V133" s="181" t="str">
        <f>IFERROR(LOOKUP(2,1/((B_Drainage!$A$5:$A$204&lt;&gt;"")*(B_Drainage!$A$5:$A$204&lt;=$B133)*(B_Drainage!$B$5:$B$204&gt;$B133)*(B_Drainage!$F$5:$F$204&lt;&gt;"")),IF(B_Drainage!$F$5:$F$204="-","",1)),"")</f>
        <v/>
      </c>
      <c r="W133" s="181" t="str">
        <f>IFERROR(LOOKUP(2,1/((B_Drainage!$A$5:$A$204&lt;&gt;"")*(B_Drainage!$A$5:$A$204&lt;=$B133)*(B_Drainage!$B$5:$B$204&gt;$B133)*(B_Drainage!$F$5:$F$204&lt;&gt;"")),IF(B_Drainage!$F$5:$F$204="-","",B_Drainage!$F$5:$F$204)),"")</f>
        <v/>
      </c>
      <c r="X133" s="181" t="str">
        <f>IFERROR(LOOKUP(2,1/((B_Drainage!$A$5:$A$204&lt;&gt;"")*(B_Drainage!$A$5:$A$204&lt;=$B133)*(B_Drainage!$B$5:$B$204&gt;$B133)*(B_Drainage!$G$5:$G$204&lt;&gt;"")),IF(UPPER(B_Drainage!$G$5:$G$204)="Y",1,"")),"")</f>
        <v/>
      </c>
      <c r="Y133" s="181" t="str">
        <f>IFERROR(LOOKUP(2,1/((B_Drainage!$A$5:$A$204&lt;&gt;"")*(B_Drainage!$A$5:$A$204&lt;=$B133)*(B_Drainage!$B$5:$B$204&gt;$B133)*(B_Drainage!$H$5:$H$204&lt;&gt;"")),IF(UPPER(B_Drainage!$H$5:$H$204)="Y",1,"")),"")</f>
        <v/>
      </c>
      <c r="Z133" s="181" t="str">
        <f>IFERROR(LOOKUP(2,1/((B_Drainage!$A$5:$A$204&lt;&gt;"")*(B_Drainage!$A$5:$A$204&lt;=$B133)*(B_Drainage!$B$5:$B$204&gt;$B133)*(B_Drainage!$I$5:$I$204&lt;&gt;"")),IF(UPPER(B_Drainage!$I$5:$I$204)="Y",1,"")),"")</f>
        <v/>
      </c>
      <c r="AA133" s="181" t="str">
        <f>IFERROR(LOOKUP(2,1/((B_Drainage!$A$5:$A$204&lt;&gt;"")*(B_Drainage!$A$5:$A$204&lt;=$B133)*(B_Drainage!$B$5:$B$204&gt;$B133)*(B_Drainage!$J$5:$J$204&lt;&gt;"")),IF(UPPER(B_Drainage!$J$5:$J$204)="Y",1,"")),"")</f>
        <v/>
      </c>
      <c r="AB133" s="182" t="str">
        <f>IFERROR(LOOKUP(2,1/((B_Drainage!$A$5:$A$204&lt;&gt;"")*(B_Drainage!$A$5:$A$204&lt;=$B133)*(B_Drainage!$B$5:$B$204&gt;$B133)*(B_Drainage!$K$5:$K$204&lt;&gt;"")),IF(B_Drainage!$K$5:$K$204="-","",B_Drainage!$K$5:$K$204)),"")</f>
        <v/>
      </c>
      <c r="AC133" s="182" t="str">
        <f>IFERROR(LOOKUP(2,1/((B_Drainage!$A$5:$A$204&lt;&gt;"")*(B_Drainage!$A$5:$A$204&lt;=$B133)*(B_Drainage!$B$5:$B$204&gt;$B133)*(B_Drainage!$L$5:$L$204&lt;&gt;"")),IF(B_Drainage!$L$5:$L$204="-","",B_Drainage!$L$5:$L$204)),"")</f>
        <v/>
      </c>
      <c r="AD133" s="182" t="str">
        <f>IFERROR(LOOKUP(2,1/((D_Points!$A$5:$A$204&lt;&gt;"")*(D_Points!$A$5:$A$204&gt;=$B133)*(D_Points!$A$5:$A$204&lt;$B133+P_Interval)*(UPPER(TRIM(D_Points!$B$5:$B$204))="TURNOUT_L")*(D_Points!$H$5:$H$204&lt;&gt;"")),D_Points!$H$5:$H$204),"")</f>
        <v/>
      </c>
      <c r="AE133" s="182" t="str">
        <f>IFERROR(LOOKUP(2,1/((D_Points!$A$5:$A$204&lt;&gt;"")*(D_Points!$A$5:$A$204&gt;=$B133)*(D_Points!$A$5:$A$204&lt;$B133+P_Interval)*(UPPER(TRIM(D_Points!$B$5:$B$204))="TURNOUT_R")*(D_Points!$H$5:$H$204&lt;&gt;"")),D_Points!$H$5:$H$204),"")</f>
        <v/>
      </c>
      <c r="AF133" s="181" t="str">
        <f>IFERROR(LOOKUP(2,1/((B_Drainage!$A$5:$A$204&lt;&gt;"")*(B_Drainage!$A$5:$A$204&lt;=$B133)*(B_Drainage!$B$5:$B$204&gt;$B133)*(B_Drainage!$M$5:$M$204&lt;&gt;"")),IF(UPPER(B_Drainage!$M$5:$M$204)="Y",1,"")),"")</f>
        <v/>
      </c>
      <c r="AG133" s="181" t="str">
        <f>IFERROR(LOOKUP(2,1/((B_Drainage!$A$5:$A$204&lt;&gt;"")*(B_Drainage!$A$5:$A$204&lt;=$B133)*(B_Drainage!$B$5:$B$204&gt;$B133)*(B_Drainage!$N$5:$N$204&lt;&gt;"")),IF(UPPER(B_Drainage!$N$5:$N$204)="Y",1,"")),"")</f>
        <v/>
      </c>
      <c r="AH133" s="181" t="str">
        <f t="shared" si="8"/>
        <v/>
      </c>
      <c r="AI133" s="181" t="str">
        <f t="shared" si="9"/>
        <v/>
      </c>
      <c r="AJ133" s="181" t="str">
        <f t="shared" si="10"/>
        <v/>
      </c>
      <c r="AK133" s="181" t="str">
        <f t="shared" si="11"/>
        <v/>
      </c>
      <c r="AL133" s="181" t="str">
        <f t="shared" si="12"/>
        <v/>
      </c>
      <c r="AM133" s="181" t="str">
        <f t="shared" si="13"/>
        <v/>
      </c>
      <c r="AN133" s="181" t="str">
        <f t="shared" si="14"/>
        <v/>
      </c>
      <c r="AO133" s="192" t="str">
        <f t="shared" si="15"/>
        <v/>
      </c>
      <c r="AQ133" t="str">
        <f>IFERROR(LOOKUP(2,1/((C_Pavement!$A$5:$A$204&lt;&gt;"")*(C_Pavement!$A$5:$A$204&lt;=$B133)*(C_Pavement!$B$5:$B$204&gt;$B133)*(C_Pavement!$C$5:$C$204&lt;&gt;"")),ROW(C_Pavement!$C$5:$C$204)-4),"")</f>
        <v/>
      </c>
      <c r="AR133" t="str">
        <f>IF($AQ133="","",UPPER(TRIM(INDEX(C_Pavement!$C$5:$C$204,$AQ133))))</f>
        <v/>
      </c>
      <c r="AS133" t="str">
        <f>IF($AR133="","",IFERROR(MATCH($AR133,E_Rules!$A$5:$A$9,0),""))</f>
        <v/>
      </c>
      <c r="AT133" t="str">
        <f>IF($AQ133="","",IF(INDEX(C_Pavement!$D$5:$D$204,$AQ133)&lt;&gt;"",UPPER(TRIM(INDEX(C_Pavement!$D$5:$D$204,$AQ133))),IF($AS133="","",INDEX(E_Rules!$C$5:$C$9,$AS133))))</f>
        <v/>
      </c>
      <c r="AU133" t="str">
        <f>IF($AQ133="","",IF(INDEX(C_Pavement!$E$5:$E$204,$AQ133)&lt;&gt;"",IF(INDEX(C_Pavement!$E$5:$E$204,$AQ133)="-","",INDEX(C_Pavement!$E$5:$E$204,$AQ133)),IF($AS133="","",INDEX(E_Rules!$D$5:$D$9,$AS133))))</f>
        <v/>
      </c>
      <c r="AV133" t="str">
        <f>IF($AQ133="","",IF(INDEX(C_Pavement!$F$5:$F$204,$AQ133)&lt;&gt;"",IF(INDEX(C_Pavement!$F$5:$F$204,$AQ133)="-","",INDEX(C_Pavement!$F$5:$F$204,$AQ133)),IF($AS133="","",INDEX(E_Rules!$E$5:$E$9,$AS133))))</f>
        <v/>
      </c>
      <c r="AW133" t="str">
        <f>IF($AQ133="","",IF(INDEX(C_Pavement!$G$5:$G$204,$AQ133)&lt;&gt;"",IF(INDEX(C_Pavement!$G$5:$G$204,$AQ133)="-","",INDEX(C_Pavement!$G$5:$G$204,$AQ133)),IF($AS133="","",INDEX(E_Rules!$F$5:$F$9,$AS133))))</f>
        <v/>
      </c>
      <c r="AX133" t="str">
        <f>IF($AQ133="","",IF(INDEX(C_Pavement!$H$5:$H$204,$AQ133)&lt;&gt;"",IF(INDEX(C_Pavement!$H$5:$H$204,$AQ133)="-","",INDEX(C_Pavement!$H$5:$H$204,$AQ133)),IF($AS133="","",INDEX(E_Rules!$G$5:$G$9,$AS133))))</f>
        <v/>
      </c>
      <c r="AY133" t="str">
        <f>IF($AQ133="","",IF(INDEX(C_Pavement!$I$5:$I$204,$AQ133)&lt;&gt;"",IF(INDEX(C_Pavement!$I$5:$I$204,$AQ133)="-","",INDEX(C_Pavement!$I$5:$I$204,$AQ133)),IF($AS133="","",INDEX(E_Rules!$H$5:$H$9,$AS133))))</f>
        <v/>
      </c>
    </row>
    <row r="134" spans="1:51" ht="15.75" customHeight="1" x14ac:dyDescent="0.3">
      <c r="A134" s="189">
        <v>129</v>
      </c>
      <c r="B134" s="180">
        <v>6400</v>
      </c>
      <c r="C134" s="180" t="s">
        <v>440</v>
      </c>
      <c r="D134" s="181" t="str">
        <f>IFERROR(LOOKUP(2,1/((A_Corridor!$A$5:$A$204&lt;&gt;"")*(A_Corridor!$A$5:$A$204&lt;=$B134)*(A_Corridor!$B$5:$B$204&gt;$B134)*(A_Corridor!$C$5:$C$204&lt;&gt;"")),IF(UPPER(A_Corridor!$C$5:$C$204)="Y",1,"")),"")</f>
        <v/>
      </c>
      <c r="E134" s="181" t="str">
        <f>IFERROR(LOOKUP(2,1/((A_Corridor!$A$5:$A$204&lt;&gt;"")*(A_Corridor!$A$5:$A$204&lt;=$B134)*(A_Corridor!$B$5:$B$204&gt;$B134)*(A_Corridor!$D$5:$D$204&lt;&gt;"")),IF(A_Corridor!$D$5:$D$204="-","",UPPER(A_Corridor!$D$5:$D$204))),"")</f>
        <v/>
      </c>
      <c r="F134" s="181" t="str">
        <f>IFERROR(LOOKUP(2,1/((A_Corridor!$A$5:$A$204&lt;&gt;"")*(A_Corridor!$A$5:$A$204&lt;=$B134)*(A_Corridor!$B$5:$B$204&gt;$B134)*(A_Corridor!$E$5:$E$204&lt;&gt;"")),IF(A_Corridor!$E$5:$E$204="-","",1)),"")</f>
        <v/>
      </c>
      <c r="G134" s="182" t="str">
        <f>IFERROR(LOOKUP(2,1/((A_Corridor!$A$5:$A$204&lt;&gt;"")*(A_Corridor!$A$5:$A$204&lt;=$B134)*(A_Corridor!$B$5:$B$204&gt;$B134)*(A_Corridor!$E$5:$E$204&lt;&gt;"")),IF(A_Corridor!$E$5:$E$204="-","",A_Corridor!$E$5:$E$204)),"")</f>
        <v/>
      </c>
      <c r="H134" s="182" t="str">
        <f>IFERROR(LOOKUP(2,1/((D_Points!$A$5:$A$204&lt;&gt;"")*(D_Points!$A$5:$A$204&gt;=$B134)*(D_Points!$A$5:$A$204&lt;$B134+P_Interval)*(UPPER(TRIM(D_Points!$B$5:$B$204))="GULLY")*(D_Points!$H$5:$H$204&lt;&gt;"")),D_Points!$H$5:$H$204),"")</f>
        <v/>
      </c>
      <c r="I134" s="181" t="str">
        <f>IFERROR(LOOKUP(2,1/((A_Corridor!$A$5:$A$204&lt;&gt;"")*(A_Corridor!$A$5:$A$204&lt;=$B134)*(A_Corridor!$B$5:$B$204&gt;$B134)*(A_Corridor!$F$5:$F$204&lt;&gt;"")),IF(A_Corridor!$F$5:$F$204="-","",1)),"")</f>
        <v/>
      </c>
      <c r="J134" s="182" t="str">
        <f>IFERROR(LOOKUP(2,1/((A_Corridor!$A$5:$A$204&lt;&gt;"")*(A_Corridor!$A$5:$A$204&lt;=$B134)*(A_Corridor!$B$5:$B$204&gt;$B134)*(A_Corridor!$F$5:$F$204&lt;&gt;"")),IF(A_Corridor!$F$5:$F$204="-","",A_Corridor!$F$5:$F$204)),"")</f>
        <v/>
      </c>
      <c r="K134" s="182" t="str">
        <f>IFERROR(LOOKUP(2,1/((A_Corridor!$A$5:$A$204&lt;&gt;"")*(A_Corridor!$A$5:$A$204&lt;=$B134)*(A_Corridor!$B$5:$B$204&gt;$B134)*(A_Corridor!$G$5:$G$204&lt;&gt;"")),IF(A_Corridor!$G$5:$G$204="-","",A_Corridor!$G$5:$G$204)),"")</f>
        <v/>
      </c>
      <c r="L134" s="181" t="str">
        <f>IFERROR(LOOKUP(2,1/((A_Corridor!$A$5:$A$204&lt;&gt;"")*(A_Corridor!$A$5:$A$204&lt;=$B134)*(A_Corridor!$B$5:$B$204&gt;$B134)*(A_Corridor!$H$5:$H$204&lt;&gt;"")),IF(A_Corridor!$H$5:$H$204="-","",1)),"")</f>
        <v/>
      </c>
      <c r="M134" s="182" t="str">
        <f>IFERROR(LOOKUP(2,1/((A_Corridor!$A$5:$A$204&lt;&gt;"")*(A_Corridor!$A$5:$A$204&lt;=$B134)*(A_Corridor!$B$5:$B$204&gt;$B134)*(A_Corridor!$H$5:$H$204&lt;&gt;"")),IF(A_Corridor!$H$5:$H$204="-","",A_Corridor!$H$5:$H$204)),"")</f>
        <v/>
      </c>
      <c r="N134" s="182" t="str">
        <f>IFERROR(LOOKUP(2,1/((A_Corridor!$A$5:$A$204&lt;&gt;"")*(A_Corridor!$A$5:$A$204&lt;=$B134)*(A_Corridor!$B$5:$B$204&gt;$B134)*(A_Corridor!$I$5:$I$204&lt;&gt;"")),IF(A_Corridor!$I$5:$I$204="-","",A_Corridor!$I$5:$I$204)),"")</f>
        <v/>
      </c>
      <c r="O134" s="182" t="str">
        <f>IFERROR(LOOKUP(2,1/((D_Points!$A$5:$A$204&lt;&gt;"")*(D_Points!$A$5:$A$204&gt;=$B134)*(D_Points!$A$5:$A$204&lt;$B134+P_Interval)*(UPPER(TRIM(D_Points!$B$5:$B$204))="PITCHING")*(D_Points!$H$5:$H$204&lt;&gt;"")),D_Points!$H$5:$H$204),"")</f>
        <v/>
      </c>
      <c r="P134" s="181" t="str">
        <f>IFERROR(LOOKUP(2,1/((B_Drainage!$A$5:$A$204&lt;&gt;"")*(B_Drainage!$A$5:$A$204&lt;=$B134)*(B_Drainage!$B$5:$B$204&gt;$B134)*(B_Drainage!$C$5:$C$204&lt;&gt;"")),IF(B_Drainage!$C$5:$C$204="-","",UPPER(B_Drainage!$C$5:$C$204))),"")</f>
        <v/>
      </c>
      <c r="Q134" s="181" t="str">
        <f>IFERROR(LOOKUP(2,1/((B_Drainage!$A$5:$A$204&lt;&gt;"")*(B_Drainage!$A$5:$A$204&lt;=$B134)*(B_Drainage!$B$5:$B$204&gt;$B134)*(B_Drainage!$D$5:$D$204&lt;&gt;"")),IF(B_Drainage!$D$5:$D$204="-","",UPPER(B_Drainage!$D$5:$D$204))),"")</f>
        <v/>
      </c>
      <c r="R134" s="182" t="str">
        <f>IFERROR(LOOKUP(2,1/((D_Points!$A$5:$A$204&lt;&gt;"")*(D_Points!$A$5:$A$204&gt;=$B134)*(D_Points!$A$5:$A$204&lt;$B134+P_Interval)*(RIGHT(UPPER(TRIM(D_Points!$B$5:$B$204)),8)="_CULVERT")),IF(LEFT(UPPER(TRIM(D_Points!$B$5:$B$204)),2)="EX",1,IF(LEFT(UPPER(TRIM(D_Points!$B$5:$B$204)),2)="PR",2,3))),"")</f>
        <v/>
      </c>
      <c r="S134" s="182" t="str">
        <f>IFERROR(LOOKUP(2,1/((D_Points!$A$5:$A$204&lt;&gt;"")*(D_Points!$A$5:$A$204&gt;=$B134)*(D_Points!$A$5:$A$204&lt;$B134+P_Interval)*(RIGHT(UPPER(TRIM(D_Points!$B$5:$B$204)),7)="_BRIDGE")),IF(LEFT(UPPER(TRIM(D_Points!$B$5:$B$204)),2)="EX",1,IF(LEFT(UPPER(TRIM(D_Points!$B$5:$B$204)),2)="PR",2,2))),"")</f>
        <v/>
      </c>
      <c r="T134" s="181" t="str">
        <f>IFERROR(LOOKUP(2,1/((B_Drainage!$A$5:$A$204&lt;&gt;"")*(B_Drainage!$A$5:$A$204&lt;=$B134)*(B_Drainage!$B$5:$B$204&gt;$B134)*(B_Drainage!$E$5:$E$204&lt;&gt;"")),IF(B_Drainage!$E$5:$E$204="-","",1)),"")</f>
        <v/>
      </c>
      <c r="U134" s="181" t="str">
        <f>IFERROR(LOOKUP(2,1/((B_Drainage!$A$5:$A$204&lt;&gt;"")*(B_Drainage!$A$5:$A$204&lt;=$B134)*(B_Drainage!$B$5:$B$204&gt;$B134)*(B_Drainage!$E$5:$E$204&lt;&gt;"")),IF(B_Drainage!$E$5:$E$204="-","",B_Drainage!$E$5:$E$204)),"")</f>
        <v/>
      </c>
      <c r="V134" s="181" t="str">
        <f>IFERROR(LOOKUP(2,1/((B_Drainage!$A$5:$A$204&lt;&gt;"")*(B_Drainage!$A$5:$A$204&lt;=$B134)*(B_Drainage!$B$5:$B$204&gt;$B134)*(B_Drainage!$F$5:$F$204&lt;&gt;"")),IF(B_Drainage!$F$5:$F$204="-","",1)),"")</f>
        <v/>
      </c>
      <c r="W134" s="181" t="str">
        <f>IFERROR(LOOKUP(2,1/((B_Drainage!$A$5:$A$204&lt;&gt;"")*(B_Drainage!$A$5:$A$204&lt;=$B134)*(B_Drainage!$B$5:$B$204&gt;$B134)*(B_Drainage!$F$5:$F$204&lt;&gt;"")),IF(B_Drainage!$F$5:$F$204="-","",B_Drainage!$F$5:$F$204)),"")</f>
        <v/>
      </c>
      <c r="X134" s="181" t="str">
        <f>IFERROR(LOOKUP(2,1/((B_Drainage!$A$5:$A$204&lt;&gt;"")*(B_Drainage!$A$5:$A$204&lt;=$B134)*(B_Drainage!$B$5:$B$204&gt;$B134)*(B_Drainage!$G$5:$G$204&lt;&gt;"")),IF(UPPER(B_Drainage!$G$5:$G$204)="Y",1,"")),"")</f>
        <v/>
      </c>
      <c r="Y134" s="181" t="str">
        <f>IFERROR(LOOKUP(2,1/((B_Drainage!$A$5:$A$204&lt;&gt;"")*(B_Drainage!$A$5:$A$204&lt;=$B134)*(B_Drainage!$B$5:$B$204&gt;$B134)*(B_Drainage!$H$5:$H$204&lt;&gt;"")),IF(UPPER(B_Drainage!$H$5:$H$204)="Y",1,"")),"")</f>
        <v/>
      </c>
      <c r="Z134" s="181" t="str">
        <f>IFERROR(LOOKUP(2,1/((B_Drainage!$A$5:$A$204&lt;&gt;"")*(B_Drainage!$A$5:$A$204&lt;=$B134)*(B_Drainage!$B$5:$B$204&gt;$B134)*(B_Drainage!$I$5:$I$204&lt;&gt;"")),IF(UPPER(B_Drainage!$I$5:$I$204)="Y",1,"")),"")</f>
        <v/>
      </c>
      <c r="AA134" s="181" t="str">
        <f>IFERROR(LOOKUP(2,1/((B_Drainage!$A$5:$A$204&lt;&gt;"")*(B_Drainage!$A$5:$A$204&lt;=$B134)*(B_Drainage!$B$5:$B$204&gt;$B134)*(B_Drainage!$J$5:$J$204&lt;&gt;"")),IF(UPPER(B_Drainage!$J$5:$J$204)="Y",1,"")),"")</f>
        <v/>
      </c>
      <c r="AB134" s="182" t="str">
        <f>IFERROR(LOOKUP(2,1/((B_Drainage!$A$5:$A$204&lt;&gt;"")*(B_Drainage!$A$5:$A$204&lt;=$B134)*(B_Drainage!$B$5:$B$204&gt;$B134)*(B_Drainage!$K$5:$K$204&lt;&gt;"")),IF(B_Drainage!$K$5:$K$204="-","",B_Drainage!$K$5:$K$204)),"")</f>
        <v/>
      </c>
      <c r="AC134" s="182" t="str">
        <f>IFERROR(LOOKUP(2,1/((B_Drainage!$A$5:$A$204&lt;&gt;"")*(B_Drainage!$A$5:$A$204&lt;=$B134)*(B_Drainage!$B$5:$B$204&gt;$B134)*(B_Drainage!$L$5:$L$204&lt;&gt;"")),IF(B_Drainage!$L$5:$L$204="-","",B_Drainage!$L$5:$L$204)),"")</f>
        <v/>
      </c>
      <c r="AD134" s="182" t="str">
        <f>IFERROR(LOOKUP(2,1/((D_Points!$A$5:$A$204&lt;&gt;"")*(D_Points!$A$5:$A$204&gt;=$B134)*(D_Points!$A$5:$A$204&lt;$B134+P_Interval)*(UPPER(TRIM(D_Points!$B$5:$B$204))="TURNOUT_L")*(D_Points!$H$5:$H$204&lt;&gt;"")),D_Points!$H$5:$H$204),"")</f>
        <v/>
      </c>
      <c r="AE134" s="182" t="str">
        <f>IFERROR(LOOKUP(2,1/((D_Points!$A$5:$A$204&lt;&gt;"")*(D_Points!$A$5:$A$204&gt;=$B134)*(D_Points!$A$5:$A$204&lt;$B134+P_Interval)*(UPPER(TRIM(D_Points!$B$5:$B$204))="TURNOUT_R")*(D_Points!$H$5:$H$204&lt;&gt;"")),D_Points!$H$5:$H$204),"")</f>
        <v/>
      </c>
      <c r="AF134" s="181" t="str">
        <f>IFERROR(LOOKUP(2,1/((B_Drainage!$A$5:$A$204&lt;&gt;"")*(B_Drainage!$A$5:$A$204&lt;=$B134)*(B_Drainage!$B$5:$B$204&gt;$B134)*(B_Drainage!$M$5:$M$204&lt;&gt;"")),IF(UPPER(B_Drainage!$M$5:$M$204)="Y",1,"")),"")</f>
        <v/>
      </c>
      <c r="AG134" s="181" t="str">
        <f>IFERROR(LOOKUP(2,1/((B_Drainage!$A$5:$A$204&lt;&gt;"")*(B_Drainage!$A$5:$A$204&lt;=$B134)*(B_Drainage!$B$5:$B$204&gt;$B134)*(B_Drainage!$N$5:$N$204&lt;&gt;"")),IF(UPPER(B_Drainage!$N$5:$N$204)="Y",1,"")),"")</f>
        <v/>
      </c>
      <c r="AH134" s="181" t="str">
        <f t="shared" ref="AH134:AH197" si="16">IF($AT134="BLADE",1,"")</f>
        <v/>
      </c>
      <c r="AI134" s="181" t="str">
        <f t="shared" ref="AI134:AI197" si="17">IF($AT134="RESHAPE",1,"")</f>
        <v/>
      </c>
      <c r="AJ134" s="181" t="str">
        <f t="shared" ref="AJ134:AJ197" si="18">IF($AT134="SCARIFY",1,"")</f>
        <v/>
      </c>
      <c r="AK134" s="181" t="str">
        <f t="shared" ref="AK134:AK197" si="19">$AU134</f>
        <v/>
      </c>
      <c r="AL134" s="181" t="str">
        <f t="shared" ref="AL134:AL197" si="20">$AV134</f>
        <v/>
      </c>
      <c r="AM134" s="181" t="str">
        <f t="shared" ref="AM134:AM197" si="21">IF(OR(UPPER($AW134)="Y",$AW134=1),1,"")</f>
        <v/>
      </c>
      <c r="AN134" s="181" t="str">
        <f t="shared" ref="AN134:AN197" si="22">IF(OR(UPPER($AX134)="Y",$AX134=1),1,"")</f>
        <v/>
      </c>
      <c r="AO134" s="192" t="str">
        <f t="shared" ref="AO134:AO197" si="23">IF(OR(UPPER($AY134)="Y",$AY134=1),1,"")</f>
        <v/>
      </c>
      <c r="AQ134" t="str">
        <f>IFERROR(LOOKUP(2,1/((C_Pavement!$A$5:$A$204&lt;&gt;"")*(C_Pavement!$A$5:$A$204&lt;=$B134)*(C_Pavement!$B$5:$B$204&gt;$B134)*(C_Pavement!$C$5:$C$204&lt;&gt;"")),ROW(C_Pavement!$C$5:$C$204)-4),"")</f>
        <v/>
      </c>
      <c r="AR134" t="str">
        <f>IF($AQ134="","",UPPER(TRIM(INDEX(C_Pavement!$C$5:$C$204,$AQ134))))</f>
        <v/>
      </c>
      <c r="AS134" t="str">
        <f>IF($AR134="","",IFERROR(MATCH($AR134,E_Rules!$A$5:$A$9,0),""))</f>
        <v/>
      </c>
      <c r="AT134" t="str">
        <f>IF($AQ134="","",IF(INDEX(C_Pavement!$D$5:$D$204,$AQ134)&lt;&gt;"",UPPER(TRIM(INDEX(C_Pavement!$D$5:$D$204,$AQ134))),IF($AS134="","",INDEX(E_Rules!$C$5:$C$9,$AS134))))</f>
        <v/>
      </c>
      <c r="AU134" t="str">
        <f>IF($AQ134="","",IF(INDEX(C_Pavement!$E$5:$E$204,$AQ134)&lt;&gt;"",IF(INDEX(C_Pavement!$E$5:$E$204,$AQ134)="-","",INDEX(C_Pavement!$E$5:$E$204,$AQ134)),IF($AS134="","",INDEX(E_Rules!$D$5:$D$9,$AS134))))</f>
        <v/>
      </c>
      <c r="AV134" t="str">
        <f>IF($AQ134="","",IF(INDEX(C_Pavement!$F$5:$F$204,$AQ134)&lt;&gt;"",IF(INDEX(C_Pavement!$F$5:$F$204,$AQ134)="-","",INDEX(C_Pavement!$F$5:$F$204,$AQ134)),IF($AS134="","",INDEX(E_Rules!$E$5:$E$9,$AS134))))</f>
        <v/>
      </c>
      <c r="AW134" t="str">
        <f>IF($AQ134="","",IF(INDEX(C_Pavement!$G$5:$G$204,$AQ134)&lt;&gt;"",IF(INDEX(C_Pavement!$G$5:$G$204,$AQ134)="-","",INDEX(C_Pavement!$G$5:$G$204,$AQ134)),IF($AS134="","",INDEX(E_Rules!$F$5:$F$9,$AS134))))</f>
        <v/>
      </c>
      <c r="AX134" t="str">
        <f>IF($AQ134="","",IF(INDEX(C_Pavement!$H$5:$H$204,$AQ134)&lt;&gt;"",IF(INDEX(C_Pavement!$H$5:$H$204,$AQ134)="-","",INDEX(C_Pavement!$H$5:$H$204,$AQ134)),IF($AS134="","",INDEX(E_Rules!$G$5:$G$9,$AS134))))</f>
        <v/>
      </c>
      <c r="AY134" t="str">
        <f>IF($AQ134="","",IF(INDEX(C_Pavement!$I$5:$I$204,$AQ134)&lt;&gt;"",IF(INDEX(C_Pavement!$I$5:$I$204,$AQ134)="-","",INDEX(C_Pavement!$I$5:$I$204,$AQ134)),IF($AS134="","",INDEX(E_Rules!$H$5:$H$9,$AS134))))</f>
        <v/>
      </c>
    </row>
    <row r="135" spans="1:51" ht="15.75" customHeight="1" x14ac:dyDescent="0.3">
      <c r="A135" s="189">
        <v>130</v>
      </c>
      <c r="B135" s="180">
        <v>6450</v>
      </c>
      <c r="C135" s="180" t="s">
        <v>441</v>
      </c>
      <c r="D135" s="181" t="str">
        <f>IFERROR(LOOKUP(2,1/((A_Corridor!$A$5:$A$204&lt;&gt;"")*(A_Corridor!$A$5:$A$204&lt;=$B135)*(A_Corridor!$B$5:$B$204&gt;$B135)*(A_Corridor!$C$5:$C$204&lt;&gt;"")),IF(UPPER(A_Corridor!$C$5:$C$204)="Y",1,"")),"")</f>
        <v/>
      </c>
      <c r="E135" s="181" t="str">
        <f>IFERROR(LOOKUP(2,1/((A_Corridor!$A$5:$A$204&lt;&gt;"")*(A_Corridor!$A$5:$A$204&lt;=$B135)*(A_Corridor!$B$5:$B$204&gt;$B135)*(A_Corridor!$D$5:$D$204&lt;&gt;"")),IF(A_Corridor!$D$5:$D$204="-","",UPPER(A_Corridor!$D$5:$D$204))),"")</f>
        <v/>
      </c>
      <c r="F135" s="181" t="str">
        <f>IFERROR(LOOKUP(2,1/((A_Corridor!$A$5:$A$204&lt;&gt;"")*(A_Corridor!$A$5:$A$204&lt;=$B135)*(A_Corridor!$B$5:$B$204&gt;$B135)*(A_Corridor!$E$5:$E$204&lt;&gt;"")),IF(A_Corridor!$E$5:$E$204="-","",1)),"")</f>
        <v/>
      </c>
      <c r="G135" s="182" t="str">
        <f>IFERROR(LOOKUP(2,1/((A_Corridor!$A$5:$A$204&lt;&gt;"")*(A_Corridor!$A$5:$A$204&lt;=$B135)*(A_Corridor!$B$5:$B$204&gt;$B135)*(A_Corridor!$E$5:$E$204&lt;&gt;"")),IF(A_Corridor!$E$5:$E$204="-","",A_Corridor!$E$5:$E$204)),"")</f>
        <v/>
      </c>
      <c r="H135" s="182" t="str">
        <f>IFERROR(LOOKUP(2,1/((D_Points!$A$5:$A$204&lt;&gt;"")*(D_Points!$A$5:$A$204&gt;=$B135)*(D_Points!$A$5:$A$204&lt;$B135+P_Interval)*(UPPER(TRIM(D_Points!$B$5:$B$204))="GULLY")*(D_Points!$H$5:$H$204&lt;&gt;"")),D_Points!$H$5:$H$204),"")</f>
        <v/>
      </c>
      <c r="I135" s="181" t="str">
        <f>IFERROR(LOOKUP(2,1/((A_Corridor!$A$5:$A$204&lt;&gt;"")*(A_Corridor!$A$5:$A$204&lt;=$B135)*(A_Corridor!$B$5:$B$204&gt;$B135)*(A_Corridor!$F$5:$F$204&lt;&gt;"")),IF(A_Corridor!$F$5:$F$204="-","",1)),"")</f>
        <v/>
      </c>
      <c r="J135" s="182" t="str">
        <f>IFERROR(LOOKUP(2,1/((A_Corridor!$A$5:$A$204&lt;&gt;"")*(A_Corridor!$A$5:$A$204&lt;=$B135)*(A_Corridor!$B$5:$B$204&gt;$B135)*(A_Corridor!$F$5:$F$204&lt;&gt;"")),IF(A_Corridor!$F$5:$F$204="-","",A_Corridor!$F$5:$F$204)),"")</f>
        <v/>
      </c>
      <c r="K135" s="182" t="str">
        <f>IFERROR(LOOKUP(2,1/((A_Corridor!$A$5:$A$204&lt;&gt;"")*(A_Corridor!$A$5:$A$204&lt;=$B135)*(A_Corridor!$B$5:$B$204&gt;$B135)*(A_Corridor!$G$5:$G$204&lt;&gt;"")),IF(A_Corridor!$G$5:$G$204="-","",A_Corridor!$G$5:$G$204)),"")</f>
        <v/>
      </c>
      <c r="L135" s="181" t="str">
        <f>IFERROR(LOOKUP(2,1/((A_Corridor!$A$5:$A$204&lt;&gt;"")*(A_Corridor!$A$5:$A$204&lt;=$B135)*(A_Corridor!$B$5:$B$204&gt;$B135)*(A_Corridor!$H$5:$H$204&lt;&gt;"")),IF(A_Corridor!$H$5:$H$204="-","",1)),"")</f>
        <v/>
      </c>
      <c r="M135" s="182" t="str">
        <f>IFERROR(LOOKUP(2,1/((A_Corridor!$A$5:$A$204&lt;&gt;"")*(A_Corridor!$A$5:$A$204&lt;=$B135)*(A_Corridor!$B$5:$B$204&gt;$B135)*(A_Corridor!$H$5:$H$204&lt;&gt;"")),IF(A_Corridor!$H$5:$H$204="-","",A_Corridor!$H$5:$H$204)),"")</f>
        <v/>
      </c>
      <c r="N135" s="182" t="str">
        <f>IFERROR(LOOKUP(2,1/((A_Corridor!$A$5:$A$204&lt;&gt;"")*(A_Corridor!$A$5:$A$204&lt;=$B135)*(A_Corridor!$B$5:$B$204&gt;$B135)*(A_Corridor!$I$5:$I$204&lt;&gt;"")),IF(A_Corridor!$I$5:$I$204="-","",A_Corridor!$I$5:$I$204)),"")</f>
        <v/>
      </c>
      <c r="O135" s="182" t="str">
        <f>IFERROR(LOOKUP(2,1/((D_Points!$A$5:$A$204&lt;&gt;"")*(D_Points!$A$5:$A$204&gt;=$B135)*(D_Points!$A$5:$A$204&lt;$B135+P_Interval)*(UPPER(TRIM(D_Points!$B$5:$B$204))="PITCHING")*(D_Points!$H$5:$H$204&lt;&gt;"")),D_Points!$H$5:$H$204),"")</f>
        <v/>
      </c>
      <c r="P135" s="181" t="str">
        <f>IFERROR(LOOKUP(2,1/((B_Drainage!$A$5:$A$204&lt;&gt;"")*(B_Drainage!$A$5:$A$204&lt;=$B135)*(B_Drainage!$B$5:$B$204&gt;$B135)*(B_Drainage!$C$5:$C$204&lt;&gt;"")),IF(B_Drainage!$C$5:$C$204="-","",UPPER(B_Drainage!$C$5:$C$204))),"")</f>
        <v/>
      </c>
      <c r="Q135" s="181" t="str">
        <f>IFERROR(LOOKUP(2,1/((B_Drainage!$A$5:$A$204&lt;&gt;"")*(B_Drainage!$A$5:$A$204&lt;=$B135)*(B_Drainage!$B$5:$B$204&gt;$B135)*(B_Drainage!$D$5:$D$204&lt;&gt;"")),IF(B_Drainage!$D$5:$D$204="-","",UPPER(B_Drainage!$D$5:$D$204))),"")</f>
        <v/>
      </c>
      <c r="R135" s="182" t="str">
        <f>IFERROR(LOOKUP(2,1/((D_Points!$A$5:$A$204&lt;&gt;"")*(D_Points!$A$5:$A$204&gt;=$B135)*(D_Points!$A$5:$A$204&lt;$B135+P_Interval)*(RIGHT(UPPER(TRIM(D_Points!$B$5:$B$204)),8)="_CULVERT")),IF(LEFT(UPPER(TRIM(D_Points!$B$5:$B$204)),2)="EX",1,IF(LEFT(UPPER(TRIM(D_Points!$B$5:$B$204)),2)="PR",2,3))),"")</f>
        <v/>
      </c>
      <c r="S135" s="182" t="str">
        <f>IFERROR(LOOKUP(2,1/((D_Points!$A$5:$A$204&lt;&gt;"")*(D_Points!$A$5:$A$204&gt;=$B135)*(D_Points!$A$5:$A$204&lt;$B135+P_Interval)*(RIGHT(UPPER(TRIM(D_Points!$B$5:$B$204)),7)="_BRIDGE")),IF(LEFT(UPPER(TRIM(D_Points!$B$5:$B$204)),2)="EX",1,IF(LEFT(UPPER(TRIM(D_Points!$B$5:$B$204)),2)="PR",2,2))),"")</f>
        <v/>
      </c>
      <c r="T135" s="181" t="str">
        <f>IFERROR(LOOKUP(2,1/((B_Drainage!$A$5:$A$204&lt;&gt;"")*(B_Drainage!$A$5:$A$204&lt;=$B135)*(B_Drainage!$B$5:$B$204&gt;$B135)*(B_Drainage!$E$5:$E$204&lt;&gt;"")),IF(B_Drainage!$E$5:$E$204="-","",1)),"")</f>
        <v/>
      </c>
      <c r="U135" s="181" t="str">
        <f>IFERROR(LOOKUP(2,1/((B_Drainage!$A$5:$A$204&lt;&gt;"")*(B_Drainage!$A$5:$A$204&lt;=$B135)*(B_Drainage!$B$5:$B$204&gt;$B135)*(B_Drainage!$E$5:$E$204&lt;&gt;"")),IF(B_Drainage!$E$5:$E$204="-","",B_Drainage!$E$5:$E$204)),"")</f>
        <v/>
      </c>
      <c r="V135" s="181" t="str">
        <f>IFERROR(LOOKUP(2,1/((B_Drainage!$A$5:$A$204&lt;&gt;"")*(B_Drainage!$A$5:$A$204&lt;=$B135)*(B_Drainage!$B$5:$B$204&gt;$B135)*(B_Drainage!$F$5:$F$204&lt;&gt;"")),IF(B_Drainage!$F$5:$F$204="-","",1)),"")</f>
        <v/>
      </c>
      <c r="W135" s="181" t="str">
        <f>IFERROR(LOOKUP(2,1/((B_Drainage!$A$5:$A$204&lt;&gt;"")*(B_Drainage!$A$5:$A$204&lt;=$B135)*(B_Drainage!$B$5:$B$204&gt;$B135)*(B_Drainage!$F$5:$F$204&lt;&gt;"")),IF(B_Drainage!$F$5:$F$204="-","",B_Drainage!$F$5:$F$204)),"")</f>
        <v/>
      </c>
      <c r="X135" s="181" t="str">
        <f>IFERROR(LOOKUP(2,1/((B_Drainage!$A$5:$A$204&lt;&gt;"")*(B_Drainage!$A$5:$A$204&lt;=$B135)*(B_Drainage!$B$5:$B$204&gt;$B135)*(B_Drainage!$G$5:$G$204&lt;&gt;"")),IF(UPPER(B_Drainage!$G$5:$G$204)="Y",1,"")),"")</f>
        <v/>
      </c>
      <c r="Y135" s="181" t="str">
        <f>IFERROR(LOOKUP(2,1/((B_Drainage!$A$5:$A$204&lt;&gt;"")*(B_Drainage!$A$5:$A$204&lt;=$B135)*(B_Drainage!$B$5:$B$204&gt;$B135)*(B_Drainage!$H$5:$H$204&lt;&gt;"")),IF(UPPER(B_Drainage!$H$5:$H$204)="Y",1,"")),"")</f>
        <v/>
      </c>
      <c r="Z135" s="181" t="str">
        <f>IFERROR(LOOKUP(2,1/((B_Drainage!$A$5:$A$204&lt;&gt;"")*(B_Drainage!$A$5:$A$204&lt;=$B135)*(B_Drainage!$B$5:$B$204&gt;$B135)*(B_Drainage!$I$5:$I$204&lt;&gt;"")),IF(UPPER(B_Drainage!$I$5:$I$204)="Y",1,"")),"")</f>
        <v/>
      </c>
      <c r="AA135" s="181" t="str">
        <f>IFERROR(LOOKUP(2,1/((B_Drainage!$A$5:$A$204&lt;&gt;"")*(B_Drainage!$A$5:$A$204&lt;=$B135)*(B_Drainage!$B$5:$B$204&gt;$B135)*(B_Drainage!$J$5:$J$204&lt;&gt;"")),IF(UPPER(B_Drainage!$J$5:$J$204)="Y",1,"")),"")</f>
        <v/>
      </c>
      <c r="AB135" s="182" t="str">
        <f>IFERROR(LOOKUP(2,1/((B_Drainage!$A$5:$A$204&lt;&gt;"")*(B_Drainage!$A$5:$A$204&lt;=$B135)*(B_Drainage!$B$5:$B$204&gt;$B135)*(B_Drainage!$K$5:$K$204&lt;&gt;"")),IF(B_Drainage!$K$5:$K$204="-","",B_Drainage!$K$5:$K$204)),"")</f>
        <v/>
      </c>
      <c r="AC135" s="182" t="str">
        <f>IFERROR(LOOKUP(2,1/((B_Drainage!$A$5:$A$204&lt;&gt;"")*(B_Drainage!$A$5:$A$204&lt;=$B135)*(B_Drainage!$B$5:$B$204&gt;$B135)*(B_Drainage!$L$5:$L$204&lt;&gt;"")),IF(B_Drainage!$L$5:$L$204="-","",B_Drainage!$L$5:$L$204)),"")</f>
        <v/>
      </c>
      <c r="AD135" s="182" t="str">
        <f>IFERROR(LOOKUP(2,1/((D_Points!$A$5:$A$204&lt;&gt;"")*(D_Points!$A$5:$A$204&gt;=$B135)*(D_Points!$A$5:$A$204&lt;$B135+P_Interval)*(UPPER(TRIM(D_Points!$B$5:$B$204))="TURNOUT_L")*(D_Points!$H$5:$H$204&lt;&gt;"")),D_Points!$H$5:$H$204),"")</f>
        <v/>
      </c>
      <c r="AE135" s="182" t="str">
        <f>IFERROR(LOOKUP(2,1/((D_Points!$A$5:$A$204&lt;&gt;"")*(D_Points!$A$5:$A$204&gt;=$B135)*(D_Points!$A$5:$A$204&lt;$B135+P_Interval)*(UPPER(TRIM(D_Points!$B$5:$B$204))="TURNOUT_R")*(D_Points!$H$5:$H$204&lt;&gt;"")),D_Points!$H$5:$H$204),"")</f>
        <v/>
      </c>
      <c r="AF135" s="181" t="str">
        <f>IFERROR(LOOKUP(2,1/((B_Drainage!$A$5:$A$204&lt;&gt;"")*(B_Drainage!$A$5:$A$204&lt;=$B135)*(B_Drainage!$B$5:$B$204&gt;$B135)*(B_Drainage!$M$5:$M$204&lt;&gt;"")),IF(UPPER(B_Drainage!$M$5:$M$204)="Y",1,"")),"")</f>
        <v/>
      </c>
      <c r="AG135" s="181" t="str">
        <f>IFERROR(LOOKUP(2,1/((B_Drainage!$A$5:$A$204&lt;&gt;"")*(B_Drainage!$A$5:$A$204&lt;=$B135)*(B_Drainage!$B$5:$B$204&gt;$B135)*(B_Drainage!$N$5:$N$204&lt;&gt;"")),IF(UPPER(B_Drainage!$N$5:$N$204)="Y",1,"")),"")</f>
        <v/>
      </c>
      <c r="AH135" s="181" t="str">
        <f t="shared" si="16"/>
        <v/>
      </c>
      <c r="AI135" s="181" t="str">
        <f t="shared" si="17"/>
        <v/>
      </c>
      <c r="AJ135" s="181" t="str">
        <f t="shared" si="18"/>
        <v/>
      </c>
      <c r="AK135" s="181" t="str">
        <f t="shared" si="19"/>
        <v/>
      </c>
      <c r="AL135" s="181" t="str">
        <f t="shared" si="20"/>
        <v/>
      </c>
      <c r="AM135" s="181" t="str">
        <f t="shared" si="21"/>
        <v/>
      </c>
      <c r="AN135" s="181" t="str">
        <f t="shared" si="22"/>
        <v/>
      </c>
      <c r="AO135" s="192" t="str">
        <f t="shared" si="23"/>
        <v/>
      </c>
      <c r="AQ135" t="str">
        <f>IFERROR(LOOKUP(2,1/((C_Pavement!$A$5:$A$204&lt;&gt;"")*(C_Pavement!$A$5:$A$204&lt;=$B135)*(C_Pavement!$B$5:$B$204&gt;$B135)*(C_Pavement!$C$5:$C$204&lt;&gt;"")),ROW(C_Pavement!$C$5:$C$204)-4),"")</f>
        <v/>
      </c>
      <c r="AR135" t="str">
        <f>IF($AQ135="","",UPPER(TRIM(INDEX(C_Pavement!$C$5:$C$204,$AQ135))))</f>
        <v/>
      </c>
      <c r="AS135" t="str">
        <f>IF($AR135="","",IFERROR(MATCH($AR135,E_Rules!$A$5:$A$9,0),""))</f>
        <v/>
      </c>
      <c r="AT135" t="str">
        <f>IF($AQ135="","",IF(INDEX(C_Pavement!$D$5:$D$204,$AQ135)&lt;&gt;"",UPPER(TRIM(INDEX(C_Pavement!$D$5:$D$204,$AQ135))),IF($AS135="","",INDEX(E_Rules!$C$5:$C$9,$AS135))))</f>
        <v/>
      </c>
      <c r="AU135" t="str">
        <f>IF($AQ135="","",IF(INDEX(C_Pavement!$E$5:$E$204,$AQ135)&lt;&gt;"",IF(INDEX(C_Pavement!$E$5:$E$204,$AQ135)="-","",INDEX(C_Pavement!$E$5:$E$204,$AQ135)),IF($AS135="","",INDEX(E_Rules!$D$5:$D$9,$AS135))))</f>
        <v/>
      </c>
      <c r="AV135" t="str">
        <f>IF($AQ135="","",IF(INDEX(C_Pavement!$F$5:$F$204,$AQ135)&lt;&gt;"",IF(INDEX(C_Pavement!$F$5:$F$204,$AQ135)="-","",INDEX(C_Pavement!$F$5:$F$204,$AQ135)),IF($AS135="","",INDEX(E_Rules!$E$5:$E$9,$AS135))))</f>
        <v/>
      </c>
      <c r="AW135" t="str">
        <f>IF($AQ135="","",IF(INDEX(C_Pavement!$G$5:$G$204,$AQ135)&lt;&gt;"",IF(INDEX(C_Pavement!$G$5:$G$204,$AQ135)="-","",INDEX(C_Pavement!$G$5:$G$204,$AQ135)),IF($AS135="","",INDEX(E_Rules!$F$5:$F$9,$AS135))))</f>
        <v/>
      </c>
      <c r="AX135" t="str">
        <f>IF($AQ135="","",IF(INDEX(C_Pavement!$H$5:$H$204,$AQ135)&lt;&gt;"",IF(INDEX(C_Pavement!$H$5:$H$204,$AQ135)="-","",INDEX(C_Pavement!$H$5:$H$204,$AQ135)),IF($AS135="","",INDEX(E_Rules!$G$5:$G$9,$AS135))))</f>
        <v/>
      </c>
      <c r="AY135" t="str">
        <f>IF($AQ135="","",IF(INDEX(C_Pavement!$I$5:$I$204,$AQ135)&lt;&gt;"",IF(INDEX(C_Pavement!$I$5:$I$204,$AQ135)="-","",INDEX(C_Pavement!$I$5:$I$204,$AQ135)),IF($AS135="","",INDEX(E_Rules!$H$5:$H$9,$AS135))))</f>
        <v/>
      </c>
    </row>
    <row r="136" spans="1:51" ht="15.75" customHeight="1" x14ac:dyDescent="0.3">
      <c r="A136" s="189">
        <v>131</v>
      </c>
      <c r="B136" s="180">
        <v>6500</v>
      </c>
      <c r="C136" s="180" t="s">
        <v>442</v>
      </c>
      <c r="D136" s="181" t="str">
        <f>IFERROR(LOOKUP(2,1/((A_Corridor!$A$5:$A$204&lt;&gt;"")*(A_Corridor!$A$5:$A$204&lt;=$B136)*(A_Corridor!$B$5:$B$204&gt;$B136)*(A_Corridor!$C$5:$C$204&lt;&gt;"")),IF(UPPER(A_Corridor!$C$5:$C$204)="Y",1,"")),"")</f>
        <v/>
      </c>
      <c r="E136" s="181" t="str">
        <f>IFERROR(LOOKUP(2,1/((A_Corridor!$A$5:$A$204&lt;&gt;"")*(A_Corridor!$A$5:$A$204&lt;=$B136)*(A_Corridor!$B$5:$B$204&gt;$B136)*(A_Corridor!$D$5:$D$204&lt;&gt;"")),IF(A_Corridor!$D$5:$D$204="-","",UPPER(A_Corridor!$D$5:$D$204))),"")</f>
        <v/>
      </c>
      <c r="F136" s="181" t="str">
        <f>IFERROR(LOOKUP(2,1/((A_Corridor!$A$5:$A$204&lt;&gt;"")*(A_Corridor!$A$5:$A$204&lt;=$B136)*(A_Corridor!$B$5:$B$204&gt;$B136)*(A_Corridor!$E$5:$E$204&lt;&gt;"")),IF(A_Corridor!$E$5:$E$204="-","",1)),"")</f>
        <v/>
      </c>
      <c r="G136" s="182" t="str">
        <f>IFERROR(LOOKUP(2,1/((A_Corridor!$A$5:$A$204&lt;&gt;"")*(A_Corridor!$A$5:$A$204&lt;=$B136)*(A_Corridor!$B$5:$B$204&gt;$B136)*(A_Corridor!$E$5:$E$204&lt;&gt;"")),IF(A_Corridor!$E$5:$E$204="-","",A_Corridor!$E$5:$E$204)),"")</f>
        <v/>
      </c>
      <c r="H136" s="182" t="str">
        <f>IFERROR(LOOKUP(2,1/((D_Points!$A$5:$A$204&lt;&gt;"")*(D_Points!$A$5:$A$204&gt;=$B136)*(D_Points!$A$5:$A$204&lt;$B136+P_Interval)*(UPPER(TRIM(D_Points!$B$5:$B$204))="GULLY")*(D_Points!$H$5:$H$204&lt;&gt;"")),D_Points!$H$5:$H$204),"")</f>
        <v/>
      </c>
      <c r="I136" s="181" t="str">
        <f>IFERROR(LOOKUP(2,1/((A_Corridor!$A$5:$A$204&lt;&gt;"")*(A_Corridor!$A$5:$A$204&lt;=$B136)*(A_Corridor!$B$5:$B$204&gt;$B136)*(A_Corridor!$F$5:$F$204&lt;&gt;"")),IF(A_Corridor!$F$5:$F$204="-","",1)),"")</f>
        <v/>
      </c>
      <c r="J136" s="182" t="str">
        <f>IFERROR(LOOKUP(2,1/((A_Corridor!$A$5:$A$204&lt;&gt;"")*(A_Corridor!$A$5:$A$204&lt;=$B136)*(A_Corridor!$B$5:$B$204&gt;$B136)*(A_Corridor!$F$5:$F$204&lt;&gt;"")),IF(A_Corridor!$F$5:$F$204="-","",A_Corridor!$F$5:$F$204)),"")</f>
        <v/>
      </c>
      <c r="K136" s="182" t="str">
        <f>IFERROR(LOOKUP(2,1/((A_Corridor!$A$5:$A$204&lt;&gt;"")*(A_Corridor!$A$5:$A$204&lt;=$B136)*(A_Corridor!$B$5:$B$204&gt;$B136)*(A_Corridor!$G$5:$G$204&lt;&gt;"")),IF(A_Corridor!$G$5:$G$204="-","",A_Corridor!$G$5:$G$204)),"")</f>
        <v/>
      </c>
      <c r="L136" s="181" t="str">
        <f>IFERROR(LOOKUP(2,1/((A_Corridor!$A$5:$A$204&lt;&gt;"")*(A_Corridor!$A$5:$A$204&lt;=$B136)*(A_Corridor!$B$5:$B$204&gt;$B136)*(A_Corridor!$H$5:$H$204&lt;&gt;"")),IF(A_Corridor!$H$5:$H$204="-","",1)),"")</f>
        <v/>
      </c>
      <c r="M136" s="182" t="str">
        <f>IFERROR(LOOKUP(2,1/((A_Corridor!$A$5:$A$204&lt;&gt;"")*(A_Corridor!$A$5:$A$204&lt;=$B136)*(A_Corridor!$B$5:$B$204&gt;$B136)*(A_Corridor!$H$5:$H$204&lt;&gt;"")),IF(A_Corridor!$H$5:$H$204="-","",A_Corridor!$H$5:$H$204)),"")</f>
        <v/>
      </c>
      <c r="N136" s="182" t="str">
        <f>IFERROR(LOOKUP(2,1/((A_Corridor!$A$5:$A$204&lt;&gt;"")*(A_Corridor!$A$5:$A$204&lt;=$B136)*(A_Corridor!$B$5:$B$204&gt;$B136)*(A_Corridor!$I$5:$I$204&lt;&gt;"")),IF(A_Corridor!$I$5:$I$204="-","",A_Corridor!$I$5:$I$204)),"")</f>
        <v/>
      </c>
      <c r="O136" s="182" t="str">
        <f>IFERROR(LOOKUP(2,1/((D_Points!$A$5:$A$204&lt;&gt;"")*(D_Points!$A$5:$A$204&gt;=$B136)*(D_Points!$A$5:$A$204&lt;$B136+P_Interval)*(UPPER(TRIM(D_Points!$B$5:$B$204))="PITCHING")*(D_Points!$H$5:$H$204&lt;&gt;"")),D_Points!$H$5:$H$204),"")</f>
        <v/>
      </c>
      <c r="P136" s="181" t="str">
        <f>IFERROR(LOOKUP(2,1/((B_Drainage!$A$5:$A$204&lt;&gt;"")*(B_Drainage!$A$5:$A$204&lt;=$B136)*(B_Drainage!$B$5:$B$204&gt;$B136)*(B_Drainage!$C$5:$C$204&lt;&gt;"")),IF(B_Drainage!$C$5:$C$204="-","",UPPER(B_Drainage!$C$5:$C$204))),"")</f>
        <v/>
      </c>
      <c r="Q136" s="181" t="str">
        <f>IFERROR(LOOKUP(2,1/((B_Drainage!$A$5:$A$204&lt;&gt;"")*(B_Drainage!$A$5:$A$204&lt;=$B136)*(B_Drainage!$B$5:$B$204&gt;$B136)*(B_Drainage!$D$5:$D$204&lt;&gt;"")),IF(B_Drainage!$D$5:$D$204="-","",UPPER(B_Drainage!$D$5:$D$204))),"")</f>
        <v/>
      </c>
      <c r="R136" s="182" t="str">
        <f>IFERROR(LOOKUP(2,1/((D_Points!$A$5:$A$204&lt;&gt;"")*(D_Points!$A$5:$A$204&gt;=$B136)*(D_Points!$A$5:$A$204&lt;$B136+P_Interval)*(RIGHT(UPPER(TRIM(D_Points!$B$5:$B$204)),8)="_CULVERT")),IF(LEFT(UPPER(TRIM(D_Points!$B$5:$B$204)),2)="EX",1,IF(LEFT(UPPER(TRIM(D_Points!$B$5:$B$204)),2)="PR",2,3))),"")</f>
        <v/>
      </c>
      <c r="S136" s="182" t="str">
        <f>IFERROR(LOOKUP(2,1/((D_Points!$A$5:$A$204&lt;&gt;"")*(D_Points!$A$5:$A$204&gt;=$B136)*(D_Points!$A$5:$A$204&lt;$B136+P_Interval)*(RIGHT(UPPER(TRIM(D_Points!$B$5:$B$204)),7)="_BRIDGE")),IF(LEFT(UPPER(TRIM(D_Points!$B$5:$B$204)),2)="EX",1,IF(LEFT(UPPER(TRIM(D_Points!$B$5:$B$204)),2)="PR",2,2))),"")</f>
        <v/>
      </c>
      <c r="T136" s="181" t="str">
        <f>IFERROR(LOOKUP(2,1/((B_Drainage!$A$5:$A$204&lt;&gt;"")*(B_Drainage!$A$5:$A$204&lt;=$B136)*(B_Drainage!$B$5:$B$204&gt;$B136)*(B_Drainage!$E$5:$E$204&lt;&gt;"")),IF(B_Drainage!$E$5:$E$204="-","",1)),"")</f>
        <v/>
      </c>
      <c r="U136" s="181" t="str">
        <f>IFERROR(LOOKUP(2,1/((B_Drainage!$A$5:$A$204&lt;&gt;"")*(B_Drainage!$A$5:$A$204&lt;=$B136)*(B_Drainage!$B$5:$B$204&gt;$B136)*(B_Drainage!$E$5:$E$204&lt;&gt;"")),IF(B_Drainage!$E$5:$E$204="-","",B_Drainage!$E$5:$E$204)),"")</f>
        <v/>
      </c>
      <c r="V136" s="181" t="str">
        <f>IFERROR(LOOKUP(2,1/((B_Drainage!$A$5:$A$204&lt;&gt;"")*(B_Drainage!$A$5:$A$204&lt;=$B136)*(B_Drainage!$B$5:$B$204&gt;$B136)*(B_Drainage!$F$5:$F$204&lt;&gt;"")),IF(B_Drainage!$F$5:$F$204="-","",1)),"")</f>
        <v/>
      </c>
      <c r="W136" s="181" t="str">
        <f>IFERROR(LOOKUP(2,1/((B_Drainage!$A$5:$A$204&lt;&gt;"")*(B_Drainage!$A$5:$A$204&lt;=$B136)*(B_Drainage!$B$5:$B$204&gt;$B136)*(B_Drainage!$F$5:$F$204&lt;&gt;"")),IF(B_Drainage!$F$5:$F$204="-","",B_Drainage!$F$5:$F$204)),"")</f>
        <v/>
      </c>
      <c r="X136" s="181" t="str">
        <f>IFERROR(LOOKUP(2,1/((B_Drainage!$A$5:$A$204&lt;&gt;"")*(B_Drainage!$A$5:$A$204&lt;=$B136)*(B_Drainage!$B$5:$B$204&gt;$B136)*(B_Drainage!$G$5:$G$204&lt;&gt;"")),IF(UPPER(B_Drainage!$G$5:$G$204)="Y",1,"")),"")</f>
        <v/>
      </c>
      <c r="Y136" s="181" t="str">
        <f>IFERROR(LOOKUP(2,1/((B_Drainage!$A$5:$A$204&lt;&gt;"")*(B_Drainage!$A$5:$A$204&lt;=$B136)*(B_Drainage!$B$5:$B$204&gt;$B136)*(B_Drainage!$H$5:$H$204&lt;&gt;"")),IF(UPPER(B_Drainage!$H$5:$H$204)="Y",1,"")),"")</f>
        <v/>
      </c>
      <c r="Z136" s="181" t="str">
        <f>IFERROR(LOOKUP(2,1/((B_Drainage!$A$5:$A$204&lt;&gt;"")*(B_Drainage!$A$5:$A$204&lt;=$B136)*(B_Drainage!$B$5:$B$204&gt;$B136)*(B_Drainage!$I$5:$I$204&lt;&gt;"")),IF(UPPER(B_Drainage!$I$5:$I$204)="Y",1,"")),"")</f>
        <v/>
      </c>
      <c r="AA136" s="181" t="str">
        <f>IFERROR(LOOKUP(2,1/((B_Drainage!$A$5:$A$204&lt;&gt;"")*(B_Drainage!$A$5:$A$204&lt;=$B136)*(B_Drainage!$B$5:$B$204&gt;$B136)*(B_Drainage!$J$5:$J$204&lt;&gt;"")),IF(UPPER(B_Drainage!$J$5:$J$204)="Y",1,"")),"")</f>
        <v/>
      </c>
      <c r="AB136" s="182" t="str">
        <f>IFERROR(LOOKUP(2,1/((B_Drainage!$A$5:$A$204&lt;&gt;"")*(B_Drainage!$A$5:$A$204&lt;=$B136)*(B_Drainage!$B$5:$B$204&gt;$B136)*(B_Drainage!$K$5:$K$204&lt;&gt;"")),IF(B_Drainage!$K$5:$K$204="-","",B_Drainage!$K$5:$K$204)),"")</f>
        <v/>
      </c>
      <c r="AC136" s="182" t="str">
        <f>IFERROR(LOOKUP(2,1/((B_Drainage!$A$5:$A$204&lt;&gt;"")*(B_Drainage!$A$5:$A$204&lt;=$B136)*(B_Drainage!$B$5:$B$204&gt;$B136)*(B_Drainage!$L$5:$L$204&lt;&gt;"")),IF(B_Drainage!$L$5:$L$204="-","",B_Drainage!$L$5:$L$204)),"")</f>
        <v/>
      </c>
      <c r="AD136" s="182" t="str">
        <f>IFERROR(LOOKUP(2,1/((D_Points!$A$5:$A$204&lt;&gt;"")*(D_Points!$A$5:$A$204&gt;=$B136)*(D_Points!$A$5:$A$204&lt;$B136+P_Interval)*(UPPER(TRIM(D_Points!$B$5:$B$204))="TURNOUT_L")*(D_Points!$H$5:$H$204&lt;&gt;"")),D_Points!$H$5:$H$204),"")</f>
        <v/>
      </c>
      <c r="AE136" s="182" t="str">
        <f>IFERROR(LOOKUP(2,1/((D_Points!$A$5:$A$204&lt;&gt;"")*(D_Points!$A$5:$A$204&gt;=$B136)*(D_Points!$A$5:$A$204&lt;$B136+P_Interval)*(UPPER(TRIM(D_Points!$B$5:$B$204))="TURNOUT_R")*(D_Points!$H$5:$H$204&lt;&gt;"")),D_Points!$H$5:$H$204),"")</f>
        <v/>
      </c>
      <c r="AF136" s="181" t="str">
        <f>IFERROR(LOOKUP(2,1/((B_Drainage!$A$5:$A$204&lt;&gt;"")*(B_Drainage!$A$5:$A$204&lt;=$B136)*(B_Drainage!$B$5:$B$204&gt;$B136)*(B_Drainage!$M$5:$M$204&lt;&gt;"")),IF(UPPER(B_Drainage!$M$5:$M$204)="Y",1,"")),"")</f>
        <v/>
      </c>
      <c r="AG136" s="181" t="str">
        <f>IFERROR(LOOKUP(2,1/((B_Drainage!$A$5:$A$204&lt;&gt;"")*(B_Drainage!$A$5:$A$204&lt;=$B136)*(B_Drainage!$B$5:$B$204&gt;$B136)*(B_Drainage!$N$5:$N$204&lt;&gt;"")),IF(UPPER(B_Drainage!$N$5:$N$204)="Y",1,"")),"")</f>
        <v/>
      </c>
      <c r="AH136" s="181" t="str">
        <f t="shared" si="16"/>
        <v/>
      </c>
      <c r="AI136" s="181" t="str">
        <f t="shared" si="17"/>
        <v/>
      </c>
      <c r="AJ136" s="181" t="str">
        <f t="shared" si="18"/>
        <v/>
      </c>
      <c r="AK136" s="181" t="str">
        <f t="shared" si="19"/>
        <v/>
      </c>
      <c r="AL136" s="181" t="str">
        <f t="shared" si="20"/>
        <v/>
      </c>
      <c r="AM136" s="181" t="str">
        <f t="shared" si="21"/>
        <v/>
      </c>
      <c r="AN136" s="181" t="str">
        <f t="shared" si="22"/>
        <v/>
      </c>
      <c r="AO136" s="192" t="str">
        <f t="shared" si="23"/>
        <v/>
      </c>
      <c r="AQ136" t="str">
        <f>IFERROR(LOOKUP(2,1/((C_Pavement!$A$5:$A$204&lt;&gt;"")*(C_Pavement!$A$5:$A$204&lt;=$B136)*(C_Pavement!$B$5:$B$204&gt;$B136)*(C_Pavement!$C$5:$C$204&lt;&gt;"")),ROW(C_Pavement!$C$5:$C$204)-4),"")</f>
        <v/>
      </c>
      <c r="AR136" t="str">
        <f>IF($AQ136="","",UPPER(TRIM(INDEX(C_Pavement!$C$5:$C$204,$AQ136))))</f>
        <v/>
      </c>
      <c r="AS136" t="str">
        <f>IF($AR136="","",IFERROR(MATCH($AR136,E_Rules!$A$5:$A$9,0),""))</f>
        <v/>
      </c>
      <c r="AT136" t="str">
        <f>IF($AQ136="","",IF(INDEX(C_Pavement!$D$5:$D$204,$AQ136)&lt;&gt;"",UPPER(TRIM(INDEX(C_Pavement!$D$5:$D$204,$AQ136))),IF($AS136="","",INDEX(E_Rules!$C$5:$C$9,$AS136))))</f>
        <v/>
      </c>
      <c r="AU136" t="str">
        <f>IF($AQ136="","",IF(INDEX(C_Pavement!$E$5:$E$204,$AQ136)&lt;&gt;"",IF(INDEX(C_Pavement!$E$5:$E$204,$AQ136)="-","",INDEX(C_Pavement!$E$5:$E$204,$AQ136)),IF($AS136="","",INDEX(E_Rules!$D$5:$D$9,$AS136))))</f>
        <v/>
      </c>
      <c r="AV136" t="str">
        <f>IF($AQ136="","",IF(INDEX(C_Pavement!$F$5:$F$204,$AQ136)&lt;&gt;"",IF(INDEX(C_Pavement!$F$5:$F$204,$AQ136)="-","",INDEX(C_Pavement!$F$5:$F$204,$AQ136)),IF($AS136="","",INDEX(E_Rules!$E$5:$E$9,$AS136))))</f>
        <v/>
      </c>
      <c r="AW136" t="str">
        <f>IF($AQ136="","",IF(INDEX(C_Pavement!$G$5:$G$204,$AQ136)&lt;&gt;"",IF(INDEX(C_Pavement!$G$5:$G$204,$AQ136)="-","",INDEX(C_Pavement!$G$5:$G$204,$AQ136)),IF($AS136="","",INDEX(E_Rules!$F$5:$F$9,$AS136))))</f>
        <v/>
      </c>
      <c r="AX136" t="str">
        <f>IF($AQ136="","",IF(INDEX(C_Pavement!$H$5:$H$204,$AQ136)&lt;&gt;"",IF(INDEX(C_Pavement!$H$5:$H$204,$AQ136)="-","",INDEX(C_Pavement!$H$5:$H$204,$AQ136)),IF($AS136="","",INDEX(E_Rules!$G$5:$G$9,$AS136))))</f>
        <v/>
      </c>
      <c r="AY136" t="str">
        <f>IF($AQ136="","",IF(INDEX(C_Pavement!$I$5:$I$204,$AQ136)&lt;&gt;"",IF(INDEX(C_Pavement!$I$5:$I$204,$AQ136)="-","",INDEX(C_Pavement!$I$5:$I$204,$AQ136)),IF($AS136="","",INDEX(E_Rules!$H$5:$H$9,$AS136))))</f>
        <v/>
      </c>
    </row>
    <row r="137" spans="1:51" ht="15.75" customHeight="1" x14ac:dyDescent="0.3">
      <c r="A137" s="189">
        <v>132</v>
      </c>
      <c r="B137" s="180">
        <v>6550</v>
      </c>
      <c r="C137" s="180" t="s">
        <v>443</v>
      </c>
      <c r="D137" s="181" t="str">
        <f>IFERROR(LOOKUP(2,1/((A_Corridor!$A$5:$A$204&lt;&gt;"")*(A_Corridor!$A$5:$A$204&lt;=$B137)*(A_Corridor!$B$5:$B$204&gt;$B137)*(A_Corridor!$C$5:$C$204&lt;&gt;"")),IF(UPPER(A_Corridor!$C$5:$C$204)="Y",1,"")),"")</f>
        <v/>
      </c>
      <c r="E137" s="181" t="str">
        <f>IFERROR(LOOKUP(2,1/((A_Corridor!$A$5:$A$204&lt;&gt;"")*(A_Corridor!$A$5:$A$204&lt;=$B137)*(A_Corridor!$B$5:$B$204&gt;$B137)*(A_Corridor!$D$5:$D$204&lt;&gt;"")),IF(A_Corridor!$D$5:$D$204="-","",UPPER(A_Corridor!$D$5:$D$204))),"")</f>
        <v/>
      </c>
      <c r="F137" s="181" t="str">
        <f>IFERROR(LOOKUP(2,1/((A_Corridor!$A$5:$A$204&lt;&gt;"")*(A_Corridor!$A$5:$A$204&lt;=$B137)*(A_Corridor!$B$5:$B$204&gt;$B137)*(A_Corridor!$E$5:$E$204&lt;&gt;"")),IF(A_Corridor!$E$5:$E$204="-","",1)),"")</f>
        <v/>
      </c>
      <c r="G137" s="182" t="str">
        <f>IFERROR(LOOKUP(2,1/((A_Corridor!$A$5:$A$204&lt;&gt;"")*(A_Corridor!$A$5:$A$204&lt;=$B137)*(A_Corridor!$B$5:$B$204&gt;$B137)*(A_Corridor!$E$5:$E$204&lt;&gt;"")),IF(A_Corridor!$E$5:$E$204="-","",A_Corridor!$E$5:$E$204)),"")</f>
        <v/>
      </c>
      <c r="H137" s="182" t="str">
        <f>IFERROR(LOOKUP(2,1/((D_Points!$A$5:$A$204&lt;&gt;"")*(D_Points!$A$5:$A$204&gt;=$B137)*(D_Points!$A$5:$A$204&lt;$B137+P_Interval)*(UPPER(TRIM(D_Points!$B$5:$B$204))="GULLY")*(D_Points!$H$5:$H$204&lt;&gt;"")),D_Points!$H$5:$H$204),"")</f>
        <v/>
      </c>
      <c r="I137" s="181" t="str">
        <f>IFERROR(LOOKUP(2,1/((A_Corridor!$A$5:$A$204&lt;&gt;"")*(A_Corridor!$A$5:$A$204&lt;=$B137)*(A_Corridor!$B$5:$B$204&gt;$B137)*(A_Corridor!$F$5:$F$204&lt;&gt;"")),IF(A_Corridor!$F$5:$F$204="-","",1)),"")</f>
        <v/>
      </c>
      <c r="J137" s="182" t="str">
        <f>IFERROR(LOOKUP(2,1/((A_Corridor!$A$5:$A$204&lt;&gt;"")*(A_Corridor!$A$5:$A$204&lt;=$B137)*(A_Corridor!$B$5:$B$204&gt;$B137)*(A_Corridor!$F$5:$F$204&lt;&gt;"")),IF(A_Corridor!$F$5:$F$204="-","",A_Corridor!$F$5:$F$204)),"")</f>
        <v/>
      </c>
      <c r="K137" s="182" t="str">
        <f>IFERROR(LOOKUP(2,1/((A_Corridor!$A$5:$A$204&lt;&gt;"")*(A_Corridor!$A$5:$A$204&lt;=$B137)*(A_Corridor!$B$5:$B$204&gt;$B137)*(A_Corridor!$G$5:$G$204&lt;&gt;"")),IF(A_Corridor!$G$5:$G$204="-","",A_Corridor!$G$5:$G$204)),"")</f>
        <v/>
      </c>
      <c r="L137" s="181" t="str">
        <f>IFERROR(LOOKUP(2,1/((A_Corridor!$A$5:$A$204&lt;&gt;"")*(A_Corridor!$A$5:$A$204&lt;=$B137)*(A_Corridor!$B$5:$B$204&gt;$B137)*(A_Corridor!$H$5:$H$204&lt;&gt;"")),IF(A_Corridor!$H$5:$H$204="-","",1)),"")</f>
        <v/>
      </c>
      <c r="M137" s="182" t="str">
        <f>IFERROR(LOOKUP(2,1/((A_Corridor!$A$5:$A$204&lt;&gt;"")*(A_Corridor!$A$5:$A$204&lt;=$B137)*(A_Corridor!$B$5:$B$204&gt;$B137)*(A_Corridor!$H$5:$H$204&lt;&gt;"")),IF(A_Corridor!$H$5:$H$204="-","",A_Corridor!$H$5:$H$204)),"")</f>
        <v/>
      </c>
      <c r="N137" s="182" t="str">
        <f>IFERROR(LOOKUP(2,1/((A_Corridor!$A$5:$A$204&lt;&gt;"")*(A_Corridor!$A$5:$A$204&lt;=$B137)*(A_Corridor!$B$5:$B$204&gt;$B137)*(A_Corridor!$I$5:$I$204&lt;&gt;"")),IF(A_Corridor!$I$5:$I$204="-","",A_Corridor!$I$5:$I$204)),"")</f>
        <v/>
      </c>
      <c r="O137" s="182" t="str">
        <f>IFERROR(LOOKUP(2,1/((D_Points!$A$5:$A$204&lt;&gt;"")*(D_Points!$A$5:$A$204&gt;=$B137)*(D_Points!$A$5:$A$204&lt;$B137+P_Interval)*(UPPER(TRIM(D_Points!$B$5:$B$204))="PITCHING")*(D_Points!$H$5:$H$204&lt;&gt;"")),D_Points!$H$5:$H$204),"")</f>
        <v/>
      </c>
      <c r="P137" s="181" t="str">
        <f>IFERROR(LOOKUP(2,1/((B_Drainage!$A$5:$A$204&lt;&gt;"")*(B_Drainage!$A$5:$A$204&lt;=$B137)*(B_Drainage!$B$5:$B$204&gt;$B137)*(B_Drainage!$C$5:$C$204&lt;&gt;"")),IF(B_Drainage!$C$5:$C$204="-","",UPPER(B_Drainage!$C$5:$C$204))),"")</f>
        <v/>
      </c>
      <c r="Q137" s="181" t="str">
        <f>IFERROR(LOOKUP(2,1/((B_Drainage!$A$5:$A$204&lt;&gt;"")*(B_Drainage!$A$5:$A$204&lt;=$B137)*(B_Drainage!$B$5:$B$204&gt;$B137)*(B_Drainage!$D$5:$D$204&lt;&gt;"")),IF(B_Drainage!$D$5:$D$204="-","",UPPER(B_Drainage!$D$5:$D$204))),"")</f>
        <v/>
      </c>
      <c r="R137" s="182" t="str">
        <f>IFERROR(LOOKUP(2,1/((D_Points!$A$5:$A$204&lt;&gt;"")*(D_Points!$A$5:$A$204&gt;=$B137)*(D_Points!$A$5:$A$204&lt;$B137+P_Interval)*(RIGHT(UPPER(TRIM(D_Points!$B$5:$B$204)),8)="_CULVERT")),IF(LEFT(UPPER(TRIM(D_Points!$B$5:$B$204)),2)="EX",1,IF(LEFT(UPPER(TRIM(D_Points!$B$5:$B$204)),2)="PR",2,3))),"")</f>
        <v/>
      </c>
      <c r="S137" s="182" t="str">
        <f>IFERROR(LOOKUP(2,1/((D_Points!$A$5:$A$204&lt;&gt;"")*(D_Points!$A$5:$A$204&gt;=$B137)*(D_Points!$A$5:$A$204&lt;$B137+P_Interval)*(RIGHT(UPPER(TRIM(D_Points!$B$5:$B$204)),7)="_BRIDGE")),IF(LEFT(UPPER(TRIM(D_Points!$B$5:$B$204)),2)="EX",1,IF(LEFT(UPPER(TRIM(D_Points!$B$5:$B$204)),2)="PR",2,2))),"")</f>
        <v/>
      </c>
      <c r="T137" s="181" t="str">
        <f>IFERROR(LOOKUP(2,1/((B_Drainage!$A$5:$A$204&lt;&gt;"")*(B_Drainage!$A$5:$A$204&lt;=$B137)*(B_Drainage!$B$5:$B$204&gt;$B137)*(B_Drainage!$E$5:$E$204&lt;&gt;"")),IF(B_Drainage!$E$5:$E$204="-","",1)),"")</f>
        <v/>
      </c>
      <c r="U137" s="181" t="str">
        <f>IFERROR(LOOKUP(2,1/((B_Drainage!$A$5:$A$204&lt;&gt;"")*(B_Drainage!$A$5:$A$204&lt;=$B137)*(B_Drainage!$B$5:$B$204&gt;$B137)*(B_Drainage!$E$5:$E$204&lt;&gt;"")),IF(B_Drainage!$E$5:$E$204="-","",B_Drainage!$E$5:$E$204)),"")</f>
        <v/>
      </c>
      <c r="V137" s="181" t="str">
        <f>IFERROR(LOOKUP(2,1/((B_Drainage!$A$5:$A$204&lt;&gt;"")*(B_Drainage!$A$5:$A$204&lt;=$B137)*(B_Drainage!$B$5:$B$204&gt;$B137)*(B_Drainage!$F$5:$F$204&lt;&gt;"")),IF(B_Drainage!$F$5:$F$204="-","",1)),"")</f>
        <v/>
      </c>
      <c r="W137" s="181" t="str">
        <f>IFERROR(LOOKUP(2,1/((B_Drainage!$A$5:$A$204&lt;&gt;"")*(B_Drainage!$A$5:$A$204&lt;=$B137)*(B_Drainage!$B$5:$B$204&gt;$B137)*(B_Drainage!$F$5:$F$204&lt;&gt;"")),IF(B_Drainage!$F$5:$F$204="-","",B_Drainage!$F$5:$F$204)),"")</f>
        <v/>
      </c>
      <c r="X137" s="181" t="str">
        <f>IFERROR(LOOKUP(2,1/((B_Drainage!$A$5:$A$204&lt;&gt;"")*(B_Drainage!$A$5:$A$204&lt;=$B137)*(B_Drainage!$B$5:$B$204&gt;$B137)*(B_Drainage!$G$5:$G$204&lt;&gt;"")),IF(UPPER(B_Drainage!$G$5:$G$204)="Y",1,"")),"")</f>
        <v/>
      </c>
      <c r="Y137" s="181" t="str">
        <f>IFERROR(LOOKUP(2,1/((B_Drainage!$A$5:$A$204&lt;&gt;"")*(B_Drainage!$A$5:$A$204&lt;=$B137)*(B_Drainage!$B$5:$B$204&gt;$B137)*(B_Drainage!$H$5:$H$204&lt;&gt;"")),IF(UPPER(B_Drainage!$H$5:$H$204)="Y",1,"")),"")</f>
        <v/>
      </c>
      <c r="Z137" s="181" t="str">
        <f>IFERROR(LOOKUP(2,1/((B_Drainage!$A$5:$A$204&lt;&gt;"")*(B_Drainage!$A$5:$A$204&lt;=$B137)*(B_Drainage!$B$5:$B$204&gt;$B137)*(B_Drainage!$I$5:$I$204&lt;&gt;"")),IF(UPPER(B_Drainage!$I$5:$I$204)="Y",1,"")),"")</f>
        <v/>
      </c>
      <c r="AA137" s="181" t="str">
        <f>IFERROR(LOOKUP(2,1/((B_Drainage!$A$5:$A$204&lt;&gt;"")*(B_Drainage!$A$5:$A$204&lt;=$B137)*(B_Drainage!$B$5:$B$204&gt;$B137)*(B_Drainage!$J$5:$J$204&lt;&gt;"")),IF(UPPER(B_Drainage!$J$5:$J$204)="Y",1,"")),"")</f>
        <v/>
      </c>
      <c r="AB137" s="182" t="str">
        <f>IFERROR(LOOKUP(2,1/((B_Drainage!$A$5:$A$204&lt;&gt;"")*(B_Drainage!$A$5:$A$204&lt;=$B137)*(B_Drainage!$B$5:$B$204&gt;$B137)*(B_Drainage!$K$5:$K$204&lt;&gt;"")),IF(B_Drainage!$K$5:$K$204="-","",B_Drainage!$K$5:$K$204)),"")</f>
        <v/>
      </c>
      <c r="AC137" s="182" t="str">
        <f>IFERROR(LOOKUP(2,1/((B_Drainage!$A$5:$A$204&lt;&gt;"")*(B_Drainage!$A$5:$A$204&lt;=$B137)*(B_Drainage!$B$5:$B$204&gt;$B137)*(B_Drainage!$L$5:$L$204&lt;&gt;"")),IF(B_Drainage!$L$5:$L$204="-","",B_Drainage!$L$5:$L$204)),"")</f>
        <v/>
      </c>
      <c r="AD137" s="182" t="str">
        <f>IFERROR(LOOKUP(2,1/((D_Points!$A$5:$A$204&lt;&gt;"")*(D_Points!$A$5:$A$204&gt;=$B137)*(D_Points!$A$5:$A$204&lt;$B137+P_Interval)*(UPPER(TRIM(D_Points!$B$5:$B$204))="TURNOUT_L")*(D_Points!$H$5:$H$204&lt;&gt;"")),D_Points!$H$5:$H$204),"")</f>
        <v/>
      </c>
      <c r="AE137" s="182" t="str">
        <f>IFERROR(LOOKUP(2,1/((D_Points!$A$5:$A$204&lt;&gt;"")*(D_Points!$A$5:$A$204&gt;=$B137)*(D_Points!$A$5:$A$204&lt;$B137+P_Interval)*(UPPER(TRIM(D_Points!$B$5:$B$204))="TURNOUT_R")*(D_Points!$H$5:$H$204&lt;&gt;"")),D_Points!$H$5:$H$204),"")</f>
        <v/>
      </c>
      <c r="AF137" s="181" t="str">
        <f>IFERROR(LOOKUP(2,1/((B_Drainage!$A$5:$A$204&lt;&gt;"")*(B_Drainage!$A$5:$A$204&lt;=$B137)*(B_Drainage!$B$5:$B$204&gt;$B137)*(B_Drainage!$M$5:$M$204&lt;&gt;"")),IF(UPPER(B_Drainage!$M$5:$M$204)="Y",1,"")),"")</f>
        <v/>
      </c>
      <c r="AG137" s="181" t="str">
        <f>IFERROR(LOOKUP(2,1/((B_Drainage!$A$5:$A$204&lt;&gt;"")*(B_Drainage!$A$5:$A$204&lt;=$B137)*(B_Drainage!$B$5:$B$204&gt;$B137)*(B_Drainage!$N$5:$N$204&lt;&gt;"")),IF(UPPER(B_Drainage!$N$5:$N$204)="Y",1,"")),"")</f>
        <v/>
      </c>
      <c r="AH137" s="181" t="str">
        <f t="shared" si="16"/>
        <v/>
      </c>
      <c r="AI137" s="181" t="str">
        <f t="shared" si="17"/>
        <v/>
      </c>
      <c r="AJ137" s="181" t="str">
        <f t="shared" si="18"/>
        <v/>
      </c>
      <c r="AK137" s="181" t="str">
        <f t="shared" si="19"/>
        <v/>
      </c>
      <c r="AL137" s="181" t="str">
        <f t="shared" si="20"/>
        <v/>
      </c>
      <c r="AM137" s="181" t="str">
        <f t="shared" si="21"/>
        <v/>
      </c>
      <c r="AN137" s="181" t="str">
        <f t="shared" si="22"/>
        <v/>
      </c>
      <c r="AO137" s="192" t="str">
        <f t="shared" si="23"/>
        <v/>
      </c>
      <c r="AQ137" t="str">
        <f>IFERROR(LOOKUP(2,1/((C_Pavement!$A$5:$A$204&lt;&gt;"")*(C_Pavement!$A$5:$A$204&lt;=$B137)*(C_Pavement!$B$5:$B$204&gt;$B137)*(C_Pavement!$C$5:$C$204&lt;&gt;"")),ROW(C_Pavement!$C$5:$C$204)-4),"")</f>
        <v/>
      </c>
      <c r="AR137" t="str">
        <f>IF($AQ137="","",UPPER(TRIM(INDEX(C_Pavement!$C$5:$C$204,$AQ137))))</f>
        <v/>
      </c>
      <c r="AS137" t="str">
        <f>IF($AR137="","",IFERROR(MATCH($AR137,E_Rules!$A$5:$A$9,0),""))</f>
        <v/>
      </c>
      <c r="AT137" t="str">
        <f>IF($AQ137="","",IF(INDEX(C_Pavement!$D$5:$D$204,$AQ137)&lt;&gt;"",UPPER(TRIM(INDEX(C_Pavement!$D$5:$D$204,$AQ137))),IF($AS137="","",INDEX(E_Rules!$C$5:$C$9,$AS137))))</f>
        <v/>
      </c>
      <c r="AU137" t="str">
        <f>IF($AQ137="","",IF(INDEX(C_Pavement!$E$5:$E$204,$AQ137)&lt;&gt;"",IF(INDEX(C_Pavement!$E$5:$E$204,$AQ137)="-","",INDEX(C_Pavement!$E$5:$E$204,$AQ137)),IF($AS137="","",INDEX(E_Rules!$D$5:$D$9,$AS137))))</f>
        <v/>
      </c>
      <c r="AV137" t="str">
        <f>IF($AQ137="","",IF(INDEX(C_Pavement!$F$5:$F$204,$AQ137)&lt;&gt;"",IF(INDEX(C_Pavement!$F$5:$F$204,$AQ137)="-","",INDEX(C_Pavement!$F$5:$F$204,$AQ137)),IF($AS137="","",INDEX(E_Rules!$E$5:$E$9,$AS137))))</f>
        <v/>
      </c>
      <c r="AW137" t="str">
        <f>IF($AQ137="","",IF(INDEX(C_Pavement!$G$5:$G$204,$AQ137)&lt;&gt;"",IF(INDEX(C_Pavement!$G$5:$G$204,$AQ137)="-","",INDEX(C_Pavement!$G$5:$G$204,$AQ137)),IF($AS137="","",INDEX(E_Rules!$F$5:$F$9,$AS137))))</f>
        <v/>
      </c>
      <c r="AX137" t="str">
        <f>IF($AQ137="","",IF(INDEX(C_Pavement!$H$5:$H$204,$AQ137)&lt;&gt;"",IF(INDEX(C_Pavement!$H$5:$H$204,$AQ137)="-","",INDEX(C_Pavement!$H$5:$H$204,$AQ137)),IF($AS137="","",INDEX(E_Rules!$G$5:$G$9,$AS137))))</f>
        <v/>
      </c>
      <c r="AY137" t="str">
        <f>IF($AQ137="","",IF(INDEX(C_Pavement!$I$5:$I$204,$AQ137)&lt;&gt;"",IF(INDEX(C_Pavement!$I$5:$I$204,$AQ137)="-","",INDEX(C_Pavement!$I$5:$I$204,$AQ137)),IF($AS137="","",INDEX(E_Rules!$H$5:$H$9,$AS137))))</f>
        <v/>
      </c>
    </row>
    <row r="138" spans="1:51" ht="15.75" customHeight="1" x14ac:dyDescent="0.3">
      <c r="A138" s="189">
        <v>133</v>
      </c>
      <c r="B138" s="180">
        <v>6600</v>
      </c>
      <c r="C138" s="180" t="s">
        <v>444</v>
      </c>
      <c r="D138" s="181" t="str">
        <f>IFERROR(LOOKUP(2,1/((A_Corridor!$A$5:$A$204&lt;&gt;"")*(A_Corridor!$A$5:$A$204&lt;=$B138)*(A_Corridor!$B$5:$B$204&gt;$B138)*(A_Corridor!$C$5:$C$204&lt;&gt;"")),IF(UPPER(A_Corridor!$C$5:$C$204)="Y",1,"")),"")</f>
        <v/>
      </c>
      <c r="E138" s="181" t="str">
        <f>IFERROR(LOOKUP(2,1/((A_Corridor!$A$5:$A$204&lt;&gt;"")*(A_Corridor!$A$5:$A$204&lt;=$B138)*(A_Corridor!$B$5:$B$204&gt;$B138)*(A_Corridor!$D$5:$D$204&lt;&gt;"")),IF(A_Corridor!$D$5:$D$204="-","",UPPER(A_Corridor!$D$5:$D$204))),"")</f>
        <v/>
      </c>
      <c r="F138" s="181" t="str">
        <f>IFERROR(LOOKUP(2,1/((A_Corridor!$A$5:$A$204&lt;&gt;"")*(A_Corridor!$A$5:$A$204&lt;=$B138)*(A_Corridor!$B$5:$B$204&gt;$B138)*(A_Corridor!$E$5:$E$204&lt;&gt;"")),IF(A_Corridor!$E$5:$E$204="-","",1)),"")</f>
        <v/>
      </c>
      <c r="G138" s="182" t="str">
        <f>IFERROR(LOOKUP(2,1/((A_Corridor!$A$5:$A$204&lt;&gt;"")*(A_Corridor!$A$5:$A$204&lt;=$B138)*(A_Corridor!$B$5:$B$204&gt;$B138)*(A_Corridor!$E$5:$E$204&lt;&gt;"")),IF(A_Corridor!$E$5:$E$204="-","",A_Corridor!$E$5:$E$204)),"")</f>
        <v/>
      </c>
      <c r="H138" s="182" t="str">
        <f>IFERROR(LOOKUP(2,1/((D_Points!$A$5:$A$204&lt;&gt;"")*(D_Points!$A$5:$A$204&gt;=$B138)*(D_Points!$A$5:$A$204&lt;$B138+P_Interval)*(UPPER(TRIM(D_Points!$B$5:$B$204))="GULLY")*(D_Points!$H$5:$H$204&lt;&gt;"")),D_Points!$H$5:$H$204),"")</f>
        <v/>
      </c>
      <c r="I138" s="181" t="str">
        <f>IFERROR(LOOKUP(2,1/((A_Corridor!$A$5:$A$204&lt;&gt;"")*(A_Corridor!$A$5:$A$204&lt;=$B138)*(A_Corridor!$B$5:$B$204&gt;$B138)*(A_Corridor!$F$5:$F$204&lt;&gt;"")),IF(A_Corridor!$F$5:$F$204="-","",1)),"")</f>
        <v/>
      </c>
      <c r="J138" s="182" t="str">
        <f>IFERROR(LOOKUP(2,1/((A_Corridor!$A$5:$A$204&lt;&gt;"")*(A_Corridor!$A$5:$A$204&lt;=$B138)*(A_Corridor!$B$5:$B$204&gt;$B138)*(A_Corridor!$F$5:$F$204&lt;&gt;"")),IF(A_Corridor!$F$5:$F$204="-","",A_Corridor!$F$5:$F$204)),"")</f>
        <v/>
      </c>
      <c r="K138" s="182" t="str">
        <f>IFERROR(LOOKUP(2,1/((A_Corridor!$A$5:$A$204&lt;&gt;"")*(A_Corridor!$A$5:$A$204&lt;=$B138)*(A_Corridor!$B$5:$B$204&gt;$B138)*(A_Corridor!$G$5:$G$204&lt;&gt;"")),IF(A_Corridor!$G$5:$G$204="-","",A_Corridor!$G$5:$G$204)),"")</f>
        <v/>
      </c>
      <c r="L138" s="181" t="str">
        <f>IFERROR(LOOKUP(2,1/((A_Corridor!$A$5:$A$204&lt;&gt;"")*(A_Corridor!$A$5:$A$204&lt;=$B138)*(A_Corridor!$B$5:$B$204&gt;$B138)*(A_Corridor!$H$5:$H$204&lt;&gt;"")),IF(A_Corridor!$H$5:$H$204="-","",1)),"")</f>
        <v/>
      </c>
      <c r="M138" s="182" t="str">
        <f>IFERROR(LOOKUP(2,1/((A_Corridor!$A$5:$A$204&lt;&gt;"")*(A_Corridor!$A$5:$A$204&lt;=$B138)*(A_Corridor!$B$5:$B$204&gt;$B138)*(A_Corridor!$H$5:$H$204&lt;&gt;"")),IF(A_Corridor!$H$5:$H$204="-","",A_Corridor!$H$5:$H$204)),"")</f>
        <v/>
      </c>
      <c r="N138" s="182" t="str">
        <f>IFERROR(LOOKUP(2,1/((A_Corridor!$A$5:$A$204&lt;&gt;"")*(A_Corridor!$A$5:$A$204&lt;=$B138)*(A_Corridor!$B$5:$B$204&gt;$B138)*(A_Corridor!$I$5:$I$204&lt;&gt;"")),IF(A_Corridor!$I$5:$I$204="-","",A_Corridor!$I$5:$I$204)),"")</f>
        <v/>
      </c>
      <c r="O138" s="182" t="str">
        <f>IFERROR(LOOKUP(2,1/((D_Points!$A$5:$A$204&lt;&gt;"")*(D_Points!$A$5:$A$204&gt;=$B138)*(D_Points!$A$5:$A$204&lt;$B138+P_Interval)*(UPPER(TRIM(D_Points!$B$5:$B$204))="PITCHING")*(D_Points!$H$5:$H$204&lt;&gt;"")),D_Points!$H$5:$H$204),"")</f>
        <v/>
      </c>
      <c r="P138" s="181" t="str">
        <f>IFERROR(LOOKUP(2,1/((B_Drainage!$A$5:$A$204&lt;&gt;"")*(B_Drainage!$A$5:$A$204&lt;=$B138)*(B_Drainage!$B$5:$B$204&gt;$B138)*(B_Drainage!$C$5:$C$204&lt;&gt;"")),IF(B_Drainage!$C$5:$C$204="-","",UPPER(B_Drainage!$C$5:$C$204))),"")</f>
        <v/>
      </c>
      <c r="Q138" s="181" t="str">
        <f>IFERROR(LOOKUP(2,1/((B_Drainage!$A$5:$A$204&lt;&gt;"")*(B_Drainage!$A$5:$A$204&lt;=$B138)*(B_Drainage!$B$5:$B$204&gt;$B138)*(B_Drainage!$D$5:$D$204&lt;&gt;"")),IF(B_Drainage!$D$5:$D$204="-","",UPPER(B_Drainage!$D$5:$D$204))),"")</f>
        <v/>
      </c>
      <c r="R138" s="182" t="str">
        <f>IFERROR(LOOKUP(2,1/((D_Points!$A$5:$A$204&lt;&gt;"")*(D_Points!$A$5:$A$204&gt;=$B138)*(D_Points!$A$5:$A$204&lt;$B138+P_Interval)*(RIGHT(UPPER(TRIM(D_Points!$B$5:$B$204)),8)="_CULVERT")),IF(LEFT(UPPER(TRIM(D_Points!$B$5:$B$204)),2)="EX",1,IF(LEFT(UPPER(TRIM(D_Points!$B$5:$B$204)),2)="PR",2,3))),"")</f>
        <v/>
      </c>
      <c r="S138" s="182" t="str">
        <f>IFERROR(LOOKUP(2,1/((D_Points!$A$5:$A$204&lt;&gt;"")*(D_Points!$A$5:$A$204&gt;=$B138)*(D_Points!$A$5:$A$204&lt;$B138+P_Interval)*(RIGHT(UPPER(TRIM(D_Points!$B$5:$B$204)),7)="_BRIDGE")),IF(LEFT(UPPER(TRIM(D_Points!$B$5:$B$204)),2)="EX",1,IF(LEFT(UPPER(TRIM(D_Points!$B$5:$B$204)),2)="PR",2,2))),"")</f>
        <v/>
      </c>
      <c r="T138" s="181" t="str">
        <f>IFERROR(LOOKUP(2,1/((B_Drainage!$A$5:$A$204&lt;&gt;"")*(B_Drainage!$A$5:$A$204&lt;=$B138)*(B_Drainage!$B$5:$B$204&gt;$B138)*(B_Drainage!$E$5:$E$204&lt;&gt;"")),IF(B_Drainage!$E$5:$E$204="-","",1)),"")</f>
        <v/>
      </c>
      <c r="U138" s="181" t="str">
        <f>IFERROR(LOOKUP(2,1/((B_Drainage!$A$5:$A$204&lt;&gt;"")*(B_Drainage!$A$5:$A$204&lt;=$B138)*(B_Drainage!$B$5:$B$204&gt;$B138)*(B_Drainage!$E$5:$E$204&lt;&gt;"")),IF(B_Drainage!$E$5:$E$204="-","",B_Drainage!$E$5:$E$204)),"")</f>
        <v/>
      </c>
      <c r="V138" s="181" t="str">
        <f>IFERROR(LOOKUP(2,1/((B_Drainage!$A$5:$A$204&lt;&gt;"")*(B_Drainage!$A$5:$A$204&lt;=$B138)*(B_Drainage!$B$5:$B$204&gt;$B138)*(B_Drainage!$F$5:$F$204&lt;&gt;"")),IF(B_Drainage!$F$5:$F$204="-","",1)),"")</f>
        <v/>
      </c>
      <c r="W138" s="181" t="str">
        <f>IFERROR(LOOKUP(2,1/((B_Drainage!$A$5:$A$204&lt;&gt;"")*(B_Drainage!$A$5:$A$204&lt;=$B138)*(B_Drainage!$B$5:$B$204&gt;$B138)*(B_Drainage!$F$5:$F$204&lt;&gt;"")),IF(B_Drainage!$F$5:$F$204="-","",B_Drainage!$F$5:$F$204)),"")</f>
        <v/>
      </c>
      <c r="X138" s="181" t="str">
        <f>IFERROR(LOOKUP(2,1/((B_Drainage!$A$5:$A$204&lt;&gt;"")*(B_Drainage!$A$5:$A$204&lt;=$B138)*(B_Drainage!$B$5:$B$204&gt;$B138)*(B_Drainage!$G$5:$G$204&lt;&gt;"")),IF(UPPER(B_Drainage!$G$5:$G$204)="Y",1,"")),"")</f>
        <v/>
      </c>
      <c r="Y138" s="181" t="str">
        <f>IFERROR(LOOKUP(2,1/((B_Drainage!$A$5:$A$204&lt;&gt;"")*(B_Drainage!$A$5:$A$204&lt;=$B138)*(B_Drainage!$B$5:$B$204&gt;$B138)*(B_Drainage!$H$5:$H$204&lt;&gt;"")),IF(UPPER(B_Drainage!$H$5:$H$204)="Y",1,"")),"")</f>
        <v/>
      </c>
      <c r="Z138" s="181" t="str">
        <f>IFERROR(LOOKUP(2,1/((B_Drainage!$A$5:$A$204&lt;&gt;"")*(B_Drainage!$A$5:$A$204&lt;=$B138)*(B_Drainage!$B$5:$B$204&gt;$B138)*(B_Drainage!$I$5:$I$204&lt;&gt;"")),IF(UPPER(B_Drainage!$I$5:$I$204)="Y",1,"")),"")</f>
        <v/>
      </c>
      <c r="AA138" s="181" t="str">
        <f>IFERROR(LOOKUP(2,1/((B_Drainage!$A$5:$A$204&lt;&gt;"")*(B_Drainage!$A$5:$A$204&lt;=$B138)*(B_Drainage!$B$5:$B$204&gt;$B138)*(B_Drainage!$J$5:$J$204&lt;&gt;"")),IF(UPPER(B_Drainage!$J$5:$J$204)="Y",1,"")),"")</f>
        <v/>
      </c>
      <c r="AB138" s="182" t="str">
        <f>IFERROR(LOOKUP(2,1/((B_Drainage!$A$5:$A$204&lt;&gt;"")*(B_Drainage!$A$5:$A$204&lt;=$B138)*(B_Drainage!$B$5:$B$204&gt;$B138)*(B_Drainage!$K$5:$K$204&lt;&gt;"")),IF(B_Drainage!$K$5:$K$204="-","",B_Drainage!$K$5:$K$204)),"")</f>
        <v/>
      </c>
      <c r="AC138" s="182" t="str">
        <f>IFERROR(LOOKUP(2,1/((B_Drainage!$A$5:$A$204&lt;&gt;"")*(B_Drainage!$A$5:$A$204&lt;=$B138)*(B_Drainage!$B$5:$B$204&gt;$B138)*(B_Drainage!$L$5:$L$204&lt;&gt;"")),IF(B_Drainage!$L$5:$L$204="-","",B_Drainage!$L$5:$L$204)),"")</f>
        <v/>
      </c>
      <c r="AD138" s="182" t="str">
        <f>IFERROR(LOOKUP(2,1/((D_Points!$A$5:$A$204&lt;&gt;"")*(D_Points!$A$5:$A$204&gt;=$B138)*(D_Points!$A$5:$A$204&lt;$B138+P_Interval)*(UPPER(TRIM(D_Points!$B$5:$B$204))="TURNOUT_L")*(D_Points!$H$5:$H$204&lt;&gt;"")),D_Points!$H$5:$H$204),"")</f>
        <v/>
      </c>
      <c r="AE138" s="182" t="str">
        <f>IFERROR(LOOKUP(2,1/((D_Points!$A$5:$A$204&lt;&gt;"")*(D_Points!$A$5:$A$204&gt;=$B138)*(D_Points!$A$5:$A$204&lt;$B138+P_Interval)*(UPPER(TRIM(D_Points!$B$5:$B$204))="TURNOUT_R")*(D_Points!$H$5:$H$204&lt;&gt;"")),D_Points!$H$5:$H$204),"")</f>
        <v/>
      </c>
      <c r="AF138" s="181" t="str">
        <f>IFERROR(LOOKUP(2,1/((B_Drainage!$A$5:$A$204&lt;&gt;"")*(B_Drainage!$A$5:$A$204&lt;=$B138)*(B_Drainage!$B$5:$B$204&gt;$B138)*(B_Drainage!$M$5:$M$204&lt;&gt;"")),IF(UPPER(B_Drainage!$M$5:$M$204)="Y",1,"")),"")</f>
        <v/>
      </c>
      <c r="AG138" s="181" t="str">
        <f>IFERROR(LOOKUP(2,1/((B_Drainage!$A$5:$A$204&lt;&gt;"")*(B_Drainage!$A$5:$A$204&lt;=$B138)*(B_Drainage!$B$5:$B$204&gt;$B138)*(B_Drainage!$N$5:$N$204&lt;&gt;"")),IF(UPPER(B_Drainage!$N$5:$N$204)="Y",1,"")),"")</f>
        <v/>
      </c>
      <c r="AH138" s="181" t="str">
        <f t="shared" si="16"/>
        <v/>
      </c>
      <c r="AI138" s="181" t="str">
        <f t="shared" si="17"/>
        <v/>
      </c>
      <c r="AJ138" s="181" t="str">
        <f t="shared" si="18"/>
        <v/>
      </c>
      <c r="AK138" s="181" t="str">
        <f t="shared" si="19"/>
        <v/>
      </c>
      <c r="AL138" s="181" t="str">
        <f t="shared" si="20"/>
        <v/>
      </c>
      <c r="AM138" s="181" t="str">
        <f t="shared" si="21"/>
        <v/>
      </c>
      <c r="AN138" s="181" t="str">
        <f t="shared" si="22"/>
        <v/>
      </c>
      <c r="AO138" s="192" t="str">
        <f t="shared" si="23"/>
        <v/>
      </c>
      <c r="AQ138" t="str">
        <f>IFERROR(LOOKUP(2,1/((C_Pavement!$A$5:$A$204&lt;&gt;"")*(C_Pavement!$A$5:$A$204&lt;=$B138)*(C_Pavement!$B$5:$B$204&gt;$B138)*(C_Pavement!$C$5:$C$204&lt;&gt;"")),ROW(C_Pavement!$C$5:$C$204)-4),"")</f>
        <v/>
      </c>
      <c r="AR138" t="str">
        <f>IF($AQ138="","",UPPER(TRIM(INDEX(C_Pavement!$C$5:$C$204,$AQ138))))</f>
        <v/>
      </c>
      <c r="AS138" t="str">
        <f>IF($AR138="","",IFERROR(MATCH($AR138,E_Rules!$A$5:$A$9,0),""))</f>
        <v/>
      </c>
      <c r="AT138" t="str">
        <f>IF($AQ138="","",IF(INDEX(C_Pavement!$D$5:$D$204,$AQ138)&lt;&gt;"",UPPER(TRIM(INDEX(C_Pavement!$D$5:$D$204,$AQ138))),IF($AS138="","",INDEX(E_Rules!$C$5:$C$9,$AS138))))</f>
        <v/>
      </c>
      <c r="AU138" t="str">
        <f>IF($AQ138="","",IF(INDEX(C_Pavement!$E$5:$E$204,$AQ138)&lt;&gt;"",IF(INDEX(C_Pavement!$E$5:$E$204,$AQ138)="-","",INDEX(C_Pavement!$E$5:$E$204,$AQ138)),IF($AS138="","",INDEX(E_Rules!$D$5:$D$9,$AS138))))</f>
        <v/>
      </c>
      <c r="AV138" t="str">
        <f>IF($AQ138="","",IF(INDEX(C_Pavement!$F$5:$F$204,$AQ138)&lt;&gt;"",IF(INDEX(C_Pavement!$F$5:$F$204,$AQ138)="-","",INDEX(C_Pavement!$F$5:$F$204,$AQ138)),IF($AS138="","",INDEX(E_Rules!$E$5:$E$9,$AS138))))</f>
        <v/>
      </c>
      <c r="AW138" t="str">
        <f>IF($AQ138="","",IF(INDEX(C_Pavement!$G$5:$G$204,$AQ138)&lt;&gt;"",IF(INDEX(C_Pavement!$G$5:$G$204,$AQ138)="-","",INDEX(C_Pavement!$G$5:$G$204,$AQ138)),IF($AS138="","",INDEX(E_Rules!$F$5:$F$9,$AS138))))</f>
        <v/>
      </c>
      <c r="AX138" t="str">
        <f>IF($AQ138="","",IF(INDEX(C_Pavement!$H$5:$H$204,$AQ138)&lt;&gt;"",IF(INDEX(C_Pavement!$H$5:$H$204,$AQ138)="-","",INDEX(C_Pavement!$H$5:$H$204,$AQ138)),IF($AS138="","",INDEX(E_Rules!$G$5:$G$9,$AS138))))</f>
        <v/>
      </c>
      <c r="AY138" t="str">
        <f>IF($AQ138="","",IF(INDEX(C_Pavement!$I$5:$I$204,$AQ138)&lt;&gt;"",IF(INDEX(C_Pavement!$I$5:$I$204,$AQ138)="-","",INDEX(C_Pavement!$I$5:$I$204,$AQ138)),IF($AS138="","",INDEX(E_Rules!$H$5:$H$9,$AS138))))</f>
        <v/>
      </c>
    </row>
    <row r="139" spans="1:51" ht="15.75" customHeight="1" x14ac:dyDescent="0.3">
      <c r="A139" s="189">
        <v>134</v>
      </c>
      <c r="B139" s="180">
        <v>6650</v>
      </c>
      <c r="C139" s="180" t="s">
        <v>445</v>
      </c>
      <c r="D139" s="181" t="str">
        <f>IFERROR(LOOKUP(2,1/((A_Corridor!$A$5:$A$204&lt;&gt;"")*(A_Corridor!$A$5:$A$204&lt;=$B139)*(A_Corridor!$B$5:$B$204&gt;$B139)*(A_Corridor!$C$5:$C$204&lt;&gt;"")),IF(UPPER(A_Corridor!$C$5:$C$204)="Y",1,"")),"")</f>
        <v/>
      </c>
      <c r="E139" s="181" t="str">
        <f>IFERROR(LOOKUP(2,1/((A_Corridor!$A$5:$A$204&lt;&gt;"")*(A_Corridor!$A$5:$A$204&lt;=$B139)*(A_Corridor!$B$5:$B$204&gt;$B139)*(A_Corridor!$D$5:$D$204&lt;&gt;"")),IF(A_Corridor!$D$5:$D$204="-","",UPPER(A_Corridor!$D$5:$D$204))),"")</f>
        <v/>
      </c>
      <c r="F139" s="181" t="str">
        <f>IFERROR(LOOKUP(2,1/((A_Corridor!$A$5:$A$204&lt;&gt;"")*(A_Corridor!$A$5:$A$204&lt;=$B139)*(A_Corridor!$B$5:$B$204&gt;$B139)*(A_Corridor!$E$5:$E$204&lt;&gt;"")),IF(A_Corridor!$E$5:$E$204="-","",1)),"")</f>
        <v/>
      </c>
      <c r="G139" s="182" t="str">
        <f>IFERROR(LOOKUP(2,1/((A_Corridor!$A$5:$A$204&lt;&gt;"")*(A_Corridor!$A$5:$A$204&lt;=$B139)*(A_Corridor!$B$5:$B$204&gt;$B139)*(A_Corridor!$E$5:$E$204&lt;&gt;"")),IF(A_Corridor!$E$5:$E$204="-","",A_Corridor!$E$5:$E$204)),"")</f>
        <v/>
      </c>
      <c r="H139" s="182" t="str">
        <f>IFERROR(LOOKUP(2,1/((D_Points!$A$5:$A$204&lt;&gt;"")*(D_Points!$A$5:$A$204&gt;=$B139)*(D_Points!$A$5:$A$204&lt;$B139+P_Interval)*(UPPER(TRIM(D_Points!$B$5:$B$204))="GULLY")*(D_Points!$H$5:$H$204&lt;&gt;"")),D_Points!$H$5:$H$204),"")</f>
        <v/>
      </c>
      <c r="I139" s="181" t="str">
        <f>IFERROR(LOOKUP(2,1/((A_Corridor!$A$5:$A$204&lt;&gt;"")*(A_Corridor!$A$5:$A$204&lt;=$B139)*(A_Corridor!$B$5:$B$204&gt;$B139)*(A_Corridor!$F$5:$F$204&lt;&gt;"")),IF(A_Corridor!$F$5:$F$204="-","",1)),"")</f>
        <v/>
      </c>
      <c r="J139" s="182" t="str">
        <f>IFERROR(LOOKUP(2,1/((A_Corridor!$A$5:$A$204&lt;&gt;"")*(A_Corridor!$A$5:$A$204&lt;=$B139)*(A_Corridor!$B$5:$B$204&gt;$B139)*(A_Corridor!$F$5:$F$204&lt;&gt;"")),IF(A_Corridor!$F$5:$F$204="-","",A_Corridor!$F$5:$F$204)),"")</f>
        <v/>
      </c>
      <c r="K139" s="182" t="str">
        <f>IFERROR(LOOKUP(2,1/((A_Corridor!$A$5:$A$204&lt;&gt;"")*(A_Corridor!$A$5:$A$204&lt;=$B139)*(A_Corridor!$B$5:$B$204&gt;$B139)*(A_Corridor!$G$5:$G$204&lt;&gt;"")),IF(A_Corridor!$G$5:$G$204="-","",A_Corridor!$G$5:$G$204)),"")</f>
        <v/>
      </c>
      <c r="L139" s="181" t="str">
        <f>IFERROR(LOOKUP(2,1/((A_Corridor!$A$5:$A$204&lt;&gt;"")*(A_Corridor!$A$5:$A$204&lt;=$B139)*(A_Corridor!$B$5:$B$204&gt;$B139)*(A_Corridor!$H$5:$H$204&lt;&gt;"")),IF(A_Corridor!$H$5:$H$204="-","",1)),"")</f>
        <v/>
      </c>
      <c r="M139" s="182" t="str">
        <f>IFERROR(LOOKUP(2,1/((A_Corridor!$A$5:$A$204&lt;&gt;"")*(A_Corridor!$A$5:$A$204&lt;=$B139)*(A_Corridor!$B$5:$B$204&gt;$B139)*(A_Corridor!$H$5:$H$204&lt;&gt;"")),IF(A_Corridor!$H$5:$H$204="-","",A_Corridor!$H$5:$H$204)),"")</f>
        <v/>
      </c>
      <c r="N139" s="182" t="str">
        <f>IFERROR(LOOKUP(2,1/((A_Corridor!$A$5:$A$204&lt;&gt;"")*(A_Corridor!$A$5:$A$204&lt;=$B139)*(A_Corridor!$B$5:$B$204&gt;$B139)*(A_Corridor!$I$5:$I$204&lt;&gt;"")),IF(A_Corridor!$I$5:$I$204="-","",A_Corridor!$I$5:$I$204)),"")</f>
        <v/>
      </c>
      <c r="O139" s="182" t="str">
        <f>IFERROR(LOOKUP(2,1/((D_Points!$A$5:$A$204&lt;&gt;"")*(D_Points!$A$5:$A$204&gt;=$B139)*(D_Points!$A$5:$A$204&lt;$B139+P_Interval)*(UPPER(TRIM(D_Points!$B$5:$B$204))="PITCHING")*(D_Points!$H$5:$H$204&lt;&gt;"")),D_Points!$H$5:$H$204),"")</f>
        <v/>
      </c>
      <c r="P139" s="181" t="str">
        <f>IFERROR(LOOKUP(2,1/((B_Drainage!$A$5:$A$204&lt;&gt;"")*(B_Drainage!$A$5:$A$204&lt;=$B139)*(B_Drainage!$B$5:$B$204&gt;$B139)*(B_Drainage!$C$5:$C$204&lt;&gt;"")),IF(B_Drainage!$C$5:$C$204="-","",UPPER(B_Drainage!$C$5:$C$204))),"")</f>
        <v/>
      </c>
      <c r="Q139" s="181" t="str">
        <f>IFERROR(LOOKUP(2,1/((B_Drainage!$A$5:$A$204&lt;&gt;"")*(B_Drainage!$A$5:$A$204&lt;=$B139)*(B_Drainage!$B$5:$B$204&gt;$B139)*(B_Drainage!$D$5:$D$204&lt;&gt;"")),IF(B_Drainage!$D$5:$D$204="-","",UPPER(B_Drainage!$D$5:$D$204))),"")</f>
        <v/>
      </c>
      <c r="R139" s="182" t="str">
        <f>IFERROR(LOOKUP(2,1/((D_Points!$A$5:$A$204&lt;&gt;"")*(D_Points!$A$5:$A$204&gt;=$B139)*(D_Points!$A$5:$A$204&lt;$B139+P_Interval)*(RIGHT(UPPER(TRIM(D_Points!$B$5:$B$204)),8)="_CULVERT")),IF(LEFT(UPPER(TRIM(D_Points!$B$5:$B$204)),2)="EX",1,IF(LEFT(UPPER(TRIM(D_Points!$B$5:$B$204)),2)="PR",2,3))),"")</f>
        <v/>
      </c>
      <c r="S139" s="182" t="str">
        <f>IFERROR(LOOKUP(2,1/((D_Points!$A$5:$A$204&lt;&gt;"")*(D_Points!$A$5:$A$204&gt;=$B139)*(D_Points!$A$5:$A$204&lt;$B139+P_Interval)*(RIGHT(UPPER(TRIM(D_Points!$B$5:$B$204)),7)="_BRIDGE")),IF(LEFT(UPPER(TRIM(D_Points!$B$5:$B$204)),2)="EX",1,IF(LEFT(UPPER(TRIM(D_Points!$B$5:$B$204)),2)="PR",2,2))),"")</f>
        <v/>
      </c>
      <c r="T139" s="181" t="str">
        <f>IFERROR(LOOKUP(2,1/((B_Drainage!$A$5:$A$204&lt;&gt;"")*(B_Drainage!$A$5:$A$204&lt;=$B139)*(B_Drainage!$B$5:$B$204&gt;$B139)*(B_Drainage!$E$5:$E$204&lt;&gt;"")),IF(B_Drainage!$E$5:$E$204="-","",1)),"")</f>
        <v/>
      </c>
      <c r="U139" s="181" t="str">
        <f>IFERROR(LOOKUP(2,1/((B_Drainage!$A$5:$A$204&lt;&gt;"")*(B_Drainage!$A$5:$A$204&lt;=$B139)*(B_Drainage!$B$5:$B$204&gt;$B139)*(B_Drainage!$E$5:$E$204&lt;&gt;"")),IF(B_Drainage!$E$5:$E$204="-","",B_Drainage!$E$5:$E$204)),"")</f>
        <v/>
      </c>
      <c r="V139" s="181" t="str">
        <f>IFERROR(LOOKUP(2,1/((B_Drainage!$A$5:$A$204&lt;&gt;"")*(B_Drainage!$A$5:$A$204&lt;=$B139)*(B_Drainage!$B$5:$B$204&gt;$B139)*(B_Drainage!$F$5:$F$204&lt;&gt;"")),IF(B_Drainage!$F$5:$F$204="-","",1)),"")</f>
        <v/>
      </c>
      <c r="W139" s="181" t="str">
        <f>IFERROR(LOOKUP(2,1/((B_Drainage!$A$5:$A$204&lt;&gt;"")*(B_Drainage!$A$5:$A$204&lt;=$B139)*(B_Drainage!$B$5:$B$204&gt;$B139)*(B_Drainage!$F$5:$F$204&lt;&gt;"")),IF(B_Drainage!$F$5:$F$204="-","",B_Drainage!$F$5:$F$204)),"")</f>
        <v/>
      </c>
      <c r="X139" s="181" t="str">
        <f>IFERROR(LOOKUP(2,1/((B_Drainage!$A$5:$A$204&lt;&gt;"")*(B_Drainage!$A$5:$A$204&lt;=$B139)*(B_Drainage!$B$5:$B$204&gt;$B139)*(B_Drainage!$G$5:$G$204&lt;&gt;"")),IF(UPPER(B_Drainage!$G$5:$G$204)="Y",1,"")),"")</f>
        <v/>
      </c>
      <c r="Y139" s="181" t="str">
        <f>IFERROR(LOOKUP(2,1/((B_Drainage!$A$5:$A$204&lt;&gt;"")*(B_Drainage!$A$5:$A$204&lt;=$B139)*(B_Drainage!$B$5:$B$204&gt;$B139)*(B_Drainage!$H$5:$H$204&lt;&gt;"")),IF(UPPER(B_Drainage!$H$5:$H$204)="Y",1,"")),"")</f>
        <v/>
      </c>
      <c r="Z139" s="181" t="str">
        <f>IFERROR(LOOKUP(2,1/((B_Drainage!$A$5:$A$204&lt;&gt;"")*(B_Drainage!$A$5:$A$204&lt;=$B139)*(B_Drainage!$B$5:$B$204&gt;$B139)*(B_Drainage!$I$5:$I$204&lt;&gt;"")),IF(UPPER(B_Drainage!$I$5:$I$204)="Y",1,"")),"")</f>
        <v/>
      </c>
      <c r="AA139" s="181" t="str">
        <f>IFERROR(LOOKUP(2,1/((B_Drainage!$A$5:$A$204&lt;&gt;"")*(B_Drainage!$A$5:$A$204&lt;=$B139)*(B_Drainage!$B$5:$B$204&gt;$B139)*(B_Drainage!$J$5:$J$204&lt;&gt;"")),IF(UPPER(B_Drainage!$J$5:$J$204)="Y",1,"")),"")</f>
        <v/>
      </c>
      <c r="AB139" s="182" t="str">
        <f>IFERROR(LOOKUP(2,1/((B_Drainage!$A$5:$A$204&lt;&gt;"")*(B_Drainage!$A$5:$A$204&lt;=$B139)*(B_Drainage!$B$5:$B$204&gt;$B139)*(B_Drainage!$K$5:$K$204&lt;&gt;"")),IF(B_Drainage!$K$5:$K$204="-","",B_Drainage!$K$5:$K$204)),"")</f>
        <v/>
      </c>
      <c r="AC139" s="182" t="str">
        <f>IFERROR(LOOKUP(2,1/((B_Drainage!$A$5:$A$204&lt;&gt;"")*(B_Drainage!$A$5:$A$204&lt;=$B139)*(B_Drainage!$B$5:$B$204&gt;$B139)*(B_Drainage!$L$5:$L$204&lt;&gt;"")),IF(B_Drainage!$L$5:$L$204="-","",B_Drainage!$L$5:$L$204)),"")</f>
        <v/>
      </c>
      <c r="AD139" s="182" t="str">
        <f>IFERROR(LOOKUP(2,1/((D_Points!$A$5:$A$204&lt;&gt;"")*(D_Points!$A$5:$A$204&gt;=$B139)*(D_Points!$A$5:$A$204&lt;$B139+P_Interval)*(UPPER(TRIM(D_Points!$B$5:$B$204))="TURNOUT_L")*(D_Points!$H$5:$H$204&lt;&gt;"")),D_Points!$H$5:$H$204),"")</f>
        <v/>
      </c>
      <c r="AE139" s="182" t="str">
        <f>IFERROR(LOOKUP(2,1/((D_Points!$A$5:$A$204&lt;&gt;"")*(D_Points!$A$5:$A$204&gt;=$B139)*(D_Points!$A$5:$A$204&lt;$B139+P_Interval)*(UPPER(TRIM(D_Points!$B$5:$B$204))="TURNOUT_R")*(D_Points!$H$5:$H$204&lt;&gt;"")),D_Points!$H$5:$H$204),"")</f>
        <v/>
      </c>
      <c r="AF139" s="181" t="str">
        <f>IFERROR(LOOKUP(2,1/((B_Drainage!$A$5:$A$204&lt;&gt;"")*(B_Drainage!$A$5:$A$204&lt;=$B139)*(B_Drainage!$B$5:$B$204&gt;$B139)*(B_Drainage!$M$5:$M$204&lt;&gt;"")),IF(UPPER(B_Drainage!$M$5:$M$204)="Y",1,"")),"")</f>
        <v/>
      </c>
      <c r="AG139" s="181" t="str">
        <f>IFERROR(LOOKUP(2,1/((B_Drainage!$A$5:$A$204&lt;&gt;"")*(B_Drainage!$A$5:$A$204&lt;=$B139)*(B_Drainage!$B$5:$B$204&gt;$B139)*(B_Drainage!$N$5:$N$204&lt;&gt;"")),IF(UPPER(B_Drainage!$N$5:$N$204)="Y",1,"")),"")</f>
        <v/>
      </c>
      <c r="AH139" s="181" t="str">
        <f t="shared" si="16"/>
        <v/>
      </c>
      <c r="AI139" s="181" t="str">
        <f t="shared" si="17"/>
        <v/>
      </c>
      <c r="AJ139" s="181" t="str">
        <f t="shared" si="18"/>
        <v/>
      </c>
      <c r="AK139" s="181" t="str">
        <f t="shared" si="19"/>
        <v/>
      </c>
      <c r="AL139" s="181" t="str">
        <f t="shared" si="20"/>
        <v/>
      </c>
      <c r="AM139" s="181" t="str">
        <f t="shared" si="21"/>
        <v/>
      </c>
      <c r="AN139" s="181" t="str">
        <f t="shared" si="22"/>
        <v/>
      </c>
      <c r="AO139" s="192" t="str">
        <f t="shared" si="23"/>
        <v/>
      </c>
      <c r="AQ139" t="str">
        <f>IFERROR(LOOKUP(2,1/((C_Pavement!$A$5:$A$204&lt;&gt;"")*(C_Pavement!$A$5:$A$204&lt;=$B139)*(C_Pavement!$B$5:$B$204&gt;$B139)*(C_Pavement!$C$5:$C$204&lt;&gt;"")),ROW(C_Pavement!$C$5:$C$204)-4),"")</f>
        <v/>
      </c>
      <c r="AR139" t="str">
        <f>IF($AQ139="","",UPPER(TRIM(INDEX(C_Pavement!$C$5:$C$204,$AQ139))))</f>
        <v/>
      </c>
      <c r="AS139" t="str">
        <f>IF($AR139="","",IFERROR(MATCH($AR139,E_Rules!$A$5:$A$9,0),""))</f>
        <v/>
      </c>
      <c r="AT139" t="str">
        <f>IF($AQ139="","",IF(INDEX(C_Pavement!$D$5:$D$204,$AQ139)&lt;&gt;"",UPPER(TRIM(INDEX(C_Pavement!$D$5:$D$204,$AQ139))),IF($AS139="","",INDEX(E_Rules!$C$5:$C$9,$AS139))))</f>
        <v/>
      </c>
      <c r="AU139" t="str">
        <f>IF($AQ139="","",IF(INDEX(C_Pavement!$E$5:$E$204,$AQ139)&lt;&gt;"",IF(INDEX(C_Pavement!$E$5:$E$204,$AQ139)="-","",INDEX(C_Pavement!$E$5:$E$204,$AQ139)),IF($AS139="","",INDEX(E_Rules!$D$5:$D$9,$AS139))))</f>
        <v/>
      </c>
      <c r="AV139" t="str">
        <f>IF($AQ139="","",IF(INDEX(C_Pavement!$F$5:$F$204,$AQ139)&lt;&gt;"",IF(INDEX(C_Pavement!$F$5:$F$204,$AQ139)="-","",INDEX(C_Pavement!$F$5:$F$204,$AQ139)),IF($AS139="","",INDEX(E_Rules!$E$5:$E$9,$AS139))))</f>
        <v/>
      </c>
      <c r="AW139" t="str">
        <f>IF($AQ139="","",IF(INDEX(C_Pavement!$G$5:$G$204,$AQ139)&lt;&gt;"",IF(INDEX(C_Pavement!$G$5:$G$204,$AQ139)="-","",INDEX(C_Pavement!$G$5:$G$204,$AQ139)),IF($AS139="","",INDEX(E_Rules!$F$5:$F$9,$AS139))))</f>
        <v/>
      </c>
      <c r="AX139" t="str">
        <f>IF($AQ139="","",IF(INDEX(C_Pavement!$H$5:$H$204,$AQ139)&lt;&gt;"",IF(INDEX(C_Pavement!$H$5:$H$204,$AQ139)="-","",INDEX(C_Pavement!$H$5:$H$204,$AQ139)),IF($AS139="","",INDEX(E_Rules!$G$5:$G$9,$AS139))))</f>
        <v/>
      </c>
      <c r="AY139" t="str">
        <f>IF($AQ139="","",IF(INDEX(C_Pavement!$I$5:$I$204,$AQ139)&lt;&gt;"",IF(INDEX(C_Pavement!$I$5:$I$204,$AQ139)="-","",INDEX(C_Pavement!$I$5:$I$204,$AQ139)),IF($AS139="","",INDEX(E_Rules!$H$5:$H$9,$AS139))))</f>
        <v/>
      </c>
    </row>
    <row r="140" spans="1:51" ht="15.75" customHeight="1" x14ac:dyDescent="0.3">
      <c r="A140" s="189">
        <v>135</v>
      </c>
      <c r="B140" s="180">
        <v>6700</v>
      </c>
      <c r="C140" s="180" t="s">
        <v>446</v>
      </c>
      <c r="D140" s="181" t="str">
        <f>IFERROR(LOOKUP(2,1/((A_Corridor!$A$5:$A$204&lt;&gt;"")*(A_Corridor!$A$5:$A$204&lt;=$B140)*(A_Corridor!$B$5:$B$204&gt;$B140)*(A_Corridor!$C$5:$C$204&lt;&gt;"")),IF(UPPER(A_Corridor!$C$5:$C$204)="Y",1,"")),"")</f>
        <v/>
      </c>
      <c r="E140" s="181" t="str">
        <f>IFERROR(LOOKUP(2,1/((A_Corridor!$A$5:$A$204&lt;&gt;"")*(A_Corridor!$A$5:$A$204&lt;=$B140)*(A_Corridor!$B$5:$B$204&gt;$B140)*(A_Corridor!$D$5:$D$204&lt;&gt;"")),IF(A_Corridor!$D$5:$D$204="-","",UPPER(A_Corridor!$D$5:$D$204))),"")</f>
        <v/>
      </c>
      <c r="F140" s="181" t="str">
        <f>IFERROR(LOOKUP(2,1/((A_Corridor!$A$5:$A$204&lt;&gt;"")*(A_Corridor!$A$5:$A$204&lt;=$B140)*(A_Corridor!$B$5:$B$204&gt;$B140)*(A_Corridor!$E$5:$E$204&lt;&gt;"")),IF(A_Corridor!$E$5:$E$204="-","",1)),"")</f>
        <v/>
      </c>
      <c r="G140" s="182" t="str">
        <f>IFERROR(LOOKUP(2,1/((A_Corridor!$A$5:$A$204&lt;&gt;"")*(A_Corridor!$A$5:$A$204&lt;=$B140)*(A_Corridor!$B$5:$B$204&gt;$B140)*(A_Corridor!$E$5:$E$204&lt;&gt;"")),IF(A_Corridor!$E$5:$E$204="-","",A_Corridor!$E$5:$E$204)),"")</f>
        <v/>
      </c>
      <c r="H140" s="182" t="str">
        <f>IFERROR(LOOKUP(2,1/((D_Points!$A$5:$A$204&lt;&gt;"")*(D_Points!$A$5:$A$204&gt;=$B140)*(D_Points!$A$5:$A$204&lt;$B140+P_Interval)*(UPPER(TRIM(D_Points!$B$5:$B$204))="GULLY")*(D_Points!$H$5:$H$204&lt;&gt;"")),D_Points!$H$5:$H$204),"")</f>
        <v/>
      </c>
      <c r="I140" s="181" t="str">
        <f>IFERROR(LOOKUP(2,1/((A_Corridor!$A$5:$A$204&lt;&gt;"")*(A_Corridor!$A$5:$A$204&lt;=$B140)*(A_Corridor!$B$5:$B$204&gt;$B140)*(A_Corridor!$F$5:$F$204&lt;&gt;"")),IF(A_Corridor!$F$5:$F$204="-","",1)),"")</f>
        <v/>
      </c>
      <c r="J140" s="182" t="str">
        <f>IFERROR(LOOKUP(2,1/((A_Corridor!$A$5:$A$204&lt;&gt;"")*(A_Corridor!$A$5:$A$204&lt;=$B140)*(A_Corridor!$B$5:$B$204&gt;$B140)*(A_Corridor!$F$5:$F$204&lt;&gt;"")),IF(A_Corridor!$F$5:$F$204="-","",A_Corridor!$F$5:$F$204)),"")</f>
        <v/>
      </c>
      <c r="K140" s="182" t="str">
        <f>IFERROR(LOOKUP(2,1/((A_Corridor!$A$5:$A$204&lt;&gt;"")*(A_Corridor!$A$5:$A$204&lt;=$B140)*(A_Corridor!$B$5:$B$204&gt;$B140)*(A_Corridor!$G$5:$G$204&lt;&gt;"")),IF(A_Corridor!$G$5:$G$204="-","",A_Corridor!$G$5:$G$204)),"")</f>
        <v/>
      </c>
      <c r="L140" s="181" t="str">
        <f>IFERROR(LOOKUP(2,1/((A_Corridor!$A$5:$A$204&lt;&gt;"")*(A_Corridor!$A$5:$A$204&lt;=$B140)*(A_Corridor!$B$5:$B$204&gt;$B140)*(A_Corridor!$H$5:$H$204&lt;&gt;"")),IF(A_Corridor!$H$5:$H$204="-","",1)),"")</f>
        <v/>
      </c>
      <c r="M140" s="182" t="str">
        <f>IFERROR(LOOKUP(2,1/((A_Corridor!$A$5:$A$204&lt;&gt;"")*(A_Corridor!$A$5:$A$204&lt;=$B140)*(A_Corridor!$B$5:$B$204&gt;$B140)*(A_Corridor!$H$5:$H$204&lt;&gt;"")),IF(A_Corridor!$H$5:$H$204="-","",A_Corridor!$H$5:$H$204)),"")</f>
        <v/>
      </c>
      <c r="N140" s="182" t="str">
        <f>IFERROR(LOOKUP(2,1/((A_Corridor!$A$5:$A$204&lt;&gt;"")*(A_Corridor!$A$5:$A$204&lt;=$B140)*(A_Corridor!$B$5:$B$204&gt;$B140)*(A_Corridor!$I$5:$I$204&lt;&gt;"")),IF(A_Corridor!$I$5:$I$204="-","",A_Corridor!$I$5:$I$204)),"")</f>
        <v/>
      </c>
      <c r="O140" s="182" t="str">
        <f>IFERROR(LOOKUP(2,1/((D_Points!$A$5:$A$204&lt;&gt;"")*(D_Points!$A$5:$A$204&gt;=$B140)*(D_Points!$A$5:$A$204&lt;$B140+P_Interval)*(UPPER(TRIM(D_Points!$B$5:$B$204))="PITCHING")*(D_Points!$H$5:$H$204&lt;&gt;"")),D_Points!$H$5:$H$204),"")</f>
        <v/>
      </c>
      <c r="P140" s="181" t="str">
        <f>IFERROR(LOOKUP(2,1/((B_Drainage!$A$5:$A$204&lt;&gt;"")*(B_Drainage!$A$5:$A$204&lt;=$B140)*(B_Drainage!$B$5:$B$204&gt;$B140)*(B_Drainage!$C$5:$C$204&lt;&gt;"")),IF(B_Drainage!$C$5:$C$204="-","",UPPER(B_Drainage!$C$5:$C$204))),"")</f>
        <v/>
      </c>
      <c r="Q140" s="181" t="str">
        <f>IFERROR(LOOKUP(2,1/((B_Drainage!$A$5:$A$204&lt;&gt;"")*(B_Drainage!$A$5:$A$204&lt;=$B140)*(B_Drainage!$B$5:$B$204&gt;$B140)*(B_Drainage!$D$5:$D$204&lt;&gt;"")),IF(B_Drainage!$D$5:$D$204="-","",UPPER(B_Drainage!$D$5:$D$204))),"")</f>
        <v/>
      </c>
      <c r="R140" s="182" t="str">
        <f>IFERROR(LOOKUP(2,1/((D_Points!$A$5:$A$204&lt;&gt;"")*(D_Points!$A$5:$A$204&gt;=$B140)*(D_Points!$A$5:$A$204&lt;$B140+P_Interval)*(RIGHT(UPPER(TRIM(D_Points!$B$5:$B$204)),8)="_CULVERT")),IF(LEFT(UPPER(TRIM(D_Points!$B$5:$B$204)),2)="EX",1,IF(LEFT(UPPER(TRIM(D_Points!$B$5:$B$204)),2)="PR",2,3))),"")</f>
        <v/>
      </c>
      <c r="S140" s="182" t="str">
        <f>IFERROR(LOOKUP(2,1/((D_Points!$A$5:$A$204&lt;&gt;"")*(D_Points!$A$5:$A$204&gt;=$B140)*(D_Points!$A$5:$A$204&lt;$B140+P_Interval)*(RIGHT(UPPER(TRIM(D_Points!$B$5:$B$204)),7)="_BRIDGE")),IF(LEFT(UPPER(TRIM(D_Points!$B$5:$B$204)),2)="EX",1,IF(LEFT(UPPER(TRIM(D_Points!$B$5:$B$204)),2)="PR",2,2))),"")</f>
        <v/>
      </c>
      <c r="T140" s="181" t="str">
        <f>IFERROR(LOOKUP(2,1/((B_Drainage!$A$5:$A$204&lt;&gt;"")*(B_Drainage!$A$5:$A$204&lt;=$B140)*(B_Drainage!$B$5:$B$204&gt;$B140)*(B_Drainage!$E$5:$E$204&lt;&gt;"")),IF(B_Drainage!$E$5:$E$204="-","",1)),"")</f>
        <v/>
      </c>
      <c r="U140" s="181" t="str">
        <f>IFERROR(LOOKUP(2,1/((B_Drainage!$A$5:$A$204&lt;&gt;"")*(B_Drainage!$A$5:$A$204&lt;=$B140)*(B_Drainage!$B$5:$B$204&gt;$B140)*(B_Drainage!$E$5:$E$204&lt;&gt;"")),IF(B_Drainage!$E$5:$E$204="-","",B_Drainage!$E$5:$E$204)),"")</f>
        <v/>
      </c>
      <c r="V140" s="181" t="str">
        <f>IFERROR(LOOKUP(2,1/((B_Drainage!$A$5:$A$204&lt;&gt;"")*(B_Drainage!$A$5:$A$204&lt;=$B140)*(B_Drainage!$B$5:$B$204&gt;$B140)*(B_Drainage!$F$5:$F$204&lt;&gt;"")),IF(B_Drainage!$F$5:$F$204="-","",1)),"")</f>
        <v/>
      </c>
      <c r="W140" s="181" t="str">
        <f>IFERROR(LOOKUP(2,1/((B_Drainage!$A$5:$A$204&lt;&gt;"")*(B_Drainage!$A$5:$A$204&lt;=$B140)*(B_Drainage!$B$5:$B$204&gt;$B140)*(B_Drainage!$F$5:$F$204&lt;&gt;"")),IF(B_Drainage!$F$5:$F$204="-","",B_Drainage!$F$5:$F$204)),"")</f>
        <v/>
      </c>
      <c r="X140" s="181" t="str">
        <f>IFERROR(LOOKUP(2,1/((B_Drainage!$A$5:$A$204&lt;&gt;"")*(B_Drainage!$A$5:$A$204&lt;=$B140)*(B_Drainage!$B$5:$B$204&gt;$B140)*(B_Drainage!$G$5:$G$204&lt;&gt;"")),IF(UPPER(B_Drainage!$G$5:$G$204)="Y",1,"")),"")</f>
        <v/>
      </c>
      <c r="Y140" s="181" t="str">
        <f>IFERROR(LOOKUP(2,1/((B_Drainage!$A$5:$A$204&lt;&gt;"")*(B_Drainage!$A$5:$A$204&lt;=$B140)*(B_Drainage!$B$5:$B$204&gt;$B140)*(B_Drainage!$H$5:$H$204&lt;&gt;"")),IF(UPPER(B_Drainage!$H$5:$H$204)="Y",1,"")),"")</f>
        <v/>
      </c>
      <c r="Z140" s="181" t="str">
        <f>IFERROR(LOOKUP(2,1/((B_Drainage!$A$5:$A$204&lt;&gt;"")*(B_Drainage!$A$5:$A$204&lt;=$B140)*(B_Drainage!$B$5:$B$204&gt;$B140)*(B_Drainage!$I$5:$I$204&lt;&gt;"")),IF(UPPER(B_Drainage!$I$5:$I$204)="Y",1,"")),"")</f>
        <v/>
      </c>
      <c r="AA140" s="181" t="str">
        <f>IFERROR(LOOKUP(2,1/((B_Drainage!$A$5:$A$204&lt;&gt;"")*(B_Drainage!$A$5:$A$204&lt;=$B140)*(B_Drainage!$B$5:$B$204&gt;$B140)*(B_Drainage!$J$5:$J$204&lt;&gt;"")),IF(UPPER(B_Drainage!$J$5:$J$204)="Y",1,"")),"")</f>
        <v/>
      </c>
      <c r="AB140" s="182" t="str">
        <f>IFERROR(LOOKUP(2,1/((B_Drainage!$A$5:$A$204&lt;&gt;"")*(B_Drainage!$A$5:$A$204&lt;=$B140)*(B_Drainage!$B$5:$B$204&gt;$B140)*(B_Drainage!$K$5:$K$204&lt;&gt;"")),IF(B_Drainage!$K$5:$K$204="-","",B_Drainage!$K$5:$K$204)),"")</f>
        <v/>
      </c>
      <c r="AC140" s="182" t="str">
        <f>IFERROR(LOOKUP(2,1/((B_Drainage!$A$5:$A$204&lt;&gt;"")*(B_Drainage!$A$5:$A$204&lt;=$B140)*(B_Drainage!$B$5:$B$204&gt;$B140)*(B_Drainage!$L$5:$L$204&lt;&gt;"")),IF(B_Drainage!$L$5:$L$204="-","",B_Drainage!$L$5:$L$204)),"")</f>
        <v/>
      </c>
      <c r="AD140" s="182" t="str">
        <f>IFERROR(LOOKUP(2,1/((D_Points!$A$5:$A$204&lt;&gt;"")*(D_Points!$A$5:$A$204&gt;=$B140)*(D_Points!$A$5:$A$204&lt;$B140+P_Interval)*(UPPER(TRIM(D_Points!$B$5:$B$204))="TURNOUT_L")*(D_Points!$H$5:$H$204&lt;&gt;"")),D_Points!$H$5:$H$204),"")</f>
        <v/>
      </c>
      <c r="AE140" s="182" t="str">
        <f>IFERROR(LOOKUP(2,1/((D_Points!$A$5:$A$204&lt;&gt;"")*(D_Points!$A$5:$A$204&gt;=$B140)*(D_Points!$A$5:$A$204&lt;$B140+P_Interval)*(UPPER(TRIM(D_Points!$B$5:$B$204))="TURNOUT_R")*(D_Points!$H$5:$H$204&lt;&gt;"")),D_Points!$H$5:$H$204),"")</f>
        <v/>
      </c>
      <c r="AF140" s="181" t="str">
        <f>IFERROR(LOOKUP(2,1/((B_Drainage!$A$5:$A$204&lt;&gt;"")*(B_Drainage!$A$5:$A$204&lt;=$B140)*(B_Drainage!$B$5:$B$204&gt;$B140)*(B_Drainage!$M$5:$M$204&lt;&gt;"")),IF(UPPER(B_Drainage!$M$5:$M$204)="Y",1,"")),"")</f>
        <v/>
      </c>
      <c r="AG140" s="181" t="str">
        <f>IFERROR(LOOKUP(2,1/((B_Drainage!$A$5:$A$204&lt;&gt;"")*(B_Drainage!$A$5:$A$204&lt;=$B140)*(B_Drainage!$B$5:$B$204&gt;$B140)*(B_Drainage!$N$5:$N$204&lt;&gt;"")),IF(UPPER(B_Drainage!$N$5:$N$204)="Y",1,"")),"")</f>
        <v/>
      </c>
      <c r="AH140" s="181" t="str">
        <f t="shared" si="16"/>
        <v/>
      </c>
      <c r="AI140" s="181" t="str">
        <f t="shared" si="17"/>
        <v/>
      </c>
      <c r="AJ140" s="181" t="str">
        <f t="shared" si="18"/>
        <v/>
      </c>
      <c r="AK140" s="181" t="str">
        <f t="shared" si="19"/>
        <v/>
      </c>
      <c r="AL140" s="181" t="str">
        <f t="shared" si="20"/>
        <v/>
      </c>
      <c r="AM140" s="181" t="str">
        <f t="shared" si="21"/>
        <v/>
      </c>
      <c r="AN140" s="181" t="str">
        <f t="shared" si="22"/>
        <v/>
      </c>
      <c r="AO140" s="192" t="str">
        <f t="shared" si="23"/>
        <v/>
      </c>
      <c r="AQ140" t="str">
        <f>IFERROR(LOOKUP(2,1/((C_Pavement!$A$5:$A$204&lt;&gt;"")*(C_Pavement!$A$5:$A$204&lt;=$B140)*(C_Pavement!$B$5:$B$204&gt;$B140)*(C_Pavement!$C$5:$C$204&lt;&gt;"")),ROW(C_Pavement!$C$5:$C$204)-4),"")</f>
        <v/>
      </c>
      <c r="AR140" t="str">
        <f>IF($AQ140="","",UPPER(TRIM(INDEX(C_Pavement!$C$5:$C$204,$AQ140))))</f>
        <v/>
      </c>
      <c r="AS140" t="str">
        <f>IF($AR140="","",IFERROR(MATCH($AR140,E_Rules!$A$5:$A$9,0),""))</f>
        <v/>
      </c>
      <c r="AT140" t="str">
        <f>IF($AQ140="","",IF(INDEX(C_Pavement!$D$5:$D$204,$AQ140)&lt;&gt;"",UPPER(TRIM(INDEX(C_Pavement!$D$5:$D$204,$AQ140))),IF($AS140="","",INDEX(E_Rules!$C$5:$C$9,$AS140))))</f>
        <v/>
      </c>
      <c r="AU140" t="str">
        <f>IF($AQ140="","",IF(INDEX(C_Pavement!$E$5:$E$204,$AQ140)&lt;&gt;"",IF(INDEX(C_Pavement!$E$5:$E$204,$AQ140)="-","",INDEX(C_Pavement!$E$5:$E$204,$AQ140)),IF($AS140="","",INDEX(E_Rules!$D$5:$D$9,$AS140))))</f>
        <v/>
      </c>
      <c r="AV140" t="str">
        <f>IF($AQ140="","",IF(INDEX(C_Pavement!$F$5:$F$204,$AQ140)&lt;&gt;"",IF(INDEX(C_Pavement!$F$5:$F$204,$AQ140)="-","",INDEX(C_Pavement!$F$5:$F$204,$AQ140)),IF($AS140="","",INDEX(E_Rules!$E$5:$E$9,$AS140))))</f>
        <v/>
      </c>
      <c r="AW140" t="str">
        <f>IF($AQ140="","",IF(INDEX(C_Pavement!$G$5:$G$204,$AQ140)&lt;&gt;"",IF(INDEX(C_Pavement!$G$5:$G$204,$AQ140)="-","",INDEX(C_Pavement!$G$5:$G$204,$AQ140)),IF($AS140="","",INDEX(E_Rules!$F$5:$F$9,$AS140))))</f>
        <v/>
      </c>
      <c r="AX140" t="str">
        <f>IF($AQ140="","",IF(INDEX(C_Pavement!$H$5:$H$204,$AQ140)&lt;&gt;"",IF(INDEX(C_Pavement!$H$5:$H$204,$AQ140)="-","",INDEX(C_Pavement!$H$5:$H$204,$AQ140)),IF($AS140="","",INDEX(E_Rules!$G$5:$G$9,$AS140))))</f>
        <v/>
      </c>
      <c r="AY140" t="str">
        <f>IF($AQ140="","",IF(INDEX(C_Pavement!$I$5:$I$204,$AQ140)&lt;&gt;"",IF(INDEX(C_Pavement!$I$5:$I$204,$AQ140)="-","",INDEX(C_Pavement!$I$5:$I$204,$AQ140)),IF($AS140="","",INDEX(E_Rules!$H$5:$H$9,$AS140))))</f>
        <v/>
      </c>
    </row>
    <row r="141" spans="1:51" ht="15.75" customHeight="1" x14ac:dyDescent="0.3">
      <c r="A141" s="189">
        <v>136</v>
      </c>
      <c r="B141" s="180">
        <v>6750</v>
      </c>
      <c r="C141" s="180" t="s">
        <v>447</v>
      </c>
      <c r="D141" s="181" t="str">
        <f>IFERROR(LOOKUP(2,1/((A_Corridor!$A$5:$A$204&lt;&gt;"")*(A_Corridor!$A$5:$A$204&lt;=$B141)*(A_Corridor!$B$5:$B$204&gt;$B141)*(A_Corridor!$C$5:$C$204&lt;&gt;"")),IF(UPPER(A_Corridor!$C$5:$C$204)="Y",1,"")),"")</f>
        <v/>
      </c>
      <c r="E141" s="181" t="str">
        <f>IFERROR(LOOKUP(2,1/((A_Corridor!$A$5:$A$204&lt;&gt;"")*(A_Corridor!$A$5:$A$204&lt;=$B141)*(A_Corridor!$B$5:$B$204&gt;$B141)*(A_Corridor!$D$5:$D$204&lt;&gt;"")),IF(A_Corridor!$D$5:$D$204="-","",UPPER(A_Corridor!$D$5:$D$204))),"")</f>
        <v/>
      </c>
      <c r="F141" s="181" t="str">
        <f>IFERROR(LOOKUP(2,1/((A_Corridor!$A$5:$A$204&lt;&gt;"")*(A_Corridor!$A$5:$A$204&lt;=$B141)*(A_Corridor!$B$5:$B$204&gt;$B141)*(A_Corridor!$E$5:$E$204&lt;&gt;"")),IF(A_Corridor!$E$5:$E$204="-","",1)),"")</f>
        <v/>
      </c>
      <c r="G141" s="182" t="str">
        <f>IFERROR(LOOKUP(2,1/((A_Corridor!$A$5:$A$204&lt;&gt;"")*(A_Corridor!$A$5:$A$204&lt;=$B141)*(A_Corridor!$B$5:$B$204&gt;$B141)*(A_Corridor!$E$5:$E$204&lt;&gt;"")),IF(A_Corridor!$E$5:$E$204="-","",A_Corridor!$E$5:$E$204)),"")</f>
        <v/>
      </c>
      <c r="H141" s="182" t="str">
        <f>IFERROR(LOOKUP(2,1/((D_Points!$A$5:$A$204&lt;&gt;"")*(D_Points!$A$5:$A$204&gt;=$B141)*(D_Points!$A$5:$A$204&lt;$B141+P_Interval)*(UPPER(TRIM(D_Points!$B$5:$B$204))="GULLY")*(D_Points!$H$5:$H$204&lt;&gt;"")),D_Points!$H$5:$H$204),"")</f>
        <v/>
      </c>
      <c r="I141" s="181" t="str">
        <f>IFERROR(LOOKUP(2,1/((A_Corridor!$A$5:$A$204&lt;&gt;"")*(A_Corridor!$A$5:$A$204&lt;=$B141)*(A_Corridor!$B$5:$B$204&gt;$B141)*(A_Corridor!$F$5:$F$204&lt;&gt;"")),IF(A_Corridor!$F$5:$F$204="-","",1)),"")</f>
        <v/>
      </c>
      <c r="J141" s="182" t="str">
        <f>IFERROR(LOOKUP(2,1/((A_Corridor!$A$5:$A$204&lt;&gt;"")*(A_Corridor!$A$5:$A$204&lt;=$B141)*(A_Corridor!$B$5:$B$204&gt;$B141)*(A_Corridor!$F$5:$F$204&lt;&gt;"")),IF(A_Corridor!$F$5:$F$204="-","",A_Corridor!$F$5:$F$204)),"")</f>
        <v/>
      </c>
      <c r="K141" s="182" t="str">
        <f>IFERROR(LOOKUP(2,1/((A_Corridor!$A$5:$A$204&lt;&gt;"")*(A_Corridor!$A$5:$A$204&lt;=$B141)*(A_Corridor!$B$5:$B$204&gt;$B141)*(A_Corridor!$G$5:$G$204&lt;&gt;"")),IF(A_Corridor!$G$5:$G$204="-","",A_Corridor!$G$5:$G$204)),"")</f>
        <v/>
      </c>
      <c r="L141" s="181" t="str">
        <f>IFERROR(LOOKUP(2,1/((A_Corridor!$A$5:$A$204&lt;&gt;"")*(A_Corridor!$A$5:$A$204&lt;=$B141)*(A_Corridor!$B$5:$B$204&gt;$B141)*(A_Corridor!$H$5:$H$204&lt;&gt;"")),IF(A_Corridor!$H$5:$H$204="-","",1)),"")</f>
        <v/>
      </c>
      <c r="M141" s="182" t="str">
        <f>IFERROR(LOOKUP(2,1/((A_Corridor!$A$5:$A$204&lt;&gt;"")*(A_Corridor!$A$5:$A$204&lt;=$B141)*(A_Corridor!$B$5:$B$204&gt;$B141)*(A_Corridor!$H$5:$H$204&lt;&gt;"")),IF(A_Corridor!$H$5:$H$204="-","",A_Corridor!$H$5:$H$204)),"")</f>
        <v/>
      </c>
      <c r="N141" s="182" t="str">
        <f>IFERROR(LOOKUP(2,1/((A_Corridor!$A$5:$A$204&lt;&gt;"")*(A_Corridor!$A$5:$A$204&lt;=$B141)*(A_Corridor!$B$5:$B$204&gt;$B141)*(A_Corridor!$I$5:$I$204&lt;&gt;"")),IF(A_Corridor!$I$5:$I$204="-","",A_Corridor!$I$5:$I$204)),"")</f>
        <v/>
      </c>
      <c r="O141" s="182" t="str">
        <f>IFERROR(LOOKUP(2,1/((D_Points!$A$5:$A$204&lt;&gt;"")*(D_Points!$A$5:$A$204&gt;=$B141)*(D_Points!$A$5:$A$204&lt;$B141+P_Interval)*(UPPER(TRIM(D_Points!$B$5:$B$204))="PITCHING")*(D_Points!$H$5:$H$204&lt;&gt;"")),D_Points!$H$5:$H$204),"")</f>
        <v/>
      </c>
      <c r="P141" s="181" t="str">
        <f>IFERROR(LOOKUP(2,1/((B_Drainage!$A$5:$A$204&lt;&gt;"")*(B_Drainage!$A$5:$A$204&lt;=$B141)*(B_Drainage!$B$5:$B$204&gt;$B141)*(B_Drainage!$C$5:$C$204&lt;&gt;"")),IF(B_Drainage!$C$5:$C$204="-","",UPPER(B_Drainage!$C$5:$C$204))),"")</f>
        <v/>
      </c>
      <c r="Q141" s="181" t="str">
        <f>IFERROR(LOOKUP(2,1/((B_Drainage!$A$5:$A$204&lt;&gt;"")*(B_Drainage!$A$5:$A$204&lt;=$B141)*(B_Drainage!$B$5:$B$204&gt;$B141)*(B_Drainage!$D$5:$D$204&lt;&gt;"")),IF(B_Drainage!$D$5:$D$204="-","",UPPER(B_Drainage!$D$5:$D$204))),"")</f>
        <v/>
      </c>
      <c r="R141" s="182" t="str">
        <f>IFERROR(LOOKUP(2,1/((D_Points!$A$5:$A$204&lt;&gt;"")*(D_Points!$A$5:$A$204&gt;=$B141)*(D_Points!$A$5:$A$204&lt;$B141+P_Interval)*(RIGHT(UPPER(TRIM(D_Points!$B$5:$B$204)),8)="_CULVERT")),IF(LEFT(UPPER(TRIM(D_Points!$B$5:$B$204)),2)="EX",1,IF(LEFT(UPPER(TRIM(D_Points!$B$5:$B$204)),2)="PR",2,3))),"")</f>
        <v/>
      </c>
      <c r="S141" s="182" t="str">
        <f>IFERROR(LOOKUP(2,1/((D_Points!$A$5:$A$204&lt;&gt;"")*(D_Points!$A$5:$A$204&gt;=$B141)*(D_Points!$A$5:$A$204&lt;$B141+P_Interval)*(RIGHT(UPPER(TRIM(D_Points!$B$5:$B$204)),7)="_BRIDGE")),IF(LEFT(UPPER(TRIM(D_Points!$B$5:$B$204)),2)="EX",1,IF(LEFT(UPPER(TRIM(D_Points!$B$5:$B$204)),2)="PR",2,2))),"")</f>
        <v/>
      </c>
      <c r="T141" s="181" t="str">
        <f>IFERROR(LOOKUP(2,1/((B_Drainage!$A$5:$A$204&lt;&gt;"")*(B_Drainage!$A$5:$A$204&lt;=$B141)*(B_Drainage!$B$5:$B$204&gt;$B141)*(B_Drainage!$E$5:$E$204&lt;&gt;"")),IF(B_Drainage!$E$5:$E$204="-","",1)),"")</f>
        <v/>
      </c>
      <c r="U141" s="181" t="str">
        <f>IFERROR(LOOKUP(2,1/((B_Drainage!$A$5:$A$204&lt;&gt;"")*(B_Drainage!$A$5:$A$204&lt;=$B141)*(B_Drainage!$B$5:$B$204&gt;$B141)*(B_Drainage!$E$5:$E$204&lt;&gt;"")),IF(B_Drainage!$E$5:$E$204="-","",B_Drainage!$E$5:$E$204)),"")</f>
        <v/>
      </c>
      <c r="V141" s="181" t="str">
        <f>IFERROR(LOOKUP(2,1/((B_Drainage!$A$5:$A$204&lt;&gt;"")*(B_Drainage!$A$5:$A$204&lt;=$B141)*(B_Drainage!$B$5:$B$204&gt;$B141)*(B_Drainage!$F$5:$F$204&lt;&gt;"")),IF(B_Drainage!$F$5:$F$204="-","",1)),"")</f>
        <v/>
      </c>
      <c r="W141" s="181" t="str">
        <f>IFERROR(LOOKUP(2,1/((B_Drainage!$A$5:$A$204&lt;&gt;"")*(B_Drainage!$A$5:$A$204&lt;=$B141)*(B_Drainage!$B$5:$B$204&gt;$B141)*(B_Drainage!$F$5:$F$204&lt;&gt;"")),IF(B_Drainage!$F$5:$F$204="-","",B_Drainage!$F$5:$F$204)),"")</f>
        <v/>
      </c>
      <c r="X141" s="181" t="str">
        <f>IFERROR(LOOKUP(2,1/((B_Drainage!$A$5:$A$204&lt;&gt;"")*(B_Drainage!$A$5:$A$204&lt;=$B141)*(B_Drainage!$B$5:$B$204&gt;$B141)*(B_Drainage!$G$5:$G$204&lt;&gt;"")),IF(UPPER(B_Drainage!$G$5:$G$204)="Y",1,"")),"")</f>
        <v/>
      </c>
      <c r="Y141" s="181" t="str">
        <f>IFERROR(LOOKUP(2,1/((B_Drainage!$A$5:$A$204&lt;&gt;"")*(B_Drainage!$A$5:$A$204&lt;=$B141)*(B_Drainage!$B$5:$B$204&gt;$B141)*(B_Drainage!$H$5:$H$204&lt;&gt;"")),IF(UPPER(B_Drainage!$H$5:$H$204)="Y",1,"")),"")</f>
        <v/>
      </c>
      <c r="Z141" s="181" t="str">
        <f>IFERROR(LOOKUP(2,1/((B_Drainage!$A$5:$A$204&lt;&gt;"")*(B_Drainage!$A$5:$A$204&lt;=$B141)*(B_Drainage!$B$5:$B$204&gt;$B141)*(B_Drainage!$I$5:$I$204&lt;&gt;"")),IF(UPPER(B_Drainage!$I$5:$I$204)="Y",1,"")),"")</f>
        <v/>
      </c>
      <c r="AA141" s="181" t="str">
        <f>IFERROR(LOOKUP(2,1/((B_Drainage!$A$5:$A$204&lt;&gt;"")*(B_Drainage!$A$5:$A$204&lt;=$B141)*(B_Drainage!$B$5:$B$204&gt;$B141)*(B_Drainage!$J$5:$J$204&lt;&gt;"")),IF(UPPER(B_Drainage!$J$5:$J$204)="Y",1,"")),"")</f>
        <v/>
      </c>
      <c r="AB141" s="182" t="str">
        <f>IFERROR(LOOKUP(2,1/((B_Drainage!$A$5:$A$204&lt;&gt;"")*(B_Drainage!$A$5:$A$204&lt;=$B141)*(B_Drainage!$B$5:$B$204&gt;$B141)*(B_Drainage!$K$5:$K$204&lt;&gt;"")),IF(B_Drainage!$K$5:$K$204="-","",B_Drainage!$K$5:$K$204)),"")</f>
        <v/>
      </c>
      <c r="AC141" s="182" t="str">
        <f>IFERROR(LOOKUP(2,1/((B_Drainage!$A$5:$A$204&lt;&gt;"")*(B_Drainage!$A$5:$A$204&lt;=$B141)*(B_Drainage!$B$5:$B$204&gt;$B141)*(B_Drainage!$L$5:$L$204&lt;&gt;"")),IF(B_Drainage!$L$5:$L$204="-","",B_Drainage!$L$5:$L$204)),"")</f>
        <v/>
      </c>
      <c r="AD141" s="182" t="str">
        <f>IFERROR(LOOKUP(2,1/((D_Points!$A$5:$A$204&lt;&gt;"")*(D_Points!$A$5:$A$204&gt;=$B141)*(D_Points!$A$5:$A$204&lt;$B141+P_Interval)*(UPPER(TRIM(D_Points!$B$5:$B$204))="TURNOUT_L")*(D_Points!$H$5:$H$204&lt;&gt;"")),D_Points!$H$5:$H$204),"")</f>
        <v/>
      </c>
      <c r="AE141" s="182" t="str">
        <f>IFERROR(LOOKUP(2,1/((D_Points!$A$5:$A$204&lt;&gt;"")*(D_Points!$A$5:$A$204&gt;=$B141)*(D_Points!$A$5:$A$204&lt;$B141+P_Interval)*(UPPER(TRIM(D_Points!$B$5:$B$204))="TURNOUT_R")*(D_Points!$H$5:$H$204&lt;&gt;"")),D_Points!$H$5:$H$204),"")</f>
        <v/>
      </c>
      <c r="AF141" s="181" t="str">
        <f>IFERROR(LOOKUP(2,1/((B_Drainage!$A$5:$A$204&lt;&gt;"")*(B_Drainage!$A$5:$A$204&lt;=$B141)*(B_Drainage!$B$5:$B$204&gt;$B141)*(B_Drainage!$M$5:$M$204&lt;&gt;"")),IF(UPPER(B_Drainage!$M$5:$M$204)="Y",1,"")),"")</f>
        <v/>
      </c>
      <c r="AG141" s="181" t="str">
        <f>IFERROR(LOOKUP(2,1/((B_Drainage!$A$5:$A$204&lt;&gt;"")*(B_Drainage!$A$5:$A$204&lt;=$B141)*(B_Drainage!$B$5:$B$204&gt;$B141)*(B_Drainage!$N$5:$N$204&lt;&gt;"")),IF(UPPER(B_Drainage!$N$5:$N$204)="Y",1,"")),"")</f>
        <v/>
      </c>
      <c r="AH141" s="181" t="str">
        <f t="shared" si="16"/>
        <v/>
      </c>
      <c r="AI141" s="181" t="str">
        <f t="shared" si="17"/>
        <v/>
      </c>
      <c r="AJ141" s="181" t="str">
        <f t="shared" si="18"/>
        <v/>
      </c>
      <c r="AK141" s="181" t="str">
        <f t="shared" si="19"/>
        <v/>
      </c>
      <c r="AL141" s="181" t="str">
        <f t="shared" si="20"/>
        <v/>
      </c>
      <c r="AM141" s="181" t="str">
        <f t="shared" si="21"/>
        <v/>
      </c>
      <c r="AN141" s="181" t="str">
        <f t="shared" si="22"/>
        <v/>
      </c>
      <c r="AO141" s="192" t="str">
        <f t="shared" si="23"/>
        <v/>
      </c>
      <c r="AQ141" t="str">
        <f>IFERROR(LOOKUP(2,1/((C_Pavement!$A$5:$A$204&lt;&gt;"")*(C_Pavement!$A$5:$A$204&lt;=$B141)*(C_Pavement!$B$5:$B$204&gt;$B141)*(C_Pavement!$C$5:$C$204&lt;&gt;"")),ROW(C_Pavement!$C$5:$C$204)-4),"")</f>
        <v/>
      </c>
      <c r="AR141" t="str">
        <f>IF($AQ141="","",UPPER(TRIM(INDEX(C_Pavement!$C$5:$C$204,$AQ141))))</f>
        <v/>
      </c>
      <c r="AS141" t="str">
        <f>IF($AR141="","",IFERROR(MATCH($AR141,E_Rules!$A$5:$A$9,0),""))</f>
        <v/>
      </c>
      <c r="AT141" t="str">
        <f>IF($AQ141="","",IF(INDEX(C_Pavement!$D$5:$D$204,$AQ141)&lt;&gt;"",UPPER(TRIM(INDEX(C_Pavement!$D$5:$D$204,$AQ141))),IF($AS141="","",INDEX(E_Rules!$C$5:$C$9,$AS141))))</f>
        <v/>
      </c>
      <c r="AU141" t="str">
        <f>IF($AQ141="","",IF(INDEX(C_Pavement!$E$5:$E$204,$AQ141)&lt;&gt;"",IF(INDEX(C_Pavement!$E$5:$E$204,$AQ141)="-","",INDEX(C_Pavement!$E$5:$E$204,$AQ141)),IF($AS141="","",INDEX(E_Rules!$D$5:$D$9,$AS141))))</f>
        <v/>
      </c>
      <c r="AV141" t="str">
        <f>IF($AQ141="","",IF(INDEX(C_Pavement!$F$5:$F$204,$AQ141)&lt;&gt;"",IF(INDEX(C_Pavement!$F$5:$F$204,$AQ141)="-","",INDEX(C_Pavement!$F$5:$F$204,$AQ141)),IF($AS141="","",INDEX(E_Rules!$E$5:$E$9,$AS141))))</f>
        <v/>
      </c>
      <c r="AW141" t="str">
        <f>IF($AQ141="","",IF(INDEX(C_Pavement!$G$5:$G$204,$AQ141)&lt;&gt;"",IF(INDEX(C_Pavement!$G$5:$G$204,$AQ141)="-","",INDEX(C_Pavement!$G$5:$G$204,$AQ141)),IF($AS141="","",INDEX(E_Rules!$F$5:$F$9,$AS141))))</f>
        <v/>
      </c>
      <c r="AX141" t="str">
        <f>IF($AQ141="","",IF(INDEX(C_Pavement!$H$5:$H$204,$AQ141)&lt;&gt;"",IF(INDEX(C_Pavement!$H$5:$H$204,$AQ141)="-","",INDEX(C_Pavement!$H$5:$H$204,$AQ141)),IF($AS141="","",INDEX(E_Rules!$G$5:$G$9,$AS141))))</f>
        <v/>
      </c>
      <c r="AY141" t="str">
        <f>IF($AQ141="","",IF(INDEX(C_Pavement!$I$5:$I$204,$AQ141)&lt;&gt;"",IF(INDEX(C_Pavement!$I$5:$I$204,$AQ141)="-","",INDEX(C_Pavement!$I$5:$I$204,$AQ141)),IF($AS141="","",INDEX(E_Rules!$H$5:$H$9,$AS141))))</f>
        <v/>
      </c>
    </row>
    <row r="142" spans="1:51" ht="15.75" customHeight="1" x14ac:dyDescent="0.3">
      <c r="A142" s="189">
        <v>137</v>
      </c>
      <c r="B142" s="180">
        <v>6800</v>
      </c>
      <c r="C142" s="180" t="s">
        <v>448</v>
      </c>
      <c r="D142" s="181" t="str">
        <f>IFERROR(LOOKUP(2,1/((A_Corridor!$A$5:$A$204&lt;&gt;"")*(A_Corridor!$A$5:$A$204&lt;=$B142)*(A_Corridor!$B$5:$B$204&gt;$B142)*(A_Corridor!$C$5:$C$204&lt;&gt;"")),IF(UPPER(A_Corridor!$C$5:$C$204)="Y",1,"")),"")</f>
        <v/>
      </c>
      <c r="E142" s="181" t="str">
        <f>IFERROR(LOOKUP(2,1/((A_Corridor!$A$5:$A$204&lt;&gt;"")*(A_Corridor!$A$5:$A$204&lt;=$B142)*(A_Corridor!$B$5:$B$204&gt;$B142)*(A_Corridor!$D$5:$D$204&lt;&gt;"")),IF(A_Corridor!$D$5:$D$204="-","",UPPER(A_Corridor!$D$5:$D$204))),"")</f>
        <v/>
      </c>
      <c r="F142" s="181" t="str">
        <f>IFERROR(LOOKUP(2,1/((A_Corridor!$A$5:$A$204&lt;&gt;"")*(A_Corridor!$A$5:$A$204&lt;=$B142)*(A_Corridor!$B$5:$B$204&gt;$B142)*(A_Corridor!$E$5:$E$204&lt;&gt;"")),IF(A_Corridor!$E$5:$E$204="-","",1)),"")</f>
        <v/>
      </c>
      <c r="G142" s="182" t="str">
        <f>IFERROR(LOOKUP(2,1/((A_Corridor!$A$5:$A$204&lt;&gt;"")*(A_Corridor!$A$5:$A$204&lt;=$B142)*(A_Corridor!$B$5:$B$204&gt;$B142)*(A_Corridor!$E$5:$E$204&lt;&gt;"")),IF(A_Corridor!$E$5:$E$204="-","",A_Corridor!$E$5:$E$204)),"")</f>
        <v/>
      </c>
      <c r="H142" s="182" t="str">
        <f>IFERROR(LOOKUP(2,1/((D_Points!$A$5:$A$204&lt;&gt;"")*(D_Points!$A$5:$A$204&gt;=$B142)*(D_Points!$A$5:$A$204&lt;$B142+P_Interval)*(UPPER(TRIM(D_Points!$B$5:$B$204))="GULLY")*(D_Points!$H$5:$H$204&lt;&gt;"")),D_Points!$H$5:$H$204),"")</f>
        <v/>
      </c>
      <c r="I142" s="181" t="str">
        <f>IFERROR(LOOKUP(2,1/((A_Corridor!$A$5:$A$204&lt;&gt;"")*(A_Corridor!$A$5:$A$204&lt;=$B142)*(A_Corridor!$B$5:$B$204&gt;$B142)*(A_Corridor!$F$5:$F$204&lt;&gt;"")),IF(A_Corridor!$F$5:$F$204="-","",1)),"")</f>
        <v/>
      </c>
      <c r="J142" s="182" t="str">
        <f>IFERROR(LOOKUP(2,1/((A_Corridor!$A$5:$A$204&lt;&gt;"")*(A_Corridor!$A$5:$A$204&lt;=$B142)*(A_Corridor!$B$5:$B$204&gt;$B142)*(A_Corridor!$F$5:$F$204&lt;&gt;"")),IF(A_Corridor!$F$5:$F$204="-","",A_Corridor!$F$5:$F$204)),"")</f>
        <v/>
      </c>
      <c r="K142" s="182" t="str">
        <f>IFERROR(LOOKUP(2,1/((A_Corridor!$A$5:$A$204&lt;&gt;"")*(A_Corridor!$A$5:$A$204&lt;=$B142)*(A_Corridor!$B$5:$B$204&gt;$B142)*(A_Corridor!$G$5:$G$204&lt;&gt;"")),IF(A_Corridor!$G$5:$G$204="-","",A_Corridor!$G$5:$G$204)),"")</f>
        <v/>
      </c>
      <c r="L142" s="181" t="str">
        <f>IFERROR(LOOKUP(2,1/((A_Corridor!$A$5:$A$204&lt;&gt;"")*(A_Corridor!$A$5:$A$204&lt;=$B142)*(A_Corridor!$B$5:$B$204&gt;$B142)*(A_Corridor!$H$5:$H$204&lt;&gt;"")),IF(A_Corridor!$H$5:$H$204="-","",1)),"")</f>
        <v/>
      </c>
      <c r="M142" s="182" t="str">
        <f>IFERROR(LOOKUP(2,1/((A_Corridor!$A$5:$A$204&lt;&gt;"")*(A_Corridor!$A$5:$A$204&lt;=$B142)*(A_Corridor!$B$5:$B$204&gt;$B142)*(A_Corridor!$H$5:$H$204&lt;&gt;"")),IF(A_Corridor!$H$5:$H$204="-","",A_Corridor!$H$5:$H$204)),"")</f>
        <v/>
      </c>
      <c r="N142" s="182" t="str">
        <f>IFERROR(LOOKUP(2,1/((A_Corridor!$A$5:$A$204&lt;&gt;"")*(A_Corridor!$A$5:$A$204&lt;=$B142)*(A_Corridor!$B$5:$B$204&gt;$B142)*(A_Corridor!$I$5:$I$204&lt;&gt;"")),IF(A_Corridor!$I$5:$I$204="-","",A_Corridor!$I$5:$I$204)),"")</f>
        <v/>
      </c>
      <c r="O142" s="182" t="str">
        <f>IFERROR(LOOKUP(2,1/((D_Points!$A$5:$A$204&lt;&gt;"")*(D_Points!$A$5:$A$204&gt;=$B142)*(D_Points!$A$5:$A$204&lt;$B142+P_Interval)*(UPPER(TRIM(D_Points!$B$5:$B$204))="PITCHING")*(D_Points!$H$5:$H$204&lt;&gt;"")),D_Points!$H$5:$H$204),"")</f>
        <v/>
      </c>
      <c r="P142" s="181" t="str">
        <f>IFERROR(LOOKUP(2,1/((B_Drainage!$A$5:$A$204&lt;&gt;"")*(B_Drainage!$A$5:$A$204&lt;=$B142)*(B_Drainage!$B$5:$B$204&gt;$B142)*(B_Drainage!$C$5:$C$204&lt;&gt;"")),IF(B_Drainage!$C$5:$C$204="-","",UPPER(B_Drainage!$C$5:$C$204))),"")</f>
        <v/>
      </c>
      <c r="Q142" s="181" t="str">
        <f>IFERROR(LOOKUP(2,1/((B_Drainage!$A$5:$A$204&lt;&gt;"")*(B_Drainage!$A$5:$A$204&lt;=$B142)*(B_Drainage!$B$5:$B$204&gt;$B142)*(B_Drainage!$D$5:$D$204&lt;&gt;"")),IF(B_Drainage!$D$5:$D$204="-","",UPPER(B_Drainage!$D$5:$D$204))),"")</f>
        <v/>
      </c>
      <c r="R142" s="182" t="str">
        <f>IFERROR(LOOKUP(2,1/((D_Points!$A$5:$A$204&lt;&gt;"")*(D_Points!$A$5:$A$204&gt;=$B142)*(D_Points!$A$5:$A$204&lt;$B142+P_Interval)*(RIGHT(UPPER(TRIM(D_Points!$B$5:$B$204)),8)="_CULVERT")),IF(LEFT(UPPER(TRIM(D_Points!$B$5:$B$204)),2)="EX",1,IF(LEFT(UPPER(TRIM(D_Points!$B$5:$B$204)),2)="PR",2,3))),"")</f>
        <v/>
      </c>
      <c r="S142" s="182" t="str">
        <f>IFERROR(LOOKUP(2,1/((D_Points!$A$5:$A$204&lt;&gt;"")*(D_Points!$A$5:$A$204&gt;=$B142)*(D_Points!$A$5:$A$204&lt;$B142+P_Interval)*(RIGHT(UPPER(TRIM(D_Points!$B$5:$B$204)),7)="_BRIDGE")),IF(LEFT(UPPER(TRIM(D_Points!$B$5:$B$204)),2)="EX",1,IF(LEFT(UPPER(TRIM(D_Points!$B$5:$B$204)),2)="PR",2,2))),"")</f>
        <v/>
      </c>
      <c r="T142" s="181" t="str">
        <f>IFERROR(LOOKUP(2,1/((B_Drainage!$A$5:$A$204&lt;&gt;"")*(B_Drainage!$A$5:$A$204&lt;=$B142)*(B_Drainage!$B$5:$B$204&gt;$B142)*(B_Drainage!$E$5:$E$204&lt;&gt;"")),IF(B_Drainage!$E$5:$E$204="-","",1)),"")</f>
        <v/>
      </c>
      <c r="U142" s="181" t="str">
        <f>IFERROR(LOOKUP(2,1/((B_Drainage!$A$5:$A$204&lt;&gt;"")*(B_Drainage!$A$5:$A$204&lt;=$B142)*(B_Drainage!$B$5:$B$204&gt;$B142)*(B_Drainage!$E$5:$E$204&lt;&gt;"")),IF(B_Drainage!$E$5:$E$204="-","",B_Drainage!$E$5:$E$204)),"")</f>
        <v/>
      </c>
      <c r="V142" s="181" t="str">
        <f>IFERROR(LOOKUP(2,1/((B_Drainage!$A$5:$A$204&lt;&gt;"")*(B_Drainage!$A$5:$A$204&lt;=$B142)*(B_Drainage!$B$5:$B$204&gt;$B142)*(B_Drainage!$F$5:$F$204&lt;&gt;"")),IF(B_Drainage!$F$5:$F$204="-","",1)),"")</f>
        <v/>
      </c>
      <c r="W142" s="181" t="str">
        <f>IFERROR(LOOKUP(2,1/((B_Drainage!$A$5:$A$204&lt;&gt;"")*(B_Drainage!$A$5:$A$204&lt;=$B142)*(B_Drainage!$B$5:$B$204&gt;$B142)*(B_Drainage!$F$5:$F$204&lt;&gt;"")),IF(B_Drainage!$F$5:$F$204="-","",B_Drainage!$F$5:$F$204)),"")</f>
        <v/>
      </c>
      <c r="X142" s="181" t="str">
        <f>IFERROR(LOOKUP(2,1/((B_Drainage!$A$5:$A$204&lt;&gt;"")*(B_Drainage!$A$5:$A$204&lt;=$B142)*(B_Drainage!$B$5:$B$204&gt;$B142)*(B_Drainage!$G$5:$G$204&lt;&gt;"")),IF(UPPER(B_Drainage!$G$5:$G$204)="Y",1,"")),"")</f>
        <v/>
      </c>
      <c r="Y142" s="181" t="str">
        <f>IFERROR(LOOKUP(2,1/((B_Drainage!$A$5:$A$204&lt;&gt;"")*(B_Drainage!$A$5:$A$204&lt;=$B142)*(B_Drainage!$B$5:$B$204&gt;$B142)*(B_Drainage!$H$5:$H$204&lt;&gt;"")),IF(UPPER(B_Drainage!$H$5:$H$204)="Y",1,"")),"")</f>
        <v/>
      </c>
      <c r="Z142" s="181" t="str">
        <f>IFERROR(LOOKUP(2,1/((B_Drainage!$A$5:$A$204&lt;&gt;"")*(B_Drainage!$A$5:$A$204&lt;=$B142)*(B_Drainage!$B$5:$B$204&gt;$B142)*(B_Drainage!$I$5:$I$204&lt;&gt;"")),IF(UPPER(B_Drainage!$I$5:$I$204)="Y",1,"")),"")</f>
        <v/>
      </c>
      <c r="AA142" s="181" t="str">
        <f>IFERROR(LOOKUP(2,1/((B_Drainage!$A$5:$A$204&lt;&gt;"")*(B_Drainage!$A$5:$A$204&lt;=$B142)*(B_Drainage!$B$5:$B$204&gt;$B142)*(B_Drainage!$J$5:$J$204&lt;&gt;"")),IF(UPPER(B_Drainage!$J$5:$J$204)="Y",1,"")),"")</f>
        <v/>
      </c>
      <c r="AB142" s="182" t="str">
        <f>IFERROR(LOOKUP(2,1/((B_Drainage!$A$5:$A$204&lt;&gt;"")*(B_Drainage!$A$5:$A$204&lt;=$B142)*(B_Drainage!$B$5:$B$204&gt;$B142)*(B_Drainage!$K$5:$K$204&lt;&gt;"")),IF(B_Drainage!$K$5:$K$204="-","",B_Drainage!$K$5:$K$204)),"")</f>
        <v/>
      </c>
      <c r="AC142" s="182" t="str">
        <f>IFERROR(LOOKUP(2,1/((B_Drainage!$A$5:$A$204&lt;&gt;"")*(B_Drainage!$A$5:$A$204&lt;=$B142)*(B_Drainage!$B$5:$B$204&gt;$B142)*(B_Drainage!$L$5:$L$204&lt;&gt;"")),IF(B_Drainage!$L$5:$L$204="-","",B_Drainage!$L$5:$L$204)),"")</f>
        <v/>
      </c>
      <c r="AD142" s="182" t="str">
        <f>IFERROR(LOOKUP(2,1/((D_Points!$A$5:$A$204&lt;&gt;"")*(D_Points!$A$5:$A$204&gt;=$B142)*(D_Points!$A$5:$A$204&lt;$B142+P_Interval)*(UPPER(TRIM(D_Points!$B$5:$B$204))="TURNOUT_L")*(D_Points!$H$5:$H$204&lt;&gt;"")),D_Points!$H$5:$H$204),"")</f>
        <v/>
      </c>
      <c r="AE142" s="182" t="str">
        <f>IFERROR(LOOKUP(2,1/((D_Points!$A$5:$A$204&lt;&gt;"")*(D_Points!$A$5:$A$204&gt;=$B142)*(D_Points!$A$5:$A$204&lt;$B142+P_Interval)*(UPPER(TRIM(D_Points!$B$5:$B$204))="TURNOUT_R")*(D_Points!$H$5:$H$204&lt;&gt;"")),D_Points!$H$5:$H$204),"")</f>
        <v/>
      </c>
      <c r="AF142" s="181" t="str">
        <f>IFERROR(LOOKUP(2,1/((B_Drainage!$A$5:$A$204&lt;&gt;"")*(B_Drainage!$A$5:$A$204&lt;=$B142)*(B_Drainage!$B$5:$B$204&gt;$B142)*(B_Drainage!$M$5:$M$204&lt;&gt;"")),IF(UPPER(B_Drainage!$M$5:$M$204)="Y",1,"")),"")</f>
        <v/>
      </c>
      <c r="AG142" s="181" t="str">
        <f>IFERROR(LOOKUP(2,1/((B_Drainage!$A$5:$A$204&lt;&gt;"")*(B_Drainage!$A$5:$A$204&lt;=$B142)*(B_Drainage!$B$5:$B$204&gt;$B142)*(B_Drainage!$N$5:$N$204&lt;&gt;"")),IF(UPPER(B_Drainage!$N$5:$N$204)="Y",1,"")),"")</f>
        <v/>
      </c>
      <c r="AH142" s="181" t="str">
        <f t="shared" si="16"/>
        <v/>
      </c>
      <c r="AI142" s="181" t="str">
        <f t="shared" si="17"/>
        <v/>
      </c>
      <c r="AJ142" s="181" t="str">
        <f t="shared" si="18"/>
        <v/>
      </c>
      <c r="AK142" s="181" t="str">
        <f t="shared" si="19"/>
        <v/>
      </c>
      <c r="AL142" s="181" t="str">
        <f t="shared" si="20"/>
        <v/>
      </c>
      <c r="AM142" s="181" t="str">
        <f t="shared" si="21"/>
        <v/>
      </c>
      <c r="AN142" s="181" t="str">
        <f t="shared" si="22"/>
        <v/>
      </c>
      <c r="AO142" s="192" t="str">
        <f t="shared" si="23"/>
        <v/>
      </c>
      <c r="AQ142" t="str">
        <f>IFERROR(LOOKUP(2,1/((C_Pavement!$A$5:$A$204&lt;&gt;"")*(C_Pavement!$A$5:$A$204&lt;=$B142)*(C_Pavement!$B$5:$B$204&gt;$B142)*(C_Pavement!$C$5:$C$204&lt;&gt;"")),ROW(C_Pavement!$C$5:$C$204)-4),"")</f>
        <v/>
      </c>
      <c r="AR142" t="str">
        <f>IF($AQ142="","",UPPER(TRIM(INDEX(C_Pavement!$C$5:$C$204,$AQ142))))</f>
        <v/>
      </c>
      <c r="AS142" t="str">
        <f>IF($AR142="","",IFERROR(MATCH($AR142,E_Rules!$A$5:$A$9,0),""))</f>
        <v/>
      </c>
      <c r="AT142" t="str">
        <f>IF($AQ142="","",IF(INDEX(C_Pavement!$D$5:$D$204,$AQ142)&lt;&gt;"",UPPER(TRIM(INDEX(C_Pavement!$D$5:$D$204,$AQ142))),IF($AS142="","",INDEX(E_Rules!$C$5:$C$9,$AS142))))</f>
        <v/>
      </c>
      <c r="AU142" t="str">
        <f>IF($AQ142="","",IF(INDEX(C_Pavement!$E$5:$E$204,$AQ142)&lt;&gt;"",IF(INDEX(C_Pavement!$E$5:$E$204,$AQ142)="-","",INDEX(C_Pavement!$E$5:$E$204,$AQ142)),IF($AS142="","",INDEX(E_Rules!$D$5:$D$9,$AS142))))</f>
        <v/>
      </c>
      <c r="AV142" t="str">
        <f>IF($AQ142="","",IF(INDEX(C_Pavement!$F$5:$F$204,$AQ142)&lt;&gt;"",IF(INDEX(C_Pavement!$F$5:$F$204,$AQ142)="-","",INDEX(C_Pavement!$F$5:$F$204,$AQ142)),IF($AS142="","",INDEX(E_Rules!$E$5:$E$9,$AS142))))</f>
        <v/>
      </c>
      <c r="AW142" t="str">
        <f>IF($AQ142="","",IF(INDEX(C_Pavement!$G$5:$G$204,$AQ142)&lt;&gt;"",IF(INDEX(C_Pavement!$G$5:$G$204,$AQ142)="-","",INDEX(C_Pavement!$G$5:$G$204,$AQ142)),IF($AS142="","",INDEX(E_Rules!$F$5:$F$9,$AS142))))</f>
        <v/>
      </c>
      <c r="AX142" t="str">
        <f>IF($AQ142="","",IF(INDEX(C_Pavement!$H$5:$H$204,$AQ142)&lt;&gt;"",IF(INDEX(C_Pavement!$H$5:$H$204,$AQ142)="-","",INDEX(C_Pavement!$H$5:$H$204,$AQ142)),IF($AS142="","",INDEX(E_Rules!$G$5:$G$9,$AS142))))</f>
        <v/>
      </c>
      <c r="AY142" t="str">
        <f>IF($AQ142="","",IF(INDEX(C_Pavement!$I$5:$I$204,$AQ142)&lt;&gt;"",IF(INDEX(C_Pavement!$I$5:$I$204,$AQ142)="-","",INDEX(C_Pavement!$I$5:$I$204,$AQ142)),IF($AS142="","",INDEX(E_Rules!$H$5:$H$9,$AS142))))</f>
        <v/>
      </c>
    </row>
    <row r="143" spans="1:51" ht="15.75" customHeight="1" x14ac:dyDescent="0.3">
      <c r="A143" s="189">
        <v>138</v>
      </c>
      <c r="B143" s="180">
        <v>6850</v>
      </c>
      <c r="C143" s="180" t="s">
        <v>449</v>
      </c>
      <c r="D143" s="181" t="str">
        <f>IFERROR(LOOKUP(2,1/((A_Corridor!$A$5:$A$204&lt;&gt;"")*(A_Corridor!$A$5:$A$204&lt;=$B143)*(A_Corridor!$B$5:$B$204&gt;$B143)*(A_Corridor!$C$5:$C$204&lt;&gt;"")),IF(UPPER(A_Corridor!$C$5:$C$204)="Y",1,"")),"")</f>
        <v/>
      </c>
      <c r="E143" s="181" t="str">
        <f>IFERROR(LOOKUP(2,1/((A_Corridor!$A$5:$A$204&lt;&gt;"")*(A_Corridor!$A$5:$A$204&lt;=$B143)*(A_Corridor!$B$5:$B$204&gt;$B143)*(A_Corridor!$D$5:$D$204&lt;&gt;"")),IF(A_Corridor!$D$5:$D$204="-","",UPPER(A_Corridor!$D$5:$D$204))),"")</f>
        <v/>
      </c>
      <c r="F143" s="181" t="str">
        <f>IFERROR(LOOKUP(2,1/((A_Corridor!$A$5:$A$204&lt;&gt;"")*(A_Corridor!$A$5:$A$204&lt;=$B143)*(A_Corridor!$B$5:$B$204&gt;$B143)*(A_Corridor!$E$5:$E$204&lt;&gt;"")),IF(A_Corridor!$E$5:$E$204="-","",1)),"")</f>
        <v/>
      </c>
      <c r="G143" s="182" t="str">
        <f>IFERROR(LOOKUP(2,1/((A_Corridor!$A$5:$A$204&lt;&gt;"")*(A_Corridor!$A$5:$A$204&lt;=$B143)*(A_Corridor!$B$5:$B$204&gt;$B143)*(A_Corridor!$E$5:$E$204&lt;&gt;"")),IF(A_Corridor!$E$5:$E$204="-","",A_Corridor!$E$5:$E$204)),"")</f>
        <v/>
      </c>
      <c r="H143" s="182" t="str">
        <f>IFERROR(LOOKUP(2,1/((D_Points!$A$5:$A$204&lt;&gt;"")*(D_Points!$A$5:$A$204&gt;=$B143)*(D_Points!$A$5:$A$204&lt;$B143+P_Interval)*(UPPER(TRIM(D_Points!$B$5:$B$204))="GULLY")*(D_Points!$H$5:$H$204&lt;&gt;"")),D_Points!$H$5:$H$204),"")</f>
        <v/>
      </c>
      <c r="I143" s="181" t="str">
        <f>IFERROR(LOOKUP(2,1/((A_Corridor!$A$5:$A$204&lt;&gt;"")*(A_Corridor!$A$5:$A$204&lt;=$B143)*(A_Corridor!$B$5:$B$204&gt;$B143)*(A_Corridor!$F$5:$F$204&lt;&gt;"")),IF(A_Corridor!$F$5:$F$204="-","",1)),"")</f>
        <v/>
      </c>
      <c r="J143" s="182" t="str">
        <f>IFERROR(LOOKUP(2,1/((A_Corridor!$A$5:$A$204&lt;&gt;"")*(A_Corridor!$A$5:$A$204&lt;=$B143)*(A_Corridor!$B$5:$B$204&gt;$B143)*(A_Corridor!$F$5:$F$204&lt;&gt;"")),IF(A_Corridor!$F$5:$F$204="-","",A_Corridor!$F$5:$F$204)),"")</f>
        <v/>
      </c>
      <c r="K143" s="182" t="str">
        <f>IFERROR(LOOKUP(2,1/((A_Corridor!$A$5:$A$204&lt;&gt;"")*(A_Corridor!$A$5:$A$204&lt;=$B143)*(A_Corridor!$B$5:$B$204&gt;$B143)*(A_Corridor!$G$5:$G$204&lt;&gt;"")),IF(A_Corridor!$G$5:$G$204="-","",A_Corridor!$G$5:$G$204)),"")</f>
        <v/>
      </c>
      <c r="L143" s="181" t="str">
        <f>IFERROR(LOOKUP(2,1/((A_Corridor!$A$5:$A$204&lt;&gt;"")*(A_Corridor!$A$5:$A$204&lt;=$B143)*(A_Corridor!$B$5:$B$204&gt;$B143)*(A_Corridor!$H$5:$H$204&lt;&gt;"")),IF(A_Corridor!$H$5:$H$204="-","",1)),"")</f>
        <v/>
      </c>
      <c r="M143" s="182" t="str">
        <f>IFERROR(LOOKUP(2,1/((A_Corridor!$A$5:$A$204&lt;&gt;"")*(A_Corridor!$A$5:$A$204&lt;=$B143)*(A_Corridor!$B$5:$B$204&gt;$B143)*(A_Corridor!$H$5:$H$204&lt;&gt;"")),IF(A_Corridor!$H$5:$H$204="-","",A_Corridor!$H$5:$H$204)),"")</f>
        <v/>
      </c>
      <c r="N143" s="182" t="str">
        <f>IFERROR(LOOKUP(2,1/((A_Corridor!$A$5:$A$204&lt;&gt;"")*(A_Corridor!$A$5:$A$204&lt;=$B143)*(A_Corridor!$B$5:$B$204&gt;$B143)*(A_Corridor!$I$5:$I$204&lt;&gt;"")),IF(A_Corridor!$I$5:$I$204="-","",A_Corridor!$I$5:$I$204)),"")</f>
        <v/>
      </c>
      <c r="O143" s="182" t="str">
        <f>IFERROR(LOOKUP(2,1/((D_Points!$A$5:$A$204&lt;&gt;"")*(D_Points!$A$5:$A$204&gt;=$B143)*(D_Points!$A$5:$A$204&lt;$B143+P_Interval)*(UPPER(TRIM(D_Points!$B$5:$B$204))="PITCHING")*(D_Points!$H$5:$H$204&lt;&gt;"")),D_Points!$H$5:$H$204),"")</f>
        <v/>
      </c>
      <c r="P143" s="181" t="str">
        <f>IFERROR(LOOKUP(2,1/((B_Drainage!$A$5:$A$204&lt;&gt;"")*(B_Drainage!$A$5:$A$204&lt;=$B143)*(B_Drainage!$B$5:$B$204&gt;$B143)*(B_Drainage!$C$5:$C$204&lt;&gt;"")),IF(B_Drainage!$C$5:$C$204="-","",UPPER(B_Drainage!$C$5:$C$204))),"")</f>
        <v/>
      </c>
      <c r="Q143" s="181" t="str">
        <f>IFERROR(LOOKUP(2,1/((B_Drainage!$A$5:$A$204&lt;&gt;"")*(B_Drainage!$A$5:$A$204&lt;=$B143)*(B_Drainage!$B$5:$B$204&gt;$B143)*(B_Drainage!$D$5:$D$204&lt;&gt;"")),IF(B_Drainage!$D$5:$D$204="-","",UPPER(B_Drainage!$D$5:$D$204))),"")</f>
        <v/>
      </c>
      <c r="R143" s="182" t="str">
        <f>IFERROR(LOOKUP(2,1/((D_Points!$A$5:$A$204&lt;&gt;"")*(D_Points!$A$5:$A$204&gt;=$B143)*(D_Points!$A$5:$A$204&lt;$B143+P_Interval)*(RIGHT(UPPER(TRIM(D_Points!$B$5:$B$204)),8)="_CULVERT")),IF(LEFT(UPPER(TRIM(D_Points!$B$5:$B$204)),2)="EX",1,IF(LEFT(UPPER(TRIM(D_Points!$B$5:$B$204)),2)="PR",2,3))),"")</f>
        <v/>
      </c>
      <c r="S143" s="182" t="str">
        <f>IFERROR(LOOKUP(2,1/((D_Points!$A$5:$A$204&lt;&gt;"")*(D_Points!$A$5:$A$204&gt;=$B143)*(D_Points!$A$5:$A$204&lt;$B143+P_Interval)*(RIGHT(UPPER(TRIM(D_Points!$B$5:$B$204)),7)="_BRIDGE")),IF(LEFT(UPPER(TRIM(D_Points!$B$5:$B$204)),2)="EX",1,IF(LEFT(UPPER(TRIM(D_Points!$B$5:$B$204)),2)="PR",2,2))),"")</f>
        <v/>
      </c>
      <c r="T143" s="181" t="str">
        <f>IFERROR(LOOKUP(2,1/((B_Drainage!$A$5:$A$204&lt;&gt;"")*(B_Drainage!$A$5:$A$204&lt;=$B143)*(B_Drainage!$B$5:$B$204&gt;$B143)*(B_Drainage!$E$5:$E$204&lt;&gt;"")),IF(B_Drainage!$E$5:$E$204="-","",1)),"")</f>
        <v/>
      </c>
      <c r="U143" s="181" t="str">
        <f>IFERROR(LOOKUP(2,1/((B_Drainage!$A$5:$A$204&lt;&gt;"")*(B_Drainage!$A$5:$A$204&lt;=$B143)*(B_Drainage!$B$5:$B$204&gt;$B143)*(B_Drainage!$E$5:$E$204&lt;&gt;"")),IF(B_Drainage!$E$5:$E$204="-","",B_Drainage!$E$5:$E$204)),"")</f>
        <v/>
      </c>
      <c r="V143" s="181" t="str">
        <f>IFERROR(LOOKUP(2,1/((B_Drainage!$A$5:$A$204&lt;&gt;"")*(B_Drainage!$A$5:$A$204&lt;=$B143)*(B_Drainage!$B$5:$B$204&gt;$B143)*(B_Drainage!$F$5:$F$204&lt;&gt;"")),IF(B_Drainage!$F$5:$F$204="-","",1)),"")</f>
        <v/>
      </c>
      <c r="W143" s="181" t="str">
        <f>IFERROR(LOOKUP(2,1/((B_Drainage!$A$5:$A$204&lt;&gt;"")*(B_Drainage!$A$5:$A$204&lt;=$B143)*(B_Drainage!$B$5:$B$204&gt;$B143)*(B_Drainage!$F$5:$F$204&lt;&gt;"")),IF(B_Drainage!$F$5:$F$204="-","",B_Drainage!$F$5:$F$204)),"")</f>
        <v/>
      </c>
      <c r="X143" s="181" t="str">
        <f>IFERROR(LOOKUP(2,1/((B_Drainage!$A$5:$A$204&lt;&gt;"")*(B_Drainage!$A$5:$A$204&lt;=$B143)*(B_Drainage!$B$5:$B$204&gt;$B143)*(B_Drainage!$G$5:$G$204&lt;&gt;"")),IF(UPPER(B_Drainage!$G$5:$G$204)="Y",1,"")),"")</f>
        <v/>
      </c>
      <c r="Y143" s="181" t="str">
        <f>IFERROR(LOOKUP(2,1/((B_Drainage!$A$5:$A$204&lt;&gt;"")*(B_Drainage!$A$5:$A$204&lt;=$B143)*(B_Drainage!$B$5:$B$204&gt;$B143)*(B_Drainage!$H$5:$H$204&lt;&gt;"")),IF(UPPER(B_Drainage!$H$5:$H$204)="Y",1,"")),"")</f>
        <v/>
      </c>
      <c r="Z143" s="181" t="str">
        <f>IFERROR(LOOKUP(2,1/((B_Drainage!$A$5:$A$204&lt;&gt;"")*(B_Drainage!$A$5:$A$204&lt;=$B143)*(B_Drainage!$B$5:$B$204&gt;$B143)*(B_Drainage!$I$5:$I$204&lt;&gt;"")),IF(UPPER(B_Drainage!$I$5:$I$204)="Y",1,"")),"")</f>
        <v/>
      </c>
      <c r="AA143" s="181" t="str">
        <f>IFERROR(LOOKUP(2,1/((B_Drainage!$A$5:$A$204&lt;&gt;"")*(B_Drainage!$A$5:$A$204&lt;=$B143)*(B_Drainage!$B$5:$B$204&gt;$B143)*(B_Drainage!$J$5:$J$204&lt;&gt;"")),IF(UPPER(B_Drainage!$J$5:$J$204)="Y",1,"")),"")</f>
        <v/>
      </c>
      <c r="AB143" s="182" t="str">
        <f>IFERROR(LOOKUP(2,1/((B_Drainage!$A$5:$A$204&lt;&gt;"")*(B_Drainage!$A$5:$A$204&lt;=$B143)*(B_Drainage!$B$5:$B$204&gt;$B143)*(B_Drainage!$K$5:$K$204&lt;&gt;"")),IF(B_Drainage!$K$5:$K$204="-","",B_Drainage!$K$5:$K$204)),"")</f>
        <v/>
      </c>
      <c r="AC143" s="182" t="str">
        <f>IFERROR(LOOKUP(2,1/((B_Drainage!$A$5:$A$204&lt;&gt;"")*(B_Drainage!$A$5:$A$204&lt;=$B143)*(B_Drainage!$B$5:$B$204&gt;$B143)*(B_Drainage!$L$5:$L$204&lt;&gt;"")),IF(B_Drainage!$L$5:$L$204="-","",B_Drainage!$L$5:$L$204)),"")</f>
        <v/>
      </c>
      <c r="AD143" s="182" t="str">
        <f>IFERROR(LOOKUP(2,1/((D_Points!$A$5:$A$204&lt;&gt;"")*(D_Points!$A$5:$A$204&gt;=$B143)*(D_Points!$A$5:$A$204&lt;$B143+P_Interval)*(UPPER(TRIM(D_Points!$B$5:$B$204))="TURNOUT_L")*(D_Points!$H$5:$H$204&lt;&gt;"")),D_Points!$H$5:$H$204),"")</f>
        <v/>
      </c>
      <c r="AE143" s="182" t="str">
        <f>IFERROR(LOOKUP(2,1/((D_Points!$A$5:$A$204&lt;&gt;"")*(D_Points!$A$5:$A$204&gt;=$B143)*(D_Points!$A$5:$A$204&lt;$B143+P_Interval)*(UPPER(TRIM(D_Points!$B$5:$B$204))="TURNOUT_R")*(D_Points!$H$5:$H$204&lt;&gt;"")),D_Points!$H$5:$H$204),"")</f>
        <v/>
      </c>
      <c r="AF143" s="181" t="str">
        <f>IFERROR(LOOKUP(2,1/((B_Drainage!$A$5:$A$204&lt;&gt;"")*(B_Drainage!$A$5:$A$204&lt;=$B143)*(B_Drainage!$B$5:$B$204&gt;$B143)*(B_Drainage!$M$5:$M$204&lt;&gt;"")),IF(UPPER(B_Drainage!$M$5:$M$204)="Y",1,"")),"")</f>
        <v/>
      </c>
      <c r="AG143" s="181" t="str">
        <f>IFERROR(LOOKUP(2,1/((B_Drainage!$A$5:$A$204&lt;&gt;"")*(B_Drainage!$A$5:$A$204&lt;=$B143)*(B_Drainage!$B$5:$B$204&gt;$B143)*(B_Drainage!$N$5:$N$204&lt;&gt;"")),IF(UPPER(B_Drainage!$N$5:$N$204)="Y",1,"")),"")</f>
        <v/>
      </c>
      <c r="AH143" s="181" t="str">
        <f t="shared" si="16"/>
        <v/>
      </c>
      <c r="AI143" s="181" t="str">
        <f t="shared" si="17"/>
        <v/>
      </c>
      <c r="AJ143" s="181" t="str">
        <f t="shared" si="18"/>
        <v/>
      </c>
      <c r="AK143" s="181" t="str">
        <f t="shared" si="19"/>
        <v/>
      </c>
      <c r="AL143" s="181" t="str">
        <f t="shared" si="20"/>
        <v/>
      </c>
      <c r="AM143" s="181" t="str">
        <f t="shared" si="21"/>
        <v/>
      </c>
      <c r="AN143" s="181" t="str">
        <f t="shared" si="22"/>
        <v/>
      </c>
      <c r="AO143" s="192" t="str">
        <f t="shared" si="23"/>
        <v/>
      </c>
      <c r="AQ143" t="str">
        <f>IFERROR(LOOKUP(2,1/((C_Pavement!$A$5:$A$204&lt;&gt;"")*(C_Pavement!$A$5:$A$204&lt;=$B143)*(C_Pavement!$B$5:$B$204&gt;$B143)*(C_Pavement!$C$5:$C$204&lt;&gt;"")),ROW(C_Pavement!$C$5:$C$204)-4),"")</f>
        <v/>
      </c>
      <c r="AR143" t="str">
        <f>IF($AQ143="","",UPPER(TRIM(INDEX(C_Pavement!$C$5:$C$204,$AQ143))))</f>
        <v/>
      </c>
      <c r="AS143" t="str">
        <f>IF($AR143="","",IFERROR(MATCH($AR143,E_Rules!$A$5:$A$9,0),""))</f>
        <v/>
      </c>
      <c r="AT143" t="str">
        <f>IF($AQ143="","",IF(INDEX(C_Pavement!$D$5:$D$204,$AQ143)&lt;&gt;"",UPPER(TRIM(INDEX(C_Pavement!$D$5:$D$204,$AQ143))),IF($AS143="","",INDEX(E_Rules!$C$5:$C$9,$AS143))))</f>
        <v/>
      </c>
      <c r="AU143" t="str">
        <f>IF($AQ143="","",IF(INDEX(C_Pavement!$E$5:$E$204,$AQ143)&lt;&gt;"",IF(INDEX(C_Pavement!$E$5:$E$204,$AQ143)="-","",INDEX(C_Pavement!$E$5:$E$204,$AQ143)),IF($AS143="","",INDEX(E_Rules!$D$5:$D$9,$AS143))))</f>
        <v/>
      </c>
      <c r="AV143" t="str">
        <f>IF($AQ143="","",IF(INDEX(C_Pavement!$F$5:$F$204,$AQ143)&lt;&gt;"",IF(INDEX(C_Pavement!$F$5:$F$204,$AQ143)="-","",INDEX(C_Pavement!$F$5:$F$204,$AQ143)),IF($AS143="","",INDEX(E_Rules!$E$5:$E$9,$AS143))))</f>
        <v/>
      </c>
      <c r="AW143" t="str">
        <f>IF($AQ143="","",IF(INDEX(C_Pavement!$G$5:$G$204,$AQ143)&lt;&gt;"",IF(INDEX(C_Pavement!$G$5:$G$204,$AQ143)="-","",INDEX(C_Pavement!$G$5:$G$204,$AQ143)),IF($AS143="","",INDEX(E_Rules!$F$5:$F$9,$AS143))))</f>
        <v/>
      </c>
      <c r="AX143" t="str">
        <f>IF($AQ143="","",IF(INDEX(C_Pavement!$H$5:$H$204,$AQ143)&lt;&gt;"",IF(INDEX(C_Pavement!$H$5:$H$204,$AQ143)="-","",INDEX(C_Pavement!$H$5:$H$204,$AQ143)),IF($AS143="","",INDEX(E_Rules!$G$5:$G$9,$AS143))))</f>
        <v/>
      </c>
      <c r="AY143" t="str">
        <f>IF($AQ143="","",IF(INDEX(C_Pavement!$I$5:$I$204,$AQ143)&lt;&gt;"",IF(INDEX(C_Pavement!$I$5:$I$204,$AQ143)="-","",INDEX(C_Pavement!$I$5:$I$204,$AQ143)),IF($AS143="","",INDEX(E_Rules!$H$5:$H$9,$AS143))))</f>
        <v/>
      </c>
    </row>
    <row r="144" spans="1:51" ht="15.75" customHeight="1" x14ac:dyDescent="0.3">
      <c r="A144" s="189">
        <v>139</v>
      </c>
      <c r="B144" s="180">
        <v>6900</v>
      </c>
      <c r="C144" s="180" t="s">
        <v>450</v>
      </c>
      <c r="D144" s="181" t="str">
        <f>IFERROR(LOOKUP(2,1/((A_Corridor!$A$5:$A$204&lt;&gt;"")*(A_Corridor!$A$5:$A$204&lt;=$B144)*(A_Corridor!$B$5:$B$204&gt;$B144)*(A_Corridor!$C$5:$C$204&lt;&gt;"")),IF(UPPER(A_Corridor!$C$5:$C$204)="Y",1,"")),"")</f>
        <v/>
      </c>
      <c r="E144" s="181" t="str">
        <f>IFERROR(LOOKUP(2,1/((A_Corridor!$A$5:$A$204&lt;&gt;"")*(A_Corridor!$A$5:$A$204&lt;=$B144)*(A_Corridor!$B$5:$B$204&gt;$B144)*(A_Corridor!$D$5:$D$204&lt;&gt;"")),IF(A_Corridor!$D$5:$D$204="-","",UPPER(A_Corridor!$D$5:$D$204))),"")</f>
        <v/>
      </c>
      <c r="F144" s="181" t="str">
        <f>IFERROR(LOOKUP(2,1/((A_Corridor!$A$5:$A$204&lt;&gt;"")*(A_Corridor!$A$5:$A$204&lt;=$B144)*(A_Corridor!$B$5:$B$204&gt;$B144)*(A_Corridor!$E$5:$E$204&lt;&gt;"")),IF(A_Corridor!$E$5:$E$204="-","",1)),"")</f>
        <v/>
      </c>
      <c r="G144" s="182" t="str">
        <f>IFERROR(LOOKUP(2,1/((A_Corridor!$A$5:$A$204&lt;&gt;"")*(A_Corridor!$A$5:$A$204&lt;=$B144)*(A_Corridor!$B$5:$B$204&gt;$B144)*(A_Corridor!$E$5:$E$204&lt;&gt;"")),IF(A_Corridor!$E$5:$E$204="-","",A_Corridor!$E$5:$E$204)),"")</f>
        <v/>
      </c>
      <c r="H144" s="182" t="str">
        <f>IFERROR(LOOKUP(2,1/((D_Points!$A$5:$A$204&lt;&gt;"")*(D_Points!$A$5:$A$204&gt;=$B144)*(D_Points!$A$5:$A$204&lt;$B144+P_Interval)*(UPPER(TRIM(D_Points!$B$5:$B$204))="GULLY")*(D_Points!$H$5:$H$204&lt;&gt;"")),D_Points!$H$5:$H$204),"")</f>
        <v/>
      </c>
      <c r="I144" s="181" t="str">
        <f>IFERROR(LOOKUP(2,1/((A_Corridor!$A$5:$A$204&lt;&gt;"")*(A_Corridor!$A$5:$A$204&lt;=$B144)*(A_Corridor!$B$5:$B$204&gt;$B144)*(A_Corridor!$F$5:$F$204&lt;&gt;"")),IF(A_Corridor!$F$5:$F$204="-","",1)),"")</f>
        <v/>
      </c>
      <c r="J144" s="182" t="str">
        <f>IFERROR(LOOKUP(2,1/((A_Corridor!$A$5:$A$204&lt;&gt;"")*(A_Corridor!$A$5:$A$204&lt;=$B144)*(A_Corridor!$B$5:$B$204&gt;$B144)*(A_Corridor!$F$5:$F$204&lt;&gt;"")),IF(A_Corridor!$F$5:$F$204="-","",A_Corridor!$F$5:$F$204)),"")</f>
        <v/>
      </c>
      <c r="K144" s="182" t="str">
        <f>IFERROR(LOOKUP(2,1/((A_Corridor!$A$5:$A$204&lt;&gt;"")*(A_Corridor!$A$5:$A$204&lt;=$B144)*(A_Corridor!$B$5:$B$204&gt;$B144)*(A_Corridor!$G$5:$G$204&lt;&gt;"")),IF(A_Corridor!$G$5:$G$204="-","",A_Corridor!$G$5:$G$204)),"")</f>
        <v/>
      </c>
      <c r="L144" s="181" t="str">
        <f>IFERROR(LOOKUP(2,1/((A_Corridor!$A$5:$A$204&lt;&gt;"")*(A_Corridor!$A$5:$A$204&lt;=$B144)*(A_Corridor!$B$5:$B$204&gt;$B144)*(A_Corridor!$H$5:$H$204&lt;&gt;"")),IF(A_Corridor!$H$5:$H$204="-","",1)),"")</f>
        <v/>
      </c>
      <c r="M144" s="182" t="str">
        <f>IFERROR(LOOKUP(2,1/((A_Corridor!$A$5:$A$204&lt;&gt;"")*(A_Corridor!$A$5:$A$204&lt;=$B144)*(A_Corridor!$B$5:$B$204&gt;$B144)*(A_Corridor!$H$5:$H$204&lt;&gt;"")),IF(A_Corridor!$H$5:$H$204="-","",A_Corridor!$H$5:$H$204)),"")</f>
        <v/>
      </c>
      <c r="N144" s="182" t="str">
        <f>IFERROR(LOOKUP(2,1/((A_Corridor!$A$5:$A$204&lt;&gt;"")*(A_Corridor!$A$5:$A$204&lt;=$B144)*(A_Corridor!$B$5:$B$204&gt;$B144)*(A_Corridor!$I$5:$I$204&lt;&gt;"")),IF(A_Corridor!$I$5:$I$204="-","",A_Corridor!$I$5:$I$204)),"")</f>
        <v/>
      </c>
      <c r="O144" s="182" t="str">
        <f>IFERROR(LOOKUP(2,1/((D_Points!$A$5:$A$204&lt;&gt;"")*(D_Points!$A$5:$A$204&gt;=$B144)*(D_Points!$A$5:$A$204&lt;$B144+P_Interval)*(UPPER(TRIM(D_Points!$B$5:$B$204))="PITCHING")*(D_Points!$H$5:$H$204&lt;&gt;"")),D_Points!$H$5:$H$204),"")</f>
        <v/>
      </c>
      <c r="P144" s="181" t="str">
        <f>IFERROR(LOOKUP(2,1/((B_Drainage!$A$5:$A$204&lt;&gt;"")*(B_Drainage!$A$5:$A$204&lt;=$B144)*(B_Drainage!$B$5:$B$204&gt;$B144)*(B_Drainage!$C$5:$C$204&lt;&gt;"")),IF(B_Drainage!$C$5:$C$204="-","",UPPER(B_Drainage!$C$5:$C$204))),"")</f>
        <v/>
      </c>
      <c r="Q144" s="181" t="str">
        <f>IFERROR(LOOKUP(2,1/((B_Drainage!$A$5:$A$204&lt;&gt;"")*(B_Drainage!$A$5:$A$204&lt;=$B144)*(B_Drainage!$B$5:$B$204&gt;$B144)*(B_Drainage!$D$5:$D$204&lt;&gt;"")),IF(B_Drainage!$D$5:$D$204="-","",UPPER(B_Drainage!$D$5:$D$204))),"")</f>
        <v/>
      </c>
      <c r="R144" s="182" t="str">
        <f>IFERROR(LOOKUP(2,1/((D_Points!$A$5:$A$204&lt;&gt;"")*(D_Points!$A$5:$A$204&gt;=$B144)*(D_Points!$A$5:$A$204&lt;$B144+P_Interval)*(RIGHT(UPPER(TRIM(D_Points!$B$5:$B$204)),8)="_CULVERT")),IF(LEFT(UPPER(TRIM(D_Points!$B$5:$B$204)),2)="EX",1,IF(LEFT(UPPER(TRIM(D_Points!$B$5:$B$204)),2)="PR",2,3))),"")</f>
        <v/>
      </c>
      <c r="S144" s="182" t="str">
        <f>IFERROR(LOOKUP(2,1/((D_Points!$A$5:$A$204&lt;&gt;"")*(D_Points!$A$5:$A$204&gt;=$B144)*(D_Points!$A$5:$A$204&lt;$B144+P_Interval)*(RIGHT(UPPER(TRIM(D_Points!$B$5:$B$204)),7)="_BRIDGE")),IF(LEFT(UPPER(TRIM(D_Points!$B$5:$B$204)),2)="EX",1,IF(LEFT(UPPER(TRIM(D_Points!$B$5:$B$204)),2)="PR",2,2))),"")</f>
        <v/>
      </c>
      <c r="T144" s="181" t="str">
        <f>IFERROR(LOOKUP(2,1/((B_Drainage!$A$5:$A$204&lt;&gt;"")*(B_Drainage!$A$5:$A$204&lt;=$B144)*(B_Drainage!$B$5:$B$204&gt;$B144)*(B_Drainage!$E$5:$E$204&lt;&gt;"")),IF(B_Drainage!$E$5:$E$204="-","",1)),"")</f>
        <v/>
      </c>
      <c r="U144" s="181" t="str">
        <f>IFERROR(LOOKUP(2,1/((B_Drainage!$A$5:$A$204&lt;&gt;"")*(B_Drainage!$A$5:$A$204&lt;=$B144)*(B_Drainage!$B$5:$B$204&gt;$B144)*(B_Drainage!$E$5:$E$204&lt;&gt;"")),IF(B_Drainage!$E$5:$E$204="-","",B_Drainage!$E$5:$E$204)),"")</f>
        <v/>
      </c>
      <c r="V144" s="181" t="str">
        <f>IFERROR(LOOKUP(2,1/((B_Drainage!$A$5:$A$204&lt;&gt;"")*(B_Drainage!$A$5:$A$204&lt;=$B144)*(B_Drainage!$B$5:$B$204&gt;$B144)*(B_Drainage!$F$5:$F$204&lt;&gt;"")),IF(B_Drainage!$F$5:$F$204="-","",1)),"")</f>
        <v/>
      </c>
      <c r="W144" s="181" t="str">
        <f>IFERROR(LOOKUP(2,1/((B_Drainage!$A$5:$A$204&lt;&gt;"")*(B_Drainage!$A$5:$A$204&lt;=$B144)*(B_Drainage!$B$5:$B$204&gt;$B144)*(B_Drainage!$F$5:$F$204&lt;&gt;"")),IF(B_Drainage!$F$5:$F$204="-","",B_Drainage!$F$5:$F$204)),"")</f>
        <v/>
      </c>
      <c r="X144" s="181" t="str">
        <f>IFERROR(LOOKUP(2,1/((B_Drainage!$A$5:$A$204&lt;&gt;"")*(B_Drainage!$A$5:$A$204&lt;=$B144)*(B_Drainage!$B$5:$B$204&gt;$B144)*(B_Drainage!$G$5:$G$204&lt;&gt;"")),IF(UPPER(B_Drainage!$G$5:$G$204)="Y",1,"")),"")</f>
        <v/>
      </c>
      <c r="Y144" s="181" t="str">
        <f>IFERROR(LOOKUP(2,1/((B_Drainage!$A$5:$A$204&lt;&gt;"")*(B_Drainage!$A$5:$A$204&lt;=$B144)*(B_Drainage!$B$5:$B$204&gt;$B144)*(B_Drainage!$H$5:$H$204&lt;&gt;"")),IF(UPPER(B_Drainage!$H$5:$H$204)="Y",1,"")),"")</f>
        <v/>
      </c>
      <c r="Z144" s="181" t="str">
        <f>IFERROR(LOOKUP(2,1/((B_Drainage!$A$5:$A$204&lt;&gt;"")*(B_Drainage!$A$5:$A$204&lt;=$B144)*(B_Drainage!$B$5:$B$204&gt;$B144)*(B_Drainage!$I$5:$I$204&lt;&gt;"")),IF(UPPER(B_Drainage!$I$5:$I$204)="Y",1,"")),"")</f>
        <v/>
      </c>
      <c r="AA144" s="181" t="str">
        <f>IFERROR(LOOKUP(2,1/((B_Drainage!$A$5:$A$204&lt;&gt;"")*(B_Drainage!$A$5:$A$204&lt;=$B144)*(B_Drainage!$B$5:$B$204&gt;$B144)*(B_Drainage!$J$5:$J$204&lt;&gt;"")),IF(UPPER(B_Drainage!$J$5:$J$204)="Y",1,"")),"")</f>
        <v/>
      </c>
      <c r="AB144" s="182" t="str">
        <f>IFERROR(LOOKUP(2,1/((B_Drainage!$A$5:$A$204&lt;&gt;"")*(B_Drainage!$A$5:$A$204&lt;=$B144)*(B_Drainage!$B$5:$B$204&gt;$B144)*(B_Drainage!$K$5:$K$204&lt;&gt;"")),IF(B_Drainage!$K$5:$K$204="-","",B_Drainage!$K$5:$K$204)),"")</f>
        <v/>
      </c>
      <c r="AC144" s="182" t="str">
        <f>IFERROR(LOOKUP(2,1/((B_Drainage!$A$5:$A$204&lt;&gt;"")*(B_Drainage!$A$5:$A$204&lt;=$B144)*(B_Drainage!$B$5:$B$204&gt;$B144)*(B_Drainage!$L$5:$L$204&lt;&gt;"")),IF(B_Drainage!$L$5:$L$204="-","",B_Drainage!$L$5:$L$204)),"")</f>
        <v/>
      </c>
      <c r="AD144" s="182" t="str">
        <f>IFERROR(LOOKUP(2,1/((D_Points!$A$5:$A$204&lt;&gt;"")*(D_Points!$A$5:$A$204&gt;=$B144)*(D_Points!$A$5:$A$204&lt;$B144+P_Interval)*(UPPER(TRIM(D_Points!$B$5:$B$204))="TURNOUT_L")*(D_Points!$H$5:$H$204&lt;&gt;"")),D_Points!$H$5:$H$204),"")</f>
        <v/>
      </c>
      <c r="AE144" s="182" t="str">
        <f>IFERROR(LOOKUP(2,1/((D_Points!$A$5:$A$204&lt;&gt;"")*(D_Points!$A$5:$A$204&gt;=$B144)*(D_Points!$A$5:$A$204&lt;$B144+P_Interval)*(UPPER(TRIM(D_Points!$B$5:$B$204))="TURNOUT_R")*(D_Points!$H$5:$H$204&lt;&gt;"")),D_Points!$H$5:$H$204),"")</f>
        <v/>
      </c>
      <c r="AF144" s="181" t="str">
        <f>IFERROR(LOOKUP(2,1/((B_Drainage!$A$5:$A$204&lt;&gt;"")*(B_Drainage!$A$5:$A$204&lt;=$B144)*(B_Drainage!$B$5:$B$204&gt;$B144)*(B_Drainage!$M$5:$M$204&lt;&gt;"")),IF(UPPER(B_Drainage!$M$5:$M$204)="Y",1,"")),"")</f>
        <v/>
      </c>
      <c r="AG144" s="181" t="str">
        <f>IFERROR(LOOKUP(2,1/((B_Drainage!$A$5:$A$204&lt;&gt;"")*(B_Drainage!$A$5:$A$204&lt;=$B144)*(B_Drainage!$B$5:$B$204&gt;$B144)*(B_Drainage!$N$5:$N$204&lt;&gt;"")),IF(UPPER(B_Drainage!$N$5:$N$204)="Y",1,"")),"")</f>
        <v/>
      </c>
      <c r="AH144" s="181" t="str">
        <f t="shared" si="16"/>
        <v/>
      </c>
      <c r="AI144" s="181" t="str">
        <f t="shared" si="17"/>
        <v/>
      </c>
      <c r="AJ144" s="181" t="str">
        <f t="shared" si="18"/>
        <v/>
      </c>
      <c r="AK144" s="181" t="str">
        <f t="shared" si="19"/>
        <v/>
      </c>
      <c r="AL144" s="181" t="str">
        <f t="shared" si="20"/>
        <v/>
      </c>
      <c r="AM144" s="181" t="str">
        <f t="shared" si="21"/>
        <v/>
      </c>
      <c r="AN144" s="181" t="str">
        <f t="shared" si="22"/>
        <v/>
      </c>
      <c r="AO144" s="192" t="str">
        <f t="shared" si="23"/>
        <v/>
      </c>
      <c r="AQ144" t="str">
        <f>IFERROR(LOOKUP(2,1/((C_Pavement!$A$5:$A$204&lt;&gt;"")*(C_Pavement!$A$5:$A$204&lt;=$B144)*(C_Pavement!$B$5:$B$204&gt;$B144)*(C_Pavement!$C$5:$C$204&lt;&gt;"")),ROW(C_Pavement!$C$5:$C$204)-4),"")</f>
        <v/>
      </c>
      <c r="AR144" t="str">
        <f>IF($AQ144="","",UPPER(TRIM(INDEX(C_Pavement!$C$5:$C$204,$AQ144))))</f>
        <v/>
      </c>
      <c r="AS144" t="str">
        <f>IF($AR144="","",IFERROR(MATCH($AR144,E_Rules!$A$5:$A$9,0),""))</f>
        <v/>
      </c>
      <c r="AT144" t="str">
        <f>IF($AQ144="","",IF(INDEX(C_Pavement!$D$5:$D$204,$AQ144)&lt;&gt;"",UPPER(TRIM(INDEX(C_Pavement!$D$5:$D$204,$AQ144))),IF($AS144="","",INDEX(E_Rules!$C$5:$C$9,$AS144))))</f>
        <v/>
      </c>
      <c r="AU144" t="str">
        <f>IF($AQ144="","",IF(INDEX(C_Pavement!$E$5:$E$204,$AQ144)&lt;&gt;"",IF(INDEX(C_Pavement!$E$5:$E$204,$AQ144)="-","",INDEX(C_Pavement!$E$5:$E$204,$AQ144)),IF($AS144="","",INDEX(E_Rules!$D$5:$D$9,$AS144))))</f>
        <v/>
      </c>
      <c r="AV144" t="str">
        <f>IF($AQ144="","",IF(INDEX(C_Pavement!$F$5:$F$204,$AQ144)&lt;&gt;"",IF(INDEX(C_Pavement!$F$5:$F$204,$AQ144)="-","",INDEX(C_Pavement!$F$5:$F$204,$AQ144)),IF($AS144="","",INDEX(E_Rules!$E$5:$E$9,$AS144))))</f>
        <v/>
      </c>
      <c r="AW144" t="str">
        <f>IF($AQ144="","",IF(INDEX(C_Pavement!$G$5:$G$204,$AQ144)&lt;&gt;"",IF(INDEX(C_Pavement!$G$5:$G$204,$AQ144)="-","",INDEX(C_Pavement!$G$5:$G$204,$AQ144)),IF($AS144="","",INDEX(E_Rules!$F$5:$F$9,$AS144))))</f>
        <v/>
      </c>
      <c r="AX144" t="str">
        <f>IF($AQ144="","",IF(INDEX(C_Pavement!$H$5:$H$204,$AQ144)&lt;&gt;"",IF(INDEX(C_Pavement!$H$5:$H$204,$AQ144)="-","",INDEX(C_Pavement!$H$5:$H$204,$AQ144)),IF($AS144="","",INDEX(E_Rules!$G$5:$G$9,$AS144))))</f>
        <v/>
      </c>
      <c r="AY144" t="str">
        <f>IF($AQ144="","",IF(INDEX(C_Pavement!$I$5:$I$204,$AQ144)&lt;&gt;"",IF(INDEX(C_Pavement!$I$5:$I$204,$AQ144)="-","",INDEX(C_Pavement!$I$5:$I$204,$AQ144)),IF($AS144="","",INDEX(E_Rules!$H$5:$H$9,$AS144))))</f>
        <v/>
      </c>
    </row>
    <row r="145" spans="1:51" ht="15.75" customHeight="1" x14ac:dyDescent="0.3">
      <c r="A145" s="189">
        <v>140</v>
      </c>
      <c r="B145" s="180">
        <v>6950</v>
      </c>
      <c r="C145" s="180" t="s">
        <v>451</v>
      </c>
      <c r="D145" s="181" t="str">
        <f>IFERROR(LOOKUP(2,1/((A_Corridor!$A$5:$A$204&lt;&gt;"")*(A_Corridor!$A$5:$A$204&lt;=$B145)*(A_Corridor!$B$5:$B$204&gt;$B145)*(A_Corridor!$C$5:$C$204&lt;&gt;"")),IF(UPPER(A_Corridor!$C$5:$C$204)="Y",1,"")),"")</f>
        <v/>
      </c>
      <c r="E145" s="181" t="str">
        <f>IFERROR(LOOKUP(2,1/((A_Corridor!$A$5:$A$204&lt;&gt;"")*(A_Corridor!$A$5:$A$204&lt;=$B145)*(A_Corridor!$B$5:$B$204&gt;$B145)*(A_Corridor!$D$5:$D$204&lt;&gt;"")),IF(A_Corridor!$D$5:$D$204="-","",UPPER(A_Corridor!$D$5:$D$204))),"")</f>
        <v/>
      </c>
      <c r="F145" s="181" t="str">
        <f>IFERROR(LOOKUP(2,1/((A_Corridor!$A$5:$A$204&lt;&gt;"")*(A_Corridor!$A$5:$A$204&lt;=$B145)*(A_Corridor!$B$5:$B$204&gt;$B145)*(A_Corridor!$E$5:$E$204&lt;&gt;"")),IF(A_Corridor!$E$5:$E$204="-","",1)),"")</f>
        <v/>
      </c>
      <c r="G145" s="182" t="str">
        <f>IFERROR(LOOKUP(2,1/((A_Corridor!$A$5:$A$204&lt;&gt;"")*(A_Corridor!$A$5:$A$204&lt;=$B145)*(A_Corridor!$B$5:$B$204&gt;$B145)*(A_Corridor!$E$5:$E$204&lt;&gt;"")),IF(A_Corridor!$E$5:$E$204="-","",A_Corridor!$E$5:$E$204)),"")</f>
        <v/>
      </c>
      <c r="H145" s="182" t="str">
        <f>IFERROR(LOOKUP(2,1/((D_Points!$A$5:$A$204&lt;&gt;"")*(D_Points!$A$5:$A$204&gt;=$B145)*(D_Points!$A$5:$A$204&lt;$B145+P_Interval)*(UPPER(TRIM(D_Points!$B$5:$B$204))="GULLY")*(D_Points!$H$5:$H$204&lt;&gt;"")),D_Points!$H$5:$H$204),"")</f>
        <v/>
      </c>
      <c r="I145" s="181" t="str">
        <f>IFERROR(LOOKUP(2,1/((A_Corridor!$A$5:$A$204&lt;&gt;"")*(A_Corridor!$A$5:$A$204&lt;=$B145)*(A_Corridor!$B$5:$B$204&gt;$B145)*(A_Corridor!$F$5:$F$204&lt;&gt;"")),IF(A_Corridor!$F$5:$F$204="-","",1)),"")</f>
        <v/>
      </c>
      <c r="J145" s="182" t="str">
        <f>IFERROR(LOOKUP(2,1/((A_Corridor!$A$5:$A$204&lt;&gt;"")*(A_Corridor!$A$5:$A$204&lt;=$B145)*(A_Corridor!$B$5:$B$204&gt;$B145)*(A_Corridor!$F$5:$F$204&lt;&gt;"")),IF(A_Corridor!$F$5:$F$204="-","",A_Corridor!$F$5:$F$204)),"")</f>
        <v/>
      </c>
      <c r="K145" s="182" t="str">
        <f>IFERROR(LOOKUP(2,1/((A_Corridor!$A$5:$A$204&lt;&gt;"")*(A_Corridor!$A$5:$A$204&lt;=$B145)*(A_Corridor!$B$5:$B$204&gt;$B145)*(A_Corridor!$G$5:$G$204&lt;&gt;"")),IF(A_Corridor!$G$5:$G$204="-","",A_Corridor!$G$5:$G$204)),"")</f>
        <v/>
      </c>
      <c r="L145" s="181" t="str">
        <f>IFERROR(LOOKUP(2,1/((A_Corridor!$A$5:$A$204&lt;&gt;"")*(A_Corridor!$A$5:$A$204&lt;=$B145)*(A_Corridor!$B$5:$B$204&gt;$B145)*(A_Corridor!$H$5:$H$204&lt;&gt;"")),IF(A_Corridor!$H$5:$H$204="-","",1)),"")</f>
        <v/>
      </c>
      <c r="M145" s="182" t="str">
        <f>IFERROR(LOOKUP(2,1/((A_Corridor!$A$5:$A$204&lt;&gt;"")*(A_Corridor!$A$5:$A$204&lt;=$B145)*(A_Corridor!$B$5:$B$204&gt;$B145)*(A_Corridor!$H$5:$H$204&lt;&gt;"")),IF(A_Corridor!$H$5:$H$204="-","",A_Corridor!$H$5:$H$204)),"")</f>
        <v/>
      </c>
      <c r="N145" s="182" t="str">
        <f>IFERROR(LOOKUP(2,1/((A_Corridor!$A$5:$A$204&lt;&gt;"")*(A_Corridor!$A$5:$A$204&lt;=$B145)*(A_Corridor!$B$5:$B$204&gt;$B145)*(A_Corridor!$I$5:$I$204&lt;&gt;"")),IF(A_Corridor!$I$5:$I$204="-","",A_Corridor!$I$5:$I$204)),"")</f>
        <v/>
      </c>
      <c r="O145" s="182" t="str">
        <f>IFERROR(LOOKUP(2,1/((D_Points!$A$5:$A$204&lt;&gt;"")*(D_Points!$A$5:$A$204&gt;=$B145)*(D_Points!$A$5:$A$204&lt;$B145+P_Interval)*(UPPER(TRIM(D_Points!$B$5:$B$204))="PITCHING")*(D_Points!$H$5:$H$204&lt;&gt;"")),D_Points!$H$5:$H$204),"")</f>
        <v/>
      </c>
      <c r="P145" s="181" t="str">
        <f>IFERROR(LOOKUP(2,1/((B_Drainage!$A$5:$A$204&lt;&gt;"")*(B_Drainage!$A$5:$A$204&lt;=$B145)*(B_Drainage!$B$5:$B$204&gt;$B145)*(B_Drainage!$C$5:$C$204&lt;&gt;"")),IF(B_Drainage!$C$5:$C$204="-","",UPPER(B_Drainage!$C$5:$C$204))),"")</f>
        <v/>
      </c>
      <c r="Q145" s="181" t="str">
        <f>IFERROR(LOOKUP(2,1/((B_Drainage!$A$5:$A$204&lt;&gt;"")*(B_Drainage!$A$5:$A$204&lt;=$B145)*(B_Drainage!$B$5:$B$204&gt;$B145)*(B_Drainage!$D$5:$D$204&lt;&gt;"")),IF(B_Drainage!$D$5:$D$204="-","",UPPER(B_Drainage!$D$5:$D$204))),"")</f>
        <v/>
      </c>
      <c r="R145" s="182" t="str">
        <f>IFERROR(LOOKUP(2,1/((D_Points!$A$5:$A$204&lt;&gt;"")*(D_Points!$A$5:$A$204&gt;=$B145)*(D_Points!$A$5:$A$204&lt;$B145+P_Interval)*(RIGHT(UPPER(TRIM(D_Points!$B$5:$B$204)),8)="_CULVERT")),IF(LEFT(UPPER(TRIM(D_Points!$B$5:$B$204)),2)="EX",1,IF(LEFT(UPPER(TRIM(D_Points!$B$5:$B$204)),2)="PR",2,3))),"")</f>
        <v/>
      </c>
      <c r="S145" s="182" t="str">
        <f>IFERROR(LOOKUP(2,1/((D_Points!$A$5:$A$204&lt;&gt;"")*(D_Points!$A$5:$A$204&gt;=$B145)*(D_Points!$A$5:$A$204&lt;$B145+P_Interval)*(RIGHT(UPPER(TRIM(D_Points!$B$5:$B$204)),7)="_BRIDGE")),IF(LEFT(UPPER(TRIM(D_Points!$B$5:$B$204)),2)="EX",1,IF(LEFT(UPPER(TRIM(D_Points!$B$5:$B$204)),2)="PR",2,2))),"")</f>
        <v/>
      </c>
      <c r="T145" s="181" t="str">
        <f>IFERROR(LOOKUP(2,1/((B_Drainage!$A$5:$A$204&lt;&gt;"")*(B_Drainage!$A$5:$A$204&lt;=$B145)*(B_Drainage!$B$5:$B$204&gt;$B145)*(B_Drainage!$E$5:$E$204&lt;&gt;"")),IF(B_Drainage!$E$5:$E$204="-","",1)),"")</f>
        <v/>
      </c>
      <c r="U145" s="181" t="str">
        <f>IFERROR(LOOKUP(2,1/((B_Drainage!$A$5:$A$204&lt;&gt;"")*(B_Drainage!$A$5:$A$204&lt;=$B145)*(B_Drainage!$B$5:$B$204&gt;$B145)*(B_Drainage!$E$5:$E$204&lt;&gt;"")),IF(B_Drainage!$E$5:$E$204="-","",B_Drainage!$E$5:$E$204)),"")</f>
        <v/>
      </c>
      <c r="V145" s="181" t="str">
        <f>IFERROR(LOOKUP(2,1/((B_Drainage!$A$5:$A$204&lt;&gt;"")*(B_Drainage!$A$5:$A$204&lt;=$B145)*(B_Drainage!$B$5:$B$204&gt;$B145)*(B_Drainage!$F$5:$F$204&lt;&gt;"")),IF(B_Drainage!$F$5:$F$204="-","",1)),"")</f>
        <v/>
      </c>
      <c r="W145" s="181" t="str">
        <f>IFERROR(LOOKUP(2,1/((B_Drainage!$A$5:$A$204&lt;&gt;"")*(B_Drainage!$A$5:$A$204&lt;=$B145)*(B_Drainage!$B$5:$B$204&gt;$B145)*(B_Drainage!$F$5:$F$204&lt;&gt;"")),IF(B_Drainage!$F$5:$F$204="-","",B_Drainage!$F$5:$F$204)),"")</f>
        <v/>
      </c>
      <c r="X145" s="181" t="str">
        <f>IFERROR(LOOKUP(2,1/((B_Drainage!$A$5:$A$204&lt;&gt;"")*(B_Drainage!$A$5:$A$204&lt;=$B145)*(B_Drainage!$B$5:$B$204&gt;$B145)*(B_Drainage!$G$5:$G$204&lt;&gt;"")),IF(UPPER(B_Drainage!$G$5:$G$204)="Y",1,"")),"")</f>
        <v/>
      </c>
      <c r="Y145" s="181" t="str">
        <f>IFERROR(LOOKUP(2,1/((B_Drainage!$A$5:$A$204&lt;&gt;"")*(B_Drainage!$A$5:$A$204&lt;=$B145)*(B_Drainage!$B$5:$B$204&gt;$B145)*(B_Drainage!$H$5:$H$204&lt;&gt;"")),IF(UPPER(B_Drainage!$H$5:$H$204)="Y",1,"")),"")</f>
        <v/>
      </c>
      <c r="Z145" s="181" t="str">
        <f>IFERROR(LOOKUP(2,1/((B_Drainage!$A$5:$A$204&lt;&gt;"")*(B_Drainage!$A$5:$A$204&lt;=$B145)*(B_Drainage!$B$5:$B$204&gt;$B145)*(B_Drainage!$I$5:$I$204&lt;&gt;"")),IF(UPPER(B_Drainage!$I$5:$I$204)="Y",1,"")),"")</f>
        <v/>
      </c>
      <c r="AA145" s="181" t="str">
        <f>IFERROR(LOOKUP(2,1/((B_Drainage!$A$5:$A$204&lt;&gt;"")*(B_Drainage!$A$5:$A$204&lt;=$B145)*(B_Drainage!$B$5:$B$204&gt;$B145)*(B_Drainage!$J$5:$J$204&lt;&gt;"")),IF(UPPER(B_Drainage!$J$5:$J$204)="Y",1,"")),"")</f>
        <v/>
      </c>
      <c r="AB145" s="182" t="str">
        <f>IFERROR(LOOKUP(2,1/((B_Drainage!$A$5:$A$204&lt;&gt;"")*(B_Drainage!$A$5:$A$204&lt;=$B145)*(B_Drainage!$B$5:$B$204&gt;$B145)*(B_Drainage!$K$5:$K$204&lt;&gt;"")),IF(B_Drainage!$K$5:$K$204="-","",B_Drainage!$K$5:$K$204)),"")</f>
        <v/>
      </c>
      <c r="AC145" s="182" t="str">
        <f>IFERROR(LOOKUP(2,1/((B_Drainage!$A$5:$A$204&lt;&gt;"")*(B_Drainage!$A$5:$A$204&lt;=$B145)*(B_Drainage!$B$5:$B$204&gt;$B145)*(B_Drainage!$L$5:$L$204&lt;&gt;"")),IF(B_Drainage!$L$5:$L$204="-","",B_Drainage!$L$5:$L$204)),"")</f>
        <v/>
      </c>
      <c r="AD145" s="182" t="str">
        <f>IFERROR(LOOKUP(2,1/((D_Points!$A$5:$A$204&lt;&gt;"")*(D_Points!$A$5:$A$204&gt;=$B145)*(D_Points!$A$5:$A$204&lt;$B145+P_Interval)*(UPPER(TRIM(D_Points!$B$5:$B$204))="TURNOUT_L")*(D_Points!$H$5:$H$204&lt;&gt;"")),D_Points!$H$5:$H$204),"")</f>
        <v/>
      </c>
      <c r="AE145" s="182" t="str">
        <f>IFERROR(LOOKUP(2,1/((D_Points!$A$5:$A$204&lt;&gt;"")*(D_Points!$A$5:$A$204&gt;=$B145)*(D_Points!$A$5:$A$204&lt;$B145+P_Interval)*(UPPER(TRIM(D_Points!$B$5:$B$204))="TURNOUT_R")*(D_Points!$H$5:$H$204&lt;&gt;"")),D_Points!$H$5:$H$204),"")</f>
        <v/>
      </c>
      <c r="AF145" s="181" t="str">
        <f>IFERROR(LOOKUP(2,1/((B_Drainage!$A$5:$A$204&lt;&gt;"")*(B_Drainage!$A$5:$A$204&lt;=$B145)*(B_Drainage!$B$5:$B$204&gt;$B145)*(B_Drainage!$M$5:$M$204&lt;&gt;"")),IF(UPPER(B_Drainage!$M$5:$M$204)="Y",1,"")),"")</f>
        <v/>
      </c>
      <c r="AG145" s="181" t="str">
        <f>IFERROR(LOOKUP(2,1/((B_Drainage!$A$5:$A$204&lt;&gt;"")*(B_Drainage!$A$5:$A$204&lt;=$B145)*(B_Drainage!$B$5:$B$204&gt;$B145)*(B_Drainage!$N$5:$N$204&lt;&gt;"")),IF(UPPER(B_Drainage!$N$5:$N$204)="Y",1,"")),"")</f>
        <v/>
      </c>
      <c r="AH145" s="181" t="str">
        <f t="shared" si="16"/>
        <v/>
      </c>
      <c r="AI145" s="181" t="str">
        <f t="shared" si="17"/>
        <v/>
      </c>
      <c r="AJ145" s="181" t="str">
        <f t="shared" si="18"/>
        <v/>
      </c>
      <c r="AK145" s="181" t="str">
        <f t="shared" si="19"/>
        <v/>
      </c>
      <c r="AL145" s="181" t="str">
        <f t="shared" si="20"/>
        <v/>
      </c>
      <c r="AM145" s="181" t="str">
        <f t="shared" si="21"/>
        <v/>
      </c>
      <c r="AN145" s="181" t="str">
        <f t="shared" si="22"/>
        <v/>
      </c>
      <c r="AO145" s="192" t="str">
        <f t="shared" si="23"/>
        <v/>
      </c>
      <c r="AQ145" t="str">
        <f>IFERROR(LOOKUP(2,1/((C_Pavement!$A$5:$A$204&lt;&gt;"")*(C_Pavement!$A$5:$A$204&lt;=$B145)*(C_Pavement!$B$5:$B$204&gt;$B145)*(C_Pavement!$C$5:$C$204&lt;&gt;"")),ROW(C_Pavement!$C$5:$C$204)-4),"")</f>
        <v/>
      </c>
      <c r="AR145" t="str">
        <f>IF($AQ145="","",UPPER(TRIM(INDEX(C_Pavement!$C$5:$C$204,$AQ145))))</f>
        <v/>
      </c>
      <c r="AS145" t="str">
        <f>IF($AR145="","",IFERROR(MATCH($AR145,E_Rules!$A$5:$A$9,0),""))</f>
        <v/>
      </c>
      <c r="AT145" t="str">
        <f>IF($AQ145="","",IF(INDEX(C_Pavement!$D$5:$D$204,$AQ145)&lt;&gt;"",UPPER(TRIM(INDEX(C_Pavement!$D$5:$D$204,$AQ145))),IF($AS145="","",INDEX(E_Rules!$C$5:$C$9,$AS145))))</f>
        <v/>
      </c>
      <c r="AU145" t="str">
        <f>IF($AQ145="","",IF(INDEX(C_Pavement!$E$5:$E$204,$AQ145)&lt;&gt;"",IF(INDEX(C_Pavement!$E$5:$E$204,$AQ145)="-","",INDEX(C_Pavement!$E$5:$E$204,$AQ145)),IF($AS145="","",INDEX(E_Rules!$D$5:$D$9,$AS145))))</f>
        <v/>
      </c>
      <c r="AV145" t="str">
        <f>IF($AQ145="","",IF(INDEX(C_Pavement!$F$5:$F$204,$AQ145)&lt;&gt;"",IF(INDEX(C_Pavement!$F$5:$F$204,$AQ145)="-","",INDEX(C_Pavement!$F$5:$F$204,$AQ145)),IF($AS145="","",INDEX(E_Rules!$E$5:$E$9,$AS145))))</f>
        <v/>
      </c>
      <c r="AW145" t="str">
        <f>IF($AQ145="","",IF(INDEX(C_Pavement!$G$5:$G$204,$AQ145)&lt;&gt;"",IF(INDEX(C_Pavement!$G$5:$G$204,$AQ145)="-","",INDEX(C_Pavement!$G$5:$G$204,$AQ145)),IF($AS145="","",INDEX(E_Rules!$F$5:$F$9,$AS145))))</f>
        <v/>
      </c>
      <c r="AX145" t="str">
        <f>IF($AQ145="","",IF(INDEX(C_Pavement!$H$5:$H$204,$AQ145)&lt;&gt;"",IF(INDEX(C_Pavement!$H$5:$H$204,$AQ145)="-","",INDEX(C_Pavement!$H$5:$H$204,$AQ145)),IF($AS145="","",INDEX(E_Rules!$G$5:$G$9,$AS145))))</f>
        <v/>
      </c>
      <c r="AY145" t="str">
        <f>IF($AQ145="","",IF(INDEX(C_Pavement!$I$5:$I$204,$AQ145)&lt;&gt;"",IF(INDEX(C_Pavement!$I$5:$I$204,$AQ145)="-","",INDEX(C_Pavement!$I$5:$I$204,$AQ145)),IF($AS145="","",INDEX(E_Rules!$H$5:$H$9,$AS145))))</f>
        <v/>
      </c>
    </row>
    <row r="146" spans="1:51" ht="15.75" customHeight="1" x14ac:dyDescent="0.3">
      <c r="A146" s="189">
        <v>141</v>
      </c>
      <c r="B146" s="180">
        <v>7000</v>
      </c>
      <c r="C146" s="180" t="s">
        <v>452</v>
      </c>
      <c r="D146" s="181" t="str">
        <f>IFERROR(LOOKUP(2,1/((A_Corridor!$A$5:$A$204&lt;&gt;"")*(A_Corridor!$A$5:$A$204&lt;=$B146)*(A_Corridor!$B$5:$B$204&gt;$B146)*(A_Corridor!$C$5:$C$204&lt;&gt;"")),IF(UPPER(A_Corridor!$C$5:$C$204)="Y",1,"")),"")</f>
        <v/>
      </c>
      <c r="E146" s="181" t="str">
        <f>IFERROR(LOOKUP(2,1/((A_Corridor!$A$5:$A$204&lt;&gt;"")*(A_Corridor!$A$5:$A$204&lt;=$B146)*(A_Corridor!$B$5:$B$204&gt;$B146)*(A_Corridor!$D$5:$D$204&lt;&gt;"")),IF(A_Corridor!$D$5:$D$204="-","",UPPER(A_Corridor!$D$5:$D$204))),"")</f>
        <v/>
      </c>
      <c r="F146" s="181" t="str">
        <f>IFERROR(LOOKUP(2,1/((A_Corridor!$A$5:$A$204&lt;&gt;"")*(A_Corridor!$A$5:$A$204&lt;=$B146)*(A_Corridor!$B$5:$B$204&gt;$B146)*(A_Corridor!$E$5:$E$204&lt;&gt;"")),IF(A_Corridor!$E$5:$E$204="-","",1)),"")</f>
        <v/>
      </c>
      <c r="G146" s="182" t="str">
        <f>IFERROR(LOOKUP(2,1/((A_Corridor!$A$5:$A$204&lt;&gt;"")*(A_Corridor!$A$5:$A$204&lt;=$B146)*(A_Corridor!$B$5:$B$204&gt;$B146)*(A_Corridor!$E$5:$E$204&lt;&gt;"")),IF(A_Corridor!$E$5:$E$204="-","",A_Corridor!$E$5:$E$204)),"")</f>
        <v/>
      </c>
      <c r="H146" s="182" t="str">
        <f>IFERROR(LOOKUP(2,1/((D_Points!$A$5:$A$204&lt;&gt;"")*(D_Points!$A$5:$A$204&gt;=$B146)*(D_Points!$A$5:$A$204&lt;$B146+P_Interval)*(UPPER(TRIM(D_Points!$B$5:$B$204))="GULLY")*(D_Points!$H$5:$H$204&lt;&gt;"")),D_Points!$H$5:$H$204),"")</f>
        <v/>
      </c>
      <c r="I146" s="181" t="str">
        <f>IFERROR(LOOKUP(2,1/((A_Corridor!$A$5:$A$204&lt;&gt;"")*(A_Corridor!$A$5:$A$204&lt;=$B146)*(A_Corridor!$B$5:$B$204&gt;$B146)*(A_Corridor!$F$5:$F$204&lt;&gt;"")),IF(A_Corridor!$F$5:$F$204="-","",1)),"")</f>
        <v/>
      </c>
      <c r="J146" s="182" t="str">
        <f>IFERROR(LOOKUP(2,1/((A_Corridor!$A$5:$A$204&lt;&gt;"")*(A_Corridor!$A$5:$A$204&lt;=$B146)*(A_Corridor!$B$5:$B$204&gt;$B146)*(A_Corridor!$F$5:$F$204&lt;&gt;"")),IF(A_Corridor!$F$5:$F$204="-","",A_Corridor!$F$5:$F$204)),"")</f>
        <v/>
      </c>
      <c r="K146" s="182" t="str">
        <f>IFERROR(LOOKUP(2,1/((A_Corridor!$A$5:$A$204&lt;&gt;"")*(A_Corridor!$A$5:$A$204&lt;=$B146)*(A_Corridor!$B$5:$B$204&gt;$B146)*(A_Corridor!$G$5:$G$204&lt;&gt;"")),IF(A_Corridor!$G$5:$G$204="-","",A_Corridor!$G$5:$G$204)),"")</f>
        <v/>
      </c>
      <c r="L146" s="181" t="str">
        <f>IFERROR(LOOKUP(2,1/((A_Corridor!$A$5:$A$204&lt;&gt;"")*(A_Corridor!$A$5:$A$204&lt;=$B146)*(A_Corridor!$B$5:$B$204&gt;$B146)*(A_Corridor!$H$5:$H$204&lt;&gt;"")),IF(A_Corridor!$H$5:$H$204="-","",1)),"")</f>
        <v/>
      </c>
      <c r="M146" s="182" t="str">
        <f>IFERROR(LOOKUP(2,1/((A_Corridor!$A$5:$A$204&lt;&gt;"")*(A_Corridor!$A$5:$A$204&lt;=$B146)*(A_Corridor!$B$5:$B$204&gt;$B146)*(A_Corridor!$H$5:$H$204&lt;&gt;"")),IF(A_Corridor!$H$5:$H$204="-","",A_Corridor!$H$5:$H$204)),"")</f>
        <v/>
      </c>
      <c r="N146" s="182" t="str">
        <f>IFERROR(LOOKUP(2,1/((A_Corridor!$A$5:$A$204&lt;&gt;"")*(A_Corridor!$A$5:$A$204&lt;=$B146)*(A_Corridor!$B$5:$B$204&gt;$B146)*(A_Corridor!$I$5:$I$204&lt;&gt;"")),IF(A_Corridor!$I$5:$I$204="-","",A_Corridor!$I$5:$I$204)),"")</f>
        <v/>
      </c>
      <c r="O146" s="182" t="str">
        <f>IFERROR(LOOKUP(2,1/((D_Points!$A$5:$A$204&lt;&gt;"")*(D_Points!$A$5:$A$204&gt;=$B146)*(D_Points!$A$5:$A$204&lt;$B146+P_Interval)*(UPPER(TRIM(D_Points!$B$5:$B$204))="PITCHING")*(D_Points!$H$5:$H$204&lt;&gt;"")),D_Points!$H$5:$H$204),"")</f>
        <v/>
      </c>
      <c r="P146" s="181" t="str">
        <f>IFERROR(LOOKUP(2,1/((B_Drainage!$A$5:$A$204&lt;&gt;"")*(B_Drainage!$A$5:$A$204&lt;=$B146)*(B_Drainage!$B$5:$B$204&gt;$B146)*(B_Drainage!$C$5:$C$204&lt;&gt;"")),IF(B_Drainage!$C$5:$C$204="-","",UPPER(B_Drainage!$C$5:$C$204))),"")</f>
        <v/>
      </c>
      <c r="Q146" s="181" t="str">
        <f>IFERROR(LOOKUP(2,1/((B_Drainage!$A$5:$A$204&lt;&gt;"")*(B_Drainage!$A$5:$A$204&lt;=$B146)*(B_Drainage!$B$5:$B$204&gt;$B146)*(B_Drainage!$D$5:$D$204&lt;&gt;"")),IF(B_Drainage!$D$5:$D$204="-","",UPPER(B_Drainage!$D$5:$D$204))),"")</f>
        <v/>
      </c>
      <c r="R146" s="182" t="str">
        <f>IFERROR(LOOKUP(2,1/((D_Points!$A$5:$A$204&lt;&gt;"")*(D_Points!$A$5:$A$204&gt;=$B146)*(D_Points!$A$5:$A$204&lt;$B146+P_Interval)*(RIGHT(UPPER(TRIM(D_Points!$B$5:$B$204)),8)="_CULVERT")),IF(LEFT(UPPER(TRIM(D_Points!$B$5:$B$204)),2)="EX",1,IF(LEFT(UPPER(TRIM(D_Points!$B$5:$B$204)),2)="PR",2,3))),"")</f>
        <v/>
      </c>
      <c r="S146" s="182" t="str">
        <f>IFERROR(LOOKUP(2,1/((D_Points!$A$5:$A$204&lt;&gt;"")*(D_Points!$A$5:$A$204&gt;=$B146)*(D_Points!$A$5:$A$204&lt;$B146+P_Interval)*(RIGHT(UPPER(TRIM(D_Points!$B$5:$B$204)),7)="_BRIDGE")),IF(LEFT(UPPER(TRIM(D_Points!$B$5:$B$204)),2)="EX",1,IF(LEFT(UPPER(TRIM(D_Points!$B$5:$B$204)),2)="PR",2,2))),"")</f>
        <v/>
      </c>
      <c r="T146" s="181" t="str">
        <f>IFERROR(LOOKUP(2,1/((B_Drainage!$A$5:$A$204&lt;&gt;"")*(B_Drainage!$A$5:$A$204&lt;=$B146)*(B_Drainage!$B$5:$B$204&gt;$B146)*(B_Drainage!$E$5:$E$204&lt;&gt;"")),IF(B_Drainage!$E$5:$E$204="-","",1)),"")</f>
        <v/>
      </c>
      <c r="U146" s="181" t="str">
        <f>IFERROR(LOOKUP(2,1/((B_Drainage!$A$5:$A$204&lt;&gt;"")*(B_Drainage!$A$5:$A$204&lt;=$B146)*(B_Drainage!$B$5:$B$204&gt;$B146)*(B_Drainage!$E$5:$E$204&lt;&gt;"")),IF(B_Drainage!$E$5:$E$204="-","",B_Drainage!$E$5:$E$204)),"")</f>
        <v/>
      </c>
      <c r="V146" s="181" t="str">
        <f>IFERROR(LOOKUP(2,1/((B_Drainage!$A$5:$A$204&lt;&gt;"")*(B_Drainage!$A$5:$A$204&lt;=$B146)*(B_Drainage!$B$5:$B$204&gt;$B146)*(B_Drainage!$F$5:$F$204&lt;&gt;"")),IF(B_Drainage!$F$5:$F$204="-","",1)),"")</f>
        <v/>
      </c>
      <c r="W146" s="181" t="str">
        <f>IFERROR(LOOKUP(2,1/((B_Drainage!$A$5:$A$204&lt;&gt;"")*(B_Drainage!$A$5:$A$204&lt;=$B146)*(B_Drainage!$B$5:$B$204&gt;$B146)*(B_Drainage!$F$5:$F$204&lt;&gt;"")),IF(B_Drainage!$F$5:$F$204="-","",B_Drainage!$F$5:$F$204)),"")</f>
        <v/>
      </c>
      <c r="X146" s="181" t="str">
        <f>IFERROR(LOOKUP(2,1/((B_Drainage!$A$5:$A$204&lt;&gt;"")*(B_Drainage!$A$5:$A$204&lt;=$B146)*(B_Drainage!$B$5:$B$204&gt;$B146)*(B_Drainage!$G$5:$G$204&lt;&gt;"")),IF(UPPER(B_Drainage!$G$5:$G$204)="Y",1,"")),"")</f>
        <v/>
      </c>
      <c r="Y146" s="181" t="str">
        <f>IFERROR(LOOKUP(2,1/((B_Drainage!$A$5:$A$204&lt;&gt;"")*(B_Drainage!$A$5:$A$204&lt;=$B146)*(B_Drainage!$B$5:$B$204&gt;$B146)*(B_Drainage!$H$5:$H$204&lt;&gt;"")),IF(UPPER(B_Drainage!$H$5:$H$204)="Y",1,"")),"")</f>
        <v/>
      </c>
      <c r="Z146" s="181" t="str">
        <f>IFERROR(LOOKUP(2,1/((B_Drainage!$A$5:$A$204&lt;&gt;"")*(B_Drainage!$A$5:$A$204&lt;=$B146)*(B_Drainage!$B$5:$B$204&gt;$B146)*(B_Drainage!$I$5:$I$204&lt;&gt;"")),IF(UPPER(B_Drainage!$I$5:$I$204)="Y",1,"")),"")</f>
        <v/>
      </c>
      <c r="AA146" s="181" t="str">
        <f>IFERROR(LOOKUP(2,1/((B_Drainage!$A$5:$A$204&lt;&gt;"")*(B_Drainage!$A$5:$A$204&lt;=$B146)*(B_Drainage!$B$5:$B$204&gt;$B146)*(B_Drainage!$J$5:$J$204&lt;&gt;"")),IF(UPPER(B_Drainage!$J$5:$J$204)="Y",1,"")),"")</f>
        <v/>
      </c>
      <c r="AB146" s="182" t="str">
        <f>IFERROR(LOOKUP(2,1/((B_Drainage!$A$5:$A$204&lt;&gt;"")*(B_Drainage!$A$5:$A$204&lt;=$B146)*(B_Drainage!$B$5:$B$204&gt;$B146)*(B_Drainage!$K$5:$K$204&lt;&gt;"")),IF(B_Drainage!$K$5:$K$204="-","",B_Drainage!$K$5:$K$204)),"")</f>
        <v/>
      </c>
      <c r="AC146" s="182" t="str">
        <f>IFERROR(LOOKUP(2,1/((B_Drainage!$A$5:$A$204&lt;&gt;"")*(B_Drainage!$A$5:$A$204&lt;=$B146)*(B_Drainage!$B$5:$B$204&gt;$B146)*(B_Drainage!$L$5:$L$204&lt;&gt;"")),IF(B_Drainage!$L$5:$L$204="-","",B_Drainage!$L$5:$L$204)),"")</f>
        <v/>
      </c>
      <c r="AD146" s="182" t="str">
        <f>IFERROR(LOOKUP(2,1/((D_Points!$A$5:$A$204&lt;&gt;"")*(D_Points!$A$5:$A$204&gt;=$B146)*(D_Points!$A$5:$A$204&lt;$B146+P_Interval)*(UPPER(TRIM(D_Points!$B$5:$B$204))="TURNOUT_L")*(D_Points!$H$5:$H$204&lt;&gt;"")),D_Points!$H$5:$H$204),"")</f>
        <v/>
      </c>
      <c r="AE146" s="182" t="str">
        <f>IFERROR(LOOKUP(2,1/((D_Points!$A$5:$A$204&lt;&gt;"")*(D_Points!$A$5:$A$204&gt;=$B146)*(D_Points!$A$5:$A$204&lt;$B146+P_Interval)*(UPPER(TRIM(D_Points!$B$5:$B$204))="TURNOUT_R")*(D_Points!$H$5:$H$204&lt;&gt;"")),D_Points!$H$5:$H$204),"")</f>
        <v/>
      </c>
      <c r="AF146" s="181" t="str">
        <f>IFERROR(LOOKUP(2,1/((B_Drainage!$A$5:$A$204&lt;&gt;"")*(B_Drainage!$A$5:$A$204&lt;=$B146)*(B_Drainage!$B$5:$B$204&gt;$B146)*(B_Drainage!$M$5:$M$204&lt;&gt;"")),IF(UPPER(B_Drainage!$M$5:$M$204)="Y",1,"")),"")</f>
        <v/>
      </c>
      <c r="AG146" s="181" t="str">
        <f>IFERROR(LOOKUP(2,1/((B_Drainage!$A$5:$A$204&lt;&gt;"")*(B_Drainage!$A$5:$A$204&lt;=$B146)*(B_Drainage!$B$5:$B$204&gt;$B146)*(B_Drainage!$N$5:$N$204&lt;&gt;"")),IF(UPPER(B_Drainage!$N$5:$N$204)="Y",1,"")),"")</f>
        <v/>
      </c>
      <c r="AH146" s="181" t="str">
        <f t="shared" si="16"/>
        <v/>
      </c>
      <c r="AI146" s="181" t="str">
        <f t="shared" si="17"/>
        <v/>
      </c>
      <c r="AJ146" s="181" t="str">
        <f t="shared" si="18"/>
        <v/>
      </c>
      <c r="AK146" s="181" t="str">
        <f t="shared" si="19"/>
        <v/>
      </c>
      <c r="AL146" s="181" t="str">
        <f t="shared" si="20"/>
        <v/>
      </c>
      <c r="AM146" s="181" t="str">
        <f t="shared" si="21"/>
        <v/>
      </c>
      <c r="AN146" s="181" t="str">
        <f t="shared" si="22"/>
        <v/>
      </c>
      <c r="AO146" s="192" t="str">
        <f t="shared" si="23"/>
        <v/>
      </c>
      <c r="AQ146" t="str">
        <f>IFERROR(LOOKUP(2,1/((C_Pavement!$A$5:$A$204&lt;&gt;"")*(C_Pavement!$A$5:$A$204&lt;=$B146)*(C_Pavement!$B$5:$B$204&gt;$B146)*(C_Pavement!$C$5:$C$204&lt;&gt;"")),ROW(C_Pavement!$C$5:$C$204)-4),"")</f>
        <v/>
      </c>
      <c r="AR146" t="str">
        <f>IF($AQ146="","",UPPER(TRIM(INDEX(C_Pavement!$C$5:$C$204,$AQ146))))</f>
        <v/>
      </c>
      <c r="AS146" t="str">
        <f>IF($AR146="","",IFERROR(MATCH($AR146,E_Rules!$A$5:$A$9,0),""))</f>
        <v/>
      </c>
      <c r="AT146" t="str">
        <f>IF($AQ146="","",IF(INDEX(C_Pavement!$D$5:$D$204,$AQ146)&lt;&gt;"",UPPER(TRIM(INDEX(C_Pavement!$D$5:$D$204,$AQ146))),IF($AS146="","",INDEX(E_Rules!$C$5:$C$9,$AS146))))</f>
        <v/>
      </c>
      <c r="AU146" t="str">
        <f>IF($AQ146="","",IF(INDEX(C_Pavement!$E$5:$E$204,$AQ146)&lt;&gt;"",IF(INDEX(C_Pavement!$E$5:$E$204,$AQ146)="-","",INDEX(C_Pavement!$E$5:$E$204,$AQ146)),IF($AS146="","",INDEX(E_Rules!$D$5:$D$9,$AS146))))</f>
        <v/>
      </c>
      <c r="AV146" t="str">
        <f>IF($AQ146="","",IF(INDEX(C_Pavement!$F$5:$F$204,$AQ146)&lt;&gt;"",IF(INDEX(C_Pavement!$F$5:$F$204,$AQ146)="-","",INDEX(C_Pavement!$F$5:$F$204,$AQ146)),IF($AS146="","",INDEX(E_Rules!$E$5:$E$9,$AS146))))</f>
        <v/>
      </c>
      <c r="AW146" t="str">
        <f>IF($AQ146="","",IF(INDEX(C_Pavement!$G$5:$G$204,$AQ146)&lt;&gt;"",IF(INDEX(C_Pavement!$G$5:$G$204,$AQ146)="-","",INDEX(C_Pavement!$G$5:$G$204,$AQ146)),IF($AS146="","",INDEX(E_Rules!$F$5:$F$9,$AS146))))</f>
        <v/>
      </c>
      <c r="AX146" t="str">
        <f>IF($AQ146="","",IF(INDEX(C_Pavement!$H$5:$H$204,$AQ146)&lt;&gt;"",IF(INDEX(C_Pavement!$H$5:$H$204,$AQ146)="-","",INDEX(C_Pavement!$H$5:$H$204,$AQ146)),IF($AS146="","",INDEX(E_Rules!$G$5:$G$9,$AS146))))</f>
        <v/>
      </c>
      <c r="AY146" t="str">
        <f>IF($AQ146="","",IF(INDEX(C_Pavement!$I$5:$I$204,$AQ146)&lt;&gt;"",IF(INDEX(C_Pavement!$I$5:$I$204,$AQ146)="-","",INDEX(C_Pavement!$I$5:$I$204,$AQ146)),IF($AS146="","",INDEX(E_Rules!$H$5:$H$9,$AS146))))</f>
        <v/>
      </c>
    </row>
    <row r="147" spans="1:51" ht="15.75" customHeight="1" x14ac:dyDescent="0.3">
      <c r="A147" s="189">
        <v>142</v>
      </c>
      <c r="B147" s="180">
        <v>7050</v>
      </c>
      <c r="C147" s="180" t="s">
        <v>453</v>
      </c>
      <c r="D147" s="181" t="str">
        <f>IFERROR(LOOKUP(2,1/((A_Corridor!$A$5:$A$204&lt;&gt;"")*(A_Corridor!$A$5:$A$204&lt;=$B147)*(A_Corridor!$B$5:$B$204&gt;$B147)*(A_Corridor!$C$5:$C$204&lt;&gt;"")),IF(UPPER(A_Corridor!$C$5:$C$204)="Y",1,"")),"")</f>
        <v/>
      </c>
      <c r="E147" s="181" t="str">
        <f>IFERROR(LOOKUP(2,1/((A_Corridor!$A$5:$A$204&lt;&gt;"")*(A_Corridor!$A$5:$A$204&lt;=$B147)*(A_Corridor!$B$5:$B$204&gt;$B147)*(A_Corridor!$D$5:$D$204&lt;&gt;"")),IF(A_Corridor!$D$5:$D$204="-","",UPPER(A_Corridor!$D$5:$D$204))),"")</f>
        <v/>
      </c>
      <c r="F147" s="181" t="str">
        <f>IFERROR(LOOKUP(2,1/((A_Corridor!$A$5:$A$204&lt;&gt;"")*(A_Corridor!$A$5:$A$204&lt;=$B147)*(A_Corridor!$B$5:$B$204&gt;$B147)*(A_Corridor!$E$5:$E$204&lt;&gt;"")),IF(A_Corridor!$E$5:$E$204="-","",1)),"")</f>
        <v/>
      </c>
      <c r="G147" s="182" t="str">
        <f>IFERROR(LOOKUP(2,1/((A_Corridor!$A$5:$A$204&lt;&gt;"")*(A_Corridor!$A$5:$A$204&lt;=$B147)*(A_Corridor!$B$5:$B$204&gt;$B147)*(A_Corridor!$E$5:$E$204&lt;&gt;"")),IF(A_Corridor!$E$5:$E$204="-","",A_Corridor!$E$5:$E$204)),"")</f>
        <v/>
      </c>
      <c r="H147" s="182" t="str">
        <f>IFERROR(LOOKUP(2,1/((D_Points!$A$5:$A$204&lt;&gt;"")*(D_Points!$A$5:$A$204&gt;=$B147)*(D_Points!$A$5:$A$204&lt;$B147+P_Interval)*(UPPER(TRIM(D_Points!$B$5:$B$204))="GULLY")*(D_Points!$H$5:$H$204&lt;&gt;"")),D_Points!$H$5:$H$204),"")</f>
        <v/>
      </c>
      <c r="I147" s="181" t="str">
        <f>IFERROR(LOOKUP(2,1/((A_Corridor!$A$5:$A$204&lt;&gt;"")*(A_Corridor!$A$5:$A$204&lt;=$B147)*(A_Corridor!$B$5:$B$204&gt;$B147)*(A_Corridor!$F$5:$F$204&lt;&gt;"")),IF(A_Corridor!$F$5:$F$204="-","",1)),"")</f>
        <v/>
      </c>
      <c r="J147" s="182" t="str">
        <f>IFERROR(LOOKUP(2,1/((A_Corridor!$A$5:$A$204&lt;&gt;"")*(A_Corridor!$A$5:$A$204&lt;=$B147)*(A_Corridor!$B$5:$B$204&gt;$B147)*(A_Corridor!$F$5:$F$204&lt;&gt;"")),IF(A_Corridor!$F$5:$F$204="-","",A_Corridor!$F$5:$F$204)),"")</f>
        <v/>
      </c>
      <c r="K147" s="182" t="str">
        <f>IFERROR(LOOKUP(2,1/((A_Corridor!$A$5:$A$204&lt;&gt;"")*(A_Corridor!$A$5:$A$204&lt;=$B147)*(A_Corridor!$B$5:$B$204&gt;$B147)*(A_Corridor!$G$5:$G$204&lt;&gt;"")),IF(A_Corridor!$G$5:$G$204="-","",A_Corridor!$G$5:$G$204)),"")</f>
        <v/>
      </c>
      <c r="L147" s="181" t="str">
        <f>IFERROR(LOOKUP(2,1/((A_Corridor!$A$5:$A$204&lt;&gt;"")*(A_Corridor!$A$5:$A$204&lt;=$B147)*(A_Corridor!$B$5:$B$204&gt;$B147)*(A_Corridor!$H$5:$H$204&lt;&gt;"")),IF(A_Corridor!$H$5:$H$204="-","",1)),"")</f>
        <v/>
      </c>
      <c r="M147" s="182" t="str">
        <f>IFERROR(LOOKUP(2,1/((A_Corridor!$A$5:$A$204&lt;&gt;"")*(A_Corridor!$A$5:$A$204&lt;=$B147)*(A_Corridor!$B$5:$B$204&gt;$B147)*(A_Corridor!$H$5:$H$204&lt;&gt;"")),IF(A_Corridor!$H$5:$H$204="-","",A_Corridor!$H$5:$H$204)),"")</f>
        <v/>
      </c>
      <c r="N147" s="182" t="str">
        <f>IFERROR(LOOKUP(2,1/((A_Corridor!$A$5:$A$204&lt;&gt;"")*(A_Corridor!$A$5:$A$204&lt;=$B147)*(A_Corridor!$B$5:$B$204&gt;$B147)*(A_Corridor!$I$5:$I$204&lt;&gt;"")),IF(A_Corridor!$I$5:$I$204="-","",A_Corridor!$I$5:$I$204)),"")</f>
        <v/>
      </c>
      <c r="O147" s="182" t="str">
        <f>IFERROR(LOOKUP(2,1/((D_Points!$A$5:$A$204&lt;&gt;"")*(D_Points!$A$5:$A$204&gt;=$B147)*(D_Points!$A$5:$A$204&lt;$B147+P_Interval)*(UPPER(TRIM(D_Points!$B$5:$B$204))="PITCHING")*(D_Points!$H$5:$H$204&lt;&gt;"")),D_Points!$H$5:$H$204),"")</f>
        <v/>
      </c>
      <c r="P147" s="181" t="str">
        <f>IFERROR(LOOKUP(2,1/((B_Drainage!$A$5:$A$204&lt;&gt;"")*(B_Drainage!$A$5:$A$204&lt;=$B147)*(B_Drainage!$B$5:$B$204&gt;$B147)*(B_Drainage!$C$5:$C$204&lt;&gt;"")),IF(B_Drainage!$C$5:$C$204="-","",UPPER(B_Drainage!$C$5:$C$204))),"")</f>
        <v/>
      </c>
      <c r="Q147" s="181" t="str">
        <f>IFERROR(LOOKUP(2,1/((B_Drainage!$A$5:$A$204&lt;&gt;"")*(B_Drainage!$A$5:$A$204&lt;=$B147)*(B_Drainage!$B$5:$B$204&gt;$B147)*(B_Drainage!$D$5:$D$204&lt;&gt;"")),IF(B_Drainage!$D$5:$D$204="-","",UPPER(B_Drainage!$D$5:$D$204))),"")</f>
        <v/>
      </c>
      <c r="R147" s="182" t="str">
        <f>IFERROR(LOOKUP(2,1/((D_Points!$A$5:$A$204&lt;&gt;"")*(D_Points!$A$5:$A$204&gt;=$B147)*(D_Points!$A$5:$A$204&lt;$B147+P_Interval)*(RIGHT(UPPER(TRIM(D_Points!$B$5:$B$204)),8)="_CULVERT")),IF(LEFT(UPPER(TRIM(D_Points!$B$5:$B$204)),2)="EX",1,IF(LEFT(UPPER(TRIM(D_Points!$B$5:$B$204)),2)="PR",2,3))),"")</f>
        <v/>
      </c>
      <c r="S147" s="182" t="str">
        <f>IFERROR(LOOKUP(2,1/((D_Points!$A$5:$A$204&lt;&gt;"")*(D_Points!$A$5:$A$204&gt;=$B147)*(D_Points!$A$5:$A$204&lt;$B147+P_Interval)*(RIGHT(UPPER(TRIM(D_Points!$B$5:$B$204)),7)="_BRIDGE")),IF(LEFT(UPPER(TRIM(D_Points!$B$5:$B$204)),2)="EX",1,IF(LEFT(UPPER(TRIM(D_Points!$B$5:$B$204)),2)="PR",2,2))),"")</f>
        <v/>
      </c>
      <c r="T147" s="181" t="str">
        <f>IFERROR(LOOKUP(2,1/((B_Drainage!$A$5:$A$204&lt;&gt;"")*(B_Drainage!$A$5:$A$204&lt;=$B147)*(B_Drainage!$B$5:$B$204&gt;$B147)*(B_Drainage!$E$5:$E$204&lt;&gt;"")),IF(B_Drainage!$E$5:$E$204="-","",1)),"")</f>
        <v/>
      </c>
      <c r="U147" s="181" t="str">
        <f>IFERROR(LOOKUP(2,1/((B_Drainage!$A$5:$A$204&lt;&gt;"")*(B_Drainage!$A$5:$A$204&lt;=$B147)*(B_Drainage!$B$5:$B$204&gt;$B147)*(B_Drainage!$E$5:$E$204&lt;&gt;"")),IF(B_Drainage!$E$5:$E$204="-","",B_Drainage!$E$5:$E$204)),"")</f>
        <v/>
      </c>
      <c r="V147" s="181" t="str">
        <f>IFERROR(LOOKUP(2,1/((B_Drainage!$A$5:$A$204&lt;&gt;"")*(B_Drainage!$A$5:$A$204&lt;=$B147)*(B_Drainage!$B$5:$B$204&gt;$B147)*(B_Drainage!$F$5:$F$204&lt;&gt;"")),IF(B_Drainage!$F$5:$F$204="-","",1)),"")</f>
        <v/>
      </c>
      <c r="W147" s="181" t="str">
        <f>IFERROR(LOOKUP(2,1/((B_Drainage!$A$5:$A$204&lt;&gt;"")*(B_Drainage!$A$5:$A$204&lt;=$B147)*(B_Drainage!$B$5:$B$204&gt;$B147)*(B_Drainage!$F$5:$F$204&lt;&gt;"")),IF(B_Drainage!$F$5:$F$204="-","",B_Drainage!$F$5:$F$204)),"")</f>
        <v/>
      </c>
      <c r="X147" s="181" t="str">
        <f>IFERROR(LOOKUP(2,1/((B_Drainage!$A$5:$A$204&lt;&gt;"")*(B_Drainage!$A$5:$A$204&lt;=$B147)*(B_Drainage!$B$5:$B$204&gt;$B147)*(B_Drainage!$G$5:$G$204&lt;&gt;"")),IF(UPPER(B_Drainage!$G$5:$G$204)="Y",1,"")),"")</f>
        <v/>
      </c>
      <c r="Y147" s="181" t="str">
        <f>IFERROR(LOOKUP(2,1/((B_Drainage!$A$5:$A$204&lt;&gt;"")*(B_Drainage!$A$5:$A$204&lt;=$B147)*(B_Drainage!$B$5:$B$204&gt;$B147)*(B_Drainage!$H$5:$H$204&lt;&gt;"")),IF(UPPER(B_Drainage!$H$5:$H$204)="Y",1,"")),"")</f>
        <v/>
      </c>
      <c r="Z147" s="181" t="str">
        <f>IFERROR(LOOKUP(2,1/((B_Drainage!$A$5:$A$204&lt;&gt;"")*(B_Drainage!$A$5:$A$204&lt;=$B147)*(B_Drainage!$B$5:$B$204&gt;$B147)*(B_Drainage!$I$5:$I$204&lt;&gt;"")),IF(UPPER(B_Drainage!$I$5:$I$204)="Y",1,"")),"")</f>
        <v/>
      </c>
      <c r="AA147" s="181" t="str">
        <f>IFERROR(LOOKUP(2,1/((B_Drainage!$A$5:$A$204&lt;&gt;"")*(B_Drainage!$A$5:$A$204&lt;=$B147)*(B_Drainage!$B$5:$B$204&gt;$B147)*(B_Drainage!$J$5:$J$204&lt;&gt;"")),IF(UPPER(B_Drainage!$J$5:$J$204)="Y",1,"")),"")</f>
        <v/>
      </c>
      <c r="AB147" s="182" t="str">
        <f>IFERROR(LOOKUP(2,1/((B_Drainage!$A$5:$A$204&lt;&gt;"")*(B_Drainage!$A$5:$A$204&lt;=$B147)*(B_Drainage!$B$5:$B$204&gt;$B147)*(B_Drainage!$K$5:$K$204&lt;&gt;"")),IF(B_Drainage!$K$5:$K$204="-","",B_Drainage!$K$5:$K$204)),"")</f>
        <v/>
      </c>
      <c r="AC147" s="182" t="str">
        <f>IFERROR(LOOKUP(2,1/((B_Drainage!$A$5:$A$204&lt;&gt;"")*(B_Drainage!$A$5:$A$204&lt;=$B147)*(B_Drainage!$B$5:$B$204&gt;$B147)*(B_Drainage!$L$5:$L$204&lt;&gt;"")),IF(B_Drainage!$L$5:$L$204="-","",B_Drainage!$L$5:$L$204)),"")</f>
        <v/>
      </c>
      <c r="AD147" s="182" t="str">
        <f>IFERROR(LOOKUP(2,1/((D_Points!$A$5:$A$204&lt;&gt;"")*(D_Points!$A$5:$A$204&gt;=$B147)*(D_Points!$A$5:$A$204&lt;$B147+P_Interval)*(UPPER(TRIM(D_Points!$B$5:$B$204))="TURNOUT_L")*(D_Points!$H$5:$H$204&lt;&gt;"")),D_Points!$H$5:$H$204),"")</f>
        <v/>
      </c>
      <c r="AE147" s="182" t="str">
        <f>IFERROR(LOOKUP(2,1/((D_Points!$A$5:$A$204&lt;&gt;"")*(D_Points!$A$5:$A$204&gt;=$B147)*(D_Points!$A$5:$A$204&lt;$B147+P_Interval)*(UPPER(TRIM(D_Points!$B$5:$B$204))="TURNOUT_R")*(D_Points!$H$5:$H$204&lt;&gt;"")),D_Points!$H$5:$H$204),"")</f>
        <v/>
      </c>
      <c r="AF147" s="181" t="str">
        <f>IFERROR(LOOKUP(2,1/((B_Drainage!$A$5:$A$204&lt;&gt;"")*(B_Drainage!$A$5:$A$204&lt;=$B147)*(B_Drainage!$B$5:$B$204&gt;$B147)*(B_Drainage!$M$5:$M$204&lt;&gt;"")),IF(UPPER(B_Drainage!$M$5:$M$204)="Y",1,"")),"")</f>
        <v/>
      </c>
      <c r="AG147" s="181" t="str">
        <f>IFERROR(LOOKUP(2,1/((B_Drainage!$A$5:$A$204&lt;&gt;"")*(B_Drainage!$A$5:$A$204&lt;=$B147)*(B_Drainage!$B$5:$B$204&gt;$B147)*(B_Drainage!$N$5:$N$204&lt;&gt;"")),IF(UPPER(B_Drainage!$N$5:$N$204)="Y",1,"")),"")</f>
        <v/>
      </c>
      <c r="AH147" s="181" t="str">
        <f t="shared" si="16"/>
        <v/>
      </c>
      <c r="AI147" s="181" t="str">
        <f t="shared" si="17"/>
        <v/>
      </c>
      <c r="AJ147" s="181" t="str">
        <f t="shared" si="18"/>
        <v/>
      </c>
      <c r="AK147" s="181" t="str">
        <f t="shared" si="19"/>
        <v/>
      </c>
      <c r="AL147" s="181" t="str">
        <f t="shared" si="20"/>
        <v/>
      </c>
      <c r="AM147" s="181" t="str">
        <f t="shared" si="21"/>
        <v/>
      </c>
      <c r="AN147" s="181" t="str">
        <f t="shared" si="22"/>
        <v/>
      </c>
      <c r="AO147" s="192" t="str">
        <f t="shared" si="23"/>
        <v/>
      </c>
      <c r="AQ147" t="str">
        <f>IFERROR(LOOKUP(2,1/((C_Pavement!$A$5:$A$204&lt;&gt;"")*(C_Pavement!$A$5:$A$204&lt;=$B147)*(C_Pavement!$B$5:$B$204&gt;$B147)*(C_Pavement!$C$5:$C$204&lt;&gt;"")),ROW(C_Pavement!$C$5:$C$204)-4),"")</f>
        <v/>
      </c>
      <c r="AR147" t="str">
        <f>IF($AQ147="","",UPPER(TRIM(INDEX(C_Pavement!$C$5:$C$204,$AQ147))))</f>
        <v/>
      </c>
      <c r="AS147" t="str">
        <f>IF($AR147="","",IFERROR(MATCH($AR147,E_Rules!$A$5:$A$9,0),""))</f>
        <v/>
      </c>
      <c r="AT147" t="str">
        <f>IF($AQ147="","",IF(INDEX(C_Pavement!$D$5:$D$204,$AQ147)&lt;&gt;"",UPPER(TRIM(INDEX(C_Pavement!$D$5:$D$204,$AQ147))),IF($AS147="","",INDEX(E_Rules!$C$5:$C$9,$AS147))))</f>
        <v/>
      </c>
      <c r="AU147" t="str">
        <f>IF($AQ147="","",IF(INDEX(C_Pavement!$E$5:$E$204,$AQ147)&lt;&gt;"",IF(INDEX(C_Pavement!$E$5:$E$204,$AQ147)="-","",INDEX(C_Pavement!$E$5:$E$204,$AQ147)),IF($AS147="","",INDEX(E_Rules!$D$5:$D$9,$AS147))))</f>
        <v/>
      </c>
      <c r="AV147" t="str">
        <f>IF($AQ147="","",IF(INDEX(C_Pavement!$F$5:$F$204,$AQ147)&lt;&gt;"",IF(INDEX(C_Pavement!$F$5:$F$204,$AQ147)="-","",INDEX(C_Pavement!$F$5:$F$204,$AQ147)),IF($AS147="","",INDEX(E_Rules!$E$5:$E$9,$AS147))))</f>
        <v/>
      </c>
      <c r="AW147" t="str">
        <f>IF($AQ147="","",IF(INDEX(C_Pavement!$G$5:$G$204,$AQ147)&lt;&gt;"",IF(INDEX(C_Pavement!$G$5:$G$204,$AQ147)="-","",INDEX(C_Pavement!$G$5:$G$204,$AQ147)),IF($AS147="","",INDEX(E_Rules!$F$5:$F$9,$AS147))))</f>
        <v/>
      </c>
      <c r="AX147" t="str">
        <f>IF($AQ147="","",IF(INDEX(C_Pavement!$H$5:$H$204,$AQ147)&lt;&gt;"",IF(INDEX(C_Pavement!$H$5:$H$204,$AQ147)="-","",INDEX(C_Pavement!$H$5:$H$204,$AQ147)),IF($AS147="","",INDEX(E_Rules!$G$5:$G$9,$AS147))))</f>
        <v/>
      </c>
      <c r="AY147" t="str">
        <f>IF($AQ147="","",IF(INDEX(C_Pavement!$I$5:$I$204,$AQ147)&lt;&gt;"",IF(INDEX(C_Pavement!$I$5:$I$204,$AQ147)="-","",INDEX(C_Pavement!$I$5:$I$204,$AQ147)),IF($AS147="","",INDEX(E_Rules!$H$5:$H$9,$AS147))))</f>
        <v/>
      </c>
    </row>
    <row r="148" spans="1:51" ht="15.75" customHeight="1" x14ac:dyDescent="0.3">
      <c r="A148" s="189">
        <v>143</v>
      </c>
      <c r="B148" s="180">
        <v>7100</v>
      </c>
      <c r="C148" s="180" t="s">
        <v>454</v>
      </c>
      <c r="D148" s="181" t="str">
        <f>IFERROR(LOOKUP(2,1/((A_Corridor!$A$5:$A$204&lt;&gt;"")*(A_Corridor!$A$5:$A$204&lt;=$B148)*(A_Corridor!$B$5:$B$204&gt;$B148)*(A_Corridor!$C$5:$C$204&lt;&gt;"")),IF(UPPER(A_Corridor!$C$5:$C$204)="Y",1,"")),"")</f>
        <v/>
      </c>
      <c r="E148" s="181" t="str">
        <f>IFERROR(LOOKUP(2,1/((A_Corridor!$A$5:$A$204&lt;&gt;"")*(A_Corridor!$A$5:$A$204&lt;=$B148)*(A_Corridor!$B$5:$B$204&gt;$B148)*(A_Corridor!$D$5:$D$204&lt;&gt;"")),IF(A_Corridor!$D$5:$D$204="-","",UPPER(A_Corridor!$D$5:$D$204))),"")</f>
        <v/>
      </c>
      <c r="F148" s="181" t="str">
        <f>IFERROR(LOOKUP(2,1/((A_Corridor!$A$5:$A$204&lt;&gt;"")*(A_Corridor!$A$5:$A$204&lt;=$B148)*(A_Corridor!$B$5:$B$204&gt;$B148)*(A_Corridor!$E$5:$E$204&lt;&gt;"")),IF(A_Corridor!$E$5:$E$204="-","",1)),"")</f>
        <v/>
      </c>
      <c r="G148" s="182" t="str">
        <f>IFERROR(LOOKUP(2,1/((A_Corridor!$A$5:$A$204&lt;&gt;"")*(A_Corridor!$A$5:$A$204&lt;=$B148)*(A_Corridor!$B$5:$B$204&gt;$B148)*(A_Corridor!$E$5:$E$204&lt;&gt;"")),IF(A_Corridor!$E$5:$E$204="-","",A_Corridor!$E$5:$E$204)),"")</f>
        <v/>
      </c>
      <c r="H148" s="182" t="str">
        <f>IFERROR(LOOKUP(2,1/((D_Points!$A$5:$A$204&lt;&gt;"")*(D_Points!$A$5:$A$204&gt;=$B148)*(D_Points!$A$5:$A$204&lt;$B148+P_Interval)*(UPPER(TRIM(D_Points!$B$5:$B$204))="GULLY")*(D_Points!$H$5:$H$204&lt;&gt;"")),D_Points!$H$5:$H$204),"")</f>
        <v/>
      </c>
      <c r="I148" s="181" t="str">
        <f>IFERROR(LOOKUP(2,1/((A_Corridor!$A$5:$A$204&lt;&gt;"")*(A_Corridor!$A$5:$A$204&lt;=$B148)*(A_Corridor!$B$5:$B$204&gt;$B148)*(A_Corridor!$F$5:$F$204&lt;&gt;"")),IF(A_Corridor!$F$5:$F$204="-","",1)),"")</f>
        <v/>
      </c>
      <c r="J148" s="182" t="str">
        <f>IFERROR(LOOKUP(2,1/((A_Corridor!$A$5:$A$204&lt;&gt;"")*(A_Corridor!$A$5:$A$204&lt;=$B148)*(A_Corridor!$B$5:$B$204&gt;$B148)*(A_Corridor!$F$5:$F$204&lt;&gt;"")),IF(A_Corridor!$F$5:$F$204="-","",A_Corridor!$F$5:$F$204)),"")</f>
        <v/>
      </c>
      <c r="K148" s="182" t="str">
        <f>IFERROR(LOOKUP(2,1/((A_Corridor!$A$5:$A$204&lt;&gt;"")*(A_Corridor!$A$5:$A$204&lt;=$B148)*(A_Corridor!$B$5:$B$204&gt;$B148)*(A_Corridor!$G$5:$G$204&lt;&gt;"")),IF(A_Corridor!$G$5:$G$204="-","",A_Corridor!$G$5:$G$204)),"")</f>
        <v/>
      </c>
      <c r="L148" s="181" t="str">
        <f>IFERROR(LOOKUP(2,1/((A_Corridor!$A$5:$A$204&lt;&gt;"")*(A_Corridor!$A$5:$A$204&lt;=$B148)*(A_Corridor!$B$5:$B$204&gt;$B148)*(A_Corridor!$H$5:$H$204&lt;&gt;"")),IF(A_Corridor!$H$5:$H$204="-","",1)),"")</f>
        <v/>
      </c>
      <c r="M148" s="182" t="str">
        <f>IFERROR(LOOKUP(2,1/((A_Corridor!$A$5:$A$204&lt;&gt;"")*(A_Corridor!$A$5:$A$204&lt;=$B148)*(A_Corridor!$B$5:$B$204&gt;$B148)*(A_Corridor!$H$5:$H$204&lt;&gt;"")),IF(A_Corridor!$H$5:$H$204="-","",A_Corridor!$H$5:$H$204)),"")</f>
        <v/>
      </c>
      <c r="N148" s="182" t="str">
        <f>IFERROR(LOOKUP(2,1/((A_Corridor!$A$5:$A$204&lt;&gt;"")*(A_Corridor!$A$5:$A$204&lt;=$B148)*(A_Corridor!$B$5:$B$204&gt;$B148)*(A_Corridor!$I$5:$I$204&lt;&gt;"")),IF(A_Corridor!$I$5:$I$204="-","",A_Corridor!$I$5:$I$204)),"")</f>
        <v/>
      </c>
      <c r="O148" s="182" t="str">
        <f>IFERROR(LOOKUP(2,1/((D_Points!$A$5:$A$204&lt;&gt;"")*(D_Points!$A$5:$A$204&gt;=$B148)*(D_Points!$A$5:$A$204&lt;$B148+P_Interval)*(UPPER(TRIM(D_Points!$B$5:$B$204))="PITCHING")*(D_Points!$H$5:$H$204&lt;&gt;"")),D_Points!$H$5:$H$204),"")</f>
        <v/>
      </c>
      <c r="P148" s="181" t="str">
        <f>IFERROR(LOOKUP(2,1/((B_Drainage!$A$5:$A$204&lt;&gt;"")*(B_Drainage!$A$5:$A$204&lt;=$B148)*(B_Drainage!$B$5:$B$204&gt;$B148)*(B_Drainage!$C$5:$C$204&lt;&gt;"")),IF(B_Drainage!$C$5:$C$204="-","",UPPER(B_Drainage!$C$5:$C$204))),"")</f>
        <v/>
      </c>
      <c r="Q148" s="181" t="str">
        <f>IFERROR(LOOKUP(2,1/((B_Drainage!$A$5:$A$204&lt;&gt;"")*(B_Drainage!$A$5:$A$204&lt;=$B148)*(B_Drainage!$B$5:$B$204&gt;$B148)*(B_Drainage!$D$5:$D$204&lt;&gt;"")),IF(B_Drainage!$D$5:$D$204="-","",UPPER(B_Drainage!$D$5:$D$204))),"")</f>
        <v/>
      </c>
      <c r="R148" s="182" t="str">
        <f>IFERROR(LOOKUP(2,1/((D_Points!$A$5:$A$204&lt;&gt;"")*(D_Points!$A$5:$A$204&gt;=$B148)*(D_Points!$A$5:$A$204&lt;$B148+P_Interval)*(RIGHT(UPPER(TRIM(D_Points!$B$5:$B$204)),8)="_CULVERT")),IF(LEFT(UPPER(TRIM(D_Points!$B$5:$B$204)),2)="EX",1,IF(LEFT(UPPER(TRIM(D_Points!$B$5:$B$204)),2)="PR",2,3))),"")</f>
        <v/>
      </c>
      <c r="S148" s="182" t="str">
        <f>IFERROR(LOOKUP(2,1/((D_Points!$A$5:$A$204&lt;&gt;"")*(D_Points!$A$5:$A$204&gt;=$B148)*(D_Points!$A$5:$A$204&lt;$B148+P_Interval)*(RIGHT(UPPER(TRIM(D_Points!$B$5:$B$204)),7)="_BRIDGE")),IF(LEFT(UPPER(TRIM(D_Points!$B$5:$B$204)),2)="EX",1,IF(LEFT(UPPER(TRIM(D_Points!$B$5:$B$204)),2)="PR",2,2))),"")</f>
        <v/>
      </c>
      <c r="T148" s="181" t="str">
        <f>IFERROR(LOOKUP(2,1/((B_Drainage!$A$5:$A$204&lt;&gt;"")*(B_Drainage!$A$5:$A$204&lt;=$B148)*(B_Drainage!$B$5:$B$204&gt;$B148)*(B_Drainage!$E$5:$E$204&lt;&gt;"")),IF(B_Drainage!$E$5:$E$204="-","",1)),"")</f>
        <v/>
      </c>
      <c r="U148" s="181" t="str">
        <f>IFERROR(LOOKUP(2,1/((B_Drainage!$A$5:$A$204&lt;&gt;"")*(B_Drainage!$A$5:$A$204&lt;=$B148)*(B_Drainage!$B$5:$B$204&gt;$B148)*(B_Drainage!$E$5:$E$204&lt;&gt;"")),IF(B_Drainage!$E$5:$E$204="-","",B_Drainage!$E$5:$E$204)),"")</f>
        <v/>
      </c>
      <c r="V148" s="181" t="str">
        <f>IFERROR(LOOKUP(2,1/((B_Drainage!$A$5:$A$204&lt;&gt;"")*(B_Drainage!$A$5:$A$204&lt;=$B148)*(B_Drainage!$B$5:$B$204&gt;$B148)*(B_Drainage!$F$5:$F$204&lt;&gt;"")),IF(B_Drainage!$F$5:$F$204="-","",1)),"")</f>
        <v/>
      </c>
      <c r="W148" s="181" t="str">
        <f>IFERROR(LOOKUP(2,1/((B_Drainage!$A$5:$A$204&lt;&gt;"")*(B_Drainage!$A$5:$A$204&lt;=$B148)*(B_Drainage!$B$5:$B$204&gt;$B148)*(B_Drainage!$F$5:$F$204&lt;&gt;"")),IF(B_Drainage!$F$5:$F$204="-","",B_Drainage!$F$5:$F$204)),"")</f>
        <v/>
      </c>
      <c r="X148" s="181" t="str">
        <f>IFERROR(LOOKUP(2,1/((B_Drainage!$A$5:$A$204&lt;&gt;"")*(B_Drainage!$A$5:$A$204&lt;=$B148)*(B_Drainage!$B$5:$B$204&gt;$B148)*(B_Drainage!$G$5:$G$204&lt;&gt;"")),IF(UPPER(B_Drainage!$G$5:$G$204)="Y",1,"")),"")</f>
        <v/>
      </c>
      <c r="Y148" s="181" t="str">
        <f>IFERROR(LOOKUP(2,1/((B_Drainage!$A$5:$A$204&lt;&gt;"")*(B_Drainage!$A$5:$A$204&lt;=$B148)*(B_Drainage!$B$5:$B$204&gt;$B148)*(B_Drainage!$H$5:$H$204&lt;&gt;"")),IF(UPPER(B_Drainage!$H$5:$H$204)="Y",1,"")),"")</f>
        <v/>
      </c>
      <c r="Z148" s="181" t="str">
        <f>IFERROR(LOOKUP(2,1/((B_Drainage!$A$5:$A$204&lt;&gt;"")*(B_Drainage!$A$5:$A$204&lt;=$B148)*(B_Drainage!$B$5:$B$204&gt;$B148)*(B_Drainage!$I$5:$I$204&lt;&gt;"")),IF(UPPER(B_Drainage!$I$5:$I$204)="Y",1,"")),"")</f>
        <v/>
      </c>
      <c r="AA148" s="181" t="str">
        <f>IFERROR(LOOKUP(2,1/((B_Drainage!$A$5:$A$204&lt;&gt;"")*(B_Drainage!$A$5:$A$204&lt;=$B148)*(B_Drainage!$B$5:$B$204&gt;$B148)*(B_Drainage!$J$5:$J$204&lt;&gt;"")),IF(UPPER(B_Drainage!$J$5:$J$204)="Y",1,"")),"")</f>
        <v/>
      </c>
      <c r="AB148" s="182" t="str">
        <f>IFERROR(LOOKUP(2,1/((B_Drainage!$A$5:$A$204&lt;&gt;"")*(B_Drainage!$A$5:$A$204&lt;=$B148)*(B_Drainage!$B$5:$B$204&gt;$B148)*(B_Drainage!$K$5:$K$204&lt;&gt;"")),IF(B_Drainage!$K$5:$K$204="-","",B_Drainage!$K$5:$K$204)),"")</f>
        <v/>
      </c>
      <c r="AC148" s="182" t="str">
        <f>IFERROR(LOOKUP(2,1/((B_Drainage!$A$5:$A$204&lt;&gt;"")*(B_Drainage!$A$5:$A$204&lt;=$B148)*(B_Drainage!$B$5:$B$204&gt;$B148)*(B_Drainage!$L$5:$L$204&lt;&gt;"")),IF(B_Drainage!$L$5:$L$204="-","",B_Drainage!$L$5:$L$204)),"")</f>
        <v/>
      </c>
      <c r="AD148" s="182" t="str">
        <f>IFERROR(LOOKUP(2,1/((D_Points!$A$5:$A$204&lt;&gt;"")*(D_Points!$A$5:$A$204&gt;=$B148)*(D_Points!$A$5:$A$204&lt;$B148+P_Interval)*(UPPER(TRIM(D_Points!$B$5:$B$204))="TURNOUT_L")*(D_Points!$H$5:$H$204&lt;&gt;"")),D_Points!$H$5:$H$204),"")</f>
        <v/>
      </c>
      <c r="AE148" s="182" t="str">
        <f>IFERROR(LOOKUP(2,1/((D_Points!$A$5:$A$204&lt;&gt;"")*(D_Points!$A$5:$A$204&gt;=$B148)*(D_Points!$A$5:$A$204&lt;$B148+P_Interval)*(UPPER(TRIM(D_Points!$B$5:$B$204))="TURNOUT_R")*(D_Points!$H$5:$H$204&lt;&gt;"")),D_Points!$H$5:$H$204),"")</f>
        <v/>
      </c>
      <c r="AF148" s="181" t="str">
        <f>IFERROR(LOOKUP(2,1/((B_Drainage!$A$5:$A$204&lt;&gt;"")*(B_Drainage!$A$5:$A$204&lt;=$B148)*(B_Drainage!$B$5:$B$204&gt;$B148)*(B_Drainage!$M$5:$M$204&lt;&gt;"")),IF(UPPER(B_Drainage!$M$5:$M$204)="Y",1,"")),"")</f>
        <v/>
      </c>
      <c r="AG148" s="181" t="str">
        <f>IFERROR(LOOKUP(2,1/((B_Drainage!$A$5:$A$204&lt;&gt;"")*(B_Drainage!$A$5:$A$204&lt;=$B148)*(B_Drainage!$B$5:$B$204&gt;$B148)*(B_Drainage!$N$5:$N$204&lt;&gt;"")),IF(UPPER(B_Drainage!$N$5:$N$204)="Y",1,"")),"")</f>
        <v/>
      </c>
      <c r="AH148" s="181" t="str">
        <f t="shared" si="16"/>
        <v/>
      </c>
      <c r="AI148" s="181" t="str">
        <f t="shared" si="17"/>
        <v/>
      </c>
      <c r="AJ148" s="181" t="str">
        <f t="shared" si="18"/>
        <v/>
      </c>
      <c r="AK148" s="181" t="str">
        <f t="shared" si="19"/>
        <v/>
      </c>
      <c r="AL148" s="181" t="str">
        <f t="shared" si="20"/>
        <v/>
      </c>
      <c r="AM148" s="181" t="str">
        <f t="shared" si="21"/>
        <v/>
      </c>
      <c r="AN148" s="181" t="str">
        <f t="shared" si="22"/>
        <v/>
      </c>
      <c r="AO148" s="192" t="str">
        <f t="shared" si="23"/>
        <v/>
      </c>
      <c r="AQ148" t="str">
        <f>IFERROR(LOOKUP(2,1/((C_Pavement!$A$5:$A$204&lt;&gt;"")*(C_Pavement!$A$5:$A$204&lt;=$B148)*(C_Pavement!$B$5:$B$204&gt;$B148)*(C_Pavement!$C$5:$C$204&lt;&gt;"")),ROW(C_Pavement!$C$5:$C$204)-4),"")</f>
        <v/>
      </c>
      <c r="AR148" t="str">
        <f>IF($AQ148="","",UPPER(TRIM(INDEX(C_Pavement!$C$5:$C$204,$AQ148))))</f>
        <v/>
      </c>
      <c r="AS148" t="str">
        <f>IF($AR148="","",IFERROR(MATCH($AR148,E_Rules!$A$5:$A$9,0),""))</f>
        <v/>
      </c>
      <c r="AT148" t="str">
        <f>IF($AQ148="","",IF(INDEX(C_Pavement!$D$5:$D$204,$AQ148)&lt;&gt;"",UPPER(TRIM(INDEX(C_Pavement!$D$5:$D$204,$AQ148))),IF($AS148="","",INDEX(E_Rules!$C$5:$C$9,$AS148))))</f>
        <v/>
      </c>
      <c r="AU148" t="str">
        <f>IF($AQ148="","",IF(INDEX(C_Pavement!$E$5:$E$204,$AQ148)&lt;&gt;"",IF(INDEX(C_Pavement!$E$5:$E$204,$AQ148)="-","",INDEX(C_Pavement!$E$5:$E$204,$AQ148)),IF($AS148="","",INDEX(E_Rules!$D$5:$D$9,$AS148))))</f>
        <v/>
      </c>
      <c r="AV148" t="str">
        <f>IF($AQ148="","",IF(INDEX(C_Pavement!$F$5:$F$204,$AQ148)&lt;&gt;"",IF(INDEX(C_Pavement!$F$5:$F$204,$AQ148)="-","",INDEX(C_Pavement!$F$5:$F$204,$AQ148)),IF($AS148="","",INDEX(E_Rules!$E$5:$E$9,$AS148))))</f>
        <v/>
      </c>
      <c r="AW148" t="str">
        <f>IF($AQ148="","",IF(INDEX(C_Pavement!$G$5:$G$204,$AQ148)&lt;&gt;"",IF(INDEX(C_Pavement!$G$5:$G$204,$AQ148)="-","",INDEX(C_Pavement!$G$5:$G$204,$AQ148)),IF($AS148="","",INDEX(E_Rules!$F$5:$F$9,$AS148))))</f>
        <v/>
      </c>
      <c r="AX148" t="str">
        <f>IF($AQ148="","",IF(INDEX(C_Pavement!$H$5:$H$204,$AQ148)&lt;&gt;"",IF(INDEX(C_Pavement!$H$5:$H$204,$AQ148)="-","",INDEX(C_Pavement!$H$5:$H$204,$AQ148)),IF($AS148="","",INDEX(E_Rules!$G$5:$G$9,$AS148))))</f>
        <v/>
      </c>
      <c r="AY148" t="str">
        <f>IF($AQ148="","",IF(INDEX(C_Pavement!$I$5:$I$204,$AQ148)&lt;&gt;"",IF(INDEX(C_Pavement!$I$5:$I$204,$AQ148)="-","",INDEX(C_Pavement!$I$5:$I$204,$AQ148)),IF($AS148="","",INDEX(E_Rules!$H$5:$H$9,$AS148))))</f>
        <v/>
      </c>
    </row>
    <row r="149" spans="1:51" ht="15.75" customHeight="1" x14ac:dyDescent="0.3">
      <c r="A149" s="189">
        <v>144</v>
      </c>
      <c r="B149" s="180">
        <v>7150</v>
      </c>
      <c r="C149" s="180" t="s">
        <v>455</v>
      </c>
      <c r="D149" s="181" t="str">
        <f>IFERROR(LOOKUP(2,1/((A_Corridor!$A$5:$A$204&lt;&gt;"")*(A_Corridor!$A$5:$A$204&lt;=$B149)*(A_Corridor!$B$5:$B$204&gt;$B149)*(A_Corridor!$C$5:$C$204&lt;&gt;"")),IF(UPPER(A_Corridor!$C$5:$C$204)="Y",1,"")),"")</f>
        <v/>
      </c>
      <c r="E149" s="181" t="str">
        <f>IFERROR(LOOKUP(2,1/((A_Corridor!$A$5:$A$204&lt;&gt;"")*(A_Corridor!$A$5:$A$204&lt;=$B149)*(A_Corridor!$B$5:$B$204&gt;$B149)*(A_Corridor!$D$5:$D$204&lt;&gt;"")),IF(A_Corridor!$D$5:$D$204="-","",UPPER(A_Corridor!$D$5:$D$204))),"")</f>
        <v/>
      </c>
      <c r="F149" s="181" t="str">
        <f>IFERROR(LOOKUP(2,1/((A_Corridor!$A$5:$A$204&lt;&gt;"")*(A_Corridor!$A$5:$A$204&lt;=$B149)*(A_Corridor!$B$5:$B$204&gt;$B149)*(A_Corridor!$E$5:$E$204&lt;&gt;"")),IF(A_Corridor!$E$5:$E$204="-","",1)),"")</f>
        <v/>
      </c>
      <c r="G149" s="182" t="str">
        <f>IFERROR(LOOKUP(2,1/((A_Corridor!$A$5:$A$204&lt;&gt;"")*(A_Corridor!$A$5:$A$204&lt;=$B149)*(A_Corridor!$B$5:$B$204&gt;$B149)*(A_Corridor!$E$5:$E$204&lt;&gt;"")),IF(A_Corridor!$E$5:$E$204="-","",A_Corridor!$E$5:$E$204)),"")</f>
        <v/>
      </c>
      <c r="H149" s="182" t="str">
        <f>IFERROR(LOOKUP(2,1/((D_Points!$A$5:$A$204&lt;&gt;"")*(D_Points!$A$5:$A$204&gt;=$B149)*(D_Points!$A$5:$A$204&lt;$B149+P_Interval)*(UPPER(TRIM(D_Points!$B$5:$B$204))="GULLY")*(D_Points!$H$5:$H$204&lt;&gt;"")),D_Points!$H$5:$H$204),"")</f>
        <v/>
      </c>
      <c r="I149" s="181" t="str">
        <f>IFERROR(LOOKUP(2,1/((A_Corridor!$A$5:$A$204&lt;&gt;"")*(A_Corridor!$A$5:$A$204&lt;=$B149)*(A_Corridor!$B$5:$B$204&gt;$B149)*(A_Corridor!$F$5:$F$204&lt;&gt;"")),IF(A_Corridor!$F$5:$F$204="-","",1)),"")</f>
        <v/>
      </c>
      <c r="J149" s="182" t="str">
        <f>IFERROR(LOOKUP(2,1/((A_Corridor!$A$5:$A$204&lt;&gt;"")*(A_Corridor!$A$5:$A$204&lt;=$B149)*(A_Corridor!$B$5:$B$204&gt;$B149)*(A_Corridor!$F$5:$F$204&lt;&gt;"")),IF(A_Corridor!$F$5:$F$204="-","",A_Corridor!$F$5:$F$204)),"")</f>
        <v/>
      </c>
      <c r="K149" s="182" t="str">
        <f>IFERROR(LOOKUP(2,1/((A_Corridor!$A$5:$A$204&lt;&gt;"")*(A_Corridor!$A$5:$A$204&lt;=$B149)*(A_Corridor!$B$5:$B$204&gt;$B149)*(A_Corridor!$G$5:$G$204&lt;&gt;"")),IF(A_Corridor!$G$5:$G$204="-","",A_Corridor!$G$5:$G$204)),"")</f>
        <v/>
      </c>
      <c r="L149" s="181" t="str">
        <f>IFERROR(LOOKUP(2,1/((A_Corridor!$A$5:$A$204&lt;&gt;"")*(A_Corridor!$A$5:$A$204&lt;=$B149)*(A_Corridor!$B$5:$B$204&gt;$B149)*(A_Corridor!$H$5:$H$204&lt;&gt;"")),IF(A_Corridor!$H$5:$H$204="-","",1)),"")</f>
        <v/>
      </c>
      <c r="M149" s="182" t="str">
        <f>IFERROR(LOOKUP(2,1/((A_Corridor!$A$5:$A$204&lt;&gt;"")*(A_Corridor!$A$5:$A$204&lt;=$B149)*(A_Corridor!$B$5:$B$204&gt;$B149)*(A_Corridor!$H$5:$H$204&lt;&gt;"")),IF(A_Corridor!$H$5:$H$204="-","",A_Corridor!$H$5:$H$204)),"")</f>
        <v/>
      </c>
      <c r="N149" s="182" t="str">
        <f>IFERROR(LOOKUP(2,1/((A_Corridor!$A$5:$A$204&lt;&gt;"")*(A_Corridor!$A$5:$A$204&lt;=$B149)*(A_Corridor!$B$5:$B$204&gt;$B149)*(A_Corridor!$I$5:$I$204&lt;&gt;"")),IF(A_Corridor!$I$5:$I$204="-","",A_Corridor!$I$5:$I$204)),"")</f>
        <v/>
      </c>
      <c r="O149" s="182" t="str">
        <f>IFERROR(LOOKUP(2,1/((D_Points!$A$5:$A$204&lt;&gt;"")*(D_Points!$A$5:$A$204&gt;=$B149)*(D_Points!$A$5:$A$204&lt;$B149+P_Interval)*(UPPER(TRIM(D_Points!$B$5:$B$204))="PITCHING")*(D_Points!$H$5:$H$204&lt;&gt;"")),D_Points!$H$5:$H$204),"")</f>
        <v/>
      </c>
      <c r="P149" s="181" t="str">
        <f>IFERROR(LOOKUP(2,1/((B_Drainage!$A$5:$A$204&lt;&gt;"")*(B_Drainage!$A$5:$A$204&lt;=$B149)*(B_Drainage!$B$5:$B$204&gt;$B149)*(B_Drainage!$C$5:$C$204&lt;&gt;"")),IF(B_Drainage!$C$5:$C$204="-","",UPPER(B_Drainage!$C$5:$C$204))),"")</f>
        <v/>
      </c>
      <c r="Q149" s="181" t="str">
        <f>IFERROR(LOOKUP(2,1/((B_Drainage!$A$5:$A$204&lt;&gt;"")*(B_Drainage!$A$5:$A$204&lt;=$B149)*(B_Drainage!$B$5:$B$204&gt;$B149)*(B_Drainage!$D$5:$D$204&lt;&gt;"")),IF(B_Drainage!$D$5:$D$204="-","",UPPER(B_Drainage!$D$5:$D$204))),"")</f>
        <v/>
      </c>
      <c r="R149" s="182" t="str">
        <f>IFERROR(LOOKUP(2,1/((D_Points!$A$5:$A$204&lt;&gt;"")*(D_Points!$A$5:$A$204&gt;=$B149)*(D_Points!$A$5:$A$204&lt;$B149+P_Interval)*(RIGHT(UPPER(TRIM(D_Points!$B$5:$B$204)),8)="_CULVERT")),IF(LEFT(UPPER(TRIM(D_Points!$B$5:$B$204)),2)="EX",1,IF(LEFT(UPPER(TRIM(D_Points!$B$5:$B$204)),2)="PR",2,3))),"")</f>
        <v/>
      </c>
      <c r="S149" s="182" t="str">
        <f>IFERROR(LOOKUP(2,1/((D_Points!$A$5:$A$204&lt;&gt;"")*(D_Points!$A$5:$A$204&gt;=$B149)*(D_Points!$A$5:$A$204&lt;$B149+P_Interval)*(RIGHT(UPPER(TRIM(D_Points!$B$5:$B$204)),7)="_BRIDGE")),IF(LEFT(UPPER(TRIM(D_Points!$B$5:$B$204)),2)="EX",1,IF(LEFT(UPPER(TRIM(D_Points!$B$5:$B$204)),2)="PR",2,2))),"")</f>
        <v/>
      </c>
      <c r="T149" s="181" t="str">
        <f>IFERROR(LOOKUP(2,1/((B_Drainage!$A$5:$A$204&lt;&gt;"")*(B_Drainage!$A$5:$A$204&lt;=$B149)*(B_Drainage!$B$5:$B$204&gt;$B149)*(B_Drainage!$E$5:$E$204&lt;&gt;"")),IF(B_Drainage!$E$5:$E$204="-","",1)),"")</f>
        <v/>
      </c>
      <c r="U149" s="181" t="str">
        <f>IFERROR(LOOKUP(2,1/((B_Drainage!$A$5:$A$204&lt;&gt;"")*(B_Drainage!$A$5:$A$204&lt;=$B149)*(B_Drainage!$B$5:$B$204&gt;$B149)*(B_Drainage!$E$5:$E$204&lt;&gt;"")),IF(B_Drainage!$E$5:$E$204="-","",B_Drainage!$E$5:$E$204)),"")</f>
        <v/>
      </c>
      <c r="V149" s="181" t="str">
        <f>IFERROR(LOOKUP(2,1/((B_Drainage!$A$5:$A$204&lt;&gt;"")*(B_Drainage!$A$5:$A$204&lt;=$B149)*(B_Drainage!$B$5:$B$204&gt;$B149)*(B_Drainage!$F$5:$F$204&lt;&gt;"")),IF(B_Drainage!$F$5:$F$204="-","",1)),"")</f>
        <v/>
      </c>
      <c r="W149" s="181" t="str">
        <f>IFERROR(LOOKUP(2,1/((B_Drainage!$A$5:$A$204&lt;&gt;"")*(B_Drainage!$A$5:$A$204&lt;=$B149)*(B_Drainage!$B$5:$B$204&gt;$B149)*(B_Drainage!$F$5:$F$204&lt;&gt;"")),IF(B_Drainage!$F$5:$F$204="-","",B_Drainage!$F$5:$F$204)),"")</f>
        <v/>
      </c>
      <c r="X149" s="181" t="str">
        <f>IFERROR(LOOKUP(2,1/((B_Drainage!$A$5:$A$204&lt;&gt;"")*(B_Drainage!$A$5:$A$204&lt;=$B149)*(B_Drainage!$B$5:$B$204&gt;$B149)*(B_Drainage!$G$5:$G$204&lt;&gt;"")),IF(UPPER(B_Drainage!$G$5:$G$204)="Y",1,"")),"")</f>
        <v/>
      </c>
      <c r="Y149" s="181" t="str">
        <f>IFERROR(LOOKUP(2,1/((B_Drainage!$A$5:$A$204&lt;&gt;"")*(B_Drainage!$A$5:$A$204&lt;=$B149)*(B_Drainage!$B$5:$B$204&gt;$B149)*(B_Drainage!$H$5:$H$204&lt;&gt;"")),IF(UPPER(B_Drainage!$H$5:$H$204)="Y",1,"")),"")</f>
        <v/>
      </c>
      <c r="Z149" s="181" t="str">
        <f>IFERROR(LOOKUP(2,1/((B_Drainage!$A$5:$A$204&lt;&gt;"")*(B_Drainage!$A$5:$A$204&lt;=$B149)*(B_Drainage!$B$5:$B$204&gt;$B149)*(B_Drainage!$I$5:$I$204&lt;&gt;"")),IF(UPPER(B_Drainage!$I$5:$I$204)="Y",1,"")),"")</f>
        <v/>
      </c>
      <c r="AA149" s="181" t="str">
        <f>IFERROR(LOOKUP(2,1/((B_Drainage!$A$5:$A$204&lt;&gt;"")*(B_Drainage!$A$5:$A$204&lt;=$B149)*(B_Drainage!$B$5:$B$204&gt;$B149)*(B_Drainage!$J$5:$J$204&lt;&gt;"")),IF(UPPER(B_Drainage!$J$5:$J$204)="Y",1,"")),"")</f>
        <v/>
      </c>
      <c r="AB149" s="182" t="str">
        <f>IFERROR(LOOKUP(2,1/((B_Drainage!$A$5:$A$204&lt;&gt;"")*(B_Drainage!$A$5:$A$204&lt;=$B149)*(B_Drainage!$B$5:$B$204&gt;$B149)*(B_Drainage!$K$5:$K$204&lt;&gt;"")),IF(B_Drainage!$K$5:$K$204="-","",B_Drainage!$K$5:$K$204)),"")</f>
        <v/>
      </c>
      <c r="AC149" s="182" t="str">
        <f>IFERROR(LOOKUP(2,1/((B_Drainage!$A$5:$A$204&lt;&gt;"")*(B_Drainage!$A$5:$A$204&lt;=$B149)*(B_Drainage!$B$5:$B$204&gt;$B149)*(B_Drainage!$L$5:$L$204&lt;&gt;"")),IF(B_Drainage!$L$5:$L$204="-","",B_Drainage!$L$5:$L$204)),"")</f>
        <v/>
      </c>
      <c r="AD149" s="182" t="str">
        <f>IFERROR(LOOKUP(2,1/((D_Points!$A$5:$A$204&lt;&gt;"")*(D_Points!$A$5:$A$204&gt;=$B149)*(D_Points!$A$5:$A$204&lt;$B149+P_Interval)*(UPPER(TRIM(D_Points!$B$5:$B$204))="TURNOUT_L")*(D_Points!$H$5:$H$204&lt;&gt;"")),D_Points!$H$5:$H$204),"")</f>
        <v/>
      </c>
      <c r="AE149" s="182" t="str">
        <f>IFERROR(LOOKUP(2,1/((D_Points!$A$5:$A$204&lt;&gt;"")*(D_Points!$A$5:$A$204&gt;=$B149)*(D_Points!$A$5:$A$204&lt;$B149+P_Interval)*(UPPER(TRIM(D_Points!$B$5:$B$204))="TURNOUT_R")*(D_Points!$H$5:$H$204&lt;&gt;"")),D_Points!$H$5:$H$204),"")</f>
        <v/>
      </c>
      <c r="AF149" s="181" t="str">
        <f>IFERROR(LOOKUP(2,1/((B_Drainage!$A$5:$A$204&lt;&gt;"")*(B_Drainage!$A$5:$A$204&lt;=$B149)*(B_Drainage!$B$5:$B$204&gt;$B149)*(B_Drainage!$M$5:$M$204&lt;&gt;"")),IF(UPPER(B_Drainage!$M$5:$M$204)="Y",1,"")),"")</f>
        <v/>
      </c>
      <c r="AG149" s="181" t="str">
        <f>IFERROR(LOOKUP(2,1/((B_Drainage!$A$5:$A$204&lt;&gt;"")*(B_Drainage!$A$5:$A$204&lt;=$B149)*(B_Drainage!$B$5:$B$204&gt;$B149)*(B_Drainage!$N$5:$N$204&lt;&gt;"")),IF(UPPER(B_Drainage!$N$5:$N$204)="Y",1,"")),"")</f>
        <v/>
      </c>
      <c r="AH149" s="181" t="str">
        <f t="shared" si="16"/>
        <v/>
      </c>
      <c r="AI149" s="181" t="str">
        <f t="shared" si="17"/>
        <v/>
      </c>
      <c r="AJ149" s="181" t="str">
        <f t="shared" si="18"/>
        <v/>
      </c>
      <c r="AK149" s="181" t="str">
        <f t="shared" si="19"/>
        <v/>
      </c>
      <c r="AL149" s="181" t="str">
        <f t="shared" si="20"/>
        <v/>
      </c>
      <c r="AM149" s="181" t="str">
        <f t="shared" si="21"/>
        <v/>
      </c>
      <c r="AN149" s="181" t="str">
        <f t="shared" si="22"/>
        <v/>
      </c>
      <c r="AO149" s="192" t="str">
        <f t="shared" si="23"/>
        <v/>
      </c>
      <c r="AQ149" t="str">
        <f>IFERROR(LOOKUP(2,1/((C_Pavement!$A$5:$A$204&lt;&gt;"")*(C_Pavement!$A$5:$A$204&lt;=$B149)*(C_Pavement!$B$5:$B$204&gt;$B149)*(C_Pavement!$C$5:$C$204&lt;&gt;"")),ROW(C_Pavement!$C$5:$C$204)-4),"")</f>
        <v/>
      </c>
      <c r="AR149" t="str">
        <f>IF($AQ149="","",UPPER(TRIM(INDEX(C_Pavement!$C$5:$C$204,$AQ149))))</f>
        <v/>
      </c>
      <c r="AS149" t="str">
        <f>IF($AR149="","",IFERROR(MATCH($AR149,E_Rules!$A$5:$A$9,0),""))</f>
        <v/>
      </c>
      <c r="AT149" t="str">
        <f>IF($AQ149="","",IF(INDEX(C_Pavement!$D$5:$D$204,$AQ149)&lt;&gt;"",UPPER(TRIM(INDEX(C_Pavement!$D$5:$D$204,$AQ149))),IF($AS149="","",INDEX(E_Rules!$C$5:$C$9,$AS149))))</f>
        <v/>
      </c>
      <c r="AU149" t="str">
        <f>IF($AQ149="","",IF(INDEX(C_Pavement!$E$5:$E$204,$AQ149)&lt;&gt;"",IF(INDEX(C_Pavement!$E$5:$E$204,$AQ149)="-","",INDEX(C_Pavement!$E$5:$E$204,$AQ149)),IF($AS149="","",INDEX(E_Rules!$D$5:$D$9,$AS149))))</f>
        <v/>
      </c>
      <c r="AV149" t="str">
        <f>IF($AQ149="","",IF(INDEX(C_Pavement!$F$5:$F$204,$AQ149)&lt;&gt;"",IF(INDEX(C_Pavement!$F$5:$F$204,$AQ149)="-","",INDEX(C_Pavement!$F$5:$F$204,$AQ149)),IF($AS149="","",INDEX(E_Rules!$E$5:$E$9,$AS149))))</f>
        <v/>
      </c>
      <c r="AW149" t="str">
        <f>IF($AQ149="","",IF(INDEX(C_Pavement!$G$5:$G$204,$AQ149)&lt;&gt;"",IF(INDEX(C_Pavement!$G$5:$G$204,$AQ149)="-","",INDEX(C_Pavement!$G$5:$G$204,$AQ149)),IF($AS149="","",INDEX(E_Rules!$F$5:$F$9,$AS149))))</f>
        <v/>
      </c>
      <c r="AX149" t="str">
        <f>IF($AQ149="","",IF(INDEX(C_Pavement!$H$5:$H$204,$AQ149)&lt;&gt;"",IF(INDEX(C_Pavement!$H$5:$H$204,$AQ149)="-","",INDEX(C_Pavement!$H$5:$H$204,$AQ149)),IF($AS149="","",INDEX(E_Rules!$G$5:$G$9,$AS149))))</f>
        <v/>
      </c>
      <c r="AY149" t="str">
        <f>IF($AQ149="","",IF(INDEX(C_Pavement!$I$5:$I$204,$AQ149)&lt;&gt;"",IF(INDEX(C_Pavement!$I$5:$I$204,$AQ149)="-","",INDEX(C_Pavement!$I$5:$I$204,$AQ149)),IF($AS149="","",INDEX(E_Rules!$H$5:$H$9,$AS149))))</f>
        <v/>
      </c>
    </row>
    <row r="150" spans="1:51" ht="15.75" customHeight="1" x14ac:dyDescent="0.3">
      <c r="A150" s="189">
        <v>145</v>
      </c>
      <c r="B150" s="180">
        <v>7200</v>
      </c>
      <c r="C150" s="180" t="s">
        <v>456</v>
      </c>
      <c r="D150" s="181" t="str">
        <f>IFERROR(LOOKUP(2,1/((A_Corridor!$A$5:$A$204&lt;&gt;"")*(A_Corridor!$A$5:$A$204&lt;=$B150)*(A_Corridor!$B$5:$B$204&gt;$B150)*(A_Corridor!$C$5:$C$204&lt;&gt;"")),IF(UPPER(A_Corridor!$C$5:$C$204)="Y",1,"")),"")</f>
        <v/>
      </c>
      <c r="E150" s="181" t="str">
        <f>IFERROR(LOOKUP(2,1/((A_Corridor!$A$5:$A$204&lt;&gt;"")*(A_Corridor!$A$5:$A$204&lt;=$B150)*(A_Corridor!$B$5:$B$204&gt;$B150)*(A_Corridor!$D$5:$D$204&lt;&gt;"")),IF(A_Corridor!$D$5:$D$204="-","",UPPER(A_Corridor!$D$5:$D$204))),"")</f>
        <v/>
      </c>
      <c r="F150" s="181" t="str">
        <f>IFERROR(LOOKUP(2,1/((A_Corridor!$A$5:$A$204&lt;&gt;"")*(A_Corridor!$A$5:$A$204&lt;=$B150)*(A_Corridor!$B$5:$B$204&gt;$B150)*(A_Corridor!$E$5:$E$204&lt;&gt;"")),IF(A_Corridor!$E$5:$E$204="-","",1)),"")</f>
        <v/>
      </c>
      <c r="G150" s="182" t="str">
        <f>IFERROR(LOOKUP(2,1/((A_Corridor!$A$5:$A$204&lt;&gt;"")*(A_Corridor!$A$5:$A$204&lt;=$B150)*(A_Corridor!$B$5:$B$204&gt;$B150)*(A_Corridor!$E$5:$E$204&lt;&gt;"")),IF(A_Corridor!$E$5:$E$204="-","",A_Corridor!$E$5:$E$204)),"")</f>
        <v/>
      </c>
      <c r="H150" s="182" t="str">
        <f>IFERROR(LOOKUP(2,1/((D_Points!$A$5:$A$204&lt;&gt;"")*(D_Points!$A$5:$A$204&gt;=$B150)*(D_Points!$A$5:$A$204&lt;$B150+P_Interval)*(UPPER(TRIM(D_Points!$B$5:$B$204))="GULLY")*(D_Points!$H$5:$H$204&lt;&gt;"")),D_Points!$H$5:$H$204),"")</f>
        <v/>
      </c>
      <c r="I150" s="181" t="str">
        <f>IFERROR(LOOKUP(2,1/((A_Corridor!$A$5:$A$204&lt;&gt;"")*(A_Corridor!$A$5:$A$204&lt;=$B150)*(A_Corridor!$B$5:$B$204&gt;$B150)*(A_Corridor!$F$5:$F$204&lt;&gt;"")),IF(A_Corridor!$F$5:$F$204="-","",1)),"")</f>
        <v/>
      </c>
      <c r="J150" s="182" t="str">
        <f>IFERROR(LOOKUP(2,1/((A_Corridor!$A$5:$A$204&lt;&gt;"")*(A_Corridor!$A$5:$A$204&lt;=$B150)*(A_Corridor!$B$5:$B$204&gt;$B150)*(A_Corridor!$F$5:$F$204&lt;&gt;"")),IF(A_Corridor!$F$5:$F$204="-","",A_Corridor!$F$5:$F$204)),"")</f>
        <v/>
      </c>
      <c r="K150" s="182" t="str">
        <f>IFERROR(LOOKUP(2,1/((A_Corridor!$A$5:$A$204&lt;&gt;"")*(A_Corridor!$A$5:$A$204&lt;=$B150)*(A_Corridor!$B$5:$B$204&gt;$B150)*(A_Corridor!$G$5:$G$204&lt;&gt;"")),IF(A_Corridor!$G$5:$G$204="-","",A_Corridor!$G$5:$G$204)),"")</f>
        <v/>
      </c>
      <c r="L150" s="181" t="str">
        <f>IFERROR(LOOKUP(2,1/((A_Corridor!$A$5:$A$204&lt;&gt;"")*(A_Corridor!$A$5:$A$204&lt;=$B150)*(A_Corridor!$B$5:$B$204&gt;$B150)*(A_Corridor!$H$5:$H$204&lt;&gt;"")),IF(A_Corridor!$H$5:$H$204="-","",1)),"")</f>
        <v/>
      </c>
      <c r="M150" s="182" t="str">
        <f>IFERROR(LOOKUP(2,1/((A_Corridor!$A$5:$A$204&lt;&gt;"")*(A_Corridor!$A$5:$A$204&lt;=$B150)*(A_Corridor!$B$5:$B$204&gt;$B150)*(A_Corridor!$H$5:$H$204&lt;&gt;"")),IF(A_Corridor!$H$5:$H$204="-","",A_Corridor!$H$5:$H$204)),"")</f>
        <v/>
      </c>
      <c r="N150" s="182" t="str">
        <f>IFERROR(LOOKUP(2,1/((A_Corridor!$A$5:$A$204&lt;&gt;"")*(A_Corridor!$A$5:$A$204&lt;=$B150)*(A_Corridor!$B$5:$B$204&gt;$B150)*(A_Corridor!$I$5:$I$204&lt;&gt;"")),IF(A_Corridor!$I$5:$I$204="-","",A_Corridor!$I$5:$I$204)),"")</f>
        <v/>
      </c>
      <c r="O150" s="182" t="str">
        <f>IFERROR(LOOKUP(2,1/((D_Points!$A$5:$A$204&lt;&gt;"")*(D_Points!$A$5:$A$204&gt;=$B150)*(D_Points!$A$5:$A$204&lt;$B150+P_Interval)*(UPPER(TRIM(D_Points!$B$5:$B$204))="PITCHING")*(D_Points!$H$5:$H$204&lt;&gt;"")),D_Points!$H$5:$H$204),"")</f>
        <v/>
      </c>
      <c r="P150" s="181" t="str">
        <f>IFERROR(LOOKUP(2,1/((B_Drainage!$A$5:$A$204&lt;&gt;"")*(B_Drainage!$A$5:$A$204&lt;=$B150)*(B_Drainage!$B$5:$B$204&gt;$B150)*(B_Drainage!$C$5:$C$204&lt;&gt;"")),IF(B_Drainage!$C$5:$C$204="-","",UPPER(B_Drainage!$C$5:$C$204))),"")</f>
        <v/>
      </c>
      <c r="Q150" s="181" t="str">
        <f>IFERROR(LOOKUP(2,1/((B_Drainage!$A$5:$A$204&lt;&gt;"")*(B_Drainage!$A$5:$A$204&lt;=$B150)*(B_Drainage!$B$5:$B$204&gt;$B150)*(B_Drainage!$D$5:$D$204&lt;&gt;"")),IF(B_Drainage!$D$5:$D$204="-","",UPPER(B_Drainage!$D$5:$D$204))),"")</f>
        <v/>
      </c>
      <c r="R150" s="182" t="str">
        <f>IFERROR(LOOKUP(2,1/((D_Points!$A$5:$A$204&lt;&gt;"")*(D_Points!$A$5:$A$204&gt;=$B150)*(D_Points!$A$5:$A$204&lt;$B150+P_Interval)*(RIGHT(UPPER(TRIM(D_Points!$B$5:$B$204)),8)="_CULVERT")),IF(LEFT(UPPER(TRIM(D_Points!$B$5:$B$204)),2)="EX",1,IF(LEFT(UPPER(TRIM(D_Points!$B$5:$B$204)),2)="PR",2,3))),"")</f>
        <v/>
      </c>
      <c r="S150" s="182" t="str">
        <f>IFERROR(LOOKUP(2,1/((D_Points!$A$5:$A$204&lt;&gt;"")*(D_Points!$A$5:$A$204&gt;=$B150)*(D_Points!$A$5:$A$204&lt;$B150+P_Interval)*(RIGHT(UPPER(TRIM(D_Points!$B$5:$B$204)),7)="_BRIDGE")),IF(LEFT(UPPER(TRIM(D_Points!$B$5:$B$204)),2)="EX",1,IF(LEFT(UPPER(TRIM(D_Points!$B$5:$B$204)),2)="PR",2,2))),"")</f>
        <v/>
      </c>
      <c r="T150" s="181" t="str">
        <f>IFERROR(LOOKUP(2,1/((B_Drainage!$A$5:$A$204&lt;&gt;"")*(B_Drainage!$A$5:$A$204&lt;=$B150)*(B_Drainage!$B$5:$B$204&gt;$B150)*(B_Drainage!$E$5:$E$204&lt;&gt;"")),IF(B_Drainage!$E$5:$E$204="-","",1)),"")</f>
        <v/>
      </c>
      <c r="U150" s="181" t="str">
        <f>IFERROR(LOOKUP(2,1/((B_Drainage!$A$5:$A$204&lt;&gt;"")*(B_Drainage!$A$5:$A$204&lt;=$B150)*(B_Drainage!$B$5:$B$204&gt;$B150)*(B_Drainage!$E$5:$E$204&lt;&gt;"")),IF(B_Drainage!$E$5:$E$204="-","",B_Drainage!$E$5:$E$204)),"")</f>
        <v/>
      </c>
      <c r="V150" s="181" t="str">
        <f>IFERROR(LOOKUP(2,1/((B_Drainage!$A$5:$A$204&lt;&gt;"")*(B_Drainage!$A$5:$A$204&lt;=$B150)*(B_Drainage!$B$5:$B$204&gt;$B150)*(B_Drainage!$F$5:$F$204&lt;&gt;"")),IF(B_Drainage!$F$5:$F$204="-","",1)),"")</f>
        <v/>
      </c>
      <c r="W150" s="181" t="str">
        <f>IFERROR(LOOKUP(2,1/((B_Drainage!$A$5:$A$204&lt;&gt;"")*(B_Drainage!$A$5:$A$204&lt;=$B150)*(B_Drainage!$B$5:$B$204&gt;$B150)*(B_Drainage!$F$5:$F$204&lt;&gt;"")),IF(B_Drainage!$F$5:$F$204="-","",B_Drainage!$F$5:$F$204)),"")</f>
        <v/>
      </c>
      <c r="X150" s="181" t="str">
        <f>IFERROR(LOOKUP(2,1/((B_Drainage!$A$5:$A$204&lt;&gt;"")*(B_Drainage!$A$5:$A$204&lt;=$B150)*(B_Drainage!$B$5:$B$204&gt;$B150)*(B_Drainage!$G$5:$G$204&lt;&gt;"")),IF(UPPER(B_Drainage!$G$5:$G$204)="Y",1,"")),"")</f>
        <v/>
      </c>
      <c r="Y150" s="181" t="str">
        <f>IFERROR(LOOKUP(2,1/((B_Drainage!$A$5:$A$204&lt;&gt;"")*(B_Drainage!$A$5:$A$204&lt;=$B150)*(B_Drainage!$B$5:$B$204&gt;$B150)*(B_Drainage!$H$5:$H$204&lt;&gt;"")),IF(UPPER(B_Drainage!$H$5:$H$204)="Y",1,"")),"")</f>
        <v/>
      </c>
      <c r="Z150" s="181" t="str">
        <f>IFERROR(LOOKUP(2,1/((B_Drainage!$A$5:$A$204&lt;&gt;"")*(B_Drainage!$A$5:$A$204&lt;=$B150)*(B_Drainage!$B$5:$B$204&gt;$B150)*(B_Drainage!$I$5:$I$204&lt;&gt;"")),IF(UPPER(B_Drainage!$I$5:$I$204)="Y",1,"")),"")</f>
        <v/>
      </c>
      <c r="AA150" s="181" t="str">
        <f>IFERROR(LOOKUP(2,1/((B_Drainage!$A$5:$A$204&lt;&gt;"")*(B_Drainage!$A$5:$A$204&lt;=$B150)*(B_Drainage!$B$5:$B$204&gt;$B150)*(B_Drainage!$J$5:$J$204&lt;&gt;"")),IF(UPPER(B_Drainage!$J$5:$J$204)="Y",1,"")),"")</f>
        <v/>
      </c>
      <c r="AB150" s="182" t="str">
        <f>IFERROR(LOOKUP(2,1/((B_Drainage!$A$5:$A$204&lt;&gt;"")*(B_Drainage!$A$5:$A$204&lt;=$B150)*(B_Drainage!$B$5:$B$204&gt;$B150)*(B_Drainage!$K$5:$K$204&lt;&gt;"")),IF(B_Drainage!$K$5:$K$204="-","",B_Drainage!$K$5:$K$204)),"")</f>
        <v/>
      </c>
      <c r="AC150" s="182" t="str">
        <f>IFERROR(LOOKUP(2,1/((B_Drainage!$A$5:$A$204&lt;&gt;"")*(B_Drainage!$A$5:$A$204&lt;=$B150)*(B_Drainage!$B$5:$B$204&gt;$B150)*(B_Drainage!$L$5:$L$204&lt;&gt;"")),IF(B_Drainage!$L$5:$L$204="-","",B_Drainage!$L$5:$L$204)),"")</f>
        <v/>
      </c>
      <c r="AD150" s="182" t="str">
        <f>IFERROR(LOOKUP(2,1/((D_Points!$A$5:$A$204&lt;&gt;"")*(D_Points!$A$5:$A$204&gt;=$B150)*(D_Points!$A$5:$A$204&lt;$B150+P_Interval)*(UPPER(TRIM(D_Points!$B$5:$B$204))="TURNOUT_L")*(D_Points!$H$5:$H$204&lt;&gt;"")),D_Points!$H$5:$H$204),"")</f>
        <v/>
      </c>
      <c r="AE150" s="182" t="str">
        <f>IFERROR(LOOKUP(2,1/((D_Points!$A$5:$A$204&lt;&gt;"")*(D_Points!$A$5:$A$204&gt;=$B150)*(D_Points!$A$5:$A$204&lt;$B150+P_Interval)*(UPPER(TRIM(D_Points!$B$5:$B$204))="TURNOUT_R")*(D_Points!$H$5:$H$204&lt;&gt;"")),D_Points!$H$5:$H$204),"")</f>
        <v/>
      </c>
      <c r="AF150" s="181" t="str">
        <f>IFERROR(LOOKUP(2,1/((B_Drainage!$A$5:$A$204&lt;&gt;"")*(B_Drainage!$A$5:$A$204&lt;=$B150)*(B_Drainage!$B$5:$B$204&gt;$B150)*(B_Drainage!$M$5:$M$204&lt;&gt;"")),IF(UPPER(B_Drainage!$M$5:$M$204)="Y",1,"")),"")</f>
        <v/>
      </c>
      <c r="AG150" s="181" t="str">
        <f>IFERROR(LOOKUP(2,1/((B_Drainage!$A$5:$A$204&lt;&gt;"")*(B_Drainage!$A$5:$A$204&lt;=$B150)*(B_Drainage!$B$5:$B$204&gt;$B150)*(B_Drainage!$N$5:$N$204&lt;&gt;"")),IF(UPPER(B_Drainage!$N$5:$N$204)="Y",1,"")),"")</f>
        <v/>
      </c>
      <c r="AH150" s="181" t="str">
        <f t="shared" si="16"/>
        <v/>
      </c>
      <c r="AI150" s="181" t="str">
        <f t="shared" si="17"/>
        <v/>
      </c>
      <c r="AJ150" s="181" t="str">
        <f t="shared" si="18"/>
        <v/>
      </c>
      <c r="AK150" s="181" t="str">
        <f t="shared" si="19"/>
        <v/>
      </c>
      <c r="AL150" s="181" t="str">
        <f t="shared" si="20"/>
        <v/>
      </c>
      <c r="AM150" s="181" t="str">
        <f t="shared" si="21"/>
        <v/>
      </c>
      <c r="AN150" s="181" t="str">
        <f t="shared" si="22"/>
        <v/>
      </c>
      <c r="AO150" s="192" t="str">
        <f t="shared" si="23"/>
        <v/>
      </c>
      <c r="AQ150" t="str">
        <f>IFERROR(LOOKUP(2,1/((C_Pavement!$A$5:$A$204&lt;&gt;"")*(C_Pavement!$A$5:$A$204&lt;=$B150)*(C_Pavement!$B$5:$B$204&gt;$B150)*(C_Pavement!$C$5:$C$204&lt;&gt;"")),ROW(C_Pavement!$C$5:$C$204)-4),"")</f>
        <v/>
      </c>
      <c r="AR150" t="str">
        <f>IF($AQ150="","",UPPER(TRIM(INDEX(C_Pavement!$C$5:$C$204,$AQ150))))</f>
        <v/>
      </c>
      <c r="AS150" t="str">
        <f>IF($AR150="","",IFERROR(MATCH($AR150,E_Rules!$A$5:$A$9,0),""))</f>
        <v/>
      </c>
      <c r="AT150" t="str">
        <f>IF($AQ150="","",IF(INDEX(C_Pavement!$D$5:$D$204,$AQ150)&lt;&gt;"",UPPER(TRIM(INDEX(C_Pavement!$D$5:$D$204,$AQ150))),IF($AS150="","",INDEX(E_Rules!$C$5:$C$9,$AS150))))</f>
        <v/>
      </c>
      <c r="AU150" t="str">
        <f>IF($AQ150="","",IF(INDEX(C_Pavement!$E$5:$E$204,$AQ150)&lt;&gt;"",IF(INDEX(C_Pavement!$E$5:$E$204,$AQ150)="-","",INDEX(C_Pavement!$E$5:$E$204,$AQ150)),IF($AS150="","",INDEX(E_Rules!$D$5:$D$9,$AS150))))</f>
        <v/>
      </c>
      <c r="AV150" t="str">
        <f>IF($AQ150="","",IF(INDEX(C_Pavement!$F$5:$F$204,$AQ150)&lt;&gt;"",IF(INDEX(C_Pavement!$F$5:$F$204,$AQ150)="-","",INDEX(C_Pavement!$F$5:$F$204,$AQ150)),IF($AS150="","",INDEX(E_Rules!$E$5:$E$9,$AS150))))</f>
        <v/>
      </c>
      <c r="AW150" t="str">
        <f>IF($AQ150="","",IF(INDEX(C_Pavement!$G$5:$G$204,$AQ150)&lt;&gt;"",IF(INDEX(C_Pavement!$G$5:$G$204,$AQ150)="-","",INDEX(C_Pavement!$G$5:$G$204,$AQ150)),IF($AS150="","",INDEX(E_Rules!$F$5:$F$9,$AS150))))</f>
        <v/>
      </c>
      <c r="AX150" t="str">
        <f>IF($AQ150="","",IF(INDEX(C_Pavement!$H$5:$H$204,$AQ150)&lt;&gt;"",IF(INDEX(C_Pavement!$H$5:$H$204,$AQ150)="-","",INDEX(C_Pavement!$H$5:$H$204,$AQ150)),IF($AS150="","",INDEX(E_Rules!$G$5:$G$9,$AS150))))</f>
        <v/>
      </c>
      <c r="AY150" t="str">
        <f>IF($AQ150="","",IF(INDEX(C_Pavement!$I$5:$I$204,$AQ150)&lt;&gt;"",IF(INDEX(C_Pavement!$I$5:$I$204,$AQ150)="-","",INDEX(C_Pavement!$I$5:$I$204,$AQ150)),IF($AS150="","",INDEX(E_Rules!$H$5:$H$9,$AS150))))</f>
        <v/>
      </c>
    </row>
    <row r="151" spans="1:51" ht="15.75" customHeight="1" x14ac:dyDescent="0.3">
      <c r="A151" s="189">
        <v>146</v>
      </c>
      <c r="B151" s="180">
        <v>7250</v>
      </c>
      <c r="C151" s="180" t="s">
        <v>457</v>
      </c>
      <c r="D151" s="181" t="str">
        <f>IFERROR(LOOKUP(2,1/((A_Corridor!$A$5:$A$204&lt;&gt;"")*(A_Corridor!$A$5:$A$204&lt;=$B151)*(A_Corridor!$B$5:$B$204&gt;$B151)*(A_Corridor!$C$5:$C$204&lt;&gt;"")),IF(UPPER(A_Corridor!$C$5:$C$204)="Y",1,"")),"")</f>
        <v/>
      </c>
      <c r="E151" s="181" t="str">
        <f>IFERROR(LOOKUP(2,1/((A_Corridor!$A$5:$A$204&lt;&gt;"")*(A_Corridor!$A$5:$A$204&lt;=$B151)*(A_Corridor!$B$5:$B$204&gt;$B151)*(A_Corridor!$D$5:$D$204&lt;&gt;"")),IF(A_Corridor!$D$5:$D$204="-","",UPPER(A_Corridor!$D$5:$D$204))),"")</f>
        <v/>
      </c>
      <c r="F151" s="181" t="str">
        <f>IFERROR(LOOKUP(2,1/((A_Corridor!$A$5:$A$204&lt;&gt;"")*(A_Corridor!$A$5:$A$204&lt;=$B151)*(A_Corridor!$B$5:$B$204&gt;$B151)*(A_Corridor!$E$5:$E$204&lt;&gt;"")),IF(A_Corridor!$E$5:$E$204="-","",1)),"")</f>
        <v/>
      </c>
      <c r="G151" s="182" t="str">
        <f>IFERROR(LOOKUP(2,1/((A_Corridor!$A$5:$A$204&lt;&gt;"")*(A_Corridor!$A$5:$A$204&lt;=$B151)*(A_Corridor!$B$5:$B$204&gt;$B151)*(A_Corridor!$E$5:$E$204&lt;&gt;"")),IF(A_Corridor!$E$5:$E$204="-","",A_Corridor!$E$5:$E$204)),"")</f>
        <v/>
      </c>
      <c r="H151" s="182" t="str">
        <f>IFERROR(LOOKUP(2,1/((D_Points!$A$5:$A$204&lt;&gt;"")*(D_Points!$A$5:$A$204&gt;=$B151)*(D_Points!$A$5:$A$204&lt;$B151+P_Interval)*(UPPER(TRIM(D_Points!$B$5:$B$204))="GULLY")*(D_Points!$H$5:$H$204&lt;&gt;"")),D_Points!$H$5:$H$204),"")</f>
        <v/>
      </c>
      <c r="I151" s="181" t="str">
        <f>IFERROR(LOOKUP(2,1/((A_Corridor!$A$5:$A$204&lt;&gt;"")*(A_Corridor!$A$5:$A$204&lt;=$B151)*(A_Corridor!$B$5:$B$204&gt;$B151)*(A_Corridor!$F$5:$F$204&lt;&gt;"")),IF(A_Corridor!$F$5:$F$204="-","",1)),"")</f>
        <v/>
      </c>
      <c r="J151" s="182" t="str">
        <f>IFERROR(LOOKUP(2,1/((A_Corridor!$A$5:$A$204&lt;&gt;"")*(A_Corridor!$A$5:$A$204&lt;=$B151)*(A_Corridor!$B$5:$B$204&gt;$B151)*(A_Corridor!$F$5:$F$204&lt;&gt;"")),IF(A_Corridor!$F$5:$F$204="-","",A_Corridor!$F$5:$F$204)),"")</f>
        <v/>
      </c>
      <c r="K151" s="182" t="str">
        <f>IFERROR(LOOKUP(2,1/((A_Corridor!$A$5:$A$204&lt;&gt;"")*(A_Corridor!$A$5:$A$204&lt;=$B151)*(A_Corridor!$B$5:$B$204&gt;$B151)*(A_Corridor!$G$5:$G$204&lt;&gt;"")),IF(A_Corridor!$G$5:$G$204="-","",A_Corridor!$G$5:$G$204)),"")</f>
        <v/>
      </c>
      <c r="L151" s="181" t="str">
        <f>IFERROR(LOOKUP(2,1/((A_Corridor!$A$5:$A$204&lt;&gt;"")*(A_Corridor!$A$5:$A$204&lt;=$B151)*(A_Corridor!$B$5:$B$204&gt;$B151)*(A_Corridor!$H$5:$H$204&lt;&gt;"")),IF(A_Corridor!$H$5:$H$204="-","",1)),"")</f>
        <v/>
      </c>
      <c r="M151" s="182" t="str">
        <f>IFERROR(LOOKUP(2,1/((A_Corridor!$A$5:$A$204&lt;&gt;"")*(A_Corridor!$A$5:$A$204&lt;=$B151)*(A_Corridor!$B$5:$B$204&gt;$B151)*(A_Corridor!$H$5:$H$204&lt;&gt;"")),IF(A_Corridor!$H$5:$H$204="-","",A_Corridor!$H$5:$H$204)),"")</f>
        <v/>
      </c>
      <c r="N151" s="182" t="str">
        <f>IFERROR(LOOKUP(2,1/((A_Corridor!$A$5:$A$204&lt;&gt;"")*(A_Corridor!$A$5:$A$204&lt;=$B151)*(A_Corridor!$B$5:$B$204&gt;$B151)*(A_Corridor!$I$5:$I$204&lt;&gt;"")),IF(A_Corridor!$I$5:$I$204="-","",A_Corridor!$I$5:$I$204)),"")</f>
        <v/>
      </c>
      <c r="O151" s="182" t="str">
        <f>IFERROR(LOOKUP(2,1/((D_Points!$A$5:$A$204&lt;&gt;"")*(D_Points!$A$5:$A$204&gt;=$B151)*(D_Points!$A$5:$A$204&lt;$B151+P_Interval)*(UPPER(TRIM(D_Points!$B$5:$B$204))="PITCHING")*(D_Points!$H$5:$H$204&lt;&gt;"")),D_Points!$H$5:$H$204),"")</f>
        <v/>
      </c>
      <c r="P151" s="181" t="str">
        <f>IFERROR(LOOKUP(2,1/((B_Drainage!$A$5:$A$204&lt;&gt;"")*(B_Drainage!$A$5:$A$204&lt;=$B151)*(B_Drainage!$B$5:$B$204&gt;$B151)*(B_Drainage!$C$5:$C$204&lt;&gt;"")),IF(B_Drainage!$C$5:$C$204="-","",UPPER(B_Drainage!$C$5:$C$204))),"")</f>
        <v/>
      </c>
      <c r="Q151" s="181" t="str">
        <f>IFERROR(LOOKUP(2,1/((B_Drainage!$A$5:$A$204&lt;&gt;"")*(B_Drainage!$A$5:$A$204&lt;=$B151)*(B_Drainage!$B$5:$B$204&gt;$B151)*(B_Drainage!$D$5:$D$204&lt;&gt;"")),IF(B_Drainage!$D$5:$D$204="-","",UPPER(B_Drainage!$D$5:$D$204))),"")</f>
        <v/>
      </c>
      <c r="R151" s="182" t="str">
        <f>IFERROR(LOOKUP(2,1/((D_Points!$A$5:$A$204&lt;&gt;"")*(D_Points!$A$5:$A$204&gt;=$B151)*(D_Points!$A$5:$A$204&lt;$B151+P_Interval)*(RIGHT(UPPER(TRIM(D_Points!$B$5:$B$204)),8)="_CULVERT")),IF(LEFT(UPPER(TRIM(D_Points!$B$5:$B$204)),2)="EX",1,IF(LEFT(UPPER(TRIM(D_Points!$B$5:$B$204)),2)="PR",2,3))),"")</f>
        <v/>
      </c>
      <c r="S151" s="182" t="str">
        <f>IFERROR(LOOKUP(2,1/((D_Points!$A$5:$A$204&lt;&gt;"")*(D_Points!$A$5:$A$204&gt;=$B151)*(D_Points!$A$5:$A$204&lt;$B151+P_Interval)*(RIGHT(UPPER(TRIM(D_Points!$B$5:$B$204)),7)="_BRIDGE")),IF(LEFT(UPPER(TRIM(D_Points!$B$5:$B$204)),2)="EX",1,IF(LEFT(UPPER(TRIM(D_Points!$B$5:$B$204)),2)="PR",2,2))),"")</f>
        <v/>
      </c>
      <c r="T151" s="181" t="str">
        <f>IFERROR(LOOKUP(2,1/((B_Drainage!$A$5:$A$204&lt;&gt;"")*(B_Drainage!$A$5:$A$204&lt;=$B151)*(B_Drainage!$B$5:$B$204&gt;$B151)*(B_Drainage!$E$5:$E$204&lt;&gt;"")),IF(B_Drainage!$E$5:$E$204="-","",1)),"")</f>
        <v/>
      </c>
      <c r="U151" s="181" t="str">
        <f>IFERROR(LOOKUP(2,1/((B_Drainage!$A$5:$A$204&lt;&gt;"")*(B_Drainage!$A$5:$A$204&lt;=$B151)*(B_Drainage!$B$5:$B$204&gt;$B151)*(B_Drainage!$E$5:$E$204&lt;&gt;"")),IF(B_Drainage!$E$5:$E$204="-","",B_Drainage!$E$5:$E$204)),"")</f>
        <v/>
      </c>
      <c r="V151" s="181" t="str">
        <f>IFERROR(LOOKUP(2,1/((B_Drainage!$A$5:$A$204&lt;&gt;"")*(B_Drainage!$A$5:$A$204&lt;=$B151)*(B_Drainage!$B$5:$B$204&gt;$B151)*(B_Drainage!$F$5:$F$204&lt;&gt;"")),IF(B_Drainage!$F$5:$F$204="-","",1)),"")</f>
        <v/>
      </c>
      <c r="W151" s="181" t="str">
        <f>IFERROR(LOOKUP(2,1/((B_Drainage!$A$5:$A$204&lt;&gt;"")*(B_Drainage!$A$5:$A$204&lt;=$B151)*(B_Drainage!$B$5:$B$204&gt;$B151)*(B_Drainage!$F$5:$F$204&lt;&gt;"")),IF(B_Drainage!$F$5:$F$204="-","",B_Drainage!$F$5:$F$204)),"")</f>
        <v/>
      </c>
      <c r="X151" s="181" t="str">
        <f>IFERROR(LOOKUP(2,1/((B_Drainage!$A$5:$A$204&lt;&gt;"")*(B_Drainage!$A$5:$A$204&lt;=$B151)*(B_Drainage!$B$5:$B$204&gt;$B151)*(B_Drainage!$G$5:$G$204&lt;&gt;"")),IF(UPPER(B_Drainage!$G$5:$G$204)="Y",1,"")),"")</f>
        <v/>
      </c>
      <c r="Y151" s="181" t="str">
        <f>IFERROR(LOOKUP(2,1/((B_Drainage!$A$5:$A$204&lt;&gt;"")*(B_Drainage!$A$5:$A$204&lt;=$B151)*(B_Drainage!$B$5:$B$204&gt;$B151)*(B_Drainage!$H$5:$H$204&lt;&gt;"")),IF(UPPER(B_Drainage!$H$5:$H$204)="Y",1,"")),"")</f>
        <v/>
      </c>
      <c r="Z151" s="181" t="str">
        <f>IFERROR(LOOKUP(2,1/((B_Drainage!$A$5:$A$204&lt;&gt;"")*(B_Drainage!$A$5:$A$204&lt;=$B151)*(B_Drainage!$B$5:$B$204&gt;$B151)*(B_Drainage!$I$5:$I$204&lt;&gt;"")),IF(UPPER(B_Drainage!$I$5:$I$204)="Y",1,"")),"")</f>
        <v/>
      </c>
      <c r="AA151" s="181" t="str">
        <f>IFERROR(LOOKUP(2,1/((B_Drainage!$A$5:$A$204&lt;&gt;"")*(B_Drainage!$A$5:$A$204&lt;=$B151)*(B_Drainage!$B$5:$B$204&gt;$B151)*(B_Drainage!$J$5:$J$204&lt;&gt;"")),IF(UPPER(B_Drainage!$J$5:$J$204)="Y",1,"")),"")</f>
        <v/>
      </c>
      <c r="AB151" s="182" t="str">
        <f>IFERROR(LOOKUP(2,1/((B_Drainage!$A$5:$A$204&lt;&gt;"")*(B_Drainage!$A$5:$A$204&lt;=$B151)*(B_Drainage!$B$5:$B$204&gt;$B151)*(B_Drainage!$K$5:$K$204&lt;&gt;"")),IF(B_Drainage!$K$5:$K$204="-","",B_Drainage!$K$5:$K$204)),"")</f>
        <v/>
      </c>
      <c r="AC151" s="182" t="str">
        <f>IFERROR(LOOKUP(2,1/((B_Drainage!$A$5:$A$204&lt;&gt;"")*(B_Drainage!$A$5:$A$204&lt;=$B151)*(B_Drainage!$B$5:$B$204&gt;$B151)*(B_Drainage!$L$5:$L$204&lt;&gt;"")),IF(B_Drainage!$L$5:$L$204="-","",B_Drainage!$L$5:$L$204)),"")</f>
        <v/>
      </c>
      <c r="AD151" s="182" t="str">
        <f>IFERROR(LOOKUP(2,1/((D_Points!$A$5:$A$204&lt;&gt;"")*(D_Points!$A$5:$A$204&gt;=$B151)*(D_Points!$A$5:$A$204&lt;$B151+P_Interval)*(UPPER(TRIM(D_Points!$B$5:$B$204))="TURNOUT_L")*(D_Points!$H$5:$H$204&lt;&gt;"")),D_Points!$H$5:$H$204),"")</f>
        <v/>
      </c>
      <c r="AE151" s="182" t="str">
        <f>IFERROR(LOOKUP(2,1/((D_Points!$A$5:$A$204&lt;&gt;"")*(D_Points!$A$5:$A$204&gt;=$B151)*(D_Points!$A$5:$A$204&lt;$B151+P_Interval)*(UPPER(TRIM(D_Points!$B$5:$B$204))="TURNOUT_R")*(D_Points!$H$5:$H$204&lt;&gt;"")),D_Points!$H$5:$H$204),"")</f>
        <v/>
      </c>
      <c r="AF151" s="181" t="str">
        <f>IFERROR(LOOKUP(2,1/((B_Drainage!$A$5:$A$204&lt;&gt;"")*(B_Drainage!$A$5:$A$204&lt;=$B151)*(B_Drainage!$B$5:$B$204&gt;$B151)*(B_Drainage!$M$5:$M$204&lt;&gt;"")),IF(UPPER(B_Drainage!$M$5:$M$204)="Y",1,"")),"")</f>
        <v/>
      </c>
      <c r="AG151" s="181" t="str">
        <f>IFERROR(LOOKUP(2,1/((B_Drainage!$A$5:$A$204&lt;&gt;"")*(B_Drainage!$A$5:$A$204&lt;=$B151)*(B_Drainage!$B$5:$B$204&gt;$B151)*(B_Drainage!$N$5:$N$204&lt;&gt;"")),IF(UPPER(B_Drainage!$N$5:$N$204)="Y",1,"")),"")</f>
        <v/>
      </c>
      <c r="AH151" s="181" t="str">
        <f t="shared" si="16"/>
        <v/>
      </c>
      <c r="AI151" s="181" t="str">
        <f t="shared" si="17"/>
        <v/>
      </c>
      <c r="AJ151" s="181" t="str">
        <f t="shared" si="18"/>
        <v/>
      </c>
      <c r="AK151" s="181" t="str">
        <f t="shared" si="19"/>
        <v/>
      </c>
      <c r="AL151" s="181" t="str">
        <f t="shared" si="20"/>
        <v/>
      </c>
      <c r="AM151" s="181" t="str">
        <f t="shared" si="21"/>
        <v/>
      </c>
      <c r="AN151" s="181" t="str">
        <f t="shared" si="22"/>
        <v/>
      </c>
      <c r="AO151" s="192" t="str">
        <f t="shared" si="23"/>
        <v/>
      </c>
      <c r="AQ151" t="str">
        <f>IFERROR(LOOKUP(2,1/((C_Pavement!$A$5:$A$204&lt;&gt;"")*(C_Pavement!$A$5:$A$204&lt;=$B151)*(C_Pavement!$B$5:$B$204&gt;$B151)*(C_Pavement!$C$5:$C$204&lt;&gt;"")),ROW(C_Pavement!$C$5:$C$204)-4),"")</f>
        <v/>
      </c>
      <c r="AR151" t="str">
        <f>IF($AQ151="","",UPPER(TRIM(INDEX(C_Pavement!$C$5:$C$204,$AQ151))))</f>
        <v/>
      </c>
      <c r="AS151" t="str">
        <f>IF($AR151="","",IFERROR(MATCH($AR151,E_Rules!$A$5:$A$9,0),""))</f>
        <v/>
      </c>
      <c r="AT151" t="str">
        <f>IF($AQ151="","",IF(INDEX(C_Pavement!$D$5:$D$204,$AQ151)&lt;&gt;"",UPPER(TRIM(INDEX(C_Pavement!$D$5:$D$204,$AQ151))),IF($AS151="","",INDEX(E_Rules!$C$5:$C$9,$AS151))))</f>
        <v/>
      </c>
      <c r="AU151" t="str">
        <f>IF($AQ151="","",IF(INDEX(C_Pavement!$E$5:$E$204,$AQ151)&lt;&gt;"",IF(INDEX(C_Pavement!$E$5:$E$204,$AQ151)="-","",INDEX(C_Pavement!$E$5:$E$204,$AQ151)),IF($AS151="","",INDEX(E_Rules!$D$5:$D$9,$AS151))))</f>
        <v/>
      </c>
      <c r="AV151" t="str">
        <f>IF($AQ151="","",IF(INDEX(C_Pavement!$F$5:$F$204,$AQ151)&lt;&gt;"",IF(INDEX(C_Pavement!$F$5:$F$204,$AQ151)="-","",INDEX(C_Pavement!$F$5:$F$204,$AQ151)),IF($AS151="","",INDEX(E_Rules!$E$5:$E$9,$AS151))))</f>
        <v/>
      </c>
      <c r="AW151" t="str">
        <f>IF($AQ151="","",IF(INDEX(C_Pavement!$G$5:$G$204,$AQ151)&lt;&gt;"",IF(INDEX(C_Pavement!$G$5:$G$204,$AQ151)="-","",INDEX(C_Pavement!$G$5:$G$204,$AQ151)),IF($AS151="","",INDEX(E_Rules!$F$5:$F$9,$AS151))))</f>
        <v/>
      </c>
      <c r="AX151" t="str">
        <f>IF($AQ151="","",IF(INDEX(C_Pavement!$H$5:$H$204,$AQ151)&lt;&gt;"",IF(INDEX(C_Pavement!$H$5:$H$204,$AQ151)="-","",INDEX(C_Pavement!$H$5:$H$204,$AQ151)),IF($AS151="","",INDEX(E_Rules!$G$5:$G$9,$AS151))))</f>
        <v/>
      </c>
      <c r="AY151" t="str">
        <f>IF($AQ151="","",IF(INDEX(C_Pavement!$I$5:$I$204,$AQ151)&lt;&gt;"",IF(INDEX(C_Pavement!$I$5:$I$204,$AQ151)="-","",INDEX(C_Pavement!$I$5:$I$204,$AQ151)),IF($AS151="","",INDEX(E_Rules!$H$5:$H$9,$AS151))))</f>
        <v/>
      </c>
    </row>
    <row r="152" spans="1:51" ht="15.75" customHeight="1" x14ac:dyDescent="0.3">
      <c r="A152" s="189">
        <v>147</v>
      </c>
      <c r="B152" s="180">
        <v>7300</v>
      </c>
      <c r="C152" s="180" t="s">
        <v>458</v>
      </c>
      <c r="D152" s="181" t="str">
        <f>IFERROR(LOOKUP(2,1/((A_Corridor!$A$5:$A$204&lt;&gt;"")*(A_Corridor!$A$5:$A$204&lt;=$B152)*(A_Corridor!$B$5:$B$204&gt;$B152)*(A_Corridor!$C$5:$C$204&lt;&gt;"")),IF(UPPER(A_Corridor!$C$5:$C$204)="Y",1,"")),"")</f>
        <v/>
      </c>
      <c r="E152" s="181" t="str">
        <f>IFERROR(LOOKUP(2,1/((A_Corridor!$A$5:$A$204&lt;&gt;"")*(A_Corridor!$A$5:$A$204&lt;=$B152)*(A_Corridor!$B$5:$B$204&gt;$B152)*(A_Corridor!$D$5:$D$204&lt;&gt;"")),IF(A_Corridor!$D$5:$D$204="-","",UPPER(A_Corridor!$D$5:$D$204))),"")</f>
        <v/>
      </c>
      <c r="F152" s="181" t="str">
        <f>IFERROR(LOOKUP(2,1/((A_Corridor!$A$5:$A$204&lt;&gt;"")*(A_Corridor!$A$5:$A$204&lt;=$B152)*(A_Corridor!$B$5:$B$204&gt;$B152)*(A_Corridor!$E$5:$E$204&lt;&gt;"")),IF(A_Corridor!$E$5:$E$204="-","",1)),"")</f>
        <v/>
      </c>
      <c r="G152" s="182" t="str">
        <f>IFERROR(LOOKUP(2,1/((A_Corridor!$A$5:$A$204&lt;&gt;"")*(A_Corridor!$A$5:$A$204&lt;=$B152)*(A_Corridor!$B$5:$B$204&gt;$B152)*(A_Corridor!$E$5:$E$204&lt;&gt;"")),IF(A_Corridor!$E$5:$E$204="-","",A_Corridor!$E$5:$E$204)),"")</f>
        <v/>
      </c>
      <c r="H152" s="182" t="str">
        <f>IFERROR(LOOKUP(2,1/((D_Points!$A$5:$A$204&lt;&gt;"")*(D_Points!$A$5:$A$204&gt;=$B152)*(D_Points!$A$5:$A$204&lt;$B152+P_Interval)*(UPPER(TRIM(D_Points!$B$5:$B$204))="GULLY")*(D_Points!$H$5:$H$204&lt;&gt;"")),D_Points!$H$5:$H$204),"")</f>
        <v/>
      </c>
      <c r="I152" s="181" t="str">
        <f>IFERROR(LOOKUP(2,1/((A_Corridor!$A$5:$A$204&lt;&gt;"")*(A_Corridor!$A$5:$A$204&lt;=$B152)*(A_Corridor!$B$5:$B$204&gt;$B152)*(A_Corridor!$F$5:$F$204&lt;&gt;"")),IF(A_Corridor!$F$5:$F$204="-","",1)),"")</f>
        <v/>
      </c>
      <c r="J152" s="182" t="str">
        <f>IFERROR(LOOKUP(2,1/((A_Corridor!$A$5:$A$204&lt;&gt;"")*(A_Corridor!$A$5:$A$204&lt;=$B152)*(A_Corridor!$B$5:$B$204&gt;$B152)*(A_Corridor!$F$5:$F$204&lt;&gt;"")),IF(A_Corridor!$F$5:$F$204="-","",A_Corridor!$F$5:$F$204)),"")</f>
        <v/>
      </c>
      <c r="K152" s="182" t="str">
        <f>IFERROR(LOOKUP(2,1/((A_Corridor!$A$5:$A$204&lt;&gt;"")*(A_Corridor!$A$5:$A$204&lt;=$B152)*(A_Corridor!$B$5:$B$204&gt;$B152)*(A_Corridor!$G$5:$G$204&lt;&gt;"")),IF(A_Corridor!$G$5:$G$204="-","",A_Corridor!$G$5:$G$204)),"")</f>
        <v/>
      </c>
      <c r="L152" s="181" t="str">
        <f>IFERROR(LOOKUP(2,1/((A_Corridor!$A$5:$A$204&lt;&gt;"")*(A_Corridor!$A$5:$A$204&lt;=$B152)*(A_Corridor!$B$5:$B$204&gt;$B152)*(A_Corridor!$H$5:$H$204&lt;&gt;"")),IF(A_Corridor!$H$5:$H$204="-","",1)),"")</f>
        <v/>
      </c>
      <c r="M152" s="182" t="str">
        <f>IFERROR(LOOKUP(2,1/((A_Corridor!$A$5:$A$204&lt;&gt;"")*(A_Corridor!$A$5:$A$204&lt;=$B152)*(A_Corridor!$B$5:$B$204&gt;$B152)*(A_Corridor!$H$5:$H$204&lt;&gt;"")),IF(A_Corridor!$H$5:$H$204="-","",A_Corridor!$H$5:$H$204)),"")</f>
        <v/>
      </c>
      <c r="N152" s="182" t="str">
        <f>IFERROR(LOOKUP(2,1/((A_Corridor!$A$5:$A$204&lt;&gt;"")*(A_Corridor!$A$5:$A$204&lt;=$B152)*(A_Corridor!$B$5:$B$204&gt;$B152)*(A_Corridor!$I$5:$I$204&lt;&gt;"")),IF(A_Corridor!$I$5:$I$204="-","",A_Corridor!$I$5:$I$204)),"")</f>
        <v/>
      </c>
      <c r="O152" s="182" t="str">
        <f>IFERROR(LOOKUP(2,1/((D_Points!$A$5:$A$204&lt;&gt;"")*(D_Points!$A$5:$A$204&gt;=$B152)*(D_Points!$A$5:$A$204&lt;$B152+P_Interval)*(UPPER(TRIM(D_Points!$B$5:$B$204))="PITCHING")*(D_Points!$H$5:$H$204&lt;&gt;"")),D_Points!$H$5:$H$204),"")</f>
        <v/>
      </c>
      <c r="P152" s="181" t="str">
        <f>IFERROR(LOOKUP(2,1/((B_Drainage!$A$5:$A$204&lt;&gt;"")*(B_Drainage!$A$5:$A$204&lt;=$B152)*(B_Drainage!$B$5:$B$204&gt;$B152)*(B_Drainage!$C$5:$C$204&lt;&gt;"")),IF(B_Drainage!$C$5:$C$204="-","",UPPER(B_Drainage!$C$5:$C$204))),"")</f>
        <v/>
      </c>
      <c r="Q152" s="181" t="str">
        <f>IFERROR(LOOKUP(2,1/((B_Drainage!$A$5:$A$204&lt;&gt;"")*(B_Drainage!$A$5:$A$204&lt;=$B152)*(B_Drainage!$B$5:$B$204&gt;$B152)*(B_Drainage!$D$5:$D$204&lt;&gt;"")),IF(B_Drainage!$D$5:$D$204="-","",UPPER(B_Drainage!$D$5:$D$204))),"")</f>
        <v/>
      </c>
      <c r="R152" s="182" t="str">
        <f>IFERROR(LOOKUP(2,1/((D_Points!$A$5:$A$204&lt;&gt;"")*(D_Points!$A$5:$A$204&gt;=$B152)*(D_Points!$A$5:$A$204&lt;$B152+P_Interval)*(RIGHT(UPPER(TRIM(D_Points!$B$5:$B$204)),8)="_CULVERT")),IF(LEFT(UPPER(TRIM(D_Points!$B$5:$B$204)),2)="EX",1,IF(LEFT(UPPER(TRIM(D_Points!$B$5:$B$204)),2)="PR",2,3))),"")</f>
        <v/>
      </c>
      <c r="S152" s="182" t="str">
        <f>IFERROR(LOOKUP(2,1/((D_Points!$A$5:$A$204&lt;&gt;"")*(D_Points!$A$5:$A$204&gt;=$B152)*(D_Points!$A$5:$A$204&lt;$B152+P_Interval)*(RIGHT(UPPER(TRIM(D_Points!$B$5:$B$204)),7)="_BRIDGE")),IF(LEFT(UPPER(TRIM(D_Points!$B$5:$B$204)),2)="EX",1,IF(LEFT(UPPER(TRIM(D_Points!$B$5:$B$204)),2)="PR",2,2))),"")</f>
        <v/>
      </c>
      <c r="T152" s="181" t="str">
        <f>IFERROR(LOOKUP(2,1/((B_Drainage!$A$5:$A$204&lt;&gt;"")*(B_Drainage!$A$5:$A$204&lt;=$B152)*(B_Drainage!$B$5:$B$204&gt;$B152)*(B_Drainage!$E$5:$E$204&lt;&gt;"")),IF(B_Drainage!$E$5:$E$204="-","",1)),"")</f>
        <v/>
      </c>
      <c r="U152" s="181" t="str">
        <f>IFERROR(LOOKUP(2,1/((B_Drainage!$A$5:$A$204&lt;&gt;"")*(B_Drainage!$A$5:$A$204&lt;=$B152)*(B_Drainage!$B$5:$B$204&gt;$B152)*(B_Drainage!$E$5:$E$204&lt;&gt;"")),IF(B_Drainage!$E$5:$E$204="-","",B_Drainage!$E$5:$E$204)),"")</f>
        <v/>
      </c>
      <c r="V152" s="181" t="str">
        <f>IFERROR(LOOKUP(2,1/((B_Drainage!$A$5:$A$204&lt;&gt;"")*(B_Drainage!$A$5:$A$204&lt;=$B152)*(B_Drainage!$B$5:$B$204&gt;$B152)*(B_Drainage!$F$5:$F$204&lt;&gt;"")),IF(B_Drainage!$F$5:$F$204="-","",1)),"")</f>
        <v/>
      </c>
      <c r="W152" s="181" t="str">
        <f>IFERROR(LOOKUP(2,1/((B_Drainage!$A$5:$A$204&lt;&gt;"")*(B_Drainage!$A$5:$A$204&lt;=$B152)*(B_Drainage!$B$5:$B$204&gt;$B152)*(B_Drainage!$F$5:$F$204&lt;&gt;"")),IF(B_Drainage!$F$5:$F$204="-","",B_Drainage!$F$5:$F$204)),"")</f>
        <v/>
      </c>
      <c r="X152" s="181" t="str">
        <f>IFERROR(LOOKUP(2,1/((B_Drainage!$A$5:$A$204&lt;&gt;"")*(B_Drainage!$A$5:$A$204&lt;=$B152)*(B_Drainage!$B$5:$B$204&gt;$B152)*(B_Drainage!$G$5:$G$204&lt;&gt;"")),IF(UPPER(B_Drainage!$G$5:$G$204)="Y",1,"")),"")</f>
        <v/>
      </c>
      <c r="Y152" s="181" t="str">
        <f>IFERROR(LOOKUP(2,1/((B_Drainage!$A$5:$A$204&lt;&gt;"")*(B_Drainage!$A$5:$A$204&lt;=$B152)*(B_Drainage!$B$5:$B$204&gt;$B152)*(B_Drainage!$H$5:$H$204&lt;&gt;"")),IF(UPPER(B_Drainage!$H$5:$H$204)="Y",1,"")),"")</f>
        <v/>
      </c>
      <c r="Z152" s="181" t="str">
        <f>IFERROR(LOOKUP(2,1/((B_Drainage!$A$5:$A$204&lt;&gt;"")*(B_Drainage!$A$5:$A$204&lt;=$B152)*(B_Drainage!$B$5:$B$204&gt;$B152)*(B_Drainage!$I$5:$I$204&lt;&gt;"")),IF(UPPER(B_Drainage!$I$5:$I$204)="Y",1,"")),"")</f>
        <v/>
      </c>
      <c r="AA152" s="181" t="str">
        <f>IFERROR(LOOKUP(2,1/((B_Drainage!$A$5:$A$204&lt;&gt;"")*(B_Drainage!$A$5:$A$204&lt;=$B152)*(B_Drainage!$B$5:$B$204&gt;$B152)*(B_Drainage!$J$5:$J$204&lt;&gt;"")),IF(UPPER(B_Drainage!$J$5:$J$204)="Y",1,"")),"")</f>
        <v/>
      </c>
      <c r="AB152" s="182" t="str">
        <f>IFERROR(LOOKUP(2,1/((B_Drainage!$A$5:$A$204&lt;&gt;"")*(B_Drainage!$A$5:$A$204&lt;=$B152)*(B_Drainage!$B$5:$B$204&gt;$B152)*(B_Drainage!$K$5:$K$204&lt;&gt;"")),IF(B_Drainage!$K$5:$K$204="-","",B_Drainage!$K$5:$K$204)),"")</f>
        <v/>
      </c>
      <c r="AC152" s="182" t="str">
        <f>IFERROR(LOOKUP(2,1/((B_Drainage!$A$5:$A$204&lt;&gt;"")*(B_Drainage!$A$5:$A$204&lt;=$B152)*(B_Drainage!$B$5:$B$204&gt;$B152)*(B_Drainage!$L$5:$L$204&lt;&gt;"")),IF(B_Drainage!$L$5:$L$204="-","",B_Drainage!$L$5:$L$204)),"")</f>
        <v/>
      </c>
      <c r="AD152" s="182" t="str">
        <f>IFERROR(LOOKUP(2,1/((D_Points!$A$5:$A$204&lt;&gt;"")*(D_Points!$A$5:$A$204&gt;=$B152)*(D_Points!$A$5:$A$204&lt;$B152+P_Interval)*(UPPER(TRIM(D_Points!$B$5:$B$204))="TURNOUT_L")*(D_Points!$H$5:$H$204&lt;&gt;"")),D_Points!$H$5:$H$204),"")</f>
        <v/>
      </c>
      <c r="AE152" s="182" t="str">
        <f>IFERROR(LOOKUP(2,1/((D_Points!$A$5:$A$204&lt;&gt;"")*(D_Points!$A$5:$A$204&gt;=$B152)*(D_Points!$A$5:$A$204&lt;$B152+P_Interval)*(UPPER(TRIM(D_Points!$B$5:$B$204))="TURNOUT_R")*(D_Points!$H$5:$H$204&lt;&gt;"")),D_Points!$H$5:$H$204),"")</f>
        <v/>
      </c>
      <c r="AF152" s="181" t="str">
        <f>IFERROR(LOOKUP(2,1/((B_Drainage!$A$5:$A$204&lt;&gt;"")*(B_Drainage!$A$5:$A$204&lt;=$B152)*(B_Drainage!$B$5:$B$204&gt;$B152)*(B_Drainage!$M$5:$M$204&lt;&gt;"")),IF(UPPER(B_Drainage!$M$5:$M$204)="Y",1,"")),"")</f>
        <v/>
      </c>
      <c r="AG152" s="181" t="str">
        <f>IFERROR(LOOKUP(2,1/((B_Drainage!$A$5:$A$204&lt;&gt;"")*(B_Drainage!$A$5:$A$204&lt;=$B152)*(B_Drainage!$B$5:$B$204&gt;$B152)*(B_Drainage!$N$5:$N$204&lt;&gt;"")),IF(UPPER(B_Drainage!$N$5:$N$204)="Y",1,"")),"")</f>
        <v/>
      </c>
      <c r="AH152" s="181" t="str">
        <f t="shared" si="16"/>
        <v/>
      </c>
      <c r="AI152" s="181" t="str">
        <f t="shared" si="17"/>
        <v/>
      </c>
      <c r="AJ152" s="181" t="str">
        <f t="shared" si="18"/>
        <v/>
      </c>
      <c r="AK152" s="181" t="str">
        <f t="shared" si="19"/>
        <v/>
      </c>
      <c r="AL152" s="181" t="str">
        <f t="shared" si="20"/>
        <v/>
      </c>
      <c r="AM152" s="181" t="str">
        <f t="shared" si="21"/>
        <v/>
      </c>
      <c r="AN152" s="181" t="str">
        <f t="shared" si="22"/>
        <v/>
      </c>
      <c r="AO152" s="192" t="str">
        <f t="shared" si="23"/>
        <v/>
      </c>
      <c r="AQ152" t="str">
        <f>IFERROR(LOOKUP(2,1/((C_Pavement!$A$5:$A$204&lt;&gt;"")*(C_Pavement!$A$5:$A$204&lt;=$B152)*(C_Pavement!$B$5:$B$204&gt;$B152)*(C_Pavement!$C$5:$C$204&lt;&gt;"")),ROW(C_Pavement!$C$5:$C$204)-4),"")</f>
        <v/>
      </c>
      <c r="AR152" t="str">
        <f>IF($AQ152="","",UPPER(TRIM(INDEX(C_Pavement!$C$5:$C$204,$AQ152))))</f>
        <v/>
      </c>
      <c r="AS152" t="str">
        <f>IF($AR152="","",IFERROR(MATCH($AR152,E_Rules!$A$5:$A$9,0),""))</f>
        <v/>
      </c>
      <c r="AT152" t="str">
        <f>IF($AQ152="","",IF(INDEX(C_Pavement!$D$5:$D$204,$AQ152)&lt;&gt;"",UPPER(TRIM(INDEX(C_Pavement!$D$5:$D$204,$AQ152))),IF($AS152="","",INDEX(E_Rules!$C$5:$C$9,$AS152))))</f>
        <v/>
      </c>
      <c r="AU152" t="str">
        <f>IF($AQ152="","",IF(INDEX(C_Pavement!$E$5:$E$204,$AQ152)&lt;&gt;"",IF(INDEX(C_Pavement!$E$5:$E$204,$AQ152)="-","",INDEX(C_Pavement!$E$5:$E$204,$AQ152)),IF($AS152="","",INDEX(E_Rules!$D$5:$D$9,$AS152))))</f>
        <v/>
      </c>
      <c r="AV152" t="str">
        <f>IF($AQ152="","",IF(INDEX(C_Pavement!$F$5:$F$204,$AQ152)&lt;&gt;"",IF(INDEX(C_Pavement!$F$5:$F$204,$AQ152)="-","",INDEX(C_Pavement!$F$5:$F$204,$AQ152)),IF($AS152="","",INDEX(E_Rules!$E$5:$E$9,$AS152))))</f>
        <v/>
      </c>
      <c r="AW152" t="str">
        <f>IF($AQ152="","",IF(INDEX(C_Pavement!$G$5:$G$204,$AQ152)&lt;&gt;"",IF(INDEX(C_Pavement!$G$5:$G$204,$AQ152)="-","",INDEX(C_Pavement!$G$5:$G$204,$AQ152)),IF($AS152="","",INDEX(E_Rules!$F$5:$F$9,$AS152))))</f>
        <v/>
      </c>
      <c r="AX152" t="str">
        <f>IF($AQ152="","",IF(INDEX(C_Pavement!$H$5:$H$204,$AQ152)&lt;&gt;"",IF(INDEX(C_Pavement!$H$5:$H$204,$AQ152)="-","",INDEX(C_Pavement!$H$5:$H$204,$AQ152)),IF($AS152="","",INDEX(E_Rules!$G$5:$G$9,$AS152))))</f>
        <v/>
      </c>
      <c r="AY152" t="str">
        <f>IF($AQ152="","",IF(INDEX(C_Pavement!$I$5:$I$204,$AQ152)&lt;&gt;"",IF(INDEX(C_Pavement!$I$5:$I$204,$AQ152)="-","",INDEX(C_Pavement!$I$5:$I$204,$AQ152)),IF($AS152="","",INDEX(E_Rules!$H$5:$H$9,$AS152))))</f>
        <v/>
      </c>
    </row>
    <row r="153" spans="1:51" ht="15.75" customHeight="1" x14ac:dyDescent="0.3">
      <c r="A153" s="189">
        <v>148</v>
      </c>
      <c r="B153" s="180">
        <v>7350</v>
      </c>
      <c r="C153" s="180" t="s">
        <v>459</v>
      </c>
      <c r="D153" s="181" t="str">
        <f>IFERROR(LOOKUP(2,1/((A_Corridor!$A$5:$A$204&lt;&gt;"")*(A_Corridor!$A$5:$A$204&lt;=$B153)*(A_Corridor!$B$5:$B$204&gt;$B153)*(A_Corridor!$C$5:$C$204&lt;&gt;"")),IF(UPPER(A_Corridor!$C$5:$C$204)="Y",1,"")),"")</f>
        <v/>
      </c>
      <c r="E153" s="181" t="str">
        <f>IFERROR(LOOKUP(2,1/((A_Corridor!$A$5:$A$204&lt;&gt;"")*(A_Corridor!$A$5:$A$204&lt;=$B153)*(A_Corridor!$B$5:$B$204&gt;$B153)*(A_Corridor!$D$5:$D$204&lt;&gt;"")),IF(A_Corridor!$D$5:$D$204="-","",UPPER(A_Corridor!$D$5:$D$204))),"")</f>
        <v/>
      </c>
      <c r="F153" s="181" t="str">
        <f>IFERROR(LOOKUP(2,1/((A_Corridor!$A$5:$A$204&lt;&gt;"")*(A_Corridor!$A$5:$A$204&lt;=$B153)*(A_Corridor!$B$5:$B$204&gt;$B153)*(A_Corridor!$E$5:$E$204&lt;&gt;"")),IF(A_Corridor!$E$5:$E$204="-","",1)),"")</f>
        <v/>
      </c>
      <c r="G153" s="182" t="str">
        <f>IFERROR(LOOKUP(2,1/((A_Corridor!$A$5:$A$204&lt;&gt;"")*(A_Corridor!$A$5:$A$204&lt;=$B153)*(A_Corridor!$B$5:$B$204&gt;$B153)*(A_Corridor!$E$5:$E$204&lt;&gt;"")),IF(A_Corridor!$E$5:$E$204="-","",A_Corridor!$E$5:$E$204)),"")</f>
        <v/>
      </c>
      <c r="H153" s="182" t="str">
        <f>IFERROR(LOOKUP(2,1/((D_Points!$A$5:$A$204&lt;&gt;"")*(D_Points!$A$5:$A$204&gt;=$B153)*(D_Points!$A$5:$A$204&lt;$B153+P_Interval)*(UPPER(TRIM(D_Points!$B$5:$B$204))="GULLY")*(D_Points!$H$5:$H$204&lt;&gt;"")),D_Points!$H$5:$H$204),"")</f>
        <v/>
      </c>
      <c r="I153" s="181" t="str">
        <f>IFERROR(LOOKUP(2,1/((A_Corridor!$A$5:$A$204&lt;&gt;"")*(A_Corridor!$A$5:$A$204&lt;=$B153)*(A_Corridor!$B$5:$B$204&gt;$B153)*(A_Corridor!$F$5:$F$204&lt;&gt;"")),IF(A_Corridor!$F$5:$F$204="-","",1)),"")</f>
        <v/>
      </c>
      <c r="J153" s="182" t="str">
        <f>IFERROR(LOOKUP(2,1/((A_Corridor!$A$5:$A$204&lt;&gt;"")*(A_Corridor!$A$5:$A$204&lt;=$B153)*(A_Corridor!$B$5:$B$204&gt;$B153)*(A_Corridor!$F$5:$F$204&lt;&gt;"")),IF(A_Corridor!$F$5:$F$204="-","",A_Corridor!$F$5:$F$204)),"")</f>
        <v/>
      </c>
      <c r="K153" s="182" t="str">
        <f>IFERROR(LOOKUP(2,1/((A_Corridor!$A$5:$A$204&lt;&gt;"")*(A_Corridor!$A$5:$A$204&lt;=$B153)*(A_Corridor!$B$5:$B$204&gt;$B153)*(A_Corridor!$G$5:$G$204&lt;&gt;"")),IF(A_Corridor!$G$5:$G$204="-","",A_Corridor!$G$5:$G$204)),"")</f>
        <v/>
      </c>
      <c r="L153" s="181" t="str">
        <f>IFERROR(LOOKUP(2,1/((A_Corridor!$A$5:$A$204&lt;&gt;"")*(A_Corridor!$A$5:$A$204&lt;=$B153)*(A_Corridor!$B$5:$B$204&gt;$B153)*(A_Corridor!$H$5:$H$204&lt;&gt;"")),IF(A_Corridor!$H$5:$H$204="-","",1)),"")</f>
        <v/>
      </c>
      <c r="M153" s="182" t="str">
        <f>IFERROR(LOOKUP(2,1/((A_Corridor!$A$5:$A$204&lt;&gt;"")*(A_Corridor!$A$5:$A$204&lt;=$B153)*(A_Corridor!$B$5:$B$204&gt;$B153)*(A_Corridor!$H$5:$H$204&lt;&gt;"")),IF(A_Corridor!$H$5:$H$204="-","",A_Corridor!$H$5:$H$204)),"")</f>
        <v/>
      </c>
      <c r="N153" s="182" t="str">
        <f>IFERROR(LOOKUP(2,1/((A_Corridor!$A$5:$A$204&lt;&gt;"")*(A_Corridor!$A$5:$A$204&lt;=$B153)*(A_Corridor!$B$5:$B$204&gt;$B153)*(A_Corridor!$I$5:$I$204&lt;&gt;"")),IF(A_Corridor!$I$5:$I$204="-","",A_Corridor!$I$5:$I$204)),"")</f>
        <v/>
      </c>
      <c r="O153" s="182" t="str">
        <f>IFERROR(LOOKUP(2,1/((D_Points!$A$5:$A$204&lt;&gt;"")*(D_Points!$A$5:$A$204&gt;=$B153)*(D_Points!$A$5:$A$204&lt;$B153+P_Interval)*(UPPER(TRIM(D_Points!$B$5:$B$204))="PITCHING")*(D_Points!$H$5:$H$204&lt;&gt;"")),D_Points!$H$5:$H$204),"")</f>
        <v/>
      </c>
      <c r="P153" s="181" t="str">
        <f>IFERROR(LOOKUP(2,1/((B_Drainage!$A$5:$A$204&lt;&gt;"")*(B_Drainage!$A$5:$A$204&lt;=$B153)*(B_Drainage!$B$5:$B$204&gt;$B153)*(B_Drainage!$C$5:$C$204&lt;&gt;"")),IF(B_Drainage!$C$5:$C$204="-","",UPPER(B_Drainage!$C$5:$C$204))),"")</f>
        <v/>
      </c>
      <c r="Q153" s="181" t="str">
        <f>IFERROR(LOOKUP(2,1/((B_Drainage!$A$5:$A$204&lt;&gt;"")*(B_Drainage!$A$5:$A$204&lt;=$B153)*(B_Drainage!$B$5:$B$204&gt;$B153)*(B_Drainage!$D$5:$D$204&lt;&gt;"")),IF(B_Drainage!$D$5:$D$204="-","",UPPER(B_Drainage!$D$5:$D$204))),"")</f>
        <v/>
      </c>
      <c r="R153" s="182" t="str">
        <f>IFERROR(LOOKUP(2,1/((D_Points!$A$5:$A$204&lt;&gt;"")*(D_Points!$A$5:$A$204&gt;=$B153)*(D_Points!$A$5:$A$204&lt;$B153+P_Interval)*(RIGHT(UPPER(TRIM(D_Points!$B$5:$B$204)),8)="_CULVERT")),IF(LEFT(UPPER(TRIM(D_Points!$B$5:$B$204)),2)="EX",1,IF(LEFT(UPPER(TRIM(D_Points!$B$5:$B$204)),2)="PR",2,3))),"")</f>
        <v/>
      </c>
      <c r="S153" s="182" t="str">
        <f>IFERROR(LOOKUP(2,1/((D_Points!$A$5:$A$204&lt;&gt;"")*(D_Points!$A$5:$A$204&gt;=$B153)*(D_Points!$A$5:$A$204&lt;$B153+P_Interval)*(RIGHT(UPPER(TRIM(D_Points!$B$5:$B$204)),7)="_BRIDGE")),IF(LEFT(UPPER(TRIM(D_Points!$B$5:$B$204)),2)="EX",1,IF(LEFT(UPPER(TRIM(D_Points!$B$5:$B$204)),2)="PR",2,2))),"")</f>
        <v/>
      </c>
      <c r="T153" s="181" t="str">
        <f>IFERROR(LOOKUP(2,1/((B_Drainage!$A$5:$A$204&lt;&gt;"")*(B_Drainage!$A$5:$A$204&lt;=$B153)*(B_Drainage!$B$5:$B$204&gt;$B153)*(B_Drainage!$E$5:$E$204&lt;&gt;"")),IF(B_Drainage!$E$5:$E$204="-","",1)),"")</f>
        <v/>
      </c>
      <c r="U153" s="181" t="str">
        <f>IFERROR(LOOKUP(2,1/((B_Drainage!$A$5:$A$204&lt;&gt;"")*(B_Drainage!$A$5:$A$204&lt;=$B153)*(B_Drainage!$B$5:$B$204&gt;$B153)*(B_Drainage!$E$5:$E$204&lt;&gt;"")),IF(B_Drainage!$E$5:$E$204="-","",B_Drainage!$E$5:$E$204)),"")</f>
        <v/>
      </c>
      <c r="V153" s="181" t="str">
        <f>IFERROR(LOOKUP(2,1/((B_Drainage!$A$5:$A$204&lt;&gt;"")*(B_Drainage!$A$5:$A$204&lt;=$B153)*(B_Drainage!$B$5:$B$204&gt;$B153)*(B_Drainage!$F$5:$F$204&lt;&gt;"")),IF(B_Drainage!$F$5:$F$204="-","",1)),"")</f>
        <v/>
      </c>
      <c r="W153" s="181" t="str">
        <f>IFERROR(LOOKUP(2,1/((B_Drainage!$A$5:$A$204&lt;&gt;"")*(B_Drainage!$A$5:$A$204&lt;=$B153)*(B_Drainage!$B$5:$B$204&gt;$B153)*(B_Drainage!$F$5:$F$204&lt;&gt;"")),IF(B_Drainage!$F$5:$F$204="-","",B_Drainage!$F$5:$F$204)),"")</f>
        <v/>
      </c>
      <c r="X153" s="181" t="str">
        <f>IFERROR(LOOKUP(2,1/((B_Drainage!$A$5:$A$204&lt;&gt;"")*(B_Drainage!$A$5:$A$204&lt;=$B153)*(B_Drainage!$B$5:$B$204&gt;$B153)*(B_Drainage!$G$5:$G$204&lt;&gt;"")),IF(UPPER(B_Drainage!$G$5:$G$204)="Y",1,"")),"")</f>
        <v/>
      </c>
      <c r="Y153" s="181" t="str">
        <f>IFERROR(LOOKUP(2,1/((B_Drainage!$A$5:$A$204&lt;&gt;"")*(B_Drainage!$A$5:$A$204&lt;=$B153)*(B_Drainage!$B$5:$B$204&gt;$B153)*(B_Drainage!$H$5:$H$204&lt;&gt;"")),IF(UPPER(B_Drainage!$H$5:$H$204)="Y",1,"")),"")</f>
        <v/>
      </c>
      <c r="Z153" s="181" t="str">
        <f>IFERROR(LOOKUP(2,1/((B_Drainage!$A$5:$A$204&lt;&gt;"")*(B_Drainage!$A$5:$A$204&lt;=$B153)*(B_Drainage!$B$5:$B$204&gt;$B153)*(B_Drainage!$I$5:$I$204&lt;&gt;"")),IF(UPPER(B_Drainage!$I$5:$I$204)="Y",1,"")),"")</f>
        <v/>
      </c>
      <c r="AA153" s="181" t="str">
        <f>IFERROR(LOOKUP(2,1/((B_Drainage!$A$5:$A$204&lt;&gt;"")*(B_Drainage!$A$5:$A$204&lt;=$B153)*(B_Drainage!$B$5:$B$204&gt;$B153)*(B_Drainage!$J$5:$J$204&lt;&gt;"")),IF(UPPER(B_Drainage!$J$5:$J$204)="Y",1,"")),"")</f>
        <v/>
      </c>
      <c r="AB153" s="182" t="str">
        <f>IFERROR(LOOKUP(2,1/((B_Drainage!$A$5:$A$204&lt;&gt;"")*(B_Drainage!$A$5:$A$204&lt;=$B153)*(B_Drainage!$B$5:$B$204&gt;$B153)*(B_Drainage!$K$5:$K$204&lt;&gt;"")),IF(B_Drainage!$K$5:$K$204="-","",B_Drainage!$K$5:$K$204)),"")</f>
        <v/>
      </c>
      <c r="AC153" s="182" t="str">
        <f>IFERROR(LOOKUP(2,1/((B_Drainage!$A$5:$A$204&lt;&gt;"")*(B_Drainage!$A$5:$A$204&lt;=$B153)*(B_Drainage!$B$5:$B$204&gt;$B153)*(B_Drainage!$L$5:$L$204&lt;&gt;"")),IF(B_Drainage!$L$5:$L$204="-","",B_Drainage!$L$5:$L$204)),"")</f>
        <v/>
      </c>
      <c r="AD153" s="182" t="str">
        <f>IFERROR(LOOKUP(2,1/((D_Points!$A$5:$A$204&lt;&gt;"")*(D_Points!$A$5:$A$204&gt;=$B153)*(D_Points!$A$5:$A$204&lt;$B153+P_Interval)*(UPPER(TRIM(D_Points!$B$5:$B$204))="TURNOUT_L")*(D_Points!$H$5:$H$204&lt;&gt;"")),D_Points!$H$5:$H$204),"")</f>
        <v/>
      </c>
      <c r="AE153" s="182" t="str">
        <f>IFERROR(LOOKUP(2,1/((D_Points!$A$5:$A$204&lt;&gt;"")*(D_Points!$A$5:$A$204&gt;=$B153)*(D_Points!$A$5:$A$204&lt;$B153+P_Interval)*(UPPER(TRIM(D_Points!$B$5:$B$204))="TURNOUT_R")*(D_Points!$H$5:$H$204&lt;&gt;"")),D_Points!$H$5:$H$204),"")</f>
        <v/>
      </c>
      <c r="AF153" s="181" t="str">
        <f>IFERROR(LOOKUP(2,1/((B_Drainage!$A$5:$A$204&lt;&gt;"")*(B_Drainage!$A$5:$A$204&lt;=$B153)*(B_Drainage!$B$5:$B$204&gt;$B153)*(B_Drainage!$M$5:$M$204&lt;&gt;"")),IF(UPPER(B_Drainage!$M$5:$M$204)="Y",1,"")),"")</f>
        <v/>
      </c>
      <c r="AG153" s="181" t="str">
        <f>IFERROR(LOOKUP(2,1/((B_Drainage!$A$5:$A$204&lt;&gt;"")*(B_Drainage!$A$5:$A$204&lt;=$B153)*(B_Drainage!$B$5:$B$204&gt;$B153)*(B_Drainage!$N$5:$N$204&lt;&gt;"")),IF(UPPER(B_Drainage!$N$5:$N$204)="Y",1,"")),"")</f>
        <v/>
      </c>
      <c r="AH153" s="181" t="str">
        <f t="shared" si="16"/>
        <v/>
      </c>
      <c r="AI153" s="181" t="str">
        <f t="shared" si="17"/>
        <v/>
      </c>
      <c r="AJ153" s="181" t="str">
        <f t="shared" si="18"/>
        <v/>
      </c>
      <c r="AK153" s="181" t="str">
        <f t="shared" si="19"/>
        <v/>
      </c>
      <c r="AL153" s="181" t="str">
        <f t="shared" si="20"/>
        <v/>
      </c>
      <c r="AM153" s="181" t="str">
        <f t="shared" si="21"/>
        <v/>
      </c>
      <c r="AN153" s="181" t="str">
        <f t="shared" si="22"/>
        <v/>
      </c>
      <c r="AO153" s="192" t="str">
        <f t="shared" si="23"/>
        <v/>
      </c>
      <c r="AQ153" t="str">
        <f>IFERROR(LOOKUP(2,1/((C_Pavement!$A$5:$A$204&lt;&gt;"")*(C_Pavement!$A$5:$A$204&lt;=$B153)*(C_Pavement!$B$5:$B$204&gt;$B153)*(C_Pavement!$C$5:$C$204&lt;&gt;"")),ROW(C_Pavement!$C$5:$C$204)-4),"")</f>
        <v/>
      </c>
      <c r="AR153" t="str">
        <f>IF($AQ153="","",UPPER(TRIM(INDEX(C_Pavement!$C$5:$C$204,$AQ153))))</f>
        <v/>
      </c>
      <c r="AS153" t="str">
        <f>IF($AR153="","",IFERROR(MATCH($AR153,E_Rules!$A$5:$A$9,0),""))</f>
        <v/>
      </c>
      <c r="AT153" t="str">
        <f>IF($AQ153="","",IF(INDEX(C_Pavement!$D$5:$D$204,$AQ153)&lt;&gt;"",UPPER(TRIM(INDEX(C_Pavement!$D$5:$D$204,$AQ153))),IF($AS153="","",INDEX(E_Rules!$C$5:$C$9,$AS153))))</f>
        <v/>
      </c>
      <c r="AU153" t="str">
        <f>IF($AQ153="","",IF(INDEX(C_Pavement!$E$5:$E$204,$AQ153)&lt;&gt;"",IF(INDEX(C_Pavement!$E$5:$E$204,$AQ153)="-","",INDEX(C_Pavement!$E$5:$E$204,$AQ153)),IF($AS153="","",INDEX(E_Rules!$D$5:$D$9,$AS153))))</f>
        <v/>
      </c>
      <c r="AV153" t="str">
        <f>IF($AQ153="","",IF(INDEX(C_Pavement!$F$5:$F$204,$AQ153)&lt;&gt;"",IF(INDEX(C_Pavement!$F$5:$F$204,$AQ153)="-","",INDEX(C_Pavement!$F$5:$F$204,$AQ153)),IF($AS153="","",INDEX(E_Rules!$E$5:$E$9,$AS153))))</f>
        <v/>
      </c>
      <c r="AW153" t="str">
        <f>IF($AQ153="","",IF(INDEX(C_Pavement!$G$5:$G$204,$AQ153)&lt;&gt;"",IF(INDEX(C_Pavement!$G$5:$G$204,$AQ153)="-","",INDEX(C_Pavement!$G$5:$G$204,$AQ153)),IF($AS153="","",INDEX(E_Rules!$F$5:$F$9,$AS153))))</f>
        <v/>
      </c>
      <c r="AX153" t="str">
        <f>IF($AQ153="","",IF(INDEX(C_Pavement!$H$5:$H$204,$AQ153)&lt;&gt;"",IF(INDEX(C_Pavement!$H$5:$H$204,$AQ153)="-","",INDEX(C_Pavement!$H$5:$H$204,$AQ153)),IF($AS153="","",INDEX(E_Rules!$G$5:$G$9,$AS153))))</f>
        <v/>
      </c>
      <c r="AY153" t="str">
        <f>IF($AQ153="","",IF(INDEX(C_Pavement!$I$5:$I$204,$AQ153)&lt;&gt;"",IF(INDEX(C_Pavement!$I$5:$I$204,$AQ153)="-","",INDEX(C_Pavement!$I$5:$I$204,$AQ153)),IF($AS153="","",INDEX(E_Rules!$H$5:$H$9,$AS153))))</f>
        <v/>
      </c>
    </row>
    <row r="154" spans="1:51" ht="15.75" customHeight="1" x14ac:dyDescent="0.3">
      <c r="A154" s="189">
        <v>149</v>
      </c>
      <c r="B154" s="180">
        <v>7400</v>
      </c>
      <c r="C154" s="180" t="s">
        <v>460</v>
      </c>
      <c r="D154" s="181" t="str">
        <f>IFERROR(LOOKUP(2,1/((A_Corridor!$A$5:$A$204&lt;&gt;"")*(A_Corridor!$A$5:$A$204&lt;=$B154)*(A_Corridor!$B$5:$B$204&gt;$B154)*(A_Corridor!$C$5:$C$204&lt;&gt;"")),IF(UPPER(A_Corridor!$C$5:$C$204)="Y",1,"")),"")</f>
        <v/>
      </c>
      <c r="E154" s="181" t="str">
        <f>IFERROR(LOOKUP(2,1/((A_Corridor!$A$5:$A$204&lt;&gt;"")*(A_Corridor!$A$5:$A$204&lt;=$B154)*(A_Corridor!$B$5:$B$204&gt;$B154)*(A_Corridor!$D$5:$D$204&lt;&gt;"")),IF(A_Corridor!$D$5:$D$204="-","",UPPER(A_Corridor!$D$5:$D$204))),"")</f>
        <v/>
      </c>
      <c r="F154" s="181" t="str">
        <f>IFERROR(LOOKUP(2,1/((A_Corridor!$A$5:$A$204&lt;&gt;"")*(A_Corridor!$A$5:$A$204&lt;=$B154)*(A_Corridor!$B$5:$B$204&gt;$B154)*(A_Corridor!$E$5:$E$204&lt;&gt;"")),IF(A_Corridor!$E$5:$E$204="-","",1)),"")</f>
        <v/>
      </c>
      <c r="G154" s="182" t="str">
        <f>IFERROR(LOOKUP(2,1/((A_Corridor!$A$5:$A$204&lt;&gt;"")*(A_Corridor!$A$5:$A$204&lt;=$B154)*(A_Corridor!$B$5:$B$204&gt;$B154)*(A_Corridor!$E$5:$E$204&lt;&gt;"")),IF(A_Corridor!$E$5:$E$204="-","",A_Corridor!$E$5:$E$204)),"")</f>
        <v/>
      </c>
      <c r="H154" s="182" t="str">
        <f>IFERROR(LOOKUP(2,1/((D_Points!$A$5:$A$204&lt;&gt;"")*(D_Points!$A$5:$A$204&gt;=$B154)*(D_Points!$A$5:$A$204&lt;$B154+P_Interval)*(UPPER(TRIM(D_Points!$B$5:$B$204))="GULLY")*(D_Points!$H$5:$H$204&lt;&gt;"")),D_Points!$H$5:$H$204),"")</f>
        <v/>
      </c>
      <c r="I154" s="181" t="str">
        <f>IFERROR(LOOKUP(2,1/((A_Corridor!$A$5:$A$204&lt;&gt;"")*(A_Corridor!$A$5:$A$204&lt;=$B154)*(A_Corridor!$B$5:$B$204&gt;$B154)*(A_Corridor!$F$5:$F$204&lt;&gt;"")),IF(A_Corridor!$F$5:$F$204="-","",1)),"")</f>
        <v/>
      </c>
      <c r="J154" s="182" t="str">
        <f>IFERROR(LOOKUP(2,1/((A_Corridor!$A$5:$A$204&lt;&gt;"")*(A_Corridor!$A$5:$A$204&lt;=$B154)*(A_Corridor!$B$5:$B$204&gt;$B154)*(A_Corridor!$F$5:$F$204&lt;&gt;"")),IF(A_Corridor!$F$5:$F$204="-","",A_Corridor!$F$5:$F$204)),"")</f>
        <v/>
      </c>
      <c r="K154" s="182" t="str">
        <f>IFERROR(LOOKUP(2,1/((A_Corridor!$A$5:$A$204&lt;&gt;"")*(A_Corridor!$A$5:$A$204&lt;=$B154)*(A_Corridor!$B$5:$B$204&gt;$B154)*(A_Corridor!$G$5:$G$204&lt;&gt;"")),IF(A_Corridor!$G$5:$G$204="-","",A_Corridor!$G$5:$G$204)),"")</f>
        <v/>
      </c>
      <c r="L154" s="181" t="str">
        <f>IFERROR(LOOKUP(2,1/((A_Corridor!$A$5:$A$204&lt;&gt;"")*(A_Corridor!$A$5:$A$204&lt;=$B154)*(A_Corridor!$B$5:$B$204&gt;$B154)*(A_Corridor!$H$5:$H$204&lt;&gt;"")),IF(A_Corridor!$H$5:$H$204="-","",1)),"")</f>
        <v/>
      </c>
      <c r="M154" s="182" t="str">
        <f>IFERROR(LOOKUP(2,1/((A_Corridor!$A$5:$A$204&lt;&gt;"")*(A_Corridor!$A$5:$A$204&lt;=$B154)*(A_Corridor!$B$5:$B$204&gt;$B154)*(A_Corridor!$H$5:$H$204&lt;&gt;"")),IF(A_Corridor!$H$5:$H$204="-","",A_Corridor!$H$5:$H$204)),"")</f>
        <v/>
      </c>
      <c r="N154" s="182" t="str">
        <f>IFERROR(LOOKUP(2,1/((A_Corridor!$A$5:$A$204&lt;&gt;"")*(A_Corridor!$A$5:$A$204&lt;=$B154)*(A_Corridor!$B$5:$B$204&gt;$B154)*(A_Corridor!$I$5:$I$204&lt;&gt;"")),IF(A_Corridor!$I$5:$I$204="-","",A_Corridor!$I$5:$I$204)),"")</f>
        <v/>
      </c>
      <c r="O154" s="182" t="str">
        <f>IFERROR(LOOKUP(2,1/((D_Points!$A$5:$A$204&lt;&gt;"")*(D_Points!$A$5:$A$204&gt;=$B154)*(D_Points!$A$5:$A$204&lt;$B154+P_Interval)*(UPPER(TRIM(D_Points!$B$5:$B$204))="PITCHING")*(D_Points!$H$5:$H$204&lt;&gt;"")),D_Points!$H$5:$H$204),"")</f>
        <v/>
      </c>
      <c r="P154" s="181" t="str">
        <f>IFERROR(LOOKUP(2,1/((B_Drainage!$A$5:$A$204&lt;&gt;"")*(B_Drainage!$A$5:$A$204&lt;=$B154)*(B_Drainage!$B$5:$B$204&gt;$B154)*(B_Drainage!$C$5:$C$204&lt;&gt;"")),IF(B_Drainage!$C$5:$C$204="-","",UPPER(B_Drainage!$C$5:$C$204))),"")</f>
        <v/>
      </c>
      <c r="Q154" s="181" t="str">
        <f>IFERROR(LOOKUP(2,1/((B_Drainage!$A$5:$A$204&lt;&gt;"")*(B_Drainage!$A$5:$A$204&lt;=$B154)*(B_Drainage!$B$5:$B$204&gt;$B154)*(B_Drainage!$D$5:$D$204&lt;&gt;"")),IF(B_Drainage!$D$5:$D$204="-","",UPPER(B_Drainage!$D$5:$D$204))),"")</f>
        <v/>
      </c>
      <c r="R154" s="182" t="str">
        <f>IFERROR(LOOKUP(2,1/((D_Points!$A$5:$A$204&lt;&gt;"")*(D_Points!$A$5:$A$204&gt;=$B154)*(D_Points!$A$5:$A$204&lt;$B154+P_Interval)*(RIGHT(UPPER(TRIM(D_Points!$B$5:$B$204)),8)="_CULVERT")),IF(LEFT(UPPER(TRIM(D_Points!$B$5:$B$204)),2)="EX",1,IF(LEFT(UPPER(TRIM(D_Points!$B$5:$B$204)),2)="PR",2,3))),"")</f>
        <v/>
      </c>
      <c r="S154" s="182" t="str">
        <f>IFERROR(LOOKUP(2,1/((D_Points!$A$5:$A$204&lt;&gt;"")*(D_Points!$A$5:$A$204&gt;=$B154)*(D_Points!$A$5:$A$204&lt;$B154+P_Interval)*(RIGHT(UPPER(TRIM(D_Points!$B$5:$B$204)),7)="_BRIDGE")),IF(LEFT(UPPER(TRIM(D_Points!$B$5:$B$204)),2)="EX",1,IF(LEFT(UPPER(TRIM(D_Points!$B$5:$B$204)),2)="PR",2,2))),"")</f>
        <v/>
      </c>
      <c r="T154" s="181" t="str">
        <f>IFERROR(LOOKUP(2,1/((B_Drainage!$A$5:$A$204&lt;&gt;"")*(B_Drainage!$A$5:$A$204&lt;=$B154)*(B_Drainage!$B$5:$B$204&gt;$B154)*(B_Drainage!$E$5:$E$204&lt;&gt;"")),IF(B_Drainage!$E$5:$E$204="-","",1)),"")</f>
        <v/>
      </c>
      <c r="U154" s="181" t="str">
        <f>IFERROR(LOOKUP(2,1/((B_Drainage!$A$5:$A$204&lt;&gt;"")*(B_Drainage!$A$5:$A$204&lt;=$B154)*(B_Drainage!$B$5:$B$204&gt;$B154)*(B_Drainage!$E$5:$E$204&lt;&gt;"")),IF(B_Drainage!$E$5:$E$204="-","",B_Drainage!$E$5:$E$204)),"")</f>
        <v/>
      </c>
      <c r="V154" s="181" t="str">
        <f>IFERROR(LOOKUP(2,1/((B_Drainage!$A$5:$A$204&lt;&gt;"")*(B_Drainage!$A$5:$A$204&lt;=$B154)*(B_Drainage!$B$5:$B$204&gt;$B154)*(B_Drainage!$F$5:$F$204&lt;&gt;"")),IF(B_Drainage!$F$5:$F$204="-","",1)),"")</f>
        <v/>
      </c>
      <c r="W154" s="181" t="str">
        <f>IFERROR(LOOKUP(2,1/((B_Drainage!$A$5:$A$204&lt;&gt;"")*(B_Drainage!$A$5:$A$204&lt;=$B154)*(B_Drainage!$B$5:$B$204&gt;$B154)*(B_Drainage!$F$5:$F$204&lt;&gt;"")),IF(B_Drainage!$F$5:$F$204="-","",B_Drainage!$F$5:$F$204)),"")</f>
        <v/>
      </c>
      <c r="X154" s="181" t="str">
        <f>IFERROR(LOOKUP(2,1/((B_Drainage!$A$5:$A$204&lt;&gt;"")*(B_Drainage!$A$5:$A$204&lt;=$B154)*(B_Drainage!$B$5:$B$204&gt;$B154)*(B_Drainage!$G$5:$G$204&lt;&gt;"")),IF(UPPER(B_Drainage!$G$5:$G$204)="Y",1,"")),"")</f>
        <v/>
      </c>
      <c r="Y154" s="181" t="str">
        <f>IFERROR(LOOKUP(2,1/((B_Drainage!$A$5:$A$204&lt;&gt;"")*(B_Drainage!$A$5:$A$204&lt;=$B154)*(B_Drainage!$B$5:$B$204&gt;$B154)*(B_Drainage!$H$5:$H$204&lt;&gt;"")),IF(UPPER(B_Drainage!$H$5:$H$204)="Y",1,"")),"")</f>
        <v/>
      </c>
      <c r="Z154" s="181" t="str">
        <f>IFERROR(LOOKUP(2,1/((B_Drainage!$A$5:$A$204&lt;&gt;"")*(B_Drainage!$A$5:$A$204&lt;=$B154)*(B_Drainage!$B$5:$B$204&gt;$B154)*(B_Drainage!$I$5:$I$204&lt;&gt;"")),IF(UPPER(B_Drainage!$I$5:$I$204)="Y",1,"")),"")</f>
        <v/>
      </c>
      <c r="AA154" s="181" t="str">
        <f>IFERROR(LOOKUP(2,1/((B_Drainage!$A$5:$A$204&lt;&gt;"")*(B_Drainage!$A$5:$A$204&lt;=$B154)*(B_Drainage!$B$5:$B$204&gt;$B154)*(B_Drainage!$J$5:$J$204&lt;&gt;"")),IF(UPPER(B_Drainage!$J$5:$J$204)="Y",1,"")),"")</f>
        <v/>
      </c>
      <c r="AB154" s="182" t="str">
        <f>IFERROR(LOOKUP(2,1/((B_Drainage!$A$5:$A$204&lt;&gt;"")*(B_Drainage!$A$5:$A$204&lt;=$B154)*(B_Drainage!$B$5:$B$204&gt;$B154)*(B_Drainage!$K$5:$K$204&lt;&gt;"")),IF(B_Drainage!$K$5:$K$204="-","",B_Drainage!$K$5:$K$204)),"")</f>
        <v/>
      </c>
      <c r="AC154" s="182" t="str">
        <f>IFERROR(LOOKUP(2,1/((B_Drainage!$A$5:$A$204&lt;&gt;"")*(B_Drainage!$A$5:$A$204&lt;=$B154)*(B_Drainage!$B$5:$B$204&gt;$B154)*(B_Drainage!$L$5:$L$204&lt;&gt;"")),IF(B_Drainage!$L$5:$L$204="-","",B_Drainage!$L$5:$L$204)),"")</f>
        <v/>
      </c>
      <c r="AD154" s="182" t="str">
        <f>IFERROR(LOOKUP(2,1/((D_Points!$A$5:$A$204&lt;&gt;"")*(D_Points!$A$5:$A$204&gt;=$B154)*(D_Points!$A$5:$A$204&lt;$B154+P_Interval)*(UPPER(TRIM(D_Points!$B$5:$B$204))="TURNOUT_L")*(D_Points!$H$5:$H$204&lt;&gt;"")),D_Points!$H$5:$H$204),"")</f>
        <v/>
      </c>
      <c r="AE154" s="182" t="str">
        <f>IFERROR(LOOKUP(2,1/((D_Points!$A$5:$A$204&lt;&gt;"")*(D_Points!$A$5:$A$204&gt;=$B154)*(D_Points!$A$5:$A$204&lt;$B154+P_Interval)*(UPPER(TRIM(D_Points!$B$5:$B$204))="TURNOUT_R")*(D_Points!$H$5:$H$204&lt;&gt;"")),D_Points!$H$5:$H$204),"")</f>
        <v/>
      </c>
      <c r="AF154" s="181" t="str">
        <f>IFERROR(LOOKUP(2,1/((B_Drainage!$A$5:$A$204&lt;&gt;"")*(B_Drainage!$A$5:$A$204&lt;=$B154)*(B_Drainage!$B$5:$B$204&gt;$B154)*(B_Drainage!$M$5:$M$204&lt;&gt;"")),IF(UPPER(B_Drainage!$M$5:$M$204)="Y",1,"")),"")</f>
        <v/>
      </c>
      <c r="AG154" s="181" t="str">
        <f>IFERROR(LOOKUP(2,1/((B_Drainage!$A$5:$A$204&lt;&gt;"")*(B_Drainage!$A$5:$A$204&lt;=$B154)*(B_Drainage!$B$5:$B$204&gt;$B154)*(B_Drainage!$N$5:$N$204&lt;&gt;"")),IF(UPPER(B_Drainage!$N$5:$N$204)="Y",1,"")),"")</f>
        <v/>
      </c>
      <c r="AH154" s="181" t="str">
        <f t="shared" si="16"/>
        <v/>
      </c>
      <c r="AI154" s="181" t="str">
        <f t="shared" si="17"/>
        <v/>
      </c>
      <c r="AJ154" s="181" t="str">
        <f t="shared" si="18"/>
        <v/>
      </c>
      <c r="AK154" s="181" t="str">
        <f t="shared" si="19"/>
        <v/>
      </c>
      <c r="AL154" s="181" t="str">
        <f t="shared" si="20"/>
        <v/>
      </c>
      <c r="AM154" s="181" t="str">
        <f t="shared" si="21"/>
        <v/>
      </c>
      <c r="AN154" s="181" t="str">
        <f t="shared" si="22"/>
        <v/>
      </c>
      <c r="AO154" s="192" t="str">
        <f t="shared" si="23"/>
        <v/>
      </c>
      <c r="AQ154" t="str">
        <f>IFERROR(LOOKUP(2,1/((C_Pavement!$A$5:$A$204&lt;&gt;"")*(C_Pavement!$A$5:$A$204&lt;=$B154)*(C_Pavement!$B$5:$B$204&gt;$B154)*(C_Pavement!$C$5:$C$204&lt;&gt;"")),ROW(C_Pavement!$C$5:$C$204)-4),"")</f>
        <v/>
      </c>
      <c r="AR154" t="str">
        <f>IF($AQ154="","",UPPER(TRIM(INDEX(C_Pavement!$C$5:$C$204,$AQ154))))</f>
        <v/>
      </c>
      <c r="AS154" t="str">
        <f>IF($AR154="","",IFERROR(MATCH($AR154,E_Rules!$A$5:$A$9,0),""))</f>
        <v/>
      </c>
      <c r="AT154" t="str">
        <f>IF($AQ154="","",IF(INDEX(C_Pavement!$D$5:$D$204,$AQ154)&lt;&gt;"",UPPER(TRIM(INDEX(C_Pavement!$D$5:$D$204,$AQ154))),IF($AS154="","",INDEX(E_Rules!$C$5:$C$9,$AS154))))</f>
        <v/>
      </c>
      <c r="AU154" t="str">
        <f>IF($AQ154="","",IF(INDEX(C_Pavement!$E$5:$E$204,$AQ154)&lt;&gt;"",IF(INDEX(C_Pavement!$E$5:$E$204,$AQ154)="-","",INDEX(C_Pavement!$E$5:$E$204,$AQ154)),IF($AS154="","",INDEX(E_Rules!$D$5:$D$9,$AS154))))</f>
        <v/>
      </c>
      <c r="AV154" t="str">
        <f>IF($AQ154="","",IF(INDEX(C_Pavement!$F$5:$F$204,$AQ154)&lt;&gt;"",IF(INDEX(C_Pavement!$F$5:$F$204,$AQ154)="-","",INDEX(C_Pavement!$F$5:$F$204,$AQ154)),IF($AS154="","",INDEX(E_Rules!$E$5:$E$9,$AS154))))</f>
        <v/>
      </c>
      <c r="AW154" t="str">
        <f>IF($AQ154="","",IF(INDEX(C_Pavement!$G$5:$G$204,$AQ154)&lt;&gt;"",IF(INDEX(C_Pavement!$G$5:$G$204,$AQ154)="-","",INDEX(C_Pavement!$G$5:$G$204,$AQ154)),IF($AS154="","",INDEX(E_Rules!$F$5:$F$9,$AS154))))</f>
        <v/>
      </c>
      <c r="AX154" t="str">
        <f>IF($AQ154="","",IF(INDEX(C_Pavement!$H$5:$H$204,$AQ154)&lt;&gt;"",IF(INDEX(C_Pavement!$H$5:$H$204,$AQ154)="-","",INDEX(C_Pavement!$H$5:$H$204,$AQ154)),IF($AS154="","",INDEX(E_Rules!$G$5:$G$9,$AS154))))</f>
        <v/>
      </c>
      <c r="AY154" t="str">
        <f>IF($AQ154="","",IF(INDEX(C_Pavement!$I$5:$I$204,$AQ154)&lt;&gt;"",IF(INDEX(C_Pavement!$I$5:$I$204,$AQ154)="-","",INDEX(C_Pavement!$I$5:$I$204,$AQ154)),IF($AS154="","",INDEX(E_Rules!$H$5:$H$9,$AS154))))</f>
        <v/>
      </c>
    </row>
    <row r="155" spans="1:51" ht="15.75" customHeight="1" x14ac:dyDescent="0.3">
      <c r="A155" s="189">
        <v>150</v>
      </c>
      <c r="B155" s="180">
        <v>7450</v>
      </c>
      <c r="C155" s="180" t="s">
        <v>461</v>
      </c>
      <c r="D155" s="181" t="str">
        <f>IFERROR(LOOKUP(2,1/((A_Corridor!$A$5:$A$204&lt;&gt;"")*(A_Corridor!$A$5:$A$204&lt;=$B155)*(A_Corridor!$B$5:$B$204&gt;$B155)*(A_Corridor!$C$5:$C$204&lt;&gt;"")),IF(UPPER(A_Corridor!$C$5:$C$204)="Y",1,"")),"")</f>
        <v/>
      </c>
      <c r="E155" s="181" t="str">
        <f>IFERROR(LOOKUP(2,1/((A_Corridor!$A$5:$A$204&lt;&gt;"")*(A_Corridor!$A$5:$A$204&lt;=$B155)*(A_Corridor!$B$5:$B$204&gt;$B155)*(A_Corridor!$D$5:$D$204&lt;&gt;"")),IF(A_Corridor!$D$5:$D$204="-","",UPPER(A_Corridor!$D$5:$D$204))),"")</f>
        <v/>
      </c>
      <c r="F155" s="181" t="str">
        <f>IFERROR(LOOKUP(2,1/((A_Corridor!$A$5:$A$204&lt;&gt;"")*(A_Corridor!$A$5:$A$204&lt;=$B155)*(A_Corridor!$B$5:$B$204&gt;$B155)*(A_Corridor!$E$5:$E$204&lt;&gt;"")),IF(A_Corridor!$E$5:$E$204="-","",1)),"")</f>
        <v/>
      </c>
      <c r="G155" s="182" t="str">
        <f>IFERROR(LOOKUP(2,1/((A_Corridor!$A$5:$A$204&lt;&gt;"")*(A_Corridor!$A$5:$A$204&lt;=$B155)*(A_Corridor!$B$5:$B$204&gt;$B155)*(A_Corridor!$E$5:$E$204&lt;&gt;"")),IF(A_Corridor!$E$5:$E$204="-","",A_Corridor!$E$5:$E$204)),"")</f>
        <v/>
      </c>
      <c r="H155" s="182" t="str">
        <f>IFERROR(LOOKUP(2,1/((D_Points!$A$5:$A$204&lt;&gt;"")*(D_Points!$A$5:$A$204&gt;=$B155)*(D_Points!$A$5:$A$204&lt;$B155+P_Interval)*(UPPER(TRIM(D_Points!$B$5:$B$204))="GULLY")*(D_Points!$H$5:$H$204&lt;&gt;"")),D_Points!$H$5:$H$204),"")</f>
        <v/>
      </c>
      <c r="I155" s="181" t="str">
        <f>IFERROR(LOOKUP(2,1/((A_Corridor!$A$5:$A$204&lt;&gt;"")*(A_Corridor!$A$5:$A$204&lt;=$B155)*(A_Corridor!$B$5:$B$204&gt;$B155)*(A_Corridor!$F$5:$F$204&lt;&gt;"")),IF(A_Corridor!$F$5:$F$204="-","",1)),"")</f>
        <v/>
      </c>
      <c r="J155" s="182" t="str">
        <f>IFERROR(LOOKUP(2,1/((A_Corridor!$A$5:$A$204&lt;&gt;"")*(A_Corridor!$A$5:$A$204&lt;=$B155)*(A_Corridor!$B$5:$B$204&gt;$B155)*(A_Corridor!$F$5:$F$204&lt;&gt;"")),IF(A_Corridor!$F$5:$F$204="-","",A_Corridor!$F$5:$F$204)),"")</f>
        <v/>
      </c>
      <c r="K155" s="182" t="str">
        <f>IFERROR(LOOKUP(2,1/((A_Corridor!$A$5:$A$204&lt;&gt;"")*(A_Corridor!$A$5:$A$204&lt;=$B155)*(A_Corridor!$B$5:$B$204&gt;$B155)*(A_Corridor!$G$5:$G$204&lt;&gt;"")),IF(A_Corridor!$G$5:$G$204="-","",A_Corridor!$G$5:$G$204)),"")</f>
        <v/>
      </c>
      <c r="L155" s="181" t="str">
        <f>IFERROR(LOOKUP(2,1/((A_Corridor!$A$5:$A$204&lt;&gt;"")*(A_Corridor!$A$5:$A$204&lt;=$B155)*(A_Corridor!$B$5:$B$204&gt;$B155)*(A_Corridor!$H$5:$H$204&lt;&gt;"")),IF(A_Corridor!$H$5:$H$204="-","",1)),"")</f>
        <v/>
      </c>
      <c r="M155" s="182" t="str">
        <f>IFERROR(LOOKUP(2,1/((A_Corridor!$A$5:$A$204&lt;&gt;"")*(A_Corridor!$A$5:$A$204&lt;=$B155)*(A_Corridor!$B$5:$B$204&gt;$B155)*(A_Corridor!$H$5:$H$204&lt;&gt;"")),IF(A_Corridor!$H$5:$H$204="-","",A_Corridor!$H$5:$H$204)),"")</f>
        <v/>
      </c>
      <c r="N155" s="182" t="str">
        <f>IFERROR(LOOKUP(2,1/((A_Corridor!$A$5:$A$204&lt;&gt;"")*(A_Corridor!$A$5:$A$204&lt;=$B155)*(A_Corridor!$B$5:$B$204&gt;$B155)*(A_Corridor!$I$5:$I$204&lt;&gt;"")),IF(A_Corridor!$I$5:$I$204="-","",A_Corridor!$I$5:$I$204)),"")</f>
        <v/>
      </c>
      <c r="O155" s="182" t="str">
        <f>IFERROR(LOOKUP(2,1/((D_Points!$A$5:$A$204&lt;&gt;"")*(D_Points!$A$5:$A$204&gt;=$B155)*(D_Points!$A$5:$A$204&lt;$B155+P_Interval)*(UPPER(TRIM(D_Points!$B$5:$B$204))="PITCHING")*(D_Points!$H$5:$H$204&lt;&gt;"")),D_Points!$H$5:$H$204),"")</f>
        <v/>
      </c>
      <c r="P155" s="181" t="str">
        <f>IFERROR(LOOKUP(2,1/((B_Drainage!$A$5:$A$204&lt;&gt;"")*(B_Drainage!$A$5:$A$204&lt;=$B155)*(B_Drainage!$B$5:$B$204&gt;$B155)*(B_Drainage!$C$5:$C$204&lt;&gt;"")),IF(B_Drainage!$C$5:$C$204="-","",UPPER(B_Drainage!$C$5:$C$204))),"")</f>
        <v/>
      </c>
      <c r="Q155" s="181" t="str">
        <f>IFERROR(LOOKUP(2,1/((B_Drainage!$A$5:$A$204&lt;&gt;"")*(B_Drainage!$A$5:$A$204&lt;=$B155)*(B_Drainage!$B$5:$B$204&gt;$B155)*(B_Drainage!$D$5:$D$204&lt;&gt;"")),IF(B_Drainage!$D$5:$D$204="-","",UPPER(B_Drainage!$D$5:$D$204))),"")</f>
        <v/>
      </c>
      <c r="R155" s="182" t="str">
        <f>IFERROR(LOOKUP(2,1/((D_Points!$A$5:$A$204&lt;&gt;"")*(D_Points!$A$5:$A$204&gt;=$B155)*(D_Points!$A$5:$A$204&lt;$B155+P_Interval)*(RIGHT(UPPER(TRIM(D_Points!$B$5:$B$204)),8)="_CULVERT")),IF(LEFT(UPPER(TRIM(D_Points!$B$5:$B$204)),2)="EX",1,IF(LEFT(UPPER(TRIM(D_Points!$B$5:$B$204)),2)="PR",2,3))),"")</f>
        <v/>
      </c>
      <c r="S155" s="182" t="str">
        <f>IFERROR(LOOKUP(2,1/((D_Points!$A$5:$A$204&lt;&gt;"")*(D_Points!$A$5:$A$204&gt;=$B155)*(D_Points!$A$5:$A$204&lt;$B155+P_Interval)*(RIGHT(UPPER(TRIM(D_Points!$B$5:$B$204)),7)="_BRIDGE")),IF(LEFT(UPPER(TRIM(D_Points!$B$5:$B$204)),2)="EX",1,IF(LEFT(UPPER(TRIM(D_Points!$B$5:$B$204)),2)="PR",2,2))),"")</f>
        <v/>
      </c>
      <c r="T155" s="181" t="str">
        <f>IFERROR(LOOKUP(2,1/((B_Drainage!$A$5:$A$204&lt;&gt;"")*(B_Drainage!$A$5:$A$204&lt;=$B155)*(B_Drainage!$B$5:$B$204&gt;$B155)*(B_Drainage!$E$5:$E$204&lt;&gt;"")),IF(B_Drainage!$E$5:$E$204="-","",1)),"")</f>
        <v/>
      </c>
      <c r="U155" s="181" t="str">
        <f>IFERROR(LOOKUP(2,1/((B_Drainage!$A$5:$A$204&lt;&gt;"")*(B_Drainage!$A$5:$A$204&lt;=$B155)*(B_Drainage!$B$5:$B$204&gt;$B155)*(B_Drainage!$E$5:$E$204&lt;&gt;"")),IF(B_Drainage!$E$5:$E$204="-","",B_Drainage!$E$5:$E$204)),"")</f>
        <v/>
      </c>
      <c r="V155" s="181" t="str">
        <f>IFERROR(LOOKUP(2,1/((B_Drainage!$A$5:$A$204&lt;&gt;"")*(B_Drainage!$A$5:$A$204&lt;=$B155)*(B_Drainage!$B$5:$B$204&gt;$B155)*(B_Drainage!$F$5:$F$204&lt;&gt;"")),IF(B_Drainage!$F$5:$F$204="-","",1)),"")</f>
        <v/>
      </c>
      <c r="W155" s="181" t="str">
        <f>IFERROR(LOOKUP(2,1/((B_Drainage!$A$5:$A$204&lt;&gt;"")*(B_Drainage!$A$5:$A$204&lt;=$B155)*(B_Drainage!$B$5:$B$204&gt;$B155)*(B_Drainage!$F$5:$F$204&lt;&gt;"")),IF(B_Drainage!$F$5:$F$204="-","",B_Drainage!$F$5:$F$204)),"")</f>
        <v/>
      </c>
      <c r="X155" s="181" t="str">
        <f>IFERROR(LOOKUP(2,1/((B_Drainage!$A$5:$A$204&lt;&gt;"")*(B_Drainage!$A$5:$A$204&lt;=$B155)*(B_Drainage!$B$5:$B$204&gt;$B155)*(B_Drainage!$G$5:$G$204&lt;&gt;"")),IF(UPPER(B_Drainage!$G$5:$G$204)="Y",1,"")),"")</f>
        <v/>
      </c>
      <c r="Y155" s="181" t="str">
        <f>IFERROR(LOOKUP(2,1/((B_Drainage!$A$5:$A$204&lt;&gt;"")*(B_Drainage!$A$5:$A$204&lt;=$B155)*(B_Drainage!$B$5:$B$204&gt;$B155)*(B_Drainage!$H$5:$H$204&lt;&gt;"")),IF(UPPER(B_Drainage!$H$5:$H$204)="Y",1,"")),"")</f>
        <v/>
      </c>
      <c r="Z155" s="181" t="str">
        <f>IFERROR(LOOKUP(2,1/((B_Drainage!$A$5:$A$204&lt;&gt;"")*(B_Drainage!$A$5:$A$204&lt;=$B155)*(B_Drainage!$B$5:$B$204&gt;$B155)*(B_Drainage!$I$5:$I$204&lt;&gt;"")),IF(UPPER(B_Drainage!$I$5:$I$204)="Y",1,"")),"")</f>
        <v/>
      </c>
      <c r="AA155" s="181" t="str">
        <f>IFERROR(LOOKUP(2,1/((B_Drainage!$A$5:$A$204&lt;&gt;"")*(B_Drainage!$A$5:$A$204&lt;=$B155)*(B_Drainage!$B$5:$B$204&gt;$B155)*(B_Drainage!$J$5:$J$204&lt;&gt;"")),IF(UPPER(B_Drainage!$J$5:$J$204)="Y",1,"")),"")</f>
        <v/>
      </c>
      <c r="AB155" s="182" t="str">
        <f>IFERROR(LOOKUP(2,1/((B_Drainage!$A$5:$A$204&lt;&gt;"")*(B_Drainage!$A$5:$A$204&lt;=$B155)*(B_Drainage!$B$5:$B$204&gt;$B155)*(B_Drainage!$K$5:$K$204&lt;&gt;"")),IF(B_Drainage!$K$5:$K$204="-","",B_Drainage!$K$5:$K$204)),"")</f>
        <v/>
      </c>
      <c r="AC155" s="182" t="str">
        <f>IFERROR(LOOKUP(2,1/((B_Drainage!$A$5:$A$204&lt;&gt;"")*(B_Drainage!$A$5:$A$204&lt;=$B155)*(B_Drainage!$B$5:$B$204&gt;$B155)*(B_Drainage!$L$5:$L$204&lt;&gt;"")),IF(B_Drainage!$L$5:$L$204="-","",B_Drainage!$L$5:$L$204)),"")</f>
        <v/>
      </c>
      <c r="AD155" s="182" t="str">
        <f>IFERROR(LOOKUP(2,1/((D_Points!$A$5:$A$204&lt;&gt;"")*(D_Points!$A$5:$A$204&gt;=$B155)*(D_Points!$A$5:$A$204&lt;$B155+P_Interval)*(UPPER(TRIM(D_Points!$B$5:$B$204))="TURNOUT_L")*(D_Points!$H$5:$H$204&lt;&gt;"")),D_Points!$H$5:$H$204),"")</f>
        <v/>
      </c>
      <c r="AE155" s="182" t="str">
        <f>IFERROR(LOOKUP(2,1/((D_Points!$A$5:$A$204&lt;&gt;"")*(D_Points!$A$5:$A$204&gt;=$B155)*(D_Points!$A$5:$A$204&lt;$B155+P_Interval)*(UPPER(TRIM(D_Points!$B$5:$B$204))="TURNOUT_R")*(D_Points!$H$5:$H$204&lt;&gt;"")),D_Points!$H$5:$H$204),"")</f>
        <v/>
      </c>
      <c r="AF155" s="181" t="str">
        <f>IFERROR(LOOKUP(2,1/((B_Drainage!$A$5:$A$204&lt;&gt;"")*(B_Drainage!$A$5:$A$204&lt;=$B155)*(B_Drainage!$B$5:$B$204&gt;$B155)*(B_Drainage!$M$5:$M$204&lt;&gt;"")),IF(UPPER(B_Drainage!$M$5:$M$204)="Y",1,"")),"")</f>
        <v/>
      </c>
      <c r="AG155" s="181" t="str">
        <f>IFERROR(LOOKUP(2,1/((B_Drainage!$A$5:$A$204&lt;&gt;"")*(B_Drainage!$A$5:$A$204&lt;=$B155)*(B_Drainage!$B$5:$B$204&gt;$B155)*(B_Drainage!$N$5:$N$204&lt;&gt;"")),IF(UPPER(B_Drainage!$N$5:$N$204)="Y",1,"")),"")</f>
        <v/>
      </c>
      <c r="AH155" s="181" t="str">
        <f t="shared" si="16"/>
        <v/>
      </c>
      <c r="AI155" s="181" t="str">
        <f t="shared" si="17"/>
        <v/>
      </c>
      <c r="AJ155" s="181" t="str">
        <f t="shared" si="18"/>
        <v/>
      </c>
      <c r="AK155" s="181" t="str">
        <f t="shared" si="19"/>
        <v/>
      </c>
      <c r="AL155" s="181" t="str">
        <f t="shared" si="20"/>
        <v/>
      </c>
      <c r="AM155" s="181" t="str">
        <f t="shared" si="21"/>
        <v/>
      </c>
      <c r="AN155" s="181" t="str">
        <f t="shared" si="22"/>
        <v/>
      </c>
      <c r="AO155" s="192" t="str">
        <f t="shared" si="23"/>
        <v/>
      </c>
      <c r="AQ155" t="str">
        <f>IFERROR(LOOKUP(2,1/((C_Pavement!$A$5:$A$204&lt;&gt;"")*(C_Pavement!$A$5:$A$204&lt;=$B155)*(C_Pavement!$B$5:$B$204&gt;$B155)*(C_Pavement!$C$5:$C$204&lt;&gt;"")),ROW(C_Pavement!$C$5:$C$204)-4),"")</f>
        <v/>
      </c>
      <c r="AR155" t="str">
        <f>IF($AQ155="","",UPPER(TRIM(INDEX(C_Pavement!$C$5:$C$204,$AQ155))))</f>
        <v/>
      </c>
      <c r="AS155" t="str">
        <f>IF($AR155="","",IFERROR(MATCH($AR155,E_Rules!$A$5:$A$9,0),""))</f>
        <v/>
      </c>
      <c r="AT155" t="str">
        <f>IF($AQ155="","",IF(INDEX(C_Pavement!$D$5:$D$204,$AQ155)&lt;&gt;"",UPPER(TRIM(INDEX(C_Pavement!$D$5:$D$204,$AQ155))),IF($AS155="","",INDEX(E_Rules!$C$5:$C$9,$AS155))))</f>
        <v/>
      </c>
      <c r="AU155" t="str">
        <f>IF($AQ155="","",IF(INDEX(C_Pavement!$E$5:$E$204,$AQ155)&lt;&gt;"",IF(INDEX(C_Pavement!$E$5:$E$204,$AQ155)="-","",INDEX(C_Pavement!$E$5:$E$204,$AQ155)),IF($AS155="","",INDEX(E_Rules!$D$5:$D$9,$AS155))))</f>
        <v/>
      </c>
      <c r="AV155" t="str">
        <f>IF($AQ155="","",IF(INDEX(C_Pavement!$F$5:$F$204,$AQ155)&lt;&gt;"",IF(INDEX(C_Pavement!$F$5:$F$204,$AQ155)="-","",INDEX(C_Pavement!$F$5:$F$204,$AQ155)),IF($AS155="","",INDEX(E_Rules!$E$5:$E$9,$AS155))))</f>
        <v/>
      </c>
      <c r="AW155" t="str">
        <f>IF($AQ155="","",IF(INDEX(C_Pavement!$G$5:$G$204,$AQ155)&lt;&gt;"",IF(INDEX(C_Pavement!$G$5:$G$204,$AQ155)="-","",INDEX(C_Pavement!$G$5:$G$204,$AQ155)),IF($AS155="","",INDEX(E_Rules!$F$5:$F$9,$AS155))))</f>
        <v/>
      </c>
      <c r="AX155" t="str">
        <f>IF($AQ155="","",IF(INDEX(C_Pavement!$H$5:$H$204,$AQ155)&lt;&gt;"",IF(INDEX(C_Pavement!$H$5:$H$204,$AQ155)="-","",INDEX(C_Pavement!$H$5:$H$204,$AQ155)),IF($AS155="","",INDEX(E_Rules!$G$5:$G$9,$AS155))))</f>
        <v/>
      </c>
      <c r="AY155" t="str">
        <f>IF($AQ155="","",IF(INDEX(C_Pavement!$I$5:$I$204,$AQ155)&lt;&gt;"",IF(INDEX(C_Pavement!$I$5:$I$204,$AQ155)="-","",INDEX(C_Pavement!$I$5:$I$204,$AQ155)),IF($AS155="","",INDEX(E_Rules!$H$5:$H$9,$AS155))))</f>
        <v/>
      </c>
    </row>
    <row r="156" spans="1:51" ht="15.75" customHeight="1" x14ac:dyDescent="0.3">
      <c r="A156" s="189">
        <v>151</v>
      </c>
      <c r="B156" s="180">
        <v>7500</v>
      </c>
      <c r="C156" s="180" t="s">
        <v>462</v>
      </c>
      <c r="D156" s="181" t="str">
        <f>IFERROR(LOOKUP(2,1/((A_Corridor!$A$5:$A$204&lt;&gt;"")*(A_Corridor!$A$5:$A$204&lt;=$B156)*(A_Corridor!$B$5:$B$204&gt;$B156)*(A_Corridor!$C$5:$C$204&lt;&gt;"")),IF(UPPER(A_Corridor!$C$5:$C$204)="Y",1,"")),"")</f>
        <v/>
      </c>
      <c r="E156" s="181" t="str">
        <f>IFERROR(LOOKUP(2,1/((A_Corridor!$A$5:$A$204&lt;&gt;"")*(A_Corridor!$A$5:$A$204&lt;=$B156)*(A_Corridor!$B$5:$B$204&gt;$B156)*(A_Corridor!$D$5:$D$204&lt;&gt;"")),IF(A_Corridor!$D$5:$D$204="-","",UPPER(A_Corridor!$D$5:$D$204))),"")</f>
        <v/>
      </c>
      <c r="F156" s="181" t="str">
        <f>IFERROR(LOOKUP(2,1/((A_Corridor!$A$5:$A$204&lt;&gt;"")*(A_Corridor!$A$5:$A$204&lt;=$B156)*(A_Corridor!$B$5:$B$204&gt;$B156)*(A_Corridor!$E$5:$E$204&lt;&gt;"")),IF(A_Corridor!$E$5:$E$204="-","",1)),"")</f>
        <v/>
      </c>
      <c r="G156" s="182" t="str">
        <f>IFERROR(LOOKUP(2,1/((A_Corridor!$A$5:$A$204&lt;&gt;"")*(A_Corridor!$A$5:$A$204&lt;=$B156)*(A_Corridor!$B$5:$B$204&gt;$B156)*(A_Corridor!$E$5:$E$204&lt;&gt;"")),IF(A_Corridor!$E$5:$E$204="-","",A_Corridor!$E$5:$E$204)),"")</f>
        <v/>
      </c>
      <c r="H156" s="182" t="str">
        <f>IFERROR(LOOKUP(2,1/((D_Points!$A$5:$A$204&lt;&gt;"")*(D_Points!$A$5:$A$204&gt;=$B156)*(D_Points!$A$5:$A$204&lt;$B156+P_Interval)*(UPPER(TRIM(D_Points!$B$5:$B$204))="GULLY")*(D_Points!$H$5:$H$204&lt;&gt;"")),D_Points!$H$5:$H$204),"")</f>
        <v/>
      </c>
      <c r="I156" s="181" t="str">
        <f>IFERROR(LOOKUP(2,1/((A_Corridor!$A$5:$A$204&lt;&gt;"")*(A_Corridor!$A$5:$A$204&lt;=$B156)*(A_Corridor!$B$5:$B$204&gt;$B156)*(A_Corridor!$F$5:$F$204&lt;&gt;"")),IF(A_Corridor!$F$5:$F$204="-","",1)),"")</f>
        <v/>
      </c>
      <c r="J156" s="182" t="str">
        <f>IFERROR(LOOKUP(2,1/((A_Corridor!$A$5:$A$204&lt;&gt;"")*(A_Corridor!$A$5:$A$204&lt;=$B156)*(A_Corridor!$B$5:$B$204&gt;$B156)*(A_Corridor!$F$5:$F$204&lt;&gt;"")),IF(A_Corridor!$F$5:$F$204="-","",A_Corridor!$F$5:$F$204)),"")</f>
        <v/>
      </c>
      <c r="K156" s="182" t="str">
        <f>IFERROR(LOOKUP(2,1/((A_Corridor!$A$5:$A$204&lt;&gt;"")*(A_Corridor!$A$5:$A$204&lt;=$B156)*(A_Corridor!$B$5:$B$204&gt;$B156)*(A_Corridor!$G$5:$G$204&lt;&gt;"")),IF(A_Corridor!$G$5:$G$204="-","",A_Corridor!$G$5:$G$204)),"")</f>
        <v/>
      </c>
      <c r="L156" s="181" t="str">
        <f>IFERROR(LOOKUP(2,1/((A_Corridor!$A$5:$A$204&lt;&gt;"")*(A_Corridor!$A$5:$A$204&lt;=$B156)*(A_Corridor!$B$5:$B$204&gt;$B156)*(A_Corridor!$H$5:$H$204&lt;&gt;"")),IF(A_Corridor!$H$5:$H$204="-","",1)),"")</f>
        <v/>
      </c>
      <c r="M156" s="182" t="str">
        <f>IFERROR(LOOKUP(2,1/((A_Corridor!$A$5:$A$204&lt;&gt;"")*(A_Corridor!$A$5:$A$204&lt;=$B156)*(A_Corridor!$B$5:$B$204&gt;$B156)*(A_Corridor!$H$5:$H$204&lt;&gt;"")),IF(A_Corridor!$H$5:$H$204="-","",A_Corridor!$H$5:$H$204)),"")</f>
        <v/>
      </c>
      <c r="N156" s="182" t="str">
        <f>IFERROR(LOOKUP(2,1/((A_Corridor!$A$5:$A$204&lt;&gt;"")*(A_Corridor!$A$5:$A$204&lt;=$B156)*(A_Corridor!$B$5:$B$204&gt;$B156)*(A_Corridor!$I$5:$I$204&lt;&gt;"")),IF(A_Corridor!$I$5:$I$204="-","",A_Corridor!$I$5:$I$204)),"")</f>
        <v/>
      </c>
      <c r="O156" s="182" t="str">
        <f>IFERROR(LOOKUP(2,1/((D_Points!$A$5:$A$204&lt;&gt;"")*(D_Points!$A$5:$A$204&gt;=$B156)*(D_Points!$A$5:$A$204&lt;$B156+P_Interval)*(UPPER(TRIM(D_Points!$B$5:$B$204))="PITCHING")*(D_Points!$H$5:$H$204&lt;&gt;"")),D_Points!$H$5:$H$204),"")</f>
        <v/>
      </c>
      <c r="P156" s="181" t="str">
        <f>IFERROR(LOOKUP(2,1/((B_Drainage!$A$5:$A$204&lt;&gt;"")*(B_Drainage!$A$5:$A$204&lt;=$B156)*(B_Drainage!$B$5:$B$204&gt;$B156)*(B_Drainage!$C$5:$C$204&lt;&gt;"")),IF(B_Drainage!$C$5:$C$204="-","",UPPER(B_Drainage!$C$5:$C$204))),"")</f>
        <v/>
      </c>
      <c r="Q156" s="181" t="str">
        <f>IFERROR(LOOKUP(2,1/((B_Drainage!$A$5:$A$204&lt;&gt;"")*(B_Drainage!$A$5:$A$204&lt;=$B156)*(B_Drainage!$B$5:$B$204&gt;$B156)*(B_Drainage!$D$5:$D$204&lt;&gt;"")),IF(B_Drainage!$D$5:$D$204="-","",UPPER(B_Drainage!$D$5:$D$204))),"")</f>
        <v/>
      </c>
      <c r="R156" s="182" t="str">
        <f>IFERROR(LOOKUP(2,1/((D_Points!$A$5:$A$204&lt;&gt;"")*(D_Points!$A$5:$A$204&gt;=$B156)*(D_Points!$A$5:$A$204&lt;$B156+P_Interval)*(RIGHT(UPPER(TRIM(D_Points!$B$5:$B$204)),8)="_CULVERT")),IF(LEFT(UPPER(TRIM(D_Points!$B$5:$B$204)),2)="EX",1,IF(LEFT(UPPER(TRIM(D_Points!$B$5:$B$204)),2)="PR",2,3))),"")</f>
        <v/>
      </c>
      <c r="S156" s="182" t="str">
        <f>IFERROR(LOOKUP(2,1/((D_Points!$A$5:$A$204&lt;&gt;"")*(D_Points!$A$5:$A$204&gt;=$B156)*(D_Points!$A$5:$A$204&lt;$B156+P_Interval)*(RIGHT(UPPER(TRIM(D_Points!$B$5:$B$204)),7)="_BRIDGE")),IF(LEFT(UPPER(TRIM(D_Points!$B$5:$B$204)),2)="EX",1,IF(LEFT(UPPER(TRIM(D_Points!$B$5:$B$204)),2)="PR",2,2))),"")</f>
        <v/>
      </c>
      <c r="T156" s="181" t="str">
        <f>IFERROR(LOOKUP(2,1/((B_Drainage!$A$5:$A$204&lt;&gt;"")*(B_Drainage!$A$5:$A$204&lt;=$B156)*(B_Drainage!$B$5:$B$204&gt;$B156)*(B_Drainage!$E$5:$E$204&lt;&gt;"")),IF(B_Drainage!$E$5:$E$204="-","",1)),"")</f>
        <v/>
      </c>
      <c r="U156" s="181" t="str">
        <f>IFERROR(LOOKUP(2,1/((B_Drainage!$A$5:$A$204&lt;&gt;"")*(B_Drainage!$A$5:$A$204&lt;=$B156)*(B_Drainage!$B$5:$B$204&gt;$B156)*(B_Drainage!$E$5:$E$204&lt;&gt;"")),IF(B_Drainage!$E$5:$E$204="-","",B_Drainage!$E$5:$E$204)),"")</f>
        <v/>
      </c>
      <c r="V156" s="181" t="str">
        <f>IFERROR(LOOKUP(2,1/((B_Drainage!$A$5:$A$204&lt;&gt;"")*(B_Drainage!$A$5:$A$204&lt;=$B156)*(B_Drainage!$B$5:$B$204&gt;$B156)*(B_Drainage!$F$5:$F$204&lt;&gt;"")),IF(B_Drainage!$F$5:$F$204="-","",1)),"")</f>
        <v/>
      </c>
      <c r="W156" s="181" t="str">
        <f>IFERROR(LOOKUP(2,1/((B_Drainage!$A$5:$A$204&lt;&gt;"")*(B_Drainage!$A$5:$A$204&lt;=$B156)*(B_Drainage!$B$5:$B$204&gt;$B156)*(B_Drainage!$F$5:$F$204&lt;&gt;"")),IF(B_Drainage!$F$5:$F$204="-","",B_Drainage!$F$5:$F$204)),"")</f>
        <v/>
      </c>
      <c r="X156" s="181" t="str">
        <f>IFERROR(LOOKUP(2,1/((B_Drainage!$A$5:$A$204&lt;&gt;"")*(B_Drainage!$A$5:$A$204&lt;=$B156)*(B_Drainage!$B$5:$B$204&gt;$B156)*(B_Drainage!$G$5:$G$204&lt;&gt;"")),IF(UPPER(B_Drainage!$G$5:$G$204)="Y",1,"")),"")</f>
        <v/>
      </c>
      <c r="Y156" s="181" t="str">
        <f>IFERROR(LOOKUP(2,1/((B_Drainage!$A$5:$A$204&lt;&gt;"")*(B_Drainage!$A$5:$A$204&lt;=$B156)*(B_Drainage!$B$5:$B$204&gt;$B156)*(B_Drainage!$H$5:$H$204&lt;&gt;"")),IF(UPPER(B_Drainage!$H$5:$H$204)="Y",1,"")),"")</f>
        <v/>
      </c>
      <c r="Z156" s="181" t="str">
        <f>IFERROR(LOOKUP(2,1/((B_Drainage!$A$5:$A$204&lt;&gt;"")*(B_Drainage!$A$5:$A$204&lt;=$B156)*(B_Drainage!$B$5:$B$204&gt;$B156)*(B_Drainage!$I$5:$I$204&lt;&gt;"")),IF(UPPER(B_Drainage!$I$5:$I$204)="Y",1,"")),"")</f>
        <v/>
      </c>
      <c r="AA156" s="181" t="str">
        <f>IFERROR(LOOKUP(2,1/((B_Drainage!$A$5:$A$204&lt;&gt;"")*(B_Drainage!$A$5:$A$204&lt;=$B156)*(B_Drainage!$B$5:$B$204&gt;$B156)*(B_Drainage!$J$5:$J$204&lt;&gt;"")),IF(UPPER(B_Drainage!$J$5:$J$204)="Y",1,"")),"")</f>
        <v/>
      </c>
      <c r="AB156" s="182" t="str">
        <f>IFERROR(LOOKUP(2,1/((B_Drainage!$A$5:$A$204&lt;&gt;"")*(B_Drainage!$A$5:$A$204&lt;=$B156)*(B_Drainage!$B$5:$B$204&gt;$B156)*(B_Drainage!$K$5:$K$204&lt;&gt;"")),IF(B_Drainage!$K$5:$K$204="-","",B_Drainage!$K$5:$K$204)),"")</f>
        <v/>
      </c>
      <c r="AC156" s="182" t="str">
        <f>IFERROR(LOOKUP(2,1/((B_Drainage!$A$5:$A$204&lt;&gt;"")*(B_Drainage!$A$5:$A$204&lt;=$B156)*(B_Drainage!$B$5:$B$204&gt;$B156)*(B_Drainage!$L$5:$L$204&lt;&gt;"")),IF(B_Drainage!$L$5:$L$204="-","",B_Drainage!$L$5:$L$204)),"")</f>
        <v/>
      </c>
      <c r="AD156" s="182" t="str">
        <f>IFERROR(LOOKUP(2,1/((D_Points!$A$5:$A$204&lt;&gt;"")*(D_Points!$A$5:$A$204&gt;=$B156)*(D_Points!$A$5:$A$204&lt;$B156+P_Interval)*(UPPER(TRIM(D_Points!$B$5:$B$204))="TURNOUT_L")*(D_Points!$H$5:$H$204&lt;&gt;"")),D_Points!$H$5:$H$204),"")</f>
        <v/>
      </c>
      <c r="AE156" s="182" t="str">
        <f>IFERROR(LOOKUP(2,1/((D_Points!$A$5:$A$204&lt;&gt;"")*(D_Points!$A$5:$A$204&gt;=$B156)*(D_Points!$A$5:$A$204&lt;$B156+P_Interval)*(UPPER(TRIM(D_Points!$B$5:$B$204))="TURNOUT_R")*(D_Points!$H$5:$H$204&lt;&gt;"")),D_Points!$H$5:$H$204),"")</f>
        <v/>
      </c>
      <c r="AF156" s="181" t="str">
        <f>IFERROR(LOOKUP(2,1/((B_Drainage!$A$5:$A$204&lt;&gt;"")*(B_Drainage!$A$5:$A$204&lt;=$B156)*(B_Drainage!$B$5:$B$204&gt;$B156)*(B_Drainage!$M$5:$M$204&lt;&gt;"")),IF(UPPER(B_Drainage!$M$5:$M$204)="Y",1,"")),"")</f>
        <v/>
      </c>
      <c r="AG156" s="181" t="str">
        <f>IFERROR(LOOKUP(2,1/((B_Drainage!$A$5:$A$204&lt;&gt;"")*(B_Drainage!$A$5:$A$204&lt;=$B156)*(B_Drainage!$B$5:$B$204&gt;$B156)*(B_Drainage!$N$5:$N$204&lt;&gt;"")),IF(UPPER(B_Drainage!$N$5:$N$204)="Y",1,"")),"")</f>
        <v/>
      </c>
      <c r="AH156" s="181" t="str">
        <f t="shared" si="16"/>
        <v/>
      </c>
      <c r="AI156" s="181" t="str">
        <f t="shared" si="17"/>
        <v/>
      </c>
      <c r="AJ156" s="181" t="str">
        <f t="shared" si="18"/>
        <v/>
      </c>
      <c r="AK156" s="181" t="str">
        <f t="shared" si="19"/>
        <v/>
      </c>
      <c r="AL156" s="181" t="str">
        <f t="shared" si="20"/>
        <v/>
      </c>
      <c r="AM156" s="181" t="str">
        <f t="shared" si="21"/>
        <v/>
      </c>
      <c r="AN156" s="181" t="str">
        <f t="shared" si="22"/>
        <v/>
      </c>
      <c r="AO156" s="192" t="str">
        <f t="shared" si="23"/>
        <v/>
      </c>
      <c r="AQ156" t="str">
        <f>IFERROR(LOOKUP(2,1/((C_Pavement!$A$5:$A$204&lt;&gt;"")*(C_Pavement!$A$5:$A$204&lt;=$B156)*(C_Pavement!$B$5:$B$204&gt;$B156)*(C_Pavement!$C$5:$C$204&lt;&gt;"")),ROW(C_Pavement!$C$5:$C$204)-4),"")</f>
        <v/>
      </c>
      <c r="AR156" t="str">
        <f>IF($AQ156="","",UPPER(TRIM(INDEX(C_Pavement!$C$5:$C$204,$AQ156))))</f>
        <v/>
      </c>
      <c r="AS156" t="str">
        <f>IF($AR156="","",IFERROR(MATCH($AR156,E_Rules!$A$5:$A$9,0),""))</f>
        <v/>
      </c>
      <c r="AT156" t="str">
        <f>IF($AQ156="","",IF(INDEX(C_Pavement!$D$5:$D$204,$AQ156)&lt;&gt;"",UPPER(TRIM(INDEX(C_Pavement!$D$5:$D$204,$AQ156))),IF($AS156="","",INDEX(E_Rules!$C$5:$C$9,$AS156))))</f>
        <v/>
      </c>
      <c r="AU156" t="str">
        <f>IF($AQ156="","",IF(INDEX(C_Pavement!$E$5:$E$204,$AQ156)&lt;&gt;"",IF(INDEX(C_Pavement!$E$5:$E$204,$AQ156)="-","",INDEX(C_Pavement!$E$5:$E$204,$AQ156)),IF($AS156="","",INDEX(E_Rules!$D$5:$D$9,$AS156))))</f>
        <v/>
      </c>
      <c r="AV156" t="str">
        <f>IF($AQ156="","",IF(INDEX(C_Pavement!$F$5:$F$204,$AQ156)&lt;&gt;"",IF(INDEX(C_Pavement!$F$5:$F$204,$AQ156)="-","",INDEX(C_Pavement!$F$5:$F$204,$AQ156)),IF($AS156="","",INDEX(E_Rules!$E$5:$E$9,$AS156))))</f>
        <v/>
      </c>
      <c r="AW156" t="str">
        <f>IF($AQ156="","",IF(INDEX(C_Pavement!$G$5:$G$204,$AQ156)&lt;&gt;"",IF(INDEX(C_Pavement!$G$5:$G$204,$AQ156)="-","",INDEX(C_Pavement!$G$5:$G$204,$AQ156)),IF($AS156="","",INDEX(E_Rules!$F$5:$F$9,$AS156))))</f>
        <v/>
      </c>
      <c r="AX156" t="str">
        <f>IF($AQ156="","",IF(INDEX(C_Pavement!$H$5:$H$204,$AQ156)&lt;&gt;"",IF(INDEX(C_Pavement!$H$5:$H$204,$AQ156)="-","",INDEX(C_Pavement!$H$5:$H$204,$AQ156)),IF($AS156="","",INDEX(E_Rules!$G$5:$G$9,$AS156))))</f>
        <v/>
      </c>
      <c r="AY156" t="str">
        <f>IF($AQ156="","",IF(INDEX(C_Pavement!$I$5:$I$204,$AQ156)&lt;&gt;"",IF(INDEX(C_Pavement!$I$5:$I$204,$AQ156)="-","",INDEX(C_Pavement!$I$5:$I$204,$AQ156)),IF($AS156="","",INDEX(E_Rules!$H$5:$H$9,$AS156))))</f>
        <v/>
      </c>
    </row>
    <row r="157" spans="1:51" ht="15.75" customHeight="1" x14ac:dyDescent="0.3">
      <c r="A157" s="189">
        <v>152</v>
      </c>
      <c r="B157" s="180">
        <v>7550</v>
      </c>
      <c r="C157" s="180" t="s">
        <v>463</v>
      </c>
      <c r="D157" s="181" t="str">
        <f>IFERROR(LOOKUP(2,1/((A_Corridor!$A$5:$A$204&lt;&gt;"")*(A_Corridor!$A$5:$A$204&lt;=$B157)*(A_Corridor!$B$5:$B$204&gt;$B157)*(A_Corridor!$C$5:$C$204&lt;&gt;"")),IF(UPPER(A_Corridor!$C$5:$C$204)="Y",1,"")),"")</f>
        <v/>
      </c>
      <c r="E157" s="181" t="str">
        <f>IFERROR(LOOKUP(2,1/((A_Corridor!$A$5:$A$204&lt;&gt;"")*(A_Corridor!$A$5:$A$204&lt;=$B157)*(A_Corridor!$B$5:$B$204&gt;$B157)*(A_Corridor!$D$5:$D$204&lt;&gt;"")),IF(A_Corridor!$D$5:$D$204="-","",UPPER(A_Corridor!$D$5:$D$204))),"")</f>
        <v/>
      </c>
      <c r="F157" s="181" t="str">
        <f>IFERROR(LOOKUP(2,1/((A_Corridor!$A$5:$A$204&lt;&gt;"")*(A_Corridor!$A$5:$A$204&lt;=$B157)*(A_Corridor!$B$5:$B$204&gt;$B157)*(A_Corridor!$E$5:$E$204&lt;&gt;"")),IF(A_Corridor!$E$5:$E$204="-","",1)),"")</f>
        <v/>
      </c>
      <c r="G157" s="182" t="str">
        <f>IFERROR(LOOKUP(2,1/((A_Corridor!$A$5:$A$204&lt;&gt;"")*(A_Corridor!$A$5:$A$204&lt;=$B157)*(A_Corridor!$B$5:$B$204&gt;$B157)*(A_Corridor!$E$5:$E$204&lt;&gt;"")),IF(A_Corridor!$E$5:$E$204="-","",A_Corridor!$E$5:$E$204)),"")</f>
        <v/>
      </c>
      <c r="H157" s="182" t="str">
        <f>IFERROR(LOOKUP(2,1/((D_Points!$A$5:$A$204&lt;&gt;"")*(D_Points!$A$5:$A$204&gt;=$B157)*(D_Points!$A$5:$A$204&lt;$B157+P_Interval)*(UPPER(TRIM(D_Points!$B$5:$B$204))="GULLY")*(D_Points!$H$5:$H$204&lt;&gt;"")),D_Points!$H$5:$H$204),"")</f>
        <v/>
      </c>
      <c r="I157" s="181" t="str">
        <f>IFERROR(LOOKUP(2,1/((A_Corridor!$A$5:$A$204&lt;&gt;"")*(A_Corridor!$A$5:$A$204&lt;=$B157)*(A_Corridor!$B$5:$B$204&gt;$B157)*(A_Corridor!$F$5:$F$204&lt;&gt;"")),IF(A_Corridor!$F$5:$F$204="-","",1)),"")</f>
        <v/>
      </c>
      <c r="J157" s="182" t="str">
        <f>IFERROR(LOOKUP(2,1/((A_Corridor!$A$5:$A$204&lt;&gt;"")*(A_Corridor!$A$5:$A$204&lt;=$B157)*(A_Corridor!$B$5:$B$204&gt;$B157)*(A_Corridor!$F$5:$F$204&lt;&gt;"")),IF(A_Corridor!$F$5:$F$204="-","",A_Corridor!$F$5:$F$204)),"")</f>
        <v/>
      </c>
      <c r="K157" s="182" t="str">
        <f>IFERROR(LOOKUP(2,1/((A_Corridor!$A$5:$A$204&lt;&gt;"")*(A_Corridor!$A$5:$A$204&lt;=$B157)*(A_Corridor!$B$5:$B$204&gt;$B157)*(A_Corridor!$G$5:$G$204&lt;&gt;"")),IF(A_Corridor!$G$5:$G$204="-","",A_Corridor!$G$5:$G$204)),"")</f>
        <v/>
      </c>
      <c r="L157" s="181" t="str">
        <f>IFERROR(LOOKUP(2,1/((A_Corridor!$A$5:$A$204&lt;&gt;"")*(A_Corridor!$A$5:$A$204&lt;=$B157)*(A_Corridor!$B$5:$B$204&gt;$B157)*(A_Corridor!$H$5:$H$204&lt;&gt;"")),IF(A_Corridor!$H$5:$H$204="-","",1)),"")</f>
        <v/>
      </c>
      <c r="M157" s="182" t="str">
        <f>IFERROR(LOOKUP(2,1/((A_Corridor!$A$5:$A$204&lt;&gt;"")*(A_Corridor!$A$5:$A$204&lt;=$B157)*(A_Corridor!$B$5:$B$204&gt;$B157)*(A_Corridor!$H$5:$H$204&lt;&gt;"")),IF(A_Corridor!$H$5:$H$204="-","",A_Corridor!$H$5:$H$204)),"")</f>
        <v/>
      </c>
      <c r="N157" s="182" t="str">
        <f>IFERROR(LOOKUP(2,1/((A_Corridor!$A$5:$A$204&lt;&gt;"")*(A_Corridor!$A$5:$A$204&lt;=$B157)*(A_Corridor!$B$5:$B$204&gt;$B157)*(A_Corridor!$I$5:$I$204&lt;&gt;"")),IF(A_Corridor!$I$5:$I$204="-","",A_Corridor!$I$5:$I$204)),"")</f>
        <v/>
      </c>
      <c r="O157" s="182" t="str">
        <f>IFERROR(LOOKUP(2,1/((D_Points!$A$5:$A$204&lt;&gt;"")*(D_Points!$A$5:$A$204&gt;=$B157)*(D_Points!$A$5:$A$204&lt;$B157+P_Interval)*(UPPER(TRIM(D_Points!$B$5:$B$204))="PITCHING")*(D_Points!$H$5:$H$204&lt;&gt;"")),D_Points!$H$5:$H$204),"")</f>
        <v/>
      </c>
      <c r="P157" s="181" t="str">
        <f>IFERROR(LOOKUP(2,1/((B_Drainage!$A$5:$A$204&lt;&gt;"")*(B_Drainage!$A$5:$A$204&lt;=$B157)*(B_Drainage!$B$5:$B$204&gt;$B157)*(B_Drainage!$C$5:$C$204&lt;&gt;"")),IF(B_Drainage!$C$5:$C$204="-","",UPPER(B_Drainage!$C$5:$C$204))),"")</f>
        <v/>
      </c>
      <c r="Q157" s="181" t="str">
        <f>IFERROR(LOOKUP(2,1/((B_Drainage!$A$5:$A$204&lt;&gt;"")*(B_Drainage!$A$5:$A$204&lt;=$B157)*(B_Drainage!$B$5:$B$204&gt;$B157)*(B_Drainage!$D$5:$D$204&lt;&gt;"")),IF(B_Drainage!$D$5:$D$204="-","",UPPER(B_Drainage!$D$5:$D$204))),"")</f>
        <v/>
      </c>
      <c r="R157" s="182" t="str">
        <f>IFERROR(LOOKUP(2,1/((D_Points!$A$5:$A$204&lt;&gt;"")*(D_Points!$A$5:$A$204&gt;=$B157)*(D_Points!$A$5:$A$204&lt;$B157+P_Interval)*(RIGHT(UPPER(TRIM(D_Points!$B$5:$B$204)),8)="_CULVERT")),IF(LEFT(UPPER(TRIM(D_Points!$B$5:$B$204)),2)="EX",1,IF(LEFT(UPPER(TRIM(D_Points!$B$5:$B$204)),2)="PR",2,3))),"")</f>
        <v/>
      </c>
      <c r="S157" s="182" t="str">
        <f>IFERROR(LOOKUP(2,1/((D_Points!$A$5:$A$204&lt;&gt;"")*(D_Points!$A$5:$A$204&gt;=$B157)*(D_Points!$A$5:$A$204&lt;$B157+P_Interval)*(RIGHT(UPPER(TRIM(D_Points!$B$5:$B$204)),7)="_BRIDGE")),IF(LEFT(UPPER(TRIM(D_Points!$B$5:$B$204)),2)="EX",1,IF(LEFT(UPPER(TRIM(D_Points!$B$5:$B$204)),2)="PR",2,2))),"")</f>
        <v/>
      </c>
      <c r="T157" s="181" t="str">
        <f>IFERROR(LOOKUP(2,1/((B_Drainage!$A$5:$A$204&lt;&gt;"")*(B_Drainage!$A$5:$A$204&lt;=$B157)*(B_Drainage!$B$5:$B$204&gt;$B157)*(B_Drainage!$E$5:$E$204&lt;&gt;"")),IF(B_Drainage!$E$5:$E$204="-","",1)),"")</f>
        <v/>
      </c>
      <c r="U157" s="181" t="str">
        <f>IFERROR(LOOKUP(2,1/((B_Drainage!$A$5:$A$204&lt;&gt;"")*(B_Drainage!$A$5:$A$204&lt;=$B157)*(B_Drainage!$B$5:$B$204&gt;$B157)*(B_Drainage!$E$5:$E$204&lt;&gt;"")),IF(B_Drainage!$E$5:$E$204="-","",B_Drainage!$E$5:$E$204)),"")</f>
        <v/>
      </c>
      <c r="V157" s="181" t="str">
        <f>IFERROR(LOOKUP(2,1/((B_Drainage!$A$5:$A$204&lt;&gt;"")*(B_Drainage!$A$5:$A$204&lt;=$B157)*(B_Drainage!$B$5:$B$204&gt;$B157)*(B_Drainage!$F$5:$F$204&lt;&gt;"")),IF(B_Drainage!$F$5:$F$204="-","",1)),"")</f>
        <v/>
      </c>
      <c r="W157" s="181" t="str">
        <f>IFERROR(LOOKUP(2,1/((B_Drainage!$A$5:$A$204&lt;&gt;"")*(B_Drainage!$A$5:$A$204&lt;=$B157)*(B_Drainage!$B$5:$B$204&gt;$B157)*(B_Drainage!$F$5:$F$204&lt;&gt;"")),IF(B_Drainage!$F$5:$F$204="-","",B_Drainage!$F$5:$F$204)),"")</f>
        <v/>
      </c>
      <c r="X157" s="181" t="str">
        <f>IFERROR(LOOKUP(2,1/((B_Drainage!$A$5:$A$204&lt;&gt;"")*(B_Drainage!$A$5:$A$204&lt;=$B157)*(B_Drainage!$B$5:$B$204&gt;$B157)*(B_Drainage!$G$5:$G$204&lt;&gt;"")),IF(UPPER(B_Drainage!$G$5:$G$204)="Y",1,"")),"")</f>
        <v/>
      </c>
      <c r="Y157" s="181" t="str">
        <f>IFERROR(LOOKUP(2,1/((B_Drainage!$A$5:$A$204&lt;&gt;"")*(B_Drainage!$A$5:$A$204&lt;=$B157)*(B_Drainage!$B$5:$B$204&gt;$B157)*(B_Drainage!$H$5:$H$204&lt;&gt;"")),IF(UPPER(B_Drainage!$H$5:$H$204)="Y",1,"")),"")</f>
        <v/>
      </c>
      <c r="Z157" s="181" t="str">
        <f>IFERROR(LOOKUP(2,1/((B_Drainage!$A$5:$A$204&lt;&gt;"")*(B_Drainage!$A$5:$A$204&lt;=$B157)*(B_Drainage!$B$5:$B$204&gt;$B157)*(B_Drainage!$I$5:$I$204&lt;&gt;"")),IF(UPPER(B_Drainage!$I$5:$I$204)="Y",1,"")),"")</f>
        <v/>
      </c>
      <c r="AA157" s="181" t="str">
        <f>IFERROR(LOOKUP(2,1/((B_Drainage!$A$5:$A$204&lt;&gt;"")*(B_Drainage!$A$5:$A$204&lt;=$B157)*(B_Drainage!$B$5:$B$204&gt;$B157)*(B_Drainage!$J$5:$J$204&lt;&gt;"")),IF(UPPER(B_Drainage!$J$5:$J$204)="Y",1,"")),"")</f>
        <v/>
      </c>
      <c r="AB157" s="182" t="str">
        <f>IFERROR(LOOKUP(2,1/((B_Drainage!$A$5:$A$204&lt;&gt;"")*(B_Drainage!$A$5:$A$204&lt;=$B157)*(B_Drainage!$B$5:$B$204&gt;$B157)*(B_Drainage!$K$5:$K$204&lt;&gt;"")),IF(B_Drainage!$K$5:$K$204="-","",B_Drainage!$K$5:$K$204)),"")</f>
        <v/>
      </c>
      <c r="AC157" s="182" t="str">
        <f>IFERROR(LOOKUP(2,1/((B_Drainage!$A$5:$A$204&lt;&gt;"")*(B_Drainage!$A$5:$A$204&lt;=$B157)*(B_Drainage!$B$5:$B$204&gt;$B157)*(B_Drainage!$L$5:$L$204&lt;&gt;"")),IF(B_Drainage!$L$5:$L$204="-","",B_Drainage!$L$5:$L$204)),"")</f>
        <v/>
      </c>
      <c r="AD157" s="182" t="str">
        <f>IFERROR(LOOKUP(2,1/((D_Points!$A$5:$A$204&lt;&gt;"")*(D_Points!$A$5:$A$204&gt;=$B157)*(D_Points!$A$5:$A$204&lt;$B157+P_Interval)*(UPPER(TRIM(D_Points!$B$5:$B$204))="TURNOUT_L")*(D_Points!$H$5:$H$204&lt;&gt;"")),D_Points!$H$5:$H$204),"")</f>
        <v/>
      </c>
      <c r="AE157" s="182" t="str">
        <f>IFERROR(LOOKUP(2,1/((D_Points!$A$5:$A$204&lt;&gt;"")*(D_Points!$A$5:$A$204&gt;=$B157)*(D_Points!$A$5:$A$204&lt;$B157+P_Interval)*(UPPER(TRIM(D_Points!$B$5:$B$204))="TURNOUT_R")*(D_Points!$H$5:$H$204&lt;&gt;"")),D_Points!$H$5:$H$204),"")</f>
        <v/>
      </c>
      <c r="AF157" s="181" t="str">
        <f>IFERROR(LOOKUP(2,1/((B_Drainage!$A$5:$A$204&lt;&gt;"")*(B_Drainage!$A$5:$A$204&lt;=$B157)*(B_Drainage!$B$5:$B$204&gt;$B157)*(B_Drainage!$M$5:$M$204&lt;&gt;"")),IF(UPPER(B_Drainage!$M$5:$M$204)="Y",1,"")),"")</f>
        <v/>
      </c>
      <c r="AG157" s="181" t="str">
        <f>IFERROR(LOOKUP(2,1/((B_Drainage!$A$5:$A$204&lt;&gt;"")*(B_Drainage!$A$5:$A$204&lt;=$B157)*(B_Drainage!$B$5:$B$204&gt;$B157)*(B_Drainage!$N$5:$N$204&lt;&gt;"")),IF(UPPER(B_Drainage!$N$5:$N$204)="Y",1,"")),"")</f>
        <v/>
      </c>
      <c r="AH157" s="181" t="str">
        <f t="shared" si="16"/>
        <v/>
      </c>
      <c r="AI157" s="181" t="str">
        <f t="shared" si="17"/>
        <v/>
      </c>
      <c r="AJ157" s="181" t="str">
        <f t="shared" si="18"/>
        <v/>
      </c>
      <c r="AK157" s="181" t="str">
        <f t="shared" si="19"/>
        <v/>
      </c>
      <c r="AL157" s="181" t="str">
        <f t="shared" si="20"/>
        <v/>
      </c>
      <c r="AM157" s="181" t="str">
        <f t="shared" si="21"/>
        <v/>
      </c>
      <c r="AN157" s="181" t="str">
        <f t="shared" si="22"/>
        <v/>
      </c>
      <c r="AO157" s="192" t="str">
        <f t="shared" si="23"/>
        <v/>
      </c>
      <c r="AQ157" t="str">
        <f>IFERROR(LOOKUP(2,1/((C_Pavement!$A$5:$A$204&lt;&gt;"")*(C_Pavement!$A$5:$A$204&lt;=$B157)*(C_Pavement!$B$5:$B$204&gt;$B157)*(C_Pavement!$C$5:$C$204&lt;&gt;"")),ROW(C_Pavement!$C$5:$C$204)-4),"")</f>
        <v/>
      </c>
      <c r="AR157" t="str">
        <f>IF($AQ157="","",UPPER(TRIM(INDEX(C_Pavement!$C$5:$C$204,$AQ157))))</f>
        <v/>
      </c>
      <c r="AS157" t="str">
        <f>IF($AR157="","",IFERROR(MATCH($AR157,E_Rules!$A$5:$A$9,0),""))</f>
        <v/>
      </c>
      <c r="AT157" t="str">
        <f>IF($AQ157="","",IF(INDEX(C_Pavement!$D$5:$D$204,$AQ157)&lt;&gt;"",UPPER(TRIM(INDEX(C_Pavement!$D$5:$D$204,$AQ157))),IF($AS157="","",INDEX(E_Rules!$C$5:$C$9,$AS157))))</f>
        <v/>
      </c>
      <c r="AU157" t="str">
        <f>IF($AQ157="","",IF(INDEX(C_Pavement!$E$5:$E$204,$AQ157)&lt;&gt;"",IF(INDEX(C_Pavement!$E$5:$E$204,$AQ157)="-","",INDEX(C_Pavement!$E$5:$E$204,$AQ157)),IF($AS157="","",INDEX(E_Rules!$D$5:$D$9,$AS157))))</f>
        <v/>
      </c>
      <c r="AV157" t="str">
        <f>IF($AQ157="","",IF(INDEX(C_Pavement!$F$5:$F$204,$AQ157)&lt;&gt;"",IF(INDEX(C_Pavement!$F$5:$F$204,$AQ157)="-","",INDEX(C_Pavement!$F$5:$F$204,$AQ157)),IF($AS157="","",INDEX(E_Rules!$E$5:$E$9,$AS157))))</f>
        <v/>
      </c>
      <c r="AW157" t="str">
        <f>IF($AQ157="","",IF(INDEX(C_Pavement!$G$5:$G$204,$AQ157)&lt;&gt;"",IF(INDEX(C_Pavement!$G$5:$G$204,$AQ157)="-","",INDEX(C_Pavement!$G$5:$G$204,$AQ157)),IF($AS157="","",INDEX(E_Rules!$F$5:$F$9,$AS157))))</f>
        <v/>
      </c>
      <c r="AX157" t="str">
        <f>IF($AQ157="","",IF(INDEX(C_Pavement!$H$5:$H$204,$AQ157)&lt;&gt;"",IF(INDEX(C_Pavement!$H$5:$H$204,$AQ157)="-","",INDEX(C_Pavement!$H$5:$H$204,$AQ157)),IF($AS157="","",INDEX(E_Rules!$G$5:$G$9,$AS157))))</f>
        <v/>
      </c>
      <c r="AY157" t="str">
        <f>IF($AQ157="","",IF(INDEX(C_Pavement!$I$5:$I$204,$AQ157)&lt;&gt;"",IF(INDEX(C_Pavement!$I$5:$I$204,$AQ157)="-","",INDEX(C_Pavement!$I$5:$I$204,$AQ157)),IF($AS157="","",INDEX(E_Rules!$H$5:$H$9,$AS157))))</f>
        <v/>
      </c>
    </row>
    <row r="158" spans="1:51" ht="15.75" customHeight="1" x14ac:dyDescent="0.3">
      <c r="A158" s="189">
        <v>153</v>
      </c>
      <c r="B158" s="180">
        <v>7600</v>
      </c>
      <c r="C158" s="180" t="s">
        <v>464</v>
      </c>
      <c r="D158" s="181" t="str">
        <f>IFERROR(LOOKUP(2,1/((A_Corridor!$A$5:$A$204&lt;&gt;"")*(A_Corridor!$A$5:$A$204&lt;=$B158)*(A_Corridor!$B$5:$B$204&gt;$B158)*(A_Corridor!$C$5:$C$204&lt;&gt;"")),IF(UPPER(A_Corridor!$C$5:$C$204)="Y",1,"")),"")</f>
        <v/>
      </c>
      <c r="E158" s="181" t="str">
        <f>IFERROR(LOOKUP(2,1/((A_Corridor!$A$5:$A$204&lt;&gt;"")*(A_Corridor!$A$5:$A$204&lt;=$B158)*(A_Corridor!$B$5:$B$204&gt;$B158)*(A_Corridor!$D$5:$D$204&lt;&gt;"")),IF(A_Corridor!$D$5:$D$204="-","",UPPER(A_Corridor!$D$5:$D$204))),"")</f>
        <v/>
      </c>
      <c r="F158" s="181" t="str">
        <f>IFERROR(LOOKUP(2,1/((A_Corridor!$A$5:$A$204&lt;&gt;"")*(A_Corridor!$A$5:$A$204&lt;=$B158)*(A_Corridor!$B$5:$B$204&gt;$B158)*(A_Corridor!$E$5:$E$204&lt;&gt;"")),IF(A_Corridor!$E$5:$E$204="-","",1)),"")</f>
        <v/>
      </c>
      <c r="G158" s="182" t="str">
        <f>IFERROR(LOOKUP(2,1/((A_Corridor!$A$5:$A$204&lt;&gt;"")*(A_Corridor!$A$5:$A$204&lt;=$B158)*(A_Corridor!$B$5:$B$204&gt;$B158)*(A_Corridor!$E$5:$E$204&lt;&gt;"")),IF(A_Corridor!$E$5:$E$204="-","",A_Corridor!$E$5:$E$204)),"")</f>
        <v/>
      </c>
      <c r="H158" s="182" t="str">
        <f>IFERROR(LOOKUP(2,1/((D_Points!$A$5:$A$204&lt;&gt;"")*(D_Points!$A$5:$A$204&gt;=$B158)*(D_Points!$A$5:$A$204&lt;$B158+P_Interval)*(UPPER(TRIM(D_Points!$B$5:$B$204))="GULLY")*(D_Points!$H$5:$H$204&lt;&gt;"")),D_Points!$H$5:$H$204),"")</f>
        <v/>
      </c>
      <c r="I158" s="181" t="str">
        <f>IFERROR(LOOKUP(2,1/((A_Corridor!$A$5:$A$204&lt;&gt;"")*(A_Corridor!$A$5:$A$204&lt;=$B158)*(A_Corridor!$B$5:$B$204&gt;$B158)*(A_Corridor!$F$5:$F$204&lt;&gt;"")),IF(A_Corridor!$F$5:$F$204="-","",1)),"")</f>
        <v/>
      </c>
      <c r="J158" s="182" t="str">
        <f>IFERROR(LOOKUP(2,1/((A_Corridor!$A$5:$A$204&lt;&gt;"")*(A_Corridor!$A$5:$A$204&lt;=$B158)*(A_Corridor!$B$5:$B$204&gt;$B158)*(A_Corridor!$F$5:$F$204&lt;&gt;"")),IF(A_Corridor!$F$5:$F$204="-","",A_Corridor!$F$5:$F$204)),"")</f>
        <v/>
      </c>
      <c r="K158" s="182" t="str">
        <f>IFERROR(LOOKUP(2,1/((A_Corridor!$A$5:$A$204&lt;&gt;"")*(A_Corridor!$A$5:$A$204&lt;=$B158)*(A_Corridor!$B$5:$B$204&gt;$B158)*(A_Corridor!$G$5:$G$204&lt;&gt;"")),IF(A_Corridor!$G$5:$G$204="-","",A_Corridor!$G$5:$G$204)),"")</f>
        <v/>
      </c>
      <c r="L158" s="181" t="str">
        <f>IFERROR(LOOKUP(2,1/((A_Corridor!$A$5:$A$204&lt;&gt;"")*(A_Corridor!$A$5:$A$204&lt;=$B158)*(A_Corridor!$B$5:$B$204&gt;$B158)*(A_Corridor!$H$5:$H$204&lt;&gt;"")),IF(A_Corridor!$H$5:$H$204="-","",1)),"")</f>
        <v/>
      </c>
      <c r="M158" s="182" t="str">
        <f>IFERROR(LOOKUP(2,1/((A_Corridor!$A$5:$A$204&lt;&gt;"")*(A_Corridor!$A$5:$A$204&lt;=$B158)*(A_Corridor!$B$5:$B$204&gt;$B158)*(A_Corridor!$H$5:$H$204&lt;&gt;"")),IF(A_Corridor!$H$5:$H$204="-","",A_Corridor!$H$5:$H$204)),"")</f>
        <v/>
      </c>
      <c r="N158" s="182" t="str">
        <f>IFERROR(LOOKUP(2,1/((A_Corridor!$A$5:$A$204&lt;&gt;"")*(A_Corridor!$A$5:$A$204&lt;=$B158)*(A_Corridor!$B$5:$B$204&gt;$B158)*(A_Corridor!$I$5:$I$204&lt;&gt;"")),IF(A_Corridor!$I$5:$I$204="-","",A_Corridor!$I$5:$I$204)),"")</f>
        <v/>
      </c>
      <c r="O158" s="182" t="str">
        <f>IFERROR(LOOKUP(2,1/((D_Points!$A$5:$A$204&lt;&gt;"")*(D_Points!$A$5:$A$204&gt;=$B158)*(D_Points!$A$5:$A$204&lt;$B158+P_Interval)*(UPPER(TRIM(D_Points!$B$5:$B$204))="PITCHING")*(D_Points!$H$5:$H$204&lt;&gt;"")),D_Points!$H$5:$H$204),"")</f>
        <v/>
      </c>
      <c r="P158" s="181" t="str">
        <f>IFERROR(LOOKUP(2,1/((B_Drainage!$A$5:$A$204&lt;&gt;"")*(B_Drainage!$A$5:$A$204&lt;=$B158)*(B_Drainage!$B$5:$B$204&gt;$B158)*(B_Drainage!$C$5:$C$204&lt;&gt;"")),IF(B_Drainage!$C$5:$C$204="-","",UPPER(B_Drainage!$C$5:$C$204))),"")</f>
        <v/>
      </c>
      <c r="Q158" s="181" t="str">
        <f>IFERROR(LOOKUP(2,1/((B_Drainage!$A$5:$A$204&lt;&gt;"")*(B_Drainage!$A$5:$A$204&lt;=$B158)*(B_Drainage!$B$5:$B$204&gt;$B158)*(B_Drainage!$D$5:$D$204&lt;&gt;"")),IF(B_Drainage!$D$5:$D$204="-","",UPPER(B_Drainage!$D$5:$D$204))),"")</f>
        <v/>
      </c>
      <c r="R158" s="182" t="str">
        <f>IFERROR(LOOKUP(2,1/((D_Points!$A$5:$A$204&lt;&gt;"")*(D_Points!$A$5:$A$204&gt;=$B158)*(D_Points!$A$5:$A$204&lt;$B158+P_Interval)*(RIGHT(UPPER(TRIM(D_Points!$B$5:$B$204)),8)="_CULVERT")),IF(LEFT(UPPER(TRIM(D_Points!$B$5:$B$204)),2)="EX",1,IF(LEFT(UPPER(TRIM(D_Points!$B$5:$B$204)),2)="PR",2,3))),"")</f>
        <v/>
      </c>
      <c r="S158" s="182" t="str">
        <f>IFERROR(LOOKUP(2,1/((D_Points!$A$5:$A$204&lt;&gt;"")*(D_Points!$A$5:$A$204&gt;=$B158)*(D_Points!$A$5:$A$204&lt;$B158+P_Interval)*(RIGHT(UPPER(TRIM(D_Points!$B$5:$B$204)),7)="_BRIDGE")),IF(LEFT(UPPER(TRIM(D_Points!$B$5:$B$204)),2)="EX",1,IF(LEFT(UPPER(TRIM(D_Points!$B$5:$B$204)),2)="PR",2,2))),"")</f>
        <v/>
      </c>
      <c r="T158" s="181" t="str">
        <f>IFERROR(LOOKUP(2,1/((B_Drainage!$A$5:$A$204&lt;&gt;"")*(B_Drainage!$A$5:$A$204&lt;=$B158)*(B_Drainage!$B$5:$B$204&gt;$B158)*(B_Drainage!$E$5:$E$204&lt;&gt;"")),IF(B_Drainage!$E$5:$E$204="-","",1)),"")</f>
        <v/>
      </c>
      <c r="U158" s="181" t="str">
        <f>IFERROR(LOOKUP(2,1/((B_Drainage!$A$5:$A$204&lt;&gt;"")*(B_Drainage!$A$5:$A$204&lt;=$B158)*(B_Drainage!$B$5:$B$204&gt;$B158)*(B_Drainage!$E$5:$E$204&lt;&gt;"")),IF(B_Drainage!$E$5:$E$204="-","",B_Drainage!$E$5:$E$204)),"")</f>
        <v/>
      </c>
      <c r="V158" s="181" t="str">
        <f>IFERROR(LOOKUP(2,1/((B_Drainage!$A$5:$A$204&lt;&gt;"")*(B_Drainage!$A$5:$A$204&lt;=$B158)*(B_Drainage!$B$5:$B$204&gt;$B158)*(B_Drainage!$F$5:$F$204&lt;&gt;"")),IF(B_Drainage!$F$5:$F$204="-","",1)),"")</f>
        <v/>
      </c>
      <c r="W158" s="181" t="str">
        <f>IFERROR(LOOKUP(2,1/((B_Drainage!$A$5:$A$204&lt;&gt;"")*(B_Drainage!$A$5:$A$204&lt;=$B158)*(B_Drainage!$B$5:$B$204&gt;$B158)*(B_Drainage!$F$5:$F$204&lt;&gt;"")),IF(B_Drainage!$F$5:$F$204="-","",B_Drainage!$F$5:$F$204)),"")</f>
        <v/>
      </c>
      <c r="X158" s="181" t="str">
        <f>IFERROR(LOOKUP(2,1/((B_Drainage!$A$5:$A$204&lt;&gt;"")*(B_Drainage!$A$5:$A$204&lt;=$B158)*(B_Drainage!$B$5:$B$204&gt;$B158)*(B_Drainage!$G$5:$G$204&lt;&gt;"")),IF(UPPER(B_Drainage!$G$5:$G$204)="Y",1,"")),"")</f>
        <v/>
      </c>
      <c r="Y158" s="181" t="str">
        <f>IFERROR(LOOKUP(2,1/((B_Drainage!$A$5:$A$204&lt;&gt;"")*(B_Drainage!$A$5:$A$204&lt;=$B158)*(B_Drainage!$B$5:$B$204&gt;$B158)*(B_Drainage!$H$5:$H$204&lt;&gt;"")),IF(UPPER(B_Drainage!$H$5:$H$204)="Y",1,"")),"")</f>
        <v/>
      </c>
      <c r="Z158" s="181" t="str">
        <f>IFERROR(LOOKUP(2,1/((B_Drainage!$A$5:$A$204&lt;&gt;"")*(B_Drainage!$A$5:$A$204&lt;=$B158)*(B_Drainage!$B$5:$B$204&gt;$B158)*(B_Drainage!$I$5:$I$204&lt;&gt;"")),IF(UPPER(B_Drainage!$I$5:$I$204)="Y",1,"")),"")</f>
        <v/>
      </c>
      <c r="AA158" s="181" t="str">
        <f>IFERROR(LOOKUP(2,1/((B_Drainage!$A$5:$A$204&lt;&gt;"")*(B_Drainage!$A$5:$A$204&lt;=$B158)*(B_Drainage!$B$5:$B$204&gt;$B158)*(B_Drainage!$J$5:$J$204&lt;&gt;"")),IF(UPPER(B_Drainage!$J$5:$J$204)="Y",1,"")),"")</f>
        <v/>
      </c>
      <c r="AB158" s="182" t="str">
        <f>IFERROR(LOOKUP(2,1/((B_Drainage!$A$5:$A$204&lt;&gt;"")*(B_Drainage!$A$5:$A$204&lt;=$B158)*(B_Drainage!$B$5:$B$204&gt;$B158)*(B_Drainage!$K$5:$K$204&lt;&gt;"")),IF(B_Drainage!$K$5:$K$204="-","",B_Drainage!$K$5:$K$204)),"")</f>
        <v/>
      </c>
      <c r="AC158" s="182" t="str">
        <f>IFERROR(LOOKUP(2,1/((B_Drainage!$A$5:$A$204&lt;&gt;"")*(B_Drainage!$A$5:$A$204&lt;=$B158)*(B_Drainage!$B$5:$B$204&gt;$B158)*(B_Drainage!$L$5:$L$204&lt;&gt;"")),IF(B_Drainage!$L$5:$L$204="-","",B_Drainage!$L$5:$L$204)),"")</f>
        <v/>
      </c>
      <c r="AD158" s="182" t="str">
        <f>IFERROR(LOOKUP(2,1/((D_Points!$A$5:$A$204&lt;&gt;"")*(D_Points!$A$5:$A$204&gt;=$B158)*(D_Points!$A$5:$A$204&lt;$B158+P_Interval)*(UPPER(TRIM(D_Points!$B$5:$B$204))="TURNOUT_L")*(D_Points!$H$5:$H$204&lt;&gt;"")),D_Points!$H$5:$H$204),"")</f>
        <v/>
      </c>
      <c r="AE158" s="182" t="str">
        <f>IFERROR(LOOKUP(2,1/((D_Points!$A$5:$A$204&lt;&gt;"")*(D_Points!$A$5:$A$204&gt;=$B158)*(D_Points!$A$5:$A$204&lt;$B158+P_Interval)*(UPPER(TRIM(D_Points!$B$5:$B$204))="TURNOUT_R")*(D_Points!$H$5:$H$204&lt;&gt;"")),D_Points!$H$5:$H$204),"")</f>
        <v/>
      </c>
      <c r="AF158" s="181" t="str">
        <f>IFERROR(LOOKUP(2,1/((B_Drainage!$A$5:$A$204&lt;&gt;"")*(B_Drainage!$A$5:$A$204&lt;=$B158)*(B_Drainage!$B$5:$B$204&gt;$B158)*(B_Drainage!$M$5:$M$204&lt;&gt;"")),IF(UPPER(B_Drainage!$M$5:$M$204)="Y",1,"")),"")</f>
        <v/>
      </c>
      <c r="AG158" s="181" t="str">
        <f>IFERROR(LOOKUP(2,1/((B_Drainage!$A$5:$A$204&lt;&gt;"")*(B_Drainage!$A$5:$A$204&lt;=$B158)*(B_Drainage!$B$5:$B$204&gt;$B158)*(B_Drainage!$N$5:$N$204&lt;&gt;"")),IF(UPPER(B_Drainage!$N$5:$N$204)="Y",1,"")),"")</f>
        <v/>
      </c>
      <c r="AH158" s="181" t="str">
        <f t="shared" si="16"/>
        <v/>
      </c>
      <c r="AI158" s="181" t="str">
        <f t="shared" si="17"/>
        <v/>
      </c>
      <c r="AJ158" s="181" t="str">
        <f t="shared" si="18"/>
        <v/>
      </c>
      <c r="AK158" s="181" t="str">
        <f t="shared" si="19"/>
        <v/>
      </c>
      <c r="AL158" s="181" t="str">
        <f t="shared" si="20"/>
        <v/>
      </c>
      <c r="AM158" s="181" t="str">
        <f t="shared" si="21"/>
        <v/>
      </c>
      <c r="AN158" s="181" t="str">
        <f t="shared" si="22"/>
        <v/>
      </c>
      <c r="AO158" s="192" t="str">
        <f t="shared" si="23"/>
        <v/>
      </c>
      <c r="AQ158" t="str">
        <f>IFERROR(LOOKUP(2,1/((C_Pavement!$A$5:$A$204&lt;&gt;"")*(C_Pavement!$A$5:$A$204&lt;=$B158)*(C_Pavement!$B$5:$B$204&gt;$B158)*(C_Pavement!$C$5:$C$204&lt;&gt;"")),ROW(C_Pavement!$C$5:$C$204)-4),"")</f>
        <v/>
      </c>
      <c r="AR158" t="str">
        <f>IF($AQ158="","",UPPER(TRIM(INDEX(C_Pavement!$C$5:$C$204,$AQ158))))</f>
        <v/>
      </c>
      <c r="AS158" t="str">
        <f>IF($AR158="","",IFERROR(MATCH($AR158,E_Rules!$A$5:$A$9,0),""))</f>
        <v/>
      </c>
      <c r="AT158" t="str">
        <f>IF($AQ158="","",IF(INDEX(C_Pavement!$D$5:$D$204,$AQ158)&lt;&gt;"",UPPER(TRIM(INDEX(C_Pavement!$D$5:$D$204,$AQ158))),IF($AS158="","",INDEX(E_Rules!$C$5:$C$9,$AS158))))</f>
        <v/>
      </c>
      <c r="AU158" t="str">
        <f>IF($AQ158="","",IF(INDEX(C_Pavement!$E$5:$E$204,$AQ158)&lt;&gt;"",IF(INDEX(C_Pavement!$E$5:$E$204,$AQ158)="-","",INDEX(C_Pavement!$E$5:$E$204,$AQ158)),IF($AS158="","",INDEX(E_Rules!$D$5:$D$9,$AS158))))</f>
        <v/>
      </c>
      <c r="AV158" t="str">
        <f>IF($AQ158="","",IF(INDEX(C_Pavement!$F$5:$F$204,$AQ158)&lt;&gt;"",IF(INDEX(C_Pavement!$F$5:$F$204,$AQ158)="-","",INDEX(C_Pavement!$F$5:$F$204,$AQ158)),IF($AS158="","",INDEX(E_Rules!$E$5:$E$9,$AS158))))</f>
        <v/>
      </c>
      <c r="AW158" t="str">
        <f>IF($AQ158="","",IF(INDEX(C_Pavement!$G$5:$G$204,$AQ158)&lt;&gt;"",IF(INDEX(C_Pavement!$G$5:$G$204,$AQ158)="-","",INDEX(C_Pavement!$G$5:$G$204,$AQ158)),IF($AS158="","",INDEX(E_Rules!$F$5:$F$9,$AS158))))</f>
        <v/>
      </c>
      <c r="AX158" t="str">
        <f>IF($AQ158="","",IF(INDEX(C_Pavement!$H$5:$H$204,$AQ158)&lt;&gt;"",IF(INDEX(C_Pavement!$H$5:$H$204,$AQ158)="-","",INDEX(C_Pavement!$H$5:$H$204,$AQ158)),IF($AS158="","",INDEX(E_Rules!$G$5:$G$9,$AS158))))</f>
        <v/>
      </c>
      <c r="AY158" t="str">
        <f>IF($AQ158="","",IF(INDEX(C_Pavement!$I$5:$I$204,$AQ158)&lt;&gt;"",IF(INDEX(C_Pavement!$I$5:$I$204,$AQ158)="-","",INDEX(C_Pavement!$I$5:$I$204,$AQ158)),IF($AS158="","",INDEX(E_Rules!$H$5:$H$9,$AS158))))</f>
        <v/>
      </c>
    </row>
    <row r="159" spans="1:51" ht="15.75" customHeight="1" x14ac:dyDescent="0.3">
      <c r="A159" s="189">
        <v>154</v>
      </c>
      <c r="B159" s="180">
        <v>7650</v>
      </c>
      <c r="C159" s="180" t="s">
        <v>465</v>
      </c>
      <c r="D159" s="181" t="str">
        <f>IFERROR(LOOKUP(2,1/((A_Corridor!$A$5:$A$204&lt;&gt;"")*(A_Corridor!$A$5:$A$204&lt;=$B159)*(A_Corridor!$B$5:$B$204&gt;$B159)*(A_Corridor!$C$5:$C$204&lt;&gt;"")),IF(UPPER(A_Corridor!$C$5:$C$204)="Y",1,"")),"")</f>
        <v/>
      </c>
      <c r="E159" s="181" t="str">
        <f>IFERROR(LOOKUP(2,1/((A_Corridor!$A$5:$A$204&lt;&gt;"")*(A_Corridor!$A$5:$A$204&lt;=$B159)*(A_Corridor!$B$5:$B$204&gt;$B159)*(A_Corridor!$D$5:$D$204&lt;&gt;"")),IF(A_Corridor!$D$5:$D$204="-","",UPPER(A_Corridor!$D$5:$D$204))),"")</f>
        <v/>
      </c>
      <c r="F159" s="181" t="str">
        <f>IFERROR(LOOKUP(2,1/((A_Corridor!$A$5:$A$204&lt;&gt;"")*(A_Corridor!$A$5:$A$204&lt;=$B159)*(A_Corridor!$B$5:$B$204&gt;$B159)*(A_Corridor!$E$5:$E$204&lt;&gt;"")),IF(A_Corridor!$E$5:$E$204="-","",1)),"")</f>
        <v/>
      </c>
      <c r="G159" s="182" t="str">
        <f>IFERROR(LOOKUP(2,1/((A_Corridor!$A$5:$A$204&lt;&gt;"")*(A_Corridor!$A$5:$A$204&lt;=$B159)*(A_Corridor!$B$5:$B$204&gt;$B159)*(A_Corridor!$E$5:$E$204&lt;&gt;"")),IF(A_Corridor!$E$5:$E$204="-","",A_Corridor!$E$5:$E$204)),"")</f>
        <v/>
      </c>
      <c r="H159" s="182" t="str">
        <f>IFERROR(LOOKUP(2,1/((D_Points!$A$5:$A$204&lt;&gt;"")*(D_Points!$A$5:$A$204&gt;=$B159)*(D_Points!$A$5:$A$204&lt;$B159+P_Interval)*(UPPER(TRIM(D_Points!$B$5:$B$204))="GULLY")*(D_Points!$H$5:$H$204&lt;&gt;"")),D_Points!$H$5:$H$204),"")</f>
        <v/>
      </c>
      <c r="I159" s="181" t="str">
        <f>IFERROR(LOOKUP(2,1/((A_Corridor!$A$5:$A$204&lt;&gt;"")*(A_Corridor!$A$5:$A$204&lt;=$B159)*(A_Corridor!$B$5:$B$204&gt;$B159)*(A_Corridor!$F$5:$F$204&lt;&gt;"")),IF(A_Corridor!$F$5:$F$204="-","",1)),"")</f>
        <v/>
      </c>
      <c r="J159" s="182" t="str">
        <f>IFERROR(LOOKUP(2,1/((A_Corridor!$A$5:$A$204&lt;&gt;"")*(A_Corridor!$A$5:$A$204&lt;=$B159)*(A_Corridor!$B$5:$B$204&gt;$B159)*(A_Corridor!$F$5:$F$204&lt;&gt;"")),IF(A_Corridor!$F$5:$F$204="-","",A_Corridor!$F$5:$F$204)),"")</f>
        <v/>
      </c>
      <c r="K159" s="182" t="str">
        <f>IFERROR(LOOKUP(2,1/((A_Corridor!$A$5:$A$204&lt;&gt;"")*(A_Corridor!$A$5:$A$204&lt;=$B159)*(A_Corridor!$B$5:$B$204&gt;$B159)*(A_Corridor!$G$5:$G$204&lt;&gt;"")),IF(A_Corridor!$G$5:$G$204="-","",A_Corridor!$G$5:$G$204)),"")</f>
        <v/>
      </c>
      <c r="L159" s="181" t="str">
        <f>IFERROR(LOOKUP(2,1/((A_Corridor!$A$5:$A$204&lt;&gt;"")*(A_Corridor!$A$5:$A$204&lt;=$B159)*(A_Corridor!$B$5:$B$204&gt;$B159)*(A_Corridor!$H$5:$H$204&lt;&gt;"")),IF(A_Corridor!$H$5:$H$204="-","",1)),"")</f>
        <v/>
      </c>
      <c r="M159" s="182" t="str">
        <f>IFERROR(LOOKUP(2,1/((A_Corridor!$A$5:$A$204&lt;&gt;"")*(A_Corridor!$A$5:$A$204&lt;=$B159)*(A_Corridor!$B$5:$B$204&gt;$B159)*(A_Corridor!$H$5:$H$204&lt;&gt;"")),IF(A_Corridor!$H$5:$H$204="-","",A_Corridor!$H$5:$H$204)),"")</f>
        <v/>
      </c>
      <c r="N159" s="182" t="str">
        <f>IFERROR(LOOKUP(2,1/((A_Corridor!$A$5:$A$204&lt;&gt;"")*(A_Corridor!$A$5:$A$204&lt;=$B159)*(A_Corridor!$B$5:$B$204&gt;$B159)*(A_Corridor!$I$5:$I$204&lt;&gt;"")),IF(A_Corridor!$I$5:$I$204="-","",A_Corridor!$I$5:$I$204)),"")</f>
        <v/>
      </c>
      <c r="O159" s="182" t="str">
        <f>IFERROR(LOOKUP(2,1/((D_Points!$A$5:$A$204&lt;&gt;"")*(D_Points!$A$5:$A$204&gt;=$B159)*(D_Points!$A$5:$A$204&lt;$B159+P_Interval)*(UPPER(TRIM(D_Points!$B$5:$B$204))="PITCHING")*(D_Points!$H$5:$H$204&lt;&gt;"")),D_Points!$H$5:$H$204),"")</f>
        <v/>
      </c>
      <c r="P159" s="181" t="str">
        <f>IFERROR(LOOKUP(2,1/((B_Drainage!$A$5:$A$204&lt;&gt;"")*(B_Drainage!$A$5:$A$204&lt;=$B159)*(B_Drainage!$B$5:$B$204&gt;$B159)*(B_Drainage!$C$5:$C$204&lt;&gt;"")),IF(B_Drainage!$C$5:$C$204="-","",UPPER(B_Drainage!$C$5:$C$204))),"")</f>
        <v/>
      </c>
      <c r="Q159" s="181" t="str">
        <f>IFERROR(LOOKUP(2,1/((B_Drainage!$A$5:$A$204&lt;&gt;"")*(B_Drainage!$A$5:$A$204&lt;=$B159)*(B_Drainage!$B$5:$B$204&gt;$B159)*(B_Drainage!$D$5:$D$204&lt;&gt;"")),IF(B_Drainage!$D$5:$D$204="-","",UPPER(B_Drainage!$D$5:$D$204))),"")</f>
        <v/>
      </c>
      <c r="R159" s="182" t="str">
        <f>IFERROR(LOOKUP(2,1/((D_Points!$A$5:$A$204&lt;&gt;"")*(D_Points!$A$5:$A$204&gt;=$B159)*(D_Points!$A$5:$A$204&lt;$B159+P_Interval)*(RIGHT(UPPER(TRIM(D_Points!$B$5:$B$204)),8)="_CULVERT")),IF(LEFT(UPPER(TRIM(D_Points!$B$5:$B$204)),2)="EX",1,IF(LEFT(UPPER(TRIM(D_Points!$B$5:$B$204)),2)="PR",2,3))),"")</f>
        <v/>
      </c>
      <c r="S159" s="182" t="str">
        <f>IFERROR(LOOKUP(2,1/((D_Points!$A$5:$A$204&lt;&gt;"")*(D_Points!$A$5:$A$204&gt;=$B159)*(D_Points!$A$5:$A$204&lt;$B159+P_Interval)*(RIGHT(UPPER(TRIM(D_Points!$B$5:$B$204)),7)="_BRIDGE")),IF(LEFT(UPPER(TRIM(D_Points!$B$5:$B$204)),2)="EX",1,IF(LEFT(UPPER(TRIM(D_Points!$B$5:$B$204)),2)="PR",2,2))),"")</f>
        <v/>
      </c>
      <c r="T159" s="181" t="str">
        <f>IFERROR(LOOKUP(2,1/((B_Drainage!$A$5:$A$204&lt;&gt;"")*(B_Drainage!$A$5:$A$204&lt;=$B159)*(B_Drainage!$B$5:$B$204&gt;$B159)*(B_Drainage!$E$5:$E$204&lt;&gt;"")),IF(B_Drainage!$E$5:$E$204="-","",1)),"")</f>
        <v/>
      </c>
      <c r="U159" s="181" t="str">
        <f>IFERROR(LOOKUP(2,1/((B_Drainage!$A$5:$A$204&lt;&gt;"")*(B_Drainage!$A$5:$A$204&lt;=$B159)*(B_Drainage!$B$5:$B$204&gt;$B159)*(B_Drainage!$E$5:$E$204&lt;&gt;"")),IF(B_Drainage!$E$5:$E$204="-","",B_Drainage!$E$5:$E$204)),"")</f>
        <v/>
      </c>
      <c r="V159" s="181" t="str">
        <f>IFERROR(LOOKUP(2,1/((B_Drainage!$A$5:$A$204&lt;&gt;"")*(B_Drainage!$A$5:$A$204&lt;=$B159)*(B_Drainage!$B$5:$B$204&gt;$B159)*(B_Drainage!$F$5:$F$204&lt;&gt;"")),IF(B_Drainage!$F$5:$F$204="-","",1)),"")</f>
        <v/>
      </c>
      <c r="W159" s="181" t="str">
        <f>IFERROR(LOOKUP(2,1/((B_Drainage!$A$5:$A$204&lt;&gt;"")*(B_Drainage!$A$5:$A$204&lt;=$B159)*(B_Drainage!$B$5:$B$204&gt;$B159)*(B_Drainage!$F$5:$F$204&lt;&gt;"")),IF(B_Drainage!$F$5:$F$204="-","",B_Drainage!$F$5:$F$204)),"")</f>
        <v/>
      </c>
      <c r="X159" s="181" t="str">
        <f>IFERROR(LOOKUP(2,1/((B_Drainage!$A$5:$A$204&lt;&gt;"")*(B_Drainage!$A$5:$A$204&lt;=$B159)*(B_Drainage!$B$5:$B$204&gt;$B159)*(B_Drainage!$G$5:$G$204&lt;&gt;"")),IF(UPPER(B_Drainage!$G$5:$G$204)="Y",1,"")),"")</f>
        <v/>
      </c>
      <c r="Y159" s="181" t="str">
        <f>IFERROR(LOOKUP(2,1/((B_Drainage!$A$5:$A$204&lt;&gt;"")*(B_Drainage!$A$5:$A$204&lt;=$B159)*(B_Drainage!$B$5:$B$204&gt;$B159)*(B_Drainage!$H$5:$H$204&lt;&gt;"")),IF(UPPER(B_Drainage!$H$5:$H$204)="Y",1,"")),"")</f>
        <v/>
      </c>
      <c r="Z159" s="181" t="str">
        <f>IFERROR(LOOKUP(2,1/((B_Drainage!$A$5:$A$204&lt;&gt;"")*(B_Drainage!$A$5:$A$204&lt;=$B159)*(B_Drainage!$B$5:$B$204&gt;$B159)*(B_Drainage!$I$5:$I$204&lt;&gt;"")),IF(UPPER(B_Drainage!$I$5:$I$204)="Y",1,"")),"")</f>
        <v/>
      </c>
      <c r="AA159" s="181" t="str">
        <f>IFERROR(LOOKUP(2,1/((B_Drainage!$A$5:$A$204&lt;&gt;"")*(B_Drainage!$A$5:$A$204&lt;=$B159)*(B_Drainage!$B$5:$B$204&gt;$B159)*(B_Drainage!$J$5:$J$204&lt;&gt;"")),IF(UPPER(B_Drainage!$J$5:$J$204)="Y",1,"")),"")</f>
        <v/>
      </c>
      <c r="AB159" s="182" t="str">
        <f>IFERROR(LOOKUP(2,1/((B_Drainage!$A$5:$A$204&lt;&gt;"")*(B_Drainage!$A$5:$A$204&lt;=$B159)*(B_Drainage!$B$5:$B$204&gt;$B159)*(B_Drainage!$K$5:$K$204&lt;&gt;"")),IF(B_Drainage!$K$5:$K$204="-","",B_Drainage!$K$5:$K$204)),"")</f>
        <v/>
      </c>
      <c r="AC159" s="182" t="str">
        <f>IFERROR(LOOKUP(2,1/((B_Drainage!$A$5:$A$204&lt;&gt;"")*(B_Drainage!$A$5:$A$204&lt;=$B159)*(B_Drainage!$B$5:$B$204&gt;$B159)*(B_Drainage!$L$5:$L$204&lt;&gt;"")),IF(B_Drainage!$L$5:$L$204="-","",B_Drainage!$L$5:$L$204)),"")</f>
        <v/>
      </c>
      <c r="AD159" s="182" t="str">
        <f>IFERROR(LOOKUP(2,1/((D_Points!$A$5:$A$204&lt;&gt;"")*(D_Points!$A$5:$A$204&gt;=$B159)*(D_Points!$A$5:$A$204&lt;$B159+P_Interval)*(UPPER(TRIM(D_Points!$B$5:$B$204))="TURNOUT_L")*(D_Points!$H$5:$H$204&lt;&gt;"")),D_Points!$H$5:$H$204),"")</f>
        <v/>
      </c>
      <c r="AE159" s="182" t="str">
        <f>IFERROR(LOOKUP(2,1/((D_Points!$A$5:$A$204&lt;&gt;"")*(D_Points!$A$5:$A$204&gt;=$B159)*(D_Points!$A$5:$A$204&lt;$B159+P_Interval)*(UPPER(TRIM(D_Points!$B$5:$B$204))="TURNOUT_R")*(D_Points!$H$5:$H$204&lt;&gt;"")),D_Points!$H$5:$H$204),"")</f>
        <v/>
      </c>
      <c r="AF159" s="181" t="str">
        <f>IFERROR(LOOKUP(2,1/((B_Drainage!$A$5:$A$204&lt;&gt;"")*(B_Drainage!$A$5:$A$204&lt;=$B159)*(B_Drainage!$B$5:$B$204&gt;$B159)*(B_Drainage!$M$5:$M$204&lt;&gt;"")),IF(UPPER(B_Drainage!$M$5:$M$204)="Y",1,"")),"")</f>
        <v/>
      </c>
      <c r="AG159" s="181" t="str">
        <f>IFERROR(LOOKUP(2,1/((B_Drainage!$A$5:$A$204&lt;&gt;"")*(B_Drainage!$A$5:$A$204&lt;=$B159)*(B_Drainage!$B$5:$B$204&gt;$B159)*(B_Drainage!$N$5:$N$204&lt;&gt;"")),IF(UPPER(B_Drainage!$N$5:$N$204)="Y",1,"")),"")</f>
        <v/>
      </c>
      <c r="AH159" s="181" t="str">
        <f t="shared" si="16"/>
        <v/>
      </c>
      <c r="AI159" s="181" t="str">
        <f t="shared" si="17"/>
        <v/>
      </c>
      <c r="AJ159" s="181" t="str">
        <f t="shared" si="18"/>
        <v/>
      </c>
      <c r="AK159" s="181" t="str">
        <f t="shared" si="19"/>
        <v/>
      </c>
      <c r="AL159" s="181" t="str">
        <f t="shared" si="20"/>
        <v/>
      </c>
      <c r="AM159" s="181" t="str">
        <f t="shared" si="21"/>
        <v/>
      </c>
      <c r="AN159" s="181" t="str">
        <f t="shared" si="22"/>
        <v/>
      </c>
      <c r="AO159" s="192" t="str">
        <f t="shared" si="23"/>
        <v/>
      </c>
      <c r="AQ159" t="str">
        <f>IFERROR(LOOKUP(2,1/((C_Pavement!$A$5:$A$204&lt;&gt;"")*(C_Pavement!$A$5:$A$204&lt;=$B159)*(C_Pavement!$B$5:$B$204&gt;$B159)*(C_Pavement!$C$5:$C$204&lt;&gt;"")),ROW(C_Pavement!$C$5:$C$204)-4),"")</f>
        <v/>
      </c>
      <c r="AR159" t="str">
        <f>IF($AQ159="","",UPPER(TRIM(INDEX(C_Pavement!$C$5:$C$204,$AQ159))))</f>
        <v/>
      </c>
      <c r="AS159" t="str">
        <f>IF($AR159="","",IFERROR(MATCH($AR159,E_Rules!$A$5:$A$9,0),""))</f>
        <v/>
      </c>
      <c r="AT159" t="str">
        <f>IF($AQ159="","",IF(INDEX(C_Pavement!$D$5:$D$204,$AQ159)&lt;&gt;"",UPPER(TRIM(INDEX(C_Pavement!$D$5:$D$204,$AQ159))),IF($AS159="","",INDEX(E_Rules!$C$5:$C$9,$AS159))))</f>
        <v/>
      </c>
      <c r="AU159" t="str">
        <f>IF($AQ159="","",IF(INDEX(C_Pavement!$E$5:$E$204,$AQ159)&lt;&gt;"",IF(INDEX(C_Pavement!$E$5:$E$204,$AQ159)="-","",INDEX(C_Pavement!$E$5:$E$204,$AQ159)),IF($AS159="","",INDEX(E_Rules!$D$5:$D$9,$AS159))))</f>
        <v/>
      </c>
      <c r="AV159" t="str">
        <f>IF($AQ159="","",IF(INDEX(C_Pavement!$F$5:$F$204,$AQ159)&lt;&gt;"",IF(INDEX(C_Pavement!$F$5:$F$204,$AQ159)="-","",INDEX(C_Pavement!$F$5:$F$204,$AQ159)),IF($AS159="","",INDEX(E_Rules!$E$5:$E$9,$AS159))))</f>
        <v/>
      </c>
      <c r="AW159" t="str">
        <f>IF($AQ159="","",IF(INDEX(C_Pavement!$G$5:$G$204,$AQ159)&lt;&gt;"",IF(INDEX(C_Pavement!$G$5:$G$204,$AQ159)="-","",INDEX(C_Pavement!$G$5:$G$204,$AQ159)),IF($AS159="","",INDEX(E_Rules!$F$5:$F$9,$AS159))))</f>
        <v/>
      </c>
      <c r="AX159" t="str">
        <f>IF($AQ159="","",IF(INDEX(C_Pavement!$H$5:$H$204,$AQ159)&lt;&gt;"",IF(INDEX(C_Pavement!$H$5:$H$204,$AQ159)="-","",INDEX(C_Pavement!$H$5:$H$204,$AQ159)),IF($AS159="","",INDEX(E_Rules!$G$5:$G$9,$AS159))))</f>
        <v/>
      </c>
      <c r="AY159" t="str">
        <f>IF($AQ159="","",IF(INDEX(C_Pavement!$I$5:$I$204,$AQ159)&lt;&gt;"",IF(INDEX(C_Pavement!$I$5:$I$204,$AQ159)="-","",INDEX(C_Pavement!$I$5:$I$204,$AQ159)),IF($AS159="","",INDEX(E_Rules!$H$5:$H$9,$AS159))))</f>
        <v/>
      </c>
    </row>
    <row r="160" spans="1:51" ht="15.75" customHeight="1" x14ac:dyDescent="0.3">
      <c r="A160" s="189">
        <v>155</v>
      </c>
      <c r="B160" s="180">
        <v>7700</v>
      </c>
      <c r="C160" s="180" t="s">
        <v>466</v>
      </c>
      <c r="D160" s="181" t="str">
        <f>IFERROR(LOOKUP(2,1/((A_Corridor!$A$5:$A$204&lt;&gt;"")*(A_Corridor!$A$5:$A$204&lt;=$B160)*(A_Corridor!$B$5:$B$204&gt;$B160)*(A_Corridor!$C$5:$C$204&lt;&gt;"")),IF(UPPER(A_Corridor!$C$5:$C$204)="Y",1,"")),"")</f>
        <v/>
      </c>
      <c r="E160" s="181" t="str">
        <f>IFERROR(LOOKUP(2,1/((A_Corridor!$A$5:$A$204&lt;&gt;"")*(A_Corridor!$A$5:$A$204&lt;=$B160)*(A_Corridor!$B$5:$B$204&gt;$B160)*(A_Corridor!$D$5:$D$204&lt;&gt;"")),IF(A_Corridor!$D$5:$D$204="-","",UPPER(A_Corridor!$D$5:$D$204))),"")</f>
        <v/>
      </c>
      <c r="F160" s="181" t="str">
        <f>IFERROR(LOOKUP(2,1/((A_Corridor!$A$5:$A$204&lt;&gt;"")*(A_Corridor!$A$5:$A$204&lt;=$B160)*(A_Corridor!$B$5:$B$204&gt;$B160)*(A_Corridor!$E$5:$E$204&lt;&gt;"")),IF(A_Corridor!$E$5:$E$204="-","",1)),"")</f>
        <v/>
      </c>
      <c r="G160" s="182" t="str">
        <f>IFERROR(LOOKUP(2,1/((A_Corridor!$A$5:$A$204&lt;&gt;"")*(A_Corridor!$A$5:$A$204&lt;=$B160)*(A_Corridor!$B$5:$B$204&gt;$B160)*(A_Corridor!$E$5:$E$204&lt;&gt;"")),IF(A_Corridor!$E$5:$E$204="-","",A_Corridor!$E$5:$E$204)),"")</f>
        <v/>
      </c>
      <c r="H160" s="182" t="str">
        <f>IFERROR(LOOKUP(2,1/((D_Points!$A$5:$A$204&lt;&gt;"")*(D_Points!$A$5:$A$204&gt;=$B160)*(D_Points!$A$5:$A$204&lt;$B160+P_Interval)*(UPPER(TRIM(D_Points!$B$5:$B$204))="GULLY")*(D_Points!$H$5:$H$204&lt;&gt;"")),D_Points!$H$5:$H$204),"")</f>
        <v/>
      </c>
      <c r="I160" s="181" t="str">
        <f>IFERROR(LOOKUP(2,1/((A_Corridor!$A$5:$A$204&lt;&gt;"")*(A_Corridor!$A$5:$A$204&lt;=$B160)*(A_Corridor!$B$5:$B$204&gt;$B160)*(A_Corridor!$F$5:$F$204&lt;&gt;"")),IF(A_Corridor!$F$5:$F$204="-","",1)),"")</f>
        <v/>
      </c>
      <c r="J160" s="182" t="str">
        <f>IFERROR(LOOKUP(2,1/((A_Corridor!$A$5:$A$204&lt;&gt;"")*(A_Corridor!$A$5:$A$204&lt;=$B160)*(A_Corridor!$B$5:$B$204&gt;$B160)*(A_Corridor!$F$5:$F$204&lt;&gt;"")),IF(A_Corridor!$F$5:$F$204="-","",A_Corridor!$F$5:$F$204)),"")</f>
        <v/>
      </c>
      <c r="K160" s="182" t="str">
        <f>IFERROR(LOOKUP(2,1/((A_Corridor!$A$5:$A$204&lt;&gt;"")*(A_Corridor!$A$5:$A$204&lt;=$B160)*(A_Corridor!$B$5:$B$204&gt;$B160)*(A_Corridor!$G$5:$G$204&lt;&gt;"")),IF(A_Corridor!$G$5:$G$204="-","",A_Corridor!$G$5:$G$204)),"")</f>
        <v/>
      </c>
      <c r="L160" s="181" t="str">
        <f>IFERROR(LOOKUP(2,1/((A_Corridor!$A$5:$A$204&lt;&gt;"")*(A_Corridor!$A$5:$A$204&lt;=$B160)*(A_Corridor!$B$5:$B$204&gt;$B160)*(A_Corridor!$H$5:$H$204&lt;&gt;"")),IF(A_Corridor!$H$5:$H$204="-","",1)),"")</f>
        <v/>
      </c>
      <c r="M160" s="182" t="str">
        <f>IFERROR(LOOKUP(2,1/((A_Corridor!$A$5:$A$204&lt;&gt;"")*(A_Corridor!$A$5:$A$204&lt;=$B160)*(A_Corridor!$B$5:$B$204&gt;$B160)*(A_Corridor!$H$5:$H$204&lt;&gt;"")),IF(A_Corridor!$H$5:$H$204="-","",A_Corridor!$H$5:$H$204)),"")</f>
        <v/>
      </c>
      <c r="N160" s="182" t="str">
        <f>IFERROR(LOOKUP(2,1/((A_Corridor!$A$5:$A$204&lt;&gt;"")*(A_Corridor!$A$5:$A$204&lt;=$B160)*(A_Corridor!$B$5:$B$204&gt;$B160)*(A_Corridor!$I$5:$I$204&lt;&gt;"")),IF(A_Corridor!$I$5:$I$204="-","",A_Corridor!$I$5:$I$204)),"")</f>
        <v/>
      </c>
      <c r="O160" s="182" t="str">
        <f>IFERROR(LOOKUP(2,1/((D_Points!$A$5:$A$204&lt;&gt;"")*(D_Points!$A$5:$A$204&gt;=$B160)*(D_Points!$A$5:$A$204&lt;$B160+P_Interval)*(UPPER(TRIM(D_Points!$B$5:$B$204))="PITCHING")*(D_Points!$H$5:$H$204&lt;&gt;"")),D_Points!$H$5:$H$204),"")</f>
        <v/>
      </c>
      <c r="P160" s="181" t="str">
        <f>IFERROR(LOOKUP(2,1/((B_Drainage!$A$5:$A$204&lt;&gt;"")*(B_Drainage!$A$5:$A$204&lt;=$B160)*(B_Drainage!$B$5:$B$204&gt;$B160)*(B_Drainage!$C$5:$C$204&lt;&gt;"")),IF(B_Drainage!$C$5:$C$204="-","",UPPER(B_Drainage!$C$5:$C$204))),"")</f>
        <v/>
      </c>
      <c r="Q160" s="181" t="str">
        <f>IFERROR(LOOKUP(2,1/((B_Drainage!$A$5:$A$204&lt;&gt;"")*(B_Drainage!$A$5:$A$204&lt;=$B160)*(B_Drainage!$B$5:$B$204&gt;$B160)*(B_Drainage!$D$5:$D$204&lt;&gt;"")),IF(B_Drainage!$D$5:$D$204="-","",UPPER(B_Drainage!$D$5:$D$204))),"")</f>
        <v/>
      </c>
      <c r="R160" s="182" t="str">
        <f>IFERROR(LOOKUP(2,1/((D_Points!$A$5:$A$204&lt;&gt;"")*(D_Points!$A$5:$A$204&gt;=$B160)*(D_Points!$A$5:$A$204&lt;$B160+P_Interval)*(RIGHT(UPPER(TRIM(D_Points!$B$5:$B$204)),8)="_CULVERT")),IF(LEFT(UPPER(TRIM(D_Points!$B$5:$B$204)),2)="EX",1,IF(LEFT(UPPER(TRIM(D_Points!$B$5:$B$204)),2)="PR",2,3))),"")</f>
        <v/>
      </c>
      <c r="S160" s="182" t="str">
        <f>IFERROR(LOOKUP(2,1/((D_Points!$A$5:$A$204&lt;&gt;"")*(D_Points!$A$5:$A$204&gt;=$B160)*(D_Points!$A$5:$A$204&lt;$B160+P_Interval)*(RIGHT(UPPER(TRIM(D_Points!$B$5:$B$204)),7)="_BRIDGE")),IF(LEFT(UPPER(TRIM(D_Points!$B$5:$B$204)),2)="EX",1,IF(LEFT(UPPER(TRIM(D_Points!$B$5:$B$204)),2)="PR",2,2))),"")</f>
        <v/>
      </c>
      <c r="T160" s="181" t="str">
        <f>IFERROR(LOOKUP(2,1/((B_Drainage!$A$5:$A$204&lt;&gt;"")*(B_Drainage!$A$5:$A$204&lt;=$B160)*(B_Drainage!$B$5:$B$204&gt;$B160)*(B_Drainage!$E$5:$E$204&lt;&gt;"")),IF(B_Drainage!$E$5:$E$204="-","",1)),"")</f>
        <v/>
      </c>
      <c r="U160" s="181" t="str">
        <f>IFERROR(LOOKUP(2,1/((B_Drainage!$A$5:$A$204&lt;&gt;"")*(B_Drainage!$A$5:$A$204&lt;=$B160)*(B_Drainage!$B$5:$B$204&gt;$B160)*(B_Drainage!$E$5:$E$204&lt;&gt;"")),IF(B_Drainage!$E$5:$E$204="-","",B_Drainage!$E$5:$E$204)),"")</f>
        <v/>
      </c>
      <c r="V160" s="181" t="str">
        <f>IFERROR(LOOKUP(2,1/((B_Drainage!$A$5:$A$204&lt;&gt;"")*(B_Drainage!$A$5:$A$204&lt;=$B160)*(B_Drainage!$B$5:$B$204&gt;$B160)*(B_Drainage!$F$5:$F$204&lt;&gt;"")),IF(B_Drainage!$F$5:$F$204="-","",1)),"")</f>
        <v/>
      </c>
      <c r="W160" s="181" t="str">
        <f>IFERROR(LOOKUP(2,1/((B_Drainage!$A$5:$A$204&lt;&gt;"")*(B_Drainage!$A$5:$A$204&lt;=$B160)*(B_Drainage!$B$5:$B$204&gt;$B160)*(B_Drainage!$F$5:$F$204&lt;&gt;"")),IF(B_Drainage!$F$5:$F$204="-","",B_Drainage!$F$5:$F$204)),"")</f>
        <v/>
      </c>
      <c r="X160" s="181" t="str">
        <f>IFERROR(LOOKUP(2,1/((B_Drainage!$A$5:$A$204&lt;&gt;"")*(B_Drainage!$A$5:$A$204&lt;=$B160)*(B_Drainage!$B$5:$B$204&gt;$B160)*(B_Drainage!$G$5:$G$204&lt;&gt;"")),IF(UPPER(B_Drainage!$G$5:$G$204)="Y",1,"")),"")</f>
        <v/>
      </c>
      <c r="Y160" s="181" t="str">
        <f>IFERROR(LOOKUP(2,1/((B_Drainage!$A$5:$A$204&lt;&gt;"")*(B_Drainage!$A$5:$A$204&lt;=$B160)*(B_Drainage!$B$5:$B$204&gt;$B160)*(B_Drainage!$H$5:$H$204&lt;&gt;"")),IF(UPPER(B_Drainage!$H$5:$H$204)="Y",1,"")),"")</f>
        <v/>
      </c>
      <c r="Z160" s="181" t="str">
        <f>IFERROR(LOOKUP(2,1/((B_Drainage!$A$5:$A$204&lt;&gt;"")*(B_Drainage!$A$5:$A$204&lt;=$B160)*(B_Drainage!$B$5:$B$204&gt;$B160)*(B_Drainage!$I$5:$I$204&lt;&gt;"")),IF(UPPER(B_Drainage!$I$5:$I$204)="Y",1,"")),"")</f>
        <v/>
      </c>
      <c r="AA160" s="181" t="str">
        <f>IFERROR(LOOKUP(2,1/((B_Drainage!$A$5:$A$204&lt;&gt;"")*(B_Drainage!$A$5:$A$204&lt;=$B160)*(B_Drainage!$B$5:$B$204&gt;$B160)*(B_Drainage!$J$5:$J$204&lt;&gt;"")),IF(UPPER(B_Drainage!$J$5:$J$204)="Y",1,"")),"")</f>
        <v/>
      </c>
      <c r="AB160" s="182" t="str">
        <f>IFERROR(LOOKUP(2,1/((B_Drainage!$A$5:$A$204&lt;&gt;"")*(B_Drainage!$A$5:$A$204&lt;=$B160)*(B_Drainage!$B$5:$B$204&gt;$B160)*(B_Drainage!$K$5:$K$204&lt;&gt;"")),IF(B_Drainage!$K$5:$K$204="-","",B_Drainage!$K$5:$K$204)),"")</f>
        <v/>
      </c>
      <c r="AC160" s="182" t="str">
        <f>IFERROR(LOOKUP(2,1/((B_Drainage!$A$5:$A$204&lt;&gt;"")*(B_Drainage!$A$5:$A$204&lt;=$B160)*(B_Drainage!$B$5:$B$204&gt;$B160)*(B_Drainage!$L$5:$L$204&lt;&gt;"")),IF(B_Drainage!$L$5:$L$204="-","",B_Drainage!$L$5:$L$204)),"")</f>
        <v/>
      </c>
      <c r="AD160" s="182" t="str">
        <f>IFERROR(LOOKUP(2,1/((D_Points!$A$5:$A$204&lt;&gt;"")*(D_Points!$A$5:$A$204&gt;=$B160)*(D_Points!$A$5:$A$204&lt;$B160+P_Interval)*(UPPER(TRIM(D_Points!$B$5:$B$204))="TURNOUT_L")*(D_Points!$H$5:$H$204&lt;&gt;"")),D_Points!$H$5:$H$204),"")</f>
        <v/>
      </c>
      <c r="AE160" s="182" t="str">
        <f>IFERROR(LOOKUP(2,1/((D_Points!$A$5:$A$204&lt;&gt;"")*(D_Points!$A$5:$A$204&gt;=$B160)*(D_Points!$A$5:$A$204&lt;$B160+P_Interval)*(UPPER(TRIM(D_Points!$B$5:$B$204))="TURNOUT_R")*(D_Points!$H$5:$H$204&lt;&gt;"")),D_Points!$H$5:$H$204),"")</f>
        <v/>
      </c>
      <c r="AF160" s="181" t="str">
        <f>IFERROR(LOOKUP(2,1/((B_Drainage!$A$5:$A$204&lt;&gt;"")*(B_Drainage!$A$5:$A$204&lt;=$B160)*(B_Drainage!$B$5:$B$204&gt;$B160)*(B_Drainage!$M$5:$M$204&lt;&gt;"")),IF(UPPER(B_Drainage!$M$5:$M$204)="Y",1,"")),"")</f>
        <v/>
      </c>
      <c r="AG160" s="181" t="str">
        <f>IFERROR(LOOKUP(2,1/((B_Drainage!$A$5:$A$204&lt;&gt;"")*(B_Drainage!$A$5:$A$204&lt;=$B160)*(B_Drainage!$B$5:$B$204&gt;$B160)*(B_Drainage!$N$5:$N$204&lt;&gt;"")),IF(UPPER(B_Drainage!$N$5:$N$204)="Y",1,"")),"")</f>
        <v/>
      </c>
      <c r="AH160" s="181" t="str">
        <f t="shared" si="16"/>
        <v/>
      </c>
      <c r="AI160" s="181" t="str">
        <f t="shared" si="17"/>
        <v/>
      </c>
      <c r="AJ160" s="181" t="str">
        <f t="shared" si="18"/>
        <v/>
      </c>
      <c r="AK160" s="181" t="str">
        <f t="shared" si="19"/>
        <v/>
      </c>
      <c r="AL160" s="181" t="str">
        <f t="shared" si="20"/>
        <v/>
      </c>
      <c r="AM160" s="181" t="str">
        <f t="shared" si="21"/>
        <v/>
      </c>
      <c r="AN160" s="181" t="str">
        <f t="shared" si="22"/>
        <v/>
      </c>
      <c r="AO160" s="192" t="str">
        <f t="shared" si="23"/>
        <v/>
      </c>
      <c r="AQ160" t="str">
        <f>IFERROR(LOOKUP(2,1/((C_Pavement!$A$5:$A$204&lt;&gt;"")*(C_Pavement!$A$5:$A$204&lt;=$B160)*(C_Pavement!$B$5:$B$204&gt;$B160)*(C_Pavement!$C$5:$C$204&lt;&gt;"")),ROW(C_Pavement!$C$5:$C$204)-4),"")</f>
        <v/>
      </c>
      <c r="AR160" t="str">
        <f>IF($AQ160="","",UPPER(TRIM(INDEX(C_Pavement!$C$5:$C$204,$AQ160))))</f>
        <v/>
      </c>
      <c r="AS160" t="str">
        <f>IF($AR160="","",IFERROR(MATCH($AR160,E_Rules!$A$5:$A$9,0),""))</f>
        <v/>
      </c>
      <c r="AT160" t="str">
        <f>IF($AQ160="","",IF(INDEX(C_Pavement!$D$5:$D$204,$AQ160)&lt;&gt;"",UPPER(TRIM(INDEX(C_Pavement!$D$5:$D$204,$AQ160))),IF($AS160="","",INDEX(E_Rules!$C$5:$C$9,$AS160))))</f>
        <v/>
      </c>
      <c r="AU160" t="str">
        <f>IF($AQ160="","",IF(INDEX(C_Pavement!$E$5:$E$204,$AQ160)&lt;&gt;"",IF(INDEX(C_Pavement!$E$5:$E$204,$AQ160)="-","",INDEX(C_Pavement!$E$5:$E$204,$AQ160)),IF($AS160="","",INDEX(E_Rules!$D$5:$D$9,$AS160))))</f>
        <v/>
      </c>
      <c r="AV160" t="str">
        <f>IF($AQ160="","",IF(INDEX(C_Pavement!$F$5:$F$204,$AQ160)&lt;&gt;"",IF(INDEX(C_Pavement!$F$5:$F$204,$AQ160)="-","",INDEX(C_Pavement!$F$5:$F$204,$AQ160)),IF($AS160="","",INDEX(E_Rules!$E$5:$E$9,$AS160))))</f>
        <v/>
      </c>
      <c r="AW160" t="str">
        <f>IF($AQ160="","",IF(INDEX(C_Pavement!$G$5:$G$204,$AQ160)&lt;&gt;"",IF(INDEX(C_Pavement!$G$5:$G$204,$AQ160)="-","",INDEX(C_Pavement!$G$5:$G$204,$AQ160)),IF($AS160="","",INDEX(E_Rules!$F$5:$F$9,$AS160))))</f>
        <v/>
      </c>
      <c r="AX160" t="str">
        <f>IF($AQ160="","",IF(INDEX(C_Pavement!$H$5:$H$204,$AQ160)&lt;&gt;"",IF(INDEX(C_Pavement!$H$5:$H$204,$AQ160)="-","",INDEX(C_Pavement!$H$5:$H$204,$AQ160)),IF($AS160="","",INDEX(E_Rules!$G$5:$G$9,$AS160))))</f>
        <v/>
      </c>
      <c r="AY160" t="str">
        <f>IF($AQ160="","",IF(INDEX(C_Pavement!$I$5:$I$204,$AQ160)&lt;&gt;"",IF(INDEX(C_Pavement!$I$5:$I$204,$AQ160)="-","",INDEX(C_Pavement!$I$5:$I$204,$AQ160)),IF($AS160="","",INDEX(E_Rules!$H$5:$H$9,$AS160))))</f>
        <v/>
      </c>
    </row>
    <row r="161" spans="1:51" ht="15.75" customHeight="1" x14ac:dyDescent="0.3">
      <c r="A161" s="189">
        <v>156</v>
      </c>
      <c r="B161" s="180">
        <v>7750</v>
      </c>
      <c r="C161" s="180" t="s">
        <v>467</v>
      </c>
      <c r="D161" s="181" t="str">
        <f>IFERROR(LOOKUP(2,1/((A_Corridor!$A$5:$A$204&lt;&gt;"")*(A_Corridor!$A$5:$A$204&lt;=$B161)*(A_Corridor!$B$5:$B$204&gt;$B161)*(A_Corridor!$C$5:$C$204&lt;&gt;"")),IF(UPPER(A_Corridor!$C$5:$C$204)="Y",1,"")),"")</f>
        <v/>
      </c>
      <c r="E161" s="181" t="str">
        <f>IFERROR(LOOKUP(2,1/((A_Corridor!$A$5:$A$204&lt;&gt;"")*(A_Corridor!$A$5:$A$204&lt;=$B161)*(A_Corridor!$B$5:$B$204&gt;$B161)*(A_Corridor!$D$5:$D$204&lt;&gt;"")),IF(A_Corridor!$D$5:$D$204="-","",UPPER(A_Corridor!$D$5:$D$204))),"")</f>
        <v/>
      </c>
      <c r="F161" s="181" t="str">
        <f>IFERROR(LOOKUP(2,1/((A_Corridor!$A$5:$A$204&lt;&gt;"")*(A_Corridor!$A$5:$A$204&lt;=$B161)*(A_Corridor!$B$5:$B$204&gt;$B161)*(A_Corridor!$E$5:$E$204&lt;&gt;"")),IF(A_Corridor!$E$5:$E$204="-","",1)),"")</f>
        <v/>
      </c>
      <c r="G161" s="182" t="str">
        <f>IFERROR(LOOKUP(2,1/((A_Corridor!$A$5:$A$204&lt;&gt;"")*(A_Corridor!$A$5:$A$204&lt;=$B161)*(A_Corridor!$B$5:$B$204&gt;$B161)*(A_Corridor!$E$5:$E$204&lt;&gt;"")),IF(A_Corridor!$E$5:$E$204="-","",A_Corridor!$E$5:$E$204)),"")</f>
        <v/>
      </c>
      <c r="H161" s="182" t="str">
        <f>IFERROR(LOOKUP(2,1/((D_Points!$A$5:$A$204&lt;&gt;"")*(D_Points!$A$5:$A$204&gt;=$B161)*(D_Points!$A$5:$A$204&lt;$B161+P_Interval)*(UPPER(TRIM(D_Points!$B$5:$B$204))="GULLY")*(D_Points!$H$5:$H$204&lt;&gt;"")),D_Points!$H$5:$H$204),"")</f>
        <v/>
      </c>
      <c r="I161" s="181" t="str">
        <f>IFERROR(LOOKUP(2,1/((A_Corridor!$A$5:$A$204&lt;&gt;"")*(A_Corridor!$A$5:$A$204&lt;=$B161)*(A_Corridor!$B$5:$B$204&gt;$B161)*(A_Corridor!$F$5:$F$204&lt;&gt;"")),IF(A_Corridor!$F$5:$F$204="-","",1)),"")</f>
        <v/>
      </c>
      <c r="J161" s="182" t="str">
        <f>IFERROR(LOOKUP(2,1/((A_Corridor!$A$5:$A$204&lt;&gt;"")*(A_Corridor!$A$5:$A$204&lt;=$B161)*(A_Corridor!$B$5:$B$204&gt;$B161)*(A_Corridor!$F$5:$F$204&lt;&gt;"")),IF(A_Corridor!$F$5:$F$204="-","",A_Corridor!$F$5:$F$204)),"")</f>
        <v/>
      </c>
      <c r="K161" s="182" t="str">
        <f>IFERROR(LOOKUP(2,1/((A_Corridor!$A$5:$A$204&lt;&gt;"")*(A_Corridor!$A$5:$A$204&lt;=$B161)*(A_Corridor!$B$5:$B$204&gt;$B161)*(A_Corridor!$G$5:$G$204&lt;&gt;"")),IF(A_Corridor!$G$5:$G$204="-","",A_Corridor!$G$5:$G$204)),"")</f>
        <v/>
      </c>
      <c r="L161" s="181" t="str">
        <f>IFERROR(LOOKUP(2,1/((A_Corridor!$A$5:$A$204&lt;&gt;"")*(A_Corridor!$A$5:$A$204&lt;=$B161)*(A_Corridor!$B$5:$B$204&gt;$B161)*(A_Corridor!$H$5:$H$204&lt;&gt;"")),IF(A_Corridor!$H$5:$H$204="-","",1)),"")</f>
        <v/>
      </c>
      <c r="M161" s="182" t="str">
        <f>IFERROR(LOOKUP(2,1/((A_Corridor!$A$5:$A$204&lt;&gt;"")*(A_Corridor!$A$5:$A$204&lt;=$B161)*(A_Corridor!$B$5:$B$204&gt;$B161)*(A_Corridor!$H$5:$H$204&lt;&gt;"")),IF(A_Corridor!$H$5:$H$204="-","",A_Corridor!$H$5:$H$204)),"")</f>
        <v/>
      </c>
      <c r="N161" s="182" t="str">
        <f>IFERROR(LOOKUP(2,1/((A_Corridor!$A$5:$A$204&lt;&gt;"")*(A_Corridor!$A$5:$A$204&lt;=$B161)*(A_Corridor!$B$5:$B$204&gt;$B161)*(A_Corridor!$I$5:$I$204&lt;&gt;"")),IF(A_Corridor!$I$5:$I$204="-","",A_Corridor!$I$5:$I$204)),"")</f>
        <v/>
      </c>
      <c r="O161" s="182" t="str">
        <f>IFERROR(LOOKUP(2,1/((D_Points!$A$5:$A$204&lt;&gt;"")*(D_Points!$A$5:$A$204&gt;=$B161)*(D_Points!$A$5:$A$204&lt;$B161+P_Interval)*(UPPER(TRIM(D_Points!$B$5:$B$204))="PITCHING")*(D_Points!$H$5:$H$204&lt;&gt;"")),D_Points!$H$5:$H$204),"")</f>
        <v/>
      </c>
      <c r="P161" s="181" t="str">
        <f>IFERROR(LOOKUP(2,1/((B_Drainage!$A$5:$A$204&lt;&gt;"")*(B_Drainage!$A$5:$A$204&lt;=$B161)*(B_Drainage!$B$5:$B$204&gt;$B161)*(B_Drainage!$C$5:$C$204&lt;&gt;"")),IF(B_Drainage!$C$5:$C$204="-","",UPPER(B_Drainage!$C$5:$C$204))),"")</f>
        <v/>
      </c>
      <c r="Q161" s="181" t="str">
        <f>IFERROR(LOOKUP(2,1/((B_Drainage!$A$5:$A$204&lt;&gt;"")*(B_Drainage!$A$5:$A$204&lt;=$B161)*(B_Drainage!$B$5:$B$204&gt;$B161)*(B_Drainage!$D$5:$D$204&lt;&gt;"")),IF(B_Drainage!$D$5:$D$204="-","",UPPER(B_Drainage!$D$5:$D$204))),"")</f>
        <v/>
      </c>
      <c r="R161" s="182" t="str">
        <f>IFERROR(LOOKUP(2,1/((D_Points!$A$5:$A$204&lt;&gt;"")*(D_Points!$A$5:$A$204&gt;=$B161)*(D_Points!$A$5:$A$204&lt;$B161+P_Interval)*(RIGHT(UPPER(TRIM(D_Points!$B$5:$B$204)),8)="_CULVERT")),IF(LEFT(UPPER(TRIM(D_Points!$B$5:$B$204)),2)="EX",1,IF(LEFT(UPPER(TRIM(D_Points!$B$5:$B$204)),2)="PR",2,3))),"")</f>
        <v/>
      </c>
      <c r="S161" s="182" t="str">
        <f>IFERROR(LOOKUP(2,1/((D_Points!$A$5:$A$204&lt;&gt;"")*(D_Points!$A$5:$A$204&gt;=$B161)*(D_Points!$A$5:$A$204&lt;$B161+P_Interval)*(RIGHT(UPPER(TRIM(D_Points!$B$5:$B$204)),7)="_BRIDGE")),IF(LEFT(UPPER(TRIM(D_Points!$B$5:$B$204)),2)="EX",1,IF(LEFT(UPPER(TRIM(D_Points!$B$5:$B$204)),2)="PR",2,2))),"")</f>
        <v/>
      </c>
      <c r="T161" s="181" t="str">
        <f>IFERROR(LOOKUP(2,1/((B_Drainage!$A$5:$A$204&lt;&gt;"")*(B_Drainage!$A$5:$A$204&lt;=$B161)*(B_Drainage!$B$5:$B$204&gt;$B161)*(B_Drainage!$E$5:$E$204&lt;&gt;"")),IF(B_Drainage!$E$5:$E$204="-","",1)),"")</f>
        <v/>
      </c>
      <c r="U161" s="181" t="str">
        <f>IFERROR(LOOKUP(2,1/((B_Drainage!$A$5:$A$204&lt;&gt;"")*(B_Drainage!$A$5:$A$204&lt;=$B161)*(B_Drainage!$B$5:$B$204&gt;$B161)*(B_Drainage!$E$5:$E$204&lt;&gt;"")),IF(B_Drainage!$E$5:$E$204="-","",B_Drainage!$E$5:$E$204)),"")</f>
        <v/>
      </c>
      <c r="V161" s="181" t="str">
        <f>IFERROR(LOOKUP(2,1/((B_Drainage!$A$5:$A$204&lt;&gt;"")*(B_Drainage!$A$5:$A$204&lt;=$B161)*(B_Drainage!$B$5:$B$204&gt;$B161)*(B_Drainage!$F$5:$F$204&lt;&gt;"")),IF(B_Drainage!$F$5:$F$204="-","",1)),"")</f>
        <v/>
      </c>
      <c r="W161" s="181" t="str">
        <f>IFERROR(LOOKUP(2,1/((B_Drainage!$A$5:$A$204&lt;&gt;"")*(B_Drainage!$A$5:$A$204&lt;=$B161)*(B_Drainage!$B$5:$B$204&gt;$B161)*(B_Drainage!$F$5:$F$204&lt;&gt;"")),IF(B_Drainage!$F$5:$F$204="-","",B_Drainage!$F$5:$F$204)),"")</f>
        <v/>
      </c>
      <c r="X161" s="181" t="str">
        <f>IFERROR(LOOKUP(2,1/((B_Drainage!$A$5:$A$204&lt;&gt;"")*(B_Drainage!$A$5:$A$204&lt;=$B161)*(B_Drainage!$B$5:$B$204&gt;$B161)*(B_Drainage!$G$5:$G$204&lt;&gt;"")),IF(UPPER(B_Drainage!$G$5:$G$204)="Y",1,"")),"")</f>
        <v/>
      </c>
      <c r="Y161" s="181" t="str">
        <f>IFERROR(LOOKUP(2,1/((B_Drainage!$A$5:$A$204&lt;&gt;"")*(B_Drainage!$A$5:$A$204&lt;=$B161)*(B_Drainage!$B$5:$B$204&gt;$B161)*(B_Drainage!$H$5:$H$204&lt;&gt;"")),IF(UPPER(B_Drainage!$H$5:$H$204)="Y",1,"")),"")</f>
        <v/>
      </c>
      <c r="Z161" s="181" t="str">
        <f>IFERROR(LOOKUP(2,1/((B_Drainage!$A$5:$A$204&lt;&gt;"")*(B_Drainage!$A$5:$A$204&lt;=$B161)*(B_Drainage!$B$5:$B$204&gt;$B161)*(B_Drainage!$I$5:$I$204&lt;&gt;"")),IF(UPPER(B_Drainage!$I$5:$I$204)="Y",1,"")),"")</f>
        <v/>
      </c>
      <c r="AA161" s="181" t="str">
        <f>IFERROR(LOOKUP(2,1/((B_Drainage!$A$5:$A$204&lt;&gt;"")*(B_Drainage!$A$5:$A$204&lt;=$B161)*(B_Drainage!$B$5:$B$204&gt;$B161)*(B_Drainage!$J$5:$J$204&lt;&gt;"")),IF(UPPER(B_Drainage!$J$5:$J$204)="Y",1,"")),"")</f>
        <v/>
      </c>
      <c r="AB161" s="182" t="str">
        <f>IFERROR(LOOKUP(2,1/((B_Drainage!$A$5:$A$204&lt;&gt;"")*(B_Drainage!$A$5:$A$204&lt;=$B161)*(B_Drainage!$B$5:$B$204&gt;$B161)*(B_Drainage!$K$5:$K$204&lt;&gt;"")),IF(B_Drainage!$K$5:$K$204="-","",B_Drainage!$K$5:$K$204)),"")</f>
        <v/>
      </c>
      <c r="AC161" s="182" t="str">
        <f>IFERROR(LOOKUP(2,1/((B_Drainage!$A$5:$A$204&lt;&gt;"")*(B_Drainage!$A$5:$A$204&lt;=$B161)*(B_Drainage!$B$5:$B$204&gt;$B161)*(B_Drainage!$L$5:$L$204&lt;&gt;"")),IF(B_Drainage!$L$5:$L$204="-","",B_Drainage!$L$5:$L$204)),"")</f>
        <v/>
      </c>
      <c r="AD161" s="182" t="str">
        <f>IFERROR(LOOKUP(2,1/((D_Points!$A$5:$A$204&lt;&gt;"")*(D_Points!$A$5:$A$204&gt;=$B161)*(D_Points!$A$5:$A$204&lt;$B161+P_Interval)*(UPPER(TRIM(D_Points!$B$5:$B$204))="TURNOUT_L")*(D_Points!$H$5:$H$204&lt;&gt;"")),D_Points!$H$5:$H$204),"")</f>
        <v/>
      </c>
      <c r="AE161" s="182" t="str">
        <f>IFERROR(LOOKUP(2,1/((D_Points!$A$5:$A$204&lt;&gt;"")*(D_Points!$A$5:$A$204&gt;=$B161)*(D_Points!$A$5:$A$204&lt;$B161+P_Interval)*(UPPER(TRIM(D_Points!$B$5:$B$204))="TURNOUT_R")*(D_Points!$H$5:$H$204&lt;&gt;"")),D_Points!$H$5:$H$204),"")</f>
        <v/>
      </c>
      <c r="AF161" s="181" t="str">
        <f>IFERROR(LOOKUP(2,1/((B_Drainage!$A$5:$A$204&lt;&gt;"")*(B_Drainage!$A$5:$A$204&lt;=$B161)*(B_Drainage!$B$5:$B$204&gt;$B161)*(B_Drainage!$M$5:$M$204&lt;&gt;"")),IF(UPPER(B_Drainage!$M$5:$M$204)="Y",1,"")),"")</f>
        <v/>
      </c>
      <c r="AG161" s="181" t="str">
        <f>IFERROR(LOOKUP(2,1/((B_Drainage!$A$5:$A$204&lt;&gt;"")*(B_Drainage!$A$5:$A$204&lt;=$B161)*(B_Drainage!$B$5:$B$204&gt;$B161)*(B_Drainage!$N$5:$N$204&lt;&gt;"")),IF(UPPER(B_Drainage!$N$5:$N$204)="Y",1,"")),"")</f>
        <v/>
      </c>
      <c r="AH161" s="181" t="str">
        <f t="shared" si="16"/>
        <v/>
      </c>
      <c r="AI161" s="181" t="str">
        <f t="shared" si="17"/>
        <v/>
      </c>
      <c r="AJ161" s="181" t="str">
        <f t="shared" si="18"/>
        <v/>
      </c>
      <c r="AK161" s="181" t="str">
        <f t="shared" si="19"/>
        <v/>
      </c>
      <c r="AL161" s="181" t="str">
        <f t="shared" si="20"/>
        <v/>
      </c>
      <c r="AM161" s="181" t="str">
        <f t="shared" si="21"/>
        <v/>
      </c>
      <c r="AN161" s="181" t="str">
        <f t="shared" si="22"/>
        <v/>
      </c>
      <c r="AO161" s="192" t="str">
        <f t="shared" si="23"/>
        <v/>
      </c>
      <c r="AQ161" t="str">
        <f>IFERROR(LOOKUP(2,1/((C_Pavement!$A$5:$A$204&lt;&gt;"")*(C_Pavement!$A$5:$A$204&lt;=$B161)*(C_Pavement!$B$5:$B$204&gt;$B161)*(C_Pavement!$C$5:$C$204&lt;&gt;"")),ROW(C_Pavement!$C$5:$C$204)-4),"")</f>
        <v/>
      </c>
      <c r="AR161" t="str">
        <f>IF($AQ161="","",UPPER(TRIM(INDEX(C_Pavement!$C$5:$C$204,$AQ161))))</f>
        <v/>
      </c>
      <c r="AS161" t="str">
        <f>IF($AR161="","",IFERROR(MATCH($AR161,E_Rules!$A$5:$A$9,0),""))</f>
        <v/>
      </c>
      <c r="AT161" t="str">
        <f>IF($AQ161="","",IF(INDEX(C_Pavement!$D$5:$D$204,$AQ161)&lt;&gt;"",UPPER(TRIM(INDEX(C_Pavement!$D$5:$D$204,$AQ161))),IF($AS161="","",INDEX(E_Rules!$C$5:$C$9,$AS161))))</f>
        <v/>
      </c>
      <c r="AU161" t="str">
        <f>IF($AQ161="","",IF(INDEX(C_Pavement!$E$5:$E$204,$AQ161)&lt;&gt;"",IF(INDEX(C_Pavement!$E$5:$E$204,$AQ161)="-","",INDEX(C_Pavement!$E$5:$E$204,$AQ161)),IF($AS161="","",INDEX(E_Rules!$D$5:$D$9,$AS161))))</f>
        <v/>
      </c>
      <c r="AV161" t="str">
        <f>IF($AQ161="","",IF(INDEX(C_Pavement!$F$5:$F$204,$AQ161)&lt;&gt;"",IF(INDEX(C_Pavement!$F$5:$F$204,$AQ161)="-","",INDEX(C_Pavement!$F$5:$F$204,$AQ161)),IF($AS161="","",INDEX(E_Rules!$E$5:$E$9,$AS161))))</f>
        <v/>
      </c>
      <c r="AW161" t="str">
        <f>IF($AQ161="","",IF(INDEX(C_Pavement!$G$5:$G$204,$AQ161)&lt;&gt;"",IF(INDEX(C_Pavement!$G$5:$G$204,$AQ161)="-","",INDEX(C_Pavement!$G$5:$G$204,$AQ161)),IF($AS161="","",INDEX(E_Rules!$F$5:$F$9,$AS161))))</f>
        <v/>
      </c>
      <c r="AX161" t="str">
        <f>IF($AQ161="","",IF(INDEX(C_Pavement!$H$5:$H$204,$AQ161)&lt;&gt;"",IF(INDEX(C_Pavement!$H$5:$H$204,$AQ161)="-","",INDEX(C_Pavement!$H$5:$H$204,$AQ161)),IF($AS161="","",INDEX(E_Rules!$G$5:$G$9,$AS161))))</f>
        <v/>
      </c>
      <c r="AY161" t="str">
        <f>IF($AQ161="","",IF(INDEX(C_Pavement!$I$5:$I$204,$AQ161)&lt;&gt;"",IF(INDEX(C_Pavement!$I$5:$I$204,$AQ161)="-","",INDEX(C_Pavement!$I$5:$I$204,$AQ161)),IF($AS161="","",INDEX(E_Rules!$H$5:$H$9,$AS161))))</f>
        <v/>
      </c>
    </row>
    <row r="162" spans="1:51" ht="15.75" customHeight="1" x14ac:dyDescent="0.3">
      <c r="A162" s="189">
        <v>157</v>
      </c>
      <c r="B162" s="180">
        <v>7800</v>
      </c>
      <c r="C162" s="180" t="s">
        <v>468</v>
      </c>
      <c r="D162" s="181" t="str">
        <f>IFERROR(LOOKUP(2,1/((A_Corridor!$A$5:$A$204&lt;&gt;"")*(A_Corridor!$A$5:$A$204&lt;=$B162)*(A_Corridor!$B$5:$B$204&gt;$B162)*(A_Corridor!$C$5:$C$204&lt;&gt;"")),IF(UPPER(A_Corridor!$C$5:$C$204)="Y",1,"")),"")</f>
        <v/>
      </c>
      <c r="E162" s="181" t="str">
        <f>IFERROR(LOOKUP(2,1/((A_Corridor!$A$5:$A$204&lt;&gt;"")*(A_Corridor!$A$5:$A$204&lt;=$B162)*(A_Corridor!$B$5:$B$204&gt;$B162)*(A_Corridor!$D$5:$D$204&lt;&gt;"")),IF(A_Corridor!$D$5:$D$204="-","",UPPER(A_Corridor!$D$5:$D$204))),"")</f>
        <v/>
      </c>
      <c r="F162" s="181" t="str">
        <f>IFERROR(LOOKUP(2,1/((A_Corridor!$A$5:$A$204&lt;&gt;"")*(A_Corridor!$A$5:$A$204&lt;=$B162)*(A_Corridor!$B$5:$B$204&gt;$B162)*(A_Corridor!$E$5:$E$204&lt;&gt;"")),IF(A_Corridor!$E$5:$E$204="-","",1)),"")</f>
        <v/>
      </c>
      <c r="G162" s="182" t="str">
        <f>IFERROR(LOOKUP(2,1/((A_Corridor!$A$5:$A$204&lt;&gt;"")*(A_Corridor!$A$5:$A$204&lt;=$B162)*(A_Corridor!$B$5:$B$204&gt;$B162)*(A_Corridor!$E$5:$E$204&lt;&gt;"")),IF(A_Corridor!$E$5:$E$204="-","",A_Corridor!$E$5:$E$204)),"")</f>
        <v/>
      </c>
      <c r="H162" s="182" t="str">
        <f>IFERROR(LOOKUP(2,1/((D_Points!$A$5:$A$204&lt;&gt;"")*(D_Points!$A$5:$A$204&gt;=$B162)*(D_Points!$A$5:$A$204&lt;$B162+P_Interval)*(UPPER(TRIM(D_Points!$B$5:$B$204))="GULLY")*(D_Points!$H$5:$H$204&lt;&gt;"")),D_Points!$H$5:$H$204),"")</f>
        <v/>
      </c>
      <c r="I162" s="181" t="str">
        <f>IFERROR(LOOKUP(2,1/((A_Corridor!$A$5:$A$204&lt;&gt;"")*(A_Corridor!$A$5:$A$204&lt;=$B162)*(A_Corridor!$B$5:$B$204&gt;$B162)*(A_Corridor!$F$5:$F$204&lt;&gt;"")),IF(A_Corridor!$F$5:$F$204="-","",1)),"")</f>
        <v/>
      </c>
      <c r="J162" s="182" t="str">
        <f>IFERROR(LOOKUP(2,1/((A_Corridor!$A$5:$A$204&lt;&gt;"")*(A_Corridor!$A$5:$A$204&lt;=$B162)*(A_Corridor!$B$5:$B$204&gt;$B162)*(A_Corridor!$F$5:$F$204&lt;&gt;"")),IF(A_Corridor!$F$5:$F$204="-","",A_Corridor!$F$5:$F$204)),"")</f>
        <v/>
      </c>
      <c r="K162" s="182" t="str">
        <f>IFERROR(LOOKUP(2,1/((A_Corridor!$A$5:$A$204&lt;&gt;"")*(A_Corridor!$A$5:$A$204&lt;=$B162)*(A_Corridor!$B$5:$B$204&gt;$B162)*(A_Corridor!$G$5:$G$204&lt;&gt;"")),IF(A_Corridor!$G$5:$G$204="-","",A_Corridor!$G$5:$G$204)),"")</f>
        <v/>
      </c>
      <c r="L162" s="181" t="str">
        <f>IFERROR(LOOKUP(2,1/((A_Corridor!$A$5:$A$204&lt;&gt;"")*(A_Corridor!$A$5:$A$204&lt;=$B162)*(A_Corridor!$B$5:$B$204&gt;$B162)*(A_Corridor!$H$5:$H$204&lt;&gt;"")),IF(A_Corridor!$H$5:$H$204="-","",1)),"")</f>
        <v/>
      </c>
      <c r="M162" s="182" t="str">
        <f>IFERROR(LOOKUP(2,1/((A_Corridor!$A$5:$A$204&lt;&gt;"")*(A_Corridor!$A$5:$A$204&lt;=$B162)*(A_Corridor!$B$5:$B$204&gt;$B162)*(A_Corridor!$H$5:$H$204&lt;&gt;"")),IF(A_Corridor!$H$5:$H$204="-","",A_Corridor!$H$5:$H$204)),"")</f>
        <v/>
      </c>
      <c r="N162" s="182" t="str">
        <f>IFERROR(LOOKUP(2,1/((A_Corridor!$A$5:$A$204&lt;&gt;"")*(A_Corridor!$A$5:$A$204&lt;=$B162)*(A_Corridor!$B$5:$B$204&gt;$B162)*(A_Corridor!$I$5:$I$204&lt;&gt;"")),IF(A_Corridor!$I$5:$I$204="-","",A_Corridor!$I$5:$I$204)),"")</f>
        <v/>
      </c>
      <c r="O162" s="182" t="str">
        <f>IFERROR(LOOKUP(2,1/((D_Points!$A$5:$A$204&lt;&gt;"")*(D_Points!$A$5:$A$204&gt;=$B162)*(D_Points!$A$5:$A$204&lt;$B162+P_Interval)*(UPPER(TRIM(D_Points!$B$5:$B$204))="PITCHING")*(D_Points!$H$5:$H$204&lt;&gt;"")),D_Points!$H$5:$H$204),"")</f>
        <v/>
      </c>
      <c r="P162" s="181" t="str">
        <f>IFERROR(LOOKUP(2,1/((B_Drainage!$A$5:$A$204&lt;&gt;"")*(B_Drainage!$A$5:$A$204&lt;=$B162)*(B_Drainage!$B$5:$B$204&gt;$B162)*(B_Drainage!$C$5:$C$204&lt;&gt;"")),IF(B_Drainage!$C$5:$C$204="-","",UPPER(B_Drainage!$C$5:$C$204))),"")</f>
        <v/>
      </c>
      <c r="Q162" s="181" t="str">
        <f>IFERROR(LOOKUP(2,1/((B_Drainage!$A$5:$A$204&lt;&gt;"")*(B_Drainage!$A$5:$A$204&lt;=$B162)*(B_Drainage!$B$5:$B$204&gt;$B162)*(B_Drainage!$D$5:$D$204&lt;&gt;"")),IF(B_Drainage!$D$5:$D$204="-","",UPPER(B_Drainage!$D$5:$D$204))),"")</f>
        <v/>
      </c>
      <c r="R162" s="182" t="str">
        <f>IFERROR(LOOKUP(2,1/((D_Points!$A$5:$A$204&lt;&gt;"")*(D_Points!$A$5:$A$204&gt;=$B162)*(D_Points!$A$5:$A$204&lt;$B162+P_Interval)*(RIGHT(UPPER(TRIM(D_Points!$B$5:$B$204)),8)="_CULVERT")),IF(LEFT(UPPER(TRIM(D_Points!$B$5:$B$204)),2)="EX",1,IF(LEFT(UPPER(TRIM(D_Points!$B$5:$B$204)),2)="PR",2,3))),"")</f>
        <v/>
      </c>
      <c r="S162" s="182" t="str">
        <f>IFERROR(LOOKUP(2,1/((D_Points!$A$5:$A$204&lt;&gt;"")*(D_Points!$A$5:$A$204&gt;=$B162)*(D_Points!$A$5:$A$204&lt;$B162+P_Interval)*(RIGHT(UPPER(TRIM(D_Points!$B$5:$B$204)),7)="_BRIDGE")),IF(LEFT(UPPER(TRIM(D_Points!$B$5:$B$204)),2)="EX",1,IF(LEFT(UPPER(TRIM(D_Points!$B$5:$B$204)),2)="PR",2,2))),"")</f>
        <v/>
      </c>
      <c r="T162" s="181" t="str">
        <f>IFERROR(LOOKUP(2,1/((B_Drainage!$A$5:$A$204&lt;&gt;"")*(B_Drainage!$A$5:$A$204&lt;=$B162)*(B_Drainage!$B$5:$B$204&gt;$B162)*(B_Drainage!$E$5:$E$204&lt;&gt;"")),IF(B_Drainage!$E$5:$E$204="-","",1)),"")</f>
        <v/>
      </c>
      <c r="U162" s="181" t="str">
        <f>IFERROR(LOOKUP(2,1/((B_Drainage!$A$5:$A$204&lt;&gt;"")*(B_Drainage!$A$5:$A$204&lt;=$B162)*(B_Drainage!$B$5:$B$204&gt;$B162)*(B_Drainage!$E$5:$E$204&lt;&gt;"")),IF(B_Drainage!$E$5:$E$204="-","",B_Drainage!$E$5:$E$204)),"")</f>
        <v/>
      </c>
      <c r="V162" s="181" t="str">
        <f>IFERROR(LOOKUP(2,1/((B_Drainage!$A$5:$A$204&lt;&gt;"")*(B_Drainage!$A$5:$A$204&lt;=$B162)*(B_Drainage!$B$5:$B$204&gt;$B162)*(B_Drainage!$F$5:$F$204&lt;&gt;"")),IF(B_Drainage!$F$5:$F$204="-","",1)),"")</f>
        <v/>
      </c>
      <c r="W162" s="181" t="str">
        <f>IFERROR(LOOKUP(2,1/((B_Drainage!$A$5:$A$204&lt;&gt;"")*(B_Drainage!$A$5:$A$204&lt;=$B162)*(B_Drainage!$B$5:$B$204&gt;$B162)*(B_Drainage!$F$5:$F$204&lt;&gt;"")),IF(B_Drainage!$F$5:$F$204="-","",B_Drainage!$F$5:$F$204)),"")</f>
        <v/>
      </c>
      <c r="X162" s="181" t="str">
        <f>IFERROR(LOOKUP(2,1/((B_Drainage!$A$5:$A$204&lt;&gt;"")*(B_Drainage!$A$5:$A$204&lt;=$B162)*(B_Drainage!$B$5:$B$204&gt;$B162)*(B_Drainage!$G$5:$G$204&lt;&gt;"")),IF(UPPER(B_Drainage!$G$5:$G$204)="Y",1,"")),"")</f>
        <v/>
      </c>
      <c r="Y162" s="181" t="str">
        <f>IFERROR(LOOKUP(2,1/((B_Drainage!$A$5:$A$204&lt;&gt;"")*(B_Drainage!$A$5:$A$204&lt;=$B162)*(B_Drainage!$B$5:$B$204&gt;$B162)*(B_Drainage!$H$5:$H$204&lt;&gt;"")),IF(UPPER(B_Drainage!$H$5:$H$204)="Y",1,"")),"")</f>
        <v/>
      </c>
      <c r="Z162" s="181" t="str">
        <f>IFERROR(LOOKUP(2,1/((B_Drainage!$A$5:$A$204&lt;&gt;"")*(B_Drainage!$A$5:$A$204&lt;=$B162)*(B_Drainage!$B$5:$B$204&gt;$B162)*(B_Drainage!$I$5:$I$204&lt;&gt;"")),IF(UPPER(B_Drainage!$I$5:$I$204)="Y",1,"")),"")</f>
        <v/>
      </c>
      <c r="AA162" s="181" t="str">
        <f>IFERROR(LOOKUP(2,1/((B_Drainage!$A$5:$A$204&lt;&gt;"")*(B_Drainage!$A$5:$A$204&lt;=$B162)*(B_Drainage!$B$5:$B$204&gt;$B162)*(B_Drainage!$J$5:$J$204&lt;&gt;"")),IF(UPPER(B_Drainage!$J$5:$J$204)="Y",1,"")),"")</f>
        <v/>
      </c>
      <c r="AB162" s="182" t="str">
        <f>IFERROR(LOOKUP(2,1/((B_Drainage!$A$5:$A$204&lt;&gt;"")*(B_Drainage!$A$5:$A$204&lt;=$B162)*(B_Drainage!$B$5:$B$204&gt;$B162)*(B_Drainage!$K$5:$K$204&lt;&gt;"")),IF(B_Drainage!$K$5:$K$204="-","",B_Drainage!$K$5:$K$204)),"")</f>
        <v/>
      </c>
      <c r="AC162" s="182" t="str">
        <f>IFERROR(LOOKUP(2,1/((B_Drainage!$A$5:$A$204&lt;&gt;"")*(B_Drainage!$A$5:$A$204&lt;=$B162)*(B_Drainage!$B$5:$B$204&gt;$B162)*(B_Drainage!$L$5:$L$204&lt;&gt;"")),IF(B_Drainage!$L$5:$L$204="-","",B_Drainage!$L$5:$L$204)),"")</f>
        <v/>
      </c>
      <c r="AD162" s="182" t="str">
        <f>IFERROR(LOOKUP(2,1/((D_Points!$A$5:$A$204&lt;&gt;"")*(D_Points!$A$5:$A$204&gt;=$B162)*(D_Points!$A$5:$A$204&lt;$B162+P_Interval)*(UPPER(TRIM(D_Points!$B$5:$B$204))="TURNOUT_L")*(D_Points!$H$5:$H$204&lt;&gt;"")),D_Points!$H$5:$H$204),"")</f>
        <v/>
      </c>
      <c r="AE162" s="182" t="str">
        <f>IFERROR(LOOKUP(2,1/((D_Points!$A$5:$A$204&lt;&gt;"")*(D_Points!$A$5:$A$204&gt;=$B162)*(D_Points!$A$5:$A$204&lt;$B162+P_Interval)*(UPPER(TRIM(D_Points!$B$5:$B$204))="TURNOUT_R")*(D_Points!$H$5:$H$204&lt;&gt;"")),D_Points!$H$5:$H$204),"")</f>
        <v/>
      </c>
      <c r="AF162" s="181" t="str">
        <f>IFERROR(LOOKUP(2,1/((B_Drainage!$A$5:$A$204&lt;&gt;"")*(B_Drainage!$A$5:$A$204&lt;=$B162)*(B_Drainage!$B$5:$B$204&gt;$B162)*(B_Drainage!$M$5:$M$204&lt;&gt;"")),IF(UPPER(B_Drainage!$M$5:$M$204)="Y",1,"")),"")</f>
        <v/>
      </c>
      <c r="AG162" s="181" t="str">
        <f>IFERROR(LOOKUP(2,1/((B_Drainage!$A$5:$A$204&lt;&gt;"")*(B_Drainage!$A$5:$A$204&lt;=$B162)*(B_Drainage!$B$5:$B$204&gt;$B162)*(B_Drainage!$N$5:$N$204&lt;&gt;"")),IF(UPPER(B_Drainage!$N$5:$N$204)="Y",1,"")),"")</f>
        <v/>
      </c>
      <c r="AH162" s="181" t="str">
        <f t="shared" si="16"/>
        <v/>
      </c>
      <c r="AI162" s="181" t="str">
        <f t="shared" si="17"/>
        <v/>
      </c>
      <c r="AJ162" s="181" t="str">
        <f t="shared" si="18"/>
        <v/>
      </c>
      <c r="AK162" s="181" t="str">
        <f t="shared" si="19"/>
        <v/>
      </c>
      <c r="AL162" s="181" t="str">
        <f t="shared" si="20"/>
        <v/>
      </c>
      <c r="AM162" s="181" t="str">
        <f t="shared" si="21"/>
        <v/>
      </c>
      <c r="AN162" s="181" t="str">
        <f t="shared" si="22"/>
        <v/>
      </c>
      <c r="AO162" s="192" t="str">
        <f t="shared" si="23"/>
        <v/>
      </c>
      <c r="AQ162" t="str">
        <f>IFERROR(LOOKUP(2,1/((C_Pavement!$A$5:$A$204&lt;&gt;"")*(C_Pavement!$A$5:$A$204&lt;=$B162)*(C_Pavement!$B$5:$B$204&gt;$B162)*(C_Pavement!$C$5:$C$204&lt;&gt;"")),ROW(C_Pavement!$C$5:$C$204)-4),"")</f>
        <v/>
      </c>
      <c r="AR162" t="str">
        <f>IF($AQ162="","",UPPER(TRIM(INDEX(C_Pavement!$C$5:$C$204,$AQ162))))</f>
        <v/>
      </c>
      <c r="AS162" t="str">
        <f>IF($AR162="","",IFERROR(MATCH($AR162,E_Rules!$A$5:$A$9,0),""))</f>
        <v/>
      </c>
      <c r="AT162" t="str">
        <f>IF($AQ162="","",IF(INDEX(C_Pavement!$D$5:$D$204,$AQ162)&lt;&gt;"",UPPER(TRIM(INDEX(C_Pavement!$D$5:$D$204,$AQ162))),IF($AS162="","",INDEX(E_Rules!$C$5:$C$9,$AS162))))</f>
        <v/>
      </c>
      <c r="AU162" t="str">
        <f>IF($AQ162="","",IF(INDEX(C_Pavement!$E$5:$E$204,$AQ162)&lt;&gt;"",IF(INDEX(C_Pavement!$E$5:$E$204,$AQ162)="-","",INDEX(C_Pavement!$E$5:$E$204,$AQ162)),IF($AS162="","",INDEX(E_Rules!$D$5:$D$9,$AS162))))</f>
        <v/>
      </c>
      <c r="AV162" t="str">
        <f>IF($AQ162="","",IF(INDEX(C_Pavement!$F$5:$F$204,$AQ162)&lt;&gt;"",IF(INDEX(C_Pavement!$F$5:$F$204,$AQ162)="-","",INDEX(C_Pavement!$F$5:$F$204,$AQ162)),IF($AS162="","",INDEX(E_Rules!$E$5:$E$9,$AS162))))</f>
        <v/>
      </c>
      <c r="AW162" t="str">
        <f>IF($AQ162="","",IF(INDEX(C_Pavement!$G$5:$G$204,$AQ162)&lt;&gt;"",IF(INDEX(C_Pavement!$G$5:$G$204,$AQ162)="-","",INDEX(C_Pavement!$G$5:$G$204,$AQ162)),IF($AS162="","",INDEX(E_Rules!$F$5:$F$9,$AS162))))</f>
        <v/>
      </c>
      <c r="AX162" t="str">
        <f>IF($AQ162="","",IF(INDEX(C_Pavement!$H$5:$H$204,$AQ162)&lt;&gt;"",IF(INDEX(C_Pavement!$H$5:$H$204,$AQ162)="-","",INDEX(C_Pavement!$H$5:$H$204,$AQ162)),IF($AS162="","",INDEX(E_Rules!$G$5:$G$9,$AS162))))</f>
        <v/>
      </c>
      <c r="AY162" t="str">
        <f>IF($AQ162="","",IF(INDEX(C_Pavement!$I$5:$I$204,$AQ162)&lt;&gt;"",IF(INDEX(C_Pavement!$I$5:$I$204,$AQ162)="-","",INDEX(C_Pavement!$I$5:$I$204,$AQ162)),IF($AS162="","",INDEX(E_Rules!$H$5:$H$9,$AS162))))</f>
        <v/>
      </c>
    </row>
    <row r="163" spans="1:51" ht="15.75" customHeight="1" x14ac:dyDescent="0.3">
      <c r="A163" s="189">
        <v>158</v>
      </c>
      <c r="B163" s="180">
        <v>7850</v>
      </c>
      <c r="C163" s="180" t="s">
        <v>469</v>
      </c>
      <c r="D163" s="181" t="str">
        <f>IFERROR(LOOKUP(2,1/((A_Corridor!$A$5:$A$204&lt;&gt;"")*(A_Corridor!$A$5:$A$204&lt;=$B163)*(A_Corridor!$B$5:$B$204&gt;$B163)*(A_Corridor!$C$5:$C$204&lt;&gt;"")),IF(UPPER(A_Corridor!$C$5:$C$204)="Y",1,"")),"")</f>
        <v/>
      </c>
      <c r="E163" s="181" t="str">
        <f>IFERROR(LOOKUP(2,1/((A_Corridor!$A$5:$A$204&lt;&gt;"")*(A_Corridor!$A$5:$A$204&lt;=$B163)*(A_Corridor!$B$5:$B$204&gt;$B163)*(A_Corridor!$D$5:$D$204&lt;&gt;"")),IF(A_Corridor!$D$5:$D$204="-","",UPPER(A_Corridor!$D$5:$D$204))),"")</f>
        <v/>
      </c>
      <c r="F163" s="181" t="str">
        <f>IFERROR(LOOKUP(2,1/((A_Corridor!$A$5:$A$204&lt;&gt;"")*(A_Corridor!$A$5:$A$204&lt;=$B163)*(A_Corridor!$B$5:$B$204&gt;$B163)*(A_Corridor!$E$5:$E$204&lt;&gt;"")),IF(A_Corridor!$E$5:$E$204="-","",1)),"")</f>
        <v/>
      </c>
      <c r="G163" s="182" t="str">
        <f>IFERROR(LOOKUP(2,1/((A_Corridor!$A$5:$A$204&lt;&gt;"")*(A_Corridor!$A$5:$A$204&lt;=$B163)*(A_Corridor!$B$5:$B$204&gt;$B163)*(A_Corridor!$E$5:$E$204&lt;&gt;"")),IF(A_Corridor!$E$5:$E$204="-","",A_Corridor!$E$5:$E$204)),"")</f>
        <v/>
      </c>
      <c r="H163" s="182" t="str">
        <f>IFERROR(LOOKUP(2,1/((D_Points!$A$5:$A$204&lt;&gt;"")*(D_Points!$A$5:$A$204&gt;=$B163)*(D_Points!$A$5:$A$204&lt;$B163+P_Interval)*(UPPER(TRIM(D_Points!$B$5:$B$204))="GULLY")*(D_Points!$H$5:$H$204&lt;&gt;"")),D_Points!$H$5:$H$204),"")</f>
        <v/>
      </c>
      <c r="I163" s="181" t="str">
        <f>IFERROR(LOOKUP(2,1/((A_Corridor!$A$5:$A$204&lt;&gt;"")*(A_Corridor!$A$5:$A$204&lt;=$B163)*(A_Corridor!$B$5:$B$204&gt;$B163)*(A_Corridor!$F$5:$F$204&lt;&gt;"")),IF(A_Corridor!$F$5:$F$204="-","",1)),"")</f>
        <v/>
      </c>
      <c r="J163" s="182" t="str">
        <f>IFERROR(LOOKUP(2,1/((A_Corridor!$A$5:$A$204&lt;&gt;"")*(A_Corridor!$A$5:$A$204&lt;=$B163)*(A_Corridor!$B$5:$B$204&gt;$B163)*(A_Corridor!$F$5:$F$204&lt;&gt;"")),IF(A_Corridor!$F$5:$F$204="-","",A_Corridor!$F$5:$F$204)),"")</f>
        <v/>
      </c>
      <c r="K163" s="182" t="str">
        <f>IFERROR(LOOKUP(2,1/((A_Corridor!$A$5:$A$204&lt;&gt;"")*(A_Corridor!$A$5:$A$204&lt;=$B163)*(A_Corridor!$B$5:$B$204&gt;$B163)*(A_Corridor!$G$5:$G$204&lt;&gt;"")),IF(A_Corridor!$G$5:$G$204="-","",A_Corridor!$G$5:$G$204)),"")</f>
        <v/>
      </c>
      <c r="L163" s="181" t="str">
        <f>IFERROR(LOOKUP(2,1/((A_Corridor!$A$5:$A$204&lt;&gt;"")*(A_Corridor!$A$5:$A$204&lt;=$B163)*(A_Corridor!$B$5:$B$204&gt;$B163)*(A_Corridor!$H$5:$H$204&lt;&gt;"")),IF(A_Corridor!$H$5:$H$204="-","",1)),"")</f>
        <v/>
      </c>
      <c r="M163" s="182" t="str">
        <f>IFERROR(LOOKUP(2,1/((A_Corridor!$A$5:$A$204&lt;&gt;"")*(A_Corridor!$A$5:$A$204&lt;=$B163)*(A_Corridor!$B$5:$B$204&gt;$B163)*(A_Corridor!$H$5:$H$204&lt;&gt;"")),IF(A_Corridor!$H$5:$H$204="-","",A_Corridor!$H$5:$H$204)),"")</f>
        <v/>
      </c>
      <c r="N163" s="182" t="str">
        <f>IFERROR(LOOKUP(2,1/((A_Corridor!$A$5:$A$204&lt;&gt;"")*(A_Corridor!$A$5:$A$204&lt;=$B163)*(A_Corridor!$B$5:$B$204&gt;$B163)*(A_Corridor!$I$5:$I$204&lt;&gt;"")),IF(A_Corridor!$I$5:$I$204="-","",A_Corridor!$I$5:$I$204)),"")</f>
        <v/>
      </c>
      <c r="O163" s="182" t="str">
        <f>IFERROR(LOOKUP(2,1/((D_Points!$A$5:$A$204&lt;&gt;"")*(D_Points!$A$5:$A$204&gt;=$B163)*(D_Points!$A$5:$A$204&lt;$B163+P_Interval)*(UPPER(TRIM(D_Points!$B$5:$B$204))="PITCHING")*(D_Points!$H$5:$H$204&lt;&gt;"")),D_Points!$H$5:$H$204),"")</f>
        <v/>
      </c>
      <c r="P163" s="181" t="str">
        <f>IFERROR(LOOKUP(2,1/((B_Drainage!$A$5:$A$204&lt;&gt;"")*(B_Drainage!$A$5:$A$204&lt;=$B163)*(B_Drainage!$B$5:$B$204&gt;$B163)*(B_Drainage!$C$5:$C$204&lt;&gt;"")),IF(B_Drainage!$C$5:$C$204="-","",UPPER(B_Drainage!$C$5:$C$204))),"")</f>
        <v/>
      </c>
      <c r="Q163" s="181" t="str">
        <f>IFERROR(LOOKUP(2,1/((B_Drainage!$A$5:$A$204&lt;&gt;"")*(B_Drainage!$A$5:$A$204&lt;=$B163)*(B_Drainage!$B$5:$B$204&gt;$B163)*(B_Drainage!$D$5:$D$204&lt;&gt;"")),IF(B_Drainage!$D$5:$D$204="-","",UPPER(B_Drainage!$D$5:$D$204))),"")</f>
        <v/>
      </c>
      <c r="R163" s="182" t="str">
        <f>IFERROR(LOOKUP(2,1/((D_Points!$A$5:$A$204&lt;&gt;"")*(D_Points!$A$5:$A$204&gt;=$B163)*(D_Points!$A$5:$A$204&lt;$B163+P_Interval)*(RIGHT(UPPER(TRIM(D_Points!$B$5:$B$204)),8)="_CULVERT")),IF(LEFT(UPPER(TRIM(D_Points!$B$5:$B$204)),2)="EX",1,IF(LEFT(UPPER(TRIM(D_Points!$B$5:$B$204)),2)="PR",2,3))),"")</f>
        <v/>
      </c>
      <c r="S163" s="182" t="str">
        <f>IFERROR(LOOKUP(2,1/((D_Points!$A$5:$A$204&lt;&gt;"")*(D_Points!$A$5:$A$204&gt;=$B163)*(D_Points!$A$5:$A$204&lt;$B163+P_Interval)*(RIGHT(UPPER(TRIM(D_Points!$B$5:$B$204)),7)="_BRIDGE")),IF(LEFT(UPPER(TRIM(D_Points!$B$5:$B$204)),2)="EX",1,IF(LEFT(UPPER(TRIM(D_Points!$B$5:$B$204)),2)="PR",2,2))),"")</f>
        <v/>
      </c>
      <c r="T163" s="181" t="str">
        <f>IFERROR(LOOKUP(2,1/((B_Drainage!$A$5:$A$204&lt;&gt;"")*(B_Drainage!$A$5:$A$204&lt;=$B163)*(B_Drainage!$B$5:$B$204&gt;$B163)*(B_Drainage!$E$5:$E$204&lt;&gt;"")),IF(B_Drainage!$E$5:$E$204="-","",1)),"")</f>
        <v/>
      </c>
      <c r="U163" s="181" t="str">
        <f>IFERROR(LOOKUP(2,1/((B_Drainage!$A$5:$A$204&lt;&gt;"")*(B_Drainage!$A$5:$A$204&lt;=$B163)*(B_Drainage!$B$5:$B$204&gt;$B163)*(B_Drainage!$E$5:$E$204&lt;&gt;"")),IF(B_Drainage!$E$5:$E$204="-","",B_Drainage!$E$5:$E$204)),"")</f>
        <v/>
      </c>
      <c r="V163" s="181" t="str">
        <f>IFERROR(LOOKUP(2,1/((B_Drainage!$A$5:$A$204&lt;&gt;"")*(B_Drainage!$A$5:$A$204&lt;=$B163)*(B_Drainage!$B$5:$B$204&gt;$B163)*(B_Drainage!$F$5:$F$204&lt;&gt;"")),IF(B_Drainage!$F$5:$F$204="-","",1)),"")</f>
        <v/>
      </c>
      <c r="W163" s="181" t="str">
        <f>IFERROR(LOOKUP(2,1/((B_Drainage!$A$5:$A$204&lt;&gt;"")*(B_Drainage!$A$5:$A$204&lt;=$B163)*(B_Drainage!$B$5:$B$204&gt;$B163)*(B_Drainage!$F$5:$F$204&lt;&gt;"")),IF(B_Drainage!$F$5:$F$204="-","",B_Drainage!$F$5:$F$204)),"")</f>
        <v/>
      </c>
      <c r="X163" s="181" t="str">
        <f>IFERROR(LOOKUP(2,1/((B_Drainage!$A$5:$A$204&lt;&gt;"")*(B_Drainage!$A$5:$A$204&lt;=$B163)*(B_Drainage!$B$5:$B$204&gt;$B163)*(B_Drainage!$G$5:$G$204&lt;&gt;"")),IF(UPPER(B_Drainage!$G$5:$G$204)="Y",1,"")),"")</f>
        <v/>
      </c>
      <c r="Y163" s="181" t="str">
        <f>IFERROR(LOOKUP(2,1/((B_Drainage!$A$5:$A$204&lt;&gt;"")*(B_Drainage!$A$5:$A$204&lt;=$B163)*(B_Drainage!$B$5:$B$204&gt;$B163)*(B_Drainage!$H$5:$H$204&lt;&gt;"")),IF(UPPER(B_Drainage!$H$5:$H$204)="Y",1,"")),"")</f>
        <v/>
      </c>
      <c r="Z163" s="181" t="str">
        <f>IFERROR(LOOKUP(2,1/((B_Drainage!$A$5:$A$204&lt;&gt;"")*(B_Drainage!$A$5:$A$204&lt;=$B163)*(B_Drainage!$B$5:$B$204&gt;$B163)*(B_Drainage!$I$5:$I$204&lt;&gt;"")),IF(UPPER(B_Drainage!$I$5:$I$204)="Y",1,"")),"")</f>
        <v/>
      </c>
      <c r="AA163" s="181" t="str">
        <f>IFERROR(LOOKUP(2,1/((B_Drainage!$A$5:$A$204&lt;&gt;"")*(B_Drainage!$A$5:$A$204&lt;=$B163)*(B_Drainage!$B$5:$B$204&gt;$B163)*(B_Drainage!$J$5:$J$204&lt;&gt;"")),IF(UPPER(B_Drainage!$J$5:$J$204)="Y",1,"")),"")</f>
        <v/>
      </c>
      <c r="AB163" s="182" t="str">
        <f>IFERROR(LOOKUP(2,1/((B_Drainage!$A$5:$A$204&lt;&gt;"")*(B_Drainage!$A$5:$A$204&lt;=$B163)*(B_Drainage!$B$5:$B$204&gt;$B163)*(B_Drainage!$K$5:$K$204&lt;&gt;"")),IF(B_Drainage!$K$5:$K$204="-","",B_Drainage!$K$5:$K$204)),"")</f>
        <v/>
      </c>
      <c r="AC163" s="182" t="str">
        <f>IFERROR(LOOKUP(2,1/((B_Drainage!$A$5:$A$204&lt;&gt;"")*(B_Drainage!$A$5:$A$204&lt;=$B163)*(B_Drainage!$B$5:$B$204&gt;$B163)*(B_Drainage!$L$5:$L$204&lt;&gt;"")),IF(B_Drainage!$L$5:$L$204="-","",B_Drainage!$L$5:$L$204)),"")</f>
        <v/>
      </c>
      <c r="AD163" s="182" t="str">
        <f>IFERROR(LOOKUP(2,1/((D_Points!$A$5:$A$204&lt;&gt;"")*(D_Points!$A$5:$A$204&gt;=$B163)*(D_Points!$A$5:$A$204&lt;$B163+P_Interval)*(UPPER(TRIM(D_Points!$B$5:$B$204))="TURNOUT_L")*(D_Points!$H$5:$H$204&lt;&gt;"")),D_Points!$H$5:$H$204),"")</f>
        <v/>
      </c>
      <c r="AE163" s="182" t="str">
        <f>IFERROR(LOOKUP(2,1/((D_Points!$A$5:$A$204&lt;&gt;"")*(D_Points!$A$5:$A$204&gt;=$B163)*(D_Points!$A$5:$A$204&lt;$B163+P_Interval)*(UPPER(TRIM(D_Points!$B$5:$B$204))="TURNOUT_R")*(D_Points!$H$5:$H$204&lt;&gt;"")),D_Points!$H$5:$H$204),"")</f>
        <v/>
      </c>
      <c r="AF163" s="181" t="str">
        <f>IFERROR(LOOKUP(2,1/((B_Drainage!$A$5:$A$204&lt;&gt;"")*(B_Drainage!$A$5:$A$204&lt;=$B163)*(B_Drainage!$B$5:$B$204&gt;$B163)*(B_Drainage!$M$5:$M$204&lt;&gt;"")),IF(UPPER(B_Drainage!$M$5:$M$204)="Y",1,"")),"")</f>
        <v/>
      </c>
      <c r="AG163" s="181" t="str">
        <f>IFERROR(LOOKUP(2,1/((B_Drainage!$A$5:$A$204&lt;&gt;"")*(B_Drainage!$A$5:$A$204&lt;=$B163)*(B_Drainage!$B$5:$B$204&gt;$B163)*(B_Drainage!$N$5:$N$204&lt;&gt;"")),IF(UPPER(B_Drainage!$N$5:$N$204)="Y",1,"")),"")</f>
        <v/>
      </c>
      <c r="AH163" s="181" t="str">
        <f t="shared" si="16"/>
        <v/>
      </c>
      <c r="AI163" s="181" t="str">
        <f t="shared" si="17"/>
        <v/>
      </c>
      <c r="AJ163" s="181" t="str">
        <f t="shared" si="18"/>
        <v/>
      </c>
      <c r="AK163" s="181" t="str">
        <f t="shared" si="19"/>
        <v/>
      </c>
      <c r="AL163" s="181" t="str">
        <f t="shared" si="20"/>
        <v/>
      </c>
      <c r="AM163" s="181" t="str">
        <f t="shared" si="21"/>
        <v/>
      </c>
      <c r="AN163" s="181" t="str">
        <f t="shared" si="22"/>
        <v/>
      </c>
      <c r="AO163" s="192" t="str">
        <f t="shared" si="23"/>
        <v/>
      </c>
      <c r="AQ163" t="str">
        <f>IFERROR(LOOKUP(2,1/((C_Pavement!$A$5:$A$204&lt;&gt;"")*(C_Pavement!$A$5:$A$204&lt;=$B163)*(C_Pavement!$B$5:$B$204&gt;$B163)*(C_Pavement!$C$5:$C$204&lt;&gt;"")),ROW(C_Pavement!$C$5:$C$204)-4),"")</f>
        <v/>
      </c>
      <c r="AR163" t="str">
        <f>IF($AQ163="","",UPPER(TRIM(INDEX(C_Pavement!$C$5:$C$204,$AQ163))))</f>
        <v/>
      </c>
      <c r="AS163" t="str">
        <f>IF($AR163="","",IFERROR(MATCH($AR163,E_Rules!$A$5:$A$9,0),""))</f>
        <v/>
      </c>
      <c r="AT163" t="str">
        <f>IF($AQ163="","",IF(INDEX(C_Pavement!$D$5:$D$204,$AQ163)&lt;&gt;"",UPPER(TRIM(INDEX(C_Pavement!$D$5:$D$204,$AQ163))),IF($AS163="","",INDEX(E_Rules!$C$5:$C$9,$AS163))))</f>
        <v/>
      </c>
      <c r="AU163" t="str">
        <f>IF($AQ163="","",IF(INDEX(C_Pavement!$E$5:$E$204,$AQ163)&lt;&gt;"",IF(INDEX(C_Pavement!$E$5:$E$204,$AQ163)="-","",INDEX(C_Pavement!$E$5:$E$204,$AQ163)),IF($AS163="","",INDEX(E_Rules!$D$5:$D$9,$AS163))))</f>
        <v/>
      </c>
      <c r="AV163" t="str">
        <f>IF($AQ163="","",IF(INDEX(C_Pavement!$F$5:$F$204,$AQ163)&lt;&gt;"",IF(INDEX(C_Pavement!$F$5:$F$204,$AQ163)="-","",INDEX(C_Pavement!$F$5:$F$204,$AQ163)),IF($AS163="","",INDEX(E_Rules!$E$5:$E$9,$AS163))))</f>
        <v/>
      </c>
      <c r="AW163" t="str">
        <f>IF($AQ163="","",IF(INDEX(C_Pavement!$G$5:$G$204,$AQ163)&lt;&gt;"",IF(INDEX(C_Pavement!$G$5:$G$204,$AQ163)="-","",INDEX(C_Pavement!$G$5:$G$204,$AQ163)),IF($AS163="","",INDEX(E_Rules!$F$5:$F$9,$AS163))))</f>
        <v/>
      </c>
      <c r="AX163" t="str">
        <f>IF($AQ163="","",IF(INDEX(C_Pavement!$H$5:$H$204,$AQ163)&lt;&gt;"",IF(INDEX(C_Pavement!$H$5:$H$204,$AQ163)="-","",INDEX(C_Pavement!$H$5:$H$204,$AQ163)),IF($AS163="","",INDEX(E_Rules!$G$5:$G$9,$AS163))))</f>
        <v/>
      </c>
      <c r="AY163" t="str">
        <f>IF($AQ163="","",IF(INDEX(C_Pavement!$I$5:$I$204,$AQ163)&lt;&gt;"",IF(INDEX(C_Pavement!$I$5:$I$204,$AQ163)="-","",INDEX(C_Pavement!$I$5:$I$204,$AQ163)),IF($AS163="","",INDEX(E_Rules!$H$5:$H$9,$AS163))))</f>
        <v/>
      </c>
    </row>
    <row r="164" spans="1:51" ht="15.75" customHeight="1" x14ac:dyDescent="0.3">
      <c r="A164" s="189">
        <v>159</v>
      </c>
      <c r="B164" s="180">
        <v>7900</v>
      </c>
      <c r="C164" s="180" t="s">
        <v>470</v>
      </c>
      <c r="D164" s="181" t="str">
        <f>IFERROR(LOOKUP(2,1/((A_Corridor!$A$5:$A$204&lt;&gt;"")*(A_Corridor!$A$5:$A$204&lt;=$B164)*(A_Corridor!$B$5:$B$204&gt;$B164)*(A_Corridor!$C$5:$C$204&lt;&gt;"")),IF(UPPER(A_Corridor!$C$5:$C$204)="Y",1,"")),"")</f>
        <v/>
      </c>
      <c r="E164" s="181" t="str">
        <f>IFERROR(LOOKUP(2,1/((A_Corridor!$A$5:$A$204&lt;&gt;"")*(A_Corridor!$A$5:$A$204&lt;=$B164)*(A_Corridor!$B$5:$B$204&gt;$B164)*(A_Corridor!$D$5:$D$204&lt;&gt;"")),IF(A_Corridor!$D$5:$D$204="-","",UPPER(A_Corridor!$D$5:$D$204))),"")</f>
        <v/>
      </c>
      <c r="F164" s="181" t="str">
        <f>IFERROR(LOOKUP(2,1/((A_Corridor!$A$5:$A$204&lt;&gt;"")*(A_Corridor!$A$5:$A$204&lt;=$B164)*(A_Corridor!$B$5:$B$204&gt;$B164)*(A_Corridor!$E$5:$E$204&lt;&gt;"")),IF(A_Corridor!$E$5:$E$204="-","",1)),"")</f>
        <v/>
      </c>
      <c r="G164" s="182" t="str">
        <f>IFERROR(LOOKUP(2,1/((A_Corridor!$A$5:$A$204&lt;&gt;"")*(A_Corridor!$A$5:$A$204&lt;=$B164)*(A_Corridor!$B$5:$B$204&gt;$B164)*(A_Corridor!$E$5:$E$204&lt;&gt;"")),IF(A_Corridor!$E$5:$E$204="-","",A_Corridor!$E$5:$E$204)),"")</f>
        <v/>
      </c>
      <c r="H164" s="182" t="str">
        <f>IFERROR(LOOKUP(2,1/((D_Points!$A$5:$A$204&lt;&gt;"")*(D_Points!$A$5:$A$204&gt;=$B164)*(D_Points!$A$5:$A$204&lt;$B164+P_Interval)*(UPPER(TRIM(D_Points!$B$5:$B$204))="GULLY")*(D_Points!$H$5:$H$204&lt;&gt;"")),D_Points!$H$5:$H$204),"")</f>
        <v/>
      </c>
      <c r="I164" s="181" t="str">
        <f>IFERROR(LOOKUP(2,1/((A_Corridor!$A$5:$A$204&lt;&gt;"")*(A_Corridor!$A$5:$A$204&lt;=$B164)*(A_Corridor!$B$5:$B$204&gt;$B164)*(A_Corridor!$F$5:$F$204&lt;&gt;"")),IF(A_Corridor!$F$5:$F$204="-","",1)),"")</f>
        <v/>
      </c>
      <c r="J164" s="182" t="str">
        <f>IFERROR(LOOKUP(2,1/((A_Corridor!$A$5:$A$204&lt;&gt;"")*(A_Corridor!$A$5:$A$204&lt;=$B164)*(A_Corridor!$B$5:$B$204&gt;$B164)*(A_Corridor!$F$5:$F$204&lt;&gt;"")),IF(A_Corridor!$F$5:$F$204="-","",A_Corridor!$F$5:$F$204)),"")</f>
        <v/>
      </c>
      <c r="K164" s="182" t="str">
        <f>IFERROR(LOOKUP(2,1/((A_Corridor!$A$5:$A$204&lt;&gt;"")*(A_Corridor!$A$5:$A$204&lt;=$B164)*(A_Corridor!$B$5:$B$204&gt;$B164)*(A_Corridor!$G$5:$G$204&lt;&gt;"")),IF(A_Corridor!$G$5:$G$204="-","",A_Corridor!$G$5:$G$204)),"")</f>
        <v/>
      </c>
      <c r="L164" s="181" t="str">
        <f>IFERROR(LOOKUP(2,1/((A_Corridor!$A$5:$A$204&lt;&gt;"")*(A_Corridor!$A$5:$A$204&lt;=$B164)*(A_Corridor!$B$5:$B$204&gt;$B164)*(A_Corridor!$H$5:$H$204&lt;&gt;"")),IF(A_Corridor!$H$5:$H$204="-","",1)),"")</f>
        <v/>
      </c>
      <c r="M164" s="182" t="str">
        <f>IFERROR(LOOKUP(2,1/((A_Corridor!$A$5:$A$204&lt;&gt;"")*(A_Corridor!$A$5:$A$204&lt;=$B164)*(A_Corridor!$B$5:$B$204&gt;$B164)*(A_Corridor!$H$5:$H$204&lt;&gt;"")),IF(A_Corridor!$H$5:$H$204="-","",A_Corridor!$H$5:$H$204)),"")</f>
        <v/>
      </c>
      <c r="N164" s="182" t="str">
        <f>IFERROR(LOOKUP(2,1/((A_Corridor!$A$5:$A$204&lt;&gt;"")*(A_Corridor!$A$5:$A$204&lt;=$B164)*(A_Corridor!$B$5:$B$204&gt;$B164)*(A_Corridor!$I$5:$I$204&lt;&gt;"")),IF(A_Corridor!$I$5:$I$204="-","",A_Corridor!$I$5:$I$204)),"")</f>
        <v/>
      </c>
      <c r="O164" s="182" t="str">
        <f>IFERROR(LOOKUP(2,1/((D_Points!$A$5:$A$204&lt;&gt;"")*(D_Points!$A$5:$A$204&gt;=$B164)*(D_Points!$A$5:$A$204&lt;$B164+P_Interval)*(UPPER(TRIM(D_Points!$B$5:$B$204))="PITCHING")*(D_Points!$H$5:$H$204&lt;&gt;"")),D_Points!$H$5:$H$204),"")</f>
        <v/>
      </c>
      <c r="P164" s="181" t="str">
        <f>IFERROR(LOOKUP(2,1/((B_Drainage!$A$5:$A$204&lt;&gt;"")*(B_Drainage!$A$5:$A$204&lt;=$B164)*(B_Drainage!$B$5:$B$204&gt;$B164)*(B_Drainage!$C$5:$C$204&lt;&gt;"")),IF(B_Drainage!$C$5:$C$204="-","",UPPER(B_Drainage!$C$5:$C$204))),"")</f>
        <v/>
      </c>
      <c r="Q164" s="181" t="str">
        <f>IFERROR(LOOKUP(2,1/((B_Drainage!$A$5:$A$204&lt;&gt;"")*(B_Drainage!$A$5:$A$204&lt;=$B164)*(B_Drainage!$B$5:$B$204&gt;$B164)*(B_Drainage!$D$5:$D$204&lt;&gt;"")),IF(B_Drainage!$D$5:$D$204="-","",UPPER(B_Drainage!$D$5:$D$204))),"")</f>
        <v/>
      </c>
      <c r="R164" s="182" t="str">
        <f>IFERROR(LOOKUP(2,1/((D_Points!$A$5:$A$204&lt;&gt;"")*(D_Points!$A$5:$A$204&gt;=$B164)*(D_Points!$A$5:$A$204&lt;$B164+P_Interval)*(RIGHT(UPPER(TRIM(D_Points!$B$5:$B$204)),8)="_CULVERT")),IF(LEFT(UPPER(TRIM(D_Points!$B$5:$B$204)),2)="EX",1,IF(LEFT(UPPER(TRIM(D_Points!$B$5:$B$204)),2)="PR",2,3))),"")</f>
        <v/>
      </c>
      <c r="S164" s="182" t="str">
        <f>IFERROR(LOOKUP(2,1/((D_Points!$A$5:$A$204&lt;&gt;"")*(D_Points!$A$5:$A$204&gt;=$B164)*(D_Points!$A$5:$A$204&lt;$B164+P_Interval)*(RIGHT(UPPER(TRIM(D_Points!$B$5:$B$204)),7)="_BRIDGE")),IF(LEFT(UPPER(TRIM(D_Points!$B$5:$B$204)),2)="EX",1,IF(LEFT(UPPER(TRIM(D_Points!$B$5:$B$204)),2)="PR",2,2))),"")</f>
        <v/>
      </c>
      <c r="T164" s="181" t="str">
        <f>IFERROR(LOOKUP(2,1/((B_Drainage!$A$5:$A$204&lt;&gt;"")*(B_Drainage!$A$5:$A$204&lt;=$B164)*(B_Drainage!$B$5:$B$204&gt;$B164)*(B_Drainage!$E$5:$E$204&lt;&gt;"")),IF(B_Drainage!$E$5:$E$204="-","",1)),"")</f>
        <v/>
      </c>
      <c r="U164" s="181" t="str">
        <f>IFERROR(LOOKUP(2,1/((B_Drainage!$A$5:$A$204&lt;&gt;"")*(B_Drainage!$A$5:$A$204&lt;=$B164)*(B_Drainage!$B$5:$B$204&gt;$B164)*(B_Drainage!$E$5:$E$204&lt;&gt;"")),IF(B_Drainage!$E$5:$E$204="-","",B_Drainage!$E$5:$E$204)),"")</f>
        <v/>
      </c>
      <c r="V164" s="181" t="str">
        <f>IFERROR(LOOKUP(2,1/((B_Drainage!$A$5:$A$204&lt;&gt;"")*(B_Drainage!$A$5:$A$204&lt;=$B164)*(B_Drainage!$B$5:$B$204&gt;$B164)*(B_Drainage!$F$5:$F$204&lt;&gt;"")),IF(B_Drainage!$F$5:$F$204="-","",1)),"")</f>
        <v/>
      </c>
      <c r="W164" s="181" t="str">
        <f>IFERROR(LOOKUP(2,1/((B_Drainage!$A$5:$A$204&lt;&gt;"")*(B_Drainage!$A$5:$A$204&lt;=$B164)*(B_Drainage!$B$5:$B$204&gt;$B164)*(B_Drainage!$F$5:$F$204&lt;&gt;"")),IF(B_Drainage!$F$5:$F$204="-","",B_Drainage!$F$5:$F$204)),"")</f>
        <v/>
      </c>
      <c r="X164" s="181" t="str">
        <f>IFERROR(LOOKUP(2,1/((B_Drainage!$A$5:$A$204&lt;&gt;"")*(B_Drainage!$A$5:$A$204&lt;=$B164)*(B_Drainage!$B$5:$B$204&gt;$B164)*(B_Drainage!$G$5:$G$204&lt;&gt;"")),IF(UPPER(B_Drainage!$G$5:$G$204)="Y",1,"")),"")</f>
        <v/>
      </c>
      <c r="Y164" s="181" t="str">
        <f>IFERROR(LOOKUP(2,1/((B_Drainage!$A$5:$A$204&lt;&gt;"")*(B_Drainage!$A$5:$A$204&lt;=$B164)*(B_Drainage!$B$5:$B$204&gt;$B164)*(B_Drainage!$H$5:$H$204&lt;&gt;"")),IF(UPPER(B_Drainage!$H$5:$H$204)="Y",1,"")),"")</f>
        <v/>
      </c>
      <c r="Z164" s="181" t="str">
        <f>IFERROR(LOOKUP(2,1/((B_Drainage!$A$5:$A$204&lt;&gt;"")*(B_Drainage!$A$5:$A$204&lt;=$B164)*(B_Drainage!$B$5:$B$204&gt;$B164)*(B_Drainage!$I$5:$I$204&lt;&gt;"")),IF(UPPER(B_Drainage!$I$5:$I$204)="Y",1,"")),"")</f>
        <v/>
      </c>
      <c r="AA164" s="181" t="str">
        <f>IFERROR(LOOKUP(2,1/((B_Drainage!$A$5:$A$204&lt;&gt;"")*(B_Drainage!$A$5:$A$204&lt;=$B164)*(B_Drainage!$B$5:$B$204&gt;$B164)*(B_Drainage!$J$5:$J$204&lt;&gt;"")),IF(UPPER(B_Drainage!$J$5:$J$204)="Y",1,"")),"")</f>
        <v/>
      </c>
      <c r="AB164" s="182" t="str">
        <f>IFERROR(LOOKUP(2,1/((B_Drainage!$A$5:$A$204&lt;&gt;"")*(B_Drainage!$A$5:$A$204&lt;=$B164)*(B_Drainage!$B$5:$B$204&gt;$B164)*(B_Drainage!$K$5:$K$204&lt;&gt;"")),IF(B_Drainage!$K$5:$K$204="-","",B_Drainage!$K$5:$K$204)),"")</f>
        <v/>
      </c>
      <c r="AC164" s="182" t="str">
        <f>IFERROR(LOOKUP(2,1/((B_Drainage!$A$5:$A$204&lt;&gt;"")*(B_Drainage!$A$5:$A$204&lt;=$B164)*(B_Drainage!$B$5:$B$204&gt;$B164)*(B_Drainage!$L$5:$L$204&lt;&gt;"")),IF(B_Drainage!$L$5:$L$204="-","",B_Drainage!$L$5:$L$204)),"")</f>
        <v/>
      </c>
      <c r="AD164" s="182" t="str">
        <f>IFERROR(LOOKUP(2,1/((D_Points!$A$5:$A$204&lt;&gt;"")*(D_Points!$A$5:$A$204&gt;=$B164)*(D_Points!$A$5:$A$204&lt;$B164+P_Interval)*(UPPER(TRIM(D_Points!$B$5:$B$204))="TURNOUT_L")*(D_Points!$H$5:$H$204&lt;&gt;"")),D_Points!$H$5:$H$204),"")</f>
        <v/>
      </c>
      <c r="AE164" s="182" t="str">
        <f>IFERROR(LOOKUP(2,1/((D_Points!$A$5:$A$204&lt;&gt;"")*(D_Points!$A$5:$A$204&gt;=$B164)*(D_Points!$A$5:$A$204&lt;$B164+P_Interval)*(UPPER(TRIM(D_Points!$B$5:$B$204))="TURNOUT_R")*(D_Points!$H$5:$H$204&lt;&gt;"")),D_Points!$H$5:$H$204),"")</f>
        <v/>
      </c>
      <c r="AF164" s="181" t="str">
        <f>IFERROR(LOOKUP(2,1/((B_Drainage!$A$5:$A$204&lt;&gt;"")*(B_Drainage!$A$5:$A$204&lt;=$B164)*(B_Drainage!$B$5:$B$204&gt;$B164)*(B_Drainage!$M$5:$M$204&lt;&gt;"")),IF(UPPER(B_Drainage!$M$5:$M$204)="Y",1,"")),"")</f>
        <v/>
      </c>
      <c r="AG164" s="181" t="str">
        <f>IFERROR(LOOKUP(2,1/((B_Drainage!$A$5:$A$204&lt;&gt;"")*(B_Drainage!$A$5:$A$204&lt;=$B164)*(B_Drainage!$B$5:$B$204&gt;$B164)*(B_Drainage!$N$5:$N$204&lt;&gt;"")),IF(UPPER(B_Drainage!$N$5:$N$204)="Y",1,"")),"")</f>
        <v/>
      </c>
      <c r="AH164" s="181" t="str">
        <f t="shared" si="16"/>
        <v/>
      </c>
      <c r="AI164" s="181" t="str">
        <f t="shared" si="17"/>
        <v/>
      </c>
      <c r="AJ164" s="181" t="str">
        <f t="shared" si="18"/>
        <v/>
      </c>
      <c r="AK164" s="181" t="str">
        <f t="shared" si="19"/>
        <v/>
      </c>
      <c r="AL164" s="181" t="str">
        <f t="shared" si="20"/>
        <v/>
      </c>
      <c r="AM164" s="181" t="str">
        <f t="shared" si="21"/>
        <v/>
      </c>
      <c r="AN164" s="181" t="str">
        <f t="shared" si="22"/>
        <v/>
      </c>
      <c r="AO164" s="192" t="str">
        <f t="shared" si="23"/>
        <v/>
      </c>
      <c r="AQ164" t="str">
        <f>IFERROR(LOOKUP(2,1/((C_Pavement!$A$5:$A$204&lt;&gt;"")*(C_Pavement!$A$5:$A$204&lt;=$B164)*(C_Pavement!$B$5:$B$204&gt;$B164)*(C_Pavement!$C$5:$C$204&lt;&gt;"")),ROW(C_Pavement!$C$5:$C$204)-4),"")</f>
        <v/>
      </c>
      <c r="AR164" t="str">
        <f>IF($AQ164="","",UPPER(TRIM(INDEX(C_Pavement!$C$5:$C$204,$AQ164))))</f>
        <v/>
      </c>
      <c r="AS164" t="str">
        <f>IF($AR164="","",IFERROR(MATCH($AR164,E_Rules!$A$5:$A$9,0),""))</f>
        <v/>
      </c>
      <c r="AT164" t="str">
        <f>IF($AQ164="","",IF(INDEX(C_Pavement!$D$5:$D$204,$AQ164)&lt;&gt;"",UPPER(TRIM(INDEX(C_Pavement!$D$5:$D$204,$AQ164))),IF($AS164="","",INDEX(E_Rules!$C$5:$C$9,$AS164))))</f>
        <v/>
      </c>
      <c r="AU164" t="str">
        <f>IF($AQ164="","",IF(INDEX(C_Pavement!$E$5:$E$204,$AQ164)&lt;&gt;"",IF(INDEX(C_Pavement!$E$5:$E$204,$AQ164)="-","",INDEX(C_Pavement!$E$5:$E$204,$AQ164)),IF($AS164="","",INDEX(E_Rules!$D$5:$D$9,$AS164))))</f>
        <v/>
      </c>
      <c r="AV164" t="str">
        <f>IF($AQ164="","",IF(INDEX(C_Pavement!$F$5:$F$204,$AQ164)&lt;&gt;"",IF(INDEX(C_Pavement!$F$5:$F$204,$AQ164)="-","",INDEX(C_Pavement!$F$5:$F$204,$AQ164)),IF($AS164="","",INDEX(E_Rules!$E$5:$E$9,$AS164))))</f>
        <v/>
      </c>
      <c r="AW164" t="str">
        <f>IF($AQ164="","",IF(INDEX(C_Pavement!$G$5:$G$204,$AQ164)&lt;&gt;"",IF(INDEX(C_Pavement!$G$5:$G$204,$AQ164)="-","",INDEX(C_Pavement!$G$5:$G$204,$AQ164)),IF($AS164="","",INDEX(E_Rules!$F$5:$F$9,$AS164))))</f>
        <v/>
      </c>
      <c r="AX164" t="str">
        <f>IF($AQ164="","",IF(INDEX(C_Pavement!$H$5:$H$204,$AQ164)&lt;&gt;"",IF(INDEX(C_Pavement!$H$5:$H$204,$AQ164)="-","",INDEX(C_Pavement!$H$5:$H$204,$AQ164)),IF($AS164="","",INDEX(E_Rules!$G$5:$G$9,$AS164))))</f>
        <v/>
      </c>
      <c r="AY164" t="str">
        <f>IF($AQ164="","",IF(INDEX(C_Pavement!$I$5:$I$204,$AQ164)&lt;&gt;"",IF(INDEX(C_Pavement!$I$5:$I$204,$AQ164)="-","",INDEX(C_Pavement!$I$5:$I$204,$AQ164)),IF($AS164="","",INDEX(E_Rules!$H$5:$H$9,$AS164))))</f>
        <v/>
      </c>
    </row>
    <row r="165" spans="1:51" ht="15.75" customHeight="1" x14ac:dyDescent="0.3">
      <c r="A165" s="189">
        <v>160</v>
      </c>
      <c r="B165" s="180">
        <v>7950</v>
      </c>
      <c r="C165" s="180" t="s">
        <v>471</v>
      </c>
      <c r="D165" s="181" t="str">
        <f>IFERROR(LOOKUP(2,1/((A_Corridor!$A$5:$A$204&lt;&gt;"")*(A_Corridor!$A$5:$A$204&lt;=$B165)*(A_Corridor!$B$5:$B$204&gt;$B165)*(A_Corridor!$C$5:$C$204&lt;&gt;"")),IF(UPPER(A_Corridor!$C$5:$C$204)="Y",1,"")),"")</f>
        <v/>
      </c>
      <c r="E165" s="181" t="str">
        <f>IFERROR(LOOKUP(2,1/((A_Corridor!$A$5:$A$204&lt;&gt;"")*(A_Corridor!$A$5:$A$204&lt;=$B165)*(A_Corridor!$B$5:$B$204&gt;$B165)*(A_Corridor!$D$5:$D$204&lt;&gt;"")),IF(A_Corridor!$D$5:$D$204="-","",UPPER(A_Corridor!$D$5:$D$204))),"")</f>
        <v/>
      </c>
      <c r="F165" s="181" t="str">
        <f>IFERROR(LOOKUP(2,1/((A_Corridor!$A$5:$A$204&lt;&gt;"")*(A_Corridor!$A$5:$A$204&lt;=$B165)*(A_Corridor!$B$5:$B$204&gt;$B165)*(A_Corridor!$E$5:$E$204&lt;&gt;"")),IF(A_Corridor!$E$5:$E$204="-","",1)),"")</f>
        <v/>
      </c>
      <c r="G165" s="182" t="str">
        <f>IFERROR(LOOKUP(2,1/((A_Corridor!$A$5:$A$204&lt;&gt;"")*(A_Corridor!$A$5:$A$204&lt;=$B165)*(A_Corridor!$B$5:$B$204&gt;$B165)*(A_Corridor!$E$5:$E$204&lt;&gt;"")),IF(A_Corridor!$E$5:$E$204="-","",A_Corridor!$E$5:$E$204)),"")</f>
        <v/>
      </c>
      <c r="H165" s="182" t="str">
        <f>IFERROR(LOOKUP(2,1/((D_Points!$A$5:$A$204&lt;&gt;"")*(D_Points!$A$5:$A$204&gt;=$B165)*(D_Points!$A$5:$A$204&lt;$B165+P_Interval)*(UPPER(TRIM(D_Points!$B$5:$B$204))="GULLY")*(D_Points!$H$5:$H$204&lt;&gt;"")),D_Points!$H$5:$H$204),"")</f>
        <v/>
      </c>
      <c r="I165" s="181" t="str">
        <f>IFERROR(LOOKUP(2,1/((A_Corridor!$A$5:$A$204&lt;&gt;"")*(A_Corridor!$A$5:$A$204&lt;=$B165)*(A_Corridor!$B$5:$B$204&gt;$B165)*(A_Corridor!$F$5:$F$204&lt;&gt;"")),IF(A_Corridor!$F$5:$F$204="-","",1)),"")</f>
        <v/>
      </c>
      <c r="J165" s="182" t="str">
        <f>IFERROR(LOOKUP(2,1/((A_Corridor!$A$5:$A$204&lt;&gt;"")*(A_Corridor!$A$5:$A$204&lt;=$B165)*(A_Corridor!$B$5:$B$204&gt;$B165)*(A_Corridor!$F$5:$F$204&lt;&gt;"")),IF(A_Corridor!$F$5:$F$204="-","",A_Corridor!$F$5:$F$204)),"")</f>
        <v/>
      </c>
      <c r="K165" s="182" t="str">
        <f>IFERROR(LOOKUP(2,1/((A_Corridor!$A$5:$A$204&lt;&gt;"")*(A_Corridor!$A$5:$A$204&lt;=$B165)*(A_Corridor!$B$5:$B$204&gt;$B165)*(A_Corridor!$G$5:$G$204&lt;&gt;"")),IF(A_Corridor!$G$5:$G$204="-","",A_Corridor!$G$5:$G$204)),"")</f>
        <v/>
      </c>
      <c r="L165" s="181" t="str">
        <f>IFERROR(LOOKUP(2,1/((A_Corridor!$A$5:$A$204&lt;&gt;"")*(A_Corridor!$A$5:$A$204&lt;=$B165)*(A_Corridor!$B$5:$B$204&gt;$B165)*(A_Corridor!$H$5:$H$204&lt;&gt;"")),IF(A_Corridor!$H$5:$H$204="-","",1)),"")</f>
        <v/>
      </c>
      <c r="M165" s="182" t="str">
        <f>IFERROR(LOOKUP(2,1/((A_Corridor!$A$5:$A$204&lt;&gt;"")*(A_Corridor!$A$5:$A$204&lt;=$B165)*(A_Corridor!$B$5:$B$204&gt;$B165)*(A_Corridor!$H$5:$H$204&lt;&gt;"")),IF(A_Corridor!$H$5:$H$204="-","",A_Corridor!$H$5:$H$204)),"")</f>
        <v/>
      </c>
      <c r="N165" s="182" t="str">
        <f>IFERROR(LOOKUP(2,1/((A_Corridor!$A$5:$A$204&lt;&gt;"")*(A_Corridor!$A$5:$A$204&lt;=$B165)*(A_Corridor!$B$5:$B$204&gt;$B165)*(A_Corridor!$I$5:$I$204&lt;&gt;"")),IF(A_Corridor!$I$5:$I$204="-","",A_Corridor!$I$5:$I$204)),"")</f>
        <v/>
      </c>
      <c r="O165" s="182" t="str">
        <f>IFERROR(LOOKUP(2,1/((D_Points!$A$5:$A$204&lt;&gt;"")*(D_Points!$A$5:$A$204&gt;=$B165)*(D_Points!$A$5:$A$204&lt;$B165+P_Interval)*(UPPER(TRIM(D_Points!$B$5:$B$204))="PITCHING")*(D_Points!$H$5:$H$204&lt;&gt;"")),D_Points!$H$5:$H$204),"")</f>
        <v/>
      </c>
      <c r="P165" s="181" t="str">
        <f>IFERROR(LOOKUP(2,1/((B_Drainage!$A$5:$A$204&lt;&gt;"")*(B_Drainage!$A$5:$A$204&lt;=$B165)*(B_Drainage!$B$5:$B$204&gt;$B165)*(B_Drainage!$C$5:$C$204&lt;&gt;"")),IF(B_Drainage!$C$5:$C$204="-","",UPPER(B_Drainage!$C$5:$C$204))),"")</f>
        <v/>
      </c>
      <c r="Q165" s="181" t="str">
        <f>IFERROR(LOOKUP(2,1/((B_Drainage!$A$5:$A$204&lt;&gt;"")*(B_Drainage!$A$5:$A$204&lt;=$B165)*(B_Drainage!$B$5:$B$204&gt;$B165)*(B_Drainage!$D$5:$D$204&lt;&gt;"")),IF(B_Drainage!$D$5:$D$204="-","",UPPER(B_Drainage!$D$5:$D$204))),"")</f>
        <v/>
      </c>
      <c r="R165" s="182" t="str">
        <f>IFERROR(LOOKUP(2,1/((D_Points!$A$5:$A$204&lt;&gt;"")*(D_Points!$A$5:$A$204&gt;=$B165)*(D_Points!$A$5:$A$204&lt;$B165+P_Interval)*(RIGHT(UPPER(TRIM(D_Points!$B$5:$B$204)),8)="_CULVERT")),IF(LEFT(UPPER(TRIM(D_Points!$B$5:$B$204)),2)="EX",1,IF(LEFT(UPPER(TRIM(D_Points!$B$5:$B$204)),2)="PR",2,3))),"")</f>
        <v/>
      </c>
      <c r="S165" s="182" t="str">
        <f>IFERROR(LOOKUP(2,1/((D_Points!$A$5:$A$204&lt;&gt;"")*(D_Points!$A$5:$A$204&gt;=$B165)*(D_Points!$A$5:$A$204&lt;$B165+P_Interval)*(RIGHT(UPPER(TRIM(D_Points!$B$5:$B$204)),7)="_BRIDGE")),IF(LEFT(UPPER(TRIM(D_Points!$B$5:$B$204)),2)="EX",1,IF(LEFT(UPPER(TRIM(D_Points!$B$5:$B$204)),2)="PR",2,2))),"")</f>
        <v/>
      </c>
      <c r="T165" s="181" t="str">
        <f>IFERROR(LOOKUP(2,1/((B_Drainage!$A$5:$A$204&lt;&gt;"")*(B_Drainage!$A$5:$A$204&lt;=$B165)*(B_Drainage!$B$5:$B$204&gt;$B165)*(B_Drainage!$E$5:$E$204&lt;&gt;"")),IF(B_Drainage!$E$5:$E$204="-","",1)),"")</f>
        <v/>
      </c>
      <c r="U165" s="181" t="str">
        <f>IFERROR(LOOKUP(2,1/((B_Drainage!$A$5:$A$204&lt;&gt;"")*(B_Drainage!$A$5:$A$204&lt;=$B165)*(B_Drainage!$B$5:$B$204&gt;$B165)*(B_Drainage!$E$5:$E$204&lt;&gt;"")),IF(B_Drainage!$E$5:$E$204="-","",B_Drainage!$E$5:$E$204)),"")</f>
        <v/>
      </c>
      <c r="V165" s="181" t="str">
        <f>IFERROR(LOOKUP(2,1/((B_Drainage!$A$5:$A$204&lt;&gt;"")*(B_Drainage!$A$5:$A$204&lt;=$B165)*(B_Drainage!$B$5:$B$204&gt;$B165)*(B_Drainage!$F$5:$F$204&lt;&gt;"")),IF(B_Drainage!$F$5:$F$204="-","",1)),"")</f>
        <v/>
      </c>
      <c r="W165" s="181" t="str">
        <f>IFERROR(LOOKUP(2,1/((B_Drainage!$A$5:$A$204&lt;&gt;"")*(B_Drainage!$A$5:$A$204&lt;=$B165)*(B_Drainage!$B$5:$B$204&gt;$B165)*(B_Drainage!$F$5:$F$204&lt;&gt;"")),IF(B_Drainage!$F$5:$F$204="-","",B_Drainage!$F$5:$F$204)),"")</f>
        <v/>
      </c>
      <c r="X165" s="181" t="str">
        <f>IFERROR(LOOKUP(2,1/((B_Drainage!$A$5:$A$204&lt;&gt;"")*(B_Drainage!$A$5:$A$204&lt;=$B165)*(B_Drainage!$B$5:$B$204&gt;$B165)*(B_Drainage!$G$5:$G$204&lt;&gt;"")),IF(UPPER(B_Drainage!$G$5:$G$204)="Y",1,"")),"")</f>
        <v/>
      </c>
      <c r="Y165" s="181" t="str">
        <f>IFERROR(LOOKUP(2,1/((B_Drainage!$A$5:$A$204&lt;&gt;"")*(B_Drainage!$A$5:$A$204&lt;=$B165)*(B_Drainage!$B$5:$B$204&gt;$B165)*(B_Drainage!$H$5:$H$204&lt;&gt;"")),IF(UPPER(B_Drainage!$H$5:$H$204)="Y",1,"")),"")</f>
        <v/>
      </c>
      <c r="Z165" s="181" t="str">
        <f>IFERROR(LOOKUP(2,1/((B_Drainage!$A$5:$A$204&lt;&gt;"")*(B_Drainage!$A$5:$A$204&lt;=$B165)*(B_Drainage!$B$5:$B$204&gt;$B165)*(B_Drainage!$I$5:$I$204&lt;&gt;"")),IF(UPPER(B_Drainage!$I$5:$I$204)="Y",1,"")),"")</f>
        <v/>
      </c>
      <c r="AA165" s="181" t="str">
        <f>IFERROR(LOOKUP(2,1/((B_Drainage!$A$5:$A$204&lt;&gt;"")*(B_Drainage!$A$5:$A$204&lt;=$B165)*(B_Drainage!$B$5:$B$204&gt;$B165)*(B_Drainage!$J$5:$J$204&lt;&gt;"")),IF(UPPER(B_Drainage!$J$5:$J$204)="Y",1,"")),"")</f>
        <v/>
      </c>
      <c r="AB165" s="182" t="str">
        <f>IFERROR(LOOKUP(2,1/((B_Drainage!$A$5:$A$204&lt;&gt;"")*(B_Drainage!$A$5:$A$204&lt;=$B165)*(B_Drainage!$B$5:$B$204&gt;$B165)*(B_Drainage!$K$5:$K$204&lt;&gt;"")),IF(B_Drainage!$K$5:$K$204="-","",B_Drainage!$K$5:$K$204)),"")</f>
        <v/>
      </c>
      <c r="AC165" s="182" t="str">
        <f>IFERROR(LOOKUP(2,1/((B_Drainage!$A$5:$A$204&lt;&gt;"")*(B_Drainage!$A$5:$A$204&lt;=$B165)*(B_Drainage!$B$5:$B$204&gt;$B165)*(B_Drainage!$L$5:$L$204&lt;&gt;"")),IF(B_Drainage!$L$5:$L$204="-","",B_Drainage!$L$5:$L$204)),"")</f>
        <v/>
      </c>
      <c r="AD165" s="182" t="str">
        <f>IFERROR(LOOKUP(2,1/((D_Points!$A$5:$A$204&lt;&gt;"")*(D_Points!$A$5:$A$204&gt;=$B165)*(D_Points!$A$5:$A$204&lt;$B165+P_Interval)*(UPPER(TRIM(D_Points!$B$5:$B$204))="TURNOUT_L")*(D_Points!$H$5:$H$204&lt;&gt;"")),D_Points!$H$5:$H$204),"")</f>
        <v/>
      </c>
      <c r="AE165" s="182" t="str">
        <f>IFERROR(LOOKUP(2,1/((D_Points!$A$5:$A$204&lt;&gt;"")*(D_Points!$A$5:$A$204&gt;=$B165)*(D_Points!$A$5:$A$204&lt;$B165+P_Interval)*(UPPER(TRIM(D_Points!$B$5:$B$204))="TURNOUT_R")*(D_Points!$H$5:$H$204&lt;&gt;"")),D_Points!$H$5:$H$204),"")</f>
        <v/>
      </c>
      <c r="AF165" s="181" t="str">
        <f>IFERROR(LOOKUP(2,1/((B_Drainage!$A$5:$A$204&lt;&gt;"")*(B_Drainage!$A$5:$A$204&lt;=$B165)*(B_Drainage!$B$5:$B$204&gt;$B165)*(B_Drainage!$M$5:$M$204&lt;&gt;"")),IF(UPPER(B_Drainage!$M$5:$M$204)="Y",1,"")),"")</f>
        <v/>
      </c>
      <c r="AG165" s="181" t="str">
        <f>IFERROR(LOOKUP(2,1/((B_Drainage!$A$5:$A$204&lt;&gt;"")*(B_Drainage!$A$5:$A$204&lt;=$B165)*(B_Drainage!$B$5:$B$204&gt;$B165)*(B_Drainage!$N$5:$N$204&lt;&gt;"")),IF(UPPER(B_Drainage!$N$5:$N$204)="Y",1,"")),"")</f>
        <v/>
      </c>
      <c r="AH165" s="181" t="str">
        <f t="shared" si="16"/>
        <v/>
      </c>
      <c r="AI165" s="181" t="str">
        <f t="shared" si="17"/>
        <v/>
      </c>
      <c r="AJ165" s="181" t="str">
        <f t="shared" si="18"/>
        <v/>
      </c>
      <c r="AK165" s="181" t="str">
        <f t="shared" si="19"/>
        <v/>
      </c>
      <c r="AL165" s="181" t="str">
        <f t="shared" si="20"/>
        <v/>
      </c>
      <c r="AM165" s="181" t="str">
        <f t="shared" si="21"/>
        <v/>
      </c>
      <c r="AN165" s="181" t="str">
        <f t="shared" si="22"/>
        <v/>
      </c>
      <c r="AO165" s="192" t="str">
        <f t="shared" si="23"/>
        <v/>
      </c>
      <c r="AQ165" t="str">
        <f>IFERROR(LOOKUP(2,1/((C_Pavement!$A$5:$A$204&lt;&gt;"")*(C_Pavement!$A$5:$A$204&lt;=$B165)*(C_Pavement!$B$5:$B$204&gt;$B165)*(C_Pavement!$C$5:$C$204&lt;&gt;"")),ROW(C_Pavement!$C$5:$C$204)-4),"")</f>
        <v/>
      </c>
      <c r="AR165" t="str">
        <f>IF($AQ165="","",UPPER(TRIM(INDEX(C_Pavement!$C$5:$C$204,$AQ165))))</f>
        <v/>
      </c>
      <c r="AS165" t="str">
        <f>IF($AR165="","",IFERROR(MATCH($AR165,E_Rules!$A$5:$A$9,0),""))</f>
        <v/>
      </c>
      <c r="AT165" t="str">
        <f>IF($AQ165="","",IF(INDEX(C_Pavement!$D$5:$D$204,$AQ165)&lt;&gt;"",UPPER(TRIM(INDEX(C_Pavement!$D$5:$D$204,$AQ165))),IF($AS165="","",INDEX(E_Rules!$C$5:$C$9,$AS165))))</f>
        <v/>
      </c>
      <c r="AU165" t="str">
        <f>IF($AQ165="","",IF(INDEX(C_Pavement!$E$5:$E$204,$AQ165)&lt;&gt;"",IF(INDEX(C_Pavement!$E$5:$E$204,$AQ165)="-","",INDEX(C_Pavement!$E$5:$E$204,$AQ165)),IF($AS165="","",INDEX(E_Rules!$D$5:$D$9,$AS165))))</f>
        <v/>
      </c>
      <c r="AV165" t="str">
        <f>IF($AQ165="","",IF(INDEX(C_Pavement!$F$5:$F$204,$AQ165)&lt;&gt;"",IF(INDEX(C_Pavement!$F$5:$F$204,$AQ165)="-","",INDEX(C_Pavement!$F$5:$F$204,$AQ165)),IF($AS165="","",INDEX(E_Rules!$E$5:$E$9,$AS165))))</f>
        <v/>
      </c>
      <c r="AW165" t="str">
        <f>IF($AQ165="","",IF(INDEX(C_Pavement!$G$5:$G$204,$AQ165)&lt;&gt;"",IF(INDEX(C_Pavement!$G$5:$G$204,$AQ165)="-","",INDEX(C_Pavement!$G$5:$G$204,$AQ165)),IF($AS165="","",INDEX(E_Rules!$F$5:$F$9,$AS165))))</f>
        <v/>
      </c>
      <c r="AX165" t="str">
        <f>IF($AQ165="","",IF(INDEX(C_Pavement!$H$5:$H$204,$AQ165)&lt;&gt;"",IF(INDEX(C_Pavement!$H$5:$H$204,$AQ165)="-","",INDEX(C_Pavement!$H$5:$H$204,$AQ165)),IF($AS165="","",INDEX(E_Rules!$G$5:$G$9,$AS165))))</f>
        <v/>
      </c>
      <c r="AY165" t="str">
        <f>IF($AQ165="","",IF(INDEX(C_Pavement!$I$5:$I$204,$AQ165)&lt;&gt;"",IF(INDEX(C_Pavement!$I$5:$I$204,$AQ165)="-","",INDEX(C_Pavement!$I$5:$I$204,$AQ165)),IF($AS165="","",INDEX(E_Rules!$H$5:$H$9,$AS165))))</f>
        <v/>
      </c>
    </row>
    <row r="166" spans="1:51" ht="15.75" customHeight="1" x14ac:dyDescent="0.3">
      <c r="A166" s="189">
        <v>161</v>
      </c>
      <c r="B166" s="180">
        <v>8000</v>
      </c>
      <c r="C166" s="180" t="s">
        <v>472</v>
      </c>
      <c r="D166" s="181" t="str">
        <f>IFERROR(LOOKUP(2,1/((A_Corridor!$A$5:$A$204&lt;&gt;"")*(A_Corridor!$A$5:$A$204&lt;=$B166)*(A_Corridor!$B$5:$B$204&gt;$B166)*(A_Corridor!$C$5:$C$204&lt;&gt;"")),IF(UPPER(A_Corridor!$C$5:$C$204)="Y",1,"")),"")</f>
        <v/>
      </c>
      <c r="E166" s="181" t="str">
        <f>IFERROR(LOOKUP(2,1/((A_Corridor!$A$5:$A$204&lt;&gt;"")*(A_Corridor!$A$5:$A$204&lt;=$B166)*(A_Corridor!$B$5:$B$204&gt;$B166)*(A_Corridor!$D$5:$D$204&lt;&gt;"")),IF(A_Corridor!$D$5:$D$204="-","",UPPER(A_Corridor!$D$5:$D$204))),"")</f>
        <v/>
      </c>
      <c r="F166" s="181" t="str">
        <f>IFERROR(LOOKUP(2,1/((A_Corridor!$A$5:$A$204&lt;&gt;"")*(A_Corridor!$A$5:$A$204&lt;=$B166)*(A_Corridor!$B$5:$B$204&gt;$B166)*(A_Corridor!$E$5:$E$204&lt;&gt;"")),IF(A_Corridor!$E$5:$E$204="-","",1)),"")</f>
        <v/>
      </c>
      <c r="G166" s="182" t="str">
        <f>IFERROR(LOOKUP(2,1/((A_Corridor!$A$5:$A$204&lt;&gt;"")*(A_Corridor!$A$5:$A$204&lt;=$B166)*(A_Corridor!$B$5:$B$204&gt;$B166)*(A_Corridor!$E$5:$E$204&lt;&gt;"")),IF(A_Corridor!$E$5:$E$204="-","",A_Corridor!$E$5:$E$204)),"")</f>
        <v/>
      </c>
      <c r="H166" s="182" t="str">
        <f>IFERROR(LOOKUP(2,1/((D_Points!$A$5:$A$204&lt;&gt;"")*(D_Points!$A$5:$A$204&gt;=$B166)*(D_Points!$A$5:$A$204&lt;$B166+P_Interval)*(UPPER(TRIM(D_Points!$B$5:$B$204))="GULLY")*(D_Points!$H$5:$H$204&lt;&gt;"")),D_Points!$H$5:$H$204),"")</f>
        <v/>
      </c>
      <c r="I166" s="181" t="str">
        <f>IFERROR(LOOKUP(2,1/((A_Corridor!$A$5:$A$204&lt;&gt;"")*(A_Corridor!$A$5:$A$204&lt;=$B166)*(A_Corridor!$B$5:$B$204&gt;$B166)*(A_Corridor!$F$5:$F$204&lt;&gt;"")),IF(A_Corridor!$F$5:$F$204="-","",1)),"")</f>
        <v/>
      </c>
      <c r="J166" s="182" t="str">
        <f>IFERROR(LOOKUP(2,1/((A_Corridor!$A$5:$A$204&lt;&gt;"")*(A_Corridor!$A$5:$A$204&lt;=$B166)*(A_Corridor!$B$5:$B$204&gt;$B166)*(A_Corridor!$F$5:$F$204&lt;&gt;"")),IF(A_Corridor!$F$5:$F$204="-","",A_Corridor!$F$5:$F$204)),"")</f>
        <v/>
      </c>
      <c r="K166" s="182" t="str">
        <f>IFERROR(LOOKUP(2,1/((A_Corridor!$A$5:$A$204&lt;&gt;"")*(A_Corridor!$A$5:$A$204&lt;=$B166)*(A_Corridor!$B$5:$B$204&gt;$B166)*(A_Corridor!$G$5:$G$204&lt;&gt;"")),IF(A_Corridor!$G$5:$G$204="-","",A_Corridor!$G$5:$G$204)),"")</f>
        <v/>
      </c>
      <c r="L166" s="181" t="str">
        <f>IFERROR(LOOKUP(2,1/((A_Corridor!$A$5:$A$204&lt;&gt;"")*(A_Corridor!$A$5:$A$204&lt;=$B166)*(A_Corridor!$B$5:$B$204&gt;$B166)*(A_Corridor!$H$5:$H$204&lt;&gt;"")),IF(A_Corridor!$H$5:$H$204="-","",1)),"")</f>
        <v/>
      </c>
      <c r="M166" s="182" t="str">
        <f>IFERROR(LOOKUP(2,1/((A_Corridor!$A$5:$A$204&lt;&gt;"")*(A_Corridor!$A$5:$A$204&lt;=$B166)*(A_Corridor!$B$5:$B$204&gt;$B166)*(A_Corridor!$H$5:$H$204&lt;&gt;"")),IF(A_Corridor!$H$5:$H$204="-","",A_Corridor!$H$5:$H$204)),"")</f>
        <v/>
      </c>
      <c r="N166" s="182" t="str">
        <f>IFERROR(LOOKUP(2,1/((A_Corridor!$A$5:$A$204&lt;&gt;"")*(A_Corridor!$A$5:$A$204&lt;=$B166)*(A_Corridor!$B$5:$B$204&gt;$B166)*(A_Corridor!$I$5:$I$204&lt;&gt;"")),IF(A_Corridor!$I$5:$I$204="-","",A_Corridor!$I$5:$I$204)),"")</f>
        <v/>
      </c>
      <c r="O166" s="182" t="str">
        <f>IFERROR(LOOKUP(2,1/((D_Points!$A$5:$A$204&lt;&gt;"")*(D_Points!$A$5:$A$204&gt;=$B166)*(D_Points!$A$5:$A$204&lt;$B166+P_Interval)*(UPPER(TRIM(D_Points!$B$5:$B$204))="PITCHING")*(D_Points!$H$5:$H$204&lt;&gt;"")),D_Points!$H$5:$H$204),"")</f>
        <v/>
      </c>
      <c r="P166" s="181" t="str">
        <f>IFERROR(LOOKUP(2,1/((B_Drainage!$A$5:$A$204&lt;&gt;"")*(B_Drainage!$A$5:$A$204&lt;=$B166)*(B_Drainage!$B$5:$B$204&gt;$B166)*(B_Drainage!$C$5:$C$204&lt;&gt;"")),IF(B_Drainage!$C$5:$C$204="-","",UPPER(B_Drainage!$C$5:$C$204))),"")</f>
        <v/>
      </c>
      <c r="Q166" s="181" t="str">
        <f>IFERROR(LOOKUP(2,1/((B_Drainage!$A$5:$A$204&lt;&gt;"")*(B_Drainage!$A$5:$A$204&lt;=$B166)*(B_Drainage!$B$5:$B$204&gt;$B166)*(B_Drainage!$D$5:$D$204&lt;&gt;"")),IF(B_Drainage!$D$5:$D$204="-","",UPPER(B_Drainage!$D$5:$D$204))),"")</f>
        <v/>
      </c>
      <c r="R166" s="182" t="str">
        <f>IFERROR(LOOKUP(2,1/((D_Points!$A$5:$A$204&lt;&gt;"")*(D_Points!$A$5:$A$204&gt;=$B166)*(D_Points!$A$5:$A$204&lt;$B166+P_Interval)*(RIGHT(UPPER(TRIM(D_Points!$B$5:$B$204)),8)="_CULVERT")),IF(LEFT(UPPER(TRIM(D_Points!$B$5:$B$204)),2)="EX",1,IF(LEFT(UPPER(TRIM(D_Points!$B$5:$B$204)),2)="PR",2,3))),"")</f>
        <v/>
      </c>
      <c r="S166" s="182" t="str">
        <f>IFERROR(LOOKUP(2,1/((D_Points!$A$5:$A$204&lt;&gt;"")*(D_Points!$A$5:$A$204&gt;=$B166)*(D_Points!$A$5:$A$204&lt;$B166+P_Interval)*(RIGHT(UPPER(TRIM(D_Points!$B$5:$B$204)),7)="_BRIDGE")),IF(LEFT(UPPER(TRIM(D_Points!$B$5:$B$204)),2)="EX",1,IF(LEFT(UPPER(TRIM(D_Points!$B$5:$B$204)),2)="PR",2,2))),"")</f>
        <v/>
      </c>
      <c r="T166" s="181" t="str">
        <f>IFERROR(LOOKUP(2,1/((B_Drainage!$A$5:$A$204&lt;&gt;"")*(B_Drainage!$A$5:$A$204&lt;=$B166)*(B_Drainage!$B$5:$B$204&gt;$B166)*(B_Drainage!$E$5:$E$204&lt;&gt;"")),IF(B_Drainage!$E$5:$E$204="-","",1)),"")</f>
        <v/>
      </c>
      <c r="U166" s="181" t="str">
        <f>IFERROR(LOOKUP(2,1/((B_Drainage!$A$5:$A$204&lt;&gt;"")*(B_Drainage!$A$5:$A$204&lt;=$B166)*(B_Drainage!$B$5:$B$204&gt;$B166)*(B_Drainage!$E$5:$E$204&lt;&gt;"")),IF(B_Drainage!$E$5:$E$204="-","",B_Drainage!$E$5:$E$204)),"")</f>
        <v/>
      </c>
      <c r="V166" s="181" t="str">
        <f>IFERROR(LOOKUP(2,1/((B_Drainage!$A$5:$A$204&lt;&gt;"")*(B_Drainage!$A$5:$A$204&lt;=$B166)*(B_Drainage!$B$5:$B$204&gt;$B166)*(B_Drainage!$F$5:$F$204&lt;&gt;"")),IF(B_Drainage!$F$5:$F$204="-","",1)),"")</f>
        <v/>
      </c>
      <c r="W166" s="181" t="str">
        <f>IFERROR(LOOKUP(2,1/((B_Drainage!$A$5:$A$204&lt;&gt;"")*(B_Drainage!$A$5:$A$204&lt;=$B166)*(B_Drainage!$B$5:$B$204&gt;$B166)*(B_Drainage!$F$5:$F$204&lt;&gt;"")),IF(B_Drainage!$F$5:$F$204="-","",B_Drainage!$F$5:$F$204)),"")</f>
        <v/>
      </c>
      <c r="X166" s="181" t="str">
        <f>IFERROR(LOOKUP(2,1/((B_Drainage!$A$5:$A$204&lt;&gt;"")*(B_Drainage!$A$5:$A$204&lt;=$B166)*(B_Drainage!$B$5:$B$204&gt;$B166)*(B_Drainage!$G$5:$G$204&lt;&gt;"")),IF(UPPER(B_Drainage!$G$5:$G$204)="Y",1,"")),"")</f>
        <v/>
      </c>
      <c r="Y166" s="181" t="str">
        <f>IFERROR(LOOKUP(2,1/((B_Drainage!$A$5:$A$204&lt;&gt;"")*(B_Drainage!$A$5:$A$204&lt;=$B166)*(B_Drainage!$B$5:$B$204&gt;$B166)*(B_Drainage!$H$5:$H$204&lt;&gt;"")),IF(UPPER(B_Drainage!$H$5:$H$204)="Y",1,"")),"")</f>
        <v/>
      </c>
      <c r="Z166" s="181" t="str">
        <f>IFERROR(LOOKUP(2,1/((B_Drainage!$A$5:$A$204&lt;&gt;"")*(B_Drainage!$A$5:$A$204&lt;=$B166)*(B_Drainage!$B$5:$B$204&gt;$B166)*(B_Drainage!$I$5:$I$204&lt;&gt;"")),IF(UPPER(B_Drainage!$I$5:$I$204)="Y",1,"")),"")</f>
        <v/>
      </c>
      <c r="AA166" s="181" t="str">
        <f>IFERROR(LOOKUP(2,1/((B_Drainage!$A$5:$A$204&lt;&gt;"")*(B_Drainage!$A$5:$A$204&lt;=$B166)*(B_Drainage!$B$5:$B$204&gt;$B166)*(B_Drainage!$J$5:$J$204&lt;&gt;"")),IF(UPPER(B_Drainage!$J$5:$J$204)="Y",1,"")),"")</f>
        <v/>
      </c>
      <c r="AB166" s="182" t="str">
        <f>IFERROR(LOOKUP(2,1/((B_Drainage!$A$5:$A$204&lt;&gt;"")*(B_Drainage!$A$5:$A$204&lt;=$B166)*(B_Drainage!$B$5:$B$204&gt;$B166)*(B_Drainage!$K$5:$K$204&lt;&gt;"")),IF(B_Drainage!$K$5:$K$204="-","",B_Drainage!$K$5:$K$204)),"")</f>
        <v/>
      </c>
      <c r="AC166" s="182" t="str">
        <f>IFERROR(LOOKUP(2,1/((B_Drainage!$A$5:$A$204&lt;&gt;"")*(B_Drainage!$A$5:$A$204&lt;=$B166)*(B_Drainage!$B$5:$B$204&gt;$B166)*(B_Drainage!$L$5:$L$204&lt;&gt;"")),IF(B_Drainage!$L$5:$L$204="-","",B_Drainage!$L$5:$L$204)),"")</f>
        <v/>
      </c>
      <c r="AD166" s="182" t="str">
        <f>IFERROR(LOOKUP(2,1/((D_Points!$A$5:$A$204&lt;&gt;"")*(D_Points!$A$5:$A$204&gt;=$B166)*(D_Points!$A$5:$A$204&lt;$B166+P_Interval)*(UPPER(TRIM(D_Points!$B$5:$B$204))="TURNOUT_L")*(D_Points!$H$5:$H$204&lt;&gt;"")),D_Points!$H$5:$H$204),"")</f>
        <v/>
      </c>
      <c r="AE166" s="182" t="str">
        <f>IFERROR(LOOKUP(2,1/((D_Points!$A$5:$A$204&lt;&gt;"")*(D_Points!$A$5:$A$204&gt;=$B166)*(D_Points!$A$5:$A$204&lt;$B166+P_Interval)*(UPPER(TRIM(D_Points!$B$5:$B$204))="TURNOUT_R")*(D_Points!$H$5:$H$204&lt;&gt;"")),D_Points!$H$5:$H$204),"")</f>
        <v/>
      </c>
      <c r="AF166" s="181" t="str">
        <f>IFERROR(LOOKUP(2,1/((B_Drainage!$A$5:$A$204&lt;&gt;"")*(B_Drainage!$A$5:$A$204&lt;=$B166)*(B_Drainage!$B$5:$B$204&gt;$B166)*(B_Drainage!$M$5:$M$204&lt;&gt;"")),IF(UPPER(B_Drainage!$M$5:$M$204)="Y",1,"")),"")</f>
        <v/>
      </c>
      <c r="AG166" s="181" t="str">
        <f>IFERROR(LOOKUP(2,1/((B_Drainage!$A$5:$A$204&lt;&gt;"")*(B_Drainage!$A$5:$A$204&lt;=$B166)*(B_Drainage!$B$5:$B$204&gt;$B166)*(B_Drainage!$N$5:$N$204&lt;&gt;"")),IF(UPPER(B_Drainage!$N$5:$N$204)="Y",1,"")),"")</f>
        <v/>
      </c>
      <c r="AH166" s="181" t="str">
        <f t="shared" si="16"/>
        <v/>
      </c>
      <c r="AI166" s="181" t="str">
        <f t="shared" si="17"/>
        <v/>
      </c>
      <c r="AJ166" s="181" t="str">
        <f t="shared" si="18"/>
        <v/>
      </c>
      <c r="AK166" s="181" t="str">
        <f t="shared" si="19"/>
        <v/>
      </c>
      <c r="AL166" s="181" t="str">
        <f t="shared" si="20"/>
        <v/>
      </c>
      <c r="AM166" s="181" t="str">
        <f t="shared" si="21"/>
        <v/>
      </c>
      <c r="AN166" s="181" t="str">
        <f t="shared" si="22"/>
        <v/>
      </c>
      <c r="AO166" s="192" t="str">
        <f t="shared" si="23"/>
        <v/>
      </c>
      <c r="AQ166" t="str">
        <f>IFERROR(LOOKUP(2,1/((C_Pavement!$A$5:$A$204&lt;&gt;"")*(C_Pavement!$A$5:$A$204&lt;=$B166)*(C_Pavement!$B$5:$B$204&gt;$B166)*(C_Pavement!$C$5:$C$204&lt;&gt;"")),ROW(C_Pavement!$C$5:$C$204)-4),"")</f>
        <v/>
      </c>
      <c r="AR166" t="str">
        <f>IF($AQ166="","",UPPER(TRIM(INDEX(C_Pavement!$C$5:$C$204,$AQ166))))</f>
        <v/>
      </c>
      <c r="AS166" t="str">
        <f>IF($AR166="","",IFERROR(MATCH($AR166,E_Rules!$A$5:$A$9,0),""))</f>
        <v/>
      </c>
      <c r="AT166" t="str">
        <f>IF($AQ166="","",IF(INDEX(C_Pavement!$D$5:$D$204,$AQ166)&lt;&gt;"",UPPER(TRIM(INDEX(C_Pavement!$D$5:$D$204,$AQ166))),IF($AS166="","",INDEX(E_Rules!$C$5:$C$9,$AS166))))</f>
        <v/>
      </c>
      <c r="AU166" t="str">
        <f>IF($AQ166="","",IF(INDEX(C_Pavement!$E$5:$E$204,$AQ166)&lt;&gt;"",IF(INDEX(C_Pavement!$E$5:$E$204,$AQ166)="-","",INDEX(C_Pavement!$E$5:$E$204,$AQ166)),IF($AS166="","",INDEX(E_Rules!$D$5:$D$9,$AS166))))</f>
        <v/>
      </c>
      <c r="AV166" t="str">
        <f>IF($AQ166="","",IF(INDEX(C_Pavement!$F$5:$F$204,$AQ166)&lt;&gt;"",IF(INDEX(C_Pavement!$F$5:$F$204,$AQ166)="-","",INDEX(C_Pavement!$F$5:$F$204,$AQ166)),IF($AS166="","",INDEX(E_Rules!$E$5:$E$9,$AS166))))</f>
        <v/>
      </c>
      <c r="AW166" t="str">
        <f>IF($AQ166="","",IF(INDEX(C_Pavement!$G$5:$G$204,$AQ166)&lt;&gt;"",IF(INDEX(C_Pavement!$G$5:$G$204,$AQ166)="-","",INDEX(C_Pavement!$G$5:$G$204,$AQ166)),IF($AS166="","",INDEX(E_Rules!$F$5:$F$9,$AS166))))</f>
        <v/>
      </c>
      <c r="AX166" t="str">
        <f>IF($AQ166="","",IF(INDEX(C_Pavement!$H$5:$H$204,$AQ166)&lt;&gt;"",IF(INDEX(C_Pavement!$H$5:$H$204,$AQ166)="-","",INDEX(C_Pavement!$H$5:$H$204,$AQ166)),IF($AS166="","",INDEX(E_Rules!$G$5:$G$9,$AS166))))</f>
        <v/>
      </c>
      <c r="AY166" t="str">
        <f>IF($AQ166="","",IF(INDEX(C_Pavement!$I$5:$I$204,$AQ166)&lt;&gt;"",IF(INDEX(C_Pavement!$I$5:$I$204,$AQ166)="-","",INDEX(C_Pavement!$I$5:$I$204,$AQ166)),IF($AS166="","",INDEX(E_Rules!$H$5:$H$9,$AS166))))</f>
        <v/>
      </c>
    </row>
    <row r="167" spans="1:51" ht="15.75" customHeight="1" x14ac:dyDescent="0.3">
      <c r="A167" s="189">
        <v>162</v>
      </c>
      <c r="B167" s="180">
        <v>8050</v>
      </c>
      <c r="C167" s="180" t="s">
        <v>473</v>
      </c>
      <c r="D167" s="181" t="str">
        <f>IFERROR(LOOKUP(2,1/((A_Corridor!$A$5:$A$204&lt;&gt;"")*(A_Corridor!$A$5:$A$204&lt;=$B167)*(A_Corridor!$B$5:$B$204&gt;$B167)*(A_Corridor!$C$5:$C$204&lt;&gt;"")),IF(UPPER(A_Corridor!$C$5:$C$204)="Y",1,"")),"")</f>
        <v/>
      </c>
      <c r="E167" s="181" t="str">
        <f>IFERROR(LOOKUP(2,1/((A_Corridor!$A$5:$A$204&lt;&gt;"")*(A_Corridor!$A$5:$A$204&lt;=$B167)*(A_Corridor!$B$5:$B$204&gt;$B167)*(A_Corridor!$D$5:$D$204&lt;&gt;"")),IF(A_Corridor!$D$5:$D$204="-","",UPPER(A_Corridor!$D$5:$D$204))),"")</f>
        <v/>
      </c>
      <c r="F167" s="181" t="str">
        <f>IFERROR(LOOKUP(2,1/((A_Corridor!$A$5:$A$204&lt;&gt;"")*(A_Corridor!$A$5:$A$204&lt;=$B167)*(A_Corridor!$B$5:$B$204&gt;$B167)*(A_Corridor!$E$5:$E$204&lt;&gt;"")),IF(A_Corridor!$E$5:$E$204="-","",1)),"")</f>
        <v/>
      </c>
      <c r="G167" s="182" t="str">
        <f>IFERROR(LOOKUP(2,1/((A_Corridor!$A$5:$A$204&lt;&gt;"")*(A_Corridor!$A$5:$A$204&lt;=$B167)*(A_Corridor!$B$5:$B$204&gt;$B167)*(A_Corridor!$E$5:$E$204&lt;&gt;"")),IF(A_Corridor!$E$5:$E$204="-","",A_Corridor!$E$5:$E$204)),"")</f>
        <v/>
      </c>
      <c r="H167" s="182" t="str">
        <f>IFERROR(LOOKUP(2,1/((D_Points!$A$5:$A$204&lt;&gt;"")*(D_Points!$A$5:$A$204&gt;=$B167)*(D_Points!$A$5:$A$204&lt;$B167+P_Interval)*(UPPER(TRIM(D_Points!$B$5:$B$204))="GULLY")*(D_Points!$H$5:$H$204&lt;&gt;"")),D_Points!$H$5:$H$204),"")</f>
        <v/>
      </c>
      <c r="I167" s="181" t="str">
        <f>IFERROR(LOOKUP(2,1/((A_Corridor!$A$5:$A$204&lt;&gt;"")*(A_Corridor!$A$5:$A$204&lt;=$B167)*(A_Corridor!$B$5:$B$204&gt;$B167)*(A_Corridor!$F$5:$F$204&lt;&gt;"")),IF(A_Corridor!$F$5:$F$204="-","",1)),"")</f>
        <v/>
      </c>
      <c r="J167" s="182" t="str">
        <f>IFERROR(LOOKUP(2,1/((A_Corridor!$A$5:$A$204&lt;&gt;"")*(A_Corridor!$A$5:$A$204&lt;=$B167)*(A_Corridor!$B$5:$B$204&gt;$B167)*(A_Corridor!$F$5:$F$204&lt;&gt;"")),IF(A_Corridor!$F$5:$F$204="-","",A_Corridor!$F$5:$F$204)),"")</f>
        <v/>
      </c>
      <c r="K167" s="182" t="str">
        <f>IFERROR(LOOKUP(2,1/((A_Corridor!$A$5:$A$204&lt;&gt;"")*(A_Corridor!$A$5:$A$204&lt;=$B167)*(A_Corridor!$B$5:$B$204&gt;$B167)*(A_Corridor!$G$5:$G$204&lt;&gt;"")),IF(A_Corridor!$G$5:$G$204="-","",A_Corridor!$G$5:$G$204)),"")</f>
        <v/>
      </c>
      <c r="L167" s="181" t="str">
        <f>IFERROR(LOOKUP(2,1/((A_Corridor!$A$5:$A$204&lt;&gt;"")*(A_Corridor!$A$5:$A$204&lt;=$B167)*(A_Corridor!$B$5:$B$204&gt;$B167)*(A_Corridor!$H$5:$H$204&lt;&gt;"")),IF(A_Corridor!$H$5:$H$204="-","",1)),"")</f>
        <v/>
      </c>
      <c r="M167" s="182" t="str">
        <f>IFERROR(LOOKUP(2,1/((A_Corridor!$A$5:$A$204&lt;&gt;"")*(A_Corridor!$A$5:$A$204&lt;=$B167)*(A_Corridor!$B$5:$B$204&gt;$B167)*(A_Corridor!$H$5:$H$204&lt;&gt;"")),IF(A_Corridor!$H$5:$H$204="-","",A_Corridor!$H$5:$H$204)),"")</f>
        <v/>
      </c>
      <c r="N167" s="182" t="str">
        <f>IFERROR(LOOKUP(2,1/((A_Corridor!$A$5:$A$204&lt;&gt;"")*(A_Corridor!$A$5:$A$204&lt;=$B167)*(A_Corridor!$B$5:$B$204&gt;$B167)*(A_Corridor!$I$5:$I$204&lt;&gt;"")),IF(A_Corridor!$I$5:$I$204="-","",A_Corridor!$I$5:$I$204)),"")</f>
        <v/>
      </c>
      <c r="O167" s="182" t="str">
        <f>IFERROR(LOOKUP(2,1/((D_Points!$A$5:$A$204&lt;&gt;"")*(D_Points!$A$5:$A$204&gt;=$B167)*(D_Points!$A$5:$A$204&lt;$B167+P_Interval)*(UPPER(TRIM(D_Points!$B$5:$B$204))="PITCHING")*(D_Points!$H$5:$H$204&lt;&gt;"")),D_Points!$H$5:$H$204),"")</f>
        <v/>
      </c>
      <c r="P167" s="181" t="str">
        <f>IFERROR(LOOKUP(2,1/((B_Drainage!$A$5:$A$204&lt;&gt;"")*(B_Drainage!$A$5:$A$204&lt;=$B167)*(B_Drainage!$B$5:$B$204&gt;$B167)*(B_Drainage!$C$5:$C$204&lt;&gt;"")),IF(B_Drainage!$C$5:$C$204="-","",UPPER(B_Drainage!$C$5:$C$204))),"")</f>
        <v/>
      </c>
      <c r="Q167" s="181" t="str">
        <f>IFERROR(LOOKUP(2,1/((B_Drainage!$A$5:$A$204&lt;&gt;"")*(B_Drainage!$A$5:$A$204&lt;=$B167)*(B_Drainage!$B$5:$B$204&gt;$B167)*(B_Drainage!$D$5:$D$204&lt;&gt;"")),IF(B_Drainage!$D$5:$D$204="-","",UPPER(B_Drainage!$D$5:$D$204))),"")</f>
        <v/>
      </c>
      <c r="R167" s="182" t="str">
        <f>IFERROR(LOOKUP(2,1/((D_Points!$A$5:$A$204&lt;&gt;"")*(D_Points!$A$5:$A$204&gt;=$B167)*(D_Points!$A$5:$A$204&lt;$B167+P_Interval)*(RIGHT(UPPER(TRIM(D_Points!$B$5:$B$204)),8)="_CULVERT")),IF(LEFT(UPPER(TRIM(D_Points!$B$5:$B$204)),2)="EX",1,IF(LEFT(UPPER(TRIM(D_Points!$B$5:$B$204)),2)="PR",2,3))),"")</f>
        <v/>
      </c>
      <c r="S167" s="182" t="str">
        <f>IFERROR(LOOKUP(2,1/((D_Points!$A$5:$A$204&lt;&gt;"")*(D_Points!$A$5:$A$204&gt;=$B167)*(D_Points!$A$5:$A$204&lt;$B167+P_Interval)*(RIGHT(UPPER(TRIM(D_Points!$B$5:$B$204)),7)="_BRIDGE")),IF(LEFT(UPPER(TRIM(D_Points!$B$5:$B$204)),2)="EX",1,IF(LEFT(UPPER(TRIM(D_Points!$B$5:$B$204)),2)="PR",2,2))),"")</f>
        <v/>
      </c>
      <c r="T167" s="181" t="str">
        <f>IFERROR(LOOKUP(2,1/((B_Drainage!$A$5:$A$204&lt;&gt;"")*(B_Drainage!$A$5:$A$204&lt;=$B167)*(B_Drainage!$B$5:$B$204&gt;$B167)*(B_Drainage!$E$5:$E$204&lt;&gt;"")),IF(B_Drainage!$E$5:$E$204="-","",1)),"")</f>
        <v/>
      </c>
      <c r="U167" s="181" t="str">
        <f>IFERROR(LOOKUP(2,1/((B_Drainage!$A$5:$A$204&lt;&gt;"")*(B_Drainage!$A$5:$A$204&lt;=$B167)*(B_Drainage!$B$5:$B$204&gt;$B167)*(B_Drainage!$E$5:$E$204&lt;&gt;"")),IF(B_Drainage!$E$5:$E$204="-","",B_Drainage!$E$5:$E$204)),"")</f>
        <v/>
      </c>
      <c r="V167" s="181" t="str">
        <f>IFERROR(LOOKUP(2,1/((B_Drainage!$A$5:$A$204&lt;&gt;"")*(B_Drainage!$A$5:$A$204&lt;=$B167)*(B_Drainage!$B$5:$B$204&gt;$B167)*(B_Drainage!$F$5:$F$204&lt;&gt;"")),IF(B_Drainage!$F$5:$F$204="-","",1)),"")</f>
        <v/>
      </c>
      <c r="W167" s="181" t="str">
        <f>IFERROR(LOOKUP(2,1/((B_Drainage!$A$5:$A$204&lt;&gt;"")*(B_Drainage!$A$5:$A$204&lt;=$B167)*(B_Drainage!$B$5:$B$204&gt;$B167)*(B_Drainage!$F$5:$F$204&lt;&gt;"")),IF(B_Drainage!$F$5:$F$204="-","",B_Drainage!$F$5:$F$204)),"")</f>
        <v/>
      </c>
      <c r="X167" s="181" t="str">
        <f>IFERROR(LOOKUP(2,1/((B_Drainage!$A$5:$A$204&lt;&gt;"")*(B_Drainage!$A$5:$A$204&lt;=$B167)*(B_Drainage!$B$5:$B$204&gt;$B167)*(B_Drainage!$G$5:$G$204&lt;&gt;"")),IF(UPPER(B_Drainage!$G$5:$G$204)="Y",1,"")),"")</f>
        <v/>
      </c>
      <c r="Y167" s="181" t="str">
        <f>IFERROR(LOOKUP(2,1/((B_Drainage!$A$5:$A$204&lt;&gt;"")*(B_Drainage!$A$5:$A$204&lt;=$B167)*(B_Drainage!$B$5:$B$204&gt;$B167)*(B_Drainage!$H$5:$H$204&lt;&gt;"")),IF(UPPER(B_Drainage!$H$5:$H$204)="Y",1,"")),"")</f>
        <v/>
      </c>
      <c r="Z167" s="181" t="str">
        <f>IFERROR(LOOKUP(2,1/((B_Drainage!$A$5:$A$204&lt;&gt;"")*(B_Drainage!$A$5:$A$204&lt;=$B167)*(B_Drainage!$B$5:$B$204&gt;$B167)*(B_Drainage!$I$5:$I$204&lt;&gt;"")),IF(UPPER(B_Drainage!$I$5:$I$204)="Y",1,"")),"")</f>
        <v/>
      </c>
      <c r="AA167" s="181" t="str">
        <f>IFERROR(LOOKUP(2,1/((B_Drainage!$A$5:$A$204&lt;&gt;"")*(B_Drainage!$A$5:$A$204&lt;=$B167)*(B_Drainage!$B$5:$B$204&gt;$B167)*(B_Drainage!$J$5:$J$204&lt;&gt;"")),IF(UPPER(B_Drainage!$J$5:$J$204)="Y",1,"")),"")</f>
        <v/>
      </c>
      <c r="AB167" s="182" t="str">
        <f>IFERROR(LOOKUP(2,1/((B_Drainage!$A$5:$A$204&lt;&gt;"")*(B_Drainage!$A$5:$A$204&lt;=$B167)*(B_Drainage!$B$5:$B$204&gt;$B167)*(B_Drainage!$K$5:$K$204&lt;&gt;"")),IF(B_Drainage!$K$5:$K$204="-","",B_Drainage!$K$5:$K$204)),"")</f>
        <v/>
      </c>
      <c r="AC167" s="182" t="str">
        <f>IFERROR(LOOKUP(2,1/((B_Drainage!$A$5:$A$204&lt;&gt;"")*(B_Drainage!$A$5:$A$204&lt;=$B167)*(B_Drainage!$B$5:$B$204&gt;$B167)*(B_Drainage!$L$5:$L$204&lt;&gt;"")),IF(B_Drainage!$L$5:$L$204="-","",B_Drainage!$L$5:$L$204)),"")</f>
        <v/>
      </c>
      <c r="AD167" s="182" t="str">
        <f>IFERROR(LOOKUP(2,1/((D_Points!$A$5:$A$204&lt;&gt;"")*(D_Points!$A$5:$A$204&gt;=$B167)*(D_Points!$A$5:$A$204&lt;$B167+P_Interval)*(UPPER(TRIM(D_Points!$B$5:$B$204))="TURNOUT_L")*(D_Points!$H$5:$H$204&lt;&gt;"")),D_Points!$H$5:$H$204),"")</f>
        <v/>
      </c>
      <c r="AE167" s="182" t="str">
        <f>IFERROR(LOOKUP(2,1/((D_Points!$A$5:$A$204&lt;&gt;"")*(D_Points!$A$5:$A$204&gt;=$B167)*(D_Points!$A$5:$A$204&lt;$B167+P_Interval)*(UPPER(TRIM(D_Points!$B$5:$B$204))="TURNOUT_R")*(D_Points!$H$5:$H$204&lt;&gt;"")),D_Points!$H$5:$H$204),"")</f>
        <v/>
      </c>
      <c r="AF167" s="181" t="str">
        <f>IFERROR(LOOKUP(2,1/((B_Drainage!$A$5:$A$204&lt;&gt;"")*(B_Drainage!$A$5:$A$204&lt;=$B167)*(B_Drainage!$B$5:$B$204&gt;$B167)*(B_Drainage!$M$5:$M$204&lt;&gt;"")),IF(UPPER(B_Drainage!$M$5:$M$204)="Y",1,"")),"")</f>
        <v/>
      </c>
      <c r="AG167" s="181" t="str">
        <f>IFERROR(LOOKUP(2,1/((B_Drainage!$A$5:$A$204&lt;&gt;"")*(B_Drainage!$A$5:$A$204&lt;=$B167)*(B_Drainage!$B$5:$B$204&gt;$B167)*(B_Drainage!$N$5:$N$204&lt;&gt;"")),IF(UPPER(B_Drainage!$N$5:$N$204)="Y",1,"")),"")</f>
        <v/>
      </c>
      <c r="AH167" s="181" t="str">
        <f t="shared" si="16"/>
        <v/>
      </c>
      <c r="AI167" s="181" t="str">
        <f t="shared" si="17"/>
        <v/>
      </c>
      <c r="AJ167" s="181" t="str">
        <f t="shared" si="18"/>
        <v/>
      </c>
      <c r="AK167" s="181" t="str">
        <f t="shared" si="19"/>
        <v/>
      </c>
      <c r="AL167" s="181" t="str">
        <f t="shared" si="20"/>
        <v/>
      </c>
      <c r="AM167" s="181" t="str">
        <f t="shared" si="21"/>
        <v/>
      </c>
      <c r="AN167" s="181" t="str">
        <f t="shared" si="22"/>
        <v/>
      </c>
      <c r="AO167" s="192" t="str">
        <f t="shared" si="23"/>
        <v/>
      </c>
      <c r="AQ167" t="str">
        <f>IFERROR(LOOKUP(2,1/((C_Pavement!$A$5:$A$204&lt;&gt;"")*(C_Pavement!$A$5:$A$204&lt;=$B167)*(C_Pavement!$B$5:$B$204&gt;$B167)*(C_Pavement!$C$5:$C$204&lt;&gt;"")),ROW(C_Pavement!$C$5:$C$204)-4),"")</f>
        <v/>
      </c>
      <c r="AR167" t="str">
        <f>IF($AQ167="","",UPPER(TRIM(INDEX(C_Pavement!$C$5:$C$204,$AQ167))))</f>
        <v/>
      </c>
      <c r="AS167" t="str">
        <f>IF($AR167="","",IFERROR(MATCH($AR167,E_Rules!$A$5:$A$9,0),""))</f>
        <v/>
      </c>
      <c r="AT167" t="str">
        <f>IF($AQ167="","",IF(INDEX(C_Pavement!$D$5:$D$204,$AQ167)&lt;&gt;"",UPPER(TRIM(INDEX(C_Pavement!$D$5:$D$204,$AQ167))),IF($AS167="","",INDEX(E_Rules!$C$5:$C$9,$AS167))))</f>
        <v/>
      </c>
      <c r="AU167" t="str">
        <f>IF($AQ167="","",IF(INDEX(C_Pavement!$E$5:$E$204,$AQ167)&lt;&gt;"",IF(INDEX(C_Pavement!$E$5:$E$204,$AQ167)="-","",INDEX(C_Pavement!$E$5:$E$204,$AQ167)),IF($AS167="","",INDEX(E_Rules!$D$5:$D$9,$AS167))))</f>
        <v/>
      </c>
      <c r="AV167" t="str">
        <f>IF($AQ167="","",IF(INDEX(C_Pavement!$F$5:$F$204,$AQ167)&lt;&gt;"",IF(INDEX(C_Pavement!$F$5:$F$204,$AQ167)="-","",INDEX(C_Pavement!$F$5:$F$204,$AQ167)),IF($AS167="","",INDEX(E_Rules!$E$5:$E$9,$AS167))))</f>
        <v/>
      </c>
      <c r="AW167" t="str">
        <f>IF($AQ167="","",IF(INDEX(C_Pavement!$G$5:$G$204,$AQ167)&lt;&gt;"",IF(INDEX(C_Pavement!$G$5:$G$204,$AQ167)="-","",INDEX(C_Pavement!$G$5:$G$204,$AQ167)),IF($AS167="","",INDEX(E_Rules!$F$5:$F$9,$AS167))))</f>
        <v/>
      </c>
      <c r="AX167" t="str">
        <f>IF($AQ167="","",IF(INDEX(C_Pavement!$H$5:$H$204,$AQ167)&lt;&gt;"",IF(INDEX(C_Pavement!$H$5:$H$204,$AQ167)="-","",INDEX(C_Pavement!$H$5:$H$204,$AQ167)),IF($AS167="","",INDEX(E_Rules!$G$5:$G$9,$AS167))))</f>
        <v/>
      </c>
      <c r="AY167" t="str">
        <f>IF($AQ167="","",IF(INDEX(C_Pavement!$I$5:$I$204,$AQ167)&lt;&gt;"",IF(INDEX(C_Pavement!$I$5:$I$204,$AQ167)="-","",INDEX(C_Pavement!$I$5:$I$204,$AQ167)),IF($AS167="","",INDEX(E_Rules!$H$5:$H$9,$AS167))))</f>
        <v/>
      </c>
    </row>
    <row r="168" spans="1:51" ht="15.75" customHeight="1" x14ac:dyDescent="0.3">
      <c r="A168" s="189">
        <v>163</v>
      </c>
      <c r="B168" s="180">
        <v>8100</v>
      </c>
      <c r="C168" s="180" t="s">
        <v>474</v>
      </c>
      <c r="D168" s="181" t="str">
        <f>IFERROR(LOOKUP(2,1/((A_Corridor!$A$5:$A$204&lt;&gt;"")*(A_Corridor!$A$5:$A$204&lt;=$B168)*(A_Corridor!$B$5:$B$204&gt;$B168)*(A_Corridor!$C$5:$C$204&lt;&gt;"")),IF(UPPER(A_Corridor!$C$5:$C$204)="Y",1,"")),"")</f>
        <v/>
      </c>
      <c r="E168" s="181" t="str">
        <f>IFERROR(LOOKUP(2,1/((A_Corridor!$A$5:$A$204&lt;&gt;"")*(A_Corridor!$A$5:$A$204&lt;=$B168)*(A_Corridor!$B$5:$B$204&gt;$B168)*(A_Corridor!$D$5:$D$204&lt;&gt;"")),IF(A_Corridor!$D$5:$D$204="-","",UPPER(A_Corridor!$D$5:$D$204))),"")</f>
        <v/>
      </c>
      <c r="F168" s="181" t="str">
        <f>IFERROR(LOOKUP(2,1/((A_Corridor!$A$5:$A$204&lt;&gt;"")*(A_Corridor!$A$5:$A$204&lt;=$B168)*(A_Corridor!$B$5:$B$204&gt;$B168)*(A_Corridor!$E$5:$E$204&lt;&gt;"")),IF(A_Corridor!$E$5:$E$204="-","",1)),"")</f>
        <v/>
      </c>
      <c r="G168" s="182" t="str">
        <f>IFERROR(LOOKUP(2,1/((A_Corridor!$A$5:$A$204&lt;&gt;"")*(A_Corridor!$A$5:$A$204&lt;=$B168)*(A_Corridor!$B$5:$B$204&gt;$B168)*(A_Corridor!$E$5:$E$204&lt;&gt;"")),IF(A_Corridor!$E$5:$E$204="-","",A_Corridor!$E$5:$E$204)),"")</f>
        <v/>
      </c>
      <c r="H168" s="182" t="str">
        <f>IFERROR(LOOKUP(2,1/((D_Points!$A$5:$A$204&lt;&gt;"")*(D_Points!$A$5:$A$204&gt;=$B168)*(D_Points!$A$5:$A$204&lt;$B168+P_Interval)*(UPPER(TRIM(D_Points!$B$5:$B$204))="GULLY")*(D_Points!$H$5:$H$204&lt;&gt;"")),D_Points!$H$5:$H$204),"")</f>
        <v/>
      </c>
      <c r="I168" s="181" t="str">
        <f>IFERROR(LOOKUP(2,1/((A_Corridor!$A$5:$A$204&lt;&gt;"")*(A_Corridor!$A$5:$A$204&lt;=$B168)*(A_Corridor!$B$5:$B$204&gt;$B168)*(A_Corridor!$F$5:$F$204&lt;&gt;"")),IF(A_Corridor!$F$5:$F$204="-","",1)),"")</f>
        <v/>
      </c>
      <c r="J168" s="182" t="str">
        <f>IFERROR(LOOKUP(2,1/((A_Corridor!$A$5:$A$204&lt;&gt;"")*(A_Corridor!$A$5:$A$204&lt;=$B168)*(A_Corridor!$B$5:$B$204&gt;$B168)*(A_Corridor!$F$5:$F$204&lt;&gt;"")),IF(A_Corridor!$F$5:$F$204="-","",A_Corridor!$F$5:$F$204)),"")</f>
        <v/>
      </c>
      <c r="K168" s="182" t="str">
        <f>IFERROR(LOOKUP(2,1/((A_Corridor!$A$5:$A$204&lt;&gt;"")*(A_Corridor!$A$5:$A$204&lt;=$B168)*(A_Corridor!$B$5:$B$204&gt;$B168)*(A_Corridor!$G$5:$G$204&lt;&gt;"")),IF(A_Corridor!$G$5:$G$204="-","",A_Corridor!$G$5:$G$204)),"")</f>
        <v/>
      </c>
      <c r="L168" s="181" t="str">
        <f>IFERROR(LOOKUP(2,1/((A_Corridor!$A$5:$A$204&lt;&gt;"")*(A_Corridor!$A$5:$A$204&lt;=$B168)*(A_Corridor!$B$5:$B$204&gt;$B168)*(A_Corridor!$H$5:$H$204&lt;&gt;"")),IF(A_Corridor!$H$5:$H$204="-","",1)),"")</f>
        <v/>
      </c>
      <c r="M168" s="182" t="str">
        <f>IFERROR(LOOKUP(2,1/((A_Corridor!$A$5:$A$204&lt;&gt;"")*(A_Corridor!$A$5:$A$204&lt;=$B168)*(A_Corridor!$B$5:$B$204&gt;$B168)*(A_Corridor!$H$5:$H$204&lt;&gt;"")),IF(A_Corridor!$H$5:$H$204="-","",A_Corridor!$H$5:$H$204)),"")</f>
        <v/>
      </c>
      <c r="N168" s="182" t="str">
        <f>IFERROR(LOOKUP(2,1/((A_Corridor!$A$5:$A$204&lt;&gt;"")*(A_Corridor!$A$5:$A$204&lt;=$B168)*(A_Corridor!$B$5:$B$204&gt;$B168)*(A_Corridor!$I$5:$I$204&lt;&gt;"")),IF(A_Corridor!$I$5:$I$204="-","",A_Corridor!$I$5:$I$204)),"")</f>
        <v/>
      </c>
      <c r="O168" s="182" t="str">
        <f>IFERROR(LOOKUP(2,1/((D_Points!$A$5:$A$204&lt;&gt;"")*(D_Points!$A$5:$A$204&gt;=$B168)*(D_Points!$A$5:$A$204&lt;$B168+P_Interval)*(UPPER(TRIM(D_Points!$B$5:$B$204))="PITCHING")*(D_Points!$H$5:$H$204&lt;&gt;"")),D_Points!$H$5:$H$204),"")</f>
        <v/>
      </c>
      <c r="P168" s="181" t="str">
        <f>IFERROR(LOOKUP(2,1/((B_Drainage!$A$5:$A$204&lt;&gt;"")*(B_Drainage!$A$5:$A$204&lt;=$B168)*(B_Drainage!$B$5:$B$204&gt;$B168)*(B_Drainage!$C$5:$C$204&lt;&gt;"")),IF(B_Drainage!$C$5:$C$204="-","",UPPER(B_Drainage!$C$5:$C$204))),"")</f>
        <v/>
      </c>
      <c r="Q168" s="181" t="str">
        <f>IFERROR(LOOKUP(2,1/((B_Drainage!$A$5:$A$204&lt;&gt;"")*(B_Drainage!$A$5:$A$204&lt;=$B168)*(B_Drainage!$B$5:$B$204&gt;$B168)*(B_Drainage!$D$5:$D$204&lt;&gt;"")),IF(B_Drainage!$D$5:$D$204="-","",UPPER(B_Drainage!$D$5:$D$204))),"")</f>
        <v/>
      </c>
      <c r="R168" s="182" t="str">
        <f>IFERROR(LOOKUP(2,1/((D_Points!$A$5:$A$204&lt;&gt;"")*(D_Points!$A$5:$A$204&gt;=$B168)*(D_Points!$A$5:$A$204&lt;$B168+P_Interval)*(RIGHT(UPPER(TRIM(D_Points!$B$5:$B$204)),8)="_CULVERT")),IF(LEFT(UPPER(TRIM(D_Points!$B$5:$B$204)),2)="EX",1,IF(LEFT(UPPER(TRIM(D_Points!$B$5:$B$204)),2)="PR",2,3))),"")</f>
        <v/>
      </c>
      <c r="S168" s="182" t="str">
        <f>IFERROR(LOOKUP(2,1/((D_Points!$A$5:$A$204&lt;&gt;"")*(D_Points!$A$5:$A$204&gt;=$B168)*(D_Points!$A$5:$A$204&lt;$B168+P_Interval)*(RIGHT(UPPER(TRIM(D_Points!$B$5:$B$204)),7)="_BRIDGE")),IF(LEFT(UPPER(TRIM(D_Points!$B$5:$B$204)),2)="EX",1,IF(LEFT(UPPER(TRIM(D_Points!$B$5:$B$204)),2)="PR",2,2))),"")</f>
        <v/>
      </c>
      <c r="T168" s="181" t="str">
        <f>IFERROR(LOOKUP(2,1/((B_Drainage!$A$5:$A$204&lt;&gt;"")*(B_Drainage!$A$5:$A$204&lt;=$B168)*(B_Drainage!$B$5:$B$204&gt;$B168)*(B_Drainage!$E$5:$E$204&lt;&gt;"")),IF(B_Drainage!$E$5:$E$204="-","",1)),"")</f>
        <v/>
      </c>
      <c r="U168" s="181" t="str">
        <f>IFERROR(LOOKUP(2,1/((B_Drainage!$A$5:$A$204&lt;&gt;"")*(B_Drainage!$A$5:$A$204&lt;=$B168)*(B_Drainage!$B$5:$B$204&gt;$B168)*(B_Drainage!$E$5:$E$204&lt;&gt;"")),IF(B_Drainage!$E$5:$E$204="-","",B_Drainage!$E$5:$E$204)),"")</f>
        <v/>
      </c>
      <c r="V168" s="181" t="str">
        <f>IFERROR(LOOKUP(2,1/((B_Drainage!$A$5:$A$204&lt;&gt;"")*(B_Drainage!$A$5:$A$204&lt;=$B168)*(B_Drainage!$B$5:$B$204&gt;$B168)*(B_Drainage!$F$5:$F$204&lt;&gt;"")),IF(B_Drainage!$F$5:$F$204="-","",1)),"")</f>
        <v/>
      </c>
      <c r="W168" s="181" t="str">
        <f>IFERROR(LOOKUP(2,1/((B_Drainage!$A$5:$A$204&lt;&gt;"")*(B_Drainage!$A$5:$A$204&lt;=$B168)*(B_Drainage!$B$5:$B$204&gt;$B168)*(B_Drainage!$F$5:$F$204&lt;&gt;"")),IF(B_Drainage!$F$5:$F$204="-","",B_Drainage!$F$5:$F$204)),"")</f>
        <v/>
      </c>
      <c r="X168" s="181" t="str">
        <f>IFERROR(LOOKUP(2,1/((B_Drainage!$A$5:$A$204&lt;&gt;"")*(B_Drainage!$A$5:$A$204&lt;=$B168)*(B_Drainage!$B$5:$B$204&gt;$B168)*(B_Drainage!$G$5:$G$204&lt;&gt;"")),IF(UPPER(B_Drainage!$G$5:$G$204)="Y",1,"")),"")</f>
        <v/>
      </c>
      <c r="Y168" s="181" t="str">
        <f>IFERROR(LOOKUP(2,1/((B_Drainage!$A$5:$A$204&lt;&gt;"")*(B_Drainage!$A$5:$A$204&lt;=$B168)*(B_Drainage!$B$5:$B$204&gt;$B168)*(B_Drainage!$H$5:$H$204&lt;&gt;"")),IF(UPPER(B_Drainage!$H$5:$H$204)="Y",1,"")),"")</f>
        <v/>
      </c>
      <c r="Z168" s="181" t="str">
        <f>IFERROR(LOOKUP(2,1/((B_Drainage!$A$5:$A$204&lt;&gt;"")*(B_Drainage!$A$5:$A$204&lt;=$B168)*(B_Drainage!$B$5:$B$204&gt;$B168)*(B_Drainage!$I$5:$I$204&lt;&gt;"")),IF(UPPER(B_Drainage!$I$5:$I$204)="Y",1,"")),"")</f>
        <v/>
      </c>
      <c r="AA168" s="181" t="str">
        <f>IFERROR(LOOKUP(2,1/((B_Drainage!$A$5:$A$204&lt;&gt;"")*(B_Drainage!$A$5:$A$204&lt;=$B168)*(B_Drainage!$B$5:$B$204&gt;$B168)*(B_Drainage!$J$5:$J$204&lt;&gt;"")),IF(UPPER(B_Drainage!$J$5:$J$204)="Y",1,"")),"")</f>
        <v/>
      </c>
      <c r="AB168" s="182" t="str">
        <f>IFERROR(LOOKUP(2,1/((B_Drainage!$A$5:$A$204&lt;&gt;"")*(B_Drainage!$A$5:$A$204&lt;=$B168)*(B_Drainage!$B$5:$B$204&gt;$B168)*(B_Drainage!$K$5:$K$204&lt;&gt;"")),IF(B_Drainage!$K$5:$K$204="-","",B_Drainage!$K$5:$K$204)),"")</f>
        <v/>
      </c>
      <c r="AC168" s="182" t="str">
        <f>IFERROR(LOOKUP(2,1/((B_Drainage!$A$5:$A$204&lt;&gt;"")*(B_Drainage!$A$5:$A$204&lt;=$B168)*(B_Drainage!$B$5:$B$204&gt;$B168)*(B_Drainage!$L$5:$L$204&lt;&gt;"")),IF(B_Drainage!$L$5:$L$204="-","",B_Drainage!$L$5:$L$204)),"")</f>
        <v/>
      </c>
      <c r="AD168" s="182" t="str">
        <f>IFERROR(LOOKUP(2,1/((D_Points!$A$5:$A$204&lt;&gt;"")*(D_Points!$A$5:$A$204&gt;=$B168)*(D_Points!$A$5:$A$204&lt;$B168+P_Interval)*(UPPER(TRIM(D_Points!$B$5:$B$204))="TURNOUT_L")*(D_Points!$H$5:$H$204&lt;&gt;"")),D_Points!$H$5:$H$204),"")</f>
        <v/>
      </c>
      <c r="AE168" s="182" t="str">
        <f>IFERROR(LOOKUP(2,1/((D_Points!$A$5:$A$204&lt;&gt;"")*(D_Points!$A$5:$A$204&gt;=$B168)*(D_Points!$A$5:$A$204&lt;$B168+P_Interval)*(UPPER(TRIM(D_Points!$B$5:$B$204))="TURNOUT_R")*(D_Points!$H$5:$H$204&lt;&gt;"")),D_Points!$H$5:$H$204),"")</f>
        <v/>
      </c>
      <c r="AF168" s="181" t="str">
        <f>IFERROR(LOOKUP(2,1/((B_Drainage!$A$5:$A$204&lt;&gt;"")*(B_Drainage!$A$5:$A$204&lt;=$B168)*(B_Drainage!$B$5:$B$204&gt;$B168)*(B_Drainage!$M$5:$M$204&lt;&gt;"")),IF(UPPER(B_Drainage!$M$5:$M$204)="Y",1,"")),"")</f>
        <v/>
      </c>
      <c r="AG168" s="181" t="str">
        <f>IFERROR(LOOKUP(2,1/((B_Drainage!$A$5:$A$204&lt;&gt;"")*(B_Drainage!$A$5:$A$204&lt;=$B168)*(B_Drainage!$B$5:$B$204&gt;$B168)*(B_Drainage!$N$5:$N$204&lt;&gt;"")),IF(UPPER(B_Drainage!$N$5:$N$204)="Y",1,"")),"")</f>
        <v/>
      </c>
      <c r="AH168" s="181" t="str">
        <f t="shared" si="16"/>
        <v/>
      </c>
      <c r="AI168" s="181" t="str">
        <f t="shared" si="17"/>
        <v/>
      </c>
      <c r="AJ168" s="181" t="str">
        <f t="shared" si="18"/>
        <v/>
      </c>
      <c r="AK168" s="181" t="str">
        <f t="shared" si="19"/>
        <v/>
      </c>
      <c r="AL168" s="181" t="str">
        <f t="shared" si="20"/>
        <v/>
      </c>
      <c r="AM168" s="181" t="str">
        <f t="shared" si="21"/>
        <v/>
      </c>
      <c r="AN168" s="181" t="str">
        <f t="shared" si="22"/>
        <v/>
      </c>
      <c r="AO168" s="192" t="str">
        <f t="shared" si="23"/>
        <v/>
      </c>
      <c r="AQ168" t="str">
        <f>IFERROR(LOOKUP(2,1/((C_Pavement!$A$5:$A$204&lt;&gt;"")*(C_Pavement!$A$5:$A$204&lt;=$B168)*(C_Pavement!$B$5:$B$204&gt;$B168)*(C_Pavement!$C$5:$C$204&lt;&gt;"")),ROW(C_Pavement!$C$5:$C$204)-4),"")</f>
        <v/>
      </c>
      <c r="AR168" t="str">
        <f>IF($AQ168="","",UPPER(TRIM(INDEX(C_Pavement!$C$5:$C$204,$AQ168))))</f>
        <v/>
      </c>
      <c r="AS168" t="str">
        <f>IF($AR168="","",IFERROR(MATCH($AR168,E_Rules!$A$5:$A$9,0),""))</f>
        <v/>
      </c>
      <c r="AT168" t="str">
        <f>IF($AQ168="","",IF(INDEX(C_Pavement!$D$5:$D$204,$AQ168)&lt;&gt;"",UPPER(TRIM(INDEX(C_Pavement!$D$5:$D$204,$AQ168))),IF($AS168="","",INDEX(E_Rules!$C$5:$C$9,$AS168))))</f>
        <v/>
      </c>
      <c r="AU168" t="str">
        <f>IF($AQ168="","",IF(INDEX(C_Pavement!$E$5:$E$204,$AQ168)&lt;&gt;"",IF(INDEX(C_Pavement!$E$5:$E$204,$AQ168)="-","",INDEX(C_Pavement!$E$5:$E$204,$AQ168)),IF($AS168="","",INDEX(E_Rules!$D$5:$D$9,$AS168))))</f>
        <v/>
      </c>
      <c r="AV168" t="str">
        <f>IF($AQ168="","",IF(INDEX(C_Pavement!$F$5:$F$204,$AQ168)&lt;&gt;"",IF(INDEX(C_Pavement!$F$5:$F$204,$AQ168)="-","",INDEX(C_Pavement!$F$5:$F$204,$AQ168)),IF($AS168="","",INDEX(E_Rules!$E$5:$E$9,$AS168))))</f>
        <v/>
      </c>
      <c r="AW168" t="str">
        <f>IF($AQ168="","",IF(INDEX(C_Pavement!$G$5:$G$204,$AQ168)&lt;&gt;"",IF(INDEX(C_Pavement!$G$5:$G$204,$AQ168)="-","",INDEX(C_Pavement!$G$5:$G$204,$AQ168)),IF($AS168="","",INDEX(E_Rules!$F$5:$F$9,$AS168))))</f>
        <v/>
      </c>
      <c r="AX168" t="str">
        <f>IF($AQ168="","",IF(INDEX(C_Pavement!$H$5:$H$204,$AQ168)&lt;&gt;"",IF(INDEX(C_Pavement!$H$5:$H$204,$AQ168)="-","",INDEX(C_Pavement!$H$5:$H$204,$AQ168)),IF($AS168="","",INDEX(E_Rules!$G$5:$G$9,$AS168))))</f>
        <v/>
      </c>
      <c r="AY168" t="str">
        <f>IF($AQ168="","",IF(INDEX(C_Pavement!$I$5:$I$204,$AQ168)&lt;&gt;"",IF(INDEX(C_Pavement!$I$5:$I$204,$AQ168)="-","",INDEX(C_Pavement!$I$5:$I$204,$AQ168)),IF($AS168="","",INDEX(E_Rules!$H$5:$H$9,$AS168))))</f>
        <v/>
      </c>
    </row>
    <row r="169" spans="1:51" ht="15.75" customHeight="1" x14ac:dyDescent="0.3">
      <c r="A169" s="189">
        <v>164</v>
      </c>
      <c r="B169" s="180">
        <v>8150</v>
      </c>
      <c r="C169" s="180" t="s">
        <v>475</v>
      </c>
      <c r="D169" s="181" t="str">
        <f>IFERROR(LOOKUP(2,1/((A_Corridor!$A$5:$A$204&lt;&gt;"")*(A_Corridor!$A$5:$A$204&lt;=$B169)*(A_Corridor!$B$5:$B$204&gt;$B169)*(A_Corridor!$C$5:$C$204&lt;&gt;"")),IF(UPPER(A_Corridor!$C$5:$C$204)="Y",1,"")),"")</f>
        <v/>
      </c>
      <c r="E169" s="181" t="str">
        <f>IFERROR(LOOKUP(2,1/((A_Corridor!$A$5:$A$204&lt;&gt;"")*(A_Corridor!$A$5:$A$204&lt;=$B169)*(A_Corridor!$B$5:$B$204&gt;$B169)*(A_Corridor!$D$5:$D$204&lt;&gt;"")),IF(A_Corridor!$D$5:$D$204="-","",UPPER(A_Corridor!$D$5:$D$204))),"")</f>
        <v/>
      </c>
      <c r="F169" s="181" t="str">
        <f>IFERROR(LOOKUP(2,1/((A_Corridor!$A$5:$A$204&lt;&gt;"")*(A_Corridor!$A$5:$A$204&lt;=$B169)*(A_Corridor!$B$5:$B$204&gt;$B169)*(A_Corridor!$E$5:$E$204&lt;&gt;"")),IF(A_Corridor!$E$5:$E$204="-","",1)),"")</f>
        <v/>
      </c>
      <c r="G169" s="182" t="str">
        <f>IFERROR(LOOKUP(2,1/((A_Corridor!$A$5:$A$204&lt;&gt;"")*(A_Corridor!$A$5:$A$204&lt;=$B169)*(A_Corridor!$B$5:$B$204&gt;$B169)*(A_Corridor!$E$5:$E$204&lt;&gt;"")),IF(A_Corridor!$E$5:$E$204="-","",A_Corridor!$E$5:$E$204)),"")</f>
        <v/>
      </c>
      <c r="H169" s="182" t="str">
        <f>IFERROR(LOOKUP(2,1/((D_Points!$A$5:$A$204&lt;&gt;"")*(D_Points!$A$5:$A$204&gt;=$B169)*(D_Points!$A$5:$A$204&lt;$B169+P_Interval)*(UPPER(TRIM(D_Points!$B$5:$B$204))="GULLY")*(D_Points!$H$5:$H$204&lt;&gt;"")),D_Points!$H$5:$H$204),"")</f>
        <v/>
      </c>
      <c r="I169" s="181" t="str">
        <f>IFERROR(LOOKUP(2,1/((A_Corridor!$A$5:$A$204&lt;&gt;"")*(A_Corridor!$A$5:$A$204&lt;=$B169)*(A_Corridor!$B$5:$B$204&gt;$B169)*(A_Corridor!$F$5:$F$204&lt;&gt;"")),IF(A_Corridor!$F$5:$F$204="-","",1)),"")</f>
        <v/>
      </c>
      <c r="J169" s="182" t="str">
        <f>IFERROR(LOOKUP(2,1/((A_Corridor!$A$5:$A$204&lt;&gt;"")*(A_Corridor!$A$5:$A$204&lt;=$B169)*(A_Corridor!$B$5:$B$204&gt;$B169)*(A_Corridor!$F$5:$F$204&lt;&gt;"")),IF(A_Corridor!$F$5:$F$204="-","",A_Corridor!$F$5:$F$204)),"")</f>
        <v/>
      </c>
      <c r="K169" s="182" t="str">
        <f>IFERROR(LOOKUP(2,1/((A_Corridor!$A$5:$A$204&lt;&gt;"")*(A_Corridor!$A$5:$A$204&lt;=$B169)*(A_Corridor!$B$5:$B$204&gt;$B169)*(A_Corridor!$G$5:$G$204&lt;&gt;"")),IF(A_Corridor!$G$5:$G$204="-","",A_Corridor!$G$5:$G$204)),"")</f>
        <v/>
      </c>
      <c r="L169" s="181" t="str">
        <f>IFERROR(LOOKUP(2,1/((A_Corridor!$A$5:$A$204&lt;&gt;"")*(A_Corridor!$A$5:$A$204&lt;=$B169)*(A_Corridor!$B$5:$B$204&gt;$B169)*(A_Corridor!$H$5:$H$204&lt;&gt;"")),IF(A_Corridor!$H$5:$H$204="-","",1)),"")</f>
        <v/>
      </c>
      <c r="M169" s="182" t="str">
        <f>IFERROR(LOOKUP(2,1/((A_Corridor!$A$5:$A$204&lt;&gt;"")*(A_Corridor!$A$5:$A$204&lt;=$B169)*(A_Corridor!$B$5:$B$204&gt;$B169)*(A_Corridor!$H$5:$H$204&lt;&gt;"")),IF(A_Corridor!$H$5:$H$204="-","",A_Corridor!$H$5:$H$204)),"")</f>
        <v/>
      </c>
      <c r="N169" s="182" t="str">
        <f>IFERROR(LOOKUP(2,1/((A_Corridor!$A$5:$A$204&lt;&gt;"")*(A_Corridor!$A$5:$A$204&lt;=$B169)*(A_Corridor!$B$5:$B$204&gt;$B169)*(A_Corridor!$I$5:$I$204&lt;&gt;"")),IF(A_Corridor!$I$5:$I$204="-","",A_Corridor!$I$5:$I$204)),"")</f>
        <v/>
      </c>
      <c r="O169" s="182" t="str">
        <f>IFERROR(LOOKUP(2,1/((D_Points!$A$5:$A$204&lt;&gt;"")*(D_Points!$A$5:$A$204&gt;=$B169)*(D_Points!$A$5:$A$204&lt;$B169+P_Interval)*(UPPER(TRIM(D_Points!$B$5:$B$204))="PITCHING")*(D_Points!$H$5:$H$204&lt;&gt;"")),D_Points!$H$5:$H$204),"")</f>
        <v/>
      </c>
      <c r="P169" s="181" t="str">
        <f>IFERROR(LOOKUP(2,1/((B_Drainage!$A$5:$A$204&lt;&gt;"")*(B_Drainage!$A$5:$A$204&lt;=$B169)*(B_Drainage!$B$5:$B$204&gt;$B169)*(B_Drainage!$C$5:$C$204&lt;&gt;"")),IF(B_Drainage!$C$5:$C$204="-","",UPPER(B_Drainage!$C$5:$C$204))),"")</f>
        <v/>
      </c>
      <c r="Q169" s="181" t="str">
        <f>IFERROR(LOOKUP(2,1/((B_Drainage!$A$5:$A$204&lt;&gt;"")*(B_Drainage!$A$5:$A$204&lt;=$B169)*(B_Drainage!$B$5:$B$204&gt;$B169)*(B_Drainage!$D$5:$D$204&lt;&gt;"")),IF(B_Drainage!$D$5:$D$204="-","",UPPER(B_Drainage!$D$5:$D$204))),"")</f>
        <v/>
      </c>
      <c r="R169" s="182" t="str">
        <f>IFERROR(LOOKUP(2,1/((D_Points!$A$5:$A$204&lt;&gt;"")*(D_Points!$A$5:$A$204&gt;=$B169)*(D_Points!$A$5:$A$204&lt;$B169+P_Interval)*(RIGHT(UPPER(TRIM(D_Points!$B$5:$B$204)),8)="_CULVERT")),IF(LEFT(UPPER(TRIM(D_Points!$B$5:$B$204)),2)="EX",1,IF(LEFT(UPPER(TRIM(D_Points!$B$5:$B$204)),2)="PR",2,3))),"")</f>
        <v/>
      </c>
      <c r="S169" s="182" t="str">
        <f>IFERROR(LOOKUP(2,1/((D_Points!$A$5:$A$204&lt;&gt;"")*(D_Points!$A$5:$A$204&gt;=$B169)*(D_Points!$A$5:$A$204&lt;$B169+P_Interval)*(RIGHT(UPPER(TRIM(D_Points!$B$5:$B$204)),7)="_BRIDGE")),IF(LEFT(UPPER(TRIM(D_Points!$B$5:$B$204)),2)="EX",1,IF(LEFT(UPPER(TRIM(D_Points!$B$5:$B$204)),2)="PR",2,2))),"")</f>
        <v/>
      </c>
      <c r="T169" s="181" t="str">
        <f>IFERROR(LOOKUP(2,1/((B_Drainage!$A$5:$A$204&lt;&gt;"")*(B_Drainage!$A$5:$A$204&lt;=$B169)*(B_Drainage!$B$5:$B$204&gt;$B169)*(B_Drainage!$E$5:$E$204&lt;&gt;"")),IF(B_Drainage!$E$5:$E$204="-","",1)),"")</f>
        <v/>
      </c>
      <c r="U169" s="181" t="str">
        <f>IFERROR(LOOKUP(2,1/((B_Drainage!$A$5:$A$204&lt;&gt;"")*(B_Drainage!$A$5:$A$204&lt;=$B169)*(B_Drainage!$B$5:$B$204&gt;$B169)*(B_Drainage!$E$5:$E$204&lt;&gt;"")),IF(B_Drainage!$E$5:$E$204="-","",B_Drainage!$E$5:$E$204)),"")</f>
        <v/>
      </c>
      <c r="V169" s="181" t="str">
        <f>IFERROR(LOOKUP(2,1/((B_Drainage!$A$5:$A$204&lt;&gt;"")*(B_Drainage!$A$5:$A$204&lt;=$B169)*(B_Drainage!$B$5:$B$204&gt;$B169)*(B_Drainage!$F$5:$F$204&lt;&gt;"")),IF(B_Drainage!$F$5:$F$204="-","",1)),"")</f>
        <v/>
      </c>
      <c r="W169" s="181" t="str">
        <f>IFERROR(LOOKUP(2,1/((B_Drainage!$A$5:$A$204&lt;&gt;"")*(B_Drainage!$A$5:$A$204&lt;=$B169)*(B_Drainage!$B$5:$B$204&gt;$B169)*(B_Drainage!$F$5:$F$204&lt;&gt;"")),IF(B_Drainage!$F$5:$F$204="-","",B_Drainage!$F$5:$F$204)),"")</f>
        <v/>
      </c>
      <c r="X169" s="181" t="str">
        <f>IFERROR(LOOKUP(2,1/((B_Drainage!$A$5:$A$204&lt;&gt;"")*(B_Drainage!$A$5:$A$204&lt;=$B169)*(B_Drainage!$B$5:$B$204&gt;$B169)*(B_Drainage!$G$5:$G$204&lt;&gt;"")),IF(UPPER(B_Drainage!$G$5:$G$204)="Y",1,"")),"")</f>
        <v/>
      </c>
      <c r="Y169" s="181" t="str">
        <f>IFERROR(LOOKUP(2,1/((B_Drainage!$A$5:$A$204&lt;&gt;"")*(B_Drainage!$A$5:$A$204&lt;=$B169)*(B_Drainage!$B$5:$B$204&gt;$B169)*(B_Drainage!$H$5:$H$204&lt;&gt;"")),IF(UPPER(B_Drainage!$H$5:$H$204)="Y",1,"")),"")</f>
        <v/>
      </c>
      <c r="Z169" s="181" t="str">
        <f>IFERROR(LOOKUP(2,1/((B_Drainage!$A$5:$A$204&lt;&gt;"")*(B_Drainage!$A$5:$A$204&lt;=$B169)*(B_Drainage!$B$5:$B$204&gt;$B169)*(B_Drainage!$I$5:$I$204&lt;&gt;"")),IF(UPPER(B_Drainage!$I$5:$I$204)="Y",1,"")),"")</f>
        <v/>
      </c>
      <c r="AA169" s="181" t="str">
        <f>IFERROR(LOOKUP(2,1/((B_Drainage!$A$5:$A$204&lt;&gt;"")*(B_Drainage!$A$5:$A$204&lt;=$B169)*(B_Drainage!$B$5:$B$204&gt;$B169)*(B_Drainage!$J$5:$J$204&lt;&gt;"")),IF(UPPER(B_Drainage!$J$5:$J$204)="Y",1,"")),"")</f>
        <v/>
      </c>
      <c r="AB169" s="182" t="str">
        <f>IFERROR(LOOKUP(2,1/((B_Drainage!$A$5:$A$204&lt;&gt;"")*(B_Drainage!$A$5:$A$204&lt;=$B169)*(B_Drainage!$B$5:$B$204&gt;$B169)*(B_Drainage!$K$5:$K$204&lt;&gt;"")),IF(B_Drainage!$K$5:$K$204="-","",B_Drainage!$K$5:$K$204)),"")</f>
        <v/>
      </c>
      <c r="AC169" s="182" t="str">
        <f>IFERROR(LOOKUP(2,1/((B_Drainage!$A$5:$A$204&lt;&gt;"")*(B_Drainage!$A$5:$A$204&lt;=$B169)*(B_Drainage!$B$5:$B$204&gt;$B169)*(B_Drainage!$L$5:$L$204&lt;&gt;"")),IF(B_Drainage!$L$5:$L$204="-","",B_Drainage!$L$5:$L$204)),"")</f>
        <v/>
      </c>
      <c r="AD169" s="182" t="str">
        <f>IFERROR(LOOKUP(2,1/((D_Points!$A$5:$A$204&lt;&gt;"")*(D_Points!$A$5:$A$204&gt;=$B169)*(D_Points!$A$5:$A$204&lt;$B169+P_Interval)*(UPPER(TRIM(D_Points!$B$5:$B$204))="TURNOUT_L")*(D_Points!$H$5:$H$204&lt;&gt;"")),D_Points!$H$5:$H$204),"")</f>
        <v/>
      </c>
      <c r="AE169" s="182" t="str">
        <f>IFERROR(LOOKUP(2,1/((D_Points!$A$5:$A$204&lt;&gt;"")*(D_Points!$A$5:$A$204&gt;=$B169)*(D_Points!$A$5:$A$204&lt;$B169+P_Interval)*(UPPER(TRIM(D_Points!$B$5:$B$204))="TURNOUT_R")*(D_Points!$H$5:$H$204&lt;&gt;"")),D_Points!$H$5:$H$204),"")</f>
        <v/>
      </c>
      <c r="AF169" s="181" t="str">
        <f>IFERROR(LOOKUP(2,1/((B_Drainage!$A$5:$A$204&lt;&gt;"")*(B_Drainage!$A$5:$A$204&lt;=$B169)*(B_Drainage!$B$5:$B$204&gt;$B169)*(B_Drainage!$M$5:$M$204&lt;&gt;"")),IF(UPPER(B_Drainage!$M$5:$M$204)="Y",1,"")),"")</f>
        <v/>
      </c>
      <c r="AG169" s="181" t="str">
        <f>IFERROR(LOOKUP(2,1/((B_Drainage!$A$5:$A$204&lt;&gt;"")*(B_Drainage!$A$5:$A$204&lt;=$B169)*(B_Drainage!$B$5:$B$204&gt;$B169)*(B_Drainage!$N$5:$N$204&lt;&gt;"")),IF(UPPER(B_Drainage!$N$5:$N$204)="Y",1,"")),"")</f>
        <v/>
      </c>
      <c r="AH169" s="181" t="str">
        <f t="shared" si="16"/>
        <v/>
      </c>
      <c r="AI169" s="181" t="str">
        <f t="shared" si="17"/>
        <v/>
      </c>
      <c r="AJ169" s="181" t="str">
        <f t="shared" si="18"/>
        <v/>
      </c>
      <c r="AK169" s="181" t="str">
        <f t="shared" si="19"/>
        <v/>
      </c>
      <c r="AL169" s="181" t="str">
        <f t="shared" si="20"/>
        <v/>
      </c>
      <c r="AM169" s="181" t="str">
        <f t="shared" si="21"/>
        <v/>
      </c>
      <c r="AN169" s="181" t="str">
        <f t="shared" si="22"/>
        <v/>
      </c>
      <c r="AO169" s="192" t="str">
        <f t="shared" si="23"/>
        <v/>
      </c>
      <c r="AQ169" t="str">
        <f>IFERROR(LOOKUP(2,1/((C_Pavement!$A$5:$A$204&lt;&gt;"")*(C_Pavement!$A$5:$A$204&lt;=$B169)*(C_Pavement!$B$5:$B$204&gt;$B169)*(C_Pavement!$C$5:$C$204&lt;&gt;"")),ROW(C_Pavement!$C$5:$C$204)-4),"")</f>
        <v/>
      </c>
      <c r="AR169" t="str">
        <f>IF($AQ169="","",UPPER(TRIM(INDEX(C_Pavement!$C$5:$C$204,$AQ169))))</f>
        <v/>
      </c>
      <c r="AS169" t="str">
        <f>IF($AR169="","",IFERROR(MATCH($AR169,E_Rules!$A$5:$A$9,0),""))</f>
        <v/>
      </c>
      <c r="AT169" t="str">
        <f>IF($AQ169="","",IF(INDEX(C_Pavement!$D$5:$D$204,$AQ169)&lt;&gt;"",UPPER(TRIM(INDEX(C_Pavement!$D$5:$D$204,$AQ169))),IF($AS169="","",INDEX(E_Rules!$C$5:$C$9,$AS169))))</f>
        <v/>
      </c>
      <c r="AU169" t="str">
        <f>IF($AQ169="","",IF(INDEX(C_Pavement!$E$5:$E$204,$AQ169)&lt;&gt;"",IF(INDEX(C_Pavement!$E$5:$E$204,$AQ169)="-","",INDEX(C_Pavement!$E$5:$E$204,$AQ169)),IF($AS169="","",INDEX(E_Rules!$D$5:$D$9,$AS169))))</f>
        <v/>
      </c>
      <c r="AV169" t="str">
        <f>IF($AQ169="","",IF(INDEX(C_Pavement!$F$5:$F$204,$AQ169)&lt;&gt;"",IF(INDEX(C_Pavement!$F$5:$F$204,$AQ169)="-","",INDEX(C_Pavement!$F$5:$F$204,$AQ169)),IF($AS169="","",INDEX(E_Rules!$E$5:$E$9,$AS169))))</f>
        <v/>
      </c>
      <c r="AW169" t="str">
        <f>IF($AQ169="","",IF(INDEX(C_Pavement!$G$5:$G$204,$AQ169)&lt;&gt;"",IF(INDEX(C_Pavement!$G$5:$G$204,$AQ169)="-","",INDEX(C_Pavement!$G$5:$G$204,$AQ169)),IF($AS169="","",INDEX(E_Rules!$F$5:$F$9,$AS169))))</f>
        <v/>
      </c>
      <c r="AX169" t="str">
        <f>IF($AQ169="","",IF(INDEX(C_Pavement!$H$5:$H$204,$AQ169)&lt;&gt;"",IF(INDEX(C_Pavement!$H$5:$H$204,$AQ169)="-","",INDEX(C_Pavement!$H$5:$H$204,$AQ169)),IF($AS169="","",INDEX(E_Rules!$G$5:$G$9,$AS169))))</f>
        <v/>
      </c>
      <c r="AY169" t="str">
        <f>IF($AQ169="","",IF(INDEX(C_Pavement!$I$5:$I$204,$AQ169)&lt;&gt;"",IF(INDEX(C_Pavement!$I$5:$I$204,$AQ169)="-","",INDEX(C_Pavement!$I$5:$I$204,$AQ169)),IF($AS169="","",INDEX(E_Rules!$H$5:$H$9,$AS169))))</f>
        <v/>
      </c>
    </row>
    <row r="170" spans="1:51" ht="15.75" customHeight="1" x14ac:dyDescent="0.3">
      <c r="A170" s="189">
        <v>165</v>
      </c>
      <c r="B170" s="180">
        <v>8200</v>
      </c>
      <c r="C170" s="180" t="s">
        <v>476</v>
      </c>
      <c r="D170" s="181" t="str">
        <f>IFERROR(LOOKUP(2,1/((A_Corridor!$A$5:$A$204&lt;&gt;"")*(A_Corridor!$A$5:$A$204&lt;=$B170)*(A_Corridor!$B$5:$B$204&gt;$B170)*(A_Corridor!$C$5:$C$204&lt;&gt;"")),IF(UPPER(A_Corridor!$C$5:$C$204)="Y",1,"")),"")</f>
        <v/>
      </c>
      <c r="E170" s="181" t="str">
        <f>IFERROR(LOOKUP(2,1/((A_Corridor!$A$5:$A$204&lt;&gt;"")*(A_Corridor!$A$5:$A$204&lt;=$B170)*(A_Corridor!$B$5:$B$204&gt;$B170)*(A_Corridor!$D$5:$D$204&lt;&gt;"")),IF(A_Corridor!$D$5:$D$204="-","",UPPER(A_Corridor!$D$5:$D$204))),"")</f>
        <v/>
      </c>
      <c r="F170" s="181" t="str">
        <f>IFERROR(LOOKUP(2,1/((A_Corridor!$A$5:$A$204&lt;&gt;"")*(A_Corridor!$A$5:$A$204&lt;=$B170)*(A_Corridor!$B$5:$B$204&gt;$B170)*(A_Corridor!$E$5:$E$204&lt;&gt;"")),IF(A_Corridor!$E$5:$E$204="-","",1)),"")</f>
        <v/>
      </c>
      <c r="G170" s="182" t="str">
        <f>IFERROR(LOOKUP(2,1/((A_Corridor!$A$5:$A$204&lt;&gt;"")*(A_Corridor!$A$5:$A$204&lt;=$B170)*(A_Corridor!$B$5:$B$204&gt;$B170)*(A_Corridor!$E$5:$E$204&lt;&gt;"")),IF(A_Corridor!$E$5:$E$204="-","",A_Corridor!$E$5:$E$204)),"")</f>
        <v/>
      </c>
      <c r="H170" s="182" t="str">
        <f>IFERROR(LOOKUP(2,1/((D_Points!$A$5:$A$204&lt;&gt;"")*(D_Points!$A$5:$A$204&gt;=$B170)*(D_Points!$A$5:$A$204&lt;$B170+P_Interval)*(UPPER(TRIM(D_Points!$B$5:$B$204))="GULLY")*(D_Points!$H$5:$H$204&lt;&gt;"")),D_Points!$H$5:$H$204),"")</f>
        <v/>
      </c>
      <c r="I170" s="181" t="str">
        <f>IFERROR(LOOKUP(2,1/((A_Corridor!$A$5:$A$204&lt;&gt;"")*(A_Corridor!$A$5:$A$204&lt;=$B170)*(A_Corridor!$B$5:$B$204&gt;$B170)*(A_Corridor!$F$5:$F$204&lt;&gt;"")),IF(A_Corridor!$F$5:$F$204="-","",1)),"")</f>
        <v/>
      </c>
      <c r="J170" s="182" t="str">
        <f>IFERROR(LOOKUP(2,1/((A_Corridor!$A$5:$A$204&lt;&gt;"")*(A_Corridor!$A$5:$A$204&lt;=$B170)*(A_Corridor!$B$5:$B$204&gt;$B170)*(A_Corridor!$F$5:$F$204&lt;&gt;"")),IF(A_Corridor!$F$5:$F$204="-","",A_Corridor!$F$5:$F$204)),"")</f>
        <v/>
      </c>
      <c r="K170" s="182" t="str">
        <f>IFERROR(LOOKUP(2,1/((A_Corridor!$A$5:$A$204&lt;&gt;"")*(A_Corridor!$A$5:$A$204&lt;=$B170)*(A_Corridor!$B$5:$B$204&gt;$B170)*(A_Corridor!$G$5:$G$204&lt;&gt;"")),IF(A_Corridor!$G$5:$G$204="-","",A_Corridor!$G$5:$G$204)),"")</f>
        <v/>
      </c>
      <c r="L170" s="181" t="str">
        <f>IFERROR(LOOKUP(2,1/((A_Corridor!$A$5:$A$204&lt;&gt;"")*(A_Corridor!$A$5:$A$204&lt;=$B170)*(A_Corridor!$B$5:$B$204&gt;$B170)*(A_Corridor!$H$5:$H$204&lt;&gt;"")),IF(A_Corridor!$H$5:$H$204="-","",1)),"")</f>
        <v/>
      </c>
      <c r="M170" s="182" t="str">
        <f>IFERROR(LOOKUP(2,1/((A_Corridor!$A$5:$A$204&lt;&gt;"")*(A_Corridor!$A$5:$A$204&lt;=$B170)*(A_Corridor!$B$5:$B$204&gt;$B170)*(A_Corridor!$H$5:$H$204&lt;&gt;"")),IF(A_Corridor!$H$5:$H$204="-","",A_Corridor!$H$5:$H$204)),"")</f>
        <v/>
      </c>
      <c r="N170" s="182" t="str">
        <f>IFERROR(LOOKUP(2,1/((A_Corridor!$A$5:$A$204&lt;&gt;"")*(A_Corridor!$A$5:$A$204&lt;=$B170)*(A_Corridor!$B$5:$B$204&gt;$B170)*(A_Corridor!$I$5:$I$204&lt;&gt;"")),IF(A_Corridor!$I$5:$I$204="-","",A_Corridor!$I$5:$I$204)),"")</f>
        <v/>
      </c>
      <c r="O170" s="182" t="str">
        <f>IFERROR(LOOKUP(2,1/((D_Points!$A$5:$A$204&lt;&gt;"")*(D_Points!$A$5:$A$204&gt;=$B170)*(D_Points!$A$5:$A$204&lt;$B170+P_Interval)*(UPPER(TRIM(D_Points!$B$5:$B$204))="PITCHING")*(D_Points!$H$5:$H$204&lt;&gt;"")),D_Points!$H$5:$H$204),"")</f>
        <v/>
      </c>
      <c r="P170" s="181" t="str">
        <f>IFERROR(LOOKUP(2,1/((B_Drainage!$A$5:$A$204&lt;&gt;"")*(B_Drainage!$A$5:$A$204&lt;=$B170)*(B_Drainage!$B$5:$B$204&gt;$B170)*(B_Drainage!$C$5:$C$204&lt;&gt;"")),IF(B_Drainage!$C$5:$C$204="-","",UPPER(B_Drainage!$C$5:$C$204))),"")</f>
        <v/>
      </c>
      <c r="Q170" s="181" t="str">
        <f>IFERROR(LOOKUP(2,1/((B_Drainage!$A$5:$A$204&lt;&gt;"")*(B_Drainage!$A$5:$A$204&lt;=$B170)*(B_Drainage!$B$5:$B$204&gt;$B170)*(B_Drainage!$D$5:$D$204&lt;&gt;"")),IF(B_Drainage!$D$5:$D$204="-","",UPPER(B_Drainage!$D$5:$D$204))),"")</f>
        <v/>
      </c>
      <c r="R170" s="182" t="str">
        <f>IFERROR(LOOKUP(2,1/((D_Points!$A$5:$A$204&lt;&gt;"")*(D_Points!$A$5:$A$204&gt;=$B170)*(D_Points!$A$5:$A$204&lt;$B170+P_Interval)*(RIGHT(UPPER(TRIM(D_Points!$B$5:$B$204)),8)="_CULVERT")),IF(LEFT(UPPER(TRIM(D_Points!$B$5:$B$204)),2)="EX",1,IF(LEFT(UPPER(TRIM(D_Points!$B$5:$B$204)),2)="PR",2,3))),"")</f>
        <v/>
      </c>
      <c r="S170" s="182" t="str">
        <f>IFERROR(LOOKUP(2,1/((D_Points!$A$5:$A$204&lt;&gt;"")*(D_Points!$A$5:$A$204&gt;=$B170)*(D_Points!$A$5:$A$204&lt;$B170+P_Interval)*(RIGHT(UPPER(TRIM(D_Points!$B$5:$B$204)),7)="_BRIDGE")),IF(LEFT(UPPER(TRIM(D_Points!$B$5:$B$204)),2)="EX",1,IF(LEFT(UPPER(TRIM(D_Points!$B$5:$B$204)),2)="PR",2,2))),"")</f>
        <v/>
      </c>
      <c r="T170" s="181" t="str">
        <f>IFERROR(LOOKUP(2,1/((B_Drainage!$A$5:$A$204&lt;&gt;"")*(B_Drainage!$A$5:$A$204&lt;=$B170)*(B_Drainage!$B$5:$B$204&gt;$B170)*(B_Drainage!$E$5:$E$204&lt;&gt;"")),IF(B_Drainage!$E$5:$E$204="-","",1)),"")</f>
        <v/>
      </c>
      <c r="U170" s="181" t="str">
        <f>IFERROR(LOOKUP(2,1/((B_Drainage!$A$5:$A$204&lt;&gt;"")*(B_Drainage!$A$5:$A$204&lt;=$B170)*(B_Drainage!$B$5:$B$204&gt;$B170)*(B_Drainage!$E$5:$E$204&lt;&gt;"")),IF(B_Drainage!$E$5:$E$204="-","",B_Drainage!$E$5:$E$204)),"")</f>
        <v/>
      </c>
      <c r="V170" s="181" t="str">
        <f>IFERROR(LOOKUP(2,1/((B_Drainage!$A$5:$A$204&lt;&gt;"")*(B_Drainage!$A$5:$A$204&lt;=$B170)*(B_Drainage!$B$5:$B$204&gt;$B170)*(B_Drainage!$F$5:$F$204&lt;&gt;"")),IF(B_Drainage!$F$5:$F$204="-","",1)),"")</f>
        <v/>
      </c>
      <c r="W170" s="181" t="str">
        <f>IFERROR(LOOKUP(2,1/((B_Drainage!$A$5:$A$204&lt;&gt;"")*(B_Drainage!$A$5:$A$204&lt;=$B170)*(B_Drainage!$B$5:$B$204&gt;$B170)*(B_Drainage!$F$5:$F$204&lt;&gt;"")),IF(B_Drainage!$F$5:$F$204="-","",B_Drainage!$F$5:$F$204)),"")</f>
        <v/>
      </c>
      <c r="X170" s="181" t="str">
        <f>IFERROR(LOOKUP(2,1/((B_Drainage!$A$5:$A$204&lt;&gt;"")*(B_Drainage!$A$5:$A$204&lt;=$B170)*(B_Drainage!$B$5:$B$204&gt;$B170)*(B_Drainage!$G$5:$G$204&lt;&gt;"")),IF(UPPER(B_Drainage!$G$5:$G$204)="Y",1,"")),"")</f>
        <v/>
      </c>
      <c r="Y170" s="181" t="str">
        <f>IFERROR(LOOKUP(2,1/((B_Drainage!$A$5:$A$204&lt;&gt;"")*(B_Drainage!$A$5:$A$204&lt;=$B170)*(B_Drainage!$B$5:$B$204&gt;$B170)*(B_Drainage!$H$5:$H$204&lt;&gt;"")),IF(UPPER(B_Drainage!$H$5:$H$204)="Y",1,"")),"")</f>
        <v/>
      </c>
      <c r="Z170" s="181" t="str">
        <f>IFERROR(LOOKUP(2,1/((B_Drainage!$A$5:$A$204&lt;&gt;"")*(B_Drainage!$A$5:$A$204&lt;=$B170)*(B_Drainage!$B$5:$B$204&gt;$B170)*(B_Drainage!$I$5:$I$204&lt;&gt;"")),IF(UPPER(B_Drainage!$I$5:$I$204)="Y",1,"")),"")</f>
        <v/>
      </c>
      <c r="AA170" s="181" t="str">
        <f>IFERROR(LOOKUP(2,1/((B_Drainage!$A$5:$A$204&lt;&gt;"")*(B_Drainage!$A$5:$A$204&lt;=$B170)*(B_Drainage!$B$5:$B$204&gt;$B170)*(B_Drainage!$J$5:$J$204&lt;&gt;"")),IF(UPPER(B_Drainage!$J$5:$J$204)="Y",1,"")),"")</f>
        <v/>
      </c>
      <c r="AB170" s="182" t="str">
        <f>IFERROR(LOOKUP(2,1/((B_Drainage!$A$5:$A$204&lt;&gt;"")*(B_Drainage!$A$5:$A$204&lt;=$B170)*(B_Drainage!$B$5:$B$204&gt;$B170)*(B_Drainage!$K$5:$K$204&lt;&gt;"")),IF(B_Drainage!$K$5:$K$204="-","",B_Drainage!$K$5:$K$204)),"")</f>
        <v/>
      </c>
      <c r="AC170" s="182" t="str">
        <f>IFERROR(LOOKUP(2,1/((B_Drainage!$A$5:$A$204&lt;&gt;"")*(B_Drainage!$A$5:$A$204&lt;=$B170)*(B_Drainage!$B$5:$B$204&gt;$B170)*(B_Drainage!$L$5:$L$204&lt;&gt;"")),IF(B_Drainage!$L$5:$L$204="-","",B_Drainage!$L$5:$L$204)),"")</f>
        <v/>
      </c>
      <c r="AD170" s="182" t="str">
        <f>IFERROR(LOOKUP(2,1/((D_Points!$A$5:$A$204&lt;&gt;"")*(D_Points!$A$5:$A$204&gt;=$B170)*(D_Points!$A$5:$A$204&lt;$B170+P_Interval)*(UPPER(TRIM(D_Points!$B$5:$B$204))="TURNOUT_L")*(D_Points!$H$5:$H$204&lt;&gt;"")),D_Points!$H$5:$H$204),"")</f>
        <v/>
      </c>
      <c r="AE170" s="182" t="str">
        <f>IFERROR(LOOKUP(2,1/((D_Points!$A$5:$A$204&lt;&gt;"")*(D_Points!$A$5:$A$204&gt;=$B170)*(D_Points!$A$5:$A$204&lt;$B170+P_Interval)*(UPPER(TRIM(D_Points!$B$5:$B$204))="TURNOUT_R")*(D_Points!$H$5:$H$204&lt;&gt;"")),D_Points!$H$5:$H$204),"")</f>
        <v/>
      </c>
      <c r="AF170" s="181" t="str">
        <f>IFERROR(LOOKUP(2,1/((B_Drainage!$A$5:$A$204&lt;&gt;"")*(B_Drainage!$A$5:$A$204&lt;=$B170)*(B_Drainage!$B$5:$B$204&gt;$B170)*(B_Drainage!$M$5:$M$204&lt;&gt;"")),IF(UPPER(B_Drainage!$M$5:$M$204)="Y",1,"")),"")</f>
        <v/>
      </c>
      <c r="AG170" s="181" t="str">
        <f>IFERROR(LOOKUP(2,1/((B_Drainage!$A$5:$A$204&lt;&gt;"")*(B_Drainage!$A$5:$A$204&lt;=$B170)*(B_Drainage!$B$5:$B$204&gt;$B170)*(B_Drainage!$N$5:$N$204&lt;&gt;"")),IF(UPPER(B_Drainage!$N$5:$N$204)="Y",1,"")),"")</f>
        <v/>
      </c>
      <c r="AH170" s="181" t="str">
        <f t="shared" si="16"/>
        <v/>
      </c>
      <c r="AI170" s="181" t="str">
        <f t="shared" si="17"/>
        <v/>
      </c>
      <c r="AJ170" s="181" t="str">
        <f t="shared" si="18"/>
        <v/>
      </c>
      <c r="AK170" s="181" t="str">
        <f t="shared" si="19"/>
        <v/>
      </c>
      <c r="AL170" s="181" t="str">
        <f t="shared" si="20"/>
        <v/>
      </c>
      <c r="AM170" s="181" t="str">
        <f t="shared" si="21"/>
        <v/>
      </c>
      <c r="AN170" s="181" t="str">
        <f t="shared" si="22"/>
        <v/>
      </c>
      <c r="AO170" s="192" t="str">
        <f t="shared" si="23"/>
        <v/>
      </c>
      <c r="AQ170" t="str">
        <f>IFERROR(LOOKUP(2,1/((C_Pavement!$A$5:$A$204&lt;&gt;"")*(C_Pavement!$A$5:$A$204&lt;=$B170)*(C_Pavement!$B$5:$B$204&gt;$B170)*(C_Pavement!$C$5:$C$204&lt;&gt;"")),ROW(C_Pavement!$C$5:$C$204)-4),"")</f>
        <v/>
      </c>
      <c r="AR170" t="str">
        <f>IF($AQ170="","",UPPER(TRIM(INDEX(C_Pavement!$C$5:$C$204,$AQ170))))</f>
        <v/>
      </c>
      <c r="AS170" t="str">
        <f>IF($AR170="","",IFERROR(MATCH($AR170,E_Rules!$A$5:$A$9,0),""))</f>
        <v/>
      </c>
      <c r="AT170" t="str">
        <f>IF($AQ170="","",IF(INDEX(C_Pavement!$D$5:$D$204,$AQ170)&lt;&gt;"",UPPER(TRIM(INDEX(C_Pavement!$D$5:$D$204,$AQ170))),IF($AS170="","",INDEX(E_Rules!$C$5:$C$9,$AS170))))</f>
        <v/>
      </c>
      <c r="AU170" t="str">
        <f>IF($AQ170="","",IF(INDEX(C_Pavement!$E$5:$E$204,$AQ170)&lt;&gt;"",IF(INDEX(C_Pavement!$E$5:$E$204,$AQ170)="-","",INDEX(C_Pavement!$E$5:$E$204,$AQ170)),IF($AS170="","",INDEX(E_Rules!$D$5:$D$9,$AS170))))</f>
        <v/>
      </c>
      <c r="AV170" t="str">
        <f>IF($AQ170="","",IF(INDEX(C_Pavement!$F$5:$F$204,$AQ170)&lt;&gt;"",IF(INDEX(C_Pavement!$F$5:$F$204,$AQ170)="-","",INDEX(C_Pavement!$F$5:$F$204,$AQ170)),IF($AS170="","",INDEX(E_Rules!$E$5:$E$9,$AS170))))</f>
        <v/>
      </c>
      <c r="AW170" t="str">
        <f>IF($AQ170="","",IF(INDEX(C_Pavement!$G$5:$G$204,$AQ170)&lt;&gt;"",IF(INDEX(C_Pavement!$G$5:$G$204,$AQ170)="-","",INDEX(C_Pavement!$G$5:$G$204,$AQ170)),IF($AS170="","",INDEX(E_Rules!$F$5:$F$9,$AS170))))</f>
        <v/>
      </c>
      <c r="AX170" t="str">
        <f>IF($AQ170="","",IF(INDEX(C_Pavement!$H$5:$H$204,$AQ170)&lt;&gt;"",IF(INDEX(C_Pavement!$H$5:$H$204,$AQ170)="-","",INDEX(C_Pavement!$H$5:$H$204,$AQ170)),IF($AS170="","",INDEX(E_Rules!$G$5:$G$9,$AS170))))</f>
        <v/>
      </c>
      <c r="AY170" t="str">
        <f>IF($AQ170="","",IF(INDEX(C_Pavement!$I$5:$I$204,$AQ170)&lt;&gt;"",IF(INDEX(C_Pavement!$I$5:$I$204,$AQ170)="-","",INDEX(C_Pavement!$I$5:$I$204,$AQ170)),IF($AS170="","",INDEX(E_Rules!$H$5:$H$9,$AS170))))</f>
        <v/>
      </c>
    </row>
    <row r="171" spans="1:51" ht="15.75" customHeight="1" x14ac:dyDescent="0.3">
      <c r="A171" s="189">
        <v>166</v>
      </c>
      <c r="B171" s="180">
        <v>8250</v>
      </c>
      <c r="C171" s="180" t="s">
        <v>477</v>
      </c>
      <c r="D171" s="181" t="str">
        <f>IFERROR(LOOKUP(2,1/((A_Corridor!$A$5:$A$204&lt;&gt;"")*(A_Corridor!$A$5:$A$204&lt;=$B171)*(A_Corridor!$B$5:$B$204&gt;$B171)*(A_Corridor!$C$5:$C$204&lt;&gt;"")),IF(UPPER(A_Corridor!$C$5:$C$204)="Y",1,"")),"")</f>
        <v/>
      </c>
      <c r="E171" s="181" t="str">
        <f>IFERROR(LOOKUP(2,1/((A_Corridor!$A$5:$A$204&lt;&gt;"")*(A_Corridor!$A$5:$A$204&lt;=$B171)*(A_Corridor!$B$5:$B$204&gt;$B171)*(A_Corridor!$D$5:$D$204&lt;&gt;"")),IF(A_Corridor!$D$5:$D$204="-","",UPPER(A_Corridor!$D$5:$D$204))),"")</f>
        <v/>
      </c>
      <c r="F171" s="181" t="str">
        <f>IFERROR(LOOKUP(2,1/((A_Corridor!$A$5:$A$204&lt;&gt;"")*(A_Corridor!$A$5:$A$204&lt;=$B171)*(A_Corridor!$B$5:$B$204&gt;$B171)*(A_Corridor!$E$5:$E$204&lt;&gt;"")),IF(A_Corridor!$E$5:$E$204="-","",1)),"")</f>
        <v/>
      </c>
      <c r="G171" s="182" t="str">
        <f>IFERROR(LOOKUP(2,1/((A_Corridor!$A$5:$A$204&lt;&gt;"")*(A_Corridor!$A$5:$A$204&lt;=$B171)*(A_Corridor!$B$5:$B$204&gt;$B171)*(A_Corridor!$E$5:$E$204&lt;&gt;"")),IF(A_Corridor!$E$5:$E$204="-","",A_Corridor!$E$5:$E$204)),"")</f>
        <v/>
      </c>
      <c r="H171" s="182" t="str">
        <f>IFERROR(LOOKUP(2,1/((D_Points!$A$5:$A$204&lt;&gt;"")*(D_Points!$A$5:$A$204&gt;=$B171)*(D_Points!$A$5:$A$204&lt;$B171+P_Interval)*(UPPER(TRIM(D_Points!$B$5:$B$204))="GULLY")*(D_Points!$H$5:$H$204&lt;&gt;"")),D_Points!$H$5:$H$204),"")</f>
        <v/>
      </c>
      <c r="I171" s="181" t="str">
        <f>IFERROR(LOOKUP(2,1/((A_Corridor!$A$5:$A$204&lt;&gt;"")*(A_Corridor!$A$5:$A$204&lt;=$B171)*(A_Corridor!$B$5:$B$204&gt;$B171)*(A_Corridor!$F$5:$F$204&lt;&gt;"")),IF(A_Corridor!$F$5:$F$204="-","",1)),"")</f>
        <v/>
      </c>
      <c r="J171" s="182" t="str">
        <f>IFERROR(LOOKUP(2,1/((A_Corridor!$A$5:$A$204&lt;&gt;"")*(A_Corridor!$A$5:$A$204&lt;=$B171)*(A_Corridor!$B$5:$B$204&gt;$B171)*(A_Corridor!$F$5:$F$204&lt;&gt;"")),IF(A_Corridor!$F$5:$F$204="-","",A_Corridor!$F$5:$F$204)),"")</f>
        <v/>
      </c>
      <c r="K171" s="182" t="str">
        <f>IFERROR(LOOKUP(2,1/((A_Corridor!$A$5:$A$204&lt;&gt;"")*(A_Corridor!$A$5:$A$204&lt;=$B171)*(A_Corridor!$B$5:$B$204&gt;$B171)*(A_Corridor!$G$5:$G$204&lt;&gt;"")),IF(A_Corridor!$G$5:$G$204="-","",A_Corridor!$G$5:$G$204)),"")</f>
        <v/>
      </c>
      <c r="L171" s="181" t="str">
        <f>IFERROR(LOOKUP(2,1/((A_Corridor!$A$5:$A$204&lt;&gt;"")*(A_Corridor!$A$5:$A$204&lt;=$B171)*(A_Corridor!$B$5:$B$204&gt;$B171)*(A_Corridor!$H$5:$H$204&lt;&gt;"")),IF(A_Corridor!$H$5:$H$204="-","",1)),"")</f>
        <v/>
      </c>
      <c r="M171" s="182" t="str">
        <f>IFERROR(LOOKUP(2,1/((A_Corridor!$A$5:$A$204&lt;&gt;"")*(A_Corridor!$A$5:$A$204&lt;=$B171)*(A_Corridor!$B$5:$B$204&gt;$B171)*(A_Corridor!$H$5:$H$204&lt;&gt;"")),IF(A_Corridor!$H$5:$H$204="-","",A_Corridor!$H$5:$H$204)),"")</f>
        <v/>
      </c>
      <c r="N171" s="182" t="str">
        <f>IFERROR(LOOKUP(2,1/((A_Corridor!$A$5:$A$204&lt;&gt;"")*(A_Corridor!$A$5:$A$204&lt;=$B171)*(A_Corridor!$B$5:$B$204&gt;$B171)*(A_Corridor!$I$5:$I$204&lt;&gt;"")),IF(A_Corridor!$I$5:$I$204="-","",A_Corridor!$I$5:$I$204)),"")</f>
        <v/>
      </c>
      <c r="O171" s="182" t="str">
        <f>IFERROR(LOOKUP(2,1/((D_Points!$A$5:$A$204&lt;&gt;"")*(D_Points!$A$5:$A$204&gt;=$B171)*(D_Points!$A$5:$A$204&lt;$B171+P_Interval)*(UPPER(TRIM(D_Points!$B$5:$B$204))="PITCHING")*(D_Points!$H$5:$H$204&lt;&gt;"")),D_Points!$H$5:$H$204),"")</f>
        <v/>
      </c>
      <c r="P171" s="181" t="str">
        <f>IFERROR(LOOKUP(2,1/((B_Drainage!$A$5:$A$204&lt;&gt;"")*(B_Drainage!$A$5:$A$204&lt;=$B171)*(B_Drainage!$B$5:$B$204&gt;$B171)*(B_Drainage!$C$5:$C$204&lt;&gt;"")),IF(B_Drainage!$C$5:$C$204="-","",UPPER(B_Drainage!$C$5:$C$204))),"")</f>
        <v/>
      </c>
      <c r="Q171" s="181" t="str">
        <f>IFERROR(LOOKUP(2,1/((B_Drainage!$A$5:$A$204&lt;&gt;"")*(B_Drainage!$A$5:$A$204&lt;=$B171)*(B_Drainage!$B$5:$B$204&gt;$B171)*(B_Drainage!$D$5:$D$204&lt;&gt;"")),IF(B_Drainage!$D$5:$D$204="-","",UPPER(B_Drainage!$D$5:$D$204))),"")</f>
        <v/>
      </c>
      <c r="R171" s="182" t="str">
        <f>IFERROR(LOOKUP(2,1/((D_Points!$A$5:$A$204&lt;&gt;"")*(D_Points!$A$5:$A$204&gt;=$B171)*(D_Points!$A$5:$A$204&lt;$B171+P_Interval)*(RIGHT(UPPER(TRIM(D_Points!$B$5:$B$204)),8)="_CULVERT")),IF(LEFT(UPPER(TRIM(D_Points!$B$5:$B$204)),2)="EX",1,IF(LEFT(UPPER(TRIM(D_Points!$B$5:$B$204)),2)="PR",2,3))),"")</f>
        <v/>
      </c>
      <c r="S171" s="182" t="str">
        <f>IFERROR(LOOKUP(2,1/((D_Points!$A$5:$A$204&lt;&gt;"")*(D_Points!$A$5:$A$204&gt;=$B171)*(D_Points!$A$5:$A$204&lt;$B171+P_Interval)*(RIGHT(UPPER(TRIM(D_Points!$B$5:$B$204)),7)="_BRIDGE")),IF(LEFT(UPPER(TRIM(D_Points!$B$5:$B$204)),2)="EX",1,IF(LEFT(UPPER(TRIM(D_Points!$B$5:$B$204)),2)="PR",2,2))),"")</f>
        <v/>
      </c>
      <c r="T171" s="181" t="str">
        <f>IFERROR(LOOKUP(2,1/((B_Drainage!$A$5:$A$204&lt;&gt;"")*(B_Drainage!$A$5:$A$204&lt;=$B171)*(B_Drainage!$B$5:$B$204&gt;$B171)*(B_Drainage!$E$5:$E$204&lt;&gt;"")),IF(B_Drainage!$E$5:$E$204="-","",1)),"")</f>
        <v/>
      </c>
      <c r="U171" s="181" t="str">
        <f>IFERROR(LOOKUP(2,1/((B_Drainage!$A$5:$A$204&lt;&gt;"")*(B_Drainage!$A$5:$A$204&lt;=$B171)*(B_Drainage!$B$5:$B$204&gt;$B171)*(B_Drainage!$E$5:$E$204&lt;&gt;"")),IF(B_Drainage!$E$5:$E$204="-","",B_Drainage!$E$5:$E$204)),"")</f>
        <v/>
      </c>
      <c r="V171" s="181" t="str">
        <f>IFERROR(LOOKUP(2,1/((B_Drainage!$A$5:$A$204&lt;&gt;"")*(B_Drainage!$A$5:$A$204&lt;=$B171)*(B_Drainage!$B$5:$B$204&gt;$B171)*(B_Drainage!$F$5:$F$204&lt;&gt;"")),IF(B_Drainage!$F$5:$F$204="-","",1)),"")</f>
        <v/>
      </c>
      <c r="W171" s="181" t="str">
        <f>IFERROR(LOOKUP(2,1/((B_Drainage!$A$5:$A$204&lt;&gt;"")*(B_Drainage!$A$5:$A$204&lt;=$B171)*(B_Drainage!$B$5:$B$204&gt;$B171)*(B_Drainage!$F$5:$F$204&lt;&gt;"")),IF(B_Drainage!$F$5:$F$204="-","",B_Drainage!$F$5:$F$204)),"")</f>
        <v/>
      </c>
      <c r="X171" s="181" t="str">
        <f>IFERROR(LOOKUP(2,1/((B_Drainage!$A$5:$A$204&lt;&gt;"")*(B_Drainage!$A$5:$A$204&lt;=$B171)*(B_Drainage!$B$5:$B$204&gt;$B171)*(B_Drainage!$G$5:$G$204&lt;&gt;"")),IF(UPPER(B_Drainage!$G$5:$G$204)="Y",1,"")),"")</f>
        <v/>
      </c>
      <c r="Y171" s="181" t="str">
        <f>IFERROR(LOOKUP(2,1/((B_Drainage!$A$5:$A$204&lt;&gt;"")*(B_Drainage!$A$5:$A$204&lt;=$B171)*(B_Drainage!$B$5:$B$204&gt;$B171)*(B_Drainage!$H$5:$H$204&lt;&gt;"")),IF(UPPER(B_Drainage!$H$5:$H$204)="Y",1,"")),"")</f>
        <v/>
      </c>
      <c r="Z171" s="181" t="str">
        <f>IFERROR(LOOKUP(2,1/((B_Drainage!$A$5:$A$204&lt;&gt;"")*(B_Drainage!$A$5:$A$204&lt;=$B171)*(B_Drainage!$B$5:$B$204&gt;$B171)*(B_Drainage!$I$5:$I$204&lt;&gt;"")),IF(UPPER(B_Drainage!$I$5:$I$204)="Y",1,"")),"")</f>
        <v/>
      </c>
      <c r="AA171" s="181" t="str">
        <f>IFERROR(LOOKUP(2,1/((B_Drainage!$A$5:$A$204&lt;&gt;"")*(B_Drainage!$A$5:$A$204&lt;=$B171)*(B_Drainage!$B$5:$B$204&gt;$B171)*(B_Drainage!$J$5:$J$204&lt;&gt;"")),IF(UPPER(B_Drainage!$J$5:$J$204)="Y",1,"")),"")</f>
        <v/>
      </c>
      <c r="AB171" s="182" t="str">
        <f>IFERROR(LOOKUP(2,1/((B_Drainage!$A$5:$A$204&lt;&gt;"")*(B_Drainage!$A$5:$A$204&lt;=$B171)*(B_Drainage!$B$5:$B$204&gt;$B171)*(B_Drainage!$K$5:$K$204&lt;&gt;"")),IF(B_Drainage!$K$5:$K$204="-","",B_Drainage!$K$5:$K$204)),"")</f>
        <v/>
      </c>
      <c r="AC171" s="182" t="str">
        <f>IFERROR(LOOKUP(2,1/((B_Drainage!$A$5:$A$204&lt;&gt;"")*(B_Drainage!$A$5:$A$204&lt;=$B171)*(B_Drainage!$B$5:$B$204&gt;$B171)*(B_Drainage!$L$5:$L$204&lt;&gt;"")),IF(B_Drainage!$L$5:$L$204="-","",B_Drainage!$L$5:$L$204)),"")</f>
        <v/>
      </c>
      <c r="AD171" s="182" t="str">
        <f>IFERROR(LOOKUP(2,1/((D_Points!$A$5:$A$204&lt;&gt;"")*(D_Points!$A$5:$A$204&gt;=$B171)*(D_Points!$A$5:$A$204&lt;$B171+P_Interval)*(UPPER(TRIM(D_Points!$B$5:$B$204))="TURNOUT_L")*(D_Points!$H$5:$H$204&lt;&gt;"")),D_Points!$H$5:$H$204),"")</f>
        <v/>
      </c>
      <c r="AE171" s="182" t="str">
        <f>IFERROR(LOOKUP(2,1/((D_Points!$A$5:$A$204&lt;&gt;"")*(D_Points!$A$5:$A$204&gt;=$B171)*(D_Points!$A$5:$A$204&lt;$B171+P_Interval)*(UPPER(TRIM(D_Points!$B$5:$B$204))="TURNOUT_R")*(D_Points!$H$5:$H$204&lt;&gt;"")),D_Points!$H$5:$H$204),"")</f>
        <v/>
      </c>
      <c r="AF171" s="181" t="str">
        <f>IFERROR(LOOKUP(2,1/((B_Drainage!$A$5:$A$204&lt;&gt;"")*(B_Drainage!$A$5:$A$204&lt;=$B171)*(B_Drainage!$B$5:$B$204&gt;$B171)*(B_Drainage!$M$5:$M$204&lt;&gt;"")),IF(UPPER(B_Drainage!$M$5:$M$204)="Y",1,"")),"")</f>
        <v/>
      </c>
      <c r="AG171" s="181" t="str">
        <f>IFERROR(LOOKUP(2,1/((B_Drainage!$A$5:$A$204&lt;&gt;"")*(B_Drainage!$A$5:$A$204&lt;=$B171)*(B_Drainage!$B$5:$B$204&gt;$B171)*(B_Drainage!$N$5:$N$204&lt;&gt;"")),IF(UPPER(B_Drainage!$N$5:$N$204)="Y",1,"")),"")</f>
        <v/>
      </c>
      <c r="AH171" s="181" t="str">
        <f t="shared" si="16"/>
        <v/>
      </c>
      <c r="AI171" s="181" t="str">
        <f t="shared" si="17"/>
        <v/>
      </c>
      <c r="AJ171" s="181" t="str">
        <f t="shared" si="18"/>
        <v/>
      </c>
      <c r="AK171" s="181" t="str">
        <f t="shared" si="19"/>
        <v/>
      </c>
      <c r="AL171" s="181" t="str">
        <f t="shared" si="20"/>
        <v/>
      </c>
      <c r="AM171" s="181" t="str">
        <f t="shared" si="21"/>
        <v/>
      </c>
      <c r="AN171" s="181" t="str">
        <f t="shared" si="22"/>
        <v/>
      </c>
      <c r="AO171" s="192" t="str">
        <f t="shared" si="23"/>
        <v/>
      </c>
      <c r="AQ171" t="str">
        <f>IFERROR(LOOKUP(2,1/((C_Pavement!$A$5:$A$204&lt;&gt;"")*(C_Pavement!$A$5:$A$204&lt;=$B171)*(C_Pavement!$B$5:$B$204&gt;$B171)*(C_Pavement!$C$5:$C$204&lt;&gt;"")),ROW(C_Pavement!$C$5:$C$204)-4),"")</f>
        <v/>
      </c>
      <c r="AR171" t="str">
        <f>IF($AQ171="","",UPPER(TRIM(INDEX(C_Pavement!$C$5:$C$204,$AQ171))))</f>
        <v/>
      </c>
      <c r="AS171" t="str">
        <f>IF($AR171="","",IFERROR(MATCH($AR171,E_Rules!$A$5:$A$9,0),""))</f>
        <v/>
      </c>
      <c r="AT171" t="str">
        <f>IF($AQ171="","",IF(INDEX(C_Pavement!$D$5:$D$204,$AQ171)&lt;&gt;"",UPPER(TRIM(INDEX(C_Pavement!$D$5:$D$204,$AQ171))),IF($AS171="","",INDEX(E_Rules!$C$5:$C$9,$AS171))))</f>
        <v/>
      </c>
      <c r="AU171" t="str">
        <f>IF($AQ171="","",IF(INDEX(C_Pavement!$E$5:$E$204,$AQ171)&lt;&gt;"",IF(INDEX(C_Pavement!$E$5:$E$204,$AQ171)="-","",INDEX(C_Pavement!$E$5:$E$204,$AQ171)),IF($AS171="","",INDEX(E_Rules!$D$5:$D$9,$AS171))))</f>
        <v/>
      </c>
      <c r="AV171" t="str">
        <f>IF($AQ171="","",IF(INDEX(C_Pavement!$F$5:$F$204,$AQ171)&lt;&gt;"",IF(INDEX(C_Pavement!$F$5:$F$204,$AQ171)="-","",INDEX(C_Pavement!$F$5:$F$204,$AQ171)),IF($AS171="","",INDEX(E_Rules!$E$5:$E$9,$AS171))))</f>
        <v/>
      </c>
      <c r="AW171" t="str">
        <f>IF($AQ171="","",IF(INDEX(C_Pavement!$G$5:$G$204,$AQ171)&lt;&gt;"",IF(INDEX(C_Pavement!$G$5:$G$204,$AQ171)="-","",INDEX(C_Pavement!$G$5:$G$204,$AQ171)),IF($AS171="","",INDEX(E_Rules!$F$5:$F$9,$AS171))))</f>
        <v/>
      </c>
      <c r="AX171" t="str">
        <f>IF($AQ171="","",IF(INDEX(C_Pavement!$H$5:$H$204,$AQ171)&lt;&gt;"",IF(INDEX(C_Pavement!$H$5:$H$204,$AQ171)="-","",INDEX(C_Pavement!$H$5:$H$204,$AQ171)),IF($AS171="","",INDEX(E_Rules!$G$5:$G$9,$AS171))))</f>
        <v/>
      </c>
      <c r="AY171" t="str">
        <f>IF($AQ171="","",IF(INDEX(C_Pavement!$I$5:$I$204,$AQ171)&lt;&gt;"",IF(INDEX(C_Pavement!$I$5:$I$204,$AQ171)="-","",INDEX(C_Pavement!$I$5:$I$204,$AQ171)),IF($AS171="","",INDEX(E_Rules!$H$5:$H$9,$AS171))))</f>
        <v/>
      </c>
    </row>
    <row r="172" spans="1:51" ht="15.75" customHeight="1" x14ac:dyDescent="0.3">
      <c r="A172" s="189">
        <v>167</v>
      </c>
      <c r="B172" s="180">
        <v>8300</v>
      </c>
      <c r="C172" s="180" t="s">
        <v>478</v>
      </c>
      <c r="D172" s="181" t="str">
        <f>IFERROR(LOOKUP(2,1/((A_Corridor!$A$5:$A$204&lt;&gt;"")*(A_Corridor!$A$5:$A$204&lt;=$B172)*(A_Corridor!$B$5:$B$204&gt;$B172)*(A_Corridor!$C$5:$C$204&lt;&gt;"")),IF(UPPER(A_Corridor!$C$5:$C$204)="Y",1,"")),"")</f>
        <v/>
      </c>
      <c r="E172" s="181" t="str">
        <f>IFERROR(LOOKUP(2,1/((A_Corridor!$A$5:$A$204&lt;&gt;"")*(A_Corridor!$A$5:$A$204&lt;=$B172)*(A_Corridor!$B$5:$B$204&gt;$B172)*(A_Corridor!$D$5:$D$204&lt;&gt;"")),IF(A_Corridor!$D$5:$D$204="-","",UPPER(A_Corridor!$D$5:$D$204))),"")</f>
        <v/>
      </c>
      <c r="F172" s="181" t="str">
        <f>IFERROR(LOOKUP(2,1/((A_Corridor!$A$5:$A$204&lt;&gt;"")*(A_Corridor!$A$5:$A$204&lt;=$B172)*(A_Corridor!$B$5:$B$204&gt;$B172)*(A_Corridor!$E$5:$E$204&lt;&gt;"")),IF(A_Corridor!$E$5:$E$204="-","",1)),"")</f>
        <v/>
      </c>
      <c r="G172" s="182" t="str">
        <f>IFERROR(LOOKUP(2,1/((A_Corridor!$A$5:$A$204&lt;&gt;"")*(A_Corridor!$A$5:$A$204&lt;=$B172)*(A_Corridor!$B$5:$B$204&gt;$B172)*(A_Corridor!$E$5:$E$204&lt;&gt;"")),IF(A_Corridor!$E$5:$E$204="-","",A_Corridor!$E$5:$E$204)),"")</f>
        <v/>
      </c>
      <c r="H172" s="182" t="str">
        <f>IFERROR(LOOKUP(2,1/((D_Points!$A$5:$A$204&lt;&gt;"")*(D_Points!$A$5:$A$204&gt;=$B172)*(D_Points!$A$5:$A$204&lt;$B172+P_Interval)*(UPPER(TRIM(D_Points!$B$5:$B$204))="GULLY")*(D_Points!$H$5:$H$204&lt;&gt;"")),D_Points!$H$5:$H$204),"")</f>
        <v/>
      </c>
      <c r="I172" s="181" t="str">
        <f>IFERROR(LOOKUP(2,1/((A_Corridor!$A$5:$A$204&lt;&gt;"")*(A_Corridor!$A$5:$A$204&lt;=$B172)*(A_Corridor!$B$5:$B$204&gt;$B172)*(A_Corridor!$F$5:$F$204&lt;&gt;"")),IF(A_Corridor!$F$5:$F$204="-","",1)),"")</f>
        <v/>
      </c>
      <c r="J172" s="182" t="str">
        <f>IFERROR(LOOKUP(2,1/((A_Corridor!$A$5:$A$204&lt;&gt;"")*(A_Corridor!$A$5:$A$204&lt;=$B172)*(A_Corridor!$B$5:$B$204&gt;$B172)*(A_Corridor!$F$5:$F$204&lt;&gt;"")),IF(A_Corridor!$F$5:$F$204="-","",A_Corridor!$F$5:$F$204)),"")</f>
        <v/>
      </c>
      <c r="K172" s="182" t="str">
        <f>IFERROR(LOOKUP(2,1/((A_Corridor!$A$5:$A$204&lt;&gt;"")*(A_Corridor!$A$5:$A$204&lt;=$B172)*(A_Corridor!$B$5:$B$204&gt;$B172)*(A_Corridor!$G$5:$G$204&lt;&gt;"")),IF(A_Corridor!$G$5:$G$204="-","",A_Corridor!$G$5:$G$204)),"")</f>
        <v/>
      </c>
      <c r="L172" s="181" t="str">
        <f>IFERROR(LOOKUP(2,1/((A_Corridor!$A$5:$A$204&lt;&gt;"")*(A_Corridor!$A$5:$A$204&lt;=$B172)*(A_Corridor!$B$5:$B$204&gt;$B172)*(A_Corridor!$H$5:$H$204&lt;&gt;"")),IF(A_Corridor!$H$5:$H$204="-","",1)),"")</f>
        <v/>
      </c>
      <c r="M172" s="182" t="str">
        <f>IFERROR(LOOKUP(2,1/((A_Corridor!$A$5:$A$204&lt;&gt;"")*(A_Corridor!$A$5:$A$204&lt;=$B172)*(A_Corridor!$B$5:$B$204&gt;$B172)*(A_Corridor!$H$5:$H$204&lt;&gt;"")),IF(A_Corridor!$H$5:$H$204="-","",A_Corridor!$H$5:$H$204)),"")</f>
        <v/>
      </c>
      <c r="N172" s="182" t="str">
        <f>IFERROR(LOOKUP(2,1/((A_Corridor!$A$5:$A$204&lt;&gt;"")*(A_Corridor!$A$5:$A$204&lt;=$B172)*(A_Corridor!$B$5:$B$204&gt;$B172)*(A_Corridor!$I$5:$I$204&lt;&gt;"")),IF(A_Corridor!$I$5:$I$204="-","",A_Corridor!$I$5:$I$204)),"")</f>
        <v/>
      </c>
      <c r="O172" s="182" t="str">
        <f>IFERROR(LOOKUP(2,1/((D_Points!$A$5:$A$204&lt;&gt;"")*(D_Points!$A$5:$A$204&gt;=$B172)*(D_Points!$A$5:$A$204&lt;$B172+P_Interval)*(UPPER(TRIM(D_Points!$B$5:$B$204))="PITCHING")*(D_Points!$H$5:$H$204&lt;&gt;"")),D_Points!$H$5:$H$204),"")</f>
        <v/>
      </c>
      <c r="P172" s="181" t="str">
        <f>IFERROR(LOOKUP(2,1/((B_Drainage!$A$5:$A$204&lt;&gt;"")*(B_Drainage!$A$5:$A$204&lt;=$B172)*(B_Drainage!$B$5:$B$204&gt;$B172)*(B_Drainage!$C$5:$C$204&lt;&gt;"")),IF(B_Drainage!$C$5:$C$204="-","",UPPER(B_Drainage!$C$5:$C$204))),"")</f>
        <v/>
      </c>
      <c r="Q172" s="181" t="str">
        <f>IFERROR(LOOKUP(2,1/((B_Drainage!$A$5:$A$204&lt;&gt;"")*(B_Drainage!$A$5:$A$204&lt;=$B172)*(B_Drainage!$B$5:$B$204&gt;$B172)*(B_Drainage!$D$5:$D$204&lt;&gt;"")),IF(B_Drainage!$D$5:$D$204="-","",UPPER(B_Drainage!$D$5:$D$204))),"")</f>
        <v/>
      </c>
      <c r="R172" s="182" t="str">
        <f>IFERROR(LOOKUP(2,1/((D_Points!$A$5:$A$204&lt;&gt;"")*(D_Points!$A$5:$A$204&gt;=$B172)*(D_Points!$A$5:$A$204&lt;$B172+P_Interval)*(RIGHT(UPPER(TRIM(D_Points!$B$5:$B$204)),8)="_CULVERT")),IF(LEFT(UPPER(TRIM(D_Points!$B$5:$B$204)),2)="EX",1,IF(LEFT(UPPER(TRIM(D_Points!$B$5:$B$204)),2)="PR",2,3))),"")</f>
        <v/>
      </c>
      <c r="S172" s="182" t="str">
        <f>IFERROR(LOOKUP(2,1/((D_Points!$A$5:$A$204&lt;&gt;"")*(D_Points!$A$5:$A$204&gt;=$B172)*(D_Points!$A$5:$A$204&lt;$B172+P_Interval)*(RIGHT(UPPER(TRIM(D_Points!$B$5:$B$204)),7)="_BRIDGE")),IF(LEFT(UPPER(TRIM(D_Points!$B$5:$B$204)),2)="EX",1,IF(LEFT(UPPER(TRIM(D_Points!$B$5:$B$204)),2)="PR",2,2))),"")</f>
        <v/>
      </c>
      <c r="T172" s="181" t="str">
        <f>IFERROR(LOOKUP(2,1/((B_Drainage!$A$5:$A$204&lt;&gt;"")*(B_Drainage!$A$5:$A$204&lt;=$B172)*(B_Drainage!$B$5:$B$204&gt;$B172)*(B_Drainage!$E$5:$E$204&lt;&gt;"")),IF(B_Drainage!$E$5:$E$204="-","",1)),"")</f>
        <v/>
      </c>
      <c r="U172" s="181" t="str">
        <f>IFERROR(LOOKUP(2,1/((B_Drainage!$A$5:$A$204&lt;&gt;"")*(B_Drainage!$A$5:$A$204&lt;=$B172)*(B_Drainage!$B$5:$B$204&gt;$B172)*(B_Drainage!$E$5:$E$204&lt;&gt;"")),IF(B_Drainage!$E$5:$E$204="-","",B_Drainage!$E$5:$E$204)),"")</f>
        <v/>
      </c>
      <c r="V172" s="181" t="str">
        <f>IFERROR(LOOKUP(2,1/((B_Drainage!$A$5:$A$204&lt;&gt;"")*(B_Drainage!$A$5:$A$204&lt;=$B172)*(B_Drainage!$B$5:$B$204&gt;$B172)*(B_Drainage!$F$5:$F$204&lt;&gt;"")),IF(B_Drainage!$F$5:$F$204="-","",1)),"")</f>
        <v/>
      </c>
      <c r="W172" s="181" t="str">
        <f>IFERROR(LOOKUP(2,1/((B_Drainage!$A$5:$A$204&lt;&gt;"")*(B_Drainage!$A$5:$A$204&lt;=$B172)*(B_Drainage!$B$5:$B$204&gt;$B172)*(B_Drainage!$F$5:$F$204&lt;&gt;"")),IF(B_Drainage!$F$5:$F$204="-","",B_Drainage!$F$5:$F$204)),"")</f>
        <v/>
      </c>
      <c r="X172" s="181" t="str">
        <f>IFERROR(LOOKUP(2,1/((B_Drainage!$A$5:$A$204&lt;&gt;"")*(B_Drainage!$A$5:$A$204&lt;=$B172)*(B_Drainage!$B$5:$B$204&gt;$B172)*(B_Drainage!$G$5:$G$204&lt;&gt;"")),IF(UPPER(B_Drainage!$G$5:$G$204)="Y",1,"")),"")</f>
        <v/>
      </c>
      <c r="Y172" s="181" t="str">
        <f>IFERROR(LOOKUP(2,1/((B_Drainage!$A$5:$A$204&lt;&gt;"")*(B_Drainage!$A$5:$A$204&lt;=$B172)*(B_Drainage!$B$5:$B$204&gt;$B172)*(B_Drainage!$H$5:$H$204&lt;&gt;"")),IF(UPPER(B_Drainage!$H$5:$H$204)="Y",1,"")),"")</f>
        <v/>
      </c>
      <c r="Z172" s="181" t="str">
        <f>IFERROR(LOOKUP(2,1/((B_Drainage!$A$5:$A$204&lt;&gt;"")*(B_Drainage!$A$5:$A$204&lt;=$B172)*(B_Drainage!$B$5:$B$204&gt;$B172)*(B_Drainage!$I$5:$I$204&lt;&gt;"")),IF(UPPER(B_Drainage!$I$5:$I$204)="Y",1,"")),"")</f>
        <v/>
      </c>
      <c r="AA172" s="181" t="str">
        <f>IFERROR(LOOKUP(2,1/((B_Drainage!$A$5:$A$204&lt;&gt;"")*(B_Drainage!$A$5:$A$204&lt;=$B172)*(B_Drainage!$B$5:$B$204&gt;$B172)*(B_Drainage!$J$5:$J$204&lt;&gt;"")),IF(UPPER(B_Drainage!$J$5:$J$204)="Y",1,"")),"")</f>
        <v/>
      </c>
      <c r="AB172" s="182" t="str">
        <f>IFERROR(LOOKUP(2,1/((B_Drainage!$A$5:$A$204&lt;&gt;"")*(B_Drainage!$A$5:$A$204&lt;=$B172)*(B_Drainage!$B$5:$B$204&gt;$B172)*(B_Drainage!$K$5:$K$204&lt;&gt;"")),IF(B_Drainage!$K$5:$K$204="-","",B_Drainage!$K$5:$K$204)),"")</f>
        <v/>
      </c>
      <c r="AC172" s="182" t="str">
        <f>IFERROR(LOOKUP(2,1/((B_Drainage!$A$5:$A$204&lt;&gt;"")*(B_Drainage!$A$5:$A$204&lt;=$B172)*(B_Drainage!$B$5:$B$204&gt;$B172)*(B_Drainage!$L$5:$L$204&lt;&gt;"")),IF(B_Drainage!$L$5:$L$204="-","",B_Drainage!$L$5:$L$204)),"")</f>
        <v/>
      </c>
      <c r="AD172" s="182" t="str">
        <f>IFERROR(LOOKUP(2,1/((D_Points!$A$5:$A$204&lt;&gt;"")*(D_Points!$A$5:$A$204&gt;=$B172)*(D_Points!$A$5:$A$204&lt;$B172+P_Interval)*(UPPER(TRIM(D_Points!$B$5:$B$204))="TURNOUT_L")*(D_Points!$H$5:$H$204&lt;&gt;"")),D_Points!$H$5:$H$204),"")</f>
        <v/>
      </c>
      <c r="AE172" s="182" t="str">
        <f>IFERROR(LOOKUP(2,1/((D_Points!$A$5:$A$204&lt;&gt;"")*(D_Points!$A$5:$A$204&gt;=$B172)*(D_Points!$A$5:$A$204&lt;$B172+P_Interval)*(UPPER(TRIM(D_Points!$B$5:$B$204))="TURNOUT_R")*(D_Points!$H$5:$H$204&lt;&gt;"")),D_Points!$H$5:$H$204),"")</f>
        <v/>
      </c>
      <c r="AF172" s="181" t="str">
        <f>IFERROR(LOOKUP(2,1/((B_Drainage!$A$5:$A$204&lt;&gt;"")*(B_Drainage!$A$5:$A$204&lt;=$B172)*(B_Drainage!$B$5:$B$204&gt;$B172)*(B_Drainage!$M$5:$M$204&lt;&gt;"")),IF(UPPER(B_Drainage!$M$5:$M$204)="Y",1,"")),"")</f>
        <v/>
      </c>
      <c r="AG172" s="181" t="str">
        <f>IFERROR(LOOKUP(2,1/((B_Drainage!$A$5:$A$204&lt;&gt;"")*(B_Drainage!$A$5:$A$204&lt;=$B172)*(B_Drainage!$B$5:$B$204&gt;$B172)*(B_Drainage!$N$5:$N$204&lt;&gt;"")),IF(UPPER(B_Drainage!$N$5:$N$204)="Y",1,"")),"")</f>
        <v/>
      </c>
      <c r="AH172" s="181" t="str">
        <f t="shared" si="16"/>
        <v/>
      </c>
      <c r="AI172" s="181" t="str">
        <f t="shared" si="17"/>
        <v/>
      </c>
      <c r="AJ172" s="181" t="str">
        <f t="shared" si="18"/>
        <v/>
      </c>
      <c r="AK172" s="181" t="str">
        <f t="shared" si="19"/>
        <v/>
      </c>
      <c r="AL172" s="181" t="str">
        <f t="shared" si="20"/>
        <v/>
      </c>
      <c r="AM172" s="181" t="str">
        <f t="shared" si="21"/>
        <v/>
      </c>
      <c r="AN172" s="181" t="str">
        <f t="shared" si="22"/>
        <v/>
      </c>
      <c r="AO172" s="192" t="str">
        <f t="shared" si="23"/>
        <v/>
      </c>
      <c r="AQ172" t="str">
        <f>IFERROR(LOOKUP(2,1/((C_Pavement!$A$5:$A$204&lt;&gt;"")*(C_Pavement!$A$5:$A$204&lt;=$B172)*(C_Pavement!$B$5:$B$204&gt;$B172)*(C_Pavement!$C$5:$C$204&lt;&gt;"")),ROW(C_Pavement!$C$5:$C$204)-4),"")</f>
        <v/>
      </c>
      <c r="AR172" t="str">
        <f>IF($AQ172="","",UPPER(TRIM(INDEX(C_Pavement!$C$5:$C$204,$AQ172))))</f>
        <v/>
      </c>
      <c r="AS172" t="str">
        <f>IF($AR172="","",IFERROR(MATCH($AR172,E_Rules!$A$5:$A$9,0),""))</f>
        <v/>
      </c>
      <c r="AT172" t="str">
        <f>IF($AQ172="","",IF(INDEX(C_Pavement!$D$5:$D$204,$AQ172)&lt;&gt;"",UPPER(TRIM(INDEX(C_Pavement!$D$5:$D$204,$AQ172))),IF($AS172="","",INDEX(E_Rules!$C$5:$C$9,$AS172))))</f>
        <v/>
      </c>
      <c r="AU172" t="str">
        <f>IF($AQ172="","",IF(INDEX(C_Pavement!$E$5:$E$204,$AQ172)&lt;&gt;"",IF(INDEX(C_Pavement!$E$5:$E$204,$AQ172)="-","",INDEX(C_Pavement!$E$5:$E$204,$AQ172)),IF($AS172="","",INDEX(E_Rules!$D$5:$D$9,$AS172))))</f>
        <v/>
      </c>
      <c r="AV172" t="str">
        <f>IF($AQ172="","",IF(INDEX(C_Pavement!$F$5:$F$204,$AQ172)&lt;&gt;"",IF(INDEX(C_Pavement!$F$5:$F$204,$AQ172)="-","",INDEX(C_Pavement!$F$5:$F$204,$AQ172)),IF($AS172="","",INDEX(E_Rules!$E$5:$E$9,$AS172))))</f>
        <v/>
      </c>
      <c r="AW172" t="str">
        <f>IF($AQ172="","",IF(INDEX(C_Pavement!$G$5:$G$204,$AQ172)&lt;&gt;"",IF(INDEX(C_Pavement!$G$5:$G$204,$AQ172)="-","",INDEX(C_Pavement!$G$5:$G$204,$AQ172)),IF($AS172="","",INDEX(E_Rules!$F$5:$F$9,$AS172))))</f>
        <v/>
      </c>
      <c r="AX172" t="str">
        <f>IF($AQ172="","",IF(INDEX(C_Pavement!$H$5:$H$204,$AQ172)&lt;&gt;"",IF(INDEX(C_Pavement!$H$5:$H$204,$AQ172)="-","",INDEX(C_Pavement!$H$5:$H$204,$AQ172)),IF($AS172="","",INDEX(E_Rules!$G$5:$G$9,$AS172))))</f>
        <v/>
      </c>
      <c r="AY172" t="str">
        <f>IF($AQ172="","",IF(INDEX(C_Pavement!$I$5:$I$204,$AQ172)&lt;&gt;"",IF(INDEX(C_Pavement!$I$5:$I$204,$AQ172)="-","",INDEX(C_Pavement!$I$5:$I$204,$AQ172)),IF($AS172="","",INDEX(E_Rules!$H$5:$H$9,$AS172))))</f>
        <v/>
      </c>
    </row>
    <row r="173" spans="1:51" ht="15.75" customHeight="1" x14ac:dyDescent="0.3">
      <c r="A173" s="189">
        <v>168</v>
      </c>
      <c r="B173" s="180">
        <v>8350</v>
      </c>
      <c r="C173" s="180" t="s">
        <v>479</v>
      </c>
      <c r="D173" s="181" t="str">
        <f>IFERROR(LOOKUP(2,1/((A_Corridor!$A$5:$A$204&lt;&gt;"")*(A_Corridor!$A$5:$A$204&lt;=$B173)*(A_Corridor!$B$5:$B$204&gt;$B173)*(A_Corridor!$C$5:$C$204&lt;&gt;"")),IF(UPPER(A_Corridor!$C$5:$C$204)="Y",1,"")),"")</f>
        <v/>
      </c>
      <c r="E173" s="181" t="str">
        <f>IFERROR(LOOKUP(2,1/((A_Corridor!$A$5:$A$204&lt;&gt;"")*(A_Corridor!$A$5:$A$204&lt;=$B173)*(A_Corridor!$B$5:$B$204&gt;$B173)*(A_Corridor!$D$5:$D$204&lt;&gt;"")),IF(A_Corridor!$D$5:$D$204="-","",UPPER(A_Corridor!$D$5:$D$204))),"")</f>
        <v/>
      </c>
      <c r="F173" s="181" t="str">
        <f>IFERROR(LOOKUP(2,1/((A_Corridor!$A$5:$A$204&lt;&gt;"")*(A_Corridor!$A$5:$A$204&lt;=$B173)*(A_Corridor!$B$5:$B$204&gt;$B173)*(A_Corridor!$E$5:$E$204&lt;&gt;"")),IF(A_Corridor!$E$5:$E$204="-","",1)),"")</f>
        <v/>
      </c>
      <c r="G173" s="182" t="str">
        <f>IFERROR(LOOKUP(2,1/((A_Corridor!$A$5:$A$204&lt;&gt;"")*(A_Corridor!$A$5:$A$204&lt;=$B173)*(A_Corridor!$B$5:$B$204&gt;$B173)*(A_Corridor!$E$5:$E$204&lt;&gt;"")),IF(A_Corridor!$E$5:$E$204="-","",A_Corridor!$E$5:$E$204)),"")</f>
        <v/>
      </c>
      <c r="H173" s="182" t="str">
        <f>IFERROR(LOOKUP(2,1/((D_Points!$A$5:$A$204&lt;&gt;"")*(D_Points!$A$5:$A$204&gt;=$B173)*(D_Points!$A$5:$A$204&lt;$B173+P_Interval)*(UPPER(TRIM(D_Points!$B$5:$B$204))="GULLY")*(D_Points!$H$5:$H$204&lt;&gt;"")),D_Points!$H$5:$H$204),"")</f>
        <v/>
      </c>
      <c r="I173" s="181" t="str">
        <f>IFERROR(LOOKUP(2,1/((A_Corridor!$A$5:$A$204&lt;&gt;"")*(A_Corridor!$A$5:$A$204&lt;=$B173)*(A_Corridor!$B$5:$B$204&gt;$B173)*(A_Corridor!$F$5:$F$204&lt;&gt;"")),IF(A_Corridor!$F$5:$F$204="-","",1)),"")</f>
        <v/>
      </c>
      <c r="J173" s="182" t="str">
        <f>IFERROR(LOOKUP(2,1/((A_Corridor!$A$5:$A$204&lt;&gt;"")*(A_Corridor!$A$5:$A$204&lt;=$B173)*(A_Corridor!$B$5:$B$204&gt;$B173)*(A_Corridor!$F$5:$F$204&lt;&gt;"")),IF(A_Corridor!$F$5:$F$204="-","",A_Corridor!$F$5:$F$204)),"")</f>
        <v/>
      </c>
      <c r="K173" s="182" t="str">
        <f>IFERROR(LOOKUP(2,1/((A_Corridor!$A$5:$A$204&lt;&gt;"")*(A_Corridor!$A$5:$A$204&lt;=$B173)*(A_Corridor!$B$5:$B$204&gt;$B173)*(A_Corridor!$G$5:$G$204&lt;&gt;"")),IF(A_Corridor!$G$5:$G$204="-","",A_Corridor!$G$5:$G$204)),"")</f>
        <v/>
      </c>
      <c r="L173" s="181" t="str">
        <f>IFERROR(LOOKUP(2,1/((A_Corridor!$A$5:$A$204&lt;&gt;"")*(A_Corridor!$A$5:$A$204&lt;=$B173)*(A_Corridor!$B$5:$B$204&gt;$B173)*(A_Corridor!$H$5:$H$204&lt;&gt;"")),IF(A_Corridor!$H$5:$H$204="-","",1)),"")</f>
        <v/>
      </c>
      <c r="M173" s="182" t="str">
        <f>IFERROR(LOOKUP(2,1/((A_Corridor!$A$5:$A$204&lt;&gt;"")*(A_Corridor!$A$5:$A$204&lt;=$B173)*(A_Corridor!$B$5:$B$204&gt;$B173)*(A_Corridor!$H$5:$H$204&lt;&gt;"")),IF(A_Corridor!$H$5:$H$204="-","",A_Corridor!$H$5:$H$204)),"")</f>
        <v/>
      </c>
      <c r="N173" s="182" t="str">
        <f>IFERROR(LOOKUP(2,1/((A_Corridor!$A$5:$A$204&lt;&gt;"")*(A_Corridor!$A$5:$A$204&lt;=$B173)*(A_Corridor!$B$5:$B$204&gt;$B173)*(A_Corridor!$I$5:$I$204&lt;&gt;"")),IF(A_Corridor!$I$5:$I$204="-","",A_Corridor!$I$5:$I$204)),"")</f>
        <v/>
      </c>
      <c r="O173" s="182" t="str">
        <f>IFERROR(LOOKUP(2,1/((D_Points!$A$5:$A$204&lt;&gt;"")*(D_Points!$A$5:$A$204&gt;=$B173)*(D_Points!$A$5:$A$204&lt;$B173+P_Interval)*(UPPER(TRIM(D_Points!$B$5:$B$204))="PITCHING")*(D_Points!$H$5:$H$204&lt;&gt;"")),D_Points!$H$5:$H$204),"")</f>
        <v/>
      </c>
      <c r="P173" s="181" t="str">
        <f>IFERROR(LOOKUP(2,1/((B_Drainage!$A$5:$A$204&lt;&gt;"")*(B_Drainage!$A$5:$A$204&lt;=$B173)*(B_Drainage!$B$5:$B$204&gt;$B173)*(B_Drainage!$C$5:$C$204&lt;&gt;"")),IF(B_Drainage!$C$5:$C$204="-","",UPPER(B_Drainage!$C$5:$C$204))),"")</f>
        <v/>
      </c>
      <c r="Q173" s="181" t="str">
        <f>IFERROR(LOOKUP(2,1/((B_Drainage!$A$5:$A$204&lt;&gt;"")*(B_Drainage!$A$5:$A$204&lt;=$B173)*(B_Drainage!$B$5:$B$204&gt;$B173)*(B_Drainage!$D$5:$D$204&lt;&gt;"")),IF(B_Drainage!$D$5:$D$204="-","",UPPER(B_Drainage!$D$5:$D$204))),"")</f>
        <v/>
      </c>
      <c r="R173" s="182" t="str">
        <f>IFERROR(LOOKUP(2,1/((D_Points!$A$5:$A$204&lt;&gt;"")*(D_Points!$A$5:$A$204&gt;=$B173)*(D_Points!$A$5:$A$204&lt;$B173+P_Interval)*(RIGHT(UPPER(TRIM(D_Points!$B$5:$B$204)),8)="_CULVERT")),IF(LEFT(UPPER(TRIM(D_Points!$B$5:$B$204)),2)="EX",1,IF(LEFT(UPPER(TRIM(D_Points!$B$5:$B$204)),2)="PR",2,3))),"")</f>
        <v/>
      </c>
      <c r="S173" s="182" t="str">
        <f>IFERROR(LOOKUP(2,1/((D_Points!$A$5:$A$204&lt;&gt;"")*(D_Points!$A$5:$A$204&gt;=$B173)*(D_Points!$A$5:$A$204&lt;$B173+P_Interval)*(RIGHT(UPPER(TRIM(D_Points!$B$5:$B$204)),7)="_BRIDGE")),IF(LEFT(UPPER(TRIM(D_Points!$B$5:$B$204)),2)="EX",1,IF(LEFT(UPPER(TRIM(D_Points!$B$5:$B$204)),2)="PR",2,2))),"")</f>
        <v/>
      </c>
      <c r="T173" s="181" t="str">
        <f>IFERROR(LOOKUP(2,1/((B_Drainage!$A$5:$A$204&lt;&gt;"")*(B_Drainage!$A$5:$A$204&lt;=$B173)*(B_Drainage!$B$5:$B$204&gt;$B173)*(B_Drainage!$E$5:$E$204&lt;&gt;"")),IF(B_Drainage!$E$5:$E$204="-","",1)),"")</f>
        <v/>
      </c>
      <c r="U173" s="181" t="str">
        <f>IFERROR(LOOKUP(2,1/((B_Drainage!$A$5:$A$204&lt;&gt;"")*(B_Drainage!$A$5:$A$204&lt;=$B173)*(B_Drainage!$B$5:$B$204&gt;$B173)*(B_Drainage!$E$5:$E$204&lt;&gt;"")),IF(B_Drainage!$E$5:$E$204="-","",B_Drainage!$E$5:$E$204)),"")</f>
        <v/>
      </c>
      <c r="V173" s="181" t="str">
        <f>IFERROR(LOOKUP(2,1/((B_Drainage!$A$5:$A$204&lt;&gt;"")*(B_Drainage!$A$5:$A$204&lt;=$B173)*(B_Drainage!$B$5:$B$204&gt;$B173)*(B_Drainage!$F$5:$F$204&lt;&gt;"")),IF(B_Drainage!$F$5:$F$204="-","",1)),"")</f>
        <v/>
      </c>
      <c r="W173" s="181" t="str">
        <f>IFERROR(LOOKUP(2,1/((B_Drainage!$A$5:$A$204&lt;&gt;"")*(B_Drainage!$A$5:$A$204&lt;=$B173)*(B_Drainage!$B$5:$B$204&gt;$B173)*(B_Drainage!$F$5:$F$204&lt;&gt;"")),IF(B_Drainage!$F$5:$F$204="-","",B_Drainage!$F$5:$F$204)),"")</f>
        <v/>
      </c>
      <c r="X173" s="181" t="str">
        <f>IFERROR(LOOKUP(2,1/((B_Drainage!$A$5:$A$204&lt;&gt;"")*(B_Drainage!$A$5:$A$204&lt;=$B173)*(B_Drainage!$B$5:$B$204&gt;$B173)*(B_Drainage!$G$5:$G$204&lt;&gt;"")),IF(UPPER(B_Drainage!$G$5:$G$204)="Y",1,"")),"")</f>
        <v/>
      </c>
      <c r="Y173" s="181" t="str">
        <f>IFERROR(LOOKUP(2,1/((B_Drainage!$A$5:$A$204&lt;&gt;"")*(B_Drainage!$A$5:$A$204&lt;=$B173)*(B_Drainage!$B$5:$B$204&gt;$B173)*(B_Drainage!$H$5:$H$204&lt;&gt;"")),IF(UPPER(B_Drainage!$H$5:$H$204)="Y",1,"")),"")</f>
        <v/>
      </c>
      <c r="Z173" s="181" t="str">
        <f>IFERROR(LOOKUP(2,1/((B_Drainage!$A$5:$A$204&lt;&gt;"")*(B_Drainage!$A$5:$A$204&lt;=$B173)*(B_Drainage!$B$5:$B$204&gt;$B173)*(B_Drainage!$I$5:$I$204&lt;&gt;"")),IF(UPPER(B_Drainage!$I$5:$I$204)="Y",1,"")),"")</f>
        <v/>
      </c>
      <c r="AA173" s="181" t="str">
        <f>IFERROR(LOOKUP(2,1/((B_Drainage!$A$5:$A$204&lt;&gt;"")*(B_Drainage!$A$5:$A$204&lt;=$B173)*(B_Drainage!$B$5:$B$204&gt;$B173)*(B_Drainage!$J$5:$J$204&lt;&gt;"")),IF(UPPER(B_Drainage!$J$5:$J$204)="Y",1,"")),"")</f>
        <v/>
      </c>
      <c r="AB173" s="182" t="str">
        <f>IFERROR(LOOKUP(2,1/((B_Drainage!$A$5:$A$204&lt;&gt;"")*(B_Drainage!$A$5:$A$204&lt;=$B173)*(B_Drainage!$B$5:$B$204&gt;$B173)*(B_Drainage!$K$5:$K$204&lt;&gt;"")),IF(B_Drainage!$K$5:$K$204="-","",B_Drainage!$K$5:$K$204)),"")</f>
        <v/>
      </c>
      <c r="AC173" s="182" t="str">
        <f>IFERROR(LOOKUP(2,1/((B_Drainage!$A$5:$A$204&lt;&gt;"")*(B_Drainage!$A$5:$A$204&lt;=$B173)*(B_Drainage!$B$5:$B$204&gt;$B173)*(B_Drainage!$L$5:$L$204&lt;&gt;"")),IF(B_Drainage!$L$5:$L$204="-","",B_Drainage!$L$5:$L$204)),"")</f>
        <v/>
      </c>
      <c r="AD173" s="182" t="str">
        <f>IFERROR(LOOKUP(2,1/((D_Points!$A$5:$A$204&lt;&gt;"")*(D_Points!$A$5:$A$204&gt;=$B173)*(D_Points!$A$5:$A$204&lt;$B173+P_Interval)*(UPPER(TRIM(D_Points!$B$5:$B$204))="TURNOUT_L")*(D_Points!$H$5:$H$204&lt;&gt;"")),D_Points!$H$5:$H$204),"")</f>
        <v/>
      </c>
      <c r="AE173" s="182" t="str">
        <f>IFERROR(LOOKUP(2,1/((D_Points!$A$5:$A$204&lt;&gt;"")*(D_Points!$A$5:$A$204&gt;=$B173)*(D_Points!$A$5:$A$204&lt;$B173+P_Interval)*(UPPER(TRIM(D_Points!$B$5:$B$204))="TURNOUT_R")*(D_Points!$H$5:$H$204&lt;&gt;"")),D_Points!$H$5:$H$204),"")</f>
        <v/>
      </c>
      <c r="AF173" s="181" t="str">
        <f>IFERROR(LOOKUP(2,1/((B_Drainage!$A$5:$A$204&lt;&gt;"")*(B_Drainage!$A$5:$A$204&lt;=$B173)*(B_Drainage!$B$5:$B$204&gt;$B173)*(B_Drainage!$M$5:$M$204&lt;&gt;"")),IF(UPPER(B_Drainage!$M$5:$M$204)="Y",1,"")),"")</f>
        <v/>
      </c>
      <c r="AG173" s="181" t="str">
        <f>IFERROR(LOOKUP(2,1/((B_Drainage!$A$5:$A$204&lt;&gt;"")*(B_Drainage!$A$5:$A$204&lt;=$B173)*(B_Drainage!$B$5:$B$204&gt;$B173)*(B_Drainage!$N$5:$N$204&lt;&gt;"")),IF(UPPER(B_Drainage!$N$5:$N$204)="Y",1,"")),"")</f>
        <v/>
      </c>
      <c r="AH173" s="181" t="str">
        <f t="shared" si="16"/>
        <v/>
      </c>
      <c r="AI173" s="181" t="str">
        <f t="shared" si="17"/>
        <v/>
      </c>
      <c r="AJ173" s="181" t="str">
        <f t="shared" si="18"/>
        <v/>
      </c>
      <c r="AK173" s="181" t="str">
        <f t="shared" si="19"/>
        <v/>
      </c>
      <c r="AL173" s="181" t="str">
        <f t="shared" si="20"/>
        <v/>
      </c>
      <c r="AM173" s="181" t="str">
        <f t="shared" si="21"/>
        <v/>
      </c>
      <c r="AN173" s="181" t="str">
        <f t="shared" si="22"/>
        <v/>
      </c>
      <c r="AO173" s="192" t="str">
        <f t="shared" si="23"/>
        <v/>
      </c>
      <c r="AQ173" t="str">
        <f>IFERROR(LOOKUP(2,1/((C_Pavement!$A$5:$A$204&lt;&gt;"")*(C_Pavement!$A$5:$A$204&lt;=$B173)*(C_Pavement!$B$5:$B$204&gt;$B173)*(C_Pavement!$C$5:$C$204&lt;&gt;"")),ROW(C_Pavement!$C$5:$C$204)-4),"")</f>
        <v/>
      </c>
      <c r="AR173" t="str">
        <f>IF($AQ173="","",UPPER(TRIM(INDEX(C_Pavement!$C$5:$C$204,$AQ173))))</f>
        <v/>
      </c>
      <c r="AS173" t="str">
        <f>IF($AR173="","",IFERROR(MATCH($AR173,E_Rules!$A$5:$A$9,0),""))</f>
        <v/>
      </c>
      <c r="AT173" t="str">
        <f>IF($AQ173="","",IF(INDEX(C_Pavement!$D$5:$D$204,$AQ173)&lt;&gt;"",UPPER(TRIM(INDEX(C_Pavement!$D$5:$D$204,$AQ173))),IF($AS173="","",INDEX(E_Rules!$C$5:$C$9,$AS173))))</f>
        <v/>
      </c>
      <c r="AU173" t="str">
        <f>IF($AQ173="","",IF(INDEX(C_Pavement!$E$5:$E$204,$AQ173)&lt;&gt;"",IF(INDEX(C_Pavement!$E$5:$E$204,$AQ173)="-","",INDEX(C_Pavement!$E$5:$E$204,$AQ173)),IF($AS173="","",INDEX(E_Rules!$D$5:$D$9,$AS173))))</f>
        <v/>
      </c>
      <c r="AV173" t="str">
        <f>IF($AQ173="","",IF(INDEX(C_Pavement!$F$5:$F$204,$AQ173)&lt;&gt;"",IF(INDEX(C_Pavement!$F$5:$F$204,$AQ173)="-","",INDEX(C_Pavement!$F$5:$F$204,$AQ173)),IF($AS173="","",INDEX(E_Rules!$E$5:$E$9,$AS173))))</f>
        <v/>
      </c>
      <c r="AW173" t="str">
        <f>IF($AQ173="","",IF(INDEX(C_Pavement!$G$5:$G$204,$AQ173)&lt;&gt;"",IF(INDEX(C_Pavement!$G$5:$G$204,$AQ173)="-","",INDEX(C_Pavement!$G$5:$G$204,$AQ173)),IF($AS173="","",INDEX(E_Rules!$F$5:$F$9,$AS173))))</f>
        <v/>
      </c>
      <c r="AX173" t="str">
        <f>IF($AQ173="","",IF(INDEX(C_Pavement!$H$5:$H$204,$AQ173)&lt;&gt;"",IF(INDEX(C_Pavement!$H$5:$H$204,$AQ173)="-","",INDEX(C_Pavement!$H$5:$H$204,$AQ173)),IF($AS173="","",INDEX(E_Rules!$G$5:$G$9,$AS173))))</f>
        <v/>
      </c>
      <c r="AY173" t="str">
        <f>IF($AQ173="","",IF(INDEX(C_Pavement!$I$5:$I$204,$AQ173)&lt;&gt;"",IF(INDEX(C_Pavement!$I$5:$I$204,$AQ173)="-","",INDEX(C_Pavement!$I$5:$I$204,$AQ173)),IF($AS173="","",INDEX(E_Rules!$H$5:$H$9,$AS173))))</f>
        <v/>
      </c>
    </row>
    <row r="174" spans="1:51" ht="15.75" customHeight="1" x14ac:dyDescent="0.3">
      <c r="A174" s="189">
        <v>169</v>
      </c>
      <c r="B174" s="180">
        <v>8400</v>
      </c>
      <c r="C174" s="180" t="s">
        <v>480</v>
      </c>
      <c r="D174" s="181" t="str">
        <f>IFERROR(LOOKUP(2,1/((A_Corridor!$A$5:$A$204&lt;&gt;"")*(A_Corridor!$A$5:$A$204&lt;=$B174)*(A_Corridor!$B$5:$B$204&gt;$B174)*(A_Corridor!$C$5:$C$204&lt;&gt;"")),IF(UPPER(A_Corridor!$C$5:$C$204)="Y",1,"")),"")</f>
        <v/>
      </c>
      <c r="E174" s="181" t="str">
        <f>IFERROR(LOOKUP(2,1/((A_Corridor!$A$5:$A$204&lt;&gt;"")*(A_Corridor!$A$5:$A$204&lt;=$B174)*(A_Corridor!$B$5:$B$204&gt;$B174)*(A_Corridor!$D$5:$D$204&lt;&gt;"")),IF(A_Corridor!$D$5:$D$204="-","",UPPER(A_Corridor!$D$5:$D$204))),"")</f>
        <v/>
      </c>
      <c r="F174" s="181" t="str">
        <f>IFERROR(LOOKUP(2,1/((A_Corridor!$A$5:$A$204&lt;&gt;"")*(A_Corridor!$A$5:$A$204&lt;=$B174)*(A_Corridor!$B$5:$B$204&gt;$B174)*(A_Corridor!$E$5:$E$204&lt;&gt;"")),IF(A_Corridor!$E$5:$E$204="-","",1)),"")</f>
        <v/>
      </c>
      <c r="G174" s="182" t="str">
        <f>IFERROR(LOOKUP(2,1/((A_Corridor!$A$5:$A$204&lt;&gt;"")*(A_Corridor!$A$5:$A$204&lt;=$B174)*(A_Corridor!$B$5:$B$204&gt;$B174)*(A_Corridor!$E$5:$E$204&lt;&gt;"")),IF(A_Corridor!$E$5:$E$204="-","",A_Corridor!$E$5:$E$204)),"")</f>
        <v/>
      </c>
      <c r="H174" s="182" t="str">
        <f>IFERROR(LOOKUP(2,1/((D_Points!$A$5:$A$204&lt;&gt;"")*(D_Points!$A$5:$A$204&gt;=$B174)*(D_Points!$A$5:$A$204&lt;$B174+P_Interval)*(UPPER(TRIM(D_Points!$B$5:$B$204))="GULLY")*(D_Points!$H$5:$H$204&lt;&gt;"")),D_Points!$H$5:$H$204),"")</f>
        <v/>
      </c>
      <c r="I174" s="181" t="str">
        <f>IFERROR(LOOKUP(2,1/((A_Corridor!$A$5:$A$204&lt;&gt;"")*(A_Corridor!$A$5:$A$204&lt;=$B174)*(A_Corridor!$B$5:$B$204&gt;$B174)*(A_Corridor!$F$5:$F$204&lt;&gt;"")),IF(A_Corridor!$F$5:$F$204="-","",1)),"")</f>
        <v/>
      </c>
      <c r="J174" s="182" t="str">
        <f>IFERROR(LOOKUP(2,1/((A_Corridor!$A$5:$A$204&lt;&gt;"")*(A_Corridor!$A$5:$A$204&lt;=$B174)*(A_Corridor!$B$5:$B$204&gt;$B174)*(A_Corridor!$F$5:$F$204&lt;&gt;"")),IF(A_Corridor!$F$5:$F$204="-","",A_Corridor!$F$5:$F$204)),"")</f>
        <v/>
      </c>
      <c r="K174" s="182" t="str">
        <f>IFERROR(LOOKUP(2,1/((A_Corridor!$A$5:$A$204&lt;&gt;"")*(A_Corridor!$A$5:$A$204&lt;=$B174)*(A_Corridor!$B$5:$B$204&gt;$B174)*(A_Corridor!$G$5:$G$204&lt;&gt;"")),IF(A_Corridor!$G$5:$G$204="-","",A_Corridor!$G$5:$G$204)),"")</f>
        <v/>
      </c>
      <c r="L174" s="181" t="str">
        <f>IFERROR(LOOKUP(2,1/((A_Corridor!$A$5:$A$204&lt;&gt;"")*(A_Corridor!$A$5:$A$204&lt;=$B174)*(A_Corridor!$B$5:$B$204&gt;$B174)*(A_Corridor!$H$5:$H$204&lt;&gt;"")),IF(A_Corridor!$H$5:$H$204="-","",1)),"")</f>
        <v/>
      </c>
      <c r="M174" s="182" t="str">
        <f>IFERROR(LOOKUP(2,1/((A_Corridor!$A$5:$A$204&lt;&gt;"")*(A_Corridor!$A$5:$A$204&lt;=$B174)*(A_Corridor!$B$5:$B$204&gt;$B174)*(A_Corridor!$H$5:$H$204&lt;&gt;"")),IF(A_Corridor!$H$5:$H$204="-","",A_Corridor!$H$5:$H$204)),"")</f>
        <v/>
      </c>
      <c r="N174" s="182" t="str">
        <f>IFERROR(LOOKUP(2,1/((A_Corridor!$A$5:$A$204&lt;&gt;"")*(A_Corridor!$A$5:$A$204&lt;=$B174)*(A_Corridor!$B$5:$B$204&gt;$B174)*(A_Corridor!$I$5:$I$204&lt;&gt;"")),IF(A_Corridor!$I$5:$I$204="-","",A_Corridor!$I$5:$I$204)),"")</f>
        <v/>
      </c>
      <c r="O174" s="182" t="str">
        <f>IFERROR(LOOKUP(2,1/((D_Points!$A$5:$A$204&lt;&gt;"")*(D_Points!$A$5:$A$204&gt;=$B174)*(D_Points!$A$5:$A$204&lt;$B174+P_Interval)*(UPPER(TRIM(D_Points!$B$5:$B$204))="PITCHING")*(D_Points!$H$5:$H$204&lt;&gt;"")),D_Points!$H$5:$H$204),"")</f>
        <v/>
      </c>
      <c r="P174" s="181" t="str">
        <f>IFERROR(LOOKUP(2,1/((B_Drainage!$A$5:$A$204&lt;&gt;"")*(B_Drainage!$A$5:$A$204&lt;=$B174)*(B_Drainage!$B$5:$B$204&gt;$B174)*(B_Drainage!$C$5:$C$204&lt;&gt;"")),IF(B_Drainage!$C$5:$C$204="-","",UPPER(B_Drainage!$C$5:$C$204))),"")</f>
        <v/>
      </c>
      <c r="Q174" s="181" t="str">
        <f>IFERROR(LOOKUP(2,1/((B_Drainage!$A$5:$A$204&lt;&gt;"")*(B_Drainage!$A$5:$A$204&lt;=$B174)*(B_Drainage!$B$5:$B$204&gt;$B174)*(B_Drainage!$D$5:$D$204&lt;&gt;"")),IF(B_Drainage!$D$5:$D$204="-","",UPPER(B_Drainage!$D$5:$D$204))),"")</f>
        <v/>
      </c>
      <c r="R174" s="182" t="str">
        <f>IFERROR(LOOKUP(2,1/((D_Points!$A$5:$A$204&lt;&gt;"")*(D_Points!$A$5:$A$204&gt;=$B174)*(D_Points!$A$5:$A$204&lt;$B174+P_Interval)*(RIGHT(UPPER(TRIM(D_Points!$B$5:$B$204)),8)="_CULVERT")),IF(LEFT(UPPER(TRIM(D_Points!$B$5:$B$204)),2)="EX",1,IF(LEFT(UPPER(TRIM(D_Points!$B$5:$B$204)),2)="PR",2,3))),"")</f>
        <v/>
      </c>
      <c r="S174" s="182" t="str">
        <f>IFERROR(LOOKUP(2,1/((D_Points!$A$5:$A$204&lt;&gt;"")*(D_Points!$A$5:$A$204&gt;=$B174)*(D_Points!$A$5:$A$204&lt;$B174+P_Interval)*(RIGHT(UPPER(TRIM(D_Points!$B$5:$B$204)),7)="_BRIDGE")),IF(LEFT(UPPER(TRIM(D_Points!$B$5:$B$204)),2)="EX",1,IF(LEFT(UPPER(TRIM(D_Points!$B$5:$B$204)),2)="PR",2,2))),"")</f>
        <v/>
      </c>
      <c r="T174" s="181" t="str">
        <f>IFERROR(LOOKUP(2,1/((B_Drainage!$A$5:$A$204&lt;&gt;"")*(B_Drainage!$A$5:$A$204&lt;=$B174)*(B_Drainage!$B$5:$B$204&gt;$B174)*(B_Drainage!$E$5:$E$204&lt;&gt;"")),IF(B_Drainage!$E$5:$E$204="-","",1)),"")</f>
        <v/>
      </c>
      <c r="U174" s="181" t="str">
        <f>IFERROR(LOOKUP(2,1/((B_Drainage!$A$5:$A$204&lt;&gt;"")*(B_Drainage!$A$5:$A$204&lt;=$B174)*(B_Drainage!$B$5:$B$204&gt;$B174)*(B_Drainage!$E$5:$E$204&lt;&gt;"")),IF(B_Drainage!$E$5:$E$204="-","",B_Drainage!$E$5:$E$204)),"")</f>
        <v/>
      </c>
      <c r="V174" s="181" t="str">
        <f>IFERROR(LOOKUP(2,1/((B_Drainage!$A$5:$A$204&lt;&gt;"")*(B_Drainage!$A$5:$A$204&lt;=$B174)*(B_Drainage!$B$5:$B$204&gt;$B174)*(B_Drainage!$F$5:$F$204&lt;&gt;"")),IF(B_Drainage!$F$5:$F$204="-","",1)),"")</f>
        <v/>
      </c>
      <c r="W174" s="181" t="str">
        <f>IFERROR(LOOKUP(2,1/((B_Drainage!$A$5:$A$204&lt;&gt;"")*(B_Drainage!$A$5:$A$204&lt;=$B174)*(B_Drainage!$B$5:$B$204&gt;$B174)*(B_Drainage!$F$5:$F$204&lt;&gt;"")),IF(B_Drainage!$F$5:$F$204="-","",B_Drainage!$F$5:$F$204)),"")</f>
        <v/>
      </c>
      <c r="X174" s="181" t="str">
        <f>IFERROR(LOOKUP(2,1/((B_Drainage!$A$5:$A$204&lt;&gt;"")*(B_Drainage!$A$5:$A$204&lt;=$B174)*(B_Drainage!$B$5:$B$204&gt;$B174)*(B_Drainage!$G$5:$G$204&lt;&gt;"")),IF(UPPER(B_Drainage!$G$5:$G$204)="Y",1,"")),"")</f>
        <v/>
      </c>
      <c r="Y174" s="181" t="str">
        <f>IFERROR(LOOKUP(2,1/((B_Drainage!$A$5:$A$204&lt;&gt;"")*(B_Drainage!$A$5:$A$204&lt;=$B174)*(B_Drainage!$B$5:$B$204&gt;$B174)*(B_Drainage!$H$5:$H$204&lt;&gt;"")),IF(UPPER(B_Drainage!$H$5:$H$204)="Y",1,"")),"")</f>
        <v/>
      </c>
      <c r="Z174" s="181" t="str">
        <f>IFERROR(LOOKUP(2,1/((B_Drainage!$A$5:$A$204&lt;&gt;"")*(B_Drainage!$A$5:$A$204&lt;=$B174)*(B_Drainage!$B$5:$B$204&gt;$B174)*(B_Drainage!$I$5:$I$204&lt;&gt;"")),IF(UPPER(B_Drainage!$I$5:$I$204)="Y",1,"")),"")</f>
        <v/>
      </c>
      <c r="AA174" s="181" t="str">
        <f>IFERROR(LOOKUP(2,1/((B_Drainage!$A$5:$A$204&lt;&gt;"")*(B_Drainage!$A$5:$A$204&lt;=$B174)*(B_Drainage!$B$5:$B$204&gt;$B174)*(B_Drainage!$J$5:$J$204&lt;&gt;"")),IF(UPPER(B_Drainage!$J$5:$J$204)="Y",1,"")),"")</f>
        <v/>
      </c>
      <c r="AB174" s="182" t="str">
        <f>IFERROR(LOOKUP(2,1/((B_Drainage!$A$5:$A$204&lt;&gt;"")*(B_Drainage!$A$5:$A$204&lt;=$B174)*(B_Drainage!$B$5:$B$204&gt;$B174)*(B_Drainage!$K$5:$K$204&lt;&gt;"")),IF(B_Drainage!$K$5:$K$204="-","",B_Drainage!$K$5:$K$204)),"")</f>
        <v/>
      </c>
      <c r="AC174" s="182" t="str">
        <f>IFERROR(LOOKUP(2,1/((B_Drainage!$A$5:$A$204&lt;&gt;"")*(B_Drainage!$A$5:$A$204&lt;=$B174)*(B_Drainage!$B$5:$B$204&gt;$B174)*(B_Drainage!$L$5:$L$204&lt;&gt;"")),IF(B_Drainage!$L$5:$L$204="-","",B_Drainage!$L$5:$L$204)),"")</f>
        <v/>
      </c>
      <c r="AD174" s="182" t="str">
        <f>IFERROR(LOOKUP(2,1/((D_Points!$A$5:$A$204&lt;&gt;"")*(D_Points!$A$5:$A$204&gt;=$B174)*(D_Points!$A$5:$A$204&lt;$B174+P_Interval)*(UPPER(TRIM(D_Points!$B$5:$B$204))="TURNOUT_L")*(D_Points!$H$5:$H$204&lt;&gt;"")),D_Points!$H$5:$H$204),"")</f>
        <v/>
      </c>
      <c r="AE174" s="182" t="str">
        <f>IFERROR(LOOKUP(2,1/((D_Points!$A$5:$A$204&lt;&gt;"")*(D_Points!$A$5:$A$204&gt;=$B174)*(D_Points!$A$5:$A$204&lt;$B174+P_Interval)*(UPPER(TRIM(D_Points!$B$5:$B$204))="TURNOUT_R")*(D_Points!$H$5:$H$204&lt;&gt;"")),D_Points!$H$5:$H$204),"")</f>
        <v/>
      </c>
      <c r="AF174" s="181" t="str">
        <f>IFERROR(LOOKUP(2,1/((B_Drainage!$A$5:$A$204&lt;&gt;"")*(B_Drainage!$A$5:$A$204&lt;=$B174)*(B_Drainage!$B$5:$B$204&gt;$B174)*(B_Drainage!$M$5:$M$204&lt;&gt;"")),IF(UPPER(B_Drainage!$M$5:$M$204)="Y",1,"")),"")</f>
        <v/>
      </c>
      <c r="AG174" s="181" t="str">
        <f>IFERROR(LOOKUP(2,1/((B_Drainage!$A$5:$A$204&lt;&gt;"")*(B_Drainage!$A$5:$A$204&lt;=$B174)*(B_Drainage!$B$5:$B$204&gt;$B174)*(B_Drainage!$N$5:$N$204&lt;&gt;"")),IF(UPPER(B_Drainage!$N$5:$N$204)="Y",1,"")),"")</f>
        <v/>
      </c>
      <c r="AH174" s="181" t="str">
        <f t="shared" si="16"/>
        <v/>
      </c>
      <c r="AI174" s="181" t="str">
        <f t="shared" si="17"/>
        <v/>
      </c>
      <c r="AJ174" s="181" t="str">
        <f t="shared" si="18"/>
        <v/>
      </c>
      <c r="AK174" s="181" t="str">
        <f t="shared" si="19"/>
        <v/>
      </c>
      <c r="AL174" s="181" t="str">
        <f t="shared" si="20"/>
        <v/>
      </c>
      <c r="AM174" s="181" t="str">
        <f t="shared" si="21"/>
        <v/>
      </c>
      <c r="AN174" s="181" t="str">
        <f t="shared" si="22"/>
        <v/>
      </c>
      <c r="AO174" s="192" t="str">
        <f t="shared" si="23"/>
        <v/>
      </c>
      <c r="AQ174" t="str">
        <f>IFERROR(LOOKUP(2,1/((C_Pavement!$A$5:$A$204&lt;&gt;"")*(C_Pavement!$A$5:$A$204&lt;=$B174)*(C_Pavement!$B$5:$B$204&gt;$B174)*(C_Pavement!$C$5:$C$204&lt;&gt;"")),ROW(C_Pavement!$C$5:$C$204)-4),"")</f>
        <v/>
      </c>
      <c r="AR174" t="str">
        <f>IF($AQ174="","",UPPER(TRIM(INDEX(C_Pavement!$C$5:$C$204,$AQ174))))</f>
        <v/>
      </c>
      <c r="AS174" t="str">
        <f>IF($AR174="","",IFERROR(MATCH($AR174,E_Rules!$A$5:$A$9,0),""))</f>
        <v/>
      </c>
      <c r="AT174" t="str">
        <f>IF($AQ174="","",IF(INDEX(C_Pavement!$D$5:$D$204,$AQ174)&lt;&gt;"",UPPER(TRIM(INDEX(C_Pavement!$D$5:$D$204,$AQ174))),IF($AS174="","",INDEX(E_Rules!$C$5:$C$9,$AS174))))</f>
        <v/>
      </c>
      <c r="AU174" t="str">
        <f>IF($AQ174="","",IF(INDEX(C_Pavement!$E$5:$E$204,$AQ174)&lt;&gt;"",IF(INDEX(C_Pavement!$E$5:$E$204,$AQ174)="-","",INDEX(C_Pavement!$E$5:$E$204,$AQ174)),IF($AS174="","",INDEX(E_Rules!$D$5:$D$9,$AS174))))</f>
        <v/>
      </c>
      <c r="AV174" t="str">
        <f>IF($AQ174="","",IF(INDEX(C_Pavement!$F$5:$F$204,$AQ174)&lt;&gt;"",IF(INDEX(C_Pavement!$F$5:$F$204,$AQ174)="-","",INDEX(C_Pavement!$F$5:$F$204,$AQ174)),IF($AS174="","",INDEX(E_Rules!$E$5:$E$9,$AS174))))</f>
        <v/>
      </c>
      <c r="AW174" t="str">
        <f>IF($AQ174="","",IF(INDEX(C_Pavement!$G$5:$G$204,$AQ174)&lt;&gt;"",IF(INDEX(C_Pavement!$G$5:$G$204,$AQ174)="-","",INDEX(C_Pavement!$G$5:$G$204,$AQ174)),IF($AS174="","",INDEX(E_Rules!$F$5:$F$9,$AS174))))</f>
        <v/>
      </c>
      <c r="AX174" t="str">
        <f>IF($AQ174="","",IF(INDEX(C_Pavement!$H$5:$H$204,$AQ174)&lt;&gt;"",IF(INDEX(C_Pavement!$H$5:$H$204,$AQ174)="-","",INDEX(C_Pavement!$H$5:$H$204,$AQ174)),IF($AS174="","",INDEX(E_Rules!$G$5:$G$9,$AS174))))</f>
        <v/>
      </c>
      <c r="AY174" t="str">
        <f>IF($AQ174="","",IF(INDEX(C_Pavement!$I$5:$I$204,$AQ174)&lt;&gt;"",IF(INDEX(C_Pavement!$I$5:$I$204,$AQ174)="-","",INDEX(C_Pavement!$I$5:$I$204,$AQ174)),IF($AS174="","",INDEX(E_Rules!$H$5:$H$9,$AS174))))</f>
        <v/>
      </c>
    </row>
    <row r="175" spans="1:51" ht="15.75" customHeight="1" x14ac:dyDescent="0.3">
      <c r="A175" s="189">
        <v>170</v>
      </c>
      <c r="B175" s="180">
        <v>8450</v>
      </c>
      <c r="C175" s="180" t="s">
        <v>481</v>
      </c>
      <c r="D175" s="181" t="str">
        <f>IFERROR(LOOKUP(2,1/((A_Corridor!$A$5:$A$204&lt;&gt;"")*(A_Corridor!$A$5:$A$204&lt;=$B175)*(A_Corridor!$B$5:$B$204&gt;$B175)*(A_Corridor!$C$5:$C$204&lt;&gt;"")),IF(UPPER(A_Corridor!$C$5:$C$204)="Y",1,"")),"")</f>
        <v/>
      </c>
      <c r="E175" s="181" t="str">
        <f>IFERROR(LOOKUP(2,1/((A_Corridor!$A$5:$A$204&lt;&gt;"")*(A_Corridor!$A$5:$A$204&lt;=$B175)*(A_Corridor!$B$5:$B$204&gt;$B175)*(A_Corridor!$D$5:$D$204&lt;&gt;"")),IF(A_Corridor!$D$5:$D$204="-","",UPPER(A_Corridor!$D$5:$D$204))),"")</f>
        <v/>
      </c>
      <c r="F175" s="181" t="str">
        <f>IFERROR(LOOKUP(2,1/((A_Corridor!$A$5:$A$204&lt;&gt;"")*(A_Corridor!$A$5:$A$204&lt;=$B175)*(A_Corridor!$B$5:$B$204&gt;$B175)*(A_Corridor!$E$5:$E$204&lt;&gt;"")),IF(A_Corridor!$E$5:$E$204="-","",1)),"")</f>
        <v/>
      </c>
      <c r="G175" s="182" t="str">
        <f>IFERROR(LOOKUP(2,1/((A_Corridor!$A$5:$A$204&lt;&gt;"")*(A_Corridor!$A$5:$A$204&lt;=$B175)*(A_Corridor!$B$5:$B$204&gt;$B175)*(A_Corridor!$E$5:$E$204&lt;&gt;"")),IF(A_Corridor!$E$5:$E$204="-","",A_Corridor!$E$5:$E$204)),"")</f>
        <v/>
      </c>
      <c r="H175" s="182" t="str">
        <f>IFERROR(LOOKUP(2,1/((D_Points!$A$5:$A$204&lt;&gt;"")*(D_Points!$A$5:$A$204&gt;=$B175)*(D_Points!$A$5:$A$204&lt;$B175+P_Interval)*(UPPER(TRIM(D_Points!$B$5:$B$204))="GULLY")*(D_Points!$H$5:$H$204&lt;&gt;"")),D_Points!$H$5:$H$204),"")</f>
        <v/>
      </c>
      <c r="I175" s="181" t="str">
        <f>IFERROR(LOOKUP(2,1/((A_Corridor!$A$5:$A$204&lt;&gt;"")*(A_Corridor!$A$5:$A$204&lt;=$B175)*(A_Corridor!$B$5:$B$204&gt;$B175)*(A_Corridor!$F$5:$F$204&lt;&gt;"")),IF(A_Corridor!$F$5:$F$204="-","",1)),"")</f>
        <v/>
      </c>
      <c r="J175" s="182" t="str">
        <f>IFERROR(LOOKUP(2,1/((A_Corridor!$A$5:$A$204&lt;&gt;"")*(A_Corridor!$A$5:$A$204&lt;=$B175)*(A_Corridor!$B$5:$B$204&gt;$B175)*(A_Corridor!$F$5:$F$204&lt;&gt;"")),IF(A_Corridor!$F$5:$F$204="-","",A_Corridor!$F$5:$F$204)),"")</f>
        <v/>
      </c>
      <c r="K175" s="182" t="str">
        <f>IFERROR(LOOKUP(2,1/((A_Corridor!$A$5:$A$204&lt;&gt;"")*(A_Corridor!$A$5:$A$204&lt;=$B175)*(A_Corridor!$B$5:$B$204&gt;$B175)*(A_Corridor!$G$5:$G$204&lt;&gt;"")),IF(A_Corridor!$G$5:$G$204="-","",A_Corridor!$G$5:$G$204)),"")</f>
        <v/>
      </c>
      <c r="L175" s="181" t="str">
        <f>IFERROR(LOOKUP(2,1/((A_Corridor!$A$5:$A$204&lt;&gt;"")*(A_Corridor!$A$5:$A$204&lt;=$B175)*(A_Corridor!$B$5:$B$204&gt;$B175)*(A_Corridor!$H$5:$H$204&lt;&gt;"")),IF(A_Corridor!$H$5:$H$204="-","",1)),"")</f>
        <v/>
      </c>
      <c r="M175" s="182" t="str">
        <f>IFERROR(LOOKUP(2,1/((A_Corridor!$A$5:$A$204&lt;&gt;"")*(A_Corridor!$A$5:$A$204&lt;=$B175)*(A_Corridor!$B$5:$B$204&gt;$B175)*(A_Corridor!$H$5:$H$204&lt;&gt;"")),IF(A_Corridor!$H$5:$H$204="-","",A_Corridor!$H$5:$H$204)),"")</f>
        <v/>
      </c>
      <c r="N175" s="182" t="str">
        <f>IFERROR(LOOKUP(2,1/((A_Corridor!$A$5:$A$204&lt;&gt;"")*(A_Corridor!$A$5:$A$204&lt;=$B175)*(A_Corridor!$B$5:$B$204&gt;$B175)*(A_Corridor!$I$5:$I$204&lt;&gt;"")),IF(A_Corridor!$I$5:$I$204="-","",A_Corridor!$I$5:$I$204)),"")</f>
        <v/>
      </c>
      <c r="O175" s="182" t="str">
        <f>IFERROR(LOOKUP(2,1/((D_Points!$A$5:$A$204&lt;&gt;"")*(D_Points!$A$5:$A$204&gt;=$B175)*(D_Points!$A$5:$A$204&lt;$B175+P_Interval)*(UPPER(TRIM(D_Points!$B$5:$B$204))="PITCHING")*(D_Points!$H$5:$H$204&lt;&gt;"")),D_Points!$H$5:$H$204),"")</f>
        <v/>
      </c>
      <c r="P175" s="181" t="str">
        <f>IFERROR(LOOKUP(2,1/((B_Drainage!$A$5:$A$204&lt;&gt;"")*(B_Drainage!$A$5:$A$204&lt;=$B175)*(B_Drainage!$B$5:$B$204&gt;$B175)*(B_Drainage!$C$5:$C$204&lt;&gt;"")),IF(B_Drainage!$C$5:$C$204="-","",UPPER(B_Drainage!$C$5:$C$204))),"")</f>
        <v/>
      </c>
      <c r="Q175" s="181" t="str">
        <f>IFERROR(LOOKUP(2,1/((B_Drainage!$A$5:$A$204&lt;&gt;"")*(B_Drainage!$A$5:$A$204&lt;=$B175)*(B_Drainage!$B$5:$B$204&gt;$B175)*(B_Drainage!$D$5:$D$204&lt;&gt;"")),IF(B_Drainage!$D$5:$D$204="-","",UPPER(B_Drainage!$D$5:$D$204))),"")</f>
        <v/>
      </c>
      <c r="R175" s="182" t="str">
        <f>IFERROR(LOOKUP(2,1/((D_Points!$A$5:$A$204&lt;&gt;"")*(D_Points!$A$5:$A$204&gt;=$B175)*(D_Points!$A$5:$A$204&lt;$B175+P_Interval)*(RIGHT(UPPER(TRIM(D_Points!$B$5:$B$204)),8)="_CULVERT")),IF(LEFT(UPPER(TRIM(D_Points!$B$5:$B$204)),2)="EX",1,IF(LEFT(UPPER(TRIM(D_Points!$B$5:$B$204)),2)="PR",2,3))),"")</f>
        <v/>
      </c>
      <c r="S175" s="182" t="str">
        <f>IFERROR(LOOKUP(2,1/((D_Points!$A$5:$A$204&lt;&gt;"")*(D_Points!$A$5:$A$204&gt;=$B175)*(D_Points!$A$5:$A$204&lt;$B175+P_Interval)*(RIGHT(UPPER(TRIM(D_Points!$B$5:$B$204)),7)="_BRIDGE")),IF(LEFT(UPPER(TRIM(D_Points!$B$5:$B$204)),2)="EX",1,IF(LEFT(UPPER(TRIM(D_Points!$B$5:$B$204)),2)="PR",2,2))),"")</f>
        <v/>
      </c>
      <c r="T175" s="181" t="str">
        <f>IFERROR(LOOKUP(2,1/((B_Drainage!$A$5:$A$204&lt;&gt;"")*(B_Drainage!$A$5:$A$204&lt;=$B175)*(B_Drainage!$B$5:$B$204&gt;$B175)*(B_Drainage!$E$5:$E$204&lt;&gt;"")),IF(B_Drainage!$E$5:$E$204="-","",1)),"")</f>
        <v/>
      </c>
      <c r="U175" s="181" t="str">
        <f>IFERROR(LOOKUP(2,1/((B_Drainage!$A$5:$A$204&lt;&gt;"")*(B_Drainage!$A$5:$A$204&lt;=$B175)*(B_Drainage!$B$5:$B$204&gt;$B175)*(B_Drainage!$E$5:$E$204&lt;&gt;"")),IF(B_Drainage!$E$5:$E$204="-","",B_Drainage!$E$5:$E$204)),"")</f>
        <v/>
      </c>
      <c r="V175" s="181" t="str">
        <f>IFERROR(LOOKUP(2,1/((B_Drainage!$A$5:$A$204&lt;&gt;"")*(B_Drainage!$A$5:$A$204&lt;=$B175)*(B_Drainage!$B$5:$B$204&gt;$B175)*(B_Drainage!$F$5:$F$204&lt;&gt;"")),IF(B_Drainage!$F$5:$F$204="-","",1)),"")</f>
        <v/>
      </c>
      <c r="W175" s="181" t="str">
        <f>IFERROR(LOOKUP(2,1/((B_Drainage!$A$5:$A$204&lt;&gt;"")*(B_Drainage!$A$5:$A$204&lt;=$B175)*(B_Drainage!$B$5:$B$204&gt;$B175)*(B_Drainage!$F$5:$F$204&lt;&gt;"")),IF(B_Drainage!$F$5:$F$204="-","",B_Drainage!$F$5:$F$204)),"")</f>
        <v/>
      </c>
      <c r="X175" s="181" t="str">
        <f>IFERROR(LOOKUP(2,1/((B_Drainage!$A$5:$A$204&lt;&gt;"")*(B_Drainage!$A$5:$A$204&lt;=$B175)*(B_Drainage!$B$5:$B$204&gt;$B175)*(B_Drainage!$G$5:$G$204&lt;&gt;"")),IF(UPPER(B_Drainage!$G$5:$G$204)="Y",1,"")),"")</f>
        <v/>
      </c>
      <c r="Y175" s="181" t="str">
        <f>IFERROR(LOOKUP(2,1/((B_Drainage!$A$5:$A$204&lt;&gt;"")*(B_Drainage!$A$5:$A$204&lt;=$B175)*(B_Drainage!$B$5:$B$204&gt;$B175)*(B_Drainage!$H$5:$H$204&lt;&gt;"")),IF(UPPER(B_Drainage!$H$5:$H$204)="Y",1,"")),"")</f>
        <v/>
      </c>
      <c r="Z175" s="181" t="str">
        <f>IFERROR(LOOKUP(2,1/((B_Drainage!$A$5:$A$204&lt;&gt;"")*(B_Drainage!$A$5:$A$204&lt;=$B175)*(B_Drainage!$B$5:$B$204&gt;$B175)*(B_Drainage!$I$5:$I$204&lt;&gt;"")),IF(UPPER(B_Drainage!$I$5:$I$204)="Y",1,"")),"")</f>
        <v/>
      </c>
      <c r="AA175" s="181" t="str">
        <f>IFERROR(LOOKUP(2,1/((B_Drainage!$A$5:$A$204&lt;&gt;"")*(B_Drainage!$A$5:$A$204&lt;=$B175)*(B_Drainage!$B$5:$B$204&gt;$B175)*(B_Drainage!$J$5:$J$204&lt;&gt;"")),IF(UPPER(B_Drainage!$J$5:$J$204)="Y",1,"")),"")</f>
        <v/>
      </c>
      <c r="AB175" s="182" t="str">
        <f>IFERROR(LOOKUP(2,1/((B_Drainage!$A$5:$A$204&lt;&gt;"")*(B_Drainage!$A$5:$A$204&lt;=$B175)*(B_Drainage!$B$5:$B$204&gt;$B175)*(B_Drainage!$K$5:$K$204&lt;&gt;"")),IF(B_Drainage!$K$5:$K$204="-","",B_Drainage!$K$5:$K$204)),"")</f>
        <v/>
      </c>
      <c r="AC175" s="182" t="str">
        <f>IFERROR(LOOKUP(2,1/((B_Drainage!$A$5:$A$204&lt;&gt;"")*(B_Drainage!$A$5:$A$204&lt;=$B175)*(B_Drainage!$B$5:$B$204&gt;$B175)*(B_Drainage!$L$5:$L$204&lt;&gt;"")),IF(B_Drainage!$L$5:$L$204="-","",B_Drainage!$L$5:$L$204)),"")</f>
        <v/>
      </c>
      <c r="AD175" s="182" t="str">
        <f>IFERROR(LOOKUP(2,1/((D_Points!$A$5:$A$204&lt;&gt;"")*(D_Points!$A$5:$A$204&gt;=$B175)*(D_Points!$A$5:$A$204&lt;$B175+P_Interval)*(UPPER(TRIM(D_Points!$B$5:$B$204))="TURNOUT_L")*(D_Points!$H$5:$H$204&lt;&gt;"")),D_Points!$H$5:$H$204),"")</f>
        <v/>
      </c>
      <c r="AE175" s="182" t="str">
        <f>IFERROR(LOOKUP(2,1/((D_Points!$A$5:$A$204&lt;&gt;"")*(D_Points!$A$5:$A$204&gt;=$B175)*(D_Points!$A$5:$A$204&lt;$B175+P_Interval)*(UPPER(TRIM(D_Points!$B$5:$B$204))="TURNOUT_R")*(D_Points!$H$5:$H$204&lt;&gt;"")),D_Points!$H$5:$H$204),"")</f>
        <v/>
      </c>
      <c r="AF175" s="181" t="str">
        <f>IFERROR(LOOKUP(2,1/((B_Drainage!$A$5:$A$204&lt;&gt;"")*(B_Drainage!$A$5:$A$204&lt;=$B175)*(B_Drainage!$B$5:$B$204&gt;$B175)*(B_Drainage!$M$5:$M$204&lt;&gt;"")),IF(UPPER(B_Drainage!$M$5:$M$204)="Y",1,"")),"")</f>
        <v/>
      </c>
      <c r="AG175" s="181" t="str">
        <f>IFERROR(LOOKUP(2,1/((B_Drainage!$A$5:$A$204&lt;&gt;"")*(B_Drainage!$A$5:$A$204&lt;=$B175)*(B_Drainage!$B$5:$B$204&gt;$B175)*(B_Drainage!$N$5:$N$204&lt;&gt;"")),IF(UPPER(B_Drainage!$N$5:$N$204)="Y",1,"")),"")</f>
        <v/>
      </c>
      <c r="AH175" s="181" t="str">
        <f t="shared" si="16"/>
        <v/>
      </c>
      <c r="AI175" s="181" t="str">
        <f t="shared" si="17"/>
        <v/>
      </c>
      <c r="AJ175" s="181" t="str">
        <f t="shared" si="18"/>
        <v/>
      </c>
      <c r="AK175" s="181" t="str">
        <f t="shared" si="19"/>
        <v/>
      </c>
      <c r="AL175" s="181" t="str">
        <f t="shared" si="20"/>
        <v/>
      </c>
      <c r="AM175" s="181" t="str">
        <f t="shared" si="21"/>
        <v/>
      </c>
      <c r="AN175" s="181" t="str">
        <f t="shared" si="22"/>
        <v/>
      </c>
      <c r="AO175" s="192" t="str">
        <f t="shared" si="23"/>
        <v/>
      </c>
      <c r="AQ175" t="str">
        <f>IFERROR(LOOKUP(2,1/((C_Pavement!$A$5:$A$204&lt;&gt;"")*(C_Pavement!$A$5:$A$204&lt;=$B175)*(C_Pavement!$B$5:$B$204&gt;$B175)*(C_Pavement!$C$5:$C$204&lt;&gt;"")),ROW(C_Pavement!$C$5:$C$204)-4),"")</f>
        <v/>
      </c>
      <c r="AR175" t="str">
        <f>IF($AQ175="","",UPPER(TRIM(INDEX(C_Pavement!$C$5:$C$204,$AQ175))))</f>
        <v/>
      </c>
      <c r="AS175" t="str">
        <f>IF($AR175="","",IFERROR(MATCH($AR175,E_Rules!$A$5:$A$9,0),""))</f>
        <v/>
      </c>
      <c r="AT175" t="str">
        <f>IF($AQ175="","",IF(INDEX(C_Pavement!$D$5:$D$204,$AQ175)&lt;&gt;"",UPPER(TRIM(INDEX(C_Pavement!$D$5:$D$204,$AQ175))),IF($AS175="","",INDEX(E_Rules!$C$5:$C$9,$AS175))))</f>
        <v/>
      </c>
      <c r="AU175" t="str">
        <f>IF($AQ175="","",IF(INDEX(C_Pavement!$E$5:$E$204,$AQ175)&lt;&gt;"",IF(INDEX(C_Pavement!$E$5:$E$204,$AQ175)="-","",INDEX(C_Pavement!$E$5:$E$204,$AQ175)),IF($AS175="","",INDEX(E_Rules!$D$5:$D$9,$AS175))))</f>
        <v/>
      </c>
      <c r="AV175" t="str">
        <f>IF($AQ175="","",IF(INDEX(C_Pavement!$F$5:$F$204,$AQ175)&lt;&gt;"",IF(INDEX(C_Pavement!$F$5:$F$204,$AQ175)="-","",INDEX(C_Pavement!$F$5:$F$204,$AQ175)),IF($AS175="","",INDEX(E_Rules!$E$5:$E$9,$AS175))))</f>
        <v/>
      </c>
      <c r="AW175" t="str">
        <f>IF($AQ175="","",IF(INDEX(C_Pavement!$G$5:$G$204,$AQ175)&lt;&gt;"",IF(INDEX(C_Pavement!$G$5:$G$204,$AQ175)="-","",INDEX(C_Pavement!$G$5:$G$204,$AQ175)),IF($AS175="","",INDEX(E_Rules!$F$5:$F$9,$AS175))))</f>
        <v/>
      </c>
      <c r="AX175" t="str">
        <f>IF($AQ175="","",IF(INDEX(C_Pavement!$H$5:$H$204,$AQ175)&lt;&gt;"",IF(INDEX(C_Pavement!$H$5:$H$204,$AQ175)="-","",INDEX(C_Pavement!$H$5:$H$204,$AQ175)),IF($AS175="","",INDEX(E_Rules!$G$5:$G$9,$AS175))))</f>
        <v/>
      </c>
      <c r="AY175" t="str">
        <f>IF($AQ175="","",IF(INDEX(C_Pavement!$I$5:$I$204,$AQ175)&lt;&gt;"",IF(INDEX(C_Pavement!$I$5:$I$204,$AQ175)="-","",INDEX(C_Pavement!$I$5:$I$204,$AQ175)),IF($AS175="","",INDEX(E_Rules!$H$5:$H$9,$AS175))))</f>
        <v/>
      </c>
    </row>
    <row r="176" spans="1:51" ht="15.75" customHeight="1" x14ac:dyDescent="0.3">
      <c r="A176" s="189">
        <v>171</v>
      </c>
      <c r="B176" s="180">
        <v>8500</v>
      </c>
      <c r="C176" s="180" t="s">
        <v>482</v>
      </c>
      <c r="D176" s="181" t="str">
        <f>IFERROR(LOOKUP(2,1/((A_Corridor!$A$5:$A$204&lt;&gt;"")*(A_Corridor!$A$5:$A$204&lt;=$B176)*(A_Corridor!$B$5:$B$204&gt;$B176)*(A_Corridor!$C$5:$C$204&lt;&gt;"")),IF(UPPER(A_Corridor!$C$5:$C$204)="Y",1,"")),"")</f>
        <v/>
      </c>
      <c r="E176" s="181" t="str">
        <f>IFERROR(LOOKUP(2,1/((A_Corridor!$A$5:$A$204&lt;&gt;"")*(A_Corridor!$A$5:$A$204&lt;=$B176)*(A_Corridor!$B$5:$B$204&gt;$B176)*(A_Corridor!$D$5:$D$204&lt;&gt;"")),IF(A_Corridor!$D$5:$D$204="-","",UPPER(A_Corridor!$D$5:$D$204))),"")</f>
        <v/>
      </c>
      <c r="F176" s="181" t="str">
        <f>IFERROR(LOOKUP(2,1/((A_Corridor!$A$5:$A$204&lt;&gt;"")*(A_Corridor!$A$5:$A$204&lt;=$B176)*(A_Corridor!$B$5:$B$204&gt;$B176)*(A_Corridor!$E$5:$E$204&lt;&gt;"")),IF(A_Corridor!$E$5:$E$204="-","",1)),"")</f>
        <v/>
      </c>
      <c r="G176" s="182" t="str">
        <f>IFERROR(LOOKUP(2,1/((A_Corridor!$A$5:$A$204&lt;&gt;"")*(A_Corridor!$A$5:$A$204&lt;=$B176)*(A_Corridor!$B$5:$B$204&gt;$B176)*(A_Corridor!$E$5:$E$204&lt;&gt;"")),IF(A_Corridor!$E$5:$E$204="-","",A_Corridor!$E$5:$E$204)),"")</f>
        <v/>
      </c>
      <c r="H176" s="182" t="str">
        <f>IFERROR(LOOKUP(2,1/((D_Points!$A$5:$A$204&lt;&gt;"")*(D_Points!$A$5:$A$204&gt;=$B176)*(D_Points!$A$5:$A$204&lt;$B176+P_Interval)*(UPPER(TRIM(D_Points!$B$5:$B$204))="GULLY")*(D_Points!$H$5:$H$204&lt;&gt;"")),D_Points!$H$5:$H$204),"")</f>
        <v/>
      </c>
      <c r="I176" s="181" t="str">
        <f>IFERROR(LOOKUP(2,1/((A_Corridor!$A$5:$A$204&lt;&gt;"")*(A_Corridor!$A$5:$A$204&lt;=$B176)*(A_Corridor!$B$5:$B$204&gt;$B176)*(A_Corridor!$F$5:$F$204&lt;&gt;"")),IF(A_Corridor!$F$5:$F$204="-","",1)),"")</f>
        <v/>
      </c>
      <c r="J176" s="182" t="str">
        <f>IFERROR(LOOKUP(2,1/((A_Corridor!$A$5:$A$204&lt;&gt;"")*(A_Corridor!$A$5:$A$204&lt;=$B176)*(A_Corridor!$B$5:$B$204&gt;$B176)*(A_Corridor!$F$5:$F$204&lt;&gt;"")),IF(A_Corridor!$F$5:$F$204="-","",A_Corridor!$F$5:$F$204)),"")</f>
        <v/>
      </c>
      <c r="K176" s="182" t="str">
        <f>IFERROR(LOOKUP(2,1/((A_Corridor!$A$5:$A$204&lt;&gt;"")*(A_Corridor!$A$5:$A$204&lt;=$B176)*(A_Corridor!$B$5:$B$204&gt;$B176)*(A_Corridor!$G$5:$G$204&lt;&gt;"")),IF(A_Corridor!$G$5:$G$204="-","",A_Corridor!$G$5:$G$204)),"")</f>
        <v/>
      </c>
      <c r="L176" s="181" t="str">
        <f>IFERROR(LOOKUP(2,1/((A_Corridor!$A$5:$A$204&lt;&gt;"")*(A_Corridor!$A$5:$A$204&lt;=$B176)*(A_Corridor!$B$5:$B$204&gt;$B176)*(A_Corridor!$H$5:$H$204&lt;&gt;"")),IF(A_Corridor!$H$5:$H$204="-","",1)),"")</f>
        <v/>
      </c>
      <c r="M176" s="182" t="str">
        <f>IFERROR(LOOKUP(2,1/((A_Corridor!$A$5:$A$204&lt;&gt;"")*(A_Corridor!$A$5:$A$204&lt;=$B176)*(A_Corridor!$B$5:$B$204&gt;$B176)*(A_Corridor!$H$5:$H$204&lt;&gt;"")),IF(A_Corridor!$H$5:$H$204="-","",A_Corridor!$H$5:$H$204)),"")</f>
        <v/>
      </c>
      <c r="N176" s="182" t="str">
        <f>IFERROR(LOOKUP(2,1/((A_Corridor!$A$5:$A$204&lt;&gt;"")*(A_Corridor!$A$5:$A$204&lt;=$B176)*(A_Corridor!$B$5:$B$204&gt;$B176)*(A_Corridor!$I$5:$I$204&lt;&gt;"")),IF(A_Corridor!$I$5:$I$204="-","",A_Corridor!$I$5:$I$204)),"")</f>
        <v/>
      </c>
      <c r="O176" s="182" t="str">
        <f>IFERROR(LOOKUP(2,1/((D_Points!$A$5:$A$204&lt;&gt;"")*(D_Points!$A$5:$A$204&gt;=$B176)*(D_Points!$A$5:$A$204&lt;$B176+P_Interval)*(UPPER(TRIM(D_Points!$B$5:$B$204))="PITCHING")*(D_Points!$H$5:$H$204&lt;&gt;"")),D_Points!$H$5:$H$204),"")</f>
        <v/>
      </c>
      <c r="P176" s="181" t="str">
        <f>IFERROR(LOOKUP(2,1/((B_Drainage!$A$5:$A$204&lt;&gt;"")*(B_Drainage!$A$5:$A$204&lt;=$B176)*(B_Drainage!$B$5:$B$204&gt;$B176)*(B_Drainage!$C$5:$C$204&lt;&gt;"")),IF(B_Drainage!$C$5:$C$204="-","",UPPER(B_Drainage!$C$5:$C$204))),"")</f>
        <v/>
      </c>
      <c r="Q176" s="181" t="str">
        <f>IFERROR(LOOKUP(2,1/((B_Drainage!$A$5:$A$204&lt;&gt;"")*(B_Drainage!$A$5:$A$204&lt;=$B176)*(B_Drainage!$B$5:$B$204&gt;$B176)*(B_Drainage!$D$5:$D$204&lt;&gt;"")),IF(B_Drainage!$D$5:$D$204="-","",UPPER(B_Drainage!$D$5:$D$204))),"")</f>
        <v/>
      </c>
      <c r="R176" s="182" t="str">
        <f>IFERROR(LOOKUP(2,1/((D_Points!$A$5:$A$204&lt;&gt;"")*(D_Points!$A$5:$A$204&gt;=$B176)*(D_Points!$A$5:$A$204&lt;$B176+P_Interval)*(RIGHT(UPPER(TRIM(D_Points!$B$5:$B$204)),8)="_CULVERT")),IF(LEFT(UPPER(TRIM(D_Points!$B$5:$B$204)),2)="EX",1,IF(LEFT(UPPER(TRIM(D_Points!$B$5:$B$204)),2)="PR",2,3))),"")</f>
        <v/>
      </c>
      <c r="S176" s="182" t="str">
        <f>IFERROR(LOOKUP(2,1/((D_Points!$A$5:$A$204&lt;&gt;"")*(D_Points!$A$5:$A$204&gt;=$B176)*(D_Points!$A$5:$A$204&lt;$B176+P_Interval)*(RIGHT(UPPER(TRIM(D_Points!$B$5:$B$204)),7)="_BRIDGE")),IF(LEFT(UPPER(TRIM(D_Points!$B$5:$B$204)),2)="EX",1,IF(LEFT(UPPER(TRIM(D_Points!$B$5:$B$204)),2)="PR",2,2))),"")</f>
        <v/>
      </c>
      <c r="T176" s="181" t="str">
        <f>IFERROR(LOOKUP(2,1/((B_Drainage!$A$5:$A$204&lt;&gt;"")*(B_Drainage!$A$5:$A$204&lt;=$B176)*(B_Drainage!$B$5:$B$204&gt;$B176)*(B_Drainage!$E$5:$E$204&lt;&gt;"")),IF(B_Drainage!$E$5:$E$204="-","",1)),"")</f>
        <v/>
      </c>
      <c r="U176" s="181" t="str">
        <f>IFERROR(LOOKUP(2,1/((B_Drainage!$A$5:$A$204&lt;&gt;"")*(B_Drainage!$A$5:$A$204&lt;=$B176)*(B_Drainage!$B$5:$B$204&gt;$B176)*(B_Drainage!$E$5:$E$204&lt;&gt;"")),IF(B_Drainage!$E$5:$E$204="-","",B_Drainage!$E$5:$E$204)),"")</f>
        <v/>
      </c>
      <c r="V176" s="181" t="str">
        <f>IFERROR(LOOKUP(2,1/((B_Drainage!$A$5:$A$204&lt;&gt;"")*(B_Drainage!$A$5:$A$204&lt;=$B176)*(B_Drainage!$B$5:$B$204&gt;$B176)*(B_Drainage!$F$5:$F$204&lt;&gt;"")),IF(B_Drainage!$F$5:$F$204="-","",1)),"")</f>
        <v/>
      </c>
      <c r="W176" s="181" t="str">
        <f>IFERROR(LOOKUP(2,1/((B_Drainage!$A$5:$A$204&lt;&gt;"")*(B_Drainage!$A$5:$A$204&lt;=$B176)*(B_Drainage!$B$5:$B$204&gt;$B176)*(B_Drainage!$F$5:$F$204&lt;&gt;"")),IF(B_Drainage!$F$5:$F$204="-","",B_Drainage!$F$5:$F$204)),"")</f>
        <v/>
      </c>
      <c r="X176" s="181" t="str">
        <f>IFERROR(LOOKUP(2,1/((B_Drainage!$A$5:$A$204&lt;&gt;"")*(B_Drainage!$A$5:$A$204&lt;=$B176)*(B_Drainage!$B$5:$B$204&gt;$B176)*(B_Drainage!$G$5:$G$204&lt;&gt;"")),IF(UPPER(B_Drainage!$G$5:$G$204)="Y",1,"")),"")</f>
        <v/>
      </c>
      <c r="Y176" s="181" t="str">
        <f>IFERROR(LOOKUP(2,1/((B_Drainage!$A$5:$A$204&lt;&gt;"")*(B_Drainage!$A$5:$A$204&lt;=$B176)*(B_Drainage!$B$5:$B$204&gt;$B176)*(B_Drainage!$H$5:$H$204&lt;&gt;"")),IF(UPPER(B_Drainage!$H$5:$H$204)="Y",1,"")),"")</f>
        <v/>
      </c>
      <c r="Z176" s="181" t="str">
        <f>IFERROR(LOOKUP(2,1/((B_Drainage!$A$5:$A$204&lt;&gt;"")*(B_Drainage!$A$5:$A$204&lt;=$B176)*(B_Drainage!$B$5:$B$204&gt;$B176)*(B_Drainage!$I$5:$I$204&lt;&gt;"")),IF(UPPER(B_Drainage!$I$5:$I$204)="Y",1,"")),"")</f>
        <v/>
      </c>
      <c r="AA176" s="181" t="str">
        <f>IFERROR(LOOKUP(2,1/((B_Drainage!$A$5:$A$204&lt;&gt;"")*(B_Drainage!$A$5:$A$204&lt;=$B176)*(B_Drainage!$B$5:$B$204&gt;$B176)*(B_Drainage!$J$5:$J$204&lt;&gt;"")),IF(UPPER(B_Drainage!$J$5:$J$204)="Y",1,"")),"")</f>
        <v/>
      </c>
      <c r="AB176" s="182" t="str">
        <f>IFERROR(LOOKUP(2,1/((B_Drainage!$A$5:$A$204&lt;&gt;"")*(B_Drainage!$A$5:$A$204&lt;=$B176)*(B_Drainage!$B$5:$B$204&gt;$B176)*(B_Drainage!$K$5:$K$204&lt;&gt;"")),IF(B_Drainage!$K$5:$K$204="-","",B_Drainage!$K$5:$K$204)),"")</f>
        <v/>
      </c>
      <c r="AC176" s="182" t="str">
        <f>IFERROR(LOOKUP(2,1/((B_Drainage!$A$5:$A$204&lt;&gt;"")*(B_Drainage!$A$5:$A$204&lt;=$B176)*(B_Drainage!$B$5:$B$204&gt;$B176)*(B_Drainage!$L$5:$L$204&lt;&gt;"")),IF(B_Drainage!$L$5:$L$204="-","",B_Drainage!$L$5:$L$204)),"")</f>
        <v/>
      </c>
      <c r="AD176" s="182" t="str">
        <f>IFERROR(LOOKUP(2,1/((D_Points!$A$5:$A$204&lt;&gt;"")*(D_Points!$A$5:$A$204&gt;=$B176)*(D_Points!$A$5:$A$204&lt;$B176+P_Interval)*(UPPER(TRIM(D_Points!$B$5:$B$204))="TURNOUT_L")*(D_Points!$H$5:$H$204&lt;&gt;"")),D_Points!$H$5:$H$204),"")</f>
        <v/>
      </c>
      <c r="AE176" s="182" t="str">
        <f>IFERROR(LOOKUP(2,1/((D_Points!$A$5:$A$204&lt;&gt;"")*(D_Points!$A$5:$A$204&gt;=$B176)*(D_Points!$A$5:$A$204&lt;$B176+P_Interval)*(UPPER(TRIM(D_Points!$B$5:$B$204))="TURNOUT_R")*(D_Points!$H$5:$H$204&lt;&gt;"")),D_Points!$H$5:$H$204),"")</f>
        <v/>
      </c>
      <c r="AF176" s="181" t="str">
        <f>IFERROR(LOOKUP(2,1/((B_Drainage!$A$5:$A$204&lt;&gt;"")*(B_Drainage!$A$5:$A$204&lt;=$B176)*(B_Drainage!$B$5:$B$204&gt;$B176)*(B_Drainage!$M$5:$M$204&lt;&gt;"")),IF(UPPER(B_Drainage!$M$5:$M$204)="Y",1,"")),"")</f>
        <v/>
      </c>
      <c r="AG176" s="181" t="str">
        <f>IFERROR(LOOKUP(2,1/((B_Drainage!$A$5:$A$204&lt;&gt;"")*(B_Drainage!$A$5:$A$204&lt;=$B176)*(B_Drainage!$B$5:$B$204&gt;$B176)*(B_Drainage!$N$5:$N$204&lt;&gt;"")),IF(UPPER(B_Drainage!$N$5:$N$204)="Y",1,"")),"")</f>
        <v/>
      </c>
      <c r="AH176" s="181" t="str">
        <f t="shared" si="16"/>
        <v/>
      </c>
      <c r="AI176" s="181" t="str">
        <f t="shared" si="17"/>
        <v/>
      </c>
      <c r="AJ176" s="181" t="str">
        <f t="shared" si="18"/>
        <v/>
      </c>
      <c r="AK176" s="181" t="str">
        <f t="shared" si="19"/>
        <v/>
      </c>
      <c r="AL176" s="181" t="str">
        <f t="shared" si="20"/>
        <v/>
      </c>
      <c r="AM176" s="181" t="str">
        <f t="shared" si="21"/>
        <v/>
      </c>
      <c r="AN176" s="181" t="str">
        <f t="shared" si="22"/>
        <v/>
      </c>
      <c r="AO176" s="192" t="str">
        <f t="shared" si="23"/>
        <v/>
      </c>
      <c r="AQ176" t="str">
        <f>IFERROR(LOOKUP(2,1/((C_Pavement!$A$5:$A$204&lt;&gt;"")*(C_Pavement!$A$5:$A$204&lt;=$B176)*(C_Pavement!$B$5:$B$204&gt;$B176)*(C_Pavement!$C$5:$C$204&lt;&gt;"")),ROW(C_Pavement!$C$5:$C$204)-4),"")</f>
        <v/>
      </c>
      <c r="AR176" t="str">
        <f>IF($AQ176="","",UPPER(TRIM(INDEX(C_Pavement!$C$5:$C$204,$AQ176))))</f>
        <v/>
      </c>
      <c r="AS176" t="str">
        <f>IF($AR176="","",IFERROR(MATCH($AR176,E_Rules!$A$5:$A$9,0),""))</f>
        <v/>
      </c>
      <c r="AT176" t="str">
        <f>IF($AQ176="","",IF(INDEX(C_Pavement!$D$5:$D$204,$AQ176)&lt;&gt;"",UPPER(TRIM(INDEX(C_Pavement!$D$5:$D$204,$AQ176))),IF($AS176="","",INDEX(E_Rules!$C$5:$C$9,$AS176))))</f>
        <v/>
      </c>
      <c r="AU176" t="str">
        <f>IF($AQ176="","",IF(INDEX(C_Pavement!$E$5:$E$204,$AQ176)&lt;&gt;"",IF(INDEX(C_Pavement!$E$5:$E$204,$AQ176)="-","",INDEX(C_Pavement!$E$5:$E$204,$AQ176)),IF($AS176="","",INDEX(E_Rules!$D$5:$D$9,$AS176))))</f>
        <v/>
      </c>
      <c r="AV176" t="str">
        <f>IF($AQ176="","",IF(INDEX(C_Pavement!$F$5:$F$204,$AQ176)&lt;&gt;"",IF(INDEX(C_Pavement!$F$5:$F$204,$AQ176)="-","",INDEX(C_Pavement!$F$5:$F$204,$AQ176)),IF($AS176="","",INDEX(E_Rules!$E$5:$E$9,$AS176))))</f>
        <v/>
      </c>
      <c r="AW176" t="str">
        <f>IF($AQ176="","",IF(INDEX(C_Pavement!$G$5:$G$204,$AQ176)&lt;&gt;"",IF(INDEX(C_Pavement!$G$5:$G$204,$AQ176)="-","",INDEX(C_Pavement!$G$5:$G$204,$AQ176)),IF($AS176="","",INDEX(E_Rules!$F$5:$F$9,$AS176))))</f>
        <v/>
      </c>
      <c r="AX176" t="str">
        <f>IF($AQ176="","",IF(INDEX(C_Pavement!$H$5:$H$204,$AQ176)&lt;&gt;"",IF(INDEX(C_Pavement!$H$5:$H$204,$AQ176)="-","",INDEX(C_Pavement!$H$5:$H$204,$AQ176)),IF($AS176="","",INDEX(E_Rules!$G$5:$G$9,$AS176))))</f>
        <v/>
      </c>
      <c r="AY176" t="str">
        <f>IF($AQ176="","",IF(INDEX(C_Pavement!$I$5:$I$204,$AQ176)&lt;&gt;"",IF(INDEX(C_Pavement!$I$5:$I$204,$AQ176)="-","",INDEX(C_Pavement!$I$5:$I$204,$AQ176)),IF($AS176="","",INDEX(E_Rules!$H$5:$H$9,$AS176))))</f>
        <v/>
      </c>
    </row>
    <row r="177" spans="1:51" ht="15.75" customHeight="1" x14ac:dyDescent="0.3">
      <c r="A177" s="189">
        <v>172</v>
      </c>
      <c r="B177" s="180">
        <v>8550</v>
      </c>
      <c r="C177" s="180" t="s">
        <v>483</v>
      </c>
      <c r="D177" s="181" t="str">
        <f>IFERROR(LOOKUP(2,1/((A_Corridor!$A$5:$A$204&lt;&gt;"")*(A_Corridor!$A$5:$A$204&lt;=$B177)*(A_Corridor!$B$5:$B$204&gt;$B177)*(A_Corridor!$C$5:$C$204&lt;&gt;"")),IF(UPPER(A_Corridor!$C$5:$C$204)="Y",1,"")),"")</f>
        <v/>
      </c>
      <c r="E177" s="181" t="str">
        <f>IFERROR(LOOKUP(2,1/((A_Corridor!$A$5:$A$204&lt;&gt;"")*(A_Corridor!$A$5:$A$204&lt;=$B177)*(A_Corridor!$B$5:$B$204&gt;$B177)*(A_Corridor!$D$5:$D$204&lt;&gt;"")),IF(A_Corridor!$D$5:$D$204="-","",UPPER(A_Corridor!$D$5:$D$204))),"")</f>
        <v/>
      </c>
      <c r="F177" s="181" t="str">
        <f>IFERROR(LOOKUP(2,1/((A_Corridor!$A$5:$A$204&lt;&gt;"")*(A_Corridor!$A$5:$A$204&lt;=$B177)*(A_Corridor!$B$5:$B$204&gt;$B177)*(A_Corridor!$E$5:$E$204&lt;&gt;"")),IF(A_Corridor!$E$5:$E$204="-","",1)),"")</f>
        <v/>
      </c>
      <c r="G177" s="182" t="str">
        <f>IFERROR(LOOKUP(2,1/((A_Corridor!$A$5:$A$204&lt;&gt;"")*(A_Corridor!$A$5:$A$204&lt;=$B177)*(A_Corridor!$B$5:$B$204&gt;$B177)*(A_Corridor!$E$5:$E$204&lt;&gt;"")),IF(A_Corridor!$E$5:$E$204="-","",A_Corridor!$E$5:$E$204)),"")</f>
        <v/>
      </c>
      <c r="H177" s="182" t="str">
        <f>IFERROR(LOOKUP(2,1/((D_Points!$A$5:$A$204&lt;&gt;"")*(D_Points!$A$5:$A$204&gt;=$B177)*(D_Points!$A$5:$A$204&lt;$B177+P_Interval)*(UPPER(TRIM(D_Points!$B$5:$B$204))="GULLY")*(D_Points!$H$5:$H$204&lt;&gt;"")),D_Points!$H$5:$H$204),"")</f>
        <v/>
      </c>
      <c r="I177" s="181" t="str">
        <f>IFERROR(LOOKUP(2,1/((A_Corridor!$A$5:$A$204&lt;&gt;"")*(A_Corridor!$A$5:$A$204&lt;=$B177)*(A_Corridor!$B$5:$B$204&gt;$B177)*(A_Corridor!$F$5:$F$204&lt;&gt;"")),IF(A_Corridor!$F$5:$F$204="-","",1)),"")</f>
        <v/>
      </c>
      <c r="J177" s="182" t="str">
        <f>IFERROR(LOOKUP(2,1/((A_Corridor!$A$5:$A$204&lt;&gt;"")*(A_Corridor!$A$5:$A$204&lt;=$B177)*(A_Corridor!$B$5:$B$204&gt;$B177)*(A_Corridor!$F$5:$F$204&lt;&gt;"")),IF(A_Corridor!$F$5:$F$204="-","",A_Corridor!$F$5:$F$204)),"")</f>
        <v/>
      </c>
      <c r="K177" s="182" t="str">
        <f>IFERROR(LOOKUP(2,1/((A_Corridor!$A$5:$A$204&lt;&gt;"")*(A_Corridor!$A$5:$A$204&lt;=$B177)*(A_Corridor!$B$5:$B$204&gt;$B177)*(A_Corridor!$G$5:$G$204&lt;&gt;"")),IF(A_Corridor!$G$5:$G$204="-","",A_Corridor!$G$5:$G$204)),"")</f>
        <v/>
      </c>
      <c r="L177" s="181" t="str">
        <f>IFERROR(LOOKUP(2,1/((A_Corridor!$A$5:$A$204&lt;&gt;"")*(A_Corridor!$A$5:$A$204&lt;=$B177)*(A_Corridor!$B$5:$B$204&gt;$B177)*(A_Corridor!$H$5:$H$204&lt;&gt;"")),IF(A_Corridor!$H$5:$H$204="-","",1)),"")</f>
        <v/>
      </c>
      <c r="M177" s="182" t="str">
        <f>IFERROR(LOOKUP(2,1/((A_Corridor!$A$5:$A$204&lt;&gt;"")*(A_Corridor!$A$5:$A$204&lt;=$B177)*(A_Corridor!$B$5:$B$204&gt;$B177)*(A_Corridor!$H$5:$H$204&lt;&gt;"")),IF(A_Corridor!$H$5:$H$204="-","",A_Corridor!$H$5:$H$204)),"")</f>
        <v/>
      </c>
      <c r="N177" s="182" t="str">
        <f>IFERROR(LOOKUP(2,1/((A_Corridor!$A$5:$A$204&lt;&gt;"")*(A_Corridor!$A$5:$A$204&lt;=$B177)*(A_Corridor!$B$5:$B$204&gt;$B177)*(A_Corridor!$I$5:$I$204&lt;&gt;"")),IF(A_Corridor!$I$5:$I$204="-","",A_Corridor!$I$5:$I$204)),"")</f>
        <v/>
      </c>
      <c r="O177" s="182" t="str">
        <f>IFERROR(LOOKUP(2,1/((D_Points!$A$5:$A$204&lt;&gt;"")*(D_Points!$A$5:$A$204&gt;=$B177)*(D_Points!$A$5:$A$204&lt;$B177+P_Interval)*(UPPER(TRIM(D_Points!$B$5:$B$204))="PITCHING")*(D_Points!$H$5:$H$204&lt;&gt;"")),D_Points!$H$5:$H$204),"")</f>
        <v/>
      </c>
      <c r="P177" s="181" t="str">
        <f>IFERROR(LOOKUP(2,1/((B_Drainage!$A$5:$A$204&lt;&gt;"")*(B_Drainage!$A$5:$A$204&lt;=$B177)*(B_Drainage!$B$5:$B$204&gt;$B177)*(B_Drainage!$C$5:$C$204&lt;&gt;"")),IF(B_Drainage!$C$5:$C$204="-","",UPPER(B_Drainage!$C$5:$C$204))),"")</f>
        <v/>
      </c>
      <c r="Q177" s="181" t="str">
        <f>IFERROR(LOOKUP(2,1/((B_Drainage!$A$5:$A$204&lt;&gt;"")*(B_Drainage!$A$5:$A$204&lt;=$B177)*(B_Drainage!$B$5:$B$204&gt;$B177)*(B_Drainage!$D$5:$D$204&lt;&gt;"")),IF(B_Drainage!$D$5:$D$204="-","",UPPER(B_Drainage!$D$5:$D$204))),"")</f>
        <v/>
      </c>
      <c r="R177" s="182" t="str">
        <f>IFERROR(LOOKUP(2,1/((D_Points!$A$5:$A$204&lt;&gt;"")*(D_Points!$A$5:$A$204&gt;=$B177)*(D_Points!$A$5:$A$204&lt;$B177+P_Interval)*(RIGHT(UPPER(TRIM(D_Points!$B$5:$B$204)),8)="_CULVERT")),IF(LEFT(UPPER(TRIM(D_Points!$B$5:$B$204)),2)="EX",1,IF(LEFT(UPPER(TRIM(D_Points!$B$5:$B$204)),2)="PR",2,3))),"")</f>
        <v/>
      </c>
      <c r="S177" s="182" t="str">
        <f>IFERROR(LOOKUP(2,1/((D_Points!$A$5:$A$204&lt;&gt;"")*(D_Points!$A$5:$A$204&gt;=$B177)*(D_Points!$A$5:$A$204&lt;$B177+P_Interval)*(RIGHT(UPPER(TRIM(D_Points!$B$5:$B$204)),7)="_BRIDGE")),IF(LEFT(UPPER(TRIM(D_Points!$B$5:$B$204)),2)="EX",1,IF(LEFT(UPPER(TRIM(D_Points!$B$5:$B$204)),2)="PR",2,2))),"")</f>
        <v/>
      </c>
      <c r="T177" s="181" t="str">
        <f>IFERROR(LOOKUP(2,1/((B_Drainage!$A$5:$A$204&lt;&gt;"")*(B_Drainage!$A$5:$A$204&lt;=$B177)*(B_Drainage!$B$5:$B$204&gt;$B177)*(B_Drainage!$E$5:$E$204&lt;&gt;"")),IF(B_Drainage!$E$5:$E$204="-","",1)),"")</f>
        <v/>
      </c>
      <c r="U177" s="181" t="str">
        <f>IFERROR(LOOKUP(2,1/((B_Drainage!$A$5:$A$204&lt;&gt;"")*(B_Drainage!$A$5:$A$204&lt;=$B177)*(B_Drainage!$B$5:$B$204&gt;$B177)*(B_Drainage!$E$5:$E$204&lt;&gt;"")),IF(B_Drainage!$E$5:$E$204="-","",B_Drainage!$E$5:$E$204)),"")</f>
        <v/>
      </c>
      <c r="V177" s="181" t="str">
        <f>IFERROR(LOOKUP(2,1/((B_Drainage!$A$5:$A$204&lt;&gt;"")*(B_Drainage!$A$5:$A$204&lt;=$B177)*(B_Drainage!$B$5:$B$204&gt;$B177)*(B_Drainage!$F$5:$F$204&lt;&gt;"")),IF(B_Drainage!$F$5:$F$204="-","",1)),"")</f>
        <v/>
      </c>
      <c r="W177" s="181" t="str">
        <f>IFERROR(LOOKUP(2,1/((B_Drainage!$A$5:$A$204&lt;&gt;"")*(B_Drainage!$A$5:$A$204&lt;=$B177)*(B_Drainage!$B$5:$B$204&gt;$B177)*(B_Drainage!$F$5:$F$204&lt;&gt;"")),IF(B_Drainage!$F$5:$F$204="-","",B_Drainage!$F$5:$F$204)),"")</f>
        <v/>
      </c>
      <c r="X177" s="181" t="str">
        <f>IFERROR(LOOKUP(2,1/((B_Drainage!$A$5:$A$204&lt;&gt;"")*(B_Drainage!$A$5:$A$204&lt;=$B177)*(B_Drainage!$B$5:$B$204&gt;$B177)*(B_Drainage!$G$5:$G$204&lt;&gt;"")),IF(UPPER(B_Drainage!$G$5:$G$204)="Y",1,"")),"")</f>
        <v/>
      </c>
      <c r="Y177" s="181" t="str">
        <f>IFERROR(LOOKUP(2,1/((B_Drainage!$A$5:$A$204&lt;&gt;"")*(B_Drainage!$A$5:$A$204&lt;=$B177)*(B_Drainage!$B$5:$B$204&gt;$B177)*(B_Drainage!$H$5:$H$204&lt;&gt;"")),IF(UPPER(B_Drainage!$H$5:$H$204)="Y",1,"")),"")</f>
        <v/>
      </c>
      <c r="Z177" s="181" t="str">
        <f>IFERROR(LOOKUP(2,1/((B_Drainage!$A$5:$A$204&lt;&gt;"")*(B_Drainage!$A$5:$A$204&lt;=$B177)*(B_Drainage!$B$5:$B$204&gt;$B177)*(B_Drainage!$I$5:$I$204&lt;&gt;"")),IF(UPPER(B_Drainage!$I$5:$I$204)="Y",1,"")),"")</f>
        <v/>
      </c>
      <c r="AA177" s="181" t="str">
        <f>IFERROR(LOOKUP(2,1/((B_Drainage!$A$5:$A$204&lt;&gt;"")*(B_Drainage!$A$5:$A$204&lt;=$B177)*(B_Drainage!$B$5:$B$204&gt;$B177)*(B_Drainage!$J$5:$J$204&lt;&gt;"")),IF(UPPER(B_Drainage!$J$5:$J$204)="Y",1,"")),"")</f>
        <v/>
      </c>
      <c r="AB177" s="182" t="str">
        <f>IFERROR(LOOKUP(2,1/((B_Drainage!$A$5:$A$204&lt;&gt;"")*(B_Drainage!$A$5:$A$204&lt;=$B177)*(B_Drainage!$B$5:$B$204&gt;$B177)*(B_Drainage!$K$5:$K$204&lt;&gt;"")),IF(B_Drainage!$K$5:$K$204="-","",B_Drainage!$K$5:$K$204)),"")</f>
        <v/>
      </c>
      <c r="AC177" s="182" t="str">
        <f>IFERROR(LOOKUP(2,1/((B_Drainage!$A$5:$A$204&lt;&gt;"")*(B_Drainage!$A$5:$A$204&lt;=$B177)*(B_Drainage!$B$5:$B$204&gt;$B177)*(B_Drainage!$L$5:$L$204&lt;&gt;"")),IF(B_Drainage!$L$5:$L$204="-","",B_Drainage!$L$5:$L$204)),"")</f>
        <v/>
      </c>
      <c r="AD177" s="182" t="str">
        <f>IFERROR(LOOKUP(2,1/((D_Points!$A$5:$A$204&lt;&gt;"")*(D_Points!$A$5:$A$204&gt;=$B177)*(D_Points!$A$5:$A$204&lt;$B177+P_Interval)*(UPPER(TRIM(D_Points!$B$5:$B$204))="TURNOUT_L")*(D_Points!$H$5:$H$204&lt;&gt;"")),D_Points!$H$5:$H$204),"")</f>
        <v/>
      </c>
      <c r="AE177" s="182" t="str">
        <f>IFERROR(LOOKUP(2,1/((D_Points!$A$5:$A$204&lt;&gt;"")*(D_Points!$A$5:$A$204&gt;=$B177)*(D_Points!$A$5:$A$204&lt;$B177+P_Interval)*(UPPER(TRIM(D_Points!$B$5:$B$204))="TURNOUT_R")*(D_Points!$H$5:$H$204&lt;&gt;"")),D_Points!$H$5:$H$204),"")</f>
        <v/>
      </c>
      <c r="AF177" s="181" t="str">
        <f>IFERROR(LOOKUP(2,1/((B_Drainage!$A$5:$A$204&lt;&gt;"")*(B_Drainage!$A$5:$A$204&lt;=$B177)*(B_Drainage!$B$5:$B$204&gt;$B177)*(B_Drainage!$M$5:$M$204&lt;&gt;"")),IF(UPPER(B_Drainage!$M$5:$M$204)="Y",1,"")),"")</f>
        <v/>
      </c>
      <c r="AG177" s="181" t="str">
        <f>IFERROR(LOOKUP(2,1/((B_Drainage!$A$5:$A$204&lt;&gt;"")*(B_Drainage!$A$5:$A$204&lt;=$B177)*(B_Drainage!$B$5:$B$204&gt;$B177)*(B_Drainage!$N$5:$N$204&lt;&gt;"")),IF(UPPER(B_Drainage!$N$5:$N$204)="Y",1,"")),"")</f>
        <v/>
      </c>
      <c r="AH177" s="181" t="str">
        <f t="shared" si="16"/>
        <v/>
      </c>
      <c r="AI177" s="181" t="str">
        <f t="shared" si="17"/>
        <v/>
      </c>
      <c r="AJ177" s="181" t="str">
        <f t="shared" si="18"/>
        <v/>
      </c>
      <c r="AK177" s="181" t="str">
        <f t="shared" si="19"/>
        <v/>
      </c>
      <c r="AL177" s="181" t="str">
        <f t="shared" si="20"/>
        <v/>
      </c>
      <c r="AM177" s="181" t="str">
        <f t="shared" si="21"/>
        <v/>
      </c>
      <c r="AN177" s="181" t="str">
        <f t="shared" si="22"/>
        <v/>
      </c>
      <c r="AO177" s="192" t="str">
        <f t="shared" si="23"/>
        <v/>
      </c>
      <c r="AQ177" t="str">
        <f>IFERROR(LOOKUP(2,1/((C_Pavement!$A$5:$A$204&lt;&gt;"")*(C_Pavement!$A$5:$A$204&lt;=$B177)*(C_Pavement!$B$5:$B$204&gt;$B177)*(C_Pavement!$C$5:$C$204&lt;&gt;"")),ROW(C_Pavement!$C$5:$C$204)-4),"")</f>
        <v/>
      </c>
      <c r="AR177" t="str">
        <f>IF($AQ177="","",UPPER(TRIM(INDEX(C_Pavement!$C$5:$C$204,$AQ177))))</f>
        <v/>
      </c>
      <c r="AS177" t="str">
        <f>IF($AR177="","",IFERROR(MATCH($AR177,E_Rules!$A$5:$A$9,0),""))</f>
        <v/>
      </c>
      <c r="AT177" t="str">
        <f>IF($AQ177="","",IF(INDEX(C_Pavement!$D$5:$D$204,$AQ177)&lt;&gt;"",UPPER(TRIM(INDEX(C_Pavement!$D$5:$D$204,$AQ177))),IF($AS177="","",INDEX(E_Rules!$C$5:$C$9,$AS177))))</f>
        <v/>
      </c>
      <c r="AU177" t="str">
        <f>IF($AQ177="","",IF(INDEX(C_Pavement!$E$5:$E$204,$AQ177)&lt;&gt;"",IF(INDEX(C_Pavement!$E$5:$E$204,$AQ177)="-","",INDEX(C_Pavement!$E$5:$E$204,$AQ177)),IF($AS177="","",INDEX(E_Rules!$D$5:$D$9,$AS177))))</f>
        <v/>
      </c>
      <c r="AV177" t="str">
        <f>IF($AQ177="","",IF(INDEX(C_Pavement!$F$5:$F$204,$AQ177)&lt;&gt;"",IF(INDEX(C_Pavement!$F$5:$F$204,$AQ177)="-","",INDEX(C_Pavement!$F$5:$F$204,$AQ177)),IF($AS177="","",INDEX(E_Rules!$E$5:$E$9,$AS177))))</f>
        <v/>
      </c>
      <c r="AW177" t="str">
        <f>IF($AQ177="","",IF(INDEX(C_Pavement!$G$5:$G$204,$AQ177)&lt;&gt;"",IF(INDEX(C_Pavement!$G$5:$G$204,$AQ177)="-","",INDEX(C_Pavement!$G$5:$G$204,$AQ177)),IF($AS177="","",INDEX(E_Rules!$F$5:$F$9,$AS177))))</f>
        <v/>
      </c>
      <c r="AX177" t="str">
        <f>IF($AQ177="","",IF(INDEX(C_Pavement!$H$5:$H$204,$AQ177)&lt;&gt;"",IF(INDEX(C_Pavement!$H$5:$H$204,$AQ177)="-","",INDEX(C_Pavement!$H$5:$H$204,$AQ177)),IF($AS177="","",INDEX(E_Rules!$G$5:$G$9,$AS177))))</f>
        <v/>
      </c>
      <c r="AY177" t="str">
        <f>IF($AQ177="","",IF(INDEX(C_Pavement!$I$5:$I$204,$AQ177)&lt;&gt;"",IF(INDEX(C_Pavement!$I$5:$I$204,$AQ177)="-","",INDEX(C_Pavement!$I$5:$I$204,$AQ177)),IF($AS177="","",INDEX(E_Rules!$H$5:$H$9,$AS177))))</f>
        <v/>
      </c>
    </row>
    <row r="178" spans="1:51" ht="15.75" customHeight="1" x14ac:dyDescent="0.3">
      <c r="A178" s="189">
        <v>173</v>
      </c>
      <c r="B178" s="180">
        <v>8600</v>
      </c>
      <c r="C178" s="180" t="s">
        <v>484</v>
      </c>
      <c r="D178" s="181" t="str">
        <f>IFERROR(LOOKUP(2,1/((A_Corridor!$A$5:$A$204&lt;&gt;"")*(A_Corridor!$A$5:$A$204&lt;=$B178)*(A_Corridor!$B$5:$B$204&gt;$B178)*(A_Corridor!$C$5:$C$204&lt;&gt;"")),IF(UPPER(A_Corridor!$C$5:$C$204)="Y",1,"")),"")</f>
        <v/>
      </c>
      <c r="E178" s="181" t="str">
        <f>IFERROR(LOOKUP(2,1/((A_Corridor!$A$5:$A$204&lt;&gt;"")*(A_Corridor!$A$5:$A$204&lt;=$B178)*(A_Corridor!$B$5:$B$204&gt;$B178)*(A_Corridor!$D$5:$D$204&lt;&gt;"")),IF(A_Corridor!$D$5:$D$204="-","",UPPER(A_Corridor!$D$5:$D$204))),"")</f>
        <v/>
      </c>
      <c r="F178" s="181" t="str">
        <f>IFERROR(LOOKUP(2,1/((A_Corridor!$A$5:$A$204&lt;&gt;"")*(A_Corridor!$A$5:$A$204&lt;=$B178)*(A_Corridor!$B$5:$B$204&gt;$B178)*(A_Corridor!$E$5:$E$204&lt;&gt;"")),IF(A_Corridor!$E$5:$E$204="-","",1)),"")</f>
        <v/>
      </c>
      <c r="G178" s="182" t="str">
        <f>IFERROR(LOOKUP(2,1/((A_Corridor!$A$5:$A$204&lt;&gt;"")*(A_Corridor!$A$5:$A$204&lt;=$B178)*(A_Corridor!$B$5:$B$204&gt;$B178)*(A_Corridor!$E$5:$E$204&lt;&gt;"")),IF(A_Corridor!$E$5:$E$204="-","",A_Corridor!$E$5:$E$204)),"")</f>
        <v/>
      </c>
      <c r="H178" s="182" t="str">
        <f>IFERROR(LOOKUP(2,1/((D_Points!$A$5:$A$204&lt;&gt;"")*(D_Points!$A$5:$A$204&gt;=$B178)*(D_Points!$A$5:$A$204&lt;$B178+P_Interval)*(UPPER(TRIM(D_Points!$B$5:$B$204))="GULLY")*(D_Points!$H$5:$H$204&lt;&gt;"")),D_Points!$H$5:$H$204),"")</f>
        <v/>
      </c>
      <c r="I178" s="181" t="str">
        <f>IFERROR(LOOKUP(2,1/((A_Corridor!$A$5:$A$204&lt;&gt;"")*(A_Corridor!$A$5:$A$204&lt;=$B178)*(A_Corridor!$B$5:$B$204&gt;$B178)*(A_Corridor!$F$5:$F$204&lt;&gt;"")),IF(A_Corridor!$F$5:$F$204="-","",1)),"")</f>
        <v/>
      </c>
      <c r="J178" s="182" t="str">
        <f>IFERROR(LOOKUP(2,1/((A_Corridor!$A$5:$A$204&lt;&gt;"")*(A_Corridor!$A$5:$A$204&lt;=$B178)*(A_Corridor!$B$5:$B$204&gt;$B178)*(A_Corridor!$F$5:$F$204&lt;&gt;"")),IF(A_Corridor!$F$5:$F$204="-","",A_Corridor!$F$5:$F$204)),"")</f>
        <v/>
      </c>
      <c r="K178" s="182" t="str">
        <f>IFERROR(LOOKUP(2,1/((A_Corridor!$A$5:$A$204&lt;&gt;"")*(A_Corridor!$A$5:$A$204&lt;=$B178)*(A_Corridor!$B$5:$B$204&gt;$B178)*(A_Corridor!$G$5:$G$204&lt;&gt;"")),IF(A_Corridor!$G$5:$G$204="-","",A_Corridor!$G$5:$G$204)),"")</f>
        <v/>
      </c>
      <c r="L178" s="181" t="str">
        <f>IFERROR(LOOKUP(2,1/((A_Corridor!$A$5:$A$204&lt;&gt;"")*(A_Corridor!$A$5:$A$204&lt;=$B178)*(A_Corridor!$B$5:$B$204&gt;$B178)*(A_Corridor!$H$5:$H$204&lt;&gt;"")),IF(A_Corridor!$H$5:$H$204="-","",1)),"")</f>
        <v/>
      </c>
      <c r="M178" s="182" t="str">
        <f>IFERROR(LOOKUP(2,1/((A_Corridor!$A$5:$A$204&lt;&gt;"")*(A_Corridor!$A$5:$A$204&lt;=$B178)*(A_Corridor!$B$5:$B$204&gt;$B178)*(A_Corridor!$H$5:$H$204&lt;&gt;"")),IF(A_Corridor!$H$5:$H$204="-","",A_Corridor!$H$5:$H$204)),"")</f>
        <v/>
      </c>
      <c r="N178" s="182" t="str">
        <f>IFERROR(LOOKUP(2,1/((A_Corridor!$A$5:$A$204&lt;&gt;"")*(A_Corridor!$A$5:$A$204&lt;=$B178)*(A_Corridor!$B$5:$B$204&gt;$B178)*(A_Corridor!$I$5:$I$204&lt;&gt;"")),IF(A_Corridor!$I$5:$I$204="-","",A_Corridor!$I$5:$I$204)),"")</f>
        <v/>
      </c>
      <c r="O178" s="182" t="str">
        <f>IFERROR(LOOKUP(2,1/((D_Points!$A$5:$A$204&lt;&gt;"")*(D_Points!$A$5:$A$204&gt;=$B178)*(D_Points!$A$5:$A$204&lt;$B178+P_Interval)*(UPPER(TRIM(D_Points!$B$5:$B$204))="PITCHING")*(D_Points!$H$5:$H$204&lt;&gt;"")),D_Points!$H$5:$H$204),"")</f>
        <v/>
      </c>
      <c r="P178" s="181" t="str">
        <f>IFERROR(LOOKUP(2,1/((B_Drainage!$A$5:$A$204&lt;&gt;"")*(B_Drainage!$A$5:$A$204&lt;=$B178)*(B_Drainage!$B$5:$B$204&gt;$B178)*(B_Drainage!$C$5:$C$204&lt;&gt;"")),IF(B_Drainage!$C$5:$C$204="-","",UPPER(B_Drainage!$C$5:$C$204))),"")</f>
        <v/>
      </c>
      <c r="Q178" s="181" t="str">
        <f>IFERROR(LOOKUP(2,1/((B_Drainage!$A$5:$A$204&lt;&gt;"")*(B_Drainage!$A$5:$A$204&lt;=$B178)*(B_Drainage!$B$5:$B$204&gt;$B178)*(B_Drainage!$D$5:$D$204&lt;&gt;"")),IF(B_Drainage!$D$5:$D$204="-","",UPPER(B_Drainage!$D$5:$D$204))),"")</f>
        <v/>
      </c>
      <c r="R178" s="182" t="str">
        <f>IFERROR(LOOKUP(2,1/((D_Points!$A$5:$A$204&lt;&gt;"")*(D_Points!$A$5:$A$204&gt;=$B178)*(D_Points!$A$5:$A$204&lt;$B178+P_Interval)*(RIGHT(UPPER(TRIM(D_Points!$B$5:$B$204)),8)="_CULVERT")),IF(LEFT(UPPER(TRIM(D_Points!$B$5:$B$204)),2)="EX",1,IF(LEFT(UPPER(TRIM(D_Points!$B$5:$B$204)),2)="PR",2,3))),"")</f>
        <v/>
      </c>
      <c r="S178" s="182" t="str">
        <f>IFERROR(LOOKUP(2,1/((D_Points!$A$5:$A$204&lt;&gt;"")*(D_Points!$A$5:$A$204&gt;=$B178)*(D_Points!$A$5:$A$204&lt;$B178+P_Interval)*(RIGHT(UPPER(TRIM(D_Points!$B$5:$B$204)),7)="_BRIDGE")),IF(LEFT(UPPER(TRIM(D_Points!$B$5:$B$204)),2)="EX",1,IF(LEFT(UPPER(TRIM(D_Points!$B$5:$B$204)),2)="PR",2,2))),"")</f>
        <v/>
      </c>
      <c r="T178" s="181" t="str">
        <f>IFERROR(LOOKUP(2,1/((B_Drainage!$A$5:$A$204&lt;&gt;"")*(B_Drainage!$A$5:$A$204&lt;=$B178)*(B_Drainage!$B$5:$B$204&gt;$B178)*(B_Drainage!$E$5:$E$204&lt;&gt;"")),IF(B_Drainage!$E$5:$E$204="-","",1)),"")</f>
        <v/>
      </c>
      <c r="U178" s="181" t="str">
        <f>IFERROR(LOOKUP(2,1/((B_Drainage!$A$5:$A$204&lt;&gt;"")*(B_Drainage!$A$5:$A$204&lt;=$B178)*(B_Drainage!$B$5:$B$204&gt;$B178)*(B_Drainage!$E$5:$E$204&lt;&gt;"")),IF(B_Drainage!$E$5:$E$204="-","",B_Drainage!$E$5:$E$204)),"")</f>
        <v/>
      </c>
      <c r="V178" s="181" t="str">
        <f>IFERROR(LOOKUP(2,1/((B_Drainage!$A$5:$A$204&lt;&gt;"")*(B_Drainage!$A$5:$A$204&lt;=$B178)*(B_Drainage!$B$5:$B$204&gt;$B178)*(B_Drainage!$F$5:$F$204&lt;&gt;"")),IF(B_Drainage!$F$5:$F$204="-","",1)),"")</f>
        <v/>
      </c>
      <c r="W178" s="181" t="str">
        <f>IFERROR(LOOKUP(2,1/((B_Drainage!$A$5:$A$204&lt;&gt;"")*(B_Drainage!$A$5:$A$204&lt;=$B178)*(B_Drainage!$B$5:$B$204&gt;$B178)*(B_Drainage!$F$5:$F$204&lt;&gt;"")),IF(B_Drainage!$F$5:$F$204="-","",B_Drainage!$F$5:$F$204)),"")</f>
        <v/>
      </c>
      <c r="X178" s="181" t="str">
        <f>IFERROR(LOOKUP(2,1/((B_Drainage!$A$5:$A$204&lt;&gt;"")*(B_Drainage!$A$5:$A$204&lt;=$B178)*(B_Drainage!$B$5:$B$204&gt;$B178)*(B_Drainage!$G$5:$G$204&lt;&gt;"")),IF(UPPER(B_Drainage!$G$5:$G$204)="Y",1,"")),"")</f>
        <v/>
      </c>
      <c r="Y178" s="181" t="str">
        <f>IFERROR(LOOKUP(2,1/((B_Drainage!$A$5:$A$204&lt;&gt;"")*(B_Drainage!$A$5:$A$204&lt;=$B178)*(B_Drainage!$B$5:$B$204&gt;$B178)*(B_Drainage!$H$5:$H$204&lt;&gt;"")),IF(UPPER(B_Drainage!$H$5:$H$204)="Y",1,"")),"")</f>
        <v/>
      </c>
      <c r="Z178" s="181" t="str">
        <f>IFERROR(LOOKUP(2,1/((B_Drainage!$A$5:$A$204&lt;&gt;"")*(B_Drainage!$A$5:$A$204&lt;=$B178)*(B_Drainage!$B$5:$B$204&gt;$B178)*(B_Drainage!$I$5:$I$204&lt;&gt;"")),IF(UPPER(B_Drainage!$I$5:$I$204)="Y",1,"")),"")</f>
        <v/>
      </c>
      <c r="AA178" s="181" t="str">
        <f>IFERROR(LOOKUP(2,1/((B_Drainage!$A$5:$A$204&lt;&gt;"")*(B_Drainage!$A$5:$A$204&lt;=$B178)*(B_Drainage!$B$5:$B$204&gt;$B178)*(B_Drainage!$J$5:$J$204&lt;&gt;"")),IF(UPPER(B_Drainage!$J$5:$J$204)="Y",1,"")),"")</f>
        <v/>
      </c>
      <c r="AB178" s="182" t="str">
        <f>IFERROR(LOOKUP(2,1/((B_Drainage!$A$5:$A$204&lt;&gt;"")*(B_Drainage!$A$5:$A$204&lt;=$B178)*(B_Drainage!$B$5:$B$204&gt;$B178)*(B_Drainage!$K$5:$K$204&lt;&gt;"")),IF(B_Drainage!$K$5:$K$204="-","",B_Drainage!$K$5:$K$204)),"")</f>
        <v/>
      </c>
      <c r="AC178" s="182" t="str">
        <f>IFERROR(LOOKUP(2,1/((B_Drainage!$A$5:$A$204&lt;&gt;"")*(B_Drainage!$A$5:$A$204&lt;=$B178)*(B_Drainage!$B$5:$B$204&gt;$B178)*(B_Drainage!$L$5:$L$204&lt;&gt;"")),IF(B_Drainage!$L$5:$L$204="-","",B_Drainage!$L$5:$L$204)),"")</f>
        <v/>
      </c>
      <c r="AD178" s="182" t="str">
        <f>IFERROR(LOOKUP(2,1/((D_Points!$A$5:$A$204&lt;&gt;"")*(D_Points!$A$5:$A$204&gt;=$B178)*(D_Points!$A$5:$A$204&lt;$B178+P_Interval)*(UPPER(TRIM(D_Points!$B$5:$B$204))="TURNOUT_L")*(D_Points!$H$5:$H$204&lt;&gt;"")),D_Points!$H$5:$H$204),"")</f>
        <v/>
      </c>
      <c r="AE178" s="182" t="str">
        <f>IFERROR(LOOKUP(2,1/((D_Points!$A$5:$A$204&lt;&gt;"")*(D_Points!$A$5:$A$204&gt;=$B178)*(D_Points!$A$5:$A$204&lt;$B178+P_Interval)*(UPPER(TRIM(D_Points!$B$5:$B$204))="TURNOUT_R")*(D_Points!$H$5:$H$204&lt;&gt;"")),D_Points!$H$5:$H$204),"")</f>
        <v/>
      </c>
      <c r="AF178" s="181" t="str">
        <f>IFERROR(LOOKUP(2,1/((B_Drainage!$A$5:$A$204&lt;&gt;"")*(B_Drainage!$A$5:$A$204&lt;=$B178)*(B_Drainage!$B$5:$B$204&gt;$B178)*(B_Drainage!$M$5:$M$204&lt;&gt;"")),IF(UPPER(B_Drainage!$M$5:$M$204)="Y",1,"")),"")</f>
        <v/>
      </c>
      <c r="AG178" s="181" t="str">
        <f>IFERROR(LOOKUP(2,1/((B_Drainage!$A$5:$A$204&lt;&gt;"")*(B_Drainage!$A$5:$A$204&lt;=$B178)*(B_Drainage!$B$5:$B$204&gt;$B178)*(B_Drainage!$N$5:$N$204&lt;&gt;"")),IF(UPPER(B_Drainage!$N$5:$N$204)="Y",1,"")),"")</f>
        <v/>
      </c>
      <c r="AH178" s="181" t="str">
        <f t="shared" si="16"/>
        <v/>
      </c>
      <c r="AI178" s="181" t="str">
        <f t="shared" si="17"/>
        <v/>
      </c>
      <c r="AJ178" s="181" t="str">
        <f t="shared" si="18"/>
        <v/>
      </c>
      <c r="AK178" s="181" t="str">
        <f t="shared" si="19"/>
        <v/>
      </c>
      <c r="AL178" s="181" t="str">
        <f t="shared" si="20"/>
        <v/>
      </c>
      <c r="AM178" s="181" t="str">
        <f t="shared" si="21"/>
        <v/>
      </c>
      <c r="AN178" s="181" t="str">
        <f t="shared" si="22"/>
        <v/>
      </c>
      <c r="AO178" s="192" t="str">
        <f t="shared" si="23"/>
        <v/>
      </c>
      <c r="AQ178" t="str">
        <f>IFERROR(LOOKUP(2,1/((C_Pavement!$A$5:$A$204&lt;&gt;"")*(C_Pavement!$A$5:$A$204&lt;=$B178)*(C_Pavement!$B$5:$B$204&gt;$B178)*(C_Pavement!$C$5:$C$204&lt;&gt;"")),ROW(C_Pavement!$C$5:$C$204)-4),"")</f>
        <v/>
      </c>
      <c r="AR178" t="str">
        <f>IF($AQ178="","",UPPER(TRIM(INDEX(C_Pavement!$C$5:$C$204,$AQ178))))</f>
        <v/>
      </c>
      <c r="AS178" t="str">
        <f>IF($AR178="","",IFERROR(MATCH($AR178,E_Rules!$A$5:$A$9,0),""))</f>
        <v/>
      </c>
      <c r="AT178" t="str">
        <f>IF($AQ178="","",IF(INDEX(C_Pavement!$D$5:$D$204,$AQ178)&lt;&gt;"",UPPER(TRIM(INDEX(C_Pavement!$D$5:$D$204,$AQ178))),IF($AS178="","",INDEX(E_Rules!$C$5:$C$9,$AS178))))</f>
        <v/>
      </c>
      <c r="AU178" t="str">
        <f>IF($AQ178="","",IF(INDEX(C_Pavement!$E$5:$E$204,$AQ178)&lt;&gt;"",IF(INDEX(C_Pavement!$E$5:$E$204,$AQ178)="-","",INDEX(C_Pavement!$E$5:$E$204,$AQ178)),IF($AS178="","",INDEX(E_Rules!$D$5:$D$9,$AS178))))</f>
        <v/>
      </c>
      <c r="AV178" t="str">
        <f>IF($AQ178="","",IF(INDEX(C_Pavement!$F$5:$F$204,$AQ178)&lt;&gt;"",IF(INDEX(C_Pavement!$F$5:$F$204,$AQ178)="-","",INDEX(C_Pavement!$F$5:$F$204,$AQ178)),IF($AS178="","",INDEX(E_Rules!$E$5:$E$9,$AS178))))</f>
        <v/>
      </c>
      <c r="AW178" t="str">
        <f>IF($AQ178="","",IF(INDEX(C_Pavement!$G$5:$G$204,$AQ178)&lt;&gt;"",IF(INDEX(C_Pavement!$G$5:$G$204,$AQ178)="-","",INDEX(C_Pavement!$G$5:$G$204,$AQ178)),IF($AS178="","",INDEX(E_Rules!$F$5:$F$9,$AS178))))</f>
        <v/>
      </c>
      <c r="AX178" t="str">
        <f>IF($AQ178="","",IF(INDEX(C_Pavement!$H$5:$H$204,$AQ178)&lt;&gt;"",IF(INDEX(C_Pavement!$H$5:$H$204,$AQ178)="-","",INDEX(C_Pavement!$H$5:$H$204,$AQ178)),IF($AS178="","",INDEX(E_Rules!$G$5:$G$9,$AS178))))</f>
        <v/>
      </c>
      <c r="AY178" t="str">
        <f>IF($AQ178="","",IF(INDEX(C_Pavement!$I$5:$I$204,$AQ178)&lt;&gt;"",IF(INDEX(C_Pavement!$I$5:$I$204,$AQ178)="-","",INDEX(C_Pavement!$I$5:$I$204,$AQ178)),IF($AS178="","",INDEX(E_Rules!$H$5:$H$9,$AS178))))</f>
        <v/>
      </c>
    </row>
    <row r="179" spans="1:51" ht="15.75" customHeight="1" x14ac:dyDescent="0.3">
      <c r="A179" s="189">
        <v>174</v>
      </c>
      <c r="B179" s="180">
        <v>8650</v>
      </c>
      <c r="C179" s="180" t="s">
        <v>485</v>
      </c>
      <c r="D179" s="181" t="str">
        <f>IFERROR(LOOKUP(2,1/((A_Corridor!$A$5:$A$204&lt;&gt;"")*(A_Corridor!$A$5:$A$204&lt;=$B179)*(A_Corridor!$B$5:$B$204&gt;$B179)*(A_Corridor!$C$5:$C$204&lt;&gt;"")),IF(UPPER(A_Corridor!$C$5:$C$204)="Y",1,"")),"")</f>
        <v/>
      </c>
      <c r="E179" s="181" t="str">
        <f>IFERROR(LOOKUP(2,1/((A_Corridor!$A$5:$A$204&lt;&gt;"")*(A_Corridor!$A$5:$A$204&lt;=$B179)*(A_Corridor!$B$5:$B$204&gt;$B179)*(A_Corridor!$D$5:$D$204&lt;&gt;"")),IF(A_Corridor!$D$5:$D$204="-","",UPPER(A_Corridor!$D$5:$D$204))),"")</f>
        <v/>
      </c>
      <c r="F179" s="181" t="str">
        <f>IFERROR(LOOKUP(2,1/((A_Corridor!$A$5:$A$204&lt;&gt;"")*(A_Corridor!$A$5:$A$204&lt;=$B179)*(A_Corridor!$B$5:$B$204&gt;$B179)*(A_Corridor!$E$5:$E$204&lt;&gt;"")),IF(A_Corridor!$E$5:$E$204="-","",1)),"")</f>
        <v/>
      </c>
      <c r="G179" s="182" t="str">
        <f>IFERROR(LOOKUP(2,1/((A_Corridor!$A$5:$A$204&lt;&gt;"")*(A_Corridor!$A$5:$A$204&lt;=$B179)*(A_Corridor!$B$5:$B$204&gt;$B179)*(A_Corridor!$E$5:$E$204&lt;&gt;"")),IF(A_Corridor!$E$5:$E$204="-","",A_Corridor!$E$5:$E$204)),"")</f>
        <v/>
      </c>
      <c r="H179" s="182" t="str">
        <f>IFERROR(LOOKUP(2,1/((D_Points!$A$5:$A$204&lt;&gt;"")*(D_Points!$A$5:$A$204&gt;=$B179)*(D_Points!$A$5:$A$204&lt;$B179+P_Interval)*(UPPER(TRIM(D_Points!$B$5:$B$204))="GULLY")*(D_Points!$H$5:$H$204&lt;&gt;"")),D_Points!$H$5:$H$204),"")</f>
        <v/>
      </c>
      <c r="I179" s="181" t="str">
        <f>IFERROR(LOOKUP(2,1/((A_Corridor!$A$5:$A$204&lt;&gt;"")*(A_Corridor!$A$5:$A$204&lt;=$B179)*(A_Corridor!$B$5:$B$204&gt;$B179)*(A_Corridor!$F$5:$F$204&lt;&gt;"")),IF(A_Corridor!$F$5:$F$204="-","",1)),"")</f>
        <v/>
      </c>
      <c r="J179" s="182" t="str">
        <f>IFERROR(LOOKUP(2,1/((A_Corridor!$A$5:$A$204&lt;&gt;"")*(A_Corridor!$A$5:$A$204&lt;=$B179)*(A_Corridor!$B$5:$B$204&gt;$B179)*(A_Corridor!$F$5:$F$204&lt;&gt;"")),IF(A_Corridor!$F$5:$F$204="-","",A_Corridor!$F$5:$F$204)),"")</f>
        <v/>
      </c>
      <c r="K179" s="182" t="str">
        <f>IFERROR(LOOKUP(2,1/((A_Corridor!$A$5:$A$204&lt;&gt;"")*(A_Corridor!$A$5:$A$204&lt;=$B179)*(A_Corridor!$B$5:$B$204&gt;$B179)*(A_Corridor!$G$5:$G$204&lt;&gt;"")),IF(A_Corridor!$G$5:$G$204="-","",A_Corridor!$G$5:$G$204)),"")</f>
        <v/>
      </c>
      <c r="L179" s="181" t="str">
        <f>IFERROR(LOOKUP(2,1/((A_Corridor!$A$5:$A$204&lt;&gt;"")*(A_Corridor!$A$5:$A$204&lt;=$B179)*(A_Corridor!$B$5:$B$204&gt;$B179)*(A_Corridor!$H$5:$H$204&lt;&gt;"")),IF(A_Corridor!$H$5:$H$204="-","",1)),"")</f>
        <v/>
      </c>
      <c r="M179" s="182" t="str">
        <f>IFERROR(LOOKUP(2,1/((A_Corridor!$A$5:$A$204&lt;&gt;"")*(A_Corridor!$A$5:$A$204&lt;=$B179)*(A_Corridor!$B$5:$B$204&gt;$B179)*(A_Corridor!$H$5:$H$204&lt;&gt;"")),IF(A_Corridor!$H$5:$H$204="-","",A_Corridor!$H$5:$H$204)),"")</f>
        <v/>
      </c>
      <c r="N179" s="182" t="str">
        <f>IFERROR(LOOKUP(2,1/((A_Corridor!$A$5:$A$204&lt;&gt;"")*(A_Corridor!$A$5:$A$204&lt;=$B179)*(A_Corridor!$B$5:$B$204&gt;$B179)*(A_Corridor!$I$5:$I$204&lt;&gt;"")),IF(A_Corridor!$I$5:$I$204="-","",A_Corridor!$I$5:$I$204)),"")</f>
        <v/>
      </c>
      <c r="O179" s="182" t="str">
        <f>IFERROR(LOOKUP(2,1/((D_Points!$A$5:$A$204&lt;&gt;"")*(D_Points!$A$5:$A$204&gt;=$B179)*(D_Points!$A$5:$A$204&lt;$B179+P_Interval)*(UPPER(TRIM(D_Points!$B$5:$B$204))="PITCHING")*(D_Points!$H$5:$H$204&lt;&gt;"")),D_Points!$H$5:$H$204),"")</f>
        <v/>
      </c>
      <c r="P179" s="181" t="str">
        <f>IFERROR(LOOKUP(2,1/((B_Drainage!$A$5:$A$204&lt;&gt;"")*(B_Drainage!$A$5:$A$204&lt;=$B179)*(B_Drainage!$B$5:$B$204&gt;$B179)*(B_Drainage!$C$5:$C$204&lt;&gt;"")),IF(B_Drainage!$C$5:$C$204="-","",UPPER(B_Drainage!$C$5:$C$204))),"")</f>
        <v/>
      </c>
      <c r="Q179" s="181" t="str">
        <f>IFERROR(LOOKUP(2,1/((B_Drainage!$A$5:$A$204&lt;&gt;"")*(B_Drainage!$A$5:$A$204&lt;=$B179)*(B_Drainage!$B$5:$B$204&gt;$B179)*(B_Drainage!$D$5:$D$204&lt;&gt;"")),IF(B_Drainage!$D$5:$D$204="-","",UPPER(B_Drainage!$D$5:$D$204))),"")</f>
        <v/>
      </c>
      <c r="R179" s="182" t="str">
        <f>IFERROR(LOOKUP(2,1/((D_Points!$A$5:$A$204&lt;&gt;"")*(D_Points!$A$5:$A$204&gt;=$B179)*(D_Points!$A$5:$A$204&lt;$B179+P_Interval)*(RIGHT(UPPER(TRIM(D_Points!$B$5:$B$204)),8)="_CULVERT")),IF(LEFT(UPPER(TRIM(D_Points!$B$5:$B$204)),2)="EX",1,IF(LEFT(UPPER(TRIM(D_Points!$B$5:$B$204)),2)="PR",2,3))),"")</f>
        <v/>
      </c>
      <c r="S179" s="182" t="str">
        <f>IFERROR(LOOKUP(2,1/((D_Points!$A$5:$A$204&lt;&gt;"")*(D_Points!$A$5:$A$204&gt;=$B179)*(D_Points!$A$5:$A$204&lt;$B179+P_Interval)*(RIGHT(UPPER(TRIM(D_Points!$B$5:$B$204)),7)="_BRIDGE")),IF(LEFT(UPPER(TRIM(D_Points!$B$5:$B$204)),2)="EX",1,IF(LEFT(UPPER(TRIM(D_Points!$B$5:$B$204)),2)="PR",2,2))),"")</f>
        <v/>
      </c>
      <c r="T179" s="181" t="str">
        <f>IFERROR(LOOKUP(2,1/((B_Drainage!$A$5:$A$204&lt;&gt;"")*(B_Drainage!$A$5:$A$204&lt;=$B179)*(B_Drainage!$B$5:$B$204&gt;$B179)*(B_Drainage!$E$5:$E$204&lt;&gt;"")),IF(B_Drainage!$E$5:$E$204="-","",1)),"")</f>
        <v/>
      </c>
      <c r="U179" s="181" t="str">
        <f>IFERROR(LOOKUP(2,1/((B_Drainage!$A$5:$A$204&lt;&gt;"")*(B_Drainage!$A$5:$A$204&lt;=$B179)*(B_Drainage!$B$5:$B$204&gt;$B179)*(B_Drainage!$E$5:$E$204&lt;&gt;"")),IF(B_Drainage!$E$5:$E$204="-","",B_Drainage!$E$5:$E$204)),"")</f>
        <v/>
      </c>
      <c r="V179" s="181" t="str">
        <f>IFERROR(LOOKUP(2,1/((B_Drainage!$A$5:$A$204&lt;&gt;"")*(B_Drainage!$A$5:$A$204&lt;=$B179)*(B_Drainage!$B$5:$B$204&gt;$B179)*(B_Drainage!$F$5:$F$204&lt;&gt;"")),IF(B_Drainage!$F$5:$F$204="-","",1)),"")</f>
        <v/>
      </c>
      <c r="W179" s="181" t="str">
        <f>IFERROR(LOOKUP(2,1/((B_Drainage!$A$5:$A$204&lt;&gt;"")*(B_Drainage!$A$5:$A$204&lt;=$B179)*(B_Drainage!$B$5:$B$204&gt;$B179)*(B_Drainage!$F$5:$F$204&lt;&gt;"")),IF(B_Drainage!$F$5:$F$204="-","",B_Drainage!$F$5:$F$204)),"")</f>
        <v/>
      </c>
      <c r="X179" s="181" t="str">
        <f>IFERROR(LOOKUP(2,1/((B_Drainage!$A$5:$A$204&lt;&gt;"")*(B_Drainage!$A$5:$A$204&lt;=$B179)*(B_Drainage!$B$5:$B$204&gt;$B179)*(B_Drainage!$G$5:$G$204&lt;&gt;"")),IF(UPPER(B_Drainage!$G$5:$G$204)="Y",1,"")),"")</f>
        <v/>
      </c>
      <c r="Y179" s="181" t="str">
        <f>IFERROR(LOOKUP(2,1/((B_Drainage!$A$5:$A$204&lt;&gt;"")*(B_Drainage!$A$5:$A$204&lt;=$B179)*(B_Drainage!$B$5:$B$204&gt;$B179)*(B_Drainage!$H$5:$H$204&lt;&gt;"")),IF(UPPER(B_Drainage!$H$5:$H$204)="Y",1,"")),"")</f>
        <v/>
      </c>
      <c r="Z179" s="181" t="str">
        <f>IFERROR(LOOKUP(2,1/((B_Drainage!$A$5:$A$204&lt;&gt;"")*(B_Drainage!$A$5:$A$204&lt;=$B179)*(B_Drainage!$B$5:$B$204&gt;$B179)*(B_Drainage!$I$5:$I$204&lt;&gt;"")),IF(UPPER(B_Drainage!$I$5:$I$204)="Y",1,"")),"")</f>
        <v/>
      </c>
      <c r="AA179" s="181" t="str">
        <f>IFERROR(LOOKUP(2,1/((B_Drainage!$A$5:$A$204&lt;&gt;"")*(B_Drainage!$A$5:$A$204&lt;=$B179)*(B_Drainage!$B$5:$B$204&gt;$B179)*(B_Drainage!$J$5:$J$204&lt;&gt;"")),IF(UPPER(B_Drainage!$J$5:$J$204)="Y",1,"")),"")</f>
        <v/>
      </c>
      <c r="AB179" s="182" t="str">
        <f>IFERROR(LOOKUP(2,1/((B_Drainage!$A$5:$A$204&lt;&gt;"")*(B_Drainage!$A$5:$A$204&lt;=$B179)*(B_Drainage!$B$5:$B$204&gt;$B179)*(B_Drainage!$K$5:$K$204&lt;&gt;"")),IF(B_Drainage!$K$5:$K$204="-","",B_Drainage!$K$5:$K$204)),"")</f>
        <v/>
      </c>
      <c r="AC179" s="182" t="str">
        <f>IFERROR(LOOKUP(2,1/((B_Drainage!$A$5:$A$204&lt;&gt;"")*(B_Drainage!$A$5:$A$204&lt;=$B179)*(B_Drainage!$B$5:$B$204&gt;$B179)*(B_Drainage!$L$5:$L$204&lt;&gt;"")),IF(B_Drainage!$L$5:$L$204="-","",B_Drainage!$L$5:$L$204)),"")</f>
        <v/>
      </c>
      <c r="AD179" s="182" t="str">
        <f>IFERROR(LOOKUP(2,1/((D_Points!$A$5:$A$204&lt;&gt;"")*(D_Points!$A$5:$A$204&gt;=$B179)*(D_Points!$A$5:$A$204&lt;$B179+P_Interval)*(UPPER(TRIM(D_Points!$B$5:$B$204))="TURNOUT_L")*(D_Points!$H$5:$H$204&lt;&gt;"")),D_Points!$H$5:$H$204),"")</f>
        <v/>
      </c>
      <c r="AE179" s="182" t="str">
        <f>IFERROR(LOOKUP(2,1/((D_Points!$A$5:$A$204&lt;&gt;"")*(D_Points!$A$5:$A$204&gt;=$B179)*(D_Points!$A$5:$A$204&lt;$B179+P_Interval)*(UPPER(TRIM(D_Points!$B$5:$B$204))="TURNOUT_R")*(D_Points!$H$5:$H$204&lt;&gt;"")),D_Points!$H$5:$H$204),"")</f>
        <v/>
      </c>
      <c r="AF179" s="181" t="str">
        <f>IFERROR(LOOKUP(2,1/((B_Drainage!$A$5:$A$204&lt;&gt;"")*(B_Drainage!$A$5:$A$204&lt;=$B179)*(B_Drainage!$B$5:$B$204&gt;$B179)*(B_Drainage!$M$5:$M$204&lt;&gt;"")),IF(UPPER(B_Drainage!$M$5:$M$204)="Y",1,"")),"")</f>
        <v/>
      </c>
      <c r="AG179" s="181" t="str">
        <f>IFERROR(LOOKUP(2,1/((B_Drainage!$A$5:$A$204&lt;&gt;"")*(B_Drainage!$A$5:$A$204&lt;=$B179)*(B_Drainage!$B$5:$B$204&gt;$B179)*(B_Drainage!$N$5:$N$204&lt;&gt;"")),IF(UPPER(B_Drainage!$N$5:$N$204)="Y",1,"")),"")</f>
        <v/>
      </c>
      <c r="AH179" s="181" t="str">
        <f t="shared" si="16"/>
        <v/>
      </c>
      <c r="AI179" s="181" t="str">
        <f t="shared" si="17"/>
        <v/>
      </c>
      <c r="AJ179" s="181" t="str">
        <f t="shared" si="18"/>
        <v/>
      </c>
      <c r="AK179" s="181" t="str">
        <f t="shared" si="19"/>
        <v/>
      </c>
      <c r="AL179" s="181" t="str">
        <f t="shared" si="20"/>
        <v/>
      </c>
      <c r="AM179" s="181" t="str">
        <f t="shared" si="21"/>
        <v/>
      </c>
      <c r="AN179" s="181" t="str">
        <f t="shared" si="22"/>
        <v/>
      </c>
      <c r="AO179" s="192" t="str">
        <f t="shared" si="23"/>
        <v/>
      </c>
      <c r="AQ179" t="str">
        <f>IFERROR(LOOKUP(2,1/((C_Pavement!$A$5:$A$204&lt;&gt;"")*(C_Pavement!$A$5:$A$204&lt;=$B179)*(C_Pavement!$B$5:$B$204&gt;$B179)*(C_Pavement!$C$5:$C$204&lt;&gt;"")),ROW(C_Pavement!$C$5:$C$204)-4),"")</f>
        <v/>
      </c>
      <c r="AR179" t="str">
        <f>IF($AQ179="","",UPPER(TRIM(INDEX(C_Pavement!$C$5:$C$204,$AQ179))))</f>
        <v/>
      </c>
      <c r="AS179" t="str">
        <f>IF($AR179="","",IFERROR(MATCH($AR179,E_Rules!$A$5:$A$9,0),""))</f>
        <v/>
      </c>
      <c r="AT179" t="str">
        <f>IF($AQ179="","",IF(INDEX(C_Pavement!$D$5:$D$204,$AQ179)&lt;&gt;"",UPPER(TRIM(INDEX(C_Pavement!$D$5:$D$204,$AQ179))),IF($AS179="","",INDEX(E_Rules!$C$5:$C$9,$AS179))))</f>
        <v/>
      </c>
      <c r="AU179" t="str">
        <f>IF($AQ179="","",IF(INDEX(C_Pavement!$E$5:$E$204,$AQ179)&lt;&gt;"",IF(INDEX(C_Pavement!$E$5:$E$204,$AQ179)="-","",INDEX(C_Pavement!$E$5:$E$204,$AQ179)),IF($AS179="","",INDEX(E_Rules!$D$5:$D$9,$AS179))))</f>
        <v/>
      </c>
      <c r="AV179" t="str">
        <f>IF($AQ179="","",IF(INDEX(C_Pavement!$F$5:$F$204,$AQ179)&lt;&gt;"",IF(INDEX(C_Pavement!$F$5:$F$204,$AQ179)="-","",INDEX(C_Pavement!$F$5:$F$204,$AQ179)),IF($AS179="","",INDEX(E_Rules!$E$5:$E$9,$AS179))))</f>
        <v/>
      </c>
      <c r="AW179" t="str">
        <f>IF($AQ179="","",IF(INDEX(C_Pavement!$G$5:$G$204,$AQ179)&lt;&gt;"",IF(INDEX(C_Pavement!$G$5:$G$204,$AQ179)="-","",INDEX(C_Pavement!$G$5:$G$204,$AQ179)),IF($AS179="","",INDEX(E_Rules!$F$5:$F$9,$AS179))))</f>
        <v/>
      </c>
      <c r="AX179" t="str">
        <f>IF($AQ179="","",IF(INDEX(C_Pavement!$H$5:$H$204,$AQ179)&lt;&gt;"",IF(INDEX(C_Pavement!$H$5:$H$204,$AQ179)="-","",INDEX(C_Pavement!$H$5:$H$204,$AQ179)),IF($AS179="","",INDEX(E_Rules!$G$5:$G$9,$AS179))))</f>
        <v/>
      </c>
      <c r="AY179" t="str">
        <f>IF($AQ179="","",IF(INDEX(C_Pavement!$I$5:$I$204,$AQ179)&lt;&gt;"",IF(INDEX(C_Pavement!$I$5:$I$204,$AQ179)="-","",INDEX(C_Pavement!$I$5:$I$204,$AQ179)),IF($AS179="","",INDEX(E_Rules!$H$5:$H$9,$AS179))))</f>
        <v/>
      </c>
    </row>
    <row r="180" spans="1:51" ht="15.75" customHeight="1" x14ac:dyDescent="0.3">
      <c r="A180" s="189">
        <v>175</v>
      </c>
      <c r="B180" s="180">
        <v>8700</v>
      </c>
      <c r="C180" s="180" t="s">
        <v>486</v>
      </c>
      <c r="D180" s="181" t="str">
        <f>IFERROR(LOOKUP(2,1/((A_Corridor!$A$5:$A$204&lt;&gt;"")*(A_Corridor!$A$5:$A$204&lt;=$B180)*(A_Corridor!$B$5:$B$204&gt;$B180)*(A_Corridor!$C$5:$C$204&lt;&gt;"")),IF(UPPER(A_Corridor!$C$5:$C$204)="Y",1,"")),"")</f>
        <v/>
      </c>
      <c r="E180" s="181" t="str">
        <f>IFERROR(LOOKUP(2,1/((A_Corridor!$A$5:$A$204&lt;&gt;"")*(A_Corridor!$A$5:$A$204&lt;=$B180)*(A_Corridor!$B$5:$B$204&gt;$B180)*(A_Corridor!$D$5:$D$204&lt;&gt;"")),IF(A_Corridor!$D$5:$D$204="-","",UPPER(A_Corridor!$D$5:$D$204))),"")</f>
        <v/>
      </c>
      <c r="F180" s="181" t="str">
        <f>IFERROR(LOOKUP(2,1/((A_Corridor!$A$5:$A$204&lt;&gt;"")*(A_Corridor!$A$5:$A$204&lt;=$B180)*(A_Corridor!$B$5:$B$204&gt;$B180)*(A_Corridor!$E$5:$E$204&lt;&gt;"")),IF(A_Corridor!$E$5:$E$204="-","",1)),"")</f>
        <v/>
      </c>
      <c r="G180" s="182" t="str">
        <f>IFERROR(LOOKUP(2,1/((A_Corridor!$A$5:$A$204&lt;&gt;"")*(A_Corridor!$A$5:$A$204&lt;=$B180)*(A_Corridor!$B$5:$B$204&gt;$B180)*(A_Corridor!$E$5:$E$204&lt;&gt;"")),IF(A_Corridor!$E$5:$E$204="-","",A_Corridor!$E$5:$E$204)),"")</f>
        <v/>
      </c>
      <c r="H180" s="182" t="str">
        <f>IFERROR(LOOKUP(2,1/((D_Points!$A$5:$A$204&lt;&gt;"")*(D_Points!$A$5:$A$204&gt;=$B180)*(D_Points!$A$5:$A$204&lt;$B180+P_Interval)*(UPPER(TRIM(D_Points!$B$5:$B$204))="GULLY")*(D_Points!$H$5:$H$204&lt;&gt;"")),D_Points!$H$5:$H$204),"")</f>
        <v/>
      </c>
      <c r="I180" s="181" t="str">
        <f>IFERROR(LOOKUP(2,1/((A_Corridor!$A$5:$A$204&lt;&gt;"")*(A_Corridor!$A$5:$A$204&lt;=$B180)*(A_Corridor!$B$5:$B$204&gt;$B180)*(A_Corridor!$F$5:$F$204&lt;&gt;"")),IF(A_Corridor!$F$5:$F$204="-","",1)),"")</f>
        <v/>
      </c>
      <c r="J180" s="182" t="str">
        <f>IFERROR(LOOKUP(2,1/((A_Corridor!$A$5:$A$204&lt;&gt;"")*(A_Corridor!$A$5:$A$204&lt;=$B180)*(A_Corridor!$B$5:$B$204&gt;$B180)*(A_Corridor!$F$5:$F$204&lt;&gt;"")),IF(A_Corridor!$F$5:$F$204="-","",A_Corridor!$F$5:$F$204)),"")</f>
        <v/>
      </c>
      <c r="K180" s="182" t="str">
        <f>IFERROR(LOOKUP(2,1/((A_Corridor!$A$5:$A$204&lt;&gt;"")*(A_Corridor!$A$5:$A$204&lt;=$B180)*(A_Corridor!$B$5:$B$204&gt;$B180)*(A_Corridor!$G$5:$G$204&lt;&gt;"")),IF(A_Corridor!$G$5:$G$204="-","",A_Corridor!$G$5:$G$204)),"")</f>
        <v/>
      </c>
      <c r="L180" s="181" t="str">
        <f>IFERROR(LOOKUP(2,1/((A_Corridor!$A$5:$A$204&lt;&gt;"")*(A_Corridor!$A$5:$A$204&lt;=$B180)*(A_Corridor!$B$5:$B$204&gt;$B180)*(A_Corridor!$H$5:$H$204&lt;&gt;"")),IF(A_Corridor!$H$5:$H$204="-","",1)),"")</f>
        <v/>
      </c>
      <c r="M180" s="182" t="str">
        <f>IFERROR(LOOKUP(2,1/((A_Corridor!$A$5:$A$204&lt;&gt;"")*(A_Corridor!$A$5:$A$204&lt;=$B180)*(A_Corridor!$B$5:$B$204&gt;$B180)*(A_Corridor!$H$5:$H$204&lt;&gt;"")),IF(A_Corridor!$H$5:$H$204="-","",A_Corridor!$H$5:$H$204)),"")</f>
        <v/>
      </c>
      <c r="N180" s="182" t="str">
        <f>IFERROR(LOOKUP(2,1/((A_Corridor!$A$5:$A$204&lt;&gt;"")*(A_Corridor!$A$5:$A$204&lt;=$B180)*(A_Corridor!$B$5:$B$204&gt;$B180)*(A_Corridor!$I$5:$I$204&lt;&gt;"")),IF(A_Corridor!$I$5:$I$204="-","",A_Corridor!$I$5:$I$204)),"")</f>
        <v/>
      </c>
      <c r="O180" s="182" t="str">
        <f>IFERROR(LOOKUP(2,1/((D_Points!$A$5:$A$204&lt;&gt;"")*(D_Points!$A$5:$A$204&gt;=$B180)*(D_Points!$A$5:$A$204&lt;$B180+P_Interval)*(UPPER(TRIM(D_Points!$B$5:$B$204))="PITCHING")*(D_Points!$H$5:$H$204&lt;&gt;"")),D_Points!$H$5:$H$204),"")</f>
        <v/>
      </c>
      <c r="P180" s="181" t="str">
        <f>IFERROR(LOOKUP(2,1/((B_Drainage!$A$5:$A$204&lt;&gt;"")*(B_Drainage!$A$5:$A$204&lt;=$B180)*(B_Drainage!$B$5:$B$204&gt;$B180)*(B_Drainage!$C$5:$C$204&lt;&gt;"")),IF(B_Drainage!$C$5:$C$204="-","",UPPER(B_Drainage!$C$5:$C$204))),"")</f>
        <v/>
      </c>
      <c r="Q180" s="181" t="str">
        <f>IFERROR(LOOKUP(2,1/((B_Drainage!$A$5:$A$204&lt;&gt;"")*(B_Drainage!$A$5:$A$204&lt;=$B180)*(B_Drainage!$B$5:$B$204&gt;$B180)*(B_Drainage!$D$5:$D$204&lt;&gt;"")),IF(B_Drainage!$D$5:$D$204="-","",UPPER(B_Drainage!$D$5:$D$204))),"")</f>
        <v/>
      </c>
      <c r="R180" s="182" t="str">
        <f>IFERROR(LOOKUP(2,1/((D_Points!$A$5:$A$204&lt;&gt;"")*(D_Points!$A$5:$A$204&gt;=$B180)*(D_Points!$A$5:$A$204&lt;$B180+P_Interval)*(RIGHT(UPPER(TRIM(D_Points!$B$5:$B$204)),8)="_CULVERT")),IF(LEFT(UPPER(TRIM(D_Points!$B$5:$B$204)),2)="EX",1,IF(LEFT(UPPER(TRIM(D_Points!$B$5:$B$204)),2)="PR",2,3))),"")</f>
        <v/>
      </c>
      <c r="S180" s="182" t="str">
        <f>IFERROR(LOOKUP(2,1/((D_Points!$A$5:$A$204&lt;&gt;"")*(D_Points!$A$5:$A$204&gt;=$B180)*(D_Points!$A$5:$A$204&lt;$B180+P_Interval)*(RIGHT(UPPER(TRIM(D_Points!$B$5:$B$204)),7)="_BRIDGE")),IF(LEFT(UPPER(TRIM(D_Points!$B$5:$B$204)),2)="EX",1,IF(LEFT(UPPER(TRIM(D_Points!$B$5:$B$204)),2)="PR",2,2))),"")</f>
        <v/>
      </c>
      <c r="T180" s="181" t="str">
        <f>IFERROR(LOOKUP(2,1/((B_Drainage!$A$5:$A$204&lt;&gt;"")*(B_Drainage!$A$5:$A$204&lt;=$B180)*(B_Drainage!$B$5:$B$204&gt;$B180)*(B_Drainage!$E$5:$E$204&lt;&gt;"")),IF(B_Drainage!$E$5:$E$204="-","",1)),"")</f>
        <v/>
      </c>
      <c r="U180" s="181" t="str">
        <f>IFERROR(LOOKUP(2,1/((B_Drainage!$A$5:$A$204&lt;&gt;"")*(B_Drainage!$A$5:$A$204&lt;=$B180)*(B_Drainage!$B$5:$B$204&gt;$B180)*(B_Drainage!$E$5:$E$204&lt;&gt;"")),IF(B_Drainage!$E$5:$E$204="-","",B_Drainage!$E$5:$E$204)),"")</f>
        <v/>
      </c>
      <c r="V180" s="181" t="str">
        <f>IFERROR(LOOKUP(2,1/((B_Drainage!$A$5:$A$204&lt;&gt;"")*(B_Drainage!$A$5:$A$204&lt;=$B180)*(B_Drainage!$B$5:$B$204&gt;$B180)*(B_Drainage!$F$5:$F$204&lt;&gt;"")),IF(B_Drainage!$F$5:$F$204="-","",1)),"")</f>
        <v/>
      </c>
      <c r="W180" s="181" t="str">
        <f>IFERROR(LOOKUP(2,1/((B_Drainage!$A$5:$A$204&lt;&gt;"")*(B_Drainage!$A$5:$A$204&lt;=$B180)*(B_Drainage!$B$5:$B$204&gt;$B180)*(B_Drainage!$F$5:$F$204&lt;&gt;"")),IF(B_Drainage!$F$5:$F$204="-","",B_Drainage!$F$5:$F$204)),"")</f>
        <v/>
      </c>
      <c r="X180" s="181" t="str">
        <f>IFERROR(LOOKUP(2,1/((B_Drainage!$A$5:$A$204&lt;&gt;"")*(B_Drainage!$A$5:$A$204&lt;=$B180)*(B_Drainage!$B$5:$B$204&gt;$B180)*(B_Drainage!$G$5:$G$204&lt;&gt;"")),IF(UPPER(B_Drainage!$G$5:$G$204)="Y",1,"")),"")</f>
        <v/>
      </c>
      <c r="Y180" s="181" t="str">
        <f>IFERROR(LOOKUP(2,1/((B_Drainage!$A$5:$A$204&lt;&gt;"")*(B_Drainage!$A$5:$A$204&lt;=$B180)*(B_Drainage!$B$5:$B$204&gt;$B180)*(B_Drainage!$H$5:$H$204&lt;&gt;"")),IF(UPPER(B_Drainage!$H$5:$H$204)="Y",1,"")),"")</f>
        <v/>
      </c>
      <c r="Z180" s="181" t="str">
        <f>IFERROR(LOOKUP(2,1/((B_Drainage!$A$5:$A$204&lt;&gt;"")*(B_Drainage!$A$5:$A$204&lt;=$B180)*(B_Drainage!$B$5:$B$204&gt;$B180)*(B_Drainage!$I$5:$I$204&lt;&gt;"")),IF(UPPER(B_Drainage!$I$5:$I$204)="Y",1,"")),"")</f>
        <v/>
      </c>
      <c r="AA180" s="181" t="str">
        <f>IFERROR(LOOKUP(2,1/((B_Drainage!$A$5:$A$204&lt;&gt;"")*(B_Drainage!$A$5:$A$204&lt;=$B180)*(B_Drainage!$B$5:$B$204&gt;$B180)*(B_Drainage!$J$5:$J$204&lt;&gt;"")),IF(UPPER(B_Drainage!$J$5:$J$204)="Y",1,"")),"")</f>
        <v/>
      </c>
      <c r="AB180" s="182" t="str">
        <f>IFERROR(LOOKUP(2,1/((B_Drainage!$A$5:$A$204&lt;&gt;"")*(B_Drainage!$A$5:$A$204&lt;=$B180)*(B_Drainage!$B$5:$B$204&gt;$B180)*(B_Drainage!$K$5:$K$204&lt;&gt;"")),IF(B_Drainage!$K$5:$K$204="-","",B_Drainage!$K$5:$K$204)),"")</f>
        <v/>
      </c>
      <c r="AC180" s="182" t="str">
        <f>IFERROR(LOOKUP(2,1/((B_Drainage!$A$5:$A$204&lt;&gt;"")*(B_Drainage!$A$5:$A$204&lt;=$B180)*(B_Drainage!$B$5:$B$204&gt;$B180)*(B_Drainage!$L$5:$L$204&lt;&gt;"")),IF(B_Drainage!$L$5:$L$204="-","",B_Drainage!$L$5:$L$204)),"")</f>
        <v/>
      </c>
      <c r="AD180" s="182" t="str">
        <f>IFERROR(LOOKUP(2,1/((D_Points!$A$5:$A$204&lt;&gt;"")*(D_Points!$A$5:$A$204&gt;=$B180)*(D_Points!$A$5:$A$204&lt;$B180+P_Interval)*(UPPER(TRIM(D_Points!$B$5:$B$204))="TURNOUT_L")*(D_Points!$H$5:$H$204&lt;&gt;"")),D_Points!$H$5:$H$204),"")</f>
        <v/>
      </c>
      <c r="AE180" s="182" t="str">
        <f>IFERROR(LOOKUP(2,1/((D_Points!$A$5:$A$204&lt;&gt;"")*(D_Points!$A$5:$A$204&gt;=$B180)*(D_Points!$A$5:$A$204&lt;$B180+P_Interval)*(UPPER(TRIM(D_Points!$B$5:$B$204))="TURNOUT_R")*(D_Points!$H$5:$H$204&lt;&gt;"")),D_Points!$H$5:$H$204),"")</f>
        <v/>
      </c>
      <c r="AF180" s="181" t="str">
        <f>IFERROR(LOOKUP(2,1/((B_Drainage!$A$5:$A$204&lt;&gt;"")*(B_Drainage!$A$5:$A$204&lt;=$B180)*(B_Drainage!$B$5:$B$204&gt;$B180)*(B_Drainage!$M$5:$M$204&lt;&gt;"")),IF(UPPER(B_Drainage!$M$5:$M$204)="Y",1,"")),"")</f>
        <v/>
      </c>
      <c r="AG180" s="181" t="str">
        <f>IFERROR(LOOKUP(2,1/((B_Drainage!$A$5:$A$204&lt;&gt;"")*(B_Drainage!$A$5:$A$204&lt;=$B180)*(B_Drainage!$B$5:$B$204&gt;$B180)*(B_Drainage!$N$5:$N$204&lt;&gt;"")),IF(UPPER(B_Drainage!$N$5:$N$204)="Y",1,"")),"")</f>
        <v/>
      </c>
      <c r="AH180" s="181" t="str">
        <f t="shared" si="16"/>
        <v/>
      </c>
      <c r="AI180" s="181" t="str">
        <f t="shared" si="17"/>
        <v/>
      </c>
      <c r="AJ180" s="181" t="str">
        <f t="shared" si="18"/>
        <v/>
      </c>
      <c r="AK180" s="181" t="str">
        <f t="shared" si="19"/>
        <v/>
      </c>
      <c r="AL180" s="181" t="str">
        <f t="shared" si="20"/>
        <v/>
      </c>
      <c r="AM180" s="181" t="str">
        <f t="shared" si="21"/>
        <v/>
      </c>
      <c r="AN180" s="181" t="str">
        <f t="shared" si="22"/>
        <v/>
      </c>
      <c r="AO180" s="192" t="str">
        <f t="shared" si="23"/>
        <v/>
      </c>
      <c r="AQ180" t="str">
        <f>IFERROR(LOOKUP(2,1/((C_Pavement!$A$5:$A$204&lt;&gt;"")*(C_Pavement!$A$5:$A$204&lt;=$B180)*(C_Pavement!$B$5:$B$204&gt;$B180)*(C_Pavement!$C$5:$C$204&lt;&gt;"")),ROW(C_Pavement!$C$5:$C$204)-4),"")</f>
        <v/>
      </c>
      <c r="AR180" t="str">
        <f>IF($AQ180="","",UPPER(TRIM(INDEX(C_Pavement!$C$5:$C$204,$AQ180))))</f>
        <v/>
      </c>
      <c r="AS180" t="str">
        <f>IF($AR180="","",IFERROR(MATCH($AR180,E_Rules!$A$5:$A$9,0),""))</f>
        <v/>
      </c>
      <c r="AT180" t="str">
        <f>IF($AQ180="","",IF(INDEX(C_Pavement!$D$5:$D$204,$AQ180)&lt;&gt;"",UPPER(TRIM(INDEX(C_Pavement!$D$5:$D$204,$AQ180))),IF($AS180="","",INDEX(E_Rules!$C$5:$C$9,$AS180))))</f>
        <v/>
      </c>
      <c r="AU180" t="str">
        <f>IF($AQ180="","",IF(INDEX(C_Pavement!$E$5:$E$204,$AQ180)&lt;&gt;"",IF(INDEX(C_Pavement!$E$5:$E$204,$AQ180)="-","",INDEX(C_Pavement!$E$5:$E$204,$AQ180)),IF($AS180="","",INDEX(E_Rules!$D$5:$D$9,$AS180))))</f>
        <v/>
      </c>
      <c r="AV180" t="str">
        <f>IF($AQ180="","",IF(INDEX(C_Pavement!$F$5:$F$204,$AQ180)&lt;&gt;"",IF(INDEX(C_Pavement!$F$5:$F$204,$AQ180)="-","",INDEX(C_Pavement!$F$5:$F$204,$AQ180)),IF($AS180="","",INDEX(E_Rules!$E$5:$E$9,$AS180))))</f>
        <v/>
      </c>
      <c r="AW180" t="str">
        <f>IF($AQ180="","",IF(INDEX(C_Pavement!$G$5:$G$204,$AQ180)&lt;&gt;"",IF(INDEX(C_Pavement!$G$5:$G$204,$AQ180)="-","",INDEX(C_Pavement!$G$5:$G$204,$AQ180)),IF($AS180="","",INDEX(E_Rules!$F$5:$F$9,$AS180))))</f>
        <v/>
      </c>
      <c r="AX180" t="str">
        <f>IF($AQ180="","",IF(INDEX(C_Pavement!$H$5:$H$204,$AQ180)&lt;&gt;"",IF(INDEX(C_Pavement!$H$5:$H$204,$AQ180)="-","",INDEX(C_Pavement!$H$5:$H$204,$AQ180)),IF($AS180="","",INDEX(E_Rules!$G$5:$G$9,$AS180))))</f>
        <v/>
      </c>
      <c r="AY180" t="str">
        <f>IF($AQ180="","",IF(INDEX(C_Pavement!$I$5:$I$204,$AQ180)&lt;&gt;"",IF(INDEX(C_Pavement!$I$5:$I$204,$AQ180)="-","",INDEX(C_Pavement!$I$5:$I$204,$AQ180)),IF($AS180="","",INDEX(E_Rules!$H$5:$H$9,$AS180))))</f>
        <v/>
      </c>
    </row>
    <row r="181" spans="1:51" ht="15.75" customHeight="1" x14ac:dyDescent="0.3">
      <c r="A181" s="189">
        <v>176</v>
      </c>
      <c r="B181" s="180">
        <v>8750</v>
      </c>
      <c r="C181" s="180" t="s">
        <v>487</v>
      </c>
      <c r="D181" s="181" t="str">
        <f>IFERROR(LOOKUP(2,1/((A_Corridor!$A$5:$A$204&lt;&gt;"")*(A_Corridor!$A$5:$A$204&lt;=$B181)*(A_Corridor!$B$5:$B$204&gt;$B181)*(A_Corridor!$C$5:$C$204&lt;&gt;"")),IF(UPPER(A_Corridor!$C$5:$C$204)="Y",1,"")),"")</f>
        <v/>
      </c>
      <c r="E181" s="181" t="str">
        <f>IFERROR(LOOKUP(2,1/((A_Corridor!$A$5:$A$204&lt;&gt;"")*(A_Corridor!$A$5:$A$204&lt;=$B181)*(A_Corridor!$B$5:$B$204&gt;$B181)*(A_Corridor!$D$5:$D$204&lt;&gt;"")),IF(A_Corridor!$D$5:$D$204="-","",UPPER(A_Corridor!$D$5:$D$204))),"")</f>
        <v/>
      </c>
      <c r="F181" s="181" t="str">
        <f>IFERROR(LOOKUP(2,1/((A_Corridor!$A$5:$A$204&lt;&gt;"")*(A_Corridor!$A$5:$A$204&lt;=$B181)*(A_Corridor!$B$5:$B$204&gt;$B181)*(A_Corridor!$E$5:$E$204&lt;&gt;"")),IF(A_Corridor!$E$5:$E$204="-","",1)),"")</f>
        <v/>
      </c>
      <c r="G181" s="182" t="str">
        <f>IFERROR(LOOKUP(2,1/((A_Corridor!$A$5:$A$204&lt;&gt;"")*(A_Corridor!$A$5:$A$204&lt;=$B181)*(A_Corridor!$B$5:$B$204&gt;$B181)*(A_Corridor!$E$5:$E$204&lt;&gt;"")),IF(A_Corridor!$E$5:$E$204="-","",A_Corridor!$E$5:$E$204)),"")</f>
        <v/>
      </c>
      <c r="H181" s="182" t="str">
        <f>IFERROR(LOOKUP(2,1/((D_Points!$A$5:$A$204&lt;&gt;"")*(D_Points!$A$5:$A$204&gt;=$B181)*(D_Points!$A$5:$A$204&lt;$B181+P_Interval)*(UPPER(TRIM(D_Points!$B$5:$B$204))="GULLY")*(D_Points!$H$5:$H$204&lt;&gt;"")),D_Points!$H$5:$H$204),"")</f>
        <v/>
      </c>
      <c r="I181" s="181" t="str">
        <f>IFERROR(LOOKUP(2,1/((A_Corridor!$A$5:$A$204&lt;&gt;"")*(A_Corridor!$A$5:$A$204&lt;=$B181)*(A_Corridor!$B$5:$B$204&gt;$B181)*(A_Corridor!$F$5:$F$204&lt;&gt;"")),IF(A_Corridor!$F$5:$F$204="-","",1)),"")</f>
        <v/>
      </c>
      <c r="J181" s="182" t="str">
        <f>IFERROR(LOOKUP(2,1/((A_Corridor!$A$5:$A$204&lt;&gt;"")*(A_Corridor!$A$5:$A$204&lt;=$B181)*(A_Corridor!$B$5:$B$204&gt;$B181)*(A_Corridor!$F$5:$F$204&lt;&gt;"")),IF(A_Corridor!$F$5:$F$204="-","",A_Corridor!$F$5:$F$204)),"")</f>
        <v/>
      </c>
      <c r="K181" s="182" t="str">
        <f>IFERROR(LOOKUP(2,1/((A_Corridor!$A$5:$A$204&lt;&gt;"")*(A_Corridor!$A$5:$A$204&lt;=$B181)*(A_Corridor!$B$5:$B$204&gt;$B181)*(A_Corridor!$G$5:$G$204&lt;&gt;"")),IF(A_Corridor!$G$5:$G$204="-","",A_Corridor!$G$5:$G$204)),"")</f>
        <v/>
      </c>
      <c r="L181" s="181" t="str">
        <f>IFERROR(LOOKUP(2,1/((A_Corridor!$A$5:$A$204&lt;&gt;"")*(A_Corridor!$A$5:$A$204&lt;=$B181)*(A_Corridor!$B$5:$B$204&gt;$B181)*(A_Corridor!$H$5:$H$204&lt;&gt;"")),IF(A_Corridor!$H$5:$H$204="-","",1)),"")</f>
        <v/>
      </c>
      <c r="M181" s="182" t="str">
        <f>IFERROR(LOOKUP(2,1/((A_Corridor!$A$5:$A$204&lt;&gt;"")*(A_Corridor!$A$5:$A$204&lt;=$B181)*(A_Corridor!$B$5:$B$204&gt;$B181)*(A_Corridor!$H$5:$H$204&lt;&gt;"")),IF(A_Corridor!$H$5:$H$204="-","",A_Corridor!$H$5:$H$204)),"")</f>
        <v/>
      </c>
      <c r="N181" s="182" t="str">
        <f>IFERROR(LOOKUP(2,1/((A_Corridor!$A$5:$A$204&lt;&gt;"")*(A_Corridor!$A$5:$A$204&lt;=$B181)*(A_Corridor!$B$5:$B$204&gt;$B181)*(A_Corridor!$I$5:$I$204&lt;&gt;"")),IF(A_Corridor!$I$5:$I$204="-","",A_Corridor!$I$5:$I$204)),"")</f>
        <v/>
      </c>
      <c r="O181" s="182" t="str">
        <f>IFERROR(LOOKUP(2,1/((D_Points!$A$5:$A$204&lt;&gt;"")*(D_Points!$A$5:$A$204&gt;=$B181)*(D_Points!$A$5:$A$204&lt;$B181+P_Interval)*(UPPER(TRIM(D_Points!$B$5:$B$204))="PITCHING")*(D_Points!$H$5:$H$204&lt;&gt;"")),D_Points!$H$5:$H$204),"")</f>
        <v/>
      </c>
      <c r="P181" s="181" t="str">
        <f>IFERROR(LOOKUP(2,1/((B_Drainage!$A$5:$A$204&lt;&gt;"")*(B_Drainage!$A$5:$A$204&lt;=$B181)*(B_Drainage!$B$5:$B$204&gt;$B181)*(B_Drainage!$C$5:$C$204&lt;&gt;"")),IF(B_Drainage!$C$5:$C$204="-","",UPPER(B_Drainage!$C$5:$C$204))),"")</f>
        <v/>
      </c>
      <c r="Q181" s="181" t="str">
        <f>IFERROR(LOOKUP(2,1/((B_Drainage!$A$5:$A$204&lt;&gt;"")*(B_Drainage!$A$5:$A$204&lt;=$B181)*(B_Drainage!$B$5:$B$204&gt;$B181)*(B_Drainage!$D$5:$D$204&lt;&gt;"")),IF(B_Drainage!$D$5:$D$204="-","",UPPER(B_Drainage!$D$5:$D$204))),"")</f>
        <v/>
      </c>
      <c r="R181" s="182" t="str">
        <f>IFERROR(LOOKUP(2,1/((D_Points!$A$5:$A$204&lt;&gt;"")*(D_Points!$A$5:$A$204&gt;=$B181)*(D_Points!$A$5:$A$204&lt;$B181+P_Interval)*(RIGHT(UPPER(TRIM(D_Points!$B$5:$B$204)),8)="_CULVERT")),IF(LEFT(UPPER(TRIM(D_Points!$B$5:$B$204)),2)="EX",1,IF(LEFT(UPPER(TRIM(D_Points!$B$5:$B$204)),2)="PR",2,3))),"")</f>
        <v/>
      </c>
      <c r="S181" s="182" t="str">
        <f>IFERROR(LOOKUP(2,1/((D_Points!$A$5:$A$204&lt;&gt;"")*(D_Points!$A$5:$A$204&gt;=$B181)*(D_Points!$A$5:$A$204&lt;$B181+P_Interval)*(RIGHT(UPPER(TRIM(D_Points!$B$5:$B$204)),7)="_BRIDGE")),IF(LEFT(UPPER(TRIM(D_Points!$B$5:$B$204)),2)="EX",1,IF(LEFT(UPPER(TRIM(D_Points!$B$5:$B$204)),2)="PR",2,2))),"")</f>
        <v/>
      </c>
      <c r="T181" s="181" t="str">
        <f>IFERROR(LOOKUP(2,1/((B_Drainage!$A$5:$A$204&lt;&gt;"")*(B_Drainage!$A$5:$A$204&lt;=$B181)*(B_Drainage!$B$5:$B$204&gt;$B181)*(B_Drainage!$E$5:$E$204&lt;&gt;"")),IF(B_Drainage!$E$5:$E$204="-","",1)),"")</f>
        <v/>
      </c>
      <c r="U181" s="181" t="str">
        <f>IFERROR(LOOKUP(2,1/((B_Drainage!$A$5:$A$204&lt;&gt;"")*(B_Drainage!$A$5:$A$204&lt;=$B181)*(B_Drainage!$B$5:$B$204&gt;$B181)*(B_Drainage!$E$5:$E$204&lt;&gt;"")),IF(B_Drainage!$E$5:$E$204="-","",B_Drainage!$E$5:$E$204)),"")</f>
        <v/>
      </c>
      <c r="V181" s="181" t="str">
        <f>IFERROR(LOOKUP(2,1/((B_Drainage!$A$5:$A$204&lt;&gt;"")*(B_Drainage!$A$5:$A$204&lt;=$B181)*(B_Drainage!$B$5:$B$204&gt;$B181)*(B_Drainage!$F$5:$F$204&lt;&gt;"")),IF(B_Drainage!$F$5:$F$204="-","",1)),"")</f>
        <v/>
      </c>
      <c r="W181" s="181" t="str">
        <f>IFERROR(LOOKUP(2,1/((B_Drainage!$A$5:$A$204&lt;&gt;"")*(B_Drainage!$A$5:$A$204&lt;=$B181)*(B_Drainage!$B$5:$B$204&gt;$B181)*(B_Drainage!$F$5:$F$204&lt;&gt;"")),IF(B_Drainage!$F$5:$F$204="-","",B_Drainage!$F$5:$F$204)),"")</f>
        <v/>
      </c>
      <c r="X181" s="181" t="str">
        <f>IFERROR(LOOKUP(2,1/((B_Drainage!$A$5:$A$204&lt;&gt;"")*(B_Drainage!$A$5:$A$204&lt;=$B181)*(B_Drainage!$B$5:$B$204&gt;$B181)*(B_Drainage!$G$5:$G$204&lt;&gt;"")),IF(UPPER(B_Drainage!$G$5:$G$204)="Y",1,"")),"")</f>
        <v/>
      </c>
      <c r="Y181" s="181" t="str">
        <f>IFERROR(LOOKUP(2,1/((B_Drainage!$A$5:$A$204&lt;&gt;"")*(B_Drainage!$A$5:$A$204&lt;=$B181)*(B_Drainage!$B$5:$B$204&gt;$B181)*(B_Drainage!$H$5:$H$204&lt;&gt;"")),IF(UPPER(B_Drainage!$H$5:$H$204)="Y",1,"")),"")</f>
        <v/>
      </c>
      <c r="Z181" s="181" t="str">
        <f>IFERROR(LOOKUP(2,1/((B_Drainage!$A$5:$A$204&lt;&gt;"")*(B_Drainage!$A$5:$A$204&lt;=$B181)*(B_Drainage!$B$5:$B$204&gt;$B181)*(B_Drainage!$I$5:$I$204&lt;&gt;"")),IF(UPPER(B_Drainage!$I$5:$I$204)="Y",1,"")),"")</f>
        <v/>
      </c>
      <c r="AA181" s="181" t="str">
        <f>IFERROR(LOOKUP(2,1/((B_Drainage!$A$5:$A$204&lt;&gt;"")*(B_Drainage!$A$5:$A$204&lt;=$B181)*(B_Drainage!$B$5:$B$204&gt;$B181)*(B_Drainage!$J$5:$J$204&lt;&gt;"")),IF(UPPER(B_Drainage!$J$5:$J$204)="Y",1,"")),"")</f>
        <v/>
      </c>
      <c r="AB181" s="182" t="str">
        <f>IFERROR(LOOKUP(2,1/((B_Drainage!$A$5:$A$204&lt;&gt;"")*(B_Drainage!$A$5:$A$204&lt;=$B181)*(B_Drainage!$B$5:$B$204&gt;$B181)*(B_Drainage!$K$5:$K$204&lt;&gt;"")),IF(B_Drainage!$K$5:$K$204="-","",B_Drainage!$K$5:$K$204)),"")</f>
        <v/>
      </c>
      <c r="AC181" s="182" t="str">
        <f>IFERROR(LOOKUP(2,1/((B_Drainage!$A$5:$A$204&lt;&gt;"")*(B_Drainage!$A$5:$A$204&lt;=$B181)*(B_Drainage!$B$5:$B$204&gt;$B181)*(B_Drainage!$L$5:$L$204&lt;&gt;"")),IF(B_Drainage!$L$5:$L$204="-","",B_Drainage!$L$5:$L$204)),"")</f>
        <v/>
      </c>
      <c r="AD181" s="182" t="str">
        <f>IFERROR(LOOKUP(2,1/((D_Points!$A$5:$A$204&lt;&gt;"")*(D_Points!$A$5:$A$204&gt;=$B181)*(D_Points!$A$5:$A$204&lt;$B181+P_Interval)*(UPPER(TRIM(D_Points!$B$5:$B$204))="TURNOUT_L")*(D_Points!$H$5:$H$204&lt;&gt;"")),D_Points!$H$5:$H$204),"")</f>
        <v/>
      </c>
      <c r="AE181" s="182" t="str">
        <f>IFERROR(LOOKUP(2,1/((D_Points!$A$5:$A$204&lt;&gt;"")*(D_Points!$A$5:$A$204&gt;=$B181)*(D_Points!$A$5:$A$204&lt;$B181+P_Interval)*(UPPER(TRIM(D_Points!$B$5:$B$204))="TURNOUT_R")*(D_Points!$H$5:$H$204&lt;&gt;"")),D_Points!$H$5:$H$204),"")</f>
        <v/>
      </c>
      <c r="AF181" s="181" t="str">
        <f>IFERROR(LOOKUP(2,1/((B_Drainage!$A$5:$A$204&lt;&gt;"")*(B_Drainage!$A$5:$A$204&lt;=$B181)*(B_Drainage!$B$5:$B$204&gt;$B181)*(B_Drainage!$M$5:$M$204&lt;&gt;"")),IF(UPPER(B_Drainage!$M$5:$M$204)="Y",1,"")),"")</f>
        <v/>
      </c>
      <c r="AG181" s="181" t="str">
        <f>IFERROR(LOOKUP(2,1/((B_Drainage!$A$5:$A$204&lt;&gt;"")*(B_Drainage!$A$5:$A$204&lt;=$B181)*(B_Drainage!$B$5:$B$204&gt;$B181)*(B_Drainage!$N$5:$N$204&lt;&gt;"")),IF(UPPER(B_Drainage!$N$5:$N$204)="Y",1,"")),"")</f>
        <v/>
      </c>
      <c r="AH181" s="181" t="str">
        <f t="shared" si="16"/>
        <v/>
      </c>
      <c r="AI181" s="181" t="str">
        <f t="shared" si="17"/>
        <v/>
      </c>
      <c r="AJ181" s="181" t="str">
        <f t="shared" si="18"/>
        <v/>
      </c>
      <c r="AK181" s="181" t="str">
        <f t="shared" si="19"/>
        <v/>
      </c>
      <c r="AL181" s="181" t="str">
        <f t="shared" si="20"/>
        <v/>
      </c>
      <c r="AM181" s="181" t="str">
        <f t="shared" si="21"/>
        <v/>
      </c>
      <c r="AN181" s="181" t="str">
        <f t="shared" si="22"/>
        <v/>
      </c>
      <c r="AO181" s="192" t="str">
        <f t="shared" si="23"/>
        <v/>
      </c>
      <c r="AQ181" t="str">
        <f>IFERROR(LOOKUP(2,1/((C_Pavement!$A$5:$A$204&lt;&gt;"")*(C_Pavement!$A$5:$A$204&lt;=$B181)*(C_Pavement!$B$5:$B$204&gt;$B181)*(C_Pavement!$C$5:$C$204&lt;&gt;"")),ROW(C_Pavement!$C$5:$C$204)-4),"")</f>
        <v/>
      </c>
      <c r="AR181" t="str">
        <f>IF($AQ181="","",UPPER(TRIM(INDEX(C_Pavement!$C$5:$C$204,$AQ181))))</f>
        <v/>
      </c>
      <c r="AS181" t="str">
        <f>IF($AR181="","",IFERROR(MATCH($AR181,E_Rules!$A$5:$A$9,0),""))</f>
        <v/>
      </c>
      <c r="AT181" t="str">
        <f>IF($AQ181="","",IF(INDEX(C_Pavement!$D$5:$D$204,$AQ181)&lt;&gt;"",UPPER(TRIM(INDEX(C_Pavement!$D$5:$D$204,$AQ181))),IF($AS181="","",INDEX(E_Rules!$C$5:$C$9,$AS181))))</f>
        <v/>
      </c>
      <c r="AU181" t="str">
        <f>IF($AQ181="","",IF(INDEX(C_Pavement!$E$5:$E$204,$AQ181)&lt;&gt;"",IF(INDEX(C_Pavement!$E$5:$E$204,$AQ181)="-","",INDEX(C_Pavement!$E$5:$E$204,$AQ181)),IF($AS181="","",INDEX(E_Rules!$D$5:$D$9,$AS181))))</f>
        <v/>
      </c>
      <c r="AV181" t="str">
        <f>IF($AQ181="","",IF(INDEX(C_Pavement!$F$5:$F$204,$AQ181)&lt;&gt;"",IF(INDEX(C_Pavement!$F$5:$F$204,$AQ181)="-","",INDEX(C_Pavement!$F$5:$F$204,$AQ181)),IF($AS181="","",INDEX(E_Rules!$E$5:$E$9,$AS181))))</f>
        <v/>
      </c>
      <c r="AW181" t="str">
        <f>IF($AQ181="","",IF(INDEX(C_Pavement!$G$5:$G$204,$AQ181)&lt;&gt;"",IF(INDEX(C_Pavement!$G$5:$G$204,$AQ181)="-","",INDEX(C_Pavement!$G$5:$G$204,$AQ181)),IF($AS181="","",INDEX(E_Rules!$F$5:$F$9,$AS181))))</f>
        <v/>
      </c>
      <c r="AX181" t="str">
        <f>IF($AQ181="","",IF(INDEX(C_Pavement!$H$5:$H$204,$AQ181)&lt;&gt;"",IF(INDEX(C_Pavement!$H$5:$H$204,$AQ181)="-","",INDEX(C_Pavement!$H$5:$H$204,$AQ181)),IF($AS181="","",INDEX(E_Rules!$G$5:$G$9,$AS181))))</f>
        <v/>
      </c>
      <c r="AY181" t="str">
        <f>IF($AQ181="","",IF(INDEX(C_Pavement!$I$5:$I$204,$AQ181)&lt;&gt;"",IF(INDEX(C_Pavement!$I$5:$I$204,$AQ181)="-","",INDEX(C_Pavement!$I$5:$I$204,$AQ181)),IF($AS181="","",INDEX(E_Rules!$H$5:$H$9,$AS181))))</f>
        <v/>
      </c>
    </row>
    <row r="182" spans="1:51" ht="15.75" customHeight="1" x14ac:dyDescent="0.3">
      <c r="A182" s="189">
        <v>177</v>
      </c>
      <c r="B182" s="180">
        <v>8800</v>
      </c>
      <c r="C182" s="180" t="s">
        <v>488</v>
      </c>
      <c r="D182" s="181" t="str">
        <f>IFERROR(LOOKUP(2,1/((A_Corridor!$A$5:$A$204&lt;&gt;"")*(A_Corridor!$A$5:$A$204&lt;=$B182)*(A_Corridor!$B$5:$B$204&gt;$B182)*(A_Corridor!$C$5:$C$204&lt;&gt;"")),IF(UPPER(A_Corridor!$C$5:$C$204)="Y",1,"")),"")</f>
        <v/>
      </c>
      <c r="E182" s="181" t="str">
        <f>IFERROR(LOOKUP(2,1/((A_Corridor!$A$5:$A$204&lt;&gt;"")*(A_Corridor!$A$5:$A$204&lt;=$B182)*(A_Corridor!$B$5:$B$204&gt;$B182)*(A_Corridor!$D$5:$D$204&lt;&gt;"")),IF(A_Corridor!$D$5:$D$204="-","",UPPER(A_Corridor!$D$5:$D$204))),"")</f>
        <v/>
      </c>
      <c r="F182" s="181" t="str">
        <f>IFERROR(LOOKUP(2,1/((A_Corridor!$A$5:$A$204&lt;&gt;"")*(A_Corridor!$A$5:$A$204&lt;=$B182)*(A_Corridor!$B$5:$B$204&gt;$B182)*(A_Corridor!$E$5:$E$204&lt;&gt;"")),IF(A_Corridor!$E$5:$E$204="-","",1)),"")</f>
        <v/>
      </c>
      <c r="G182" s="182" t="str">
        <f>IFERROR(LOOKUP(2,1/((A_Corridor!$A$5:$A$204&lt;&gt;"")*(A_Corridor!$A$5:$A$204&lt;=$B182)*(A_Corridor!$B$5:$B$204&gt;$B182)*(A_Corridor!$E$5:$E$204&lt;&gt;"")),IF(A_Corridor!$E$5:$E$204="-","",A_Corridor!$E$5:$E$204)),"")</f>
        <v/>
      </c>
      <c r="H182" s="182" t="str">
        <f>IFERROR(LOOKUP(2,1/((D_Points!$A$5:$A$204&lt;&gt;"")*(D_Points!$A$5:$A$204&gt;=$B182)*(D_Points!$A$5:$A$204&lt;$B182+P_Interval)*(UPPER(TRIM(D_Points!$B$5:$B$204))="GULLY")*(D_Points!$H$5:$H$204&lt;&gt;"")),D_Points!$H$5:$H$204),"")</f>
        <v/>
      </c>
      <c r="I182" s="181" t="str">
        <f>IFERROR(LOOKUP(2,1/((A_Corridor!$A$5:$A$204&lt;&gt;"")*(A_Corridor!$A$5:$A$204&lt;=$B182)*(A_Corridor!$B$5:$B$204&gt;$B182)*(A_Corridor!$F$5:$F$204&lt;&gt;"")),IF(A_Corridor!$F$5:$F$204="-","",1)),"")</f>
        <v/>
      </c>
      <c r="J182" s="182" t="str">
        <f>IFERROR(LOOKUP(2,1/((A_Corridor!$A$5:$A$204&lt;&gt;"")*(A_Corridor!$A$5:$A$204&lt;=$B182)*(A_Corridor!$B$5:$B$204&gt;$B182)*(A_Corridor!$F$5:$F$204&lt;&gt;"")),IF(A_Corridor!$F$5:$F$204="-","",A_Corridor!$F$5:$F$204)),"")</f>
        <v/>
      </c>
      <c r="K182" s="182" t="str">
        <f>IFERROR(LOOKUP(2,1/((A_Corridor!$A$5:$A$204&lt;&gt;"")*(A_Corridor!$A$5:$A$204&lt;=$B182)*(A_Corridor!$B$5:$B$204&gt;$B182)*(A_Corridor!$G$5:$G$204&lt;&gt;"")),IF(A_Corridor!$G$5:$G$204="-","",A_Corridor!$G$5:$G$204)),"")</f>
        <v/>
      </c>
      <c r="L182" s="181" t="str">
        <f>IFERROR(LOOKUP(2,1/((A_Corridor!$A$5:$A$204&lt;&gt;"")*(A_Corridor!$A$5:$A$204&lt;=$B182)*(A_Corridor!$B$5:$B$204&gt;$B182)*(A_Corridor!$H$5:$H$204&lt;&gt;"")),IF(A_Corridor!$H$5:$H$204="-","",1)),"")</f>
        <v/>
      </c>
      <c r="M182" s="182" t="str">
        <f>IFERROR(LOOKUP(2,1/((A_Corridor!$A$5:$A$204&lt;&gt;"")*(A_Corridor!$A$5:$A$204&lt;=$B182)*(A_Corridor!$B$5:$B$204&gt;$B182)*(A_Corridor!$H$5:$H$204&lt;&gt;"")),IF(A_Corridor!$H$5:$H$204="-","",A_Corridor!$H$5:$H$204)),"")</f>
        <v/>
      </c>
      <c r="N182" s="182" t="str">
        <f>IFERROR(LOOKUP(2,1/((A_Corridor!$A$5:$A$204&lt;&gt;"")*(A_Corridor!$A$5:$A$204&lt;=$B182)*(A_Corridor!$B$5:$B$204&gt;$B182)*(A_Corridor!$I$5:$I$204&lt;&gt;"")),IF(A_Corridor!$I$5:$I$204="-","",A_Corridor!$I$5:$I$204)),"")</f>
        <v/>
      </c>
      <c r="O182" s="182" t="str">
        <f>IFERROR(LOOKUP(2,1/((D_Points!$A$5:$A$204&lt;&gt;"")*(D_Points!$A$5:$A$204&gt;=$B182)*(D_Points!$A$5:$A$204&lt;$B182+P_Interval)*(UPPER(TRIM(D_Points!$B$5:$B$204))="PITCHING")*(D_Points!$H$5:$H$204&lt;&gt;"")),D_Points!$H$5:$H$204),"")</f>
        <v/>
      </c>
      <c r="P182" s="181" t="str">
        <f>IFERROR(LOOKUP(2,1/((B_Drainage!$A$5:$A$204&lt;&gt;"")*(B_Drainage!$A$5:$A$204&lt;=$B182)*(B_Drainage!$B$5:$B$204&gt;$B182)*(B_Drainage!$C$5:$C$204&lt;&gt;"")),IF(B_Drainage!$C$5:$C$204="-","",UPPER(B_Drainage!$C$5:$C$204))),"")</f>
        <v/>
      </c>
      <c r="Q182" s="181" t="str">
        <f>IFERROR(LOOKUP(2,1/((B_Drainage!$A$5:$A$204&lt;&gt;"")*(B_Drainage!$A$5:$A$204&lt;=$B182)*(B_Drainage!$B$5:$B$204&gt;$B182)*(B_Drainage!$D$5:$D$204&lt;&gt;"")),IF(B_Drainage!$D$5:$D$204="-","",UPPER(B_Drainage!$D$5:$D$204))),"")</f>
        <v/>
      </c>
      <c r="R182" s="182" t="str">
        <f>IFERROR(LOOKUP(2,1/((D_Points!$A$5:$A$204&lt;&gt;"")*(D_Points!$A$5:$A$204&gt;=$B182)*(D_Points!$A$5:$A$204&lt;$B182+P_Interval)*(RIGHT(UPPER(TRIM(D_Points!$B$5:$B$204)),8)="_CULVERT")),IF(LEFT(UPPER(TRIM(D_Points!$B$5:$B$204)),2)="EX",1,IF(LEFT(UPPER(TRIM(D_Points!$B$5:$B$204)),2)="PR",2,3))),"")</f>
        <v/>
      </c>
      <c r="S182" s="182" t="str">
        <f>IFERROR(LOOKUP(2,1/((D_Points!$A$5:$A$204&lt;&gt;"")*(D_Points!$A$5:$A$204&gt;=$B182)*(D_Points!$A$5:$A$204&lt;$B182+P_Interval)*(RIGHT(UPPER(TRIM(D_Points!$B$5:$B$204)),7)="_BRIDGE")),IF(LEFT(UPPER(TRIM(D_Points!$B$5:$B$204)),2)="EX",1,IF(LEFT(UPPER(TRIM(D_Points!$B$5:$B$204)),2)="PR",2,2))),"")</f>
        <v/>
      </c>
      <c r="T182" s="181" t="str">
        <f>IFERROR(LOOKUP(2,1/((B_Drainage!$A$5:$A$204&lt;&gt;"")*(B_Drainage!$A$5:$A$204&lt;=$B182)*(B_Drainage!$B$5:$B$204&gt;$B182)*(B_Drainage!$E$5:$E$204&lt;&gt;"")),IF(B_Drainage!$E$5:$E$204="-","",1)),"")</f>
        <v/>
      </c>
      <c r="U182" s="181" t="str">
        <f>IFERROR(LOOKUP(2,1/((B_Drainage!$A$5:$A$204&lt;&gt;"")*(B_Drainage!$A$5:$A$204&lt;=$B182)*(B_Drainage!$B$5:$B$204&gt;$B182)*(B_Drainage!$E$5:$E$204&lt;&gt;"")),IF(B_Drainage!$E$5:$E$204="-","",B_Drainage!$E$5:$E$204)),"")</f>
        <v/>
      </c>
      <c r="V182" s="181" t="str">
        <f>IFERROR(LOOKUP(2,1/((B_Drainage!$A$5:$A$204&lt;&gt;"")*(B_Drainage!$A$5:$A$204&lt;=$B182)*(B_Drainage!$B$5:$B$204&gt;$B182)*(B_Drainage!$F$5:$F$204&lt;&gt;"")),IF(B_Drainage!$F$5:$F$204="-","",1)),"")</f>
        <v/>
      </c>
      <c r="W182" s="181" t="str">
        <f>IFERROR(LOOKUP(2,1/((B_Drainage!$A$5:$A$204&lt;&gt;"")*(B_Drainage!$A$5:$A$204&lt;=$B182)*(B_Drainage!$B$5:$B$204&gt;$B182)*(B_Drainage!$F$5:$F$204&lt;&gt;"")),IF(B_Drainage!$F$5:$F$204="-","",B_Drainage!$F$5:$F$204)),"")</f>
        <v/>
      </c>
      <c r="X182" s="181" t="str">
        <f>IFERROR(LOOKUP(2,1/((B_Drainage!$A$5:$A$204&lt;&gt;"")*(B_Drainage!$A$5:$A$204&lt;=$B182)*(B_Drainage!$B$5:$B$204&gt;$B182)*(B_Drainage!$G$5:$G$204&lt;&gt;"")),IF(UPPER(B_Drainage!$G$5:$G$204)="Y",1,"")),"")</f>
        <v/>
      </c>
      <c r="Y182" s="181" t="str">
        <f>IFERROR(LOOKUP(2,1/((B_Drainage!$A$5:$A$204&lt;&gt;"")*(B_Drainage!$A$5:$A$204&lt;=$B182)*(B_Drainage!$B$5:$B$204&gt;$B182)*(B_Drainage!$H$5:$H$204&lt;&gt;"")),IF(UPPER(B_Drainage!$H$5:$H$204)="Y",1,"")),"")</f>
        <v/>
      </c>
      <c r="Z182" s="181" t="str">
        <f>IFERROR(LOOKUP(2,1/((B_Drainage!$A$5:$A$204&lt;&gt;"")*(B_Drainage!$A$5:$A$204&lt;=$B182)*(B_Drainage!$B$5:$B$204&gt;$B182)*(B_Drainage!$I$5:$I$204&lt;&gt;"")),IF(UPPER(B_Drainage!$I$5:$I$204)="Y",1,"")),"")</f>
        <v/>
      </c>
      <c r="AA182" s="181" t="str">
        <f>IFERROR(LOOKUP(2,1/((B_Drainage!$A$5:$A$204&lt;&gt;"")*(B_Drainage!$A$5:$A$204&lt;=$B182)*(B_Drainage!$B$5:$B$204&gt;$B182)*(B_Drainage!$J$5:$J$204&lt;&gt;"")),IF(UPPER(B_Drainage!$J$5:$J$204)="Y",1,"")),"")</f>
        <v/>
      </c>
      <c r="AB182" s="182" t="str">
        <f>IFERROR(LOOKUP(2,1/((B_Drainage!$A$5:$A$204&lt;&gt;"")*(B_Drainage!$A$5:$A$204&lt;=$B182)*(B_Drainage!$B$5:$B$204&gt;$B182)*(B_Drainage!$K$5:$K$204&lt;&gt;"")),IF(B_Drainage!$K$5:$K$204="-","",B_Drainage!$K$5:$K$204)),"")</f>
        <v/>
      </c>
      <c r="AC182" s="182" t="str">
        <f>IFERROR(LOOKUP(2,1/((B_Drainage!$A$5:$A$204&lt;&gt;"")*(B_Drainage!$A$5:$A$204&lt;=$B182)*(B_Drainage!$B$5:$B$204&gt;$B182)*(B_Drainage!$L$5:$L$204&lt;&gt;"")),IF(B_Drainage!$L$5:$L$204="-","",B_Drainage!$L$5:$L$204)),"")</f>
        <v/>
      </c>
      <c r="AD182" s="182" t="str">
        <f>IFERROR(LOOKUP(2,1/((D_Points!$A$5:$A$204&lt;&gt;"")*(D_Points!$A$5:$A$204&gt;=$B182)*(D_Points!$A$5:$A$204&lt;$B182+P_Interval)*(UPPER(TRIM(D_Points!$B$5:$B$204))="TURNOUT_L")*(D_Points!$H$5:$H$204&lt;&gt;"")),D_Points!$H$5:$H$204),"")</f>
        <v/>
      </c>
      <c r="AE182" s="182" t="str">
        <f>IFERROR(LOOKUP(2,1/((D_Points!$A$5:$A$204&lt;&gt;"")*(D_Points!$A$5:$A$204&gt;=$B182)*(D_Points!$A$5:$A$204&lt;$B182+P_Interval)*(UPPER(TRIM(D_Points!$B$5:$B$204))="TURNOUT_R")*(D_Points!$H$5:$H$204&lt;&gt;"")),D_Points!$H$5:$H$204),"")</f>
        <v/>
      </c>
      <c r="AF182" s="181" t="str">
        <f>IFERROR(LOOKUP(2,1/((B_Drainage!$A$5:$A$204&lt;&gt;"")*(B_Drainage!$A$5:$A$204&lt;=$B182)*(B_Drainage!$B$5:$B$204&gt;$B182)*(B_Drainage!$M$5:$M$204&lt;&gt;"")),IF(UPPER(B_Drainage!$M$5:$M$204)="Y",1,"")),"")</f>
        <v/>
      </c>
      <c r="AG182" s="181" t="str">
        <f>IFERROR(LOOKUP(2,1/((B_Drainage!$A$5:$A$204&lt;&gt;"")*(B_Drainage!$A$5:$A$204&lt;=$B182)*(B_Drainage!$B$5:$B$204&gt;$B182)*(B_Drainage!$N$5:$N$204&lt;&gt;"")),IF(UPPER(B_Drainage!$N$5:$N$204)="Y",1,"")),"")</f>
        <v/>
      </c>
      <c r="AH182" s="181" t="str">
        <f t="shared" si="16"/>
        <v/>
      </c>
      <c r="AI182" s="181" t="str">
        <f t="shared" si="17"/>
        <v/>
      </c>
      <c r="AJ182" s="181" t="str">
        <f t="shared" si="18"/>
        <v/>
      </c>
      <c r="AK182" s="181" t="str">
        <f t="shared" si="19"/>
        <v/>
      </c>
      <c r="AL182" s="181" t="str">
        <f t="shared" si="20"/>
        <v/>
      </c>
      <c r="AM182" s="181" t="str">
        <f t="shared" si="21"/>
        <v/>
      </c>
      <c r="AN182" s="181" t="str">
        <f t="shared" si="22"/>
        <v/>
      </c>
      <c r="AO182" s="192" t="str">
        <f t="shared" si="23"/>
        <v/>
      </c>
      <c r="AQ182" t="str">
        <f>IFERROR(LOOKUP(2,1/((C_Pavement!$A$5:$A$204&lt;&gt;"")*(C_Pavement!$A$5:$A$204&lt;=$B182)*(C_Pavement!$B$5:$B$204&gt;$B182)*(C_Pavement!$C$5:$C$204&lt;&gt;"")),ROW(C_Pavement!$C$5:$C$204)-4),"")</f>
        <v/>
      </c>
      <c r="AR182" t="str">
        <f>IF($AQ182="","",UPPER(TRIM(INDEX(C_Pavement!$C$5:$C$204,$AQ182))))</f>
        <v/>
      </c>
      <c r="AS182" t="str">
        <f>IF($AR182="","",IFERROR(MATCH($AR182,E_Rules!$A$5:$A$9,0),""))</f>
        <v/>
      </c>
      <c r="AT182" t="str">
        <f>IF($AQ182="","",IF(INDEX(C_Pavement!$D$5:$D$204,$AQ182)&lt;&gt;"",UPPER(TRIM(INDEX(C_Pavement!$D$5:$D$204,$AQ182))),IF($AS182="","",INDEX(E_Rules!$C$5:$C$9,$AS182))))</f>
        <v/>
      </c>
      <c r="AU182" t="str">
        <f>IF($AQ182="","",IF(INDEX(C_Pavement!$E$5:$E$204,$AQ182)&lt;&gt;"",IF(INDEX(C_Pavement!$E$5:$E$204,$AQ182)="-","",INDEX(C_Pavement!$E$5:$E$204,$AQ182)),IF($AS182="","",INDEX(E_Rules!$D$5:$D$9,$AS182))))</f>
        <v/>
      </c>
      <c r="AV182" t="str">
        <f>IF($AQ182="","",IF(INDEX(C_Pavement!$F$5:$F$204,$AQ182)&lt;&gt;"",IF(INDEX(C_Pavement!$F$5:$F$204,$AQ182)="-","",INDEX(C_Pavement!$F$5:$F$204,$AQ182)),IF($AS182="","",INDEX(E_Rules!$E$5:$E$9,$AS182))))</f>
        <v/>
      </c>
      <c r="AW182" t="str">
        <f>IF($AQ182="","",IF(INDEX(C_Pavement!$G$5:$G$204,$AQ182)&lt;&gt;"",IF(INDEX(C_Pavement!$G$5:$G$204,$AQ182)="-","",INDEX(C_Pavement!$G$5:$G$204,$AQ182)),IF($AS182="","",INDEX(E_Rules!$F$5:$F$9,$AS182))))</f>
        <v/>
      </c>
      <c r="AX182" t="str">
        <f>IF($AQ182="","",IF(INDEX(C_Pavement!$H$5:$H$204,$AQ182)&lt;&gt;"",IF(INDEX(C_Pavement!$H$5:$H$204,$AQ182)="-","",INDEX(C_Pavement!$H$5:$H$204,$AQ182)),IF($AS182="","",INDEX(E_Rules!$G$5:$G$9,$AS182))))</f>
        <v/>
      </c>
      <c r="AY182" t="str">
        <f>IF($AQ182="","",IF(INDEX(C_Pavement!$I$5:$I$204,$AQ182)&lt;&gt;"",IF(INDEX(C_Pavement!$I$5:$I$204,$AQ182)="-","",INDEX(C_Pavement!$I$5:$I$204,$AQ182)),IF($AS182="","",INDEX(E_Rules!$H$5:$H$9,$AS182))))</f>
        <v/>
      </c>
    </row>
    <row r="183" spans="1:51" ht="15.75" customHeight="1" x14ac:dyDescent="0.3">
      <c r="A183" s="189">
        <v>178</v>
      </c>
      <c r="B183" s="180">
        <v>8850</v>
      </c>
      <c r="C183" s="180" t="s">
        <v>489</v>
      </c>
      <c r="D183" s="181" t="str">
        <f>IFERROR(LOOKUP(2,1/((A_Corridor!$A$5:$A$204&lt;&gt;"")*(A_Corridor!$A$5:$A$204&lt;=$B183)*(A_Corridor!$B$5:$B$204&gt;$B183)*(A_Corridor!$C$5:$C$204&lt;&gt;"")),IF(UPPER(A_Corridor!$C$5:$C$204)="Y",1,"")),"")</f>
        <v/>
      </c>
      <c r="E183" s="181" t="str">
        <f>IFERROR(LOOKUP(2,1/((A_Corridor!$A$5:$A$204&lt;&gt;"")*(A_Corridor!$A$5:$A$204&lt;=$B183)*(A_Corridor!$B$5:$B$204&gt;$B183)*(A_Corridor!$D$5:$D$204&lt;&gt;"")),IF(A_Corridor!$D$5:$D$204="-","",UPPER(A_Corridor!$D$5:$D$204))),"")</f>
        <v/>
      </c>
      <c r="F183" s="181" t="str">
        <f>IFERROR(LOOKUP(2,1/((A_Corridor!$A$5:$A$204&lt;&gt;"")*(A_Corridor!$A$5:$A$204&lt;=$B183)*(A_Corridor!$B$5:$B$204&gt;$B183)*(A_Corridor!$E$5:$E$204&lt;&gt;"")),IF(A_Corridor!$E$5:$E$204="-","",1)),"")</f>
        <v/>
      </c>
      <c r="G183" s="182" t="str">
        <f>IFERROR(LOOKUP(2,1/((A_Corridor!$A$5:$A$204&lt;&gt;"")*(A_Corridor!$A$5:$A$204&lt;=$B183)*(A_Corridor!$B$5:$B$204&gt;$B183)*(A_Corridor!$E$5:$E$204&lt;&gt;"")),IF(A_Corridor!$E$5:$E$204="-","",A_Corridor!$E$5:$E$204)),"")</f>
        <v/>
      </c>
      <c r="H183" s="182" t="str">
        <f>IFERROR(LOOKUP(2,1/((D_Points!$A$5:$A$204&lt;&gt;"")*(D_Points!$A$5:$A$204&gt;=$B183)*(D_Points!$A$5:$A$204&lt;$B183+P_Interval)*(UPPER(TRIM(D_Points!$B$5:$B$204))="GULLY")*(D_Points!$H$5:$H$204&lt;&gt;"")),D_Points!$H$5:$H$204),"")</f>
        <v/>
      </c>
      <c r="I183" s="181" t="str">
        <f>IFERROR(LOOKUP(2,1/((A_Corridor!$A$5:$A$204&lt;&gt;"")*(A_Corridor!$A$5:$A$204&lt;=$B183)*(A_Corridor!$B$5:$B$204&gt;$B183)*(A_Corridor!$F$5:$F$204&lt;&gt;"")),IF(A_Corridor!$F$5:$F$204="-","",1)),"")</f>
        <v/>
      </c>
      <c r="J183" s="182" t="str">
        <f>IFERROR(LOOKUP(2,1/((A_Corridor!$A$5:$A$204&lt;&gt;"")*(A_Corridor!$A$5:$A$204&lt;=$B183)*(A_Corridor!$B$5:$B$204&gt;$B183)*(A_Corridor!$F$5:$F$204&lt;&gt;"")),IF(A_Corridor!$F$5:$F$204="-","",A_Corridor!$F$5:$F$204)),"")</f>
        <v/>
      </c>
      <c r="K183" s="182" t="str">
        <f>IFERROR(LOOKUP(2,1/((A_Corridor!$A$5:$A$204&lt;&gt;"")*(A_Corridor!$A$5:$A$204&lt;=$B183)*(A_Corridor!$B$5:$B$204&gt;$B183)*(A_Corridor!$G$5:$G$204&lt;&gt;"")),IF(A_Corridor!$G$5:$G$204="-","",A_Corridor!$G$5:$G$204)),"")</f>
        <v/>
      </c>
      <c r="L183" s="181" t="str">
        <f>IFERROR(LOOKUP(2,1/((A_Corridor!$A$5:$A$204&lt;&gt;"")*(A_Corridor!$A$5:$A$204&lt;=$B183)*(A_Corridor!$B$5:$B$204&gt;$B183)*(A_Corridor!$H$5:$H$204&lt;&gt;"")),IF(A_Corridor!$H$5:$H$204="-","",1)),"")</f>
        <v/>
      </c>
      <c r="M183" s="182" t="str">
        <f>IFERROR(LOOKUP(2,1/((A_Corridor!$A$5:$A$204&lt;&gt;"")*(A_Corridor!$A$5:$A$204&lt;=$B183)*(A_Corridor!$B$5:$B$204&gt;$B183)*(A_Corridor!$H$5:$H$204&lt;&gt;"")),IF(A_Corridor!$H$5:$H$204="-","",A_Corridor!$H$5:$H$204)),"")</f>
        <v/>
      </c>
      <c r="N183" s="182" t="str">
        <f>IFERROR(LOOKUP(2,1/((A_Corridor!$A$5:$A$204&lt;&gt;"")*(A_Corridor!$A$5:$A$204&lt;=$B183)*(A_Corridor!$B$5:$B$204&gt;$B183)*(A_Corridor!$I$5:$I$204&lt;&gt;"")),IF(A_Corridor!$I$5:$I$204="-","",A_Corridor!$I$5:$I$204)),"")</f>
        <v/>
      </c>
      <c r="O183" s="182" t="str">
        <f>IFERROR(LOOKUP(2,1/((D_Points!$A$5:$A$204&lt;&gt;"")*(D_Points!$A$5:$A$204&gt;=$B183)*(D_Points!$A$5:$A$204&lt;$B183+P_Interval)*(UPPER(TRIM(D_Points!$B$5:$B$204))="PITCHING")*(D_Points!$H$5:$H$204&lt;&gt;"")),D_Points!$H$5:$H$204),"")</f>
        <v/>
      </c>
      <c r="P183" s="181" t="str">
        <f>IFERROR(LOOKUP(2,1/((B_Drainage!$A$5:$A$204&lt;&gt;"")*(B_Drainage!$A$5:$A$204&lt;=$B183)*(B_Drainage!$B$5:$B$204&gt;$B183)*(B_Drainage!$C$5:$C$204&lt;&gt;"")),IF(B_Drainage!$C$5:$C$204="-","",UPPER(B_Drainage!$C$5:$C$204))),"")</f>
        <v/>
      </c>
      <c r="Q183" s="181" t="str">
        <f>IFERROR(LOOKUP(2,1/((B_Drainage!$A$5:$A$204&lt;&gt;"")*(B_Drainage!$A$5:$A$204&lt;=$B183)*(B_Drainage!$B$5:$B$204&gt;$B183)*(B_Drainage!$D$5:$D$204&lt;&gt;"")),IF(B_Drainage!$D$5:$D$204="-","",UPPER(B_Drainage!$D$5:$D$204))),"")</f>
        <v/>
      </c>
      <c r="R183" s="182" t="str">
        <f>IFERROR(LOOKUP(2,1/((D_Points!$A$5:$A$204&lt;&gt;"")*(D_Points!$A$5:$A$204&gt;=$B183)*(D_Points!$A$5:$A$204&lt;$B183+P_Interval)*(RIGHT(UPPER(TRIM(D_Points!$B$5:$B$204)),8)="_CULVERT")),IF(LEFT(UPPER(TRIM(D_Points!$B$5:$B$204)),2)="EX",1,IF(LEFT(UPPER(TRIM(D_Points!$B$5:$B$204)),2)="PR",2,3))),"")</f>
        <v/>
      </c>
      <c r="S183" s="182" t="str">
        <f>IFERROR(LOOKUP(2,1/((D_Points!$A$5:$A$204&lt;&gt;"")*(D_Points!$A$5:$A$204&gt;=$B183)*(D_Points!$A$5:$A$204&lt;$B183+P_Interval)*(RIGHT(UPPER(TRIM(D_Points!$B$5:$B$204)),7)="_BRIDGE")),IF(LEFT(UPPER(TRIM(D_Points!$B$5:$B$204)),2)="EX",1,IF(LEFT(UPPER(TRIM(D_Points!$B$5:$B$204)),2)="PR",2,2))),"")</f>
        <v/>
      </c>
      <c r="T183" s="181" t="str">
        <f>IFERROR(LOOKUP(2,1/((B_Drainage!$A$5:$A$204&lt;&gt;"")*(B_Drainage!$A$5:$A$204&lt;=$B183)*(B_Drainage!$B$5:$B$204&gt;$B183)*(B_Drainage!$E$5:$E$204&lt;&gt;"")),IF(B_Drainage!$E$5:$E$204="-","",1)),"")</f>
        <v/>
      </c>
      <c r="U183" s="181" t="str">
        <f>IFERROR(LOOKUP(2,1/((B_Drainage!$A$5:$A$204&lt;&gt;"")*(B_Drainage!$A$5:$A$204&lt;=$B183)*(B_Drainage!$B$5:$B$204&gt;$B183)*(B_Drainage!$E$5:$E$204&lt;&gt;"")),IF(B_Drainage!$E$5:$E$204="-","",B_Drainage!$E$5:$E$204)),"")</f>
        <v/>
      </c>
      <c r="V183" s="181" t="str">
        <f>IFERROR(LOOKUP(2,1/((B_Drainage!$A$5:$A$204&lt;&gt;"")*(B_Drainage!$A$5:$A$204&lt;=$B183)*(B_Drainage!$B$5:$B$204&gt;$B183)*(B_Drainage!$F$5:$F$204&lt;&gt;"")),IF(B_Drainage!$F$5:$F$204="-","",1)),"")</f>
        <v/>
      </c>
      <c r="W183" s="181" t="str">
        <f>IFERROR(LOOKUP(2,1/((B_Drainage!$A$5:$A$204&lt;&gt;"")*(B_Drainage!$A$5:$A$204&lt;=$B183)*(B_Drainage!$B$5:$B$204&gt;$B183)*(B_Drainage!$F$5:$F$204&lt;&gt;"")),IF(B_Drainage!$F$5:$F$204="-","",B_Drainage!$F$5:$F$204)),"")</f>
        <v/>
      </c>
      <c r="X183" s="181" t="str">
        <f>IFERROR(LOOKUP(2,1/((B_Drainage!$A$5:$A$204&lt;&gt;"")*(B_Drainage!$A$5:$A$204&lt;=$B183)*(B_Drainage!$B$5:$B$204&gt;$B183)*(B_Drainage!$G$5:$G$204&lt;&gt;"")),IF(UPPER(B_Drainage!$G$5:$G$204)="Y",1,"")),"")</f>
        <v/>
      </c>
      <c r="Y183" s="181" t="str">
        <f>IFERROR(LOOKUP(2,1/((B_Drainage!$A$5:$A$204&lt;&gt;"")*(B_Drainage!$A$5:$A$204&lt;=$B183)*(B_Drainage!$B$5:$B$204&gt;$B183)*(B_Drainage!$H$5:$H$204&lt;&gt;"")),IF(UPPER(B_Drainage!$H$5:$H$204)="Y",1,"")),"")</f>
        <v/>
      </c>
      <c r="Z183" s="181" t="str">
        <f>IFERROR(LOOKUP(2,1/((B_Drainage!$A$5:$A$204&lt;&gt;"")*(B_Drainage!$A$5:$A$204&lt;=$B183)*(B_Drainage!$B$5:$B$204&gt;$B183)*(B_Drainage!$I$5:$I$204&lt;&gt;"")),IF(UPPER(B_Drainage!$I$5:$I$204)="Y",1,"")),"")</f>
        <v/>
      </c>
      <c r="AA183" s="181" t="str">
        <f>IFERROR(LOOKUP(2,1/((B_Drainage!$A$5:$A$204&lt;&gt;"")*(B_Drainage!$A$5:$A$204&lt;=$B183)*(B_Drainage!$B$5:$B$204&gt;$B183)*(B_Drainage!$J$5:$J$204&lt;&gt;"")),IF(UPPER(B_Drainage!$J$5:$J$204)="Y",1,"")),"")</f>
        <v/>
      </c>
      <c r="AB183" s="182" t="str">
        <f>IFERROR(LOOKUP(2,1/((B_Drainage!$A$5:$A$204&lt;&gt;"")*(B_Drainage!$A$5:$A$204&lt;=$B183)*(B_Drainage!$B$5:$B$204&gt;$B183)*(B_Drainage!$K$5:$K$204&lt;&gt;"")),IF(B_Drainage!$K$5:$K$204="-","",B_Drainage!$K$5:$K$204)),"")</f>
        <v/>
      </c>
      <c r="AC183" s="182" t="str">
        <f>IFERROR(LOOKUP(2,1/((B_Drainage!$A$5:$A$204&lt;&gt;"")*(B_Drainage!$A$5:$A$204&lt;=$B183)*(B_Drainage!$B$5:$B$204&gt;$B183)*(B_Drainage!$L$5:$L$204&lt;&gt;"")),IF(B_Drainage!$L$5:$L$204="-","",B_Drainage!$L$5:$L$204)),"")</f>
        <v/>
      </c>
      <c r="AD183" s="182" t="str">
        <f>IFERROR(LOOKUP(2,1/((D_Points!$A$5:$A$204&lt;&gt;"")*(D_Points!$A$5:$A$204&gt;=$B183)*(D_Points!$A$5:$A$204&lt;$B183+P_Interval)*(UPPER(TRIM(D_Points!$B$5:$B$204))="TURNOUT_L")*(D_Points!$H$5:$H$204&lt;&gt;"")),D_Points!$H$5:$H$204),"")</f>
        <v/>
      </c>
      <c r="AE183" s="182" t="str">
        <f>IFERROR(LOOKUP(2,1/((D_Points!$A$5:$A$204&lt;&gt;"")*(D_Points!$A$5:$A$204&gt;=$B183)*(D_Points!$A$5:$A$204&lt;$B183+P_Interval)*(UPPER(TRIM(D_Points!$B$5:$B$204))="TURNOUT_R")*(D_Points!$H$5:$H$204&lt;&gt;"")),D_Points!$H$5:$H$204),"")</f>
        <v/>
      </c>
      <c r="AF183" s="181" t="str">
        <f>IFERROR(LOOKUP(2,1/((B_Drainage!$A$5:$A$204&lt;&gt;"")*(B_Drainage!$A$5:$A$204&lt;=$B183)*(B_Drainage!$B$5:$B$204&gt;$B183)*(B_Drainage!$M$5:$M$204&lt;&gt;"")),IF(UPPER(B_Drainage!$M$5:$M$204)="Y",1,"")),"")</f>
        <v/>
      </c>
      <c r="AG183" s="181" t="str">
        <f>IFERROR(LOOKUP(2,1/((B_Drainage!$A$5:$A$204&lt;&gt;"")*(B_Drainage!$A$5:$A$204&lt;=$B183)*(B_Drainage!$B$5:$B$204&gt;$B183)*(B_Drainage!$N$5:$N$204&lt;&gt;"")),IF(UPPER(B_Drainage!$N$5:$N$204)="Y",1,"")),"")</f>
        <v/>
      </c>
      <c r="AH183" s="181" t="str">
        <f t="shared" si="16"/>
        <v/>
      </c>
      <c r="AI183" s="181" t="str">
        <f t="shared" si="17"/>
        <v/>
      </c>
      <c r="AJ183" s="181" t="str">
        <f t="shared" si="18"/>
        <v/>
      </c>
      <c r="AK183" s="181" t="str">
        <f t="shared" si="19"/>
        <v/>
      </c>
      <c r="AL183" s="181" t="str">
        <f t="shared" si="20"/>
        <v/>
      </c>
      <c r="AM183" s="181" t="str">
        <f t="shared" si="21"/>
        <v/>
      </c>
      <c r="AN183" s="181" t="str">
        <f t="shared" si="22"/>
        <v/>
      </c>
      <c r="AO183" s="192" t="str">
        <f t="shared" si="23"/>
        <v/>
      </c>
      <c r="AQ183" t="str">
        <f>IFERROR(LOOKUP(2,1/((C_Pavement!$A$5:$A$204&lt;&gt;"")*(C_Pavement!$A$5:$A$204&lt;=$B183)*(C_Pavement!$B$5:$B$204&gt;$B183)*(C_Pavement!$C$5:$C$204&lt;&gt;"")),ROW(C_Pavement!$C$5:$C$204)-4),"")</f>
        <v/>
      </c>
      <c r="AR183" t="str">
        <f>IF($AQ183="","",UPPER(TRIM(INDEX(C_Pavement!$C$5:$C$204,$AQ183))))</f>
        <v/>
      </c>
      <c r="AS183" t="str">
        <f>IF($AR183="","",IFERROR(MATCH($AR183,E_Rules!$A$5:$A$9,0),""))</f>
        <v/>
      </c>
      <c r="AT183" t="str">
        <f>IF($AQ183="","",IF(INDEX(C_Pavement!$D$5:$D$204,$AQ183)&lt;&gt;"",UPPER(TRIM(INDEX(C_Pavement!$D$5:$D$204,$AQ183))),IF($AS183="","",INDEX(E_Rules!$C$5:$C$9,$AS183))))</f>
        <v/>
      </c>
      <c r="AU183" t="str">
        <f>IF($AQ183="","",IF(INDEX(C_Pavement!$E$5:$E$204,$AQ183)&lt;&gt;"",IF(INDEX(C_Pavement!$E$5:$E$204,$AQ183)="-","",INDEX(C_Pavement!$E$5:$E$204,$AQ183)),IF($AS183="","",INDEX(E_Rules!$D$5:$D$9,$AS183))))</f>
        <v/>
      </c>
      <c r="AV183" t="str">
        <f>IF($AQ183="","",IF(INDEX(C_Pavement!$F$5:$F$204,$AQ183)&lt;&gt;"",IF(INDEX(C_Pavement!$F$5:$F$204,$AQ183)="-","",INDEX(C_Pavement!$F$5:$F$204,$AQ183)),IF($AS183="","",INDEX(E_Rules!$E$5:$E$9,$AS183))))</f>
        <v/>
      </c>
      <c r="AW183" t="str">
        <f>IF($AQ183="","",IF(INDEX(C_Pavement!$G$5:$G$204,$AQ183)&lt;&gt;"",IF(INDEX(C_Pavement!$G$5:$G$204,$AQ183)="-","",INDEX(C_Pavement!$G$5:$G$204,$AQ183)),IF($AS183="","",INDEX(E_Rules!$F$5:$F$9,$AS183))))</f>
        <v/>
      </c>
      <c r="AX183" t="str">
        <f>IF($AQ183="","",IF(INDEX(C_Pavement!$H$5:$H$204,$AQ183)&lt;&gt;"",IF(INDEX(C_Pavement!$H$5:$H$204,$AQ183)="-","",INDEX(C_Pavement!$H$5:$H$204,$AQ183)),IF($AS183="","",INDEX(E_Rules!$G$5:$G$9,$AS183))))</f>
        <v/>
      </c>
      <c r="AY183" t="str">
        <f>IF($AQ183="","",IF(INDEX(C_Pavement!$I$5:$I$204,$AQ183)&lt;&gt;"",IF(INDEX(C_Pavement!$I$5:$I$204,$AQ183)="-","",INDEX(C_Pavement!$I$5:$I$204,$AQ183)),IF($AS183="","",INDEX(E_Rules!$H$5:$H$9,$AS183))))</f>
        <v/>
      </c>
    </row>
    <row r="184" spans="1:51" ht="15.75" customHeight="1" x14ac:dyDescent="0.3">
      <c r="A184" s="189">
        <v>179</v>
      </c>
      <c r="B184" s="180">
        <v>8900</v>
      </c>
      <c r="C184" s="180" t="s">
        <v>490</v>
      </c>
      <c r="D184" s="181" t="str">
        <f>IFERROR(LOOKUP(2,1/((A_Corridor!$A$5:$A$204&lt;&gt;"")*(A_Corridor!$A$5:$A$204&lt;=$B184)*(A_Corridor!$B$5:$B$204&gt;$B184)*(A_Corridor!$C$5:$C$204&lt;&gt;"")),IF(UPPER(A_Corridor!$C$5:$C$204)="Y",1,"")),"")</f>
        <v/>
      </c>
      <c r="E184" s="181" t="str">
        <f>IFERROR(LOOKUP(2,1/((A_Corridor!$A$5:$A$204&lt;&gt;"")*(A_Corridor!$A$5:$A$204&lt;=$B184)*(A_Corridor!$B$5:$B$204&gt;$B184)*(A_Corridor!$D$5:$D$204&lt;&gt;"")),IF(A_Corridor!$D$5:$D$204="-","",UPPER(A_Corridor!$D$5:$D$204))),"")</f>
        <v/>
      </c>
      <c r="F184" s="181" t="str">
        <f>IFERROR(LOOKUP(2,1/((A_Corridor!$A$5:$A$204&lt;&gt;"")*(A_Corridor!$A$5:$A$204&lt;=$B184)*(A_Corridor!$B$5:$B$204&gt;$B184)*(A_Corridor!$E$5:$E$204&lt;&gt;"")),IF(A_Corridor!$E$5:$E$204="-","",1)),"")</f>
        <v/>
      </c>
      <c r="G184" s="182" t="str">
        <f>IFERROR(LOOKUP(2,1/((A_Corridor!$A$5:$A$204&lt;&gt;"")*(A_Corridor!$A$5:$A$204&lt;=$B184)*(A_Corridor!$B$5:$B$204&gt;$B184)*(A_Corridor!$E$5:$E$204&lt;&gt;"")),IF(A_Corridor!$E$5:$E$204="-","",A_Corridor!$E$5:$E$204)),"")</f>
        <v/>
      </c>
      <c r="H184" s="182" t="str">
        <f>IFERROR(LOOKUP(2,1/((D_Points!$A$5:$A$204&lt;&gt;"")*(D_Points!$A$5:$A$204&gt;=$B184)*(D_Points!$A$5:$A$204&lt;$B184+P_Interval)*(UPPER(TRIM(D_Points!$B$5:$B$204))="GULLY")*(D_Points!$H$5:$H$204&lt;&gt;"")),D_Points!$H$5:$H$204),"")</f>
        <v/>
      </c>
      <c r="I184" s="181" t="str">
        <f>IFERROR(LOOKUP(2,1/((A_Corridor!$A$5:$A$204&lt;&gt;"")*(A_Corridor!$A$5:$A$204&lt;=$B184)*(A_Corridor!$B$5:$B$204&gt;$B184)*(A_Corridor!$F$5:$F$204&lt;&gt;"")),IF(A_Corridor!$F$5:$F$204="-","",1)),"")</f>
        <v/>
      </c>
      <c r="J184" s="182" t="str">
        <f>IFERROR(LOOKUP(2,1/((A_Corridor!$A$5:$A$204&lt;&gt;"")*(A_Corridor!$A$5:$A$204&lt;=$B184)*(A_Corridor!$B$5:$B$204&gt;$B184)*(A_Corridor!$F$5:$F$204&lt;&gt;"")),IF(A_Corridor!$F$5:$F$204="-","",A_Corridor!$F$5:$F$204)),"")</f>
        <v/>
      </c>
      <c r="K184" s="182" t="str">
        <f>IFERROR(LOOKUP(2,1/((A_Corridor!$A$5:$A$204&lt;&gt;"")*(A_Corridor!$A$5:$A$204&lt;=$B184)*(A_Corridor!$B$5:$B$204&gt;$B184)*(A_Corridor!$G$5:$G$204&lt;&gt;"")),IF(A_Corridor!$G$5:$G$204="-","",A_Corridor!$G$5:$G$204)),"")</f>
        <v/>
      </c>
      <c r="L184" s="181" t="str">
        <f>IFERROR(LOOKUP(2,1/((A_Corridor!$A$5:$A$204&lt;&gt;"")*(A_Corridor!$A$5:$A$204&lt;=$B184)*(A_Corridor!$B$5:$B$204&gt;$B184)*(A_Corridor!$H$5:$H$204&lt;&gt;"")),IF(A_Corridor!$H$5:$H$204="-","",1)),"")</f>
        <v/>
      </c>
      <c r="M184" s="182" t="str">
        <f>IFERROR(LOOKUP(2,1/((A_Corridor!$A$5:$A$204&lt;&gt;"")*(A_Corridor!$A$5:$A$204&lt;=$B184)*(A_Corridor!$B$5:$B$204&gt;$B184)*(A_Corridor!$H$5:$H$204&lt;&gt;"")),IF(A_Corridor!$H$5:$H$204="-","",A_Corridor!$H$5:$H$204)),"")</f>
        <v/>
      </c>
      <c r="N184" s="182" t="str">
        <f>IFERROR(LOOKUP(2,1/((A_Corridor!$A$5:$A$204&lt;&gt;"")*(A_Corridor!$A$5:$A$204&lt;=$B184)*(A_Corridor!$B$5:$B$204&gt;$B184)*(A_Corridor!$I$5:$I$204&lt;&gt;"")),IF(A_Corridor!$I$5:$I$204="-","",A_Corridor!$I$5:$I$204)),"")</f>
        <v/>
      </c>
      <c r="O184" s="182" t="str">
        <f>IFERROR(LOOKUP(2,1/((D_Points!$A$5:$A$204&lt;&gt;"")*(D_Points!$A$5:$A$204&gt;=$B184)*(D_Points!$A$5:$A$204&lt;$B184+P_Interval)*(UPPER(TRIM(D_Points!$B$5:$B$204))="PITCHING")*(D_Points!$H$5:$H$204&lt;&gt;"")),D_Points!$H$5:$H$204),"")</f>
        <v/>
      </c>
      <c r="P184" s="181" t="str">
        <f>IFERROR(LOOKUP(2,1/((B_Drainage!$A$5:$A$204&lt;&gt;"")*(B_Drainage!$A$5:$A$204&lt;=$B184)*(B_Drainage!$B$5:$B$204&gt;$B184)*(B_Drainage!$C$5:$C$204&lt;&gt;"")),IF(B_Drainage!$C$5:$C$204="-","",UPPER(B_Drainage!$C$5:$C$204))),"")</f>
        <v/>
      </c>
      <c r="Q184" s="181" t="str">
        <f>IFERROR(LOOKUP(2,1/((B_Drainage!$A$5:$A$204&lt;&gt;"")*(B_Drainage!$A$5:$A$204&lt;=$B184)*(B_Drainage!$B$5:$B$204&gt;$B184)*(B_Drainage!$D$5:$D$204&lt;&gt;"")),IF(B_Drainage!$D$5:$D$204="-","",UPPER(B_Drainage!$D$5:$D$204))),"")</f>
        <v/>
      </c>
      <c r="R184" s="182" t="str">
        <f>IFERROR(LOOKUP(2,1/((D_Points!$A$5:$A$204&lt;&gt;"")*(D_Points!$A$5:$A$204&gt;=$B184)*(D_Points!$A$5:$A$204&lt;$B184+P_Interval)*(RIGHT(UPPER(TRIM(D_Points!$B$5:$B$204)),8)="_CULVERT")),IF(LEFT(UPPER(TRIM(D_Points!$B$5:$B$204)),2)="EX",1,IF(LEFT(UPPER(TRIM(D_Points!$B$5:$B$204)),2)="PR",2,3))),"")</f>
        <v/>
      </c>
      <c r="S184" s="182" t="str">
        <f>IFERROR(LOOKUP(2,1/((D_Points!$A$5:$A$204&lt;&gt;"")*(D_Points!$A$5:$A$204&gt;=$B184)*(D_Points!$A$5:$A$204&lt;$B184+P_Interval)*(RIGHT(UPPER(TRIM(D_Points!$B$5:$B$204)),7)="_BRIDGE")),IF(LEFT(UPPER(TRIM(D_Points!$B$5:$B$204)),2)="EX",1,IF(LEFT(UPPER(TRIM(D_Points!$B$5:$B$204)),2)="PR",2,2))),"")</f>
        <v/>
      </c>
      <c r="T184" s="181" t="str">
        <f>IFERROR(LOOKUP(2,1/((B_Drainage!$A$5:$A$204&lt;&gt;"")*(B_Drainage!$A$5:$A$204&lt;=$B184)*(B_Drainage!$B$5:$B$204&gt;$B184)*(B_Drainage!$E$5:$E$204&lt;&gt;"")),IF(B_Drainage!$E$5:$E$204="-","",1)),"")</f>
        <v/>
      </c>
      <c r="U184" s="181" t="str">
        <f>IFERROR(LOOKUP(2,1/((B_Drainage!$A$5:$A$204&lt;&gt;"")*(B_Drainage!$A$5:$A$204&lt;=$B184)*(B_Drainage!$B$5:$B$204&gt;$B184)*(B_Drainage!$E$5:$E$204&lt;&gt;"")),IF(B_Drainage!$E$5:$E$204="-","",B_Drainage!$E$5:$E$204)),"")</f>
        <v/>
      </c>
      <c r="V184" s="181" t="str">
        <f>IFERROR(LOOKUP(2,1/((B_Drainage!$A$5:$A$204&lt;&gt;"")*(B_Drainage!$A$5:$A$204&lt;=$B184)*(B_Drainage!$B$5:$B$204&gt;$B184)*(B_Drainage!$F$5:$F$204&lt;&gt;"")),IF(B_Drainage!$F$5:$F$204="-","",1)),"")</f>
        <v/>
      </c>
      <c r="W184" s="181" t="str">
        <f>IFERROR(LOOKUP(2,1/((B_Drainage!$A$5:$A$204&lt;&gt;"")*(B_Drainage!$A$5:$A$204&lt;=$B184)*(B_Drainage!$B$5:$B$204&gt;$B184)*(B_Drainage!$F$5:$F$204&lt;&gt;"")),IF(B_Drainage!$F$5:$F$204="-","",B_Drainage!$F$5:$F$204)),"")</f>
        <v/>
      </c>
      <c r="X184" s="181" t="str">
        <f>IFERROR(LOOKUP(2,1/((B_Drainage!$A$5:$A$204&lt;&gt;"")*(B_Drainage!$A$5:$A$204&lt;=$B184)*(B_Drainage!$B$5:$B$204&gt;$B184)*(B_Drainage!$G$5:$G$204&lt;&gt;"")),IF(UPPER(B_Drainage!$G$5:$G$204)="Y",1,"")),"")</f>
        <v/>
      </c>
      <c r="Y184" s="181" t="str">
        <f>IFERROR(LOOKUP(2,1/((B_Drainage!$A$5:$A$204&lt;&gt;"")*(B_Drainage!$A$5:$A$204&lt;=$B184)*(B_Drainage!$B$5:$B$204&gt;$B184)*(B_Drainage!$H$5:$H$204&lt;&gt;"")),IF(UPPER(B_Drainage!$H$5:$H$204)="Y",1,"")),"")</f>
        <v/>
      </c>
      <c r="Z184" s="181" t="str">
        <f>IFERROR(LOOKUP(2,1/((B_Drainage!$A$5:$A$204&lt;&gt;"")*(B_Drainage!$A$5:$A$204&lt;=$B184)*(B_Drainage!$B$5:$B$204&gt;$B184)*(B_Drainage!$I$5:$I$204&lt;&gt;"")),IF(UPPER(B_Drainage!$I$5:$I$204)="Y",1,"")),"")</f>
        <v/>
      </c>
      <c r="AA184" s="181" t="str">
        <f>IFERROR(LOOKUP(2,1/((B_Drainage!$A$5:$A$204&lt;&gt;"")*(B_Drainage!$A$5:$A$204&lt;=$B184)*(B_Drainage!$B$5:$B$204&gt;$B184)*(B_Drainage!$J$5:$J$204&lt;&gt;"")),IF(UPPER(B_Drainage!$J$5:$J$204)="Y",1,"")),"")</f>
        <v/>
      </c>
      <c r="AB184" s="182" t="str">
        <f>IFERROR(LOOKUP(2,1/((B_Drainage!$A$5:$A$204&lt;&gt;"")*(B_Drainage!$A$5:$A$204&lt;=$B184)*(B_Drainage!$B$5:$B$204&gt;$B184)*(B_Drainage!$K$5:$K$204&lt;&gt;"")),IF(B_Drainage!$K$5:$K$204="-","",B_Drainage!$K$5:$K$204)),"")</f>
        <v/>
      </c>
      <c r="AC184" s="182" t="str">
        <f>IFERROR(LOOKUP(2,1/((B_Drainage!$A$5:$A$204&lt;&gt;"")*(B_Drainage!$A$5:$A$204&lt;=$B184)*(B_Drainage!$B$5:$B$204&gt;$B184)*(B_Drainage!$L$5:$L$204&lt;&gt;"")),IF(B_Drainage!$L$5:$L$204="-","",B_Drainage!$L$5:$L$204)),"")</f>
        <v/>
      </c>
      <c r="AD184" s="182" t="str">
        <f>IFERROR(LOOKUP(2,1/((D_Points!$A$5:$A$204&lt;&gt;"")*(D_Points!$A$5:$A$204&gt;=$B184)*(D_Points!$A$5:$A$204&lt;$B184+P_Interval)*(UPPER(TRIM(D_Points!$B$5:$B$204))="TURNOUT_L")*(D_Points!$H$5:$H$204&lt;&gt;"")),D_Points!$H$5:$H$204),"")</f>
        <v/>
      </c>
      <c r="AE184" s="182" t="str">
        <f>IFERROR(LOOKUP(2,1/((D_Points!$A$5:$A$204&lt;&gt;"")*(D_Points!$A$5:$A$204&gt;=$B184)*(D_Points!$A$5:$A$204&lt;$B184+P_Interval)*(UPPER(TRIM(D_Points!$B$5:$B$204))="TURNOUT_R")*(D_Points!$H$5:$H$204&lt;&gt;"")),D_Points!$H$5:$H$204),"")</f>
        <v/>
      </c>
      <c r="AF184" s="181" t="str">
        <f>IFERROR(LOOKUP(2,1/((B_Drainage!$A$5:$A$204&lt;&gt;"")*(B_Drainage!$A$5:$A$204&lt;=$B184)*(B_Drainage!$B$5:$B$204&gt;$B184)*(B_Drainage!$M$5:$M$204&lt;&gt;"")),IF(UPPER(B_Drainage!$M$5:$M$204)="Y",1,"")),"")</f>
        <v/>
      </c>
      <c r="AG184" s="181" t="str">
        <f>IFERROR(LOOKUP(2,1/((B_Drainage!$A$5:$A$204&lt;&gt;"")*(B_Drainage!$A$5:$A$204&lt;=$B184)*(B_Drainage!$B$5:$B$204&gt;$B184)*(B_Drainage!$N$5:$N$204&lt;&gt;"")),IF(UPPER(B_Drainage!$N$5:$N$204)="Y",1,"")),"")</f>
        <v/>
      </c>
      <c r="AH184" s="181" t="str">
        <f t="shared" si="16"/>
        <v/>
      </c>
      <c r="AI184" s="181" t="str">
        <f t="shared" si="17"/>
        <v/>
      </c>
      <c r="AJ184" s="181" t="str">
        <f t="shared" si="18"/>
        <v/>
      </c>
      <c r="AK184" s="181" t="str">
        <f t="shared" si="19"/>
        <v/>
      </c>
      <c r="AL184" s="181" t="str">
        <f t="shared" si="20"/>
        <v/>
      </c>
      <c r="AM184" s="181" t="str">
        <f t="shared" si="21"/>
        <v/>
      </c>
      <c r="AN184" s="181" t="str">
        <f t="shared" si="22"/>
        <v/>
      </c>
      <c r="AO184" s="192" t="str">
        <f t="shared" si="23"/>
        <v/>
      </c>
      <c r="AQ184" t="str">
        <f>IFERROR(LOOKUP(2,1/((C_Pavement!$A$5:$A$204&lt;&gt;"")*(C_Pavement!$A$5:$A$204&lt;=$B184)*(C_Pavement!$B$5:$B$204&gt;$B184)*(C_Pavement!$C$5:$C$204&lt;&gt;"")),ROW(C_Pavement!$C$5:$C$204)-4),"")</f>
        <v/>
      </c>
      <c r="AR184" t="str">
        <f>IF($AQ184="","",UPPER(TRIM(INDEX(C_Pavement!$C$5:$C$204,$AQ184))))</f>
        <v/>
      </c>
      <c r="AS184" t="str">
        <f>IF($AR184="","",IFERROR(MATCH($AR184,E_Rules!$A$5:$A$9,0),""))</f>
        <v/>
      </c>
      <c r="AT184" t="str">
        <f>IF($AQ184="","",IF(INDEX(C_Pavement!$D$5:$D$204,$AQ184)&lt;&gt;"",UPPER(TRIM(INDEX(C_Pavement!$D$5:$D$204,$AQ184))),IF($AS184="","",INDEX(E_Rules!$C$5:$C$9,$AS184))))</f>
        <v/>
      </c>
      <c r="AU184" t="str">
        <f>IF($AQ184="","",IF(INDEX(C_Pavement!$E$5:$E$204,$AQ184)&lt;&gt;"",IF(INDEX(C_Pavement!$E$5:$E$204,$AQ184)="-","",INDEX(C_Pavement!$E$5:$E$204,$AQ184)),IF($AS184="","",INDEX(E_Rules!$D$5:$D$9,$AS184))))</f>
        <v/>
      </c>
      <c r="AV184" t="str">
        <f>IF($AQ184="","",IF(INDEX(C_Pavement!$F$5:$F$204,$AQ184)&lt;&gt;"",IF(INDEX(C_Pavement!$F$5:$F$204,$AQ184)="-","",INDEX(C_Pavement!$F$5:$F$204,$AQ184)),IF($AS184="","",INDEX(E_Rules!$E$5:$E$9,$AS184))))</f>
        <v/>
      </c>
      <c r="AW184" t="str">
        <f>IF($AQ184="","",IF(INDEX(C_Pavement!$G$5:$G$204,$AQ184)&lt;&gt;"",IF(INDEX(C_Pavement!$G$5:$G$204,$AQ184)="-","",INDEX(C_Pavement!$G$5:$G$204,$AQ184)),IF($AS184="","",INDEX(E_Rules!$F$5:$F$9,$AS184))))</f>
        <v/>
      </c>
      <c r="AX184" t="str">
        <f>IF($AQ184="","",IF(INDEX(C_Pavement!$H$5:$H$204,$AQ184)&lt;&gt;"",IF(INDEX(C_Pavement!$H$5:$H$204,$AQ184)="-","",INDEX(C_Pavement!$H$5:$H$204,$AQ184)),IF($AS184="","",INDEX(E_Rules!$G$5:$G$9,$AS184))))</f>
        <v/>
      </c>
      <c r="AY184" t="str">
        <f>IF($AQ184="","",IF(INDEX(C_Pavement!$I$5:$I$204,$AQ184)&lt;&gt;"",IF(INDEX(C_Pavement!$I$5:$I$204,$AQ184)="-","",INDEX(C_Pavement!$I$5:$I$204,$AQ184)),IF($AS184="","",INDEX(E_Rules!$H$5:$H$9,$AS184))))</f>
        <v/>
      </c>
    </row>
    <row r="185" spans="1:51" ht="15.75" customHeight="1" x14ac:dyDescent="0.3">
      <c r="A185" s="189">
        <v>180</v>
      </c>
      <c r="B185" s="180">
        <v>8950</v>
      </c>
      <c r="C185" s="180" t="s">
        <v>491</v>
      </c>
      <c r="D185" s="181" t="str">
        <f>IFERROR(LOOKUP(2,1/((A_Corridor!$A$5:$A$204&lt;&gt;"")*(A_Corridor!$A$5:$A$204&lt;=$B185)*(A_Corridor!$B$5:$B$204&gt;$B185)*(A_Corridor!$C$5:$C$204&lt;&gt;"")),IF(UPPER(A_Corridor!$C$5:$C$204)="Y",1,"")),"")</f>
        <v/>
      </c>
      <c r="E185" s="181" t="str">
        <f>IFERROR(LOOKUP(2,1/((A_Corridor!$A$5:$A$204&lt;&gt;"")*(A_Corridor!$A$5:$A$204&lt;=$B185)*(A_Corridor!$B$5:$B$204&gt;$B185)*(A_Corridor!$D$5:$D$204&lt;&gt;"")),IF(A_Corridor!$D$5:$D$204="-","",UPPER(A_Corridor!$D$5:$D$204))),"")</f>
        <v/>
      </c>
      <c r="F185" s="181" t="str">
        <f>IFERROR(LOOKUP(2,1/((A_Corridor!$A$5:$A$204&lt;&gt;"")*(A_Corridor!$A$5:$A$204&lt;=$B185)*(A_Corridor!$B$5:$B$204&gt;$B185)*(A_Corridor!$E$5:$E$204&lt;&gt;"")),IF(A_Corridor!$E$5:$E$204="-","",1)),"")</f>
        <v/>
      </c>
      <c r="G185" s="182" t="str">
        <f>IFERROR(LOOKUP(2,1/((A_Corridor!$A$5:$A$204&lt;&gt;"")*(A_Corridor!$A$5:$A$204&lt;=$B185)*(A_Corridor!$B$5:$B$204&gt;$B185)*(A_Corridor!$E$5:$E$204&lt;&gt;"")),IF(A_Corridor!$E$5:$E$204="-","",A_Corridor!$E$5:$E$204)),"")</f>
        <v/>
      </c>
      <c r="H185" s="182" t="str">
        <f>IFERROR(LOOKUP(2,1/((D_Points!$A$5:$A$204&lt;&gt;"")*(D_Points!$A$5:$A$204&gt;=$B185)*(D_Points!$A$5:$A$204&lt;$B185+P_Interval)*(UPPER(TRIM(D_Points!$B$5:$B$204))="GULLY")*(D_Points!$H$5:$H$204&lt;&gt;"")),D_Points!$H$5:$H$204),"")</f>
        <v/>
      </c>
      <c r="I185" s="181" t="str">
        <f>IFERROR(LOOKUP(2,1/((A_Corridor!$A$5:$A$204&lt;&gt;"")*(A_Corridor!$A$5:$A$204&lt;=$B185)*(A_Corridor!$B$5:$B$204&gt;$B185)*(A_Corridor!$F$5:$F$204&lt;&gt;"")),IF(A_Corridor!$F$5:$F$204="-","",1)),"")</f>
        <v/>
      </c>
      <c r="J185" s="182" t="str">
        <f>IFERROR(LOOKUP(2,1/((A_Corridor!$A$5:$A$204&lt;&gt;"")*(A_Corridor!$A$5:$A$204&lt;=$B185)*(A_Corridor!$B$5:$B$204&gt;$B185)*(A_Corridor!$F$5:$F$204&lt;&gt;"")),IF(A_Corridor!$F$5:$F$204="-","",A_Corridor!$F$5:$F$204)),"")</f>
        <v/>
      </c>
      <c r="K185" s="182" t="str">
        <f>IFERROR(LOOKUP(2,1/((A_Corridor!$A$5:$A$204&lt;&gt;"")*(A_Corridor!$A$5:$A$204&lt;=$B185)*(A_Corridor!$B$5:$B$204&gt;$B185)*(A_Corridor!$G$5:$G$204&lt;&gt;"")),IF(A_Corridor!$G$5:$G$204="-","",A_Corridor!$G$5:$G$204)),"")</f>
        <v/>
      </c>
      <c r="L185" s="181" t="str">
        <f>IFERROR(LOOKUP(2,1/((A_Corridor!$A$5:$A$204&lt;&gt;"")*(A_Corridor!$A$5:$A$204&lt;=$B185)*(A_Corridor!$B$5:$B$204&gt;$B185)*(A_Corridor!$H$5:$H$204&lt;&gt;"")),IF(A_Corridor!$H$5:$H$204="-","",1)),"")</f>
        <v/>
      </c>
      <c r="M185" s="182" t="str">
        <f>IFERROR(LOOKUP(2,1/((A_Corridor!$A$5:$A$204&lt;&gt;"")*(A_Corridor!$A$5:$A$204&lt;=$B185)*(A_Corridor!$B$5:$B$204&gt;$B185)*(A_Corridor!$H$5:$H$204&lt;&gt;"")),IF(A_Corridor!$H$5:$H$204="-","",A_Corridor!$H$5:$H$204)),"")</f>
        <v/>
      </c>
      <c r="N185" s="182" t="str">
        <f>IFERROR(LOOKUP(2,1/((A_Corridor!$A$5:$A$204&lt;&gt;"")*(A_Corridor!$A$5:$A$204&lt;=$B185)*(A_Corridor!$B$5:$B$204&gt;$B185)*(A_Corridor!$I$5:$I$204&lt;&gt;"")),IF(A_Corridor!$I$5:$I$204="-","",A_Corridor!$I$5:$I$204)),"")</f>
        <v/>
      </c>
      <c r="O185" s="182" t="str">
        <f>IFERROR(LOOKUP(2,1/((D_Points!$A$5:$A$204&lt;&gt;"")*(D_Points!$A$5:$A$204&gt;=$B185)*(D_Points!$A$5:$A$204&lt;$B185+P_Interval)*(UPPER(TRIM(D_Points!$B$5:$B$204))="PITCHING")*(D_Points!$H$5:$H$204&lt;&gt;"")),D_Points!$H$5:$H$204),"")</f>
        <v/>
      </c>
      <c r="P185" s="181" t="str">
        <f>IFERROR(LOOKUP(2,1/((B_Drainage!$A$5:$A$204&lt;&gt;"")*(B_Drainage!$A$5:$A$204&lt;=$B185)*(B_Drainage!$B$5:$B$204&gt;$B185)*(B_Drainage!$C$5:$C$204&lt;&gt;"")),IF(B_Drainage!$C$5:$C$204="-","",UPPER(B_Drainage!$C$5:$C$204))),"")</f>
        <v/>
      </c>
      <c r="Q185" s="181" t="str">
        <f>IFERROR(LOOKUP(2,1/((B_Drainage!$A$5:$A$204&lt;&gt;"")*(B_Drainage!$A$5:$A$204&lt;=$B185)*(B_Drainage!$B$5:$B$204&gt;$B185)*(B_Drainage!$D$5:$D$204&lt;&gt;"")),IF(B_Drainage!$D$5:$D$204="-","",UPPER(B_Drainage!$D$5:$D$204))),"")</f>
        <v/>
      </c>
      <c r="R185" s="182" t="str">
        <f>IFERROR(LOOKUP(2,1/((D_Points!$A$5:$A$204&lt;&gt;"")*(D_Points!$A$5:$A$204&gt;=$B185)*(D_Points!$A$5:$A$204&lt;$B185+P_Interval)*(RIGHT(UPPER(TRIM(D_Points!$B$5:$B$204)),8)="_CULVERT")),IF(LEFT(UPPER(TRIM(D_Points!$B$5:$B$204)),2)="EX",1,IF(LEFT(UPPER(TRIM(D_Points!$B$5:$B$204)),2)="PR",2,3))),"")</f>
        <v/>
      </c>
      <c r="S185" s="182" t="str">
        <f>IFERROR(LOOKUP(2,1/((D_Points!$A$5:$A$204&lt;&gt;"")*(D_Points!$A$5:$A$204&gt;=$B185)*(D_Points!$A$5:$A$204&lt;$B185+P_Interval)*(RIGHT(UPPER(TRIM(D_Points!$B$5:$B$204)),7)="_BRIDGE")),IF(LEFT(UPPER(TRIM(D_Points!$B$5:$B$204)),2)="EX",1,IF(LEFT(UPPER(TRIM(D_Points!$B$5:$B$204)),2)="PR",2,2))),"")</f>
        <v/>
      </c>
      <c r="T185" s="181" t="str">
        <f>IFERROR(LOOKUP(2,1/((B_Drainage!$A$5:$A$204&lt;&gt;"")*(B_Drainage!$A$5:$A$204&lt;=$B185)*(B_Drainage!$B$5:$B$204&gt;$B185)*(B_Drainage!$E$5:$E$204&lt;&gt;"")),IF(B_Drainage!$E$5:$E$204="-","",1)),"")</f>
        <v/>
      </c>
      <c r="U185" s="181" t="str">
        <f>IFERROR(LOOKUP(2,1/((B_Drainage!$A$5:$A$204&lt;&gt;"")*(B_Drainage!$A$5:$A$204&lt;=$B185)*(B_Drainage!$B$5:$B$204&gt;$B185)*(B_Drainage!$E$5:$E$204&lt;&gt;"")),IF(B_Drainage!$E$5:$E$204="-","",B_Drainage!$E$5:$E$204)),"")</f>
        <v/>
      </c>
      <c r="V185" s="181" t="str">
        <f>IFERROR(LOOKUP(2,1/((B_Drainage!$A$5:$A$204&lt;&gt;"")*(B_Drainage!$A$5:$A$204&lt;=$B185)*(B_Drainage!$B$5:$B$204&gt;$B185)*(B_Drainage!$F$5:$F$204&lt;&gt;"")),IF(B_Drainage!$F$5:$F$204="-","",1)),"")</f>
        <v/>
      </c>
      <c r="W185" s="181" t="str">
        <f>IFERROR(LOOKUP(2,1/((B_Drainage!$A$5:$A$204&lt;&gt;"")*(B_Drainage!$A$5:$A$204&lt;=$B185)*(B_Drainage!$B$5:$B$204&gt;$B185)*(B_Drainage!$F$5:$F$204&lt;&gt;"")),IF(B_Drainage!$F$5:$F$204="-","",B_Drainage!$F$5:$F$204)),"")</f>
        <v/>
      </c>
      <c r="X185" s="181" t="str">
        <f>IFERROR(LOOKUP(2,1/((B_Drainage!$A$5:$A$204&lt;&gt;"")*(B_Drainage!$A$5:$A$204&lt;=$B185)*(B_Drainage!$B$5:$B$204&gt;$B185)*(B_Drainage!$G$5:$G$204&lt;&gt;"")),IF(UPPER(B_Drainage!$G$5:$G$204)="Y",1,"")),"")</f>
        <v/>
      </c>
      <c r="Y185" s="181" t="str">
        <f>IFERROR(LOOKUP(2,1/((B_Drainage!$A$5:$A$204&lt;&gt;"")*(B_Drainage!$A$5:$A$204&lt;=$B185)*(B_Drainage!$B$5:$B$204&gt;$B185)*(B_Drainage!$H$5:$H$204&lt;&gt;"")),IF(UPPER(B_Drainage!$H$5:$H$204)="Y",1,"")),"")</f>
        <v/>
      </c>
      <c r="Z185" s="181" t="str">
        <f>IFERROR(LOOKUP(2,1/((B_Drainage!$A$5:$A$204&lt;&gt;"")*(B_Drainage!$A$5:$A$204&lt;=$B185)*(B_Drainage!$B$5:$B$204&gt;$B185)*(B_Drainage!$I$5:$I$204&lt;&gt;"")),IF(UPPER(B_Drainage!$I$5:$I$204)="Y",1,"")),"")</f>
        <v/>
      </c>
      <c r="AA185" s="181" t="str">
        <f>IFERROR(LOOKUP(2,1/((B_Drainage!$A$5:$A$204&lt;&gt;"")*(B_Drainage!$A$5:$A$204&lt;=$B185)*(B_Drainage!$B$5:$B$204&gt;$B185)*(B_Drainage!$J$5:$J$204&lt;&gt;"")),IF(UPPER(B_Drainage!$J$5:$J$204)="Y",1,"")),"")</f>
        <v/>
      </c>
      <c r="AB185" s="182" t="str">
        <f>IFERROR(LOOKUP(2,1/((B_Drainage!$A$5:$A$204&lt;&gt;"")*(B_Drainage!$A$5:$A$204&lt;=$B185)*(B_Drainage!$B$5:$B$204&gt;$B185)*(B_Drainage!$K$5:$K$204&lt;&gt;"")),IF(B_Drainage!$K$5:$K$204="-","",B_Drainage!$K$5:$K$204)),"")</f>
        <v/>
      </c>
      <c r="AC185" s="182" t="str">
        <f>IFERROR(LOOKUP(2,1/((B_Drainage!$A$5:$A$204&lt;&gt;"")*(B_Drainage!$A$5:$A$204&lt;=$B185)*(B_Drainage!$B$5:$B$204&gt;$B185)*(B_Drainage!$L$5:$L$204&lt;&gt;"")),IF(B_Drainage!$L$5:$L$204="-","",B_Drainage!$L$5:$L$204)),"")</f>
        <v/>
      </c>
      <c r="AD185" s="182" t="str">
        <f>IFERROR(LOOKUP(2,1/((D_Points!$A$5:$A$204&lt;&gt;"")*(D_Points!$A$5:$A$204&gt;=$B185)*(D_Points!$A$5:$A$204&lt;$B185+P_Interval)*(UPPER(TRIM(D_Points!$B$5:$B$204))="TURNOUT_L")*(D_Points!$H$5:$H$204&lt;&gt;"")),D_Points!$H$5:$H$204),"")</f>
        <v/>
      </c>
      <c r="AE185" s="182" t="str">
        <f>IFERROR(LOOKUP(2,1/((D_Points!$A$5:$A$204&lt;&gt;"")*(D_Points!$A$5:$A$204&gt;=$B185)*(D_Points!$A$5:$A$204&lt;$B185+P_Interval)*(UPPER(TRIM(D_Points!$B$5:$B$204))="TURNOUT_R")*(D_Points!$H$5:$H$204&lt;&gt;"")),D_Points!$H$5:$H$204),"")</f>
        <v/>
      </c>
      <c r="AF185" s="181" t="str">
        <f>IFERROR(LOOKUP(2,1/((B_Drainage!$A$5:$A$204&lt;&gt;"")*(B_Drainage!$A$5:$A$204&lt;=$B185)*(B_Drainage!$B$5:$B$204&gt;$B185)*(B_Drainage!$M$5:$M$204&lt;&gt;"")),IF(UPPER(B_Drainage!$M$5:$M$204)="Y",1,"")),"")</f>
        <v/>
      </c>
      <c r="AG185" s="181" t="str">
        <f>IFERROR(LOOKUP(2,1/((B_Drainage!$A$5:$A$204&lt;&gt;"")*(B_Drainage!$A$5:$A$204&lt;=$B185)*(B_Drainage!$B$5:$B$204&gt;$B185)*(B_Drainage!$N$5:$N$204&lt;&gt;"")),IF(UPPER(B_Drainage!$N$5:$N$204)="Y",1,"")),"")</f>
        <v/>
      </c>
      <c r="AH185" s="181" t="str">
        <f t="shared" si="16"/>
        <v/>
      </c>
      <c r="AI185" s="181" t="str">
        <f t="shared" si="17"/>
        <v/>
      </c>
      <c r="AJ185" s="181" t="str">
        <f t="shared" si="18"/>
        <v/>
      </c>
      <c r="AK185" s="181" t="str">
        <f t="shared" si="19"/>
        <v/>
      </c>
      <c r="AL185" s="181" t="str">
        <f t="shared" si="20"/>
        <v/>
      </c>
      <c r="AM185" s="181" t="str">
        <f t="shared" si="21"/>
        <v/>
      </c>
      <c r="AN185" s="181" t="str">
        <f t="shared" si="22"/>
        <v/>
      </c>
      <c r="AO185" s="192" t="str">
        <f t="shared" si="23"/>
        <v/>
      </c>
      <c r="AQ185" t="str">
        <f>IFERROR(LOOKUP(2,1/((C_Pavement!$A$5:$A$204&lt;&gt;"")*(C_Pavement!$A$5:$A$204&lt;=$B185)*(C_Pavement!$B$5:$B$204&gt;$B185)*(C_Pavement!$C$5:$C$204&lt;&gt;"")),ROW(C_Pavement!$C$5:$C$204)-4),"")</f>
        <v/>
      </c>
      <c r="AR185" t="str">
        <f>IF($AQ185="","",UPPER(TRIM(INDEX(C_Pavement!$C$5:$C$204,$AQ185))))</f>
        <v/>
      </c>
      <c r="AS185" t="str">
        <f>IF($AR185="","",IFERROR(MATCH($AR185,E_Rules!$A$5:$A$9,0),""))</f>
        <v/>
      </c>
      <c r="AT185" t="str">
        <f>IF($AQ185="","",IF(INDEX(C_Pavement!$D$5:$D$204,$AQ185)&lt;&gt;"",UPPER(TRIM(INDEX(C_Pavement!$D$5:$D$204,$AQ185))),IF($AS185="","",INDEX(E_Rules!$C$5:$C$9,$AS185))))</f>
        <v/>
      </c>
      <c r="AU185" t="str">
        <f>IF($AQ185="","",IF(INDEX(C_Pavement!$E$5:$E$204,$AQ185)&lt;&gt;"",IF(INDEX(C_Pavement!$E$5:$E$204,$AQ185)="-","",INDEX(C_Pavement!$E$5:$E$204,$AQ185)),IF($AS185="","",INDEX(E_Rules!$D$5:$D$9,$AS185))))</f>
        <v/>
      </c>
      <c r="AV185" t="str">
        <f>IF($AQ185="","",IF(INDEX(C_Pavement!$F$5:$F$204,$AQ185)&lt;&gt;"",IF(INDEX(C_Pavement!$F$5:$F$204,$AQ185)="-","",INDEX(C_Pavement!$F$5:$F$204,$AQ185)),IF($AS185="","",INDEX(E_Rules!$E$5:$E$9,$AS185))))</f>
        <v/>
      </c>
      <c r="AW185" t="str">
        <f>IF($AQ185="","",IF(INDEX(C_Pavement!$G$5:$G$204,$AQ185)&lt;&gt;"",IF(INDEX(C_Pavement!$G$5:$G$204,$AQ185)="-","",INDEX(C_Pavement!$G$5:$G$204,$AQ185)),IF($AS185="","",INDEX(E_Rules!$F$5:$F$9,$AS185))))</f>
        <v/>
      </c>
      <c r="AX185" t="str">
        <f>IF($AQ185="","",IF(INDEX(C_Pavement!$H$5:$H$204,$AQ185)&lt;&gt;"",IF(INDEX(C_Pavement!$H$5:$H$204,$AQ185)="-","",INDEX(C_Pavement!$H$5:$H$204,$AQ185)),IF($AS185="","",INDEX(E_Rules!$G$5:$G$9,$AS185))))</f>
        <v/>
      </c>
      <c r="AY185" t="str">
        <f>IF($AQ185="","",IF(INDEX(C_Pavement!$I$5:$I$204,$AQ185)&lt;&gt;"",IF(INDEX(C_Pavement!$I$5:$I$204,$AQ185)="-","",INDEX(C_Pavement!$I$5:$I$204,$AQ185)),IF($AS185="","",INDEX(E_Rules!$H$5:$H$9,$AS185))))</f>
        <v/>
      </c>
    </row>
    <row r="186" spans="1:51" ht="15.75" customHeight="1" x14ac:dyDescent="0.3">
      <c r="A186" s="189">
        <v>181</v>
      </c>
      <c r="B186" s="180">
        <v>9000</v>
      </c>
      <c r="C186" s="180" t="s">
        <v>492</v>
      </c>
      <c r="D186" s="181" t="str">
        <f>IFERROR(LOOKUP(2,1/((A_Corridor!$A$5:$A$204&lt;&gt;"")*(A_Corridor!$A$5:$A$204&lt;=$B186)*(A_Corridor!$B$5:$B$204&gt;$B186)*(A_Corridor!$C$5:$C$204&lt;&gt;"")),IF(UPPER(A_Corridor!$C$5:$C$204)="Y",1,"")),"")</f>
        <v/>
      </c>
      <c r="E186" s="181" t="str">
        <f>IFERROR(LOOKUP(2,1/((A_Corridor!$A$5:$A$204&lt;&gt;"")*(A_Corridor!$A$5:$A$204&lt;=$B186)*(A_Corridor!$B$5:$B$204&gt;$B186)*(A_Corridor!$D$5:$D$204&lt;&gt;"")),IF(A_Corridor!$D$5:$D$204="-","",UPPER(A_Corridor!$D$5:$D$204))),"")</f>
        <v/>
      </c>
      <c r="F186" s="181" t="str">
        <f>IFERROR(LOOKUP(2,1/((A_Corridor!$A$5:$A$204&lt;&gt;"")*(A_Corridor!$A$5:$A$204&lt;=$B186)*(A_Corridor!$B$5:$B$204&gt;$B186)*(A_Corridor!$E$5:$E$204&lt;&gt;"")),IF(A_Corridor!$E$5:$E$204="-","",1)),"")</f>
        <v/>
      </c>
      <c r="G186" s="182" t="str">
        <f>IFERROR(LOOKUP(2,1/((A_Corridor!$A$5:$A$204&lt;&gt;"")*(A_Corridor!$A$5:$A$204&lt;=$B186)*(A_Corridor!$B$5:$B$204&gt;$B186)*(A_Corridor!$E$5:$E$204&lt;&gt;"")),IF(A_Corridor!$E$5:$E$204="-","",A_Corridor!$E$5:$E$204)),"")</f>
        <v/>
      </c>
      <c r="H186" s="182" t="str">
        <f>IFERROR(LOOKUP(2,1/((D_Points!$A$5:$A$204&lt;&gt;"")*(D_Points!$A$5:$A$204&gt;=$B186)*(D_Points!$A$5:$A$204&lt;$B186+P_Interval)*(UPPER(TRIM(D_Points!$B$5:$B$204))="GULLY")*(D_Points!$H$5:$H$204&lt;&gt;"")),D_Points!$H$5:$H$204),"")</f>
        <v/>
      </c>
      <c r="I186" s="181" t="str">
        <f>IFERROR(LOOKUP(2,1/((A_Corridor!$A$5:$A$204&lt;&gt;"")*(A_Corridor!$A$5:$A$204&lt;=$B186)*(A_Corridor!$B$5:$B$204&gt;$B186)*(A_Corridor!$F$5:$F$204&lt;&gt;"")),IF(A_Corridor!$F$5:$F$204="-","",1)),"")</f>
        <v/>
      </c>
      <c r="J186" s="182" t="str">
        <f>IFERROR(LOOKUP(2,1/((A_Corridor!$A$5:$A$204&lt;&gt;"")*(A_Corridor!$A$5:$A$204&lt;=$B186)*(A_Corridor!$B$5:$B$204&gt;$B186)*(A_Corridor!$F$5:$F$204&lt;&gt;"")),IF(A_Corridor!$F$5:$F$204="-","",A_Corridor!$F$5:$F$204)),"")</f>
        <v/>
      </c>
      <c r="K186" s="182" t="str">
        <f>IFERROR(LOOKUP(2,1/((A_Corridor!$A$5:$A$204&lt;&gt;"")*(A_Corridor!$A$5:$A$204&lt;=$B186)*(A_Corridor!$B$5:$B$204&gt;$B186)*(A_Corridor!$G$5:$G$204&lt;&gt;"")),IF(A_Corridor!$G$5:$G$204="-","",A_Corridor!$G$5:$G$204)),"")</f>
        <v/>
      </c>
      <c r="L186" s="181" t="str">
        <f>IFERROR(LOOKUP(2,1/((A_Corridor!$A$5:$A$204&lt;&gt;"")*(A_Corridor!$A$5:$A$204&lt;=$B186)*(A_Corridor!$B$5:$B$204&gt;$B186)*(A_Corridor!$H$5:$H$204&lt;&gt;"")),IF(A_Corridor!$H$5:$H$204="-","",1)),"")</f>
        <v/>
      </c>
      <c r="M186" s="182" t="str">
        <f>IFERROR(LOOKUP(2,1/((A_Corridor!$A$5:$A$204&lt;&gt;"")*(A_Corridor!$A$5:$A$204&lt;=$B186)*(A_Corridor!$B$5:$B$204&gt;$B186)*(A_Corridor!$H$5:$H$204&lt;&gt;"")),IF(A_Corridor!$H$5:$H$204="-","",A_Corridor!$H$5:$H$204)),"")</f>
        <v/>
      </c>
      <c r="N186" s="182" t="str">
        <f>IFERROR(LOOKUP(2,1/((A_Corridor!$A$5:$A$204&lt;&gt;"")*(A_Corridor!$A$5:$A$204&lt;=$B186)*(A_Corridor!$B$5:$B$204&gt;$B186)*(A_Corridor!$I$5:$I$204&lt;&gt;"")),IF(A_Corridor!$I$5:$I$204="-","",A_Corridor!$I$5:$I$204)),"")</f>
        <v/>
      </c>
      <c r="O186" s="182" t="str">
        <f>IFERROR(LOOKUP(2,1/((D_Points!$A$5:$A$204&lt;&gt;"")*(D_Points!$A$5:$A$204&gt;=$B186)*(D_Points!$A$5:$A$204&lt;$B186+P_Interval)*(UPPER(TRIM(D_Points!$B$5:$B$204))="PITCHING")*(D_Points!$H$5:$H$204&lt;&gt;"")),D_Points!$H$5:$H$204),"")</f>
        <v/>
      </c>
      <c r="P186" s="181" t="str">
        <f>IFERROR(LOOKUP(2,1/((B_Drainage!$A$5:$A$204&lt;&gt;"")*(B_Drainage!$A$5:$A$204&lt;=$B186)*(B_Drainage!$B$5:$B$204&gt;$B186)*(B_Drainage!$C$5:$C$204&lt;&gt;"")),IF(B_Drainage!$C$5:$C$204="-","",UPPER(B_Drainage!$C$5:$C$204))),"")</f>
        <v/>
      </c>
      <c r="Q186" s="181" t="str">
        <f>IFERROR(LOOKUP(2,1/((B_Drainage!$A$5:$A$204&lt;&gt;"")*(B_Drainage!$A$5:$A$204&lt;=$B186)*(B_Drainage!$B$5:$B$204&gt;$B186)*(B_Drainage!$D$5:$D$204&lt;&gt;"")),IF(B_Drainage!$D$5:$D$204="-","",UPPER(B_Drainage!$D$5:$D$204))),"")</f>
        <v/>
      </c>
      <c r="R186" s="182" t="str">
        <f>IFERROR(LOOKUP(2,1/((D_Points!$A$5:$A$204&lt;&gt;"")*(D_Points!$A$5:$A$204&gt;=$B186)*(D_Points!$A$5:$A$204&lt;$B186+P_Interval)*(RIGHT(UPPER(TRIM(D_Points!$B$5:$B$204)),8)="_CULVERT")),IF(LEFT(UPPER(TRIM(D_Points!$B$5:$B$204)),2)="EX",1,IF(LEFT(UPPER(TRIM(D_Points!$B$5:$B$204)),2)="PR",2,3))),"")</f>
        <v/>
      </c>
      <c r="S186" s="182" t="str">
        <f>IFERROR(LOOKUP(2,1/((D_Points!$A$5:$A$204&lt;&gt;"")*(D_Points!$A$5:$A$204&gt;=$B186)*(D_Points!$A$5:$A$204&lt;$B186+P_Interval)*(RIGHT(UPPER(TRIM(D_Points!$B$5:$B$204)),7)="_BRIDGE")),IF(LEFT(UPPER(TRIM(D_Points!$B$5:$B$204)),2)="EX",1,IF(LEFT(UPPER(TRIM(D_Points!$B$5:$B$204)),2)="PR",2,2))),"")</f>
        <v/>
      </c>
      <c r="T186" s="181" t="str">
        <f>IFERROR(LOOKUP(2,1/((B_Drainage!$A$5:$A$204&lt;&gt;"")*(B_Drainage!$A$5:$A$204&lt;=$B186)*(B_Drainage!$B$5:$B$204&gt;$B186)*(B_Drainage!$E$5:$E$204&lt;&gt;"")),IF(B_Drainage!$E$5:$E$204="-","",1)),"")</f>
        <v/>
      </c>
      <c r="U186" s="181" t="str">
        <f>IFERROR(LOOKUP(2,1/((B_Drainage!$A$5:$A$204&lt;&gt;"")*(B_Drainage!$A$5:$A$204&lt;=$B186)*(B_Drainage!$B$5:$B$204&gt;$B186)*(B_Drainage!$E$5:$E$204&lt;&gt;"")),IF(B_Drainage!$E$5:$E$204="-","",B_Drainage!$E$5:$E$204)),"")</f>
        <v/>
      </c>
      <c r="V186" s="181" t="str">
        <f>IFERROR(LOOKUP(2,1/((B_Drainage!$A$5:$A$204&lt;&gt;"")*(B_Drainage!$A$5:$A$204&lt;=$B186)*(B_Drainage!$B$5:$B$204&gt;$B186)*(B_Drainage!$F$5:$F$204&lt;&gt;"")),IF(B_Drainage!$F$5:$F$204="-","",1)),"")</f>
        <v/>
      </c>
      <c r="W186" s="181" t="str">
        <f>IFERROR(LOOKUP(2,1/((B_Drainage!$A$5:$A$204&lt;&gt;"")*(B_Drainage!$A$5:$A$204&lt;=$B186)*(B_Drainage!$B$5:$B$204&gt;$B186)*(B_Drainage!$F$5:$F$204&lt;&gt;"")),IF(B_Drainage!$F$5:$F$204="-","",B_Drainage!$F$5:$F$204)),"")</f>
        <v/>
      </c>
      <c r="X186" s="181" t="str">
        <f>IFERROR(LOOKUP(2,1/((B_Drainage!$A$5:$A$204&lt;&gt;"")*(B_Drainage!$A$5:$A$204&lt;=$B186)*(B_Drainage!$B$5:$B$204&gt;$B186)*(B_Drainage!$G$5:$G$204&lt;&gt;"")),IF(UPPER(B_Drainage!$G$5:$G$204)="Y",1,"")),"")</f>
        <v/>
      </c>
      <c r="Y186" s="181" t="str">
        <f>IFERROR(LOOKUP(2,1/((B_Drainage!$A$5:$A$204&lt;&gt;"")*(B_Drainage!$A$5:$A$204&lt;=$B186)*(B_Drainage!$B$5:$B$204&gt;$B186)*(B_Drainage!$H$5:$H$204&lt;&gt;"")),IF(UPPER(B_Drainage!$H$5:$H$204)="Y",1,"")),"")</f>
        <v/>
      </c>
      <c r="Z186" s="181" t="str">
        <f>IFERROR(LOOKUP(2,1/((B_Drainage!$A$5:$A$204&lt;&gt;"")*(B_Drainage!$A$5:$A$204&lt;=$B186)*(B_Drainage!$B$5:$B$204&gt;$B186)*(B_Drainage!$I$5:$I$204&lt;&gt;"")),IF(UPPER(B_Drainage!$I$5:$I$204)="Y",1,"")),"")</f>
        <v/>
      </c>
      <c r="AA186" s="181" t="str">
        <f>IFERROR(LOOKUP(2,1/((B_Drainage!$A$5:$A$204&lt;&gt;"")*(B_Drainage!$A$5:$A$204&lt;=$B186)*(B_Drainage!$B$5:$B$204&gt;$B186)*(B_Drainage!$J$5:$J$204&lt;&gt;"")),IF(UPPER(B_Drainage!$J$5:$J$204)="Y",1,"")),"")</f>
        <v/>
      </c>
      <c r="AB186" s="182" t="str">
        <f>IFERROR(LOOKUP(2,1/((B_Drainage!$A$5:$A$204&lt;&gt;"")*(B_Drainage!$A$5:$A$204&lt;=$B186)*(B_Drainage!$B$5:$B$204&gt;$B186)*(B_Drainage!$K$5:$K$204&lt;&gt;"")),IF(B_Drainage!$K$5:$K$204="-","",B_Drainage!$K$5:$K$204)),"")</f>
        <v/>
      </c>
      <c r="AC186" s="182" t="str">
        <f>IFERROR(LOOKUP(2,1/((B_Drainage!$A$5:$A$204&lt;&gt;"")*(B_Drainage!$A$5:$A$204&lt;=$B186)*(B_Drainage!$B$5:$B$204&gt;$B186)*(B_Drainage!$L$5:$L$204&lt;&gt;"")),IF(B_Drainage!$L$5:$L$204="-","",B_Drainage!$L$5:$L$204)),"")</f>
        <v/>
      </c>
      <c r="AD186" s="182" t="str">
        <f>IFERROR(LOOKUP(2,1/((D_Points!$A$5:$A$204&lt;&gt;"")*(D_Points!$A$5:$A$204&gt;=$B186)*(D_Points!$A$5:$A$204&lt;$B186+P_Interval)*(UPPER(TRIM(D_Points!$B$5:$B$204))="TURNOUT_L")*(D_Points!$H$5:$H$204&lt;&gt;"")),D_Points!$H$5:$H$204),"")</f>
        <v/>
      </c>
      <c r="AE186" s="182" t="str">
        <f>IFERROR(LOOKUP(2,1/((D_Points!$A$5:$A$204&lt;&gt;"")*(D_Points!$A$5:$A$204&gt;=$B186)*(D_Points!$A$5:$A$204&lt;$B186+P_Interval)*(UPPER(TRIM(D_Points!$B$5:$B$204))="TURNOUT_R")*(D_Points!$H$5:$H$204&lt;&gt;"")),D_Points!$H$5:$H$204),"")</f>
        <v/>
      </c>
      <c r="AF186" s="181" t="str">
        <f>IFERROR(LOOKUP(2,1/((B_Drainage!$A$5:$A$204&lt;&gt;"")*(B_Drainage!$A$5:$A$204&lt;=$B186)*(B_Drainage!$B$5:$B$204&gt;$B186)*(B_Drainage!$M$5:$M$204&lt;&gt;"")),IF(UPPER(B_Drainage!$M$5:$M$204)="Y",1,"")),"")</f>
        <v/>
      </c>
      <c r="AG186" s="181" t="str">
        <f>IFERROR(LOOKUP(2,1/((B_Drainage!$A$5:$A$204&lt;&gt;"")*(B_Drainage!$A$5:$A$204&lt;=$B186)*(B_Drainage!$B$5:$B$204&gt;$B186)*(B_Drainage!$N$5:$N$204&lt;&gt;"")),IF(UPPER(B_Drainage!$N$5:$N$204)="Y",1,"")),"")</f>
        <v/>
      </c>
      <c r="AH186" s="181" t="str">
        <f t="shared" si="16"/>
        <v/>
      </c>
      <c r="AI186" s="181" t="str">
        <f t="shared" si="17"/>
        <v/>
      </c>
      <c r="AJ186" s="181" t="str">
        <f t="shared" si="18"/>
        <v/>
      </c>
      <c r="AK186" s="181" t="str">
        <f t="shared" si="19"/>
        <v/>
      </c>
      <c r="AL186" s="181" t="str">
        <f t="shared" si="20"/>
        <v/>
      </c>
      <c r="AM186" s="181" t="str">
        <f t="shared" si="21"/>
        <v/>
      </c>
      <c r="AN186" s="181" t="str">
        <f t="shared" si="22"/>
        <v/>
      </c>
      <c r="AO186" s="192" t="str">
        <f t="shared" si="23"/>
        <v/>
      </c>
      <c r="AQ186" t="str">
        <f>IFERROR(LOOKUP(2,1/((C_Pavement!$A$5:$A$204&lt;&gt;"")*(C_Pavement!$A$5:$A$204&lt;=$B186)*(C_Pavement!$B$5:$B$204&gt;$B186)*(C_Pavement!$C$5:$C$204&lt;&gt;"")),ROW(C_Pavement!$C$5:$C$204)-4),"")</f>
        <v/>
      </c>
      <c r="AR186" t="str">
        <f>IF($AQ186="","",UPPER(TRIM(INDEX(C_Pavement!$C$5:$C$204,$AQ186))))</f>
        <v/>
      </c>
      <c r="AS186" t="str">
        <f>IF($AR186="","",IFERROR(MATCH($AR186,E_Rules!$A$5:$A$9,0),""))</f>
        <v/>
      </c>
      <c r="AT186" t="str">
        <f>IF($AQ186="","",IF(INDEX(C_Pavement!$D$5:$D$204,$AQ186)&lt;&gt;"",UPPER(TRIM(INDEX(C_Pavement!$D$5:$D$204,$AQ186))),IF($AS186="","",INDEX(E_Rules!$C$5:$C$9,$AS186))))</f>
        <v/>
      </c>
      <c r="AU186" t="str">
        <f>IF($AQ186="","",IF(INDEX(C_Pavement!$E$5:$E$204,$AQ186)&lt;&gt;"",IF(INDEX(C_Pavement!$E$5:$E$204,$AQ186)="-","",INDEX(C_Pavement!$E$5:$E$204,$AQ186)),IF($AS186="","",INDEX(E_Rules!$D$5:$D$9,$AS186))))</f>
        <v/>
      </c>
      <c r="AV186" t="str">
        <f>IF($AQ186="","",IF(INDEX(C_Pavement!$F$5:$F$204,$AQ186)&lt;&gt;"",IF(INDEX(C_Pavement!$F$5:$F$204,$AQ186)="-","",INDEX(C_Pavement!$F$5:$F$204,$AQ186)),IF($AS186="","",INDEX(E_Rules!$E$5:$E$9,$AS186))))</f>
        <v/>
      </c>
      <c r="AW186" t="str">
        <f>IF($AQ186="","",IF(INDEX(C_Pavement!$G$5:$G$204,$AQ186)&lt;&gt;"",IF(INDEX(C_Pavement!$G$5:$G$204,$AQ186)="-","",INDEX(C_Pavement!$G$5:$G$204,$AQ186)),IF($AS186="","",INDEX(E_Rules!$F$5:$F$9,$AS186))))</f>
        <v/>
      </c>
      <c r="AX186" t="str">
        <f>IF($AQ186="","",IF(INDEX(C_Pavement!$H$5:$H$204,$AQ186)&lt;&gt;"",IF(INDEX(C_Pavement!$H$5:$H$204,$AQ186)="-","",INDEX(C_Pavement!$H$5:$H$204,$AQ186)),IF($AS186="","",INDEX(E_Rules!$G$5:$G$9,$AS186))))</f>
        <v/>
      </c>
      <c r="AY186" t="str">
        <f>IF($AQ186="","",IF(INDEX(C_Pavement!$I$5:$I$204,$AQ186)&lt;&gt;"",IF(INDEX(C_Pavement!$I$5:$I$204,$AQ186)="-","",INDEX(C_Pavement!$I$5:$I$204,$AQ186)),IF($AS186="","",INDEX(E_Rules!$H$5:$H$9,$AS186))))</f>
        <v/>
      </c>
    </row>
    <row r="187" spans="1:51" ht="15.75" customHeight="1" x14ac:dyDescent="0.3">
      <c r="A187" s="189">
        <v>182</v>
      </c>
      <c r="B187" s="180">
        <v>9050</v>
      </c>
      <c r="C187" s="180" t="s">
        <v>493</v>
      </c>
      <c r="D187" s="181" t="str">
        <f>IFERROR(LOOKUP(2,1/((A_Corridor!$A$5:$A$204&lt;&gt;"")*(A_Corridor!$A$5:$A$204&lt;=$B187)*(A_Corridor!$B$5:$B$204&gt;$B187)*(A_Corridor!$C$5:$C$204&lt;&gt;"")),IF(UPPER(A_Corridor!$C$5:$C$204)="Y",1,"")),"")</f>
        <v/>
      </c>
      <c r="E187" s="181" t="str">
        <f>IFERROR(LOOKUP(2,1/((A_Corridor!$A$5:$A$204&lt;&gt;"")*(A_Corridor!$A$5:$A$204&lt;=$B187)*(A_Corridor!$B$5:$B$204&gt;$B187)*(A_Corridor!$D$5:$D$204&lt;&gt;"")),IF(A_Corridor!$D$5:$D$204="-","",UPPER(A_Corridor!$D$5:$D$204))),"")</f>
        <v/>
      </c>
      <c r="F187" s="181" t="str">
        <f>IFERROR(LOOKUP(2,1/((A_Corridor!$A$5:$A$204&lt;&gt;"")*(A_Corridor!$A$5:$A$204&lt;=$B187)*(A_Corridor!$B$5:$B$204&gt;$B187)*(A_Corridor!$E$5:$E$204&lt;&gt;"")),IF(A_Corridor!$E$5:$E$204="-","",1)),"")</f>
        <v/>
      </c>
      <c r="G187" s="182" t="str">
        <f>IFERROR(LOOKUP(2,1/((A_Corridor!$A$5:$A$204&lt;&gt;"")*(A_Corridor!$A$5:$A$204&lt;=$B187)*(A_Corridor!$B$5:$B$204&gt;$B187)*(A_Corridor!$E$5:$E$204&lt;&gt;"")),IF(A_Corridor!$E$5:$E$204="-","",A_Corridor!$E$5:$E$204)),"")</f>
        <v/>
      </c>
      <c r="H187" s="182" t="str">
        <f>IFERROR(LOOKUP(2,1/((D_Points!$A$5:$A$204&lt;&gt;"")*(D_Points!$A$5:$A$204&gt;=$B187)*(D_Points!$A$5:$A$204&lt;$B187+P_Interval)*(UPPER(TRIM(D_Points!$B$5:$B$204))="GULLY")*(D_Points!$H$5:$H$204&lt;&gt;"")),D_Points!$H$5:$H$204),"")</f>
        <v/>
      </c>
      <c r="I187" s="181" t="str">
        <f>IFERROR(LOOKUP(2,1/((A_Corridor!$A$5:$A$204&lt;&gt;"")*(A_Corridor!$A$5:$A$204&lt;=$B187)*(A_Corridor!$B$5:$B$204&gt;$B187)*(A_Corridor!$F$5:$F$204&lt;&gt;"")),IF(A_Corridor!$F$5:$F$204="-","",1)),"")</f>
        <v/>
      </c>
      <c r="J187" s="182" t="str">
        <f>IFERROR(LOOKUP(2,1/((A_Corridor!$A$5:$A$204&lt;&gt;"")*(A_Corridor!$A$5:$A$204&lt;=$B187)*(A_Corridor!$B$5:$B$204&gt;$B187)*(A_Corridor!$F$5:$F$204&lt;&gt;"")),IF(A_Corridor!$F$5:$F$204="-","",A_Corridor!$F$5:$F$204)),"")</f>
        <v/>
      </c>
      <c r="K187" s="182" t="str">
        <f>IFERROR(LOOKUP(2,1/((A_Corridor!$A$5:$A$204&lt;&gt;"")*(A_Corridor!$A$5:$A$204&lt;=$B187)*(A_Corridor!$B$5:$B$204&gt;$B187)*(A_Corridor!$G$5:$G$204&lt;&gt;"")),IF(A_Corridor!$G$5:$G$204="-","",A_Corridor!$G$5:$G$204)),"")</f>
        <v/>
      </c>
      <c r="L187" s="181" t="str">
        <f>IFERROR(LOOKUP(2,1/((A_Corridor!$A$5:$A$204&lt;&gt;"")*(A_Corridor!$A$5:$A$204&lt;=$B187)*(A_Corridor!$B$5:$B$204&gt;$B187)*(A_Corridor!$H$5:$H$204&lt;&gt;"")),IF(A_Corridor!$H$5:$H$204="-","",1)),"")</f>
        <v/>
      </c>
      <c r="M187" s="182" t="str">
        <f>IFERROR(LOOKUP(2,1/((A_Corridor!$A$5:$A$204&lt;&gt;"")*(A_Corridor!$A$5:$A$204&lt;=$B187)*(A_Corridor!$B$5:$B$204&gt;$B187)*(A_Corridor!$H$5:$H$204&lt;&gt;"")),IF(A_Corridor!$H$5:$H$204="-","",A_Corridor!$H$5:$H$204)),"")</f>
        <v/>
      </c>
      <c r="N187" s="182" t="str">
        <f>IFERROR(LOOKUP(2,1/((A_Corridor!$A$5:$A$204&lt;&gt;"")*(A_Corridor!$A$5:$A$204&lt;=$B187)*(A_Corridor!$B$5:$B$204&gt;$B187)*(A_Corridor!$I$5:$I$204&lt;&gt;"")),IF(A_Corridor!$I$5:$I$204="-","",A_Corridor!$I$5:$I$204)),"")</f>
        <v/>
      </c>
      <c r="O187" s="182" t="str">
        <f>IFERROR(LOOKUP(2,1/((D_Points!$A$5:$A$204&lt;&gt;"")*(D_Points!$A$5:$A$204&gt;=$B187)*(D_Points!$A$5:$A$204&lt;$B187+P_Interval)*(UPPER(TRIM(D_Points!$B$5:$B$204))="PITCHING")*(D_Points!$H$5:$H$204&lt;&gt;"")),D_Points!$H$5:$H$204),"")</f>
        <v/>
      </c>
      <c r="P187" s="181" t="str">
        <f>IFERROR(LOOKUP(2,1/((B_Drainage!$A$5:$A$204&lt;&gt;"")*(B_Drainage!$A$5:$A$204&lt;=$B187)*(B_Drainage!$B$5:$B$204&gt;$B187)*(B_Drainage!$C$5:$C$204&lt;&gt;"")),IF(B_Drainage!$C$5:$C$204="-","",UPPER(B_Drainage!$C$5:$C$204))),"")</f>
        <v/>
      </c>
      <c r="Q187" s="181" t="str">
        <f>IFERROR(LOOKUP(2,1/((B_Drainage!$A$5:$A$204&lt;&gt;"")*(B_Drainage!$A$5:$A$204&lt;=$B187)*(B_Drainage!$B$5:$B$204&gt;$B187)*(B_Drainage!$D$5:$D$204&lt;&gt;"")),IF(B_Drainage!$D$5:$D$204="-","",UPPER(B_Drainage!$D$5:$D$204))),"")</f>
        <v/>
      </c>
      <c r="R187" s="182" t="str">
        <f>IFERROR(LOOKUP(2,1/((D_Points!$A$5:$A$204&lt;&gt;"")*(D_Points!$A$5:$A$204&gt;=$B187)*(D_Points!$A$5:$A$204&lt;$B187+P_Interval)*(RIGHT(UPPER(TRIM(D_Points!$B$5:$B$204)),8)="_CULVERT")),IF(LEFT(UPPER(TRIM(D_Points!$B$5:$B$204)),2)="EX",1,IF(LEFT(UPPER(TRIM(D_Points!$B$5:$B$204)),2)="PR",2,3))),"")</f>
        <v/>
      </c>
      <c r="S187" s="182" t="str">
        <f>IFERROR(LOOKUP(2,1/((D_Points!$A$5:$A$204&lt;&gt;"")*(D_Points!$A$5:$A$204&gt;=$B187)*(D_Points!$A$5:$A$204&lt;$B187+P_Interval)*(RIGHT(UPPER(TRIM(D_Points!$B$5:$B$204)),7)="_BRIDGE")),IF(LEFT(UPPER(TRIM(D_Points!$B$5:$B$204)),2)="EX",1,IF(LEFT(UPPER(TRIM(D_Points!$B$5:$B$204)),2)="PR",2,2))),"")</f>
        <v/>
      </c>
      <c r="T187" s="181" t="str">
        <f>IFERROR(LOOKUP(2,1/((B_Drainage!$A$5:$A$204&lt;&gt;"")*(B_Drainage!$A$5:$A$204&lt;=$B187)*(B_Drainage!$B$5:$B$204&gt;$B187)*(B_Drainage!$E$5:$E$204&lt;&gt;"")),IF(B_Drainage!$E$5:$E$204="-","",1)),"")</f>
        <v/>
      </c>
      <c r="U187" s="181" t="str">
        <f>IFERROR(LOOKUP(2,1/((B_Drainage!$A$5:$A$204&lt;&gt;"")*(B_Drainage!$A$5:$A$204&lt;=$B187)*(B_Drainage!$B$5:$B$204&gt;$B187)*(B_Drainage!$E$5:$E$204&lt;&gt;"")),IF(B_Drainage!$E$5:$E$204="-","",B_Drainage!$E$5:$E$204)),"")</f>
        <v/>
      </c>
      <c r="V187" s="181" t="str">
        <f>IFERROR(LOOKUP(2,1/((B_Drainage!$A$5:$A$204&lt;&gt;"")*(B_Drainage!$A$5:$A$204&lt;=$B187)*(B_Drainage!$B$5:$B$204&gt;$B187)*(B_Drainage!$F$5:$F$204&lt;&gt;"")),IF(B_Drainage!$F$5:$F$204="-","",1)),"")</f>
        <v/>
      </c>
      <c r="W187" s="181" t="str">
        <f>IFERROR(LOOKUP(2,1/((B_Drainage!$A$5:$A$204&lt;&gt;"")*(B_Drainage!$A$5:$A$204&lt;=$B187)*(B_Drainage!$B$5:$B$204&gt;$B187)*(B_Drainage!$F$5:$F$204&lt;&gt;"")),IF(B_Drainage!$F$5:$F$204="-","",B_Drainage!$F$5:$F$204)),"")</f>
        <v/>
      </c>
      <c r="X187" s="181" t="str">
        <f>IFERROR(LOOKUP(2,1/((B_Drainage!$A$5:$A$204&lt;&gt;"")*(B_Drainage!$A$5:$A$204&lt;=$B187)*(B_Drainage!$B$5:$B$204&gt;$B187)*(B_Drainage!$G$5:$G$204&lt;&gt;"")),IF(UPPER(B_Drainage!$G$5:$G$204)="Y",1,"")),"")</f>
        <v/>
      </c>
      <c r="Y187" s="181" t="str">
        <f>IFERROR(LOOKUP(2,1/((B_Drainage!$A$5:$A$204&lt;&gt;"")*(B_Drainage!$A$5:$A$204&lt;=$B187)*(B_Drainage!$B$5:$B$204&gt;$B187)*(B_Drainage!$H$5:$H$204&lt;&gt;"")),IF(UPPER(B_Drainage!$H$5:$H$204)="Y",1,"")),"")</f>
        <v/>
      </c>
      <c r="Z187" s="181" t="str">
        <f>IFERROR(LOOKUP(2,1/((B_Drainage!$A$5:$A$204&lt;&gt;"")*(B_Drainage!$A$5:$A$204&lt;=$B187)*(B_Drainage!$B$5:$B$204&gt;$B187)*(B_Drainage!$I$5:$I$204&lt;&gt;"")),IF(UPPER(B_Drainage!$I$5:$I$204)="Y",1,"")),"")</f>
        <v/>
      </c>
      <c r="AA187" s="181" t="str">
        <f>IFERROR(LOOKUP(2,1/((B_Drainage!$A$5:$A$204&lt;&gt;"")*(B_Drainage!$A$5:$A$204&lt;=$B187)*(B_Drainage!$B$5:$B$204&gt;$B187)*(B_Drainage!$J$5:$J$204&lt;&gt;"")),IF(UPPER(B_Drainage!$J$5:$J$204)="Y",1,"")),"")</f>
        <v/>
      </c>
      <c r="AB187" s="182" t="str">
        <f>IFERROR(LOOKUP(2,1/((B_Drainage!$A$5:$A$204&lt;&gt;"")*(B_Drainage!$A$5:$A$204&lt;=$B187)*(B_Drainage!$B$5:$B$204&gt;$B187)*(B_Drainage!$K$5:$K$204&lt;&gt;"")),IF(B_Drainage!$K$5:$K$204="-","",B_Drainage!$K$5:$K$204)),"")</f>
        <v/>
      </c>
      <c r="AC187" s="182" t="str">
        <f>IFERROR(LOOKUP(2,1/((B_Drainage!$A$5:$A$204&lt;&gt;"")*(B_Drainage!$A$5:$A$204&lt;=$B187)*(B_Drainage!$B$5:$B$204&gt;$B187)*(B_Drainage!$L$5:$L$204&lt;&gt;"")),IF(B_Drainage!$L$5:$L$204="-","",B_Drainage!$L$5:$L$204)),"")</f>
        <v/>
      </c>
      <c r="AD187" s="182" t="str">
        <f>IFERROR(LOOKUP(2,1/((D_Points!$A$5:$A$204&lt;&gt;"")*(D_Points!$A$5:$A$204&gt;=$B187)*(D_Points!$A$5:$A$204&lt;$B187+P_Interval)*(UPPER(TRIM(D_Points!$B$5:$B$204))="TURNOUT_L")*(D_Points!$H$5:$H$204&lt;&gt;"")),D_Points!$H$5:$H$204),"")</f>
        <v/>
      </c>
      <c r="AE187" s="182" t="str">
        <f>IFERROR(LOOKUP(2,1/((D_Points!$A$5:$A$204&lt;&gt;"")*(D_Points!$A$5:$A$204&gt;=$B187)*(D_Points!$A$5:$A$204&lt;$B187+P_Interval)*(UPPER(TRIM(D_Points!$B$5:$B$204))="TURNOUT_R")*(D_Points!$H$5:$H$204&lt;&gt;"")),D_Points!$H$5:$H$204),"")</f>
        <v/>
      </c>
      <c r="AF187" s="181" t="str">
        <f>IFERROR(LOOKUP(2,1/((B_Drainage!$A$5:$A$204&lt;&gt;"")*(B_Drainage!$A$5:$A$204&lt;=$B187)*(B_Drainage!$B$5:$B$204&gt;$B187)*(B_Drainage!$M$5:$M$204&lt;&gt;"")),IF(UPPER(B_Drainage!$M$5:$M$204)="Y",1,"")),"")</f>
        <v/>
      </c>
      <c r="AG187" s="181" t="str">
        <f>IFERROR(LOOKUP(2,1/((B_Drainage!$A$5:$A$204&lt;&gt;"")*(B_Drainage!$A$5:$A$204&lt;=$B187)*(B_Drainage!$B$5:$B$204&gt;$B187)*(B_Drainage!$N$5:$N$204&lt;&gt;"")),IF(UPPER(B_Drainage!$N$5:$N$204)="Y",1,"")),"")</f>
        <v/>
      </c>
      <c r="AH187" s="181" t="str">
        <f t="shared" si="16"/>
        <v/>
      </c>
      <c r="AI187" s="181" t="str">
        <f t="shared" si="17"/>
        <v/>
      </c>
      <c r="AJ187" s="181" t="str">
        <f t="shared" si="18"/>
        <v/>
      </c>
      <c r="AK187" s="181" t="str">
        <f t="shared" si="19"/>
        <v/>
      </c>
      <c r="AL187" s="181" t="str">
        <f t="shared" si="20"/>
        <v/>
      </c>
      <c r="AM187" s="181" t="str">
        <f t="shared" si="21"/>
        <v/>
      </c>
      <c r="AN187" s="181" t="str">
        <f t="shared" si="22"/>
        <v/>
      </c>
      <c r="AO187" s="192" t="str">
        <f t="shared" si="23"/>
        <v/>
      </c>
      <c r="AQ187" t="str">
        <f>IFERROR(LOOKUP(2,1/((C_Pavement!$A$5:$A$204&lt;&gt;"")*(C_Pavement!$A$5:$A$204&lt;=$B187)*(C_Pavement!$B$5:$B$204&gt;$B187)*(C_Pavement!$C$5:$C$204&lt;&gt;"")),ROW(C_Pavement!$C$5:$C$204)-4),"")</f>
        <v/>
      </c>
      <c r="AR187" t="str">
        <f>IF($AQ187="","",UPPER(TRIM(INDEX(C_Pavement!$C$5:$C$204,$AQ187))))</f>
        <v/>
      </c>
      <c r="AS187" t="str">
        <f>IF($AR187="","",IFERROR(MATCH($AR187,E_Rules!$A$5:$A$9,0),""))</f>
        <v/>
      </c>
      <c r="AT187" t="str">
        <f>IF($AQ187="","",IF(INDEX(C_Pavement!$D$5:$D$204,$AQ187)&lt;&gt;"",UPPER(TRIM(INDEX(C_Pavement!$D$5:$D$204,$AQ187))),IF($AS187="","",INDEX(E_Rules!$C$5:$C$9,$AS187))))</f>
        <v/>
      </c>
      <c r="AU187" t="str">
        <f>IF($AQ187="","",IF(INDEX(C_Pavement!$E$5:$E$204,$AQ187)&lt;&gt;"",IF(INDEX(C_Pavement!$E$5:$E$204,$AQ187)="-","",INDEX(C_Pavement!$E$5:$E$204,$AQ187)),IF($AS187="","",INDEX(E_Rules!$D$5:$D$9,$AS187))))</f>
        <v/>
      </c>
      <c r="AV187" t="str">
        <f>IF($AQ187="","",IF(INDEX(C_Pavement!$F$5:$F$204,$AQ187)&lt;&gt;"",IF(INDEX(C_Pavement!$F$5:$F$204,$AQ187)="-","",INDEX(C_Pavement!$F$5:$F$204,$AQ187)),IF($AS187="","",INDEX(E_Rules!$E$5:$E$9,$AS187))))</f>
        <v/>
      </c>
      <c r="AW187" t="str">
        <f>IF($AQ187="","",IF(INDEX(C_Pavement!$G$5:$G$204,$AQ187)&lt;&gt;"",IF(INDEX(C_Pavement!$G$5:$G$204,$AQ187)="-","",INDEX(C_Pavement!$G$5:$G$204,$AQ187)),IF($AS187="","",INDEX(E_Rules!$F$5:$F$9,$AS187))))</f>
        <v/>
      </c>
      <c r="AX187" t="str">
        <f>IF($AQ187="","",IF(INDEX(C_Pavement!$H$5:$H$204,$AQ187)&lt;&gt;"",IF(INDEX(C_Pavement!$H$5:$H$204,$AQ187)="-","",INDEX(C_Pavement!$H$5:$H$204,$AQ187)),IF($AS187="","",INDEX(E_Rules!$G$5:$G$9,$AS187))))</f>
        <v/>
      </c>
      <c r="AY187" t="str">
        <f>IF($AQ187="","",IF(INDEX(C_Pavement!$I$5:$I$204,$AQ187)&lt;&gt;"",IF(INDEX(C_Pavement!$I$5:$I$204,$AQ187)="-","",INDEX(C_Pavement!$I$5:$I$204,$AQ187)),IF($AS187="","",INDEX(E_Rules!$H$5:$H$9,$AS187))))</f>
        <v/>
      </c>
    </row>
    <row r="188" spans="1:51" ht="15.75" customHeight="1" x14ac:dyDescent="0.3">
      <c r="A188" s="189">
        <v>183</v>
      </c>
      <c r="B188" s="180">
        <v>9100</v>
      </c>
      <c r="C188" s="180" t="s">
        <v>494</v>
      </c>
      <c r="D188" s="181" t="str">
        <f>IFERROR(LOOKUP(2,1/((A_Corridor!$A$5:$A$204&lt;&gt;"")*(A_Corridor!$A$5:$A$204&lt;=$B188)*(A_Corridor!$B$5:$B$204&gt;$B188)*(A_Corridor!$C$5:$C$204&lt;&gt;"")),IF(UPPER(A_Corridor!$C$5:$C$204)="Y",1,"")),"")</f>
        <v/>
      </c>
      <c r="E188" s="181" t="str">
        <f>IFERROR(LOOKUP(2,1/((A_Corridor!$A$5:$A$204&lt;&gt;"")*(A_Corridor!$A$5:$A$204&lt;=$B188)*(A_Corridor!$B$5:$B$204&gt;$B188)*(A_Corridor!$D$5:$D$204&lt;&gt;"")),IF(A_Corridor!$D$5:$D$204="-","",UPPER(A_Corridor!$D$5:$D$204))),"")</f>
        <v/>
      </c>
      <c r="F188" s="181" t="str">
        <f>IFERROR(LOOKUP(2,1/((A_Corridor!$A$5:$A$204&lt;&gt;"")*(A_Corridor!$A$5:$A$204&lt;=$B188)*(A_Corridor!$B$5:$B$204&gt;$B188)*(A_Corridor!$E$5:$E$204&lt;&gt;"")),IF(A_Corridor!$E$5:$E$204="-","",1)),"")</f>
        <v/>
      </c>
      <c r="G188" s="182" t="str">
        <f>IFERROR(LOOKUP(2,1/((A_Corridor!$A$5:$A$204&lt;&gt;"")*(A_Corridor!$A$5:$A$204&lt;=$B188)*(A_Corridor!$B$5:$B$204&gt;$B188)*(A_Corridor!$E$5:$E$204&lt;&gt;"")),IF(A_Corridor!$E$5:$E$204="-","",A_Corridor!$E$5:$E$204)),"")</f>
        <v/>
      </c>
      <c r="H188" s="182" t="str">
        <f>IFERROR(LOOKUP(2,1/((D_Points!$A$5:$A$204&lt;&gt;"")*(D_Points!$A$5:$A$204&gt;=$B188)*(D_Points!$A$5:$A$204&lt;$B188+P_Interval)*(UPPER(TRIM(D_Points!$B$5:$B$204))="GULLY")*(D_Points!$H$5:$H$204&lt;&gt;"")),D_Points!$H$5:$H$204),"")</f>
        <v/>
      </c>
      <c r="I188" s="181" t="str">
        <f>IFERROR(LOOKUP(2,1/((A_Corridor!$A$5:$A$204&lt;&gt;"")*(A_Corridor!$A$5:$A$204&lt;=$B188)*(A_Corridor!$B$5:$B$204&gt;$B188)*(A_Corridor!$F$5:$F$204&lt;&gt;"")),IF(A_Corridor!$F$5:$F$204="-","",1)),"")</f>
        <v/>
      </c>
      <c r="J188" s="182" t="str">
        <f>IFERROR(LOOKUP(2,1/((A_Corridor!$A$5:$A$204&lt;&gt;"")*(A_Corridor!$A$5:$A$204&lt;=$B188)*(A_Corridor!$B$5:$B$204&gt;$B188)*(A_Corridor!$F$5:$F$204&lt;&gt;"")),IF(A_Corridor!$F$5:$F$204="-","",A_Corridor!$F$5:$F$204)),"")</f>
        <v/>
      </c>
      <c r="K188" s="182" t="str">
        <f>IFERROR(LOOKUP(2,1/((A_Corridor!$A$5:$A$204&lt;&gt;"")*(A_Corridor!$A$5:$A$204&lt;=$B188)*(A_Corridor!$B$5:$B$204&gt;$B188)*(A_Corridor!$G$5:$G$204&lt;&gt;"")),IF(A_Corridor!$G$5:$G$204="-","",A_Corridor!$G$5:$G$204)),"")</f>
        <v/>
      </c>
      <c r="L188" s="181" t="str">
        <f>IFERROR(LOOKUP(2,1/((A_Corridor!$A$5:$A$204&lt;&gt;"")*(A_Corridor!$A$5:$A$204&lt;=$B188)*(A_Corridor!$B$5:$B$204&gt;$B188)*(A_Corridor!$H$5:$H$204&lt;&gt;"")),IF(A_Corridor!$H$5:$H$204="-","",1)),"")</f>
        <v/>
      </c>
      <c r="M188" s="182" t="str">
        <f>IFERROR(LOOKUP(2,1/((A_Corridor!$A$5:$A$204&lt;&gt;"")*(A_Corridor!$A$5:$A$204&lt;=$B188)*(A_Corridor!$B$5:$B$204&gt;$B188)*(A_Corridor!$H$5:$H$204&lt;&gt;"")),IF(A_Corridor!$H$5:$H$204="-","",A_Corridor!$H$5:$H$204)),"")</f>
        <v/>
      </c>
      <c r="N188" s="182" t="str">
        <f>IFERROR(LOOKUP(2,1/((A_Corridor!$A$5:$A$204&lt;&gt;"")*(A_Corridor!$A$5:$A$204&lt;=$B188)*(A_Corridor!$B$5:$B$204&gt;$B188)*(A_Corridor!$I$5:$I$204&lt;&gt;"")),IF(A_Corridor!$I$5:$I$204="-","",A_Corridor!$I$5:$I$204)),"")</f>
        <v/>
      </c>
      <c r="O188" s="182" t="str">
        <f>IFERROR(LOOKUP(2,1/((D_Points!$A$5:$A$204&lt;&gt;"")*(D_Points!$A$5:$A$204&gt;=$B188)*(D_Points!$A$5:$A$204&lt;$B188+P_Interval)*(UPPER(TRIM(D_Points!$B$5:$B$204))="PITCHING")*(D_Points!$H$5:$H$204&lt;&gt;"")),D_Points!$H$5:$H$204),"")</f>
        <v/>
      </c>
      <c r="P188" s="181" t="str">
        <f>IFERROR(LOOKUP(2,1/((B_Drainage!$A$5:$A$204&lt;&gt;"")*(B_Drainage!$A$5:$A$204&lt;=$B188)*(B_Drainage!$B$5:$B$204&gt;$B188)*(B_Drainage!$C$5:$C$204&lt;&gt;"")),IF(B_Drainage!$C$5:$C$204="-","",UPPER(B_Drainage!$C$5:$C$204))),"")</f>
        <v/>
      </c>
      <c r="Q188" s="181" t="str">
        <f>IFERROR(LOOKUP(2,1/((B_Drainage!$A$5:$A$204&lt;&gt;"")*(B_Drainage!$A$5:$A$204&lt;=$B188)*(B_Drainage!$B$5:$B$204&gt;$B188)*(B_Drainage!$D$5:$D$204&lt;&gt;"")),IF(B_Drainage!$D$5:$D$204="-","",UPPER(B_Drainage!$D$5:$D$204))),"")</f>
        <v/>
      </c>
      <c r="R188" s="182" t="str">
        <f>IFERROR(LOOKUP(2,1/((D_Points!$A$5:$A$204&lt;&gt;"")*(D_Points!$A$5:$A$204&gt;=$B188)*(D_Points!$A$5:$A$204&lt;$B188+P_Interval)*(RIGHT(UPPER(TRIM(D_Points!$B$5:$B$204)),8)="_CULVERT")),IF(LEFT(UPPER(TRIM(D_Points!$B$5:$B$204)),2)="EX",1,IF(LEFT(UPPER(TRIM(D_Points!$B$5:$B$204)),2)="PR",2,3))),"")</f>
        <v/>
      </c>
      <c r="S188" s="182" t="str">
        <f>IFERROR(LOOKUP(2,1/((D_Points!$A$5:$A$204&lt;&gt;"")*(D_Points!$A$5:$A$204&gt;=$B188)*(D_Points!$A$5:$A$204&lt;$B188+P_Interval)*(RIGHT(UPPER(TRIM(D_Points!$B$5:$B$204)),7)="_BRIDGE")),IF(LEFT(UPPER(TRIM(D_Points!$B$5:$B$204)),2)="EX",1,IF(LEFT(UPPER(TRIM(D_Points!$B$5:$B$204)),2)="PR",2,2))),"")</f>
        <v/>
      </c>
      <c r="T188" s="181" t="str">
        <f>IFERROR(LOOKUP(2,1/((B_Drainage!$A$5:$A$204&lt;&gt;"")*(B_Drainage!$A$5:$A$204&lt;=$B188)*(B_Drainage!$B$5:$B$204&gt;$B188)*(B_Drainage!$E$5:$E$204&lt;&gt;"")),IF(B_Drainage!$E$5:$E$204="-","",1)),"")</f>
        <v/>
      </c>
      <c r="U188" s="181" t="str">
        <f>IFERROR(LOOKUP(2,1/((B_Drainage!$A$5:$A$204&lt;&gt;"")*(B_Drainage!$A$5:$A$204&lt;=$B188)*(B_Drainage!$B$5:$B$204&gt;$B188)*(B_Drainage!$E$5:$E$204&lt;&gt;"")),IF(B_Drainage!$E$5:$E$204="-","",B_Drainage!$E$5:$E$204)),"")</f>
        <v/>
      </c>
      <c r="V188" s="181" t="str">
        <f>IFERROR(LOOKUP(2,1/((B_Drainage!$A$5:$A$204&lt;&gt;"")*(B_Drainage!$A$5:$A$204&lt;=$B188)*(B_Drainage!$B$5:$B$204&gt;$B188)*(B_Drainage!$F$5:$F$204&lt;&gt;"")),IF(B_Drainage!$F$5:$F$204="-","",1)),"")</f>
        <v/>
      </c>
      <c r="W188" s="181" t="str">
        <f>IFERROR(LOOKUP(2,1/((B_Drainage!$A$5:$A$204&lt;&gt;"")*(B_Drainage!$A$5:$A$204&lt;=$B188)*(B_Drainage!$B$5:$B$204&gt;$B188)*(B_Drainage!$F$5:$F$204&lt;&gt;"")),IF(B_Drainage!$F$5:$F$204="-","",B_Drainage!$F$5:$F$204)),"")</f>
        <v/>
      </c>
      <c r="X188" s="181" t="str">
        <f>IFERROR(LOOKUP(2,1/((B_Drainage!$A$5:$A$204&lt;&gt;"")*(B_Drainage!$A$5:$A$204&lt;=$B188)*(B_Drainage!$B$5:$B$204&gt;$B188)*(B_Drainage!$G$5:$G$204&lt;&gt;"")),IF(UPPER(B_Drainage!$G$5:$G$204)="Y",1,"")),"")</f>
        <v/>
      </c>
      <c r="Y188" s="181" t="str">
        <f>IFERROR(LOOKUP(2,1/((B_Drainage!$A$5:$A$204&lt;&gt;"")*(B_Drainage!$A$5:$A$204&lt;=$B188)*(B_Drainage!$B$5:$B$204&gt;$B188)*(B_Drainage!$H$5:$H$204&lt;&gt;"")),IF(UPPER(B_Drainage!$H$5:$H$204)="Y",1,"")),"")</f>
        <v/>
      </c>
      <c r="Z188" s="181" t="str">
        <f>IFERROR(LOOKUP(2,1/((B_Drainage!$A$5:$A$204&lt;&gt;"")*(B_Drainage!$A$5:$A$204&lt;=$B188)*(B_Drainage!$B$5:$B$204&gt;$B188)*(B_Drainage!$I$5:$I$204&lt;&gt;"")),IF(UPPER(B_Drainage!$I$5:$I$204)="Y",1,"")),"")</f>
        <v/>
      </c>
      <c r="AA188" s="181" t="str">
        <f>IFERROR(LOOKUP(2,1/((B_Drainage!$A$5:$A$204&lt;&gt;"")*(B_Drainage!$A$5:$A$204&lt;=$B188)*(B_Drainage!$B$5:$B$204&gt;$B188)*(B_Drainage!$J$5:$J$204&lt;&gt;"")),IF(UPPER(B_Drainage!$J$5:$J$204)="Y",1,"")),"")</f>
        <v/>
      </c>
      <c r="AB188" s="182" t="str">
        <f>IFERROR(LOOKUP(2,1/((B_Drainage!$A$5:$A$204&lt;&gt;"")*(B_Drainage!$A$5:$A$204&lt;=$B188)*(B_Drainage!$B$5:$B$204&gt;$B188)*(B_Drainage!$K$5:$K$204&lt;&gt;"")),IF(B_Drainage!$K$5:$K$204="-","",B_Drainage!$K$5:$K$204)),"")</f>
        <v/>
      </c>
      <c r="AC188" s="182" t="str">
        <f>IFERROR(LOOKUP(2,1/((B_Drainage!$A$5:$A$204&lt;&gt;"")*(B_Drainage!$A$5:$A$204&lt;=$B188)*(B_Drainage!$B$5:$B$204&gt;$B188)*(B_Drainage!$L$5:$L$204&lt;&gt;"")),IF(B_Drainage!$L$5:$L$204="-","",B_Drainage!$L$5:$L$204)),"")</f>
        <v/>
      </c>
      <c r="AD188" s="182" t="str">
        <f>IFERROR(LOOKUP(2,1/((D_Points!$A$5:$A$204&lt;&gt;"")*(D_Points!$A$5:$A$204&gt;=$B188)*(D_Points!$A$5:$A$204&lt;$B188+P_Interval)*(UPPER(TRIM(D_Points!$B$5:$B$204))="TURNOUT_L")*(D_Points!$H$5:$H$204&lt;&gt;"")),D_Points!$H$5:$H$204),"")</f>
        <v/>
      </c>
      <c r="AE188" s="182" t="str">
        <f>IFERROR(LOOKUP(2,1/((D_Points!$A$5:$A$204&lt;&gt;"")*(D_Points!$A$5:$A$204&gt;=$B188)*(D_Points!$A$5:$A$204&lt;$B188+P_Interval)*(UPPER(TRIM(D_Points!$B$5:$B$204))="TURNOUT_R")*(D_Points!$H$5:$H$204&lt;&gt;"")),D_Points!$H$5:$H$204),"")</f>
        <v/>
      </c>
      <c r="AF188" s="181" t="str">
        <f>IFERROR(LOOKUP(2,1/((B_Drainage!$A$5:$A$204&lt;&gt;"")*(B_Drainage!$A$5:$A$204&lt;=$B188)*(B_Drainage!$B$5:$B$204&gt;$B188)*(B_Drainage!$M$5:$M$204&lt;&gt;"")),IF(UPPER(B_Drainage!$M$5:$M$204)="Y",1,"")),"")</f>
        <v/>
      </c>
      <c r="AG188" s="181" t="str">
        <f>IFERROR(LOOKUP(2,1/((B_Drainage!$A$5:$A$204&lt;&gt;"")*(B_Drainage!$A$5:$A$204&lt;=$B188)*(B_Drainage!$B$5:$B$204&gt;$B188)*(B_Drainage!$N$5:$N$204&lt;&gt;"")),IF(UPPER(B_Drainage!$N$5:$N$204)="Y",1,"")),"")</f>
        <v/>
      </c>
      <c r="AH188" s="181" t="str">
        <f t="shared" si="16"/>
        <v/>
      </c>
      <c r="AI188" s="181" t="str">
        <f t="shared" si="17"/>
        <v/>
      </c>
      <c r="AJ188" s="181" t="str">
        <f t="shared" si="18"/>
        <v/>
      </c>
      <c r="AK188" s="181" t="str">
        <f t="shared" si="19"/>
        <v/>
      </c>
      <c r="AL188" s="181" t="str">
        <f t="shared" si="20"/>
        <v/>
      </c>
      <c r="AM188" s="181" t="str">
        <f t="shared" si="21"/>
        <v/>
      </c>
      <c r="AN188" s="181" t="str">
        <f t="shared" si="22"/>
        <v/>
      </c>
      <c r="AO188" s="192" t="str">
        <f t="shared" si="23"/>
        <v/>
      </c>
      <c r="AQ188" t="str">
        <f>IFERROR(LOOKUP(2,1/((C_Pavement!$A$5:$A$204&lt;&gt;"")*(C_Pavement!$A$5:$A$204&lt;=$B188)*(C_Pavement!$B$5:$B$204&gt;$B188)*(C_Pavement!$C$5:$C$204&lt;&gt;"")),ROW(C_Pavement!$C$5:$C$204)-4),"")</f>
        <v/>
      </c>
      <c r="AR188" t="str">
        <f>IF($AQ188="","",UPPER(TRIM(INDEX(C_Pavement!$C$5:$C$204,$AQ188))))</f>
        <v/>
      </c>
      <c r="AS188" t="str">
        <f>IF($AR188="","",IFERROR(MATCH($AR188,E_Rules!$A$5:$A$9,0),""))</f>
        <v/>
      </c>
      <c r="AT188" t="str">
        <f>IF($AQ188="","",IF(INDEX(C_Pavement!$D$5:$D$204,$AQ188)&lt;&gt;"",UPPER(TRIM(INDEX(C_Pavement!$D$5:$D$204,$AQ188))),IF($AS188="","",INDEX(E_Rules!$C$5:$C$9,$AS188))))</f>
        <v/>
      </c>
      <c r="AU188" t="str">
        <f>IF($AQ188="","",IF(INDEX(C_Pavement!$E$5:$E$204,$AQ188)&lt;&gt;"",IF(INDEX(C_Pavement!$E$5:$E$204,$AQ188)="-","",INDEX(C_Pavement!$E$5:$E$204,$AQ188)),IF($AS188="","",INDEX(E_Rules!$D$5:$D$9,$AS188))))</f>
        <v/>
      </c>
      <c r="AV188" t="str">
        <f>IF($AQ188="","",IF(INDEX(C_Pavement!$F$5:$F$204,$AQ188)&lt;&gt;"",IF(INDEX(C_Pavement!$F$5:$F$204,$AQ188)="-","",INDEX(C_Pavement!$F$5:$F$204,$AQ188)),IF($AS188="","",INDEX(E_Rules!$E$5:$E$9,$AS188))))</f>
        <v/>
      </c>
      <c r="AW188" t="str">
        <f>IF($AQ188="","",IF(INDEX(C_Pavement!$G$5:$G$204,$AQ188)&lt;&gt;"",IF(INDEX(C_Pavement!$G$5:$G$204,$AQ188)="-","",INDEX(C_Pavement!$G$5:$G$204,$AQ188)),IF($AS188="","",INDEX(E_Rules!$F$5:$F$9,$AS188))))</f>
        <v/>
      </c>
      <c r="AX188" t="str">
        <f>IF($AQ188="","",IF(INDEX(C_Pavement!$H$5:$H$204,$AQ188)&lt;&gt;"",IF(INDEX(C_Pavement!$H$5:$H$204,$AQ188)="-","",INDEX(C_Pavement!$H$5:$H$204,$AQ188)),IF($AS188="","",INDEX(E_Rules!$G$5:$G$9,$AS188))))</f>
        <v/>
      </c>
      <c r="AY188" t="str">
        <f>IF($AQ188="","",IF(INDEX(C_Pavement!$I$5:$I$204,$AQ188)&lt;&gt;"",IF(INDEX(C_Pavement!$I$5:$I$204,$AQ188)="-","",INDEX(C_Pavement!$I$5:$I$204,$AQ188)),IF($AS188="","",INDEX(E_Rules!$H$5:$H$9,$AS188))))</f>
        <v/>
      </c>
    </row>
    <row r="189" spans="1:51" ht="15.75" customHeight="1" x14ac:dyDescent="0.3">
      <c r="A189" s="189">
        <v>184</v>
      </c>
      <c r="B189" s="180">
        <v>9150</v>
      </c>
      <c r="C189" s="180" t="s">
        <v>495</v>
      </c>
      <c r="D189" s="181" t="str">
        <f>IFERROR(LOOKUP(2,1/((A_Corridor!$A$5:$A$204&lt;&gt;"")*(A_Corridor!$A$5:$A$204&lt;=$B189)*(A_Corridor!$B$5:$B$204&gt;$B189)*(A_Corridor!$C$5:$C$204&lt;&gt;"")),IF(UPPER(A_Corridor!$C$5:$C$204)="Y",1,"")),"")</f>
        <v/>
      </c>
      <c r="E189" s="181" t="str">
        <f>IFERROR(LOOKUP(2,1/((A_Corridor!$A$5:$A$204&lt;&gt;"")*(A_Corridor!$A$5:$A$204&lt;=$B189)*(A_Corridor!$B$5:$B$204&gt;$B189)*(A_Corridor!$D$5:$D$204&lt;&gt;"")),IF(A_Corridor!$D$5:$D$204="-","",UPPER(A_Corridor!$D$5:$D$204))),"")</f>
        <v/>
      </c>
      <c r="F189" s="181" t="str">
        <f>IFERROR(LOOKUP(2,1/((A_Corridor!$A$5:$A$204&lt;&gt;"")*(A_Corridor!$A$5:$A$204&lt;=$B189)*(A_Corridor!$B$5:$B$204&gt;$B189)*(A_Corridor!$E$5:$E$204&lt;&gt;"")),IF(A_Corridor!$E$5:$E$204="-","",1)),"")</f>
        <v/>
      </c>
      <c r="G189" s="182" t="str">
        <f>IFERROR(LOOKUP(2,1/((A_Corridor!$A$5:$A$204&lt;&gt;"")*(A_Corridor!$A$5:$A$204&lt;=$B189)*(A_Corridor!$B$5:$B$204&gt;$B189)*(A_Corridor!$E$5:$E$204&lt;&gt;"")),IF(A_Corridor!$E$5:$E$204="-","",A_Corridor!$E$5:$E$204)),"")</f>
        <v/>
      </c>
      <c r="H189" s="182" t="str">
        <f>IFERROR(LOOKUP(2,1/((D_Points!$A$5:$A$204&lt;&gt;"")*(D_Points!$A$5:$A$204&gt;=$B189)*(D_Points!$A$5:$A$204&lt;$B189+P_Interval)*(UPPER(TRIM(D_Points!$B$5:$B$204))="GULLY")*(D_Points!$H$5:$H$204&lt;&gt;"")),D_Points!$H$5:$H$204),"")</f>
        <v/>
      </c>
      <c r="I189" s="181" t="str">
        <f>IFERROR(LOOKUP(2,1/((A_Corridor!$A$5:$A$204&lt;&gt;"")*(A_Corridor!$A$5:$A$204&lt;=$B189)*(A_Corridor!$B$5:$B$204&gt;$B189)*(A_Corridor!$F$5:$F$204&lt;&gt;"")),IF(A_Corridor!$F$5:$F$204="-","",1)),"")</f>
        <v/>
      </c>
      <c r="J189" s="182" t="str">
        <f>IFERROR(LOOKUP(2,1/((A_Corridor!$A$5:$A$204&lt;&gt;"")*(A_Corridor!$A$5:$A$204&lt;=$B189)*(A_Corridor!$B$5:$B$204&gt;$B189)*(A_Corridor!$F$5:$F$204&lt;&gt;"")),IF(A_Corridor!$F$5:$F$204="-","",A_Corridor!$F$5:$F$204)),"")</f>
        <v/>
      </c>
      <c r="K189" s="182" t="str">
        <f>IFERROR(LOOKUP(2,1/((A_Corridor!$A$5:$A$204&lt;&gt;"")*(A_Corridor!$A$5:$A$204&lt;=$B189)*(A_Corridor!$B$5:$B$204&gt;$B189)*(A_Corridor!$G$5:$G$204&lt;&gt;"")),IF(A_Corridor!$G$5:$G$204="-","",A_Corridor!$G$5:$G$204)),"")</f>
        <v/>
      </c>
      <c r="L189" s="181" t="str">
        <f>IFERROR(LOOKUP(2,1/((A_Corridor!$A$5:$A$204&lt;&gt;"")*(A_Corridor!$A$5:$A$204&lt;=$B189)*(A_Corridor!$B$5:$B$204&gt;$B189)*(A_Corridor!$H$5:$H$204&lt;&gt;"")),IF(A_Corridor!$H$5:$H$204="-","",1)),"")</f>
        <v/>
      </c>
      <c r="M189" s="182" t="str">
        <f>IFERROR(LOOKUP(2,1/((A_Corridor!$A$5:$A$204&lt;&gt;"")*(A_Corridor!$A$5:$A$204&lt;=$B189)*(A_Corridor!$B$5:$B$204&gt;$B189)*(A_Corridor!$H$5:$H$204&lt;&gt;"")),IF(A_Corridor!$H$5:$H$204="-","",A_Corridor!$H$5:$H$204)),"")</f>
        <v/>
      </c>
      <c r="N189" s="182" t="str">
        <f>IFERROR(LOOKUP(2,1/((A_Corridor!$A$5:$A$204&lt;&gt;"")*(A_Corridor!$A$5:$A$204&lt;=$B189)*(A_Corridor!$B$5:$B$204&gt;$B189)*(A_Corridor!$I$5:$I$204&lt;&gt;"")),IF(A_Corridor!$I$5:$I$204="-","",A_Corridor!$I$5:$I$204)),"")</f>
        <v/>
      </c>
      <c r="O189" s="182" t="str">
        <f>IFERROR(LOOKUP(2,1/((D_Points!$A$5:$A$204&lt;&gt;"")*(D_Points!$A$5:$A$204&gt;=$B189)*(D_Points!$A$5:$A$204&lt;$B189+P_Interval)*(UPPER(TRIM(D_Points!$B$5:$B$204))="PITCHING")*(D_Points!$H$5:$H$204&lt;&gt;"")),D_Points!$H$5:$H$204),"")</f>
        <v/>
      </c>
      <c r="P189" s="181" t="str">
        <f>IFERROR(LOOKUP(2,1/((B_Drainage!$A$5:$A$204&lt;&gt;"")*(B_Drainage!$A$5:$A$204&lt;=$B189)*(B_Drainage!$B$5:$B$204&gt;$B189)*(B_Drainage!$C$5:$C$204&lt;&gt;"")),IF(B_Drainage!$C$5:$C$204="-","",UPPER(B_Drainage!$C$5:$C$204))),"")</f>
        <v/>
      </c>
      <c r="Q189" s="181" t="str">
        <f>IFERROR(LOOKUP(2,1/((B_Drainage!$A$5:$A$204&lt;&gt;"")*(B_Drainage!$A$5:$A$204&lt;=$B189)*(B_Drainage!$B$5:$B$204&gt;$B189)*(B_Drainage!$D$5:$D$204&lt;&gt;"")),IF(B_Drainage!$D$5:$D$204="-","",UPPER(B_Drainage!$D$5:$D$204))),"")</f>
        <v/>
      </c>
      <c r="R189" s="182" t="str">
        <f>IFERROR(LOOKUP(2,1/((D_Points!$A$5:$A$204&lt;&gt;"")*(D_Points!$A$5:$A$204&gt;=$B189)*(D_Points!$A$5:$A$204&lt;$B189+P_Interval)*(RIGHT(UPPER(TRIM(D_Points!$B$5:$B$204)),8)="_CULVERT")),IF(LEFT(UPPER(TRIM(D_Points!$B$5:$B$204)),2)="EX",1,IF(LEFT(UPPER(TRIM(D_Points!$B$5:$B$204)),2)="PR",2,3))),"")</f>
        <v/>
      </c>
      <c r="S189" s="182" t="str">
        <f>IFERROR(LOOKUP(2,1/((D_Points!$A$5:$A$204&lt;&gt;"")*(D_Points!$A$5:$A$204&gt;=$B189)*(D_Points!$A$5:$A$204&lt;$B189+P_Interval)*(RIGHT(UPPER(TRIM(D_Points!$B$5:$B$204)),7)="_BRIDGE")),IF(LEFT(UPPER(TRIM(D_Points!$B$5:$B$204)),2)="EX",1,IF(LEFT(UPPER(TRIM(D_Points!$B$5:$B$204)),2)="PR",2,2))),"")</f>
        <v/>
      </c>
      <c r="T189" s="181" t="str">
        <f>IFERROR(LOOKUP(2,1/((B_Drainage!$A$5:$A$204&lt;&gt;"")*(B_Drainage!$A$5:$A$204&lt;=$B189)*(B_Drainage!$B$5:$B$204&gt;$B189)*(B_Drainage!$E$5:$E$204&lt;&gt;"")),IF(B_Drainage!$E$5:$E$204="-","",1)),"")</f>
        <v/>
      </c>
      <c r="U189" s="181" t="str">
        <f>IFERROR(LOOKUP(2,1/((B_Drainage!$A$5:$A$204&lt;&gt;"")*(B_Drainage!$A$5:$A$204&lt;=$B189)*(B_Drainage!$B$5:$B$204&gt;$B189)*(B_Drainage!$E$5:$E$204&lt;&gt;"")),IF(B_Drainage!$E$5:$E$204="-","",B_Drainage!$E$5:$E$204)),"")</f>
        <v/>
      </c>
      <c r="V189" s="181" t="str">
        <f>IFERROR(LOOKUP(2,1/((B_Drainage!$A$5:$A$204&lt;&gt;"")*(B_Drainage!$A$5:$A$204&lt;=$B189)*(B_Drainage!$B$5:$B$204&gt;$B189)*(B_Drainage!$F$5:$F$204&lt;&gt;"")),IF(B_Drainage!$F$5:$F$204="-","",1)),"")</f>
        <v/>
      </c>
      <c r="W189" s="181" t="str">
        <f>IFERROR(LOOKUP(2,1/((B_Drainage!$A$5:$A$204&lt;&gt;"")*(B_Drainage!$A$5:$A$204&lt;=$B189)*(B_Drainage!$B$5:$B$204&gt;$B189)*(B_Drainage!$F$5:$F$204&lt;&gt;"")),IF(B_Drainage!$F$5:$F$204="-","",B_Drainage!$F$5:$F$204)),"")</f>
        <v/>
      </c>
      <c r="X189" s="181" t="str">
        <f>IFERROR(LOOKUP(2,1/((B_Drainage!$A$5:$A$204&lt;&gt;"")*(B_Drainage!$A$5:$A$204&lt;=$B189)*(B_Drainage!$B$5:$B$204&gt;$B189)*(B_Drainage!$G$5:$G$204&lt;&gt;"")),IF(UPPER(B_Drainage!$G$5:$G$204)="Y",1,"")),"")</f>
        <v/>
      </c>
      <c r="Y189" s="181" t="str">
        <f>IFERROR(LOOKUP(2,1/((B_Drainage!$A$5:$A$204&lt;&gt;"")*(B_Drainage!$A$5:$A$204&lt;=$B189)*(B_Drainage!$B$5:$B$204&gt;$B189)*(B_Drainage!$H$5:$H$204&lt;&gt;"")),IF(UPPER(B_Drainage!$H$5:$H$204)="Y",1,"")),"")</f>
        <v/>
      </c>
      <c r="Z189" s="181" t="str">
        <f>IFERROR(LOOKUP(2,1/((B_Drainage!$A$5:$A$204&lt;&gt;"")*(B_Drainage!$A$5:$A$204&lt;=$B189)*(B_Drainage!$B$5:$B$204&gt;$B189)*(B_Drainage!$I$5:$I$204&lt;&gt;"")),IF(UPPER(B_Drainage!$I$5:$I$204)="Y",1,"")),"")</f>
        <v/>
      </c>
      <c r="AA189" s="181" t="str">
        <f>IFERROR(LOOKUP(2,1/((B_Drainage!$A$5:$A$204&lt;&gt;"")*(B_Drainage!$A$5:$A$204&lt;=$B189)*(B_Drainage!$B$5:$B$204&gt;$B189)*(B_Drainage!$J$5:$J$204&lt;&gt;"")),IF(UPPER(B_Drainage!$J$5:$J$204)="Y",1,"")),"")</f>
        <v/>
      </c>
      <c r="AB189" s="182" t="str">
        <f>IFERROR(LOOKUP(2,1/((B_Drainage!$A$5:$A$204&lt;&gt;"")*(B_Drainage!$A$5:$A$204&lt;=$B189)*(B_Drainage!$B$5:$B$204&gt;$B189)*(B_Drainage!$K$5:$K$204&lt;&gt;"")),IF(B_Drainage!$K$5:$K$204="-","",B_Drainage!$K$5:$K$204)),"")</f>
        <v/>
      </c>
      <c r="AC189" s="182" t="str">
        <f>IFERROR(LOOKUP(2,1/((B_Drainage!$A$5:$A$204&lt;&gt;"")*(B_Drainage!$A$5:$A$204&lt;=$B189)*(B_Drainage!$B$5:$B$204&gt;$B189)*(B_Drainage!$L$5:$L$204&lt;&gt;"")),IF(B_Drainage!$L$5:$L$204="-","",B_Drainage!$L$5:$L$204)),"")</f>
        <v/>
      </c>
      <c r="AD189" s="182" t="str">
        <f>IFERROR(LOOKUP(2,1/((D_Points!$A$5:$A$204&lt;&gt;"")*(D_Points!$A$5:$A$204&gt;=$B189)*(D_Points!$A$5:$A$204&lt;$B189+P_Interval)*(UPPER(TRIM(D_Points!$B$5:$B$204))="TURNOUT_L")*(D_Points!$H$5:$H$204&lt;&gt;"")),D_Points!$H$5:$H$204),"")</f>
        <v/>
      </c>
      <c r="AE189" s="182" t="str">
        <f>IFERROR(LOOKUP(2,1/((D_Points!$A$5:$A$204&lt;&gt;"")*(D_Points!$A$5:$A$204&gt;=$B189)*(D_Points!$A$5:$A$204&lt;$B189+P_Interval)*(UPPER(TRIM(D_Points!$B$5:$B$204))="TURNOUT_R")*(D_Points!$H$5:$H$204&lt;&gt;"")),D_Points!$H$5:$H$204),"")</f>
        <v/>
      </c>
      <c r="AF189" s="181" t="str">
        <f>IFERROR(LOOKUP(2,1/((B_Drainage!$A$5:$A$204&lt;&gt;"")*(B_Drainage!$A$5:$A$204&lt;=$B189)*(B_Drainage!$B$5:$B$204&gt;$B189)*(B_Drainage!$M$5:$M$204&lt;&gt;"")),IF(UPPER(B_Drainage!$M$5:$M$204)="Y",1,"")),"")</f>
        <v/>
      </c>
      <c r="AG189" s="181" t="str">
        <f>IFERROR(LOOKUP(2,1/((B_Drainage!$A$5:$A$204&lt;&gt;"")*(B_Drainage!$A$5:$A$204&lt;=$B189)*(B_Drainage!$B$5:$B$204&gt;$B189)*(B_Drainage!$N$5:$N$204&lt;&gt;"")),IF(UPPER(B_Drainage!$N$5:$N$204)="Y",1,"")),"")</f>
        <v/>
      </c>
      <c r="AH189" s="181" t="str">
        <f t="shared" si="16"/>
        <v/>
      </c>
      <c r="AI189" s="181" t="str">
        <f t="shared" si="17"/>
        <v/>
      </c>
      <c r="AJ189" s="181" t="str">
        <f t="shared" si="18"/>
        <v/>
      </c>
      <c r="AK189" s="181" t="str">
        <f t="shared" si="19"/>
        <v/>
      </c>
      <c r="AL189" s="181" t="str">
        <f t="shared" si="20"/>
        <v/>
      </c>
      <c r="AM189" s="181" t="str">
        <f t="shared" si="21"/>
        <v/>
      </c>
      <c r="AN189" s="181" t="str">
        <f t="shared" si="22"/>
        <v/>
      </c>
      <c r="AO189" s="192" t="str">
        <f t="shared" si="23"/>
        <v/>
      </c>
      <c r="AQ189" t="str">
        <f>IFERROR(LOOKUP(2,1/((C_Pavement!$A$5:$A$204&lt;&gt;"")*(C_Pavement!$A$5:$A$204&lt;=$B189)*(C_Pavement!$B$5:$B$204&gt;$B189)*(C_Pavement!$C$5:$C$204&lt;&gt;"")),ROW(C_Pavement!$C$5:$C$204)-4),"")</f>
        <v/>
      </c>
      <c r="AR189" t="str">
        <f>IF($AQ189="","",UPPER(TRIM(INDEX(C_Pavement!$C$5:$C$204,$AQ189))))</f>
        <v/>
      </c>
      <c r="AS189" t="str">
        <f>IF($AR189="","",IFERROR(MATCH($AR189,E_Rules!$A$5:$A$9,0),""))</f>
        <v/>
      </c>
      <c r="AT189" t="str">
        <f>IF($AQ189="","",IF(INDEX(C_Pavement!$D$5:$D$204,$AQ189)&lt;&gt;"",UPPER(TRIM(INDEX(C_Pavement!$D$5:$D$204,$AQ189))),IF($AS189="","",INDEX(E_Rules!$C$5:$C$9,$AS189))))</f>
        <v/>
      </c>
      <c r="AU189" t="str">
        <f>IF($AQ189="","",IF(INDEX(C_Pavement!$E$5:$E$204,$AQ189)&lt;&gt;"",IF(INDEX(C_Pavement!$E$5:$E$204,$AQ189)="-","",INDEX(C_Pavement!$E$5:$E$204,$AQ189)),IF($AS189="","",INDEX(E_Rules!$D$5:$D$9,$AS189))))</f>
        <v/>
      </c>
      <c r="AV189" t="str">
        <f>IF($AQ189="","",IF(INDEX(C_Pavement!$F$5:$F$204,$AQ189)&lt;&gt;"",IF(INDEX(C_Pavement!$F$5:$F$204,$AQ189)="-","",INDEX(C_Pavement!$F$5:$F$204,$AQ189)),IF($AS189="","",INDEX(E_Rules!$E$5:$E$9,$AS189))))</f>
        <v/>
      </c>
      <c r="AW189" t="str">
        <f>IF($AQ189="","",IF(INDEX(C_Pavement!$G$5:$G$204,$AQ189)&lt;&gt;"",IF(INDEX(C_Pavement!$G$5:$G$204,$AQ189)="-","",INDEX(C_Pavement!$G$5:$G$204,$AQ189)),IF($AS189="","",INDEX(E_Rules!$F$5:$F$9,$AS189))))</f>
        <v/>
      </c>
      <c r="AX189" t="str">
        <f>IF($AQ189="","",IF(INDEX(C_Pavement!$H$5:$H$204,$AQ189)&lt;&gt;"",IF(INDEX(C_Pavement!$H$5:$H$204,$AQ189)="-","",INDEX(C_Pavement!$H$5:$H$204,$AQ189)),IF($AS189="","",INDEX(E_Rules!$G$5:$G$9,$AS189))))</f>
        <v/>
      </c>
      <c r="AY189" t="str">
        <f>IF($AQ189="","",IF(INDEX(C_Pavement!$I$5:$I$204,$AQ189)&lt;&gt;"",IF(INDEX(C_Pavement!$I$5:$I$204,$AQ189)="-","",INDEX(C_Pavement!$I$5:$I$204,$AQ189)),IF($AS189="","",INDEX(E_Rules!$H$5:$H$9,$AS189))))</f>
        <v/>
      </c>
    </row>
    <row r="190" spans="1:51" ht="15.75" customHeight="1" x14ac:dyDescent="0.3">
      <c r="A190" s="189">
        <v>185</v>
      </c>
      <c r="B190" s="180">
        <v>9200</v>
      </c>
      <c r="C190" s="180" t="s">
        <v>496</v>
      </c>
      <c r="D190" s="181" t="str">
        <f>IFERROR(LOOKUP(2,1/((A_Corridor!$A$5:$A$204&lt;&gt;"")*(A_Corridor!$A$5:$A$204&lt;=$B190)*(A_Corridor!$B$5:$B$204&gt;$B190)*(A_Corridor!$C$5:$C$204&lt;&gt;"")),IF(UPPER(A_Corridor!$C$5:$C$204)="Y",1,"")),"")</f>
        <v/>
      </c>
      <c r="E190" s="181" t="str">
        <f>IFERROR(LOOKUP(2,1/((A_Corridor!$A$5:$A$204&lt;&gt;"")*(A_Corridor!$A$5:$A$204&lt;=$B190)*(A_Corridor!$B$5:$B$204&gt;$B190)*(A_Corridor!$D$5:$D$204&lt;&gt;"")),IF(A_Corridor!$D$5:$D$204="-","",UPPER(A_Corridor!$D$5:$D$204))),"")</f>
        <v/>
      </c>
      <c r="F190" s="181" t="str">
        <f>IFERROR(LOOKUP(2,1/((A_Corridor!$A$5:$A$204&lt;&gt;"")*(A_Corridor!$A$5:$A$204&lt;=$B190)*(A_Corridor!$B$5:$B$204&gt;$B190)*(A_Corridor!$E$5:$E$204&lt;&gt;"")),IF(A_Corridor!$E$5:$E$204="-","",1)),"")</f>
        <v/>
      </c>
      <c r="G190" s="182" t="str">
        <f>IFERROR(LOOKUP(2,1/((A_Corridor!$A$5:$A$204&lt;&gt;"")*(A_Corridor!$A$5:$A$204&lt;=$B190)*(A_Corridor!$B$5:$B$204&gt;$B190)*(A_Corridor!$E$5:$E$204&lt;&gt;"")),IF(A_Corridor!$E$5:$E$204="-","",A_Corridor!$E$5:$E$204)),"")</f>
        <v/>
      </c>
      <c r="H190" s="182" t="str">
        <f>IFERROR(LOOKUP(2,1/((D_Points!$A$5:$A$204&lt;&gt;"")*(D_Points!$A$5:$A$204&gt;=$B190)*(D_Points!$A$5:$A$204&lt;$B190+P_Interval)*(UPPER(TRIM(D_Points!$B$5:$B$204))="GULLY")*(D_Points!$H$5:$H$204&lt;&gt;"")),D_Points!$H$5:$H$204),"")</f>
        <v/>
      </c>
      <c r="I190" s="181" t="str">
        <f>IFERROR(LOOKUP(2,1/((A_Corridor!$A$5:$A$204&lt;&gt;"")*(A_Corridor!$A$5:$A$204&lt;=$B190)*(A_Corridor!$B$5:$B$204&gt;$B190)*(A_Corridor!$F$5:$F$204&lt;&gt;"")),IF(A_Corridor!$F$5:$F$204="-","",1)),"")</f>
        <v/>
      </c>
      <c r="J190" s="182" t="str">
        <f>IFERROR(LOOKUP(2,1/((A_Corridor!$A$5:$A$204&lt;&gt;"")*(A_Corridor!$A$5:$A$204&lt;=$B190)*(A_Corridor!$B$5:$B$204&gt;$B190)*(A_Corridor!$F$5:$F$204&lt;&gt;"")),IF(A_Corridor!$F$5:$F$204="-","",A_Corridor!$F$5:$F$204)),"")</f>
        <v/>
      </c>
      <c r="K190" s="182" t="str">
        <f>IFERROR(LOOKUP(2,1/((A_Corridor!$A$5:$A$204&lt;&gt;"")*(A_Corridor!$A$5:$A$204&lt;=$B190)*(A_Corridor!$B$5:$B$204&gt;$B190)*(A_Corridor!$G$5:$G$204&lt;&gt;"")),IF(A_Corridor!$G$5:$G$204="-","",A_Corridor!$G$5:$G$204)),"")</f>
        <v/>
      </c>
      <c r="L190" s="181" t="str">
        <f>IFERROR(LOOKUP(2,1/((A_Corridor!$A$5:$A$204&lt;&gt;"")*(A_Corridor!$A$5:$A$204&lt;=$B190)*(A_Corridor!$B$5:$B$204&gt;$B190)*(A_Corridor!$H$5:$H$204&lt;&gt;"")),IF(A_Corridor!$H$5:$H$204="-","",1)),"")</f>
        <v/>
      </c>
      <c r="M190" s="182" t="str">
        <f>IFERROR(LOOKUP(2,1/((A_Corridor!$A$5:$A$204&lt;&gt;"")*(A_Corridor!$A$5:$A$204&lt;=$B190)*(A_Corridor!$B$5:$B$204&gt;$B190)*(A_Corridor!$H$5:$H$204&lt;&gt;"")),IF(A_Corridor!$H$5:$H$204="-","",A_Corridor!$H$5:$H$204)),"")</f>
        <v/>
      </c>
      <c r="N190" s="182" t="str">
        <f>IFERROR(LOOKUP(2,1/((A_Corridor!$A$5:$A$204&lt;&gt;"")*(A_Corridor!$A$5:$A$204&lt;=$B190)*(A_Corridor!$B$5:$B$204&gt;$B190)*(A_Corridor!$I$5:$I$204&lt;&gt;"")),IF(A_Corridor!$I$5:$I$204="-","",A_Corridor!$I$5:$I$204)),"")</f>
        <v/>
      </c>
      <c r="O190" s="182" t="str">
        <f>IFERROR(LOOKUP(2,1/((D_Points!$A$5:$A$204&lt;&gt;"")*(D_Points!$A$5:$A$204&gt;=$B190)*(D_Points!$A$5:$A$204&lt;$B190+P_Interval)*(UPPER(TRIM(D_Points!$B$5:$B$204))="PITCHING")*(D_Points!$H$5:$H$204&lt;&gt;"")),D_Points!$H$5:$H$204),"")</f>
        <v/>
      </c>
      <c r="P190" s="181" t="str">
        <f>IFERROR(LOOKUP(2,1/((B_Drainage!$A$5:$A$204&lt;&gt;"")*(B_Drainage!$A$5:$A$204&lt;=$B190)*(B_Drainage!$B$5:$B$204&gt;$B190)*(B_Drainage!$C$5:$C$204&lt;&gt;"")),IF(B_Drainage!$C$5:$C$204="-","",UPPER(B_Drainage!$C$5:$C$204))),"")</f>
        <v/>
      </c>
      <c r="Q190" s="181" t="str">
        <f>IFERROR(LOOKUP(2,1/((B_Drainage!$A$5:$A$204&lt;&gt;"")*(B_Drainage!$A$5:$A$204&lt;=$B190)*(B_Drainage!$B$5:$B$204&gt;$B190)*(B_Drainage!$D$5:$D$204&lt;&gt;"")),IF(B_Drainage!$D$5:$D$204="-","",UPPER(B_Drainage!$D$5:$D$204))),"")</f>
        <v/>
      </c>
      <c r="R190" s="182" t="str">
        <f>IFERROR(LOOKUP(2,1/((D_Points!$A$5:$A$204&lt;&gt;"")*(D_Points!$A$5:$A$204&gt;=$B190)*(D_Points!$A$5:$A$204&lt;$B190+P_Interval)*(RIGHT(UPPER(TRIM(D_Points!$B$5:$B$204)),8)="_CULVERT")),IF(LEFT(UPPER(TRIM(D_Points!$B$5:$B$204)),2)="EX",1,IF(LEFT(UPPER(TRIM(D_Points!$B$5:$B$204)),2)="PR",2,3))),"")</f>
        <v/>
      </c>
      <c r="S190" s="182" t="str">
        <f>IFERROR(LOOKUP(2,1/((D_Points!$A$5:$A$204&lt;&gt;"")*(D_Points!$A$5:$A$204&gt;=$B190)*(D_Points!$A$5:$A$204&lt;$B190+P_Interval)*(RIGHT(UPPER(TRIM(D_Points!$B$5:$B$204)),7)="_BRIDGE")),IF(LEFT(UPPER(TRIM(D_Points!$B$5:$B$204)),2)="EX",1,IF(LEFT(UPPER(TRIM(D_Points!$B$5:$B$204)),2)="PR",2,2))),"")</f>
        <v/>
      </c>
      <c r="T190" s="181" t="str">
        <f>IFERROR(LOOKUP(2,1/((B_Drainage!$A$5:$A$204&lt;&gt;"")*(B_Drainage!$A$5:$A$204&lt;=$B190)*(B_Drainage!$B$5:$B$204&gt;$B190)*(B_Drainage!$E$5:$E$204&lt;&gt;"")),IF(B_Drainage!$E$5:$E$204="-","",1)),"")</f>
        <v/>
      </c>
      <c r="U190" s="181" t="str">
        <f>IFERROR(LOOKUP(2,1/((B_Drainage!$A$5:$A$204&lt;&gt;"")*(B_Drainage!$A$5:$A$204&lt;=$B190)*(B_Drainage!$B$5:$B$204&gt;$B190)*(B_Drainage!$E$5:$E$204&lt;&gt;"")),IF(B_Drainage!$E$5:$E$204="-","",B_Drainage!$E$5:$E$204)),"")</f>
        <v/>
      </c>
      <c r="V190" s="181" t="str">
        <f>IFERROR(LOOKUP(2,1/((B_Drainage!$A$5:$A$204&lt;&gt;"")*(B_Drainage!$A$5:$A$204&lt;=$B190)*(B_Drainage!$B$5:$B$204&gt;$B190)*(B_Drainage!$F$5:$F$204&lt;&gt;"")),IF(B_Drainage!$F$5:$F$204="-","",1)),"")</f>
        <v/>
      </c>
      <c r="W190" s="181" t="str">
        <f>IFERROR(LOOKUP(2,1/((B_Drainage!$A$5:$A$204&lt;&gt;"")*(B_Drainage!$A$5:$A$204&lt;=$B190)*(B_Drainage!$B$5:$B$204&gt;$B190)*(B_Drainage!$F$5:$F$204&lt;&gt;"")),IF(B_Drainage!$F$5:$F$204="-","",B_Drainage!$F$5:$F$204)),"")</f>
        <v/>
      </c>
      <c r="X190" s="181" t="str">
        <f>IFERROR(LOOKUP(2,1/((B_Drainage!$A$5:$A$204&lt;&gt;"")*(B_Drainage!$A$5:$A$204&lt;=$B190)*(B_Drainage!$B$5:$B$204&gt;$B190)*(B_Drainage!$G$5:$G$204&lt;&gt;"")),IF(UPPER(B_Drainage!$G$5:$G$204)="Y",1,"")),"")</f>
        <v/>
      </c>
      <c r="Y190" s="181" t="str">
        <f>IFERROR(LOOKUP(2,1/((B_Drainage!$A$5:$A$204&lt;&gt;"")*(B_Drainage!$A$5:$A$204&lt;=$B190)*(B_Drainage!$B$5:$B$204&gt;$B190)*(B_Drainage!$H$5:$H$204&lt;&gt;"")),IF(UPPER(B_Drainage!$H$5:$H$204)="Y",1,"")),"")</f>
        <v/>
      </c>
      <c r="Z190" s="181" t="str">
        <f>IFERROR(LOOKUP(2,1/((B_Drainage!$A$5:$A$204&lt;&gt;"")*(B_Drainage!$A$5:$A$204&lt;=$B190)*(B_Drainage!$B$5:$B$204&gt;$B190)*(B_Drainage!$I$5:$I$204&lt;&gt;"")),IF(UPPER(B_Drainage!$I$5:$I$204)="Y",1,"")),"")</f>
        <v/>
      </c>
      <c r="AA190" s="181" t="str">
        <f>IFERROR(LOOKUP(2,1/((B_Drainage!$A$5:$A$204&lt;&gt;"")*(B_Drainage!$A$5:$A$204&lt;=$B190)*(B_Drainage!$B$5:$B$204&gt;$B190)*(B_Drainage!$J$5:$J$204&lt;&gt;"")),IF(UPPER(B_Drainage!$J$5:$J$204)="Y",1,"")),"")</f>
        <v/>
      </c>
      <c r="AB190" s="182" t="str">
        <f>IFERROR(LOOKUP(2,1/((B_Drainage!$A$5:$A$204&lt;&gt;"")*(B_Drainage!$A$5:$A$204&lt;=$B190)*(B_Drainage!$B$5:$B$204&gt;$B190)*(B_Drainage!$K$5:$K$204&lt;&gt;"")),IF(B_Drainage!$K$5:$K$204="-","",B_Drainage!$K$5:$K$204)),"")</f>
        <v/>
      </c>
      <c r="AC190" s="182" t="str">
        <f>IFERROR(LOOKUP(2,1/((B_Drainage!$A$5:$A$204&lt;&gt;"")*(B_Drainage!$A$5:$A$204&lt;=$B190)*(B_Drainage!$B$5:$B$204&gt;$B190)*(B_Drainage!$L$5:$L$204&lt;&gt;"")),IF(B_Drainage!$L$5:$L$204="-","",B_Drainage!$L$5:$L$204)),"")</f>
        <v/>
      </c>
      <c r="AD190" s="182" t="str">
        <f>IFERROR(LOOKUP(2,1/((D_Points!$A$5:$A$204&lt;&gt;"")*(D_Points!$A$5:$A$204&gt;=$B190)*(D_Points!$A$5:$A$204&lt;$B190+P_Interval)*(UPPER(TRIM(D_Points!$B$5:$B$204))="TURNOUT_L")*(D_Points!$H$5:$H$204&lt;&gt;"")),D_Points!$H$5:$H$204),"")</f>
        <v/>
      </c>
      <c r="AE190" s="182" t="str">
        <f>IFERROR(LOOKUP(2,1/((D_Points!$A$5:$A$204&lt;&gt;"")*(D_Points!$A$5:$A$204&gt;=$B190)*(D_Points!$A$5:$A$204&lt;$B190+P_Interval)*(UPPER(TRIM(D_Points!$B$5:$B$204))="TURNOUT_R")*(D_Points!$H$5:$H$204&lt;&gt;"")),D_Points!$H$5:$H$204),"")</f>
        <v/>
      </c>
      <c r="AF190" s="181" t="str">
        <f>IFERROR(LOOKUP(2,1/((B_Drainage!$A$5:$A$204&lt;&gt;"")*(B_Drainage!$A$5:$A$204&lt;=$B190)*(B_Drainage!$B$5:$B$204&gt;$B190)*(B_Drainage!$M$5:$M$204&lt;&gt;"")),IF(UPPER(B_Drainage!$M$5:$M$204)="Y",1,"")),"")</f>
        <v/>
      </c>
      <c r="AG190" s="181" t="str">
        <f>IFERROR(LOOKUP(2,1/((B_Drainage!$A$5:$A$204&lt;&gt;"")*(B_Drainage!$A$5:$A$204&lt;=$B190)*(B_Drainage!$B$5:$B$204&gt;$B190)*(B_Drainage!$N$5:$N$204&lt;&gt;"")),IF(UPPER(B_Drainage!$N$5:$N$204)="Y",1,"")),"")</f>
        <v/>
      </c>
      <c r="AH190" s="181" t="str">
        <f t="shared" si="16"/>
        <v/>
      </c>
      <c r="AI190" s="181" t="str">
        <f t="shared" si="17"/>
        <v/>
      </c>
      <c r="AJ190" s="181" t="str">
        <f t="shared" si="18"/>
        <v/>
      </c>
      <c r="AK190" s="181" t="str">
        <f t="shared" si="19"/>
        <v/>
      </c>
      <c r="AL190" s="181" t="str">
        <f t="shared" si="20"/>
        <v/>
      </c>
      <c r="AM190" s="181" t="str">
        <f t="shared" si="21"/>
        <v/>
      </c>
      <c r="AN190" s="181" t="str">
        <f t="shared" si="22"/>
        <v/>
      </c>
      <c r="AO190" s="192" t="str">
        <f t="shared" si="23"/>
        <v/>
      </c>
      <c r="AQ190" t="str">
        <f>IFERROR(LOOKUP(2,1/((C_Pavement!$A$5:$A$204&lt;&gt;"")*(C_Pavement!$A$5:$A$204&lt;=$B190)*(C_Pavement!$B$5:$B$204&gt;$B190)*(C_Pavement!$C$5:$C$204&lt;&gt;"")),ROW(C_Pavement!$C$5:$C$204)-4),"")</f>
        <v/>
      </c>
      <c r="AR190" t="str">
        <f>IF($AQ190="","",UPPER(TRIM(INDEX(C_Pavement!$C$5:$C$204,$AQ190))))</f>
        <v/>
      </c>
      <c r="AS190" t="str">
        <f>IF($AR190="","",IFERROR(MATCH($AR190,E_Rules!$A$5:$A$9,0),""))</f>
        <v/>
      </c>
      <c r="AT190" t="str">
        <f>IF($AQ190="","",IF(INDEX(C_Pavement!$D$5:$D$204,$AQ190)&lt;&gt;"",UPPER(TRIM(INDEX(C_Pavement!$D$5:$D$204,$AQ190))),IF($AS190="","",INDEX(E_Rules!$C$5:$C$9,$AS190))))</f>
        <v/>
      </c>
      <c r="AU190" t="str">
        <f>IF($AQ190="","",IF(INDEX(C_Pavement!$E$5:$E$204,$AQ190)&lt;&gt;"",IF(INDEX(C_Pavement!$E$5:$E$204,$AQ190)="-","",INDEX(C_Pavement!$E$5:$E$204,$AQ190)),IF($AS190="","",INDEX(E_Rules!$D$5:$D$9,$AS190))))</f>
        <v/>
      </c>
      <c r="AV190" t="str">
        <f>IF($AQ190="","",IF(INDEX(C_Pavement!$F$5:$F$204,$AQ190)&lt;&gt;"",IF(INDEX(C_Pavement!$F$5:$F$204,$AQ190)="-","",INDEX(C_Pavement!$F$5:$F$204,$AQ190)),IF($AS190="","",INDEX(E_Rules!$E$5:$E$9,$AS190))))</f>
        <v/>
      </c>
      <c r="AW190" t="str">
        <f>IF($AQ190="","",IF(INDEX(C_Pavement!$G$5:$G$204,$AQ190)&lt;&gt;"",IF(INDEX(C_Pavement!$G$5:$G$204,$AQ190)="-","",INDEX(C_Pavement!$G$5:$G$204,$AQ190)),IF($AS190="","",INDEX(E_Rules!$F$5:$F$9,$AS190))))</f>
        <v/>
      </c>
      <c r="AX190" t="str">
        <f>IF($AQ190="","",IF(INDEX(C_Pavement!$H$5:$H$204,$AQ190)&lt;&gt;"",IF(INDEX(C_Pavement!$H$5:$H$204,$AQ190)="-","",INDEX(C_Pavement!$H$5:$H$204,$AQ190)),IF($AS190="","",INDEX(E_Rules!$G$5:$G$9,$AS190))))</f>
        <v/>
      </c>
      <c r="AY190" t="str">
        <f>IF($AQ190="","",IF(INDEX(C_Pavement!$I$5:$I$204,$AQ190)&lt;&gt;"",IF(INDEX(C_Pavement!$I$5:$I$204,$AQ190)="-","",INDEX(C_Pavement!$I$5:$I$204,$AQ190)),IF($AS190="","",INDEX(E_Rules!$H$5:$H$9,$AS190))))</f>
        <v/>
      </c>
    </row>
    <row r="191" spans="1:51" ht="15.75" customHeight="1" x14ac:dyDescent="0.3">
      <c r="A191" s="189">
        <v>186</v>
      </c>
      <c r="B191" s="180">
        <v>9250</v>
      </c>
      <c r="C191" s="180" t="s">
        <v>497</v>
      </c>
      <c r="D191" s="181" t="str">
        <f>IFERROR(LOOKUP(2,1/((A_Corridor!$A$5:$A$204&lt;&gt;"")*(A_Corridor!$A$5:$A$204&lt;=$B191)*(A_Corridor!$B$5:$B$204&gt;$B191)*(A_Corridor!$C$5:$C$204&lt;&gt;"")),IF(UPPER(A_Corridor!$C$5:$C$204)="Y",1,"")),"")</f>
        <v/>
      </c>
      <c r="E191" s="181" t="str">
        <f>IFERROR(LOOKUP(2,1/((A_Corridor!$A$5:$A$204&lt;&gt;"")*(A_Corridor!$A$5:$A$204&lt;=$B191)*(A_Corridor!$B$5:$B$204&gt;$B191)*(A_Corridor!$D$5:$D$204&lt;&gt;"")),IF(A_Corridor!$D$5:$D$204="-","",UPPER(A_Corridor!$D$5:$D$204))),"")</f>
        <v/>
      </c>
      <c r="F191" s="181" t="str">
        <f>IFERROR(LOOKUP(2,1/((A_Corridor!$A$5:$A$204&lt;&gt;"")*(A_Corridor!$A$5:$A$204&lt;=$B191)*(A_Corridor!$B$5:$B$204&gt;$B191)*(A_Corridor!$E$5:$E$204&lt;&gt;"")),IF(A_Corridor!$E$5:$E$204="-","",1)),"")</f>
        <v/>
      </c>
      <c r="G191" s="182" t="str">
        <f>IFERROR(LOOKUP(2,1/((A_Corridor!$A$5:$A$204&lt;&gt;"")*(A_Corridor!$A$5:$A$204&lt;=$B191)*(A_Corridor!$B$5:$B$204&gt;$B191)*(A_Corridor!$E$5:$E$204&lt;&gt;"")),IF(A_Corridor!$E$5:$E$204="-","",A_Corridor!$E$5:$E$204)),"")</f>
        <v/>
      </c>
      <c r="H191" s="182" t="str">
        <f>IFERROR(LOOKUP(2,1/((D_Points!$A$5:$A$204&lt;&gt;"")*(D_Points!$A$5:$A$204&gt;=$B191)*(D_Points!$A$5:$A$204&lt;$B191+P_Interval)*(UPPER(TRIM(D_Points!$B$5:$B$204))="GULLY")*(D_Points!$H$5:$H$204&lt;&gt;"")),D_Points!$H$5:$H$204),"")</f>
        <v/>
      </c>
      <c r="I191" s="181" t="str">
        <f>IFERROR(LOOKUP(2,1/((A_Corridor!$A$5:$A$204&lt;&gt;"")*(A_Corridor!$A$5:$A$204&lt;=$B191)*(A_Corridor!$B$5:$B$204&gt;$B191)*(A_Corridor!$F$5:$F$204&lt;&gt;"")),IF(A_Corridor!$F$5:$F$204="-","",1)),"")</f>
        <v/>
      </c>
      <c r="J191" s="182" t="str">
        <f>IFERROR(LOOKUP(2,1/((A_Corridor!$A$5:$A$204&lt;&gt;"")*(A_Corridor!$A$5:$A$204&lt;=$B191)*(A_Corridor!$B$5:$B$204&gt;$B191)*(A_Corridor!$F$5:$F$204&lt;&gt;"")),IF(A_Corridor!$F$5:$F$204="-","",A_Corridor!$F$5:$F$204)),"")</f>
        <v/>
      </c>
      <c r="K191" s="182" t="str">
        <f>IFERROR(LOOKUP(2,1/((A_Corridor!$A$5:$A$204&lt;&gt;"")*(A_Corridor!$A$5:$A$204&lt;=$B191)*(A_Corridor!$B$5:$B$204&gt;$B191)*(A_Corridor!$G$5:$G$204&lt;&gt;"")),IF(A_Corridor!$G$5:$G$204="-","",A_Corridor!$G$5:$G$204)),"")</f>
        <v/>
      </c>
      <c r="L191" s="181" t="str">
        <f>IFERROR(LOOKUP(2,1/((A_Corridor!$A$5:$A$204&lt;&gt;"")*(A_Corridor!$A$5:$A$204&lt;=$B191)*(A_Corridor!$B$5:$B$204&gt;$B191)*(A_Corridor!$H$5:$H$204&lt;&gt;"")),IF(A_Corridor!$H$5:$H$204="-","",1)),"")</f>
        <v/>
      </c>
      <c r="M191" s="182" t="str">
        <f>IFERROR(LOOKUP(2,1/((A_Corridor!$A$5:$A$204&lt;&gt;"")*(A_Corridor!$A$5:$A$204&lt;=$B191)*(A_Corridor!$B$5:$B$204&gt;$B191)*(A_Corridor!$H$5:$H$204&lt;&gt;"")),IF(A_Corridor!$H$5:$H$204="-","",A_Corridor!$H$5:$H$204)),"")</f>
        <v/>
      </c>
      <c r="N191" s="182" t="str">
        <f>IFERROR(LOOKUP(2,1/((A_Corridor!$A$5:$A$204&lt;&gt;"")*(A_Corridor!$A$5:$A$204&lt;=$B191)*(A_Corridor!$B$5:$B$204&gt;$B191)*(A_Corridor!$I$5:$I$204&lt;&gt;"")),IF(A_Corridor!$I$5:$I$204="-","",A_Corridor!$I$5:$I$204)),"")</f>
        <v/>
      </c>
      <c r="O191" s="182" t="str">
        <f>IFERROR(LOOKUP(2,1/((D_Points!$A$5:$A$204&lt;&gt;"")*(D_Points!$A$5:$A$204&gt;=$B191)*(D_Points!$A$5:$A$204&lt;$B191+P_Interval)*(UPPER(TRIM(D_Points!$B$5:$B$204))="PITCHING")*(D_Points!$H$5:$H$204&lt;&gt;"")),D_Points!$H$5:$H$204),"")</f>
        <v/>
      </c>
      <c r="P191" s="181" t="str">
        <f>IFERROR(LOOKUP(2,1/((B_Drainage!$A$5:$A$204&lt;&gt;"")*(B_Drainage!$A$5:$A$204&lt;=$B191)*(B_Drainage!$B$5:$B$204&gt;$B191)*(B_Drainage!$C$5:$C$204&lt;&gt;"")),IF(B_Drainage!$C$5:$C$204="-","",UPPER(B_Drainage!$C$5:$C$204))),"")</f>
        <v/>
      </c>
      <c r="Q191" s="181" t="str">
        <f>IFERROR(LOOKUP(2,1/((B_Drainage!$A$5:$A$204&lt;&gt;"")*(B_Drainage!$A$5:$A$204&lt;=$B191)*(B_Drainage!$B$5:$B$204&gt;$B191)*(B_Drainage!$D$5:$D$204&lt;&gt;"")),IF(B_Drainage!$D$5:$D$204="-","",UPPER(B_Drainage!$D$5:$D$204))),"")</f>
        <v/>
      </c>
      <c r="R191" s="182" t="str">
        <f>IFERROR(LOOKUP(2,1/((D_Points!$A$5:$A$204&lt;&gt;"")*(D_Points!$A$5:$A$204&gt;=$B191)*(D_Points!$A$5:$A$204&lt;$B191+P_Interval)*(RIGHT(UPPER(TRIM(D_Points!$B$5:$B$204)),8)="_CULVERT")),IF(LEFT(UPPER(TRIM(D_Points!$B$5:$B$204)),2)="EX",1,IF(LEFT(UPPER(TRIM(D_Points!$B$5:$B$204)),2)="PR",2,3))),"")</f>
        <v/>
      </c>
      <c r="S191" s="182" t="str">
        <f>IFERROR(LOOKUP(2,1/((D_Points!$A$5:$A$204&lt;&gt;"")*(D_Points!$A$5:$A$204&gt;=$B191)*(D_Points!$A$5:$A$204&lt;$B191+P_Interval)*(RIGHT(UPPER(TRIM(D_Points!$B$5:$B$204)),7)="_BRIDGE")),IF(LEFT(UPPER(TRIM(D_Points!$B$5:$B$204)),2)="EX",1,IF(LEFT(UPPER(TRIM(D_Points!$B$5:$B$204)),2)="PR",2,2))),"")</f>
        <v/>
      </c>
      <c r="T191" s="181" t="str">
        <f>IFERROR(LOOKUP(2,1/((B_Drainage!$A$5:$A$204&lt;&gt;"")*(B_Drainage!$A$5:$A$204&lt;=$B191)*(B_Drainage!$B$5:$B$204&gt;$B191)*(B_Drainage!$E$5:$E$204&lt;&gt;"")),IF(B_Drainage!$E$5:$E$204="-","",1)),"")</f>
        <v/>
      </c>
      <c r="U191" s="181" t="str">
        <f>IFERROR(LOOKUP(2,1/((B_Drainage!$A$5:$A$204&lt;&gt;"")*(B_Drainage!$A$5:$A$204&lt;=$B191)*(B_Drainage!$B$5:$B$204&gt;$B191)*(B_Drainage!$E$5:$E$204&lt;&gt;"")),IF(B_Drainage!$E$5:$E$204="-","",B_Drainage!$E$5:$E$204)),"")</f>
        <v/>
      </c>
      <c r="V191" s="181" t="str">
        <f>IFERROR(LOOKUP(2,1/((B_Drainage!$A$5:$A$204&lt;&gt;"")*(B_Drainage!$A$5:$A$204&lt;=$B191)*(B_Drainage!$B$5:$B$204&gt;$B191)*(B_Drainage!$F$5:$F$204&lt;&gt;"")),IF(B_Drainage!$F$5:$F$204="-","",1)),"")</f>
        <v/>
      </c>
      <c r="W191" s="181" t="str">
        <f>IFERROR(LOOKUP(2,1/((B_Drainage!$A$5:$A$204&lt;&gt;"")*(B_Drainage!$A$5:$A$204&lt;=$B191)*(B_Drainage!$B$5:$B$204&gt;$B191)*(B_Drainage!$F$5:$F$204&lt;&gt;"")),IF(B_Drainage!$F$5:$F$204="-","",B_Drainage!$F$5:$F$204)),"")</f>
        <v/>
      </c>
      <c r="X191" s="181" t="str">
        <f>IFERROR(LOOKUP(2,1/((B_Drainage!$A$5:$A$204&lt;&gt;"")*(B_Drainage!$A$5:$A$204&lt;=$B191)*(B_Drainage!$B$5:$B$204&gt;$B191)*(B_Drainage!$G$5:$G$204&lt;&gt;"")),IF(UPPER(B_Drainage!$G$5:$G$204)="Y",1,"")),"")</f>
        <v/>
      </c>
      <c r="Y191" s="181" t="str">
        <f>IFERROR(LOOKUP(2,1/((B_Drainage!$A$5:$A$204&lt;&gt;"")*(B_Drainage!$A$5:$A$204&lt;=$B191)*(B_Drainage!$B$5:$B$204&gt;$B191)*(B_Drainage!$H$5:$H$204&lt;&gt;"")),IF(UPPER(B_Drainage!$H$5:$H$204)="Y",1,"")),"")</f>
        <v/>
      </c>
      <c r="Z191" s="181" t="str">
        <f>IFERROR(LOOKUP(2,1/((B_Drainage!$A$5:$A$204&lt;&gt;"")*(B_Drainage!$A$5:$A$204&lt;=$B191)*(B_Drainage!$B$5:$B$204&gt;$B191)*(B_Drainage!$I$5:$I$204&lt;&gt;"")),IF(UPPER(B_Drainage!$I$5:$I$204)="Y",1,"")),"")</f>
        <v/>
      </c>
      <c r="AA191" s="181" t="str">
        <f>IFERROR(LOOKUP(2,1/((B_Drainage!$A$5:$A$204&lt;&gt;"")*(B_Drainage!$A$5:$A$204&lt;=$B191)*(B_Drainage!$B$5:$B$204&gt;$B191)*(B_Drainage!$J$5:$J$204&lt;&gt;"")),IF(UPPER(B_Drainage!$J$5:$J$204)="Y",1,"")),"")</f>
        <v/>
      </c>
      <c r="AB191" s="182" t="str">
        <f>IFERROR(LOOKUP(2,1/((B_Drainage!$A$5:$A$204&lt;&gt;"")*(B_Drainage!$A$5:$A$204&lt;=$B191)*(B_Drainage!$B$5:$B$204&gt;$B191)*(B_Drainage!$K$5:$K$204&lt;&gt;"")),IF(B_Drainage!$K$5:$K$204="-","",B_Drainage!$K$5:$K$204)),"")</f>
        <v/>
      </c>
      <c r="AC191" s="182" t="str">
        <f>IFERROR(LOOKUP(2,1/((B_Drainage!$A$5:$A$204&lt;&gt;"")*(B_Drainage!$A$5:$A$204&lt;=$B191)*(B_Drainage!$B$5:$B$204&gt;$B191)*(B_Drainage!$L$5:$L$204&lt;&gt;"")),IF(B_Drainage!$L$5:$L$204="-","",B_Drainage!$L$5:$L$204)),"")</f>
        <v/>
      </c>
      <c r="AD191" s="182" t="str">
        <f>IFERROR(LOOKUP(2,1/((D_Points!$A$5:$A$204&lt;&gt;"")*(D_Points!$A$5:$A$204&gt;=$B191)*(D_Points!$A$5:$A$204&lt;$B191+P_Interval)*(UPPER(TRIM(D_Points!$B$5:$B$204))="TURNOUT_L")*(D_Points!$H$5:$H$204&lt;&gt;"")),D_Points!$H$5:$H$204),"")</f>
        <v/>
      </c>
      <c r="AE191" s="182" t="str">
        <f>IFERROR(LOOKUP(2,1/((D_Points!$A$5:$A$204&lt;&gt;"")*(D_Points!$A$5:$A$204&gt;=$B191)*(D_Points!$A$5:$A$204&lt;$B191+P_Interval)*(UPPER(TRIM(D_Points!$B$5:$B$204))="TURNOUT_R")*(D_Points!$H$5:$H$204&lt;&gt;"")),D_Points!$H$5:$H$204),"")</f>
        <v/>
      </c>
      <c r="AF191" s="181" t="str">
        <f>IFERROR(LOOKUP(2,1/((B_Drainage!$A$5:$A$204&lt;&gt;"")*(B_Drainage!$A$5:$A$204&lt;=$B191)*(B_Drainage!$B$5:$B$204&gt;$B191)*(B_Drainage!$M$5:$M$204&lt;&gt;"")),IF(UPPER(B_Drainage!$M$5:$M$204)="Y",1,"")),"")</f>
        <v/>
      </c>
      <c r="AG191" s="181" t="str">
        <f>IFERROR(LOOKUP(2,1/((B_Drainage!$A$5:$A$204&lt;&gt;"")*(B_Drainage!$A$5:$A$204&lt;=$B191)*(B_Drainage!$B$5:$B$204&gt;$B191)*(B_Drainage!$N$5:$N$204&lt;&gt;"")),IF(UPPER(B_Drainage!$N$5:$N$204)="Y",1,"")),"")</f>
        <v/>
      </c>
      <c r="AH191" s="181" t="str">
        <f t="shared" si="16"/>
        <v/>
      </c>
      <c r="AI191" s="181" t="str">
        <f t="shared" si="17"/>
        <v/>
      </c>
      <c r="AJ191" s="181" t="str">
        <f t="shared" si="18"/>
        <v/>
      </c>
      <c r="AK191" s="181" t="str">
        <f t="shared" si="19"/>
        <v/>
      </c>
      <c r="AL191" s="181" t="str">
        <f t="shared" si="20"/>
        <v/>
      </c>
      <c r="AM191" s="181" t="str">
        <f t="shared" si="21"/>
        <v/>
      </c>
      <c r="AN191" s="181" t="str">
        <f t="shared" si="22"/>
        <v/>
      </c>
      <c r="AO191" s="192" t="str">
        <f t="shared" si="23"/>
        <v/>
      </c>
      <c r="AQ191" t="str">
        <f>IFERROR(LOOKUP(2,1/((C_Pavement!$A$5:$A$204&lt;&gt;"")*(C_Pavement!$A$5:$A$204&lt;=$B191)*(C_Pavement!$B$5:$B$204&gt;$B191)*(C_Pavement!$C$5:$C$204&lt;&gt;"")),ROW(C_Pavement!$C$5:$C$204)-4),"")</f>
        <v/>
      </c>
      <c r="AR191" t="str">
        <f>IF($AQ191="","",UPPER(TRIM(INDEX(C_Pavement!$C$5:$C$204,$AQ191))))</f>
        <v/>
      </c>
      <c r="AS191" t="str">
        <f>IF($AR191="","",IFERROR(MATCH($AR191,E_Rules!$A$5:$A$9,0),""))</f>
        <v/>
      </c>
      <c r="AT191" t="str">
        <f>IF($AQ191="","",IF(INDEX(C_Pavement!$D$5:$D$204,$AQ191)&lt;&gt;"",UPPER(TRIM(INDEX(C_Pavement!$D$5:$D$204,$AQ191))),IF($AS191="","",INDEX(E_Rules!$C$5:$C$9,$AS191))))</f>
        <v/>
      </c>
      <c r="AU191" t="str">
        <f>IF($AQ191="","",IF(INDEX(C_Pavement!$E$5:$E$204,$AQ191)&lt;&gt;"",IF(INDEX(C_Pavement!$E$5:$E$204,$AQ191)="-","",INDEX(C_Pavement!$E$5:$E$204,$AQ191)),IF($AS191="","",INDEX(E_Rules!$D$5:$D$9,$AS191))))</f>
        <v/>
      </c>
      <c r="AV191" t="str">
        <f>IF($AQ191="","",IF(INDEX(C_Pavement!$F$5:$F$204,$AQ191)&lt;&gt;"",IF(INDEX(C_Pavement!$F$5:$F$204,$AQ191)="-","",INDEX(C_Pavement!$F$5:$F$204,$AQ191)),IF($AS191="","",INDEX(E_Rules!$E$5:$E$9,$AS191))))</f>
        <v/>
      </c>
      <c r="AW191" t="str">
        <f>IF($AQ191="","",IF(INDEX(C_Pavement!$G$5:$G$204,$AQ191)&lt;&gt;"",IF(INDEX(C_Pavement!$G$5:$G$204,$AQ191)="-","",INDEX(C_Pavement!$G$5:$G$204,$AQ191)),IF($AS191="","",INDEX(E_Rules!$F$5:$F$9,$AS191))))</f>
        <v/>
      </c>
      <c r="AX191" t="str">
        <f>IF($AQ191="","",IF(INDEX(C_Pavement!$H$5:$H$204,$AQ191)&lt;&gt;"",IF(INDEX(C_Pavement!$H$5:$H$204,$AQ191)="-","",INDEX(C_Pavement!$H$5:$H$204,$AQ191)),IF($AS191="","",INDEX(E_Rules!$G$5:$G$9,$AS191))))</f>
        <v/>
      </c>
      <c r="AY191" t="str">
        <f>IF($AQ191="","",IF(INDEX(C_Pavement!$I$5:$I$204,$AQ191)&lt;&gt;"",IF(INDEX(C_Pavement!$I$5:$I$204,$AQ191)="-","",INDEX(C_Pavement!$I$5:$I$204,$AQ191)),IF($AS191="","",INDEX(E_Rules!$H$5:$H$9,$AS191))))</f>
        <v/>
      </c>
    </row>
    <row r="192" spans="1:51" ht="15.75" customHeight="1" x14ac:dyDescent="0.3">
      <c r="A192" s="189">
        <v>187</v>
      </c>
      <c r="B192" s="180">
        <v>9300</v>
      </c>
      <c r="C192" s="180" t="s">
        <v>498</v>
      </c>
      <c r="D192" s="181" t="str">
        <f>IFERROR(LOOKUP(2,1/((A_Corridor!$A$5:$A$204&lt;&gt;"")*(A_Corridor!$A$5:$A$204&lt;=$B192)*(A_Corridor!$B$5:$B$204&gt;$B192)*(A_Corridor!$C$5:$C$204&lt;&gt;"")),IF(UPPER(A_Corridor!$C$5:$C$204)="Y",1,"")),"")</f>
        <v/>
      </c>
      <c r="E192" s="181" t="str">
        <f>IFERROR(LOOKUP(2,1/((A_Corridor!$A$5:$A$204&lt;&gt;"")*(A_Corridor!$A$5:$A$204&lt;=$B192)*(A_Corridor!$B$5:$B$204&gt;$B192)*(A_Corridor!$D$5:$D$204&lt;&gt;"")),IF(A_Corridor!$D$5:$D$204="-","",UPPER(A_Corridor!$D$5:$D$204))),"")</f>
        <v/>
      </c>
      <c r="F192" s="181" t="str">
        <f>IFERROR(LOOKUP(2,1/((A_Corridor!$A$5:$A$204&lt;&gt;"")*(A_Corridor!$A$5:$A$204&lt;=$B192)*(A_Corridor!$B$5:$B$204&gt;$B192)*(A_Corridor!$E$5:$E$204&lt;&gt;"")),IF(A_Corridor!$E$5:$E$204="-","",1)),"")</f>
        <v/>
      </c>
      <c r="G192" s="182" t="str">
        <f>IFERROR(LOOKUP(2,1/((A_Corridor!$A$5:$A$204&lt;&gt;"")*(A_Corridor!$A$5:$A$204&lt;=$B192)*(A_Corridor!$B$5:$B$204&gt;$B192)*(A_Corridor!$E$5:$E$204&lt;&gt;"")),IF(A_Corridor!$E$5:$E$204="-","",A_Corridor!$E$5:$E$204)),"")</f>
        <v/>
      </c>
      <c r="H192" s="182" t="str">
        <f>IFERROR(LOOKUP(2,1/((D_Points!$A$5:$A$204&lt;&gt;"")*(D_Points!$A$5:$A$204&gt;=$B192)*(D_Points!$A$5:$A$204&lt;$B192+P_Interval)*(UPPER(TRIM(D_Points!$B$5:$B$204))="GULLY")*(D_Points!$H$5:$H$204&lt;&gt;"")),D_Points!$H$5:$H$204),"")</f>
        <v/>
      </c>
      <c r="I192" s="181" t="str">
        <f>IFERROR(LOOKUP(2,1/((A_Corridor!$A$5:$A$204&lt;&gt;"")*(A_Corridor!$A$5:$A$204&lt;=$B192)*(A_Corridor!$B$5:$B$204&gt;$B192)*(A_Corridor!$F$5:$F$204&lt;&gt;"")),IF(A_Corridor!$F$5:$F$204="-","",1)),"")</f>
        <v/>
      </c>
      <c r="J192" s="182" t="str">
        <f>IFERROR(LOOKUP(2,1/((A_Corridor!$A$5:$A$204&lt;&gt;"")*(A_Corridor!$A$5:$A$204&lt;=$B192)*(A_Corridor!$B$5:$B$204&gt;$B192)*(A_Corridor!$F$5:$F$204&lt;&gt;"")),IF(A_Corridor!$F$5:$F$204="-","",A_Corridor!$F$5:$F$204)),"")</f>
        <v/>
      </c>
      <c r="K192" s="182" t="str">
        <f>IFERROR(LOOKUP(2,1/((A_Corridor!$A$5:$A$204&lt;&gt;"")*(A_Corridor!$A$5:$A$204&lt;=$B192)*(A_Corridor!$B$5:$B$204&gt;$B192)*(A_Corridor!$G$5:$G$204&lt;&gt;"")),IF(A_Corridor!$G$5:$G$204="-","",A_Corridor!$G$5:$G$204)),"")</f>
        <v/>
      </c>
      <c r="L192" s="181" t="str">
        <f>IFERROR(LOOKUP(2,1/((A_Corridor!$A$5:$A$204&lt;&gt;"")*(A_Corridor!$A$5:$A$204&lt;=$B192)*(A_Corridor!$B$5:$B$204&gt;$B192)*(A_Corridor!$H$5:$H$204&lt;&gt;"")),IF(A_Corridor!$H$5:$H$204="-","",1)),"")</f>
        <v/>
      </c>
      <c r="M192" s="182" t="str">
        <f>IFERROR(LOOKUP(2,1/((A_Corridor!$A$5:$A$204&lt;&gt;"")*(A_Corridor!$A$5:$A$204&lt;=$B192)*(A_Corridor!$B$5:$B$204&gt;$B192)*(A_Corridor!$H$5:$H$204&lt;&gt;"")),IF(A_Corridor!$H$5:$H$204="-","",A_Corridor!$H$5:$H$204)),"")</f>
        <v/>
      </c>
      <c r="N192" s="182" t="str">
        <f>IFERROR(LOOKUP(2,1/((A_Corridor!$A$5:$A$204&lt;&gt;"")*(A_Corridor!$A$5:$A$204&lt;=$B192)*(A_Corridor!$B$5:$B$204&gt;$B192)*(A_Corridor!$I$5:$I$204&lt;&gt;"")),IF(A_Corridor!$I$5:$I$204="-","",A_Corridor!$I$5:$I$204)),"")</f>
        <v/>
      </c>
      <c r="O192" s="182" t="str">
        <f>IFERROR(LOOKUP(2,1/((D_Points!$A$5:$A$204&lt;&gt;"")*(D_Points!$A$5:$A$204&gt;=$B192)*(D_Points!$A$5:$A$204&lt;$B192+P_Interval)*(UPPER(TRIM(D_Points!$B$5:$B$204))="PITCHING")*(D_Points!$H$5:$H$204&lt;&gt;"")),D_Points!$H$5:$H$204),"")</f>
        <v/>
      </c>
      <c r="P192" s="181" t="str">
        <f>IFERROR(LOOKUP(2,1/((B_Drainage!$A$5:$A$204&lt;&gt;"")*(B_Drainage!$A$5:$A$204&lt;=$B192)*(B_Drainage!$B$5:$B$204&gt;$B192)*(B_Drainage!$C$5:$C$204&lt;&gt;"")),IF(B_Drainage!$C$5:$C$204="-","",UPPER(B_Drainage!$C$5:$C$204))),"")</f>
        <v/>
      </c>
      <c r="Q192" s="181" t="str">
        <f>IFERROR(LOOKUP(2,1/((B_Drainage!$A$5:$A$204&lt;&gt;"")*(B_Drainage!$A$5:$A$204&lt;=$B192)*(B_Drainage!$B$5:$B$204&gt;$B192)*(B_Drainage!$D$5:$D$204&lt;&gt;"")),IF(B_Drainage!$D$5:$D$204="-","",UPPER(B_Drainage!$D$5:$D$204))),"")</f>
        <v/>
      </c>
      <c r="R192" s="182" t="str">
        <f>IFERROR(LOOKUP(2,1/((D_Points!$A$5:$A$204&lt;&gt;"")*(D_Points!$A$5:$A$204&gt;=$B192)*(D_Points!$A$5:$A$204&lt;$B192+P_Interval)*(RIGHT(UPPER(TRIM(D_Points!$B$5:$B$204)),8)="_CULVERT")),IF(LEFT(UPPER(TRIM(D_Points!$B$5:$B$204)),2)="EX",1,IF(LEFT(UPPER(TRIM(D_Points!$B$5:$B$204)),2)="PR",2,3))),"")</f>
        <v/>
      </c>
      <c r="S192" s="182" t="str">
        <f>IFERROR(LOOKUP(2,1/((D_Points!$A$5:$A$204&lt;&gt;"")*(D_Points!$A$5:$A$204&gt;=$B192)*(D_Points!$A$5:$A$204&lt;$B192+P_Interval)*(RIGHT(UPPER(TRIM(D_Points!$B$5:$B$204)),7)="_BRIDGE")),IF(LEFT(UPPER(TRIM(D_Points!$B$5:$B$204)),2)="EX",1,IF(LEFT(UPPER(TRIM(D_Points!$B$5:$B$204)),2)="PR",2,2))),"")</f>
        <v/>
      </c>
      <c r="T192" s="181" t="str">
        <f>IFERROR(LOOKUP(2,1/((B_Drainage!$A$5:$A$204&lt;&gt;"")*(B_Drainage!$A$5:$A$204&lt;=$B192)*(B_Drainage!$B$5:$B$204&gt;$B192)*(B_Drainage!$E$5:$E$204&lt;&gt;"")),IF(B_Drainage!$E$5:$E$204="-","",1)),"")</f>
        <v/>
      </c>
      <c r="U192" s="181" t="str">
        <f>IFERROR(LOOKUP(2,1/((B_Drainage!$A$5:$A$204&lt;&gt;"")*(B_Drainage!$A$5:$A$204&lt;=$B192)*(B_Drainage!$B$5:$B$204&gt;$B192)*(B_Drainage!$E$5:$E$204&lt;&gt;"")),IF(B_Drainage!$E$5:$E$204="-","",B_Drainage!$E$5:$E$204)),"")</f>
        <v/>
      </c>
      <c r="V192" s="181" t="str">
        <f>IFERROR(LOOKUP(2,1/((B_Drainage!$A$5:$A$204&lt;&gt;"")*(B_Drainage!$A$5:$A$204&lt;=$B192)*(B_Drainage!$B$5:$B$204&gt;$B192)*(B_Drainage!$F$5:$F$204&lt;&gt;"")),IF(B_Drainage!$F$5:$F$204="-","",1)),"")</f>
        <v/>
      </c>
      <c r="W192" s="181" t="str">
        <f>IFERROR(LOOKUP(2,1/((B_Drainage!$A$5:$A$204&lt;&gt;"")*(B_Drainage!$A$5:$A$204&lt;=$B192)*(B_Drainage!$B$5:$B$204&gt;$B192)*(B_Drainage!$F$5:$F$204&lt;&gt;"")),IF(B_Drainage!$F$5:$F$204="-","",B_Drainage!$F$5:$F$204)),"")</f>
        <v/>
      </c>
      <c r="X192" s="181" t="str">
        <f>IFERROR(LOOKUP(2,1/((B_Drainage!$A$5:$A$204&lt;&gt;"")*(B_Drainage!$A$5:$A$204&lt;=$B192)*(B_Drainage!$B$5:$B$204&gt;$B192)*(B_Drainage!$G$5:$G$204&lt;&gt;"")),IF(UPPER(B_Drainage!$G$5:$G$204)="Y",1,"")),"")</f>
        <v/>
      </c>
      <c r="Y192" s="181" t="str">
        <f>IFERROR(LOOKUP(2,1/((B_Drainage!$A$5:$A$204&lt;&gt;"")*(B_Drainage!$A$5:$A$204&lt;=$B192)*(B_Drainage!$B$5:$B$204&gt;$B192)*(B_Drainage!$H$5:$H$204&lt;&gt;"")),IF(UPPER(B_Drainage!$H$5:$H$204)="Y",1,"")),"")</f>
        <v/>
      </c>
      <c r="Z192" s="181" t="str">
        <f>IFERROR(LOOKUP(2,1/((B_Drainage!$A$5:$A$204&lt;&gt;"")*(B_Drainage!$A$5:$A$204&lt;=$B192)*(B_Drainage!$B$5:$B$204&gt;$B192)*(B_Drainage!$I$5:$I$204&lt;&gt;"")),IF(UPPER(B_Drainage!$I$5:$I$204)="Y",1,"")),"")</f>
        <v/>
      </c>
      <c r="AA192" s="181" t="str">
        <f>IFERROR(LOOKUP(2,1/((B_Drainage!$A$5:$A$204&lt;&gt;"")*(B_Drainage!$A$5:$A$204&lt;=$B192)*(B_Drainage!$B$5:$B$204&gt;$B192)*(B_Drainage!$J$5:$J$204&lt;&gt;"")),IF(UPPER(B_Drainage!$J$5:$J$204)="Y",1,"")),"")</f>
        <v/>
      </c>
      <c r="AB192" s="182" t="str">
        <f>IFERROR(LOOKUP(2,1/((B_Drainage!$A$5:$A$204&lt;&gt;"")*(B_Drainage!$A$5:$A$204&lt;=$B192)*(B_Drainage!$B$5:$B$204&gt;$B192)*(B_Drainage!$K$5:$K$204&lt;&gt;"")),IF(B_Drainage!$K$5:$K$204="-","",B_Drainage!$K$5:$K$204)),"")</f>
        <v/>
      </c>
      <c r="AC192" s="182" t="str">
        <f>IFERROR(LOOKUP(2,1/((B_Drainage!$A$5:$A$204&lt;&gt;"")*(B_Drainage!$A$5:$A$204&lt;=$B192)*(B_Drainage!$B$5:$B$204&gt;$B192)*(B_Drainage!$L$5:$L$204&lt;&gt;"")),IF(B_Drainage!$L$5:$L$204="-","",B_Drainage!$L$5:$L$204)),"")</f>
        <v/>
      </c>
      <c r="AD192" s="182" t="str">
        <f>IFERROR(LOOKUP(2,1/((D_Points!$A$5:$A$204&lt;&gt;"")*(D_Points!$A$5:$A$204&gt;=$B192)*(D_Points!$A$5:$A$204&lt;$B192+P_Interval)*(UPPER(TRIM(D_Points!$B$5:$B$204))="TURNOUT_L")*(D_Points!$H$5:$H$204&lt;&gt;"")),D_Points!$H$5:$H$204),"")</f>
        <v/>
      </c>
      <c r="AE192" s="182" t="str">
        <f>IFERROR(LOOKUP(2,1/((D_Points!$A$5:$A$204&lt;&gt;"")*(D_Points!$A$5:$A$204&gt;=$B192)*(D_Points!$A$5:$A$204&lt;$B192+P_Interval)*(UPPER(TRIM(D_Points!$B$5:$B$204))="TURNOUT_R")*(D_Points!$H$5:$H$204&lt;&gt;"")),D_Points!$H$5:$H$204),"")</f>
        <v/>
      </c>
      <c r="AF192" s="181" t="str">
        <f>IFERROR(LOOKUP(2,1/((B_Drainage!$A$5:$A$204&lt;&gt;"")*(B_Drainage!$A$5:$A$204&lt;=$B192)*(B_Drainage!$B$5:$B$204&gt;$B192)*(B_Drainage!$M$5:$M$204&lt;&gt;"")),IF(UPPER(B_Drainage!$M$5:$M$204)="Y",1,"")),"")</f>
        <v/>
      </c>
      <c r="AG192" s="181" t="str">
        <f>IFERROR(LOOKUP(2,1/((B_Drainage!$A$5:$A$204&lt;&gt;"")*(B_Drainage!$A$5:$A$204&lt;=$B192)*(B_Drainage!$B$5:$B$204&gt;$B192)*(B_Drainage!$N$5:$N$204&lt;&gt;"")),IF(UPPER(B_Drainage!$N$5:$N$204)="Y",1,"")),"")</f>
        <v/>
      </c>
      <c r="AH192" s="181" t="str">
        <f t="shared" si="16"/>
        <v/>
      </c>
      <c r="AI192" s="181" t="str">
        <f t="shared" si="17"/>
        <v/>
      </c>
      <c r="AJ192" s="181" t="str">
        <f t="shared" si="18"/>
        <v/>
      </c>
      <c r="AK192" s="181" t="str">
        <f t="shared" si="19"/>
        <v/>
      </c>
      <c r="AL192" s="181" t="str">
        <f t="shared" si="20"/>
        <v/>
      </c>
      <c r="AM192" s="181" t="str">
        <f t="shared" si="21"/>
        <v/>
      </c>
      <c r="AN192" s="181" t="str">
        <f t="shared" si="22"/>
        <v/>
      </c>
      <c r="AO192" s="192" t="str">
        <f t="shared" si="23"/>
        <v/>
      </c>
      <c r="AQ192" t="str">
        <f>IFERROR(LOOKUP(2,1/((C_Pavement!$A$5:$A$204&lt;&gt;"")*(C_Pavement!$A$5:$A$204&lt;=$B192)*(C_Pavement!$B$5:$B$204&gt;$B192)*(C_Pavement!$C$5:$C$204&lt;&gt;"")),ROW(C_Pavement!$C$5:$C$204)-4),"")</f>
        <v/>
      </c>
      <c r="AR192" t="str">
        <f>IF($AQ192="","",UPPER(TRIM(INDEX(C_Pavement!$C$5:$C$204,$AQ192))))</f>
        <v/>
      </c>
      <c r="AS192" t="str">
        <f>IF($AR192="","",IFERROR(MATCH($AR192,E_Rules!$A$5:$A$9,0),""))</f>
        <v/>
      </c>
      <c r="AT192" t="str">
        <f>IF($AQ192="","",IF(INDEX(C_Pavement!$D$5:$D$204,$AQ192)&lt;&gt;"",UPPER(TRIM(INDEX(C_Pavement!$D$5:$D$204,$AQ192))),IF($AS192="","",INDEX(E_Rules!$C$5:$C$9,$AS192))))</f>
        <v/>
      </c>
      <c r="AU192" t="str">
        <f>IF($AQ192="","",IF(INDEX(C_Pavement!$E$5:$E$204,$AQ192)&lt;&gt;"",IF(INDEX(C_Pavement!$E$5:$E$204,$AQ192)="-","",INDEX(C_Pavement!$E$5:$E$204,$AQ192)),IF($AS192="","",INDEX(E_Rules!$D$5:$D$9,$AS192))))</f>
        <v/>
      </c>
      <c r="AV192" t="str">
        <f>IF($AQ192="","",IF(INDEX(C_Pavement!$F$5:$F$204,$AQ192)&lt;&gt;"",IF(INDEX(C_Pavement!$F$5:$F$204,$AQ192)="-","",INDEX(C_Pavement!$F$5:$F$204,$AQ192)),IF($AS192="","",INDEX(E_Rules!$E$5:$E$9,$AS192))))</f>
        <v/>
      </c>
      <c r="AW192" t="str">
        <f>IF($AQ192="","",IF(INDEX(C_Pavement!$G$5:$G$204,$AQ192)&lt;&gt;"",IF(INDEX(C_Pavement!$G$5:$G$204,$AQ192)="-","",INDEX(C_Pavement!$G$5:$G$204,$AQ192)),IF($AS192="","",INDEX(E_Rules!$F$5:$F$9,$AS192))))</f>
        <v/>
      </c>
      <c r="AX192" t="str">
        <f>IF($AQ192="","",IF(INDEX(C_Pavement!$H$5:$H$204,$AQ192)&lt;&gt;"",IF(INDEX(C_Pavement!$H$5:$H$204,$AQ192)="-","",INDEX(C_Pavement!$H$5:$H$204,$AQ192)),IF($AS192="","",INDEX(E_Rules!$G$5:$G$9,$AS192))))</f>
        <v/>
      </c>
      <c r="AY192" t="str">
        <f>IF($AQ192="","",IF(INDEX(C_Pavement!$I$5:$I$204,$AQ192)&lt;&gt;"",IF(INDEX(C_Pavement!$I$5:$I$204,$AQ192)="-","",INDEX(C_Pavement!$I$5:$I$204,$AQ192)),IF($AS192="","",INDEX(E_Rules!$H$5:$H$9,$AS192))))</f>
        <v/>
      </c>
    </row>
    <row r="193" spans="1:51" ht="15.75" customHeight="1" x14ac:dyDescent="0.3">
      <c r="A193" s="189">
        <v>188</v>
      </c>
      <c r="B193" s="180">
        <v>9350</v>
      </c>
      <c r="C193" s="180" t="s">
        <v>499</v>
      </c>
      <c r="D193" s="181" t="str">
        <f>IFERROR(LOOKUP(2,1/((A_Corridor!$A$5:$A$204&lt;&gt;"")*(A_Corridor!$A$5:$A$204&lt;=$B193)*(A_Corridor!$B$5:$B$204&gt;$B193)*(A_Corridor!$C$5:$C$204&lt;&gt;"")),IF(UPPER(A_Corridor!$C$5:$C$204)="Y",1,"")),"")</f>
        <v/>
      </c>
      <c r="E193" s="181" t="str">
        <f>IFERROR(LOOKUP(2,1/((A_Corridor!$A$5:$A$204&lt;&gt;"")*(A_Corridor!$A$5:$A$204&lt;=$B193)*(A_Corridor!$B$5:$B$204&gt;$B193)*(A_Corridor!$D$5:$D$204&lt;&gt;"")),IF(A_Corridor!$D$5:$D$204="-","",UPPER(A_Corridor!$D$5:$D$204))),"")</f>
        <v/>
      </c>
      <c r="F193" s="181" t="str">
        <f>IFERROR(LOOKUP(2,1/((A_Corridor!$A$5:$A$204&lt;&gt;"")*(A_Corridor!$A$5:$A$204&lt;=$B193)*(A_Corridor!$B$5:$B$204&gt;$B193)*(A_Corridor!$E$5:$E$204&lt;&gt;"")),IF(A_Corridor!$E$5:$E$204="-","",1)),"")</f>
        <v/>
      </c>
      <c r="G193" s="182" t="str">
        <f>IFERROR(LOOKUP(2,1/((A_Corridor!$A$5:$A$204&lt;&gt;"")*(A_Corridor!$A$5:$A$204&lt;=$B193)*(A_Corridor!$B$5:$B$204&gt;$B193)*(A_Corridor!$E$5:$E$204&lt;&gt;"")),IF(A_Corridor!$E$5:$E$204="-","",A_Corridor!$E$5:$E$204)),"")</f>
        <v/>
      </c>
      <c r="H193" s="182" t="str">
        <f>IFERROR(LOOKUP(2,1/((D_Points!$A$5:$A$204&lt;&gt;"")*(D_Points!$A$5:$A$204&gt;=$B193)*(D_Points!$A$5:$A$204&lt;$B193+P_Interval)*(UPPER(TRIM(D_Points!$B$5:$B$204))="GULLY")*(D_Points!$H$5:$H$204&lt;&gt;"")),D_Points!$H$5:$H$204),"")</f>
        <v/>
      </c>
      <c r="I193" s="181" t="str">
        <f>IFERROR(LOOKUP(2,1/((A_Corridor!$A$5:$A$204&lt;&gt;"")*(A_Corridor!$A$5:$A$204&lt;=$B193)*(A_Corridor!$B$5:$B$204&gt;$B193)*(A_Corridor!$F$5:$F$204&lt;&gt;"")),IF(A_Corridor!$F$5:$F$204="-","",1)),"")</f>
        <v/>
      </c>
      <c r="J193" s="182" t="str">
        <f>IFERROR(LOOKUP(2,1/((A_Corridor!$A$5:$A$204&lt;&gt;"")*(A_Corridor!$A$5:$A$204&lt;=$B193)*(A_Corridor!$B$5:$B$204&gt;$B193)*(A_Corridor!$F$5:$F$204&lt;&gt;"")),IF(A_Corridor!$F$5:$F$204="-","",A_Corridor!$F$5:$F$204)),"")</f>
        <v/>
      </c>
      <c r="K193" s="182" t="str">
        <f>IFERROR(LOOKUP(2,1/((A_Corridor!$A$5:$A$204&lt;&gt;"")*(A_Corridor!$A$5:$A$204&lt;=$B193)*(A_Corridor!$B$5:$B$204&gt;$B193)*(A_Corridor!$G$5:$G$204&lt;&gt;"")),IF(A_Corridor!$G$5:$G$204="-","",A_Corridor!$G$5:$G$204)),"")</f>
        <v/>
      </c>
      <c r="L193" s="181" t="str">
        <f>IFERROR(LOOKUP(2,1/((A_Corridor!$A$5:$A$204&lt;&gt;"")*(A_Corridor!$A$5:$A$204&lt;=$B193)*(A_Corridor!$B$5:$B$204&gt;$B193)*(A_Corridor!$H$5:$H$204&lt;&gt;"")),IF(A_Corridor!$H$5:$H$204="-","",1)),"")</f>
        <v/>
      </c>
      <c r="M193" s="182" t="str">
        <f>IFERROR(LOOKUP(2,1/((A_Corridor!$A$5:$A$204&lt;&gt;"")*(A_Corridor!$A$5:$A$204&lt;=$B193)*(A_Corridor!$B$5:$B$204&gt;$B193)*(A_Corridor!$H$5:$H$204&lt;&gt;"")),IF(A_Corridor!$H$5:$H$204="-","",A_Corridor!$H$5:$H$204)),"")</f>
        <v/>
      </c>
      <c r="N193" s="182" t="str">
        <f>IFERROR(LOOKUP(2,1/((A_Corridor!$A$5:$A$204&lt;&gt;"")*(A_Corridor!$A$5:$A$204&lt;=$B193)*(A_Corridor!$B$5:$B$204&gt;$B193)*(A_Corridor!$I$5:$I$204&lt;&gt;"")),IF(A_Corridor!$I$5:$I$204="-","",A_Corridor!$I$5:$I$204)),"")</f>
        <v/>
      </c>
      <c r="O193" s="182" t="str">
        <f>IFERROR(LOOKUP(2,1/((D_Points!$A$5:$A$204&lt;&gt;"")*(D_Points!$A$5:$A$204&gt;=$B193)*(D_Points!$A$5:$A$204&lt;$B193+P_Interval)*(UPPER(TRIM(D_Points!$B$5:$B$204))="PITCHING")*(D_Points!$H$5:$H$204&lt;&gt;"")),D_Points!$H$5:$H$204),"")</f>
        <v/>
      </c>
      <c r="P193" s="181" t="str">
        <f>IFERROR(LOOKUP(2,1/((B_Drainage!$A$5:$A$204&lt;&gt;"")*(B_Drainage!$A$5:$A$204&lt;=$B193)*(B_Drainage!$B$5:$B$204&gt;$B193)*(B_Drainage!$C$5:$C$204&lt;&gt;"")),IF(B_Drainage!$C$5:$C$204="-","",UPPER(B_Drainage!$C$5:$C$204))),"")</f>
        <v/>
      </c>
      <c r="Q193" s="181" t="str">
        <f>IFERROR(LOOKUP(2,1/((B_Drainage!$A$5:$A$204&lt;&gt;"")*(B_Drainage!$A$5:$A$204&lt;=$B193)*(B_Drainage!$B$5:$B$204&gt;$B193)*(B_Drainage!$D$5:$D$204&lt;&gt;"")),IF(B_Drainage!$D$5:$D$204="-","",UPPER(B_Drainage!$D$5:$D$204))),"")</f>
        <v/>
      </c>
      <c r="R193" s="182" t="str">
        <f>IFERROR(LOOKUP(2,1/((D_Points!$A$5:$A$204&lt;&gt;"")*(D_Points!$A$5:$A$204&gt;=$B193)*(D_Points!$A$5:$A$204&lt;$B193+P_Interval)*(RIGHT(UPPER(TRIM(D_Points!$B$5:$B$204)),8)="_CULVERT")),IF(LEFT(UPPER(TRIM(D_Points!$B$5:$B$204)),2)="EX",1,IF(LEFT(UPPER(TRIM(D_Points!$B$5:$B$204)),2)="PR",2,3))),"")</f>
        <v/>
      </c>
      <c r="S193" s="182" t="str">
        <f>IFERROR(LOOKUP(2,1/((D_Points!$A$5:$A$204&lt;&gt;"")*(D_Points!$A$5:$A$204&gt;=$B193)*(D_Points!$A$5:$A$204&lt;$B193+P_Interval)*(RIGHT(UPPER(TRIM(D_Points!$B$5:$B$204)),7)="_BRIDGE")),IF(LEFT(UPPER(TRIM(D_Points!$B$5:$B$204)),2)="EX",1,IF(LEFT(UPPER(TRIM(D_Points!$B$5:$B$204)),2)="PR",2,2))),"")</f>
        <v/>
      </c>
      <c r="T193" s="181" t="str">
        <f>IFERROR(LOOKUP(2,1/((B_Drainage!$A$5:$A$204&lt;&gt;"")*(B_Drainage!$A$5:$A$204&lt;=$B193)*(B_Drainage!$B$5:$B$204&gt;$B193)*(B_Drainage!$E$5:$E$204&lt;&gt;"")),IF(B_Drainage!$E$5:$E$204="-","",1)),"")</f>
        <v/>
      </c>
      <c r="U193" s="181" t="str">
        <f>IFERROR(LOOKUP(2,1/((B_Drainage!$A$5:$A$204&lt;&gt;"")*(B_Drainage!$A$5:$A$204&lt;=$B193)*(B_Drainage!$B$5:$B$204&gt;$B193)*(B_Drainage!$E$5:$E$204&lt;&gt;"")),IF(B_Drainage!$E$5:$E$204="-","",B_Drainage!$E$5:$E$204)),"")</f>
        <v/>
      </c>
      <c r="V193" s="181" t="str">
        <f>IFERROR(LOOKUP(2,1/((B_Drainage!$A$5:$A$204&lt;&gt;"")*(B_Drainage!$A$5:$A$204&lt;=$B193)*(B_Drainage!$B$5:$B$204&gt;$B193)*(B_Drainage!$F$5:$F$204&lt;&gt;"")),IF(B_Drainage!$F$5:$F$204="-","",1)),"")</f>
        <v/>
      </c>
      <c r="W193" s="181" t="str">
        <f>IFERROR(LOOKUP(2,1/((B_Drainage!$A$5:$A$204&lt;&gt;"")*(B_Drainage!$A$5:$A$204&lt;=$B193)*(B_Drainage!$B$5:$B$204&gt;$B193)*(B_Drainage!$F$5:$F$204&lt;&gt;"")),IF(B_Drainage!$F$5:$F$204="-","",B_Drainage!$F$5:$F$204)),"")</f>
        <v/>
      </c>
      <c r="X193" s="181" t="str">
        <f>IFERROR(LOOKUP(2,1/((B_Drainage!$A$5:$A$204&lt;&gt;"")*(B_Drainage!$A$5:$A$204&lt;=$B193)*(B_Drainage!$B$5:$B$204&gt;$B193)*(B_Drainage!$G$5:$G$204&lt;&gt;"")),IF(UPPER(B_Drainage!$G$5:$G$204)="Y",1,"")),"")</f>
        <v/>
      </c>
      <c r="Y193" s="181" t="str">
        <f>IFERROR(LOOKUP(2,1/((B_Drainage!$A$5:$A$204&lt;&gt;"")*(B_Drainage!$A$5:$A$204&lt;=$B193)*(B_Drainage!$B$5:$B$204&gt;$B193)*(B_Drainage!$H$5:$H$204&lt;&gt;"")),IF(UPPER(B_Drainage!$H$5:$H$204)="Y",1,"")),"")</f>
        <v/>
      </c>
      <c r="Z193" s="181" t="str">
        <f>IFERROR(LOOKUP(2,1/((B_Drainage!$A$5:$A$204&lt;&gt;"")*(B_Drainage!$A$5:$A$204&lt;=$B193)*(B_Drainage!$B$5:$B$204&gt;$B193)*(B_Drainage!$I$5:$I$204&lt;&gt;"")),IF(UPPER(B_Drainage!$I$5:$I$204)="Y",1,"")),"")</f>
        <v/>
      </c>
      <c r="AA193" s="181" t="str">
        <f>IFERROR(LOOKUP(2,1/((B_Drainage!$A$5:$A$204&lt;&gt;"")*(B_Drainage!$A$5:$A$204&lt;=$B193)*(B_Drainage!$B$5:$B$204&gt;$B193)*(B_Drainage!$J$5:$J$204&lt;&gt;"")),IF(UPPER(B_Drainage!$J$5:$J$204)="Y",1,"")),"")</f>
        <v/>
      </c>
      <c r="AB193" s="182" t="str">
        <f>IFERROR(LOOKUP(2,1/((B_Drainage!$A$5:$A$204&lt;&gt;"")*(B_Drainage!$A$5:$A$204&lt;=$B193)*(B_Drainage!$B$5:$B$204&gt;$B193)*(B_Drainage!$K$5:$K$204&lt;&gt;"")),IF(B_Drainage!$K$5:$K$204="-","",B_Drainage!$K$5:$K$204)),"")</f>
        <v/>
      </c>
      <c r="AC193" s="182" t="str">
        <f>IFERROR(LOOKUP(2,1/((B_Drainage!$A$5:$A$204&lt;&gt;"")*(B_Drainage!$A$5:$A$204&lt;=$B193)*(B_Drainage!$B$5:$B$204&gt;$B193)*(B_Drainage!$L$5:$L$204&lt;&gt;"")),IF(B_Drainage!$L$5:$L$204="-","",B_Drainage!$L$5:$L$204)),"")</f>
        <v/>
      </c>
      <c r="AD193" s="182" t="str">
        <f>IFERROR(LOOKUP(2,1/((D_Points!$A$5:$A$204&lt;&gt;"")*(D_Points!$A$5:$A$204&gt;=$B193)*(D_Points!$A$5:$A$204&lt;$B193+P_Interval)*(UPPER(TRIM(D_Points!$B$5:$B$204))="TURNOUT_L")*(D_Points!$H$5:$H$204&lt;&gt;"")),D_Points!$H$5:$H$204),"")</f>
        <v/>
      </c>
      <c r="AE193" s="182" t="str">
        <f>IFERROR(LOOKUP(2,1/((D_Points!$A$5:$A$204&lt;&gt;"")*(D_Points!$A$5:$A$204&gt;=$B193)*(D_Points!$A$5:$A$204&lt;$B193+P_Interval)*(UPPER(TRIM(D_Points!$B$5:$B$204))="TURNOUT_R")*(D_Points!$H$5:$H$204&lt;&gt;"")),D_Points!$H$5:$H$204),"")</f>
        <v/>
      </c>
      <c r="AF193" s="181" t="str">
        <f>IFERROR(LOOKUP(2,1/((B_Drainage!$A$5:$A$204&lt;&gt;"")*(B_Drainage!$A$5:$A$204&lt;=$B193)*(B_Drainage!$B$5:$B$204&gt;$B193)*(B_Drainage!$M$5:$M$204&lt;&gt;"")),IF(UPPER(B_Drainage!$M$5:$M$204)="Y",1,"")),"")</f>
        <v/>
      </c>
      <c r="AG193" s="181" t="str">
        <f>IFERROR(LOOKUP(2,1/((B_Drainage!$A$5:$A$204&lt;&gt;"")*(B_Drainage!$A$5:$A$204&lt;=$B193)*(B_Drainage!$B$5:$B$204&gt;$B193)*(B_Drainage!$N$5:$N$204&lt;&gt;"")),IF(UPPER(B_Drainage!$N$5:$N$204)="Y",1,"")),"")</f>
        <v/>
      </c>
      <c r="AH193" s="181" t="str">
        <f t="shared" si="16"/>
        <v/>
      </c>
      <c r="AI193" s="181" t="str">
        <f t="shared" si="17"/>
        <v/>
      </c>
      <c r="AJ193" s="181" t="str">
        <f t="shared" si="18"/>
        <v/>
      </c>
      <c r="AK193" s="181" t="str">
        <f t="shared" si="19"/>
        <v/>
      </c>
      <c r="AL193" s="181" t="str">
        <f t="shared" si="20"/>
        <v/>
      </c>
      <c r="AM193" s="181" t="str">
        <f t="shared" si="21"/>
        <v/>
      </c>
      <c r="AN193" s="181" t="str">
        <f t="shared" si="22"/>
        <v/>
      </c>
      <c r="AO193" s="192" t="str">
        <f t="shared" si="23"/>
        <v/>
      </c>
      <c r="AQ193" t="str">
        <f>IFERROR(LOOKUP(2,1/((C_Pavement!$A$5:$A$204&lt;&gt;"")*(C_Pavement!$A$5:$A$204&lt;=$B193)*(C_Pavement!$B$5:$B$204&gt;$B193)*(C_Pavement!$C$5:$C$204&lt;&gt;"")),ROW(C_Pavement!$C$5:$C$204)-4),"")</f>
        <v/>
      </c>
      <c r="AR193" t="str">
        <f>IF($AQ193="","",UPPER(TRIM(INDEX(C_Pavement!$C$5:$C$204,$AQ193))))</f>
        <v/>
      </c>
      <c r="AS193" t="str">
        <f>IF($AR193="","",IFERROR(MATCH($AR193,E_Rules!$A$5:$A$9,0),""))</f>
        <v/>
      </c>
      <c r="AT193" t="str">
        <f>IF($AQ193="","",IF(INDEX(C_Pavement!$D$5:$D$204,$AQ193)&lt;&gt;"",UPPER(TRIM(INDEX(C_Pavement!$D$5:$D$204,$AQ193))),IF($AS193="","",INDEX(E_Rules!$C$5:$C$9,$AS193))))</f>
        <v/>
      </c>
      <c r="AU193" t="str">
        <f>IF($AQ193="","",IF(INDEX(C_Pavement!$E$5:$E$204,$AQ193)&lt;&gt;"",IF(INDEX(C_Pavement!$E$5:$E$204,$AQ193)="-","",INDEX(C_Pavement!$E$5:$E$204,$AQ193)),IF($AS193="","",INDEX(E_Rules!$D$5:$D$9,$AS193))))</f>
        <v/>
      </c>
      <c r="AV193" t="str">
        <f>IF($AQ193="","",IF(INDEX(C_Pavement!$F$5:$F$204,$AQ193)&lt;&gt;"",IF(INDEX(C_Pavement!$F$5:$F$204,$AQ193)="-","",INDEX(C_Pavement!$F$5:$F$204,$AQ193)),IF($AS193="","",INDEX(E_Rules!$E$5:$E$9,$AS193))))</f>
        <v/>
      </c>
      <c r="AW193" t="str">
        <f>IF($AQ193="","",IF(INDEX(C_Pavement!$G$5:$G$204,$AQ193)&lt;&gt;"",IF(INDEX(C_Pavement!$G$5:$G$204,$AQ193)="-","",INDEX(C_Pavement!$G$5:$G$204,$AQ193)),IF($AS193="","",INDEX(E_Rules!$F$5:$F$9,$AS193))))</f>
        <v/>
      </c>
      <c r="AX193" t="str">
        <f>IF($AQ193="","",IF(INDEX(C_Pavement!$H$5:$H$204,$AQ193)&lt;&gt;"",IF(INDEX(C_Pavement!$H$5:$H$204,$AQ193)="-","",INDEX(C_Pavement!$H$5:$H$204,$AQ193)),IF($AS193="","",INDEX(E_Rules!$G$5:$G$9,$AS193))))</f>
        <v/>
      </c>
      <c r="AY193" t="str">
        <f>IF($AQ193="","",IF(INDEX(C_Pavement!$I$5:$I$204,$AQ193)&lt;&gt;"",IF(INDEX(C_Pavement!$I$5:$I$204,$AQ193)="-","",INDEX(C_Pavement!$I$5:$I$204,$AQ193)),IF($AS193="","",INDEX(E_Rules!$H$5:$H$9,$AS193))))</f>
        <v/>
      </c>
    </row>
    <row r="194" spans="1:51" ht="15.75" customHeight="1" x14ac:dyDescent="0.3">
      <c r="A194" s="189">
        <v>189</v>
      </c>
      <c r="B194" s="180">
        <v>9400</v>
      </c>
      <c r="C194" s="180" t="s">
        <v>500</v>
      </c>
      <c r="D194" s="181" t="str">
        <f>IFERROR(LOOKUP(2,1/((A_Corridor!$A$5:$A$204&lt;&gt;"")*(A_Corridor!$A$5:$A$204&lt;=$B194)*(A_Corridor!$B$5:$B$204&gt;$B194)*(A_Corridor!$C$5:$C$204&lt;&gt;"")),IF(UPPER(A_Corridor!$C$5:$C$204)="Y",1,"")),"")</f>
        <v/>
      </c>
      <c r="E194" s="181" t="str">
        <f>IFERROR(LOOKUP(2,1/((A_Corridor!$A$5:$A$204&lt;&gt;"")*(A_Corridor!$A$5:$A$204&lt;=$B194)*(A_Corridor!$B$5:$B$204&gt;$B194)*(A_Corridor!$D$5:$D$204&lt;&gt;"")),IF(A_Corridor!$D$5:$D$204="-","",UPPER(A_Corridor!$D$5:$D$204))),"")</f>
        <v/>
      </c>
      <c r="F194" s="181" t="str">
        <f>IFERROR(LOOKUP(2,1/((A_Corridor!$A$5:$A$204&lt;&gt;"")*(A_Corridor!$A$5:$A$204&lt;=$B194)*(A_Corridor!$B$5:$B$204&gt;$B194)*(A_Corridor!$E$5:$E$204&lt;&gt;"")),IF(A_Corridor!$E$5:$E$204="-","",1)),"")</f>
        <v/>
      </c>
      <c r="G194" s="182" t="str">
        <f>IFERROR(LOOKUP(2,1/((A_Corridor!$A$5:$A$204&lt;&gt;"")*(A_Corridor!$A$5:$A$204&lt;=$B194)*(A_Corridor!$B$5:$B$204&gt;$B194)*(A_Corridor!$E$5:$E$204&lt;&gt;"")),IF(A_Corridor!$E$5:$E$204="-","",A_Corridor!$E$5:$E$204)),"")</f>
        <v/>
      </c>
      <c r="H194" s="182" t="str">
        <f>IFERROR(LOOKUP(2,1/((D_Points!$A$5:$A$204&lt;&gt;"")*(D_Points!$A$5:$A$204&gt;=$B194)*(D_Points!$A$5:$A$204&lt;$B194+P_Interval)*(UPPER(TRIM(D_Points!$B$5:$B$204))="GULLY")*(D_Points!$H$5:$H$204&lt;&gt;"")),D_Points!$H$5:$H$204),"")</f>
        <v/>
      </c>
      <c r="I194" s="181" t="str">
        <f>IFERROR(LOOKUP(2,1/((A_Corridor!$A$5:$A$204&lt;&gt;"")*(A_Corridor!$A$5:$A$204&lt;=$B194)*(A_Corridor!$B$5:$B$204&gt;$B194)*(A_Corridor!$F$5:$F$204&lt;&gt;"")),IF(A_Corridor!$F$5:$F$204="-","",1)),"")</f>
        <v/>
      </c>
      <c r="J194" s="182" t="str">
        <f>IFERROR(LOOKUP(2,1/((A_Corridor!$A$5:$A$204&lt;&gt;"")*(A_Corridor!$A$5:$A$204&lt;=$B194)*(A_Corridor!$B$5:$B$204&gt;$B194)*(A_Corridor!$F$5:$F$204&lt;&gt;"")),IF(A_Corridor!$F$5:$F$204="-","",A_Corridor!$F$5:$F$204)),"")</f>
        <v/>
      </c>
      <c r="K194" s="182" t="str">
        <f>IFERROR(LOOKUP(2,1/((A_Corridor!$A$5:$A$204&lt;&gt;"")*(A_Corridor!$A$5:$A$204&lt;=$B194)*(A_Corridor!$B$5:$B$204&gt;$B194)*(A_Corridor!$G$5:$G$204&lt;&gt;"")),IF(A_Corridor!$G$5:$G$204="-","",A_Corridor!$G$5:$G$204)),"")</f>
        <v/>
      </c>
      <c r="L194" s="181" t="str">
        <f>IFERROR(LOOKUP(2,1/((A_Corridor!$A$5:$A$204&lt;&gt;"")*(A_Corridor!$A$5:$A$204&lt;=$B194)*(A_Corridor!$B$5:$B$204&gt;$B194)*(A_Corridor!$H$5:$H$204&lt;&gt;"")),IF(A_Corridor!$H$5:$H$204="-","",1)),"")</f>
        <v/>
      </c>
      <c r="M194" s="182" t="str">
        <f>IFERROR(LOOKUP(2,1/((A_Corridor!$A$5:$A$204&lt;&gt;"")*(A_Corridor!$A$5:$A$204&lt;=$B194)*(A_Corridor!$B$5:$B$204&gt;$B194)*(A_Corridor!$H$5:$H$204&lt;&gt;"")),IF(A_Corridor!$H$5:$H$204="-","",A_Corridor!$H$5:$H$204)),"")</f>
        <v/>
      </c>
      <c r="N194" s="182" t="str">
        <f>IFERROR(LOOKUP(2,1/((A_Corridor!$A$5:$A$204&lt;&gt;"")*(A_Corridor!$A$5:$A$204&lt;=$B194)*(A_Corridor!$B$5:$B$204&gt;$B194)*(A_Corridor!$I$5:$I$204&lt;&gt;"")),IF(A_Corridor!$I$5:$I$204="-","",A_Corridor!$I$5:$I$204)),"")</f>
        <v/>
      </c>
      <c r="O194" s="182" t="str">
        <f>IFERROR(LOOKUP(2,1/((D_Points!$A$5:$A$204&lt;&gt;"")*(D_Points!$A$5:$A$204&gt;=$B194)*(D_Points!$A$5:$A$204&lt;$B194+P_Interval)*(UPPER(TRIM(D_Points!$B$5:$B$204))="PITCHING")*(D_Points!$H$5:$H$204&lt;&gt;"")),D_Points!$H$5:$H$204),"")</f>
        <v/>
      </c>
      <c r="P194" s="181" t="str">
        <f>IFERROR(LOOKUP(2,1/((B_Drainage!$A$5:$A$204&lt;&gt;"")*(B_Drainage!$A$5:$A$204&lt;=$B194)*(B_Drainage!$B$5:$B$204&gt;$B194)*(B_Drainage!$C$5:$C$204&lt;&gt;"")),IF(B_Drainage!$C$5:$C$204="-","",UPPER(B_Drainage!$C$5:$C$204))),"")</f>
        <v/>
      </c>
      <c r="Q194" s="181" t="str">
        <f>IFERROR(LOOKUP(2,1/((B_Drainage!$A$5:$A$204&lt;&gt;"")*(B_Drainage!$A$5:$A$204&lt;=$B194)*(B_Drainage!$B$5:$B$204&gt;$B194)*(B_Drainage!$D$5:$D$204&lt;&gt;"")),IF(B_Drainage!$D$5:$D$204="-","",UPPER(B_Drainage!$D$5:$D$204))),"")</f>
        <v/>
      </c>
      <c r="R194" s="182" t="str">
        <f>IFERROR(LOOKUP(2,1/((D_Points!$A$5:$A$204&lt;&gt;"")*(D_Points!$A$5:$A$204&gt;=$B194)*(D_Points!$A$5:$A$204&lt;$B194+P_Interval)*(RIGHT(UPPER(TRIM(D_Points!$B$5:$B$204)),8)="_CULVERT")),IF(LEFT(UPPER(TRIM(D_Points!$B$5:$B$204)),2)="EX",1,IF(LEFT(UPPER(TRIM(D_Points!$B$5:$B$204)),2)="PR",2,3))),"")</f>
        <v/>
      </c>
      <c r="S194" s="182" t="str">
        <f>IFERROR(LOOKUP(2,1/((D_Points!$A$5:$A$204&lt;&gt;"")*(D_Points!$A$5:$A$204&gt;=$B194)*(D_Points!$A$5:$A$204&lt;$B194+P_Interval)*(RIGHT(UPPER(TRIM(D_Points!$B$5:$B$204)),7)="_BRIDGE")),IF(LEFT(UPPER(TRIM(D_Points!$B$5:$B$204)),2)="EX",1,IF(LEFT(UPPER(TRIM(D_Points!$B$5:$B$204)),2)="PR",2,2))),"")</f>
        <v/>
      </c>
      <c r="T194" s="181" t="str">
        <f>IFERROR(LOOKUP(2,1/((B_Drainage!$A$5:$A$204&lt;&gt;"")*(B_Drainage!$A$5:$A$204&lt;=$B194)*(B_Drainage!$B$5:$B$204&gt;$B194)*(B_Drainage!$E$5:$E$204&lt;&gt;"")),IF(B_Drainage!$E$5:$E$204="-","",1)),"")</f>
        <v/>
      </c>
      <c r="U194" s="181" t="str">
        <f>IFERROR(LOOKUP(2,1/((B_Drainage!$A$5:$A$204&lt;&gt;"")*(B_Drainage!$A$5:$A$204&lt;=$B194)*(B_Drainage!$B$5:$B$204&gt;$B194)*(B_Drainage!$E$5:$E$204&lt;&gt;"")),IF(B_Drainage!$E$5:$E$204="-","",B_Drainage!$E$5:$E$204)),"")</f>
        <v/>
      </c>
      <c r="V194" s="181" t="str">
        <f>IFERROR(LOOKUP(2,1/((B_Drainage!$A$5:$A$204&lt;&gt;"")*(B_Drainage!$A$5:$A$204&lt;=$B194)*(B_Drainage!$B$5:$B$204&gt;$B194)*(B_Drainage!$F$5:$F$204&lt;&gt;"")),IF(B_Drainage!$F$5:$F$204="-","",1)),"")</f>
        <v/>
      </c>
      <c r="W194" s="181" t="str">
        <f>IFERROR(LOOKUP(2,1/((B_Drainage!$A$5:$A$204&lt;&gt;"")*(B_Drainage!$A$5:$A$204&lt;=$B194)*(B_Drainage!$B$5:$B$204&gt;$B194)*(B_Drainage!$F$5:$F$204&lt;&gt;"")),IF(B_Drainage!$F$5:$F$204="-","",B_Drainage!$F$5:$F$204)),"")</f>
        <v/>
      </c>
      <c r="X194" s="181" t="str">
        <f>IFERROR(LOOKUP(2,1/((B_Drainage!$A$5:$A$204&lt;&gt;"")*(B_Drainage!$A$5:$A$204&lt;=$B194)*(B_Drainage!$B$5:$B$204&gt;$B194)*(B_Drainage!$G$5:$G$204&lt;&gt;"")),IF(UPPER(B_Drainage!$G$5:$G$204)="Y",1,"")),"")</f>
        <v/>
      </c>
      <c r="Y194" s="181" t="str">
        <f>IFERROR(LOOKUP(2,1/((B_Drainage!$A$5:$A$204&lt;&gt;"")*(B_Drainage!$A$5:$A$204&lt;=$B194)*(B_Drainage!$B$5:$B$204&gt;$B194)*(B_Drainage!$H$5:$H$204&lt;&gt;"")),IF(UPPER(B_Drainage!$H$5:$H$204)="Y",1,"")),"")</f>
        <v/>
      </c>
      <c r="Z194" s="181" t="str">
        <f>IFERROR(LOOKUP(2,1/((B_Drainage!$A$5:$A$204&lt;&gt;"")*(B_Drainage!$A$5:$A$204&lt;=$B194)*(B_Drainage!$B$5:$B$204&gt;$B194)*(B_Drainage!$I$5:$I$204&lt;&gt;"")),IF(UPPER(B_Drainage!$I$5:$I$204)="Y",1,"")),"")</f>
        <v/>
      </c>
      <c r="AA194" s="181" t="str">
        <f>IFERROR(LOOKUP(2,1/((B_Drainage!$A$5:$A$204&lt;&gt;"")*(B_Drainage!$A$5:$A$204&lt;=$B194)*(B_Drainage!$B$5:$B$204&gt;$B194)*(B_Drainage!$J$5:$J$204&lt;&gt;"")),IF(UPPER(B_Drainage!$J$5:$J$204)="Y",1,"")),"")</f>
        <v/>
      </c>
      <c r="AB194" s="182" t="str">
        <f>IFERROR(LOOKUP(2,1/((B_Drainage!$A$5:$A$204&lt;&gt;"")*(B_Drainage!$A$5:$A$204&lt;=$B194)*(B_Drainage!$B$5:$B$204&gt;$B194)*(B_Drainage!$K$5:$K$204&lt;&gt;"")),IF(B_Drainage!$K$5:$K$204="-","",B_Drainage!$K$5:$K$204)),"")</f>
        <v/>
      </c>
      <c r="AC194" s="182" t="str">
        <f>IFERROR(LOOKUP(2,1/((B_Drainage!$A$5:$A$204&lt;&gt;"")*(B_Drainage!$A$5:$A$204&lt;=$B194)*(B_Drainage!$B$5:$B$204&gt;$B194)*(B_Drainage!$L$5:$L$204&lt;&gt;"")),IF(B_Drainage!$L$5:$L$204="-","",B_Drainage!$L$5:$L$204)),"")</f>
        <v/>
      </c>
      <c r="AD194" s="182" t="str">
        <f>IFERROR(LOOKUP(2,1/((D_Points!$A$5:$A$204&lt;&gt;"")*(D_Points!$A$5:$A$204&gt;=$B194)*(D_Points!$A$5:$A$204&lt;$B194+P_Interval)*(UPPER(TRIM(D_Points!$B$5:$B$204))="TURNOUT_L")*(D_Points!$H$5:$H$204&lt;&gt;"")),D_Points!$H$5:$H$204),"")</f>
        <v/>
      </c>
      <c r="AE194" s="182" t="str">
        <f>IFERROR(LOOKUP(2,1/((D_Points!$A$5:$A$204&lt;&gt;"")*(D_Points!$A$5:$A$204&gt;=$B194)*(D_Points!$A$5:$A$204&lt;$B194+P_Interval)*(UPPER(TRIM(D_Points!$B$5:$B$204))="TURNOUT_R")*(D_Points!$H$5:$H$204&lt;&gt;"")),D_Points!$H$5:$H$204),"")</f>
        <v/>
      </c>
      <c r="AF194" s="181" t="str">
        <f>IFERROR(LOOKUP(2,1/((B_Drainage!$A$5:$A$204&lt;&gt;"")*(B_Drainage!$A$5:$A$204&lt;=$B194)*(B_Drainage!$B$5:$B$204&gt;$B194)*(B_Drainage!$M$5:$M$204&lt;&gt;"")),IF(UPPER(B_Drainage!$M$5:$M$204)="Y",1,"")),"")</f>
        <v/>
      </c>
      <c r="AG194" s="181" t="str">
        <f>IFERROR(LOOKUP(2,1/((B_Drainage!$A$5:$A$204&lt;&gt;"")*(B_Drainage!$A$5:$A$204&lt;=$B194)*(B_Drainage!$B$5:$B$204&gt;$B194)*(B_Drainage!$N$5:$N$204&lt;&gt;"")),IF(UPPER(B_Drainage!$N$5:$N$204)="Y",1,"")),"")</f>
        <v/>
      </c>
      <c r="AH194" s="181" t="str">
        <f t="shared" si="16"/>
        <v/>
      </c>
      <c r="AI194" s="181" t="str">
        <f t="shared" si="17"/>
        <v/>
      </c>
      <c r="AJ194" s="181" t="str">
        <f t="shared" si="18"/>
        <v/>
      </c>
      <c r="AK194" s="181" t="str">
        <f t="shared" si="19"/>
        <v/>
      </c>
      <c r="AL194" s="181" t="str">
        <f t="shared" si="20"/>
        <v/>
      </c>
      <c r="AM194" s="181" t="str">
        <f t="shared" si="21"/>
        <v/>
      </c>
      <c r="AN194" s="181" t="str">
        <f t="shared" si="22"/>
        <v/>
      </c>
      <c r="AO194" s="192" t="str">
        <f t="shared" si="23"/>
        <v/>
      </c>
      <c r="AQ194" t="str">
        <f>IFERROR(LOOKUP(2,1/((C_Pavement!$A$5:$A$204&lt;&gt;"")*(C_Pavement!$A$5:$A$204&lt;=$B194)*(C_Pavement!$B$5:$B$204&gt;$B194)*(C_Pavement!$C$5:$C$204&lt;&gt;"")),ROW(C_Pavement!$C$5:$C$204)-4),"")</f>
        <v/>
      </c>
      <c r="AR194" t="str">
        <f>IF($AQ194="","",UPPER(TRIM(INDEX(C_Pavement!$C$5:$C$204,$AQ194))))</f>
        <v/>
      </c>
      <c r="AS194" t="str">
        <f>IF($AR194="","",IFERROR(MATCH($AR194,E_Rules!$A$5:$A$9,0),""))</f>
        <v/>
      </c>
      <c r="AT194" t="str">
        <f>IF($AQ194="","",IF(INDEX(C_Pavement!$D$5:$D$204,$AQ194)&lt;&gt;"",UPPER(TRIM(INDEX(C_Pavement!$D$5:$D$204,$AQ194))),IF($AS194="","",INDEX(E_Rules!$C$5:$C$9,$AS194))))</f>
        <v/>
      </c>
      <c r="AU194" t="str">
        <f>IF($AQ194="","",IF(INDEX(C_Pavement!$E$5:$E$204,$AQ194)&lt;&gt;"",IF(INDEX(C_Pavement!$E$5:$E$204,$AQ194)="-","",INDEX(C_Pavement!$E$5:$E$204,$AQ194)),IF($AS194="","",INDEX(E_Rules!$D$5:$D$9,$AS194))))</f>
        <v/>
      </c>
      <c r="AV194" t="str">
        <f>IF($AQ194="","",IF(INDEX(C_Pavement!$F$5:$F$204,$AQ194)&lt;&gt;"",IF(INDEX(C_Pavement!$F$5:$F$204,$AQ194)="-","",INDEX(C_Pavement!$F$5:$F$204,$AQ194)),IF($AS194="","",INDEX(E_Rules!$E$5:$E$9,$AS194))))</f>
        <v/>
      </c>
      <c r="AW194" t="str">
        <f>IF($AQ194="","",IF(INDEX(C_Pavement!$G$5:$G$204,$AQ194)&lt;&gt;"",IF(INDEX(C_Pavement!$G$5:$G$204,$AQ194)="-","",INDEX(C_Pavement!$G$5:$G$204,$AQ194)),IF($AS194="","",INDEX(E_Rules!$F$5:$F$9,$AS194))))</f>
        <v/>
      </c>
      <c r="AX194" t="str">
        <f>IF($AQ194="","",IF(INDEX(C_Pavement!$H$5:$H$204,$AQ194)&lt;&gt;"",IF(INDEX(C_Pavement!$H$5:$H$204,$AQ194)="-","",INDEX(C_Pavement!$H$5:$H$204,$AQ194)),IF($AS194="","",INDEX(E_Rules!$G$5:$G$9,$AS194))))</f>
        <v/>
      </c>
      <c r="AY194" t="str">
        <f>IF($AQ194="","",IF(INDEX(C_Pavement!$I$5:$I$204,$AQ194)&lt;&gt;"",IF(INDEX(C_Pavement!$I$5:$I$204,$AQ194)="-","",INDEX(C_Pavement!$I$5:$I$204,$AQ194)),IF($AS194="","",INDEX(E_Rules!$H$5:$H$9,$AS194))))</f>
        <v/>
      </c>
    </row>
    <row r="195" spans="1:51" ht="15.75" customHeight="1" x14ac:dyDescent="0.3">
      <c r="A195" s="189">
        <v>190</v>
      </c>
      <c r="B195" s="180">
        <v>9450</v>
      </c>
      <c r="C195" s="180" t="s">
        <v>501</v>
      </c>
      <c r="D195" s="181" t="str">
        <f>IFERROR(LOOKUP(2,1/((A_Corridor!$A$5:$A$204&lt;&gt;"")*(A_Corridor!$A$5:$A$204&lt;=$B195)*(A_Corridor!$B$5:$B$204&gt;$B195)*(A_Corridor!$C$5:$C$204&lt;&gt;"")),IF(UPPER(A_Corridor!$C$5:$C$204)="Y",1,"")),"")</f>
        <v/>
      </c>
      <c r="E195" s="181" t="str">
        <f>IFERROR(LOOKUP(2,1/((A_Corridor!$A$5:$A$204&lt;&gt;"")*(A_Corridor!$A$5:$A$204&lt;=$B195)*(A_Corridor!$B$5:$B$204&gt;$B195)*(A_Corridor!$D$5:$D$204&lt;&gt;"")),IF(A_Corridor!$D$5:$D$204="-","",UPPER(A_Corridor!$D$5:$D$204))),"")</f>
        <v/>
      </c>
      <c r="F195" s="181" t="str">
        <f>IFERROR(LOOKUP(2,1/((A_Corridor!$A$5:$A$204&lt;&gt;"")*(A_Corridor!$A$5:$A$204&lt;=$B195)*(A_Corridor!$B$5:$B$204&gt;$B195)*(A_Corridor!$E$5:$E$204&lt;&gt;"")),IF(A_Corridor!$E$5:$E$204="-","",1)),"")</f>
        <v/>
      </c>
      <c r="G195" s="182" t="str">
        <f>IFERROR(LOOKUP(2,1/((A_Corridor!$A$5:$A$204&lt;&gt;"")*(A_Corridor!$A$5:$A$204&lt;=$B195)*(A_Corridor!$B$5:$B$204&gt;$B195)*(A_Corridor!$E$5:$E$204&lt;&gt;"")),IF(A_Corridor!$E$5:$E$204="-","",A_Corridor!$E$5:$E$204)),"")</f>
        <v/>
      </c>
      <c r="H195" s="182" t="str">
        <f>IFERROR(LOOKUP(2,1/((D_Points!$A$5:$A$204&lt;&gt;"")*(D_Points!$A$5:$A$204&gt;=$B195)*(D_Points!$A$5:$A$204&lt;$B195+P_Interval)*(UPPER(TRIM(D_Points!$B$5:$B$204))="GULLY")*(D_Points!$H$5:$H$204&lt;&gt;"")),D_Points!$H$5:$H$204),"")</f>
        <v/>
      </c>
      <c r="I195" s="181" t="str">
        <f>IFERROR(LOOKUP(2,1/((A_Corridor!$A$5:$A$204&lt;&gt;"")*(A_Corridor!$A$5:$A$204&lt;=$B195)*(A_Corridor!$B$5:$B$204&gt;$B195)*(A_Corridor!$F$5:$F$204&lt;&gt;"")),IF(A_Corridor!$F$5:$F$204="-","",1)),"")</f>
        <v/>
      </c>
      <c r="J195" s="182" t="str">
        <f>IFERROR(LOOKUP(2,1/((A_Corridor!$A$5:$A$204&lt;&gt;"")*(A_Corridor!$A$5:$A$204&lt;=$B195)*(A_Corridor!$B$5:$B$204&gt;$B195)*(A_Corridor!$F$5:$F$204&lt;&gt;"")),IF(A_Corridor!$F$5:$F$204="-","",A_Corridor!$F$5:$F$204)),"")</f>
        <v/>
      </c>
      <c r="K195" s="182" t="str">
        <f>IFERROR(LOOKUP(2,1/((A_Corridor!$A$5:$A$204&lt;&gt;"")*(A_Corridor!$A$5:$A$204&lt;=$B195)*(A_Corridor!$B$5:$B$204&gt;$B195)*(A_Corridor!$G$5:$G$204&lt;&gt;"")),IF(A_Corridor!$G$5:$G$204="-","",A_Corridor!$G$5:$G$204)),"")</f>
        <v/>
      </c>
      <c r="L195" s="181" t="str">
        <f>IFERROR(LOOKUP(2,1/((A_Corridor!$A$5:$A$204&lt;&gt;"")*(A_Corridor!$A$5:$A$204&lt;=$B195)*(A_Corridor!$B$5:$B$204&gt;$B195)*(A_Corridor!$H$5:$H$204&lt;&gt;"")),IF(A_Corridor!$H$5:$H$204="-","",1)),"")</f>
        <v/>
      </c>
      <c r="M195" s="182" t="str">
        <f>IFERROR(LOOKUP(2,1/((A_Corridor!$A$5:$A$204&lt;&gt;"")*(A_Corridor!$A$5:$A$204&lt;=$B195)*(A_Corridor!$B$5:$B$204&gt;$B195)*(A_Corridor!$H$5:$H$204&lt;&gt;"")),IF(A_Corridor!$H$5:$H$204="-","",A_Corridor!$H$5:$H$204)),"")</f>
        <v/>
      </c>
      <c r="N195" s="182" t="str">
        <f>IFERROR(LOOKUP(2,1/((A_Corridor!$A$5:$A$204&lt;&gt;"")*(A_Corridor!$A$5:$A$204&lt;=$B195)*(A_Corridor!$B$5:$B$204&gt;$B195)*(A_Corridor!$I$5:$I$204&lt;&gt;"")),IF(A_Corridor!$I$5:$I$204="-","",A_Corridor!$I$5:$I$204)),"")</f>
        <v/>
      </c>
      <c r="O195" s="182" t="str">
        <f>IFERROR(LOOKUP(2,1/((D_Points!$A$5:$A$204&lt;&gt;"")*(D_Points!$A$5:$A$204&gt;=$B195)*(D_Points!$A$5:$A$204&lt;$B195+P_Interval)*(UPPER(TRIM(D_Points!$B$5:$B$204))="PITCHING")*(D_Points!$H$5:$H$204&lt;&gt;"")),D_Points!$H$5:$H$204),"")</f>
        <v/>
      </c>
      <c r="P195" s="181" t="str">
        <f>IFERROR(LOOKUP(2,1/((B_Drainage!$A$5:$A$204&lt;&gt;"")*(B_Drainage!$A$5:$A$204&lt;=$B195)*(B_Drainage!$B$5:$B$204&gt;$B195)*(B_Drainage!$C$5:$C$204&lt;&gt;"")),IF(B_Drainage!$C$5:$C$204="-","",UPPER(B_Drainage!$C$5:$C$204))),"")</f>
        <v/>
      </c>
      <c r="Q195" s="181" t="str">
        <f>IFERROR(LOOKUP(2,1/((B_Drainage!$A$5:$A$204&lt;&gt;"")*(B_Drainage!$A$5:$A$204&lt;=$B195)*(B_Drainage!$B$5:$B$204&gt;$B195)*(B_Drainage!$D$5:$D$204&lt;&gt;"")),IF(B_Drainage!$D$5:$D$204="-","",UPPER(B_Drainage!$D$5:$D$204))),"")</f>
        <v/>
      </c>
      <c r="R195" s="182" t="str">
        <f>IFERROR(LOOKUP(2,1/((D_Points!$A$5:$A$204&lt;&gt;"")*(D_Points!$A$5:$A$204&gt;=$B195)*(D_Points!$A$5:$A$204&lt;$B195+P_Interval)*(RIGHT(UPPER(TRIM(D_Points!$B$5:$B$204)),8)="_CULVERT")),IF(LEFT(UPPER(TRIM(D_Points!$B$5:$B$204)),2)="EX",1,IF(LEFT(UPPER(TRIM(D_Points!$B$5:$B$204)),2)="PR",2,3))),"")</f>
        <v/>
      </c>
      <c r="S195" s="182" t="str">
        <f>IFERROR(LOOKUP(2,1/((D_Points!$A$5:$A$204&lt;&gt;"")*(D_Points!$A$5:$A$204&gt;=$B195)*(D_Points!$A$5:$A$204&lt;$B195+P_Interval)*(RIGHT(UPPER(TRIM(D_Points!$B$5:$B$204)),7)="_BRIDGE")),IF(LEFT(UPPER(TRIM(D_Points!$B$5:$B$204)),2)="EX",1,IF(LEFT(UPPER(TRIM(D_Points!$B$5:$B$204)),2)="PR",2,2))),"")</f>
        <v/>
      </c>
      <c r="T195" s="181" t="str">
        <f>IFERROR(LOOKUP(2,1/((B_Drainage!$A$5:$A$204&lt;&gt;"")*(B_Drainage!$A$5:$A$204&lt;=$B195)*(B_Drainage!$B$5:$B$204&gt;$B195)*(B_Drainage!$E$5:$E$204&lt;&gt;"")),IF(B_Drainage!$E$5:$E$204="-","",1)),"")</f>
        <v/>
      </c>
      <c r="U195" s="181" t="str">
        <f>IFERROR(LOOKUP(2,1/((B_Drainage!$A$5:$A$204&lt;&gt;"")*(B_Drainage!$A$5:$A$204&lt;=$B195)*(B_Drainage!$B$5:$B$204&gt;$B195)*(B_Drainage!$E$5:$E$204&lt;&gt;"")),IF(B_Drainage!$E$5:$E$204="-","",B_Drainage!$E$5:$E$204)),"")</f>
        <v/>
      </c>
      <c r="V195" s="181" t="str">
        <f>IFERROR(LOOKUP(2,1/((B_Drainage!$A$5:$A$204&lt;&gt;"")*(B_Drainage!$A$5:$A$204&lt;=$B195)*(B_Drainage!$B$5:$B$204&gt;$B195)*(B_Drainage!$F$5:$F$204&lt;&gt;"")),IF(B_Drainage!$F$5:$F$204="-","",1)),"")</f>
        <v/>
      </c>
      <c r="W195" s="181" t="str">
        <f>IFERROR(LOOKUP(2,1/((B_Drainage!$A$5:$A$204&lt;&gt;"")*(B_Drainage!$A$5:$A$204&lt;=$B195)*(B_Drainage!$B$5:$B$204&gt;$B195)*(B_Drainage!$F$5:$F$204&lt;&gt;"")),IF(B_Drainage!$F$5:$F$204="-","",B_Drainage!$F$5:$F$204)),"")</f>
        <v/>
      </c>
      <c r="X195" s="181" t="str">
        <f>IFERROR(LOOKUP(2,1/((B_Drainage!$A$5:$A$204&lt;&gt;"")*(B_Drainage!$A$5:$A$204&lt;=$B195)*(B_Drainage!$B$5:$B$204&gt;$B195)*(B_Drainage!$G$5:$G$204&lt;&gt;"")),IF(UPPER(B_Drainage!$G$5:$G$204)="Y",1,"")),"")</f>
        <v/>
      </c>
      <c r="Y195" s="181" t="str">
        <f>IFERROR(LOOKUP(2,1/((B_Drainage!$A$5:$A$204&lt;&gt;"")*(B_Drainage!$A$5:$A$204&lt;=$B195)*(B_Drainage!$B$5:$B$204&gt;$B195)*(B_Drainage!$H$5:$H$204&lt;&gt;"")),IF(UPPER(B_Drainage!$H$5:$H$204)="Y",1,"")),"")</f>
        <v/>
      </c>
      <c r="Z195" s="181" t="str">
        <f>IFERROR(LOOKUP(2,1/((B_Drainage!$A$5:$A$204&lt;&gt;"")*(B_Drainage!$A$5:$A$204&lt;=$B195)*(B_Drainage!$B$5:$B$204&gt;$B195)*(B_Drainage!$I$5:$I$204&lt;&gt;"")),IF(UPPER(B_Drainage!$I$5:$I$204)="Y",1,"")),"")</f>
        <v/>
      </c>
      <c r="AA195" s="181" t="str">
        <f>IFERROR(LOOKUP(2,1/((B_Drainage!$A$5:$A$204&lt;&gt;"")*(B_Drainage!$A$5:$A$204&lt;=$B195)*(B_Drainage!$B$5:$B$204&gt;$B195)*(B_Drainage!$J$5:$J$204&lt;&gt;"")),IF(UPPER(B_Drainage!$J$5:$J$204)="Y",1,"")),"")</f>
        <v/>
      </c>
      <c r="AB195" s="182" t="str">
        <f>IFERROR(LOOKUP(2,1/((B_Drainage!$A$5:$A$204&lt;&gt;"")*(B_Drainage!$A$5:$A$204&lt;=$B195)*(B_Drainage!$B$5:$B$204&gt;$B195)*(B_Drainage!$K$5:$K$204&lt;&gt;"")),IF(B_Drainage!$K$5:$K$204="-","",B_Drainage!$K$5:$K$204)),"")</f>
        <v/>
      </c>
      <c r="AC195" s="182" t="str">
        <f>IFERROR(LOOKUP(2,1/((B_Drainage!$A$5:$A$204&lt;&gt;"")*(B_Drainage!$A$5:$A$204&lt;=$B195)*(B_Drainage!$B$5:$B$204&gt;$B195)*(B_Drainage!$L$5:$L$204&lt;&gt;"")),IF(B_Drainage!$L$5:$L$204="-","",B_Drainage!$L$5:$L$204)),"")</f>
        <v/>
      </c>
      <c r="AD195" s="182" t="str">
        <f>IFERROR(LOOKUP(2,1/((D_Points!$A$5:$A$204&lt;&gt;"")*(D_Points!$A$5:$A$204&gt;=$B195)*(D_Points!$A$5:$A$204&lt;$B195+P_Interval)*(UPPER(TRIM(D_Points!$B$5:$B$204))="TURNOUT_L")*(D_Points!$H$5:$H$204&lt;&gt;"")),D_Points!$H$5:$H$204),"")</f>
        <v/>
      </c>
      <c r="AE195" s="182" t="str">
        <f>IFERROR(LOOKUP(2,1/((D_Points!$A$5:$A$204&lt;&gt;"")*(D_Points!$A$5:$A$204&gt;=$B195)*(D_Points!$A$5:$A$204&lt;$B195+P_Interval)*(UPPER(TRIM(D_Points!$B$5:$B$204))="TURNOUT_R")*(D_Points!$H$5:$H$204&lt;&gt;"")),D_Points!$H$5:$H$204),"")</f>
        <v/>
      </c>
      <c r="AF195" s="181" t="str">
        <f>IFERROR(LOOKUP(2,1/((B_Drainage!$A$5:$A$204&lt;&gt;"")*(B_Drainage!$A$5:$A$204&lt;=$B195)*(B_Drainage!$B$5:$B$204&gt;$B195)*(B_Drainage!$M$5:$M$204&lt;&gt;"")),IF(UPPER(B_Drainage!$M$5:$M$204)="Y",1,"")),"")</f>
        <v/>
      </c>
      <c r="AG195" s="181" t="str">
        <f>IFERROR(LOOKUP(2,1/((B_Drainage!$A$5:$A$204&lt;&gt;"")*(B_Drainage!$A$5:$A$204&lt;=$B195)*(B_Drainage!$B$5:$B$204&gt;$B195)*(B_Drainage!$N$5:$N$204&lt;&gt;"")),IF(UPPER(B_Drainage!$N$5:$N$204)="Y",1,"")),"")</f>
        <v/>
      </c>
      <c r="AH195" s="181" t="str">
        <f t="shared" si="16"/>
        <v/>
      </c>
      <c r="AI195" s="181" t="str">
        <f t="shared" si="17"/>
        <v/>
      </c>
      <c r="AJ195" s="181" t="str">
        <f t="shared" si="18"/>
        <v/>
      </c>
      <c r="AK195" s="181" t="str">
        <f t="shared" si="19"/>
        <v/>
      </c>
      <c r="AL195" s="181" t="str">
        <f t="shared" si="20"/>
        <v/>
      </c>
      <c r="AM195" s="181" t="str">
        <f t="shared" si="21"/>
        <v/>
      </c>
      <c r="AN195" s="181" t="str">
        <f t="shared" si="22"/>
        <v/>
      </c>
      <c r="AO195" s="192" t="str">
        <f t="shared" si="23"/>
        <v/>
      </c>
      <c r="AQ195" t="str">
        <f>IFERROR(LOOKUP(2,1/((C_Pavement!$A$5:$A$204&lt;&gt;"")*(C_Pavement!$A$5:$A$204&lt;=$B195)*(C_Pavement!$B$5:$B$204&gt;$B195)*(C_Pavement!$C$5:$C$204&lt;&gt;"")),ROW(C_Pavement!$C$5:$C$204)-4),"")</f>
        <v/>
      </c>
      <c r="AR195" t="str">
        <f>IF($AQ195="","",UPPER(TRIM(INDEX(C_Pavement!$C$5:$C$204,$AQ195))))</f>
        <v/>
      </c>
      <c r="AS195" t="str">
        <f>IF($AR195="","",IFERROR(MATCH($AR195,E_Rules!$A$5:$A$9,0),""))</f>
        <v/>
      </c>
      <c r="AT195" t="str">
        <f>IF($AQ195="","",IF(INDEX(C_Pavement!$D$5:$D$204,$AQ195)&lt;&gt;"",UPPER(TRIM(INDEX(C_Pavement!$D$5:$D$204,$AQ195))),IF($AS195="","",INDEX(E_Rules!$C$5:$C$9,$AS195))))</f>
        <v/>
      </c>
      <c r="AU195" t="str">
        <f>IF($AQ195="","",IF(INDEX(C_Pavement!$E$5:$E$204,$AQ195)&lt;&gt;"",IF(INDEX(C_Pavement!$E$5:$E$204,$AQ195)="-","",INDEX(C_Pavement!$E$5:$E$204,$AQ195)),IF($AS195="","",INDEX(E_Rules!$D$5:$D$9,$AS195))))</f>
        <v/>
      </c>
      <c r="AV195" t="str">
        <f>IF($AQ195="","",IF(INDEX(C_Pavement!$F$5:$F$204,$AQ195)&lt;&gt;"",IF(INDEX(C_Pavement!$F$5:$F$204,$AQ195)="-","",INDEX(C_Pavement!$F$5:$F$204,$AQ195)),IF($AS195="","",INDEX(E_Rules!$E$5:$E$9,$AS195))))</f>
        <v/>
      </c>
      <c r="AW195" t="str">
        <f>IF($AQ195="","",IF(INDEX(C_Pavement!$G$5:$G$204,$AQ195)&lt;&gt;"",IF(INDEX(C_Pavement!$G$5:$G$204,$AQ195)="-","",INDEX(C_Pavement!$G$5:$G$204,$AQ195)),IF($AS195="","",INDEX(E_Rules!$F$5:$F$9,$AS195))))</f>
        <v/>
      </c>
      <c r="AX195" t="str">
        <f>IF($AQ195="","",IF(INDEX(C_Pavement!$H$5:$H$204,$AQ195)&lt;&gt;"",IF(INDEX(C_Pavement!$H$5:$H$204,$AQ195)="-","",INDEX(C_Pavement!$H$5:$H$204,$AQ195)),IF($AS195="","",INDEX(E_Rules!$G$5:$G$9,$AS195))))</f>
        <v/>
      </c>
      <c r="AY195" t="str">
        <f>IF($AQ195="","",IF(INDEX(C_Pavement!$I$5:$I$204,$AQ195)&lt;&gt;"",IF(INDEX(C_Pavement!$I$5:$I$204,$AQ195)="-","",INDEX(C_Pavement!$I$5:$I$204,$AQ195)),IF($AS195="","",INDEX(E_Rules!$H$5:$H$9,$AS195))))</f>
        <v/>
      </c>
    </row>
    <row r="196" spans="1:51" ht="15.75" customHeight="1" x14ac:dyDescent="0.3">
      <c r="A196" s="189">
        <v>191</v>
      </c>
      <c r="B196" s="180">
        <v>9500</v>
      </c>
      <c r="C196" s="180" t="s">
        <v>502</v>
      </c>
      <c r="D196" s="181" t="str">
        <f>IFERROR(LOOKUP(2,1/((A_Corridor!$A$5:$A$204&lt;&gt;"")*(A_Corridor!$A$5:$A$204&lt;=$B196)*(A_Corridor!$B$5:$B$204&gt;$B196)*(A_Corridor!$C$5:$C$204&lt;&gt;"")),IF(UPPER(A_Corridor!$C$5:$C$204)="Y",1,"")),"")</f>
        <v/>
      </c>
      <c r="E196" s="181" t="str">
        <f>IFERROR(LOOKUP(2,1/((A_Corridor!$A$5:$A$204&lt;&gt;"")*(A_Corridor!$A$5:$A$204&lt;=$B196)*(A_Corridor!$B$5:$B$204&gt;$B196)*(A_Corridor!$D$5:$D$204&lt;&gt;"")),IF(A_Corridor!$D$5:$D$204="-","",UPPER(A_Corridor!$D$5:$D$204))),"")</f>
        <v/>
      </c>
      <c r="F196" s="181" t="str">
        <f>IFERROR(LOOKUP(2,1/((A_Corridor!$A$5:$A$204&lt;&gt;"")*(A_Corridor!$A$5:$A$204&lt;=$B196)*(A_Corridor!$B$5:$B$204&gt;$B196)*(A_Corridor!$E$5:$E$204&lt;&gt;"")),IF(A_Corridor!$E$5:$E$204="-","",1)),"")</f>
        <v/>
      </c>
      <c r="G196" s="182" t="str">
        <f>IFERROR(LOOKUP(2,1/((A_Corridor!$A$5:$A$204&lt;&gt;"")*(A_Corridor!$A$5:$A$204&lt;=$B196)*(A_Corridor!$B$5:$B$204&gt;$B196)*(A_Corridor!$E$5:$E$204&lt;&gt;"")),IF(A_Corridor!$E$5:$E$204="-","",A_Corridor!$E$5:$E$204)),"")</f>
        <v/>
      </c>
      <c r="H196" s="182" t="str">
        <f>IFERROR(LOOKUP(2,1/((D_Points!$A$5:$A$204&lt;&gt;"")*(D_Points!$A$5:$A$204&gt;=$B196)*(D_Points!$A$5:$A$204&lt;$B196+P_Interval)*(UPPER(TRIM(D_Points!$B$5:$B$204))="GULLY")*(D_Points!$H$5:$H$204&lt;&gt;"")),D_Points!$H$5:$H$204),"")</f>
        <v/>
      </c>
      <c r="I196" s="181" t="str">
        <f>IFERROR(LOOKUP(2,1/((A_Corridor!$A$5:$A$204&lt;&gt;"")*(A_Corridor!$A$5:$A$204&lt;=$B196)*(A_Corridor!$B$5:$B$204&gt;$B196)*(A_Corridor!$F$5:$F$204&lt;&gt;"")),IF(A_Corridor!$F$5:$F$204="-","",1)),"")</f>
        <v/>
      </c>
      <c r="J196" s="182" t="str">
        <f>IFERROR(LOOKUP(2,1/((A_Corridor!$A$5:$A$204&lt;&gt;"")*(A_Corridor!$A$5:$A$204&lt;=$B196)*(A_Corridor!$B$5:$B$204&gt;$B196)*(A_Corridor!$F$5:$F$204&lt;&gt;"")),IF(A_Corridor!$F$5:$F$204="-","",A_Corridor!$F$5:$F$204)),"")</f>
        <v/>
      </c>
      <c r="K196" s="182" t="str">
        <f>IFERROR(LOOKUP(2,1/((A_Corridor!$A$5:$A$204&lt;&gt;"")*(A_Corridor!$A$5:$A$204&lt;=$B196)*(A_Corridor!$B$5:$B$204&gt;$B196)*(A_Corridor!$G$5:$G$204&lt;&gt;"")),IF(A_Corridor!$G$5:$G$204="-","",A_Corridor!$G$5:$G$204)),"")</f>
        <v/>
      </c>
      <c r="L196" s="181" t="str">
        <f>IFERROR(LOOKUP(2,1/((A_Corridor!$A$5:$A$204&lt;&gt;"")*(A_Corridor!$A$5:$A$204&lt;=$B196)*(A_Corridor!$B$5:$B$204&gt;$B196)*(A_Corridor!$H$5:$H$204&lt;&gt;"")),IF(A_Corridor!$H$5:$H$204="-","",1)),"")</f>
        <v/>
      </c>
      <c r="M196" s="182" t="str">
        <f>IFERROR(LOOKUP(2,1/((A_Corridor!$A$5:$A$204&lt;&gt;"")*(A_Corridor!$A$5:$A$204&lt;=$B196)*(A_Corridor!$B$5:$B$204&gt;$B196)*(A_Corridor!$H$5:$H$204&lt;&gt;"")),IF(A_Corridor!$H$5:$H$204="-","",A_Corridor!$H$5:$H$204)),"")</f>
        <v/>
      </c>
      <c r="N196" s="182" t="str">
        <f>IFERROR(LOOKUP(2,1/((A_Corridor!$A$5:$A$204&lt;&gt;"")*(A_Corridor!$A$5:$A$204&lt;=$B196)*(A_Corridor!$B$5:$B$204&gt;$B196)*(A_Corridor!$I$5:$I$204&lt;&gt;"")),IF(A_Corridor!$I$5:$I$204="-","",A_Corridor!$I$5:$I$204)),"")</f>
        <v/>
      </c>
      <c r="O196" s="182" t="str">
        <f>IFERROR(LOOKUP(2,1/((D_Points!$A$5:$A$204&lt;&gt;"")*(D_Points!$A$5:$A$204&gt;=$B196)*(D_Points!$A$5:$A$204&lt;$B196+P_Interval)*(UPPER(TRIM(D_Points!$B$5:$B$204))="PITCHING")*(D_Points!$H$5:$H$204&lt;&gt;"")),D_Points!$H$5:$H$204),"")</f>
        <v/>
      </c>
      <c r="P196" s="181" t="str">
        <f>IFERROR(LOOKUP(2,1/((B_Drainage!$A$5:$A$204&lt;&gt;"")*(B_Drainage!$A$5:$A$204&lt;=$B196)*(B_Drainage!$B$5:$B$204&gt;$B196)*(B_Drainage!$C$5:$C$204&lt;&gt;"")),IF(B_Drainage!$C$5:$C$204="-","",UPPER(B_Drainage!$C$5:$C$204))),"")</f>
        <v/>
      </c>
      <c r="Q196" s="181" t="str">
        <f>IFERROR(LOOKUP(2,1/((B_Drainage!$A$5:$A$204&lt;&gt;"")*(B_Drainage!$A$5:$A$204&lt;=$B196)*(B_Drainage!$B$5:$B$204&gt;$B196)*(B_Drainage!$D$5:$D$204&lt;&gt;"")),IF(B_Drainage!$D$5:$D$204="-","",UPPER(B_Drainage!$D$5:$D$204))),"")</f>
        <v/>
      </c>
      <c r="R196" s="182" t="str">
        <f>IFERROR(LOOKUP(2,1/((D_Points!$A$5:$A$204&lt;&gt;"")*(D_Points!$A$5:$A$204&gt;=$B196)*(D_Points!$A$5:$A$204&lt;$B196+P_Interval)*(RIGHT(UPPER(TRIM(D_Points!$B$5:$B$204)),8)="_CULVERT")),IF(LEFT(UPPER(TRIM(D_Points!$B$5:$B$204)),2)="EX",1,IF(LEFT(UPPER(TRIM(D_Points!$B$5:$B$204)),2)="PR",2,3))),"")</f>
        <v/>
      </c>
      <c r="S196" s="182" t="str">
        <f>IFERROR(LOOKUP(2,1/((D_Points!$A$5:$A$204&lt;&gt;"")*(D_Points!$A$5:$A$204&gt;=$B196)*(D_Points!$A$5:$A$204&lt;$B196+P_Interval)*(RIGHT(UPPER(TRIM(D_Points!$B$5:$B$204)),7)="_BRIDGE")),IF(LEFT(UPPER(TRIM(D_Points!$B$5:$B$204)),2)="EX",1,IF(LEFT(UPPER(TRIM(D_Points!$B$5:$B$204)),2)="PR",2,2))),"")</f>
        <v/>
      </c>
      <c r="T196" s="181" t="str">
        <f>IFERROR(LOOKUP(2,1/((B_Drainage!$A$5:$A$204&lt;&gt;"")*(B_Drainage!$A$5:$A$204&lt;=$B196)*(B_Drainage!$B$5:$B$204&gt;$B196)*(B_Drainage!$E$5:$E$204&lt;&gt;"")),IF(B_Drainage!$E$5:$E$204="-","",1)),"")</f>
        <v/>
      </c>
      <c r="U196" s="181" t="str">
        <f>IFERROR(LOOKUP(2,1/((B_Drainage!$A$5:$A$204&lt;&gt;"")*(B_Drainage!$A$5:$A$204&lt;=$B196)*(B_Drainage!$B$5:$B$204&gt;$B196)*(B_Drainage!$E$5:$E$204&lt;&gt;"")),IF(B_Drainage!$E$5:$E$204="-","",B_Drainage!$E$5:$E$204)),"")</f>
        <v/>
      </c>
      <c r="V196" s="181" t="str">
        <f>IFERROR(LOOKUP(2,1/((B_Drainage!$A$5:$A$204&lt;&gt;"")*(B_Drainage!$A$5:$A$204&lt;=$B196)*(B_Drainage!$B$5:$B$204&gt;$B196)*(B_Drainage!$F$5:$F$204&lt;&gt;"")),IF(B_Drainage!$F$5:$F$204="-","",1)),"")</f>
        <v/>
      </c>
      <c r="W196" s="181" t="str">
        <f>IFERROR(LOOKUP(2,1/((B_Drainage!$A$5:$A$204&lt;&gt;"")*(B_Drainage!$A$5:$A$204&lt;=$B196)*(B_Drainage!$B$5:$B$204&gt;$B196)*(B_Drainage!$F$5:$F$204&lt;&gt;"")),IF(B_Drainage!$F$5:$F$204="-","",B_Drainage!$F$5:$F$204)),"")</f>
        <v/>
      </c>
      <c r="X196" s="181" t="str">
        <f>IFERROR(LOOKUP(2,1/((B_Drainage!$A$5:$A$204&lt;&gt;"")*(B_Drainage!$A$5:$A$204&lt;=$B196)*(B_Drainage!$B$5:$B$204&gt;$B196)*(B_Drainage!$G$5:$G$204&lt;&gt;"")),IF(UPPER(B_Drainage!$G$5:$G$204)="Y",1,"")),"")</f>
        <v/>
      </c>
      <c r="Y196" s="181" t="str">
        <f>IFERROR(LOOKUP(2,1/((B_Drainage!$A$5:$A$204&lt;&gt;"")*(B_Drainage!$A$5:$A$204&lt;=$B196)*(B_Drainage!$B$5:$B$204&gt;$B196)*(B_Drainage!$H$5:$H$204&lt;&gt;"")),IF(UPPER(B_Drainage!$H$5:$H$204)="Y",1,"")),"")</f>
        <v/>
      </c>
      <c r="Z196" s="181" t="str">
        <f>IFERROR(LOOKUP(2,1/((B_Drainage!$A$5:$A$204&lt;&gt;"")*(B_Drainage!$A$5:$A$204&lt;=$B196)*(B_Drainage!$B$5:$B$204&gt;$B196)*(B_Drainage!$I$5:$I$204&lt;&gt;"")),IF(UPPER(B_Drainage!$I$5:$I$204)="Y",1,"")),"")</f>
        <v/>
      </c>
      <c r="AA196" s="181" t="str">
        <f>IFERROR(LOOKUP(2,1/((B_Drainage!$A$5:$A$204&lt;&gt;"")*(B_Drainage!$A$5:$A$204&lt;=$B196)*(B_Drainage!$B$5:$B$204&gt;$B196)*(B_Drainage!$J$5:$J$204&lt;&gt;"")),IF(UPPER(B_Drainage!$J$5:$J$204)="Y",1,"")),"")</f>
        <v/>
      </c>
      <c r="AB196" s="182" t="str">
        <f>IFERROR(LOOKUP(2,1/((B_Drainage!$A$5:$A$204&lt;&gt;"")*(B_Drainage!$A$5:$A$204&lt;=$B196)*(B_Drainage!$B$5:$B$204&gt;$B196)*(B_Drainage!$K$5:$K$204&lt;&gt;"")),IF(B_Drainage!$K$5:$K$204="-","",B_Drainage!$K$5:$K$204)),"")</f>
        <v/>
      </c>
      <c r="AC196" s="182" t="str">
        <f>IFERROR(LOOKUP(2,1/((B_Drainage!$A$5:$A$204&lt;&gt;"")*(B_Drainage!$A$5:$A$204&lt;=$B196)*(B_Drainage!$B$5:$B$204&gt;$B196)*(B_Drainage!$L$5:$L$204&lt;&gt;"")),IF(B_Drainage!$L$5:$L$204="-","",B_Drainage!$L$5:$L$204)),"")</f>
        <v/>
      </c>
      <c r="AD196" s="182" t="str">
        <f>IFERROR(LOOKUP(2,1/((D_Points!$A$5:$A$204&lt;&gt;"")*(D_Points!$A$5:$A$204&gt;=$B196)*(D_Points!$A$5:$A$204&lt;$B196+P_Interval)*(UPPER(TRIM(D_Points!$B$5:$B$204))="TURNOUT_L")*(D_Points!$H$5:$H$204&lt;&gt;"")),D_Points!$H$5:$H$204),"")</f>
        <v/>
      </c>
      <c r="AE196" s="182" t="str">
        <f>IFERROR(LOOKUP(2,1/((D_Points!$A$5:$A$204&lt;&gt;"")*(D_Points!$A$5:$A$204&gt;=$B196)*(D_Points!$A$5:$A$204&lt;$B196+P_Interval)*(UPPER(TRIM(D_Points!$B$5:$B$204))="TURNOUT_R")*(D_Points!$H$5:$H$204&lt;&gt;"")),D_Points!$H$5:$H$204),"")</f>
        <v/>
      </c>
      <c r="AF196" s="181" t="str">
        <f>IFERROR(LOOKUP(2,1/((B_Drainage!$A$5:$A$204&lt;&gt;"")*(B_Drainage!$A$5:$A$204&lt;=$B196)*(B_Drainage!$B$5:$B$204&gt;$B196)*(B_Drainage!$M$5:$M$204&lt;&gt;"")),IF(UPPER(B_Drainage!$M$5:$M$204)="Y",1,"")),"")</f>
        <v/>
      </c>
      <c r="AG196" s="181" t="str">
        <f>IFERROR(LOOKUP(2,1/((B_Drainage!$A$5:$A$204&lt;&gt;"")*(B_Drainage!$A$5:$A$204&lt;=$B196)*(B_Drainage!$B$5:$B$204&gt;$B196)*(B_Drainage!$N$5:$N$204&lt;&gt;"")),IF(UPPER(B_Drainage!$N$5:$N$204)="Y",1,"")),"")</f>
        <v/>
      </c>
      <c r="AH196" s="181" t="str">
        <f t="shared" si="16"/>
        <v/>
      </c>
      <c r="AI196" s="181" t="str">
        <f t="shared" si="17"/>
        <v/>
      </c>
      <c r="AJ196" s="181" t="str">
        <f t="shared" si="18"/>
        <v/>
      </c>
      <c r="AK196" s="181" t="str">
        <f t="shared" si="19"/>
        <v/>
      </c>
      <c r="AL196" s="181" t="str">
        <f t="shared" si="20"/>
        <v/>
      </c>
      <c r="AM196" s="181" t="str">
        <f t="shared" si="21"/>
        <v/>
      </c>
      <c r="AN196" s="181" t="str">
        <f t="shared" si="22"/>
        <v/>
      </c>
      <c r="AO196" s="192" t="str">
        <f t="shared" si="23"/>
        <v/>
      </c>
      <c r="AQ196" t="str">
        <f>IFERROR(LOOKUP(2,1/((C_Pavement!$A$5:$A$204&lt;&gt;"")*(C_Pavement!$A$5:$A$204&lt;=$B196)*(C_Pavement!$B$5:$B$204&gt;$B196)*(C_Pavement!$C$5:$C$204&lt;&gt;"")),ROW(C_Pavement!$C$5:$C$204)-4),"")</f>
        <v/>
      </c>
      <c r="AR196" t="str">
        <f>IF($AQ196="","",UPPER(TRIM(INDEX(C_Pavement!$C$5:$C$204,$AQ196))))</f>
        <v/>
      </c>
      <c r="AS196" t="str">
        <f>IF($AR196="","",IFERROR(MATCH($AR196,E_Rules!$A$5:$A$9,0),""))</f>
        <v/>
      </c>
      <c r="AT196" t="str">
        <f>IF($AQ196="","",IF(INDEX(C_Pavement!$D$5:$D$204,$AQ196)&lt;&gt;"",UPPER(TRIM(INDEX(C_Pavement!$D$5:$D$204,$AQ196))),IF($AS196="","",INDEX(E_Rules!$C$5:$C$9,$AS196))))</f>
        <v/>
      </c>
      <c r="AU196" t="str">
        <f>IF($AQ196="","",IF(INDEX(C_Pavement!$E$5:$E$204,$AQ196)&lt;&gt;"",IF(INDEX(C_Pavement!$E$5:$E$204,$AQ196)="-","",INDEX(C_Pavement!$E$5:$E$204,$AQ196)),IF($AS196="","",INDEX(E_Rules!$D$5:$D$9,$AS196))))</f>
        <v/>
      </c>
      <c r="AV196" t="str">
        <f>IF($AQ196="","",IF(INDEX(C_Pavement!$F$5:$F$204,$AQ196)&lt;&gt;"",IF(INDEX(C_Pavement!$F$5:$F$204,$AQ196)="-","",INDEX(C_Pavement!$F$5:$F$204,$AQ196)),IF($AS196="","",INDEX(E_Rules!$E$5:$E$9,$AS196))))</f>
        <v/>
      </c>
      <c r="AW196" t="str">
        <f>IF($AQ196="","",IF(INDEX(C_Pavement!$G$5:$G$204,$AQ196)&lt;&gt;"",IF(INDEX(C_Pavement!$G$5:$G$204,$AQ196)="-","",INDEX(C_Pavement!$G$5:$G$204,$AQ196)),IF($AS196="","",INDEX(E_Rules!$F$5:$F$9,$AS196))))</f>
        <v/>
      </c>
      <c r="AX196" t="str">
        <f>IF($AQ196="","",IF(INDEX(C_Pavement!$H$5:$H$204,$AQ196)&lt;&gt;"",IF(INDEX(C_Pavement!$H$5:$H$204,$AQ196)="-","",INDEX(C_Pavement!$H$5:$H$204,$AQ196)),IF($AS196="","",INDEX(E_Rules!$G$5:$G$9,$AS196))))</f>
        <v/>
      </c>
      <c r="AY196" t="str">
        <f>IF($AQ196="","",IF(INDEX(C_Pavement!$I$5:$I$204,$AQ196)&lt;&gt;"",IF(INDEX(C_Pavement!$I$5:$I$204,$AQ196)="-","",INDEX(C_Pavement!$I$5:$I$204,$AQ196)),IF($AS196="","",INDEX(E_Rules!$H$5:$H$9,$AS196))))</f>
        <v/>
      </c>
    </row>
    <row r="197" spans="1:51" ht="15.75" customHeight="1" x14ac:dyDescent="0.3">
      <c r="A197" s="189">
        <v>192</v>
      </c>
      <c r="B197" s="180">
        <v>9550</v>
      </c>
      <c r="C197" s="180" t="s">
        <v>503</v>
      </c>
      <c r="D197" s="181" t="str">
        <f>IFERROR(LOOKUP(2,1/((A_Corridor!$A$5:$A$204&lt;&gt;"")*(A_Corridor!$A$5:$A$204&lt;=$B197)*(A_Corridor!$B$5:$B$204&gt;$B197)*(A_Corridor!$C$5:$C$204&lt;&gt;"")),IF(UPPER(A_Corridor!$C$5:$C$204)="Y",1,"")),"")</f>
        <v/>
      </c>
      <c r="E197" s="181" t="str">
        <f>IFERROR(LOOKUP(2,1/((A_Corridor!$A$5:$A$204&lt;&gt;"")*(A_Corridor!$A$5:$A$204&lt;=$B197)*(A_Corridor!$B$5:$B$204&gt;$B197)*(A_Corridor!$D$5:$D$204&lt;&gt;"")),IF(A_Corridor!$D$5:$D$204="-","",UPPER(A_Corridor!$D$5:$D$204))),"")</f>
        <v/>
      </c>
      <c r="F197" s="181" t="str">
        <f>IFERROR(LOOKUP(2,1/((A_Corridor!$A$5:$A$204&lt;&gt;"")*(A_Corridor!$A$5:$A$204&lt;=$B197)*(A_Corridor!$B$5:$B$204&gt;$B197)*(A_Corridor!$E$5:$E$204&lt;&gt;"")),IF(A_Corridor!$E$5:$E$204="-","",1)),"")</f>
        <v/>
      </c>
      <c r="G197" s="182" t="str">
        <f>IFERROR(LOOKUP(2,1/((A_Corridor!$A$5:$A$204&lt;&gt;"")*(A_Corridor!$A$5:$A$204&lt;=$B197)*(A_Corridor!$B$5:$B$204&gt;$B197)*(A_Corridor!$E$5:$E$204&lt;&gt;"")),IF(A_Corridor!$E$5:$E$204="-","",A_Corridor!$E$5:$E$204)),"")</f>
        <v/>
      </c>
      <c r="H197" s="182" t="str">
        <f>IFERROR(LOOKUP(2,1/((D_Points!$A$5:$A$204&lt;&gt;"")*(D_Points!$A$5:$A$204&gt;=$B197)*(D_Points!$A$5:$A$204&lt;$B197+P_Interval)*(UPPER(TRIM(D_Points!$B$5:$B$204))="GULLY")*(D_Points!$H$5:$H$204&lt;&gt;"")),D_Points!$H$5:$H$204),"")</f>
        <v/>
      </c>
      <c r="I197" s="181" t="str">
        <f>IFERROR(LOOKUP(2,1/((A_Corridor!$A$5:$A$204&lt;&gt;"")*(A_Corridor!$A$5:$A$204&lt;=$B197)*(A_Corridor!$B$5:$B$204&gt;$B197)*(A_Corridor!$F$5:$F$204&lt;&gt;"")),IF(A_Corridor!$F$5:$F$204="-","",1)),"")</f>
        <v/>
      </c>
      <c r="J197" s="182" t="str">
        <f>IFERROR(LOOKUP(2,1/((A_Corridor!$A$5:$A$204&lt;&gt;"")*(A_Corridor!$A$5:$A$204&lt;=$B197)*(A_Corridor!$B$5:$B$204&gt;$B197)*(A_Corridor!$F$5:$F$204&lt;&gt;"")),IF(A_Corridor!$F$5:$F$204="-","",A_Corridor!$F$5:$F$204)),"")</f>
        <v/>
      </c>
      <c r="K197" s="182" t="str">
        <f>IFERROR(LOOKUP(2,1/((A_Corridor!$A$5:$A$204&lt;&gt;"")*(A_Corridor!$A$5:$A$204&lt;=$B197)*(A_Corridor!$B$5:$B$204&gt;$B197)*(A_Corridor!$G$5:$G$204&lt;&gt;"")),IF(A_Corridor!$G$5:$G$204="-","",A_Corridor!$G$5:$G$204)),"")</f>
        <v/>
      </c>
      <c r="L197" s="181" t="str">
        <f>IFERROR(LOOKUP(2,1/((A_Corridor!$A$5:$A$204&lt;&gt;"")*(A_Corridor!$A$5:$A$204&lt;=$B197)*(A_Corridor!$B$5:$B$204&gt;$B197)*(A_Corridor!$H$5:$H$204&lt;&gt;"")),IF(A_Corridor!$H$5:$H$204="-","",1)),"")</f>
        <v/>
      </c>
      <c r="M197" s="182" t="str">
        <f>IFERROR(LOOKUP(2,1/((A_Corridor!$A$5:$A$204&lt;&gt;"")*(A_Corridor!$A$5:$A$204&lt;=$B197)*(A_Corridor!$B$5:$B$204&gt;$B197)*(A_Corridor!$H$5:$H$204&lt;&gt;"")),IF(A_Corridor!$H$5:$H$204="-","",A_Corridor!$H$5:$H$204)),"")</f>
        <v/>
      </c>
      <c r="N197" s="182" t="str">
        <f>IFERROR(LOOKUP(2,1/((A_Corridor!$A$5:$A$204&lt;&gt;"")*(A_Corridor!$A$5:$A$204&lt;=$B197)*(A_Corridor!$B$5:$B$204&gt;$B197)*(A_Corridor!$I$5:$I$204&lt;&gt;"")),IF(A_Corridor!$I$5:$I$204="-","",A_Corridor!$I$5:$I$204)),"")</f>
        <v/>
      </c>
      <c r="O197" s="182" t="str">
        <f>IFERROR(LOOKUP(2,1/((D_Points!$A$5:$A$204&lt;&gt;"")*(D_Points!$A$5:$A$204&gt;=$B197)*(D_Points!$A$5:$A$204&lt;$B197+P_Interval)*(UPPER(TRIM(D_Points!$B$5:$B$204))="PITCHING")*(D_Points!$H$5:$H$204&lt;&gt;"")),D_Points!$H$5:$H$204),"")</f>
        <v/>
      </c>
      <c r="P197" s="181" t="str">
        <f>IFERROR(LOOKUP(2,1/((B_Drainage!$A$5:$A$204&lt;&gt;"")*(B_Drainage!$A$5:$A$204&lt;=$B197)*(B_Drainage!$B$5:$B$204&gt;$B197)*(B_Drainage!$C$5:$C$204&lt;&gt;"")),IF(B_Drainage!$C$5:$C$204="-","",UPPER(B_Drainage!$C$5:$C$204))),"")</f>
        <v/>
      </c>
      <c r="Q197" s="181" t="str">
        <f>IFERROR(LOOKUP(2,1/((B_Drainage!$A$5:$A$204&lt;&gt;"")*(B_Drainage!$A$5:$A$204&lt;=$B197)*(B_Drainage!$B$5:$B$204&gt;$B197)*(B_Drainage!$D$5:$D$204&lt;&gt;"")),IF(B_Drainage!$D$5:$D$204="-","",UPPER(B_Drainage!$D$5:$D$204))),"")</f>
        <v/>
      </c>
      <c r="R197" s="182" t="str">
        <f>IFERROR(LOOKUP(2,1/((D_Points!$A$5:$A$204&lt;&gt;"")*(D_Points!$A$5:$A$204&gt;=$B197)*(D_Points!$A$5:$A$204&lt;$B197+P_Interval)*(RIGHT(UPPER(TRIM(D_Points!$B$5:$B$204)),8)="_CULVERT")),IF(LEFT(UPPER(TRIM(D_Points!$B$5:$B$204)),2)="EX",1,IF(LEFT(UPPER(TRIM(D_Points!$B$5:$B$204)),2)="PR",2,3))),"")</f>
        <v/>
      </c>
      <c r="S197" s="182" t="str">
        <f>IFERROR(LOOKUP(2,1/((D_Points!$A$5:$A$204&lt;&gt;"")*(D_Points!$A$5:$A$204&gt;=$B197)*(D_Points!$A$5:$A$204&lt;$B197+P_Interval)*(RIGHT(UPPER(TRIM(D_Points!$B$5:$B$204)),7)="_BRIDGE")),IF(LEFT(UPPER(TRIM(D_Points!$B$5:$B$204)),2)="EX",1,IF(LEFT(UPPER(TRIM(D_Points!$B$5:$B$204)),2)="PR",2,2))),"")</f>
        <v/>
      </c>
      <c r="T197" s="181" t="str">
        <f>IFERROR(LOOKUP(2,1/((B_Drainage!$A$5:$A$204&lt;&gt;"")*(B_Drainage!$A$5:$A$204&lt;=$B197)*(B_Drainage!$B$5:$B$204&gt;$B197)*(B_Drainage!$E$5:$E$204&lt;&gt;"")),IF(B_Drainage!$E$5:$E$204="-","",1)),"")</f>
        <v/>
      </c>
      <c r="U197" s="181" t="str">
        <f>IFERROR(LOOKUP(2,1/((B_Drainage!$A$5:$A$204&lt;&gt;"")*(B_Drainage!$A$5:$A$204&lt;=$B197)*(B_Drainage!$B$5:$B$204&gt;$B197)*(B_Drainage!$E$5:$E$204&lt;&gt;"")),IF(B_Drainage!$E$5:$E$204="-","",B_Drainage!$E$5:$E$204)),"")</f>
        <v/>
      </c>
      <c r="V197" s="181" t="str">
        <f>IFERROR(LOOKUP(2,1/((B_Drainage!$A$5:$A$204&lt;&gt;"")*(B_Drainage!$A$5:$A$204&lt;=$B197)*(B_Drainage!$B$5:$B$204&gt;$B197)*(B_Drainage!$F$5:$F$204&lt;&gt;"")),IF(B_Drainage!$F$5:$F$204="-","",1)),"")</f>
        <v/>
      </c>
      <c r="W197" s="181" t="str">
        <f>IFERROR(LOOKUP(2,1/((B_Drainage!$A$5:$A$204&lt;&gt;"")*(B_Drainage!$A$5:$A$204&lt;=$B197)*(B_Drainage!$B$5:$B$204&gt;$B197)*(B_Drainage!$F$5:$F$204&lt;&gt;"")),IF(B_Drainage!$F$5:$F$204="-","",B_Drainage!$F$5:$F$204)),"")</f>
        <v/>
      </c>
      <c r="X197" s="181" t="str">
        <f>IFERROR(LOOKUP(2,1/((B_Drainage!$A$5:$A$204&lt;&gt;"")*(B_Drainage!$A$5:$A$204&lt;=$B197)*(B_Drainage!$B$5:$B$204&gt;$B197)*(B_Drainage!$G$5:$G$204&lt;&gt;"")),IF(UPPER(B_Drainage!$G$5:$G$204)="Y",1,"")),"")</f>
        <v/>
      </c>
      <c r="Y197" s="181" t="str">
        <f>IFERROR(LOOKUP(2,1/((B_Drainage!$A$5:$A$204&lt;&gt;"")*(B_Drainage!$A$5:$A$204&lt;=$B197)*(B_Drainage!$B$5:$B$204&gt;$B197)*(B_Drainage!$H$5:$H$204&lt;&gt;"")),IF(UPPER(B_Drainage!$H$5:$H$204)="Y",1,"")),"")</f>
        <v/>
      </c>
      <c r="Z197" s="181" t="str">
        <f>IFERROR(LOOKUP(2,1/((B_Drainage!$A$5:$A$204&lt;&gt;"")*(B_Drainage!$A$5:$A$204&lt;=$B197)*(B_Drainage!$B$5:$B$204&gt;$B197)*(B_Drainage!$I$5:$I$204&lt;&gt;"")),IF(UPPER(B_Drainage!$I$5:$I$204)="Y",1,"")),"")</f>
        <v/>
      </c>
      <c r="AA197" s="181" t="str">
        <f>IFERROR(LOOKUP(2,1/((B_Drainage!$A$5:$A$204&lt;&gt;"")*(B_Drainage!$A$5:$A$204&lt;=$B197)*(B_Drainage!$B$5:$B$204&gt;$B197)*(B_Drainage!$J$5:$J$204&lt;&gt;"")),IF(UPPER(B_Drainage!$J$5:$J$204)="Y",1,"")),"")</f>
        <v/>
      </c>
      <c r="AB197" s="182" t="str">
        <f>IFERROR(LOOKUP(2,1/((B_Drainage!$A$5:$A$204&lt;&gt;"")*(B_Drainage!$A$5:$A$204&lt;=$B197)*(B_Drainage!$B$5:$B$204&gt;$B197)*(B_Drainage!$K$5:$K$204&lt;&gt;"")),IF(B_Drainage!$K$5:$K$204="-","",B_Drainage!$K$5:$K$204)),"")</f>
        <v/>
      </c>
      <c r="AC197" s="182" t="str">
        <f>IFERROR(LOOKUP(2,1/((B_Drainage!$A$5:$A$204&lt;&gt;"")*(B_Drainage!$A$5:$A$204&lt;=$B197)*(B_Drainage!$B$5:$B$204&gt;$B197)*(B_Drainage!$L$5:$L$204&lt;&gt;"")),IF(B_Drainage!$L$5:$L$204="-","",B_Drainage!$L$5:$L$204)),"")</f>
        <v/>
      </c>
      <c r="AD197" s="182" t="str">
        <f>IFERROR(LOOKUP(2,1/((D_Points!$A$5:$A$204&lt;&gt;"")*(D_Points!$A$5:$A$204&gt;=$B197)*(D_Points!$A$5:$A$204&lt;$B197+P_Interval)*(UPPER(TRIM(D_Points!$B$5:$B$204))="TURNOUT_L")*(D_Points!$H$5:$H$204&lt;&gt;"")),D_Points!$H$5:$H$204),"")</f>
        <v/>
      </c>
      <c r="AE197" s="182" t="str">
        <f>IFERROR(LOOKUP(2,1/((D_Points!$A$5:$A$204&lt;&gt;"")*(D_Points!$A$5:$A$204&gt;=$B197)*(D_Points!$A$5:$A$204&lt;$B197+P_Interval)*(UPPER(TRIM(D_Points!$B$5:$B$204))="TURNOUT_R")*(D_Points!$H$5:$H$204&lt;&gt;"")),D_Points!$H$5:$H$204),"")</f>
        <v/>
      </c>
      <c r="AF197" s="181" t="str">
        <f>IFERROR(LOOKUP(2,1/((B_Drainage!$A$5:$A$204&lt;&gt;"")*(B_Drainage!$A$5:$A$204&lt;=$B197)*(B_Drainage!$B$5:$B$204&gt;$B197)*(B_Drainage!$M$5:$M$204&lt;&gt;"")),IF(UPPER(B_Drainage!$M$5:$M$204)="Y",1,"")),"")</f>
        <v/>
      </c>
      <c r="AG197" s="181" t="str">
        <f>IFERROR(LOOKUP(2,1/((B_Drainage!$A$5:$A$204&lt;&gt;"")*(B_Drainage!$A$5:$A$204&lt;=$B197)*(B_Drainage!$B$5:$B$204&gt;$B197)*(B_Drainage!$N$5:$N$204&lt;&gt;"")),IF(UPPER(B_Drainage!$N$5:$N$204)="Y",1,"")),"")</f>
        <v/>
      </c>
      <c r="AH197" s="181" t="str">
        <f t="shared" si="16"/>
        <v/>
      </c>
      <c r="AI197" s="181" t="str">
        <f t="shared" si="17"/>
        <v/>
      </c>
      <c r="AJ197" s="181" t="str">
        <f t="shared" si="18"/>
        <v/>
      </c>
      <c r="AK197" s="181" t="str">
        <f t="shared" si="19"/>
        <v/>
      </c>
      <c r="AL197" s="181" t="str">
        <f t="shared" si="20"/>
        <v/>
      </c>
      <c r="AM197" s="181" t="str">
        <f t="shared" si="21"/>
        <v/>
      </c>
      <c r="AN197" s="181" t="str">
        <f t="shared" si="22"/>
        <v/>
      </c>
      <c r="AO197" s="192" t="str">
        <f t="shared" si="23"/>
        <v/>
      </c>
      <c r="AQ197" t="str">
        <f>IFERROR(LOOKUP(2,1/((C_Pavement!$A$5:$A$204&lt;&gt;"")*(C_Pavement!$A$5:$A$204&lt;=$B197)*(C_Pavement!$B$5:$B$204&gt;$B197)*(C_Pavement!$C$5:$C$204&lt;&gt;"")),ROW(C_Pavement!$C$5:$C$204)-4),"")</f>
        <v/>
      </c>
      <c r="AR197" t="str">
        <f>IF($AQ197="","",UPPER(TRIM(INDEX(C_Pavement!$C$5:$C$204,$AQ197))))</f>
        <v/>
      </c>
      <c r="AS197" t="str">
        <f>IF($AR197="","",IFERROR(MATCH($AR197,E_Rules!$A$5:$A$9,0),""))</f>
        <v/>
      </c>
      <c r="AT197" t="str">
        <f>IF($AQ197="","",IF(INDEX(C_Pavement!$D$5:$D$204,$AQ197)&lt;&gt;"",UPPER(TRIM(INDEX(C_Pavement!$D$5:$D$204,$AQ197))),IF($AS197="","",INDEX(E_Rules!$C$5:$C$9,$AS197))))</f>
        <v/>
      </c>
      <c r="AU197" t="str">
        <f>IF($AQ197="","",IF(INDEX(C_Pavement!$E$5:$E$204,$AQ197)&lt;&gt;"",IF(INDEX(C_Pavement!$E$5:$E$204,$AQ197)="-","",INDEX(C_Pavement!$E$5:$E$204,$AQ197)),IF($AS197="","",INDEX(E_Rules!$D$5:$D$9,$AS197))))</f>
        <v/>
      </c>
      <c r="AV197" t="str">
        <f>IF($AQ197="","",IF(INDEX(C_Pavement!$F$5:$F$204,$AQ197)&lt;&gt;"",IF(INDEX(C_Pavement!$F$5:$F$204,$AQ197)="-","",INDEX(C_Pavement!$F$5:$F$204,$AQ197)),IF($AS197="","",INDEX(E_Rules!$E$5:$E$9,$AS197))))</f>
        <v/>
      </c>
      <c r="AW197" t="str">
        <f>IF($AQ197="","",IF(INDEX(C_Pavement!$G$5:$G$204,$AQ197)&lt;&gt;"",IF(INDEX(C_Pavement!$G$5:$G$204,$AQ197)="-","",INDEX(C_Pavement!$G$5:$G$204,$AQ197)),IF($AS197="","",INDEX(E_Rules!$F$5:$F$9,$AS197))))</f>
        <v/>
      </c>
      <c r="AX197" t="str">
        <f>IF($AQ197="","",IF(INDEX(C_Pavement!$H$5:$H$204,$AQ197)&lt;&gt;"",IF(INDEX(C_Pavement!$H$5:$H$204,$AQ197)="-","",INDEX(C_Pavement!$H$5:$H$204,$AQ197)),IF($AS197="","",INDEX(E_Rules!$G$5:$G$9,$AS197))))</f>
        <v/>
      </c>
      <c r="AY197" t="str">
        <f>IF($AQ197="","",IF(INDEX(C_Pavement!$I$5:$I$204,$AQ197)&lt;&gt;"",IF(INDEX(C_Pavement!$I$5:$I$204,$AQ197)="-","",INDEX(C_Pavement!$I$5:$I$204,$AQ197)),IF($AS197="","",INDEX(E_Rules!$H$5:$H$9,$AS197))))</f>
        <v/>
      </c>
    </row>
    <row r="198" spans="1:51" ht="15.75" customHeight="1" x14ac:dyDescent="0.3">
      <c r="A198" s="189">
        <v>193</v>
      </c>
      <c r="B198" s="180">
        <v>9600</v>
      </c>
      <c r="C198" s="180" t="s">
        <v>504</v>
      </c>
      <c r="D198" s="181" t="str">
        <f>IFERROR(LOOKUP(2,1/((A_Corridor!$A$5:$A$204&lt;&gt;"")*(A_Corridor!$A$5:$A$204&lt;=$B198)*(A_Corridor!$B$5:$B$204&gt;$B198)*(A_Corridor!$C$5:$C$204&lt;&gt;"")),IF(UPPER(A_Corridor!$C$5:$C$204)="Y",1,"")),"")</f>
        <v/>
      </c>
      <c r="E198" s="181" t="str">
        <f>IFERROR(LOOKUP(2,1/((A_Corridor!$A$5:$A$204&lt;&gt;"")*(A_Corridor!$A$5:$A$204&lt;=$B198)*(A_Corridor!$B$5:$B$204&gt;$B198)*(A_Corridor!$D$5:$D$204&lt;&gt;"")),IF(A_Corridor!$D$5:$D$204="-","",UPPER(A_Corridor!$D$5:$D$204))),"")</f>
        <v/>
      </c>
      <c r="F198" s="181" t="str">
        <f>IFERROR(LOOKUP(2,1/((A_Corridor!$A$5:$A$204&lt;&gt;"")*(A_Corridor!$A$5:$A$204&lt;=$B198)*(A_Corridor!$B$5:$B$204&gt;$B198)*(A_Corridor!$E$5:$E$204&lt;&gt;"")),IF(A_Corridor!$E$5:$E$204="-","",1)),"")</f>
        <v/>
      </c>
      <c r="G198" s="182" t="str">
        <f>IFERROR(LOOKUP(2,1/((A_Corridor!$A$5:$A$204&lt;&gt;"")*(A_Corridor!$A$5:$A$204&lt;=$B198)*(A_Corridor!$B$5:$B$204&gt;$B198)*(A_Corridor!$E$5:$E$204&lt;&gt;"")),IF(A_Corridor!$E$5:$E$204="-","",A_Corridor!$E$5:$E$204)),"")</f>
        <v/>
      </c>
      <c r="H198" s="182" t="str">
        <f>IFERROR(LOOKUP(2,1/((D_Points!$A$5:$A$204&lt;&gt;"")*(D_Points!$A$5:$A$204&gt;=$B198)*(D_Points!$A$5:$A$204&lt;$B198+P_Interval)*(UPPER(TRIM(D_Points!$B$5:$B$204))="GULLY")*(D_Points!$H$5:$H$204&lt;&gt;"")),D_Points!$H$5:$H$204),"")</f>
        <v/>
      </c>
      <c r="I198" s="181" t="str">
        <f>IFERROR(LOOKUP(2,1/((A_Corridor!$A$5:$A$204&lt;&gt;"")*(A_Corridor!$A$5:$A$204&lt;=$B198)*(A_Corridor!$B$5:$B$204&gt;$B198)*(A_Corridor!$F$5:$F$204&lt;&gt;"")),IF(A_Corridor!$F$5:$F$204="-","",1)),"")</f>
        <v/>
      </c>
      <c r="J198" s="182" t="str">
        <f>IFERROR(LOOKUP(2,1/((A_Corridor!$A$5:$A$204&lt;&gt;"")*(A_Corridor!$A$5:$A$204&lt;=$B198)*(A_Corridor!$B$5:$B$204&gt;$B198)*(A_Corridor!$F$5:$F$204&lt;&gt;"")),IF(A_Corridor!$F$5:$F$204="-","",A_Corridor!$F$5:$F$204)),"")</f>
        <v/>
      </c>
      <c r="K198" s="182" t="str">
        <f>IFERROR(LOOKUP(2,1/((A_Corridor!$A$5:$A$204&lt;&gt;"")*(A_Corridor!$A$5:$A$204&lt;=$B198)*(A_Corridor!$B$5:$B$204&gt;$B198)*(A_Corridor!$G$5:$G$204&lt;&gt;"")),IF(A_Corridor!$G$5:$G$204="-","",A_Corridor!$G$5:$G$204)),"")</f>
        <v/>
      </c>
      <c r="L198" s="181" t="str">
        <f>IFERROR(LOOKUP(2,1/((A_Corridor!$A$5:$A$204&lt;&gt;"")*(A_Corridor!$A$5:$A$204&lt;=$B198)*(A_Corridor!$B$5:$B$204&gt;$B198)*(A_Corridor!$H$5:$H$204&lt;&gt;"")),IF(A_Corridor!$H$5:$H$204="-","",1)),"")</f>
        <v/>
      </c>
      <c r="M198" s="182" t="str">
        <f>IFERROR(LOOKUP(2,1/((A_Corridor!$A$5:$A$204&lt;&gt;"")*(A_Corridor!$A$5:$A$204&lt;=$B198)*(A_Corridor!$B$5:$B$204&gt;$B198)*(A_Corridor!$H$5:$H$204&lt;&gt;"")),IF(A_Corridor!$H$5:$H$204="-","",A_Corridor!$H$5:$H$204)),"")</f>
        <v/>
      </c>
      <c r="N198" s="182" t="str">
        <f>IFERROR(LOOKUP(2,1/((A_Corridor!$A$5:$A$204&lt;&gt;"")*(A_Corridor!$A$5:$A$204&lt;=$B198)*(A_Corridor!$B$5:$B$204&gt;$B198)*(A_Corridor!$I$5:$I$204&lt;&gt;"")),IF(A_Corridor!$I$5:$I$204="-","",A_Corridor!$I$5:$I$204)),"")</f>
        <v/>
      </c>
      <c r="O198" s="182" t="str">
        <f>IFERROR(LOOKUP(2,1/((D_Points!$A$5:$A$204&lt;&gt;"")*(D_Points!$A$5:$A$204&gt;=$B198)*(D_Points!$A$5:$A$204&lt;$B198+P_Interval)*(UPPER(TRIM(D_Points!$B$5:$B$204))="PITCHING")*(D_Points!$H$5:$H$204&lt;&gt;"")),D_Points!$H$5:$H$204),"")</f>
        <v/>
      </c>
      <c r="P198" s="181" t="str">
        <f>IFERROR(LOOKUP(2,1/((B_Drainage!$A$5:$A$204&lt;&gt;"")*(B_Drainage!$A$5:$A$204&lt;=$B198)*(B_Drainage!$B$5:$B$204&gt;$B198)*(B_Drainage!$C$5:$C$204&lt;&gt;"")),IF(B_Drainage!$C$5:$C$204="-","",UPPER(B_Drainage!$C$5:$C$204))),"")</f>
        <v/>
      </c>
      <c r="Q198" s="181" t="str">
        <f>IFERROR(LOOKUP(2,1/((B_Drainage!$A$5:$A$204&lt;&gt;"")*(B_Drainage!$A$5:$A$204&lt;=$B198)*(B_Drainage!$B$5:$B$204&gt;$B198)*(B_Drainage!$D$5:$D$204&lt;&gt;"")),IF(B_Drainage!$D$5:$D$204="-","",UPPER(B_Drainage!$D$5:$D$204))),"")</f>
        <v/>
      </c>
      <c r="R198" s="182" t="str">
        <f>IFERROR(LOOKUP(2,1/((D_Points!$A$5:$A$204&lt;&gt;"")*(D_Points!$A$5:$A$204&gt;=$B198)*(D_Points!$A$5:$A$204&lt;$B198+P_Interval)*(RIGHT(UPPER(TRIM(D_Points!$B$5:$B$204)),8)="_CULVERT")),IF(LEFT(UPPER(TRIM(D_Points!$B$5:$B$204)),2)="EX",1,IF(LEFT(UPPER(TRIM(D_Points!$B$5:$B$204)),2)="PR",2,3))),"")</f>
        <v/>
      </c>
      <c r="S198" s="182" t="str">
        <f>IFERROR(LOOKUP(2,1/((D_Points!$A$5:$A$204&lt;&gt;"")*(D_Points!$A$5:$A$204&gt;=$B198)*(D_Points!$A$5:$A$204&lt;$B198+P_Interval)*(RIGHT(UPPER(TRIM(D_Points!$B$5:$B$204)),7)="_BRIDGE")),IF(LEFT(UPPER(TRIM(D_Points!$B$5:$B$204)),2)="EX",1,IF(LEFT(UPPER(TRIM(D_Points!$B$5:$B$204)),2)="PR",2,2))),"")</f>
        <v/>
      </c>
      <c r="T198" s="181" t="str">
        <f>IFERROR(LOOKUP(2,1/((B_Drainage!$A$5:$A$204&lt;&gt;"")*(B_Drainage!$A$5:$A$204&lt;=$B198)*(B_Drainage!$B$5:$B$204&gt;$B198)*(B_Drainage!$E$5:$E$204&lt;&gt;"")),IF(B_Drainage!$E$5:$E$204="-","",1)),"")</f>
        <v/>
      </c>
      <c r="U198" s="181" t="str">
        <f>IFERROR(LOOKUP(2,1/((B_Drainage!$A$5:$A$204&lt;&gt;"")*(B_Drainage!$A$5:$A$204&lt;=$B198)*(B_Drainage!$B$5:$B$204&gt;$B198)*(B_Drainage!$E$5:$E$204&lt;&gt;"")),IF(B_Drainage!$E$5:$E$204="-","",B_Drainage!$E$5:$E$204)),"")</f>
        <v/>
      </c>
      <c r="V198" s="181" t="str">
        <f>IFERROR(LOOKUP(2,1/((B_Drainage!$A$5:$A$204&lt;&gt;"")*(B_Drainage!$A$5:$A$204&lt;=$B198)*(B_Drainage!$B$5:$B$204&gt;$B198)*(B_Drainage!$F$5:$F$204&lt;&gt;"")),IF(B_Drainage!$F$5:$F$204="-","",1)),"")</f>
        <v/>
      </c>
      <c r="W198" s="181" t="str">
        <f>IFERROR(LOOKUP(2,1/((B_Drainage!$A$5:$A$204&lt;&gt;"")*(B_Drainage!$A$5:$A$204&lt;=$B198)*(B_Drainage!$B$5:$B$204&gt;$B198)*(B_Drainage!$F$5:$F$204&lt;&gt;"")),IF(B_Drainage!$F$5:$F$204="-","",B_Drainage!$F$5:$F$204)),"")</f>
        <v/>
      </c>
      <c r="X198" s="181" t="str">
        <f>IFERROR(LOOKUP(2,1/((B_Drainage!$A$5:$A$204&lt;&gt;"")*(B_Drainage!$A$5:$A$204&lt;=$B198)*(B_Drainage!$B$5:$B$204&gt;$B198)*(B_Drainage!$G$5:$G$204&lt;&gt;"")),IF(UPPER(B_Drainage!$G$5:$G$204)="Y",1,"")),"")</f>
        <v/>
      </c>
      <c r="Y198" s="181" t="str">
        <f>IFERROR(LOOKUP(2,1/((B_Drainage!$A$5:$A$204&lt;&gt;"")*(B_Drainage!$A$5:$A$204&lt;=$B198)*(B_Drainage!$B$5:$B$204&gt;$B198)*(B_Drainage!$H$5:$H$204&lt;&gt;"")),IF(UPPER(B_Drainage!$H$5:$H$204)="Y",1,"")),"")</f>
        <v/>
      </c>
      <c r="Z198" s="181" t="str">
        <f>IFERROR(LOOKUP(2,1/((B_Drainage!$A$5:$A$204&lt;&gt;"")*(B_Drainage!$A$5:$A$204&lt;=$B198)*(B_Drainage!$B$5:$B$204&gt;$B198)*(B_Drainage!$I$5:$I$204&lt;&gt;"")),IF(UPPER(B_Drainage!$I$5:$I$204)="Y",1,"")),"")</f>
        <v/>
      </c>
      <c r="AA198" s="181" t="str">
        <f>IFERROR(LOOKUP(2,1/((B_Drainage!$A$5:$A$204&lt;&gt;"")*(B_Drainage!$A$5:$A$204&lt;=$B198)*(B_Drainage!$B$5:$B$204&gt;$B198)*(B_Drainage!$J$5:$J$204&lt;&gt;"")),IF(UPPER(B_Drainage!$J$5:$J$204)="Y",1,"")),"")</f>
        <v/>
      </c>
      <c r="AB198" s="182" t="str">
        <f>IFERROR(LOOKUP(2,1/((B_Drainage!$A$5:$A$204&lt;&gt;"")*(B_Drainage!$A$5:$A$204&lt;=$B198)*(B_Drainage!$B$5:$B$204&gt;$B198)*(B_Drainage!$K$5:$K$204&lt;&gt;"")),IF(B_Drainage!$K$5:$K$204="-","",B_Drainage!$K$5:$K$204)),"")</f>
        <v/>
      </c>
      <c r="AC198" s="182" t="str">
        <f>IFERROR(LOOKUP(2,1/((B_Drainage!$A$5:$A$204&lt;&gt;"")*(B_Drainage!$A$5:$A$204&lt;=$B198)*(B_Drainage!$B$5:$B$204&gt;$B198)*(B_Drainage!$L$5:$L$204&lt;&gt;"")),IF(B_Drainage!$L$5:$L$204="-","",B_Drainage!$L$5:$L$204)),"")</f>
        <v/>
      </c>
      <c r="AD198" s="182" t="str">
        <f>IFERROR(LOOKUP(2,1/((D_Points!$A$5:$A$204&lt;&gt;"")*(D_Points!$A$5:$A$204&gt;=$B198)*(D_Points!$A$5:$A$204&lt;$B198+P_Interval)*(UPPER(TRIM(D_Points!$B$5:$B$204))="TURNOUT_L")*(D_Points!$H$5:$H$204&lt;&gt;"")),D_Points!$H$5:$H$204),"")</f>
        <v/>
      </c>
      <c r="AE198" s="182" t="str">
        <f>IFERROR(LOOKUP(2,1/((D_Points!$A$5:$A$204&lt;&gt;"")*(D_Points!$A$5:$A$204&gt;=$B198)*(D_Points!$A$5:$A$204&lt;$B198+P_Interval)*(UPPER(TRIM(D_Points!$B$5:$B$204))="TURNOUT_R")*(D_Points!$H$5:$H$204&lt;&gt;"")),D_Points!$H$5:$H$204),"")</f>
        <v/>
      </c>
      <c r="AF198" s="181" t="str">
        <f>IFERROR(LOOKUP(2,1/((B_Drainage!$A$5:$A$204&lt;&gt;"")*(B_Drainage!$A$5:$A$204&lt;=$B198)*(B_Drainage!$B$5:$B$204&gt;$B198)*(B_Drainage!$M$5:$M$204&lt;&gt;"")),IF(UPPER(B_Drainage!$M$5:$M$204)="Y",1,"")),"")</f>
        <v/>
      </c>
      <c r="AG198" s="181" t="str">
        <f>IFERROR(LOOKUP(2,1/((B_Drainage!$A$5:$A$204&lt;&gt;"")*(B_Drainage!$A$5:$A$204&lt;=$B198)*(B_Drainage!$B$5:$B$204&gt;$B198)*(B_Drainage!$N$5:$N$204&lt;&gt;"")),IF(UPPER(B_Drainage!$N$5:$N$204)="Y",1,"")),"")</f>
        <v/>
      </c>
      <c r="AH198" s="181" t="str">
        <f t="shared" ref="AH198:AH261" si="24">IF($AT198="BLADE",1,"")</f>
        <v/>
      </c>
      <c r="AI198" s="181" t="str">
        <f t="shared" ref="AI198:AI261" si="25">IF($AT198="RESHAPE",1,"")</f>
        <v/>
      </c>
      <c r="AJ198" s="181" t="str">
        <f t="shared" ref="AJ198:AJ261" si="26">IF($AT198="SCARIFY",1,"")</f>
        <v/>
      </c>
      <c r="AK198" s="181" t="str">
        <f t="shared" ref="AK198:AK261" si="27">$AU198</f>
        <v/>
      </c>
      <c r="AL198" s="181" t="str">
        <f t="shared" ref="AL198:AL261" si="28">$AV198</f>
        <v/>
      </c>
      <c r="AM198" s="181" t="str">
        <f t="shared" ref="AM198:AM261" si="29">IF(OR(UPPER($AW198)="Y",$AW198=1),1,"")</f>
        <v/>
      </c>
      <c r="AN198" s="181" t="str">
        <f t="shared" ref="AN198:AN261" si="30">IF(OR(UPPER($AX198)="Y",$AX198=1),1,"")</f>
        <v/>
      </c>
      <c r="AO198" s="192" t="str">
        <f t="shared" ref="AO198:AO261" si="31">IF(OR(UPPER($AY198)="Y",$AY198=1),1,"")</f>
        <v/>
      </c>
      <c r="AQ198" t="str">
        <f>IFERROR(LOOKUP(2,1/((C_Pavement!$A$5:$A$204&lt;&gt;"")*(C_Pavement!$A$5:$A$204&lt;=$B198)*(C_Pavement!$B$5:$B$204&gt;$B198)*(C_Pavement!$C$5:$C$204&lt;&gt;"")),ROW(C_Pavement!$C$5:$C$204)-4),"")</f>
        <v/>
      </c>
      <c r="AR198" t="str">
        <f>IF($AQ198="","",UPPER(TRIM(INDEX(C_Pavement!$C$5:$C$204,$AQ198))))</f>
        <v/>
      </c>
      <c r="AS198" t="str">
        <f>IF($AR198="","",IFERROR(MATCH($AR198,E_Rules!$A$5:$A$9,0),""))</f>
        <v/>
      </c>
      <c r="AT198" t="str">
        <f>IF($AQ198="","",IF(INDEX(C_Pavement!$D$5:$D$204,$AQ198)&lt;&gt;"",UPPER(TRIM(INDEX(C_Pavement!$D$5:$D$204,$AQ198))),IF($AS198="","",INDEX(E_Rules!$C$5:$C$9,$AS198))))</f>
        <v/>
      </c>
      <c r="AU198" t="str">
        <f>IF($AQ198="","",IF(INDEX(C_Pavement!$E$5:$E$204,$AQ198)&lt;&gt;"",IF(INDEX(C_Pavement!$E$5:$E$204,$AQ198)="-","",INDEX(C_Pavement!$E$5:$E$204,$AQ198)),IF($AS198="","",INDEX(E_Rules!$D$5:$D$9,$AS198))))</f>
        <v/>
      </c>
      <c r="AV198" t="str">
        <f>IF($AQ198="","",IF(INDEX(C_Pavement!$F$5:$F$204,$AQ198)&lt;&gt;"",IF(INDEX(C_Pavement!$F$5:$F$204,$AQ198)="-","",INDEX(C_Pavement!$F$5:$F$204,$AQ198)),IF($AS198="","",INDEX(E_Rules!$E$5:$E$9,$AS198))))</f>
        <v/>
      </c>
      <c r="AW198" t="str">
        <f>IF($AQ198="","",IF(INDEX(C_Pavement!$G$5:$G$204,$AQ198)&lt;&gt;"",IF(INDEX(C_Pavement!$G$5:$G$204,$AQ198)="-","",INDEX(C_Pavement!$G$5:$G$204,$AQ198)),IF($AS198="","",INDEX(E_Rules!$F$5:$F$9,$AS198))))</f>
        <v/>
      </c>
      <c r="AX198" t="str">
        <f>IF($AQ198="","",IF(INDEX(C_Pavement!$H$5:$H$204,$AQ198)&lt;&gt;"",IF(INDEX(C_Pavement!$H$5:$H$204,$AQ198)="-","",INDEX(C_Pavement!$H$5:$H$204,$AQ198)),IF($AS198="","",INDEX(E_Rules!$G$5:$G$9,$AS198))))</f>
        <v/>
      </c>
      <c r="AY198" t="str">
        <f>IF($AQ198="","",IF(INDEX(C_Pavement!$I$5:$I$204,$AQ198)&lt;&gt;"",IF(INDEX(C_Pavement!$I$5:$I$204,$AQ198)="-","",INDEX(C_Pavement!$I$5:$I$204,$AQ198)),IF($AS198="","",INDEX(E_Rules!$H$5:$H$9,$AS198))))</f>
        <v/>
      </c>
    </row>
    <row r="199" spans="1:51" ht="15.75" customHeight="1" x14ac:dyDescent="0.3">
      <c r="A199" s="189">
        <v>194</v>
      </c>
      <c r="B199" s="180">
        <v>9650</v>
      </c>
      <c r="C199" s="180" t="s">
        <v>505</v>
      </c>
      <c r="D199" s="181" t="str">
        <f>IFERROR(LOOKUP(2,1/((A_Corridor!$A$5:$A$204&lt;&gt;"")*(A_Corridor!$A$5:$A$204&lt;=$B199)*(A_Corridor!$B$5:$B$204&gt;$B199)*(A_Corridor!$C$5:$C$204&lt;&gt;"")),IF(UPPER(A_Corridor!$C$5:$C$204)="Y",1,"")),"")</f>
        <v/>
      </c>
      <c r="E199" s="181" t="str">
        <f>IFERROR(LOOKUP(2,1/((A_Corridor!$A$5:$A$204&lt;&gt;"")*(A_Corridor!$A$5:$A$204&lt;=$B199)*(A_Corridor!$B$5:$B$204&gt;$B199)*(A_Corridor!$D$5:$D$204&lt;&gt;"")),IF(A_Corridor!$D$5:$D$204="-","",UPPER(A_Corridor!$D$5:$D$204))),"")</f>
        <v/>
      </c>
      <c r="F199" s="181" t="str">
        <f>IFERROR(LOOKUP(2,1/((A_Corridor!$A$5:$A$204&lt;&gt;"")*(A_Corridor!$A$5:$A$204&lt;=$B199)*(A_Corridor!$B$5:$B$204&gt;$B199)*(A_Corridor!$E$5:$E$204&lt;&gt;"")),IF(A_Corridor!$E$5:$E$204="-","",1)),"")</f>
        <v/>
      </c>
      <c r="G199" s="182" t="str">
        <f>IFERROR(LOOKUP(2,1/((A_Corridor!$A$5:$A$204&lt;&gt;"")*(A_Corridor!$A$5:$A$204&lt;=$B199)*(A_Corridor!$B$5:$B$204&gt;$B199)*(A_Corridor!$E$5:$E$204&lt;&gt;"")),IF(A_Corridor!$E$5:$E$204="-","",A_Corridor!$E$5:$E$204)),"")</f>
        <v/>
      </c>
      <c r="H199" s="182" t="str">
        <f>IFERROR(LOOKUP(2,1/((D_Points!$A$5:$A$204&lt;&gt;"")*(D_Points!$A$5:$A$204&gt;=$B199)*(D_Points!$A$5:$A$204&lt;$B199+P_Interval)*(UPPER(TRIM(D_Points!$B$5:$B$204))="GULLY")*(D_Points!$H$5:$H$204&lt;&gt;"")),D_Points!$H$5:$H$204),"")</f>
        <v/>
      </c>
      <c r="I199" s="181" t="str">
        <f>IFERROR(LOOKUP(2,1/((A_Corridor!$A$5:$A$204&lt;&gt;"")*(A_Corridor!$A$5:$A$204&lt;=$B199)*(A_Corridor!$B$5:$B$204&gt;$B199)*(A_Corridor!$F$5:$F$204&lt;&gt;"")),IF(A_Corridor!$F$5:$F$204="-","",1)),"")</f>
        <v/>
      </c>
      <c r="J199" s="182" t="str">
        <f>IFERROR(LOOKUP(2,1/((A_Corridor!$A$5:$A$204&lt;&gt;"")*(A_Corridor!$A$5:$A$204&lt;=$B199)*(A_Corridor!$B$5:$B$204&gt;$B199)*(A_Corridor!$F$5:$F$204&lt;&gt;"")),IF(A_Corridor!$F$5:$F$204="-","",A_Corridor!$F$5:$F$204)),"")</f>
        <v/>
      </c>
      <c r="K199" s="182" t="str">
        <f>IFERROR(LOOKUP(2,1/((A_Corridor!$A$5:$A$204&lt;&gt;"")*(A_Corridor!$A$5:$A$204&lt;=$B199)*(A_Corridor!$B$5:$B$204&gt;$B199)*(A_Corridor!$G$5:$G$204&lt;&gt;"")),IF(A_Corridor!$G$5:$G$204="-","",A_Corridor!$G$5:$G$204)),"")</f>
        <v/>
      </c>
      <c r="L199" s="181" t="str">
        <f>IFERROR(LOOKUP(2,1/((A_Corridor!$A$5:$A$204&lt;&gt;"")*(A_Corridor!$A$5:$A$204&lt;=$B199)*(A_Corridor!$B$5:$B$204&gt;$B199)*(A_Corridor!$H$5:$H$204&lt;&gt;"")),IF(A_Corridor!$H$5:$H$204="-","",1)),"")</f>
        <v/>
      </c>
      <c r="M199" s="182" t="str">
        <f>IFERROR(LOOKUP(2,1/((A_Corridor!$A$5:$A$204&lt;&gt;"")*(A_Corridor!$A$5:$A$204&lt;=$B199)*(A_Corridor!$B$5:$B$204&gt;$B199)*(A_Corridor!$H$5:$H$204&lt;&gt;"")),IF(A_Corridor!$H$5:$H$204="-","",A_Corridor!$H$5:$H$204)),"")</f>
        <v/>
      </c>
      <c r="N199" s="182" t="str">
        <f>IFERROR(LOOKUP(2,1/((A_Corridor!$A$5:$A$204&lt;&gt;"")*(A_Corridor!$A$5:$A$204&lt;=$B199)*(A_Corridor!$B$5:$B$204&gt;$B199)*(A_Corridor!$I$5:$I$204&lt;&gt;"")),IF(A_Corridor!$I$5:$I$204="-","",A_Corridor!$I$5:$I$204)),"")</f>
        <v/>
      </c>
      <c r="O199" s="182" t="str">
        <f>IFERROR(LOOKUP(2,1/((D_Points!$A$5:$A$204&lt;&gt;"")*(D_Points!$A$5:$A$204&gt;=$B199)*(D_Points!$A$5:$A$204&lt;$B199+P_Interval)*(UPPER(TRIM(D_Points!$B$5:$B$204))="PITCHING")*(D_Points!$H$5:$H$204&lt;&gt;"")),D_Points!$H$5:$H$204),"")</f>
        <v/>
      </c>
      <c r="P199" s="181" t="str">
        <f>IFERROR(LOOKUP(2,1/((B_Drainage!$A$5:$A$204&lt;&gt;"")*(B_Drainage!$A$5:$A$204&lt;=$B199)*(B_Drainage!$B$5:$B$204&gt;$B199)*(B_Drainage!$C$5:$C$204&lt;&gt;"")),IF(B_Drainage!$C$5:$C$204="-","",UPPER(B_Drainage!$C$5:$C$204))),"")</f>
        <v/>
      </c>
      <c r="Q199" s="181" t="str">
        <f>IFERROR(LOOKUP(2,1/((B_Drainage!$A$5:$A$204&lt;&gt;"")*(B_Drainage!$A$5:$A$204&lt;=$B199)*(B_Drainage!$B$5:$B$204&gt;$B199)*(B_Drainage!$D$5:$D$204&lt;&gt;"")),IF(B_Drainage!$D$5:$D$204="-","",UPPER(B_Drainage!$D$5:$D$204))),"")</f>
        <v/>
      </c>
      <c r="R199" s="182" t="str">
        <f>IFERROR(LOOKUP(2,1/((D_Points!$A$5:$A$204&lt;&gt;"")*(D_Points!$A$5:$A$204&gt;=$B199)*(D_Points!$A$5:$A$204&lt;$B199+P_Interval)*(RIGHT(UPPER(TRIM(D_Points!$B$5:$B$204)),8)="_CULVERT")),IF(LEFT(UPPER(TRIM(D_Points!$B$5:$B$204)),2)="EX",1,IF(LEFT(UPPER(TRIM(D_Points!$B$5:$B$204)),2)="PR",2,3))),"")</f>
        <v/>
      </c>
      <c r="S199" s="182" t="str">
        <f>IFERROR(LOOKUP(2,1/((D_Points!$A$5:$A$204&lt;&gt;"")*(D_Points!$A$5:$A$204&gt;=$B199)*(D_Points!$A$5:$A$204&lt;$B199+P_Interval)*(RIGHT(UPPER(TRIM(D_Points!$B$5:$B$204)),7)="_BRIDGE")),IF(LEFT(UPPER(TRIM(D_Points!$B$5:$B$204)),2)="EX",1,IF(LEFT(UPPER(TRIM(D_Points!$B$5:$B$204)),2)="PR",2,2))),"")</f>
        <v/>
      </c>
      <c r="T199" s="181" t="str">
        <f>IFERROR(LOOKUP(2,1/((B_Drainage!$A$5:$A$204&lt;&gt;"")*(B_Drainage!$A$5:$A$204&lt;=$B199)*(B_Drainage!$B$5:$B$204&gt;$B199)*(B_Drainage!$E$5:$E$204&lt;&gt;"")),IF(B_Drainage!$E$5:$E$204="-","",1)),"")</f>
        <v/>
      </c>
      <c r="U199" s="181" t="str">
        <f>IFERROR(LOOKUP(2,1/((B_Drainage!$A$5:$A$204&lt;&gt;"")*(B_Drainage!$A$5:$A$204&lt;=$B199)*(B_Drainage!$B$5:$B$204&gt;$B199)*(B_Drainage!$E$5:$E$204&lt;&gt;"")),IF(B_Drainage!$E$5:$E$204="-","",B_Drainage!$E$5:$E$204)),"")</f>
        <v/>
      </c>
      <c r="V199" s="181" t="str">
        <f>IFERROR(LOOKUP(2,1/((B_Drainage!$A$5:$A$204&lt;&gt;"")*(B_Drainage!$A$5:$A$204&lt;=$B199)*(B_Drainage!$B$5:$B$204&gt;$B199)*(B_Drainage!$F$5:$F$204&lt;&gt;"")),IF(B_Drainage!$F$5:$F$204="-","",1)),"")</f>
        <v/>
      </c>
      <c r="W199" s="181" t="str">
        <f>IFERROR(LOOKUP(2,1/((B_Drainage!$A$5:$A$204&lt;&gt;"")*(B_Drainage!$A$5:$A$204&lt;=$B199)*(B_Drainage!$B$5:$B$204&gt;$B199)*(B_Drainage!$F$5:$F$204&lt;&gt;"")),IF(B_Drainage!$F$5:$F$204="-","",B_Drainage!$F$5:$F$204)),"")</f>
        <v/>
      </c>
      <c r="X199" s="181" t="str">
        <f>IFERROR(LOOKUP(2,1/((B_Drainage!$A$5:$A$204&lt;&gt;"")*(B_Drainage!$A$5:$A$204&lt;=$B199)*(B_Drainage!$B$5:$B$204&gt;$B199)*(B_Drainage!$G$5:$G$204&lt;&gt;"")),IF(UPPER(B_Drainage!$G$5:$G$204)="Y",1,"")),"")</f>
        <v/>
      </c>
      <c r="Y199" s="181" t="str">
        <f>IFERROR(LOOKUP(2,1/((B_Drainage!$A$5:$A$204&lt;&gt;"")*(B_Drainage!$A$5:$A$204&lt;=$B199)*(B_Drainage!$B$5:$B$204&gt;$B199)*(B_Drainage!$H$5:$H$204&lt;&gt;"")),IF(UPPER(B_Drainage!$H$5:$H$204)="Y",1,"")),"")</f>
        <v/>
      </c>
      <c r="Z199" s="181" t="str">
        <f>IFERROR(LOOKUP(2,1/((B_Drainage!$A$5:$A$204&lt;&gt;"")*(B_Drainage!$A$5:$A$204&lt;=$B199)*(B_Drainage!$B$5:$B$204&gt;$B199)*(B_Drainage!$I$5:$I$204&lt;&gt;"")),IF(UPPER(B_Drainage!$I$5:$I$204)="Y",1,"")),"")</f>
        <v/>
      </c>
      <c r="AA199" s="181" t="str">
        <f>IFERROR(LOOKUP(2,1/((B_Drainage!$A$5:$A$204&lt;&gt;"")*(B_Drainage!$A$5:$A$204&lt;=$B199)*(B_Drainage!$B$5:$B$204&gt;$B199)*(B_Drainage!$J$5:$J$204&lt;&gt;"")),IF(UPPER(B_Drainage!$J$5:$J$204)="Y",1,"")),"")</f>
        <v/>
      </c>
      <c r="AB199" s="182" t="str">
        <f>IFERROR(LOOKUP(2,1/((B_Drainage!$A$5:$A$204&lt;&gt;"")*(B_Drainage!$A$5:$A$204&lt;=$B199)*(B_Drainage!$B$5:$B$204&gt;$B199)*(B_Drainage!$K$5:$K$204&lt;&gt;"")),IF(B_Drainage!$K$5:$K$204="-","",B_Drainage!$K$5:$K$204)),"")</f>
        <v/>
      </c>
      <c r="AC199" s="182" t="str">
        <f>IFERROR(LOOKUP(2,1/((B_Drainage!$A$5:$A$204&lt;&gt;"")*(B_Drainage!$A$5:$A$204&lt;=$B199)*(B_Drainage!$B$5:$B$204&gt;$B199)*(B_Drainage!$L$5:$L$204&lt;&gt;"")),IF(B_Drainage!$L$5:$L$204="-","",B_Drainage!$L$5:$L$204)),"")</f>
        <v/>
      </c>
      <c r="AD199" s="182" t="str">
        <f>IFERROR(LOOKUP(2,1/((D_Points!$A$5:$A$204&lt;&gt;"")*(D_Points!$A$5:$A$204&gt;=$B199)*(D_Points!$A$5:$A$204&lt;$B199+P_Interval)*(UPPER(TRIM(D_Points!$B$5:$B$204))="TURNOUT_L")*(D_Points!$H$5:$H$204&lt;&gt;"")),D_Points!$H$5:$H$204),"")</f>
        <v/>
      </c>
      <c r="AE199" s="182" t="str">
        <f>IFERROR(LOOKUP(2,1/((D_Points!$A$5:$A$204&lt;&gt;"")*(D_Points!$A$5:$A$204&gt;=$B199)*(D_Points!$A$5:$A$204&lt;$B199+P_Interval)*(UPPER(TRIM(D_Points!$B$5:$B$204))="TURNOUT_R")*(D_Points!$H$5:$H$204&lt;&gt;"")),D_Points!$H$5:$H$204),"")</f>
        <v/>
      </c>
      <c r="AF199" s="181" t="str">
        <f>IFERROR(LOOKUP(2,1/((B_Drainage!$A$5:$A$204&lt;&gt;"")*(B_Drainage!$A$5:$A$204&lt;=$B199)*(B_Drainage!$B$5:$B$204&gt;$B199)*(B_Drainage!$M$5:$M$204&lt;&gt;"")),IF(UPPER(B_Drainage!$M$5:$M$204)="Y",1,"")),"")</f>
        <v/>
      </c>
      <c r="AG199" s="181" t="str">
        <f>IFERROR(LOOKUP(2,1/((B_Drainage!$A$5:$A$204&lt;&gt;"")*(B_Drainage!$A$5:$A$204&lt;=$B199)*(B_Drainage!$B$5:$B$204&gt;$B199)*(B_Drainage!$N$5:$N$204&lt;&gt;"")),IF(UPPER(B_Drainage!$N$5:$N$204)="Y",1,"")),"")</f>
        <v/>
      </c>
      <c r="AH199" s="181" t="str">
        <f t="shared" si="24"/>
        <v/>
      </c>
      <c r="AI199" s="181" t="str">
        <f t="shared" si="25"/>
        <v/>
      </c>
      <c r="AJ199" s="181" t="str">
        <f t="shared" si="26"/>
        <v/>
      </c>
      <c r="AK199" s="181" t="str">
        <f t="shared" si="27"/>
        <v/>
      </c>
      <c r="AL199" s="181" t="str">
        <f t="shared" si="28"/>
        <v/>
      </c>
      <c r="AM199" s="181" t="str">
        <f t="shared" si="29"/>
        <v/>
      </c>
      <c r="AN199" s="181" t="str">
        <f t="shared" si="30"/>
        <v/>
      </c>
      <c r="AO199" s="192" t="str">
        <f t="shared" si="31"/>
        <v/>
      </c>
      <c r="AQ199" t="str">
        <f>IFERROR(LOOKUP(2,1/((C_Pavement!$A$5:$A$204&lt;&gt;"")*(C_Pavement!$A$5:$A$204&lt;=$B199)*(C_Pavement!$B$5:$B$204&gt;$B199)*(C_Pavement!$C$5:$C$204&lt;&gt;"")),ROW(C_Pavement!$C$5:$C$204)-4),"")</f>
        <v/>
      </c>
      <c r="AR199" t="str">
        <f>IF($AQ199="","",UPPER(TRIM(INDEX(C_Pavement!$C$5:$C$204,$AQ199))))</f>
        <v/>
      </c>
      <c r="AS199" t="str">
        <f>IF($AR199="","",IFERROR(MATCH($AR199,E_Rules!$A$5:$A$9,0),""))</f>
        <v/>
      </c>
      <c r="AT199" t="str">
        <f>IF($AQ199="","",IF(INDEX(C_Pavement!$D$5:$D$204,$AQ199)&lt;&gt;"",UPPER(TRIM(INDEX(C_Pavement!$D$5:$D$204,$AQ199))),IF($AS199="","",INDEX(E_Rules!$C$5:$C$9,$AS199))))</f>
        <v/>
      </c>
      <c r="AU199" t="str">
        <f>IF($AQ199="","",IF(INDEX(C_Pavement!$E$5:$E$204,$AQ199)&lt;&gt;"",IF(INDEX(C_Pavement!$E$5:$E$204,$AQ199)="-","",INDEX(C_Pavement!$E$5:$E$204,$AQ199)),IF($AS199="","",INDEX(E_Rules!$D$5:$D$9,$AS199))))</f>
        <v/>
      </c>
      <c r="AV199" t="str">
        <f>IF($AQ199="","",IF(INDEX(C_Pavement!$F$5:$F$204,$AQ199)&lt;&gt;"",IF(INDEX(C_Pavement!$F$5:$F$204,$AQ199)="-","",INDEX(C_Pavement!$F$5:$F$204,$AQ199)),IF($AS199="","",INDEX(E_Rules!$E$5:$E$9,$AS199))))</f>
        <v/>
      </c>
      <c r="AW199" t="str">
        <f>IF($AQ199="","",IF(INDEX(C_Pavement!$G$5:$G$204,$AQ199)&lt;&gt;"",IF(INDEX(C_Pavement!$G$5:$G$204,$AQ199)="-","",INDEX(C_Pavement!$G$5:$G$204,$AQ199)),IF($AS199="","",INDEX(E_Rules!$F$5:$F$9,$AS199))))</f>
        <v/>
      </c>
      <c r="AX199" t="str">
        <f>IF($AQ199="","",IF(INDEX(C_Pavement!$H$5:$H$204,$AQ199)&lt;&gt;"",IF(INDEX(C_Pavement!$H$5:$H$204,$AQ199)="-","",INDEX(C_Pavement!$H$5:$H$204,$AQ199)),IF($AS199="","",INDEX(E_Rules!$G$5:$G$9,$AS199))))</f>
        <v/>
      </c>
      <c r="AY199" t="str">
        <f>IF($AQ199="","",IF(INDEX(C_Pavement!$I$5:$I$204,$AQ199)&lt;&gt;"",IF(INDEX(C_Pavement!$I$5:$I$204,$AQ199)="-","",INDEX(C_Pavement!$I$5:$I$204,$AQ199)),IF($AS199="","",INDEX(E_Rules!$H$5:$H$9,$AS199))))</f>
        <v/>
      </c>
    </row>
    <row r="200" spans="1:51" ht="15.75" customHeight="1" x14ac:dyDescent="0.3">
      <c r="A200" s="189">
        <v>195</v>
      </c>
      <c r="B200" s="180">
        <v>9700</v>
      </c>
      <c r="C200" s="180" t="s">
        <v>506</v>
      </c>
      <c r="D200" s="181" t="str">
        <f>IFERROR(LOOKUP(2,1/((A_Corridor!$A$5:$A$204&lt;&gt;"")*(A_Corridor!$A$5:$A$204&lt;=$B200)*(A_Corridor!$B$5:$B$204&gt;$B200)*(A_Corridor!$C$5:$C$204&lt;&gt;"")),IF(UPPER(A_Corridor!$C$5:$C$204)="Y",1,"")),"")</f>
        <v/>
      </c>
      <c r="E200" s="181" t="str">
        <f>IFERROR(LOOKUP(2,1/((A_Corridor!$A$5:$A$204&lt;&gt;"")*(A_Corridor!$A$5:$A$204&lt;=$B200)*(A_Corridor!$B$5:$B$204&gt;$B200)*(A_Corridor!$D$5:$D$204&lt;&gt;"")),IF(A_Corridor!$D$5:$D$204="-","",UPPER(A_Corridor!$D$5:$D$204))),"")</f>
        <v/>
      </c>
      <c r="F200" s="181" t="str">
        <f>IFERROR(LOOKUP(2,1/((A_Corridor!$A$5:$A$204&lt;&gt;"")*(A_Corridor!$A$5:$A$204&lt;=$B200)*(A_Corridor!$B$5:$B$204&gt;$B200)*(A_Corridor!$E$5:$E$204&lt;&gt;"")),IF(A_Corridor!$E$5:$E$204="-","",1)),"")</f>
        <v/>
      </c>
      <c r="G200" s="182" t="str">
        <f>IFERROR(LOOKUP(2,1/((A_Corridor!$A$5:$A$204&lt;&gt;"")*(A_Corridor!$A$5:$A$204&lt;=$B200)*(A_Corridor!$B$5:$B$204&gt;$B200)*(A_Corridor!$E$5:$E$204&lt;&gt;"")),IF(A_Corridor!$E$5:$E$204="-","",A_Corridor!$E$5:$E$204)),"")</f>
        <v/>
      </c>
      <c r="H200" s="182" t="str">
        <f>IFERROR(LOOKUP(2,1/((D_Points!$A$5:$A$204&lt;&gt;"")*(D_Points!$A$5:$A$204&gt;=$B200)*(D_Points!$A$5:$A$204&lt;$B200+P_Interval)*(UPPER(TRIM(D_Points!$B$5:$B$204))="GULLY")*(D_Points!$H$5:$H$204&lt;&gt;"")),D_Points!$H$5:$H$204),"")</f>
        <v/>
      </c>
      <c r="I200" s="181" t="str">
        <f>IFERROR(LOOKUP(2,1/((A_Corridor!$A$5:$A$204&lt;&gt;"")*(A_Corridor!$A$5:$A$204&lt;=$B200)*(A_Corridor!$B$5:$B$204&gt;$B200)*(A_Corridor!$F$5:$F$204&lt;&gt;"")),IF(A_Corridor!$F$5:$F$204="-","",1)),"")</f>
        <v/>
      </c>
      <c r="J200" s="182" t="str">
        <f>IFERROR(LOOKUP(2,1/((A_Corridor!$A$5:$A$204&lt;&gt;"")*(A_Corridor!$A$5:$A$204&lt;=$B200)*(A_Corridor!$B$5:$B$204&gt;$B200)*(A_Corridor!$F$5:$F$204&lt;&gt;"")),IF(A_Corridor!$F$5:$F$204="-","",A_Corridor!$F$5:$F$204)),"")</f>
        <v/>
      </c>
      <c r="K200" s="182" t="str">
        <f>IFERROR(LOOKUP(2,1/((A_Corridor!$A$5:$A$204&lt;&gt;"")*(A_Corridor!$A$5:$A$204&lt;=$B200)*(A_Corridor!$B$5:$B$204&gt;$B200)*(A_Corridor!$G$5:$G$204&lt;&gt;"")),IF(A_Corridor!$G$5:$G$204="-","",A_Corridor!$G$5:$G$204)),"")</f>
        <v/>
      </c>
      <c r="L200" s="181" t="str">
        <f>IFERROR(LOOKUP(2,1/((A_Corridor!$A$5:$A$204&lt;&gt;"")*(A_Corridor!$A$5:$A$204&lt;=$B200)*(A_Corridor!$B$5:$B$204&gt;$B200)*(A_Corridor!$H$5:$H$204&lt;&gt;"")),IF(A_Corridor!$H$5:$H$204="-","",1)),"")</f>
        <v/>
      </c>
      <c r="M200" s="182" t="str">
        <f>IFERROR(LOOKUP(2,1/((A_Corridor!$A$5:$A$204&lt;&gt;"")*(A_Corridor!$A$5:$A$204&lt;=$B200)*(A_Corridor!$B$5:$B$204&gt;$B200)*(A_Corridor!$H$5:$H$204&lt;&gt;"")),IF(A_Corridor!$H$5:$H$204="-","",A_Corridor!$H$5:$H$204)),"")</f>
        <v/>
      </c>
      <c r="N200" s="182" t="str">
        <f>IFERROR(LOOKUP(2,1/((A_Corridor!$A$5:$A$204&lt;&gt;"")*(A_Corridor!$A$5:$A$204&lt;=$B200)*(A_Corridor!$B$5:$B$204&gt;$B200)*(A_Corridor!$I$5:$I$204&lt;&gt;"")),IF(A_Corridor!$I$5:$I$204="-","",A_Corridor!$I$5:$I$204)),"")</f>
        <v/>
      </c>
      <c r="O200" s="182" t="str">
        <f>IFERROR(LOOKUP(2,1/((D_Points!$A$5:$A$204&lt;&gt;"")*(D_Points!$A$5:$A$204&gt;=$B200)*(D_Points!$A$5:$A$204&lt;$B200+P_Interval)*(UPPER(TRIM(D_Points!$B$5:$B$204))="PITCHING")*(D_Points!$H$5:$H$204&lt;&gt;"")),D_Points!$H$5:$H$204),"")</f>
        <v/>
      </c>
      <c r="P200" s="181" t="str">
        <f>IFERROR(LOOKUP(2,1/((B_Drainage!$A$5:$A$204&lt;&gt;"")*(B_Drainage!$A$5:$A$204&lt;=$B200)*(B_Drainage!$B$5:$B$204&gt;$B200)*(B_Drainage!$C$5:$C$204&lt;&gt;"")),IF(B_Drainage!$C$5:$C$204="-","",UPPER(B_Drainage!$C$5:$C$204))),"")</f>
        <v/>
      </c>
      <c r="Q200" s="181" t="str">
        <f>IFERROR(LOOKUP(2,1/((B_Drainage!$A$5:$A$204&lt;&gt;"")*(B_Drainage!$A$5:$A$204&lt;=$B200)*(B_Drainage!$B$5:$B$204&gt;$B200)*(B_Drainage!$D$5:$D$204&lt;&gt;"")),IF(B_Drainage!$D$5:$D$204="-","",UPPER(B_Drainage!$D$5:$D$204))),"")</f>
        <v/>
      </c>
      <c r="R200" s="182" t="str">
        <f>IFERROR(LOOKUP(2,1/((D_Points!$A$5:$A$204&lt;&gt;"")*(D_Points!$A$5:$A$204&gt;=$B200)*(D_Points!$A$5:$A$204&lt;$B200+P_Interval)*(RIGHT(UPPER(TRIM(D_Points!$B$5:$B$204)),8)="_CULVERT")),IF(LEFT(UPPER(TRIM(D_Points!$B$5:$B$204)),2)="EX",1,IF(LEFT(UPPER(TRIM(D_Points!$B$5:$B$204)),2)="PR",2,3))),"")</f>
        <v/>
      </c>
      <c r="S200" s="182" t="str">
        <f>IFERROR(LOOKUP(2,1/((D_Points!$A$5:$A$204&lt;&gt;"")*(D_Points!$A$5:$A$204&gt;=$B200)*(D_Points!$A$5:$A$204&lt;$B200+P_Interval)*(RIGHT(UPPER(TRIM(D_Points!$B$5:$B$204)),7)="_BRIDGE")),IF(LEFT(UPPER(TRIM(D_Points!$B$5:$B$204)),2)="EX",1,IF(LEFT(UPPER(TRIM(D_Points!$B$5:$B$204)),2)="PR",2,2))),"")</f>
        <v/>
      </c>
      <c r="T200" s="181" t="str">
        <f>IFERROR(LOOKUP(2,1/((B_Drainage!$A$5:$A$204&lt;&gt;"")*(B_Drainage!$A$5:$A$204&lt;=$B200)*(B_Drainage!$B$5:$B$204&gt;$B200)*(B_Drainage!$E$5:$E$204&lt;&gt;"")),IF(B_Drainage!$E$5:$E$204="-","",1)),"")</f>
        <v/>
      </c>
      <c r="U200" s="181" t="str">
        <f>IFERROR(LOOKUP(2,1/((B_Drainage!$A$5:$A$204&lt;&gt;"")*(B_Drainage!$A$5:$A$204&lt;=$B200)*(B_Drainage!$B$5:$B$204&gt;$B200)*(B_Drainage!$E$5:$E$204&lt;&gt;"")),IF(B_Drainage!$E$5:$E$204="-","",B_Drainage!$E$5:$E$204)),"")</f>
        <v/>
      </c>
      <c r="V200" s="181" t="str">
        <f>IFERROR(LOOKUP(2,1/((B_Drainage!$A$5:$A$204&lt;&gt;"")*(B_Drainage!$A$5:$A$204&lt;=$B200)*(B_Drainage!$B$5:$B$204&gt;$B200)*(B_Drainage!$F$5:$F$204&lt;&gt;"")),IF(B_Drainage!$F$5:$F$204="-","",1)),"")</f>
        <v/>
      </c>
      <c r="W200" s="181" t="str">
        <f>IFERROR(LOOKUP(2,1/((B_Drainage!$A$5:$A$204&lt;&gt;"")*(B_Drainage!$A$5:$A$204&lt;=$B200)*(B_Drainage!$B$5:$B$204&gt;$B200)*(B_Drainage!$F$5:$F$204&lt;&gt;"")),IF(B_Drainage!$F$5:$F$204="-","",B_Drainage!$F$5:$F$204)),"")</f>
        <v/>
      </c>
      <c r="X200" s="181" t="str">
        <f>IFERROR(LOOKUP(2,1/((B_Drainage!$A$5:$A$204&lt;&gt;"")*(B_Drainage!$A$5:$A$204&lt;=$B200)*(B_Drainage!$B$5:$B$204&gt;$B200)*(B_Drainage!$G$5:$G$204&lt;&gt;"")),IF(UPPER(B_Drainage!$G$5:$G$204)="Y",1,"")),"")</f>
        <v/>
      </c>
      <c r="Y200" s="181" t="str">
        <f>IFERROR(LOOKUP(2,1/((B_Drainage!$A$5:$A$204&lt;&gt;"")*(B_Drainage!$A$5:$A$204&lt;=$B200)*(B_Drainage!$B$5:$B$204&gt;$B200)*(B_Drainage!$H$5:$H$204&lt;&gt;"")),IF(UPPER(B_Drainage!$H$5:$H$204)="Y",1,"")),"")</f>
        <v/>
      </c>
      <c r="Z200" s="181" t="str">
        <f>IFERROR(LOOKUP(2,1/((B_Drainage!$A$5:$A$204&lt;&gt;"")*(B_Drainage!$A$5:$A$204&lt;=$B200)*(B_Drainage!$B$5:$B$204&gt;$B200)*(B_Drainage!$I$5:$I$204&lt;&gt;"")),IF(UPPER(B_Drainage!$I$5:$I$204)="Y",1,"")),"")</f>
        <v/>
      </c>
      <c r="AA200" s="181" t="str">
        <f>IFERROR(LOOKUP(2,1/((B_Drainage!$A$5:$A$204&lt;&gt;"")*(B_Drainage!$A$5:$A$204&lt;=$B200)*(B_Drainage!$B$5:$B$204&gt;$B200)*(B_Drainage!$J$5:$J$204&lt;&gt;"")),IF(UPPER(B_Drainage!$J$5:$J$204)="Y",1,"")),"")</f>
        <v/>
      </c>
      <c r="AB200" s="182" t="str">
        <f>IFERROR(LOOKUP(2,1/((B_Drainage!$A$5:$A$204&lt;&gt;"")*(B_Drainage!$A$5:$A$204&lt;=$B200)*(B_Drainage!$B$5:$B$204&gt;$B200)*(B_Drainage!$K$5:$K$204&lt;&gt;"")),IF(B_Drainage!$K$5:$K$204="-","",B_Drainage!$K$5:$K$204)),"")</f>
        <v/>
      </c>
      <c r="AC200" s="182" t="str">
        <f>IFERROR(LOOKUP(2,1/((B_Drainage!$A$5:$A$204&lt;&gt;"")*(B_Drainage!$A$5:$A$204&lt;=$B200)*(B_Drainage!$B$5:$B$204&gt;$B200)*(B_Drainage!$L$5:$L$204&lt;&gt;"")),IF(B_Drainage!$L$5:$L$204="-","",B_Drainage!$L$5:$L$204)),"")</f>
        <v/>
      </c>
      <c r="AD200" s="182" t="str">
        <f>IFERROR(LOOKUP(2,1/((D_Points!$A$5:$A$204&lt;&gt;"")*(D_Points!$A$5:$A$204&gt;=$B200)*(D_Points!$A$5:$A$204&lt;$B200+P_Interval)*(UPPER(TRIM(D_Points!$B$5:$B$204))="TURNOUT_L")*(D_Points!$H$5:$H$204&lt;&gt;"")),D_Points!$H$5:$H$204),"")</f>
        <v/>
      </c>
      <c r="AE200" s="182" t="str">
        <f>IFERROR(LOOKUP(2,1/((D_Points!$A$5:$A$204&lt;&gt;"")*(D_Points!$A$5:$A$204&gt;=$B200)*(D_Points!$A$5:$A$204&lt;$B200+P_Interval)*(UPPER(TRIM(D_Points!$B$5:$B$204))="TURNOUT_R")*(D_Points!$H$5:$H$204&lt;&gt;"")),D_Points!$H$5:$H$204),"")</f>
        <v/>
      </c>
      <c r="AF200" s="181" t="str">
        <f>IFERROR(LOOKUP(2,1/((B_Drainage!$A$5:$A$204&lt;&gt;"")*(B_Drainage!$A$5:$A$204&lt;=$B200)*(B_Drainage!$B$5:$B$204&gt;$B200)*(B_Drainage!$M$5:$M$204&lt;&gt;"")),IF(UPPER(B_Drainage!$M$5:$M$204)="Y",1,"")),"")</f>
        <v/>
      </c>
      <c r="AG200" s="181" t="str">
        <f>IFERROR(LOOKUP(2,1/((B_Drainage!$A$5:$A$204&lt;&gt;"")*(B_Drainage!$A$5:$A$204&lt;=$B200)*(B_Drainage!$B$5:$B$204&gt;$B200)*(B_Drainage!$N$5:$N$204&lt;&gt;"")),IF(UPPER(B_Drainage!$N$5:$N$204)="Y",1,"")),"")</f>
        <v/>
      </c>
      <c r="AH200" s="181" t="str">
        <f t="shared" si="24"/>
        <v/>
      </c>
      <c r="AI200" s="181" t="str">
        <f t="shared" si="25"/>
        <v/>
      </c>
      <c r="AJ200" s="181" t="str">
        <f t="shared" si="26"/>
        <v/>
      </c>
      <c r="AK200" s="181" t="str">
        <f t="shared" si="27"/>
        <v/>
      </c>
      <c r="AL200" s="181" t="str">
        <f t="shared" si="28"/>
        <v/>
      </c>
      <c r="AM200" s="181" t="str">
        <f t="shared" si="29"/>
        <v/>
      </c>
      <c r="AN200" s="181" t="str">
        <f t="shared" si="30"/>
        <v/>
      </c>
      <c r="AO200" s="192" t="str">
        <f t="shared" si="31"/>
        <v/>
      </c>
      <c r="AQ200" t="str">
        <f>IFERROR(LOOKUP(2,1/((C_Pavement!$A$5:$A$204&lt;&gt;"")*(C_Pavement!$A$5:$A$204&lt;=$B200)*(C_Pavement!$B$5:$B$204&gt;$B200)*(C_Pavement!$C$5:$C$204&lt;&gt;"")),ROW(C_Pavement!$C$5:$C$204)-4),"")</f>
        <v/>
      </c>
      <c r="AR200" t="str">
        <f>IF($AQ200="","",UPPER(TRIM(INDEX(C_Pavement!$C$5:$C$204,$AQ200))))</f>
        <v/>
      </c>
      <c r="AS200" t="str">
        <f>IF($AR200="","",IFERROR(MATCH($AR200,E_Rules!$A$5:$A$9,0),""))</f>
        <v/>
      </c>
      <c r="AT200" t="str">
        <f>IF($AQ200="","",IF(INDEX(C_Pavement!$D$5:$D$204,$AQ200)&lt;&gt;"",UPPER(TRIM(INDEX(C_Pavement!$D$5:$D$204,$AQ200))),IF($AS200="","",INDEX(E_Rules!$C$5:$C$9,$AS200))))</f>
        <v/>
      </c>
      <c r="AU200" t="str">
        <f>IF($AQ200="","",IF(INDEX(C_Pavement!$E$5:$E$204,$AQ200)&lt;&gt;"",IF(INDEX(C_Pavement!$E$5:$E$204,$AQ200)="-","",INDEX(C_Pavement!$E$5:$E$204,$AQ200)),IF($AS200="","",INDEX(E_Rules!$D$5:$D$9,$AS200))))</f>
        <v/>
      </c>
      <c r="AV200" t="str">
        <f>IF($AQ200="","",IF(INDEX(C_Pavement!$F$5:$F$204,$AQ200)&lt;&gt;"",IF(INDEX(C_Pavement!$F$5:$F$204,$AQ200)="-","",INDEX(C_Pavement!$F$5:$F$204,$AQ200)),IF($AS200="","",INDEX(E_Rules!$E$5:$E$9,$AS200))))</f>
        <v/>
      </c>
      <c r="AW200" t="str">
        <f>IF($AQ200="","",IF(INDEX(C_Pavement!$G$5:$G$204,$AQ200)&lt;&gt;"",IF(INDEX(C_Pavement!$G$5:$G$204,$AQ200)="-","",INDEX(C_Pavement!$G$5:$G$204,$AQ200)),IF($AS200="","",INDEX(E_Rules!$F$5:$F$9,$AS200))))</f>
        <v/>
      </c>
      <c r="AX200" t="str">
        <f>IF($AQ200="","",IF(INDEX(C_Pavement!$H$5:$H$204,$AQ200)&lt;&gt;"",IF(INDEX(C_Pavement!$H$5:$H$204,$AQ200)="-","",INDEX(C_Pavement!$H$5:$H$204,$AQ200)),IF($AS200="","",INDEX(E_Rules!$G$5:$G$9,$AS200))))</f>
        <v/>
      </c>
      <c r="AY200" t="str">
        <f>IF($AQ200="","",IF(INDEX(C_Pavement!$I$5:$I$204,$AQ200)&lt;&gt;"",IF(INDEX(C_Pavement!$I$5:$I$204,$AQ200)="-","",INDEX(C_Pavement!$I$5:$I$204,$AQ200)),IF($AS200="","",INDEX(E_Rules!$H$5:$H$9,$AS200))))</f>
        <v/>
      </c>
    </row>
    <row r="201" spans="1:51" ht="15.75" customHeight="1" x14ac:dyDescent="0.3">
      <c r="A201" s="189">
        <v>196</v>
      </c>
      <c r="B201" s="180">
        <v>9750</v>
      </c>
      <c r="C201" s="180" t="s">
        <v>507</v>
      </c>
      <c r="D201" s="181" t="str">
        <f>IFERROR(LOOKUP(2,1/((A_Corridor!$A$5:$A$204&lt;&gt;"")*(A_Corridor!$A$5:$A$204&lt;=$B201)*(A_Corridor!$B$5:$B$204&gt;$B201)*(A_Corridor!$C$5:$C$204&lt;&gt;"")),IF(UPPER(A_Corridor!$C$5:$C$204)="Y",1,"")),"")</f>
        <v/>
      </c>
      <c r="E201" s="181" t="str">
        <f>IFERROR(LOOKUP(2,1/((A_Corridor!$A$5:$A$204&lt;&gt;"")*(A_Corridor!$A$5:$A$204&lt;=$B201)*(A_Corridor!$B$5:$B$204&gt;$B201)*(A_Corridor!$D$5:$D$204&lt;&gt;"")),IF(A_Corridor!$D$5:$D$204="-","",UPPER(A_Corridor!$D$5:$D$204))),"")</f>
        <v/>
      </c>
      <c r="F201" s="181" t="str">
        <f>IFERROR(LOOKUP(2,1/((A_Corridor!$A$5:$A$204&lt;&gt;"")*(A_Corridor!$A$5:$A$204&lt;=$B201)*(A_Corridor!$B$5:$B$204&gt;$B201)*(A_Corridor!$E$5:$E$204&lt;&gt;"")),IF(A_Corridor!$E$5:$E$204="-","",1)),"")</f>
        <v/>
      </c>
      <c r="G201" s="182" t="str">
        <f>IFERROR(LOOKUP(2,1/((A_Corridor!$A$5:$A$204&lt;&gt;"")*(A_Corridor!$A$5:$A$204&lt;=$B201)*(A_Corridor!$B$5:$B$204&gt;$B201)*(A_Corridor!$E$5:$E$204&lt;&gt;"")),IF(A_Corridor!$E$5:$E$204="-","",A_Corridor!$E$5:$E$204)),"")</f>
        <v/>
      </c>
      <c r="H201" s="182" t="str">
        <f>IFERROR(LOOKUP(2,1/((D_Points!$A$5:$A$204&lt;&gt;"")*(D_Points!$A$5:$A$204&gt;=$B201)*(D_Points!$A$5:$A$204&lt;$B201+P_Interval)*(UPPER(TRIM(D_Points!$B$5:$B$204))="GULLY")*(D_Points!$H$5:$H$204&lt;&gt;"")),D_Points!$H$5:$H$204),"")</f>
        <v/>
      </c>
      <c r="I201" s="181" t="str">
        <f>IFERROR(LOOKUP(2,1/((A_Corridor!$A$5:$A$204&lt;&gt;"")*(A_Corridor!$A$5:$A$204&lt;=$B201)*(A_Corridor!$B$5:$B$204&gt;$B201)*(A_Corridor!$F$5:$F$204&lt;&gt;"")),IF(A_Corridor!$F$5:$F$204="-","",1)),"")</f>
        <v/>
      </c>
      <c r="J201" s="182" t="str">
        <f>IFERROR(LOOKUP(2,1/((A_Corridor!$A$5:$A$204&lt;&gt;"")*(A_Corridor!$A$5:$A$204&lt;=$B201)*(A_Corridor!$B$5:$B$204&gt;$B201)*(A_Corridor!$F$5:$F$204&lt;&gt;"")),IF(A_Corridor!$F$5:$F$204="-","",A_Corridor!$F$5:$F$204)),"")</f>
        <v/>
      </c>
      <c r="K201" s="182" t="str">
        <f>IFERROR(LOOKUP(2,1/((A_Corridor!$A$5:$A$204&lt;&gt;"")*(A_Corridor!$A$5:$A$204&lt;=$B201)*(A_Corridor!$B$5:$B$204&gt;$B201)*(A_Corridor!$G$5:$G$204&lt;&gt;"")),IF(A_Corridor!$G$5:$G$204="-","",A_Corridor!$G$5:$G$204)),"")</f>
        <v/>
      </c>
      <c r="L201" s="181" t="str">
        <f>IFERROR(LOOKUP(2,1/((A_Corridor!$A$5:$A$204&lt;&gt;"")*(A_Corridor!$A$5:$A$204&lt;=$B201)*(A_Corridor!$B$5:$B$204&gt;$B201)*(A_Corridor!$H$5:$H$204&lt;&gt;"")),IF(A_Corridor!$H$5:$H$204="-","",1)),"")</f>
        <v/>
      </c>
      <c r="M201" s="182" t="str">
        <f>IFERROR(LOOKUP(2,1/((A_Corridor!$A$5:$A$204&lt;&gt;"")*(A_Corridor!$A$5:$A$204&lt;=$B201)*(A_Corridor!$B$5:$B$204&gt;$B201)*(A_Corridor!$H$5:$H$204&lt;&gt;"")),IF(A_Corridor!$H$5:$H$204="-","",A_Corridor!$H$5:$H$204)),"")</f>
        <v/>
      </c>
      <c r="N201" s="182" t="str">
        <f>IFERROR(LOOKUP(2,1/((A_Corridor!$A$5:$A$204&lt;&gt;"")*(A_Corridor!$A$5:$A$204&lt;=$B201)*(A_Corridor!$B$5:$B$204&gt;$B201)*(A_Corridor!$I$5:$I$204&lt;&gt;"")),IF(A_Corridor!$I$5:$I$204="-","",A_Corridor!$I$5:$I$204)),"")</f>
        <v/>
      </c>
      <c r="O201" s="182" t="str">
        <f>IFERROR(LOOKUP(2,1/((D_Points!$A$5:$A$204&lt;&gt;"")*(D_Points!$A$5:$A$204&gt;=$B201)*(D_Points!$A$5:$A$204&lt;$B201+P_Interval)*(UPPER(TRIM(D_Points!$B$5:$B$204))="PITCHING")*(D_Points!$H$5:$H$204&lt;&gt;"")),D_Points!$H$5:$H$204),"")</f>
        <v/>
      </c>
      <c r="P201" s="181" t="str">
        <f>IFERROR(LOOKUP(2,1/((B_Drainage!$A$5:$A$204&lt;&gt;"")*(B_Drainage!$A$5:$A$204&lt;=$B201)*(B_Drainage!$B$5:$B$204&gt;$B201)*(B_Drainage!$C$5:$C$204&lt;&gt;"")),IF(B_Drainage!$C$5:$C$204="-","",UPPER(B_Drainage!$C$5:$C$204))),"")</f>
        <v/>
      </c>
      <c r="Q201" s="181" t="str">
        <f>IFERROR(LOOKUP(2,1/((B_Drainage!$A$5:$A$204&lt;&gt;"")*(B_Drainage!$A$5:$A$204&lt;=$B201)*(B_Drainage!$B$5:$B$204&gt;$B201)*(B_Drainage!$D$5:$D$204&lt;&gt;"")),IF(B_Drainage!$D$5:$D$204="-","",UPPER(B_Drainage!$D$5:$D$204))),"")</f>
        <v/>
      </c>
      <c r="R201" s="182" t="str">
        <f>IFERROR(LOOKUP(2,1/((D_Points!$A$5:$A$204&lt;&gt;"")*(D_Points!$A$5:$A$204&gt;=$B201)*(D_Points!$A$5:$A$204&lt;$B201+P_Interval)*(RIGHT(UPPER(TRIM(D_Points!$B$5:$B$204)),8)="_CULVERT")),IF(LEFT(UPPER(TRIM(D_Points!$B$5:$B$204)),2)="EX",1,IF(LEFT(UPPER(TRIM(D_Points!$B$5:$B$204)),2)="PR",2,3))),"")</f>
        <v/>
      </c>
      <c r="S201" s="182" t="str">
        <f>IFERROR(LOOKUP(2,1/((D_Points!$A$5:$A$204&lt;&gt;"")*(D_Points!$A$5:$A$204&gt;=$B201)*(D_Points!$A$5:$A$204&lt;$B201+P_Interval)*(RIGHT(UPPER(TRIM(D_Points!$B$5:$B$204)),7)="_BRIDGE")),IF(LEFT(UPPER(TRIM(D_Points!$B$5:$B$204)),2)="EX",1,IF(LEFT(UPPER(TRIM(D_Points!$B$5:$B$204)),2)="PR",2,2))),"")</f>
        <v/>
      </c>
      <c r="T201" s="181" t="str">
        <f>IFERROR(LOOKUP(2,1/((B_Drainage!$A$5:$A$204&lt;&gt;"")*(B_Drainage!$A$5:$A$204&lt;=$B201)*(B_Drainage!$B$5:$B$204&gt;$B201)*(B_Drainage!$E$5:$E$204&lt;&gt;"")),IF(B_Drainage!$E$5:$E$204="-","",1)),"")</f>
        <v/>
      </c>
      <c r="U201" s="181" t="str">
        <f>IFERROR(LOOKUP(2,1/((B_Drainage!$A$5:$A$204&lt;&gt;"")*(B_Drainage!$A$5:$A$204&lt;=$B201)*(B_Drainage!$B$5:$B$204&gt;$B201)*(B_Drainage!$E$5:$E$204&lt;&gt;"")),IF(B_Drainage!$E$5:$E$204="-","",B_Drainage!$E$5:$E$204)),"")</f>
        <v/>
      </c>
      <c r="V201" s="181" t="str">
        <f>IFERROR(LOOKUP(2,1/((B_Drainage!$A$5:$A$204&lt;&gt;"")*(B_Drainage!$A$5:$A$204&lt;=$B201)*(B_Drainage!$B$5:$B$204&gt;$B201)*(B_Drainage!$F$5:$F$204&lt;&gt;"")),IF(B_Drainage!$F$5:$F$204="-","",1)),"")</f>
        <v/>
      </c>
      <c r="W201" s="181" t="str">
        <f>IFERROR(LOOKUP(2,1/((B_Drainage!$A$5:$A$204&lt;&gt;"")*(B_Drainage!$A$5:$A$204&lt;=$B201)*(B_Drainage!$B$5:$B$204&gt;$B201)*(B_Drainage!$F$5:$F$204&lt;&gt;"")),IF(B_Drainage!$F$5:$F$204="-","",B_Drainage!$F$5:$F$204)),"")</f>
        <v/>
      </c>
      <c r="X201" s="181" t="str">
        <f>IFERROR(LOOKUP(2,1/((B_Drainage!$A$5:$A$204&lt;&gt;"")*(B_Drainage!$A$5:$A$204&lt;=$B201)*(B_Drainage!$B$5:$B$204&gt;$B201)*(B_Drainage!$G$5:$G$204&lt;&gt;"")),IF(UPPER(B_Drainage!$G$5:$G$204)="Y",1,"")),"")</f>
        <v/>
      </c>
      <c r="Y201" s="181" t="str">
        <f>IFERROR(LOOKUP(2,1/((B_Drainage!$A$5:$A$204&lt;&gt;"")*(B_Drainage!$A$5:$A$204&lt;=$B201)*(B_Drainage!$B$5:$B$204&gt;$B201)*(B_Drainage!$H$5:$H$204&lt;&gt;"")),IF(UPPER(B_Drainage!$H$5:$H$204)="Y",1,"")),"")</f>
        <v/>
      </c>
      <c r="Z201" s="181" t="str">
        <f>IFERROR(LOOKUP(2,1/((B_Drainage!$A$5:$A$204&lt;&gt;"")*(B_Drainage!$A$5:$A$204&lt;=$B201)*(B_Drainage!$B$5:$B$204&gt;$B201)*(B_Drainage!$I$5:$I$204&lt;&gt;"")),IF(UPPER(B_Drainage!$I$5:$I$204)="Y",1,"")),"")</f>
        <v/>
      </c>
      <c r="AA201" s="181" t="str">
        <f>IFERROR(LOOKUP(2,1/((B_Drainage!$A$5:$A$204&lt;&gt;"")*(B_Drainage!$A$5:$A$204&lt;=$B201)*(B_Drainage!$B$5:$B$204&gt;$B201)*(B_Drainage!$J$5:$J$204&lt;&gt;"")),IF(UPPER(B_Drainage!$J$5:$J$204)="Y",1,"")),"")</f>
        <v/>
      </c>
      <c r="AB201" s="182" t="str">
        <f>IFERROR(LOOKUP(2,1/((B_Drainage!$A$5:$A$204&lt;&gt;"")*(B_Drainage!$A$5:$A$204&lt;=$B201)*(B_Drainage!$B$5:$B$204&gt;$B201)*(B_Drainage!$K$5:$K$204&lt;&gt;"")),IF(B_Drainage!$K$5:$K$204="-","",B_Drainage!$K$5:$K$204)),"")</f>
        <v/>
      </c>
      <c r="AC201" s="182" t="str">
        <f>IFERROR(LOOKUP(2,1/((B_Drainage!$A$5:$A$204&lt;&gt;"")*(B_Drainage!$A$5:$A$204&lt;=$B201)*(B_Drainage!$B$5:$B$204&gt;$B201)*(B_Drainage!$L$5:$L$204&lt;&gt;"")),IF(B_Drainage!$L$5:$L$204="-","",B_Drainage!$L$5:$L$204)),"")</f>
        <v/>
      </c>
      <c r="AD201" s="182" t="str">
        <f>IFERROR(LOOKUP(2,1/((D_Points!$A$5:$A$204&lt;&gt;"")*(D_Points!$A$5:$A$204&gt;=$B201)*(D_Points!$A$5:$A$204&lt;$B201+P_Interval)*(UPPER(TRIM(D_Points!$B$5:$B$204))="TURNOUT_L")*(D_Points!$H$5:$H$204&lt;&gt;"")),D_Points!$H$5:$H$204),"")</f>
        <v/>
      </c>
      <c r="AE201" s="182" t="str">
        <f>IFERROR(LOOKUP(2,1/((D_Points!$A$5:$A$204&lt;&gt;"")*(D_Points!$A$5:$A$204&gt;=$B201)*(D_Points!$A$5:$A$204&lt;$B201+P_Interval)*(UPPER(TRIM(D_Points!$B$5:$B$204))="TURNOUT_R")*(D_Points!$H$5:$H$204&lt;&gt;"")),D_Points!$H$5:$H$204),"")</f>
        <v/>
      </c>
      <c r="AF201" s="181" t="str">
        <f>IFERROR(LOOKUP(2,1/((B_Drainage!$A$5:$A$204&lt;&gt;"")*(B_Drainage!$A$5:$A$204&lt;=$B201)*(B_Drainage!$B$5:$B$204&gt;$B201)*(B_Drainage!$M$5:$M$204&lt;&gt;"")),IF(UPPER(B_Drainage!$M$5:$M$204)="Y",1,"")),"")</f>
        <v/>
      </c>
      <c r="AG201" s="181" t="str">
        <f>IFERROR(LOOKUP(2,1/((B_Drainage!$A$5:$A$204&lt;&gt;"")*(B_Drainage!$A$5:$A$204&lt;=$B201)*(B_Drainage!$B$5:$B$204&gt;$B201)*(B_Drainage!$N$5:$N$204&lt;&gt;"")),IF(UPPER(B_Drainage!$N$5:$N$204)="Y",1,"")),"")</f>
        <v/>
      </c>
      <c r="AH201" s="181" t="str">
        <f t="shared" si="24"/>
        <v/>
      </c>
      <c r="AI201" s="181" t="str">
        <f t="shared" si="25"/>
        <v/>
      </c>
      <c r="AJ201" s="181" t="str">
        <f t="shared" si="26"/>
        <v/>
      </c>
      <c r="AK201" s="181" t="str">
        <f t="shared" si="27"/>
        <v/>
      </c>
      <c r="AL201" s="181" t="str">
        <f t="shared" si="28"/>
        <v/>
      </c>
      <c r="AM201" s="181" t="str">
        <f t="shared" si="29"/>
        <v/>
      </c>
      <c r="AN201" s="181" t="str">
        <f t="shared" si="30"/>
        <v/>
      </c>
      <c r="AO201" s="192" t="str">
        <f t="shared" si="31"/>
        <v/>
      </c>
      <c r="AQ201" t="str">
        <f>IFERROR(LOOKUP(2,1/((C_Pavement!$A$5:$A$204&lt;&gt;"")*(C_Pavement!$A$5:$A$204&lt;=$B201)*(C_Pavement!$B$5:$B$204&gt;$B201)*(C_Pavement!$C$5:$C$204&lt;&gt;"")),ROW(C_Pavement!$C$5:$C$204)-4),"")</f>
        <v/>
      </c>
      <c r="AR201" t="str">
        <f>IF($AQ201="","",UPPER(TRIM(INDEX(C_Pavement!$C$5:$C$204,$AQ201))))</f>
        <v/>
      </c>
      <c r="AS201" t="str">
        <f>IF($AR201="","",IFERROR(MATCH($AR201,E_Rules!$A$5:$A$9,0),""))</f>
        <v/>
      </c>
      <c r="AT201" t="str">
        <f>IF($AQ201="","",IF(INDEX(C_Pavement!$D$5:$D$204,$AQ201)&lt;&gt;"",UPPER(TRIM(INDEX(C_Pavement!$D$5:$D$204,$AQ201))),IF($AS201="","",INDEX(E_Rules!$C$5:$C$9,$AS201))))</f>
        <v/>
      </c>
      <c r="AU201" t="str">
        <f>IF($AQ201="","",IF(INDEX(C_Pavement!$E$5:$E$204,$AQ201)&lt;&gt;"",IF(INDEX(C_Pavement!$E$5:$E$204,$AQ201)="-","",INDEX(C_Pavement!$E$5:$E$204,$AQ201)),IF($AS201="","",INDEX(E_Rules!$D$5:$D$9,$AS201))))</f>
        <v/>
      </c>
      <c r="AV201" t="str">
        <f>IF($AQ201="","",IF(INDEX(C_Pavement!$F$5:$F$204,$AQ201)&lt;&gt;"",IF(INDEX(C_Pavement!$F$5:$F$204,$AQ201)="-","",INDEX(C_Pavement!$F$5:$F$204,$AQ201)),IF($AS201="","",INDEX(E_Rules!$E$5:$E$9,$AS201))))</f>
        <v/>
      </c>
      <c r="AW201" t="str">
        <f>IF($AQ201="","",IF(INDEX(C_Pavement!$G$5:$G$204,$AQ201)&lt;&gt;"",IF(INDEX(C_Pavement!$G$5:$G$204,$AQ201)="-","",INDEX(C_Pavement!$G$5:$G$204,$AQ201)),IF($AS201="","",INDEX(E_Rules!$F$5:$F$9,$AS201))))</f>
        <v/>
      </c>
      <c r="AX201" t="str">
        <f>IF($AQ201="","",IF(INDEX(C_Pavement!$H$5:$H$204,$AQ201)&lt;&gt;"",IF(INDEX(C_Pavement!$H$5:$H$204,$AQ201)="-","",INDEX(C_Pavement!$H$5:$H$204,$AQ201)),IF($AS201="","",INDEX(E_Rules!$G$5:$G$9,$AS201))))</f>
        <v/>
      </c>
      <c r="AY201" t="str">
        <f>IF($AQ201="","",IF(INDEX(C_Pavement!$I$5:$I$204,$AQ201)&lt;&gt;"",IF(INDEX(C_Pavement!$I$5:$I$204,$AQ201)="-","",INDEX(C_Pavement!$I$5:$I$204,$AQ201)),IF($AS201="","",INDEX(E_Rules!$H$5:$H$9,$AS201))))</f>
        <v/>
      </c>
    </row>
    <row r="202" spans="1:51" ht="15.75" customHeight="1" x14ac:dyDescent="0.3">
      <c r="A202" s="189">
        <v>197</v>
      </c>
      <c r="B202" s="180">
        <v>9800</v>
      </c>
      <c r="C202" s="180" t="s">
        <v>508</v>
      </c>
      <c r="D202" s="181" t="str">
        <f>IFERROR(LOOKUP(2,1/((A_Corridor!$A$5:$A$204&lt;&gt;"")*(A_Corridor!$A$5:$A$204&lt;=$B202)*(A_Corridor!$B$5:$B$204&gt;$B202)*(A_Corridor!$C$5:$C$204&lt;&gt;"")),IF(UPPER(A_Corridor!$C$5:$C$204)="Y",1,"")),"")</f>
        <v/>
      </c>
      <c r="E202" s="181" t="str">
        <f>IFERROR(LOOKUP(2,1/((A_Corridor!$A$5:$A$204&lt;&gt;"")*(A_Corridor!$A$5:$A$204&lt;=$B202)*(A_Corridor!$B$5:$B$204&gt;$B202)*(A_Corridor!$D$5:$D$204&lt;&gt;"")),IF(A_Corridor!$D$5:$D$204="-","",UPPER(A_Corridor!$D$5:$D$204))),"")</f>
        <v/>
      </c>
      <c r="F202" s="181" t="str">
        <f>IFERROR(LOOKUP(2,1/((A_Corridor!$A$5:$A$204&lt;&gt;"")*(A_Corridor!$A$5:$A$204&lt;=$B202)*(A_Corridor!$B$5:$B$204&gt;$B202)*(A_Corridor!$E$5:$E$204&lt;&gt;"")),IF(A_Corridor!$E$5:$E$204="-","",1)),"")</f>
        <v/>
      </c>
      <c r="G202" s="182" t="str">
        <f>IFERROR(LOOKUP(2,1/((A_Corridor!$A$5:$A$204&lt;&gt;"")*(A_Corridor!$A$5:$A$204&lt;=$B202)*(A_Corridor!$B$5:$B$204&gt;$B202)*(A_Corridor!$E$5:$E$204&lt;&gt;"")),IF(A_Corridor!$E$5:$E$204="-","",A_Corridor!$E$5:$E$204)),"")</f>
        <v/>
      </c>
      <c r="H202" s="182" t="str">
        <f>IFERROR(LOOKUP(2,1/((D_Points!$A$5:$A$204&lt;&gt;"")*(D_Points!$A$5:$A$204&gt;=$B202)*(D_Points!$A$5:$A$204&lt;$B202+P_Interval)*(UPPER(TRIM(D_Points!$B$5:$B$204))="GULLY")*(D_Points!$H$5:$H$204&lt;&gt;"")),D_Points!$H$5:$H$204),"")</f>
        <v/>
      </c>
      <c r="I202" s="181" t="str">
        <f>IFERROR(LOOKUP(2,1/((A_Corridor!$A$5:$A$204&lt;&gt;"")*(A_Corridor!$A$5:$A$204&lt;=$B202)*(A_Corridor!$B$5:$B$204&gt;$B202)*(A_Corridor!$F$5:$F$204&lt;&gt;"")),IF(A_Corridor!$F$5:$F$204="-","",1)),"")</f>
        <v/>
      </c>
      <c r="J202" s="182" t="str">
        <f>IFERROR(LOOKUP(2,1/((A_Corridor!$A$5:$A$204&lt;&gt;"")*(A_Corridor!$A$5:$A$204&lt;=$B202)*(A_Corridor!$B$5:$B$204&gt;$B202)*(A_Corridor!$F$5:$F$204&lt;&gt;"")),IF(A_Corridor!$F$5:$F$204="-","",A_Corridor!$F$5:$F$204)),"")</f>
        <v/>
      </c>
      <c r="K202" s="182" t="str">
        <f>IFERROR(LOOKUP(2,1/((A_Corridor!$A$5:$A$204&lt;&gt;"")*(A_Corridor!$A$5:$A$204&lt;=$B202)*(A_Corridor!$B$5:$B$204&gt;$B202)*(A_Corridor!$G$5:$G$204&lt;&gt;"")),IF(A_Corridor!$G$5:$G$204="-","",A_Corridor!$G$5:$G$204)),"")</f>
        <v/>
      </c>
      <c r="L202" s="181" t="str">
        <f>IFERROR(LOOKUP(2,1/((A_Corridor!$A$5:$A$204&lt;&gt;"")*(A_Corridor!$A$5:$A$204&lt;=$B202)*(A_Corridor!$B$5:$B$204&gt;$B202)*(A_Corridor!$H$5:$H$204&lt;&gt;"")),IF(A_Corridor!$H$5:$H$204="-","",1)),"")</f>
        <v/>
      </c>
      <c r="M202" s="182" t="str">
        <f>IFERROR(LOOKUP(2,1/((A_Corridor!$A$5:$A$204&lt;&gt;"")*(A_Corridor!$A$5:$A$204&lt;=$B202)*(A_Corridor!$B$5:$B$204&gt;$B202)*(A_Corridor!$H$5:$H$204&lt;&gt;"")),IF(A_Corridor!$H$5:$H$204="-","",A_Corridor!$H$5:$H$204)),"")</f>
        <v/>
      </c>
      <c r="N202" s="182" t="str">
        <f>IFERROR(LOOKUP(2,1/((A_Corridor!$A$5:$A$204&lt;&gt;"")*(A_Corridor!$A$5:$A$204&lt;=$B202)*(A_Corridor!$B$5:$B$204&gt;$B202)*(A_Corridor!$I$5:$I$204&lt;&gt;"")),IF(A_Corridor!$I$5:$I$204="-","",A_Corridor!$I$5:$I$204)),"")</f>
        <v/>
      </c>
      <c r="O202" s="182" t="str">
        <f>IFERROR(LOOKUP(2,1/((D_Points!$A$5:$A$204&lt;&gt;"")*(D_Points!$A$5:$A$204&gt;=$B202)*(D_Points!$A$5:$A$204&lt;$B202+P_Interval)*(UPPER(TRIM(D_Points!$B$5:$B$204))="PITCHING")*(D_Points!$H$5:$H$204&lt;&gt;"")),D_Points!$H$5:$H$204),"")</f>
        <v/>
      </c>
      <c r="P202" s="181" t="str">
        <f>IFERROR(LOOKUP(2,1/((B_Drainage!$A$5:$A$204&lt;&gt;"")*(B_Drainage!$A$5:$A$204&lt;=$B202)*(B_Drainage!$B$5:$B$204&gt;$B202)*(B_Drainage!$C$5:$C$204&lt;&gt;"")),IF(B_Drainage!$C$5:$C$204="-","",UPPER(B_Drainage!$C$5:$C$204))),"")</f>
        <v/>
      </c>
      <c r="Q202" s="181" t="str">
        <f>IFERROR(LOOKUP(2,1/((B_Drainage!$A$5:$A$204&lt;&gt;"")*(B_Drainage!$A$5:$A$204&lt;=$B202)*(B_Drainage!$B$5:$B$204&gt;$B202)*(B_Drainage!$D$5:$D$204&lt;&gt;"")),IF(B_Drainage!$D$5:$D$204="-","",UPPER(B_Drainage!$D$5:$D$204))),"")</f>
        <v/>
      </c>
      <c r="R202" s="182" t="str">
        <f>IFERROR(LOOKUP(2,1/((D_Points!$A$5:$A$204&lt;&gt;"")*(D_Points!$A$5:$A$204&gt;=$B202)*(D_Points!$A$5:$A$204&lt;$B202+P_Interval)*(RIGHT(UPPER(TRIM(D_Points!$B$5:$B$204)),8)="_CULVERT")),IF(LEFT(UPPER(TRIM(D_Points!$B$5:$B$204)),2)="EX",1,IF(LEFT(UPPER(TRIM(D_Points!$B$5:$B$204)),2)="PR",2,3))),"")</f>
        <v/>
      </c>
      <c r="S202" s="182" t="str">
        <f>IFERROR(LOOKUP(2,1/((D_Points!$A$5:$A$204&lt;&gt;"")*(D_Points!$A$5:$A$204&gt;=$B202)*(D_Points!$A$5:$A$204&lt;$B202+P_Interval)*(RIGHT(UPPER(TRIM(D_Points!$B$5:$B$204)),7)="_BRIDGE")),IF(LEFT(UPPER(TRIM(D_Points!$B$5:$B$204)),2)="EX",1,IF(LEFT(UPPER(TRIM(D_Points!$B$5:$B$204)),2)="PR",2,2))),"")</f>
        <v/>
      </c>
      <c r="T202" s="181" t="str">
        <f>IFERROR(LOOKUP(2,1/((B_Drainage!$A$5:$A$204&lt;&gt;"")*(B_Drainage!$A$5:$A$204&lt;=$B202)*(B_Drainage!$B$5:$B$204&gt;$B202)*(B_Drainage!$E$5:$E$204&lt;&gt;"")),IF(B_Drainage!$E$5:$E$204="-","",1)),"")</f>
        <v/>
      </c>
      <c r="U202" s="181" t="str">
        <f>IFERROR(LOOKUP(2,1/((B_Drainage!$A$5:$A$204&lt;&gt;"")*(B_Drainage!$A$5:$A$204&lt;=$B202)*(B_Drainage!$B$5:$B$204&gt;$B202)*(B_Drainage!$E$5:$E$204&lt;&gt;"")),IF(B_Drainage!$E$5:$E$204="-","",B_Drainage!$E$5:$E$204)),"")</f>
        <v/>
      </c>
      <c r="V202" s="181" t="str">
        <f>IFERROR(LOOKUP(2,1/((B_Drainage!$A$5:$A$204&lt;&gt;"")*(B_Drainage!$A$5:$A$204&lt;=$B202)*(B_Drainage!$B$5:$B$204&gt;$B202)*(B_Drainage!$F$5:$F$204&lt;&gt;"")),IF(B_Drainage!$F$5:$F$204="-","",1)),"")</f>
        <v/>
      </c>
      <c r="W202" s="181" t="str">
        <f>IFERROR(LOOKUP(2,1/((B_Drainage!$A$5:$A$204&lt;&gt;"")*(B_Drainage!$A$5:$A$204&lt;=$B202)*(B_Drainage!$B$5:$B$204&gt;$B202)*(B_Drainage!$F$5:$F$204&lt;&gt;"")),IF(B_Drainage!$F$5:$F$204="-","",B_Drainage!$F$5:$F$204)),"")</f>
        <v/>
      </c>
      <c r="X202" s="181" t="str">
        <f>IFERROR(LOOKUP(2,1/((B_Drainage!$A$5:$A$204&lt;&gt;"")*(B_Drainage!$A$5:$A$204&lt;=$B202)*(B_Drainage!$B$5:$B$204&gt;$B202)*(B_Drainage!$G$5:$G$204&lt;&gt;"")),IF(UPPER(B_Drainage!$G$5:$G$204)="Y",1,"")),"")</f>
        <v/>
      </c>
      <c r="Y202" s="181" t="str">
        <f>IFERROR(LOOKUP(2,1/((B_Drainage!$A$5:$A$204&lt;&gt;"")*(B_Drainage!$A$5:$A$204&lt;=$B202)*(B_Drainage!$B$5:$B$204&gt;$B202)*(B_Drainage!$H$5:$H$204&lt;&gt;"")),IF(UPPER(B_Drainage!$H$5:$H$204)="Y",1,"")),"")</f>
        <v/>
      </c>
      <c r="Z202" s="181" t="str">
        <f>IFERROR(LOOKUP(2,1/((B_Drainage!$A$5:$A$204&lt;&gt;"")*(B_Drainage!$A$5:$A$204&lt;=$B202)*(B_Drainage!$B$5:$B$204&gt;$B202)*(B_Drainage!$I$5:$I$204&lt;&gt;"")),IF(UPPER(B_Drainage!$I$5:$I$204)="Y",1,"")),"")</f>
        <v/>
      </c>
      <c r="AA202" s="181" t="str">
        <f>IFERROR(LOOKUP(2,1/((B_Drainage!$A$5:$A$204&lt;&gt;"")*(B_Drainage!$A$5:$A$204&lt;=$B202)*(B_Drainage!$B$5:$B$204&gt;$B202)*(B_Drainage!$J$5:$J$204&lt;&gt;"")),IF(UPPER(B_Drainage!$J$5:$J$204)="Y",1,"")),"")</f>
        <v/>
      </c>
      <c r="AB202" s="182" t="str">
        <f>IFERROR(LOOKUP(2,1/((B_Drainage!$A$5:$A$204&lt;&gt;"")*(B_Drainage!$A$5:$A$204&lt;=$B202)*(B_Drainage!$B$5:$B$204&gt;$B202)*(B_Drainage!$K$5:$K$204&lt;&gt;"")),IF(B_Drainage!$K$5:$K$204="-","",B_Drainage!$K$5:$K$204)),"")</f>
        <v/>
      </c>
      <c r="AC202" s="182" t="str">
        <f>IFERROR(LOOKUP(2,1/((B_Drainage!$A$5:$A$204&lt;&gt;"")*(B_Drainage!$A$5:$A$204&lt;=$B202)*(B_Drainage!$B$5:$B$204&gt;$B202)*(B_Drainage!$L$5:$L$204&lt;&gt;"")),IF(B_Drainage!$L$5:$L$204="-","",B_Drainage!$L$5:$L$204)),"")</f>
        <v/>
      </c>
      <c r="AD202" s="182" t="str">
        <f>IFERROR(LOOKUP(2,1/((D_Points!$A$5:$A$204&lt;&gt;"")*(D_Points!$A$5:$A$204&gt;=$B202)*(D_Points!$A$5:$A$204&lt;$B202+P_Interval)*(UPPER(TRIM(D_Points!$B$5:$B$204))="TURNOUT_L")*(D_Points!$H$5:$H$204&lt;&gt;"")),D_Points!$H$5:$H$204),"")</f>
        <v/>
      </c>
      <c r="AE202" s="182" t="str">
        <f>IFERROR(LOOKUP(2,1/((D_Points!$A$5:$A$204&lt;&gt;"")*(D_Points!$A$5:$A$204&gt;=$B202)*(D_Points!$A$5:$A$204&lt;$B202+P_Interval)*(UPPER(TRIM(D_Points!$B$5:$B$204))="TURNOUT_R")*(D_Points!$H$5:$H$204&lt;&gt;"")),D_Points!$H$5:$H$204),"")</f>
        <v/>
      </c>
      <c r="AF202" s="181" t="str">
        <f>IFERROR(LOOKUP(2,1/((B_Drainage!$A$5:$A$204&lt;&gt;"")*(B_Drainage!$A$5:$A$204&lt;=$B202)*(B_Drainage!$B$5:$B$204&gt;$B202)*(B_Drainage!$M$5:$M$204&lt;&gt;"")),IF(UPPER(B_Drainage!$M$5:$M$204)="Y",1,"")),"")</f>
        <v/>
      </c>
      <c r="AG202" s="181" t="str">
        <f>IFERROR(LOOKUP(2,1/((B_Drainage!$A$5:$A$204&lt;&gt;"")*(B_Drainage!$A$5:$A$204&lt;=$B202)*(B_Drainage!$B$5:$B$204&gt;$B202)*(B_Drainage!$N$5:$N$204&lt;&gt;"")),IF(UPPER(B_Drainage!$N$5:$N$204)="Y",1,"")),"")</f>
        <v/>
      </c>
      <c r="AH202" s="181" t="str">
        <f t="shared" si="24"/>
        <v/>
      </c>
      <c r="AI202" s="181" t="str">
        <f t="shared" si="25"/>
        <v/>
      </c>
      <c r="AJ202" s="181" t="str">
        <f t="shared" si="26"/>
        <v/>
      </c>
      <c r="AK202" s="181" t="str">
        <f t="shared" si="27"/>
        <v/>
      </c>
      <c r="AL202" s="181" t="str">
        <f t="shared" si="28"/>
        <v/>
      </c>
      <c r="AM202" s="181" t="str">
        <f t="shared" si="29"/>
        <v/>
      </c>
      <c r="AN202" s="181" t="str">
        <f t="shared" si="30"/>
        <v/>
      </c>
      <c r="AO202" s="192" t="str">
        <f t="shared" si="31"/>
        <v/>
      </c>
      <c r="AQ202" t="str">
        <f>IFERROR(LOOKUP(2,1/((C_Pavement!$A$5:$A$204&lt;&gt;"")*(C_Pavement!$A$5:$A$204&lt;=$B202)*(C_Pavement!$B$5:$B$204&gt;$B202)*(C_Pavement!$C$5:$C$204&lt;&gt;"")),ROW(C_Pavement!$C$5:$C$204)-4),"")</f>
        <v/>
      </c>
      <c r="AR202" t="str">
        <f>IF($AQ202="","",UPPER(TRIM(INDEX(C_Pavement!$C$5:$C$204,$AQ202))))</f>
        <v/>
      </c>
      <c r="AS202" t="str">
        <f>IF($AR202="","",IFERROR(MATCH($AR202,E_Rules!$A$5:$A$9,0),""))</f>
        <v/>
      </c>
      <c r="AT202" t="str">
        <f>IF($AQ202="","",IF(INDEX(C_Pavement!$D$5:$D$204,$AQ202)&lt;&gt;"",UPPER(TRIM(INDEX(C_Pavement!$D$5:$D$204,$AQ202))),IF($AS202="","",INDEX(E_Rules!$C$5:$C$9,$AS202))))</f>
        <v/>
      </c>
      <c r="AU202" t="str">
        <f>IF($AQ202="","",IF(INDEX(C_Pavement!$E$5:$E$204,$AQ202)&lt;&gt;"",IF(INDEX(C_Pavement!$E$5:$E$204,$AQ202)="-","",INDEX(C_Pavement!$E$5:$E$204,$AQ202)),IF($AS202="","",INDEX(E_Rules!$D$5:$D$9,$AS202))))</f>
        <v/>
      </c>
      <c r="AV202" t="str">
        <f>IF($AQ202="","",IF(INDEX(C_Pavement!$F$5:$F$204,$AQ202)&lt;&gt;"",IF(INDEX(C_Pavement!$F$5:$F$204,$AQ202)="-","",INDEX(C_Pavement!$F$5:$F$204,$AQ202)),IF($AS202="","",INDEX(E_Rules!$E$5:$E$9,$AS202))))</f>
        <v/>
      </c>
      <c r="AW202" t="str">
        <f>IF($AQ202="","",IF(INDEX(C_Pavement!$G$5:$G$204,$AQ202)&lt;&gt;"",IF(INDEX(C_Pavement!$G$5:$G$204,$AQ202)="-","",INDEX(C_Pavement!$G$5:$G$204,$AQ202)),IF($AS202="","",INDEX(E_Rules!$F$5:$F$9,$AS202))))</f>
        <v/>
      </c>
      <c r="AX202" t="str">
        <f>IF($AQ202="","",IF(INDEX(C_Pavement!$H$5:$H$204,$AQ202)&lt;&gt;"",IF(INDEX(C_Pavement!$H$5:$H$204,$AQ202)="-","",INDEX(C_Pavement!$H$5:$H$204,$AQ202)),IF($AS202="","",INDEX(E_Rules!$G$5:$G$9,$AS202))))</f>
        <v/>
      </c>
      <c r="AY202" t="str">
        <f>IF($AQ202="","",IF(INDEX(C_Pavement!$I$5:$I$204,$AQ202)&lt;&gt;"",IF(INDEX(C_Pavement!$I$5:$I$204,$AQ202)="-","",INDEX(C_Pavement!$I$5:$I$204,$AQ202)),IF($AS202="","",INDEX(E_Rules!$H$5:$H$9,$AS202))))</f>
        <v/>
      </c>
    </row>
    <row r="203" spans="1:51" ht="15.75" customHeight="1" x14ac:dyDescent="0.3">
      <c r="A203" s="189">
        <v>198</v>
      </c>
      <c r="B203" s="180">
        <v>9850</v>
      </c>
      <c r="C203" s="180" t="s">
        <v>509</v>
      </c>
      <c r="D203" s="181" t="str">
        <f>IFERROR(LOOKUP(2,1/((A_Corridor!$A$5:$A$204&lt;&gt;"")*(A_Corridor!$A$5:$A$204&lt;=$B203)*(A_Corridor!$B$5:$B$204&gt;$B203)*(A_Corridor!$C$5:$C$204&lt;&gt;"")),IF(UPPER(A_Corridor!$C$5:$C$204)="Y",1,"")),"")</f>
        <v/>
      </c>
      <c r="E203" s="181" t="str">
        <f>IFERROR(LOOKUP(2,1/((A_Corridor!$A$5:$A$204&lt;&gt;"")*(A_Corridor!$A$5:$A$204&lt;=$B203)*(A_Corridor!$B$5:$B$204&gt;$B203)*(A_Corridor!$D$5:$D$204&lt;&gt;"")),IF(A_Corridor!$D$5:$D$204="-","",UPPER(A_Corridor!$D$5:$D$204))),"")</f>
        <v/>
      </c>
      <c r="F203" s="181" t="str">
        <f>IFERROR(LOOKUP(2,1/((A_Corridor!$A$5:$A$204&lt;&gt;"")*(A_Corridor!$A$5:$A$204&lt;=$B203)*(A_Corridor!$B$5:$B$204&gt;$B203)*(A_Corridor!$E$5:$E$204&lt;&gt;"")),IF(A_Corridor!$E$5:$E$204="-","",1)),"")</f>
        <v/>
      </c>
      <c r="G203" s="182" t="str">
        <f>IFERROR(LOOKUP(2,1/((A_Corridor!$A$5:$A$204&lt;&gt;"")*(A_Corridor!$A$5:$A$204&lt;=$B203)*(A_Corridor!$B$5:$B$204&gt;$B203)*(A_Corridor!$E$5:$E$204&lt;&gt;"")),IF(A_Corridor!$E$5:$E$204="-","",A_Corridor!$E$5:$E$204)),"")</f>
        <v/>
      </c>
      <c r="H203" s="182" t="str">
        <f>IFERROR(LOOKUP(2,1/((D_Points!$A$5:$A$204&lt;&gt;"")*(D_Points!$A$5:$A$204&gt;=$B203)*(D_Points!$A$5:$A$204&lt;$B203+P_Interval)*(UPPER(TRIM(D_Points!$B$5:$B$204))="GULLY")*(D_Points!$H$5:$H$204&lt;&gt;"")),D_Points!$H$5:$H$204),"")</f>
        <v/>
      </c>
      <c r="I203" s="181" t="str">
        <f>IFERROR(LOOKUP(2,1/((A_Corridor!$A$5:$A$204&lt;&gt;"")*(A_Corridor!$A$5:$A$204&lt;=$B203)*(A_Corridor!$B$5:$B$204&gt;$B203)*(A_Corridor!$F$5:$F$204&lt;&gt;"")),IF(A_Corridor!$F$5:$F$204="-","",1)),"")</f>
        <v/>
      </c>
      <c r="J203" s="182" t="str">
        <f>IFERROR(LOOKUP(2,1/((A_Corridor!$A$5:$A$204&lt;&gt;"")*(A_Corridor!$A$5:$A$204&lt;=$B203)*(A_Corridor!$B$5:$B$204&gt;$B203)*(A_Corridor!$F$5:$F$204&lt;&gt;"")),IF(A_Corridor!$F$5:$F$204="-","",A_Corridor!$F$5:$F$204)),"")</f>
        <v/>
      </c>
      <c r="K203" s="182" t="str">
        <f>IFERROR(LOOKUP(2,1/((A_Corridor!$A$5:$A$204&lt;&gt;"")*(A_Corridor!$A$5:$A$204&lt;=$B203)*(A_Corridor!$B$5:$B$204&gt;$B203)*(A_Corridor!$G$5:$G$204&lt;&gt;"")),IF(A_Corridor!$G$5:$G$204="-","",A_Corridor!$G$5:$G$204)),"")</f>
        <v/>
      </c>
      <c r="L203" s="181" t="str">
        <f>IFERROR(LOOKUP(2,1/((A_Corridor!$A$5:$A$204&lt;&gt;"")*(A_Corridor!$A$5:$A$204&lt;=$B203)*(A_Corridor!$B$5:$B$204&gt;$B203)*(A_Corridor!$H$5:$H$204&lt;&gt;"")),IF(A_Corridor!$H$5:$H$204="-","",1)),"")</f>
        <v/>
      </c>
      <c r="M203" s="182" t="str">
        <f>IFERROR(LOOKUP(2,1/((A_Corridor!$A$5:$A$204&lt;&gt;"")*(A_Corridor!$A$5:$A$204&lt;=$B203)*(A_Corridor!$B$5:$B$204&gt;$B203)*(A_Corridor!$H$5:$H$204&lt;&gt;"")),IF(A_Corridor!$H$5:$H$204="-","",A_Corridor!$H$5:$H$204)),"")</f>
        <v/>
      </c>
      <c r="N203" s="182" t="str">
        <f>IFERROR(LOOKUP(2,1/((A_Corridor!$A$5:$A$204&lt;&gt;"")*(A_Corridor!$A$5:$A$204&lt;=$B203)*(A_Corridor!$B$5:$B$204&gt;$B203)*(A_Corridor!$I$5:$I$204&lt;&gt;"")),IF(A_Corridor!$I$5:$I$204="-","",A_Corridor!$I$5:$I$204)),"")</f>
        <v/>
      </c>
      <c r="O203" s="182" t="str">
        <f>IFERROR(LOOKUP(2,1/((D_Points!$A$5:$A$204&lt;&gt;"")*(D_Points!$A$5:$A$204&gt;=$B203)*(D_Points!$A$5:$A$204&lt;$B203+P_Interval)*(UPPER(TRIM(D_Points!$B$5:$B$204))="PITCHING")*(D_Points!$H$5:$H$204&lt;&gt;"")),D_Points!$H$5:$H$204),"")</f>
        <v/>
      </c>
      <c r="P203" s="181" t="str">
        <f>IFERROR(LOOKUP(2,1/((B_Drainage!$A$5:$A$204&lt;&gt;"")*(B_Drainage!$A$5:$A$204&lt;=$B203)*(B_Drainage!$B$5:$B$204&gt;$B203)*(B_Drainage!$C$5:$C$204&lt;&gt;"")),IF(B_Drainage!$C$5:$C$204="-","",UPPER(B_Drainage!$C$5:$C$204))),"")</f>
        <v/>
      </c>
      <c r="Q203" s="181" t="str">
        <f>IFERROR(LOOKUP(2,1/((B_Drainage!$A$5:$A$204&lt;&gt;"")*(B_Drainage!$A$5:$A$204&lt;=$B203)*(B_Drainage!$B$5:$B$204&gt;$B203)*(B_Drainage!$D$5:$D$204&lt;&gt;"")),IF(B_Drainage!$D$5:$D$204="-","",UPPER(B_Drainage!$D$5:$D$204))),"")</f>
        <v/>
      </c>
      <c r="R203" s="182" t="str">
        <f>IFERROR(LOOKUP(2,1/((D_Points!$A$5:$A$204&lt;&gt;"")*(D_Points!$A$5:$A$204&gt;=$B203)*(D_Points!$A$5:$A$204&lt;$B203+P_Interval)*(RIGHT(UPPER(TRIM(D_Points!$B$5:$B$204)),8)="_CULVERT")),IF(LEFT(UPPER(TRIM(D_Points!$B$5:$B$204)),2)="EX",1,IF(LEFT(UPPER(TRIM(D_Points!$B$5:$B$204)),2)="PR",2,3))),"")</f>
        <v/>
      </c>
      <c r="S203" s="182" t="str">
        <f>IFERROR(LOOKUP(2,1/((D_Points!$A$5:$A$204&lt;&gt;"")*(D_Points!$A$5:$A$204&gt;=$B203)*(D_Points!$A$5:$A$204&lt;$B203+P_Interval)*(RIGHT(UPPER(TRIM(D_Points!$B$5:$B$204)),7)="_BRIDGE")),IF(LEFT(UPPER(TRIM(D_Points!$B$5:$B$204)),2)="EX",1,IF(LEFT(UPPER(TRIM(D_Points!$B$5:$B$204)),2)="PR",2,2))),"")</f>
        <v/>
      </c>
      <c r="T203" s="181" t="str">
        <f>IFERROR(LOOKUP(2,1/((B_Drainage!$A$5:$A$204&lt;&gt;"")*(B_Drainage!$A$5:$A$204&lt;=$B203)*(B_Drainage!$B$5:$B$204&gt;$B203)*(B_Drainage!$E$5:$E$204&lt;&gt;"")),IF(B_Drainage!$E$5:$E$204="-","",1)),"")</f>
        <v/>
      </c>
      <c r="U203" s="181" t="str">
        <f>IFERROR(LOOKUP(2,1/((B_Drainage!$A$5:$A$204&lt;&gt;"")*(B_Drainage!$A$5:$A$204&lt;=$B203)*(B_Drainage!$B$5:$B$204&gt;$B203)*(B_Drainage!$E$5:$E$204&lt;&gt;"")),IF(B_Drainage!$E$5:$E$204="-","",B_Drainage!$E$5:$E$204)),"")</f>
        <v/>
      </c>
      <c r="V203" s="181" t="str">
        <f>IFERROR(LOOKUP(2,1/((B_Drainage!$A$5:$A$204&lt;&gt;"")*(B_Drainage!$A$5:$A$204&lt;=$B203)*(B_Drainage!$B$5:$B$204&gt;$B203)*(B_Drainage!$F$5:$F$204&lt;&gt;"")),IF(B_Drainage!$F$5:$F$204="-","",1)),"")</f>
        <v/>
      </c>
      <c r="W203" s="181" t="str">
        <f>IFERROR(LOOKUP(2,1/((B_Drainage!$A$5:$A$204&lt;&gt;"")*(B_Drainage!$A$5:$A$204&lt;=$B203)*(B_Drainage!$B$5:$B$204&gt;$B203)*(B_Drainage!$F$5:$F$204&lt;&gt;"")),IF(B_Drainage!$F$5:$F$204="-","",B_Drainage!$F$5:$F$204)),"")</f>
        <v/>
      </c>
      <c r="X203" s="181" t="str">
        <f>IFERROR(LOOKUP(2,1/((B_Drainage!$A$5:$A$204&lt;&gt;"")*(B_Drainage!$A$5:$A$204&lt;=$B203)*(B_Drainage!$B$5:$B$204&gt;$B203)*(B_Drainage!$G$5:$G$204&lt;&gt;"")),IF(UPPER(B_Drainage!$G$5:$G$204)="Y",1,"")),"")</f>
        <v/>
      </c>
      <c r="Y203" s="181" t="str">
        <f>IFERROR(LOOKUP(2,1/((B_Drainage!$A$5:$A$204&lt;&gt;"")*(B_Drainage!$A$5:$A$204&lt;=$B203)*(B_Drainage!$B$5:$B$204&gt;$B203)*(B_Drainage!$H$5:$H$204&lt;&gt;"")),IF(UPPER(B_Drainage!$H$5:$H$204)="Y",1,"")),"")</f>
        <v/>
      </c>
      <c r="Z203" s="181" t="str">
        <f>IFERROR(LOOKUP(2,1/((B_Drainage!$A$5:$A$204&lt;&gt;"")*(B_Drainage!$A$5:$A$204&lt;=$B203)*(B_Drainage!$B$5:$B$204&gt;$B203)*(B_Drainage!$I$5:$I$204&lt;&gt;"")),IF(UPPER(B_Drainage!$I$5:$I$204)="Y",1,"")),"")</f>
        <v/>
      </c>
      <c r="AA203" s="181" t="str">
        <f>IFERROR(LOOKUP(2,1/((B_Drainage!$A$5:$A$204&lt;&gt;"")*(B_Drainage!$A$5:$A$204&lt;=$B203)*(B_Drainage!$B$5:$B$204&gt;$B203)*(B_Drainage!$J$5:$J$204&lt;&gt;"")),IF(UPPER(B_Drainage!$J$5:$J$204)="Y",1,"")),"")</f>
        <v/>
      </c>
      <c r="AB203" s="182" t="str">
        <f>IFERROR(LOOKUP(2,1/((B_Drainage!$A$5:$A$204&lt;&gt;"")*(B_Drainage!$A$5:$A$204&lt;=$B203)*(B_Drainage!$B$5:$B$204&gt;$B203)*(B_Drainage!$K$5:$K$204&lt;&gt;"")),IF(B_Drainage!$K$5:$K$204="-","",B_Drainage!$K$5:$K$204)),"")</f>
        <v/>
      </c>
      <c r="AC203" s="182" t="str">
        <f>IFERROR(LOOKUP(2,1/((B_Drainage!$A$5:$A$204&lt;&gt;"")*(B_Drainage!$A$5:$A$204&lt;=$B203)*(B_Drainage!$B$5:$B$204&gt;$B203)*(B_Drainage!$L$5:$L$204&lt;&gt;"")),IF(B_Drainage!$L$5:$L$204="-","",B_Drainage!$L$5:$L$204)),"")</f>
        <v/>
      </c>
      <c r="AD203" s="182" t="str">
        <f>IFERROR(LOOKUP(2,1/((D_Points!$A$5:$A$204&lt;&gt;"")*(D_Points!$A$5:$A$204&gt;=$B203)*(D_Points!$A$5:$A$204&lt;$B203+P_Interval)*(UPPER(TRIM(D_Points!$B$5:$B$204))="TURNOUT_L")*(D_Points!$H$5:$H$204&lt;&gt;"")),D_Points!$H$5:$H$204),"")</f>
        <v/>
      </c>
      <c r="AE203" s="182" t="str">
        <f>IFERROR(LOOKUP(2,1/((D_Points!$A$5:$A$204&lt;&gt;"")*(D_Points!$A$5:$A$204&gt;=$B203)*(D_Points!$A$5:$A$204&lt;$B203+P_Interval)*(UPPER(TRIM(D_Points!$B$5:$B$204))="TURNOUT_R")*(D_Points!$H$5:$H$204&lt;&gt;"")),D_Points!$H$5:$H$204),"")</f>
        <v/>
      </c>
      <c r="AF203" s="181" t="str">
        <f>IFERROR(LOOKUP(2,1/((B_Drainage!$A$5:$A$204&lt;&gt;"")*(B_Drainage!$A$5:$A$204&lt;=$B203)*(B_Drainage!$B$5:$B$204&gt;$B203)*(B_Drainage!$M$5:$M$204&lt;&gt;"")),IF(UPPER(B_Drainage!$M$5:$M$204)="Y",1,"")),"")</f>
        <v/>
      </c>
      <c r="AG203" s="181" t="str">
        <f>IFERROR(LOOKUP(2,1/((B_Drainage!$A$5:$A$204&lt;&gt;"")*(B_Drainage!$A$5:$A$204&lt;=$B203)*(B_Drainage!$B$5:$B$204&gt;$B203)*(B_Drainage!$N$5:$N$204&lt;&gt;"")),IF(UPPER(B_Drainage!$N$5:$N$204)="Y",1,"")),"")</f>
        <v/>
      </c>
      <c r="AH203" s="181" t="str">
        <f t="shared" si="24"/>
        <v/>
      </c>
      <c r="AI203" s="181" t="str">
        <f t="shared" si="25"/>
        <v/>
      </c>
      <c r="AJ203" s="181" t="str">
        <f t="shared" si="26"/>
        <v/>
      </c>
      <c r="AK203" s="181" t="str">
        <f t="shared" si="27"/>
        <v/>
      </c>
      <c r="AL203" s="181" t="str">
        <f t="shared" si="28"/>
        <v/>
      </c>
      <c r="AM203" s="181" t="str">
        <f t="shared" si="29"/>
        <v/>
      </c>
      <c r="AN203" s="181" t="str">
        <f t="shared" si="30"/>
        <v/>
      </c>
      <c r="AO203" s="192" t="str">
        <f t="shared" si="31"/>
        <v/>
      </c>
      <c r="AQ203" t="str">
        <f>IFERROR(LOOKUP(2,1/((C_Pavement!$A$5:$A$204&lt;&gt;"")*(C_Pavement!$A$5:$A$204&lt;=$B203)*(C_Pavement!$B$5:$B$204&gt;$B203)*(C_Pavement!$C$5:$C$204&lt;&gt;"")),ROW(C_Pavement!$C$5:$C$204)-4),"")</f>
        <v/>
      </c>
      <c r="AR203" t="str">
        <f>IF($AQ203="","",UPPER(TRIM(INDEX(C_Pavement!$C$5:$C$204,$AQ203))))</f>
        <v/>
      </c>
      <c r="AS203" t="str">
        <f>IF($AR203="","",IFERROR(MATCH($AR203,E_Rules!$A$5:$A$9,0),""))</f>
        <v/>
      </c>
      <c r="AT203" t="str">
        <f>IF($AQ203="","",IF(INDEX(C_Pavement!$D$5:$D$204,$AQ203)&lt;&gt;"",UPPER(TRIM(INDEX(C_Pavement!$D$5:$D$204,$AQ203))),IF($AS203="","",INDEX(E_Rules!$C$5:$C$9,$AS203))))</f>
        <v/>
      </c>
      <c r="AU203" t="str">
        <f>IF($AQ203="","",IF(INDEX(C_Pavement!$E$5:$E$204,$AQ203)&lt;&gt;"",IF(INDEX(C_Pavement!$E$5:$E$204,$AQ203)="-","",INDEX(C_Pavement!$E$5:$E$204,$AQ203)),IF($AS203="","",INDEX(E_Rules!$D$5:$D$9,$AS203))))</f>
        <v/>
      </c>
      <c r="AV203" t="str">
        <f>IF($AQ203="","",IF(INDEX(C_Pavement!$F$5:$F$204,$AQ203)&lt;&gt;"",IF(INDEX(C_Pavement!$F$5:$F$204,$AQ203)="-","",INDEX(C_Pavement!$F$5:$F$204,$AQ203)),IF($AS203="","",INDEX(E_Rules!$E$5:$E$9,$AS203))))</f>
        <v/>
      </c>
      <c r="AW203" t="str">
        <f>IF($AQ203="","",IF(INDEX(C_Pavement!$G$5:$G$204,$AQ203)&lt;&gt;"",IF(INDEX(C_Pavement!$G$5:$G$204,$AQ203)="-","",INDEX(C_Pavement!$G$5:$G$204,$AQ203)),IF($AS203="","",INDEX(E_Rules!$F$5:$F$9,$AS203))))</f>
        <v/>
      </c>
      <c r="AX203" t="str">
        <f>IF($AQ203="","",IF(INDEX(C_Pavement!$H$5:$H$204,$AQ203)&lt;&gt;"",IF(INDEX(C_Pavement!$H$5:$H$204,$AQ203)="-","",INDEX(C_Pavement!$H$5:$H$204,$AQ203)),IF($AS203="","",INDEX(E_Rules!$G$5:$G$9,$AS203))))</f>
        <v/>
      </c>
      <c r="AY203" t="str">
        <f>IF($AQ203="","",IF(INDEX(C_Pavement!$I$5:$I$204,$AQ203)&lt;&gt;"",IF(INDEX(C_Pavement!$I$5:$I$204,$AQ203)="-","",INDEX(C_Pavement!$I$5:$I$204,$AQ203)),IF($AS203="","",INDEX(E_Rules!$H$5:$H$9,$AS203))))</f>
        <v/>
      </c>
    </row>
    <row r="204" spans="1:51" ht="15.75" customHeight="1" x14ac:dyDescent="0.3">
      <c r="A204" s="189">
        <v>199</v>
      </c>
      <c r="B204" s="180">
        <v>9900</v>
      </c>
      <c r="C204" s="180" t="s">
        <v>510</v>
      </c>
      <c r="D204" s="181" t="str">
        <f>IFERROR(LOOKUP(2,1/((A_Corridor!$A$5:$A$204&lt;&gt;"")*(A_Corridor!$A$5:$A$204&lt;=$B204)*(A_Corridor!$B$5:$B$204&gt;$B204)*(A_Corridor!$C$5:$C$204&lt;&gt;"")),IF(UPPER(A_Corridor!$C$5:$C$204)="Y",1,"")),"")</f>
        <v/>
      </c>
      <c r="E204" s="181" t="str">
        <f>IFERROR(LOOKUP(2,1/((A_Corridor!$A$5:$A$204&lt;&gt;"")*(A_Corridor!$A$5:$A$204&lt;=$B204)*(A_Corridor!$B$5:$B$204&gt;$B204)*(A_Corridor!$D$5:$D$204&lt;&gt;"")),IF(A_Corridor!$D$5:$D$204="-","",UPPER(A_Corridor!$D$5:$D$204))),"")</f>
        <v/>
      </c>
      <c r="F204" s="181" t="str">
        <f>IFERROR(LOOKUP(2,1/((A_Corridor!$A$5:$A$204&lt;&gt;"")*(A_Corridor!$A$5:$A$204&lt;=$B204)*(A_Corridor!$B$5:$B$204&gt;$B204)*(A_Corridor!$E$5:$E$204&lt;&gt;"")),IF(A_Corridor!$E$5:$E$204="-","",1)),"")</f>
        <v/>
      </c>
      <c r="G204" s="182" t="str">
        <f>IFERROR(LOOKUP(2,1/((A_Corridor!$A$5:$A$204&lt;&gt;"")*(A_Corridor!$A$5:$A$204&lt;=$B204)*(A_Corridor!$B$5:$B$204&gt;$B204)*(A_Corridor!$E$5:$E$204&lt;&gt;"")),IF(A_Corridor!$E$5:$E$204="-","",A_Corridor!$E$5:$E$204)),"")</f>
        <v/>
      </c>
      <c r="H204" s="182" t="str">
        <f>IFERROR(LOOKUP(2,1/((D_Points!$A$5:$A$204&lt;&gt;"")*(D_Points!$A$5:$A$204&gt;=$B204)*(D_Points!$A$5:$A$204&lt;$B204+P_Interval)*(UPPER(TRIM(D_Points!$B$5:$B$204))="GULLY")*(D_Points!$H$5:$H$204&lt;&gt;"")),D_Points!$H$5:$H$204),"")</f>
        <v/>
      </c>
      <c r="I204" s="181" t="str">
        <f>IFERROR(LOOKUP(2,1/((A_Corridor!$A$5:$A$204&lt;&gt;"")*(A_Corridor!$A$5:$A$204&lt;=$B204)*(A_Corridor!$B$5:$B$204&gt;$B204)*(A_Corridor!$F$5:$F$204&lt;&gt;"")),IF(A_Corridor!$F$5:$F$204="-","",1)),"")</f>
        <v/>
      </c>
      <c r="J204" s="182" t="str">
        <f>IFERROR(LOOKUP(2,1/((A_Corridor!$A$5:$A$204&lt;&gt;"")*(A_Corridor!$A$5:$A$204&lt;=$B204)*(A_Corridor!$B$5:$B$204&gt;$B204)*(A_Corridor!$F$5:$F$204&lt;&gt;"")),IF(A_Corridor!$F$5:$F$204="-","",A_Corridor!$F$5:$F$204)),"")</f>
        <v/>
      </c>
      <c r="K204" s="182" t="str">
        <f>IFERROR(LOOKUP(2,1/((A_Corridor!$A$5:$A$204&lt;&gt;"")*(A_Corridor!$A$5:$A$204&lt;=$B204)*(A_Corridor!$B$5:$B$204&gt;$B204)*(A_Corridor!$G$5:$G$204&lt;&gt;"")),IF(A_Corridor!$G$5:$G$204="-","",A_Corridor!$G$5:$G$204)),"")</f>
        <v/>
      </c>
      <c r="L204" s="181" t="str">
        <f>IFERROR(LOOKUP(2,1/((A_Corridor!$A$5:$A$204&lt;&gt;"")*(A_Corridor!$A$5:$A$204&lt;=$B204)*(A_Corridor!$B$5:$B$204&gt;$B204)*(A_Corridor!$H$5:$H$204&lt;&gt;"")),IF(A_Corridor!$H$5:$H$204="-","",1)),"")</f>
        <v/>
      </c>
      <c r="M204" s="182" t="str">
        <f>IFERROR(LOOKUP(2,1/((A_Corridor!$A$5:$A$204&lt;&gt;"")*(A_Corridor!$A$5:$A$204&lt;=$B204)*(A_Corridor!$B$5:$B$204&gt;$B204)*(A_Corridor!$H$5:$H$204&lt;&gt;"")),IF(A_Corridor!$H$5:$H$204="-","",A_Corridor!$H$5:$H$204)),"")</f>
        <v/>
      </c>
      <c r="N204" s="182" t="str">
        <f>IFERROR(LOOKUP(2,1/((A_Corridor!$A$5:$A$204&lt;&gt;"")*(A_Corridor!$A$5:$A$204&lt;=$B204)*(A_Corridor!$B$5:$B$204&gt;$B204)*(A_Corridor!$I$5:$I$204&lt;&gt;"")),IF(A_Corridor!$I$5:$I$204="-","",A_Corridor!$I$5:$I$204)),"")</f>
        <v/>
      </c>
      <c r="O204" s="182" t="str">
        <f>IFERROR(LOOKUP(2,1/((D_Points!$A$5:$A$204&lt;&gt;"")*(D_Points!$A$5:$A$204&gt;=$B204)*(D_Points!$A$5:$A$204&lt;$B204+P_Interval)*(UPPER(TRIM(D_Points!$B$5:$B$204))="PITCHING")*(D_Points!$H$5:$H$204&lt;&gt;"")),D_Points!$H$5:$H$204),"")</f>
        <v/>
      </c>
      <c r="P204" s="181" t="str">
        <f>IFERROR(LOOKUP(2,1/((B_Drainage!$A$5:$A$204&lt;&gt;"")*(B_Drainage!$A$5:$A$204&lt;=$B204)*(B_Drainage!$B$5:$B$204&gt;$B204)*(B_Drainage!$C$5:$C$204&lt;&gt;"")),IF(B_Drainage!$C$5:$C$204="-","",UPPER(B_Drainage!$C$5:$C$204))),"")</f>
        <v/>
      </c>
      <c r="Q204" s="181" t="str">
        <f>IFERROR(LOOKUP(2,1/((B_Drainage!$A$5:$A$204&lt;&gt;"")*(B_Drainage!$A$5:$A$204&lt;=$B204)*(B_Drainage!$B$5:$B$204&gt;$B204)*(B_Drainage!$D$5:$D$204&lt;&gt;"")),IF(B_Drainage!$D$5:$D$204="-","",UPPER(B_Drainage!$D$5:$D$204))),"")</f>
        <v/>
      </c>
      <c r="R204" s="182" t="str">
        <f>IFERROR(LOOKUP(2,1/((D_Points!$A$5:$A$204&lt;&gt;"")*(D_Points!$A$5:$A$204&gt;=$B204)*(D_Points!$A$5:$A$204&lt;$B204+P_Interval)*(RIGHT(UPPER(TRIM(D_Points!$B$5:$B$204)),8)="_CULVERT")),IF(LEFT(UPPER(TRIM(D_Points!$B$5:$B$204)),2)="EX",1,IF(LEFT(UPPER(TRIM(D_Points!$B$5:$B$204)),2)="PR",2,3))),"")</f>
        <v/>
      </c>
      <c r="S204" s="182" t="str">
        <f>IFERROR(LOOKUP(2,1/((D_Points!$A$5:$A$204&lt;&gt;"")*(D_Points!$A$5:$A$204&gt;=$B204)*(D_Points!$A$5:$A$204&lt;$B204+P_Interval)*(RIGHT(UPPER(TRIM(D_Points!$B$5:$B$204)),7)="_BRIDGE")),IF(LEFT(UPPER(TRIM(D_Points!$B$5:$B$204)),2)="EX",1,IF(LEFT(UPPER(TRIM(D_Points!$B$5:$B$204)),2)="PR",2,2))),"")</f>
        <v/>
      </c>
      <c r="T204" s="181" t="str">
        <f>IFERROR(LOOKUP(2,1/((B_Drainage!$A$5:$A$204&lt;&gt;"")*(B_Drainage!$A$5:$A$204&lt;=$B204)*(B_Drainage!$B$5:$B$204&gt;$B204)*(B_Drainage!$E$5:$E$204&lt;&gt;"")),IF(B_Drainage!$E$5:$E$204="-","",1)),"")</f>
        <v/>
      </c>
      <c r="U204" s="181" t="str">
        <f>IFERROR(LOOKUP(2,1/((B_Drainage!$A$5:$A$204&lt;&gt;"")*(B_Drainage!$A$5:$A$204&lt;=$B204)*(B_Drainage!$B$5:$B$204&gt;$B204)*(B_Drainage!$E$5:$E$204&lt;&gt;"")),IF(B_Drainage!$E$5:$E$204="-","",B_Drainage!$E$5:$E$204)),"")</f>
        <v/>
      </c>
      <c r="V204" s="181" t="str">
        <f>IFERROR(LOOKUP(2,1/((B_Drainage!$A$5:$A$204&lt;&gt;"")*(B_Drainage!$A$5:$A$204&lt;=$B204)*(B_Drainage!$B$5:$B$204&gt;$B204)*(B_Drainage!$F$5:$F$204&lt;&gt;"")),IF(B_Drainage!$F$5:$F$204="-","",1)),"")</f>
        <v/>
      </c>
      <c r="W204" s="181" t="str">
        <f>IFERROR(LOOKUP(2,1/((B_Drainage!$A$5:$A$204&lt;&gt;"")*(B_Drainage!$A$5:$A$204&lt;=$B204)*(B_Drainage!$B$5:$B$204&gt;$B204)*(B_Drainage!$F$5:$F$204&lt;&gt;"")),IF(B_Drainage!$F$5:$F$204="-","",B_Drainage!$F$5:$F$204)),"")</f>
        <v/>
      </c>
      <c r="X204" s="181" t="str">
        <f>IFERROR(LOOKUP(2,1/((B_Drainage!$A$5:$A$204&lt;&gt;"")*(B_Drainage!$A$5:$A$204&lt;=$B204)*(B_Drainage!$B$5:$B$204&gt;$B204)*(B_Drainage!$G$5:$G$204&lt;&gt;"")),IF(UPPER(B_Drainage!$G$5:$G$204)="Y",1,"")),"")</f>
        <v/>
      </c>
      <c r="Y204" s="181" t="str">
        <f>IFERROR(LOOKUP(2,1/((B_Drainage!$A$5:$A$204&lt;&gt;"")*(B_Drainage!$A$5:$A$204&lt;=$B204)*(B_Drainage!$B$5:$B$204&gt;$B204)*(B_Drainage!$H$5:$H$204&lt;&gt;"")),IF(UPPER(B_Drainage!$H$5:$H$204)="Y",1,"")),"")</f>
        <v/>
      </c>
      <c r="Z204" s="181" t="str">
        <f>IFERROR(LOOKUP(2,1/((B_Drainage!$A$5:$A$204&lt;&gt;"")*(B_Drainage!$A$5:$A$204&lt;=$B204)*(B_Drainage!$B$5:$B$204&gt;$B204)*(B_Drainage!$I$5:$I$204&lt;&gt;"")),IF(UPPER(B_Drainage!$I$5:$I$204)="Y",1,"")),"")</f>
        <v/>
      </c>
      <c r="AA204" s="181" t="str">
        <f>IFERROR(LOOKUP(2,1/((B_Drainage!$A$5:$A$204&lt;&gt;"")*(B_Drainage!$A$5:$A$204&lt;=$B204)*(B_Drainage!$B$5:$B$204&gt;$B204)*(B_Drainage!$J$5:$J$204&lt;&gt;"")),IF(UPPER(B_Drainage!$J$5:$J$204)="Y",1,"")),"")</f>
        <v/>
      </c>
      <c r="AB204" s="182" t="str">
        <f>IFERROR(LOOKUP(2,1/((B_Drainage!$A$5:$A$204&lt;&gt;"")*(B_Drainage!$A$5:$A$204&lt;=$B204)*(B_Drainage!$B$5:$B$204&gt;$B204)*(B_Drainage!$K$5:$K$204&lt;&gt;"")),IF(B_Drainage!$K$5:$K$204="-","",B_Drainage!$K$5:$K$204)),"")</f>
        <v/>
      </c>
      <c r="AC204" s="182" t="str">
        <f>IFERROR(LOOKUP(2,1/((B_Drainage!$A$5:$A$204&lt;&gt;"")*(B_Drainage!$A$5:$A$204&lt;=$B204)*(B_Drainage!$B$5:$B$204&gt;$B204)*(B_Drainage!$L$5:$L$204&lt;&gt;"")),IF(B_Drainage!$L$5:$L$204="-","",B_Drainage!$L$5:$L$204)),"")</f>
        <v/>
      </c>
      <c r="AD204" s="182" t="str">
        <f>IFERROR(LOOKUP(2,1/((D_Points!$A$5:$A$204&lt;&gt;"")*(D_Points!$A$5:$A$204&gt;=$B204)*(D_Points!$A$5:$A$204&lt;$B204+P_Interval)*(UPPER(TRIM(D_Points!$B$5:$B$204))="TURNOUT_L")*(D_Points!$H$5:$H$204&lt;&gt;"")),D_Points!$H$5:$H$204),"")</f>
        <v/>
      </c>
      <c r="AE204" s="182" t="str">
        <f>IFERROR(LOOKUP(2,1/((D_Points!$A$5:$A$204&lt;&gt;"")*(D_Points!$A$5:$A$204&gt;=$B204)*(D_Points!$A$5:$A$204&lt;$B204+P_Interval)*(UPPER(TRIM(D_Points!$B$5:$B$204))="TURNOUT_R")*(D_Points!$H$5:$H$204&lt;&gt;"")),D_Points!$H$5:$H$204),"")</f>
        <v/>
      </c>
      <c r="AF204" s="181" t="str">
        <f>IFERROR(LOOKUP(2,1/((B_Drainage!$A$5:$A$204&lt;&gt;"")*(B_Drainage!$A$5:$A$204&lt;=$B204)*(B_Drainage!$B$5:$B$204&gt;$B204)*(B_Drainage!$M$5:$M$204&lt;&gt;"")),IF(UPPER(B_Drainage!$M$5:$M$204)="Y",1,"")),"")</f>
        <v/>
      </c>
      <c r="AG204" s="181" t="str">
        <f>IFERROR(LOOKUP(2,1/((B_Drainage!$A$5:$A$204&lt;&gt;"")*(B_Drainage!$A$5:$A$204&lt;=$B204)*(B_Drainage!$B$5:$B$204&gt;$B204)*(B_Drainage!$N$5:$N$204&lt;&gt;"")),IF(UPPER(B_Drainage!$N$5:$N$204)="Y",1,"")),"")</f>
        <v/>
      </c>
      <c r="AH204" s="181" t="str">
        <f t="shared" si="24"/>
        <v/>
      </c>
      <c r="AI204" s="181" t="str">
        <f t="shared" si="25"/>
        <v/>
      </c>
      <c r="AJ204" s="181" t="str">
        <f t="shared" si="26"/>
        <v/>
      </c>
      <c r="AK204" s="181" t="str">
        <f t="shared" si="27"/>
        <v/>
      </c>
      <c r="AL204" s="181" t="str">
        <f t="shared" si="28"/>
        <v/>
      </c>
      <c r="AM204" s="181" t="str">
        <f t="shared" si="29"/>
        <v/>
      </c>
      <c r="AN204" s="181" t="str">
        <f t="shared" si="30"/>
        <v/>
      </c>
      <c r="AO204" s="192" t="str">
        <f t="shared" si="31"/>
        <v/>
      </c>
      <c r="AQ204" t="str">
        <f>IFERROR(LOOKUP(2,1/((C_Pavement!$A$5:$A$204&lt;&gt;"")*(C_Pavement!$A$5:$A$204&lt;=$B204)*(C_Pavement!$B$5:$B$204&gt;$B204)*(C_Pavement!$C$5:$C$204&lt;&gt;"")),ROW(C_Pavement!$C$5:$C$204)-4),"")</f>
        <v/>
      </c>
      <c r="AR204" t="str">
        <f>IF($AQ204="","",UPPER(TRIM(INDEX(C_Pavement!$C$5:$C$204,$AQ204))))</f>
        <v/>
      </c>
      <c r="AS204" t="str">
        <f>IF($AR204="","",IFERROR(MATCH($AR204,E_Rules!$A$5:$A$9,0),""))</f>
        <v/>
      </c>
      <c r="AT204" t="str">
        <f>IF($AQ204="","",IF(INDEX(C_Pavement!$D$5:$D$204,$AQ204)&lt;&gt;"",UPPER(TRIM(INDEX(C_Pavement!$D$5:$D$204,$AQ204))),IF($AS204="","",INDEX(E_Rules!$C$5:$C$9,$AS204))))</f>
        <v/>
      </c>
      <c r="AU204" t="str">
        <f>IF($AQ204="","",IF(INDEX(C_Pavement!$E$5:$E$204,$AQ204)&lt;&gt;"",IF(INDEX(C_Pavement!$E$5:$E$204,$AQ204)="-","",INDEX(C_Pavement!$E$5:$E$204,$AQ204)),IF($AS204="","",INDEX(E_Rules!$D$5:$D$9,$AS204))))</f>
        <v/>
      </c>
      <c r="AV204" t="str">
        <f>IF($AQ204="","",IF(INDEX(C_Pavement!$F$5:$F$204,$AQ204)&lt;&gt;"",IF(INDEX(C_Pavement!$F$5:$F$204,$AQ204)="-","",INDEX(C_Pavement!$F$5:$F$204,$AQ204)),IF($AS204="","",INDEX(E_Rules!$E$5:$E$9,$AS204))))</f>
        <v/>
      </c>
      <c r="AW204" t="str">
        <f>IF($AQ204="","",IF(INDEX(C_Pavement!$G$5:$G$204,$AQ204)&lt;&gt;"",IF(INDEX(C_Pavement!$G$5:$G$204,$AQ204)="-","",INDEX(C_Pavement!$G$5:$G$204,$AQ204)),IF($AS204="","",INDEX(E_Rules!$F$5:$F$9,$AS204))))</f>
        <v/>
      </c>
      <c r="AX204" t="str">
        <f>IF($AQ204="","",IF(INDEX(C_Pavement!$H$5:$H$204,$AQ204)&lt;&gt;"",IF(INDEX(C_Pavement!$H$5:$H$204,$AQ204)="-","",INDEX(C_Pavement!$H$5:$H$204,$AQ204)),IF($AS204="","",INDEX(E_Rules!$G$5:$G$9,$AS204))))</f>
        <v/>
      </c>
      <c r="AY204" t="str">
        <f>IF($AQ204="","",IF(INDEX(C_Pavement!$I$5:$I$204,$AQ204)&lt;&gt;"",IF(INDEX(C_Pavement!$I$5:$I$204,$AQ204)="-","",INDEX(C_Pavement!$I$5:$I$204,$AQ204)),IF($AS204="","",INDEX(E_Rules!$H$5:$H$9,$AS204))))</f>
        <v/>
      </c>
    </row>
    <row r="205" spans="1:51" ht="15.75" customHeight="1" x14ac:dyDescent="0.3">
      <c r="A205" s="189">
        <v>200</v>
      </c>
      <c r="B205" s="180">
        <v>9950</v>
      </c>
      <c r="C205" s="180" t="s">
        <v>511</v>
      </c>
      <c r="D205" s="181" t="str">
        <f>IFERROR(LOOKUP(2,1/((A_Corridor!$A$5:$A$204&lt;&gt;"")*(A_Corridor!$A$5:$A$204&lt;=$B205)*(A_Corridor!$B$5:$B$204&gt;$B205)*(A_Corridor!$C$5:$C$204&lt;&gt;"")),IF(UPPER(A_Corridor!$C$5:$C$204)="Y",1,"")),"")</f>
        <v/>
      </c>
      <c r="E205" s="181" t="str">
        <f>IFERROR(LOOKUP(2,1/((A_Corridor!$A$5:$A$204&lt;&gt;"")*(A_Corridor!$A$5:$A$204&lt;=$B205)*(A_Corridor!$B$5:$B$204&gt;$B205)*(A_Corridor!$D$5:$D$204&lt;&gt;"")),IF(A_Corridor!$D$5:$D$204="-","",UPPER(A_Corridor!$D$5:$D$204))),"")</f>
        <v/>
      </c>
      <c r="F205" s="181" t="str">
        <f>IFERROR(LOOKUP(2,1/((A_Corridor!$A$5:$A$204&lt;&gt;"")*(A_Corridor!$A$5:$A$204&lt;=$B205)*(A_Corridor!$B$5:$B$204&gt;$B205)*(A_Corridor!$E$5:$E$204&lt;&gt;"")),IF(A_Corridor!$E$5:$E$204="-","",1)),"")</f>
        <v/>
      </c>
      <c r="G205" s="182" t="str">
        <f>IFERROR(LOOKUP(2,1/((A_Corridor!$A$5:$A$204&lt;&gt;"")*(A_Corridor!$A$5:$A$204&lt;=$B205)*(A_Corridor!$B$5:$B$204&gt;$B205)*(A_Corridor!$E$5:$E$204&lt;&gt;"")),IF(A_Corridor!$E$5:$E$204="-","",A_Corridor!$E$5:$E$204)),"")</f>
        <v/>
      </c>
      <c r="H205" s="182" t="str">
        <f>IFERROR(LOOKUP(2,1/((D_Points!$A$5:$A$204&lt;&gt;"")*(D_Points!$A$5:$A$204&gt;=$B205)*(D_Points!$A$5:$A$204&lt;$B205+P_Interval)*(UPPER(TRIM(D_Points!$B$5:$B$204))="GULLY")*(D_Points!$H$5:$H$204&lt;&gt;"")),D_Points!$H$5:$H$204),"")</f>
        <v/>
      </c>
      <c r="I205" s="181" t="str">
        <f>IFERROR(LOOKUP(2,1/((A_Corridor!$A$5:$A$204&lt;&gt;"")*(A_Corridor!$A$5:$A$204&lt;=$B205)*(A_Corridor!$B$5:$B$204&gt;$B205)*(A_Corridor!$F$5:$F$204&lt;&gt;"")),IF(A_Corridor!$F$5:$F$204="-","",1)),"")</f>
        <v/>
      </c>
      <c r="J205" s="182" t="str">
        <f>IFERROR(LOOKUP(2,1/((A_Corridor!$A$5:$A$204&lt;&gt;"")*(A_Corridor!$A$5:$A$204&lt;=$B205)*(A_Corridor!$B$5:$B$204&gt;$B205)*(A_Corridor!$F$5:$F$204&lt;&gt;"")),IF(A_Corridor!$F$5:$F$204="-","",A_Corridor!$F$5:$F$204)),"")</f>
        <v/>
      </c>
      <c r="K205" s="182" t="str">
        <f>IFERROR(LOOKUP(2,1/((A_Corridor!$A$5:$A$204&lt;&gt;"")*(A_Corridor!$A$5:$A$204&lt;=$B205)*(A_Corridor!$B$5:$B$204&gt;$B205)*(A_Corridor!$G$5:$G$204&lt;&gt;"")),IF(A_Corridor!$G$5:$G$204="-","",A_Corridor!$G$5:$G$204)),"")</f>
        <v/>
      </c>
      <c r="L205" s="181" t="str">
        <f>IFERROR(LOOKUP(2,1/((A_Corridor!$A$5:$A$204&lt;&gt;"")*(A_Corridor!$A$5:$A$204&lt;=$B205)*(A_Corridor!$B$5:$B$204&gt;$B205)*(A_Corridor!$H$5:$H$204&lt;&gt;"")),IF(A_Corridor!$H$5:$H$204="-","",1)),"")</f>
        <v/>
      </c>
      <c r="M205" s="182" t="str">
        <f>IFERROR(LOOKUP(2,1/((A_Corridor!$A$5:$A$204&lt;&gt;"")*(A_Corridor!$A$5:$A$204&lt;=$B205)*(A_Corridor!$B$5:$B$204&gt;$B205)*(A_Corridor!$H$5:$H$204&lt;&gt;"")),IF(A_Corridor!$H$5:$H$204="-","",A_Corridor!$H$5:$H$204)),"")</f>
        <v/>
      </c>
      <c r="N205" s="182" t="str">
        <f>IFERROR(LOOKUP(2,1/((A_Corridor!$A$5:$A$204&lt;&gt;"")*(A_Corridor!$A$5:$A$204&lt;=$B205)*(A_Corridor!$B$5:$B$204&gt;$B205)*(A_Corridor!$I$5:$I$204&lt;&gt;"")),IF(A_Corridor!$I$5:$I$204="-","",A_Corridor!$I$5:$I$204)),"")</f>
        <v/>
      </c>
      <c r="O205" s="182" t="str">
        <f>IFERROR(LOOKUP(2,1/((D_Points!$A$5:$A$204&lt;&gt;"")*(D_Points!$A$5:$A$204&gt;=$B205)*(D_Points!$A$5:$A$204&lt;$B205+P_Interval)*(UPPER(TRIM(D_Points!$B$5:$B$204))="PITCHING")*(D_Points!$H$5:$H$204&lt;&gt;"")),D_Points!$H$5:$H$204),"")</f>
        <v/>
      </c>
      <c r="P205" s="181" t="str">
        <f>IFERROR(LOOKUP(2,1/((B_Drainage!$A$5:$A$204&lt;&gt;"")*(B_Drainage!$A$5:$A$204&lt;=$B205)*(B_Drainage!$B$5:$B$204&gt;$B205)*(B_Drainage!$C$5:$C$204&lt;&gt;"")),IF(B_Drainage!$C$5:$C$204="-","",UPPER(B_Drainage!$C$5:$C$204))),"")</f>
        <v/>
      </c>
      <c r="Q205" s="181" t="str">
        <f>IFERROR(LOOKUP(2,1/((B_Drainage!$A$5:$A$204&lt;&gt;"")*(B_Drainage!$A$5:$A$204&lt;=$B205)*(B_Drainage!$B$5:$B$204&gt;$B205)*(B_Drainage!$D$5:$D$204&lt;&gt;"")),IF(B_Drainage!$D$5:$D$204="-","",UPPER(B_Drainage!$D$5:$D$204))),"")</f>
        <v/>
      </c>
      <c r="R205" s="182" t="str">
        <f>IFERROR(LOOKUP(2,1/((D_Points!$A$5:$A$204&lt;&gt;"")*(D_Points!$A$5:$A$204&gt;=$B205)*(D_Points!$A$5:$A$204&lt;$B205+P_Interval)*(RIGHT(UPPER(TRIM(D_Points!$B$5:$B$204)),8)="_CULVERT")),IF(LEFT(UPPER(TRIM(D_Points!$B$5:$B$204)),2)="EX",1,IF(LEFT(UPPER(TRIM(D_Points!$B$5:$B$204)),2)="PR",2,3))),"")</f>
        <v/>
      </c>
      <c r="S205" s="182" t="str">
        <f>IFERROR(LOOKUP(2,1/((D_Points!$A$5:$A$204&lt;&gt;"")*(D_Points!$A$5:$A$204&gt;=$B205)*(D_Points!$A$5:$A$204&lt;$B205+P_Interval)*(RIGHT(UPPER(TRIM(D_Points!$B$5:$B$204)),7)="_BRIDGE")),IF(LEFT(UPPER(TRIM(D_Points!$B$5:$B$204)),2)="EX",1,IF(LEFT(UPPER(TRIM(D_Points!$B$5:$B$204)),2)="PR",2,2))),"")</f>
        <v/>
      </c>
      <c r="T205" s="181" t="str">
        <f>IFERROR(LOOKUP(2,1/((B_Drainage!$A$5:$A$204&lt;&gt;"")*(B_Drainage!$A$5:$A$204&lt;=$B205)*(B_Drainage!$B$5:$B$204&gt;$B205)*(B_Drainage!$E$5:$E$204&lt;&gt;"")),IF(B_Drainage!$E$5:$E$204="-","",1)),"")</f>
        <v/>
      </c>
      <c r="U205" s="181" t="str">
        <f>IFERROR(LOOKUP(2,1/((B_Drainage!$A$5:$A$204&lt;&gt;"")*(B_Drainage!$A$5:$A$204&lt;=$B205)*(B_Drainage!$B$5:$B$204&gt;$B205)*(B_Drainage!$E$5:$E$204&lt;&gt;"")),IF(B_Drainage!$E$5:$E$204="-","",B_Drainage!$E$5:$E$204)),"")</f>
        <v/>
      </c>
      <c r="V205" s="181" t="str">
        <f>IFERROR(LOOKUP(2,1/((B_Drainage!$A$5:$A$204&lt;&gt;"")*(B_Drainage!$A$5:$A$204&lt;=$B205)*(B_Drainage!$B$5:$B$204&gt;$B205)*(B_Drainage!$F$5:$F$204&lt;&gt;"")),IF(B_Drainage!$F$5:$F$204="-","",1)),"")</f>
        <v/>
      </c>
      <c r="W205" s="181" t="str">
        <f>IFERROR(LOOKUP(2,1/((B_Drainage!$A$5:$A$204&lt;&gt;"")*(B_Drainage!$A$5:$A$204&lt;=$B205)*(B_Drainage!$B$5:$B$204&gt;$B205)*(B_Drainage!$F$5:$F$204&lt;&gt;"")),IF(B_Drainage!$F$5:$F$204="-","",B_Drainage!$F$5:$F$204)),"")</f>
        <v/>
      </c>
      <c r="X205" s="181" t="str">
        <f>IFERROR(LOOKUP(2,1/((B_Drainage!$A$5:$A$204&lt;&gt;"")*(B_Drainage!$A$5:$A$204&lt;=$B205)*(B_Drainage!$B$5:$B$204&gt;$B205)*(B_Drainage!$G$5:$G$204&lt;&gt;"")),IF(UPPER(B_Drainage!$G$5:$G$204)="Y",1,"")),"")</f>
        <v/>
      </c>
      <c r="Y205" s="181" t="str">
        <f>IFERROR(LOOKUP(2,1/((B_Drainage!$A$5:$A$204&lt;&gt;"")*(B_Drainage!$A$5:$A$204&lt;=$B205)*(B_Drainage!$B$5:$B$204&gt;$B205)*(B_Drainage!$H$5:$H$204&lt;&gt;"")),IF(UPPER(B_Drainage!$H$5:$H$204)="Y",1,"")),"")</f>
        <v/>
      </c>
      <c r="Z205" s="181" t="str">
        <f>IFERROR(LOOKUP(2,1/((B_Drainage!$A$5:$A$204&lt;&gt;"")*(B_Drainage!$A$5:$A$204&lt;=$B205)*(B_Drainage!$B$5:$B$204&gt;$B205)*(B_Drainage!$I$5:$I$204&lt;&gt;"")),IF(UPPER(B_Drainage!$I$5:$I$204)="Y",1,"")),"")</f>
        <v/>
      </c>
      <c r="AA205" s="181" t="str">
        <f>IFERROR(LOOKUP(2,1/((B_Drainage!$A$5:$A$204&lt;&gt;"")*(B_Drainage!$A$5:$A$204&lt;=$B205)*(B_Drainage!$B$5:$B$204&gt;$B205)*(B_Drainage!$J$5:$J$204&lt;&gt;"")),IF(UPPER(B_Drainage!$J$5:$J$204)="Y",1,"")),"")</f>
        <v/>
      </c>
      <c r="AB205" s="182" t="str">
        <f>IFERROR(LOOKUP(2,1/((B_Drainage!$A$5:$A$204&lt;&gt;"")*(B_Drainage!$A$5:$A$204&lt;=$B205)*(B_Drainage!$B$5:$B$204&gt;$B205)*(B_Drainage!$K$5:$K$204&lt;&gt;"")),IF(B_Drainage!$K$5:$K$204="-","",B_Drainage!$K$5:$K$204)),"")</f>
        <v/>
      </c>
      <c r="AC205" s="182" t="str">
        <f>IFERROR(LOOKUP(2,1/((B_Drainage!$A$5:$A$204&lt;&gt;"")*(B_Drainage!$A$5:$A$204&lt;=$B205)*(B_Drainage!$B$5:$B$204&gt;$B205)*(B_Drainage!$L$5:$L$204&lt;&gt;"")),IF(B_Drainage!$L$5:$L$204="-","",B_Drainage!$L$5:$L$204)),"")</f>
        <v/>
      </c>
      <c r="AD205" s="182" t="str">
        <f>IFERROR(LOOKUP(2,1/((D_Points!$A$5:$A$204&lt;&gt;"")*(D_Points!$A$5:$A$204&gt;=$B205)*(D_Points!$A$5:$A$204&lt;$B205+P_Interval)*(UPPER(TRIM(D_Points!$B$5:$B$204))="TURNOUT_L")*(D_Points!$H$5:$H$204&lt;&gt;"")),D_Points!$H$5:$H$204),"")</f>
        <v/>
      </c>
      <c r="AE205" s="182" t="str">
        <f>IFERROR(LOOKUP(2,1/((D_Points!$A$5:$A$204&lt;&gt;"")*(D_Points!$A$5:$A$204&gt;=$B205)*(D_Points!$A$5:$A$204&lt;$B205+P_Interval)*(UPPER(TRIM(D_Points!$B$5:$B$204))="TURNOUT_R")*(D_Points!$H$5:$H$204&lt;&gt;"")),D_Points!$H$5:$H$204),"")</f>
        <v/>
      </c>
      <c r="AF205" s="181" t="str">
        <f>IFERROR(LOOKUP(2,1/((B_Drainage!$A$5:$A$204&lt;&gt;"")*(B_Drainage!$A$5:$A$204&lt;=$B205)*(B_Drainage!$B$5:$B$204&gt;$B205)*(B_Drainage!$M$5:$M$204&lt;&gt;"")),IF(UPPER(B_Drainage!$M$5:$M$204)="Y",1,"")),"")</f>
        <v/>
      </c>
      <c r="AG205" s="181" t="str">
        <f>IFERROR(LOOKUP(2,1/((B_Drainage!$A$5:$A$204&lt;&gt;"")*(B_Drainage!$A$5:$A$204&lt;=$B205)*(B_Drainage!$B$5:$B$204&gt;$B205)*(B_Drainage!$N$5:$N$204&lt;&gt;"")),IF(UPPER(B_Drainage!$N$5:$N$204)="Y",1,"")),"")</f>
        <v/>
      </c>
      <c r="AH205" s="181" t="str">
        <f t="shared" si="24"/>
        <v/>
      </c>
      <c r="AI205" s="181" t="str">
        <f t="shared" si="25"/>
        <v/>
      </c>
      <c r="AJ205" s="181" t="str">
        <f t="shared" si="26"/>
        <v/>
      </c>
      <c r="AK205" s="181" t="str">
        <f t="shared" si="27"/>
        <v/>
      </c>
      <c r="AL205" s="181" t="str">
        <f t="shared" si="28"/>
        <v/>
      </c>
      <c r="AM205" s="181" t="str">
        <f t="shared" si="29"/>
        <v/>
      </c>
      <c r="AN205" s="181" t="str">
        <f t="shared" si="30"/>
        <v/>
      </c>
      <c r="AO205" s="192" t="str">
        <f t="shared" si="31"/>
        <v/>
      </c>
      <c r="AQ205" t="str">
        <f>IFERROR(LOOKUP(2,1/((C_Pavement!$A$5:$A$204&lt;&gt;"")*(C_Pavement!$A$5:$A$204&lt;=$B205)*(C_Pavement!$B$5:$B$204&gt;$B205)*(C_Pavement!$C$5:$C$204&lt;&gt;"")),ROW(C_Pavement!$C$5:$C$204)-4),"")</f>
        <v/>
      </c>
      <c r="AR205" t="str">
        <f>IF($AQ205="","",UPPER(TRIM(INDEX(C_Pavement!$C$5:$C$204,$AQ205))))</f>
        <v/>
      </c>
      <c r="AS205" t="str">
        <f>IF($AR205="","",IFERROR(MATCH($AR205,E_Rules!$A$5:$A$9,0),""))</f>
        <v/>
      </c>
      <c r="AT205" t="str">
        <f>IF($AQ205="","",IF(INDEX(C_Pavement!$D$5:$D$204,$AQ205)&lt;&gt;"",UPPER(TRIM(INDEX(C_Pavement!$D$5:$D$204,$AQ205))),IF($AS205="","",INDEX(E_Rules!$C$5:$C$9,$AS205))))</f>
        <v/>
      </c>
      <c r="AU205" t="str">
        <f>IF($AQ205="","",IF(INDEX(C_Pavement!$E$5:$E$204,$AQ205)&lt;&gt;"",IF(INDEX(C_Pavement!$E$5:$E$204,$AQ205)="-","",INDEX(C_Pavement!$E$5:$E$204,$AQ205)),IF($AS205="","",INDEX(E_Rules!$D$5:$D$9,$AS205))))</f>
        <v/>
      </c>
      <c r="AV205" t="str">
        <f>IF($AQ205="","",IF(INDEX(C_Pavement!$F$5:$F$204,$AQ205)&lt;&gt;"",IF(INDEX(C_Pavement!$F$5:$F$204,$AQ205)="-","",INDEX(C_Pavement!$F$5:$F$204,$AQ205)),IF($AS205="","",INDEX(E_Rules!$E$5:$E$9,$AS205))))</f>
        <v/>
      </c>
      <c r="AW205" t="str">
        <f>IF($AQ205="","",IF(INDEX(C_Pavement!$G$5:$G$204,$AQ205)&lt;&gt;"",IF(INDEX(C_Pavement!$G$5:$G$204,$AQ205)="-","",INDEX(C_Pavement!$G$5:$G$204,$AQ205)),IF($AS205="","",INDEX(E_Rules!$F$5:$F$9,$AS205))))</f>
        <v/>
      </c>
      <c r="AX205" t="str">
        <f>IF($AQ205="","",IF(INDEX(C_Pavement!$H$5:$H$204,$AQ205)&lt;&gt;"",IF(INDEX(C_Pavement!$H$5:$H$204,$AQ205)="-","",INDEX(C_Pavement!$H$5:$H$204,$AQ205)),IF($AS205="","",INDEX(E_Rules!$G$5:$G$9,$AS205))))</f>
        <v/>
      </c>
      <c r="AY205" t="str">
        <f>IF($AQ205="","",IF(INDEX(C_Pavement!$I$5:$I$204,$AQ205)&lt;&gt;"",IF(INDEX(C_Pavement!$I$5:$I$204,$AQ205)="-","",INDEX(C_Pavement!$I$5:$I$204,$AQ205)),IF($AS205="","",INDEX(E_Rules!$H$5:$H$9,$AS205))))</f>
        <v/>
      </c>
    </row>
    <row r="206" spans="1:51" ht="15.75" customHeight="1" x14ac:dyDescent="0.3">
      <c r="A206" s="189">
        <v>201</v>
      </c>
      <c r="B206" s="180">
        <v>10000</v>
      </c>
      <c r="C206" s="180" t="s">
        <v>512</v>
      </c>
      <c r="D206" s="181" t="str">
        <f>IFERROR(LOOKUP(2,1/((A_Corridor!$A$5:$A$204&lt;&gt;"")*(A_Corridor!$A$5:$A$204&lt;=$B206)*(A_Corridor!$B$5:$B$204&gt;$B206)*(A_Corridor!$C$5:$C$204&lt;&gt;"")),IF(UPPER(A_Corridor!$C$5:$C$204)="Y",1,"")),"")</f>
        <v/>
      </c>
      <c r="E206" s="181" t="str">
        <f>IFERROR(LOOKUP(2,1/((A_Corridor!$A$5:$A$204&lt;&gt;"")*(A_Corridor!$A$5:$A$204&lt;=$B206)*(A_Corridor!$B$5:$B$204&gt;$B206)*(A_Corridor!$D$5:$D$204&lt;&gt;"")),IF(A_Corridor!$D$5:$D$204="-","",UPPER(A_Corridor!$D$5:$D$204))),"")</f>
        <v/>
      </c>
      <c r="F206" s="181" t="str">
        <f>IFERROR(LOOKUP(2,1/((A_Corridor!$A$5:$A$204&lt;&gt;"")*(A_Corridor!$A$5:$A$204&lt;=$B206)*(A_Corridor!$B$5:$B$204&gt;$B206)*(A_Corridor!$E$5:$E$204&lt;&gt;"")),IF(A_Corridor!$E$5:$E$204="-","",1)),"")</f>
        <v/>
      </c>
      <c r="G206" s="182" t="str">
        <f>IFERROR(LOOKUP(2,1/((A_Corridor!$A$5:$A$204&lt;&gt;"")*(A_Corridor!$A$5:$A$204&lt;=$B206)*(A_Corridor!$B$5:$B$204&gt;$B206)*(A_Corridor!$E$5:$E$204&lt;&gt;"")),IF(A_Corridor!$E$5:$E$204="-","",A_Corridor!$E$5:$E$204)),"")</f>
        <v/>
      </c>
      <c r="H206" s="182" t="str">
        <f>IFERROR(LOOKUP(2,1/((D_Points!$A$5:$A$204&lt;&gt;"")*(D_Points!$A$5:$A$204&gt;=$B206)*(D_Points!$A$5:$A$204&lt;$B206+P_Interval)*(UPPER(TRIM(D_Points!$B$5:$B$204))="GULLY")*(D_Points!$H$5:$H$204&lt;&gt;"")),D_Points!$H$5:$H$204),"")</f>
        <v/>
      </c>
      <c r="I206" s="181" t="str">
        <f>IFERROR(LOOKUP(2,1/((A_Corridor!$A$5:$A$204&lt;&gt;"")*(A_Corridor!$A$5:$A$204&lt;=$B206)*(A_Corridor!$B$5:$B$204&gt;$B206)*(A_Corridor!$F$5:$F$204&lt;&gt;"")),IF(A_Corridor!$F$5:$F$204="-","",1)),"")</f>
        <v/>
      </c>
      <c r="J206" s="182" t="str">
        <f>IFERROR(LOOKUP(2,1/((A_Corridor!$A$5:$A$204&lt;&gt;"")*(A_Corridor!$A$5:$A$204&lt;=$B206)*(A_Corridor!$B$5:$B$204&gt;$B206)*(A_Corridor!$F$5:$F$204&lt;&gt;"")),IF(A_Corridor!$F$5:$F$204="-","",A_Corridor!$F$5:$F$204)),"")</f>
        <v/>
      </c>
      <c r="K206" s="182" t="str">
        <f>IFERROR(LOOKUP(2,1/((A_Corridor!$A$5:$A$204&lt;&gt;"")*(A_Corridor!$A$5:$A$204&lt;=$B206)*(A_Corridor!$B$5:$B$204&gt;$B206)*(A_Corridor!$G$5:$G$204&lt;&gt;"")),IF(A_Corridor!$G$5:$G$204="-","",A_Corridor!$G$5:$G$204)),"")</f>
        <v/>
      </c>
      <c r="L206" s="181" t="str">
        <f>IFERROR(LOOKUP(2,1/((A_Corridor!$A$5:$A$204&lt;&gt;"")*(A_Corridor!$A$5:$A$204&lt;=$B206)*(A_Corridor!$B$5:$B$204&gt;$B206)*(A_Corridor!$H$5:$H$204&lt;&gt;"")),IF(A_Corridor!$H$5:$H$204="-","",1)),"")</f>
        <v/>
      </c>
      <c r="M206" s="182" t="str">
        <f>IFERROR(LOOKUP(2,1/((A_Corridor!$A$5:$A$204&lt;&gt;"")*(A_Corridor!$A$5:$A$204&lt;=$B206)*(A_Corridor!$B$5:$B$204&gt;$B206)*(A_Corridor!$H$5:$H$204&lt;&gt;"")),IF(A_Corridor!$H$5:$H$204="-","",A_Corridor!$H$5:$H$204)),"")</f>
        <v/>
      </c>
      <c r="N206" s="182" t="str">
        <f>IFERROR(LOOKUP(2,1/((A_Corridor!$A$5:$A$204&lt;&gt;"")*(A_Corridor!$A$5:$A$204&lt;=$B206)*(A_Corridor!$B$5:$B$204&gt;$B206)*(A_Corridor!$I$5:$I$204&lt;&gt;"")),IF(A_Corridor!$I$5:$I$204="-","",A_Corridor!$I$5:$I$204)),"")</f>
        <v/>
      </c>
      <c r="O206" s="182" t="str">
        <f>IFERROR(LOOKUP(2,1/((D_Points!$A$5:$A$204&lt;&gt;"")*(D_Points!$A$5:$A$204&gt;=$B206)*(D_Points!$A$5:$A$204&lt;$B206+P_Interval)*(UPPER(TRIM(D_Points!$B$5:$B$204))="PITCHING")*(D_Points!$H$5:$H$204&lt;&gt;"")),D_Points!$H$5:$H$204),"")</f>
        <v/>
      </c>
      <c r="P206" s="181" t="str">
        <f>IFERROR(LOOKUP(2,1/((B_Drainage!$A$5:$A$204&lt;&gt;"")*(B_Drainage!$A$5:$A$204&lt;=$B206)*(B_Drainage!$B$5:$B$204&gt;$B206)*(B_Drainage!$C$5:$C$204&lt;&gt;"")),IF(B_Drainage!$C$5:$C$204="-","",UPPER(B_Drainage!$C$5:$C$204))),"")</f>
        <v/>
      </c>
      <c r="Q206" s="181" t="str">
        <f>IFERROR(LOOKUP(2,1/((B_Drainage!$A$5:$A$204&lt;&gt;"")*(B_Drainage!$A$5:$A$204&lt;=$B206)*(B_Drainage!$B$5:$B$204&gt;$B206)*(B_Drainage!$D$5:$D$204&lt;&gt;"")),IF(B_Drainage!$D$5:$D$204="-","",UPPER(B_Drainage!$D$5:$D$204))),"")</f>
        <v/>
      </c>
      <c r="R206" s="182" t="str">
        <f>IFERROR(LOOKUP(2,1/((D_Points!$A$5:$A$204&lt;&gt;"")*(D_Points!$A$5:$A$204&gt;=$B206)*(D_Points!$A$5:$A$204&lt;$B206+P_Interval)*(RIGHT(UPPER(TRIM(D_Points!$B$5:$B$204)),8)="_CULVERT")),IF(LEFT(UPPER(TRIM(D_Points!$B$5:$B$204)),2)="EX",1,IF(LEFT(UPPER(TRIM(D_Points!$B$5:$B$204)),2)="PR",2,3))),"")</f>
        <v/>
      </c>
      <c r="S206" s="182" t="str">
        <f>IFERROR(LOOKUP(2,1/((D_Points!$A$5:$A$204&lt;&gt;"")*(D_Points!$A$5:$A$204&gt;=$B206)*(D_Points!$A$5:$A$204&lt;$B206+P_Interval)*(RIGHT(UPPER(TRIM(D_Points!$B$5:$B$204)),7)="_BRIDGE")),IF(LEFT(UPPER(TRIM(D_Points!$B$5:$B$204)),2)="EX",1,IF(LEFT(UPPER(TRIM(D_Points!$B$5:$B$204)),2)="PR",2,2))),"")</f>
        <v/>
      </c>
      <c r="T206" s="181" t="str">
        <f>IFERROR(LOOKUP(2,1/((B_Drainage!$A$5:$A$204&lt;&gt;"")*(B_Drainage!$A$5:$A$204&lt;=$B206)*(B_Drainage!$B$5:$B$204&gt;$B206)*(B_Drainage!$E$5:$E$204&lt;&gt;"")),IF(B_Drainage!$E$5:$E$204="-","",1)),"")</f>
        <v/>
      </c>
      <c r="U206" s="181" t="str">
        <f>IFERROR(LOOKUP(2,1/((B_Drainage!$A$5:$A$204&lt;&gt;"")*(B_Drainage!$A$5:$A$204&lt;=$B206)*(B_Drainage!$B$5:$B$204&gt;$B206)*(B_Drainage!$E$5:$E$204&lt;&gt;"")),IF(B_Drainage!$E$5:$E$204="-","",B_Drainage!$E$5:$E$204)),"")</f>
        <v/>
      </c>
      <c r="V206" s="181" t="str">
        <f>IFERROR(LOOKUP(2,1/((B_Drainage!$A$5:$A$204&lt;&gt;"")*(B_Drainage!$A$5:$A$204&lt;=$B206)*(B_Drainage!$B$5:$B$204&gt;$B206)*(B_Drainage!$F$5:$F$204&lt;&gt;"")),IF(B_Drainage!$F$5:$F$204="-","",1)),"")</f>
        <v/>
      </c>
      <c r="W206" s="181" t="str">
        <f>IFERROR(LOOKUP(2,1/((B_Drainage!$A$5:$A$204&lt;&gt;"")*(B_Drainage!$A$5:$A$204&lt;=$B206)*(B_Drainage!$B$5:$B$204&gt;$B206)*(B_Drainage!$F$5:$F$204&lt;&gt;"")),IF(B_Drainage!$F$5:$F$204="-","",B_Drainage!$F$5:$F$204)),"")</f>
        <v/>
      </c>
      <c r="X206" s="181" t="str">
        <f>IFERROR(LOOKUP(2,1/((B_Drainage!$A$5:$A$204&lt;&gt;"")*(B_Drainage!$A$5:$A$204&lt;=$B206)*(B_Drainage!$B$5:$B$204&gt;$B206)*(B_Drainage!$G$5:$G$204&lt;&gt;"")),IF(UPPER(B_Drainage!$G$5:$G$204)="Y",1,"")),"")</f>
        <v/>
      </c>
      <c r="Y206" s="181" t="str">
        <f>IFERROR(LOOKUP(2,1/((B_Drainage!$A$5:$A$204&lt;&gt;"")*(B_Drainage!$A$5:$A$204&lt;=$B206)*(B_Drainage!$B$5:$B$204&gt;$B206)*(B_Drainage!$H$5:$H$204&lt;&gt;"")),IF(UPPER(B_Drainage!$H$5:$H$204)="Y",1,"")),"")</f>
        <v/>
      </c>
      <c r="Z206" s="181" t="str">
        <f>IFERROR(LOOKUP(2,1/((B_Drainage!$A$5:$A$204&lt;&gt;"")*(B_Drainage!$A$5:$A$204&lt;=$B206)*(B_Drainage!$B$5:$B$204&gt;$B206)*(B_Drainage!$I$5:$I$204&lt;&gt;"")),IF(UPPER(B_Drainage!$I$5:$I$204)="Y",1,"")),"")</f>
        <v/>
      </c>
      <c r="AA206" s="181" t="str">
        <f>IFERROR(LOOKUP(2,1/((B_Drainage!$A$5:$A$204&lt;&gt;"")*(B_Drainage!$A$5:$A$204&lt;=$B206)*(B_Drainage!$B$5:$B$204&gt;$B206)*(B_Drainage!$J$5:$J$204&lt;&gt;"")),IF(UPPER(B_Drainage!$J$5:$J$204)="Y",1,"")),"")</f>
        <v/>
      </c>
      <c r="AB206" s="182" t="str">
        <f>IFERROR(LOOKUP(2,1/((B_Drainage!$A$5:$A$204&lt;&gt;"")*(B_Drainage!$A$5:$A$204&lt;=$B206)*(B_Drainage!$B$5:$B$204&gt;$B206)*(B_Drainage!$K$5:$K$204&lt;&gt;"")),IF(B_Drainage!$K$5:$K$204="-","",B_Drainage!$K$5:$K$204)),"")</f>
        <v/>
      </c>
      <c r="AC206" s="182" t="str">
        <f>IFERROR(LOOKUP(2,1/((B_Drainage!$A$5:$A$204&lt;&gt;"")*(B_Drainage!$A$5:$A$204&lt;=$B206)*(B_Drainage!$B$5:$B$204&gt;$B206)*(B_Drainage!$L$5:$L$204&lt;&gt;"")),IF(B_Drainage!$L$5:$L$204="-","",B_Drainage!$L$5:$L$204)),"")</f>
        <v/>
      </c>
      <c r="AD206" s="182" t="str">
        <f>IFERROR(LOOKUP(2,1/((D_Points!$A$5:$A$204&lt;&gt;"")*(D_Points!$A$5:$A$204&gt;=$B206)*(D_Points!$A$5:$A$204&lt;$B206+P_Interval)*(UPPER(TRIM(D_Points!$B$5:$B$204))="TURNOUT_L")*(D_Points!$H$5:$H$204&lt;&gt;"")),D_Points!$H$5:$H$204),"")</f>
        <v/>
      </c>
      <c r="AE206" s="182" t="str">
        <f>IFERROR(LOOKUP(2,1/((D_Points!$A$5:$A$204&lt;&gt;"")*(D_Points!$A$5:$A$204&gt;=$B206)*(D_Points!$A$5:$A$204&lt;$B206+P_Interval)*(UPPER(TRIM(D_Points!$B$5:$B$204))="TURNOUT_R")*(D_Points!$H$5:$H$204&lt;&gt;"")),D_Points!$H$5:$H$204),"")</f>
        <v/>
      </c>
      <c r="AF206" s="181" t="str">
        <f>IFERROR(LOOKUP(2,1/((B_Drainage!$A$5:$A$204&lt;&gt;"")*(B_Drainage!$A$5:$A$204&lt;=$B206)*(B_Drainage!$B$5:$B$204&gt;$B206)*(B_Drainage!$M$5:$M$204&lt;&gt;"")),IF(UPPER(B_Drainage!$M$5:$M$204)="Y",1,"")),"")</f>
        <v/>
      </c>
      <c r="AG206" s="181" t="str">
        <f>IFERROR(LOOKUP(2,1/((B_Drainage!$A$5:$A$204&lt;&gt;"")*(B_Drainage!$A$5:$A$204&lt;=$B206)*(B_Drainage!$B$5:$B$204&gt;$B206)*(B_Drainage!$N$5:$N$204&lt;&gt;"")),IF(UPPER(B_Drainage!$N$5:$N$204)="Y",1,"")),"")</f>
        <v/>
      </c>
      <c r="AH206" s="181" t="str">
        <f t="shared" si="24"/>
        <v/>
      </c>
      <c r="AI206" s="181" t="str">
        <f t="shared" si="25"/>
        <v/>
      </c>
      <c r="AJ206" s="181" t="str">
        <f t="shared" si="26"/>
        <v/>
      </c>
      <c r="AK206" s="181" t="str">
        <f t="shared" si="27"/>
        <v/>
      </c>
      <c r="AL206" s="181" t="str">
        <f t="shared" si="28"/>
        <v/>
      </c>
      <c r="AM206" s="181" t="str">
        <f t="shared" si="29"/>
        <v/>
      </c>
      <c r="AN206" s="181" t="str">
        <f t="shared" si="30"/>
        <v/>
      </c>
      <c r="AO206" s="192" t="str">
        <f t="shared" si="31"/>
        <v/>
      </c>
      <c r="AQ206" t="str">
        <f>IFERROR(LOOKUP(2,1/((C_Pavement!$A$5:$A$204&lt;&gt;"")*(C_Pavement!$A$5:$A$204&lt;=$B206)*(C_Pavement!$B$5:$B$204&gt;$B206)*(C_Pavement!$C$5:$C$204&lt;&gt;"")),ROW(C_Pavement!$C$5:$C$204)-4),"")</f>
        <v/>
      </c>
      <c r="AR206" t="str">
        <f>IF($AQ206="","",UPPER(TRIM(INDEX(C_Pavement!$C$5:$C$204,$AQ206))))</f>
        <v/>
      </c>
      <c r="AS206" t="str">
        <f>IF($AR206="","",IFERROR(MATCH($AR206,E_Rules!$A$5:$A$9,0),""))</f>
        <v/>
      </c>
      <c r="AT206" t="str">
        <f>IF($AQ206="","",IF(INDEX(C_Pavement!$D$5:$D$204,$AQ206)&lt;&gt;"",UPPER(TRIM(INDEX(C_Pavement!$D$5:$D$204,$AQ206))),IF($AS206="","",INDEX(E_Rules!$C$5:$C$9,$AS206))))</f>
        <v/>
      </c>
      <c r="AU206" t="str">
        <f>IF($AQ206="","",IF(INDEX(C_Pavement!$E$5:$E$204,$AQ206)&lt;&gt;"",IF(INDEX(C_Pavement!$E$5:$E$204,$AQ206)="-","",INDEX(C_Pavement!$E$5:$E$204,$AQ206)),IF($AS206="","",INDEX(E_Rules!$D$5:$D$9,$AS206))))</f>
        <v/>
      </c>
      <c r="AV206" t="str">
        <f>IF($AQ206="","",IF(INDEX(C_Pavement!$F$5:$F$204,$AQ206)&lt;&gt;"",IF(INDEX(C_Pavement!$F$5:$F$204,$AQ206)="-","",INDEX(C_Pavement!$F$5:$F$204,$AQ206)),IF($AS206="","",INDEX(E_Rules!$E$5:$E$9,$AS206))))</f>
        <v/>
      </c>
      <c r="AW206" t="str">
        <f>IF($AQ206="","",IF(INDEX(C_Pavement!$G$5:$G$204,$AQ206)&lt;&gt;"",IF(INDEX(C_Pavement!$G$5:$G$204,$AQ206)="-","",INDEX(C_Pavement!$G$5:$G$204,$AQ206)),IF($AS206="","",INDEX(E_Rules!$F$5:$F$9,$AS206))))</f>
        <v/>
      </c>
      <c r="AX206" t="str">
        <f>IF($AQ206="","",IF(INDEX(C_Pavement!$H$5:$H$204,$AQ206)&lt;&gt;"",IF(INDEX(C_Pavement!$H$5:$H$204,$AQ206)="-","",INDEX(C_Pavement!$H$5:$H$204,$AQ206)),IF($AS206="","",INDEX(E_Rules!$G$5:$G$9,$AS206))))</f>
        <v/>
      </c>
      <c r="AY206" t="str">
        <f>IF($AQ206="","",IF(INDEX(C_Pavement!$I$5:$I$204,$AQ206)&lt;&gt;"",IF(INDEX(C_Pavement!$I$5:$I$204,$AQ206)="-","",INDEX(C_Pavement!$I$5:$I$204,$AQ206)),IF($AS206="","",INDEX(E_Rules!$H$5:$H$9,$AS206))))</f>
        <v/>
      </c>
    </row>
    <row r="207" spans="1:51" ht="15.75" customHeight="1" x14ac:dyDescent="0.3">
      <c r="A207" s="189">
        <v>202</v>
      </c>
      <c r="B207" s="180">
        <v>10050</v>
      </c>
      <c r="C207" s="180" t="s">
        <v>513</v>
      </c>
      <c r="D207" s="181" t="str">
        <f>IFERROR(LOOKUP(2,1/((A_Corridor!$A$5:$A$204&lt;&gt;"")*(A_Corridor!$A$5:$A$204&lt;=$B207)*(A_Corridor!$B$5:$B$204&gt;$B207)*(A_Corridor!$C$5:$C$204&lt;&gt;"")),IF(UPPER(A_Corridor!$C$5:$C$204)="Y",1,"")),"")</f>
        <v/>
      </c>
      <c r="E207" s="181" t="str">
        <f>IFERROR(LOOKUP(2,1/((A_Corridor!$A$5:$A$204&lt;&gt;"")*(A_Corridor!$A$5:$A$204&lt;=$B207)*(A_Corridor!$B$5:$B$204&gt;$B207)*(A_Corridor!$D$5:$D$204&lt;&gt;"")),IF(A_Corridor!$D$5:$D$204="-","",UPPER(A_Corridor!$D$5:$D$204))),"")</f>
        <v/>
      </c>
      <c r="F207" s="181" t="str">
        <f>IFERROR(LOOKUP(2,1/((A_Corridor!$A$5:$A$204&lt;&gt;"")*(A_Corridor!$A$5:$A$204&lt;=$B207)*(A_Corridor!$B$5:$B$204&gt;$B207)*(A_Corridor!$E$5:$E$204&lt;&gt;"")),IF(A_Corridor!$E$5:$E$204="-","",1)),"")</f>
        <v/>
      </c>
      <c r="G207" s="182" t="str">
        <f>IFERROR(LOOKUP(2,1/((A_Corridor!$A$5:$A$204&lt;&gt;"")*(A_Corridor!$A$5:$A$204&lt;=$B207)*(A_Corridor!$B$5:$B$204&gt;$B207)*(A_Corridor!$E$5:$E$204&lt;&gt;"")),IF(A_Corridor!$E$5:$E$204="-","",A_Corridor!$E$5:$E$204)),"")</f>
        <v/>
      </c>
      <c r="H207" s="182" t="str">
        <f>IFERROR(LOOKUP(2,1/((D_Points!$A$5:$A$204&lt;&gt;"")*(D_Points!$A$5:$A$204&gt;=$B207)*(D_Points!$A$5:$A$204&lt;$B207+P_Interval)*(UPPER(TRIM(D_Points!$B$5:$B$204))="GULLY")*(D_Points!$H$5:$H$204&lt;&gt;"")),D_Points!$H$5:$H$204),"")</f>
        <v/>
      </c>
      <c r="I207" s="181" t="str">
        <f>IFERROR(LOOKUP(2,1/((A_Corridor!$A$5:$A$204&lt;&gt;"")*(A_Corridor!$A$5:$A$204&lt;=$B207)*(A_Corridor!$B$5:$B$204&gt;$B207)*(A_Corridor!$F$5:$F$204&lt;&gt;"")),IF(A_Corridor!$F$5:$F$204="-","",1)),"")</f>
        <v/>
      </c>
      <c r="J207" s="182" t="str">
        <f>IFERROR(LOOKUP(2,1/((A_Corridor!$A$5:$A$204&lt;&gt;"")*(A_Corridor!$A$5:$A$204&lt;=$B207)*(A_Corridor!$B$5:$B$204&gt;$B207)*(A_Corridor!$F$5:$F$204&lt;&gt;"")),IF(A_Corridor!$F$5:$F$204="-","",A_Corridor!$F$5:$F$204)),"")</f>
        <v/>
      </c>
      <c r="K207" s="182" t="str">
        <f>IFERROR(LOOKUP(2,1/((A_Corridor!$A$5:$A$204&lt;&gt;"")*(A_Corridor!$A$5:$A$204&lt;=$B207)*(A_Corridor!$B$5:$B$204&gt;$B207)*(A_Corridor!$G$5:$G$204&lt;&gt;"")),IF(A_Corridor!$G$5:$G$204="-","",A_Corridor!$G$5:$G$204)),"")</f>
        <v/>
      </c>
      <c r="L207" s="181" t="str">
        <f>IFERROR(LOOKUP(2,1/((A_Corridor!$A$5:$A$204&lt;&gt;"")*(A_Corridor!$A$5:$A$204&lt;=$B207)*(A_Corridor!$B$5:$B$204&gt;$B207)*(A_Corridor!$H$5:$H$204&lt;&gt;"")),IF(A_Corridor!$H$5:$H$204="-","",1)),"")</f>
        <v/>
      </c>
      <c r="M207" s="182" t="str">
        <f>IFERROR(LOOKUP(2,1/((A_Corridor!$A$5:$A$204&lt;&gt;"")*(A_Corridor!$A$5:$A$204&lt;=$B207)*(A_Corridor!$B$5:$B$204&gt;$B207)*(A_Corridor!$H$5:$H$204&lt;&gt;"")),IF(A_Corridor!$H$5:$H$204="-","",A_Corridor!$H$5:$H$204)),"")</f>
        <v/>
      </c>
      <c r="N207" s="182" t="str">
        <f>IFERROR(LOOKUP(2,1/((A_Corridor!$A$5:$A$204&lt;&gt;"")*(A_Corridor!$A$5:$A$204&lt;=$B207)*(A_Corridor!$B$5:$B$204&gt;$B207)*(A_Corridor!$I$5:$I$204&lt;&gt;"")),IF(A_Corridor!$I$5:$I$204="-","",A_Corridor!$I$5:$I$204)),"")</f>
        <v/>
      </c>
      <c r="O207" s="182" t="str">
        <f>IFERROR(LOOKUP(2,1/((D_Points!$A$5:$A$204&lt;&gt;"")*(D_Points!$A$5:$A$204&gt;=$B207)*(D_Points!$A$5:$A$204&lt;$B207+P_Interval)*(UPPER(TRIM(D_Points!$B$5:$B$204))="PITCHING")*(D_Points!$H$5:$H$204&lt;&gt;"")),D_Points!$H$5:$H$204),"")</f>
        <v/>
      </c>
      <c r="P207" s="181" t="str">
        <f>IFERROR(LOOKUP(2,1/((B_Drainage!$A$5:$A$204&lt;&gt;"")*(B_Drainage!$A$5:$A$204&lt;=$B207)*(B_Drainage!$B$5:$B$204&gt;$B207)*(B_Drainage!$C$5:$C$204&lt;&gt;"")),IF(B_Drainage!$C$5:$C$204="-","",UPPER(B_Drainage!$C$5:$C$204))),"")</f>
        <v/>
      </c>
      <c r="Q207" s="181" t="str">
        <f>IFERROR(LOOKUP(2,1/((B_Drainage!$A$5:$A$204&lt;&gt;"")*(B_Drainage!$A$5:$A$204&lt;=$B207)*(B_Drainage!$B$5:$B$204&gt;$B207)*(B_Drainage!$D$5:$D$204&lt;&gt;"")),IF(B_Drainage!$D$5:$D$204="-","",UPPER(B_Drainage!$D$5:$D$204))),"")</f>
        <v/>
      </c>
      <c r="R207" s="182" t="str">
        <f>IFERROR(LOOKUP(2,1/((D_Points!$A$5:$A$204&lt;&gt;"")*(D_Points!$A$5:$A$204&gt;=$B207)*(D_Points!$A$5:$A$204&lt;$B207+P_Interval)*(RIGHT(UPPER(TRIM(D_Points!$B$5:$B$204)),8)="_CULVERT")),IF(LEFT(UPPER(TRIM(D_Points!$B$5:$B$204)),2)="EX",1,IF(LEFT(UPPER(TRIM(D_Points!$B$5:$B$204)),2)="PR",2,3))),"")</f>
        <v/>
      </c>
      <c r="S207" s="182" t="str">
        <f>IFERROR(LOOKUP(2,1/((D_Points!$A$5:$A$204&lt;&gt;"")*(D_Points!$A$5:$A$204&gt;=$B207)*(D_Points!$A$5:$A$204&lt;$B207+P_Interval)*(RIGHT(UPPER(TRIM(D_Points!$B$5:$B$204)),7)="_BRIDGE")),IF(LEFT(UPPER(TRIM(D_Points!$B$5:$B$204)),2)="EX",1,IF(LEFT(UPPER(TRIM(D_Points!$B$5:$B$204)),2)="PR",2,2))),"")</f>
        <v/>
      </c>
      <c r="T207" s="181" t="str">
        <f>IFERROR(LOOKUP(2,1/((B_Drainage!$A$5:$A$204&lt;&gt;"")*(B_Drainage!$A$5:$A$204&lt;=$B207)*(B_Drainage!$B$5:$B$204&gt;$B207)*(B_Drainage!$E$5:$E$204&lt;&gt;"")),IF(B_Drainage!$E$5:$E$204="-","",1)),"")</f>
        <v/>
      </c>
      <c r="U207" s="181" t="str">
        <f>IFERROR(LOOKUP(2,1/((B_Drainage!$A$5:$A$204&lt;&gt;"")*(B_Drainage!$A$5:$A$204&lt;=$B207)*(B_Drainage!$B$5:$B$204&gt;$B207)*(B_Drainage!$E$5:$E$204&lt;&gt;"")),IF(B_Drainage!$E$5:$E$204="-","",B_Drainage!$E$5:$E$204)),"")</f>
        <v/>
      </c>
      <c r="V207" s="181" t="str">
        <f>IFERROR(LOOKUP(2,1/((B_Drainage!$A$5:$A$204&lt;&gt;"")*(B_Drainage!$A$5:$A$204&lt;=$B207)*(B_Drainage!$B$5:$B$204&gt;$B207)*(B_Drainage!$F$5:$F$204&lt;&gt;"")),IF(B_Drainage!$F$5:$F$204="-","",1)),"")</f>
        <v/>
      </c>
      <c r="W207" s="181" t="str">
        <f>IFERROR(LOOKUP(2,1/((B_Drainage!$A$5:$A$204&lt;&gt;"")*(B_Drainage!$A$5:$A$204&lt;=$B207)*(B_Drainage!$B$5:$B$204&gt;$B207)*(B_Drainage!$F$5:$F$204&lt;&gt;"")),IF(B_Drainage!$F$5:$F$204="-","",B_Drainage!$F$5:$F$204)),"")</f>
        <v/>
      </c>
      <c r="X207" s="181" t="str">
        <f>IFERROR(LOOKUP(2,1/((B_Drainage!$A$5:$A$204&lt;&gt;"")*(B_Drainage!$A$5:$A$204&lt;=$B207)*(B_Drainage!$B$5:$B$204&gt;$B207)*(B_Drainage!$G$5:$G$204&lt;&gt;"")),IF(UPPER(B_Drainage!$G$5:$G$204)="Y",1,"")),"")</f>
        <v/>
      </c>
      <c r="Y207" s="181" t="str">
        <f>IFERROR(LOOKUP(2,1/((B_Drainage!$A$5:$A$204&lt;&gt;"")*(B_Drainage!$A$5:$A$204&lt;=$B207)*(B_Drainage!$B$5:$B$204&gt;$B207)*(B_Drainage!$H$5:$H$204&lt;&gt;"")),IF(UPPER(B_Drainage!$H$5:$H$204)="Y",1,"")),"")</f>
        <v/>
      </c>
      <c r="Z207" s="181" t="str">
        <f>IFERROR(LOOKUP(2,1/((B_Drainage!$A$5:$A$204&lt;&gt;"")*(B_Drainage!$A$5:$A$204&lt;=$B207)*(B_Drainage!$B$5:$B$204&gt;$B207)*(B_Drainage!$I$5:$I$204&lt;&gt;"")),IF(UPPER(B_Drainage!$I$5:$I$204)="Y",1,"")),"")</f>
        <v/>
      </c>
      <c r="AA207" s="181" t="str">
        <f>IFERROR(LOOKUP(2,1/((B_Drainage!$A$5:$A$204&lt;&gt;"")*(B_Drainage!$A$5:$A$204&lt;=$B207)*(B_Drainage!$B$5:$B$204&gt;$B207)*(B_Drainage!$J$5:$J$204&lt;&gt;"")),IF(UPPER(B_Drainage!$J$5:$J$204)="Y",1,"")),"")</f>
        <v/>
      </c>
      <c r="AB207" s="182" t="str">
        <f>IFERROR(LOOKUP(2,1/((B_Drainage!$A$5:$A$204&lt;&gt;"")*(B_Drainage!$A$5:$A$204&lt;=$B207)*(B_Drainage!$B$5:$B$204&gt;$B207)*(B_Drainage!$K$5:$K$204&lt;&gt;"")),IF(B_Drainage!$K$5:$K$204="-","",B_Drainage!$K$5:$K$204)),"")</f>
        <v/>
      </c>
      <c r="AC207" s="182" t="str">
        <f>IFERROR(LOOKUP(2,1/((B_Drainage!$A$5:$A$204&lt;&gt;"")*(B_Drainage!$A$5:$A$204&lt;=$B207)*(B_Drainage!$B$5:$B$204&gt;$B207)*(B_Drainage!$L$5:$L$204&lt;&gt;"")),IF(B_Drainage!$L$5:$L$204="-","",B_Drainage!$L$5:$L$204)),"")</f>
        <v/>
      </c>
      <c r="AD207" s="182" t="str">
        <f>IFERROR(LOOKUP(2,1/((D_Points!$A$5:$A$204&lt;&gt;"")*(D_Points!$A$5:$A$204&gt;=$B207)*(D_Points!$A$5:$A$204&lt;$B207+P_Interval)*(UPPER(TRIM(D_Points!$B$5:$B$204))="TURNOUT_L")*(D_Points!$H$5:$H$204&lt;&gt;"")),D_Points!$H$5:$H$204),"")</f>
        <v/>
      </c>
      <c r="AE207" s="182" t="str">
        <f>IFERROR(LOOKUP(2,1/((D_Points!$A$5:$A$204&lt;&gt;"")*(D_Points!$A$5:$A$204&gt;=$B207)*(D_Points!$A$5:$A$204&lt;$B207+P_Interval)*(UPPER(TRIM(D_Points!$B$5:$B$204))="TURNOUT_R")*(D_Points!$H$5:$H$204&lt;&gt;"")),D_Points!$H$5:$H$204),"")</f>
        <v/>
      </c>
      <c r="AF207" s="181" t="str">
        <f>IFERROR(LOOKUP(2,1/((B_Drainage!$A$5:$A$204&lt;&gt;"")*(B_Drainage!$A$5:$A$204&lt;=$B207)*(B_Drainage!$B$5:$B$204&gt;$B207)*(B_Drainage!$M$5:$M$204&lt;&gt;"")),IF(UPPER(B_Drainage!$M$5:$M$204)="Y",1,"")),"")</f>
        <v/>
      </c>
      <c r="AG207" s="181" t="str">
        <f>IFERROR(LOOKUP(2,1/((B_Drainage!$A$5:$A$204&lt;&gt;"")*(B_Drainage!$A$5:$A$204&lt;=$B207)*(B_Drainage!$B$5:$B$204&gt;$B207)*(B_Drainage!$N$5:$N$204&lt;&gt;"")),IF(UPPER(B_Drainage!$N$5:$N$204)="Y",1,"")),"")</f>
        <v/>
      </c>
      <c r="AH207" s="181" t="str">
        <f t="shared" si="24"/>
        <v/>
      </c>
      <c r="AI207" s="181" t="str">
        <f t="shared" si="25"/>
        <v/>
      </c>
      <c r="AJ207" s="181" t="str">
        <f t="shared" si="26"/>
        <v/>
      </c>
      <c r="AK207" s="181" t="str">
        <f t="shared" si="27"/>
        <v/>
      </c>
      <c r="AL207" s="181" t="str">
        <f t="shared" si="28"/>
        <v/>
      </c>
      <c r="AM207" s="181" t="str">
        <f t="shared" si="29"/>
        <v/>
      </c>
      <c r="AN207" s="181" t="str">
        <f t="shared" si="30"/>
        <v/>
      </c>
      <c r="AO207" s="192" t="str">
        <f t="shared" si="31"/>
        <v/>
      </c>
      <c r="AQ207" t="str">
        <f>IFERROR(LOOKUP(2,1/((C_Pavement!$A$5:$A$204&lt;&gt;"")*(C_Pavement!$A$5:$A$204&lt;=$B207)*(C_Pavement!$B$5:$B$204&gt;$B207)*(C_Pavement!$C$5:$C$204&lt;&gt;"")),ROW(C_Pavement!$C$5:$C$204)-4),"")</f>
        <v/>
      </c>
      <c r="AR207" t="str">
        <f>IF($AQ207="","",UPPER(TRIM(INDEX(C_Pavement!$C$5:$C$204,$AQ207))))</f>
        <v/>
      </c>
      <c r="AS207" t="str">
        <f>IF($AR207="","",IFERROR(MATCH($AR207,E_Rules!$A$5:$A$9,0),""))</f>
        <v/>
      </c>
      <c r="AT207" t="str">
        <f>IF($AQ207="","",IF(INDEX(C_Pavement!$D$5:$D$204,$AQ207)&lt;&gt;"",UPPER(TRIM(INDEX(C_Pavement!$D$5:$D$204,$AQ207))),IF($AS207="","",INDEX(E_Rules!$C$5:$C$9,$AS207))))</f>
        <v/>
      </c>
      <c r="AU207" t="str">
        <f>IF($AQ207="","",IF(INDEX(C_Pavement!$E$5:$E$204,$AQ207)&lt;&gt;"",IF(INDEX(C_Pavement!$E$5:$E$204,$AQ207)="-","",INDEX(C_Pavement!$E$5:$E$204,$AQ207)),IF($AS207="","",INDEX(E_Rules!$D$5:$D$9,$AS207))))</f>
        <v/>
      </c>
      <c r="AV207" t="str">
        <f>IF($AQ207="","",IF(INDEX(C_Pavement!$F$5:$F$204,$AQ207)&lt;&gt;"",IF(INDEX(C_Pavement!$F$5:$F$204,$AQ207)="-","",INDEX(C_Pavement!$F$5:$F$204,$AQ207)),IF($AS207="","",INDEX(E_Rules!$E$5:$E$9,$AS207))))</f>
        <v/>
      </c>
      <c r="AW207" t="str">
        <f>IF($AQ207="","",IF(INDEX(C_Pavement!$G$5:$G$204,$AQ207)&lt;&gt;"",IF(INDEX(C_Pavement!$G$5:$G$204,$AQ207)="-","",INDEX(C_Pavement!$G$5:$G$204,$AQ207)),IF($AS207="","",INDEX(E_Rules!$F$5:$F$9,$AS207))))</f>
        <v/>
      </c>
      <c r="AX207" t="str">
        <f>IF($AQ207="","",IF(INDEX(C_Pavement!$H$5:$H$204,$AQ207)&lt;&gt;"",IF(INDEX(C_Pavement!$H$5:$H$204,$AQ207)="-","",INDEX(C_Pavement!$H$5:$H$204,$AQ207)),IF($AS207="","",INDEX(E_Rules!$G$5:$G$9,$AS207))))</f>
        <v/>
      </c>
      <c r="AY207" t="str">
        <f>IF($AQ207="","",IF(INDEX(C_Pavement!$I$5:$I$204,$AQ207)&lt;&gt;"",IF(INDEX(C_Pavement!$I$5:$I$204,$AQ207)="-","",INDEX(C_Pavement!$I$5:$I$204,$AQ207)),IF($AS207="","",INDEX(E_Rules!$H$5:$H$9,$AS207))))</f>
        <v/>
      </c>
    </row>
    <row r="208" spans="1:51" ht="15.75" customHeight="1" x14ac:dyDescent="0.3">
      <c r="A208" s="189">
        <v>203</v>
      </c>
      <c r="B208" s="180">
        <v>10100</v>
      </c>
      <c r="C208" s="180" t="s">
        <v>514</v>
      </c>
      <c r="D208" s="181" t="str">
        <f>IFERROR(LOOKUP(2,1/((A_Corridor!$A$5:$A$204&lt;&gt;"")*(A_Corridor!$A$5:$A$204&lt;=$B208)*(A_Corridor!$B$5:$B$204&gt;$B208)*(A_Corridor!$C$5:$C$204&lt;&gt;"")),IF(UPPER(A_Corridor!$C$5:$C$204)="Y",1,"")),"")</f>
        <v/>
      </c>
      <c r="E208" s="181" t="str">
        <f>IFERROR(LOOKUP(2,1/((A_Corridor!$A$5:$A$204&lt;&gt;"")*(A_Corridor!$A$5:$A$204&lt;=$B208)*(A_Corridor!$B$5:$B$204&gt;$B208)*(A_Corridor!$D$5:$D$204&lt;&gt;"")),IF(A_Corridor!$D$5:$D$204="-","",UPPER(A_Corridor!$D$5:$D$204))),"")</f>
        <v/>
      </c>
      <c r="F208" s="181" t="str">
        <f>IFERROR(LOOKUP(2,1/((A_Corridor!$A$5:$A$204&lt;&gt;"")*(A_Corridor!$A$5:$A$204&lt;=$B208)*(A_Corridor!$B$5:$B$204&gt;$B208)*(A_Corridor!$E$5:$E$204&lt;&gt;"")),IF(A_Corridor!$E$5:$E$204="-","",1)),"")</f>
        <v/>
      </c>
      <c r="G208" s="182" t="str">
        <f>IFERROR(LOOKUP(2,1/((A_Corridor!$A$5:$A$204&lt;&gt;"")*(A_Corridor!$A$5:$A$204&lt;=$B208)*(A_Corridor!$B$5:$B$204&gt;$B208)*(A_Corridor!$E$5:$E$204&lt;&gt;"")),IF(A_Corridor!$E$5:$E$204="-","",A_Corridor!$E$5:$E$204)),"")</f>
        <v/>
      </c>
      <c r="H208" s="182" t="str">
        <f>IFERROR(LOOKUP(2,1/((D_Points!$A$5:$A$204&lt;&gt;"")*(D_Points!$A$5:$A$204&gt;=$B208)*(D_Points!$A$5:$A$204&lt;$B208+P_Interval)*(UPPER(TRIM(D_Points!$B$5:$B$204))="GULLY")*(D_Points!$H$5:$H$204&lt;&gt;"")),D_Points!$H$5:$H$204),"")</f>
        <v/>
      </c>
      <c r="I208" s="181" t="str">
        <f>IFERROR(LOOKUP(2,1/((A_Corridor!$A$5:$A$204&lt;&gt;"")*(A_Corridor!$A$5:$A$204&lt;=$B208)*(A_Corridor!$B$5:$B$204&gt;$B208)*(A_Corridor!$F$5:$F$204&lt;&gt;"")),IF(A_Corridor!$F$5:$F$204="-","",1)),"")</f>
        <v/>
      </c>
      <c r="J208" s="182" t="str">
        <f>IFERROR(LOOKUP(2,1/((A_Corridor!$A$5:$A$204&lt;&gt;"")*(A_Corridor!$A$5:$A$204&lt;=$B208)*(A_Corridor!$B$5:$B$204&gt;$B208)*(A_Corridor!$F$5:$F$204&lt;&gt;"")),IF(A_Corridor!$F$5:$F$204="-","",A_Corridor!$F$5:$F$204)),"")</f>
        <v/>
      </c>
      <c r="K208" s="182" t="str">
        <f>IFERROR(LOOKUP(2,1/((A_Corridor!$A$5:$A$204&lt;&gt;"")*(A_Corridor!$A$5:$A$204&lt;=$B208)*(A_Corridor!$B$5:$B$204&gt;$B208)*(A_Corridor!$G$5:$G$204&lt;&gt;"")),IF(A_Corridor!$G$5:$G$204="-","",A_Corridor!$G$5:$G$204)),"")</f>
        <v/>
      </c>
      <c r="L208" s="181" t="str">
        <f>IFERROR(LOOKUP(2,1/((A_Corridor!$A$5:$A$204&lt;&gt;"")*(A_Corridor!$A$5:$A$204&lt;=$B208)*(A_Corridor!$B$5:$B$204&gt;$B208)*(A_Corridor!$H$5:$H$204&lt;&gt;"")),IF(A_Corridor!$H$5:$H$204="-","",1)),"")</f>
        <v/>
      </c>
      <c r="M208" s="182" t="str">
        <f>IFERROR(LOOKUP(2,1/((A_Corridor!$A$5:$A$204&lt;&gt;"")*(A_Corridor!$A$5:$A$204&lt;=$B208)*(A_Corridor!$B$5:$B$204&gt;$B208)*(A_Corridor!$H$5:$H$204&lt;&gt;"")),IF(A_Corridor!$H$5:$H$204="-","",A_Corridor!$H$5:$H$204)),"")</f>
        <v/>
      </c>
      <c r="N208" s="182" t="str">
        <f>IFERROR(LOOKUP(2,1/((A_Corridor!$A$5:$A$204&lt;&gt;"")*(A_Corridor!$A$5:$A$204&lt;=$B208)*(A_Corridor!$B$5:$B$204&gt;$B208)*(A_Corridor!$I$5:$I$204&lt;&gt;"")),IF(A_Corridor!$I$5:$I$204="-","",A_Corridor!$I$5:$I$204)),"")</f>
        <v/>
      </c>
      <c r="O208" s="182" t="str">
        <f>IFERROR(LOOKUP(2,1/((D_Points!$A$5:$A$204&lt;&gt;"")*(D_Points!$A$5:$A$204&gt;=$B208)*(D_Points!$A$5:$A$204&lt;$B208+P_Interval)*(UPPER(TRIM(D_Points!$B$5:$B$204))="PITCHING")*(D_Points!$H$5:$H$204&lt;&gt;"")),D_Points!$H$5:$H$204),"")</f>
        <v/>
      </c>
      <c r="P208" s="181" t="str">
        <f>IFERROR(LOOKUP(2,1/((B_Drainage!$A$5:$A$204&lt;&gt;"")*(B_Drainage!$A$5:$A$204&lt;=$B208)*(B_Drainage!$B$5:$B$204&gt;$B208)*(B_Drainage!$C$5:$C$204&lt;&gt;"")),IF(B_Drainage!$C$5:$C$204="-","",UPPER(B_Drainage!$C$5:$C$204))),"")</f>
        <v/>
      </c>
      <c r="Q208" s="181" t="str">
        <f>IFERROR(LOOKUP(2,1/((B_Drainage!$A$5:$A$204&lt;&gt;"")*(B_Drainage!$A$5:$A$204&lt;=$B208)*(B_Drainage!$B$5:$B$204&gt;$B208)*(B_Drainage!$D$5:$D$204&lt;&gt;"")),IF(B_Drainage!$D$5:$D$204="-","",UPPER(B_Drainage!$D$5:$D$204))),"")</f>
        <v/>
      </c>
      <c r="R208" s="182" t="str">
        <f>IFERROR(LOOKUP(2,1/((D_Points!$A$5:$A$204&lt;&gt;"")*(D_Points!$A$5:$A$204&gt;=$B208)*(D_Points!$A$5:$A$204&lt;$B208+P_Interval)*(RIGHT(UPPER(TRIM(D_Points!$B$5:$B$204)),8)="_CULVERT")),IF(LEFT(UPPER(TRIM(D_Points!$B$5:$B$204)),2)="EX",1,IF(LEFT(UPPER(TRIM(D_Points!$B$5:$B$204)),2)="PR",2,3))),"")</f>
        <v/>
      </c>
      <c r="S208" s="182" t="str">
        <f>IFERROR(LOOKUP(2,1/((D_Points!$A$5:$A$204&lt;&gt;"")*(D_Points!$A$5:$A$204&gt;=$B208)*(D_Points!$A$5:$A$204&lt;$B208+P_Interval)*(RIGHT(UPPER(TRIM(D_Points!$B$5:$B$204)),7)="_BRIDGE")),IF(LEFT(UPPER(TRIM(D_Points!$B$5:$B$204)),2)="EX",1,IF(LEFT(UPPER(TRIM(D_Points!$B$5:$B$204)),2)="PR",2,2))),"")</f>
        <v/>
      </c>
      <c r="T208" s="181" t="str">
        <f>IFERROR(LOOKUP(2,1/((B_Drainage!$A$5:$A$204&lt;&gt;"")*(B_Drainage!$A$5:$A$204&lt;=$B208)*(B_Drainage!$B$5:$B$204&gt;$B208)*(B_Drainage!$E$5:$E$204&lt;&gt;"")),IF(B_Drainage!$E$5:$E$204="-","",1)),"")</f>
        <v/>
      </c>
      <c r="U208" s="181" t="str">
        <f>IFERROR(LOOKUP(2,1/((B_Drainage!$A$5:$A$204&lt;&gt;"")*(B_Drainage!$A$5:$A$204&lt;=$B208)*(B_Drainage!$B$5:$B$204&gt;$B208)*(B_Drainage!$E$5:$E$204&lt;&gt;"")),IF(B_Drainage!$E$5:$E$204="-","",B_Drainage!$E$5:$E$204)),"")</f>
        <v/>
      </c>
      <c r="V208" s="181" t="str">
        <f>IFERROR(LOOKUP(2,1/((B_Drainage!$A$5:$A$204&lt;&gt;"")*(B_Drainage!$A$5:$A$204&lt;=$B208)*(B_Drainage!$B$5:$B$204&gt;$B208)*(B_Drainage!$F$5:$F$204&lt;&gt;"")),IF(B_Drainage!$F$5:$F$204="-","",1)),"")</f>
        <v/>
      </c>
      <c r="W208" s="181" t="str">
        <f>IFERROR(LOOKUP(2,1/((B_Drainage!$A$5:$A$204&lt;&gt;"")*(B_Drainage!$A$5:$A$204&lt;=$B208)*(B_Drainage!$B$5:$B$204&gt;$B208)*(B_Drainage!$F$5:$F$204&lt;&gt;"")),IF(B_Drainage!$F$5:$F$204="-","",B_Drainage!$F$5:$F$204)),"")</f>
        <v/>
      </c>
      <c r="X208" s="181" t="str">
        <f>IFERROR(LOOKUP(2,1/((B_Drainage!$A$5:$A$204&lt;&gt;"")*(B_Drainage!$A$5:$A$204&lt;=$B208)*(B_Drainage!$B$5:$B$204&gt;$B208)*(B_Drainage!$G$5:$G$204&lt;&gt;"")),IF(UPPER(B_Drainage!$G$5:$G$204)="Y",1,"")),"")</f>
        <v/>
      </c>
      <c r="Y208" s="181" t="str">
        <f>IFERROR(LOOKUP(2,1/((B_Drainage!$A$5:$A$204&lt;&gt;"")*(B_Drainage!$A$5:$A$204&lt;=$B208)*(B_Drainage!$B$5:$B$204&gt;$B208)*(B_Drainage!$H$5:$H$204&lt;&gt;"")),IF(UPPER(B_Drainage!$H$5:$H$204)="Y",1,"")),"")</f>
        <v/>
      </c>
      <c r="Z208" s="181" t="str">
        <f>IFERROR(LOOKUP(2,1/((B_Drainage!$A$5:$A$204&lt;&gt;"")*(B_Drainage!$A$5:$A$204&lt;=$B208)*(B_Drainage!$B$5:$B$204&gt;$B208)*(B_Drainage!$I$5:$I$204&lt;&gt;"")),IF(UPPER(B_Drainage!$I$5:$I$204)="Y",1,"")),"")</f>
        <v/>
      </c>
      <c r="AA208" s="181" t="str">
        <f>IFERROR(LOOKUP(2,1/((B_Drainage!$A$5:$A$204&lt;&gt;"")*(B_Drainage!$A$5:$A$204&lt;=$B208)*(B_Drainage!$B$5:$B$204&gt;$B208)*(B_Drainage!$J$5:$J$204&lt;&gt;"")),IF(UPPER(B_Drainage!$J$5:$J$204)="Y",1,"")),"")</f>
        <v/>
      </c>
      <c r="AB208" s="182" t="str">
        <f>IFERROR(LOOKUP(2,1/((B_Drainage!$A$5:$A$204&lt;&gt;"")*(B_Drainage!$A$5:$A$204&lt;=$B208)*(B_Drainage!$B$5:$B$204&gt;$B208)*(B_Drainage!$K$5:$K$204&lt;&gt;"")),IF(B_Drainage!$K$5:$K$204="-","",B_Drainage!$K$5:$K$204)),"")</f>
        <v/>
      </c>
      <c r="AC208" s="182" t="str">
        <f>IFERROR(LOOKUP(2,1/((B_Drainage!$A$5:$A$204&lt;&gt;"")*(B_Drainage!$A$5:$A$204&lt;=$B208)*(B_Drainage!$B$5:$B$204&gt;$B208)*(B_Drainage!$L$5:$L$204&lt;&gt;"")),IF(B_Drainage!$L$5:$L$204="-","",B_Drainage!$L$5:$L$204)),"")</f>
        <v/>
      </c>
      <c r="AD208" s="182" t="str">
        <f>IFERROR(LOOKUP(2,1/((D_Points!$A$5:$A$204&lt;&gt;"")*(D_Points!$A$5:$A$204&gt;=$B208)*(D_Points!$A$5:$A$204&lt;$B208+P_Interval)*(UPPER(TRIM(D_Points!$B$5:$B$204))="TURNOUT_L")*(D_Points!$H$5:$H$204&lt;&gt;"")),D_Points!$H$5:$H$204),"")</f>
        <v/>
      </c>
      <c r="AE208" s="182" t="str">
        <f>IFERROR(LOOKUP(2,1/((D_Points!$A$5:$A$204&lt;&gt;"")*(D_Points!$A$5:$A$204&gt;=$B208)*(D_Points!$A$5:$A$204&lt;$B208+P_Interval)*(UPPER(TRIM(D_Points!$B$5:$B$204))="TURNOUT_R")*(D_Points!$H$5:$H$204&lt;&gt;"")),D_Points!$H$5:$H$204),"")</f>
        <v/>
      </c>
      <c r="AF208" s="181" t="str">
        <f>IFERROR(LOOKUP(2,1/((B_Drainage!$A$5:$A$204&lt;&gt;"")*(B_Drainage!$A$5:$A$204&lt;=$B208)*(B_Drainage!$B$5:$B$204&gt;$B208)*(B_Drainage!$M$5:$M$204&lt;&gt;"")),IF(UPPER(B_Drainage!$M$5:$M$204)="Y",1,"")),"")</f>
        <v/>
      </c>
      <c r="AG208" s="181" t="str">
        <f>IFERROR(LOOKUP(2,1/((B_Drainage!$A$5:$A$204&lt;&gt;"")*(B_Drainage!$A$5:$A$204&lt;=$B208)*(B_Drainage!$B$5:$B$204&gt;$B208)*(B_Drainage!$N$5:$N$204&lt;&gt;"")),IF(UPPER(B_Drainage!$N$5:$N$204)="Y",1,"")),"")</f>
        <v/>
      </c>
      <c r="AH208" s="181" t="str">
        <f t="shared" si="24"/>
        <v/>
      </c>
      <c r="AI208" s="181" t="str">
        <f t="shared" si="25"/>
        <v/>
      </c>
      <c r="AJ208" s="181" t="str">
        <f t="shared" si="26"/>
        <v/>
      </c>
      <c r="AK208" s="181" t="str">
        <f t="shared" si="27"/>
        <v/>
      </c>
      <c r="AL208" s="181" t="str">
        <f t="shared" si="28"/>
        <v/>
      </c>
      <c r="AM208" s="181" t="str">
        <f t="shared" si="29"/>
        <v/>
      </c>
      <c r="AN208" s="181" t="str">
        <f t="shared" si="30"/>
        <v/>
      </c>
      <c r="AO208" s="192" t="str">
        <f t="shared" si="31"/>
        <v/>
      </c>
      <c r="AQ208" t="str">
        <f>IFERROR(LOOKUP(2,1/((C_Pavement!$A$5:$A$204&lt;&gt;"")*(C_Pavement!$A$5:$A$204&lt;=$B208)*(C_Pavement!$B$5:$B$204&gt;$B208)*(C_Pavement!$C$5:$C$204&lt;&gt;"")),ROW(C_Pavement!$C$5:$C$204)-4),"")</f>
        <v/>
      </c>
      <c r="AR208" t="str">
        <f>IF($AQ208="","",UPPER(TRIM(INDEX(C_Pavement!$C$5:$C$204,$AQ208))))</f>
        <v/>
      </c>
      <c r="AS208" t="str">
        <f>IF($AR208="","",IFERROR(MATCH($AR208,E_Rules!$A$5:$A$9,0),""))</f>
        <v/>
      </c>
      <c r="AT208" t="str">
        <f>IF($AQ208="","",IF(INDEX(C_Pavement!$D$5:$D$204,$AQ208)&lt;&gt;"",UPPER(TRIM(INDEX(C_Pavement!$D$5:$D$204,$AQ208))),IF($AS208="","",INDEX(E_Rules!$C$5:$C$9,$AS208))))</f>
        <v/>
      </c>
      <c r="AU208" t="str">
        <f>IF($AQ208="","",IF(INDEX(C_Pavement!$E$5:$E$204,$AQ208)&lt;&gt;"",IF(INDEX(C_Pavement!$E$5:$E$204,$AQ208)="-","",INDEX(C_Pavement!$E$5:$E$204,$AQ208)),IF($AS208="","",INDEX(E_Rules!$D$5:$D$9,$AS208))))</f>
        <v/>
      </c>
      <c r="AV208" t="str">
        <f>IF($AQ208="","",IF(INDEX(C_Pavement!$F$5:$F$204,$AQ208)&lt;&gt;"",IF(INDEX(C_Pavement!$F$5:$F$204,$AQ208)="-","",INDEX(C_Pavement!$F$5:$F$204,$AQ208)),IF($AS208="","",INDEX(E_Rules!$E$5:$E$9,$AS208))))</f>
        <v/>
      </c>
      <c r="AW208" t="str">
        <f>IF($AQ208="","",IF(INDEX(C_Pavement!$G$5:$G$204,$AQ208)&lt;&gt;"",IF(INDEX(C_Pavement!$G$5:$G$204,$AQ208)="-","",INDEX(C_Pavement!$G$5:$G$204,$AQ208)),IF($AS208="","",INDEX(E_Rules!$F$5:$F$9,$AS208))))</f>
        <v/>
      </c>
      <c r="AX208" t="str">
        <f>IF($AQ208="","",IF(INDEX(C_Pavement!$H$5:$H$204,$AQ208)&lt;&gt;"",IF(INDEX(C_Pavement!$H$5:$H$204,$AQ208)="-","",INDEX(C_Pavement!$H$5:$H$204,$AQ208)),IF($AS208="","",INDEX(E_Rules!$G$5:$G$9,$AS208))))</f>
        <v/>
      </c>
      <c r="AY208" t="str">
        <f>IF($AQ208="","",IF(INDEX(C_Pavement!$I$5:$I$204,$AQ208)&lt;&gt;"",IF(INDEX(C_Pavement!$I$5:$I$204,$AQ208)="-","",INDEX(C_Pavement!$I$5:$I$204,$AQ208)),IF($AS208="","",INDEX(E_Rules!$H$5:$H$9,$AS208))))</f>
        <v/>
      </c>
    </row>
    <row r="209" spans="1:51" ht="15.75" customHeight="1" x14ac:dyDescent="0.3">
      <c r="A209" s="189">
        <v>204</v>
      </c>
      <c r="B209" s="180">
        <v>10150</v>
      </c>
      <c r="C209" s="180" t="s">
        <v>515</v>
      </c>
      <c r="D209" s="181" t="str">
        <f>IFERROR(LOOKUP(2,1/((A_Corridor!$A$5:$A$204&lt;&gt;"")*(A_Corridor!$A$5:$A$204&lt;=$B209)*(A_Corridor!$B$5:$B$204&gt;$B209)*(A_Corridor!$C$5:$C$204&lt;&gt;"")),IF(UPPER(A_Corridor!$C$5:$C$204)="Y",1,"")),"")</f>
        <v/>
      </c>
      <c r="E209" s="181" t="str">
        <f>IFERROR(LOOKUP(2,1/((A_Corridor!$A$5:$A$204&lt;&gt;"")*(A_Corridor!$A$5:$A$204&lt;=$B209)*(A_Corridor!$B$5:$B$204&gt;$B209)*(A_Corridor!$D$5:$D$204&lt;&gt;"")),IF(A_Corridor!$D$5:$D$204="-","",UPPER(A_Corridor!$D$5:$D$204))),"")</f>
        <v/>
      </c>
      <c r="F209" s="181" t="str">
        <f>IFERROR(LOOKUP(2,1/((A_Corridor!$A$5:$A$204&lt;&gt;"")*(A_Corridor!$A$5:$A$204&lt;=$B209)*(A_Corridor!$B$5:$B$204&gt;$B209)*(A_Corridor!$E$5:$E$204&lt;&gt;"")),IF(A_Corridor!$E$5:$E$204="-","",1)),"")</f>
        <v/>
      </c>
      <c r="G209" s="182" t="str">
        <f>IFERROR(LOOKUP(2,1/((A_Corridor!$A$5:$A$204&lt;&gt;"")*(A_Corridor!$A$5:$A$204&lt;=$B209)*(A_Corridor!$B$5:$B$204&gt;$B209)*(A_Corridor!$E$5:$E$204&lt;&gt;"")),IF(A_Corridor!$E$5:$E$204="-","",A_Corridor!$E$5:$E$204)),"")</f>
        <v/>
      </c>
      <c r="H209" s="182" t="str">
        <f>IFERROR(LOOKUP(2,1/((D_Points!$A$5:$A$204&lt;&gt;"")*(D_Points!$A$5:$A$204&gt;=$B209)*(D_Points!$A$5:$A$204&lt;$B209+P_Interval)*(UPPER(TRIM(D_Points!$B$5:$B$204))="GULLY")*(D_Points!$H$5:$H$204&lt;&gt;"")),D_Points!$H$5:$H$204),"")</f>
        <v/>
      </c>
      <c r="I209" s="181" t="str">
        <f>IFERROR(LOOKUP(2,1/((A_Corridor!$A$5:$A$204&lt;&gt;"")*(A_Corridor!$A$5:$A$204&lt;=$B209)*(A_Corridor!$B$5:$B$204&gt;$B209)*(A_Corridor!$F$5:$F$204&lt;&gt;"")),IF(A_Corridor!$F$5:$F$204="-","",1)),"")</f>
        <v/>
      </c>
      <c r="J209" s="182" t="str">
        <f>IFERROR(LOOKUP(2,1/((A_Corridor!$A$5:$A$204&lt;&gt;"")*(A_Corridor!$A$5:$A$204&lt;=$B209)*(A_Corridor!$B$5:$B$204&gt;$B209)*(A_Corridor!$F$5:$F$204&lt;&gt;"")),IF(A_Corridor!$F$5:$F$204="-","",A_Corridor!$F$5:$F$204)),"")</f>
        <v/>
      </c>
      <c r="K209" s="182" t="str">
        <f>IFERROR(LOOKUP(2,1/((A_Corridor!$A$5:$A$204&lt;&gt;"")*(A_Corridor!$A$5:$A$204&lt;=$B209)*(A_Corridor!$B$5:$B$204&gt;$B209)*(A_Corridor!$G$5:$G$204&lt;&gt;"")),IF(A_Corridor!$G$5:$G$204="-","",A_Corridor!$G$5:$G$204)),"")</f>
        <v/>
      </c>
      <c r="L209" s="181" t="str">
        <f>IFERROR(LOOKUP(2,1/((A_Corridor!$A$5:$A$204&lt;&gt;"")*(A_Corridor!$A$5:$A$204&lt;=$B209)*(A_Corridor!$B$5:$B$204&gt;$B209)*(A_Corridor!$H$5:$H$204&lt;&gt;"")),IF(A_Corridor!$H$5:$H$204="-","",1)),"")</f>
        <v/>
      </c>
      <c r="M209" s="182" t="str">
        <f>IFERROR(LOOKUP(2,1/((A_Corridor!$A$5:$A$204&lt;&gt;"")*(A_Corridor!$A$5:$A$204&lt;=$B209)*(A_Corridor!$B$5:$B$204&gt;$B209)*(A_Corridor!$H$5:$H$204&lt;&gt;"")),IF(A_Corridor!$H$5:$H$204="-","",A_Corridor!$H$5:$H$204)),"")</f>
        <v/>
      </c>
      <c r="N209" s="182" t="str">
        <f>IFERROR(LOOKUP(2,1/((A_Corridor!$A$5:$A$204&lt;&gt;"")*(A_Corridor!$A$5:$A$204&lt;=$B209)*(A_Corridor!$B$5:$B$204&gt;$B209)*(A_Corridor!$I$5:$I$204&lt;&gt;"")),IF(A_Corridor!$I$5:$I$204="-","",A_Corridor!$I$5:$I$204)),"")</f>
        <v/>
      </c>
      <c r="O209" s="182" t="str">
        <f>IFERROR(LOOKUP(2,1/((D_Points!$A$5:$A$204&lt;&gt;"")*(D_Points!$A$5:$A$204&gt;=$B209)*(D_Points!$A$5:$A$204&lt;$B209+P_Interval)*(UPPER(TRIM(D_Points!$B$5:$B$204))="PITCHING")*(D_Points!$H$5:$H$204&lt;&gt;"")),D_Points!$H$5:$H$204),"")</f>
        <v/>
      </c>
      <c r="P209" s="181" t="str">
        <f>IFERROR(LOOKUP(2,1/((B_Drainage!$A$5:$A$204&lt;&gt;"")*(B_Drainage!$A$5:$A$204&lt;=$B209)*(B_Drainage!$B$5:$B$204&gt;$B209)*(B_Drainage!$C$5:$C$204&lt;&gt;"")),IF(B_Drainage!$C$5:$C$204="-","",UPPER(B_Drainage!$C$5:$C$204))),"")</f>
        <v/>
      </c>
      <c r="Q209" s="181" t="str">
        <f>IFERROR(LOOKUP(2,1/((B_Drainage!$A$5:$A$204&lt;&gt;"")*(B_Drainage!$A$5:$A$204&lt;=$B209)*(B_Drainage!$B$5:$B$204&gt;$B209)*(B_Drainage!$D$5:$D$204&lt;&gt;"")),IF(B_Drainage!$D$5:$D$204="-","",UPPER(B_Drainage!$D$5:$D$204))),"")</f>
        <v/>
      </c>
      <c r="R209" s="182" t="str">
        <f>IFERROR(LOOKUP(2,1/((D_Points!$A$5:$A$204&lt;&gt;"")*(D_Points!$A$5:$A$204&gt;=$B209)*(D_Points!$A$5:$A$204&lt;$B209+P_Interval)*(RIGHT(UPPER(TRIM(D_Points!$B$5:$B$204)),8)="_CULVERT")),IF(LEFT(UPPER(TRIM(D_Points!$B$5:$B$204)),2)="EX",1,IF(LEFT(UPPER(TRIM(D_Points!$B$5:$B$204)),2)="PR",2,3))),"")</f>
        <v/>
      </c>
      <c r="S209" s="182" t="str">
        <f>IFERROR(LOOKUP(2,1/((D_Points!$A$5:$A$204&lt;&gt;"")*(D_Points!$A$5:$A$204&gt;=$B209)*(D_Points!$A$5:$A$204&lt;$B209+P_Interval)*(RIGHT(UPPER(TRIM(D_Points!$B$5:$B$204)),7)="_BRIDGE")),IF(LEFT(UPPER(TRIM(D_Points!$B$5:$B$204)),2)="EX",1,IF(LEFT(UPPER(TRIM(D_Points!$B$5:$B$204)),2)="PR",2,2))),"")</f>
        <v/>
      </c>
      <c r="T209" s="181" t="str">
        <f>IFERROR(LOOKUP(2,1/((B_Drainage!$A$5:$A$204&lt;&gt;"")*(B_Drainage!$A$5:$A$204&lt;=$B209)*(B_Drainage!$B$5:$B$204&gt;$B209)*(B_Drainage!$E$5:$E$204&lt;&gt;"")),IF(B_Drainage!$E$5:$E$204="-","",1)),"")</f>
        <v/>
      </c>
      <c r="U209" s="181" t="str">
        <f>IFERROR(LOOKUP(2,1/((B_Drainage!$A$5:$A$204&lt;&gt;"")*(B_Drainage!$A$5:$A$204&lt;=$B209)*(B_Drainage!$B$5:$B$204&gt;$B209)*(B_Drainage!$E$5:$E$204&lt;&gt;"")),IF(B_Drainage!$E$5:$E$204="-","",B_Drainage!$E$5:$E$204)),"")</f>
        <v/>
      </c>
      <c r="V209" s="181" t="str">
        <f>IFERROR(LOOKUP(2,1/((B_Drainage!$A$5:$A$204&lt;&gt;"")*(B_Drainage!$A$5:$A$204&lt;=$B209)*(B_Drainage!$B$5:$B$204&gt;$B209)*(B_Drainage!$F$5:$F$204&lt;&gt;"")),IF(B_Drainage!$F$5:$F$204="-","",1)),"")</f>
        <v/>
      </c>
      <c r="W209" s="181" t="str">
        <f>IFERROR(LOOKUP(2,1/((B_Drainage!$A$5:$A$204&lt;&gt;"")*(B_Drainage!$A$5:$A$204&lt;=$B209)*(B_Drainage!$B$5:$B$204&gt;$B209)*(B_Drainage!$F$5:$F$204&lt;&gt;"")),IF(B_Drainage!$F$5:$F$204="-","",B_Drainage!$F$5:$F$204)),"")</f>
        <v/>
      </c>
      <c r="X209" s="181" t="str">
        <f>IFERROR(LOOKUP(2,1/((B_Drainage!$A$5:$A$204&lt;&gt;"")*(B_Drainage!$A$5:$A$204&lt;=$B209)*(B_Drainage!$B$5:$B$204&gt;$B209)*(B_Drainage!$G$5:$G$204&lt;&gt;"")),IF(UPPER(B_Drainage!$G$5:$G$204)="Y",1,"")),"")</f>
        <v/>
      </c>
      <c r="Y209" s="181" t="str">
        <f>IFERROR(LOOKUP(2,1/((B_Drainage!$A$5:$A$204&lt;&gt;"")*(B_Drainage!$A$5:$A$204&lt;=$B209)*(B_Drainage!$B$5:$B$204&gt;$B209)*(B_Drainage!$H$5:$H$204&lt;&gt;"")),IF(UPPER(B_Drainage!$H$5:$H$204)="Y",1,"")),"")</f>
        <v/>
      </c>
      <c r="Z209" s="181" t="str">
        <f>IFERROR(LOOKUP(2,1/((B_Drainage!$A$5:$A$204&lt;&gt;"")*(B_Drainage!$A$5:$A$204&lt;=$B209)*(B_Drainage!$B$5:$B$204&gt;$B209)*(B_Drainage!$I$5:$I$204&lt;&gt;"")),IF(UPPER(B_Drainage!$I$5:$I$204)="Y",1,"")),"")</f>
        <v/>
      </c>
      <c r="AA209" s="181" t="str">
        <f>IFERROR(LOOKUP(2,1/((B_Drainage!$A$5:$A$204&lt;&gt;"")*(B_Drainage!$A$5:$A$204&lt;=$B209)*(B_Drainage!$B$5:$B$204&gt;$B209)*(B_Drainage!$J$5:$J$204&lt;&gt;"")),IF(UPPER(B_Drainage!$J$5:$J$204)="Y",1,"")),"")</f>
        <v/>
      </c>
      <c r="AB209" s="182" t="str">
        <f>IFERROR(LOOKUP(2,1/((B_Drainage!$A$5:$A$204&lt;&gt;"")*(B_Drainage!$A$5:$A$204&lt;=$B209)*(B_Drainage!$B$5:$B$204&gt;$B209)*(B_Drainage!$K$5:$K$204&lt;&gt;"")),IF(B_Drainage!$K$5:$K$204="-","",B_Drainage!$K$5:$K$204)),"")</f>
        <v/>
      </c>
      <c r="AC209" s="182" t="str">
        <f>IFERROR(LOOKUP(2,1/((B_Drainage!$A$5:$A$204&lt;&gt;"")*(B_Drainage!$A$5:$A$204&lt;=$B209)*(B_Drainage!$B$5:$B$204&gt;$B209)*(B_Drainage!$L$5:$L$204&lt;&gt;"")),IF(B_Drainage!$L$5:$L$204="-","",B_Drainage!$L$5:$L$204)),"")</f>
        <v/>
      </c>
      <c r="AD209" s="182" t="str">
        <f>IFERROR(LOOKUP(2,1/((D_Points!$A$5:$A$204&lt;&gt;"")*(D_Points!$A$5:$A$204&gt;=$B209)*(D_Points!$A$5:$A$204&lt;$B209+P_Interval)*(UPPER(TRIM(D_Points!$B$5:$B$204))="TURNOUT_L")*(D_Points!$H$5:$H$204&lt;&gt;"")),D_Points!$H$5:$H$204),"")</f>
        <v/>
      </c>
      <c r="AE209" s="182" t="str">
        <f>IFERROR(LOOKUP(2,1/((D_Points!$A$5:$A$204&lt;&gt;"")*(D_Points!$A$5:$A$204&gt;=$B209)*(D_Points!$A$5:$A$204&lt;$B209+P_Interval)*(UPPER(TRIM(D_Points!$B$5:$B$204))="TURNOUT_R")*(D_Points!$H$5:$H$204&lt;&gt;"")),D_Points!$H$5:$H$204),"")</f>
        <v/>
      </c>
      <c r="AF209" s="181" t="str">
        <f>IFERROR(LOOKUP(2,1/((B_Drainage!$A$5:$A$204&lt;&gt;"")*(B_Drainage!$A$5:$A$204&lt;=$B209)*(B_Drainage!$B$5:$B$204&gt;$B209)*(B_Drainage!$M$5:$M$204&lt;&gt;"")),IF(UPPER(B_Drainage!$M$5:$M$204)="Y",1,"")),"")</f>
        <v/>
      </c>
      <c r="AG209" s="181" t="str">
        <f>IFERROR(LOOKUP(2,1/((B_Drainage!$A$5:$A$204&lt;&gt;"")*(B_Drainage!$A$5:$A$204&lt;=$B209)*(B_Drainage!$B$5:$B$204&gt;$B209)*(B_Drainage!$N$5:$N$204&lt;&gt;"")),IF(UPPER(B_Drainage!$N$5:$N$204)="Y",1,"")),"")</f>
        <v/>
      </c>
      <c r="AH209" s="181" t="str">
        <f t="shared" si="24"/>
        <v/>
      </c>
      <c r="AI209" s="181" t="str">
        <f t="shared" si="25"/>
        <v/>
      </c>
      <c r="AJ209" s="181" t="str">
        <f t="shared" si="26"/>
        <v/>
      </c>
      <c r="AK209" s="181" t="str">
        <f t="shared" si="27"/>
        <v/>
      </c>
      <c r="AL209" s="181" t="str">
        <f t="shared" si="28"/>
        <v/>
      </c>
      <c r="AM209" s="181" t="str">
        <f t="shared" si="29"/>
        <v/>
      </c>
      <c r="AN209" s="181" t="str">
        <f t="shared" si="30"/>
        <v/>
      </c>
      <c r="AO209" s="192" t="str">
        <f t="shared" si="31"/>
        <v/>
      </c>
      <c r="AQ209" t="str">
        <f>IFERROR(LOOKUP(2,1/((C_Pavement!$A$5:$A$204&lt;&gt;"")*(C_Pavement!$A$5:$A$204&lt;=$B209)*(C_Pavement!$B$5:$B$204&gt;$B209)*(C_Pavement!$C$5:$C$204&lt;&gt;"")),ROW(C_Pavement!$C$5:$C$204)-4),"")</f>
        <v/>
      </c>
      <c r="AR209" t="str">
        <f>IF($AQ209="","",UPPER(TRIM(INDEX(C_Pavement!$C$5:$C$204,$AQ209))))</f>
        <v/>
      </c>
      <c r="AS209" t="str">
        <f>IF($AR209="","",IFERROR(MATCH($AR209,E_Rules!$A$5:$A$9,0),""))</f>
        <v/>
      </c>
      <c r="AT209" t="str">
        <f>IF($AQ209="","",IF(INDEX(C_Pavement!$D$5:$D$204,$AQ209)&lt;&gt;"",UPPER(TRIM(INDEX(C_Pavement!$D$5:$D$204,$AQ209))),IF($AS209="","",INDEX(E_Rules!$C$5:$C$9,$AS209))))</f>
        <v/>
      </c>
      <c r="AU209" t="str">
        <f>IF($AQ209="","",IF(INDEX(C_Pavement!$E$5:$E$204,$AQ209)&lt;&gt;"",IF(INDEX(C_Pavement!$E$5:$E$204,$AQ209)="-","",INDEX(C_Pavement!$E$5:$E$204,$AQ209)),IF($AS209="","",INDEX(E_Rules!$D$5:$D$9,$AS209))))</f>
        <v/>
      </c>
      <c r="AV209" t="str">
        <f>IF($AQ209="","",IF(INDEX(C_Pavement!$F$5:$F$204,$AQ209)&lt;&gt;"",IF(INDEX(C_Pavement!$F$5:$F$204,$AQ209)="-","",INDEX(C_Pavement!$F$5:$F$204,$AQ209)),IF($AS209="","",INDEX(E_Rules!$E$5:$E$9,$AS209))))</f>
        <v/>
      </c>
      <c r="AW209" t="str">
        <f>IF($AQ209="","",IF(INDEX(C_Pavement!$G$5:$G$204,$AQ209)&lt;&gt;"",IF(INDEX(C_Pavement!$G$5:$G$204,$AQ209)="-","",INDEX(C_Pavement!$G$5:$G$204,$AQ209)),IF($AS209="","",INDEX(E_Rules!$F$5:$F$9,$AS209))))</f>
        <v/>
      </c>
      <c r="AX209" t="str">
        <f>IF($AQ209="","",IF(INDEX(C_Pavement!$H$5:$H$204,$AQ209)&lt;&gt;"",IF(INDEX(C_Pavement!$H$5:$H$204,$AQ209)="-","",INDEX(C_Pavement!$H$5:$H$204,$AQ209)),IF($AS209="","",INDEX(E_Rules!$G$5:$G$9,$AS209))))</f>
        <v/>
      </c>
      <c r="AY209" t="str">
        <f>IF($AQ209="","",IF(INDEX(C_Pavement!$I$5:$I$204,$AQ209)&lt;&gt;"",IF(INDEX(C_Pavement!$I$5:$I$204,$AQ209)="-","",INDEX(C_Pavement!$I$5:$I$204,$AQ209)),IF($AS209="","",INDEX(E_Rules!$H$5:$H$9,$AS209))))</f>
        <v/>
      </c>
    </row>
    <row r="210" spans="1:51" ht="15.75" customHeight="1" x14ac:dyDescent="0.3">
      <c r="A210" s="189">
        <v>205</v>
      </c>
      <c r="B210" s="180">
        <v>10200</v>
      </c>
      <c r="C210" s="180" t="s">
        <v>516</v>
      </c>
      <c r="D210" s="181" t="str">
        <f>IFERROR(LOOKUP(2,1/((A_Corridor!$A$5:$A$204&lt;&gt;"")*(A_Corridor!$A$5:$A$204&lt;=$B210)*(A_Corridor!$B$5:$B$204&gt;$B210)*(A_Corridor!$C$5:$C$204&lt;&gt;"")),IF(UPPER(A_Corridor!$C$5:$C$204)="Y",1,"")),"")</f>
        <v/>
      </c>
      <c r="E210" s="181" t="str">
        <f>IFERROR(LOOKUP(2,1/((A_Corridor!$A$5:$A$204&lt;&gt;"")*(A_Corridor!$A$5:$A$204&lt;=$B210)*(A_Corridor!$B$5:$B$204&gt;$B210)*(A_Corridor!$D$5:$D$204&lt;&gt;"")),IF(A_Corridor!$D$5:$D$204="-","",UPPER(A_Corridor!$D$5:$D$204))),"")</f>
        <v/>
      </c>
      <c r="F210" s="181" t="str">
        <f>IFERROR(LOOKUP(2,1/((A_Corridor!$A$5:$A$204&lt;&gt;"")*(A_Corridor!$A$5:$A$204&lt;=$B210)*(A_Corridor!$B$5:$B$204&gt;$B210)*(A_Corridor!$E$5:$E$204&lt;&gt;"")),IF(A_Corridor!$E$5:$E$204="-","",1)),"")</f>
        <v/>
      </c>
      <c r="G210" s="182" t="str">
        <f>IFERROR(LOOKUP(2,1/((A_Corridor!$A$5:$A$204&lt;&gt;"")*(A_Corridor!$A$5:$A$204&lt;=$B210)*(A_Corridor!$B$5:$B$204&gt;$B210)*(A_Corridor!$E$5:$E$204&lt;&gt;"")),IF(A_Corridor!$E$5:$E$204="-","",A_Corridor!$E$5:$E$204)),"")</f>
        <v/>
      </c>
      <c r="H210" s="182" t="str">
        <f>IFERROR(LOOKUP(2,1/((D_Points!$A$5:$A$204&lt;&gt;"")*(D_Points!$A$5:$A$204&gt;=$B210)*(D_Points!$A$5:$A$204&lt;$B210+P_Interval)*(UPPER(TRIM(D_Points!$B$5:$B$204))="GULLY")*(D_Points!$H$5:$H$204&lt;&gt;"")),D_Points!$H$5:$H$204),"")</f>
        <v/>
      </c>
      <c r="I210" s="181" t="str">
        <f>IFERROR(LOOKUP(2,1/((A_Corridor!$A$5:$A$204&lt;&gt;"")*(A_Corridor!$A$5:$A$204&lt;=$B210)*(A_Corridor!$B$5:$B$204&gt;$B210)*(A_Corridor!$F$5:$F$204&lt;&gt;"")),IF(A_Corridor!$F$5:$F$204="-","",1)),"")</f>
        <v/>
      </c>
      <c r="J210" s="182" t="str">
        <f>IFERROR(LOOKUP(2,1/((A_Corridor!$A$5:$A$204&lt;&gt;"")*(A_Corridor!$A$5:$A$204&lt;=$B210)*(A_Corridor!$B$5:$B$204&gt;$B210)*(A_Corridor!$F$5:$F$204&lt;&gt;"")),IF(A_Corridor!$F$5:$F$204="-","",A_Corridor!$F$5:$F$204)),"")</f>
        <v/>
      </c>
      <c r="K210" s="182" t="str">
        <f>IFERROR(LOOKUP(2,1/((A_Corridor!$A$5:$A$204&lt;&gt;"")*(A_Corridor!$A$5:$A$204&lt;=$B210)*(A_Corridor!$B$5:$B$204&gt;$B210)*(A_Corridor!$G$5:$G$204&lt;&gt;"")),IF(A_Corridor!$G$5:$G$204="-","",A_Corridor!$G$5:$G$204)),"")</f>
        <v/>
      </c>
      <c r="L210" s="181" t="str">
        <f>IFERROR(LOOKUP(2,1/((A_Corridor!$A$5:$A$204&lt;&gt;"")*(A_Corridor!$A$5:$A$204&lt;=$B210)*(A_Corridor!$B$5:$B$204&gt;$B210)*(A_Corridor!$H$5:$H$204&lt;&gt;"")),IF(A_Corridor!$H$5:$H$204="-","",1)),"")</f>
        <v/>
      </c>
      <c r="M210" s="182" t="str">
        <f>IFERROR(LOOKUP(2,1/((A_Corridor!$A$5:$A$204&lt;&gt;"")*(A_Corridor!$A$5:$A$204&lt;=$B210)*(A_Corridor!$B$5:$B$204&gt;$B210)*(A_Corridor!$H$5:$H$204&lt;&gt;"")),IF(A_Corridor!$H$5:$H$204="-","",A_Corridor!$H$5:$H$204)),"")</f>
        <v/>
      </c>
      <c r="N210" s="182" t="str">
        <f>IFERROR(LOOKUP(2,1/((A_Corridor!$A$5:$A$204&lt;&gt;"")*(A_Corridor!$A$5:$A$204&lt;=$B210)*(A_Corridor!$B$5:$B$204&gt;$B210)*(A_Corridor!$I$5:$I$204&lt;&gt;"")),IF(A_Corridor!$I$5:$I$204="-","",A_Corridor!$I$5:$I$204)),"")</f>
        <v/>
      </c>
      <c r="O210" s="182" t="str">
        <f>IFERROR(LOOKUP(2,1/((D_Points!$A$5:$A$204&lt;&gt;"")*(D_Points!$A$5:$A$204&gt;=$B210)*(D_Points!$A$5:$A$204&lt;$B210+P_Interval)*(UPPER(TRIM(D_Points!$B$5:$B$204))="PITCHING")*(D_Points!$H$5:$H$204&lt;&gt;"")),D_Points!$H$5:$H$204),"")</f>
        <v/>
      </c>
      <c r="P210" s="181" t="str">
        <f>IFERROR(LOOKUP(2,1/((B_Drainage!$A$5:$A$204&lt;&gt;"")*(B_Drainage!$A$5:$A$204&lt;=$B210)*(B_Drainage!$B$5:$B$204&gt;$B210)*(B_Drainage!$C$5:$C$204&lt;&gt;"")),IF(B_Drainage!$C$5:$C$204="-","",UPPER(B_Drainage!$C$5:$C$204))),"")</f>
        <v/>
      </c>
      <c r="Q210" s="181" t="str">
        <f>IFERROR(LOOKUP(2,1/((B_Drainage!$A$5:$A$204&lt;&gt;"")*(B_Drainage!$A$5:$A$204&lt;=$B210)*(B_Drainage!$B$5:$B$204&gt;$B210)*(B_Drainage!$D$5:$D$204&lt;&gt;"")),IF(B_Drainage!$D$5:$D$204="-","",UPPER(B_Drainage!$D$5:$D$204))),"")</f>
        <v/>
      </c>
      <c r="R210" s="182" t="str">
        <f>IFERROR(LOOKUP(2,1/((D_Points!$A$5:$A$204&lt;&gt;"")*(D_Points!$A$5:$A$204&gt;=$B210)*(D_Points!$A$5:$A$204&lt;$B210+P_Interval)*(RIGHT(UPPER(TRIM(D_Points!$B$5:$B$204)),8)="_CULVERT")),IF(LEFT(UPPER(TRIM(D_Points!$B$5:$B$204)),2)="EX",1,IF(LEFT(UPPER(TRIM(D_Points!$B$5:$B$204)),2)="PR",2,3))),"")</f>
        <v/>
      </c>
      <c r="S210" s="182" t="str">
        <f>IFERROR(LOOKUP(2,1/((D_Points!$A$5:$A$204&lt;&gt;"")*(D_Points!$A$5:$A$204&gt;=$B210)*(D_Points!$A$5:$A$204&lt;$B210+P_Interval)*(RIGHT(UPPER(TRIM(D_Points!$B$5:$B$204)),7)="_BRIDGE")),IF(LEFT(UPPER(TRIM(D_Points!$B$5:$B$204)),2)="EX",1,IF(LEFT(UPPER(TRIM(D_Points!$B$5:$B$204)),2)="PR",2,2))),"")</f>
        <v/>
      </c>
      <c r="T210" s="181" t="str">
        <f>IFERROR(LOOKUP(2,1/((B_Drainage!$A$5:$A$204&lt;&gt;"")*(B_Drainage!$A$5:$A$204&lt;=$B210)*(B_Drainage!$B$5:$B$204&gt;$B210)*(B_Drainage!$E$5:$E$204&lt;&gt;"")),IF(B_Drainage!$E$5:$E$204="-","",1)),"")</f>
        <v/>
      </c>
      <c r="U210" s="181" t="str">
        <f>IFERROR(LOOKUP(2,1/((B_Drainage!$A$5:$A$204&lt;&gt;"")*(B_Drainage!$A$5:$A$204&lt;=$B210)*(B_Drainage!$B$5:$B$204&gt;$B210)*(B_Drainage!$E$5:$E$204&lt;&gt;"")),IF(B_Drainage!$E$5:$E$204="-","",B_Drainage!$E$5:$E$204)),"")</f>
        <v/>
      </c>
      <c r="V210" s="181" t="str">
        <f>IFERROR(LOOKUP(2,1/((B_Drainage!$A$5:$A$204&lt;&gt;"")*(B_Drainage!$A$5:$A$204&lt;=$B210)*(B_Drainage!$B$5:$B$204&gt;$B210)*(B_Drainage!$F$5:$F$204&lt;&gt;"")),IF(B_Drainage!$F$5:$F$204="-","",1)),"")</f>
        <v/>
      </c>
      <c r="W210" s="181" t="str">
        <f>IFERROR(LOOKUP(2,1/((B_Drainage!$A$5:$A$204&lt;&gt;"")*(B_Drainage!$A$5:$A$204&lt;=$B210)*(B_Drainage!$B$5:$B$204&gt;$B210)*(B_Drainage!$F$5:$F$204&lt;&gt;"")),IF(B_Drainage!$F$5:$F$204="-","",B_Drainage!$F$5:$F$204)),"")</f>
        <v/>
      </c>
      <c r="X210" s="181" t="str">
        <f>IFERROR(LOOKUP(2,1/((B_Drainage!$A$5:$A$204&lt;&gt;"")*(B_Drainage!$A$5:$A$204&lt;=$B210)*(B_Drainage!$B$5:$B$204&gt;$B210)*(B_Drainage!$G$5:$G$204&lt;&gt;"")),IF(UPPER(B_Drainage!$G$5:$G$204)="Y",1,"")),"")</f>
        <v/>
      </c>
      <c r="Y210" s="181" t="str">
        <f>IFERROR(LOOKUP(2,1/((B_Drainage!$A$5:$A$204&lt;&gt;"")*(B_Drainage!$A$5:$A$204&lt;=$B210)*(B_Drainage!$B$5:$B$204&gt;$B210)*(B_Drainage!$H$5:$H$204&lt;&gt;"")),IF(UPPER(B_Drainage!$H$5:$H$204)="Y",1,"")),"")</f>
        <v/>
      </c>
      <c r="Z210" s="181" t="str">
        <f>IFERROR(LOOKUP(2,1/((B_Drainage!$A$5:$A$204&lt;&gt;"")*(B_Drainage!$A$5:$A$204&lt;=$B210)*(B_Drainage!$B$5:$B$204&gt;$B210)*(B_Drainage!$I$5:$I$204&lt;&gt;"")),IF(UPPER(B_Drainage!$I$5:$I$204)="Y",1,"")),"")</f>
        <v/>
      </c>
      <c r="AA210" s="181" t="str">
        <f>IFERROR(LOOKUP(2,1/((B_Drainage!$A$5:$A$204&lt;&gt;"")*(B_Drainage!$A$5:$A$204&lt;=$B210)*(B_Drainage!$B$5:$B$204&gt;$B210)*(B_Drainage!$J$5:$J$204&lt;&gt;"")),IF(UPPER(B_Drainage!$J$5:$J$204)="Y",1,"")),"")</f>
        <v/>
      </c>
      <c r="AB210" s="182" t="str">
        <f>IFERROR(LOOKUP(2,1/((B_Drainage!$A$5:$A$204&lt;&gt;"")*(B_Drainage!$A$5:$A$204&lt;=$B210)*(B_Drainage!$B$5:$B$204&gt;$B210)*(B_Drainage!$K$5:$K$204&lt;&gt;"")),IF(B_Drainage!$K$5:$K$204="-","",B_Drainage!$K$5:$K$204)),"")</f>
        <v/>
      </c>
      <c r="AC210" s="182" t="str">
        <f>IFERROR(LOOKUP(2,1/((B_Drainage!$A$5:$A$204&lt;&gt;"")*(B_Drainage!$A$5:$A$204&lt;=$B210)*(B_Drainage!$B$5:$B$204&gt;$B210)*(B_Drainage!$L$5:$L$204&lt;&gt;"")),IF(B_Drainage!$L$5:$L$204="-","",B_Drainage!$L$5:$L$204)),"")</f>
        <v/>
      </c>
      <c r="AD210" s="182" t="str">
        <f>IFERROR(LOOKUP(2,1/((D_Points!$A$5:$A$204&lt;&gt;"")*(D_Points!$A$5:$A$204&gt;=$B210)*(D_Points!$A$5:$A$204&lt;$B210+P_Interval)*(UPPER(TRIM(D_Points!$B$5:$B$204))="TURNOUT_L")*(D_Points!$H$5:$H$204&lt;&gt;"")),D_Points!$H$5:$H$204),"")</f>
        <v/>
      </c>
      <c r="AE210" s="182" t="str">
        <f>IFERROR(LOOKUP(2,1/((D_Points!$A$5:$A$204&lt;&gt;"")*(D_Points!$A$5:$A$204&gt;=$B210)*(D_Points!$A$5:$A$204&lt;$B210+P_Interval)*(UPPER(TRIM(D_Points!$B$5:$B$204))="TURNOUT_R")*(D_Points!$H$5:$H$204&lt;&gt;"")),D_Points!$H$5:$H$204),"")</f>
        <v/>
      </c>
      <c r="AF210" s="181" t="str">
        <f>IFERROR(LOOKUP(2,1/((B_Drainage!$A$5:$A$204&lt;&gt;"")*(B_Drainage!$A$5:$A$204&lt;=$B210)*(B_Drainage!$B$5:$B$204&gt;$B210)*(B_Drainage!$M$5:$M$204&lt;&gt;"")),IF(UPPER(B_Drainage!$M$5:$M$204)="Y",1,"")),"")</f>
        <v/>
      </c>
      <c r="AG210" s="181" t="str">
        <f>IFERROR(LOOKUP(2,1/((B_Drainage!$A$5:$A$204&lt;&gt;"")*(B_Drainage!$A$5:$A$204&lt;=$B210)*(B_Drainage!$B$5:$B$204&gt;$B210)*(B_Drainage!$N$5:$N$204&lt;&gt;"")),IF(UPPER(B_Drainage!$N$5:$N$204)="Y",1,"")),"")</f>
        <v/>
      </c>
      <c r="AH210" s="181" t="str">
        <f t="shared" si="24"/>
        <v/>
      </c>
      <c r="AI210" s="181" t="str">
        <f t="shared" si="25"/>
        <v/>
      </c>
      <c r="AJ210" s="181" t="str">
        <f t="shared" si="26"/>
        <v/>
      </c>
      <c r="AK210" s="181" t="str">
        <f t="shared" si="27"/>
        <v/>
      </c>
      <c r="AL210" s="181" t="str">
        <f t="shared" si="28"/>
        <v/>
      </c>
      <c r="AM210" s="181" t="str">
        <f t="shared" si="29"/>
        <v/>
      </c>
      <c r="AN210" s="181" t="str">
        <f t="shared" si="30"/>
        <v/>
      </c>
      <c r="AO210" s="192" t="str">
        <f t="shared" si="31"/>
        <v/>
      </c>
      <c r="AQ210" t="str">
        <f>IFERROR(LOOKUP(2,1/((C_Pavement!$A$5:$A$204&lt;&gt;"")*(C_Pavement!$A$5:$A$204&lt;=$B210)*(C_Pavement!$B$5:$B$204&gt;$B210)*(C_Pavement!$C$5:$C$204&lt;&gt;"")),ROW(C_Pavement!$C$5:$C$204)-4),"")</f>
        <v/>
      </c>
      <c r="AR210" t="str">
        <f>IF($AQ210="","",UPPER(TRIM(INDEX(C_Pavement!$C$5:$C$204,$AQ210))))</f>
        <v/>
      </c>
      <c r="AS210" t="str">
        <f>IF($AR210="","",IFERROR(MATCH($AR210,E_Rules!$A$5:$A$9,0),""))</f>
        <v/>
      </c>
      <c r="AT210" t="str">
        <f>IF($AQ210="","",IF(INDEX(C_Pavement!$D$5:$D$204,$AQ210)&lt;&gt;"",UPPER(TRIM(INDEX(C_Pavement!$D$5:$D$204,$AQ210))),IF($AS210="","",INDEX(E_Rules!$C$5:$C$9,$AS210))))</f>
        <v/>
      </c>
      <c r="AU210" t="str">
        <f>IF($AQ210="","",IF(INDEX(C_Pavement!$E$5:$E$204,$AQ210)&lt;&gt;"",IF(INDEX(C_Pavement!$E$5:$E$204,$AQ210)="-","",INDEX(C_Pavement!$E$5:$E$204,$AQ210)),IF($AS210="","",INDEX(E_Rules!$D$5:$D$9,$AS210))))</f>
        <v/>
      </c>
      <c r="AV210" t="str">
        <f>IF($AQ210="","",IF(INDEX(C_Pavement!$F$5:$F$204,$AQ210)&lt;&gt;"",IF(INDEX(C_Pavement!$F$5:$F$204,$AQ210)="-","",INDEX(C_Pavement!$F$5:$F$204,$AQ210)),IF($AS210="","",INDEX(E_Rules!$E$5:$E$9,$AS210))))</f>
        <v/>
      </c>
      <c r="AW210" t="str">
        <f>IF($AQ210="","",IF(INDEX(C_Pavement!$G$5:$G$204,$AQ210)&lt;&gt;"",IF(INDEX(C_Pavement!$G$5:$G$204,$AQ210)="-","",INDEX(C_Pavement!$G$5:$G$204,$AQ210)),IF($AS210="","",INDEX(E_Rules!$F$5:$F$9,$AS210))))</f>
        <v/>
      </c>
      <c r="AX210" t="str">
        <f>IF($AQ210="","",IF(INDEX(C_Pavement!$H$5:$H$204,$AQ210)&lt;&gt;"",IF(INDEX(C_Pavement!$H$5:$H$204,$AQ210)="-","",INDEX(C_Pavement!$H$5:$H$204,$AQ210)),IF($AS210="","",INDEX(E_Rules!$G$5:$G$9,$AS210))))</f>
        <v/>
      </c>
      <c r="AY210" t="str">
        <f>IF($AQ210="","",IF(INDEX(C_Pavement!$I$5:$I$204,$AQ210)&lt;&gt;"",IF(INDEX(C_Pavement!$I$5:$I$204,$AQ210)="-","",INDEX(C_Pavement!$I$5:$I$204,$AQ210)),IF($AS210="","",INDEX(E_Rules!$H$5:$H$9,$AS210))))</f>
        <v/>
      </c>
    </row>
    <row r="211" spans="1:51" ht="15.75" customHeight="1" x14ac:dyDescent="0.3">
      <c r="A211" s="189">
        <v>206</v>
      </c>
      <c r="B211" s="180">
        <v>10250</v>
      </c>
      <c r="C211" s="180" t="s">
        <v>517</v>
      </c>
      <c r="D211" s="181" t="str">
        <f>IFERROR(LOOKUP(2,1/((A_Corridor!$A$5:$A$204&lt;&gt;"")*(A_Corridor!$A$5:$A$204&lt;=$B211)*(A_Corridor!$B$5:$B$204&gt;$B211)*(A_Corridor!$C$5:$C$204&lt;&gt;"")),IF(UPPER(A_Corridor!$C$5:$C$204)="Y",1,"")),"")</f>
        <v/>
      </c>
      <c r="E211" s="181" t="str">
        <f>IFERROR(LOOKUP(2,1/((A_Corridor!$A$5:$A$204&lt;&gt;"")*(A_Corridor!$A$5:$A$204&lt;=$B211)*(A_Corridor!$B$5:$B$204&gt;$B211)*(A_Corridor!$D$5:$D$204&lt;&gt;"")),IF(A_Corridor!$D$5:$D$204="-","",UPPER(A_Corridor!$D$5:$D$204))),"")</f>
        <v/>
      </c>
      <c r="F211" s="181" t="str">
        <f>IFERROR(LOOKUP(2,1/((A_Corridor!$A$5:$A$204&lt;&gt;"")*(A_Corridor!$A$5:$A$204&lt;=$B211)*(A_Corridor!$B$5:$B$204&gt;$B211)*(A_Corridor!$E$5:$E$204&lt;&gt;"")),IF(A_Corridor!$E$5:$E$204="-","",1)),"")</f>
        <v/>
      </c>
      <c r="G211" s="182" t="str">
        <f>IFERROR(LOOKUP(2,1/((A_Corridor!$A$5:$A$204&lt;&gt;"")*(A_Corridor!$A$5:$A$204&lt;=$B211)*(A_Corridor!$B$5:$B$204&gt;$B211)*(A_Corridor!$E$5:$E$204&lt;&gt;"")),IF(A_Corridor!$E$5:$E$204="-","",A_Corridor!$E$5:$E$204)),"")</f>
        <v/>
      </c>
      <c r="H211" s="182" t="str">
        <f>IFERROR(LOOKUP(2,1/((D_Points!$A$5:$A$204&lt;&gt;"")*(D_Points!$A$5:$A$204&gt;=$B211)*(D_Points!$A$5:$A$204&lt;$B211+P_Interval)*(UPPER(TRIM(D_Points!$B$5:$B$204))="GULLY")*(D_Points!$H$5:$H$204&lt;&gt;"")),D_Points!$H$5:$H$204),"")</f>
        <v/>
      </c>
      <c r="I211" s="181" t="str">
        <f>IFERROR(LOOKUP(2,1/((A_Corridor!$A$5:$A$204&lt;&gt;"")*(A_Corridor!$A$5:$A$204&lt;=$B211)*(A_Corridor!$B$5:$B$204&gt;$B211)*(A_Corridor!$F$5:$F$204&lt;&gt;"")),IF(A_Corridor!$F$5:$F$204="-","",1)),"")</f>
        <v/>
      </c>
      <c r="J211" s="182" t="str">
        <f>IFERROR(LOOKUP(2,1/((A_Corridor!$A$5:$A$204&lt;&gt;"")*(A_Corridor!$A$5:$A$204&lt;=$B211)*(A_Corridor!$B$5:$B$204&gt;$B211)*(A_Corridor!$F$5:$F$204&lt;&gt;"")),IF(A_Corridor!$F$5:$F$204="-","",A_Corridor!$F$5:$F$204)),"")</f>
        <v/>
      </c>
      <c r="K211" s="182" t="str">
        <f>IFERROR(LOOKUP(2,1/((A_Corridor!$A$5:$A$204&lt;&gt;"")*(A_Corridor!$A$5:$A$204&lt;=$B211)*(A_Corridor!$B$5:$B$204&gt;$B211)*(A_Corridor!$G$5:$G$204&lt;&gt;"")),IF(A_Corridor!$G$5:$G$204="-","",A_Corridor!$G$5:$G$204)),"")</f>
        <v/>
      </c>
      <c r="L211" s="181" t="str">
        <f>IFERROR(LOOKUP(2,1/((A_Corridor!$A$5:$A$204&lt;&gt;"")*(A_Corridor!$A$5:$A$204&lt;=$B211)*(A_Corridor!$B$5:$B$204&gt;$B211)*(A_Corridor!$H$5:$H$204&lt;&gt;"")),IF(A_Corridor!$H$5:$H$204="-","",1)),"")</f>
        <v/>
      </c>
      <c r="M211" s="182" t="str">
        <f>IFERROR(LOOKUP(2,1/((A_Corridor!$A$5:$A$204&lt;&gt;"")*(A_Corridor!$A$5:$A$204&lt;=$B211)*(A_Corridor!$B$5:$B$204&gt;$B211)*(A_Corridor!$H$5:$H$204&lt;&gt;"")),IF(A_Corridor!$H$5:$H$204="-","",A_Corridor!$H$5:$H$204)),"")</f>
        <v/>
      </c>
      <c r="N211" s="182" t="str">
        <f>IFERROR(LOOKUP(2,1/((A_Corridor!$A$5:$A$204&lt;&gt;"")*(A_Corridor!$A$5:$A$204&lt;=$B211)*(A_Corridor!$B$5:$B$204&gt;$B211)*(A_Corridor!$I$5:$I$204&lt;&gt;"")),IF(A_Corridor!$I$5:$I$204="-","",A_Corridor!$I$5:$I$204)),"")</f>
        <v/>
      </c>
      <c r="O211" s="182" t="str">
        <f>IFERROR(LOOKUP(2,1/((D_Points!$A$5:$A$204&lt;&gt;"")*(D_Points!$A$5:$A$204&gt;=$B211)*(D_Points!$A$5:$A$204&lt;$B211+P_Interval)*(UPPER(TRIM(D_Points!$B$5:$B$204))="PITCHING")*(D_Points!$H$5:$H$204&lt;&gt;"")),D_Points!$H$5:$H$204),"")</f>
        <v/>
      </c>
      <c r="P211" s="181" t="str">
        <f>IFERROR(LOOKUP(2,1/((B_Drainage!$A$5:$A$204&lt;&gt;"")*(B_Drainage!$A$5:$A$204&lt;=$B211)*(B_Drainage!$B$5:$B$204&gt;$B211)*(B_Drainage!$C$5:$C$204&lt;&gt;"")),IF(B_Drainage!$C$5:$C$204="-","",UPPER(B_Drainage!$C$5:$C$204))),"")</f>
        <v/>
      </c>
      <c r="Q211" s="181" t="str">
        <f>IFERROR(LOOKUP(2,1/((B_Drainage!$A$5:$A$204&lt;&gt;"")*(B_Drainage!$A$5:$A$204&lt;=$B211)*(B_Drainage!$B$5:$B$204&gt;$B211)*(B_Drainage!$D$5:$D$204&lt;&gt;"")),IF(B_Drainage!$D$5:$D$204="-","",UPPER(B_Drainage!$D$5:$D$204))),"")</f>
        <v/>
      </c>
      <c r="R211" s="182" t="str">
        <f>IFERROR(LOOKUP(2,1/((D_Points!$A$5:$A$204&lt;&gt;"")*(D_Points!$A$5:$A$204&gt;=$B211)*(D_Points!$A$5:$A$204&lt;$B211+P_Interval)*(RIGHT(UPPER(TRIM(D_Points!$B$5:$B$204)),8)="_CULVERT")),IF(LEFT(UPPER(TRIM(D_Points!$B$5:$B$204)),2)="EX",1,IF(LEFT(UPPER(TRIM(D_Points!$B$5:$B$204)),2)="PR",2,3))),"")</f>
        <v/>
      </c>
      <c r="S211" s="182" t="str">
        <f>IFERROR(LOOKUP(2,1/((D_Points!$A$5:$A$204&lt;&gt;"")*(D_Points!$A$5:$A$204&gt;=$B211)*(D_Points!$A$5:$A$204&lt;$B211+P_Interval)*(RIGHT(UPPER(TRIM(D_Points!$B$5:$B$204)),7)="_BRIDGE")),IF(LEFT(UPPER(TRIM(D_Points!$B$5:$B$204)),2)="EX",1,IF(LEFT(UPPER(TRIM(D_Points!$B$5:$B$204)),2)="PR",2,2))),"")</f>
        <v/>
      </c>
      <c r="T211" s="181" t="str">
        <f>IFERROR(LOOKUP(2,1/((B_Drainage!$A$5:$A$204&lt;&gt;"")*(B_Drainage!$A$5:$A$204&lt;=$B211)*(B_Drainage!$B$5:$B$204&gt;$B211)*(B_Drainage!$E$5:$E$204&lt;&gt;"")),IF(B_Drainage!$E$5:$E$204="-","",1)),"")</f>
        <v/>
      </c>
      <c r="U211" s="181" t="str">
        <f>IFERROR(LOOKUP(2,1/((B_Drainage!$A$5:$A$204&lt;&gt;"")*(B_Drainage!$A$5:$A$204&lt;=$B211)*(B_Drainage!$B$5:$B$204&gt;$B211)*(B_Drainage!$E$5:$E$204&lt;&gt;"")),IF(B_Drainage!$E$5:$E$204="-","",B_Drainage!$E$5:$E$204)),"")</f>
        <v/>
      </c>
      <c r="V211" s="181" t="str">
        <f>IFERROR(LOOKUP(2,1/((B_Drainage!$A$5:$A$204&lt;&gt;"")*(B_Drainage!$A$5:$A$204&lt;=$B211)*(B_Drainage!$B$5:$B$204&gt;$B211)*(B_Drainage!$F$5:$F$204&lt;&gt;"")),IF(B_Drainage!$F$5:$F$204="-","",1)),"")</f>
        <v/>
      </c>
      <c r="W211" s="181" t="str">
        <f>IFERROR(LOOKUP(2,1/((B_Drainage!$A$5:$A$204&lt;&gt;"")*(B_Drainage!$A$5:$A$204&lt;=$B211)*(B_Drainage!$B$5:$B$204&gt;$B211)*(B_Drainage!$F$5:$F$204&lt;&gt;"")),IF(B_Drainage!$F$5:$F$204="-","",B_Drainage!$F$5:$F$204)),"")</f>
        <v/>
      </c>
      <c r="X211" s="181" t="str">
        <f>IFERROR(LOOKUP(2,1/((B_Drainage!$A$5:$A$204&lt;&gt;"")*(B_Drainage!$A$5:$A$204&lt;=$B211)*(B_Drainage!$B$5:$B$204&gt;$B211)*(B_Drainage!$G$5:$G$204&lt;&gt;"")),IF(UPPER(B_Drainage!$G$5:$G$204)="Y",1,"")),"")</f>
        <v/>
      </c>
      <c r="Y211" s="181" t="str">
        <f>IFERROR(LOOKUP(2,1/((B_Drainage!$A$5:$A$204&lt;&gt;"")*(B_Drainage!$A$5:$A$204&lt;=$B211)*(B_Drainage!$B$5:$B$204&gt;$B211)*(B_Drainage!$H$5:$H$204&lt;&gt;"")),IF(UPPER(B_Drainage!$H$5:$H$204)="Y",1,"")),"")</f>
        <v/>
      </c>
      <c r="Z211" s="181" t="str">
        <f>IFERROR(LOOKUP(2,1/((B_Drainage!$A$5:$A$204&lt;&gt;"")*(B_Drainage!$A$5:$A$204&lt;=$B211)*(B_Drainage!$B$5:$B$204&gt;$B211)*(B_Drainage!$I$5:$I$204&lt;&gt;"")),IF(UPPER(B_Drainage!$I$5:$I$204)="Y",1,"")),"")</f>
        <v/>
      </c>
      <c r="AA211" s="181" t="str">
        <f>IFERROR(LOOKUP(2,1/((B_Drainage!$A$5:$A$204&lt;&gt;"")*(B_Drainage!$A$5:$A$204&lt;=$B211)*(B_Drainage!$B$5:$B$204&gt;$B211)*(B_Drainage!$J$5:$J$204&lt;&gt;"")),IF(UPPER(B_Drainage!$J$5:$J$204)="Y",1,"")),"")</f>
        <v/>
      </c>
      <c r="AB211" s="182" t="str">
        <f>IFERROR(LOOKUP(2,1/((B_Drainage!$A$5:$A$204&lt;&gt;"")*(B_Drainage!$A$5:$A$204&lt;=$B211)*(B_Drainage!$B$5:$B$204&gt;$B211)*(B_Drainage!$K$5:$K$204&lt;&gt;"")),IF(B_Drainage!$K$5:$K$204="-","",B_Drainage!$K$5:$K$204)),"")</f>
        <v/>
      </c>
      <c r="AC211" s="182" t="str">
        <f>IFERROR(LOOKUP(2,1/((B_Drainage!$A$5:$A$204&lt;&gt;"")*(B_Drainage!$A$5:$A$204&lt;=$B211)*(B_Drainage!$B$5:$B$204&gt;$B211)*(B_Drainage!$L$5:$L$204&lt;&gt;"")),IF(B_Drainage!$L$5:$L$204="-","",B_Drainage!$L$5:$L$204)),"")</f>
        <v/>
      </c>
      <c r="AD211" s="182" t="str">
        <f>IFERROR(LOOKUP(2,1/((D_Points!$A$5:$A$204&lt;&gt;"")*(D_Points!$A$5:$A$204&gt;=$B211)*(D_Points!$A$5:$A$204&lt;$B211+P_Interval)*(UPPER(TRIM(D_Points!$B$5:$B$204))="TURNOUT_L")*(D_Points!$H$5:$H$204&lt;&gt;"")),D_Points!$H$5:$H$204),"")</f>
        <v/>
      </c>
      <c r="AE211" s="182" t="str">
        <f>IFERROR(LOOKUP(2,1/((D_Points!$A$5:$A$204&lt;&gt;"")*(D_Points!$A$5:$A$204&gt;=$B211)*(D_Points!$A$5:$A$204&lt;$B211+P_Interval)*(UPPER(TRIM(D_Points!$B$5:$B$204))="TURNOUT_R")*(D_Points!$H$5:$H$204&lt;&gt;"")),D_Points!$H$5:$H$204),"")</f>
        <v/>
      </c>
      <c r="AF211" s="181" t="str">
        <f>IFERROR(LOOKUP(2,1/((B_Drainage!$A$5:$A$204&lt;&gt;"")*(B_Drainage!$A$5:$A$204&lt;=$B211)*(B_Drainage!$B$5:$B$204&gt;$B211)*(B_Drainage!$M$5:$M$204&lt;&gt;"")),IF(UPPER(B_Drainage!$M$5:$M$204)="Y",1,"")),"")</f>
        <v/>
      </c>
      <c r="AG211" s="181" t="str">
        <f>IFERROR(LOOKUP(2,1/((B_Drainage!$A$5:$A$204&lt;&gt;"")*(B_Drainage!$A$5:$A$204&lt;=$B211)*(B_Drainage!$B$5:$B$204&gt;$B211)*(B_Drainage!$N$5:$N$204&lt;&gt;"")),IF(UPPER(B_Drainage!$N$5:$N$204)="Y",1,"")),"")</f>
        <v/>
      </c>
      <c r="AH211" s="181" t="str">
        <f t="shared" si="24"/>
        <v/>
      </c>
      <c r="AI211" s="181" t="str">
        <f t="shared" si="25"/>
        <v/>
      </c>
      <c r="AJ211" s="181" t="str">
        <f t="shared" si="26"/>
        <v/>
      </c>
      <c r="AK211" s="181" t="str">
        <f t="shared" si="27"/>
        <v/>
      </c>
      <c r="AL211" s="181" t="str">
        <f t="shared" si="28"/>
        <v/>
      </c>
      <c r="AM211" s="181" t="str">
        <f t="shared" si="29"/>
        <v/>
      </c>
      <c r="AN211" s="181" t="str">
        <f t="shared" si="30"/>
        <v/>
      </c>
      <c r="AO211" s="192" t="str">
        <f t="shared" si="31"/>
        <v/>
      </c>
      <c r="AQ211" t="str">
        <f>IFERROR(LOOKUP(2,1/((C_Pavement!$A$5:$A$204&lt;&gt;"")*(C_Pavement!$A$5:$A$204&lt;=$B211)*(C_Pavement!$B$5:$B$204&gt;$B211)*(C_Pavement!$C$5:$C$204&lt;&gt;"")),ROW(C_Pavement!$C$5:$C$204)-4),"")</f>
        <v/>
      </c>
      <c r="AR211" t="str">
        <f>IF($AQ211="","",UPPER(TRIM(INDEX(C_Pavement!$C$5:$C$204,$AQ211))))</f>
        <v/>
      </c>
      <c r="AS211" t="str">
        <f>IF($AR211="","",IFERROR(MATCH($AR211,E_Rules!$A$5:$A$9,0),""))</f>
        <v/>
      </c>
      <c r="AT211" t="str">
        <f>IF($AQ211="","",IF(INDEX(C_Pavement!$D$5:$D$204,$AQ211)&lt;&gt;"",UPPER(TRIM(INDEX(C_Pavement!$D$5:$D$204,$AQ211))),IF($AS211="","",INDEX(E_Rules!$C$5:$C$9,$AS211))))</f>
        <v/>
      </c>
      <c r="AU211" t="str">
        <f>IF($AQ211="","",IF(INDEX(C_Pavement!$E$5:$E$204,$AQ211)&lt;&gt;"",IF(INDEX(C_Pavement!$E$5:$E$204,$AQ211)="-","",INDEX(C_Pavement!$E$5:$E$204,$AQ211)),IF($AS211="","",INDEX(E_Rules!$D$5:$D$9,$AS211))))</f>
        <v/>
      </c>
      <c r="AV211" t="str">
        <f>IF($AQ211="","",IF(INDEX(C_Pavement!$F$5:$F$204,$AQ211)&lt;&gt;"",IF(INDEX(C_Pavement!$F$5:$F$204,$AQ211)="-","",INDEX(C_Pavement!$F$5:$F$204,$AQ211)),IF($AS211="","",INDEX(E_Rules!$E$5:$E$9,$AS211))))</f>
        <v/>
      </c>
      <c r="AW211" t="str">
        <f>IF($AQ211="","",IF(INDEX(C_Pavement!$G$5:$G$204,$AQ211)&lt;&gt;"",IF(INDEX(C_Pavement!$G$5:$G$204,$AQ211)="-","",INDEX(C_Pavement!$G$5:$G$204,$AQ211)),IF($AS211="","",INDEX(E_Rules!$F$5:$F$9,$AS211))))</f>
        <v/>
      </c>
      <c r="AX211" t="str">
        <f>IF($AQ211="","",IF(INDEX(C_Pavement!$H$5:$H$204,$AQ211)&lt;&gt;"",IF(INDEX(C_Pavement!$H$5:$H$204,$AQ211)="-","",INDEX(C_Pavement!$H$5:$H$204,$AQ211)),IF($AS211="","",INDEX(E_Rules!$G$5:$G$9,$AS211))))</f>
        <v/>
      </c>
      <c r="AY211" t="str">
        <f>IF($AQ211="","",IF(INDEX(C_Pavement!$I$5:$I$204,$AQ211)&lt;&gt;"",IF(INDEX(C_Pavement!$I$5:$I$204,$AQ211)="-","",INDEX(C_Pavement!$I$5:$I$204,$AQ211)),IF($AS211="","",INDEX(E_Rules!$H$5:$H$9,$AS211))))</f>
        <v/>
      </c>
    </row>
    <row r="212" spans="1:51" ht="15.75" customHeight="1" x14ac:dyDescent="0.3">
      <c r="A212" s="189">
        <v>207</v>
      </c>
      <c r="B212" s="180">
        <v>10300</v>
      </c>
      <c r="C212" s="180" t="s">
        <v>518</v>
      </c>
      <c r="D212" s="181" t="str">
        <f>IFERROR(LOOKUP(2,1/((A_Corridor!$A$5:$A$204&lt;&gt;"")*(A_Corridor!$A$5:$A$204&lt;=$B212)*(A_Corridor!$B$5:$B$204&gt;$B212)*(A_Corridor!$C$5:$C$204&lt;&gt;"")),IF(UPPER(A_Corridor!$C$5:$C$204)="Y",1,"")),"")</f>
        <v/>
      </c>
      <c r="E212" s="181" t="str">
        <f>IFERROR(LOOKUP(2,1/((A_Corridor!$A$5:$A$204&lt;&gt;"")*(A_Corridor!$A$5:$A$204&lt;=$B212)*(A_Corridor!$B$5:$B$204&gt;$B212)*(A_Corridor!$D$5:$D$204&lt;&gt;"")),IF(A_Corridor!$D$5:$D$204="-","",UPPER(A_Corridor!$D$5:$D$204))),"")</f>
        <v/>
      </c>
      <c r="F212" s="181" t="str">
        <f>IFERROR(LOOKUP(2,1/((A_Corridor!$A$5:$A$204&lt;&gt;"")*(A_Corridor!$A$5:$A$204&lt;=$B212)*(A_Corridor!$B$5:$B$204&gt;$B212)*(A_Corridor!$E$5:$E$204&lt;&gt;"")),IF(A_Corridor!$E$5:$E$204="-","",1)),"")</f>
        <v/>
      </c>
      <c r="G212" s="182" t="str">
        <f>IFERROR(LOOKUP(2,1/((A_Corridor!$A$5:$A$204&lt;&gt;"")*(A_Corridor!$A$5:$A$204&lt;=$B212)*(A_Corridor!$B$5:$B$204&gt;$B212)*(A_Corridor!$E$5:$E$204&lt;&gt;"")),IF(A_Corridor!$E$5:$E$204="-","",A_Corridor!$E$5:$E$204)),"")</f>
        <v/>
      </c>
      <c r="H212" s="182" t="str">
        <f>IFERROR(LOOKUP(2,1/((D_Points!$A$5:$A$204&lt;&gt;"")*(D_Points!$A$5:$A$204&gt;=$B212)*(D_Points!$A$5:$A$204&lt;$B212+P_Interval)*(UPPER(TRIM(D_Points!$B$5:$B$204))="GULLY")*(D_Points!$H$5:$H$204&lt;&gt;"")),D_Points!$H$5:$H$204),"")</f>
        <v/>
      </c>
      <c r="I212" s="181" t="str">
        <f>IFERROR(LOOKUP(2,1/((A_Corridor!$A$5:$A$204&lt;&gt;"")*(A_Corridor!$A$5:$A$204&lt;=$B212)*(A_Corridor!$B$5:$B$204&gt;$B212)*(A_Corridor!$F$5:$F$204&lt;&gt;"")),IF(A_Corridor!$F$5:$F$204="-","",1)),"")</f>
        <v/>
      </c>
      <c r="J212" s="182" t="str">
        <f>IFERROR(LOOKUP(2,1/((A_Corridor!$A$5:$A$204&lt;&gt;"")*(A_Corridor!$A$5:$A$204&lt;=$B212)*(A_Corridor!$B$5:$B$204&gt;$B212)*(A_Corridor!$F$5:$F$204&lt;&gt;"")),IF(A_Corridor!$F$5:$F$204="-","",A_Corridor!$F$5:$F$204)),"")</f>
        <v/>
      </c>
      <c r="K212" s="182" t="str">
        <f>IFERROR(LOOKUP(2,1/((A_Corridor!$A$5:$A$204&lt;&gt;"")*(A_Corridor!$A$5:$A$204&lt;=$B212)*(A_Corridor!$B$5:$B$204&gt;$B212)*(A_Corridor!$G$5:$G$204&lt;&gt;"")),IF(A_Corridor!$G$5:$G$204="-","",A_Corridor!$G$5:$G$204)),"")</f>
        <v/>
      </c>
      <c r="L212" s="181" t="str">
        <f>IFERROR(LOOKUP(2,1/((A_Corridor!$A$5:$A$204&lt;&gt;"")*(A_Corridor!$A$5:$A$204&lt;=$B212)*(A_Corridor!$B$5:$B$204&gt;$B212)*(A_Corridor!$H$5:$H$204&lt;&gt;"")),IF(A_Corridor!$H$5:$H$204="-","",1)),"")</f>
        <v/>
      </c>
      <c r="M212" s="182" t="str">
        <f>IFERROR(LOOKUP(2,1/((A_Corridor!$A$5:$A$204&lt;&gt;"")*(A_Corridor!$A$5:$A$204&lt;=$B212)*(A_Corridor!$B$5:$B$204&gt;$B212)*(A_Corridor!$H$5:$H$204&lt;&gt;"")),IF(A_Corridor!$H$5:$H$204="-","",A_Corridor!$H$5:$H$204)),"")</f>
        <v/>
      </c>
      <c r="N212" s="182" t="str">
        <f>IFERROR(LOOKUP(2,1/((A_Corridor!$A$5:$A$204&lt;&gt;"")*(A_Corridor!$A$5:$A$204&lt;=$B212)*(A_Corridor!$B$5:$B$204&gt;$B212)*(A_Corridor!$I$5:$I$204&lt;&gt;"")),IF(A_Corridor!$I$5:$I$204="-","",A_Corridor!$I$5:$I$204)),"")</f>
        <v/>
      </c>
      <c r="O212" s="182" t="str">
        <f>IFERROR(LOOKUP(2,1/((D_Points!$A$5:$A$204&lt;&gt;"")*(D_Points!$A$5:$A$204&gt;=$B212)*(D_Points!$A$5:$A$204&lt;$B212+P_Interval)*(UPPER(TRIM(D_Points!$B$5:$B$204))="PITCHING")*(D_Points!$H$5:$H$204&lt;&gt;"")),D_Points!$H$5:$H$204),"")</f>
        <v/>
      </c>
      <c r="P212" s="181" t="str">
        <f>IFERROR(LOOKUP(2,1/((B_Drainage!$A$5:$A$204&lt;&gt;"")*(B_Drainage!$A$5:$A$204&lt;=$B212)*(B_Drainage!$B$5:$B$204&gt;$B212)*(B_Drainage!$C$5:$C$204&lt;&gt;"")),IF(B_Drainage!$C$5:$C$204="-","",UPPER(B_Drainage!$C$5:$C$204))),"")</f>
        <v/>
      </c>
      <c r="Q212" s="181" t="str">
        <f>IFERROR(LOOKUP(2,1/((B_Drainage!$A$5:$A$204&lt;&gt;"")*(B_Drainage!$A$5:$A$204&lt;=$B212)*(B_Drainage!$B$5:$B$204&gt;$B212)*(B_Drainage!$D$5:$D$204&lt;&gt;"")),IF(B_Drainage!$D$5:$D$204="-","",UPPER(B_Drainage!$D$5:$D$204))),"")</f>
        <v/>
      </c>
      <c r="R212" s="182" t="str">
        <f>IFERROR(LOOKUP(2,1/((D_Points!$A$5:$A$204&lt;&gt;"")*(D_Points!$A$5:$A$204&gt;=$B212)*(D_Points!$A$5:$A$204&lt;$B212+P_Interval)*(RIGHT(UPPER(TRIM(D_Points!$B$5:$B$204)),8)="_CULVERT")),IF(LEFT(UPPER(TRIM(D_Points!$B$5:$B$204)),2)="EX",1,IF(LEFT(UPPER(TRIM(D_Points!$B$5:$B$204)),2)="PR",2,3))),"")</f>
        <v/>
      </c>
      <c r="S212" s="182" t="str">
        <f>IFERROR(LOOKUP(2,1/((D_Points!$A$5:$A$204&lt;&gt;"")*(D_Points!$A$5:$A$204&gt;=$B212)*(D_Points!$A$5:$A$204&lt;$B212+P_Interval)*(RIGHT(UPPER(TRIM(D_Points!$B$5:$B$204)),7)="_BRIDGE")),IF(LEFT(UPPER(TRIM(D_Points!$B$5:$B$204)),2)="EX",1,IF(LEFT(UPPER(TRIM(D_Points!$B$5:$B$204)),2)="PR",2,2))),"")</f>
        <v/>
      </c>
      <c r="T212" s="181" t="str">
        <f>IFERROR(LOOKUP(2,1/((B_Drainage!$A$5:$A$204&lt;&gt;"")*(B_Drainage!$A$5:$A$204&lt;=$B212)*(B_Drainage!$B$5:$B$204&gt;$B212)*(B_Drainage!$E$5:$E$204&lt;&gt;"")),IF(B_Drainage!$E$5:$E$204="-","",1)),"")</f>
        <v/>
      </c>
      <c r="U212" s="181" t="str">
        <f>IFERROR(LOOKUP(2,1/((B_Drainage!$A$5:$A$204&lt;&gt;"")*(B_Drainage!$A$5:$A$204&lt;=$B212)*(B_Drainage!$B$5:$B$204&gt;$B212)*(B_Drainage!$E$5:$E$204&lt;&gt;"")),IF(B_Drainage!$E$5:$E$204="-","",B_Drainage!$E$5:$E$204)),"")</f>
        <v/>
      </c>
      <c r="V212" s="181" t="str">
        <f>IFERROR(LOOKUP(2,1/((B_Drainage!$A$5:$A$204&lt;&gt;"")*(B_Drainage!$A$5:$A$204&lt;=$B212)*(B_Drainage!$B$5:$B$204&gt;$B212)*(B_Drainage!$F$5:$F$204&lt;&gt;"")),IF(B_Drainage!$F$5:$F$204="-","",1)),"")</f>
        <v/>
      </c>
      <c r="W212" s="181" t="str">
        <f>IFERROR(LOOKUP(2,1/((B_Drainage!$A$5:$A$204&lt;&gt;"")*(B_Drainage!$A$5:$A$204&lt;=$B212)*(B_Drainage!$B$5:$B$204&gt;$B212)*(B_Drainage!$F$5:$F$204&lt;&gt;"")),IF(B_Drainage!$F$5:$F$204="-","",B_Drainage!$F$5:$F$204)),"")</f>
        <v/>
      </c>
      <c r="X212" s="181" t="str">
        <f>IFERROR(LOOKUP(2,1/((B_Drainage!$A$5:$A$204&lt;&gt;"")*(B_Drainage!$A$5:$A$204&lt;=$B212)*(B_Drainage!$B$5:$B$204&gt;$B212)*(B_Drainage!$G$5:$G$204&lt;&gt;"")),IF(UPPER(B_Drainage!$G$5:$G$204)="Y",1,"")),"")</f>
        <v/>
      </c>
      <c r="Y212" s="181" t="str">
        <f>IFERROR(LOOKUP(2,1/((B_Drainage!$A$5:$A$204&lt;&gt;"")*(B_Drainage!$A$5:$A$204&lt;=$B212)*(B_Drainage!$B$5:$B$204&gt;$B212)*(B_Drainage!$H$5:$H$204&lt;&gt;"")),IF(UPPER(B_Drainage!$H$5:$H$204)="Y",1,"")),"")</f>
        <v/>
      </c>
      <c r="Z212" s="181" t="str">
        <f>IFERROR(LOOKUP(2,1/((B_Drainage!$A$5:$A$204&lt;&gt;"")*(B_Drainage!$A$5:$A$204&lt;=$B212)*(B_Drainage!$B$5:$B$204&gt;$B212)*(B_Drainage!$I$5:$I$204&lt;&gt;"")),IF(UPPER(B_Drainage!$I$5:$I$204)="Y",1,"")),"")</f>
        <v/>
      </c>
      <c r="AA212" s="181" t="str">
        <f>IFERROR(LOOKUP(2,1/((B_Drainage!$A$5:$A$204&lt;&gt;"")*(B_Drainage!$A$5:$A$204&lt;=$B212)*(B_Drainage!$B$5:$B$204&gt;$B212)*(B_Drainage!$J$5:$J$204&lt;&gt;"")),IF(UPPER(B_Drainage!$J$5:$J$204)="Y",1,"")),"")</f>
        <v/>
      </c>
      <c r="AB212" s="182" t="str">
        <f>IFERROR(LOOKUP(2,1/((B_Drainage!$A$5:$A$204&lt;&gt;"")*(B_Drainage!$A$5:$A$204&lt;=$B212)*(B_Drainage!$B$5:$B$204&gt;$B212)*(B_Drainage!$K$5:$K$204&lt;&gt;"")),IF(B_Drainage!$K$5:$K$204="-","",B_Drainage!$K$5:$K$204)),"")</f>
        <v/>
      </c>
      <c r="AC212" s="182" t="str">
        <f>IFERROR(LOOKUP(2,1/((B_Drainage!$A$5:$A$204&lt;&gt;"")*(B_Drainage!$A$5:$A$204&lt;=$B212)*(B_Drainage!$B$5:$B$204&gt;$B212)*(B_Drainage!$L$5:$L$204&lt;&gt;"")),IF(B_Drainage!$L$5:$L$204="-","",B_Drainage!$L$5:$L$204)),"")</f>
        <v/>
      </c>
      <c r="AD212" s="182" t="str">
        <f>IFERROR(LOOKUP(2,1/((D_Points!$A$5:$A$204&lt;&gt;"")*(D_Points!$A$5:$A$204&gt;=$B212)*(D_Points!$A$5:$A$204&lt;$B212+P_Interval)*(UPPER(TRIM(D_Points!$B$5:$B$204))="TURNOUT_L")*(D_Points!$H$5:$H$204&lt;&gt;"")),D_Points!$H$5:$H$204),"")</f>
        <v/>
      </c>
      <c r="AE212" s="182" t="str">
        <f>IFERROR(LOOKUP(2,1/((D_Points!$A$5:$A$204&lt;&gt;"")*(D_Points!$A$5:$A$204&gt;=$B212)*(D_Points!$A$5:$A$204&lt;$B212+P_Interval)*(UPPER(TRIM(D_Points!$B$5:$B$204))="TURNOUT_R")*(D_Points!$H$5:$H$204&lt;&gt;"")),D_Points!$H$5:$H$204),"")</f>
        <v/>
      </c>
      <c r="AF212" s="181" t="str">
        <f>IFERROR(LOOKUP(2,1/((B_Drainage!$A$5:$A$204&lt;&gt;"")*(B_Drainage!$A$5:$A$204&lt;=$B212)*(B_Drainage!$B$5:$B$204&gt;$B212)*(B_Drainage!$M$5:$M$204&lt;&gt;"")),IF(UPPER(B_Drainage!$M$5:$M$204)="Y",1,"")),"")</f>
        <v/>
      </c>
      <c r="AG212" s="181" t="str">
        <f>IFERROR(LOOKUP(2,1/((B_Drainage!$A$5:$A$204&lt;&gt;"")*(B_Drainage!$A$5:$A$204&lt;=$B212)*(B_Drainage!$B$5:$B$204&gt;$B212)*(B_Drainage!$N$5:$N$204&lt;&gt;"")),IF(UPPER(B_Drainage!$N$5:$N$204)="Y",1,"")),"")</f>
        <v/>
      </c>
      <c r="AH212" s="181" t="str">
        <f t="shared" si="24"/>
        <v/>
      </c>
      <c r="AI212" s="181" t="str">
        <f t="shared" si="25"/>
        <v/>
      </c>
      <c r="AJ212" s="181" t="str">
        <f t="shared" si="26"/>
        <v/>
      </c>
      <c r="AK212" s="181" t="str">
        <f t="shared" si="27"/>
        <v/>
      </c>
      <c r="AL212" s="181" t="str">
        <f t="shared" si="28"/>
        <v/>
      </c>
      <c r="AM212" s="181" t="str">
        <f t="shared" si="29"/>
        <v/>
      </c>
      <c r="AN212" s="181" t="str">
        <f t="shared" si="30"/>
        <v/>
      </c>
      <c r="AO212" s="192" t="str">
        <f t="shared" si="31"/>
        <v/>
      </c>
      <c r="AQ212" t="str">
        <f>IFERROR(LOOKUP(2,1/((C_Pavement!$A$5:$A$204&lt;&gt;"")*(C_Pavement!$A$5:$A$204&lt;=$B212)*(C_Pavement!$B$5:$B$204&gt;$B212)*(C_Pavement!$C$5:$C$204&lt;&gt;"")),ROW(C_Pavement!$C$5:$C$204)-4),"")</f>
        <v/>
      </c>
      <c r="AR212" t="str">
        <f>IF($AQ212="","",UPPER(TRIM(INDEX(C_Pavement!$C$5:$C$204,$AQ212))))</f>
        <v/>
      </c>
      <c r="AS212" t="str">
        <f>IF($AR212="","",IFERROR(MATCH($AR212,E_Rules!$A$5:$A$9,0),""))</f>
        <v/>
      </c>
      <c r="AT212" t="str">
        <f>IF($AQ212="","",IF(INDEX(C_Pavement!$D$5:$D$204,$AQ212)&lt;&gt;"",UPPER(TRIM(INDEX(C_Pavement!$D$5:$D$204,$AQ212))),IF($AS212="","",INDEX(E_Rules!$C$5:$C$9,$AS212))))</f>
        <v/>
      </c>
      <c r="AU212" t="str">
        <f>IF($AQ212="","",IF(INDEX(C_Pavement!$E$5:$E$204,$AQ212)&lt;&gt;"",IF(INDEX(C_Pavement!$E$5:$E$204,$AQ212)="-","",INDEX(C_Pavement!$E$5:$E$204,$AQ212)),IF($AS212="","",INDEX(E_Rules!$D$5:$D$9,$AS212))))</f>
        <v/>
      </c>
      <c r="AV212" t="str">
        <f>IF($AQ212="","",IF(INDEX(C_Pavement!$F$5:$F$204,$AQ212)&lt;&gt;"",IF(INDEX(C_Pavement!$F$5:$F$204,$AQ212)="-","",INDEX(C_Pavement!$F$5:$F$204,$AQ212)),IF($AS212="","",INDEX(E_Rules!$E$5:$E$9,$AS212))))</f>
        <v/>
      </c>
      <c r="AW212" t="str">
        <f>IF($AQ212="","",IF(INDEX(C_Pavement!$G$5:$G$204,$AQ212)&lt;&gt;"",IF(INDEX(C_Pavement!$G$5:$G$204,$AQ212)="-","",INDEX(C_Pavement!$G$5:$G$204,$AQ212)),IF($AS212="","",INDEX(E_Rules!$F$5:$F$9,$AS212))))</f>
        <v/>
      </c>
      <c r="AX212" t="str">
        <f>IF($AQ212="","",IF(INDEX(C_Pavement!$H$5:$H$204,$AQ212)&lt;&gt;"",IF(INDEX(C_Pavement!$H$5:$H$204,$AQ212)="-","",INDEX(C_Pavement!$H$5:$H$204,$AQ212)),IF($AS212="","",INDEX(E_Rules!$G$5:$G$9,$AS212))))</f>
        <v/>
      </c>
      <c r="AY212" t="str">
        <f>IF($AQ212="","",IF(INDEX(C_Pavement!$I$5:$I$204,$AQ212)&lt;&gt;"",IF(INDEX(C_Pavement!$I$5:$I$204,$AQ212)="-","",INDEX(C_Pavement!$I$5:$I$204,$AQ212)),IF($AS212="","",INDEX(E_Rules!$H$5:$H$9,$AS212))))</f>
        <v/>
      </c>
    </row>
    <row r="213" spans="1:51" ht="15.75" customHeight="1" x14ac:dyDescent="0.3">
      <c r="A213" s="189">
        <v>208</v>
      </c>
      <c r="B213" s="180">
        <v>10350</v>
      </c>
      <c r="C213" s="180" t="s">
        <v>519</v>
      </c>
      <c r="D213" s="181" t="str">
        <f>IFERROR(LOOKUP(2,1/((A_Corridor!$A$5:$A$204&lt;&gt;"")*(A_Corridor!$A$5:$A$204&lt;=$B213)*(A_Corridor!$B$5:$B$204&gt;$B213)*(A_Corridor!$C$5:$C$204&lt;&gt;"")),IF(UPPER(A_Corridor!$C$5:$C$204)="Y",1,"")),"")</f>
        <v/>
      </c>
      <c r="E213" s="181" t="str">
        <f>IFERROR(LOOKUP(2,1/((A_Corridor!$A$5:$A$204&lt;&gt;"")*(A_Corridor!$A$5:$A$204&lt;=$B213)*(A_Corridor!$B$5:$B$204&gt;$B213)*(A_Corridor!$D$5:$D$204&lt;&gt;"")),IF(A_Corridor!$D$5:$D$204="-","",UPPER(A_Corridor!$D$5:$D$204))),"")</f>
        <v/>
      </c>
      <c r="F213" s="181" t="str">
        <f>IFERROR(LOOKUP(2,1/((A_Corridor!$A$5:$A$204&lt;&gt;"")*(A_Corridor!$A$5:$A$204&lt;=$B213)*(A_Corridor!$B$5:$B$204&gt;$B213)*(A_Corridor!$E$5:$E$204&lt;&gt;"")),IF(A_Corridor!$E$5:$E$204="-","",1)),"")</f>
        <v/>
      </c>
      <c r="G213" s="182" t="str">
        <f>IFERROR(LOOKUP(2,1/((A_Corridor!$A$5:$A$204&lt;&gt;"")*(A_Corridor!$A$5:$A$204&lt;=$B213)*(A_Corridor!$B$5:$B$204&gt;$B213)*(A_Corridor!$E$5:$E$204&lt;&gt;"")),IF(A_Corridor!$E$5:$E$204="-","",A_Corridor!$E$5:$E$204)),"")</f>
        <v/>
      </c>
      <c r="H213" s="182" t="str">
        <f>IFERROR(LOOKUP(2,1/((D_Points!$A$5:$A$204&lt;&gt;"")*(D_Points!$A$5:$A$204&gt;=$B213)*(D_Points!$A$5:$A$204&lt;$B213+P_Interval)*(UPPER(TRIM(D_Points!$B$5:$B$204))="GULLY")*(D_Points!$H$5:$H$204&lt;&gt;"")),D_Points!$H$5:$H$204),"")</f>
        <v/>
      </c>
      <c r="I213" s="181" t="str">
        <f>IFERROR(LOOKUP(2,1/((A_Corridor!$A$5:$A$204&lt;&gt;"")*(A_Corridor!$A$5:$A$204&lt;=$B213)*(A_Corridor!$B$5:$B$204&gt;$B213)*(A_Corridor!$F$5:$F$204&lt;&gt;"")),IF(A_Corridor!$F$5:$F$204="-","",1)),"")</f>
        <v/>
      </c>
      <c r="J213" s="182" t="str">
        <f>IFERROR(LOOKUP(2,1/((A_Corridor!$A$5:$A$204&lt;&gt;"")*(A_Corridor!$A$5:$A$204&lt;=$B213)*(A_Corridor!$B$5:$B$204&gt;$B213)*(A_Corridor!$F$5:$F$204&lt;&gt;"")),IF(A_Corridor!$F$5:$F$204="-","",A_Corridor!$F$5:$F$204)),"")</f>
        <v/>
      </c>
      <c r="K213" s="182" t="str">
        <f>IFERROR(LOOKUP(2,1/((A_Corridor!$A$5:$A$204&lt;&gt;"")*(A_Corridor!$A$5:$A$204&lt;=$B213)*(A_Corridor!$B$5:$B$204&gt;$B213)*(A_Corridor!$G$5:$G$204&lt;&gt;"")),IF(A_Corridor!$G$5:$G$204="-","",A_Corridor!$G$5:$G$204)),"")</f>
        <v/>
      </c>
      <c r="L213" s="181" t="str">
        <f>IFERROR(LOOKUP(2,1/((A_Corridor!$A$5:$A$204&lt;&gt;"")*(A_Corridor!$A$5:$A$204&lt;=$B213)*(A_Corridor!$B$5:$B$204&gt;$B213)*(A_Corridor!$H$5:$H$204&lt;&gt;"")),IF(A_Corridor!$H$5:$H$204="-","",1)),"")</f>
        <v/>
      </c>
      <c r="M213" s="182" t="str">
        <f>IFERROR(LOOKUP(2,1/((A_Corridor!$A$5:$A$204&lt;&gt;"")*(A_Corridor!$A$5:$A$204&lt;=$B213)*(A_Corridor!$B$5:$B$204&gt;$B213)*(A_Corridor!$H$5:$H$204&lt;&gt;"")),IF(A_Corridor!$H$5:$H$204="-","",A_Corridor!$H$5:$H$204)),"")</f>
        <v/>
      </c>
      <c r="N213" s="182" t="str">
        <f>IFERROR(LOOKUP(2,1/((A_Corridor!$A$5:$A$204&lt;&gt;"")*(A_Corridor!$A$5:$A$204&lt;=$B213)*(A_Corridor!$B$5:$B$204&gt;$B213)*(A_Corridor!$I$5:$I$204&lt;&gt;"")),IF(A_Corridor!$I$5:$I$204="-","",A_Corridor!$I$5:$I$204)),"")</f>
        <v/>
      </c>
      <c r="O213" s="182" t="str">
        <f>IFERROR(LOOKUP(2,1/((D_Points!$A$5:$A$204&lt;&gt;"")*(D_Points!$A$5:$A$204&gt;=$B213)*(D_Points!$A$5:$A$204&lt;$B213+P_Interval)*(UPPER(TRIM(D_Points!$B$5:$B$204))="PITCHING")*(D_Points!$H$5:$H$204&lt;&gt;"")),D_Points!$H$5:$H$204),"")</f>
        <v/>
      </c>
      <c r="P213" s="181" t="str">
        <f>IFERROR(LOOKUP(2,1/((B_Drainage!$A$5:$A$204&lt;&gt;"")*(B_Drainage!$A$5:$A$204&lt;=$B213)*(B_Drainage!$B$5:$B$204&gt;$B213)*(B_Drainage!$C$5:$C$204&lt;&gt;"")),IF(B_Drainage!$C$5:$C$204="-","",UPPER(B_Drainage!$C$5:$C$204))),"")</f>
        <v/>
      </c>
      <c r="Q213" s="181" t="str">
        <f>IFERROR(LOOKUP(2,1/((B_Drainage!$A$5:$A$204&lt;&gt;"")*(B_Drainage!$A$5:$A$204&lt;=$B213)*(B_Drainage!$B$5:$B$204&gt;$B213)*(B_Drainage!$D$5:$D$204&lt;&gt;"")),IF(B_Drainage!$D$5:$D$204="-","",UPPER(B_Drainage!$D$5:$D$204))),"")</f>
        <v/>
      </c>
      <c r="R213" s="182" t="str">
        <f>IFERROR(LOOKUP(2,1/((D_Points!$A$5:$A$204&lt;&gt;"")*(D_Points!$A$5:$A$204&gt;=$B213)*(D_Points!$A$5:$A$204&lt;$B213+P_Interval)*(RIGHT(UPPER(TRIM(D_Points!$B$5:$B$204)),8)="_CULVERT")),IF(LEFT(UPPER(TRIM(D_Points!$B$5:$B$204)),2)="EX",1,IF(LEFT(UPPER(TRIM(D_Points!$B$5:$B$204)),2)="PR",2,3))),"")</f>
        <v/>
      </c>
      <c r="S213" s="182" t="str">
        <f>IFERROR(LOOKUP(2,1/((D_Points!$A$5:$A$204&lt;&gt;"")*(D_Points!$A$5:$A$204&gt;=$B213)*(D_Points!$A$5:$A$204&lt;$B213+P_Interval)*(RIGHT(UPPER(TRIM(D_Points!$B$5:$B$204)),7)="_BRIDGE")),IF(LEFT(UPPER(TRIM(D_Points!$B$5:$B$204)),2)="EX",1,IF(LEFT(UPPER(TRIM(D_Points!$B$5:$B$204)),2)="PR",2,2))),"")</f>
        <v/>
      </c>
      <c r="T213" s="181" t="str">
        <f>IFERROR(LOOKUP(2,1/((B_Drainage!$A$5:$A$204&lt;&gt;"")*(B_Drainage!$A$5:$A$204&lt;=$B213)*(B_Drainage!$B$5:$B$204&gt;$B213)*(B_Drainage!$E$5:$E$204&lt;&gt;"")),IF(B_Drainage!$E$5:$E$204="-","",1)),"")</f>
        <v/>
      </c>
      <c r="U213" s="181" t="str">
        <f>IFERROR(LOOKUP(2,1/((B_Drainage!$A$5:$A$204&lt;&gt;"")*(B_Drainage!$A$5:$A$204&lt;=$B213)*(B_Drainage!$B$5:$B$204&gt;$B213)*(B_Drainage!$E$5:$E$204&lt;&gt;"")),IF(B_Drainage!$E$5:$E$204="-","",B_Drainage!$E$5:$E$204)),"")</f>
        <v/>
      </c>
      <c r="V213" s="181" t="str">
        <f>IFERROR(LOOKUP(2,1/((B_Drainage!$A$5:$A$204&lt;&gt;"")*(B_Drainage!$A$5:$A$204&lt;=$B213)*(B_Drainage!$B$5:$B$204&gt;$B213)*(B_Drainage!$F$5:$F$204&lt;&gt;"")),IF(B_Drainage!$F$5:$F$204="-","",1)),"")</f>
        <v/>
      </c>
      <c r="W213" s="181" t="str">
        <f>IFERROR(LOOKUP(2,1/((B_Drainage!$A$5:$A$204&lt;&gt;"")*(B_Drainage!$A$5:$A$204&lt;=$B213)*(B_Drainage!$B$5:$B$204&gt;$B213)*(B_Drainage!$F$5:$F$204&lt;&gt;"")),IF(B_Drainage!$F$5:$F$204="-","",B_Drainage!$F$5:$F$204)),"")</f>
        <v/>
      </c>
      <c r="X213" s="181" t="str">
        <f>IFERROR(LOOKUP(2,1/((B_Drainage!$A$5:$A$204&lt;&gt;"")*(B_Drainage!$A$5:$A$204&lt;=$B213)*(B_Drainage!$B$5:$B$204&gt;$B213)*(B_Drainage!$G$5:$G$204&lt;&gt;"")),IF(UPPER(B_Drainage!$G$5:$G$204)="Y",1,"")),"")</f>
        <v/>
      </c>
      <c r="Y213" s="181" t="str">
        <f>IFERROR(LOOKUP(2,1/((B_Drainage!$A$5:$A$204&lt;&gt;"")*(B_Drainage!$A$5:$A$204&lt;=$B213)*(B_Drainage!$B$5:$B$204&gt;$B213)*(B_Drainage!$H$5:$H$204&lt;&gt;"")),IF(UPPER(B_Drainage!$H$5:$H$204)="Y",1,"")),"")</f>
        <v/>
      </c>
      <c r="Z213" s="181" t="str">
        <f>IFERROR(LOOKUP(2,1/((B_Drainage!$A$5:$A$204&lt;&gt;"")*(B_Drainage!$A$5:$A$204&lt;=$B213)*(B_Drainage!$B$5:$B$204&gt;$B213)*(B_Drainage!$I$5:$I$204&lt;&gt;"")),IF(UPPER(B_Drainage!$I$5:$I$204)="Y",1,"")),"")</f>
        <v/>
      </c>
      <c r="AA213" s="181" t="str">
        <f>IFERROR(LOOKUP(2,1/((B_Drainage!$A$5:$A$204&lt;&gt;"")*(B_Drainage!$A$5:$A$204&lt;=$B213)*(B_Drainage!$B$5:$B$204&gt;$B213)*(B_Drainage!$J$5:$J$204&lt;&gt;"")),IF(UPPER(B_Drainage!$J$5:$J$204)="Y",1,"")),"")</f>
        <v/>
      </c>
      <c r="AB213" s="182" t="str">
        <f>IFERROR(LOOKUP(2,1/((B_Drainage!$A$5:$A$204&lt;&gt;"")*(B_Drainage!$A$5:$A$204&lt;=$B213)*(B_Drainage!$B$5:$B$204&gt;$B213)*(B_Drainage!$K$5:$K$204&lt;&gt;"")),IF(B_Drainage!$K$5:$K$204="-","",B_Drainage!$K$5:$K$204)),"")</f>
        <v/>
      </c>
      <c r="AC213" s="182" t="str">
        <f>IFERROR(LOOKUP(2,1/((B_Drainage!$A$5:$A$204&lt;&gt;"")*(B_Drainage!$A$5:$A$204&lt;=$B213)*(B_Drainage!$B$5:$B$204&gt;$B213)*(B_Drainage!$L$5:$L$204&lt;&gt;"")),IF(B_Drainage!$L$5:$L$204="-","",B_Drainage!$L$5:$L$204)),"")</f>
        <v/>
      </c>
      <c r="AD213" s="182" t="str">
        <f>IFERROR(LOOKUP(2,1/((D_Points!$A$5:$A$204&lt;&gt;"")*(D_Points!$A$5:$A$204&gt;=$B213)*(D_Points!$A$5:$A$204&lt;$B213+P_Interval)*(UPPER(TRIM(D_Points!$B$5:$B$204))="TURNOUT_L")*(D_Points!$H$5:$H$204&lt;&gt;"")),D_Points!$H$5:$H$204),"")</f>
        <v/>
      </c>
      <c r="AE213" s="182" t="str">
        <f>IFERROR(LOOKUP(2,1/((D_Points!$A$5:$A$204&lt;&gt;"")*(D_Points!$A$5:$A$204&gt;=$B213)*(D_Points!$A$5:$A$204&lt;$B213+P_Interval)*(UPPER(TRIM(D_Points!$B$5:$B$204))="TURNOUT_R")*(D_Points!$H$5:$H$204&lt;&gt;"")),D_Points!$H$5:$H$204),"")</f>
        <v/>
      </c>
      <c r="AF213" s="181" t="str">
        <f>IFERROR(LOOKUP(2,1/((B_Drainage!$A$5:$A$204&lt;&gt;"")*(B_Drainage!$A$5:$A$204&lt;=$B213)*(B_Drainage!$B$5:$B$204&gt;$B213)*(B_Drainage!$M$5:$M$204&lt;&gt;"")),IF(UPPER(B_Drainage!$M$5:$M$204)="Y",1,"")),"")</f>
        <v/>
      </c>
      <c r="AG213" s="181" t="str">
        <f>IFERROR(LOOKUP(2,1/((B_Drainage!$A$5:$A$204&lt;&gt;"")*(B_Drainage!$A$5:$A$204&lt;=$B213)*(B_Drainage!$B$5:$B$204&gt;$B213)*(B_Drainage!$N$5:$N$204&lt;&gt;"")),IF(UPPER(B_Drainage!$N$5:$N$204)="Y",1,"")),"")</f>
        <v/>
      </c>
      <c r="AH213" s="181" t="str">
        <f t="shared" si="24"/>
        <v/>
      </c>
      <c r="AI213" s="181" t="str">
        <f t="shared" si="25"/>
        <v/>
      </c>
      <c r="AJ213" s="181" t="str">
        <f t="shared" si="26"/>
        <v/>
      </c>
      <c r="AK213" s="181" t="str">
        <f t="shared" si="27"/>
        <v/>
      </c>
      <c r="AL213" s="181" t="str">
        <f t="shared" si="28"/>
        <v/>
      </c>
      <c r="AM213" s="181" t="str">
        <f t="shared" si="29"/>
        <v/>
      </c>
      <c r="AN213" s="181" t="str">
        <f t="shared" si="30"/>
        <v/>
      </c>
      <c r="AO213" s="192" t="str">
        <f t="shared" si="31"/>
        <v/>
      </c>
      <c r="AQ213" t="str">
        <f>IFERROR(LOOKUP(2,1/((C_Pavement!$A$5:$A$204&lt;&gt;"")*(C_Pavement!$A$5:$A$204&lt;=$B213)*(C_Pavement!$B$5:$B$204&gt;$B213)*(C_Pavement!$C$5:$C$204&lt;&gt;"")),ROW(C_Pavement!$C$5:$C$204)-4),"")</f>
        <v/>
      </c>
      <c r="AR213" t="str">
        <f>IF($AQ213="","",UPPER(TRIM(INDEX(C_Pavement!$C$5:$C$204,$AQ213))))</f>
        <v/>
      </c>
      <c r="AS213" t="str">
        <f>IF($AR213="","",IFERROR(MATCH($AR213,E_Rules!$A$5:$A$9,0),""))</f>
        <v/>
      </c>
      <c r="AT213" t="str">
        <f>IF($AQ213="","",IF(INDEX(C_Pavement!$D$5:$D$204,$AQ213)&lt;&gt;"",UPPER(TRIM(INDEX(C_Pavement!$D$5:$D$204,$AQ213))),IF($AS213="","",INDEX(E_Rules!$C$5:$C$9,$AS213))))</f>
        <v/>
      </c>
      <c r="AU213" t="str">
        <f>IF($AQ213="","",IF(INDEX(C_Pavement!$E$5:$E$204,$AQ213)&lt;&gt;"",IF(INDEX(C_Pavement!$E$5:$E$204,$AQ213)="-","",INDEX(C_Pavement!$E$5:$E$204,$AQ213)),IF($AS213="","",INDEX(E_Rules!$D$5:$D$9,$AS213))))</f>
        <v/>
      </c>
      <c r="AV213" t="str">
        <f>IF($AQ213="","",IF(INDEX(C_Pavement!$F$5:$F$204,$AQ213)&lt;&gt;"",IF(INDEX(C_Pavement!$F$5:$F$204,$AQ213)="-","",INDEX(C_Pavement!$F$5:$F$204,$AQ213)),IF($AS213="","",INDEX(E_Rules!$E$5:$E$9,$AS213))))</f>
        <v/>
      </c>
      <c r="AW213" t="str">
        <f>IF($AQ213="","",IF(INDEX(C_Pavement!$G$5:$G$204,$AQ213)&lt;&gt;"",IF(INDEX(C_Pavement!$G$5:$G$204,$AQ213)="-","",INDEX(C_Pavement!$G$5:$G$204,$AQ213)),IF($AS213="","",INDEX(E_Rules!$F$5:$F$9,$AS213))))</f>
        <v/>
      </c>
      <c r="AX213" t="str">
        <f>IF($AQ213="","",IF(INDEX(C_Pavement!$H$5:$H$204,$AQ213)&lt;&gt;"",IF(INDEX(C_Pavement!$H$5:$H$204,$AQ213)="-","",INDEX(C_Pavement!$H$5:$H$204,$AQ213)),IF($AS213="","",INDEX(E_Rules!$G$5:$G$9,$AS213))))</f>
        <v/>
      </c>
      <c r="AY213" t="str">
        <f>IF($AQ213="","",IF(INDEX(C_Pavement!$I$5:$I$204,$AQ213)&lt;&gt;"",IF(INDEX(C_Pavement!$I$5:$I$204,$AQ213)="-","",INDEX(C_Pavement!$I$5:$I$204,$AQ213)),IF($AS213="","",INDEX(E_Rules!$H$5:$H$9,$AS213))))</f>
        <v/>
      </c>
    </row>
    <row r="214" spans="1:51" ht="15.75" customHeight="1" x14ac:dyDescent="0.3">
      <c r="A214" s="189">
        <v>209</v>
      </c>
      <c r="B214" s="180">
        <v>10400</v>
      </c>
      <c r="C214" s="180" t="s">
        <v>520</v>
      </c>
      <c r="D214" s="181" t="str">
        <f>IFERROR(LOOKUP(2,1/((A_Corridor!$A$5:$A$204&lt;&gt;"")*(A_Corridor!$A$5:$A$204&lt;=$B214)*(A_Corridor!$B$5:$B$204&gt;$B214)*(A_Corridor!$C$5:$C$204&lt;&gt;"")),IF(UPPER(A_Corridor!$C$5:$C$204)="Y",1,"")),"")</f>
        <v/>
      </c>
      <c r="E214" s="181" t="str">
        <f>IFERROR(LOOKUP(2,1/((A_Corridor!$A$5:$A$204&lt;&gt;"")*(A_Corridor!$A$5:$A$204&lt;=$B214)*(A_Corridor!$B$5:$B$204&gt;$B214)*(A_Corridor!$D$5:$D$204&lt;&gt;"")),IF(A_Corridor!$D$5:$D$204="-","",UPPER(A_Corridor!$D$5:$D$204))),"")</f>
        <v/>
      </c>
      <c r="F214" s="181" t="str">
        <f>IFERROR(LOOKUP(2,1/((A_Corridor!$A$5:$A$204&lt;&gt;"")*(A_Corridor!$A$5:$A$204&lt;=$B214)*(A_Corridor!$B$5:$B$204&gt;$B214)*(A_Corridor!$E$5:$E$204&lt;&gt;"")),IF(A_Corridor!$E$5:$E$204="-","",1)),"")</f>
        <v/>
      </c>
      <c r="G214" s="182" t="str">
        <f>IFERROR(LOOKUP(2,1/((A_Corridor!$A$5:$A$204&lt;&gt;"")*(A_Corridor!$A$5:$A$204&lt;=$B214)*(A_Corridor!$B$5:$B$204&gt;$B214)*(A_Corridor!$E$5:$E$204&lt;&gt;"")),IF(A_Corridor!$E$5:$E$204="-","",A_Corridor!$E$5:$E$204)),"")</f>
        <v/>
      </c>
      <c r="H214" s="182" t="str">
        <f>IFERROR(LOOKUP(2,1/((D_Points!$A$5:$A$204&lt;&gt;"")*(D_Points!$A$5:$A$204&gt;=$B214)*(D_Points!$A$5:$A$204&lt;$B214+P_Interval)*(UPPER(TRIM(D_Points!$B$5:$B$204))="GULLY")*(D_Points!$H$5:$H$204&lt;&gt;"")),D_Points!$H$5:$H$204),"")</f>
        <v/>
      </c>
      <c r="I214" s="181" t="str">
        <f>IFERROR(LOOKUP(2,1/((A_Corridor!$A$5:$A$204&lt;&gt;"")*(A_Corridor!$A$5:$A$204&lt;=$B214)*(A_Corridor!$B$5:$B$204&gt;$B214)*(A_Corridor!$F$5:$F$204&lt;&gt;"")),IF(A_Corridor!$F$5:$F$204="-","",1)),"")</f>
        <v/>
      </c>
      <c r="J214" s="182" t="str">
        <f>IFERROR(LOOKUP(2,1/((A_Corridor!$A$5:$A$204&lt;&gt;"")*(A_Corridor!$A$5:$A$204&lt;=$B214)*(A_Corridor!$B$5:$B$204&gt;$B214)*(A_Corridor!$F$5:$F$204&lt;&gt;"")),IF(A_Corridor!$F$5:$F$204="-","",A_Corridor!$F$5:$F$204)),"")</f>
        <v/>
      </c>
      <c r="K214" s="182" t="str">
        <f>IFERROR(LOOKUP(2,1/((A_Corridor!$A$5:$A$204&lt;&gt;"")*(A_Corridor!$A$5:$A$204&lt;=$B214)*(A_Corridor!$B$5:$B$204&gt;$B214)*(A_Corridor!$G$5:$G$204&lt;&gt;"")),IF(A_Corridor!$G$5:$G$204="-","",A_Corridor!$G$5:$G$204)),"")</f>
        <v/>
      </c>
      <c r="L214" s="181" t="str">
        <f>IFERROR(LOOKUP(2,1/((A_Corridor!$A$5:$A$204&lt;&gt;"")*(A_Corridor!$A$5:$A$204&lt;=$B214)*(A_Corridor!$B$5:$B$204&gt;$B214)*(A_Corridor!$H$5:$H$204&lt;&gt;"")),IF(A_Corridor!$H$5:$H$204="-","",1)),"")</f>
        <v/>
      </c>
      <c r="M214" s="182" t="str">
        <f>IFERROR(LOOKUP(2,1/((A_Corridor!$A$5:$A$204&lt;&gt;"")*(A_Corridor!$A$5:$A$204&lt;=$B214)*(A_Corridor!$B$5:$B$204&gt;$B214)*(A_Corridor!$H$5:$H$204&lt;&gt;"")),IF(A_Corridor!$H$5:$H$204="-","",A_Corridor!$H$5:$H$204)),"")</f>
        <v/>
      </c>
      <c r="N214" s="182" t="str">
        <f>IFERROR(LOOKUP(2,1/((A_Corridor!$A$5:$A$204&lt;&gt;"")*(A_Corridor!$A$5:$A$204&lt;=$B214)*(A_Corridor!$B$5:$B$204&gt;$B214)*(A_Corridor!$I$5:$I$204&lt;&gt;"")),IF(A_Corridor!$I$5:$I$204="-","",A_Corridor!$I$5:$I$204)),"")</f>
        <v/>
      </c>
      <c r="O214" s="182" t="str">
        <f>IFERROR(LOOKUP(2,1/((D_Points!$A$5:$A$204&lt;&gt;"")*(D_Points!$A$5:$A$204&gt;=$B214)*(D_Points!$A$5:$A$204&lt;$B214+P_Interval)*(UPPER(TRIM(D_Points!$B$5:$B$204))="PITCHING")*(D_Points!$H$5:$H$204&lt;&gt;"")),D_Points!$H$5:$H$204),"")</f>
        <v/>
      </c>
      <c r="P214" s="181" t="str">
        <f>IFERROR(LOOKUP(2,1/((B_Drainage!$A$5:$A$204&lt;&gt;"")*(B_Drainage!$A$5:$A$204&lt;=$B214)*(B_Drainage!$B$5:$B$204&gt;$B214)*(B_Drainage!$C$5:$C$204&lt;&gt;"")),IF(B_Drainage!$C$5:$C$204="-","",UPPER(B_Drainage!$C$5:$C$204))),"")</f>
        <v/>
      </c>
      <c r="Q214" s="181" t="str">
        <f>IFERROR(LOOKUP(2,1/((B_Drainage!$A$5:$A$204&lt;&gt;"")*(B_Drainage!$A$5:$A$204&lt;=$B214)*(B_Drainage!$B$5:$B$204&gt;$B214)*(B_Drainage!$D$5:$D$204&lt;&gt;"")),IF(B_Drainage!$D$5:$D$204="-","",UPPER(B_Drainage!$D$5:$D$204))),"")</f>
        <v/>
      </c>
      <c r="R214" s="182" t="str">
        <f>IFERROR(LOOKUP(2,1/((D_Points!$A$5:$A$204&lt;&gt;"")*(D_Points!$A$5:$A$204&gt;=$B214)*(D_Points!$A$5:$A$204&lt;$B214+P_Interval)*(RIGHT(UPPER(TRIM(D_Points!$B$5:$B$204)),8)="_CULVERT")),IF(LEFT(UPPER(TRIM(D_Points!$B$5:$B$204)),2)="EX",1,IF(LEFT(UPPER(TRIM(D_Points!$B$5:$B$204)),2)="PR",2,3))),"")</f>
        <v/>
      </c>
      <c r="S214" s="182" t="str">
        <f>IFERROR(LOOKUP(2,1/((D_Points!$A$5:$A$204&lt;&gt;"")*(D_Points!$A$5:$A$204&gt;=$B214)*(D_Points!$A$5:$A$204&lt;$B214+P_Interval)*(RIGHT(UPPER(TRIM(D_Points!$B$5:$B$204)),7)="_BRIDGE")),IF(LEFT(UPPER(TRIM(D_Points!$B$5:$B$204)),2)="EX",1,IF(LEFT(UPPER(TRIM(D_Points!$B$5:$B$204)),2)="PR",2,2))),"")</f>
        <v/>
      </c>
      <c r="T214" s="181" t="str">
        <f>IFERROR(LOOKUP(2,1/((B_Drainage!$A$5:$A$204&lt;&gt;"")*(B_Drainage!$A$5:$A$204&lt;=$B214)*(B_Drainage!$B$5:$B$204&gt;$B214)*(B_Drainage!$E$5:$E$204&lt;&gt;"")),IF(B_Drainage!$E$5:$E$204="-","",1)),"")</f>
        <v/>
      </c>
      <c r="U214" s="181" t="str">
        <f>IFERROR(LOOKUP(2,1/((B_Drainage!$A$5:$A$204&lt;&gt;"")*(B_Drainage!$A$5:$A$204&lt;=$B214)*(B_Drainage!$B$5:$B$204&gt;$B214)*(B_Drainage!$E$5:$E$204&lt;&gt;"")),IF(B_Drainage!$E$5:$E$204="-","",B_Drainage!$E$5:$E$204)),"")</f>
        <v/>
      </c>
      <c r="V214" s="181" t="str">
        <f>IFERROR(LOOKUP(2,1/((B_Drainage!$A$5:$A$204&lt;&gt;"")*(B_Drainage!$A$5:$A$204&lt;=$B214)*(B_Drainage!$B$5:$B$204&gt;$B214)*(B_Drainage!$F$5:$F$204&lt;&gt;"")),IF(B_Drainage!$F$5:$F$204="-","",1)),"")</f>
        <v/>
      </c>
      <c r="W214" s="181" t="str">
        <f>IFERROR(LOOKUP(2,1/((B_Drainage!$A$5:$A$204&lt;&gt;"")*(B_Drainage!$A$5:$A$204&lt;=$B214)*(B_Drainage!$B$5:$B$204&gt;$B214)*(B_Drainage!$F$5:$F$204&lt;&gt;"")),IF(B_Drainage!$F$5:$F$204="-","",B_Drainage!$F$5:$F$204)),"")</f>
        <v/>
      </c>
      <c r="X214" s="181" t="str">
        <f>IFERROR(LOOKUP(2,1/((B_Drainage!$A$5:$A$204&lt;&gt;"")*(B_Drainage!$A$5:$A$204&lt;=$B214)*(B_Drainage!$B$5:$B$204&gt;$B214)*(B_Drainage!$G$5:$G$204&lt;&gt;"")),IF(UPPER(B_Drainage!$G$5:$G$204)="Y",1,"")),"")</f>
        <v/>
      </c>
      <c r="Y214" s="181" t="str">
        <f>IFERROR(LOOKUP(2,1/((B_Drainage!$A$5:$A$204&lt;&gt;"")*(B_Drainage!$A$5:$A$204&lt;=$B214)*(B_Drainage!$B$5:$B$204&gt;$B214)*(B_Drainage!$H$5:$H$204&lt;&gt;"")),IF(UPPER(B_Drainage!$H$5:$H$204)="Y",1,"")),"")</f>
        <v/>
      </c>
      <c r="Z214" s="181" t="str">
        <f>IFERROR(LOOKUP(2,1/((B_Drainage!$A$5:$A$204&lt;&gt;"")*(B_Drainage!$A$5:$A$204&lt;=$B214)*(B_Drainage!$B$5:$B$204&gt;$B214)*(B_Drainage!$I$5:$I$204&lt;&gt;"")),IF(UPPER(B_Drainage!$I$5:$I$204)="Y",1,"")),"")</f>
        <v/>
      </c>
      <c r="AA214" s="181" t="str">
        <f>IFERROR(LOOKUP(2,1/((B_Drainage!$A$5:$A$204&lt;&gt;"")*(B_Drainage!$A$5:$A$204&lt;=$B214)*(B_Drainage!$B$5:$B$204&gt;$B214)*(B_Drainage!$J$5:$J$204&lt;&gt;"")),IF(UPPER(B_Drainage!$J$5:$J$204)="Y",1,"")),"")</f>
        <v/>
      </c>
      <c r="AB214" s="182" t="str">
        <f>IFERROR(LOOKUP(2,1/((B_Drainage!$A$5:$A$204&lt;&gt;"")*(B_Drainage!$A$5:$A$204&lt;=$B214)*(B_Drainage!$B$5:$B$204&gt;$B214)*(B_Drainage!$K$5:$K$204&lt;&gt;"")),IF(B_Drainage!$K$5:$K$204="-","",B_Drainage!$K$5:$K$204)),"")</f>
        <v/>
      </c>
      <c r="AC214" s="182" t="str">
        <f>IFERROR(LOOKUP(2,1/((B_Drainage!$A$5:$A$204&lt;&gt;"")*(B_Drainage!$A$5:$A$204&lt;=$B214)*(B_Drainage!$B$5:$B$204&gt;$B214)*(B_Drainage!$L$5:$L$204&lt;&gt;"")),IF(B_Drainage!$L$5:$L$204="-","",B_Drainage!$L$5:$L$204)),"")</f>
        <v/>
      </c>
      <c r="AD214" s="182" t="str">
        <f>IFERROR(LOOKUP(2,1/((D_Points!$A$5:$A$204&lt;&gt;"")*(D_Points!$A$5:$A$204&gt;=$B214)*(D_Points!$A$5:$A$204&lt;$B214+P_Interval)*(UPPER(TRIM(D_Points!$B$5:$B$204))="TURNOUT_L")*(D_Points!$H$5:$H$204&lt;&gt;"")),D_Points!$H$5:$H$204),"")</f>
        <v/>
      </c>
      <c r="AE214" s="182" t="str">
        <f>IFERROR(LOOKUP(2,1/((D_Points!$A$5:$A$204&lt;&gt;"")*(D_Points!$A$5:$A$204&gt;=$B214)*(D_Points!$A$5:$A$204&lt;$B214+P_Interval)*(UPPER(TRIM(D_Points!$B$5:$B$204))="TURNOUT_R")*(D_Points!$H$5:$H$204&lt;&gt;"")),D_Points!$H$5:$H$204),"")</f>
        <v/>
      </c>
      <c r="AF214" s="181" t="str">
        <f>IFERROR(LOOKUP(2,1/((B_Drainage!$A$5:$A$204&lt;&gt;"")*(B_Drainage!$A$5:$A$204&lt;=$B214)*(B_Drainage!$B$5:$B$204&gt;$B214)*(B_Drainage!$M$5:$M$204&lt;&gt;"")),IF(UPPER(B_Drainage!$M$5:$M$204)="Y",1,"")),"")</f>
        <v/>
      </c>
      <c r="AG214" s="181" t="str">
        <f>IFERROR(LOOKUP(2,1/((B_Drainage!$A$5:$A$204&lt;&gt;"")*(B_Drainage!$A$5:$A$204&lt;=$B214)*(B_Drainage!$B$5:$B$204&gt;$B214)*(B_Drainage!$N$5:$N$204&lt;&gt;"")),IF(UPPER(B_Drainage!$N$5:$N$204)="Y",1,"")),"")</f>
        <v/>
      </c>
      <c r="AH214" s="181" t="str">
        <f t="shared" si="24"/>
        <v/>
      </c>
      <c r="AI214" s="181" t="str">
        <f t="shared" si="25"/>
        <v/>
      </c>
      <c r="AJ214" s="181" t="str">
        <f t="shared" si="26"/>
        <v/>
      </c>
      <c r="AK214" s="181" t="str">
        <f t="shared" si="27"/>
        <v/>
      </c>
      <c r="AL214" s="181" t="str">
        <f t="shared" si="28"/>
        <v/>
      </c>
      <c r="AM214" s="181" t="str">
        <f t="shared" si="29"/>
        <v/>
      </c>
      <c r="AN214" s="181" t="str">
        <f t="shared" si="30"/>
        <v/>
      </c>
      <c r="AO214" s="192" t="str">
        <f t="shared" si="31"/>
        <v/>
      </c>
      <c r="AQ214" t="str">
        <f>IFERROR(LOOKUP(2,1/((C_Pavement!$A$5:$A$204&lt;&gt;"")*(C_Pavement!$A$5:$A$204&lt;=$B214)*(C_Pavement!$B$5:$B$204&gt;$B214)*(C_Pavement!$C$5:$C$204&lt;&gt;"")),ROW(C_Pavement!$C$5:$C$204)-4),"")</f>
        <v/>
      </c>
      <c r="AR214" t="str">
        <f>IF($AQ214="","",UPPER(TRIM(INDEX(C_Pavement!$C$5:$C$204,$AQ214))))</f>
        <v/>
      </c>
      <c r="AS214" t="str">
        <f>IF($AR214="","",IFERROR(MATCH($AR214,E_Rules!$A$5:$A$9,0),""))</f>
        <v/>
      </c>
      <c r="AT214" t="str">
        <f>IF($AQ214="","",IF(INDEX(C_Pavement!$D$5:$D$204,$AQ214)&lt;&gt;"",UPPER(TRIM(INDEX(C_Pavement!$D$5:$D$204,$AQ214))),IF($AS214="","",INDEX(E_Rules!$C$5:$C$9,$AS214))))</f>
        <v/>
      </c>
      <c r="AU214" t="str">
        <f>IF($AQ214="","",IF(INDEX(C_Pavement!$E$5:$E$204,$AQ214)&lt;&gt;"",IF(INDEX(C_Pavement!$E$5:$E$204,$AQ214)="-","",INDEX(C_Pavement!$E$5:$E$204,$AQ214)),IF($AS214="","",INDEX(E_Rules!$D$5:$D$9,$AS214))))</f>
        <v/>
      </c>
      <c r="AV214" t="str">
        <f>IF($AQ214="","",IF(INDEX(C_Pavement!$F$5:$F$204,$AQ214)&lt;&gt;"",IF(INDEX(C_Pavement!$F$5:$F$204,$AQ214)="-","",INDEX(C_Pavement!$F$5:$F$204,$AQ214)),IF($AS214="","",INDEX(E_Rules!$E$5:$E$9,$AS214))))</f>
        <v/>
      </c>
      <c r="AW214" t="str">
        <f>IF($AQ214="","",IF(INDEX(C_Pavement!$G$5:$G$204,$AQ214)&lt;&gt;"",IF(INDEX(C_Pavement!$G$5:$G$204,$AQ214)="-","",INDEX(C_Pavement!$G$5:$G$204,$AQ214)),IF($AS214="","",INDEX(E_Rules!$F$5:$F$9,$AS214))))</f>
        <v/>
      </c>
      <c r="AX214" t="str">
        <f>IF($AQ214="","",IF(INDEX(C_Pavement!$H$5:$H$204,$AQ214)&lt;&gt;"",IF(INDEX(C_Pavement!$H$5:$H$204,$AQ214)="-","",INDEX(C_Pavement!$H$5:$H$204,$AQ214)),IF($AS214="","",INDEX(E_Rules!$G$5:$G$9,$AS214))))</f>
        <v/>
      </c>
      <c r="AY214" t="str">
        <f>IF($AQ214="","",IF(INDEX(C_Pavement!$I$5:$I$204,$AQ214)&lt;&gt;"",IF(INDEX(C_Pavement!$I$5:$I$204,$AQ214)="-","",INDEX(C_Pavement!$I$5:$I$204,$AQ214)),IF($AS214="","",INDEX(E_Rules!$H$5:$H$9,$AS214))))</f>
        <v/>
      </c>
    </row>
    <row r="215" spans="1:51" ht="15.75" customHeight="1" x14ac:dyDescent="0.3">
      <c r="A215" s="189">
        <v>210</v>
      </c>
      <c r="B215" s="180">
        <v>10450</v>
      </c>
      <c r="C215" s="180" t="s">
        <v>521</v>
      </c>
      <c r="D215" s="181" t="str">
        <f>IFERROR(LOOKUP(2,1/((A_Corridor!$A$5:$A$204&lt;&gt;"")*(A_Corridor!$A$5:$A$204&lt;=$B215)*(A_Corridor!$B$5:$B$204&gt;$B215)*(A_Corridor!$C$5:$C$204&lt;&gt;"")),IF(UPPER(A_Corridor!$C$5:$C$204)="Y",1,"")),"")</f>
        <v/>
      </c>
      <c r="E215" s="181" t="str">
        <f>IFERROR(LOOKUP(2,1/((A_Corridor!$A$5:$A$204&lt;&gt;"")*(A_Corridor!$A$5:$A$204&lt;=$B215)*(A_Corridor!$B$5:$B$204&gt;$B215)*(A_Corridor!$D$5:$D$204&lt;&gt;"")),IF(A_Corridor!$D$5:$D$204="-","",UPPER(A_Corridor!$D$5:$D$204))),"")</f>
        <v/>
      </c>
      <c r="F215" s="181" t="str">
        <f>IFERROR(LOOKUP(2,1/((A_Corridor!$A$5:$A$204&lt;&gt;"")*(A_Corridor!$A$5:$A$204&lt;=$B215)*(A_Corridor!$B$5:$B$204&gt;$B215)*(A_Corridor!$E$5:$E$204&lt;&gt;"")),IF(A_Corridor!$E$5:$E$204="-","",1)),"")</f>
        <v/>
      </c>
      <c r="G215" s="182" t="str">
        <f>IFERROR(LOOKUP(2,1/((A_Corridor!$A$5:$A$204&lt;&gt;"")*(A_Corridor!$A$5:$A$204&lt;=$B215)*(A_Corridor!$B$5:$B$204&gt;$B215)*(A_Corridor!$E$5:$E$204&lt;&gt;"")),IF(A_Corridor!$E$5:$E$204="-","",A_Corridor!$E$5:$E$204)),"")</f>
        <v/>
      </c>
      <c r="H215" s="182" t="str">
        <f>IFERROR(LOOKUP(2,1/((D_Points!$A$5:$A$204&lt;&gt;"")*(D_Points!$A$5:$A$204&gt;=$B215)*(D_Points!$A$5:$A$204&lt;$B215+P_Interval)*(UPPER(TRIM(D_Points!$B$5:$B$204))="GULLY")*(D_Points!$H$5:$H$204&lt;&gt;"")),D_Points!$H$5:$H$204),"")</f>
        <v/>
      </c>
      <c r="I215" s="181" t="str">
        <f>IFERROR(LOOKUP(2,1/((A_Corridor!$A$5:$A$204&lt;&gt;"")*(A_Corridor!$A$5:$A$204&lt;=$B215)*(A_Corridor!$B$5:$B$204&gt;$B215)*(A_Corridor!$F$5:$F$204&lt;&gt;"")),IF(A_Corridor!$F$5:$F$204="-","",1)),"")</f>
        <v/>
      </c>
      <c r="J215" s="182" t="str">
        <f>IFERROR(LOOKUP(2,1/((A_Corridor!$A$5:$A$204&lt;&gt;"")*(A_Corridor!$A$5:$A$204&lt;=$B215)*(A_Corridor!$B$5:$B$204&gt;$B215)*(A_Corridor!$F$5:$F$204&lt;&gt;"")),IF(A_Corridor!$F$5:$F$204="-","",A_Corridor!$F$5:$F$204)),"")</f>
        <v/>
      </c>
      <c r="K215" s="182" t="str">
        <f>IFERROR(LOOKUP(2,1/((A_Corridor!$A$5:$A$204&lt;&gt;"")*(A_Corridor!$A$5:$A$204&lt;=$B215)*(A_Corridor!$B$5:$B$204&gt;$B215)*(A_Corridor!$G$5:$G$204&lt;&gt;"")),IF(A_Corridor!$G$5:$G$204="-","",A_Corridor!$G$5:$G$204)),"")</f>
        <v/>
      </c>
      <c r="L215" s="181" t="str">
        <f>IFERROR(LOOKUP(2,1/((A_Corridor!$A$5:$A$204&lt;&gt;"")*(A_Corridor!$A$5:$A$204&lt;=$B215)*(A_Corridor!$B$5:$B$204&gt;$B215)*(A_Corridor!$H$5:$H$204&lt;&gt;"")),IF(A_Corridor!$H$5:$H$204="-","",1)),"")</f>
        <v/>
      </c>
      <c r="M215" s="182" t="str">
        <f>IFERROR(LOOKUP(2,1/((A_Corridor!$A$5:$A$204&lt;&gt;"")*(A_Corridor!$A$5:$A$204&lt;=$B215)*(A_Corridor!$B$5:$B$204&gt;$B215)*(A_Corridor!$H$5:$H$204&lt;&gt;"")),IF(A_Corridor!$H$5:$H$204="-","",A_Corridor!$H$5:$H$204)),"")</f>
        <v/>
      </c>
      <c r="N215" s="182" t="str">
        <f>IFERROR(LOOKUP(2,1/((A_Corridor!$A$5:$A$204&lt;&gt;"")*(A_Corridor!$A$5:$A$204&lt;=$B215)*(A_Corridor!$B$5:$B$204&gt;$B215)*(A_Corridor!$I$5:$I$204&lt;&gt;"")),IF(A_Corridor!$I$5:$I$204="-","",A_Corridor!$I$5:$I$204)),"")</f>
        <v/>
      </c>
      <c r="O215" s="182" t="str">
        <f>IFERROR(LOOKUP(2,1/((D_Points!$A$5:$A$204&lt;&gt;"")*(D_Points!$A$5:$A$204&gt;=$B215)*(D_Points!$A$5:$A$204&lt;$B215+P_Interval)*(UPPER(TRIM(D_Points!$B$5:$B$204))="PITCHING")*(D_Points!$H$5:$H$204&lt;&gt;"")),D_Points!$H$5:$H$204),"")</f>
        <v/>
      </c>
      <c r="P215" s="181" t="str">
        <f>IFERROR(LOOKUP(2,1/((B_Drainage!$A$5:$A$204&lt;&gt;"")*(B_Drainage!$A$5:$A$204&lt;=$B215)*(B_Drainage!$B$5:$B$204&gt;$B215)*(B_Drainage!$C$5:$C$204&lt;&gt;"")),IF(B_Drainage!$C$5:$C$204="-","",UPPER(B_Drainage!$C$5:$C$204))),"")</f>
        <v/>
      </c>
      <c r="Q215" s="181" t="str">
        <f>IFERROR(LOOKUP(2,1/((B_Drainage!$A$5:$A$204&lt;&gt;"")*(B_Drainage!$A$5:$A$204&lt;=$B215)*(B_Drainage!$B$5:$B$204&gt;$B215)*(B_Drainage!$D$5:$D$204&lt;&gt;"")),IF(B_Drainage!$D$5:$D$204="-","",UPPER(B_Drainage!$D$5:$D$204))),"")</f>
        <v/>
      </c>
      <c r="R215" s="182" t="str">
        <f>IFERROR(LOOKUP(2,1/((D_Points!$A$5:$A$204&lt;&gt;"")*(D_Points!$A$5:$A$204&gt;=$B215)*(D_Points!$A$5:$A$204&lt;$B215+P_Interval)*(RIGHT(UPPER(TRIM(D_Points!$B$5:$B$204)),8)="_CULVERT")),IF(LEFT(UPPER(TRIM(D_Points!$B$5:$B$204)),2)="EX",1,IF(LEFT(UPPER(TRIM(D_Points!$B$5:$B$204)),2)="PR",2,3))),"")</f>
        <v/>
      </c>
      <c r="S215" s="182" t="str">
        <f>IFERROR(LOOKUP(2,1/((D_Points!$A$5:$A$204&lt;&gt;"")*(D_Points!$A$5:$A$204&gt;=$B215)*(D_Points!$A$5:$A$204&lt;$B215+P_Interval)*(RIGHT(UPPER(TRIM(D_Points!$B$5:$B$204)),7)="_BRIDGE")),IF(LEFT(UPPER(TRIM(D_Points!$B$5:$B$204)),2)="EX",1,IF(LEFT(UPPER(TRIM(D_Points!$B$5:$B$204)),2)="PR",2,2))),"")</f>
        <v/>
      </c>
      <c r="T215" s="181" t="str">
        <f>IFERROR(LOOKUP(2,1/((B_Drainage!$A$5:$A$204&lt;&gt;"")*(B_Drainage!$A$5:$A$204&lt;=$B215)*(B_Drainage!$B$5:$B$204&gt;$B215)*(B_Drainage!$E$5:$E$204&lt;&gt;"")),IF(B_Drainage!$E$5:$E$204="-","",1)),"")</f>
        <v/>
      </c>
      <c r="U215" s="181" t="str">
        <f>IFERROR(LOOKUP(2,1/((B_Drainage!$A$5:$A$204&lt;&gt;"")*(B_Drainage!$A$5:$A$204&lt;=$B215)*(B_Drainage!$B$5:$B$204&gt;$B215)*(B_Drainage!$E$5:$E$204&lt;&gt;"")),IF(B_Drainage!$E$5:$E$204="-","",B_Drainage!$E$5:$E$204)),"")</f>
        <v/>
      </c>
      <c r="V215" s="181" t="str">
        <f>IFERROR(LOOKUP(2,1/((B_Drainage!$A$5:$A$204&lt;&gt;"")*(B_Drainage!$A$5:$A$204&lt;=$B215)*(B_Drainage!$B$5:$B$204&gt;$B215)*(B_Drainage!$F$5:$F$204&lt;&gt;"")),IF(B_Drainage!$F$5:$F$204="-","",1)),"")</f>
        <v/>
      </c>
      <c r="W215" s="181" t="str">
        <f>IFERROR(LOOKUP(2,1/((B_Drainage!$A$5:$A$204&lt;&gt;"")*(B_Drainage!$A$5:$A$204&lt;=$B215)*(B_Drainage!$B$5:$B$204&gt;$B215)*(B_Drainage!$F$5:$F$204&lt;&gt;"")),IF(B_Drainage!$F$5:$F$204="-","",B_Drainage!$F$5:$F$204)),"")</f>
        <v/>
      </c>
      <c r="X215" s="181" t="str">
        <f>IFERROR(LOOKUP(2,1/((B_Drainage!$A$5:$A$204&lt;&gt;"")*(B_Drainage!$A$5:$A$204&lt;=$B215)*(B_Drainage!$B$5:$B$204&gt;$B215)*(B_Drainage!$G$5:$G$204&lt;&gt;"")),IF(UPPER(B_Drainage!$G$5:$G$204)="Y",1,"")),"")</f>
        <v/>
      </c>
      <c r="Y215" s="181" t="str">
        <f>IFERROR(LOOKUP(2,1/((B_Drainage!$A$5:$A$204&lt;&gt;"")*(B_Drainage!$A$5:$A$204&lt;=$B215)*(B_Drainage!$B$5:$B$204&gt;$B215)*(B_Drainage!$H$5:$H$204&lt;&gt;"")),IF(UPPER(B_Drainage!$H$5:$H$204)="Y",1,"")),"")</f>
        <v/>
      </c>
      <c r="Z215" s="181" t="str">
        <f>IFERROR(LOOKUP(2,1/((B_Drainage!$A$5:$A$204&lt;&gt;"")*(B_Drainage!$A$5:$A$204&lt;=$B215)*(B_Drainage!$B$5:$B$204&gt;$B215)*(B_Drainage!$I$5:$I$204&lt;&gt;"")),IF(UPPER(B_Drainage!$I$5:$I$204)="Y",1,"")),"")</f>
        <v/>
      </c>
      <c r="AA215" s="181" t="str">
        <f>IFERROR(LOOKUP(2,1/((B_Drainage!$A$5:$A$204&lt;&gt;"")*(B_Drainage!$A$5:$A$204&lt;=$B215)*(B_Drainage!$B$5:$B$204&gt;$B215)*(B_Drainage!$J$5:$J$204&lt;&gt;"")),IF(UPPER(B_Drainage!$J$5:$J$204)="Y",1,"")),"")</f>
        <v/>
      </c>
      <c r="AB215" s="182" t="str">
        <f>IFERROR(LOOKUP(2,1/((B_Drainage!$A$5:$A$204&lt;&gt;"")*(B_Drainage!$A$5:$A$204&lt;=$B215)*(B_Drainage!$B$5:$B$204&gt;$B215)*(B_Drainage!$K$5:$K$204&lt;&gt;"")),IF(B_Drainage!$K$5:$K$204="-","",B_Drainage!$K$5:$K$204)),"")</f>
        <v/>
      </c>
      <c r="AC215" s="182" t="str">
        <f>IFERROR(LOOKUP(2,1/((B_Drainage!$A$5:$A$204&lt;&gt;"")*(B_Drainage!$A$5:$A$204&lt;=$B215)*(B_Drainage!$B$5:$B$204&gt;$B215)*(B_Drainage!$L$5:$L$204&lt;&gt;"")),IF(B_Drainage!$L$5:$L$204="-","",B_Drainage!$L$5:$L$204)),"")</f>
        <v/>
      </c>
      <c r="AD215" s="182" t="str">
        <f>IFERROR(LOOKUP(2,1/((D_Points!$A$5:$A$204&lt;&gt;"")*(D_Points!$A$5:$A$204&gt;=$B215)*(D_Points!$A$5:$A$204&lt;$B215+P_Interval)*(UPPER(TRIM(D_Points!$B$5:$B$204))="TURNOUT_L")*(D_Points!$H$5:$H$204&lt;&gt;"")),D_Points!$H$5:$H$204),"")</f>
        <v/>
      </c>
      <c r="AE215" s="182" t="str">
        <f>IFERROR(LOOKUP(2,1/((D_Points!$A$5:$A$204&lt;&gt;"")*(D_Points!$A$5:$A$204&gt;=$B215)*(D_Points!$A$5:$A$204&lt;$B215+P_Interval)*(UPPER(TRIM(D_Points!$B$5:$B$204))="TURNOUT_R")*(D_Points!$H$5:$H$204&lt;&gt;"")),D_Points!$H$5:$H$204),"")</f>
        <v/>
      </c>
      <c r="AF215" s="181" t="str">
        <f>IFERROR(LOOKUP(2,1/((B_Drainage!$A$5:$A$204&lt;&gt;"")*(B_Drainage!$A$5:$A$204&lt;=$B215)*(B_Drainage!$B$5:$B$204&gt;$B215)*(B_Drainage!$M$5:$M$204&lt;&gt;"")),IF(UPPER(B_Drainage!$M$5:$M$204)="Y",1,"")),"")</f>
        <v/>
      </c>
      <c r="AG215" s="181" t="str">
        <f>IFERROR(LOOKUP(2,1/((B_Drainage!$A$5:$A$204&lt;&gt;"")*(B_Drainage!$A$5:$A$204&lt;=$B215)*(B_Drainage!$B$5:$B$204&gt;$B215)*(B_Drainage!$N$5:$N$204&lt;&gt;"")),IF(UPPER(B_Drainage!$N$5:$N$204)="Y",1,"")),"")</f>
        <v/>
      </c>
      <c r="AH215" s="181" t="str">
        <f t="shared" si="24"/>
        <v/>
      </c>
      <c r="AI215" s="181" t="str">
        <f t="shared" si="25"/>
        <v/>
      </c>
      <c r="AJ215" s="181" t="str">
        <f t="shared" si="26"/>
        <v/>
      </c>
      <c r="AK215" s="181" t="str">
        <f t="shared" si="27"/>
        <v/>
      </c>
      <c r="AL215" s="181" t="str">
        <f t="shared" si="28"/>
        <v/>
      </c>
      <c r="AM215" s="181" t="str">
        <f t="shared" si="29"/>
        <v/>
      </c>
      <c r="AN215" s="181" t="str">
        <f t="shared" si="30"/>
        <v/>
      </c>
      <c r="AO215" s="192" t="str">
        <f t="shared" si="31"/>
        <v/>
      </c>
      <c r="AQ215" t="str">
        <f>IFERROR(LOOKUP(2,1/((C_Pavement!$A$5:$A$204&lt;&gt;"")*(C_Pavement!$A$5:$A$204&lt;=$B215)*(C_Pavement!$B$5:$B$204&gt;$B215)*(C_Pavement!$C$5:$C$204&lt;&gt;"")),ROW(C_Pavement!$C$5:$C$204)-4),"")</f>
        <v/>
      </c>
      <c r="AR215" t="str">
        <f>IF($AQ215="","",UPPER(TRIM(INDEX(C_Pavement!$C$5:$C$204,$AQ215))))</f>
        <v/>
      </c>
      <c r="AS215" t="str">
        <f>IF($AR215="","",IFERROR(MATCH($AR215,E_Rules!$A$5:$A$9,0),""))</f>
        <v/>
      </c>
      <c r="AT215" t="str">
        <f>IF($AQ215="","",IF(INDEX(C_Pavement!$D$5:$D$204,$AQ215)&lt;&gt;"",UPPER(TRIM(INDEX(C_Pavement!$D$5:$D$204,$AQ215))),IF($AS215="","",INDEX(E_Rules!$C$5:$C$9,$AS215))))</f>
        <v/>
      </c>
      <c r="AU215" t="str">
        <f>IF($AQ215="","",IF(INDEX(C_Pavement!$E$5:$E$204,$AQ215)&lt;&gt;"",IF(INDEX(C_Pavement!$E$5:$E$204,$AQ215)="-","",INDEX(C_Pavement!$E$5:$E$204,$AQ215)),IF($AS215="","",INDEX(E_Rules!$D$5:$D$9,$AS215))))</f>
        <v/>
      </c>
      <c r="AV215" t="str">
        <f>IF($AQ215="","",IF(INDEX(C_Pavement!$F$5:$F$204,$AQ215)&lt;&gt;"",IF(INDEX(C_Pavement!$F$5:$F$204,$AQ215)="-","",INDEX(C_Pavement!$F$5:$F$204,$AQ215)),IF($AS215="","",INDEX(E_Rules!$E$5:$E$9,$AS215))))</f>
        <v/>
      </c>
      <c r="AW215" t="str">
        <f>IF($AQ215="","",IF(INDEX(C_Pavement!$G$5:$G$204,$AQ215)&lt;&gt;"",IF(INDEX(C_Pavement!$G$5:$G$204,$AQ215)="-","",INDEX(C_Pavement!$G$5:$G$204,$AQ215)),IF($AS215="","",INDEX(E_Rules!$F$5:$F$9,$AS215))))</f>
        <v/>
      </c>
      <c r="AX215" t="str">
        <f>IF($AQ215="","",IF(INDEX(C_Pavement!$H$5:$H$204,$AQ215)&lt;&gt;"",IF(INDEX(C_Pavement!$H$5:$H$204,$AQ215)="-","",INDEX(C_Pavement!$H$5:$H$204,$AQ215)),IF($AS215="","",INDEX(E_Rules!$G$5:$G$9,$AS215))))</f>
        <v/>
      </c>
      <c r="AY215" t="str">
        <f>IF($AQ215="","",IF(INDEX(C_Pavement!$I$5:$I$204,$AQ215)&lt;&gt;"",IF(INDEX(C_Pavement!$I$5:$I$204,$AQ215)="-","",INDEX(C_Pavement!$I$5:$I$204,$AQ215)),IF($AS215="","",INDEX(E_Rules!$H$5:$H$9,$AS215))))</f>
        <v/>
      </c>
    </row>
    <row r="216" spans="1:51" ht="15.75" customHeight="1" x14ac:dyDescent="0.3">
      <c r="A216" s="189">
        <v>211</v>
      </c>
      <c r="B216" s="180">
        <v>10500</v>
      </c>
      <c r="C216" s="180" t="s">
        <v>522</v>
      </c>
      <c r="D216" s="181" t="str">
        <f>IFERROR(LOOKUP(2,1/((A_Corridor!$A$5:$A$204&lt;&gt;"")*(A_Corridor!$A$5:$A$204&lt;=$B216)*(A_Corridor!$B$5:$B$204&gt;$B216)*(A_Corridor!$C$5:$C$204&lt;&gt;"")),IF(UPPER(A_Corridor!$C$5:$C$204)="Y",1,"")),"")</f>
        <v/>
      </c>
      <c r="E216" s="181" t="str">
        <f>IFERROR(LOOKUP(2,1/((A_Corridor!$A$5:$A$204&lt;&gt;"")*(A_Corridor!$A$5:$A$204&lt;=$B216)*(A_Corridor!$B$5:$B$204&gt;$B216)*(A_Corridor!$D$5:$D$204&lt;&gt;"")),IF(A_Corridor!$D$5:$D$204="-","",UPPER(A_Corridor!$D$5:$D$204))),"")</f>
        <v/>
      </c>
      <c r="F216" s="181" t="str">
        <f>IFERROR(LOOKUP(2,1/((A_Corridor!$A$5:$A$204&lt;&gt;"")*(A_Corridor!$A$5:$A$204&lt;=$B216)*(A_Corridor!$B$5:$B$204&gt;$B216)*(A_Corridor!$E$5:$E$204&lt;&gt;"")),IF(A_Corridor!$E$5:$E$204="-","",1)),"")</f>
        <v/>
      </c>
      <c r="G216" s="182" t="str">
        <f>IFERROR(LOOKUP(2,1/((A_Corridor!$A$5:$A$204&lt;&gt;"")*(A_Corridor!$A$5:$A$204&lt;=$B216)*(A_Corridor!$B$5:$B$204&gt;$B216)*(A_Corridor!$E$5:$E$204&lt;&gt;"")),IF(A_Corridor!$E$5:$E$204="-","",A_Corridor!$E$5:$E$204)),"")</f>
        <v/>
      </c>
      <c r="H216" s="182" t="str">
        <f>IFERROR(LOOKUP(2,1/((D_Points!$A$5:$A$204&lt;&gt;"")*(D_Points!$A$5:$A$204&gt;=$B216)*(D_Points!$A$5:$A$204&lt;$B216+P_Interval)*(UPPER(TRIM(D_Points!$B$5:$B$204))="GULLY")*(D_Points!$H$5:$H$204&lt;&gt;"")),D_Points!$H$5:$H$204),"")</f>
        <v/>
      </c>
      <c r="I216" s="181" t="str">
        <f>IFERROR(LOOKUP(2,1/((A_Corridor!$A$5:$A$204&lt;&gt;"")*(A_Corridor!$A$5:$A$204&lt;=$B216)*(A_Corridor!$B$5:$B$204&gt;$B216)*(A_Corridor!$F$5:$F$204&lt;&gt;"")),IF(A_Corridor!$F$5:$F$204="-","",1)),"")</f>
        <v/>
      </c>
      <c r="J216" s="182" t="str">
        <f>IFERROR(LOOKUP(2,1/((A_Corridor!$A$5:$A$204&lt;&gt;"")*(A_Corridor!$A$5:$A$204&lt;=$B216)*(A_Corridor!$B$5:$B$204&gt;$B216)*(A_Corridor!$F$5:$F$204&lt;&gt;"")),IF(A_Corridor!$F$5:$F$204="-","",A_Corridor!$F$5:$F$204)),"")</f>
        <v/>
      </c>
      <c r="K216" s="182" t="str">
        <f>IFERROR(LOOKUP(2,1/((A_Corridor!$A$5:$A$204&lt;&gt;"")*(A_Corridor!$A$5:$A$204&lt;=$B216)*(A_Corridor!$B$5:$B$204&gt;$B216)*(A_Corridor!$G$5:$G$204&lt;&gt;"")),IF(A_Corridor!$G$5:$G$204="-","",A_Corridor!$G$5:$G$204)),"")</f>
        <v/>
      </c>
      <c r="L216" s="181" t="str">
        <f>IFERROR(LOOKUP(2,1/((A_Corridor!$A$5:$A$204&lt;&gt;"")*(A_Corridor!$A$5:$A$204&lt;=$B216)*(A_Corridor!$B$5:$B$204&gt;$B216)*(A_Corridor!$H$5:$H$204&lt;&gt;"")),IF(A_Corridor!$H$5:$H$204="-","",1)),"")</f>
        <v/>
      </c>
      <c r="M216" s="182" t="str">
        <f>IFERROR(LOOKUP(2,1/((A_Corridor!$A$5:$A$204&lt;&gt;"")*(A_Corridor!$A$5:$A$204&lt;=$B216)*(A_Corridor!$B$5:$B$204&gt;$B216)*(A_Corridor!$H$5:$H$204&lt;&gt;"")),IF(A_Corridor!$H$5:$H$204="-","",A_Corridor!$H$5:$H$204)),"")</f>
        <v/>
      </c>
      <c r="N216" s="182" t="str">
        <f>IFERROR(LOOKUP(2,1/((A_Corridor!$A$5:$A$204&lt;&gt;"")*(A_Corridor!$A$5:$A$204&lt;=$B216)*(A_Corridor!$B$5:$B$204&gt;$B216)*(A_Corridor!$I$5:$I$204&lt;&gt;"")),IF(A_Corridor!$I$5:$I$204="-","",A_Corridor!$I$5:$I$204)),"")</f>
        <v/>
      </c>
      <c r="O216" s="182" t="str">
        <f>IFERROR(LOOKUP(2,1/((D_Points!$A$5:$A$204&lt;&gt;"")*(D_Points!$A$5:$A$204&gt;=$B216)*(D_Points!$A$5:$A$204&lt;$B216+P_Interval)*(UPPER(TRIM(D_Points!$B$5:$B$204))="PITCHING")*(D_Points!$H$5:$H$204&lt;&gt;"")),D_Points!$H$5:$H$204),"")</f>
        <v/>
      </c>
      <c r="P216" s="181" t="str">
        <f>IFERROR(LOOKUP(2,1/((B_Drainage!$A$5:$A$204&lt;&gt;"")*(B_Drainage!$A$5:$A$204&lt;=$B216)*(B_Drainage!$B$5:$B$204&gt;$B216)*(B_Drainage!$C$5:$C$204&lt;&gt;"")),IF(B_Drainage!$C$5:$C$204="-","",UPPER(B_Drainage!$C$5:$C$204))),"")</f>
        <v/>
      </c>
      <c r="Q216" s="181" t="str">
        <f>IFERROR(LOOKUP(2,1/((B_Drainage!$A$5:$A$204&lt;&gt;"")*(B_Drainage!$A$5:$A$204&lt;=$B216)*(B_Drainage!$B$5:$B$204&gt;$B216)*(B_Drainage!$D$5:$D$204&lt;&gt;"")),IF(B_Drainage!$D$5:$D$204="-","",UPPER(B_Drainage!$D$5:$D$204))),"")</f>
        <v/>
      </c>
      <c r="R216" s="182" t="str">
        <f>IFERROR(LOOKUP(2,1/((D_Points!$A$5:$A$204&lt;&gt;"")*(D_Points!$A$5:$A$204&gt;=$B216)*(D_Points!$A$5:$A$204&lt;$B216+P_Interval)*(RIGHT(UPPER(TRIM(D_Points!$B$5:$B$204)),8)="_CULVERT")),IF(LEFT(UPPER(TRIM(D_Points!$B$5:$B$204)),2)="EX",1,IF(LEFT(UPPER(TRIM(D_Points!$B$5:$B$204)),2)="PR",2,3))),"")</f>
        <v/>
      </c>
      <c r="S216" s="182" t="str">
        <f>IFERROR(LOOKUP(2,1/((D_Points!$A$5:$A$204&lt;&gt;"")*(D_Points!$A$5:$A$204&gt;=$B216)*(D_Points!$A$5:$A$204&lt;$B216+P_Interval)*(RIGHT(UPPER(TRIM(D_Points!$B$5:$B$204)),7)="_BRIDGE")),IF(LEFT(UPPER(TRIM(D_Points!$B$5:$B$204)),2)="EX",1,IF(LEFT(UPPER(TRIM(D_Points!$B$5:$B$204)),2)="PR",2,2))),"")</f>
        <v/>
      </c>
      <c r="T216" s="181" t="str">
        <f>IFERROR(LOOKUP(2,1/((B_Drainage!$A$5:$A$204&lt;&gt;"")*(B_Drainage!$A$5:$A$204&lt;=$B216)*(B_Drainage!$B$5:$B$204&gt;$B216)*(B_Drainage!$E$5:$E$204&lt;&gt;"")),IF(B_Drainage!$E$5:$E$204="-","",1)),"")</f>
        <v/>
      </c>
      <c r="U216" s="181" t="str">
        <f>IFERROR(LOOKUP(2,1/((B_Drainage!$A$5:$A$204&lt;&gt;"")*(B_Drainage!$A$5:$A$204&lt;=$B216)*(B_Drainage!$B$5:$B$204&gt;$B216)*(B_Drainage!$E$5:$E$204&lt;&gt;"")),IF(B_Drainage!$E$5:$E$204="-","",B_Drainage!$E$5:$E$204)),"")</f>
        <v/>
      </c>
      <c r="V216" s="181" t="str">
        <f>IFERROR(LOOKUP(2,1/((B_Drainage!$A$5:$A$204&lt;&gt;"")*(B_Drainage!$A$5:$A$204&lt;=$B216)*(B_Drainage!$B$5:$B$204&gt;$B216)*(B_Drainage!$F$5:$F$204&lt;&gt;"")),IF(B_Drainage!$F$5:$F$204="-","",1)),"")</f>
        <v/>
      </c>
      <c r="W216" s="181" t="str">
        <f>IFERROR(LOOKUP(2,1/((B_Drainage!$A$5:$A$204&lt;&gt;"")*(B_Drainage!$A$5:$A$204&lt;=$B216)*(B_Drainage!$B$5:$B$204&gt;$B216)*(B_Drainage!$F$5:$F$204&lt;&gt;"")),IF(B_Drainage!$F$5:$F$204="-","",B_Drainage!$F$5:$F$204)),"")</f>
        <v/>
      </c>
      <c r="X216" s="181" t="str">
        <f>IFERROR(LOOKUP(2,1/((B_Drainage!$A$5:$A$204&lt;&gt;"")*(B_Drainage!$A$5:$A$204&lt;=$B216)*(B_Drainage!$B$5:$B$204&gt;$B216)*(B_Drainage!$G$5:$G$204&lt;&gt;"")),IF(UPPER(B_Drainage!$G$5:$G$204)="Y",1,"")),"")</f>
        <v/>
      </c>
      <c r="Y216" s="181" t="str">
        <f>IFERROR(LOOKUP(2,1/((B_Drainage!$A$5:$A$204&lt;&gt;"")*(B_Drainage!$A$5:$A$204&lt;=$B216)*(B_Drainage!$B$5:$B$204&gt;$B216)*(B_Drainage!$H$5:$H$204&lt;&gt;"")),IF(UPPER(B_Drainage!$H$5:$H$204)="Y",1,"")),"")</f>
        <v/>
      </c>
      <c r="Z216" s="181" t="str">
        <f>IFERROR(LOOKUP(2,1/((B_Drainage!$A$5:$A$204&lt;&gt;"")*(B_Drainage!$A$5:$A$204&lt;=$B216)*(B_Drainage!$B$5:$B$204&gt;$B216)*(B_Drainage!$I$5:$I$204&lt;&gt;"")),IF(UPPER(B_Drainage!$I$5:$I$204)="Y",1,"")),"")</f>
        <v/>
      </c>
      <c r="AA216" s="181" t="str">
        <f>IFERROR(LOOKUP(2,1/((B_Drainage!$A$5:$A$204&lt;&gt;"")*(B_Drainage!$A$5:$A$204&lt;=$B216)*(B_Drainage!$B$5:$B$204&gt;$B216)*(B_Drainage!$J$5:$J$204&lt;&gt;"")),IF(UPPER(B_Drainage!$J$5:$J$204)="Y",1,"")),"")</f>
        <v/>
      </c>
      <c r="AB216" s="182" t="str">
        <f>IFERROR(LOOKUP(2,1/((B_Drainage!$A$5:$A$204&lt;&gt;"")*(B_Drainage!$A$5:$A$204&lt;=$B216)*(B_Drainage!$B$5:$B$204&gt;$B216)*(B_Drainage!$K$5:$K$204&lt;&gt;"")),IF(B_Drainage!$K$5:$K$204="-","",B_Drainage!$K$5:$K$204)),"")</f>
        <v/>
      </c>
      <c r="AC216" s="182" t="str">
        <f>IFERROR(LOOKUP(2,1/((B_Drainage!$A$5:$A$204&lt;&gt;"")*(B_Drainage!$A$5:$A$204&lt;=$B216)*(B_Drainage!$B$5:$B$204&gt;$B216)*(B_Drainage!$L$5:$L$204&lt;&gt;"")),IF(B_Drainage!$L$5:$L$204="-","",B_Drainage!$L$5:$L$204)),"")</f>
        <v/>
      </c>
      <c r="AD216" s="182" t="str">
        <f>IFERROR(LOOKUP(2,1/((D_Points!$A$5:$A$204&lt;&gt;"")*(D_Points!$A$5:$A$204&gt;=$B216)*(D_Points!$A$5:$A$204&lt;$B216+P_Interval)*(UPPER(TRIM(D_Points!$B$5:$B$204))="TURNOUT_L")*(D_Points!$H$5:$H$204&lt;&gt;"")),D_Points!$H$5:$H$204),"")</f>
        <v/>
      </c>
      <c r="AE216" s="182" t="str">
        <f>IFERROR(LOOKUP(2,1/((D_Points!$A$5:$A$204&lt;&gt;"")*(D_Points!$A$5:$A$204&gt;=$B216)*(D_Points!$A$5:$A$204&lt;$B216+P_Interval)*(UPPER(TRIM(D_Points!$B$5:$B$204))="TURNOUT_R")*(D_Points!$H$5:$H$204&lt;&gt;"")),D_Points!$H$5:$H$204),"")</f>
        <v/>
      </c>
      <c r="AF216" s="181" t="str">
        <f>IFERROR(LOOKUP(2,1/((B_Drainage!$A$5:$A$204&lt;&gt;"")*(B_Drainage!$A$5:$A$204&lt;=$B216)*(B_Drainage!$B$5:$B$204&gt;$B216)*(B_Drainage!$M$5:$M$204&lt;&gt;"")),IF(UPPER(B_Drainage!$M$5:$M$204)="Y",1,"")),"")</f>
        <v/>
      </c>
      <c r="AG216" s="181" t="str">
        <f>IFERROR(LOOKUP(2,1/((B_Drainage!$A$5:$A$204&lt;&gt;"")*(B_Drainage!$A$5:$A$204&lt;=$B216)*(B_Drainage!$B$5:$B$204&gt;$B216)*(B_Drainage!$N$5:$N$204&lt;&gt;"")),IF(UPPER(B_Drainage!$N$5:$N$204)="Y",1,"")),"")</f>
        <v/>
      </c>
      <c r="AH216" s="181" t="str">
        <f t="shared" si="24"/>
        <v/>
      </c>
      <c r="AI216" s="181" t="str">
        <f t="shared" si="25"/>
        <v/>
      </c>
      <c r="AJ216" s="181" t="str">
        <f t="shared" si="26"/>
        <v/>
      </c>
      <c r="AK216" s="181" t="str">
        <f t="shared" si="27"/>
        <v/>
      </c>
      <c r="AL216" s="181" t="str">
        <f t="shared" si="28"/>
        <v/>
      </c>
      <c r="AM216" s="181" t="str">
        <f t="shared" si="29"/>
        <v/>
      </c>
      <c r="AN216" s="181" t="str">
        <f t="shared" si="30"/>
        <v/>
      </c>
      <c r="AO216" s="192" t="str">
        <f t="shared" si="31"/>
        <v/>
      </c>
      <c r="AQ216" t="str">
        <f>IFERROR(LOOKUP(2,1/((C_Pavement!$A$5:$A$204&lt;&gt;"")*(C_Pavement!$A$5:$A$204&lt;=$B216)*(C_Pavement!$B$5:$B$204&gt;$B216)*(C_Pavement!$C$5:$C$204&lt;&gt;"")),ROW(C_Pavement!$C$5:$C$204)-4),"")</f>
        <v/>
      </c>
      <c r="AR216" t="str">
        <f>IF($AQ216="","",UPPER(TRIM(INDEX(C_Pavement!$C$5:$C$204,$AQ216))))</f>
        <v/>
      </c>
      <c r="AS216" t="str">
        <f>IF($AR216="","",IFERROR(MATCH($AR216,E_Rules!$A$5:$A$9,0),""))</f>
        <v/>
      </c>
      <c r="AT216" t="str">
        <f>IF($AQ216="","",IF(INDEX(C_Pavement!$D$5:$D$204,$AQ216)&lt;&gt;"",UPPER(TRIM(INDEX(C_Pavement!$D$5:$D$204,$AQ216))),IF($AS216="","",INDEX(E_Rules!$C$5:$C$9,$AS216))))</f>
        <v/>
      </c>
      <c r="AU216" t="str">
        <f>IF($AQ216="","",IF(INDEX(C_Pavement!$E$5:$E$204,$AQ216)&lt;&gt;"",IF(INDEX(C_Pavement!$E$5:$E$204,$AQ216)="-","",INDEX(C_Pavement!$E$5:$E$204,$AQ216)),IF($AS216="","",INDEX(E_Rules!$D$5:$D$9,$AS216))))</f>
        <v/>
      </c>
      <c r="AV216" t="str">
        <f>IF($AQ216="","",IF(INDEX(C_Pavement!$F$5:$F$204,$AQ216)&lt;&gt;"",IF(INDEX(C_Pavement!$F$5:$F$204,$AQ216)="-","",INDEX(C_Pavement!$F$5:$F$204,$AQ216)),IF($AS216="","",INDEX(E_Rules!$E$5:$E$9,$AS216))))</f>
        <v/>
      </c>
      <c r="AW216" t="str">
        <f>IF($AQ216="","",IF(INDEX(C_Pavement!$G$5:$G$204,$AQ216)&lt;&gt;"",IF(INDEX(C_Pavement!$G$5:$G$204,$AQ216)="-","",INDEX(C_Pavement!$G$5:$G$204,$AQ216)),IF($AS216="","",INDEX(E_Rules!$F$5:$F$9,$AS216))))</f>
        <v/>
      </c>
      <c r="AX216" t="str">
        <f>IF($AQ216="","",IF(INDEX(C_Pavement!$H$5:$H$204,$AQ216)&lt;&gt;"",IF(INDEX(C_Pavement!$H$5:$H$204,$AQ216)="-","",INDEX(C_Pavement!$H$5:$H$204,$AQ216)),IF($AS216="","",INDEX(E_Rules!$G$5:$G$9,$AS216))))</f>
        <v/>
      </c>
      <c r="AY216" t="str">
        <f>IF($AQ216="","",IF(INDEX(C_Pavement!$I$5:$I$204,$AQ216)&lt;&gt;"",IF(INDEX(C_Pavement!$I$5:$I$204,$AQ216)="-","",INDEX(C_Pavement!$I$5:$I$204,$AQ216)),IF($AS216="","",INDEX(E_Rules!$H$5:$H$9,$AS216))))</f>
        <v/>
      </c>
    </row>
    <row r="217" spans="1:51" ht="15.75" customHeight="1" x14ac:dyDescent="0.3">
      <c r="A217" s="189">
        <v>212</v>
      </c>
      <c r="B217" s="180">
        <v>10550</v>
      </c>
      <c r="C217" s="180" t="s">
        <v>523</v>
      </c>
      <c r="D217" s="181" t="str">
        <f>IFERROR(LOOKUP(2,1/((A_Corridor!$A$5:$A$204&lt;&gt;"")*(A_Corridor!$A$5:$A$204&lt;=$B217)*(A_Corridor!$B$5:$B$204&gt;$B217)*(A_Corridor!$C$5:$C$204&lt;&gt;"")),IF(UPPER(A_Corridor!$C$5:$C$204)="Y",1,"")),"")</f>
        <v/>
      </c>
      <c r="E217" s="181" t="str">
        <f>IFERROR(LOOKUP(2,1/((A_Corridor!$A$5:$A$204&lt;&gt;"")*(A_Corridor!$A$5:$A$204&lt;=$B217)*(A_Corridor!$B$5:$B$204&gt;$B217)*(A_Corridor!$D$5:$D$204&lt;&gt;"")),IF(A_Corridor!$D$5:$D$204="-","",UPPER(A_Corridor!$D$5:$D$204))),"")</f>
        <v/>
      </c>
      <c r="F217" s="181" t="str">
        <f>IFERROR(LOOKUP(2,1/((A_Corridor!$A$5:$A$204&lt;&gt;"")*(A_Corridor!$A$5:$A$204&lt;=$B217)*(A_Corridor!$B$5:$B$204&gt;$B217)*(A_Corridor!$E$5:$E$204&lt;&gt;"")),IF(A_Corridor!$E$5:$E$204="-","",1)),"")</f>
        <v/>
      </c>
      <c r="G217" s="182" t="str">
        <f>IFERROR(LOOKUP(2,1/((A_Corridor!$A$5:$A$204&lt;&gt;"")*(A_Corridor!$A$5:$A$204&lt;=$B217)*(A_Corridor!$B$5:$B$204&gt;$B217)*(A_Corridor!$E$5:$E$204&lt;&gt;"")),IF(A_Corridor!$E$5:$E$204="-","",A_Corridor!$E$5:$E$204)),"")</f>
        <v/>
      </c>
      <c r="H217" s="182" t="str">
        <f>IFERROR(LOOKUP(2,1/((D_Points!$A$5:$A$204&lt;&gt;"")*(D_Points!$A$5:$A$204&gt;=$B217)*(D_Points!$A$5:$A$204&lt;$B217+P_Interval)*(UPPER(TRIM(D_Points!$B$5:$B$204))="GULLY")*(D_Points!$H$5:$H$204&lt;&gt;"")),D_Points!$H$5:$H$204),"")</f>
        <v/>
      </c>
      <c r="I217" s="181" t="str">
        <f>IFERROR(LOOKUP(2,1/((A_Corridor!$A$5:$A$204&lt;&gt;"")*(A_Corridor!$A$5:$A$204&lt;=$B217)*(A_Corridor!$B$5:$B$204&gt;$B217)*(A_Corridor!$F$5:$F$204&lt;&gt;"")),IF(A_Corridor!$F$5:$F$204="-","",1)),"")</f>
        <v/>
      </c>
      <c r="J217" s="182" t="str">
        <f>IFERROR(LOOKUP(2,1/((A_Corridor!$A$5:$A$204&lt;&gt;"")*(A_Corridor!$A$5:$A$204&lt;=$B217)*(A_Corridor!$B$5:$B$204&gt;$B217)*(A_Corridor!$F$5:$F$204&lt;&gt;"")),IF(A_Corridor!$F$5:$F$204="-","",A_Corridor!$F$5:$F$204)),"")</f>
        <v/>
      </c>
      <c r="K217" s="182" t="str">
        <f>IFERROR(LOOKUP(2,1/((A_Corridor!$A$5:$A$204&lt;&gt;"")*(A_Corridor!$A$5:$A$204&lt;=$B217)*(A_Corridor!$B$5:$B$204&gt;$B217)*(A_Corridor!$G$5:$G$204&lt;&gt;"")),IF(A_Corridor!$G$5:$G$204="-","",A_Corridor!$G$5:$G$204)),"")</f>
        <v/>
      </c>
      <c r="L217" s="181" t="str">
        <f>IFERROR(LOOKUP(2,1/((A_Corridor!$A$5:$A$204&lt;&gt;"")*(A_Corridor!$A$5:$A$204&lt;=$B217)*(A_Corridor!$B$5:$B$204&gt;$B217)*(A_Corridor!$H$5:$H$204&lt;&gt;"")),IF(A_Corridor!$H$5:$H$204="-","",1)),"")</f>
        <v/>
      </c>
      <c r="M217" s="182" t="str">
        <f>IFERROR(LOOKUP(2,1/((A_Corridor!$A$5:$A$204&lt;&gt;"")*(A_Corridor!$A$5:$A$204&lt;=$B217)*(A_Corridor!$B$5:$B$204&gt;$B217)*(A_Corridor!$H$5:$H$204&lt;&gt;"")),IF(A_Corridor!$H$5:$H$204="-","",A_Corridor!$H$5:$H$204)),"")</f>
        <v/>
      </c>
      <c r="N217" s="182" t="str">
        <f>IFERROR(LOOKUP(2,1/((A_Corridor!$A$5:$A$204&lt;&gt;"")*(A_Corridor!$A$5:$A$204&lt;=$B217)*(A_Corridor!$B$5:$B$204&gt;$B217)*(A_Corridor!$I$5:$I$204&lt;&gt;"")),IF(A_Corridor!$I$5:$I$204="-","",A_Corridor!$I$5:$I$204)),"")</f>
        <v/>
      </c>
      <c r="O217" s="182" t="str">
        <f>IFERROR(LOOKUP(2,1/((D_Points!$A$5:$A$204&lt;&gt;"")*(D_Points!$A$5:$A$204&gt;=$B217)*(D_Points!$A$5:$A$204&lt;$B217+P_Interval)*(UPPER(TRIM(D_Points!$B$5:$B$204))="PITCHING")*(D_Points!$H$5:$H$204&lt;&gt;"")),D_Points!$H$5:$H$204),"")</f>
        <v/>
      </c>
      <c r="P217" s="181" t="str">
        <f>IFERROR(LOOKUP(2,1/((B_Drainage!$A$5:$A$204&lt;&gt;"")*(B_Drainage!$A$5:$A$204&lt;=$B217)*(B_Drainage!$B$5:$B$204&gt;$B217)*(B_Drainage!$C$5:$C$204&lt;&gt;"")),IF(B_Drainage!$C$5:$C$204="-","",UPPER(B_Drainage!$C$5:$C$204))),"")</f>
        <v/>
      </c>
      <c r="Q217" s="181" t="str">
        <f>IFERROR(LOOKUP(2,1/((B_Drainage!$A$5:$A$204&lt;&gt;"")*(B_Drainage!$A$5:$A$204&lt;=$B217)*(B_Drainage!$B$5:$B$204&gt;$B217)*(B_Drainage!$D$5:$D$204&lt;&gt;"")),IF(B_Drainage!$D$5:$D$204="-","",UPPER(B_Drainage!$D$5:$D$204))),"")</f>
        <v/>
      </c>
      <c r="R217" s="182" t="str">
        <f>IFERROR(LOOKUP(2,1/((D_Points!$A$5:$A$204&lt;&gt;"")*(D_Points!$A$5:$A$204&gt;=$B217)*(D_Points!$A$5:$A$204&lt;$B217+P_Interval)*(RIGHT(UPPER(TRIM(D_Points!$B$5:$B$204)),8)="_CULVERT")),IF(LEFT(UPPER(TRIM(D_Points!$B$5:$B$204)),2)="EX",1,IF(LEFT(UPPER(TRIM(D_Points!$B$5:$B$204)),2)="PR",2,3))),"")</f>
        <v/>
      </c>
      <c r="S217" s="182" t="str">
        <f>IFERROR(LOOKUP(2,1/((D_Points!$A$5:$A$204&lt;&gt;"")*(D_Points!$A$5:$A$204&gt;=$B217)*(D_Points!$A$5:$A$204&lt;$B217+P_Interval)*(RIGHT(UPPER(TRIM(D_Points!$B$5:$B$204)),7)="_BRIDGE")),IF(LEFT(UPPER(TRIM(D_Points!$B$5:$B$204)),2)="EX",1,IF(LEFT(UPPER(TRIM(D_Points!$B$5:$B$204)),2)="PR",2,2))),"")</f>
        <v/>
      </c>
      <c r="T217" s="181" t="str">
        <f>IFERROR(LOOKUP(2,1/((B_Drainage!$A$5:$A$204&lt;&gt;"")*(B_Drainage!$A$5:$A$204&lt;=$B217)*(B_Drainage!$B$5:$B$204&gt;$B217)*(B_Drainage!$E$5:$E$204&lt;&gt;"")),IF(B_Drainage!$E$5:$E$204="-","",1)),"")</f>
        <v/>
      </c>
      <c r="U217" s="181" t="str">
        <f>IFERROR(LOOKUP(2,1/((B_Drainage!$A$5:$A$204&lt;&gt;"")*(B_Drainage!$A$5:$A$204&lt;=$B217)*(B_Drainage!$B$5:$B$204&gt;$B217)*(B_Drainage!$E$5:$E$204&lt;&gt;"")),IF(B_Drainage!$E$5:$E$204="-","",B_Drainage!$E$5:$E$204)),"")</f>
        <v/>
      </c>
      <c r="V217" s="181" t="str">
        <f>IFERROR(LOOKUP(2,1/((B_Drainage!$A$5:$A$204&lt;&gt;"")*(B_Drainage!$A$5:$A$204&lt;=$B217)*(B_Drainage!$B$5:$B$204&gt;$B217)*(B_Drainage!$F$5:$F$204&lt;&gt;"")),IF(B_Drainage!$F$5:$F$204="-","",1)),"")</f>
        <v/>
      </c>
      <c r="W217" s="181" t="str">
        <f>IFERROR(LOOKUP(2,1/((B_Drainage!$A$5:$A$204&lt;&gt;"")*(B_Drainage!$A$5:$A$204&lt;=$B217)*(B_Drainage!$B$5:$B$204&gt;$B217)*(B_Drainage!$F$5:$F$204&lt;&gt;"")),IF(B_Drainage!$F$5:$F$204="-","",B_Drainage!$F$5:$F$204)),"")</f>
        <v/>
      </c>
      <c r="X217" s="181" t="str">
        <f>IFERROR(LOOKUP(2,1/((B_Drainage!$A$5:$A$204&lt;&gt;"")*(B_Drainage!$A$5:$A$204&lt;=$B217)*(B_Drainage!$B$5:$B$204&gt;$B217)*(B_Drainage!$G$5:$G$204&lt;&gt;"")),IF(UPPER(B_Drainage!$G$5:$G$204)="Y",1,"")),"")</f>
        <v/>
      </c>
      <c r="Y217" s="181" t="str">
        <f>IFERROR(LOOKUP(2,1/((B_Drainage!$A$5:$A$204&lt;&gt;"")*(B_Drainage!$A$5:$A$204&lt;=$B217)*(B_Drainage!$B$5:$B$204&gt;$B217)*(B_Drainage!$H$5:$H$204&lt;&gt;"")),IF(UPPER(B_Drainage!$H$5:$H$204)="Y",1,"")),"")</f>
        <v/>
      </c>
      <c r="Z217" s="181" t="str">
        <f>IFERROR(LOOKUP(2,1/((B_Drainage!$A$5:$A$204&lt;&gt;"")*(B_Drainage!$A$5:$A$204&lt;=$B217)*(B_Drainage!$B$5:$B$204&gt;$B217)*(B_Drainage!$I$5:$I$204&lt;&gt;"")),IF(UPPER(B_Drainage!$I$5:$I$204)="Y",1,"")),"")</f>
        <v/>
      </c>
      <c r="AA217" s="181" t="str">
        <f>IFERROR(LOOKUP(2,1/((B_Drainage!$A$5:$A$204&lt;&gt;"")*(B_Drainage!$A$5:$A$204&lt;=$B217)*(B_Drainage!$B$5:$B$204&gt;$B217)*(B_Drainage!$J$5:$J$204&lt;&gt;"")),IF(UPPER(B_Drainage!$J$5:$J$204)="Y",1,"")),"")</f>
        <v/>
      </c>
      <c r="AB217" s="182" t="str">
        <f>IFERROR(LOOKUP(2,1/((B_Drainage!$A$5:$A$204&lt;&gt;"")*(B_Drainage!$A$5:$A$204&lt;=$B217)*(B_Drainage!$B$5:$B$204&gt;$B217)*(B_Drainage!$K$5:$K$204&lt;&gt;"")),IF(B_Drainage!$K$5:$K$204="-","",B_Drainage!$K$5:$K$204)),"")</f>
        <v/>
      </c>
      <c r="AC217" s="182" t="str">
        <f>IFERROR(LOOKUP(2,1/((B_Drainage!$A$5:$A$204&lt;&gt;"")*(B_Drainage!$A$5:$A$204&lt;=$B217)*(B_Drainage!$B$5:$B$204&gt;$B217)*(B_Drainage!$L$5:$L$204&lt;&gt;"")),IF(B_Drainage!$L$5:$L$204="-","",B_Drainage!$L$5:$L$204)),"")</f>
        <v/>
      </c>
      <c r="AD217" s="182" t="str">
        <f>IFERROR(LOOKUP(2,1/((D_Points!$A$5:$A$204&lt;&gt;"")*(D_Points!$A$5:$A$204&gt;=$B217)*(D_Points!$A$5:$A$204&lt;$B217+P_Interval)*(UPPER(TRIM(D_Points!$B$5:$B$204))="TURNOUT_L")*(D_Points!$H$5:$H$204&lt;&gt;"")),D_Points!$H$5:$H$204),"")</f>
        <v/>
      </c>
      <c r="AE217" s="182" t="str">
        <f>IFERROR(LOOKUP(2,1/((D_Points!$A$5:$A$204&lt;&gt;"")*(D_Points!$A$5:$A$204&gt;=$B217)*(D_Points!$A$5:$A$204&lt;$B217+P_Interval)*(UPPER(TRIM(D_Points!$B$5:$B$204))="TURNOUT_R")*(D_Points!$H$5:$H$204&lt;&gt;"")),D_Points!$H$5:$H$204),"")</f>
        <v/>
      </c>
      <c r="AF217" s="181" t="str">
        <f>IFERROR(LOOKUP(2,1/((B_Drainage!$A$5:$A$204&lt;&gt;"")*(B_Drainage!$A$5:$A$204&lt;=$B217)*(B_Drainage!$B$5:$B$204&gt;$B217)*(B_Drainage!$M$5:$M$204&lt;&gt;"")),IF(UPPER(B_Drainage!$M$5:$M$204)="Y",1,"")),"")</f>
        <v/>
      </c>
      <c r="AG217" s="181" t="str">
        <f>IFERROR(LOOKUP(2,1/((B_Drainage!$A$5:$A$204&lt;&gt;"")*(B_Drainage!$A$5:$A$204&lt;=$B217)*(B_Drainage!$B$5:$B$204&gt;$B217)*(B_Drainage!$N$5:$N$204&lt;&gt;"")),IF(UPPER(B_Drainage!$N$5:$N$204)="Y",1,"")),"")</f>
        <v/>
      </c>
      <c r="AH217" s="181" t="str">
        <f t="shared" si="24"/>
        <v/>
      </c>
      <c r="AI217" s="181" t="str">
        <f t="shared" si="25"/>
        <v/>
      </c>
      <c r="AJ217" s="181" t="str">
        <f t="shared" si="26"/>
        <v/>
      </c>
      <c r="AK217" s="181" t="str">
        <f t="shared" si="27"/>
        <v/>
      </c>
      <c r="AL217" s="181" t="str">
        <f t="shared" si="28"/>
        <v/>
      </c>
      <c r="AM217" s="181" t="str">
        <f t="shared" si="29"/>
        <v/>
      </c>
      <c r="AN217" s="181" t="str">
        <f t="shared" si="30"/>
        <v/>
      </c>
      <c r="AO217" s="192" t="str">
        <f t="shared" si="31"/>
        <v/>
      </c>
      <c r="AQ217" t="str">
        <f>IFERROR(LOOKUP(2,1/((C_Pavement!$A$5:$A$204&lt;&gt;"")*(C_Pavement!$A$5:$A$204&lt;=$B217)*(C_Pavement!$B$5:$B$204&gt;$B217)*(C_Pavement!$C$5:$C$204&lt;&gt;"")),ROW(C_Pavement!$C$5:$C$204)-4),"")</f>
        <v/>
      </c>
      <c r="AR217" t="str">
        <f>IF($AQ217="","",UPPER(TRIM(INDEX(C_Pavement!$C$5:$C$204,$AQ217))))</f>
        <v/>
      </c>
      <c r="AS217" t="str">
        <f>IF($AR217="","",IFERROR(MATCH($AR217,E_Rules!$A$5:$A$9,0),""))</f>
        <v/>
      </c>
      <c r="AT217" t="str">
        <f>IF($AQ217="","",IF(INDEX(C_Pavement!$D$5:$D$204,$AQ217)&lt;&gt;"",UPPER(TRIM(INDEX(C_Pavement!$D$5:$D$204,$AQ217))),IF($AS217="","",INDEX(E_Rules!$C$5:$C$9,$AS217))))</f>
        <v/>
      </c>
      <c r="AU217" t="str">
        <f>IF($AQ217="","",IF(INDEX(C_Pavement!$E$5:$E$204,$AQ217)&lt;&gt;"",IF(INDEX(C_Pavement!$E$5:$E$204,$AQ217)="-","",INDEX(C_Pavement!$E$5:$E$204,$AQ217)),IF($AS217="","",INDEX(E_Rules!$D$5:$D$9,$AS217))))</f>
        <v/>
      </c>
      <c r="AV217" t="str">
        <f>IF($AQ217="","",IF(INDEX(C_Pavement!$F$5:$F$204,$AQ217)&lt;&gt;"",IF(INDEX(C_Pavement!$F$5:$F$204,$AQ217)="-","",INDEX(C_Pavement!$F$5:$F$204,$AQ217)),IF($AS217="","",INDEX(E_Rules!$E$5:$E$9,$AS217))))</f>
        <v/>
      </c>
      <c r="AW217" t="str">
        <f>IF($AQ217="","",IF(INDEX(C_Pavement!$G$5:$G$204,$AQ217)&lt;&gt;"",IF(INDEX(C_Pavement!$G$5:$G$204,$AQ217)="-","",INDEX(C_Pavement!$G$5:$G$204,$AQ217)),IF($AS217="","",INDEX(E_Rules!$F$5:$F$9,$AS217))))</f>
        <v/>
      </c>
      <c r="AX217" t="str">
        <f>IF($AQ217="","",IF(INDEX(C_Pavement!$H$5:$H$204,$AQ217)&lt;&gt;"",IF(INDEX(C_Pavement!$H$5:$H$204,$AQ217)="-","",INDEX(C_Pavement!$H$5:$H$204,$AQ217)),IF($AS217="","",INDEX(E_Rules!$G$5:$G$9,$AS217))))</f>
        <v/>
      </c>
      <c r="AY217" t="str">
        <f>IF($AQ217="","",IF(INDEX(C_Pavement!$I$5:$I$204,$AQ217)&lt;&gt;"",IF(INDEX(C_Pavement!$I$5:$I$204,$AQ217)="-","",INDEX(C_Pavement!$I$5:$I$204,$AQ217)),IF($AS217="","",INDEX(E_Rules!$H$5:$H$9,$AS217))))</f>
        <v/>
      </c>
    </row>
    <row r="218" spans="1:51" ht="15.75" customHeight="1" x14ac:dyDescent="0.3">
      <c r="A218" s="189">
        <v>213</v>
      </c>
      <c r="B218" s="180">
        <v>10600</v>
      </c>
      <c r="C218" s="180" t="s">
        <v>524</v>
      </c>
      <c r="D218" s="181" t="str">
        <f>IFERROR(LOOKUP(2,1/((A_Corridor!$A$5:$A$204&lt;&gt;"")*(A_Corridor!$A$5:$A$204&lt;=$B218)*(A_Corridor!$B$5:$B$204&gt;$B218)*(A_Corridor!$C$5:$C$204&lt;&gt;"")),IF(UPPER(A_Corridor!$C$5:$C$204)="Y",1,"")),"")</f>
        <v/>
      </c>
      <c r="E218" s="181" t="str">
        <f>IFERROR(LOOKUP(2,1/((A_Corridor!$A$5:$A$204&lt;&gt;"")*(A_Corridor!$A$5:$A$204&lt;=$B218)*(A_Corridor!$B$5:$B$204&gt;$B218)*(A_Corridor!$D$5:$D$204&lt;&gt;"")),IF(A_Corridor!$D$5:$D$204="-","",UPPER(A_Corridor!$D$5:$D$204))),"")</f>
        <v/>
      </c>
      <c r="F218" s="181" t="str">
        <f>IFERROR(LOOKUP(2,1/((A_Corridor!$A$5:$A$204&lt;&gt;"")*(A_Corridor!$A$5:$A$204&lt;=$B218)*(A_Corridor!$B$5:$B$204&gt;$B218)*(A_Corridor!$E$5:$E$204&lt;&gt;"")),IF(A_Corridor!$E$5:$E$204="-","",1)),"")</f>
        <v/>
      </c>
      <c r="G218" s="182" t="str">
        <f>IFERROR(LOOKUP(2,1/((A_Corridor!$A$5:$A$204&lt;&gt;"")*(A_Corridor!$A$5:$A$204&lt;=$B218)*(A_Corridor!$B$5:$B$204&gt;$B218)*(A_Corridor!$E$5:$E$204&lt;&gt;"")),IF(A_Corridor!$E$5:$E$204="-","",A_Corridor!$E$5:$E$204)),"")</f>
        <v/>
      </c>
      <c r="H218" s="182" t="str">
        <f>IFERROR(LOOKUP(2,1/((D_Points!$A$5:$A$204&lt;&gt;"")*(D_Points!$A$5:$A$204&gt;=$B218)*(D_Points!$A$5:$A$204&lt;$B218+P_Interval)*(UPPER(TRIM(D_Points!$B$5:$B$204))="GULLY")*(D_Points!$H$5:$H$204&lt;&gt;"")),D_Points!$H$5:$H$204),"")</f>
        <v/>
      </c>
      <c r="I218" s="181" t="str">
        <f>IFERROR(LOOKUP(2,1/((A_Corridor!$A$5:$A$204&lt;&gt;"")*(A_Corridor!$A$5:$A$204&lt;=$B218)*(A_Corridor!$B$5:$B$204&gt;$B218)*(A_Corridor!$F$5:$F$204&lt;&gt;"")),IF(A_Corridor!$F$5:$F$204="-","",1)),"")</f>
        <v/>
      </c>
      <c r="J218" s="182" t="str">
        <f>IFERROR(LOOKUP(2,1/((A_Corridor!$A$5:$A$204&lt;&gt;"")*(A_Corridor!$A$5:$A$204&lt;=$B218)*(A_Corridor!$B$5:$B$204&gt;$B218)*(A_Corridor!$F$5:$F$204&lt;&gt;"")),IF(A_Corridor!$F$5:$F$204="-","",A_Corridor!$F$5:$F$204)),"")</f>
        <v/>
      </c>
      <c r="K218" s="182" t="str">
        <f>IFERROR(LOOKUP(2,1/((A_Corridor!$A$5:$A$204&lt;&gt;"")*(A_Corridor!$A$5:$A$204&lt;=$B218)*(A_Corridor!$B$5:$B$204&gt;$B218)*(A_Corridor!$G$5:$G$204&lt;&gt;"")),IF(A_Corridor!$G$5:$G$204="-","",A_Corridor!$G$5:$G$204)),"")</f>
        <v/>
      </c>
      <c r="L218" s="181" t="str">
        <f>IFERROR(LOOKUP(2,1/((A_Corridor!$A$5:$A$204&lt;&gt;"")*(A_Corridor!$A$5:$A$204&lt;=$B218)*(A_Corridor!$B$5:$B$204&gt;$B218)*(A_Corridor!$H$5:$H$204&lt;&gt;"")),IF(A_Corridor!$H$5:$H$204="-","",1)),"")</f>
        <v/>
      </c>
      <c r="M218" s="182" t="str">
        <f>IFERROR(LOOKUP(2,1/((A_Corridor!$A$5:$A$204&lt;&gt;"")*(A_Corridor!$A$5:$A$204&lt;=$B218)*(A_Corridor!$B$5:$B$204&gt;$B218)*(A_Corridor!$H$5:$H$204&lt;&gt;"")),IF(A_Corridor!$H$5:$H$204="-","",A_Corridor!$H$5:$H$204)),"")</f>
        <v/>
      </c>
      <c r="N218" s="182" t="str">
        <f>IFERROR(LOOKUP(2,1/((A_Corridor!$A$5:$A$204&lt;&gt;"")*(A_Corridor!$A$5:$A$204&lt;=$B218)*(A_Corridor!$B$5:$B$204&gt;$B218)*(A_Corridor!$I$5:$I$204&lt;&gt;"")),IF(A_Corridor!$I$5:$I$204="-","",A_Corridor!$I$5:$I$204)),"")</f>
        <v/>
      </c>
      <c r="O218" s="182" t="str">
        <f>IFERROR(LOOKUP(2,1/((D_Points!$A$5:$A$204&lt;&gt;"")*(D_Points!$A$5:$A$204&gt;=$B218)*(D_Points!$A$5:$A$204&lt;$B218+P_Interval)*(UPPER(TRIM(D_Points!$B$5:$B$204))="PITCHING")*(D_Points!$H$5:$H$204&lt;&gt;"")),D_Points!$H$5:$H$204),"")</f>
        <v/>
      </c>
      <c r="P218" s="181" t="str">
        <f>IFERROR(LOOKUP(2,1/((B_Drainage!$A$5:$A$204&lt;&gt;"")*(B_Drainage!$A$5:$A$204&lt;=$B218)*(B_Drainage!$B$5:$B$204&gt;$B218)*(B_Drainage!$C$5:$C$204&lt;&gt;"")),IF(B_Drainage!$C$5:$C$204="-","",UPPER(B_Drainage!$C$5:$C$204))),"")</f>
        <v/>
      </c>
      <c r="Q218" s="181" t="str">
        <f>IFERROR(LOOKUP(2,1/((B_Drainage!$A$5:$A$204&lt;&gt;"")*(B_Drainage!$A$5:$A$204&lt;=$B218)*(B_Drainage!$B$5:$B$204&gt;$B218)*(B_Drainage!$D$5:$D$204&lt;&gt;"")),IF(B_Drainage!$D$5:$D$204="-","",UPPER(B_Drainage!$D$5:$D$204))),"")</f>
        <v/>
      </c>
      <c r="R218" s="182" t="str">
        <f>IFERROR(LOOKUP(2,1/((D_Points!$A$5:$A$204&lt;&gt;"")*(D_Points!$A$5:$A$204&gt;=$B218)*(D_Points!$A$5:$A$204&lt;$B218+P_Interval)*(RIGHT(UPPER(TRIM(D_Points!$B$5:$B$204)),8)="_CULVERT")),IF(LEFT(UPPER(TRIM(D_Points!$B$5:$B$204)),2)="EX",1,IF(LEFT(UPPER(TRIM(D_Points!$B$5:$B$204)),2)="PR",2,3))),"")</f>
        <v/>
      </c>
      <c r="S218" s="182" t="str">
        <f>IFERROR(LOOKUP(2,1/((D_Points!$A$5:$A$204&lt;&gt;"")*(D_Points!$A$5:$A$204&gt;=$B218)*(D_Points!$A$5:$A$204&lt;$B218+P_Interval)*(RIGHT(UPPER(TRIM(D_Points!$B$5:$B$204)),7)="_BRIDGE")),IF(LEFT(UPPER(TRIM(D_Points!$B$5:$B$204)),2)="EX",1,IF(LEFT(UPPER(TRIM(D_Points!$B$5:$B$204)),2)="PR",2,2))),"")</f>
        <v/>
      </c>
      <c r="T218" s="181" t="str">
        <f>IFERROR(LOOKUP(2,1/((B_Drainage!$A$5:$A$204&lt;&gt;"")*(B_Drainage!$A$5:$A$204&lt;=$B218)*(B_Drainage!$B$5:$B$204&gt;$B218)*(B_Drainage!$E$5:$E$204&lt;&gt;"")),IF(B_Drainage!$E$5:$E$204="-","",1)),"")</f>
        <v/>
      </c>
      <c r="U218" s="181" t="str">
        <f>IFERROR(LOOKUP(2,1/((B_Drainage!$A$5:$A$204&lt;&gt;"")*(B_Drainage!$A$5:$A$204&lt;=$B218)*(B_Drainage!$B$5:$B$204&gt;$B218)*(B_Drainage!$E$5:$E$204&lt;&gt;"")),IF(B_Drainage!$E$5:$E$204="-","",B_Drainage!$E$5:$E$204)),"")</f>
        <v/>
      </c>
      <c r="V218" s="181" t="str">
        <f>IFERROR(LOOKUP(2,1/((B_Drainage!$A$5:$A$204&lt;&gt;"")*(B_Drainage!$A$5:$A$204&lt;=$B218)*(B_Drainage!$B$5:$B$204&gt;$B218)*(B_Drainage!$F$5:$F$204&lt;&gt;"")),IF(B_Drainage!$F$5:$F$204="-","",1)),"")</f>
        <v/>
      </c>
      <c r="W218" s="181" t="str">
        <f>IFERROR(LOOKUP(2,1/((B_Drainage!$A$5:$A$204&lt;&gt;"")*(B_Drainage!$A$5:$A$204&lt;=$B218)*(B_Drainage!$B$5:$B$204&gt;$B218)*(B_Drainage!$F$5:$F$204&lt;&gt;"")),IF(B_Drainage!$F$5:$F$204="-","",B_Drainage!$F$5:$F$204)),"")</f>
        <v/>
      </c>
      <c r="X218" s="181" t="str">
        <f>IFERROR(LOOKUP(2,1/((B_Drainage!$A$5:$A$204&lt;&gt;"")*(B_Drainage!$A$5:$A$204&lt;=$B218)*(B_Drainage!$B$5:$B$204&gt;$B218)*(B_Drainage!$G$5:$G$204&lt;&gt;"")),IF(UPPER(B_Drainage!$G$5:$G$204)="Y",1,"")),"")</f>
        <v/>
      </c>
      <c r="Y218" s="181" t="str">
        <f>IFERROR(LOOKUP(2,1/((B_Drainage!$A$5:$A$204&lt;&gt;"")*(B_Drainage!$A$5:$A$204&lt;=$B218)*(B_Drainage!$B$5:$B$204&gt;$B218)*(B_Drainage!$H$5:$H$204&lt;&gt;"")),IF(UPPER(B_Drainage!$H$5:$H$204)="Y",1,"")),"")</f>
        <v/>
      </c>
      <c r="Z218" s="181" t="str">
        <f>IFERROR(LOOKUP(2,1/((B_Drainage!$A$5:$A$204&lt;&gt;"")*(B_Drainage!$A$5:$A$204&lt;=$B218)*(B_Drainage!$B$5:$B$204&gt;$B218)*(B_Drainage!$I$5:$I$204&lt;&gt;"")),IF(UPPER(B_Drainage!$I$5:$I$204)="Y",1,"")),"")</f>
        <v/>
      </c>
      <c r="AA218" s="181" t="str">
        <f>IFERROR(LOOKUP(2,1/((B_Drainage!$A$5:$A$204&lt;&gt;"")*(B_Drainage!$A$5:$A$204&lt;=$B218)*(B_Drainage!$B$5:$B$204&gt;$B218)*(B_Drainage!$J$5:$J$204&lt;&gt;"")),IF(UPPER(B_Drainage!$J$5:$J$204)="Y",1,"")),"")</f>
        <v/>
      </c>
      <c r="AB218" s="182" t="str">
        <f>IFERROR(LOOKUP(2,1/((B_Drainage!$A$5:$A$204&lt;&gt;"")*(B_Drainage!$A$5:$A$204&lt;=$B218)*(B_Drainage!$B$5:$B$204&gt;$B218)*(B_Drainage!$K$5:$K$204&lt;&gt;"")),IF(B_Drainage!$K$5:$K$204="-","",B_Drainage!$K$5:$K$204)),"")</f>
        <v/>
      </c>
      <c r="AC218" s="182" t="str">
        <f>IFERROR(LOOKUP(2,1/((B_Drainage!$A$5:$A$204&lt;&gt;"")*(B_Drainage!$A$5:$A$204&lt;=$B218)*(B_Drainage!$B$5:$B$204&gt;$B218)*(B_Drainage!$L$5:$L$204&lt;&gt;"")),IF(B_Drainage!$L$5:$L$204="-","",B_Drainage!$L$5:$L$204)),"")</f>
        <v/>
      </c>
      <c r="AD218" s="182" t="str">
        <f>IFERROR(LOOKUP(2,1/((D_Points!$A$5:$A$204&lt;&gt;"")*(D_Points!$A$5:$A$204&gt;=$B218)*(D_Points!$A$5:$A$204&lt;$B218+P_Interval)*(UPPER(TRIM(D_Points!$B$5:$B$204))="TURNOUT_L")*(D_Points!$H$5:$H$204&lt;&gt;"")),D_Points!$H$5:$H$204),"")</f>
        <v/>
      </c>
      <c r="AE218" s="182" t="str">
        <f>IFERROR(LOOKUP(2,1/((D_Points!$A$5:$A$204&lt;&gt;"")*(D_Points!$A$5:$A$204&gt;=$B218)*(D_Points!$A$5:$A$204&lt;$B218+P_Interval)*(UPPER(TRIM(D_Points!$B$5:$B$204))="TURNOUT_R")*(D_Points!$H$5:$H$204&lt;&gt;"")),D_Points!$H$5:$H$204),"")</f>
        <v/>
      </c>
      <c r="AF218" s="181" t="str">
        <f>IFERROR(LOOKUP(2,1/((B_Drainage!$A$5:$A$204&lt;&gt;"")*(B_Drainage!$A$5:$A$204&lt;=$B218)*(B_Drainage!$B$5:$B$204&gt;$B218)*(B_Drainage!$M$5:$M$204&lt;&gt;"")),IF(UPPER(B_Drainage!$M$5:$M$204)="Y",1,"")),"")</f>
        <v/>
      </c>
      <c r="AG218" s="181" t="str">
        <f>IFERROR(LOOKUP(2,1/((B_Drainage!$A$5:$A$204&lt;&gt;"")*(B_Drainage!$A$5:$A$204&lt;=$B218)*(B_Drainage!$B$5:$B$204&gt;$B218)*(B_Drainage!$N$5:$N$204&lt;&gt;"")),IF(UPPER(B_Drainage!$N$5:$N$204)="Y",1,"")),"")</f>
        <v/>
      </c>
      <c r="AH218" s="181" t="str">
        <f t="shared" si="24"/>
        <v/>
      </c>
      <c r="AI218" s="181" t="str">
        <f t="shared" si="25"/>
        <v/>
      </c>
      <c r="AJ218" s="181" t="str">
        <f t="shared" si="26"/>
        <v/>
      </c>
      <c r="AK218" s="181" t="str">
        <f t="shared" si="27"/>
        <v/>
      </c>
      <c r="AL218" s="181" t="str">
        <f t="shared" si="28"/>
        <v/>
      </c>
      <c r="AM218" s="181" t="str">
        <f t="shared" si="29"/>
        <v/>
      </c>
      <c r="AN218" s="181" t="str">
        <f t="shared" si="30"/>
        <v/>
      </c>
      <c r="AO218" s="192" t="str">
        <f t="shared" si="31"/>
        <v/>
      </c>
      <c r="AQ218" t="str">
        <f>IFERROR(LOOKUP(2,1/((C_Pavement!$A$5:$A$204&lt;&gt;"")*(C_Pavement!$A$5:$A$204&lt;=$B218)*(C_Pavement!$B$5:$B$204&gt;$B218)*(C_Pavement!$C$5:$C$204&lt;&gt;"")),ROW(C_Pavement!$C$5:$C$204)-4),"")</f>
        <v/>
      </c>
      <c r="AR218" t="str">
        <f>IF($AQ218="","",UPPER(TRIM(INDEX(C_Pavement!$C$5:$C$204,$AQ218))))</f>
        <v/>
      </c>
      <c r="AS218" t="str">
        <f>IF($AR218="","",IFERROR(MATCH($AR218,E_Rules!$A$5:$A$9,0),""))</f>
        <v/>
      </c>
      <c r="AT218" t="str">
        <f>IF($AQ218="","",IF(INDEX(C_Pavement!$D$5:$D$204,$AQ218)&lt;&gt;"",UPPER(TRIM(INDEX(C_Pavement!$D$5:$D$204,$AQ218))),IF($AS218="","",INDEX(E_Rules!$C$5:$C$9,$AS218))))</f>
        <v/>
      </c>
      <c r="AU218" t="str">
        <f>IF($AQ218="","",IF(INDEX(C_Pavement!$E$5:$E$204,$AQ218)&lt;&gt;"",IF(INDEX(C_Pavement!$E$5:$E$204,$AQ218)="-","",INDEX(C_Pavement!$E$5:$E$204,$AQ218)),IF($AS218="","",INDEX(E_Rules!$D$5:$D$9,$AS218))))</f>
        <v/>
      </c>
      <c r="AV218" t="str">
        <f>IF($AQ218="","",IF(INDEX(C_Pavement!$F$5:$F$204,$AQ218)&lt;&gt;"",IF(INDEX(C_Pavement!$F$5:$F$204,$AQ218)="-","",INDEX(C_Pavement!$F$5:$F$204,$AQ218)),IF($AS218="","",INDEX(E_Rules!$E$5:$E$9,$AS218))))</f>
        <v/>
      </c>
      <c r="AW218" t="str">
        <f>IF($AQ218="","",IF(INDEX(C_Pavement!$G$5:$G$204,$AQ218)&lt;&gt;"",IF(INDEX(C_Pavement!$G$5:$G$204,$AQ218)="-","",INDEX(C_Pavement!$G$5:$G$204,$AQ218)),IF($AS218="","",INDEX(E_Rules!$F$5:$F$9,$AS218))))</f>
        <v/>
      </c>
      <c r="AX218" t="str">
        <f>IF($AQ218="","",IF(INDEX(C_Pavement!$H$5:$H$204,$AQ218)&lt;&gt;"",IF(INDEX(C_Pavement!$H$5:$H$204,$AQ218)="-","",INDEX(C_Pavement!$H$5:$H$204,$AQ218)),IF($AS218="","",INDEX(E_Rules!$G$5:$G$9,$AS218))))</f>
        <v/>
      </c>
      <c r="AY218" t="str">
        <f>IF($AQ218="","",IF(INDEX(C_Pavement!$I$5:$I$204,$AQ218)&lt;&gt;"",IF(INDEX(C_Pavement!$I$5:$I$204,$AQ218)="-","",INDEX(C_Pavement!$I$5:$I$204,$AQ218)),IF($AS218="","",INDEX(E_Rules!$H$5:$H$9,$AS218))))</f>
        <v/>
      </c>
    </row>
    <row r="219" spans="1:51" ht="15.75" customHeight="1" x14ac:dyDescent="0.3">
      <c r="A219" s="189">
        <v>214</v>
      </c>
      <c r="B219" s="180">
        <v>10650</v>
      </c>
      <c r="C219" s="180" t="s">
        <v>525</v>
      </c>
      <c r="D219" s="181" t="str">
        <f>IFERROR(LOOKUP(2,1/((A_Corridor!$A$5:$A$204&lt;&gt;"")*(A_Corridor!$A$5:$A$204&lt;=$B219)*(A_Corridor!$B$5:$B$204&gt;$B219)*(A_Corridor!$C$5:$C$204&lt;&gt;"")),IF(UPPER(A_Corridor!$C$5:$C$204)="Y",1,"")),"")</f>
        <v/>
      </c>
      <c r="E219" s="181" t="str">
        <f>IFERROR(LOOKUP(2,1/((A_Corridor!$A$5:$A$204&lt;&gt;"")*(A_Corridor!$A$5:$A$204&lt;=$B219)*(A_Corridor!$B$5:$B$204&gt;$B219)*(A_Corridor!$D$5:$D$204&lt;&gt;"")),IF(A_Corridor!$D$5:$D$204="-","",UPPER(A_Corridor!$D$5:$D$204))),"")</f>
        <v/>
      </c>
      <c r="F219" s="181" t="str">
        <f>IFERROR(LOOKUP(2,1/((A_Corridor!$A$5:$A$204&lt;&gt;"")*(A_Corridor!$A$5:$A$204&lt;=$B219)*(A_Corridor!$B$5:$B$204&gt;$B219)*(A_Corridor!$E$5:$E$204&lt;&gt;"")),IF(A_Corridor!$E$5:$E$204="-","",1)),"")</f>
        <v/>
      </c>
      <c r="G219" s="182" t="str">
        <f>IFERROR(LOOKUP(2,1/((A_Corridor!$A$5:$A$204&lt;&gt;"")*(A_Corridor!$A$5:$A$204&lt;=$B219)*(A_Corridor!$B$5:$B$204&gt;$B219)*(A_Corridor!$E$5:$E$204&lt;&gt;"")),IF(A_Corridor!$E$5:$E$204="-","",A_Corridor!$E$5:$E$204)),"")</f>
        <v/>
      </c>
      <c r="H219" s="182" t="str">
        <f>IFERROR(LOOKUP(2,1/((D_Points!$A$5:$A$204&lt;&gt;"")*(D_Points!$A$5:$A$204&gt;=$B219)*(D_Points!$A$5:$A$204&lt;$B219+P_Interval)*(UPPER(TRIM(D_Points!$B$5:$B$204))="GULLY")*(D_Points!$H$5:$H$204&lt;&gt;"")),D_Points!$H$5:$H$204),"")</f>
        <v/>
      </c>
      <c r="I219" s="181" t="str">
        <f>IFERROR(LOOKUP(2,1/((A_Corridor!$A$5:$A$204&lt;&gt;"")*(A_Corridor!$A$5:$A$204&lt;=$B219)*(A_Corridor!$B$5:$B$204&gt;$B219)*(A_Corridor!$F$5:$F$204&lt;&gt;"")),IF(A_Corridor!$F$5:$F$204="-","",1)),"")</f>
        <v/>
      </c>
      <c r="J219" s="182" t="str">
        <f>IFERROR(LOOKUP(2,1/((A_Corridor!$A$5:$A$204&lt;&gt;"")*(A_Corridor!$A$5:$A$204&lt;=$B219)*(A_Corridor!$B$5:$B$204&gt;$B219)*(A_Corridor!$F$5:$F$204&lt;&gt;"")),IF(A_Corridor!$F$5:$F$204="-","",A_Corridor!$F$5:$F$204)),"")</f>
        <v/>
      </c>
      <c r="K219" s="182" t="str">
        <f>IFERROR(LOOKUP(2,1/((A_Corridor!$A$5:$A$204&lt;&gt;"")*(A_Corridor!$A$5:$A$204&lt;=$B219)*(A_Corridor!$B$5:$B$204&gt;$B219)*(A_Corridor!$G$5:$G$204&lt;&gt;"")),IF(A_Corridor!$G$5:$G$204="-","",A_Corridor!$G$5:$G$204)),"")</f>
        <v/>
      </c>
      <c r="L219" s="181" t="str">
        <f>IFERROR(LOOKUP(2,1/((A_Corridor!$A$5:$A$204&lt;&gt;"")*(A_Corridor!$A$5:$A$204&lt;=$B219)*(A_Corridor!$B$5:$B$204&gt;$B219)*(A_Corridor!$H$5:$H$204&lt;&gt;"")),IF(A_Corridor!$H$5:$H$204="-","",1)),"")</f>
        <v/>
      </c>
      <c r="M219" s="182" t="str">
        <f>IFERROR(LOOKUP(2,1/((A_Corridor!$A$5:$A$204&lt;&gt;"")*(A_Corridor!$A$5:$A$204&lt;=$B219)*(A_Corridor!$B$5:$B$204&gt;$B219)*(A_Corridor!$H$5:$H$204&lt;&gt;"")),IF(A_Corridor!$H$5:$H$204="-","",A_Corridor!$H$5:$H$204)),"")</f>
        <v/>
      </c>
      <c r="N219" s="182" t="str">
        <f>IFERROR(LOOKUP(2,1/((A_Corridor!$A$5:$A$204&lt;&gt;"")*(A_Corridor!$A$5:$A$204&lt;=$B219)*(A_Corridor!$B$5:$B$204&gt;$B219)*(A_Corridor!$I$5:$I$204&lt;&gt;"")),IF(A_Corridor!$I$5:$I$204="-","",A_Corridor!$I$5:$I$204)),"")</f>
        <v/>
      </c>
      <c r="O219" s="182" t="str">
        <f>IFERROR(LOOKUP(2,1/((D_Points!$A$5:$A$204&lt;&gt;"")*(D_Points!$A$5:$A$204&gt;=$B219)*(D_Points!$A$5:$A$204&lt;$B219+P_Interval)*(UPPER(TRIM(D_Points!$B$5:$B$204))="PITCHING")*(D_Points!$H$5:$H$204&lt;&gt;"")),D_Points!$H$5:$H$204),"")</f>
        <v/>
      </c>
      <c r="P219" s="181" t="str">
        <f>IFERROR(LOOKUP(2,1/((B_Drainage!$A$5:$A$204&lt;&gt;"")*(B_Drainage!$A$5:$A$204&lt;=$B219)*(B_Drainage!$B$5:$B$204&gt;$B219)*(B_Drainage!$C$5:$C$204&lt;&gt;"")),IF(B_Drainage!$C$5:$C$204="-","",UPPER(B_Drainage!$C$5:$C$204))),"")</f>
        <v/>
      </c>
      <c r="Q219" s="181" t="str">
        <f>IFERROR(LOOKUP(2,1/((B_Drainage!$A$5:$A$204&lt;&gt;"")*(B_Drainage!$A$5:$A$204&lt;=$B219)*(B_Drainage!$B$5:$B$204&gt;$B219)*(B_Drainage!$D$5:$D$204&lt;&gt;"")),IF(B_Drainage!$D$5:$D$204="-","",UPPER(B_Drainage!$D$5:$D$204))),"")</f>
        <v/>
      </c>
      <c r="R219" s="182" t="str">
        <f>IFERROR(LOOKUP(2,1/((D_Points!$A$5:$A$204&lt;&gt;"")*(D_Points!$A$5:$A$204&gt;=$B219)*(D_Points!$A$5:$A$204&lt;$B219+P_Interval)*(RIGHT(UPPER(TRIM(D_Points!$B$5:$B$204)),8)="_CULVERT")),IF(LEFT(UPPER(TRIM(D_Points!$B$5:$B$204)),2)="EX",1,IF(LEFT(UPPER(TRIM(D_Points!$B$5:$B$204)),2)="PR",2,3))),"")</f>
        <v/>
      </c>
      <c r="S219" s="182" t="str">
        <f>IFERROR(LOOKUP(2,1/((D_Points!$A$5:$A$204&lt;&gt;"")*(D_Points!$A$5:$A$204&gt;=$B219)*(D_Points!$A$5:$A$204&lt;$B219+P_Interval)*(RIGHT(UPPER(TRIM(D_Points!$B$5:$B$204)),7)="_BRIDGE")),IF(LEFT(UPPER(TRIM(D_Points!$B$5:$B$204)),2)="EX",1,IF(LEFT(UPPER(TRIM(D_Points!$B$5:$B$204)),2)="PR",2,2))),"")</f>
        <v/>
      </c>
      <c r="T219" s="181" t="str">
        <f>IFERROR(LOOKUP(2,1/((B_Drainage!$A$5:$A$204&lt;&gt;"")*(B_Drainage!$A$5:$A$204&lt;=$B219)*(B_Drainage!$B$5:$B$204&gt;$B219)*(B_Drainage!$E$5:$E$204&lt;&gt;"")),IF(B_Drainage!$E$5:$E$204="-","",1)),"")</f>
        <v/>
      </c>
      <c r="U219" s="181" t="str">
        <f>IFERROR(LOOKUP(2,1/((B_Drainage!$A$5:$A$204&lt;&gt;"")*(B_Drainage!$A$5:$A$204&lt;=$B219)*(B_Drainage!$B$5:$B$204&gt;$B219)*(B_Drainage!$E$5:$E$204&lt;&gt;"")),IF(B_Drainage!$E$5:$E$204="-","",B_Drainage!$E$5:$E$204)),"")</f>
        <v/>
      </c>
      <c r="V219" s="181" t="str">
        <f>IFERROR(LOOKUP(2,1/((B_Drainage!$A$5:$A$204&lt;&gt;"")*(B_Drainage!$A$5:$A$204&lt;=$B219)*(B_Drainage!$B$5:$B$204&gt;$B219)*(B_Drainage!$F$5:$F$204&lt;&gt;"")),IF(B_Drainage!$F$5:$F$204="-","",1)),"")</f>
        <v/>
      </c>
      <c r="W219" s="181" t="str">
        <f>IFERROR(LOOKUP(2,1/((B_Drainage!$A$5:$A$204&lt;&gt;"")*(B_Drainage!$A$5:$A$204&lt;=$B219)*(B_Drainage!$B$5:$B$204&gt;$B219)*(B_Drainage!$F$5:$F$204&lt;&gt;"")),IF(B_Drainage!$F$5:$F$204="-","",B_Drainage!$F$5:$F$204)),"")</f>
        <v/>
      </c>
      <c r="X219" s="181" t="str">
        <f>IFERROR(LOOKUP(2,1/((B_Drainage!$A$5:$A$204&lt;&gt;"")*(B_Drainage!$A$5:$A$204&lt;=$B219)*(B_Drainage!$B$5:$B$204&gt;$B219)*(B_Drainage!$G$5:$G$204&lt;&gt;"")),IF(UPPER(B_Drainage!$G$5:$G$204)="Y",1,"")),"")</f>
        <v/>
      </c>
      <c r="Y219" s="181" t="str">
        <f>IFERROR(LOOKUP(2,1/((B_Drainage!$A$5:$A$204&lt;&gt;"")*(B_Drainage!$A$5:$A$204&lt;=$B219)*(B_Drainage!$B$5:$B$204&gt;$B219)*(B_Drainage!$H$5:$H$204&lt;&gt;"")),IF(UPPER(B_Drainage!$H$5:$H$204)="Y",1,"")),"")</f>
        <v/>
      </c>
      <c r="Z219" s="181" t="str">
        <f>IFERROR(LOOKUP(2,1/((B_Drainage!$A$5:$A$204&lt;&gt;"")*(B_Drainage!$A$5:$A$204&lt;=$B219)*(B_Drainage!$B$5:$B$204&gt;$B219)*(B_Drainage!$I$5:$I$204&lt;&gt;"")),IF(UPPER(B_Drainage!$I$5:$I$204)="Y",1,"")),"")</f>
        <v/>
      </c>
      <c r="AA219" s="181" t="str">
        <f>IFERROR(LOOKUP(2,1/((B_Drainage!$A$5:$A$204&lt;&gt;"")*(B_Drainage!$A$5:$A$204&lt;=$B219)*(B_Drainage!$B$5:$B$204&gt;$B219)*(B_Drainage!$J$5:$J$204&lt;&gt;"")),IF(UPPER(B_Drainage!$J$5:$J$204)="Y",1,"")),"")</f>
        <v/>
      </c>
      <c r="AB219" s="182" t="str">
        <f>IFERROR(LOOKUP(2,1/((B_Drainage!$A$5:$A$204&lt;&gt;"")*(B_Drainage!$A$5:$A$204&lt;=$B219)*(B_Drainage!$B$5:$B$204&gt;$B219)*(B_Drainage!$K$5:$K$204&lt;&gt;"")),IF(B_Drainage!$K$5:$K$204="-","",B_Drainage!$K$5:$K$204)),"")</f>
        <v/>
      </c>
      <c r="AC219" s="182" t="str">
        <f>IFERROR(LOOKUP(2,1/((B_Drainage!$A$5:$A$204&lt;&gt;"")*(B_Drainage!$A$5:$A$204&lt;=$B219)*(B_Drainage!$B$5:$B$204&gt;$B219)*(B_Drainage!$L$5:$L$204&lt;&gt;"")),IF(B_Drainage!$L$5:$L$204="-","",B_Drainage!$L$5:$L$204)),"")</f>
        <v/>
      </c>
      <c r="AD219" s="182" t="str">
        <f>IFERROR(LOOKUP(2,1/((D_Points!$A$5:$A$204&lt;&gt;"")*(D_Points!$A$5:$A$204&gt;=$B219)*(D_Points!$A$5:$A$204&lt;$B219+P_Interval)*(UPPER(TRIM(D_Points!$B$5:$B$204))="TURNOUT_L")*(D_Points!$H$5:$H$204&lt;&gt;"")),D_Points!$H$5:$H$204),"")</f>
        <v/>
      </c>
      <c r="AE219" s="182" t="str">
        <f>IFERROR(LOOKUP(2,1/((D_Points!$A$5:$A$204&lt;&gt;"")*(D_Points!$A$5:$A$204&gt;=$B219)*(D_Points!$A$5:$A$204&lt;$B219+P_Interval)*(UPPER(TRIM(D_Points!$B$5:$B$204))="TURNOUT_R")*(D_Points!$H$5:$H$204&lt;&gt;"")),D_Points!$H$5:$H$204),"")</f>
        <v/>
      </c>
      <c r="AF219" s="181" t="str">
        <f>IFERROR(LOOKUP(2,1/((B_Drainage!$A$5:$A$204&lt;&gt;"")*(B_Drainage!$A$5:$A$204&lt;=$B219)*(B_Drainage!$B$5:$B$204&gt;$B219)*(B_Drainage!$M$5:$M$204&lt;&gt;"")),IF(UPPER(B_Drainage!$M$5:$M$204)="Y",1,"")),"")</f>
        <v/>
      </c>
      <c r="AG219" s="181" t="str">
        <f>IFERROR(LOOKUP(2,1/((B_Drainage!$A$5:$A$204&lt;&gt;"")*(B_Drainage!$A$5:$A$204&lt;=$B219)*(B_Drainage!$B$5:$B$204&gt;$B219)*(B_Drainage!$N$5:$N$204&lt;&gt;"")),IF(UPPER(B_Drainage!$N$5:$N$204)="Y",1,"")),"")</f>
        <v/>
      </c>
      <c r="AH219" s="181" t="str">
        <f t="shared" si="24"/>
        <v/>
      </c>
      <c r="AI219" s="181" t="str">
        <f t="shared" si="25"/>
        <v/>
      </c>
      <c r="AJ219" s="181" t="str">
        <f t="shared" si="26"/>
        <v/>
      </c>
      <c r="AK219" s="181" t="str">
        <f t="shared" si="27"/>
        <v/>
      </c>
      <c r="AL219" s="181" t="str">
        <f t="shared" si="28"/>
        <v/>
      </c>
      <c r="AM219" s="181" t="str">
        <f t="shared" si="29"/>
        <v/>
      </c>
      <c r="AN219" s="181" t="str">
        <f t="shared" si="30"/>
        <v/>
      </c>
      <c r="AO219" s="192" t="str">
        <f t="shared" si="31"/>
        <v/>
      </c>
      <c r="AQ219" t="str">
        <f>IFERROR(LOOKUP(2,1/((C_Pavement!$A$5:$A$204&lt;&gt;"")*(C_Pavement!$A$5:$A$204&lt;=$B219)*(C_Pavement!$B$5:$B$204&gt;$B219)*(C_Pavement!$C$5:$C$204&lt;&gt;"")),ROW(C_Pavement!$C$5:$C$204)-4),"")</f>
        <v/>
      </c>
      <c r="AR219" t="str">
        <f>IF($AQ219="","",UPPER(TRIM(INDEX(C_Pavement!$C$5:$C$204,$AQ219))))</f>
        <v/>
      </c>
      <c r="AS219" t="str">
        <f>IF($AR219="","",IFERROR(MATCH($AR219,E_Rules!$A$5:$A$9,0),""))</f>
        <v/>
      </c>
      <c r="AT219" t="str">
        <f>IF($AQ219="","",IF(INDEX(C_Pavement!$D$5:$D$204,$AQ219)&lt;&gt;"",UPPER(TRIM(INDEX(C_Pavement!$D$5:$D$204,$AQ219))),IF($AS219="","",INDEX(E_Rules!$C$5:$C$9,$AS219))))</f>
        <v/>
      </c>
      <c r="AU219" t="str">
        <f>IF($AQ219="","",IF(INDEX(C_Pavement!$E$5:$E$204,$AQ219)&lt;&gt;"",IF(INDEX(C_Pavement!$E$5:$E$204,$AQ219)="-","",INDEX(C_Pavement!$E$5:$E$204,$AQ219)),IF($AS219="","",INDEX(E_Rules!$D$5:$D$9,$AS219))))</f>
        <v/>
      </c>
      <c r="AV219" t="str">
        <f>IF($AQ219="","",IF(INDEX(C_Pavement!$F$5:$F$204,$AQ219)&lt;&gt;"",IF(INDEX(C_Pavement!$F$5:$F$204,$AQ219)="-","",INDEX(C_Pavement!$F$5:$F$204,$AQ219)),IF($AS219="","",INDEX(E_Rules!$E$5:$E$9,$AS219))))</f>
        <v/>
      </c>
      <c r="AW219" t="str">
        <f>IF($AQ219="","",IF(INDEX(C_Pavement!$G$5:$G$204,$AQ219)&lt;&gt;"",IF(INDEX(C_Pavement!$G$5:$G$204,$AQ219)="-","",INDEX(C_Pavement!$G$5:$G$204,$AQ219)),IF($AS219="","",INDEX(E_Rules!$F$5:$F$9,$AS219))))</f>
        <v/>
      </c>
      <c r="AX219" t="str">
        <f>IF($AQ219="","",IF(INDEX(C_Pavement!$H$5:$H$204,$AQ219)&lt;&gt;"",IF(INDEX(C_Pavement!$H$5:$H$204,$AQ219)="-","",INDEX(C_Pavement!$H$5:$H$204,$AQ219)),IF($AS219="","",INDEX(E_Rules!$G$5:$G$9,$AS219))))</f>
        <v/>
      </c>
      <c r="AY219" t="str">
        <f>IF($AQ219="","",IF(INDEX(C_Pavement!$I$5:$I$204,$AQ219)&lt;&gt;"",IF(INDEX(C_Pavement!$I$5:$I$204,$AQ219)="-","",INDEX(C_Pavement!$I$5:$I$204,$AQ219)),IF($AS219="","",INDEX(E_Rules!$H$5:$H$9,$AS219))))</f>
        <v/>
      </c>
    </row>
    <row r="220" spans="1:51" ht="15.75" customHeight="1" x14ac:dyDescent="0.3">
      <c r="A220" s="189">
        <v>215</v>
      </c>
      <c r="B220" s="180">
        <v>10700</v>
      </c>
      <c r="C220" s="180" t="s">
        <v>526</v>
      </c>
      <c r="D220" s="181" t="str">
        <f>IFERROR(LOOKUP(2,1/((A_Corridor!$A$5:$A$204&lt;&gt;"")*(A_Corridor!$A$5:$A$204&lt;=$B220)*(A_Corridor!$B$5:$B$204&gt;$B220)*(A_Corridor!$C$5:$C$204&lt;&gt;"")),IF(UPPER(A_Corridor!$C$5:$C$204)="Y",1,"")),"")</f>
        <v/>
      </c>
      <c r="E220" s="181" t="str">
        <f>IFERROR(LOOKUP(2,1/((A_Corridor!$A$5:$A$204&lt;&gt;"")*(A_Corridor!$A$5:$A$204&lt;=$B220)*(A_Corridor!$B$5:$B$204&gt;$B220)*(A_Corridor!$D$5:$D$204&lt;&gt;"")),IF(A_Corridor!$D$5:$D$204="-","",UPPER(A_Corridor!$D$5:$D$204))),"")</f>
        <v/>
      </c>
      <c r="F220" s="181" t="str">
        <f>IFERROR(LOOKUP(2,1/((A_Corridor!$A$5:$A$204&lt;&gt;"")*(A_Corridor!$A$5:$A$204&lt;=$B220)*(A_Corridor!$B$5:$B$204&gt;$B220)*(A_Corridor!$E$5:$E$204&lt;&gt;"")),IF(A_Corridor!$E$5:$E$204="-","",1)),"")</f>
        <v/>
      </c>
      <c r="G220" s="182" t="str">
        <f>IFERROR(LOOKUP(2,1/((A_Corridor!$A$5:$A$204&lt;&gt;"")*(A_Corridor!$A$5:$A$204&lt;=$B220)*(A_Corridor!$B$5:$B$204&gt;$B220)*(A_Corridor!$E$5:$E$204&lt;&gt;"")),IF(A_Corridor!$E$5:$E$204="-","",A_Corridor!$E$5:$E$204)),"")</f>
        <v/>
      </c>
      <c r="H220" s="182" t="str">
        <f>IFERROR(LOOKUP(2,1/((D_Points!$A$5:$A$204&lt;&gt;"")*(D_Points!$A$5:$A$204&gt;=$B220)*(D_Points!$A$5:$A$204&lt;$B220+P_Interval)*(UPPER(TRIM(D_Points!$B$5:$B$204))="GULLY")*(D_Points!$H$5:$H$204&lt;&gt;"")),D_Points!$H$5:$H$204),"")</f>
        <v/>
      </c>
      <c r="I220" s="181" t="str">
        <f>IFERROR(LOOKUP(2,1/((A_Corridor!$A$5:$A$204&lt;&gt;"")*(A_Corridor!$A$5:$A$204&lt;=$B220)*(A_Corridor!$B$5:$B$204&gt;$B220)*(A_Corridor!$F$5:$F$204&lt;&gt;"")),IF(A_Corridor!$F$5:$F$204="-","",1)),"")</f>
        <v/>
      </c>
      <c r="J220" s="182" t="str">
        <f>IFERROR(LOOKUP(2,1/((A_Corridor!$A$5:$A$204&lt;&gt;"")*(A_Corridor!$A$5:$A$204&lt;=$B220)*(A_Corridor!$B$5:$B$204&gt;$B220)*(A_Corridor!$F$5:$F$204&lt;&gt;"")),IF(A_Corridor!$F$5:$F$204="-","",A_Corridor!$F$5:$F$204)),"")</f>
        <v/>
      </c>
      <c r="K220" s="182" t="str">
        <f>IFERROR(LOOKUP(2,1/((A_Corridor!$A$5:$A$204&lt;&gt;"")*(A_Corridor!$A$5:$A$204&lt;=$B220)*(A_Corridor!$B$5:$B$204&gt;$B220)*(A_Corridor!$G$5:$G$204&lt;&gt;"")),IF(A_Corridor!$G$5:$G$204="-","",A_Corridor!$G$5:$G$204)),"")</f>
        <v/>
      </c>
      <c r="L220" s="181" t="str">
        <f>IFERROR(LOOKUP(2,1/((A_Corridor!$A$5:$A$204&lt;&gt;"")*(A_Corridor!$A$5:$A$204&lt;=$B220)*(A_Corridor!$B$5:$B$204&gt;$B220)*(A_Corridor!$H$5:$H$204&lt;&gt;"")),IF(A_Corridor!$H$5:$H$204="-","",1)),"")</f>
        <v/>
      </c>
      <c r="M220" s="182" t="str">
        <f>IFERROR(LOOKUP(2,1/((A_Corridor!$A$5:$A$204&lt;&gt;"")*(A_Corridor!$A$5:$A$204&lt;=$B220)*(A_Corridor!$B$5:$B$204&gt;$B220)*(A_Corridor!$H$5:$H$204&lt;&gt;"")),IF(A_Corridor!$H$5:$H$204="-","",A_Corridor!$H$5:$H$204)),"")</f>
        <v/>
      </c>
      <c r="N220" s="182" t="str">
        <f>IFERROR(LOOKUP(2,1/((A_Corridor!$A$5:$A$204&lt;&gt;"")*(A_Corridor!$A$5:$A$204&lt;=$B220)*(A_Corridor!$B$5:$B$204&gt;$B220)*(A_Corridor!$I$5:$I$204&lt;&gt;"")),IF(A_Corridor!$I$5:$I$204="-","",A_Corridor!$I$5:$I$204)),"")</f>
        <v/>
      </c>
      <c r="O220" s="182" t="str">
        <f>IFERROR(LOOKUP(2,1/((D_Points!$A$5:$A$204&lt;&gt;"")*(D_Points!$A$5:$A$204&gt;=$B220)*(D_Points!$A$5:$A$204&lt;$B220+P_Interval)*(UPPER(TRIM(D_Points!$B$5:$B$204))="PITCHING")*(D_Points!$H$5:$H$204&lt;&gt;"")),D_Points!$H$5:$H$204),"")</f>
        <v/>
      </c>
      <c r="P220" s="181" t="str">
        <f>IFERROR(LOOKUP(2,1/((B_Drainage!$A$5:$A$204&lt;&gt;"")*(B_Drainage!$A$5:$A$204&lt;=$B220)*(B_Drainage!$B$5:$B$204&gt;$B220)*(B_Drainage!$C$5:$C$204&lt;&gt;"")),IF(B_Drainage!$C$5:$C$204="-","",UPPER(B_Drainage!$C$5:$C$204))),"")</f>
        <v/>
      </c>
      <c r="Q220" s="181" t="str">
        <f>IFERROR(LOOKUP(2,1/((B_Drainage!$A$5:$A$204&lt;&gt;"")*(B_Drainage!$A$5:$A$204&lt;=$B220)*(B_Drainage!$B$5:$B$204&gt;$B220)*(B_Drainage!$D$5:$D$204&lt;&gt;"")),IF(B_Drainage!$D$5:$D$204="-","",UPPER(B_Drainage!$D$5:$D$204))),"")</f>
        <v/>
      </c>
      <c r="R220" s="182" t="str">
        <f>IFERROR(LOOKUP(2,1/((D_Points!$A$5:$A$204&lt;&gt;"")*(D_Points!$A$5:$A$204&gt;=$B220)*(D_Points!$A$5:$A$204&lt;$B220+P_Interval)*(RIGHT(UPPER(TRIM(D_Points!$B$5:$B$204)),8)="_CULVERT")),IF(LEFT(UPPER(TRIM(D_Points!$B$5:$B$204)),2)="EX",1,IF(LEFT(UPPER(TRIM(D_Points!$B$5:$B$204)),2)="PR",2,3))),"")</f>
        <v/>
      </c>
      <c r="S220" s="182" t="str">
        <f>IFERROR(LOOKUP(2,1/((D_Points!$A$5:$A$204&lt;&gt;"")*(D_Points!$A$5:$A$204&gt;=$B220)*(D_Points!$A$5:$A$204&lt;$B220+P_Interval)*(RIGHT(UPPER(TRIM(D_Points!$B$5:$B$204)),7)="_BRIDGE")),IF(LEFT(UPPER(TRIM(D_Points!$B$5:$B$204)),2)="EX",1,IF(LEFT(UPPER(TRIM(D_Points!$B$5:$B$204)),2)="PR",2,2))),"")</f>
        <v/>
      </c>
      <c r="T220" s="181" t="str">
        <f>IFERROR(LOOKUP(2,1/((B_Drainage!$A$5:$A$204&lt;&gt;"")*(B_Drainage!$A$5:$A$204&lt;=$B220)*(B_Drainage!$B$5:$B$204&gt;$B220)*(B_Drainage!$E$5:$E$204&lt;&gt;"")),IF(B_Drainage!$E$5:$E$204="-","",1)),"")</f>
        <v/>
      </c>
      <c r="U220" s="181" t="str">
        <f>IFERROR(LOOKUP(2,1/((B_Drainage!$A$5:$A$204&lt;&gt;"")*(B_Drainage!$A$5:$A$204&lt;=$B220)*(B_Drainage!$B$5:$B$204&gt;$B220)*(B_Drainage!$E$5:$E$204&lt;&gt;"")),IF(B_Drainage!$E$5:$E$204="-","",B_Drainage!$E$5:$E$204)),"")</f>
        <v/>
      </c>
      <c r="V220" s="181" t="str">
        <f>IFERROR(LOOKUP(2,1/((B_Drainage!$A$5:$A$204&lt;&gt;"")*(B_Drainage!$A$5:$A$204&lt;=$B220)*(B_Drainage!$B$5:$B$204&gt;$B220)*(B_Drainage!$F$5:$F$204&lt;&gt;"")),IF(B_Drainage!$F$5:$F$204="-","",1)),"")</f>
        <v/>
      </c>
      <c r="W220" s="181" t="str">
        <f>IFERROR(LOOKUP(2,1/((B_Drainage!$A$5:$A$204&lt;&gt;"")*(B_Drainage!$A$5:$A$204&lt;=$B220)*(B_Drainage!$B$5:$B$204&gt;$B220)*(B_Drainage!$F$5:$F$204&lt;&gt;"")),IF(B_Drainage!$F$5:$F$204="-","",B_Drainage!$F$5:$F$204)),"")</f>
        <v/>
      </c>
      <c r="X220" s="181" t="str">
        <f>IFERROR(LOOKUP(2,1/((B_Drainage!$A$5:$A$204&lt;&gt;"")*(B_Drainage!$A$5:$A$204&lt;=$B220)*(B_Drainage!$B$5:$B$204&gt;$B220)*(B_Drainage!$G$5:$G$204&lt;&gt;"")),IF(UPPER(B_Drainage!$G$5:$G$204)="Y",1,"")),"")</f>
        <v/>
      </c>
      <c r="Y220" s="181" t="str">
        <f>IFERROR(LOOKUP(2,1/((B_Drainage!$A$5:$A$204&lt;&gt;"")*(B_Drainage!$A$5:$A$204&lt;=$B220)*(B_Drainage!$B$5:$B$204&gt;$B220)*(B_Drainage!$H$5:$H$204&lt;&gt;"")),IF(UPPER(B_Drainage!$H$5:$H$204)="Y",1,"")),"")</f>
        <v/>
      </c>
      <c r="Z220" s="181" t="str">
        <f>IFERROR(LOOKUP(2,1/((B_Drainage!$A$5:$A$204&lt;&gt;"")*(B_Drainage!$A$5:$A$204&lt;=$B220)*(B_Drainage!$B$5:$B$204&gt;$B220)*(B_Drainage!$I$5:$I$204&lt;&gt;"")),IF(UPPER(B_Drainage!$I$5:$I$204)="Y",1,"")),"")</f>
        <v/>
      </c>
      <c r="AA220" s="181" t="str">
        <f>IFERROR(LOOKUP(2,1/((B_Drainage!$A$5:$A$204&lt;&gt;"")*(B_Drainage!$A$5:$A$204&lt;=$B220)*(B_Drainage!$B$5:$B$204&gt;$B220)*(B_Drainage!$J$5:$J$204&lt;&gt;"")),IF(UPPER(B_Drainage!$J$5:$J$204)="Y",1,"")),"")</f>
        <v/>
      </c>
      <c r="AB220" s="182" t="str">
        <f>IFERROR(LOOKUP(2,1/((B_Drainage!$A$5:$A$204&lt;&gt;"")*(B_Drainage!$A$5:$A$204&lt;=$B220)*(B_Drainage!$B$5:$B$204&gt;$B220)*(B_Drainage!$K$5:$K$204&lt;&gt;"")),IF(B_Drainage!$K$5:$K$204="-","",B_Drainage!$K$5:$K$204)),"")</f>
        <v/>
      </c>
      <c r="AC220" s="182" t="str">
        <f>IFERROR(LOOKUP(2,1/((B_Drainage!$A$5:$A$204&lt;&gt;"")*(B_Drainage!$A$5:$A$204&lt;=$B220)*(B_Drainage!$B$5:$B$204&gt;$B220)*(B_Drainage!$L$5:$L$204&lt;&gt;"")),IF(B_Drainage!$L$5:$L$204="-","",B_Drainage!$L$5:$L$204)),"")</f>
        <v/>
      </c>
      <c r="AD220" s="182" t="str">
        <f>IFERROR(LOOKUP(2,1/((D_Points!$A$5:$A$204&lt;&gt;"")*(D_Points!$A$5:$A$204&gt;=$B220)*(D_Points!$A$5:$A$204&lt;$B220+P_Interval)*(UPPER(TRIM(D_Points!$B$5:$B$204))="TURNOUT_L")*(D_Points!$H$5:$H$204&lt;&gt;"")),D_Points!$H$5:$H$204),"")</f>
        <v/>
      </c>
      <c r="AE220" s="182" t="str">
        <f>IFERROR(LOOKUP(2,1/((D_Points!$A$5:$A$204&lt;&gt;"")*(D_Points!$A$5:$A$204&gt;=$B220)*(D_Points!$A$5:$A$204&lt;$B220+P_Interval)*(UPPER(TRIM(D_Points!$B$5:$B$204))="TURNOUT_R")*(D_Points!$H$5:$H$204&lt;&gt;"")),D_Points!$H$5:$H$204),"")</f>
        <v/>
      </c>
      <c r="AF220" s="181" t="str">
        <f>IFERROR(LOOKUP(2,1/((B_Drainage!$A$5:$A$204&lt;&gt;"")*(B_Drainage!$A$5:$A$204&lt;=$B220)*(B_Drainage!$B$5:$B$204&gt;$B220)*(B_Drainage!$M$5:$M$204&lt;&gt;"")),IF(UPPER(B_Drainage!$M$5:$M$204)="Y",1,"")),"")</f>
        <v/>
      </c>
      <c r="AG220" s="181" t="str">
        <f>IFERROR(LOOKUP(2,1/((B_Drainage!$A$5:$A$204&lt;&gt;"")*(B_Drainage!$A$5:$A$204&lt;=$B220)*(B_Drainage!$B$5:$B$204&gt;$B220)*(B_Drainage!$N$5:$N$204&lt;&gt;"")),IF(UPPER(B_Drainage!$N$5:$N$204)="Y",1,"")),"")</f>
        <v/>
      </c>
      <c r="AH220" s="181" t="str">
        <f t="shared" si="24"/>
        <v/>
      </c>
      <c r="AI220" s="181" t="str">
        <f t="shared" si="25"/>
        <v/>
      </c>
      <c r="AJ220" s="181" t="str">
        <f t="shared" si="26"/>
        <v/>
      </c>
      <c r="AK220" s="181" t="str">
        <f t="shared" si="27"/>
        <v/>
      </c>
      <c r="AL220" s="181" t="str">
        <f t="shared" si="28"/>
        <v/>
      </c>
      <c r="AM220" s="181" t="str">
        <f t="shared" si="29"/>
        <v/>
      </c>
      <c r="AN220" s="181" t="str">
        <f t="shared" si="30"/>
        <v/>
      </c>
      <c r="AO220" s="192" t="str">
        <f t="shared" si="31"/>
        <v/>
      </c>
      <c r="AQ220" t="str">
        <f>IFERROR(LOOKUP(2,1/((C_Pavement!$A$5:$A$204&lt;&gt;"")*(C_Pavement!$A$5:$A$204&lt;=$B220)*(C_Pavement!$B$5:$B$204&gt;$B220)*(C_Pavement!$C$5:$C$204&lt;&gt;"")),ROW(C_Pavement!$C$5:$C$204)-4),"")</f>
        <v/>
      </c>
      <c r="AR220" t="str">
        <f>IF($AQ220="","",UPPER(TRIM(INDEX(C_Pavement!$C$5:$C$204,$AQ220))))</f>
        <v/>
      </c>
      <c r="AS220" t="str">
        <f>IF($AR220="","",IFERROR(MATCH($AR220,E_Rules!$A$5:$A$9,0),""))</f>
        <v/>
      </c>
      <c r="AT220" t="str">
        <f>IF($AQ220="","",IF(INDEX(C_Pavement!$D$5:$D$204,$AQ220)&lt;&gt;"",UPPER(TRIM(INDEX(C_Pavement!$D$5:$D$204,$AQ220))),IF($AS220="","",INDEX(E_Rules!$C$5:$C$9,$AS220))))</f>
        <v/>
      </c>
      <c r="AU220" t="str">
        <f>IF($AQ220="","",IF(INDEX(C_Pavement!$E$5:$E$204,$AQ220)&lt;&gt;"",IF(INDEX(C_Pavement!$E$5:$E$204,$AQ220)="-","",INDEX(C_Pavement!$E$5:$E$204,$AQ220)),IF($AS220="","",INDEX(E_Rules!$D$5:$D$9,$AS220))))</f>
        <v/>
      </c>
      <c r="AV220" t="str">
        <f>IF($AQ220="","",IF(INDEX(C_Pavement!$F$5:$F$204,$AQ220)&lt;&gt;"",IF(INDEX(C_Pavement!$F$5:$F$204,$AQ220)="-","",INDEX(C_Pavement!$F$5:$F$204,$AQ220)),IF($AS220="","",INDEX(E_Rules!$E$5:$E$9,$AS220))))</f>
        <v/>
      </c>
      <c r="AW220" t="str">
        <f>IF($AQ220="","",IF(INDEX(C_Pavement!$G$5:$G$204,$AQ220)&lt;&gt;"",IF(INDEX(C_Pavement!$G$5:$G$204,$AQ220)="-","",INDEX(C_Pavement!$G$5:$G$204,$AQ220)),IF($AS220="","",INDEX(E_Rules!$F$5:$F$9,$AS220))))</f>
        <v/>
      </c>
      <c r="AX220" t="str">
        <f>IF($AQ220="","",IF(INDEX(C_Pavement!$H$5:$H$204,$AQ220)&lt;&gt;"",IF(INDEX(C_Pavement!$H$5:$H$204,$AQ220)="-","",INDEX(C_Pavement!$H$5:$H$204,$AQ220)),IF($AS220="","",INDEX(E_Rules!$G$5:$G$9,$AS220))))</f>
        <v/>
      </c>
      <c r="AY220" t="str">
        <f>IF($AQ220="","",IF(INDEX(C_Pavement!$I$5:$I$204,$AQ220)&lt;&gt;"",IF(INDEX(C_Pavement!$I$5:$I$204,$AQ220)="-","",INDEX(C_Pavement!$I$5:$I$204,$AQ220)),IF($AS220="","",INDEX(E_Rules!$H$5:$H$9,$AS220))))</f>
        <v/>
      </c>
    </row>
    <row r="221" spans="1:51" ht="15.75" customHeight="1" x14ac:dyDescent="0.3">
      <c r="A221" s="189">
        <v>216</v>
      </c>
      <c r="B221" s="180">
        <v>10750</v>
      </c>
      <c r="C221" s="180" t="s">
        <v>527</v>
      </c>
      <c r="D221" s="181" t="str">
        <f>IFERROR(LOOKUP(2,1/((A_Corridor!$A$5:$A$204&lt;&gt;"")*(A_Corridor!$A$5:$A$204&lt;=$B221)*(A_Corridor!$B$5:$B$204&gt;$B221)*(A_Corridor!$C$5:$C$204&lt;&gt;"")),IF(UPPER(A_Corridor!$C$5:$C$204)="Y",1,"")),"")</f>
        <v/>
      </c>
      <c r="E221" s="181" t="str">
        <f>IFERROR(LOOKUP(2,1/((A_Corridor!$A$5:$A$204&lt;&gt;"")*(A_Corridor!$A$5:$A$204&lt;=$B221)*(A_Corridor!$B$5:$B$204&gt;$B221)*(A_Corridor!$D$5:$D$204&lt;&gt;"")),IF(A_Corridor!$D$5:$D$204="-","",UPPER(A_Corridor!$D$5:$D$204))),"")</f>
        <v/>
      </c>
      <c r="F221" s="181" t="str">
        <f>IFERROR(LOOKUP(2,1/((A_Corridor!$A$5:$A$204&lt;&gt;"")*(A_Corridor!$A$5:$A$204&lt;=$B221)*(A_Corridor!$B$5:$B$204&gt;$B221)*(A_Corridor!$E$5:$E$204&lt;&gt;"")),IF(A_Corridor!$E$5:$E$204="-","",1)),"")</f>
        <v/>
      </c>
      <c r="G221" s="182" t="str">
        <f>IFERROR(LOOKUP(2,1/((A_Corridor!$A$5:$A$204&lt;&gt;"")*(A_Corridor!$A$5:$A$204&lt;=$B221)*(A_Corridor!$B$5:$B$204&gt;$B221)*(A_Corridor!$E$5:$E$204&lt;&gt;"")),IF(A_Corridor!$E$5:$E$204="-","",A_Corridor!$E$5:$E$204)),"")</f>
        <v/>
      </c>
      <c r="H221" s="182" t="str">
        <f>IFERROR(LOOKUP(2,1/((D_Points!$A$5:$A$204&lt;&gt;"")*(D_Points!$A$5:$A$204&gt;=$B221)*(D_Points!$A$5:$A$204&lt;$B221+P_Interval)*(UPPER(TRIM(D_Points!$B$5:$B$204))="GULLY")*(D_Points!$H$5:$H$204&lt;&gt;"")),D_Points!$H$5:$H$204),"")</f>
        <v/>
      </c>
      <c r="I221" s="181" t="str">
        <f>IFERROR(LOOKUP(2,1/((A_Corridor!$A$5:$A$204&lt;&gt;"")*(A_Corridor!$A$5:$A$204&lt;=$B221)*(A_Corridor!$B$5:$B$204&gt;$B221)*(A_Corridor!$F$5:$F$204&lt;&gt;"")),IF(A_Corridor!$F$5:$F$204="-","",1)),"")</f>
        <v/>
      </c>
      <c r="J221" s="182" t="str">
        <f>IFERROR(LOOKUP(2,1/((A_Corridor!$A$5:$A$204&lt;&gt;"")*(A_Corridor!$A$5:$A$204&lt;=$B221)*(A_Corridor!$B$5:$B$204&gt;$B221)*(A_Corridor!$F$5:$F$204&lt;&gt;"")),IF(A_Corridor!$F$5:$F$204="-","",A_Corridor!$F$5:$F$204)),"")</f>
        <v/>
      </c>
      <c r="K221" s="182" t="str">
        <f>IFERROR(LOOKUP(2,1/((A_Corridor!$A$5:$A$204&lt;&gt;"")*(A_Corridor!$A$5:$A$204&lt;=$B221)*(A_Corridor!$B$5:$B$204&gt;$B221)*(A_Corridor!$G$5:$G$204&lt;&gt;"")),IF(A_Corridor!$G$5:$G$204="-","",A_Corridor!$G$5:$G$204)),"")</f>
        <v/>
      </c>
      <c r="L221" s="181" t="str">
        <f>IFERROR(LOOKUP(2,1/((A_Corridor!$A$5:$A$204&lt;&gt;"")*(A_Corridor!$A$5:$A$204&lt;=$B221)*(A_Corridor!$B$5:$B$204&gt;$B221)*(A_Corridor!$H$5:$H$204&lt;&gt;"")),IF(A_Corridor!$H$5:$H$204="-","",1)),"")</f>
        <v/>
      </c>
      <c r="M221" s="182" t="str">
        <f>IFERROR(LOOKUP(2,1/((A_Corridor!$A$5:$A$204&lt;&gt;"")*(A_Corridor!$A$5:$A$204&lt;=$B221)*(A_Corridor!$B$5:$B$204&gt;$B221)*(A_Corridor!$H$5:$H$204&lt;&gt;"")),IF(A_Corridor!$H$5:$H$204="-","",A_Corridor!$H$5:$H$204)),"")</f>
        <v/>
      </c>
      <c r="N221" s="182" t="str">
        <f>IFERROR(LOOKUP(2,1/((A_Corridor!$A$5:$A$204&lt;&gt;"")*(A_Corridor!$A$5:$A$204&lt;=$B221)*(A_Corridor!$B$5:$B$204&gt;$B221)*(A_Corridor!$I$5:$I$204&lt;&gt;"")),IF(A_Corridor!$I$5:$I$204="-","",A_Corridor!$I$5:$I$204)),"")</f>
        <v/>
      </c>
      <c r="O221" s="182" t="str">
        <f>IFERROR(LOOKUP(2,1/((D_Points!$A$5:$A$204&lt;&gt;"")*(D_Points!$A$5:$A$204&gt;=$B221)*(D_Points!$A$5:$A$204&lt;$B221+P_Interval)*(UPPER(TRIM(D_Points!$B$5:$B$204))="PITCHING")*(D_Points!$H$5:$H$204&lt;&gt;"")),D_Points!$H$5:$H$204),"")</f>
        <v/>
      </c>
      <c r="P221" s="181" t="str">
        <f>IFERROR(LOOKUP(2,1/((B_Drainage!$A$5:$A$204&lt;&gt;"")*(B_Drainage!$A$5:$A$204&lt;=$B221)*(B_Drainage!$B$5:$B$204&gt;$B221)*(B_Drainage!$C$5:$C$204&lt;&gt;"")),IF(B_Drainage!$C$5:$C$204="-","",UPPER(B_Drainage!$C$5:$C$204))),"")</f>
        <v/>
      </c>
      <c r="Q221" s="181" t="str">
        <f>IFERROR(LOOKUP(2,1/((B_Drainage!$A$5:$A$204&lt;&gt;"")*(B_Drainage!$A$5:$A$204&lt;=$B221)*(B_Drainage!$B$5:$B$204&gt;$B221)*(B_Drainage!$D$5:$D$204&lt;&gt;"")),IF(B_Drainage!$D$5:$D$204="-","",UPPER(B_Drainage!$D$5:$D$204))),"")</f>
        <v/>
      </c>
      <c r="R221" s="182" t="str">
        <f>IFERROR(LOOKUP(2,1/((D_Points!$A$5:$A$204&lt;&gt;"")*(D_Points!$A$5:$A$204&gt;=$B221)*(D_Points!$A$5:$A$204&lt;$B221+P_Interval)*(RIGHT(UPPER(TRIM(D_Points!$B$5:$B$204)),8)="_CULVERT")),IF(LEFT(UPPER(TRIM(D_Points!$B$5:$B$204)),2)="EX",1,IF(LEFT(UPPER(TRIM(D_Points!$B$5:$B$204)),2)="PR",2,3))),"")</f>
        <v/>
      </c>
      <c r="S221" s="182" t="str">
        <f>IFERROR(LOOKUP(2,1/((D_Points!$A$5:$A$204&lt;&gt;"")*(D_Points!$A$5:$A$204&gt;=$B221)*(D_Points!$A$5:$A$204&lt;$B221+P_Interval)*(RIGHT(UPPER(TRIM(D_Points!$B$5:$B$204)),7)="_BRIDGE")),IF(LEFT(UPPER(TRIM(D_Points!$B$5:$B$204)),2)="EX",1,IF(LEFT(UPPER(TRIM(D_Points!$B$5:$B$204)),2)="PR",2,2))),"")</f>
        <v/>
      </c>
      <c r="T221" s="181" t="str">
        <f>IFERROR(LOOKUP(2,1/((B_Drainage!$A$5:$A$204&lt;&gt;"")*(B_Drainage!$A$5:$A$204&lt;=$B221)*(B_Drainage!$B$5:$B$204&gt;$B221)*(B_Drainage!$E$5:$E$204&lt;&gt;"")),IF(B_Drainage!$E$5:$E$204="-","",1)),"")</f>
        <v/>
      </c>
      <c r="U221" s="181" t="str">
        <f>IFERROR(LOOKUP(2,1/((B_Drainage!$A$5:$A$204&lt;&gt;"")*(B_Drainage!$A$5:$A$204&lt;=$B221)*(B_Drainage!$B$5:$B$204&gt;$B221)*(B_Drainage!$E$5:$E$204&lt;&gt;"")),IF(B_Drainage!$E$5:$E$204="-","",B_Drainage!$E$5:$E$204)),"")</f>
        <v/>
      </c>
      <c r="V221" s="181" t="str">
        <f>IFERROR(LOOKUP(2,1/((B_Drainage!$A$5:$A$204&lt;&gt;"")*(B_Drainage!$A$5:$A$204&lt;=$B221)*(B_Drainage!$B$5:$B$204&gt;$B221)*(B_Drainage!$F$5:$F$204&lt;&gt;"")),IF(B_Drainage!$F$5:$F$204="-","",1)),"")</f>
        <v/>
      </c>
      <c r="W221" s="181" t="str">
        <f>IFERROR(LOOKUP(2,1/((B_Drainage!$A$5:$A$204&lt;&gt;"")*(B_Drainage!$A$5:$A$204&lt;=$B221)*(B_Drainage!$B$5:$B$204&gt;$B221)*(B_Drainage!$F$5:$F$204&lt;&gt;"")),IF(B_Drainage!$F$5:$F$204="-","",B_Drainage!$F$5:$F$204)),"")</f>
        <v/>
      </c>
      <c r="X221" s="181" t="str">
        <f>IFERROR(LOOKUP(2,1/((B_Drainage!$A$5:$A$204&lt;&gt;"")*(B_Drainage!$A$5:$A$204&lt;=$B221)*(B_Drainage!$B$5:$B$204&gt;$B221)*(B_Drainage!$G$5:$G$204&lt;&gt;"")),IF(UPPER(B_Drainage!$G$5:$G$204)="Y",1,"")),"")</f>
        <v/>
      </c>
      <c r="Y221" s="181" t="str">
        <f>IFERROR(LOOKUP(2,1/((B_Drainage!$A$5:$A$204&lt;&gt;"")*(B_Drainage!$A$5:$A$204&lt;=$B221)*(B_Drainage!$B$5:$B$204&gt;$B221)*(B_Drainage!$H$5:$H$204&lt;&gt;"")),IF(UPPER(B_Drainage!$H$5:$H$204)="Y",1,"")),"")</f>
        <v/>
      </c>
      <c r="Z221" s="181" t="str">
        <f>IFERROR(LOOKUP(2,1/((B_Drainage!$A$5:$A$204&lt;&gt;"")*(B_Drainage!$A$5:$A$204&lt;=$B221)*(B_Drainage!$B$5:$B$204&gt;$B221)*(B_Drainage!$I$5:$I$204&lt;&gt;"")),IF(UPPER(B_Drainage!$I$5:$I$204)="Y",1,"")),"")</f>
        <v/>
      </c>
      <c r="AA221" s="181" t="str">
        <f>IFERROR(LOOKUP(2,1/((B_Drainage!$A$5:$A$204&lt;&gt;"")*(B_Drainage!$A$5:$A$204&lt;=$B221)*(B_Drainage!$B$5:$B$204&gt;$B221)*(B_Drainage!$J$5:$J$204&lt;&gt;"")),IF(UPPER(B_Drainage!$J$5:$J$204)="Y",1,"")),"")</f>
        <v/>
      </c>
      <c r="AB221" s="182" t="str">
        <f>IFERROR(LOOKUP(2,1/((B_Drainage!$A$5:$A$204&lt;&gt;"")*(B_Drainage!$A$5:$A$204&lt;=$B221)*(B_Drainage!$B$5:$B$204&gt;$B221)*(B_Drainage!$K$5:$K$204&lt;&gt;"")),IF(B_Drainage!$K$5:$K$204="-","",B_Drainage!$K$5:$K$204)),"")</f>
        <v/>
      </c>
      <c r="AC221" s="182" t="str">
        <f>IFERROR(LOOKUP(2,1/((B_Drainage!$A$5:$A$204&lt;&gt;"")*(B_Drainage!$A$5:$A$204&lt;=$B221)*(B_Drainage!$B$5:$B$204&gt;$B221)*(B_Drainage!$L$5:$L$204&lt;&gt;"")),IF(B_Drainage!$L$5:$L$204="-","",B_Drainage!$L$5:$L$204)),"")</f>
        <v/>
      </c>
      <c r="AD221" s="182" t="str">
        <f>IFERROR(LOOKUP(2,1/((D_Points!$A$5:$A$204&lt;&gt;"")*(D_Points!$A$5:$A$204&gt;=$B221)*(D_Points!$A$5:$A$204&lt;$B221+P_Interval)*(UPPER(TRIM(D_Points!$B$5:$B$204))="TURNOUT_L")*(D_Points!$H$5:$H$204&lt;&gt;"")),D_Points!$H$5:$H$204),"")</f>
        <v/>
      </c>
      <c r="AE221" s="182" t="str">
        <f>IFERROR(LOOKUP(2,1/((D_Points!$A$5:$A$204&lt;&gt;"")*(D_Points!$A$5:$A$204&gt;=$B221)*(D_Points!$A$5:$A$204&lt;$B221+P_Interval)*(UPPER(TRIM(D_Points!$B$5:$B$204))="TURNOUT_R")*(D_Points!$H$5:$H$204&lt;&gt;"")),D_Points!$H$5:$H$204),"")</f>
        <v/>
      </c>
      <c r="AF221" s="181" t="str">
        <f>IFERROR(LOOKUP(2,1/((B_Drainage!$A$5:$A$204&lt;&gt;"")*(B_Drainage!$A$5:$A$204&lt;=$B221)*(B_Drainage!$B$5:$B$204&gt;$B221)*(B_Drainage!$M$5:$M$204&lt;&gt;"")),IF(UPPER(B_Drainage!$M$5:$M$204)="Y",1,"")),"")</f>
        <v/>
      </c>
      <c r="AG221" s="181" t="str">
        <f>IFERROR(LOOKUP(2,1/((B_Drainage!$A$5:$A$204&lt;&gt;"")*(B_Drainage!$A$5:$A$204&lt;=$B221)*(B_Drainage!$B$5:$B$204&gt;$B221)*(B_Drainage!$N$5:$N$204&lt;&gt;"")),IF(UPPER(B_Drainage!$N$5:$N$204)="Y",1,"")),"")</f>
        <v/>
      </c>
      <c r="AH221" s="181" t="str">
        <f t="shared" si="24"/>
        <v/>
      </c>
      <c r="AI221" s="181" t="str">
        <f t="shared" si="25"/>
        <v/>
      </c>
      <c r="AJ221" s="181" t="str">
        <f t="shared" si="26"/>
        <v/>
      </c>
      <c r="AK221" s="181" t="str">
        <f t="shared" si="27"/>
        <v/>
      </c>
      <c r="AL221" s="181" t="str">
        <f t="shared" si="28"/>
        <v/>
      </c>
      <c r="AM221" s="181" t="str">
        <f t="shared" si="29"/>
        <v/>
      </c>
      <c r="AN221" s="181" t="str">
        <f t="shared" si="30"/>
        <v/>
      </c>
      <c r="AO221" s="192" t="str">
        <f t="shared" si="31"/>
        <v/>
      </c>
      <c r="AQ221" t="str">
        <f>IFERROR(LOOKUP(2,1/((C_Pavement!$A$5:$A$204&lt;&gt;"")*(C_Pavement!$A$5:$A$204&lt;=$B221)*(C_Pavement!$B$5:$B$204&gt;$B221)*(C_Pavement!$C$5:$C$204&lt;&gt;"")),ROW(C_Pavement!$C$5:$C$204)-4),"")</f>
        <v/>
      </c>
      <c r="AR221" t="str">
        <f>IF($AQ221="","",UPPER(TRIM(INDEX(C_Pavement!$C$5:$C$204,$AQ221))))</f>
        <v/>
      </c>
      <c r="AS221" t="str">
        <f>IF($AR221="","",IFERROR(MATCH($AR221,E_Rules!$A$5:$A$9,0),""))</f>
        <v/>
      </c>
      <c r="AT221" t="str">
        <f>IF($AQ221="","",IF(INDEX(C_Pavement!$D$5:$D$204,$AQ221)&lt;&gt;"",UPPER(TRIM(INDEX(C_Pavement!$D$5:$D$204,$AQ221))),IF($AS221="","",INDEX(E_Rules!$C$5:$C$9,$AS221))))</f>
        <v/>
      </c>
      <c r="AU221" t="str">
        <f>IF($AQ221="","",IF(INDEX(C_Pavement!$E$5:$E$204,$AQ221)&lt;&gt;"",IF(INDEX(C_Pavement!$E$5:$E$204,$AQ221)="-","",INDEX(C_Pavement!$E$5:$E$204,$AQ221)),IF($AS221="","",INDEX(E_Rules!$D$5:$D$9,$AS221))))</f>
        <v/>
      </c>
      <c r="AV221" t="str">
        <f>IF($AQ221="","",IF(INDEX(C_Pavement!$F$5:$F$204,$AQ221)&lt;&gt;"",IF(INDEX(C_Pavement!$F$5:$F$204,$AQ221)="-","",INDEX(C_Pavement!$F$5:$F$204,$AQ221)),IF($AS221="","",INDEX(E_Rules!$E$5:$E$9,$AS221))))</f>
        <v/>
      </c>
      <c r="AW221" t="str">
        <f>IF($AQ221="","",IF(INDEX(C_Pavement!$G$5:$G$204,$AQ221)&lt;&gt;"",IF(INDEX(C_Pavement!$G$5:$G$204,$AQ221)="-","",INDEX(C_Pavement!$G$5:$G$204,$AQ221)),IF($AS221="","",INDEX(E_Rules!$F$5:$F$9,$AS221))))</f>
        <v/>
      </c>
      <c r="AX221" t="str">
        <f>IF($AQ221="","",IF(INDEX(C_Pavement!$H$5:$H$204,$AQ221)&lt;&gt;"",IF(INDEX(C_Pavement!$H$5:$H$204,$AQ221)="-","",INDEX(C_Pavement!$H$5:$H$204,$AQ221)),IF($AS221="","",INDEX(E_Rules!$G$5:$G$9,$AS221))))</f>
        <v/>
      </c>
      <c r="AY221" t="str">
        <f>IF($AQ221="","",IF(INDEX(C_Pavement!$I$5:$I$204,$AQ221)&lt;&gt;"",IF(INDEX(C_Pavement!$I$5:$I$204,$AQ221)="-","",INDEX(C_Pavement!$I$5:$I$204,$AQ221)),IF($AS221="","",INDEX(E_Rules!$H$5:$H$9,$AS221))))</f>
        <v/>
      </c>
    </row>
    <row r="222" spans="1:51" ht="15.75" customHeight="1" x14ac:dyDescent="0.3">
      <c r="A222" s="189">
        <v>217</v>
      </c>
      <c r="B222" s="180">
        <v>10800</v>
      </c>
      <c r="C222" s="180" t="s">
        <v>528</v>
      </c>
      <c r="D222" s="181" t="str">
        <f>IFERROR(LOOKUP(2,1/((A_Corridor!$A$5:$A$204&lt;&gt;"")*(A_Corridor!$A$5:$A$204&lt;=$B222)*(A_Corridor!$B$5:$B$204&gt;$B222)*(A_Corridor!$C$5:$C$204&lt;&gt;"")),IF(UPPER(A_Corridor!$C$5:$C$204)="Y",1,"")),"")</f>
        <v/>
      </c>
      <c r="E222" s="181" t="str">
        <f>IFERROR(LOOKUP(2,1/((A_Corridor!$A$5:$A$204&lt;&gt;"")*(A_Corridor!$A$5:$A$204&lt;=$B222)*(A_Corridor!$B$5:$B$204&gt;$B222)*(A_Corridor!$D$5:$D$204&lt;&gt;"")),IF(A_Corridor!$D$5:$D$204="-","",UPPER(A_Corridor!$D$5:$D$204))),"")</f>
        <v/>
      </c>
      <c r="F222" s="181" t="str">
        <f>IFERROR(LOOKUP(2,1/((A_Corridor!$A$5:$A$204&lt;&gt;"")*(A_Corridor!$A$5:$A$204&lt;=$B222)*(A_Corridor!$B$5:$B$204&gt;$B222)*(A_Corridor!$E$5:$E$204&lt;&gt;"")),IF(A_Corridor!$E$5:$E$204="-","",1)),"")</f>
        <v/>
      </c>
      <c r="G222" s="182" t="str">
        <f>IFERROR(LOOKUP(2,1/((A_Corridor!$A$5:$A$204&lt;&gt;"")*(A_Corridor!$A$5:$A$204&lt;=$B222)*(A_Corridor!$B$5:$B$204&gt;$B222)*(A_Corridor!$E$5:$E$204&lt;&gt;"")),IF(A_Corridor!$E$5:$E$204="-","",A_Corridor!$E$5:$E$204)),"")</f>
        <v/>
      </c>
      <c r="H222" s="182" t="str">
        <f>IFERROR(LOOKUP(2,1/((D_Points!$A$5:$A$204&lt;&gt;"")*(D_Points!$A$5:$A$204&gt;=$B222)*(D_Points!$A$5:$A$204&lt;$B222+P_Interval)*(UPPER(TRIM(D_Points!$B$5:$B$204))="GULLY")*(D_Points!$H$5:$H$204&lt;&gt;"")),D_Points!$H$5:$H$204),"")</f>
        <v/>
      </c>
      <c r="I222" s="181" t="str">
        <f>IFERROR(LOOKUP(2,1/((A_Corridor!$A$5:$A$204&lt;&gt;"")*(A_Corridor!$A$5:$A$204&lt;=$B222)*(A_Corridor!$B$5:$B$204&gt;$B222)*(A_Corridor!$F$5:$F$204&lt;&gt;"")),IF(A_Corridor!$F$5:$F$204="-","",1)),"")</f>
        <v/>
      </c>
      <c r="J222" s="182" t="str">
        <f>IFERROR(LOOKUP(2,1/((A_Corridor!$A$5:$A$204&lt;&gt;"")*(A_Corridor!$A$5:$A$204&lt;=$B222)*(A_Corridor!$B$5:$B$204&gt;$B222)*(A_Corridor!$F$5:$F$204&lt;&gt;"")),IF(A_Corridor!$F$5:$F$204="-","",A_Corridor!$F$5:$F$204)),"")</f>
        <v/>
      </c>
      <c r="K222" s="182" t="str">
        <f>IFERROR(LOOKUP(2,1/((A_Corridor!$A$5:$A$204&lt;&gt;"")*(A_Corridor!$A$5:$A$204&lt;=$B222)*(A_Corridor!$B$5:$B$204&gt;$B222)*(A_Corridor!$G$5:$G$204&lt;&gt;"")),IF(A_Corridor!$G$5:$G$204="-","",A_Corridor!$G$5:$G$204)),"")</f>
        <v/>
      </c>
      <c r="L222" s="181" t="str">
        <f>IFERROR(LOOKUP(2,1/((A_Corridor!$A$5:$A$204&lt;&gt;"")*(A_Corridor!$A$5:$A$204&lt;=$B222)*(A_Corridor!$B$5:$B$204&gt;$B222)*(A_Corridor!$H$5:$H$204&lt;&gt;"")),IF(A_Corridor!$H$5:$H$204="-","",1)),"")</f>
        <v/>
      </c>
      <c r="M222" s="182" t="str">
        <f>IFERROR(LOOKUP(2,1/((A_Corridor!$A$5:$A$204&lt;&gt;"")*(A_Corridor!$A$5:$A$204&lt;=$B222)*(A_Corridor!$B$5:$B$204&gt;$B222)*(A_Corridor!$H$5:$H$204&lt;&gt;"")),IF(A_Corridor!$H$5:$H$204="-","",A_Corridor!$H$5:$H$204)),"")</f>
        <v/>
      </c>
      <c r="N222" s="182" t="str">
        <f>IFERROR(LOOKUP(2,1/((A_Corridor!$A$5:$A$204&lt;&gt;"")*(A_Corridor!$A$5:$A$204&lt;=$B222)*(A_Corridor!$B$5:$B$204&gt;$B222)*(A_Corridor!$I$5:$I$204&lt;&gt;"")),IF(A_Corridor!$I$5:$I$204="-","",A_Corridor!$I$5:$I$204)),"")</f>
        <v/>
      </c>
      <c r="O222" s="182" t="str">
        <f>IFERROR(LOOKUP(2,1/((D_Points!$A$5:$A$204&lt;&gt;"")*(D_Points!$A$5:$A$204&gt;=$B222)*(D_Points!$A$5:$A$204&lt;$B222+P_Interval)*(UPPER(TRIM(D_Points!$B$5:$B$204))="PITCHING")*(D_Points!$H$5:$H$204&lt;&gt;"")),D_Points!$H$5:$H$204),"")</f>
        <v/>
      </c>
      <c r="P222" s="181" t="str">
        <f>IFERROR(LOOKUP(2,1/((B_Drainage!$A$5:$A$204&lt;&gt;"")*(B_Drainage!$A$5:$A$204&lt;=$B222)*(B_Drainage!$B$5:$B$204&gt;$B222)*(B_Drainage!$C$5:$C$204&lt;&gt;"")),IF(B_Drainage!$C$5:$C$204="-","",UPPER(B_Drainage!$C$5:$C$204))),"")</f>
        <v/>
      </c>
      <c r="Q222" s="181" t="str">
        <f>IFERROR(LOOKUP(2,1/((B_Drainage!$A$5:$A$204&lt;&gt;"")*(B_Drainage!$A$5:$A$204&lt;=$B222)*(B_Drainage!$B$5:$B$204&gt;$B222)*(B_Drainage!$D$5:$D$204&lt;&gt;"")),IF(B_Drainage!$D$5:$D$204="-","",UPPER(B_Drainage!$D$5:$D$204))),"")</f>
        <v/>
      </c>
      <c r="R222" s="182" t="str">
        <f>IFERROR(LOOKUP(2,1/((D_Points!$A$5:$A$204&lt;&gt;"")*(D_Points!$A$5:$A$204&gt;=$B222)*(D_Points!$A$5:$A$204&lt;$B222+P_Interval)*(RIGHT(UPPER(TRIM(D_Points!$B$5:$B$204)),8)="_CULVERT")),IF(LEFT(UPPER(TRIM(D_Points!$B$5:$B$204)),2)="EX",1,IF(LEFT(UPPER(TRIM(D_Points!$B$5:$B$204)),2)="PR",2,3))),"")</f>
        <v/>
      </c>
      <c r="S222" s="182" t="str">
        <f>IFERROR(LOOKUP(2,1/((D_Points!$A$5:$A$204&lt;&gt;"")*(D_Points!$A$5:$A$204&gt;=$B222)*(D_Points!$A$5:$A$204&lt;$B222+P_Interval)*(RIGHT(UPPER(TRIM(D_Points!$B$5:$B$204)),7)="_BRIDGE")),IF(LEFT(UPPER(TRIM(D_Points!$B$5:$B$204)),2)="EX",1,IF(LEFT(UPPER(TRIM(D_Points!$B$5:$B$204)),2)="PR",2,2))),"")</f>
        <v/>
      </c>
      <c r="T222" s="181" t="str">
        <f>IFERROR(LOOKUP(2,1/((B_Drainage!$A$5:$A$204&lt;&gt;"")*(B_Drainage!$A$5:$A$204&lt;=$B222)*(B_Drainage!$B$5:$B$204&gt;$B222)*(B_Drainage!$E$5:$E$204&lt;&gt;"")),IF(B_Drainage!$E$5:$E$204="-","",1)),"")</f>
        <v/>
      </c>
      <c r="U222" s="181" t="str">
        <f>IFERROR(LOOKUP(2,1/((B_Drainage!$A$5:$A$204&lt;&gt;"")*(B_Drainage!$A$5:$A$204&lt;=$B222)*(B_Drainage!$B$5:$B$204&gt;$B222)*(B_Drainage!$E$5:$E$204&lt;&gt;"")),IF(B_Drainage!$E$5:$E$204="-","",B_Drainage!$E$5:$E$204)),"")</f>
        <v/>
      </c>
      <c r="V222" s="181" t="str">
        <f>IFERROR(LOOKUP(2,1/((B_Drainage!$A$5:$A$204&lt;&gt;"")*(B_Drainage!$A$5:$A$204&lt;=$B222)*(B_Drainage!$B$5:$B$204&gt;$B222)*(B_Drainage!$F$5:$F$204&lt;&gt;"")),IF(B_Drainage!$F$5:$F$204="-","",1)),"")</f>
        <v/>
      </c>
      <c r="W222" s="181" t="str">
        <f>IFERROR(LOOKUP(2,1/((B_Drainage!$A$5:$A$204&lt;&gt;"")*(B_Drainage!$A$5:$A$204&lt;=$B222)*(B_Drainage!$B$5:$B$204&gt;$B222)*(B_Drainage!$F$5:$F$204&lt;&gt;"")),IF(B_Drainage!$F$5:$F$204="-","",B_Drainage!$F$5:$F$204)),"")</f>
        <v/>
      </c>
      <c r="X222" s="181" t="str">
        <f>IFERROR(LOOKUP(2,1/((B_Drainage!$A$5:$A$204&lt;&gt;"")*(B_Drainage!$A$5:$A$204&lt;=$B222)*(B_Drainage!$B$5:$B$204&gt;$B222)*(B_Drainage!$G$5:$G$204&lt;&gt;"")),IF(UPPER(B_Drainage!$G$5:$G$204)="Y",1,"")),"")</f>
        <v/>
      </c>
      <c r="Y222" s="181" t="str">
        <f>IFERROR(LOOKUP(2,1/((B_Drainage!$A$5:$A$204&lt;&gt;"")*(B_Drainage!$A$5:$A$204&lt;=$B222)*(B_Drainage!$B$5:$B$204&gt;$B222)*(B_Drainage!$H$5:$H$204&lt;&gt;"")),IF(UPPER(B_Drainage!$H$5:$H$204)="Y",1,"")),"")</f>
        <v/>
      </c>
      <c r="Z222" s="181" t="str">
        <f>IFERROR(LOOKUP(2,1/((B_Drainage!$A$5:$A$204&lt;&gt;"")*(B_Drainage!$A$5:$A$204&lt;=$B222)*(B_Drainage!$B$5:$B$204&gt;$B222)*(B_Drainage!$I$5:$I$204&lt;&gt;"")),IF(UPPER(B_Drainage!$I$5:$I$204)="Y",1,"")),"")</f>
        <v/>
      </c>
      <c r="AA222" s="181" t="str">
        <f>IFERROR(LOOKUP(2,1/((B_Drainage!$A$5:$A$204&lt;&gt;"")*(B_Drainage!$A$5:$A$204&lt;=$B222)*(B_Drainage!$B$5:$B$204&gt;$B222)*(B_Drainage!$J$5:$J$204&lt;&gt;"")),IF(UPPER(B_Drainage!$J$5:$J$204)="Y",1,"")),"")</f>
        <v/>
      </c>
      <c r="AB222" s="182" t="str">
        <f>IFERROR(LOOKUP(2,1/((B_Drainage!$A$5:$A$204&lt;&gt;"")*(B_Drainage!$A$5:$A$204&lt;=$B222)*(B_Drainage!$B$5:$B$204&gt;$B222)*(B_Drainage!$K$5:$K$204&lt;&gt;"")),IF(B_Drainage!$K$5:$K$204="-","",B_Drainage!$K$5:$K$204)),"")</f>
        <v/>
      </c>
      <c r="AC222" s="182" t="str">
        <f>IFERROR(LOOKUP(2,1/((B_Drainage!$A$5:$A$204&lt;&gt;"")*(B_Drainage!$A$5:$A$204&lt;=$B222)*(B_Drainage!$B$5:$B$204&gt;$B222)*(B_Drainage!$L$5:$L$204&lt;&gt;"")),IF(B_Drainage!$L$5:$L$204="-","",B_Drainage!$L$5:$L$204)),"")</f>
        <v/>
      </c>
      <c r="AD222" s="182" t="str">
        <f>IFERROR(LOOKUP(2,1/((D_Points!$A$5:$A$204&lt;&gt;"")*(D_Points!$A$5:$A$204&gt;=$B222)*(D_Points!$A$5:$A$204&lt;$B222+P_Interval)*(UPPER(TRIM(D_Points!$B$5:$B$204))="TURNOUT_L")*(D_Points!$H$5:$H$204&lt;&gt;"")),D_Points!$H$5:$H$204),"")</f>
        <v/>
      </c>
      <c r="AE222" s="182" t="str">
        <f>IFERROR(LOOKUP(2,1/((D_Points!$A$5:$A$204&lt;&gt;"")*(D_Points!$A$5:$A$204&gt;=$B222)*(D_Points!$A$5:$A$204&lt;$B222+P_Interval)*(UPPER(TRIM(D_Points!$B$5:$B$204))="TURNOUT_R")*(D_Points!$H$5:$H$204&lt;&gt;"")),D_Points!$H$5:$H$204),"")</f>
        <v/>
      </c>
      <c r="AF222" s="181" t="str">
        <f>IFERROR(LOOKUP(2,1/((B_Drainage!$A$5:$A$204&lt;&gt;"")*(B_Drainage!$A$5:$A$204&lt;=$B222)*(B_Drainage!$B$5:$B$204&gt;$B222)*(B_Drainage!$M$5:$M$204&lt;&gt;"")),IF(UPPER(B_Drainage!$M$5:$M$204)="Y",1,"")),"")</f>
        <v/>
      </c>
      <c r="AG222" s="181" t="str">
        <f>IFERROR(LOOKUP(2,1/((B_Drainage!$A$5:$A$204&lt;&gt;"")*(B_Drainage!$A$5:$A$204&lt;=$B222)*(B_Drainage!$B$5:$B$204&gt;$B222)*(B_Drainage!$N$5:$N$204&lt;&gt;"")),IF(UPPER(B_Drainage!$N$5:$N$204)="Y",1,"")),"")</f>
        <v/>
      </c>
      <c r="AH222" s="181" t="str">
        <f t="shared" si="24"/>
        <v/>
      </c>
      <c r="AI222" s="181" t="str">
        <f t="shared" si="25"/>
        <v/>
      </c>
      <c r="AJ222" s="181" t="str">
        <f t="shared" si="26"/>
        <v/>
      </c>
      <c r="AK222" s="181" t="str">
        <f t="shared" si="27"/>
        <v/>
      </c>
      <c r="AL222" s="181" t="str">
        <f t="shared" si="28"/>
        <v/>
      </c>
      <c r="AM222" s="181" t="str">
        <f t="shared" si="29"/>
        <v/>
      </c>
      <c r="AN222" s="181" t="str">
        <f t="shared" si="30"/>
        <v/>
      </c>
      <c r="AO222" s="192" t="str">
        <f t="shared" si="31"/>
        <v/>
      </c>
      <c r="AQ222" t="str">
        <f>IFERROR(LOOKUP(2,1/((C_Pavement!$A$5:$A$204&lt;&gt;"")*(C_Pavement!$A$5:$A$204&lt;=$B222)*(C_Pavement!$B$5:$B$204&gt;$B222)*(C_Pavement!$C$5:$C$204&lt;&gt;"")),ROW(C_Pavement!$C$5:$C$204)-4),"")</f>
        <v/>
      </c>
      <c r="AR222" t="str">
        <f>IF($AQ222="","",UPPER(TRIM(INDEX(C_Pavement!$C$5:$C$204,$AQ222))))</f>
        <v/>
      </c>
      <c r="AS222" t="str">
        <f>IF($AR222="","",IFERROR(MATCH($AR222,E_Rules!$A$5:$A$9,0),""))</f>
        <v/>
      </c>
      <c r="AT222" t="str">
        <f>IF($AQ222="","",IF(INDEX(C_Pavement!$D$5:$D$204,$AQ222)&lt;&gt;"",UPPER(TRIM(INDEX(C_Pavement!$D$5:$D$204,$AQ222))),IF($AS222="","",INDEX(E_Rules!$C$5:$C$9,$AS222))))</f>
        <v/>
      </c>
      <c r="AU222" t="str">
        <f>IF($AQ222="","",IF(INDEX(C_Pavement!$E$5:$E$204,$AQ222)&lt;&gt;"",IF(INDEX(C_Pavement!$E$5:$E$204,$AQ222)="-","",INDEX(C_Pavement!$E$5:$E$204,$AQ222)),IF($AS222="","",INDEX(E_Rules!$D$5:$D$9,$AS222))))</f>
        <v/>
      </c>
      <c r="AV222" t="str">
        <f>IF($AQ222="","",IF(INDEX(C_Pavement!$F$5:$F$204,$AQ222)&lt;&gt;"",IF(INDEX(C_Pavement!$F$5:$F$204,$AQ222)="-","",INDEX(C_Pavement!$F$5:$F$204,$AQ222)),IF($AS222="","",INDEX(E_Rules!$E$5:$E$9,$AS222))))</f>
        <v/>
      </c>
      <c r="AW222" t="str">
        <f>IF($AQ222="","",IF(INDEX(C_Pavement!$G$5:$G$204,$AQ222)&lt;&gt;"",IF(INDEX(C_Pavement!$G$5:$G$204,$AQ222)="-","",INDEX(C_Pavement!$G$5:$G$204,$AQ222)),IF($AS222="","",INDEX(E_Rules!$F$5:$F$9,$AS222))))</f>
        <v/>
      </c>
      <c r="AX222" t="str">
        <f>IF($AQ222="","",IF(INDEX(C_Pavement!$H$5:$H$204,$AQ222)&lt;&gt;"",IF(INDEX(C_Pavement!$H$5:$H$204,$AQ222)="-","",INDEX(C_Pavement!$H$5:$H$204,$AQ222)),IF($AS222="","",INDEX(E_Rules!$G$5:$G$9,$AS222))))</f>
        <v/>
      </c>
      <c r="AY222" t="str">
        <f>IF($AQ222="","",IF(INDEX(C_Pavement!$I$5:$I$204,$AQ222)&lt;&gt;"",IF(INDEX(C_Pavement!$I$5:$I$204,$AQ222)="-","",INDEX(C_Pavement!$I$5:$I$204,$AQ222)),IF($AS222="","",INDEX(E_Rules!$H$5:$H$9,$AS222))))</f>
        <v/>
      </c>
    </row>
    <row r="223" spans="1:51" ht="15.75" customHeight="1" x14ac:dyDescent="0.3">
      <c r="A223" s="189">
        <v>218</v>
      </c>
      <c r="B223" s="180">
        <v>10850</v>
      </c>
      <c r="C223" s="180" t="s">
        <v>529</v>
      </c>
      <c r="D223" s="181" t="str">
        <f>IFERROR(LOOKUP(2,1/((A_Corridor!$A$5:$A$204&lt;&gt;"")*(A_Corridor!$A$5:$A$204&lt;=$B223)*(A_Corridor!$B$5:$B$204&gt;$B223)*(A_Corridor!$C$5:$C$204&lt;&gt;"")),IF(UPPER(A_Corridor!$C$5:$C$204)="Y",1,"")),"")</f>
        <v/>
      </c>
      <c r="E223" s="181" t="str">
        <f>IFERROR(LOOKUP(2,1/((A_Corridor!$A$5:$A$204&lt;&gt;"")*(A_Corridor!$A$5:$A$204&lt;=$B223)*(A_Corridor!$B$5:$B$204&gt;$B223)*(A_Corridor!$D$5:$D$204&lt;&gt;"")),IF(A_Corridor!$D$5:$D$204="-","",UPPER(A_Corridor!$D$5:$D$204))),"")</f>
        <v/>
      </c>
      <c r="F223" s="181" t="str">
        <f>IFERROR(LOOKUP(2,1/((A_Corridor!$A$5:$A$204&lt;&gt;"")*(A_Corridor!$A$5:$A$204&lt;=$B223)*(A_Corridor!$B$5:$B$204&gt;$B223)*(A_Corridor!$E$5:$E$204&lt;&gt;"")),IF(A_Corridor!$E$5:$E$204="-","",1)),"")</f>
        <v/>
      </c>
      <c r="G223" s="182" t="str">
        <f>IFERROR(LOOKUP(2,1/((A_Corridor!$A$5:$A$204&lt;&gt;"")*(A_Corridor!$A$5:$A$204&lt;=$B223)*(A_Corridor!$B$5:$B$204&gt;$B223)*(A_Corridor!$E$5:$E$204&lt;&gt;"")),IF(A_Corridor!$E$5:$E$204="-","",A_Corridor!$E$5:$E$204)),"")</f>
        <v/>
      </c>
      <c r="H223" s="182" t="str">
        <f>IFERROR(LOOKUP(2,1/((D_Points!$A$5:$A$204&lt;&gt;"")*(D_Points!$A$5:$A$204&gt;=$B223)*(D_Points!$A$5:$A$204&lt;$B223+P_Interval)*(UPPER(TRIM(D_Points!$B$5:$B$204))="GULLY")*(D_Points!$H$5:$H$204&lt;&gt;"")),D_Points!$H$5:$H$204),"")</f>
        <v/>
      </c>
      <c r="I223" s="181" t="str">
        <f>IFERROR(LOOKUP(2,1/((A_Corridor!$A$5:$A$204&lt;&gt;"")*(A_Corridor!$A$5:$A$204&lt;=$B223)*(A_Corridor!$B$5:$B$204&gt;$B223)*(A_Corridor!$F$5:$F$204&lt;&gt;"")),IF(A_Corridor!$F$5:$F$204="-","",1)),"")</f>
        <v/>
      </c>
      <c r="J223" s="182" t="str">
        <f>IFERROR(LOOKUP(2,1/((A_Corridor!$A$5:$A$204&lt;&gt;"")*(A_Corridor!$A$5:$A$204&lt;=$B223)*(A_Corridor!$B$5:$B$204&gt;$B223)*(A_Corridor!$F$5:$F$204&lt;&gt;"")),IF(A_Corridor!$F$5:$F$204="-","",A_Corridor!$F$5:$F$204)),"")</f>
        <v/>
      </c>
      <c r="K223" s="182" t="str">
        <f>IFERROR(LOOKUP(2,1/((A_Corridor!$A$5:$A$204&lt;&gt;"")*(A_Corridor!$A$5:$A$204&lt;=$B223)*(A_Corridor!$B$5:$B$204&gt;$B223)*(A_Corridor!$G$5:$G$204&lt;&gt;"")),IF(A_Corridor!$G$5:$G$204="-","",A_Corridor!$G$5:$G$204)),"")</f>
        <v/>
      </c>
      <c r="L223" s="181" t="str">
        <f>IFERROR(LOOKUP(2,1/((A_Corridor!$A$5:$A$204&lt;&gt;"")*(A_Corridor!$A$5:$A$204&lt;=$B223)*(A_Corridor!$B$5:$B$204&gt;$B223)*(A_Corridor!$H$5:$H$204&lt;&gt;"")),IF(A_Corridor!$H$5:$H$204="-","",1)),"")</f>
        <v/>
      </c>
      <c r="M223" s="182" t="str">
        <f>IFERROR(LOOKUP(2,1/((A_Corridor!$A$5:$A$204&lt;&gt;"")*(A_Corridor!$A$5:$A$204&lt;=$B223)*(A_Corridor!$B$5:$B$204&gt;$B223)*(A_Corridor!$H$5:$H$204&lt;&gt;"")),IF(A_Corridor!$H$5:$H$204="-","",A_Corridor!$H$5:$H$204)),"")</f>
        <v/>
      </c>
      <c r="N223" s="182" t="str">
        <f>IFERROR(LOOKUP(2,1/((A_Corridor!$A$5:$A$204&lt;&gt;"")*(A_Corridor!$A$5:$A$204&lt;=$B223)*(A_Corridor!$B$5:$B$204&gt;$B223)*(A_Corridor!$I$5:$I$204&lt;&gt;"")),IF(A_Corridor!$I$5:$I$204="-","",A_Corridor!$I$5:$I$204)),"")</f>
        <v/>
      </c>
      <c r="O223" s="182" t="str">
        <f>IFERROR(LOOKUP(2,1/((D_Points!$A$5:$A$204&lt;&gt;"")*(D_Points!$A$5:$A$204&gt;=$B223)*(D_Points!$A$5:$A$204&lt;$B223+P_Interval)*(UPPER(TRIM(D_Points!$B$5:$B$204))="PITCHING")*(D_Points!$H$5:$H$204&lt;&gt;"")),D_Points!$H$5:$H$204),"")</f>
        <v/>
      </c>
      <c r="P223" s="181" t="str">
        <f>IFERROR(LOOKUP(2,1/((B_Drainage!$A$5:$A$204&lt;&gt;"")*(B_Drainage!$A$5:$A$204&lt;=$B223)*(B_Drainage!$B$5:$B$204&gt;$B223)*(B_Drainage!$C$5:$C$204&lt;&gt;"")),IF(B_Drainage!$C$5:$C$204="-","",UPPER(B_Drainage!$C$5:$C$204))),"")</f>
        <v/>
      </c>
      <c r="Q223" s="181" t="str">
        <f>IFERROR(LOOKUP(2,1/((B_Drainage!$A$5:$A$204&lt;&gt;"")*(B_Drainage!$A$5:$A$204&lt;=$B223)*(B_Drainage!$B$5:$B$204&gt;$B223)*(B_Drainage!$D$5:$D$204&lt;&gt;"")),IF(B_Drainage!$D$5:$D$204="-","",UPPER(B_Drainage!$D$5:$D$204))),"")</f>
        <v/>
      </c>
      <c r="R223" s="182" t="str">
        <f>IFERROR(LOOKUP(2,1/((D_Points!$A$5:$A$204&lt;&gt;"")*(D_Points!$A$5:$A$204&gt;=$B223)*(D_Points!$A$5:$A$204&lt;$B223+P_Interval)*(RIGHT(UPPER(TRIM(D_Points!$B$5:$B$204)),8)="_CULVERT")),IF(LEFT(UPPER(TRIM(D_Points!$B$5:$B$204)),2)="EX",1,IF(LEFT(UPPER(TRIM(D_Points!$B$5:$B$204)),2)="PR",2,3))),"")</f>
        <v/>
      </c>
      <c r="S223" s="182" t="str">
        <f>IFERROR(LOOKUP(2,1/((D_Points!$A$5:$A$204&lt;&gt;"")*(D_Points!$A$5:$A$204&gt;=$B223)*(D_Points!$A$5:$A$204&lt;$B223+P_Interval)*(RIGHT(UPPER(TRIM(D_Points!$B$5:$B$204)),7)="_BRIDGE")),IF(LEFT(UPPER(TRIM(D_Points!$B$5:$B$204)),2)="EX",1,IF(LEFT(UPPER(TRIM(D_Points!$B$5:$B$204)),2)="PR",2,2))),"")</f>
        <v/>
      </c>
      <c r="T223" s="181" t="str">
        <f>IFERROR(LOOKUP(2,1/((B_Drainage!$A$5:$A$204&lt;&gt;"")*(B_Drainage!$A$5:$A$204&lt;=$B223)*(B_Drainage!$B$5:$B$204&gt;$B223)*(B_Drainage!$E$5:$E$204&lt;&gt;"")),IF(B_Drainage!$E$5:$E$204="-","",1)),"")</f>
        <v/>
      </c>
      <c r="U223" s="181" t="str">
        <f>IFERROR(LOOKUP(2,1/((B_Drainage!$A$5:$A$204&lt;&gt;"")*(B_Drainage!$A$5:$A$204&lt;=$B223)*(B_Drainage!$B$5:$B$204&gt;$B223)*(B_Drainage!$E$5:$E$204&lt;&gt;"")),IF(B_Drainage!$E$5:$E$204="-","",B_Drainage!$E$5:$E$204)),"")</f>
        <v/>
      </c>
      <c r="V223" s="181" t="str">
        <f>IFERROR(LOOKUP(2,1/((B_Drainage!$A$5:$A$204&lt;&gt;"")*(B_Drainage!$A$5:$A$204&lt;=$B223)*(B_Drainage!$B$5:$B$204&gt;$B223)*(B_Drainage!$F$5:$F$204&lt;&gt;"")),IF(B_Drainage!$F$5:$F$204="-","",1)),"")</f>
        <v/>
      </c>
      <c r="W223" s="181" t="str">
        <f>IFERROR(LOOKUP(2,1/((B_Drainage!$A$5:$A$204&lt;&gt;"")*(B_Drainage!$A$5:$A$204&lt;=$B223)*(B_Drainage!$B$5:$B$204&gt;$B223)*(B_Drainage!$F$5:$F$204&lt;&gt;"")),IF(B_Drainage!$F$5:$F$204="-","",B_Drainage!$F$5:$F$204)),"")</f>
        <v/>
      </c>
      <c r="X223" s="181" t="str">
        <f>IFERROR(LOOKUP(2,1/((B_Drainage!$A$5:$A$204&lt;&gt;"")*(B_Drainage!$A$5:$A$204&lt;=$B223)*(B_Drainage!$B$5:$B$204&gt;$B223)*(B_Drainage!$G$5:$G$204&lt;&gt;"")),IF(UPPER(B_Drainage!$G$5:$G$204)="Y",1,"")),"")</f>
        <v/>
      </c>
      <c r="Y223" s="181" t="str">
        <f>IFERROR(LOOKUP(2,1/((B_Drainage!$A$5:$A$204&lt;&gt;"")*(B_Drainage!$A$5:$A$204&lt;=$B223)*(B_Drainage!$B$5:$B$204&gt;$B223)*(B_Drainage!$H$5:$H$204&lt;&gt;"")),IF(UPPER(B_Drainage!$H$5:$H$204)="Y",1,"")),"")</f>
        <v/>
      </c>
      <c r="Z223" s="181" t="str">
        <f>IFERROR(LOOKUP(2,1/((B_Drainage!$A$5:$A$204&lt;&gt;"")*(B_Drainage!$A$5:$A$204&lt;=$B223)*(B_Drainage!$B$5:$B$204&gt;$B223)*(B_Drainage!$I$5:$I$204&lt;&gt;"")),IF(UPPER(B_Drainage!$I$5:$I$204)="Y",1,"")),"")</f>
        <v/>
      </c>
      <c r="AA223" s="181" t="str">
        <f>IFERROR(LOOKUP(2,1/((B_Drainage!$A$5:$A$204&lt;&gt;"")*(B_Drainage!$A$5:$A$204&lt;=$B223)*(B_Drainage!$B$5:$B$204&gt;$B223)*(B_Drainage!$J$5:$J$204&lt;&gt;"")),IF(UPPER(B_Drainage!$J$5:$J$204)="Y",1,"")),"")</f>
        <v/>
      </c>
      <c r="AB223" s="182" t="str">
        <f>IFERROR(LOOKUP(2,1/((B_Drainage!$A$5:$A$204&lt;&gt;"")*(B_Drainage!$A$5:$A$204&lt;=$B223)*(B_Drainage!$B$5:$B$204&gt;$B223)*(B_Drainage!$K$5:$K$204&lt;&gt;"")),IF(B_Drainage!$K$5:$K$204="-","",B_Drainage!$K$5:$K$204)),"")</f>
        <v/>
      </c>
      <c r="AC223" s="182" t="str">
        <f>IFERROR(LOOKUP(2,1/((B_Drainage!$A$5:$A$204&lt;&gt;"")*(B_Drainage!$A$5:$A$204&lt;=$B223)*(B_Drainage!$B$5:$B$204&gt;$B223)*(B_Drainage!$L$5:$L$204&lt;&gt;"")),IF(B_Drainage!$L$5:$L$204="-","",B_Drainage!$L$5:$L$204)),"")</f>
        <v/>
      </c>
      <c r="AD223" s="182" t="str">
        <f>IFERROR(LOOKUP(2,1/((D_Points!$A$5:$A$204&lt;&gt;"")*(D_Points!$A$5:$A$204&gt;=$B223)*(D_Points!$A$5:$A$204&lt;$B223+P_Interval)*(UPPER(TRIM(D_Points!$B$5:$B$204))="TURNOUT_L")*(D_Points!$H$5:$H$204&lt;&gt;"")),D_Points!$H$5:$H$204),"")</f>
        <v/>
      </c>
      <c r="AE223" s="182" t="str">
        <f>IFERROR(LOOKUP(2,1/((D_Points!$A$5:$A$204&lt;&gt;"")*(D_Points!$A$5:$A$204&gt;=$B223)*(D_Points!$A$5:$A$204&lt;$B223+P_Interval)*(UPPER(TRIM(D_Points!$B$5:$B$204))="TURNOUT_R")*(D_Points!$H$5:$H$204&lt;&gt;"")),D_Points!$H$5:$H$204),"")</f>
        <v/>
      </c>
      <c r="AF223" s="181" t="str">
        <f>IFERROR(LOOKUP(2,1/((B_Drainage!$A$5:$A$204&lt;&gt;"")*(B_Drainage!$A$5:$A$204&lt;=$B223)*(B_Drainage!$B$5:$B$204&gt;$B223)*(B_Drainage!$M$5:$M$204&lt;&gt;"")),IF(UPPER(B_Drainage!$M$5:$M$204)="Y",1,"")),"")</f>
        <v/>
      </c>
      <c r="AG223" s="181" t="str">
        <f>IFERROR(LOOKUP(2,1/((B_Drainage!$A$5:$A$204&lt;&gt;"")*(B_Drainage!$A$5:$A$204&lt;=$B223)*(B_Drainage!$B$5:$B$204&gt;$B223)*(B_Drainage!$N$5:$N$204&lt;&gt;"")),IF(UPPER(B_Drainage!$N$5:$N$204)="Y",1,"")),"")</f>
        <v/>
      </c>
      <c r="AH223" s="181" t="str">
        <f t="shared" si="24"/>
        <v/>
      </c>
      <c r="AI223" s="181" t="str">
        <f t="shared" si="25"/>
        <v/>
      </c>
      <c r="AJ223" s="181" t="str">
        <f t="shared" si="26"/>
        <v/>
      </c>
      <c r="AK223" s="181" t="str">
        <f t="shared" si="27"/>
        <v/>
      </c>
      <c r="AL223" s="181" t="str">
        <f t="shared" si="28"/>
        <v/>
      </c>
      <c r="AM223" s="181" t="str">
        <f t="shared" si="29"/>
        <v/>
      </c>
      <c r="AN223" s="181" t="str">
        <f t="shared" si="30"/>
        <v/>
      </c>
      <c r="AO223" s="192" t="str">
        <f t="shared" si="31"/>
        <v/>
      </c>
      <c r="AQ223" t="str">
        <f>IFERROR(LOOKUP(2,1/((C_Pavement!$A$5:$A$204&lt;&gt;"")*(C_Pavement!$A$5:$A$204&lt;=$B223)*(C_Pavement!$B$5:$B$204&gt;$B223)*(C_Pavement!$C$5:$C$204&lt;&gt;"")),ROW(C_Pavement!$C$5:$C$204)-4),"")</f>
        <v/>
      </c>
      <c r="AR223" t="str">
        <f>IF($AQ223="","",UPPER(TRIM(INDEX(C_Pavement!$C$5:$C$204,$AQ223))))</f>
        <v/>
      </c>
      <c r="AS223" t="str">
        <f>IF($AR223="","",IFERROR(MATCH($AR223,E_Rules!$A$5:$A$9,0),""))</f>
        <v/>
      </c>
      <c r="AT223" t="str">
        <f>IF($AQ223="","",IF(INDEX(C_Pavement!$D$5:$D$204,$AQ223)&lt;&gt;"",UPPER(TRIM(INDEX(C_Pavement!$D$5:$D$204,$AQ223))),IF($AS223="","",INDEX(E_Rules!$C$5:$C$9,$AS223))))</f>
        <v/>
      </c>
      <c r="AU223" t="str">
        <f>IF($AQ223="","",IF(INDEX(C_Pavement!$E$5:$E$204,$AQ223)&lt;&gt;"",IF(INDEX(C_Pavement!$E$5:$E$204,$AQ223)="-","",INDEX(C_Pavement!$E$5:$E$204,$AQ223)),IF($AS223="","",INDEX(E_Rules!$D$5:$D$9,$AS223))))</f>
        <v/>
      </c>
      <c r="AV223" t="str">
        <f>IF($AQ223="","",IF(INDEX(C_Pavement!$F$5:$F$204,$AQ223)&lt;&gt;"",IF(INDEX(C_Pavement!$F$5:$F$204,$AQ223)="-","",INDEX(C_Pavement!$F$5:$F$204,$AQ223)),IF($AS223="","",INDEX(E_Rules!$E$5:$E$9,$AS223))))</f>
        <v/>
      </c>
      <c r="AW223" t="str">
        <f>IF($AQ223="","",IF(INDEX(C_Pavement!$G$5:$G$204,$AQ223)&lt;&gt;"",IF(INDEX(C_Pavement!$G$5:$G$204,$AQ223)="-","",INDEX(C_Pavement!$G$5:$G$204,$AQ223)),IF($AS223="","",INDEX(E_Rules!$F$5:$F$9,$AS223))))</f>
        <v/>
      </c>
      <c r="AX223" t="str">
        <f>IF($AQ223="","",IF(INDEX(C_Pavement!$H$5:$H$204,$AQ223)&lt;&gt;"",IF(INDEX(C_Pavement!$H$5:$H$204,$AQ223)="-","",INDEX(C_Pavement!$H$5:$H$204,$AQ223)),IF($AS223="","",INDEX(E_Rules!$G$5:$G$9,$AS223))))</f>
        <v/>
      </c>
      <c r="AY223" t="str">
        <f>IF($AQ223="","",IF(INDEX(C_Pavement!$I$5:$I$204,$AQ223)&lt;&gt;"",IF(INDEX(C_Pavement!$I$5:$I$204,$AQ223)="-","",INDEX(C_Pavement!$I$5:$I$204,$AQ223)),IF($AS223="","",INDEX(E_Rules!$H$5:$H$9,$AS223))))</f>
        <v/>
      </c>
    </row>
    <row r="224" spans="1:51" ht="15.75" customHeight="1" x14ac:dyDescent="0.3">
      <c r="A224" s="189">
        <v>219</v>
      </c>
      <c r="B224" s="180">
        <v>10900</v>
      </c>
      <c r="C224" s="180" t="s">
        <v>530</v>
      </c>
      <c r="D224" s="181" t="str">
        <f>IFERROR(LOOKUP(2,1/((A_Corridor!$A$5:$A$204&lt;&gt;"")*(A_Corridor!$A$5:$A$204&lt;=$B224)*(A_Corridor!$B$5:$B$204&gt;$B224)*(A_Corridor!$C$5:$C$204&lt;&gt;"")),IF(UPPER(A_Corridor!$C$5:$C$204)="Y",1,"")),"")</f>
        <v/>
      </c>
      <c r="E224" s="181" t="str">
        <f>IFERROR(LOOKUP(2,1/((A_Corridor!$A$5:$A$204&lt;&gt;"")*(A_Corridor!$A$5:$A$204&lt;=$B224)*(A_Corridor!$B$5:$B$204&gt;$B224)*(A_Corridor!$D$5:$D$204&lt;&gt;"")),IF(A_Corridor!$D$5:$D$204="-","",UPPER(A_Corridor!$D$5:$D$204))),"")</f>
        <v/>
      </c>
      <c r="F224" s="181" t="str">
        <f>IFERROR(LOOKUP(2,1/((A_Corridor!$A$5:$A$204&lt;&gt;"")*(A_Corridor!$A$5:$A$204&lt;=$B224)*(A_Corridor!$B$5:$B$204&gt;$B224)*(A_Corridor!$E$5:$E$204&lt;&gt;"")),IF(A_Corridor!$E$5:$E$204="-","",1)),"")</f>
        <v/>
      </c>
      <c r="G224" s="182" t="str">
        <f>IFERROR(LOOKUP(2,1/((A_Corridor!$A$5:$A$204&lt;&gt;"")*(A_Corridor!$A$5:$A$204&lt;=$B224)*(A_Corridor!$B$5:$B$204&gt;$B224)*(A_Corridor!$E$5:$E$204&lt;&gt;"")),IF(A_Corridor!$E$5:$E$204="-","",A_Corridor!$E$5:$E$204)),"")</f>
        <v/>
      </c>
      <c r="H224" s="182" t="str">
        <f>IFERROR(LOOKUP(2,1/((D_Points!$A$5:$A$204&lt;&gt;"")*(D_Points!$A$5:$A$204&gt;=$B224)*(D_Points!$A$5:$A$204&lt;$B224+P_Interval)*(UPPER(TRIM(D_Points!$B$5:$B$204))="GULLY")*(D_Points!$H$5:$H$204&lt;&gt;"")),D_Points!$H$5:$H$204),"")</f>
        <v/>
      </c>
      <c r="I224" s="181" t="str">
        <f>IFERROR(LOOKUP(2,1/((A_Corridor!$A$5:$A$204&lt;&gt;"")*(A_Corridor!$A$5:$A$204&lt;=$B224)*(A_Corridor!$B$5:$B$204&gt;$B224)*(A_Corridor!$F$5:$F$204&lt;&gt;"")),IF(A_Corridor!$F$5:$F$204="-","",1)),"")</f>
        <v/>
      </c>
      <c r="J224" s="182" t="str">
        <f>IFERROR(LOOKUP(2,1/((A_Corridor!$A$5:$A$204&lt;&gt;"")*(A_Corridor!$A$5:$A$204&lt;=$B224)*(A_Corridor!$B$5:$B$204&gt;$B224)*(A_Corridor!$F$5:$F$204&lt;&gt;"")),IF(A_Corridor!$F$5:$F$204="-","",A_Corridor!$F$5:$F$204)),"")</f>
        <v/>
      </c>
      <c r="K224" s="182" t="str">
        <f>IFERROR(LOOKUP(2,1/((A_Corridor!$A$5:$A$204&lt;&gt;"")*(A_Corridor!$A$5:$A$204&lt;=$B224)*(A_Corridor!$B$5:$B$204&gt;$B224)*(A_Corridor!$G$5:$G$204&lt;&gt;"")),IF(A_Corridor!$G$5:$G$204="-","",A_Corridor!$G$5:$G$204)),"")</f>
        <v/>
      </c>
      <c r="L224" s="181" t="str">
        <f>IFERROR(LOOKUP(2,1/((A_Corridor!$A$5:$A$204&lt;&gt;"")*(A_Corridor!$A$5:$A$204&lt;=$B224)*(A_Corridor!$B$5:$B$204&gt;$B224)*(A_Corridor!$H$5:$H$204&lt;&gt;"")),IF(A_Corridor!$H$5:$H$204="-","",1)),"")</f>
        <v/>
      </c>
      <c r="M224" s="182" t="str">
        <f>IFERROR(LOOKUP(2,1/((A_Corridor!$A$5:$A$204&lt;&gt;"")*(A_Corridor!$A$5:$A$204&lt;=$B224)*(A_Corridor!$B$5:$B$204&gt;$B224)*(A_Corridor!$H$5:$H$204&lt;&gt;"")),IF(A_Corridor!$H$5:$H$204="-","",A_Corridor!$H$5:$H$204)),"")</f>
        <v/>
      </c>
      <c r="N224" s="182" t="str">
        <f>IFERROR(LOOKUP(2,1/((A_Corridor!$A$5:$A$204&lt;&gt;"")*(A_Corridor!$A$5:$A$204&lt;=$B224)*(A_Corridor!$B$5:$B$204&gt;$B224)*(A_Corridor!$I$5:$I$204&lt;&gt;"")),IF(A_Corridor!$I$5:$I$204="-","",A_Corridor!$I$5:$I$204)),"")</f>
        <v/>
      </c>
      <c r="O224" s="182" t="str">
        <f>IFERROR(LOOKUP(2,1/((D_Points!$A$5:$A$204&lt;&gt;"")*(D_Points!$A$5:$A$204&gt;=$B224)*(D_Points!$A$5:$A$204&lt;$B224+P_Interval)*(UPPER(TRIM(D_Points!$B$5:$B$204))="PITCHING")*(D_Points!$H$5:$H$204&lt;&gt;"")),D_Points!$H$5:$H$204),"")</f>
        <v/>
      </c>
      <c r="P224" s="181" t="str">
        <f>IFERROR(LOOKUP(2,1/((B_Drainage!$A$5:$A$204&lt;&gt;"")*(B_Drainage!$A$5:$A$204&lt;=$B224)*(B_Drainage!$B$5:$B$204&gt;$B224)*(B_Drainage!$C$5:$C$204&lt;&gt;"")),IF(B_Drainage!$C$5:$C$204="-","",UPPER(B_Drainage!$C$5:$C$204))),"")</f>
        <v/>
      </c>
      <c r="Q224" s="181" t="str">
        <f>IFERROR(LOOKUP(2,1/((B_Drainage!$A$5:$A$204&lt;&gt;"")*(B_Drainage!$A$5:$A$204&lt;=$B224)*(B_Drainage!$B$5:$B$204&gt;$B224)*(B_Drainage!$D$5:$D$204&lt;&gt;"")),IF(B_Drainage!$D$5:$D$204="-","",UPPER(B_Drainage!$D$5:$D$204))),"")</f>
        <v/>
      </c>
      <c r="R224" s="182" t="str">
        <f>IFERROR(LOOKUP(2,1/((D_Points!$A$5:$A$204&lt;&gt;"")*(D_Points!$A$5:$A$204&gt;=$B224)*(D_Points!$A$5:$A$204&lt;$B224+P_Interval)*(RIGHT(UPPER(TRIM(D_Points!$B$5:$B$204)),8)="_CULVERT")),IF(LEFT(UPPER(TRIM(D_Points!$B$5:$B$204)),2)="EX",1,IF(LEFT(UPPER(TRIM(D_Points!$B$5:$B$204)),2)="PR",2,3))),"")</f>
        <v/>
      </c>
      <c r="S224" s="182" t="str">
        <f>IFERROR(LOOKUP(2,1/((D_Points!$A$5:$A$204&lt;&gt;"")*(D_Points!$A$5:$A$204&gt;=$B224)*(D_Points!$A$5:$A$204&lt;$B224+P_Interval)*(RIGHT(UPPER(TRIM(D_Points!$B$5:$B$204)),7)="_BRIDGE")),IF(LEFT(UPPER(TRIM(D_Points!$B$5:$B$204)),2)="EX",1,IF(LEFT(UPPER(TRIM(D_Points!$B$5:$B$204)),2)="PR",2,2))),"")</f>
        <v/>
      </c>
      <c r="T224" s="181" t="str">
        <f>IFERROR(LOOKUP(2,1/((B_Drainage!$A$5:$A$204&lt;&gt;"")*(B_Drainage!$A$5:$A$204&lt;=$B224)*(B_Drainage!$B$5:$B$204&gt;$B224)*(B_Drainage!$E$5:$E$204&lt;&gt;"")),IF(B_Drainage!$E$5:$E$204="-","",1)),"")</f>
        <v/>
      </c>
      <c r="U224" s="181" t="str">
        <f>IFERROR(LOOKUP(2,1/((B_Drainage!$A$5:$A$204&lt;&gt;"")*(B_Drainage!$A$5:$A$204&lt;=$B224)*(B_Drainage!$B$5:$B$204&gt;$B224)*(B_Drainage!$E$5:$E$204&lt;&gt;"")),IF(B_Drainage!$E$5:$E$204="-","",B_Drainage!$E$5:$E$204)),"")</f>
        <v/>
      </c>
      <c r="V224" s="181" t="str">
        <f>IFERROR(LOOKUP(2,1/((B_Drainage!$A$5:$A$204&lt;&gt;"")*(B_Drainage!$A$5:$A$204&lt;=$B224)*(B_Drainage!$B$5:$B$204&gt;$B224)*(B_Drainage!$F$5:$F$204&lt;&gt;"")),IF(B_Drainage!$F$5:$F$204="-","",1)),"")</f>
        <v/>
      </c>
      <c r="W224" s="181" t="str">
        <f>IFERROR(LOOKUP(2,1/((B_Drainage!$A$5:$A$204&lt;&gt;"")*(B_Drainage!$A$5:$A$204&lt;=$B224)*(B_Drainage!$B$5:$B$204&gt;$B224)*(B_Drainage!$F$5:$F$204&lt;&gt;"")),IF(B_Drainage!$F$5:$F$204="-","",B_Drainage!$F$5:$F$204)),"")</f>
        <v/>
      </c>
      <c r="X224" s="181" t="str">
        <f>IFERROR(LOOKUP(2,1/((B_Drainage!$A$5:$A$204&lt;&gt;"")*(B_Drainage!$A$5:$A$204&lt;=$B224)*(B_Drainage!$B$5:$B$204&gt;$B224)*(B_Drainage!$G$5:$G$204&lt;&gt;"")),IF(UPPER(B_Drainage!$G$5:$G$204)="Y",1,"")),"")</f>
        <v/>
      </c>
      <c r="Y224" s="181" t="str">
        <f>IFERROR(LOOKUP(2,1/((B_Drainage!$A$5:$A$204&lt;&gt;"")*(B_Drainage!$A$5:$A$204&lt;=$B224)*(B_Drainage!$B$5:$B$204&gt;$B224)*(B_Drainage!$H$5:$H$204&lt;&gt;"")),IF(UPPER(B_Drainage!$H$5:$H$204)="Y",1,"")),"")</f>
        <v/>
      </c>
      <c r="Z224" s="181" t="str">
        <f>IFERROR(LOOKUP(2,1/((B_Drainage!$A$5:$A$204&lt;&gt;"")*(B_Drainage!$A$5:$A$204&lt;=$B224)*(B_Drainage!$B$5:$B$204&gt;$B224)*(B_Drainage!$I$5:$I$204&lt;&gt;"")),IF(UPPER(B_Drainage!$I$5:$I$204)="Y",1,"")),"")</f>
        <v/>
      </c>
      <c r="AA224" s="181" t="str">
        <f>IFERROR(LOOKUP(2,1/((B_Drainage!$A$5:$A$204&lt;&gt;"")*(B_Drainage!$A$5:$A$204&lt;=$B224)*(B_Drainage!$B$5:$B$204&gt;$B224)*(B_Drainage!$J$5:$J$204&lt;&gt;"")),IF(UPPER(B_Drainage!$J$5:$J$204)="Y",1,"")),"")</f>
        <v/>
      </c>
      <c r="AB224" s="182" t="str">
        <f>IFERROR(LOOKUP(2,1/((B_Drainage!$A$5:$A$204&lt;&gt;"")*(B_Drainage!$A$5:$A$204&lt;=$B224)*(B_Drainage!$B$5:$B$204&gt;$B224)*(B_Drainage!$K$5:$K$204&lt;&gt;"")),IF(B_Drainage!$K$5:$K$204="-","",B_Drainage!$K$5:$K$204)),"")</f>
        <v/>
      </c>
      <c r="AC224" s="182" t="str">
        <f>IFERROR(LOOKUP(2,1/((B_Drainage!$A$5:$A$204&lt;&gt;"")*(B_Drainage!$A$5:$A$204&lt;=$B224)*(B_Drainage!$B$5:$B$204&gt;$B224)*(B_Drainage!$L$5:$L$204&lt;&gt;"")),IF(B_Drainage!$L$5:$L$204="-","",B_Drainage!$L$5:$L$204)),"")</f>
        <v/>
      </c>
      <c r="AD224" s="182" t="str">
        <f>IFERROR(LOOKUP(2,1/((D_Points!$A$5:$A$204&lt;&gt;"")*(D_Points!$A$5:$A$204&gt;=$B224)*(D_Points!$A$5:$A$204&lt;$B224+P_Interval)*(UPPER(TRIM(D_Points!$B$5:$B$204))="TURNOUT_L")*(D_Points!$H$5:$H$204&lt;&gt;"")),D_Points!$H$5:$H$204),"")</f>
        <v/>
      </c>
      <c r="AE224" s="182" t="str">
        <f>IFERROR(LOOKUP(2,1/((D_Points!$A$5:$A$204&lt;&gt;"")*(D_Points!$A$5:$A$204&gt;=$B224)*(D_Points!$A$5:$A$204&lt;$B224+P_Interval)*(UPPER(TRIM(D_Points!$B$5:$B$204))="TURNOUT_R")*(D_Points!$H$5:$H$204&lt;&gt;"")),D_Points!$H$5:$H$204),"")</f>
        <v/>
      </c>
      <c r="AF224" s="181" t="str">
        <f>IFERROR(LOOKUP(2,1/((B_Drainage!$A$5:$A$204&lt;&gt;"")*(B_Drainage!$A$5:$A$204&lt;=$B224)*(B_Drainage!$B$5:$B$204&gt;$B224)*(B_Drainage!$M$5:$M$204&lt;&gt;"")),IF(UPPER(B_Drainage!$M$5:$M$204)="Y",1,"")),"")</f>
        <v/>
      </c>
      <c r="AG224" s="181" t="str">
        <f>IFERROR(LOOKUP(2,1/((B_Drainage!$A$5:$A$204&lt;&gt;"")*(B_Drainage!$A$5:$A$204&lt;=$B224)*(B_Drainage!$B$5:$B$204&gt;$B224)*(B_Drainage!$N$5:$N$204&lt;&gt;"")),IF(UPPER(B_Drainage!$N$5:$N$204)="Y",1,"")),"")</f>
        <v/>
      </c>
      <c r="AH224" s="181" t="str">
        <f t="shared" si="24"/>
        <v/>
      </c>
      <c r="AI224" s="181" t="str">
        <f t="shared" si="25"/>
        <v/>
      </c>
      <c r="AJ224" s="181" t="str">
        <f t="shared" si="26"/>
        <v/>
      </c>
      <c r="AK224" s="181" t="str">
        <f t="shared" si="27"/>
        <v/>
      </c>
      <c r="AL224" s="181" t="str">
        <f t="shared" si="28"/>
        <v/>
      </c>
      <c r="AM224" s="181" t="str">
        <f t="shared" si="29"/>
        <v/>
      </c>
      <c r="AN224" s="181" t="str">
        <f t="shared" si="30"/>
        <v/>
      </c>
      <c r="AO224" s="192" t="str">
        <f t="shared" si="31"/>
        <v/>
      </c>
      <c r="AQ224" t="str">
        <f>IFERROR(LOOKUP(2,1/((C_Pavement!$A$5:$A$204&lt;&gt;"")*(C_Pavement!$A$5:$A$204&lt;=$B224)*(C_Pavement!$B$5:$B$204&gt;$B224)*(C_Pavement!$C$5:$C$204&lt;&gt;"")),ROW(C_Pavement!$C$5:$C$204)-4),"")</f>
        <v/>
      </c>
      <c r="AR224" t="str">
        <f>IF($AQ224="","",UPPER(TRIM(INDEX(C_Pavement!$C$5:$C$204,$AQ224))))</f>
        <v/>
      </c>
      <c r="AS224" t="str">
        <f>IF($AR224="","",IFERROR(MATCH($AR224,E_Rules!$A$5:$A$9,0),""))</f>
        <v/>
      </c>
      <c r="AT224" t="str">
        <f>IF($AQ224="","",IF(INDEX(C_Pavement!$D$5:$D$204,$AQ224)&lt;&gt;"",UPPER(TRIM(INDEX(C_Pavement!$D$5:$D$204,$AQ224))),IF($AS224="","",INDEX(E_Rules!$C$5:$C$9,$AS224))))</f>
        <v/>
      </c>
      <c r="AU224" t="str">
        <f>IF($AQ224="","",IF(INDEX(C_Pavement!$E$5:$E$204,$AQ224)&lt;&gt;"",IF(INDEX(C_Pavement!$E$5:$E$204,$AQ224)="-","",INDEX(C_Pavement!$E$5:$E$204,$AQ224)),IF($AS224="","",INDEX(E_Rules!$D$5:$D$9,$AS224))))</f>
        <v/>
      </c>
      <c r="AV224" t="str">
        <f>IF($AQ224="","",IF(INDEX(C_Pavement!$F$5:$F$204,$AQ224)&lt;&gt;"",IF(INDEX(C_Pavement!$F$5:$F$204,$AQ224)="-","",INDEX(C_Pavement!$F$5:$F$204,$AQ224)),IF($AS224="","",INDEX(E_Rules!$E$5:$E$9,$AS224))))</f>
        <v/>
      </c>
      <c r="AW224" t="str">
        <f>IF($AQ224="","",IF(INDEX(C_Pavement!$G$5:$G$204,$AQ224)&lt;&gt;"",IF(INDEX(C_Pavement!$G$5:$G$204,$AQ224)="-","",INDEX(C_Pavement!$G$5:$G$204,$AQ224)),IF($AS224="","",INDEX(E_Rules!$F$5:$F$9,$AS224))))</f>
        <v/>
      </c>
      <c r="AX224" t="str">
        <f>IF($AQ224="","",IF(INDEX(C_Pavement!$H$5:$H$204,$AQ224)&lt;&gt;"",IF(INDEX(C_Pavement!$H$5:$H$204,$AQ224)="-","",INDEX(C_Pavement!$H$5:$H$204,$AQ224)),IF($AS224="","",INDEX(E_Rules!$G$5:$G$9,$AS224))))</f>
        <v/>
      </c>
      <c r="AY224" t="str">
        <f>IF($AQ224="","",IF(INDEX(C_Pavement!$I$5:$I$204,$AQ224)&lt;&gt;"",IF(INDEX(C_Pavement!$I$5:$I$204,$AQ224)="-","",INDEX(C_Pavement!$I$5:$I$204,$AQ224)),IF($AS224="","",INDEX(E_Rules!$H$5:$H$9,$AS224))))</f>
        <v/>
      </c>
    </row>
    <row r="225" spans="1:51" ht="15.75" customHeight="1" x14ac:dyDescent="0.3">
      <c r="A225" s="189">
        <v>220</v>
      </c>
      <c r="B225" s="180">
        <v>10950</v>
      </c>
      <c r="C225" s="180" t="s">
        <v>531</v>
      </c>
      <c r="D225" s="181" t="str">
        <f>IFERROR(LOOKUP(2,1/((A_Corridor!$A$5:$A$204&lt;&gt;"")*(A_Corridor!$A$5:$A$204&lt;=$B225)*(A_Corridor!$B$5:$B$204&gt;$B225)*(A_Corridor!$C$5:$C$204&lt;&gt;"")),IF(UPPER(A_Corridor!$C$5:$C$204)="Y",1,"")),"")</f>
        <v/>
      </c>
      <c r="E225" s="181" t="str">
        <f>IFERROR(LOOKUP(2,1/((A_Corridor!$A$5:$A$204&lt;&gt;"")*(A_Corridor!$A$5:$A$204&lt;=$B225)*(A_Corridor!$B$5:$B$204&gt;$B225)*(A_Corridor!$D$5:$D$204&lt;&gt;"")),IF(A_Corridor!$D$5:$D$204="-","",UPPER(A_Corridor!$D$5:$D$204))),"")</f>
        <v/>
      </c>
      <c r="F225" s="181" t="str">
        <f>IFERROR(LOOKUP(2,1/((A_Corridor!$A$5:$A$204&lt;&gt;"")*(A_Corridor!$A$5:$A$204&lt;=$B225)*(A_Corridor!$B$5:$B$204&gt;$B225)*(A_Corridor!$E$5:$E$204&lt;&gt;"")),IF(A_Corridor!$E$5:$E$204="-","",1)),"")</f>
        <v/>
      </c>
      <c r="G225" s="182" t="str">
        <f>IFERROR(LOOKUP(2,1/((A_Corridor!$A$5:$A$204&lt;&gt;"")*(A_Corridor!$A$5:$A$204&lt;=$B225)*(A_Corridor!$B$5:$B$204&gt;$B225)*(A_Corridor!$E$5:$E$204&lt;&gt;"")),IF(A_Corridor!$E$5:$E$204="-","",A_Corridor!$E$5:$E$204)),"")</f>
        <v/>
      </c>
      <c r="H225" s="182" t="str">
        <f>IFERROR(LOOKUP(2,1/((D_Points!$A$5:$A$204&lt;&gt;"")*(D_Points!$A$5:$A$204&gt;=$B225)*(D_Points!$A$5:$A$204&lt;$B225+P_Interval)*(UPPER(TRIM(D_Points!$B$5:$B$204))="GULLY")*(D_Points!$H$5:$H$204&lt;&gt;"")),D_Points!$H$5:$H$204),"")</f>
        <v/>
      </c>
      <c r="I225" s="181" t="str">
        <f>IFERROR(LOOKUP(2,1/((A_Corridor!$A$5:$A$204&lt;&gt;"")*(A_Corridor!$A$5:$A$204&lt;=$B225)*(A_Corridor!$B$5:$B$204&gt;$B225)*(A_Corridor!$F$5:$F$204&lt;&gt;"")),IF(A_Corridor!$F$5:$F$204="-","",1)),"")</f>
        <v/>
      </c>
      <c r="J225" s="182" t="str">
        <f>IFERROR(LOOKUP(2,1/((A_Corridor!$A$5:$A$204&lt;&gt;"")*(A_Corridor!$A$5:$A$204&lt;=$B225)*(A_Corridor!$B$5:$B$204&gt;$B225)*(A_Corridor!$F$5:$F$204&lt;&gt;"")),IF(A_Corridor!$F$5:$F$204="-","",A_Corridor!$F$5:$F$204)),"")</f>
        <v/>
      </c>
      <c r="K225" s="182" t="str">
        <f>IFERROR(LOOKUP(2,1/((A_Corridor!$A$5:$A$204&lt;&gt;"")*(A_Corridor!$A$5:$A$204&lt;=$B225)*(A_Corridor!$B$5:$B$204&gt;$B225)*(A_Corridor!$G$5:$G$204&lt;&gt;"")),IF(A_Corridor!$G$5:$G$204="-","",A_Corridor!$G$5:$G$204)),"")</f>
        <v/>
      </c>
      <c r="L225" s="181" t="str">
        <f>IFERROR(LOOKUP(2,1/((A_Corridor!$A$5:$A$204&lt;&gt;"")*(A_Corridor!$A$5:$A$204&lt;=$B225)*(A_Corridor!$B$5:$B$204&gt;$B225)*(A_Corridor!$H$5:$H$204&lt;&gt;"")),IF(A_Corridor!$H$5:$H$204="-","",1)),"")</f>
        <v/>
      </c>
      <c r="M225" s="182" t="str">
        <f>IFERROR(LOOKUP(2,1/((A_Corridor!$A$5:$A$204&lt;&gt;"")*(A_Corridor!$A$5:$A$204&lt;=$B225)*(A_Corridor!$B$5:$B$204&gt;$B225)*(A_Corridor!$H$5:$H$204&lt;&gt;"")),IF(A_Corridor!$H$5:$H$204="-","",A_Corridor!$H$5:$H$204)),"")</f>
        <v/>
      </c>
      <c r="N225" s="182" t="str">
        <f>IFERROR(LOOKUP(2,1/((A_Corridor!$A$5:$A$204&lt;&gt;"")*(A_Corridor!$A$5:$A$204&lt;=$B225)*(A_Corridor!$B$5:$B$204&gt;$B225)*(A_Corridor!$I$5:$I$204&lt;&gt;"")),IF(A_Corridor!$I$5:$I$204="-","",A_Corridor!$I$5:$I$204)),"")</f>
        <v/>
      </c>
      <c r="O225" s="182" t="str">
        <f>IFERROR(LOOKUP(2,1/((D_Points!$A$5:$A$204&lt;&gt;"")*(D_Points!$A$5:$A$204&gt;=$B225)*(D_Points!$A$5:$A$204&lt;$B225+P_Interval)*(UPPER(TRIM(D_Points!$B$5:$B$204))="PITCHING")*(D_Points!$H$5:$H$204&lt;&gt;"")),D_Points!$H$5:$H$204),"")</f>
        <v/>
      </c>
      <c r="P225" s="181" t="str">
        <f>IFERROR(LOOKUP(2,1/((B_Drainage!$A$5:$A$204&lt;&gt;"")*(B_Drainage!$A$5:$A$204&lt;=$B225)*(B_Drainage!$B$5:$B$204&gt;$B225)*(B_Drainage!$C$5:$C$204&lt;&gt;"")),IF(B_Drainage!$C$5:$C$204="-","",UPPER(B_Drainage!$C$5:$C$204))),"")</f>
        <v/>
      </c>
      <c r="Q225" s="181" t="str">
        <f>IFERROR(LOOKUP(2,1/((B_Drainage!$A$5:$A$204&lt;&gt;"")*(B_Drainage!$A$5:$A$204&lt;=$B225)*(B_Drainage!$B$5:$B$204&gt;$B225)*(B_Drainage!$D$5:$D$204&lt;&gt;"")),IF(B_Drainage!$D$5:$D$204="-","",UPPER(B_Drainage!$D$5:$D$204))),"")</f>
        <v/>
      </c>
      <c r="R225" s="182" t="str">
        <f>IFERROR(LOOKUP(2,1/((D_Points!$A$5:$A$204&lt;&gt;"")*(D_Points!$A$5:$A$204&gt;=$B225)*(D_Points!$A$5:$A$204&lt;$B225+P_Interval)*(RIGHT(UPPER(TRIM(D_Points!$B$5:$B$204)),8)="_CULVERT")),IF(LEFT(UPPER(TRIM(D_Points!$B$5:$B$204)),2)="EX",1,IF(LEFT(UPPER(TRIM(D_Points!$B$5:$B$204)),2)="PR",2,3))),"")</f>
        <v/>
      </c>
      <c r="S225" s="182" t="str">
        <f>IFERROR(LOOKUP(2,1/((D_Points!$A$5:$A$204&lt;&gt;"")*(D_Points!$A$5:$A$204&gt;=$B225)*(D_Points!$A$5:$A$204&lt;$B225+P_Interval)*(RIGHT(UPPER(TRIM(D_Points!$B$5:$B$204)),7)="_BRIDGE")),IF(LEFT(UPPER(TRIM(D_Points!$B$5:$B$204)),2)="EX",1,IF(LEFT(UPPER(TRIM(D_Points!$B$5:$B$204)),2)="PR",2,2))),"")</f>
        <v/>
      </c>
      <c r="T225" s="181" t="str">
        <f>IFERROR(LOOKUP(2,1/((B_Drainage!$A$5:$A$204&lt;&gt;"")*(B_Drainage!$A$5:$A$204&lt;=$B225)*(B_Drainage!$B$5:$B$204&gt;$B225)*(B_Drainage!$E$5:$E$204&lt;&gt;"")),IF(B_Drainage!$E$5:$E$204="-","",1)),"")</f>
        <v/>
      </c>
      <c r="U225" s="181" t="str">
        <f>IFERROR(LOOKUP(2,1/((B_Drainage!$A$5:$A$204&lt;&gt;"")*(B_Drainage!$A$5:$A$204&lt;=$B225)*(B_Drainage!$B$5:$B$204&gt;$B225)*(B_Drainage!$E$5:$E$204&lt;&gt;"")),IF(B_Drainage!$E$5:$E$204="-","",B_Drainage!$E$5:$E$204)),"")</f>
        <v/>
      </c>
      <c r="V225" s="181" t="str">
        <f>IFERROR(LOOKUP(2,1/((B_Drainage!$A$5:$A$204&lt;&gt;"")*(B_Drainage!$A$5:$A$204&lt;=$B225)*(B_Drainage!$B$5:$B$204&gt;$B225)*(B_Drainage!$F$5:$F$204&lt;&gt;"")),IF(B_Drainage!$F$5:$F$204="-","",1)),"")</f>
        <v/>
      </c>
      <c r="W225" s="181" t="str">
        <f>IFERROR(LOOKUP(2,1/((B_Drainage!$A$5:$A$204&lt;&gt;"")*(B_Drainage!$A$5:$A$204&lt;=$B225)*(B_Drainage!$B$5:$B$204&gt;$B225)*(B_Drainage!$F$5:$F$204&lt;&gt;"")),IF(B_Drainage!$F$5:$F$204="-","",B_Drainage!$F$5:$F$204)),"")</f>
        <v/>
      </c>
      <c r="X225" s="181" t="str">
        <f>IFERROR(LOOKUP(2,1/((B_Drainage!$A$5:$A$204&lt;&gt;"")*(B_Drainage!$A$5:$A$204&lt;=$B225)*(B_Drainage!$B$5:$B$204&gt;$B225)*(B_Drainage!$G$5:$G$204&lt;&gt;"")),IF(UPPER(B_Drainage!$G$5:$G$204)="Y",1,"")),"")</f>
        <v/>
      </c>
      <c r="Y225" s="181" t="str">
        <f>IFERROR(LOOKUP(2,1/((B_Drainage!$A$5:$A$204&lt;&gt;"")*(B_Drainage!$A$5:$A$204&lt;=$B225)*(B_Drainage!$B$5:$B$204&gt;$B225)*(B_Drainage!$H$5:$H$204&lt;&gt;"")),IF(UPPER(B_Drainage!$H$5:$H$204)="Y",1,"")),"")</f>
        <v/>
      </c>
      <c r="Z225" s="181" t="str">
        <f>IFERROR(LOOKUP(2,1/((B_Drainage!$A$5:$A$204&lt;&gt;"")*(B_Drainage!$A$5:$A$204&lt;=$B225)*(B_Drainage!$B$5:$B$204&gt;$B225)*(B_Drainage!$I$5:$I$204&lt;&gt;"")),IF(UPPER(B_Drainage!$I$5:$I$204)="Y",1,"")),"")</f>
        <v/>
      </c>
      <c r="AA225" s="181" t="str">
        <f>IFERROR(LOOKUP(2,1/((B_Drainage!$A$5:$A$204&lt;&gt;"")*(B_Drainage!$A$5:$A$204&lt;=$B225)*(B_Drainage!$B$5:$B$204&gt;$B225)*(B_Drainage!$J$5:$J$204&lt;&gt;"")),IF(UPPER(B_Drainage!$J$5:$J$204)="Y",1,"")),"")</f>
        <v/>
      </c>
      <c r="AB225" s="182" t="str">
        <f>IFERROR(LOOKUP(2,1/((B_Drainage!$A$5:$A$204&lt;&gt;"")*(B_Drainage!$A$5:$A$204&lt;=$B225)*(B_Drainage!$B$5:$B$204&gt;$B225)*(B_Drainage!$K$5:$K$204&lt;&gt;"")),IF(B_Drainage!$K$5:$K$204="-","",B_Drainage!$K$5:$K$204)),"")</f>
        <v/>
      </c>
      <c r="AC225" s="182" t="str">
        <f>IFERROR(LOOKUP(2,1/((B_Drainage!$A$5:$A$204&lt;&gt;"")*(B_Drainage!$A$5:$A$204&lt;=$B225)*(B_Drainage!$B$5:$B$204&gt;$B225)*(B_Drainage!$L$5:$L$204&lt;&gt;"")),IF(B_Drainage!$L$5:$L$204="-","",B_Drainage!$L$5:$L$204)),"")</f>
        <v/>
      </c>
      <c r="AD225" s="182" t="str">
        <f>IFERROR(LOOKUP(2,1/((D_Points!$A$5:$A$204&lt;&gt;"")*(D_Points!$A$5:$A$204&gt;=$B225)*(D_Points!$A$5:$A$204&lt;$B225+P_Interval)*(UPPER(TRIM(D_Points!$B$5:$B$204))="TURNOUT_L")*(D_Points!$H$5:$H$204&lt;&gt;"")),D_Points!$H$5:$H$204),"")</f>
        <v/>
      </c>
      <c r="AE225" s="182" t="str">
        <f>IFERROR(LOOKUP(2,1/((D_Points!$A$5:$A$204&lt;&gt;"")*(D_Points!$A$5:$A$204&gt;=$B225)*(D_Points!$A$5:$A$204&lt;$B225+P_Interval)*(UPPER(TRIM(D_Points!$B$5:$B$204))="TURNOUT_R")*(D_Points!$H$5:$H$204&lt;&gt;"")),D_Points!$H$5:$H$204),"")</f>
        <v/>
      </c>
      <c r="AF225" s="181" t="str">
        <f>IFERROR(LOOKUP(2,1/((B_Drainage!$A$5:$A$204&lt;&gt;"")*(B_Drainage!$A$5:$A$204&lt;=$B225)*(B_Drainage!$B$5:$B$204&gt;$B225)*(B_Drainage!$M$5:$M$204&lt;&gt;"")),IF(UPPER(B_Drainage!$M$5:$M$204)="Y",1,"")),"")</f>
        <v/>
      </c>
      <c r="AG225" s="181" t="str">
        <f>IFERROR(LOOKUP(2,1/((B_Drainage!$A$5:$A$204&lt;&gt;"")*(B_Drainage!$A$5:$A$204&lt;=$B225)*(B_Drainage!$B$5:$B$204&gt;$B225)*(B_Drainage!$N$5:$N$204&lt;&gt;"")),IF(UPPER(B_Drainage!$N$5:$N$204)="Y",1,"")),"")</f>
        <v/>
      </c>
      <c r="AH225" s="181" t="str">
        <f t="shared" si="24"/>
        <v/>
      </c>
      <c r="AI225" s="181" t="str">
        <f t="shared" si="25"/>
        <v/>
      </c>
      <c r="AJ225" s="181" t="str">
        <f t="shared" si="26"/>
        <v/>
      </c>
      <c r="AK225" s="181" t="str">
        <f t="shared" si="27"/>
        <v/>
      </c>
      <c r="AL225" s="181" t="str">
        <f t="shared" si="28"/>
        <v/>
      </c>
      <c r="AM225" s="181" t="str">
        <f t="shared" si="29"/>
        <v/>
      </c>
      <c r="AN225" s="181" t="str">
        <f t="shared" si="30"/>
        <v/>
      </c>
      <c r="AO225" s="192" t="str">
        <f t="shared" si="31"/>
        <v/>
      </c>
      <c r="AQ225" t="str">
        <f>IFERROR(LOOKUP(2,1/((C_Pavement!$A$5:$A$204&lt;&gt;"")*(C_Pavement!$A$5:$A$204&lt;=$B225)*(C_Pavement!$B$5:$B$204&gt;$B225)*(C_Pavement!$C$5:$C$204&lt;&gt;"")),ROW(C_Pavement!$C$5:$C$204)-4),"")</f>
        <v/>
      </c>
      <c r="AR225" t="str">
        <f>IF($AQ225="","",UPPER(TRIM(INDEX(C_Pavement!$C$5:$C$204,$AQ225))))</f>
        <v/>
      </c>
      <c r="AS225" t="str">
        <f>IF($AR225="","",IFERROR(MATCH($AR225,E_Rules!$A$5:$A$9,0),""))</f>
        <v/>
      </c>
      <c r="AT225" t="str">
        <f>IF($AQ225="","",IF(INDEX(C_Pavement!$D$5:$D$204,$AQ225)&lt;&gt;"",UPPER(TRIM(INDEX(C_Pavement!$D$5:$D$204,$AQ225))),IF($AS225="","",INDEX(E_Rules!$C$5:$C$9,$AS225))))</f>
        <v/>
      </c>
      <c r="AU225" t="str">
        <f>IF($AQ225="","",IF(INDEX(C_Pavement!$E$5:$E$204,$AQ225)&lt;&gt;"",IF(INDEX(C_Pavement!$E$5:$E$204,$AQ225)="-","",INDEX(C_Pavement!$E$5:$E$204,$AQ225)),IF($AS225="","",INDEX(E_Rules!$D$5:$D$9,$AS225))))</f>
        <v/>
      </c>
      <c r="AV225" t="str">
        <f>IF($AQ225="","",IF(INDEX(C_Pavement!$F$5:$F$204,$AQ225)&lt;&gt;"",IF(INDEX(C_Pavement!$F$5:$F$204,$AQ225)="-","",INDEX(C_Pavement!$F$5:$F$204,$AQ225)),IF($AS225="","",INDEX(E_Rules!$E$5:$E$9,$AS225))))</f>
        <v/>
      </c>
      <c r="AW225" t="str">
        <f>IF($AQ225="","",IF(INDEX(C_Pavement!$G$5:$G$204,$AQ225)&lt;&gt;"",IF(INDEX(C_Pavement!$G$5:$G$204,$AQ225)="-","",INDEX(C_Pavement!$G$5:$G$204,$AQ225)),IF($AS225="","",INDEX(E_Rules!$F$5:$F$9,$AS225))))</f>
        <v/>
      </c>
      <c r="AX225" t="str">
        <f>IF($AQ225="","",IF(INDEX(C_Pavement!$H$5:$H$204,$AQ225)&lt;&gt;"",IF(INDEX(C_Pavement!$H$5:$H$204,$AQ225)="-","",INDEX(C_Pavement!$H$5:$H$204,$AQ225)),IF($AS225="","",INDEX(E_Rules!$G$5:$G$9,$AS225))))</f>
        <v/>
      </c>
      <c r="AY225" t="str">
        <f>IF($AQ225="","",IF(INDEX(C_Pavement!$I$5:$I$204,$AQ225)&lt;&gt;"",IF(INDEX(C_Pavement!$I$5:$I$204,$AQ225)="-","",INDEX(C_Pavement!$I$5:$I$204,$AQ225)),IF($AS225="","",INDEX(E_Rules!$H$5:$H$9,$AS225))))</f>
        <v/>
      </c>
    </row>
    <row r="226" spans="1:51" ht="15.75" customHeight="1" x14ac:dyDescent="0.3">
      <c r="A226" s="189">
        <v>221</v>
      </c>
      <c r="B226" s="180">
        <v>11000</v>
      </c>
      <c r="C226" s="180" t="s">
        <v>532</v>
      </c>
      <c r="D226" s="181" t="str">
        <f>IFERROR(LOOKUP(2,1/((A_Corridor!$A$5:$A$204&lt;&gt;"")*(A_Corridor!$A$5:$A$204&lt;=$B226)*(A_Corridor!$B$5:$B$204&gt;$B226)*(A_Corridor!$C$5:$C$204&lt;&gt;"")),IF(UPPER(A_Corridor!$C$5:$C$204)="Y",1,"")),"")</f>
        <v/>
      </c>
      <c r="E226" s="181" t="str">
        <f>IFERROR(LOOKUP(2,1/((A_Corridor!$A$5:$A$204&lt;&gt;"")*(A_Corridor!$A$5:$A$204&lt;=$B226)*(A_Corridor!$B$5:$B$204&gt;$B226)*(A_Corridor!$D$5:$D$204&lt;&gt;"")),IF(A_Corridor!$D$5:$D$204="-","",UPPER(A_Corridor!$D$5:$D$204))),"")</f>
        <v/>
      </c>
      <c r="F226" s="181" t="str">
        <f>IFERROR(LOOKUP(2,1/((A_Corridor!$A$5:$A$204&lt;&gt;"")*(A_Corridor!$A$5:$A$204&lt;=$B226)*(A_Corridor!$B$5:$B$204&gt;$B226)*(A_Corridor!$E$5:$E$204&lt;&gt;"")),IF(A_Corridor!$E$5:$E$204="-","",1)),"")</f>
        <v/>
      </c>
      <c r="G226" s="182" t="str">
        <f>IFERROR(LOOKUP(2,1/((A_Corridor!$A$5:$A$204&lt;&gt;"")*(A_Corridor!$A$5:$A$204&lt;=$B226)*(A_Corridor!$B$5:$B$204&gt;$B226)*(A_Corridor!$E$5:$E$204&lt;&gt;"")),IF(A_Corridor!$E$5:$E$204="-","",A_Corridor!$E$5:$E$204)),"")</f>
        <v/>
      </c>
      <c r="H226" s="182" t="str">
        <f>IFERROR(LOOKUP(2,1/((D_Points!$A$5:$A$204&lt;&gt;"")*(D_Points!$A$5:$A$204&gt;=$B226)*(D_Points!$A$5:$A$204&lt;$B226+P_Interval)*(UPPER(TRIM(D_Points!$B$5:$B$204))="GULLY")*(D_Points!$H$5:$H$204&lt;&gt;"")),D_Points!$H$5:$H$204),"")</f>
        <v/>
      </c>
      <c r="I226" s="181" t="str">
        <f>IFERROR(LOOKUP(2,1/((A_Corridor!$A$5:$A$204&lt;&gt;"")*(A_Corridor!$A$5:$A$204&lt;=$B226)*(A_Corridor!$B$5:$B$204&gt;$B226)*(A_Corridor!$F$5:$F$204&lt;&gt;"")),IF(A_Corridor!$F$5:$F$204="-","",1)),"")</f>
        <v/>
      </c>
      <c r="J226" s="182" t="str">
        <f>IFERROR(LOOKUP(2,1/((A_Corridor!$A$5:$A$204&lt;&gt;"")*(A_Corridor!$A$5:$A$204&lt;=$B226)*(A_Corridor!$B$5:$B$204&gt;$B226)*(A_Corridor!$F$5:$F$204&lt;&gt;"")),IF(A_Corridor!$F$5:$F$204="-","",A_Corridor!$F$5:$F$204)),"")</f>
        <v/>
      </c>
      <c r="K226" s="182" t="str">
        <f>IFERROR(LOOKUP(2,1/((A_Corridor!$A$5:$A$204&lt;&gt;"")*(A_Corridor!$A$5:$A$204&lt;=$B226)*(A_Corridor!$B$5:$B$204&gt;$B226)*(A_Corridor!$G$5:$G$204&lt;&gt;"")),IF(A_Corridor!$G$5:$G$204="-","",A_Corridor!$G$5:$G$204)),"")</f>
        <v/>
      </c>
      <c r="L226" s="181" t="str">
        <f>IFERROR(LOOKUP(2,1/((A_Corridor!$A$5:$A$204&lt;&gt;"")*(A_Corridor!$A$5:$A$204&lt;=$B226)*(A_Corridor!$B$5:$B$204&gt;$B226)*(A_Corridor!$H$5:$H$204&lt;&gt;"")),IF(A_Corridor!$H$5:$H$204="-","",1)),"")</f>
        <v/>
      </c>
      <c r="M226" s="182" t="str">
        <f>IFERROR(LOOKUP(2,1/((A_Corridor!$A$5:$A$204&lt;&gt;"")*(A_Corridor!$A$5:$A$204&lt;=$B226)*(A_Corridor!$B$5:$B$204&gt;$B226)*(A_Corridor!$H$5:$H$204&lt;&gt;"")),IF(A_Corridor!$H$5:$H$204="-","",A_Corridor!$H$5:$H$204)),"")</f>
        <v/>
      </c>
      <c r="N226" s="182" t="str">
        <f>IFERROR(LOOKUP(2,1/((A_Corridor!$A$5:$A$204&lt;&gt;"")*(A_Corridor!$A$5:$A$204&lt;=$B226)*(A_Corridor!$B$5:$B$204&gt;$B226)*(A_Corridor!$I$5:$I$204&lt;&gt;"")),IF(A_Corridor!$I$5:$I$204="-","",A_Corridor!$I$5:$I$204)),"")</f>
        <v/>
      </c>
      <c r="O226" s="182" t="str">
        <f>IFERROR(LOOKUP(2,1/((D_Points!$A$5:$A$204&lt;&gt;"")*(D_Points!$A$5:$A$204&gt;=$B226)*(D_Points!$A$5:$A$204&lt;$B226+P_Interval)*(UPPER(TRIM(D_Points!$B$5:$B$204))="PITCHING")*(D_Points!$H$5:$H$204&lt;&gt;"")),D_Points!$H$5:$H$204),"")</f>
        <v/>
      </c>
      <c r="P226" s="181" t="str">
        <f>IFERROR(LOOKUP(2,1/((B_Drainage!$A$5:$A$204&lt;&gt;"")*(B_Drainage!$A$5:$A$204&lt;=$B226)*(B_Drainage!$B$5:$B$204&gt;$B226)*(B_Drainage!$C$5:$C$204&lt;&gt;"")),IF(B_Drainage!$C$5:$C$204="-","",UPPER(B_Drainage!$C$5:$C$204))),"")</f>
        <v/>
      </c>
      <c r="Q226" s="181" t="str">
        <f>IFERROR(LOOKUP(2,1/((B_Drainage!$A$5:$A$204&lt;&gt;"")*(B_Drainage!$A$5:$A$204&lt;=$B226)*(B_Drainage!$B$5:$B$204&gt;$B226)*(B_Drainage!$D$5:$D$204&lt;&gt;"")),IF(B_Drainage!$D$5:$D$204="-","",UPPER(B_Drainage!$D$5:$D$204))),"")</f>
        <v/>
      </c>
      <c r="R226" s="182" t="str">
        <f>IFERROR(LOOKUP(2,1/((D_Points!$A$5:$A$204&lt;&gt;"")*(D_Points!$A$5:$A$204&gt;=$B226)*(D_Points!$A$5:$A$204&lt;$B226+P_Interval)*(RIGHT(UPPER(TRIM(D_Points!$B$5:$B$204)),8)="_CULVERT")),IF(LEFT(UPPER(TRIM(D_Points!$B$5:$B$204)),2)="EX",1,IF(LEFT(UPPER(TRIM(D_Points!$B$5:$B$204)),2)="PR",2,3))),"")</f>
        <v/>
      </c>
      <c r="S226" s="182" t="str">
        <f>IFERROR(LOOKUP(2,1/((D_Points!$A$5:$A$204&lt;&gt;"")*(D_Points!$A$5:$A$204&gt;=$B226)*(D_Points!$A$5:$A$204&lt;$B226+P_Interval)*(RIGHT(UPPER(TRIM(D_Points!$B$5:$B$204)),7)="_BRIDGE")),IF(LEFT(UPPER(TRIM(D_Points!$B$5:$B$204)),2)="EX",1,IF(LEFT(UPPER(TRIM(D_Points!$B$5:$B$204)),2)="PR",2,2))),"")</f>
        <v/>
      </c>
      <c r="T226" s="181" t="str">
        <f>IFERROR(LOOKUP(2,1/((B_Drainage!$A$5:$A$204&lt;&gt;"")*(B_Drainage!$A$5:$A$204&lt;=$B226)*(B_Drainage!$B$5:$B$204&gt;$B226)*(B_Drainage!$E$5:$E$204&lt;&gt;"")),IF(B_Drainage!$E$5:$E$204="-","",1)),"")</f>
        <v/>
      </c>
      <c r="U226" s="181" t="str">
        <f>IFERROR(LOOKUP(2,1/((B_Drainage!$A$5:$A$204&lt;&gt;"")*(B_Drainage!$A$5:$A$204&lt;=$B226)*(B_Drainage!$B$5:$B$204&gt;$B226)*(B_Drainage!$E$5:$E$204&lt;&gt;"")),IF(B_Drainage!$E$5:$E$204="-","",B_Drainage!$E$5:$E$204)),"")</f>
        <v/>
      </c>
      <c r="V226" s="181" t="str">
        <f>IFERROR(LOOKUP(2,1/((B_Drainage!$A$5:$A$204&lt;&gt;"")*(B_Drainage!$A$5:$A$204&lt;=$B226)*(B_Drainage!$B$5:$B$204&gt;$B226)*(B_Drainage!$F$5:$F$204&lt;&gt;"")),IF(B_Drainage!$F$5:$F$204="-","",1)),"")</f>
        <v/>
      </c>
      <c r="W226" s="181" t="str">
        <f>IFERROR(LOOKUP(2,1/((B_Drainage!$A$5:$A$204&lt;&gt;"")*(B_Drainage!$A$5:$A$204&lt;=$B226)*(B_Drainage!$B$5:$B$204&gt;$B226)*(B_Drainage!$F$5:$F$204&lt;&gt;"")),IF(B_Drainage!$F$5:$F$204="-","",B_Drainage!$F$5:$F$204)),"")</f>
        <v/>
      </c>
      <c r="X226" s="181" t="str">
        <f>IFERROR(LOOKUP(2,1/((B_Drainage!$A$5:$A$204&lt;&gt;"")*(B_Drainage!$A$5:$A$204&lt;=$B226)*(B_Drainage!$B$5:$B$204&gt;$B226)*(B_Drainage!$G$5:$G$204&lt;&gt;"")),IF(UPPER(B_Drainage!$G$5:$G$204)="Y",1,"")),"")</f>
        <v/>
      </c>
      <c r="Y226" s="181" t="str">
        <f>IFERROR(LOOKUP(2,1/((B_Drainage!$A$5:$A$204&lt;&gt;"")*(B_Drainage!$A$5:$A$204&lt;=$B226)*(B_Drainage!$B$5:$B$204&gt;$B226)*(B_Drainage!$H$5:$H$204&lt;&gt;"")),IF(UPPER(B_Drainage!$H$5:$H$204)="Y",1,"")),"")</f>
        <v/>
      </c>
      <c r="Z226" s="181" t="str">
        <f>IFERROR(LOOKUP(2,1/((B_Drainage!$A$5:$A$204&lt;&gt;"")*(B_Drainage!$A$5:$A$204&lt;=$B226)*(B_Drainage!$B$5:$B$204&gt;$B226)*(B_Drainage!$I$5:$I$204&lt;&gt;"")),IF(UPPER(B_Drainage!$I$5:$I$204)="Y",1,"")),"")</f>
        <v/>
      </c>
      <c r="AA226" s="181" t="str">
        <f>IFERROR(LOOKUP(2,1/((B_Drainage!$A$5:$A$204&lt;&gt;"")*(B_Drainage!$A$5:$A$204&lt;=$B226)*(B_Drainage!$B$5:$B$204&gt;$B226)*(B_Drainage!$J$5:$J$204&lt;&gt;"")),IF(UPPER(B_Drainage!$J$5:$J$204)="Y",1,"")),"")</f>
        <v/>
      </c>
      <c r="AB226" s="182" t="str">
        <f>IFERROR(LOOKUP(2,1/((B_Drainage!$A$5:$A$204&lt;&gt;"")*(B_Drainage!$A$5:$A$204&lt;=$B226)*(B_Drainage!$B$5:$B$204&gt;$B226)*(B_Drainage!$K$5:$K$204&lt;&gt;"")),IF(B_Drainage!$K$5:$K$204="-","",B_Drainage!$K$5:$K$204)),"")</f>
        <v/>
      </c>
      <c r="AC226" s="182" t="str">
        <f>IFERROR(LOOKUP(2,1/((B_Drainage!$A$5:$A$204&lt;&gt;"")*(B_Drainage!$A$5:$A$204&lt;=$B226)*(B_Drainage!$B$5:$B$204&gt;$B226)*(B_Drainage!$L$5:$L$204&lt;&gt;"")),IF(B_Drainage!$L$5:$L$204="-","",B_Drainage!$L$5:$L$204)),"")</f>
        <v/>
      </c>
      <c r="AD226" s="182" t="str">
        <f>IFERROR(LOOKUP(2,1/((D_Points!$A$5:$A$204&lt;&gt;"")*(D_Points!$A$5:$A$204&gt;=$B226)*(D_Points!$A$5:$A$204&lt;$B226+P_Interval)*(UPPER(TRIM(D_Points!$B$5:$B$204))="TURNOUT_L")*(D_Points!$H$5:$H$204&lt;&gt;"")),D_Points!$H$5:$H$204),"")</f>
        <v/>
      </c>
      <c r="AE226" s="182" t="str">
        <f>IFERROR(LOOKUP(2,1/((D_Points!$A$5:$A$204&lt;&gt;"")*(D_Points!$A$5:$A$204&gt;=$B226)*(D_Points!$A$5:$A$204&lt;$B226+P_Interval)*(UPPER(TRIM(D_Points!$B$5:$B$204))="TURNOUT_R")*(D_Points!$H$5:$H$204&lt;&gt;"")),D_Points!$H$5:$H$204),"")</f>
        <v/>
      </c>
      <c r="AF226" s="181" t="str">
        <f>IFERROR(LOOKUP(2,1/((B_Drainage!$A$5:$A$204&lt;&gt;"")*(B_Drainage!$A$5:$A$204&lt;=$B226)*(B_Drainage!$B$5:$B$204&gt;$B226)*(B_Drainage!$M$5:$M$204&lt;&gt;"")),IF(UPPER(B_Drainage!$M$5:$M$204)="Y",1,"")),"")</f>
        <v/>
      </c>
      <c r="AG226" s="181" t="str">
        <f>IFERROR(LOOKUP(2,1/((B_Drainage!$A$5:$A$204&lt;&gt;"")*(B_Drainage!$A$5:$A$204&lt;=$B226)*(B_Drainage!$B$5:$B$204&gt;$B226)*(B_Drainage!$N$5:$N$204&lt;&gt;"")),IF(UPPER(B_Drainage!$N$5:$N$204)="Y",1,"")),"")</f>
        <v/>
      </c>
      <c r="AH226" s="181" t="str">
        <f t="shared" si="24"/>
        <v/>
      </c>
      <c r="AI226" s="181" t="str">
        <f t="shared" si="25"/>
        <v/>
      </c>
      <c r="AJ226" s="181" t="str">
        <f t="shared" si="26"/>
        <v/>
      </c>
      <c r="AK226" s="181" t="str">
        <f t="shared" si="27"/>
        <v/>
      </c>
      <c r="AL226" s="181" t="str">
        <f t="shared" si="28"/>
        <v/>
      </c>
      <c r="AM226" s="181" t="str">
        <f t="shared" si="29"/>
        <v/>
      </c>
      <c r="AN226" s="181" t="str">
        <f t="shared" si="30"/>
        <v/>
      </c>
      <c r="AO226" s="192" t="str">
        <f t="shared" si="31"/>
        <v/>
      </c>
      <c r="AQ226" t="str">
        <f>IFERROR(LOOKUP(2,1/((C_Pavement!$A$5:$A$204&lt;&gt;"")*(C_Pavement!$A$5:$A$204&lt;=$B226)*(C_Pavement!$B$5:$B$204&gt;$B226)*(C_Pavement!$C$5:$C$204&lt;&gt;"")),ROW(C_Pavement!$C$5:$C$204)-4),"")</f>
        <v/>
      </c>
      <c r="AR226" t="str">
        <f>IF($AQ226="","",UPPER(TRIM(INDEX(C_Pavement!$C$5:$C$204,$AQ226))))</f>
        <v/>
      </c>
      <c r="AS226" t="str">
        <f>IF($AR226="","",IFERROR(MATCH($AR226,E_Rules!$A$5:$A$9,0),""))</f>
        <v/>
      </c>
      <c r="AT226" t="str">
        <f>IF($AQ226="","",IF(INDEX(C_Pavement!$D$5:$D$204,$AQ226)&lt;&gt;"",UPPER(TRIM(INDEX(C_Pavement!$D$5:$D$204,$AQ226))),IF($AS226="","",INDEX(E_Rules!$C$5:$C$9,$AS226))))</f>
        <v/>
      </c>
      <c r="AU226" t="str">
        <f>IF($AQ226="","",IF(INDEX(C_Pavement!$E$5:$E$204,$AQ226)&lt;&gt;"",IF(INDEX(C_Pavement!$E$5:$E$204,$AQ226)="-","",INDEX(C_Pavement!$E$5:$E$204,$AQ226)),IF($AS226="","",INDEX(E_Rules!$D$5:$D$9,$AS226))))</f>
        <v/>
      </c>
      <c r="AV226" t="str">
        <f>IF($AQ226="","",IF(INDEX(C_Pavement!$F$5:$F$204,$AQ226)&lt;&gt;"",IF(INDEX(C_Pavement!$F$5:$F$204,$AQ226)="-","",INDEX(C_Pavement!$F$5:$F$204,$AQ226)),IF($AS226="","",INDEX(E_Rules!$E$5:$E$9,$AS226))))</f>
        <v/>
      </c>
      <c r="AW226" t="str">
        <f>IF($AQ226="","",IF(INDEX(C_Pavement!$G$5:$G$204,$AQ226)&lt;&gt;"",IF(INDEX(C_Pavement!$G$5:$G$204,$AQ226)="-","",INDEX(C_Pavement!$G$5:$G$204,$AQ226)),IF($AS226="","",INDEX(E_Rules!$F$5:$F$9,$AS226))))</f>
        <v/>
      </c>
      <c r="AX226" t="str">
        <f>IF($AQ226="","",IF(INDEX(C_Pavement!$H$5:$H$204,$AQ226)&lt;&gt;"",IF(INDEX(C_Pavement!$H$5:$H$204,$AQ226)="-","",INDEX(C_Pavement!$H$5:$H$204,$AQ226)),IF($AS226="","",INDEX(E_Rules!$G$5:$G$9,$AS226))))</f>
        <v/>
      </c>
      <c r="AY226" t="str">
        <f>IF($AQ226="","",IF(INDEX(C_Pavement!$I$5:$I$204,$AQ226)&lt;&gt;"",IF(INDEX(C_Pavement!$I$5:$I$204,$AQ226)="-","",INDEX(C_Pavement!$I$5:$I$204,$AQ226)),IF($AS226="","",INDEX(E_Rules!$H$5:$H$9,$AS226))))</f>
        <v/>
      </c>
    </row>
    <row r="227" spans="1:51" ht="15.75" customHeight="1" x14ac:dyDescent="0.3">
      <c r="A227" s="189">
        <v>222</v>
      </c>
      <c r="B227" s="180">
        <v>11050</v>
      </c>
      <c r="C227" s="180" t="s">
        <v>533</v>
      </c>
      <c r="D227" s="181" t="str">
        <f>IFERROR(LOOKUP(2,1/((A_Corridor!$A$5:$A$204&lt;&gt;"")*(A_Corridor!$A$5:$A$204&lt;=$B227)*(A_Corridor!$B$5:$B$204&gt;$B227)*(A_Corridor!$C$5:$C$204&lt;&gt;"")),IF(UPPER(A_Corridor!$C$5:$C$204)="Y",1,"")),"")</f>
        <v/>
      </c>
      <c r="E227" s="181" t="str">
        <f>IFERROR(LOOKUP(2,1/((A_Corridor!$A$5:$A$204&lt;&gt;"")*(A_Corridor!$A$5:$A$204&lt;=$B227)*(A_Corridor!$B$5:$B$204&gt;$B227)*(A_Corridor!$D$5:$D$204&lt;&gt;"")),IF(A_Corridor!$D$5:$D$204="-","",UPPER(A_Corridor!$D$5:$D$204))),"")</f>
        <v/>
      </c>
      <c r="F227" s="181" t="str">
        <f>IFERROR(LOOKUP(2,1/((A_Corridor!$A$5:$A$204&lt;&gt;"")*(A_Corridor!$A$5:$A$204&lt;=$B227)*(A_Corridor!$B$5:$B$204&gt;$B227)*(A_Corridor!$E$5:$E$204&lt;&gt;"")),IF(A_Corridor!$E$5:$E$204="-","",1)),"")</f>
        <v/>
      </c>
      <c r="G227" s="182" t="str">
        <f>IFERROR(LOOKUP(2,1/((A_Corridor!$A$5:$A$204&lt;&gt;"")*(A_Corridor!$A$5:$A$204&lt;=$B227)*(A_Corridor!$B$5:$B$204&gt;$B227)*(A_Corridor!$E$5:$E$204&lt;&gt;"")),IF(A_Corridor!$E$5:$E$204="-","",A_Corridor!$E$5:$E$204)),"")</f>
        <v/>
      </c>
      <c r="H227" s="182" t="str">
        <f>IFERROR(LOOKUP(2,1/((D_Points!$A$5:$A$204&lt;&gt;"")*(D_Points!$A$5:$A$204&gt;=$B227)*(D_Points!$A$5:$A$204&lt;$B227+P_Interval)*(UPPER(TRIM(D_Points!$B$5:$B$204))="GULLY")*(D_Points!$H$5:$H$204&lt;&gt;"")),D_Points!$H$5:$H$204),"")</f>
        <v/>
      </c>
      <c r="I227" s="181" t="str">
        <f>IFERROR(LOOKUP(2,1/((A_Corridor!$A$5:$A$204&lt;&gt;"")*(A_Corridor!$A$5:$A$204&lt;=$B227)*(A_Corridor!$B$5:$B$204&gt;$B227)*(A_Corridor!$F$5:$F$204&lt;&gt;"")),IF(A_Corridor!$F$5:$F$204="-","",1)),"")</f>
        <v/>
      </c>
      <c r="J227" s="182" t="str">
        <f>IFERROR(LOOKUP(2,1/((A_Corridor!$A$5:$A$204&lt;&gt;"")*(A_Corridor!$A$5:$A$204&lt;=$B227)*(A_Corridor!$B$5:$B$204&gt;$B227)*(A_Corridor!$F$5:$F$204&lt;&gt;"")),IF(A_Corridor!$F$5:$F$204="-","",A_Corridor!$F$5:$F$204)),"")</f>
        <v/>
      </c>
      <c r="K227" s="182" t="str">
        <f>IFERROR(LOOKUP(2,1/((A_Corridor!$A$5:$A$204&lt;&gt;"")*(A_Corridor!$A$5:$A$204&lt;=$B227)*(A_Corridor!$B$5:$B$204&gt;$B227)*(A_Corridor!$G$5:$G$204&lt;&gt;"")),IF(A_Corridor!$G$5:$G$204="-","",A_Corridor!$G$5:$G$204)),"")</f>
        <v/>
      </c>
      <c r="L227" s="181" t="str">
        <f>IFERROR(LOOKUP(2,1/((A_Corridor!$A$5:$A$204&lt;&gt;"")*(A_Corridor!$A$5:$A$204&lt;=$B227)*(A_Corridor!$B$5:$B$204&gt;$B227)*(A_Corridor!$H$5:$H$204&lt;&gt;"")),IF(A_Corridor!$H$5:$H$204="-","",1)),"")</f>
        <v/>
      </c>
      <c r="M227" s="182" t="str">
        <f>IFERROR(LOOKUP(2,1/((A_Corridor!$A$5:$A$204&lt;&gt;"")*(A_Corridor!$A$5:$A$204&lt;=$B227)*(A_Corridor!$B$5:$B$204&gt;$B227)*(A_Corridor!$H$5:$H$204&lt;&gt;"")),IF(A_Corridor!$H$5:$H$204="-","",A_Corridor!$H$5:$H$204)),"")</f>
        <v/>
      </c>
      <c r="N227" s="182" t="str">
        <f>IFERROR(LOOKUP(2,1/((A_Corridor!$A$5:$A$204&lt;&gt;"")*(A_Corridor!$A$5:$A$204&lt;=$B227)*(A_Corridor!$B$5:$B$204&gt;$B227)*(A_Corridor!$I$5:$I$204&lt;&gt;"")),IF(A_Corridor!$I$5:$I$204="-","",A_Corridor!$I$5:$I$204)),"")</f>
        <v/>
      </c>
      <c r="O227" s="182" t="str">
        <f>IFERROR(LOOKUP(2,1/((D_Points!$A$5:$A$204&lt;&gt;"")*(D_Points!$A$5:$A$204&gt;=$B227)*(D_Points!$A$5:$A$204&lt;$B227+P_Interval)*(UPPER(TRIM(D_Points!$B$5:$B$204))="PITCHING")*(D_Points!$H$5:$H$204&lt;&gt;"")),D_Points!$H$5:$H$204),"")</f>
        <v/>
      </c>
      <c r="P227" s="181" t="str">
        <f>IFERROR(LOOKUP(2,1/((B_Drainage!$A$5:$A$204&lt;&gt;"")*(B_Drainage!$A$5:$A$204&lt;=$B227)*(B_Drainage!$B$5:$B$204&gt;$B227)*(B_Drainage!$C$5:$C$204&lt;&gt;"")),IF(B_Drainage!$C$5:$C$204="-","",UPPER(B_Drainage!$C$5:$C$204))),"")</f>
        <v/>
      </c>
      <c r="Q227" s="181" t="str">
        <f>IFERROR(LOOKUP(2,1/((B_Drainage!$A$5:$A$204&lt;&gt;"")*(B_Drainage!$A$5:$A$204&lt;=$B227)*(B_Drainage!$B$5:$B$204&gt;$B227)*(B_Drainage!$D$5:$D$204&lt;&gt;"")),IF(B_Drainage!$D$5:$D$204="-","",UPPER(B_Drainage!$D$5:$D$204))),"")</f>
        <v/>
      </c>
      <c r="R227" s="182" t="str">
        <f>IFERROR(LOOKUP(2,1/((D_Points!$A$5:$A$204&lt;&gt;"")*(D_Points!$A$5:$A$204&gt;=$B227)*(D_Points!$A$5:$A$204&lt;$B227+P_Interval)*(RIGHT(UPPER(TRIM(D_Points!$B$5:$B$204)),8)="_CULVERT")),IF(LEFT(UPPER(TRIM(D_Points!$B$5:$B$204)),2)="EX",1,IF(LEFT(UPPER(TRIM(D_Points!$B$5:$B$204)),2)="PR",2,3))),"")</f>
        <v/>
      </c>
      <c r="S227" s="182" t="str">
        <f>IFERROR(LOOKUP(2,1/((D_Points!$A$5:$A$204&lt;&gt;"")*(D_Points!$A$5:$A$204&gt;=$B227)*(D_Points!$A$5:$A$204&lt;$B227+P_Interval)*(RIGHT(UPPER(TRIM(D_Points!$B$5:$B$204)),7)="_BRIDGE")),IF(LEFT(UPPER(TRIM(D_Points!$B$5:$B$204)),2)="EX",1,IF(LEFT(UPPER(TRIM(D_Points!$B$5:$B$204)),2)="PR",2,2))),"")</f>
        <v/>
      </c>
      <c r="T227" s="181" t="str">
        <f>IFERROR(LOOKUP(2,1/((B_Drainage!$A$5:$A$204&lt;&gt;"")*(B_Drainage!$A$5:$A$204&lt;=$B227)*(B_Drainage!$B$5:$B$204&gt;$B227)*(B_Drainage!$E$5:$E$204&lt;&gt;"")),IF(B_Drainage!$E$5:$E$204="-","",1)),"")</f>
        <v/>
      </c>
      <c r="U227" s="181" t="str">
        <f>IFERROR(LOOKUP(2,1/((B_Drainage!$A$5:$A$204&lt;&gt;"")*(B_Drainage!$A$5:$A$204&lt;=$B227)*(B_Drainage!$B$5:$B$204&gt;$B227)*(B_Drainage!$E$5:$E$204&lt;&gt;"")),IF(B_Drainage!$E$5:$E$204="-","",B_Drainage!$E$5:$E$204)),"")</f>
        <v/>
      </c>
      <c r="V227" s="181" t="str">
        <f>IFERROR(LOOKUP(2,1/((B_Drainage!$A$5:$A$204&lt;&gt;"")*(B_Drainage!$A$5:$A$204&lt;=$B227)*(B_Drainage!$B$5:$B$204&gt;$B227)*(B_Drainage!$F$5:$F$204&lt;&gt;"")),IF(B_Drainage!$F$5:$F$204="-","",1)),"")</f>
        <v/>
      </c>
      <c r="W227" s="181" t="str">
        <f>IFERROR(LOOKUP(2,1/((B_Drainage!$A$5:$A$204&lt;&gt;"")*(B_Drainage!$A$5:$A$204&lt;=$B227)*(B_Drainage!$B$5:$B$204&gt;$B227)*(B_Drainage!$F$5:$F$204&lt;&gt;"")),IF(B_Drainage!$F$5:$F$204="-","",B_Drainage!$F$5:$F$204)),"")</f>
        <v/>
      </c>
      <c r="X227" s="181" t="str">
        <f>IFERROR(LOOKUP(2,1/((B_Drainage!$A$5:$A$204&lt;&gt;"")*(B_Drainage!$A$5:$A$204&lt;=$B227)*(B_Drainage!$B$5:$B$204&gt;$B227)*(B_Drainage!$G$5:$G$204&lt;&gt;"")),IF(UPPER(B_Drainage!$G$5:$G$204)="Y",1,"")),"")</f>
        <v/>
      </c>
      <c r="Y227" s="181" t="str">
        <f>IFERROR(LOOKUP(2,1/((B_Drainage!$A$5:$A$204&lt;&gt;"")*(B_Drainage!$A$5:$A$204&lt;=$B227)*(B_Drainage!$B$5:$B$204&gt;$B227)*(B_Drainage!$H$5:$H$204&lt;&gt;"")),IF(UPPER(B_Drainage!$H$5:$H$204)="Y",1,"")),"")</f>
        <v/>
      </c>
      <c r="Z227" s="181" t="str">
        <f>IFERROR(LOOKUP(2,1/((B_Drainage!$A$5:$A$204&lt;&gt;"")*(B_Drainage!$A$5:$A$204&lt;=$B227)*(B_Drainage!$B$5:$B$204&gt;$B227)*(B_Drainage!$I$5:$I$204&lt;&gt;"")),IF(UPPER(B_Drainage!$I$5:$I$204)="Y",1,"")),"")</f>
        <v/>
      </c>
      <c r="AA227" s="181" t="str">
        <f>IFERROR(LOOKUP(2,1/((B_Drainage!$A$5:$A$204&lt;&gt;"")*(B_Drainage!$A$5:$A$204&lt;=$B227)*(B_Drainage!$B$5:$B$204&gt;$B227)*(B_Drainage!$J$5:$J$204&lt;&gt;"")),IF(UPPER(B_Drainage!$J$5:$J$204)="Y",1,"")),"")</f>
        <v/>
      </c>
      <c r="AB227" s="182" t="str">
        <f>IFERROR(LOOKUP(2,1/((B_Drainage!$A$5:$A$204&lt;&gt;"")*(B_Drainage!$A$5:$A$204&lt;=$B227)*(B_Drainage!$B$5:$B$204&gt;$B227)*(B_Drainage!$K$5:$K$204&lt;&gt;"")),IF(B_Drainage!$K$5:$K$204="-","",B_Drainage!$K$5:$K$204)),"")</f>
        <v/>
      </c>
      <c r="AC227" s="182" t="str">
        <f>IFERROR(LOOKUP(2,1/((B_Drainage!$A$5:$A$204&lt;&gt;"")*(B_Drainage!$A$5:$A$204&lt;=$B227)*(B_Drainage!$B$5:$B$204&gt;$B227)*(B_Drainage!$L$5:$L$204&lt;&gt;"")),IF(B_Drainage!$L$5:$L$204="-","",B_Drainage!$L$5:$L$204)),"")</f>
        <v/>
      </c>
      <c r="AD227" s="182" t="str">
        <f>IFERROR(LOOKUP(2,1/((D_Points!$A$5:$A$204&lt;&gt;"")*(D_Points!$A$5:$A$204&gt;=$B227)*(D_Points!$A$5:$A$204&lt;$B227+P_Interval)*(UPPER(TRIM(D_Points!$B$5:$B$204))="TURNOUT_L")*(D_Points!$H$5:$H$204&lt;&gt;"")),D_Points!$H$5:$H$204),"")</f>
        <v/>
      </c>
      <c r="AE227" s="182" t="str">
        <f>IFERROR(LOOKUP(2,1/((D_Points!$A$5:$A$204&lt;&gt;"")*(D_Points!$A$5:$A$204&gt;=$B227)*(D_Points!$A$5:$A$204&lt;$B227+P_Interval)*(UPPER(TRIM(D_Points!$B$5:$B$204))="TURNOUT_R")*(D_Points!$H$5:$H$204&lt;&gt;"")),D_Points!$H$5:$H$204),"")</f>
        <v/>
      </c>
      <c r="AF227" s="181" t="str">
        <f>IFERROR(LOOKUP(2,1/((B_Drainage!$A$5:$A$204&lt;&gt;"")*(B_Drainage!$A$5:$A$204&lt;=$B227)*(B_Drainage!$B$5:$B$204&gt;$B227)*(B_Drainage!$M$5:$M$204&lt;&gt;"")),IF(UPPER(B_Drainage!$M$5:$M$204)="Y",1,"")),"")</f>
        <v/>
      </c>
      <c r="AG227" s="181" t="str">
        <f>IFERROR(LOOKUP(2,1/((B_Drainage!$A$5:$A$204&lt;&gt;"")*(B_Drainage!$A$5:$A$204&lt;=$B227)*(B_Drainage!$B$5:$B$204&gt;$B227)*(B_Drainage!$N$5:$N$204&lt;&gt;"")),IF(UPPER(B_Drainage!$N$5:$N$204)="Y",1,"")),"")</f>
        <v/>
      </c>
      <c r="AH227" s="181" t="str">
        <f t="shared" si="24"/>
        <v/>
      </c>
      <c r="AI227" s="181" t="str">
        <f t="shared" si="25"/>
        <v/>
      </c>
      <c r="AJ227" s="181" t="str">
        <f t="shared" si="26"/>
        <v/>
      </c>
      <c r="AK227" s="181" t="str">
        <f t="shared" si="27"/>
        <v/>
      </c>
      <c r="AL227" s="181" t="str">
        <f t="shared" si="28"/>
        <v/>
      </c>
      <c r="AM227" s="181" t="str">
        <f t="shared" si="29"/>
        <v/>
      </c>
      <c r="AN227" s="181" t="str">
        <f t="shared" si="30"/>
        <v/>
      </c>
      <c r="AO227" s="192" t="str">
        <f t="shared" si="31"/>
        <v/>
      </c>
      <c r="AQ227" t="str">
        <f>IFERROR(LOOKUP(2,1/((C_Pavement!$A$5:$A$204&lt;&gt;"")*(C_Pavement!$A$5:$A$204&lt;=$B227)*(C_Pavement!$B$5:$B$204&gt;$B227)*(C_Pavement!$C$5:$C$204&lt;&gt;"")),ROW(C_Pavement!$C$5:$C$204)-4),"")</f>
        <v/>
      </c>
      <c r="AR227" t="str">
        <f>IF($AQ227="","",UPPER(TRIM(INDEX(C_Pavement!$C$5:$C$204,$AQ227))))</f>
        <v/>
      </c>
      <c r="AS227" t="str">
        <f>IF($AR227="","",IFERROR(MATCH($AR227,E_Rules!$A$5:$A$9,0),""))</f>
        <v/>
      </c>
      <c r="AT227" t="str">
        <f>IF($AQ227="","",IF(INDEX(C_Pavement!$D$5:$D$204,$AQ227)&lt;&gt;"",UPPER(TRIM(INDEX(C_Pavement!$D$5:$D$204,$AQ227))),IF($AS227="","",INDEX(E_Rules!$C$5:$C$9,$AS227))))</f>
        <v/>
      </c>
      <c r="AU227" t="str">
        <f>IF($AQ227="","",IF(INDEX(C_Pavement!$E$5:$E$204,$AQ227)&lt;&gt;"",IF(INDEX(C_Pavement!$E$5:$E$204,$AQ227)="-","",INDEX(C_Pavement!$E$5:$E$204,$AQ227)),IF($AS227="","",INDEX(E_Rules!$D$5:$D$9,$AS227))))</f>
        <v/>
      </c>
      <c r="AV227" t="str">
        <f>IF($AQ227="","",IF(INDEX(C_Pavement!$F$5:$F$204,$AQ227)&lt;&gt;"",IF(INDEX(C_Pavement!$F$5:$F$204,$AQ227)="-","",INDEX(C_Pavement!$F$5:$F$204,$AQ227)),IF($AS227="","",INDEX(E_Rules!$E$5:$E$9,$AS227))))</f>
        <v/>
      </c>
      <c r="AW227" t="str">
        <f>IF($AQ227="","",IF(INDEX(C_Pavement!$G$5:$G$204,$AQ227)&lt;&gt;"",IF(INDEX(C_Pavement!$G$5:$G$204,$AQ227)="-","",INDEX(C_Pavement!$G$5:$G$204,$AQ227)),IF($AS227="","",INDEX(E_Rules!$F$5:$F$9,$AS227))))</f>
        <v/>
      </c>
      <c r="AX227" t="str">
        <f>IF($AQ227="","",IF(INDEX(C_Pavement!$H$5:$H$204,$AQ227)&lt;&gt;"",IF(INDEX(C_Pavement!$H$5:$H$204,$AQ227)="-","",INDEX(C_Pavement!$H$5:$H$204,$AQ227)),IF($AS227="","",INDEX(E_Rules!$G$5:$G$9,$AS227))))</f>
        <v/>
      </c>
      <c r="AY227" t="str">
        <f>IF($AQ227="","",IF(INDEX(C_Pavement!$I$5:$I$204,$AQ227)&lt;&gt;"",IF(INDEX(C_Pavement!$I$5:$I$204,$AQ227)="-","",INDEX(C_Pavement!$I$5:$I$204,$AQ227)),IF($AS227="","",INDEX(E_Rules!$H$5:$H$9,$AS227))))</f>
        <v/>
      </c>
    </row>
    <row r="228" spans="1:51" ht="15.75" customHeight="1" x14ac:dyDescent="0.3">
      <c r="A228" s="189">
        <v>223</v>
      </c>
      <c r="B228" s="180">
        <v>11100</v>
      </c>
      <c r="C228" s="180" t="s">
        <v>534</v>
      </c>
      <c r="D228" s="181" t="str">
        <f>IFERROR(LOOKUP(2,1/((A_Corridor!$A$5:$A$204&lt;&gt;"")*(A_Corridor!$A$5:$A$204&lt;=$B228)*(A_Corridor!$B$5:$B$204&gt;$B228)*(A_Corridor!$C$5:$C$204&lt;&gt;"")),IF(UPPER(A_Corridor!$C$5:$C$204)="Y",1,"")),"")</f>
        <v/>
      </c>
      <c r="E228" s="181" t="str">
        <f>IFERROR(LOOKUP(2,1/((A_Corridor!$A$5:$A$204&lt;&gt;"")*(A_Corridor!$A$5:$A$204&lt;=$B228)*(A_Corridor!$B$5:$B$204&gt;$B228)*(A_Corridor!$D$5:$D$204&lt;&gt;"")),IF(A_Corridor!$D$5:$D$204="-","",UPPER(A_Corridor!$D$5:$D$204))),"")</f>
        <v/>
      </c>
      <c r="F228" s="181" t="str">
        <f>IFERROR(LOOKUP(2,1/((A_Corridor!$A$5:$A$204&lt;&gt;"")*(A_Corridor!$A$5:$A$204&lt;=$B228)*(A_Corridor!$B$5:$B$204&gt;$B228)*(A_Corridor!$E$5:$E$204&lt;&gt;"")),IF(A_Corridor!$E$5:$E$204="-","",1)),"")</f>
        <v/>
      </c>
      <c r="G228" s="182" t="str">
        <f>IFERROR(LOOKUP(2,1/((A_Corridor!$A$5:$A$204&lt;&gt;"")*(A_Corridor!$A$5:$A$204&lt;=$B228)*(A_Corridor!$B$5:$B$204&gt;$B228)*(A_Corridor!$E$5:$E$204&lt;&gt;"")),IF(A_Corridor!$E$5:$E$204="-","",A_Corridor!$E$5:$E$204)),"")</f>
        <v/>
      </c>
      <c r="H228" s="182" t="str">
        <f>IFERROR(LOOKUP(2,1/((D_Points!$A$5:$A$204&lt;&gt;"")*(D_Points!$A$5:$A$204&gt;=$B228)*(D_Points!$A$5:$A$204&lt;$B228+P_Interval)*(UPPER(TRIM(D_Points!$B$5:$B$204))="GULLY")*(D_Points!$H$5:$H$204&lt;&gt;"")),D_Points!$H$5:$H$204),"")</f>
        <v/>
      </c>
      <c r="I228" s="181" t="str">
        <f>IFERROR(LOOKUP(2,1/((A_Corridor!$A$5:$A$204&lt;&gt;"")*(A_Corridor!$A$5:$A$204&lt;=$B228)*(A_Corridor!$B$5:$B$204&gt;$B228)*(A_Corridor!$F$5:$F$204&lt;&gt;"")),IF(A_Corridor!$F$5:$F$204="-","",1)),"")</f>
        <v/>
      </c>
      <c r="J228" s="182" t="str">
        <f>IFERROR(LOOKUP(2,1/((A_Corridor!$A$5:$A$204&lt;&gt;"")*(A_Corridor!$A$5:$A$204&lt;=$B228)*(A_Corridor!$B$5:$B$204&gt;$B228)*(A_Corridor!$F$5:$F$204&lt;&gt;"")),IF(A_Corridor!$F$5:$F$204="-","",A_Corridor!$F$5:$F$204)),"")</f>
        <v/>
      </c>
      <c r="K228" s="182" t="str">
        <f>IFERROR(LOOKUP(2,1/((A_Corridor!$A$5:$A$204&lt;&gt;"")*(A_Corridor!$A$5:$A$204&lt;=$B228)*(A_Corridor!$B$5:$B$204&gt;$B228)*(A_Corridor!$G$5:$G$204&lt;&gt;"")),IF(A_Corridor!$G$5:$G$204="-","",A_Corridor!$G$5:$G$204)),"")</f>
        <v/>
      </c>
      <c r="L228" s="181" t="str">
        <f>IFERROR(LOOKUP(2,1/((A_Corridor!$A$5:$A$204&lt;&gt;"")*(A_Corridor!$A$5:$A$204&lt;=$B228)*(A_Corridor!$B$5:$B$204&gt;$B228)*(A_Corridor!$H$5:$H$204&lt;&gt;"")),IF(A_Corridor!$H$5:$H$204="-","",1)),"")</f>
        <v/>
      </c>
      <c r="M228" s="182" t="str">
        <f>IFERROR(LOOKUP(2,1/((A_Corridor!$A$5:$A$204&lt;&gt;"")*(A_Corridor!$A$5:$A$204&lt;=$B228)*(A_Corridor!$B$5:$B$204&gt;$B228)*(A_Corridor!$H$5:$H$204&lt;&gt;"")),IF(A_Corridor!$H$5:$H$204="-","",A_Corridor!$H$5:$H$204)),"")</f>
        <v/>
      </c>
      <c r="N228" s="182" t="str">
        <f>IFERROR(LOOKUP(2,1/((A_Corridor!$A$5:$A$204&lt;&gt;"")*(A_Corridor!$A$5:$A$204&lt;=$B228)*(A_Corridor!$B$5:$B$204&gt;$B228)*(A_Corridor!$I$5:$I$204&lt;&gt;"")),IF(A_Corridor!$I$5:$I$204="-","",A_Corridor!$I$5:$I$204)),"")</f>
        <v/>
      </c>
      <c r="O228" s="182" t="str">
        <f>IFERROR(LOOKUP(2,1/((D_Points!$A$5:$A$204&lt;&gt;"")*(D_Points!$A$5:$A$204&gt;=$B228)*(D_Points!$A$5:$A$204&lt;$B228+P_Interval)*(UPPER(TRIM(D_Points!$B$5:$B$204))="PITCHING")*(D_Points!$H$5:$H$204&lt;&gt;"")),D_Points!$H$5:$H$204),"")</f>
        <v/>
      </c>
      <c r="P228" s="181" t="str">
        <f>IFERROR(LOOKUP(2,1/((B_Drainage!$A$5:$A$204&lt;&gt;"")*(B_Drainage!$A$5:$A$204&lt;=$B228)*(B_Drainage!$B$5:$B$204&gt;$B228)*(B_Drainage!$C$5:$C$204&lt;&gt;"")),IF(B_Drainage!$C$5:$C$204="-","",UPPER(B_Drainage!$C$5:$C$204))),"")</f>
        <v/>
      </c>
      <c r="Q228" s="181" t="str">
        <f>IFERROR(LOOKUP(2,1/((B_Drainage!$A$5:$A$204&lt;&gt;"")*(B_Drainage!$A$5:$A$204&lt;=$B228)*(B_Drainage!$B$5:$B$204&gt;$B228)*(B_Drainage!$D$5:$D$204&lt;&gt;"")),IF(B_Drainage!$D$5:$D$204="-","",UPPER(B_Drainage!$D$5:$D$204))),"")</f>
        <v/>
      </c>
      <c r="R228" s="182" t="str">
        <f>IFERROR(LOOKUP(2,1/((D_Points!$A$5:$A$204&lt;&gt;"")*(D_Points!$A$5:$A$204&gt;=$B228)*(D_Points!$A$5:$A$204&lt;$B228+P_Interval)*(RIGHT(UPPER(TRIM(D_Points!$B$5:$B$204)),8)="_CULVERT")),IF(LEFT(UPPER(TRIM(D_Points!$B$5:$B$204)),2)="EX",1,IF(LEFT(UPPER(TRIM(D_Points!$B$5:$B$204)),2)="PR",2,3))),"")</f>
        <v/>
      </c>
      <c r="S228" s="182" t="str">
        <f>IFERROR(LOOKUP(2,1/((D_Points!$A$5:$A$204&lt;&gt;"")*(D_Points!$A$5:$A$204&gt;=$B228)*(D_Points!$A$5:$A$204&lt;$B228+P_Interval)*(RIGHT(UPPER(TRIM(D_Points!$B$5:$B$204)),7)="_BRIDGE")),IF(LEFT(UPPER(TRIM(D_Points!$B$5:$B$204)),2)="EX",1,IF(LEFT(UPPER(TRIM(D_Points!$B$5:$B$204)),2)="PR",2,2))),"")</f>
        <v/>
      </c>
      <c r="T228" s="181" t="str">
        <f>IFERROR(LOOKUP(2,1/((B_Drainage!$A$5:$A$204&lt;&gt;"")*(B_Drainage!$A$5:$A$204&lt;=$B228)*(B_Drainage!$B$5:$B$204&gt;$B228)*(B_Drainage!$E$5:$E$204&lt;&gt;"")),IF(B_Drainage!$E$5:$E$204="-","",1)),"")</f>
        <v/>
      </c>
      <c r="U228" s="181" t="str">
        <f>IFERROR(LOOKUP(2,1/((B_Drainage!$A$5:$A$204&lt;&gt;"")*(B_Drainage!$A$5:$A$204&lt;=$B228)*(B_Drainage!$B$5:$B$204&gt;$B228)*(B_Drainage!$E$5:$E$204&lt;&gt;"")),IF(B_Drainage!$E$5:$E$204="-","",B_Drainage!$E$5:$E$204)),"")</f>
        <v/>
      </c>
      <c r="V228" s="181" t="str">
        <f>IFERROR(LOOKUP(2,1/((B_Drainage!$A$5:$A$204&lt;&gt;"")*(B_Drainage!$A$5:$A$204&lt;=$B228)*(B_Drainage!$B$5:$B$204&gt;$B228)*(B_Drainage!$F$5:$F$204&lt;&gt;"")),IF(B_Drainage!$F$5:$F$204="-","",1)),"")</f>
        <v/>
      </c>
      <c r="W228" s="181" t="str">
        <f>IFERROR(LOOKUP(2,1/((B_Drainage!$A$5:$A$204&lt;&gt;"")*(B_Drainage!$A$5:$A$204&lt;=$B228)*(B_Drainage!$B$5:$B$204&gt;$B228)*(B_Drainage!$F$5:$F$204&lt;&gt;"")),IF(B_Drainage!$F$5:$F$204="-","",B_Drainage!$F$5:$F$204)),"")</f>
        <v/>
      </c>
      <c r="X228" s="181" t="str">
        <f>IFERROR(LOOKUP(2,1/((B_Drainage!$A$5:$A$204&lt;&gt;"")*(B_Drainage!$A$5:$A$204&lt;=$B228)*(B_Drainage!$B$5:$B$204&gt;$B228)*(B_Drainage!$G$5:$G$204&lt;&gt;"")),IF(UPPER(B_Drainage!$G$5:$G$204)="Y",1,"")),"")</f>
        <v/>
      </c>
      <c r="Y228" s="181" t="str">
        <f>IFERROR(LOOKUP(2,1/((B_Drainage!$A$5:$A$204&lt;&gt;"")*(B_Drainage!$A$5:$A$204&lt;=$B228)*(B_Drainage!$B$5:$B$204&gt;$B228)*(B_Drainage!$H$5:$H$204&lt;&gt;"")),IF(UPPER(B_Drainage!$H$5:$H$204)="Y",1,"")),"")</f>
        <v/>
      </c>
      <c r="Z228" s="181" t="str">
        <f>IFERROR(LOOKUP(2,1/((B_Drainage!$A$5:$A$204&lt;&gt;"")*(B_Drainage!$A$5:$A$204&lt;=$B228)*(B_Drainage!$B$5:$B$204&gt;$B228)*(B_Drainage!$I$5:$I$204&lt;&gt;"")),IF(UPPER(B_Drainage!$I$5:$I$204)="Y",1,"")),"")</f>
        <v/>
      </c>
      <c r="AA228" s="181" t="str">
        <f>IFERROR(LOOKUP(2,1/((B_Drainage!$A$5:$A$204&lt;&gt;"")*(B_Drainage!$A$5:$A$204&lt;=$B228)*(B_Drainage!$B$5:$B$204&gt;$B228)*(B_Drainage!$J$5:$J$204&lt;&gt;"")),IF(UPPER(B_Drainage!$J$5:$J$204)="Y",1,"")),"")</f>
        <v/>
      </c>
      <c r="AB228" s="182" t="str">
        <f>IFERROR(LOOKUP(2,1/((B_Drainage!$A$5:$A$204&lt;&gt;"")*(B_Drainage!$A$5:$A$204&lt;=$B228)*(B_Drainage!$B$5:$B$204&gt;$B228)*(B_Drainage!$K$5:$K$204&lt;&gt;"")),IF(B_Drainage!$K$5:$K$204="-","",B_Drainage!$K$5:$K$204)),"")</f>
        <v/>
      </c>
      <c r="AC228" s="182" t="str">
        <f>IFERROR(LOOKUP(2,1/((B_Drainage!$A$5:$A$204&lt;&gt;"")*(B_Drainage!$A$5:$A$204&lt;=$B228)*(B_Drainage!$B$5:$B$204&gt;$B228)*(B_Drainage!$L$5:$L$204&lt;&gt;"")),IF(B_Drainage!$L$5:$L$204="-","",B_Drainage!$L$5:$L$204)),"")</f>
        <v/>
      </c>
      <c r="AD228" s="182" t="str">
        <f>IFERROR(LOOKUP(2,1/((D_Points!$A$5:$A$204&lt;&gt;"")*(D_Points!$A$5:$A$204&gt;=$B228)*(D_Points!$A$5:$A$204&lt;$B228+P_Interval)*(UPPER(TRIM(D_Points!$B$5:$B$204))="TURNOUT_L")*(D_Points!$H$5:$H$204&lt;&gt;"")),D_Points!$H$5:$H$204),"")</f>
        <v/>
      </c>
      <c r="AE228" s="182" t="str">
        <f>IFERROR(LOOKUP(2,1/((D_Points!$A$5:$A$204&lt;&gt;"")*(D_Points!$A$5:$A$204&gt;=$B228)*(D_Points!$A$5:$A$204&lt;$B228+P_Interval)*(UPPER(TRIM(D_Points!$B$5:$B$204))="TURNOUT_R")*(D_Points!$H$5:$H$204&lt;&gt;"")),D_Points!$H$5:$H$204),"")</f>
        <v/>
      </c>
      <c r="AF228" s="181" t="str">
        <f>IFERROR(LOOKUP(2,1/((B_Drainage!$A$5:$A$204&lt;&gt;"")*(B_Drainage!$A$5:$A$204&lt;=$B228)*(B_Drainage!$B$5:$B$204&gt;$B228)*(B_Drainage!$M$5:$M$204&lt;&gt;"")),IF(UPPER(B_Drainage!$M$5:$M$204)="Y",1,"")),"")</f>
        <v/>
      </c>
      <c r="AG228" s="181" t="str">
        <f>IFERROR(LOOKUP(2,1/((B_Drainage!$A$5:$A$204&lt;&gt;"")*(B_Drainage!$A$5:$A$204&lt;=$B228)*(B_Drainage!$B$5:$B$204&gt;$B228)*(B_Drainage!$N$5:$N$204&lt;&gt;"")),IF(UPPER(B_Drainage!$N$5:$N$204)="Y",1,"")),"")</f>
        <v/>
      </c>
      <c r="AH228" s="181" t="str">
        <f t="shared" si="24"/>
        <v/>
      </c>
      <c r="AI228" s="181" t="str">
        <f t="shared" si="25"/>
        <v/>
      </c>
      <c r="AJ228" s="181" t="str">
        <f t="shared" si="26"/>
        <v/>
      </c>
      <c r="AK228" s="181" t="str">
        <f t="shared" si="27"/>
        <v/>
      </c>
      <c r="AL228" s="181" t="str">
        <f t="shared" si="28"/>
        <v/>
      </c>
      <c r="AM228" s="181" t="str">
        <f t="shared" si="29"/>
        <v/>
      </c>
      <c r="AN228" s="181" t="str">
        <f t="shared" si="30"/>
        <v/>
      </c>
      <c r="AO228" s="192" t="str">
        <f t="shared" si="31"/>
        <v/>
      </c>
      <c r="AQ228" t="str">
        <f>IFERROR(LOOKUP(2,1/((C_Pavement!$A$5:$A$204&lt;&gt;"")*(C_Pavement!$A$5:$A$204&lt;=$B228)*(C_Pavement!$B$5:$B$204&gt;$B228)*(C_Pavement!$C$5:$C$204&lt;&gt;"")),ROW(C_Pavement!$C$5:$C$204)-4),"")</f>
        <v/>
      </c>
      <c r="AR228" t="str">
        <f>IF($AQ228="","",UPPER(TRIM(INDEX(C_Pavement!$C$5:$C$204,$AQ228))))</f>
        <v/>
      </c>
      <c r="AS228" t="str">
        <f>IF($AR228="","",IFERROR(MATCH($AR228,E_Rules!$A$5:$A$9,0),""))</f>
        <v/>
      </c>
      <c r="AT228" t="str">
        <f>IF($AQ228="","",IF(INDEX(C_Pavement!$D$5:$D$204,$AQ228)&lt;&gt;"",UPPER(TRIM(INDEX(C_Pavement!$D$5:$D$204,$AQ228))),IF($AS228="","",INDEX(E_Rules!$C$5:$C$9,$AS228))))</f>
        <v/>
      </c>
      <c r="AU228" t="str">
        <f>IF($AQ228="","",IF(INDEX(C_Pavement!$E$5:$E$204,$AQ228)&lt;&gt;"",IF(INDEX(C_Pavement!$E$5:$E$204,$AQ228)="-","",INDEX(C_Pavement!$E$5:$E$204,$AQ228)),IF($AS228="","",INDEX(E_Rules!$D$5:$D$9,$AS228))))</f>
        <v/>
      </c>
      <c r="AV228" t="str">
        <f>IF($AQ228="","",IF(INDEX(C_Pavement!$F$5:$F$204,$AQ228)&lt;&gt;"",IF(INDEX(C_Pavement!$F$5:$F$204,$AQ228)="-","",INDEX(C_Pavement!$F$5:$F$204,$AQ228)),IF($AS228="","",INDEX(E_Rules!$E$5:$E$9,$AS228))))</f>
        <v/>
      </c>
      <c r="AW228" t="str">
        <f>IF($AQ228="","",IF(INDEX(C_Pavement!$G$5:$G$204,$AQ228)&lt;&gt;"",IF(INDEX(C_Pavement!$G$5:$G$204,$AQ228)="-","",INDEX(C_Pavement!$G$5:$G$204,$AQ228)),IF($AS228="","",INDEX(E_Rules!$F$5:$F$9,$AS228))))</f>
        <v/>
      </c>
      <c r="AX228" t="str">
        <f>IF($AQ228="","",IF(INDEX(C_Pavement!$H$5:$H$204,$AQ228)&lt;&gt;"",IF(INDEX(C_Pavement!$H$5:$H$204,$AQ228)="-","",INDEX(C_Pavement!$H$5:$H$204,$AQ228)),IF($AS228="","",INDEX(E_Rules!$G$5:$G$9,$AS228))))</f>
        <v/>
      </c>
      <c r="AY228" t="str">
        <f>IF($AQ228="","",IF(INDEX(C_Pavement!$I$5:$I$204,$AQ228)&lt;&gt;"",IF(INDEX(C_Pavement!$I$5:$I$204,$AQ228)="-","",INDEX(C_Pavement!$I$5:$I$204,$AQ228)),IF($AS228="","",INDEX(E_Rules!$H$5:$H$9,$AS228))))</f>
        <v/>
      </c>
    </row>
    <row r="229" spans="1:51" ht="15.75" customHeight="1" x14ac:dyDescent="0.3">
      <c r="A229" s="189">
        <v>224</v>
      </c>
      <c r="B229" s="180">
        <v>11150</v>
      </c>
      <c r="C229" s="180" t="s">
        <v>535</v>
      </c>
      <c r="D229" s="181" t="str">
        <f>IFERROR(LOOKUP(2,1/((A_Corridor!$A$5:$A$204&lt;&gt;"")*(A_Corridor!$A$5:$A$204&lt;=$B229)*(A_Corridor!$B$5:$B$204&gt;$B229)*(A_Corridor!$C$5:$C$204&lt;&gt;"")),IF(UPPER(A_Corridor!$C$5:$C$204)="Y",1,"")),"")</f>
        <v/>
      </c>
      <c r="E229" s="181" t="str">
        <f>IFERROR(LOOKUP(2,1/((A_Corridor!$A$5:$A$204&lt;&gt;"")*(A_Corridor!$A$5:$A$204&lt;=$B229)*(A_Corridor!$B$5:$B$204&gt;$B229)*(A_Corridor!$D$5:$D$204&lt;&gt;"")),IF(A_Corridor!$D$5:$D$204="-","",UPPER(A_Corridor!$D$5:$D$204))),"")</f>
        <v/>
      </c>
      <c r="F229" s="181" t="str">
        <f>IFERROR(LOOKUP(2,1/((A_Corridor!$A$5:$A$204&lt;&gt;"")*(A_Corridor!$A$5:$A$204&lt;=$B229)*(A_Corridor!$B$5:$B$204&gt;$B229)*(A_Corridor!$E$5:$E$204&lt;&gt;"")),IF(A_Corridor!$E$5:$E$204="-","",1)),"")</f>
        <v/>
      </c>
      <c r="G229" s="182" t="str">
        <f>IFERROR(LOOKUP(2,1/((A_Corridor!$A$5:$A$204&lt;&gt;"")*(A_Corridor!$A$5:$A$204&lt;=$B229)*(A_Corridor!$B$5:$B$204&gt;$B229)*(A_Corridor!$E$5:$E$204&lt;&gt;"")),IF(A_Corridor!$E$5:$E$204="-","",A_Corridor!$E$5:$E$204)),"")</f>
        <v/>
      </c>
      <c r="H229" s="182" t="str">
        <f>IFERROR(LOOKUP(2,1/((D_Points!$A$5:$A$204&lt;&gt;"")*(D_Points!$A$5:$A$204&gt;=$B229)*(D_Points!$A$5:$A$204&lt;$B229+P_Interval)*(UPPER(TRIM(D_Points!$B$5:$B$204))="GULLY")*(D_Points!$H$5:$H$204&lt;&gt;"")),D_Points!$H$5:$H$204),"")</f>
        <v/>
      </c>
      <c r="I229" s="181" t="str">
        <f>IFERROR(LOOKUP(2,1/((A_Corridor!$A$5:$A$204&lt;&gt;"")*(A_Corridor!$A$5:$A$204&lt;=$B229)*(A_Corridor!$B$5:$B$204&gt;$B229)*(A_Corridor!$F$5:$F$204&lt;&gt;"")),IF(A_Corridor!$F$5:$F$204="-","",1)),"")</f>
        <v/>
      </c>
      <c r="J229" s="182" t="str">
        <f>IFERROR(LOOKUP(2,1/((A_Corridor!$A$5:$A$204&lt;&gt;"")*(A_Corridor!$A$5:$A$204&lt;=$B229)*(A_Corridor!$B$5:$B$204&gt;$B229)*(A_Corridor!$F$5:$F$204&lt;&gt;"")),IF(A_Corridor!$F$5:$F$204="-","",A_Corridor!$F$5:$F$204)),"")</f>
        <v/>
      </c>
      <c r="K229" s="182" t="str">
        <f>IFERROR(LOOKUP(2,1/((A_Corridor!$A$5:$A$204&lt;&gt;"")*(A_Corridor!$A$5:$A$204&lt;=$B229)*(A_Corridor!$B$5:$B$204&gt;$B229)*(A_Corridor!$G$5:$G$204&lt;&gt;"")),IF(A_Corridor!$G$5:$G$204="-","",A_Corridor!$G$5:$G$204)),"")</f>
        <v/>
      </c>
      <c r="L229" s="181" t="str">
        <f>IFERROR(LOOKUP(2,1/((A_Corridor!$A$5:$A$204&lt;&gt;"")*(A_Corridor!$A$5:$A$204&lt;=$B229)*(A_Corridor!$B$5:$B$204&gt;$B229)*(A_Corridor!$H$5:$H$204&lt;&gt;"")),IF(A_Corridor!$H$5:$H$204="-","",1)),"")</f>
        <v/>
      </c>
      <c r="M229" s="182" t="str">
        <f>IFERROR(LOOKUP(2,1/((A_Corridor!$A$5:$A$204&lt;&gt;"")*(A_Corridor!$A$5:$A$204&lt;=$B229)*(A_Corridor!$B$5:$B$204&gt;$B229)*(A_Corridor!$H$5:$H$204&lt;&gt;"")),IF(A_Corridor!$H$5:$H$204="-","",A_Corridor!$H$5:$H$204)),"")</f>
        <v/>
      </c>
      <c r="N229" s="182" t="str">
        <f>IFERROR(LOOKUP(2,1/((A_Corridor!$A$5:$A$204&lt;&gt;"")*(A_Corridor!$A$5:$A$204&lt;=$B229)*(A_Corridor!$B$5:$B$204&gt;$B229)*(A_Corridor!$I$5:$I$204&lt;&gt;"")),IF(A_Corridor!$I$5:$I$204="-","",A_Corridor!$I$5:$I$204)),"")</f>
        <v/>
      </c>
      <c r="O229" s="182" t="str">
        <f>IFERROR(LOOKUP(2,1/((D_Points!$A$5:$A$204&lt;&gt;"")*(D_Points!$A$5:$A$204&gt;=$B229)*(D_Points!$A$5:$A$204&lt;$B229+P_Interval)*(UPPER(TRIM(D_Points!$B$5:$B$204))="PITCHING")*(D_Points!$H$5:$H$204&lt;&gt;"")),D_Points!$H$5:$H$204),"")</f>
        <v/>
      </c>
      <c r="P229" s="181" t="str">
        <f>IFERROR(LOOKUP(2,1/((B_Drainage!$A$5:$A$204&lt;&gt;"")*(B_Drainage!$A$5:$A$204&lt;=$B229)*(B_Drainage!$B$5:$B$204&gt;$B229)*(B_Drainage!$C$5:$C$204&lt;&gt;"")),IF(B_Drainage!$C$5:$C$204="-","",UPPER(B_Drainage!$C$5:$C$204))),"")</f>
        <v/>
      </c>
      <c r="Q229" s="181" t="str">
        <f>IFERROR(LOOKUP(2,1/((B_Drainage!$A$5:$A$204&lt;&gt;"")*(B_Drainage!$A$5:$A$204&lt;=$B229)*(B_Drainage!$B$5:$B$204&gt;$B229)*(B_Drainage!$D$5:$D$204&lt;&gt;"")),IF(B_Drainage!$D$5:$D$204="-","",UPPER(B_Drainage!$D$5:$D$204))),"")</f>
        <v/>
      </c>
      <c r="R229" s="182" t="str">
        <f>IFERROR(LOOKUP(2,1/((D_Points!$A$5:$A$204&lt;&gt;"")*(D_Points!$A$5:$A$204&gt;=$B229)*(D_Points!$A$5:$A$204&lt;$B229+P_Interval)*(RIGHT(UPPER(TRIM(D_Points!$B$5:$B$204)),8)="_CULVERT")),IF(LEFT(UPPER(TRIM(D_Points!$B$5:$B$204)),2)="EX",1,IF(LEFT(UPPER(TRIM(D_Points!$B$5:$B$204)),2)="PR",2,3))),"")</f>
        <v/>
      </c>
      <c r="S229" s="182" t="str">
        <f>IFERROR(LOOKUP(2,1/((D_Points!$A$5:$A$204&lt;&gt;"")*(D_Points!$A$5:$A$204&gt;=$B229)*(D_Points!$A$5:$A$204&lt;$B229+P_Interval)*(RIGHT(UPPER(TRIM(D_Points!$B$5:$B$204)),7)="_BRIDGE")),IF(LEFT(UPPER(TRIM(D_Points!$B$5:$B$204)),2)="EX",1,IF(LEFT(UPPER(TRIM(D_Points!$B$5:$B$204)),2)="PR",2,2))),"")</f>
        <v/>
      </c>
      <c r="T229" s="181" t="str">
        <f>IFERROR(LOOKUP(2,1/((B_Drainage!$A$5:$A$204&lt;&gt;"")*(B_Drainage!$A$5:$A$204&lt;=$B229)*(B_Drainage!$B$5:$B$204&gt;$B229)*(B_Drainage!$E$5:$E$204&lt;&gt;"")),IF(B_Drainage!$E$5:$E$204="-","",1)),"")</f>
        <v/>
      </c>
      <c r="U229" s="181" t="str">
        <f>IFERROR(LOOKUP(2,1/((B_Drainage!$A$5:$A$204&lt;&gt;"")*(B_Drainage!$A$5:$A$204&lt;=$B229)*(B_Drainage!$B$5:$B$204&gt;$B229)*(B_Drainage!$E$5:$E$204&lt;&gt;"")),IF(B_Drainage!$E$5:$E$204="-","",B_Drainage!$E$5:$E$204)),"")</f>
        <v/>
      </c>
      <c r="V229" s="181" t="str">
        <f>IFERROR(LOOKUP(2,1/((B_Drainage!$A$5:$A$204&lt;&gt;"")*(B_Drainage!$A$5:$A$204&lt;=$B229)*(B_Drainage!$B$5:$B$204&gt;$B229)*(B_Drainage!$F$5:$F$204&lt;&gt;"")),IF(B_Drainage!$F$5:$F$204="-","",1)),"")</f>
        <v/>
      </c>
      <c r="W229" s="181" t="str">
        <f>IFERROR(LOOKUP(2,1/((B_Drainage!$A$5:$A$204&lt;&gt;"")*(B_Drainage!$A$5:$A$204&lt;=$B229)*(B_Drainage!$B$5:$B$204&gt;$B229)*(B_Drainage!$F$5:$F$204&lt;&gt;"")),IF(B_Drainage!$F$5:$F$204="-","",B_Drainage!$F$5:$F$204)),"")</f>
        <v/>
      </c>
      <c r="X229" s="181" t="str">
        <f>IFERROR(LOOKUP(2,1/((B_Drainage!$A$5:$A$204&lt;&gt;"")*(B_Drainage!$A$5:$A$204&lt;=$B229)*(B_Drainage!$B$5:$B$204&gt;$B229)*(B_Drainage!$G$5:$G$204&lt;&gt;"")),IF(UPPER(B_Drainage!$G$5:$G$204)="Y",1,"")),"")</f>
        <v/>
      </c>
      <c r="Y229" s="181" t="str">
        <f>IFERROR(LOOKUP(2,1/((B_Drainage!$A$5:$A$204&lt;&gt;"")*(B_Drainage!$A$5:$A$204&lt;=$B229)*(B_Drainage!$B$5:$B$204&gt;$B229)*(B_Drainage!$H$5:$H$204&lt;&gt;"")),IF(UPPER(B_Drainage!$H$5:$H$204)="Y",1,"")),"")</f>
        <v/>
      </c>
      <c r="Z229" s="181" t="str">
        <f>IFERROR(LOOKUP(2,1/((B_Drainage!$A$5:$A$204&lt;&gt;"")*(B_Drainage!$A$5:$A$204&lt;=$B229)*(B_Drainage!$B$5:$B$204&gt;$B229)*(B_Drainage!$I$5:$I$204&lt;&gt;"")),IF(UPPER(B_Drainage!$I$5:$I$204)="Y",1,"")),"")</f>
        <v/>
      </c>
      <c r="AA229" s="181" t="str">
        <f>IFERROR(LOOKUP(2,1/((B_Drainage!$A$5:$A$204&lt;&gt;"")*(B_Drainage!$A$5:$A$204&lt;=$B229)*(B_Drainage!$B$5:$B$204&gt;$B229)*(B_Drainage!$J$5:$J$204&lt;&gt;"")),IF(UPPER(B_Drainage!$J$5:$J$204)="Y",1,"")),"")</f>
        <v/>
      </c>
      <c r="AB229" s="182" t="str">
        <f>IFERROR(LOOKUP(2,1/((B_Drainage!$A$5:$A$204&lt;&gt;"")*(B_Drainage!$A$5:$A$204&lt;=$B229)*(B_Drainage!$B$5:$B$204&gt;$B229)*(B_Drainage!$K$5:$K$204&lt;&gt;"")),IF(B_Drainage!$K$5:$K$204="-","",B_Drainage!$K$5:$K$204)),"")</f>
        <v/>
      </c>
      <c r="AC229" s="182" t="str">
        <f>IFERROR(LOOKUP(2,1/((B_Drainage!$A$5:$A$204&lt;&gt;"")*(B_Drainage!$A$5:$A$204&lt;=$B229)*(B_Drainage!$B$5:$B$204&gt;$B229)*(B_Drainage!$L$5:$L$204&lt;&gt;"")),IF(B_Drainage!$L$5:$L$204="-","",B_Drainage!$L$5:$L$204)),"")</f>
        <v/>
      </c>
      <c r="AD229" s="182" t="str">
        <f>IFERROR(LOOKUP(2,1/((D_Points!$A$5:$A$204&lt;&gt;"")*(D_Points!$A$5:$A$204&gt;=$B229)*(D_Points!$A$5:$A$204&lt;$B229+P_Interval)*(UPPER(TRIM(D_Points!$B$5:$B$204))="TURNOUT_L")*(D_Points!$H$5:$H$204&lt;&gt;"")),D_Points!$H$5:$H$204),"")</f>
        <v/>
      </c>
      <c r="AE229" s="182" t="str">
        <f>IFERROR(LOOKUP(2,1/((D_Points!$A$5:$A$204&lt;&gt;"")*(D_Points!$A$5:$A$204&gt;=$B229)*(D_Points!$A$5:$A$204&lt;$B229+P_Interval)*(UPPER(TRIM(D_Points!$B$5:$B$204))="TURNOUT_R")*(D_Points!$H$5:$H$204&lt;&gt;"")),D_Points!$H$5:$H$204),"")</f>
        <v/>
      </c>
      <c r="AF229" s="181" t="str">
        <f>IFERROR(LOOKUP(2,1/((B_Drainage!$A$5:$A$204&lt;&gt;"")*(B_Drainage!$A$5:$A$204&lt;=$B229)*(B_Drainage!$B$5:$B$204&gt;$B229)*(B_Drainage!$M$5:$M$204&lt;&gt;"")),IF(UPPER(B_Drainage!$M$5:$M$204)="Y",1,"")),"")</f>
        <v/>
      </c>
      <c r="AG229" s="181" t="str">
        <f>IFERROR(LOOKUP(2,1/((B_Drainage!$A$5:$A$204&lt;&gt;"")*(B_Drainage!$A$5:$A$204&lt;=$B229)*(B_Drainage!$B$5:$B$204&gt;$B229)*(B_Drainage!$N$5:$N$204&lt;&gt;"")),IF(UPPER(B_Drainage!$N$5:$N$204)="Y",1,"")),"")</f>
        <v/>
      </c>
      <c r="AH229" s="181" t="str">
        <f t="shared" si="24"/>
        <v/>
      </c>
      <c r="AI229" s="181" t="str">
        <f t="shared" si="25"/>
        <v/>
      </c>
      <c r="AJ229" s="181" t="str">
        <f t="shared" si="26"/>
        <v/>
      </c>
      <c r="AK229" s="181" t="str">
        <f t="shared" si="27"/>
        <v/>
      </c>
      <c r="AL229" s="181" t="str">
        <f t="shared" si="28"/>
        <v/>
      </c>
      <c r="AM229" s="181" t="str">
        <f t="shared" si="29"/>
        <v/>
      </c>
      <c r="AN229" s="181" t="str">
        <f t="shared" si="30"/>
        <v/>
      </c>
      <c r="AO229" s="192" t="str">
        <f t="shared" si="31"/>
        <v/>
      </c>
      <c r="AQ229" t="str">
        <f>IFERROR(LOOKUP(2,1/((C_Pavement!$A$5:$A$204&lt;&gt;"")*(C_Pavement!$A$5:$A$204&lt;=$B229)*(C_Pavement!$B$5:$B$204&gt;$B229)*(C_Pavement!$C$5:$C$204&lt;&gt;"")),ROW(C_Pavement!$C$5:$C$204)-4),"")</f>
        <v/>
      </c>
      <c r="AR229" t="str">
        <f>IF($AQ229="","",UPPER(TRIM(INDEX(C_Pavement!$C$5:$C$204,$AQ229))))</f>
        <v/>
      </c>
      <c r="AS229" t="str">
        <f>IF($AR229="","",IFERROR(MATCH($AR229,E_Rules!$A$5:$A$9,0),""))</f>
        <v/>
      </c>
      <c r="AT229" t="str">
        <f>IF($AQ229="","",IF(INDEX(C_Pavement!$D$5:$D$204,$AQ229)&lt;&gt;"",UPPER(TRIM(INDEX(C_Pavement!$D$5:$D$204,$AQ229))),IF($AS229="","",INDEX(E_Rules!$C$5:$C$9,$AS229))))</f>
        <v/>
      </c>
      <c r="AU229" t="str">
        <f>IF($AQ229="","",IF(INDEX(C_Pavement!$E$5:$E$204,$AQ229)&lt;&gt;"",IF(INDEX(C_Pavement!$E$5:$E$204,$AQ229)="-","",INDEX(C_Pavement!$E$5:$E$204,$AQ229)),IF($AS229="","",INDEX(E_Rules!$D$5:$D$9,$AS229))))</f>
        <v/>
      </c>
      <c r="AV229" t="str">
        <f>IF($AQ229="","",IF(INDEX(C_Pavement!$F$5:$F$204,$AQ229)&lt;&gt;"",IF(INDEX(C_Pavement!$F$5:$F$204,$AQ229)="-","",INDEX(C_Pavement!$F$5:$F$204,$AQ229)),IF($AS229="","",INDEX(E_Rules!$E$5:$E$9,$AS229))))</f>
        <v/>
      </c>
      <c r="AW229" t="str">
        <f>IF($AQ229="","",IF(INDEX(C_Pavement!$G$5:$G$204,$AQ229)&lt;&gt;"",IF(INDEX(C_Pavement!$G$5:$G$204,$AQ229)="-","",INDEX(C_Pavement!$G$5:$G$204,$AQ229)),IF($AS229="","",INDEX(E_Rules!$F$5:$F$9,$AS229))))</f>
        <v/>
      </c>
      <c r="AX229" t="str">
        <f>IF($AQ229="","",IF(INDEX(C_Pavement!$H$5:$H$204,$AQ229)&lt;&gt;"",IF(INDEX(C_Pavement!$H$5:$H$204,$AQ229)="-","",INDEX(C_Pavement!$H$5:$H$204,$AQ229)),IF($AS229="","",INDEX(E_Rules!$G$5:$G$9,$AS229))))</f>
        <v/>
      </c>
      <c r="AY229" t="str">
        <f>IF($AQ229="","",IF(INDEX(C_Pavement!$I$5:$I$204,$AQ229)&lt;&gt;"",IF(INDEX(C_Pavement!$I$5:$I$204,$AQ229)="-","",INDEX(C_Pavement!$I$5:$I$204,$AQ229)),IF($AS229="","",INDEX(E_Rules!$H$5:$H$9,$AS229))))</f>
        <v/>
      </c>
    </row>
    <row r="230" spans="1:51" ht="15.75" customHeight="1" x14ac:dyDescent="0.3">
      <c r="A230" s="189">
        <v>225</v>
      </c>
      <c r="B230" s="180">
        <v>11200</v>
      </c>
      <c r="C230" s="180" t="s">
        <v>536</v>
      </c>
      <c r="D230" s="181" t="str">
        <f>IFERROR(LOOKUP(2,1/((A_Corridor!$A$5:$A$204&lt;&gt;"")*(A_Corridor!$A$5:$A$204&lt;=$B230)*(A_Corridor!$B$5:$B$204&gt;$B230)*(A_Corridor!$C$5:$C$204&lt;&gt;"")),IF(UPPER(A_Corridor!$C$5:$C$204)="Y",1,"")),"")</f>
        <v/>
      </c>
      <c r="E230" s="181" t="str">
        <f>IFERROR(LOOKUP(2,1/((A_Corridor!$A$5:$A$204&lt;&gt;"")*(A_Corridor!$A$5:$A$204&lt;=$B230)*(A_Corridor!$B$5:$B$204&gt;$B230)*(A_Corridor!$D$5:$D$204&lt;&gt;"")),IF(A_Corridor!$D$5:$D$204="-","",UPPER(A_Corridor!$D$5:$D$204))),"")</f>
        <v/>
      </c>
      <c r="F230" s="181" t="str">
        <f>IFERROR(LOOKUP(2,1/((A_Corridor!$A$5:$A$204&lt;&gt;"")*(A_Corridor!$A$5:$A$204&lt;=$B230)*(A_Corridor!$B$5:$B$204&gt;$B230)*(A_Corridor!$E$5:$E$204&lt;&gt;"")),IF(A_Corridor!$E$5:$E$204="-","",1)),"")</f>
        <v/>
      </c>
      <c r="G230" s="182" t="str">
        <f>IFERROR(LOOKUP(2,1/((A_Corridor!$A$5:$A$204&lt;&gt;"")*(A_Corridor!$A$5:$A$204&lt;=$B230)*(A_Corridor!$B$5:$B$204&gt;$B230)*(A_Corridor!$E$5:$E$204&lt;&gt;"")),IF(A_Corridor!$E$5:$E$204="-","",A_Corridor!$E$5:$E$204)),"")</f>
        <v/>
      </c>
      <c r="H230" s="182" t="str">
        <f>IFERROR(LOOKUP(2,1/((D_Points!$A$5:$A$204&lt;&gt;"")*(D_Points!$A$5:$A$204&gt;=$B230)*(D_Points!$A$5:$A$204&lt;$B230+P_Interval)*(UPPER(TRIM(D_Points!$B$5:$B$204))="GULLY")*(D_Points!$H$5:$H$204&lt;&gt;"")),D_Points!$H$5:$H$204),"")</f>
        <v/>
      </c>
      <c r="I230" s="181" t="str">
        <f>IFERROR(LOOKUP(2,1/((A_Corridor!$A$5:$A$204&lt;&gt;"")*(A_Corridor!$A$5:$A$204&lt;=$B230)*(A_Corridor!$B$5:$B$204&gt;$B230)*(A_Corridor!$F$5:$F$204&lt;&gt;"")),IF(A_Corridor!$F$5:$F$204="-","",1)),"")</f>
        <v/>
      </c>
      <c r="J230" s="182" t="str">
        <f>IFERROR(LOOKUP(2,1/((A_Corridor!$A$5:$A$204&lt;&gt;"")*(A_Corridor!$A$5:$A$204&lt;=$B230)*(A_Corridor!$B$5:$B$204&gt;$B230)*(A_Corridor!$F$5:$F$204&lt;&gt;"")),IF(A_Corridor!$F$5:$F$204="-","",A_Corridor!$F$5:$F$204)),"")</f>
        <v/>
      </c>
      <c r="K230" s="182" t="str">
        <f>IFERROR(LOOKUP(2,1/((A_Corridor!$A$5:$A$204&lt;&gt;"")*(A_Corridor!$A$5:$A$204&lt;=$B230)*(A_Corridor!$B$5:$B$204&gt;$B230)*(A_Corridor!$G$5:$G$204&lt;&gt;"")),IF(A_Corridor!$G$5:$G$204="-","",A_Corridor!$G$5:$G$204)),"")</f>
        <v/>
      </c>
      <c r="L230" s="181" t="str">
        <f>IFERROR(LOOKUP(2,1/((A_Corridor!$A$5:$A$204&lt;&gt;"")*(A_Corridor!$A$5:$A$204&lt;=$B230)*(A_Corridor!$B$5:$B$204&gt;$B230)*(A_Corridor!$H$5:$H$204&lt;&gt;"")),IF(A_Corridor!$H$5:$H$204="-","",1)),"")</f>
        <v/>
      </c>
      <c r="M230" s="182" t="str">
        <f>IFERROR(LOOKUP(2,1/((A_Corridor!$A$5:$A$204&lt;&gt;"")*(A_Corridor!$A$5:$A$204&lt;=$B230)*(A_Corridor!$B$5:$B$204&gt;$B230)*(A_Corridor!$H$5:$H$204&lt;&gt;"")),IF(A_Corridor!$H$5:$H$204="-","",A_Corridor!$H$5:$H$204)),"")</f>
        <v/>
      </c>
      <c r="N230" s="182" t="str">
        <f>IFERROR(LOOKUP(2,1/((A_Corridor!$A$5:$A$204&lt;&gt;"")*(A_Corridor!$A$5:$A$204&lt;=$B230)*(A_Corridor!$B$5:$B$204&gt;$B230)*(A_Corridor!$I$5:$I$204&lt;&gt;"")),IF(A_Corridor!$I$5:$I$204="-","",A_Corridor!$I$5:$I$204)),"")</f>
        <v/>
      </c>
      <c r="O230" s="182" t="str">
        <f>IFERROR(LOOKUP(2,1/((D_Points!$A$5:$A$204&lt;&gt;"")*(D_Points!$A$5:$A$204&gt;=$B230)*(D_Points!$A$5:$A$204&lt;$B230+P_Interval)*(UPPER(TRIM(D_Points!$B$5:$B$204))="PITCHING")*(D_Points!$H$5:$H$204&lt;&gt;"")),D_Points!$H$5:$H$204),"")</f>
        <v/>
      </c>
      <c r="P230" s="181" t="str">
        <f>IFERROR(LOOKUP(2,1/((B_Drainage!$A$5:$A$204&lt;&gt;"")*(B_Drainage!$A$5:$A$204&lt;=$B230)*(B_Drainage!$B$5:$B$204&gt;$B230)*(B_Drainage!$C$5:$C$204&lt;&gt;"")),IF(B_Drainage!$C$5:$C$204="-","",UPPER(B_Drainage!$C$5:$C$204))),"")</f>
        <v/>
      </c>
      <c r="Q230" s="181" t="str">
        <f>IFERROR(LOOKUP(2,1/((B_Drainage!$A$5:$A$204&lt;&gt;"")*(B_Drainage!$A$5:$A$204&lt;=$B230)*(B_Drainage!$B$5:$B$204&gt;$B230)*(B_Drainage!$D$5:$D$204&lt;&gt;"")),IF(B_Drainage!$D$5:$D$204="-","",UPPER(B_Drainage!$D$5:$D$204))),"")</f>
        <v/>
      </c>
      <c r="R230" s="182" t="str">
        <f>IFERROR(LOOKUP(2,1/((D_Points!$A$5:$A$204&lt;&gt;"")*(D_Points!$A$5:$A$204&gt;=$B230)*(D_Points!$A$5:$A$204&lt;$B230+P_Interval)*(RIGHT(UPPER(TRIM(D_Points!$B$5:$B$204)),8)="_CULVERT")),IF(LEFT(UPPER(TRIM(D_Points!$B$5:$B$204)),2)="EX",1,IF(LEFT(UPPER(TRIM(D_Points!$B$5:$B$204)),2)="PR",2,3))),"")</f>
        <v/>
      </c>
      <c r="S230" s="182" t="str">
        <f>IFERROR(LOOKUP(2,1/((D_Points!$A$5:$A$204&lt;&gt;"")*(D_Points!$A$5:$A$204&gt;=$B230)*(D_Points!$A$5:$A$204&lt;$B230+P_Interval)*(RIGHT(UPPER(TRIM(D_Points!$B$5:$B$204)),7)="_BRIDGE")),IF(LEFT(UPPER(TRIM(D_Points!$B$5:$B$204)),2)="EX",1,IF(LEFT(UPPER(TRIM(D_Points!$B$5:$B$204)),2)="PR",2,2))),"")</f>
        <v/>
      </c>
      <c r="T230" s="181" t="str">
        <f>IFERROR(LOOKUP(2,1/((B_Drainage!$A$5:$A$204&lt;&gt;"")*(B_Drainage!$A$5:$A$204&lt;=$B230)*(B_Drainage!$B$5:$B$204&gt;$B230)*(B_Drainage!$E$5:$E$204&lt;&gt;"")),IF(B_Drainage!$E$5:$E$204="-","",1)),"")</f>
        <v/>
      </c>
      <c r="U230" s="181" t="str">
        <f>IFERROR(LOOKUP(2,1/((B_Drainage!$A$5:$A$204&lt;&gt;"")*(B_Drainage!$A$5:$A$204&lt;=$B230)*(B_Drainage!$B$5:$B$204&gt;$B230)*(B_Drainage!$E$5:$E$204&lt;&gt;"")),IF(B_Drainage!$E$5:$E$204="-","",B_Drainage!$E$5:$E$204)),"")</f>
        <v/>
      </c>
      <c r="V230" s="181" t="str">
        <f>IFERROR(LOOKUP(2,1/((B_Drainage!$A$5:$A$204&lt;&gt;"")*(B_Drainage!$A$5:$A$204&lt;=$B230)*(B_Drainage!$B$5:$B$204&gt;$B230)*(B_Drainage!$F$5:$F$204&lt;&gt;"")),IF(B_Drainage!$F$5:$F$204="-","",1)),"")</f>
        <v/>
      </c>
      <c r="W230" s="181" t="str">
        <f>IFERROR(LOOKUP(2,1/((B_Drainage!$A$5:$A$204&lt;&gt;"")*(B_Drainage!$A$5:$A$204&lt;=$B230)*(B_Drainage!$B$5:$B$204&gt;$B230)*(B_Drainage!$F$5:$F$204&lt;&gt;"")),IF(B_Drainage!$F$5:$F$204="-","",B_Drainage!$F$5:$F$204)),"")</f>
        <v/>
      </c>
      <c r="X230" s="181" t="str">
        <f>IFERROR(LOOKUP(2,1/((B_Drainage!$A$5:$A$204&lt;&gt;"")*(B_Drainage!$A$5:$A$204&lt;=$B230)*(B_Drainage!$B$5:$B$204&gt;$B230)*(B_Drainage!$G$5:$G$204&lt;&gt;"")),IF(UPPER(B_Drainage!$G$5:$G$204)="Y",1,"")),"")</f>
        <v/>
      </c>
      <c r="Y230" s="181" t="str">
        <f>IFERROR(LOOKUP(2,1/((B_Drainage!$A$5:$A$204&lt;&gt;"")*(B_Drainage!$A$5:$A$204&lt;=$B230)*(B_Drainage!$B$5:$B$204&gt;$B230)*(B_Drainage!$H$5:$H$204&lt;&gt;"")),IF(UPPER(B_Drainage!$H$5:$H$204)="Y",1,"")),"")</f>
        <v/>
      </c>
      <c r="Z230" s="181" t="str">
        <f>IFERROR(LOOKUP(2,1/((B_Drainage!$A$5:$A$204&lt;&gt;"")*(B_Drainage!$A$5:$A$204&lt;=$B230)*(B_Drainage!$B$5:$B$204&gt;$B230)*(B_Drainage!$I$5:$I$204&lt;&gt;"")),IF(UPPER(B_Drainage!$I$5:$I$204)="Y",1,"")),"")</f>
        <v/>
      </c>
      <c r="AA230" s="181" t="str">
        <f>IFERROR(LOOKUP(2,1/((B_Drainage!$A$5:$A$204&lt;&gt;"")*(B_Drainage!$A$5:$A$204&lt;=$B230)*(B_Drainage!$B$5:$B$204&gt;$B230)*(B_Drainage!$J$5:$J$204&lt;&gt;"")),IF(UPPER(B_Drainage!$J$5:$J$204)="Y",1,"")),"")</f>
        <v/>
      </c>
      <c r="AB230" s="182" t="str">
        <f>IFERROR(LOOKUP(2,1/((B_Drainage!$A$5:$A$204&lt;&gt;"")*(B_Drainage!$A$5:$A$204&lt;=$B230)*(B_Drainage!$B$5:$B$204&gt;$B230)*(B_Drainage!$K$5:$K$204&lt;&gt;"")),IF(B_Drainage!$K$5:$K$204="-","",B_Drainage!$K$5:$K$204)),"")</f>
        <v/>
      </c>
      <c r="AC230" s="182" t="str">
        <f>IFERROR(LOOKUP(2,1/((B_Drainage!$A$5:$A$204&lt;&gt;"")*(B_Drainage!$A$5:$A$204&lt;=$B230)*(B_Drainage!$B$5:$B$204&gt;$B230)*(B_Drainage!$L$5:$L$204&lt;&gt;"")),IF(B_Drainage!$L$5:$L$204="-","",B_Drainage!$L$5:$L$204)),"")</f>
        <v/>
      </c>
      <c r="AD230" s="182" t="str">
        <f>IFERROR(LOOKUP(2,1/((D_Points!$A$5:$A$204&lt;&gt;"")*(D_Points!$A$5:$A$204&gt;=$B230)*(D_Points!$A$5:$A$204&lt;$B230+P_Interval)*(UPPER(TRIM(D_Points!$B$5:$B$204))="TURNOUT_L")*(D_Points!$H$5:$H$204&lt;&gt;"")),D_Points!$H$5:$H$204),"")</f>
        <v/>
      </c>
      <c r="AE230" s="182" t="str">
        <f>IFERROR(LOOKUP(2,1/((D_Points!$A$5:$A$204&lt;&gt;"")*(D_Points!$A$5:$A$204&gt;=$B230)*(D_Points!$A$5:$A$204&lt;$B230+P_Interval)*(UPPER(TRIM(D_Points!$B$5:$B$204))="TURNOUT_R")*(D_Points!$H$5:$H$204&lt;&gt;"")),D_Points!$H$5:$H$204),"")</f>
        <v/>
      </c>
      <c r="AF230" s="181" t="str">
        <f>IFERROR(LOOKUP(2,1/((B_Drainage!$A$5:$A$204&lt;&gt;"")*(B_Drainage!$A$5:$A$204&lt;=$B230)*(B_Drainage!$B$5:$B$204&gt;$B230)*(B_Drainage!$M$5:$M$204&lt;&gt;"")),IF(UPPER(B_Drainage!$M$5:$M$204)="Y",1,"")),"")</f>
        <v/>
      </c>
      <c r="AG230" s="181" t="str">
        <f>IFERROR(LOOKUP(2,1/((B_Drainage!$A$5:$A$204&lt;&gt;"")*(B_Drainage!$A$5:$A$204&lt;=$B230)*(B_Drainage!$B$5:$B$204&gt;$B230)*(B_Drainage!$N$5:$N$204&lt;&gt;"")),IF(UPPER(B_Drainage!$N$5:$N$204)="Y",1,"")),"")</f>
        <v/>
      </c>
      <c r="AH230" s="181" t="str">
        <f t="shared" si="24"/>
        <v/>
      </c>
      <c r="AI230" s="181" t="str">
        <f t="shared" si="25"/>
        <v/>
      </c>
      <c r="AJ230" s="181" t="str">
        <f t="shared" si="26"/>
        <v/>
      </c>
      <c r="AK230" s="181" t="str">
        <f t="shared" si="27"/>
        <v/>
      </c>
      <c r="AL230" s="181" t="str">
        <f t="shared" si="28"/>
        <v/>
      </c>
      <c r="AM230" s="181" t="str">
        <f t="shared" si="29"/>
        <v/>
      </c>
      <c r="AN230" s="181" t="str">
        <f t="shared" si="30"/>
        <v/>
      </c>
      <c r="AO230" s="192" t="str">
        <f t="shared" si="31"/>
        <v/>
      </c>
      <c r="AQ230" t="str">
        <f>IFERROR(LOOKUP(2,1/((C_Pavement!$A$5:$A$204&lt;&gt;"")*(C_Pavement!$A$5:$A$204&lt;=$B230)*(C_Pavement!$B$5:$B$204&gt;$B230)*(C_Pavement!$C$5:$C$204&lt;&gt;"")),ROW(C_Pavement!$C$5:$C$204)-4),"")</f>
        <v/>
      </c>
      <c r="AR230" t="str">
        <f>IF($AQ230="","",UPPER(TRIM(INDEX(C_Pavement!$C$5:$C$204,$AQ230))))</f>
        <v/>
      </c>
      <c r="AS230" t="str">
        <f>IF($AR230="","",IFERROR(MATCH($AR230,E_Rules!$A$5:$A$9,0),""))</f>
        <v/>
      </c>
      <c r="AT230" t="str">
        <f>IF($AQ230="","",IF(INDEX(C_Pavement!$D$5:$D$204,$AQ230)&lt;&gt;"",UPPER(TRIM(INDEX(C_Pavement!$D$5:$D$204,$AQ230))),IF($AS230="","",INDEX(E_Rules!$C$5:$C$9,$AS230))))</f>
        <v/>
      </c>
      <c r="AU230" t="str">
        <f>IF($AQ230="","",IF(INDEX(C_Pavement!$E$5:$E$204,$AQ230)&lt;&gt;"",IF(INDEX(C_Pavement!$E$5:$E$204,$AQ230)="-","",INDEX(C_Pavement!$E$5:$E$204,$AQ230)),IF($AS230="","",INDEX(E_Rules!$D$5:$D$9,$AS230))))</f>
        <v/>
      </c>
      <c r="AV230" t="str">
        <f>IF($AQ230="","",IF(INDEX(C_Pavement!$F$5:$F$204,$AQ230)&lt;&gt;"",IF(INDEX(C_Pavement!$F$5:$F$204,$AQ230)="-","",INDEX(C_Pavement!$F$5:$F$204,$AQ230)),IF($AS230="","",INDEX(E_Rules!$E$5:$E$9,$AS230))))</f>
        <v/>
      </c>
      <c r="AW230" t="str">
        <f>IF($AQ230="","",IF(INDEX(C_Pavement!$G$5:$G$204,$AQ230)&lt;&gt;"",IF(INDEX(C_Pavement!$G$5:$G$204,$AQ230)="-","",INDEX(C_Pavement!$G$5:$G$204,$AQ230)),IF($AS230="","",INDEX(E_Rules!$F$5:$F$9,$AS230))))</f>
        <v/>
      </c>
      <c r="AX230" t="str">
        <f>IF($AQ230="","",IF(INDEX(C_Pavement!$H$5:$H$204,$AQ230)&lt;&gt;"",IF(INDEX(C_Pavement!$H$5:$H$204,$AQ230)="-","",INDEX(C_Pavement!$H$5:$H$204,$AQ230)),IF($AS230="","",INDEX(E_Rules!$G$5:$G$9,$AS230))))</f>
        <v/>
      </c>
      <c r="AY230" t="str">
        <f>IF($AQ230="","",IF(INDEX(C_Pavement!$I$5:$I$204,$AQ230)&lt;&gt;"",IF(INDEX(C_Pavement!$I$5:$I$204,$AQ230)="-","",INDEX(C_Pavement!$I$5:$I$204,$AQ230)),IF($AS230="","",INDEX(E_Rules!$H$5:$H$9,$AS230))))</f>
        <v/>
      </c>
    </row>
    <row r="231" spans="1:51" ht="15.75" customHeight="1" x14ac:dyDescent="0.3">
      <c r="A231" s="189">
        <v>226</v>
      </c>
      <c r="B231" s="180">
        <v>11250</v>
      </c>
      <c r="C231" s="180" t="s">
        <v>537</v>
      </c>
      <c r="D231" s="181" t="str">
        <f>IFERROR(LOOKUP(2,1/((A_Corridor!$A$5:$A$204&lt;&gt;"")*(A_Corridor!$A$5:$A$204&lt;=$B231)*(A_Corridor!$B$5:$B$204&gt;$B231)*(A_Corridor!$C$5:$C$204&lt;&gt;"")),IF(UPPER(A_Corridor!$C$5:$C$204)="Y",1,"")),"")</f>
        <v/>
      </c>
      <c r="E231" s="181" t="str">
        <f>IFERROR(LOOKUP(2,1/((A_Corridor!$A$5:$A$204&lt;&gt;"")*(A_Corridor!$A$5:$A$204&lt;=$B231)*(A_Corridor!$B$5:$B$204&gt;$B231)*(A_Corridor!$D$5:$D$204&lt;&gt;"")),IF(A_Corridor!$D$5:$D$204="-","",UPPER(A_Corridor!$D$5:$D$204))),"")</f>
        <v/>
      </c>
      <c r="F231" s="181" t="str">
        <f>IFERROR(LOOKUP(2,1/((A_Corridor!$A$5:$A$204&lt;&gt;"")*(A_Corridor!$A$5:$A$204&lt;=$B231)*(A_Corridor!$B$5:$B$204&gt;$B231)*(A_Corridor!$E$5:$E$204&lt;&gt;"")),IF(A_Corridor!$E$5:$E$204="-","",1)),"")</f>
        <v/>
      </c>
      <c r="G231" s="182" t="str">
        <f>IFERROR(LOOKUP(2,1/((A_Corridor!$A$5:$A$204&lt;&gt;"")*(A_Corridor!$A$5:$A$204&lt;=$B231)*(A_Corridor!$B$5:$B$204&gt;$B231)*(A_Corridor!$E$5:$E$204&lt;&gt;"")),IF(A_Corridor!$E$5:$E$204="-","",A_Corridor!$E$5:$E$204)),"")</f>
        <v/>
      </c>
      <c r="H231" s="182" t="str">
        <f>IFERROR(LOOKUP(2,1/((D_Points!$A$5:$A$204&lt;&gt;"")*(D_Points!$A$5:$A$204&gt;=$B231)*(D_Points!$A$5:$A$204&lt;$B231+P_Interval)*(UPPER(TRIM(D_Points!$B$5:$B$204))="GULLY")*(D_Points!$H$5:$H$204&lt;&gt;"")),D_Points!$H$5:$H$204),"")</f>
        <v/>
      </c>
      <c r="I231" s="181" t="str">
        <f>IFERROR(LOOKUP(2,1/((A_Corridor!$A$5:$A$204&lt;&gt;"")*(A_Corridor!$A$5:$A$204&lt;=$B231)*(A_Corridor!$B$5:$B$204&gt;$B231)*(A_Corridor!$F$5:$F$204&lt;&gt;"")),IF(A_Corridor!$F$5:$F$204="-","",1)),"")</f>
        <v/>
      </c>
      <c r="J231" s="182" t="str">
        <f>IFERROR(LOOKUP(2,1/((A_Corridor!$A$5:$A$204&lt;&gt;"")*(A_Corridor!$A$5:$A$204&lt;=$B231)*(A_Corridor!$B$5:$B$204&gt;$B231)*(A_Corridor!$F$5:$F$204&lt;&gt;"")),IF(A_Corridor!$F$5:$F$204="-","",A_Corridor!$F$5:$F$204)),"")</f>
        <v/>
      </c>
      <c r="K231" s="182" t="str">
        <f>IFERROR(LOOKUP(2,1/((A_Corridor!$A$5:$A$204&lt;&gt;"")*(A_Corridor!$A$5:$A$204&lt;=$B231)*(A_Corridor!$B$5:$B$204&gt;$B231)*(A_Corridor!$G$5:$G$204&lt;&gt;"")),IF(A_Corridor!$G$5:$G$204="-","",A_Corridor!$G$5:$G$204)),"")</f>
        <v/>
      </c>
      <c r="L231" s="181" t="str">
        <f>IFERROR(LOOKUP(2,1/((A_Corridor!$A$5:$A$204&lt;&gt;"")*(A_Corridor!$A$5:$A$204&lt;=$B231)*(A_Corridor!$B$5:$B$204&gt;$B231)*(A_Corridor!$H$5:$H$204&lt;&gt;"")),IF(A_Corridor!$H$5:$H$204="-","",1)),"")</f>
        <v/>
      </c>
      <c r="M231" s="182" t="str">
        <f>IFERROR(LOOKUP(2,1/((A_Corridor!$A$5:$A$204&lt;&gt;"")*(A_Corridor!$A$5:$A$204&lt;=$B231)*(A_Corridor!$B$5:$B$204&gt;$B231)*(A_Corridor!$H$5:$H$204&lt;&gt;"")),IF(A_Corridor!$H$5:$H$204="-","",A_Corridor!$H$5:$H$204)),"")</f>
        <v/>
      </c>
      <c r="N231" s="182" t="str">
        <f>IFERROR(LOOKUP(2,1/((A_Corridor!$A$5:$A$204&lt;&gt;"")*(A_Corridor!$A$5:$A$204&lt;=$B231)*(A_Corridor!$B$5:$B$204&gt;$B231)*(A_Corridor!$I$5:$I$204&lt;&gt;"")),IF(A_Corridor!$I$5:$I$204="-","",A_Corridor!$I$5:$I$204)),"")</f>
        <v/>
      </c>
      <c r="O231" s="182" t="str">
        <f>IFERROR(LOOKUP(2,1/((D_Points!$A$5:$A$204&lt;&gt;"")*(D_Points!$A$5:$A$204&gt;=$B231)*(D_Points!$A$5:$A$204&lt;$B231+P_Interval)*(UPPER(TRIM(D_Points!$B$5:$B$204))="PITCHING")*(D_Points!$H$5:$H$204&lt;&gt;"")),D_Points!$H$5:$H$204),"")</f>
        <v/>
      </c>
      <c r="P231" s="181" t="str">
        <f>IFERROR(LOOKUP(2,1/((B_Drainage!$A$5:$A$204&lt;&gt;"")*(B_Drainage!$A$5:$A$204&lt;=$B231)*(B_Drainage!$B$5:$B$204&gt;$B231)*(B_Drainage!$C$5:$C$204&lt;&gt;"")),IF(B_Drainage!$C$5:$C$204="-","",UPPER(B_Drainage!$C$5:$C$204))),"")</f>
        <v/>
      </c>
      <c r="Q231" s="181" t="str">
        <f>IFERROR(LOOKUP(2,1/((B_Drainage!$A$5:$A$204&lt;&gt;"")*(B_Drainage!$A$5:$A$204&lt;=$B231)*(B_Drainage!$B$5:$B$204&gt;$B231)*(B_Drainage!$D$5:$D$204&lt;&gt;"")),IF(B_Drainage!$D$5:$D$204="-","",UPPER(B_Drainage!$D$5:$D$204))),"")</f>
        <v/>
      </c>
      <c r="R231" s="182" t="str">
        <f>IFERROR(LOOKUP(2,1/((D_Points!$A$5:$A$204&lt;&gt;"")*(D_Points!$A$5:$A$204&gt;=$B231)*(D_Points!$A$5:$A$204&lt;$B231+P_Interval)*(RIGHT(UPPER(TRIM(D_Points!$B$5:$B$204)),8)="_CULVERT")),IF(LEFT(UPPER(TRIM(D_Points!$B$5:$B$204)),2)="EX",1,IF(LEFT(UPPER(TRIM(D_Points!$B$5:$B$204)),2)="PR",2,3))),"")</f>
        <v/>
      </c>
      <c r="S231" s="182" t="str">
        <f>IFERROR(LOOKUP(2,1/((D_Points!$A$5:$A$204&lt;&gt;"")*(D_Points!$A$5:$A$204&gt;=$B231)*(D_Points!$A$5:$A$204&lt;$B231+P_Interval)*(RIGHT(UPPER(TRIM(D_Points!$B$5:$B$204)),7)="_BRIDGE")),IF(LEFT(UPPER(TRIM(D_Points!$B$5:$B$204)),2)="EX",1,IF(LEFT(UPPER(TRIM(D_Points!$B$5:$B$204)),2)="PR",2,2))),"")</f>
        <v/>
      </c>
      <c r="T231" s="181" t="str">
        <f>IFERROR(LOOKUP(2,1/((B_Drainage!$A$5:$A$204&lt;&gt;"")*(B_Drainage!$A$5:$A$204&lt;=$B231)*(B_Drainage!$B$5:$B$204&gt;$B231)*(B_Drainage!$E$5:$E$204&lt;&gt;"")),IF(B_Drainage!$E$5:$E$204="-","",1)),"")</f>
        <v/>
      </c>
      <c r="U231" s="181" t="str">
        <f>IFERROR(LOOKUP(2,1/((B_Drainage!$A$5:$A$204&lt;&gt;"")*(B_Drainage!$A$5:$A$204&lt;=$B231)*(B_Drainage!$B$5:$B$204&gt;$B231)*(B_Drainage!$E$5:$E$204&lt;&gt;"")),IF(B_Drainage!$E$5:$E$204="-","",B_Drainage!$E$5:$E$204)),"")</f>
        <v/>
      </c>
      <c r="V231" s="181" t="str">
        <f>IFERROR(LOOKUP(2,1/((B_Drainage!$A$5:$A$204&lt;&gt;"")*(B_Drainage!$A$5:$A$204&lt;=$B231)*(B_Drainage!$B$5:$B$204&gt;$B231)*(B_Drainage!$F$5:$F$204&lt;&gt;"")),IF(B_Drainage!$F$5:$F$204="-","",1)),"")</f>
        <v/>
      </c>
      <c r="W231" s="181" t="str">
        <f>IFERROR(LOOKUP(2,1/((B_Drainage!$A$5:$A$204&lt;&gt;"")*(B_Drainage!$A$5:$A$204&lt;=$B231)*(B_Drainage!$B$5:$B$204&gt;$B231)*(B_Drainage!$F$5:$F$204&lt;&gt;"")),IF(B_Drainage!$F$5:$F$204="-","",B_Drainage!$F$5:$F$204)),"")</f>
        <v/>
      </c>
      <c r="X231" s="181" t="str">
        <f>IFERROR(LOOKUP(2,1/((B_Drainage!$A$5:$A$204&lt;&gt;"")*(B_Drainage!$A$5:$A$204&lt;=$B231)*(B_Drainage!$B$5:$B$204&gt;$B231)*(B_Drainage!$G$5:$G$204&lt;&gt;"")),IF(UPPER(B_Drainage!$G$5:$G$204)="Y",1,"")),"")</f>
        <v/>
      </c>
      <c r="Y231" s="181" t="str">
        <f>IFERROR(LOOKUP(2,1/((B_Drainage!$A$5:$A$204&lt;&gt;"")*(B_Drainage!$A$5:$A$204&lt;=$B231)*(B_Drainage!$B$5:$B$204&gt;$B231)*(B_Drainage!$H$5:$H$204&lt;&gt;"")),IF(UPPER(B_Drainage!$H$5:$H$204)="Y",1,"")),"")</f>
        <v/>
      </c>
      <c r="Z231" s="181" t="str">
        <f>IFERROR(LOOKUP(2,1/((B_Drainage!$A$5:$A$204&lt;&gt;"")*(B_Drainage!$A$5:$A$204&lt;=$B231)*(B_Drainage!$B$5:$B$204&gt;$B231)*(B_Drainage!$I$5:$I$204&lt;&gt;"")),IF(UPPER(B_Drainage!$I$5:$I$204)="Y",1,"")),"")</f>
        <v/>
      </c>
      <c r="AA231" s="181" t="str">
        <f>IFERROR(LOOKUP(2,1/((B_Drainage!$A$5:$A$204&lt;&gt;"")*(B_Drainage!$A$5:$A$204&lt;=$B231)*(B_Drainage!$B$5:$B$204&gt;$B231)*(B_Drainage!$J$5:$J$204&lt;&gt;"")),IF(UPPER(B_Drainage!$J$5:$J$204)="Y",1,"")),"")</f>
        <v/>
      </c>
      <c r="AB231" s="182" t="str">
        <f>IFERROR(LOOKUP(2,1/((B_Drainage!$A$5:$A$204&lt;&gt;"")*(B_Drainage!$A$5:$A$204&lt;=$B231)*(B_Drainage!$B$5:$B$204&gt;$B231)*(B_Drainage!$K$5:$K$204&lt;&gt;"")),IF(B_Drainage!$K$5:$K$204="-","",B_Drainage!$K$5:$K$204)),"")</f>
        <v/>
      </c>
      <c r="AC231" s="182" t="str">
        <f>IFERROR(LOOKUP(2,1/((B_Drainage!$A$5:$A$204&lt;&gt;"")*(B_Drainage!$A$5:$A$204&lt;=$B231)*(B_Drainage!$B$5:$B$204&gt;$B231)*(B_Drainage!$L$5:$L$204&lt;&gt;"")),IF(B_Drainage!$L$5:$L$204="-","",B_Drainage!$L$5:$L$204)),"")</f>
        <v/>
      </c>
      <c r="AD231" s="182" t="str">
        <f>IFERROR(LOOKUP(2,1/((D_Points!$A$5:$A$204&lt;&gt;"")*(D_Points!$A$5:$A$204&gt;=$B231)*(D_Points!$A$5:$A$204&lt;$B231+P_Interval)*(UPPER(TRIM(D_Points!$B$5:$B$204))="TURNOUT_L")*(D_Points!$H$5:$H$204&lt;&gt;"")),D_Points!$H$5:$H$204),"")</f>
        <v/>
      </c>
      <c r="AE231" s="182" t="str">
        <f>IFERROR(LOOKUP(2,1/((D_Points!$A$5:$A$204&lt;&gt;"")*(D_Points!$A$5:$A$204&gt;=$B231)*(D_Points!$A$5:$A$204&lt;$B231+P_Interval)*(UPPER(TRIM(D_Points!$B$5:$B$204))="TURNOUT_R")*(D_Points!$H$5:$H$204&lt;&gt;"")),D_Points!$H$5:$H$204),"")</f>
        <v/>
      </c>
      <c r="AF231" s="181" t="str">
        <f>IFERROR(LOOKUP(2,1/((B_Drainage!$A$5:$A$204&lt;&gt;"")*(B_Drainage!$A$5:$A$204&lt;=$B231)*(B_Drainage!$B$5:$B$204&gt;$B231)*(B_Drainage!$M$5:$M$204&lt;&gt;"")),IF(UPPER(B_Drainage!$M$5:$M$204)="Y",1,"")),"")</f>
        <v/>
      </c>
      <c r="AG231" s="181" t="str">
        <f>IFERROR(LOOKUP(2,1/((B_Drainage!$A$5:$A$204&lt;&gt;"")*(B_Drainage!$A$5:$A$204&lt;=$B231)*(B_Drainage!$B$5:$B$204&gt;$B231)*(B_Drainage!$N$5:$N$204&lt;&gt;"")),IF(UPPER(B_Drainage!$N$5:$N$204)="Y",1,"")),"")</f>
        <v/>
      </c>
      <c r="AH231" s="181" t="str">
        <f t="shared" si="24"/>
        <v/>
      </c>
      <c r="AI231" s="181" t="str">
        <f t="shared" si="25"/>
        <v/>
      </c>
      <c r="AJ231" s="181" t="str">
        <f t="shared" si="26"/>
        <v/>
      </c>
      <c r="AK231" s="181" t="str">
        <f t="shared" si="27"/>
        <v/>
      </c>
      <c r="AL231" s="181" t="str">
        <f t="shared" si="28"/>
        <v/>
      </c>
      <c r="AM231" s="181" t="str">
        <f t="shared" si="29"/>
        <v/>
      </c>
      <c r="AN231" s="181" t="str">
        <f t="shared" si="30"/>
        <v/>
      </c>
      <c r="AO231" s="192" t="str">
        <f t="shared" si="31"/>
        <v/>
      </c>
      <c r="AQ231" t="str">
        <f>IFERROR(LOOKUP(2,1/((C_Pavement!$A$5:$A$204&lt;&gt;"")*(C_Pavement!$A$5:$A$204&lt;=$B231)*(C_Pavement!$B$5:$B$204&gt;$B231)*(C_Pavement!$C$5:$C$204&lt;&gt;"")),ROW(C_Pavement!$C$5:$C$204)-4),"")</f>
        <v/>
      </c>
      <c r="AR231" t="str">
        <f>IF($AQ231="","",UPPER(TRIM(INDEX(C_Pavement!$C$5:$C$204,$AQ231))))</f>
        <v/>
      </c>
      <c r="AS231" t="str">
        <f>IF($AR231="","",IFERROR(MATCH($AR231,E_Rules!$A$5:$A$9,0),""))</f>
        <v/>
      </c>
      <c r="AT231" t="str">
        <f>IF($AQ231="","",IF(INDEX(C_Pavement!$D$5:$D$204,$AQ231)&lt;&gt;"",UPPER(TRIM(INDEX(C_Pavement!$D$5:$D$204,$AQ231))),IF($AS231="","",INDEX(E_Rules!$C$5:$C$9,$AS231))))</f>
        <v/>
      </c>
      <c r="AU231" t="str">
        <f>IF($AQ231="","",IF(INDEX(C_Pavement!$E$5:$E$204,$AQ231)&lt;&gt;"",IF(INDEX(C_Pavement!$E$5:$E$204,$AQ231)="-","",INDEX(C_Pavement!$E$5:$E$204,$AQ231)),IF($AS231="","",INDEX(E_Rules!$D$5:$D$9,$AS231))))</f>
        <v/>
      </c>
      <c r="AV231" t="str">
        <f>IF($AQ231="","",IF(INDEX(C_Pavement!$F$5:$F$204,$AQ231)&lt;&gt;"",IF(INDEX(C_Pavement!$F$5:$F$204,$AQ231)="-","",INDEX(C_Pavement!$F$5:$F$204,$AQ231)),IF($AS231="","",INDEX(E_Rules!$E$5:$E$9,$AS231))))</f>
        <v/>
      </c>
      <c r="AW231" t="str">
        <f>IF($AQ231="","",IF(INDEX(C_Pavement!$G$5:$G$204,$AQ231)&lt;&gt;"",IF(INDEX(C_Pavement!$G$5:$G$204,$AQ231)="-","",INDEX(C_Pavement!$G$5:$G$204,$AQ231)),IF($AS231="","",INDEX(E_Rules!$F$5:$F$9,$AS231))))</f>
        <v/>
      </c>
      <c r="AX231" t="str">
        <f>IF($AQ231="","",IF(INDEX(C_Pavement!$H$5:$H$204,$AQ231)&lt;&gt;"",IF(INDEX(C_Pavement!$H$5:$H$204,$AQ231)="-","",INDEX(C_Pavement!$H$5:$H$204,$AQ231)),IF($AS231="","",INDEX(E_Rules!$G$5:$G$9,$AS231))))</f>
        <v/>
      </c>
      <c r="AY231" t="str">
        <f>IF($AQ231="","",IF(INDEX(C_Pavement!$I$5:$I$204,$AQ231)&lt;&gt;"",IF(INDEX(C_Pavement!$I$5:$I$204,$AQ231)="-","",INDEX(C_Pavement!$I$5:$I$204,$AQ231)),IF($AS231="","",INDEX(E_Rules!$H$5:$H$9,$AS231))))</f>
        <v/>
      </c>
    </row>
    <row r="232" spans="1:51" ht="15.75" customHeight="1" x14ac:dyDescent="0.3">
      <c r="A232" s="189">
        <v>227</v>
      </c>
      <c r="B232" s="180">
        <v>11300</v>
      </c>
      <c r="C232" s="180" t="s">
        <v>538</v>
      </c>
      <c r="D232" s="181" t="str">
        <f>IFERROR(LOOKUP(2,1/((A_Corridor!$A$5:$A$204&lt;&gt;"")*(A_Corridor!$A$5:$A$204&lt;=$B232)*(A_Corridor!$B$5:$B$204&gt;$B232)*(A_Corridor!$C$5:$C$204&lt;&gt;"")),IF(UPPER(A_Corridor!$C$5:$C$204)="Y",1,"")),"")</f>
        <v/>
      </c>
      <c r="E232" s="181" t="str">
        <f>IFERROR(LOOKUP(2,1/((A_Corridor!$A$5:$A$204&lt;&gt;"")*(A_Corridor!$A$5:$A$204&lt;=$B232)*(A_Corridor!$B$5:$B$204&gt;$B232)*(A_Corridor!$D$5:$D$204&lt;&gt;"")),IF(A_Corridor!$D$5:$D$204="-","",UPPER(A_Corridor!$D$5:$D$204))),"")</f>
        <v/>
      </c>
      <c r="F232" s="181" t="str">
        <f>IFERROR(LOOKUP(2,1/((A_Corridor!$A$5:$A$204&lt;&gt;"")*(A_Corridor!$A$5:$A$204&lt;=$B232)*(A_Corridor!$B$5:$B$204&gt;$B232)*(A_Corridor!$E$5:$E$204&lt;&gt;"")),IF(A_Corridor!$E$5:$E$204="-","",1)),"")</f>
        <v/>
      </c>
      <c r="G232" s="182" t="str">
        <f>IFERROR(LOOKUP(2,1/((A_Corridor!$A$5:$A$204&lt;&gt;"")*(A_Corridor!$A$5:$A$204&lt;=$B232)*(A_Corridor!$B$5:$B$204&gt;$B232)*(A_Corridor!$E$5:$E$204&lt;&gt;"")),IF(A_Corridor!$E$5:$E$204="-","",A_Corridor!$E$5:$E$204)),"")</f>
        <v/>
      </c>
      <c r="H232" s="182" t="str">
        <f>IFERROR(LOOKUP(2,1/((D_Points!$A$5:$A$204&lt;&gt;"")*(D_Points!$A$5:$A$204&gt;=$B232)*(D_Points!$A$5:$A$204&lt;$B232+P_Interval)*(UPPER(TRIM(D_Points!$B$5:$B$204))="GULLY")*(D_Points!$H$5:$H$204&lt;&gt;"")),D_Points!$H$5:$H$204),"")</f>
        <v/>
      </c>
      <c r="I232" s="181" t="str">
        <f>IFERROR(LOOKUP(2,1/((A_Corridor!$A$5:$A$204&lt;&gt;"")*(A_Corridor!$A$5:$A$204&lt;=$B232)*(A_Corridor!$B$5:$B$204&gt;$B232)*(A_Corridor!$F$5:$F$204&lt;&gt;"")),IF(A_Corridor!$F$5:$F$204="-","",1)),"")</f>
        <v/>
      </c>
      <c r="J232" s="182" t="str">
        <f>IFERROR(LOOKUP(2,1/((A_Corridor!$A$5:$A$204&lt;&gt;"")*(A_Corridor!$A$5:$A$204&lt;=$B232)*(A_Corridor!$B$5:$B$204&gt;$B232)*(A_Corridor!$F$5:$F$204&lt;&gt;"")),IF(A_Corridor!$F$5:$F$204="-","",A_Corridor!$F$5:$F$204)),"")</f>
        <v/>
      </c>
      <c r="K232" s="182" t="str">
        <f>IFERROR(LOOKUP(2,1/((A_Corridor!$A$5:$A$204&lt;&gt;"")*(A_Corridor!$A$5:$A$204&lt;=$B232)*(A_Corridor!$B$5:$B$204&gt;$B232)*(A_Corridor!$G$5:$G$204&lt;&gt;"")),IF(A_Corridor!$G$5:$G$204="-","",A_Corridor!$G$5:$G$204)),"")</f>
        <v/>
      </c>
      <c r="L232" s="181" t="str">
        <f>IFERROR(LOOKUP(2,1/((A_Corridor!$A$5:$A$204&lt;&gt;"")*(A_Corridor!$A$5:$A$204&lt;=$B232)*(A_Corridor!$B$5:$B$204&gt;$B232)*(A_Corridor!$H$5:$H$204&lt;&gt;"")),IF(A_Corridor!$H$5:$H$204="-","",1)),"")</f>
        <v/>
      </c>
      <c r="M232" s="182" t="str">
        <f>IFERROR(LOOKUP(2,1/((A_Corridor!$A$5:$A$204&lt;&gt;"")*(A_Corridor!$A$5:$A$204&lt;=$B232)*(A_Corridor!$B$5:$B$204&gt;$B232)*(A_Corridor!$H$5:$H$204&lt;&gt;"")),IF(A_Corridor!$H$5:$H$204="-","",A_Corridor!$H$5:$H$204)),"")</f>
        <v/>
      </c>
      <c r="N232" s="182" t="str">
        <f>IFERROR(LOOKUP(2,1/((A_Corridor!$A$5:$A$204&lt;&gt;"")*(A_Corridor!$A$5:$A$204&lt;=$B232)*(A_Corridor!$B$5:$B$204&gt;$B232)*(A_Corridor!$I$5:$I$204&lt;&gt;"")),IF(A_Corridor!$I$5:$I$204="-","",A_Corridor!$I$5:$I$204)),"")</f>
        <v/>
      </c>
      <c r="O232" s="182" t="str">
        <f>IFERROR(LOOKUP(2,1/((D_Points!$A$5:$A$204&lt;&gt;"")*(D_Points!$A$5:$A$204&gt;=$B232)*(D_Points!$A$5:$A$204&lt;$B232+P_Interval)*(UPPER(TRIM(D_Points!$B$5:$B$204))="PITCHING")*(D_Points!$H$5:$H$204&lt;&gt;"")),D_Points!$H$5:$H$204),"")</f>
        <v/>
      </c>
      <c r="P232" s="181" t="str">
        <f>IFERROR(LOOKUP(2,1/((B_Drainage!$A$5:$A$204&lt;&gt;"")*(B_Drainage!$A$5:$A$204&lt;=$B232)*(B_Drainage!$B$5:$B$204&gt;$B232)*(B_Drainage!$C$5:$C$204&lt;&gt;"")),IF(B_Drainage!$C$5:$C$204="-","",UPPER(B_Drainage!$C$5:$C$204))),"")</f>
        <v/>
      </c>
      <c r="Q232" s="181" t="str">
        <f>IFERROR(LOOKUP(2,1/((B_Drainage!$A$5:$A$204&lt;&gt;"")*(B_Drainage!$A$5:$A$204&lt;=$B232)*(B_Drainage!$B$5:$B$204&gt;$B232)*(B_Drainage!$D$5:$D$204&lt;&gt;"")),IF(B_Drainage!$D$5:$D$204="-","",UPPER(B_Drainage!$D$5:$D$204))),"")</f>
        <v/>
      </c>
      <c r="R232" s="182" t="str">
        <f>IFERROR(LOOKUP(2,1/((D_Points!$A$5:$A$204&lt;&gt;"")*(D_Points!$A$5:$A$204&gt;=$B232)*(D_Points!$A$5:$A$204&lt;$B232+P_Interval)*(RIGHT(UPPER(TRIM(D_Points!$B$5:$B$204)),8)="_CULVERT")),IF(LEFT(UPPER(TRIM(D_Points!$B$5:$B$204)),2)="EX",1,IF(LEFT(UPPER(TRIM(D_Points!$B$5:$B$204)),2)="PR",2,3))),"")</f>
        <v/>
      </c>
      <c r="S232" s="182" t="str">
        <f>IFERROR(LOOKUP(2,1/((D_Points!$A$5:$A$204&lt;&gt;"")*(D_Points!$A$5:$A$204&gt;=$B232)*(D_Points!$A$5:$A$204&lt;$B232+P_Interval)*(RIGHT(UPPER(TRIM(D_Points!$B$5:$B$204)),7)="_BRIDGE")),IF(LEFT(UPPER(TRIM(D_Points!$B$5:$B$204)),2)="EX",1,IF(LEFT(UPPER(TRIM(D_Points!$B$5:$B$204)),2)="PR",2,2))),"")</f>
        <v/>
      </c>
      <c r="T232" s="181" t="str">
        <f>IFERROR(LOOKUP(2,1/((B_Drainage!$A$5:$A$204&lt;&gt;"")*(B_Drainage!$A$5:$A$204&lt;=$B232)*(B_Drainage!$B$5:$B$204&gt;$B232)*(B_Drainage!$E$5:$E$204&lt;&gt;"")),IF(B_Drainage!$E$5:$E$204="-","",1)),"")</f>
        <v/>
      </c>
      <c r="U232" s="181" t="str">
        <f>IFERROR(LOOKUP(2,1/((B_Drainage!$A$5:$A$204&lt;&gt;"")*(B_Drainage!$A$5:$A$204&lt;=$B232)*(B_Drainage!$B$5:$B$204&gt;$B232)*(B_Drainage!$E$5:$E$204&lt;&gt;"")),IF(B_Drainage!$E$5:$E$204="-","",B_Drainage!$E$5:$E$204)),"")</f>
        <v/>
      </c>
      <c r="V232" s="181" t="str">
        <f>IFERROR(LOOKUP(2,1/((B_Drainage!$A$5:$A$204&lt;&gt;"")*(B_Drainage!$A$5:$A$204&lt;=$B232)*(B_Drainage!$B$5:$B$204&gt;$B232)*(B_Drainage!$F$5:$F$204&lt;&gt;"")),IF(B_Drainage!$F$5:$F$204="-","",1)),"")</f>
        <v/>
      </c>
      <c r="W232" s="181" t="str">
        <f>IFERROR(LOOKUP(2,1/((B_Drainage!$A$5:$A$204&lt;&gt;"")*(B_Drainage!$A$5:$A$204&lt;=$B232)*(B_Drainage!$B$5:$B$204&gt;$B232)*(B_Drainage!$F$5:$F$204&lt;&gt;"")),IF(B_Drainage!$F$5:$F$204="-","",B_Drainage!$F$5:$F$204)),"")</f>
        <v/>
      </c>
      <c r="X232" s="181" t="str">
        <f>IFERROR(LOOKUP(2,1/((B_Drainage!$A$5:$A$204&lt;&gt;"")*(B_Drainage!$A$5:$A$204&lt;=$B232)*(B_Drainage!$B$5:$B$204&gt;$B232)*(B_Drainage!$G$5:$G$204&lt;&gt;"")),IF(UPPER(B_Drainage!$G$5:$G$204)="Y",1,"")),"")</f>
        <v/>
      </c>
      <c r="Y232" s="181" t="str">
        <f>IFERROR(LOOKUP(2,1/((B_Drainage!$A$5:$A$204&lt;&gt;"")*(B_Drainage!$A$5:$A$204&lt;=$B232)*(B_Drainage!$B$5:$B$204&gt;$B232)*(B_Drainage!$H$5:$H$204&lt;&gt;"")),IF(UPPER(B_Drainage!$H$5:$H$204)="Y",1,"")),"")</f>
        <v/>
      </c>
      <c r="Z232" s="181" t="str">
        <f>IFERROR(LOOKUP(2,1/((B_Drainage!$A$5:$A$204&lt;&gt;"")*(B_Drainage!$A$5:$A$204&lt;=$B232)*(B_Drainage!$B$5:$B$204&gt;$B232)*(B_Drainage!$I$5:$I$204&lt;&gt;"")),IF(UPPER(B_Drainage!$I$5:$I$204)="Y",1,"")),"")</f>
        <v/>
      </c>
      <c r="AA232" s="181" t="str">
        <f>IFERROR(LOOKUP(2,1/((B_Drainage!$A$5:$A$204&lt;&gt;"")*(B_Drainage!$A$5:$A$204&lt;=$B232)*(B_Drainage!$B$5:$B$204&gt;$B232)*(B_Drainage!$J$5:$J$204&lt;&gt;"")),IF(UPPER(B_Drainage!$J$5:$J$204)="Y",1,"")),"")</f>
        <v/>
      </c>
      <c r="AB232" s="182" t="str">
        <f>IFERROR(LOOKUP(2,1/((B_Drainage!$A$5:$A$204&lt;&gt;"")*(B_Drainage!$A$5:$A$204&lt;=$B232)*(B_Drainage!$B$5:$B$204&gt;$B232)*(B_Drainage!$K$5:$K$204&lt;&gt;"")),IF(B_Drainage!$K$5:$K$204="-","",B_Drainage!$K$5:$K$204)),"")</f>
        <v/>
      </c>
      <c r="AC232" s="182" t="str">
        <f>IFERROR(LOOKUP(2,1/((B_Drainage!$A$5:$A$204&lt;&gt;"")*(B_Drainage!$A$5:$A$204&lt;=$B232)*(B_Drainage!$B$5:$B$204&gt;$B232)*(B_Drainage!$L$5:$L$204&lt;&gt;"")),IF(B_Drainage!$L$5:$L$204="-","",B_Drainage!$L$5:$L$204)),"")</f>
        <v/>
      </c>
      <c r="AD232" s="182" t="str">
        <f>IFERROR(LOOKUP(2,1/((D_Points!$A$5:$A$204&lt;&gt;"")*(D_Points!$A$5:$A$204&gt;=$B232)*(D_Points!$A$5:$A$204&lt;$B232+P_Interval)*(UPPER(TRIM(D_Points!$B$5:$B$204))="TURNOUT_L")*(D_Points!$H$5:$H$204&lt;&gt;"")),D_Points!$H$5:$H$204),"")</f>
        <v/>
      </c>
      <c r="AE232" s="182" t="str">
        <f>IFERROR(LOOKUP(2,1/((D_Points!$A$5:$A$204&lt;&gt;"")*(D_Points!$A$5:$A$204&gt;=$B232)*(D_Points!$A$5:$A$204&lt;$B232+P_Interval)*(UPPER(TRIM(D_Points!$B$5:$B$204))="TURNOUT_R")*(D_Points!$H$5:$H$204&lt;&gt;"")),D_Points!$H$5:$H$204),"")</f>
        <v/>
      </c>
      <c r="AF232" s="181" t="str">
        <f>IFERROR(LOOKUP(2,1/((B_Drainage!$A$5:$A$204&lt;&gt;"")*(B_Drainage!$A$5:$A$204&lt;=$B232)*(B_Drainage!$B$5:$B$204&gt;$B232)*(B_Drainage!$M$5:$M$204&lt;&gt;"")),IF(UPPER(B_Drainage!$M$5:$M$204)="Y",1,"")),"")</f>
        <v/>
      </c>
      <c r="AG232" s="181" t="str">
        <f>IFERROR(LOOKUP(2,1/((B_Drainage!$A$5:$A$204&lt;&gt;"")*(B_Drainage!$A$5:$A$204&lt;=$B232)*(B_Drainage!$B$5:$B$204&gt;$B232)*(B_Drainage!$N$5:$N$204&lt;&gt;"")),IF(UPPER(B_Drainage!$N$5:$N$204)="Y",1,"")),"")</f>
        <v/>
      </c>
      <c r="AH232" s="181" t="str">
        <f t="shared" si="24"/>
        <v/>
      </c>
      <c r="AI232" s="181" t="str">
        <f t="shared" si="25"/>
        <v/>
      </c>
      <c r="AJ232" s="181" t="str">
        <f t="shared" si="26"/>
        <v/>
      </c>
      <c r="AK232" s="181" t="str">
        <f t="shared" si="27"/>
        <v/>
      </c>
      <c r="AL232" s="181" t="str">
        <f t="shared" si="28"/>
        <v/>
      </c>
      <c r="AM232" s="181" t="str">
        <f t="shared" si="29"/>
        <v/>
      </c>
      <c r="AN232" s="181" t="str">
        <f t="shared" si="30"/>
        <v/>
      </c>
      <c r="AO232" s="192" t="str">
        <f t="shared" si="31"/>
        <v/>
      </c>
      <c r="AQ232" t="str">
        <f>IFERROR(LOOKUP(2,1/((C_Pavement!$A$5:$A$204&lt;&gt;"")*(C_Pavement!$A$5:$A$204&lt;=$B232)*(C_Pavement!$B$5:$B$204&gt;$B232)*(C_Pavement!$C$5:$C$204&lt;&gt;"")),ROW(C_Pavement!$C$5:$C$204)-4),"")</f>
        <v/>
      </c>
      <c r="AR232" t="str">
        <f>IF($AQ232="","",UPPER(TRIM(INDEX(C_Pavement!$C$5:$C$204,$AQ232))))</f>
        <v/>
      </c>
      <c r="AS232" t="str">
        <f>IF($AR232="","",IFERROR(MATCH($AR232,E_Rules!$A$5:$A$9,0),""))</f>
        <v/>
      </c>
      <c r="AT232" t="str">
        <f>IF($AQ232="","",IF(INDEX(C_Pavement!$D$5:$D$204,$AQ232)&lt;&gt;"",UPPER(TRIM(INDEX(C_Pavement!$D$5:$D$204,$AQ232))),IF($AS232="","",INDEX(E_Rules!$C$5:$C$9,$AS232))))</f>
        <v/>
      </c>
      <c r="AU232" t="str">
        <f>IF($AQ232="","",IF(INDEX(C_Pavement!$E$5:$E$204,$AQ232)&lt;&gt;"",IF(INDEX(C_Pavement!$E$5:$E$204,$AQ232)="-","",INDEX(C_Pavement!$E$5:$E$204,$AQ232)),IF($AS232="","",INDEX(E_Rules!$D$5:$D$9,$AS232))))</f>
        <v/>
      </c>
      <c r="AV232" t="str">
        <f>IF($AQ232="","",IF(INDEX(C_Pavement!$F$5:$F$204,$AQ232)&lt;&gt;"",IF(INDEX(C_Pavement!$F$5:$F$204,$AQ232)="-","",INDEX(C_Pavement!$F$5:$F$204,$AQ232)),IF($AS232="","",INDEX(E_Rules!$E$5:$E$9,$AS232))))</f>
        <v/>
      </c>
      <c r="AW232" t="str">
        <f>IF($AQ232="","",IF(INDEX(C_Pavement!$G$5:$G$204,$AQ232)&lt;&gt;"",IF(INDEX(C_Pavement!$G$5:$G$204,$AQ232)="-","",INDEX(C_Pavement!$G$5:$G$204,$AQ232)),IF($AS232="","",INDEX(E_Rules!$F$5:$F$9,$AS232))))</f>
        <v/>
      </c>
      <c r="AX232" t="str">
        <f>IF($AQ232="","",IF(INDEX(C_Pavement!$H$5:$H$204,$AQ232)&lt;&gt;"",IF(INDEX(C_Pavement!$H$5:$H$204,$AQ232)="-","",INDEX(C_Pavement!$H$5:$H$204,$AQ232)),IF($AS232="","",INDEX(E_Rules!$G$5:$G$9,$AS232))))</f>
        <v/>
      </c>
      <c r="AY232" t="str">
        <f>IF($AQ232="","",IF(INDEX(C_Pavement!$I$5:$I$204,$AQ232)&lt;&gt;"",IF(INDEX(C_Pavement!$I$5:$I$204,$AQ232)="-","",INDEX(C_Pavement!$I$5:$I$204,$AQ232)),IF($AS232="","",INDEX(E_Rules!$H$5:$H$9,$AS232))))</f>
        <v/>
      </c>
    </row>
    <row r="233" spans="1:51" ht="15.75" customHeight="1" x14ac:dyDescent="0.3">
      <c r="A233" s="189">
        <v>228</v>
      </c>
      <c r="B233" s="180">
        <v>11350</v>
      </c>
      <c r="C233" s="180" t="s">
        <v>539</v>
      </c>
      <c r="D233" s="181" t="str">
        <f>IFERROR(LOOKUP(2,1/((A_Corridor!$A$5:$A$204&lt;&gt;"")*(A_Corridor!$A$5:$A$204&lt;=$B233)*(A_Corridor!$B$5:$B$204&gt;$B233)*(A_Corridor!$C$5:$C$204&lt;&gt;"")),IF(UPPER(A_Corridor!$C$5:$C$204)="Y",1,"")),"")</f>
        <v/>
      </c>
      <c r="E233" s="181" t="str">
        <f>IFERROR(LOOKUP(2,1/((A_Corridor!$A$5:$A$204&lt;&gt;"")*(A_Corridor!$A$5:$A$204&lt;=$B233)*(A_Corridor!$B$5:$B$204&gt;$B233)*(A_Corridor!$D$5:$D$204&lt;&gt;"")),IF(A_Corridor!$D$5:$D$204="-","",UPPER(A_Corridor!$D$5:$D$204))),"")</f>
        <v/>
      </c>
      <c r="F233" s="181" t="str">
        <f>IFERROR(LOOKUP(2,1/((A_Corridor!$A$5:$A$204&lt;&gt;"")*(A_Corridor!$A$5:$A$204&lt;=$B233)*(A_Corridor!$B$5:$B$204&gt;$B233)*(A_Corridor!$E$5:$E$204&lt;&gt;"")),IF(A_Corridor!$E$5:$E$204="-","",1)),"")</f>
        <v/>
      </c>
      <c r="G233" s="182" t="str">
        <f>IFERROR(LOOKUP(2,1/((A_Corridor!$A$5:$A$204&lt;&gt;"")*(A_Corridor!$A$5:$A$204&lt;=$B233)*(A_Corridor!$B$5:$B$204&gt;$B233)*(A_Corridor!$E$5:$E$204&lt;&gt;"")),IF(A_Corridor!$E$5:$E$204="-","",A_Corridor!$E$5:$E$204)),"")</f>
        <v/>
      </c>
      <c r="H233" s="182" t="str">
        <f>IFERROR(LOOKUP(2,1/((D_Points!$A$5:$A$204&lt;&gt;"")*(D_Points!$A$5:$A$204&gt;=$B233)*(D_Points!$A$5:$A$204&lt;$B233+P_Interval)*(UPPER(TRIM(D_Points!$B$5:$B$204))="GULLY")*(D_Points!$H$5:$H$204&lt;&gt;"")),D_Points!$H$5:$H$204),"")</f>
        <v/>
      </c>
      <c r="I233" s="181" t="str">
        <f>IFERROR(LOOKUP(2,1/((A_Corridor!$A$5:$A$204&lt;&gt;"")*(A_Corridor!$A$5:$A$204&lt;=$B233)*(A_Corridor!$B$5:$B$204&gt;$B233)*(A_Corridor!$F$5:$F$204&lt;&gt;"")),IF(A_Corridor!$F$5:$F$204="-","",1)),"")</f>
        <v/>
      </c>
      <c r="J233" s="182" t="str">
        <f>IFERROR(LOOKUP(2,1/((A_Corridor!$A$5:$A$204&lt;&gt;"")*(A_Corridor!$A$5:$A$204&lt;=$B233)*(A_Corridor!$B$5:$B$204&gt;$B233)*(A_Corridor!$F$5:$F$204&lt;&gt;"")),IF(A_Corridor!$F$5:$F$204="-","",A_Corridor!$F$5:$F$204)),"")</f>
        <v/>
      </c>
      <c r="K233" s="182" t="str">
        <f>IFERROR(LOOKUP(2,1/((A_Corridor!$A$5:$A$204&lt;&gt;"")*(A_Corridor!$A$5:$A$204&lt;=$B233)*(A_Corridor!$B$5:$B$204&gt;$B233)*(A_Corridor!$G$5:$G$204&lt;&gt;"")),IF(A_Corridor!$G$5:$G$204="-","",A_Corridor!$G$5:$G$204)),"")</f>
        <v/>
      </c>
      <c r="L233" s="181" t="str">
        <f>IFERROR(LOOKUP(2,1/((A_Corridor!$A$5:$A$204&lt;&gt;"")*(A_Corridor!$A$5:$A$204&lt;=$B233)*(A_Corridor!$B$5:$B$204&gt;$B233)*(A_Corridor!$H$5:$H$204&lt;&gt;"")),IF(A_Corridor!$H$5:$H$204="-","",1)),"")</f>
        <v/>
      </c>
      <c r="M233" s="182" t="str">
        <f>IFERROR(LOOKUP(2,1/((A_Corridor!$A$5:$A$204&lt;&gt;"")*(A_Corridor!$A$5:$A$204&lt;=$B233)*(A_Corridor!$B$5:$B$204&gt;$B233)*(A_Corridor!$H$5:$H$204&lt;&gt;"")),IF(A_Corridor!$H$5:$H$204="-","",A_Corridor!$H$5:$H$204)),"")</f>
        <v/>
      </c>
      <c r="N233" s="182" t="str">
        <f>IFERROR(LOOKUP(2,1/((A_Corridor!$A$5:$A$204&lt;&gt;"")*(A_Corridor!$A$5:$A$204&lt;=$B233)*(A_Corridor!$B$5:$B$204&gt;$B233)*(A_Corridor!$I$5:$I$204&lt;&gt;"")),IF(A_Corridor!$I$5:$I$204="-","",A_Corridor!$I$5:$I$204)),"")</f>
        <v/>
      </c>
      <c r="O233" s="182" t="str">
        <f>IFERROR(LOOKUP(2,1/((D_Points!$A$5:$A$204&lt;&gt;"")*(D_Points!$A$5:$A$204&gt;=$B233)*(D_Points!$A$5:$A$204&lt;$B233+P_Interval)*(UPPER(TRIM(D_Points!$B$5:$B$204))="PITCHING")*(D_Points!$H$5:$H$204&lt;&gt;"")),D_Points!$H$5:$H$204),"")</f>
        <v/>
      </c>
      <c r="P233" s="181" t="str">
        <f>IFERROR(LOOKUP(2,1/((B_Drainage!$A$5:$A$204&lt;&gt;"")*(B_Drainage!$A$5:$A$204&lt;=$B233)*(B_Drainage!$B$5:$B$204&gt;$B233)*(B_Drainage!$C$5:$C$204&lt;&gt;"")),IF(B_Drainage!$C$5:$C$204="-","",UPPER(B_Drainage!$C$5:$C$204))),"")</f>
        <v/>
      </c>
      <c r="Q233" s="181" t="str">
        <f>IFERROR(LOOKUP(2,1/((B_Drainage!$A$5:$A$204&lt;&gt;"")*(B_Drainage!$A$5:$A$204&lt;=$B233)*(B_Drainage!$B$5:$B$204&gt;$B233)*(B_Drainage!$D$5:$D$204&lt;&gt;"")),IF(B_Drainage!$D$5:$D$204="-","",UPPER(B_Drainage!$D$5:$D$204))),"")</f>
        <v/>
      </c>
      <c r="R233" s="182" t="str">
        <f>IFERROR(LOOKUP(2,1/((D_Points!$A$5:$A$204&lt;&gt;"")*(D_Points!$A$5:$A$204&gt;=$B233)*(D_Points!$A$5:$A$204&lt;$B233+P_Interval)*(RIGHT(UPPER(TRIM(D_Points!$B$5:$B$204)),8)="_CULVERT")),IF(LEFT(UPPER(TRIM(D_Points!$B$5:$B$204)),2)="EX",1,IF(LEFT(UPPER(TRIM(D_Points!$B$5:$B$204)),2)="PR",2,3))),"")</f>
        <v/>
      </c>
      <c r="S233" s="182" t="str">
        <f>IFERROR(LOOKUP(2,1/((D_Points!$A$5:$A$204&lt;&gt;"")*(D_Points!$A$5:$A$204&gt;=$B233)*(D_Points!$A$5:$A$204&lt;$B233+P_Interval)*(RIGHT(UPPER(TRIM(D_Points!$B$5:$B$204)),7)="_BRIDGE")),IF(LEFT(UPPER(TRIM(D_Points!$B$5:$B$204)),2)="EX",1,IF(LEFT(UPPER(TRIM(D_Points!$B$5:$B$204)),2)="PR",2,2))),"")</f>
        <v/>
      </c>
      <c r="T233" s="181" t="str">
        <f>IFERROR(LOOKUP(2,1/((B_Drainage!$A$5:$A$204&lt;&gt;"")*(B_Drainage!$A$5:$A$204&lt;=$B233)*(B_Drainage!$B$5:$B$204&gt;$B233)*(B_Drainage!$E$5:$E$204&lt;&gt;"")),IF(B_Drainage!$E$5:$E$204="-","",1)),"")</f>
        <v/>
      </c>
      <c r="U233" s="181" t="str">
        <f>IFERROR(LOOKUP(2,1/((B_Drainage!$A$5:$A$204&lt;&gt;"")*(B_Drainage!$A$5:$A$204&lt;=$B233)*(B_Drainage!$B$5:$B$204&gt;$B233)*(B_Drainage!$E$5:$E$204&lt;&gt;"")),IF(B_Drainage!$E$5:$E$204="-","",B_Drainage!$E$5:$E$204)),"")</f>
        <v/>
      </c>
      <c r="V233" s="181" t="str">
        <f>IFERROR(LOOKUP(2,1/((B_Drainage!$A$5:$A$204&lt;&gt;"")*(B_Drainage!$A$5:$A$204&lt;=$B233)*(B_Drainage!$B$5:$B$204&gt;$B233)*(B_Drainage!$F$5:$F$204&lt;&gt;"")),IF(B_Drainage!$F$5:$F$204="-","",1)),"")</f>
        <v/>
      </c>
      <c r="W233" s="181" t="str">
        <f>IFERROR(LOOKUP(2,1/((B_Drainage!$A$5:$A$204&lt;&gt;"")*(B_Drainage!$A$5:$A$204&lt;=$B233)*(B_Drainage!$B$5:$B$204&gt;$B233)*(B_Drainage!$F$5:$F$204&lt;&gt;"")),IF(B_Drainage!$F$5:$F$204="-","",B_Drainage!$F$5:$F$204)),"")</f>
        <v/>
      </c>
      <c r="X233" s="181" t="str">
        <f>IFERROR(LOOKUP(2,1/((B_Drainage!$A$5:$A$204&lt;&gt;"")*(B_Drainage!$A$5:$A$204&lt;=$B233)*(B_Drainage!$B$5:$B$204&gt;$B233)*(B_Drainage!$G$5:$G$204&lt;&gt;"")),IF(UPPER(B_Drainage!$G$5:$G$204)="Y",1,"")),"")</f>
        <v/>
      </c>
      <c r="Y233" s="181" t="str">
        <f>IFERROR(LOOKUP(2,1/((B_Drainage!$A$5:$A$204&lt;&gt;"")*(B_Drainage!$A$5:$A$204&lt;=$B233)*(B_Drainage!$B$5:$B$204&gt;$B233)*(B_Drainage!$H$5:$H$204&lt;&gt;"")),IF(UPPER(B_Drainage!$H$5:$H$204)="Y",1,"")),"")</f>
        <v/>
      </c>
      <c r="Z233" s="181" t="str">
        <f>IFERROR(LOOKUP(2,1/((B_Drainage!$A$5:$A$204&lt;&gt;"")*(B_Drainage!$A$5:$A$204&lt;=$B233)*(B_Drainage!$B$5:$B$204&gt;$B233)*(B_Drainage!$I$5:$I$204&lt;&gt;"")),IF(UPPER(B_Drainage!$I$5:$I$204)="Y",1,"")),"")</f>
        <v/>
      </c>
      <c r="AA233" s="181" t="str">
        <f>IFERROR(LOOKUP(2,1/((B_Drainage!$A$5:$A$204&lt;&gt;"")*(B_Drainage!$A$5:$A$204&lt;=$B233)*(B_Drainage!$B$5:$B$204&gt;$B233)*(B_Drainage!$J$5:$J$204&lt;&gt;"")),IF(UPPER(B_Drainage!$J$5:$J$204)="Y",1,"")),"")</f>
        <v/>
      </c>
      <c r="AB233" s="182" t="str">
        <f>IFERROR(LOOKUP(2,1/((B_Drainage!$A$5:$A$204&lt;&gt;"")*(B_Drainage!$A$5:$A$204&lt;=$B233)*(B_Drainage!$B$5:$B$204&gt;$B233)*(B_Drainage!$K$5:$K$204&lt;&gt;"")),IF(B_Drainage!$K$5:$K$204="-","",B_Drainage!$K$5:$K$204)),"")</f>
        <v/>
      </c>
      <c r="AC233" s="182" t="str">
        <f>IFERROR(LOOKUP(2,1/((B_Drainage!$A$5:$A$204&lt;&gt;"")*(B_Drainage!$A$5:$A$204&lt;=$B233)*(B_Drainage!$B$5:$B$204&gt;$B233)*(B_Drainage!$L$5:$L$204&lt;&gt;"")),IF(B_Drainage!$L$5:$L$204="-","",B_Drainage!$L$5:$L$204)),"")</f>
        <v/>
      </c>
      <c r="AD233" s="182" t="str">
        <f>IFERROR(LOOKUP(2,1/((D_Points!$A$5:$A$204&lt;&gt;"")*(D_Points!$A$5:$A$204&gt;=$B233)*(D_Points!$A$5:$A$204&lt;$B233+P_Interval)*(UPPER(TRIM(D_Points!$B$5:$B$204))="TURNOUT_L")*(D_Points!$H$5:$H$204&lt;&gt;"")),D_Points!$H$5:$H$204),"")</f>
        <v/>
      </c>
      <c r="AE233" s="182" t="str">
        <f>IFERROR(LOOKUP(2,1/((D_Points!$A$5:$A$204&lt;&gt;"")*(D_Points!$A$5:$A$204&gt;=$B233)*(D_Points!$A$5:$A$204&lt;$B233+P_Interval)*(UPPER(TRIM(D_Points!$B$5:$B$204))="TURNOUT_R")*(D_Points!$H$5:$H$204&lt;&gt;"")),D_Points!$H$5:$H$204),"")</f>
        <v/>
      </c>
      <c r="AF233" s="181" t="str">
        <f>IFERROR(LOOKUP(2,1/((B_Drainage!$A$5:$A$204&lt;&gt;"")*(B_Drainage!$A$5:$A$204&lt;=$B233)*(B_Drainage!$B$5:$B$204&gt;$B233)*(B_Drainage!$M$5:$M$204&lt;&gt;"")),IF(UPPER(B_Drainage!$M$5:$M$204)="Y",1,"")),"")</f>
        <v/>
      </c>
      <c r="AG233" s="181" t="str">
        <f>IFERROR(LOOKUP(2,1/((B_Drainage!$A$5:$A$204&lt;&gt;"")*(B_Drainage!$A$5:$A$204&lt;=$B233)*(B_Drainage!$B$5:$B$204&gt;$B233)*(B_Drainage!$N$5:$N$204&lt;&gt;"")),IF(UPPER(B_Drainage!$N$5:$N$204)="Y",1,"")),"")</f>
        <v/>
      </c>
      <c r="AH233" s="181" t="str">
        <f t="shared" si="24"/>
        <v/>
      </c>
      <c r="AI233" s="181" t="str">
        <f t="shared" si="25"/>
        <v/>
      </c>
      <c r="AJ233" s="181" t="str">
        <f t="shared" si="26"/>
        <v/>
      </c>
      <c r="AK233" s="181" t="str">
        <f t="shared" si="27"/>
        <v/>
      </c>
      <c r="AL233" s="181" t="str">
        <f t="shared" si="28"/>
        <v/>
      </c>
      <c r="AM233" s="181" t="str">
        <f t="shared" si="29"/>
        <v/>
      </c>
      <c r="AN233" s="181" t="str">
        <f t="shared" si="30"/>
        <v/>
      </c>
      <c r="AO233" s="192" t="str">
        <f t="shared" si="31"/>
        <v/>
      </c>
      <c r="AQ233" t="str">
        <f>IFERROR(LOOKUP(2,1/((C_Pavement!$A$5:$A$204&lt;&gt;"")*(C_Pavement!$A$5:$A$204&lt;=$B233)*(C_Pavement!$B$5:$B$204&gt;$B233)*(C_Pavement!$C$5:$C$204&lt;&gt;"")),ROW(C_Pavement!$C$5:$C$204)-4),"")</f>
        <v/>
      </c>
      <c r="AR233" t="str">
        <f>IF($AQ233="","",UPPER(TRIM(INDEX(C_Pavement!$C$5:$C$204,$AQ233))))</f>
        <v/>
      </c>
      <c r="AS233" t="str">
        <f>IF($AR233="","",IFERROR(MATCH($AR233,E_Rules!$A$5:$A$9,0),""))</f>
        <v/>
      </c>
      <c r="AT233" t="str">
        <f>IF($AQ233="","",IF(INDEX(C_Pavement!$D$5:$D$204,$AQ233)&lt;&gt;"",UPPER(TRIM(INDEX(C_Pavement!$D$5:$D$204,$AQ233))),IF($AS233="","",INDEX(E_Rules!$C$5:$C$9,$AS233))))</f>
        <v/>
      </c>
      <c r="AU233" t="str">
        <f>IF($AQ233="","",IF(INDEX(C_Pavement!$E$5:$E$204,$AQ233)&lt;&gt;"",IF(INDEX(C_Pavement!$E$5:$E$204,$AQ233)="-","",INDEX(C_Pavement!$E$5:$E$204,$AQ233)),IF($AS233="","",INDEX(E_Rules!$D$5:$D$9,$AS233))))</f>
        <v/>
      </c>
      <c r="AV233" t="str">
        <f>IF($AQ233="","",IF(INDEX(C_Pavement!$F$5:$F$204,$AQ233)&lt;&gt;"",IF(INDEX(C_Pavement!$F$5:$F$204,$AQ233)="-","",INDEX(C_Pavement!$F$5:$F$204,$AQ233)),IF($AS233="","",INDEX(E_Rules!$E$5:$E$9,$AS233))))</f>
        <v/>
      </c>
      <c r="AW233" t="str">
        <f>IF($AQ233="","",IF(INDEX(C_Pavement!$G$5:$G$204,$AQ233)&lt;&gt;"",IF(INDEX(C_Pavement!$G$5:$G$204,$AQ233)="-","",INDEX(C_Pavement!$G$5:$G$204,$AQ233)),IF($AS233="","",INDEX(E_Rules!$F$5:$F$9,$AS233))))</f>
        <v/>
      </c>
      <c r="AX233" t="str">
        <f>IF($AQ233="","",IF(INDEX(C_Pavement!$H$5:$H$204,$AQ233)&lt;&gt;"",IF(INDEX(C_Pavement!$H$5:$H$204,$AQ233)="-","",INDEX(C_Pavement!$H$5:$H$204,$AQ233)),IF($AS233="","",INDEX(E_Rules!$G$5:$G$9,$AS233))))</f>
        <v/>
      </c>
      <c r="AY233" t="str">
        <f>IF($AQ233="","",IF(INDEX(C_Pavement!$I$5:$I$204,$AQ233)&lt;&gt;"",IF(INDEX(C_Pavement!$I$5:$I$204,$AQ233)="-","",INDEX(C_Pavement!$I$5:$I$204,$AQ233)),IF($AS233="","",INDEX(E_Rules!$H$5:$H$9,$AS233))))</f>
        <v/>
      </c>
    </row>
    <row r="234" spans="1:51" ht="15.75" customHeight="1" x14ac:dyDescent="0.3">
      <c r="A234" s="189">
        <v>229</v>
      </c>
      <c r="B234" s="180">
        <v>11400</v>
      </c>
      <c r="C234" s="180" t="s">
        <v>540</v>
      </c>
      <c r="D234" s="181" t="str">
        <f>IFERROR(LOOKUP(2,1/((A_Corridor!$A$5:$A$204&lt;&gt;"")*(A_Corridor!$A$5:$A$204&lt;=$B234)*(A_Corridor!$B$5:$B$204&gt;$B234)*(A_Corridor!$C$5:$C$204&lt;&gt;"")),IF(UPPER(A_Corridor!$C$5:$C$204)="Y",1,"")),"")</f>
        <v/>
      </c>
      <c r="E234" s="181" t="str">
        <f>IFERROR(LOOKUP(2,1/((A_Corridor!$A$5:$A$204&lt;&gt;"")*(A_Corridor!$A$5:$A$204&lt;=$B234)*(A_Corridor!$B$5:$B$204&gt;$B234)*(A_Corridor!$D$5:$D$204&lt;&gt;"")),IF(A_Corridor!$D$5:$D$204="-","",UPPER(A_Corridor!$D$5:$D$204))),"")</f>
        <v/>
      </c>
      <c r="F234" s="181" t="str">
        <f>IFERROR(LOOKUP(2,1/((A_Corridor!$A$5:$A$204&lt;&gt;"")*(A_Corridor!$A$5:$A$204&lt;=$B234)*(A_Corridor!$B$5:$B$204&gt;$B234)*(A_Corridor!$E$5:$E$204&lt;&gt;"")),IF(A_Corridor!$E$5:$E$204="-","",1)),"")</f>
        <v/>
      </c>
      <c r="G234" s="182" t="str">
        <f>IFERROR(LOOKUP(2,1/((A_Corridor!$A$5:$A$204&lt;&gt;"")*(A_Corridor!$A$5:$A$204&lt;=$B234)*(A_Corridor!$B$5:$B$204&gt;$B234)*(A_Corridor!$E$5:$E$204&lt;&gt;"")),IF(A_Corridor!$E$5:$E$204="-","",A_Corridor!$E$5:$E$204)),"")</f>
        <v/>
      </c>
      <c r="H234" s="182" t="str">
        <f>IFERROR(LOOKUP(2,1/((D_Points!$A$5:$A$204&lt;&gt;"")*(D_Points!$A$5:$A$204&gt;=$B234)*(D_Points!$A$5:$A$204&lt;$B234+P_Interval)*(UPPER(TRIM(D_Points!$B$5:$B$204))="GULLY")*(D_Points!$H$5:$H$204&lt;&gt;"")),D_Points!$H$5:$H$204),"")</f>
        <v/>
      </c>
      <c r="I234" s="181" t="str">
        <f>IFERROR(LOOKUP(2,1/((A_Corridor!$A$5:$A$204&lt;&gt;"")*(A_Corridor!$A$5:$A$204&lt;=$B234)*(A_Corridor!$B$5:$B$204&gt;$B234)*(A_Corridor!$F$5:$F$204&lt;&gt;"")),IF(A_Corridor!$F$5:$F$204="-","",1)),"")</f>
        <v/>
      </c>
      <c r="J234" s="182" t="str">
        <f>IFERROR(LOOKUP(2,1/((A_Corridor!$A$5:$A$204&lt;&gt;"")*(A_Corridor!$A$5:$A$204&lt;=$B234)*(A_Corridor!$B$5:$B$204&gt;$B234)*(A_Corridor!$F$5:$F$204&lt;&gt;"")),IF(A_Corridor!$F$5:$F$204="-","",A_Corridor!$F$5:$F$204)),"")</f>
        <v/>
      </c>
      <c r="K234" s="182" t="str">
        <f>IFERROR(LOOKUP(2,1/((A_Corridor!$A$5:$A$204&lt;&gt;"")*(A_Corridor!$A$5:$A$204&lt;=$B234)*(A_Corridor!$B$5:$B$204&gt;$B234)*(A_Corridor!$G$5:$G$204&lt;&gt;"")),IF(A_Corridor!$G$5:$G$204="-","",A_Corridor!$G$5:$G$204)),"")</f>
        <v/>
      </c>
      <c r="L234" s="181" t="str">
        <f>IFERROR(LOOKUP(2,1/((A_Corridor!$A$5:$A$204&lt;&gt;"")*(A_Corridor!$A$5:$A$204&lt;=$B234)*(A_Corridor!$B$5:$B$204&gt;$B234)*(A_Corridor!$H$5:$H$204&lt;&gt;"")),IF(A_Corridor!$H$5:$H$204="-","",1)),"")</f>
        <v/>
      </c>
      <c r="M234" s="182" t="str">
        <f>IFERROR(LOOKUP(2,1/((A_Corridor!$A$5:$A$204&lt;&gt;"")*(A_Corridor!$A$5:$A$204&lt;=$B234)*(A_Corridor!$B$5:$B$204&gt;$B234)*(A_Corridor!$H$5:$H$204&lt;&gt;"")),IF(A_Corridor!$H$5:$H$204="-","",A_Corridor!$H$5:$H$204)),"")</f>
        <v/>
      </c>
      <c r="N234" s="182" t="str">
        <f>IFERROR(LOOKUP(2,1/((A_Corridor!$A$5:$A$204&lt;&gt;"")*(A_Corridor!$A$5:$A$204&lt;=$B234)*(A_Corridor!$B$5:$B$204&gt;$B234)*(A_Corridor!$I$5:$I$204&lt;&gt;"")),IF(A_Corridor!$I$5:$I$204="-","",A_Corridor!$I$5:$I$204)),"")</f>
        <v/>
      </c>
      <c r="O234" s="182" t="str">
        <f>IFERROR(LOOKUP(2,1/((D_Points!$A$5:$A$204&lt;&gt;"")*(D_Points!$A$5:$A$204&gt;=$B234)*(D_Points!$A$5:$A$204&lt;$B234+P_Interval)*(UPPER(TRIM(D_Points!$B$5:$B$204))="PITCHING")*(D_Points!$H$5:$H$204&lt;&gt;"")),D_Points!$H$5:$H$204),"")</f>
        <v/>
      </c>
      <c r="P234" s="181" t="str">
        <f>IFERROR(LOOKUP(2,1/((B_Drainage!$A$5:$A$204&lt;&gt;"")*(B_Drainage!$A$5:$A$204&lt;=$B234)*(B_Drainage!$B$5:$B$204&gt;$B234)*(B_Drainage!$C$5:$C$204&lt;&gt;"")),IF(B_Drainage!$C$5:$C$204="-","",UPPER(B_Drainage!$C$5:$C$204))),"")</f>
        <v/>
      </c>
      <c r="Q234" s="181" t="str">
        <f>IFERROR(LOOKUP(2,1/((B_Drainage!$A$5:$A$204&lt;&gt;"")*(B_Drainage!$A$5:$A$204&lt;=$B234)*(B_Drainage!$B$5:$B$204&gt;$B234)*(B_Drainage!$D$5:$D$204&lt;&gt;"")),IF(B_Drainage!$D$5:$D$204="-","",UPPER(B_Drainage!$D$5:$D$204))),"")</f>
        <v/>
      </c>
      <c r="R234" s="182" t="str">
        <f>IFERROR(LOOKUP(2,1/((D_Points!$A$5:$A$204&lt;&gt;"")*(D_Points!$A$5:$A$204&gt;=$B234)*(D_Points!$A$5:$A$204&lt;$B234+P_Interval)*(RIGHT(UPPER(TRIM(D_Points!$B$5:$B$204)),8)="_CULVERT")),IF(LEFT(UPPER(TRIM(D_Points!$B$5:$B$204)),2)="EX",1,IF(LEFT(UPPER(TRIM(D_Points!$B$5:$B$204)),2)="PR",2,3))),"")</f>
        <v/>
      </c>
      <c r="S234" s="182" t="str">
        <f>IFERROR(LOOKUP(2,1/((D_Points!$A$5:$A$204&lt;&gt;"")*(D_Points!$A$5:$A$204&gt;=$B234)*(D_Points!$A$5:$A$204&lt;$B234+P_Interval)*(RIGHT(UPPER(TRIM(D_Points!$B$5:$B$204)),7)="_BRIDGE")),IF(LEFT(UPPER(TRIM(D_Points!$B$5:$B$204)),2)="EX",1,IF(LEFT(UPPER(TRIM(D_Points!$B$5:$B$204)),2)="PR",2,2))),"")</f>
        <v/>
      </c>
      <c r="T234" s="181" t="str">
        <f>IFERROR(LOOKUP(2,1/((B_Drainage!$A$5:$A$204&lt;&gt;"")*(B_Drainage!$A$5:$A$204&lt;=$B234)*(B_Drainage!$B$5:$B$204&gt;$B234)*(B_Drainage!$E$5:$E$204&lt;&gt;"")),IF(B_Drainage!$E$5:$E$204="-","",1)),"")</f>
        <v/>
      </c>
      <c r="U234" s="181" t="str">
        <f>IFERROR(LOOKUP(2,1/((B_Drainage!$A$5:$A$204&lt;&gt;"")*(B_Drainage!$A$5:$A$204&lt;=$B234)*(B_Drainage!$B$5:$B$204&gt;$B234)*(B_Drainage!$E$5:$E$204&lt;&gt;"")),IF(B_Drainage!$E$5:$E$204="-","",B_Drainage!$E$5:$E$204)),"")</f>
        <v/>
      </c>
      <c r="V234" s="181" t="str">
        <f>IFERROR(LOOKUP(2,1/((B_Drainage!$A$5:$A$204&lt;&gt;"")*(B_Drainage!$A$5:$A$204&lt;=$B234)*(B_Drainage!$B$5:$B$204&gt;$B234)*(B_Drainage!$F$5:$F$204&lt;&gt;"")),IF(B_Drainage!$F$5:$F$204="-","",1)),"")</f>
        <v/>
      </c>
      <c r="W234" s="181" t="str">
        <f>IFERROR(LOOKUP(2,1/((B_Drainage!$A$5:$A$204&lt;&gt;"")*(B_Drainage!$A$5:$A$204&lt;=$B234)*(B_Drainage!$B$5:$B$204&gt;$B234)*(B_Drainage!$F$5:$F$204&lt;&gt;"")),IF(B_Drainage!$F$5:$F$204="-","",B_Drainage!$F$5:$F$204)),"")</f>
        <v/>
      </c>
      <c r="X234" s="181" t="str">
        <f>IFERROR(LOOKUP(2,1/((B_Drainage!$A$5:$A$204&lt;&gt;"")*(B_Drainage!$A$5:$A$204&lt;=$B234)*(B_Drainage!$B$5:$B$204&gt;$B234)*(B_Drainage!$G$5:$G$204&lt;&gt;"")),IF(UPPER(B_Drainage!$G$5:$G$204)="Y",1,"")),"")</f>
        <v/>
      </c>
      <c r="Y234" s="181" t="str">
        <f>IFERROR(LOOKUP(2,1/((B_Drainage!$A$5:$A$204&lt;&gt;"")*(B_Drainage!$A$5:$A$204&lt;=$B234)*(B_Drainage!$B$5:$B$204&gt;$B234)*(B_Drainage!$H$5:$H$204&lt;&gt;"")),IF(UPPER(B_Drainage!$H$5:$H$204)="Y",1,"")),"")</f>
        <v/>
      </c>
      <c r="Z234" s="181" t="str">
        <f>IFERROR(LOOKUP(2,1/((B_Drainage!$A$5:$A$204&lt;&gt;"")*(B_Drainage!$A$5:$A$204&lt;=$B234)*(B_Drainage!$B$5:$B$204&gt;$B234)*(B_Drainage!$I$5:$I$204&lt;&gt;"")),IF(UPPER(B_Drainage!$I$5:$I$204)="Y",1,"")),"")</f>
        <v/>
      </c>
      <c r="AA234" s="181" t="str">
        <f>IFERROR(LOOKUP(2,1/((B_Drainage!$A$5:$A$204&lt;&gt;"")*(B_Drainage!$A$5:$A$204&lt;=$B234)*(B_Drainage!$B$5:$B$204&gt;$B234)*(B_Drainage!$J$5:$J$204&lt;&gt;"")),IF(UPPER(B_Drainage!$J$5:$J$204)="Y",1,"")),"")</f>
        <v/>
      </c>
      <c r="AB234" s="182" t="str">
        <f>IFERROR(LOOKUP(2,1/((B_Drainage!$A$5:$A$204&lt;&gt;"")*(B_Drainage!$A$5:$A$204&lt;=$B234)*(B_Drainage!$B$5:$B$204&gt;$B234)*(B_Drainage!$K$5:$K$204&lt;&gt;"")),IF(B_Drainage!$K$5:$K$204="-","",B_Drainage!$K$5:$K$204)),"")</f>
        <v/>
      </c>
      <c r="AC234" s="182" t="str">
        <f>IFERROR(LOOKUP(2,1/((B_Drainage!$A$5:$A$204&lt;&gt;"")*(B_Drainage!$A$5:$A$204&lt;=$B234)*(B_Drainage!$B$5:$B$204&gt;$B234)*(B_Drainage!$L$5:$L$204&lt;&gt;"")),IF(B_Drainage!$L$5:$L$204="-","",B_Drainage!$L$5:$L$204)),"")</f>
        <v/>
      </c>
      <c r="AD234" s="182" t="str">
        <f>IFERROR(LOOKUP(2,1/((D_Points!$A$5:$A$204&lt;&gt;"")*(D_Points!$A$5:$A$204&gt;=$B234)*(D_Points!$A$5:$A$204&lt;$B234+P_Interval)*(UPPER(TRIM(D_Points!$B$5:$B$204))="TURNOUT_L")*(D_Points!$H$5:$H$204&lt;&gt;"")),D_Points!$H$5:$H$204),"")</f>
        <v/>
      </c>
      <c r="AE234" s="182" t="str">
        <f>IFERROR(LOOKUP(2,1/((D_Points!$A$5:$A$204&lt;&gt;"")*(D_Points!$A$5:$A$204&gt;=$B234)*(D_Points!$A$5:$A$204&lt;$B234+P_Interval)*(UPPER(TRIM(D_Points!$B$5:$B$204))="TURNOUT_R")*(D_Points!$H$5:$H$204&lt;&gt;"")),D_Points!$H$5:$H$204),"")</f>
        <v/>
      </c>
      <c r="AF234" s="181" t="str">
        <f>IFERROR(LOOKUP(2,1/((B_Drainage!$A$5:$A$204&lt;&gt;"")*(B_Drainage!$A$5:$A$204&lt;=$B234)*(B_Drainage!$B$5:$B$204&gt;$B234)*(B_Drainage!$M$5:$M$204&lt;&gt;"")),IF(UPPER(B_Drainage!$M$5:$M$204)="Y",1,"")),"")</f>
        <v/>
      </c>
      <c r="AG234" s="181" t="str">
        <f>IFERROR(LOOKUP(2,1/((B_Drainage!$A$5:$A$204&lt;&gt;"")*(B_Drainage!$A$5:$A$204&lt;=$B234)*(B_Drainage!$B$5:$B$204&gt;$B234)*(B_Drainage!$N$5:$N$204&lt;&gt;"")),IF(UPPER(B_Drainage!$N$5:$N$204)="Y",1,"")),"")</f>
        <v/>
      </c>
      <c r="AH234" s="181" t="str">
        <f t="shared" si="24"/>
        <v/>
      </c>
      <c r="AI234" s="181" t="str">
        <f t="shared" si="25"/>
        <v/>
      </c>
      <c r="AJ234" s="181" t="str">
        <f t="shared" si="26"/>
        <v/>
      </c>
      <c r="AK234" s="181" t="str">
        <f t="shared" si="27"/>
        <v/>
      </c>
      <c r="AL234" s="181" t="str">
        <f t="shared" si="28"/>
        <v/>
      </c>
      <c r="AM234" s="181" t="str">
        <f t="shared" si="29"/>
        <v/>
      </c>
      <c r="AN234" s="181" t="str">
        <f t="shared" si="30"/>
        <v/>
      </c>
      <c r="AO234" s="192" t="str">
        <f t="shared" si="31"/>
        <v/>
      </c>
      <c r="AQ234" t="str">
        <f>IFERROR(LOOKUP(2,1/((C_Pavement!$A$5:$A$204&lt;&gt;"")*(C_Pavement!$A$5:$A$204&lt;=$B234)*(C_Pavement!$B$5:$B$204&gt;$B234)*(C_Pavement!$C$5:$C$204&lt;&gt;"")),ROW(C_Pavement!$C$5:$C$204)-4),"")</f>
        <v/>
      </c>
      <c r="AR234" t="str">
        <f>IF($AQ234="","",UPPER(TRIM(INDEX(C_Pavement!$C$5:$C$204,$AQ234))))</f>
        <v/>
      </c>
      <c r="AS234" t="str">
        <f>IF($AR234="","",IFERROR(MATCH($AR234,E_Rules!$A$5:$A$9,0),""))</f>
        <v/>
      </c>
      <c r="AT234" t="str">
        <f>IF($AQ234="","",IF(INDEX(C_Pavement!$D$5:$D$204,$AQ234)&lt;&gt;"",UPPER(TRIM(INDEX(C_Pavement!$D$5:$D$204,$AQ234))),IF($AS234="","",INDEX(E_Rules!$C$5:$C$9,$AS234))))</f>
        <v/>
      </c>
      <c r="AU234" t="str">
        <f>IF($AQ234="","",IF(INDEX(C_Pavement!$E$5:$E$204,$AQ234)&lt;&gt;"",IF(INDEX(C_Pavement!$E$5:$E$204,$AQ234)="-","",INDEX(C_Pavement!$E$5:$E$204,$AQ234)),IF($AS234="","",INDEX(E_Rules!$D$5:$D$9,$AS234))))</f>
        <v/>
      </c>
      <c r="AV234" t="str">
        <f>IF($AQ234="","",IF(INDEX(C_Pavement!$F$5:$F$204,$AQ234)&lt;&gt;"",IF(INDEX(C_Pavement!$F$5:$F$204,$AQ234)="-","",INDEX(C_Pavement!$F$5:$F$204,$AQ234)),IF($AS234="","",INDEX(E_Rules!$E$5:$E$9,$AS234))))</f>
        <v/>
      </c>
      <c r="AW234" t="str">
        <f>IF($AQ234="","",IF(INDEX(C_Pavement!$G$5:$G$204,$AQ234)&lt;&gt;"",IF(INDEX(C_Pavement!$G$5:$G$204,$AQ234)="-","",INDEX(C_Pavement!$G$5:$G$204,$AQ234)),IF($AS234="","",INDEX(E_Rules!$F$5:$F$9,$AS234))))</f>
        <v/>
      </c>
      <c r="AX234" t="str">
        <f>IF($AQ234="","",IF(INDEX(C_Pavement!$H$5:$H$204,$AQ234)&lt;&gt;"",IF(INDEX(C_Pavement!$H$5:$H$204,$AQ234)="-","",INDEX(C_Pavement!$H$5:$H$204,$AQ234)),IF($AS234="","",INDEX(E_Rules!$G$5:$G$9,$AS234))))</f>
        <v/>
      </c>
      <c r="AY234" t="str">
        <f>IF($AQ234="","",IF(INDEX(C_Pavement!$I$5:$I$204,$AQ234)&lt;&gt;"",IF(INDEX(C_Pavement!$I$5:$I$204,$AQ234)="-","",INDEX(C_Pavement!$I$5:$I$204,$AQ234)),IF($AS234="","",INDEX(E_Rules!$H$5:$H$9,$AS234))))</f>
        <v/>
      </c>
    </row>
    <row r="235" spans="1:51" ht="15.75" customHeight="1" x14ac:dyDescent="0.3">
      <c r="A235" s="189">
        <v>230</v>
      </c>
      <c r="B235" s="180">
        <v>11450</v>
      </c>
      <c r="C235" s="180" t="s">
        <v>541</v>
      </c>
      <c r="D235" s="181" t="str">
        <f>IFERROR(LOOKUP(2,1/((A_Corridor!$A$5:$A$204&lt;&gt;"")*(A_Corridor!$A$5:$A$204&lt;=$B235)*(A_Corridor!$B$5:$B$204&gt;$B235)*(A_Corridor!$C$5:$C$204&lt;&gt;"")),IF(UPPER(A_Corridor!$C$5:$C$204)="Y",1,"")),"")</f>
        <v/>
      </c>
      <c r="E235" s="181" t="str">
        <f>IFERROR(LOOKUP(2,1/((A_Corridor!$A$5:$A$204&lt;&gt;"")*(A_Corridor!$A$5:$A$204&lt;=$B235)*(A_Corridor!$B$5:$B$204&gt;$B235)*(A_Corridor!$D$5:$D$204&lt;&gt;"")),IF(A_Corridor!$D$5:$D$204="-","",UPPER(A_Corridor!$D$5:$D$204))),"")</f>
        <v/>
      </c>
      <c r="F235" s="181" t="str">
        <f>IFERROR(LOOKUP(2,1/((A_Corridor!$A$5:$A$204&lt;&gt;"")*(A_Corridor!$A$5:$A$204&lt;=$B235)*(A_Corridor!$B$5:$B$204&gt;$B235)*(A_Corridor!$E$5:$E$204&lt;&gt;"")),IF(A_Corridor!$E$5:$E$204="-","",1)),"")</f>
        <v/>
      </c>
      <c r="G235" s="182" t="str">
        <f>IFERROR(LOOKUP(2,1/((A_Corridor!$A$5:$A$204&lt;&gt;"")*(A_Corridor!$A$5:$A$204&lt;=$B235)*(A_Corridor!$B$5:$B$204&gt;$B235)*(A_Corridor!$E$5:$E$204&lt;&gt;"")),IF(A_Corridor!$E$5:$E$204="-","",A_Corridor!$E$5:$E$204)),"")</f>
        <v/>
      </c>
      <c r="H235" s="182" t="str">
        <f>IFERROR(LOOKUP(2,1/((D_Points!$A$5:$A$204&lt;&gt;"")*(D_Points!$A$5:$A$204&gt;=$B235)*(D_Points!$A$5:$A$204&lt;$B235+P_Interval)*(UPPER(TRIM(D_Points!$B$5:$B$204))="GULLY")*(D_Points!$H$5:$H$204&lt;&gt;"")),D_Points!$H$5:$H$204),"")</f>
        <v/>
      </c>
      <c r="I235" s="181" t="str">
        <f>IFERROR(LOOKUP(2,1/((A_Corridor!$A$5:$A$204&lt;&gt;"")*(A_Corridor!$A$5:$A$204&lt;=$B235)*(A_Corridor!$B$5:$B$204&gt;$B235)*(A_Corridor!$F$5:$F$204&lt;&gt;"")),IF(A_Corridor!$F$5:$F$204="-","",1)),"")</f>
        <v/>
      </c>
      <c r="J235" s="182" t="str">
        <f>IFERROR(LOOKUP(2,1/((A_Corridor!$A$5:$A$204&lt;&gt;"")*(A_Corridor!$A$5:$A$204&lt;=$B235)*(A_Corridor!$B$5:$B$204&gt;$B235)*(A_Corridor!$F$5:$F$204&lt;&gt;"")),IF(A_Corridor!$F$5:$F$204="-","",A_Corridor!$F$5:$F$204)),"")</f>
        <v/>
      </c>
      <c r="K235" s="182" t="str">
        <f>IFERROR(LOOKUP(2,1/((A_Corridor!$A$5:$A$204&lt;&gt;"")*(A_Corridor!$A$5:$A$204&lt;=$B235)*(A_Corridor!$B$5:$B$204&gt;$B235)*(A_Corridor!$G$5:$G$204&lt;&gt;"")),IF(A_Corridor!$G$5:$G$204="-","",A_Corridor!$G$5:$G$204)),"")</f>
        <v/>
      </c>
      <c r="L235" s="181" t="str">
        <f>IFERROR(LOOKUP(2,1/((A_Corridor!$A$5:$A$204&lt;&gt;"")*(A_Corridor!$A$5:$A$204&lt;=$B235)*(A_Corridor!$B$5:$B$204&gt;$B235)*(A_Corridor!$H$5:$H$204&lt;&gt;"")),IF(A_Corridor!$H$5:$H$204="-","",1)),"")</f>
        <v/>
      </c>
      <c r="M235" s="182" t="str">
        <f>IFERROR(LOOKUP(2,1/((A_Corridor!$A$5:$A$204&lt;&gt;"")*(A_Corridor!$A$5:$A$204&lt;=$B235)*(A_Corridor!$B$5:$B$204&gt;$B235)*(A_Corridor!$H$5:$H$204&lt;&gt;"")),IF(A_Corridor!$H$5:$H$204="-","",A_Corridor!$H$5:$H$204)),"")</f>
        <v/>
      </c>
      <c r="N235" s="182" t="str">
        <f>IFERROR(LOOKUP(2,1/((A_Corridor!$A$5:$A$204&lt;&gt;"")*(A_Corridor!$A$5:$A$204&lt;=$B235)*(A_Corridor!$B$5:$B$204&gt;$B235)*(A_Corridor!$I$5:$I$204&lt;&gt;"")),IF(A_Corridor!$I$5:$I$204="-","",A_Corridor!$I$5:$I$204)),"")</f>
        <v/>
      </c>
      <c r="O235" s="182" t="str">
        <f>IFERROR(LOOKUP(2,1/((D_Points!$A$5:$A$204&lt;&gt;"")*(D_Points!$A$5:$A$204&gt;=$B235)*(D_Points!$A$5:$A$204&lt;$B235+P_Interval)*(UPPER(TRIM(D_Points!$B$5:$B$204))="PITCHING")*(D_Points!$H$5:$H$204&lt;&gt;"")),D_Points!$H$5:$H$204),"")</f>
        <v/>
      </c>
      <c r="P235" s="181" t="str">
        <f>IFERROR(LOOKUP(2,1/((B_Drainage!$A$5:$A$204&lt;&gt;"")*(B_Drainage!$A$5:$A$204&lt;=$B235)*(B_Drainage!$B$5:$B$204&gt;$B235)*(B_Drainage!$C$5:$C$204&lt;&gt;"")),IF(B_Drainage!$C$5:$C$204="-","",UPPER(B_Drainage!$C$5:$C$204))),"")</f>
        <v/>
      </c>
      <c r="Q235" s="181" t="str">
        <f>IFERROR(LOOKUP(2,1/((B_Drainage!$A$5:$A$204&lt;&gt;"")*(B_Drainage!$A$5:$A$204&lt;=$B235)*(B_Drainage!$B$5:$B$204&gt;$B235)*(B_Drainage!$D$5:$D$204&lt;&gt;"")),IF(B_Drainage!$D$5:$D$204="-","",UPPER(B_Drainage!$D$5:$D$204))),"")</f>
        <v/>
      </c>
      <c r="R235" s="182" t="str">
        <f>IFERROR(LOOKUP(2,1/((D_Points!$A$5:$A$204&lt;&gt;"")*(D_Points!$A$5:$A$204&gt;=$B235)*(D_Points!$A$5:$A$204&lt;$B235+P_Interval)*(RIGHT(UPPER(TRIM(D_Points!$B$5:$B$204)),8)="_CULVERT")),IF(LEFT(UPPER(TRIM(D_Points!$B$5:$B$204)),2)="EX",1,IF(LEFT(UPPER(TRIM(D_Points!$B$5:$B$204)),2)="PR",2,3))),"")</f>
        <v/>
      </c>
      <c r="S235" s="182" t="str">
        <f>IFERROR(LOOKUP(2,1/((D_Points!$A$5:$A$204&lt;&gt;"")*(D_Points!$A$5:$A$204&gt;=$B235)*(D_Points!$A$5:$A$204&lt;$B235+P_Interval)*(RIGHT(UPPER(TRIM(D_Points!$B$5:$B$204)),7)="_BRIDGE")),IF(LEFT(UPPER(TRIM(D_Points!$B$5:$B$204)),2)="EX",1,IF(LEFT(UPPER(TRIM(D_Points!$B$5:$B$204)),2)="PR",2,2))),"")</f>
        <v/>
      </c>
      <c r="T235" s="181" t="str">
        <f>IFERROR(LOOKUP(2,1/((B_Drainage!$A$5:$A$204&lt;&gt;"")*(B_Drainage!$A$5:$A$204&lt;=$B235)*(B_Drainage!$B$5:$B$204&gt;$B235)*(B_Drainage!$E$5:$E$204&lt;&gt;"")),IF(B_Drainage!$E$5:$E$204="-","",1)),"")</f>
        <v/>
      </c>
      <c r="U235" s="181" t="str">
        <f>IFERROR(LOOKUP(2,1/((B_Drainage!$A$5:$A$204&lt;&gt;"")*(B_Drainage!$A$5:$A$204&lt;=$B235)*(B_Drainage!$B$5:$B$204&gt;$B235)*(B_Drainage!$E$5:$E$204&lt;&gt;"")),IF(B_Drainage!$E$5:$E$204="-","",B_Drainage!$E$5:$E$204)),"")</f>
        <v/>
      </c>
      <c r="V235" s="181" t="str">
        <f>IFERROR(LOOKUP(2,1/((B_Drainage!$A$5:$A$204&lt;&gt;"")*(B_Drainage!$A$5:$A$204&lt;=$B235)*(B_Drainage!$B$5:$B$204&gt;$B235)*(B_Drainage!$F$5:$F$204&lt;&gt;"")),IF(B_Drainage!$F$5:$F$204="-","",1)),"")</f>
        <v/>
      </c>
      <c r="W235" s="181" t="str">
        <f>IFERROR(LOOKUP(2,1/((B_Drainage!$A$5:$A$204&lt;&gt;"")*(B_Drainage!$A$5:$A$204&lt;=$B235)*(B_Drainage!$B$5:$B$204&gt;$B235)*(B_Drainage!$F$5:$F$204&lt;&gt;"")),IF(B_Drainage!$F$5:$F$204="-","",B_Drainage!$F$5:$F$204)),"")</f>
        <v/>
      </c>
      <c r="X235" s="181" t="str">
        <f>IFERROR(LOOKUP(2,1/((B_Drainage!$A$5:$A$204&lt;&gt;"")*(B_Drainage!$A$5:$A$204&lt;=$B235)*(B_Drainage!$B$5:$B$204&gt;$B235)*(B_Drainage!$G$5:$G$204&lt;&gt;"")),IF(UPPER(B_Drainage!$G$5:$G$204)="Y",1,"")),"")</f>
        <v/>
      </c>
      <c r="Y235" s="181" t="str">
        <f>IFERROR(LOOKUP(2,1/((B_Drainage!$A$5:$A$204&lt;&gt;"")*(B_Drainage!$A$5:$A$204&lt;=$B235)*(B_Drainage!$B$5:$B$204&gt;$B235)*(B_Drainage!$H$5:$H$204&lt;&gt;"")),IF(UPPER(B_Drainage!$H$5:$H$204)="Y",1,"")),"")</f>
        <v/>
      </c>
      <c r="Z235" s="181" t="str">
        <f>IFERROR(LOOKUP(2,1/((B_Drainage!$A$5:$A$204&lt;&gt;"")*(B_Drainage!$A$5:$A$204&lt;=$B235)*(B_Drainage!$B$5:$B$204&gt;$B235)*(B_Drainage!$I$5:$I$204&lt;&gt;"")),IF(UPPER(B_Drainage!$I$5:$I$204)="Y",1,"")),"")</f>
        <v/>
      </c>
      <c r="AA235" s="181" t="str">
        <f>IFERROR(LOOKUP(2,1/((B_Drainage!$A$5:$A$204&lt;&gt;"")*(B_Drainage!$A$5:$A$204&lt;=$B235)*(B_Drainage!$B$5:$B$204&gt;$B235)*(B_Drainage!$J$5:$J$204&lt;&gt;"")),IF(UPPER(B_Drainage!$J$5:$J$204)="Y",1,"")),"")</f>
        <v/>
      </c>
      <c r="AB235" s="182" t="str">
        <f>IFERROR(LOOKUP(2,1/((B_Drainage!$A$5:$A$204&lt;&gt;"")*(B_Drainage!$A$5:$A$204&lt;=$B235)*(B_Drainage!$B$5:$B$204&gt;$B235)*(B_Drainage!$K$5:$K$204&lt;&gt;"")),IF(B_Drainage!$K$5:$K$204="-","",B_Drainage!$K$5:$K$204)),"")</f>
        <v/>
      </c>
      <c r="AC235" s="182" t="str">
        <f>IFERROR(LOOKUP(2,1/((B_Drainage!$A$5:$A$204&lt;&gt;"")*(B_Drainage!$A$5:$A$204&lt;=$B235)*(B_Drainage!$B$5:$B$204&gt;$B235)*(B_Drainage!$L$5:$L$204&lt;&gt;"")),IF(B_Drainage!$L$5:$L$204="-","",B_Drainage!$L$5:$L$204)),"")</f>
        <v/>
      </c>
      <c r="AD235" s="182" t="str">
        <f>IFERROR(LOOKUP(2,1/((D_Points!$A$5:$A$204&lt;&gt;"")*(D_Points!$A$5:$A$204&gt;=$B235)*(D_Points!$A$5:$A$204&lt;$B235+P_Interval)*(UPPER(TRIM(D_Points!$B$5:$B$204))="TURNOUT_L")*(D_Points!$H$5:$H$204&lt;&gt;"")),D_Points!$H$5:$H$204),"")</f>
        <v/>
      </c>
      <c r="AE235" s="182" t="str">
        <f>IFERROR(LOOKUP(2,1/((D_Points!$A$5:$A$204&lt;&gt;"")*(D_Points!$A$5:$A$204&gt;=$B235)*(D_Points!$A$5:$A$204&lt;$B235+P_Interval)*(UPPER(TRIM(D_Points!$B$5:$B$204))="TURNOUT_R")*(D_Points!$H$5:$H$204&lt;&gt;"")),D_Points!$H$5:$H$204),"")</f>
        <v/>
      </c>
      <c r="AF235" s="181" t="str">
        <f>IFERROR(LOOKUP(2,1/((B_Drainage!$A$5:$A$204&lt;&gt;"")*(B_Drainage!$A$5:$A$204&lt;=$B235)*(B_Drainage!$B$5:$B$204&gt;$B235)*(B_Drainage!$M$5:$M$204&lt;&gt;"")),IF(UPPER(B_Drainage!$M$5:$M$204)="Y",1,"")),"")</f>
        <v/>
      </c>
      <c r="AG235" s="181" t="str">
        <f>IFERROR(LOOKUP(2,1/((B_Drainage!$A$5:$A$204&lt;&gt;"")*(B_Drainage!$A$5:$A$204&lt;=$B235)*(B_Drainage!$B$5:$B$204&gt;$B235)*(B_Drainage!$N$5:$N$204&lt;&gt;"")),IF(UPPER(B_Drainage!$N$5:$N$204)="Y",1,"")),"")</f>
        <v/>
      </c>
      <c r="AH235" s="181" t="str">
        <f t="shared" si="24"/>
        <v/>
      </c>
      <c r="AI235" s="181" t="str">
        <f t="shared" si="25"/>
        <v/>
      </c>
      <c r="AJ235" s="181" t="str">
        <f t="shared" si="26"/>
        <v/>
      </c>
      <c r="AK235" s="181" t="str">
        <f t="shared" si="27"/>
        <v/>
      </c>
      <c r="AL235" s="181" t="str">
        <f t="shared" si="28"/>
        <v/>
      </c>
      <c r="AM235" s="181" t="str">
        <f t="shared" si="29"/>
        <v/>
      </c>
      <c r="AN235" s="181" t="str">
        <f t="shared" si="30"/>
        <v/>
      </c>
      <c r="AO235" s="192" t="str">
        <f t="shared" si="31"/>
        <v/>
      </c>
      <c r="AQ235" t="str">
        <f>IFERROR(LOOKUP(2,1/((C_Pavement!$A$5:$A$204&lt;&gt;"")*(C_Pavement!$A$5:$A$204&lt;=$B235)*(C_Pavement!$B$5:$B$204&gt;$B235)*(C_Pavement!$C$5:$C$204&lt;&gt;"")),ROW(C_Pavement!$C$5:$C$204)-4),"")</f>
        <v/>
      </c>
      <c r="AR235" t="str">
        <f>IF($AQ235="","",UPPER(TRIM(INDEX(C_Pavement!$C$5:$C$204,$AQ235))))</f>
        <v/>
      </c>
      <c r="AS235" t="str">
        <f>IF($AR235="","",IFERROR(MATCH($AR235,E_Rules!$A$5:$A$9,0),""))</f>
        <v/>
      </c>
      <c r="AT235" t="str">
        <f>IF($AQ235="","",IF(INDEX(C_Pavement!$D$5:$D$204,$AQ235)&lt;&gt;"",UPPER(TRIM(INDEX(C_Pavement!$D$5:$D$204,$AQ235))),IF($AS235="","",INDEX(E_Rules!$C$5:$C$9,$AS235))))</f>
        <v/>
      </c>
      <c r="AU235" t="str">
        <f>IF($AQ235="","",IF(INDEX(C_Pavement!$E$5:$E$204,$AQ235)&lt;&gt;"",IF(INDEX(C_Pavement!$E$5:$E$204,$AQ235)="-","",INDEX(C_Pavement!$E$5:$E$204,$AQ235)),IF($AS235="","",INDEX(E_Rules!$D$5:$D$9,$AS235))))</f>
        <v/>
      </c>
      <c r="AV235" t="str">
        <f>IF($AQ235="","",IF(INDEX(C_Pavement!$F$5:$F$204,$AQ235)&lt;&gt;"",IF(INDEX(C_Pavement!$F$5:$F$204,$AQ235)="-","",INDEX(C_Pavement!$F$5:$F$204,$AQ235)),IF($AS235="","",INDEX(E_Rules!$E$5:$E$9,$AS235))))</f>
        <v/>
      </c>
      <c r="AW235" t="str">
        <f>IF($AQ235="","",IF(INDEX(C_Pavement!$G$5:$G$204,$AQ235)&lt;&gt;"",IF(INDEX(C_Pavement!$G$5:$G$204,$AQ235)="-","",INDEX(C_Pavement!$G$5:$G$204,$AQ235)),IF($AS235="","",INDEX(E_Rules!$F$5:$F$9,$AS235))))</f>
        <v/>
      </c>
      <c r="AX235" t="str">
        <f>IF($AQ235="","",IF(INDEX(C_Pavement!$H$5:$H$204,$AQ235)&lt;&gt;"",IF(INDEX(C_Pavement!$H$5:$H$204,$AQ235)="-","",INDEX(C_Pavement!$H$5:$H$204,$AQ235)),IF($AS235="","",INDEX(E_Rules!$G$5:$G$9,$AS235))))</f>
        <v/>
      </c>
      <c r="AY235" t="str">
        <f>IF($AQ235="","",IF(INDEX(C_Pavement!$I$5:$I$204,$AQ235)&lt;&gt;"",IF(INDEX(C_Pavement!$I$5:$I$204,$AQ235)="-","",INDEX(C_Pavement!$I$5:$I$204,$AQ235)),IF($AS235="","",INDEX(E_Rules!$H$5:$H$9,$AS235))))</f>
        <v/>
      </c>
    </row>
    <row r="236" spans="1:51" ht="15.75" customHeight="1" x14ac:dyDescent="0.3">
      <c r="A236" s="189">
        <v>231</v>
      </c>
      <c r="B236" s="180">
        <v>11500</v>
      </c>
      <c r="C236" s="180" t="s">
        <v>542</v>
      </c>
      <c r="D236" s="181" t="str">
        <f>IFERROR(LOOKUP(2,1/((A_Corridor!$A$5:$A$204&lt;&gt;"")*(A_Corridor!$A$5:$A$204&lt;=$B236)*(A_Corridor!$B$5:$B$204&gt;$B236)*(A_Corridor!$C$5:$C$204&lt;&gt;"")),IF(UPPER(A_Corridor!$C$5:$C$204)="Y",1,"")),"")</f>
        <v/>
      </c>
      <c r="E236" s="181" t="str">
        <f>IFERROR(LOOKUP(2,1/((A_Corridor!$A$5:$A$204&lt;&gt;"")*(A_Corridor!$A$5:$A$204&lt;=$B236)*(A_Corridor!$B$5:$B$204&gt;$B236)*(A_Corridor!$D$5:$D$204&lt;&gt;"")),IF(A_Corridor!$D$5:$D$204="-","",UPPER(A_Corridor!$D$5:$D$204))),"")</f>
        <v/>
      </c>
      <c r="F236" s="181" t="str">
        <f>IFERROR(LOOKUP(2,1/((A_Corridor!$A$5:$A$204&lt;&gt;"")*(A_Corridor!$A$5:$A$204&lt;=$B236)*(A_Corridor!$B$5:$B$204&gt;$B236)*(A_Corridor!$E$5:$E$204&lt;&gt;"")),IF(A_Corridor!$E$5:$E$204="-","",1)),"")</f>
        <v/>
      </c>
      <c r="G236" s="182" t="str">
        <f>IFERROR(LOOKUP(2,1/((A_Corridor!$A$5:$A$204&lt;&gt;"")*(A_Corridor!$A$5:$A$204&lt;=$B236)*(A_Corridor!$B$5:$B$204&gt;$B236)*(A_Corridor!$E$5:$E$204&lt;&gt;"")),IF(A_Corridor!$E$5:$E$204="-","",A_Corridor!$E$5:$E$204)),"")</f>
        <v/>
      </c>
      <c r="H236" s="182" t="str">
        <f>IFERROR(LOOKUP(2,1/((D_Points!$A$5:$A$204&lt;&gt;"")*(D_Points!$A$5:$A$204&gt;=$B236)*(D_Points!$A$5:$A$204&lt;$B236+P_Interval)*(UPPER(TRIM(D_Points!$B$5:$B$204))="GULLY")*(D_Points!$H$5:$H$204&lt;&gt;"")),D_Points!$H$5:$H$204),"")</f>
        <v/>
      </c>
      <c r="I236" s="181" t="str">
        <f>IFERROR(LOOKUP(2,1/((A_Corridor!$A$5:$A$204&lt;&gt;"")*(A_Corridor!$A$5:$A$204&lt;=$B236)*(A_Corridor!$B$5:$B$204&gt;$B236)*(A_Corridor!$F$5:$F$204&lt;&gt;"")),IF(A_Corridor!$F$5:$F$204="-","",1)),"")</f>
        <v/>
      </c>
      <c r="J236" s="182" t="str">
        <f>IFERROR(LOOKUP(2,1/((A_Corridor!$A$5:$A$204&lt;&gt;"")*(A_Corridor!$A$5:$A$204&lt;=$B236)*(A_Corridor!$B$5:$B$204&gt;$B236)*(A_Corridor!$F$5:$F$204&lt;&gt;"")),IF(A_Corridor!$F$5:$F$204="-","",A_Corridor!$F$5:$F$204)),"")</f>
        <v/>
      </c>
      <c r="K236" s="182" t="str">
        <f>IFERROR(LOOKUP(2,1/((A_Corridor!$A$5:$A$204&lt;&gt;"")*(A_Corridor!$A$5:$A$204&lt;=$B236)*(A_Corridor!$B$5:$B$204&gt;$B236)*(A_Corridor!$G$5:$G$204&lt;&gt;"")),IF(A_Corridor!$G$5:$G$204="-","",A_Corridor!$G$5:$G$204)),"")</f>
        <v/>
      </c>
      <c r="L236" s="181" t="str">
        <f>IFERROR(LOOKUP(2,1/((A_Corridor!$A$5:$A$204&lt;&gt;"")*(A_Corridor!$A$5:$A$204&lt;=$B236)*(A_Corridor!$B$5:$B$204&gt;$B236)*(A_Corridor!$H$5:$H$204&lt;&gt;"")),IF(A_Corridor!$H$5:$H$204="-","",1)),"")</f>
        <v/>
      </c>
      <c r="M236" s="182" t="str">
        <f>IFERROR(LOOKUP(2,1/((A_Corridor!$A$5:$A$204&lt;&gt;"")*(A_Corridor!$A$5:$A$204&lt;=$B236)*(A_Corridor!$B$5:$B$204&gt;$B236)*(A_Corridor!$H$5:$H$204&lt;&gt;"")),IF(A_Corridor!$H$5:$H$204="-","",A_Corridor!$H$5:$H$204)),"")</f>
        <v/>
      </c>
      <c r="N236" s="182" t="str">
        <f>IFERROR(LOOKUP(2,1/((A_Corridor!$A$5:$A$204&lt;&gt;"")*(A_Corridor!$A$5:$A$204&lt;=$B236)*(A_Corridor!$B$5:$B$204&gt;$B236)*(A_Corridor!$I$5:$I$204&lt;&gt;"")),IF(A_Corridor!$I$5:$I$204="-","",A_Corridor!$I$5:$I$204)),"")</f>
        <v/>
      </c>
      <c r="O236" s="182" t="str">
        <f>IFERROR(LOOKUP(2,1/((D_Points!$A$5:$A$204&lt;&gt;"")*(D_Points!$A$5:$A$204&gt;=$B236)*(D_Points!$A$5:$A$204&lt;$B236+P_Interval)*(UPPER(TRIM(D_Points!$B$5:$B$204))="PITCHING")*(D_Points!$H$5:$H$204&lt;&gt;"")),D_Points!$H$5:$H$204),"")</f>
        <v/>
      </c>
      <c r="P236" s="181" t="str">
        <f>IFERROR(LOOKUP(2,1/((B_Drainage!$A$5:$A$204&lt;&gt;"")*(B_Drainage!$A$5:$A$204&lt;=$B236)*(B_Drainage!$B$5:$B$204&gt;$B236)*(B_Drainage!$C$5:$C$204&lt;&gt;"")),IF(B_Drainage!$C$5:$C$204="-","",UPPER(B_Drainage!$C$5:$C$204))),"")</f>
        <v/>
      </c>
      <c r="Q236" s="181" t="str">
        <f>IFERROR(LOOKUP(2,1/((B_Drainage!$A$5:$A$204&lt;&gt;"")*(B_Drainage!$A$5:$A$204&lt;=$B236)*(B_Drainage!$B$5:$B$204&gt;$B236)*(B_Drainage!$D$5:$D$204&lt;&gt;"")),IF(B_Drainage!$D$5:$D$204="-","",UPPER(B_Drainage!$D$5:$D$204))),"")</f>
        <v/>
      </c>
      <c r="R236" s="182" t="str">
        <f>IFERROR(LOOKUP(2,1/((D_Points!$A$5:$A$204&lt;&gt;"")*(D_Points!$A$5:$A$204&gt;=$B236)*(D_Points!$A$5:$A$204&lt;$B236+P_Interval)*(RIGHT(UPPER(TRIM(D_Points!$B$5:$B$204)),8)="_CULVERT")),IF(LEFT(UPPER(TRIM(D_Points!$B$5:$B$204)),2)="EX",1,IF(LEFT(UPPER(TRIM(D_Points!$B$5:$B$204)),2)="PR",2,3))),"")</f>
        <v/>
      </c>
      <c r="S236" s="182" t="str">
        <f>IFERROR(LOOKUP(2,1/((D_Points!$A$5:$A$204&lt;&gt;"")*(D_Points!$A$5:$A$204&gt;=$B236)*(D_Points!$A$5:$A$204&lt;$B236+P_Interval)*(RIGHT(UPPER(TRIM(D_Points!$B$5:$B$204)),7)="_BRIDGE")),IF(LEFT(UPPER(TRIM(D_Points!$B$5:$B$204)),2)="EX",1,IF(LEFT(UPPER(TRIM(D_Points!$B$5:$B$204)),2)="PR",2,2))),"")</f>
        <v/>
      </c>
      <c r="T236" s="181" t="str">
        <f>IFERROR(LOOKUP(2,1/((B_Drainage!$A$5:$A$204&lt;&gt;"")*(B_Drainage!$A$5:$A$204&lt;=$B236)*(B_Drainage!$B$5:$B$204&gt;$B236)*(B_Drainage!$E$5:$E$204&lt;&gt;"")),IF(B_Drainage!$E$5:$E$204="-","",1)),"")</f>
        <v/>
      </c>
      <c r="U236" s="181" t="str">
        <f>IFERROR(LOOKUP(2,1/((B_Drainage!$A$5:$A$204&lt;&gt;"")*(B_Drainage!$A$5:$A$204&lt;=$B236)*(B_Drainage!$B$5:$B$204&gt;$B236)*(B_Drainage!$E$5:$E$204&lt;&gt;"")),IF(B_Drainage!$E$5:$E$204="-","",B_Drainage!$E$5:$E$204)),"")</f>
        <v/>
      </c>
      <c r="V236" s="181" t="str">
        <f>IFERROR(LOOKUP(2,1/((B_Drainage!$A$5:$A$204&lt;&gt;"")*(B_Drainage!$A$5:$A$204&lt;=$B236)*(B_Drainage!$B$5:$B$204&gt;$B236)*(B_Drainage!$F$5:$F$204&lt;&gt;"")),IF(B_Drainage!$F$5:$F$204="-","",1)),"")</f>
        <v/>
      </c>
      <c r="W236" s="181" t="str">
        <f>IFERROR(LOOKUP(2,1/((B_Drainage!$A$5:$A$204&lt;&gt;"")*(B_Drainage!$A$5:$A$204&lt;=$B236)*(B_Drainage!$B$5:$B$204&gt;$B236)*(B_Drainage!$F$5:$F$204&lt;&gt;"")),IF(B_Drainage!$F$5:$F$204="-","",B_Drainage!$F$5:$F$204)),"")</f>
        <v/>
      </c>
      <c r="X236" s="181" t="str">
        <f>IFERROR(LOOKUP(2,1/((B_Drainage!$A$5:$A$204&lt;&gt;"")*(B_Drainage!$A$5:$A$204&lt;=$B236)*(B_Drainage!$B$5:$B$204&gt;$B236)*(B_Drainage!$G$5:$G$204&lt;&gt;"")),IF(UPPER(B_Drainage!$G$5:$G$204)="Y",1,"")),"")</f>
        <v/>
      </c>
      <c r="Y236" s="181" t="str">
        <f>IFERROR(LOOKUP(2,1/((B_Drainage!$A$5:$A$204&lt;&gt;"")*(B_Drainage!$A$5:$A$204&lt;=$B236)*(B_Drainage!$B$5:$B$204&gt;$B236)*(B_Drainage!$H$5:$H$204&lt;&gt;"")),IF(UPPER(B_Drainage!$H$5:$H$204)="Y",1,"")),"")</f>
        <v/>
      </c>
      <c r="Z236" s="181" t="str">
        <f>IFERROR(LOOKUP(2,1/((B_Drainage!$A$5:$A$204&lt;&gt;"")*(B_Drainage!$A$5:$A$204&lt;=$B236)*(B_Drainage!$B$5:$B$204&gt;$B236)*(B_Drainage!$I$5:$I$204&lt;&gt;"")),IF(UPPER(B_Drainage!$I$5:$I$204)="Y",1,"")),"")</f>
        <v/>
      </c>
      <c r="AA236" s="181" t="str">
        <f>IFERROR(LOOKUP(2,1/((B_Drainage!$A$5:$A$204&lt;&gt;"")*(B_Drainage!$A$5:$A$204&lt;=$B236)*(B_Drainage!$B$5:$B$204&gt;$B236)*(B_Drainage!$J$5:$J$204&lt;&gt;"")),IF(UPPER(B_Drainage!$J$5:$J$204)="Y",1,"")),"")</f>
        <v/>
      </c>
      <c r="AB236" s="182" t="str">
        <f>IFERROR(LOOKUP(2,1/((B_Drainage!$A$5:$A$204&lt;&gt;"")*(B_Drainage!$A$5:$A$204&lt;=$B236)*(B_Drainage!$B$5:$B$204&gt;$B236)*(B_Drainage!$K$5:$K$204&lt;&gt;"")),IF(B_Drainage!$K$5:$K$204="-","",B_Drainage!$K$5:$K$204)),"")</f>
        <v/>
      </c>
      <c r="AC236" s="182" t="str">
        <f>IFERROR(LOOKUP(2,1/((B_Drainage!$A$5:$A$204&lt;&gt;"")*(B_Drainage!$A$5:$A$204&lt;=$B236)*(B_Drainage!$B$5:$B$204&gt;$B236)*(B_Drainage!$L$5:$L$204&lt;&gt;"")),IF(B_Drainage!$L$5:$L$204="-","",B_Drainage!$L$5:$L$204)),"")</f>
        <v/>
      </c>
      <c r="AD236" s="182" t="str">
        <f>IFERROR(LOOKUP(2,1/((D_Points!$A$5:$A$204&lt;&gt;"")*(D_Points!$A$5:$A$204&gt;=$B236)*(D_Points!$A$5:$A$204&lt;$B236+P_Interval)*(UPPER(TRIM(D_Points!$B$5:$B$204))="TURNOUT_L")*(D_Points!$H$5:$H$204&lt;&gt;"")),D_Points!$H$5:$H$204),"")</f>
        <v/>
      </c>
      <c r="AE236" s="182" t="str">
        <f>IFERROR(LOOKUP(2,1/((D_Points!$A$5:$A$204&lt;&gt;"")*(D_Points!$A$5:$A$204&gt;=$B236)*(D_Points!$A$5:$A$204&lt;$B236+P_Interval)*(UPPER(TRIM(D_Points!$B$5:$B$204))="TURNOUT_R")*(D_Points!$H$5:$H$204&lt;&gt;"")),D_Points!$H$5:$H$204),"")</f>
        <v/>
      </c>
      <c r="AF236" s="181" t="str">
        <f>IFERROR(LOOKUP(2,1/((B_Drainage!$A$5:$A$204&lt;&gt;"")*(B_Drainage!$A$5:$A$204&lt;=$B236)*(B_Drainage!$B$5:$B$204&gt;$B236)*(B_Drainage!$M$5:$M$204&lt;&gt;"")),IF(UPPER(B_Drainage!$M$5:$M$204)="Y",1,"")),"")</f>
        <v/>
      </c>
      <c r="AG236" s="181" t="str">
        <f>IFERROR(LOOKUP(2,1/((B_Drainage!$A$5:$A$204&lt;&gt;"")*(B_Drainage!$A$5:$A$204&lt;=$B236)*(B_Drainage!$B$5:$B$204&gt;$B236)*(B_Drainage!$N$5:$N$204&lt;&gt;"")),IF(UPPER(B_Drainage!$N$5:$N$204)="Y",1,"")),"")</f>
        <v/>
      </c>
      <c r="AH236" s="181" t="str">
        <f t="shared" si="24"/>
        <v/>
      </c>
      <c r="AI236" s="181" t="str">
        <f t="shared" si="25"/>
        <v/>
      </c>
      <c r="AJ236" s="181" t="str">
        <f t="shared" si="26"/>
        <v/>
      </c>
      <c r="AK236" s="181" t="str">
        <f t="shared" si="27"/>
        <v/>
      </c>
      <c r="AL236" s="181" t="str">
        <f t="shared" si="28"/>
        <v/>
      </c>
      <c r="AM236" s="181" t="str">
        <f t="shared" si="29"/>
        <v/>
      </c>
      <c r="AN236" s="181" t="str">
        <f t="shared" si="30"/>
        <v/>
      </c>
      <c r="AO236" s="192" t="str">
        <f t="shared" si="31"/>
        <v/>
      </c>
      <c r="AQ236" t="str">
        <f>IFERROR(LOOKUP(2,1/((C_Pavement!$A$5:$A$204&lt;&gt;"")*(C_Pavement!$A$5:$A$204&lt;=$B236)*(C_Pavement!$B$5:$B$204&gt;$B236)*(C_Pavement!$C$5:$C$204&lt;&gt;"")),ROW(C_Pavement!$C$5:$C$204)-4),"")</f>
        <v/>
      </c>
      <c r="AR236" t="str">
        <f>IF($AQ236="","",UPPER(TRIM(INDEX(C_Pavement!$C$5:$C$204,$AQ236))))</f>
        <v/>
      </c>
      <c r="AS236" t="str">
        <f>IF($AR236="","",IFERROR(MATCH($AR236,E_Rules!$A$5:$A$9,0),""))</f>
        <v/>
      </c>
      <c r="AT236" t="str">
        <f>IF($AQ236="","",IF(INDEX(C_Pavement!$D$5:$D$204,$AQ236)&lt;&gt;"",UPPER(TRIM(INDEX(C_Pavement!$D$5:$D$204,$AQ236))),IF($AS236="","",INDEX(E_Rules!$C$5:$C$9,$AS236))))</f>
        <v/>
      </c>
      <c r="AU236" t="str">
        <f>IF($AQ236="","",IF(INDEX(C_Pavement!$E$5:$E$204,$AQ236)&lt;&gt;"",IF(INDEX(C_Pavement!$E$5:$E$204,$AQ236)="-","",INDEX(C_Pavement!$E$5:$E$204,$AQ236)),IF($AS236="","",INDEX(E_Rules!$D$5:$D$9,$AS236))))</f>
        <v/>
      </c>
      <c r="AV236" t="str">
        <f>IF($AQ236="","",IF(INDEX(C_Pavement!$F$5:$F$204,$AQ236)&lt;&gt;"",IF(INDEX(C_Pavement!$F$5:$F$204,$AQ236)="-","",INDEX(C_Pavement!$F$5:$F$204,$AQ236)),IF($AS236="","",INDEX(E_Rules!$E$5:$E$9,$AS236))))</f>
        <v/>
      </c>
      <c r="AW236" t="str">
        <f>IF($AQ236="","",IF(INDEX(C_Pavement!$G$5:$G$204,$AQ236)&lt;&gt;"",IF(INDEX(C_Pavement!$G$5:$G$204,$AQ236)="-","",INDEX(C_Pavement!$G$5:$G$204,$AQ236)),IF($AS236="","",INDEX(E_Rules!$F$5:$F$9,$AS236))))</f>
        <v/>
      </c>
      <c r="AX236" t="str">
        <f>IF($AQ236="","",IF(INDEX(C_Pavement!$H$5:$H$204,$AQ236)&lt;&gt;"",IF(INDEX(C_Pavement!$H$5:$H$204,$AQ236)="-","",INDEX(C_Pavement!$H$5:$H$204,$AQ236)),IF($AS236="","",INDEX(E_Rules!$G$5:$G$9,$AS236))))</f>
        <v/>
      </c>
      <c r="AY236" t="str">
        <f>IF($AQ236="","",IF(INDEX(C_Pavement!$I$5:$I$204,$AQ236)&lt;&gt;"",IF(INDEX(C_Pavement!$I$5:$I$204,$AQ236)="-","",INDEX(C_Pavement!$I$5:$I$204,$AQ236)),IF($AS236="","",INDEX(E_Rules!$H$5:$H$9,$AS236))))</f>
        <v/>
      </c>
    </row>
    <row r="237" spans="1:51" ht="15.75" customHeight="1" x14ac:dyDescent="0.3">
      <c r="A237" s="189">
        <v>232</v>
      </c>
      <c r="B237" s="180">
        <v>11550</v>
      </c>
      <c r="C237" s="180" t="s">
        <v>543</v>
      </c>
      <c r="D237" s="181" t="str">
        <f>IFERROR(LOOKUP(2,1/((A_Corridor!$A$5:$A$204&lt;&gt;"")*(A_Corridor!$A$5:$A$204&lt;=$B237)*(A_Corridor!$B$5:$B$204&gt;$B237)*(A_Corridor!$C$5:$C$204&lt;&gt;"")),IF(UPPER(A_Corridor!$C$5:$C$204)="Y",1,"")),"")</f>
        <v/>
      </c>
      <c r="E237" s="181" t="str">
        <f>IFERROR(LOOKUP(2,1/((A_Corridor!$A$5:$A$204&lt;&gt;"")*(A_Corridor!$A$5:$A$204&lt;=$B237)*(A_Corridor!$B$5:$B$204&gt;$B237)*(A_Corridor!$D$5:$D$204&lt;&gt;"")),IF(A_Corridor!$D$5:$D$204="-","",UPPER(A_Corridor!$D$5:$D$204))),"")</f>
        <v/>
      </c>
      <c r="F237" s="181" t="str">
        <f>IFERROR(LOOKUP(2,1/((A_Corridor!$A$5:$A$204&lt;&gt;"")*(A_Corridor!$A$5:$A$204&lt;=$B237)*(A_Corridor!$B$5:$B$204&gt;$B237)*(A_Corridor!$E$5:$E$204&lt;&gt;"")),IF(A_Corridor!$E$5:$E$204="-","",1)),"")</f>
        <v/>
      </c>
      <c r="G237" s="182" t="str">
        <f>IFERROR(LOOKUP(2,1/((A_Corridor!$A$5:$A$204&lt;&gt;"")*(A_Corridor!$A$5:$A$204&lt;=$B237)*(A_Corridor!$B$5:$B$204&gt;$B237)*(A_Corridor!$E$5:$E$204&lt;&gt;"")),IF(A_Corridor!$E$5:$E$204="-","",A_Corridor!$E$5:$E$204)),"")</f>
        <v/>
      </c>
      <c r="H237" s="182" t="str">
        <f>IFERROR(LOOKUP(2,1/((D_Points!$A$5:$A$204&lt;&gt;"")*(D_Points!$A$5:$A$204&gt;=$B237)*(D_Points!$A$5:$A$204&lt;$B237+P_Interval)*(UPPER(TRIM(D_Points!$B$5:$B$204))="GULLY")*(D_Points!$H$5:$H$204&lt;&gt;"")),D_Points!$H$5:$H$204),"")</f>
        <v/>
      </c>
      <c r="I237" s="181" t="str">
        <f>IFERROR(LOOKUP(2,1/((A_Corridor!$A$5:$A$204&lt;&gt;"")*(A_Corridor!$A$5:$A$204&lt;=$B237)*(A_Corridor!$B$5:$B$204&gt;$B237)*(A_Corridor!$F$5:$F$204&lt;&gt;"")),IF(A_Corridor!$F$5:$F$204="-","",1)),"")</f>
        <v/>
      </c>
      <c r="J237" s="182" t="str">
        <f>IFERROR(LOOKUP(2,1/((A_Corridor!$A$5:$A$204&lt;&gt;"")*(A_Corridor!$A$5:$A$204&lt;=$B237)*(A_Corridor!$B$5:$B$204&gt;$B237)*(A_Corridor!$F$5:$F$204&lt;&gt;"")),IF(A_Corridor!$F$5:$F$204="-","",A_Corridor!$F$5:$F$204)),"")</f>
        <v/>
      </c>
      <c r="K237" s="182" t="str">
        <f>IFERROR(LOOKUP(2,1/((A_Corridor!$A$5:$A$204&lt;&gt;"")*(A_Corridor!$A$5:$A$204&lt;=$B237)*(A_Corridor!$B$5:$B$204&gt;$B237)*(A_Corridor!$G$5:$G$204&lt;&gt;"")),IF(A_Corridor!$G$5:$G$204="-","",A_Corridor!$G$5:$G$204)),"")</f>
        <v/>
      </c>
      <c r="L237" s="181" t="str">
        <f>IFERROR(LOOKUP(2,1/((A_Corridor!$A$5:$A$204&lt;&gt;"")*(A_Corridor!$A$5:$A$204&lt;=$B237)*(A_Corridor!$B$5:$B$204&gt;$B237)*(A_Corridor!$H$5:$H$204&lt;&gt;"")),IF(A_Corridor!$H$5:$H$204="-","",1)),"")</f>
        <v/>
      </c>
      <c r="M237" s="182" t="str">
        <f>IFERROR(LOOKUP(2,1/((A_Corridor!$A$5:$A$204&lt;&gt;"")*(A_Corridor!$A$5:$A$204&lt;=$B237)*(A_Corridor!$B$5:$B$204&gt;$B237)*(A_Corridor!$H$5:$H$204&lt;&gt;"")),IF(A_Corridor!$H$5:$H$204="-","",A_Corridor!$H$5:$H$204)),"")</f>
        <v/>
      </c>
      <c r="N237" s="182" t="str">
        <f>IFERROR(LOOKUP(2,1/((A_Corridor!$A$5:$A$204&lt;&gt;"")*(A_Corridor!$A$5:$A$204&lt;=$B237)*(A_Corridor!$B$5:$B$204&gt;$B237)*(A_Corridor!$I$5:$I$204&lt;&gt;"")),IF(A_Corridor!$I$5:$I$204="-","",A_Corridor!$I$5:$I$204)),"")</f>
        <v/>
      </c>
      <c r="O237" s="182" t="str">
        <f>IFERROR(LOOKUP(2,1/((D_Points!$A$5:$A$204&lt;&gt;"")*(D_Points!$A$5:$A$204&gt;=$B237)*(D_Points!$A$5:$A$204&lt;$B237+P_Interval)*(UPPER(TRIM(D_Points!$B$5:$B$204))="PITCHING")*(D_Points!$H$5:$H$204&lt;&gt;"")),D_Points!$H$5:$H$204),"")</f>
        <v/>
      </c>
      <c r="P237" s="181" t="str">
        <f>IFERROR(LOOKUP(2,1/((B_Drainage!$A$5:$A$204&lt;&gt;"")*(B_Drainage!$A$5:$A$204&lt;=$B237)*(B_Drainage!$B$5:$B$204&gt;$B237)*(B_Drainage!$C$5:$C$204&lt;&gt;"")),IF(B_Drainage!$C$5:$C$204="-","",UPPER(B_Drainage!$C$5:$C$204))),"")</f>
        <v/>
      </c>
      <c r="Q237" s="181" t="str">
        <f>IFERROR(LOOKUP(2,1/((B_Drainage!$A$5:$A$204&lt;&gt;"")*(B_Drainage!$A$5:$A$204&lt;=$B237)*(B_Drainage!$B$5:$B$204&gt;$B237)*(B_Drainage!$D$5:$D$204&lt;&gt;"")),IF(B_Drainage!$D$5:$D$204="-","",UPPER(B_Drainage!$D$5:$D$204))),"")</f>
        <v/>
      </c>
      <c r="R237" s="182" t="str">
        <f>IFERROR(LOOKUP(2,1/((D_Points!$A$5:$A$204&lt;&gt;"")*(D_Points!$A$5:$A$204&gt;=$B237)*(D_Points!$A$5:$A$204&lt;$B237+P_Interval)*(RIGHT(UPPER(TRIM(D_Points!$B$5:$B$204)),8)="_CULVERT")),IF(LEFT(UPPER(TRIM(D_Points!$B$5:$B$204)),2)="EX",1,IF(LEFT(UPPER(TRIM(D_Points!$B$5:$B$204)),2)="PR",2,3))),"")</f>
        <v/>
      </c>
      <c r="S237" s="182" t="str">
        <f>IFERROR(LOOKUP(2,1/((D_Points!$A$5:$A$204&lt;&gt;"")*(D_Points!$A$5:$A$204&gt;=$B237)*(D_Points!$A$5:$A$204&lt;$B237+P_Interval)*(RIGHT(UPPER(TRIM(D_Points!$B$5:$B$204)),7)="_BRIDGE")),IF(LEFT(UPPER(TRIM(D_Points!$B$5:$B$204)),2)="EX",1,IF(LEFT(UPPER(TRIM(D_Points!$B$5:$B$204)),2)="PR",2,2))),"")</f>
        <v/>
      </c>
      <c r="T237" s="181" t="str">
        <f>IFERROR(LOOKUP(2,1/((B_Drainage!$A$5:$A$204&lt;&gt;"")*(B_Drainage!$A$5:$A$204&lt;=$B237)*(B_Drainage!$B$5:$B$204&gt;$B237)*(B_Drainage!$E$5:$E$204&lt;&gt;"")),IF(B_Drainage!$E$5:$E$204="-","",1)),"")</f>
        <v/>
      </c>
      <c r="U237" s="181" t="str">
        <f>IFERROR(LOOKUP(2,1/((B_Drainage!$A$5:$A$204&lt;&gt;"")*(B_Drainage!$A$5:$A$204&lt;=$B237)*(B_Drainage!$B$5:$B$204&gt;$B237)*(B_Drainage!$E$5:$E$204&lt;&gt;"")),IF(B_Drainage!$E$5:$E$204="-","",B_Drainage!$E$5:$E$204)),"")</f>
        <v/>
      </c>
      <c r="V237" s="181" t="str">
        <f>IFERROR(LOOKUP(2,1/((B_Drainage!$A$5:$A$204&lt;&gt;"")*(B_Drainage!$A$5:$A$204&lt;=$B237)*(B_Drainage!$B$5:$B$204&gt;$B237)*(B_Drainage!$F$5:$F$204&lt;&gt;"")),IF(B_Drainage!$F$5:$F$204="-","",1)),"")</f>
        <v/>
      </c>
      <c r="W237" s="181" t="str">
        <f>IFERROR(LOOKUP(2,1/((B_Drainage!$A$5:$A$204&lt;&gt;"")*(B_Drainage!$A$5:$A$204&lt;=$B237)*(B_Drainage!$B$5:$B$204&gt;$B237)*(B_Drainage!$F$5:$F$204&lt;&gt;"")),IF(B_Drainage!$F$5:$F$204="-","",B_Drainage!$F$5:$F$204)),"")</f>
        <v/>
      </c>
      <c r="X237" s="181" t="str">
        <f>IFERROR(LOOKUP(2,1/((B_Drainage!$A$5:$A$204&lt;&gt;"")*(B_Drainage!$A$5:$A$204&lt;=$B237)*(B_Drainage!$B$5:$B$204&gt;$B237)*(B_Drainage!$G$5:$G$204&lt;&gt;"")),IF(UPPER(B_Drainage!$G$5:$G$204)="Y",1,"")),"")</f>
        <v/>
      </c>
      <c r="Y237" s="181" t="str">
        <f>IFERROR(LOOKUP(2,1/((B_Drainage!$A$5:$A$204&lt;&gt;"")*(B_Drainage!$A$5:$A$204&lt;=$B237)*(B_Drainage!$B$5:$B$204&gt;$B237)*(B_Drainage!$H$5:$H$204&lt;&gt;"")),IF(UPPER(B_Drainage!$H$5:$H$204)="Y",1,"")),"")</f>
        <v/>
      </c>
      <c r="Z237" s="181" t="str">
        <f>IFERROR(LOOKUP(2,1/((B_Drainage!$A$5:$A$204&lt;&gt;"")*(B_Drainage!$A$5:$A$204&lt;=$B237)*(B_Drainage!$B$5:$B$204&gt;$B237)*(B_Drainage!$I$5:$I$204&lt;&gt;"")),IF(UPPER(B_Drainage!$I$5:$I$204)="Y",1,"")),"")</f>
        <v/>
      </c>
      <c r="AA237" s="181" t="str">
        <f>IFERROR(LOOKUP(2,1/((B_Drainage!$A$5:$A$204&lt;&gt;"")*(B_Drainage!$A$5:$A$204&lt;=$B237)*(B_Drainage!$B$5:$B$204&gt;$B237)*(B_Drainage!$J$5:$J$204&lt;&gt;"")),IF(UPPER(B_Drainage!$J$5:$J$204)="Y",1,"")),"")</f>
        <v/>
      </c>
      <c r="AB237" s="182" t="str">
        <f>IFERROR(LOOKUP(2,1/((B_Drainage!$A$5:$A$204&lt;&gt;"")*(B_Drainage!$A$5:$A$204&lt;=$B237)*(B_Drainage!$B$5:$B$204&gt;$B237)*(B_Drainage!$K$5:$K$204&lt;&gt;"")),IF(B_Drainage!$K$5:$K$204="-","",B_Drainage!$K$5:$K$204)),"")</f>
        <v/>
      </c>
      <c r="AC237" s="182" t="str">
        <f>IFERROR(LOOKUP(2,1/((B_Drainage!$A$5:$A$204&lt;&gt;"")*(B_Drainage!$A$5:$A$204&lt;=$B237)*(B_Drainage!$B$5:$B$204&gt;$B237)*(B_Drainage!$L$5:$L$204&lt;&gt;"")),IF(B_Drainage!$L$5:$L$204="-","",B_Drainage!$L$5:$L$204)),"")</f>
        <v/>
      </c>
      <c r="AD237" s="182" t="str">
        <f>IFERROR(LOOKUP(2,1/((D_Points!$A$5:$A$204&lt;&gt;"")*(D_Points!$A$5:$A$204&gt;=$B237)*(D_Points!$A$5:$A$204&lt;$B237+P_Interval)*(UPPER(TRIM(D_Points!$B$5:$B$204))="TURNOUT_L")*(D_Points!$H$5:$H$204&lt;&gt;"")),D_Points!$H$5:$H$204),"")</f>
        <v/>
      </c>
      <c r="AE237" s="182" t="str">
        <f>IFERROR(LOOKUP(2,1/((D_Points!$A$5:$A$204&lt;&gt;"")*(D_Points!$A$5:$A$204&gt;=$B237)*(D_Points!$A$5:$A$204&lt;$B237+P_Interval)*(UPPER(TRIM(D_Points!$B$5:$B$204))="TURNOUT_R")*(D_Points!$H$5:$H$204&lt;&gt;"")),D_Points!$H$5:$H$204),"")</f>
        <v/>
      </c>
      <c r="AF237" s="181" t="str">
        <f>IFERROR(LOOKUP(2,1/((B_Drainage!$A$5:$A$204&lt;&gt;"")*(B_Drainage!$A$5:$A$204&lt;=$B237)*(B_Drainage!$B$5:$B$204&gt;$B237)*(B_Drainage!$M$5:$M$204&lt;&gt;"")),IF(UPPER(B_Drainage!$M$5:$M$204)="Y",1,"")),"")</f>
        <v/>
      </c>
      <c r="AG237" s="181" t="str">
        <f>IFERROR(LOOKUP(2,1/((B_Drainage!$A$5:$A$204&lt;&gt;"")*(B_Drainage!$A$5:$A$204&lt;=$B237)*(B_Drainage!$B$5:$B$204&gt;$B237)*(B_Drainage!$N$5:$N$204&lt;&gt;"")),IF(UPPER(B_Drainage!$N$5:$N$204)="Y",1,"")),"")</f>
        <v/>
      </c>
      <c r="AH237" s="181" t="str">
        <f t="shared" si="24"/>
        <v/>
      </c>
      <c r="AI237" s="181" t="str">
        <f t="shared" si="25"/>
        <v/>
      </c>
      <c r="AJ237" s="181" t="str">
        <f t="shared" si="26"/>
        <v/>
      </c>
      <c r="AK237" s="181" t="str">
        <f t="shared" si="27"/>
        <v/>
      </c>
      <c r="AL237" s="181" t="str">
        <f t="shared" si="28"/>
        <v/>
      </c>
      <c r="AM237" s="181" t="str">
        <f t="shared" si="29"/>
        <v/>
      </c>
      <c r="AN237" s="181" t="str">
        <f t="shared" si="30"/>
        <v/>
      </c>
      <c r="AO237" s="192" t="str">
        <f t="shared" si="31"/>
        <v/>
      </c>
      <c r="AQ237" t="str">
        <f>IFERROR(LOOKUP(2,1/((C_Pavement!$A$5:$A$204&lt;&gt;"")*(C_Pavement!$A$5:$A$204&lt;=$B237)*(C_Pavement!$B$5:$B$204&gt;$B237)*(C_Pavement!$C$5:$C$204&lt;&gt;"")),ROW(C_Pavement!$C$5:$C$204)-4),"")</f>
        <v/>
      </c>
      <c r="AR237" t="str">
        <f>IF($AQ237="","",UPPER(TRIM(INDEX(C_Pavement!$C$5:$C$204,$AQ237))))</f>
        <v/>
      </c>
      <c r="AS237" t="str">
        <f>IF($AR237="","",IFERROR(MATCH($AR237,E_Rules!$A$5:$A$9,0),""))</f>
        <v/>
      </c>
      <c r="AT237" t="str">
        <f>IF($AQ237="","",IF(INDEX(C_Pavement!$D$5:$D$204,$AQ237)&lt;&gt;"",UPPER(TRIM(INDEX(C_Pavement!$D$5:$D$204,$AQ237))),IF($AS237="","",INDEX(E_Rules!$C$5:$C$9,$AS237))))</f>
        <v/>
      </c>
      <c r="AU237" t="str">
        <f>IF($AQ237="","",IF(INDEX(C_Pavement!$E$5:$E$204,$AQ237)&lt;&gt;"",IF(INDEX(C_Pavement!$E$5:$E$204,$AQ237)="-","",INDEX(C_Pavement!$E$5:$E$204,$AQ237)),IF($AS237="","",INDEX(E_Rules!$D$5:$D$9,$AS237))))</f>
        <v/>
      </c>
      <c r="AV237" t="str">
        <f>IF($AQ237="","",IF(INDEX(C_Pavement!$F$5:$F$204,$AQ237)&lt;&gt;"",IF(INDEX(C_Pavement!$F$5:$F$204,$AQ237)="-","",INDEX(C_Pavement!$F$5:$F$204,$AQ237)),IF($AS237="","",INDEX(E_Rules!$E$5:$E$9,$AS237))))</f>
        <v/>
      </c>
      <c r="AW237" t="str">
        <f>IF($AQ237="","",IF(INDEX(C_Pavement!$G$5:$G$204,$AQ237)&lt;&gt;"",IF(INDEX(C_Pavement!$G$5:$G$204,$AQ237)="-","",INDEX(C_Pavement!$G$5:$G$204,$AQ237)),IF($AS237="","",INDEX(E_Rules!$F$5:$F$9,$AS237))))</f>
        <v/>
      </c>
      <c r="AX237" t="str">
        <f>IF($AQ237="","",IF(INDEX(C_Pavement!$H$5:$H$204,$AQ237)&lt;&gt;"",IF(INDEX(C_Pavement!$H$5:$H$204,$AQ237)="-","",INDEX(C_Pavement!$H$5:$H$204,$AQ237)),IF($AS237="","",INDEX(E_Rules!$G$5:$G$9,$AS237))))</f>
        <v/>
      </c>
      <c r="AY237" t="str">
        <f>IF($AQ237="","",IF(INDEX(C_Pavement!$I$5:$I$204,$AQ237)&lt;&gt;"",IF(INDEX(C_Pavement!$I$5:$I$204,$AQ237)="-","",INDEX(C_Pavement!$I$5:$I$204,$AQ237)),IF($AS237="","",INDEX(E_Rules!$H$5:$H$9,$AS237))))</f>
        <v/>
      </c>
    </row>
    <row r="238" spans="1:51" ht="15.75" customHeight="1" x14ac:dyDescent="0.3">
      <c r="A238" s="189">
        <v>233</v>
      </c>
      <c r="B238" s="180">
        <v>11600</v>
      </c>
      <c r="C238" s="180" t="s">
        <v>544</v>
      </c>
      <c r="D238" s="181" t="str">
        <f>IFERROR(LOOKUP(2,1/((A_Corridor!$A$5:$A$204&lt;&gt;"")*(A_Corridor!$A$5:$A$204&lt;=$B238)*(A_Corridor!$B$5:$B$204&gt;$B238)*(A_Corridor!$C$5:$C$204&lt;&gt;"")),IF(UPPER(A_Corridor!$C$5:$C$204)="Y",1,"")),"")</f>
        <v/>
      </c>
      <c r="E238" s="181" t="str">
        <f>IFERROR(LOOKUP(2,1/((A_Corridor!$A$5:$A$204&lt;&gt;"")*(A_Corridor!$A$5:$A$204&lt;=$B238)*(A_Corridor!$B$5:$B$204&gt;$B238)*(A_Corridor!$D$5:$D$204&lt;&gt;"")),IF(A_Corridor!$D$5:$D$204="-","",UPPER(A_Corridor!$D$5:$D$204))),"")</f>
        <v/>
      </c>
      <c r="F238" s="181" t="str">
        <f>IFERROR(LOOKUP(2,1/((A_Corridor!$A$5:$A$204&lt;&gt;"")*(A_Corridor!$A$5:$A$204&lt;=$B238)*(A_Corridor!$B$5:$B$204&gt;$B238)*(A_Corridor!$E$5:$E$204&lt;&gt;"")),IF(A_Corridor!$E$5:$E$204="-","",1)),"")</f>
        <v/>
      </c>
      <c r="G238" s="182" t="str">
        <f>IFERROR(LOOKUP(2,1/((A_Corridor!$A$5:$A$204&lt;&gt;"")*(A_Corridor!$A$5:$A$204&lt;=$B238)*(A_Corridor!$B$5:$B$204&gt;$B238)*(A_Corridor!$E$5:$E$204&lt;&gt;"")),IF(A_Corridor!$E$5:$E$204="-","",A_Corridor!$E$5:$E$204)),"")</f>
        <v/>
      </c>
      <c r="H238" s="182" t="str">
        <f>IFERROR(LOOKUP(2,1/((D_Points!$A$5:$A$204&lt;&gt;"")*(D_Points!$A$5:$A$204&gt;=$B238)*(D_Points!$A$5:$A$204&lt;$B238+P_Interval)*(UPPER(TRIM(D_Points!$B$5:$B$204))="GULLY")*(D_Points!$H$5:$H$204&lt;&gt;"")),D_Points!$H$5:$H$204),"")</f>
        <v/>
      </c>
      <c r="I238" s="181" t="str">
        <f>IFERROR(LOOKUP(2,1/((A_Corridor!$A$5:$A$204&lt;&gt;"")*(A_Corridor!$A$5:$A$204&lt;=$B238)*(A_Corridor!$B$5:$B$204&gt;$B238)*(A_Corridor!$F$5:$F$204&lt;&gt;"")),IF(A_Corridor!$F$5:$F$204="-","",1)),"")</f>
        <v/>
      </c>
      <c r="J238" s="182" t="str">
        <f>IFERROR(LOOKUP(2,1/((A_Corridor!$A$5:$A$204&lt;&gt;"")*(A_Corridor!$A$5:$A$204&lt;=$B238)*(A_Corridor!$B$5:$B$204&gt;$B238)*(A_Corridor!$F$5:$F$204&lt;&gt;"")),IF(A_Corridor!$F$5:$F$204="-","",A_Corridor!$F$5:$F$204)),"")</f>
        <v/>
      </c>
      <c r="K238" s="182" t="str">
        <f>IFERROR(LOOKUP(2,1/((A_Corridor!$A$5:$A$204&lt;&gt;"")*(A_Corridor!$A$5:$A$204&lt;=$B238)*(A_Corridor!$B$5:$B$204&gt;$B238)*(A_Corridor!$G$5:$G$204&lt;&gt;"")),IF(A_Corridor!$G$5:$G$204="-","",A_Corridor!$G$5:$G$204)),"")</f>
        <v/>
      </c>
      <c r="L238" s="181" t="str">
        <f>IFERROR(LOOKUP(2,1/((A_Corridor!$A$5:$A$204&lt;&gt;"")*(A_Corridor!$A$5:$A$204&lt;=$B238)*(A_Corridor!$B$5:$B$204&gt;$B238)*(A_Corridor!$H$5:$H$204&lt;&gt;"")),IF(A_Corridor!$H$5:$H$204="-","",1)),"")</f>
        <v/>
      </c>
      <c r="M238" s="182" t="str">
        <f>IFERROR(LOOKUP(2,1/((A_Corridor!$A$5:$A$204&lt;&gt;"")*(A_Corridor!$A$5:$A$204&lt;=$B238)*(A_Corridor!$B$5:$B$204&gt;$B238)*(A_Corridor!$H$5:$H$204&lt;&gt;"")),IF(A_Corridor!$H$5:$H$204="-","",A_Corridor!$H$5:$H$204)),"")</f>
        <v/>
      </c>
      <c r="N238" s="182" t="str">
        <f>IFERROR(LOOKUP(2,1/((A_Corridor!$A$5:$A$204&lt;&gt;"")*(A_Corridor!$A$5:$A$204&lt;=$B238)*(A_Corridor!$B$5:$B$204&gt;$B238)*(A_Corridor!$I$5:$I$204&lt;&gt;"")),IF(A_Corridor!$I$5:$I$204="-","",A_Corridor!$I$5:$I$204)),"")</f>
        <v/>
      </c>
      <c r="O238" s="182" t="str">
        <f>IFERROR(LOOKUP(2,1/((D_Points!$A$5:$A$204&lt;&gt;"")*(D_Points!$A$5:$A$204&gt;=$B238)*(D_Points!$A$5:$A$204&lt;$B238+P_Interval)*(UPPER(TRIM(D_Points!$B$5:$B$204))="PITCHING")*(D_Points!$H$5:$H$204&lt;&gt;"")),D_Points!$H$5:$H$204),"")</f>
        <v/>
      </c>
      <c r="P238" s="181" t="str">
        <f>IFERROR(LOOKUP(2,1/((B_Drainage!$A$5:$A$204&lt;&gt;"")*(B_Drainage!$A$5:$A$204&lt;=$B238)*(B_Drainage!$B$5:$B$204&gt;$B238)*(B_Drainage!$C$5:$C$204&lt;&gt;"")),IF(B_Drainage!$C$5:$C$204="-","",UPPER(B_Drainage!$C$5:$C$204))),"")</f>
        <v/>
      </c>
      <c r="Q238" s="181" t="str">
        <f>IFERROR(LOOKUP(2,1/((B_Drainage!$A$5:$A$204&lt;&gt;"")*(B_Drainage!$A$5:$A$204&lt;=$B238)*(B_Drainage!$B$5:$B$204&gt;$B238)*(B_Drainage!$D$5:$D$204&lt;&gt;"")),IF(B_Drainage!$D$5:$D$204="-","",UPPER(B_Drainage!$D$5:$D$204))),"")</f>
        <v/>
      </c>
      <c r="R238" s="182" t="str">
        <f>IFERROR(LOOKUP(2,1/((D_Points!$A$5:$A$204&lt;&gt;"")*(D_Points!$A$5:$A$204&gt;=$B238)*(D_Points!$A$5:$A$204&lt;$B238+P_Interval)*(RIGHT(UPPER(TRIM(D_Points!$B$5:$B$204)),8)="_CULVERT")),IF(LEFT(UPPER(TRIM(D_Points!$B$5:$B$204)),2)="EX",1,IF(LEFT(UPPER(TRIM(D_Points!$B$5:$B$204)),2)="PR",2,3))),"")</f>
        <v/>
      </c>
      <c r="S238" s="182" t="str">
        <f>IFERROR(LOOKUP(2,1/((D_Points!$A$5:$A$204&lt;&gt;"")*(D_Points!$A$5:$A$204&gt;=$B238)*(D_Points!$A$5:$A$204&lt;$B238+P_Interval)*(RIGHT(UPPER(TRIM(D_Points!$B$5:$B$204)),7)="_BRIDGE")),IF(LEFT(UPPER(TRIM(D_Points!$B$5:$B$204)),2)="EX",1,IF(LEFT(UPPER(TRIM(D_Points!$B$5:$B$204)),2)="PR",2,2))),"")</f>
        <v/>
      </c>
      <c r="T238" s="181" t="str">
        <f>IFERROR(LOOKUP(2,1/((B_Drainage!$A$5:$A$204&lt;&gt;"")*(B_Drainage!$A$5:$A$204&lt;=$B238)*(B_Drainage!$B$5:$B$204&gt;$B238)*(B_Drainage!$E$5:$E$204&lt;&gt;"")),IF(B_Drainage!$E$5:$E$204="-","",1)),"")</f>
        <v/>
      </c>
      <c r="U238" s="181" t="str">
        <f>IFERROR(LOOKUP(2,1/((B_Drainage!$A$5:$A$204&lt;&gt;"")*(B_Drainage!$A$5:$A$204&lt;=$B238)*(B_Drainage!$B$5:$B$204&gt;$B238)*(B_Drainage!$E$5:$E$204&lt;&gt;"")),IF(B_Drainage!$E$5:$E$204="-","",B_Drainage!$E$5:$E$204)),"")</f>
        <v/>
      </c>
      <c r="V238" s="181" t="str">
        <f>IFERROR(LOOKUP(2,1/((B_Drainage!$A$5:$A$204&lt;&gt;"")*(B_Drainage!$A$5:$A$204&lt;=$B238)*(B_Drainage!$B$5:$B$204&gt;$B238)*(B_Drainage!$F$5:$F$204&lt;&gt;"")),IF(B_Drainage!$F$5:$F$204="-","",1)),"")</f>
        <v/>
      </c>
      <c r="W238" s="181" t="str">
        <f>IFERROR(LOOKUP(2,1/((B_Drainage!$A$5:$A$204&lt;&gt;"")*(B_Drainage!$A$5:$A$204&lt;=$B238)*(B_Drainage!$B$5:$B$204&gt;$B238)*(B_Drainage!$F$5:$F$204&lt;&gt;"")),IF(B_Drainage!$F$5:$F$204="-","",B_Drainage!$F$5:$F$204)),"")</f>
        <v/>
      </c>
      <c r="X238" s="181" t="str">
        <f>IFERROR(LOOKUP(2,1/((B_Drainage!$A$5:$A$204&lt;&gt;"")*(B_Drainage!$A$5:$A$204&lt;=$B238)*(B_Drainage!$B$5:$B$204&gt;$B238)*(B_Drainage!$G$5:$G$204&lt;&gt;"")),IF(UPPER(B_Drainage!$G$5:$G$204)="Y",1,"")),"")</f>
        <v/>
      </c>
      <c r="Y238" s="181" t="str">
        <f>IFERROR(LOOKUP(2,1/((B_Drainage!$A$5:$A$204&lt;&gt;"")*(B_Drainage!$A$5:$A$204&lt;=$B238)*(B_Drainage!$B$5:$B$204&gt;$B238)*(B_Drainage!$H$5:$H$204&lt;&gt;"")),IF(UPPER(B_Drainage!$H$5:$H$204)="Y",1,"")),"")</f>
        <v/>
      </c>
      <c r="Z238" s="181" t="str">
        <f>IFERROR(LOOKUP(2,1/((B_Drainage!$A$5:$A$204&lt;&gt;"")*(B_Drainage!$A$5:$A$204&lt;=$B238)*(B_Drainage!$B$5:$B$204&gt;$B238)*(B_Drainage!$I$5:$I$204&lt;&gt;"")),IF(UPPER(B_Drainage!$I$5:$I$204)="Y",1,"")),"")</f>
        <v/>
      </c>
      <c r="AA238" s="181" t="str">
        <f>IFERROR(LOOKUP(2,1/((B_Drainage!$A$5:$A$204&lt;&gt;"")*(B_Drainage!$A$5:$A$204&lt;=$B238)*(B_Drainage!$B$5:$B$204&gt;$B238)*(B_Drainage!$J$5:$J$204&lt;&gt;"")),IF(UPPER(B_Drainage!$J$5:$J$204)="Y",1,"")),"")</f>
        <v/>
      </c>
      <c r="AB238" s="182" t="str">
        <f>IFERROR(LOOKUP(2,1/((B_Drainage!$A$5:$A$204&lt;&gt;"")*(B_Drainage!$A$5:$A$204&lt;=$B238)*(B_Drainage!$B$5:$B$204&gt;$B238)*(B_Drainage!$K$5:$K$204&lt;&gt;"")),IF(B_Drainage!$K$5:$K$204="-","",B_Drainage!$K$5:$K$204)),"")</f>
        <v/>
      </c>
      <c r="AC238" s="182" t="str">
        <f>IFERROR(LOOKUP(2,1/((B_Drainage!$A$5:$A$204&lt;&gt;"")*(B_Drainage!$A$5:$A$204&lt;=$B238)*(B_Drainage!$B$5:$B$204&gt;$B238)*(B_Drainage!$L$5:$L$204&lt;&gt;"")),IF(B_Drainage!$L$5:$L$204="-","",B_Drainage!$L$5:$L$204)),"")</f>
        <v/>
      </c>
      <c r="AD238" s="182" t="str">
        <f>IFERROR(LOOKUP(2,1/((D_Points!$A$5:$A$204&lt;&gt;"")*(D_Points!$A$5:$A$204&gt;=$B238)*(D_Points!$A$5:$A$204&lt;$B238+P_Interval)*(UPPER(TRIM(D_Points!$B$5:$B$204))="TURNOUT_L")*(D_Points!$H$5:$H$204&lt;&gt;"")),D_Points!$H$5:$H$204),"")</f>
        <v/>
      </c>
      <c r="AE238" s="182" t="str">
        <f>IFERROR(LOOKUP(2,1/((D_Points!$A$5:$A$204&lt;&gt;"")*(D_Points!$A$5:$A$204&gt;=$B238)*(D_Points!$A$5:$A$204&lt;$B238+P_Interval)*(UPPER(TRIM(D_Points!$B$5:$B$204))="TURNOUT_R")*(D_Points!$H$5:$H$204&lt;&gt;"")),D_Points!$H$5:$H$204),"")</f>
        <v/>
      </c>
      <c r="AF238" s="181" t="str">
        <f>IFERROR(LOOKUP(2,1/((B_Drainage!$A$5:$A$204&lt;&gt;"")*(B_Drainage!$A$5:$A$204&lt;=$B238)*(B_Drainage!$B$5:$B$204&gt;$B238)*(B_Drainage!$M$5:$M$204&lt;&gt;"")),IF(UPPER(B_Drainage!$M$5:$M$204)="Y",1,"")),"")</f>
        <v/>
      </c>
      <c r="AG238" s="181" t="str">
        <f>IFERROR(LOOKUP(2,1/((B_Drainage!$A$5:$A$204&lt;&gt;"")*(B_Drainage!$A$5:$A$204&lt;=$B238)*(B_Drainage!$B$5:$B$204&gt;$B238)*(B_Drainage!$N$5:$N$204&lt;&gt;"")),IF(UPPER(B_Drainage!$N$5:$N$204)="Y",1,"")),"")</f>
        <v/>
      </c>
      <c r="AH238" s="181" t="str">
        <f t="shared" si="24"/>
        <v/>
      </c>
      <c r="AI238" s="181" t="str">
        <f t="shared" si="25"/>
        <v/>
      </c>
      <c r="AJ238" s="181" t="str">
        <f t="shared" si="26"/>
        <v/>
      </c>
      <c r="AK238" s="181" t="str">
        <f t="shared" si="27"/>
        <v/>
      </c>
      <c r="AL238" s="181" t="str">
        <f t="shared" si="28"/>
        <v/>
      </c>
      <c r="AM238" s="181" t="str">
        <f t="shared" si="29"/>
        <v/>
      </c>
      <c r="AN238" s="181" t="str">
        <f t="shared" si="30"/>
        <v/>
      </c>
      <c r="AO238" s="192" t="str">
        <f t="shared" si="31"/>
        <v/>
      </c>
      <c r="AQ238" t="str">
        <f>IFERROR(LOOKUP(2,1/((C_Pavement!$A$5:$A$204&lt;&gt;"")*(C_Pavement!$A$5:$A$204&lt;=$B238)*(C_Pavement!$B$5:$B$204&gt;$B238)*(C_Pavement!$C$5:$C$204&lt;&gt;"")),ROW(C_Pavement!$C$5:$C$204)-4),"")</f>
        <v/>
      </c>
      <c r="AR238" t="str">
        <f>IF($AQ238="","",UPPER(TRIM(INDEX(C_Pavement!$C$5:$C$204,$AQ238))))</f>
        <v/>
      </c>
      <c r="AS238" t="str">
        <f>IF($AR238="","",IFERROR(MATCH($AR238,E_Rules!$A$5:$A$9,0),""))</f>
        <v/>
      </c>
      <c r="AT238" t="str">
        <f>IF($AQ238="","",IF(INDEX(C_Pavement!$D$5:$D$204,$AQ238)&lt;&gt;"",UPPER(TRIM(INDEX(C_Pavement!$D$5:$D$204,$AQ238))),IF($AS238="","",INDEX(E_Rules!$C$5:$C$9,$AS238))))</f>
        <v/>
      </c>
      <c r="AU238" t="str">
        <f>IF($AQ238="","",IF(INDEX(C_Pavement!$E$5:$E$204,$AQ238)&lt;&gt;"",IF(INDEX(C_Pavement!$E$5:$E$204,$AQ238)="-","",INDEX(C_Pavement!$E$5:$E$204,$AQ238)),IF($AS238="","",INDEX(E_Rules!$D$5:$D$9,$AS238))))</f>
        <v/>
      </c>
      <c r="AV238" t="str">
        <f>IF($AQ238="","",IF(INDEX(C_Pavement!$F$5:$F$204,$AQ238)&lt;&gt;"",IF(INDEX(C_Pavement!$F$5:$F$204,$AQ238)="-","",INDEX(C_Pavement!$F$5:$F$204,$AQ238)),IF($AS238="","",INDEX(E_Rules!$E$5:$E$9,$AS238))))</f>
        <v/>
      </c>
      <c r="AW238" t="str">
        <f>IF($AQ238="","",IF(INDEX(C_Pavement!$G$5:$G$204,$AQ238)&lt;&gt;"",IF(INDEX(C_Pavement!$G$5:$G$204,$AQ238)="-","",INDEX(C_Pavement!$G$5:$G$204,$AQ238)),IF($AS238="","",INDEX(E_Rules!$F$5:$F$9,$AS238))))</f>
        <v/>
      </c>
      <c r="AX238" t="str">
        <f>IF($AQ238="","",IF(INDEX(C_Pavement!$H$5:$H$204,$AQ238)&lt;&gt;"",IF(INDEX(C_Pavement!$H$5:$H$204,$AQ238)="-","",INDEX(C_Pavement!$H$5:$H$204,$AQ238)),IF($AS238="","",INDEX(E_Rules!$G$5:$G$9,$AS238))))</f>
        <v/>
      </c>
      <c r="AY238" t="str">
        <f>IF($AQ238="","",IF(INDEX(C_Pavement!$I$5:$I$204,$AQ238)&lt;&gt;"",IF(INDEX(C_Pavement!$I$5:$I$204,$AQ238)="-","",INDEX(C_Pavement!$I$5:$I$204,$AQ238)),IF($AS238="","",INDEX(E_Rules!$H$5:$H$9,$AS238))))</f>
        <v/>
      </c>
    </row>
    <row r="239" spans="1:51" ht="15.75" customHeight="1" x14ac:dyDescent="0.3">
      <c r="A239" s="189">
        <v>234</v>
      </c>
      <c r="B239" s="180">
        <v>11650</v>
      </c>
      <c r="C239" s="180" t="s">
        <v>545</v>
      </c>
      <c r="D239" s="181" t="str">
        <f>IFERROR(LOOKUP(2,1/((A_Corridor!$A$5:$A$204&lt;&gt;"")*(A_Corridor!$A$5:$A$204&lt;=$B239)*(A_Corridor!$B$5:$B$204&gt;$B239)*(A_Corridor!$C$5:$C$204&lt;&gt;"")),IF(UPPER(A_Corridor!$C$5:$C$204)="Y",1,"")),"")</f>
        <v/>
      </c>
      <c r="E239" s="181" t="str">
        <f>IFERROR(LOOKUP(2,1/((A_Corridor!$A$5:$A$204&lt;&gt;"")*(A_Corridor!$A$5:$A$204&lt;=$B239)*(A_Corridor!$B$5:$B$204&gt;$B239)*(A_Corridor!$D$5:$D$204&lt;&gt;"")),IF(A_Corridor!$D$5:$D$204="-","",UPPER(A_Corridor!$D$5:$D$204))),"")</f>
        <v/>
      </c>
      <c r="F239" s="181" t="str">
        <f>IFERROR(LOOKUP(2,1/((A_Corridor!$A$5:$A$204&lt;&gt;"")*(A_Corridor!$A$5:$A$204&lt;=$B239)*(A_Corridor!$B$5:$B$204&gt;$B239)*(A_Corridor!$E$5:$E$204&lt;&gt;"")),IF(A_Corridor!$E$5:$E$204="-","",1)),"")</f>
        <v/>
      </c>
      <c r="G239" s="182" t="str">
        <f>IFERROR(LOOKUP(2,1/((A_Corridor!$A$5:$A$204&lt;&gt;"")*(A_Corridor!$A$5:$A$204&lt;=$B239)*(A_Corridor!$B$5:$B$204&gt;$B239)*(A_Corridor!$E$5:$E$204&lt;&gt;"")),IF(A_Corridor!$E$5:$E$204="-","",A_Corridor!$E$5:$E$204)),"")</f>
        <v/>
      </c>
      <c r="H239" s="182" t="str">
        <f>IFERROR(LOOKUP(2,1/((D_Points!$A$5:$A$204&lt;&gt;"")*(D_Points!$A$5:$A$204&gt;=$B239)*(D_Points!$A$5:$A$204&lt;$B239+P_Interval)*(UPPER(TRIM(D_Points!$B$5:$B$204))="GULLY")*(D_Points!$H$5:$H$204&lt;&gt;"")),D_Points!$H$5:$H$204),"")</f>
        <v/>
      </c>
      <c r="I239" s="181" t="str">
        <f>IFERROR(LOOKUP(2,1/((A_Corridor!$A$5:$A$204&lt;&gt;"")*(A_Corridor!$A$5:$A$204&lt;=$B239)*(A_Corridor!$B$5:$B$204&gt;$B239)*(A_Corridor!$F$5:$F$204&lt;&gt;"")),IF(A_Corridor!$F$5:$F$204="-","",1)),"")</f>
        <v/>
      </c>
      <c r="J239" s="182" t="str">
        <f>IFERROR(LOOKUP(2,1/((A_Corridor!$A$5:$A$204&lt;&gt;"")*(A_Corridor!$A$5:$A$204&lt;=$B239)*(A_Corridor!$B$5:$B$204&gt;$B239)*(A_Corridor!$F$5:$F$204&lt;&gt;"")),IF(A_Corridor!$F$5:$F$204="-","",A_Corridor!$F$5:$F$204)),"")</f>
        <v/>
      </c>
      <c r="K239" s="182" t="str">
        <f>IFERROR(LOOKUP(2,1/((A_Corridor!$A$5:$A$204&lt;&gt;"")*(A_Corridor!$A$5:$A$204&lt;=$B239)*(A_Corridor!$B$5:$B$204&gt;$B239)*(A_Corridor!$G$5:$G$204&lt;&gt;"")),IF(A_Corridor!$G$5:$G$204="-","",A_Corridor!$G$5:$G$204)),"")</f>
        <v/>
      </c>
      <c r="L239" s="181" t="str">
        <f>IFERROR(LOOKUP(2,1/((A_Corridor!$A$5:$A$204&lt;&gt;"")*(A_Corridor!$A$5:$A$204&lt;=$B239)*(A_Corridor!$B$5:$B$204&gt;$B239)*(A_Corridor!$H$5:$H$204&lt;&gt;"")),IF(A_Corridor!$H$5:$H$204="-","",1)),"")</f>
        <v/>
      </c>
      <c r="M239" s="182" t="str">
        <f>IFERROR(LOOKUP(2,1/((A_Corridor!$A$5:$A$204&lt;&gt;"")*(A_Corridor!$A$5:$A$204&lt;=$B239)*(A_Corridor!$B$5:$B$204&gt;$B239)*(A_Corridor!$H$5:$H$204&lt;&gt;"")),IF(A_Corridor!$H$5:$H$204="-","",A_Corridor!$H$5:$H$204)),"")</f>
        <v/>
      </c>
      <c r="N239" s="182" t="str">
        <f>IFERROR(LOOKUP(2,1/((A_Corridor!$A$5:$A$204&lt;&gt;"")*(A_Corridor!$A$5:$A$204&lt;=$B239)*(A_Corridor!$B$5:$B$204&gt;$B239)*(A_Corridor!$I$5:$I$204&lt;&gt;"")),IF(A_Corridor!$I$5:$I$204="-","",A_Corridor!$I$5:$I$204)),"")</f>
        <v/>
      </c>
      <c r="O239" s="182" t="str">
        <f>IFERROR(LOOKUP(2,1/((D_Points!$A$5:$A$204&lt;&gt;"")*(D_Points!$A$5:$A$204&gt;=$B239)*(D_Points!$A$5:$A$204&lt;$B239+P_Interval)*(UPPER(TRIM(D_Points!$B$5:$B$204))="PITCHING")*(D_Points!$H$5:$H$204&lt;&gt;"")),D_Points!$H$5:$H$204),"")</f>
        <v/>
      </c>
      <c r="P239" s="181" t="str">
        <f>IFERROR(LOOKUP(2,1/((B_Drainage!$A$5:$A$204&lt;&gt;"")*(B_Drainage!$A$5:$A$204&lt;=$B239)*(B_Drainage!$B$5:$B$204&gt;$B239)*(B_Drainage!$C$5:$C$204&lt;&gt;"")),IF(B_Drainage!$C$5:$C$204="-","",UPPER(B_Drainage!$C$5:$C$204))),"")</f>
        <v/>
      </c>
      <c r="Q239" s="181" t="str">
        <f>IFERROR(LOOKUP(2,1/((B_Drainage!$A$5:$A$204&lt;&gt;"")*(B_Drainage!$A$5:$A$204&lt;=$B239)*(B_Drainage!$B$5:$B$204&gt;$B239)*(B_Drainage!$D$5:$D$204&lt;&gt;"")),IF(B_Drainage!$D$5:$D$204="-","",UPPER(B_Drainage!$D$5:$D$204))),"")</f>
        <v/>
      </c>
      <c r="R239" s="182" t="str">
        <f>IFERROR(LOOKUP(2,1/((D_Points!$A$5:$A$204&lt;&gt;"")*(D_Points!$A$5:$A$204&gt;=$B239)*(D_Points!$A$5:$A$204&lt;$B239+P_Interval)*(RIGHT(UPPER(TRIM(D_Points!$B$5:$B$204)),8)="_CULVERT")),IF(LEFT(UPPER(TRIM(D_Points!$B$5:$B$204)),2)="EX",1,IF(LEFT(UPPER(TRIM(D_Points!$B$5:$B$204)),2)="PR",2,3))),"")</f>
        <v/>
      </c>
      <c r="S239" s="182" t="str">
        <f>IFERROR(LOOKUP(2,1/((D_Points!$A$5:$A$204&lt;&gt;"")*(D_Points!$A$5:$A$204&gt;=$B239)*(D_Points!$A$5:$A$204&lt;$B239+P_Interval)*(RIGHT(UPPER(TRIM(D_Points!$B$5:$B$204)),7)="_BRIDGE")),IF(LEFT(UPPER(TRIM(D_Points!$B$5:$B$204)),2)="EX",1,IF(LEFT(UPPER(TRIM(D_Points!$B$5:$B$204)),2)="PR",2,2))),"")</f>
        <v/>
      </c>
      <c r="T239" s="181" t="str">
        <f>IFERROR(LOOKUP(2,1/((B_Drainage!$A$5:$A$204&lt;&gt;"")*(B_Drainage!$A$5:$A$204&lt;=$B239)*(B_Drainage!$B$5:$B$204&gt;$B239)*(B_Drainage!$E$5:$E$204&lt;&gt;"")),IF(B_Drainage!$E$5:$E$204="-","",1)),"")</f>
        <v/>
      </c>
      <c r="U239" s="181" t="str">
        <f>IFERROR(LOOKUP(2,1/((B_Drainage!$A$5:$A$204&lt;&gt;"")*(B_Drainage!$A$5:$A$204&lt;=$B239)*(B_Drainage!$B$5:$B$204&gt;$B239)*(B_Drainage!$E$5:$E$204&lt;&gt;"")),IF(B_Drainage!$E$5:$E$204="-","",B_Drainage!$E$5:$E$204)),"")</f>
        <v/>
      </c>
      <c r="V239" s="181" t="str">
        <f>IFERROR(LOOKUP(2,1/((B_Drainage!$A$5:$A$204&lt;&gt;"")*(B_Drainage!$A$5:$A$204&lt;=$B239)*(B_Drainage!$B$5:$B$204&gt;$B239)*(B_Drainage!$F$5:$F$204&lt;&gt;"")),IF(B_Drainage!$F$5:$F$204="-","",1)),"")</f>
        <v/>
      </c>
      <c r="W239" s="181" t="str">
        <f>IFERROR(LOOKUP(2,1/((B_Drainage!$A$5:$A$204&lt;&gt;"")*(B_Drainage!$A$5:$A$204&lt;=$B239)*(B_Drainage!$B$5:$B$204&gt;$B239)*(B_Drainage!$F$5:$F$204&lt;&gt;"")),IF(B_Drainage!$F$5:$F$204="-","",B_Drainage!$F$5:$F$204)),"")</f>
        <v/>
      </c>
      <c r="X239" s="181" t="str">
        <f>IFERROR(LOOKUP(2,1/((B_Drainage!$A$5:$A$204&lt;&gt;"")*(B_Drainage!$A$5:$A$204&lt;=$B239)*(B_Drainage!$B$5:$B$204&gt;$B239)*(B_Drainage!$G$5:$G$204&lt;&gt;"")),IF(UPPER(B_Drainage!$G$5:$G$204)="Y",1,"")),"")</f>
        <v/>
      </c>
      <c r="Y239" s="181" t="str">
        <f>IFERROR(LOOKUP(2,1/((B_Drainage!$A$5:$A$204&lt;&gt;"")*(B_Drainage!$A$5:$A$204&lt;=$B239)*(B_Drainage!$B$5:$B$204&gt;$B239)*(B_Drainage!$H$5:$H$204&lt;&gt;"")),IF(UPPER(B_Drainage!$H$5:$H$204)="Y",1,"")),"")</f>
        <v/>
      </c>
      <c r="Z239" s="181" t="str">
        <f>IFERROR(LOOKUP(2,1/((B_Drainage!$A$5:$A$204&lt;&gt;"")*(B_Drainage!$A$5:$A$204&lt;=$B239)*(B_Drainage!$B$5:$B$204&gt;$B239)*(B_Drainage!$I$5:$I$204&lt;&gt;"")),IF(UPPER(B_Drainage!$I$5:$I$204)="Y",1,"")),"")</f>
        <v/>
      </c>
      <c r="AA239" s="181" t="str">
        <f>IFERROR(LOOKUP(2,1/((B_Drainage!$A$5:$A$204&lt;&gt;"")*(B_Drainage!$A$5:$A$204&lt;=$B239)*(B_Drainage!$B$5:$B$204&gt;$B239)*(B_Drainage!$J$5:$J$204&lt;&gt;"")),IF(UPPER(B_Drainage!$J$5:$J$204)="Y",1,"")),"")</f>
        <v/>
      </c>
      <c r="AB239" s="182" t="str">
        <f>IFERROR(LOOKUP(2,1/((B_Drainage!$A$5:$A$204&lt;&gt;"")*(B_Drainage!$A$5:$A$204&lt;=$B239)*(B_Drainage!$B$5:$B$204&gt;$B239)*(B_Drainage!$K$5:$K$204&lt;&gt;"")),IF(B_Drainage!$K$5:$K$204="-","",B_Drainage!$K$5:$K$204)),"")</f>
        <v/>
      </c>
      <c r="AC239" s="182" t="str">
        <f>IFERROR(LOOKUP(2,1/((B_Drainage!$A$5:$A$204&lt;&gt;"")*(B_Drainage!$A$5:$A$204&lt;=$B239)*(B_Drainage!$B$5:$B$204&gt;$B239)*(B_Drainage!$L$5:$L$204&lt;&gt;"")),IF(B_Drainage!$L$5:$L$204="-","",B_Drainage!$L$5:$L$204)),"")</f>
        <v/>
      </c>
      <c r="AD239" s="182" t="str">
        <f>IFERROR(LOOKUP(2,1/((D_Points!$A$5:$A$204&lt;&gt;"")*(D_Points!$A$5:$A$204&gt;=$B239)*(D_Points!$A$5:$A$204&lt;$B239+P_Interval)*(UPPER(TRIM(D_Points!$B$5:$B$204))="TURNOUT_L")*(D_Points!$H$5:$H$204&lt;&gt;"")),D_Points!$H$5:$H$204),"")</f>
        <v/>
      </c>
      <c r="AE239" s="182" t="str">
        <f>IFERROR(LOOKUP(2,1/((D_Points!$A$5:$A$204&lt;&gt;"")*(D_Points!$A$5:$A$204&gt;=$B239)*(D_Points!$A$5:$A$204&lt;$B239+P_Interval)*(UPPER(TRIM(D_Points!$B$5:$B$204))="TURNOUT_R")*(D_Points!$H$5:$H$204&lt;&gt;"")),D_Points!$H$5:$H$204),"")</f>
        <v/>
      </c>
      <c r="AF239" s="181" t="str">
        <f>IFERROR(LOOKUP(2,1/((B_Drainage!$A$5:$A$204&lt;&gt;"")*(B_Drainage!$A$5:$A$204&lt;=$B239)*(B_Drainage!$B$5:$B$204&gt;$B239)*(B_Drainage!$M$5:$M$204&lt;&gt;"")),IF(UPPER(B_Drainage!$M$5:$M$204)="Y",1,"")),"")</f>
        <v/>
      </c>
      <c r="AG239" s="181" t="str">
        <f>IFERROR(LOOKUP(2,1/((B_Drainage!$A$5:$A$204&lt;&gt;"")*(B_Drainage!$A$5:$A$204&lt;=$B239)*(B_Drainage!$B$5:$B$204&gt;$B239)*(B_Drainage!$N$5:$N$204&lt;&gt;"")),IF(UPPER(B_Drainage!$N$5:$N$204)="Y",1,"")),"")</f>
        <v/>
      </c>
      <c r="AH239" s="181" t="str">
        <f t="shared" si="24"/>
        <v/>
      </c>
      <c r="AI239" s="181" t="str">
        <f t="shared" si="25"/>
        <v/>
      </c>
      <c r="AJ239" s="181" t="str">
        <f t="shared" si="26"/>
        <v/>
      </c>
      <c r="AK239" s="181" t="str">
        <f t="shared" si="27"/>
        <v/>
      </c>
      <c r="AL239" s="181" t="str">
        <f t="shared" si="28"/>
        <v/>
      </c>
      <c r="AM239" s="181" t="str">
        <f t="shared" si="29"/>
        <v/>
      </c>
      <c r="AN239" s="181" t="str">
        <f t="shared" si="30"/>
        <v/>
      </c>
      <c r="AO239" s="192" t="str">
        <f t="shared" si="31"/>
        <v/>
      </c>
      <c r="AQ239" t="str">
        <f>IFERROR(LOOKUP(2,1/((C_Pavement!$A$5:$A$204&lt;&gt;"")*(C_Pavement!$A$5:$A$204&lt;=$B239)*(C_Pavement!$B$5:$B$204&gt;$B239)*(C_Pavement!$C$5:$C$204&lt;&gt;"")),ROW(C_Pavement!$C$5:$C$204)-4),"")</f>
        <v/>
      </c>
      <c r="AR239" t="str">
        <f>IF($AQ239="","",UPPER(TRIM(INDEX(C_Pavement!$C$5:$C$204,$AQ239))))</f>
        <v/>
      </c>
      <c r="AS239" t="str">
        <f>IF($AR239="","",IFERROR(MATCH($AR239,E_Rules!$A$5:$A$9,0),""))</f>
        <v/>
      </c>
      <c r="AT239" t="str">
        <f>IF($AQ239="","",IF(INDEX(C_Pavement!$D$5:$D$204,$AQ239)&lt;&gt;"",UPPER(TRIM(INDEX(C_Pavement!$D$5:$D$204,$AQ239))),IF($AS239="","",INDEX(E_Rules!$C$5:$C$9,$AS239))))</f>
        <v/>
      </c>
      <c r="AU239" t="str">
        <f>IF($AQ239="","",IF(INDEX(C_Pavement!$E$5:$E$204,$AQ239)&lt;&gt;"",IF(INDEX(C_Pavement!$E$5:$E$204,$AQ239)="-","",INDEX(C_Pavement!$E$5:$E$204,$AQ239)),IF($AS239="","",INDEX(E_Rules!$D$5:$D$9,$AS239))))</f>
        <v/>
      </c>
      <c r="AV239" t="str">
        <f>IF($AQ239="","",IF(INDEX(C_Pavement!$F$5:$F$204,$AQ239)&lt;&gt;"",IF(INDEX(C_Pavement!$F$5:$F$204,$AQ239)="-","",INDEX(C_Pavement!$F$5:$F$204,$AQ239)),IF($AS239="","",INDEX(E_Rules!$E$5:$E$9,$AS239))))</f>
        <v/>
      </c>
      <c r="AW239" t="str">
        <f>IF($AQ239="","",IF(INDEX(C_Pavement!$G$5:$G$204,$AQ239)&lt;&gt;"",IF(INDEX(C_Pavement!$G$5:$G$204,$AQ239)="-","",INDEX(C_Pavement!$G$5:$G$204,$AQ239)),IF($AS239="","",INDEX(E_Rules!$F$5:$F$9,$AS239))))</f>
        <v/>
      </c>
      <c r="AX239" t="str">
        <f>IF($AQ239="","",IF(INDEX(C_Pavement!$H$5:$H$204,$AQ239)&lt;&gt;"",IF(INDEX(C_Pavement!$H$5:$H$204,$AQ239)="-","",INDEX(C_Pavement!$H$5:$H$204,$AQ239)),IF($AS239="","",INDEX(E_Rules!$G$5:$G$9,$AS239))))</f>
        <v/>
      </c>
      <c r="AY239" t="str">
        <f>IF($AQ239="","",IF(INDEX(C_Pavement!$I$5:$I$204,$AQ239)&lt;&gt;"",IF(INDEX(C_Pavement!$I$5:$I$204,$AQ239)="-","",INDEX(C_Pavement!$I$5:$I$204,$AQ239)),IF($AS239="","",INDEX(E_Rules!$H$5:$H$9,$AS239))))</f>
        <v/>
      </c>
    </row>
    <row r="240" spans="1:51" ht="15.75" customHeight="1" x14ac:dyDescent="0.3">
      <c r="A240" s="189">
        <v>235</v>
      </c>
      <c r="B240" s="180">
        <v>11700</v>
      </c>
      <c r="C240" s="180" t="s">
        <v>546</v>
      </c>
      <c r="D240" s="181" t="str">
        <f>IFERROR(LOOKUP(2,1/((A_Corridor!$A$5:$A$204&lt;&gt;"")*(A_Corridor!$A$5:$A$204&lt;=$B240)*(A_Corridor!$B$5:$B$204&gt;$B240)*(A_Corridor!$C$5:$C$204&lt;&gt;"")),IF(UPPER(A_Corridor!$C$5:$C$204)="Y",1,"")),"")</f>
        <v/>
      </c>
      <c r="E240" s="181" t="str">
        <f>IFERROR(LOOKUP(2,1/((A_Corridor!$A$5:$A$204&lt;&gt;"")*(A_Corridor!$A$5:$A$204&lt;=$B240)*(A_Corridor!$B$5:$B$204&gt;$B240)*(A_Corridor!$D$5:$D$204&lt;&gt;"")),IF(A_Corridor!$D$5:$D$204="-","",UPPER(A_Corridor!$D$5:$D$204))),"")</f>
        <v/>
      </c>
      <c r="F240" s="181" t="str">
        <f>IFERROR(LOOKUP(2,1/((A_Corridor!$A$5:$A$204&lt;&gt;"")*(A_Corridor!$A$5:$A$204&lt;=$B240)*(A_Corridor!$B$5:$B$204&gt;$B240)*(A_Corridor!$E$5:$E$204&lt;&gt;"")),IF(A_Corridor!$E$5:$E$204="-","",1)),"")</f>
        <v/>
      </c>
      <c r="G240" s="182" t="str">
        <f>IFERROR(LOOKUP(2,1/((A_Corridor!$A$5:$A$204&lt;&gt;"")*(A_Corridor!$A$5:$A$204&lt;=$B240)*(A_Corridor!$B$5:$B$204&gt;$B240)*(A_Corridor!$E$5:$E$204&lt;&gt;"")),IF(A_Corridor!$E$5:$E$204="-","",A_Corridor!$E$5:$E$204)),"")</f>
        <v/>
      </c>
      <c r="H240" s="182" t="str">
        <f>IFERROR(LOOKUP(2,1/((D_Points!$A$5:$A$204&lt;&gt;"")*(D_Points!$A$5:$A$204&gt;=$B240)*(D_Points!$A$5:$A$204&lt;$B240+P_Interval)*(UPPER(TRIM(D_Points!$B$5:$B$204))="GULLY")*(D_Points!$H$5:$H$204&lt;&gt;"")),D_Points!$H$5:$H$204),"")</f>
        <v/>
      </c>
      <c r="I240" s="181" t="str">
        <f>IFERROR(LOOKUP(2,1/((A_Corridor!$A$5:$A$204&lt;&gt;"")*(A_Corridor!$A$5:$A$204&lt;=$B240)*(A_Corridor!$B$5:$B$204&gt;$B240)*(A_Corridor!$F$5:$F$204&lt;&gt;"")),IF(A_Corridor!$F$5:$F$204="-","",1)),"")</f>
        <v/>
      </c>
      <c r="J240" s="182" t="str">
        <f>IFERROR(LOOKUP(2,1/((A_Corridor!$A$5:$A$204&lt;&gt;"")*(A_Corridor!$A$5:$A$204&lt;=$B240)*(A_Corridor!$B$5:$B$204&gt;$B240)*(A_Corridor!$F$5:$F$204&lt;&gt;"")),IF(A_Corridor!$F$5:$F$204="-","",A_Corridor!$F$5:$F$204)),"")</f>
        <v/>
      </c>
      <c r="K240" s="182" t="str">
        <f>IFERROR(LOOKUP(2,1/((A_Corridor!$A$5:$A$204&lt;&gt;"")*(A_Corridor!$A$5:$A$204&lt;=$B240)*(A_Corridor!$B$5:$B$204&gt;$B240)*(A_Corridor!$G$5:$G$204&lt;&gt;"")),IF(A_Corridor!$G$5:$G$204="-","",A_Corridor!$G$5:$G$204)),"")</f>
        <v/>
      </c>
      <c r="L240" s="181" t="str">
        <f>IFERROR(LOOKUP(2,1/((A_Corridor!$A$5:$A$204&lt;&gt;"")*(A_Corridor!$A$5:$A$204&lt;=$B240)*(A_Corridor!$B$5:$B$204&gt;$B240)*(A_Corridor!$H$5:$H$204&lt;&gt;"")),IF(A_Corridor!$H$5:$H$204="-","",1)),"")</f>
        <v/>
      </c>
      <c r="M240" s="182" t="str">
        <f>IFERROR(LOOKUP(2,1/((A_Corridor!$A$5:$A$204&lt;&gt;"")*(A_Corridor!$A$5:$A$204&lt;=$B240)*(A_Corridor!$B$5:$B$204&gt;$B240)*(A_Corridor!$H$5:$H$204&lt;&gt;"")),IF(A_Corridor!$H$5:$H$204="-","",A_Corridor!$H$5:$H$204)),"")</f>
        <v/>
      </c>
      <c r="N240" s="182" t="str">
        <f>IFERROR(LOOKUP(2,1/((A_Corridor!$A$5:$A$204&lt;&gt;"")*(A_Corridor!$A$5:$A$204&lt;=$B240)*(A_Corridor!$B$5:$B$204&gt;$B240)*(A_Corridor!$I$5:$I$204&lt;&gt;"")),IF(A_Corridor!$I$5:$I$204="-","",A_Corridor!$I$5:$I$204)),"")</f>
        <v/>
      </c>
      <c r="O240" s="182" t="str">
        <f>IFERROR(LOOKUP(2,1/((D_Points!$A$5:$A$204&lt;&gt;"")*(D_Points!$A$5:$A$204&gt;=$B240)*(D_Points!$A$5:$A$204&lt;$B240+P_Interval)*(UPPER(TRIM(D_Points!$B$5:$B$204))="PITCHING")*(D_Points!$H$5:$H$204&lt;&gt;"")),D_Points!$H$5:$H$204),"")</f>
        <v/>
      </c>
      <c r="P240" s="181" t="str">
        <f>IFERROR(LOOKUP(2,1/((B_Drainage!$A$5:$A$204&lt;&gt;"")*(B_Drainage!$A$5:$A$204&lt;=$B240)*(B_Drainage!$B$5:$B$204&gt;$B240)*(B_Drainage!$C$5:$C$204&lt;&gt;"")),IF(B_Drainage!$C$5:$C$204="-","",UPPER(B_Drainage!$C$5:$C$204))),"")</f>
        <v/>
      </c>
      <c r="Q240" s="181" t="str">
        <f>IFERROR(LOOKUP(2,1/((B_Drainage!$A$5:$A$204&lt;&gt;"")*(B_Drainage!$A$5:$A$204&lt;=$B240)*(B_Drainage!$B$5:$B$204&gt;$B240)*(B_Drainage!$D$5:$D$204&lt;&gt;"")),IF(B_Drainage!$D$5:$D$204="-","",UPPER(B_Drainage!$D$5:$D$204))),"")</f>
        <v/>
      </c>
      <c r="R240" s="182" t="str">
        <f>IFERROR(LOOKUP(2,1/((D_Points!$A$5:$A$204&lt;&gt;"")*(D_Points!$A$5:$A$204&gt;=$B240)*(D_Points!$A$5:$A$204&lt;$B240+P_Interval)*(RIGHT(UPPER(TRIM(D_Points!$B$5:$B$204)),8)="_CULVERT")),IF(LEFT(UPPER(TRIM(D_Points!$B$5:$B$204)),2)="EX",1,IF(LEFT(UPPER(TRIM(D_Points!$B$5:$B$204)),2)="PR",2,3))),"")</f>
        <v/>
      </c>
      <c r="S240" s="182" t="str">
        <f>IFERROR(LOOKUP(2,1/((D_Points!$A$5:$A$204&lt;&gt;"")*(D_Points!$A$5:$A$204&gt;=$B240)*(D_Points!$A$5:$A$204&lt;$B240+P_Interval)*(RIGHT(UPPER(TRIM(D_Points!$B$5:$B$204)),7)="_BRIDGE")),IF(LEFT(UPPER(TRIM(D_Points!$B$5:$B$204)),2)="EX",1,IF(LEFT(UPPER(TRIM(D_Points!$B$5:$B$204)),2)="PR",2,2))),"")</f>
        <v/>
      </c>
      <c r="T240" s="181" t="str">
        <f>IFERROR(LOOKUP(2,1/((B_Drainage!$A$5:$A$204&lt;&gt;"")*(B_Drainage!$A$5:$A$204&lt;=$B240)*(B_Drainage!$B$5:$B$204&gt;$B240)*(B_Drainage!$E$5:$E$204&lt;&gt;"")),IF(B_Drainage!$E$5:$E$204="-","",1)),"")</f>
        <v/>
      </c>
      <c r="U240" s="181" t="str">
        <f>IFERROR(LOOKUP(2,1/((B_Drainage!$A$5:$A$204&lt;&gt;"")*(B_Drainage!$A$5:$A$204&lt;=$B240)*(B_Drainage!$B$5:$B$204&gt;$B240)*(B_Drainage!$E$5:$E$204&lt;&gt;"")),IF(B_Drainage!$E$5:$E$204="-","",B_Drainage!$E$5:$E$204)),"")</f>
        <v/>
      </c>
      <c r="V240" s="181" t="str">
        <f>IFERROR(LOOKUP(2,1/((B_Drainage!$A$5:$A$204&lt;&gt;"")*(B_Drainage!$A$5:$A$204&lt;=$B240)*(B_Drainage!$B$5:$B$204&gt;$B240)*(B_Drainage!$F$5:$F$204&lt;&gt;"")),IF(B_Drainage!$F$5:$F$204="-","",1)),"")</f>
        <v/>
      </c>
      <c r="W240" s="181" t="str">
        <f>IFERROR(LOOKUP(2,1/((B_Drainage!$A$5:$A$204&lt;&gt;"")*(B_Drainage!$A$5:$A$204&lt;=$B240)*(B_Drainage!$B$5:$B$204&gt;$B240)*(B_Drainage!$F$5:$F$204&lt;&gt;"")),IF(B_Drainage!$F$5:$F$204="-","",B_Drainage!$F$5:$F$204)),"")</f>
        <v/>
      </c>
      <c r="X240" s="181" t="str">
        <f>IFERROR(LOOKUP(2,1/((B_Drainage!$A$5:$A$204&lt;&gt;"")*(B_Drainage!$A$5:$A$204&lt;=$B240)*(B_Drainage!$B$5:$B$204&gt;$B240)*(B_Drainage!$G$5:$G$204&lt;&gt;"")),IF(UPPER(B_Drainage!$G$5:$G$204)="Y",1,"")),"")</f>
        <v/>
      </c>
      <c r="Y240" s="181" t="str">
        <f>IFERROR(LOOKUP(2,1/((B_Drainage!$A$5:$A$204&lt;&gt;"")*(B_Drainage!$A$5:$A$204&lt;=$B240)*(B_Drainage!$B$5:$B$204&gt;$B240)*(B_Drainage!$H$5:$H$204&lt;&gt;"")),IF(UPPER(B_Drainage!$H$5:$H$204)="Y",1,"")),"")</f>
        <v/>
      </c>
      <c r="Z240" s="181" t="str">
        <f>IFERROR(LOOKUP(2,1/((B_Drainage!$A$5:$A$204&lt;&gt;"")*(B_Drainage!$A$5:$A$204&lt;=$B240)*(B_Drainage!$B$5:$B$204&gt;$B240)*(B_Drainage!$I$5:$I$204&lt;&gt;"")),IF(UPPER(B_Drainage!$I$5:$I$204)="Y",1,"")),"")</f>
        <v/>
      </c>
      <c r="AA240" s="181" t="str">
        <f>IFERROR(LOOKUP(2,1/((B_Drainage!$A$5:$A$204&lt;&gt;"")*(B_Drainage!$A$5:$A$204&lt;=$B240)*(B_Drainage!$B$5:$B$204&gt;$B240)*(B_Drainage!$J$5:$J$204&lt;&gt;"")),IF(UPPER(B_Drainage!$J$5:$J$204)="Y",1,"")),"")</f>
        <v/>
      </c>
      <c r="AB240" s="182" t="str">
        <f>IFERROR(LOOKUP(2,1/((B_Drainage!$A$5:$A$204&lt;&gt;"")*(B_Drainage!$A$5:$A$204&lt;=$B240)*(B_Drainage!$B$5:$B$204&gt;$B240)*(B_Drainage!$K$5:$K$204&lt;&gt;"")),IF(B_Drainage!$K$5:$K$204="-","",B_Drainage!$K$5:$K$204)),"")</f>
        <v/>
      </c>
      <c r="AC240" s="182" t="str">
        <f>IFERROR(LOOKUP(2,1/((B_Drainage!$A$5:$A$204&lt;&gt;"")*(B_Drainage!$A$5:$A$204&lt;=$B240)*(B_Drainage!$B$5:$B$204&gt;$B240)*(B_Drainage!$L$5:$L$204&lt;&gt;"")),IF(B_Drainage!$L$5:$L$204="-","",B_Drainage!$L$5:$L$204)),"")</f>
        <v/>
      </c>
      <c r="AD240" s="182" t="str">
        <f>IFERROR(LOOKUP(2,1/((D_Points!$A$5:$A$204&lt;&gt;"")*(D_Points!$A$5:$A$204&gt;=$B240)*(D_Points!$A$5:$A$204&lt;$B240+P_Interval)*(UPPER(TRIM(D_Points!$B$5:$B$204))="TURNOUT_L")*(D_Points!$H$5:$H$204&lt;&gt;"")),D_Points!$H$5:$H$204),"")</f>
        <v/>
      </c>
      <c r="AE240" s="182" t="str">
        <f>IFERROR(LOOKUP(2,1/((D_Points!$A$5:$A$204&lt;&gt;"")*(D_Points!$A$5:$A$204&gt;=$B240)*(D_Points!$A$5:$A$204&lt;$B240+P_Interval)*(UPPER(TRIM(D_Points!$B$5:$B$204))="TURNOUT_R")*(D_Points!$H$5:$H$204&lt;&gt;"")),D_Points!$H$5:$H$204),"")</f>
        <v/>
      </c>
      <c r="AF240" s="181" t="str">
        <f>IFERROR(LOOKUP(2,1/((B_Drainage!$A$5:$A$204&lt;&gt;"")*(B_Drainage!$A$5:$A$204&lt;=$B240)*(B_Drainage!$B$5:$B$204&gt;$B240)*(B_Drainage!$M$5:$M$204&lt;&gt;"")),IF(UPPER(B_Drainage!$M$5:$M$204)="Y",1,"")),"")</f>
        <v/>
      </c>
      <c r="AG240" s="181" t="str">
        <f>IFERROR(LOOKUP(2,1/((B_Drainage!$A$5:$A$204&lt;&gt;"")*(B_Drainage!$A$5:$A$204&lt;=$B240)*(B_Drainage!$B$5:$B$204&gt;$B240)*(B_Drainage!$N$5:$N$204&lt;&gt;"")),IF(UPPER(B_Drainage!$N$5:$N$204)="Y",1,"")),"")</f>
        <v/>
      </c>
      <c r="AH240" s="181" t="str">
        <f t="shared" si="24"/>
        <v/>
      </c>
      <c r="AI240" s="181" t="str">
        <f t="shared" si="25"/>
        <v/>
      </c>
      <c r="AJ240" s="181" t="str">
        <f t="shared" si="26"/>
        <v/>
      </c>
      <c r="AK240" s="181" t="str">
        <f t="shared" si="27"/>
        <v/>
      </c>
      <c r="AL240" s="181" t="str">
        <f t="shared" si="28"/>
        <v/>
      </c>
      <c r="AM240" s="181" t="str">
        <f t="shared" si="29"/>
        <v/>
      </c>
      <c r="AN240" s="181" t="str">
        <f t="shared" si="30"/>
        <v/>
      </c>
      <c r="AO240" s="192" t="str">
        <f t="shared" si="31"/>
        <v/>
      </c>
      <c r="AQ240" t="str">
        <f>IFERROR(LOOKUP(2,1/((C_Pavement!$A$5:$A$204&lt;&gt;"")*(C_Pavement!$A$5:$A$204&lt;=$B240)*(C_Pavement!$B$5:$B$204&gt;$B240)*(C_Pavement!$C$5:$C$204&lt;&gt;"")),ROW(C_Pavement!$C$5:$C$204)-4),"")</f>
        <v/>
      </c>
      <c r="AR240" t="str">
        <f>IF($AQ240="","",UPPER(TRIM(INDEX(C_Pavement!$C$5:$C$204,$AQ240))))</f>
        <v/>
      </c>
      <c r="AS240" t="str">
        <f>IF($AR240="","",IFERROR(MATCH($AR240,E_Rules!$A$5:$A$9,0),""))</f>
        <v/>
      </c>
      <c r="AT240" t="str">
        <f>IF($AQ240="","",IF(INDEX(C_Pavement!$D$5:$D$204,$AQ240)&lt;&gt;"",UPPER(TRIM(INDEX(C_Pavement!$D$5:$D$204,$AQ240))),IF($AS240="","",INDEX(E_Rules!$C$5:$C$9,$AS240))))</f>
        <v/>
      </c>
      <c r="AU240" t="str">
        <f>IF($AQ240="","",IF(INDEX(C_Pavement!$E$5:$E$204,$AQ240)&lt;&gt;"",IF(INDEX(C_Pavement!$E$5:$E$204,$AQ240)="-","",INDEX(C_Pavement!$E$5:$E$204,$AQ240)),IF($AS240="","",INDEX(E_Rules!$D$5:$D$9,$AS240))))</f>
        <v/>
      </c>
      <c r="AV240" t="str">
        <f>IF($AQ240="","",IF(INDEX(C_Pavement!$F$5:$F$204,$AQ240)&lt;&gt;"",IF(INDEX(C_Pavement!$F$5:$F$204,$AQ240)="-","",INDEX(C_Pavement!$F$5:$F$204,$AQ240)),IF($AS240="","",INDEX(E_Rules!$E$5:$E$9,$AS240))))</f>
        <v/>
      </c>
      <c r="AW240" t="str">
        <f>IF($AQ240="","",IF(INDEX(C_Pavement!$G$5:$G$204,$AQ240)&lt;&gt;"",IF(INDEX(C_Pavement!$G$5:$G$204,$AQ240)="-","",INDEX(C_Pavement!$G$5:$G$204,$AQ240)),IF($AS240="","",INDEX(E_Rules!$F$5:$F$9,$AS240))))</f>
        <v/>
      </c>
      <c r="AX240" t="str">
        <f>IF($AQ240="","",IF(INDEX(C_Pavement!$H$5:$H$204,$AQ240)&lt;&gt;"",IF(INDEX(C_Pavement!$H$5:$H$204,$AQ240)="-","",INDEX(C_Pavement!$H$5:$H$204,$AQ240)),IF($AS240="","",INDEX(E_Rules!$G$5:$G$9,$AS240))))</f>
        <v/>
      </c>
      <c r="AY240" t="str">
        <f>IF($AQ240="","",IF(INDEX(C_Pavement!$I$5:$I$204,$AQ240)&lt;&gt;"",IF(INDEX(C_Pavement!$I$5:$I$204,$AQ240)="-","",INDEX(C_Pavement!$I$5:$I$204,$AQ240)),IF($AS240="","",INDEX(E_Rules!$H$5:$H$9,$AS240))))</f>
        <v/>
      </c>
    </row>
    <row r="241" spans="1:51" ht="15.75" customHeight="1" x14ac:dyDescent="0.3">
      <c r="A241" s="189">
        <v>236</v>
      </c>
      <c r="B241" s="180">
        <v>11750</v>
      </c>
      <c r="C241" s="180" t="s">
        <v>547</v>
      </c>
      <c r="D241" s="181" t="str">
        <f>IFERROR(LOOKUP(2,1/((A_Corridor!$A$5:$A$204&lt;&gt;"")*(A_Corridor!$A$5:$A$204&lt;=$B241)*(A_Corridor!$B$5:$B$204&gt;$B241)*(A_Corridor!$C$5:$C$204&lt;&gt;"")),IF(UPPER(A_Corridor!$C$5:$C$204)="Y",1,"")),"")</f>
        <v/>
      </c>
      <c r="E241" s="181" t="str">
        <f>IFERROR(LOOKUP(2,1/((A_Corridor!$A$5:$A$204&lt;&gt;"")*(A_Corridor!$A$5:$A$204&lt;=$B241)*(A_Corridor!$B$5:$B$204&gt;$B241)*(A_Corridor!$D$5:$D$204&lt;&gt;"")),IF(A_Corridor!$D$5:$D$204="-","",UPPER(A_Corridor!$D$5:$D$204))),"")</f>
        <v/>
      </c>
      <c r="F241" s="181" t="str">
        <f>IFERROR(LOOKUP(2,1/((A_Corridor!$A$5:$A$204&lt;&gt;"")*(A_Corridor!$A$5:$A$204&lt;=$B241)*(A_Corridor!$B$5:$B$204&gt;$B241)*(A_Corridor!$E$5:$E$204&lt;&gt;"")),IF(A_Corridor!$E$5:$E$204="-","",1)),"")</f>
        <v/>
      </c>
      <c r="G241" s="182" t="str">
        <f>IFERROR(LOOKUP(2,1/((A_Corridor!$A$5:$A$204&lt;&gt;"")*(A_Corridor!$A$5:$A$204&lt;=$B241)*(A_Corridor!$B$5:$B$204&gt;$B241)*(A_Corridor!$E$5:$E$204&lt;&gt;"")),IF(A_Corridor!$E$5:$E$204="-","",A_Corridor!$E$5:$E$204)),"")</f>
        <v/>
      </c>
      <c r="H241" s="182" t="str">
        <f>IFERROR(LOOKUP(2,1/((D_Points!$A$5:$A$204&lt;&gt;"")*(D_Points!$A$5:$A$204&gt;=$B241)*(D_Points!$A$5:$A$204&lt;$B241+P_Interval)*(UPPER(TRIM(D_Points!$B$5:$B$204))="GULLY")*(D_Points!$H$5:$H$204&lt;&gt;"")),D_Points!$H$5:$H$204),"")</f>
        <v/>
      </c>
      <c r="I241" s="181" t="str">
        <f>IFERROR(LOOKUP(2,1/((A_Corridor!$A$5:$A$204&lt;&gt;"")*(A_Corridor!$A$5:$A$204&lt;=$B241)*(A_Corridor!$B$5:$B$204&gt;$B241)*(A_Corridor!$F$5:$F$204&lt;&gt;"")),IF(A_Corridor!$F$5:$F$204="-","",1)),"")</f>
        <v/>
      </c>
      <c r="J241" s="182" t="str">
        <f>IFERROR(LOOKUP(2,1/((A_Corridor!$A$5:$A$204&lt;&gt;"")*(A_Corridor!$A$5:$A$204&lt;=$B241)*(A_Corridor!$B$5:$B$204&gt;$B241)*(A_Corridor!$F$5:$F$204&lt;&gt;"")),IF(A_Corridor!$F$5:$F$204="-","",A_Corridor!$F$5:$F$204)),"")</f>
        <v/>
      </c>
      <c r="K241" s="182" t="str">
        <f>IFERROR(LOOKUP(2,1/((A_Corridor!$A$5:$A$204&lt;&gt;"")*(A_Corridor!$A$5:$A$204&lt;=$B241)*(A_Corridor!$B$5:$B$204&gt;$B241)*(A_Corridor!$G$5:$G$204&lt;&gt;"")),IF(A_Corridor!$G$5:$G$204="-","",A_Corridor!$G$5:$G$204)),"")</f>
        <v/>
      </c>
      <c r="L241" s="181" t="str">
        <f>IFERROR(LOOKUP(2,1/((A_Corridor!$A$5:$A$204&lt;&gt;"")*(A_Corridor!$A$5:$A$204&lt;=$B241)*(A_Corridor!$B$5:$B$204&gt;$B241)*(A_Corridor!$H$5:$H$204&lt;&gt;"")),IF(A_Corridor!$H$5:$H$204="-","",1)),"")</f>
        <v/>
      </c>
      <c r="M241" s="182" t="str">
        <f>IFERROR(LOOKUP(2,1/((A_Corridor!$A$5:$A$204&lt;&gt;"")*(A_Corridor!$A$5:$A$204&lt;=$B241)*(A_Corridor!$B$5:$B$204&gt;$B241)*(A_Corridor!$H$5:$H$204&lt;&gt;"")),IF(A_Corridor!$H$5:$H$204="-","",A_Corridor!$H$5:$H$204)),"")</f>
        <v/>
      </c>
      <c r="N241" s="182" t="str">
        <f>IFERROR(LOOKUP(2,1/((A_Corridor!$A$5:$A$204&lt;&gt;"")*(A_Corridor!$A$5:$A$204&lt;=$B241)*(A_Corridor!$B$5:$B$204&gt;$B241)*(A_Corridor!$I$5:$I$204&lt;&gt;"")),IF(A_Corridor!$I$5:$I$204="-","",A_Corridor!$I$5:$I$204)),"")</f>
        <v/>
      </c>
      <c r="O241" s="182" t="str">
        <f>IFERROR(LOOKUP(2,1/((D_Points!$A$5:$A$204&lt;&gt;"")*(D_Points!$A$5:$A$204&gt;=$B241)*(D_Points!$A$5:$A$204&lt;$B241+P_Interval)*(UPPER(TRIM(D_Points!$B$5:$B$204))="PITCHING")*(D_Points!$H$5:$H$204&lt;&gt;"")),D_Points!$H$5:$H$204),"")</f>
        <v/>
      </c>
      <c r="P241" s="181" t="str">
        <f>IFERROR(LOOKUP(2,1/((B_Drainage!$A$5:$A$204&lt;&gt;"")*(B_Drainage!$A$5:$A$204&lt;=$B241)*(B_Drainage!$B$5:$B$204&gt;$B241)*(B_Drainage!$C$5:$C$204&lt;&gt;"")),IF(B_Drainage!$C$5:$C$204="-","",UPPER(B_Drainage!$C$5:$C$204))),"")</f>
        <v/>
      </c>
      <c r="Q241" s="181" t="str">
        <f>IFERROR(LOOKUP(2,1/((B_Drainage!$A$5:$A$204&lt;&gt;"")*(B_Drainage!$A$5:$A$204&lt;=$B241)*(B_Drainage!$B$5:$B$204&gt;$B241)*(B_Drainage!$D$5:$D$204&lt;&gt;"")),IF(B_Drainage!$D$5:$D$204="-","",UPPER(B_Drainage!$D$5:$D$204))),"")</f>
        <v/>
      </c>
      <c r="R241" s="182" t="str">
        <f>IFERROR(LOOKUP(2,1/((D_Points!$A$5:$A$204&lt;&gt;"")*(D_Points!$A$5:$A$204&gt;=$B241)*(D_Points!$A$5:$A$204&lt;$B241+P_Interval)*(RIGHT(UPPER(TRIM(D_Points!$B$5:$B$204)),8)="_CULVERT")),IF(LEFT(UPPER(TRIM(D_Points!$B$5:$B$204)),2)="EX",1,IF(LEFT(UPPER(TRIM(D_Points!$B$5:$B$204)),2)="PR",2,3))),"")</f>
        <v/>
      </c>
      <c r="S241" s="182" t="str">
        <f>IFERROR(LOOKUP(2,1/((D_Points!$A$5:$A$204&lt;&gt;"")*(D_Points!$A$5:$A$204&gt;=$B241)*(D_Points!$A$5:$A$204&lt;$B241+P_Interval)*(RIGHT(UPPER(TRIM(D_Points!$B$5:$B$204)),7)="_BRIDGE")),IF(LEFT(UPPER(TRIM(D_Points!$B$5:$B$204)),2)="EX",1,IF(LEFT(UPPER(TRIM(D_Points!$B$5:$B$204)),2)="PR",2,2))),"")</f>
        <v/>
      </c>
      <c r="T241" s="181" t="str">
        <f>IFERROR(LOOKUP(2,1/((B_Drainage!$A$5:$A$204&lt;&gt;"")*(B_Drainage!$A$5:$A$204&lt;=$B241)*(B_Drainage!$B$5:$B$204&gt;$B241)*(B_Drainage!$E$5:$E$204&lt;&gt;"")),IF(B_Drainage!$E$5:$E$204="-","",1)),"")</f>
        <v/>
      </c>
      <c r="U241" s="181" t="str">
        <f>IFERROR(LOOKUP(2,1/((B_Drainage!$A$5:$A$204&lt;&gt;"")*(B_Drainage!$A$5:$A$204&lt;=$B241)*(B_Drainage!$B$5:$B$204&gt;$B241)*(B_Drainage!$E$5:$E$204&lt;&gt;"")),IF(B_Drainage!$E$5:$E$204="-","",B_Drainage!$E$5:$E$204)),"")</f>
        <v/>
      </c>
      <c r="V241" s="181" t="str">
        <f>IFERROR(LOOKUP(2,1/((B_Drainage!$A$5:$A$204&lt;&gt;"")*(B_Drainage!$A$5:$A$204&lt;=$B241)*(B_Drainage!$B$5:$B$204&gt;$B241)*(B_Drainage!$F$5:$F$204&lt;&gt;"")),IF(B_Drainage!$F$5:$F$204="-","",1)),"")</f>
        <v/>
      </c>
      <c r="W241" s="181" t="str">
        <f>IFERROR(LOOKUP(2,1/((B_Drainage!$A$5:$A$204&lt;&gt;"")*(B_Drainage!$A$5:$A$204&lt;=$B241)*(B_Drainage!$B$5:$B$204&gt;$B241)*(B_Drainage!$F$5:$F$204&lt;&gt;"")),IF(B_Drainage!$F$5:$F$204="-","",B_Drainage!$F$5:$F$204)),"")</f>
        <v/>
      </c>
      <c r="X241" s="181" t="str">
        <f>IFERROR(LOOKUP(2,1/((B_Drainage!$A$5:$A$204&lt;&gt;"")*(B_Drainage!$A$5:$A$204&lt;=$B241)*(B_Drainage!$B$5:$B$204&gt;$B241)*(B_Drainage!$G$5:$G$204&lt;&gt;"")),IF(UPPER(B_Drainage!$G$5:$G$204)="Y",1,"")),"")</f>
        <v/>
      </c>
      <c r="Y241" s="181" t="str">
        <f>IFERROR(LOOKUP(2,1/((B_Drainage!$A$5:$A$204&lt;&gt;"")*(B_Drainage!$A$5:$A$204&lt;=$B241)*(B_Drainage!$B$5:$B$204&gt;$B241)*(B_Drainage!$H$5:$H$204&lt;&gt;"")),IF(UPPER(B_Drainage!$H$5:$H$204)="Y",1,"")),"")</f>
        <v/>
      </c>
      <c r="Z241" s="181" t="str">
        <f>IFERROR(LOOKUP(2,1/((B_Drainage!$A$5:$A$204&lt;&gt;"")*(B_Drainage!$A$5:$A$204&lt;=$B241)*(B_Drainage!$B$5:$B$204&gt;$B241)*(B_Drainage!$I$5:$I$204&lt;&gt;"")),IF(UPPER(B_Drainage!$I$5:$I$204)="Y",1,"")),"")</f>
        <v/>
      </c>
      <c r="AA241" s="181" t="str">
        <f>IFERROR(LOOKUP(2,1/((B_Drainage!$A$5:$A$204&lt;&gt;"")*(B_Drainage!$A$5:$A$204&lt;=$B241)*(B_Drainage!$B$5:$B$204&gt;$B241)*(B_Drainage!$J$5:$J$204&lt;&gt;"")),IF(UPPER(B_Drainage!$J$5:$J$204)="Y",1,"")),"")</f>
        <v/>
      </c>
      <c r="AB241" s="182" t="str">
        <f>IFERROR(LOOKUP(2,1/((B_Drainage!$A$5:$A$204&lt;&gt;"")*(B_Drainage!$A$5:$A$204&lt;=$B241)*(B_Drainage!$B$5:$B$204&gt;$B241)*(B_Drainage!$K$5:$K$204&lt;&gt;"")),IF(B_Drainage!$K$5:$K$204="-","",B_Drainage!$K$5:$K$204)),"")</f>
        <v/>
      </c>
      <c r="AC241" s="182" t="str">
        <f>IFERROR(LOOKUP(2,1/((B_Drainage!$A$5:$A$204&lt;&gt;"")*(B_Drainage!$A$5:$A$204&lt;=$B241)*(B_Drainage!$B$5:$B$204&gt;$B241)*(B_Drainage!$L$5:$L$204&lt;&gt;"")),IF(B_Drainage!$L$5:$L$204="-","",B_Drainage!$L$5:$L$204)),"")</f>
        <v/>
      </c>
      <c r="AD241" s="182" t="str">
        <f>IFERROR(LOOKUP(2,1/((D_Points!$A$5:$A$204&lt;&gt;"")*(D_Points!$A$5:$A$204&gt;=$B241)*(D_Points!$A$5:$A$204&lt;$B241+P_Interval)*(UPPER(TRIM(D_Points!$B$5:$B$204))="TURNOUT_L")*(D_Points!$H$5:$H$204&lt;&gt;"")),D_Points!$H$5:$H$204),"")</f>
        <v/>
      </c>
      <c r="AE241" s="182" t="str">
        <f>IFERROR(LOOKUP(2,1/((D_Points!$A$5:$A$204&lt;&gt;"")*(D_Points!$A$5:$A$204&gt;=$B241)*(D_Points!$A$5:$A$204&lt;$B241+P_Interval)*(UPPER(TRIM(D_Points!$B$5:$B$204))="TURNOUT_R")*(D_Points!$H$5:$H$204&lt;&gt;"")),D_Points!$H$5:$H$204),"")</f>
        <v/>
      </c>
      <c r="AF241" s="181" t="str">
        <f>IFERROR(LOOKUP(2,1/((B_Drainage!$A$5:$A$204&lt;&gt;"")*(B_Drainage!$A$5:$A$204&lt;=$B241)*(B_Drainage!$B$5:$B$204&gt;$B241)*(B_Drainage!$M$5:$M$204&lt;&gt;"")),IF(UPPER(B_Drainage!$M$5:$M$204)="Y",1,"")),"")</f>
        <v/>
      </c>
      <c r="AG241" s="181" t="str">
        <f>IFERROR(LOOKUP(2,1/((B_Drainage!$A$5:$A$204&lt;&gt;"")*(B_Drainage!$A$5:$A$204&lt;=$B241)*(B_Drainage!$B$5:$B$204&gt;$B241)*(B_Drainage!$N$5:$N$204&lt;&gt;"")),IF(UPPER(B_Drainage!$N$5:$N$204)="Y",1,"")),"")</f>
        <v/>
      </c>
      <c r="AH241" s="181" t="str">
        <f t="shared" si="24"/>
        <v/>
      </c>
      <c r="AI241" s="181" t="str">
        <f t="shared" si="25"/>
        <v/>
      </c>
      <c r="AJ241" s="181" t="str">
        <f t="shared" si="26"/>
        <v/>
      </c>
      <c r="AK241" s="181" t="str">
        <f t="shared" si="27"/>
        <v/>
      </c>
      <c r="AL241" s="181" t="str">
        <f t="shared" si="28"/>
        <v/>
      </c>
      <c r="AM241" s="181" t="str">
        <f t="shared" si="29"/>
        <v/>
      </c>
      <c r="AN241" s="181" t="str">
        <f t="shared" si="30"/>
        <v/>
      </c>
      <c r="AO241" s="192" t="str">
        <f t="shared" si="31"/>
        <v/>
      </c>
      <c r="AQ241" t="str">
        <f>IFERROR(LOOKUP(2,1/((C_Pavement!$A$5:$A$204&lt;&gt;"")*(C_Pavement!$A$5:$A$204&lt;=$B241)*(C_Pavement!$B$5:$B$204&gt;$B241)*(C_Pavement!$C$5:$C$204&lt;&gt;"")),ROW(C_Pavement!$C$5:$C$204)-4),"")</f>
        <v/>
      </c>
      <c r="AR241" t="str">
        <f>IF($AQ241="","",UPPER(TRIM(INDEX(C_Pavement!$C$5:$C$204,$AQ241))))</f>
        <v/>
      </c>
      <c r="AS241" t="str">
        <f>IF($AR241="","",IFERROR(MATCH($AR241,E_Rules!$A$5:$A$9,0),""))</f>
        <v/>
      </c>
      <c r="AT241" t="str">
        <f>IF($AQ241="","",IF(INDEX(C_Pavement!$D$5:$D$204,$AQ241)&lt;&gt;"",UPPER(TRIM(INDEX(C_Pavement!$D$5:$D$204,$AQ241))),IF($AS241="","",INDEX(E_Rules!$C$5:$C$9,$AS241))))</f>
        <v/>
      </c>
      <c r="AU241" t="str">
        <f>IF($AQ241="","",IF(INDEX(C_Pavement!$E$5:$E$204,$AQ241)&lt;&gt;"",IF(INDEX(C_Pavement!$E$5:$E$204,$AQ241)="-","",INDEX(C_Pavement!$E$5:$E$204,$AQ241)),IF($AS241="","",INDEX(E_Rules!$D$5:$D$9,$AS241))))</f>
        <v/>
      </c>
      <c r="AV241" t="str">
        <f>IF($AQ241="","",IF(INDEX(C_Pavement!$F$5:$F$204,$AQ241)&lt;&gt;"",IF(INDEX(C_Pavement!$F$5:$F$204,$AQ241)="-","",INDEX(C_Pavement!$F$5:$F$204,$AQ241)),IF($AS241="","",INDEX(E_Rules!$E$5:$E$9,$AS241))))</f>
        <v/>
      </c>
      <c r="AW241" t="str">
        <f>IF($AQ241="","",IF(INDEX(C_Pavement!$G$5:$G$204,$AQ241)&lt;&gt;"",IF(INDEX(C_Pavement!$G$5:$G$204,$AQ241)="-","",INDEX(C_Pavement!$G$5:$G$204,$AQ241)),IF($AS241="","",INDEX(E_Rules!$F$5:$F$9,$AS241))))</f>
        <v/>
      </c>
      <c r="AX241" t="str">
        <f>IF($AQ241="","",IF(INDEX(C_Pavement!$H$5:$H$204,$AQ241)&lt;&gt;"",IF(INDEX(C_Pavement!$H$5:$H$204,$AQ241)="-","",INDEX(C_Pavement!$H$5:$H$204,$AQ241)),IF($AS241="","",INDEX(E_Rules!$G$5:$G$9,$AS241))))</f>
        <v/>
      </c>
      <c r="AY241" t="str">
        <f>IF($AQ241="","",IF(INDEX(C_Pavement!$I$5:$I$204,$AQ241)&lt;&gt;"",IF(INDEX(C_Pavement!$I$5:$I$204,$AQ241)="-","",INDEX(C_Pavement!$I$5:$I$204,$AQ241)),IF($AS241="","",INDEX(E_Rules!$H$5:$H$9,$AS241))))</f>
        <v/>
      </c>
    </row>
    <row r="242" spans="1:51" ht="15.75" customHeight="1" x14ac:dyDescent="0.3">
      <c r="A242" s="189">
        <v>237</v>
      </c>
      <c r="B242" s="180">
        <v>11800</v>
      </c>
      <c r="C242" s="180" t="s">
        <v>548</v>
      </c>
      <c r="D242" s="181" t="str">
        <f>IFERROR(LOOKUP(2,1/((A_Corridor!$A$5:$A$204&lt;&gt;"")*(A_Corridor!$A$5:$A$204&lt;=$B242)*(A_Corridor!$B$5:$B$204&gt;$B242)*(A_Corridor!$C$5:$C$204&lt;&gt;"")),IF(UPPER(A_Corridor!$C$5:$C$204)="Y",1,"")),"")</f>
        <v/>
      </c>
      <c r="E242" s="181" t="str">
        <f>IFERROR(LOOKUP(2,1/((A_Corridor!$A$5:$A$204&lt;&gt;"")*(A_Corridor!$A$5:$A$204&lt;=$B242)*(A_Corridor!$B$5:$B$204&gt;$B242)*(A_Corridor!$D$5:$D$204&lt;&gt;"")),IF(A_Corridor!$D$5:$D$204="-","",UPPER(A_Corridor!$D$5:$D$204))),"")</f>
        <v/>
      </c>
      <c r="F242" s="181" t="str">
        <f>IFERROR(LOOKUP(2,1/((A_Corridor!$A$5:$A$204&lt;&gt;"")*(A_Corridor!$A$5:$A$204&lt;=$B242)*(A_Corridor!$B$5:$B$204&gt;$B242)*(A_Corridor!$E$5:$E$204&lt;&gt;"")),IF(A_Corridor!$E$5:$E$204="-","",1)),"")</f>
        <v/>
      </c>
      <c r="G242" s="182" t="str">
        <f>IFERROR(LOOKUP(2,1/((A_Corridor!$A$5:$A$204&lt;&gt;"")*(A_Corridor!$A$5:$A$204&lt;=$B242)*(A_Corridor!$B$5:$B$204&gt;$B242)*(A_Corridor!$E$5:$E$204&lt;&gt;"")),IF(A_Corridor!$E$5:$E$204="-","",A_Corridor!$E$5:$E$204)),"")</f>
        <v/>
      </c>
      <c r="H242" s="182" t="str">
        <f>IFERROR(LOOKUP(2,1/((D_Points!$A$5:$A$204&lt;&gt;"")*(D_Points!$A$5:$A$204&gt;=$B242)*(D_Points!$A$5:$A$204&lt;$B242+P_Interval)*(UPPER(TRIM(D_Points!$B$5:$B$204))="GULLY")*(D_Points!$H$5:$H$204&lt;&gt;"")),D_Points!$H$5:$H$204),"")</f>
        <v/>
      </c>
      <c r="I242" s="181" t="str">
        <f>IFERROR(LOOKUP(2,1/((A_Corridor!$A$5:$A$204&lt;&gt;"")*(A_Corridor!$A$5:$A$204&lt;=$B242)*(A_Corridor!$B$5:$B$204&gt;$B242)*(A_Corridor!$F$5:$F$204&lt;&gt;"")),IF(A_Corridor!$F$5:$F$204="-","",1)),"")</f>
        <v/>
      </c>
      <c r="J242" s="182" t="str">
        <f>IFERROR(LOOKUP(2,1/((A_Corridor!$A$5:$A$204&lt;&gt;"")*(A_Corridor!$A$5:$A$204&lt;=$B242)*(A_Corridor!$B$5:$B$204&gt;$B242)*(A_Corridor!$F$5:$F$204&lt;&gt;"")),IF(A_Corridor!$F$5:$F$204="-","",A_Corridor!$F$5:$F$204)),"")</f>
        <v/>
      </c>
      <c r="K242" s="182" t="str">
        <f>IFERROR(LOOKUP(2,1/((A_Corridor!$A$5:$A$204&lt;&gt;"")*(A_Corridor!$A$5:$A$204&lt;=$B242)*(A_Corridor!$B$5:$B$204&gt;$B242)*(A_Corridor!$G$5:$G$204&lt;&gt;"")),IF(A_Corridor!$G$5:$G$204="-","",A_Corridor!$G$5:$G$204)),"")</f>
        <v/>
      </c>
      <c r="L242" s="181" t="str">
        <f>IFERROR(LOOKUP(2,1/((A_Corridor!$A$5:$A$204&lt;&gt;"")*(A_Corridor!$A$5:$A$204&lt;=$B242)*(A_Corridor!$B$5:$B$204&gt;$B242)*(A_Corridor!$H$5:$H$204&lt;&gt;"")),IF(A_Corridor!$H$5:$H$204="-","",1)),"")</f>
        <v/>
      </c>
      <c r="M242" s="182" t="str">
        <f>IFERROR(LOOKUP(2,1/((A_Corridor!$A$5:$A$204&lt;&gt;"")*(A_Corridor!$A$5:$A$204&lt;=$B242)*(A_Corridor!$B$5:$B$204&gt;$B242)*(A_Corridor!$H$5:$H$204&lt;&gt;"")),IF(A_Corridor!$H$5:$H$204="-","",A_Corridor!$H$5:$H$204)),"")</f>
        <v/>
      </c>
      <c r="N242" s="182" t="str">
        <f>IFERROR(LOOKUP(2,1/((A_Corridor!$A$5:$A$204&lt;&gt;"")*(A_Corridor!$A$5:$A$204&lt;=$B242)*(A_Corridor!$B$5:$B$204&gt;$B242)*(A_Corridor!$I$5:$I$204&lt;&gt;"")),IF(A_Corridor!$I$5:$I$204="-","",A_Corridor!$I$5:$I$204)),"")</f>
        <v/>
      </c>
      <c r="O242" s="182" t="str">
        <f>IFERROR(LOOKUP(2,1/((D_Points!$A$5:$A$204&lt;&gt;"")*(D_Points!$A$5:$A$204&gt;=$B242)*(D_Points!$A$5:$A$204&lt;$B242+P_Interval)*(UPPER(TRIM(D_Points!$B$5:$B$204))="PITCHING")*(D_Points!$H$5:$H$204&lt;&gt;"")),D_Points!$H$5:$H$204),"")</f>
        <v/>
      </c>
      <c r="P242" s="181" t="str">
        <f>IFERROR(LOOKUP(2,1/((B_Drainage!$A$5:$A$204&lt;&gt;"")*(B_Drainage!$A$5:$A$204&lt;=$B242)*(B_Drainage!$B$5:$B$204&gt;$B242)*(B_Drainage!$C$5:$C$204&lt;&gt;"")),IF(B_Drainage!$C$5:$C$204="-","",UPPER(B_Drainage!$C$5:$C$204))),"")</f>
        <v/>
      </c>
      <c r="Q242" s="181" t="str">
        <f>IFERROR(LOOKUP(2,1/((B_Drainage!$A$5:$A$204&lt;&gt;"")*(B_Drainage!$A$5:$A$204&lt;=$B242)*(B_Drainage!$B$5:$B$204&gt;$B242)*(B_Drainage!$D$5:$D$204&lt;&gt;"")),IF(B_Drainage!$D$5:$D$204="-","",UPPER(B_Drainage!$D$5:$D$204))),"")</f>
        <v/>
      </c>
      <c r="R242" s="182" t="str">
        <f>IFERROR(LOOKUP(2,1/((D_Points!$A$5:$A$204&lt;&gt;"")*(D_Points!$A$5:$A$204&gt;=$B242)*(D_Points!$A$5:$A$204&lt;$B242+P_Interval)*(RIGHT(UPPER(TRIM(D_Points!$B$5:$B$204)),8)="_CULVERT")),IF(LEFT(UPPER(TRIM(D_Points!$B$5:$B$204)),2)="EX",1,IF(LEFT(UPPER(TRIM(D_Points!$B$5:$B$204)),2)="PR",2,3))),"")</f>
        <v/>
      </c>
      <c r="S242" s="182" t="str">
        <f>IFERROR(LOOKUP(2,1/((D_Points!$A$5:$A$204&lt;&gt;"")*(D_Points!$A$5:$A$204&gt;=$B242)*(D_Points!$A$5:$A$204&lt;$B242+P_Interval)*(RIGHT(UPPER(TRIM(D_Points!$B$5:$B$204)),7)="_BRIDGE")),IF(LEFT(UPPER(TRIM(D_Points!$B$5:$B$204)),2)="EX",1,IF(LEFT(UPPER(TRIM(D_Points!$B$5:$B$204)),2)="PR",2,2))),"")</f>
        <v/>
      </c>
      <c r="T242" s="181" t="str">
        <f>IFERROR(LOOKUP(2,1/((B_Drainage!$A$5:$A$204&lt;&gt;"")*(B_Drainage!$A$5:$A$204&lt;=$B242)*(B_Drainage!$B$5:$B$204&gt;$B242)*(B_Drainage!$E$5:$E$204&lt;&gt;"")),IF(B_Drainage!$E$5:$E$204="-","",1)),"")</f>
        <v/>
      </c>
      <c r="U242" s="181" t="str">
        <f>IFERROR(LOOKUP(2,1/((B_Drainage!$A$5:$A$204&lt;&gt;"")*(B_Drainage!$A$5:$A$204&lt;=$B242)*(B_Drainage!$B$5:$B$204&gt;$B242)*(B_Drainage!$E$5:$E$204&lt;&gt;"")),IF(B_Drainage!$E$5:$E$204="-","",B_Drainage!$E$5:$E$204)),"")</f>
        <v/>
      </c>
      <c r="V242" s="181" t="str">
        <f>IFERROR(LOOKUP(2,1/((B_Drainage!$A$5:$A$204&lt;&gt;"")*(B_Drainage!$A$5:$A$204&lt;=$B242)*(B_Drainage!$B$5:$B$204&gt;$B242)*(B_Drainage!$F$5:$F$204&lt;&gt;"")),IF(B_Drainage!$F$5:$F$204="-","",1)),"")</f>
        <v/>
      </c>
      <c r="W242" s="181" t="str">
        <f>IFERROR(LOOKUP(2,1/((B_Drainage!$A$5:$A$204&lt;&gt;"")*(B_Drainage!$A$5:$A$204&lt;=$B242)*(B_Drainage!$B$5:$B$204&gt;$B242)*(B_Drainage!$F$5:$F$204&lt;&gt;"")),IF(B_Drainage!$F$5:$F$204="-","",B_Drainage!$F$5:$F$204)),"")</f>
        <v/>
      </c>
      <c r="X242" s="181" t="str">
        <f>IFERROR(LOOKUP(2,1/((B_Drainage!$A$5:$A$204&lt;&gt;"")*(B_Drainage!$A$5:$A$204&lt;=$B242)*(B_Drainage!$B$5:$B$204&gt;$B242)*(B_Drainage!$G$5:$G$204&lt;&gt;"")),IF(UPPER(B_Drainage!$G$5:$G$204)="Y",1,"")),"")</f>
        <v/>
      </c>
      <c r="Y242" s="181" t="str">
        <f>IFERROR(LOOKUP(2,1/((B_Drainage!$A$5:$A$204&lt;&gt;"")*(B_Drainage!$A$5:$A$204&lt;=$B242)*(B_Drainage!$B$5:$B$204&gt;$B242)*(B_Drainage!$H$5:$H$204&lt;&gt;"")),IF(UPPER(B_Drainage!$H$5:$H$204)="Y",1,"")),"")</f>
        <v/>
      </c>
      <c r="Z242" s="181" t="str">
        <f>IFERROR(LOOKUP(2,1/((B_Drainage!$A$5:$A$204&lt;&gt;"")*(B_Drainage!$A$5:$A$204&lt;=$B242)*(B_Drainage!$B$5:$B$204&gt;$B242)*(B_Drainage!$I$5:$I$204&lt;&gt;"")),IF(UPPER(B_Drainage!$I$5:$I$204)="Y",1,"")),"")</f>
        <v/>
      </c>
      <c r="AA242" s="181" t="str">
        <f>IFERROR(LOOKUP(2,1/((B_Drainage!$A$5:$A$204&lt;&gt;"")*(B_Drainage!$A$5:$A$204&lt;=$B242)*(B_Drainage!$B$5:$B$204&gt;$B242)*(B_Drainage!$J$5:$J$204&lt;&gt;"")),IF(UPPER(B_Drainage!$J$5:$J$204)="Y",1,"")),"")</f>
        <v/>
      </c>
      <c r="AB242" s="182" t="str">
        <f>IFERROR(LOOKUP(2,1/((B_Drainage!$A$5:$A$204&lt;&gt;"")*(B_Drainage!$A$5:$A$204&lt;=$B242)*(B_Drainage!$B$5:$B$204&gt;$B242)*(B_Drainage!$K$5:$K$204&lt;&gt;"")),IF(B_Drainage!$K$5:$K$204="-","",B_Drainage!$K$5:$K$204)),"")</f>
        <v/>
      </c>
      <c r="AC242" s="182" t="str">
        <f>IFERROR(LOOKUP(2,1/((B_Drainage!$A$5:$A$204&lt;&gt;"")*(B_Drainage!$A$5:$A$204&lt;=$B242)*(B_Drainage!$B$5:$B$204&gt;$B242)*(B_Drainage!$L$5:$L$204&lt;&gt;"")),IF(B_Drainage!$L$5:$L$204="-","",B_Drainage!$L$5:$L$204)),"")</f>
        <v/>
      </c>
      <c r="AD242" s="182" t="str">
        <f>IFERROR(LOOKUP(2,1/((D_Points!$A$5:$A$204&lt;&gt;"")*(D_Points!$A$5:$A$204&gt;=$B242)*(D_Points!$A$5:$A$204&lt;$B242+P_Interval)*(UPPER(TRIM(D_Points!$B$5:$B$204))="TURNOUT_L")*(D_Points!$H$5:$H$204&lt;&gt;"")),D_Points!$H$5:$H$204),"")</f>
        <v/>
      </c>
      <c r="AE242" s="182" t="str">
        <f>IFERROR(LOOKUP(2,1/((D_Points!$A$5:$A$204&lt;&gt;"")*(D_Points!$A$5:$A$204&gt;=$B242)*(D_Points!$A$5:$A$204&lt;$B242+P_Interval)*(UPPER(TRIM(D_Points!$B$5:$B$204))="TURNOUT_R")*(D_Points!$H$5:$H$204&lt;&gt;"")),D_Points!$H$5:$H$204),"")</f>
        <v/>
      </c>
      <c r="AF242" s="181" t="str">
        <f>IFERROR(LOOKUP(2,1/((B_Drainage!$A$5:$A$204&lt;&gt;"")*(B_Drainage!$A$5:$A$204&lt;=$B242)*(B_Drainage!$B$5:$B$204&gt;$B242)*(B_Drainage!$M$5:$M$204&lt;&gt;"")),IF(UPPER(B_Drainage!$M$5:$M$204)="Y",1,"")),"")</f>
        <v/>
      </c>
      <c r="AG242" s="181" t="str">
        <f>IFERROR(LOOKUP(2,1/((B_Drainage!$A$5:$A$204&lt;&gt;"")*(B_Drainage!$A$5:$A$204&lt;=$B242)*(B_Drainage!$B$5:$B$204&gt;$B242)*(B_Drainage!$N$5:$N$204&lt;&gt;"")),IF(UPPER(B_Drainage!$N$5:$N$204)="Y",1,"")),"")</f>
        <v/>
      </c>
      <c r="AH242" s="181" t="str">
        <f t="shared" si="24"/>
        <v/>
      </c>
      <c r="AI242" s="181" t="str">
        <f t="shared" si="25"/>
        <v/>
      </c>
      <c r="AJ242" s="181" t="str">
        <f t="shared" si="26"/>
        <v/>
      </c>
      <c r="AK242" s="181" t="str">
        <f t="shared" si="27"/>
        <v/>
      </c>
      <c r="AL242" s="181" t="str">
        <f t="shared" si="28"/>
        <v/>
      </c>
      <c r="AM242" s="181" t="str">
        <f t="shared" si="29"/>
        <v/>
      </c>
      <c r="AN242" s="181" t="str">
        <f t="shared" si="30"/>
        <v/>
      </c>
      <c r="AO242" s="192" t="str">
        <f t="shared" si="31"/>
        <v/>
      </c>
      <c r="AQ242" t="str">
        <f>IFERROR(LOOKUP(2,1/((C_Pavement!$A$5:$A$204&lt;&gt;"")*(C_Pavement!$A$5:$A$204&lt;=$B242)*(C_Pavement!$B$5:$B$204&gt;$B242)*(C_Pavement!$C$5:$C$204&lt;&gt;"")),ROW(C_Pavement!$C$5:$C$204)-4),"")</f>
        <v/>
      </c>
      <c r="AR242" t="str">
        <f>IF($AQ242="","",UPPER(TRIM(INDEX(C_Pavement!$C$5:$C$204,$AQ242))))</f>
        <v/>
      </c>
      <c r="AS242" t="str">
        <f>IF($AR242="","",IFERROR(MATCH($AR242,E_Rules!$A$5:$A$9,0),""))</f>
        <v/>
      </c>
      <c r="AT242" t="str">
        <f>IF($AQ242="","",IF(INDEX(C_Pavement!$D$5:$D$204,$AQ242)&lt;&gt;"",UPPER(TRIM(INDEX(C_Pavement!$D$5:$D$204,$AQ242))),IF($AS242="","",INDEX(E_Rules!$C$5:$C$9,$AS242))))</f>
        <v/>
      </c>
      <c r="AU242" t="str">
        <f>IF($AQ242="","",IF(INDEX(C_Pavement!$E$5:$E$204,$AQ242)&lt;&gt;"",IF(INDEX(C_Pavement!$E$5:$E$204,$AQ242)="-","",INDEX(C_Pavement!$E$5:$E$204,$AQ242)),IF($AS242="","",INDEX(E_Rules!$D$5:$D$9,$AS242))))</f>
        <v/>
      </c>
      <c r="AV242" t="str">
        <f>IF($AQ242="","",IF(INDEX(C_Pavement!$F$5:$F$204,$AQ242)&lt;&gt;"",IF(INDEX(C_Pavement!$F$5:$F$204,$AQ242)="-","",INDEX(C_Pavement!$F$5:$F$204,$AQ242)),IF($AS242="","",INDEX(E_Rules!$E$5:$E$9,$AS242))))</f>
        <v/>
      </c>
      <c r="AW242" t="str">
        <f>IF($AQ242="","",IF(INDEX(C_Pavement!$G$5:$G$204,$AQ242)&lt;&gt;"",IF(INDEX(C_Pavement!$G$5:$G$204,$AQ242)="-","",INDEX(C_Pavement!$G$5:$G$204,$AQ242)),IF($AS242="","",INDEX(E_Rules!$F$5:$F$9,$AS242))))</f>
        <v/>
      </c>
      <c r="AX242" t="str">
        <f>IF($AQ242="","",IF(INDEX(C_Pavement!$H$5:$H$204,$AQ242)&lt;&gt;"",IF(INDEX(C_Pavement!$H$5:$H$204,$AQ242)="-","",INDEX(C_Pavement!$H$5:$H$204,$AQ242)),IF($AS242="","",INDEX(E_Rules!$G$5:$G$9,$AS242))))</f>
        <v/>
      </c>
      <c r="AY242" t="str">
        <f>IF($AQ242="","",IF(INDEX(C_Pavement!$I$5:$I$204,$AQ242)&lt;&gt;"",IF(INDEX(C_Pavement!$I$5:$I$204,$AQ242)="-","",INDEX(C_Pavement!$I$5:$I$204,$AQ242)),IF($AS242="","",INDEX(E_Rules!$H$5:$H$9,$AS242))))</f>
        <v/>
      </c>
    </row>
    <row r="243" spans="1:51" ht="15.75" customHeight="1" x14ac:dyDescent="0.3">
      <c r="A243" s="189">
        <v>238</v>
      </c>
      <c r="B243" s="180">
        <v>11850</v>
      </c>
      <c r="C243" s="180" t="s">
        <v>549</v>
      </c>
      <c r="D243" s="181" t="str">
        <f>IFERROR(LOOKUP(2,1/((A_Corridor!$A$5:$A$204&lt;&gt;"")*(A_Corridor!$A$5:$A$204&lt;=$B243)*(A_Corridor!$B$5:$B$204&gt;$B243)*(A_Corridor!$C$5:$C$204&lt;&gt;"")),IF(UPPER(A_Corridor!$C$5:$C$204)="Y",1,"")),"")</f>
        <v/>
      </c>
      <c r="E243" s="181" t="str">
        <f>IFERROR(LOOKUP(2,1/((A_Corridor!$A$5:$A$204&lt;&gt;"")*(A_Corridor!$A$5:$A$204&lt;=$B243)*(A_Corridor!$B$5:$B$204&gt;$B243)*(A_Corridor!$D$5:$D$204&lt;&gt;"")),IF(A_Corridor!$D$5:$D$204="-","",UPPER(A_Corridor!$D$5:$D$204))),"")</f>
        <v/>
      </c>
      <c r="F243" s="181" t="str">
        <f>IFERROR(LOOKUP(2,1/((A_Corridor!$A$5:$A$204&lt;&gt;"")*(A_Corridor!$A$5:$A$204&lt;=$B243)*(A_Corridor!$B$5:$B$204&gt;$B243)*(A_Corridor!$E$5:$E$204&lt;&gt;"")),IF(A_Corridor!$E$5:$E$204="-","",1)),"")</f>
        <v/>
      </c>
      <c r="G243" s="182" t="str">
        <f>IFERROR(LOOKUP(2,1/((A_Corridor!$A$5:$A$204&lt;&gt;"")*(A_Corridor!$A$5:$A$204&lt;=$B243)*(A_Corridor!$B$5:$B$204&gt;$B243)*(A_Corridor!$E$5:$E$204&lt;&gt;"")),IF(A_Corridor!$E$5:$E$204="-","",A_Corridor!$E$5:$E$204)),"")</f>
        <v/>
      </c>
      <c r="H243" s="182" t="str">
        <f>IFERROR(LOOKUP(2,1/((D_Points!$A$5:$A$204&lt;&gt;"")*(D_Points!$A$5:$A$204&gt;=$B243)*(D_Points!$A$5:$A$204&lt;$B243+P_Interval)*(UPPER(TRIM(D_Points!$B$5:$B$204))="GULLY")*(D_Points!$H$5:$H$204&lt;&gt;"")),D_Points!$H$5:$H$204),"")</f>
        <v/>
      </c>
      <c r="I243" s="181" t="str">
        <f>IFERROR(LOOKUP(2,1/((A_Corridor!$A$5:$A$204&lt;&gt;"")*(A_Corridor!$A$5:$A$204&lt;=$B243)*(A_Corridor!$B$5:$B$204&gt;$B243)*(A_Corridor!$F$5:$F$204&lt;&gt;"")),IF(A_Corridor!$F$5:$F$204="-","",1)),"")</f>
        <v/>
      </c>
      <c r="J243" s="182" t="str">
        <f>IFERROR(LOOKUP(2,1/((A_Corridor!$A$5:$A$204&lt;&gt;"")*(A_Corridor!$A$5:$A$204&lt;=$B243)*(A_Corridor!$B$5:$B$204&gt;$B243)*(A_Corridor!$F$5:$F$204&lt;&gt;"")),IF(A_Corridor!$F$5:$F$204="-","",A_Corridor!$F$5:$F$204)),"")</f>
        <v/>
      </c>
      <c r="K243" s="182" t="str">
        <f>IFERROR(LOOKUP(2,1/((A_Corridor!$A$5:$A$204&lt;&gt;"")*(A_Corridor!$A$5:$A$204&lt;=$B243)*(A_Corridor!$B$5:$B$204&gt;$B243)*(A_Corridor!$G$5:$G$204&lt;&gt;"")),IF(A_Corridor!$G$5:$G$204="-","",A_Corridor!$G$5:$G$204)),"")</f>
        <v/>
      </c>
      <c r="L243" s="181" t="str">
        <f>IFERROR(LOOKUP(2,1/((A_Corridor!$A$5:$A$204&lt;&gt;"")*(A_Corridor!$A$5:$A$204&lt;=$B243)*(A_Corridor!$B$5:$B$204&gt;$B243)*(A_Corridor!$H$5:$H$204&lt;&gt;"")),IF(A_Corridor!$H$5:$H$204="-","",1)),"")</f>
        <v/>
      </c>
      <c r="M243" s="182" t="str">
        <f>IFERROR(LOOKUP(2,1/((A_Corridor!$A$5:$A$204&lt;&gt;"")*(A_Corridor!$A$5:$A$204&lt;=$B243)*(A_Corridor!$B$5:$B$204&gt;$B243)*(A_Corridor!$H$5:$H$204&lt;&gt;"")),IF(A_Corridor!$H$5:$H$204="-","",A_Corridor!$H$5:$H$204)),"")</f>
        <v/>
      </c>
      <c r="N243" s="182" t="str">
        <f>IFERROR(LOOKUP(2,1/((A_Corridor!$A$5:$A$204&lt;&gt;"")*(A_Corridor!$A$5:$A$204&lt;=$B243)*(A_Corridor!$B$5:$B$204&gt;$B243)*(A_Corridor!$I$5:$I$204&lt;&gt;"")),IF(A_Corridor!$I$5:$I$204="-","",A_Corridor!$I$5:$I$204)),"")</f>
        <v/>
      </c>
      <c r="O243" s="182" t="str">
        <f>IFERROR(LOOKUP(2,1/((D_Points!$A$5:$A$204&lt;&gt;"")*(D_Points!$A$5:$A$204&gt;=$B243)*(D_Points!$A$5:$A$204&lt;$B243+P_Interval)*(UPPER(TRIM(D_Points!$B$5:$B$204))="PITCHING")*(D_Points!$H$5:$H$204&lt;&gt;"")),D_Points!$H$5:$H$204),"")</f>
        <v/>
      </c>
      <c r="P243" s="181" t="str">
        <f>IFERROR(LOOKUP(2,1/((B_Drainage!$A$5:$A$204&lt;&gt;"")*(B_Drainage!$A$5:$A$204&lt;=$B243)*(B_Drainage!$B$5:$B$204&gt;$B243)*(B_Drainage!$C$5:$C$204&lt;&gt;"")),IF(B_Drainage!$C$5:$C$204="-","",UPPER(B_Drainage!$C$5:$C$204))),"")</f>
        <v/>
      </c>
      <c r="Q243" s="181" t="str">
        <f>IFERROR(LOOKUP(2,1/((B_Drainage!$A$5:$A$204&lt;&gt;"")*(B_Drainage!$A$5:$A$204&lt;=$B243)*(B_Drainage!$B$5:$B$204&gt;$B243)*(B_Drainage!$D$5:$D$204&lt;&gt;"")),IF(B_Drainage!$D$5:$D$204="-","",UPPER(B_Drainage!$D$5:$D$204))),"")</f>
        <v/>
      </c>
      <c r="R243" s="182" t="str">
        <f>IFERROR(LOOKUP(2,1/((D_Points!$A$5:$A$204&lt;&gt;"")*(D_Points!$A$5:$A$204&gt;=$B243)*(D_Points!$A$5:$A$204&lt;$B243+P_Interval)*(RIGHT(UPPER(TRIM(D_Points!$B$5:$B$204)),8)="_CULVERT")),IF(LEFT(UPPER(TRIM(D_Points!$B$5:$B$204)),2)="EX",1,IF(LEFT(UPPER(TRIM(D_Points!$B$5:$B$204)),2)="PR",2,3))),"")</f>
        <v/>
      </c>
      <c r="S243" s="182" t="str">
        <f>IFERROR(LOOKUP(2,1/((D_Points!$A$5:$A$204&lt;&gt;"")*(D_Points!$A$5:$A$204&gt;=$B243)*(D_Points!$A$5:$A$204&lt;$B243+P_Interval)*(RIGHT(UPPER(TRIM(D_Points!$B$5:$B$204)),7)="_BRIDGE")),IF(LEFT(UPPER(TRIM(D_Points!$B$5:$B$204)),2)="EX",1,IF(LEFT(UPPER(TRIM(D_Points!$B$5:$B$204)),2)="PR",2,2))),"")</f>
        <v/>
      </c>
      <c r="T243" s="181" t="str">
        <f>IFERROR(LOOKUP(2,1/((B_Drainage!$A$5:$A$204&lt;&gt;"")*(B_Drainage!$A$5:$A$204&lt;=$B243)*(B_Drainage!$B$5:$B$204&gt;$B243)*(B_Drainage!$E$5:$E$204&lt;&gt;"")),IF(B_Drainage!$E$5:$E$204="-","",1)),"")</f>
        <v/>
      </c>
      <c r="U243" s="181" t="str">
        <f>IFERROR(LOOKUP(2,1/((B_Drainage!$A$5:$A$204&lt;&gt;"")*(B_Drainage!$A$5:$A$204&lt;=$B243)*(B_Drainage!$B$5:$B$204&gt;$B243)*(B_Drainage!$E$5:$E$204&lt;&gt;"")),IF(B_Drainage!$E$5:$E$204="-","",B_Drainage!$E$5:$E$204)),"")</f>
        <v/>
      </c>
      <c r="V243" s="181" t="str">
        <f>IFERROR(LOOKUP(2,1/((B_Drainage!$A$5:$A$204&lt;&gt;"")*(B_Drainage!$A$5:$A$204&lt;=$B243)*(B_Drainage!$B$5:$B$204&gt;$B243)*(B_Drainage!$F$5:$F$204&lt;&gt;"")),IF(B_Drainage!$F$5:$F$204="-","",1)),"")</f>
        <v/>
      </c>
      <c r="W243" s="181" t="str">
        <f>IFERROR(LOOKUP(2,1/((B_Drainage!$A$5:$A$204&lt;&gt;"")*(B_Drainage!$A$5:$A$204&lt;=$B243)*(B_Drainage!$B$5:$B$204&gt;$B243)*(B_Drainage!$F$5:$F$204&lt;&gt;"")),IF(B_Drainage!$F$5:$F$204="-","",B_Drainage!$F$5:$F$204)),"")</f>
        <v/>
      </c>
      <c r="X243" s="181" t="str">
        <f>IFERROR(LOOKUP(2,1/((B_Drainage!$A$5:$A$204&lt;&gt;"")*(B_Drainage!$A$5:$A$204&lt;=$B243)*(B_Drainage!$B$5:$B$204&gt;$B243)*(B_Drainage!$G$5:$G$204&lt;&gt;"")),IF(UPPER(B_Drainage!$G$5:$G$204)="Y",1,"")),"")</f>
        <v/>
      </c>
      <c r="Y243" s="181" t="str">
        <f>IFERROR(LOOKUP(2,1/((B_Drainage!$A$5:$A$204&lt;&gt;"")*(B_Drainage!$A$5:$A$204&lt;=$B243)*(B_Drainage!$B$5:$B$204&gt;$B243)*(B_Drainage!$H$5:$H$204&lt;&gt;"")),IF(UPPER(B_Drainage!$H$5:$H$204)="Y",1,"")),"")</f>
        <v/>
      </c>
      <c r="Z243" s="181" t="str">
        <f>IFERROR(LOOKUP(2,1/((B_Drainage!$A$5:$A$204&lt;&gt;"")*(B_Drainage!$A$5:$A$204&lt;=$B243)*(B_Drainage!$B$5:$B$204&gt;$B243)*(B_Drainage!$I$5:$I$204&lt;&gt;"")),IF(UPPER(B_Drainage!$I$5:$I$204)="Y",1,"")),"")</f>
        <v/>
      </c>
      <c r="AA243" s="181" t="str">
        <f>IFERROR(LOOKUP(2,1/((B_Drainage!$A$5:$A$204&lt;&gt;"")*(B_Drainage!$A$5:$A$204&lt;=$B243)*(B_Drainage!$B$5:$B$204&gt;$B243)*(B_Drainage!$J$5:$J$204&lt;&gt;"")),IF(UPPER(B_Drainage!$J$5:$J$204)="Y",1,"")),"")</f>
        <v/>
      </c>
      <c r="AB243" s="182" t="str">
        <f>IFERROR(LOOKUP(2,1/((B_Drainage!$A$5:$A$204&lt;&gt;"")*(B_Drainage!$A$5:$A$204&lt;=$B243)*(B_Drainage!$B$5:$B$204&gt;$B243)*(B_Drainage!$K$5:$K$204&lt;&gt;"")),IF(B_Drainage!$K$5:$K$204="-","",B_Drainage!$K$5:$K$204)),"")</f>
        <v/>
      </c>
      <c r="AC243" s="182" t="str">
        <f>IFERROR(LOOKUP(2,1/((B_Drainage!$A$5:$A$204&lt;&gt;"")*(B_Drainage!$A$5:$A$204&lt;=$B243)*(B_Drainage!$B$5:$B$204&gt;$B243)*(B_Drainage!$L$5:$L$204&lt;&gt;"")),IF(B_Drainage!$L$5:$L$204="-","",B_Drainage!$L$5:$L$204)),"")</f>
        <v/>
      </c>
      <c r="AD243" s="182" t="str">
        <f>IFERROR(LOOKUP(2,1/((D_Points!$A$5:$A$204&lt;&gt;"")*(D_Points!$A$5:$A$204&gt;=$B243)*(D_Points!$A$5:$A$204&lt;$B243+P_Interval)*(UPPER(TRIM(D_Points!$B$5:$B$204))="TURNOUT_L")*(D_Points!$H$5:$H$204&lt;&gt;"")),D_Points!$H$5:$H$204),"")</f>
        <v/>
      </c>
      <c r="AE243" s="182" t="str">
        <f>IFERROR(LOOKUP(2,1/((D_Points!$A$5:$A$204&lt;&gt;"")*(D_Points!$A$5:$A$204&gt;=$B243)*(D_Points!$A$5:$A$204&lt;$B243+P_Interval)*(UPPER(TRIM(D_Points!$B$5:$B$204))="TURNOUT_R")*(D_Points!$H$5:$H$204&lt;&gt;"")),D_Points!$H$5:$H$204),"")</f>
        <v/>
      </c>
      <c r="AF243" s="181" t="str">
        <f>IFERROR(LOOKUP(2,1/((B_Drainage!$A$5:$A$204&lt;&gt;"")*(B_Drainage!$A$5:$A$204&lt;=$B243)*(B_Drainage!$B$5:$B$204&gt;$B243)*(B_Drainage!$M$5:$M$204&lt;&gt;"")),IF(UPPER(B_Drainage!$M$5:$M$204)="Y",1,"")),"")</f>
        <v/>
      </c>
      <c r="AG243" s="181" t="str">
        <f>IFERROR(LOOKUP(2,1/((B_Drainage!$A$5:$A$204&lt;&gt;"")*(B_Drainage!$A$5:$A$204&lt;=$B243)*(B_Drainage!$B$5:$B$204&gt;$B243)*(B_Drainage!$N$5:$N$204&lt;&gt;"")),IF(UPPER(B_Drainage!$N$5:$N$204)="Y",1,"")),"")</f>
        <v/>
      </c>
      <c r="AH243" s="181" t="str">
        <f t="shared" si="24"/>
        <v/>
      </c>
      <c r="AI243" s="181" t="str">
        <f t="shared" si="25"/>
        <v/>
      </c>
      <c r="AJ243" s="181" t="str">
        <f t="shared" si="26"/>
        <v/>
      </c>
      <c r="AK243" s="181" t="str">
        <f t="shared" si="27"/>
        <v/>
      </c>
      <c r="AL243" s="181" t="str">
        <f t="shared" si="28"/>
        <v/>
      </c>
      <c r="AM243" s="181" t="str">
        <f t="shared" si="29"/>
        <v/>
      </c>
      <c r="AN243" s="181" t="str">
        <f t="shared" si="30"/>
        <v/>
      </c>
      <c r="AO243" s="192" t="str">
        <f t="shared" si="31"/>
        <v/>
      </c>
      <c r="AQ243" t="str">
        <f>IFERROR(LOOKUP(2,1/((C_Pavement!$A$5:$A$204&lt;&gt;"")*(C_Pavement!$A$5:$A$204&lt;=$B243)*(C_Pavement!$B$5:$B$204&gt;$B243)*(C_Pavement!$C$5:$C$204&lt;&gt;"")),ROW(C_Pavement!$C$5:$C$204)-4),"")</f>
        <v/>
      </c>
      <c r="AR243" t="str">
        <f>IF($AQ243="","",UPPER(TRIM(INDEX(C_Pavement!$C$5:$C$204,$AQ243))))</f>
        <v/>
      </c>
      <c r="AS243" t="str">
        <f>IF($AR243="","",IFERROR(MATCH($AR243,E_Rules!$A$5:$A$9,0),""))</f>
        <v/>
      </c>
      <c r="AT243" t="str">
        <f>IF($AQ243="","",IF(INDEX(C_Pavement!$D$5:$D$204,$AQ243)&lt;&gt;"",UPPER(TRIM(INDEX(C_Pavement!$D$5:$D$204,$AQ243))),IF($AS243="","",INDEX(E_Rules!$C$5:$C$9,$AS243))))</f>
        <v/>
      </c>
      <c r="AU243" t="str">
        <f>IF($AQ243="","",IF(INDEX(C_Pavement!$E$5:$E$204,$AQ243)&lt;&gt;"",IF(INDEX(C_Pavement!$E$5:$E$204,$AQ243)="-","",INDEX(C_Pavement!$E$5:$E$204,$AQ243)),IF($AS243="","",INDEX(E_Rules!$D$5:$D$9,$AS243))))</f>
        <v/>
      </c>
      <c r="AV243" t="str">
        <f>IF($AQ243="","",IF(INDEX(C_Pavement!$F$5:$F$204,$AQ243)&lt;&gt;"",IF(INDEX(C_Pavement!$F$5:$F$204,$AQ243)="-","",INDEX(C_Pavement!$F$5:$F$204,$AQ243)),IF($AS243="","",INDEX(E_Rules!$E$5:$E$9,$AS243))))</f>
        <v/>
      </c>
      <c r="AW243" t="str">
        <f>IF($AQ243="","",IF(INDEX(C_Pavement!$G$5:$G$204,$AQ243)&lt;&gt;"",IF(INDEX(C_Pavement!$G$5:$G$204,$AQ243)="-","",INDEX(C_Pavement!$G$5:$G$204,$AQ243)),IF($AS243="","",INDEX(E_Rules!$F$5:$F$9,$AS243))))</f>
        <v/>
      </c>
      <c r="AX243" t="str">
        <f>IF($AQ243="","",IF(INDEX(C_Pavement!$H$5:$H$204,$AQ243)&lt;&gt;"",IF(INDEX(C_Pavement!$H$5:$H$204,$AQ243)="-","",INDEX(C_Pavement!$H$5:$H$204,$AQ243)),IF($AS243="","",INDEX(E_Rules!$G$5:$G$9,$AS243))))</f>
        <v/>
      </c>
      <c r="AY243" t="str">
        <f>IF($AQ243="","",IF(INDEX(C_Pavement!$I$5:$I$204,$AQ243)&lt;&gt;"",IF(INDEX(C_Pavement!$I$5:$I$204,$AQ243)="-","",INDEX(C_Pavement!$I$5:$I$204,$AQ243)),IF($AS243="","",INDEX(E_Rules!$H$5:$H$9,$AS243))))</f>
        <v/>
      </c>
    </row>
    <row r="244" spans="1:51" ht="15.75" customHeight="1" x14ac:dyDescent="0.3">
      <c r="A244" s="189">
        <v>239</v>
      </c>
      <c r="B244" s="180">
        <v>11900</v>
      </c>
      <c r="C244" s="180" t="s">
        <v>550</v>
      </c>
      <c r="D244" s="181" t="str">
        <f>IFERROR(LOOKUP(2,1/((A_Corridor!$A$5:$A$204&lt;&gt;"")*(A_Corridor!$A$5:$A$204&lt;=$B244)*(A_Corridor!$B$5:$B$204&gt;$B244)*(A_Corridor!$C$5:$C$204&lt;&gt;"")),IF(UPPER(A_Corridor!$C$5:$C$204)="Y",1,"")),"")</f>
        <v/>
      </c>
      <c r="E244" s="181" t="str">
        <f>IFERROR(LOOKUP(2,1/((A_Corridor!$A$5:$A$204&lt;&gt;"")*(A_Corridor!$A$5:$A$204&lt;=$B244)*(A_Corridor!$B$5:$B$204&gt;$B244)*(A_Corridor!$D$5:$D$204&lt;&gt;"")),IF(A_Corridor!$D$5:$D$204="-","",UPPER(A_Corridor!$D$5:$D$204))),"")</f>
        <v/>
      </c>
      <c r="F244" s="181" t="str">
        <f>IFERROR(LOOKUP(2,1/((A_Corridor!$A$5:$A$204&lt;&gt;"")*(A_Corridor!$A$5:$A$204&lt;=$B244)*(A_Corridor!$B$5:$B$204&gt;$B244)*(A_Corridor!$E$5:$E$204&lt;&gt;"")),IF(A_Corridor!$E$5:$E$204="-","",1)),"")</f>
        <v/>
      </c>
      <c r="G244" s="182" t="str">
        <f>IFERROR(LOOKUP(2,1/((A_Corridor!$A$5:$A$204&lt;&gt;"")*(A_Corridor!$A$5:$A$204&lt;=$B244)*(A_Corridor!$B$5:$B$204&gt;$B244)*(A_Corridor!$E$5:$E$204&lt;&gt;"")),IF(A_Corridor!$E$5:$E$204="-","",A_Corridor!$E$5:$E$204)),"")</f>
        <v/>
      </c>
      <c r="H244" s="182" t="str">
        <f>IFERROR(LOOKUP(2,1/((D_Points!$A$5:$A$204&lt;&gt;"")*(D_Points!$A$5:$A$204&gt;=$B244)*(D_Points!$A$5:$A$204&lt;$B244+P_Interval)*(UPPER(TRIM(D_Points!$B$5:$B$204))="GULLY")*(D_Points!$H$5:$H$204&lt;&gt;"")),D_Points!$H$5:$H$204),"")</f>
        <v/>
      </c>
      <c r="I244" s="181" t="str">
        <f>IFERROR(LOOKUP(2,1/((A_Corridor!$A$5:$A$204&lt;&gt;"")*(A_Corridor!$A$5:$A$204&lt;=$B244)*(A_Corridor!$B$5:$B$204&gt;$B244)*(A_Corridor!$F$5:$F$204&lt;&gt;"")),IF(A_Corridor!$F$5:$F$204="-","",1)),"")</f>
        <v/>
      </c>
      <c r="J244" s="182" t="str">
        <f>IFERROR(LOOKUP(2,1/((A_Corridor!$A$5:$A$204&lt;&gt;"")*(A_Corridor!$A$5:$A$204&lt;=$B244)*(A_Corridor!$B$5:$B$204&gt;$B244)*(A_Corridor!$F$5:$F$204&lt;&gt;"")),IF(A_Corridor!$F$5:$F$204="-","",A_Corridor!$F$5:$F$204)),"")</f>
        <v/>
      </c>
      <c r="K244" s="182" t="str">
        <f>IFERROR(LOOKUP(2,1/((A_Corridor!$A$5:$A$204&lt;&gt;"")*(A_Corridor!$A$5:$A$204&lt;=$B244)*(A_Corridor!$B$5:$B$204&gt;$B244)*(A_Corridor!$G$5:$G$204&lt;&gt;"")),IF(A_Corridor!$G$5:$G$204="-","",A_Corridor!$G$5:$G$204)),"")</f>
        <v/>
      </c>
      <c r="L244" s="181" t="str">
        <f>IFERROR(LOOKUP(2,1/((A_Corridor!$A$5:$A$204&lt;&gt;"")*(A_Corridor!$A$5:$A$204&lt;=$B244)*(A_Corridor!$B$5:$B$204&gt;$B244)*(A_Corridor!$H$5:$H$204&lt;&gt;"")),IF(A_Corridor!$H$5:$H$204="-","",1)),"")</f>
        <v/>
      </c>
      <c r="M244" s="182" t="str">
        <f>IFERROR(LOOKUP(2,1/((A_Corridor!$A$5:$A$204&lt;&gt;"")*(A_Corridor!$A$5:$A$204&lt;=$B244)*(A_Corridor!$B$5:$B$204&gt;$B244)*(A_Corridor!$H$5:$H$204&lt;&gt;"")),IF(A_Corridor!$H$5:$H$204="-","",A_Corridor!$H$5:$H$204)),"")</f>
        <v/>
      </c>
      <c r="N244" s="182" t="str">
        <f>IFERROR(LOOKUP(2,1/((A_Corridor!$A$5:$A$204&lt;&gt;"")*(A_Corridor!$A$5:$A$204&lt;=$B244)*(A_Corridor!$B$5:$B$204&gt;$B244)*(A_Corridor!$I$5:$I$204&lt;&gt;"")),IF(A_Corridor!$I$5:$I$204="-","",A_Corridor!$I$5:$I$204)),"")</f>
        <v/>
      </c>
      <c r="O244" s="182" t="str">
        <f>IFERROR(LOOKUP(2,1/((D_Points!$A$5:$A$204&lt;&gt;"")*(D_Points!$A$5:$A$204&gt;=$B244)*(D_Points!$A$5:$A$204&lt;$B244+P_Interval)*(UPPER(TRIM(D_Points!$B$5:$B$204))="PITCHING")*(D_Points!$H$5:$H$204&lt;&gt;"")),D_Points!$H$5:$H$204),"")</f>
        <v/>
      </c>
      <c r="P244" s="181" t="str">
        <f>IFERROR(LOOKUP(2,1/((B_Drainage!$A$5:$A$204&lt;&gt;"")*(B_Drainage!$A$5:$A$204&lt;=$B244)*(B_Drainage!$B$5:$B$204&gt;$B244)*(B_Drainage!$C$5:$C$204&lt;&gt;"")),IF(B_Drainage!$C$5:$C$204="-","",UPPER(B_Drainage!$C$5:$C$204))),"")</f>
        <v/>
      </c>
      <c r="Q244" s="181" t="str">
        <f>IFERROR(LOOKUP(2,1/((B_Drainage!$A$5:$A$204&lt;&gt;"")*(B_Drainage!$A$5:$A$204&lt;=$B244)*(B_Drainage!$B$5:$B$204&gt;$B244)*(B_Drainage!$D$5:$D$204&lt;&gt;"")),IF(B_Drainage!$D$5:$D$204="-","",UPPER(B_Drainage!$D$5:$D$204))),"")</f>
        <v/>
      </c>
      <c r="R244" s="182" t="str">
        <f>IFERROR(LOOKUP(2,1/((D_Points!$A$5:$A$204&lt;&gt;"")*(D_Points!$A$5:$A$204&gt;=$B244)*(D_Points!$A$5:$A$204&lt;$B244+P_Interval)*(RIGHT(UPPER(TRIM(D_Points!$B$5:$B$204)),8)="_CULVERT")),IF(LEFT(UPPER(TRIM(D_Points!$B$5:$B$204)),2)="EX",1,IF(LEFT(UPPER(TRIM(D_Points!$B$5:$B$204)),2)="PR",2,3))),"")</f>
        <v/>
      </c>
      <c r="S244" s="182" t="str">
        <f>IFERROR(LOOKUP(2,1/((D_Points!$A$5:$A$204&lt;&gt;"")*(D_Points!$A$5:$A$204&gt;=$B244)*(D_Points!$A$5:$A$204&lt;$B244+P_Interval)*(RIGHT(UPPER(TRIM(D_Points!$B$5:$B$204)),7)="_BRIDGE")),IF(LEFT(UPPER(TRIM(D_Points!$B$5:$B$204)),2)="EX",1,IF(LEFT(UPPER(TRIM(D_Points!$B$5:$B$204)),2)="PR",2,2))),"")</f>
        <v/>
      </c>
      <c r="T244" s="181" t="str">
        <f>IFERROR(LOOKUP(2,1/((B_Drainage!$A$5:$A$204&lt;&gt;"")*(B_Drainage!$A$5:$A$204&lt;=$B244)*(B_Drainage!$B$5:$B$204&gt;$B244)*(B_Drainage!$E$5:$E$204&lt;&gt;"")),IF(B_Drainage!$E$5:$E$204="-","",1)),"")</f>
        <v/>
      </c>
      <c r="U244" s="181" t="str">
        <f>IFERROR(LOOKUP(2,1/((B_Drainage!$A$5:$A$204&lt;&gt;"")*(B_Drainage!$A$5:$A$204&lt;=$B244)*(B_Drainage!$B$5:$B$204&gt;$B244)*(B_Drainage!$E$5:$E$204&lt;&gt;"")),IF(B_Drainage!$E$5:$E$204="-","",B_Drainage!$E$5:$E$204)),"")</f>
        <v/>
      </c>
      <c r="V244" s="181" t="str">
        <f>IFERROR(LOOKUP(2,1/((B_Drainage!$A$5:$A$204&lt;&gt;"")*(B_Drainage!$A$5:$A$204&lt;=$B244)*(B_Drainage!$B$5:$B$204&gt;$B244)*(B_Drainage!$F$5:$F$204&lt;&gt;"")),IF(B_Drainage!$F$5:$F$204="-","",1)),"")</f>
        <v/>
      </c>
      <c r="W244" s="181" t="str">
        <f>IFERROR(LOOKUP(2,1/((B_Drainage!$A$5:$A$204&lt;&gt;"")*(B_Drainage!$A$5:$A$204&lt;=$B244)*(B_Drainage!$B$5:$B$204&gt;$B244)*(B_Drainage!$F$5:$F$204&lt;&gt;"")),IF(B_Drainage!$F$5:$F$204="-","",B_Drainage!$F$5:$F$204)),"")</f>
        <v/>
      </c>
      <c r="X244" s="181" t="str">
        <f>IFERROR(LOOKUP(2,1/((B_Drainage!$A$5:$A$204&lt;&gt;"")*(B_Drainage!$A$5:$A$204&lt;=$B244)*(B_Drainage!$B$5:$B$204&gt;$B244)*(B_Drainage!$G$5:$G$204&lt;&gt;"")),IF(UPPER(B_Drainage!$G$5:$G$204)="Y",1,"")),"")</f>
        <v/>
      </c>
      <c r="Y244" s="181" t="str">
        <f>IFERROR(LOOKUP(2,1/((B_Drainage!$A$5:$A$204&lt;&gt;"")*(B_Drainage!$A$5:$A$204&lt;=$B244)*(B_Drainage!$B$5:$B$204&gt;$B244)*(B_Drainage!$H$5:$H$204&lt;&gt;"")),IF(UPPER(B_Drainage!$H$5:$H$204)="Y",1,"")),"")</f>
        <v/>
      </c>
      <c r="Z244" s="181" t="str">
        <f>IFERROR(LOOKUP(2,1/((B_Drainage!$A$5:$A$204&lt;&gt;"")*(B_Drainage!$A$5:$A$204&lt;=$B244)*(B_Drainage!$B$5:$B$204&gt;$B244)*(B_Drainage!$I$5:$I$204&lt;&gt;"")),IF(UPPER(B_Drainage!$I$5:$I$204)="Y",1,"")),"")</f>
        <v/>
      </c>
      <c r="AA244" s="181" t="str">
        <f>IFERROR(LOOKUP(2,1/((B_Drainage!$A$5:$A$204&lt;&gt;"")*(B_Drainage!$A$5:$A$204&lt;=$B244)*(B_Drainage!$B$5:$B$204&gt;$B244)*(B_Drainage!$J$5:$J$204&lt;&gt;"")),IF(UPPER(B_Drainage!$J$5:$J$204)="Y",1,"")),"")</f>
        <v/>
      </c>
      <c r="AB244" s="182" t="str">
        <f>IFERROR(LOOKUP(2,1/((B_Drainage!$A$5:$A$204&lt;&gt;"")*(B_Drainage!$A$5:$A$204&lt;=$B244)*(B_Drainage!$B$5:$B$204&gt;$B244)*(B_Drainage!$K$5:$K$204&lt;&gt;"")),IF(B_Drainage!$K$5:$K$204="-","",B_Drainage!$K$5:$K$204)),"")</f>
        <v/>
      </c>
      <c r="AC244" s="182" t="str">
        <f>IFERROR(LOOKUP(2,1/((B_Drainage!$A$5:$A$204&lt;&gt;"")*(B_Drainage!$A$5:$A$204&lt;=$B244)*(B_Drainage!$B$5:$B$204&gt;$B244)*(B_Drainage!$L$5:$L$204&lt;&gt;"")),IF(B_Drainage!$L$5:$L$204="-","",B_Drainage!$L$5:$L$204)),"")</f>
        <v/>
      </c>
      <c r="AD244" s="182" t="str">
        <f>IFERROR(LOOKUP(2,1/((D_Points!$A$5:$A$204&lt;&gt;"")*(D_Points!$A$5:$A$204&gt;=$B244)*(D_Points!$A$5:$A$204&lt;$B244+P_Interval)*(UPPER(TRIM(D_Points!$B$5:$B$204))="TURNOUT_L")*(D_Points!$H$5:$H$204&lt;&gt;"")),D_Points!$H$5:$H$204),"")</f>
        <v/>
      </c>
      <c r="AE244" s="182" t="str">
        <f>IFERROR(LOOKUP(2,1/((D_Points!$A$5:$A$204&lt;&gt;"")*(D_Points!$A$5:$A$204&gt;=$B244)*(D_Points!$A$5:$A$204&lt;$B244+P_Interval)*(UPPER(TRIM(D_Points!$B$5:$B$204))="TURNOUT_R")*(D_Points!$H$5:$H$204&lt;&gt;"")),D_Points!$H$5:$H$204),"")</f>
        <v/>
      </c>
      <c r="AF244" s="181" t="str">
        <f>IFERROR(LOOKUP(2,1/((B_Drainage!$A$5:$A$204&lt;&gt;"")*(B_Drainage!$A$5:$A$204&lt;=$B244)*(B_Drainage!$B$5:$B$204&gt;$B244)*(B_Drainage!$M$5:$M$204&lt;&gt;"")),IF(UPPER(B_Drainage!$M$5:$M$204)="Y",1,"")),"")</f>
        <v/>
      </c>
      <c r="AG244" s="181" t="str">
        <f>IFERROR(LOOKUP(2,1/((B_Drainage!$A$5:$A$204&lt;&gt;"")*(B_Drainage!$A$5:$A$204&lt;=$B244)*(B_Drainage!$B$5:$B$204&gt;$B244)*(B_Drainage!$N$5:$N$204&lt;&gt;"")),IF(UPPER(B_Drainage!$N$5:$N$204)="Y",1,"")),"")</f>
        <v/>
      </c>
      <c r="AH244" s="181" t="str">
        <f t="shared" si="24"/>
        <v/>
      </c>
      <c r="AI244" s="181" t="str">
        <f t="shared" si="25"/>
        <v/>
      </c>
      <c r="AJ244" s="181" t="str">
        <f t="shared" si="26"/>
        <v/>
      </c>
      <c r="AK244" s="181" t="str">
        <f t="shared" si="27"/>
        <v/>
      </c>
      <c r="AL244" s="181" t="str">
        <f t="shared" si="28"/>
        <v/>
      </c>
      <c r="AM244" s="181" t="str">
        <f t="shared" si="29"/>
        <v/>
      </c>
      <c r="AN244" s="181" t="str">
        <f t="shared" si="30"/>
        <v/>
      </c>
      <c r="AO244" s="192" t="str">
        <f t="shared" si="31"/>
        <v/>
      </c>
      <c r="AQ244" t="str">
        <f>IFERROR(LOOKUP(2,1/((C_Pavement!$A$5:$A$204&lt;&gt;"")*(C_Pavement!$A$5:$A$204&lt;=$B244)*(C_Pavement!$B$5:$B$204&gt;$B244)*(C_Pavement!$C$5:$C$204&lt;&gt;"")),ROW(C_Pavement!$C$5:$C$204)-4),"")</f>
        <v/>
      </c>
      <c r="AR244" t="str">
        <f>IF($AQ244="","",UPPER(TRIM(INDEX(C_Pavement!$C$5:$C$204,$AQ244))))</f>
        <v/>
      </c>
      <c r="AS244" t="str">
        <f>IF($AR244="","",IFERROR(MATCH($AR244,E_Rules!$A$5:$A$9,0),""))</f>
        <v/>
      </c>
      <c r="AT244" t="str">
        <f>IF($AQ244="","",IF(INDEX(C_Pavement!$D$5:$D$204,$AQ244)&lt;&gt;"",UPPER(TRIM(INDEX(C_Pavement!$D$5:$D$204,$AQ244))),IF($AS244="","",INDEX(E_Rules!$C$5:$C$9,$AS244))))</f>
        <v/>
      </c>
      <c r="AU244" t="str">
        <f>IF($AQ244="","",IF(INDEX(C_Pavement!$E$5:$E$204,$AQ244)&lt;&gt;"",IF(INDEX(C_Pavement!$E$5:$E$204,$AQ244)="-","",INDEX(C_Pavement!$E$5:$E$204,$AQ244)),IF($AS244="","",INDEX(E_Rules!$D$5:$D$9,$AS244))))</f>
        <v/>
      </c>
      <c r="AV244" t="str">
        <f>IF($AQ244="","",IF(INDEX(C_Pavement!$F$5:$F$204,$AQ244)&lt;&gt;"",IF(INDEX(C_Pavement!$F$5:$F$204,$AQ244)="-","",INDEX(C_Pavement!$F$5:$F$204,$AQ244)),IF($AS244="","",INDEX(E_Rules!$E$5:$E$9,$AS244))))</f>
        <v/>
      </c>
      <c r="AW244" t="str">
        <f>IF($AQ244="","",IF(INDEX(C_Pavement!$G$5:$G$204,$AQ244)&lt;&gt;"",IF(INDEX(C_Pavement!$G$5:$G$204,$AQ244)="-","",INDEX(C_Pavement!$G$5:$G$204,$AQ244)),IF($AS244="","",INDEX(E_Rules!$F$5:$F$9,$AS244))))</f>
        <v/>
      </c>
      <c r="AX244" t="str">
        <f>IF($AQ244="","",IF(INDEX(C_Pavement!$H$5:$H$204,$AQ244)&lt;&gt;"",IF(INDEX(C_Pavement!$H$5:$H$204,$AQ244)="-","",INDEX(C_Pavement!$H$5:$H$204,$AQ244)),IF($AS244="","",INDEX(E_Rules!$G$5:$G$9,$AS244))))</f>
        <v/>
      </c>
      <c r="AY244" t="str">
        <f>IF($AQ244="","",IF(INDEX(C_Pavement!$I$5:$I$204,$AQ244)&lt;&gt;"",IF(INDEX(C_Pavement!$I$5:$I$204,$AQ244)="-","",INDEX(C_Pavement!$I$5:$I$204,$AQ244)),IF($AS244="","",INDEX(E_Rules!$H$5:$H$9,$AS244))))</f>
        <v/>
      </c>
    </row>
    <row r="245" spans="1:51" ht="15.75" customHeight="1" x14ac:dyDescent="0.3">
      <c r="A245" s="189">
        <v>240</v>
      </c>
      <c r="B245" s="180">
        <v>11950</v>
      </c>
      <c r="C245" s="180" t="s">
        <v>551</v>
      </c>
      <c r="D245" s="181" t="str">
        <f>IFERROR(LOOKUP(2,1/((A_Corridor!$A$5:$A$204&lt;&gt;"")*(A_Corridor!$A$5:$A$204&lt;=$B245)*(A_Corridor!$B$5:$B$204&gt;$B245)*(A_Corridor!$C$5:$C$204&lt;&gt;"")),IF(UPPER(A_Corridor!$C$5:$C$204)="Y",1,"")),"")</f>
        <v/>
      </c>
      <c r="E245" s="181" t="str">
        <f>IFERROR(LOOKUP(2,1/((A_Corridor!$A$5:$A$204&lt;&gt;"")*(A_Corridor!$A$5:$A$204&lt;=$B245)*(A_Corridor!$B$5:$B$204&gt;$B245)*(A_Corridor!$D$5:$D$204&lt;&gt;"")),IF(A_Corridor!$D$5:$D$204="-","",UPPER(A_Corridor!$D$5:$D$204))),"")</f>
        <v/>
      </c>
      <c r="F245" s="181" t="str">
        <f>IFERROR(LOOKUP(2,1/((A_Corridor!$A$5:$A$204&lt;&gt;"")*(A_Corridor!$A$5:$A$204&lt;=$B245)*(A_Corridor!$B$5:$B$204&gt;$B245)*(A_Corridor!$E$5:$E$204&lt;&gt;"")),IF(A_Corridor!$E$5:$E$204="-","",1)),"")</f>
        <v/>
      </c>
      <c r="G245" s="182" t="str">
        <f>IFERROR(LOOKUP(2,1/((A_Corridor!$A$5:$A$204&lt;&gt;"")*(A_Corridor!$A$5:$A$204&lt;=$B245)*(A_Corridor!$B$5:$B$204&gt;$B245)*(A_Corridor!$E$5:$E$204&lt;&gt;"")),IF(A_Corridor!$E$5:$E$204="-","",A_Corridor!$E$5:$E$204)),"")</f>
        <v/>
      </c>
      <c r="H245" s="182" t="str">
        <f>IFERROR(LOOKUP(2,1/((D_Points!$A$5:$A$204&lt;&gt;"")*(D_Points!$A$5:$A$204&gt;=$B245)*(D_Points!$A$5:$A$204&lt;$B245+P_Interval)*(UPPER(TRIM(D_Points!$B$5:$B$204))="GULLY")*(D_Points!$H$5:$H$204&lt;&gt;"")),D_Points!$H$5:$H$204),"")</f>
        <v/>
      </c>
      <c r="I245" s="181" t="str">
        <f>IFERROR(LOOKUP(2,1/((A_Corridor!$A$5:$A$204&lt;&gt;"")*(A_Corridor!$A$5:$A$204&lt;=$B245)*(A_Corridor!$B$5:$B$204&gt;$B245)*(A_Corridor!$F$5:$F$204&lt;&gt;"")),IF(A_Corridor!$F$5:$F$204="-","",1)),"")</f>
        <v/>
      </c>
      <c r="J245" s="182" t="str">
        <f>IFERROR(LOOKUP(2,1/((A_Corridor!$A$5:$A$204&lt;&gt;"")*(A_Corridor!$A$5:$A$204&lt;=$B245)*(A_Corridor!$B$5:$B$204&gt;$B245)*(A_Corridor!$F$5:$F$204&lt;&gt;"")),IF(A_Corridor!$F$5:$F$204="-","",A_Corridor!$F$5:$F$204)),"")</f>
        <v/>
      </c>
      <c r="K245" s="182" t="str">
        <f>IFERROR(LOOKUP(2,1/((A_Corridor!$A$5:$A$204&lt;&gt;"")*(A_Corridor!$A$5:$A$204&lt;=$B245)*(A_Corridor!$B$5:$B$204&gt;$B245)*(A_Corridor!$G$5:$G$204&lt;&gt;"")),IF(A_Corridor!$G$5:$G$204="-","",A_Corridor!$G$5:$G$204)),"")</f>
        <v/>
      </c>
      <c r="L245" s="181" t="str">
        <f>IFERROR(LOOKUP(2,1/((A_Corridor!$A$5:$A$204&lt;&gt;"")*(A_Corridor!$A$5:$A$204&lt;=$B245)*(A_Corridor!$B$5:$B$204&gt;$B245)*(A_Corridor!$H$5:$H$204&lt;&gt;"")),IF(A_Corridor!$H$5:$H$204="-","",1)),"")</f>
        <v/>
      </c>
      <c r="M245" s="182" t="str">
        <f>IFERROR(LOOKUP(2,1/((A_Corridor!$A$5:$A$204&lt;&gt;"")*(A_Corridor!$A$5:$A$204&lt;=$B245)*(A_Corridor!$B$5:$B$204&gt;$B245)*(A_Corridor!$H$5:$H$204&lt;&gt;"")),IF(A_Corridor!$H$5:$H$204="-","",A_Corridor!$H$5:$H$204)),"")</f>
        <v/>
      </c>
      <c r="N245" s="182" t="str">
        <f>IFERROR(LOOKUP(2,1/((A_Corridor!$A$5:$A$204&lt;&gt;"")*(A_Corridor!$A$5:$A$204&lt;=$B245)*(A_Corridor!$B$5:$B$204&gt;$B245)*(A_Corridor!$I$5:$I$204&lt;&gt;"")),IF(A_Corridor!$I$5:$I$204="-","",A_Corridor!$I$5:$I$204)),"")</f>
        <v/>
      </c>
      <c r="O245" s="182" t="str">
        <f>IFERROR(LOOKUP(2,1/((D_Points!$A$5:$A$204&lt;&gt;"")*(D_Points!$A$5:$A$204&gt;=$B245)*(D_Points!$A$5:$A$204&lt;$B245+P_Interval)*(UPPER(TRIM(D_Points!$B$5:$B$204))="PITCHING")*(D_Points!$H$5:$H$204&lt;&gt;"")),D_Points!$H$5:$H$204),"")</f>
        <v/>
      </c>
      <c r="P245" s="181" t="str">
        <f>IFERROR(LOOKUP(2,1/((B_Drainage!$A$5:$A$204&lt;&gt;"")*(B_Drainage!$A$5:$A$204&lt;=$B245)*(B_Drainage!$B$5:$B$204&gt;$B245)*(B_Drainage!$C$5:$C$204&lt;&gt;"")),IF(B_Drainage!$C$5:$C$204="-","",UPPER(B_Drainage!$C$5:$C$204))),"")</f>
        <v/>
      </c>
      <c r="Q245" s="181" t="str">
        <f>IFERROR(LOOKUP(2,1/((B_Drainage!$A$5:$A$204&lt;&gt;"")*(B_Drainage!$A$5:$A$204&lt;=$B245)*(B_Drainage!$B$5:$B$204&gt;$B245)*(B_Drainage!$D$5:$D$204&lt;&gt;"")),IF(B_Drainage!$D$5:$D$204="-","",UPPER(B_Drainage!$D$5:$D$204))),"")</f>
        <v/>
      </c>
      <c r="R245" s="182" t="str">
        <f>IFERROR(LOOKUP(2,1/((D_Points!$A$5:$A$204&lt;&gt;"")*(D_Points!$A$5:$A$204&gt;=$B245)*(D_Points!$A$5:$A$204&lt;$B245+P_Interval)*(RIGHT(UPPER(TRIM(D_Points!$B$5:$B$204)),8)="_CULVERT")),IF(LEFT(UPPER(TRIM(D_Points!$B$5:$B$204)),2)="EX",1,IF(LEFT(UPPER(TRIM(D_Points!$B$5:$B$204)),2)="PR",2,3))),"")</f>
        <v/>
      </c>
      <c r="S245" s="182" t="str">
        <f>IFERROR(LOOKUP(2,1/((D_Points!$A$5:$A$204&lt;&gt;"")*(D_Points!$A$5:$A$204&gt;=$B245)*(D_Points!$A$5:$A$204&lt;$B245+P_Interval)*(RIGHT(UPPER(TRIM(D_Points!$B$5:$B$204)),7)="_BRIDGE")),IF(LEFT(UPPER(TRIM(D_Points!$B$5:$B$204)),2)="EX",1,IF(LEFT(UPPER(TRIM(D_Points!$B$5:$B$204)),2)="PR",2,2))),"")</f>
        <v/>
      </c>
      <c r="T245" s="181" t="str">
        <f>IFERROR(LOOKUP(2,1/((B_Drainage!$A$5:$A$204&lt;&gt;"")*(B_Drainage!$A$5:$A$204&lt;=$B245)*(B_Drainage!$B$5:$B$204&gt;$B245)*(B_Drainage!$E$5:$E$204&lt;&gt;"")),IF(B_Drainage!$E$5:$E$204="-","",1)),"")</f>
        <v/>
      </c>
      <c r="U245" s="181" t="str">
        <f>IFERROR(LOOKUP(2,1/((B_Drainage!$A$5:$A$204&lt;&gt;"")*(B_Drainage!$A$5:$A$204&lt;=$B245)*(B_Drainage!$B$5:$B$204&gt;$B245)*(B_Drainage!$E$5:$E$204&lt;&gt;"")),IF(B_Drainage!$E$5:$E$204="-","",B_Drainage!$E$5:$E$204)),"")</f>
        <v/>
      </c>
      <c r="V245" s="181" t="str">
        <f>IFERROR(LOOKUP(2,1/((B_Drainage!$A$5:$A$204&lt;&gt;"")*(B_Drainage!$A$5:$A$204&lt;=$B245)*(B_Drainage!$B$5:$B$204&gt;$B245)*(B_Drainage!$F$5:$F$204&lt;&gt;"")),IF(B_Drainage!$F$5:$F$204="-","",1)),"")</f>
        <v/>
      </c>
      <c r="W245" s="181" t="str">
        <f>IFERROR(LOOKUP(2,1/((B_Drainage!$A$5:$A$204&lt;&gt;"")*(B_Drainage!$A$5:$A$204&lt;=$B245)*(B_Drainage!$B$5:$B$204&gt;$B245)*(B_Drainage!$F$5:$F$204&lt;&gt;"")),IF(B_Drainage!$F$5:$F$204="-","",B_Drainage!$F$5:$F$204)),"")</f>
        <v/>
      </c>
      <c r="X245" s="181" t="str">
        <f>IFERROR(LOOKUP(2,1/((B_Drainage!$A$5:$A$204&lt;&gt;"")*(B_Drainage!$A$5:$A$204&lt;=$B245)*(B_Drainage!$B$5:$B$204&gt;$B245)*(B_Drainage!$G$5:$G$204&lt;&gt;"")),IF(UPPER(B_Drainage!$G$5:$G$204)="Y",1,"")),"")</f>
        <v/>
      </c>
      <c r="Y245" s="181" t="str">
        <f>IFERROR(LOOKUP(2,1/((B_Drainage!$A$5:$A$204&lt;&gt;"")*(B_Drainage!$A$5:$A$204&lt;=$B245)*(B_Drainage!$B$5:$B$204&gt;$B245)*(B_Drainage!$H$5:$H$204&lt;&gt;"")),IF(UPPER(B_Drainage!$H$5:$H$204)="Y",1,"")),"")</f>
        <v/>
      </c>
      <c r="Z245" s="181" t="str">
        <f>IFERROR(LOOKUP(2,1/((B_Drainage!$A$5:$A$204&lt;&gt;"")*(B_Drainage!$A$5:$A$204&lt;=$B245)*(B_Drainage!$B$5:$B$204&gt;$B245)*(B_Drainage!$I$5:$I$204&lt;&gt;"")),IF(UPPER(B_Drainage!$I$5:$I$204)="Y",1,"")),"")</f>
        <v/>
      </c>
      <c r="AA245" s="181" t="str">
        <f>IFERROR(LOOKUP(2,1/((B_Drainage!$A$5:$A$204&lt;&gt;"")*(B_Drainage!$A$5:$A$204&lt;=$B245)*(B_Drainage!$B$5:$B$204&gt;$B245)*(B_Drainage!$J$5:$J$204&lt;&gt;"")),IF(UPPER(B_Drainage!$J$5:$J$204)="Y",1,"")),"")</f>
        <v/>
      </c>
      <c r="AB245" s="182" t="str">
        <f>IFERROR(LOOKUP(2,1/((B_Drainage!$A$5:$A$204&lt;&gt;"")*(B_Drainage!$A$5:$A$204&lt;=$B245)*(B_Drainage!$B$5:$B$204&gt;$B245)*(B_Drainage!$K$5:$K$204&lt;&gt;"")),IF(B_Drainage!$K$5:$K$204="-","",B_Drainage!$K$5:$K$204)),"")</f>
        <v/>
      </c>
      <c r="AC245" s="182" t="str">
        <f>IFERROR(LOOKUP(2,1/((B_Drainage!$A$5:$A$204&lt;&gt;"")*(B_Drainage!$A$5:$A$204&lt;=$B245)*(B_Drainage!$B$5:$B$204&gt;$B245)*(B_Drainage!$L$5:$L$204&lt;&gt;"")),IF(B_Drainage!$L$5:$L$204="-","",B_Drainage!$L$5:$L$204)),"")</f>
        <v/>
      </c>
      <c r="AD245" s="182" t="str">
        <f>IFERROR(LOOKUP(2,1/((D_Points!$A$5:$A$204&lt;&gt;"")*(D_Points!$A$5:$A$204&gt;=$B245)*(D_Points!$A$5:$A$204&lt;$B245+P_Interval)*(UPPER(TRIM(D_Points!$B$5:$B$204))="TURNOUT_L")*(D_Points!$H$5:$H$204&lt;&gt;"")),D_Points!$H$5:$H$204),"")</f>
        <v/>
      </c>
      <c r="AE245" s="182" t="str">
        <f>IFERROR(LOOKUP(2,1/((D_Points!$A$5:$A$204&lt;&gt;"")*(D_Points!$A$5:$A$204&gt;=$B245)*(D_Points!$A$5:$A$204&lt;$B245+P_Interval)*(UPPER(TRIM(D_Points!$B$5:$B$204))="TURNOUT_R")*(D_Points!$H$5:$H$204&lt;&gt;"")),D_Points!$H$5:$H$204),"")</f>
        <v/>
      </c>
      <c r="AF245" s="181" t="str">
        <f>IFERROR(LOOKUP(2,1/((B_Drainage!$A$5:$A$204&lt;&gt;"")*(B_Drainage!$A$5:$A$204&lt;=$B245)*(B_Drainage!$B$5:$B$204&gt;$B245)*(B_Drainage!$M$5:$M$204&lt;&gt;"")),IF(UPPER(B_Drainage!$M$5:$M$204)="Y",1,"")),"")</f>
        <v/>
      </c>
      <c r="AG245" s="181" t="str">
        <f>IFERROR(LOOKUP(2,1/((B_Drainage!$A$5:$A$204&lt;&gt;"")*(B_Drainage!$A$5:$A$204&lt;=$B245)*(B_Drainage!$B$5:$B$204&gt;$B245)*(B_Drainage!$N$5:$N$204&lt;&gt;"")),IF(UPPER(B_Drainage!$N$5:$N$204)="Y",1,"")),"")</f>
        <v/>
      </c>
      <c r="AH245" s="181" t="str">
        <f t="shared" si="24"/>
        <v/>
      </c>
      <c r="AI245" s="181" t="str">
        <f t="shared" si="25"/>
        <v/>
      </c>
      <c r="AJ245" s="181" t="str">
        <f t="shared" si="26"/>
        <v/>
      </c>
      <c r="AK245" s="181" t="str">
        <f t="shared" si="27"/>
        <v/>
      </c>
      <c r="AL245" s="181" t="str">
        <f t="shared" si="28"/>
        <v/>
      </c>
      <c r="AM245" s="181" t="str">
        <f t="shared" si="29"/>
        <v/>
      </c>
      <c r="AN245" s="181" t="str">
        <f t="shared" si="30"/>
        <v/>
      </c>
      <c r="AO245" s="192" t="str">
        <f t="shared" si="31"/>
        <v/>
      </c>
      <c r="AQ245" t="str">
        <f>IFERROR(LOOKUP(2,1/((C_Pavement!$A$5:$A$204&lt;&gt;"")*(C_Pavement!$A$5:$A$204&lt;=$B245)*(C_Pavement!$B$5:$B$204&gt;$B245)*(C_Pavement!$C$5:$C$204&lt;&gt;"")),ROW(C_Pavement!$C$5:$C$204)-4),"")</f>
        <v/>
      </c>
      <c r="AR245" t="str">
        <f>IF($AQ245="","",UPPER(TRIM(INDEX(C_Pavement!$C$5:$C$204,$AQ245))))</f>
        <v/>
      </c>
      <c r="AS245" t="str">
        <f>IF($AR245="","",IFERROR(MATCH($AR245,E_Rules!$A$5:$A$9,0),""))</f>
        <v/>
      </c>
      <c r="AT245" t="str">
        <f>IF($AQ245="","",IF(INDEX(C_Pavement!$D$5:$D$204,$AQ245)&lt;&gt;"",UPPER(TRIM(INDEX(C_Pavement!$D$5:$D$204,$AQ245))),IF($AS245="","",INDEX(E_Rules!$C$5:$C$9,$AS245))))</f>
        <v/>
      </c>
      <c r="AU245" t="str">
        <f>IF($AQ245="","",IF(INDEX(C_Pavement!$E$5:$E$204,$AQ245)&lt;&gt;"",IF(INDEX(C_Pavement!$E$5:$E$204,$AQ245)="-","",INDEX(C_Pavement!$E$5:$E$204,$AQ245)),IF($AS245="","",INDEX(E_Rules!$D$5:$D$9,$AS245))))</f>
        <v/>
      </c>
      <c r="AV245" t="str">
        <f>IF($AQ245="","",IF(INDEX(C_Pavement!$F$5:$F$204,$AQ245)&lt;&gt;"",IF(INDEX(C_Pavement!$F$5:$F$204,$AQ245)="-","",INDEX(C_Pavement!$F$5:$F$204,$AQ245)),IF($AS245="","",INDEX(E_Rules!$E$5:$E$9,$AS245))))</f>
        <v/>
      </c>
      <c r="AW245" t="str">
        <f>IF($AQ245="","",IF(INDEX(C_Pavement!$G$5:$G$204,$AQ245)&lt;&gt;"",IF(INDEX(C_Pavement!$G$5:$G$204,$AQ245)="-","",INDEX(C_Pavement!$G$5:$G$204,$AQ245)),IF($AS245="","",INDEX(E_Rules!$F$5:$F$9,$AS245))))</f>
        <v/>
      </c>
      <c r="AX245" t="str">
        <f>IF($AQ245="","",IF(INDEX(C_Pavement!$H$5:$H$204,$AQ245)&lt;&gt;"",IF(INDEX(C_Pavement!$H$5:$H$204,$AQ245)="-","",INDEX(C_Pavement!$H$5:$H$204,$AQ245)),IF($AS245="","",INDEX(E_Rules!$G$5:$G$9,$AS245))))</f>
        <v/>
      </c>
      <c r="AY245" t="str">
        <f>IF($AQ245="","",IF(INDEX(C_Pavement!$I$5:$I$204,$AQ245)&lt;&gt;"",IF(INDEX(C_Pavement!$I$5:$I$204,$AQ245)="-","",INDEX(C_Pavement!$I$5:$I$204,$AQ245)),IF($AS245="","",INDEX(E_Rules!$H$5:$H$9,$AS245))))</f>
        <v/>
      </c>
    </row>
    <row r="246" spans="1:51" ht="15.75" customHeight="1" x14ac:dyDescent="0.3">
      <c r="A246" s="189">
        <v>241</v>
      </c>
      <c r="B246" s="180">
        <v>12000</v>
      </c>
      <c r="C246" s="180" t="s">
        <v>552</v>
      </c>
      <c r="D246" s="181" t="str">
        <f>IFERROR(LOOKUP(2,1/((A_Corridor!$A$5:$A$204&lt;&gt;"")*(A_Corridor!$A$5:$A$204&lt;=$B246)*(A_Corridor!$B$5:$B$204&gt;$B246)*(A_Corridor!$C$5:$C$204&lt;&gt;"")),IF(UPPER(A_Corridor!$C$5:$C$204)="Y",1,"")),"")</f>
        <v/>
      </c>
      <c r="E246" s="181" t="str">
        <f>IFERROR(LOOKUP(2,1/((A_Corridor!$A$5:$A$204&lt;&gt;"")*(A_Corridor!$A$5:$A$204&lt;=$B246)*(A_Corridor!$B$5:$B$204&gt;$B246)*(A_Corridor!$D$5:$D$204&lt;&gt;"")),IF(A_Corridor!$D$5:$D$204="-","",UPPER(A_Corridor!$D$5:$D$204))),"")</f>
        <v/>
      </c>
      <c r="F246" s="181" t="str">
        <f>IFERROR(LOOKUP(2,1/((A_Corridor!$A$5:$A$204&lt;&gt;"")*(A_Corridor!$A$5:$A$204&lt;=$B246)*(A_Corridor!$B$5:$B$204&gt;$B246)*(A_Corridor!$E$5:$E$204&lt;&gt;"")),IF(A_Corridor!$E$5:$E$204="-","",1)),"")</f>
        <v/>
      </c>
      <c r="G246" s="182" t="str">
        <f>IFERROR(LOOKUP(2,1/((A_Corridor!$A$5:$A$204&lt;&gt;"")*(A_Corridor!$A$5:$A$204&lt;=$B246)*(A_Corridor!$B$5:$B$204&gt;$B246)*(A_Corridor!$E$5:$E$204&lt;&gt;"")),IF(A_Corridor!$E$5:$E$204="-","",A_Corridor!$E$5:$E$204)),"")</f>
        <v/>
      </c>
      <c r="H246" s="182" t="str">
        <f>IFERROR(LOOKUP(2,1/((D_Points!$A$5:$A$204&lt;&gt;"")*(D_Points!$A$5:$A$204&gt;=$B246)*(D_Points!$A$5:$A$204&lt;$B246+P_Interval)*(UPPER(TRIM(D_Points!$B$5:$B$204))="GULLY")*(D_Points!$H$5:$H$204&lt;&gt;"")),D_Points!$H$5:$H$204),"")</f>
        <v/>
      </c>
      <c r="I246" s="181" t="str">
        <f>IFERROR(LOOKUP(2,1/((A_Corridor!$A$5:$A$204&lt;&gt;"")*(A_Corridor!$A$5:$A$204&lt;=$B246)*(A_Corridor!$B$5:$B$204&gt;$B246)*(A_Corridor!$F$5:$F$204&lt;&gt;"")),IF(A_Corridor!$F$5:$F$204="-","",1)),"")</f>
        <v/>
      </c>
      <c r="J246" s="182" t="str">
        <f>IFERROR(LOOKUP(2,1/((A_Corridor!$A$5:$A$204&lt;&gt;"")*(A_Corridor!$A$5:$A$204&lt;=$B246)*(A_Corridor!$B$5:$B$204&gt;$B246)*(A_Corridor!$F$5:$F$204&lt;&gt;"")),IF(A_Corridor!$F$5:$F$204="-","",A_Corridor!$F$5:$F$204)),"")</f>
        <v/>
      </c>
      <c r="K246" s="182" t="str">
        <f>IFERROR(LOOKUP(2,1/((A_Corridor!$A$5:$A$204&lt;&gt;"")*(A_Corridor!$A$5:$A$204&lt;=$B246)*(A_Corridor!$B$5:$B$204&gt;$B246)*(A_Corridor!$G$5:$G$204&lt;&gt;"")),IF(A_Corridor!$G$5:$G$204="-","",A_Corridor!$G$5:$G$204)),"")</f>
        <v/>
      </c>
      <c r="L246" s="181" t="str">
        <f>IFERROR(LOOKUP(2,1/((A_Corridor!$A$5:$A$204&lt;&gt;"")*(A_Corridor!$A$5:$A$204&lt;=$B246)*(A_Corridor!$B$5:$B$204&gt;$B246)*(A_Corridor!$H$5:$H$204&lt;&gt;"")),IF(A_Corridor!$H$5:$H$204="-","",1)),"")</f>
        <v/>
      </c>
      <c r="M246" s="182" t="str">
        <f>IFERROR(LOOKUP(2,1/((A_Corridor!$A$5:$A$204&lt;&gt;"")*(A_Corridor!$A$5:$A$204&lt;=$B246)*(A_Corridor!$B$5:$B$204&gt;$B246)*(A_Corridor!$H$5:$H$204&lt;&gt;"")),IF(A_Corridor!$H$5:$H$204="-","",A_Corridor!$H$5:$H$204)),"")</f>
        <v/>
      </c>
      <c r="N246" s="182" t="str">
        <f>IFERROR(LOOKUP(2,1/((A_Corridor!$A$5:$A$204&lt;&gt;"")*(A_Corridor!$A$5:$A$204&lt;=$B246)*(A_Corridor!$B$5:$B$204&gt;$B246)*(A_Corridor!$I$5:$I$204&lt;&gt;"")),IF(A_Corridor!$I$5:$I$204="-","",A_Corridor!$I$5:$I$204)),"")</f>
        <v/>
      </c>
      <c r="O246" s="182" t="str">
        <f>IFERROR(LOOKUP(2,1/((D_Points!$A$5:$A$204&lt;&gt;"")*(D_Points!$A$5:$A$204&gt;=$B246)*(D_Points!$A$5:$A$204&lt;$B246+P_Interval)*(UPPER(TRIM(D_Points!$B$5:$B$204))="PITCHING")*(D_Points!$H$5:$H$204&lt;&gt;"")),D_Points!$H$5:$H$204),"")</f>
        <v/>
      </c>
      <c r="P246" s="181" t="str">
        <f>IFERROR(LOOKUP(2,1/((B_Drainage!$A$5:$A$204&lt;&gt;"")*(B_Drainage!$A$5:$A$204&lt;=$B246)*(B_Drainage!$B$5:$B$204&gt;$B246)*(B_Drainage!$C$5:$C$204&lt;&gt;"")),IF(B_Drainage!$C$5:$C$204="-","",UPPER(B_Drainage!$C$5:$C$204))),"")</f>
        <v/>
      </c>
      <c r="Q246" s="181" t="str">
        <f>IFERROR(LOOKUP(2,1/((B_Drainage!$A$5:$A$204&lt;&gt;"")*(B_Drainage!$A$5:$A$204&lt;=$B246)*(B_Drainage!$B$5:$B$204&gt;$B246)*(B_Drainage!$D$5:$D$204&lt;&gt;"")),IF(B_Drainage!$D$5:$D$204="-","",UPPER(B_Drainage!$D$5:$D$204))),"")</f>
        <v/>
      </c>
      <c r="R246" s="182" t="str">
        <f>IFERROR(LOOKUP(2,1/((D_Points!$A$5:$A$204&lt;&gt;"")*(D_Points!$A$5:$A$204&gt;=$B246)*(D_Points!$A$5:$A$204&lt;$B246+P_Interval)*(RIGHT(UPPER(TRIM(D_Points!$B$5:$B$204)),8)="_CULVERT")),IF(LEFT(UPPER(TRIM(D_Points!$B$5:$B$204)),2)="EX",1,IF(LEFT(UPPER(TRIM(D_Points!$B$5:$B$204)),2)="PR",2,3))),"")</f>
        <v/>
      </c>
      <c r="S246" s="182" t="str">
        <f>IFERROR(LOOKUP(2,1/((D_Points!$A$5:$A$204&lt;&gt;"")*(D_Points!$A$5:$A$204&gt;=$B246)*(D_Points!$A$5:$A$204&lt;$B246+P_Interval)*(RIGHT(UPPER(TRIM(D_Points!$B$5:$B$204)),7)="_BRIDGE")),IF(LEFT(UPPER(TRIM(D_Points!$B$5:$B$204)),2)="EX",1,IF(LEFT(UPPER(TRIM(D_Points!$B$5:$B$204)),2)="PR",2,2))),"")</f>
        <v/>
      </c>
      <c r="T246" s="181" t="str">
        <f>IFERROR(LOOKUP(2,1/((B_Drainage!$A$5:$A$204&lt;&gt;"")*(B_Drainage!$A$5:$A$204&lt;=$B246)*(B_Drainage!$B$5:$B$204&gt;$B246)*(B_Drainage!$E$5:$E$204&lt;&gt;"")),IF(B_Drainage!$E$5:$E$204="-","",1)),"")</f>
        <v/>
      </c>
      <c r="U246" s="181" t="str">
        <f>IFERROR(LOOKUP(2,1/((B_Drainage!$A$5:$A$204&lt;&gt;"")*(B_Drainage!$A$5:$A$204&lt;=$B246)*(B_Drainage!$B$5:$B$204&gt;$B246)*(B_Drainage!$E$5:$E$204&lt;&gt;"")),IF(B_Drainage!$E$5:$E$204="-","",B_Drainage!$E$5:$E$204)),"")</f>
        <v/>
      </c>
      <c r="V246" s="181" t="str">
        <f>IFERROR(LOOKUP(2,1/((B_Drainage!$A$5:$A$204&lt;&gt;"")*(B_Drainage!$A$5:$A$204&lt;=$B246)*(B_Drainage!$B$5:$B$204&gt;$B246)*(B_Drainage!$F$5:$F$204&lt;&gt;"")),IF(B_Drainage!$F$5:$F$204="-","",1)),"")</f>
        <v/>
      </c>
      <c r="W246" s="181" t="str">
        <f>IFERROR(LOOKUP(2,1/((B_Drainage!$A$5:$A$204&lt;&gt;"")*(B_Drainage!$A$5:$A$204&lt;=$B246)*(B_Drainage!$B$5:$B$204&gt;$B246)*(B_Drainage!$F$5:$F$204&lt;&gt;"")),IF(B_Drainage!$F$5:$F$204="-","",B_Drainage!$F$5:$F$204)),"")</f>
        <v/>
      </c>
      <c r="X246" s="181" t="str">
        <f>IFERROR(LOOKUP(2,1/((B_Drainage!$A$5:$A$204&lt;&gt;"")*(B_Drainage!$A$5:$A$204&lt;=$B246)*(B_Drainage!$B$5:$B$204&gt;$B246)*(B_Drainage!$G$5:$G$204&lt;&gt;"")),IF(UPPER(B_Drainage!$G$5:$G$204)="Y",1,"")),"")</f>
        <v/>
      </c>
      <c r="Y246" s="181" t="str">
        <f>IFERROR(LOOKUP(2,1/((B_Drainage!$A$5:$A$204&lt;&gt;"")*(B_Drainage!$A$5:$A$204&lt;=$B246)*(B_Drainage!$B$5:$B$204&gt;$B246)*(B_Drainage!$H$5:$H$204&lt;&gt;"")),IF(UPPER(B_Drainage!$H$5:$H$204)="Y",1,"")),"")</f>
        <v/>
      </c>
      <c r="Z246" s="181" t="str">
        <f>IFERROR(LOOKUP(2,1/((B_Drainage!$A$5:$A$204&lt;&gt;"")*(B_Drainage!$A$5:$A$204&lt;=$B246)*(B_Drainage!$B$5:$B$204&gt;$B246)*(B_Drainage!$I$5:$I$204&lt;&gt;"")),IF(UPPER(B_Drainage!$I$5:$I$204)="Y",1,"")),"")</f>
        <v/>
      </c>
      <c r="AA246" s="181" t="str">
        <f>IFERROR(LOOKUP(2,1/((B_Drainage!$A$5:$A$204&lt;&gt;"")*(B_Drainage!$A$5:$A$204&lt;=$B246)*(B_Drainage!$B$5:$B$204&gt;$B246)*(B_Drainage!$J$5:$J$204&lt;&gt;"")),IF(UPPER(B_Drainage!$J$5:$J$204)="Y",1,"")),"")</f>
        <v/>
      </c>
      <c r="AB246" s="182" t="str">
        <f>IFERROR(LOOKUP(2,1/((B_Drainage!$A$5:$A$204&lt;&gt;"")*(B_Drainage!$A$5:$A$204&lt;=$B246)*(B_Drainage!$B$5:$B$204&gt;$B246)*(B_Drainage!$K$5:$K$204&lt;&gt;"")),IF(B_Drainage!$K$5:$K$204="-","",B_Drainage!$K$5:$K$204)),"")</f>
        <v/>
      </c>
      <c r="AC246" s="182" t="str">
        <f>IFERROR(LOOKUP(2,1/((B_Drainage!$A$5:$A$204&lt;&gt;"")*(B_Drainage!$A$5:$A$204&lt;=$B246)*(B_Drainage!$B$5:$B$204&gt;$B246)*(B_Drainage!$L$5:$L$204&lt;&gt;"")),IF(B_Drainage!$L$5:$L$204="-","",B_Drainage!$L$5:$L$204)),"")</f>
        <v/>
      </c>
      <c r="AD246" s="182" t="str">
        <f>IFERROR(LOOKUP(2,1/((D_Points!$A$5:$A$204&lt;&gt;"")*(D_Points!$A$5:$A$204&gt;=$B246)*(D_Points!$A$5:$A$204&lt;$B246+P_Interval)*(UPPER(TRIM(D_Points!$B$5:$B$204))="TURNOUT_L")*(D_Points!$H$5:$H$204&lt;&gt;"")),D_Points!$H$5:$H$204),"")</f>
        <v/>
      </c>
      <c r="AE246" s="182" t="str">
        <f>IFERROR(LOOKUP(2,1/((D_Points!$A$5:$A$204&lt;&gt;"")*(D_Points!$A$5:$A$204&gt;=$B246)*(D_Points!$A$5:$A$204&lt;$B246+P_Interval)*(UPPER(TRIM(D_Points!$B$5:$B$204))="TURNOUT_R")*(D_Points!$H$5:$H$204&lt;&gt;"")),D_Points!$H$5:$H$204),"")</f>
        <v/>
      </c>
      <c r="AF246" s="181" t="str">
        <f>IFERROR(LOOKUP(2,1/((B_Drainage!$A$5:$A$204&lt;&gt;"")*(B_Drainage!$A$5:$A$204&lt;=$B246)*(B_Drainage!$B$5:$B$204&gt;$B246)*(B_Drainage!$M$5:$M$204&lt;&gt;"")),IF(UPPER(B_Drainage!$M$5:$M$204)="Y",1,"")),"")</f>
        <v/>
      </c>
      <c r="AG246" s="181" t="str">
        <f>IFERROR(LOOKUP(2,1/((B_Drainage!$A$5:$A$204&lt;&gt;"")*(B_Drainage!$A$5:$A$204&lt;=$B246)*(B_Drainage!$B$5:$B$204&gt;$B246)*(B_Drainage!$N$5:$N$204&lt;&gt;"")),IF(UPPER(B_Drainage!$N$5:$N$204)="Y",1,"")),"")</f>
        <v/>
      </c>
      <c r="AH246" s="181" t="str">
        <f t="shared" si="24"/>
        <v/>
      </c>
      <c r="AI246" s="181" t="str">
        <f t="shared" si="25"/>
        <v/>
      </c>
      <c r="AJ246" s="181" t="str">
        <f t="shared" si="26"/>
        <v/>
      </c>
      <c r="AK246" s="181" t="str">
        <f t="shared" si="27"/>
        <v/>
      </c>
      <c r="AL246" s="181" t="str">
        <f t="shared" si="28"/>
        <v/>
      </c>
      <c r="AM246" s="181" t="str">
        <f t="shared" si="29"/>
        <v/>
      </c>
      <c r="AN246" s="181" t="str">
        <f t="shared" si="30"/>
        <v/>
      </c>
      <c r="AO246" s="192" t="str">
        <f t="shared" si="31"/>
        <v/>
      </c>
      <c r="AQ246" t="str">
        <f>IFERROR(LOOKUP(2,1/((C_Pavement!$A$5:$A$204&lt;&gt;"")*(C_Pavement!$A$5:$A$204&lt;=$B246)*(C_Pavement!$B$5:$B$204&gt;$B246)*(C_Pavement!$C$5:$C$204&lt;&gt;"")),ROW(C_Pavement!$C$5:$C$204)-4),"")</f>
        <v/>
      </c>
      <c r="AR246" t="str">
        <f>IF($AQ246="","",UPPER(TRIM(INDEX(C_Pavement!$C$5:$C$204,$AQ246))))</f>
        <v/>
      </c>
      <c r="AS246" t="str">
        <f>IF($AR246="","",IFERROR(MATCH($AR246,E_Rules!$A$5:$A$9,0),""))</f>
        <v/>
      </c>
      <c r="AT246" t="str">
        <f>IF($AQ246="","",IF(INDEX(C_Pavement!$D$5:$D$204,$AQ246)&lt;&gt;"",UPPER(TRIM(INDEX(C_Pavement!$D$5:$D$204,$AQ246))),IF($AS246="","",INDEX(E_Rules!$C$5:$C$9,$AS246))))</f>
        <v/>
      </c>
      <c r="AU246" t="str">
        <f>IF($AQ246="","",IF(INDEX(C_Pavement!$E$5:$E$204,$AQ246)&lt;&gt;"",IF(INDEX(C_Pavement!$E$5:$E$204,$AQ246)="-","",INDEX(C_Pavement!$E$5:$E$204,$AQ246)),IF($AS246="","",INDEX(E_Rules!$D$5:$D$9,$AS246))))</f>
        <v/>
      </c>
      <c r="AV246" t="str">
        <f>IF($AQ246="","",IF(INDEX(C_Pavement!$F$5:$F$204,$AQ246)&lt;&gt;"",IF(INDEX(C_Pavement!$F$5:$F$204,$AQ246)="-","",INDEX(C_Pavement!$F$5:$F$204,$AQ246)),IF($AS246="","",INDEX(E_Rules!$E$5:$E$9,$AS246))))</f>
        <v/>
      </c>
      <c r="AW246" t="str">
        <f>IF($AQ246="","",IF(INDEX(C_Pavement!$G$5:$G$204,$AQ246)&lt;&gt;"",IF(INDEX(C_Pavement!$G$5:$G$204,$AQ246)="-","",INDEX(C_Pavement!$G$5:$G$204,$AQ246)),IF($AS246="","",INDEX(E_Rules!$F$5:$F$9,$AS246))))</f>
        <v/>
      </c>
      <c r="AX246" t="str">
        <f>IF($AQ246="","",IF(INDEX(C_Pavement!$H$5:$H$204,$AQ246)&lt;&gt;"",IF(INDEX(C_Pavement!$H$5:$H$204,$AQ246)="-","",INDEX(C_Pavement!$H$5:$H$204,$AQ246)),IF($AS246="","",INDEX(E_Rules!$G$5:$G$9,$AS246))))</f>
        <v/>
      </c>
      <c r="AY246" t="str">
        <f>IF($AQ246="","",IF(INDEX(C_Pavement!$I$5:$I$204,$AQ246)&lt;&gt;"",IF(INDEX(C_Pavement!$I$5:$I$204,$AQ246)="-","",INDEX(C_Pavement!$I$5:$I$204,$AQ246)),IF($AS246="","",INDEX(E_Rules!$H$5:$H$9,$AS246))))</f>
        <v/>
      </c>
    </row>
    <row r="247" spans="1:51" ht="15.75" customHeight="1" x14ac:dyDescent="0.3">
      <c r="A247" s="189">
        <v>242</v>
      </c>
      <c r="B247" s="180">
        <v>12050</v>
      </c>
      <c r="C247" s="180" t="s">
        <v>553</v>
      </c>
      <c r="D247" s="181" t="str">
        <f>IFERROR(LOOKUP(2,1/((A_Corridor!$A$5:$A$204&lt;&gt;"")*(A_Corridor!$A$5:$A$204&lt;=$B247)*(A_Corridor!$B$5:$B$204&gt;$B247)*(A_Corridor!$C$5:$C$204&lt;&gt;"")),IF(UPPER(A_Corridor!$C$5:$C$204)="Y",1,"")),"")</f>
        <v/>
      </c>
      <c r="E247" s="181" t="str">
        <f>IFERROR(LOOKUP(2,1/((A_Corridor!$A$5:$A$204&lt;&gt;"")*(A_Corridor!$A$5:$A$204&lt;=$B247)*(A_Corridor!$B$5:$B$204&gt;$B247)*(A_Corridor!$D$5:$D$204&lt;&gt;"")),IF(A_Corridor!$D$5:$D$204="-","",UPPER(A_Corridor!$D$5:$D$204))),"")</f>
        <v/>
      </c>
      <c r="F247" s="181" t="str">
        <f>IFERROR(LOOKUP(2,1/((A_Corridor!$A$5:$A$204&lt;&gt;"")*(A_Corridor!$A$5:$A$204&lt;=$B247)*(A_Corridor!$B$5:$B$204&gt;$B247)*(A_Corridor!$E$5:$E$204&lt;&gt;"")),IF(A_Corridor!$E$5:$E$204="-","",1)),"")</f>
        <v/>
      </c>
      <c r="G247" s="182" t="str">
        <f>IFERROR(LOOKUP(2,1/((A_Corridor!$A$5:$A$204&lt;&gt;"")*(A_Corridor!$A$5:$A$204&lt;=$B247)*(A_Corridor!$B$5:$B$204&gt;$B247)*(A_Corridor!$E$5:$E$204&lt;&gt;"")),IF(A_Corridor!$E$5:$E$204="-","",A_Corridor!$E$5:$E$204)),"")</f>
        <v/>
      </c>
      <c r="H247" s="182" t="str">
        <f>IFERROR(LOOKUP(2,1/((D_Points!$A$5:$A$204&lt;&gt;"")*(D_Points!$A$5:$A$204&gt;=$B247)*(D_Points!$A$5:$A$204&lt;$B247+P_Interval)*(UPPER(TRIM(D_Points!$B$5:$B$204))="GULLY")*(D_Points!$H$5:$H$204&lt;&gt;"")),D_Points!$H$5:$H$204),"")</f>
        <v/>
      </c>
      <c r="I247" s="181" t="str">
        <f>IFERROR(LOOKUP(2,1/((A_Corridor!$A$5:$A$204&lt;&gt;"")*(A_Corridor!$A$5:$A$204&lt;=$B247)*(A_Corridor!$B$5:$B$204&gt;$B247)*(A_Corridor!$F$5:$F$204&lt;&gt;"")),IF(A_Corridor!$F$5:$F$204="-","",1)),"")</f>
        <v/>
      </c>
      <c r="J247" s="182" t="str">
        <f>IFERROR(LOOKUP(2,1/((A_Corridor!$A$5:$A$204&lt;&gt;"")*(A_Corridor!$A$5:$A$204&lt;=$B247)*(A_Corridor!$B$5:$B$204&gt;$B247)*(A_Corridor!$F$5:$F$204&lt;&gt;"")),IF(A_Corridor!$F$5:$F$204="-","",A_Corridor!$F$5:$F$204)),"")</f>
        <v/>
      </c>
      <c r="K247" s="182" t="str">
        <f>IFERROR(LOOKUP(2,1/((A_Corridor!$A$5:$A$204&lt;&gt;"")*(A_Corridor!$A$5:$A$204&lt;=$B247)*(A_Corridor!$B$5:$B$204&gt;$B247)*(A_Corridor!$G$5:$G$204&lt;&gt;"")),IF(A_Corridor!$G$5:$G$204="-","",A_Corridor!$G$5:$G$204)),"")</f>
        <v/>
      </c>
      <c r="L247" s="181" t="str">
        <f>IFERROR(LOOKUP(2,1/((A_Corridor!$A$5:$A$204&lt;&gt;"")*(A_Corridor!$A$5:$A$204&lt;=$B247)*(A_Corridor!$B$5:$B$204&gt;$B247)*(A_Corridor!$H$5:$H$204&lt;&gt;"")),IF(A_Corridor!$H$5:$H$204="-","",1)),"")</f>
        <v/>
      </c>
      <c r="M247" s="182" t="str">
        <f>IFERROR(LOOKUP(2,1/((A_Corridor!$A$5:$A$204&lt;&gt;"")*(A_Corridor!$A$5:$A$204&lt;=$B247)*(A_Corridor!$B$5:$B$204&gt;$B247)*(A_Corridor!$H$5:$H$204&lt;&gt;"")),IF(A_Corridor!$H$5:$H$204="-","",A_Corridor!$H$5:$H$204)),"")</f>
        <v/>
      </c>
      <c r="N247" s="182" t="str">
        <f>IFERROR(LOOKUP(2,1/((A_Corridor!$A$5:$A$204&lt;&gt;"")*(A_Corridor!$A$5:$A$204&lt;=$B247)*(A_Corridor!$B$5:$B$204&gt;$B247)*(A_Corridor!$I$5:$I$204&lt;&gt;"")),IF(A_Corridor!$I$5:$I$204="-","",A_Corridor!$I$5:$I$204)),"")</f>
        <v/>
      </c>
      <c r="O247" s="182" t="str">
        <f>IFERROR(LOOKUP(2,1/((D_Points!$A$5:$A$204&lt;&gt;"")*(D_Points!$A$5:$A$204&gt;=$B247)*(D_Points!$A$5:$A$204&lt;$B247+P_Interval)*(UPPER(TRIM(D_Points!$B$5:$B$204))="PITCHING")*(D_Points!$H$5:$H$204&lt;&gt;"")),D_Points!$H$5:$H$204),"")</f>
        <v/>
      </c>
      <c r="P247" s="181" t="str">
        <f>IFERROR(LOOKUP(2,1/((B_Drainage!$A$5:$A$204&lt;&gt;"")*(B_Drainage!$A$5:$A$204&lt;=$B247)*(B_Drainage!$B$5:$B$204&gt;$B247)*(B_Drainage!$C$5:$C$204&lt;&gt;"")),IF(B_Drainage!$C$5:$C$204="-","",UPPER(B_Drainage!$C$5:$C$204))),"")</f>
        <v/>
      </c>
      <c r="Q247" s="181" t="str">
        <f>IFERROR(LOOKUP(2,1/((B_Drainage!$A$5:$A$204&lt;&gt;"")*(B_Drainage!$A$5:$A$204&lt;=$B247)*(B_Drainage!$B$5:$B$204&gt;$B247)*(B_Drainage!$D$5:$D$204&lt;&gt;"")),IF(B_Drainage!$D$5:$D$204="-","",UPPER(B_Drainage!$D$5:$D$204))),"")</f>
        <v/>
      </c>
      <c r="R247" s="182" t="str">
        <f>IFERROR(LOOKUP(2,1/((D_Points!$A$5:$A$204&lt;&gt;"")*(D_Points!$A$5:$A$204&gt;=$B247)*(D_Points!$A$5:$A$204&lt;$B247+P_Interval)*(RIGHT(UPPER(TRIM(D_Points!$B$5:$B$204)),8)="_CULVERT")),IF(LEFT(UPPER(TRIM(D_Points!$B$5:$B$204)),2)="EX",1,IF(LEFT(UPPER(TRIM(D_Points!$B$5:$B$204)),2)="PR",2,3))),"")</f>
        <v/>
      </c>
      <c r="S247" s="182" t="str">
        <f>IFERROR(LOOKUP(2,1/((D_Points!$A$5:$A$204&lt;&gt;"")*(D_Points!$A$5:$A$204&gt;=$B247)*(D_Points!$A$5:$A$204&lt;$B247+P_Interval)*(RIGHT(UPPER(TRIM(D_Points!$B$5:$B$204)),7)="_BRIDGE")),IF(LEFT(UPPER(TRIM(D_Points!$B$5:$B$204)),2)="EX",1,IF(LEFT(UPPER(TRIM(D_Points!$B$5:$B$204)),2)="PR",2,2))),"")</f>
        <v/>
      </c>
      <c r="T247" s="181" t="str">
        <f>IFERROR(LOOKUP(2,1/((B_Drainage!$A$5:$A$204&lt;&gt;"")*(B_Drainage!$A$5:$A$204&lt;=$B247)*(B_Drainage!$B$5:$B$204&gt;$B247)*(B_Drainage!$E$5:$E$204&lt;&gt;"")),IF(B_Drainage!$E$5:$E$204="-","",1)),"")</f>
        <v/>
      </c>
      <c r="U247" s="181" t="str">
        <f>IFERROR(LOOKUP(2,1/((B_Drainage!$A$5:$A$204&lt;&gt;"")*(B_Drainage!$A$5:$A$204&lt;=$B247)*(B_Drainage!$B$5:$B$204&gt;$B247)*(B_Drainage!$E$5:$E$204&lt;&gt;"")),IF(B_Drainage!$E$5:$E$204="-","",B_Drainage!$E$5:$E$204)),"")</f>
        <v/>
      </c>
      <c r="V247" s="181" t="str">
        <f>IFERROR(LOOKUP(2,1/((B_Drainage!$A$5:$A$204&lt;&gt;"")*(B_Drainage!$A$5:$A$204&lt;=$B247)*(B_Drainage!$B$5:$B$204&gt;$B247)*(B_Drainage!$F$5:$F$204&lt;&gt;"")),IF(B_Drainage!$F$5:$F$204="-","",1)),"")</f>
        <v/>
      </c>
      <c r="W247" s="181" t="str">
        <f>IFERROR(LOOKUP(2,1/((B_Drainage!$A$5:$A$204&lt;&gt;"")*(B_Drainage!$A$5:$A$204&lt;=$B247)*(B_Drainage!$B$5:$B$204&gt;$B247)*(B_Drainage!$F$5:$F$204&lt;&gt;"")),IF(B_Drainage!$F$5:$F$204="-","",B_Drainage!$F$5:$F$204)),"")</f>
        <v/>
      </c>
      <c r="X247" s="181" t="str">
        <f>IFERROR(LOOKUP(2,1/((B_Drainage!$A$5:$A$204&lt;&gt;"")*(B_Drainage!$A$5:$A$204&lt;=$B247)*(B_Drainage!$B$5:$B$204&gt;$B247)*(B_Drainage!$G$5:$G$204&lt;&gt;"")),IF(UPPER(B_Drainage!$G$5:$G$204)="Y",1,"")),"")</f>
        <v/>
      </c>
      <c r="Y247" s="181" t="str">
        <f>IFERROR(LOOKUP(2,1/((B_Drainage!$A$5:$A$204&lt;&gt;"")*(B_Drainage!$A$5:$A$204&lt;=$B247)*(B_Drainage!$B$5:$B$204&gt;$B247)*(B_Drainage!$H$5:$H$204&lt;&gt;"")),IF(UPPER(B_Drainage!$H$5:$H$204)="Y",1,"")),"")</f>
        <v/>
      </c>
      <c r="Z247" s="181" t="str">
        <f>IFERROR(LOOKUP(2,1/((B_Drainage!$A$5:$A$204&lt;&gt;"")*(B_Drainage!$A$5:$A$204&lt;=$B247)*(B_Drainage!$B$5:$B$204&gt;$B247)*(B_Drainage!$I$5:$I$204&lt;&gt;"")),IF(UPPER(B_Drainage!$I$5:$I$204)="Y",1,"")),"")</f>
        <v/>
      </c>
      <c r="AA247" s="181" t="str">
        <f>IFERROR(LOOKUP(2,1/((B_Drainage!$A$5:$A$204&lt;&gt;"")*(B_Drainage!$A$5:$A$204&lt;=$B247)*(B_Drainage!$B$5:$B$204&gt;$B247)*(B_Drainage!$J$5:$J$204&lt;&gt;"")),IF(UPPER(B_Drainage!$J$5:$J$204)="Y",1,"")),"")</f>
        <v/>
      </c>
      <c r="AB247" s="182" t="str">
        <f>IFERROR(LOOKUP(2,1/((B_Drainage!$A$5:$A$204&lt;&gt;"")*(B_Drainage!$A$5:$A$204&lt;=$B247)*(B_Drainage!$B$5:$B$204&gt;$B247)*(B_Drainage!$K$5:$K$204&lt;&gt;"")),IF(B_Drainage!$K$5:$K$204="-","",B_Drainage!$K$5:$K$204)),"")</f>
        <v/>
      </c>
      <c r="AC247" s="182" t="str">
        <f>IFERROR(LOOKUP(2,1/((B_Drainage!$A$5:$A$204&lt;&gt;"")*(B_Drainage!$A$5:$A$204&lt;=$B247)*(B_Drainage!$B$5:$B$204&gt;$B247)*(B_Drainage!$L$5:$L$204&lt;&gt;"")),IF(B_Drainage!$L$5:$L$204="-","",B_Drainage!$L$5:$L$204)),"")</f>
        <v/>
      </c>
      <c r="AD247" s="182" t="str">
        <f>IFERROR(LOOKUP(2,1/((D_Points!$A$5:$A$204&lt;&gt;"")*(D_Points!$A$5:$A$204&gt;=$B247)*(D_Points!$A$5:$A$204&lt;$B247+P_Interval)*(UPPER(TRIM(D_Points!$B$5:$B$204))="TURNOUT_L")*(D_Points!$H$5:$H$204&lt;&gt;"")),D_Points!$H$5:$H$204),"")</f>
        <v/>
      </c>
      <c r="AE247" s="182" t="str">
        <f>IFERROR(LOOKUP(2,1/((D_Points!$A$5:$A$204&lt;&gt;"")*(D_Points!$A$5:$A$204&gt;=$B247)*(D_Points!$A$5:$A$204&lt;$B247+P_Interval)*(UPPER(TRIM(D_Points!$B$5:$B$204))="TURNOUT_R")*(D_Points!$H$5:$H$204&lt;&gt;"")),D_Points!$H$5:$H$204),"")</f>
        <v/>
      </c>
      <c r="AF247" s="181" t="str">
        <f>IFERROR(LOOKUP(2,1/((B_Drainage!$A$5:$A$204&lt;&gt;"")*(B_Drainage!$A$5:$A$204&lt;=$B247)*(B_Drainage!$B$5:$B$204&gt;$B247)*(B_Drainage!$M$5:$M$204&lt;&gt;"")),IF(UPPER(B_Drainage!$M$5:$M$204)="Y",1,"")),"")</f>
        <v/>
      </c>
      <c r="AG247" s="181" t="str">
        <f>IFERROR(LOOKUP(2,1/((B_Drainage!$A$5:$A$204&lt;&gt;"")*(B_Drainage!$A$5:$A$204&lt;=$B247)*(B_Drainage!$B$5:$B$204&gt;$B247)*(B_Drainage!$N$5:$N$204&lt;&gt;"")),IF(UPPER(B_Drainage!$N$5:$N$204)="Y",1,"")),"")</f>
        <v/>
      </c>
      <c r="AH247" s="181" t="str">
        <f t="shared" si="24"/>
        <v/>
      </c>
      <c r="AI247" s="181" t="str">
        <f t="shared" si="25"/>
        <v/>
      </c>
      <c r="AJ247" s="181" t="str">
        <f t="shared" si="26"/>
        <v/>
      </c>
      <c r="AK247" s="181" t="str">
        <f t="shared" si="27"/>
        <v/>
      </c>
      <c r="AL247" s="181" t="str">
        <f t="shared" si="28"/>
        <v/>
      </c>
      <c r="AM247" s="181" t="str">
        <f t="shared" si="29"/>
        <v/>
      </c>
      <c r="AN247" s="181" t="str">
        <f t="shared" si="30"/>
        <v/>
      </c>
      <c r="AO247" s="192" t="str">
        <f t="shared" si="31"/>
        <v/>
      </c>
      <c r="AQ247" t="str">
        <f>IFERROR(LOOKUP(2,1/((C_Pavement!$A$5:$A$204&lt;&gt;"")*(C_Pavement!$A$5:$A$204&lt;=$B247)*(C_Pavement!$B$5:$B$204&gt;$B247)*(C_Pavement!$C$5:$C$204&lt;&gt;"")),ROW(C_Pavement!$C$5:$C$204)-4),"")</f>
        <v/>
      </c>
      <c r="AR247" t="str">
        <f>IF($AQ247="","",UPPER(TRIM(INDEX(C_Pavement!$C$5:$C$204,$AQ247))))</f>
        <v/>
      </c>
      <c r="AS247" t="str">
        <f>IF($AR247="","",IFERROR(MATCH($AR247,E_Rules!$A$5:$A$9,0),""))</f>
        <v/>
      </c>
      <c r="AT247" t="str">
        <f>IF($AQ247="","",IF(INDEX(C_Pavement!$D$5:$D$204,$AQ247)&lt;&gt;"",UPPER(TRIM(INDEX(C_Pavement!$D$5:$D$204,$AQ247))),IF($AS247="","",INDEX(E_Rules!$C$5:$C$9,$AS247))))</f>
        <v/>
      </c>
      <c r="AU247" t="str">
        <f>IF($AQ247="","",IF(INDEX(C_Pavement!$E$5:$E$204,$AQ247)&lt;&gt;"",IF(INDEX(C_Pavement!$E$5:$E$204,$AQ247)="-","",INDEX(C_Pavement!$E$5:$E$204,$AQ247)),IF($AS247="","",INDEX(E_Rules!$D$5:$D$9,$AS247))))</f>
        <v/>
      </c>
      <c r="AV247" t="str">
        <f>IF($AQ247="","",IF(INDEX(C_Pavement!$F$5:$F$204,$AQ247)&lt;&gt;"",IF(INDEX(C_Pavement!$F$5:$F$204,$AQ247)="-","",INDEX(C_Pavement!$F$5:$F$204,$AQ247)),IF($AS247="","",INDEX(E_Rules!$E$5:$E$9,$AS247))))</f>
        <v/>
      </c>
      <c r="AW247" t="str">
        <f>IF($AQ247="","",IF(INDEX(C_Pavement!$G$5:$G$204,$AQ247)&lt;&gt;"",IF(INDEX(C_Pavement!$G$5:$G$204,$AQ247)="-","",INDEX(C_Pavement!$G$5:$G$204,$AQ247)),IF($AS247="","",INDEX(E_Rules!$F$5:$F$9,$AS247))))</f>
        <v/>
      </c>
      <c r="AX247" t="str">
        <f>IF($AQ247="","",IF(INDEX(C_Pavement!$H$5:$H$204,$AQ247)&lt;&gt;"",IF(INDEX(C_Pavement!$H$5:$H$204,$AQ247)="-","",INDEX(C_Pavement!$H$5:$H$204,$AQ247)),IF($AS247="","",INDEX(E_Rules!$G$5:$G$9,$AS247))))</f>
        <v/>
      </c>
      <c r="AY247" t="str">
        <f>IF($AQ247="","",IF(INDEX(C_Pavement!$I$5:$I$204,$AQ247)&lt;&gt;"",IF(INDEX(C_Pavement!$I$5:$I$204,$AQ247)="-","",INDEX(C_Pavement!$I$5:$I$204,$AQ247)),IF($AS247="","",INDEX(E_Rules!$H$5:$H$9,$AS247))))</f>
        <v/>
      </c>
    </row>
    <row r="248" spans="1:51" ht="15.75" customHeight="1" x14ac:dyDescent="0.3">
      <c r="A248" s="189">
        <v>243</v>
      </c>
      <c r="B248" s="180">
        <v>12100</v>
      </c>
      <c r="C248" s="180" t="s">
        <v>554</v>
      </c>
      <c r="D248" s="181" t="str">
        <f>IFERROR(LOOKUP(2,1/((A_Corridor!$A$5:$A$204&lt;&gt;"")*(A_Corridor!$A$5:$A$204&lt;=$B248)*(A_Corridor!$B$5:$B$204&gt;$B248)*(A_Corridor!$C$5:$C$204&lt;&gt;"")),IF(UPPER(A_Corridor!$C$5:$C$204)="Y",1,"")),"")</f>
        <v/>
      </c>
      <c r="E248" s="181" t="str">
        <f>IFERROR(LOOKUP(2,1/((A_Corridor!$A$5:$A$204&lt;&gt;"")*(A_Corridor!$A$5:$A$204&lt;=$B248)*(A_Corridor!$B$5:$B$204&gt;$B248)*(A_Corridor!$D$5:$D$204&lt;&gt;"")),IF(A_Corridor!$D$5:$D$204="-","",UPPER(A_Corridor!$D$5:$D$204))),"")</f>
        <v/>
      </c>
      <c r="F248" s="181" t="str">
        <f>IFERROR(LOOKUP(2,1/((A_Corridor!$A$5:$A$204&lt;&gt;"")*(A_Corridor!$A$5:$A$204&lt;=$B248)*(A_Corridor!$B$5:$B$204&gt;$B248)*(A_Corridor!$E$5:$E$204&lt;&gt;"")),IF(A_Corridor!$E$5:$E$204="-","",1)),"")</f>
        <v/>
      </c>
      <c r="G248" s="182" t="str">
        <f>IFERROR(LOOKUP(2,1/((A_Corridor!$A$5:$A$204&lt;&gt;"")*(A_Corridor!$A$5:$A$204&lt;=$B248)*(A_Corridor!$B$5:$B$204&gt;$B248)*(A_Corridor!$E$5:$E$204&lt;&gt;"")),IF(A_Corridor!$E$5:$E$204="-","",A_Corridor!$E$5:$E$204)),"")</f>
        <v/>
      </c>
      <c r="H248" s="182" t="str">
        <f>IFERROR(LOOKUP(2,1/((D_Points!$A$5:$A$204&lt;&gt;"")*(D_Points!$A$5:$A$204&gt;=$B248)*(D_Points!$A$5:$A$204&lt;$B248+P_Interval)*(UPPER(TRIM(D_Points!$B$5:$B$204))="GULLY")*(D_Points!$H$5:$H$204&lt;&gt;"")),D_Points!$H$5:$H$204),"")</f>
        <v/>
      </c>
      <c r="I248" s="181" t="str">
        <f>IFERROR(LOOKUP(2,1/((A_Corridor!$A$5:$A$204&lt;&gt;"")*(A_Corridor!$A$5:$A$204&lt;=$B248)*(A_Corridor!$B$5:$B$204&gt;$B248)*(A_Corridor!$F$5:$F$204&lt;&gt;"")),IF(A_Corridor!$F$5:$F$204="-","",1)),"")</f>
        <v/>
      </c>
      <c r="J248" s="182" t="str">
        <f>IFERROR(LOOKUP(2,1/((A_Corridor!$A$5:$A$204&lt;&gt;"")*(A_Corridor!$A$5:$A$204&lt;=$B248)*(A_Corridor!$B$5:$B$204&gt;$B248)*(A_Corridor!$F$5:$F$204&lt;&gt;"")),IF(A_Corridor!$F$5:$F$204="-","",A_Corridor!$F$5:$F$204)),"")</f>
        <v/>
      </c>
      <c r="K248" s="182" t="str">
        <f>IFERROR(LOOKUP(2,1/((A_Corridor!$A$5:$A$204&lt;&gt;"")*(A_Corridor!$A$5:$A$204&lt;=$B248)*(A_Corridor!$B$5:$B$204&gt;$B248)*(A_Corridor!$G$5:$G$204&lt;&gt;"")),IF(A_Corridor!$G$5:$G$204="-","",A_Corridor!$G$5:$G$204)),"")</f>
        <v/>
      </c>
      <c r="L248" s="181" t="str">
        <f>IFERROR(LOOKUP(2,1/((A_Corridor!$A$5:$A$204&lt;&gt;"")*(A_Corridor!$A$5:$A$204&lt;=$B248)*(A_Corridor!$B$5:$B$204&gt;$B248)*(A_Corridor!$H$5:$H$204&lt;&gt;"")),IF(A_Corridor!$H$5:$H$204="-","",1)),"")</f>
        <v/>
      </c>
      <c r="M248" s="182" t="str">
        <f>IFERROR(LOOKUP(2,1/((A_Corridor!$A$5:$A$204&lt;&gt;"")*(A_Corridor!$A$5:$A$204&lt;=$B248)*(A_Corridor!$B$5:$B$204&gt;$B248)*(A_Corridor!$H$5:$H$204&lt;&gt;"")),IF(A_Corridor!$H$5:$H$204="-","",A_Corridor!$H$5:$H$204)),"")</f>
        <v/>
      </c>
      <c r="N248" s="182" t="str">
        <f>IFERROR(LOOKUP(2,1/((A_Corridor!$A$5:$A$204&lt;&gt;"")*(A_Corridor!$A$5:$A$204&lt;=$B248)*(A_Corridor!$B$5:$B$204&gt;$B248)*(A_Corridor!$I$5:$I$204&lt;&gt;"")),IF(A_Corridor!$I$5:$I$204="-","",A_Corridor!$I$5:$I$204)),"")</f>
        <v/>
      </c>
      <c r="O248" s="182" t="str">
        <f>IFERROR(LOOKUP(2,1/((D_Points!$A$5:$A$204&lt;&gt;"")*(D_Points!$A$5:$A$204&gt;=$B248)*(D_Points!$A$5:$A$204&lt;$B248+P_Interval)*(UPPER(TRIM(D_Points!$B$5:$B$204))="PITCHING")*(D_Points!$H$5:$H$204&lt;&gt;"")),D_Points!$H$5:$H$204),"")</f>
        <v/>
      </c>
      <c r="P248" s="181" t="str">
        <f>IFERROR(LOOKUP(2,1/((B_Drainage!$A$5:$A$204&lt;&gt;"")*(B_Drainage!$A$5:$A$204&lt;=$B248)*(B_Drainage!$B$5:$B$204&gt;$B248)*(B_Drainage!$C$5:$C$204&lt;&gt;"")),IF(B_Drainage!$C$5:$C$204="-","",UPPER(B_Drainage!$C$5:$C$204))),"")</f>
        <v/>
      </c>
      <c r="Q248" s="181" t="str">
        <f>IFERROR(LOOKUP(2,1/((B_Drainage!$A$5:$A$204&lt;&gt;"")*(B_Drainage!$A$5:$A$204&lt;=$B248)*(B_Drainage!$B$5:$B$204&gt;$B248)*(B_Drainage!$D$5:$D$204&lt;&gt;"")),IF(B_Drainage!$D$5:$D$204="-","",UPPER(B_Drainage!$D$5:$D$204))),"")</f>
        <v/>
      </c>
      <c r="R248" s="182" t="str">
        <f>IFERROR(LOOKUP(2,1/((D_Points!$A$5:$A$204&lt;&gt;"")*(D_Points!$A$5:$A$204&gt;=$B248)*(D_Points!$A$5:$A$204&lt;$B248+P_Interval)*(RIGHT(UPPER(TRIM(D_Points!$B$5:$B$204)),8)="_CULVERT")),IF(LEFT(UPPER(TRIM(D_Points!$B$5:$B$204)),2)="EX",1,IF(LEFT(UPPER(TRIM(D_Points!$B$5:$B$204)),2)="PR",2,3))),"")</f>
        <v/>
      </c>
      <c r="S248" s="182" t="str">
        <f>IFERROR(LOOKUP(2,1/((D_Points!$A$5:$A$204&lt;&gt;"")*(D_Points!$A$5:$A$204&gt;=$B248)*(D_Points!$A$5:$A$204&lt;$B248+P_Interval)*(RIGHT(UPPER(TRIM(D_Points!$B$5:$B$204)),7)="_BRIDGE")),IF(LEFT(UPPER(TRIM(D_Points!$B$5:$B$204)),2)="EX",1,IF(LEFT(UPPER(TRIM(D_Points!$B$5:$B$204)),2)="PR",2,2))),"")</f>
        <v/>
      </c>
      <c r="T248" s="181" t="str">
        <f>IFERROR(LOOKUP(2,1/((B_Drainage!$A$5:$A$204&lt;&gt;"")*(B_Drainage!$A$5:$A$204&lt;=$B248)*(B_Drainage!$B$5:$B$204&gt;$B248)*(B_Drainage!$E$5:$E$204&lt;&gt;"")),IF(B_Drainage!$E$5:$E$204="-","",1)),"")</f>
        <v/>
      </c>
      <c r="U248" s="181" t="str">
        <f>IFERROR(LOOKUP(2,1/((B_Drainage!$A$5:$A$204&lt;&gt;"")*(B_Drainage!$A$5:$A$204&lt;=$B248)*(B_Drainage!$B$5:$B$204&gt;$B248)*(B_Drainage!$E$5:$E$204&lt;&gt;"")),IF(B_Drainage!$E$5:$E$204="-","",B_Drainage!$E$5:$E$204)),"")</f>
        <v/>
      </c>
      <c r="V248" s="181" t="str">
        <f>IFERROR(LOOKUP(2,1/((B_Drainage!$A$5:$A$204&lt;&gt;"")*(B_Drainage!$A$5:$A$204&lt;=$B248)*(B_Drainage!$B$5:$B$204&gt;$B248)*(B_Drainage!$F$5:$F$204&lt;&gt;"")),IF(B_Drainage!$F$5:$F$204="-","",1)),"")</f>
        <v/>
      </c>
      <c r="W248" s="181" t="str">
        <f>IFERROR(LOOKUP(2,1/((B_Drainage!$A$5:$A$204&lt;&gt;"")*(B_Drainage!$A$5:$A$204&lt;=$B248)*(B_Drainage!$B$5:$B$204&gt;$B248)*(B_Drainage!$F$5:$F$204&lt;&gt;"")),IF(B_Drainage!$F$5:$F$204="-","",B_Drainage!$F$5:$F$204)),"")</f>
        <v/>
      </c>
      <c r="X248" s="181" t="str">
        <f>IFERROR(LOOKUP(2,1/((B_Drainage!$A$5:$A$204&lt;&gt;"")*(B_Drainage!$A$5:$A$204&lt;=$B248)*(B_Drainage!$B$5:$B$204&gt;$B248)*(B_Drainage!$G$5:$G$204&lt;&gt;"")),IF(UPPER(B_Drainage!$G$5:$G$204)="Y",1,"")),"")</f>
        <v/>
      </c>
      <c r="Y248" s="181" t="str">
        <f>IFERROR(LOOKUP(2,1/((B_Drainage!$A$5:$A$204&lt;&gt;"")*(B_Drainage!$A$5:$A$204&lt;=$B248)*(B_Drainage!$B$5:$B$204&gt;$B248)*(B_Drainage!$H$5:$H$204&lt;&gt;"")),IF(UPPER(B_Drainage!$H$5:$H$204)="Y",1,"")),"")</f>
        <v/>
      </c>
      <c r="Z248" s="181" t="str">
        <f>IFERROR(LOOKUP(2,1/((B_Drainage!$A$5:$A$204&lt;&gt;"")*(B_Drainage!$A$5:$A$204&lt;=$B248)*(B_Drainage!$B$5:$B$204&gt;$B248)*(B_Drainage!$I$5:$I$204&lt;&gt;"")),IF(UPPER(B_Drainage!$I$5:$I$204)="Y",1,"")),"")</f>
        <v/>
      </c>
      <c r="AA248" s="181" t="str">
        <f>IFERROR(LOOKUP(2,1/((B_Drainage!$A$5:$A$204&lt;&gt;"")*(B_Drainage!$A$5:$A$204&lt;=$B248)*(B_Drainage!$B$5:$B$204&gt;$B248)*(B_Drainage!$J$5:$J$204&lt;&gt;"")),IF(UPPER(B_Drainage!$J$5:$J$204)="Y",1,"")),"")</f>
        <v/>
      </c>
      <c r="AB248" s="182" t="str">
        <f>IFERROR(LOOKUP(2,1/((B_Drainage!$A$5:$A$204&lt;&gt;"")*(B_Drainage!$A$5:$A$204&lt;=$B248)*(B_Drainage!$B$5:$B$204&gt;$B248)*(B_Drainage!$K$5:$K$204&lt;&gt;"")),IF(B_Drainage!$K$5:$K$204="-","",B_Drainage!$K$5:$K$204)),"")</f>
        <v/>
      </c>
      <c r="AC248" s="182" t="str">
        <f>IFERROR(LOOKUP(2,1/((B_Drainage!$A$5:$A$204&lt;&gt;"")*(B_Drainage!$A$5:$A$204&lt;=$B248)*(B_Drainage!$B$5:$B$204&gt;$B248)*(B_Drainage!$L$5:$L$204&lt;&gt;"")),IF(B_Drainage!$L$5:$L$204="-","",B_Drainage!$L$5:$L$204)),"")</f>
        <v/>
      </c>
      <c r="AD248" s="182" t="str">
        <f>IFERROR(LOOKUP(2,1/((D_Points!$A$5:$A$204&lt;&gt;"")*(D_Points!$A$5:$A$204&gt;=$B248)*(D_Points!$A$5:$A$204&lt;$B248+P_Interval)*(UPPER(TRIM(D_Points!$B$5:$B$204))="TURNOUT_L")*(D_Points!$H$5:$H$204&lt;&gt;"")),D_Points!$H$5:$H$204),"")</f>
        <v/>
      </c>
      <c r="AE248" s="182" t="str">
        <f>IFERROR(LOOKUP(2,1/((D_Points!$A$5:$A$204&lt;&gt;"")*(D_Points!$A$5:$A$204&gt;=$B248)*(D_Points!$A$5:$A$204&lt;$B248+P_Interval)*(UPPER(TRIM(D_Points!$B$5:$B$204))="TURNOUT_R")*(D_Points!$H$5:$H$204&lt;&gt;"")),D_Points!$H$5:$H$204),"")</f>
        <v/>
      </c>
      <c r="AF248" s="181" t="str">
        <f>IFERROR(LOOKUP(2,1/((B_Drainage!$A$5:$A$204&lt;&gt;"")*(B_Drainage!$A$5:$A$204&lt;=$B248)*(B_Drainage!$B$5:$B$204&gt;$B248)*(B_Drainage!$M$5:$M$204&lt;&gt;"")),IF(UPPER(B_Drainage!$M$5:$M$204)="Y",1,"")),"")</f>
        <v/>
      </c>
      <c r="AG248" s="181" t="str">
        <f>IFERROR(LOOKUP(2,1/((B_Drainage!$A$5:$A$204&lt;&gt;"")*(B_Drainage!$A$5:$A$204&lt;=$B248)*(B_Drainage!$B$5:$B$204&gt;$B248)*(B_Drainage!$N$5:$N$204&lt;&gt;"")),IF(UPPER(B_Drainage!$N$5:$N$204)="Y",1,"")),"")</f>
        <v/>
      </c>
      <c r="AH248" s="181" t="str">
        <f t="shared" si="24"/>
        <v/>
      </c>
      <c r="AI248" s="181" t="str">
        <f t="shared" si="25"/>
        <v/>
      </c>
      <c r="AJ248" s="181" t="str">
        <f t="shared" si="26"/>
        <v/>
      </c>
      <c r="AK248" s="181" t="str">
        <f t="shared" si="27"/>
        <v/>
      </c>
      <c r="AL248" s="181" t="str">
        <f t="shared" si="28"/>
        <v/>
      </c>
      <c r="AM248" s="181" t="str">
        <f t="shared" si="29"/>
        <v/>
      </c>
      <c r="AN248" s="181" t="str">
        <f t="shared" si="30"/>
        <v/>
      </c>
      <c r="AO248" s="192" t="str">
        <f t="shared" si="31"/>
        <v/>
      </c>
      <c r="AQ248" t="str">
        <f>IFERROR(LOOKUP(2,1/((C_Pavement!$A$5:$A$204&lt;&gt;"")*(C_Pavement!$A$5:$A$204&lt;=$B248)*(C_Pavement!$B$5:$B$204&gt;$B248)*(C_Pavement!$C$5:$C$204&lt;&gt;"")),ROW(C_Pavement!$C$5:$C$204)-4),"")</f>
        <v/>
      </c>
      <c r="AR248" t="str">
        <f>IF($AQ248="","",UPPER(TRIM(INDEX(C_Pavement!$C$5:$C$204,$AQ248))))</f>
        <v/>
      </c>
      <c r="AS248" t="str">
        <f>IF($AR248="","",IFERROR(MATCH($AR248,E_Rules!$A$5:$A$9,0),""))</f>
        <v/>
      </c>
      <c r="AT248" t="str">
        <f>IF($AQ248="","",IF(INDEX(C_Pavement!$D$5:$D$204,$AQ248)&lt;&gt;"",UPPER(TRIM(INDEX(C_Pavement!$D$5:$D$204,$AQ248))),IF($AS248="","",INDEX(E_Rules!$C$5:$C$9,$AS248))))</f>
        <v/>
      </c>
      <c r="AU248" t="str">
        <f>IF($AQ248="","",IF(INDEX(C_Pavement!$E$5:$E$204,$AQ248)&lt;&gt;"",IF(INDEX(C_Pavement!$E$5:$E$204,$AQ248)="-","",INDEX(C_Pavement!$E$5:$E$204,$AQ248)),IF($AS248="","",INDEX(E_Rules!$D$5:$D$9,$AS248))))</f>
        <v/>
      </c>
      <c r="AV248" t="str">
        <f>IF($AQ248="","",IF(INDEX(C_Pavement!$F$5:$F$204,$AQ248)&lt;&gt;"",IF(INDEX(C_Pavement!$F$5:$F$204,$AQ248)="-","",INDEX(C_Pavement!$F$5:$F$204,$AQ248)),IF($AS248="","",INDEX(E_Rules!$E$5:$E$9,$AS248))))</f>
        <v/>
      </c>
      <c r="AW248" t="str">
        <f>IF($AQ248="","",IF(INDEX(C_Pavement!$G$5:$G$204,$AQ248)&lt;&gt;"",IF(INDEX(C_Pavement!$G$5:$G$204,$AQ248)="-","",INDEX(C_Pavement!$G$5:$G$204,$AQ248)),IF($AS248="","",INDEX(E_Rules!$F$5:$F$9,$AS248))))</f>
        <v/>
      </c>
      <c r="AX248" t="str">
        <f>IF($AQ248="","",IF(INDEX(C_Pavement!$H$5:$H$204,$AQ248)&lt;&gt;"",IF(INDEX(C_Pavement!$H$5:$H$204,$AQ248)="-","",INDEX(C_Pavement!$H$5:$H$204,$AQ248)),IF($AS248="","",INDEX(E_Rules!$G$5:$G$9,$AS248))))</f>
        <v/>
      </c>
      <c r="AY248" t="str">
        <f>IF($AQ248="","",IF(INDEX(C_Pavement!$I$5:$I$204,$AQ248)&lt;&gt;"",IF(INDEX(C_Pavement!$I$5:$I$204,$AQ248)="-","",INDEX(C_Pavement!$I$5:$I$204,$AQ248)),IF($AS248="","",INDEX(E_Rules!$H$5:$H$9,$AS248))))</f>
        <v/>
      </c>
    </row>
    <row r="249" spans="1:51" ht="15.75" customHeight="1" x14ac:dyDescent="0.3">
      <c r="A249" s="189">
        <v>244</v>
      </c>
      <c r="B249" s="180">
        <v>12150</v>
      </c>
      <c r="C249" s="180" t="s">
        <v>555</v>
      </c>
      <c r="D249" s="181" t="str">
        <f>IFERROR(LOOKUP(2,1/((A_Corridor!$A$5:$A$204&lt;&gt;"")*(A_Corridor!$A$5:$A$204&lt;=$B249)*(A_Corridor!$B$5:$B$204&gt;$B249)*(A_Corridor!$C$5:$C$204&lt;&gt;"")),IF(UPPER(A_Corridor!$C$5:$C$204)="Y",1,"")),"")</f>
        <v/>
      </c>
      <c r="E249" s="181" t="str">
        <f>IFERROR(LOOKUP(2,1/((A_Corridor!$A$5:$A$204&lt;&gt;"")*(A_Corridor!$A$5:$A$204&lt;=$B249)*(A_Corridor!$B$5:$B$204&gt;$B249)*(A_Corridor!$D$5:$D$204&lt;&gt;"")),IF(A_Corridor!$D$5:$D$204="-","",UPPER(A_Corridor!$D$5:$D$204))),"")</f>
        <v/>
      </c>
      <c r="F249" s="181" t="str">
        <f>IFERROR(LOOKUP(2,1/((A_Corridor!$A$5:$A$204&lt;&gt;"")*(A_Corridor!$A$5:$A$204&lt;=$B249)*(A_Corridor!$B$5:$B$204&gt;$B249)*(A_Corridor!$E$5:$E$204&lt;&gt;"")),IF(A_Corridor!$E$5:$E$204="-","",1)),"")</f>
        <v/>
      </c>
      <c r="G249" s="182" t="str">
        <f>IFERROR(LOOKUP(2,1/((A_Corridor!$A$5:$A$204&lt;&gt;"")*(A_Corridor!$A$5:$A$204&lt;=$B249)*(A_Corridor!$B$5:$B$204&gt;$B249)*(A_Corridor!$E$5:$E$204&lt;&gt;"")),IF(A_Corridor!$E$5:$E$204="-","",A_Corridor!$E$5:$E$204)),"")</f>
        <v/>
      </c>
      <c r="H249" s="182" t="str">
        <f>IFERROR(LOOKUP(2,1/((D_Points!$A$5:$A$204&lt;&gt;"")*(D_Points!$A$5:$A$204&gt;=$B249)*(D_Points!$A$5:$A$204&lt;$B249+P_Interval)*(UPPER(TRIM(D_Points!$B$5:$B$204))="GULLY")*(D_Points!$H$5:$H$204&lt;&gt;"")),D_Points!$H$5:$H$204),"")</f>
        <v/>
      </c>
      <c r="I249" s="181" t="str">
        <f>IFERROR(LOOKUP(2,1/((A_Corridor!$A$5:$A$204&lt;&gt;"")*(A_Corridor!$A$5:$A$204&lt;=$B249)*(A_Corridor!$B$5:$B$204&gt;$B249)*(A_Corridor!$F$5:$F$204&lt;&gt;"")),IF(A_Corridor!$F$5:$F$204="-","",1)),"")</f>
        <v/>
      </c>
      <c r="J249" s="182" t="str">
        <f>IFERROR(LOOKUP(2,1/((A_Corridor!$A$5:$A$204&lt;&gt;"")*(A_Corridor!$A$5:$A$204&lt;=$B249)*(A_Corridor!$B$5:$B$204&gt;$B249)*(A_Corridor!$F$5:$F$204&lt;&gt;"")),IF(A_Corridor!$F$5:$F$204="-","",A_Corridor!$F$5:$F$204)),"")</f>
        <v/>
      </c>
      <c r="K249" s="182" t="str">
        <f>IFERROR(LOOKUP(2,1/((A_Corridor!$A$5:$A$204&lt;&gt;"")*(A_Corridor!$A$5:$A$204&lt;=$B249)*(A_Corridor!$B$5:$B$204&gt;$B249)*(A_Corridor!$G$5:$G$204&lt;&gt;"")),IF(A_Corridor!$G$5:$G$204="-","",A_Corridor!$G$5:$G$204)),"")</f>
        <v/>
      </c>
      <c r="L249" s="181" t="str">
        <f>IFERROR(LOOKUP(2,1/((A_Corridor!$A$5:$A$204&lt;&gt;"")*(A_Corridor!$A$5:$A$204&lt;=$B249)*(A_Corridor!$B$5:$B$204&gt;$B249)*(A_Corridor!$H$5:$H$204&lt;&gt;"")),IF(A_Corridor!$H$5:$H$204="-","",1)),"")</f>
        <v/>
      </c>
      <c r="M249" s="182" t="str">
        <f>IFERROR(LOOKUP(2,1/((A_Corridor!$A$5:$A$204&lt;&gt;"")*(A_Corridor!$A$5:$A$204&lt;=$B249)*(A_Corridor!$B$5:$B$204&gt;$B249)*(A_Corridor!$H$5:$H$204&lt;&gt;"")),IF(A_Corridor!$H$5:$H$204="-","",A_Corridor!$H$5:$H$204)),"")</f>
        <v/>
      </c>
      <c r="N249" s="182" t="str">
        <f>IFERROR(LOOKUP(2,1/((A_Corridor!$A$5:$A$204&lt;&gt;"")*(A_Corridor!$A$5:$A$204&lt;=$B249)*(A_Corridor!$B$5:$B$204&gt;$B249)*(A_Corridor!$I$5:$I$204&lt;&gt;"")),IF(A_Corridor!$I$5:$I$204="-","",A_Corridor!$I$5:$I$204)),"")</f>
        <v/>
      </c>
      <c r="O249" s="182" t="str">
        <f>IFERROR(LOOKUP(2,1/((D_Points!$A$5:$A$204&lt;&gt;"")*(D_Points!$A$5:$A$204&gt;=$B249)*(D_Points!$A$5:$A$204&lt;$B249+P_Interval)*(UPPER(TRIM(D_Points!$B$5:$B$204))="PITCHING")*(D_Points!$H$5:$H$204&lt;&gt;"")),D_Points!$H$5:$H$204),"")</f>
        <v/>
      </c>
      <c r="P249" s="181" t="str">
        <f>IFERROR(LOOKUP(2,1/((B_Drainage!$A$5:$A$204&lt;&gt;"")*(B_Drainage!$A$5:$A$204&lt;=$B249)*(B_Drainage!$B$5:$B$204&gt;$B249)*(B_Drainage!$C$5:$C$204&lt;&gt;"")),IF(B_Drainage!$C$5:$C$204="-","",UPPER(B_Drainage!$C$5:$C$204))),"")</f>
        <v/>
      </c>
      <c r="Q249" s="181" t="str">
        <f>IFERROR(LOOKUP(2,1/((B_Drainage!$A$5:$A$204&lt;&gt;"")*(B_Drainage!$A$5:$A$204&lt;=$B249)*(B_Drainage!$B$5:$B$204&gt;$B249)*(B_Drainage!$D$5:$D$204&lt;&gt;"")),IF(B_Drainage!$D$5:$D$204="-","",UPPER(B_Drainage!$D$5:$D$204))),"")</f>
        <v/>
      </c>
      <c r="R249" s="182" t="str">
        <f>IFERROR(LOOKUP(2,1/((D_Points!$A$5:$A$204&lt;&gt;"")*(D_Points!$A$5:$A$204&gt;=$B249)*(D_Points!$A$5:$A$204&lt;$B249+P_Interval)*(RIGHT(UPPER(TRIM(D_Points!$B$5:$B$204)),8)="_CULVERT")),IF(LEFT(UPPER(TRIM(D_Points!$B$5:$B$204)),2)="EX",1,IF(LEFT(UPPER(TRIM(D_Points!$B$5:$B$204)),2)="PR",2,3))),"")</f>
        <v/>
      </c>
      <c r="S249" s="182" t="str">
        <f>IFERROR(LOOKUP(2,1/((D_Points!$A$5:$A$204&lt;&gt;"")*(D_Points!$A$5:$A$204&gt;=$B249)*(D_Points!$A$5:$A$204&lt;$B249+P_Interval)*(RIGHT(UPPER(TRIM(D_Points!$B$5:$B$204)),7)="_BRIDGE")),IF(LEFT(UPPER(TRIM(D_Points!$B$5:$B$204)),2)="EX",1,IF(LEFT(UPPER(TRIM(D_Points!$B$5:$B$204)),2)="PR",2,2))),"")</f>
        <v/>
      </c>
      <c r="T249" s="181" t="str">
        <f>IFERROR(LOOKUP(2,1/((B_Drainage!$A$5:$A$204&lt;&gt;"")*(B_Drainage!$A$5:$A$204&lt;=$B249)*(B_Drainage!$B$5:$B$204&gt;$B249)*(B_Drainage!$E$5:$E$204&lt;&gt;"")),IF(B_Drainage!$E$5:$E$204="-","",1)),"")</f>
        <v/>
      </c>
      <c r="U249" s="181" t="str">
        <f>IFERROR(LOOKUP(2,1/((B_Drainage!$A$5:$A$204&lt;&gt;"")*(B_Drainage!$A$5:$A$204&lt;=$B249)*(B_Drainage!$B$5:$B$204&gt;$B249)*(B_Drainage!$E$5:$E$204&lt;&gt;"")),IF(B_Drainage!$E$5:$E$204="-","",B_Drainage!$E$5:$E$204)),"")</f>
        <v/>
      </c>
      <c r="V249" s="181" t="str">
        <f>IFERROR(LOOKUP(2,1/((B_Drainage!$A$5:$A$204&lt;&gt;"")*(B_Drainage!$A$5:$A$204&lt;=$B249)*(B_Drainage!$B$5:$B$204&gt;$B249)*(B_Drainage!$F$5:$F$204&lt;&gt;"")),IF(B_Drainage!$F$5:$F$204="-","",1)),"")</f>
        <v/>
      </c>
      <c r="W249" s="181" t="str">
        <f>IFERROR(LOOKUP(2,1/((B_Drainage!$A$5:$A$204&lt;&gt;"")*(B_Drainage!$A$5:$A$204&lt;=$B249)*(B_Drainage!$B$5:$B$204&gt;$B249)*(B_Drainage!$F$5:$F$204&lt;&gt;"")),IF(B_Drainage!$F$5:$F$204="-","",B_Drainage!$F$5:$F$204)),"")</f>
        <v/>
      </c>
      <c r="X249" s="181" t="str">
        <f>IFERROR(LOOKUP(2,1/((B_Drainage!$A$5:$A$204&lt;&gt;"")*(B_Drainage!$A$5:$A$204&lt;=$B249)*(B_Drainage!$B$5:$B$204&gt;$B249)*(B_Drainage!$G$5:$G$204&lt;&gt;"")),IF(UPPER(B_Drainage!$G$5:$G$204)="Y",1,"")),"")</f>
        <v/>
      </c>
      <c r="Y249" s="181" t="str">
        <f>IFERROR(LOOKUP(2,1/((B_Drainage!$A$5:$A$204&lt;&gt;"")*(B_Drainage!$A$5:$A$204&lt;=$B249)*(B_Drainage!$B$5:$B$204&gt;$B249)*(B_Drainage!$H$5:$H$204&lt;&gt;"")),IF(UPPER(B_Drainage!$H$5:$H$204)="Y",1,"")),"")</f>
        <v/>
      </c>
      <c r="Z249" s="181" t="str">
        <f>IFERROR(LOOKUP(2,1/((B_Drainage!$A$5:$A$204&lt;&gt;"")*(B_Drainage!$A$5:$A$204&lt;=$B249)*(B_Drainage!$B$5:$B$204&gt;$B249)*(B_Drainage!$I$5:$I$204&lt;&gt;"")),IF(UPPER(B_Drainage!$I$5:$I$204)="Y",1,"")),"")</f>
        <v/>
      </c>
      <c r="AA249" s="181" t="str">
        <f>IFERROR(LOOKUP(2,1/((B_Drainage!$A$5:$A$204&lt;&gt;"")*(B_Drainage!$A$5:$A$204&lt;=$B249)*(B_Drainage!$B$5:$B$204&gt;$B249)*(B_Drainage!$J$5:$J$204&lt;&gt;"")),IF(UPPER(B_Drainage!$J$5:$J$204)="Y",1,"")),"")</f>
        <v/>
      </c>
      <c r="AB249" s="182" t="str">
        <f>IFERROR(LOOKUP(2,1/((B_Drainage!$A$5:$A$204&lt;&gt;"")*(B_Drainage!$A$5:$A$204&lt;=$B249)*(B_Drainage!$B$5:$B$204&gt;$B249)*(B_Drainage!$K$5:$K$204&lt;&gt;"")),IF(B_Drainage!$K$5:$K$204="-","",B_Drainage!$K$5:$K$204)),"")</f>
        <v/>
      </c>
      <c r="AC249" s="182" t="str">
        <f>IFERROR(LOOKUP(2,1/((B_Drainage!$A$5:$A$204&lt;&gt;"")*(B_Drainage!$A$5:$A$204&lt;=$B249)*(B_Drainage!$B$5:$B$204&gt;$B249)*(B_Drainage!$L$5:$L$204&lt;&gt;"")),IF(B_Drainage!$L$5:$L$204="-","",B_Drainage!$L$5:$L$204)),"")</f>
        <v/>
      </c>
      <c r="AD249" s="182" t="str">
        <f>IFERROR(LOOKUP(2,1/((D_Points!$A$5:$A$204&lt;&gt;"")*(D_Points!$A$5:$A$204&gt;=$B249)*(D_Points!$A$5:$A$204&lt;$B249+P_Interval)*(UPPER(TRIM(D_Points!$B$5:$B$204))="TURNOUT_L")*(D_Points!$H$5:$H$204&lt;&gt;"")),D_Points!$H$5:$H$204),"")</f>
        <v/>
      </c>
      <c r="AE249" s="182" t="str">
        <f>IFERROR(LOOKUP(2,1/((D_Points!$A$5:$A$204&lt;&gt;"")*(D_Points!$A$5:$A$204&gt;=$B249)*(D_Points!$A$5:$A$204&lt;$B249+P_Interval)*(UPPER(TRIM(D_Points!$B$5:$B$204))="TURNOUT_R")*(D_Points!$H$5:$H$204&lt;&gt;"")),D_Points!$H$5:$H$204),"")</f>
        <v/>
      </c>
      <c r="AF249" s="181" t="str">
        <f>IFERROR(LOOKUP(2,1/((B_Drainage!$A$5:$A$204&lt;&gt;"")*(B_Drainage!$A$5:$A$204&lt;=$B249)*(B_Drainage!$B$5:$B$204&gt;$B249)*(B_Drainage!$M$5:$M$204&lt;&gt;"")),IF(UPPER(B_Drainage!$M$5:$M$204)="Y",1,"")),"")</f>
        <v/>
      </c>
      <c r="AG249" s="181" t="str">
        <f>IFERROR(LOOKUP(2,1/((B_Drainage!$A$5:$A$204&lt;&gt;"")*(B_Drainage!$A$5:$A$204&lt;=$B249)*(B_Drainage!$B$5:$B$204&gt;$B249)*(B_Drainage!$N$5:$N$204&lt;&gt;"")),IF(UPPER(B_Drainage!$N$5:$N$204)="Y",1,"")),"")</f>
        <v/>
      </c>
      <c r="AH249" s="181" t="str">
        <f t="shared" si="24"/>
        <v/>
      </c>
      <c r="AI249" s="181" t="str">
        <f t="shared" si="25"/>
        <v/>
      </c>
      <c r="AJ249" s="181" t="str">
        <f t="shared" si="26"/>
        <v/>
      </c>
      <c r="AK249" s="181" t="str">
        <f t="shared" si="27"/>
        <v/>
      </c>
      <c r="AL249" s="181" t="str">
        <f t="shared" si="28"/>
        <v/>
      </c>
      <c r="AM249" s="181" t="str">
        <f t="shared" si="29"/>
        <v/>
      </c>
      <c r="AN249" s="181" t="str">
        <f t="shared" si="30"/>
        <v/>
      </c>
      <c r="AO249" s="192" t="str">
        <f t="shared" si="31"/>
        <v/>
      </c>
      <c r="AQ249" t="str">
        <f>IFERROR(LOOKUP(2,1/((C_Pavement!$A$5:$A$204&lt;&gt;"")*(C_Pavement!$A$5:$A$204&lt;=$B249)*(C_Pavement!$B$5:$B$204&gt;$B249)*(C_Pavement!$C$5:$C$204&lt;&gt;"")),ROW(C_Pavement!$C$5:$C$204)-4),"")</f>
        <v/>
      </c>
      <c r="AR249" t="str">
        <f>IF($AQ249="","",UPPER(TRIM(INDEX(C_Pavement!$C$5:$C$204,$AQ249))))</f>
        <v/>
      </c>
      <c r="AS249" t="str">
        <f>IF($AR249="","",IFERROR(MATCH($AR249,E_Rules!$A$5:$A$9,0),""))</f>
        <v/>
      </c>
      <c r="AT249" t="str">
        <f>IF($AQ249="","",IF(INDEX(C_Pavement!$D$5:$D$204,$AQ249)&lt;&gt;"",UPPER(TRIM(INDEX(C_Pavement!$D$5:$D$204,$AQ249))),IF($AS249="","",INDEX(E_Rules!$C$5:$C$9,$AS249))))</f>
        <v/>
      </c>
      <c r="AU249" t="str">
        <f>IF($AQ249="","",IF(INDEX(C_Pavement!$E$5:$E$204,$AQ249)&lt;&gt;"",IF(INDEX(C_Pavement!$E$5:$E$204,$AQ249)="-","",INDEX(C_Pavement!$E$5:$E$204,$AQ249)),IF($AS249="","",INDEX(E_Rules!$D$5:$D$9,$AS249))))</f>
        <v/>
      </c>
      <c r="AV249" t="str">
        <f>IF($AQ249="","",IF(INDEX(C_Pavement!$F$5:$F$204,$AQ249)&lt;&gt;"",IF(INDEX(C_Pavement!$F$5:$F$204,$AQ249)="-","",INDEX(C_Pavement!$F$5:$F$204,$AQ249)),IF($AS249="","",INDEX(E_Rules!$E$5:$E$9,$AS249))))</f>
        <v/>
      </c>
      <c r="AW249" t="str">
        <f>IF($AQ249="","",IF(INDEX(C_Pavement!$G$5:$G$204,$AQ249)&lt;&gt;"",IF(INDEX(C_Pavement!$G$5:$G$204,$AQ249)="-","",INDEX(C_Pavement!$G$5:$G$204,$AQ249)),IF($AS249="","",INDEX(E_Rules!$F$5:$F$9,$AS249))))</f>
        <v/>
      </c>
      <c r="AX249" t="str">
        <f>IF($AQ249="","",IF(INDEX(C_Pavement!$H$5:$H$204,$AQ249)&lt;&gt;"",IF(INDEX(C_Pavement!$H$5:$H$204,$AQ249)="-","",INDEX(C_Pavement!$H$5:$H$204,$AQ249)),IF($AS249="","",INDEX(E_Rules!$G$5:$G$9,$AS249))))</f>
        <v/>
      </c>
      <c r="AY249" t="str">
        <f>IF($AQ249="","",IF(INDEX(C_Pavement!$I$5:$I$204,$AQ249)&lt;&gt;"",IF(INDEX(C_Pavement!$I$5:$I$204,$AQ249)="-","",INDEX(C_Pavement!$I$5:$I$204,$AQ249)),IF($AS249="","",INDEX(E_Rules!$H$5:$H$9,$AS249))))</f>
        <v/>
      </c>
    </row>
    <row r="250" spans="1:51" ht="15.75" customHeight="1" x14ac:dyDescent="0.3">
      <c r="A250" s="189">
        <v>245</v>
      </c>
      <c r="B250" s="180">
        <v>12200</v>
      </c>
      <c r="C250" s="180" t="s">
        <v>556</v>
      </c>
      <c r="D250" s="181" t="str">
        <f>IFERROR(LOOKUP(2,1/((A_Corridor!$A$5:$A$204&lt;&gt;"")*(A_Corridor!$A$5:$A$204&lt;=$B250)*(A_Corridor!$B$5:$B$204&gt;$B250)*(A_Corridor!$C$5:$C$204&lt;&gt;"")),IF(UPPER(A_Corridor!$C$5:$C$204)="Y",1,"")),"")</f>
        <v/>
      </c>
      <c r="E250" s="181" t="str">
        <f>IFERROR(LOOKUP(2,1/((A_Corridor!$A$5:$A$204&lt;&gt;"")*(A_Corridor!$A$5:$A$204&lt;=$B250)*(A_Corridor!$B$5:$B$204&gt;$B250)*(A_Corridor!$D$5:$D$204&lt;&gt;"")),IF(A_Corridor!$D$5:$D$204="-","",UPPER(A_Corridor!$D$5:$D$204))),"")</f>
        <v/>
      </c>
      <c r="F250" s="181" t="str">
        <f>IFERROR(LOOKUP(2,1/((A_Corridor!$A$5:$A$204&lt;&gt;"")*(A_Corridor!$A$5:$A$204&lt;=$B250)*(A_Corridor!$B$5:$B$204&gt;$B250)*(A_Corridor!$E$5:$E$204&lt;&gt;"")),IF(A_Corridor!$E$5:$E$204="-","",1)),"")</f>
        <v/>
      </c>
      <c r="G250" s="182" t="str">
        <f>IFERROR(LOOKUP(2,1/((A_Corridor!$A$5:$A$204&lt;&gt;"")*(A_Corridor!$A$5:$A$204&lt;=$B250)*(A_Corridor!$B$5:$B$204&gt;$B250)*(A_Corridor!$E$5:$E$204&lt;&gt;"")),IF(A_Corridor!$E$5:$E$204="-","",A_Corridor!$E$5:$E$204)),"")</f>
        <v/>
      </c>
      <c r="H250" s="182" t="str">
        <f>IFERROR(LOOKUP(2,1/((D_Points!$A$5:$A$204&lt;&gt;"")*(D_Points!$A$5:$A$204&gt;=$B250)*(D_Points!$A$5:$A$204&lt;$B250+P_Interval)*(UPPER(TRIM(D_Points!$B$5:$B$204))="GULLY")*(D_Points!$H$5:$H$204&lt;&gt;"")),D_Points!$H$5:$H$204),"")</f>
        <v/>
      </c>
      <c r="I250" s="181" t="str">
        <f>IFERROR(LOOKUP(2,1/((A_Corridor!$A$5:$A$204&lt;&gt;"")*(A_Corridor!$A$5:$A$204&lt;=$B250)*(A_Corridor!$B$5:$B$204&gt;$B250)*(A_Corridor!$F$5:$F$204&lt;&gt;"")),IF(A_Corridor!$F$5:$F$204="-","",1)),"")</f>
        <v/>
      </c>
      <c r="J250" s="182" t="str">
        <f>IFERROR(LOOKUP(2,1/((A_Corridor!$A$5:$A$204&lt;&gt;"")*(A_Corridor!$A$5:$A$204&lt;=$B250)*(A_Corridor!$B$5:$B$204&gt;$B250)*(A_Corridor!$F$5:$F$204&lt;&gt;"")),IF(A_Corridor!$F$5:$F$204="-","",A_Corridor!$F$5:$F$204)),"")</f>
        <v/>
      </c>
      <c r="K250" s="182" t="str">
        <f>IFERROR(LOOKUP(2,1/((A_Corridor!$A$5:$A$204&lt;&gt;"")*(A_Corridor!$A$5:$A$204&lt;=$B250)*(A_Corridor!$B$5:$B$204&gt;$B250)*(A_Corridor!$G$5:$G$204&lt;&gt;"")),IF(A_Corridor!$G$5:$G$204="-","",A_Corridor!$G$5:$G$204)),"")</f>
        <v/>
      </c>
      <c r="L250" s="181" t="str">
        <f>IFERROR(LOOKUP(2,1/((A_Corridor!$A$5:$A$204&lt;&gt;"")*(A_Corridor!$A$5:$A$204&lt;=$B250)*(A_Corridor!$B$5:$B$204&gt;$B250)*(A_Corridor!$H$5:$H$204&lt;&gt;"")),IF(A_Corridor!$H$5:$H$204="-","",1)),"")</f>
        <v/>
      </c>
      <c r="M250" s="182" t="str">
        <f>IFERROR(LOOKUP(2,1/((A_Corridor!$A$5:$A$204&lt;&gt;"")*(A_Corridor!$A$5:$A$204&lt;=$B250)*(A_Corridor!$B$5:$B$204&gt;$B250)*(A_Corridor!$H$5:$H$204&lt;&gt;"")),IF(A_Corridor!$H$5:$H$204="-","",A_Corridor!$H$5:$H$204)),"")</f>
        <v/>
      </c>
      <c r="N250" s="182" t="str">
        <f>IFERROR(LOOKUP(2,1/((A_Corridor!$A$5:$A$204&lt;&gt;"")*(A_Corridor!$A$5:$A$204&lt;=$B250)*(A_Corridor!$B$5:$B$204&gt;$B250)*(A_Corridor!$I$5:$I$204&lt;&gt;"")),IF(A_Corridor!$I$5:$I$204="-","",A_Corridor!$I$5:$I$204)),"")</f>
        <v/>
      </c>
      <c r="O250" s="182" t="str">
        <f>IFERROR(LOOKUP(2,1/((D_Points!$A$5:$A$204&lt;&gt;"")*(D_Points!$A$5:$A$204&gt;=$B250)*(D_Points!$A$5:$A$204&lt;$B250+P_Interval)*(UPPER(TRIM(D_Points!$B$5:$B$204))="PITCHING")*(D_Points!$H$5:$H$204&lt;&gt;"")),D_Points!$H$5:$H$204),"")</f>
        <v/>
      </c>
      <c r="P250" s="181" t="str">
        <f>IFERROR(LOOKUP(2,1/((B_Drainage!$A$5:$A$204&lt;&gt;"")*(B_Drainage!$A$5:$A$204&lt;=$B250)*(B_Drainage!$B$5:$B$204&gt;$B250)*(B_Drainage!$C$5:$C$204&lt;&gt;"")),IF(B_Drainage!$C$5:$C$204="-","",UPPER(B_Drainage!$C$5:$C$204))),"")</f>
        <v/>
      </c>
      <c r="Q250" s="181" t="str">
        <f>IFERROR(LOOKUP(2,1/((B_Drainage!$A$5:$A$204&lt;&gt;"")*(B_Drainage!$A$5:$A$204&lt;=$B250)*(B_Drainage!$B$5:$B$204&gt;$B250)*(B_Drainage!$D$5:$D$204&lt;&gt;"")),IF(B_Drainage!$D$5:$D$204="-","",UPPER(B_Drainage!$D$5:$D$204))),"")</f>
        <v/>
      </c>
      <c r="R250" s="182" t="str">
        <f>IFERROR(LOOKUP(2,1/((D_Points!$A$5:$A$204&lt;&gt;"")*(D_Points!$A$5:$A$204&gt;=$B250)*(D_Points!$A$5:$A$204&lt;$B250+P_Interval)*(RIGHT(UPPER(TRIM(D_Points!$B$5:$B$204)),8)="_CULVERT")),IF(LEFT(UPPER(TRIM(D_Points!$B$5:$B$204)),2)="EX",1,IF(LEFT(UPPER(TRIM(D_Points!$B$5:$B$204)),2)="PR",2,3))),"")</f>
        <v/>
      </c>
      <c r="S250" s="182" t="str">
        <f>IFERROR(LOOKUP(2,1/((D_Points!$A$5:$A$204&lt;&gt;"")*(D_Points!$A$5:$A$204&gt;=$B250)*(D_Points!$A$5:$A$204&lt;$B250+P_Interval)*(RIGHT(UPPER(TRIM(D_Points!$B$5:$B$204)),7)="_BRIDGE")),IF(LEFT(UPPER(TRIM(D_Points!$B$5:$B$204)),2)="EX",1,IF(LEFT(UPPER(TRIM(D_Points!$B$5:$B$204)),2)="PR",2,2))),"")</f>
        <v/>
      </c>
      <c r="T250" s="181" t="str">
        <f>IFERROR(LOOKUP(2,1/((B_Drainage!$A$5:$A$204&lt;&gt;"")*(B_Drainage!$A$5:$A$204&lt;=$B250)*(B_Drainage!$B$5:$B$204&gt;$B250)*(B_Drainage!$E$5:$E$204&lt;&gt;"")),IF(B_Drainage!$E$5:$E$204="-","",1)),"")</f>
        <v/>
      </c>
      <c r="U250" s="181" t="str">
        <f>IFERROR(LOOKUP(2,1/((B_Drainage!$A$5:$A$204&lt;&gt;"")*(B_Drainage!$A$5:$A$204&lt;=$B250)*(B_Drainage!$B$5:$B$204&gt;$B250)*(B_Drainage!$E$5:$E$204&lt;&gt;"")),IF(B_Drainage!$E$5:$E$204="-","",B_Drainage!$E$5:$E$204)),"")</f>
        <v/>
      </c>
      <c r="V250" s="181" t="str">
        <f>IFERROR(LOOKUP(2,1/((B_Drainage!$A$5:$A$204&lt;&gt;"")*(B_Drainage!$A$5:$A$204&lt;=$B250)*(B_Drainage!$B$5:$B$204&gt;$B250)*(B_Drainage!$F$5:$F$204&lt;&gt;"")),IF(B_Drainage!$F$5:$F$204="-","",1)),"")</f>
        <v/>
      </c>
      <c r="W250" s="181" t="str">
        <f>IFERROR(LOOKUP(2,1/((B_Drainage!$A$5:$A$204&lt;&gt;"")*(B_Drainage!$A$5:$A$204&lt;=$B250)*(B_Drainage!$B$5:$B$204&gt;$B250)*(B_Drainage!$F$5:$F$204&lt;&gt;"")),IF(B_Drainage!$F$5:$F$204="-","",B_Drainage!$F$5:$F$204)),"")</f>
        <v/>
      </c>
      <c r="X250" s="181" t="str">
        <f>IFERROR(LOOKUP(2,1/((B_Drainage!$A$5:$A$204&lt;&gt;"")*(B_Drainage!$A$5:$A$204&lt;=$B250)*(B_Drainage!$B$5:$B$204&gt;$B250)*(B_Drainage!$G$5:$G$204&lt;&gt;"")),IF(UPPER(B_Drainage!$G$5:$G$204)="Y",1,"")),"")</f>
        <v/>
      </c>
      <c r="Y250" s="181" t="str">
        <f>IFERROR(LOOKUP(2,1/((B_Drainage!$A$5:$A$204&lt;&gt;"")*(B_Drainage!$A$5:$A$204&lt;=$B250)*(B_Drainage!$B$5:$B$204&gt;$B250)*(B_Drainage!$H$5:$H$204&lt;&gt;"")),IF(UPPER(B_Drainage!$H$5:$H$204)="Y",1,"")),"")</f>
        <v/>
      </c>
      <c r="Z250" s="181" t="str">
        <f>IFERROR(LOOKUP(2,1/((B_Drainage!$A$5:$A$204&lt;&gt;"")*(B_Drainage!$A$5:$A$204&lt;=$B250)*(B_Drainage!$B$5:$B$204&gt;$B250)*(B_Drainage!$I$5:$I$204&lt;&gt;"")),IF(UPPER(B_Drainage!$I$5:$I$204)="Y",1,"")),"")</f>
        <v/>
      </c>
      <c r="AA250" s="181" t="str">
        <f>IFERROR(LOOKUP(2,1/((B_Drainage!$A$5:$A$204&lt;&gt;"")*(B_Drainage!$A$5:$A$204&lt;=$B250)*(B_Drainage!$B$5:$B$204&gt;$B250)*(B_Drainage!$J$5:$J$204&lt;&gt;"")),IF(UPPER(B_Drainage!$J$5:$J$204)="Y",1,"")),"")</f>
        <v/>
      </c>
      <c r="AB250" s="182" t="str">
        <f>IFERROR(LOOKUP(2,1/((B_Drainage!$A$5:$A$204&lt;&gt;"")*(B_Drainage!$A$5:$A$204&lt;=$B250)*(B_Drainage!$B$5:$B$204&gt;$B250)*(B_Drainage!$K$5:$K$204&lt;&gt;"")),IF(B_Drainage!$K$5:$K$204="-","",B_Drainage!$K$5:$K$204)),"")</f>
        <v/>
      </c>
      <c r="AC250" s="182" t="str">
        <f>IFERROR(LOOKUP(2,1/((B_Drainage!$A$5:$A$204&lt;&gt;"")*(B_Drainage!$A$5:$A$204&lt;=$B250)*(B_Drainage!$B$5:$B$204&gt;$B250)*(B_Drainage!$L$5:$L$204&lt;&gt;"")),IF(B_Drainage!$L$5:$L$204="-","",B_Drainage!$L$5:$L$204)),"")</f>
        <v/>
      </c>
      <c r="AD250" s="182" t="str">
        <f>IFERROR(LOOKUP(2,1/((D_Points!$A$5:$A$204&lt;&gt;"")*(D_Points!$A$5:$A$204&gt;=$B250)*(D_Points!$A$5:$A$204&lt;$B250+P_Interval)*(UPPER(TRIM(D_Points!$B$5:$B$204))="TURNOUT_L")*(D_Points!$H$5:$H$204&lt;&gt;"")),D_Points!$H$5:$H$204),"")</f>
        <v/>
      </c>
      <c r="AE250" s="182" t="str">
        <f>IFERROR(LOOKUP(2,1/((D_Points!$A$5:$A$204&lt;&gt;"")*(D_Points!$A$5:$A$204&gt;=$B250)*(D_Points!$A$5:$A$204&lt;$B250+P_Interval)*(UPPER(TRIM(D_Points!$B$5:$B$204))="TURNOUT_R")*(D_Points!$H$5:$H$204&lt;&gt;"")),D_Points!$H$5:$H$204),"")</f>
        <v/>
      </c>
      <c r="AF250" s="181" t="str">
        <f>IFERROR(LOOKUP(2,1/((B_Drainage!$A$5:$A$204&lt;&gt;"")*(B_Drainage!$A$5:$A$204&lt;=$B250)*(B_Drainage!$B$5:$B$204&gt;$B250)*(B_Drainage!$M$5:$M$204&lt;&gt;"")),IF(UPPER(B_Drainage!$M$5:$M$204)="Y",1,"")),"")</f>
        <v/>
      </c>
      <c r="AG250" s="181" t="str">
        <f>IFERROR(LOOKUP(2,1/((B_Drainage!$A$5:$A$204&lt;&gt;"")*(B_Drainage!$A$5:$A$204&lt;=$B250)*(B_Drainage!$B$5:$B$204&gt;$B250)*(B_Drainage!$N$5:$N$204&lt;&gt;"")),IF(UPPER(B_Drainage!$N$5:$N$204)="Y",1,"")),"")</f>
        <v/>
      </c>
      <c r="AH250" s="181" t="str">
        <f t="shared" si="24"/>
        <v/>
      </c>
      <c r="AI250" s="181" t="str">
        <f t="shared" si="25"/>
        <v/>
      </c>
      <c r="AJ250" s="181" t="str">
        <f t="shared" si="26"/>
        <v/>
      </c>
      <c r="AK250" s="181" t="str">
        <f t="shared" si="27"/>
        <v/>
      </c>
      <c r="AL250" s="181" t="str">
        <f t="shared" si="28"/>
        <v/>
      </c>
      <c r="AM250" s="181" t="str">
        <f t="shared" si="29"/>
        <v/>
      </c>
      <c r="AN250" s="181" t="str">
        <f t="shared" si="30"/>
        <v/>
      </c>
      <c r="AO250" s="192" t="str">
        <f t="shared" si="31"/>
        <v/>
      </c>
      <c r="AQ250" t="str">
        <f>IFERROR(LOOKUP(2,1/((C_Pavement!$A$5:$A$204&lt;&gt;"")*(C_Pavement!$A$5:$A$204&lt;=$B250)*(C_Pavement!$B$5:$B$204&gt;$B250)*(C_Pavement!$C$5:$C$204&lt;&gt;"")),ROW(C_Pavement!$C$5:$C$204)-4),"")</f>
        <v/>
      </c>
      <c r="AR250" t="str">
        <f>IF($AQ250="","",UPPER(TRIM(INDEX(C_Pavement!$C$5:$C$204,$AQ250))))</f>
        <v/>
      </c>
      <c r="AS250" t="str">
        <f>IF($AR250="","",IFERROR(MATCH($AR250,E_Rules!$A$5:$A$9,0),""))</f>
        <v/>
      </c>
      <c r="AT250" t="str">
        <f>IF($AQ250="","",IF(INDEX(C_Pavement!$D$5:$D$204,$AQ250)&lt;&gt;"",UPPER(TRIM(INDEX(C_Pavement!$D$5:$D$204,$AQ250))),IF($AS250="","",INDEX(E_Rules!$C$5:$C$9,$AS250))))</f>
        <v/>
      </c>
      <c r="AU250" t="str">
        <f>IF($AQ250="","",IF(INDEX(C_Pavement!$E$5:$E$204,$AQ250)&lt;&gt;"",IF(INDEX(C_Pavement!$E$5:$E$204,$AQ250)="-","",INDEX(C_Pavement!$E$5:$E$204,$AQ250)),IF($AS250="","",INDEX(E_Rules!$D$5:$D$9,$AS250))))</f>
        <v/>
      </c>
      <c r="AV250" t="str">
        <f>IF($AQ250="","",IF(INDEX(C_Pavement!$F$5:$F$204,$AQ250)&lt;&gt;"",IF(INDEX(C_Pavement!$F$5:$F$204,$AQ250)="-","",INDEX(C_Pavement!$F$5:$F$204,$AQ250)),IF($AS250="","",INDEX(E_Rules!$E$5:$E$9,$AS250))))</f>
        <v/>
      </c>
      <c r="AW250" t="str">
        <f>IF($AQ250="","",IF(INDEX(C_Pavement!$G$5:$G$204,$AQ250)&lt;&gt;"",IF(INDEX(C_Pavement!$G$5:$G$204,$AQ250)="-","",INDEX(C_Pavement!$G$5:$G$204,$AQ250)),IF($AS250="","",INDEX(E_Rules!$F$5:$F$9,$AS250))))</f>
        <v/>
      </c>
      <c r="AX250" t="str">
        <f>IF($AQ250="","",IF(INDEX(C_Pavement!$H$5:$H$204,$AQ250)&lt;&gt;"",IF(INDEX(C_Pavement!$H$5:$H$204,$AQ250)="-","",INDEX(C_Pavement!$H$5:$H$204,$AQ250)),IF($AS250="","",INDEX(E_Rules!$G$5:$G$9,$AS250))))</f>
        <v/>
      </c>
      <c r="AY250" t="str">
        <f>IF($AQ250="","",IF(INDEX(C_Pavement!$I$5:$I$204,$AQ250)&lt;&gt;"",IF(INDEX(C_Pavement!$I$5:$I$204,$AQ250)="-","",INDEX(C_Pavement!$I$5:$I$204,$AQ250)),IF($AS250="","",INDEX(E_Rules!$H$5:$H$9,$AS250))))</f>
        <v/>
      </c>
    </row>
    <row r="251" spans="1:51" ht="15.75" customHeight="1" x14ac:dyDescent="0.3">
      <c r="A251" s="189">
        <v>246</v>
      </c>
      <c r="B251" s="180">
        <v>12250</v>
      </c>
      <c r="C251" s="180" t="s">
        <v>557</v>
      </c>
      <c r="D251" s="181" t="str">
        <f>IFERROR(LOOKUP(2,1/((A_Corridor!$A$5:$A$204&lt;&gt;"")*(A_Corridor!$A$5:$A$204&lt;=$B251)*(A_Corridor!$B$5:$B$204&gt;$B251)*(A_Corridor!$C$5:$C$204&lt;&gt;"")),IF(UPPER(A_Corridor!$C$5:$C$204)="Y",1,"")),"")</f>
        <v/>
      </c>
      <c r="E251" s="181" t="str">
        <f>IFERROR(LOOKUP(2,1/((A_Corridor!$A$5:$A$204&lt;&gt;"")*(A_Corridor!$A$5:$A$204&lt;=$B251)*(A_Corridor!$B$5:$B$204&gt;$B251)*(A_Corridor!$D$5:$D$204&lt;&gt;"")),IF(A_Corridor!$D$5:$D$204="-","",UPPER(A_Corridor!$D$5:$D$204))),"")</f>
        <v/>
      </c>
      <c r="F251" s="181" t="str">
        <f>IFERROR(LOOKUP(2,1/((A_Corridor!$A$5:$A$204&lt;&gt;"")*(A_Corridor!$A$5:$A$204&lt;=$B251)*(A_Corridor!$B$5:$B$204&gt;$B251)*(A_Corridor!$E$5:$E$204&lt;&gt;"")),IF(A_Corridor!$E$5:$E$204="-","",1)),"")</f>
        <v/>
      </c>
      <c r="G251" s="182" t="str">
        <f>IFERROR(LOOKUP(2,1/((A_Corridor!$A$5:$A$204&lt;&gt;"")*(A_Corridor!$A$5:$A$204&lt;=$B251)*(A_Corridor!$B$5:$B$204&gt;$B251)*(A_Corridor!$E$5:$E$204&lt;&gt;"")),IF(A_Corridor!$E$5:$E$204="-","",A_Corridor!$E$5:$E$204)),"")</f>
        <v/>
      </c>
      <c r="H251" s="182" t="str">
        <f>IFERROR(LOOKUP(2,1/((D_Points!$A$5:$A$204&lt;&gt;"")*(D_Points!$A$5:$A$204&gt;=$B251)*(D_Points!$A$5:$A$204&lt;$B251+P_Interval)*(UPPER(TRIM(D_Points!$B$5:$B$204))="GULLY")*(D_Points!$H$5:$H$204&lt;&gt;"")),D_Points!$H$5:$H$204),"")</f>
        <v/>
      </c>
      <c r="I251" s="181" t="str">
        <f>IFERROR(LOOKUP(2,1/((A_Corridor!$A$5:$A$204&lt;&gt;"")*(A_Corridor!$A$5:$A$204&lt;=$B251)*(A_Corridor!$B$5:$B$204&gt;$B251)*(A_Corridor!$F$5:$F$204&lt;&gt;"")),IF(A_Corridor!$F$5:$F$204="-","",1)),"")</f>
        <v/>
      </c>
      <c r="J251" s="182" t="str">
        <f>IFERROR(LOOKUP(2,1/((A_Corridor!$A$5:$A$204&lt;&gt;"")*(A_Corridor!$A$5:$A$204&lt;=$B251)*(A_Corridor!$B$5:$B$204&gt;$B251)*(A_Corridor!$F$5:$F$204&lt;&gt;"")),IF(A_Corridor!$F$5:$F$204="-","",A_Corridor!$F$5:$F$204)),"")</f>
        <v/>
      </c>
      <c r="K251" s="182" t="str">
        <f>IFERROR(LOOKUP(2,1/((A_Corridor!$A$5:$A$204&lt;&gt;"")*(A_Corridor!$A$5:$A$204&lt;=$B251)*(A_Corridor!$B$5:$B$204&gt;$B251)*(A_Corridor!$G$5:$G$204&lt;&gt;"")),IF(A_Corridor!$G$5:$G$204="-","",A_Corridor!$G$5:$G$204)),"")</f>
        <v/>
      </c>
      <c r="L251" s="181" t="str">
        <f>IFERROR(LOOKUP(2,1/((A_Corridor!$A$5:$A$204&lt;&gt;"")*(A_Corridor!$A$5:$A$204&lt;=$B251)*(A_Corridor!$B$5:$B$204&gt;$B251)*(A_Corridor!$H$5:$H$204&lt;&gt;"")),IF(A_Corridor!$H$5:$H$204="-","",1)),"")</f>
        <v/>
      </c>
      <c r="M251" s="182" t="str">
        <f>IFERROR(LOOKUP(2,1/((A_Corridor!$A$5:$A$204&lt;&gt;"")*(A_Corridor!$A$5:$A$204&lt;=$B251)*(A_Corridor!$B$5:$B$204&gt;$B251)*(A_Corridor!$H$5:$H$204&lt;&gt;"")),IF(A_Corridor!$H$5:$H$204="-","",A_Corridor!$H$5:$H$204)),"")</f>
        <v/>
      </c>
      <c r="N251" s="182" t="str">
        <f>IFERROR(LOOKUP(2,1/((A_Corridor!$A$5:$A$204&lt;&gt;"")*(A_Corridor!$A$5:$A$204&lt;=$B251)*(A_Corridor!$B$5:$B$204&gt;$B251)*(A_Corridor!$I$5:$I$204&lt;&gt;"")),IF(A_Corridor!$I$5:$I$204="-","",A_Corridor!$I$5:$I$204)),"")</f>
        <v/>
      </c>
      <c r="O251" s="182" t="str">
        <f>IFERROR(LOOKUP(2,1/((D_Points!$A$5:$A$204&lt;&gt;"")*(D_Points!$A$5:$A$204&gt;=$B251)*(D_Points!$A$5:$A$204&lt;$B251+P_Interval)*(UPPER(TRIM(D_Points!$B$5:$B$204))="PITCHING")*(D_Points!$H$5:$H$204&lt;&gt;"")),D_Points!$H$5:$H$204),"")</f>
        <v/>
      </c>
      <c r="P251" s="181" t="str">
        <f>IFERROR(LOOKUP(2,1/((B_Drainage!$A$5:$A$204&lt;&gt;"")*(B_Drainage!$A$5:$A$204&lt;=$B251)*(B_Drainage!$B$5:$B$204&gt;$B251)*(B_Drainage!$C$5:$C$204&lt;&gt;"")),IF(B_Drainage!$C$5:$C$204="-","",UPPER(B_Drainage!$C$5:$C$204))),"")</f>
        <v/>
      </c>
      <c r="Q251" s="181" t="str">
        <f>IFERROR(LOOKUP(2,1/((B_Drainage!$A$5:$A$204&lt;&gt;"")*(B_Drainage!$A$5:$A$204&lt;=$B251)*(B_Drainage!$B$5:$B$204&gt;$B251)*(B_Drainage!$D$5:$D$204&lt;&gt;"")),IF(B_Drainage!$D$5:$D$204="-","",UPPER(B_Drainage!$D$5:$D$204))),"")</f>
        <v/>
      </c>
      <c r="R251" s="182" t="str">
        <f>IFERROR(LOOKUP(2,1/((D_Points!$A$5:$A$204&lt;&gt;"")*(D_Points!$A$5:$A$204&gt;=$B251)*(D_Points!$A$5:$A$204&lt;$B251+P_Interval)*(RIGHT(UPPER(TRIM(D_Points!$B$5:$B$204)),8)="_CULVERT")),IF(LEFT(UPPER(TRIM(D_Points!$B$5:$B$204)),2)="EX",1,IF(LEFT(UPPER(TRIM(D_Points!$B$5:$B$204)),2)="PR",2,3))),"")</f>
        <v/>
      </c>
      <c r="S251" s="182" t="str">
        <f>IFERROR(LOOKUP(2,1/((D_Points!$A$5:$A$204&lt;&gt;"")*(D_Points!$A$5:$A$204&gt;=$B251)*(D_Points!$A$5:$A$204&lt;$B251+P_Interval)*(RIGHT(UPPER(TRIM(D_Points!$B$5:$B$204)),7)="_BRIDGE")),IF(LEFT(UPPER(TRIM(D_Points!$B$5:$B$204)),2)="EX",1,IF(LEFT(UPPER(TRIM(D_Points!$B$5:$B$204)),2)="PR",2,2))),"")</f>
        <v/>
      </c>
      <c r="T251" s="181" t="str">
        <f>IFERROR(LOOKUP(2,1/((B_Drainage!$A$5:$A$204&lt;&gt;"")*(B_Drainage!$A$5:$A$204&lt;=$B251)*(B_Drainage!$B$5:$B$204&gt;$B251)*(B_Drainage!$E$5:$E$204&lt;&gt;"")),IF(B_Drainage!$E$5:$E$204="-","",1)),"")</f>
        <v/>
      </c>
      <c r="U251" s="181" t="str">
        <f>IFERROR(LOOKUP(2,1/((B_Drainage!$A$5:$A$204&lt;&gt;"")*(B_Drainage!$A$5:$A$204&lt;=$B251)*(B_Drainage!$B$5:$B$204&gt;$B251)*(B_Drainage!$E$5:$E$204&lt;&gt;"")),IF(B_Drainage!$E$5:$E$204="-","",B_Drainage!$E$5:$E$204)),"")</f>
        <v/>
      </c>
      <c r="V251" s="181" t="str">
        <f>IFERROR(LOOKUP(2,1/((B_Drainage!$A$5:$A$204&lt;&gt;"")*(B_Drainage!$A$5:$A$204&lt;=$B251)*(B_Drainage!$B$5:$B$204&gt;$B251)*(B_Drainage!$F$5:$F$204&lt;&gt;"")),IF(B_Drainage!$F$5:$F$204="-","",1)),"")</f>
        <v/>
      </c>
      <c r="W251" s="181" t="str">
        <f>IFERROR(LOOKUP(2,1/((B_Drainage!$A$5:$A$204&lt;&gt;"")*(B_Drainage!$A$5:$A$204&lt;=$B251)*(B_Drainage!$B$5:$B$204&gt;$B251)*(B_Drainage!$F$5:$F$204&lt;&gt;"")),IF(B_Drainage!$F$5:$F$204="-","",B_Drainage!$F$5:$F$204)),"")</f>
        <v/>
      </c>
      <c r="X251" s="181" t="str">
        <f>IFERROR(LOOKUP(2,1/((B_Drainage!$A$5:$A$204&lt;&gt;"")*(B_Drainage!$A$5:$A$204&lt;=$B251)*(B_Drainage!$B$5:$B$204&gt;$B251)*(B_Drainage!$G$5:$G$204&lt;&gt;"")),IF(UPPER(B_Drainage!$G$5:$G$204)="Y",1,"")),"")</f>
        <v/>
      </c>
      <c r="Y251" s="181" t="str">
        <f>IFERROR(LOOKUP(2,1/((B_Drainage!$A$5:$A$204&lt;&gt;"")*(B_Drainage!$A$5:$A$204&lt;=$B251)*(B_Drainage!$B$5:$B$204&gt;$B251)*(B_Drainage!$H$5:$H$204&lt;&gt;"")),IF(UPPER(B_Drainage!$H$5:$H$204)="Y",1,"")),"")</f>
        <v/>
      </c>
      <c r="Z251" s="181" t="str">
        <f>IFERROR(LOOKUP(2,1/((B_Drainage!$A$5:$A$204&lt;&gt;"")*(B_Drainage!$A$5:$A$204&lt;=$B251)*(B_Drainage!$B$5:$B$204&gt;$B251)*(B_Drainage!$I$5:$I$204&lt;&gt;"")),IF(UPPER(B_Drainage!$I$5:$I$204)="Y",1,"")),"")</f>
        <v/>
      </c>
      <c r="AA251" s="181" t="str">
        <f>IFERROR(LOOKUP(2,1/((B_Drainage!$A$5:$A$204&lt;&gt;"")*(B_Drainage!$A$5:$A$204&lt;=$B251)*(B_Drainage!$B$5:$B$204&gt;$B251)*(B_Drainage!$J$5:$J$204&lt;&gt;"")),IF(UPPER(B_Drainage!$J$5:$J$204)="Y",1,"")),"")</f>
        <v/>
      </c>
      <c r="AB251" s="182" t="str">
        <f>IFERROR(LOOKUP(2,1/((B_Drainage!$A$5:$A$204&lt;&gt;"")*(B_Drainage!$A$5:$A$204&lt;=$B251)*(B_Drainage!$B$5:$B$204&gt;$B251)*(B_Drainage!$K$5:$K$204&lt;&gt;"")),IF(B_Drainage!$K$5:$K$204="-","",B_Drainage!$K$5:$K$204)),"")</f>
        <v/>
      </c>
      <c r="AC251" s="182" t="str">
        <f>IFERROR(LOOKUP(2,1/((B_Drainage!$A$5:$A$204&lt;&gt;"")*(B_Drainage!$A$5:$A$204&lt;=$B251)*(B_Drainage!$B$5:$B$204&gt;$B251)*(B_Drainage!$L$5:$L$204&lt;&gt;"")),IF(B_Drainage!$L$5:$L$204="-","",B_Drainage!$L$5:$L$204)),"")</f>
        <v/>
      </c>
      <c r="AD251" s="182" t="str">
        <f>IFERROR(LOOKUP(2,1/((D_Points!$A$5:$A$204&lt;&gt;"")*(D_Points!$A$5:$A$204&gt;=$B251)*(D_Points!$A$5:$A$204&lt;$B251+P_Interval)*(UPPER(TRIM(D_Points!$B$5:$B$204))="TURNOUT_L")*(D_Points!$H$5:$H$204&lt;&gt;"")),D_Points!$H$5:$H$204),"")</f>
        <v/>
      </c>
      <c r="AE251" s="182" t="str">
        <f>IFERROR(LOOKUP(2,1/((D_Points!$A$5:$A$204&lt;&gt;"")*(D_Points!$A$5:$A$204&gt;=$B251)*(D_Points!$A$5:$A$204&lt;$B251+P_Interval)*(UPPER(TRIM(D_Points!$B$5:$B$204))="TURNOUT_R")*(D_Points!$H$5:$H$204&lt;&gt;"")),D_Points!$H$5:$H$204),"")</f>
        <v/>
      </c>
      <c r="AF251" s="181" t="str">
        <f>IFERROR(LOOKUP(2,1/((B_Drainage!$A$5:$A$204&lt;&gt;"")*(B_Drainage!$A$5:$A$204&lt;=$B251)*(B_Drainage!$B$5:$B$204&gt;$B251)*(B_Drainage!$M$5:$M$204&lt;&gt;"")),IF(UPPER(B_Drainage!$M$5:$M$204)="Y",1,"")),"")</f>
        <v/>
      </c>
      <c r="AG251" s="181" t="str">
        <f>IFERROR(LOOKUP(2,1/((B_Drainage!$A$5:$A$204&lt;&gt;"")*(B_Drainage!$A$5:$A$204&lt;=$B251)*(B_Drainage!$B$5:$B$204&gt;$B251)*(B_Drainage!$N$5:$N$204&lt;&gt;"")),IF(UPPER(B_Drainage!$N$5:$N$204)="Y",1,"")),"")</f>
        <v/>
      </c>
      <c r="AH251" s="181" t="str">
        <f t="shared" si="24"/>
        <v/>
      </c>
      <c r="AI251" s="181" t="str">
        <f t="shared" si="25"/>
        <v/>
      </c>
      <c r="AJ251" s="181" t="str">
        <f t="shared" si="26"/>
        <v/>
      </c>
      <c r="AK251" s="181" t="str">
        <f t="shared" si="27"/>
        <v/>
      </c>
      <c r="AL251" s="181" t="str">
        <f t="shared" si="28"/>
        <v/>
      </c>
      <c r="AM251" s="181" t="str">
        <f t="shared" si="29"/>
        <v/>
      </c>
      <c r="AN251" s="181" t="str">
        <f t="shared" si="30"/>
        <v/>
      </c>
      <c r="AO251" s="192" t="str">
        <f t="shared" si="31"/>
        <v/>
      </c>
      <c r="AQ251" t="str">
        <f>IFERROR(LOOKUP(2,1/((C_Pavement!$A$5:$A$204&lt;&gt;"")*(C_Pavement!$A$5:$A$204&lt;=$B251)*(C_Pavement!$B$5:$B$204&gt;$B251)*(C_Pavement!$C$5:$C$204&lt;&gt;"")),ROW(C_Pavement!$C$5:$C$204)-4),"")</f>
        <v/>
      </c>
      <c r="AR251" t="str">
        <f>IF($AQ251="","",UPPER(TRIM(INDEX(C_Pavement!$C$5:$C$204,$AQ251))))</f>
        <v/>
      </c>
      <c r="AS251" t="str">
        <f>IF($AR251="","",IFERROR(MATCH($AR251,E_Rules!$A$5:$A$9,0),""))</f>
        <v/>
      </c>
      <c r="AT251" t="str">
        <f>IF($AQ251="","",IF(INDEX(C_Pavement!$D$5:$D$204,$AQ251)&lt;&gt;"",UPPER(TRIM(INDEX(C_Pavement!$D$5:$D$204,$AQ251))),IF($AS251="","",INDEX(E_Rules!$C$5:$C$9,$AS251))))</f>
        <v/>
      </c>
      <c r="AU251" t="str">
        <f>IF($AQ251="","",IF(INDEX(C_Pavement!$E$5:$E$204,$AQ251)&lt;&gt;"",IF(INDEX(C_Pavement!$E$5:$E$204,$AQ251)="-","",INDEX(C_Pavement!$E$5:$E$204,$AQ251)),IF($AS251="","",INDEX(E_Rules!$D$5:$D$9,$AS251))))</f>
        <v/>
      </c>
      <c r="AV251" t="str">
        <f>IF($AQ251="","",IF(INDEX(C_Pavement!$F$5:$F$204,$AQ251)&lt;&gt;"",IF(INDEX(C_Pavement!$F$5:$F$204,$AQ251)="-","",INDEX(C_Pavement!$F$5:$F$204,$AQ251)),IF($AS251="","",INDEX(E_Rules!$E$5:$E$9,$AS251))))</f>
        <v/>
      </c>
      <c r="AW251" t="str">
        <f>IF($AQ251="","",IF(INDEX(C_Pavement!$G$5:$G$204,$AQ251)&lt;&gt;"",IF(INDEX(C_Pavement!$G$5:$G$204,$AQ251)="-","",INDEX(C_Pavement!$G$5:$G$204,$AQ251)),IF($AS251="","",INDEX(E_Rules!$F$5:$F$9,$AS251))))</f>
        <v/>
      </c>
      <c r="AX251" t="str">
        <f>IF($AQ251="","",IF(INDEX(C_Pavement!$H$5:$H$204,$AQ251)&lt;&gt;"",IF(INDEX(C_Pavement!$H$5:$H$204,$AQ251)="-","",INDEX(C_Pavement!$H$5:$H$204,$AQ251)),IF($AS251="","",INDEX(E_Rules!$G$5:$G$9,$AS251))))</f>
        <v/>
      </c>
      <c r="AY251" t="str">
        <f>IF($AQ251="","",IF(INDEX(C_Pavement!$I$5:$I$204,$AQ251)&lt;&gt;"",IF(INDEX(C_Pavement!$I$5:$I$204,$AQ251)="-","",INDEX(C_Pavement!$I$5:$I$204,$AQ251)),IF($AS251="","",INDEX(E_Rules!$H$5:$H$9,$AS251))))</f>
        <v/>
      </c>
    </row>
    <row r="252" spans="1:51" ht="15.75" customHeight="1" x14ac:dyDescent="0.3">
      <c r="A252" s="189">
        <v>247</v>
      </c>
      <c r="B252" s="180">
        <v>12300</v>
      </c>
      <c r="C252" s="180" t="s">
        <v>558</v>
      </c>
      <c r="D252" s="181" t="str">
        <f>IFERROR(LOOKUP(2,1/((A_Corridor!$A$5:$A$204&lt;&gt;"")*(A_Corridor!$A$5:$A$204&lt;=$B252)*(A_Corridor!$B$5:$B$204&gt;$B252)*(A_Corridor!$C$5:$C$204&lt;&gt;"")),IF(UPPER(A_Corridor!$C$5:$C$204)="Y",1,"")),"")</f>
        <v/>
      </c>
      <c r="E252" s="181" t="str">
        <f>IFERROR(LOOKUP(2,1/((A_Corridor!$A$5:$A$204&lt;&gt;"")*(A_Corridor!$A$5:$A$204&lt;=$B252)*(A_Corridor!$B$5:$B$204&gt;$B252)*(A_Corridor!$D$5:$D$204&lt;&gt;"")),IF(A_Corridor!$D$5:$D$204="-","",UPPER(A_Corridor!$D$5:$D$204))),"")</f>
        <v/>
      </c>
      <c r="F252" s="181" t="str">
        <f>IFERROR(LOOKUP(2,1/((A_Corridor!$A$5:$A$204&lt;&gt;"")*(A_Corridor!$A$5:$A$204&lt;=$B252)*(A_Corridor!$B$5:$B$204&gt;$B252)*(A_Corridor!$E$5:$E$204&lt;&gt;"")),IF(A_Corridor!$E$5:$E$204="-","",1)),"")</f>
        <v/>
      </c>
      <c r="G252" s="182" t="str">
        <f>IFERROR(LOOKUP(2,1/((A_Corridor!$A$5:$A$204&lt;&gt;"")*(A_Corridor!$A$5:$A$204&lt;=$B252)*(A_Corridor!$B$5:$B$204&gt;$B252)*(A_Corridor!$E$5:$E$204&lt;&gt;"")),IF(A_Corridor!$E$5:$E$204="-","",A_Corridor!$E$5:$E$204)),"")</f>
        <v/>
      </c>
      <c r="H252" s="182" t="str">
        <f>IFERROR(LOOKUP(2,1/((D_Points!$A$5:$A$204&lt;&gt;"")*(D_Points!$A$5:$A$204&gt;=$B252)*(D_Points!$A$5:$A$204&lt;$B252+P_Interval)*(UPPER(TRIM(D_Points!$B$5:$B$204))="GULLY")*(D_Points!$H$5:$H$204&lt;&gt;"")),D_Points!$H$5:$H$204),"")</f>
        <v/>
      </c>
      <c r="I252" s="181" t="str">
        <f>IFERROR(LOOKUP(2,1/((A_Corridor!$A$5:$A$204&lt;&gt;"")*(A_Corridor!$A$5:$A$204&lt;=$B252)*(A_Corridor!$B$5:$B$204&gt;$B252)*(A_Corridor!$F$5:$F$204&lt;&gt;"")),IF(A_Corridor!$F$5:$F$204="-","",1)),"")</f>
        <v/>
      </c>
      <c r="J252" s="182" t="str">
        <f>IFERROR(LOOKUP(2,1/((A_Corridor!$A$5:$A$204&lt;&gt;"")*(A_Corridor!$A$5:$A$204&lt;=$B252)*(A_Corridor!$B$5:$B$204&gt;$B252)*(A_Corridor!$F$5:$F$204&lt;&gt;"")),IF(A_Corridor!$F$5:$F$204="-","",A_Corridor!$F$5:$F$204)),"")</f>
        <v/>
      </c>
      <c r="K252" s="182" t="str">
        <f>IFERROR(LOOKUP(2,1/((A_Corridor!$A$5:$A$204&lt;&gt;"")*(A_Corridor!$A$5:$A$204&lt;=$B252)*(A_Corridor!$B$5:$B$204&gt;$B252)*(A_Corridor!$G$5:$G$204&lt;&gt;"")),IF(A_Corridor!$G$5:$G$204="-","",A_Corridor!$G$5:$G$204)),"")</f>
        <v/>
      </c>
      <c r="L252" s="181" t="str">
        <f>IFERROR(LOOKUP(2,1/((A_Corridor!$A$5:$A$204&lt;&gt;"")*(A_Corridor!$A$5:$A$204&lt;=$B252)*(A_Corridor!$B$5:$B$204&gt;$B252)*(A_Corridor!$H$5:$H$204&lt;&gt;"")),IF(A_Corridor!$H$5:$H$204="-","",1)),"")</f>
        <v/>
      </c>
      <c r="M252" s="182" t="str">
        <f>IFERROR(LOOKUP(2,1/((A_Corridor!$A$5:$A$204&lt;&gt;"")*(A_Corridor!$A$5:$A$204&lt;=$B252)*(A_Corridor!$B$5:$B$204&gt;$B252)*(A_Corridor!$H$5:$H$204&lt;&gt;"")),IF(A_Corridor!$H$5:$H$204="-","",A_Corridor!$H$5:$H$204)),"")</f>
        <v/>
      </c>
      <c r="N252" s="182" t="str">
        <f>IFERROR(LOOKUP(2,1/((A_Corridor!$A$5:$A$204&lt;&gt;"")*(A_Corridor!$A$5:$A$204&lt;=$B252)*(A_Corridor!$B$5:$B$204&gt;$B252)*(A_Corridor!$I$5:$I$204&lt;&gt;"")),IF(A_Corridor!$I$5:$I$204="-","",A_Corridor!$I$5:$I$204)),"")</f>
        <v/>
      </c>
      <c r="O252" s="182" t="str">
        <f>IFERROR(LOOKUP(2,1/((D_Points!$A$5:$A$204&lt;&gt;"")*(D_Points!$A$5:$A$204&gt;=$B252)*(D_Points!$A$5:$A$204&lt;$B252+P_Interval)*(UPPER(TRIM(D_Points!$B$5:$B$204))="PITCHING")*(D_Points!$H$5:$H$204&lt;&gt;"")),D_Points!$H$5:$H$204),"")</f>
        <v/>
      </c>
      <c r="P252" s="181" t="str">
        <f>IFERROR(LOOKUP(2,1/((B_Drainage!$A$5:$A$204&lt;&gt;"")*(B_Drainage!$A$5:$A$204&lt;=$B252)*(B_Drainage!$B$5:$B$204&gt;$B252)*(B_Drainage!$C$5:$C$204&lt;&gt;"")),IF(B_Drainage!$C$5:$C$204="-","",UPPER(B_Drainage!$C$5:$C$204))),"")</f>
        <v/>
      </c>
      <c r="Q252" s="181" t="str">
        <f>IFERROR(LOOKUP(2,1/((B_Drainage!$A$5:$A$204&lt;&gt;"")*(B_Drainage!$A$5:$A$204&lt;=$B252)*(B_Drainage!$B$5:$B$204&gt;$B252)*(B_Drainage!$D$5:$D$204&lt;&gt;"")),IF(B_Drainage!$D$5:$D$204="-","",UPPER(B_Drainage!$D$5:$D$204))),"")</f>
        <v/>
      </c>
      <c r="R252" s="182" t="str">
        <f>IFERROR(LOOKUP(2,1/((D_Points!$A$5:$A$204&lt;&gt;"")*(D_Points!$A$5:$A$204&gt;=$B252)*(D_Points!$A$5:$A$204&lt;$B252+P_Interval)*(RIGHT(UPPER(TRIM(D_Points!$B$5:$B$204)),8)="_CULVERT")),IF(LEFT(UPPER(TRIM(D_Points!$B$5:$B$204)),2)="EX",1,IF(LEFT(UPPER(TRIM(D_Points!$B$5:$B$204)),2)="PR",2,3))),"")</f>
        <v/>
      </c>
      <c r="S252" s="182" t="str">
        <f>IFERROR(LOOKUP(2,1/((D_Points!$A$5:$A$204&lt;&gt;"")*(D_Points!$A$5:$A$204&gt;=$B252)*(D_Points!$A$5:$A$204&lt;$B252+P_Interval)*(RIGHT(UPPER(TRIM(D_Points!$B$5:$B$204)),7)="_BRIDGE")),IF(LEFT(UPPER(TRIM(D_Points!$B$5:$B$204)),2)="EX",1,IF(LEFT(UPPER(TRIM(D_Points!$B$5:$B$204)),2)="PR",2,2))),"")</f>
        <v/>
      </c>
      <c r="T252" s="181" t="str">
        <f>IFERROR(LOOKUP(2,1/((B_Drainage!$A$5:$A$204&lt;&gt;"")*(B_Drainage!$A$5:$A$204&lt;=$B252)*(B_Drainage!$B$5:$B$204&gt;$B252)*(B_Drainage!$E$5:$E$204&lt;&gt;"")),IF(B_Drainage!$E$5:$E$204="-","",1)),"")</f>
        <v/>
      </c>
      <c r="U252" s="181" t="str">
        <f>IFERROR(LOOKUP(2,1/((B_Drainage!$A$5:$A$204&lt;&gt;"")*(B_Drainage!$A$5:$A$204&lt;=$B252)*(B_Drainage!$B$5:$B$204&gt;$B252)*(B_Drainage!$E$5:$E$204&lt;&gt;"")),IF(B_Drainage!$E$5:$E$204="-","",B_Drainage!$E$5:$E$204)),"")</f>
        <v/>
      </c>
      <c r="V252" s="181" t="str">
        <f>IFERROR(LOOKUP(2,1/((B_Drainage!$A$5:$A$204&lt;&gt;"")*(B_Drainage!$A$5:$A$204&lt;=$B252)*(B_Drainage!$B$5:$B$204&gt;$B252)*(B_Drainage!$F$5:$F$204&lt;&gt;"")),IF(B_Drainage!$F$5:$F$204="-","",1)),"")</f>
        <v/>
      </c>
      <c r="W252" s="181" t="str">
        <f>IFERROR(LOOKUP(2,1/((B_Drainage!$A$5:$A$204&lt;&gt;"")*(B_Drainage!$A$5:$A$204&lt;=$B252)*(B_Drainage!$B$5:$B$204&gt;$B252)*(B_Drainage!$F$5:$F$204&lt;&gt;"")),IF(B_Drainage!$F$5:$F$204="-","",B_Drainage!$F$5:$F$204)),"")</f>
        <v/>
      </c>
      <c r="X252" s="181" t="str">
        <f>IFERROR(LOOKUP(2,1/((B_Drainage!$A$5:$A$204&lt;&gt;"")*(B_Drainage!$A$5:$A$204&lt;=$B252)*(B_Drainage!$B$5:$B$204&gt;$B252)*(B_Drainage!$G$5:$G$204&lt;&gt;"")),IF(UPPER(B_Drainage!$G$5:$G$204)="Y",1,"")),"")</f>
        <v/>
      </c>
      <c r="Y252" s="181" t="str">
        <f>IFERROR(LOOKUP(2,1/((B_Drainage!$A$5:$A$204&lt;&gt;"")*(B_Drainage!$A$5:$A$204&lt;=$B252)*(B_Drainage!$B$5:$B$204&gt;$B252)*(B_Drainage!$H$5:$H$204&lt;&gt;"")),IF(UPPER(B_Drainage!$H$5:$H$204)="Y",1,"")),"")</f>
        <v/>
      </c>
      <c r="Z252" s="181" t="str">
        <f>IFERROR(LOOKUP(2,1/((B_Drainage!$A$5:$A$204&lt;&gt;"")*(B_Drainage!$A$5:$A$204&lt;=$B252)*(B_Drainage!$B$5:$B$204&gt;$B252)*(B_Drainage!$I$5:$I$204&lt;&gt;"")),IF(UPPER(B_Drainage!$I$5:$I$204)="Y",1,"")),"")</f>
        <v/>
      </c>
      <c r="AA252" s="181" t="str">
        <f>IFERROR(LOOKUP(2,1/((B_Drainage!$A$5:$A$204&lt;&gt;"")*(B_Drainage!$A$5:$A$204&lt;=$B252)*(B_Drainage!$B$5:$B$204&gt;$B252)*(B_Drainage!$J$5:$J$204&lt;&gt;"")),IF(UPPER(B_Drainage!$J$5:$J$204)="Y",1,"")),"")</f>
        <v/>
      </c>
      <c r="AB252" s="182" t="str">
        <f>IFERROR(LOOKUP(2,1/((B_Drainage!$A$5:$A$204&lt;&gt;"")*(B_Drainage!$A$5:$A$204&lt;=$B252)*(B_Drainage!$B$5:$B$204&gt;$B252)*(B_Drainage!$K$5:$K$204&lt;&gt;"")),IF(B_Drainage!$K$5:$K$204="-","",B_Drainage!$K$5:$K$204)),"")</f>
        <v/>
      </c>
      <c r="AC252" s="182" t="str">
        <f>IFERROR(LOOKUP(2,1/((B_Drainage!$A$5:$A$204&lt;&gt;"")*(B_Drainage!$A$5:$A$204&lt;=$B252)*(B_Drainage!$B$5:$B$204&gt;$B252)*(B_Drainage!$L$5:$L$204&lt;&gt;"")),IF(B_Drainage!$L$5:$L$204="-","",B_Drainage!$L$5:$L$204)),"")</f>
        <v/>
      </c>
      <c r="AD252" s="182" t="str">
        <f>IFERROR(LOOKUP(2,1/((D_Points!$A$5:$A$204&lt;&gt;"")*(D_Points!$A$5:$A$204&gt;=$B252)*(D_Points!$A$5:$A$204&lt;$B252+P_Interval)*(UPPER(TRIM(D_Points!$B$5:$B$204))="TURNOUT_L")*(D_Points!$H$5:$H$204&lt;&gt;"")),D_Points!$H$5:$H$204),"")</f>
        <v/>
      </c>
      <c r="AE252" s="182" t="str">
        <f>IFERROR(LOOKUP(2,1/((D_Points!$A$5:$A$204&lt;&gt;"")*(D_Points!$A$5:$A$204&gt;=$B252)*(D_Points!$A$5:$A$204&lt;$B252+P_Interval)*(UPPER(TRIM(D_Points!$B$5:$B$204))="TURNOUT_R")*(D_Points!$H$5:$H$204&lt;&gt;"")),D_Points!$H$5:$H$204),"")</f>
        <v/>
      </c>
      <c r="AF252" s="181" t="str">
        <f>IFERROR(LOOKUP(2,1/((B_Drainage!$A$5:$A$204&lt;&gt;"")*(B_Drainage!$A$5:$A$204&lt;=$B252)*(B_Drainage!$B$5:$B$204&gt;$B252)*(B_Drainage!$M$5:$M$204&lt;&gt;"")),IF(UPPER(B_Drainage!$M$5:$M$204)="Y",1,"")),"")</f>
        <v/>
      </c>
      <c r="AG252" s="181" t="str">
        <f>IFERROR(LOOKUP(2,1/((B_Drainage!$A$5:$A$204&lt;&gt;"")*(B_Drainage!$A$5:$A$204&lt;=$B252)*(B_Drainage!$B$5:$B$204&gt;$B252)*(B_Drainage!$N$5:$N$204&lt;&gt;"")),IF(UPPER(B_Drainage!$N$5:$N$204)="Y",1,"")),"")</f>
        <v/>
      </c>
      <c r="AH252" s="181" t="str">
        <f t="shared" si="24"/>
        <v/>
      </c>
      <c r="AI252" s="181" t="str">
        <f t="shared" si="25"/>
        <v/>
      </c>
      <c r="AJ252" s="181" t="str">
        <f t="shared" si="26"/>
        <v/>
      </c>
      <c r="AK252" s="181" t="str">
        <f t="shared" si="27"/>
        <v/>
      </c>
      <c r="AL252" s="181" t="str">
        <f t="shared" si="28"/>
        <v/>
      </c>
      <c r="AM252" s="181" t="str">
        <f t="shared" si="29"/>
        <v/>
      </c>
      <c r="AN252" s="181" t="str">
        <f t="shared" si="30"/>
        <v/>
      </c>
      <c r="AO252" s="192" t="str">
        <f t="shared" si="31"/>
        <v/>
      </c>
      <c r="AQ252" t="str">
        <f>IFERROR(LOOKUP(2,1/((C_Pavement!$A$5:$A$204&lt;&gt;"")*(C_Pavement!$A$5:$A$204&lt;=$B252)*(C_Pavement!$B$5:$B$204&gt;$B252)*(C_Pavement!$C$5:$C$204&lt;&gt;"")),ROW(C_Pavement!$C$5:$C$204)-4),"")</f>
        <v/>
      </c>
      <c r="AR252" t="str">
        <f>IF($AQ252="","",UPPER(TRIM(INDEX(C_Pavement!$C$5:$C$204,$AQ252))))</f>
        <v/>
      </c>
      <c r="AS252" t="str">
        <f>IF($AR252="","",IFERROR(MATCH($AR252,E_Rules!$A$5:$A$9,0),""))</f>
        <v/>
      </c>
      <c r="AT252" t="str">
        <f>IF($AQ252="","",IF(INDEX(C_Pavement!$D$5:$D$204,$AQ252)&lt;&gt;"",UPPER(TRIM(INDEX(C_Pavement!$D$5:$D$204,$AQ252))),IF($AS252="","",INDEX(E_Rules!$C$5:$C$9,$AS252))))</f>
        <v/>
      </c>
      <c r="AU252" t="str">
        <f>IF($AQ252="","",IF(INDEX(C_Pavement!$E$5:$E$204,$AQ252)&lt;&gt;"",IF(INDEX(C_Pavement!$E$5:$E$204,$AQ252)="-","",INDEX(C_Pavement!$E$5:$E$204,$AQ252)),IF($AS252="","",INDEX(E_Rules!$D$5:$D$9,$AS252))))</f>
        <v/>
      </c>
      <c r="AV252" t="str">
        <f>IF($AQ252="","",IF(INDEX(C_Pavement!$F$5:$F$204,$AQ252)&lt;&gt;"",IF(INDEX(C_Pavement!$F$5:$F$204,$AQ252)="-","",INDEX(C_Pavement!$F$5:$F$204,$AQ252)),IF($AS252="","",INDEX(E_Rules!$E$5:$E$9,$AS252))))</f>
        <v/>
      </c>
      <c r="AW252" t="str">
        <f>IF($AQ252="","",IF(INDEX(C_Pavement!$G$5:$G$204,$AQ252)&lt;&gt;"",IF(INDEX(C_Pavement!$G$5:$G$204,$AQ252)="-","",INDEX(C_Pavement!$G$5:$G$204,$AQ252)),IF($AS252="","",INDEX(E_Rules!$F$5:$F$9,$AS252))))</f>
        <v/>
      </c>
      <c r="AX252" t="str">
        <f>IF($AQ252="","",IF(INDEX(C_Pavement!$H$5:$H$204,$AQ252)&lt;&gt;"",IF(INDEX(C_Pavement!$H$5:$H$204,$AQ252)="-","",INDEX(C_Pavement!$H$5:$H$204,$AQ252)),IF($AS252="","",INDEX(E_Rules!$G$5:$G$9,$AS252))))</f>
        <v/>
      </c>
      <c r="AY252" t="str">
        <f>IF($AQ252="","",IF(INDEX(C_Pavement!$I$5:$I$204,$AQ252)&lt;&gt;"",IF(INDEX(C_Pavement!$I$5:$I$204,$AQ252)="-","",INDEX(C_Pavement!$I$5:$I$204,$AQ252)),IF($AS252="","",INDEX(E_Rules!$H$5:$H$9,$AS252))))</f>
        <v/>
      </c>
    </row>
    <row r="253" spans="1:51" ht="15.75" customHeight="1" x14ac:dyDescent="0.3">
      <c r="A253" s="189">
        <v>248</v>
      </c>
      <c r="B253" s="180">
        <v>12350</v>
      </c>
      <c r="C253" s="180" t="s">
        <v>559</v>
      </c>
      <c r="D253" s="181" t="str">
        <f>IFERROR(LOOKUP(2,1/((A_Corridor!$A$5:$A$204&lt;&gt;"")*(A_Corridor!$A$5:$A$204&lt;=$B253)*(A_Corridor!$B$5:$B$204&gt;$B253)*(A_Corridor!$C$5:$C$204&lt;&gt;"")),IF(UPPER(A_Corridor!$C$5:$C$204)="Y",1,"")),"")</f>
        <v/>
      </c>
      <c r="E253" s="181" t="str">
        <f>IFERROR(LOOKUP(2,1/((A_Corridor!$A$5:$A$204&lt;&gt;"")*(A_Corridor!$A$5:$A$204&lt;=$B253)*(A_Corridor!$B$5:$B$204&gt;$B253)*(A_Corridor!$D$5:$D$204&lt;&gt;"")),IF(A_Corridor!$D$5:$D$204="-","",UPPER(A_Corridor!$D$5:$D$204))),"")</f>
        <v/>
      </c>
      <c r="F253" s="181" t="str">
        <f>IFERROR(LOOKUP(2,1/((A_Corridor!$A$5:$A$204&lt;&gt;"")*(A_Corridor!$A$5:$A$204&lt;=$B253)*(A_Corridor!$B$5:$B$204&gt;$B253)*(A_Corridor!$E$5:$E$204&lt;&gt;"")),IF(A_Corridor!$E$5:$E$204="-","",1)),"")</f>
        <v/>
      </c>
      <c r="G253" s="182" t="str">
        <f>IFERROR(LOOKUP(2,1/((A_Corridor!$A$5:$A$204&lt;&gt;"")*(A_Corridor!$A$5:$A$204&lt;=$B253)*(A_Corridor!$B$5:$B$204&gt;$B253)*(A_Corridor!$E$5:$E$204&lt;&gt;"")),IF(A_Corridor!$E$5:$E$204="-","",A_Corridor!$E$5:$E$204)),"")</f>
        <v/>
      </c>
      <c r="H253" s="182" t="str">
        <f>IFERROR(LOOKUP(2,1/((D_Points!$A$5:$A$204&lt;&gt;"")*(D_Points!$A$5:$A$204&gt;=$B253)*(D_Points!$A$5:$A$204&lt;$B253+P_Interval)*(UPPER(TRIM(D_Points!$B$5:$B$204))="GULLY")*(D_Points!$H$5:$H$204&lt;&gt;"")),D_Points!$H$5:$H$204),"")</f>
        <v/>
      </c>
      <c r="I253" s="181" t="str">
        <f>IFERROR(LOOKUP(2,1/((A_Corridor!$A$5:$A$204&lt;&gt;"")*(A_Corridor!$A$5:$A$204&lt;=$B253)*(A_Corridor!$B$5:$B$204&gt;$B253)*(A_Corridor!$F$5:$F$204&lt;&gt;"")),IF(A_Corridor!$F$5:$F$204="-","",1)),"")</f>
        <v/>
      </c>
      <c r="J253" s="182" t="str">
        <f>IFERROR(LOOKUP(2,1/((A_Corridor!$A$5:$A$204&lt;&gt;"")*(A_Corridor!$A$5:$A$204&lt;=$B253)*(A_Corridor!$B$5:$B$204&gt;$B253)*(A_Corridor!$F$5:$F$204&lt;&gt;"")),IF(A_Corridor!$F$5:$F$204="-","",A_Corridor!$F$5:$F$204)),"")</f>
        <v/>
      </c>
      <c r="K253" s="182" t="str">
        <f>IFERROR(LOOKUP(2,1/((A_Corridor!$A$5:$A$204&lt;&gt;"")*(A_Corridor!$A$5:$A$204&lt;=$B253)*(A_Corridor!$B$5:$B$204&gt;$B253)*(A_Corridor!$G$5:$G$204&lt;&gt;"")),IF(A_Corridor!$G$5:$G$204="-","",A_Corridor!$G$5:$G$204)),"")</f>
        <v/>
      </c>
      <c r="L253" s="181" t="str">
        <f>IFERROR(LOOKUP(2,1/((A_Corridor!$A$5:$A$204&lt;&gt;"")*(A_Corridor!$A$5:$A$204&lt;=$B253)*(A_Corridor!$B$5:$B$204&gt;$B253)*(A_Corridor!$H$5:$H$204&lt;&gt;"")),IF(A_Corridor!$H$5:$H$204="-","",1)),"")</f>
        <v/>
      </c>
      <c r="M253" s="182" t="str">
        <f>IFERROR(LOOKUP(2,1/((A_Corridor!$A$5:$A$204&lt;&gt;"")*(A_Corridor!$A$5:$A$204&lt;=$B253)*(A_Corridor!$B$5:$B$204&gt;$B253)*(A_Corridor!$H$5:$H$204&lt;&gt;"")),IF(A_Corridor!$H$5:$H$204="-","",A_Corridor!$H$5:$H$204)),"")</f>
        <v/>
      </c>
      <c r="N253" s="182" t="str">
        <f>IFERROR(LOOKUP(2,1/((A_Corridor!$A$5:$A$204&lt;&gt;"")*(A_Corridor!$A$5:$A$204&lt;=$B253)*(A_Corridor!$B$5:$B$204&gt;$B253)*(A_Corridor!$I$5:$I$204&lt;&gt;"")),IF(A_Corridor!$I$5:$I$204="-","",A_Corridor!$I$5:$I$204)),"")</f>
        <v/>
      </c>
      <c r="O253" s="182" t="str">
        <f>IFERROR(LOOKUP(2,1/((D_Points!$A$5:$A$204&lt;&gt;"")*(D_Points!$A$5:$A$204&gt;=$B253)*(D_Points!$A$5:$A$204&lt;$B253+P_Interval)*(UPPER(TRIM(D_Points!$B$5:$B$204))="PITCHING")*(D_Points!$H$5:$H$204&lt;&gt;"")),D_Points!$H$5:$H$204),"")</f>
        <v/>
      </c>
      <c r="P253" s="181" t="str">
        <f>IFERROR(LOOKUP(2,1/((B_Drainage!$A$5:$A$204&lt;&gt;"")*(B_Drainage!$A$5:$A$204&lt;=$B253)*(B_Drainage!$B$5:$B$204&gt;$B253)*(B_Drainage!$C$5:$C$204&lt;&gt;"")),IF(B_Drainage!$C$5:$C$204="-","",UPPER(B_Drainage!$C$5:$C$204))),"")</f>
        <v/>
      </c>
      <c r="Q253" s="181" t="str">
        <f>IFERROR(LOOKUP(2,1/((B_Drainage!$A$5:$A$204&lt;&gt;"")*(B_Drainage!$A$5:$A$204&lt;=$B253)*(B_Drainage!$B$5:$B$204&gt;$B253)*(B_Drainage!$D$5:$D$204&lt;&gt;"")),IF(B_Drainage!$D$5:$D$204="-","",UPPER(B_Drainage!$D$5:$D$204))),"")</f>
        <v/>
      </c>
      <c r="R253" s="182" t="str">
        <f>IFERROR(LOOKUP(2,1/((D_Points!$A$5:$A$204&lt;&gt;"")*(D_Points!$A$5:$A$204&gt;=$B253)*(D_Points!$A$5:$A$204&lt;$B253+P_Interval)*(RIGHT(UPPER(TRIM(D_Points!$B$5:$B$204)),8)="_CULVERT")),IF(LEFT(UPPER(TRIM(D_Points!$B$5:$B$204)),2)="EX",1,IF(LEFT(UPPER(TRIM(D_Points!$B$5:$B$204)),2)="PR",2,3))),"")</f>
        <v/>
      </c>
      <c r="S253" s="182" t="str">
        <f>IFERROR(LOOKUP(2,1/((D_Points!$A$5:$A$204&lt;&gt;"")*(D_Points!$A$5:$A$204&gt;=$B253)*(D_Points!$A$5:$A$204&lt;$B253+P_Interval)*(RIGHT(UPPER(TRIM(D_Points!$B$5:$B$204)),7)="_BRIDGE")),IF(LEFT(UPPER(TRIM(D_Points!$B$5:$B$204)),2)="EX",1,IF(LEFT(UPPER(TRIM(D_Points!$B$5:$B$204)),2)="PR",2,2))),"")</f>
        <v/>
      </c>
      <c r="T253" s="181" t="str">
        <f>IFERROR(LOOKUP(2,1/((B_Drainage!$A$5:$A$204&lt;&gt;"")*(B_Drainage!$A$5:$A$204&lt;=$B253)*(B_Drainage!$B$5:$B$204&gt;$B253)*(B_Drainage!$E$5:$E$204&lt;&gt;"")),IF(B_Drainage!$E$5:$E$204="-","",1)),"")</f>
        <v/>
      </c>
      <c r="U253" s="181" t="str">
        <f>IFERROR(LOOKUP(2,1/((B_Drainage!$A$5:$A$204&lt;&gt;"")*(B_Drainage!$A$5:$A$204&lt;=$B253)*(B_Drainage!$B$5:$B$204&gt;$B253)*(B_Drainage!$E$5:$E$204&lt;&gt;"")),IF(B_Drainage!$E$5:$E$204="-","",B_Drainage!$E$5:$E$204)),"")</f>
        <v/>
      </c>
      <c r="V253" s="181" t="str">
        <f>IFERROR(LOOKUP(2,1/((B_Drainage!$A$5:$A$204&lt;&gt;"")*(B_Drainage!$A$5:$A$204&lt;=$B253)*(B_Drainage!$B$5:$B$204&gt;$B253)*(B_Drainage!$F$5:$F$204&lt;&gt;"")),IF(B_Drainage!$F$5:$F$204="-","",1)),"")</f>
        <v/>
      </c>
      <c r="W253" s="181" t="str">
        <f>IFERROR(LOOKUP(2,1/((B_Drainage!$A$5:$A$204&lt;&gt;"")*(B_Drainage!$A$5:$A$204&lt;=$B253)*(B_Drainage!$B$5:$B$204&gt;$B253)*(B_Drainage!$F$5:$F$204&lt;&gt;"")),IF(B_Drainage!$F$5:$F$204="-","",B_Drainage!$F$5:$F$204)),"")</f>
        <v/>
      </c>
      <c r="X253" s="181" t="str">
        <f>IFERROR(LOOKUP(2,1/((B_Drainage!$A$5:$A$204&lt;&gt;"")*(B_Drainage!$A$5:$A$204&lt;=$B253)*(B_Drainage!$B$5:$B$204&gt;$B253)*(B_Drainage!$G$5:$G$204&lt;&gt;"")),IF(UPPER(B_Drainage!$G$5:$G$204)="Y",1,"")),"")</f>
        <v/>
      </c>
      <c r="Y253" s="181" t="str">
        <f>IFERROR(LOOKUP(2,1/((B_Drainage!$A$5:$A$204&lt;&gt;"")*(B_Drainage!$A$5:$A$204&lt;=$B253)*(B_Drainage!$B$5:$B$204&gt;$B253)*(B_Drainage!$H$5:$H$204&lt;&gt;"")),IF(UPPER(B_Drainage!$H$5:$H$204)="Y",1,"")),"")</f>
        <v/>
      </c>
      <c r="Z253" s="181" t="str">
        <f>IFERROR(LOOKUP(2,1/((B_Drainage!$A$5:$A$204&lt;&gt;"")*(B_Drainage!$A$5:$A$204&lt;=$B253)*(B_Drainage!$B$5:$B$204&gt;$B253)*(B_Drainage!$I$5:$I$204&lt;&gt;"")),IF(UPPER(B_Drainage!$I$5:$I$204)="Y",1,"")),"")</f>
        <v/>
      </c>
      <c r="AA253" s="181" t="str">
        <f>IFERROR(LOOKUP(2,1/((B_Drainage!$A$5:$A$204&lt;&gt;"")*(B_Drainage!$A$5:$A$204&lt;=$B253)*(B_Drainage!$B$5:$B$204&gt;$B253)*(B_Drainage!$J$5:$J$204&lt;&gt;"")),IF(UPPER(B_Drainage!$J$5:$J$204)="Y",1,"")),"")</f>
        <v/>
      </c>
      <c r="AB253" s="182" t="str">
        <f>IFERROR(LOOKUP(2,1/((B_Drainage!$A$5:$A$204&lt;&gt;"")*(B_Drainage!$A$5:$A$204&lt;=$B253)*(B_Drainage!$B$5:$B$204&gt;$B253)*(B_Drainage!$K$5:$K$204&lt;&gt;"")),IF(B_Drainage!$K$5:$K$204="-","",B_Drainage!$K$5:$K$204)),"")</f>
        <v/>
      </c>
      <c r="AC253" s="182" t="str">
        <f>IFERROR(LOOKUP(2,1/((B_Drainage!$A$5:$A$204&lt;&gt;"")*(B_Drainage!$A$5:$A$204&lt;=$B253)*(B_Drainage!$B$5:$B$204&gt;$B253)*(B_Drainage!$L$5:$L$204&lt;&gt;"")),IF(B_Drainage!$L$5:$L$204="-","",B_Drainage!$L$5:$L$204)),"")</f>
        <v/>
      </c>
      <c r="AD253" s="182" t="str">
        <f>IFERROR(LOOKUP(2,1/((D_Points!$A$5:$A$204&lt;&gt;"")*(D_Points!$A$5:$A$204&gt;=$B253)*(D_Points!$A$5:$A$204&lt;$B253+P_Interval)*(UPPER(TRIM(D_Points!$B$5:$B$204))="TURNOUT_L")*(D_Points!$H$5:$H$204&lt;&gt;"")),D_Points!$H$5:$H$204),"")</f>
        <v/>
      </c>
      <c r="AE253" s="182" t="str">
        <f>IFERROR(LOOKUP(2,1/((D_Points!$A$5:$A$204&lt;&gt;"")*(D_Points!$A$5:$A$204&gt;=$B253)*(D_Points!$A$5:$A$204&lt;$B253+P_Interval)*(UPPER(TRIM(D_Points!$B$5:$B$204))="TURNOUT_R")*(D_Points!$H$5:$H$204&lt;&gt;"")),D_Points!$H$5:$H$204),"")</f>
        <v/>
      </c>
      <c r="AF253" s="181" t="str">
        <f>IFERROR(LOOKUP(2,1/((B_Drainage!$A$5:$A$204&lt;&gt;"")*(B_Drainage!$A$5:$A$204&lt;=$B253)*(B_Drainage!$B$5:$B$204&gt;$B253)*(B_Drainage!$M$5:$M$204&lt;&gt;"")),IF(UPPER(B_Drainage!$M$5:$M$204)="Y",1,"")),"")</f>
        <v/>
      </c>
      <c r="AG253" s="181" t="str">
        <f>IFERROR(LOOKUP(2,1/((B_Drainage!$A$5:$A$204&lt;&gt;"")*(B_Drainage!$A$5:$A$204&lt;=$B253)*(B_Drainage!$B$5:$B$204&gt;$B253)*(B_Drainage!$N$5:$N$204&lt;&gt;"")),IF(UPPER(B_Drainage!$N$5:$N$204)="Y",1,"")),"")</f>
        <v/>
      </c>
      <c r="AH253" s="181" t="str">
        <f t="shared" si="24"/>
        <v/>
      </c>
      <c r="AI253" s="181" t="str">
        <f t="shared" si="25"/>
        <v/>
      </c>
      <c r="AJ253" s="181" t="str">
        <f t="shared" si="26"/>
        <v/>
      </c>
      <c r="AK253" s="181" t="str">
        <f t="shared" si="27"/>
        <v/>
      </c>
      <c r="AL253" s="181" t="str">
        <f t="shared" si="28"/>
        <v/>
      </c>
      <c r="AM253" s="181" t="str">
        <f t="shared" si="29"/>
        <v/>
      </c>
      <c r="AN253" s="181" t="str">
        <f t="shared" si="30"/>
        <v/>
      </c>
      <c r="AO253" s="192" t="str">
        <f t="shared" si="31"/>
        <v/>
      </c>
      <c r="AQ253" t="str">
        <f>IFERROR(LOOKUP(2,1/((C_Pavement!$A$5:$A$204&lt;&gt;"")*(C_Pavement!$A$5:$A$204&lt;=$B253)*(C_Pavement!$B$5:$B$204&gt;$B253)*(C_Pavement!$C$5:$C$204&lt;&gt;"")),ROW(C_Pavement!$C$5:$C$204)-4),"")</f>
        <v/>
      </c>
      <c r="AR253" t="str">
        <f>IF($AQ253="","",UPPER(TRIM(INDEX(C_Pavement!$C$5:$C$204,$AQ253))))</f>
        <v/>
      </c>
      <c r="AS253" t="str">
        <f>IF($AR253="","",IFERROR(MATCH($AR253,E_Rules!$A$5:$A$9,0),""))</f>
        <v/>
      </c>
      <c r="AT253" t="str">
        <f>IF($AQ253="","",IF(INDEX(C_Pavement!$D$5:$D$204,$AQ253)&lt;&gt;"",UPPER(TRIM(INDEX(C_Pavement!$D$5:$D$204,$AQ253))),IF($AS253="","",INDEX(E_Rules!$C$5:$C$9,$AS253))))</f>
        <v/>
      </c>
      <c r="AU253" t="str">
        <f>IF($AQ253="","",IF(INDEX(C_Pavement!$E$5:$E$204,$AQ253)&lt;&gt;"",IF(INDEX(C_Pavement!$E$5:$E$204,$AQ253)="-","",INDEX(C_Pavement!$E$5:$E$204,$AQ253)),IF($AS253="","",INDEX(E_Rules!$D$5:$D$9,$AS253))))</f>
        <v/>
      </c>
      <c r="AV253" t="str">
        <f>IF($AQ253="","",IF(INDEX(C_Pavement!$F$5:$F$204,$AQ253)&lt;&gt;"",IF(INDEX(C_Pavement!$F$5:$F$204,$AQ253)="-","",INDEX(C_Pavement!$F$5:$F$204,$AQ253)),IF($AS253="","",INDEX(E_Rules!$E$5:$E$9,$AS253))))</f>
        <v/>
      </c>
      <c r="AW253" t="str">
        <f>IF($AQ253="","",IF(INDEX(C_Pavement!$G$5:$G$204,$AQ253)&lt;&gt;"",IF(INDEX(C_Pavement!$G$5:$G$204,$AQ253)="-","",INDEX(C_Pavement!$G$5:$G$204,$AQ253)),IF($AS253="","",INDEX(E_Rules!$F$5:$F$9,$AS253))))</f>
        <v/>
      </c>
      <c r="AX253" t="str">
        <f>IF($AQ253="","",IF(INDEX(C_Pavement!$H$5:$H$204,$AQ253)&lt;&gt;"",IF(INDEX(C_Pavement!$H$5:$H$204,$AQ253)="-","",INDEX(C_Pavement!$H$5:$H$204,$AQ253)),IF($AS253="","",INDEX(E_Rules!$G$5:$G$9,$AS253))))</f>
        <v/>
      </c>
      <c r="AY253" t="str">
        <f>IF($AQ253="","",IF(INDEX(C_Pavement!$I$5:$I$204,$AQ253)&lt;&gt;"",IF(INDEX(C_Pavement!$I$5:$I$204,$AQ253)="-","",INDEX(C_Pavement!$I$5:$I$204,$AQ253)),IF($AS253="","",INDEX(E_Rules!$H$5:$H$9,$AS253))))</f>
        <v/>
      </c>
    </row>
    <row r="254" spans="1:51" ht="15.75" customHeight="1" x14ac:dyDescent="0.3">
      <c r="A254" s="189">
        <v>249</v>
      </c>
      <c r="B254" s="180">
        <v>12400</v>
      </c>
      <c r="C254" s="180" t="s">
        <v>560</v>
      </c>
      <c r="D254" s="181" t="str">
        <f>IFERROR(LOOKUP(2,1/((A_Corridor!$A$5:$A$204&lt;&gt;"")*(A_Corridor!$A$5:$A$204&lt;=$B254)*(A_Corridor!$B$5:$B$204&gt;$B254)*(A_Corridor!$C$5:$C$204&lt;&gt;"")),IF(UPPER(A_Corridor!$C$5:$C$204)="Y",1,"")),"")</f>
        <v/>
      </c>
      <c r="E254" s="181" t="str">
        <f>IFERROR(LOOKUP(2,1/((A_Corridor!$A$5:$A$204&lt;&gt;"")*(A_Corridor!$A$5:$A$204&lt;=$B254)*(A_Corridor!$B$5:$B$204&gt;$B254)*(A_Corridor!$D$5:$D$204&lt;&gt;"")),IF(A_Corridor!$D$5:$D$204="-","",UPPER(A_Corridor!$D$5:$D$204))),"")</f>
        <v/>
      </c>
      <c r="F254" s="181" t="str">
        <f>IFERROR(LOOKUP(2,1/((A_Corridor!$A$5:$A$204&lt;&gt;"")*(A_Corridor!$A$5:$A$204&lt;=$B254)*(A_Corridor!$B$5:$B$204&gt;$B254)*(A_Corridor!$E$5:$E$204&lt;&gt;"")),IF(A_Corridor!$E$5:$E$204="-","",1)),"")</f>
        <v/>
      </c>
      <c r="G254" s="182" t="str">
        <f>IFERROR(LOOKUP(2,1/((A_Corridor!$A$5:$A$204&lt;&gt;"")*(A_Corridor!$A$5:$A$204&lt;=$B254)*(A_Corridor!$B$5:$B$204&gt;$B254)*(A_Corridor!$E$5:$E$204&lt;&gt;"")),IF(A_Corridor!$E$5:$E$204="-","",A_Corridor!$E$5:$E$204)),"")</f>
        <v/>
      </c>
      <c r="H254" s="182" t="str">
        <f>IFERROR(LOOKUP(2,1/((D_Points!$A$5:$A$204&lt;&gt;"")*(D_Points!$A$5:$A$204&gt;=$B254)*(D_Points!$A$5:$A$204&lt;$B254+P_Interval)*(UPPER(TRIM(D_Points!$B$5:$B$204))="GULLY")*(D_Points!$H$5:$H$204&lt;&gt;"")),D_Points!$H$5:$H$204),"")</f>
        <v/>
      </c>
      <c r="I254" s="181" t="str">
        <f>IFERROR(LOOKUP(2,1/((A_Corridor!$A$5:$A$204&lt;&gt;"")*(A_Corridor!$A$5:$A$204&lt;=$B254)*(A_Corridor!$B$5:$B$204&gt;$B254)*(A_Corridor!$F$5:$F$204&lt;&gt;"")),IF(A_Corridor!$F$5:$F$204="-","",1)),"")</f>
        <v/>
      </c>
      <c r="J254" s="182" t="str">
        <f>IFERROR(LOOKUP(2,1/((A_Corridor!$A$5:$A$204&lt;&gt;"")*(A_Corridor!$A$5:$A$204&lt;=$B254)*(A_Corridor!$B$5:$B$204&gt;$B254)*(A_Corridor!$F$5:$F$204&lt;&gt;"")),IF(A_Corridor!$F$5:$F$204="-","",A_Corridor!$F$5:$F$204)),"")</f>
        <v/>
      </c>
      <c r="K254" s="182" t="str">
        <f>IFERROR(LOOKUP(2,1/((A_Corridor!$A$5:$A$204&lt;&gt;"")*(A_Corridor!$A$5:$A$204&lt;=$B254)*(A_Corridor!$B$5:$B$204&gt;$B254)*(A_Corridor!$G$5:$G$204&lt;&gt;"")),IF(A_Corridor!$G$5:$G$204="-","",A_Corridor!$G$5:$G$204)),"")</f>
        <v/>
      </c>
      <c r="L254" s="181" t="str">
        <f>IFERROR(LOOKUP(2,1/((A_Corridor!$A$5:$A$204&lt;&gt;"")*(A_Corridor!$A$5:$A$204&lt;=$B254)*(A_Corridor!$B$5:$B$204&gt;$B254)*(A_Corridor!$H$5:$H$204&lt;&gt;"")),IF(A_Corridor!$H$5:$H$204="-","",1)),"")</f>
        <v/>
      </c>
      <c r="M254" s="182" t="str">
        <f>IFERROR(LOOKUP(2,1/((A_Corridor!$A$5:$A$204&lt;&gt;"")*(A_Corridor!$A$5:$A$204&lt;=$B254)*(A_Corridor!$B$5:$B$204&gt;$B254)*(A_Corridor!$H$5:$H$204&lt;&gt;"")),IF(A_Corridor!$H$5:$H$204="-","",A_Corridor!$H$5:$H$204)),"")</f>
        <v/>
      </c>
      <c r="N254" s="182" t="str">
        <f>IFERROR(LOOKUP(2,1/((A_Corridor!$A$5:$A$204&lt;&gt;"")*(A_Corridor!$A$5:$A$204&lt;=$B254)*(A_Corridor!$B$5:$B$204&gt;$B254)*(A_Corridor!$I$5:$I$204&lt;&gt;"")),IF(A_Corridor!$I$5:$I$204="-","",A_Corridor!$I$5:$I$204)),"")</f>
        <v/>
      </c>
      <c r="O254" s="182" t="str">
        <f>IFERROR(LOOKUP(2,1/((D_Points!$A$5:$A$204&lt;&gt;"")*(D_Points!$A$5:$A$204&gt;=$B254)*(D_Points!$A$5:$A$204&lt;$B254+P_Interval)*(UPPER(TRIM(D_Points!$B$5:$B$204))="PITCHING")*(D_Points!$H$5:$H$204&lt;&gt;"")),D_Points!$H$5:$H$204),"")</f>
        <v/>
      </c>
      <c r="P254" s="181" t="str">
        <f>IFERROR(LOOKUP(2,1/((B_Drainage!$A$5:$A$204&lt;&gt;"")*(B_Drainage!$A$5:$A$204&lt;=$B254)*(B_Drainage!$B$5:$B$204&gt;$B254)*(B_Drainage!$C$5:$C$204&lt;&gt;"")),IF(B_Drainage!$C$5:$C$204="-","",UPPER(B_Drainage!$C$5:$C$204))),"")</f>
        <v/>
      </c>
      <c r="Q254" s="181" t="str">
        <f>IFERROR(LOOKUP(2,1/((B_Drainage!$A$5:$A$204&lt;&gt;"")*(B_Drainage!$A$5:$A$204&lt;=$B254)*(B_Drainage!$B$5:$B$204&gt;$B254)*(B_Drainage!$D$5:$D$204&lt;&gt;"")),IF(B_Drainage!$D$5:$D$204="-","",UPPER(B_Drainage!$D$5:$D$204))),"")</f>
        <v/>
      </c>
      <c r="R254" s="182" t="str">
        <f>IFERROR(LOOKUP(2,1/((D_Points!$A$5:$A$204&lt;&gt;"")*(D_Points!$A$5:$A$204&gt;=$B254)*(D_Points!$A$5:$A$204&lt;$B254+P_Interval)*(RIGHT(UPPER(TRIM(D_Points!$B$5:$B$204)),8)="_CULVERT")),IF(LEFT(UPPER(TRIM(D_Points!$B$5:$B$204)),2)="EX",1,IF(LEFT(UPPER(TRIM(D_Points!$B$5:$B$204)),2)="PR",2,3))),"")</f>
        <v/>
      </c>
      <c r="S254" s="182" t="str">
        <f>IFERROR(LOOKUP(2,1/((D_Points!$A$5:$A$204&lt;&gt;"")*(D_Points!$A$5:$A$204&gt;=$B254)*(D_Points!$A$5:$A$204&lt;$B254+P_Interval)*(RIGHT(UPPER(TRIM(D_Points!$B$5:$B$204)),7)="_BRIDGE")),IF(LEFT(UPPER(TRIM(D_Points!$B$5:$B$204)),2)="EX",1,IF(LEFT(UPPER(TRIM(D_Points!$B$5:$B$204)),2)="PR",2,2))),"")</f>
        <v/>
      </c>
      <c r="T254" s="181" t="str">
        <f>IFERROR(LOOKUP(2,1/((B_Drainage!$A$5:$A$204&lt;&gt;"")*(B_Drainage!$A$5:$A$204&lt;=$B254)*(B_Drainage!$B$5:$B$204&gt;$B254)*(B_Drainage!$E$5:$E$204&lt;&gt;"")),IF(B_Drainage!$E$5:$E$204="-","",1)),"")</f>
        <v/>
      </c>
      <c r="U254" s="181" t="str">
        <f>IFERROR(LOOKUP(2,1/((B_Drainage!$A$5:$A$204&lt;&gt;"")*(B_Drainage!$A$5:$A$204&lt;=$B254)*(B_Drainage!$B$5:$B$204&gt;$B254)*(B_Drainage!$E$5:$E$204&lt;&gt;"")),IF(B_Drainage!$E$5:$E$204="-","",B_Drainage!$E$5:$E$204)),"")</f>
        <v/>
      </c>
      <c r="V254" s="181" t="str">
        <f>IFERROR(LOOKUP(2,1/((B_Drainage!$A$5:$A$204&lt;&gt;"")*(B_Drainage!$A$5:$A$204&lt;=$B254)*(B_Drainage!$B$5:$B$204&gt;$B254)*(B_Drainage!$F$5:$F$204&lt;&gt;"")),IF(B_Drainage!$F$5:$F$204="-","",1)),"")</f>
        <v/>
      </c>
      <c r="W254" s="181" t="str">
        <f>IFERROR(LOOKUP(2,1/((B_Drainage!$A$5:$A$204&lt;&gt;"")*(B_Drainage!$A$5:$A$204&lt;=$B254)*(B_Drainage!$B$5:$B$204&gt;$B254)*(B_Drainage!$F$5:$F$204&lt;&gt;"")),IF(B_Drainage!$F$5:$F$204="-","",B_Drainage!$F$5:$F$204)),"")</f>
        <v/>
      </c>
      <c r="X254" s="181" t="str">
        <f>IFERROR(LOOKUP(2,1/((B_Drainage!$A$5:$A$204&lt;&gt;"")*(B_Drainage!$A$5:$A$204&lt;=$B254)*(B_Drainage!$B$5:$B$204&gt;$B254)*(B_Drainage!$G$5:$G$204&lt;&gt;"")),IF(UPPER(B_Drainage!$G$5:$G$204)="Y",1,"")),"")</f>
        <v/>
      </c>
      <c r="Y254" s="181" t="str">
        <f>IFERROR(LOOKUP(2,1/((B_Drainage!$A$5:$A$204&lt;&gt;"")*(B_Drainage!$A$5:$A$204&lt;=$B254)*(B_Drainage!$B$5:$B$204&gt;$B254)*(B_Drainage!$H$5:$H$204&lt;&gt;"")),IF(UPPER(B_Drainage!$H$5:$H$204)="Y",1,"")),"")</f>
        <v/>
      </c>
      <c r="Z254" s="181" t="str">
        <f>IFERROR(LOOKUP(2,1/((B_Drainage!$A$5:$A$204&lt;&gt;"")*(B_Drainage!$A$5:$A$204&lt;=$B254)*(B_Drainage!$B$5:$B$204&gt;$B254)*(B_Drainage!$I$5:$I$204&lt;&gt;"")),IF(UPPER(B_Drainage!$I$5:$I$204)="Y",1,"")),"")</f>
        <v/>
      </c>
      <c r="AA254" s="181" t="str">
        <f>IFERROR(LOOKUP(2,1/((B_Drainage!$A$5:$A$204&lt;&gt;"")*(B_Drainage!$A$5:$A$204&lt;=$B254)*(B_Drainage!$B$5:$B$204&gt;$B254)*(B_Drainage!$J$5:$J$204&lt;&gt;"")),IF(UPPER(B_Drainage!$J$5:$J$204)="Y",1,"")),"")</f>
        <v/>
      </c>
      <c r="AB254" s="182" t="str">
        <f>IFERROR(LOOKUP(2,1/((B_Drainage!$A$5:$A$204&lt;&gt;"")*(B_Drainage!$A$5:$A$204&lt;=$B254)*(B_Drainage!$B$5:$B$204&gt;$B254)*(B_Drainage!$K$5:$K$204&lt;&gt;"")),IF(B_Drainage!$K$5:$K$204="-","",B_Drainage!$K$5:$K$204)),"")</f>
        <v/>
      </c>
      <c r="AC254" s="182" t="str">
        <f>IFERROR(LOOKUP(2,1/((B_Drainage!$A$5:$A$204&lt;&gt;"")*(B_Drainage!$A$5:$A$204&lt;=$B254)*(B_Drainage!$B$5:$B$204&gt;$B254)*(B_Drainage!$L$5:$L$204&lt;&gt;"")),IF(B_Drainage!$L$5:$L$204="-","",B_Drainage!$L$5:$L$204)),"")</f>
        <v/>
      </c>
      <c r="AD254" s="182" t="str">
        <f>IFERROR(LOOKUP(2,1/((D_Points!$A$5:$A$204&lt;&gt;"")*(D_Points!$A$5:$A$204&gt;=$B254)*(D_Points!$A$5:$A$204&lt;$B254+P_Interval)*(UPPER(TRIM(D_Points!$B$5:$B$204))="TURNOUT_L")*(D_Points!$H$5:$H$204&lt;&gt;"")),D_Points!$H$5:$H$204),"")</f>
        <v/>
      </c>
      <c r="AE254" s="182" t="str">
        <f>IFERROR(LOOKUP(2,1/((D_Points!$A$5:$A$204&lt;&gt;"")*(D_Points!$A$5:$A$204&gt;=$B254)*(D_Points!$A$5:$A$204&lt;$B254+P_Interval)*(UPPER(TRIM(D_Points!$B$5:$B$204))="TURNOUT_R")*(D_Points!$H$5:$H$204&lt;&gt;"")),D_Points!$H$5:$H$204),"")</f>
        <v/>
      </c>
      <c r="AF254" s="181" t="str">
        <f>IFERROR(LOOKUP(2,1/((B_Drainage!$A$5:$A$204&lt;&gt;"")*(B_Drainage!$A$5:$A$204&lt;=$B254)*(B_Drainage!$B$5:$B$204&gt;$B254)*(B_Drainage!$M$5:$M$204&lt;&gt;"")),IF(UPPER(B_Drainage!$M$5:$M$204)="Y",1,"")),"")</f>
        <v/>
      </c>
      <c r="AG254" s="181" t="str">
        <f>IFERROR(LOOKUP(2,1/((B_Drainage!$A$5:$A$204&lt;&gt;"")*(B_Drainage!$A$5:$A$204&lt;=$B254)*(B_Drainage!$B$5:$B$204&gt;$B254)*(B_Drainage!$N$5:$N$204&lt;&gt;"")),IF(UPPER(B_Drainage!$N$5:$N$204)="Y",1,"")),"")</f>
        <v/>
      </c>
      <c r="AH254" s="181" t="str">
        <f t="shared" si="24"/>
        <v/>
      </c>
      <c r="AI254" s="181" t="str">
        <f t="shared" si="25"/>
        <v/>
      </c>
      <c r="AJ254" s="181" t="str">
        <f t="shared" si="26"/>
        <v/>
      </c>
      <c r="AK254" s="181" t="str">
        <f t="shared" si="27"/>
        <v/>
      </c>
      <c r="AL254" s="181" t="str">
        <f t="shared" si="28"/>
        <v/>
      </c>
      <c r="AM254" s="181" t="str">
        <f t="shared" si="29"/>
        <v/>
      </c>
      <c r="AN254" s="181" t="str">
        <f t="shared" si="30"/>
        <v/>
      </c>
      <c r="AO254" s="192" t="str">
        <f t="shared" si="31"/>
        <v/>
      </c>
      <c r="AQ254" t="str">
        <f>IFERROR(LOOKUP(2,1/((C_Pavement!$A$5:$A$204&lt;&gt;"")*(C_Pavement!$A$5:$A$204&lt;=$B254)*(C_Pavement!$B$5:$B$204&gt;$B254)*(C_Pavement!$C$5:$C$204&lt;&gt;"")),ROW(C_Pavement!$C$5:$C$204)-4),"")</f>
        <v/>
      </c>
      <c r="AR254" t="str">
        <f>IF($AQ254="","",UPPER(TRIM(INDEX(C_Pavement!$C$5:$C$204,$AQ254))))</f>
        <v/>
      </c>
      <c r="AS254" t="str">
        <f>IF($AR254="","",IFERROR(MATCH($AR254,E_Rules!$A$5:$A$9,0),""))</f>
        <v/>
      </c>
      <c r="AT254" t="str">
        <f>IF($AQ254="","",IF(INDEX(C_Pavement!$D$5:$D$204,$AQ254)&lt;&gt;"",UPPER(TRIM(INDEX(C_Pavement!$D$5:$D$204,$AQ254))),IF($AS254="","",INDEX(E_Rules!$C$5:$C$9,$AS254))))</f>
        <v/>
      </c>
      <c r="AU254" t="str">
        <f>IF($AQ254="","",IF(INDEX(C_Pavement!$E$5:$E$204,$AQ254)&lt;&gt;"",IF(INDEX(C_Pavement!$E$5:$E$204,$AQ254)="-","",INDEX(C_Pavement!$E$5:$E$204,$AQ254)),IF($AS254="","",INDEX(E_Rules!$D$5:$D$9,$AS254))))</f>
        <v/>
      </c>
      <c r="AV254" t="str">
        <f>IF($AQ254="","",IF(INDEX(C_Pavement!$F$5:$F$204,$AQ254)&lt;&gt;"",IF(INDEX(C_Pavement!$F$5:$F$204,$AQ254)="-","",INDEX(C_Pavement!$F$5:$F$204,$AQ254)),IF($AS254="","",INDEX(E_Rules!$E$5:$E$9,$AS254))))</f>
        <v/>
      </c>
      <c r="AW254" t="str">
        <f>IF($AQ254="","",IF(INDEX(C_Pavement!$G$5:$G$204,$AQ254)&lt;&gt;"",IF(INDEX(C_Pavement!$G$5:$G$204,$AQ254)="-","",INDEX(C_Pavement!$G$5:$G$204,$AQ254)),IF($AS254="","",INDEX(E_Rules!$F$5:$F$9,$AS254))))</f>
        <v/>
      </c>
      <c r="AX254" t="str">
        <f>IF($AQ254="","",IF(INDEX(C_Pavement!$H$5:$H$204,$AQ254)&lt;&gt;"",IF(INDEX(C_Pavement!$H$5:$H$204,$AQ254)="-","",INDEX(C_Pavement!$H$5:$H$204,$AQ254)),IF($AS254="","",INDEX(E_Rules!$G$5:$G$9,$AS254))))</f>
        <v/>
      </c>
      <c r="AY254" t="str">
        <f>IF($AQ254="","",IF(INDEX(C_Pavement!$I$5:$I$204,$AQ254)&lt;&gt;"",IF(INDEX(C_Pavement!$I$5:$I$204,$AQ254)="-","",INDEX(C_Pavement!$I$5:$I$204,$AQ254)),IF($AS254="","",INDEX(E_Rules!$H$5:$H$9,$AS254))))</f>
        <v/>
      </c>
    </row>
    <row r="255" spans="1:51" ht="15.75" customHeight="1" x14ac:dyDescent="0.3">
      <c r="A255" s="189">
        <v>250</v>
      </c>
      <c r="B255" s="180">
        <v>12450</v>
      </c>
      <c r="C255" s="180" t="s">
        <v>561</v>
      </c>
      <c r="D255" s="181" t="str">
        <f>IFERROR(LOOKUP(2,1/((A_Corridor!$A$5:$A$204&lt;&gt;"")*(A_Corridor!$A$5:$A$204&lt;=$B255)*(A_Corridor!$B$5:$B$204&gt;$B255)*(A_Corridor!$C$5:$C$204&lt;&gt;"")),IF(UPPER(A_Corridor!$C$5:$C$204)="Y",1,"")),"")</f>
        <v/>
      </c>
      <c r="E255" s="181" t="str">
        <f>IFERROR(LOOKUP(2,1/((A_Corridor!$A$5:$A$204&lt;&gt;"")*(A_Corridor!$A$5:$A$204&lt;=$B255)*(A_Corridor!$B$5:$B$204&gt;$B255)*(A_Corridor!$D$5:$D$204&lt;&gt;"")),IF(A_Corridor!$D$5:$D$204="-","",UPPER(A_Corridor!$D$5:$D$204))),"")</f>
        <v/>
      </c>
      <c r="F255" s="181" t="str">
        <f>IFERROR(LOOKUP(2,1/((A_Corridor!$A$5:$A$204&lt;&gt;"")*(A_Corridor!$A$5:$A$204&lt;=$B255)*(A_Corridor!$B$5:$B$204&gt;$B255)*(A_Corridor!$E$5:$E$204&lt;&gt;"")),IF(A_Corridor!$E$5:$E$204="-","",1)),"")</f>
        <v/>
      </c>
      <c r="G255" s="182" t="str">
        <f>IFERROR(LOOKUP(2,1/((A_Corridor!$A$5:$A$204&lt;&gt;"")*(A_Corridor!$A$5:$A$204&lt;=$B255)*(A_Corridor!$B$5:$B$204&gt;$B255)*(A_Corridor!$E$5:$E$204&lt;&gt;"")),IF(A_Corridor!$E$5:$E$204="-","",A_Corridor!$E$5:$E$204)),"")</f>
        <v/>
      </c>
      <c r="H255" s="182" t="str">
        <f>IFERROR(LOOKUP(2,1/((D_Points!$A$5:$A$204&lt;&gt;"")*(D_Points!$A$5:$A$204&gt;=$B255)*(D_Points!$A$5:$A$204&lt;$B255+P_Interval)*(UPPER(TRIM(D_Points!$B$5:$B$204))="GULLY")*(D_Points!$H$5:$H$204&lt;&gt;"")),D_Points!$H$5:$H$204),"")</f>
        <v/>
      </c>
      <c r="I255" s="181" t="str">
        <f>IFERROR(LOOKUP(2,1/((A_Corridor!$A$5:$A$204&lt;&gt;"")*(A_Corridor!$A$5:$A$204&lt;=$B255)*(A_Corridor!$B$5:$B$204&gt;$B255)*(A_Corridor!$F$5:$F$204&lt;&gt;"")),IF(A_Corridor!$F$5:$F$204="-","",1)),"")</f>
        <v/>
      </c>
      <c r="J255" s="182" t="str">
        <f>IFERROR(LOOKUP(2,1/((A_Corridor!$A$5:$A$204&lt;&gt;"")*(A_Corridor!$A$5:$A$204&lt;=$B255)*(A_Corridor!$B$5:$B$204&gt;$B255)*(A_Corridor!$F$5:$F$204&lt;&gt;"")),IF(A_Corridor!$F$5:$F$204="-","",A_Corridor!$F$5:$F$204)),"")</f>
        <v/>
      </c>
      <c r="K255" s="182" t="str">
        <f>IFERROR(LOOKUP(2,1/((A_Corridor!$A$5:$A$204&lt;&gt;"")*(A_Corridor!$A$5:$A$204&lt;=$B255)*(A_Corridor!$B$5:$B$204&gt;$B255)*(A_Corridor!$G$5:$G$204&lt;&gt;"")),IF(A_Corridor!$G$5:$G$204="-","",A_Corridor!$G$5:$G$204)),"")</f>
        <v/>
      </c>
      <c r="L255" s="181" t="str">
        <f>IFERROR(LOOKUP(2,1/((A_Corridor!$A$5:$A$204&lt;&gt;"")*(A_Corridor!$A$5:$A$204&lt;=$B255)*(A_Corridor!$B$5:$B$204&gt;$B255)*(A_Corridor!$H$5:$H$204&lt;&gt;"")),IF(A_Corridor!$H$5:$H$204="-","",1)),"")</f>
        <v/>
      </c>
      <c r="M255" s="182" t="str">
        <f>IFERROR(LOOKUP(2,1/((A_Corridor!$A$5:$A$204&lt;&gt;"")*(A_Corridor!$A$5:$A$204&lt;=$B255)*(A_Corridor!$B$5:$B$204&gt;$B255)*(A_Corridor!$H$5:$H$204&lt;&gt;"")),IF(A_Corridor!$H$5:$H$204="-","",A_Corridor!$H$5:$H$204)),"")</f>
        <v/>
      </c>
      <c r="N255" s="182" t="str">
        <f>IFERROR(LOOKUP(2,1/((A_Corridor!$A$5:$A$204&lt;&gt;"")*(A_Corridor!$A$5:$A$204&lt;=$B255)*(A_Corridor!$B$5:$B$204&gt;$B255)*(A_Corridor!$I$5:$I$204&lt;&gt;"")),IF(A_Corridor!$I$5:$I$204="-","",A_Corridor!$I$5:$I$204)),"")</f>
        <v/>
      </c>
      <c r="O255" s="182" t="str">
        <f>IFERROR(LOOKUP(2,1/((D_Points!$A$5:$A$204&lt;&gt;"")*(D_Points!$A$5:$A$204&gt;=$B255)*(D_Points!$A$5:$A$204&lt;$B255+P_Interval)*(UPPER(TRIM(D_Points!$B$5:$B$204))="PITCHING")*(D_Points!$H$5:$H$204&lt;&gt;"")),D_Points!$H$5:$H$204),"")</f>
        <v/>
      </c>
      <c r="P255" s="181" t="str">
        <f>IFERROR(LOOKUP(2,1/((B_Drainage!$A$5:$A$204&lt;&gt;"")*(B_Drainage!$A$5:$A$204&lt;=$B255)*(B_Drainage!$B$5:$B$204&gt;$B255)*(B_Drainage!$C$5:$C$204&lt;&gt;"")),IF(B_Drainage!$C$5:$C$204="-","",UPPER(B_Drainage!$C$5:$C$204))),"")</f>
        <v/>
      </c>
      <c r="Q255" s="181" t="str">
        <f>IFERROR(LOOKUP(2,1/((B_Drainage!$A$5:$A$204&lt;&gt;"")*(B_Drainage!$A$5:$A$204&lt;=$B255)*(B_Drainage!$B$5:$B$204&gt;$B255)*(B_Drainage!$D$5:$D$204&lt;&gt;"")),IF(B_Drainage!$D$5:$D$204="-","",UPPER(B_Drainage!$D$5:$D$204))),"")</f>
        <v/>
      </c>
      <c r="R255" s="182" t="str">
        <f>IFERROR(LOOKUP(2,1/((D_Points!$A$5:$A$204&lt;&gt;"")*(D_Points!$A$5:$A$204&gt;=$B255)*(D_Points!$A$5:$A$204&lt;$B255+P_Interval)*(RIGHT(UPPER(TRIM(D_Points!$B$5:$B$204)),8)="_CULVERT")),IF(LEFT(UPPER(TRIM(D_Points!$B$5:$B$204)),2)="EX",1,IF(LEFT(UPPER(TRIM(D_Points!$B$5:$B$204)),2)="PR",2,3))),"")</f>
        <v/>
      </c>
      <c r="S255" s="182" t="str">
        <f>IFERROR(LOOKUP(2,1/((D_Points!$A$5:$A$204&lt;&gt;"")*(D_Points!$A$5:$A$204&gt;=$B255)*(D_Points!$A$5:$A$204&lt;$B255+P_Interval)*(RIGHT(UPPER(TRIM(D_Points!$B$5:$B$204)),7)="_BRIDGE")),IF(LEFT(UPPER(TRIM(D_Points!$B$5:$B$204)),2)="EX",1,IF(LEFT(UPPER(TRIM(D_Points!$B$5:$B$204)),2)="PR",2,2))),"")</f>
        <v/>
      </c>
      <c r="T255" s="181" t="str">
        <f>IFERROR(LOOKUP(2,1/((B_Drainage!$A$5:$A$204&lt;&gt;"")*(B_Drainage!$A$5:$A$204&lt;=$B255)*(B_Drainage!$B$5:$B$204&gt;$B255)*(B_Drainage!$E$5:$E$204&lt;&gt;"")),IF(B_Drainage!$E$5:$E$204="-","",1)),"")</f>
        <v/>
      </c>
      <c r="U255" s="181" t="str">
        <f>IFERROR(LOOKUP(2,1/((B_Drainage!$A$5:$A$204&lt;&gt;"")*(B_Drainage!$A$5:$A$204&lt;=$B255)*(B_Drainage!$B$5:$B$204&gt;$B255)*(B_Drainage!$E$5:$E$204&lt;&gt;"")),IF(B_Drainage!$E$5:$E$204="-","",B_Drainage!$E$5:$E$204)),"")</f>
        <v/>
      </c>
      <c r="V255" s="181" t="str">
        <f>IFERROR(LOOKUP(2,1/((B_Drainage!$A$5:$A$204&lt;&gt;"")*(B_Drainage!$A$5:$A$204&lt;=$B255)*(B_Drainage!$B$5:$B$204&gt;$B255)*(B_Drainage!$F$5:$F$204&lt;&gt;"")),IF(B_Drainage!$F$5:$F$204="-","",1)),"")</f>
        <v/>
      </c>
      <c r="W255" s="181" t="str">
        <f>IFERROR(LOOKUP(2,1/((B_Drainage!$A$5:$A$204&lt;&gt;"")*(B_Drainage!$A$5:$A$204&lt;=$B255)*(B_Drainage!$B$5:$B$204&gt;$B255)*(B_Drainage!$F$5:$F$204&lt;&gt;"")),IF(B_Drainage!$F$5:$F$204="-","",B_Drainage!$F$5:$F$204)),"")</f>
        <v/>
      </c>
      <c r="X255" s="181" t="str">
        <f>IFERROR(LOOKUP(2,1/((B_Drainage!$A$5:$A$204&lt;&gt;"")*(B_Drainage!$A$5:$A$204&lt;=$B255)*(B_Drainage!$B$5:$B$204&gt;$B255)*(B_Drainage!$G$5:$G$204&lt;&gt;"")),IF(UPPER(B_Drainage!$G$5:$G$204)="Y",1,"")),"")</f>
        <v/>
      </c>
      <c r="Y255" s="181" t="str">
        <f>IFERROR(LOOKUP(2,1/((B_Drainage!$A$5:$A$204&lt;&gt;"")*(B_Drainage!$A$5:$A$204&lt;=$B255)*(B_Drainage!$B$5:$B$204&gt;$B255)*(B_Drainage!$H$5:$H$204&lt;&gt;"")),IF(UPPER(B_Drainage!$H$5:$H$204)="Y",1,"")),"")</f>
        <v/>
      </c>
      <c r="Z255" s="181" t="str">
        <f>IFERROR(LOOKUP(2,1/((B_Drainage!$A$5:$A$204&lt;&gt;"")*(B_Drainage!$A$5:$A$204&lt;=$B255)*(B_Drainage!$B$5:$B$204&gt;$B255)*(B_Drainage!$I$5:$I$204&lt;&gt;"")),IF(UPPER(B_Drainage!$I$5:$I$204)="Y",1,"")),"")</f>
        <v/>
      </c>
      <c r="AA255" s="181" t="str">
        <f>IFERROR(LOOKUP(2,1/((B_Drainage!$A$5:$A$204&lt;&gt;"")*(B_Drainage!$A$5:$A$204&lt;=$B255)*(B_Drainage!$B$5:$B$204&gt;$B255)*(B_Drainage!$J$5:$J$204&lt;&gt;"")),IF(UPPER(B_Drainage!$J$5:$J$204)="Y",1,"")),"")</f>
        <v/>
      </c>
      <c r="AB255" s="182" t="str">
        <f>IFERROR(LOOKUP(2,1/((B_Drainage!$A$5:$A$204&lt;&gt;"")*(B_Drainage!$A$5:$A$204&lt;=$B255)*(B_Drainage!$B$5:$B$204&gt;$B255)*(B_Drainage!$K$5:$K$204&lt;&gt;"")),IF(B_Drainage!$K$5:$K$204="-","",B_Drainage!$K$5:$K$204)),"")</f>
        <v/>
      </c>
      <c r="AC255" s="182" t="str">
        <f>IFERROR(LOOKUP(2,1/((B_Drainage!$A$5:$A$204&lt;&gt;"")*(B_Drainage!$A$5:$A$204&lt;=$B255)*(B_Drainage!$B$5:$B$204&gt;$B255)*(B_Drainage!$L$5:$L$204&lt;&gt;"")),IF(B_Drainage!$L$5:$L$204="-","",B_Drainage!$L$5:$L$204)),"")</f>
        <v/>
      </c>
      <c r="AD255" s="182" t="str">
        <f>IFERROR(LOOKUP(2,1/((D_Points!$A$5:$A$204&lt;&gt;"")*(D_Points!$A$5:$A$204&gt;=$B255)*(D_Points!$A$5:$A$204&lt;$B255+P_Interval)*(UPPER(TRIM(D_Points!$B$5:$B$204))="TURNOUT_L")*(D_Points!$H$5:$H$204&lt;&gt;"")),D_Points!$H$5:$H$204),"")</f>
        <v/>
      </c>
      <c r="AE255" s="182" t="str">
        <f>IFERROR(LOOKUP(2,1/((D_Points!$A$5:$A$204&lt;&gt;"")*(D_Points!$A$5:$A$204&gt;=$B255)*(D_Points!$A$5:$A$204&lt;$B255+P_Interval)*(UPPER(TRIM(D_Points!$B$5:$B$204))="TURNOUT_R")*(D_Points!$H$5:$H$204&lt;&gt;"")),D_Points!$H$5:$H$204),"")</f>
        <v/>
      </c>
      <c r="AF255" s="181" t="str">
        <f>IFERROR(LOOKUP(2,1/((B_Drainage!$A$5:$A$204&lt;&gt;"")*(B_Drainage!$A$5:$A$204&lt;=$B255)*(B_Drainage!$B$5:$B$204&gt;$B255)*(B_Drainage!$M$5:$M$204&lt;&gt;"")),IF(UPPER(B_Drainage!$M$5:$M$204)="Y",1,"")),"")</f>
        <v/>
      </c>
      <c r="AG255" s="181" t="str">
        <f>IFERROR(LOOKUP(2,1/((B_Drainage!$A$5:$A$204&lt;&gt;"")*(B_Drainage!$A$5:$A$204&lt;=$B255)*(B_Drainage!$B$5:$B$204&gt;$B255)*(B_Drainage!$N$5:$N$204&lt;&gt;"")),IF(UPPER(B_Drainage!$N$5:$N$204)="Y",1,"")),"")</f>
        <v/>
      </c>
      <c r="AH255" s="181" t="str">
        <f t="shared" si="24"/>
        <v/>
      </c>
      <c r="AI255" s="181" t="str">
        <f t="shared" si="25"/>
        <v/>
      </c>
      <c r="AJ255" s="181" t="str">
        <f t="shared" si="26"/>
        <v/>
      </c>
      <c r="AK255" s="181" t="str">
        <f t="shared" si="27"/>
        <v/>
      </c>
      <c r="AL255" s="181" t="str">
        <f t="shared" si="28"/>
        <v/>
      </c>
      <c r="AM255" s="181" t="str">
        <f t="shared" si="29"/>
        <v/>
      </c>
      <c r="AN255" s="181" t="str">
        <f t="shared" si="30"/>
        <v/>
      </c>
      <c r="AO255" s="192" t="str">
        <f t="shared" si="31"/>
        <v/>
      </c>
      <c r="AQ255" t="str">
        <f>IFERROR(LOOKUP(2,1/((C_Pavement!$A$5:$A$204&lt;&gt;"")*(C_Pavement!$A$5:$A$204&lt;=$B255)*(C_Pavement!$B$5:$B$204&gt;$B255)*(C_Pavement!$C$5:$C$204&lt;&gt;"")),ROW(C_Pavement!$C$5:$C$204)-4),"")</f>
        <v/>
      </c>
      <c r="AR255" t="str">
        <f>IF($AQ255="","",UPPER(TRIM(INDEX(C_Pavement!$C$5:$C$204,$AQ255))))</f>
        <v/>
      </c>
      <c r="AS255" t="str">
        <f>IF($AR255="","",IFERROR(MATCH($AR255,E_Rules!$A$5:$A$9,0),""))</f>
        <v/>
      </c>
      <c r="AT255" t="str">
        <f>IF($AQ255="","",IF(INDEX(C_Pavement!$D$5:$D$204,$AQ255)&lt;&gt;"",UPPER(TRIM(INDEX(C_Pavement!$D$5:$D$204,$AQ255))),IF($AS255="","",INDEX(E_Rules!$C$5:$C$9,$AS255))))</f>
        <v/>
      </c>
      <c r="AU255" t="str">
        <f>IF($AQ255="","",IF(INDEX(C_Pavement!$E$5:$E$204,$AQ255)&lt;&gt;"",IF(INDEX(C_Pavement!$E$5:$E$204,$AQ255)="-","",INDEX(C_Pavement!$E$5:$E$204,$AQ255)),IF($AS255="","",INDEX(E_Rules!$D$5:$D$9,$AS255))))</f>
        <v/>
      </c>
      <c r="AV255" t="str">
        <f>IF($AQ255="","",IF(INDEX(C_Pavement!$F$5:$F$204,$AQ255)&lt;&gt;"",IF(INDEX(C_Pavement!$F$5:$F$204,$AQ255)="-","",INDEX(C_Pavement!$F$5:$F$204,$AQ255)),IF($AS255="","",INDEX(E_Rules!$E$5:$E$9,$AS255))))</f>
        <v/>
      </c>
      <c r="AW255" t="str">
        <f>IF($AQ255="","",IF(INDEX(C_Pavement!$G$5:$G$204,$AQ255)&lt;&gt;"",IF(INDEX(C_Pavement!$G$5:$G$204,$AQ255)="-","",INDEX(C_Pavement!$G$5:$G$204,$AQ255)),IF($AS255="","",INDEX(E_Rules!$F$5:$F$9,$AS255))))</f>
        <v/>
      </c>
      <c r="AX255" t="str">
        <f>IF($AQ255="","",IF(INDEX(C_Pavement!$H$5:$H$204,$AQ255)&lt;&gt;"",IF(INDEX(C_Pavement!$H$5:$H$204,$AQ255)="-","",INDEX(C_Pavement!$H$5:$H$204,$AQ255)),IF($AS255="","",INDEX(E_Rules!$G$5:$G$9,$AS255))))</f>
        <v/>
      </c>
      <c r="AY255" t="str">
        <f>IF($AQ255="","",IF(INDEX(C_Pavement!$I$5:$I$204,$AQ255)&lt;&gt;"",IF(INDEX(C_Pavement!$I$5:$I$204,$AQ255)="-","",INDEX(C_Pavement!$I$5:$I$204,$AQ255)),IF($AS255="","",INDEX(E_Rules!$H$5:$H$9,$AS255))))</f>
        <v/>
      </c>
    </row>
    <row r="256" spans="1:51" ht="15.75" customHeight="1" x14ac:dyDescent="0.3">
      <c r="A256" s="189">
        <v>251</v>
      </c>
      <c r="B256" s="180">
        <v>12500</v>
      </c>
      <c r="C256" s="180" t="s">
        <v>562</v>
      </c>
      <c r="D256" s="181" t="str">
        <f>IFERROR(LOOKUP(2,1/((A_Corridor!$A$5:$A$204&lt;&gt;"")*(A_Corridor!$A$5:$A$204&lt;=$B256)*(A_Corridor!$B$5:$B$204&gt;$B256)*(A_Corridor!$C$5:$C$204&lt;&gt;"")),IF(UPPER(A_Corridor!$C$5:$C$204)="Y",1,"")),"")</f>
        <v/>
      </c>
      <c r="E256" s="181" t="str">
        <f>IFERROR(LOOKUP(2,1/((A_Corridor!$A$5:$A$204&lt;&gt;"")*(A_Corridor!$A$5:$A$204&lt;=$B256)*(A_Corridor!$B$5:$B$204&gt;$B256)*(A_Corridor!$D$5:$D$204&lt;&gt;"")),IF(A_Corridor!$D$5:$D$204="-","",UPPER(A_Corridor!$D$5:$D$204))),"")</f>
        <v/>
      </c>
      <c r="F256" s="181" t="str">
        <f>IFERROR(LOOKUP(2,1/((A_Corridor!$A$5:$A$204&lt;&gt;"")*(A_Corridor!$A$5:$A$204&lt;=$B256)*(A_Corridor!$B$5:$B$204&gt;$B256)*(A_Corridor!$E$5:$E$204&lt;&gt;"")),IF(A_Corridor!$E$5:$E$204="-","",1)),"")</f>
        <v/>
      </c>
      <c r="G256" s="182" t="str">
        <f>IFERROR(LOOKUP(2,1/((A_Corridor!$A$5:$A$204&lt;&gt;"")*(A_Corridor!$A$5:$A$204&lt;=$B256)*(A_Corridor!$B$5:$B$204&gt;$B256)*(A_Corridor!$E$5:$E$204&lt;&gt;"")),IF(A_Corridor!$E$5:$E$204="-","",A_Corridor!$E$5:$E$204)),"")</f>
        <v/>
      </c>
      <c r="H256" s="182" t="str">
        <f>IFERROR(LOOKUP(2,1/((D_Points!$A$5:$A$204&lt;&gt;"")*(D_Points!$A$5:$A$204&gt;=$B256)*(D_Points!$A$5:$A$204&lt;$B256+P_Interval)*(UPPER(TRIM(D_Points!$B$5:$B$204))="GULLY")*(D_Points!$H$5:$H$204&lt;&gt;"")),D_Points!$H$5:$H$204),"")</f>
        <v/>
      </c>
      <c r="I256" s="181" t="str">
        <f>IFERROR(LOOKUP(2,1/((A_Corridor!$A$5:$A$204&lt;&gt;"")*(A_Corridor!$A$5:$A$204&lt;=$B256)*(A_Corridor!$B$5:$B$204&gt;$B256)*(A_Corridor!$F$5:$F$204&lt;&gt;"")),IF(A_Corridor!$F$5:$F$204="-","",1)),"")</f>
        <v/>
      </c>
      <c r="J256" s="182" t="str">
        <f>IFERROR(LOOKUP(2,1/((A_Corridor!$A$5:$A$204&lt;&gt;"")*(A_Corridor!$A$5:$A$204&lt;=$B256)*(A_Corridor!$B$5:$B$204&gt;$B256)*(A_Corridor!$F$5:$F$204&lt;&gt;"")),IF(A_Corridor!$F$5:$F$204="-","",A_Corridor!$F$5:$F$204)),"")</f>
        <v/>
      </c>
      <c r="K256" s="182" t="str">
        <f>IFERROR(LOOKUP(2,1/((A_Corridor!$A$5:$A$204&lt;&gt;"")*(A_Corridor!$A$5:$A$204&lt;=$B256)*(A_Corridor!$B$5:$B$204&gt;$B256)*(A_Corridor!$G$5:$G$204&lt;&gt;"")),IF(A_Corridor!$G$5:$G$204="-","",A_Corridor!$G$5:$G$204)),"")</f>
        <v/>
      </c>
      <c r="L256" s="181" t="str">
        <f>IFERROR(LOOKUP(2,1/((A_Corridor!$A$5:$A$204&lt;&gt;"")*(A_Corridor!$A$5:$A$204&lt;=$B256)*(A_Corridor!$B$5:$B$204&gt;$B256)*(A_Corridor!$H$5:$H$204&lt;&gt;"")),IF(A_Corridor!$H$5:$H$204="-","",1)),"")</f>
        <v/>
      </c>
      <c r="M256" s="182" t="str">
        <f>IFERROR(LOOKUP(2,1/((A_Corridor!$A$5:$A$204&lt;&gt;"")*(A_Corridor!$A$5:$A$204&lt;=$B256)*(A_Corridor!$B$5:$B$204&gt;$B256)*(A_Corridor!$H$5:$H$204&lt;&gt;"")),IF(A_Corridor!$H$5:$H$204="-","",A_Corridor!$H$5:$H$204)),"")</f>
        <v/>
      </c>
      <c r="N256" s="182" t="str">
        <f>IFERROR(LOOKUP(2,1/((A_Corridor!$A$5:$A$204&lt;&gt;"")*(A_Corridor!$A$5:$A$204&lt;=$B256)*(A_Corridor!$B$5:$B$204&gt;$B256)*(A_Corridor!$I$5:$I$204&lt;&gt;"")),IF(A_Corridor!$I$5:$I$204="-","",A_Corridor!$I$5:$I$204)),"")</f>
        <v/>
      </c>
      <c r="O256" s="182" t="str">
        <f>IFERROR(LOOKUP(2,1/((D_Points!$A$5:$A$204&lt;&gt;"")*(D_Points!$A$5:$A$204&gt;=$B256)*(D_Points!$A$5:$A$204&lt;$B256+P_Interval)*(UPPER(TRIM(D_Points!$B$5:$B$204))="PITCHING")*(D_Points!$H$5:$H$204&lt;&gt;"")),D_Points!$H$5:$H$204),"")</f>
        <v/>
      </c>
      <c r="P256" s="181" t="str">
        <f>IFERROR(LOOKUP(2,1/((B_Drainage!$A$5:$A$204&lt;&gt;"")*(B_Drainage!$A$5:$A$204&lt;=$B256)*(B_Drainage!$B$5:$B$204&gt;$B256)*(B_Drainage!$C$5:$C$204&lt;&gt;"")),IF(B_Drainage!$C$5:$C$204="-","",UPPER(B_Drainage!$C$5:$C$204))),"")</f>
        <v/>
      </c>
      <c r="Q256" s="181" t="str">
        <f>IFERROR(LOOKUP(2,1/((B_Drainage!$A$5:$A$204&lt;&gt;"")*(B_Drainage!$A$5:$A$204&lt;=$B256)*(B_Drainage!$B$5:$B$204&gt;$B256)*(B_Drainage!$D$5:$D$204&lt;&gt;"")),IF(B_Drainage!$D$5:$D$204="-","",UPPER(B_Drainage!$D$5:$D$204))),"")</f>
        <v/>
      </c>
      <c r="R256" s="182" t="str">
        <f>IFERROR(LOOKUP(2,1/((D_Points!$A$5:$A$204&lt;&gt;"")*(D_Points!$A$5:$A$204&gt;=$B256)*(D_Points!$A$5:$A$204&lt;$B256+P_Interval)*(RIGHT(UPPER(TRIM(D_Points!$B$5:$B$204)),8)="_CULVERT")),IF(LEFT(UPPER(TRIM(D_Points!$B$5:$B$204)),2)="EX",1,IF(LEFT(UPPER(TRIM(D_Points!$B$5:$B$204)),2)="PR",2,3))),"")</f>
        <v/>
      </c>
      <c r="S256" s="182" t="str">
        <f>IFERROR(LOOKUP(2,1/((D_Points!$A$5:$A$204&lt;&gt;"")*(D_Points!$A$5:$A$204&gt;=$B256)*(D_Points!$A$5:$A$204&lt;$B256+P_Interval)*(RIGHT(UPPER(TRIM(D_Points!$B$5:$B$204)),7)="_BRIDGE")),IF(LEFT(UPPER(TRIM(D_Points!$B$5:$B$204)),2)="EX",1,IF(LEFT(UPPER(TRIM(D_Points!$B$5:$B$204)),2)="PR",2,2))),"")</f>
        <v/>
      </c>
      <c r="T256" s="181" t="str">
        <f>IFERROR(LOOKUP(2,1/((B_Drainage!$A$5:$A$204&lt;&gt;"")*(B_Drainage!$A$5:$A$204&lt;=$B256)*(B_Drainage!$B$5:$B$204&gt;$B256)*(B_Drainage!$E$5:$E$204&lt;&gt;"")),IF(B_Drainage!$E$5:$E$204="-","",1)),"")</f>
        <v/>
      </c>
      <c r="U256" s="181" t="str">
        <f>IFERROR(LOOKUP(2,1/((B_Drainage!$A$5:$A$204&lt;&gt;"")*(B_Drainage!$A$5:$A$204&lt;=$B256)*(B_Drainage!$B$5:$B$204&gt;$B256)*(B_Drainage!$E$5:$E$204&lt;&gt;"")),IF(B_Drainage!$E$5:$E$204="-","",B_Drainage!$E$5:$E$204)),"")</f>
        <v/>
      </c>
      <c r="V256" s="181" t="str">
        <f>IFERROR(LOOKUP(2,1/((B_Drainage!$A$5:$A$204&lt;&gt;"")*(B_Drainage!$A$5:$A$204&lt;=$B256)*(B_Drainage!$B$5:$B$204&gt;$B256)*(B_Drainage!$F$5:$F$204&lt;&gt;"")),IF(B_Drainage!$F$5:$F$204="-","",1)),"")</f>
        <v/>
      </c>
      <c r="W256" s="181" t="str">
        <f>IFERROR(LOOKUP(2,1/((B_Drainage!$A$5:$A$204&lt;&gt;"")*(B_Drainage!$A$5:$A$204&lt;=$B256)*(B_Drainage!$B$5:$B$204&gt;$B256)*(B_Drainage!$F$5:$F$204&lt;&gt;"")),IF(B_Drainage!$F$5:$F$204="-","",B_Drainage!$F$5:$F$204)),"")</f>
        <v/>
      </c>
      <c r="X256" s="181" t="str">
        <f>IFERROR(LOOKUP(2,1/((B_Drainage!$A$5:$A$204&lt;&gt;"")*(B_Drainage!$A$5:$A$204&lt;=$B256)*(B_Drainage!$B$5:$B$204&gt;$B256)*(B_Drainage!$G$5:$G$204&lt;&gt;"")),IF(UPPER(B_Drainage!$G$5:$G$204)="Y",1,"")),"")</f>
        <v/>
      </c>
      <c r="Y256" s="181" t="str">
        <f>IFERROR(LOOKUP(2,1/((B_Drainage!$A$5:$A$204&lt;&gt;"")*(B_Drainage!$A$5:$A$204&lt;=$B256)*(B_Drainage!$B$5:$B$204&gt;$B256)*(B_Drainage!$H$5:$H$204&lt;&gt;"")),IF(UPPER(B_Drainage!$H$5:$H$204)="Y",1,"")),"")</f>
        <v/>
      </c>
      <c r="Z256" s="181" t="str">
        <f>IFERROR(LOOKUP(2,1/((B_Drainage!$A$5:$A$204&lt;&gt;"")*(B_Drainage!$A$5:$A$204&lt;=$B256)*(B_Drainage!$B$5:$B$204&gt;$B256)*(B_Drainage!$I$5:$I$204&lt;&gt;"")),IF(UPPER(B_Drainage!$I$5:$I$204)="Y",1,"")),"")</f>
        <v/>
      </c>
      <c r="AA256" s="181" t="str">
        <f>IFERROR(LOOKUP(2,1/((B_Drainage!$A$5:$A$204&lt;&gt;"")*(B_Drainage!$A$5:$A$204&lt;=$B256)*(B_Drainage!$B$5:$B$204&gt;$B256)*(B_Drainage!$J$5:$J$204&lt;&gt;"")),IF(UPPER(B_Drainage!$J$5:$J$204)="Y",1,"")),"")</f>
        <v/>
      </c>
      <c r="AB256" s="182" t="str">
        <f>IFERROR(LOOKUP(2,1/((B_Drainage!$A$5:$A$204&lt;&gt;"")*(B_Drainage!$A$5:$A$204&lt;=$B256)*(B_Drainage!$B$5:$B$204&gt;$B256)*(B_Drainage!$K$5:$K$204&lt;&gt;"")),IF(B_Drainage!$K$5:$K$204="-","",B_Drainage!$K$5:$K$204)),"")</f>
        <v/>
      </c>
      <c r="AC256" s="182" t="str">
        <f>IFERROR(LOOKUP(2,1/((B_Drainage!$A$5:$A$204&lt;&gt;"")*(B_Drainage!$A$5:$A$204&lt;=$B256)*(B_Drainage!$B$5:$B$204&gt;$B256)*(B_Drainage!$L$5:$L$204&lt;&gt;"")),IF(B_Drainage!$L$5:$L$204="-","",B_Drainage!$L$5:$L$204)),"")</f>
        <v/>
      </c>
      <c r="AD256" s="182" t="str">
        <f>IFERROR(LOOKUP(2,1/((D_Points!$A$5:$A$204&lt;&gt;"")*(D_Points!$A$5:$A$204&gt;=$B256)*(D_Points!$A$5:$A$204&lt;$B256+P_Interval)*(UPPER(TRIM(D_Points!$B$5:$B$204))="TURNOUT_L")*(D_Points!$H$5:$H$204&lt;&gt;"")),D_Points!$H$5:$H$204),"")</f>
        <v/>
      </c>
      <c r="AE256" s="182" t="str">
        <f>IFERROR(LOOKUP(2,1/((D_Points!$A$5:$A$204&lt;&gt;"")*(D_Points!$A$5:$A$204&gt;=$B256)*(D_Points!$A$5:$A$204&lt;$B256+P_Interval)*(UPPER(TRIM(D_Points!$B$5:$B$204))="TURNOUT_R")*(D_Points!$H$5:$H$204&lt;&gt;"")),D_Points!$H$5:$H$204),"")</f>
        <v/>
      </c>
      <c r="AF256" s="181" t="str">
        <f>IFERROR(LOOKUP(2,1/((B_Drainage!$A$5:$A$204&lt;&gt;"")*(B_Drainage!$A$5:$A$204&lt;=$B256)*(B_Drainage!$B$5:$B$204&gt;$B256)*(B_Drainage!$M$5:$M$204&lt;&gt;"")),IF(UPPER(B_Drainage!$M$5:$M$204)="Y",1,"")),"")</f>
        <v/>
      </c>
      <c r="AG256" s="181" t="str">
        <f>IFERROR(LOOKUP(2,1/((B_Drainage!$A$5:$A$204&lt;&gt;"")*(B_Drainage!$A$5:$A$204&lt;=$B256)*(B_Drainage!$B$5:$B$204&gt;$B256)*(B_Drainage!$N$5:$N$204&lt;&gt;"")),IF(UPPER(B_Drainage!$N$5:$N$204)="Y",1,"")),"")</f>
        <v/>
      </c>
      <c r="AH256" s="181" t="str">
        <f t="shared" si="24"/>
        <v/>
      </c>
      <c r="AI256" s="181" t="str">
        <f t="shared" si="25"/>
        <v/>
      </c>
      <c r="AJ256" s="181" t="str">
        <f t="shared" si="26"/>
        <v/>
      </c>
      <c r="AK256" s="181" t="str">
        <f t="shared" si="27"/>
        <v/>
      </c>
      <c r="AL256" s="181" t="str">
        <f t="shared" si="28"/>
        <v/>
      </c>
      <c r="AM256" s="181" t="str">
        <f t="shared" si="29"/>
        <v/>
      </c>
      <c r="AN256" s="181" t="str">
        <f t="shared" si="30"/>
        <v/>
      </c>
      <c r="AO256" s="192" t="str">
        <f t="shared" si="31"/>
        <v/>
      </c>
      <c r="AQ256" t="str">
        <f>IFERROR(LOOKUP(2,1/((C_Pavement!$A$5:$A$204&lt;&gt;"")*(C_Pavement!$A$5:$A$204&lt;=$B256)*(C_Pavement!$B$5:$B$204&gt;$B256)*(C_Pavement!$C$5:$C$204&lt;&gt;"")),ROW(C_Pavement!$C$5:$C$204)-4),"")</f>
        <v/>
      </c>
      <c r="AR256" t="str">
        <f>IF($AQ256="","",UPPER(TRIM(INDEX(C_Pavement!$C$5:$C$204,$AQ256))))</f>
        <v/>
      </c>
      <c r="AS256" t="str">
        <f>IF($AR256="","",IFERROR(MATCH($AR256,E_Rules!$A$5:$A$9,0),""))</f>
        <v/>
      </c>
      <c r="AT256" t="str">
        <f>IF($AQ256="","",IF(INDEX(C_Pavement!$D$5:$D$204,$AQ256)&lt;&gt;"",UPPER(TRIM(INDEX(C_Pavement!$D$5:$D$204,$AQ256))),IF($AS256="","",INDEX(E_Rules!$C$5:$C$9,$AS256))))</f>
        <v/>
      </c>
      <c r="AU256" t="str">
        <f>IF($AQ256="","",IF(INDEX(C_Pavement!$E$5:$E$204,$AQ256)&lt;&gt;"",IF(INDEX(C_Pavement!$E$5:$E$204,$AQ256)="-","",INDEX(C_Pavement!$E$5:$E$204,$AQ256)),IF($AS256="","",INDEX(E_Rules!$D$5:$D$9,$AS256))))</f>
        <v/>
      </c>
      <c r="AV256" t="str">
        <f>IF($AQ256="","",IF(INDEX(C_Pavement!$F$5:$F$204,$AQ256)&lt;&gt;"",IF(INDEX(C_Pavement!$F$5:$F$204,$AQ256)="-","",INDEX(C_Pavement!$F$5:$F$204,$AQ256)),IF($AS256="","",INDEX(E_Rules!$E$5:$E$9,$AS256))))</f>
        <v/>
      </c>
      <c r="AW256" t="str">
        <f>IF($AQ256="","",IF(INDEX(C_Pavement!$G$5:$G$204,$AQ256)&lt;&gt;"",IF(INDEX(C_Pavement!$G$5:$G$204,$AQ256)="-","",INDEX(C_Pavement!$G$5:$G$204,$AQ256)),IF($AS256="","",INDEX(E_Rules!$F$5:$F$9,$AS256))))</f>
        <v/>
      </c>
      <c r="AX256" t="str">
        <f>IF($AQ256="","",IF(INDEX(C_Pavement!$H$5:$H$204,$AQ256)&lt;&gt;"",IF(INDEX(C_Pavement!$H$5:$H$204,$AQ256)="-","",INDEX(C_Pavement!$H$5:$H$204,$AQ256)),IF($AS256="","",INDEX(E_Rules!$G$5:$G$9,$AS256))))</f>
        <v/>
      </c>
      <c r="AY256" t="str">
        <f>IF($AQ256="","",IF(INDEX(C_Pavement!$I$5:$I$204,$AQ256)&lt;&gt;"",IF(INDEX(C_Pavement!$I$5:$I$204,$AQ256)="-","",INDEX(C_Pavement!$I$5:$I$204,$AQ256)),IF($AS256="","",INDEX(E_Rules!$H$5:$H$9,$AS256))))</f>
        <v/>
      </c>
    </row>
    <row r="257" spans="1:51" ht="15.75" customHeight="1" x14ac:dyDescent="0.3">
      <c r="A257" s="189">
        <v>252</v>
      </c>
      <c r="B257" s="180">
        <v>12550</v>
      </c>
      <c r="C257" s="180" t="s">
        <v>563</v>
      </c>
      <c r="D257" s="181" t="str">
        <f>IFERROR(LOOKUP(2,1/((A_Corridor!$A$5:$A$204&lt;&gt;"")*(A_Corridor!$A$5:$A$204&lt;=$B257)*(A_Corridor!$B$5:$B$204&gt;$B257)*(A_Corridor!$C$5:$C$204&lt;&gt;"")),IF(UPPER(A_Corridor!$C$5:$C$204)="Y",1,"")),"")</f>
        <v/>
      </c>
      <c r="E257" s="181" t="str">
        <f>IFERROR(LOOKUP(2,1/((A_Corridor!$A$5:$A$204&lt;&gt;"")*(A_Corridor!$A$5:$A$204&lt;=$B257)*(A_Corridor!$B$5:$B$204&gt;$B257)*(A_Corridor!$D$5:$D$204&lt;&gt;"")),IF(A_Corridor!$D$5:$D$204="-","",UPPER(A_Corridor!$D$5:$D$204))),"")</f>
        <v/>
      </c>
      <c r="F257" s="181" t="str">
        <f>IFERROR(LOOKUP(2,1/((A_Corridor!$A$5:$A$204&lt;&gt;"")*(A_Corridor!$A$5:$A$204&lt;=$B257)*(A_Corridor!$B$5:$B$204&gt;$B257)*(A_Corridor!$E$5:$E$204&lt;&gt;"")),IF(A_Corridor!$E$5:$E$204="-","",1)),"")</f>
        <v/>
      </c>
      <c r="G257" s="182" t="str">
        <f>IFERROR(LOOKUP(2,1/((A_Corridor!$A$5:$A$204&lt;&gt;"")*(A_Corridor!$A$5:$A$204&lt;=$B257)*(A_Corridor!$B$5:$B$204&gt;$B257)*(A_Corridor!$E$5:$E$204&lt;&gt;"")),IF(A_Corridor!$E$5:$E$204="-","",A_Corridor!$E$5:$E$204)),"")</f>
        <v/>
      </c>
      <c r="H257" s="182" t="str">
        <f>IFERROR(LOOKUP(2,1/((D_Points!$A$5:$A$204&lt;&gt;"")*(D_Points!$A$5:$A$204&gt;=$B257)*(D_Points!$A$5:$A$204&lt;$B257+P_Interval)*(UPPER(TRIM(D_Points!$B$5:$B$204))="GULLY")*(D_Points!$H$5:$H$204&lt;&gt;"")),D_Points!$H$5:$H$204),"")</f>
        <v/>
      </c>
      <c r="I257" s="181" t="str">
        <f>IFERROR(LOOKUP(2,1/((A_Corridor!$A$5:$A$204&lt;&gt;"")*(A_Corridor!$A$5:$A$204&lt;=$B257)*(A_Corridor!$B$5:$B$204&gt;$B257)*(A_Corridor!$F$5:$F$204&lt;&gt;"")),IF(A_Corridor!$F$5:$F$204="-","",1)),"")</f>
        <v/>
      </c>
      <c r="J257" s="182" t="str">
        <f>IFERROR(LOOKUP(2,1/((A_Corridor!$A$5:$A$204&lt;&gt;"")*(A_Corridor!$A$5:$A$204&lt;=$B257)*(A_Corridor!$B$5:$B$204&gt;$B257)*(A_Corridor!$F$5:$F$204&lt;&gt;"")),IF(A_Corridor!$F$5:$F$204="-","",A_Corridor!$F$5:$F$204)),"")</f>
        <v/>
      </c>
      <c r="K257" s="182" t="str">
        <f>IFERROR(LOOKUP(2,1/((A_Corridor!$A$5:$A$204&lt;&gt;"")*(A_Corridor!$A$5:$A$204&lt;=$B257)*(A_Corridor!$B$5:$B$204&gt;$B257)*(A_Corridor!$G$5:$G$204&lt;&gt;"")),IF(A_Corridor!$G$5:$G$204="-","",A_Corridor!$G$5:$G$204)),"")</f>
        <v/>
      </c>
      <c r="L257" s="181" t="str">
        <f>IFERROR(LOOKUP(2,1/((A_Corridor!$A$5:$A$204&lt;&gt;"")*(A_Corridor!$A$5:$A$204&lt;=$B257)*(A_Corridor!$B$5:$B$204&gt;$B257)*(A_Corridor!$H$5:$H$204&lt;&gt;"")),IF(A_Corridor!$H$5:$H$204="-","",1)),"")</f>
        <v/>
      </c>
      <c r="M257" s="182" t="str">
        <f>IFERROR(LOOKUP(2,1/((A_Corridor!$A$5:$A$204&lt;&gt;"")*(A_Corridor!$A$5:$A$204&lt;=$B257)*(A_Corridor!$B$5:$B$204&gt;$B257)*(A_Corridor!$H$5:$H$204&lt;&gt;"")),IF(A_Corridor!$H$5:$H$204="-","",A_Corridor!$H$5:$H$204)),"")</f>
        <v/>
      </c>
      <c r="N257" s="182" t="str">
        <f>IFERROR(LOOKUP(2,1/((A_Corridor!$A$5:$A$204&lt;&gt;"")*(A_Corridor!$A$5:$A$204&lt;=$B257)*(A_Corridor!$B$5:$B$204&gt;$B257)*(A_Corridor!$I$5:$I$204&lt;&gt;"")),IF(A_Corridor!$I$5:$I$204="-","",A_Corridor!$I$5:$I$204)),"")</f>
        <v/>
      </c>
      <c r="O257" s="182" t="str">
        <f>IFERROR(LOOKUP(2,1/((D_Points!$A$5:$A$204&lt;&gt;"")*(D_Points!$A$5:$A$204&gt;=$B257)*(D_Points!$A$5:$A$204&lt;$B257+P_Interval)*(UPPER(TRIM(D_Points!$B$5:$B$204))="PITCHING")*(D_Points!$H$5:$H$204&lt;&gt;"")),D_Points!$H$5:$H$204),"")</f>
        <v/>
      </c>
      <c r="P257" s="181" t="str">
        <f>IFERROR(LOOKUP(2,1/((B_Drainage!$A$5:$A$204&lt;&gt;"")*(B_Drainage!$A$5:$A$204&lt;=$B257)*(B_Drainage!$B$5:$B$204&gt;$B257)*(B_Drainage!$C$5:$C$204&lt;&gt;"")),IF(B_Drainage!$C$5:$C$204="-","",UPPER(B_Drainage!$C$5:$C$204))),"")</f>
        <v/>
      </c>
      <c r="Q257" s="181" t="str">
        <f>IFERROR(LOOKUP(2,1/((B_Drainage!$A$5:$A$204&lt;&gt;"")*(B_Drainage!$A$5:$A$204&lt;=$B257)*(B_Drainage!$B$5:$B$204&gt;$B257)*(B_Drainage!$D$5:$D$204&lt;&gt;"")),IF(B_Drainage!$D$5:$D$204="-","",UPPER(B_Drainage!$D$5:$D$204))),"")</f>
        <v/>
      </c>
      <c r="R257" s="182" t="str">
        <f>IFERROR(LOOKUP(2,1/((D_Points!$A$5:$A$204&lt;&gt;"")*(D_Points!$A$5:$A$204&gt;=$B257)*(D_Points!$A$5:$A$204&lt;$B257+P_Interval)*(RIGHT(UPPER(TRIM(D_Points!$B$5:$B$204)),8)="_CULVERT")),IF(LEFT(UPPER(TRIM(D_Points!$B$5:$B$204)),2)="EX",1,IF(LEFT(UPPER(TRIM(D_Points!$B$5:$B$204)),2)="PR",2,3))),"")</f>
        <v/>
      </c>
      <c r="S257" s="182" t="str">
        <f>IFERROR(LOOKUP(2,1/((D_Points!$A$5:$A$204&lt;&gt;"")*(D_Points!$A$5:$A$204&gt;=$B257)*(D_Points!$A$5:$A$204&lt;$B257+P_Interval)*(RIGHT(UPPER(TRIM(D_Points!$B$5:$B$204)),7)="_BRIDGE")),IF(LEFT(UPPER(TRIM(D_Points!$B$5:$B$204)),2)="EX",1,IF(LEFT(UPPER(TRIM(D_Points!$B$5:$B$204)),2)="PR",2,2))),"")</f>
        <v/>
      </c>
      <c r="T257" s="181" t="str">
        <f>IFERROR(LOOKUP(2,1/((B_Drainage!$A$5:$A$204&lt;&gt;"")*(B_Drainage!$A$5:$A$204&lt;=$B257)*(B_Drainage!$B$5:$B$204&gt;$B257)*(B_Drainage!$E$5:$E$204&lt;&gt;"")),IF(B_Drainage!$E$5:$E$204="-","",1)),"")</f>
        <v/>
      </c>
      <c r="U257" s="181" t="str">
        <f>IFERROR(LOOKUP(2,1/((B_Drainage!$A$5:$A$204&lt;&gt;"")*(B_Drainage!$A$5:$A$204&lt;=$B257)*(B_Drainage!$B$5:$B$204&gt;$B257)*(B_Drainage!$E$5:$E$204&lt;&gt;"")),IF(B_Drainage!$E$5:$E$204="-","",B_Drainage!$E$5:$E$204)),"")</f>
        <v/>
      </c>
      <c r="V257" s="181" t="str">
        <f>IFERROR(LOOKUP(2,1/((B_Drainage!$A$5:$A$204&lt;&gt;"")*(B_Drainage!$A$5:$A$204&lt;=$B257)*(B_Drainage!$B$5:$B$204&gt;$B257)*(B_Drainage!$F$5:$F$204&lt;&gt;"")),IF(B_Drainage!$F$5:$F$204="-","",1)),"")</f>
        <v/>
      </c>
      <c r="W257" s="181" t="str">
        <f>IFERROR(LOOKUP(2,1/((B_Drainage!$A$5:$A$204&lt;&gt;"")*(B_Drainage!$A$5:$A$204&lt;=$B257)*(B_Drainage!$B$5:$B$204&gt;$B257)*(B_Drainage!$F$5:$F$204&lt;&gt;"")),IF(B_Drainage!$F$5:$F$204="-","",B_Drainage!$F$5:$F$204)),"")</f>
        <v/>
      </c>
      <c r="X257" s="181" t="str">
        <f>IFERROR(LOOKUP(2,1/((B_Drainage!$A$5:$A$204&lt;&gt;"")*(B_Drainage!$A$5:$A$204&lt;=$B257)*(B_Drainage!$B$5:$B$204&gt;$B257)*(B_Drainage!$G$5:$G$204&lt;&gt;"")),IF(UPPER(B_Drainage!$G$5:$G$204)="Y",1,"")),"")</f>
        <v/>
      </c>
      <c r="Y257" s="181" t="str">
        <f>IFERROR(LOOKUP(2,1/((B_Drainage!$A$5:$A$204&lt;&gt;"")*(B_Drainage!$A$5:$A$204&lt;=$B257)*(B_Drainage!$B$5:$B$204&gt;$B257)*(B_Drainage!$H$5:$H$204&lt;&gt;"")),IF(UPPER(B_Drainage!$H$5:$H$204)="Y",1,"")),"")</f>
        <v/>
      </c>
      <c r="Z257" s="181" t="str">
        <f>IFERROR(LOOKUP(2,1/((B_Drainage!$A$5:$A$204&lt;&gt;"")*(B_Drainage!$A$5:$A$204&lt;=$B257)*(B_Drainage!$B$5:$B$204&gt;$B257)*(B_Drainage!$I$5:$I$204&lt;&gt;"")),IF(UPPER(B_Drainage!$I$5:$I$204)="Y",1,"")),"")</f>
        <v/>
      </c>
      <c r="AA257" s="181" t="str">
        <f>IFERROR(LOOKUP(2,1/((B_Drainage!$A$5:$A$204&lt;&gt;"")*(B_Drainage!$A$5:$A$204&lt;=$B257)*(B_Drainage!$B$5:$B$204&gt;$B257)*(B_Drainage!$J$5:$J$204&lt;&gt;"")),IF(UPPER(B_Drainage!$J$5:$J$204)="Y",1,"")),"")</f>
        <v/>
      </c>
      <c r="AB257" s="182" t="str">
        <f>IFERROR(LOOKUP(2,1/((B_Drainage!$A$5:$A$204&lt;&gt;"")*(B_Drainage!$A$5:$A$204&lt;=$B257)*(B_Drainage!$B$5:$B$204&gt;$B257)*(B_Drainage!$K$5:$K$204&lt;&gt;"")),IF(B_Drainage!$K$5:$K$204="-","",B_Drainage!$K$5:$K$204)),"")</f>
        <v/>
      </c>
      <c r="AC257" s="182" t="str">
        <f>IFERROR(LOOKUP(2,1/((B_Drainage!$A$5:$A$204&lt;&gt;"")*(B_Drainage!$A$5:$A$204&lt;=$B257)*(B_Drainage!$B$5:$B$204&gt;$B257)*(B_Drainage!$L$5:$L$204&lt;&gt;"")),IF(B_Drainage!$L$5:$L$204="-","",B_Drainage!$L$5:$L$204)),"")</f>
        <v/>
      </c>
      <c r="AD257" s="182" t="str">
        <f>IFERROR(LOOKUP(2,1/((D_Points!$A$5:$A$204&lt;&gt;"")*(D_Points!$A$5:$A$204&gt;=$B257)*(D_Points!$A$5:$A$204&lt;$B257+P_Interval)*(UPPER(TRIM(D_Points!$B$5:$B$204))="TURNOUT_L")*(D_Points!$H$5:$H$204&lt;&gt;"")),D_Points!$H$5:$H$204),"")</f>
        <v/>
      </c>
      <c r="AE257" s="182" t="str">
        <f>IFERROR(LOOKUP(2,1/((D_Points!$A$5:$A$204&lt;&gt;"")*(D_Points!$A$5:$A$204&gt;=$B257)*(D_Points!$A$5:$A$204&lt;$B257+P_Interval)*(UPPER(TRIM(D_Points!$B$5:$B$204))="TURNOUT_R")*(D_Points!$H$5:$H$204&lt;&gt;"")),D_Points!$H$5:$H$204),"")</f>
        <v/>
      </c>
      <c r="AF257" s="181" t="str">
        <f>IFERROR(LOOKUP(2,1/((B_Drainage!$A$5:$A$204&lt;&gt;"")*(B_Drainage!$A$5:$A$204&lt;=$B257)*(B_Drainage!$B$5:$B$204&gt;$B257)*(B_Drainage!$M$5:$M$204&lt;&gt;"")),IF(UPPER(B_Drainage!$M$5:$M$204)="Y",1,"")),"")</f>
        <v/>
      </c>
      <c r="AG257" s="181" t="str">
        <f>IFERROR(LOOKUP(2,1/((B_Drainage!$A$5:$A$204&lt;&gt;"")*(B_Drainage!$A$5:$A$204&lt;=$B257)*(B_Drainage!$B$5:$B$204&gt;$B257)*(B_Drainage!$N$5:$N$204&lt;&gt;"")),IF(UPPER(B_Drainage!$N$5:$N$204)="Y",1,"")),"")</f>
        <v/>
      </c>
      <c r="AH257" s="181" t="str">
        <f t="shared" si="24"/>
        <v/>
      </c>
      <c r="AI257" s="181" t="str">
        <f t="shared" si="25"/>
        <v/>
      </c>
      <c r="AJ257" s="181" t="str">
        <f t="shared" si="26"/>
        <v/>
      </c>
      <c r="AK257" s="181" t="str">
        <f t="shared" si="27"/>
        <v/>
      </c>
      <c r="AL257" s="181" t="str">
        <f t="shared" si="28"/>
        <v/>
      </c>
      <c r="AM257" s="181" t="str">
        <f t="shared" si="29"/>
        <v/>
      </c>
      <c r="AN257" s="181" t="str">
        <f t="shared" si="30"/>
        <v/>
      </c>
      <c r="AO257" s="192" t="str">
        <f t="shared" si="31"/>
        <v/>
      </c>
      <c r="AQ257" t="str">
        <f>IFERROR(LOOKUP(2,1/((C_Pavement!$A$5:$A$204&lt;&gt;"")*(C_Pavement!$A$5:$A$204&lt;=$B257)*(C_Pavement!$B$5:$B$204&gt;$B257)*(C_Pavement!$C$5:$C$204&lt;&gt;"")),ROW(C_Pavement!$C$5:$C$204)-4),"")</f>
        <v/>
      </c>
      <c r="AR257" t="str">
        <f>IF($AQ257="","",UPPER(TRIM(INDEX(C_Pavement!$C$5:$C$204,$AQ257))))</f>
        <v/>
      </c>
      <c r="AS257" t="str">
        <f>IF($AR257="","",IFERROR(MATCH($AR257,E_Rules!$A$5:$A$9,0),""))</f>
        <v/>
      </c>
      <c r="AT257" t="str">
        <f>IF($AQ257="","",IF(INDEX(C_Pavement!$D$5:$D$204,$AQ257)&lt;&gt;"",UPPER(TRIM(INDEX(C_Pavement!$D$5:$D$204,$AQ257))),IF($AS257="","",INDEX(E_Rules!$C$5:$C$9,$AS257))))</f>
        <v/>
      </c>
      <c r="AU257" t="str">
        <f>IF($AQ257="","",IF(INDEX(C_Pavement!$E$5:$E$204,$AQ257)&lt;&gt;"",IF(INDEX(C_Pavement!$E$5:$E$204,$AQ257)="-","",INDEX(C_Pavement!$E$5:$E$204,$AQ257)),IF($AS257="","",INDEX(E_Rules!$D$5:$D$9,$AS257))))</f>
        <v/>
      </c>
      <c r="AV257" t="str">
        <f>IF($AQ257="","",IF(INDEX(C_Pavement!$F$5:$F$204,$AQ257)&lt;&gt;"",IF(INDEX(C_Pavement!$F$5:$F$204,$AQ257)="-","",INDEX(C_Pavement!$F$5:$F$204,$AQ257)),IF($AS257="","",INDEX(E_Rules!$E$5:$E$9,$AS257))))</f>
        <v/>
      </c>
      <c r="AW257" t="str">
        <f>IF($AQ257="","",IF(INDEX(C_Pavement!$G$5:$G$204,$AQ257)&lt;&gt;"",IF(INDEX(C_Pavement!$G$5:$G$204,$AQ257)="-","",INDEX(C_Pavement!$G$5:$G$204,$AQ257)),IF($AS257="","",INDEX(E_Rules!$F$5:$F$9,$AS257))))</f>
        <v/>
      </c>
      <c r="AX257" t="str">
        <f>IF($AQ257="","",IF(INDEX(C_Pavement!$H$5:$H$204,$AQ257)&lt;&gt;"",IF(INDEX(C_Pavement!$H$5:$H$204,$AQ257)="-","",INDEX(C_Pavement!$H$5:$H$204,$AQ257)),IF($AS257="","",INDEX(E_Rules!$G$5:$G$9,$AS257))))</f>
        <v/>
      </c>
      <c r="AY257" t="str">
        <f>IF($AQ257="","",IF(INDEX(C_Pavement!$I$5:$I$204,$AQ257)&lt;&gt;"",IF(INDEX(C_Pavement!$I$5:$I$204,$AQ257)="-","",INDEX(C_Pavement!$I$5:$I$204,$AQ257)),IF($AS257="","",INDEX(E_Rules!$H$5:$H$9,$AS257))))</f>
        <v/>
      </c>
    </row>
    <row r="258" spans="1:51" ht="15.75" customHeight="1" x14ac:dyDescent="0.3">
      <c r="A258" s="189">
        <v>253</v>
      </c>
      <c r="B258" s="180">
        <v>12600</v>
      </c>
      <c r="C258" s="180" t="s">
        <v>564</v>
      </c>
      <c r="D258" s="181" t="str">
        <f>IFERROR(LOOKUP(2,1/((A_Corridor!$A$5:$A$204&lt;&gt;"")*(A_Corridor!$A$5:$A$204&lt;=$B258)*(A_Corridor!$B$5:$B$204&gt;$B258)*(A_Corridor!$C$5:$C$204&lt;&gt;"")),IF(UPPER(A_Corridor!$C$5:$C$204)="Y",1,"")),"")</f>
        <v/>
      </c>
      <c r="E258" s="181" t="str">
        <f>IFERROR(LOOKUP(2,1/((A_Corridor!$A$5:$A$204&lt;&gt;"")*(A_Corridor!$A$5:$A$204&lt;=$B258)*(A_Corridor!$B$5:$B$204&gt;$B258)*(A_Corridor!$D$5:$D$204&lt;&gt;"")),IF(A_Corridor!$D$5:$D$204="-","",UPPER(A_Corridor!$D$5:$D$204))),"")</f>
        <v/>
      </c>
      <c r="F258" s="181" t="str">
        <f>IFERROR(LOOKUP(2,1/((A_Corridor!$A$5:$A$204&lt;&gt;"")*(A_Corridor!$A$5:$A$204&lt;=$B258)*(A_Corridor!$B$5:$B$204&gt;$B258)*(A_Corridor!$E$5:$E$204&lt;&gt;"")),IF(A_Corridor!$E$5:$E$204="-","",1)),"")</f>
        <v/>
      </c>
      <c r="G258" s="182" t="str">
        <f>IFERROR(LOOKUP(2,1/((A_Corridor!$A$5:$A$204&lt;&gt;"")*(A_Corridor!$A$5:$A$204&lt;=$B258)*(A_Corridor!$B$5:$B$204&gt;$B258)*(A_Corridor!$E$5:$E$204&lt;&gt;"")),IF(A_Corridor!$E$5:$E$204="-","",A_Corridor!$E$5:$E$204)),"")</f>
        <v/>
      </c>
      <c r="H258" s="182" t="str">
        <f>IFERROR(LOOKUP(2,1/((D_Points!$A$5:$A$204&lt;&gt;"")*(D_Points!$A$5:$A$204&gt;=$B258)*(D_Points!$A$5:$A$204&lt;$B258+P_Interval)*(UPPER(TRIM(D_Points!$B$5:$B$204))="GULLY")*(D_Points!$H$5:$H$204&lt;&gt;"")),D_Points!$H$5:$H$204),"")</f>
        <v/>
      </c>
      <c r="I258" s="181" t="str">
        <f>IFERROR(LOOKUP(2,1/((A_Corridor!$A$5:$A$204&lt;&gt;"")*(A_Corridor!$A$5:$A$204&lt;=$B258)*(A_Corridor!$B$5:$B$204&gt;$B258)*(A_Corridor!$F$5:$F$204&lt;&gt;"")),IF(A_Corridor!$F$5:$F$204="-","",1)),"")</f>
        <v/>
      </c>
      <c r="J258" s="182" t="str">
        <f>IFERROR(LOOKUP(2,1/((A_Corridor!$A$5:$A$204&lt;&gt;"")*(A_Corridor!$A$5:$A$204&lt;=$B258)*(A_Corridor!$B$5:$B$204&gt;$B258)*(A_Corridor!$F$5:$F$204&lt;&gt;"")),IF(A_Corridor!$F$5:$F$204="-","",A_Corridor!$F$5:$F$204)),"")</f>
        <v/>
      </c>
      <c r="K258" s="182" t="str">
        <f>IFERROR(LOOKUP(2,1/((A_Corridor!$A$5:$A$204&lt;&gt;"")*(A_Corridor!$A$5:$A$204&lt;=$B258)*(A_Corridor!$B$5:$B$204&gt;$B258)*(A_Corridor!$G$5:$G$204&lt;&gt;"")),IF(A_Corridor!$G$5:$G$204="-","",A_Corridor!$G$5:$G$204)),"")</f>
        <v/>
      </c>
      <c r="L258" s="181" t="str">
        <f>IFERROR(LOOKUP(2,1/((A_Corridor!$A$5:$A$204&lt;&gt;"")*(A_Corridor!$A$5:$A$204&lt;=$B258)*(A_Corridor!$B$5:$B$204&gt;$B258)*(A_Corridor!$H$5:$H$204&lt;&gt;"")),IF(A_Corridor!$H$5:$H$204="-","",1)),"")</f>
        <v/>
      </c>
      <c r="M258" s="182" t="str">
        <f>IFERROR(LOOKUP(2,1/((A_Corridor!$A$5:$A$204&lt;&gt;"")*(A_Corridor!$A$5:$A$204&lt;=$B258)*(A_Corridor!$B$5:$B$204&gt;$B258)*(A_Corridor!$H$5:$H$204&lt;&gt;"")),IF(A_Corridor!$H$5:$H$204="-","",A_Corridor!$H$5:$H$204)),"")</f>
        <v/>
      </c>
      <c r="N258" s="182" t="str">
        <f>IFERROR(LOOKUP(2,1/((A_Corridor!$A$5:$A$204&lt;&gt;"")*(A_Corridor!$A$5:$A$204&lt;=$B258)*(A_Corridor!$B$5:$B$204&gt;$B258)*(A_Corridor!$I$5:$I$204&lt;&gt;"")),IF(A_Corridor!$I$5:$I$204="-","",A_Corridor!$I$5:$I$204)),"")</f>
        <v/>
      </c>
      <c r="O258" s="182" t="str">
        <f>IFERROR(LOOKUP(2,1/((D_Points!$A$5:$A$204&lt;&gt;"")*(D_Points!$A$5:$A$204&gt;=$B258)*(D_Points!$A$5:$A$204&lt;$B258+P_Interval)*(UPPER(TRIM(D_Points!$B$5:$B$204))="PITCHING")*(D_Points!$H$5:$H$204&lt;&gt;"")),D_Points!$H$5:$H$204),"")</f>
        <v/>
      </c>
      <c r="P258" s="181" t="str">
        <f>IFERROR(LOOKUP(2,1/((B_Drainage!$A$5:$A$204&lt;&gt;"")*(B_Drainage!$A$5:$A$204&lt;=$B258)*(B_Drainage!$B$5:$B$204&gt;$B258)*(B_Drainage!$C$5:$C$204&lt;&gt;"")),IF(B_Drainage!$C$5:$C$204="-","",UPPER(B_Drainage!$C$5:$C$204))),"")</f>
        <v/>
      </c>
      <c r="Q258" s="181" t="str">
        <f>IFERROR(LOOKUP(2,1/((B_Drainage!$A$5:$A$204&lt;&gt;"")*(B_Drainage!$A$5:$A$204&lt;=$B258)*(B_Drainage!$B$5:$B$204&gt;$B258)*(B_Drainage!$D$5:$D$204&lt;&gt;"")),IF(B_Drainage!$D$5:$D$204="-","",UPPER(B_Drainage!$D$5:$D$204))),"")</f>
        <v/>
      </c>
      <c r="R258" s="182" t="str">
        <f>IFERROR(LOOKUP(2,1/((D_Points!$A$5:$A$204&lt;&gt;"")*(D_Points!$A$5:$A$204&gt;=$B258)*(D_Points!$A$5:$A$204&lt;$B258+P_Interval)*(RIGHT(UPPER(TRIM(D_Points!$B$5:$B$204)),8)="_CULVERT")),IF(LEFT(UPPER(TRIM(D_Points!$B$5:$B$204)),2)="EX",1,IF(LEFT(UPPER(TRIM(D_Points!$B$5:$B$204)),2)="PR",2,3))),"")</f>
        <v/>
      </c>
      <c r="S258" s="182" t="str">
        <f>IFERROR(LOOKUP(2,1/((D_Points!$A$5:$A$204&lt;&gt;"")*(D_Points!$A$5:$A$204&gt;=$B258)*(D_Points!$A$5:$A$204&lt;$B258+P_Interval)*(RIGHT(UPPER(TRIM(D_Points!$B$5:$B$204)),7)="_BRIDGE")),IF(LEFT(UPPER(TRIM(D_Points!$B$5:$B$204)),2)="EX",1,IF(LEFT(UPPER(TRIM(D_Points!$B$5:$B$204)),2)="PR",2,2))),"")</f>
        <v/>
      </c>
      <c r="T258" s="181" t="str">
        <f>IFERROR(LOOKUP(2,1/((B_Drainage!$A$5:$A$204&lt;&gt;"")*(B_Drainage!$A$5:$A$204&lt;=$B258)*(B_Drainage!$B$5:$B$204&gt;$B258)*(B_Drainage!$E$5:$E$204&lt;&gt;"")),IF(B_Drainage!$E$5:$E$204="-","",1)),"")</f>
        <v/>
      </c>
      <c r="U258" s="181" t="str">
        <f>IFERROR(LOOKUP(2,1/((B_Drainage!$A$5:$A$204&lt;&gt;"")*(B_Drainage!$A$5:$A$204&lt;=$B258)*(B_Drainage!$B$5:$B$204&gt;$B258)*(B_Drainage!$E$5:$E$204&lt;&gt;"")),IF(B_Drainage!$E$5:$E$204="-","",B_Drainage!$E$5:$E$204)),"")</f>
        <v/>
      </c>
      <c r="V258" s="181" t="str">
        <f>IFERROR(LOOKUP(2,1/((B_Drainage!$A$5:$A$204&lt;&gt;"")*(B_Drainage!$A$5:$A$204&lt;=$B258)*(B_Drainage!$B$5:$B$204&gt;$B258)*(B_Drainage!$F$5:$F$204&lt;&gt;"")),IF(B_Drainage!$F$5:$F$204="-","",1)),"")</f>
        <v/>
      </c>
      <c r="W258" s="181" t="str">
        <f>IFERROR(LOOKUP(2,1/((B_Drainage!$A$5:$A$204&lt;&gt;"")*(B_Drainage!$A$5:$A$204&lt;=$B258)*(B_Drainage!$B$5:$B$204&gt;$B258)*(B_Drainage!$F$5:$F$204&lt;&gt;"")),IF(B_Drainage!$F$5:$F$204="-","",B_Drainage!$F$5:$F$204)),"")</f>
        <v/>
      </c>
      <c r="X258" s="181" t="str">
        <f>IFERROR(LOOKUP(2,1/((B_Drainage!$A$5:$A$204&lt;&gt;"")*(B_Drainage!$A$5:$A$204&lt;=$B258)*(B_Drainage!$B$5:$B$204&gt;$B258)*(B_Drainage!$G$5:$G$204&lt;&gt;"")),IF(UPPER(B_Drainage!$G$5:$G$204)="Y",1,"")),"")</f>
        <v/>
      </c>
      <c r="Y258" s="181" t="str">
        <f>IFERROR(LOOKUP(2,1/((B_Drainage!$A$5:$A$204&lt;&gt;"")*(B_Drainage!$A$5:$A$204&lt;=$B258)*(B_Drainage!$B$5:$B$204&gt;$B258)*(B_Drainage!$H$5:$H$204&lt;&gt;"")),IF(UPPER(B_Drainage!$H$5:$H$204)="Y",1,"")),"")</f>
        <v/>
      </c>
      <c r="Z258" s="181" t="str">
        <f>IFERROR(LOOKUP(2,1/((B_Drainage!$A$5:$A$204&lt;&gt;"")*(B_Drainage!$A$5:$A$204&lt;=$B258)*(B_Drainage!$B$5:$B$204&gt;$B258)*(B_Drainage!$I$5:$I$204&lt;&gt;"")),IF(UPPER(B_Drainage!$I$5:$I$204)="Y",1,"")),"")</f>
        <v/>
      </c>
      <c r="AA258" s="181" t="str">
        <f>IFERROR(LOOKUP(2,1/((B_Drainage!$A$5:$A$204&lt;&gt;"")*(B_Drainage!$A$5:$A$204&lt;=$B258)*(B_Drainage!$B$5:$B$204&gt;$B258)*(B_Drainage!$J$5:$J$204&lt;&gt;"")),IF(UPPER(B_Drainage!$J$5:$J$204)="Y",1,"")),"")</f>
        <v/>
      </c>
      <c r="AB258" s="182" t="str">
        <f>IFERROR(LOOKUP(2,1/((B_Drainage!$A$5:$A$204&lt;&gt;"")*(B_Drainage!$A$5:$A$204&lt;=$B258)*(B_Drainage!$B$5:$B$204&gt;$B258)*(B_Drainage!$K$5:$K$204&lt;&gt;"")),IF(B_Drainage!$K$5:$K$204="-","",B_Drainage!$K$5:$K$204)),"")</f>
        <v/>
      </c>
      <c r="AC258" s="182" t="str">
        <f>IFERROR(LOOKUP(2,1/((B_Drainage!$A$5:$A$204&lt;&gt;"")*(B_Drainage!$A$5:$A$204&lt;=$B258)*(B_Drainage!$B$5:$B$204&gt;$B258)*(B_Drainage!$L$5:$L$204&lt;&gt;"")),IF(B_Drainage!$L$5:$L$204="-","",B_Drainage!$L$5:$L$204)),"")</f>
        <v/>
      </c>
      <c r="AD258" s="182" t="str">
        <f>IFERROR(LOOKUP(2,1/((D_Points!$A$5:$A$204&lt;&gt;"")*(D_Points!$A$5:$A$204&gt;=$B258)*(D_Points!$A$5:$A$204&lt;$B258+P_Interval)*(UPPER(TRIM(D_Points!$B$5:$B$204))="TURNOUT_L")*(D_Points!$H$5:$H$204&lt;&gt;"")),D_Points!$H$5:$H$204),"")</f>
        <v/>
      </c>
      <c r="AE258" s="182" t="str">
        <f>IFERROR(LOOKUP(2,1/((D_Points!$A$5:$A$204&lt;&gt;"")*(D_Points!$A$5:$A$204&gt;=$B258)*(D_Points!$A$5:$A$204&lt;$B258+P_Interval)*(UPPER(TRIM(D_Points!$B$5:$B$204))="TURNOUT_R")*(D_Points!$H$5:$H$204&lt;&gt;"")),D_Points!$H$5:$H$204),"")</f>
        <v/>
      </c>
      <c r="AF258" s="181" t="str">
        <f>IFERROR(LOOKUP(2,1/((B_Drainage!$A$5:$A$204&lt;&gt;"")*(B_Drainage!$A$5:$A$204&lt;=$B258)*(B_Drainage!$B$5:$B$204&gt;$B258)*(B_Drainage!$M$5:$M$204&lt;&gt;"")),IF(UPPER(B_Drainage!$M$5:$M$204)="Y",1,"")),"")</f>
        <v/>
      </c>
      <c r="AG258" s="181" t="str">
        <f>IFERROR(LOOKUP(2,1/((B_Drainage!$A$5:$A$204&lt;&gt;"")*(B_Drainage!$A$5:$A$204&lt;=$B258)*(B_Drainage!$B$5:$B$204&gt;$B258)*(B_Drainage!$N$5:$N$204&lt;&gt;"")),IF(UPPER(B_Drainage!$N$5:$N$204)="Y",1,"")),"")</f>
        <v/>
      </c>
      <c r="AH258" s="181" t="str">
        <f t="shared" si="24"/>
        <v/>
      </c>
      <c r="AI258" s="181" t="str">
        <f t="shared" si="25"/>
        <v/>
      </c>
      <c r="AJ258" s="181" t="str">
        <f t="shared" si="26"/>
        <v/>
      </c>
      <c r="AK258" s="181" t="str">
        <f t="shared" si="27"/>
        <v/>
      </c>
      <c r="AL258" s="181" t="str">
        <f t="shared" si="28"/>
        <v/>
      </c>
      <c r="AM258" s="181" t="str">
        <f t="shared" si="29"/>
        <v/>
      </c>
      <c r="AN258" s="181" t="str">
        <f t="shared" si="30"/>
        <v/>
      </c>
      <c r="AO258" s="192" t="str">
        <f t="shared" si="31"/>
        <v/>
      </c>
      <c r="AQ258" t="str">
        <f>IFERROR(LOOKUP(2,1/((C_Pavement!$A$5:$A$204&lt;&gt;"")*(C_Pavement!$A$5:$A$204&lt;=$B258)*(C_Pavement!$B$5:$B$204&gt;$B258)*(C_Pavement!$C$5:$C$204&lt;&gt;"")),ROW(C_Pavement!$C$5:$C$204)-4),"")</f>
        <v/>
      </c>
      <c r="AR258" t="str">
        <f>IF($AQ258="","",UPPER(TRIM(INDEX(C_Pavement!$C$5:$C$204,$AQ258))))</f>
        <v/>
      </c>
      <c r="AS258" t="str">
        <f>IF($AR258="","",IFERROR(MATCH($AR258,E_Rules!$A$5:$A$9,0),""))</f>
        <v/>
      </c>
      <c r="AT258" t="str">
        <f>IF($AQ258="","",IF(INDEX(C_Pavement!$D$5:$D$204,$AQ258)&lt;&gt;"",UPPER(TRIM(INDEX(C_Pavement!$D$5:$D$204,$AQ258))),IF($AS258="","",INDEX(E_Rules!$C$5:$C$9,$AS258))))</f>
        <v/>
      </c>
      <c r="AU258" t="str">
        <f>IF($AQ258="","",IF(INDEX(C_Pavement!$E$5:$E$204,$AQ258)&lt;&gt;"",IF(INDEX(C_Pavement!$E$5:$E$204,$AQ258)="-","",INDEX(C_Pavement!$E$5:$E$204,$AQ258)),IF($AS258="","",INDEX(E_Rules!$D$5:$D$9,$AS258))))</f>
        <v/>
      </c>
      <c r="AV258" t="str">
        <f>IF($AQ258="","",IF(INDEX(C_Pavement!$F$5:$F$204,$AQ258)&lt;&gt;"",IF(INDEX(C_Pavement!$F$5:$F$204,$AQ258)="-","",INDEX(C_Pavement!$F$5:$F$204,$AQ258)),IF($AS258="","",INDEX(E_Rules!$E$5:$E$9,$AS258))))</f>
        <v/>
      </c>
      <c r="AW258" t="str">
        <f>IF($AQ258="","",IF(INDEX(C_Pavement!$G$5:$G$204,$AQ258)&lt;&gt;"",IF(INDEX(C_Pavement!$G$5:$G$204,$AQ258)="-","",INDEX(C_Pavement!$G$5:$G$204,$AQ258)),IF($AS258="","",INDEX(E_Rules!$F$5:$F$9,$AS258))))</f>
        <v/>
      </c>
      <c r="AX258" t="str">
        <f>IF($AQ258="","",IF(INDEX(C_Pavement!$H$5:$H$204,$AQ258)&lt;&gt;"",IF(INDEX(C_Pavement!$H$5:$H$204,$AQ258)="-","",INDEX(C_Pavement!$H$5:$H$204,$AQ258)),IF($AS258="","",INDEX(E_Rules!$G$5:$G$9,$AS258))))</f>
        <v/>
      </c>
      <c r="AY258" t="str">
        <f>IF($AQ258="","",IF(INDEX(C_Pavement!$I$5:$I$204,$AQ258)&lt;&gt;"",IF(INDEX(C_Pavement!$I$5:$I$204,$AQ258)="-","",INDEX(C_Pavement!$I$5:$I$204,$AQ258)),IF($AS258="","",INDEX(E_Rules!$H$5:$H$9,$AS258))))</f>
        <v/>
      </c>
    </row>
    <row r="259" spans="1:51" ht="15.75" customHeight="1" x14ac:dyDescent="0.3">
      <c r="A259" s="189">
        <v>254</v>
      </c>
      <c r="B259" s="180">
        <v>12650</v>
      </c>
      <c r="C259" s="180" t="s">
        <v>565</v>
      </c>
      <c r="D259" s="181" t="str">
        <f>IFERROR(LOOKUP(2,1/((A_Corridor!$A$5:$A$204&lt;&gt;"")*(A_Corridor!$A$5:$A$204&lt;=$B259)*(A_Corridor!$B$5:$B$204&gt;$B259)*(A_Corridor!$C$5:$C$204&lt;&gt;"")),IF(UPPER(A_Corridor!$C$5:$C$204)="Y",1,"")),"")</f>
        <v/>
      </c>
      <c r="E259" s="181" t="str">
        <f>IFERROR(LOOKUP(2,1/((A_Corridor!$A$5:$A$204&lt;&gt;"")*(A_Corridor!$A$5:$A$204&lt;=$B259)*(A_Corridor!$B$5:$B$204&gt;$B259)*(A_Corridor!$D$5:$D$204&lt;&gt;"")),IF(A_Corridor!$D$5:$D$204="-","",UPPER(A_Corridor!$D$5:$D$204))),"")</f>
        <v/>
      </c>
      <c r="F259" s="181" t="str">
        <f>IFERROR(LOOKUP(2,1/((A_Corridor!$A$5:$A$204&lt;&gt;"")*(A_Corridor!$A$5:$A$204&lt;=$B259)*(A_Corridor!$B$5:$B$204&gt;$B259)*(A_Corridor!$E$5:$E$204&lt;&gt;"")),IF(A_Corridor!$E$5:$E$204="-","",1)),"")</f>
        <v/>
      </c>
      <c r="G259" s="182" t="str">
        <f>IFERROR(LOOKUP(2,1/((A_Corridor!$A$5:$A$204&lt;&gt;"")*(A_Corridor!$A$5:$A$204&lt;=$B259)*(A_Corridor!$B$5:$B$204&gt;$B259)*(A_Corridor!$E$5:$E$204&lt;&gt;"")),IF(A_Corridor!$E$5:$E$204="-","",A_Corridor!$E$5:$E$204)),"")</f>
        <v/>
      </c>
      <c r="H259" s="182" t="str">
        <f>IFERROR(LOOKUP(2,1/((D_Points!$A$5:$A$204&lt;&gt;"")*(D_Points!$A$5:$A$204&gt;=$B259)*(D_Points!$A$5:$A$204&lt;$B259+P_Interval)*(UPPER(TRIM(D_Points!$B$5:$B$204))="GULLY")*(D_Points!$H$5:$H$204&lt;&gt;"")),D_Points!$H$5:$H$204),"")</f>
        <v/>
      </c>
      <c r="I259" s="181" t="str">
        <f>IFERROR(LOOKUP(2,1/((A_Corridor!$A$5:$A$204&lt;&gt;"")*(A_Corridor!$A$5:$A$204&lt;=$B259)*(A_Corridor!$B$5:$B$204&gt;$B259)*(A_Corridor!$F$5:$F$204&lt;&gt;"")),IF(A_Corridor!$F$5:$F$204="-","",1)),"")</f>
        <v/>
      </c>
      <c r="J259" s="182" t="str">
        <f>IFERROR(LOOKUP(2,1/((A_Corridor!$A$5:$A$204&lt;&gt;"")*(A_Corridor!$A$5:$A$204&lt;=$B259)*(A_Corridor!$B$5:$B$204&gt;$B259)*(A_Corridor!$F$5:$F$204&lt;&gt;"")),IF(A_Corridor!$F$5:$F$204="-","",A_Corridor!$F$5:$F$204)),"")</f>
        <v/>
      </c>
      <c r="K259" s="182" t="str">
        <f>IFERROR(LOOKUP(2,1/((A_Corridor!$A$5:$A$204&lt;&gt;"")*(A_Corridor!$A$5:$A$204&lt;=$B259)*(A_Corridor!$B$5:$B$204&gt;$B259)*(A_Corridor!$G$5:$G$204&lt;&gt;"")),IF(A_Corridor!$G$5:$G$204="-","",A_Corridor!$G$5:$G$204)),"")</f>
        <v/>
      </c>
      <c r="L259" s="181" t="str">
        <f>IFERROR(LOOKUP(2,1/((A_Corridor!$A$5:$A$204&lt;&gt;"")*(A_Corridor!$A$5:$A$204&lt;=$B259)*(A_Corridor!$B$5:$B$204&gt;$B259)*(A_Corridor!$H$5:$H$204&lt;&gt;"")),IF(A_Corridor!$H$5:$H$204="-","",1)),"")</f>
        <v/>
      </c>
      <c r="M259" s="182" t="str">
        <f>IFERROR(LOOKUP(2,1/((A_Corridor!$A$5:$A$204&lt;&gt;"")*(A_Corridor!$A$5:$A$204&lt;=$B259)*(A_Corridor!$B$5:$B$204&gt;$B259)*(A_Corridor!$H$5:$H$204&lt;&gt;"")),IF(A_Corridor!$H$5:$H$204="-","",A_Corridor!$H$5:$H$204)),"")</f>
        <v/>
      </c>
      <c r="N259" s="182" t="str">
        <f>IFERROR(LOOKUP(2,1/((A_Corridor!$A$5:$A$204&lt;&gt;"")*(A_Corridor!$A$5:$A$204&lt;=$B259)*(A_Corridor!$B$5:$B$204&gt;$B259)*(A_Corridor!$I$5:$I$204&lt;&gt;"")),IF(A_Corridor!$I$5:$I$204="-","",A_Corridor!$I$5:$I$204)),"")</f>
        <v/>
      </c>
      <c r="O259" s="182" t="str">
        <f>IFERROR(LOOKUP(2,1/((D_Points!$A$5:$A$204&lt;&gt;"")*(D_Points!$A$5:$A$204&gt;=$B259)*(D_Points!$A$5:$A$204&lt;$B259+P_Interval)*(UPPER(TRIM(D_Points!$B$5:$B$204))="PITCHING")*(D_Points!$H$5:$H$204&lt;&gt;"")),D_Points!$H$5:$H$204),"")</f>
        <v/>
      </c>
      <c r="P259" s="181" t="str">
        <f>IFERROR(LOOKUP(2,1/((B_Drainage!$A$5:$A$204&lt;&gt;"")*(B_Drainage!$A$5:$A$204&lt;=$B259)*(B_Drainage!$B$5:$B$204&gt;$B259)*(B_Drainage!$C$5:$C$204&lt;&gt;"")),IF(B_Drainage!$C$5:$C$204="-","",UPPER(B_Drainage!$C$5:$C$204))),"")</f>
        <v/>
      </c>
      <c r="Q259" s="181" t="str">
        <f>IFERROR(LOOKUP(2,1/((B_Drainage!$A$5:$A$204&lt;&gt;"")*(B_Drainage!$A$5:$A$204&lt;=$B259)*(B_Drainage!$B$5:$B$204&gt;$B259)*(B_Drainage!$D$5:$D$204&lt;&gt;"")),IF(B_Drainage!$D$5:$D$204="-","",UPPER(B_Drainage!$D$5:$D$204))),"")</f>
        <v/>
      </c>
      <c r="R259" s="182" t="str">
        <f>IFERROR(LOOKUP(2,1/((D_Points!$A$5:$A$204&lt;&gt;"")*(D_Points!$A$5:$A$204&gt;=$B259)*(D_Points!$A$5:$A$204&lt;$B259+P_Interval)*(RIGHT(UPPER(TRIM(D_Points!$B$5:$B$204)),8)="_CULVERT")),IF(LEFT(UPPER(TRIM(D_Points!$B$5:$B$204)),2)="EX",1,IF(LEFT(UPPER(TRIM(D_Points!$B$5:$B$204)),2)="PR",2,3))),"")</f>
        <v/>
      </c>
      <c r="S259" s="182" t="str">
        <f>IFERROR(LOOKUP(2,1/((D_Points!$A$5:$A$204&lt;&gt;"")*(D_Points!$A$5:$A$204&gt;=$B259)*(D_Points!$A$5:$A$204&lt;$B259+P_Interval)*(RIGHT(UPPER(TRIM(D_Points!$B$5:$B$204)),7)="_BRIDGE")),IF(LEFT(UPPER(TRIM(D_Points!$B$5:$B$204)),2)="EX",1,IF(LEFT(UPPER(TRIM(D_Points!$B$5:$B$204)),2)="PR",2,2))),"")</f>
        <v/>
      </c>
      <c r="T259" s="181" t="str">
        <f>IFERROR(LOOKUP(2,1/((B_Drainage!$A$5:$A$204&lt;&gt;"")*(B_Drainage!$A$5:$A$204&lt;=$B259)*(B_Drainage!$B$5:$B$204&gt;$B259)*(B_Drainage!$E$5:$E$204&lt;&gt;"")),IF(B_Drainage!$E$5:$E$204="-","",1)),"")</f>
        <v/>
      </c>
      <c r="U259" s="181" t="str">
        <f>IFERROR(LOOKUP(2,1/((B_Drainage!$A$5:$A$204&lt;&gt;"")*(B_Drainage!$A$5:$A$204&lt;=$B259)*(B_Drainage!$B$5:$B$204&gt;$B259)*(B_Drainage!$E$5:$E$204&lt;&gt;"")),IF(B_Drainage!$E$5:$E$204="-","",B_Drainage!$E$5:$E$204)),"")</f>
        <v/>
      </c>
      <c r="V259" s="181" t="str">
        <f>IFERROR(LOOKUP(2,1/((B_Drainage!$A$5:$A$204&lt;&gt;"")*(B_Drainage!$A$5:$A$204&lt;=$B259)*(B_Drainage!$B$5:$B$204&gt;$B259)*(B_Drainage!$F$5:$F$204&lt;&gt;"")),IF(B_Drainage!$F$5:$F$204="-","",1)),"")</f>
        <v/>
      </c>
      <c r="W259" s="181" t="str">
        <f>IFERROR(LOOKUP(2,1/((B_Drainage!$A$5:$A$204&lt;&gt;"")*(B_Drainage!$A$5:$A$204&lt;=$B259)*(B_Drainage!$B$5:$B$204&gt;$B259)*(B_Drainage!$F$5:$F$204&lt;&gt;"")),IF(B_Drainage!$F$5:$F$204="-","",B_Drainage!$F$5:$F$204)),"")</f>
        <v/>
      </c>
      <c r="X259" s="181" t="str">
        <f>IFERROR(LOOKUP(2,1/((B_Drainage!$A$5:$A$204&lt;&gt;"")*(B_Drainage!$A$5:$A$204&lt;=$B259)*(B_Drainage!$B$5:$B$204&gt;$B259)*(B_Drainage!$G$5:$G$204&lt;&gt;"")),IF(UPPER(B_Drainage!$G$5:$G$204)="Y",1,"")),"")</f>
        <v/>
      </c>
      <c r="Y259" s="181" t="str">
        <f>IFERROR(LOOKUP(2,1/((B_Drainage!$A$5:$A$204&lt;&gt;"")*(B_Drainage!$A$5:$A$204&lt;=$B259)*(B_Drainage!$B$5:$B$204&gt;$B259)*(B_Drainage!$H$5:$H$204&lt;&gt;"")),IF(UPPER(B_Drainage!$H$5:$H$204)="Y",1,"")),"")</f>
        <v/>
      </c>
      <c r="Z259" s="181" t="str">
        <f>IFERROR(LOOKUP(2,1/((B_Drainage!$A$5:$A$204&lt;&gt;"")*(B_Drainage!$A$5:$A$204&lt;=$B259)*(B_Drainage!$B$5:$B$204&gt;$B259)*(B_Drainage!$I$5:$I$204&lt;&gt;"")),IF(UPPER(B_Drainage!$I$5:$I$204)="Y",1,"")),"")</f>
        <v/>
      </c>
      <c r="AA259" s="181" t="str">
        <f>IFERROR(LOOKUP(2,1/((B_Drainage!$A$5:$A$204&lt;&gt;"")*(B_Drainage!$A$5:$A$204&lt;=$B259)*(B_Drainage!$B$5:$B$204&gt;$B259)*(B_Drainage!$J$5:$J$204&lt;&gt;"")),IF(UPPER(B_Drainage!$J$5:$J$204)="Y",1,"")),"")</f>
        <v/>
      </c>
      <c r="AB259" s="182" t="str">
        <f>IFERROR(LOOKUP(2,1/((B_Drainage!$A$5:$A$204&lt;&gt;"")*(B_Drainage!$A$5:$A$204&lt;=$B259)*(B_Drainage!$B$5:$B$204&gt;$B259)*(B_Drainage!$K$5:$K$204&lt;&gt;"")),IF(B_Drainage!$K$5:$K$204="-","",B_Drainage!$K$5:$K$204)),"")</f>
        <v/>
      </c>
      <c r="AC259" s="182" t="str">
        <f>IFERROR(LOOKUP(2,1/((B_Drainage!$A$5:$A$204&lt;&gt;"")*(B_Drainage!$A$5:$A$204&lt;=$B259)*(B_Drainage!$B$5:$B$204&gt;$B259)*(B_Drainage!$L$5:$L$204&lt;&gt;"")),IF(B_Drainage!$L$5:$L$204="-","",B_Drainage!$L$5:$L$204)),"")</f>
        <v/>
      </c>
      <c r="AD259" s="182" t="str">
        <f>IFERROR(LOOKUP(2,1/((D_Points!$A$5:$A$204&lt;&gt;"")*(D_Points!$A$5:$A$204&gt;=$B259)*(D_Points!$A$5:$A$204&lt;$B259+P_Interval)*(UPPER(TRIM(D_Points!$B$5:$B$204))="TURNOUT_L")*(D_Points!$H$5:$H$204&lt;&gt;"")),D_Points!$H$5:$H$204),"")</f>
        <v/>
      </c>
      <c r="AE259" s="182" t="str">
        <f>IFERROR(LOOKUP(2,1/((D_Points!$A$5:$A$204&lt;&gt;"")*(D_Points!$A$5:$A$204&gt;=$B259)*(D_Points!$A$5:$A$204&lt;$B259+P_Interval)*(UPPER(TRIM(D_Points!$B$5:$B$204))="TURNOUT_R")*(D_Points!$H$5:$H$204&lt;&gt;"")),D_Points!$H$5:$H$204),"")</f>
        <v/>
      </c>
      <c r="AF259" s="181" t="str">
        <f>IFERROR(LOOKUP(2,1/((B_Drainage!$A$5:$A$204&lt;&gt;"")*(B_Drainage!$A$5:$A$204&lt;=$B259)*(B_Drainage!$B$5:$B$204&gt;$B259)*(B_Drainage!$M$5:$M$204&lt;&gt;"")),IF(UPPER(B_Drainage!$M$5:$M$204)="Y",1,"")),"")</f>
        <v/>
      </c>
      <c r="AG259" s="181" t="str">
        <f>IFERROR(LOOKUP(2,1/((B_Drainage!$A$5:$A$204&lt;&gt;"")*(B_Drainage!$A$5:$A$204&lt;=$B259)*(B_Drainage!$B$5:$B$204&gt;$B259)*(B_Drainage!$N$5:$N$204&lt;&gt;"")),IF(UPPER(B_Drainage!$N$5:$N$204)="Y",1,"")),"")</f>
        <v/>
      </c>
      <c r="AH259" s="181" t="str">
        <f t="shared" si="24"/>
        <v/>
      </c>
      <c r="AI259" s="181" t="str">
        <f t="shared" si="25"/>
        <v/>
      </c>
      <c r="AJ259" s="181" t="str">
        <f t="shared" si="26"/>
        <v/>
      </c>
      <c r="AK259" s="181" t="str">
        <f t="shared" si="27"/>
        <v/>
      </c>
      <c r="AL259" s="181" t="str">
        <f t="shared" si="28"/>
        <v/>
      </c>
      <c r="AM259" s="181" t="str">
        <f t="shared" si="29"/>
        <v/>
      </c>
      <c r="AN259" s="181" t="str">
        <f t="shared" si="30"/>
        <v/>
      </c>
      <c r="AO259" s="192" t="str">
        <f t="shared" si="31"/>
        <v/>
      </c>
      <c r="AQ259" t="str">
        <f>IFERROR(LOOKUP(2,1/((C_Pavement!$A$5:$A$204&lt;&gt;"")*(C_Pavement!$A$5:$A$204&lt;=$B259)*(C_Pavement!$B$5:$B$204&gt;$B259)*(C_Pavement!$C$5:$C$204&lt;&gt;"")),ROW(C_Pavement!$C$5:$C$204)-4),"")</f>
        <v/>
      </c>
      <c r="AR259" t="str">
        <f>IF($AQ259="","",UPPER(TRIM(INDEX(C_Pavement!$C$5:$C$204,$AQ259))))</f>
        <v/>
      </c>
      <c r="AS259" t="str">
        <f>IF($AR259="","",IFERROR(MATCH($AR259,E_Rules!$A$5:$A$9,0),""))</f>
        <v/>
      </c>
      <c r="AT259" t="str">
        <f>IF($AQ259="","",IF(INDEX(C_Pavement!$D$5:$D$204,$AQ259)&lt;&gt;"",UPPER(TRIM(INDEX(C_Pavement!$D$5:$D$204,$AQ259))),IF($AS259="","",INDEX(E_Rules!$C$5:$C$9,$AS259))))</f>
        <v/>
      </c>
      <c r="AU259" t="str">
        <f>IF($AQ259="","",IF(INDEX(C_Pavement!$E$5:$E$204,$AQ259)&lt;&gt;"",IF(INDEX(C_Pavement!$E$5:$E$204,$AQ259)="-","",INDEX(C_Pavement!$E$5:$E$204,$AQ259)),IF($AS259="","",INDEX(E_Rules!$D$5:$D$9,$AS259))))</f>
        <v/>
      </c>
      <c r="AV259" t="str">
        <f>IF($AQ259="","",IF(INDEX(C_Pavement!$F$5:$F$204,$AQ259)&lt;&gt;"",IF(INDEX(C_Pavement!$F$5:$F$204,$AQ259)="-","",INDEX(C_Pavement!$F$5:$F$204,$AQ259)),IF($AS259="","",INDEX(E_Rules!$E$5:$E$9,$AS259))))</f>
        <v/>
      </c>
      <c r="AW259" t="str">
        <f>IF($AQ259="","",IF(INDEX(C_Pavement!$G$5:$G$204,$AQ259)&lt;&gt;"",IF(INDEX(C_Pavement!$G$5:$G$204,$AQ259)="-","",INDEX(C_Pavement!$G$5:$G$204,$AQ259)),IF($AS259="","",INDEX(E_Rules!$F$5:$F$9,$AS259))))</f>
        <v/>
      </c>
      <c r="AX259" t="str">
        <f>IF($AQ259="","",IF(INDEX(C_Pavement!$H$5:$H$204,$AQ259)&lt;&gt;"",IF(INDEX(C_Pavement!$H$5:$H$204,$AQ259)="-","",INDEX(C_Pavement!$H$5:$H$204,$AQ259)),IF($AS259="","",INDEX(E_Rules!$G$5:$G$9,$AS259))))</f>
        <v/>
      </c>
      <c r="AY259" t="str">
        <f>IF($AQ259="","",IF(INDEX(C_Pavement!$I$5:$I$204,$AQ259)&lt;&gt;"",IF(INDEX(C_Pavement!$I$5:$I$204,$AQ259)="-","",INDEX(C_Pavement!$I$5:$I$204,$AQ259)),IF($AS259="","",INDEX(E_Rules!$H$5:$H$9,$AS259))))</f>
        <v/>
      </c>
    </row>
    <row r="260" spans="1:51" ht="15.75" customHeight="1" x14ac:dyDescent="0.3">
      <c r="A260" s="189">
        <v>255</v>
      </c>
      <c r="B260" s="180">
        <v>12700</v>
      </c>
      <c r="C260" s="180" t="s">
        <v>566</v>
      </c>
      <c r="D260" s="181" t="str">
        <f>IFERROR(LOOKUP(2,1/((A_Corridor!$A$5:$A$204&lt;&gt;"")*(A_Corridor!$A$5:$A$204&lt;=$B260)*(A_Corridor!$B$5:$B$204&gt;$B260)*(A_Corridor!$C$5:$C$204&lt;&gt;"")),IF(UPPER(A_Corridor!$C$5:$C$204)="Y",1,"")),"")</f>
        <v/>
      </c>
      <c r="E260" s="181" t="str">
        <f>IFERROR(LOOKUP(2,1/((A_Corridor!$A$5:$A$204&lt;&gt;"")*(A_Corridor!$A$5:$A$204&lt;=$B260)*(A_Corridor!$B$5:$B$204&gt;$B260)*(A_Corridor!$D$5:$D$204&lt;&gt;"")),IF(A_Corridor!$D$5:$D$204="-","",UPPER(A_Corridor!$D$5:$D$204))),"")</f>
        <v/>
      </c>
      <c r="F260" s="181" t="str">
        <f>IFERROR(LOOKUP(2,1/((A_Corridor!$A$5:$A$204&lt;&gt;"")*(A_Corridor!$A$5:$A$204&lt;=$B260)*(A_Corridor!$B$5:$B$204&gt;$B260)*(A_Corridor!$E$5:$E$204&lt;&gt;"")),IF(A_Corridor!$E$5:$E$204="-","",1)),"")</f>
        <v/>
      </c>
      <c r="G260" s="182" t="str">
        <f>IFERROR(LOOKUP(2,1/((A_Corridor!$A$5:$A$204&lt;&gt;"")*(A_Corridor!$A$5:$A$204&lt;=$B260)*(A_Corridor!$B$5:$B$204&gt;$B260)*(A_Corridor!$E$5:$E$204&lt;&gt;"")),IF(A_Corridor!$E$5:$E$204="-","",A_Corridor!$E$5:$E$204)),"")</f>
        <v/>
      </c>
      <c r="H260" s="182" t="str">
        <f>IFERROR(LOOKUP(2,1/((D_Points!$A$5:$A$204&lt;&gt;"")*(D_Points!$A$5:$A$204&gt;=$B260)*(D_Points!$A$5:$A$204&lt;$B260+P_Interval)*(UPPER(TRIM(D_Points!$B$5:$B$204))="GULLY")*(D_Points!$H$5:$H$204&lt;&gt;"")),D_Points!$H$5:$H$204),"")</f>
        <v/>
      </c>
      <c r="I260" s="181" t="str">
        <f>IFERROR(LOOKUP(2,1/((A_Corridor!$A$5:$A$204&lt;&gt;"")*(A_Corridor!$A$5:$A$204&lt;=$B260)*(A_Corridor!$B$5:$B$204&gt;$B260)*(A_Corridor!$F$5:$F$204&lt;&gt;"")),IF(A_Corridor!$F$5:$F$204="-","",1)),"")</f>
        <v/>
      </c>
      <c r="J260" s="182" t="str">
        <f>IFERROR(LOOKUP(2,1/((A_Corridor!$A$5:$A$204&lt;&gt;"")*(A_Corridor!$A$5:$A$204&lt;=$B260)*(A_Corridor!$B$5:$B$204&gt;$B260)*(A_Corridor!$F$5:$F$204&lt;&gt;"")),IF(A_Corridor!$F$5:$F$204="-","",A_Corridor!$F$5:$F$204)),"")</f>
        <v/>
      </c>
      <c r="K260" s="182" t="str">
        <f>IFERROR(LOOKUP(2,1/((A_Corridor!$A$5:$A$204&lt;&gt;"")*(A_Corridor!$A$5:$A$204&lt;=$B260)*(A_Corridor!$B$5:$B$204&gt;$B260)*(A_Corridor!$G$5:$G$204&lt;&gt;"")),IF(A_Corridor!$G$5:$G$204="-","",A_Corridor!$G$5:$G$204)),"")</f>
        <v/>
      </c>
      <c r="L260" s="181" t="str">
        <f>IFERROR(LOOKUP(2,1/((A_Corridor!$A$5:$A$204&lt;&gt;"")*(A_Corridor!$A$5:$A$204&lt;=$B260)*(A_Corridor!$B$5:$B$204&gt;$B260)*(A_Corridor!$H$5:$H$204&lt;&gt;"")),IF(A_Corridor!$H$5:$H$204="-","",1)),"")</f>
        <v/>
      </c>
      <c r="M260" s="182" t="str">
        <f>IFERROR(LOOKUP(2,1/((A_Corridor!$A$5:$A$204&lt;&gt;"")*(A_Corridor!$A$5:$A$204&lt;=$B260)*(A_Corridor!$B$5:$B$204&gt;$B260)*(A_Corridor!$H$5:$H$204&lt;&gt;"")),IF(A_Corridor!$H$5:$H$204="-","",A_Corridor!$H$5:$H$204)),"")</f>
        <v/>
      </c>
      <c r="N260" s="182" t="str">
        <f>IFERROR(LOOKUP(2,1/((A_Corridor!$A$5:$A$204&lt;&gt;"")*(A_Corridor!$A$5:$A$204&lt;=$B260)*(A_Corridor!$B$5:$B$204&gt;$B260)*(A_Corridor!$I$5:$I$204&lt;&gt;"")),IF(A_Corridor!$I$5:$I$204="-","",A_Corridor!$I$5:$I$204)),"")</f>
        <v/>
      </c>
      <c r="O260" s="182" t="str">
        <f>IFERROR(LOOKUP(2,1/((D_Points!$A$5:$A$204&lt;&gt;"")*(D_Points!$A$5:$A$204&gt;=$B260)*(D_Points!$A$5:$A$204&lt;$B260+P_Interval)*(UPPER(TRIM(D_Points!$B$5:$B$204))="PITCHING")*(D_Points!$H$5:$H$204&lt;&gt;"")),D_Points!$H$5:$H$204),"")</f>
        <v/>
      </c>
      <c r="P260" s="181" t="str">
        <f>IFERROR(LOOKUP(2,1/((B_Drainage!$A$5:$A$204&lt;&gt;"")*(B_Drainage!$A$5:$A$204&lt;=$B260)*(B_Drainage!$B$5:$B$204&gt;$B260)*(B_Drainage!$C$5:$C$204&lt;&gt;"")),IF(B_Drainage!$C$5:$C$204="-","",UPPER(B_Drainage!$C$5:$C$204))),"")</f>
        <v/>
      </c>
      <c r="Q260" s="181" t="str">
        <f>IFERROR(LOOKUP(2,1/((B_Drainage!$A$5:$A$204&lt;&gt;"")*(B_Drainage!$A$5:$A$204&lt;=$B260)*(B_Drainage!$B$5:$B$204&gt;$B260)*(B_Drainage!$D$5:$D$204&lt;&gt;"")),IF(B_Drainage!$D$5:$D$204="-","",UPPER(B_Drainage!$D$5:$D$204))),"")</f>
        <v/>
      </c>
      <c r="R260" s="182" t="str">
        <f>IFERROR(LOOKUP(2,1/((D_Points!$A$5:$A$204&lt;&gt;"")*(D_Points!$A$5:$A$204&gt;=$B260)*(D_Points!$A$5:$A$204&lt;$B260+P_Interval)*(RIGHT(UPPER(TRIM(D_Points!$B$5:$B$204)),8)="_CULVERT")),IF(LEFT(UPPER(TRIM(D_Points!$B$5:$B$204)),2)="EX",1,IF(LEFT(UPPER(TRIM(D_Points!$B$5:$B$204)),2)="PR",2,3))),"")</f>
        <v/>
      </c>
      <c r="S260" s="182" t="str">
        <f>IFERROR(LOOKUP(2,1/((D_Points!$A$5:$A$204&lt;&gt;"")*(D_Points!$A$5:$A$204&gt;=$B260)*(D_Points!$A$5:$A$204&lt;$B260+P_Interval)*(RIGHT(UPPER(TRIM(D_Points!$B$5:$B$204)),7)="_BRIDGE")),IF(LEFT(UPPER(TRIM(D_Points!$B$5:$B$204)),2)="EX",1,IF(LEFT(UPPER(TRIM(D_Points!$B$5:$B$204)),2)="PR",2,2))),"")</f>
        <v/>
      </c>
      <c r="T260" s="181" t="str">
        <f>IFERROR(LOOKUP(2,1/((B_Drainage!$A$5:$A$204&lt;&gt;"")*(B_Drainage!$A$5:$A$204&lt;=$B260)*(B_Drainage!$B$5:$B$204&gt;$B260)*(B_Drainage!$E$5:$E$204&lt;&gt;"")),IF(B_Drainage!$E$5:$E$204="-","",1)),"")</f>
        <v/>
      </c>
      <c r="U260" s="181" t="str">
        <f>IFERROR(LOOKUP(2,1/((B_Drainage!$A$5:$A$204&lt;&gt;"")*(B_Drainage!$A$5:$A$204&lt;=$B260)*(B_Drainage!$B$5:$B$204&gt;$B260)*(B_Drainage!$E$5:$E$204&lt;&gt;"")),IF(B_Drainage!$E$5:$E$204="-","",B_Drainage!$E$5:$E$204)),"")</f>
        <v/>
      </c>
      <c r="V260" s="181" t="str">
        <f>IFERROR(LOOKUP(2,1/((B_Drainage!$A$5:$A$204&lt;&gt;"")*(B_Drainage!$A$5:$A$204&lt;=$B260)*(B_Drainage!$B$5:$B$204&gt;$B260)*(B_Drainage!$F$5:$F$204&lt;&gt;"")),IF(B_Drainage!$F$5:$F$204="-","",1)),"")</f>
        <v/>
      </c>
      <c r="W260" s="181" t="str">
        <f>IFERROR(LOOKUP(2,1/((B_Drainage!$A$5:$A$204&lt;&gt;"")*(B_Drainage!$A$5:$A$204&lt;=$B260)*(B_Drainage!$B$5:$B$204&gt;$B260)*(B_Drainage!$F$5:$F$204&lt;&gt;"")),IF(B_Drainage!$F$5:$F$204="-","",B_Drainage!$F$5:$F$204)),"")</f>
        <v/>
      </c>
      <c r="X260" s="181" t="str">
        <f>IFERROR(LOOKUP(2,1/((B_Drainage!$A$5:$A$204&lt;&gt;"")*(B_Drainage!$A$5:$A$204&lt;=$B260)*(B_Drainage!$B$5:$B$204&gt;$B260)*(B_Drainage!$G$5:$G$204&lt;&gt;"")),IF(UPPER(B_Drainage!$G$5:$G$204)="Y",1,"")),"")</f>
        <v/>
      </c>
      <c r="Y260" s="181" t="str">
        <f>IFERROR(LOOKUP(2,1/((B_Drainage!$A$5:$A$204&lt;&gt;"")*(B_Drainage!$A$5:$A$204&lt;=$B260)*(B_Drainage!$B$5:$B$204&gt;$B260)*(B_Drainage!$H$5:$H$204&lt;&gt;"")),IF(UPPER(B_Drainage!$H$5:$H$204)="Y",1,"")),"")</f>
        <v/>
      </c>
      <c r="Z260" s="181" t="str">
        <f>IFERROR(LOOKUP(2,1/((B_Drainage!$A$5:$A$204&lt;&gt;"")*(B_Drainage!$A$5:$A$204&lt;=$B260)*(B_Drainage!$B$5:$B$204&gt;$B260)*(B_Drainage!$I$5:$I$204&lt;&gt;"")),IF(UPPER(B_Drainage!$I$5:$I$204)="Y",1,"")),"")</f>
        <v/>
      </c>
      <c r="AA260" s="181" t="str">
        <f>IFERROR(LOOKUP(2,1/((B_Drainage!$A$5:$A$204&lt;&gt;"")*(B_Drainage!$A$5:$A$204&lt;=$B260)*(B_Drainage!$B$5:$B$204&gt;$B260)*(B_Drainage!$J$5:$J$204&lt;&gt;"")),IF(UPPER(B_Drainage!$J$5:$J$204)="Y",1,"")),"")</f>
        <v/>
      </c>
      <c r="AB260" s="182" t="str">
        <f>IFERROR(LOOKUP(2,1/((B_Drainage!$A$5:$A$204&lt;&gt;"")*(B_Drainage!$A$5:$A$204&lt;=$B260)*(B_Drainage!$B$5:$B$204&gt;$B260)*(B_Drainage!$K$5:$K$204&lt;&gt;"")),IF(B_Drainage!$K$5:$K$204="-","",B_Drainage!$K$5:$K$204)),"")</f>
        <v/>
      </c>
      <c r="AC260" s="182" t="str">
        <f>IFERROR(LOOKUP(2,1/((B_Drainage!$A$5:$A$204&lt;&gt;"")*(B_Drainage!$A$5:$A$204&lt;=$B260)*(B_Drainage!$B$5:$B$204&gt;$B260)*(B_Drainage!$L$5:$L$204&lt;&gt;"")),IF(B_Drainage!$L$5:$L$204="-","",B_Drainage!$L$5:$L$204)),"")</f>
        <v/>
      </c>
      <c r="AD260" s="182" t="str">
        <f>IFERROR(LOOKUP(2,1/((D_Points!$A$5:$A$204&lt;&gt;"")*(D_Points!$A$5:$A$204&gt;=$B260)*(D_Points!$A$5:$A$204&lt;$B260+P_Interval)*(UPPER(TRIM(D_Points!$B$5:$B$204))="TURNOUT_L")*(D_Points!$H$5:$H$204&lt;&gt;"")),D_Points!$H$5:$H$204),"")</f>
        <v/>
      </c>
      <c r="AE260" s="182" t="str">
        <f>IFERROR(LOOKUP(2,1/((D_Points!$A$5:$A$204&lt;&gt;"")*(D_Points!$A$5:$A$204&gt;=$B260)*(D_Points!$A$5:$A$204&lt;$B260+P_Interval)*(UPPER(TRIM(D_Points!$B$5:$B$204))="TURNOUT_R")*(D_Points!$H$5:$H$204&lt;&gt;"")),D_Points!$H$5:$H$204),"")</f>
        <v/>
      </c>
      <c r="AF260" s="181" t="str">
        <f>IFERROR(LOOKUP(2,1/((B_Drainage!$A$5:$A$204&lt;&gt;"")*(B_Drainage!$A$5:$A$204&lt;=$B260)*(B_Drainage!$B$5:$B$204&gt;$B260)*(B_Drainage!$M$5:$M$204&lt;&gt;"")),IF(UPPER(B_Drainage!$M$5:$M$204)="Y",1,"")),"")</f>
        <v/>
      </c>
      <c r="AG260" s="181" t="str">
        <f>IFERROR(LOOKUP(2,1/((B_Drainage!$A$5:$A$204&lt;&gt;"")*(B_Drainage!$A$5:$A$204&lt;=$B260)*(B_Drainage!$B$5:$B$204&gt;$B260)*(B_Drainage!$N$5:$N$204&lt;&gt;"")),IF(UPPER(B_Drainage!$N$5:$N$204)="Y",1,"")),"")</f>
        <v/>
      </c>
      <c r="AH260" s="181" t="str">
        <f t="shared" si="24"/>
        <v/>
      </c>
      <c r="AI260" s="181" t="str">
        <f t="shared" si="25"/>
        <v/>
      </c>
      <c r="AJ260" s="181" t="str">
        <f t="shared" si="26"/>
        <v/>
      </c>
      <c r="AK260" s="181" t="str">
        <f t="shared" si="27"/>
        <v/>
      </c>
      <c r="AL260" s="181" t="str">
        <f t="shared" si="28"/>
        <v/>
      </c>
      <c r="AM260" s="181" t="str">
        <f t="shared" si="29"/>
        <v/>
      </c>
      <c r="AN260" s="181" t="str">
        <f t="shared" si="30"/>
        <v/>
      </c>
      <c r="AO260" s="192" t="str">
        <f t="shared" si="31"/>
        <v/>
      </c>
      <c r="AQ260" t="str">
        <f>IFERROR(LOOKUP(2,1/((C_Pavement!$A$5:$A$204&lt;&gt;"")*(C_Pavement!$A$5:$A$204&lt;=$B260)*(C_Pavement!$B$5:$B$204&gt;$B260)*(C_Pavement!$C$5:$C$204&lt;&gt;"")),ROW(C_Pavement!$C$5:$C$204)-4),"")</f>
        <v/>
      </c>
      <c r="AR260" t="str">
        <f>IF($AQ260="","",UPPER(TRIM(INDEX(C_Pavement!$C$5:$C$204,$AQ260))))</f>
        <v/>
      </c>
      <c r="AS260" t="str">
        <f>IF($AR260="","",IFERROR(MATCH($AR260,E_Rules!$A$5:$A$9,0),""))</f>
        <v/>
      </c>
      <c r="AT260" t="str">
        <f>IF($AQ260="","",IF(INDEX(C_Pavement!$D$5:$D$204,$AQ260)&lt;&gt;"",UPPER(TRIM(INDEX(C_Pavement!$D$5:$D$204,$AQ260))),IF($AS260="","",INDEX(E_Rules!$C$5:$C$9,$AS260))))</f>
        <v/>
      </c>
      <c r="AU260" t="str">
        <f>IF($AQ260="","",IF(INDEX(C_Pavement!$E$5:$E$204,$AQ260)&lt;&gt;"",IF(INDEX(C_Pavement!$E$5:$E$204,$AQ260)="-","",INDEX(C_Pavement!$E$5:$E$204,$AQ260)),IF($AS260="","",INDEX(E_Rules!$D$5:$D$9,$AS260))))</f>
        <v/>
      </c>
      <c r="AV260" t="str">
        <f>IF($AQ260="","",IF(INDEX(C_Pavement!$F$5:$F$204,$AQ260)&lt;&gt;"",IF(INDEX(C_Pavement!$F$5:$F$204,$AQ260)="-","",INDEX(C_Pavement!$F$5:$F$204,$AQ260)),IF($AS260="","",INDEX(E_Rules!$E$5:$E$9,$AS260))))</f>
        <v/>
      </c>
      <c r="AW260" t="str">
        <f>IF($AQ260="","",IF(INDEX(C_Pavement!$G$5:$G$204,$AQ260)&lt;&gt;"",IF(INDEX(C_Pavement!$G$5:$G$204,$AQ260)="-","",INDEX(C_Pavement!$G$5:$G$204,$AQ260)),IF($AS260="","",INDEX(E_Rules!$F$5:$F$9,$AS260))))</f>
        <v/>
      </c>
      <c r="AX260" t="str">
        <f>IF($AQ260="","",IF(INDEX(C_Pavement!$H$5:$H$204,$AQ260)&lt;&gt;"",IF(INDEX(C_Pavement!$H$5:$H$204,$AQ260)="-","",INDEX(C_Pavement!$H$5:$H$204,$AQ260)),IF($AS260="","",INDEX(E_Rules!$G$5:$G$9,$AS260))))</f>
        <v/>
      </c>
      <c r="AY260" t="str">
        <f>IF($AQ260="","",IF(INDEX(C_Pavement!$I$5:$I$204,$AQ260)&lt;&gt;"",IF(INDEX(C_Pavement!$I$5:$I$204,$AQ260)="-","",INDEX(C_Pavement!$I$5:$I$204,$AQ260)),IF($AS260="","",INDEX(E_Rules!$H$5:$H$9,$AS260))))</f>
        <v/>
      </c>
    </row>
    <row r="261" spans="1:51" ht="15.75" customHeight="1" x14ac:dyDescent="0.3">
      <c r="A261" s="189">
        <v>256</v>
      </c>
      <c r="B261" s="180">
        <v>12750</v>
      </c>
      <c r="C261" s="180" t="s">
        <v>567</v>
      </c>
      <c r="D261" s="181" t="str">
        <f>IFERROR(LOOKUP(2,1/((A_Corridor!$A$5:$A$204&lt;&gt;"")*(A_Corridor!$A$5:$A$204&lt;=$B261)*(A_Corridor!$B$5:$B$204&gt;$B261)*(A_Corridor!$C$5:$C$204&lt;&gt;"")),IF(UPPER(A_Corridor!$C$5:$C$204)="Y",1,"")),"")</f>
        <v/>
      </c>
      <c r="E261" s="181" t="str">
        <f>IFERROR(LOOKUP(2,1/((A_Corridor!$A$5:$A$204&lt;&gt;"")*(A_Corridor!$A$5:$A$204&lt;=$B261)*(A_Corridor!$B$5:$B$204&gt;$B261)*(A_Corridor!$D$5:$D$204&lt;&gt;"")),IF(A_Corridor!$D$5:$D$204="-","",UPPER(A_Corridor!$D$5:$D$204))),"")</f>
        <v/>
      </c>
      <c r="F261" s="181" t="str">
        <f>IFERROR(LOOKUP(2,1/((A_Corridor!$A$5:$A$204&lt;&gt;"")*(A_Corridor!$A$5:$A$204&lt;=$B261)*(A_Corridor!$B$5:$B$204&gt;$B261)*(A_Corridor!$E$5:$E$204&lt;&gt;"")),IF(A_Corridor!$E$5:$E$204="-","",1)),"")</f>
        <v/>
      </c>
      <c r="G261" s="182" t="str">
        <f>IFERROR(LOOKUP(2,1/((A_Corridor!$A$5:$A$204&lt;&gt;"")*(A_Corridor!$A$5:$A$204&lt;=$B261)*(A_Corridor!$B$5:$B$204&gt;$B261)*(A_Corridor!$E$5:$E$204&lt;&gt;"")),IF(A_Corridor!$E$5:$E$204="-","",A_Corridor!$E$5:$E$204)),"")</f>
        <v/>
      </c>
      <c r="H261" s="182" t="str">
        <f>IFERROR(LOOKUP(2,1/((D_Points!$A$5:$A$204&lt;&gt;"")*(D_Points!$A$5:$A$204&gt;=$B261)*(D_Points!$A$5:$A$204&lt;$B261+P_Interval)*(UPPER(TRIM(D_Points!$B$5:$B$204))="GULLY")*(D_Points!$H$5:$H$204&lt;&gt;"")),D_Points!$H$5:$H$204),"")</f>
        <v/>
      </c>
      <c r="I261" s="181" t="str">
        <f>IFERROR(LOOKUP(2,1/((A_Corridor!$A$5:$A$204&lt;&gt;"")*(A_Corridor!$A$5:$A$204&lt;=$B261)*(A_Corridor!$B$5:$B$204&gt;$B261)*(A_Corridor!$F$5:$F$204&lt;&gt;"")),IF(A_Corridor!$F$5:$F$204="-","",1)),"")</f>
        <v/>
      </c>
      <c r="J261" s="182" t="str">
        <f>IFERROR(LOOKUP(2,1/((A_Corridor!$A$5:$A$204&lt;&gt;"")*(A_Corridor!$A$5:$A$204&lt;=$B261)*(A_Corridor!$B$5:$B$204&gt;$B261)*(A_Corridor!$F$5:$F$204&lt;&gt;"")),IF(A_Corridor!$F$5:$F$204="-","",A_Corridor!$F$5:$F$204)),"")</f>
        <v/>
      </c>
      <c r="K261" s="182" t="str">
        <f>IFERROR(LOOKUP(2,1/((A_Corridor!$A$5:$A$204&lt;&gt;"")*(A_Corridor!$A$5:$A$204&lt;=$B261)*(A_Corridor!$B$5:$B$204&gt;$B261)*(A_Corridor!$G$5:$G$204&lt;&gt;"")),IF(A_Corridor!$G$5:$G$204="-","",A_Corridor!$G$5:$G$204)),"")</f>
        <v/>
      </c>
      <c r="L261" s="181" t="str">
        <f>IFERROR(LOOKUP(2,1/((A_Corridor!$A$5:$A$204&lt;&gt;"")*(A_Corridor!$A$5:$A$204&lt;=$B261)*(A_Corridor!$B$5:$B$204&gt;$B261)*(A_Corridor!$H$5:$H$204&lt;&gt;"")),IF(A_Corridor!$H$5:$H$204="-","",1)),"")</f>
        <v/>
      </c>
      <c r="M261" s="182" t="str">
        <f>IFERROR(LOOKUP(2,1/((A_Corridor!$A$5:$A$204&lt;&gt;"")*(A_Corridor!$A$5:$A$204&lt;=$B261)*(A_Corridor!$B$5:$B$204&gt;$B261)*(A_Corridor!$H$5:$H$204&lt;&gt;"")),IF(A_Corridor!$H$5:$H$204="-","",A_Corridor!$H$5:$H$204)),"")</f>
        <v/>
      </c>
      <c r="N261" s="182" t="str">
        <f>IFERROR(LOOKUP(2,1/((A_Corridor!$A$5:$A$204&lt;&gt;"")*(A_Corridor!$A$5:$A$204&lt;=$B261)*(A_Corridor!$B$5:$B$204&gt;$B261)*(A_Corridor!$I$5:$I$204&lt;&gt;"")),IF(A_Corridor!$I$5:$I$204="-","",A_Corridor!$I$5:$I$204)),"")</f>
        <v/>
      </c>
      <c r="O261" s="182" t="str">
        <f>IFERROR(LOOKUP(2,1/((D_Points!$A$5:$A$204&lt;&gt;"")*(D_Points!$A$5:$A$204&gt;=$B261)*(D_Points!$A$5:$A$204&lt;$B261+P_Interval)*(UPPER(TRIM(D_Points!$B$5:$B$204))="PITCHING")*(D_Points!$H$5:$H$204&lt;&gt;"")),D_Points!$H$5:$H$204),"")</f>
        <v/>
      </c>
      <c r="P261" s="181" t="str">
        <f>IFERROR(LOOKUP(2,1/((B_Drainage!$A$5:$A$204&lt;&gt;"")*(B_Drainage!$A$5:$A$204&lt;=$B261)*(B_Drainage!$B$5:$B$204&gt;$B261)*(B_Drainage!$C$5:$C$204&lt;&gt;"")),IF(B_Drainage!$C$5:$C$204="-","",UPPER(B_Drainage!$C$5:$C$204))),"")</f>
        <v/>
      </c>
      <c r="Q261" s="181" t="str">
        <f>IFERROR(LOOKUP(2,1/((B_Drainage!$A$5:$A$204&lt;&gt;"")*(B_Drainage!$A$5:$A$204&lt;=$B261)*(B_Drainage!$B$5:$B$204&gt;$B261)*(B_Drainage!$D$5:$D$204&lt;&gt;"")),IF(B_Drainage!$D$5:$D$204="-","",UPPER(B_Drainage!$D$5:$D$204))),"")</f>
        <v/>
      </c>
      <c r="R261" s="182" t="str">
        <f>IFERROR(LOOKUP(2,1/((D_Points!$A$5:$A$204&lt;&gt;"")*(D_Points!$A$5:$A$204&gt;=$B261)*(D_Points!$A$5:$A$204&lt;$B261+P_Interval)*(RIGHT(UPPER(TRIM(D_Points!$B$5:$B$204)),8)="_CULVERT")),IF(LEFT(UPPER(TRIM(D_Points!$B$5:$B$204)),2)="EX",1,IF(LEFT(UPPER(TRIM(D_Points!$B$5:$B$204)),2)="PR",2,3))),"")</f>
        <v/>
      </c>
      <c r="S261" s="182" t="str">
        <f>IFERROR(LOOKUP(2,1/((D_Points!$A$5:$A$204&lt;&gt;"")*(D_Points!$A$5:$A$204&gt;=$B261)*(D_Points!$A$5:$A$204&lt;$B261+P_Interval)*(RIGHT(UPPER(TRIM(D_Points!$B$5:$B$204)),7)="_BRIDGE")),IF(LEFT(UPPER(TRIM(D_Points!$B$5:$B$204)),2)="EX",1,IF(LEFT(UPPER(TRIM(D_Points!$B$5:$B$204)),2)="PR",2,2))),"")</f>
        <v/>
      </c>
      <c r="T261" s="181" t="str">
        <f>IFERROR(LOOKUP(2,1/((B_Drainage!$A$5:$A$204&lt;&gt;"")*(B_Drainage!$A$5:$A$204&lt;=$B261)*(B_Drainage!$B$5:$B$204&gt;$B261)*(B_Drainage!$E$5:$E$204&lt;&gt;"")),IF(B_Drainage!$E$5:$E$204="-","",1)),"")</f>
        <v/>
      </c>
      <c r="U261" s="181" t="str">
        <f>IFERROR(LOOKUP(2,1/((B_Drainage!$A$5:$A$204&lt;&gt;"")*(B_Drainage!$A$5:$A$204&lt;=$B261)*(B_Drainage!$B$5:$B$204&gt;$B261)*(B_Drainage!$E$5:$E$204&lt;&gt;"")),IF(B_Drainage!$E$5:$E$204="-","",B_Drainage!$E$5:$E$204)),"")</f>
        <v/>
      </c>
      <c r="V261" s="181" t="str">
        <f>IFERROR(LOOKUP(2,1/((B_Drainage!$A$5:$A$204&lt;&gt;"")*(B_Drainage!$A$5:$A$204&lt;=$B261)*(B_Drainage!$B$5:$B$204&gt;$B261)*(B_Drainage!$F$5:$F$204&lt;&gt;"")),IF(B_Drainage!$F$5:$F$204="-","",1)),"")</f>
        <v/>
      </c>
      <c r="W261" s="181" t="str">
        <f>IFERROR(LOOKUP(2,1/((B_Drainage!$A$5:$A$204&lt;&gt;"")*(B_Drainage!$A$5:$A$204&lt;=$B261)*(B_Drainage!$B$5:$B$204&gt;$B261)*(B_Drainage!$F$5:$F$204&lt;&gt;"")),IF(B_Drainage!$F$5:$F$204="-","",B_Drainage!$F$5:$F$204)),"")</f>
        <v/>
      </c>
      <c r="X261" s="181" t="str">
        <f>IFERROR(LOOKUP(2,1/((B_Drainage!$A$5:$A$204&lt;&gt;"")*(B_Drainage!$A$5:$A$204&lt;=$B261)*(B_Drainage!$B$5:$B$204&gt;$B261)*(B_Drainage!$G$5:$G$204&lt;&gt;"")),IF(UPPER(B_Drainage!$G$5:$G$204)="Y",1,"")),"")</f>
        <v/>
      </c>
      <c r="Y261" s="181" t="str">
        <f>IFERROR(LOOKUP(2,1/((B_Drainage!$A$5:$A$204&lt;&gt;"")*(B_Drainage!$A$5:$A$204&lt;=$B261)*(B_Drainage!$B$5:$B$204&gt;$B261)*(B_Drainage!$H$5:$H$204&lt;&gt;"")),IF(UPPER(B_Drainage!$H$5:$H$204)="Y",1,"")),"")</f>
        <v/>
      </c>
      <c r="Z261" s="181" t="str">
        <f>IFERROR(LOOKUP(2,1/((B_Drainage!$A$5:$A$204&lt;&gt;"")*(B_Drainage!$A$5:$A$204&lt;=$B261)*(B_Drainage!$B$5:$B$204&gt;$B261)*(B_Drainage!$I$5:$I$204&lt;&gt;"")),IF(UPPER(B_Drainage!$I$5:$I$204)="Y",1,"")),"")</f>
        <v/>
      </c>
      <c r="AA261" s="181" t="str">
        <f>IFERROR(LOOKUP(2,1/((B_Drainage!$A$5:$A$204&lt;&gt;"")*(B_Drainage!$A$5:$A$204&lt;=$B261)*(B_Drainage!$B$5:$B$204&gt;$B261)*(B_Drainage!$J$5:$J$204&lt;&gt;"")),IF(UPPER(B_Drainage!$J$5:$J$204)="Y",1,"")),"")</f>
        <v/>
      </c>
      <c r="AB261" s="182" t="str">
        <f>IFERROR(LOOKUP(2,1/((B_Drainage!$A$5:$A$204&lt;&gt;"")*(B_Drainage!$A$5:$A$204&lt;=$B261)*(B_Drainage!$B$5:$B$204&gt;$B261)*(B_Drainage!$K$5:$K$204&lt;&gt;"")),IF(B_Drainage!$K$5:$K$204="-","",B_Drainage!$K$5:$K$204)),"")</f>
        <v/>
      </c>
      <c r="AC261" s="182" t="str">
        <f>IFERROR(LOOKUP(2,1/((B_Drainage!$A$5:$A$204&lt;&gt;"")*(B_Drainage!$A$5:$A$204&lt;=$B261)*(B_Drainage!$B$5:$B$204&gt;$B261)*(B_Drainage!$L$5:$L$204&lt;&gt;"")),IF(B_Drainage!$L$5:$L$204="-","",B_Drainage!$L$5:$L$204)),"")</f>
        <v/>
      </c>
      <c r="AD261" s="182" t="str">
        <f>IFERROR(LOOKUP(2,1/((D_Points!$A$5:$A$204&lt;&gt;"")*(D_Points!$A$5:$A$204&gt;=$B261)*(D_Points!$A$5:$A$204&lt;$B261+P_Interval)*(UPPER(TRIM(D_Points!$B$5:$B$204))="TURNOUT_L")*(D_Points!$H$5:$H$204&lt;&gt;"")),D_Points!$H$5:$H$204),"")</f>
        <v/>
      </c>
      <c r="AE261" s="182" t="str">
        <f>IFERROR(LOOKUP(2,1/((D_Points!$A$5:$A$204&lt;&gt;"")*(D_Points!$A$5:$A$204&gt;=$B261)*(D_Points!$A$5:$A$204&lt;$B261+P_Interval)*(UPPER(TRIM(D_Points!$B$5:$B$204))="TURNOUT_R")*(D_Points!$H$5:$H$204&lt;&gt;"")),D_Points!$H$5:$H$204),"")</f>
        <v/>
      </c>
      <c r="AF261" s="181" t="str">
        <f>IFERROR(LOOKUP(2,1/((B_Drainage!$A$5:$A$204&lt;&gt;"")*(B_Drainage!$A$5:$A$204&lt;=$B261)*(B_Drainage!$B$5:$B$204&gt;$B261)*(B_Drainage!$M$5:$M$204&lt;&gt;"")),IF(UPPER(B_Drainage!$M$5:$M$204)="Y",1,"")),"")</f>
        <v/>
      </c>
      <c r="AG261" s="181" t="str">
        <f>IFERROR(LOOKUP(2,1/((B_Drainage!$A$5:$A$204&lt;&gt;"")*(B_Drainage!$A$5:$A$204&lt;=$B261)*(B_Drainage!$B$5:$B$204&gt;$B261)*(B_Drainage!$N$5:$N$204&lt;&gt;"")),IF(UPPER(B_Drainage!$N$5:$N$204)="Y",1,"")),"")</f>
        <v/>
      </c>
      <c r="AH261" s="181" t="str">
        <f t="shared" si="24"/>
        <v/>
      </c>
      <c r="AI261" s="181" t="str">
        <f t="shared" si="25"/>
        <v/>
      </c>
      <c r="AJ261" s="181" t="str">
        <f t="shared" si="26"/>
        <v/>
      </c>
      <c r="AK261" s="181" t="str">
        <f t="shared" si="27"/>
        <v/>
      </c>
      <c r="AL261" s="181" t="str">
        <f t="shared" si="28"/>
        <v/>
      </c>
      <c r="AM261" s="181" t="str">
        <f t="shared" si="29"/>
        <v/>
      </c>
      <c r="AN261" s="181" t="str">
        <f t="shared" si="30"/>
        <v/>
      </c>
      <c r="AO261" s="192" t="str">
        <f t="shared" si="31"/>
        <v/>
      </c>
      <c r="AQ261" t="str">
        <f>IFERROR(LOOKUP(2,1/((C_Pavement!$A$5:$A$204&lt;&gt;"")*(C_Pavement!$A$5:$A$204&lt;=$B261)*(C_Pavement!$B$5:$B$204&gt;$B261)*(C_Pavement!$C$5:$C$204&lt;&gt;"")),ROW(C_Pavement!$C$5:$C$204)-4),"")</f>
        <v/>
      </c>
      <c r="AR261" t="str">
        <f>IF($AQ261="","",UPPER(TRIM(INDEX(C_Pavement!$C$5:$C$204,$AQ261))))</f>
        <v/>
      </c>
      <c r="AS261" t="str">
        <f>IF($AR261="","",IFERROR(MATCH($AR261,E_Rules!$A$5:$A$9,0),""))</f>
        <v/>
      </c>
      <c r="AT261" t="str">
        <f>IF($AQ261="","",IF(INDEX(C_Pavement!$D$5:$D$204,$AQ261)&lt;&gt;"",UPPER(TRIM(INDEX(C_Pavement!$D$5:$D$204,$AQ261))),IF($AS261="","",INDEX(E_Rules!$C$5:$C$9,$AS261))))</f>
        <v/>
      </c>
      <c r="AU261" t="str">
        <f>IF($AQ261="","",IF(INDEX(C_Pavement!$E$5:$E$204,$AQ261)&lt;&gt;"",IF(INDEX(C_Pavement!$E$5:$E$204,$AQ261)="-","",INDEX(C_Pavement!$E$5:$E$204,$AQ261)),IF($AS261="","",INDEX(E_Rules!$D$5:$D$9,$AS261))))</f>
        <v/>
      </c>
      <c r="AV261" t="str">
        <f>IF($AQ261="","",IF(INDEX(C_Pavement!$F$5:$F$204,$AQ261)&lt;&gt;"",IF(INDEX(C_Pavement!$F$5:$F$204,$AQ261)="-","",INDEX(C_Pavement!$F$5:$F$204,$AQ261)),IF($AS261="","",INDEX(E_Rules!$E$5:$E$9,$AS261))))</f>
        <v/>
      </c>
      <c r="AW261" t="str">
        <f>IF($AQ261="","",IF(INDEX(C_Pavement!$G$5:$G$204,$AQ261)&lt;&gt;"",IF(INDEX(C_Pavement!$G$5:$G$204,$AQ261)="-","",INDEX(C_Pavement!$G$5:$G$204,$AQ261)),IF($AS261="","",INDEX(E_Rules!$F$5:$F$9,$AS261))))</f>
        <v/>
      </c>
      <c r="AX261" t="str">
        <f>IF($AQ261="","",IF(INDEX(C_Pavement!$H$5:$H$204,$AQ261)&lt;&gt;"",IF(INDEX(C_Pavement!$H$5:$H$204,$AQ261)="-","",INDEX(C_Pavement!$H$5:$H$204,$AQ261)),IF($AS261="","",INDEX(E_Rules!$G$5:$G$9,$AS261))))</f>
        <v/>
      </c>
      <c r="AY261" t="str">
        <f>IF($AQ261="","",IF(INDEX(C_Pavement!$I$5:$I$204,$AQ261)&lt;&gt;"",IF(INDEX(C_Pavement!$I$5:$I$204,$AQ261)="-","",INDEX(C_Pavement!$I$5:$I$204,$AQ261)),IF($AS261="","",INDEX(E_Rules!$H$5:$H$9,$AS261))))</f>
        <v/>
      </c>
    </row>
    <row r="262" spans="1:51" ht="15.75" customHeight="1" x14ac:dyDescent="0.3">
      <c r="A262" s="189">
        <v>257</v>
      </c>
      <c r="B262" s="180">
        <v>12800</v>
      </c>
      <c r="C262" s="180" t="s">
        <v>568</v>
      </c>
      <c r="D262" s="181" t="str">
        <f>IFERROR(LOOKUP(2,1/((A_Corridor!$A$5:$A$204&lt;&gt;"")*(A_Corridor!$A$5:$A$204&lt;=$B262)*(A_Corridor!$B$5:$B$204&gt;$B262)*(A_Corridor!$C$5:$C$204&lt;&gt;"")),IF(UPPER(A_Corridor!$C$5:$C$204)="Y",1,"")),"")</f>
        <v/>
      </c>
      <c r="E262" s="181" t="str">
        <f>IFERROR(LOOKUP(2,1/((A_Corridor!$A$5:$A$204&lt;&gt;"")*(A_Corridor!$A$5:$A$204&lt;=$B262)*(A_Corridor!$B$5:$B$204&gt;$B262)*(A_Corridor!$D$5:$D$204&lt;&gt;"")),IF(A_Corridor!$D$5:$D$204="-","",UPPER(A_Corridor!$D$5:$D$204))),"")</f>
        <v/>
      </c>
      <c r="F262" s="181" t="str">
        <f>IFERROR(LOOKUP(2,1/((A_Corridor!$A$5:$A$204&lt;&gt;"")*(A_Corridor!$A$5:$A$204&lt;=$B262)*(A_Corridor!$B$5:$B$204&gt;$B262)*(A_Corridor!$E$5:$E$204&lt;&gt;"")),IF(A_Corridor!$E$5:$E$204="-","",1)),"")</f>
        <v/>
      </c>
      <c r="G262" s="182" t="str">
        <f>IFERROR(LOOKUP(2,1/((A_Corridor!$A$5:$A$204&lt;&gt;"")*(A_Corridor!$A$5:$A$204&lt;=$B262)*(A_Corridor!$B$5:$B$204&gt;$B262)*(A_Corridor!$E$5:$E$204&lt;&gt;"")),IF(A_Corridor!$E$5:$E$204="-","",A_Corridor!$E$5:$E$204)),"")</f>
        <v/>
      </c>
      <c r="H262" s="182" t="str">
        <f>IFERROR(LOOKUP(2,1/((D_Points!$A$5:$A$204&lt;&gt;"")*(D_Points!$A$5:$A$204&gt;=$B262)*(D_Points!$A$5:$A$204&lt;$B262+P_Interval)*(UPPER(TRIM(D_Points!$B$5:$B$204))="GULLY")*(D_Points!$H$5:$H$204&lt;&gt;"")),D_Points!$H$5:$H$204),"")</f>
        <v/>
      </c>
      <c r="I262" s="181" t="str">
        <f>IFERROR(LOOKUP(2,1/((A_Corridor!$A$5:$A$204&lt;&gt;"")*(A_Corridor!$A$5:$A$204&lt;=$B262)*(A_Corridor!$B$5:$B$204&gt;$B262)*(A_Corridor!$F$5:$F$204&lt;&gt;"")),IF(A_Corridor!$F$5:$F$204="-","",1)),"")</f>
        <v/>
      </c>
      <c r="J262" s="182" t="str">
        <f>IFERROR(LOOKUP(2,1/((A_Corridor!$A$5:$A$204&lt;&gt;"")*(A_Corridor!$A$5:$A$204&lt;=$B262)*(A_Corridor!$B$5:$B$204&gt;$B262)*(A_Corridor!$F$5:$F$204&lt;&gt;"")),IF(A_Corridor!$F$5:$F$204="-","",A_Corridor!$F$5:$F$204)),"")</f>
        <v/>
      </c>
      <c r="K262" s="182" t="str">
        <f>IFERROR(LOOKUP(2,1/((A_Corridor!$A$5:$A$204&lt;&gt;"")*(A_Corridor!$A$5:$A$204&lt;=$B262)*(A_Corridor!$B$5:$B$204&gt;$B262)*(A_Corridor!$G$5:$G$204&lt;&gt;"")),IF(A_Corridor!$G$5:$G$204="-","",A_Corridor!$G$5:$G$204)),"")</f>
        <v/>
      </c>
      <c r="L262" s="181" t="str">
        <f>IFERROR(LOOKUP(2,1/((A_Corridor!$A$5:$A$204&lt;&gt;"")*(A_Corridor!$A$5:$A$204&lt;=$B262)*(A_Corridor!$B$5:$B$204&gt;$B262)*(A_Corridor!$H$5:$H$204&lt;&gt;"")),IF(A_Corridor!$H$5:$H$204="-","",1)),"")</f>
        <v/>
      </c>
      <c r="M262" s="182" t="str">
        <f>IFERROR(LOOKUP(2,1/((A_Corridor!$A$5:$A$204&lt;&gt;"")*(A_Corridor!$A$5:$A$204&lt;=$B262)*(A_Corridor!$B$5:$B$204&gt;$B262)*(A_Corridor!$H$5:$H$204&lt;&gt;"")),IF(A_Corridor!$H$5:$H$204="-","",A_Corridor!$H$5:$H$204)),"")</f>
        <v/>
      </c>
      <c r="N262" s="182" t="str">
        <f>IFERROR(LOOKUP(2,1/((A_Corridor!$A$5:$A$204&lt;&gt;"")*(A_Corridor!$A$5:$A$204&lt;=$B262)*(A_Corridor!$B$5:$B$204&gt;$B262)*(A_Corridor!$I$5:$I$204&lt;&gt;"")),IF(A_Corridor!$I$5:$I$204="-","",A_Corridor!$I$5:$I$204)),"")</f>
        <v/>
      </c>
      <c r="O262" s="182" t="str">
        <f>IFERROR(LOOKUP(2,1/((D_Points!$A$5:$A$204&lt;&gt;"")*(D_Points!$A$5:$A$204&gt;=$B262)*(D_Points!$A$5:$A$204&lt;$B262+P_Interval)*(UPPER(TRIM(D_Points!$B$5:$B$204))="PITCHING")*(D_Points!$H$5:$H$204&lt;&gt;"")),D_Points!$H$5:$H$204),"")</f>
        <v/>
      </c>
      <c r="P262" s="181" t="str">
        <f>IFERROR(LOOKUP(2,1/((B_Drainage!$A$5:$A$204&lt;&gt;"")*(B_Drainage!$A$5:$A$204&lt;=$B262)*(B_Drainage!$B$5:$B$204&gt;$B262)*(B_Drainage!$C$5:$C$204&lt;&gt;"")),IF(B_Drainage!$C$5:$C$204="-","",UPPER(B_Drainage!$C$5:$C$204))),"")</f>
        <v/>
      </c>
      <c r="Q262" s="181" t="str">
        <f>IFERROR(LOOKUP(2,1/((B_Drainage!$A$5:$A$204&lt;&gt;"")*(B_Drainage!$A$5:$A$204&lt;=$B262)*(B_Drainage!$B$5:$B$204&gt;$B262)*(B_Drainage!$D$5:$D$204&lt;&gt;"")),IF(B_Drainage!$D$5:$D$204="-","",UPPER(B_Drainage!$D$5:$D$204))),"")</f>
        <v/>
      </c>
      <c r="R262" s="182" t="str">
        <f>IFERROR(LOOKUP(2,1/((D_Points!$A$5:$A$204&lt;&gt;"")*(D_Points!$A$5:$A$204&gt;=$B262)*(D_Points!$A$5:$A$204&lt;$B262+P_Interval)*(RIGHT(UPPER(TRIM(D_Points!$B$5:$B$204)),8)="_CULVERT")),IF(LEFT(UPPER(TRIM(D_Points!$B$5:$B$204)),2)="EX",1,IF(LEFT(UPPER(TRIM(D_Points!$B$5:$B$204)),2)="PR",2,3))),"")</f>
        <v/>
      </c>
      <c r="S262" s="182" t="str">
        <f>IFERROR(LOOKUP(2,1/((D_Points!$A$5:$A$204&lt;&gt;"")*(D_Points!$A$5:$A$204&gt;=$B262)*(D_Points!$A$5:$A$204&lt;$B262+P_Interval)*(RIGHT(UPPER(TRIM(D_Points!$B$5:$B$204)),7)="_BRIDGE")),IF(LEFT(UPPER(TRIM(D_Points!$B$5:$B$204)),2)="EX",1,IF(LEFT(UPPER(TRIM(D_Points!$B$5:$B$204)),2)="PR",2,2))),"")</f>
        <v/>
      </c>
      <c r="T262" s="181" t="str">
        <f>IFERROR(LOOKUP(2,1/((B_Drainage!$A$5:$A$204&lt;&gt;"")*(B_Drainage!$A$5:$A$204&lt;=$B262)*(B_Drainage!$B$5:$B$204&gt;$B262)*(B_Drainage!$E$5:$E$204&lt;&gt;"")),IF(B_Drainage!$E$5:$E$204="-","",1)),"")</f>
        <v/>
      </c>
      <c r="U262" s="181" t="str">
        <f>IFERROR(LOOKUP(2,1/((B_Drainage!$A$5:$A$204&lt;&gt;"")*(B_Drainage!$A$5:$A$204&lt;=$B262)*(B_Drainage!$B$5:$B$204&gt;$B262)*(B_Drainage!$E$5:$E$204&lt;&gt;"")),IF(B_Drainage!$E$5:$E$204="-","",B_Drainage!$E$5:$E$204)),"")</f>
        <v/>
      </c>
      <c r="V262" s="181" t="str">
        <f>IFERROR(LOOKUP(2,1/((B_Drainage!$A$5:$A$204&lt;&gt;"")*(B_Drainage!$A$5:$A$204&lt;=$B262)*(B_Drainage!$B$5:$B$204&gt;$B262)*(B_Drainage!$F$5:$F$204&lt;&gt;"")),IF(B_Drainage!$F$5:$F$204="-","",1)),"")</f>
        <v/>
      </c>
      <c r="W262" s="181" t="str">
        <f>IFERROR(LOOKUP(2,1/((B_Drainage!$A$5:$A$204&lt;&gt;"")*(B_Drainage!$A$5:$A$204&lt;=$B262)*(B_Drainage!$B$5:$B$204&gt;$B262)*(B_Drainage!$F$5:$F$204&lt;&gt;"")),IF(B_Drainage!$F$5:$F$204="-","",B_Drainage!$F$5:$F$204)),"")</f>
        <v/>
      </c>
      <c r="X262" s="181" t="str">
        <f>IFERROR(LOOKUP(2,1/((B_Drainage!$A$5:$A$204&lt;&gt;"")*(B_Drainage!$A$5:$A$204&lt;=$B262)*(B_Drainage!$B$5:$B$204&gt;$B262)*(B_Drainage!$G$5:$G$204&lt;&gt;"")),IF(UPPER(B_Drainage!$G$5:$G$204)="Y",1,"")),"")</f>
        <v/>
      </c>
      <c r="Y262" s="181" t="str">
        <f>IFERROR(LOOKUP(2,1/((B_Drainage!$A$5:$A$204&lt;&gt;"")*(B_Drainage!$A$5:$A$204&lt;=$B262)*(B_Drainage!$B$5:$B$204&gt;$B262)*(B_Drainage!$H$5:$H$204&lt;&gt;"")),IF(UPPER(B_Drainage!$H$5:$H$204)="Y",1,"")),"")</f>
        <v/>
      </c>
      <c r="Z262" s="181" t="str">
        <f>IFERROR(LOOKUP(2,1/((B_Drainage!$A$5:$A$204&lt;&gt;"")*(B_Drainage!$A$5:$A$204&lt;=$B262)*(B_Drainage!$B$5:$B$204&gt;$B262)*(B_Drainage!$I$5:$I$204&lt;&gt;"")),IF(UPPER(B_Drainage!$I$5:$I$204)="Y",1,"")),"")</f>
        <v/>
      </c>
      <c r="AA262" s="181" t="str">
        <f>IFERROR(LOOKUP(2,1/((B_Drainage!$A$5:$A$204&lt;&gt;"")*(B_Drainage!$A$5:$A$204&lt;=$B262)*(B_Drainage!$B$5:$B$204&gt;$B262)*(B_Drainage!$J$5:$J$204&lt;&gt;"")),IF(UPPER(B_Drainage!$J$5:$J$204)="Y",1,"")),"")</f>
        <v/>
      </c>
      <c r="AB262" s="182" t="str">
        <f>IFERROR(LOOKUP(2,1/((B_Drainage!$A$5:$A$204&lt;&gt;"")*(B_Drainage!$A$5:$A$204&lt;=$B262)*(B_Drainage!$B$5:$B$204&gt;$B262)*(B_Drainage!$K$5:$K$204&lt;&gt;"")),IF(B_Drainage!$K$5:$K$204="-","",B_Drainage!$K$5:$K$204)),"")</f>
        <v/>
      </c>
      <c r="AC262" s="182" t="str">
        <f>IFERROR(LOOKUP(2,1/((B_Drainage!$A$5:$A$204&lt;&gt;"")*(B_Drainage!$A$5:$A$204&lt;=$B262)*(B_Drainage!$B$5:$B$204&gt;$B262)*(B_Drainage!$L$5:$L$204&lt;&gt;"")),IF(B_Drainage!$L$5:$L$204="-","",B_Drainage!$L$5:$L$204)),"")</f>
        <v/>
      </c>
      <c r="AD262" s="182" t="str">
        <f>IFERROR(LOOKUP(2,1/((D_Points!$A$5:$A$204&lt;&gt;"")*(D_Points!$A$5:$A$204&gt;=$B262)*(D_Points!$A$5:$A$204&lt;$B262+P_Interval)*(UPPER(TRIM(D_Points!$B$5:$B$204))="TURNOUT_L")*(D_Points!$H$5:$H$204&lt;&gt;"")),D_Points!$H$5:$H$204),"")</f>
        <v/>
      </c>
      <c r="AE262" s="182" t="str">
        <f>IFERROR(LOOKUP(2,1/((D_Points!$A$5:$A$204&lt;&gt;"")*(D_Points!$A$5:$A$204&gt;=$B262)*(D_Points!$A$5:$A$204&lt;$B262+P_Interval)*(UPPER(TRIM(D_Points!$B$5:$B$204))="TURNOUT_R")*(D_Points!$H$5:$H$204&lt;&gt;"")),D_Points!$H$5:$H$204),"")</f>
        <v/>
      </c>
      <c r="AF262" s="181" t="str">
        <f>IFERROR(LOOKUP(2,1/((B_Drainage!$A$5:$A$204&lt;&gt;"")*(B_Drainage!$A$5:$A$204&lt;=$B262)*(B_Drainage!$B$5:$B$204&gt;$B262)*(B_Drainage!$M$5:$M$204&lt;&gt;"")),IF(UPPER(B_Drainage!$M$5:$M$204)="Y",1,"")),"")</f>
        <v/>
      </c>
      <c r="AG262" s="181" t="str">
        <f>IFERROR(LOOKUP(2,1/((B_Drainage!$A$5:$A$204&lt;&gt;"")*(B_Drainage!$A$5:$A$204&lt;=$B262)*(B_Drainage!$B$5:$B$204&gt;$B262)*(B_Drainage!$N$5:$N$204&lt;&gt;"")),IF(UPPER(B_Drainage!$N$5:$N$204)="Y",1,"")),"")</f>
        <v/>
      </c>
      <c r="AH262" s="181" t="str">
        <f t="shared" ref="AH262:AH325" si="32">IF($AT262="BLADE",1,"")</f>
        <v/>
      </c>
      <c r="AI262" s="181" t="str">
        <f t="shared" ref="AI262:AI325" si="33">IF($AT262="RESHAPE",1,"")</f>
        <v/>
      </c>
      <c r="AJ262" s="181" t="str">
        <f t="shared" ref="AJ262:AJ325" si="34">IF($AT262="SCARIFY",1,"")</f>
        <v/>
      </c>
      <c r="AK262" s="181" t="str">
        <f t="shared" ref="AK262:AK325" si="35">$AU262</f>
        <v/>
      </c>
      <c r="AL262" s="181" t="str">
        <f t="shared" ref="AL262:AL325" si="36">$AV262</f>
        <v/>
      </c>
      <c r="AM262" s="181" t="str">
        <f t="shared" ref="AM262:AM325" si="37">IF(OR(UPPER($AW262)="Y",$AW262=1),1,"")</f>
        <v/>
      </c>
      <c r="AN262" s="181" t="str">
        <f t="shared" ref="AN262:AN325" si="38">IF(OR(UPPER($AX262)="Y",$AX262=1),1,"")</f>
        <v/>
      </c>
      <c r="AO262" s="192" t="str">
        <f t="shared" ref="AO262:AO325" si="39">IF(OR(UPPER($AY262)="Y",$AY262=1),1,"")</f>
        <v/>
      </c>
      <c r="AQ262" t="str">
        <f>IFERROR(LOOKUP(2,1/((C_Pavement!$A$5:$A$204&lt;&gt;"")*(C_Pavement!$A$5:$A$204&lt;=$B262)*(C_Pavement!$B$5:$B$204&gt;$B262)*(C_Pavement!$C$5:$C$204&lt;&gt;"")),ROW(C_Pavement!$C$5:$C$204)-4),"")</f>
        <v/>
      </c>
      <c r="AR262" t="str">
        <f>IF($AQ262="","",UPPER(TRIM(INDEX(C_Pavement!$C$5:$C$204,$AQ262))))</f>
        <v/>
      </c>
      <c r="AS262" t="str">
        <f>IF($AR262="","",IFERROR(MATCH($AR262,E_Rules!$A$5:$A$9,0),""))</f>
        <v/>
      </c>
      <c r="AT262" t="str">
        <f>IF($AQ262="","",IF(INDEX(C_Pavement!$D$5:$D$204,$AQ262)&lt;&gt;"",UPPER(TRIM(INDEX(C_Pavement!$D$5:$D$204,$AQ262))),IF($AS262="","",INDEX(E_Rules!$C$5:$C$9,$AS262))))</f>
        <v/>
      </c>
      <c r="AU262" t="str">
        <f>IF($AQ262="","",IF(INDEX(C_Pavement!$E$5:$E$204,$AQ262)&lt;&gt;"",IF(INDEX(C_Pavement!$E$5:$E$204,$AQ262)="-","",INDEX(C_Pavement!$E$5:$E$204,$AQ262)),IF($AS262="","",INDEX(E_Rules!$D$5:$D$9,$AS262))))</f>
        <v/>
      </c>
      <c r="AV262" t="str">
        <f>IF($AQ262="","",IF(INDEX(C_Pavement!$F$5:$F$204,$AQ262)&lt;&gt;"",IF(INDEX(C_Pavement!$F$5:$F$204,$AQ262)="-","",INDEX(C_Pavement!$F$5:$F$204,$AQ262)),IF($AS262="","",INDEX(E_Rules!$E$5:$E$9,$AS262))))</f>
        <v/>
      </c>
      <c r="AW262" t="str">
        <f>IF($AQ262="","",IF(INDEX(C_Pavement!$G$5:$G$204,$AQ262)&lt;&gt;"",IF(INDEX(C_Pavement!$G$5:$G$204,$AQ262)="-","",INDEX(C_Pavement!$G$5:$G$204,$AQ262)),IF($AS262="","",INDEX(E_Rules!$F$5:$F$9,$AS262))))</f>
        <v/>
      </c>
      <c r="AX262" t="str">
        <f>IF($AQ262="","",IF(INDEX(C_Pavement!$H$5:$H$204,$AQ262)&lt;&gt;"",IF(INDEX(C_Pavement!$H$5:$H$204,$AQ262)="-","",INDEX(C_Pavement!$H$5:$H$204,$AQ262)),IF($AS262="","",INDEX(E_Rules!$G$5:$G$9,$AS262))))</f>
        <v/>
      </c>
      <c r="AY262" t="str">
        <f>IF($AQ262="","",IF(INDEX(C_Pavement!$I$5:$I$204,$AQ262)&lt;&gt;"",IF(INDEX(C_Pavement!$I$5:$I$204,$AQ262)="-","",INDEX(C_Pavement!$I$5:$I$204,$AQ262)),IF($AS262="","",INDEX(E_Rules!$H$5:$H$9,$AS262))))</f>
        <v/>
      </c>
    </row>
    <row r="263" spans="1:51" ht="15.75" customHeight="1" x14ac:dyDescent="0.3">
      <c r="A263" s="189">
        <v>258</v>
      </c>
      <c r="B263" s="180">
        <v>12850</v>
      </c>
      <c r="C263" s="180" t="s">
        <v>569</v>
      </c>
      <c r="D263" s="181" t="str">
        <f>IFERROR(LOOKUP(2,1/((A_Corridor!$A$5:$A$204&lt;&gt;"")*(A_Corridor!$A$5:$A$204&lt;=$B263)*(A_Corridor!$B$5:$B$204&gt;$B263)*(A_Corridor!$C$5:$C$204&lt;&gt;"")),IF(UPPER(A_Corridor!$C$5:$C$204)="Y",1,"")),"")</f>
        <v/>
      </c>
      <c r="E263" s="181" t="str">
        <f>IFERROR(LOOKUP(2,1/((A_Corridor!$A$5:$A$204&lt;&gt;"")*(A_Corridor!$A$5:$A$204&lt;=$B263)*(A_Corridor!$B$5:$B$204&gt;$B263)*(A_Corridor!$D$5:$D$204&lt;&gt;"")),IF(A_Corridor!$D$5:$D$204="-","",UPPER(A_Corridor!$D$5:$D$204))),"")</f>
        <v/>
      </c>
      <c r="F263" s="181" t="str">
        <f>IFERROR(LOOKUP(2,1/((A_Corridor!$A$5:$A$204&lt;&gt;"")*(A_Corridor!$A$5:$A$204&lt;=$B263)*(A_Corridor!$B$5:$B$204&gt;$B263)*(A_Corridor!$E$5:$E$204&lt;&gt;"")),IF(A_Corridor!$E$5:$E$204="-","",1)),"")</f>
        <v/>
      </c>
      <c r="G263" s="182" t="str">
        <f>IFERROR(LOOKUP(2,1/((A_Corridor!$A$5:$A$204&lt;&gt;"")*(A_Corridor!$A$5:$A$204&lt;=$B263)*(A_Corridor!$B$5:$B$204&gt;$B263)*(A_Corridor!$E$5:$E$204&lt;&gt;"")),IF(A_Corridor!$E$5:$E$204="-","",A_Corridor!$E$5:$E$204)),"")</f>
        <v/>
      </c>
      <c r="H263" s="182" t="str">
        <f>IFERROR(LOOKUP(2,1/((D_Points!$A$5:$A$204&lt;&gt;"")*(D_Points!$A$5:$A$204&gt;=$B263)*(D_Points!$A$5:$A$204&lt;$B263+P_Interval)*(UPPER(TRIM(D_Points!$B$5:$B$204))="GULLY")*(D_Points!$H$5:$H$204&lt;&gt;"")),D_Points!$H$5:$H$204),"")</f>
        <v/>
      </c>
      <c r="I263" s="181" t="str">
        <f>IFERROR(LOOKUP(2,1/((A_Corridor!$A$5:$A$204&lt;&gt;"")*(A_Corridor!$A$5:$A$204&lt;=$B263)*(A_Corridor!$B$5:$B$204&gt;$B263)*(A_Corridor!$F$5:$F$204&lt;&gt;"")),IF(A_Corridor!$F$5:$F$204="-","",1)),"")</f>
        <v/>
      </c>
      <c r="J263" s="182" t="str">
        <f>IFERROR(LOOKUP(2,1/((A_Corridor!$A$5:$A$204&lt;&gt;"")*(A_Corridor!$A$5:$A$204&lt;=$B263)*(A_Corridor!$B$5:$B$204&gt;$B263)*(A_Corridor!$F$5:$F$204&lt;&gt;"")),IF(A_Corridor!$F$5:$F$204="-","",A_Corridor!$F$5:$F$204)),"")</f>
        <v/>
      </c>
      <c r="K263" s="182" t="str">
        <f>IFERROR(LOOKUP(2,1/((A_Corridor!$A$5:$A$204&lt;&gt;"")*(A_Corridor!$A$5:$A$204&lt;=$B263)*(A_Corridor!$B$5:$B$204&gt;$B263)*(A_Corridor!$G$5:$G$204&lt;&gt;"")),IF(A_Corridor!$G$5:$G$204="-","",A_Corridor!$G$5:$G$204)),"")</f>
        <v/>
      </c>
      <c r="L263" s="181" t="str">
        <f>IFERROR(LOOKUP(2,1/((A_Corridor!$A$5:$A$204&lt;&gt;"")*(A_Corridor!$A$5:$A$204&lt;=$B263)*(A_Corridor!$B$5:$B$204&gt;$B263)*(A_Corridor!$H$5:$H$204&lt;&gt;"")),IF(A_Corridor!$H$5:$H$204="-","",1)),"")</f>
        <v/>
      </c>
      <c r="M263" s="182" t="str">
        <f>IFERROR(LOOKUP(2,1/((A_Corridor!$A$5:$A$204&lt;&gt;"")*(A_Corridor!$A$5:$A$204&lt;=$B263)*(A_Corridor!$B$5:$B$204&gt;$B263)*(A_Corridor!$H$5:$H$204&lt;&gt;"")),IF(A_Corridor!$H$5:$H$204="-","",A_Corridor!$H$5:$H$204)),"")</f>
        <v/>
      </c>
      <c r="N263" s="182" t="str">
        <f>IFERROR(LOOKUP(2,1/((A_Corridor!$A$5:$A$204&lt;&gt;"")*(A_Corridor!$A$5:$A$204&lt;=$B263)*(A_Corridor!$B$5:$B$204&gt;$B263)*(A_Corridor!$I$5:$I$204&lt;&gt;"")),IF(A_Corridor!$I$5:$I$204="-","",A_Corridor!$I$5:$I$204)),"")</f>
        <v/>
      </c>
      <c r="O263" s="182" t="str">
        <f>IFERROR(LOOKUP(2,1/((D_Points!$A$5:$A$204&lt;&gt;"")*(D_Points!$A$5:$A$204&gt;=$B263)*(D_Points!$A$5:$A$204&lt;$B263+P_Interval)*(UPPER(TRIM(D_Points!$B$5:$B$204))="PITCHING")*(D_Points!$H$5:$H$204&lt;&gt;"")),D_Points!$H$5:$H$204),"")</f>
        <v/>
      </c>
      <c r="P263" s="181" t="str">
        <f>IFERROR(LOOKUP(2,1/((B_Drainage!$A$5:$A$204&lt;&gt;"")*(B_Drainage!$A$5:$A$204&lt;=$B263)*(B_Drainage!$B$5:$B$204&gt;$B263)*(B_Drainage!$C$5:$C$204&lt;&gt;"")),IF(B_Drainage!$C$5:$C$204="-","",UPPER(B_Drainage!$C$5:$C$204))),"")</f>
        <v/>
      </c>
      <c r="Q263" s="181" t="str">
        <f>IFERROR(LOOKUP(2,1/((B_Drainage!$A$5:$A$204&lt;&gt;"")*(B_Drainage!$A$5:$A$204&lt;=$B263)*(B_Drainage!$B$5:$B$204&gt;$B263)*(B_Drainage!$D$5:$D$204&lt;&gt;"")),IF(B_Drainage!$D$5:$D$204="-","",UPPER(B_Drainage!$D$5:$D$204))),"")</f>
        <v/>
      </c>
      <c r="R263" s="182" t="str">
        <f>IFERROR(LOOKUP(2,1/((D_Points!$A$5:$A$204&lt;&gt;"")*(D_Points!$A$5:$A$204&gt;=$B263)*(D_Points!$A$5:$A$204&lt;$B263+P_Interval)*(RIGHT(UPPER(TRIM(D_Points!$B$5:$B$204)),8)="_CULVERT")),IF(LEFT(UPPER(TRIM(D_Points!$B$5:$B$204)),2)="EX",1,IF(LEFT(UPPER(TRIM(D_Points!$B$5:$B$204)),2)="PR",2,3))),"")</f>
        <v/>
      </c>
      <c r="S263" s="182" t="str">
        <f>IFERROR(LOOKUP(2,1/((D_Points!$A$5:$A$204&lt;&gt;"")*(D_Points!$A$5:$A$204&gt;=$B263)*(D_Points!$A$5:$A$204&lt;$B263+P_Interval)*(RIGHT(UPPER(TRIM(D_Points!$B$5:$B$204)),7)="_BRIDGE")),IF(LEFT(UPPER(TRIM(D_Points!$B$5:$B$204)),2)="EX",1,IF(LEFT(UPPER(TRIM(D_Points!$B$5:$B$204)),2)="PR",2,2))),"")</f>
        <v/>
      </c>
      <c r="T263" s="181" t="str">
        <f>IFERROR(LOOKUP(2,1/((B_Drainage!$A$5:$A$204&lt;&gt;"")*(B_Drainage!$A$5:$A$204&lt;=$B263)*(B_Drainage!$B$5:$B$204&gt;$B263)*(B_Drainage!$E$5:$E$204&lt;&gt;"")),IF(B_Drainage!$E$5:$E$204="-","",1)),"")</f>
        <v/>
      </c>
      <c r="U263" s="181" t="str">
        <f>IFERROR(LOOKUP(2,1/((B_Drainage!$A$5:$A$204&lt;&gt;"")*(B_Drainage!$A$5:$A$204&lt;=$B263)*(B_Drainage!$B$5:$B$204&gt;$B263)*(B_Drainage!$E$5:$E$204&lt;&gt;"")),IF(B_Drainage!$E$5:$E$204="-","",B_Drainage!$E$5:$E$204)),"")</f>
        <v/>
      </c>
      <c r="V263" s="181" t="str">
        <f>IFERROR(LOOKUP(2,1/((B_Drainage!$A$5:$A$204&lt;&gt;"")*(B_Drainage!$A$5:$A$204&lt;=$B263)*(B_Drainage!$B$5:$B$204&gt;$B263)*(B_Drainage!$F$5:$F$204&lt;&gt;"")),IF(B_Drainage!$F$5:$F$204="-","",1)),"")</f>
        <v/>
      </c>
      <c r="W263" s="181" t="str">
        <f>IFERROR(LOOKUP(2,1/((B_Drainage!$A$5:$A$204&lt;&gt;"")*(B_Drainage!$A$5:$A$204&lt;=$B263)*(B_Drainage!$B$5:$B$204&gt;$B263)*(B_Drainage!$F$5:$F$204&lt;&gt;"")),IF(B_Drainage!$F$5:$F$204="-","",B_Drainage!$F$5:$F$204)),"")</f>
        <v/>
      </c>
      <c r="X263" s="181" t="str">
        <f>IFERROR(LOOKUP(2,1/((B_Drainage!$A$5:$A$204&lt;&gt;"")*(B_Drainage!$A$5:$A$204&lt;=$B263)*(B_Drainage!$B$5:$B$204&gt;$B263)*(B_Drainage!$G$5:$G$204&lt;&gt;"")),IF(UPPER(B_Drainage!$G$5:$G$204)="Y",1,"")),"")</f>
        <v/>
      </c>
      <c r="Y263" s="181" t="str">
        <f>IFERROR(LOOKUP(2,1/((B_Drainage!$A$5:$A$204&lt;&gt;"")*(B_Drainage!$A$5:$A$204&lt;=$B263)*(B_Drainage!$B$5:$B$204&gt;$B263)*(B_Drainage!$H$5:$H$204&lt;&gt;"")),IF(UPPER(B_Drainage!$H$5:$H$204)="Y",1,"")),"")</f>
        <v/>
      </c>
      <c r="Z263" s="181" t="str">
        <f>IFERROR(LOOKUP(2,1/((B_Drainage!$A$5:$A$204&lt;&gt;"")*(B_Drainage!$A$5:$A$204&lt;=$B263)*(B_Drainage!$B$5:$B$204&gt;$B263)*(B_Drainage!$I$5:$I$204&lt;&gt;"")),IF(UPPER(B_Drainage!$I$5:$I$204)="Y",1,"")),"")</f>
        <v/>
      </c>
      <c r="AA263" s="181" t="str">
        <f>IFERROR(LOOKUP(2,1/((B_Drainage!$A$5:$A$204&lt;&gt;"")*(B_Drainage!$A$5:$A$204&lt;=$B263)*(B_Drainage!$B$5:$B$204&gt;$B263)*(B_Drainage!$J$5:$J$204&lt;&gt;"")),IF(UPPER(B_Drainage!$J$5:$J$204)="Y",1,"")),"")</f>
        <v/>
      </c>
      <c r="AB263" s="182" t="str">
        <f>IFERROR(LOOKUP(2,1/((B_Drainage!$A$5:$A$204&lt;&gt;"")*(B_Drainage!$A$5:$A$204&lt;=$B263)*(B_Drainage!$B$5:$B$204&gt;$B263)*(B_Drainage!$K$5:$K$204&lt;&gt;"")),IF(B_Drainage!$K$5:$K$204="-","",B_Drainage!$K$5:$K$204)),"")</f>
        <v/>
      </c>
      <c r="AC263" s="182" t="str">
        <f>IFERROR(LOOKUP(2,1/((B_Drainage!$A$5:$A$204&lt;&gt;"")*(B_Drainage!$A$5:$A$204&lt;=$B263)*(B_Drainage!$B$5:$B$204&gt;$B263)*(B_Drainage!$L$5:$L$204&lt;&gt;"")),IF(B_Drainage!$L$5:$L$204="-","",B_Drainage!$L$5:$L$204)),"")</f>
        <v/>
      </c>
      <c r="AD263" s="182" t="str">
        <f>IFERROR(LOOKUP(2,1/((D_Points!$A$5:$A$204&lt;&gt;"")*(D_Points!$A$5:$A$204&gt;=$B263)*(D_Points!$A$5:$A$204&lt;$B263+P_Interval)*(UPPER(TRIM(D_Points!$B$5:$B$204))="TURNOUT_L")*(D_Points!$H$5:$H$204&lt;&gt;"")),D_Points!$H$5:$H$204),"")</f>
        <v/>
      </c>
      <c r="AE263" s="182" t="str">
        <f>IFERROR(LOOKUP(2,1/((D_Points!$A$5:$A$204&lt;&gt;"")*(D_Points!$A$5:$A$204&gt;=$B263)*(D_Points!$A$5:$A$204&lt;$B263+P_Interval)*(UPPER(TRIM(D_Points!$B$5:$B$204))="TURNOUT_R")*(D_Points!$H$5:$H$204&lt;&gt;"")),D_Points!$H$5:$H$204),"")</f>
        <v/>
      </c>
      <c r="AF263" s="181" t="str">
        <f>IFERROR(LOOKUP(2,1/((B_Drainage!$A$5:$A$204&lt;&gt;"")*(B_Drainage!$A$5:$A$204&lt;=$B263)*(B_Drainage!$B$5:$B$204&gt;$B263)*(B_Drainage!$M$5:$M$204&lt;&gt;"")),IF(UPPER(B_Drainage!$M$5:$M$204)="Y",1,"")),"")</f>
        <v/>
      </c>
      <c r="AG263" s="181" t="str">
        <f>IFERROR(LOOKUP(2,1/((B_Drainage!$A$5:$A$204&lt;&gt;"")*(B_Drainage!$A$5:$A$204&lt;=$B263)*(B_Drainage!$B$5:$B$204&gt;$B263)*(B_Drainage!$N$5:$N$204&lt;&gt;"")),IF(UPPER(B_Drainage!$N$5:$N$204)="Y",1,"")),"")</f>
        <v/>
      </c>
      <c r="AH263" s="181" t="str">
        <f t="shared" si="32"/>
        <v/>
      </c>
      <c r="AI263" s="181" t="str">
        <f t="shared" si="33"/>
        <v/>
      </c>
      <c r="AJ263" s="181" t="str">
        <f t="shared" si="34"/>
        <v/>
      </c>
      <c r="AK263" s="181" t="str">
        <f t="shared" si="35"/>
        <v/>
      </c>
      <c r="AL263" s="181" t="str">
        <f t="shared" si="36"/>
        <v/>
      </c>
      <c r="AM263" s="181" t="str">
        <f t="shared" si="37"/>
        <v/>
      </c>
      <c r="AN263" s="181" t="str">
        <f t="shared" si="38"/>
        <v/>
      </c>
      <c r="AO263" s="192" t="str">
        <f t="shared" si="39"/>
        <v/>
      </c>
      <c r="AQ263" t="str">
        <f>IFERROR(LOOKUP(2,1/((C_Pavement!$A$5:$A$204&lt;&gt;"")*(C_Pavement!$A$5:$A$204&lt;=$B263)*(C_Pavement!$B$5:$B$204&gt;$B263)*(C_Pavement!$C$5:$C$204&lt;&gt;"")),ROW(C_Pavement!$C$5:$C$204)-4),"")</f>
        <v/>
      </c>
      <c r="AR263" t="str">
        <f>IF($AQ263="","",UPPER(TRIM(INDEX(C_Pavement!$C$5:$C$204,$AQ263))))</f>
        <v/>
      </c>
      <c r="AS263" t="str">
        <f>IF($AR263="","",IFERROR(MATCH($AR263,E_Rules!$A$5:$A$9,0),""))</f>
        <v/>
      </c>
      <c r="AT263" t="str">
        <f>IF($AQ263="","",IF(INDEX(C_Pavement!$D$5:$D$204,$AQ263)&lt;&gt;"",UPPER(TRIM(INDEX(C_Pavement!$D$5:$D$204,$AQ263))),IF($AS263="","",INDEX(E_Rules!$C$5:$C$9,$AS263))))</f>
        <v/>
      </c>
      <c r="AU263" t="str">
        <f>IF($AQ263="","",IF(INDEX(C_Pavement!$E$5:$E$204,$AQ263)&lt;&gt;"",IF(INDEX(C_Pavement!$E$5:$E$204,$AQ263)="-","",INDEX(C_Pavement!$E$5:$E$204,$AQ263)),IF($AS263="","",INDEX(E_Rules!$D$5:$D$9,$AS263))))</f>
        <v/>
      </c>
      <c r="AV263" t="str">
        <f>IF($AQ263="","",IF(INDEX(C_Pavement!$F$5:$F$204,$AQ263)&lt;&gt;"",IF(INDEX(C_Pavement!$F$5:$F$204,$AQ263)="-","",INDEX(C_Pavement!$F$5:$F$204,$AQ263)),IF($AS263="","",INDEX(E_Rules!$E$5:$E$9,$AS263))))</f>
        <v/>
      </c>
      <c r="AW263" t="str">
        <f>IF($AQ263="","",IF(INDEX(C_Pavement!$G$5:$G$204,$AQ263)&lt;&gt;"",IF(INDEX(C_Pavement!$G$5:$G$204,$AQ263)="-","",INDEX(C_Pavement!$G$5:$G$204,$AQ263)),IF($AS263="","",INDEX(E_Rules!$F$5:$F$9,$AS263))))</f>
        <v/>
      </c>
      <c r="AX263" t="str">
        <f>IF($AQ263="","",IF(INDEX(C_Pavement!$H$5:$H$204,$AQ263)&lt;&gt;"",IF(INDEX(C_Pavement!$H$5:$H$204,$AQ263)="-","",INDEX(C_Pavement!$H$5:$H$204,$AQ263)),IF($AS263="","",INDEX(E_Rules!$G$5:$G$9,$AS263))))</f>
        <v/>
      </c>
      <c r="AY263" t="str">
        <f>IF($AQ263="","",IF(INDEX(C_Pavement!$I$5:$I$204,$AQ263)&lt;&gt;"",IF(INDEX(C_Pavement!$I$5:$I$204,$AQ263)="-","",INDEX(C_Pavement!$I$5:$I$204,$AQ263)),IF($AS263="","",INDEX(E_Rules!$H$5:$H$9,$AS263))))</f>
        <v/>
      </c>
    </row>
    <row r="264" spans="1:51" ht="15.75" customHeight="1" x14ac:dyDescent="0.3">
      <c r="A264" s="189">
        <v>259</v>
      </c>
      <c r="B264" s="180">
        <v>12900</v>
      </c>
      <c r="C264" s="180" t="s">
        <v>570</v>
      </c>
      <c r="D264" s="181" t="str">
        <f>IFERROR(LOOKUP(2,1/((A_Corridor!$A$5:$A$204&lt;&gt;"")*(A_Corridor!$A$5:$A$204&lt;=$B264)*(A_Corridor!$B$5:$B$204&gt;$B264)*(A_Corridor!$C$5:$C$204&lt;&gt;"")),IF(UPPER(A_Corridor!$C$5:$C$204)="Y",1,"")),"")</f>
        <v/>
      </c>
      <c r="E264" s="181" t="str">
        <f>IFERROR(LOOKUP(2,1/((A_Corridor!$A$5:$A$204&lt;&gt;"")*(A_Corridor!$A$5:$A$204&lt;=$B264)*(A_Corridor!$B$5:$B$204&gt;$B264)*(A_Corridor!$D$5:$D$204&lt;&gt;"")),IF(A_Corridor!$D$5:$D$204="-","",UPPER(A_Corridor!$D$5:$D$204))),"")</f>
        <v/>
      </c>
      <c r="F264" s="181" t="str">
        <f>IFERROR(LOOKUP(2,1/((A_Corridor!$A$5:$A$204&lt;&gt;"")*(A_Corridor!$A$5:$A$204&lt;=$B264)*(A_Corridor!$B$5:$B$204&gt;$B264)*(A_Corridor!$E$5:$E$204&lt;&gt;"")),IF(A_Corridor!$E$5:$E$204="-","",1)),"")</f>
        <v/>
      </c>
      <c r="G264" s="182" t="str">
        <f>IFERROR(LOOKUP(2,1/((A_Corridor!$A$5:$A$204&lt;&gt;"")*(A_Corridor!$A$5:$A$204&lt;=$B264)*(A_Corridor!$B$5:$B$204&gt;$B264)*(A_Corridor!$E$5:$E$204&lt;&gt;"")),IF(A_Corridor!$E$5:$E$204="-","",A_Corridor!$E$5:$E$204)),"")</f>
        <v/>
      </c>
      <c r="H264" s="182" t="str">
        <f>IFERROR(LOOKUP(2,1/((D_Points!$A$5:$A$204&lt;&gt;"")*(D_Points!$A$5:$A$204&gt;=$B264)*(D_Points!$A$5:$A$204&lt;$B264+P_Interval)*(UPPER(TRIM(D_Points!$B$5:$B$204))="GULLY")*(D_Points!$H$5:$H$204&lt;&gt;"")),D_Points!$H$5:$H$204),"")</f>
        <v/>
      </c>
      <c r="I264" s="181" t="str">
        <f>IFERROR(LOOKUP(2,1/((A_Corridor!$A$5:$A$204&lt;&gt;"")*(A_Corridor!$A$5:$A$204&lt;=$B264)*(A_Corridor!$B$5:$B$204&gt;$B264)*(A_Corridor!$F$5:$F$204&lt;&gt;"")),IF(A_Corridor!$F$5:$F$204="-","",1)),"")</f>
        <v/>
      </c>
      <c r="J264" s="182" t="str">
        <f>IFERROR(LOOKUP(2,1/((A_Corridor!$A$5:$A$204&lt;&gt;"")*(A_Corridor!$A$5:$A$204&lt;=$B264)*(A_Corridor!$B$5:$B$204&gt;$B264)*(A_Corridor!$F$5:$F$204&lt;&gt;"")),IF(A_Corridor!$F$5:$F$204="-","",A_Corridor!$F$5:$F$204)),"")</f>
        <v/>
      </c>
      <c r="K264" s="182" t="str">
        <f>IFERROR(LOOKUP(2,1/((A_Corridor!$A$5:$A$204&lt;&gt;"")*(A_Corridor!$A$5:$A$204&lt;=$B264)*(A_Corridor!$B$5:$B$204&gt;$B264)*(A_Corridor!$G$5:$G$204&lt;&gt;"")),IF(A_Corridor!$G$5:$G$204="-","",A_Corridor!$G$5:$G$204)),"")</f>
        <v/>
      </c>
      <c r="L264" s="181" t="str">
        <f>IFERROR(LOOKUP(2,1/((A_Corridor!$A$5:$A$204&lt;&gt;"")*(A_Corridor!$A$5:$A$204&lt;=$B264)*(A_Corridor!$B$5:$B$204&gt;$B264)*(A_Corridor!$H$5:$H$204&lt;&gt;"")),IF(A_Corridor!$H$5:$H$204="-","",1)),"")</f>
        <v/>
      </c>
      <c r="M264" s="182" t="str">
        <f>IFERROR(LOOKUP(2,1/((A_Corridor!$A$5:$A$204&lt;&gt;"")*(A_Corridor!$A$5:$A$204&lt;=$B264)*(A_Corridor!$B$5:$B$204&gt;$B264)*(A_Corridor!$H$5:$H$204&lt;&gt;"")),IF(A_Corridor!$H$5:$H$204="-","",A_Corridor!$H$5:$H$204)),"")</f>
        <v/>
      </c>
      <c r="N264" s="182" t="str">
        <f>IFERROR(LOOKUP(2,1/((A_Corridor!$A$5:$A$204&lt;&gt;"")*(A_Corridor!$A$5:$A$204&lt;=$B264)*(A_Corridor!$B$5:$B$204&gt;$B264)*(A_Corridor!$I$5:$I$204&lt;&gt;"")),IF(A_Corridor!$I$5:$I$204="-","",A_Corridor!$I$5:$I$204)),"")</f>
        <v/>
      </c>
      <c r="O264" s="182" t="str">
        <f>IFERROR(LOOKUP(2,1/((D_Points!$A$5:$A$204&lt;&gt;"")*(D_Points!$A$5:$A$204&gt;=$B264)*(D_Points!$A$5:$A$204&lt;$B264+P_Interval)*(UPPER(TRIM(D_Points!$B$5:$B$204))="PITCHING")*(D_Points!$H$5:$H$204&lt;&gt;"")),D_Points!$H$5:$H$204),"")</f>
        <v/>
      </c>
      <c r="P264" s="181" t="str">
        <f>IFERROR(LOOKUP(2,1/((B_Drainage!$A$5:$A$204&lt;&gt;"")*(B_Drainage!$A$5:$A$204&lt;=$B264)*(B_Drainage!$B$5:$B$204&gt;$B264)*(B_Drainage!$C$5:$C$204&lt;&gt;"")),IF(B_Drainage!$C$5:$C$204="-","",UPPER(B_Drainage!$C$5:$C$204))),"")</f>
        <v/>
      </c>
      <c r="Q264" s="181" t="str">
        <f>IFERROR(LOOKUP(2,1/((B_Drainage!$A$5:$A$204&lt;&gt;"")*(B_Drainage!$A$5:$A$204&lt;=$B264)*(B_Drainage!$B$5:$B$204&gt;$B264)*(B_Drainage!$D$5:$D$204&lt;&gt;"")),IF(B_Drainage!$D$5:$D$204="-","",UPPER(B_Drainage!$D$5:$D$204))),"")</f>
        <v/>
      </c>
      <c r="R264" s="182" t="str">
        <f>IFERROR(LOOKUP(2,1/((D_Points!$A$5:$A$204&lt;&gt;"")*(D_Points!$A$5:$A$204&gt;=$B264)*(D_Points!$A$5:$A$204&lt;$B264+P_Interval)*(RIGHT(UPPER(TRIM(D_Points!$B$5:$B$204)),8)="_CULVERT")),IF(LEFT(UPPER(TRIM(D_Points!$B$5:$B$204)),2)="EX",1,IF(LEFT(UPPER(TRIM(D_Points!$B$5:$B$204)),2)="PR",2,3))),"")</f>
        <v/>
      </c>
      <c r="S264" s="182" t="str">
        <f>IFERROR(LOOKUP(2,1/((D_Points!$A$5:$A$204&lt;&gt;"")*(D_Points!$A$5:$A$204&gt;=$B264)*(D_Points!$A$5:$A$204&lt;$B264+P_Interval)*(RIGHT(UPPER(TRIM(D_Points!$B$5:$B$204)),7)="_BRIDGE")),IF(LEFT(UPPER(TRIM(D_Points!$B$5:$B$204)),2)="EX",1,IF(LEFT(UPPER(TRIM(D_Points!$B$5:$B$204)),2)="PR",2,2))),"")</f>
        <v/>
      </c>
      <c r="T264" s="181" t="str">
        <f>IFERROR(LOOKUP(2,1/((B_Drainage!$A$5:$A$204&lt;&gt;"")*(B_Drainage!$A$5:$A$204&lt;=$B264)*(B_Drainage!$B$5:$B$204&gt;$B264)*(B_Drainage!$E$5:$E$204&lt;&gt;"")),IF(B_Drainage!$E$5:$E$204="-","",1)),"")</f>
        <v/>
      </c>
      <c r="U264" s="181" t="str">
        <f>IFERROR(LOOKUP(2,1/((B_Drainage!$A$5:$A$204&lt;&gt;"")*(B_Drainage!$A$5:$A$204&lt;=$B264)*(B_Drainage!$B$5:$B$204&gt;$B264)*(B_Drainage!$E$5:$E$204&lt;&gt;"")),IF(B_Drainage!$E$5:$E$204="-","",B_Drainage!$E$5:$E$204)),"")</f>
        <v/>
      </c>
      <c r="V264" s="181" t="str">
        <f>IFERROR(LOOKUP(2,1/((B_Drainage!$A$5:$A$204&lt;&gt;"")*(B_Drainage!$A$5:$A$204&lt;=$B264)*(B_Drainage!$B$5:$B$204&gt;$B264)*(B_Drainage!$F$5:$F$204&lt;&gt;"")),IF(B_Drainage!$F$5:$F$204="-","",1)),"")</f>
        <v/>
      </c>
      <c r="W264" s="181" t="str">
        <f>IFERROR(LOOKUP(2,1/((B_Drainage!$A$5:$A$204&lt;&gt;"")*(B_Drainage!$A$5:$A$204&lt;=$B264)*(B_Drainage!$B$5:$B$204&gt;$B264)*(B_Drainage!$F$5:$F$204&lt;&gt;"")),IF(B_Drainage!$F$5:$F$204="-","",B_Drainage!$F$5:$F$204)),"")</f>
        <v/>
      </c>
      <c r="X264" s="181" t="str">
        <f>IFERROR(LOOKUP(2,1/((B_Drainage!$A$5:$A$204&lt;&gt;"")*(B_Drainage!$A$5:$A$204&lt;=$B264)*(B_Drainage!$B$5:$B$204&gt;$B264)*(B_Drainage!$G$5:$G$204&lt;&gt;"")),IF(UPPER(B_Drainage!$G$5:$G$204)="Y",1,"")),"")</f>
        <v/>
      </c>
      <c r="Y264" s="181" t="str">
        <f>IFERROR(LOOKUP(2,1/((B_Drainage!$A$5:$A$204&lt;&gt;"")*(B_Drainage!$A$5:$A$204&lt;=$B264)*(B_Drainage!$B$5:$B$204&gt;$B264)*(B_Drainage!$H$5:$H$204&lt;&gt;"")),IF(UPPER(B_Drainage!$H$5:$H$204)="Y",1,"")),"")</f>
        <v/>
      </c>
      <c r="Z264" s="181" t="str">
        <f>IFERROR(LOOKUP(2,1/((B_Drainage!$A$5:$A$204&lt;&gt;"")*(B_Drainage!$A$5:$A$204&lt;=$B264)*(B_Drainage!$B$5:$B$204&gt;$B264)*(B_Drainage!$I$5:$I$204&lt;&gt;"")),IF(UPPER(B_Drainage!$I$5:$I$204)="Y",1,"")),"")</f>
        <v/>
      </c>
      <c r="AA264" s="181" t="str">
        <f>IFERROR(LOOKUP(2,1/((B_Drainage!$A$5:$A$204&lt;&gt;"")*(B_Drainage!$A$5:$A$204&lt;=$B264)*(B_Drainage!$B$5:$B$204&gt;$B264)*(B_Drainage!$J$5:$J$204&lt;&gt;"")),IF(UPPER(B_Drainage!$J$5:$J$204)="Y",1,"")),"")</f>
        <v/>
      </c>
      <c r="AB264" s="182" t="str">
        <f>IFERROR(LOOKUP(2,1/((B_Drainage!$A$5:$A$204&lt;&gt;"")*(B_Drainage!$A$5:$A$204&lt;=$B264)*(B_Drainage!$B$5:$B$204&gt;$B264)*(B_Drainage!$K$5:$K$204&lt;&gt;"")),IF(B_Drainage!$K$5:$K$204="-","",B_Drainage!$K$5:$K$204)),"")</f>
        <v/>
      </c>
      <c r="AC264" s="182" t="str">
        <f>IFERROR(LOOKUP(2,1/((B_Drainage!$A$5:$A$204&lt;&gt;"")*(B_Drainage!$A$5:$A$204&lt;=$B264)*(B_Drainage!$B$5:$B$204&gt;$B264)*(B_Drainage!$L$5:$L$204&lt;&gt;"")),IF(B_Drainage!$L$5:$L$204="-","",B_Drainage!$L$5:$L$204)),"")</f>
        <v/>
      </c>
      <c r="AD264" s="182" t="str">
        <f>IFERROR(LOOKUP(2,1/((D_Points!$A$5:$A$204&lt;&gt;"")*(D_Points!$A$5:$A$204&gt;=$B264)*(D_Points!$A$5:$A$204&lt;$B264+P_Interval)*(UPPER(TRIM(D_Points!$B$5:$B$204))="TURNOUT_L")*(D_Points!$H$5:$H$204&lt;&gt;"")),D_Points!$H$5:$H$204),"")</f>
        <v/>
      </c>
      <c r="AE264" s="182" t="str">
        <f>IFERROR(LOOKUP(2,1/((D_Points!$A$5:$A$204&lt;&gt;"")*(D_Points!$A$5:$A$204&gt;=$B264)*(D_Points!$A$5:$A$204&lt;$B264+P_Interval)*(UPPER(TRIM(D_Points!$B$5:$B$204))="TURNOUT_R")*(D_Points!$H$5:$H$204&lt;&gt;"")),D_Points!$H$5:$H$204),"")</f>
        <v/>
      </c>
      <c r="AF264" s="181" t="str">
        <f>IFERROR(LOOKUP(2,1/((B_Drainage!$A$5:$A$204&lt;&gt;"")*(B_Drainage!$A$5:$A$204&lt;=$B264)*(B_Drainage!$B$5:$B$204&gt;$B264)*(B_Drainage!$M$5:$M$204&lt;&gt;"")),IF(UPPER(B_Drainage!$M$5:$M$204)="Y",1,"")),"")</f>
        <v/>
      </c>
      <c r="AG264" s="181" t="str">
        <f>IFERROR(LOOKUP(2,1/((B_Drainage!$A$5:$A$204&lt;&gt;"")*(B_Drainage!$A$5:$A$204&lt;=$B264)*(B_Drainage!$B$5:$B$204&gt;$B264)*(B_Drainage!$N$5:$N$204&lt;&gt;"")),IF(UPPER(B_Drainage!$N$5:$N$204)="Y",1,"")),"")</f>
        <v/>
      </c>
      <c r="AH264" s="181" t="str">
        <f t="shared" si="32"/>
        <v/>
      </c>
      <c r="AI264" s="181" t="str">
        <f t="shared" si="33"/>
        <v/>
      </c>
      <c r="AJ264" s="181" t="str">
        <f t="shared" si="34"/>
        <v/>
      </c>
      <c r="AK264" s="181" t="str">
        <f t="shared" si="35"/>
        <v/>
      </c>
      <c r="AL264" s="181" t="str">
        <f t="shared" si="36"/>
        <v/>
      </c>
      <c r="AM264" s="181" t="str">
        <f t="shared" si="37"/>
        <v/>
      </c>
      <c r="AN264" s="181" t="str">
        <f t="shared" si="38"/>
        <v/>
      </c>
      <c r="AO264" s="192" t="str">
        <f t="shared" si="39"/>
        <v/>
      </c>
      <c r="AQ264" t="str">
        <f>IFERROR(LOOKUP(2,1/((C_Pavement!$A$5:$A$204&lt;&gt;"")*(C_Pavement!$A$5:$A$204&lt;=$B264)*(C_Pavement!$B$5:$B$204&gt;$B264)*(C_Pavement!$C$5:$C$204&lt;&gt;"")),ROW(C_Pavement!$C$5:$C$204)-4),"")</f>
        <v/>
      </c>
      <c r="AR264" t="str">
        <f>IF($AQ264="","",UPPER(TRIM(INDEX(C_Pavement!$C$5:$C$204,$AQ264))))</f>
        <v/>
      </c>
      <c r="AS264" t="str">
        <f>IF($AR264="","",IFERROR(MATCH($AR264,E_Rules!$A$5:$A$9,0),""))</f>
        <v/>
      </c>
      <c r="AT264" t="str">
        <f>IF($AQ264="","",IF(INDEX(C_Pavement!$D$5:$D$204,$AQ264)&lt;&gt;"",UPPER(TRIM(INDEX(C_Pavement!$D$5:$D$204,$AQ264))),IF($AS264="","",INDEX(E_Rules!$C$5:$C$9,$AS264))))</f>
        <v/>
      </c>
      <c r="AU264" t="str">
        <f>IF($AQ264="","",IF(INDEX(C_Pavement!$E$5:$E$204,$AQ264)&lt;&gt;"",IF(INDEX(C_Pavement!$E$5:$E$204,$AQ264)="-","",INDEX(C_Pavement!$E$5:$E$204,$AQ264)),IF($AS264="","",INDEX(E_Rules!$D$5:$D$9,$AS264))))</f>
        <v/>
      </c>
      <c r="AV264" t="str">
        <f>IF($AQ264="","",IF(INDEX(C_Pavement!$F$5:$F$204,$AQ264)&lt;&gt;"",IF(INDEX(C_Pavement!$F$5:$F$204,$AQ264)="-","",INDEX(C_Pavement!$F$5:$F$204,$AQ264)),IF($AS264="","",INDEX(E_Rules!$E$5:$E$9,$AS264))))</f>
        <v/>
      </c>
      <c r="AW264" t="str">
        <f>IF($AQ264="","",IF(INDEX(C_Pavement!$G$5:$G$204,$AQ264)&lt;&gt;"",IF(INDEX(C_Pavement!$G$5:$G$204,$AQ264)="-","",INDEX(C_Pavement!$G$5:$G$204,$AQ264)),IF($AS264="","",INDEX(E_Rules!$F$5:$F$9,$AS264))))</f>
        <v/>
      </c>
      <c r="AX264" t="str">
        <f>IF($AQ264="","",IF(INDEX(C_Pavement!$H$5:$H$204,$AQ264)&lt;&gt;"",IF(INDEX(C_Pavement!$H$5:$H$204,$AQ264)="-","",INDEX(C_Pavement!$H$5:$H$204,$AQ264)),IF($AS264="","",INDEX(E_Rules!$G$5:$G$9,$AS264))))</f>
        <v/>
      </c>
      <c r="AY264" t="str">
        <f>IF($AQ264="","",IF(INDEX(C_Pavement!$I$5:$I$204,$AQ264)&lt;&gt;"",IF(INDEX(C_Pavement!$I$5:$I$204,$AQ264)="-","",INDEX(C_Pavement!$I$5:$I$204,$AQ264)),IF($AS264="","",INDEX(E_Rules!$H$5:$H$9,$AS264))))</f>
        <v/>
      </c>
    </row>
    <row r="265" spans="1:51" ht="15.75" customHeight="1" x14ac:dyDescent="0.3">
      <c r="A265" s="189">
        <v>260</v>
      </c>
      <c r="B265" s="180">
        <v>12950</v>
      </c>
      <c r="C265" s="180" t="s">
        <v>571</v>
      </c>
      <c r="D265" s="181" t="str">
        <f>IFERROR(LOOKUP(2,1/((A_Corridor!$A$5:$A$204&lt;&gt;"")*(A_Corridor!$A$5:$A$204&lt;=$B265)*(A_Corridor!$B$5:$B$204&gt;$B265)*(A_Corridor!$C$5:$C$204&lt;&gt;"")),IF(UPPER(A_Corridor!$C$5:$C$204)="Y",1,"")),"")</f>
        <v/>
      </c>
      <c r="E265" s="181" t="str">
        <f>IFERROR(LOOKUP(2,1/((A_Corridor!$A$5:$A$204&lt;&gt;"")*(A_Corridor!$A$5:$A$204&lt;=$B265)*(A_Corridor!$B$5:$B$204&gt;$B265)*(A_Corridor!$D$5:$D$204&lt;&gt;"")),IF(A_Corridor!$D$5:$D$204="-","",UPPER(A_Corridor!$D$5:$D$204))),"")</f>
        <v/>
      </c>
      <c r="F265" s="181" t="str">
        <f>IFERROR(LOOKUP(2,1/((A_Corridor!$A$5:$A$204&lt;&gt;"")*(A_Corridor!$A$5:$A$204&lt;=$B265)*(A_Corridor!$B$5:$B$204&gt;$B265)*(A_Corridor!$E$5:$E$204&lt;&gt;"")),IF(A_Corridor!$E$5:$E$204="-","",1)),"")</f>
        <v/>
      </c>
      <c r="G265" s="182" t="str">
        <f>IFERROR(LOOKUP(2,1/((A_Corridor!$A$5:$A$204&lt;&gt;"")*(A_Corridor!$A$5:$A$204&lt;=$B265)*(A_Corridor!$B$5:$B$204&gt;$B265)*(A_Corridor!$E$5:$E$204&lt;&gt;"")),IF(A_Corridor!$E$5:$E$204="-","",A_Corridor!$E$5:$E$204)),"")</f>
        <v/>
      </c>
      <c r="H265" s="182" t="str">
        <f>IFERROR(LOOKUP(2,1/((D_Points!$A$5:$A$204&lt;&gt;"")*(D_Points!$A$5:$A$204&gt;=$B265)*(D_Points!$A$5:$A$204&lt;$B265+P_Interval)*(UPPER(TRIM(D_Points!$B$5:$B$204))="GULLY")*(D_Points!$H$5:$H$204&lt;&gt;"")),D_Points!$H$5:$H$204),"")</f>
        <v/>
      </c>
      <c r="I265" s="181" t="str">
        <f>IFERROR(LOOKUP(2,1/((A_Corridor!$A$5:$A$204&lt;&gt;"")*(A_Corridor!$A$5:$A$204&lt;=$B265)*(A_Corridor!$B$5:$B$204&gt;$B265)*(A_Corridor!$F$5:$F$204&lt;&gt;"")),IF(A_Corridor!$F$5:$F$204="-","",1)),"")</f>
        <v/>
      </c>
      <c r="J265" s="182" t="str">
        <f>IFERROR(LOOKUP(2,1/((A_Corridor!$A$5:$A$204&lt;&gt;"")*(A_Corridor!$A$5:$A$204&lt;=$B265)*(A_Corridor!$B$5:$B$204&gt;$B265)*(A_Corridor!$F$5:$F$204&lt;&gt;"")),IF(A_Corridor!$F$5:$F$204="-","",A_Corridor!$F$5:$F$204)),"")</f>
        <v/>
      </c>
      <c r="K265" s="182" t="str">
        <f>IFERROR(LOOKUP(2,1/((A_Corridor!$A$5:$A$204&lt;&gt;"")*(A_Corridor!$A$5:$A$204&lt;=$B265)*(A_Corridor!$B$5:$B$204&gt;$B265)*(A_Corridor!$G$5:$G$204&lt;&gt;"")),IF(A_Corridor!$G$5:$G$204="-","",A_Corridor!$G$5:$G$204)),"")</f>
        <v/>
      </c>
      <c r="L265" s="181" t="str">
        <f>IFERROR(LOOKUP(2,1/((A_Corridor!$A$5:$A$204&lt;&gt;"")*(A_Corridor!$A$5:$A$204&lt;=$B265)*(A_Corridor!$B$5:$B$204&gt;$B265)*(A_Corridor!$H$5:$H$204&lt;&gt;"")),IF(A_Corridor!$H$5:$H$204="-","",1)),"")</f>
        <v/>
      </c>
      <c r="M265" s="182" t="str">
        <f>IFERROR(LOOKUP(2,1/((A_Corridor!$A$5:$A$204&lt;&gt;"")*(A_Corridor!$A$5:$A$204&lt;=$B265)*(A_Corridor!$B$5:$B$204&gt;$B265)*(A_Corridor!$H$5:$H$204&lt;&gt;"")),IF(A_Corridor!$H$5:$H$204="-","",A_Corridor!$H$5:$H$204)),"")</f>
        <v/>
      </c>
      <c r="N265" s="182" t="str">
        <f>IFERROR(LOOKUP(2,1/((A_Corridor!$A$5:$A$204&lt;&gt;"")*(A_Corridor!$A$5:$A$204&lt;=$B265)*(A_Corridor!$B$5:$B$204&gt;$B265)*(A_Corridor!$I$5:$I$204&lt;&gt;"")),IF(A_Corridor!$I$5:$I$204="-","",A_Corridor!$I$5:$I$204)),"")</f>
        <v/>
      </c>
      <c r="O265" s="182" t="str">
        <f>IFERROR(LOOKUP(2,1/((D_Points!$A$5:$A$204&lt;&gt;"")*(D_Points!$A$5:$A$204&gt;=$B265)*(D_Points!$A$5:$A$204&lt;$B265+P_Interval)*(UPPER(TRIM(D_Points!$B$5:$B$204))="PITCHING")*(D_Points!$H$5:$H$204&lt;&gt;"")),D_Points!$H$5:$H$204),"")</f>
        <v/>
      </c>
      <c r="P265" s="181" t="str">
        <f>IFERROR(LOOKUP(2,1/((B_Drainage!$A$5:$A$204&lt;&gt;"")*(B_Drainage!$A$5:$A$204&lt;=$B265)*(B_Drainage!$B$5:$B$204&gt;$B265)*(B_Drainage!$C$5:$C$204&lt;&gt;"")),IF(B_Drainage!$C$5:$C$204="-","",UPPER(B_Drainage!$C$5:$C$204))),"")</f>
        <v/>
      </c>
      <c r="Q265" s="181" t="str">
        <f>IFERROR(LOOKUP(2,1/((B_Drainage!$A$5:$A$204&lt;&gt;"")*(B_Drainage!$A$5:$A$204&lt;=$B265)*(B_Drainage!$B$5:$B$204&gt;$B265)*(B_Drainage!$D$5:$D$204&lt;&gt;"")),IF(B_Drainage!$D$5:$D$204="-","",UPPER(B_Drainage!$D$5:$D$204))),"")</f>
        <v/>
      </c>
      <c r="R265" s="182" t="str">
        <f>IFERROR(LOOKUP(2,1/((D_Points!$A$5:$A$204&lt;&gt;"")*(D_Points!$A$5:$A$204&gt;=$B265)*(D_Points!$A$5:$A$204&lt;$B265+P_Interval)*(RIGHT(UPPER(TRIM(D_Points!$B$5:$B$204)),8)="_CULVERT")),IF(LEFT(UPPER(TRIM(D_Points!$B$5:$B$204)),2)="EX",1,IF(LEFT(UPPER(TRIM(D_Points!$B$5:$B$204)),2)="PR",2,3))),"")</f>
        <v/>
      </c>
      <c r="S265" s="182" t="str">
        <f>IFERROR(LOOKUP(2,1/((D_Points!$A$5:$A$204&lt;&gt;"")*(D_Points!$A$5:$A$204&gt;=$B265)*(D_Points!$A$5:$A$204&lt;$B265+P_Interval)*(RIGHT(UPPER(TRIM(D_Points!$B$5:$B$204)),7)="_BRIDGE")),IF(LEFT(UPPER(TRIM(D_Points!$B$5:$B$204)),2)="EX",1,IF(LEFT(UPPER(TRIM(D_Points!$B$5:$B$204)),2)="PR",2,2))),"")</f>
        <v/>
      </c>
      <c r="T265" s="181" t="str">
        <f>IFERROR(LOOKUP(2,1/((B_Drainage!$A$5:$A$204&lt;&gt;"")*(B_Drainage!$A$5:$A$204&lt;=$B265)*(B_Drainage!$B$5:$B$204&gt;$B265)*(B_Drainage!$E$5:$E$204&lt;&gt;"")),IF(B_Drainage!$E$5:$E$204="-","",1)),"")</f>
        <v/>
      </c>
      <c r="U265" s="181" t="str">
        <f>IFERROR(LOOKUP(2,1/((B_Drainage!$A$5:$A$204&lt;&gt;"")*(B_Drainage!$A$5:$A$204&lt;=$B265)*(B_Drainage!$B$5:$B$204&gt;$B265)*(B_Drainage!$E$5:$E$204&lt;&gt;"")),IF(B_Drainage!$E$5:$E$204="-","",B_Drainage!$E$5:$E$204)),"")</f>
        <v/>
      </c>
      <c r="V265" s="181" t="str">
        <f>IFERROR(LOOKUP(2,1/((B_Drainage!$A$5:$A$204&lt;&gt;"")*(B_Drainage!$A$5:$A$204&lt;=$B265)*(B_Drainage!$B$5:$B$204&gt;$B265)*(B_Drainage!$F$5:$F$204&lt;&gt;"")),IF(B_Drainage!$F$5:$F$204="-","",1)),"")</f>
        <v/>
      </c>
      <c r="W265" s="181" t="str">
        <f>IFERROR(LOOKUP(2,1/((B_Drainage!$A$5:$A$204&lt;&gt;"")*(B_Drainage!$A$5:$A$204&lt;=$B265)*(B_Drainage!$B$5:$B$204&gt;$B265)*(B_Drainage!$F$5:$F$204&lt;&gt;"")),IF(B_Drainage!$F$5:$F$204="-","",B_Drainage!$F$5:$F$204)),"")</f>
        <v/>
      </c>
      <c r="X265" s="181" t="str">
        <f>IFERROR(LOOKUP(2,1/((B_Drainage!$A$5:$A$204&lt;&gt;"")*(B_Drainage!$A$5:$A$204&lt;=$B265)*(B_Drainage!$B$5:$B$204&gt;$B265)*(B_Drainage!$G$5:$G$204&lt;&gt;"")),IF(UPPER(B_Drainage!$G$5:$G$204)="Y",1,"")),"")</f>
        <v/>
      </c>
      <c r="Y265" s="181" t="str">
        <f>IFERROR(LOOKUP(2,1/((B_Drainage!$A$5:$A$204&lt;&gt;"")*(B_Drainage!$A$5:$A$204&lt;=$B265)*(B_Drainage!$B$5:$B$204&gt;$B265)*(B_Drainage!$H$5:$H$204&lt;&gt;"")),IF(UPPER(B_Drainage!$H$5:$H$204)="Y",1,"")),"")</f>
        <v/>
      </c>
      <c r="Z265" s="181" t="str">
        <f>IFERROR(LOOKUP(2,1/((B_Drainage!$A$5:$A$204&lt;&gt;"")*(B_Drainage!$A$5:$A$204&lt;=$B265)*(B_Drainage!$B$5:$B$204&gt;$B265)*(B_Drainage!$I$5:$I$204&lt;&gt;"")),IF(UPPER(B_Drainage!$I$5:$I$204)="Y",1,"")),"")</f>
        <v/>
      </c>
      <c r="AA265" s="181" t="str">
        <f>IFERROR(LOOKUP(2,1/((B_Drainage!$A$5:$A$204&lt;&gt;"")*(B_Drainage!$A$5:$A$204&lt;=$B265)*(B_Drainage!$B$5:$B$204&gt;$B265)*(B_Drainage!$J$5:$J$204&lt;&gt;"")),IF(UPPER(B_Drainage!$J$5:$J$204)="Y",1,"")),"")</f>
        <v/>
      </c>
      <c r="AB265" s="182" t="str">
        <f>IFERROR(LOOKUP(2,1/((B_Drainage!$A$5:$A$204&lt;&gt;"")*(B_Drainage!$A$5:$A$204&lt;=$B265)*(B_Drainage!$B$5:$B$204&gt;$B265)*(B_Drainage!$K$5:$K$204&lt;&gt;"")),IF(B_Drainage!$K$5:$K$204="-","",B_Drainage!$K$5:$K$204)),"")</f>
        <v/>
      </c>
      <c r="AC265" s="182" t="str">
        <f>IFERROR(LOOKUP(2,1/((B_Drainage!$A$5:$A$204&lt;&gt;"")*(B_Drainage!$A$5:$A$204&lt;=$B265)*(B_Drainage!$B$5:$B$204&gt;$B265)*(B_Drainage!$L$5:$L$204&lt;&gt;"")),IF(B_Drainage!$L$5:$L$204="-","",B_Drainage!$L$5:$L$204)),"")</f>
        <v/>
      </c>
      <c r="AD265" s="182" t="str">
        <f>IFERROR(LOOKUP(2,1/((D_Points!$A$5:$A$204&lt;&gt;"")*(D_Points!$A$5:$A$204&gt;=$B265)*(D_Points!$A$5:$A$204&lt;$B265+P_Interval)*(UPPER(TRIM(D_Points!$B$5:$B$204))="TURNOUT_L")*(D_Points!$H$5:$H$204&lt;&gt;"")),D_Points!$H$5:$H$204),"")</f>
        <v/>
      </c>
      <c r="AE265" s="182" t="str">
        <f>IFERROR(LOOKUP(2,1/((D_Points!$A$5:$A$204&lt;&gt;"")*(D_Points!$A$5:$A$204&gt;=$B265)*(D_Points!$A$5:$A$204&lt;$B265+P_Interval)*(UPPER(TRIM(D_Points!$B$5:$B$204))="TURNOUT_R")*(D_Points!$H$5:$H$204&lt;&gt;"")),D_Points!$H$5:$H$204),"")</f>
        <v/>
      </c>
      <c r="AF265" s="181" t="str">
        <f>IFERROR(LOOKUP(2,1/((B_Drainage!$A$5:$A$204&lt;&gt;"")*(B_Drainage!$A$5:$A$204&lt;=$B265)*(B_Drainage!$B$5:$B$204&gt;$B265)*(B_Drainage!$M$5:$M$204&lt;&gt;"")),IF(UPPER(B_Drainage!$M$5:$M$204)="Y",1,"")),"")</f>
        <v/>
      </c>
      <c r="AG265" s="181" t="str">
        <f>IFERROR(LOOKUP(2,1/((B_Drainage!$A$5:$A$204&lt;&gt;"")*(B_Drainage!$A$5:$A$204&lt;=$B265)*(B_Drainage!$B$5:$B$204&gt;$B265)*(B_Drainage!$N$5:$N$204&lt;&gt;"")),IF(UPPER(B_Drainage!$N$5:$N$204)="Y",1,"")),"")</f>
        <v/>
      </c>
      <c r="AH265" s="181" t="str">
        <f t="shared" si="32"/>
        <v/>
      </c>
      <c r="AI265" s="181" t="str">
        <f t="shared" si="33"/>
        <v/>
      </c>
      <c r="AJ265" s="181" t="str">
        <f t="shared" si="34"/>
        <v/>
      </c>
      <c r="AK265" s="181" t="str">
        <f t="shared" si="35"/>
        <v/>
      </c>
      <c r="AL265" s="181" t="str">
        <f t="shared" si="36"/>
        <v/>
      </c>
      <c r="AM265" s="181" t="str">
        <f t="shared" si="37"/>
        <v/>
      </c>
      <c r="AN265" s="181" t="str">
        <f t="shared" si="38"/>
        <v/>
      </c>
      <c r="AO265" s="192" t="str">
        <f t="shared" si="39"/>
        <v/>
      </c>
      <c r="AQ265" t="str">
        <f>IFERROR(LOOKUP(2,1/((C_Pavement!$A$5:$A$204&lt;&gt;"")*(C_Pavement!$A$5:$A$204&lt;=$B265)*(C_Pavement!$B$5:$B$204&gt;$B265)*(C_Pavement!$C$5:$C$204&lt;&gt;"")),ROW(C_Pavement!$C$5:$C$204)-4),"")</f>
        <v/>
      </c>
      <c r="AR265" t="str">
        <f>IF($AQ265="","",UPPER(TRIM(INDEX(C_Pavement!$C$5:$C$204,$AQ265))))</f>
        <v/>
      </c>
      <c r="AS265" t="str">
        <f>IF($AR265="","",IFERROR(MATCH($AR265,E_Rules!$A$5:$A$9,0),""))</f>
        <v/>
      </c>
      <c r="AT265" t="str">
        <f>IF($AQ265="","",IF(INDEX(C_Pavement!$D$5:$D$204,$AQ265)&lt;&gt;"",UPPER(TRIM(INDEX(C_Pavement!$D$5:$D$204,$AQ265))),IF($AS265="","",INDEX(E_Rules!$C$5:$C$9,$AS265))))</f>
        <v/>
      </c>
      <c r="AU265" t="str">
        <f>IF($AQ265="","",IF(INDEX(C_Pavement!$E$5:$E$204,$AQ265)&lt;&gt;"",IF(INDEX(C_Pavement!$E$5:$E$204,$AQ265)="-","",INDEX(C_Pavement!$E$5:$E$204,$AQ265)),IF($AS265="","",INDEX(E_Rules!$D$5:$D$9,$AS265))))</f>
        <v/>
      </c>
      <c r="AV265" t="str">
        <f>IF($AQ265="","",IF(INDEX(C_Pavement!$F$5:$F$204,$AQ265)&lt;&gt;"",IF(INDEX(C_Pavement!$F$5:$F$204,$AQ265)="-","",INDEX(C_Pavement!$F$5:$F$204,$AQ265)),IF($AS265="","",INDEX(E_Rules!$E$5:$E$9,$AS265))))</f>
        <v/>
      </c>
      <c r="AW265" t="str">
        <f>IF($AQ265="","",IF(INDEX(C_Pavement!$G$5:$G$204,$AQ265)&lt;&gt;"",IF(INDEX(C_Pavement!$G$5:$G$204,$AQ265)="-","",INDEX(C_Pavement!$G$5:$G$204,$AQ265)),IF($AS265="","",INDEX(E_Rules!$F$5:$F$9,$AS265))))</f>
        <v/>
      </c>
      <c r="AX265" t="str">
        <f>IF($AQ265="","",IF(INDEX(C_Pavement!$H$5:$H$204,$AQ265)&lt;&gt;"",IF(INDEX(C_Pavement!$H$5:$H$204,$AQ265)="-","",INDEX(C_Pavement!$H$5:$H$204,$AQ265)),IF($AS265="","",INDEX(E_Rules!$G$5:$G$9,$AS265))))</f>
        <v/>
      </c>
      <c r="AY265" t="str">
        <f>IF($AQ265="","",IF(INDEX(C_Pavement!$I$5:$I$204,$AQ265)&lt;&gt;"",IF(INDEX(C_Pavement!$I$5:$I$204,$AQ265)="-","",INDEX(C_Pavement!$I$5:$I$204,$AQ265)),IF($AS265="","",INDEX(E_Rules!$H$5:$H$9,$AS265))))</f>
        <v/>
      </c>
    </row>
    <row r="266" spans="1:51" ht="15.75" customHeight="1" x14ac:dyDescent="0.3">
      <c r="A266" s="189">
        <v>261</v>
      </c>
      <c r="B266" s="180">
        <v>13000</v>
      </c>
      <c r="C266" s="180" t="s">
        <v>572</v>
      </c>
      <c r="D266" s="181" t="str">
        <f>IFERROR(LOOKUP(2,1/((A_Corridor!$A$5:$A$204&lt;&gt;"")*(A_Corridor!$A$5:$A$204&lt;=$B266)*(A_Corridor!$B$5:$B$204&gt;$B266)*(A_Corridor!$C$5:$C$204&lt;&gt;"")),IF(UPPER(A_Corridor!$C$5:$C$204)="Y",1,"")),"")</f>
        <v/>
      </c>
      <c r="E266" s="181" t="str">
        <f>IFERROR(LOOKUP(2,1/((A_Corridor!$A$5:$A$204&lt;&gt;"")*(A_Corridor!$A$5:$A$204&lt;=$B266)*(A_Corridor!$B$5:$B$204&gt;$B266)*(A_Corridor!$D$5:$D$204&lt;&gt;"")),IF(A_Corridor!$D$5:$D$204="-","",UPPER(A_Corridor!$D$5:$D$204))),"")</f>
        <v/>
      </c>
      <c r="F266" s="181" t="str">
        <f>IFERROR(LOOKUP(2,1/((A_Corridor!$A$5:$A$204&lt;&gt;"")*(A_Corridor!$A$5:$A$204&lt;=$B266)*(A_Corridor!$B$5:$B$204&gt;$B266)*(A_Corridor!$E$5:$E$204&lt;&gt;"")),IF(A_Corridor!$E$5:$E$204="-","",1)),"")</f>
        <v/>
      </c>
      <c r="G266" s="182" t="str">
        <f>IFERROR(LOOKUP(2,1/((A_Corridor!$A$5:$A$204&lt;&gt;"")*(A_Corridor!$A$5:$A$204&lt;=$B266)*(A_Corridor!$B$5:$B$204&gt;$B266)*(A_Corridor!$E$5:$E$204&lt;&gt;"")),IF(A_Corridor!$E$5:$E$204="-","",A_Corridor!$E$5:$E$204)),"")</f>
        <v/>
      </c>
      <c r="H266" s="182" t="str">
        <f>IFERROR(LOOKUP(2,1/((D_Points!$A$5:$A$204&lt;&gt;"")*(D_Points!$A$5:$A$204&gt;=$B266)*(D_Points!$A$5:$A$204&lt;$B266+P_Interval)*(UPPER(TRIM(D_Points!$B$5:$B$204))="GULLY")*(D_Points!$H$5:$H$204&lt;&gt;"")),D_Points!$H$5:$H$204),"")</f>
        <v/>
      </c>
      <c r="I266" s="181" t="str">
        <f>IFERROR(LOOKUP(2,1/((A_Corridor!$A$5:$A$204&lt;&gt;"")*(A_Corridor!$A$5:$A$204&lt;=$B266)*(A_Corridor!$B$5:$B$204&gt;$B266)*(A_Corridor!$F$5:$F$204&lt;&gt;"")),IF(A_Corridor!$F$5:$F$204="-","",1)),"")</f>
        <v/>
      </c>
      <c r="J266" s="182" t="str">
        <f>IFERROR(LOOKUP(2,1/((A_Corridor!$A$5:$A$204&lt;&gt;"")*(A_Corridor!$A$5:$A$204&lt;=$B266)*(A_Corridor!$B$5:$B$204&gt;$B266)*(A_Corridor!$F$5:$F$204&lt;&gt;"")),IF(A_Corridor!$F$5:$F$204="-","",A_Corridor!$F$5:$F$204)),"")</f>
        <v/>
      </c>
      <c r="K266" s="182" t="str">
        <f>IFERROR(LOOKUP(2,1/((A_Corridor!$A$5:$A$204&lt;&gt;"")*(A_Corridor!$A$5:$A$204&lt;=$B266)*(A_Corridor!$B$5:$B$204&gt;$B266)*(A_Corridor!$G$5:$G$204&lt;&gt;"")),IF(A_Corridor!$G$5:$G$204="-","",A_Corridor!$G$5:$G$204)),"")</f>
        <v/>
      </c>
      <c r="L266" s="181" t="str">
        <f>IFERROR(LOOKUP(2,1/((A_Corridor!$A$5:$A$204&lt;&gt;"")*(A_Corridor!$A$5:$A$204&lt;=$B266)*(A_Corridor!$B$5:$B$204&gt;$B266)*(A_Corridor!$H$5:$H$204&lt;&gt;"")),IF(A_Corridor!$H$5:$H$204="-","",1)),"")</f>
        <v/>
      </c>
      <c r="M266" s="182" t="str">
        <f>IFERROR(LOOKUP(2,1/((A_Corridor!$A$5:$A$204&lt;&gt;"")*(A_Corridor!$A$5:$A$204&lt;=$B266)*(A_Corridor!$B$5:$B$204&gt;$B266)*(A_Corridor!$H$5:$H$204&lt;&gt;"")),IF(A_Corridor!$H$5:$H$204="-","",A_Corridor!$H$5:$H$204)),"")</f>
        <v/>
      </c>
      <c r="N266" s="182" t="str">
        <f>IFERROR(LOOKUP(2,1/((A_Corridor!$A$5:$A$204&lt;&gt;"")*(A_Corridor!$A$5:$A$204&lt;=$B266)*(A_Corridor!$B$5:$B$204&gt;$B266)*(A_Corridor!$I$5:$I$204&lt;&gt;"")),IF(A_Corridor!$I$5:$I$204="-","",A_Corridor!$I$5:$I$204)),"")</f>
        <v/>
      </c>
      <c r="O266" s="182" t="str">
        <f>IFERROR(LOOKUP(2,1/((D_Points!$A$5:$A$204&lt;&gt;"")*(D_Points!$A$5:$A$204&gt;=$B266)*(D_Points!$A$5:$A$204&lt;$B266+P_Interval)*(UPPER(TRIM(D_Points!$B$5:$B$204))="PITCHING")*(D_Points!$H$5:$H$204&lt;&gt;"")),D_Points!$H$5:$H$204),"")</f>
        <v/>
      </c>
      <c r="P266" s="181" t="str">
        <f>IFERROR(LOOKUP(2,1/((B_Drainage!$A$5:$A$204&lt;&gt;"")*(B_Drainage!$A$5:$A$204&lt;=$B266)*(B_Drainage!$B$5:$B$204&gt;$B266)*(B_Drainage!$C$5:$C$204&lt;&gt;"")),IF(B_Drainage!$C$5:$C$204="-","",UPPER(B_Drainage!$C$5:$C$204))),"")</f>
        <v/>
      </c>
      <c r="Q266" s="181" t="str">
        <f>IFERROR(LOOKUP(2,1/((B_Drainage!$A$5:$A$204&lt;&gt;"")*(B_Drainage!$A$5:$A$204&lt;=$B266)*(B_Drainage!$B$5:$B$204&gt;$B266)*(B_Drainage!$D$5:$D$204&lt;&gt;"")),IF(B_Drainage!$D$5:$D$204="-","",UPPER(B_Drainage!$D$5:$D$204))),"")</f>
        <v/>
      </c>
      <c r="R266" s="182" t="str">
        <f>IFERROR(LOOKUP(2,1/((D_Points!$A$5:$A$204&lt;&gt;"")*(D_Points!$A$5:$A$204&gt;=$B266)*(D_Points!$A$5:$A$204&lt;$B266+P_Interval)*(RIGHT(UPPER(TRIM(D_Points!$B$5:$B$204)),8)="_CULVERT")),IF(LEFT(UPPER(TRIM(D_Points!$B$5:$B$204)),2)="EX",1,IF(LEFT(UPPER(TRIM(D_Points!$B$5:$B$204)),2)="PR",2,3))),"")</f>
        <v/>
      </c>
      <c r="S266" s="182" t="str">
        <f>IFERROR(LOOKUP(2,1/((D_Points!$A$5:$A$204&lt;&gt;"")*(D_Points!$A$5:$A$204&gt;=$B266)*(D_Points!$A$5:$A$204&lt;$B266+P_Interval)*(RIGHT(UPPER(TRIM(D_Points!$B$5:$B$204)),7)="_BRIDGE")),IF(LEFT(UPPER(TRIM(D_Points!$B$5:$B$204)),2)="EX",1,IF(LEFT(UPPER(TRIM(D_Points!$B$5:$B$204)),2)="PR",2,2))),"")</f>
        <v/>
      </c>
      <c r="T266" s="181" t="str">
        <f>IFERROR(LOOKUP(2,1/((B_Drainage!$A$5:$A$204&lt;&gt;"")*(B_Drainage!$A$5:$A$204&lt;=$B266)*(B_Drainage!$B$5:$B$204&gt;$B266)*(B_Drainage!$E$5:$E$204&lt;&gt;"")),IF(B_Drainage!$E$5:$E$204="-","",1)),"")</f>
        <v/>
      </c>
      <c r="U266" s="181" t="str">
        <f>IFERROR(LOOKUP(2,1/((B_Drainage!$A$5:$A$204&lt;&gt;"")*(B_Drainage!$A$5:$A$204&lt;=$B266)*(B_Drainage!$B$5:$B$204&gt;$B266)*(B_Drainage!$E$5:$E$204&lt;&gt;"")),IF(B_Drainage!$E$5:$E$204="-","",B_Drainage!$E$5:$E$204)),"")</f>
        <v/>
      </c>
      <c r="V266" s="181" t="str">
        <f>IFERROR(LOOKUP(2,1/((B_Drainage!$A$5:$A$204&lt;&gt;"")*(B_Drainage!$A$5:$A$204&lt;=$B266)*(B_Drainage!$B$5:$B$204&gt;$B266)*(B_Drainage!$F$5:$F$204&lt;&gt;"")),IF(B_Drainage!$F$5:$F$204="-","",1)),"")</f>
        <v/>
      </c>
      <c r="W266" s="181" t="str">
        <f>IFERROR(LOOKUP(2,1/((B_Drainage!$A$5:$A$204&lt;&gt;"")*(B_Drainage!$A$5:$A$204&lt;=$B266)*(B_Drainage!$B$5:$B$204&gt;$B266)*(B_Drainage!$F$5:$F$204&lt;&gt;"")),IF(B_Drainage!$F$5:$F$204="-","",B_Drainage!$F$5:$F$204)),"")</f>
        <v/>
      </c>
      <c r="X266" s="181" t="str">
        <f>IFERROR(LOOKUP(2,1/((B_Drainage!$A$5:$A$204&lt;&gt;"")*(B_Drainage!$A$5:$A$204&lt;=$B266)*(B_Drainage!$B$5:$B$204&gt;$B266)*(B_Drainage!$G$5:$G$204&lt;&gt;"")),IF(UPPER(B_Drainage!$G$5:$G$204)="Y",1,"")),"")</f>
        <v/>
      </c>
      <c r="Y266" s="181" t="str">
        <f>IFERROR(LOOKUP(2,1/((B_Drainage!$A$5:$A$204&lt;&gt;"")*(B_Drainage!$A$5:$A$204&lt;=$B266)*(B_Drainage!$B$5:$B$204&gt;$B266)*(B_Drainage!$H$5:$H$204&lt;&gt;"")),IF(UPPER(B_Drainage!$H$5:$H$204)="Y",1,"")),"")</f>
        <v/>
      </c>
      <c r="Z266" s="181" t="str">
        <f>IFERROR(LOOKUP(2,1/((B_Drainage!$A$5:$A$204&lt;&gt;"")*(B_Drainage!$A$5:$A$204&lt;=$B266)*(B_Drainage!$B$5:$B$204&gt;$B266)*(B_Drainage!$I$5:$I$204&lt;&gt;"")),IF(UPPER(B_Drainage!$I$5:$I$204)="Y",1,"")),"")</f>
        <v/>
      </c>
      <c r="AA266" s="181" t="str">
        <f>IFERROR(LOOKUP(2,1/((B_Drainage!$A$5:$A$204&lt;&gt;"")*(B_Drainage!$A$5:$A$204&lt;=$B266)*(B_Drainage!$B$5:$B$204&gt;$B266)*(B_Drainage!$J$5:$J$204&lt;&gt;"")),IF(UPPER(B_Drainage!$J$5:$J$204)="Y",1,"")),"")</f>
        <v/>
      </c>
      <c r="AB266" s="182" t="str">
        <f>IFERROR(LOOKUP(2,1/((B_Drainage!$A$5:$A$204&lt;&gt;"")*(B_Drainage!$A$5:$A$204&lt;=$B266)*(B_Drainage!$B$5:$B$204&gt;$B266)*(B_Drainage!$K$5:$K$204&lt;&gt;"")),IF(B_Drainage!$K$5:$K$204="-","",B_Drainage!$K$5:$K$204)),"")</f>
        <v/>
      </c>
      <c r="AC266" s="182" t="str">
        <f>IFERROR(LOOKUP(2,1/((B_Drainage!$A$5:$A$204&lt;&gt;"")*(B_Drainage!$A$5:$A$204&lt;=$B266)*(B_Drainage!$B$5:$B$204&gt;$B266)*(B_Drainage!$L$5:$L$204&lt;&gt;"")),IF(B_Drainage!$L$5:$L$204="-","",B_Drainage!$L$5:$L$204)),"")</f>
        <v/>
      </c>
      <c r="AD266" s="182" t="str">
        <f>IFERROR(LOOKUP(2,1/((D_Points!$A$5:$A$204&lt;&gt;"")*(D_Points!$A$5:$A$204&gt;=$B266)*(D_Points!$A$5:$A$204&lt;$B266+P_Interval)*(UPPER(TRIM(D_Points!$B$5:$B$204))="TURNOUT_L")*(D_Points!$H$5:$H$204&lt;&gt;"")),D_Points!$H$5:$H$204),"")</f>
        <v/>
      </c>
      <c r="AE266" s="182" t="str">
        <f>IFERROR(LOOKUP(2,1/((D_Points!$A$5:$A$204&lt;&gt;"")*(D_Points!$A$5:$A$204&gt;=$B266)*(D_Points!$A$5:$A$204&lt;$B266+P_Interval)*(UPPER(TRIM(D_Points!$B$5:$B$204))="TURNOUT_R")*(D_Points!$H$5:$H$204&lt;&gt;"")),D_Points!$H$5:$H$204),"")</f>
        <v/>
      </c>
      <c r="AF266" s="181" t="str">
        <f>IFERROR(LOOKUP(2,1/((B_Drainage!$A$5:$A$204&lt;&gt;"")*(B_Drainage!$A$5:$A$204&lt;=$B266)*(B_Drainage!$B$5:$B$204&gt;$B266)*(B_Drainage!$M$5:$M$204&lt;&gt;"")),IF(UPPER(B_Drainage!$M$5:$M$204)="Y",1,"")),"")</f>
        <v/>
      </c>
      <c r="AG266" s="181" t="str">
        <f>IFERROR(LOOKUP(2,1/((B_Drainage!$A$5:$A$204&lt;&gt;"")*(B_Drainage!$A$5:$A$204&lt;=$B266)*(B_Drainage!$B$5:$B$204&gt;$B266)*(B_Drainage!$N$5:$N$204&lt;&gt;"")),IF(UPPER(B_Drainage!$N$5:$N$204)="Y",1,"")),"")</f>
        <v/>
      </c>
      <c r="AH266" s="181" t="str">
        <f t="shared" si="32"/>
        <v/>
      </c>
      <c r="AI266" s="181" t="str">
        <f t="shared" si="33"/>
        <v/>
      </c>
      <c r="AJ266" s="181" t="str">
        <f t="shared" si="34"/>
        <v/>
      </c>
      <c r="AK266" s="181" t="str">
        <f t="shared" si="35"/>
        <v/>
      </c>
      <c r="AL266" s="181" t="str">
        <f t="shared" si="36"/>
        <v/>
      </c>
      <c r="AM266" s="181" t="str">
        <f t="shared" si="37"/>
        <v/>
      </c>
      <c r="AN266" s="181" t="str">
        <f t="shared" si="38"/>
        <v/>
      </c>
      <c r="AO266" s="192" t="str">
        <f t="shared" si="39"/>
        <v/>
      </c>
      <c r="AQ266" t="str">
        <f>IFERROR(LOOKUP(2,1/((C_Pavement!$A$5:$A$204&lt;&gt;"")*(C_Pavement!$A$5:$A$204&lt;=$B266)*(C_Pavement!$B$5:$B$204&gt;$B266)*(C_Pavement!$C$5:$C$204&lt;&gt;"")),ROW(C_Pavement!$C$5:$C$204)-4),"")</f>
        <v/>
      </c>
      <c r="AR266" t="str">
        <f>IF($AQ266="","",UPPER(TRIM(INDEX(C_Pavement!$C$5:$C$204,$AQ266))))</f>
        <v/>
      </c>
      <c r="AS266" t="str">
        <f>IF($AR266="","",IFERROR(MATCH($AR266,E_Rules!$A$5:$A$9,0),""))</f>
        <v/>
      </c>
      <c r="AT266" t="str">
        <f>IF($AQ266="","",IF(INDEX(C_Pavement!$D$5:$D$204,$AQ266)&lt;&gt;"",UPPER(TRIM(INDEX(C_Pavement!$D$5:$D$204,$AQ266))),IF($AS266="","",INDEX(E_Rules!$C$5:$C$9,$AS266))))</f>
        <v/>
      </c>
      <c r="AU266" t="str">
        <f>IF($AQ266="","",IF(INDEX(C_Pavement!$E$5:$E$204,$AQ266)&lt;&gt;"",IF(INDEX(C_Pavement!$E$5:$E$204,$AQ266)="-","",INDEX(C_Pavement!$E$5:$E$204,$AQ266)),IF($AS266="","",INDEX(E_Rules!$D$5:$D$9,$AS266))))</f>
        <v/>
      </c>
      <c r="AV266" t="str">
        <f>IF($AQ266="","",IF(INDEX(C_Pavement!$F$5:$F$204,$AQ266)&lt;&gt;"",IF(INDEX(C_Pavement!$F$5:$F$204,$AQ266)="-","",INDEX(C_Pavement!$F$5:$F$204,$AQ266)),IF($AS266="","",INDEX(E_Rules!$E$5:$E$9,$AS266))))</f>
        <v/>
      </c>
      <c r="AW266" t="str">
        <f>IF($AQ266="","",IF(INDEX(C_Pavement!$G$5:$G$204,$AQ266)&lt;&gt;"",IF(INDEX(C_Pavement!$G$5:$G$204,$AQ266)="-","",INDEX(C_Pavement!$G$5:$G$204,$AQ266)),IF($AS266="","",INDEX(E_Rules!$F$5:$F$9,$AS266))))</f>
        <v/>
      </c>
      <c r="AX266" t="str">
        <f>IF($AQ266="","",IF(INDEX(C_Pavement!$H$5:$H$204,$AQ266)&lt;&gt;"",IF(INDEX(C_Pavement!$H$5:$H$204,$AQ266)="-","",INDEX(C_Pavement!$H$5:$H$204,$AQ266)),IF($AS266="","",INDEX(E_Rules!$G$5:$G$9,$AS266))))</f>
        <v/>
      </c>
      <c r="AY266" t="str">
        <f>IF($AQ266="","",IF(INDEX(C_Pavement!$I$5:$I$204,$AQ266)&lt;&gt;"",IF(INDEX(C_Pavement!$I$5:$I$204,$AQ266)="-","",INDEX(C_Pavement!$I$5:$I$204,$AQ266)),IF($AS266="","",INDEX(E_Rules!$H$5:$H$9,$AS266))))</f>
        <v/>
      </c>
    </row>
    <row r="267" spans="1:51" ht="15.75" customHeight="1" x14ac:dyDescent="0.3">
      <c r="A267" s="189">
        <v>262</v>
      </c>
      <c r="B267" s="180">
        <v>13050</v>
      </c>
      <c r="C267" s="180" t="s">
        <v>573</v>
      </c>
      <c r="D267" s="181" t="str">
        <f>IFERROR(LOOKUP(2,1/((A_Corridor!$A$5:$A$204&lt;&gt;"")*(A_Corridor!$A$5:$A$204&lt;=$B267)*(A_Corridor!$B$5:$B$204&gt;$B267)*(A_Corridor!$C$5:$C$204&lt;&gt;"")),IF(UPPER(A_Corridor!$C$5:$C$204)="Y",1,"")),"")</f>
        <v/>
      </c>
      <c r="E267" s="181" t="str">
        <f>IFERROR(LOOKUP(2,1/((A_Corridor!$A$5:$A$204&lt;&gt;"")*(A_Corridor!$A$5:$A$204&lt;=$B267)*(A_Corridor!$B$5:$B$204&gt;$B267)*(A_Corridor!$D$5:$D$204&lt;&gt;"")),IF(A_Corridor!$D$5:$D$204="-","",UPPER(A_Corridor!$D$5:$D$204))),"")</f>
        <v/>
      </c>
      <c r="F267" s="181" t="str">
        <f>IFERROR(LOOKUP(2,1/((A_Corridor!$A$5:$A$204&lt;&gt;"")*(A_Corridor!$A$5:$A$204&lt;=$B267)*(A_Corridor!$B$5:$B$204&gt;$B267)*(A_Corridor!$E$5:$E$204&lt;&gt;"")),IF(A_Corridor!$E$5:$E$204="-","",1)),"")</f>
        <v/>
      </c>
      <c r="G267" s="182" t="str">
        <f>IFERROR(LOOKUP(2,1/((A_Corridor!$A$5:$A$204&lt;&gt;"")*(A_Corridor!$A$5:$A$204&lt;=$B267)*(A_Corridor!$B$5:$B$204&gt;$B267)*(A_Corridor!$E$5:$E$204&lt;&gt;"")),IF(A_Corridor!$E$5:$E$204="-","",A_Corridor!$E$5:$E$204)),"")</f>
        <v/>
      </c>
      <c r="H267" s="182" t="str">
        <f>IFERROR(LOOKUP(2,1/((D_Points!$A$5:$A$204&lt;&gt;"")*(D_Points!$A$5:$A$204&gt;=$B267)*(D_Points!$A$5:$A$204&lt;$B267+P_Interval)*(UPPER(TRIM(D_Points!$B$5:$B$204))="GULLY")*(D_Points!$H$5:$H$204&lt;&gt;"")),D_Points!$H$5:$H$204),"")</f>
        <v/>
      </c>
      <c r="I267" s="181" t="str">
        <f>IFERROR(LOOKUP(2,1/((A_Corridor!$A$5:$A$204&lt;&gt;"")*(A_Corridor!$A$5:$A$204&lt;=$B267)*(A_Corridor!$B$5:$B$204&gt;$B267)*(A_Corridor!$F$5:$F$204&lt;&gt;"")),IF(A_Corridor!$F$5:$F$204="-","",1)),"")</f>
        <v/>
      </c>
      <c r="J267" s="182" t="str">
        <f>IFERROR(LOOKUP(2,1/((A_Corridor!$A$5:$A$204&lt;&gt;"")*(A_Corridor!$A$5:$A$204&lt;=$B267)*(A_Corridor!$B$5:$B$204&gt;$B267)*(A_Corridor!$F$5:$F$204&lt;&gt;"")),IF(A_Corridor!$F$5:$F$204="-","",A_Corridor!$F$5:$F$204)),"")</f>
        <v/>
      </c>
      <c r="K267" s="182" t="str">
        <f>IFERROR(LOOKUP(2,1/((A_Corridor!$A$5:$A$204&lt;&gt;"")*(A_Corridor!$A$5:$A$204&lt;=$B267)*(A_Corridor!$B$5:$B$204&gt;$B267)*(A_Corridor!$G$5:$G$204&lt;&gt;"")),IF(A_Corridor!$G$5:$G$204="-","",A_Corridor!$G$5:$G$204)),"")</f>
        <v/>
      </c>
      <c r="L267" s="181" t="str">
        <f>IFERROR(LOOKUP(2,1/((A_Corridor!$A$5:$A$204&lt;&gt;"")*(A_Corridor!$A$5:$A$204&lt;=$B267)*(A_Corridor!$B$5:$B$204&gt;$B267)*(A_Corridor!$H$5:$H$204&lt;&gt;"")),IF(A_Corridor!$H$5:$H$204="-","",1)),"")</f>
        <v/>
      </c>
      <c r="M267" s="182" t="str">
        <f>IFERROR(LOOKUP(2,1/((A_Corridor!$A$5:$A$204&lt;&gt;"")*(A_Corridor!$A$5:$A$204&lt;=$B267)*(A_Corridor!$B$5:$B$204&gt;$B267)*(A_Corridor!$H$5:$H$204&lt;&gt;"")),IF(A_Corridor!$H$5:$H$204="-","",A_Corridor!$H$5:$H$204)),"")</f>
        <v/>
      </c>
      <c r="N267" s="182" t="str">
        <f>IFERROR(LOOKUP(2,1/((A_Corridor!$A$5:$A$204&lt;&gt;"")*(A_Corridor!$A$5:$A$204&lt;=$B267)*(A_Corridor!$B$5:$B$204&gt;$B267)*(A_Corridor!$I$5:$I$204&lt;&gt;"")),IF(A_Corridor!$I$5:$I$204="-","",A_Corridor!$I$5:$I$204)),"")</f>
        <v/>
      </c>
      <c r="O267" s="182" t="str">
        <f>IFERROR(LOOKUP(2,1/((D_Points!$A$5:$A$204&lt;&gt;"")*(D_Points!$A$5:$A$204&gt;=$B267)*(D_Points!$A$5:$A$204&lt;$B267+P_Interval)*(UPPER(TRIM(D_Points!$B$5:$B$204))="PITCHING")*(D_Points!$H$5:$H$204&lt;&gt;"")),D_Points!$H$5:$H$204),"")</f>
        <v/>
      </c>
      <c r="P267" s="181" t="str">
        <f>IFERROR(LOOKUP(2,1/((B_Drainage!$A$5:$A$204&lt;&gt;"")*(B_Drainage!$A$5:$A$204&lt;=$B267)*(B_Drainage!$B$5:$B$204&gt;$B267)*(B_Drainage!$C$5:$C$204&lt;&gt;"")),IF(B_Drainage!$C$5:$C$204="-","",UPPER(B_Drainage!$C$5:$C$204))),"")</f>
        <v/>
      </c>
      <c r="Q267" s="181" t="str">
        <f>IFERROR(LOOKUP(2,1/((B_Drainage!$A$5:$A$204&lt;&gt;"")*(B_Drainage!$A$5:$A$204&lt;=$B267)*(B_Drainage!$B$5:$B$204&gt;$B267)*(B_Drainage!$D$5:$D$204&lt;&gt;"")),IF(B_Drainage!$D$5:$D$204="-","",UPPER(B_Drainage!$D$5:$D$204))),"")</f>
        <v/>
      </c>
      <c r="R267" s="182" t="str">
        <f>IFERROR(LOOKUP(2,1/((D_Points!$A$5:$A$204&lt;&gt;"")*(D_Points!$A$5:$A$204&gt;=$B267)*(D_Points!$A$5:$A$204&lt;$B267+P_Interval)*(RIGHT(UPPER(TRIM(D_Points!$B$5:$B$204)),8)="_CULVERT")),IF(LEFT(UPPER(TRIM(D_Points!$B$5:$B$204)),2)="EX",1,IF(LEFT(UPPER(TRIM(D_Points!$B$5:$B$204)),2)="PR",2,3))),"")</f>
        <v/>
      </c>
      <c r="S267" s="182" t="str">
        <f>IFERROR(LOOKUP(2,1/((D_Points!$A$5:$A$204&lt;&gt;"")*(D_Points!$A$5:$A$204&gt;=$B267)*(D_Points!$A$5:$A$204&lt;$B267+P_Interval)*(RIGHT(UPPER(TRIM(D_Points!$B$5:$B$204)),7)="_BRIDGE")),IF(LEFT(UPPER(TRIM(D_Points!$B$5:$B$204)),2)="EX",1,IF(LEFT(UPPER(TRIM(D_Points!$B$5:$B$204)),2)="PR",2,2))),"")</f>
        <v/>
      </c>
      <c r="T267" s="181" t="str">
        <f>IFERROR(LOOKUP(2,1/((B_Drainage!$A$5:$A$204&lt;&gt;"")*(B_Drainage!$A$5:$A$204&lt;=$B267)*(B_Drainage!$B$5:$B$204&gt;$B267)*(B_Drainage!$E$5:$E$204&lt;&gt;"")),IF(B_Drainage!$E$5:$E$204="-","",1)),"")</f>
        <v/>
      </c>
      <c r="U267" s="181" t="str">
        <f>IFERROR(LOOKUP(2,1/((B_Drainage!$A$5:$A$204&lt;&gt;"")*(B_Drainage!$A$5:$A$204&lt;=$B267)*(B_Drainage!$B$5:$B$204&gt;$B267)*(B_Drainage!$E$5:$E$204&lt;&gt;"")),IF(B_Drainage!$E$5:$E$204="-","",B_Drainage!$E$5:$E$204)),"")</f>
        <v/>
      </c>
      <c r="V267" s="181" t="str">
        <f>IFERROR(LOOKUP(2,1/((B_Drainage!$A$5:$A$204&lt;&gt;"")*(B_Drainage!$A$5:$A$204&lt;=$B267)*(B_Drainage!$B$5:$B$204&gt;$B267)*(B_Drainage!$F$5:$F$204&lt;&gt;"")),IF(B_Drainage!$F$5:$F$204="-","",1)),"")</f>
        <v/>
      </c>
      <c r="W267" s="181" t="str">
        <f>IFERROR(LOOKUP(2,1/((B_Drainage!$A$5:$A$204&lt;&gt;"")*(B_Drainage!$A$5:$A$204&lt;=$B267)*(B_Drainage!$B$5:$B$204&gt;$B267)*(B_Drainage!$F$5:$F$204&lt;&gt;"")),IF(B_Drainage!$F$5:$F$204="-","",B_Drainage!$F$5:$F$204)),"")</f>
        <v/>
      </c>
      <c r="X267" s="181" t="str">
        <f>IFERROR(LOOKUP(2,1/((B_Drainage!$A$5:$A$204&lt;&gt;"")*(B_Drainage!$A$5:$A$204&lt;=$B267)*(B_Drainage!$B$5:$B$204&gt;$B267)*(B_Drainage!$G$5:$G$204&lt;&gt;"")),IF(UPPER(B_Drainage!$G$5:$G$204)="Y",1,"")),"")</f>
        <v/>
      </c>
      <c r="Y267" s="181" t="str">
        <f>IFERROR(LOOKUP(2,1/((B_Drainage!$A$5:$A$204&lt;&gt;"")*(B_Drainage!$A$5:$A$204&lt;=$B267)*(B_Drainage!$B$5:$B$204&gt;$B267)*(B_Drainage!$H$5:$H$204&lt;&gt;"")),IF(UPPER(B_Drainage!$H$5:$H$204)="Y",1,"")),"")</f>
        <v/>
      </c>
      <c r="Z267" s="181" t="str">
        <f>IFERROR(LOOKUP(2,1/((B_Drainage!$A$5:$A$204&lt;&gt;"")*(B_Drainage!$A$5:$A$204&lt;=$B267)*(B_Drainage!$B$5:$B$204&gt;$B267)*(B_Drainage!$I$5:$I$204&lt;&gt;"")),IF(UPPER(B_Drainage!$I$5:$I$204)="Y",1,"")),"")</f>
        <v/>
      </c>
      <c r="AA267" s="181" t="str">
        <f>IFERROR(LOOKUP(2,1/((B_Drainage!$A$5:$A$204&lt;&gt;"")*(B_Drainage!$A$5:$A$204&lt;=$B267)*(B_Drainage!$B$5:$B$204&gt;$B267)*(B_Drainage!$J$5:$J$204&lt;&gt;"")),IF(UPPER(B_Drainage!$J$5:$J$204)="Y",1,"")),"")</f>
        <v/>
      </c>
      <c r="AB267" s="182" t="str">
        <f>IFERROR(LOOKUP(2,1/((B_Drainage!$A$5:$A$204&lt;&gt;"")*(B_Drainage!$A$5:$A$204&lt;=$B267)*(B_Drainage!$B$5:$B$204&gt;$B267)*(B_Drainage!$K$5:$K$204&lt;&gt;"")),IF(B_Drainage!$K$5:$K$204="-","",B_Drainage!$K$5:$K$204)),"")</f>
        <v/>
      </c>
      <c r="AC267" s="182" t="str">
        <f>IFERROR(LOOKUP(2,1/((B_Drainage!$A$5:$A$204&lt;&gt;"")*(B_Drainage!$A$5:$A$204&lt;=$B267)*(B_Drainage!$B$5:$B$204&gt;$B267)*(B_Drainage!$L$5:$L$204&lt;&gt;"")),IF(B_Drainage!$L$5:$L$204="-","",B_Drainage!$L$5:$L$204)),"")</f>
        <v/>
      </c>
      <c r="AD267" s="182" t="str">
        <f>IFERROR(LOOKUP(2,1/((D_Points!$A$5:$A$204&lt;&gt;"")*(D_Points!$A$5:$A$204&gt;=$B267)*(D_Points!$A$5:$A$204&lt;$B267+P_Interval)*(UPPER(TRIM(D_Points!$B$5:$B$204))="TURNOUT_L")*(D_Points!$H$5:$H$204&lt;&gt;"")),D_Points!$H$5:$H$204),"")</f>
        <v/>
      </c>
      <c r="AE267" s="182" t="str">
        <f>IFERROR(LOOKUP(2,1/((D_Points!$A$5:$A$204&lt;&gt;"")*(D_Points!$A$5:$A$204&gt;=$B267)*(D_Points!$A$5:$A$204&lt;$B267+P_Interval)*(UPPER(TRIM(D_Points!$B$5:$B$204))="TURNOUT_R")*(D_Points!$H$5:$H$204&lt;&gt;"")),D_Points!$H$5:$H$204),"")</f>
        <v/>
      </c>
      <c r="AF267" s="181" t="str">
        <f>IFERROR(LOOKUP(2,1/((B_Drainage!$A$5:$A$204&lt;&gt;"")*(B_Drainage!$A$5:$A$204&lt;=$B267)*(B_Drainage!$B$5:$B$204&gt;$B267)*(B_Drainage!$M$5:$M$204&lt;&gt;"")),IF(UPPER(B_Drainage!$M$5:$M$204)="Y",1,"")),"")</f>
        <v/>
      </c>
      <c r="AG267" s="181" t="str">
        <f>IFERROR(LOOKUP(2,1/((B_Drainage!$A$5:$A$204&lt;&gt;"")*(B_Drainage!$A$5:$A$204&lt;=$B267)*(B_Drainage!$B$5:$B$204&gt;$B267)*(B_Drainage!$N$5:$N$204&lt;&gt;"")),IF(UPPER(B_Drainage!$N$5:$N$204)="Y",1,"")),"")</f>
        <v/>
      </c>
      <c r="AH267" s="181" t="str">
        <f t="shared" si="32"/>
        <v/>
      </c>
      <c r="AI267" s="181" t="str">
        <f t="shared" si="33"/>
        <v/>
      </c>
      <c r="AJ267" s="181" t="str">
        <f t="shared" si="34"/>
        <v/>
      </c>
      <c r="AK267" s="181" t="str">
        <f t="shared" si="35"/>
        <v/>
      </c>
      <c r="AL267" s="181" t="str">
        <f t="shared" si="36"/>
        <v/>
      </c>
      <c r="AM267" s="181" t="str">
        <f t="shared" si="37"/>
        <v/>
      </c>
      <c r="AN267" s="181" t="str">
        <f t="shared" si="38"/>
        <v/>
      </c>
      <c r="AO267" s="192" t="str">
        <f t="shared" si="39"/>
        <v/>
      </c>
      <c r="AQ267" t="str">
        <f>IFERROR(LOOKUP(2,1/((C_Pavement!$A$5:$A$204&lt;&gt;"")*(C_Pavement!$A$5:$A$204&lt;=$B267)*(C_Pavement!$B$5:$B$204&gt;$B267)*(C_Pavement!$C$5:$C$204&lt;&gt;"")),ROW(C_Pavement!$C$5:$C$204)-4),"")</f>
        <v/>
      </c>
      <c r="AR267" t="str">
        <f>IF($AQ267="","",UPPER(TRIM(INDEX(C_Pavement!$C$5:$C$204,$AQ267))))</f>
        <v/>
      </c>
      <c r="AS267" t="str">
        <f>IF($AR267="","",IFERROR(MATCH($AR267,E_Rules!$A$5:$A$9,0),""))</f>
        <v/>
      </c>
      <c r="AT267" t="str">
        <f>IF($AQ267="","",IF(INDEX(C_Pavement!$D$5:$D$204,$AQ267)&lt;&gt;"",UPPER(TRIM(INDEX(C_Pavement!$D$5:$D$204,$AQ267))),IF($AS267="","",INDEX(E_Rules!$C$5:$C$9,$AS267))))</f>
        <v/>
      </c>
      <c r="AU267" t="str">
        <f>IF($AQ267="","",IF(INDEX(C_Pavement!$E$5:$E$204,$AQ267)&lt;&gt;"",IF(INDEX(C_Pavement!$E$5:$E$204,$AQ267)="-","",INDEX(C_Pavement!$E$5:$E$204,$AQ267)),IF($AS267="","",INDEX(E_Rules!$D$5:$D$9,$AS267))))</f>
        <v/>
      </c>
      <c r="AV267" t="str">
        <f>IF($AQ267="","",IF(INDEX(C_Pavement!$F$5:$F$204,$AQ267)&lt;&gt;"",IF(INDEX(C_Pavement!$F$5:$F$204,$AQ267)="-","",INDEX(C_Pavement!$F$5:$F$204,$AQ267)),IF($AS267="","",INDEX(E_Rules!$E$5:$E$9,$AS267))))</f>
        <v/>
      </c>
      <c r="AW267" t="str">
        <f>IF($AQ267="","",IF(INDEX(C_Pavement!$G$5:$G$204,$AQ267)&lt;&gt;"",IF(INDEX(C_Pavement!$G$5:$G$204,$AQ267)="-","",INDEX(C_Pavement!$G$5:$G$204,$AQ267)),IF($AS267="","",INDEX(E_Rules!$F$5:$F$9,$AS267))))</f>
        <v/>
      </c>
      <c r="AX267" t="str">
        <f>IF($AQ267="","",IF(INDEX(C_Pavement!$H$5:$H$204,$AQ267)&lt;&gt;"",IF(INDEX(C_Pavement!$H$5:$H$204,$AQ267)="-","",INDEX(C_Pavement!$H$5:$H$204,$AQ267)),IF($AS267="","",INDEX(E_Rules!$G$5:$G$9,$AS267))))</f>
        <v/>
      </c>
      <c r="AY267" t="str">
        <f>IF($AQ267="","",IF(INDEX(C_Pavement!$I$5:$I$204,$AQ267)&lt;&gt;"",IF(INDEX(C_Pavement!$I$5:$I$204,$AQ267)="-","",INDEX(C_Pavement!$I$5:$I$204,$AQ267)),IF($AS267="","",INDEX(E_Rules!$H$5:$H$9,$AS267))))</f>
        <v/>
      </c>
    </row>
    <row r="268" spans="1:51" ht="15.75" customHeight="1" x14ac:dyDescent="0.3">
      <c r="A268" s="189">
        <v>263</v>
      </c>
      <c r="B268" s="180">
        <v>13100</v>
      </c>
      <c r="C268" s="180" t="s">
        <v>574</v>
      </c>
      <c r="D268" s="181" t="str">
        <f>IFERROR(LOOKUP(2,1/((A_Corridor!$A$5:$A$204&lt;&gt;"")*(A_Corridor!$A$5:$A$204&lt;=$B268)*(A_Corridor!$B$5:$B$204&gt;$B268)*(A_Corridor!$C$5:$C$204&lt;&gt;"")),IF(UPPER(A_Corridor!$C$5:$C$204)="Y",1,"")),"")</f>
        <v/>
      </c>
      <c r="E268" s="181" t="str">
        <f>IFERROR(LOOKUP(2,1/((A_Corridor!$A$5:$A$204&lt;&gt;"")*(A_Corridor!$A$5:$A$204&lt;=$B268)*(A_Corridor!$B$5:$B$204&gt;$B268)*(A_Corridor!$D$5:$D$204&lt;&gt;"")),IF(A_Corridor!$D$5:$D$204="-","",UPPER(A_Corridor!$D$5:$D$204))),"")</f>
        <v/>
      </c>
      <c r="F268" s="181" t="str">
        <f>IFERROR(LOOKUP(2,1/((A_Corridor!$A$5:$A$204&lt;&gt;"")*(A_Corridor!$A$5:$A$204&lt;=$B268)*(A_Corridor!$B$5:$B$204&gt;$B268)*(A_Corridor!$E$5:$E$204&lt;&gt;"")),IF(A_Corridor!$E$5:$E$204="-","",1)),"")</f>
        <v/>
      </c>
      <c r="G268" s="182" t="str">
        <f>IFERROR(LOOKUP(2,1/((A_Corridor!$A$5:$A$204&lt;&gt;"")*(A_Corridor!$A$5:$A$204&lt;=$B268)*(A_Corridor!$B$5:$B$204&gt;$B268)*(A_Corridor!$E$5:$E$204&lt;&gt;"")),IF(A_Corridor!$E$5:$E$204="-","",A_Corridor!$E$5:$E$204)),"")</f>
        <v/>
      </c>
      <c r="H268" s="182" t="str">
        <f>IFERROR(LOOKUP(2,1/((D_Points!$A$5:$A$204&lt;&gt;"")*(D_Points!$A$5:$A$204&gt;=$B268)*(D_Points!$A$5:$A$204&lt;$B268+P_Interval)*(UPPER(TRIM(D_Points!$B$5:$B$204))="GULLY")*(D_Points!$H$5:$H$204&lt;&gt;"")),D_Points!$H$5:$H$204),"")</f>
        <v/>
      </c>
      <c r="I268" s="181" t="str">
        <f>IFERROR(LOOKUP(2,1/((A_Corridor!$A$5:$A$204&lt;&gt;"")*(A_Corridor!$A$5:$A$204&lt;=$B268)*(A_Corridor!$B$5:$B$204&gt;$B268)*(A_Corridor!$F$5:$F$204&lt;&gt;"")),IF(A_Corridor!$F$5:$F$204="-","",1)),"")</f>
        <v/>
      </c>
      <c r="J268" s="182" t="str">
        <f>IFERROR(LOOKUP(2,1/((A_Corridor!$A$5:$A$204&lt;&gt;"")*(A_Corridor!$A$5:$A$204&lt;=$B268)*(A_Corridor!$B$5:$B$204&gt;$B268)*(A_Corridor!$F$5:$F$204&lt;&gt;"")),IF(A_Corridor!$F$5:$F$204="-","",A_Corridor!$F$5:$F$204)),"")</f>
        <v/>
      </c>
      <c r="K268" s="182" t="str">
        <f>IFERROR(LOOKUP(2,1/((A_Corridor!$A$5:$A$204&lt;&gt;"")*(A_Corridor!$A$5:$A$204&lt;=$B268)*(A_Corridor!$B$5:$B$204&gt;$B268)*(A_Corridor!$G$5:$G$204&lt;&gt;"")),IF(A_Corridor!$G$5:$G$204="-","",A_Corridor!$G$5:$G$204)),"")</f>
        <v/>
      </c>
      <c r="L268" s="181" t="str">
        <f>IFERROR(LOOKUP(2,1/((A_Corridor!$A$5:$A$204&lt;&gt;"")*(A_Corridor!$A$5:$A$204&lt;=$B268)*(A_Corridor!$B$5:$B$204&gt;$B268)*(A_Corridor!$H$5:$H$204&lt;&gt;"")),IF(A_Corridor!$H$5:$H$204="-","",1)),"")</f>
        <v/>
      </c>
      <c r="M268" s="182" t="str">
        <f>IFERROR(LOOKUP(2,1/((A_Corridor!$A$5:$A$204&lt;&gt;"")*(A_Corridor!$A$5:$A$204&lt;=$B268)*(A_Corridor!$B$5:$B$204&gt;$B268)*(A_Corridor!$H$5:$H$204&lt;&gt;"")),IF(A_Corridor!$H$5:$H$204="-","",A_Corridor!$H$5:$H$204)),"")</f>
        <v/>
      </c>
      <c r="N268" s="182" t="str">
        <f>IFERROR(LOOKUP(2,1/((A_Corridor!$A$5:$A$204&lt;&gt;"")*(A_Corridor!$A$5:$A$204&lt;=$B268)*(A_Corridor!$B$5:$B$204&gt;$B268)*(A_Corridor!$I$5:$I$204&lt;&gt;"")),IF(A_Corridor!$I$5:$I$204="-","",A_Corridor!$I$5:$I$204)),"")</f>
        <v/>
      </c>
      <c r="O268" s="182" t="str">
        <f>IFERROR(LOOKUP(2,1/((D_Points!$A$5:$A$204&lt;&gt;"")*(D_Points!$A$5:$A$204&gt;=$B268)*(D_Points!$A$5:$A$204&lt;$B268+P_Interval)*(UPPER(TRIM(D_Points!$B$5:$B$204))="PITCHING")*(D_Points!$H$5:$H$204&lt;&gt;"")),D_Points!$H$5:$H$204),"")</f>
        <v/>
      </c>
      <c r="P268" s="181" t="str">
        <f>IFERROR(LOOKUP(2,1/((B_Drainage!$A$5:$A$204&lt;&gt;"")*(B_Drainage!$A$5:$A$204&lt;=$B268)*(B_Drainage!$B$5:$B$204&gt;$B268)*(B_Drainage!$C$5:$C$204&lt;&gt;"")),IF(B_Drainage!$C$5:$C$204="-","",UPPER(B_Drainage!$C$5:$C$204))),"")</f>
        <v/>
      </c>
      <c r="Q268" s="181" t="str">
        <f>IFERROR(LOOKUP(2,1/((B_Drainage!$A$5:$A$204&lt;&gt;"")*(B_Drainage!$A$5:$A$204&lt;=$B268)*(B_Drainage!$B$5:$B$204&gt;$B268)*(B_Drainage!$D$5:$D$204&lt;&gt;"")),IF(B_Drainage!$D$5:$D$204="-","",UPPER(B_Drainage!$D$5:$D$204))),"")</f>
        <v/>
      </c>
      <c r="R268" s="182" t="str">
        <f>IFERROR(LOOKUP(2,1/((D_Points!$A$5:$A$204&lt;&gt;"")*(D_Points!$A$5:$A$204&gt;=$B268)*(D_Points!$A$5:$A$204&lt;$B268+P_Interval)*(RIGHT(UPPER(TRIM(D_Points!$B$5:$B$204)),8)="_CULVERT")),IF(LEFT(UPPER(TRIM(D_Points!$B$5:$B$204)),2)="EX",1,IF(LEFT(UPPER(TRIM(D_Points!$B$5:$B$204)),2)="PR",2,3))),"")</f>
        <v/>
      </c>
      <c r="S268" s="182" t="str">
        <f>IFERROR(LOOKUP(2,1/((D_Points!$A$5:$A$204&lt;&gt;"")*(D_Points!$A$5:$A$204&gt;=$B268)*(D_Points!$A$5:$A$204&lt;$B268+P_Interval)*(RIGHT(UPPER(TRIM(D_Points!$B$5:$B$204)),7)="_BRIDGE")),IF(LEFT(UPPER(TRIM(D_Points!$B$5:$B$204)),2)="EX",1,IF(LEFT(UPPER(TRIM(D_Points!$B$5:$B$204)),2)="PR",2,2))),"")</f>
        <v/>
      </c>
      <c r="T268" s="181" t="str">
        <f>IFERROR(LOOKUP(2,1/((B_Drainage!$A$5:$A$204&lt;&gt;"")*(B_Drainage!$A$5:$A$204&lt;=$B268)*(B_Drainage!$B$5:$B$204&gt;$B268)*(B_Drainage!$E$5:$E$204&lt;&gt;"")),IF(B_Drainage!$E$5:$E$204="-","",1)),"")</f>
        <v/>
      </c>
      <c r="U268" s="181" t="str">
        <f>IFERROR(LOOKUP(2,1/((B_Drainage!$A$5:$A$204&lt;&gt;"")*(B_Drainage!$A$5:$A$204&lt;=$B268)*(B_Drainage!$B$5:$B$204&gt;$B268)*(B_Drainage!$E$5:$E$204&lt;&gt;"")),IF(B_Drainage!$E$5:$E$204="-","",B_Drainage!$E$5:$E$204)),"")</f>
        <v/>
      </c>
      <c r="V268" s="181" t="str">
        <f>IFERROR(LOOKUP(2,1/((B_Drainage!$A$5:$A$204&lt;&gt;"")*(B_Drainage!$A$5:$A$204&lt;=$B268)*(B_Drainage!$B$5:$B$204&gt;$B268)*(B_Drainage!$F$5:$F$204&lt;&gt;"")),IF(B_Drainage!$F$5:$F$204="-","",1)),"")</f>
        <v/>
      </c>
      <c r="W268" s="181" t="str">
        <f>IFERROR(LOOKUP(2,1/((B_Drainage!$A$5:$A$204&lt;&gt;"")*(B_Drainage!$A$5:$A$204&lt;=$B268)*(B_Drainage!$B$5:$B$204&gt;$B268)*(B_Drainage!$F$5:$F$204&lt;&gt;"")),IF(B_Drainage!$F$5:$F$204="-","",B_Drainage!$F$5:$F$204)),"")</f>
        <v/>
      </c>
      <c r="X268" s="181" t="str">
        <f>IFERROR(LOOKUP(2,1/((B_Drainage!$A$5:$A$204&lt;&gt;"")*(B_Drainage!$A$5:$A$204&lt;=$B268)*(B_Drainage!$B$5:$B$204&gt;$B268)*(B_Drainage!$G$5:$G$204&lt;&gt;"")),IF(UPPER(B_Drainage!$G$5:$G$204)="Y",1,"")),"")</f>
        <v/>
      </c>
      <c r="Y268" s="181" t="str">
        <f>IFERROR(LOOKUP(2,1/((B_Drainage!$A$5:$A$204&lt;&gt;"")*(B_Drainage!$A$5:$A$204&lt;=$B268)*(B_Drainage!$B$5:$B$204&gt;$B268)*(B_Drainage!$H$5:$H$204&lt;&gt;"")),IF(UPPER(B_Drainage!$H$5:$H$204)="Y",1,"")),"")</f>
        <v/>
      </c>
      <c r="Z268" s="181" t="str">
        <f>IFERROR(LOOKUP(2,1/((B_Drainage!$A$5:$A$204&lt;&gt;"")*(B_Drainage!$A$5:$A$204&lt;=$B268)*(B_Drainage!$B$5:$B$204&gt;$B268)*(B_Drainage!$I$5:$I$204&lt;&gt;"")),IF(UPPER(B_Drainage!$I$5:$I$204)="Y",1,"")),"")</f>
        <v/>
      </c>
      <c r="AA268" s="181" t="str">
        <f>IFERROR(LOOKUP(2,1/((B_Drainage!$A$5:$A$204&lt;&gt;"")*(B_Drainage!$A$5:$A$204&lt;=$B268)*(B_Drainage!$B$5:$B$204&gt;$B268)*(B_Drainage!$J$5:$J$204&lt;&gt;"")),IF(UPPER(B_Drainage!$J$5:$J$204)="Y",1,"")),"")</f>
        <v/>
      </c>
      <c r="AB268" s="182" t="str">
        <f>IFERROR(LOOKUP(2,1/((B_Drainage!$A$5:$A$204&lt;&gt;"")*(B_Drainage!$A$5:$A$204&lt;=$B268)*(B_Drainage!$B$5:$B$204&gt;$B268)*(B_Drainage!$K$5:$K$204&lt;&gt;"")),IF(B_Drainage!$K$5:$K$204="-","",B_Drainage!$K$5:$K$204)),"")</f>
        <v/>
      </c>
      <c r="AC268" s="182" t="str">
        <f>IFERROR(LOOKUP(2,1/((B_Drainage!$A$5:$A$204&lt;&gt;"")*(B_Drainage!$A$5:$A$204&lt;=$B268)*(B_Drainage!$B$5:$B$204&gt;$B268)*(B_Drainage!$L$5:$L$204&lt;&gt;"")),IF(B_Drainage!$L$5:$L$204="-","",B_Drainage!$L$5:$L$204)),"")</f>
        <v/>
      </c>
      <c r="AD268" s="182" t="str">
        <f>IFERROR(LOOKUP(2,1/((D_Points!$A$5:$A$204&lt;&gt;"")*(D_Points!$A$5:$A$204&gt;=$B268)*(D_Points!$A$5:$A$204&lt;$B268+P_Interval)*(UPPER(TRIM(D_Points!$B$5:$B$204))="TURNOUT_L")*(D_Points!$H$5:$H$204&lt;&gt;"")),D_Points!$H$5:$H$204),"")</f>
        <v/>
      </c>
      <c r="AE268" s="182" t="str">
        <f>IFERROR(LOOKUP(2,1/((D_Points!$A$5:$A$204&lt;&gt;"")*(D_Points!$A$5:$A$204&gt;=$B268)*(D_Points!$A$5:$A$204&lt;$B268+P_Interval)*(UPPER(TRIM(D_Points!$B$5:$B$204))="TURNOUT_R")*(D_Points!$H$5:$H$204&lt;&gt;"")),D_Points!$H$5:$H$204),"")</f>
        <v/>
      </c>
      <c r="AF268" s="181" t="str">
        <f>IFERROR(LOOKUP(2,1/((B_Drainage!$A$5:$A$204&lt;&gt;"")*(B_Drainage!$A$5:$A$204&lt;=$B268)*(B_Drainage!$B$5:$B$204&gt;$B268)*(B_Drainage!$M$5:$M$204&lt;&gt;"")),IF(UPPER(B_Drainage!$M$5:$M$204)="Y",1,"")),"")</f>
        <v/>
      </c>
      <c r="AG268" s="181" t="str">
        <f>IFERROR(LOOKUP(2,1/((B_Drainage!$A$5:$A$204&lt;&gt;"")*(B_Drainage!$A$5:$A$204&lt;=$B268)*(B_Drainage!$B$5:$B$204&gt;$B268)*(B_Drainage!$N$5:$N$204&lt;&gt;"")),IF(UPPER(B_Drainage!$N$5:$N$204)="Y",1,"")),"")</f>
        <v/>
      </c>
      <c r="AH268" s="181" t="str">
        <f t="shared" si="32"/>
        <v/>
      </c>
      <c r="AI268" s="181" t="str">
        <f t="shared" si="33"/>
        <v/>
      </c>
      <c r="AJ268" s="181" t="str">
        <f t="shared" si="34"/>
        <v/>
      </c>
      <c r="AK268" s="181" t="str">
        <f t="shared" si="35"/>
        <v/>
      </c>
      <c r="AL268" s="181" t="str">
        <f t="shared" si="36"/>
        <v/>
      </c>
      <c r="AM268" s="181" t="str">
        <f t="shared" si="37"/>
        <v/>
      </c>
      <c r="AN268" s="181" t="str">
        <f t="shared" si="38"/>
        <v/>
      </c>
      <c r="AO268" s="192" t="str">
        <f t="shared" si="39"/>
        <v/>
      </c>
      <c r="AQ268" t="str">
        <f>IFERROR(LOOKUP(2,1/((C_Pavement!$A$5:$A$204&lt;&gt;"")*(C_Pavement!$A$5:$A$204&lt;=$B268)*(C_Pavement!$B$5:$B$204&gt;$B268)*(C_Pavement!$C$5:$C$204&lt;&gt;"")),ROW(C_Pavement!$C$5:$C$204)-4),"")</f>
        <v/>
      </c>
      <c r="AR268" t="str">
        <f>IF($AQ268="","",UPPER(TRIM(INDEX(C_Pavement!$C$5:$C$204,$AQ268))))</f>
        <v/>
      </c>
      <c r="AS268" t="str">
        <f>IF($AR268="","",IFERROR(MATCH($AR268,E_Rules!$A$5:$A$9,0),""))</f>
        <v/>
      </c>
      <c r="AT268" t="str">
        <f>IF($AQ268="","",IF(INDEX(C_Pavement!$D$5:$D$204,$AQ268)&lt;&gt;"",UPPER(TRIM(INDEX(C_Pavement!$D$5:$D$204,$AQ268))),IF($AS268="","",INDEX(E_Rules!$C$5:$C$9,$AS268))))</f>
        <v/>
      </c>
      <c r="AU268" t="str">
        <f>IF($AQ268="","",IF(INDEX(C_Pavement!$E$5:$E$204,$AQ268)&lt;&gt;"",IF(INDEX(C_Pavement!$E$5:$E$204,$AQ268)="-","",INDEX(C_Pavement!$E$5:$E$204,$AQ268)),IF($AS268="","",INDEX(E_Rules!$D$5:$D$9,$AS268))))</f>
        <v/>
      </c>
      <c r="AV268" t="str">
        <f>IF($AQ268="","",IF(INDEX(C_Pavement!$F$5:$F$204,$AQ268)&lt;&gt;"",IF(INDEX(C_Pavement!$F$5:$F$204,$AQ268)="-","",INDEX(C_Pavement!$F$5:$F$204,$AQ268)),IF($AS268="","",INDEX(E_Rules!$E$5:$E$9,$AS268))))</f>
        <v/>
      </c>
      <c r="AW268" t="str">
        <f>IF($AQ268="","",IF(INDEX(C_Pavement!$G$5:$G$204,$AQ268)&lt;&gt;"",IF(INDEX(C_Pavement!$G$5:$G$204,$AQ268)="-","",INDEX(C_Pavement!$G$5:$G$204,$AQ268)),IF($AS268="","",INDEX(E_Rules!$F$5:$F$9,$AS268))))</f>
        <v/>
      </c>
      <c r="AX268" t="str">
        <f>IF($AQ268="","",IF(INDEX(C_Pavement!$H$5:$H$204,$AQ268)&lt;&gt;"",IF(INDEX(C_Pavement!$H$5:$H$204,$AQ268)="-","",INDEX(C_Pavement!$H$5:$H$204,$AQ268)),IF($AS268="","",INDEX(E_Rules!$G$5:$G$9,$AS268))))</f>
        <v/>
      </c>
      <c r="AY268" t="str">
        <f>IF($AQ268="","",IF(INDEX(C_Pavement!$I$5:$I$204,$AQ268)&lt;&gt;"",IF(INDEX(C_Pavement!$I$5:$I$204,$AQ268)="-","",INDEX(C_Pavement!$I$5:$I$204,$AQ268)),IF($AS268="","",INDEX(E_Rules!$H$5:$H$9,$AS268))))</f>
        <v/>
      </c>
    </row>
    <row r="269" spans="1:51" ht="15.75" customHeight="1" x14ac:dyDescent="0.3">
      <c r="A269" s="189">
        <v>264</v>
      </c>
      <c r="B269" s="180">
        <v>13150</v>
      </c>
      <c r="C269" s="180" t="s">
        <v>575</v>
      </c>
      <c r="D269" s="181" t="str">
        <f>IFERROR(LOOKUP(2,1/((A_Corridor!$A$5:$A$204&lt;&gt;"")*(A_Corridor!$A$5:$A$204&lt;=$B269)*(A_Corridor!$B$5:$B$204&gt;$B269)*(A_Corridor!$C$5:$C$204&lt;&gt;"")),IF(UPPER(A_Corridor!$C$5:$C$204)="Y",1,"")),"")</f>
        <v/>
      </c>
      <c r="E269" s="181" t="str">
        <f>IFERROR(LOOKUP(2,1/((A_Corridor!$A$5:$A$204&lt;&gt;"")*(A_Corridor!$A$5:$A$204&lt;=$B269)*(A_Corridor!$B$5:$B$204&gt;$B269)*(A_Corridor!$D$5:$D$204&lt;&gt;"")),IF(A_Corridor!$D$5:$D$204="-","",UPPER(A_Corridor!$D$5:$D$204))),"")</f>
        <v/>
      </c>
      <c r="F269" s="181" t="str">
        <f>IFERROR(LOOKUP(2,1/((A_Corridor!$A$5:$A$204&lt;&gt;"")*(A_Corridor!$A$5:$A$204&lt;=$B269)*(A_Corridor!$B$5:$B$204&gt;$B269)*(A_Corridor!$E$5:$E$204&lt;&gt;"")),IF(A_Corridor!$E$5:$E$204="-","",1)),"")</f>
        <v/>
      </c>
      <c r="G269" s="182" t="str">
        <f>IFERROR(LOOKUP(2,1/((A_Corridor!$A$5:$A$204&lt;&gt;"")*(A_Corridor!$A$5:$A$204&lt;=$B269)*(A_Corridor!$B$5:$B$204&gt;$B269)*(A_Corridor!$E$5:$E$204&lt;&gt;"")),IF(A_Corridor!$E$5:$E$204="-","",A_Corridor!$E$5:$E$204)),"")</f>
        <v/>
      </c>
      <c r="H269" s="182" t="str">
        <f>IFERROR(LOOKUP(2,1/((D_Points!$A$5:$A$204&lt;&gt;"")*(D_Points!$A$5:$A$204&gt;=$B269)*(D_Points!$A$5:$A$204&lt;$B269+P_Interval)*(UPPER(TRIM(D_Points!$B$5:$B$204))="GULLY")*(D_Points!$H$5:$H$204&lt;&gt;"")),D_Points!$H$5:$H$204),"")</f>
        <v/>
      </c>
      <c r="I269" s="181" t="str">
        <f>IFERROR(LOOKUP(2,1/((A_Corridor!$A$5:$A$204&lt;&gt;"")*(A_Corridor!$A$5:$A$204&lt;=$B269)*(A_Corridor!$B$5:$B$204&gt;$B269)*(A_Corridor!$F$5:$F$204&lt;&gt;"")),IF(A_Corridor!$F$5:$F$204="-","",1)),"")</f>
        <v/>
      </c>
      <c r="J269" s="182" t="str">
        <f>IFERROR(LOOKUP(2,1/((A_Corridor!$A$5:$A$204&lt;&gt;"")*(A_Corridor!$A$5:$A$204&lt;=$B269)*(A_Corridor!$B$5:$B$204&gt;$B269)*(A_Corridor!$F$5:$F$204&lt;&gt;"")),IF(A_Corridor!$F$5:$F$204="-","",A_Corridor!$F$5:$F$204)),"")</f>
        <v/>
      </c>
      <c r="K269" s="182" t="str">
        <f>IFERROR(LOOKUP(2,1/((A_Corridor!$A$5:$A$204&lt;&gt;"")*(A_Corridor!$A$5:$A$204&lt;=$B269)*(A_Corridor!$B$5:$B$204&gt;$B269)*(A_Corridor!$G$5:$G$204&lt;&gt;"")),IF(A_Corridor!$G$5:$G$204="-","",A_Corridor!$G$5:$G$204)),"")</f>
        <v/>
      </c>
      <c r="L269" s="181" t="str">
        <f>IFERROR(LOOKUP(2,1/((A_Corridor!$A$5:$A$204&lt;&gt;"")*(A_Corridor!$A$5:$A$204&lt;=$B269)*(A_Corridor!$B$5:$B$204&gt;$B269)*(A_Corridor!$H$5:$H$204&lt;&gt;"")),IF(A_Corridor!$H$5:$H$204="-","",1)),"")</f>
        <v/>
      </c>
      <c r="M269" s="182" t="str">
        <f>IFERROR(LOOKUP(2,1/((A_Corridor!$A$5:$A$204&lt;&gt;"")*(A_Corridor!$A$5:$A$204&lt;=$B269)*(A_Corridor!$B$5:$B$204&gt;$B269)*(A_Corridor!$H$5:$H$204&lt;&gt;"")),IF(A_Corridor!$H$5:$H$204="-","",A_Corridor!$H$5:$H$204)),"")</f>
        <v/>
      </c>
      <c r="N269" s="182" t="str">
        <f>IFERROR(LOOKUP(2,1/((A_Corridor!$A$5:$A$204&lt;&gt;"")*(A_Corridor!$A$5:$A$204&lt;=$B269)*(A_Corridor!$B$5:$B$204&gt;$B269)*(A_Corridor!$I$5:$I$204&lt;&gt;"")),IF(A_Corridor!$I$5:$I$204="-","",A_Corridor!$I$5:$I$204)),"")</f>
        <v/>
      </c>
      <c r="O269" s="182" t="str">
        <f>IFERROR(LOOKUP(2,1/((D_Points!$A$5:$A$204&lt;&gt;"")*(D_Points!$A$5:$A$204&gt;=$B269)*(D_Points!$A$5:$A$204&lt;$B269+P_Interval)*(UPPER(TRIM(D_Points!$B$5:$B$204))="PITCHING")*(D_Points!$H$5:$H$204&lt;&gt;"")),D_Points!$H$5:$H$204),"")</f>
        <v/>
      </c>
      <c r="P269" s="181" t="str">
        <f>IFERROR(LOOKUP(2,1/((B_Drainage!$A$5:$A$204&lt;&gt;"")*(B_Drainage!$A$5:$A$204&lt;=$B269)*(B_Drainage!$B$5:$B$204&gt;$B269)*(B_Drainage!$C$5:$C$204&lt;&gt;"")),IF(B_Drainage!$C$5:$C$204="-","",UPPER(B_Drainage!$C$5:$C$204))),"")</f>
        <v/>
      </c>
      <c r="Q269" s="181" t="str">
        <f>IFERROR(LOOKUP(2,1/((B_Drainage!$A$5:$A$204&lt;&gt;"")*(B_Drainage!$A$5:$A$204&lt;=$B269)*(B_Drainage!$B$5:$B$204&gt;$B269)*(B_Drainage!$D$5:$D$204&lt;&gt;"")),IF(B_Drainage!$D$5:$D$204="-","",UPPER(B_Drainage!$D$5:$D$204))),"")</f>
        <v/>
      </c>
      <c r="R269" s="182" t="str">
        <f>IFERROR(LOOKUP(2,1/((D_Points!$A$5:$A$204&lt;&gt;"")*(D_Points!$A$5:$A$204&gt;=$B269)*(D_Points!$A$5:$A$204&lt;$B269+P_Interval)*(RIGHT(UPPER(TRIM(D_Points!$B$5:$B$204)),8)="_CULVERT")),IF(LEFT(UPPER(TRIM(D_Points!$B$5:$B$204)),2)="EX",1,IF(LEFT(UPPER(TRIM(D_Points!$B$5:$B$204)),2)="PR",2,3))),"")</f>
        <v/>
      </c>
      <c r="S269" s="182" t="str">
        <f>IFERROR(LOOKUP(2,1/((D_Points!$A$5:$A$204&lt;&gt;"")*(D_Points!$A$5:$A$204&gt;=$B269)*(D_Points!$A$5:$A$204&lt;$B269+P_Interval)*(RIGHT(UPPER(TRIM(D_Points!$B$5:$B$204)),7)="_BRIDGE")),IF(LEFT(UPPER(TRIM(D_Points!$B$5:$B$204)),2)="EX",1,IF(LEFT(UPPER(TRIM(D_Points!$B$5:$B$204)),2)="PR",2,2))),"")</f>
        <v/>
      </c>
      <c r="T269" s="181" t="str">
        <f>IFERROR(LOOKUP(2,1/((B_Drainage!$A$5:$A$204&lt;&gt;"")*(B_Drainage!$A$5:$A$204&lt;=$B269)*(B_Drainage!$B$5:$B$204&gt;$B269)*(B_Drainage!$E$5:$E$204&lt;&gt;"")),IF(B_Drainage!$E$5:$E$204="-","",1)),"")</f>
        <v/>
      </c>
      <c r="U269" s="181" t="str">
        <f>IFERROR(LOOKUP(2,1/((B_Drainage!$A$5:$A$204&lt;&gt;"")*(B_Drainage!$A$5:$A$204&lt;=$B269)*(B_Drainage!$B$5:$B$204&gt;$B269)*(B_Drainage!$E$5:$E$204&lt;&gt;"")),IF(B_Drainage!$E$5:$E$204="-","",B_Drainage!$E$5:$E$204)),"")</f>
        <v/>
      </c>
      <c r="V269" s="181" t="str">
        <f>IFERROR(LOOKUP(2,1/((B_Drainage!$A$5:$A$204&lt;&gt;"")*(B_Drainage!$A$5:$A$204&lt;=$B269)*(B_Drainage!$B$5:$B$204&gt;$B269)*(B_Drainage!$F$5:$F$204&lt;&gt;"")),IF(B_Drainage!$F$5:$F$204="-","",1)),"")</f>
        <v/>
      </c>
      <c r="W269" s="181" t="str">
        <f>IFERROR(LOOKUP(2,1/((B_Drainage!$A$5:$A$204&lt;&gt;"")*(B_Drainage!$A$5:$A$204&lt;=$B269)*(B_Drainage!$B$5:$B$204&gt;$B269)*(B_Drainage!$F$5:$F$204&lt;&gt;"")),IF(B_Drainage!$F$5:$F$204="-","",B_Drainage!$F$5:$F$204)),"")</f>
        <v/>
      </c>
      <c r="X269" s="181" t="str">
        <f>IFERROR(LOOKUP(2,1/((B_Drainage!$A$5:$A$204&lt;&gt;"")*(B_Drainage!$A$5:$A$204&lt;=$B269)*(B_Drainage!$B$5:$B$204&gt;$B269)*(B_Drainage!$G$5:$G$204&lt;&gt;"")),IF(UPPER(B_Drainage!$G$5:$G$204)="Y",1,"")),"")</f>
        <v/>
      </c>
      <c r="Y269" s="181" t="str">
        <f>IFERROR(LOOKUP(2,1/((B_Drainage!$A$5:$A$204&lt;&gt;"")*(B_Drainage!$A$5:$A$204&lt;=$B269)*(B_Drainage!$B$5:$B$204&gt;$B269)*(B_Drainage!$H$5:$H$204&lt;&gt;"")),IF(UPPER(B_Drainage!$H$5:$H$204)="Y",1,"")),"")</f>
        <v/>
      </c>
      <c r="Z269" s="181" t="str">
        <f>IFERROR(LOOKUP(2,1/((B_Drainage!$A$5:$A$204&lt;&gt;"")*(B_Drainage!$A$5:$A$204&lt;=$B269)*(B_Drainage!$B$5:$B$204&gt;$B269)*(B_Drainage!$I$5:$I$204&lt;&gt;"")),IF(UPPER(B_Drainage!$I$5:$I$204)="Y",1,"")),"")</f>
        <v/>
      </c>
      <c r="AA269" s="181" t="str">
        <f>IFERROR(LOOKUP(2,1/((B_Drainage!$A$5:$A$204&lt;&gt;"")*(B_Drainage!$A$5:$A$204&lt;=$B269)*(B_Drainage!$B$5:$B$204&gt;$B269)*(B_Drainage!$J$5:$J$204&lt;&gt;"")),IF(UPPER(B_Drainage!$J$5:$J$204)="Y",1,"")),"")</f>
        <v/>
      </c>
      <c r="AB269" s="182" t="str">
        <f>IFERROR(LOOKUP(2,1/((B_Drainage!$A$5:$A$204&lt;&gt;"")*(B_Drainage!$A$5:$A$204&lt;=$B269)*(B_Drainage!$B$5:$B$204&gt;$B269)*(B_Drainage!$K$5:$K$204&lt;&gt;"")),IF(B_Drainage!$K$5:$K$204="-","",B_Drainage!$K$5:$K$204)),"")</f>
        <v/>
      </c>
      <c r="AC269" s="182" t="str">
        <f>IFERROR(LOOKUP(2,1/((B_Drainage!$A$5:$A$204&lt;&gt;"")*(B_Drainage!$A$5:$A$204&lt;=$B269)*(B_Drainage!$B$5:$B$204&gt;$B269)*(B_Drainage!$L$5:$L$204&lt;&gt;"")),IF(B_Drainage!$L$5:$L$204="-","",B_Drainage!$L$5:$L$204)),"")</f>
        <v/>
      </c>
      <c r="AD269" s="182" t="str">
        <f>IFERROR(LOOKUP(2,1/((D_Points!$A$5:$A$204&lt;&gt;"")*(D_Points!$A$5:$A$204&gt;=$B269)*(D_Points!$A$5:$A$204&lt;$B269+P_Interval)*(UPPER(TRIM(D_Points!$B$5:$B$204))="TURNOUT_L")*(D_Points!$H$5:$H$204&lt;&gt;"")),D_Points!$H$5:$H$204),"")</f>
        <v/>
      </c>
      <c r="AE269" s="182" t="str">
        <f>IFERROR(LOOKUP(2,1/((D_Points!$A$5:$A$204&lt;&gt;"")*(D_Points!$A$5:$A$204&gt;=$B269)*(D_Points!$A$5:$A$204&lt;$B269+P_Interval)*(UPPER(TRIM(D_Points!$B$5:$B$204))="TURNOUT_R")*(D_Points!$H$5:$H$204&lt;&gt;"")),D_Points!$H$5:$H$204),"")</f>
        <v/>
      </c>
      <c r="AF269" s="181" t="str">
        <f>IFERROR(LOOKUP(2,1/((B_Drainage!$A$5:$A$204&lt;&gt;"")*(B_Drainage!$A$5:$A$204&lt;=$B269)*(B_Drainage!$B$5:$B$204&gt;$B269)*(B_Drainage!$M$5:$M$204&lt;&gt;"")),IF(UPPER(B_Drainage!$M$5:$M$204)="Y",1,"")),"")</f>
        <v/>
      </c>
      <c r="AG269" s="181" t="str">
        <f>IFERROR(LOOKUP(2,1/((B_Drainage!$A$5:$A$204&lt;&gt;"")*(B_Drainage!$A$5:$A$204&lt;=$B269)*(B_Drainage!$B$5:$B$204&gt;$B269)*(B_Drainage!$N$5:$N$204&lt;&gt;"")),IF(UPPER(B_Drainage!$N$5:$N$204)="Y",1,"")),"")</f>
        <v/>
      </c>
      <c r="AH269" s="181" t="str">
        <f t="shared" si="32"/>
        <v/>
      </c>
      <c r="AI269" s="181" t="str">
        <f t="shared" si="33"/>
        <v/>
      </c>
      <c r="AJ269" s="181" t="str">
        <f t="shared" si="34"/>
        <v/>
      </c>
      <c r="AK269" s="181" t="str">
        <f t="shared" si="35"/>
        <v/>
      </c>
      <c r="AL269" s="181" t="str">
        <f t="shared" si="36"/>
        <v/>
      </c>
      <c r="AM269" s="181" t="str">
        <f t="shared" si="37"/>
        <v/>
      </c>
      <c r="AN269" s="181" t="str">
        <f t="shared" si="38"/>
        <v/>
      </c>
      <c r="AO269" s="192" t="str">
        <f t="shared" si="39"/>
        <v/>
      </c>
      <c r="AQ269" t="str">
        <f>IFERROR(LOOKUP(2,1/((C_Pavement!$A$5:$A$204&lt;&gt;"")*(C_Pavement!$A$5:$A$204&lt;=$B269)*(C_Pavement!$B$5:$B$204&gt;$B269)*(C_Pavement!$C$5:$C$204&lt;&gt;"")),ROW(C_Pavement!$C$5:$C$204)-4),"")</f>
        <v/>
      </c>
      <c r="AR269" t="str">
        <f>IF($AQ269="","",UPPER(TRIM(INDEX(C_Pavement!$C$5:$C$204,$AQ269))))</f>
        <v/>
      </c>
      <c r="AS269" t="str">
        <f>IF($AR269="","",IFERROR(MATCH($AR269,E_Rules!$A$5:$A$9,0),""))</f>
        <v/>
      </c>
      <c r="AT269" t="str">
        <f>IF($AQ269="","",IF(INDEX(C_Pavement!$D$5:$D$204,$AQ269)&lt;&gt;"",UPPER(TRIM(INDEX(C_Pavement!$D$5:$D$204,$AQ269))),IF($AS269="","",INDEX(E_Rules!$C$5:$C$9,$AS269))))</f>
        <v/>
      </c>
      <c r="AU269" t="str">
        <f>IF($AQ269="","",IF(INDEX(C_Pavement!$E$5:$E$204,$AQ269)&lt;&gt;"",IF(INDEX(C_Pavement!$E$5:$E$204,$AQ269)="-","",INDEX(C_Pavement!$E$5:$E$204,$AQ269)),IF($AS269="","",INDEX(E_Rules!$D$5:$D$9,$AS269))))</f>
        <v/>
      </c>
      <c r="AV269" t="str">
        <f>IF($AQ269="","",IF(INDEX(C_Pavement!$F$5:$F$204,$AQ269)&lt;&gt;"",IF(INDEX(C_Pavement!$F$5:$F$204,$AQ269)="-","",INDEX(C_Pavement!$F$5:$F$204,$AQ269)),IF($AS269="","",INDEX(E_Rules!$E$5:$E$9,$AS269))))</f>
        <v/>
      </c>
      <c r="AW269" t="str">
        <f>IF($AQ269="","",IF(INDEX(C_Pavement!$G$5:$G$204,$AQ269)&lt;&gt;"",IF(INDEX(C_Pavement!$G$5:$G$204,$AQ269)="-","",INDEX(C_Pavement!$G$5:$G$204,$AQ269)),IF($AS269="","",INDEX(E_Rules!$F$5:$F$9,$AS269))))</f>
        <v/>
      </c>
      <c r="AX269" t="str">
        <f>IF($AQ269="","",IF(INDEX(C_Pavement!$H$5:$H$204,$AQ269)&lt;&gt;"",IF(INDEX(C_Pavement!$H$5:$H$204,$AQ269)="-","",INDEX(C_Pavement!$H$5:$H$204,$AQ269)),IF($AS269="","",INDEX(E_Rules!$G$5:$G$9,$AS269))))</f>
        <v/>
      </c>
      <c r="AY269" t="str">
        <f>IF($AQ269="","",IF(INDEX(C_Pavement!$I$5:$I$204,$AQ269)&lt;&gt;"",IF(INDEX(C_Pavement!$I$5:$I$204,$AQ269)="-","",INDEX(C_Pavement!$I$5:$I$204,$AQ269)),IF($AS269="","",INDEX(E_Rules!$H$5:$H$9,$AS269))))</f>
        <v/>
      </c>
    </row>
    <row r="270" spans="1:51" ht="15.75" customHeight="1" x14ac:dyDescent="0.3">
      <c r="A270" s="189">
        <v>265</v>
      </c>
      <c r="B270" s="180">
        <v>13200</v>
      </c>
      <c r="C270" s="180" t="s">
        <v>576</v>
      </c>
      <c r="D270" s="181" t="str">
        <f>IFERROR(LOOKUP(2,1/((A_Corridor!$A$5:$A$204&lt;&gt;"")*(A_Corridor!$A$5:$A$204&lt;=$B270)*(A_Corridor!$B$5:$B$204&gt;$B270)*(A_Corridor!$C$5:$C$204&lt;&gt;"")),IF(UPPER(A_Corridor!$C$5:$C$204)="Y",1,"")),"")</f>
        <v/>
      </c>
      <c r="E270" s="181" t="str">
        <f>IFERROR(LOOKUP(2,1/((A_Corridor!$A$5:$A$204&lt;&gt;"")*(A_Corridor!$A$5:$A$204&lt;=$B270)*(A_Corridor!$B$5:$B$204&gt;$B270)*(A_Corridor!$D$5:$D$204&lt;&gt;"")),IF(A_Corridor!$D$5:$D$204="-","",UPPER(A_Corridor!$D$5:$D$204))),"")</f>
        <v/>
      </c>
      <c r="F270" s="181" t="str">
        <f>IFERROR(LOOKUP(2,1/((A_Corridor!$A$5:$A$204&lt;&gt;"")*(A_Corridor!$A$5:$A$204&lt;=$B270)*(A_Corridor!$B$5:$B$204&gt;$B270)*(A_Corridor!$E$5:$E$204&lt;&gt;"")),IF(A_Corridor!$E$5:$E$204="-","",1)),"")</f>
        <v/>
      </c>
      <c r="G270" s="182" t="str">
        <f>IFERROR(LOOKUP(2,1/((A_Corridor!$A$5:$A$204&lt;&gt;"")*(A_Corridor!$A$5:$A$204&lt;=$B270)*(A_Corridor!$B$5:$B$204&gt;$B270)*(A_Corridor!$E$5:$E$204&lt;&gt;"")),IF(A_Corridor!$E$5:$E$204="-","",A_Corridor!$E$5:$E$204)),"")</f>
        <v/>
      </c>
      <c r="H270" s="182" t="str">
        <f>IFERROR(LOOKUP(2,1/((D_Points!$A$5:$A$204&lt;&gt;"")*(D_Points!$A$5:$A$204&gt;=$B270)*(D_Points!$A$5:$A$204&lt;$B270+P_Interval)*(UPPER(TRIM(D_Points!$B$5:$B$204))="GULLY")*(D_Points!$H$5:$H$204&lt;&gt;"")),D_Points!$H$5:$H$204),"")</f>
        <v/>
      </c>
      <c r="I270" s="181" t="str">
        <f>IFERROR(LOOKUP(2,1/((A_Corridor!$A$5:$A$204&lt;&gt;"")*(A_Corridor!$A$5:$A$204&lt;=$B270)*(A_Corridor!$B$5:$B$204&gt;$B270)*(A_Corridor!$F$5:$F$204&lt;&gt;"")),IF(A_Corridor!$F$5:$F$204="-","",1)),"")</f>
        <v/>
      </c>
      <c r="J270" s="182" t="str">
        <f>IFERROR(LOOKUP(2,1/((A_Corridor!$A$5:$A$204&lt;&gt;"")*(A_Corridor!$A$5:$A$204&lt;=$B270)*(A_Corridor!$B$5:$B$204&gt;$B270)*(A_Corridor!$F$5:$F$204&lt;&gt;"")),IF(A_Corridor!$F$5:$F$204="-","",A_Corridor!$F$5:$F$204)),"")</f>
        <v/>
      </c>
      <c r="K270" s="182" t="str">
        <f>IFERROR(LOOKUP(2,1/((A_Corridor!$A$5:$A$204&lt;&gt;"")*(A_Corridor!$A$5:$A$204&lt;=$B270)*(A_Corridor!$B$5:$B$204&gt;$B270)*(A_Corridor!$G$5:$G$204&lt;&gt;"")),IF(A_Corridor!$G$5:$G$204="-","",A_Corridor!$G$5:$G$204)),"")</f>
        <v/>
      </c>
      <c r="L270" s="181" t="str">
        <f>IFERROR(LOOKUP(2,1/((A_Corridor!$A$5:$A$204&lt;&gt;"")*(A_Corridor!$A$5:$A$204&lt;=$B270)*(A_Corridor!$B$5:$B$204&gt;$B270)*(A_Corridor!$H$5:$H$204&lt;&gt;"")),IF(A_Corridor!$H$5:$H$204="-","",1)),"")</f>
        <v/>
      </c>
      <c r="M270" s="182" t="str">
        <f>IFERROR(LOOKUP(2,1/((A_Corridor!$A$5:$A$204&lt;&gt;"")*(A_Corridor!$A$5:$A$204&lt;=$B270)*(A_Corridor!$B$5:$B$204&gt;$B270)*(A_Corridor!$H$5:$H$204&lt;&gt;"")),IF(A_Corridor!$H$5:$H$204="-","",A_Corridor!$H$5:$H$204)),"")</f>
        <v/>
      </c>
      <c r="N270" s="182" t="str">
        <f>IFERROR(LOOKUP(2,1/((A_Corridor!$A$5:$A$204&lt;&gt;"")*(A_Corridor!$A$5:$A$204&lt;=$B270)*(A_Corridor!$B$5:$B$204&gt;$B270)*(A_Corridor!$I$5:$I$204&lt;&gt;"")),IF(A_Corridor!$I$5:$I$204="-","",A_Corridor!$I$5:$I$204)),"")</f>
        <v/>
      </c>
      <c r="O270" s="182" t="str">
        <f>IFERROR(LOOKUP(2,1/((D_Points!$A$5:$A$204&lt;&gt;"")*(D_Points!$A$5:$A$204&gt;=$B270)*(D_Points!$A$5:$A$204&lt;$B270+P_Interval)*(UPPER(TRIM(D_Points!$B$5:$B$204))="PITCHING")*(D_Points!$H$5:$H$204&lt;&gt;"")),D_Points!$H$5:$H$204),"")</f>
        <v/>
      </c>
      <c r="P270" s="181" t="str">
        <f>IFERROR(LOOKUP(2,1/((B_Drainage!$A$5:$A$204&lt;&gt;"")*(B_Drainage!$A$5:$A$204&lt;=$B270)*(B_Drainage!$B$5:$B$204&gt;$B270)*(B_Drainage!$C$5:$C$204&lt;&gt;"")),IF(B_Drainage!$C$5:$C$204="-","",UPPER(B_Drainage!$C$5:$C$204))),"")</f>
        <v/>
      </c>
      <c r="Q270" s="181" t="str">
        <f>IFERROR(LOOKUP(2,1/((B_Drainage!$A$5:$A$204&lt;&gt;"")*(B_Drainage!$A$5:$A$204&lt;=$B270)*(B_Drainage!$B$5:$B$204&gt;$B270)*(B_Drainage!$D$5:$D$204&lt;&gt;"")),IF(B_Drainage!$D$5:$D$204="-","",UPPER(B_Drainage!$D$5:$D$204))),"")</f>
        <v/>
      </c>
      <c r="R270" s="182" t="str">
        <f>IFERROR(LOOKUP(2,1/((D_Points!$A$5:$A$204&lt;&gt;"")*(D_Points!$A$5:$A$204&gt;=$B270)*(D_Points!$A$5:$A$204&lt;$B270+P_Interval)*(RIGHT(UPPER(TRIM(D_Points!$B$5:$B$204)),8)="_CULVERT")),IF(LEFT(UPPER(TRIM(D_Points!$B$5:$B$204)),2)="EX",1,IF(LEFT(UPPER(TRIM(D_Points!$B$5:$B$204)),2)="PR",2,3))),"")</f>
        <v/>
      </c>
      <c r="S270" s="182" t="str">
        <f>IFERROR(LOOKUP(2,1/((D_Points!$A$5:$A$204&lt;&gt;"")*(D_Points!$A$5:$A$204&gt;=$B270)*(D_Points!$A$5:$A$204&lt;$B270+P_Interval)*(RIGHT(UPPER(TRIM(D_Points!$B$5:$B$204)),7)="_BRIDGE")),IF(LEFT(UPPER(TRIM(D_Points!$B$5:$B$204)),2)="EX",1,IF(LEFT(UPPER(TRIM(D_Points!$B$5:$B$204)),2)="PR",2,2))),"")</f>
        <v/>
      </c>
      <c r="T270" s="181" t="str">
        <f>IFERROR(LOOKUP(2,1/((B_Drainage!$A$5:$A$204&lt;&gt;"")*(B_Drainage!$A$5:$A$204&lt;=$B270)*(B_Drainage!$B$5:$B$204&gt;$B270)*(B_Drainage!$E$5:$E$204&lt;&gt;"")),IF(B_Drainage!$E$5:$E$204="-","",1)),"")</f>
        <v/>
      </c>
      <c r="U270" s="181" t="str">
        <f>IFERROR(LOOKUP(2,1/((B_Drainage!$A$5:$A$204&lt;&gt;"")*(B_Drainage!$A$5:$A$204&lt;=$B270)*(B_Drainage!$B$5:$B$204&gt;$B270)*(B_Drainage!$E$5:$E$204&lt;&gt;"")),IF(B_Drainage!$E$5:$E$204="-","",B_Drainage!$E$5:$E$204)),"")</f>
        <v/>
      </c>
      <c r="V270" s="181" t="str">
        <f>IFERROR(LOOKUP(2,1/((B_Drainage!$A$5:$A$204&lt;&gt;"")*(B_Drainage!$A$5:$A$204&lt;=$B270)*(B_Drainage!$B$5:$B$204&gt;$B270)*(B_Drainage!$F$5:$F$204&lt;&gt;"")),IF(B_Drainage!$F$5:$F$204="-","",1)),"")</f>
        <v/>
      </c>
      <c r="W270" s="181" t="str">
        <f>IFERROR(LOOKUP(2,1/((B_Drainage!$A$5:$A$204&lt;&gt;"")*(B_Drainage!$A$5:$A$204&lt;=$B270)*(B_Drainage!$B$5:$B$204&gt;$B270)*(B_Drainage!$F$5:$F$204&lt;&gt;"")),IF(B_Drainage!$F$5:$F$204="-","",B_Drainage!$F$5:$F$204)),"")</f>
        <v/>
      </c>
      <c r="X270" s="181" t="str">
        <f>IFERROR(LOOKUP(2,1/((B_Drainage!$A$5:$A$204&lt;&gt;"")*(B_Drainage!$A$5:$A$204&lt;=$B270)*(B_Drainage!$B$5:$B$204&gt;$B270)*(B_Drainage!$G$5:$G$204&lt;&gt;"")),IF(UPPER(B_Drainage!$G$5:$G$204)="Y",1,"")),"")</f>
        <v/>
      </c>
      <c r="Y270" s="181" t="str">
        <f>IFERROR(LOOKUP(2,1/((B_Drainage!$A$5:$A$204&lt;&gt;"")*(B_Drainage!$A$5:$A$204&lt;=$B270)*(B_Drainage!$B$5:$B$204&gt;$B270)*(B_Drainage!$H$5:$H$204&lt;&gt;"")),IF(UPPER(B_Drainage!$H$5:$H$204)="Y",1,"")),"")</f>
        <v/>
      </c>
      <c r="Z270" s="181" t="str">
        <f>IFERROR(LOOKUP(2,1/((B_Drainage!$A$5:$A$204&lt;&gt;"")*(B_Drainage!$A$5:$A$204&lt;=$B270)*(B_Drainage!$B$5:$B$204&gt;$B270)*(B_Drainage!$I$5:$I$204&lt;&gt;"")),IF(UPPER(B_Drainage!$I$5:$I$204)="Y",1,"")),"")</f>
        <v/>
      </c>
      <c r="AA270" s="181" t="str">
        <f>IFERROR(LOOKUP(2,1/((B_Drainage!$A$5:$A$204&lt;&gt;"")*(B_Drainage!$A$5:$A$204&lt;=$B270)*(B_Drainage!$B$5:$B$204&gt;$B270)*(B_Drainage!$J$5:$J$204&lt;&gt;"")),IF(UPPER(B_Drainage!$J$5:$J$204)="Y",1,"")),"")</f>
        <v/>
      </c>
      <c r="AB270" s="182" t="str">
        <f>IFERROR(LOOKUP(2,1/((B_Drainage!$A$5:$A$204&lt;&gt;"")*(B_Drainage!$A$5:$A$204&lt;=$B270)*(B_Drainage!$B$5:$B$204&gt;$B270)*(B_Drainage!$K$5:$K$204&lt;&gt;"")),IF(B_Drainage!$K$5:$K$204="-","",B_Drainage!$K$5:$K$204)),"")</f>
        <v/>
      </c>
      <c r="AC270" s="182" t="str">
        <f>IFERROR(LOOKUP(2,1/((B_Drainage!$A$5:$A$204&lt;&gt;"")*(B_Drainage!$A$5:$A$204&lt;=$B270)*(B_Drainage!$B$5:$B$204&gt;$B270)*(B_Drainage!$L$5:$L$204&lt;&gt;"")),IF(B_Drainage!$L$5:$L$204="-","",B_Drainage!$L$5:$L$204)),"")</f>
        <v/>
      </c>
      <c r="AD270" s="182" t="str">
        <f>IFERROR(LOOKUP(2,1/((D_Points!$A$5:$A$204&lt;&gt;"")*(D_Points!$A$5:$A$204&gt;=$B270)*(D_Points!$A$5:$A$204&lt;$B270+P_Interval)*(UPPER(TRIM(D_Points!$B$5:$B$204))="TURNOUT_L")*(D_Points!$H$5:$H$204&lt;&gt;"")),D_Points!$H$5:$H$204),"")</f>
        <v/>
      </c>
      <c r="AE270" s="182" t="str">
        <f>IFERROR(LOOKUP(2,1/((D_Points!$A$5:$A$204&lt;&gt;"")*(D_Points!$A$5:$A$204&gt;=$B270)*(D_Points!$A$5:$A$204&lt;$B270+P_Interval)*(UPPER(TRIM(D_Points!$B$5:$B$204))="TURNOUT_R")*(D_Points!$H$5:$H$204&lt;&gt;"")),D_Points!$H$5:$H$204),"")</f>
        <v/>
      </c>
      <c r="AF270" s="181" t="str">
        <f>IFERROR(LOOKUP(2,1/((B_Drainage!$A$5:$A$204&lt;&gt;"")*(B_Drainage!$A$5:$A$204&lt;=$B270)*(B_Drainage!$B$5:$B$204&gt;$B270)*(B_Drainage!$M$5:$M$204&lt;&gt;"")),IF(UPPER(B_Drainage!$M$5:$M$204)="Y",1,"")),"")</f>
        <v/>
      </c>
      <c r="AG270" s="181" t="str">
        <f>IFERROR(LOOKUP(2,1/((B_Drainage!$A$5:$A$204&lt;&gt;"")*(B_Drainage!$A$5:$A$204&lt;=$B270)*(B_Drainage!$B$5:$B$204&gt;$B270)*(B_Drainage!$N$5:$N$204&lt;&gt;"")),IF(UPPER(B_Drainage!$N$5:$N$204)="Y",1,"")),"")</f>
        <v/>
      </c>
      <c r="AH270" s="181" t="str">
        <f t="shared" si="32"/>
        <v/>
      </c>
      <c r="AI270" s="181" t="str">
        <f t="shared" si="33"/>
        <v/>
      </c>
      <c r="AJ270" s="181" t="str">
        <f t="shared" si="34"/>
        <v/>
      </c>
      <c r="AK270" s="181" t="str">
        <f t="shared" si="35"/>
        <v/>
      </c>
      <c r="AL270" s="181" t="str">
        <f t="shared" si="36"/>
        <v/>
      </c>
      <c r="AM270" s="181" t="str">
        <f t="shared" si="37"/>
        <v/>
      </c>
      <c r="AN270" s="181" t="str">
        <f t="shared" si="38"/>
        <v/>
      </c>
      <c r="AO270" s="192" t="str">
        <f t="shared" si="39"/>
        <v/>
      </c>
      <c r="AQ270" t="str">
        <f>IFERROR(LOOKUP(2,1/((C_Pavement!$A$5:$A$204&lt;&gt;"")*(C_Pavement!$A$5:$A$204&lt;=$B270)*(C_Pavement!$B$5:$B$204&gt;$B270)*(C_Pavement!$C$5:$C$204&lt;&gt;"")),ROW(C_Pavement!$C$5:$C$204)-4),"")</f>
        <v/>
      </c>
      <c r="AR270" t="str">
        <f>IF($AQ270="","",UPPER(TRIM(INDEX(C_Pavement!$C$5:$C$204,$AQ270))))</f>
        <v/>
      </c>
      <c r="AS270" t="str">
        <f>IF($AR270="","",IFERROR(MATCH($AR270,E_Rules!$A$5:$A$9,0),""))</f>
        <v/>
      </c>
      <c r="AT270" t="str">
        <f>IF($AQ270="","",IF(INDEX(C_Pavement!$D$5:$D$204,$AQ270)&lt;&gt;"",UPPER(TRIM(INDEX(C_Pavement!$D$5:$D$204,$AQ270))),IF($AS270="","",INDEX(E_Rules!$C$5:$C$9,$AS270))))</f>
        <v/>
      </c>
      <c r="AU270" t="str">
        <f>IF($AQ270="","",IF(INDEX(C_Pavement!$E$5:$E$204,$AQ270)&lt;&gt;"",IF(INDEX(C_Pavement!$E$5:$E$204,$AQ270)="-","",INDEX(C_Pavement!$E$5:$E$204,$AQ270)),IF($AS270="","",INDEX(E_Rules!$D$5:$D$9,$AS270))))</f>
        <v/>
      </c>
      <c r="AV270" t="str">
        <f>IF($AQ270="","",IF(INDEX(C_Pavement!$F$5:$F$204,$AQ270)&lt;&gt;"",IF(INDEX(C_Pavement!$F$5:$F$204,$AQ270)="-","",INDEX(C_Pavement!$F$5:$F$204,$AQ270)),IF($AS270="","",INDEX(E_Rules!$E$5:$E$9,$AS270))))</f>
        <v/>
      </c>
      <c r="AW270" t="str">
        <f>IF($AQ270="","",IF(INDEX(C_Pavement!$G$5:$G$204,$AQ270)&lt;&gt;"",IF(INDEX(C_Pavement!$G$5:$G$204,$AQ270)="-","",INDEX(C_Pavement!$G$5:$G$204,$AQ270)),IF($AS270="","",INDEX(E_Rules!$F$5:$F$9,$AS270))))</f>
        <v/>
      </c>
      <c r="AX270" t="str">
        <f>IF($AQ270="","",IF(INDEX(C_Pavement!$H$5:$H$204,$AQ270)&lt;&gt;"",IF(INDEX(C_Pavement!$H$5:$H$204,$AQ270)="-","",INDEX(C_Pavement!$H$5:$H$204,$AQ270)),IF($AS270="","",INDEX(E_Rules!$G$5:$G$9,$AS270))))</f>
        <v/>
      </c>
      <c r="AY270" t="str">
        <f>IF($AQ270="","",IF(INDEX(C_Pavement!$I$5:$I$204,$AQ270)&lt;&gt;"",IF(INDEX(C_Pavement!$I$5:$I$204,$AQ270)="-","",INDEX(C_Pavement!$I$5:$I$204,$AQ270)),IF($AS270="","",INDEX(E_Rules!$H$5:$H$9,$AS270))))</f>
        <v/>
      </c>
    </row>
    <row r="271" spans="1:51" ht="15.75" customHeight="1" x14ac:dyDescent="0.3">
      <c r="A271" s="189">
        <v>266</v>
      </c>
      <c r="B271" s="180">
        <v>13250</v>
      </c>
      <c r="C271" s="180" t="s">
        <v>577</v>
      </c>
      <c r="D271" s="181" t="str">
        <f>IFERROR(LOOKUP(2,1/((A_Corridor!$A$5:$A$204&lt;&gt;"")*(A_Corridor!$A$5:$A$204&lt;=$B271)*(A_Corridor!$B$5:$B$204&gt;$B271)*(A_Corridor!$C$5:$C$204&lt;&gt;"")),IF(UPPER(A_Corridor!$C$5:$C$204)="Y",1,"")),"")</f>
        <v/>
      </c>
      <c r="E271" s="181" t="str">
        <f>IFERROR(LOOKUP(2,1/((A_Corridor!$A$5:$A$204&lt;&gt;"")*(A_Corridor!$A$5:$A$204&lt;=$B271)*(A_Corridor!$B$5:$B$204&gt;$B271)*(A_Corridor!$D$5:$D$204&lt;&gt;"")),IF(A_Corridor!$D$5:$D$204="-","",UPPER(A_Corridor!$D$5:$D$204))),"")</f>
        <v/>
      </c>
      <c r="F271" s="181" t="str">
        <f>IFERROR(LOOKUP(2,1/((A_Corridor!$A$5:$A$204&lt;&gt;"")*(A_Corridor!$A$5:$A$204&lt;=$B271)*(A_Corridor!$B$5:$B$204&gt;$B271)*(A_Corridor!$E$5:$E$204&lt;&gt;"")),IF(A_Corridor!$E$5:$E$204="-","",1)),"")</f>
        <v/>
      </c>
      <c r="G271" s="182" t="str">
        <f>IFERROR(LOOKUP(2,1/((A_Corridor!$A$5:$A$204&lt;&gt;"")*(A_Corridor!$A$5:$A$204&lt;=$B271)*(A_Corridor!$B$5:$B$204&gt;$B271)*(A_Corridor!$E$5:$E$204&lt;&gt;"")),IF(A_Corridor!$E$5:$E$204="-","",A_Corridor!$E$5:$E$204)),"")</f>
        <v/>
      </c>
      <c r="H271" s="182" t="str">
        <f>IFERROR(LOOKUP(2,1/((D_Points!$A$5:$A$204&lt;&gt;"")*(D_Points!$A$5:$A$204&gt;=$B271)*(D_Points!$A$5:$A$204&lt;$B271+P_Interval)*(UPPER(TRIM(D_Points!$B$5:$B$204))="GULLY")*(D_Points!$H$5:$H$204&lt;&gt;"")),D_Points!$H$5:$H$204),"")</f>
        <v/>
      </c>
      <c r="I271" s="181" t="str">
        <f>IFERROR(LOOKUP(2,1/((A_Corridor!$A$5:$A$204&lt;&gt;"")*(A_Corridor!$A$5:$A$204&lt;=$B271)*(A_Corridor!$B$5:$B$204&gt;$B271)*(A_Corridor!$F$5:$F$204&lt;&gt;"")),IF(A_Corridor!$F$5:$F$204="-","",1)),"")</f>
        <v/>
      </c>
      <c r="J271" s="182" t="str">
        <f>IFERROR(LOOKUP(2,1/((A_Corridor!$A$5:$A$204&lt;&gt;"")*(A_Corridor!$A$5:$A$204&lt;=$B271)*(A_Corridor!$B$5:$B$204&gt;$B271)*(A_Corridor!$F$5:$F$204&lt;&gt;"")),IF(A_Corridor!$F$5:$F$204="-","",A_Corridor!$F$5:$F$204)),"")</f>
        <v/>
      </c>
      <c r="K271" s="182" t="str">
        <f>IFERROR(LOOKUP(2,1/((A_Corridor!$A$5:$A$204&lt;&gt;"")*(A_Corridor!$A$5:$A$204&lt;=$B271)*(A_Corridor!$B$5:$B$204&gt;$B271)*(A_Corridor!$G$5:$G$204&lt;&gt;"")),IF(A_Corridor!$G$5:$G$204="-","",A_Corridor!$G$5:$G$204)),"")</f>
        <v/>
      </c>
      <c r="L271" s="181" t="str">
        <f>IFERROR(LOOKUP(2,1/((A_Corridor!$A$5:$A$204&lt;&gt;"")*(A_Corridor!$A$5:$A$204&lt;=$B271)*(A_Corridor!$B$5:$B$204&gt;$B271)*(A_Corridor!$H$5:$H$204&lt;&gt;"")),IF(A_Corridor!$H$5:$H$204="-","",1)),"")</f>
        <v/>
      </c>
      <c r="M271" s="182" t="str">
        <f>IFERROR(LOOKUP(2,1/((A_Corridor!$A$5:$A$204&lt;&gt;"")*(A_Corridor!$A$5:$A$204&lt;=$B271)*(A_Corridor!$B$5:$B$204&gt;$B271)*(A_Corridor!$H$5:$H$204&lt;&gt;"")),IF(A_Corridor!$H$5:$H$204="-","",A_Corridor!$H$5:$H$204)),"")</f>
        <v/>
      </c>
      <c r="N271" s="182" t="str">
        <f>IFERROR(LOOKUP(2,1/((A_Corridor!$A$5:$A$204&lt;&gt;"")*(A_Corridor!$A$5:$A$204&lt;=$B271)*(A_Corridor!$B$5:$B$204&gt;$B271)*(A_Corridor!$I$5:$I$204&lt;&gt;"")),IF(A_Corridor!$I$5:$I$204="-","",A_Corridor!$I$5:$I$204)),"")</f>
        <v/>
      </c>
      <c r="O271" s="182" t="str">
        <f>IFERROR(LOOKUP(2,1/((D_Points!$A$5:$A$204&lt;&gt;"")*(D_Points!$A$5:$A$204&gt;=$B271)*(D_Points!$A$5:$A$204&lt;$B271+P_Interval)*(UPPER(TRIM(D_Points!$B$5:$B$204))="PITCHING")*(D_Points!$H$5:$H$204&lt;&gt;"")),D_Points!$H$5:$H$204),"")</f>
        <v/>
      </c>
      <c r="P271" s="181" t="str">
        <f>IFERROR(LOOKUP(2,1/((B_Drainage!$A$5:$A$204&lt;&gt;"")*(B_Drainage!$A$5:$A$204&lt;=$B271)*(B_Drainage!$B$5:$B$204&gt;$B271)*(B_Drainage!$C$5:$C$204&lt;&gt;"")),IF(B_Drainage!$C$5:$C$204="-","",UPPER(B_Drainage!$C$5:$C$204))),"")</f>
        <v/>
      </c>
      <c r="Q271" s="181" t="str">
        <f>IFERROR(LOOKUP(2,1/((B_Drainage!$A$5:$A$204&lt;&gt;"")*(B_Drainage!$A$5:$A$204&lt;=$B271)*(B_Drainage!$B$5:$B$204&gt;$B271)*(B_Drainage!$D$5:$D$204&lt;&gt;"")),IF(B_Drainage!$D$5:$D$204="-","",UPPER(B_Drainage!$D$5:$D$204))),"")</f>
        <v/>
      </c>
      <c r="R271" s="182" t="str">
        <f>IFERROR(LOOKUP(2,1/((D_Points!$A$5:$A$204&lt;&gt;"")*(D_Points!$A$5:$A$204&gt;=$B271)*(D_Points!$A$5:$A$204&lt;$B271+P_Interval)*(RIGHT(UPPER(TRIM(D_Points!$B$5:$B$204)),8)="_CULVERT")),IF(LEFT(UPPER(TRIM(D_Points!$B$5:$B$204)),2)="EX",1,IF(LEFT(UPPER(TRIM(D_Points!$B$5:$B$204)),2)="PR",2,3))),"")</f>
        <v/>
      </c>
      <c r="S271" s="182" t="str">
        <f>IFERROR(LOOKUP(2,1/((D_Points!$A$5:$A$204&lt;&gt;"")*(D_Points!$A$5:$A$204&gt;=$B271)*(D_Points!$A$5:$A$204&lt;$B271+P_Interval)*(RIGHT(UPPER(TRIM(D_Points!$B$5:$B$204)),7)="_BRIDGE")),IF(LEFT(UPPER(TRIM(D_Points!$B$5:$B$204)),2)="EX",1,IF(LEFT(UPPER(TRIM(D_Points!$B$5:$B$204)),2)="PR",2,2))),"")</f>
        <v/>
      </c>
      <c r="T271" s="181" t="str">
        <f>IFERROR(LOOKUP(2,1/((B_Drainage!$A$5:$A$204&lt;&gt;"")*(B_Drainage!$A$5:$A$204&lt;=$B271)*(B_Drainage!$B$5:$B$204&gt;$B271)*(B_Drainage!$E$5:$E$204&lt;&gt;"")),IF(B_Drainage!$E$5:$E$204="-","",1)),"")</f>
        <v/>
      </c>
      <c r="U271" s="181" t="str">
        <f>IFERROR(LOOKUP(2,1/((B_Drainage!$A$5:$A$204&lt;&gt;"")*(B_Drainage!$A$5:$A$204&lt;=$B271)*(B_Drainage!$B$5:$B$204&gt;$B271)*(B_Drainage!$E$5:$E$204&lt;&gt;"")),IF(B_Drainage!$E$5:$E$204="-","",B_Drainage!$E$5:$E$204)),"")</f>
        <v/>
      </c>
      <c r="V271" s="181" t="str">
        <f>IFERROR(LOOKUP(2,1/((B_Drainage!$A$5:$A$204&lt;&gt;"")*(B_Drainage!$A$5:$A$204&lt;=$B271)*(B_Drainage!$B$5:$B$204&gt;$B271)*(B_Drainage!$F$5:$F$204&lt;&gt;"")),IF(B_Drainage!$F$5:$F$204="-","",1)),"")</f>
        <v/>
      </c>
      <c r="W271" s="181" t="str">
        <f>IFERROR(LOOKUP(2,1/((B_Drainage!$A$5:$A$204&lt;&gt;"")*(B_Drainage!$A$5:$A$204&lt;=$B271)*(B_Drainage!$B$5:$B$204&gt;$B271)*(B_Drainage!$F$5:$F$204&lt;&gt;"")),IF(B_Drainage!$F$5:$F$204="-","",B_Drainage!$F$5:$F$204)),"")</f>
        <v/>
      </c>
      <c r="X271" s="181" t="str">
        <f>IFERROR(LOOKUP(2,1/((B_Drainage!$A$5:$A$204&lt;&gt;"")*(B_Drainage!$A$5:$A$204&lt;=$B271)*(B_Drainage!$B$5:$B$204&gt;$B271)*(B_Drainage!$G$5:$G$204&lt;&gt;"")),IF(UPPER(B_Drainage!$G$5:$G$204)="Y",1,"")),"")</f>
        <v/>
      </c>
      <c r="Y271" s="181" t="str">
        <f>IFERROR(LOOKUP(2,1/((B_Drainage!$A$5:$A$204&lt;&gt;"")*(B_Drainage!$A$5:$A$204&lt;=$B271)*(B_Drainage!$B$5:$B$204&gt;$B271)*(B_Drainage!$H$5:$H$204&lt;&gt;"")),IF(UPPER(B_Drainage!$H$5:$H$204)="Y",1,"")),"")</f>
        <v/>
      </c>
      <c r="Z271" s="181" t="str">
        <f>IFERROR(LOOKUP(2,1/((B_Drainage!$A$5:$A$204&lt;&gt;"")*(B_Drainage!$A$5:$A$204&lt;=$B271)*(B_Drainage!$B$5:$B$204&gt;$B271)*(B_Drainage!$I$5:$I$204&lt;&gt;"")),IF(UPPER(B_Drainage!$I$5:$I$204)="Y",1,"")),"")</f>
        <v/>
      </c>
      <c r="AA271" s="181" t="str">
        <f>IFERROR(LOOKUP(2,1/((B_Drainage!$A$5:$A$204&lt;&gt;"")*(B_Drainage!$A$5:$A$204&lt;=$B271)*(B_Drainage!$B$5:$B$204&gt;$B271)*(B_Drainage!$J$5:$J$204&lt;&gt;"")),IF(UPPER(B_Drainage!$J$5:$J$204)="Y",1,"")),"")</f>
        <v/>
      </c>
      <c r="AB271" s="182" t="str">
        <f>IFERROR(LOOKUP(2,1/((B_Drainage!$A$5:$A$204&lt;&gt;"")*(B_Drainage!$A$5:$A$204&lt;=$B271)*(B_Drainage!$B$5:$B$204&gt;$B271)*(B_Drainage!$K$5:$K$204&lt;&gt;"")),IF(B_Drainage!$K$5:$K$204="-","",B_Drainage!$K$5:$K$204)),"")</f>
        <v/>
      </c>
      <c r="AC271" s="182" t="str">
        <f>IFERROR(LOOKUP(2,1/((B_Drainage!$A$5:$A$204&lt;&gt;"")*(B_Drainage!$A$5:$A$204&lt;=$B271)*(B_Drainage!$B$5:$B$204&gt;$B271)*(B_Drainage!$L$5:$L$204&lt;&gt;"")),IF(B_Drainage!$L$5:$L$204="-","",B_Drainage!$L$5:$L$204)),"")</f>
        <v/>
      </c>
      <c r="AD271" s="182" t="str">
        <f>IFERROR(LOOKUP(2,1/((D_Points!$A$5:$A$204&lt;&gt;"")*(D_Points!$A$5:$A$204&gt;=$B271)*(D_Points!$A$5:$A$204&lt;$B271+P_Interval)*(UPPER(TRIM(D_Points!$B$5:$B$204))="TURNOUT_L")*(D_Points!$H$5:$H$204&lt;&gt;"")),D_Points!$H$5:$H$204),"")</f>
        <v/>
      </c>
      <c r="AE271" s="182" t="str">
        <f>IFERROR(LOOKUP(2,1/((D_Points!$A$5:$A$204&lt;&gt;"")*(D_Points!$A$5:$A$204&gt;=$B271)*(D_Points!$A$5:$A$204&lt;$B271+P_Interval)*(UPPER(TRIM(D_Points!$B$5:$B$204))="TURNOUT_R")*(D_Points!$H$5:$H$204&lt;&gt;"")),D_Points!$H$5:$H$204),"")</f>
        <v/>
      </c>
      <c r="AF271" s="181" t="str">
        <f>IFERROR(LOOKUP(2,1/((B_Drainage!$A$5:$A$204&lt;&gt;"")*(B_Drainage!$A$5:$A$204&lt;=$B271)*(B_Drainage!$B$5:$B$204&gt;$B271)*(B_Drainage!$M$5:$M$204&lt;&gt;"")),IF(UPPER(B_Drainage!$M$5:$M$204)="Y",1,"")),"")</f>
        <v/>
      </c>
      <c r="AG271" s="181" t="str">
        <f>IFERROR(LOOKUP(2,1/((B_Drainage!$A$5:$A$204&lt;&gt;"")*(B_Drainage!$A$5:$A$204&lt;=$B271)*(B_Drainage!$B$5:$B$204&gt;$B271)*(B_Drainage!$N$5:$N$204&lt;&gt;"")),IF(UPPER(B_Drainage!$N$5:$N$204)="Y",1,"")),"")</f>
        <v/>
      </c>
      <c r="AH271" s="181" t="str">
        <f t="shared" si="32"/>
        <v/>
      </c>
      <c r="AI271" s="181" t="str">
        <f t="shared" si="33"/>
        <v/>
      </c>
      <c r="AJ271" s="181" t="str">
        <f t="shared" si="34"/>
        <v/>
      </c>
      <c r="AK271" s="181" t="str">
        <f t="shared" si="35"/>
        <v/>
      </c>
      <c r="AL271" s="181" t="str">
        <f t="shared" si="36"/>
        <v/>
      </c>
      <c r="AM271" s="181" t="str">
        <f t="shared" si="37"/>
        <v/>
      </c>
      <c r="AN271" s="181" t="str">
        <f t="shared" si="38"/>
        <v/>
      </c>
      <c r="AO271" s="192" t="str">
        <f t="shared" si="39"/>
        <v/>
      </c>
      <c r="AQ271" t="str">
        <f>IFERROR(LOOKUP(2,1/((C_Pavement!$A$5:$A$204&lt;&gt;"")*(C_Pavement!$A$5:$A$204&lt;=$B271)*(C_Pavement!$B$5:$B$204&gt;$B271)*(C_Pavement!$C$5:$C$204&lt;&gt;"")),ROW(C_Pavement!$C$5:$C$204)-4),"")</f>
        <v/>
      </c>
      <c r="AR271" t="str">
        <f>IF($AQ271="","",UPPER(TRIM(INDEX(C_Pavement!$C$5:$C$204,$AQ271))))</f>
        <v/>
      </c>
      <c r="AS271" t="str">
        <f>IF($AR271="","",IFERROR(MATCH($AR271,E_Rules!$A$5:$A$9,0),""))</f>
        <v/>
      </c>
      <c r="AT271" t="str">
        <f>IF($AQ271="","",IF(INDEX(C_Pavement!$D$5:$D$204,$AQ271)&lt;&gt;"",UPPER(TRIM(INDEX(C_Pavement!$D$5:$D$204,$AQ271))),IF($AS271="","",INDEX(E_Rules!$C$5:$C$9,$AS271))))</f>
        <v/>
      </c>
      <c r="AU271" t="str">
        <f>IF($AQ271="","",IF(INDEX(C_Pavement!$E$5:$E$204,$AQ271)&lt;&gt;"",IF(INDEX(C_Pavement!$E$5:$E$204,$AQ271)="-","",INDEX(C_Pavement!$E$5:$E$204,$AQ271)),IF($AS271="","",INDEX(E_Rules!$D$5:$D$9,$AS271))))</f>
        <v/>
      </c>
      <c r="AV271" t="str">
        <f>IF($AQ271="","",IF(INDEX(C_Pavement!$F$5:$F$204,$AQ271)&lt;&gt;"",IF(INDEX(C_Pavement!$F$5:$F$204,$AQ271)="-","",INDEX(C_Pavement!$F$5:$F$204,$AQ271)),IF($AS271="","",INDEX(E_Rules!$E$5:$E$9,$AS271))))</f>
        <v/>
      </c>
      <c r="AW271" t="str">
        <f>IF($AQ271="","",IF(INDEX(C_Pavement!$G$5:$G$204,$AQ271)&lt;&gt;"",IF(INDEX(C_Pavement!$G$5:$G$204,$AQ271)="-","",INDEX(C_Pavement!$G$5:$G$204,$AQ271)),IF($AS271="","",INDEX(E_Rules!$F$5:$F$9,$AS271))))</f>
        <v/>
      </c>
      <c r="AX271" t="str">
        <f>IF($AQ271="","",IF(INDEX(C_Pavement!$H$5:$H$204,$AQ271)&lt;&gt;"",IF(INDEX(C_Pavement!$H$5:$H$204,$AQ271)="-","",INDEX(C_Pavement!$H$5:$H$204,$AQ271)),IF($AS271="","",INDEX(E_Rules!$G$5:$G$9,$AS271))))</f>
        <v/>
      </c>
      <c r="AY271" t="str">
        <f>IF($AQ271="","",IF(INDEX(C_Pavement!$I$5:$I$204,$AQ271)&lt;&gt;"",IF(INDEX(C_Pavement!$I$5:$I$204,$AQ271)="-","",INDEX(C_Pavement!$I$5:$I$204,$AQ271)),IF($AS271="","",INDEX(E_Rules!$H$5:$H$9,$AS271))))</f>
        <v/>
      </c>
    </row>
    <row r="272" spans="1:51" ht="15.75" customHeight="1" x14ac:dyDescent="0.3">
      <c r="A272" s="189">
        <v>267</v>
      </c>
      <c r="B272" s="180">
        <v>13300</v>
      </c>
      <c r="C272" s="180" t="s">
        <v>578</v>
      </c>
      <c r="D272" s="181" t="str">
        <f>IFERROR(LOOKUP(2,1/((A_Corridor!$A$5:$A$204&lt;&gt;"")*(A_Corridor!$A$5:$A$204&lt;=$B272)*(A_Corridor!$B$5:$B$204&gt;$B272)*(A_Corridor!$C$5:$C$204&lt;&gt;"")),IF(UPPER(A_Corridor!$C$5:$C$204)="Y",1,"")),"")</f>
        <v/>
      </c>
      <c r="E272" s="181" t="str">
        <f>IFERROR(LOOKUP(2,1/((A_Corridor!$A$5:$A$204&lt;&gt;"")*(A_Corridor!$A$5:$A$204&lt;=$B272)*(A_Corridor!$B$5:$B$204&gt;$B272)*(A_Corridor!$D$5:$D$204&lt;&gt;"")),IF(A_Corridor!$D$5:$D$204="-","",UPPER(A_Corridor!$D$5:$D$204))),"")</f>
        <v/>
      </c>
      <c r="F272" s="181" t="str">
        <f>IFERROR(LOOKUP(2,1/((A_Corridor!$A$5:$A$204&lt;&gt;"")*(A_Corridor!$A$5:$A$204&lt;=$B272)*(A_Corridor!$B$5:$B$204&gt;$B272)*(A_Corridor!$E$5:$E$204&lt;&gt;"")),IF(A_Corridor!$E$5:$E$204="-","",1)),"")</f>
        <v/>
      </c>
      <c r="G272" s="182" t="str">
        <f>IFERROR(LOOKUP(2,1/((A_Corridor!$A$5:$A$204&lt;&gt;"")*(A_Corridor!$A$5:$A$204&lt;=$B272)*(A_Corridor!$B$5:$B$204&gt;$B272)*(A_Corridor!$E$5:$E$204&lt;&gt;"")),IF(A_Corridor!$E$5:$E$204="-","",A_Corridor!$E$5:$E$204)),"")</f>
        <v/>
      </c>
      <c r="H272" s="182" t="str">
        <f>IFERROR(LOOKUP(2,1/((D_Points!$A$5:$A$204&lt;&gt;"")*(D_Points!$A$5:$A$204&gt;=$B272)*(D_Points!$A$5:$A$204&lt;$B272+P_Interval)*(UPPER(TRIM(D_Points!$B$5:$B$204))="GULLY")*(D_Points!$H$5:$H$204&lt;&gt;"")),D_Points!$H$5:$H$204),"")</f>
        <v/>
      </c>
      <c r="I272" s="181" t="str">
        <f>IFERROR(LOOKUP(2,1/((A_Corridor!$A$5:$A$204&lt;&gt;"")*(A_Corridor!$A$5:$A$204&lt;=$B272)*(A_Corridor!$B$5:$B$204&gt;$B272)*(A_Corridor!$F$5:$F$204&lt;&gt;"")),IF(A_Corridor!$F$5:$F$204="-","",1)),"")</f>
        <v/>
      </c>
      <c r="J272" s="182" t="str">
        <f>IFERROR(LOOKUP(2,1/((A_Corridor!$A$5:$A$204&lt;&gt;"")*(A_Corridor!$A$5:$A$204&lt;=$B272)*(A_Corridor!$B$5:$B$204&gt;$B272)*(A_Corridor!$F$5:$F$204&lt;&gt;"")),IF(A_Corridor!$F$5:$F$204="-","",A_Corridor!$F$5:$F$204)),"")</f>
        <v/>
      </c>
      <c r="K272" s="182" t="str">
        <f>IFERROR(LOOKUP(2,1/((A_Corridor!$A$5:$A$204&lt;&gt;"")*(A_Corridor!$A$5:$A$204&lt;=$B272)*(A_Corridor!$B$5:$B$204&gt;$B272)*(A_Corridor!$G$5:$G$204&lt;&gt;"")),IF(A_Corridor!$G$5:$G$204="-","",A_Corridor!$G$5:$G$204)),"")</f>
        <v/>
      </c>
      <c r="L272" s="181" t="str">
        <f>IFERROR(LOOKUP(2,1/((A_Corridor!$A$5:$A$204&lt;&gt;"")*(A_Corridor!$A$5:$A$204&lt;=$B272)*(A_Corridor!$B$5:$B$204&gt;$B272)*(A_Corridor!$H$5:$H$204&lt;&gt;"")),IF(A_Corridor!$H$5:$H$204="-","",1)),"")</f>
        <v/>
      </c>
      <c r="M272" s="182" t="str">
        <f>IFERROR(LOOKUP(2,1/((A_Corridor!$A$5:$A$204&lt;&gt;"")*(A_Corridor!$A$5:$A$204&lt;=$B272)*(A_Corridor!$B$5:$B$204&gt;$B272)*(A_Corridor!$H$5:$H$204&lt;&gt;"")),IF(A_Corridor!$H$5:$H$204="-","",A_Corridor!$H$5:$H$204)),"")</f>
        <v/>
      </c>
      <c r="N272" s="182" t="str">
        <f>IFERROR(LOOKUP(2,1/((A_Corridor!$A$5:$A$204&lt;&gt;"")*(A_Corridor!$A$5:$A$204&lt;=$B272)*(A_Corridor!$B$5:$B$204&gt;$B272)*(A_Corridor!$I$5:$I$204&lt;&gt;"")),IF(A_Corridor!$I$5:$I$204="-","",A_Corridor!$I$5:$I$204)),"")</f>
        <v/>
      </c>
      <c r="O272" s="182" t="str">
        <f>IFERROR(LOOKUP(2,1/((D_Points!$A$5:$A$204&lt;&gt;"")*(D_Points!$A$5:$A$204&gt;=$B272)*(D_Points!$A$5:$A$204&lt;$B272+P_Interval)*(UPPER(TRIM(D_Points!$B$5:$B$204))="PITCHING")*(D_Points!$H$5:$H$204&lt;&gt;"")),D_Points!$H$5:$H$204),"")</f>
        <v/>
      </c>
      <c r="P272" s="181" t="str">
        <f>IFERROR(LOOKUP(2,1/((B_Drainage!$A$5:$A$204&lt;&gt;"")*(B_Drainage!$A$5:$A$204&lt;=$B272)*(B_Drainage!$B$5:$B$204&gt;$B272)*(B_Drainage!$C$5:$C$204&lt;&gt;"")),IF(B_Drainage!$C$5:$C$204="-","",UPPER(B_Drainage!$C$5:$C$204))),"")</f>
        <v/>
      </c>
      <c r="Q272" s="181" t="str">
        <f>IFERROR(LOOKUP(2,1/((B_Drainage!$A$5:$A$204&lt;&gt;"")*(B_Drainage!$A$5:$A$204&lt;=$B272)*(B_Drainage!$B$5:$B$204&gt;$B272)*(B_Drainage!$D$5:$D$204&lt;&gt;"")),IF(B_Drainage!$D$5:$D$204="-","",UPPER(B_Drainage!$D$5:$D$204))),"")</f>
        <v/>
      </c>
      <c r="R272" s="182" t="str">
        <f>IFERROR(LOOKUP(2,1/((D_Points!$A$5:$A$204&lt;&gt;"")*(D_Points!$A$5:$A$204&gt;=$B272)*(D_Points!$A$5:$A$204&lt;$B272+P_Interval)*(RIGHT(UPPER(TRIM(D_Points!$B$5:$B$204)),8)="_CULVERT")),IF(LEFT(UPPER(TRIM(D_Points!$B$5:$B$204)),2)="EX",1,IF(LEFT(UPPER(TRIM(D_Points!$B$5:$B$204)),2)="PR",2,3))),"")</f>
        <v/>
      </c>
      <c r="S272" s="182" t="str">
        <f>IFERROR(LOOKUP(2,1/((D_Points!$A$5:$A$204&lt;&gt;"")*(D_Points!$A$5:$A$204&gt;=$B272)*(D_Points!$A$5:$A$204&lt;$B272+P_Interval)*(RIGHT(UPPER(TRIM(D_Points!$B$5:$B$204)),7)="_BRIDGE")),IF(LEFT(UPPER(TRIM(D_Points!$B$5:$B$204)),2)="EX",1,IF(LEFT(UPPER(TRIM(D_Points!$B$5:$B$204)),2)="PR",2,2))),"")</f>
        <v/>
      </c>
      <c r="T272" s="181" t="str">
        <f>IFERROR(LOOKUP(2,1/((B_Drainage!$A$5:$A$204&lt;&gt;"")*(B_Drainage!$A$5:$A$204&lt;=$B272)*(B_Drainage!$B$5:$B$204&gt;$B272)*(B_Drainage!$E$5:$E$204&lt;&gt;"")),IF(B_Drainage!$E$5:$E$204="-","",1)),"")</f>
        <v/>
      </c>
      <c r="U272" s="181" t="str">
        <f>IFERROR(LOOKUP(2,1/((B_Drainage!$A$5:$A$204&lt;&gt;"")*(B_Drainage!$A$5:$A$204&lt;=$B272)*(B_Drainage!$B$5:$B$204&gt;$B272)*(B_Drainage!$E$5:$E$204&lt;&gt;"")),IF(B_Drainage!$E$5:$E$204="-","",B_Drainage!$E$5:$E$204)),"")</f>
        <v/>
      </c>
      <c r="V272" s="181" t="str">
        <f>IFERROR(LOOKUP(2,1/((B_Drainage!$A$5:$A$204&lt;&gt;"")*(B_Drainage!$A$5:$A$204&lt;=$B272)*(B_Drainage!$B$5:$B$204&gt;$B272)*(B_Drainage!$F$5:$F$204&lt;&gt;"")),IF(B_Drainage!$F$5:$F$204="-","",1)),"")</f>
        <v/>
      </c>
      <c r="W272" s="181" t="str">
        <f>IFERROR(LOOKUP(2,1/((B_Drainage!$A$5:$A$204&lt;&gt;"")*(B_Drainage!$A$5:$A$204&lt;=$B272)*(B_Drainage!$B$5:$B$204&gt;$B272)*(B_Drainage!$F$5:$F$204&lt;&gt;"")),IF(B_Drainage!$F$5:$F$204="-","",B_Drainage!$F$5:$F$204)),"")</f>
        <v/>
      </c>
      <c r="X272" s="181" t="str">
        <f>IFERROR(LOOKUP(2,1/((B_Drainage!$A$5:$A$204&lt;&gt;"")*(B_Drainage!$A$5:$A$204&lt;=$B272)*(B_Drainage!$B$5:$B$204&gt;$B272)*(B_Drainage!$G$5:$G$204&lt;&gt;"")),IF(UPPER(B_Drainage!$G$5:$G$204)="Y",1,"")),"")</f>
        <v/>
      </c>
      <c r="Y272" s="181" t="str">
        <f>IFERROR(LOOKUP(2,1/((B_Drainage!$A$5:$A$204&lt;&gt;"")*(B_Drainage!$A$5:$A$204&lt;=$B272)*(B_Drainage!$B$5:$B$204&gt;$B272)*(B_Drainage!$H$5:$H$204&lt;&gt;"")),IF(UPPER(B_Drainage!$H$5:$H$204)="Y",1,"")),"")</f>
        <v/>
      </c>
      <c r="Z272" s="181" t="str">
        <f>IFERROR(LOOKUP(2,1/((B_Drainage!$A$5:$A$204&lt;&gt;"")*(B_Drainage!$A$5:$A$204&lt;=$B272)*(B_Drainage!$B$5:$B$204&gt;$B272)*(B_Drainage!$I$5:$I$204&lt;&gt;"")),IF(UPPER(B_Drainage!$I$5:$I$204)="Y",1,"")),"")</f>
        <v/>
      </c>
      <c r="AA272" s="181" t="str">
        <f>IFERROR(LOOKUP(2,1/((B_Drainage!$A$5:$A$204&lt;&gt;"")*(B_Drainage!$A$5:$A$204&lt;=$B272)*(B_Drainage!$B$5:$B$204&gt;$B272)*(B_Drainage!$J$5:$J$204&lt;&gt;"")),IF(UPPER(B_Drainage!$J$5:$J$204)="Y",1,"")),"")</f>
        <v/>
      </c>
      <c r="AB272" s="182" t="str">
        <f>IFERROR(LOOKUP(2,1/((B_Drainage!$A$5:$A$204&lt;&gt;"")*(B_Drainage!$A$5:$A$204&lt;=$B272)*(B_Drainage!$B$5:$B$204&gt;$B272)*(B_Drainage!$K$5:$K$204&lt;&gt;"")),IF(B_Drainage!$K$5:$K$204="-","",B_Drainage!$K$5:$K$204)),"")</f>
        <v/>
      </c>
      <c r="AC272" s="182" t="str">
        <f>IFERROR(LOOKUP(2,1/((B_Drainage!$A$5:$A$204&lt;&gt;"")*(B_Drainage!$A$5:$A$204&lt;=$B272)*(B_Drainage!$B$5:$B$204&gt;$B272)*(B_Drainage!$L$5:$L$204&lt;&gt;"")),IF(B_Drainage!$L$5:$L$204="-","",B_Drainage!$L$5:$L$204)),"")</f>
        <v/>
      </c>
      <c r="AD272" s="182" t="str">
        <f>IFERROR(LOOKUP(2,1/((D_Points!$A$5:$A$204&lt;&gt;"")*(D_Points!$A$5:$A$204&gt;=$B272)*(D_Points!$A$5:$A$204&lt;$B272+P_Interval)*(UPPER(TRIM(D_Points!$B$5:$B$204))="TURNOUT_L")*(D_Points!$H$5:$H$204&lt;&gt;"")),D_Points!$H$5:$H$204),"")</f>
        <v/>
      </c>
      <c r="AE272" s="182" t="str">
        <f>IFERROR(LOOKUP(2,1/((D_Points!$A$5:$A$204&lt;&gt;"")*(D_Points!$A$5:$A$204&gt;=$B272)*(D_Points!$A$5:$A$204&lt;$B272+P_Interval)*(UPPER(TRIM(D_Points!$B$5:$B$204))="TURNOUT_R")*(D_Points!$H$5:$H$204&lt;&gt;"")),D_Points!$H$5:$H$204),"")</f>
        <v/>
      </c>
      <c r="AF272" s="181" t="str">
        <f>IFERROR(LOOKUP(2,1/((B_Drainage!$A$5:$A$204&lt;&gt;"")*(B_Drainage!$A$5:$A$204&lt;=$B272)*(B_Drainage!$B$5:$B$204&gt;$B272)*(B_Drainage!$M$5:$M$204&lt;&gt;"")),IF(UPPER(B_Drainage!$M$5:$M$204)="Y",1,"")),"")</f>
        <v/>
      </c>
      <c r="AG272" s="181" t="str">
        <f>IFERROR(LOOKUP(2,1/((B_Drainage!$A$5:$A$204&lt;&gt;"")*(B_Drainage!$A$5:$A$204&lt;=$B272)*(B_Drainage!$B$5:$B$204&gt;$B272)*(B_Drainage!$N$5:$N$204&lt;&gt;"")),IF(UPPER(B_Drainage!$N$5:$N$204)="Y",1,"")),"")</f>
        <v/>
      </c>
      <c r="AH272" s="181" t="str">
        <f t="shared" si="32"/>
        <v/>
      </c>
      <c r="AI272" s="181" t="str">
        <f t="shared" si="33"/>
        <v/>
      </c>
      <c r="AJ272" s="181" t="str">
        <f t="shared" si="34"/>
        <v/>
      </c>
      <c r="AK272" s="181" t="str">
        <f t="shared" si="35"/>
        <v/>
      </c>
      <c r="AL272" s="181" t="str">
        <f t="shared" si="36"/>
        <v/>
      </c>
      <c r="AM272" s="181" t="str">
        <f t="shared" si="37"/>
        <v/>
      </c>
      <c r="AN272" s="181" t="str">
        <f t="shared" si="38"/>
        <v/>
      </c>
      <c r="AO272" s="192" t="str">
        <f t="shared" si="39"/>
        <v/>
      </c>
      <c r="AQ272" t="str">
        <f>IFERROR(LOOKUP(2,1/((C_Pavement!$A$5:$A$204&lt;&gt;"")*(C_Pavement!$A$5:$A$204&lt;=$B272)*(C_Pavement!$B$5:$B$204&gt;$B272)*(C_Pavement!$C$5:$C$204&lt;&gt;"")),ROW(C_Pavement!$C$5:$C$204)-4),"")</f>
        <v/>
      </c>
      <c r="AR272" t="str">
        <f>IF($AQ272="","",UPPER(TRIM(INDEX(C_Pavement!$C$5:$C$204,$AQ272))))</f>
        <v/>
      </c>
      <c r="AS272" t="str">
        <f>IF($AR272="","",IFERROR(MATCH($AR272,E_Rules!$A$5:$A$9,0),""))</f>
        <v/>
      </c>
      <c r="AT272" t="str">
        <f>IF($AQ272="","",IF(INDEX(C_Pavement!$D$5:$D$204,$AQ272)&lt;&gt;"",UPPER(TRIM(INDEX(C_Pavement!$D$5:$D$204,$AQ272))),IF($AS272="","",INDEX(E_Rules!$C$5:$C$9,$AS272))))</f>
        <v/>
      </c>
      <c r="AU272" t="str">
        <f>IF($AQ272="","",IF(INDEX(C_Pavement!$E$5:$E$204,$AQ272)&lt;&gt;"",IF(INDEX(C_Pavement!$E$5:$E$204,$AQ272)="-","",INDEX(C_Pavement!$E$5:$E$204,$AQ272)),IF($AS272="","",INDEX(E_Rules!$D$5:$D$9,$AS272))))</f>
        <v/>
      </c>
      <c r="AV272" t="str">
        <f>IF($AQ272="","",IF(INDEX(C_Pavement!$F$5:$F$204,$AQ272)&lt;&gt;"",IF(INDEX(C_Pavement!$F$5:$F$204,$AQ272)="-","",INDEX(C_Pavement!$F$5:$F$204,$AQ272)),IF($AS272="","",INDEX(E_Rules!$E$5:$E$9,$AS272))))</f>
        <v/>
      </c>
      <c r="AW272" t="str">
        <f>IF($AQ272="","",IF(INDEX(C_Pavement!$G$5:$G$204,$AQ272)&lt;&gt;"",IF(INDEX(C_Pavement!$G$5:$G$204,$AQ272)="-","",INDEX(C_Pavement!$G$5:$G$204,$AQ272)),IF($AS272="","",INDEX(E_Rules!$F$5:$F$9,$AS272))))</f>
        <v/>
      </c>
      <c r="AX272" t="str">
        <f>IF($AQ272="","",IF(INDEX(C_Pavement!$H$5:$H$204,$AQ272)&lt;&gt;"",IF(INDEX(C_Pavement!$H$5:$H$204,$AQ272)="-","",INDEX(C_Pavement!$H$5:$H$204,$AQ272)),IF($AS272="","",INDEX(E_Rules!$G$5:$G$9,$AS272))))</f>
        <v/>
      </c>
      <c r="AY272" t="str">
        <f>IF($AQ272="","",IF(INDEX(C_Pavement!$I$5:$I$204,$AQ272)&lt;&gt;"",IF(INDEX(C_Pavement!$I$5:$I$204,$AQ272)="-","",INDEX(C_Pavement!$I$5:$I$204,$AQ272)),IF($AS272="","",INDEX(E_Rules!$H$5:$H$9,$AS272))))</f>
        <v/>
      </c>
    </row>
    <row r="273" spans="1:51" ht="15.75" customHeight="1" x14ac:dyDescent="0.3">
      <c r="A273" s="189">
        <v>268</v>
      </c>
      <c r="B273" s="180">
        <v>13350</v>
      </c>
      <c r="C273" s="180" t="s">
        <v>579</v>
      </c>
      <c r="D273" s="181" t="str">
        <f>IFERROR(LOOKUP(2,1/((A_Corridor!$A$5:$A$204&lt;&gt;"")*(A_Corridor!$A$5:$A$204&lt;=$B273)*(A_Corridor!$B$5:$B$204&gt;$B273)*(A_Corridor!$C$5:$C$204&lt;&gt;"")),IF(UPPER(A_Corridor!$C$5:$C$204)="Y",1,"")),"")</f>
        <v/>
      </c>
      <c r="E273" s="181" t="str">
        <f>IFERROR(LOOKUP(2,1/((A_Corridor!$A$5:$A$204&lt;&gt;"")*(A_Corridor!$A$5:$A$204&lt;=$B273)*(A_Corridor!$B$5:$B$204&gt;$B273)*(A_Corridor!$D$5:$D$204&lt;&gt;"")),IF(A_Corridor!$D$5:$D$204="-","",UPPER(A_Corridor!$D$5:$D$204))),"")</f>
        <v/>
      </c>
      <c r="F273" s="181" t="str">
        <f>IFERROR(LOOKUP(2,1/((A_Corridor!$A$5:$A$204&lt;&gt;"")*(A_Corridor!$A$5:$A$204&lt;=$B273)*(A_Corridor!$B$5:$B$204&gt;$B273)*(A_Corridor!$E$5:$E$204&lt;&gt;"")),IF(A_Corridor!$E$5:$E$204="-","",1)),"")</f>
        <v/>
      </c>
      <c r="G273" s="182" t="str">
        <f>IFERROR(LOOKUP(2,1/((A_Corridor!$A$5:$A$204&lt;&gt;"")*(A_Corridor!$A$5:$A$204&lt;=$B273)*(A_Corridor!$B$5:$B$204&gt;$B273)*(A_Corridor!$E$5:$E$204&lt;&gt;"")),IF(A_Corridor!$E$5:$E$204="-","",A_Corridor!$E$5:$E$204)),"")</f>
        <v/>
      </c>
      <c r="H273" s="182" t="str">
        <f>IFERROR(LOOKUP(2,1/((D_Points!$A$5:$A$204&lt;&gt;"")*(D_Points!$A$5:$A$204&gt;=$B273)*(D_Points!$A$5:$A$204&lt;$B273+P_Interval)*(UPPER(TRIM(D_Points!$B$5:$B$204))="GULLY")*(D_Points!$H$5:$H$204&lt;&gt;"")),D_Points!$H$5:$H$204),"")</f>
        <v/>
      </c>
      <c r="I273" s="181" t="str">
        <f>IFERROR(LOOKUP(2,1/((A_Corridor!$A$5:$A$204&lt;&gt;"")*(A_Corridor!$A$5:$A$204&lt;=$B273)*(A_Corridor!$B$5:$B$204&gt;$B273)*(A_Corridor!$F$5:$F$204&lt;&gt;"")),IF(A_Corridor!$F$5:$F$204="-","",1)),"")</f>
        <v/>
      </c>
      <c r="J273" s="182" t="str">
        <f>IFERROR(LOOKUP(2,1/((A_Corridor!$A$5:$A$204&lt;&gt;"")*(A_Corridor!$A$5:$A$204&lt;=$B273)*(A_Corridor!$B$5:$B$204&gt;$B273)*(A_Corridor!$F$5:$F$204&lt;&gt;"")),IF(A_Corridor!$F$5:$F$204="-","",A_Corridor!$F$5:$F$204)),"")</f>
        <v/>
      </c>
      <c r="K273" s="182" t="str">
        <f>IFERROR(LOOKUP(2,1/((A_Corridor!$A$5:$A$204&lt;&gt;"")*(A_Corridor!$A$5:$A$204&lt;=$B273)*(A_Corridor!$B$5:$B$204&gt;$B273)*(A_Corridor!$G$5:$G$204&lt;&gt;"")),IF(A_Corridor!$G$5:$G$204="-","",A_Corridor!$G$5:$G$204)),"")</f>
        <v/>
      </c>
      <c r="L273" s="181" t="str">
        <f>IFERROR(LOOKUP(2,1/((A_Corridor!$A$5:$A$204&lt;&gt;"")*(A_Corridor!$A$5:$A$204&lt;=$B273)*(A_Corridor!$B$5:$B$204&gt;$B273)*(A_Corridor!$H$5:$H$204&lt;&gt;"")),IF(A_Corridor!$H$5:$H$204="-","",1)),"")</f>
        <v/>
      </c>
      <c r="M273" s="182" t="str">
        <f>IFERROR(LOOKUP(2,1/((A_Corridor!$A$5:$A$204&lt;&gt;"")*(A_Corridor!$A$5:$A$204&lt;=$B273)*(A_Corridor!$B$5:$B$204&gt;$B273)*(A_Corridor!$H$5:$H$204&lt;&gt;"")),IF(A_Corridor!$H$5:$H$204="-","",A_Corridor!$H$5:$H$204)),"")</f>
        <v/>
      </c>
      <c r="N273" s="182" t="str">
        <f>IFERROR(LOOKUP(2,1/((A_Corridor!$A$5:$A$204&lt;&gt;"")*(A_Corridor!$A$5:$A$204&lt;=$B273)*(A_Corridor!$B$5:$B$204&gt;$B273)*(A_Corridor!$I$5:$I$204&lt;&gt;"")),IF(A_Corridor!$I$5:$I$204="-","",A_Corridor!$I$5:$I$204)),"")</f>
        <v/>
      </c>
      <c r="O273" s="182" t="str">
        <f>IFERROR(LOOKUP(2,1/((D_Points!$A$5:$A$204&lt;&gt;"")*(D_Points!$A$5:$A$204&gt;=$B273)*(D_Points!$A$5:$A$204&lt;$B273+P_Interval)*(UPPER(TRIM(D_Points!$B$5:$B$204))="PITCHING")*(D_Points!$H$5:$H$204&lt;&gt;"")),D_Points!$H$5:$H$204),"")</f>
        <v/>
      </c>
      <c r="P273" s="181" t="str">
        <f>IFERROR(LOOKUP(2,1/((B_Drainage!$A$5:$A$204&lt;&gt;"")*(B_Drainage!$A$5:$A$204&lt;=$B273)*(B_Drainage!$B$5:$B$204&gt;$B273)*(B_Drainage!$C$5:$C$204&lt;&gt;"")),IF(B_Drainage!$C$5:$C$204="-","",UPPER(B_Drainage!$C$5:$C$204))),"")</f>
        <v/>
      </c>
      <c r="Q273" s="181" t="str">
        <f>IFERROR(LOOKUP(2,1/((B_Drainage!$A$5:$A$204&lt;&gt;"")*(B_Drainage!$A$5:$A$204&lt;=$B273)*(B_Drainage!$B$5:$B$204&gt;$B273)*(B_Drainage!$D$5:$D$204&lt;&gt;"")),IF(B_Drainage!$D$5:$D$204="-","",UPPER(B_Drainage!$D$5:$D$204))),"")</f>
        <v/>
      </c>
      <c r="R273" s="182" t="str">
        <f>IFERROR(LOOKUP(2,1/((D_Points!$A$5:$A$204&lt;&gt;"")*(D_Points!$A$5:$A$204&gt;=$B273)*(D_Points!$A$5:$A$204&lt;$B273+P_Interval)*(RIGHT(UPPER(TRIM(D_Points!$B$5:$B$204)),8)="_CULVERT")),IF(LEFT(UPPER(TRIM(D_Points!$B$5:$B$204)),2)="EX",1,IF(LEFT(UPPER(TRIM(D_Points!$B$5:$B$204)),2)="PR",2,3))),"")</f>
        <v/>
      </c>
      <c r="S273" s="182" t="str">
        <f>IFERROR(LOOKUP(2,1/((D_Points!$A$5:$A$204&lt;&gt;"")*(D_Points!$A$5:$A$204&gt;=$B273)*(D_Points!$A$5:$A$204&lt;$B273+P_Interval)*(RIGHT(UPPER(TRIM(D_Points!$B$5:$B$204)),7)="_BRIDGE")),IF(LEFT(UPPER(TRIM(D_Points!$B$5:$B$204)),2)="EX",1,IF(LEFT(UPPER(TRIM(D_Points!$B$5:$B$204)),2)="PR",2,2))),"")</f>
        <v/>
      </c>
      <c r="T273" s="181" t="str">
        <f>IFERROR(LOOKUP(2,1/((B_Drainage!$A$5:$A$204&lt;&gt;"")*(B_Drainage!$A$5:$A$204&lt;=$B273)*(B_Drainage!$B$5:$B$204&gt;$B273)*(B_Drainage!$E$5:$E$204&lt;&gt;"")),IF(B_Drainage!$E$5:$E$204="-","",1)),"")</f>
        <v/>
      </c>
      <c r="U273" s="181" t="str">
        <f>IFERROR(LOOKUP(2,1/((B_Drainage!$A$5:$A$204&lt;&gt;"")*(B_Drainage!$A$5:$A$204&lt;=$B273)*(B_Drainage!$B$5:$B$204&gt;$B273)*(B_Drainage!$E$5:$E$204&lt;&gt;"")),IF(B_Drainage!$E$5:$E$204="-","",B_Drainage!$E$5:$E$204)),"")</f>
        <v/>
      </c>
      <c r="V273" s="181" t="str">
        <f>IFERROR(LOOKUP(2,1/((B_Drainage!$A$5:$A$204&lt;&gt;"")*(B_Drainage!$A$5:$A$204&lt;=$B273)*(B_Drainage!$B$5:$B$204&gt;$B273)*(B_Drainage!$F$5:$F$204&lt;&gt;"")),IF(B_Drainage!$F$5:$F$204="-","",1)),"")</f>
        <v/>
      </c>
      <c r="W273" s="181" t="str">
        <f>IFERROR(LOOKUP(2,1/((B_Drainage!$A$5:$A$204&lt;&gt;"")*(B_Drainage!$A$5:$A$204&lt;=$B273)*(B_Drainage!$B$5:$B$204&gt;$B273)*(B_Drainage!$F$5:$F$204&lt;&gt;"")),IF(B_Drainage!$F$5:$F$204="-","",B_Drainage!$F$5:$F$204)),"")</f>
        <v/>
      </c>
      <c r="X273" s="181" t="str">
        <f>IFERROR(LOOKUP(2,1/((B_Drainage!$A$5:$A$204&lt;&gt;"")*(B_Drainage!$A$5:$A$204&lt;=$B273)*(B_Drainage!$B$5:$B$204&gt;$B273)*(B_Drainage!$G$5:$G$204&lt;&gt;"")),IF(UPPER(B_Drainage!$G$5:$G$204)="Y",1,"")),"")</f>
        <v/>
      </c>
      <c r="Y273" s="181" t="str">
        <f>IFERROR(LOOKUP(2,1/((B_Drainage!$A$5:$A$204&lt;&gt;"")*(B_Drainage!$A$5:$A$204&lt;=$B273)*(B_Drainage!$B$5:$B$204&gt;$B273)*(B_Drainage!$H$5:$H$204&lt;&gt;"")),IF(UPPER(B_Drainage!$H$5:$H$204)="Y",1,"")),"")</f>
        <v/>
      </c>
      <c r="Z273" s="181" t="str">
        <f>IFERROR(LOOKUP(2,1/((B_Drainage!$A$5:$A$204&lt;&gt;"")*(B_Drainage!$A$5:$A$204&lt;=$B273)*(B_Drainage!$B$5:$B$204&gt;$B273)*(B_Drainage!$I$5:$I$204&lt;&gt;"")),IF(UPPER(B_Drainage!$I$5:$I$204)="Y",1,"")),"")</f>
        <v/>
      </c>
      <c r="AA273" s="181" t="str">
        <f>IFERROR(LOOKUP(2,1/((B_Drainage!$A$5:$A$204&lt;&gt;"")*(B_Drainage!$A$5:$A$204&lt;=$B273)*(B_Drainage!$B$5:$B$204&gt;$B273)*(B_Drainage!$J$5:$J$204&lt;&gt;"")),IF(UPPER(B_Drainage!$J$5:$J$204)="Y",1,"")),"")</f>
        <v/>
      </c>
      <c r="AB273" s="182" t="str">
        <f>IFERROR(LOOKUP(2,1/((B_Drainage!$A$5:$A$204&lt;&gt;"")*(B_Drainage!$A$5:$A$204&lt;=$B273)*(B_Drainage!$B$5:$B$204&gt;$B273)*(B_Drainage!$K$5:$K$204&lt;&gt;"")),IF(B_Drainage!$K$5:$K$204="-","",B_Drainage!$K$5:$K$204)),"")</f>
        <v/>
      </c>
      <c r="AC273" s="182" t="str">
        <f>IFERROR(LOOKUP(2,1/((B_Drainage!$A$5:$A$204&lt;&gt;"")*(B_Drainage!$A$5:$A$204&lt;=$B273)*(B_Drainage!$B$5:$B$204&gt;$B273)*(B_Drainage!$L$5:$L$204&lt;&gt;"")),IF(B_Drainage!$L$5:$L$204="-","",B_Drainage!$L$5:$L$204)),"")</f>
        <v/>
      </c>
      <c r="AD273" s="182" t="str">
        <f>IFERROR(LOOKUP(2,1/((D_Points!$A$5:$A$204&lt;&gt;"")*(D_Points!$A$5:$A$204&gt;=$B273)*(D_Points!$A$5:$A$204&lt;$B273+P_Interval)*(UPPER(TRIM(D_Points!$B$5:$B$204))="TURNOUT_L")*(D_Points!$H$5:$H$204&lt;&gt;"")),D_Points!$H$5:$H$204),"")</f>
        <v/>
      </c>
      <c r="AE273" s="182" t="str">
        <f>IFERROR(LOOKUP(2,1/((D_Points!$A$5:$A$204&lt;&gt;"")*(D_Points!$A$5:$A$204&gt;=$B273)*(D_Points!$A$5:$A$204&lt;$B273+P_Interval)*(UPPER(TRIM(D_Points!$B$5:$B$204))="TURNOUT_R")*(D_Points!$H$5:$H$204&lt;&gt;"")),D_Points!$H$5:$H$204),"")</f>
        <v/>
      </c>
      <c r="AF273" s="181" t="str">
        <f>IFERROR(LOOKUP(2,1/((B_Drainage!$A$5:$A$204&lt;&gt;"")*(B_Drainage!$A$5:$A$204&lt;=$B273)*(B_Drainage!$B$5:$B$204&gt;$B273)*(B_Drainage!$M$5:$M$204&lt;&gt;"")),IF(UPPER(B_Drainage!$M$5:$M$204)="Y",1,"")),"")</f>
        <v/>
      </c>
      <c r="AG273" s="181" t="str">
        <f>IFERROR(LOOKUP(2,1/((B_Drainage!$A$5:$A$204&lt;&gt;"")*(B_Drainage!$A$5:$A$204&lt;=$B273)*(B_Drainage!$B$5:$B$204&gt;$B273)*(B_Drainage!$N$5:$N$204&lt;&gt;"")),IF(UPPER(B_Drainage!$N$5:$N$204)="Y",1,"")),"")</f>
        <v/>
      </c>
      <c r="AH273" s="181" t="str">
        <f t="shared" si="32"/>
        <v/>
      </c>
      <c r="AI273" s="181" t="str">
        <f t="shared" si="33"/>
        <v/>
      </c>
      <c r="AJ273" s="181" t="str">
        <f t="shared" si="34"/>
        <v/>
      </c>
      <c r="AK273" s="181" t="str">
        <f t="shared" si="35"/>
        <v/>
      </c>
      <c r="AL273" s="181" t="str">
        <f t="shared" si="36"/>
        <v/>
      </c>
      <c r="AM273" s="181" t="str">
        <f t="shared" si="37"/>
        <v/>
      </c>
      <c r="AN273" s="181" t="str">
        <f t="shared" si="38"/>
        <v/>
      </c>
      <c r="AO273" s="192" t="str">
        <f t="shared" si="39"/>
        <v/>
      </c>
      <c r="AQ273" t="str">
        <f>IFERROR(LOOKUP(2,1/((C_Pavement!$A$5:$A$204&lt;&gt;"")*(C_Pavement!$A$5:$A$204&lt;=$B273)*(C_Pavement!$B$5:$B$204&gt;$B273)*(C_Pavement!$C$5:$C$204&lt;&gt;"")),ROW(C_Pavement!$C$5:$C$204)-4),"")</f>
        <v/>
      </c>
      <c r="AR273" t="str">
        <f>IF($AQ273="","",UPPER(TRIM(INDEX(C_Pavement!$C$5:$C$204,$AQ273))))</f>
        <v/>
      </c>
      <c r="AS273" t="str">
        <f>IF($AR273="","",IFERROR(MATCH($AR273,E_Rules!$A$5:$A$9,0),""))</f>
        <v/>
      </c>
      <c r="AT273" t="str">
        <f>IF($AQ273="","",IF(INDEX(C_Pavement!$D$5:$D$204,$AQ273)&lt;&gt;"",UPPER(TRIM(INDEX(C_Pavement!$D$5:$D$204,$AQ273))),IF($AS273="","",INDEX(E_Rules!$C$5:$C$9,$AS273))))</f>
        <v/>
      </c>
      <c r="AU273" t="str">
        <f>IF($AQ273="","",IF(INDEX(C_Pavement!$E$5:$E$204,$AQ273)&lt;&gt;"",IF(INDEX(C_Pavement!$E$5:$E$204,$AQ273)="-","",INDEX(C_Pavement!$E$5:$E$204,$AQ273)),IF($AS273="","",INDEX(E_Rules!$D$5:$D$9,$AS273))))</f>
        <v/>
      </c>
      <c r="AV273" t="str">
        <f>IF($AQ273="","",IF(INDEX(C_Pavement!$F$5:$F$204,$AQ273)&lt;&gt;"",IF(INDEX(C_Pavement!$F$5:$F$204,$AQ273)="-","",INDEX(C_Pavement!$F$5:$F$204,$AQ273)),IF($AS273="","",INDEX(E_Rules!$E$5:$E$9,$AS273))))</f>
        <v/>
      </c>
      <c r="AW273" t="str">
        <f>IF($AQ273="","",IF(INDEX(C_Pavement!$G$5:$G$204,$AQ273)&lt;&gt;"",IF(INDEX(C_Pavement!$G$5:$G$204,$AQ273)="-","",INDEX(C_Pavement!$G$5:$G$204,$AQ273)),IF($AS273="","",INDEX(E_Rules!$F$5:$F$9,$AS273))))</f>
        <v/>
      </c>
      <c r="AX273" t="str">
        <f>IF($AQ273="","",IF(INDEX(C_Pavement!$H$5:$H$204,$AQ273)&lt;&gt;"",IF(INDEX(C_Pavement!$H$5:$H$204,$AQ273)="-","",INDEX(C_Pavement!$H$5:$H$204,$AQ273)),IF($AS273="","",INDEX(E_Rules!$G$5:$G$9,$AS273))))</f>
        <v/>
      </c>
      <c r="AY273" t="str">
        <f>IF($AQ273="","",IF(INDEX(C_Pavement!$I$5:$I$204,$AQ273)&lt;&gt;"",IF(INDEX(C_Pavement!$I$5:$I$204,$AQ273)="-","",INDEX(C_Pavement!$I$5:$I$204,$AQ273)),IF($AS273="","",INDEX(E_Rules!$H$5:$H$9,$AS273))))</f>
        <v/>
      </c>
    </row>
    <row r="274" spans="1:51" ht="15.75" customHeight="1" x14ac:dyDescent="0.3">
      <c r="A274" s="189">
        <v>269</v>
      </c>
      <c r="B274" s="180">
        <v>13400</v>
      </c>
      <c r="C274" s="180" t="s">
        <v>580</v>
      </c>
      <c r="D274" s="181" t="str">
        <f>IFERROR(LOOKUP(2,1/((A_Corridor!$A$5:$A$204&lt;&gt;"")*(A_Corridor!$A$5:$A$204&lt;=$B274)*(A_Corridor!$B$5:$B$204&gt;$B274)*(A_Corridor!$C$5:$C$204&lt;&gt;"")),IF(UPPER(A_Corridor!$C$5:$C$204)="Y",1,"")),"")</f>
        <v/>
      </c>
      <c r="E274" s="181" t="str">
        <f>IFERROR(LOOKUP(2,1/((A_Corridor!$A$5:$A$204&lt;&gt;"")*(A_Corridor!$A$5:$A$204&lt;=$B274)*(A_Corridor!$B$5:$B$204&gt;$B274)*(A_Corridor!$D$5:$D$204&lt;&gt;"")),IF(A_Corridor!$D$5:$D$204="-","",UPPER(A_Corridor!$D$5:$D$204))),"")</f>
        <v/>
      </c>
      <c r="F274" s="181" t="str">
        <f>IFERROR(LOOKUP(2,1/((A_Corridor!$A$5:$A$204&lt;&gt;"")*(A_Corridor!$A$5:$A$204&lt;=$B274)*(A_Corridor!$B$5:$B$204&gt;$B274)*(A_Corridor!$E$5:$E$204&lt;&gt;"")),IF(A_Corridor!$E$5:$E$204="-","",1)),"")</f>
        <v/>
      </c>
      <c r="G274" s="182" t="str">
        <f>IFERROR(LOOKUP(2,1/((A_Corridor!$A$5:$A$204&lt;&gt;"")*(A_Corridor!$A$5:$A$204&lt;=$B274)*(A_Corridor!$B$5:$B$204&gt;$B274)*(A_Corridor!$E$5:$E$204&lt;&gt;"")),IF(A_Corridor!$E$5:$E$204="-","",A_Corridor!$E$5:$E$204)),"")</f>
        <v/>
      </c>
      <c r="H274" s="182" t="str">
        <f>IFERROR(LOOKUP(2,1/((D_Points!$A$5:$A$204&lt;&gt;"")*(D_Points!$A$5:$A$204&gt;=$B274)*(D_Points!$A$5:$A$204&lt;$B274+P_Interval)*(UPPER(TRIM(D_Points!$B$5:$B$204))="GULLY")*(D_Points!$H$5:$H$204&lt;&gt;"")),D_Points!$H$5:$H$204),"")</f>
        <v/>
      </c>
      <c r="I274" s="181" t="str">
        <f>IFERROR(LOOKUP(2,1/((A_Corridor!$A$5:$A$204&lt;&gt;"")*(A_Corridor!$A$5:$A$204&lt;=$B274)*(A_Corridor!$B$5:$B$204&gt;$B274)*(A_Corridor!$F$5:$F$204&lt;&gt;"")),IF(A_Corridor!$F$5:$F$204="-","",1)),"")</f>
        <v/>
      </c>
      <c r="J274" s="182" t="str">
        <f>IFERROR(LOOKUP(2,1/((A_Corridor!$A$5:$A$204&lt;&gt;"")*(A_Corridor!$A$5:$A$204&lt;=$B274)*(A_Corridor!$B$5:$B$204&gt;$B274)*(A_Corridor!$F$5:$F$204&lt;&gt;"")),IF(A_Corridor!$F$5:$F$204="-","",A_Corridor!$F$5:$F$204)),"")</f>
        <v/>
      </c>
      <c r="K274" s="182" t="str">
        <f>IFERROR(LOOKUP(2,1/((A_Corridor!$A$5:$A$204&lt;&gt;"")*(A_Corridor!$A$5:$A$204&lt;=$B274)*(A_Corridor!$B$5:$B$204&gt;$B274)*(A_Corridor!$G$5:$G$204&lt;&gt;"")),IF(A_Corridor!$G$5:$G$204="-","",A_Corridor!$G$5:$G$204)),"")</f>
        <v/>
      </c>
      <c r="L274" s="181" t="str">
        <f>IFERROR(LOOKUP(2,1/((A_Corridor!$A$5:$A$204&lt;&gt;"")*(A_Corridor!$A$5:$A$204&lt;=$B274)*(A_Corridor!$B$5:$B$204&gt;$B274)*(A_Corridor!$H$5:$H$204&lt;&gt;"")),IF(A_Corridor!$H$5:$H$204="-","",1)),"")</f>
        <v/>
      </c>
      <c r="M274" s="182" t="str">
        <f>IFERROR(LOOKUP(2,1/((A_Corridor!$A$5:$A$204&lt;&gt;"")*(A_Corridor!$A$5:$A$204&lt;=$B274)*(A_Corridor!$B$5:$B$204&gt;$B274)*(A_Corridor!$H$5:$H$204&lt;&gt;"")),IF(A_Corridor!$H$5:$H$204="-","",A_Corridor!$H$5:$H$204)),"")</f>
        <v/>
      </c>
      <c r="N274" s="182" t="str">
        <f>IFERROR(LOOKUP(2,1/((A_Corridor!$A$5:$A$204&lt;&gt;"")*(A_Corridor!$A$5:$A$204&lt;=$B274)*(A_Corridor!$B$5:$B$204&gt;$B274)*(A_Corridor!$I$5:$I$204&lt;&gt;"")),IF(A_Corridor!$I$5:$I$204="-","",A_Corridor!$I$5:$I$204)),"")</f>
        <v/>
      </c>
      <c r="O274" s="182" t="str">
        <f>IFERROR(LOOKUP(2,1/((D_Points!$A$5:$A$204&lt;&gt;"")*(D_Points!$A$5:$A$204&gt;=$B274)*(D_Points!$A$5:$A$204&lt;$B274+P_Interval)*(UPPER(TRIM(D_Points!$B$5:$B$204))="PITCHING")*(D_Points!$H$5:$H$204&lt;&gt;"")),D_Points!$H$5:$H$204),"")</f>
        <v/>
      </c>
      <c r="P274" s="181" t="str">
        <f>IFERROR(LOOKUP(2,1/((B_Drainage!$A$5:$A$204&lt;&gt;"")*(B_Drainage!$A$5:$A$204&lt;=$B274)*(B_Drainage!$B$5:$B$204&gt;$B274)*(B_Drainage!$C$5:$C$204&lt;&gt;"")),IF(B_Drainage!$C$5:$C$204="-","",UPPER(B_Drainage!$C$5:$C$204))),"")</f>
        <v/>
      </c>
      <c r="Q274" s="181" t="str">
        <f>IFERROR(LOOKUP(2,1/((B_Drainage!$A$5:$A$204&lt;&gt;"")*(B_Drainage!$A$5:$A$204&lt;=$B274)*(B_Drainage!$B$5:$B$204&gt;$B274)*(B_Drainage!$D$5:$D$204&lt;&gt;"")),IF(B_Drainage!$D$5:$D$204="-","",UPPER(B_Drainage!$D$5:$D$204))),"")</f>
        <v/>
      </c>
      <c r="R274" s="182" t="str">
        <f>IFERROR(LOOKUP(2,1/((D_Points!$A$5:$A$204&lt;&gt;"")*(D_Points!$A$5:$A$204&gt;=$B274)*(D_Points!$A$5:$A$204&lt;$B274+P_Interval)*(RIGHT(UPPER(TRIM(D_Points!$B$5:$B$204)),8)="_CULVERT")),IF(LEFT(UPPER(TRIM(D_Points!$B$5:$B$204)),2)="EX",1,IF(LEFT(UPPER(TRIM(D_Points!$B$5:$B$204)),2)="PR",2,3))),"")</f>
        <v/>
      </c>
      <c r="S274" s="182" t="str">
        <f>IFERROR(LOOKUP(2,1/((D_Points!$A$5:$A$204&lt;&gt;"")*(D_Points!$A$5:$A$204&gt;=$B274)*(D_Points!$A$5:$A$204&lt;$B274+P_Interval)*(RIGHT(UPPER(TRIM(D_Points!$B$5:$B$204)),7)="_BRIDGE")),IF(LEFT(UPPER(TRIM(D_Points!$B$5:$B$204)),2)="EX",1,IF(LEFT(UPPER(TRIM(D_Points!$B$5:$B$204)),2)="PR",2,2))),"")</f>
        <v/>
      </c>
      <c r="T274" s="181" t="str">
        <f>IFERROR(LOOKUP(2,1/((B_Drainage!$A$5:$A$204&lt;&gt;"")*(B_Drainage!$A$5:$A$204&lt;=$B274)*(B_Drainage!$B$5:$B$204&gt;$B274)*(B_Drainage!$E$5:$E$204&lt;&gt;"")),IF(B_Drainage!$E$5:$E$204="-","",1)),"")</f>
        <v/>
      </c>
      <c r="U274" s="181" t="str">
        <f>IFERROR(LOOKUP(2,1/((B_Drainage!$A$5:$A$204&lt;&gt;"")*(B_Drainage!$A$5:$A$204&lt;=$B274)*(B_Drainage!$B$5:$B$204&gt;$B274)*(B_Drainage!$E$5:$E$204&lt;&gt;"")),IF(B_Drainage!$E$5:$E$204="-","",B_Drainage!$E$5:$E$204)),"")</f>
        <v/>
      </c>
      <c r="V274" s="181" t="str">
        <f>IFERROR(LOOKUP(2,1/((B_Drainage!$A$5:$A$204&lt;&gt;"")*(B_Drainage!$A$5:$A$204&lt;=$B274)*(B_Drainage!$B$5:$B$204&gt;$B274)*(B_Drainage!$F$5:$F$204&lt;&gt;"")),IF(B_Drainage!$F$5:$F$204="-","",1)),"")</f>
        <v/>
      </c>
      <c r="W274" s="181" t="str">
        <f>IFERROR(LOOKUP(2,1/((B_Drainage!$A$5:$A$204&lt;&gt;"")*(B_Drainage!$A$5:$A$204&lt;=$B274)*(B_Drainage!$B$5:$B$204&gt;$B274)*(B_Drainage!$F$5:$F$204&lt;&gt;"")),IF(B_Drainage!$F$5:$F$204="-","",B_Drainage!$F$5:$F$204)),"")</f>
        <v/>
      </c>
      <c r="X274" s="181" t="str">
        <f>IFERROR(LOOKUP(2,1/((B_Drainage!$A$5:$A$204&lt;&gt;"")*(B_Drainage!$A$5:$A$204&lt;=$B274)*(B_Drainage!$B$5:$B$204&gt;$B274)*(B_Drainage!$G$5:$G$204&lt;&gt;"")),IF(UPPER(B_Drainage!$G$5:$G$204)="Y",1,"")),"")</f>
        <v/>
      </c>
      <c r="Y274" s="181" t="str">
        <f>IFERROR(LOOKUP(2,1/((B_Drainage!$A$5:$A$204&lt;&gt;"")*(B_Drainage!$A$5:$A$204&lt;=$B274)*(B_Drainage!$B$5:$B$204&gt;$B274)*(B_Drainage!$H$5:$H$204&lt;&gt;"")),IF(UPPER(B_Drainage!$H$5:$H$204)="Y",1,"")),"")</f>
        <v/>
      </c>
      <c r="Z274" s="181" t="str">
        <f>IFERROR(LOOKUP(2,1/((B_Drainage!$A$5:$A$204&lt;&gt;"")*(B_Drainage!$A$5:$A$204&lt;=$B274)*(B_Drainage!$B$5:$B$204&gt;$B274)*(B_Drainage!$I$5:$I$204&lt;&gt;"")),IF(UPPER(B_Drainage!$I$5:$I$204)="Y",1,"")),"")</f>
        <v/>
      </c>
      <c r="AA274" s="181" t="str">
        <f>IFERROR(LOOKUP(2,1/((B_Drainage!$A$5:$A$204&lt;&gt;"")*(B_Drainage!$A$5:$A$204&lt;=$B274)*(B_Drainage!$B$5:$B$204&gt;$B274)*(B_Drainage!$J$5:$J$204&lt;&gt;"")),IF(UPPER(B_Drainage!$J$5:$J$204)="Y",1,"")),"")</f>
        <v/>
      </c>
      <c r="AB274" s="182" t="str">
        <f>IFERROR(LOOKUP(2,1/((B_Drainage!$A$5:$A$204&lt;&gt;"")*(B_Drainage!$A$5:$A$204&lt;=$B274)*(B_Drainage!$B$5:$B$204&gt;$B274)*(B_Drainage!$K$5:$K$204&lt;&gt;"")),IF(B_Drainage!$K$5:$K$204="-","",B_Drainage!$K$5:$K$204)),"")</f>
        <v/>
      </c>
      <c r="AC274" s="182" t="str">
        <f>IFERROR(LOOKUP(2,1/((B_Drainage!$A$5:$A$204&lt;&gt;"")*(B_Drainage!$A$5:$A$204&lt;=$B274)*(B_Drainage!$B$5:$B$204&gt;$B274)*(B_Drainage!$L$5:$L$204&lt;&gt;"")),IF(B_Drainage!$L$5:$L$204="-","",B_Drainage!$L$5:$L$204)),"")</f>
        <v/>
      </c>
      <c r="AD274" s="182" t="str">
        <f>IFERROR(LOOKUP(2,1/((D_Points!$A$5:$A$204&lt;&gt;"")*(D_Points!$A$5:$A$204&gt;=$B274)*(D_Points!$A$5:$A$204&lt;$B274+P_Interval)*(UPPER(TRIM(D_Points!$B$5:$B$204))="TURNOUT_L")*(D_Points!$H$5:$H$204&lt;&gt;"")),D_Points!$H$5:$H$204),"")</f>
        <v/>
      </c>
      <c r="AE274" s="182" t="str">
        <f>IFERROR(LOOKUP(2,1/((D_Points!$A$5:$A$204&lt;&gt;"")*(D_Points!$A$5:$A$204&gt;=$B274)*(D_Points!$A$5:$A$204&lt;$B274+P_Interval)*(UPPER(TRIM(D_Points!$B$5:$B$204))="TURNOUT_R")*(D_Points!$H$5:$H$204&lt;&gt;"")),D_Points!$H$5:$H$204),"")</f>
        <v/>
      </c>
      <c r="AF274" s="181" t="str">
        <f>IFERROR(LOOKUP(2,1/((B_Drainage!$A$5:$A$204&lt;&gt;"")*(B_Drainage!$A$5:$A$204&lt;=$B274)*(B_Drainage!$B$5:$B$204&gt;$B274)*(B_Drainage!$M$5:$M$204&lt;&gt;"")),IF(UPPER(B_Drainage!$M$5:$M$204)="Y",1,"")),"")</f>
        <v/>
      </c>
      <c r="AG274" s="181" t="str">
        <f>IFERROR(LOOKUP(2,1/((B_Drainage!$A$5:$A$204&lt;&gt;"")*(B_Drainage!$A$5:$A$204&lt;=$B274)*(B_Drainage!$B$5:$B$204&gt;$B274)*(B_Drainage!$N$5:$N$204&lt;&gt;"")),IF(UPPER(B_Drainage!$N$5:$N$204)="Y",1,"")),"")</f>
        <v/>
      </c>
      <c r="AH274" s="181" t="str">
        <f t="shared" si="32"/>
        <v/>
      </c>
      <c r="AI274" s="181" t="str">
        <f t="shared" si="33"/>
        <v/>
      </c>
      <c r="AJ274" s="181" t="str">
        <f t="shared" si="34"/>
        <v/>
      </c>
      <c r="AK274" s="181" t="str">
        <f t="shared" si="35"/>
        <v/>
      </c>
      <c r="AL274" s="181" t="str">
        <f t="shared" si="36"/>
        <v/>
      </c>
      <c r="AM274" s="181" t="str">
        <f t="shared" si="37"/>
        <v/>
      </c>
      <c r="AN274" s="181" t="str">
        <f t="shared" si="38"/>
        <v/>
      </c>
      <c r="AO274" s="192" t="str">
        <f t="shared" si="39"/>
        <v/>
      </c>
      <c r="AQ274" t="str">
        <f>IFERROR(LOOKUP(2,1/((C_Pavement!$A$5:$A$204&lt;&gt;"")*(C_Pavement!$A$5:$A$204&lt;=$B274)*(C_Pavement!$B$5:$B$204&gt;$B274)*(C_Pavement!$C$5:$C$204&lt;&gt;"")),ROW(C_Pavement!$C$5:$C$204)-4),"")</f>
        <v/>
      </c>
      <c r="AR274" t="str">
        <f>IF($AQ274="","",UPPER(TRIM(INDEX(C_Pavement!$C$5:$C$204,$AQ274))))</f>
        <v/>
      </c>
      <c r="AS274" t="str">
        <f>IF($AR274="","",IFERROR(MATCH($AR274,E_Rules!$A$5:$A$9,0),""))</f>
        <v/>
      </c>
      <c r="AT274" t="str">
        <f>IF($AQ274="","",IF(INDEX(C_Pavement!$D$5:$D$204,$AQ274)&lt;&gt;"",UPPER(TRIM(INDEX(C_Pavement!$D$5:$D$204,$AQ274))),IF($AS274="","",INDEX(E_Rules!$C$5:$C$9,$AS274))))</f>
        <v/>
      </c>
      <c r="AU274" t="str">
        <f>IF($AQ274="","",IF(INDEX(C_Pavement!$E$5:$E$204,$AQ274)&lt;&gt;"",IF(INDEX(C_Pavement!$E$5:$E$204,$AQ274)="-","",INDEX(C_Pavement!$E$5:$E$204,$AQ274)),IF($AS274="","",INDEX(E_Rules!$D$5:$D$9,$AS274))))</f>
        <v/>
      </c>
      <c r="AV274" t="str">
        <f>IF($AQ274="","",IF(INDEX(C_Pavement!$F$5:$F$204,$AQ274)&lt;&gt;"",IF(INDEX(C_Pavement!$F$5:$F$204,$AQ274)="-","",INDEX(C_Pavement!$F$5:$F$204,$AQ274)),IF($AS274="","",INDEX(E_Rules!$E$5:$E$9,$AS274))))</f>
        <v/>
      </c>
      <c r="AW274" t="str">
        <f>IF($AQ274="","",IF(INDEX(C_Pavement!$G$5:$G$204,$AQ274)&lt;&gt;"",IF(INDEX(C_Pavement!$G$5:$G$204,$AQ274)="-","",INDEX(C_Pavement!$G$5:$G$204,$AQ274)),IF($AS274="","",INDEX(E_Rules!$F$5:$F$9,$AS274))))</f>
        <v/>
      </c>
      <c r="AX274" t="str">
        <f>IF($AQ274="","",IF(INDEX(C_Pavement!$H$5:$H$204,$AQ274)&lt;&gt;"",IF(INDEX(C_Pavement!$H$5:$H$204,$AQ274)="-","",INDEX(C_Pavement!$H$5:$H$204,$AQ274)),IF($AS274="","",INDEX(E_Rules!$G$5:$G$9,$AS274))))</f>
        <v/>
      </c>
      <c r="AY274" t="str">
        <f>IF($AQ274="","",IF(INDEX(C_Pavement!$I$5:$I$204,$AQ274)&lt;&gt;"",IF(INDEX(C_Pavement!$I$5:$I$204,$AQ274)="-","",INDEX(C_Pavement!$I$5:$I$204,$AQ274)),IF($AS274="","",INDEX(E_Rules!$H$5:$H$9,$AS274))))</f>
        <v/>
      </c>
    </row>
    <row r="275" spans="1:51" ht="15.75" customHeight="1" x14ac:dyDescent="0.3">
      <c r="A275" s="189">
        <v>270</v>
      </c>
      <c r="B275" s="180">
        <v>13450</v>
      </c>
      <c r="C275" s="180" t="s">
        <v>581</v>
      </c>
      <c r="D275" s="181" t="str">
        <f>IFERROR(LOOKUP(2,1/((A_Corridor!$A$5:$A$204&lt;&gt;"")*(A_Corridor!$A$5:$A$204&lt;=$B275)*(A_Corridor!$B$5:$B$204&gt;$B275)*(A_Corridor!$C$5:$C$204&lt;&gt;"")),IF(UPPER(A_Corridor!$C$5:$C$204)="Y",1,"")),"")</f>
        <v/>
      </c>
      <c r="E275" s="181" t="str">
        <f>IFERROR(LOOKUP(2,1/((A_Corridor!$A$5:$A$204&lt;&gt;"")*(A_Corridor!$A$5:$A$204&lt;=$B275)*(A_Corridor!$B$5:$B$204&gt;$B275)*(A_Corridor!$D$5:$D$204&lt;&gt;"")),IF(A_Corridor!$D$5:$D$204="-","",UPPER(A_Corridor!$D$5:$D$204))),"")</f>
        <v/>
      </c>
      <c r="F275" s="181" t="str">
        <f>IFERROR(LOOKUP(2,1/((A_Corridor!$A$5:$A$204&lt;&gt;"")*(A_Corridor!$A$5:$A$204&lt;=$B275)*(A_Corridor!$B$5:$B$204&gt;$B275)*(A_Corridor!$E$5:$E$204&lt;&gt;"")),IF(A_Corridor!$E$5:$E$204="-","",1)),"")</f>
        <v/>
      </c>
      <c r="G275" s="182" t="str">
        <f>IFERROR(LOOKUP(2,1/((A_Corridor!$A$5:$A$204&lt;&gt;"")*(A_Corridor!$A$5:$A$204&lt;=$B275)*(A_Corridor!$B$5:$B$204&gt;$B275)*(A_Corridor!$E$5:$E$204&lt;&gt;"")),IF(A_Corridor!$E$5:$E$204="-","",A_Corridor!$E$5:$E$204)),"")</f>
        <v/>
      </c>
      <c r="H275" s="182" t="str">
        <f>IFERROR(LOOKUP(2,1/((D_Points!$A$5:$A$204&lt;&gt;"")*(D_Points!$A$5:$A$204&gt;=$B275)*(D_Points!$A$5:$A$204&lt;$B275+P_Interval)*(UPPER(TRIM(D_Points!$B$5:$B$204))="GULLY")*(D_Points!$H$5:$H$204&lt;&gt;"")),D_Points!$H$5:$H$204),"")</f>
        <v/>
      </c>
      <c r="I275" s="181" t="str">
        <f>IFERROR(LOOKUP(2,1/((A_Corridor!$A$5:$A$204&lt;&gt;"")*(A_Corridor!$A$5:$A$204&lt;=$B275)*(A_Corridor!$B$5:$B$204&gt;$B275)*(A_Corridor!$F$5:$F$204&lt;&gt;"")),IF(A_Corridor!$F$5:$F$204="-","",1)),"")</f>
        <v/>
      </c>
      <c r="J275" s="182" t="str">
        <f>IFERROR(LOOKUP(2,1/((A_Corridor!$A$5:$A$204&lt;&gt;"")*(A_Corridor!$A$5:$A$204&lt;=$B275)*(A_Corridor!$B$5:$B$204&gt;$B275)*(A_Corridor!$F$5:$F$204&lt;&gt;"")),IF(A_Corridor!$F$5:$F$204="-","",A_Corridor!$F$5:$F$204)),"")</f>
        <v/>
      </c>
      <c r="K275" s="182" t="str">
        <f>IFERROR(LOOKUP(2,1/((A_Corridor!$A$5:$A$204&lt;&gt;"")*(A_Corridor!$A$5:$A$204&lt;=$B275)*(A_Corridor!$B$5:$B$204&gt;$B275)*(A_Corridor!$G$5:$G$204&lt;&gt;"")),IF(A_Corridor!$G$5:$G$204="-","",A_Corridor!$G$5:$G$204)),"")</f>
        <v/>
      </c>
      <c r="L275" s="181" t="str">
        <f>IFERROR(LOOKUP(2,1/((A_Corridor!$A$5:$A$204&lt;&gt;"")*(A_Corridor!$A$5:$A$204&lt;=$B275)*(A_Corridor!$B$5:$B$204&gt;$B275)*(A_Corridor!$H$5:$H$204&lt;&gt;"")),IF(A_Corridor!$H$5:$H$204="-","",1)),"")</f>
        <v/>
      </c>
      <c r="M275" s="182" t="str">
        <f>IFERROR(LOOKUP(2,1/((A_Corridor!$A$5:$A$204&lt;&gt;"")*(A_Corridor!$A$5:$A$204&lt;=$B275)*(A_Corridor!$B$5:$B$204&gt;$B275)*(A_Corridor!$H$5:$H$204&lt;&gt;"")),IF(A_Corridor!$H$5:$H$204="-","",A_Corridor!$H$5:$H$204)),"")</f>
        <v/>
      </c>
      <c r="N275" s="182" t="str">
        <f>IFERROR(LOOKUP(2,1/((A_Corridor!$A$5:$A$204&lt;&gt;"")*(A_Corridor!$A$5:$A$204&lt;=$B275)*(A_Corridor!$B$5:$B$204&gt;$B275)*(A_Corridor!$I$5:$I$204&lt;&gt;"")),IF(A_Corridor!$I$5:$I$204="-","",A_Corridor!$I$5:$I$204)),"")</f>
        <v/>
      </c>
      <c r="O275" s="182" t="str">
        <f>IFERROR(LOOKUP(2,1/((D_Points!$A$5:$A$204&lt;&gt;"")*(D_Points!$A$5:$A$204&gt;=$B275)*(D_Points!$A$5:$A$204&lt;$B275+P_Interval)*(UPPER(TRIM(D_Points!$B$5:$B$204))="PITCHING")*(D_Points!$H$5:$H$204&lt;&gt;"")),D_Points!$H$5:$H$204),"")</f>
        <v/>
      </c>
      <c r="P275" s="181" t="str">
        <f>IFERROR(LOOKUP(2,1/((B_Drainage!$A$5:$A$204&lt;&gt;"")*(B_Drainage!$A$5:$A$204&lt;=$B275)*(B_Drainage!$B$5:$B$204&gt;$B275)*(B_Drainage!$C$5:$C$204&lt;&gt;"")),IF(B_Drainage!$C$5:$C$204="-","",UPPER(B_Drainage!$C$5:$C$204))),"")</f>
        <v/>
      </c>
      <c r="Q275" s="181" t="str">
        <f>IFERROR(LOOKUP(2,1/((B_Drainage!$A$5:$A$204&lt;&gt;"")*(B_Drainage!$A$5:$A$204&lt;=$B275)*(B_Drainage!$B$5:$B$204&gt;$B275)*(B_Drainage!$D$5:$D$204&lt;&gt;"")),IF(B_Drainage!$D$5:$D$204="-","",UPPER(B_Drainage!$D$5:$D$204))),"")</f>
        <v/>
      </c>
      <c r="R275" s="182" t="str">
        <f>IFERROR(LOOKUP(2,1/((D_Points!$A$5:$A$204&lt;&gt;"")*(D_Points!$A$5:$A$204&gt;=$B275)*(D_Points!$A$5:$A$204&lt;$B275+P_Interval)*(RIGHT(UPPER(TRIM(D_Points!$B$5:$B$204)),8)="_CULVERT")),IF(LEFT(UPPER(TRIM(D_Points!$B$5:$B$204)),2)="EX",1,IF(LEFT(UPPER(TRIM(D_Points!$B$5:$B$204)),2)="PR",2,3))),"")</f>
        <v/>
      </c>
      <c r="S275" s="182" t="str">
        <f>IFERROR(LOOKUP(2,1/((D_Points!$A$5:$A$204&lt;&gt;"")*(D_Points!$A$5:$A$204&gt;=$B275)*(D_Points!$A$5:$A$204&lt;$B275+P_Interval)*(RIGHT(UPPER(TRIM(D_Points!$B$5:$B$204)),7)="_BRIDGE")),IF(LEFT(UPPER(TRIM(D_Points!$B$5:$B$204)),2)="EX",1,IF(LEFT(UPPER(TRIM(D_Points!$B$5:$B$204)),2)="PR",2,2))),"")</f>
        <v/>
      </c>
      <c r="T275" s="181" t="str">
        <f>IFERROR(LOOKUP(2,1/((B_Drainage!$A$5:$A$204&lt;&gt;"")*(B_Drainage!$A$5:$A$204&lt;=$B275)*(B_Drainage!$B$5:$B$204&gt;$B275)*(B_Drainage!$E$5:$E$204&lt;&gt;"")),IF(B_Drainage!$E$5:$E$204="-","",1)),"")</f>
        <v/>
      </c>
      <c r="U275" s="181" t="str">
        <f>IFERROR(LOOKUP(2,1/((B_Drainage!$A$5:$A$204&lt;&gt;"")*(B_Drainage!$A$5:$A$204&lt;=$B275)*(B_Drainage!$B$5:$B$204&gt;$B275)*(B_Drainage!$E$5:$E$204&lt;&gt;"")),IF(B_Drainage!$E$5:$E$204="-","",B_Drainage!$E$5:$E$204)),"")</f>
        <v/>
      </c>
      <c r="V275" s="181" t="str">
        <f>IFERROR(LOOKUP(2,1/((B_Drainage!$A$5:$A$204&lt;&gt;"")*(B_Drainage!$A$5:$A$204&lt;=$B275)*(B_Drainage!$B$5:$B$204&gt;$B275)*(B_Drainage!$F$5:$F$204&lt;&gt;"")),IF(B_Drainage!$F$5:$F$204="-","",1)),"")</f>
        <v/>
      </c>
      <c r="W275" s="181" t="str">
        <f>IFERROR(LOOKUP(2,1/((B_Drainage!$A$5:$A$204&lt;&gt;"")*(B_Drainage!$A$5:$A$204&lt;=$B275)*(B_Drainage!$B$5:$B$204&gt;$B275)*(B_Drainage!$F$5:$F$204&lt;&gt;"")),IF(B_Drainage!$F$5:$F$204="-","",B_Drainage!$F$5:$F$204)),"")</f>
        <v/>
      </c>
      <c r="X275" s="181" t="str">
        <f>IFERROR(LOOKUP(2,1/((B_Drainage!$A$5:$A$204&lt;&gt;"")*(B_Drainage!$A$5:$A$204&lt;=$B275)*(B_Drainage!$B$5:$B$204&gt;$B275)*(B_Drainage!$G$5:$G$204&lt;&gt;"")),IF(UPPER(B_Drainage!$G$5:$G$204)="Y",1,"")),"")</f>
        <v/>
      </c>
      <c r="Y275" s="181" t="str">
        <f>IFERROR(LOOKUP(2,1/((B_Drainage!$A$5:$A$204&lt;&gt;"")*(B_Drainage!$A$5:$A$204&lt;=$B275)*(B_Drainage!$B$5:$B$204&gt;$B275)*(B_Drainage!$H$5:$H$204&lt;&gt;"")),IF(UPPER(B_Drainage!$H$5:$H$204)="Y",1,"")),"")</f>
        <v/>
      </c>
      <c r="Z275" s="181" t="str">
        <f>IFERROR(LOOKUP(2,1/((B_Drainage!$A$5:$A$204&lt;&gt;"")*(B_Drainage!$A$5:$A$204&lt;=$B275)*(B_Drainage!$B$5:$B$204&gt;$B275)*(B_Drainage!$I$5:$I$204&lt;&gt;"")),IF(UPPER(B_Drainage!$I$5:$I$204)="Y",1,"")),"")</f>
        <v/>
      </c>
      <c r="AA275" s="181" t="str">
        <f>IFERROR(LOOKUP(2,1/((B_Drainage!$A$5:$A$204&lt;&gt;"")*(B_Drainage!$A$5:$A$204&lt;=$B275)*(B_Drainage!$B$5:$B$204&gt;$B275)*(B_Drainage!$J$5:$J$204&lt;&gt;"")),IF(UPPER(B_Drainage!$J$5:$J$204)="Y",1,"")),"")</f>
        <v/>
      </c>
      <c r="AB275" s="182" t="str">
        <f>IFERROR(LOOKUP(2,1/((B_Drainage!$A$5:$A$204&lt;&gt;"")*(B_Drainage!$A$5:$A$204&lt;=$B275)*(B_Drainage!$B$5:$B$204&gt;$B275)*(B_Drainage!$K$5:$K$204&lt;&gt;"")),IF(B_Drainage!$K$5:$K$204="-","",B_Drainage!$K$5:$K$204)),"")</f>
        <v/>
      </c>
      <c r="AC275" s="182" t="str">
        <f>IFERROR(LOOKUP(2,1/((B_Drainage!$A$5:$A$204&lt;&gt;"")*(B_Drainage!$A$5:$A$204&lt;=$B275)*(B_Drainage!$B$5:$B$204&gt;$B275)*(B_Drainage!$L$5:$L$204&lt;&gt;"")),IF(B_Drainage!$L$5:$L$204="-","",B_Drainage!$L$5:$L$204)),"")</f>
        <v/>
      </c>
      <c r="AD275" s="182" t="str">
        <f>IFERROR(LOOKUP(2,1/((D_Points!$A$5:$A$204&lt;&gt;"")*(D_Points!$A$5:$A$204&gt;=$B275)*(D_Points!$A$5:$A$204&lt;$B275+P_Interval)*(UPPER(TRIM(D_Points!$B$5:$B$204))="TURNOUT_L")*(D_Points!$H$5:$H$204&lt;&gt;"")),D_Points!$H$5:$H$204),"")</f>
        <v/>
      </c>
      <c r="AE275" s="182" t="str">
        <f>IFERROR(LOOKUP(2,1/((D_Points!$A$5:$A$204&lt;&gt;"")*(D_Points!$A$5:$A$204&gt;=$B275)*(D_Points!$A$5:$A$204&lt;$B275+P_Interval)*(UPPER(TRIM(D_Points!$B$5:$B$204))="TURNOUT_R")*(D_Points!$H$5:$H$204&lt;&gt;"")),D_Points!$H$5:$H$204),"")</f>
        <v/>
      </c>
      <c r="AF275" s="181" t="str">
        <f>IFERROR(LOOKUP(2,1/((B_Drainage!$A$5:$A$204&lt;&gt;"")*(B_Drainage!$A$5:$A$204&lt;=$B275)*(B_Drainage!$B$5:$B$204&gt;$B275)*(B_Drainage!$M$5:$M$204&lt;&gt;"")),IF(UPPER(B_Drainage!$M$5:$M$204)="Y",1,"")),"")</f>
        <v/>
      </c>
      <c r="AG275" s="181" t="str">
        <f>IFERROR(LOOKUP(2,1/((B_Drainage!$A$5:$A$204&lt;&gt;"")*(B_Drainage!$A$5:$A$204&lt;=$B275)*(B_Drainage!$B$5:$B$204&gt;$B275)*(B_Drainage!$N$5:$N$204&lt;&gt;"")),IF(UPPER(B_Drainage!$N$5:$N$204)="Y",1,"")),"")</f>
        <v/>
      </c>
      <c r="AH275" s="181" t="str">
        <f t="shared" si="32"/>
        <v/>
      </c>
      <c r="AI275" s="181" t="str">
        <f t="shared" si="33"/>
        <v/>
      </c>
      <c r="AJ275" s="181" t="str">
        <f t="shared" si="34"/>
        <v/>
      </c>
      <c r="AK275" s="181" t="str">
        <f t="shared" si="35"/>
        <v/>
      </c>
      <c r="AL275" s="181" t="str">
        <f t="shared" si="36"/>
        <v/>
      </c>
      <c r="AM275" s="181" t="str">
        <f t="shared" si="37"/>
        <v/>
      </c>
      <c r="AN275" s="181" t="str">
        <f t="shared" si="38"/>
        <v/>
      </c>
      <c r="AO275" s="192" t="str">
        <f t="shared" si="39"/>
        <v/>
      </c>
      <c r="AQ275" t="str">
        <f>IFERROR(LOOKUP(2,1/((C_Pavement!$A$5:$A$204&lt;&gt;"")*(C_Pavement!$A$5:$A$204&lt;=$B275)*(C_Pavement!$B$5:$B$204&gt;$B275)*(C_Pavement!$C$5:$C$204&lt;&gt;"")),ROW(C_Pavement!$C$5:$C$204)-4),"")</f>
        <v/>
      </c>
      <c r="AR275" t="str">
        <f>IF($AQ275="","",UPPER(TRIM(INDEX(C_Pavement!$C$5:$C$204,$AQ275))))</f>
        <v/>
      </c>
      <c r="AS275" t="str">
        <f>IF($AR275="","",IFERROR(MATCH($AR275,E_Rules!$A$5:$A$9,0),""))</f>
        <v/>
      </c>
      <c r="AT275" t="str">
        <f>IF($AQ275="","",IF(INDEX(C_Pavement!$D$5:$D$204,$AQ275)&lt;&gt;"",UPPER(TRIM(INDEX(C_Pavement!$D$5:$D$204,$AQ275))),IF($AS275="","",INDEX(E_Rules!$C$5:$C$9,$AS275))))</f>
        <v/>
      </c>
      <c r="AU275" t="str">
        <f>IF($AQ275="","",IF(INDEX(C_Pavement!$E$5:$E$204,$AQ275)&lt;&gt;"",IF(INDEX(C_Pavement!$E$5:$E$204,$AQ275)="-","",INDEX(C_Pavement!$E$5:$E$204,$AQ275)),IF($AS275="","",INDEX(E_Rules!$D$5:$D$9,$AS275))))</f>
        <v/>
      </c>
      <c r="AV275" t="str">
        <f>IF($AQ275="","",IF(INDEX(C_Pavement!$F$5:$F$204,$AQ275)&lt;&gt;"",IF(INDEX(C_Pavement!$F$5:$F$204,$AQ275)="-","",INDEX(C_Pavement!$F$5:$F$204,$AQ275)),IF($AS275="","",INDEX(E_Rules!$E$5:$E$9,$AS275))))</f>
        <v/>
      </c>
      <c r="AW275" t="str">
        <f>IF($AQ275="","",IF(INDEX(C_Pavement!$G$5:$G$204,$AQ275)&lt;&gt;"",IF(INDEX(C_Pavement!$G$5:$G$204,$AQ275)="-","",INDEX(C_Pavement!$G$5:$G$204,$AQ275)),IF($AS275="","",INDEX(E_Rules!$F$5:$F$9,$AS275))))</f>
        <v/>
      </c>
      <c r="AX275" t="str">
        <f>IF($AQ275="","",IF(INDEX(C_Pavement!$H$5:$H$204,$AQ275)&lt;&gt;"",IF(INDEX(C_Pavement!$H$5:$H$204,$AQ275)="-","",INDEX(C_Pavement!$H$5:$H$204,$AQ275)),IF($AS275="","",INDEX(E_Rules!$G$5:$G$9,$AS275))))</f>
        <v/>
      </c>
      <c r="AY275" t="str">
        <f>IF($AQ275="","",IF(INDEX(C_Pavement!$I$5:$I$204,$AQ275)&lt;&gt;"",IF(INDEX(C_Pavement!$I$5:$I$204,$AQ275)="-","",INDEX(C_Pavement!$I$5:$I$204,$AQ275)),IF($AS275="","",INDEX(E_Rules!$H$5:$H$9,$AS275))))</f>
        <v/>
      </c>
    </row>
    <row r="276" spans="1:51" ht="15.75" customHeight="1" x14ac:dyDescent="0.3">
      <c r="A276" s="189">
        <v>271</v>
      </c>
      <c r="B276" s="180">
        <v>13500</v>
      </c>
      <c r="C276" s="180" t="s">
        <v>582</v>
      </c>
      <c r="D276" s="181" t="str">
        <f>IFERROR(LOOKUP(2,1/((A_Corridor!$A$5:$A$204&lt;&gt;"")*(A_Corridor!$A$5:$A$204&lt;=$B276)*(A_Corridor!$B$5:$B$204&gt;$B276)*(A_Corridor!$C$5:$C$204&lt;&gt;"")),IF(UPPER(A_Corridor!$C$5:$C$204)="Y",1,"")),"")</f>
        <v/>
      </c>
      <c r="E276" s="181" t="str">
        <f>IFERROR(LOOKUP(2,1/((A_Corridor!$A$5:$A$204&lt;&gt;"")*(A_Corridor!$A$5:$A$204&lt;=$B276)*(A_Corridor!$B$5:$B$204&gt;$B276)*(A_Corridor!$D$5:$D$204&lt;&gt;"")),IF(A_Corridor!$D$5:$D$204="-","",UPPER(A_Corridor!$D$5:$D$204))),"")</f>
        <v/>
      </c>
      <c r="F276" s="181" t="str">
        <f>IFERROR(LOOKUP(2,1/((A_Corridor!$A$5:$A$204&lt;&gt;"")*(A_Corridor!$A$5:$A$204&lt;=$B276)*(A_Corridor!$B$5:$B$204&gt;$B276)*(A_Corridor!$E$5:$E$204&lt;&gt;"")),IF(A_Corridor!$E$5:$E$204="-","",1)),"")</f>
        <v/>
      </c>
      <c r="G276" s="182" t="str">
        <f>IFERROR(LOOKUP(2,1/((A_Corridor!$A$5:$A$204&lt;&gt;"")*(A_Corridor!$A$5:$A$204&lt;=$B276)*(A_Corridor!$B$5:$B$204&gt;$B276)*(A_Corridor!$E$5:$E$204&lt;&gt;"")),IF(A_Corridor!$E$5:$E$204="-","",A_Corridor!$E$5:$E$204)),"")</f>
        <v/>
      </c>
      <c r="H276" s="182" t="str">
        <f>IFERROR(LOOKUP(2,1/((D_Points!$A$5:$A$204&lt;&gt;"")*(D_Points!$A$5:$A$204&gt;=$B276)*(D_Points!$A$5:$A$204&lt;$B276+P_Interval)*(UPPER(TRIM(D_Points!$B$5:$B$204))="GULLY")*(D_Points!$H$5:$H$204&lt;&gt;"")),D_Points!$H$5:$H$204),"")</f>
        <v/>
      </c>
      <c r="I276" s="181" t="str">
        <f>IFERROR(LOOKUP(2,1/((A_Corridor!$A$5:$A$204&lt;&gt;"")*(A_Corridor!$A$5:$A$204&lt;=$B276)*(A_Corridor!$B$5:$B$204&gt;$B276)*(A_Corridor!$F$5:$F$204&lt;&gt;"")),IF(A_Corridor!$F$5:$F$204="-","",1)),"")</f>
        <v/>
      </c>
      <c r="J276" s="182" t="str">
        <f>IFERROR(LOOKUP(2,1/((A_Corridor!$A$5:$A$204&lt;&gt;"")*(A_Corridor!$A$5:$A$204&lt;=$B276)*(A_Corridor!$B$5:$B$204&gt;$B276)*(A_Corridor!$F$5:$F$204&lt;&gt;"")),IF(A_Corridor!$F$5:$F$204="-","",A_Corridor!$F$5:$F$204)),"")</f>
        <v/>
      </c>
      <c r="K276" s="182" t="str">
        <f>IFERROR(LOOKUP(2,1/((A_Corridor!$A$5:$A$204&lt;&gt;"")*(A_Corridor!$A$5:$A$204&lt;=$B276)*(A_Corridor!$B$5:$B$204&gt;$B276)*(A_Corridor!$G$5:$G$204&lt;&gt;"")),IF(A_Corridor!$G$5:$G$204="-","",A_Corridor!$G$5:$G$204)),"")</f>
        <v/>
      </c>
      <c r="L276" s="181" t="str">
        <f>IFERROR(LOOKUP(2,1/((A_Corridor!$A$5:$A$204&lt;&gt;"")*(A_Corridor!$A$5:$A$204&lt;=$B276)*(A_Corridor!$B$5:$B$204&gt;$B276)*(A_Corridor!$H$5:$H$204&lt;&gt;"")),IF(A_Corridor!$H$5:$H$204="-","",1)),"")</f>
        <v/>
      </c>
      <c r="M276" s="182" t="str">
        <f>IFERROR(LOOKUP(2,1/((A_Corridor!$A$5:$A$204&lt;&gt;"")*(A_Corridor!$A$5:$A$204&lt;=$B276)*(A_Corridor!$B$5:$B$204&gt;$B276)*(A_Corridor!$H$5:$H$204&lt;&gt;"")),IF(A_Corridor!$H$5:$H$204="-","",A_Corridor!$H$5:$H$204)),"")</f>
        <v/>
      </c>
      <c r="N276" s="182" t="str">
        <f>IFERROR(LOOKUP(2,1/((A_Corridor!$A$5:$A$204&lt;&gt;"")*(A_Corridor!$A$5:$A$204&lt;=$B276)*(A_Corridor!$B$5:$B$204&gt;$B276)*(A_Corridor!$I$5:$I$204&lt;&gt;"")),IF(A_Corridor!$I$5:$I$204="-","",A_Corridor!$I$5:$I$204)),"")</f>
        <v/>
      </c>
      <c r="O276" s="182" t="str">
        <f>IFERROR(LOOKUP(2,1/((D_Points!$A$5:$A$204&lt;&gt;"")*(D_Points!$A$5:$A$204&gt;=$B276)*(D_Points!$A$5:$A$204&lt;$B276+P_Interval)*(UPPER(TRIM(D_Points!$B$5:$B$204))="PITCHING")*(D_Points!$H$5:$H$204&lt;&gt;"")),D_Points!$H$5:$H$204),"")</f>
        <v/>
      </c>
      <c r="P276" s="181" t="str">
        <f>IFERROR(LOOKUP(2,1/((B_Drainage!$A$5:$A$204&lt;&gt;"")*(B_Drainage!$A$5:$A$204&lt;=$B276)*(B_Drainage!$B$5:$B$204&gt;$B276)*(B_Drainage!$C$5:$C$204&lt;&gt;"")),IF(B_Drainage!$C$5:$C$204="-","",UPPER(B_Drainage!$C$5:$C$204))),"")</f>
        <v/>
      </c>
      <c r="Q276" s="181" t="str">
        <f>IFERROR(LOOKUP(2,1/((B_Drainage!$A$5:$A$204&lt;&gt;"")*(B_Drainage!$A$5:$A$204&lt;=$B276)*(B_Drainage!$B$5:$B$204&gt;$B276)*(B_Drainage!$D$5:$D$204&lt;&gt;"")),IF(B_Drainage!$D$5:$D$204="-","",UPPER(B_Drainage!$D$5:$D$204))),"")</f>
        <v/>
      </c>
      <c r="R276" s="182" t="str">
        <f>IFERROR(LOOKUP(2,1/((D_Points!$A$5:$A$204&lt;&gt;"")*(D_Points!$A$5:$A$204&gt;=$B276)*(D_Points!$A$5:$A$204&lt;$B276+P_Interval)*(RIGHT(UPPER(TRIM(D_Points!$B$5:$B$204)),8)="_CULVERT")),IF(LEFT(UPPER(TRIM(D_Points!$B$5:$B$204)),2)="EX",1,IF(LEFT(UPPER(TRIM(D_Points!$B$5:$B$204)),2)="PR",2,3))),"")</f>
        <v/>
      </c>
      <c r="S276" s="182" t="str">
        <f>IFERROR(LOOKUP(2,1/((D_Points!$A$5:$A$204&lt;&gt;"")*(D_Points!$A$5:$A$204&gt;=$B276)*(D_Points!$A$5:$A$204&lt;$B276+P_Interval)*(RIGHT(UPPER(TRIM(D_Points!$B$5:$B$204)),7)="_BRIDGE")),IF(LEFT(UPPER(TRIM(D_Points!$B$5:$B$204)),2)="EX",1,IF(LEFT(UPPER(TRIM(D_Points!$B$5:$B$204)),2)="PR",2,2))),"")</f>
        <v/>
      </c>
      <c r="T276" s="181" t="str">
        <f>IFERROR(LOOKUP(2,1/((B_Drainage!$A$5:$A$204&lt;&gt;"")*(B_Drainage!$A$5:$A$204&lt;=$B276)*(B_Drainage!$B$5:$B$204&gt;$B276)*(B_Drainage!$E$5:$E$204&lt;&gt;"")),IF(B_Drainage!$E$5:$E$204="-","",1)),"")</f>
        <v/>
      </c>
      <c r="U276" s="181" t="str">
        <f>IFERROR(LOOKUP(2,1/((B_Drainage!$A$5:$A$204&lt;&gt;"")*(B_Drainage!$A$5:$A$204&lt;=$B276)*(B_Drainage!$B$5:$B$204&gt;$B276)*(B_Drainage!$E$5:$E$204&lt;&gt;"")),IF(B_Drainage!$E$5:$E$204="-","",B_Drainage!$E$5:$E$204)),"")</f>
        <v/>
      </c>
      <c r="V276" s="181" t="str">
        <f>IFERROR(LOOKUP(2,1/((B_Drainage!$A$5:$A$204&lt;&gt;"")*(B_Drainage!$A$5:$A$204&lt;=$B276)*(B_Drainage!$B$5:$B$204&gt;$B276)*(B_Drainage!$F$5:$F$204&lt;&gt;"")),IF(B_Drainage!$F$5:$F$204="-","",1)),"")</f>
        <v/>
      </c>
      <c r="W276" s="181" t="str">
        <f>IFERROR(LOOKUP(2,1/((B_Drainage!$A$5:$A$204&lt;&gt;"")*(B_Drainage!$A$5:$A$204&lt;=$B276)*(B_Drainage!$B$5:$B$204&gt;$B276)*(B_Drainage!$F$5:$F$204&lt;&gt;"")),IF(B_Drainage!$F$5:$F$204="-","",B_Drainage!$F$5:$F$204)),"")</f>
        <v/>
      </c>
      <c r="X276" s="181" t="str">
        <f>IFERROR(LOOKUP(2,1/((B_Drainage!$A$5:$A$204&lt;&gt;"")*(B_Drainage!$A$5:$A$204&lt;=$B276)*(B_Drainage!$B$5:$B$204&gt;$B276)*(B_Drainage!$G$5:$G$204&lt;&gt;"")),IF(UPPER(B_Drainage!$G$5:$G$204)="Y",1,"")),"")</f>
        <v/>
      </c>
      <c r="Y276" s="181" t="str">
        <f>IFERROR(LOOKUP(2,1/((B_Drainage!$A$5:$A$204&lt;&gt;"")*(B_Drainage!$A$5:$A$204&lt;=$B276)*(B_Drainage!$B$5:$B$204&gt;$B276)*(B_Drainage!$H$5:$H$204&lt;&gt;"")),IF(UPPER(B_Drainage!$H$5:$H$204)="Y",1,"")),"")</f>
        <v/>
      </c>
      <c r="Z276" s="181" t="str">
        <f>IFERROR(LOOKUP(2,1/((B_Drainage!$A$5:$A$204&lt;&gt;"")*(B_Drainage!$A$5:$A$204&lt;=$B276)*(B_Drainage!$B$5:$B$204&gt;$B276)*(B_Drainage!$I$5:$I$204&lt;&gt;"")),IF(UPPER(B_Drainage!$I$5:$I$204)="Y",1,"")),"")</f>
        <v/>
      </c>
      <c r="AA276" s="181" t="str">
        <f>IFERROR(LOOKUP(2,1/((B_Drainage!$A$5:$A$204&lt;&gt;"")*(B_Drainage!$A$5:$A$204&lt;=$B276)*(B_Drainage!$B$5:$B$204&gt;$B276)*(B_Drainage!$J$5:$J$204&lt;&gt;"")),IF(UPPER(B_Drainage!$J$5:$J$204)="Y",1,"")),"")</f>
        <v/>
      </c>
      <c r="AB276" s="182" t="str">
        <f>IFERROR(LOOKUP(2,1/((B_Drainage!$A$5:$A$204&lt;&gt;"")*(B_Drainage!$A$5:$A$204&lt;=$B276)*(B_Drainage!$B$5:$B$204&gt;$B276)*(B_Drainage!$K$5:$K$204&lt;&gt;"")),IF(B_Drainage!$K$5:$K$204="-","",B_Drainage!$K$5:$K$204)),"")</f>
        <v/>
      </c>
      <c r="AC276" s="182" t="str">
        <f>IFERROR(LOOKUP(2,1/((B_Drainage!$A$5:$A$204&lt;&gt;"")*(B_Drainage!$A$5:$A$204&lt;=$B276)*(B_Drainage!$B$5:$B$204&gt;$B276)*(B_Drainage!$L$5:$L$204&lt;&gt;"")),IF(B_Drainage!$L$5:$L$204="-","",B_Drainage!$L$5:$L$204)),"")</f>
        <v/>
      </c>
      <c r="AD276" s="182" t="str">
        <f>IFERROR(LOOKUP(2,1/((D_Points!$A$5:$A$204&lt;&gt;"")*(D_Points!$A$5:$A$204&gt;=$B276)*(D_Points!$A$5:$A$204&lt;$B276+P_Interval)*(UPPER(TRIM(D_Points!$B$5:$B$204))="TURNOUT_L")*(D_Points!$H$5:$H$204&lt;&gt;"")),D_Points!$H$5:$H$204),"")</f>
        <v/>
      </c>
      <c r="AE276" s="182" t="str">
        <f>IFERROR(LOOKUP(2,1/((D_Points!$A$5:$A$204&lt;&gt;"")*(D_Points!$A$5:$A$204&gt;=$B276)*(D_Points!$A$5:$A$204&lt;$B276+P_Interval)*(UPPER(TRIM(D_Points!$B$5:$B$204))="TURNOUT_R")*(D_Points!$H$5:$H$204&lt;&gt;"")),D_Points!$H$5:$H$204),"")</f>
        <v/>
      </c>
      <c r="AF276" s="181" t="str">
        <f>IFERROR(LOOKUP(2,1/((B_Drainage!$A$5:$A$204&lt;&gt;"")*(B_Drainage!$A$5:$A$204&lt;=$B276)*(B_Drainage!$B$5:$B$204&gt;$B276)*(B_Drainage!$M$5:$M$204&lt;&gt;"")),IF(UPPER(B_Drainage!$M$5:$M$204)="Y",1,"")),"")</f>
        <v/>
      </c>
      <c r="AG276" s="181" t="str">
        <f>IFERROR(LOOKUP(2,1/((B_Drainage!$A$5:$A$204&lt;&gt;"")*(B_Drainage!$A$5:$A$204&lt;=$B276)*(B_Drainage!$B$5:$B$204&gt;$B276)*(B_Drainage!$N$5:$N$204&lt;&gt;"")),IF(UPPER(B_Drainage!$N$5:$N$204)="Y",1,"")),"")</f>
        <v/>
      </c>
      <c r="AH276" s="181" t="str">
        <f t="shared" si="32"/>
        <v/>
      </c>
      <c r="AI276" s="181" t="str">
        <f t="shared" si="33"/>
        <v/>
      </c>
      <c r="AJ276" s="181" t="str">
        <f t="shared" si="34"/>
        <v/>
      </c>
      <c r="AK276" s="181" t="str">
        <f t="shared" si="35"/>
        <v/>
      </c>
      <c r="AL276" s="181" t="str">
        <f t="shared" si="36"/>
        <v/>
      </c>
      <c r="AM276" s="181" t="str">
        <f t="shared" si="37"/>
        <v/>
      </c>
      <c r="AN276" s="181" t="str">
        <f t="shared" si="38"/>
        <v/>
      </c>
      <c r="AO276" s="192" t="str">
        <f t="shared" si="39"/>
        <v/>
      </c>
      <c r="AQ276" t="str">
        <f>IFERROR(LOOKUP(2,1/((C_Pavement!$A$5:$A$204&lt;&gt;"")*(C_Pavement!$A$5:$A$204&lt;=$B276)*(C_Pavement!$B$5:$B$204&gt;$B276)*(C_Pavement!$C$5:$C$204&lt;&gt;"")),ROW(C_Pavement!$C$5:$C$204)-4),"")</f>
        <v/>
      </c>
      <c r="AR276" t="str">
        <f>IF($AQ276="","",UPPER(TRIM(INDEX(C_Pavement!$C$5:$C$204,$AQ276))))</f>
        <v/>
      </c>
      <c r="AS276" t="str">
        <f>IF($AR276="","",IFERROR(MATCH($AR276,E_Rules!$A$5:$A$9,0),""))</f>
        <v/>
      </c>
      <c r="AT276" t="str">
        <f>IF($AQ276="","",IF(INDEX(C_Pavement!$D$5:$D$204,$AQ276)&lt;&gt;"",UPPER(TRIM(INDEX(C_Pavement!$D$5:$D$204,$AQ276))),IF($AS276="","",INDEX(E_Rules!$C$5:$C$9,$AS276))))</f>
        <v/>
      </c>
      <c r="AU276" t="str">
        <f>IF($AQ276="","",IF(INDEX(C_Pavement!$E$5:$E$204,$AQ276)&lt;&gt;"",IF(INDEX(C_Pavement!$E$5:$E$204,$AQ276)="-","",INDEX(C_Pavement!$E$5:$E$204,$AQ276)),IF($AS276="","",INDEX(E_Rules!$D$5:$D$9,$AS276))))</f>
        <v/>
      </c>
      <c r="AV276" t="str">
        <f>IF($AQ276="","",IF(INDEX(C_Pavement!$F$5:$F$204,$AQ276)&lt;&gt;"",IF(INDEX(C_Pavement!$F$5:$F$204,$AQ276)="-","",INDEX(C_Pavement!$F$5:$F$204,$AQ276)),IF($AS276="","",INDEX(E_Rules!$E$5:$E$9,$AS276))))</f>
        <v/>
      </c>
      <c r="AW276" t="str">
        <f>IF($AQ276="","",IF(INDEX(C_Pavement!$G$5:$G$204,$AQ276)&lt;&gt;"",IF(INDEX(C_Pavement!$G$5:$G$204,$AQ276)="-","",INDEX(C_Pavement!$G$5:$G$204,$AQ276)),IF($AS276="","",INDEX(E_Rules!$F$5:$F$9,$AS276))))</f>
        <v/>
      </c>
      <c r="AX276" t="str">
        <f>IF($AQ276="","",IF(INDEX(C_Pavement!$H$5:$H$204,$AQ276)&lt;&gt;"",IF(INDEX(C_Pavement!$H$5:$H$204,$AQ276)="-","",INDEX(C_Pavement!$H$5:$H$204,$AQ276)),IF($AS276="","",INDEX(E_Rules!$G$5:$G$9,$AS276))))</f>
        <v/>
      </c>
      <c r="AY276" t="str">
        <f>IF($AQ276="","",IF(INDEX(C_Pavement!$I$5:$I$204,$AQ276)&lt;&gt;"",IF(INDEX(C_Pavement!$I$5:$I$204,$AQ276)="-","",INDEX(C_Pavement!$I$5:$I$204,$AQ276)),IF($AS276="","",INDEX(E_Rules!$H$5:$H$9,$AS276))))</f>
        <v/>
      </c>
    </row>
    <row r="277" spans="1:51" ht="15.75" customHeight="1" x14ac:dyDescent="0.3">
      <c r="A277" s="189">
        <v>272</v>
      </c>
      <c r="B277" s="180">
        <v>13550</v>
      </c>
      <c r="C277" s="180" t="s">
        <v>583</v>
      </c>
      <c r="D277" s="181" t="str">
        <f>IFERROR(LOOKUP(2,1/((A_Corridor!$A$5:$A$204&lt;&gt;"")*(A_Corridor!$A$5:$A$204&lt;=$B277)*(A_Corridor!$B$5:$B$204&gt;$B277)*(A_Corridor!$C$5:$C$204&lt;&gt;"")),IF(UPPER(A_Corridor!$C$5:$C$204)="Y",1,"")),"")</f>
        <v/>
      </c>
      <c r="E277" s="181" t="str">
        <f>IFERROR(LOOKUP(2,1/((A_Corridor!$A$5:$A$204&lt;&gt;"")*(A_Corridor!$A$5:$A$204&lt;=$B277)*(A_Corridor!$B$5:$B$204&gt;$B277)*(A_Corridor!$D$5:$D$204&lt;&gt;"")),IF(A_Corridor!$D$5:$D$204="-","",UPPER(A_Corridor!$D$5:$D$204))),"")</f>
        <v/>
      </c>
      <c r="F277" s="181" t="str">
        <f>IFERROR(LOOKUP(2,1/((A_Corridor!$A$5:$A$204&lt;&gt;"")*(A_Corridor!$A$5:$A$204&lt;=$B277)*(A_Corridor!$B$5:$B$204&gt;$B277)*(A_Corridor!$E$5:$E$204&lt;&gt;"")),IF(A_Corridor!$E$5:$E$204="-","",1)),"")</f>
        <v/>
      </c>
      <c r="G277" s="182" t="str">
        <f>IFERROR(LOOKUP(2,1/((A_Corridor!$A$5:$A$204&lt;&gt;"")*(A_Corridor!$A$5:$A$204&lt;=$B277)*(A_Corridor!$B$5:$B$204&gt;$B277)*(A_Corridor!$E$5:$E$204&lt;&gt;"")),IF(A_Corridor!$E$5:$E$204="-","",A_Corridor!$E$5:$E$204)),"")</f>
        <v/>
      </c>
      <c r="H277" s="182" t="str">
        <f>IFERROR(LOOKUP(2,1/((D_Points!$A$5:$A$204&lt;&gt;"")*(D_Points!$A$5:$A$204&gt;=$B277)*(D_Points!$A$5:$A$204&lt;$B277+P_Interval)*(UPPER(TRIM(D_Points!$B$5:$B$204))="GULLY")*(D_Points!$H$5:$H$204&lt;&gt;"")),D_Points!$H$5:$H$204),"")</f>
        <v/>
      </c>
      <c r="I277" s="181" t="str">
        <f>IFERROR(LOOKUP(2,1/((A_Corridor!$A$5:$A$204&lt;&gt;"")*(A_Corridor!$A$5:$A$204&lt;=$B277)*(A_Corridor!$B$5:$B$204&gt;$B277)*(A_Corridor!$F$5:$F$204&lt;&gt;"")),IF(A_Corridor!$F$5:$F$204="-","",1)),"")</f>
        <v/>
      </c>
      <c r="J277" s="182" t="str">
        <f>IFERROR(LOOKUP(2,1/((A_Corridor!$A$5:$A$204&lt;&gt;"")*(A_Corridor!$A$5:$A$204&lt;=$B277)*(A_Corridor!$B$5:$B$204&gt;$B277)*(A_Corridor!$F$5:$F$204&lt;&gt;"")),IF(A_Corridor!$F$5:$F$204="-","",A_Corridor!$F$5:$F$204)),"")</f>
        <v/>
      </c>
      <c r="K277" s="182" t="str">
        <f>IFERROR(LOOKUP(2,1/((A_Corridor!$A$5:$A$204&lt;&gt;"")*(A_Corridor!$A$5:$A$204&lt;=$B277)*(A_Corridor!$B$5:$B$204&gt;$B277)*(A_Corridor!$G$5:$G$204&lt;&gt;"")),IF(A_Corridor!$G$5:$G$204="-","",A_Corridor!$G$5:$G$204)),"")</f>
        <v/>
      </c>
      <c r="L277" s="181" t="str">
        <f>IFERROR(LOOKUP(2,1/((A_Corridor!$A$5:$A$204&lt;&gt;"")*(A_Corridor!$A$5:$A$204&lt;=$B277)*(A_Corridor!$B$5:$B$204&gt;$B277)*(A_Corridor!$H$5:$H$204&lt;&gt;"")),IF(A_Corridor!$H$5:$H$204="-","",1)),"")</f>
        <v/>
      </c>
      <c r="M277" s="182" t="str">
        <f>IFERROR(LOOKUP(2,1/((A_Corridor!$A$5:$A$204&lt;&gt;"")*(A_Corridor!$A$5:$A$204&lt;=$B277)*(A_Corridor!$B$5:$B$204&gt;$B277)*(A_Corridor!$H$5:$H$204&lt;&gt;"")),IF(A_Corridor!$H$5:$H$204="-","",A_Corridor!$H$5:$H$204)),"")</f>
        <v/>
      </c>
      <c r="N277" s="182" t="str">
        <f>IFERROR(LOOKUP(2,1/((A_Corridor!$A$5:$A$204&lt;&gt;"")*(A_Corridor!$A$5:$A$204&lt;=$B277)*(A_Corridor!$B$5:$B$204&gt;$B277)*(A_Corridor!$I$5:$I$204&lt;&gt;"")),IF(A_Corridor!$I$5:$I$204="-","",A_Corridor!$I$5:$I$204)),"")</f>
        <v/>
      </c>
      <c r="O277" s="182" t="str">
        <f>IFERROR(LOOKUP(2,1/((D_Points!$A$5:$A$204&lt;&gt;"")*(D_Points!$A$5:$A$204&gt;=$B277)*(D_Points!$A$5:$A$204&lt;$B277+P_Interval)*(UPPER(TRIM(D_Points!$B$5:$B$204))="PITCHING")*(D_Points!$H$5:$H$204&lt;&gt;"")),D_Points!$H$5:$H$204),"")</f>
        <v/>
      </c>
      <c r="P277" s="181" t="str">
        <f>IFERROR(LOOKUP(2,1/((B_Drainage!$A$5:$A$204&lt;&gt;"")*(B_Drainage!$A$5:$A$204&lt;=$B277)*(B_Drainage!$B$5:$B$204&gt;$B277)*(B_Drainage!$C$5:$C$204&lt;&gt;"")),IF(B_Drainage!$C$5:$C$204="-","",UPPER(B_Drainage!$C$5:$C$204))),"")</f>
        <v/>
      </c>
      <c r="Q277" s="181" t="str">
        <f>IFERROR(LOOKUP(2,1/((B_Drainage!$A$5:$A$204&lt;&gt;"")*(B_Drainage!$A$5:$A$204&lt;=$B277)*(B_Drainage!$B$5:$B$204&gt;$B277)*(B_Drainage!$D$5:$D$204&lt;&gt;"")),IF(B_Drainage!$D$5:$D$204="-","",UPPER(B_Drainage!$D$5:$D$204))),"")</f>
        <v/>
      </c>
      <c r="R277" s="182" t="str">
        <f>IFERROR(LOOKUP(2,1/((D_Points!$A$5:$A$204&lt;&gt;"")*(D_Points!$A$5:$A$204&gt;=$B277)*(D_Points!$A$5:$A$204&lt;$B277+P_Interval)*(RIGHT(UPPER(TRIM(D_Points!$B$5:$B$204)),8)="_CULVERT")),IF(LEFT(UPPER(TRIM(D_Points!$B$5:$B$204)),2)="EX",1,IF(LEFT(UPPER(TRIM(D_Points!$B$5:$B$204)),2)="PR",2,3))),"")</f>
        <v/>
      </c>
      <c r="S277" s="182" t="str">
        <f>IFERROR(LOOKUP(2,1/((D_Points!$A$5:$A$204&lt;&gt;"")*(D_Points!$A$5:$A$204&gt;=$B277)*(D_Points!$A$5:$A$204&lt;$B277+P_Interval)*(RIGHT(UPPER(TRIM(D_Points!$B$5:$B$204)),7)="_BRIDGE")),IF(LEFT(UPPER(TRIM(D_Points!$B$5:$B$204)),2)="EX",1,IF(LEFT(UPPER(TRIM(D_Points!$B$5:$B$204)),2)="PR",2,2))),"")</f>
        <v/>
      </c>
      <c r="T277" s="181" t="str">
        <f>IFERROR(LOOKUP(2,1/((B_Drainage!$A$5:$A$204&lt;&gt;"")*(B_Drainage!$A$5:$A$204&lt;=$B277)*(B_Drainage!$B$5:$B$204&gt;$B277)*(B_Drainage!$E$5:$E$204&lt;&gt;"")),IF(B_Drainage!$E$5:$E$204="-","",1)),"")</f>
        <v/>
      </c>
      <c r="U277" s="181" t="str">
        <f>IFERROR(LOOKUP(2,1/((B_Drainage!$A$5:$A$204&lt;&gt;"")*(B_Drainage!$A$5:$A$204&lt;=$B277)*(B_Drainage!$B$5:$B$204&gt;$B277)*(B_Drainage!$E$5:$E$204&lt;&gt;"")),IF(B_Drainage!$E$5:$E$204="-","",B_Drainage!$E$5:$E$204)),"")</f>
        <v/>
      </c>
      <c r="V277" s="181" t="str">
        <f>IFERROR(LOOKUP(2,1/((B_Drainage!$A$5:$A$204&lt;&gt;"")*(B_Drainage!$A$5:$A$204&lt;=$B277)*(B_Drainage!$B$5:$B$204&gt;$B277)*(B_Drainage!$F$5:$F$204&lt;&gt;"")),IF(B_Drainage!$F$5:$F$204="-","",1)),"")</f>
        <v/>
      </c>
      <c r="W277" s="181" t="str">
        <f>IFERROR(LOOKUP(2,1/((B_Drainage!$A$5:$A$204&lt;&gt;"")*(B_Drainage!$A$5:$A$204&lt;=$B277)*(B_Drainage!$B$5:$B$204&gt;$B277)*(B_Drainage!$F$5:$F$204&lt;&gt;"")),IF(B_Drainage!$F$5:$F$204="-","",B_Drainage!$F$5:$F$204)),"")</f>
        <v/>
      </c>
      <c r="X277" s="181" t="str">
        <f>IFERROR(LOOKUP(2,1/((B_Drainage!$A$5:$A$204&lt;&gt;"")*(B_Drainage!$A$5:$A$204&lt;=$B277)*(B_Drainage!$B$5:$B$204&gt;$B277)*(B_Drainage!$G$5:$G$204&lt;&gt;"")),IF(UPPER(B_Drainage!$G$5:$G$204)="Y",1,"")),"")</f>
        <v/>
      </c>
      <c r="Y277" s="181" t="str">
        <f>IFERROR(LOOKUP(2,1/((B_Drainage!$A$5:$A$204&lt;&gt;"")*(B_Drainage!$A$5:$A$204&lt;=$B277)*(B_Drainage!$B$5:$B$204&gt;$B277)*(B_Drainage!$H$5:$H$204&lt;&gt;"")),IF(UPPER(B_Drainage!$H$5:$H$204)="Y",1,"")),"")</f>
        <v/>
      </c>
      <c r="Z277" s="181" t="str">
        <f>IFERROR(LOOKUP(2,1/((B_Drainage!$A$5:$A$204&lt;&gt;"")*(B_Drainage!$A$5:$A$204&lt;=$B277)*(B_Drainage!$B$5:$B$204&gt;$B277)*(B_Drainage!$I$5:$I$204&lt;&gt;"")),IF(UPPER(B_Drainage!$I$5:$I$204)="Y",1,"")),"")</f>
        <v/>
      </c>
      <c r="AA277" s="181" t="str">
        <f>IFERROR(LOOKUP(2,1/((B_Drainage!$A$5:$A$204&lt;&gt;"")*(B_Drainage!$A$5:$A$204&lt;=$B277)*(B_Drainage!$B$5:$B$204&gt;$B277)*(B_Drainage!$J$5:$J$204&lt;&gt;"")),IF(UPPER(B_Drainage!$J$5:$J$204)="Y",1,"")),"")</f>
        <v/>
      </c>
      <c r="AB277" s="182" t="str">
        <f>IFERROR(LOOKUP(2,1/((B_Drainage!$A$5:$A$204&lt;&gt;"")*(B_Drainage!$A$5:$A$204&lt;=$B277)*(B_Drainage!$B$5:$B$204&gt;$B277)*(B_Drainage!$K$5:$K$204&lt;&gt;"")),IF(B_Drainage!$K$5:$K$204="-","",B_Drainage!$K$5:$K$204)),"")</f>
        <v/>
      </c>
      <c r="AC277" s="182" t="str">
        <f>IFERROR(LOOKUP(2,1/((B_Drainage!$A$5:$A$204&lt;&gt;"")*(B_Drainage!$A$5:$A$204&lt;=$B277)*(B_Drainage!$B$5:$B$204&gt;$B277)*(B_Drainage!$L$5:$L$204&lt;&gt;"")),IF(B_Drainage!$L$5:$L$204="-","",B_Drainage!$L$5:$L$204)),"")</f>
        <v/>
      </c>
      <c r="AD277" s="182" t="str">
        <f>IFERROR(LOOKUP(2,1/((D_Points!$A$5:$A$204&lt;&gt;"")*(D_Points!$A$5:$A$204&gt;=$B277)*(D_Points!$A$5:$A$204&lt;$B277+P_Interval)*(UPPER(TRIM(D_Points!$B$5:$B$204))="TURNOUT_L")*(D_Points!$H$5:$H$204&lt;&gt;"")),D_Points!$H$5:$H$204),"")</f>
        <v/>
      </c>
      <c r="AE277" s="182" t="str">
        <f>IFERROR(LOOKUP(2,1/((D_Points!$A$5:$A$204&lt;&gt;"")*(D_Points!$A$5:$A$204&gt;=$B277)*(D_Points!$A$5:$A$204&lt;$B277+P_Interval)*(UPPER(TRIM(D_Points!$B$5:$B$204))="TURNOUT_R")*(D_Points!$H$5:$H$204&lt;&gt;"")),D_Points!$H$5:$H$204),"")</f>
        <v/>
      </c>
      <c r="AF277" s="181" t="str">
        <f>IFERROR(LOOKUP(2,1/((B_Drainage!$A$5:$A$204&lt;&gt;"")*(B_Drainage!$A$5:$A$204&lt;=$B277)*(B_Drainage!$B$5:$B$204&gt;$B277)*(B_Drainage!$M$5:$M$204&lt;&gt;"")),IF(UPPER(B_Drainage!$M$5:$M$204)="Y",1,"")),"")</f>
        <v/>
      </c>
      <c r="AG277" s="181" t="str">
        <f>IFERROR(LOOKUP(2,1/((B_Drainage!$A$5:$A$204&lt;&gt;"")*(B_Drainage!$A$5:$A$204&lt;=$B277)*(B_Drainage!$B$5:$B$204&gt;$B277)*(B_Drainage!$N$5:$N$204&lt;&gt;"")),IF(UPPER(B_Drainage!$N$5:$N$204)="Y",1,"")),"")</f>
        <v/>
      </c>
      <c r="AH277" s="181" t="str">
        <f t="shared" si="32"/>
        <v/>
      </c>
      <c r="AI277" s="181" t="str">
        <f t="shared" si="33"/>
        <v/>
      </c>
      <c r="AJ277" s="181" t="str">
        <f t="shared" si="34"/>
        <v/>
      </c>
      <c r="AK277" s="181" t="str">
        <f t="shared" si="35"/>
        <v/>
      </c>
      <c r="AL277" s="181" t="str">
        <f t="shared" si="36"/>
        <v/>
      </c>
      <c r="AM277" s="181" t="str">
        <f t="shared" si="37"/>
        <v/>
      </c>
      <c r="AN277" s="181" t="str">
        <f t="shared" si="38"/>
        <v/>
      </c>
      <c r="AO277" s="192" t="str">
        <f t="shared" si="39"/>
        <v/>
      </c>
      <c r="AQ277" t="str">
        <f>IFERROR(LOOKUP(2,1/((C_Pavement!$A$5:$A$204&lt;&gt;"")*(C_Pavement!$A$5:$A$204&lt;=$B277)*(C_Pavement!$B$5:$B$204&gt;$B277)*(C_Pavement!$C$5:$C$204&lt;&gt;"")),ROW(C_Pavement!$C$5:$C$204)-4),"")</f>
        <v/>
      </c>
      <c r="AR277" t="str">
        <f>IF($AQ277="","",UPPER(TRIM(INDEX(C_Pavement!$C$5:$C$204,$AQ277))))</f>
        <v/>
      </c>
      <c r="AS277" t="str">
        <f>IF($AR277="","",IFERROR(MATCH($AR277,E_Rules!$A$5:$A$9,0),""))</f>
        <v/>
      </c>
      <c r="AT277" t="str">
        <f>IF($AQ277="","",IF(INDEX(C_Pavement!$D$5:$D$204,$AQ277)&lt;&gt;"",UPPER(TRIM(INDEX(C_Pavement!$D$5:$D$204,$AQ277))),IF($AS277="","",INDEX(E_Rules!$C$5:$C$9,$AS277))))</f>
        <v/>
      </c>
      <c r="AU277" t="str">
        <f>IF($AQ277="","",IF(INDEX(C_Pavement!$E$5:$E$204,$AQ277)&lt;&gt;"",IF(INDEX(C_Pavement!$E$5:$E$204,$AQ277)="-","",INDEX(C_Pavement!$E$5:$E$204,$AQ277)),IF($AS277="","",INDEX(E_Rules!$D$5:$D$9,$AS277))))</f>
        <v/>
      </c>
      <c r="AV277" t="str">
        <f>IF($AQ277="","",IF(INDEX(C_Pavement!$F$5:$F$204,$AQ277)&lt;&gt;"",IF(INDEX(C_Pavement!$F$5:$F$204,$AQ277)="-","",INDEX(C_Pavement!$F$5:$F$204,$AQ277)),IF($AS277="","",INDEX(E_Rules!$E$5:$E$9,$AS277))))</f>
        <v/>
      </c>
      <c r="AW277" t="str">
        <f>IF($AQ277="","",IF(INDEX(C_Pavement!$G$5:$G$204,$AQ277)&lt;&gt;"",IF(INDEX(C_Pavement!$G$5:$G$204,$AQ277)="-","",INDEX(C_Pavement!$G$5:$G$204,$AQ277)),IF($AS277="","",INDEX(E_Rules!$F$5:$F$9,$AS277))))</f>
        <v/>
      </c>
      <c r="AX277" t="str">
        <f>IF($AQ277="","",IF(INDEX(C_Pavement!$H$5:$H$204,$AQ277)&lt;&gt;"",IF(INDEX(C_Pavement!$H$5:$H$204,$AQ277)="-","",INDEX(C_Pavement!$H$5:$H$204,$AQ277)),IF($AS277="","",INDEX(E_Rules!$G$5:$G$9,$AS277))))</f>
        <v/>
      </c>
      <c r="AY277" t="str">
        <f>IF($AQ277="","",IF(INDEX(C_Pavement!$I$5:$I$204,$AQ277)&lt;&gt;"",IF(INDEX(C_Pavement!$I$5:$I$204,$AQ277)="-","",INDEX(C_Pavement!$I$5:$I$204,$AQ277)),IF($AS277="","",INDEX(E_Rules!$H$5:$H$9,$AS277))))</f>
        <v/>
      </c>
    </row>
    <row r="278" spans="1:51" ht="15.75" customHeight="1" x14ac:dyDescent="0.3">
      <c r="A278" s="189">
        <v>273</v>
      </c>
      <c r="B278" s="180">
        <v>13600</v>
      </c>
      <c r="C278" s="180" t="s">
        <v>584</v>
      </c>
      <c r="D278" s="181" t="str">
        <f>IFERROR(LOOKUP(2,1/((A_Corridor!$A$5:$A$204&lt;&gt;"")*(A_Corridor!$A$5:$A$204&lt;=$B278)*(A_Corridor!$B$5:$B$204&gt;$B278)*(A_Corridor!$C$5:$C$204&lt;&gt;"")),IF(UPPER(A_Corridor!$C$5:$C$204)="Y",1,"")),"")</f>
        <v/>
      </c>
      <c r="E278" s="181" t="str">
        <f>IFERROR(LOOKUP(2,1/((A_Corridor!$A$5:$A$204&lt;&gt;"")*(A_Corridor!$A$5:$A$204&lt;=$B278)*(A_Corridor!$B$5:$B$204&gt;$B278)*(A_Corridor!$D$5:$D$204&lt;&gt;"")),IF(A_Corridor!$D$5:$D$204="-","",UPPER(A_Corridor!$D$5:$D$204))),"")</f>
        <v/>
      </c>
      <c r="F278" s="181" t="str">
        <f>IFERROR(LOOKUP(2,1/((A_Corridor!$A$5:$A$204&lt;&gt;"")*(A_Corridor!$A$5:$A$204&lt;=$B278)*(A_Corridor!$B$5:$B$204&gt;$B278)*(A_Corridor!$E$5:$E$204&lt;&gt;"")),IF(A_Corridor!$E$5:$E$204="-","",1)),"")</f>
        <v/>
      </c>
      <c r="G278" s="182" t="str">
        <f>IFERROR(LOOKUP(2,1/((A_Corridor!$A$5:$A$204&lt;&gt;"")*(A_Corridor!$A$5:$A$204&lt;=$B278)*(A_Corridor!$B$5:$B$204&gt;$B278)*(A_Corridor!$E$5:$E$204&lt;&gt;"")),IF(A_Corridor!$E$5:$E$204="-","",A_Corridor!$E$5:$E$204)),"")</f>
        <v/>
      </c>
      <c r="H278" s="182" t="str">
        <f>IFERROR(LOOKUP(2,1/((D_Points!$A$5:$A$204&lt;&gt;"")*(D_Points!$A$5:$A$204&gt;=$B278)*(D_Points!$A$5:$A$204&lt;$B278+P_Interval)*(UPPER(TRIM(D_Points!$B$5:$B$204))="GULLY")*(D_Points!$H$5:$H$204&lt;&gt;"")),D_Points!$H$5:$H$204),"")</f>
        <v/>
      </c>
      <c r="I278" s="181" t="str">
        <f>IFERROR(LOOKUP(2,1/((A_Corridor!$A$5:$A$204&lt;&gt;"")*(A_Corridor!$A$5:$A$204&lt;=$B278)*(A_Corridor!$B$5:$B$204&gt;$B278)*(A_Corridor!$F$5:$F$204&lt;&gt;"")),IF(A_Corridor!$F$5:$F$204="-","",1)),"")</f>
        <v/>
      </c>
      <c r="J278" s="182" t="str">
        <f>IFERROR(LOOKUP(2,1/((A_Corridor!$A$5:$A$204&lt;&gt;"")*(A_Corridor!$A$5:$A$204&lt;=$B278)*(A_Corridor!$B$5:$B$204&gt;$B278)*(A_Corridor!$F$5:$F$204&lt;&gt;"")),IF(A_Corridor!$F$5:$F$204="-","",A_Corridor!$F$5:$F$204)),"")</f>
        <v/>
      </c>
      <c r="K278" s="182" t="str">
        <f>IFERROR(LOOKUP(2,1/((A_Corridor!$A$5:$A$204&lt;&gt;"")*(A_Corridor!$A$5:$A$204&lt;=$B278)*(A_Corridor!$B$5:$B$204&gt;$B278)*(A_Corridor!$G$5:$G$204&lt;&gt;"")),IF(A_Corridor!$G$5:$G$204="-","",A_Corridor!$G$5:$G$204)),"")</f>
        <v/>
      </c>
      <c r="L278" s="181" t="str">
        <f>IFERROR(LOOKUP(2,1/((A_Corridor!$A$5:$A$204&lt;&gt;"")*(A_Corridor!$A$5:$A$204&lt;=$B278)*(A_Corridor!$B$5:$B$204&gt;$B278)*(A_Corridor!$H$5:$H$204&lt;&gt;"")),IF(A_Corridor!$H$5:$H$204="-","",1)),"")</f>
        <v/>
      </c>
      <c r="M278" s="182" t="str">
        <f>IFERROR(LOOKUP(2,1/((A_Corridor!$A$5:$A$204&lt;&gt;"")*(A_Corridor!$A$5:$A$204&lt;=$B278)*(A_Corridor!$B$5:$B$204&gt;$B278)*(A_Corridor!$H$5:$H$204&lt;&gt;"")),IF(A_Corridor!$H$5:$H$204="-","",A_Corridor!$H$5:$H$204)),"")</f>
        <v/>
      </c>
      <c r="N278" s="182" t="str">
        <f>IFERROR(LOOKUP(2,1/((A_Corridor!$A$5:$A$204&lt;&gt;"")*(A_Corridor!$A$5:$A$204&lt;=$B278)*(A_Corridor!$B$5:$B$204&gt;$B278)*(A_Corridor!$I$5:$I$204&lt;&gt;"")),IF(A_Corridor!$I$5:$I$204="-","",A_Corridor!$I$5:$I$204)),"")</f>
        <v/>
      </c>
      <c r="O278" s="182" t="str">
        <f>IFERROR(LOOKUP(2,1/((D_Points!$A$5:$A$204&lt;&gt;"")*(D_Points!$A$5:$A$204&gt;=$B278)*(D_Points!$A$5:$A$204&lt;$B278+P_Interval)*(UPPER(TRIM(D_Points!$B$5:$B$204))="PITCHING")*(D_Points!$H$5:$H$204&lt;&gt;"")),D_Points!$H$5:$H$204),"")</f>
        <v/>
      </c>
      <c r="P278" s="181" t="str">
        <f>IFERROR(LOOKUP(2,1/((B_Drainage!$A$5:$A$204&lt;&gt;"")*(B_Drainage!$A$5:$A$204&lt;=$B278)*(B_Drainage!$B$5:$B$204&gt;$B278)*(B_Drainage!$C$5:$C$204&lt;&gt;"")),IF(B_Drainage!$C$5:$C$204="-","",UPPER(B_Drainage!$C$5:$C$204))),"")</f>
        <v/>
      </c>
      <c r="Q278" s="181" t="str">
        <f>IFERROR(LOOKUP(2,1/((B_Drainage!$A$5:$A$204&lt;&gt;"")*(B_Drainage!$A$5:$A$204&lt;=$B278)*(B_Drainage!$B$5:$B$204&gt;$B278)*(B_Drainage!$D$5:$D$204&lt;&gt;"")),IF(B_Drainage!$D$5:$D$204="-","",UPPER(B_Drainage!$D$5:$D$204))),"")</f>
        <v/>
      </c>
      <c r="R278" s="182" t="str">
        <f>IFERROR(LOOKUP(2,1/((D_Points!$A$5:$A$204&lt;&gt;"")*(D_Points!$A$5:$A$204&gt;=$B278)*(D_Points!$A$5:$A$204&lt;$B278+P_Interval)*(RIGHT(UPPER(TRIM(D_Points!$B$5:$B$204)),8)="_CULVERT")),IF(LEFT(UPPER(TRIM(D_Points!$B$5:$B$204)),2)="EX",1,IF(LEFT(UPPER(TRIM(D_Points!$B$5:$B$204)),2)="PR",2,3))),"")</f>
        <v/>
      </c>
      <c r="S278" s="182" t="str">
        <f>IFERROR(LOOKUP(2,1/((D_Points!$A$5:$A$204&lt;&gt;"")*(D_Points!$A$5:$A$204&gt;=$B278)*(D_Points!$A$5:$A$204&lt;$B278+P_Interval)*(RIGHT(UPPER(TRIM(D_Points!$B$5:$B$204)),7)="_BRIDGE")),IF(LEFT(UPPER(TRIM(D_Points!$B$5:$B$204)),2)="EX",1,IF(LEFT(UPPER(TRIM(D_Points!$B$5:$B$204)),2)="PR",2,2))),"")</f>
        <v/>
      </c>
      <c r="T278" s="181" t="str">
        <f>IFERROR(LOOKUP(2,1/((B_Drainage!$A$5:$A$204&lt;&gt;"")*(B_Drainage!$A$5:$A$204&lt;=$B278)*(B_Drainage!$B$5:$B$204&gt;$B278)*(B_Drainage!$E$5:$E$204&lt;&gt;"")),IF(B_Drainage!$E$5:$E$204="-","",1)),"")</f>
        <v/>
      </c>
      <c r="U278" s="181" t="str">
        <f>IFERROR(LOOKUP(2,1/((B_Drainage!$A$5:$A$204&lt;&gt;"")*(B_Drainage!$A$5:$A$204&lt;=$B278)*(B_Drainage!$B$5:$B$204&gt;$B278)*(B_Drainage!$E$5:$E$204&lt;&gt;"")),IF(B_Drainage!$E$5:$E$204="-","",B_Drainage!$E$5:$E$204)),"")</f>
        <v/>
      </c>
      <c r="V278" s="181" t="str">
        <f>IFERROR(LOOKUP(2,1/((B_Drainage!$A$5:$A$204&lt;&gt;"")*(B_Drainage!$A$5:$A$204&lt;=$B278)*(B_Drainage!$B$5:$B$204&gt;$B278)*(B_Drainage!$F$5:$F$204&lt;&gt;"")),IF(B_Drainage!$F$5:$F$204="-","",1)),"")</f>
        <v/>
      </c>
      <c r="W278" s="181" t="str">
        <f>IFERROR(LOOKUP(2,1/((B_Drainage!$A$5:$A$204&lt;&gt;"")*(B_Drainage!$A$5:$A$204&lt;=$B278)*(B_Drainage!$B$5:$B$204&gt;$B278)*(B_Drainage!$F$5:$F$204&lt;&gt;"")),IF(B_Drainage!$F$5:$F$204="-","",B_Drainage!$F$5:$F$204)),"")</f>
        <v/>
      </c>
      <c r="X278" s="181" t="str">
        <f>IFERROR(LOOKUP(2,1/((B_Drainage!$A$5:$A$204&lt;&gt;"")*(B_Drainage!$A$5:$A$204&lt;=$B278)*(B_Drainage!$B$5:$B$204&gt;$B278)*(B_Drainage!$G$5:$G$204&lt;&gt;"")),IF(UPPER(B_Drainage!$G$5:$G$204)="Y",1,"")),"")</f>
        <v/>
      </c>
      <c r="Y278" s="181" t="str">
        <f>IFERROR(LOOKUP(2,1/((B_Drainage!$A$5:$A$204&lt;&gt;"")*(B_Drainage!$A$5:$A$204&lt;=$B278)*(B_Drainage!$B$5:$B$204&gt;$B278)*(B_Drainage!$H$5:$H$204&lt;&gt;"")),IF(UPPER(B_Drainage!$H$5:$H$204)="Y",1,"")),"")</f>
        <v/>
      </c>
      <c r="Z278" s="181" t="str">
        <f>IFERROR(LOOKUP(2,1/((B_Drainage!$A$5:$A$204&lt;&gt;"")*(B_Drainage!$A$5:$A$204&lt;=$B278)*(B_Drainage!$B$5:$B$204&gt;$B278)*(B_Drainage!$I$5:$I$204&lt;&gt;"")),IF(UPPER(B_Drainage!$I$5:$I$204)="Y",1,"")),"")</f>
        <v/>
      </c>
      <c r="AA278" s="181" t="str">
        <f>IFERROR(LOOKUP(2,1/((B_Drainage!$A$5:$A$204&lt;&gt;"")*(B_Drainage!$A$5:$A$204&lt;=$B278)*(B_Drainage!$B$5:$B$204&gt;$B278)*(B_Drainage!$J$5:$J$204&lt;&gt;"")),IF(UPPER(B_Drainage!$J$5:$J$204)="Y",1,"")),"")</f>
        <v/>
      </c>
      <c r="AB278" s="182" t="str">
        <f>IFERROR(LOOKUP(2,1/((B_Drainage!$A$5:$A$204&lt;&gt;"")*(B_Drainage!$A$5:$A$204&lt;=$B278)*(B_Drainage!$B$5:$B$204&gt;$B278)*(B_Drainage!$K$5:$K$204&lt;&gt;"")),IF(B_Drainage!$K$5:$K$204="-","",B_Drainage!$K$5:$K$204)),"")</f>
        <v/>
      </c>
      <c r="AC278" s="182" t="str">
        <f>IFERROR(LOOKUP(2,1/((B_Drainage!$A$5:$A$204&lt;&gt;"")*(B_Drainage!$A$5:$A$204&lt;=$B278)*(B_Drainage!$B$5:$B$204&gt;$B278)*(B_Drainage!$L$5:$L$204&lt;&gt;"")),IF(B_Drainage!$L$5:$L$204="-","",B_Drainage!$L$5:$L$204)),"")</f>
        <v/>
      </c>
      <c r="AD278" s="182" t="str">
        <f>IFERROR(LOOKUP(2,1/((D_Points!$A$5:$A$204&lt;&gt;"")*(D_Points!$A$5:$A$204&gt;=$B278)*(D_Points!$A$5:$A$204&lt;$B278+P_Interval)*(UPPER(TRIM(D_Points!$B$5:$B$204))="TURNOUT_L")*(D_Points!$H$5:$H$204&lt;&gt;"")),D_Points!$H$5:$H$204),"")</f>
        <v/>
      </c>
      <c r="AE278" s="182" t="str">
        <f>IFERROR(LOOKUP(2,1/((D_Points!$A$5:$A$204&lt;&gt;"")*(D_Points!$A$5:$A$204&gt;=$B278)*(D_Points!$A$5:$A$204&lt;$B278+P_Interval)*(UPPER(TRIM(D_Points!$B$5:$B$204))="TURNOUT_R")*(D_Points!$H$5:$H$204&lt;&gt;"")),D_Points!$H$5:$H$204),"")</f>
        <v/>
      </c>
      <c r="AF278" s="181" t="str">
        <f>IFERROR(LOOKUP(2,1/((B_Drainage!$A$5:$A$204&lt;&gt;"")*(B_Drainage!$A$5:$A$204&lt;=$B278)*(B_Drainage!$B$5:$B$204&gt;$B278)*(B_Drainage!$M$5:$M$204&lt;&gt;"")),IF(UPPER(B_Drainage!$M$5:$M$204)="Y",1,"")),"")</f>
        <v/>
      </c>
      <c r="AG278" s="181" t="str">
        <f>IFERROR(LOOKUP(2,1/((B_Drainage!$A$5:$A$204&lt;&gt;"")*(B_Drainage!$A$5:$A$204&lt;=$B278)*(B_Drainage!$B$5:$B$204&gt;$B278)*(B_Drainage!$N$5:$N$204&lt;&gt;"")),IF(UPPER(B_Drainage!$N$5:$N$204)="Y",1,"")),"")</f>
        <v/>
      </c>
      <c r="AH278" s="181" t="str">
        <f t="shared" si="32"/>
        <v/>
      </c>
      <c r="AI278" s="181" t="str">
        <f t="shared" si="33"/>
        <v/>
      </c>
      <c r="AJ278" s="181" t="str">
        <f t="shared" si="34"/>
        <v/>
      </c>
      <c r="AK278" s="181" t="str">
        <f t="shared" si="35"/>
        <v/>
      </c>
      <c r="AL278" s="181" t="str">
        <f t="shared" si="36"/>
        <v/>
      </c>
      <c r="AM278" s="181" t="str">
        <f t="shared" si="37"/>
        <v/>
      </c>
      <c r="AN278" s="181" t="str">
        <f t="shared" si="38"/>
        <v/>
      </c>
      <c r="AO278" s="192" t="str">
        <f t="shared" si="39"/>
        <v/>
      </c>
      <c r="AQ278" t="str">
        <f>IFERROR(LOOKUP(2,1/((C_Pavement!$A$5:$A$204&lt;&gt;"")*(C_Pavement!$A$5:$A$204&lt;=$B278)*(C_Pavement!$B$5:$B$204&gt;$B278)*(C_Pavement!$C$5:$C$204&lt;&gt;"")),ROW(C_Pavement!$C$5:$C$204)-4),"")</f>
        <v/>
      </c>
      <c r="AR278" t="str">
        <f>IF($AQ278="","",UPPER(TRIM(INDEX(C_Pavement!$C$5:$C$204,$AQ278))))</f>
        <v/>
      </c>
      <c r="AS278" t="str">
        <f>IF($AR278="","",IFERROR(MATCH($AR278,E_Rules!$A$5:$A$9,0),""))</f>
        <v/>
      </c>
      <c r="AT278" t="str">
        <f>IF($AQ278="","",IF(INDEX(C_Pavement!$D$5:$D$204,$AQ278)&lt;&gt;"",UPPER(TRIM(INDEX(C_Pavement!$D$5:$D$204,$AQ278))),IF($AS278="","",INDEX(E_Rules!$C$5:$C$9,$AS278))))</f>
        <v/>
      </c>
      <c r="AU278" t="str">
        <f>IF($AQ278="","",IF(INDEX(C_Pavement!$E$5:$E$204,$AQ278)&lt;&gt;"",IF(INDEX(C_Pavement!$E$5:$E$204,$AQ278)="-","",INDEX(C_Pavement!$E$5:$E$204,$AQ278)),IF($AS278="","",INDEX(E_Rules!$D$5:$D$9,$AS278))))</f>
        <v/>
      </c>
      <c r="AV278" t="str">
        <f>IF($AQ278="","",IF(INDEX(C_Pavement!$F$5:$F$204,$AQ278)&lt;&gt;"",IF(INDEX(C_Pavement!$F$5:$F$204,$AQ278)="-","",INDEX(C_Pavement!$F$5:$F$204,$AQ278)),IF($AS278="","",INDEX(E_Rules!$E$5:$E$9,$AS278))))</f>
        <v/>
      </c>
      <c r="AW278" t="str">
        <f>IF($AQ278="","",IF(INDEX(C_Pavement!$G$5:$G$204,$AQ278)&lt;&gt;"",IF(INDEX(C_Pavement!$G$5:$G$204,$AQ278)="-","",INDEX(C_Pavement!$G$5:$G$204,$AQ278)),IF($AS278="","",INDEX(E_Rules!$F$5:$F$9,$AS278))))</f>
        <v/>
      </c>
      <c r="AX278" t="str">
        <f>IF($AQ278="","",IF(INDEX(C_Pavement!$H$5:$H$204,$AQ278)&lt;&gt;"",IF(INDEX(C_Pavement!$H$5:$H$204,$AQ278)="-","",INDEX(C_Pavement!$H$5:$H$204,$AQ278)),IF($AS278="","",INDEX(E_Rules!$G$5:$G$9,$AS278))))</f>
        <v/>
      </c>
      <c r="AY278" t="str">
        <f>IF($AQ278="","",IF(INDEX(C_Pavement!$I$5:$I$204,$AQ278)&lt;&gt;"",IF(INDEX(C_Pavement!$I$5:$I$204,$AQ278)="-","",INDEX(C_Pavement!$I$5:$I$204,$AQ278)),IF($AS278="","",INDEX(E_Rules!$H$5:$H$9,$AS278))))</f>
        <v/>
      </c>
    </row>
    <row r="279" spans="1:51" ht="15.75" customHeight="1" x14ac:dyDescent="0.3">
      <c r="A279" s="189">
        <v>274</v>
      </c>
      <c r="B279" s="180">
        <v>13650</v>
      </c>
      <c r="C279" s="180" t="s">
        <v>585</v>
      </c>
      <c r="D279" s="181" t="str">
        <f>IFERROR(LOOKUP(2,1/((A_Corridor!$A$5:$A$204&lt;&gt;"")*(A_Corridor!$A$5:$A$204&lt;=$B279)*(A_Corridor!$B$5:$B$204&gt;$B279)*(A_Corridor!$C$5:$C$204&lt;&gt;"")),IF(UPPER(A_Corridor!$C$5:$C$204)="Y",1,"")),"")</f>
        <v/>
      </c>
      <c r="E279" s="181" t="str">
        <f>IFERROR(LOOKUP(2,1/((A_Corridor!$A$5:$A$204&lt;&gt;"")*(A_Corridor!$A$5:$A$204&lt;=$B279)*(A_Corridor!$B$5:$B$204&gt;$B279)*(A_Corridor!$D$5:$D$204&lt;&gt;"")),IF(A_Corridor!$D$5:$D$204="-","",UPPER(A_Corridor!$D$5:$D$204))),"")</f>
        <v/>
      </c>
      <c r="F279" s="181" t="str">
        <f>IFERROR(LOOKUP(2,1/((A_Corridor!$A$5:$A$204&lt;&gt;"")*(A_Corridor!$A$5:$A$204&lt;=$B279)*(A_Corridor!$B$5:$B$204&gt;$B279)*(A_Corridor!$E$5:$E$204&lt;&gt;"")),IF(A_Corridor!$E$5:$E$204="-","",1)),"")</f>
        <v/>
      </c>
      <c r="G279" s="182" t="str">
        <f>IFERROR(LOOKUP(2,1/((A_Corridor!$A$5:$A$204&lt;&gt;"")*(A_Corridor!$A$5:$A$204&lt;=$B279)*(A_Corridor!$B$5:$B$204&gt;$B279)*(A_Corridor!$E$5:$E$204&lt;&gt;"")),IF(A_Corridor!$E$5:$E$204="-","",A_Corridor!$E$5:$E$204)),"")</f>
        <v/>
      </c>
      <c r="H279" s="182" t="str">
        <f>IFERROR(LOOKUP(2,1/((D_Points!$A$5:$A$204&lt;&gt;"")*(D_Points!$A$5:$A$204&gt;=$B279)*(D_Points!$A$5:$A$204&lt;$B279+P_Interval)*(UPPER(TRIM(D_Points!$B$5:$B$204))="GULLY")*(D_Points!$H$5:$H$204&lt;&gt;"")),D_Points!$H$5:$H$204),"")</f>
        <v/>
      </c>
      <c r="I279" s="181" t="str">
        <f>IFERROR(LOOKUP(2,1/((A_Corridor!$A$5:$A$204&lt;&gt;"")*(A_Corridor!$A$5:$A$204&lt;=$B279)*(A_Corridor!$B$5:$B$204&gt;$B279)*(A_Corridor!$F$5:$F$204&lt;&gt;"")),IF(A_Corridor!$F$5:$F$204="-","",1)),"")</f>
        <v/>
      </c>
      <c r="J279" s="182" t="str">
        <f>IFERROR(LOOKUP(2,1/((A_Corridor!$A$5:$A$204&lt;&gt;"")*(A_Corridor!$A$5:$A$204&lt;=$B279)*(A_Corridor!$B$5:$B$204&gt;$B279)*(A_Corridor!$F$5:$F$204&lt;&gt;"")),IF(A_Corridor!$F$5:$F$204="-","",A_Corridor!$F$5:$F$204)),"")</f>
        <v/>
      </c>
      <c r="K279" s="182" t="str">
        <f>IFERROR(LOOKUP(2,1/((A_Corridor!$A$5:$A$204&lt;&gt;"")*(A_Corridor!$A$5:$A$204&lt;=$B279)*(A_Corridor!$B$5:$B$204&gt;$B279)*(A_Corridor!$G$5:$G$204&lt;&gt;"")),IF(A_Corridor!$G$5:$G$204="-","",A_Corridor!$G$5:$G$204)),"")</f>
        <v/>
      </c>
      <c r="L279" s="181" t="str">
        <f>IFERROR(LOOKUP(2,1/((A_Corridor!$A$5:$A$204&lt;&gt;"")*(A_Corridor!$A$5:$A$204&lt;=$B279)*(A_Corridor!$B$5:$B$204&gt;$B279)*(A_Corridor!$H$5:$H$204&lt;&gt;"")),IF(A_Corridor!$H$5:$H$204="-","",1)),"")</f>
        <v/>
      </c>
      <c r="M279" s="182" t="str">
        <f>IFERROR(LOOKUP(2,1/((A_Corridor!$A$5:$A$204&lt;&gt;"")*(A_Corridor!$A$5:$A$204&lt;=$B279)*(A_Corridor!$B$5:$B$204&gt;$B279)*(A_Corridor!$H$5:$H$204&lt;&gt;"")),IF(A_Corridor!$H$5:$H$204="-","",A_Corridor!$H$5:$H$204)),"")</f>
        <v/>
      </c>
      <c r="N279" s="182" t="str">
        <f>IFERROR(LOOKUP(2,1/((A_Corridor!$A$5:$A$204&lt;&gt;"")*(A_Corridor!$A$5:$A$204&lt;=$B279)*(A_Corridor!$B$5:$B$204&gt;$B279)*(A_Corridor!$I$5:$I$204&lt;&gt;"")),IF(A_Corridor!$I$5:$I$204="-","",A_Corridor!$I$5:$I$204)),"")</f>
        <v/>
      </c>
      <c r="O279" s="182" t="str">
        <f>IFERROR(LOOKUP(2,1/((D_Points!$A$5:$A$204&lt;&gt;"")*(D_Points!$A$5:$A$204&gt;=$B279)*(D_Points!$A$5:$A$204&lt;$B279+P_Interval)*(UPPER(TRIM(D_Points!$B$5:$B$204))="PITCHING")*(D_Points!$H$5:$H$204&lt;&gt;"")),D_Points!$H$5:$H$204),"")</f>
        <v/>
      </c>
      <c r="P279" s="181" t="str">
        <f>IFERROR(LOOKUP(2,1/((B_Drainage!$A$5:$A$204&lt;&gt;"")*(B_Drainage!$A$5:$A$204&lt;=$B279)*(B_Drainage!$B$5:$B$204&gt;$B279)*(B_Drainage!$C$5:$C$204&lt;&gt;"")),IF(B_Drainage!$C$5:$C$204="-","",UPPER(B_Drainage!$C$5:$C$204))),"")</f>
        <v/>
      </c>
      <c r="Q279" s="181" t="str">
        <f>IFERROR(LOOKUP(2,1/((B_Drainage!$A$5:$A$204&lt;&gt;"")*(B_Drainage!$A$5:$A$204&lt;=$B279)*(B_Drainage!$B$5:$B$204&gt;$B279)*(B_Drainage!$D$5:$D$204&lt;&gt;"")),IF(B_Drainage!$D$5:$D$204="-","",UPPER(B_Drainage!$D$5:$D$204))),"")</f>
        <v/>
      </c>
      <c r="R279" s="182" t="str">
        <f>IFERROR(LOOKUP(2,1/((D_Points!$A$5:$A$204&lt;&gt;"")*(D_Points!$A$5:$A$204&gt;=$B279)*(D_Points!$A$5:$A$204&lt;$B279+P_Interval)*(RIGHT(UPPER(TRIM(D_Points!$B$5:$B$204)),8)="_CULVERT")),IF(LEFT(UPPER(TRIM(D_Points!$B$5:$B$204)),2)="EX",1,IF(LEFT(UPPER(TRIM(D_Points!$B$5:$B$204)),2)="PR",2,3))),"")</f>
        <v/>
      </c>
      <c r="S279" s="182" t="str">
        <f>IFERROR(LOOKUP(2,1/((D_Points!$A$5:$A$204&lt;&gt;"")*(D_Points!$A$5:$A$204&gt;=$B279)*(D_Points!$A$5:$A$204&lt;$B279+P_Interval)*(RIGHT(UPPER(TRIM(D_Points!$B$5:$B$204)),7)="_BRIDGE")),IF(LEFT(UPPER(TRIM(D_Points!$B$5:$B$204)),2)="EX",1,IF(LEFT(UPPER(TRIM(D_Points!$B$5:$B$204)),2)="PR",2,2))),"")</f>
        <v/>
      </c>
      <c r="T279" s="181" t="str">
        <f>IFERROR(LOOKUP(2,1/((B_Drainage!$A$5:$A$204&lt;&gt;"")*(B_Drainage!$A$5:$A$204&lt;=$B279)*(B_Drainage!$B$5:$B$204&gt;$B279)*(B_Drainage!$E$5:$E$204&lt;&gt;"")),IF(B_Drainage!$E$5:$E$204="-","",1)),"")</f>
        <v/>
      </c>
      <c r="U279" s="181" t="str">
        <f>IFERROR(LOOKUP(2,1/((B_Drainage!$A$5:$A$204&lt;&gt;"")*(B_Drainage!$A$5:$A$204&lt;=$B279)*(B_Drainage!$B$5:$B$204&gt;$B279)*(B_Drainage!$E$5:$E$204&lt;&gt;"")),IF(B_Drainage!$E$5:$E$204="-","",B_Drainage!$E$5:$E$204)),"")</f>
        <v/>
      </c>
      <c r="V279" s="181" t="str">
        <f>IFERROR(LOOKUP(2,1/((B_Drainage!$A$5:$A$204&lt;&gt;"")*(B_Drainage!$A$5:$A$204&lt;=$B279)*(B_Drainage!$B$5:$B$204&gt;$B279)*(B_Drainage!$F$5:$F$204&lt;&gt;"")),IF(B_Drainage!$F$5:$F$204="-","",1)),"")</f>
        <v/>
      </c>
      <c r="W279" s="181" t="str">
        <f>IFERROR(LOOKUP(2,1/((B_Drainage!$A$5:$A$204&lt;&gt;"")*(B_Drainage!$A$5:$A$204&lt;=$B279)*(B_Drainage!$B$5:$B$204&gt;$B279)*(B_Drainage!$F$5:$F$204&lt;&gt;"")),IF(B_Drainage!$F$5:$F$204="-","",B_Drainage!$F$5:$F$204)),"")</f>
        <v/>
      </c>
      <c r="X279" s="181" t="str">
        <f>IFERROR(LOOKUP(2,1/((B_Drainage!$A$5:$A$204&lt;&gt;"")*(B_Drainage!$A$5:$A$204&lt;=$B279)*(B_Drainage!$B$5:$B$204&gt;$B279)*(B_Drainage!$G$5:$G$204&lt;&gt;"")),IF(UPPER(B_Drainage!$G$5:$G$204)="Y",1,"")),"")</f>
        <v/>
      </c>
      <c r="Y279" s="181" t="str">
        <f>IFERROR(LOOKUP(2,1/((B_Drainage!$A$5:$A$204&lt;&gt;"")*(B_Drainage!$A$5:$A$204&lt;=$B279)*(B_Drainage!$B$5:$B$204&gt;$B279)*(B_Drainage!$H$5:$H$204&lt;&gt;"")),IF(UPPER(B_Drainage!$H$5:$H$204)="Y",1,"")),"")</f>
        <v/>
      </c>
      <c r="Z279" s="181" t="str">
        <f>IFERROR(LOOKUP(2,1/((B_Drainage!$A$5:$A$204&lt;&gt;"")*(B_Drainage!$A$5:$A$204&lt;=$B279)*(B_Drainage!$B$5:$B$204&gt;$B279)*(B_Drainage!$I$5:$I$204&lt;&gt;"")),IF(UPPER(B_Drainage!$I$5:$I$204)="Y",1,"")),"")</f>
        <v/>
      </c>
      <c r="AA279" s="181" t="str">
        <f>IFERROR(LOOKUP(2,1/((B_Drainage!$A$5:$A$204&lt;&gt;"")*(B_Drainage!$A$5:$A$204&lt;=$B279)*(B_Drainage!$B$5:$B$204&gt;$B279)*(B_Drainage!$J$5:$J$204&lt;&gt;"")),IF(UPPER(B_Drainage!$J$5:$J$204)="Y",1,"")),"")</f>
        <v/>
      </c>
      <c r="AB279" s="182" t="str">
        <f>IFERROR(LOOKUP(2,1/((B_Drainage!$A$5:$A$204&lt;&gt;"")*(B_Drainage!$A$5:$A$204&lt;=$B279)*(B_Drainage!$B$5:$B$204&gt;$B279)*(B_Drainage!$K$5:$K$204&lt;&gt;"")),IF(B_Drainage!$K$5:$K$204="-","",B_Drainage!$K$5:$K$204)),"")</f>
        <v/>
      </c>
      <c r="AC279" s="182" t="str">
        <f>IFERROR(LOOKUP(2,1/((B_Drainage!$A$5:$A$204&lt;&gt;"")*(B_Drainage!$A$5:$A$204&lt;=$B279)*(B_Drainage!$B$5:$B$204&gt;$B279)*(B_Drainage!$L$5:$L$204&lt;&gt;"")),IF(B_Drainage!$L$5:$L$204="-","",B_Drainage!$L$5:$L$204)),"")</f>
        <v/>
      </c>
      <c r="AD279" s="182" t="str">
        <f>IFERROR(LOOKUP(2,1/((D_Points!$A$5:$A$204&lt;&gt;"")*(D_Points!$A$5:$A$204&gt;=$B279)*(D_Points!$A$5:$A$204&lt;$B279+P_Interval)*(UPPER(TRIM(D_Points!$B$5:$B$204))="TURNOUT_L")*(D_Points!$H$5:$H$204&lt;&gt;"")),D_Points!$H$5:$H$204),"")</f>
        <v/>
      </c>
      <c r="AE279" s="182" t="str">
        <f>IFERROR(LOOKUP(2,1/((D_Points!$A$5:$A$204&lt;&gt;"")*(D_Points!$A$5:$A$204&gt;=$B279)*(D_Points!$A$5:$A$204&lt;$B279+P_Interval)*(UPPER(TRIM(D_Points!$B$5:$B$204))="TURNOUT_R")*(D_Points!$H$5:$H$204&lt;&gt;"")),D_Points!$H$5:$H$204),"")</f>
        <v/>
      </c>
      <c r="AF279" s="181" t="str">
        <f>IFERROR(LOOKUP(2,1/((B_Drainage!$A$5:$A$204&lt;&gt;"")*(B_Drainage!$A$5:$A$204&lt;=$B279)*(B_Drainage!$B$5:$B$204&gt;$B279)*(B_Drainage!$M$5:$M$204&lt;&gt;"")),IF(UPPER(B_Drainage!$M$5:$M$204)="Y",1,"")),"")</f>
        <v/>
      </c>
      <c r="AG279" s="181" t="str">
        <f>IFERROR(LOOKUP(2,1/((B_Drainage!$A$5:$A$204&lt;&gt;"")*(B_Drainage!$A$5:$A$204&lt;=$B279)*(B_Drainage!$B$5:$B$204&gt;$B279)*(B_Drainage!$N$5:$N$204&lt;&gt;"")),IF(UPPER(B_Drainage!$N$5:$N$204)="Y",1,"")),"")</f>
        <v/>
      </c>
      <c r="AH279" s="181" t="str">
        <f t="shared" si="32"/>
        <v/>
      </c>
      <c r="AI279" s="181" t="str">
        <f t="shared" si="33"/>
        <v/>
      </c>
      <c r="AJ279" s="181" t="str">
        <f t="shared" si="34"/>
        <v/>
      </c>
      <c r="AK279" s="181" t="str">
        <f t="shared" si="35"/>
        <v/>
      </c>
      <c r="AL279" s="181" t="str">
        <f t="shared" si="36"/>
        <v/>
      </c>
      <c r="AM279" s="181" t="str">
        <f t="shared" si="37"/>
        <v/>
      </c>
      <c r="AN279" s="181" t="str">
        <f t="shared" si="38"/>
        <v/>
      </c>
      <c r="AO279" s="192" t="str">
        <f t="shared" si="39"/>
        <v/>
      </c>
      <c r="AQ279" t="str">
        <f>IFERROR(LOOKUP(2,1/((C_Pavement!$A$5:$A$204&lt;&gt;"")*(C_Pavement!$A$5:$A$204&lt;=$B279)*(C_Pavement!$B$5:$B$204&gt;$B279)*(C_Pavement!$C$5:$C$204&lt;&gt;"")),ROW(C_Pavement!$C$5:$C$204)-4),"")</f>
        <v/>
      </c>
      <c r="AR279" t="str">
        <f>IF($AQ279="","",UPPER(TRIM(INDEX(C_Pavement!$C$5:$C$204,$AQ279))))</f>
        <v/>
      </c>
      <c r="AS279" t="str">
        <f>IF($AR279="","",IFERROR(MATCH($AR279,E_Rules!$A$5:$A$9,0),""))</f>
        <v/>
      </c>
      <c r="AT279" t="str">
        <f>IF($AQ279="","",IF(INDEX(C_Pavement!$D$5:$D$204,$AQ279)&lt;&gt;"",UPPER(TRIM(INDEX(C_Pavement!$D$5:$D$204,$AQ279))),IF($AS279="","",INDEX(E_Rules!$C$5:$C$9,$AS279))))</f>
        <v/>
      </c>
      <c r="AU279" t="str">
        <f>IF($AQ279="","",IF(INDEX(C_Pavement!$E$5:$E$204,$AQ279)&lt;&gt;"",IF(INDEX(C_Pavement!$E$5:$E$204,$AQ279)="-","",INDEX(C_Pavement!$E$5:$E$204,$AQ279)),IF($AS279="","",INDEX(E_Rules!$D$5:$D$9,$AS279))))</f>
        <v/>
      </c>
      <c r="AV279" t="str">
        <f>IF($AQ279="","",IF(INDEX(C_Pavement!$F$5:$F$204,$AQ279)&lt;&gt;"",IF(INDEX(C_Pavement!$F$5:$F$204,$AQ279)="-","",INDEX(C_Pavement!$F$5:$F$204,$AQ279)),IF($AS279="","",INDEX(E_Rules!$E$5:$E$9,$AS279))))</f>
        <v/>
      </c>
      <c r="AW279" t="str">
        <f>IF($AQ279="","",IF(INDEX(C_Pavement!$G$5:$G$204,$AQ279)&lt;&gt;"",IF(INDEX(C_Pavement!$G$5:$G$204,$AQ279)="-","",INDEX(C_Pavement!$G$5:$G$204,$AQ279)),IF($AS279="","",INDEX(E_Rules!$F$5:$F$9,$AS279))))</f>
        <v/>
      </c>
      <c r="AX279" t="str">
        <f>IF($AQ279="","",IF(INDEX(C_Pavement!$H$5:$H$204,$AQ279)&lt;&gt;"",IF(INDEX(C_Pavement!$H$5:$H$204,$AQ279)="-","",INDEX(C_Pavement!$H$5:$H$204,$AQ279)),IF($AS279="","",INDEX(E_Rules!$G$5:$G$9,$AS279))))</f>
        <v/>
      </c>
      <c r="AY279" t="str">
        <f>IF($AQ279="","",IF(INDEX(C_Pavement!$I$5:$I$204,$AQ279)&lt;&gt;"",IF(INDEX(C_Pavement!$I$5:$I$204,$AQ279)="-","",INDEX(C_Pavement!$I$5:$I$204,$AQ279)),IF($AS279="","",INDEX(E_Rules!$H$5:$H$9,$AS279))))</f>
        <v/>
      </c>
    </row>
    <row r="280" spans="1:51" ht="15.75" customHeight="1" x14ac:dyDescent="0.3">
      <c r="A280" s="189">
        <v>275</v>
      </c>
      <c r="B280" s="180">
        <v>13700</v>
      </c>
      <c r="C280" s="180" t="s">
        <v>586</v>
      </c>
      <c r="D280" s="181" t="str">
        <f>IFERROR(LOOKUP(2,1/((A_Corridor!$A$5:$A$204&lt;&gt;"")*(A_Corridor!$A$5:$A$204&lt;=$B280)*(A_Corridor!$B$5:$B$204&gt;$B280)*(A_Corridor!$C$5:$C$204&lt;&gt;"")),IF(UPPER(A_Corridor!$C$5:$C$204)="Y",1,"")),"")</f>
        <v/>
      </c>
      <c r="E280" s="181" t="str">
        <f>IFERROR(LOOKUP(2,1/((A_Corridor!$A$5:$A$204&lt;&gt;"")*(A_Corridor!$A$5:$A$204&lt;=$B280)*(A_Corridor!$B$5:$B$204&gt;$B280)*(A_Corridor!$D$5:$D$204&lt;&gt;"")),IF(A_Corridor!$D$5:$D$204="-","",UPPER(A_Corridor!$D$5:$D$204))),"")</f>
        <v/>
      </c>
      <c r="F280" s="181" t="str">
        <f>IFERROR(LOOKUP(2,1/((A_Corridor!$A$5:$A$204&lt;&gt;"")*(A_Corridor!$A$5:$A$204&lt;=$B280)*(A_Corridor!$B$5:$B$204&gt;$B280)*(A_Corridor!$E$5:$E$204&lt;&gt;"")),IF(A_Corridor!$E$5:$E$204="-","",1)),"")</f>
        <v/>
      </c>
      <c r="G280" s="182" t="str">
        <f>IFERROR(LOOKUP(2,1/((A_Corridor!$A$5:$A$204&lt;&gt;"")*(A_Corridor!$A$5:$A$204&lt;=$B280)*(A_Corridor!$B$5:$B$204&gt;$B280)*(A_Corridor!$E$5:$E$204&lt;&gt;"")),IF(A_Corridor!$E$5:$E$204="-","",A_Corridor!$E$5:$E$204)),"")</f>
        <v/>
      </c>
      <c r="H280" s="182" t="str">
        <f>IFERROR(LOOKUP(2,1/((D_Points!$A$5:$A$204&lt;&gt;"")*(D_Points!$A$5:$A$204&gt;=$B280)*(D_Points!$A$5:$A$204&lt;$B280+P_Interval)*(UPPER(TRIM(D_Points!$B$5:$B$204))="GULLY")*(D_Points!$H$5:$H$204&lt;&gt;"")),D_Points!$H$5:$H$204),"")</f>
        <v/>
      </c>
      <c r="I280" s="181" t="str">
        <f>IFERROR(LOOKUP(2,1/((A_Corridor!$A$5:$A$204&lt;&gt;"")*(A_Corridor!$A$5:$A$204&lt;=$B280)*(A_Corridor!$B$5:$B$204&gt;$B280)*(A_Corridor!$F$5:$F$204&lt;&gt;"")),IF(A_Corridor!$F$5:$F$204="-","",1)),"")</f>
        <v/>
      </c>
      <c r="J280" s="182" t="str">
        <f>IFERROR(LOOKUP(2,1/((A_Corridor!$A$5:$A$204&lt;&gt;"")*(A_Corridor!$A$5:$A$204&lt;=$B280)*(A_Corridor!$B$5:$B$204&gt;$B280)*(A_Corridor!$F$5:$F$204&lt;&gt;"")),IF(A_Corridor!$F$5:$F$204="-","",A_Corridor!$F$5:$F$204)),"")</f>
        <v/>
      </c>
      <c r="K280" s="182" t="str">
        <f>IFERROR(LOOKUP(2,1/((A_Corridor!$A$5:$A$204&lt;&gt;"")*(A_Corridor!$A$5:$A$204&lt;=$B280)*(A_Corridor!$B$5:$B$204&gt;$B280)*(A_Corridor!$G$5:$G$204&lt;&gt;"")),IF(A_Corridor!$G$5:$G$204="-","",A_Corridor!$G$5:$G$204)),"")</f>
        <v/>
      </c>
      <c r="L280" s="181" t="str">
        <f>IFERROR(LOOKUP(2,1/((A_Corridor!$A$5:$A$204&lt;&gt;"")*(A_Corridor!$A$5:$A$204&lt;=$B280)*(A_Corridor!$B$5:$B$204&gt;$B280)*(A_Corridor!$H$5:$H$204&lt;&gt;"")),IF(A_Corridor!$H$5:$H$204="-","",1)),"")</f>
        <v/>
      </c>
      <c r="M280" s="182" t="str">
        <f>IFERROR(LOOKUP(2,1/((A_Corridor!$A$5:$A$204&lt;&gt;"")*(A_Corridor!$A$5:$A$204&lt;=$B280)*(A_Corridor!$B$5:$B$204&gt;$B280)*(A_Corridor!$H$5:$H$204&lt;&gt;"")),IF(A_Corridor!$H$5:$H$204="-","",A_Corridor!$H$5:$H$204)),"")</f>
        <v/>
      </c>
      <c r="N280" s="182" t="str">
        <f>IFERROR(LOOKUP(2,1/((A_Corridor!$A$5:$A$204&lt;&gt;"")*(A_Corridor!$A$5:$A$204&lt;=$B280)*(A_Corridor!$B$5:$B$204&gt;$B280)*(A_Corridor!$I$5:$I$204&lt;&gt;"")),IF(A_Corridor!$I$5:$I$204="-","",A_Corridor!$I$5:$I$204)),"")</f>
        <v/>
      </c>
      <c r="O280" s="182" t="str">
        <f>IFERROR(LOOKUP(2,1/((D_Points!$A$5:$A$204&lt;&gt;"")*(D_Points!$A$5:$A$204&gt;=$B280)*(D_Points!$A$5:$A$204&lt;$B280+P_Interval)*(UPPER(TRIM(D_Points!$B$5:$B$204))="PITCHING")*(D_Points!$H$5:$H$204&lt;&gt;"")),D_Points!$H$5:$H$204),"")</f>
        <v/>
      </c>
      <c r="P280" s="181" t="str">
        <f>IFERROR(LOOKUP(2,1/((B_Drainage!$A$5:$A$204&lt;&gt;"")*(B_Drainage!$A$5:$A$204&lt;=$B280)*(B_Drainage!$B$5:$B$204&gt;$B280)*(B_Drainage!$C$5:$C$204&lt;&gt;"")),IF(B_Drainage!$C$5:$C$204="-","",UPPER(B_Drainage!$C$5:$C$204))),"")</f>
        <v/>
      </c>
      <c r="Q280" s="181" t="str">
        <f>IFERROR(LOOKUP(2,1/((B_Drainage!$A$5:$A$204&lt;&gt;"")*(B_Drainage!$A$5:$A$204&lt;=$B280)*(B_Drainage!$B$5:$B$204&gt;$B280)*(B_Drainage!$D$5:$D$204&lt;&gt;"")),IF(B_Drainage!$D$5:$D$204="-","",UPPER(B_Drainage!$D$5:$D$204))),"")</f>
        <v/>
      </c>
      <c r="R280" s="182" t="str">
        <f>IFERROR(LOOKUP(2,1/((D_Points!$A$5:$A$204&lt;&gt;"")*(D_Points!$A$5:$A$204&gt;=$B280)*(D_Points!$A$5:$A$204&lt;$B280+P_Interval)*(RIGHT(UPPER(TRIM(D_Points!$B$5:$B$204)),8)="_CULVERT")),IF(LEFT(UPPER(TRIM(D_Points!$B$5:$B$204)),2)="EX",1,IF(LEFT(UPPER(TRIM(D_Points!$B$5:$B$204)),2)="PR",2,3))),"")</f>
        <v/>
      </c>
      <c r="S280" s="182" t="str">
        <f>IFERROR(LOOKUP(2,1/((D_Points!$A$5:$A$204&lt;&gt;"")*(D_Points!$A$5:$A$204&gt;=$B280)*(D_Points!$A$5:$A$204&lt;$B280+P_Interval)*(RIGHT(UPPER(TRIM(D_Points!$B$5:$B$204)),7)="_BRIDGE")),IF(LEFT(UPPER(TRIM(D_Points!$B$5:$B$204)),2)="EX",1,IF(LEFT(UPPER(TRIM(D_Points!$B$5:$B$204)),2)="PR",2,2))),"")</f>
        <v/>
      </c>
      <c r="T280" s="181" t="str">
        <f>IFERROR(LOOKUP(2,1/((B_Drainage!$A$5:$A$204&lt;&gt;"")*(B_Drainage!$A$5:$A$204&lt;=$B280)*(B_Drainage!$B$5:$B$204&gt;$B280)*(B_Drainage!$E$5:$E$204&lt;&gt;"")),IF(B_Drainage!$E$5:$E$204="-","",1)),"")</f>
        <v/>
      </c>
      <c r="U280" s="181" t="str">
        <f>IFERROR(LOOKUP(2,1/((B_Drainage!$A$5:$A$204&lt;&gt;"")*(B_Drainage!$A$5:$A$204&lt;=$B280)*(B_Drainage!$B$5:$B$204&gt;$B280)*(B_Drainage!$E$5:$E$204&lt;&gt;"")),IF(B_Drainage!$E$5:$E$204="-","",B_Drainage!$E$5:$E$204)),"")</f>
        <v/>
      </c>
      <c r="V280" s="181" t="str">
        <f>IFERROR(LOOKUP(2,1/((B_Drainage!$A$5:$A$204&lt;&gt;"")*(B_Drainage!$A$5:$A$204&lt;=$B280)*(B_Drainage!$B$5:$B$204&gt;$B280)*(B_Drainage!$F$5:$F$204&lt;&gt;"")),IF(B_Drainage!$F$5:$F$204="-","",1)),"")</f>
        <v/>
      </c>
      <c r="W280" s="181" t="str">
        <f>IFERROR(LOOKUP(2,1/((B_Drainage!$A$5:$A$204&lt;&gt;"")*(B_Drainage!$A$5:$A$204&lt;=$B280)*(B_Drainage!$B$5:$B$204&gt;$B280)*(B_Drainage!$F$5:$F$204&lt;&gt;"")),IF(B_Drainage!$F$5:$F$204="-","",B_Drainage!$F$5:$F$204)),"")</f>
        <v/>
      </c>
      <c r="X280" s="181" t="str">
        <f>IFERROR(LOOKUP(2,1/((B_Drainage!$A$5:$A$204&lt;&gt;"")*(B_Drainage!$A$5:$A$204&lt;=$B280)*(B_Drainage!$B$5:$B$204&gt;$B280)*(B_Drainage!$G$5:$G$204&lt;&gt;"")),IF(UPPER(B_Drainage!$G$5:$G$204)="Y",1,"")),"")</f>
        <v/>
      </c>
      <c r="Y280" s="181" t="str">
        <f>IFERROR(LOOKUP(2,1/((B_Drainage!$A$5:$A$204&lt;&gt;"")*(B_Drainage!$A$5:$A$204&lt;=$B280)*(B_Drainage!$B$5:$B$204&gt;$B280)*(B_Drainage!$H$5:$H$204&lt;&gt;"")),IF(UPPER(B_Drainage!$H$5:$H$204)="Y",1,"")),"")</f>
        <v/>
      </c>
      <c r="Z280" s="181" t="str">
        <f>IFERROR(LOOKUP(2,1/((B_Drainage!$A$5:$A$204&lt;&gt;"")*(B_Drainage!$A$5:$A$204&lt;=$B280)*(B_Drainage!$B$5:$B$204&gt;$B280)*(B_Drainage!$I$5:$I$204&lt;&gt;"")),IF(UPPER(B_Drainage!$I$5:$I$204)="Y",1,"")),"")</f>
        <v/>
      </c>
      <c r="AA280" s="181" t="str">
        <f>IFERROR(LOOKUP(2,1/((B_Drainage!$A$5:$A$204&lt;&gt;"")*(B_Drainage!$A$5:$A$204&lt;=$B280)*(B_Drainage!$B$5:$B$204&gt;$B280)*(B_Drainage!$J$5:$J$204&lt;&gt;"")),IF(UPPER(B_Drainage!$J$5:$J$204)="Y",1,"")),"")</f>
        <v/>
      </c>
      <c r="AB280" s="182" t="str">
        <f>IFERROR(LOOKUP(2,1/((B_Drainage!$A$5:$A$204&lt;&gt;"")*(B_Drainage!$A$5:$A$204&lt;=$B280)*(B_Drainage!$B$5:$B$204&gt;$B280)*(B_Drainage!$K$5:$K$204&lt;&gt;"")),IF(B_Drainage!$K$5:$K$204="-","",B_Drainage!$K$5:$K$204)),"")</f>
        <v/>
      </c>
      <c r="AC280" s="182" t="str">
        <f>IFERROR(LOOKUP(2,1/((B_Drainage!$A$5:$A$204&lt;&gt;"")*(B_Drainage!$A$5:$A$204&lt;=$B280)*(B_Drainage!$B$5:$B$204&gt;$B280)*(B_Drainage!$L$5:$L$204&lt;&gt;"")),IF(B_Drainage!$L$5:$L$204="-","",B_Drainage!$L$5:$L$204)),"")</f>
        <v/>
      </c>
      <c r="AD280" s="182" t="str">
        <f>IFERROR(LOOKUP(2,1/((D_Points!$A$5:$A$204&lt;&gt;"")*(D_Points!$A$5:$A$204&gt;=$B280)*(D_Points!$A$5:$A$204&lt;$B280+P_Interval)*(UPPER(TRIM(D_Points!$B$5:$B$204))="TURNOUT_L")*(D_Points!$H$5:$H$204&lt;&gt;"")),D_Points!$H$5:$H$204),"")</f>
        <v/>
      </c>
      <c r="AE280" s="182" t="str">
        <f>IFERROR(LOOKUP(2,1/((D_Points!$A$5:$A$204&lt;&gt;"")*(D_Points!$A$5:$A$204&gt;=$B280)*(D_Points!$A$5:$A$204&lt;$B280+P_Interval)*(UPPER(TRIM(D_Points!$B$5:$B$204))="TURNOUT_R")*(D_Points!$H$5:$H$204&lt;&gt;"")),D_Points!$H$5:$H$204),"")</f>
        <v/>
      </c>
      <c r="AF280" s="181" t="str">
        <f>IFERROR(LOOKUP(2,1/((B_Drainage!$A$5:$A$204&lt;&gt;"")*(B_Drainage!$A$5:$A$204&lt;=$B280)*(B_Drainage!$B$5:$B$204&gt;$B280)*(B_Drainage!$M$5:$M$204&lt;&gt;"")),IF(UPPER(B_Drainage!$M$5:$M$204)="Y",1,"")),"")</f>
        <v/>
      </c>
      <c r="AG280" s="181" t="str">
        <f>IFERROR(LOOKUP(2,1/((B_Drainage!$A$5:$A$204&lt;&gt;"")*(B_Drainage!$A$5:$A$204&lt;=$B280)*(B_Drainage!$B$5:$B$204&gt;$B280)*(B_Drainage!$N$5:$N$204&lt;&gt;"")),IF(UPPER(B_Drainage!$N$5:$N$204)="Y",1,"")),"")</f>
        <v/>
      </c>
      <c r="AH280" s="181" t="str">
        <f t="shared" si="32"/>
        <v/>
      </c>
      <c r="AI280" s="181" t="str">
        <f t="shared" si="33"/>
        <v/>
      </c>
      <c r="AJ280" s="181" t="str">
        <f t="shared" si="34"/>
        <v/>
      </c>
      <c r="AK280" s="181" t="str">
        <f t="shared" si="35"/>
        <v/>
      </c>
      <c r="AL280" s="181" t="str">
        <f t="shared" si="36"/>
        <v/>
      </c>
      <c r="AM280" s="181" t="str">
        <f t="shared" si="37"/>
        <v/>
      </c>
      <c r="AN280" s="181" t="str">
        <f t="shared" si="38"/>
        <v/>
      </c>
      <c r="AO280" s="192" t="str">
        <f t="shared" si="39"/>
        <v/>
      </c>
      <c r="AQ280" t="str">
        <f>IFERROR(LOOKUP(2,1/((C_Pavement!$A$5:$A$204&lt;&gt;"")*(C_Pavement!$A$5:$A$204&lt;=$B280)*(C_Pavement!$B$5:$B$204&gt;$B280)*(C_Pavement!$C$5:$C$204&lt;&gt;"")),ROW(C_Pavement!$C$5:$C$204)-4),"")</f>
        <v/>
      </c>
      <c r="AR280" t="str">
        <f>IF($AQ280="","",UPPER(TRIM(INDEX(C_Pavement!$C$5:$C$204,$AQ280))))</f>
        <v/>
      </c>
      <c r="AS280" t="str">
        <f>IF($AR280="","",IFERROR(MATCH($AR280,E_Rules!$A$5:$A$9,0),""))</f>
        <v/>
      </c>
      <c r="AT280" t="str">
        <f>IF($AQ280="","",IF(INDEX(C_Pavement!$D$5:$D$204,$AQ280)&lt;&gt;"",UPPER(TRIM(INDEX(C_Pavement!$D$5:$D$204,$AQ280))),IF($AS280="","",INDEX(E_Rules!$C$5:$C$9,$AS280))))</f>
        <v/>
      </c>
      <c r="AU280" t="str">
        <f>IF($AQ280="","",IF(INDEX(C_Pavement!$E$5:$E$204,$AQ280)&lt;&gt;"",IF(INDEX(C_Pavement!$E$5:$E$204,$AQ280)="-","",INDEX(C_Pavement!$E$5:$E$204,$AQ280)),IF($AS280="","",INDEX(E_Rules!$D$5:$D$9,$AS280))))</f>
        <v/>
      </c>
      <c r="AV280" t="str">
        <f>IF($AQ280="","",IF(INDEX(C_Pavement!$F$5:$F$204,$AQ280)&lt;&gt;"",IF(INDEX(C_Pavement!$F$5:$F$204,$AQ280)="-","",INDEX(C_Pavement!$F$5:$F$204,$AQ280)),IF($AS280="","",INDEX(E_Rules!$E$5:$E$9,$AS280))))</f>
        <v/>
      </c>
      <c r="AW280" t="str">
        <f>IF($AQ280="","",IF(INDEX(C_Pavement!$G$5:$G$204,$AQ280)&lt;&gt;"",IF(INDEX(C_Pavement!$G$5:$G$204,$AQ280)="-","",INDEX(C_Pavement!$G$5:$G$204,$AQ280)),IF($AS280="","",INDEX(E_Rules!$F$5:$F$9,$AS280))))</f>
        <v/>
      </c>
      <c r="AX280" t="str">
        <f>IF($AQ280="","",IF(INDEX(C_Pavement!$H$5:$H$204,$AQ280)&lt;&gt;"",IF(INDEX(C_Pavement!$H$5:$H$204,$AQ280)="-","",INDEX(C_Pavement!$H$5:$H$204,$AQ280)),IF($AS280="","",INDEX(E_Rules!$G$5:$G$9,$AS280))))</f>
        <v/>
      </c>
      <c r="AY280" t="str">
        <f>IF($AQ280="","",IF(INDEX(C_Pavement!$I$5:$I$204,$AQ280)&lt;&gt;"",IF(INDEX(C_Pavement!$I$5:$I$204,$AQ280)="-","",INDEX(C_Pavement!$I$5:$I$204,$AQ280)),IF($AS280="","",INDEX(E_Rules!$H$5:$H$9,$AS280))))</f>
        <v/>
      </c>
    </row>
    <row r="281" spans="1:51" ht="15.75" customHeight="1" x14ac:dyDescent="0.3">
      <c r="A281" s="189">
        <v>276</v>
      </c>
      <c r="B281" s="180">
        <v>13750</v>
      </c>
      <c r="C281" s="180" t="s">
        <v>587</v>
      </c>
      <c r="D281" s="181" t="str">
        <f>IFERROR(LOOKUP(2,1/((A_Corridor!$A$5:$A$204&lt;&gt;"")*(A_Corridor!$A$5:$A$204&lt;=$B281)*(A_Corridor!$B$5:$B$204&gt;$B281)*(A_Corridor!$C$5:$C$204&lt;&gt;"")),IF(UPPER(A_Corridor!$C$5:$C$204)="Y",1,"")),"")</f>
        <v/>
      </c>
      <c r="E281" s="181" t="str">
        <f>IFERROR(LOOKUP(2,1/((A_Corridor!$A$5:$A$204&lt;&gt;"")*(A_Corridor!$A$5:$A$204&lt;=$B281)*(A_Corridor!$B$5:$B$204&gt;$B281)*(A_Corridor!$D$5:$D$204&lt;&gt;"")),IF(A_Corridor!$D$5:$D$204="-","",UPPER(A_Corridor!$D$5:$D$204))),"")</f>
        <v/>
      </c>
      <c r="F281" s="181" t="str">
        <f>IFERROR(LOOKUP(2,1/((A_Corridor!$A$5:$A$204&lt;&gt;"")*(A_Corridor!$A$5:$A$204&lt;=$B281)*(A_Corridor!$B$5:$B$204&gt;$B281)*(A_Corridor!$E$5:$E$204&lt;&gt;"")),IF(A_Corridor!$E$5:$E$204="-","",1)),"")</f>
        <v/>
      </c>
      <c r="G281" s="182" t="str">
        <f>IFERROR(LOOKUP(2,1/((A_Corridor!$A$5:$A$204&lt;&gt;"")*(A_Corridor!$A$5:$A$204&lt;=$B281)*(A_Corridor!$B$5:$B$204&gt;$B281)*(A_Corridor!$E$5:$E$204&lt;&gt;"")),IF(A_Corridor!$E$5:$E$204="-","",A_Corridor!$E$5:$E$204)),"")</f>
        <v/>
      </c>
      <c r="H281" s="182" t="str">
        <f>IFERROR(LOOKUP(2,1/((D_Points!$A$5:$A$204&lt;&gt;"")*(D_Points!$A$5:$A$204&gt;=$B281)*(D_Points!$A$5:$A$204&lt;$B281+P_Interval)*(UPPER(TRIM(D_Points!$B$5:$B$204))="GULLY")*(D_Points!$H$5:$H$204&lt;&gt;"")),D_Points!$H$5:$H$204),"")</f>
        <v/>
      </c>
      <c r="I281" s="181" t="str">
        <f>IFERROR(LOOKUP(2,1/((A_Corridor!$A$5:$A$204&lt;&gt;"")*(A_Corridor!$A$5:$A$204&lt;=$B281)*(A_Corridor!$B$5:$B$204&gt;$B281)*(A_Corridor!$F$5:$F$204&lt;&gt;"")),IF(A_Corridor!$F$5:$F$204="-","",1)),"")</f>
        <v/>
      </c>
      <c r="J281" s="182" t="str">
        <f>IFERROR(LOOKUP(2,1/((A_Corridor!$A$5:$A$204&lt;&gt;"")*(A_Corridor!$A$5:$A$204&lt;=$B281)*(A_Corridor!$B$5:$B$204&gt;$B281)*(A_Corridor!$F$5:$F$204&lt;&gt;"")),IF(A_Corridor!$F$5:$F$204="-","",A_Corridor!$F$5:$F$204)),"")</f>
        <v/>
      </c>
      <c r="K281" s="182" t="str">
        <f>IFERROR(LOOKUP(2,1/((A_Corridor!$A$5:$A$204&lt;&gt;"")*(A_Corridor!$A$5:$A$204&lt;=$B281)*(A_Corridor!$B$5:$B$204&gt;$B281)*(A_Corridor!$G$5:$G$204&lt;&gt;"")),IF(A_Corridor!$G$5:$G$204="-","",A_Corridor!$G$5:$G$204)),"")</f>
        <v/>
      </c>
      <c r="L281" s="181" t="str">
        <f>IFERROR(LOOKUP(2,1/((A_Corridor!$A$5:$A$204&lt;&gt;"")*(A_Corridor!$A$5:$A$204&lt;=$B281)*(A_Corridor!$B$5:$B$204&gt;$B281)*(A_Corridor!$H$5:$H$204&lt;&gt;"")),IF(A_Corridor!$H$5:$H$204="-","",1)),"")</f>
        <v/>
      </c>
      <c r="M281" s="182" t="str">
        <f>IFERROR(LOOKUP(2,1/((A_Corridor!$A$5:$A$204&lt;&gt;"")*(A_Corridor!$A$5:$A$204&lt;=$B281)*(A_Corridor!$B$5:$B$204&gt;$B281)*(A_Corridor!$H$5:$H$204&lt;&gt;"")),IF(A_Corridor!$H$5:$H$204="-","",A_Corridor!$H$5:$H$204)),"")</f>
        <v/>
      </c>
      <c r="N281" s="182" t="str">
        <f>IFERROR(LOOKUP(2,1/((A_Corridor!$A$5:$A$204&lt;&gt;"")*(A_Corridor!$A$5:$A$204&lt;=$B281)*(A_Corridor!$B$5:$B$204&gt;$B281)*(A_Corridor!$I$5:$I$204&lt;&gt;"")),IF(A_Corridor!$I$5:$I$204="-","",A_Corridor!$I$5:$I$204)),"")</f>
        <v/>
      </c>
      <c r="O281" s="182" t="str">
        <f>IFERROR(LOOKUP(2,1/((D_Points!$A$5:$A$204&lt;&gt;"")*(D_Points!$A$5:$A$204&gt;=$B281)*(D_Points!$A$5:$A$204&lt;$B281+P_Interval)*(UPPER(TRIM(D_Points!$B$5:$B$204))="PITCHING")*(D_Points!$H$5:$H$204&lt;&gt;"")),D_Points!$H$5:$H$204),"")</f>
        <v/>
      </c>
      <c r="P281" s="181" t="str">
        <f>IFERROR(LOOKUP(2,1/((B_Drainage!$A$5:$A$204&lt;&gt;"")*(B_Drainage!$A$5:$A$204&lt;=$B281)*(B_Drainage!$B$5:$B$204&gt;$B281)*(B_Drainage!$C$5:$C$204&lt;&gt;"")),IF(B_Drainage!$C$5:$C$204="-","",UPPER(B_Drainage!$C$5:$C$204))),"")</f>
        <v/>
      </c>
      <c r="Q281" s="181" t="str">
        <f>IFERROR(LOOKUP(2,1/((B_Drainage!$A$5:$A$204&lt;&gt;"")*(B_Drainage!$A$5:$A$204&lt;=$B281)*(B_Drainage!$B$5:$B$204&gt;$B281)*(B_Drainage!$D$5:$D$204&lt;&gt;"")),IF(B_Drainage!$D$5:$D$204="-","",UPPER(B_Drainage!$D$5:$D$204))),"")</f>
        <v/>
      </c>
      <c r="R281" s="182" t="str">
        <f>IFERROR(LOOKUP(2,1/((D_Points!$A$5:$A$204&lt;&gt;"")*(D_Points!$A$5:$A$204&gt;=$B281)*(D_Points!$A$5:$A$204&lt;$B281+P_Interval)*(RIGHT(UPPER(TRIM(D_Points!$B$5:$B$204)),8)="_CULVERT")),IF(LEFT(UPPER(TRIM(D_Points!$B$5:$B$204)),2)="EX",1,IF(LEFT(UPPER(TRIM(D_Points!$B$5:$B$204)),2)="PR",2,3))),"")</f>
        <v/>
      </c>
      <c r="S281" s="182" t="str">
        <f>IFERROR(LOOKUP(2,1/((D_Points!$A$5:$A$204&lt;&gt;"")*(D_Points!$A$5:$A$204&gt;=$B281)*(D_Points!$A$5:$A$204&lt;$B281+P_Interval)*(RIGHT(UPPER(TRIM(D_Points!$B$5:$B$204)),7)="_BRIDGE")),IF(LEFT(UPPER(TRIM(D_Points!$B$5:$B$204)),2)="EX",1,IF(LEFT(UPPER(TRIM(D_Points!$B$5:$B$204)),2)="PR",2,2))),"")</f>
        <v/>
      </c>
      <c r="T281" s="181" t="str">
        <f>IFERROR(LOOKUP(2,1/((B_Drainage!$A$5:$A$204&lt;&gt;"")*(B_Drainage!$A$5:$A$204&lt;=$B281)*(B_Drainage!$B$5:$B$204&gt;$B281)*(B_Drainage!$E$5:$E$204&lt;&gt;"")),IF(B_Drainage!$E$5:$E$204="-","",1)),"")</f>
        <v/>
      </c>
      <c r="U281" s="181" t="str">
        <f>IFERROR(LOOKUP(2,1/((B_Drainage!$A$5:$A$204&lt;&gt;"")*(B_Drainage!$A$5:$A$204&lt;=$B281)*(B_Drainage!$B$5:$B$204&gt;$B281)*(B_Drainage!$E$5:$E$204&lt;&gt;"")),IF(B_Drainage!$E$5:$E$204="-","",B_Drainage!$E$5:$E$204)),"")</f>
        <v/>
      </c>
      <c r="V281" s="181" t="str">
        <f>IFERROR(LOOKUP(2,1/((B_Drainage!$A$5:$A$204&lt;&gt;"")*(B_Drainage!$A$5:$A$204&lt;=$B281)*(B_Drainage!$B$5:$B$204&gt;$B281)*(B_Drainage!$F$5:$F$204&lt;&gt;"")),IF(B_Drainage!$F$5:$F$204="-","",1)),"")</f>
        <v/>
      </c>
      <c r="W281" s="181" t="str">
        <f>IFERROR(LOOKUP(2,1/((B_Drainage!$A$5:$A$204&lt;&gt;"")*(B_Drainage!$A$5:$A$204&lt;=$B281)*(B_Drainage!$B$5:$B$204&gt;$B281)*(B_Drainage!$F$5:$F$204&lt;&gt;"")),IF(B_Drainage!$F$5:$F$204="-","",B_Drainage!$F$5:$F$204)),"")</f>
        <v/>
      </c>
      <c r="X281" s="181" t="str">
        <f>IFERROR(LOOKUP(2,1/((B_Drainage!$A$5:$A$204&lt;&gt;"")*(B_Drainage!$A$5:$A$204&lt;=$B281)*(B_Drainage!$B$5:$B$204&gt;$B281)*(B_Drainage!$G$5:$G$204&lt;&gt;"")),IF(UPPER(B_Drainage!$G$5:$G$204)="Y",1,"")),"")</f>
        <v/>
      </c>
      <c r="Y281" s="181" t="str">
        <f>IFERROR(LOOKUP(2,1/((B_Drainage!$A$5:$A$204&lt;&gt;"")*(B_Drainage!$A$5:$A$204&lt;=$B281)*(B_Drainage!$B$5:$B$204&gt;$B281)*(B_Drainage!$H$5:$H$204&lt;&gt;"")),IF(UPPER(B_Drainage!$H$5:$H$204)="Y",1,"")),"")</f>
        <v/>
      </c>
      <c r="Z281" s="181" t="str">
        <f>IFERROR(LOOKUP(2,1/((B_Drainage!$A$5:$A$204&lt;&gt;"")*(B_Drainage!$A$5:$A$204&lt;=$B281)*(B_Drainage!$B$5:$B$204&gt;$B281)*(B_Drainage!$I$5:$I$204&lt;&gt;"")),IF(UPPER(B_Drainage!$I$5:$I$204)="Y",1,"")),"")</f>
        <v/>
      </c>
      <c r="AA281" s="181" t="str">
        <f>IFERROR(LOOKUP(2,1/((B_Drainage!$A$5:$A$204&lt;&gt;"")*(B_Drainage!$A$5:$A$204&lt;=$B281)*(B_Drainage!$B$5:$B$204&gt;$B281)*(B_Drainage!$J$5:$J$204&lt;&gt;"")),IF(UPPER(B_Drainage!$J$5:$J$204)="Y",1,"")),"")</f>
        <v/>
      </c>
      <c r="AB281" s="182" t="str">
        <f>IFERROR(LOOKUP(2,1/((B_Drainage!$A$5:$A$204&lt;&gt;"")*(B_Drainage!$A$5:$A$204&lt;=$B281)*(B_Drainage!$B$5:$B$204&gt;$B281)*(B_Drainage!$K$5:$K$204&lt;&gt;"")),IF(B_Drainage!$K$5:$K$204="-","",B_Drainage!$K$5:$K$204)),"")</f>
        <v/>
      </c>
      <c r="AC281" s="182" t="str">
        <f>IFERROR(LOOKUP(2,1/((B_Drainage!$A$5:$A$204&lt;&gt;"")*(B_Drainage!$A$5:$A$204&lt;=$B281)*(B_Drainage!$B$5:$B$204&gt;$B281)*(B_Drainage!$L$5:$L$204&lt;&gt;"")),IF(B_Drainage!$L$5:$L$204="-","",B_Drainage!$L$5:$L$204)),"")</f>
        <v/>
      </c>
      <c r="AD281" s="182" t="str">
        <f>IFERROR(LOOKUP(2,1/((D_Points!$A$5:$A$204&lt;&gt;"")*(D_Points!$A$5:$A$204&gt;=$B281)*(D_Points!$A$5:$A$204&lt;$B281+P_Interval)*(UPPER(TRIM(D_Points!$B$5:$B$204))="TURNOUT_L")*(D_Points!$H$5:$H$204&lt;&gt;"")),D_Points!$H$5:$H$204),"")</f>
        <v/>
      </c>
      <c r="AE281" s="182" t="str">
        <f>IFERROR(LOOKUP(2,1/((D_Points!$A$5:$A$204&lt;&gt;"")*(D_Points!$A$5:$A$204&gt;=$B281)*(D_Points!$A$5:$A$204&lt;$B281+P_Interval)*(UPPER(TRIM(D_Points!$B$5:$B$204))="TURNOUT_R")*(D_Points!$H$5:$H$204&lt;&gt;"")),D_Points!$H$5:$H$204),"")</f>
        <v/>
      </c>
      <c r="AF281" s="181" t="str">
        <f>IFERROR(LOOKUP(2,1/((B_Drainage!$A$5:$A$204&lt;&gt;"")*(B_Drainage!$A$5:$A$204&lt;=$B281)*(B_Drainage!$B$5:$B$204&gt;$B281)*(B_Drainage!$M$5:$M$204&lt;&gt;"")),IF(UPPER(B_Drainage!$M$5:$M$204)="Y",1,"")),"")</f>
        <v/>
      </c>
      <c r="AG281" s="181" t="str">
        <f>IFERROR(LOOKUP(2,1/((B_Drainage!$A$5:$A$204&lt;&gt;"")*(B_Drainage!$A$5:$A$204&lt;=$B281)*(B_Drainage!$B$5:$B$204&gt;$B281)*(B_Drainage!$N$5:$N$204&lt;&gt;"")),IF(UPPER(B_Drainage!$N$5:$N$204)="Y",1,"")),"")</f>
        <v/>
      </c>
      <c r="AH281" s="181" t="str">
        <f t="shared" si="32"/>
        <v/>
      </c>
      <c r="AI281" s="181" t="str">
        <f t="shared" si="33"/>
        <v/>
      </c>
      <c r="AJ281" s="181" t="str">
        <f t="shared" si="34"/>
        <v/>
      </c>
      <c r="AK281" s="181" t="str">
        <f t="shared" si="35"/>
        <v/>
      </c>
      <c r="AL281" s="181" t="str">
        <f t="shared" si="36"/>
        <v/>
      </c>
      <c r="AM281" s="181" t="str">
        <f t="shared" si="37"/>
        <v/>
      </c>
      <c r="AN281" s="181" t="str">
        <f t="shared" si="38"/>
        <v/>
      </c>
      <c r="AO281" s="192" t="str">
        <f t="shared" si="39"/>
        <v/>
      </c>
      <c r="AQ281" t="str">
        <f>IFERROR(LOOKUP(2,1/((C_Pavement!$A$5:$A$204&lt;&gt;"")*(C_Pavement!$A$5:$A$204&lt;=$B281)*(C_Pavement!$B$5:$B$204&gt;$B281)*(C_Pavement!$C$5:$C$204&lt;&gt;"")),ROW(C_Pavement!$C$5:$C$204)-4),"")</f>
        <v/>
      </c>
      <c r="AR281" t="str">
        <f>IF($AQ281="","",UPPER(TRIM(INDEX(C_Pavement!$C$5:$C$204,$AQ281))))</f>
        <v/>
      </c>
      <c r="AS281" t="str">
        <f>IF($AR281="","",IFERROR(MATCH($AR281,E_Rules!$A$5:$A$9,0),""))</f>
        <v/>
      </c>
      <c r="AT281" t="str">
        <f>IF($AQ281="","",IF(INDEX(C_Pavement!$D$5:$D$204,$AQ281)&lt;&gt;"",UPPER(TRIM(INDEX(C_Pavement!$D$5:$D$204,$AQ281))),IF($AS281="","",INDEX(E_Rules!$C$5:$C$9,$AS281))))</f>
        <v/>
      </c>
      <c r="AU281" t="str">
        <f>IF($AQ281="","",IF(INDEX(C_Pavement!$E$5:$E$204,$AQ281)&lt;&gt;"",IF(INDEX(C_Pavement!$E$5:$E$204,$AQ281)="-","",INDEX(C_Pavement!$E$5:$E$204,$AQ281)),IF($AS281="","",INDEX(E_Rules!$D$5:$D$9,$AS281))))</f>
        <v/>
      </c>
      <c r="AV281" t="str">
        <f>IF($AQ281="","",IF(INDEX(C_Pavement!$F$5:$F$204,$AQ281)&lt;&gt;"",IF(INDEX(C_Pavement!$F$5:$F$204,$AQ281)="-","",INDEX(C_Pavement!$F$5:$F$204,$AQ281)),IF($AS281="","",INDEX(E_Rules!$E$5:$E$9,$AS281))))</f>
        <v/>
      </c>
      <c r="AW281" t="str">
        <f>IF($AQ281="","",IF(INDEX(C_Pavement!$G$5:$G$204,$AQ281)&lt;&gt;"",IF(INDEX(C_Pavement!$G$5:$G$204,$AQ281)="-","",INDEX(C_Pavement!$G$5:$G$204,$AQ281)),IF($AS281="","",INDEX(E_Rules!$F$5:$F$9,$AS281))))</f>
        <v/>
      </c>
      <c r="AX281" t="str">
        <f>IF($AQ281="","",IF(INDEX(C_Pavement!$H$5:$H$204,$AQ281)&lt;&gt;"",IF(INDEX(C_Pavement!$H$5:$H$204,$AQ281)="-","",INDEX(C_Pavement!$H$5:$H$204,$AQ281)),IF($AS281="","",INDEX(E_Rules!$G$5:$G$9,$AS281))))</f>
        <v/>
      </c>
      <c r="AY281" t="str">
        <f>IF($AQ281="","",IF(INDEX(C_Pavement!$I$5:$I$204,$AQ281)&lt;&gt;"",IF(INDEX(C_Pavement!$I$5:$I$204,$AQ281)="-","",INDEX(C_Pavement!$I$5:$I$204,$AQ281)),IF($AS281="","",INDEX(E_Rules!$H$5:$H$9,$AS281))))</f>
        <v/>
      </c>
    </row>
    <row r="282" spans="1:51" ht="15.75" customHeight="1" x14ac:dyDescent="0.3">
      <c r="A282" s="189">
        <v>277</v>
      </c>
      <c r="B282" s="180">
        <v>13800</v>
      </c>
      <c r="C282" s="180" t="s">
        <v>588</v>
      </c>
      <c r="D282" s="181" t="str">
        <f>IFERROR(LOOKUP(2,1/((A_Corridor!$A$5:$A$204&lt;&gt;"")*(A_Corridor!$A$5:$A$204&lt;=$B282)*(A_Corridor!$B$5:$B$204&gt;$B282)*(A_Corridor!$C$5:$C$204&lt;&gt;"")),IF(UPPER(A_Corridor!$C$5:$C$204)="Y",1,"")),"")</f>
        <v/>
      </c>
      <c r="E282" s="181" t="str">
        <f>IFERROR(LOOKUP(2,1/((A_Corridor!$A$5:$A$204&lt;&gt;"")*(A_Corridor!$A$5:$A$204&lt;=$B282)*(A_Corridor!$B$5:$B$204&gt;$B282)*(A_Corridor!$D$5:$D$204&lt;&gt;"")),IF(A_Corridor!$D$5:$D$204="-","",UPPER(A_Corridor!$D$5:$D$204))),"")</f>
        <v/>
      </c>
      <c r="F282" s="181" t="str">
        <f>IFERROR(LOOKUP(2,1/((A_Corridor!$A$5:$A$204&lt;&gt;"")*(A_Corridor!$A$5:$A$204&lt;=$B282)*(A_Corridor!$B$5:$B$204&gt;$B282)*(A_Corridor!$E$5:$E$204&lt;&gt;"")),IF(A_Corridor!$E$5:$E$204="-","",1)),"")</f>
        <v/>
      </c>
      <c r="G282" s="182" t="str">
        <f>IFERROR(LOOKUP(2,1/((A_Corridor!$A$5:$A$204&lt;&gt;"")*(A_Corridor!$A$5:$A$204&lt;=$B282)*(A_Corridor!$B$5:$B$204&gt;$B282)*(A_Corridor!$E$5:$E$204&lt;&gt;"")),IF(A_Corridor!$E$5:$E$204="-","",A_Corridor!$E$5:$E$204)),"")</f>
        <v/>
      </c>
      <c r="H282" s="182" t="str">
        <f>IFERROR(LOOKUP(2,1/((D_Points!$A$5:$A$204&lt;&gt;"")*(D_Points!$A$5:$A$204&gt;=$B282)*(D_Points!$A$5:$A$204&lt;$B282+P_Interval)*(UPPER(TRIM(D_Points!$B$5:$B$204))="GULLY")*(D_Points!$H$5:$H$204&lt;&gt;"")),D_Points!$H$5:$H$204),"")</f>
        <v/>
      </c>
      <c r="I282" s="181" t="str">
        <f>IFERROR(LOOKUP(2,1/((A_Corridor!$A$5:$A$204&lt;&gt;"")*(A_Corridor!$A$5:$A$204&lt;=$B282)*(A_Corridor!$B$5:$B$204&gt;$B282)*(A_Corridor!$F$5:$F$204&lt;&gt;"")),IF(A_Corridor!$F$5:$F$204="-","",1)),"")</f>
        <v/>
      </c>
      <c r="J282" s="182" t="str">
        <f>IFERROR(LOOKUP(2,1/((A_Corridor!$A$5:$A$204&lt;&gt;"")*(A_Corridor!$A$5:$A$204&lt;=$B282)*(A_Corridor!$B$5:$B$204&gt;$B282)*(A_Corridor!$F$5:$F$204&lt;&gt;"")),IF(A_Corridor!$F$5:$F$204="-","",A_Corridor!$F$5:$F$204)),"")</f>
        <v/>
      </c>
      <c r="K282" s="182" t="str">
        <f>IFERROR(LOOKUP(2,1/((A_Corridor!$A$5:$A$204&lt;&gt;"")*(A_Corridor!$A$5:$A$204&lt;=$B282)*(A_Corridor!$B$5:$B$204&gt;$B282)*(A_Corridor!$G$5:$G$204&lt;&gt;"")),IF(A_Corridor!$G$5:$G$204="-","",A_Corridor!$G$5:$G$204)),"")</f>
        <v/>
      </c>
      <c r="L282" s="181" t="str">
        <f>IFERROR(LOOKUP(2,1/((A_Corridor!$A$5:$A$204&lt;&gt;"")*(A_Corridor!$A$5:$A$204&lt;=$B282)*(A_Corridor!$B$5:$B$204&gt;$B282)*(A_Corridor!$H$5:$H$204&lt;&gt;"")),IF(A_Corridor!$H$5:$H$204="-","",1)),"")</f>
        <v/>
      </c>
      <c r="M282" s="182" t="str">
        <f>IFERROR(LOOKUP(2,1/((A_Corridor!$A$5:$A$204&lt;&gt;"")*(A_Corridor!$A$5:$A$204&lt;=$B282)*(A_Corridor!$B$5:$B$204&gt;$B282)*(A_Corridor!$H$5:$H$204&lt;&gt;"")),IF(A_Corridor!$H$5:$H$204="-","",A_Corridor!$H$5:$H$204)),"")</f>
        <v/>
      </c>
      <c r="N282" s="182" t="str">
        <f>IFERROR(LOOKUP(2,1/((A_Corridor!$A$5:$A$204&lt;&gt;"")*(A_Corridor!$A$5:$A$204&lt;=$B282)*(A_Corridor!$B$5:$B$204&gt;$B282)*(A_Corridor!$I$5:$I$204&lt;&gt;"")),IF(A_Corridor!$I$5:$I$204="-","",A_Corridor!$I$5:$I$204)),"")</f>
        <v/>
      </c>
      <c r="O282" s="182" t="str">
        <f>IFERROR(LOOKUP(2,1/((D_Points!$A$5:$A$204&lt;&gt;"")*(D_Points!$A$5:$A$204&gt;=$B282)*(D_Points!$A$5:$A$204&lt;$B282+P_Interval)*(UPPER(TRIM(D_Points!$B$5:$B$204))="PITCHING")*(D_Points!$H$5:$H$204&lt;&gt;"")),D_Points!$H$5:$H$204),"")</f>
        <v/>
      </c>
      <c r="P282" s="181" t="str">
        <f>IFERROR(LOOKUP(2,1/((B_Drainage!$A$5:$A$204&lt;&gt;"")*(B_Drainage!$A$5:$A$204&lt;=$B282)*(B_Drainage!$B$5:$B$204&gt;$B282)*(B_Drainage!$C$5:$C$204&lt;&gt;"")),IF(B_Drainage!$C$5:$C$204="-","",UPPER(B_Drainage!$C$5:$C$204))),"")</f>
        <v/>
      </c>
      <c r="Q282" s="181" t="str">
        <f>IFERROR(LOOKUP(2,1/((B_Drainage!$A$5:$A$204&lt;&gt;"")*(B_Drainage!$A$5:$A$204&lt;=$B282)*(B_Drainage!$B$5:$B$204&gt;$B282)*(B_Drainage!$D$5:$D$204&lt;&gt;"")),IF(B_Drainage!$D$5:$D$204="-","",UPPER(B_Drainage!$D$5:$D$204))),"")</f>
        <v/>
      </c>
      <c r="R282" s="182" t="str">
        <f>IFERROR(LOOKUP(2,1/((D_Points!$A$5:$A$204&lt;&gt;"")*(D_Points!$A$5:$A$204&gt;=$B282)*(D_Points!$A$5:$A$204&lt;$B282+P_Interval)*(RIGHT(UPPER(TRIM(D_Points!$B$5:$B$204)),8)="_CULVERT")),IF(LEFT(UPPER(TRIM(D_Points!$B$5:$B$204)),2)="EX",1,IF(LEFT(UPPER(TRIM(D_Points!$B$5:$B$204)),2)="PR",2,3))),"")</f>
        <v/>
      </c>
      <c r="S282" s="182" t="str">
        <f>IFERROR(LOOKUP(2,1/((D_Points!$A$5:$A$204&lt;&gt;"")*(D_Points!$A$5:$A$204&gt;=$B282)*(D_Points!$A$5:$A$204&lt;$B282+P_Interval)*(RIGHT(UPPER(TRIM(D_Points!$B$5:$B$204)),7)="_BRIDGE")),IF(LEFT(UPPER(TRIM(D_Points!$B$5:$B$204)),2)="EX",1,IF(LEFT(UPPER(TRIM(D_Points!$B$5:$B$204)),2)="PR",2,2))),"")</f>
        <v/>
      </c>
      <c r="T282" s="181" t="str">
        <f>IFERROR(LOOKUP(2,1/((B_Drainage!$A$5:$A$204&lt;&gt;"")*(B_Drainage!$A$5:$A$204&lt;=$B282)*(B_Drainage!$B$5:$B$204&gt;$B282)*(B_Drainage!$E$5:$E$204&lt;&gt;"")),IF(B_Drainage!$E$5:$E$204="-","",1)),"")</f>
        <v/>
      </c>
      <c r="U282" s="181" t="str">
        <f>IFERROR(LOOKUP(2,1/((B_Drainage!$A$5:$A$204&lt;&gt;"")*(B_Drainage!$A$5:$A$204&lt;=$B282)*(B_Drainage!$B$5:$B$204&gt;$B282)*(B_Drainage!$E$5:$E$204&lt;&gt;"")),IF(B_Drainage!$E$5:$E$204="-","",B_Drainage!$E$5:$E$204)),"")</f>
        <v/>
      </c>
      <c r="V282" s="181" t="str">
        <f>IFERROR(LOOKUP(2,1/((B_Drainage!$A$5:$A$204&lt;&gt;"")*(B_Drainage!$A$5:$A$204&lt;=$B282)*(B_Drainage!$B$5:$B$204&gt;$B282)*(B_Drainage!$F$5:$F$204&lt;&gt;"")),IF(B_Drainage!$F$5:$F$204="-","",1)),"")</f>
        <v/>
      </c>
      <c r="W282" s="181" t="str">
        <f>IFERROR(LOOKUP(2,1/((B_Drainage!$A$5:$A$204&lt;&gt;"")*(B_Drainage!$A$5:$A$204&lt;=$B282)*(B_Drainage!$B$5:$B$204&gt;$B282)*(B_Drainage!$F$5:$F$204&lt;&gt;"")),IF(B_Drainage!$F$5:$F$204="-","",B_Drainage!$F$5:$F$204)),"")</f>
        <v/>
      </c>
      <c r="X282" s="181" t="str">
        <f>IFERROR(LOOKUP(2,1/((B_Drainage!$A$5:$A$204&lt;&gt;"")*(B_Drainage!$A$5:$A$204&lt;=$B282)*(B_Drainage!$B$5:$B$204&gt;$B282)*(B_Drainage!$G$5:$G$204&lt;&gt;"")),IF(UPPER(B_Drainage!$G$5:$G$204)="Y",1,"")),"")</f>
        <v/>
      </c>
      <c r="Y282" s="181" t="str">
        <f>IFERROR(LOOKUP(2,1/((B_Drainage!$A$5:$A$204&lt;&gt;"")*(B_Drainage!$A$5:$A$204&lt;=$B282)*(B_Drainage!$B$5:$B$204&gt;$B282)*(B_Drainage!$H$5:$H$204&lt;&gt;"")),IF(UPPER(B_Drainage!$H$5:$H$204)="Y",1,"")),"")</f>
        <v/>
      </c>
      <c r="Z282" s="181" t="str">
        <f>IFERROR(LOOKUP(2,1/((B_Drainage!$A$5:$A$204&lt;&gt;"")*(B_Drainage!$A$5:$A$204&lt;=$B282)*(B_Drainage!$B$5:$B$204&gt;$B282)*(B_Drainage!$I$5:$I$204&lt;&gt;"")),IF(UPPER(B_Drainage!$I$5:$I$204)="Y",1,"")),"")</f>
        <v/>
      </c>
      <c r="AA282" s="181" t="str">
        <f>IFERROR(LOOKUP(2,1/((B_Drainage!$A$5:$A$204&lt;&gt;"")*(B_Drainage!$A$5:$A$204&lt;=$B282)*(B_Drainage!$B$5:$B$204&gt;$B282)*(B_Drainage!$J$5:$J$204&lt;&gt;"")),IF(UPPER(B_Drainage!$J$5:$J$204)="Y",1,"")),"")</f>
        <v/>
      </c>
      <c r="AB282" s="182" t="str">
        <f>IFERROR(LOOKUP(2,1/((B_Drainage!$A$5:$A$204&lt;&gt;"")*(B_Drainage!$A$5:$A$204&lt;=$B282)*(B_Drainage!$B$5:$B$204&gt;$B282)*(B_Drainage!$K$5:$K$204&lt;&gt;"")),IF(B_Drainage!$K$5:$K$204="-","",B_Drainage!$K$5:$K$204)),"")</f>
        <v/>
      </c>
      <c r="AC282" s="182" t="str">
        <f>IFERROR(LOOKUP(2,1/((B_Drainage!$A$5:$A$204&lt;&gt;"")*(B_Drainage!$A$5:$A$204&lt;=$B282)*(B_Drainage!$B$5:$B$204&gt;$B282)*(B_Drainage!$L$5:$L$204&lt;&gt;"")),IF(B_Drainage!$L$5:$L$204="-","",B_Drainage!$L$5:$L$204)),"")</f>
        <v/>
      </c>
      <c r="AD282" s="182" t="str">
        <f>IFERROR(LOOKUP(2,1/((D_Points!$A$5:$A$204&lt;&gt;"")*(D_Points!$A$5:$A$204&gt;=$B282)*(D_Points!$A$5:$A$204&lt;$B282+P_Interval)*(UPPER(TRIM(D_Points!$B$5:$B$204))="TURNOUT_L")*(D_Points!$H$5:$H$204&lt;&gt;"")),D_Points!$H$5:$H$204),"")</f>
        <v/>
      </c>
      <c r="AE282" s="182" t="str">
        <f>IFERROR(LOOKUP(2,1/((D_Points!$A$5:$A$204&lt;&gt;"")*(D_Points!$A$5:$A$204&gt;=$B282)*(D_Points!$A$5:$A$204&lt;$B282+P_Interval)*(UPPER(TRIM(D_Points!$B$5:$B$204))="TURNOUT_R")*(D_Points!$H$5:$H$204&lt;&gt;"")),D_Points!$H$5:$H$204),"")</f>
        <v/>
      </c>
      <c r="AF282" s="181" t="str">
        <f>IFERROR(LOOKUP(2,1/((B_Drainage!$A$5:$A$204&lt;&gt;"")*(B_Drainage!$A$5:$A$204&lt;=$B282)*(B_Drainage!$B$5:$B$204&gt;$B282)*(B_Drainage!$M$5:$M$204&lt;&gt;"")),IF(UPPER(B_Drainage!$M$5:$M$204)="Y",1,"")),"")</f>
        <v/>
      </c>
      <c r="AG282" s="181" t="str">
        <f>IFERROR(LOOKUP(2,1/((B_Drainage!$A$5:$A$204&lt;&gt;"")*(B_Drainage!$A$5:$A$204&lt;=$B282)*(B_Drainage!$B$5:$B$204&gt;$B282)*(B_Drainage!$N$5:$N$204&lt;&gt;"")),IF(UPPER(B_Drainage!$N$5:$N$204)="Y",1,"")),"")</f>
        <v/>
      </c>
      <c r="AH282" s="181" t="str">
        <f t="shared" si="32"/>
        <v/>
      </c>
      <c r="AI282" s="181" t="str">
        <f t="shared" si="33"/>
        <v/>
      </c>
      <c r="AJ282" s="181" t="str">
        <f t="shared" si="34"/>
        <v/>
      </c>
      <c r="AK282" s="181" t="str">
        <f t="shared" si="35"/>
        <v/>
      </c>
      <c r="AL282" s="181" t="str">
        <f t="shared" si="36"/>
        <v/>
      </c>
      <c r="AM282" s="181" t="str">
        <f t="shared" si="37"/>
        <v/>
      </c>
      <c r="AN282" s="181" t="str">
        <f t="shared" si="38"/>
        <v/>
      </c>
      <c r="AO282" s="192" t="str">
        <f t="shared" si="39"/>
        <v/>
      </c>
      <c r="AQ282" t="str">
        <f>IFERROR(LOOKUP(2,1/((C_Pavement!$A$5:$A$204&lt;&gt;"")*(C_Pavement!$A$5:$A$204&lt;=$B282)*(C_Pavement!$B$5:$B$204&gt;$B282)*(C_Pavement!$C$5:$C$204&lt;&gt;"")),ROW(C_Pavement!$C$5:$C$204)-4),"")</f>
        <v/>
      </c>
      <c r="AR282" t="str">
        <f>IF($AQ282="","",UPPER(TRIM(INDEX(C_Pavement!$C$5:$C$204,$AQ282))))</f>
        <v/>
      </c>
      <c r="AS282" t="str">
        <f>IF($AR282="","",IFERROR(MATCH($AR282,E_Rules!$A$5:$A$9,0),""))</f>
        <v/>
      </c>
      <c r="AT282" t="str">
        <f>IF($AQ282="","",IF(INDEX(C_Pavement!$D$5:$D$204,$AQ282)&lt;&gt;"",UPPER(TRIM(INDEX(C_Pavement!$D$5:$D$204,$AQ282))),IF($AS282="","",INDEX(E_Rules!$C$5:$C$9,$AS282))))</f>
        <v/>
      </c>
      <c r="AU282" t="str">
        <f>IF($AQ282="","",IF(INDEX(C_Pavement!$E$5:$E$204,$AQ282)&lt;&gt;"",IF(INDEX(C_Pavement!$E$5:$E$204,$AQ282)="-","",INDEX(C_Pavement!$E$5:$E$204,$AQ282)),IF($AS282="","",INDEX(E_Rules!$D$5:$D$9,$AS282))))</f>
        <v/>
      </c>
      <c r="AV282" t="str">
        <f>IF($AQ282="","",IF(INDEX(C_Pavement!$F$5:$F$204,$AQ282)&lt;&gt;"",IF(INDEX(C_Pavement!$F$5:$F$204,$AQ282)="-","",INDEX(C_Pavement!$F$5:$F$204,$AQ282)),IF($AS282="","",INDEX(E_Rules!$E$5:$E$9,$AS282))))</f>
        <v/>
      </c>
      <c r="AW282" t="str">
        <f>IF($AQ282="","",IF(INDEX(C_Pavement!$G$5:$G$204,$AQ282)&lt;&gt;"",IF(INDEX(C_Pavement!$G$5:$G$204,$AQ282)="-","",INDEX(C_Pavement!$G$5:$G$204,$AQ282)),IF($AS282="","",INDEX(E_Rules!$F$5:$F$9,$AS282))))</f>
        <v/>
      </c>
      <c r="AX282" t="str">
        <f>IF($AQ282="","",IF(INDEX(C_Pavement!$H$5:$H$204,$AQ282)&lt;&gt;"",IF(INDEX(C_Pavement!$H$5:$H$204,$AQ282)="-","",INDEX(C_Pavement!$H$5:$H$204,$AQ282)),IF($AS282="","",INDEX(E_Rules!$G$5:$G$9,$AS282))))</f>
        <v/>
      </c>
      <c r="AY282" t="str">
        <f>IF($AQ282="","",IF(INDEX(C_Pavement!$I$5:$I$204,$AQ282)&lt;&gt;"",IF(INDEX(C_Pavement!$I$5:$I$204,$AQ282)="-","",INDEX(C_Pavement!$I$5:$I$204,$AQ282)),IF($AS282="","",INDEX(E_Rules!$H$5:$H$9,$AS282))))</f>
        <v/>
      </c>
    </row>
    <row r="283" spans="1:51" ht="15.75" customHeight="1" x14ac:dyDescent="0.3">
      <c r="A283" s="189">
        <v>278</v>
      </c>
      <c r="B283" s="180">
        <v>13850</v>
      </c>
      <c r="C283" s="180" t="s">
        <v>589</v>
      </c>
      <c r="D283" s="181" t="str">
        <f>IFERROR(LOOKUP(2,1/((A_Corridor!$A$5:$A$204&lt;&gt;"")*(A_Corridor!$A$5:$A$204&lt;=$B283)*(A_Corridor!$B$5:$B$204&gt;$B283)*(A_Corridor!$C$5:$C$204&lt;&gt;"")),IF(UPPER(A_Corridor!$C$5:$C$204)="Y",1,"")),"")</f>
        <v/>
      </c>
      <c r="E283" s="181" t="str">
        <f>IFERROR(LOOKUP(2,1/((A_Corridor!$A$5:$A$204&lt;&gt;"")*(A_Corridor!$A$5:$A$204&lt;=$B283)*(A_Corridor!$B$5:$B$204&gt;$B283)*(A_Corridor!$D$5:$D$204&lt;&gt;"")),IF(A_Corridor!$D$5:$D$204="-","",UPPER(A_Corridor!$D$5:$D$204))),"")</f>
        <v/>
      </c>
      <c r="F283" s="181" t="str">
        <f>IFERROR(LOOKUP(2,1/((A_Corridor!$A$5:$A$204&lt;&gt;"")*(A_Corridor!$A$5:$A$204&lt;=$B283)*(A_Corridor!$B$5:$B$204&gt;$B283)*(A_Corridor!$E$5:$E$204&lt;&gt;"")),IF(A_Corridor!$E$5:$E$204="-","",1)),"")</f>
        <v/>
      </c>
      <c r="G283" s="182" t="str">
        <f>IFERROR(LOOKUP(2,1/((A_Corridor!$A$5:$A$204&lt;&gt;"")*(A_Corridor!$A$5:$A$204&lt;=$B283)*(A_Corridor!$B$5:$B$204&gt;$B283)*(A_Corridor!$E$5:$E$204&lt;&gt;"")),IF(A_Corridor!$E$5:$E$204="-","",A_Corridor!$E$5:$E$204)),"")</f>
        <v/>
      </c>
      <c r="H283" s="182" t="str">
        <f>IFERROR(LOOKUP(2,1/((D_Points!$A$5:$A$204&lt;&gt;"")*(D_Points!$A$5:$A$204&gt;=$B283)*(D_Points!$A$5:$A$204&lt;$B283+P_Interval)*(UPPER(TRIM(D_Points!$B$5:$B$204))="GULLY")*(D_Points!$H$5:$H$204&lt;&gt;"")),D_Points!$H$5:$H$204),"")</f>
        <v/>
      </c>
      <c r="I283" s="181" t="str">
        <f>IFERROR(LOOKUP(2,1/((A_Corridor!$A$5:$A$204&lt;&gt;"")*(A_Corridor!$A$5:$A$204&lt;=$B283)*(A_Corridor!$B$5:$B$204&gt;$B283)*(A_Corridor!$F$5:$F$204&lt;&gt;"")),IF(A_Corridor!$F$5:$F$204="-","",1)),"")</f>
        <v/>
      </c>
      <c r="J283" s="182" t="str">
        <f>IFERROR(LOOKUP(2,1/((A_Corridor!$A$5:$A$204&lt;&gt;"")*(A_Corridor!$A$5:$A$204&lt;=$B283)*(A_Corridor!$B$5:$B$204&gt;$B283)*(A_Corridor!$F$5:$F$204&lt;&gt;"")),IF(A_Corridor!$F$5:$F$204="-","",A_Corridor!$F$5:$F$204)),"")</f>
        <v/>
      </c>
      <c r="K283" s="182" t="str">
        <f>IFERROR(LOOKUP(2,1/((A_Corridor!$A$5:$A$204&lt;&gt;"")*(A_Corridor!$A$5:$A$204&lt;=$B283)*(A_Corridor!$B$5:$B$204&gt;$B283)*(A_Corridor!$G$5:$G$204&lt;&gt;"")),IF(A_Corridor!$G$5:$G$204="-","",A_Corridor!$G$5:$G$204)),"")</f>
        <v/>
      </c>
      <c r="L283" s="181" t="str">
        <f>IFERROR(LOOKUP(2,1/((A_Corridor!$A$5:$A$204&lt;&gt;"")*(A_Corridor!$A$5:$A$204&lt;=$B283)*(A_Corridor!$B$5:$B$204&gt;$B283)*(A_Corridor!$H$5:$H$204&lt;&gt;"")),IF(A_Corridor!$H$5:$H$204="-","",1)),"")</f>
        <v/>
      </c>
      <c r="M283" s="182" t="str">
        <f>IFERROR(LOOKUP(2,1/((A_Corridor!$A$5:$A$204&lt;&gt;"")*(A_Corridor!$A$5:$A$204&lt;=$B283)*(A_Corridor!$B$5:$B$204&gt;$B283)*(A_Corridor!$H$5:$H$204&lt;&gt;"")),IF(A_Corridor!$H$5:$H$204="-","",A_Corridor!$H$5:$H$204)),"")</f>
        <v/>
      </c>
      <c r="N283" s="182" t="str">
        <f>IFERROR(LOOKUP(2,1/((A_Corridor!$A$5:$A$204&lt;&gt;"")*(A_Corridor!$A$5:$A$204&lt;=$B283)*(A_Corridor!$B$5:$B$204&gt;$B283)*(A_Corridor!$I$5:$I$204&lt;&gt;"")),IF(A_Corridor!$I$5:$I$204="-","",A_Corridor!$I$5:$I$204)),"")</f>
        <v/>
      </c>
      <c r="O283" s="182" t="str">
        <f>IFERROR(LOOKUP(2,1/((D_Points!$A$5:$A$204&lt;&gt;"")*(D_Points!$A$5:$A$204&gt;=$B283)*(D_Points!$A$5:$A$204&lt;$B283+P_Interval)*(UPPER(TRIM(D_Points!$B$5:$B$204))="PITCHING")*(D_Points!$H$5:$H$204&lt;&gt;"")),D_Points!$H$5:$H$204),"")</f>
        <v/>
      </c>
      <c r="P283" s="181" t="str">
        <f>IFERROR(LOOKUP(2,1/((B_Drainage!$A$5:$A$204&lt;&gt;"")*(B_Drainage!$A$5:$A$204&lt;=$B283)*(B_Drainage!$B$5:$B$204&gt;$B283)*(B_Drainage!$C$5:$C$204&lt;&gt;"")),IF(B_Drainage!$C$5:$C$204="-","",UPPER(B_Drainage!$C$5:$C$204))),"")</f>
        <v/>
      </c>
      <c r="Q283" s="181" t="str">
        <f>IFERROR(LOOKUP(2,1/((B_Drainage!$A$5:$A$204&lt;&gt;"")*(B_Drainage!$A$5:$A$204&lt;=$B283)*(B_Drainage!$B$5:$B$204&gt;$B283)*(B_Drainage!$D$5:$D$204&lt;&gt;"")),IF(B_Drainage!$D$5:$D$204="-","",UPPER(B_Drainage!$D$5:$D$204))),"")</f>
        <v/>
      </c>
      <c r="R283" s="182" t="str">
        <f>IFERROR(LOOKUP(2,1/((D_Points!$A$5:$A$204&lt;&gt;"")*(D_Points!$A$5:$A$204&gt;=$B283)*(D_Points!$A$5:$A$204&lt;$B283+P_Interval)*(RIGHT(UPPER(TRIM(D_Points!$B$5:$B$204)),8)="_CULVERT")),IF(LEFT(UPPER(TRIM(D_Points!$B$5:$B$204)),2)="EX",1,IF(LEFT(UPPER(TRIM(D_Points!$B$5:$B$204)),2)="PR",2,3))),"")</f>
        <v/>
      </c>
      <c r="S283" s="182" t="str">
        <f>IFERROR(LOOKUP(2,1/((D_Points!$A$5:$A$204&lt;&gt;"")*(D_Points!$A$5:$A$204&gt;=$B283)*(D_Points!$A$5:$A$204&lt;$B283+P_Interval)*(RIGHT(UPPER(TRIM(D_Points!$B$5:$B$204)),7)="_BRIDGE")),IF(LEFT(UPPER(TRIM(D_Points!$B$5:$B$204)),2)="EX",1,IF(LEFT(UPPER(TRIM(D_Points!$B$5:$B$204)),2)="PR",2,2))),"")</f>
        <v/>
      </c>
      <c r="T283" s="181" t="str">
        <f>IFERROR(LOOKUP(2,1/((B_Drainage!$A$5:$A$204&lt;&gt;"")*(B_Drainage!$A$5:$A$204&lt;=$B283)*(B_Drainage!$B$5:$B$204&gt;$B283)*(B_Drainage!$E$5:$E$204&lt;&gt;"")),IF(B_Drainage!$E$5:$E$204="-","",1)),"")</f>
        <v/>
      </c>
      <c r="U283" s="181" t="str">
        <f>IFERROR(LOOKUP(2,1/((B_Drainage!$A$5:$A$204&lt;&gt;"")*(B_Drainage!$A$5:$A$204&lt;=$B283)*(B_Drainage!$B$5:$B$204&gt;$B283)*(B_Drainage!$E$5:$E$204&lt;&gt;"")),IF(B_Drainage!$E$5:$E$204="-","",B_Drainage!$E$5:$E$204)),"")</f>
        <v/>
      </c>
      <c r="V283" s="181" t="str">
        <f>IFERROR(LOOKUP(2,1/((B_Drainage!$A$5:$A$204&lt;&gt;"")*(B_Drainage!$A$5:$A$204&lt;=$B283)*(B_Drainage!$B$5:$B$204&gt;$B283)*(B_Drainage!$F$5:$F$204&lt;&gt;"")),IF(B_Drainage!$F$5:$F$204="-","",1)),"")</f>
        <v/>
      </c>
      <c r="W283" s="181" t="str">
        <f>IFERROR(LOOKUP(2,1/((B_Drainage!$A$5:$A$204&lt;&gt;"")*(B_Drainage!$A$5:$A$204&lt;=$B283)*(B_Drainage!$B$5:$B$204&gt;$B283)*(B_Drainage!$F$5:$F$204&lt;&gt;"")),IF(B_Drainage!$F$5:$F$204="-","",B_Drainage!$F$5:$F$204)),"")</f>
        <v/>
      </c>
      <c r="X283" s="181" t="str">
        <f>IFERROR(LOOKUP(2,1/((B_Drainage!$A$5:$A$204&lt;&gt;"")*(B_Drainage!$A$5:$A$204&lt;=$B283)*(B_Drainage!$B$5:$B$204&gt;$B283)*(B_Drainage!$G$5:$G$204&lt;&gt;"")),IF(UPPER(B_Drainage!$G$5:$G$204)="Y",1,"")),"")</f>
        <v/>
      </c>
      <c r="Y283" s="181" t="str">
        <f>IFERROR(LOOKUP(2,1/((B_Drainage!$A$5:$A$204&lt;&gt;"")*(B_Drainage!$A$5:$A$204&lt;=$B283)*(B_Drainage!$B$5:$B$204&gt;$B283)*(B_Drainage!$H$5:$H$204&lt;&gt;"")),IF(UPPER(B_Drainage!$H$5:$H$204)="Y",1,"")),"")</f>
        <v/>
      </c>
      <c r="Z283" s="181" t="str">
        <f>IFERROR(LOOKUP(2,1/((B_Drainage!$A$5:$A$204&lt;&gt;"")*(B_Drainage!$A$5:$A$204&lt;=$B283)*(B_Drainage!$B$5:$B$204&gt;$B283)*(B_Drainage!$I$5:$I$204&lt;&gt;"")),IF(UPPER(B_Drainage!$I$5:$I$204)="Y",1,"")),"")</f>
        <v/>
      </c>
      <c r="AA283" s="181" t="str">
        <f>IFERROR(LOOKUP(2,1/((B_Drainage!$A$5:$A$204&lt;&gt;"")*(B_Drainage!$A$5:$A$204&lt;=$B283)*(B_Drainage!$B$5:$B$204&gt;$B283)*(B_Drainage!$J$5:$J$204&lt;&gt;"")),IF(UPPER(B_Drainage!$J$5:$J$204)="Y",1,"")),"")</f>
        <v/>
      </c>
      <c r="AB283" s="182" t="str">
        <f>IFERROR(LOOKUP(2,1/((B_Drainage!$A$5:$A$204&lt;&gt;"")*(B_Drainage!$A$5:$A$204&lt;=$B283)*(B_Drainage!$B$5:$B$204&gt;$B283)*(B_Drainage!$K$5:$K$204&lt;&gt;"")),IF(B_Drainage!$K$5:$K$204="-","",B_Drainage!$K$5:$K$204)),"")</f>
        <v/>
      </c>
      <c r="AC283" s="182" t="str">
        <f>IFERROR(LOOKUP(2,1/((B_Drainage!$A$5:$A$204&lt;&gt;"")*(B_Drainage!$A$5:$A$204&lt;=$B283)*(B_Drainage!$B$5:$B$204&gt;$B283)*(B_Drainage!$L$5:$L$204&lt;&gt;"")),IF(B_Drainage!$L$5:$L$204="-","",B_Drainage!$L$5:$L$204)),"")</f>
        <v/>
      </c>
      <c r="AD283" s="182" t="str">
        <f>IFERROR(LOOKUP(2,1/((D_Points!$A$5:$A$204&lt;&gt;"")*(D_Points!$A$5:$A$204&gt;=$B283)*(D_Points!$A$5:$A$204&lt;$B283+P_Interval)*(UPPER(TRIM(D_Points!$B$5:$B$204))="TURNOUT_L")*(D_Points!$H$5:$H$204&lt;&gt;"")),D_Points!$H$5:$H$204),"")</f>
        <v/>
      </c>
      <c r="AE283" s="182" t="str">
        <f>IFERROR(LOOKUP(2,1/((D_Points!$A$5:$A$204&lt;&gt;"")*(D_Points!$A$5:$A$204&gt;=$B283)*(D_Points!$A$5:$A$204&lt;$B283+P_Interval)*(UPPER(TRIM(D_Points!$B$5:$B$204))="TURNOUT_R")*(D_Points!$H$5:$H$204&lt;&gt;"")),D_Points!$H$5:$H$204),"")</f>
        <v/>
      </c>
      <c r="AF283" s="181" t="str">
        <f>IFERROR(LOOKUP(2,1/((B_Drainage!$A$5:$A$204&lt;&gt;"")*(B_Drainage!$A$5:$A$204&lt;=$B283)*(B_Drainage!$B$5:$B$204&gt;$B283)*(B_Drainage!$M$5:$M$204&lt;&gt;"")),IF(UPPER(B_Drainage!$M$5:$M$204)="Y",1,"")),"")</f>
        <v/>
      </c>
      <c r="AG283" s="181" t="str">
        <f>IFERROR(LOOKUP(2,1/((B_Drainage!$A$5:$A$204&lt;&gt;"")*(B_Drainage!$A$5:$A$204&lt;=$B283)*(B_Drainage!$B$5:$B$204&gt;$B283)*(B_Drainage!$N$5:$N$204&lt;&gt;"")),IF(UPPER(B_Drainage!$N$5:$N$204)="Y",1,"")),"")</f>
        <v/>
      </c>
      <c r="AH283" s="181" t="str">
        <f t="shared" si="32"/>
        <v/>
      </c>
      <c r="AI283" s="181" t="str">
        <f t="shared" si="33"/>
        <v/>
      </c>
      <c r="AJ283" s="181" t="str">
        <f t="shared" si="34"/>
        <v/>
      </c>
      <c r="AK283" s="181" t="str">
        <f t="shared" si="35"/>
        <v/>
      </c>
      <c r="AL283" s="181" t="str">
        <f t="shared" si="36"/>
        <v/>
      </c>
      <c r="AM283" s="181" t="str">
        <f t="shared" si="37"/>
        <v/>
      </c>
      <c r="AN283" s="181" t="str">
        <f t="shared" si="38"/>
        <v/>
      </c>
      <c r="AO283" s="192" t="str">
        <f t="shared" si="39"/>
        <v/>
      </c>
      <c r="AQ283" t="str">
        <f>IFERROR(LOOKUP(2,1/((C_Pavement!$A$5:$A$204&lt;&gt;"")*(C_Pavement!$A$5:$A$204&lt;=$B283)*(C_Pavement!$B$5:$B$204&gt;$B283)*(C_Pavement!$C$5:$C$204&lt;&gt;"")),ROW(C_Pavement!$C$5:$C$204)-4),"")</f>
        <v/>
      </c>
      <c r="AR283" t="str">
        <f>IF($AQ283="","",UPPER(TRIM(INDEX(C_Pavement!$C$5:$C$204,$AQ283))))</f>
        <v/>
      </c>
      <c r="AS283" t="str">
        <f>IF($AR283="","",IFERROR(MATCH($AR283,E_Rules!$A$5:$A$9,0),""))</f>
        <v/>
      </c>
      <c r="AT283" t="str">
        <f>IF($AQ283="","",IF(INDEX(C_Pavement!$D$5:$D$204,$AQ283)&lt;&gt;"",UPPER(TRIM(INDEX(C_Pavement!$D$5:$D$204,$AQ283))),IF($AS283="","",INDEX(E_Rules!$C$5:$C$9,$AS283))))</f>
        <v/>
      </c>
      <c r="AU283" t="str">
        <f>IF($AQ283="","",IF(INDEX(C_Pavement!$E$5:$E$204,$AQ283)&lt;&gt;"",IF(INDEX(C_Pavement!$E$5:$E$204,$AQ283)="-","",INDEX(C_Pavement!$E$5:$E$204,$AQ283)),IF($AS283="","",INDEX(E_Rules!$D$5:$D$9,$AS283))))</f>
        <v/>
      </c>
      <c r="AV283" t="str">
        <f>IF($AQ283="","",IF(INDEX(C_Pavement!$F$5:$F$204,$AQ283)&lt;&gt;"",IF(INDEX(C_Pavement!$F$5:$F$204,$AQ283)="-","",INDEX(C_Pavement!$F$5:$F$204,$AQ283)),IF($AS283="","",INDEX(E_Rules!$E$5:$E$9,$AS283))))</f>
        <v/>
      </c>
      <c r="AW283" t="str">
        <f>IF($AQ283="","",IF(INDEX(C_Pavement!$G$5:$G$204,$AQ283)&lt;&gt;"",IF(INDEX(C_Pavement!$G$5:$G$204,$AQ283)="-","",INDEX(C_Pavement!$G$5:$G$204,$AQ283)),IF($AS283="","",INDEX(E_Rules!$F$5:$F$9,$AS283))))</f>
        <v/>
      </c>
      <c r="AX283" t="str">
        <f>IF($AQ283="","",IF(INDEX(C_Pavement!$H$5:$H$204,$AQ283)&lt;&gt;"",IF(INDEX(C_Pavement!$H$5:$H$204,$AQ283)="-","",INDEX(C_Pavement!$H$5:$H$204,$AQ283)),IF($AS283="","",INDEX(E_Rules!$G$5:$G$9,$AS283))))</f>
        <v/>
      </c>
      <c r="AY283" t="str">
        <f>IF($AQ283="","",IF(INDEX(C_Pavement!$I$5:$I$204,$AQ283)&lt;&gt;"",IF(INDEX(C_Pavement!$I$5:$I$204,$AQ283)="-","",INDEX(C_Pavement!$I$5:$I$204,$AQ283)),IF($AS283="","",INDEX(E_Rules!$H$5:$H$9,$AS283))))</f>
        <v/>
      </c>
    </row>
    <row r="284" spans="1:51" ht="15.75" customHeight="1" x14ac:dyDescent="0.3">
      <c r="A284" s="189">
        <v>279</v>
      </c>
      <c r="B284" s="180">
        <v>13900</v>
      </c>
      <c r="C284" s="180" t="s">
        <v>590</v>
      </c>
      <c r="D284" s="181" t="str">
        <f>IFERROR(LOOKUP(2,1/((A_Corridor!$A$5:$A$204&lt;&gt;"")*(A_Corridor!$A$5:$A$204&lt;=$B284)*(A_Corridor!$B$5:$B$204&gt;$B284)*(A_Corridor!$C$5:$C$204&lt;&gt;"")),IF(UPPER(A_Corridor!$C$5:$C$204)="Y",1,"")),"")</f>
        <v/>
      </c>
      <c r="E284" s="181" t="str">
        <f>IFERROR(LOOKUP(2,1/((A_Corridor!$A$5:$A$204&lt;&gt;"")*(A_Corridor!$A$5:$A$204&lt;=$B284)*(A_Corridor!$B$5:$B$204&gt;$B284)*(A_Corridor!$D$5:$D$204&lt;&gt;"")),IF(A_Corridor!$D$5:$D$204="-","",UPPER(A_Corridor!$D$5:$D$204))),"")</f>
        <v/>
      </c>
      <c r="F284" s="181" t="str">
        <f>IFERROR(LOOKUP(2,1/((A_Corridor!$A$5:$A$204&lt;&gt;"")*(A_Corridor!$A$5:$A$204&lt;=$B284)*(A_Corridor!$B$5:$B$204&gt;$B284)*(A_Corridor!$E$5:$E$204&lt;&gt;"")),IF(A_Corridor!$E$5:$E$204="-","",1)),"")</f>
        <v/>
      </c>
      <c r="G284" s="182" t="str">
        <f>IFERROR(LOOKUP(2,1/((A_Corridor!$A$5:$A$204&lt;&gt;"")*(A_Corridor!$A$5:$A$204&lt;=$B284)*(A_Corridor!$B$5:$B$204&gt;$B284)*(A_Corridor!$E$5:$E$204&lt;&gt;"")),IF(A_Corridor!$E$5:$E$204="-","",A_Corridor!$E$5:$E$204)),"")</f>
        <v/>
      </c>
      <c r="H284" s="182" t="str">
        <f>IFERROR(LOOKUP(2,1/((D_Points!$A$5:$A$204&lt;&gt;"")*(D_Points!$A$5:$A$204&gt;=$B284)*(D_Points!$A$5:$A$204&lt;$B284+P_Interval)*(UPPER(TRIM(D_Points!$B$5:$B$204))="GULLY")*(D_Points!$H$5:$H$204&lt;&gt;"")),D_Points!$H$5:$H$204),"")</f>
        <v/>
      </c>
      <c r="I284" s="181" t="str">
        <f>IFERROR(LOOKUP(2,1/((A_Corridor!$A$5:$A$204&lt;&gt;"")*(A_Corridor!$A$5:$A$204&lt;=$B284)*(A_Corridor!$B$5:$B$204&gt;$B284)*(A_Corridor!$F$5:$F$204&lt;&gt;"")),IF(A_Corridor!$F$5:$F$204="-","",1)),"")</f>
        <v/>
      </c>
      <c r="J284" s="182" t="str">
        <f>IFERROR(LOOKUP(2,1/((A_Corridor!$A$5:$A$204&lt;&gt;"")*(A_Corridor!$A$5:$A$204&lt;=$B284)*(A_Corridor!$B$5:$B$204&gt;$B284)*(A_Corridor!$F$5:$F$204&lt;&gt;"")),IF(A_Corridor!$F$5:$F$204="-","",A_Corridor!$F$5:$F$204)),"")</f>
        <v/>
      </c>
      <c r="K284" s="182" t="str">
        <f>IFERROR(LOOKUP(2,1/((A_Corridor!$A$5:$A$204&lt;&gt;"")*(A_Corridor!$A$5:$A$204&lt;=$B284)*(A_Corridor!$B$5:$B$204&gt;$B284)*(A_Corridor!$G$5:$G$204&lt;&gt;"")),IF(A_Corridor!$G$5:$G$204="-","",A_Corridor!$G$5:$G$204)),"")</f>
        <v/>
      </c>
      <c r="L284" s="181" t="str">
        <f>IFERROR(LOOKUP(2,1/((A_Corridor!$A$5:$A$204&lt;&gt;"")*(A_Corridor!$A$5:$A$204&lt;=$B284)*(A_Corridor!$B$5:$B$204&gt;$B284)*(A_Corridor!$H$5:$H$204&lt;&gt;"")),IF(A_Corridor!$H$5:$H$204="-","",1)),"")</f>
        <v/>
      </c>
      <c r="M284" s="182" t="str">
        <f>IFERROR(LOOKUP(2,1/((A_Corridor!$A$5:$A$204&lt;&gt;"")*(A_Corridor!$A$5:$A$204&lt;=$B284)*(A_Corridor!$B$5:$B$204&gt;$B284)*(A_Corridor!$H$5:$H$204&lt;&gt;"")),IF(A_Corridor!$H$5:$H$204="-","",A_Corridor!$H$5:$H$204)),"")</f>
        <v/>
      </c>
      <c r="N284" s="182" t="str">
        <f>IFERROR(LOOKUP(2,1/((A_Corridor!$A$5:$A$204&lt;&gt;"")*(A_Corridor!$A$5:$A$204&lt;=$B284)*(A_Corridor!$B$5:$B$204&gt;$B284)*(A_Corridor!$I$5:$I$204&lt;&gt;"")),IF(A_Corridor!$I$5:$I$204="-","",A_Corridor!$I$5:$I$204)),"")</f>
        <v/>
      </c>
      <c r="O284" s="182" t="str">
        <f>IFERROR(LOOKUP(2,1/((D_Points!$A$5:$A$204&lt;&gt;"")*(D_Points!$A$5:$A$204&gt;=$B284)*(D_Points!$A$5:$A$204&lt;$B284+P_Interval)*(UPPER(TRIM(D_Points!$B$5:$B$204))="PITCHING")*(D_Points!$H$5:$H$204&lt;&gt;"")),D_Points!$H$5:$H$204),"")</f>
        <v/>
      </c>
      <c r="P284" s="181" t="str">
        <f>IFERROR(LOOKUP(2,1/((B_Drainage!$A$5:$A$204&lt;&gt;"")*(B_Drainage!$A$5:$A$204&lt;=$B284)*(B_Drainage!$B$5:$B$204&gt;$B284)*(B_Drainage!$C$5:$C$204&lt;&gt;"")),IF(B_Drainage!$C$5:$C$204="-","",UPPER(B_Drainage!$C$5:$C$204))),"")</f>
        <v/>
      </c>
      <c r="Q284" s="181" t="str">
        <f>IFERROR(LOOKUP(2,1/((B_Drainage!$A$5:$A$204&lt;&gt;"")*(B_Drainage!$A$5:$A$204&lt;=$B284)*(B_Drainage!$B$5:$B$204&gt;$B284)*(B_Drainage!$D$5:$D$204&lt;&gt;"")),IF(B_Drainage!$D$5:$D$204="-","",UPPER(B_Drainage!$D$5:$D$204))),"")</f>
        <v/>
      </c>
      <c r="R284" s="182" t="str">
        <f>IFERROR(LOOKUP(2,1/((D_Points!$A$5:$A$204&lt;&gt;"")*(D_Points!$A$5:$A$204&gt;=$B284)*(D_Points!$A$5:$A$204&lt;$B284+P_Interval)*(RIGHT(UPPER(TRIM(D_Points!$B$5:$B$204)),8)="_CULVERT")),IF(LEFT(UPPER(TRIM(D_Points!$B$5:$B$204)),2)="EX",1,IF(LEFT(UPPER(TRIM(D_Points!$B$5:$B$204)),2)="PR",2,3))),"")</f>
        <v/>
      </c>
      <c r="S284" s="182" t="str">
        <f>IFERROR(LOOKUP(2,1/((D_Points!$A$5:$A$204&lt;&gt;"")*(D_Points!$A$5:$A$204&gt;=$B284)*(D_Points!$A$5:$A$204&lt;$B284+P_Interval)*(RIGHT(UPPER(TRIM(D_Points!$B$5:$B$204)),7)="_BRIDGE")),IF(LEFT(UPPER(TRIM(D_Points!$B$5:$B$204)),2)="EX",1,IF(LEFT(UPPER(TRIM(D_Points!$B$5:$B$204)),2)="PR",2,2))),"")</f>
        <v/>
      </c>
      <c r="T284" s="181" t="str">
        <f>IFERROR(LOOKUP(2,1/((B_Drainage!$A$5:$A$204&lt;&gt;"")*(B_Drainage!$A$5:$A$204&lt;=$B284)*(B_Drainage!$B$5:$B$204&gt;$B284)*(B_Drainage!$E$5:$E$204&lt;&gt;"")),IF(B_Drainage!$E$5:$E$204="-","",1)),"")</f>
        <v/>
      </c>
      <c r="U284" s="181" t="str">
        <f>IFERROR(LOOKUP(2,1/((B_Drainage!$A$5:$A$204&lt;&gt;"")*(B_Drainage!$A$5:$A$204&lt;=$B284)*(B_Drainage!$B$5:$B$204&gt;$B284)*(B_Drainage!$E$5:$E$204&lt;&gt;"")),IF(B_Drainage!$E$5:$E$204="-","",B_Drainage!$E$5:$E$204)),"")</f>
        <v/>
      </c>
      <c r="V284" s="181" t="str">
        <f>IFERROR(LOOKUP(2,1/((B_Drainage!$A$5:$A$204&lt;&gt;"")*(B_Drainage!$A$5:$A$204&lt;=$B284)*(B_Drainage!$B$5:$B$204&gt;$B284)*(B_Drainage!$F$5:$F$204&lt;&gt;"")),IF(B_Drainage!$F$5:$F$204="-","",1)),"")</f>
        <v/>
      </c>
      <c r="W284" s="181" t="str">
        <f>IFERROR(LOOKUP(2,1/((B_Drainage!$A$5:$A$204&lt;&gt;"")*(B_Drainage!$A$5:$A$204&lt;=$B284)*(B_Drainage!$B$5:$B$204&gt;$B284)*(B_Drainage!$F$5:$F$204&lt;&gt;"")),IF(B_Drainage!$F$5:$F$204="-","",B_Drainage!$F$5:$F$204)),"")</f>
        <v/>
      </c>
      <c r="X284" s="181" t="str">
        <f>IFERROR(LOOKUP(2,1/((B_Drainage!$A$5:$A$204&lt;&gt;"")*(B_Drainage!$A$5:$A$204&lt;=$B284)*(B_Drainage!$B$5:$B$204&gt;$B284)*(B_Drainage!$G$5:$G$204&lt;&gt;"")),IF(UPPER(B_Drainage!$G$5:$G$204)="Y",1,"")),"")</f>
        <v/>
      </c>
      <c r="Y284" s="181" t="str">
        <f>IFERROR(LOOKUP(2,1/((B_Drainage!$A$5:$A$204&lt;&gt;"")*(B_Drainage!$A$5:$A$204&lt;=$B284)*(B_Drainage!$B$5:$B$204&gt;$B284)*(B_Drainage!$H$5:$H$204&lt;&gt;"")),IF(UPPER(B_Drainage!$H$5:$H$204)="Y",1,"")),"")</f>
        <v/>
      </c>
      <c r="Z284" s="181" t="str">
        <f>IFERROR(LOOKUP(2,1/((B_Drainage!$A$5:$A$204&lt;&gt;"")*(B_Drainage!$A$5:$A$204&lt;=$B284)*(B_Drainage!$B$5:$B$204&gt;$B284)*(B_Drainage!$I$5:$I$204&lt;&gt;"")),IF(UPPER(B_Drainage!$I$5:$I$204)="Y",1,"")),"")</f>
        <v/>
      </c>
      <c r="AA284" s="181" t="str">
        <f>IFERROR(LOOKUP(2,1/((B_Drainage!$A$5:$A$204&lt;&gt;"")*(B_Drainage!$A$5:$A$204&lt;=$B284)*(B_Drainage!$B$5:$B$204&gt;$B284)*(B_Drainage!$J$5:$J$204&lt;&gt;"")),IF(UPPER(B_Drainage!$J$5:$J$204)="Y",1,"")),"")</f>
        <v/>
      </c>
      <c r="AB284" s="182" t="str">
        <f>IFERROR(LOOKUP(2,1/((B_Drainage!$A$5:$A$204&lt;&gt;"")*(B_Drainage!$A$5:$A$204&lt;=$B284)*(B_Drainage!$B$5:$B$204&gt;$B284)*(B_Drainage!$K$5:$K$204&lt;&gt;"")),IF(B_Drainage!$K$5:$K$204="-","",B_Drainage!$K$5:$K$204)),"")</f>
        <v/>
      </c>
      <c r="AC284" s="182" t="str">
        <f>IFERROR(LOOKUP(2,1/((B_Drainage!$A$5:$A$204&lt;&gt;"")*(B_Drainage!$A$5:$A$204&lt;=$B284)*(B_Drainage!$B$5:$B$204&gt;$B284)*(B_Drainage!$L$5:$L$204&lt;&gt;"")),IF(B_Drainage!$L$5:$L$204="-","",B_Drainage!$L$5:$L$204)),"")</f>
        <v/>
      </c>
      <c r="AD284" s="182" t="str">
        <f>IFERROR(LOOKUP(2,1/((D_Points!$A$5:$A$204&lt;&gt;"")*(D_Points!$A$5:$A$204&gt;=$B284)*(D_Points!$A$5:$A$204&lt;$B284+P_Interval)*(UPPER(TRIM(D_Points!$B$5:$B$204))="TURNOUT_L")*(D_Points!$H$5:$H$204&lt;&gt;"")),D_Points!$H$5:$H$204),"")</f>
        <v/>
      </c>
      <c r="AE284" s="182" t="str">
        <f>IFERROR(LOOKUP(2,1/((D_Points!$A$5:$A$204&lt;&gt;"")*(D_Points!$A$5:$A$204&gt;=$B284)*(D_Points!$A$5:$A$204&lt;$B284+P_Interval)*(UPPER(TRIM(D_Points!$B$5:$B$204))="TURNOUT_R")*(D_Points!$H$5:$H$204&lt;&gt;"")),D_Points!$H$5:$H$204),"")</f>
        <v/>
      </c>
      <c r="AF284" s="181" t="str">
        <f>IFERROR(LOOKUP(2,1/((B_Drainage!$A$5:$A$204&lt;&gt;"")*(B_Drainage!$A$5:$A$204&lt;=$B284)*(B_Drainage!$B$5:$B$204&gt;$B284)*(B_Drainage!$M$5:$M$204&lt;&gt;"")),IF(UPPER(B_Drainage!$M$5:$M$204)="Y",1,"")),"")</f>
        <v/>
      </c>
      <c r="AG284" s="181" t="str">
        <f>IFERROR(LOOKUP(2,1/((B_Drainage!$A$5:$A$204&lt;&gt;"")*(B_Drainage!$A$5:$A$204&lt;=$B284)*(B_Drainage!$B$5:$B$204&gt;$B284)*(B_Drainage!$N$5:$N$204&lt;&gt;"")),IF(UPPER(B_Drainage!$N$5:$N$204)="Y",1,"")),"")</f>
        <v/>
      </c>
      <c r="AH284" s="181" t="str">
        <f t="shared" si="32"/>
        <v/>
      </c>
      <c r="AI284" s="181" t="str">
        <f t="shared" si="33"/>
        <v/>
      </c>
      <c r="AJ284" s="181" t="str">
        <f t="shared" si="34"/>
        <v/>
      </c>
      <c r="AK284" s="181" t="str">
        <f t="shared" si="35"/>
        <v/>
      </c>
      <c r="AL284" s="181" t="str">
        <f t="shared" si="36"/>
        <v/>
      </c>
      <c r="AM284" s="181" t="str">
        <f t="shared" si="37"/>
        <v/>
      </c>
      <c r="AN284" s="181" t="str">
        <f t="shared" si="38"/>
        <v/>
      </c>
      <c r="AO284" s="192" t="str">
        <f t="shared" si="39"/>
        <v/>
      </c>
      <c r="AQ284" t="str">
        <f>IFERROR(LOOKUP(2,1/((C_Pavement!$A$5:$A$204&lt;&gt;"")*(C_Pavement!$A$5:$A$204&lt;=$B284)*(C_Pavement!$B$5:$B$204&gt;$B284)*(C_Pavement!$C$5:$C$204&lt;&gt;"")),ROW(C_Pavement!$C$5:$C$204)-4),"")</f>
        <v/>
      </c>
      <c r="AR284" t="str">
        <f>IF($AQ284="","",UPPER(TRIM(INDEX(C_Pavement!$C$5:$C$204,$AQ284))))</f>
        <v/>
      </c>
      <c r="AS284" t="str">
        <f>IF($AR284="","",IFERROR(MATCH($AR284,E_Rules!$A$5:$A$9,0),""))</f>
        <v/>
      </c>
      <c r="AT284" t="str">
        <f>IF($AQ284="","",IF(INDEX(C_Pavement!$D$5:$D$204,$AQ284)&lt;&gt;"",UPPER(TRIM(INDEX(C_Pavement!$D$5:$D$204,$AQ284))),IF($AS284="","",INDEX(E_Rules!$C$5:$C$9,$AS284))))</f>
        <v/>
      </c>
      <c r="AU284" t="str">
        <f>IF($AQ284="","",IF(INDEX(C_Pavement!$E$5:$E$204,$AQ284)&lt;&gt;"",IF(INDEX(C_Pavement!$E$5:$E$204,$AQ284)="-","",INDEX(C_Pavement!$E$5:$E$204,$AQ284)),IF($AS284="","",INDEX(E_Rules!$D$5:$D$9,$AS284))))</f>
        <v/>
      </c>
      <c r="AV284" t="str">
        <f>IF($AQ284="","",IF(INDEX(C_Pavement!$F$5:$F$204,$AQ284)&lt;&gt;"",IF(INDEX(C_Pavement!$F$5:$F$204,$AQ284)="-","",INDEX(C_Pavement!$F$5:$F$204,$AQ284)),IF($AS284="","",INDEX(E_Rules!$E$5:$E$9,$AS284))))</f>
        <v/>
      </c>
      <c r="AW284" t="str">
        <f>IF($AQ284="","",IF(INDEX(C_Pavement!$G$5:$G$204,$AQ284)&lt;&gt;"",IF(INDEX(C_Pavement!$G$5:$G$204,$AQ284)="-","",INDEX(C_Pavement!$G$5:$G$204,$AQ284)),IF($AS284="","",INDEX(E_Rules!$F$5:$F$9,$AS284))))</f>
        <v/>
      </c>
      <c r="AX284" t="str">
        <f>IF($AQ284="","",IF(INDEX(C_Pavement!$H$5:$H$204,$AQ284)&lt;&gt;"",IF(INDEX(C_Pavement!$H$5:$H$204,$AQ284)="-","",INDEX(C_Pavement!$H$5:$H$204,$AQ284)),IF($AS284="","",INDEX(E_Rules!$G$5:$G$9,$AS284))))</f>
        <v/>
      </c>
      <c r="AY284" t="str">
        <f>IF($AQ284="","",IF(INDEX(C_Pavement!$I$5:$I$204,$AQ284)&lt;&gt;"",IF(INDEX(C_Pavement!$I$5:$I$204,$AQ284)="-","",INDEX(C_Pavement!$I$5:$I$204,$AQ284)),IF($AS284="","",INDEX(E_Rules!$H$5:$H$9,$AS284))))</f>
        <v/>
      </c>
    </row>
    <row r="285" spans="1:51" ht="15.75" customHeight="1" x14ac:dyDescent="0.3">
      <c r="A285" s="189">
        <v>280</v>
      </c>
      <c r="B285" s="180">
        <v>13950</v>
      </c>
      <c r="C285" s="180" t="s">
        <v>591</v>
      </c>
      <c r="D285" s="181" t="str">
        <f>IFERROR(LOOKUP(2,1/((A_Corridor!$A$5:$A$204&lt;&gt;"")*(A_Corridor!$A$5:$A$204&lt;=$B285)*(A_Corridor!$B$5:$B$204&gt;$B285)*(A_Corridor!$C$5:$C$204&lt;&gt;"")),IF(UPPER(A_Corridor!$C$5:$C$204)="Y",1,"")),"")</f>
        <v/>
      </c>
      <c r="E285" s="181" t="str">
        <f>IFERROR(LOOKUP(2,1/((A_Corridor!$A$5:$A$204&lt;&gt;"")*(A_Corridor!$A$5:$A$204&lt;=$B285)*(A_Corridor!$B$5:$B$204&gt;$B285)*(A_Corridor!$D$5:$D$204&lt;&gt;"")),IF(A_Corridor!$D$5:$D$204="-","",UPPER(A_Corridor!$D$5:$D$204))),"")</f>
        <v/>
      </c>
      <c r="F285" s="181" t="str">
        <f>IFERROR(LOOKUP(2,1/((A_Corridor!$A$5:$A$204&lt;&gt;"")*(A_Corridor!$A$5:$A$204&lt;=$B285)*(A_Corridor!$B$5:$B$204&gt;$B285)*(A_Corridor!$E$5:$E$204&lt;&gt;"")),IF(A_Corridor!$E$5:$E$204="-","",1)),"")</f>
        <v/>
      </c>
      <c r="G285" s="182" t="str">
        <f>IFERROR(LOOKUP(2,1/((A_Corridor!$A$5:$A$204&lt;&gt;"")*(A_Corridor!$A$5:$A$204&lt;=$B285)*(A_Corridor!$B$5:$B$204&gt;$B285)*(A_Corridor!$E$5:$E$204&lt;&gt;"")),IF(A_Corridor!$E$5:$E$204="-","",A_Corridor!$E$5:$E$204)),"")</f>
        <v/>
      </c>
      <c r="H285" s="182" t="str">
        <f>IFERROR(LOOKUP(2,1/((D_Points!$A$5:$A$204&lt;&gt;"")*(D_Points!$A$5:$A$204&gt;=$B285)*(D_Points!$A$5:$A$204&lt;$B285+P_Interval)*(UPPER(TRIM(D_Points!$B$5:$B$204))="GULLY")*(D_Points!$H$5:$H$204&lt;&gt;"")),D_Points!$H$5:$H$204),"")</f>
        <v/>
      </c>
      <c r="I285" s="181" t="str">
        <f>IFERROR(LOOKUP(2,1/((A_Corridor!$A$5:$A$204&lt;&gt;"")*(A_Corridor!$A$5:$A$204&lt;=$B285)*(A_Corridor!$B$5:$B$204&gt;$B285)*(A_Corridor!$F$5:$F$204&lt;&gt;"")),IF(A_Corridor!$F$5:$F$204="-","",1)),"")</f>
        <v/>
      </c>
      <c r="J285" s="182" t="str">
        <f>IFERROR(LOOKUP(2,1/((A_Corridor!$A$5:$A$204&lt;&gt;"")*(A_Corridor!$A$5:$A$204&lt;=$B285)*(A_Corridor!$B$5:$B$204&gt;$B285)*(A_Corridor!$F$5:$F$204&lt;&gt;"")),IF(A_Corridor!$F$5:$F$204="-","",A_Corridor!$F$5:$F$204)),"")</f>
        <v/>
      </c>
      <c r="K285" s="182" t="str">
        <f>IFERROR(LOOKUP(2,1/((A_Corridor!$A$5:$A$204&lt;&gt;"")*(A_Corridor!$A$5:$A$204&lt;=$B285)*(A_Corridor!$B$5:$B$204&gt;$B285)*(A_Corridor!$G$5:$G$204&lt;&gt;"")),IF(A_Corridor!$G$5:$G$204="-","",A_Corridor!$G$5:$G$204)),"")</f>
        <v/>
      </c>
      <c r="L285" s="181" t="str">
        <f>IFERROR(LOOKUP(2,1/((A_Corridor!$A$5:$A$204&lt;&gt;"")*(A_Corridor!$A$5:$A$204&lt;=$B285)*(A_Corridor!$B$5:$B$204&gt;$B285)*(A_Corridor!$H$5:$H$204&lt;&gt;"")),IF(A_Corridor!$H$5:$H$204="-","",1)),"")</f>
        <v/>
      </c>
      <c r="M285" s="182" t="str">
        <f>IFERROR(LOOKUP(2,1/((A_Corridor!$A$5:$A$204&lt;&gt;"")*(A_Corridor!$A$5:$A$204&lt;=$B285)*(A_Corridor!$B$5:$B$204&gt;$B285)*(A_Corridor!$H$5:$H$204&lt;&gt;"")),IF(A_Corridor!$H$5:$H$204="-","",A_Corridor!$H$5:$H$204)),"")</f>
        <v/>
      </c>
      <c r="N285" s="182" t="str">
        <f>IFERROR(LOOKUP(2,1/((A_Corridor!$A$5:$A$204&lt;&gt;"")*(A_Corridor!$A$5:$A$204&lt;=$B285)*(A_Corridor!$B$5:$B$204&gt;$B285)*(A_Corridor!$I$5:$I$204&lt;&gt;"")),IF(A_Corridor!$I$5:$I$204="-","",A_Corridor!$I$5:$I$204)),"")</f>
        <v/>
      </c>
      <c r="O285" s="182" t="str">
        <f>IFERROR(LOOKUP(2,1/((D_Points!$A$5:$A$204&lt;&gt;"")*(D_Points!$A$5:$A$204&gt;=$B285)*(D_Points!$A$5:$A$204&lt;$B285+P_Interval)*(UPPER(TRIM(D_Points!$B$5:$B$204))="PITCHING")*(D_Points!$H$5:$H$204&lt;&gt;"")),D_Points!$H$5:$H$204),"")</f>
        <v/>
      </c>
      <c r="P285" s="181" t="str">
        <f>IFERROR(LOOKUP(2,1/((B_Drainage!$A$5:$A$204&lt;&gt;"")*(B_Drainage!$A$5:$A$204&lt;=$B285)*(B_Drainage!$B$5:$B$204&gt;$B285)*(B_Drainage!$C$5:$C$204&lt;&gt;"")),IF(B_Drainage!$C$5:$C$204="-","",UPPER(B_Drainage!$C$5:$C$204))),"")</f>
        <v/>
      </c>
      <c r="Q285" s="181" t="str">
        <f>IFERROR(LOOKUP(2,1/((B_Drainage!$A$5:$A$204&lt;&gt;"")*(B_Drainage!$A$5:$A$204&lt;=$B285)*(B_Drainage!$B$5:$B$204&gt;$B285)*(B_Drainage!$D$5:$D$204&lt;&gt;"")),IF(B_Drainage!$D$5:$D$204="-","",UPPER(B_Drainage!$D$5:$D$204))),"")</f>
        <v/>
      </c>
      <c r="R285" s="182" t="str">
        <f>IFERROR(LOOKUP(2,1/((D_Points!$A$5:$A$204&lt;&gt;"")*(D_Points!$A$5:$A$204&gt;=$B285)*(D_Points!$A$5:$A$204&lt;$B285+P_Interval)*(RIGHT(UPPER(TRIM(D_Points!$B$5:$B$204)),8)="_CULVERT")),IF(LEFT(UPPER(TRIM(D_Points!$B$5:$B$204)),2)="EX",1,IF(LEFT(UPPER(TRIM(D_Points!$B$5:$B$204)),2)="PR",2,3))),"")</f>
        <v/>
      </c>
      <c r="S285" s="182" t="str">
        <f>IFERROR(LOOKUP(2,1/((D_Points!$A$5:$A$204&lt;&gt;"")*(D_Points!$A$5:$A$204&gt;=$B285)*(D_Points!$A$5:$A$204&lt;$B285+P_Interval)*(RIGHT(UPPER(TRIM(D_Points!$B$5:$B$204)),7)="_BRIDGE")),IF(LEFT(UPPER(TRIM(D_Points!$B$5:$B$204)),2)="EX",1,IF(LEFT(UPPER(TRIM(D_Points!$B$5:$B$204)),2)="PR",2,2))),"")</f>
        <v/>
      </c>
      <c r="T285" s="181" t="str">
        <f>IFERROR(LOOKUP(2,1/((B_Drainage!$A$5:$A$204&lt;&gt;"")*(B_Drainage!$A$5:$A$204&lt;=$B285)*(B_Drainage!$B$5:$B$204&gt;$B285)*(B_Drainage!$E$5:$E$204&lt;&gt;"")),IF(B_Drainage!$E$5:$E$204="-","",1)),"")</f>
        <v/>
      </c>
      <c r="U285" s="181" t="str">
        <f>IFERROR(LOOKUP(2,1/((B_Drainage!$A$5:$A$204&lt;&gt;"")*(B_Drainage!$A$5:$A$204&lt;=$B285)*(B_Drainage!$B$5:$B$204&gt;$B285)*(B_Drainage!$E$5:$E$204&lt;&gt;"")),IF(B_Drainage!$E$5:$E$204="-","",B_Drainage!$E$5:$E$204)),"")</f>
        <v/>
      </c>
      <c r="V285" s="181" t="str">
        <f>IFERROR(LOOKUP(2,1/((B_Drainage!$A$5:$A$204&lt;&gt;"")*(B_Drainage!$A$5:$A$204&lt;=$B285)*(B_Drainage!$B$5:$B$204&gt;$B285)*(B_Drainage!$F$5:$F$204&lt;&gt;"")),IF(B_Drainage!$F$5:$F$204="-","",1)),"")</f>
        <v/>
      </c>
      <c r="W285" s="181" t="str">
        <f>IFERROR(LOOKUP(2,1/((B_Drainage!$A$5:$A$204&lt;&gt;"")*(B_Drainage!$A$5:$A$204&lt;=$B285)*(B_Drainage!$B$5:$B$204&gt;$B285)*(B_Drainage!$F$5:$F$204&lt;&gt;"")),IF(B_Drainage!$F$5:$F$204="-","",B_Drainage!$F$5:$F$204)),"")</f>
        <v/>
      </c>
      <c r="X285" s="181" t="str">
        <f>IFERROR(LOOKUP(2,1/((B_Drainage!$A$5:$A$204&lt;&gt;"")*(B_Drainage!$A$5:$A$204&lt;=$B285)*(B_Drainage!$B$5:$B$204&gt;$B285)*(B_Drainage!$G$5:$G$204&lt;&gt;"")),IF(UPPER(B_Drainage!$G$5:$G$204)="Y",1,"")),"")</f>
        <v/>
      </c>
      <c r="Y285" s="181" t="str">
        <f>IFERROR(LOOKUP(2,1/((B_Drainage!$A$5:$A$204&lt;&gt;"")*(B_Drainage!$A$5:$A$204&lt;=$B285)*(B_Drainage!$B$5:$B$204&gt;$B285)*(B_Drainage!$H$5:$H$204&lt;&gt;"")),IF(UPPER(B_Drainage!$H$5:$H$204)="Y",1,"")),"")</f>
        <v/>
      </c>
      <c r="Z285" s="181" t="str">
        <f>IFERROR(LOOKUP(2,1/((B_Drainage!$A$5:$A$204&lt;&gt;"")*(B_Drainage!$A$5:$A$204&lt;=$B285)*(B_Drainage!$B$5:$B$204&gt;$B285)*(B_Drainage!$I$5:$I$204&lt;&gt;"")),IF(UPPER(B_Drainage!$I$5:$I$204)="Y",1,"")),"")</f>
        <v/>
      </c>
      <c r="AA285" s="181" t="str">
        <f>IFERROR(LOOKUP(2,1/((B_Drainage!$A$5:$A$204&lt;&gt;"")*(B_Drainage!$A$5:$A$204&lt;=$B285)*(B_Drainage!$B$5:$B$204&gt;$B285)*(B_Drainage!$J$5:$J$204&lt;&gt;"")),IF(UPPER(B_Drainage!$J$5:$J$204)="Y",1,"")),"")</f>
        <v/>
      </c>
      <c r="AB285" s="182" t="str">
        <f>IFERROR(LOOKUP(2,1/((B_Drainage!$A$5:$A$204&lt;&gt;"")*(B_Drainage!$A$5:$A$204&lt;=$B285)*(B_Drainage!$B$5:$B$204&gt;$B285)*(B_Drainage!$K$5:$K$204&lt;&gt;"")),IF(B_Drainage!$K$5:$K$204="-","",B_Drainage!$K$5:$K$204)),"")</f>
        <v/>
      </c>
      <c r="AC285" s="182" t="str">
        <f>IFERROR(LOOKUP(2,1/((B_Drainage!$A$5:$A$204&lt;&gt;"")*(B_Drainage!$A$5:$A$204&lt;=$B285)*(B_Drainage!$B$5:$B$204&gt;$B285)*(B_Drainage!$L$5:$L$204&lt;&gt;"")),IF(B_Drainage!$L$5:$L$204="-","",B_Drainage!$L$5:$L$204)),"")</f>
        <v/>
      </c>
      <c r="AD285" s="182" t="str">
        <f>IFERROR(LOOKUP(2,1/((D_Points!$A$5:$A$204&lt;&gt;"")*(D_Points!$A$5:$A$204&gt;=$B285)*(D_Points!$A$5:$A$204&lt;$B285+P_Interval)*(UPPER(TRIM(D_Points!$B$5:$B$204))="TURNOUT_L")*(D_Points!$H$5:$H$204&lt;&gt;"")),D_Points!$H$5:$H$204),"")</f>
        <v/>
      </c>
      <c r="AE285" s="182" t="str">
        <f>IFERROR(LOOKUP(2,1/((D_Points!$A$5:$A$204&lt;&gt;"")*(D_Points!$A$5:$A$204&gt;=$B285)*(D_Points!$A$5:$A$204&lt;$B285+P_Interval)*(UPPER(TRIM(D_Points!$B$5:$B$204))="TURNOUT_R")*(D_Points!$H$5:$H$204&lt;&gt;"")),D_Points!$H$5:$H$204),"")</f>
        <v/>
      </c>
      <c r="AF285" s="181" t="str">
        <f>IFERROR(LOOKUP(2,1/((B_Drainage!$A$5:$A$204&lt;&gt;"")*(B_Drainage!$A$5:$A$204&lt;=$B285)*(B_Drainage!$B$5:$B$204&gt;$B285)*(B_Drainage!$M$5:$M$204&lt;&gt;"")),IF(UPPER(B_Drainage!$M$5:$M$204)="Y",1,"")),"")</f>
        <v/>
      </c>
      <c r="AG285" s="181" t="str">
        <f>IFERROR(LOOKUP(2,1/((B_Drainage!$A$5:$A$204&lt;&gt;"")*(B_Drainage!$A$5:$A$204&lt;=$B285)*(B_Drainage!$B$5:$B$204&gt;$B285)*(B_Drainage!$N$5:$N$204&lt;&gt;"")),IF(UPPER(B_Drainage!$N$5:$N$204)="Y",1,"")),"")</f>
        <v/>
      </c>
      <c r="AH285" s="181" t="str">
        <f t="shared" si="32"/>
        <v/>
      </c>
      <c r="AI285" s="181" t="str">
        <f t="shared" si="33"/>
        <v/>
      </c>
      <c r="AJ285" s="181" t="str">
        <f t="shared" si="34"/>
        <v/>
      </c>
      <c r="AK285" s="181" t="str">
        <f t="shared" si="35"/>
        <v/>
      </c>
      <c r="AL285" s="181" t="str">
        <f t="shared" si="36"/>
        <v/>
      </c>
      <c r="AM285" s="181" t="str">
        <f t="shared" si="37"/>
        <v/>
      </c>
      <c r="AN285" s="181" t="str">
        <f t="shared" si="38"/>
        <v/>
      </c>
      <c r="AO285" s="192" t="str">
        <f t="shared" si="39"/>
        <v/>
      </c>
      <c r="AQ285" t="str">
        <f>IFERROR(LOOKUP(2,1/((C_Pavement!$A$5:$A$204&lt;&gt;"")*(C_Pavement!$A$5:$A$204&lt;=$B285)*(C_Pavement!$B$5:$B$204&gt;$B285)*(C_Pavement!$C$5:$C$204&lt;&gt;"")),ROW(C_Pavement!$C$5:$C$204)-4),"")</f>
        <v/>
      </c>
      <c r="AR285" t="str">
        <f>IF($AQ285="","",UPPER(TRIM(INDEX(C_Pavement!$C$5:$C$204,$AQ285))))</f>
        <v/>
      </c>
      <c r="AS285" t="str">
        <f>IF($AR285="","",IFERROR(MATCH($AR285,E_Rules!$A$5:$A$9,0),""))</f>
        <v/>
      </c>
      <c r="AT285" t="str">
        <f>IF($AQ285="","",IF(INDEX(C_Pavement!$D$5:$D$204,$AQ285)&lt;&gt;"",UPPER(TRIM(INDEX(C_Pavement!$D$5:$D$204,$AQ285))),IF($AS285="","",INDEX(E_Rules!$C$5:$C$9,$AS285))))</f>
        <v/>
      </c>
      <c r="AU285" t="str">
        <f>IF($AQ285="","",IF(INDEX(C_Pavement!$E$5:$E$204,$AQ285)&lt;&gt;"",IF(INDEX(C_Pavement!$E$5:$E$204,$AQ285)="-","",INDEX(C_Pavement!$E$5:$E$204,$AQ285)),IF($AS285="","",INDEX(E_Rules!$D$5:$D$9,$AS285))))</f>
        <v/>
      </c>
      <c r="AV285" t="str">
        <f>IF($AQ285="","",IF(INDEX(C_Pavement!$F$5:$F$204,$AQ285)&lt;&gt;"",IF(INDEX(C_Pavement!$F$5:$F$204,$AQ285)="-","",INDEX(C_Pavement!$F$5:$F$204,$AQ285)),IF($AS285="","",INDEX(E_Rules!$E$5:$E$9,$AS285))))</f>
        <v/>
      </c>
      <c r="AW285" t="str">
        <f>IF($AQ285="","",IF(INDEX(C_Pavement!$G$5:$G$204,$AQ285)&lt;&gt;"",IF(INDEX(C_Pavement!$G$5:$G$204,$AQ285)="-","",INDEX(C_Pavement!$G$5:$G$204,$AQ285)),IF($AS285="","",INDEX(E_Rules!$F$5:$F$9,$AS285))))</f>
        <v/>
      </c>
      <c r="AX285" t="str">
        <f>IF($AQ285="","",IF(INDEX(C_Pavement!$H$5:$H$204,$AQ285)&lt;&gt;"",IF(INDEX(C_Pavement!$H$5:$H$204,$AQ285)="-","",INDEX(C_Pavement!$H$5:$H$204,$AQ285)),IF($AS285="","",INDEX(E_Rules!$G$5:$G$9,$AS285))))</f>
        <v/>
      </c>
      <c r="AY285" t="str">
        <f>IF($AQ285="","",IF(INDEX(C_Pavement!$I$5:$I$204,$AQ285)&lt;&gt;"",IF(INDEX(C_Pavement!$I$5:$I$204,$AQ285)="-","",INDEX(C_Pavement!$I$5:$I$204,$AQ285)),IF($AS285="","",INDEX(E_Rules!$H$5:$H$9,$AS285))))</f>
        <v/>
      </c>
    </row>
    <row r="286" spans="1:51" ht="15.75" customHeight="1" x14ac:dyDescent="0.3">
      <c r="A286" s="189">
        <v>281</v>
      </c>
      <c r="B286" s="180">
        <v>14000</v>
      </c>
      <c r="C286" s="180" t="s">
        <v>592</v>
      </c>
      <c r="D286" s="181" t="str">
        <f>IFERROR(LOOKUP(2,1/((A_Corridor!$A$5:$A$204&lt;&gt;"")*(A_Corridor!$A$5:$A$204&lt;=$B286)*(A_Corridor!$B$5:$B$204&gt;$B286)*(A_Corridor!$C$5:$C$204&lt;&gt;"")),IF(UPPER(A_Corridor!$C$5:$C$204)="Y",1,"")),"")</f>
        <v/>
      </c>
      <c r="E286" s="181" t="str">
        <f>IFERROR(LOOKUP(2,1/((A_Corridor!$A$5:$A$204&lt;&gt;"")*(A_Corridor!$A$5:$A$204&lt;=$B286)*(A_Corridor!$B$5:$B$204&gt;$B286)*(A_Corridor!$D$5:$D$204&lt;&gt;"")),IF(A_Corridor!$D$5:$D$204="-","",UPPER(A_Corridor!$D$5:$D$204))),"")</f>
        <v/>
      </c>
      <c r="F286" s="181" t="str">
        <f>IFERROR(LOOKUP(2,1/((A_Corridor!$A$5:$A$204&lt;&gt;"")*(A_Corridor!$A$5:$A$204&lt;=$B286)*(A_Corridor!$B$5:$B$204&gt;$B286)*(A_Corridor!$E$5:$E$204&lt;&gt;"")),IF(A_Corridor!$E$5:$E$204="-","",1)),"")</f>
        <v/>
      </c>
      <c r="G286" s="182" t="str">
        <f>IFERROR(LOOKUP(2,1/((A_Corridor!$A$5:$A$204&lt;&gt;"")*(A_Corridor!$A$5:$A$204&lt;=$B286)*(A_Corridor!$B$5:$B$204&gt;$B286)*(A_Corridor!$E$5:$E$204&lt;&gt;"")),IF(A_Corridor!$E$5:$E$204="-","",A_Corridor!$E$5:$E$204)),"")</f>
        <v/>
      </c>
      <c r="H286" s="182" t="str">
        <f>IFERROR(LOOKUP(2,1/((D_Points!$A$5:$A$204&lt;&gt;"")*(D_Points!$A$5:$A$204&gt;=$B286)*(D_Points!$A$5:$A$204&lt;$B286+P_Interval)*(UPPER(TRIM(D_Points!$B$5:$B$204))="GULLY")*(D_Points!$H$5:$H$204&lt;&gt;"")),D_Points!$H$5:$H$204),"")</f>
        <v/>
      </c>
      <c r="I286" s="181" t="str">
        <f>IFERROR(LOOKUP(2,1/((A_Corridor!$A$5:$A$204&lt;&gt;"")*(A_Corridor!$A$5:$A$204&lt;=$B286)*(A_Corridor!$B$5:$B$204&gt;$B286)*(A_Corridor!$F$5:$F$204&lt;&gt;"")),IF(A_Corridor!$F$5:$F$204="-","",1)),"")</f>
        <v/>
      </c>
      <c r="J286" s="182" t="str">
        <f>IFERROR(LOOKUP(2,1/((A_Corridor!$A$5:$A$204&lt;&gt;"")*(A_Corridor!$A$5:$A$204&lt;=$B286)*(A_Corridor!$B$5:$B$204&gt;$B286)*(A_Corridor!$F$5:$F$204&lt;&gt;"")),IF(A_Corridor!$F$5:$F$204="-","",A_Corridor!$F$5:$F$204)),"")</f>
        <v/>
      </c>
      <c r="K286" s="182" t="str">
        <f>IFERROR(LOOKUP(2,1/((A_Corridor!$A$5:$A$204&lt;&gt;"")*(A_Corridor!$A$5:$A$204&lt;=$B286)*(A_Corridor!$B$5:$B$204&gt;$B286)*(A_Corridor!$G$5:$G$204&lt;&gt;"")),IF(A_Corridor!$G$5:$G$204="-","",A_Corridor!$G$5:$G$204)),"")</f>
        <v/>
      </c>
      <c r="L286" s="181" t="str">
        <f>IFERROR(LOOKUP(2,1/((A_Corridor!$A$5:$A$204&lt;&gt;"")*(A_Corridor!$A$5:$A$204&lt;=$B286)*(A_Corridor!$B$5:$B$204&gt;$B286)*(A_Corridor!$H$5:$H$204&lt;&gt;"")),IF(A_Corridor!$H$5:$H$204="-","",1)),"")</f>
        <v/>
      </c>
      <c r="M286" s="182" t="str">
        <f>IFERROR(LOOKUP(2,1/((A_Corridor!$A$5:$A$204&lt;&gt;"")*(A_Corridor!$A$5:$A$204&lt;=$B286)*(A_Corridor!$B$5:$B$204&gt;$B286)*(A_Corridor!$H$5:$H$204&lt;&gt;"")),IF(A_Corridor!$H$5:$H$204="-","",A_Corridor!$H$5:$H$204)),"")</f>
        <v/>
      </c>
      <c r="N286" s="182" t="str">
        <f>IFERROR(LOOKUP(2,1/((A_Corridor!$A$5:$A$204&lt;&gt;"")*(A_Corridor!$A$5:$A$204&lt;=$B286)*(A_Corridor!$B$5:$B$204&gt;$B286)*(A_Corridor!$I$5:$I$204&lt;&gt;"")),IF(A_Corridor!$I$5:$I$204="-","",A_Corridor!$I$5:$I$204)),"")</f>
        <v/>
      </c>
      <c r="O286" s="182" t="str">
        <f>IFERROR(LOOKUP(2,1/((D_Points!$A$5:$A$204&lt;&gt;"")*(D_Points!$A$5:$A$204&gt;=$B286)*(D_Points!$A$5:$A$204&lt;$B286+P_Interval)*(UPPER(TRIM(D_Points!$B$5:$B$204))="PITCHING")*(D_Points!$H$5:$H$204&lt;&gt;"")),D_Points!$H$5:$H$204),"")</f>
        <v/>
      </c>
      <c r="P286" s="181" t="str">
        <f>IFERROR(LOOKUP(2,1/((B_Drainage!$A$5:$A$204&lt;&gt;"")*(B_Drainage!$A$5:$A$204&lt;=$B286)*(B_Drainage!$B$5:$B$204&gt;$B286)*(B_Drainage!$C$5:$C$204&lt;&gt;"")),IF(B_Drainage!$C$5:$C$204="-","",UPPER(B_Drainage!$C$5:$C$204))),"")</f>
        <v/>
      </c>
      <c r="Q286" s="181" t="str">
        <f>IFERROR(LOOKUP(2,1/((B_Drainage!$A$5:$A$204&lt;&gt;"")*(B_Drainage!$A$5:$A$204&lt;=$B286)*(B_Drainage!$B$5:$B$204&gt;$B286)*(B_Drainage!$D$5:$D$204&lt;&gt;"")),IF(B_Drainage!$D$5:$D$204="-","",UPPER(B_Drainage!$D$5:$D$204))),"")</f>
        <v/>
      </c>
      <c r="R286" s="182" t="str">
        <f>IFERROR(LOOKUP(2,1/((D_Points!$A$5:$A$204&lt;&gt;"")*(D_Points!$A$5:$A$204&gt;=$B286)*(D_Points!$A$5:$A$204&lt;$B286+P_Interval)*(RIGHT(UPPER(TRIM(D_Points!$B$5:$B$204)),8)="_CULVERT")),IF(LEFT(UPPER(TRIM(D_Points!$B$5:$B$204)),2)="EX",1,IF(LEFT(UPPER(TRIM(D_Points!$B$5:$B$204)),2)="PR",2,3))),"")</f>
        <v/>
      </c>
      <c r="S286" s="182" t="str">
        <f>IFERROR(LOOKUP(2,1/((D_Points!$A$5:$A$204&lt;&gt;"")*(D_Points!$A$5:$A$204&gt;=$B286)*(D_Points!$A$5:$A$204&lt;$B286+P_Interval)*(RIGHT(UPPER(TRIM(D_Points!$B$5:$B$204)),7)="_BRIDGE")),IF(LEFT(UPPER(TRIM(D_Points!$B$5:$B$204)),2)="EX",1,IF(LEFT(UPPER(TRIM(D_Points!$B$5:$B$204)),2)="PR",2,2))),"")</f>
        <v/>
      </c>
      <c r="T286" s="181" t="str">
        <f>IFERROR(LOOKUP(2,1/((B_Drainage!$A$5:$A$204&lt;&gt;"")*(B_Drainage!$A$5:$A$204&lt;=$B286)*(B_Drainage!$B$5:$B$204&gt;$B286)*(B_Drainage!$E$5:$E$204&lt;&gt;"")),IF(B_Drainage!$E$5:$E$204="-","",1)),"")</f>
        <v/>
      </c>
      <c r="U286" s="181" t="str">
        <f>IFERROR(LOOKUP(2,1/((B_Drainage!$A$5:$A$204&lt;&gt;"")*(B_Drainage!$A$5:$A$204&lt;=$B286)*(B_Drainage!$B$5:$B$204&gt;$B286)*(B_Drainage!$E$5:$E$204&lt;&gt;"")),IF(B_Drainage!$E$5:$E$204="-","",B_Drainage!$E$5:$E$204)),"")</f>
        <v/>
      </c>
      <c r="V286" s="181" t="str">
        <f>IFERROR(LOOKUP(2,1/((B_Drainage!$A$5:$A$204&lt;&gt;"")*(B_Drainage!$A$5:$A$204&lt;=$B286)*(B_Drainage!$B$5:$B$204&gt;$B286)*(B_Drainage!$F$5:$F$204&lt;&gt;"")),IF(B_Drainage!$F$5:$F$204="-","",1)),"")</f>
        <v/>
      </c>
      <c r="W286" s="181" t="str">
        <f>IFERROR(LOOKUP(2,1/((B_Drainage!$A$5:$A$204&lt;&gt;"")*(B_Drainage!$A$5:$A$204&lt;=$B286)*(B_Drainage!$B$5:$B$204&gt;$B286)*(B_Drainage!$F$5:$F$204&lt;&gt;"")),IF(B_Drainage!$F$5:$F$204="-","",B_Drainage!$F$5:$F$204)),"")</f>
        <v/>
      </c>
      <c r="X286" s="181" t="str">
        <f>IFERROR(LOOKUP(2,1/((B_Drainage!$A$5:$A$204&lt;&gt;"")*(B_Drainage!$A$5:$A$204&lt;=$B286)*(B_Drainage!$B$5:$B$204&gt;$B286)*(B_Drainage!$G$5:$G$204&lt;&gt;"")),IF(UPPER(B_Drainage!$G$5:$G$204)="Y",1,"")),"")</f>
        <v/>
      </c>
      <c r="Y286" s="181" t="str">
        <f>IFERROR(LOOKUP(2,1/((B_Drainage!$A$5:$A$204&lt;&gt;"")*(B_Drainage!$A$5:$A$204&lt;=$B286)*(B_Drainage!$B$5:$B$204&gt;$B286)*(B_Drainage!$H$5:$H$204&lt;&gt;"")),IF(UPPER(B_Drainage!$H$5:$H$204)="Y",1,"")),"")</f>
        <v/>
      </c>
      <c r="Z286" s="181" t="str">
        <f>IFERROR(LOOKUP(2,1/((B_Drainage!$A$5:$A$204&lt;&gt;"")*(B_Drainage!$A$5:$A$204&lt;=$B286)*(B_Drainage!$B$5:$B$204&gt;$B286)*(B_Drainage!$I$5:$I$204&lt;&gt;"")),IF(UPPER(B_Drainage!$I$5:$I$204)="Y",1,"")),"")</f>
        <v/>
      </c>
      <c r="AA286" s="181" t="str">
        <f>IFERROR(LOOKUP(2,1/((B_Drainage!$A$5:$A$204&lt;&gt;"")*(B_Drainage!$A$5:$A$204&lt;=$B286)*(B_Drainage!$B$5:$B$204&gt;$B286)*(B_Drainage!$J$5:$J$204&lt;&gt;"")),IF(UPPER(B_Drainage!$J$5:$J$204)="Y",1,"")),"")</f>
        <v/>
      </c>
      <c r="AB286" s="182" t="str">
        <f>IFERROR(LOOKUP(2,1/((B_Drainage!$A$5:$A$204&lt;&gt;"")*(B_Drainage!$A$5:$A$204&lt;=$B286)*(B_Drainage!$B$5:$B$204&gt;$B286)*(B_Drainage!$K$5:$K$204&lt;&gt;"")),IF(B_Drainage!$K$5:$K$204="-","",B_Drainage!$K$5:$K$204)),"")</f>
        <v/>
      </c>
      <c r="AC286" s="182" t="str">
        <f>IFERROR(LOOKUP(2,1/((B_Drainage!$A$5:$A$204&lt;&gt;"")*(B_Drainage!$A$5:$A$204&lt;=$B286)*(B_Drainage!$B$5:$B$204&gt;$B286)*(B_Drainage!$L$5:$L$204&lt;&gt;"")),IF(B_Drainage!$L$5:$L$204="-","",B_Drainage!$L$5:$L$204)),"")</f>
        <v/>
      </c>
      <c r="AD286" s="182" t="str">
        <f>IFERROR(LOOKUP(2,1/((D_Points!$A$5:$A$204&lt;&gt;"")*(D_Points!$A$5:$A$204&gt;=$B286)*(D_Points!$A$5:$A$204&lt;$B286+P_Interval)*(UPPER(TRIM(D_Points!$B$5:$B$204))="TURNOUT_L")*(D_Points!$H$5:$H$204&lt;&gt;"")),D_Points!$H$5:$H$204),"")</f>
        <v/>
      </c>
      <c r="AE286" s="182" t="str">
        <f>IFERROR(LOOKUP(2,1/((D_Points!$A$5:$A$204&lt;&gt;"")*(D_Points!$A$5:$A$204&gt;=$B286)*(D_Points!$A$5:$A$204&lt;$B286+P_Interval)*(UPPER(TRIM(D_Points!$B$5:$B$204))="TURNOUT_R")*(D_Points!$H$5:$H$204&lt;&gt;"")),D_Points!$H$5:$H$204),"")</f>
        <v/>
      </c>
      <c r="AF286" s="181" t="str">
        <f>IFERROR(LOOKUP(2,1/((B_Drainage!$A$5:$A$204&lt;&gt;"")*(B_Drainage!$A$5:$A$204&lt;=$B286)*(B_Drainage!$B$5:$B$204&gt;$B286)*(B_Drainage!$M$5:$M$204&lt;&gt;"")),IF(UPPER(B_Drainage!$M$5:$M$204)="Y",1,"")),"")</f>
        <v/>
      </c>
      <c r="AG286" s="181" t="str">
        <f>IFERROR(LOOKUP(2,1/((B_Drainage!$A$5:$A$204&lt;&gt;"")*(B_Drainage!$A$5:$A$204&lt;=$B286)*(B_Drainage!$B$5:$B$204&gt;$B286)*(B_Drainage!$N$5:$N$204&lt;&gt;"")),IF(UPPER(B_Drainage!$N$5:$N$204)="Y",1,"")),"")</f>
        <v/>
      </c>
      <c r="AH286" s="181" t="str">
        <f t="shared" si="32"/>
        <v/>
      </c>
      <c r="AI286" s="181" t="str">
        <f t="shared" si="33"/>
        <v/>
      </c>
      <c r="AJ286" s="181" t="str">
        <f t="shared" si="34"/>
        <v/>
      </c>
      <c r="AK286" s="181" t="str">
        <f t="shared" si="35"/>
        <v/>
      </c>
      <c r="AL286" s="181" t="str">
        <f t="shared" si="36"/>
        <v/>
      </c>
      <c r="AM286" s="181" t="str">
        <f t="shared" si="37"/>
        <v/>
      </c>
      <c r="AN286" s="181" t="str">
        <f t="shared" si="38"/>
        <v/>
      </c>
      <c r="AO286" s="192" t="str">
        <f t="shared" si="39"/>
        <v/>
      </c>
      <c r="AQ286" t="str">
        <f>IFERROR(LOOKUP(2,1/((C_Pavement!$A$5:$A$204&lt;&gt;"")*(C_Pavement!$A$5:$A$204&lt;=$B286)*(C_Pavement!$B$5:$B$204&gt;$B286)*(C_Pavement!$C$5:$C$204&lt;&gt;"")),ROW(C_Pavement!$C$5:$C$204)-4),"")</f>
        <v/>
      </c>
      <c r="AR286" t="str">
        <f>IF($AQ286="","",UPPER(TRIM(INDEX(C_Pavement!$C$5:$C$204,$AQ286))))</f>
        <v/>
      </c>
      <c r="AS286" t="str">
        <f>IF($AR286="","",IFERROR(MATCH($AR286,E_Rules!$A$5:$A$9,0),""))</f>
        <v/>
      </c>
      <c r="AT286" t="str">
        <f>IF($AQ286="","",IF(INDEX(C_Pavement!$D$5:$D$204,$AQ286)&lt;&gt;"",UPPER(TRIM(INDEX(C_Pavement!$D$5:$D$204,$AQ286))),IF($AS286="","",INDEX(E_Rules!$C$5:$C$9,$AS286))))</f>
        <v/>
      </c>
      <c r="AU286" t="str">
        <f>IF($AQ286="","",IF(INDEX(C_Pavement!$E$5:$E$204,$AQ286)&lt;&gt;"",IF(INDEX(C_Pavement!$E$5:$E$204,$AQ286)="-","",INDEX(C_Pavement!$E$5:$E$204,$AQ286)),IF($AS286="","",INDEX(E_Rules!$D$5:$D$9,$AS286))))</f>
        <v/>
      </c>
      <c r="AV286" t="str">
        <f>IF($AQ286="","",IF(INDEX(C_Pavement!$F$5:$F$204,$AQ286)&lt;&gt;"",IF(INDEX(C_Pavement!$F$5:$F$204,$AQ286)="-","",INDEX(C_Pavement!$F$5:$F$204,$AQ286)),IF($AS286="","",INDEX(E_Rules!$E$5:$E$9,$AS286))))</f>
        <v/>
      </c>
      <c r="AW286" t="str">
        <f>IF($AQ286="","",IF(INDEX(C_Pavement!$G$5:$G$204,$AQ286)&lt;&gt;"",IF(INDEX(C_Pavement!$G$5:$G$204,$AQ286)="-","",INDEX(C_Pavement!$G$5:$G$204,$AQ286)),IF($AS286="","",INDEX(E_Rules!$F$5:$F$9,$AS286))))</f>
        <v/>
      </c>
      <c r="AX286" t="str">
        <f>IF($AQ286="","",IF(INDEX(C_Pavement!$H$5:$H$204,$AQ286)&lt;&gt;"",IF(INDEX(C_Pavement!$H$5:$H$204,$AQ286)="-","",INDEX(C_Pavement!$H$5:$H$204,$AQ286)),IF($AS286="","",INDEX(E_Rules!$G$5:$G$9,$AS286))))</f>
        <v/>
      </c>
      <c r="AY286" t="str">
        <f>IF($AQ286="","",IF(INDEX(C_Pavement!$I$5:$I$204,$AQ286)&lt;&gt;"",IF(INDEX(C_Pavement!$I$5:$I$204,$AQ286)="-","",INDEX(C_Pavement!$I$5:$I$204,$AQ286)),IF($AS286="","",INDEX(E_Rules!$H$5:$H$9,$AS286))))</f>
        <v/>
      </c>
    </row>
    <row r="287" spans="1:51" ht="15.75" customHeight="1" x14ac:dyDescent="0.3">
      <c r="A287" s="189">
        <v>282</v>
      </c>
      <c r="B287" s="180">
        <v>14050</v>
      </c>
      <c r="C287" s="180" t="s">
        <v>593</v>
      </c>
      <c r="D287" s="181" t="str">
        <f>IFERROR(LOOKUP(2,1/((A_Corridor!$A$5:$A$204&lt;&gt;"")*(A_Corridor!$A$5:$A$204&lt;=$B287)*(A_Corridor!$B$5:$B$204&gt;$B287)*(A_Corridor!$C$5:$C$204&lt;&gt;"")),IF(UPPER(A_Corridor!$C$5:$C$204)="Y",1,"")),"")</f>
        <v/>
      </c>
      <c r="E287" s="181" t="str">
        <f>IFERROR(LOOKUP(2,1/((A_Corridor!$A$5:$A$204&lt;&gt;"")*(A_Corridor!$A$5:$A$204&lt;=$B287)*(A_Corridor!$B$5:$B$204&gt;$B287)*(A_Corridor!$D$5:$D$204&lt;&gt;"")),IF(A_Corridor!$D$5:$D$204="-","",UPPER(A_Corridor!$D$5:$D$204))),"")</f>
        <v/>
      </c>
      <c r="F287" s="181" t="str">
        <f>IFERROR(LOOKUP(2,1/((A_Corridor!$A$5:$A$204&lt;&gt;"")*(A_Corridor!$A$5:$A$204&lt;=$B287)*(A_Corridor!$B$5:$B$204&gt;$B287)*(A_Corridor!$E$5:$E$204&lt;&gt;"")),IF(A_Corridor!$E$5:$E$204="-","",1)),"")</f>
        <v/>
      </c>
      <c r="G287" s="182" t="str">
        <f>IFERROR(LOOKUP(2,1/((A_Corridor!$A$5:$A$204&lt;&gt;"")*(A_Corridor!$A$5:$A$204&lt;=$B287)*(A_Corridor!$B$5:$B$204&gt;$B287)*(A_Corridor!$E$5:$E$204&lt;&gt;"")),IF(A_Corridor!$E$5:$E$204="-","",A_Corridor!$E$5:$E$204)),"")</f>
        <v/>
      </c>
      <c r="H287" s="182" t="str">
        <f>IFERROR(LOOKUP(2,1/((D_Points!$A$5:$A$204&lt;&gt;"")*(D_Points!$A$5:$A$204&gt;=$B287)*(D_Points!$A$5:$A$204&lt;$B287+P_Interval)*(UPPER(TRIM(D_Points!$B$5:$B$204))="GULLY")*(D_Points!$H$5:$H$204&lt;&gt;"")),D_Points!$H$5:$H$204),"")</f>
        <v/>
      </c>
      <c r="I287" s="181" t="str">
        <f>IFERROR(LOOKUP(2,1/((A_Corridor!$A$5:$A$204&lt;&gt;"")*(A_Corridor!$A$5:$A$204&lt;=$B287)*(A_Corridor!$B$5:$B$204&gt;$B287)*(A_Corridor!$F$5:$F$204&lt;&gt;"")),IF(A_Corridor!$F$5:$F$204="-","",1)),"")</f>
        <v/>
      </c>
      <c r="J287" s="182" t="str">
        <f>IFERROR(LOOKUP(2,1/((A_Corridor!$A$5:$A$204&lt;&gt;"")*(A_Corridor!$A$5:$A$204&lt;=$B287)*(A_Corridor!$B$5:$B$204&gt;$B287)*(A_Corridor!$F$5:$F$204&lt;&gt;"")),IF(A_Corridor!$F$5:$F$204="-","",A_Corridor!$F$5:$F$204)),"")</f>
        <v/>
      </c>
      <c r="K287" s="182" t="str">
        <f>IFERROR(LOOKUP(2,1/((A_Corridor!$A$5:$A$204&lt;&gt;"")*(A_Corridor!$A$5:$A$204&lt;=$B287)*(A_Corridor!$B$5:$B$204&gt;$B287)*(A_Corridor!$G$5:$G$204&lt;&gt;"")),IF(A_Corridor!$G$5:$G$204="-","",A_Corridor!$G$5:$G$204)),"")</f>
        <v/>
      </c>
      <c r="L287" s="181" t="str">
        <f>IFERROR(LOOKUP(2,1/((A_Corridor!$A$5:$A$204&lt;&gt;"")*(A_Corridor!$A$5:$A$204&lt;=$B287)*(A_Corridor!$B$5:$B$204&gt;$B287)*(A_Corridor!$H$5:$H$204&lt;&gt;"")),IF(A_Corridor!$H$5:$H$204="-","",1)),"")</f>
        <v/>
      </c>
      <c r="M287" s="182" t="str">
        <f>IFERROR(LOOKUP(2,1/((A_Corridor!$A$5:$A$204&lt;&gt;"")*(A_Corridor!$A$5:$A$204&lt;=$B287)*(A_Corridor!$B$5:$B$204&gt;$B287)*(A_Corridor!$H$5:$H$204&lt;&gt;"")),IF(A_Corridor!$H$5:$H$204="-","",A_Corridor!$H$5:$H$204)),"")</f>
        <v/>
      </c>
      <c r="N287" s="182" t="str">
        <f>IFERROR(LOOKUP(2,1/((A_Corridor!$A$5:$A$204&lt;&gt;"")*(A_Corridor!$A$5:$A$204&lt;=$B287)*(A_Corridor!$B$5:$B$204&gt;$B287)*(A_Corridor!$I$5:$I$204&lt;&gt;"")),IF(A_Corridor!$I$5:$I$204="-","",A_Corridor!$I$5:$I$204)),"")</f>
        <v/>
      </c>
      <c r="O287" s="182" t="str">
        <f>IFERROR(LOOKUP(2,1/((D_Points!$A$5:$A$204&lt;&gt;"")*(D_Points!$A$5:$A$204&gt;=$B287)*(D_Points!$A$5:$A$204&lt;$B287+P_Interval)*(UPPER(TRIM(D_Points!$B$5:$B$204))="PITCHING")*(D_Points!$H$5:$H$204&lt;&gt;"")),D_Points!$H$5:$H$204),"")</f>
        <v/>
      </c>
      <c r="P287" s="181" t="str">
        <f>IFERROR(LOOKUP(2,1/((B_Drainage!$A$5:$A$204&lt;&gt;"")*(B_Drainage!$A$5:$A$204&lt;=$B287)*(B_Drainage!$B$5:$B$204&gt;$B287)*(B_Drainage!$C$5:$C$204&lt;&gt;"")),IF(B_Drainage!$C$5:$C$204="-","",UPPER(B_Drainage!$C$5:$C$204))),"")</f>
        <v/>
      </c>
      <c r="Q287" s="181" t="str">
        <f>IFERROR(LOOKUP(2,1/((B_Drainage!$A$5:$A$204&lt;&gt;"")*(B_Drainage!$A$5:$A$204&lt;=$B287)*(B_Drainage!$B$5:$B$204&gt;$B287)*(B_Drainage!$D$5:$D$204&lt;&gt;"")),IF(B_Drainage!$D$5:$D$204="-","",UPPER(B_Drainage!$D$5:$D$204))),"")</f>
        <v/>
      </c>
      <c r="R287" s="182" t="str">
        <f>IFERROR(LOOKUP(2,1/((D_Points!$A$5:$A$204&lt;&gt;"")*(D_Points!$A$5:$A$204&gt;=$B287)*(D_Points!$A$5:$A$204&lt;$B287+P_Interval)*(RIGHT(UPPER(TRIM(D_Points!$B$5:$B$204)),8)="_CULVERT")),IF(LEFT(UPPER(TRIM(D_Points!$B$5:$B$204)),2)="EX",1,IF(LEFT(UPPER(TRIM(D_Points!$B$5:$B$204)),2)="PR",2,3))),"")</f>
        <v/>
      </c>
      <c r="S287" s="182" t="str">
        <f>IFERROR(LOOKUP(2,1/((D_Points!$A$5:$A$204&lt;&gt;"")*(D_Points!$A$5:$A$204&gt;=$B287)*(D_Points!$A$5:$A$204&lt;$B287+P_Interval)*(RIGHT(UPPER(TRIM(D_Points!$B$5:$B$204)),7)="_BRIDGE")),IF(LEFT(UPPER(TRIM(D_Points!$B$5:$B$204)),2)="EX",1,IF(LEFT(UPPER(TRIM(D_Points!$B$5:$B$204)),2)="PR",2,2))),"")</f>
        <v/>
      </c>
      <c r="T287" s="181" t="str">
        <f>IFERROR(LOOKUP(2,1/((B_Drainage!$A$5:$A$204&lt;&gt;"")*(B_Drainage!$A$5:$A$204&lt;=$B287)*(B_Drainage!$B$5:$B$204&gt;$B287)*(B_Drainage!$E$5:$E$204&lt;&gt;"")),IF(B_Drainage!$E$5:$E$204="-","",1)),"")</f>
        <v/>
      </c>
      <c r="U287" s="181" t="str">
        <f>IFERROR(LOOKUP(2,1/((B_Drainage!$A$5:$A$204&lt;&gt;"")*(B_Drainage!$A$5:$A$204&lt;=$B287)*(B_Drainage!$B$5:$B$204&gt;$B287)*(B_Drainage!$E$5:$E$204&lt;&gt;"")),IF(B_Drainage!$E$5:$E$204="-","",B_Drainage!$E$5:$E$204)),"")</f>
        <v/>
      </c>
      <c r="V287" s="181" t="str">
        <f>IFERROR(LOOKUP(2,1/((B_Drainage!$A$5:$A$204&lt;&gt;"")*(B_Drainage!$A$5:$A$204&lt;=$B287)*(B_Drainage!$B$5:$B$204&gt;$B287)*(B_Drainage!$F$5:$F$204&lt;&gt;"")),IF(B_Drainage!$F$5:$F$204="-","",1)),"")</f>
        <v/>
      </c>
      <c r="W287" s="181" t="str">
        <f>IFERROR(LOOKUP(2,1/((B_Drainage!$A$5:$A$204&lt;&gt;"")*(B_Drainage!$A$5:$A$204&lt;=$B287)*(B_Drainage!$B$5:$B$204&gt;$B287)*(B_Drainage!$F$5:$F$204&lt;&gt;"")),IF(B_Drainage!$F$5:$F$204="-","",B_Drainage!$F$5:$F$204)),"")</f>
        <v/>
      </c>
      <c r="X287" s="181" t="str">
        <f>IFERROR(LOOKUP(2,1/((B_Drainage!$A$5:$A$204&lt;&gt;"")*(B_Drainage!$A$5:$A$204&lt;=$B287)*(B_Drainage!$B$5:$B$204&gt;$B287)*(B_Drainage!$G$5:$G$204&lt;&gt;"")),IF(UPPER(B_Drainage!$G$5:$G$204)="Y",1,"")),"")</f>
        <v/>
      </c>
      <c r="Y287" s="181" t="str">
        <f>IFERROR(LOOKUP(2,1/((B_Drainage!$A$5:$A$204&lt;&gt;"")*(B_Drainage!$A$5:$A$204&lt;=$B287)*(B_Drainage!$B$5:$B$204&gt;$B287)*(B_Drainage!$H$5:$H$204&lt;&gt;"")),IF(UPPER(B_Drainage!$H$5:$H$204)="Y",1,"")),"")</f>
        <v/>
      </c>
      <c r="Z287" s="181" t="str">
        <f>IFERROR(LOOKUP(2,1/((B_Drainage!$A$5:$A$204&lt;&gt;"")*(B_Drainage!$A$5:$A$204&lt;=$B287)*(B_Drainage!$B$5:$B$204&gt;$B287)*(B_Drainage!$I$5:$I$204&lt;&gt;"")),IF(UPPER(B_Drainage!$I$5:$I$204)="Y",1,"")),"")</f>
        <v/>
      </c>
      <c r="AA287" s="181" t="str">
        <f>IFERROR(LOOKUP(2,1/((B_Drainage!$A$5:$A$204&lt;&gt;"")*(B_Drainage!$A$5:$A$204&lt;=$B287)*(B_Drainage!$B$5:$B$204&gt;$B287)*(B_Drainage!$J$5:$J$204&lt;&gt;"")),IF(UPPER(B_Drainage!$J$5:$J$204)="Y",1,"")),"")</f>
        <v/>
      </c>
      <c r="AB287" s="182" t="str">
        <f>IFERROR(LOOKUP(2,1/((B_Drainage!$A$5:$A$204&lt;&gt;"")*(B_Drainage!$A$5:$A$204&lt;=$B287)*(B_Drainage!$B$5:$B$204&gt;$B287)*(B_Drainage!$K$5:$K$204&lt;&gt;"")),IF(B_Drainage!$K$5:$K$204="-","",B_Drainage!$K$5:$K$204)),"")</f>
        <v/>
      </c>
      <c r="AC287" s="182" t="str">
        <f>IFERROR(LOOKUP(2,1/((B_Drainage!$A$5:$A$204&lt;&gt;"")*(B_Drainage!$A$5:$A$204&lt;=$B287)*(B_Drainage!$B$5:$B$204&gt;$B287)*(B_Drainage!$L$5:$L$204&lt;&gt;"")),IF(B_Drainage!$L$5:$L$204="-","",B_Drainage!$L$5:$L$204)),"")</f>
        <v/>
      </c>
      <c r="AD287" s="182" t="str">
        <f>IFERROR(LOOKUP(2,1/((D_Points!$A$5:$A$204&lt;&gt;"")*(D_Points!$A$5:$A$204&gt;=$B287)*(D_Points!$A$5:$A$204&lt;$B287+P_Interval)*(UPPER(TRIM(D_Points!$B$5:$B$204))="TURNOUT_L")*(D_Points!$H$5:$H$204&lt;&gt;"")),D_Points!$H$5:$H$204),"")</f>
        <v/>
      </c>
      <c r="AE287" s="182" t="str">
        <f>IFERROR(LOOKUP(2,1/((D_Points!$A$5:$A$204&lt;&gt;"")*(D_Points!$A$5:$A$204&gt;=$B287)*(D_Points!$A$5:$A$204&lt;$B287+P_Interval)*(UPPER(TRIM(D_Points!$B$5:$B$204))="TURNOUT_R")*(D_Points!$H$5:$H$204&lt;&gt;"")),D_Points!$H$5:$H$204),"")</f>
        <v/>
      </c>
      <c r="AF287" s="181" t="str">
        <f>IFERROR(LOOKUP(2,1/((B_Drainage!$A$5:$A$204&lt;&gt;"")*(B_Drainage!$A$5:$A$204&lt;=$B287)*(B_Drainage!$B$5:$B$204&gt;$B287)*(B_Drainage!$M$5:$M$204&lt;&gt;"")),IF(UPPER(B_Drainage!$M$5:$M$204)="Y",1,"")),"")</f>
        <v/>
      </c>
      <c r="AG287" s="181" t="str">
        <f>IFERROR(LOOKUP(2,1/((B_Drainage!$A$5:$A$204&lt;&gt;"")*(B_Drainage!$A$5:$A$204&lt;=$B287)*(B_Drainage!$B$5:$B$204&gt;$B287)*(B_Drainage!$N$5:$N$204&lt;&gt;"")),IF(UPPER(B_Drainage!$N$5:$N$204)="Y",1,"")),"")</f>
        <v/>
      </c>
      <c r="AH287" s="181" t="str">
        <f t="shared" si="32"/>
        <v/>
      </c>
      <c r="AI287" s="181" t="str">
        <f t="shared" si="33"/>
        <v/>
      </c>
      <c r="AJ287" s="181" t="str">
        <f t="shared" si="34"/>
        <v/>
      </c>
      <c r="AK287" s="181" t="str">
        <f t="shared" si="35"/>
        <v/>
      </c>
      <c r="AL287" s="181" t="str">
        <f t="shared" si="36"/>
        <v/>
      </c>
      <c r="AM287" s="181" t="str">
        <f t="shared" si="37"/>
        <v/>
      </c>
      <c r="AN287" s="181" t="str">
        <f t="shared" si="38"/>
        <v/>
      </c>
      <c r="AO287" s="192" t="str">
        <f t="shared" si="39"/>
        <v/>
      </c>
      <c r="AQ287" t="str">
        <f>IFERROR(LOOKUP(2,1/((C_Pavement!$A$5:$A$204&lt;&gt;"")*(C_Pavement!$A$5:$A$204&lt;=$B287)*(C_Pavement!$B$5:$B$204&gt;$B287)*(C_Pavement!$C$5:$C$204&lt;&gt;"")),ROW(C_Pavement!$C$5:$C$204)-4),"")</f>
        <v/>
      </c>
      <c r="AR287" t="str">
        <f>IF($AQ287="","",UPPER(TRIM(INDEX(C_Pavement!$C$5:$C$204,$AQ287))))</f>
        <v/>
      </c>
      <c r="AS287" t="str">
        <f>IF($AR287="","",IFERROR(MATCH($AR287,E_Rules!$A$5:$A$9,0),""))</f>
        <v/>
      </c>
      <c r="AT287" t="str">
        <f>IF($AQ287="","",IF(INDEX(C_Pavement!$D$5:$D$204,$AQ287)&lt;&gt;"",UPPER(TRIM(INDEX(C_Pavement!$D$5:$D$204,$AQ287))),IF($AS287="","",INDEX(E_Rules!$C$5:$C$9,$AS287))))</f>
        <v/>
      </c>
      <c r="AU287" t="str">
        <f>IF($AQ287="","",IF(INDEX(C_Pavement!$E$5:$E$204,$AQ287)&lt;&gt;"",IF(INDEX(C_Pavement!$E$5:$E$204,$AQ287)="-","",INDEX(C_Pavement!$E$5:$E$204,$AQ287)),IF($AS287="","",INDEX(E_Rules!$D$5:$D$9,$AS287))))</f>
        <v/>
      </c>
      <c r="AV287" t="str">
        <f>IF($AQ287="","",IF(INDEX(C_Pavement!$F$5:$F$204,$AQ287)&lt;&gt;"",IF(INDEX(C_Pavement!$F$5:$F$204,$AQ287)="-","",INDEX(C_Pavement!$F$5:$F$204,$AQ287)),IF($AS287="","",INDEX(E_Rules!$E$5:$E$9,$AS287))))</f>
        <v/>
      </c>
      <c r="AW287" t="str">
        <f>IF($AQ287="","",IF(INDEX(C_Pavement!$G$5:$G$204,$AQ287)&lt;&gt;"",IF(INDEX(C_Pavement!$G$5:$G$204,$AQ287)="-","",INDEX(C_Pavement!$G$5:$G$204,$AQ287)),IF($AS287="","",INDEX(E_Rules!$F$5:$F$9,$AS287))))</f>
        <v/>
      </c>
      <c r="AX287" t="str">
        <f>IF($AQ287="","",IF(INDEX(C_Pavement!$H$5:$H$204,$AQ287)&lt;&gt;"",IF(INDEX(C_Pavement!$H$5:$H$204,$AQ287)="-","",INDEX(C_Pavement!$H$5:$H$204,$AQ287)),IF($AS287="","",INDEX(E_Rules!$G$5:$G$9,$AS287))))</f>
        <v/>
      </c>
      <c r="AY287" t="str">
        <f>IF($AQ287="","",IF(INDEX(C_Pavement!$I$5:$I$204,$AQ287)&lt;&gt;"",IF(INDEX(C_Pavement!$I$5:$I$204,$AQ287)="-","",INDEX(C_Pavement!$I$5:$I$204,$AQ287)),IF($AS287="","",INDEX(E_Rules!$H$5:$H$9,$AS287))))</f>
        <v/>
      </c>
    </row>
    <row r="288" spans="1:51" ht="15.75" customHeight="1" x14ac:dyDescent="0.3">
      <c r="A288" s="189">
        <v>283</v>
      </c>
      <c r="B288" s="180">
        <v>14100</v>
      </c>
      <c r="C288" s="180" t="s">
        <v>594</v>
      </c>
      <c r="D288" s="181" t="str">
        <f>IFERROR(LOOKUP(2,1/((A_Corridor!$A$5:$A$204&lt;&gt;"")*(A_Corridor!$A$5:$A$204&lt;=$B288)*(A_Corridor!$B$5:$B$204&gt;$B288)*(A_Corridor!$C$5:$C$204&lt;&gt;"")),IF(UPPER(A_Corridor!$C$5:$C$204)="Y",1,"")),"")</f>
        <v/>
      </c>
      <c r="E288" s="181" t="str">
        <f>IFERROR(LOOKUP(2,1/((A_Corridor!$A$5:$A$204&lt;&gt;"")*(A_Corridor!$A$5:$A$204&lt;=$B288)*(A_Corridor!$B$5:$B$204&gt;$B288)*(A_Corridor!$D$5:$D$204&lt;&gt;"")),IF(A_Corridor!$D$5:$D$204="-","",UPPER(A_Corridor!$D$5:$D$204))),"")</f>
        <v/>
      </c>
      <c r="F288" s="181" t="str">
        <f>IFERROR(LOOKUP(2,1/((A_Corridor!$A$5:$A$204&lt;&gt;"")*(A_Corridor!$A$5:$A$204&lt;=$B288)*(A_Corridor!$B$5:$B$204&gt;$B288)*(A_Corridor!$E$5:$E$204&lt;&gt;"")),IF(A_Corridor!$E$5:$E$204="-","",1)),"")</f>
        <v/>
      </c>
      <c r="G288" s="182" t="str">
        <f>IFERROR(LOOKUP(2,1/((A_Corridor!$A$5:$A$204&lt;&gt;"")*(A_Corridor!$A$5:$A$204&lt;=$B288)*(A_Corridor!$B$5:$B$204&gt;$B288)*(A_Corridor!$E$5:$E$204&lt;&gt;"")),IF(A_Corridor!$E$5:$E$204="-","",A_Corridor!$E$5:$E$204)),"")</f>
        <v/>
      </c>
      <c r="H288" s="182" t="str">
        <f>IFERROR(LOOKUP(2,1/((D_Points!$A$5:$A$204&lt;&gt;"")*(D_Points!$A$5:$A$204&gt;=$B288)*(D_Points!$A$5:$A$204&lt;$B288+P_Interval)*(UPPER(TRIM(D_Points!$B$5:$B$204))="GULLY")*(D_Points!$H$5:$H$204&lt;&gt;"")),D_Points!$H$5:$H$204),"")</f>
        <v/>
      </c>
      <c r="I288" s="181" t="str">
        <f>IFERROR(LOOKUP(2,1/((A_Corridor!$A$5:$A$204&lt;&gt;"")*(A_Corridor!$A$5:$A$204&lt;=$B288)*(A_Corridor!$B$5:$B$204&gt;$B288)*(A_Corridor!$F$5:$F$204&lt;&gt;"")),IF(A_Corridor!$F$5:$F$204="-","",1)),"")</f>
        <v/>
      </c>
      <c r="J288" s="182" t="str">
        <f>IFERROR(LOOKUP(2,1/((A_Corridor!$A$5:$A$204&lt;&gt;"")*(A_Corridor!$A$5:$A$204&lt;=$B288)*(A_Corridor!$B$5:$B$204&gt;$B288)*(A_Corridor!$F$5:$F$204&lt;&gt;"")),IF(A_Corridor!$F$5:$F$204="-","",A_Corridor!$F$5:$F$204)),"")</f>
        <v/>
      </c>
      <c r="K288" s="182" t="str">
        <f>IFERROR(LOOKUP(2,1/((A_Corridor!$A$5:$A$204&lt;&gt;"")*(A_Corridor!$A$5:$A$204&lt;=$B288)*(A_Corridor!$B$5:$B$204&gt;$B288)*(A_Corridor!$G$5:$G$204&lt;&gt;"")),IF(A_Corridor!$G$5:$G$204="-","",A_Corridor!$G$5:$G$204)),"")</f>
        <v/>
      </c>
      <c r="L288" s="181" t="str">
        <f>IFERROR(LOOKUP(2,1/((A_Corridor!$A$5:$A$204&lt;&gt;"")*(A_Corridor!$A$5:$A$204&lt;=$B288)*(A_Corridor!$B$5:$B$204&gt;$B288)*(A_Corridor!$H$5:$H$204&lt;&gt;"")),IF(A_Corridor!$H$5:$H$204="-","",1)),"")</f>
        <v/>
      </c>
      <c r="M288" s="182" t="str">
        <f>IFERROR(LOOKUP(2,1/((A_Corridor!$A$5:$A$204&lt;&gt;"")*(A_Corridor!$A$5:$A$204&lt;=$B288)*(A_Corridor!$B$5:$B$204&gt;$B288)*(A_Corridor!$H$5:$H$204&lt;&gt;"")),IF(A_Corridor!$H$5:$H$204="-","",A_Corridor!$H$5:$H$204)),"")</f>
        <v/>
      </c>
      <c r="N288" s="182" t="str">
        <f>IFERROR(LOOKUP(2,1/((A_Corridor!$A$5:$A$204&lt;&gt;"")*(A_Corridor!$A$5:$A$204&lt;=$B288)*(A_Corridor!$B$5:$B$204&gt;$B288)*(A_Corridor!$I$5:$I$204&lt;&gt;"")),IF(A_Corridor!$I$5:$I$204="-","",A_Corridor!$I$5:$I$204)),"")</f>
        <v/>
      </c>
      <c r="O288" s="182" t="str">
        <f>IFERROR(LOOKUP(2,1/((D_Points!$A$5:$A$204&lt;&gt;"")*(D_Points!$A$5:$A$204&gt;=$B288)*(D_Points!$A$5:$A$204&lt;$B288+P_Interval)*(UPPER(TRIM(D_Points!$B$5:$B$204))="PITCHING")*(D_Points!$H$5:$H$204&lt;&gt;"")),D_Points!$H$5:$H$204),"")</f>
        <v/>
      </c>
      <c r="P288" s="181" t="str">
        <f>IFERROR(LOOKUP(2,1/((B_Drainage!$A$5:$A$204&lt;&gt;"")*(B_Drainage!$A$5:$A$204&lt;=$B288)*(B_Drainage!$B$5:$B$204&gt;$B288)*(B_Drainage!$C$5:$C$204&lt;&gt;"")),IF(B_Drainage!$C$5:$C$204="-","",UPPER(B_Drainage!$C$5:$C$204))),"")</f>
        <v/>
      </c>
      <c r="Q288" s="181" t="str">
        <f>IFERROR(LOOKUP(2,1/((B_Drainage!$A$5:$A$204&lt;&gt;"")*(B_Drainage!$A$5:$A$204&lt;=$B288)*(B_Drainage!$B$5:$B$204&gt;$B288)*(B_Drainage!$D$5:$D$204&lt;&gt;"")),IF(B_Drainage!$D$5:$D$204="-","",UPPER(B_Drainage!$D$5:$D$204))),"")</f>
        <v/>
      </c>
      <c r="R288" s="182" t="str">
        <f>IFERROR(LOOKUP(2,1/((D_Points!$A$5:$A$204&lt;&gt;"")*(D_Points!$A$5:$A$204&gt;=$B288)*(D_Points!$A$5:$A$204&lt;$B288+P_Interval)*(RIGHT(UPPER(TRIM(D_Points!$B$5:$B$204)),8)="_CULVERT")),IF(LEFT(UPPER(TRIM(D_Points!$B$5:$B$204)),2)="EX",1,IF(LEFT(UPPER(TRIM(D_Points!$B$5:$B$204)),2)="PR",2,3))),"")</f>
        <v/>
      </c>
      <c r="S288" s="182" t="str">
        <f>IFERROR(LOOKUP(2,1/((D_Points!$A$5:$A$204&lt;&gt;"")*(D_Points!$A$5:$A$204&gt;=$B288)*(D_Points!$A$5:$A$204&lt;$B288+P_Interval)*(RIGHT(UPPER(TRIM(D_Points!$B$5:$B$204)),7)="_BRIDGE")),IF(LEFT(UPPER(TRIM(D_Points!$B$5:$B$204)),2)="EX",1,IF(LEFT(UPPER(TRIM(D_Points!$B$5:$B$204)),2)="PR",2,2))),"")</f>
        <v/>
      </c>
      <c r="T288" s="181" t="str">
        <f>IFERROR(LOOKUP(2,1/((B_Drainage!$A$5:$A$204&lt;&gt;"")*(B_Drainage!$A$5:$A$204&lt;=$B288)*(B_Drainage!$B$5:$B$204&gt;$B288)*(B_Drainage!$E$5:$E$204&lt;&gt;"")),IF(B_Drainage!$E$5:$E$204="-","",1)),"")</f>
        <v/>
      </c>
      <c r="U288" s="181" t="str">
        <f>IFERROR(LOOKUP(2,1/((B_Drainage!$A$5:$A$204&lt;&gt;"")*(B_Drainage!$A$5:$A$204&lt;=$B288)*(B_Drainage!$B$5:$B$204&gt;$B288)*(B_Drainage!$E$5:$E$204&lt;&gt;"")),IF(B_Drainage!$E$5:$E$204="-","",B_Drainage!$E$5:$E$204)),"")</f>
        <v/>
      </c>
      <c r="V288" s="181" t="str">
        <f>IFERROR(LOOKUP(2,1/((B_Drainage!$A$5:$A$204&lt;&gt;"")*(B_Drainage!$A$5:$A$204&lt;=$B288)*(B_Drainage!$B$5:$B$204&gt;$B288)*(B_Drainage!$F$5:$F$204&lt;&gt;"")),IF(B_Drainage!$F$5:$F$204="-","",1)),"")</f>
        <v/>
      </c>
      <c r="W288" s="181" t="str">
        <f>IFERROR(LOOKUP(2,1/((B_Drainage!$A$5:$A$204&lt;&gt;"")*(B_Drainage!$A$5:$A$204&lt;=$B288)*(B_Drainage!$B$5:$B$204&gt;$B288)*(B_Drainage!$F$5:$F$204&lt;&gt;"")),IF(B_Drainage!$F$5:$F$204="-","",B_Drainage!$F$5:$F$204)),"")</f>
        <v/>
      </c>
      <c r="X288" s="181" t="str">
        <f>IFERROR(LOOKUP(2,1/((B_Drainage!$A$5:$A$204&lt;&gt;"")*(B_Drainage!$A$5:$A$204&lt;=$B288)*(B_Drainage!$B$5:$B$204&gt;$B288)*(B_Drainage!$G$5:$G$204&lt;&gt;"")),IF(UPPER(B_Drainage!$G$5:$G$204)="Y",1,"")),"")</f>
        <v/>
      </c>
      <c r="Y288" s="181" t="str">
        <f>IFERROR(LOOKUP(2,1/((B_Drainage!$A$5:$A$204&lt;&gt;"")*(B_Drainage!$A$5:$A$204&lt;=$B288)*(B_Drainage!$B$5:$B$204&gt;$B288)*(B_Drainage!$H$5:$H$204&lt;&gt;"")),IF(UPPER(B_Drainage!$H$5:$H$204)="Y",1,"")),"")</f>
        <v/>
      </c>
      <c r="Z288" s="181" t="str">
        <f>IFERROR(LOOKUP(2,1/((B_Drainage!$A$5:$A$204&lt;&gt;"")*(B_Drainage!$A$5:$A$204&lt;=$B288)*(B_Drainage!$B$5:$B$204&gt;$B288)*(B_Drainage!$I$5:$I$204&lt;&gt;"")),IF(UPPER(B_Drainage!$I$5:$I$204)="Y",1,"")),"")</f>
        <v/>
      </c>
      <c r="AA288" s="181" t="str">
        <f>IFERROR(LOOKUP(2,1/((B_Drainage!$A$5:$A$204&lt;&gt;"")*(B_Drainage!$A$5:$A$204&lt;=$B288)*(B_Drainage!$B$5:$B$204&gt;$B288)*(B_Drainage!$J$5:$J$204&lt;&gt;"")),IF(UPPER(B_Drainage!$J$5:$J$204)="Y",1,"")),"")</f>
        <v/>
      </c>
      <c r="AB288" s="182" t="str">
        <f>IFERROR(LOOKUP(2,1/((B_Drainage!$A$5:$A$204&lt;&gt;"")*(B_Drainage!$A$5:$A$204&lt;=$B288)*(B_Drainage!$B$5:$B$204&gt;$B288)*(B_Drainage!$K$5:$K$204&lt;&gt;"")),IF(B_Drainage!$K$5:$K$204="-","",B_Drainage!$K$5:$K$204)),"")</f>
        <v/>
      </c>
      <c r="AC288" s="182" t="str">
        <f>IFERROR(LOOKUP(2,1/((B_Drainage!$A$5:$A$204&lt;&gt;"")*(B_Drainage!$A$5:$A$204&lt;=$B288)*(B_Drainage!$B$5:$B$204&gt;$B288)*(B_Drainage!$L$5:$L$204&lt;&gt;"")),IF(B_Drainage!$L$5:$L$204="-","",B_Drainage!$L$5:$L$204)),"")</f>
        <v/>
      </c>
      <c r="AD288" s="182" t="str">
        <f>IFERROR(LOOKUP(2,1/((D_Points!$A$5:$A$204&lt;&gt;"")*(D_Points!$A$5:$A$204&gt;=$B288)*(D_Points!$A$5:$A$204&lt;$B288+P_Interval)*(UPPER(TRIM(D_Points!$B$5:$B$204))="TURNOUT_L")*(D_Points!$H$5:$H$204&lt;&gt;"")),D_Points!$H$5:$H$204),"")</f>
        <v/>
      </c>
      <c r="AE288" s="182" t="str">
        <f>IFERROR(LOOKUP(2,1/((D_Points!$A$5:$A$204&lt;&gt;"")*(D_Points!$A$5:$A$204&gt;=$B288)*(D_Points!$A$5:$A$204&lt;$B288+P_Interval)*(UPPER(TRIM(D_Points!$B$5:$B$204))="TURNOUT_R")*(D_Points!$H$5:$H$204&lt;&gt;"")),D_Points!$H$5:$H$204),"")</f>
        <v/>
      </c>
      <c r="AF288" s="181" t="str">
        <f>IFERROR(LOOKUP(2,1/((B_Drainage!$A$5:$A$204&lt;&gt;"")*(B_Drainage!$A$5:$A$204&lt;=$B288)*(B_Drainage!$B$5:$B$204&gt;$B288)*(B_Drainage!$M$5:$M$204&lt;&gt;"")),IF(UPPER(B_Drainage!$M$5:$M$204)="Y",1,"")),"")</f>
        <v/>
      </c>
      <c r="AG288" s="181" t="str">
        <f>IFERROR(LOOKUP(2,1/((B_Drainage!$A$5:$A$204&lt;&gt;"")*(B_Drainage!$A$5:$A$204&lt;=$B288)*(B_Drainage!$B$5:$B$204&gt;$B288)*(B_Drainage!$N$5:$N$204&lt;&gt;"")),IF(UPPER(B_Drainage!$N$5:$N$204)="Y",1,"")),"")</f>
        <v/>
      </c>
      <c r="AH288" s="181" t="str">
        <f t="shared" si="32"/>
        <v/>
      </c>
      <c r="AI288" s="181" t="str">
        <f t="shared" si="33"/>
        <v/>
      </c>
      <c r="AJ288" s="181" t="str">
        <f t="shared" si="34"/>
        <v/>
      </c>
      <c r="AK288" s="181" t="str">
        <f t="shared" si="35"/>
        <v/>
      </c>
      <c r="AL288" s="181" t="str">
        <f t="shared" si="36"/>
        <v/>
      </c>
      <c r="AM288" s="181" t="str">
        <f t="shared" si="37"/>
        <v/>
      </c>
      <c r="AN288" s="181" t="str">
        <f t="shared" si="38"/>
        <v/>
      </c>
      <c r="AO288" s="192" t="str">
        <f t="shared" si="39"/>
        <v/>
      </c>
      <c r="AQ288" t="str">
        <f>IFERROR(LOOKUP(2,1/((C_Pavement!$A$5:$A$204&lt;&gt;"")*(C_Pavement!$A$5:$A$204&lt;=$B288)*(C_Pavement!$B$5:$B$204&gt;$B288)*(C_Pavement!$C$5:$C$204&lt;&gt;"")),ROW(C_Pavement!$C$5:$C$204)-4),"")</f>
        <v/>
      </c>
      <c r="AR288" t="str">
        <f>IF($AQ288="","",UPPER(TRIM(INDEX(C_Pavement!$C$5:$C$204,$AQ288))))</f>
        <v/>
      </c>
      <c r="AS288" t="str">
        <f>IF($AR288="","",IFERROR(MATCH($AR288,E_Rules!$A$5:$A$9,0),""))</f>
        <v/>
      </c>
      <c r="AT288" t="str">
        <f>IF($AQ288="","",IF(INDEX(C_Pavement!$D$5:$D$204,$AQ288)&lt;&gt;"",UPPER(TRIM(INDEX(C_Pavement!$D$5:$D$204,$AQ288))),IF($AS288="","",INDEX(E_Rules!$C$5:$C$9,$AS288))))</f>
        <v/>
      </c>
      <c r="AU288" t="str">
        <f>IF($AQ288="","",IF(INDEX(C_Pavement!$E$5:$E$204,$AQ288)&lt;&gt;"",IF(INDEX(C_Pavement!$E$5:$E$204,$AQ288)="-","",INDEX(C_Pavement!$E$5:$E$204,$AQ288)),IF($AS288="","",INDEX(E_Rules!$D$5:$D$9,$AS288))))</f>
        <v/>
      </c>
      <c r="AV288" t="str">
        <f>IF($AQ288="","",IF(INDEX(C_Pavement!$F$5:$F$204,$AQ288)&lt;&gt;"",IF(INDEX(C_Pavement!$F$5:$F$204,$AQ288)="-","",INDEX(C_Pavement!$F$5:$F$204,$AQ288)),IF($AS288="","",INDEX(E_Rules!$E$5:$E$9,$AS288))))</f>
        <v/>
      </c>
      <c r="AW288" t="str">
        <f>IF($AQ288="","",IF(INDEX(C_Pavement!$G$5:$G$204,$AQ288)&lt;&gt;"",IF(INDEX(C_Pavement!$G$5:$G$204,$AQ288)="-","",INDEX(C_Pavement!$G$5:$G$204,$AQ288)),IF($AS288="","",INDEX(E_Rules!$F$5:$F$9,$AS288))))</f>
        <v/>
      </c>
      <c r="AX288" t="str">
        <f>IF($AQ288="","",IF(INDEX(C_Pavement!$H$5:$H$204,$AQ288)&lt;&gt;"",IF(INDEX(C_Pavement!$H$5:$H$204,$AQ288)="-","",INDEX(C_Pavement!$H$5:$H$204,$AQ288)),IF($AS288="","",INDEX(E_Rules!$G$5:$G$9,$AS288))))</f>
        <v/>
      </c>
      <c r="AY288" t="str">
        <f>IF($AQ288="","",IF(INDEX(C_Pavement!$I$5:$I$204,$AQ288)&lt;&gt;"",IF(INDEX(C_Pavement!$I$5:$I$204,$AQ288)="-","",INDEX(C_Pavement!$I$5:$I$204,$AQ288)),IF($AS288="","",INDEX(E_Rules!$H$5:$H$9,$AS288))))</f>
        <v/>
      </c>
    </row>
    <row r="289" spans="1:51" ht="15.75" customHeight="1" x14ac:dyDescent="0.3">
      <c r="A289" s="189">
        <v>284</v>
      </c>
      <c r="B289" s="180">
        <v>14150</v>
      </c>
      <c r="C289" s="180" t="s">
        <v>595</v>
      </c>
      <c r="D289" s="181" t="str">
        <f>IFERROR(LOOKUP(2,1/((A_Corridor!$A$5:$A$204&lt;&gt;"")*(A_Corridor!$A$5:$A$204&lt;=$B289)*(A_Corridor!$B$5:$B$204&gt;$B289)*(A_Corridor!$C$5:$C$204&lt;&gt;"")),IF(UPPER(A_Corridor!$C$5:$C$204)="Y",1,"")),"")</f>
        <v/>
      </c>
      <c r="E289" s="181" t="str">
        <f>IFERROR(LOOKUP(2,1/((A_Corridor!$A$5:$A$204&lt;&gt;"")*(A_Corridor!$A$5:$A$204&lt;=$B289)*(A_Corridor!$B$5:$B$204&gt;$B289)*(A_Corridor!$D$5:$D$204&lt;&gt;"")),IF(A_Corridor!$D$5:$D$204="-","",UPPER(A_Corridor!$D$5:$D$204))),"")</f>
        <v/>
      </c>
      <c r="F289" s="181" t="str">
        <f>IFERROR(LOOKUP(2,1/((A_Corridor!$A$5:$A$204&lt;&gt;"")*(A_Corridor!$A$5:$A$204&lt;=$B289)*(A_Corridor!$B$5:$B$204&gt;$B289)*(A_Corridor!$E$5:$E$204&lt;&gt;"")),IF(A_Corridor!$E$5:$E$204="-","",1)),"")</f>
        <v/>
      </c>
      <c r="G289" s="182" t="str">
        <f>IFERROR(LOOKUP(2,1/((A_Corridor!$A$5:$A$204&lt;&gt;"")*(A_Corridor!$A$5:$A$204&lt;=$B289)*(A_Corridor!$B$5:$B$204&gt;$B289)*(A_Corridor!$E$5:$E$204&lt;&gt;"")),IF(A_Corridor!$E$5:$E$204="-","",A_Corridor!$E$5:$E$204)),"")</f>
        <v/>
      </c>
      <c r="H289" s="182" t="str">
        <f>IFERROR(LOOKUP(2,1/((D_Points!$A$5:$A$204&lt;&gt;"")*(D_Points!$A$5:$A$204&gt;=$B289)*(D_Points!$A$5:$A$204&lt;$B289+P_Interval)*(UPPER(TRIM(D_Points!$B$5:$B$204))="GULLY")*(D_Points!$H$5:$H$204&lt;&gt;"")),D_Points!$H$5:$H$204),"")</f>
        <v/>
      </c>
      <c r="I289" s="181" t="str">
        <f>IFERROR(LOOKUP(2,1/((A_Corridor!$A$5:$A$204&lt;&gt;"")*(A_Corridor!$A$5:$A$204&lt;=$B289)*(A_Corridor!$B$5:$B$204&gt;$B289)*(A_Corridor!$F$5:$F$204&lt;&gt;"")),IF(A_Corridor!$F$5:$F$204="-","",1)),"")</f>
        <v/>
      </c>
      <c r="J289" s="182" t="str">
        <f>IFERROR(LOOKUP(2,1/((A_Corridor!$A$5:$A$204&lt;&gt;"")*(A_Corridor!$A$5:$A$204&lt;=$B289)*(A_Corridor!$B$5:$B$204&gt;$B289)*(A_Corridor!$F$5:$F$204&lt;&gt;"")),IF(A_Corridor!$F$5:$F$204="-","",A_Corridor!$F$5:$F$204)),"")</f>
        <v/>
      </c>
      <c r="K289" s="182" t="str">
        <f>IFERROR(LOOKUP(2,1/((A_Corridor!$A$5:$A$204&lt;&gt;"")*(A_Corridor!$A$5:$A$204&lt;=$B289)*(A_Corridor!$B$5:$B$204&gt;$B289)*(A_Corridor!$G$5:$G$204&lt;&gt;"")),IF(A_Corridor!$G$5:$G$204="-","",A_Corridor!$G$5:$G$204)),"")</f>
        <v/>
      </c>
      <c r="L289" s="181" t="str">
        <f>IFERROR(LOOKUP(2,1/((A_Corridor!$A$5:$A$204&lt;&gt;"")*(A_Corridor!$A$5:$A$204&lt;=$B289)*(A_Corridor!$B$5:$B$204&gt;$B289)*(A_Corridor!$H$5:$H$204&lt;&gt;"")),IF(A_Corridor!$H$5:$H$204="-","",1)),"")</f>
        <v/>
      </c>
      <c r="M289" s="182" t="str">
        <f>IFERROR(LOOKUP(2,1/((A_Corridor!$A$5:$A$204&lt;&gt;"")*(A_Corridor!$A$5:$A$204&lt;=$B289)*(A_Corridor!$B$5:$B$204&gt;$B289)*(A_Corridor!$H$5:$H$204&lt;&gt;"")),IF(A_Corridor!$H$5:$H$204="-","",A_Corridor!$H$5:$H$204)),"")</f>
        <v/>
      </c>
      <c r="N289" s="182" t="str">
        <f>IFERROR(LOOKUP(2,1/((A_Corridor!$A$5:$A$204&lt;&gt;"")*(A_Corridor!$A$5:$A$204&lt;=$B289)*(A_Corridor!$B$5:$B$204&gt;$B289)*(A_Corridor!$I$5:$I$204&lt;&gt;"")),IF(A_Corridor!$I$5:$I$204="-","",A_Corridor!$I$5:$I$204)),"")</f>
        <v/>
      </c>
      <c r="O289" s="182" t="str">
        <f>IFERROR(LOOKUP(2,1/((D_Points!$A$5:$A$204&lt;&gt;"")*(D_Points!$A$5:$A$204&gt;=$B289)*(D_Points!$A$5:$A$204&lt;$B289+P_Interval)*(UPPER(TRIM(D_Points!$B$5:$B$204))="PITCHING")*(D_Points!$H$5:$H$204&lt;&gt;"")),D_Points!$H$5:$H$204),"")</f>
        <v/>
      </c>
      <c r="P289" s="181" t="str">
        <f>IFERROR(LOOKUP(2,1/((B_Drainage!$A$5:$A$204&lt;&gt;"")*(B_Drainage!$A$5:$A$204&lt;=$B289)*(B_Drainage!$B$5:$B$204&gt;$B289)*(B_Drainage!$C$5:$C$204&lt;&gt;"")),IF(B_Drainage!$C$5:$C$204="-","",UPPER(B_Drainage!$C$5:$C$204))),"")</f>
        <v/>
      </c>
      <c r="Q289" s="181" t="str">
        <f>IFERROR(LOOKUP(2,1/((B_Drainage!$A$5:$A$204&lt;&gt;"")*(B_Drainage!$A$5:$A$204&lt;=$B289)*(B_Drainage!$B$5:$B$204&gt;$B289)*(B_Drainage!$D$5:$D$204&lt;&gt;"")),IF(B_Drainage!$D$5:$D$204="-","",UPPER(B_Drainage!$D$5:$D$204))),"")</f>
        <v/>
      </c>
      <c r="R289" s="182" t="str">
        <f>IFERROR(LOOKUP(2,1/((D_Points!$A$5:$A$204&lt;&gt;"")*(D_Points!$A$5:$A$204&gt;=$B289)*(D_Points!$A$5:$A$204&lt;$B289+P_Interval)*(RIGHT(UPPER(TRIM(D_Points!$B$5:$B$204)),8)="_CULVERT")),IF(LEFT(UPPER(TRIM(D_Points!$B$5:$B$204)),2)="EX",1,IF(LEFT(UPPER(TRIM(D_Points!$B$5:$B$204)),2)="PR",2,3))),"")</f>
        <v/>
      </c>
      <c r="S289" s="182" t="str">
        <f>IFERROR(LOOKUP(2,1/((D_Points!$A$5:$A$204&lt;&gt;"")*(D_Points!$A$5:$A$204&gt;=$B289)*(D_Points!$A$5:$A$204&lt;$B289+P_Interval)*(RIGHT(UPPER(TRIM(D_Points!$B$5:$B$204)),7)="_BRIDGE")),IF(LEFT(UPPER(TRIM(D_Points!$B$5:$B$204)),2)="EX",1,IF(LEFT(UPPER(TRIM(D_Points!$B$5:$B$204)),2)="PR",2,2))),"")</f>
        <v/>
      </c>
      <c r="T289" s="181" t="str">
        <f>IFERROR(LOOKUP(2,1/((B_Drainage!$A$5:$A$204&lt;&gt;"")*(B_Drainage!$A$5:$A$204&lt;=$B289)*(B_Drainage!$B$5:$B$204&gt;$B289)*(B_Drainage!$E$5:$E$204&lt;&gt;"")),IF(B_Drainage!$E$5:$E$204="-","",1)),"")</f>
        <v/>
      </c>
      <c r="U289" s="181" t="str">
        <f>IFERROR(LOOKUP(2,1/((B_Drainage!$A$5:$A$204&lt;&gt;"")*(B_Drainage!$A$5:$A$204&lt;=$B289)*(B_Drainage!$B$5:$B$204&gt;$B289)*(B_Drainage!$E$5:$E$204&lt;&gt;"")),IF(B_Drainage!$E$5:$E$204="-","",B_Drainage!$E$5:$E$204)),"")</f>
        <v/>
      </c>
      <c r="V289" s="181" t="str">
        <f>IFERROR(LOOKUP(2,1/((B_Drainage!$A$5:$A$204&lt;&gt;"")*(B_Drainage!$A$5:$A$204&lt;=$B289)*(B_Drainage!$B$5:$B$204&gt;$B289)*(B_Drainage!$F$5:$F$204&lt;&gt;"")),IF(B_Drainage!$F$5:$F$204="-","",1)),"")</f>
        <v/>
      </c>
      <c r="W289" s="181" t="str">
        <f>IFERROR(LOOKUP(2,1/((B_Drainage!$A$5:$A$204&lt;&gt;"")*(B_Drainage!$A$5:$A$204&lt;=$B289)*(B_Drainage!$B$5:$B$204&gt;$B289)*(B_Drainage!$F$5:$F$204&lt;&gt;"")),IF(B_Drainage!$F$5:$F$204="-","",B_Drainage!$F$5:$F$204)),"")</f>
        <v/>
      </c>
      <c r="X289" s="181" t="str">
        <f>IFERROR(LOOKUP(2,1/((B_Drainage!$A$5:$A$204&lt;&gt;"")*(B_Drainage!$A$5:$A$204&lt;=$B289)*(B_Drainage!$B$5:$B$204&gt;$B289)*(B_Drainage!$G$5:$G$204&lt;&gt;"")),IF(UPPER(B_Drainage!$G$5:$G$204)="Y",1,"")),"")</f>
        <v/>
      </c>
      <c r="Y289" s="181" t="str">
        <f>IFERROR(LOOKUP(2,1/((B_Drainage!$A$5:$A$204&lt;&gt;"")*(B_Drainage!$A$5:$A$204&lt;=$B289)*(B_Drainage!$B$5:$B$204&gt;$B289)*(B_Drainage!$H$5:$H$204&lt;&gt;"")),IF(UPPER(B_Drainage!$H$5:$H$204)="Y",1,"")),"")</f>
        <v/>
      </c>
      <c r="Z289" s="181" t="str">
        <f>IFERROR(LOOKUP(2,1/((B_Drainage!$A$5:$A$204&lt;&gt;"")*(B_Drainage!$A$5:$A$204&lt;=$B289)*(B_Drainage!$B$5:$B$204&gt;$B289)*(B_Drainage!$I$5:$I$204&lt;&gt;"")),IF(UPPER(B_Drainage!$I$5:$I$204)="Y",1,"")),"")</f>
        <v/>
      </c>
      <c r="AA289" s="181" t="str">
        <f>IFERROR(LOOKUP(2,1/((B_Drainage!$A$5:$A$204&lt;&gt;"")*(B_Drainage!$A$5:$A$204&lt;=$B289)*(B_Drainage!$B$5:$B$204&gt;$B289)*(B_Drainage!$J$5:$J$204&lt;&gt;"")),IF(UPPER(B_Drainage!$J$5:$J$204)="Y",1,"")),"")</f>
        <v/>
      </c>
      <c r="AB289" s="182" t="str">
        <f>IFERROR(LOOKUP(2,1/((B_Drainage!$A$5:$A$204&lt;&gt;"")*(B_Drainage!$A$5:$A$204&lt;=$B289)*(B_Drainage!$B$5:$B$204&gt;$B289)*(B_Drainage!$K$5:$K$204&lt;&gt;"")),IF(B_Drainage!$K$5:$K$204="-","",B_Drainage!$K$5:$K$204)),"")</f>
        <v/>
      </c>
      <c r="AC289" s="182" t="str">
        <f>IFERROR(LOOKUP(2,1/((B_Drainage!$A$5:$A$204&lt;&gt;"")*(B_Drainage!$A$5:$A$204&lt;=$B289)*(B_Drainage!$B$5:$B$204&gt;$B289)*(B_Drainage!$L$5:$L$204&lt;&gt;"")),IF(B_Drainage!$L$5:$L$204="-","",B_Drainage!$L$5:$L$204)),"")</f>
        <v/>
      </c>
      <c r="AD289" s="182" t="str">
        <f>IFERROR(LOOKUP(2,1/((D_Points!$A$5:$A$204&lt;&gt;"")*(D_Points!$A$5:$A$204&gt;=$B289)*(D_Points!$A$5:$A$204&lt;$B289+P_Interval)*(UPPER(TRIM(D_Points!$B$5:$B$204))="TURNOUT_L")*(D_Points!$H$5:$H$204&lt;&gt;"")),D_Points!$H$5:$H$204),"")</f>
        <v/>
      </c>
      <c r="AE289" s="182" t="str">
        <f>IFERROR(LOOKUP(2,1/((D_Points!$A$5:$A$204&lt;&gt;"")*(D_Points!$A$5:$A$204&gt;=$B289)*(D_Points!$A$5:$A$204&lt;$B289+P_Interval)*(UPPER(TRIM(D_Points!$B$5:$B$204))="TURNOUT_R")*(D_Points!$H$5:$H$204&lt;&gt;"")),D_Points!$H$5:$H$204),"")</f>
        <v/>
      </c>
      <c r="AF289" s="181" t="str">
        <f>IFERROR(LOOKUP(2,1/((B_Drainage!$A$5:$A$204&lt;&gt;"")*(B_Drainage!$A$5:$A$204&lt;=$B289)*(B_Drainage!$B$5:$B$204&gt;$B289)*(B_Drainage!$M$5:$M$204&lt;&gt;"")),IF(UPPER(B_Drainage!$M$5:$M$204)="Y",1,"")),"")</f>
        <v/>
      </c>
      <c r="AG289" s="181" t="str">
        <f>IFERROR(LOOKUP(2,1/((B_Drainage!$A$5:$A$204&lt;&gt;"")*(B_Drainage!$A$5:$A$204&lt;=$B289)*(B_Drainage!$B$5:$B$204&gt;$B289)*(B_Drainage!$N$5:$N$204&lt;&gt;"")),IF(UPPER(B_Drainage!$N$5:$N$204)="Y",1,"")),"")</f>
        <v/>
      </c>
      <c r="AH289" s="181" t="str">
        <f t="shared" si="32"/>
        <v/>
      </c>
      <c r="AI289" s="181" t="str">
        <f t="shared" si="33"/>
        <v/>
      </c>
      <c r="AJ289" s="181" t="str">
        <f t="shared" si="34"/>
        <v/>
      </c>
      <c r="AK289" s="181" t="str">
        <f t="shared" si="35"/>
        <v/>
      </c>
      <c r="AL289" s="181" t="str">
        <f t="shared" si="36"/>
        <v/>
      </c>
      <c r="AM289" s="181" t="str">
        <f t="shared" si="37"/>
        <v/>
      </c>
      <c r="AN289" s="181" t="str">
        <f t="shared" si="38"/>
        <v/>
      </c>
      <c r="AO289" s="192" t="str">
        <f t="shared" si="39"/>
        <v/>
      </c>
      <c r="AQ289" t="str">
        <f>IFERROR(LOOKUP(2,1/((C_Pavement!$A$5:$A$204&lt;&gt;"")*(C_Pavement!$A$5:$A$204&lt;=$B289)*(C_Pavement!$B$5:$B$204&gt;$B289)*(C_Pavement!$C$5:$C$204&lt;&gt;"")),ROW(C_Pavement!$C$5:$C$204)-4),"")</f>
        <v/>
      </c>
      <c r="AR289" t="str">
        <f>IF($AQ289="","",UPPER(TRIM(INDEX(C_Pavement!$C$5:$C$204,$AQ289))))</f>
        <v/>
      </c>
      <c r="AS289" t="str">
        <f>IF($AR289="","",IFERROR(MATCH($AR289,E_Rules!$A$5:$A$9,0),""))</f>
        <v/>
      </c>
      <c r="AT289" t="str">
        <f>IF($AQ289="","",IF(INDEX(C_Pavement!$D$5:$D$204,$AQ289)&lt;&gt;"",UPPER(TRIM(INDEX(C_Pavement!$D$5:$D$204,$AQ289))),IF($AS289="","",INDEX(E_Rules!$C$5:$C$9,$AS289))))</f>
        <v/>
      </c>
      <c r="AU289" t="str">
        <f>IF($AQ289="","",IF(INDEX(C_Pavement!$E$5:$E$204,$AQ289)&lt;&gt;"",IF(INDEX(C_Pavement!$E$5:$E$204,$AQ289)="-","",INDEX(C_Pavement!$E$5:$E$204,$AQ289)),IF($AS289="","",INDEX(E_Rules!$D$5:$D$9,$AS289))))</f>
        <v/>
      </c>
      <c r="AV289" t="str">
        <f>IF($AQ289="","",IF(INDEX(C_Pavement!$F$5:$F$204,$AQ289)&lt;&gt;"",IF(INDEX(C_Pavement!$F$5:$F$204,$AQ289)="-","",INDEX(C_Pavement!$F$5:$F$204,$AQ289)),IF($AS289="","",INDEX(E_Rules!$E$5:$E$9,$AS289))))</f>
        <v/>
      </c>
      <c r="AW289" t="str">
        <f>IF($AQ289="","",IF(INDEX(C_Pavement!$G$5:$G$204,$AQ289)&lt;&gt;"",IF(INDEX(C_Pavement!$G$5:$G$204,$AQ289)="-","",INDEX(C_Pavement!$G$5:$G$204,$AQ289)),IF($AS289="","",INDEX(E_Rules!$F$5:$F$9,$AS289))))</f>
        <v/>
      </c>
      <c r="AX289" t="str">
        <f>IF($AQ289="","",IF(INDEX(C_Pavement!$H$5:$H$204,$AQ289)&lt;&gt;"",IF(INDEX(C_Pavement!$H$5:$H$204,$AQ289)="-","",INDEX(C_Pavement!$H$5:$H$204,$AQ289)),IF($AS289="","",INDEX(E_Rules!$G$5:$G$9,$AS289))))</f>
        <v/>
      </c>
      <c r="AY289" t="str">
        <f>IF($AQ289="","",IF(INDEX(C_Pavement!$I$5:$I$204,$AQ289)&lt;&gt;"",IF(INDEX(C_Pavement!$I$5:$I$204,$AQ289)="-","",INDEX(C_Pavement!$I$5:$I$204,$AQ289)),IF($AS289="","",INDEX(E_Rules!$H$5:$H$9,$AS289))))</f>
        <v/>
      </c>
    </row>
    <row r="290" spans="1:51" ht="15.75" customHeight="1" x14ac:dyDescent="0.3">
      <c r="A290" s="189">
        <v>285</v>
      </c>
      <c r="B290" s="180">
        <v>14200</v>
      </c>
      <c r="C290" s="180" t="s">
        <v>596</v>
      </c>
      <c r="D290" s="181" t="str">
        <f>IFERROR(LOOKUP(2,1/((A_Corridor!$A$5:$A$204&lt;&gt;"")*(A_Corridor!$A$5:$A$204&lt;=$B290)*(A_Corridor!$B$5:$B$204&gt;$B290)*(A_Corridor!$C$5:$C$204&lt;&gt;"")),IF(UPPER(A_Corridor!$C$5:$C$204)="Y",1,"")),"")</f>
        <v/>
      </c>
      <c r="E290" s="181" t="str">
        <f>IFERROR(LOOKUP(2,1/((A_Corridor!$A$5:$A$204&lt;&gt;"")*(A_Corridor!$A$5:$A$204&lt;=$B290)*(A_Corridor!$B$5:$B$204&gt;$B290)*(A_Corridor!$D$5:$D$204&lt;&gt;"")),IF(A_Corridor!$D$5:$D$204="-","",UPPER(A_Corridor!$D$5:$D$204))),"")</f>
        <v/>
      </c>
      <c r="F290" s="181" t="str">
        <f>IFERROR(LOOKUP(2,1/((A_Corridor!$A$5:$A$204&lt;&gt;"")*(A_Corridor!$A$5:$A$204&lt;=$B290)*(A_Corridor!$B$5:$B$204&gt;$B290)*(A_Corridor!$E$5:$E$204&lt;&gt;"")),IF(A_Corridor!$E$5:$E$204="-","",1)),"")</f>
        <v/>
      </c>
      <c r="G290" s="182" t="str">
        <f>IFERROR(LOOKUP(2,1/((A_Corridor!$A$5:$A$204&lt;&gt;"")*(A_Corridor!$A$5:$A$204&lt;=$B290)*(A_Corridor!$B$5:$B$204&gt;$B290)*(A_Corridor!$E$5:$E$204&lt;&gt;"")),IF(A_Corridor!$E$5:$E$204="-","",A_Corridor!$E$5:$E$204)),"")</f>
        <v/>
      </c>
      <c r="H290" s="182" t="str">
        <f>IFERROR(LOOKUP(2,1/((D_Points!$A$5:$A$204&lt;&gt;"")*(D_Points!$A$5:$A$204&gt;=$B290)*(D_Points!$A$5:$A$204&lt;$B290+P_Interval)*(UPPER(TRIM(D_Points!$B$5:$B$204))="GULLY")*(D_Points!$H$5:$H$204&lt;&gt;"")),D_Points!$H$5:$H$204),"")</f>
        <v/>
      </c>
      <c r="I290" s="181" t="str">
        <f>IFERROR(LOOKUP(2,1/((A_Corridor!$A$5:$A$204&lt;&gt;"")*(A_Corridor!$A$5:$A$204&lt;=$B290)*(A_Corridor!$B$5:$B$204&gt;$B290)*(A_Corridor!$F$5:$F$204&lt;&gt;"")),IF(A_Corridor!$F$5:$F$204="-","",1)),"")</f>
        <v/>
      </c>
      <c r="J290" s="182" t="str">
        <f>IFERROR(LOOKUP(2,1/((A_Corridor!$A$5:$A$204&lt;&gt;"")*(A_Corridor!$A$5:$A$204&lt;=$B290)*(A_Corridor!$B$5:$B$204&gt;$B290)*(A_Corridor!$F$5:$F$204&lt;&gt;"")),IF(A_Corridor!$F$5:$F$204="-","",A_Corridor!$F$5:$F$204)),"")</f>
        <v/>
      </c>
      <c r="K290" s="182" t="str">
        <f>IFERROR(LOOKUP(2,1/((A_Corridor!$A$5:$A$204&lt;&gt;"")*(A_Corridor!$A$5:$A$204&lt;=$B290)*(A_Corridor!$B$5:$B$204&gt;$B290)*(A_Corridor!$G$5:$G$204&lt;&gt;"")),IF(A_Corridor!$G$5:$G$204="-","",A_Corridor!$G$5:$G$204)),"")</f>
        <v/>
      </c>
      <c r="L290" s="181" t="str">
        <f>IFERROR(LOOKUP(2,1/((A_Corridor!$A$5:$A$204&lt;&gt;"")*(A_Corridor!$A$5:$A$204&lt;=$B290)*(A_Corridor!$B$5:$B$204&gt;$B290)*(A_Corridor!$H$5:$H$204&lt;&gt;"")),IF(A_Corridor!$H$5:$H$204="-","",1)),"")</f>
        <v/>
      </c>
      <c r="M290" s="182" t="str">
        <f>IFERROR(LOOKUP(2,1/((A_Corridor!$A$5:$A$204&lt;&gt;"")*(A_Corridor!$A$5:$A$204&lt;=$B290)*(A_Corridor!$B$5:$B$204&gt;$B290)*(A_Corridor!$H$5:$H$204&lt;&gt;"")),IF(A_Corridor!$H$5:$H$204="-","",A_Corridor!$H$5:$H$204)),"")</f>
        <v/>
      </c>
      <c r="N290" s="182" t="str">
        <f>IFERROR(LOOKUP(2,1/((A_Corridor!$A$5:$A$204&lt;&gt;"")*(A_Corridor!$A$5:$A$204&lt;=$B290)*(A_Corridor!$B$5:$B$204&gt;$B290)*(A_Corridor!$I$5:$I$204&lt;&gt;"")),IF(A_Corridor!$I$5:$I$204="-","",A_Corridor!$I$5:$I$204)),"")</f>
        <v/>
      </c>
      <c r="O290" s="182" t="str">
        <f>IFERROR(LOOKUP(2,1/((D_Points!$A$5:$A$204&lt;&gt;"")*(D_Points!$A$5:$A$204&gt;=$B290)*(D_Points!$A$5:$A$204&lt;$B290+P_Interval)*(UPPER(TRIM(D_Points!$B$5:$B$204))="PITCHING")*(D_Points!$H$5:$H$204&lt;&gt;"")),D_Points!$H$5:$H$204),"")</f>
        <v/>
      </c>
      <c r="P290" s="181" t="str">
        <f>IFERROR(LOOKUP(2,1/((B_Drainage!$A$5:$A$204&lt;&gt;"")*(B_Drainage!$A$5:$A$204&lt;=$B290)*(B_Drainage!$B$5:$B$204&gt;$B290)*(B_Drainage!$C$5:$C$204&lt;&gt;"")),IF(B_Drainage!$C$5:$C$204="-","",UPPER(B_Drainage!$C$5:$C$204))),"")</f>
        <v/>
      </c>
      <c r="Q290" s="181" t="str">
        <f>IFERROR(LOOKUP(2,1/((B_Drainage!$A$5:$A$204&lt;&gt;"")*(B_Drainage!$A$5:$A$204&lt;=$B290)*(B_Drainage!$B$5:$B$204&gt;$B290)*(B_Drainage!$D$5:$D$204&lt;&gt;"")),IF(B_Drainage!$D$5:$D$204="-","",UPPER(B_Drainage!$D$5:$D$204))),"")</f>
        <v/>
      </c>
      <c r="R290" s="182" t="str">
        <f>IFERROR(LOOKUP(2,1/((D_Points!$A$5:$A$204&lt;&gt;"")*(D_Points!$A$5:$A$204&gt;=$B290)*(D_Points!$A$5:$A$204&lt;$B290+P_Interval)*(RIGHT(UPPER(TRIM(D_Points!$B$5:$B$204)),8)="_CULVERT")),IF(LEFT(UPPER(TRIM(D_Points!$B$5:$B$204)),2)="EX",1,IF(LEFT(UPPER(TRIM(D_Points!$B$5:$B$204)),2)="PR",2,3))),"")</f>
        <v/>
      </c>
      <c r="S290" s="182" t="str">
        <f>IFERROR(LOOKUP(2,1/((D_Points!$A$5:$A$204&lt;&gt;"")*(D_Points!$A$5:$A$204&gt;=$B290)*(D_Points!$A$5:$A$204&lt;$B290+P_Interval)*(RIGHT(UPPER(TRIM(D_Points!$B$5:$B$204)),7)="_BRIDGE")),IF(LEFT(UPPER(TRIM(D_Points!$B$5:$B$204)),2)="EX",1,IF(LEFT(UPPER(TRIM(D_Points!$B$5:$B$204)),2)="PR",2,2))),"")</f>
        <v/>
      </c>
      <c r="T290" s="181" t="str">
        <f>IFERROR(LOOKUP(2,1/((B_Drainage!$A$5:$A$204&lt;&gt;"")*(B_Drainage!$A$5:$A$204&lt;=$B290)*(B_Drainage!$B$5:$B$204&gt;$B290)*(B_Drainage!$E$5:$E$204&lt;&gt;"")),IF(B_Drainage!$E$5:$E$204="-","",1)),"")</f>
        <v/>
      </c>
      <c r="U290" s="181" t="str">
        <f>IFERROR(LOOKUP(2,1/((B_Drainage!$A$5:$A$204&lt;&gt;"")*(B_Drainage!$A$5:$A$204&lt;=$B290)*(B_Drainage!$B$5:$B$204&gt;$B290)*(B_Drainage!$E$5:$E$204&lt;&gt;"")),IF(B_Drainage!$E$5:$E$204="-","",B_Drainage!$E$5:$E$204)),"")</f>
        <v/>
      </c>
      <c r="V290" s="181" t="str">
        <f>IFERROR(LOOKUP(2,1/((B_Drainage!$A$5:$A$204&lt;&gt;"")*(B_Drainage!$A$5:$A$204&lt;=$B290)*(B_Drainage!$B$5:$B$204&gt;$B290)*(B_Drainage!$F$5:$F$204&lt;&gt;"")),IF(B_Drainage!$F$5:$F$204="-","",1)),"")</f>
        <v/>
      </c>
      <c r="W290" s="181" t="str">
        <f>IFERROR(LOOKUP(2,1/((B_Drainage!$A$5:$A$204&lt;&gt;"")*(B_Drainage!$A$5:$A$204&lt;=$B290)*(B_Drainage!$B$5:$B$204&gt;$B290)*(B_Drainage!$F$5:$F$204&lt;&gt;"")),IF(B_Drainage!$F$5:$F$204="-","",B_Drainage!$F$5:$F$204)),"")</f>
        <v/>
      </c>
      <c r="X290" s="181" t="str">
        <f>IFERROR(LOOKUP(2,1/((B_Drainage!$A$5:$A$204&lt;&gt;"")*(B_Drainage!$A$5:$A$204&lt;=$B290)*(B_Drainage!$B$5:$B$204&gt;$B290)*(B_Drainage!$G$5:$G$204&lt;&gt;"")),IF(UPPER(B_Drainage!$G$5:$G$204)="Y",1,"")),"")</f>
        <v/>
      </c>
      <c r="Y290" s="181" t="str">
        <f>IFERROR(LOOKUP(2,1/((B_Drainage!$A$5:$A$204&lt;&gt;"")*(B_Drainage!$A$5:$A$204&lt;=$B290)*(B_Drainage!$B$5:$B$204&gt;$B290)*(B_Drainage!$H$5:$H$204&lt;&gt;"")),IF(UPPER(B_Drainage!$H$5:$H$204)="Y",1,"")),"")</f>
        <v/>
      </c>
      <c r="Z290" s="181" t="str">
        <f>IFERROR(LOOKUP(2,1/((B_Drainage!$A$5:$A$204&lt;&gt;"")*(B_Drainage!$A$5:$A$204&lt;=$B290)*(B_Drainage!$B$5:$B$204&gt;$B290)*(B_Drainage!$I$5:$I$204&lt;&gt;"")),IF(UPPER(B_Drainage!$I$5:$I$204)="Y",1,"")),"")</f>
        <v/>
      </c>
      <c r="AA290" s="181" t="str">
        <f>IFERROR(LOOKUP(2,1/((B_Drainage!$A$5:$A$204&lt;&gt;"")*(B_Drainage!$A$5:$A$204&lt;=$B290)*(B_Drainage!$B$5:$B$204&gt;$B290)*(B_Drainage!$J$5:$J$204&lt;&gt;"")),IF(UPPER(B_Drainage!$J$5:$J$204)="Y",1,"")),"")</f>
        <v/>
      </c>
      <c r="AB290" s="182" t="str">
        <f>IFERROR(LOOKUP(2,1/((B_Drainage!$A$5:$A$204&lt;&gt;"")*(B_Drainage!$A$5:$A$204&lt;=$B290)*(B_Drainage!$B$5:$B$204&gt;$B290)*(B_Drainage!$K$5:$K$204&lt;&gt;"")),IF(B_Drainage!$K$5:$K$204="-","",B_Drainage!$K$5:$K$204)),"")</f>
        <v/>
      </c>
      <c r="AC290" s="182" t="str">
        <f>IFERROR(LOOKUP(2,1/((B_Drainage!$A$5:$A$204&lt;&gt;"")*(B_Drainage!$A$5:$A$204&lt;=$B290)*(B_Drainage!$B$5:$B$204&gt;$B290)*(B_Drainage!$L$5:$L$204&lt;&gt;"")),IF(B_Drainage!$L$5:$L$204="-","",B_Drainage!$L$5:$L$204)),"")</f>
        <v/>
      </c>
      <c r="AD290" s="182" t="str">
        <f>IFERROR(LOOKUP(2,1/((D_Points!$A$5:$A$204&lt;&gt;"")*(D_Points!$A$5:$A$204&gt;=$B290)*(D_Points!$A$5:$A$204&lt;$B290+P_Interval)*(UPPER(TRIM(D_Points!$B$5:$B$204))="TURNOUT_L")*(D_Points!$H$5:$H$204&lt;&gt;"")),D_Points!$H$5:$H$204),"")</f>
        <v/>
      </c>
      <c r="AE290" s="182" t="str">
        <f>IFERROR(LOOKUP(2,1/((D_Points!$A$5:$A$204&lt;&gt;"")*(D_Points!$A$5:$A$204&gt;=$B290)*(D_Points!$A$5:$A$204&lt;$B290+P_Interval)*(UPPER(TRIM(D_Points!$B$5:$B$204))="TURNOUT_R")*(D_Points!$H$5:$H$204&lt;&gt;"")),D_Points!$H$5:$H$204),"")</f>
        <v/>
      </c>
      <c r="AF290" s="181" t="str">
        <f>IFERROR(LOOKUP(2,1/((B_Drainage!$A$5:$A$204&lt;&gt;"")*(B_Drainage!$A$5:$A$204&lt;=$B290)*(B_Drainage!$B$5:$B$204&gt;$B290)*(B_Drainage!$M$5:$M$204&lt;&gt;"")),IF(UPPER(B_Drainage!$M$5:$M$204)="Y",1,"")),"")</f>
        <v/>
      </c>
      <c r="AG290" s="181" t="str">
        <f>IFERROR(LOOKUP(2,1/((B_Drainage!$A$5:$A$204&lt;&gt;"")*(B_Drainage!$A$5:$A$204&lt;=$B290)*(B_Drainage!$B$5:$B$204&gt;$B290)*(B_Drainage!$N$5:$N$204&lt;&gt;"")),IF(UPPER(B_Drainage!$N$5:$N$204)="Y",1,"")),"")</f>
        <v/>
      </c>
      <c r="AH290" s="181" t="str">
        <f t="shared" si="32"/>
        <v/>
      </c>
      <c r="AI290" s="181" t="str">
        <f t="shared" si="33"/>
        <v/>
      </c>
      <c r="AJ290" s="181" t="str">
        <f t="shared" si="34"/>
        <v/>
      </c>
      <c r="AK290" s="181" t="str">
        <f t="shared" si="35"/>
        <v/>
      </c>
      <c r="AL290" s="181" t="str">
        <f t="shared" si="36"/>
        <v/>
      </c>
      <c r="AM290" s="181" t="str">
        <f t="shared" si="37"/>
        <v/>
      </c>
      <c r="AN290" s="181" t="str">
        <f t="shared" si="38"/>
        <v/>
      </c>
      <c r="AO290" s="192" t="str">
        <f t="shared" si="39"/>
        <v/>
      </c>
      <c r="AQ290" t="str">
        <f>IFERROR(LOOKUP(2,1/((C_Pavement!$A$5:$A$204&lt;&gt;"")*(C_Pavement!$A$5:$A$204&lt;=$B290)*(C_Pavement!$B$5:$B$204&gt;$B290)*(C_Pavement!$C$5:$C$204&lt;&gt;"")),ROW(C_Pavement!$C$5:$C$204)-4),"")</f>
        <v/>
      </c>
      <c r="AR290" t="str">
        <f>IF($AQ290="","",UPPER(TRIM(INDEX(C_Pavement!$C$5:$C$204,$AQ290))))</f>
        <v/>
      </c>
      <c r="AS290" t="str">
        <f>IF($AR290="","",IFERROR(MATCH($AR290,E_Rules!$A$5:$A$9,0),""))</f>
        <v/>
      </c>
      <c r="AT290" t="str">
        <f>IF($AQ290="","",IF(INDEX(C_Pavement!$D$5:$D$204,$AQ290)&lt;&gt;"",UPPER(TRIM(INDEX(C_Pavement!$D$5:$D$204,$AQ290))),IF($AS290="","",INDEX(E_Rules!$C$5:$C$9,$AS290))))</f>
        <v/>
      </c>
      <c r="AU290" t="str">
        <f>IF($AQ290="","",IF(INDEX(C_Pavement!$E$5:$E$204,$AQ290)&lt;&gt;"",IF(INDEX(C_Pavement!$E$5:$E$204,$AQ290)="-","",INDEX(C_Pavement!$E$5:$E$204,$AQ290)),IF($AS290="","",INDEX(E_Rules!$D$5:$D$9,$AS290))))</f>
        <v/>
      </c>
      <c r="AV290" t="str">
        <f>IF($AQ290="","",IF(INDEX(C_Pavement!$F$5:$F$204,$AQ290)&lt;&gt;"",IF(INDEX(C_Pavement!$F$5:$F$204,$AQ290)="-","",INDEX(C_Pavement!$F$5:$F$204,$AQ290)),IF($AS290="","",INDEX(E_Rules!$E$5:$E$9,$AS290))))</f>
        <v/>
      </c>
      <c r="AW290" t="str">
        <f>IF($AQ290="","",IF(INDEX(C_Pavement!$G$5:$G$204,$AQ290)&lt;&gt;"",IF(INDEX(C_Pavement!$G$5:$G$204,$AQ290)="-","",INDEX(C_Pavement!$G$5:$G$204,$AQ290)),IF($AS290="","",INDEX(E_Rules!$F$5:$F$9,$AS290))))</f>
        <v/>
      </c>
      <c r="AX290" t="str">
        <f>IF($AQ290="","",IF(INDEX(C_Pavement!$H$5:$H$204,$AQ290)&lt;&gt;"",IF(INDEX(C_Pavement!$H$5:$H$204,$AQ290)="-","",INDEX(C_Pavement!$H$5:$H$204,$AQ290)),IF($AS290="","",INDEX(E_Rules!$G$5:$G$9,$AS290))))</f>
        <v/>
      </c>
      <c r="AY290" t="str">
        <f>IF($AQ290="","",IF(INDEX(C_Pavement!$I$5:$I$204,$AQ290)&lt;&gt;"",IF(INDEX(C_Pavement!$I$5:$I$204,$AQ290)="-","",INDEX(C_Pavement!$I$5:$I$204,$AQ290)),IF($AS290="","",INDEX(E_Rules!$H$5:$H$9,$AS290))))</f>
        <v/>
      </c>
    </row>
    <row r="291" spans="1:51" ht="15.75" customHeight="1" x14ac:dyDescent="0.3">
      <c r="A291" s="189">
        <v>286</v>
      </c>
      <c r="B291" s="180">
        <v>14250</v>
      </c>
      <c r="C291" s="180" t="s">
        <v>597</v>
      </c>
      <c r="D291" s="181" t="str">
        <f>IFERROR(LOOKUP(2,1/((A_Corridor!$A$5:$A$204&lt;&gt;"")*(A_Corridor!$A$5:$A$204&lt;=$B291)*(A_Corridor!$B$5:$B$204&gt;$B291)*(A_Corridor!$C$5:$C$204&lt;&gt;"")),IF(UPPER(A_Corridor!$C$5:$C$204)="Y",1,"")),"")</f>
        <v/>
      </c>
      <c r="E291" s="181" t="str">
        <f>IFERROR(LOOKUP(2,1/((A_Corridor!$A$5:$A$204&lt;&gt;"")*(A_Corridor!$A$5:$A$204&lt;=$B291)*(A_Corridor!$B$5:$B$204&gt;$B291)*(A_Corridor!$D$5:$D$204&lt;&gt;"")),IF(A_Corridor!$D$5:$D$204="-","",UPPER(A_Corridor!$D$5:$D$204))),"")</f>
        <v/>
      </c>
      <c r="F291" s="181" t="str">
        <f>IFERROR(LOOKUP(2,1/((A_Corridor!$A$5:$A$204&lt;&gt;"")*(A_Corridor!$A$5:$A$204&lt;=$B291)*(A_Corridor!$B$5:$B$204&gt;$B291)*(A_Corridor!$E$5:$E$204&lt;&gt;"")),IF(A_Corridor!$E$5:$E$204="-","",1)),"")</f>
        <v/>
      </c>
      <c r="G291" s="182" t="str">
        <f>IFERROR(LOOKUP(2,1/((A_Corridor!$A$5:$A$204&lt;&gt;"")*(A_Corridor!$A$5:$A$204&lt;=$B291)*(A_Corridor!$B$5:$B$204&gt;$B291)*(A_Corridor!$E$5:$E$204&lt;&gt;"")),IF(A_Corridor!$E$5:$E$204="-","",A_Corridor!$E$5:$E$204)),"")</f>
        <v/>
      </c>
      <c r="H291" s="182" t="str">
        <f>IFERROR(LOOKUP(2,1/((D_Points!$A$5:$A$204&lt;&gt;"")*(D_Points!$A$5:$A$204&gt;=$B291)*(D_Points!$A$5:$A$204&lt;$B291+P_Interval)*(UPPER(TRIM(D_Points!$B$5:$B$204))="GULLY")*(D_Points!$H$5:$H$204&lt;&gt;"")),D_Points!$H$5:$H$204),"")</f>
        <v/>
      </c>
      <c r="I291" s="181" t="str">
        <f>IFERROR(LOOKUP(2,1/((A_Corridor!$A$5:$A$204&lt;&gt;"")*(A_Corridor!$A$5:$A$204&lt;=$B291)*(A_Corridor!$B$5:$B$204&gt;$B291)*(A_Corridor!$F$5:$F$204&lt;&gt;"")),IF(A_Corridor!$F$5:$F$204="-","",1)),"")</f>
        <v/>
      </c>
      <c r="J291" s="182" t="str">
        <f>IFERROR(LOOKUP(2,1/((A_Corridor!$A$5:$A$204&lt;&gt;"")*(A_Corridor!$A$5:$A$204&lt;=$B291)*(A_Corridor!$B$5:$B$204&gt;$B291)*(A_Corridor!$F$5:$F$204&lt;&gt;"")),IF(A_Corridor!$F$5:$F$204="-","",A_Corridor!$F$5:$F$204)),"")</f>
        <v/>
      </c>
      <c r="K291" s="182" t="str">
        <f>IFERROR(LOOKUP(2,1/((A_Corridor!$A$5:$A$204&lt;&gt;"")*(A_Corridor!$A$5:$A$204&lt;=$B291)*(A_Corridor!$B$5:$B$204&gt;$B291)*(A_Corridor!$G$5:$G$204&lt;&gt;"")),IF(A_Corridor!$G$5:$G$204="-","",A_Corridor!$G$5:$G$204)),"")</f>
        <v/>
      </c>
      <c r="L291" s="181" t="str">
        <f>IFERROR(LOOKUP(2,1/((A_Corridor!$A$5:$A$204&lt;&gt;"")*(A_Corridor!$A$5:$A$204&lt;=$B291)*(A_Corridor!$B$5:$B$204&gt;$B291)*(A_Corridor!$H$5:$H$204&lt;&gt;"")),IF(A_Corridor!$H$5:$H$204="-","",1)),"")</f>
        <v/>
      </c>
      <c r="M291" s="182" t="str">
        <f>IFERROR(LOOKUP(2,1/((A_Corridor!$A$5:$A$204&lt;&gt;"")*(A_Corridor!$A$5:$A$204&lt;=$B291)*(A_Corridor!$B$5:$B$204&gt;$B291)*(A_Corridor!$H$5:$H$204&lt;&gt;"")),IF(A_Corridor!$H$5:$H$204="-","",A_Corridor!$H$5:$H$204)),"")</f>
        <v/>
      </c>
      <c r="N291" s="182" t="str">
        <f>IFERROR(LOOKUP(2,1/((A_Corridor!$A$5:$A$204&lt;&gt;"")*(A_Corridor!$A$5:$A$204&lt;=$B291)*(A_Corridor!$B$5:$B$204&gt;$B291)*(A_Corridor!$I$5:$I$204&lt;&gt;"")),IF(A_Corridor!$I$5:$I$204="-","",A_Corridor!$I$5:$I$204)),"")</f>
        <v/>
      </c>
      <c r="O291" s="182" t="str">
        <f>IFERROR(LOOKUP(2,1/((D_Points!$A$5:$A$204&lt;&gt;"")*(D_Points!$A$5:$A$204&gt;=$B291)*(D_Points!$A$5:$A$204&lt;$B291+P_Interval)*(UPPER(TRIM(D_Points!$B$5:$B$204))="PITCHING")*(D_Points!$H$5:$H$204&lt;&gt;"")),D_Points!$H$5:$H$204),"")</f>
        <v/>
      </c>
      <c r="P291" s="181" t="str">
        <f>IFERROR(LOOKUP(2,1/((B_Drainage!$A$5:$A$204&lt;&gt;"")*(B_Drainage!$A$5:$A$204&lt;=$B291)*(B_Drainage!$B$5:$B$204&gt;$B291)*(B_Drainage!$C$5:$C$204&lt;&gt;"")),IF(B_Drainage!$C$5:$C$204="-","",UPPER(B_Drainage!$C$5:$C$204))),"")</f>
        <v/>
      </c>
      <c r="Q291" s="181" t="str">
        <f>IFERROR(LOOKUP(2,1/((B_Drainage!$A$5:$A$204&lt;&gt;"")*(B_Drainage!$A$5:$A$204&lt;=$B291)*(B_Drainage!$B$5:$B$204&gt;$B291)*(B_Drainage!$D$5:$D$204&lt;&gt;"")),IF(B_Drainage!$D$5:$D$204="-","",UPPER(B_Drainage!$D$5:$D$204))),"")</f>
        <v/>
      </c>
      <c r="R291" s="182" t="str">
        <f>IFERROR(LOOKUP(2,1/((D_Points!$A$5:$A$204&lt;&gt;"")*(D_Points!$A$5:$A$204&gt;=$B291)*(D_Points!$A$5:$A$204&lt;$B291+P_Interval)*(RIGHT(UPPER(TRIM(D_Points!$B$5:$B$204)),8)="_CULVERT")),IF(LEFT(UPPER(TRIM(D_Points!$B$5:$B$204)),2)="EX",1,IF(LEFT(UPPER(TRIM(D_Points!$B$5:$B$204)),2)="PR",2,3))),"")</f>
        <v/>
      </c>
      <c r="S291" s="182" t="str">
        <f>IFERROR(LOOKUP(2,1/((D_Points!$A$5:$A$204&lt;&gt;"")*(D_Points!$A$5:$A$204&gt;=$B291)*(D_Points!$A$5:$A$204&lt;$B291+P_Interval)*(RIGHT(UPPER(TRIM(D_Points!$B$5:$B$204)),7)="_BRIDGE")),IF(LEFT(UPPER(TRIM(D_Points!$B$5:$B$204)),2)="EX",1,IF(LEFT(UPPER(TRIM(D_Points!$B$5:$B$204)),2)="PR",2,2))),"")</f>
        <v/>
      </c>
      <c r="T291" s="181" t="str">
        <f>IFERROR(LOOKUP(2,1/((B_Drainage!$A$5:$A$204&lt;&gt;"")*(B_Drainage!$A$5:$A$204&lt;=$B291)*(B_Drainage!$B$5:$B$204&gt;$B291)*(B_Drainage!$E$5:$E$204&lt;&gt;"")),IF(B_Drainage!$E$5:$E$204="-","",1)),"")</f>
        <v/>
      </c>
      <c r="U291" s="181" t="str">
        <f>IFERROR(LOOKUP(2,1/((B_Drainage!$A$5:$A$204&lt;&gt;"")*(B_Drainage!$A$5:$A$204&lt;=$B291)*(B_Drainage!$B$5:$B$204&gt;$B291)*(B_Drainage!$E$5:$E$204&lt;&gt;"")),IF(B_Drainage!$E$5:$E$204="-","",B_Drainage!$E$5:$E$204)),"")</f>
        <v/>
      </c>
      <c r="V291" s="181" t="str">
        <f>IFERROR(LOOKUP(2,1/((B_Drainage!$A$5:$A$204&lt;&gt;"")*(B_Drainage!$A$5:$A$204&lt;=$B291)*(B_Drainage!$B$5:$B$204&gt;$B291)*(B_Drainage!$F$5:$F$204&lt;&gt;"")),IF(B_Drainage!$F$5:$F$204="-","",1)),"")</f>
        <v/>
      </c>
      <c r="W291" s="181" t="str">
        <f>IFERROR(LOOKUP(2,1/((B_Drainage!$A$5:$A$204&lt;&gt;"")*(B_Drainage!$A$5:$A$204&lt;=$B291)*(B_Drainage!$B$5:$B$204&gt;$B291)*(B_Drainage!$F$5:$F$204&lt;&gt;"")),IF(B_Drainage!$F$5:$F$204="-","",B_Drainage!$F$5:$F$204)),"")</f>
        <v/>
      </c>
      <c r="X291" s="181" t="str">
        <f>IFERROR(LOOKUP(2,1/((B_Drainage!$A$5:$A$204&lt;&gt;"")*(B_Drainage!$A$5:$A$204&lt;=$B291)*(B_Drainage!$B$5:$B$204&gt;$B291)*(B_Drainage!$G$5:$G$204&lt;&gt;"")),IF(UPPER(B_Drainage!$G$5:$G$204)="Y",1,"")),"")</f>
        <v/>
      </c>
      <c r="Y291" s="181" t="str">
        <f>IFERROR(LOOKUP(2,1/((B_Drainage!$A$5:$A$204&lt;&gt;"")*(B_Drainage!$A$5:$A$204&lt;=$B291)*(B_Drainage!$B$5:$B$204&gt;$B291)*(B_Drainage!$H$5:$H$204&lt;&gt;"")),IF(UPPER(B_Drainage!$H$5:$H$204)="Y",1,"")),"")</f>
        <v/>
      </c>
      <c r="Z291" s="181" t="str">
        <f>IFERROR(LOOKUP(2,1/((B_Drainage!$A$5:$A$204&lt;&gt;"")*(B_Drainage!$A$5:$A$204&lt;=$B291)*(B_Drainage!$B$5:$B$204&gt;$B291)*(B_Drainage!$I$5:$I$204&lt;&gt;"")),IF(UPPER(B_Drainage!$I$5:$I$204)="Y",1,"")),"")</f>
        <v/>
      </c>
      <c r="AA291" s="181" t="str">
        <f>IFERROR(LOOKUP(2,1/((B_Drainage!$A$5:$A$204&lt;&gt;"")*(B_Drainage!$A$5:$A$204&lt;=$B291)*(B_Drainage!$B$5:$B$204&gt;$B291)*(B_Drainage!$J$5:$J$204&lt;&gt;"")),IF(UPPER(B_Drainage!$J$5:$J$204)="Y",1,"")),"")</f>
        <v/>
      </c>
      <c r="AB291" s="182" t="str">
        <f>IFERROR(LOOKUP(2,1/((B_Drainage!$A$5:$A$204&lt;&gt;"")*(B_Drainage!$A$5:$A$204&lt;=$B291)*(B_Drainage!$B$5:$B$204&gt;$B291)*(B_Drainage!$K$5:$K$204&lt;&gt;"")),IF(B_Drainage!$K$5:$K$204="-","",B_Drainage!$K$5:$K$204)),"")</f>
        <v/>
      </c>
      <c r="AC291" s="182" t="str">
        <f>IFERROR(LOOKUP(2,1/((B_Drainage!$A$5:$A$204&lt;&gt;"")*(B_Drainage!$A$5:$A$204&lt;=$B291)*(B_Drainage!$B$5:$B$204&gt;$B291)*(B_Drainage!$L$5:$L$204&lt;&gt;"")),IF(B_Drainage!$L$5:$L$204="-","",B_Drainage!$L$5:$L$204)),"")</f>
        <v/>
      </c>
      <c r="AD291" s="182" t="str">
        <f>IFERROR(LOOKUP(2,1/((D_Points!$A$5:$A$204&lt;&gt;"")*(D_Points!$A$5:$A$204&gt;=$B291)*(D_Points!$A$5:$A$204&lt;$B291+P_Interval)*(UPPER(TRIM(D_Points!$B$5:$B$204))="TURNOUT_L")*(D_Points!$H$5:$H$204&lt;&gt;"")),D_Points!$H$5:$H$204),"")</f>
        <v/>
      </c>
      <c r="AE291" s="182" t="str">
        <f>IFERROR(LOOKUP(2,1/((D_Points!$A$5:$A$204&lt;&gt;"")*(D_Points!$A$5:$A$204&gt;=$B291)*(D_Points!$A$5:$A$204&lt;$B291+P_Interval)*(UPPER(TRIM(D_Points!$B$5:$B$204))="TURNOUT_R")*(D_Points!$H$5:$H$204&lt;&gt;"")),D_Points!$H$5:$H$204),"")</f>
        <v/>
      </c>
      <c r="AF291" s="181" t="str">
        <f>IFERROR(LOOKUP(2,1/((B_Drainage!$A$5:$A$204&lt;&gt;"")*(B_Drainage!$A$5:$A$204&lt;=$B291)*(B_Drainage!$B$5:$B$204&gt;$B291)*(B_Drainage!$M$5:$M$204&lt;&gt;"")),IF(UPPER(B_Drainage!$M$5:$M$204)="Y",1,"")),"")</f>
        <v/>
      </c>
      <c r="AG291" s="181" t="str">
        <f>IFERROR(LOOKUP(2,1/((B_Drainage!$A$5:$A$204&lt;&gt;"")*(B_Drainage!$A$5:$A$204&lt;=$B291)*(B_Drainage!$B$5:$B$204&gt;$B291)*(B_Drainage!$N$5:$N$204&lt;&gt;"")),IF(UPPER(B_Drainage!$N$5:$N$204)="Y",1,"")),"")</f>
        <v/>
      </c>
      <c r="AH291" s="181" t="str">
        <f t="shared" si="32"/>
        <v/>
      </c>
      <c r="AI291" s="181" t="str">
        <f t="shared" si="33"/>
        <v/>
      </c>
      <c r="AJ291" s="181" t="str">
        <f t="shared" si="34"/>
        <v/>
      </c>
      <c r="AK291" s="181" t="str">
        <f t="shared" si="35"/>
        <v/>
      </c>
      <c r="AL291" s="181" t="str">
        <f t="shared" si="36"/>
        <v/>
      </c>
      <c r="AM291" s="181" t="str">
        <f t="shared" si="37"/>
        <v/>
      </c>
      <c r="AN291" s="181" t="str">
        <f t="shared" si="38"/>
        <v/>
      </c>
      <c r="AO291" s="192" t="str">
        <f t="shared" si="39"/>
        <v/>
      </c>
      <c r="AQ291" t="str">
        <f>IFERROR(LOOKUP(2,1/((C_Pavement!$A$5:$A$204&lt;&gt;"")*(C_Pavement!$A$5:$A$204&lt;=$B291)*(C_Pavement!$B$5:$B$204&gt;$B291)*(C_Pavement!$C$5:$C$204&lt;&gt;"")),ROW(C_Pavement!$C$5:$C$204)-4),"")</f>
        <v/>
      </c>
      <c r="AR291" t="str">
        <f>IF($AQ291="","",UPPER(TRIM(INDEX(C_Pavement!$C$5:$C$204,$AQ291))))</f>
        <v/>
      </c>
      <c r="AS291" t="str">
        <f>IF($AR291="","",IFERROR(MATCH($AR291,E_Rules!$A$5:$A$9,0),""))</f>
        <v/>
      </c>
      <c r="AT291" t="str">
        <f>IF($AQ291="","",IF(INDEX(C_Pavement!$D$5:$D$204,$AQ291)&lt;&gt;"",UPPER(TRIM(INDEX(C_Pavement!$D$5:$D$204,$AQ291))),IF($AS291="","",INDEX(E_Rules!$C$5:$C$9,$AS291))))</f>
        <v/>
      </c>
      <c r="AU291" t="str">
        <f>IF($AQ291="","",IF(INDEX(C_Pavement!$E$5:$E$204,$AQ291)&lt;&gt;"",IF(INDEX(C_Pavement!$E$5:$E$204,$AQ291)="-","",INDEX(C_Pavement!$E$5:$E$204,$AQ291)),IF($AS291="","",INDEX(E_Rules!$D$5:$D$9,$AS291))))</f>
        <v/>
      </c>
      <c r="AV291" t="str">
        <f>IF($AQ291="","",IF(INDEX(C_Pavement!$F$5:$F$204,$AQ291)&lt;&gt;"",IF(INDEX(C_Pavement!$F$5:$F$204,$AQ291)="-","",INDEX(C_Pavement!$F$5:$F$204,$AQ291)),IF($AS291="","",INDEX(E_Rules!$E$5:$E$9,$AS291))))</f>
        <v/>
      </c>
      <c r="AW291" t="str">
        <f>IF($AQ291="","",IF(INDEX(C_Pavement!$G$5:$G$204,$AQ291)&lt;&gt;"",IF(INDEX(C_Pavement!$G$5:$G$204,$AQ291)="-","",INDEX(C_Pavement!$G$5:$G$204,$AQ291)),IF($AS291="","",INDEX(E_Rules!$F$5:$F$9,$AS291))))</f>
        <v/>
      </c>
      <c r="AX291" t="str">
        <f>IF($AQ291="","",IF(INDEX(C_Pavement!$H$5:$H$204,$AQ291)&lt;&gt;"",IF(INDEX(C_Pavement!$H$5:$H$204,$AQ291)="-","",INDEX(C_Pavement!$H$5:$H$204,$AQ291)),IF($AS291="","",INDEX(E_Rules!$G$5:$G$9,$AS291))))</f>
        <v/>
      </c>
      <c r="AY291" t="str">
        <f>IF($AQ291="","",IF(INDEX(C_Pavement!$I$5:$I$204,$AQ291)&lt;&gt;"",IF(INDEX(C_Pavement!$I$5:$I$204,$AQ291)="-","",INDEX(C_Pavement!$I$5:$I$204,$AQ291)),IF($AS291="","",INDEX(E_Rules!$H$5:$H$9,$AS291))))</f>
        <v/>
      </c>
    </row>
    <row r="292" spans="1:51" ht="15.75" customHeight="1" x14ac:dyDescent="0.3">
      <c r="A292" s="189">
        <v>287</v>
      </c>
      <c r="B292" s="180">
        <v>14300</v>
      </c>
      <c r="C292" s="180" t="s">
        <v>598</v>
      </c>
      <c r="D292" s="181" t="str">
        <f>IFERROR(LOOKUP(2,1/((A_Corridor!$A$5:$A$204&lt;&gt;"")*(A_Corridor!$A$5:$A$204&lt;=$B292)*(A_Corridor!$B$5:$B$204&gt;$B292)*(A_Corridor!$C$5:$C$204&lt;&gt;"")),IF(UPPER(A_Corridor!$C$5:$C$204)="Y",1,"")),"")</f>
        <v/>
      </c>
      <c r="E292" s="181" t="str">
        <f>IFERROR(LOOKUP(2,1/((A_Corridor!$A$5:$A$204&lt;&gt;"")*(A_Corridor!$A$5:$A$204&lt;=$B292)*(A_Corridor!$B$5:$B$204&gt;$B292)*(A_Corridor!$D$5:$D$204&lt;&gt;"")),IF(A_Corridor!$D$5:$D$204="-","",UPPER(A_Corridor!$D$5:$D$204))),"")</f>
        <v/>
      </c>
      <c r="F292" s="181" t="str">
        <f>IFERROR(LOOKUP(2,1/((A_Corridor!$A$5:$A$204&lt;&gt;"")*(A_Corridor!$A$5:$A$204&lt;=$B292)*(A_Corridor!$B$5:$B$204&gt;$B292)*(A_Corridor!$E$5:$E$204&lt;&gt;"")),IF(A_Corridor!$E$5:$E$204="-","",1)),"")</f>
        <v/>
      </c>
      <c r="G292" s="182" t="str">
        <f>IFERROR(LOOKUP(2,1/((A_Corridor!$A$5:$A$204&lt;&gt;"")*(A_Corridor!$A$5:$A$204&lt;=$B292)*(A_Corridor!$B$5:$B$204&gt;$B292)*(A_Corridor!$E$5:$E$204&lt;&gt;"")),IF(A_Corridor!$E$5:$E$204="-","",A_Corridor!$E$5:$E$204)),"")</f>
        <v/>
      </c>
      <c r="H292" s="182" t="str">
        <f>IFERROR(LOOKUP(2,1/((D_Points!$A$5:$A$204&lt;&gt;"")*(D_Points!$A$5:$A$204&gt;=$B292)*(D_Points!$A$5:$A$204&lt;$B292+P_Interval)*(UPPER(TRIM(D_Points!$B$5:$B$204))="GULLY")*(D_Points!$H$5:$H$204&lt;&gt;"")),D_Points!$H$5:$H$204),"")</f>
        <v/>
      </c>
      <c r="I292" s="181" t="str">
        <f>IFERROR(LOOKUP(2,1/((A_Corridor!$A$5:$A$204&lt;&gt;"")*(A_Corridor!$A$5:$A$204&lt;=$B292)*(A_Corridor!$B$5:$B$204&gt;$B292)*(A_Corridor!$F$5:$F$204&lt;&gt;"")),IF(A_Corridor!$F$5:$F$204="-","",1)),"")</f>
        <v/>
      </c>
      <c r="J292" s="182" t="str">
        <f>IFERROR(LOOKUP(2,1/((A_Corridor!$A$5:$A$204&lt;&gt;"")*(A_Corridor!$A$5:$A$204&lt;=$B292)*(A_Corridor!$B$5:$B$204&gt;$B292)*(A_Corridor!$F$5:$F$204&lt;&gt;"")),IF(A_Corridor!$F$5:$F$204="-","",A_Corridor!$F$5:$F$204)),"")</f>
        <v/>
      </c>
      <c r="K292" s="182" t="str">
        <f>IFERROR(LOOKUP(2,1/((A_Corridor!$A$5:$A$204&lt;&gt;"")*(A_Corridor!$A$5:$A$204&lt;=$B292)*(A_Corridor!$B$5:$B$204&gt;$B292)*(A_Corridor!$G$5:$G$204&lt;&gt;"")),IF(A_Corridor!$G$5:$G$204="-","",A_Corridor!$G$5:$G$204)),"")</f>
        <v/>
      </c>
      <c r="L292" s="181" t="str">
        <f>IFERROR(LOOKUP(2,1/((A_Corridor!$A$5:$A$204&lt;&gt;"")*(A_Corridor!$A$5:$A$204&lt;=$B292)*(A_Corridor!$B$5:$B$204&gt;$B292)*(A_Corridor!$H$5:$H$204&lt;&gt;"")),IF(A_Corridor!$H$5:$H$204="-","",1)),"")</f>
        <v/>
      </c>
      <c r="M292" s="182" t="str">
        <f>IFERROR(LOOKUP(2,1/((A_Corridor!$A$5:$A$204&lt;&gt;"")*(A_Corridor!$A$5:$A$204&lt;=$B292)*(A_Corridor!$B$5:$B$204&gt;$B292)*(A_Corridor!$H$5:$H$204&lt;&gt;"")),IF(A_Corridor!$H$5:$H$204="-","",A_Corridor!$H$5:$H$204)),"")</f>
        <v/>
      </c>
      <c r="N292" s="182" t="str">
        <f>IFERROR(LOOKUP(2,1/((A_Corridor!$A$5:$A$204&lt;&gt;"")*(A_Corridor!$A$5:$A$204&lt;=$B292)*(A_Corridor!$B$5:$B$204&gt;$B292)*(A_Corridor!$I$5:$I$204&lt;&gt;"")),IF(A_Corridor!$I$5:$I$204="-","",A_Corridor!$I$5:$I$204)),"")</f>
        <v/>
      </c>
      <c r="O292" s="182" t="str">
        <f>IFERROR(LOOKUP(2,1/((D_Points!$A$5:$A$204&lt;&gt;"")*(D_Points!$A$5:$A$204&gt;=$B292)*(D_Points!$A$5:$A$204&lt;$B292+P_Interval)*(UPPER(TRIM(D_Points!$B$5:$B$204))="PITCHING")*(D_Points!$H$5:$H$204&lt;&gt;"")),D_Points!$H$5:$H$204),"")</f>
        <v/>
      </c>
      <c r="P292" s="181" t="str">
        <f>IFERROR(LOOKUP(2,1/((B_Drainage!$A$5:$A$204&lt;&gt;"")*(B_Drainage!$A$5:$A$204&lt;=$B292)*(B_Drainage!$B$5:$B$204&gt;$B292)*(B_Drainage!$C$5:$C$204&lt;&gt;"")),IF(B_Drainage!$C$5:$C$204="-","",UPPER(B_Drainage!$C$5:$C$204))),"")</f>
        <v/>
      </c>
      <c r="Q292" s="181" t="str">
        <f>IFERROR(LOOKUP(2,1/((B_Drainage!$A$5:$A$204&lt;&gt;"")*(B_Drainage!$A$5:$A$204&lt;=$B292)*(B_Drainage!$B$5:$B$204&gt;$B292)*(B_Drainage!$D$5:$D$204&lt;&gt;"")),IF(B_Drainage!$D$5:$D$204="-","",UPPER(B_Drainage!$D$5:$D$204))),"")</f>
        <v/>
      </c>
      <c r="R292" s="182" t="str">
        <f>IFERROR(LOOKUP(2,1/((D_Points!$A$5:$A$204&lt;&gt;"")*(D_Points!$A$5:$A$204&gt;=$B292)*(D_Points!$A$5:$A$204&lt;$B292+P_Interval)*(RIGHT(UPPER(TRIM(D_Points!$B$5:$B$204)),8)="_CULVERT")),IF(LEFT(UPPER(TRIM(D_Points!$B$5:$B$204)),2)="EX",1,IF(LEFT(UPPER(TRIM(D_Points!$B$5:$B$204)),2)="PR",2,3))),"")</f>
        <v/>
      </c>
      <c r="S292" s="182" t="str">
        <f>IFERROR(LOOKUP(2,1/((D_Points!$A$5:$A$204&lt;&gt;"")*(D_Points!$A$5:$A$204&gt;=$B292)*(D_Points!$A$5:$A$204&lt;$B292+P_Interval)*(RIGHT(UPPER(TRIM(D_Points!$B$5:$B$204)),7)="_BRIDGE")),IF(LEFT(UPPER(TRIM(D_Points!$B$5:$B$204)),2)="EX",1,IF(LEFT(UPPER(TRIM(D_Points!$B$5:$B$204)),2)="PR",2,2))),"")</f>
        <v/>
      </c>
      <c r="T292" s="181" t="str">
        <f>IFERROR(LOOKUP(2,1/((B_Drainage!$A$5:$A$204&lt;&gt;"")*(B_Drainage!$A$5:$A$204&lt;=$B292)*(B_Drainage!$B$5:$B$204&gt;$B292)*(B_Drainage!$E$5:$E$204&lt;&gt;"")),IF(B_Drainage!$E$5:$E$204="-","",1)),"")</f>
        <v/>
      </c>
      <c r="U292" s="181" t="str">
        <f>IFERROR(LOOKUP(2,1/((B_Drainage!$A$5:$A$204&lt;&gt;"")*(B_Drainage!$A$5:$A$204&lt;=$B292)*(B_Drainage!$B$5:$B$204&gt;$B292)*(B_Drainage!$E$5:$E$204&lt;&gt;"")),IF(B_Drainage!$E$5:$E$204="-","",B_Drainage!$E$5:$E$204)),"")</f>
        <v/>
      </c>
      <c r="V292" s="181" t="str">
        <f>IFERROR(LOOKUP(2,1/((B_Drainage!$A$5:$A$204&lt;&gt;"")*(B_Drainage!$A$5:$A$204&lt;=$B292)*(B_Drainage!$B$5:$B$204&gt;$B292)*(B_Drainage!$F$5:$F$204&lt;&gt;"")),IF(B_Drainage!$F$5:$F$204="-","",1)),"")</f>
        <v/>
      </c>
      <c r="W292" s="181" t="str">
        <f>IFERROR(LOOKUP(2,1/((B_Drainage!$A$5:$A$204&lt;&gt;"")*(B_Drainage!$A$5:$A$204&lt;=$B292)*(B_Drainage!$B$5:$B$204&gt;$B292)*(B_Drainage!$F$5:$F$204&lt;&gt;"")),IF(B_Drainage!$F$5:$F$204="-","",B_Drainage!$F$5:$F$204)),"")</f>
        <v/>
      </c>
      <c r="X292" s="181" t="str">
        <f>IFERROR(LOOKUP(2,1/((B_Drainage!$A$5:$A$204&lt;&gt;"")*(B_Drainage!$A$5:$A$204&lt;=$B292)*(B_Drainage!$B$5:$B$204&gt;$B292)*(B_Drainage!$G$5:$G$204&lt;&gt;"")),IF(UPPER(B_Drainage!$G$5:$G$204)="Y",1,"")),"")</f>
        <v/>
      </c>
      <c r="Y292" s="181" t="str">
        <f>IFERROR(LOOKUP(2,1/((B_Drainage!$A$5:$A$204&lt;&gt;"")*(B_Drainage!$A$5:$A$204&lt;=$B292)*(B_Drainage!$B$5:$B$204&gt;$B292)*(B_Drainage!$H$5:$H$204&lt;&gt;"")),IF(UPPER(B_Drainage!$H$5:$H$204)="Y",1,"")),"")</f>
        <v/>
      </c>
      <c r="Z292" s="181" t="str">
        <f>IFERROR(LOOKUP(2,1/((B_Drainage!$A$5:$A$204&lt;&gt;"")*(B_Drainage!$A$5:$A$204&lt;=$B292)*(B_Drainage!$B$5:$B$204&gt;$B292)*(B_Drainage!$I$5:$I$204&lt;&gt;"")),IF(UPPER(B_Drainage!$I$5:$I$204)="Y",1,"")),"")</f>
        <v/>
      </c>
      <c r="AA292" s="181" t="str">
        <f>IFERROR(LOOKUP(2,1/((B_Drainage!$A$5:$A$204&lt;&gt;"")*(B_Drainage!$A$5:$A$204&lt;=$B292)*(B_Drainage!$B$5:$B$204&gt;$B292)*(B_Drainage!$J$5:$J$204&lt;&gt;"")),IF(UPPER(B_Drainage!$J$5:$J$204)="Y",1,"")),"")</f>
        <v/>
      </c>
      <c r="AB292" s="182" t="str">
        <f>IFERROR(LOOKUP(2,1/((B_Drainage!$A$5:$A$204&lt;&gt;"")*(B_Drainage!$A$5:$A$204&lt;=$B292)*(B_Drainage!$B$5:$B$204&gt;$B292)*(B_Drainage!$K$5:$K$204&lt;&gt;"")),IF(B_Drainage!$K$5:$K$204="-","",B_Drainage!$K$5:$K$204)),"")</f>
        <v/>
      </c>
      <c r="AC292" s="182" t="str">
        <f>IFERROR(LOOKUP(2,1/((B_Drainage!$A$5:$A$204&lt;&gt;"")*(B_Drainage!$A$5:$A$204&lt;=$B292)*(B_Drainage!$B$5:$B$204&gt;$B292)*(B_Drainage!$L$5:$L$204&lt;&gt;"")),IF(B_Drainage!$L$5:$L$204="-","",B_Drainage!$L$5:$L$204)),"")</f>
        <v/>
      </c>
      <c r="AD292" s="182" t="str">
        <f>IFERROR(LOOKUP(2,1/((D_Points!$A$5:$A$204&lt;&gt;"")*(D_Points!$A$5:$A$204&gt;=$B292)*(D_Points!$A$5:$A$204&lt;$B292+P_Interval)*(UPPER(TRIM(D_Points!$B$5:$B$204))="TURNOUT_L")*(D_Points!$H$5:$H$204&lt;&gt;"")),D_Points!$H$5:$H$204),"")</f>
        <v/>
      </c>
      <c r="AE292" s="182" t="str">
        <f>IFERROR(LOOKUP(2,1/((D_Points!$A$5:$A$204&lt;&gt;"")*(D_Points!$A$5:$A$204&gt;=$B292)*(D_Points!$A$5:$A$204&lt;$B292+P_Interval)*(UPPER(TRIM(D_Points!$B$5:$B$204))="TURNOUT_R")*(D_Points!$H$5:$H$204&lt;&gt;"")),D_Points!$H$5:$H$204),"")</f>
        <v/>
      </c>
      <c r="AF292" s="181" t="str">
        <f>IFERROR(LOOKUP(2,1/((B_Drainage!$A$5:$A$204&lt;&gt;"")*(B_Drainage!$A$5:$A$204&lt;=$B292)*(B_Drainage!$B$5:$B$204&gt;$B292)*(B_Drainage!$M$5:$M$204&lt;&gt;"")),IF(UPPER(B_Drainage!$M$5:$M$204)="Y",1,"")),"")</f>
        <v/>
      </c>
      <c r="AG292" s="181" t="str">
        <f>IFERROR(LOOKUP(2,1/((B_Drainage!$A$5:$A$204&lt;&gt;"")*(B_Drainage!$A$5:$A$204&lt;=$B292)*(B_Drainage!$B$5:$B$204&gt;$B292)*(B_Drainage!$N$5:$N$204&lt;&gt;"")),IF(UPPER(B_Drainage!$N$5:$N$204)="Y",1,"")),"")</f>
        <v/>
      </c>
      <c r="AH292" s="181" t="str">
        <f t="shared" si="32"/>
        <v/>
      </c>
      <c r="AI292" s="181" t="str">
        <f t="shared" si="33"/>
        <v/>
      </c>
      <c r="AJ292" s="181" t="str">
        <f t="shared" si="34"/>
        <v/>
      </c>
      <c r="AK292" s="181" t="str">
        <f t="shared" si="35"/>
        <v/>
      </c>
      <c r="AL292" s="181" t="str">
        <f t="shared" si="36"/>
        <v/>
      </c>
      <c r="AM292" s="181" t="str">
        <f t="shared" si="37"/>
        <v/>
      </c>
      <c r="AN292" s="181" t="str">
        <f t="shared" si="38"/>
        <v/>
      </c>
      <c r="AO292" s="192" t="str">
        <f t="shared" si="39"/>
        <v/>
      </c>
      <c r="AQ292" t="str">
        <f>IFERROR(LOOKUP(2,1/((C_Pavement!$A$5:$A$204&lt;&gt;"")*(C_Pavement!$A$5:$A$204&lt;=$B292)*(C_Pavement!$B$5:$B$204&gt;$B292)*(C_Pavement!$C$5:$C$204&lt;&gt;"")),ROW(C_Pavement!$C$5:$C$204)-4),"")</f>
        <v/>
      </c>
      <c r="AR292" t="str">
        <f>IF($AQ292="","",UPPER(TRIM(INDEX(C_Pavement!$C$5:$C$204,$AQ292))))</f>
        <v/>
      </c>
      <c r="AS292" t="str">
        <f>IF($AR292="","",IFERROR(MATCH($AR292,E_Rules!$A$5:$A$9,0),""))</f>
        <v/>
      </c>
      <c r="AT292" t="str">
        <f>IF($AQ292="","",IF(INDEX(C_Pavement!$D$5:$D$204,$AQ292)&lt;&gt;"",UPPER(TRIM(INDEX(C_Pavement!$D$5:$D$204,$AQ292))),IF($AS292="","",INDEX(E_Rules!$C$5:$C$9,$AS292))))</f>
        <v/>
      </c>
      <c r="AU292" t="str">
        <f>IF($AQ292="","",IF(INDEX(C_Pavement!$E$5:$E$204,$AQ292)&lt;&gt;"",IF(INDEX(C_Pavement!$E$5:$E$204,$AQ292)="-","",INDEX(C_Pavement!$E$5:$E$204,$AQ292)),IF($AS292="","",INDEX(E_Rules!$D$5:$D$9,$AS292))))</f>
        <v/>
      </c>
      <c r="AV292" t="str">
        <f>IF($AQ292="","",IF(INDEX(C_Pavement!$F$5:$F$204,$AQ292)&lt;&gt;"",IF(INDEX(C_Pavement!$F$5:$F$204,$AQ292)="-","",INDEX(C_Pavement!$F$5:$F$204,$AQ292)),IF($AS292="","",INDEX(E_Rules!$E$5:$E$9,$AS292))))</f>
        <v/>
      </c>
      <c r="AW292" t="str">
        <f>IF($AQ292="","",IF(INDEX(C_Pavement!$G$5:$G$204,$AQ292)&lt;&gt;"",IF(INDEX(C_Pavement!$G$5:$G$204,$AQ292)="-","",INDEX(C_Pavement!$G$5:$G$204,$AQ292)),IF($AS292="","",INDEX(E_Rules!$F$5:$F$9,$AS292))))</f>
        <v/>
      </c>
      <c r="AX292" t="str">
        <f>IF($AQ292="","",IF(INDEX(C_Pavement!$H$5:$H$204,$AQ292)&lt;&gt;"",IF(INDEX(C_Pavement!$H$5:$H$204,$AQ292)="-","",INDEX(C_Pavement!$H$5:$H$204,$AQ292)),IF($AS292="","",INDEX(E_Rules!$G$5:$G$9,$AS292))))</f>
        <v/>
      </c>
      <c r="AY292" t="str">
        <f>IF($AQ292="","",IF(INDEX(C_Pavement!$I$5:$I$204,$AQ292)&lt;&gt;"",IF(INDEX(C_Pavement!$I$5:$I$204,$AQ292)="-","",INDEX(C_Pavement!$I$5:$I$204,$AQ292)),IF($AS292="","",INDEX(E_Rules!$H$5:$H$9,$AS292))))</f>
        <v/>
      </c>
    </row>
    <row r="293" spans="1:51" ht="15.75" customHeight="1" x14ac:dyDescent="0.3">
      <c r="A293" s="189">
        <v>288</v>
      </c>
      <c r="B293" s="180">
        <v>14350</v>
      </c>
      <c r="C293" s="180" t="s">
        <v>599</v>
      </c>
      <c r="D293" s="181" t="str">
        <f>IFERROR(LOOKUP(2,1/((A_Corridor!$A$5:$A$204&lt;&gt;"")*(A_Corridor!$A$5:$A$204&lt;=$B293)*(A_Corridor!$B$5:$B$204&gt;$B293)*(A_Corridor!$C$5:$C$204&lt;&gt;"")),IF(UPPER(A_Corridor!$C$5:$C$204)="Y",1,"")),"")</f>
        <v/>
      </c>
      <c r="E293" s="181" t="str">
        <f>IFERROR(LOOKUP(2,1/((A_Corridor!$A$5:$A$204&lt;&gt;"")*(A_Corridor!$A$5:$A$204&lt;=$B293)*(A_Corridor!$B$5:$B$204&gt;$B293)*(A_Corridor!$D$5:$D$204&lt;&gt;"")),IF(A_Corridor!$D$5:$D$204="-","",UPPER(A_Corridor!$D$5:$D$204))),"")</f>
        <v/>
      </c>
      <c r="F293" s="181" t="str">
        <f>IFERROR(LOOKUP(2,1/((A_Corridor!$A$5:$A$204&lt;&gt;"")*(A_Corridor!$A$5:$A$204&lt;=$B293)*(A_Corridor!$B$5:$B$204&gt;$B293)*(A_Corridor!$E$5:$E$204&lt;&gt;"")),IF(A_Corridor!$E$5:$E$204="-","",1)),"")</f>
        <v/>
      </c>
      <c r="G293" s="182" t="str">
        <f>IFERROR(LOOKUP(2,1/((A_Corridor!$A$5:$A$204&lt;&gt;"")*(A_Corridor!$A$5:$A$204&lt;=$B293)*(A_Corridor!$B$5:$B$204&gt;$B293)*(A_Corridor!$E$5:$E$204&lt;&gt;"")),IF(A_Corridor!$E$5:$E$204="-","",A_Corridor!$E$5:$E$204)),"")</f>
        <v/>
      </c>
      <c r="H293" s="182" t="str">
        <f>IFERROR(LOOKUP(2,1/((D_Points!$A$5:$A$204&lt;&gt;"")*(D_Points!$A$5:$A$204&gt;=$B293)*(D_Points!$A$5:$A$204&lt;$B293+P_Interval)*(UPPER(TRIM(D_Points!$B$5:$B$204))="GULLY")*(D_Points!$H$5:$H$204&lt;&gt;"")),D_Points!$H$5:$H$204),"")</f>
        <v/>
      </c>
      <c r="I293" s="181" t="str">
        <f>IFERROR(LOOKUP(2,1/((A_Corridor!$A$5:$A$204&lt;&gt;"")*(A_Corridor!$A$5:$A$204&lt;=$B293)*(A_Corridor!$B$5:$B$204&gt;$B293)*(A_Corridor!$F$5:$F$204&lt;&gt;"")),IF(A_Corridor!$F$5:$F$204="-","",1)),"")</f>
        <v/>
      </c>
      <c r="J293" s="182" t="str">
        <f>IFERROR(LOOKUP(2,1/((A_Corridor!$A$5:$A$204&lt;&gt;"")*(A_Corridor!$A$5:$A$204&lt;=$B293)*(A_Corridor!$B$5:$B$204&gt;$B293)*(A_Corridor!$F$5:$F$204&lt;&gt;"")),IF(A_Corridor!$F$5:$F$204="-","",A_Corridor!$F$5:$F$204)),"")</f>
        <v/>
      </c>
      <c r="K293" s="182" t="str">
        <f>IFERROR(LOOKUP(2,1/((A_Corridor!$A$5:$A$204&lt;&gt;"")*(A_Corridor!$A$5:$A$204&lt;=$B293)*(A_Corridor!$B$5:$B$204&gt;$B293)*(A_Corridor!$G$5:$G$204&lt;&gt;"")),IF(A_Corridor!$G$5:$G$204="-","",A_Corridor!$G$5:$G$204)),"")</f>
        <v/>
      </c>
      <c r="L293" s="181" t="str">
        <f>IFERROR(LOOKUP(2,1/((A_Corridor!$A$5:$A$204&lt;&gt;"")*(A_Corridor!$A$5:$A$204&lt;=$B293)*(A_Corridor!$B$5:$B$204&gt;$B293)*(A_Corridor!$H$5:$H$204&lt;&gt;"")),IF(A_Corridor!$H$5:$H$204="-","",1)),"")</f>
        <v/>
      </c>
      <c r="M293" s="182" t="str">
        <f>IFERROR(LOOKUP(2,1/((A_Corridor!$A$5:$A$204&lt;&gt;"")*(A_Corridor!$A$5:$A$204&lt;=$B293)*(A_Corridor!$B$5:$B$204&gt;$B293)*(A_Corridor!$H$5:$H$204&lt;&gt;"")),IF(A_Corridor!$H$5:$H$204="-","",A_Corridor!$H$5:$H$204)),"")</f>
        <v/>
      </c>
      <c r="N293" s="182" t="str">
        <f>IFERROR(LOOKUP(2,1/((A_Corridor!$A$5:$A$204&lt;&gt;"")*(A_Corridor!$A$5:$A$204&lt;=$B293)*(A_Corridor!$B$5:$B$204&gt;$B293)*(A_Corridor!$I$5:$I$204&lt;&gt;"")),IF(A_Corridor!$I$5:$I$204="-","",A_Corridor!$I$5:$I$204)),"")</f>
        <v/>
      </c>
      <c r="O293" s="182" t="str">
        <f>IFERROR(LOOKUP(2,1/((D_Points!$A$5:$A$204&lt;&gt;"")*(D_Points!$A$5:$A$204&gt;=$B293)*(D_Points!$A$5:$A$204&lt;$B293+P_Interval)*(UPPER(TRIM(D_Points!$B$5:$B$204))="PITCHING")*(D_Points!$H$5:$H$204&lt;&gt;"")),D_Points!$H$5:$H$204),"")</f>
        <v/>
      </c>
      <c r="P293" s="181" t="str">
        <f>IFERROR(LOOKUP(2,1/((B_Drainage!$A$5:$A$204&lt;&gt;"")*(B_Drainage!$A$5:$A$204&lt;=$B293)*(B_Drainage!$B$5:$B$204&gt;$B293)*(B_Drainage!$C$5:$C$204&lt;&gt;"")),IF(B_Drainage!$C$5:$C$204="-","",UPPER(B_Drainage!$C$5:$C$204))),"")</f>
        <v/>
      </c>
      <c r="Q293" s="181" t="str">
        <f>IFERROR(LOOKUP(2,1/((B_Drainage!$A$5:$A$204&lt;&gt;"")*(B_Drainage!$A$5:$A$204&lt;=$B293)*(B_Drainage!$B$5:$B$204&gt;$B293)*(B_Drainage!$D$5:$D$204&lt;&gt;"")),IF(B_Drainage!$D$5:$D$204="-","",UPPER(B_Drainage!$D$5:$D$204))),"")</f>
        <v/>
      </c>
      <c r="R293" s="182" t="str">
        <f>IFERROR(LOOKUP(2,1/((D_Points!$A$5:$A$204&lt;&gt;"")*(D_Points!$A$5:$A$204&gt;=$B293)*(D_Points!$A$5:$A$204&lt;$B293+P_Interval)*(RIGHT(UPPER(TRIM(D_Points!$B$5:$B$204)),8)="_CULVERT")),IF(LEFT(UPPER(TRIM(D_Points!$B$5:$B$204)),2)="EX",1,IF(LEFT(UPPER(TRIM(D_Points!$B$5:$B$204)),2)="PR",2,3))),"")</f>
        <v/>
      </c>
      <c r="S293" s="182" t="str">
        <f>IFERROR(LOOKUP(2,1/((D_Points!$A$5:$A$204&lt;&gt;"")*(D_Points!$A$5:$A$204&gt;=$B293)*(D_Points!$A$5:$A$204&lt;$B293+P_Interval)*(RIGHT(UPPER(TRIM(D_Points!$B$5:$B$204)),7)="_BRIDGE")),IF(LEFT(UPPER(TRIM(D_Points!$B$5:$B$204)),2)="EX",1,IF(LEFT(UPPER(TRIM(D_Points!$B$5:$B$204)),2)="PR",2,2))),"")</f>
        <v/>
      </c>
      <c r="T293" s="181" t="str">
        <f>IFERROR(LOOKUP(2,1/((B_Drainage!$A$5:$A$204&lt;&gt;"")*(B_Drainage!$A$5:$A$204&lt;=$B293)*(B_Drainage!$B$5:$B$204&gt;$B293)*(B_Drainage!$E$5:$E$204&lt;&gt;"")),IF(B_Drainage!$E$5:$E$204="-","",1)),"")</f>
        <v/>
      </c>
      <c r="U293" s="181" t="str">
        <f>IFERROR(LOOKUP(2,1/((B_Drainage!$A$5:$A$204&lt;&gt;"")*(B_Drainage!$A$5:$A$204&lt;=$B293)*(B_Drainage!$B$5:$B$204&gt;$B293)*(B_Drainage!$E$5:$E$204&lt;&gt;"")),IF(B_Drainage!$E$5:$E$204="-","",B_Drainage!$E$5:$E$204)),"")</f>
        <v/>
      </c>
      <c r="V293" s="181" t="str">
        <f>IFERROR(LOOKUP(2,1/((B_Drainage!$A$5:$A$204&lt;&gt;"")*(B_Drainage!$A$5:$A$204&lt;=$B293)*(B_Drainage!$B$5:$B$204&gt;$B293)*(B_Drainage!$F$5:$F$204&lt;&gt;"")),IF(B_Drainage!$F$5:$F$204="-","",1)),"")</f>
        <v/>
      </c>
      <c r="W293" s="181" t="str">
        <f>IFERROR(LOOKUP(2,1/((B_Drainage!$A$5:$A$204&lt;&gt;"")*(B_Drainage!$A$5:$A$204&lt;=$B293)*(B_Drainage!$B$5:$B$204&gt;$B293)*(B_Drainage!$F$5:$F$204&lt;&gt;"")),IF(B_Drainage!$F$5:$F$204="-","",B_Drainage!$F$5:$F$204)),"")</f>
        <v/>
      </c>
      <c r="X293" s="181" t="str">
        <f>IFERROR(LOOKUP(2,1/((B_Drainage!$A$5:$A$204&lt;&gt;"")*(B_Drainage!$A$5:$A$204&lt;=$B293)*(B_Drainage!$B$5:$B$204&gt;$B293)*(B_Drainage!$G$5:$G$204&lt;&gt;"")),IF(UPPER(B_Drainage!$G$5:$G$204)="Y",1,"")),"")</f>
        <v/>
      </c>
      <c r="Y293" s="181" t="str">
        <f>IFERROR(LOOKUP(2,1/((B_Drainage!$A$5:$A$204&lt;&gt;"")*(B_Drainage!$A$5:$A$204&lt;=$B293)*(B_Drainage!$B$5:$B$204&gt;$B293)*(B_Drainage!$H$5:$H$204&lt;&gt;"")),IF(UPPER(B_Drainage!$H$5:$H$204)="Y",1,"")),"")</f>
        <v/>
      </c>
      <c r="Z293" s="181" t="str">
        <f>IFERROR(LOOKUP(2,1/((B_Drainage!$A$5:$A$204&lt;&gt;"")*(B_Drainage!$A$5:$A$204&lt;=$B293)*(B_Drainage!$B$5:$B$204&gt;$B293)*(B_Drainage!$I$5:$I$204&lt;&gt;"")),IF(UPPER(B_Drainage!$I$5:$I$204)="Y",1,"")),"")</f>
        <v/>
      </c>
      <c r="AA293" s="181" t="str">
        <f>IFERROR(LOOKUP(2,1/((B_Drainage!$A$5:$A$204&lt;&gt;"")*(B_Drainage!$A$5:$A$204&lt;=$B293)*(B_Drainage!$B$5:$B$204&gt;$B293)*(B_Drainage!$J$5:$J$204&lt;&gt;"")),IF(UPPER(B_Drainage!$J$5:$J$204)="Y",1,"")),"")</f>
        <v/>
      </c>
      <c r="AB293" s="182" t="str">
        <f>IFERROR(LOOKUP(2,1/((B_Drainage!$A$5:$A$204&lt;&gt;"")*(B_Drainage!$A$5:$A$204&lt;=$B293)*(B_Drainage!$B$5:$B$204&gt;$B293)*(B_Drainage!$K$5:$K$204&lt;&gt;"")),IF(B_Drainage!$K$5:$K$204="-","",B_Drainage!$K$5:$K$204)),"")</f>
        <v/>
      </c>
      <c r="AC293" s="182" t="str">
        <f>IFERROR(LOOKUP(2,1/((B_Drainage!$A$5:$A$204&lt;&gt;"")*(B_Drainage!$A$5:$A$204&lt;=$B293)*(B_Drainage!$B$5:$B$204&gt;$B293)*(B_Drainage!$L$5:$L$204&lt;&gt;"")),IF(B_Drainage!$L$5:$L$204="-","",B_Drainage!$L$5:$L$204)),"")</f>
        <v/>
      </c>
      <c r="AD293" s="182" t="str">
        <f>IFERROR(LOOKUP(2,1/((D_Points!$A$5:$A$204&lt;&gt;"")*(D_Points!$A$5:$A$204&gt;=$B293)*(D_Points!$A$5:$A$204&lt;$B293+P_Interval)*(UPPER(TRIM(D_Points!$B$5:$B$204))="TURNOUT_L")*(D_Points!$H$5:$H$204&lt;&gt;"")),D_Points!$H$5:$H$204),"")</f>
        <v/>
      </c>
      <c r="AE293" s="182" t="str">
        <f>IFERROR(LOOKUP(2,1/((D_Points!$A$5:$A$204&lt;&gt;"")*(D_Points!$A$5:$A$204&gt;=$B293)*(D_Points!$A$5:$A$204&lt;$B293+P_Interval)*(UPPER(TRIM(D_Points!$B$5:$B$204))="TURNOUT_R")*(D_Points!$H$5:$H$204&lt;&gt;"")),D_Points!$H$5:$H$204),"")</f>
        <v/>
      </c>
      <c r="AF293" s="181" t="str">
        <f>IFERROR(LOOKUP(2,1/((B_Drainage!$A$5:$A$204&lt;&gt;"")*(B_Drainage!$A$5:$A$204&lt;=$B293)*(B_Drainage!$B$5:$B$204&gt;$B293)*(B_Drainage!$M$5:$M$204&lt;&gt;"")),IF(UPPER(B_Drainage!$M$5:$M$204)="Y",1,"")),"")</f>
        <v/>
      </c>
      <c r="AG293" s="181" t="str">
        <f>IFERROR(LOOKUP(2,1/((B_Drainage!$A$5:$A$204&lt;&gt;"")*(B_Drainage!$A$5:$A$204&lt;=$B293)*(B_Drainage!$B$5:$B$204&gt;$B293)*(B_Drainage!$N$5:$N$204&lt;&gt;"")),IF(UPPER(B_Drainage!$N$5:$N$204)="Y",1,"")),"")</f>
        <v/>
      </c>
      <c r="AH293" s="181" t="str">
        <f t="shared" si="32"/>
        <v/>
      </c>
      <c r="AI293" s="181" t="str">
        <f t="shared" si="33"/>
        <v/>
      </c>
      <c r="AJ293" s="181" t="str">
        <f t="shared" si="34"/>
        <v/>
      </c>
      <c r="AK293" s="181" t="str">
        <f t="shared" si="35"/>
        <v/>
      </c>
      <c r="AL293" s="181" t="str">
        <f t="shared" si="36"/>
        <v/>
      </c>
      <c r="AM293" s="181" t="str">
        <f t="shared" si="37"/>
        <v/>
      </c>
      <c r="AN293" s="181" t="str">
        <f t="shared" si="38"/>
        <v/>
      </c>
      <c r="AO293" s="192" t="str">
        <f t="shared" si="39"/>
        <v/>
      </c>
      <c r="AQ293" t="str">
        <f>IFERROR(LOOKUP(2,1/((C_Pavement!$A$5:$A$204&lt;&gt;"")*(C_Pavement!$A$5:$A$204&lt;=$B293)*(C_Pavement!$B$5:$B$204&gt;$B293)*(C_Pavement!$C$5:$C$204&lt;&gt;"")),ROW(C_Pavement!$C$5:$C$204)-4),"")</f>
        <v/>
      </c>
      <c r="AR293" t="str">
        <f>IF($AQ293="","",UPPER(TRIM(INDEX(C_Pavement!$C$5:$C$204,$AQ293))))</f>
        <v/>
      </c>
      <c r="AS293" t="str">
        <f>IF($AR293="","",IFERROR(MATCH($AR293,E_Rules!$A$5:$A$9,0),""))</f>
        <v/>
      </c>
      <c r="AT293" t="str">
        <f>IF($AQ293="","",IF(INDEX(C_Pavement!$D$5:$D$204,$AQ293)&lt;&gt;"",UPPER(TRIM(INDEX(C_Pavement!$D$5:$D$204,$AQ293))),IF($AS293="","",INDEX(E_Rules!$C$5:$C$9,$AS293))))</f>
        <v/>
      </c>
      <c r="AU293" t="str">
        <f>IF($AQ293="","",IF(INDEX(C_Pavement!$E$5:$E$204,$AQ293)&lt;&gt;"",IF(INDEX(C_Pavement!$E$5:$E$204,$AQ293)="-","",INDEX(C_Pavement!$E$5:$E$204,$AQ293)),IF($AS293="","",INDEX(E_Rules!$D$5:$D$9,$AS293))))</f>
        <v/>
      </c>
      <c r="AV293" t="str">
        <f>IF($AQ293="","",IF(INDEX(C_Pavement!$F$5:$F$204,$AQ293)&lt;&gt;"",IF(INDEX(C_Pavement!$F$5:$F$204,$AQ293)="-","",INDEX(C_Pavement!$F$5:$F$204,$AQ293)),IF($AS293="","",INDEX(E_Rules!$E$5:$E$9,$AS293))))</f>
        <v/>
      </c>
      <c r="AW293" t="str">
        <f>IF($AQ293="","",IF(INDEX(C_Pavement!$G$5:$G$204,$AQ293)&lt;&gt;"",IF(INDEX(C_Pavement!$G$5:$G$204,$AQ293)="-","",INDEX(C_Pavement!$G$5:$G$204,$AQ293)),IF($AS293="","",INDEX(E_Rules!$F$5:$F$9,$AS293))))</f>
        <v/>
      </c>
      <c r="AX293" t="str">
        <f>IF($AQ293="","",IF(INDEX(C_Pavement!$H$5:$H$204,$AQ293)&lt;&gt;"",IF(INDEX(C_Pavement!$H$5:$H$204,$AQ293)="-","",INDEX(C_Pavement!$H$5:$H$204,$AQ293)),IF($AS293="","",INDEX(E_Rules!$G$5:$G$9,$AS293))))</f>
        <v/>
      </c>
      <c r="AY293" t="str">
        <f>IF($AQ293="","",IF(INDEX(C_Pavement!$I$5:$I$204,$AQ293)&lt;&gt;"",IF(INDEX(C_Pavement!$I$5:$I$204,$AQ293)="-","",INDEX(C_Pavement!$I$5:$I$204,$AQ293)),IF($AS293="","",INDEX(E_Rules!$H$5:$H$9,$AS293))))</f>
        <v/>
      </c>
    </row>
    <row r="294" spans="1:51" ht="15.75" customHeight="1" x14ac:dyDescent="0.3">
      <c r="A294" s="189">
        <v>289</v>
      </c>
      <c r="B294" s="180">
        <v>14400</v>
      </c>
      <c r="C294" s="180" t="s">
        <v>600</v>
      </c>
      <c r="D294" s="181" t="str">
        <f>IFERROR(LOOKUP(2,1/((A_Corridor!$A$5:$A$204&lt;&gt;"")*(A_Corridor!$A$5:$A$204&lt;=$B294)*(A_Corridor!$B$5:$B$204&gt;$B294)*(A_Corridor!$C$5:$C$204&lt;&gt;"")),IF(UPPER(A_Corridor!$C$5:$C$204)="Y",1,"")),"")</f>
        <v/>
      </c>
      <c r="E294" s="181" t="str">
        <f>IFERROR(LOOKUP(2,1/((A_Corridor!$A$5:$A$204&lt;&gt;"")*(A_Corridor!$A$5:$A$204&lt;=$B294)*(A_Corridor!$B$5:$B$204&gt;$B294)*(A_Corridor!$D$5:$D$204&lt;&gt;"")),IF(A_Corridor!$D$5:$D$204="-","",UPPER(A_Corridor!$D$5:$D$204))),"")</f>
        <v/>
      </c>
      <c r="F294" s="181" t="str">
        <f>IFERROR(LOOKUP(2,1/((A_Corridor!$A$5:$A$204&lt;&gt;"")*(A_Corridor!$A$5:$A$204&lt;=$B294)*(A_Corridor!$B$5:$B$204&gt;$B294)*(A_Corridor!$E$5:$E$204&lt;&gt;"")),IF(A_Corridor!$E$5:$E$204="-","",1)),"")</f>
        <v/>
      </c>
      <c r="G294" s="182" t="str">
        <f>IFERROR(LOOKUP(2,1/((A_Corridor!$A$5:$A$204&lt;&gt;"")*(A_Corridor!$A$5:$A$204&lt;=$B294)*(A_Corridor!$B$5:$B$204&gt;$B294)*(A_Corridor!$E$5:$E$204&lt;&gt;"")),IF(A_Corridor!$E$5:$E$204="-","",A_Corridor!$E$5:$E$204)),"")</f>
        <v/>
      </c>
      <c r="H294" s="182" t="str">
        <f>IFERROR(LOOKUP(2,1/((D_Points!$A$5:$A$204&lt;&gt;"")*(D_Points!$A$5:$A$204&gt;=$B294)*(D_Points!$A$5:$A$204&lt;$B294+P_Interval)*(UPPER(TRIM(D_Points!$B$5:$B$204))="GULLY")*(D_Points!$H$5:$H$204&lt;&gt;"")),D_Points!$H$5:$H$204),"")</f>
        <v/>
      </c>
      <c r="I294" s="181" t="str">
        <f>IFERROR(LOOKUP(2,1/((A_Corridor!$A$5:$A$204&lt;&gt;"")*(A_Corridor!$A$5:$A$204&lt;=$B294)*(A_Corridor!$B$5:$B$204&gt;$B294)*(A_Corridor!$F$5:$F$204&lt;&gt;"")),IF(A_Corridor!$F$5:$F$204="-","",1)),"")</f>
        <v/>
      </c>
      <c r="J294" s="182" t="str">
        <f>IFERROR(LOOKUP(2,1/((A_Corridor!$A$5:$A$204&lt;&gt;"")*(A_Corridor!$A$5:$A$204&lt;=$B294)*(A_Corridor!$B$5:$B$204&gt;$B294)*(A_Corridor!$F$5:$F$204&lt;&gt;"")),IF(A_Corridor!$F$5:$F$204="-","",A_Corridor!$F$5:$F$204)),"")</f>
        <v/>
      </c>
      <c r="K294" s="182" t="str">
        <f>IFERROR(LOOKUP(2,1/((A_Corridor!$A$5:$A$204&lt;&gt;"")*(A_Corridor!$A$5:$A$204&lt;=$B294)*(A_Corridor!$B$5:$B$204&gt;$B294)*(A_Corridor!$G$5:$G$204&lt;&gt;"")),IF(A_Corridor!$G$5:$G$204="-","",A_Corridor!$G$5:$G$204)),"")</f>
        <v/>
      </c>
      <c r="L294" s="181" t="str">
        <f>IFERROR(LOOKUP(2,1/((A_Corridor!$A$5:$A$204&lt;&gt;"")*(A_Corridor!$A$5:$A$204&lt;=$B294)*(A_Corridor!$B$5:$B$204&gt;$B294)*(A_Corridor!$H$5:$H$204&lt;&gt;"")),IF(A_Corridor!$H$5:$H$204="-","",1)),"")</f>
        <v/>
      </c>
      <c r="M294" s="182" t="str">
        <f>IFERROR(LOOKUP(2,1/((A_Corridor!$A$5:$A$204&lt;&gt;"")*(A_Corridor!$A$5:$A$204&lt;=$B294)*(A_Corridor!$B$5:$B$204&gt;$B294)*(A_Corridor!$H$5:$H$204&lt;&gt;"")),IF(A_Corridor!$H$5:$H$204="-","",A_Corridor!$H$5:$H$204)),"")</f>
        <v/>
      </c>
      <c r="N294" s="182" t="str">
        <f>IFERROR(LOOKUP(2,1/((A_Corridor!$A$5:$A$204&lt;&gt;"")*(A_Corridor!$A$5:$A$204&lt;=$B294)*(A_Corridor!$B$5:$B$204&gt;$B294)*(A_Corridor!$I$5:$I$204&lt;&gt;"")),IF(A_Corridor!$I$5:$I$204="-","",A_Corridor!$I$5:$I$204)),"")</f>
        <v/>
      </c>
      <c r="O294" s="182" t="str">
        <f>IFERROR(LOOKUP(2,1/((D_Points!$A$5:$A$204&lt;&gt;"")*(D_Points!$A$5:$A$204&gt;=$B294)*(D_Points!$A$5:$A$204&lt;$B294+P_Interval)*(UPPER(TRIM(D_Points!$B$5:$B$204))="PITCHING")*(D_Points!$H$5:$H$204&lt;&gt;"")),D_Points!$H$5:$H$204),"")</f>
        <v/>
      </c>
      <c r="P294" s="181" t="str">
        <f>IFERROR(LOOKUP(2,1/((B_Drainage!$A$5:$A$204&lt;&gt;"")*(B_Drainage!$A$5:$A$204&lt;=$B294)*(B_Drainage!$B$5:$B$204&gt;$B294)*(B_Drainage!$C$5:$C$204&lt;&gt;"")),IF(B_Drainage!$C$5:$C$204="-","",UPPER(B_Drainage!$C$5:$C$204))),"")</f>
        <v/>
      </c>
      <c r="Q294" s="181" t="str">
        <f>IFERROR(LOOKUP(2,1/((B_Drainage!$A$5:$A$204&lt;&gt;"")*(B_Drainage!$A$5:$A$204&lt;=$B294)*(B_Drainage!$B$5:$B$204&gt;$B294)*(B_Drainage!$D$5:$D$204&lt;&gt;"")),IF(B_Drainage!$D$5:$D$204="-","",UPPER(B_Drainage!$D$5:$D$204))),"")</f>
        <v/>
      </c>
      <c r="R294" s="182" t="str">
        <f>IFERROR(LOOKUP(2,1/((D_Points!$A$5:$A$204&lt;&gt;"")*(D_Points!$A$5:$A$204&gt;=$B294)*(D_Points!$A$5:$A$204&lt;$B294+P_Interval)*(RIGHT(UPPER(TRIM(D_Points!$B$5:$B$204)),8)="_CULVERT")),IF(LEFT(UPPER(TRIM(D_Points!$B$5:$B$204)),2)="EX",1,IF(LEFT(UPPER(TRIM(D_Points!$B$5:$B$204)),2)="PR",2,3))),"")</f>
        <v/>
      </c>
      <c r="S294" s="182" t="str">
        <f>IFERROR(LOOKUP(2,1/((D_Points!$A$5:$A$204&lt;&gt;"")*(D_Points!$A$5:$A$204&gt;=$B294)*(D_Points!$A$5:$A$204&lt;$B294+P_Interval)*(RIGHT(UPPER(TRIM(D_Points!$B$5:$B$204)),7)="_BRIDGE")),IF(LEFT(UPPER(TRIM(D_Points!$B$5:$B$204)),2)="EX",1,IF(LEFT(UPPER(TRIM(D_Points!$B$5:$B$204)),2)="PR",2,2))),"")</f>
        <v/>
      </c>
      <c r="T294" s="181" t="str">
        <f>IFERROR(LOOKUP(2,1/((B_Drainage!$A$5:$A$204&lt;&gt;"")*(B_Drainage!$A$5:$A$204&lt;=$B294)*(B_Drainage!$B$5:$B$204&gt;$B294)*(B_Drainage!$E$5:$E$204&lt;&gt;"")),IF(B_Drainage!$E$5:$E$204="-","",1)),"")</f>
        <v/>
      </c>
      <c r="U294" s="181" t="str">
        <f>IFERROR(LOOKUP(2,1/((B_Drainage!$A$5:$A$204&lt;&gt;"")*(B_Drainage!$A$5:$A$204&lt;=$B294)*(B_Drainage!$B$5:$B$204&gt;$B294)*(B_Drainage!$E$5:$E$204&lt;&gt;"")),IF(B_Drainage!$E$5:$E$204="-","",B_Drainage!$E$5:$E$204)),"")</f>
        <v/>
      </c>
      <c r="V294" s="181" t="str">
        <f>IFERROR(LOOKUP(2,1/((B_Drainage!$A$5:$A$204&lt;&gt;"")*(B_Drainage!$A$5:$A$204&lt;=$B294)*(B_Drainage!$B$5:$B$204&gt;$B294)*(B_Drainage!$F$5:$F$204&lt;&gt;"")),IF(B_Drainage!$F$5:$F$204="-","",1)),"")</f>
        <v/>
      </c>
      <c r="W294" s="181" t="str">
        <f>IFERROR(LOOKUP(2,1/((B_Drainage!$A$5:$A$204&lt;&gt;"")*(B_Drainage!$A$5:$A$204&lt;=$B294)*(B_Drainage!$B$5:$B$204&gt;$B294)*(B_Drainage!$F$5:$F$204&lt;&gt;"")),IF(B_Drainage!$F$5:$F$204="-","",B_Drainage!$F$5:$F$204)),"")</f>
        <v/>
      </c>
      <c r="X294" s="181" t="str">
        <f>IFERROR(LOOKUP(2,1/((B_Drainage!$A$5:$A$204&lt;&gt;"")*(B_Drainage!$A$5:$A$204&lt;=$B294)*(B_Drainage!$B$5:$B$204&gt;$B294)*(B_Drainage!$G$5:$G$204&lt;&gt;"")),IF(UPPER(B_Drainage!$G$5:$G$204)="Y",1,"")),"")</f>
        <v/>
      </c>
      <c r="Y294" s="181" t="str">
        <f>IFERROR(LOOKUP(2,1/((B_Drainage!$A$5:$A$204&lt;&gt;"")*(B_Drainage!$A$5:$A$204&lt;=$B294)*(B_Drainage!$B$5:$B$204&gt;$B294)*(B_Drainage!$H$5:$H$204&lt;&gt;"")),IF(UPPER(B_Drainage!$H$5:$H$204)="Y",1,"")),"")</f>
        <v/>
      </c>
      <c r="Z294" s="181" t="str">
        <f>IFERROR(LOOKUP(2,1/((B_Drainage!$A$5:$A$204&lt;&gt;"")*(B_Drainage!$A$5:$A$204&lt;=$B294)*(B_Drainage!$B$5:$B$204&gt;$B294)*(B_Drainage!$I$5:$I$204&lt;&gt;"")),IF(UPPER(B_Drainage!$I$5:$I$204)="Y",1,"")),"")</f>
        <v/>
      </c>
      <c r="AA294" s="181" t="str">
        <f>IFERROR(LOOKUP(2,1/((B_Drainage!$A$5:$A$204&lt;&gt;"")*(B_Drainage!$A$5:$A$204&lt;=$B294)*(B_Drainage!$B$5:$B$204&gt;$B294)*(B_Drainage!$J$5:$J$204&lt;&gt;"")),IF(UPPER(B_Drainage!$J$5:$J$204)="Y",1,"")),"")</f>
        <v/>
      </c>
      <c r="AB294" s="182" t="str">
        <f>IFERROR(LOOKUP(2,1/((B_Drainage!$A$5:$A$204&lt;&gt;"")*(B_Drainage!$A$5:$A$204&lt;=$B294)*(B_Drainage!$B$5:$B$204&gt;$B294)*(B_Drainage!$K$5:$K$204&lt;&gt;"")),IF(B_Drainage!$K$5:$K$204="-","",B_Drainage!$K$5:$K$204)),"")</f>
        <v/>
      </c>
      <c r="AC294" s="182" t="str">
        <f>IFERROR(LOOKUP(2,1/((B_Drainage!$A$5:$A$204&lt;&gt;"")*(B_Drainage!$A$5:$A$204&lt;=$B294)*(B_Drainage!$B$5:$B$204&gt;$B294)*(B_Drainage!$L$5:$L$204&lt;&gt;"")),IF(B_Drainage!$L$5:$L$204="-","",B_Drainage!$L$5:$L$204)),"")</f>
        <v/>
      </c>
      <c r="AD294" s="182" t="str">
        <f>IFERROR(LOOKUP(2,1/((D_Points!$A$5:$A$204&lt;&gt;"")*(D_Points!$A$5:$A$204&gt;=$B294)*(D_Points!$A$5:$A$204&lt;$B294+P_Interval)*(UPPER(TRIM(D_Points!$B$5:$B$204))="TURNOUT_L")*(D_Points!$H$5:$H$204&lt;&gt;"")),D_Points!$H$5:$H$204),"")</f>
        <v/>
      </c>
      <c r="AE294" s="182" t="str">
        <f>IFERROR(LOOKUP(2,1/((D_Points!$A$5:$A$204&lt;&gt;"")*(D_Points!$A$5:$A$204&gt;=$B294)*(D_Points!$A$5:$A$204&lt;$B294+P_Interval)*(UPPER(TRIM(D_Points!$B$5:$B$204))="TURNOUT_R")*(D_Points!$H$5:$H$204&lt;&gt;"")),D_Points!$H$5:$H$204),"")</f>
        <v/>
      </c>
      <c r="AF294" s="181" t="str">
        <f>IFERROR(LOOKUP(2,1/((B_Drainage!$A$5:$A$204&lt;&gt;"")*(B_Drainage!$A$5:$A$204&lt;=$B294)*(B_Drainage!$B$5:$B$204&gt;$B294)*(B_Drainage!$M$5:$M$204&lt;&gt;"")),IF(UPPER(B_Drainage!$M$5:$M$204)="Y",1,"")),"")</f>
        <v/>
      </c>
      <c r="AG294" s="181" t="str">
        <f>IFERROR(LOOKUP(2,1/((B_Drainage!$A$5:$A$204&lt;&gt;"")*(B_Drainage!$A$5:$A$204&lt;=$B294)*(B_Drainage!$B$5:$B$204&gt;$B294)*(B_Drainage!$N$5:$N$204&lt;&gt;"")),IF(UPPER(B_Drainage!$N$5:$N$204)="Y",1,"")),"")</f>
        <v/>
      </c>
      <c r="AH294" s="181" t="str">
        <f t="shared" si="32"/>
        <v/>
      </c>
      <c r="AI294" s="181" t="str">
        <f t="shared" si="33"/>
        <v/>
      </c>
      <c r="AJ294" s="181" t="str">
        <f t="shared" si="34"/>
        <v/>
      </c>
      <c r="AK294" s="181" t="str">
        <f t="shared" si="35"/>
        <v/>
      </c>
      <c r="AL294" s="181" t="str">
        <f t="shared" si="36"/>
        <v/>
      </c>
      <c r="AM294" s="181" t="str">
        <f t="shared" si="37"/>
        <v/>
      </c>
      <c r="AN294" s="181" t="str">
        <f t="shared" si="38"/>
        <v/>
      </c>
      <c r="AO294" s="192" t="str">
        <f t="shared" si="39"/>
        <v/>
      </c>
      <c r="AQ294" t="str">
        <f>IFERROR(LOOKUP(2,1/((C_Pavement!$A$5:$A$204&lt;&gt;"")*(C_Pavement!$A$5:$A$204&lt;=$B294)*(C_Pavement!$B$5:$B$204&gt;$B294)*(C_Pavement!$C$5:$C$204&lt;&gt;"")),ROW(C_Pavement!$C$5:$C$204)-4),"")</f>
        <v/>
      </c>
      <c r="AR294" t="str">
        <f>IF($AQ294="","",UPPER(TRIM(INDEX(C_Pavement!$C$5:$C$204,$AQ294))))</f>
        <v/>
      </c>
      <c r="AS294" t="str">
        <f>IF($AR294="","",IFERROR(MATCH($AR294,E_Rules!$A$5:$A$9,0),""))</f>
        <v/>
      </c>
      <c r="AT294" t="str">
        <f>IF($AQ294="","",IF(INDEX(C_Pavement!$D$5:$D$204,$AQ294)&lt;&gt;"",UPPER(TRIM(INDEX(C_Pavement!$D$5:$D$204,$AQ294))),IF($AS294="","",INDEX(E_Rules!$C$5:$C$9,$AS294))))</f>
        <v/>
      </c>
      <c r="AU294" t="str">
        <f>IF($AQ294="","",IF(INDEX(C_Pavement!$E$5:$E$204,$AQ294)&lt;&gt;"",IF(INDEX(C_Pavement!$E$5:$E$204,$AQ294)="-","",INDEX(C_Pavement!$E$5:$E$204,$AQ294)),IF($AS294="","",INDEX(E_Rules!$D$5:$D$9,$AS294))))</f>
        <v/>
      </c>
      <c r="AV294" t="str">
        <f>IF($AQ294="","",IF(INDEX(C_Pavement!$F$5:$F$204,$AQ294)&lt;&gt;"",IF(INDEX(C_Pavement!$F$5:$F$204,$AQ294)="-","",INDEX(C_Pavement!$F$5:$F$204,$AQ294)),IF($AS294="","",INDEX(E_Rules!$E$5:$E$9,$AS294))))</f>
        <v/>
      </c>
      <c r="AW294" t="str">
        <f>IF($AQ294="","",IF(INDEX(C_Pavement!$G$5:$G$204,$AQ294)&lt;&gt;"",IF(INDEX(C_Pavement!$G$5:$G$204,$AQ294)="-","",INDEX(C_Pavement!$G$5:$G$204,$AQ294)),IF($AS294="","",INDEX(E_Rules!$F$5:$F$9,$AS294))))</f>
        <v/>
      </c>
      <c r="AX294" t="str">
        <f>IF($AQ294="","",IF(INDEX(C_Pavement!$H$5:$H$204,$AQ294)&lt;&gt;"",IF(INDEX(C_Pavement!$H$5:$H$204,$AQ294)="-","",INDEX(C_Pavement!$H$5:$H$204,$AQ294)),IF($AS294="","",INDEX(E_Rules!$G$5:$G$9,$AS294))))</f>
        <v/>
      </c>
      <c r="AY294" t="str">
        <f>IF($AQ294="","",IF(INDEX(C_Pavement!$I$5:$I$204,$AQ294)&lt;&gt;"",IF(INDEX(C_Pavement!$I$5:$I$204,$AQ294)="-","",INDEX(C_Pavement!$I$5:$I$204,$AQ294)),IF($AS294="","",INDEX(E_Rules!$H$5:$H$9,$AS294))))</f>
        <v/>
      </c>
    </row>
    <row r="295" spans="1:51" ht="15.75" customHeight="1" x14ac:dyDescent="0.3">
      <c r="A295" s="189">
        <v>290</v>
      </c>
      <c r="B295" s="180">
        <v>14450</v>
      </c>
      <c r="C295" s="180" t="s">
        <v>601</v>
      </c>
      <c r="D295" s="181" t="str">
        <f>IFERROR(LOOKUP(2,1/((A_Corridor!$A$5:$A$204&lt;&gt;"")*(A_Corridor!$A$5:$A$204&lt;=$B295)*(A_Corridor!$B$5:$B$204&gt;$B295)*(A_Corridor!$C$5:$C$204&lt;&gt;"")),IF(UPPER(A_Corridor!$C$5:$C$204)="Y",1,"")),"")</f>
        <v/>
      </c>
      <c r="E295" s="181" t="str">
        <f>IFERROR(LOOKUP(2,1/((A_Corridor!$A$5:$A$204&lt;&gt;"")*(A_Corridor!$A$5:$A$204&lt;=$B295)*(A_Corridor!$B$5:$B$204&gt;$B295)*(A_Corridor!$D$5:$D$204&lt;&gt;"")),IF(A_Corridor!$D$5:$D$204="-","",UPPER(A_Corridor!$D$5:$D$204))),"")</f>
        <v/>
      </c>
      <c r="F295" s="181" t="str">
        <f>IFERROR(LOOKUP(2,1/((A_Corridor!$A$5:$A$204&lt;&gt;"")*(A_Corridor!$A$5:$A$204&lt;=$B295)*(A_Corridor!$B$5:$B$204&gt;$B295)*(A_Corridor!$E$5:$E$204&lt;&gt;"")),IF(A_Corridor!$E$5:$E$204="-","",1)),"")</f>
        <v/>
      </c>
      <c r="G295" s="182" t="str">
        <f>IFERROR(LOOKUP(2,1/((A_Corridor!$A$5:$A$204&lt;&gt;"")*(A_Corridor!$A$5:$A$204&lt;=$B295)*(A_Corridor!$B$5:$B$204&gt;$B295)*(A_Corridor!$E$5:$E$204&lt;&gt;"")),IF(A_Corridor!$E$5:$E$204="-","",A_Corridor!$E$5:$E$204)),"")</f>
        <v/>
      </c>
      <c r="H295" s="182" t="str">
        <f>IFERROR(LOOKUP(2,1/((D_Points!$A$5:$A$204&lt;&gt;"")*(D_Points!$A$5:$A$204&gt;=$B295)*(D_Points!$A$5:$A$204&lt;$B295+P_Interval)*(UPPER(TRIM(D_Points!$B$5:$B$204))="GULLY")*(D_Points!$H$5:$H$204&lt;&gt;"")),D_Points!$H$5:$H$204),"")</f>
        <v/>
      </c>
      <c r="I295" s="181" t="str">
        <f>IFERROR(LOOKUP(2,1/((A_Corridor!$A$5:$A$204&lt;&gt;"")*(A_Corridor!$A$5:$A$204&lt;=$B295)*(A_Corridor!$B$5:$B$204&gt;$B295)*(A_Corridor!$F$5:$F$204&lt;&gt;"")),IF(A_Corridor!$F$5:$F$204="-","",1)),"")</f>
        <v/>
      </c>
      <c r="J295" s="182" t="str">
        <f>IFERROR(LOOKUP(2,1/((A_Corridor!$A$5:$A$204&lt;&gt;"")*(A_Corridor!$A$5:$A$204&lt;=$B295)*(A_Corridor!$B$5:$B$204&gt;$B295)*(A_Corridor!$F$5:$F$204&lt;&gt;"")),IF(A_Corridor!$F$5:$F$204="-","",A_Corridor!$F$5:$F$204)),"")</f>
        <v/>
      </c>
      <c r="K295" s="182" t="str">
        <f>IFERROR(LOOKUP(2,1/((A_Corridor!$A$5:$A$204&lt;&gt;"")*(A_Corridor!$A$5:$A$204&lt;=$B295)*(A_Corridor!$B$5:$B$204&gt;$B295)*(A_Corridor!$G$5:$G$204&lt;&gt;"")),IF(A_Corridor!$G$5:$G$204="-","",A_Corridor!$G$5:$G$204)),"")</f>
        <v/>
      </c>
      <c r="L295" s="181" t="str">
        <f>IFERROR(LOOKUP(2,1/((A_Corridor!$A$5:$A$204&lt;&gt;"")*(A_Corridor!$A$5:$A$204&lt;=$B295)*(A_Corridor!$B$5:$B$204&gt;$B295)*(A_Corridor!$H$5:$H$204&lt;&gt;"")),IF(A_Corridor!$H$5:$H$204="-","",1)),"")</f>
        <v/>
      </c>
      <c r="M295" s="182" t="str">
        <f>IFERROR(LOOKUP(2,1/((A_Corridor!$A$5:$A$204&lt;&gt;"")*(A_Corridor!$A$5:$A$204&lt;=$B295)*(A_Corridor!$B$5:$B$204&gt;$B295)*(A_Corridor!$H$5:$H$204&lt;&gt;"")),IF(A_Corridor!$H$5:$H$204="-","",A_Corridor!$H$5:$H$204)),"")</f>
        <v/>
      </c>
      <c r="N295" s="182" t="str">
        <f>IFERROR(LOOKUP(2,1/((A_Corridor!$A$5:$A$204&lt;&gt;"")*(A_Corridor!$A$5:$A$204&lt;=$B295)*(A_Corridor!$B$5:$B$204&gt;$B295)*(A_Corridor!$I$5:$I$204&lt;&gt;"")),IF(A_Corridor!$I$5:$I$204="-","",A_Corridor!$I$5:$I$204)),"")</f>
        <v/>
      </c>
      <c r="O295" s="182" t="str">
        <f>IFERROR(LOOKUP(2,1/((D_Points!$A$5:$A$204&lt;&gt;"")*(D_Points!$A$5:$A$204&gt;=$B295)*(D_Points!$A$5:$A$204&lt;$B295+P_Interval)*(UPPER(TRIM(D_Points!$B$5:$B$204))="PITCHING")*(D_Points!$H$5:$H$204&lt;&gt;"")),D_Points!$H$5:$H$204),"")</f>
        <v/>
      </c>
      <c r="P295" s="181" t="str">
        <f>IFERROR(LOOKUP(2,1/((B_Drainage!$A$5:$A$204&lt;&gt;"")*(B_Drainage!$A$5:$A$204&lt;=$B295)*(B_Drainage!$B$5:$B$204&gt;$B295)*(B_Drainage!$C$5:$C$204&lt;&gt;"")),IF(B_Drainage!$C$5:$C$204="-","",UPPER(B_Drainage!$C$5:$C$204))),"")</f>
        <v/>
      </c>
      <c r="Q295" s="181" t="str">
        <f>IFERROR(LOOKUP(2,1/((B_Drainage!$A$5:$A$204&lt;&gt;"")*(B_Drainage!$A$5:$A$204&lt;=$B295)*(B_Drainage!$B$5:$B$204&gt;$B295)*(B_Drainage!$D$5:$D$204&lt;&gt;"")),IF(B_Drainage!$D$5:$D$204="-","",UPPER(B_Drainage!$D$5:$D$204))),"")</f>
        <v/>
      </c>
      <c r="R295" s="182" t="str">
        <f>IFERROR(LOOKUP(2,1/((D_Points!$A$5:$A$204&lt;&gt;"")*(D_Points!$A$5:$A$204&gt;=$B295)*(D_Points!$A$5:$A$204&lt;$B295+P_Interval)*(RIGHT(UPPER(TRIM(D_Points!$B$5:$B$204)),8)="_CULVERT")),IF(LEFT(UPPER(TRIM(D_Points!$B$5:$B$204)),2)="EX",1,IF(LEFT(UPPER(TRIM(D_Points!$B$5:$B$204)),2)="PR",2,3))),"")</f>
        <v/>
      </c>
      <c r="S295" s="182" t="str">
        <f>IFERROR(LOOKUP(2,1/((D_Points!$A$5:$A$204&lt;&gt;"")*(D_Points!$A$5:$A$204&gt;=$B295)*(D_Points!$A$5:$A$204&lt;$B295+P_Interval)*(RIGHT(UPPER(TRIM(D_Points!$B$5:$B$204)),7)="_BRIDGE")),IF(LEFT(UPPER(TRIM(D_Points!$B$5:$B$204)),2)="EX",1,IF(LEFT(UPPER(TRIM(D_Points!$B$5:$B$204)),2)="PR",2,2))),"")</f>
        <v/>
      </c>
      <c r="T295" s="181" t="str">
        <f>IFERROR(LOOKUP(2,1/((B_Drainage!$A$5:$A$204&lt;&gt;"")*(B_Drainage!$A$5:$A$204&lt;=$B295)*(B_Drainage!$B$5:$B$204&gt;$B295)*(B_Drainage!$E$5:$E$204&lt;&gt;"")),IF(B_Drainage!$E$5:$E$204="-","",1)),"")</f>
        <v/>
      </c>
      <c r="U295" s="181" t="str">
        <f>IFERROR(LOOKUP(2,1/((B_Drainage!$A$5:$A$204&lt;&gt;"")*(B_Drainage!$A$5:$A$204&lt;=$B295)*(B_Drainage!$B$5:$B$204&gt;$B295)*(B_Drainage!$E$5:$E$204&lt;&gt;"")),IF(B_Drainage!$E$5:$E$204="-","",B_Drainage!$E$5:$E$204)),"")</f>
        <v/>
      </c>
      <c r="V295" s="181" t="str">
        <f>IFERROR(LOOKUP(2,1/((B_Drainage!$A$5:$A$204&lt;&gt;"")*(B_Drainage!$A$5:$A$204&lt;=$B295)*(B_Drainage!$B$5:$B$204&gt;$B295)*(B_Drainage!$F$5:$F$204&lt;&gt;"")),IF(B_Drainage!$F$5:$F$204="-","",1)),"")</f>
        <v/>
      </c>
      <c r="W295" s="181" t="str">
        <f>IFERROR(LOOKUP(2,1/((B_Drainage!$A$5:$A$204&lt;&gt;"")*(B_Drainage!$A$5:$A$204&lt;=$B295)*(B_Drainage!$B$5:$B$204&gt;$B295)*(B_Drainage!$F$5:$F$204&lt;&gt;"")),IF(B_Drainage!$F$5:$F$204="-","",B_Drainage!$F$5:$F$204)),"")</f>
        <v/>
      </c>
      <c r="X295" s="181" t="str">
        <f>IFERROR(LOOKUP(2,1/((B_Drainage!$A$5:$A$204&lt;&gt;"")*(B_Drainage!$A$5:$A$204&lt;=$B295)*(B_Drainage!$B$5:$B$204&gt;$B295)*(B_Drainage!$G$5:$G$204&lt;&gt;"")),IF(UPPER(B_Drainage!$G$5:$G$204)="Y",1,"")),"")</f>
        <v/>
      </c>
      <c r="Y295" s="181" t="str">
        <f>IFERROR(LOOKUP(2,1/((B_Drainage!$A$5:$A$204&lt;&gt;"")*(B_Drainage!$A$5:$A$204&lt;=$B295)*(B_Drainage!$B$5:$B$204&gt;$B295)*(B_Drainage!$H$5:$H$204&lt;&gt;"")),IF(UPPER(B_Drainage!$H$5:$H$204)="Y",1,"")),"")</f>
        <v/>
      </c>
      <c r="Z295" s="181" t="str">
        <f>IFERROR(LOOKUP(2,1/((B_Drainage!$A$5:$A$204&lt;&gt;"")*(B_Drainage!$A$5:$A$204&lt;=$B295)*(B_Drainage!$B$5:$B$204&gt;$B295)*(B_Drainage!$I$5:$I$204&lt;&gt;"")),IF(UPPER(B_Drainage!$I$5:$I$204)="Y",1,"")),"")</f>
        <v/>
      </c>
      <c r="AA295" s="181" t="str">
        <f>IFERROR(LOOKUP(2,1/((B_Drainage!$A$5:$A$204&lt;&gt;"")*(B_Drainage!$A$5:$A$204&lt;=$B295)*(B_Drainage!$B$5:$B$204&gt;$B295)*(B_Drainage!$J$5:$J$204&lt;&gt;"")),IF(UPPER(B_Drainage!$J$5:$J$204)="Y",1,"")),"")</f>
        <v/>
      </c>
      <c r="AB295" s="182" t="str">
        <f>IFERROR(LOOKUP(2,1/((B_Drainage!$A$5:$A$204&lt;&gt;"")*(B_Drainage!$A$5:$A$204&lt;=$B295)*(B_Drainage!$B$5:$B$204&gt;$B295)*(B_Drainage!$K$5:$K$204&lt;&gt;"")),IF(B_Drainage!$K$5:$K$204="-","",B_Drainage!$K$5:$K$204)),"")</f>
        <v/>
      </c>
      <c r="AC295" s="182" t="str">
        <f>IFERROR(LOOKUP(2,1/((B_Drainage!$A$5:$A$204&lt;&gt;"")*(B_Drainage!$A$5:$A$204&lt;=$B295)*(B_Drainage!$B$5:$B$204&gt;$B295)*(B_Drainage!$L$5:$L$204&lt;&gt;"")),IF(B_Drainage!$L$5:$L$204="-","",B_Drainage!$L$5:$L$204)),"")</f>
        <v/>
      </c>
      <c r="AD295" s="182" t="str">
        <f>IFERROR(LOOKUP(2,1/((D_Points!$A$5:$A$204&lt;&gt;"")*(D_Points!$A$5:$A$204&gt;=$B295)*(D_Points!$A$5:$A$204&lt;$B295+P_Interval)*(UPPER(TRIM(D_Points!$B$5:$B$204))="TURNOUT_L")*(D_Points!$H$5:$H$204&lt;&gt;"")),D_Points!$H$5:$H$204),"")</f>
        <v/>
      </c>
      <c r="AE295" s="182" t="str">
        <f>IFERROR(LOOKUP(2,1/((D_Points!$A$5:$A$204&lt;&gt;"")*(D_Points!$A$5:$A$204&gt;=$B295)*(D_Points!$A$5:$A$204&lt;$B295+P_Interval)*(UPPER(TRIM(D_Points!$B$5:$B$204))="TURNOUT_R")*(D_Points!$H$5:$H$204&lt;&gt;"")),D_Points!$H$5:$H$204),"")</f>
        <v/>
      </c>
      <c r="AF295" s="181" t="str">
        <f>IFERROR(LOOKUP(2,1/((B_Drainage!$A$5:$A$204&lt;&gt;"")*(B_Drainage!$A$5:$A$204&lt;=$B295)*(B_Drainage!$B$5:$B$204&gt;$B295)*(B_Drainage!$M$5:$M$204&lt;&gt;"")),IF(UPPER(B_Drainage!$M$5:$M$204)="Y",1,"")),"")</f>
        <v/>
      </c>
      <c r="AG295" s="181" t="str">
        <f>IFERROR(LOOKUP(2,1/((B_Drainage!$A$5:$A$204&lt;&gt;"")*(B_Drainage!$A$5:$A$204&lt;=$B295)*(B_Drainage!$B$5:$B$204&gt;$B295)*(B_Drainage!$N$5:$N$204&lt;&gt;"")),IF(UPPER(B_Drainage!$N$5:$N$204)="Y",1,"")),"")</f>
        <v/>
      </c>
      <c r="AH295" s="181" t="str">
        <f t="shared" si="32"/>
        <v/>
      </c>
      <c r="AI295" s="181" t="str">
        <f t="shared" si="33"/>
        <v/>
      </c>
      <c r="AJ295" s="181" t="str">
        <f t="shared" si="34"/>
        <v/>
      </c>
      <c r="AK295" s="181" t="str">
        <f t="shared" si="35"/>
        <v/>
      </c>
      <c r="AL295" s="181" t="str">
        <f t="shared" si="36"/>
        <v/>
      </c>
      <c r="AM295" s="181" t="str">
        <f t="shared" si="37"/>
        <v/>
      </c>
      <c r="AN295" s="181" t="str">
        <f t="shared" si="38"/>
        <v/>
      </c>
      <c r="AO295" s="192" t="str">
        <f t="shared" si="39"/>
        <v/>
      </c>
      <c r="AQ295" t="str">
        <f>IFERROR(LOOKUP(2,1/((C_Pavement!$A$5:$A$204&lt;&gt;"")*(C_Pavement!$A$5:$A$204&lt;=$B295)*(C_Pavement!$B$5:$B$204&gt;$B295)*(C_Pavement!$C$5:$C$204&lt;&gt;"")),ROW(C_Pavement!$C$5:$C$204)-4),"")</f>
        <v/>
      </c>
      <c r="AR295" t="str">
        <f>IF($AQ295="","",UPPER(TRIM(INDEX(C_Pavement!$C$5:$C$204,$AQ295))))</f>
        <v/>
      </c>
      <c r="AS295" t="str">
        <f>IF($AR295="","",IFERROR(MATCH($AR295,E_Rules!$A$5:$A$9,0),""))</f>
        <v/>
      </c>
      <c r="AT295" t="str">
        <f>IF($AQ295="","",IF(INDEX(C_Pavement!$D$5:$D$204,$AQ295)&lt;&gt;"",UPPER(TRIM(INDEX(C_Pavement!$D$5:$D$204,$AQ295))),IF($AS295="","",INDEX(E_Rules!$C$5:$C$9,$AS295))))</f>
        <v/>
      </c>
      <c r="AU295" t="str">
        <f>IF($AQ295="","",IF(INDEX(C_Pavement!$E$5:$E$204,$AQ295)&lt;&gt;"",IF(INDEX(C_Pavement!$E$5:$E$204,$AQ295)="-","",INDEX(C_Pavement!$E$5:$E$204,$AQ295)),IF($AS295="","",INDEX(E_Rules!$D$5:$D$9,$AS295))))</f>
        <v/>
      </c>
      <c r="AV295" t="str">
        <f>IF($AQ295="","",IF(INDEX(C_Pavement!$F$5:$F$204,$AQ295)&lt;&gt;"",IF(INDEX(C_Pavement!$F$5:$F$204,$AQ295)="-","",INDEX(C_Pavement!$F$5:$F$204,$AQ295)),IF($AS295="","",INDEX(E_Rules!$E$5:$E$9,$AS295))))</f>
        <v/>
      </c>
      <c r="AW295" t="str">
        <f>IF($AQ295="","",IF(INDEX(C_Pavement!$G$5:$G$204,$AQ295)&lt;&gt;"",IF(INDEX(C_Pavement!$G$5:$G$204,$AQ295)="-","",INDEX(C_Pavement!$G$5:$G$204,$AQ295)),IF($AS295="","",INDEX(E_Rules!$F$5:$F$9,$AS295))))</f>
        <v/>
      </c>
      <c r="AX295" t="str">
        <f>IF($AQ295="","",IF(INDEX(C_Pavement!$H$5:$H$204,$AQ295)&lt;&gt;"",IF(INDEX(C_Pavement!$H$5:$H$204,$AQ295)="-","",INDEX(C_Pavement!$H$5:$H$204,$AQ295)),IF($AS295="","",INDEX(E_Rules!$G$5:$G$9,$AS295))))</f>
        <v/>
      </c>
      <c r="AY295" t="str">
        <f>IF($AQ295="","",IF(INDEX(C_Pavement!$I$5:$I$204,$AQ295)&lt;&gt;"",IF(INDEX(C_Pavement!$I$5:$I$204,$AQ295)="-","",INDEX(C_Pavement!$I$5:$I$204,$AQ295)),IF($AS295="","",INDEX(E_Rules!$H$5:$H$9,$AS295))))</f>
        <v/>
      </c>
    </row>
    <row r="296" spans="1:51" ht="15.75" customHeight="1" x14ac:dyDescent="0.3">
      <c r="A296" s="189">
        <v>291</v>
      </c>
      <c r="B296" s="180">
        <v>14500</v>
      </c>
      <c r="C296" s="180" t="s">
        <v>602</v>
      </c>
      <c r="D296" s="181" t="str">
        <f>IFERROR(LOOKUP(2,1/((A_Corridor!$A$5:$A$204&lt;&gt;"")*(A_Corridor!$A$5:$A$204&lt;=$B296)*(A_Corridor!$B$5:$B$204&gt;$B296)*(A_Corridor!$C$5:$C$204&lt;&gt;"")),IF(UPPER(A_Corridor!$C$5:$C$204)="Y",1,"")),"")</f>
        <v/>
      </c>
      <c r="E296" s="181" t="str">
        <f>IFERROR(LOOKUP(2,1/((A_Corridor!$A$5:$A$204&lt;&gt;"")*(A_Corridor!$A$5:$A$204&lt;=$B296)*(A_Corridor!$B$5:$B$204&gt;$B296)*(A_Corridor!$D$5:$D$204&lt;&gt;"")),IF(A_Corridor!$D$5:$D$204="-","",UPPER(A_Corridor!$D$5:$D$204))),"")</f>
        <v/>
      </c>
      <c r="F296" s="181" t="str">
        <f>IFERROR(LOOKUP(2,1/((A_Corridor!$A$5:$A$204&lt;&gt;"")*(A_Corridor!$A$5:$A$204&lt;=$B296)*(A_Corridor!$B$5:$B$204&gt;$B296)*(A_Corridor!$E$5:$E$204&lt;&gt;"")),IF(A_Corridor!$E$5:$E$204="-","",1)),"")</f>
        <v/>
      </c>
      <c r="G296" s="182" t="str">
        <f>IFERROR(LOOKUP(2,1/((A_Corridor!$A$5:$A$204&lt;&gt;"")*(A_Corridor!$A$5:$A$204&lt;=$B296)*(A_Corridor!$B$5:$B$204&gt;$B296)*(A_Corridor!$E$5:$E$204&lt;&gt;"")),IF(A_Corridor!$E$5:$E$204="-","",A_Corridor!$E$5:$E$204)),"")</f>
        <v/>
      </c>
      <c r="H296" s="182" t="str">
        <f>IFERROR(LOOKUP(2,1/((D_Points!$A$5:$A$204&lt;&gt;"")*(D_Points!$A$5:$A$204&gt;=$B296)*(D_Points!$A$5:$A$204&lt;$B296+P_Interval)*(UPPER(TRIM(D_Points!$B$5:$B$204))="GULLY")*(D_Points!$H$5:$H$204&lt;&gt;"")),D_Points!$H$5:$H$204),"")</f>
        <v/>
      </c>
      <c r="I296" s="181" t="str">
        <f>IFERROR(LOOKUP(2,1/((A_Corridor!$A$5:$A$204&lt;&gt;"")*(A_Corridor!$A$5:$A$204&lt;=$B296)*(A_Corridor!$B$5:$B$204&gt;$B296)*(A_Corridor!$F$5:$F$204&lt;&gt;"")),IF(A_Corridor!$F$5:$F$204="-","",1)),"")</f>
        <v/>
      </c>
      <c r="J296" s="182" t="str">
        <f>IFERROR(LOOKUP(2,1/((A_Corridor!$A$5:$A$204&lt;&gt;"")*(A_Corridor!$A$5:$A$204&lt;=$B296)*(A_Corridor!$B$5:$B$204&gt;$B296)*(A_Corridor!$F$5:$F$204&lt;&gt;"")),IF(A_Corridor!$F$5:$F$204="-","",A_Corridor!$F$5:$F$204)),"")</f>
        <v/>
      </c>
      <c r="K296" s="182" t="str">
        <f>IFERROR(LOOKUP(2,1/((A_Corridor!$A$5:$A$204&lt;&gt;"")*(A_Corridor!$A$5:$A$204&lt;=$B296)*(A_Corridor!$B$5:$B$204&gt;$B296)*(A_Corridor!$G$5:$G$204&lt;&gt;"")),IF(A_Corridor!$G$5:$G$204="-","",A_Corridor!$G$5:$G$204)),"")</f>
        <v/>
      </c>
      <c r="L296" s="181" t="str">
        <f>IFERROR(LOOKUP(2,1/((A_Corridor!$A$5:$A$204&lt;&gt;"")*(A_Corridor!$A$5:$A$204&lt;=$B296)*(A_Corridor!$B$5:$B$204&gt;$B296)*(A_Corridor!$H$5:$H$204&lt;&gt;"")),IF(A_Corridor!$H$5:$H$204="-","",1)),"")</f>
        <v/>
      </c>
      <c r="M296" s="182" t="str">
        <f>IFERROR(LOOKUP(2,1/((A_Corridor!$A$5:$A$204&lt;&gt;"")*(A_Corridor!$A$5:$A$204&lt;=$B296)*(A_Corridor!$B$5:$B$204&gt;$B296)*(A_Corridor!$H$5:$H$204&lt;&gt;"")),IF(A_Corridor!$H$5:$H$204="-","",A_Corridor!$H$5:$H$204)),"")</f>
        <v/>
      </c>
      <c r="N296" s="182" t="str">
        <f>IFERROR(LOOKUP(2,1/((A_Corridor!$A$5:$A$204&lt;&gt;"")*(A_Corridor!$A$5:$A$204&lt;=$B296)*(A_Corridor!$B$5:$B$204&gt;$B296)*(A_Corridor!$I$5:$I$204&lt;&gt;"")),IF(A_Corridor!$I$5:$I$204="-","",A_Corridor!$I$5:$I$204)),"")</f>
        <v/>
      </c>
      <c r="O296" s="182" t="str">
        <f>IFERROR(LOOKUP(2,1/((D_Points!$A$5:$A$204&lt;&gt;"")*(D_Points!$A$5:$A$204&gt;=$B296)*(D_Points!$A$5:$A$204&lt;$B296+P_Interval)*(UPPER(TRIM(D_Points!$B$5:$B$204))="PITCHING")*(D_Points!$H$5:$H$204&lt;&gt;"")),D_Points!$H$5:$H$204),"")</f>
        <v/>
      </c>
      <c r="P296" s="181" t="str">
        <f>IFERROR(LOOKUP(2,1/((B_Drainage!$A$5:$A$204&lt;&gt;"")*(B_Drainage!$A$5:$A$204&lt;=$B296)*(B_Drainage!$B$5:$B$204&gt;$B296)*(B_Drainage!$C$5:$C$204&lt;&gt;"")),IF(B_Drainage!$C$5:$C$204="-","",UPPER(B_Drainage!$C$5:$C$204))),"")</f>
        <v/>
      </c>
      <c r="Q296" s="181" t="str">
        <f>IFERROR(LOOKUP(2,1/((B_Drainage!$A$5:$A$204&lt;&gt;"")*(B_Drainage!$A$5:$A$204&lt;=$B296)*(B_Drainage!$B$5:$B$204&gt;$B296)*(B_Drainage!$D$5:$D$204&lt;&gt;"")),IF(B_Drainage!$D$5:$D$204="-","",UPPER(B_Drainage!$D$5:$D$204))),"")</f>
        <v/>
      </c>
      <c r="R296" s="182" t="str">
        <f>IFERROR(LOOKUP(2,1/((D_Points!$A$5:$A$204&lt;&gt;"")*(D_Points!$A$5:$A$204&gt;=$B296)*(D_Points!$A$5:$A$204&lt;$B296+P_Interval)*(RIGHT(UPPER(TRIM(D_Points!$B$5:$B$204)),8)="_CULVERT")),IF(LEFT(UPPER(TRIM(D_Points!$B$5:$B$204)),2)="EX",1,IF(LEFT(UPPER(TRIM(D_Points!$B$5:$B$204)),2)="PR",2,3))),"")</f>
        <v/>
      </c>
      <c r="S296" s="182" t="str">
        <f>IFERROR(LOOKUP(2,1/((D_Points!$A$5:$A$204&lt;&gt;"")*(D_Points!$A$5:$A$204&gt;=$B296)*(D_Points!$A$5:$A$204&lt;$B296+P_Interval)*(RIGHT(UPPER(TRIM(D_Points!$B$5:$B$204)),7)="_BRIDGE")),IF(LEFT(UPPER(TRIM(D_Points!$B$5:$B$204)),2)="EX",1,IF(LEFT(UPPER(TRIM(D_Points!$B$5:$B$204)),2)="PR",2,2))),"")</f>
        <v/>
      </c>
      <c r="T296" s="181" t="str">
        <f>IFERROR(LOOKUP(2,1/((B_Drainage!$A$5:$A$204&lt;&gt;"")*(B_Drainage!$A$5:$A$204&lt;=$B296)*(B_Drainage!$B$5:$B$204&gt;$B296)*(B_Drainage!$E$5:$E$204&lt;&gt;"")),IF(B_Drainage!$E$5:$E$204="-","",1)),"")</f>
        <v/>
      </c>
      <c r="U296" s="181" t="str">
        <f>IFERROR(LOOKUP(2,1/((B_Drainage!$A$5:$A$204&lt;&gt;"")*(B_Drainage!$A$5:$A$204&lt;=$B296)*(B_Drainage!$B$5:$B$204&gt;$B296)*(B_Drainage!$E$5:$E$204&lt;&gt;"")),IF(B_Drainage!$E$5:$E$204="-","",B_Drainage!$E$5:$E$204)),"")</f>
        <v/>
      </c>
      <c r="V296" s="181" t="str">
        <f>IFERROR(LOOKUP(2,1/((B_Drainage!$A$5:$A$204&lt;&gt;"")*(B_Drainage!$A$5:$A$204&lt;=$B296)*(B_Drainage!$B$5:$B$204&gt;$B296)*(B_Drainage!$F$5:$F$204&lt;&gt;"")),IF(B_Drainage!$F$5:$F$204="-","",1)),"")</f>
        <v/>
      </c>
      <c r="W296" s="181" t="str">
        <f>IFERROR(LOOKUP(2,1/((B_Drainage!$A$5:$A$204&lt;&gt;"")*(B_Drainage!$A$5:$A$204&lt;=$B296)*(B_Drainage!$B$5:$B$204&gt;$B296)*(B_Drainage!$F$5:$F$204&lt;&gt;"")),IF(B_Drainage!$F$5:$F$204="-","",B_Drainage!$F$5:$F$204)),"")</f>
        <v/>
      </c>
      <c r="X296" s="181" t="str">
        <f>IFERROR(LOOKUP(2,1/((B_Drainage!$A$5:$A$204&lt;&gt;"")*(B_Drainage!$A$5:$A$204&lt;=$B296)*(B_Drainage!$B$5:$B$204&gt;$B296)*(B_Drainage!$G$5:$G$204&lt;&gt;"")),IF(UPPER(B_Drainage!$G$5:$G$204)="Y",1,"")),"")</f>
        <v/>
      </c>
      <c r="Y296" s="181" t="str">
        <f>IFERROR(LOOKUP(2,1/((B_Drainage!$A$5:$A$204&lt;&gt;"")*(B_Drainage!$A$5:$A$204&lt;=$B296)*(B_Drainage!$B$5:$B$204&gt;$B296)*(B_Drainage!$H$5:$H$204&lt;&gt;"")),IF(UPPER(B_Drainage!$H$5:$H$204)="Y",1,"")),"")</f>
        <v/>
      </c>
      <c r="Z296" s="181" t="str">
        <f>IFERROR(LOOKUP(2,1/((B_Drainage!$A$5:$A$204&lt;&gt;"")*(B_Drainage!$A$5:$A$204&lt;=$B296)*(B_Drainage!$B$5:$B$204&gt;$B296)*(B_Drainage!$I$5:$I$204&lt;&gt;"")),IF(UPPER(B_Drainage!$I$5:$I$204)="Y",1,"")),"")</f>
        <v/>
      </c>
      <c r="AA296" s="181" t="str">
        <f>IFERROR(LOOKUP(2,1/((B_Drainage!$A$5:$A$204&lt;&gt;"")*(B_Drainage!$A$5:$A$204&lt;=$B296)*(B_Drainage!$B$5:$B$204&gt;$B296)*(B_Drainage!$J$5:$J$204&lt;&gt;"")),IF(UPPER(B_Drainage!$J$5:$J$204)="Y",1,"")),"")</f>
        <v/>
      </c>
      <c r="AB296" s="182" t="str">
        <f>IFERROR(LOOKUP(2,1/((B_Drainage!$A$5:$A$204&lt;&gt;"")*(B_Drainage!$A$5:$A$204&lt;=$B296)*(B_Drainage!$B$5:$B$204&gt;$B296)*(B_Drainage!$K$5:$K$204&lt;&gt;"")),IF(B_Drainage!$K$5:$K$204="-","",B_Drainage!$K$5:$K$204)),"")</f>
        <v/>
      </c>
      <c r="AC296" s="182" t="str">
        <f>IFERROR(LOOKUP(2,1/((B_Drainage!$A$5:$A$204&lt;&gt;"")*(B_Drainage!$A$5:$A$204&lt;=$B296)*(B_Drainage!$B$5:$B$204&gt;$B296)*(B_Drainage!$L$5:$L$204&lt;&gt;"")),IF(B_Drainage!$L$5:$L$204="-","",B_Drainage!$L$5:$L$204)),"")</f>
        <v/>
      </c>
      <c r="AD296" s="182" t="str">
        <f>IFERROR(LOOKUP(2,1/((D_Points!$A$5:$A$204&lt;&gt;"")*(D_Points!$A$5:$A$204&gt;=$B296)*(D_Points!$A$5:$A$204&lt;$B296+P_Interval)*(UPPER(TRIM(D_Points!$B$5:$B$204))="TURNOUT_L")*(D_Points!$H$5:$H$204&lt;&gt;"")),D_Points!$H$5:$H$204),"")</f>
        <v/>
      </c>
      <c r="AE296" s="182" t="str">
        <f>IFERROR(LOOKUP(2,1/((D_Points!$A$5:$A$204&lt;&gt;"")*(D_Points!$A$5:$A$204&gt;=$B296)*(D_Points!$A$5:$A$204&lt;$B296+P_Interval)*(UPPER(TRIM(D_Points!$B$5:$B$204))="TURNOUT_R")*(D_Points!$H$5:$H$204&lt;&gt;"")),D_Points!$H$5:$H$204),"")</f>
        <v/>
      </c>
      <c r="AF296" s="181" t="str">
        <f>IFERROR(LOOKUP(2,1/((B_Drainage!$A$5:$A$204&lt;&gt;"")*(B_Drainage!$A$5:$A$204&lt;=$B296)*(B_Drainage!$B$5:$B$204&gt;$B296)*(B_Drainage!$M$5:$M$204&lt;&gt;"")),IF(UPPER(B_Drainage!$M$5:$M$204)="Y",1,"")),"")</f>
        <v/>
      </c>
      <c r="AG296" s="181" t="str">
        <f>IFERROR(LOOKUP(2,1/((B_Drainage!$A$5:$A$204&lt;&gt;"")*(B_Drainage!$A$5:$A$204&lt;=$B296)*(B_Drainage!$B$5:$B$204&gt;$B296)*(B_Drainage!$N$5:$N$204&lt;&gt;"")),IF(UPPER(B_Drainage!$N$5:$N$204)="Y",1,"")),"")</f>
        <v/>
      </c>
      <c r="AH296" s="181" t="str">
        <f t="shared" si="32"/>
        <v/>
      </c>
      <c r="AI296" s="181" t="str">
        <f t="shared" si="33"/>
        <v/>
      </c>
      <c r="AJ296" s="181" t="str">
        <f t="shared" si="34"/>
        <v/>
      </c>
      <c r="AK296" s="181" t="str">
        <f t="shared" si="35"/>
        <v/>
      </c>
      <c r="AL296" s="181" t="str">
        <f t="shared" si="36"/>
        <v/>
      </c>
      <c r="AM296" s="181" t="str">
        <f t="shared" si="37"/>
        <v/>
      </c>
      <c r="AN296" s="181" t="str">
        <f t="shared" si="38"/>
        <v/>
      </c>
      <c r="AO296" s="192" t="str">
        <f t="shared" si="39"/>
        <v/>
      </c>
      <c r="AQ296" t="str">
        <f>IFERROR(LOOKUP(2,1/((C_Pavement!$A$5:$A$204&lt;&gt;"")*(C_Pavement!$A$5:$A$204&lt;=$B296)*(C_Pavement!$B$5:$B$204&gt;$B296)*(C_Pavement!$C$5:$C$204&lt;&gt;"")),ROW(C_Pavement!$C$5:$C$204)-4),"")</f>
        <v/>
      </c>
      <c r="AR296" t="str">
        <f>IF($AQ296="","",UPPER(TRIM(INDEX(C_Pavement!$C$5:$C$204,$AQ296))))</f>
        <v/>
      </c>
      <c r="AS296" t="str">
        <f>IF($AR296="","",IFERROR(MATCH($AR296,E_Rules!$A$5:$A$9,0),""))</f>
        <v/>
      </c>
      <c r="AT296" t="str">
        <f>IF($AQ296="","",IF(INDEX(C_Pavement!$D$5:$D$204,$AQ296)&lt;&gt;"",UPPER(TRIM(INDEX(C_Pavement!$D$5:$D$204,$AQ296))),IF($AS296="","",INDEX(E_Rules!$C$5:$C$9,$AS296))))</f>
        <v/>
      </c>
      <c r="AU296" t="str">
        <f>IF($AQ296="","",IF(INDEX(C_Pavement!$E$5:$E$204,$AQ296)&lt;&gt;"",IF(INDEX(C_Pavement!$E$5:$E$204,$AQ296)="-","",INDEX(C_Pavement!$E$5:$E$204,$AQ296)),IF($AS296="","",INDEX(E_Rules!$D$5:$D$9,$AS296))))</f>
        <v/>
      </c>
      <c r="AV296" t="str">
        <f>IF($AQ296="","",IF(INDEX(C_Pavement!$F$5:$F$204,$AQ296)&lt;&gt;"",IF(INDEX(C_Pavement!$F$5:$F$204,$AQ296)="-","",INDEX(C_Pavement!$F$5:$F$204,$AQ296)),IF($AS296="","",INDEX(E_Rules!$E$5:$E$9,$AS296))))</f>
        <v/>
      </c>
      <c r="AW296" t="str">
        <f>IF($AQ296="","",IF(INDEX(C_Pavement!$G$5:$G$204,$AQ296)&lt;&gt;"",IF(INDEX(C_Pavement!$G$5:$G$204,$AQ296)="-","",INDEX(C_Pavement!$G$5:$G$204,$AQ296)),IF($AS296="","",INDEX(E_Rules!$F$5:$F$9,$AS296))))</f>
        <v/>
      </c>
      <c r="AX296" t="str">
        <f>IF($AQ296="","",IF(INDEX(C_Pavement!$H$5:$H$204,$AQ296)&lt;&gt;"",IF(INDEX(C_Pavement!$H$5:$H$204,$AQ296)="-","",INDEX(C_Pavement!$H$5:$H$204,$AQ296)),IF($AS296="","",INDEX(E_Rules!$G$5:$G$9,$AS296))))</f>
        <v/>
      </c>
      <c r="AY296" t="str">
        <f>IF($AQ296="","",IF(INDEX(C_Pavement!$I$5:$I$204,$AQ296)&lt;&gt;"",IF(INDEX(C_Pavement!$I$5:$I$204,$AQ296)="-","",INDEX(C_Pavement!$I$5:$I$204,$AQ296)),IF($AS296="","",INDEX(E_Rules!$H$5:$H$9,$AS296))))</f>
        <v/>
      </c>
    </row>
    <row r="297" spans="1:51" ht="15.75" customHeight="1" x14ac:dyDescent="0.3">
      <c r="A297" s="189">
        <v>292</v>
      </c>
      <c r="B297" s="180">
        <v>14550</v>
      </c>
      <c r="C297" s="180" t="s">
        <v>603</v>
      </c>
      <c r="D297" s="181" t="str">
        <f>IFERROR(LOOKUP(2,1/((A_Corridor!$A$5:$A$204&lt;&gt;"")*(A_Corridor!$A$5:$A$204&lt;=$B297)*(A_Corridor!$B$5:$B$204&gt;$B297)*(A_Corridor!$C$5:$C$204&lt;&gt;"")),IF(UPPER(A_Corridor!$C$5:$C$204)="Y",1,"")),"")</f>
        <v/>
      </c>
      <c r="E297" s="181" t="str">
        <f>IFERROR(LOOKUP(2,1/((A_Corridor!$A$5:$A$204&lt;&gt;"")*(A_Corridor!$A$5:$A$204&lt;=$B297)*(A_Corridor!$B$5:$B$204&gt;$B297)*(A_Corridor!$D$5:$D$204&lt;&gt;"")),IF(A_Corridor!$D$5:$D$204="-","",UPPER(A_Corridor!$D$5:$D$204))),"")</f>
        <v/>
      </c>
      <c r="F297" s="181" t="str">
        <f>IFERROR(LOOKUP(2,1/((A_Corridor!$A$5:$A$204&lt;&gt;"")*(A_Corridor!$A$5:$A$204&lt;=$B297)*(A_Corridor!$B$5:$B$204&gt;$B297)*(A_Corridor!$E$5:$E$204&lt;&gt;"")),IF(A_Corridor!$E$5:$E$204="-","",1)),"")</f>
        <v/>
      </c>
      <c r="G297" s="182" t="str">
        <f>IFERROR(LOOKUP(2,1/((A_Corridor!$A$5:$A$204&lt;&gt;"")*(A_Corridor!$A$5:$A$204&lt;=$B297)*(A_Corridor!$B$5:$B$204&gt;$B297)*(A_Corridor!$E$5:$E$204&lt;&gt;"")),IF(A_Corridor!$E$5:$E$204="-","",A_Corridor!$E$5:$E$204)),"")</f>
        <v/>
      </c>
      <c r="H297" s="182" t="str">
        <f>IFERROR(LOOKUP(2,1/((D_Points!$A$5:$A$204&lt;&gt;"")*(D_Points!$A$5:$A$204&gt;=$B297)*(D_Points!$A$5:$A$204&lt;$B297+P_Interval)*(UPPER(TRIM(D_Points!$B$5:$B$204))="GULLY")*(D_Points!$H$5:$H$204&lt;&gt;"")),D_Points!$H$5:$H$204),"")</f>
        <v/>
      </c>
      <c r="I297" s="181" t="str">
        <f>IFERROR(LOOKUP(2,1/((A_Corridor!$A$5:$A$204&lt;&gt;"")*(A_Corridor!$A$5:$A$204&lt;=$B297)*(A_Corridor!$B$5:$B$204&gt;$B297)*(A_Corridor!$F$5:$F$204&lt;&gt;"")),IF(A_Corridor!$F$5:$F$204="-","",1)),"")</f>
        <v/>
      </c>
      <c r="J297" s="182" t="str">
        <f>IFERROR(LOOKUP(2,1/((A_Corridor!$A$5:$A$204&lt;&gt;"")*(A_Corridor!$A$5:$A$204&lt;=$B297)*(A_Corridor!$B$5:$B$204&gt;$B297)*(A_Corridor!$F$5:$F$204&lt;&gt;"")),IF(A_Corridor!$F$5:$F$204="-","",A_Corridor!$F$5:$F$204)),"")</f>
        <v/>
      </c>
      <c r="K297" s="182" t="str">
        <f>IFERROR(LOOKUP(2,1/((A_Corridor!$A$5:$A$204&lt;&gt;"")*(A_Corridor!$A$5:$A$204&lt;=$B297)*(A_Corridor!$B$5:$B$204&gt;$B297)*(A_Corridor!$G$5:$G$204&lt;&gt;"")),IF(A_Corridor!$G$5:$G$204="-","",A_Corridor!$G$5:$G$204)),"")</f>
        <v/>
      </c>
      <c r="L297" s="181" t="str">
        <f>IFERROR(LOOKUP(2,1/((A_Corridor!$A$5:$A$204&lt;&gt;"")*(A_Corridor!$A$5:$A$204&lt;=$B297)*(A_Corridor!$B$5:$B$204&gt;$B297)*(A_Corridor!$H$5:$H$204&lt;&gt;"")),IF(A_Corridor!$H$5:$H$204="-","",1)),"")</f>
        <v/>
      </c>
      <c r="M297" s="182" t="str">
        <f>IFERROR(LOOKUP(2,1/((A_Corridor!$A$5:$A$204&lt;&gt;"")*(A_Corridor!$A$5:$A$204&lt;=$B297)*(A_Corridor!$B$5:$B$204&gt;$B297)*(A_Corridor!$H$5:$H$204&lt;&gt;"")),IF(A_Corridor!$H$5:$H$204="-","",A_Corridor!$H$5:$H$204)),"")</f>
        <v/>
      </c>
      <c r="N297" s="182" t="str">
        <f>IFERROR(LOOKUP(2,1/((A_Corridor!$A$5:$A$204&lt;&gt;"")*(A_Corridor!$A$5:$A$204&lt;=$B297)*(A_Corridor!$B$5:$B$204&gt;$B297)*(A_Corridor!$I$5:$I$204&lt;&gt;"")),IF(A_Corridor!$I$5:$I$204="-","",A_Corridor!$I$5:$I$204)),"")</f>
        <v/>
      </c>
      <c r="O297" s="182" t="str">
        <f>IFERROR(LOOKUP(2,1/((D_Points!$A$5:$A$204&lt;&gt;"")*(D_Points!$A$5:$A$204&gt;=$B297)*(D_Points!$A$5:$A$204&lt;$B297+P_Interval)*(UPPER(TRIM(D_Points!$B$5:$B$204))="PITCHING")*(D_Points!$H$5:$H$204&lt;&gt;"")),D_Points!$H$5:$H$204),"")</f>
        <v/>
      </c>
      <c r="P297" s="181" t="str">
        <f>IFERROR(LOOKUP(2,1/((B_Drainage!$A$5:$A$204&lt;&gt;"")*(B_Drainage!$A$5:$A$204&lt;=$B297)*(B_Drainage!$B$5:$B$204&gt;$B297)*(B_Drainage!$C$5:$C$204&lt;&gt;"")),IF(B_Drainage!$C$5:$C$204="-","",UPPER(B_Drainage!$C$5:$C$204))),"")</f>
        <v/>
      </c>
      <c r="Q297" s="181" t="str">
        <f>IFERROR(LOOKUP(2,1/((B_Drainage!$A$5:$A$204&lt;&gt;"")*(B_Drainage!$A$5:$A$204&lt;=$B297)*(B_Drainage!$B$5:$B$204&gt;$B297)*(B_Drainage!$D$5:$D$204&lt;&gt;"")),IF(B_Drainage!$D$5:$D$204="-","",UPPER(B_Drainage!$D$5:$D$204))),"")</f>
        <v/>
      </c>
      <c r="R297" s="182" t="str">
        <f>IFERROR(LOOKUP(2,1/((D_Points!$A$5:$A$204&lt;&gt;"")*(D_Points!$A$5:$A$204&gt;=$B297)*(D_Points!$A$5:$A$204&lt;$B297+P_Interval)*(RIGHT(UPPER(TRIM(D_Points!$B$5:$B$204)),8)="_CULVERT")),IF(LEFT(UPPER(TRIM(D_Points!$B$5:$B$204)),2)="EX",1,IF(LEFT(UPPER(TRIM(D_Points!$B$5:$B$204)),2)="PR",2,3))),"")</f>
        <v/>
      </c>
      <c r="S297" s="182" t="str">
        <f>IFERROR(LOOKUP(2,1/((D_Points!$A$5:$A$204&lt;&gt;"")*(D_Points!$A$5:$A$204&gt;=$B297)*(D_Points!$A$5:$A$204&lt;$B297+P_Interval)*(RIGHT(UPPER(TRIM(D_Points!$B$5:$B$204)),7)="_BRIDGE")),IF(LEFT(UPPER(TRIM(D_Points!$B$5:$B$204)),2)="EX",1,IF(LEFT(UPPER(TRIM(D_Points!$B$5:$B$204)),2)="PR",2,2))),"")</f>
        <v/>
      </c>
      <c r="T297" s="181" t="str">
        <f>IFERROR(LOOKUP(2,1/((B_Drainage!$A$5:$A$204&lt;&gt;"")*(B_Drainage!$A$5:$A$204&lt;=$B297)*(B_Drainage!$B$5:$B$204&gt;$B297)*(B_Drainage!$E$5:$E$204&lt;&gt;"")),IF(B_Drainage!$E$5:$E$204="-","",1)),"")</f>
        <v/>
      </c>
      <c r="U297" s="181" t="str">
        <f>IFERROR(LOOKUP(2,1/((B_Drainage!$A$5:$A$204&lt;&gt;"")*(B_Drainage!$A$5:$A$204&lt;=$B297)*(B_Drainage!$B$5:$B$204&gt;$B297)*(B_Drainage!$E$5:$E$204&lt;&gt;"")),IF(B_Drainage!$E$5:$E$204="-","",B_Drainage!$E$5:$E$204)),"")</f>
        <v/>
      </c>
      <c r="V297" s="181" t="str">
        <f>IFERROR(LOOKUP(2,1/((B_Drainage!$A$5:$A$204&lt;&gt;"")*(B_Drainage!$A$5:$A$204&lt;=$B297)*(B_Drainage!$B$5:$B$204&gt;$B297)*(B_Drainage!$F$5:$F$204&lt;&gt;"")),IF(B_Drainage!$F$5:$F$204="-","",1)),"")</f>
        <v/>
      </c>
      <c r="W297" s="181" t="str">
        <f>IFERROR(LOOKUP(2,1/((B_Drainage!$A$5:$A$204&lt;&gt;"")*(B_Drainage!$A$5:$A$204&lt;=$B297)*(B_Drainage!$B$5:$B$204&gt;$B297)*(B_Drainage!$F$5:$F$204&lt;&gt;"")),IF(B_Drainage!$F$5:$F$204="-","",B_Drainage!$F$5:$F$204)),"")</f>
        <v/>
      </c>
      <c r="X297" s="181" t="str">
        <f>IFERROR(LOOKUP(2,1/((B_Drainage!$A$5:$A$204&lt;&gt;"")*(B_Drainage!$A$5:$A$204&lt;=$B297)*(B_Drainage!$B$5:$B$204&gt;$B297)*(B_Drainage!$G$5:$G$204&lt;&gt;"")),IF(UPPER(B_Drainage!$G$5:$G$204)="Y",1,"")),"")</f>
        <v/>
      </c>
      <c r="Y297" s="181" t="str">
        <f>IFERROR(LOOKUP(2,1/((B_Drainage!$A$5:$A$204&lt;&gt;"")*(B_Drainage!$A$5:$A$204&lt;=$B297)*(B_Drainage!$B$5:$B$204&gt;$B297)*(B_Drainage!$H$5:$H$204&lt;&gt;"")),IF(UPPER(B_Drainage!$H$5:$H$204)="Y",1,"")),"")</f>
        <v/>
      </c>
      <c r="Z297" s="181" t="str">
        <f>IFERROR(LOOKUP(2,1/((B_Drainage!$A$5:$A$204&lt;&gt;"")*(B_Drainage!$A$5:$A$204&lt;=$B297)*(B_Drainage!$B$5:$B$204&gt;$B297)*(B_Drainage!$I$5:$I$204&lt;&gt;"")),IF(UPPER(B_Drainage!$I$5:$I$204)="Y",1,"")),"")</f>
        <v/>
      </c>
      <c r="AA297" s="181" t="str">
        <f>IFERROR(LOOKUP(2,1/((B_Drainage!$A$5:$A$204&lt;&gt;"")*(B_Drainage!$A$5:$A$204&lt;=$B297)*(B_Drainage!$B$5:$B$204&gt;$B297)*(B_Drainage!$J$5:$J$204&lt;&gt;"")),IF(UPPER(B_Drainage!$J$5:$J$204)="Y",1,"")),"")</f>
        <v/>
      </c>
      <c r="AB297" s="182" t="str">
        <f>IFERROR(LOOKUP(2,1/((B_Drainage!$A$5:$A$204&lt;&gt;"")*(B_Drainage!$A$5:$A$204&lt;=$B297)*(B_Drainage!$B$5:$B$204&gt;$B297)*(B_Drainage!$K$5:$K$204&lt;&gt;"")),IF(B_Drainage!$K$5:$K$204="-","",B_Drainage!$K$5:$K$204)),"")</f>
        <v/>
      </c>
      <c r="AC297" s="182" t="str">
        <f>IFERROR(LOOKUP(2,1/((B_Drainage!$A$5:$A$204&lt;&gt;"")*(B_Drainage!$A$5:$A$204&lt;=$B297)*(B_Drainage!$B$5:$B$204&gt;$B297)*(B_Drainage!$L$5:$L$204&lt;&gt;"")),IF(B_Drainage!$L$5:$L$204="-","",B_Drainage!$L$5:$L$204)),"")</f>
        <v/>
      </c>
      <c r="AD297" s="182" t="str">
        <f>IFERROR(LOOKUP(2,1/((D_Points!$A$5:$A$204&lt;&gt;"")*(D_Points!$A$5:$A$204&gt;=$B297)*(D_Points!$A$5:$A$204&lt;$B297+P_Interval)*(UPPER(TRIM(D_Points!$B$5:$B$204))="TURNOUT_L")*(D_Points!$H$5:$H$204&lt;&gt;"")),D_Points!$H$5:$H$204),"")</f>
        <v/>
      </c>
      <c r="AE297" s="182" t="str">
        <f>IFERROR(LOOKUP(2,1/((D_Points!$A$5:$A$204&lt;&gt;"")*(D_Points!$A$5:$A$204&gt;=$B297)*(D_Points!$A$5:$A$204&lt;$B297+P_Interval)*(UPPER(TRIM(D_Points!$B$5:$B$204))="TURNOUT_R")*(D_Points!$H$5:$H$204&lt;&gt;"")),D_Points!$H$5:$H$204),"")</f>
        <v/>
      </c>
      <c r="AF297" s="181" t="str">
        <f>IFERROR(LOOKUP(2,1/((B_Drainage!$A$5:$A$204&lt;&gt;"")*(B_Drainage!$A$5:$A$204&lt;=$B297)*(B_Drainage!$B$5:$B$204&gt;$B297)*(B_Drainage!$M$5:$M$204&lt;&gt;"")),IF(UPPER(B_Drainage!$M$5:$M$204)="Y",1,"")),"")</f>
        <v/>
      </c>
      <c r="AG297" s="181" t="str">
        <f>IFERROR(LOOKUP(2,1/((B_Drainage!$A$5:$A$204&lt;&gt;"")*(B_Drainage!$A$5:$A$204&lt;=$B297)*(B_Drainage!$B$5:$B$204&gt;$B297)*(B_Drainage!$N$5:$N$204&lt;&gt;"")),IF(UPPER(B_Drainage!$N$5:$N$204)="Y",1,"")),"")</f>
        <v/>
      </c>
      <c r="AH297" s="181" t="str">
        <f t="shared" si="32"/>
        <v/>
      </c>
      <c r="AI297" s="181" t="str">
        <f t="shared" si="33"/>
        <v/>
      </c>
      <c r="AJ297" s="181" t="str">
        <f t="shared" si="34"/>
        <v/>
      </c>
      <c r="AK297" s="181" t="str">
        <f t="shared" si="35"/>
        <v/>
      </c>
      <c r="AL297" s="181" t="str">
        <f t="shared" si="36"/>
        <v/>
      </c>
      <c r="AM297" s="181" t="str">
        <f t="shared" si="37"/>
        <v/>
      </c>
      <c r="AN297" s="181" t="str">
        <f t="shared" si="38"/>
        <v/>
      </c>
      <c r="AO297" s="192" t="str">
        <f t="shared" si="39"/>
        <v/>
      </c>
      <c r="AQ297" t="str">
        <f>IFERROR(LOOKUP(2,1/((C_Pavement!$A$5:$A$204&lt;&gt;"")*(C_Pavement!$A$5:$A$204&lt;=$B297)*(C_Pavement!$B$5:$B$204&gt;$B297)*(C_Pavement!$C$5:$C$204&lt;&gt;"")),ROW(C_Pavement!$C$5:$C$204)-4),"")</f>
        <v/>
      </c>
      <c r="AR297" t="str">
        <f>IF($AQ297="","",UPPER(TRIM(INDEX(C_Pavement!$C$5:$C$204,$AQ297))))</f>
        <v/>
      </c>
      <c r="AS297" t="str">
        <f>IF($AR297="","",IFERROR(MATCH($AR297,E_Rules!$A$5:$A$9,0),""))</f>
        <v/>
      </c>
      <c r="AT297" t="str">
        <f>IF($AQ297="","",IF(INDEX(C_Pavement!$D$5:$D$204,$AQ297)&lt;&gt;"",UPPER(TRIM(INDEX(C_Pavement!$D$5:$D$204,$AQ297))),IF($AS297="","",INDEX(E_Rules!$C$5:$C$9,$AS297))))</f>
        <v/>
      </c>
      <c r="AU297" t="str">
        <f>IF($AQ297="","",IF(INDEX(C_Pavement!$E$5:$E$204,$AQ297)&lt;&gt;"",IF(INDEX(C_Pavement!$E$5:$E$204,$AQ297)="-","",INDEX(C_Pavement!$E$5:$E$204,$AQ297)),IF($AS297="","",INDEX(E_Rules!$D$5:$D$9,$AS297))))</f>
        <v/>
      </c>
      <c r="AV297" t="str">
        <f>IF($AQ297="","",IF(INDEX(C_Pavement!$F$5:$F$204,$AQ297)&lt;&gt;"",IF(INDEX(C_Pavement!$F$5:$F$204,$AQ297)="-","",INDEX(C_Pavement!$F$5:$F$204,$AQ297)),IF($AS297="","",INDEX(E_Rules!$E$5:$E$9,$AS297))))</f>
        <v/>
      </c>
      <c r="AW297" t="str">
        <f>IF($AQ297="","",IF(INDEX(C_Pavement!$G$5:$G$204,$AQ297)&lt;&gt;"",IF(INDEX(C_Pavement!$G$5:$G$204,$AQ297)="-","",INDEX(C_Pavement!$G$5:$G$204,$AQ297)),IF($AS297="","",INDEX(E_Rules!$F$5:$F$9,$AS297))))</f>
        <v/>
      </c>
      <c r="AX297" t="str">
        <f>IF($AQ297="","",IF(INDEX(C_Pavement!$H$5:$H$204,$AQ297)&lt;&gt;"",IF(INDEX(C_Pavement!$H$5:$H$204,$AQ297)="-","",INDEX(C_Pavement!$H$5:$H$204,$AQ297)),IF($AS297="","",INDEX(E_Rules!$G$5:$G$9,$AS297))))</f>
        <v/>
      </c>
      <c r="AY297" t="str">
        <f>IF($AQ297="","",IF(INDEX(C_Pavement!$I$5:$I$204,$AQ297)&lt;&gt;"",IF(INDEX(C_Pavement!$I$5:$I$204,$AQ297)="-","",INDEX(C_Pavement!$I$5:$I$204,$AQ297)),IF($AS297="","",INDEX(E_Rules!$H$5:$H$9,$AS297))))</f>
        <v/>
      </c>
    </row>
    <row r="298" spans="1:51" ht="15.75" customHeight="1" x14ac:dyDescent="0.3">
      <c r="A298" s="189">
        <v>293</v>
      </c>
      <c r="B298" s="180">
        <v>14600</v>
      </c>
      <c r="C298" s="180" t="s">
        <v>604</v>
      </c>
      <c r="D298" s="181" t="str">
        <f>IFERROR(LOOKUP(2,1/((A_Corridor!$A$5:$A$204&lt;&gt;"")*(A_Corridor!$A$5:$A$204&lt;=$B298)*(A_Corridor!$B$5:$B$204&gt;$B298)*(A_Corridor!$C$5:$C$204&lt;&gt;"")),IF(UPPER(A_Corridor!$C$5:$C$204)="Y",1,"")),"")</f>
        <v/>
      </c>
      <c r="E298" s="181" t="str">
        <f>IFERROR(LOOKUP(2,1/((A_Corridor!$A$5:$A$204&lt;&gt;"")*(A_Corridor!$A$5:$A$204&lt;=$B298)*(A_Corridor!$B$5:$B$204&gt;$B298)*(A_Corridor!$D$5:$D$204&lt;&gt;"")),IF(A_Corridor!$D$5:$D$204="-","",UPPER(A_Corridor!$D$5:$D$204))),"")</f>
        <v/>
      </c>
      <c r="F298" s="181" t="str">
        <f>IFERROR(LOOKUP(2,1/((A_Corridor!$A$5:$A$204&lt;&gt;"")*(A_Corridor!$A$5:$A$204&lt;=$B298)*(A_Corridor!$B$5:$B$204&gt;$B298)*(A_Corridor!$E$5:$E$204&lt;&gt;"")),IF(A_Corridor!$E$5:$E$204="-","",1)),"")</f>
        <v/>
      </c>
      <c r="G298" s="182" t="str">
        <f>IFERROR(LOOKUP(2,1/((A_Corridor!$A$5:$A$204&lt;&gt;"")*(A_Corridor!$A$5:$A$204&lt;=$B298)*(A_Corridor!$B$5:$B$204&gt;$B298)*(A_Corridor!$E$5:$E$204&lt;&gt;"")),IF(A_Corridor!$E$5:$E$204="-","",A_Corridor!$E$5:$E$204)),"")</f>
        <v/>
      </c>
      <c r="H298" s="182" t="str">
        <f>IFERROR(LOOKUP(2,1/((D_Points!$A$5:$A$204&lt;&gt;"")*(D_Points!$A$5:$A$204&gt;=$B298)*(D_Points!$A$5:$A$204&lt;$B298+P_Interval)*(UPPER(TRIM(D_Points!$B$5:$B$204))="GULLY")*(D_Points!$H$5:$H$204&lt;&gt;"")),D_Points!$H$5:$H$204),"")</f>
        <v/>
      </c>
      <c r="I298" s="181" t="str">
        <f>IFERROR(LOOKUP(2,1/((A_Corridor!$A$5:$A$204&lt;&gt;"")*(A_Corridor!$A$5:$A$204&lt;=$B298)*(A_Corridor!$B$5:$B$204&gt;$B298)*(A_Corridor!$F$5:$F$204&lt;&gt;"")),IF(A_Corridor!$F$5:$F$204="-","",1)),"")</f>
        <v/>
      </c>
      <c r="J298" s="182" t="str">
        <f>IFERROR(LOOKUP(2,1/((A_Corridor!$A$5:$A$204&lt;&gt;"")*(A_Corridor!$A$5:$A$204&lt;=$B298)*(A_Corridor!$B$5:$B$204&gt;$B298)*(A_Corridor!$F$5:$F$204&lt;&gt;"")),IF(A_Corridor!$F$5:$F$204="-","",A_Corridor!$F$5:$F$204)),"")</f>
        <v/>
      </c>
      <c r="K298" s="182" t="str">
        <f>IFERROR(LOOKUP(2,1/((A_Corridor!$A$5:$A$204&lt;&gt;"")*(A_Corridor!$A$5:$A$204&lt;=$B298)*(A_Corridor!$B$5:$B$204&gt;$B298)*(A_Corridor!$G$5:$G$204&lt;&gt;"")),IF(A_Corridor!$G$5:$G$204="-","",A_Corridor!$G$5:$G$204)),"")</f>
        <v/>
      </c>
      <c r="L298" s="181" t="str">
        <f>IFERROR(LOOKUP(2,1/((A_Corridor!$A$5:$A$204&lt;&gt;"")*(A_Corridor!$A$5:$A$204&lt;=$B298)*(A_Corridor!$B$5:$B$204&gt;$B298)*(A_Corridor!$H$5:$H$204&lt;&gt;"")),IF(A_Corridor!$H$5:$H$204="-","",1)),"")</f>
        <v/>
      </c>
      <c r="M298" s="182" t="str">
        <f>IFERROR(LOOKUP(2,1/((A_Corridor!$A$5:$A$204&lt;&gt;"")*(A_Corridor!$A$5:$A$204&lt;=$B298)*(A_Corridor!$B$5:$B$204&gt;$B298)*(A_Corridor!$H$5:$H$204&lt;&gt;"")),IF(A_Corridor!$H$5:$H$204="-","",A_Corridor!$H$5:$H$204)),"")</f>
        <v/>
      </c>
      <c r="N298" s="182" t="str">
        <f>IFERROR(LOOKUP(2,1/((A_Corridor!$A$5:$A$204&lt;&gt;"")*(A_Corridor!$A$5:$A$204&lt;=$B298)*(A_Corridor!$B$5:$B$204&gt;$B298)*(A_Corridor!$I$5:$I$204&lt;&gt;"")),IF(A_Corridor!$I$5:$I$204="-","",A_Corridor!$I$5:$I$204)),"")</f>
        <v/>
      </c>
      <c r="O298" s="182" t="str">
        <f>IFERROR(LOOKUP(2,1/((D_Points!$A$5:$A$204&lt;&gt;"")*(D_Points!$A$5:$A$204&gt;=$B298)*(D_Points!$A$5:$A$204&lt;$B298+P_Interval)*(UPPER(TRIM(D_Points!$B$5:$B$204))="PITCHING")*(D_Points!$H$5:$H$204&lt;&gt;"")),D_Points!$H$5:$H$204),"")</f>
        <v/>
      </c>
      <c r="P298" s="181" t="str">
        <f>IFERROR(LOOKUP(2,1/((B_Drainage!$A$5:$A$204&lt;&gt;"")*(B_Drainage!$A$5:$A$204&lt;=$B298)*(B_Drainage!$B$5:$B$204&gt;$B298)*(B_Drainage!$C$5:$C$204&lt;&gt;"")),IF(B_Drainage!$C$5:$C$204="-","",UPPER(B_Drainage!$C$5:$C$204))),"")</f>
        <v/>
      </c>
      <c r="Q298" s="181" t="str">
        <f>IFERROR(LOOKUP(2,1/((B_Drainage!$A$5:$A$204&lt;&gt;"")*(B_Drainage!$A$5:$A$204&lt;=$B298)*(B_Drainage!$B$5:$B$204&gt;$B298)*(B_Drainage!$D$5:$D$204&lt;&gt;"")),IF(B_Drainage!$D$5:$D$204="-","",UPPER(B_Drainage!$D$5:$D$204))),"")</f>
        <v/>
      </c>
      <c r="R298" s="182" t="str">
        <f>IFERROR(LOOKUP(2,1/((D_Points!$A$5:$A$204&lt;&gt;"")*(D_Points!$A$5:$A$204&gt;=$B298)*(D_Points!$A$5:$A$204&lt;$B298+P_Interval)*(RIGHT(UPPER(TRIM(D_Points!$B$5:$B$204)),8)="_CULVERT")),IF(LEFT(UPPER(TRIM(D_Points!$B$5:$B$204)),2)="EX",1,IF(LEFT(UPPER(TRIM(D_Points!$B$5:$B$204)),2)="PR",2,3))),"")</f>
        <v/>
      </c>
      <c r="S298" s="182" t="str">
        <f>IFERROR(LOOKUP(2,1/((D_Points!$A$5:$A$204&lt;&gt;"")*(D_Points!$A$5:$A$204&gt;=$B298)*(D_Points!$A$5:$A$204&lt;$B298+P_Interval)*(RIGHT(UPPER(TRIM(D_Points!$B$5:$B$204)),7)="_BRIDGE")),IF(LEFT(UPPER(TRIM(D_Points!$B$5:$B$204)),2)="EX",1,IF(LEFT(UPPER(TRIM(D_Points!$B$5:$B$204)),2)="PR",2,2))),"")</f>
        <v/>
      </c>
      <c r="T298" s="181" t="str">
        <f>IFERROR(LOOKUP(2,1/((B_Drainage!$A$5:$A$204&lt;&gt;"")*(B_Drainage!$A$5:$A$204&lt;=$B298)*(B_Drainage!$B$5:$B$204&gt;$B298)*(B_Drainage!$E$5:$E$204&lt;&gt;"")),IF(B_Drainage!$E$5:$E$204="-","",1)),"")</f>
        <v/>
      </c>
      <c r="U298" s="181" t="str">
        <f>IFERROR(LOOKUP(2,1/((B_Drainage!$A$5:$A$204&lt;&gt;"")*(B_Drainage!$A$5:$A$204&lt;=$B298)*(B_Drainage!$B$5:$B$204&gt;$B298)*(B_Drainage!$E$5:$E$204&lt;&gt;"")),IF(B_Drainage!$E$5:$E$204="-","",B_Drainage!$E$5:$E$204)),"")</f>
        <v/>
      </c>
      <c r="V298" s="181" t="str">
        <f>IFERROR(LOOKUP(2,1/((B_Drainage!$A$5:$A$204&lt;&gt;"")*(B_Drainage!$A$5:$A$204&lt;=$B298)*(B_Drainage!$B$5:$B$204&gt;$B298)*(B_Drainage!$F$5:$F$204&lt;&gt;"")),IF(B_Drainage!$F$5:$F$204="-","",1)),"")</f>
        <v/>
      </c>
      <c r="W298" s="181" t="str">
        <f>IFERROR(LOOKUP(2,1/((B_Drainage!$A$5:$A$204&lt;&gt;"")*(B_Drainage!$A$5:$A$204&lt;=$B298)*(B_Drainage!$B$5:$B$204&gt;$B298)*(B_Drainage!$F$5:$F$204&lt;&gt;"")),IF(B_Drainage!$F$5:$F$204="-","",B_Drainage!$F$5:$F$204)),"")</f>
        <v/>
      </c>
      <c r="X298" s="181" t="str">
        <f>IFERROR(LOOKUP(2,1/((B_Drainage!$A$5:$A$204&lt;&gt;"")*(B_Drainage!$A$5:$A$204&lt;=$B298)*(B_Drainage!$B$5:$B$204&gt;$B298)*(B_Drainage!$G$5:$G$204&lt;&gt;"")),IF(UPPER(B_Drainage!$G$5:$G$204)="Y",1,"")),"")</f>
        <v/>
      </c>
      <c r="Y298" s="181" t="str">
        <f>IFERROR(LOOKUP(2,1/((B_Drainage!$A$5:$A$204&lt;&gt;"")*(B_Drainage!$A$5:$A$204&lt;=$B298)*(B_Drainage!$B$5:$B$204&gt;$B298)*(B_Drainage!$H$5:$H$204&lt;&gt;"")),IF(UPPER(B_Drainage!$H$5:$H$204)="Y",1,"")),"")</f>
        <v/>
      </c>
      <c r="Z298" s="181" t="str">
        <f>IFERROR(LOOKUP(2,1/((B_Drainage!$A$5:$A$204&lt;&gt;"")*(B_Drainage!$A$5:$A$204&lt;=$B298)*(B_Drainage!$B$5:$B$204&gt;$B298)*(B_Drainage!$I$5:$I$204&lt;&gt;"")),IF(UPPER(B_Drainage!$I$5:$I$204)="Y",1,"")),"")</f>
        <v/>
      </c>
      <c r="AA298" s="181" t="str">
        <f>IFERROR(LOOKUP(2,1/((B_Drainage!$A$5:$A$204&lt;&gt;"")*(B_Drainage!$A$5:$A$204&lt;=$B298)*(B_Drainage!$B$5:$B$204&gt;$B298)*(B_Drainage!$J$5:$J$204&lt;&gt;"")),IF(UPPER(B_Drainage!$J$5:$J$204)="Y",1,"")),"")</f>
        <v/>
      </c>
      <c r="AB298" s="182" t="str">
        <f>IFERROR(LOOKUP(2,1/((B_Drainage!$A$5:$A$204&lt;&gt;"")*(B_Drainage!$A$5:$A$204&lt;=$B298)*(B_Drainage!$B$5:$B$204&gt;$B298)*(B_Drainage!$K$5:$K$204&lt;&gt;"")),IF(B_Drainage!$K$5:$K$204="-","",B_Drainage!$K$5:$K$204)),"")</f>
        <v/>
      </c>
      <c r="AC298" s="182" t="str">
        <f>IFERROR(LOOKUP(2,1/((B_Drainage!$A$5:$A$204&lt;&gt;"")*(B_Drainage!$A$5:$A$204&lt;=$B298)*(B_Drainage!$B$5:$B$204&gt;$B298)*(B_Drainage!$L$5:$L$204&lt;&gt;"")),IF(B_Drainage!$L$5:$L$204="-","",B_Drainage!$L$5:$L$204)),"")</f>
        <v/>
      </c>
      <c r="AD298" s="182" t="str">
        <f>IFERROR(LOOKUP(2,1/((D_Points!$A$5:$A$204&lt;&gt;"")*(D_Points!$A$5:$A$204&gt;=$B298)*(D_Points!$A$5:$A$204&lt;$B298+P_Interval)*(UPPER(TRIM(D_Points!$B$5:$B$204))="TURNOUT_L")*(D_Points!$H$5:$H$204&lt;&gt;"")),D_Points!$H$5:$H$204),"")</f>
        <v/>
      </c>
      <c r="AE298" s="182" t="str">
        <f>IFERROR(LOOKUP(2,1/((D_Points!$A$5:$A$204&lt;&gt;"")*(D_Points!$A$5:$A$204&gt;=$B298)*(D_Points!$A$5:$A$204&lt;$B298+P_Interval)*(UPPER(TRIM(D_Points!$B$5:$B$204))="TURNOUT_R")*(D_Points!$H$5:$H$204&lt;&gt;"")),D_Points!$H$5:$H$204),"")</f>
        <v/>
      </c>
      <c r="AF298" s="181" t="str">
        <f>IFERROR(LOOKUP(2,1/((B_Drainage!$A$5:$A$204&lt;&gt;"")*(B_Drainage!$A$5:$A$204&lt;=$B298)*(B_Drainage!$B$5:$B$204&gt;$B298)*(B_Drainage!$M$5:$M$204&lt;&gt;"")),IF(UPPER(B_Drainage!$M$5:$M$204)="Y",1,"")),"")</f>
        <v/>
      </c>
      <c r="AG298" s="181" t="str">
        <f>IFERROR(LOOKUP(2,1/((B_Drainage!$A$5:$A$204&lt;&gt;"")*(B_Drainage!$A$5:$A$204&lt;=$B298)*(B_Drainage!$B$5:$B$204&gt;$B298)*(B_Drainage!$N$5:$N$204&lt;&gt;"")),IF(UPPER(B_Drainage!$N$5:$N$204)="Y",1,"")),"")</f>
        <v/>
      </c>
      <c r="AH298" s="181" t="str">
        <f t="shared" si="32"/>
        <v/>
      </c>
      <c r="AI298" s="181" t="str">
        <f t="shared" si="33"/>
        <v/>
      </c>
      <c r="AJ298" s="181" t="str">
        <f t="shared" si="34"/>
        <v/>
      </c>
      <c r="AK298" s="181" t="str">
        <f t="shared" si="35"/>
        <v/>
      </c>
      <c r="AL298" s="181" t="str">
        <f t="shared" si="36"/>
        <v/>
      </c>
      <c r="AM298" s="181" t="str">
        <f t="shared" si="37"/>
        <v/>
      </c>
      <c r="AN298" s="181" t="str">
        <f t="shared" si="38"/>
        <v/>
      </c>
      <c r="AO298" s="192" t="str">
        <f t="shared" si="39"/>
        <v/>
      </c>
      <c r="AQ298" t="str">
        <f>IFERROR(LOOKUP(2,1/((C_Pavement!$A$5:$A$204&lt;&gt;"")*(C_Pavement!$A$5:$A$204&lt;=$B298)*(C_Pavement!$B$5:$B$204&gt;$B298)*(C_Pavement!$C$5:$C$204&lt;&gt;"")),ROW(C_Pavement!$C$5:$C$204)-4),"")</f>
        <v/>
      </c>
      <c r="AR298" t="str">
        <f>IF($AQ298="","",UPPER(TRIM(INDEX(C_Pavement!$C$5:$C$204,$AQ298))))</f>
        <v/>
      </c>
      <c r="AS298" t="str">
        <f>IF($AR298="","",IFERROR(MATCH($AR298,E_Rules!$A$5:$A$9,0),""))</f>
        <v/>
      </c>
      <c r="AT298" t="str">
        <f>IF($AQ298="","",IF(INDEX(C_Pavement!$D$5:$D$204,$AQ298)&lt;&gt;"",UPPER(TRIM(INDEX(C_Pavement!$D$5:$D$204,$AQ298))),IF($AS298="","",INDEX(E_Rules!$C$5:$C$9,$AS298))))</f>
        <v/>
      </c>
      <c r="AU298" t="str">
        <f>IF($AQ298="","",IF(INDEX(C_Pavement!$E$5:$E$204,$AQ298)&lt;&gt;"",IF(INDEX(C_Pavement!$E$5:$E$204,$AQ298)="-","",INDEX(C_Pavement!$E$5:$E$204,$AQ298)),IF($AS298="","",INDEX(E_Rules!$D$5:$D$9,$AS298))))</f>
        <v/>
      </c>
      <c r="AV298" t="str">
        <f>IF($AQ298="","",IF(INDEX(C_Pavement!$F$5:$F$204,$AQ298)&lt;&gt;"",IF(INDEX(C_Pavement!$F$5:$F$204,$AQ298)="-","",INDEX(C_Pavement!$F$5:$F$204,$AQ298)),IF($AS298="","",INDEX(E_Rules!$E$5:$E$9,$AS298))))</f>
        <v/>
      </c>
      <c r="AW298" t="str">
        <f>IF($AQ298="","",IF(INDEX(C_Pavement!$G$5:$G$204,$AQ298)&lt;&gt;"",IF(INDEX(C_Pavement!$G$5:$G$204,$AQ298)="-","",INDEX(C_Pavement!$G$5:$G$204,$AQ298)),IF($AS298="","",INDEX(E_Rules!$F$5:$F$9,$AS298))))</f>
        <v/>
      </c>
      <c r="AX298" t="str">
        <f>IF($AQ298="","",IF(INDEX(C_Pavement!$H$5:$H$204,$AQ298)&lt;&gt;"",IF(INDEX(C_Pavement!$H$5:$H$204,$AQ298)="-","",INDEX(C_Pavement!$H$5:$H$204,$AQ298)),IF($AS298="","",INDEX(E_Rules!$G$5:$G$9,$AS298))))</f>
        <v/>
      </c>
      <c r="AY298" t="str">
        <f>IF($AQ298="","",IF(INDEX(C_Pavement!$I$5:$I$204,$AQ298)&lt;&gt;"",IF(INDEX(C_Pavement!$I$5:$I$204,$AQ298)="-","",INDEX(C_Pavement!$I$5:$I$204,$AQ298)),IF($AS298="","",INDEX(E_Rules!$H$5:$H$9,$AS298))))</f>
        <v/>
      </c>
    </row>
    <row r="299" spans="1:51" ht="15.75" customHeight="1" x14ac:dyDescent="0.3">
      <c r="A299" s="189">
        <v>294</v>
      </c>
      <c r="B299" s="180">
        <v>14650</v>
      </c>
      <c r="C299" s="180" t="s">
        <v>605</v>
      </c>
      <c r="D299" s="181" t="str">
        <f>IFERROR(LOOKUP(2,1/((A_Corridor!$A$5:$A$204&lt;&gt;"")*(A_Corridor!$A$5:$A$204&lt;=$B299)*(A_Corridor!$B$5:$B$204&gt;$B299)*(A_Corridor!$C$5:$C$204&lt;&gt;"")),IF(UPPER(A_Corridor!$C$5:$C$204)="Y",1,"")),"")</f>
        <v/>
      </c>
      <c r="E299" s="181" t="str">
        <f>IFERROR(LOOKUP(2,1/((A_Corridor!$A$5:$A$204&lt;&gt;"")*(A_Corridor!$A$5:$A$204&lt;=$B299)*(A_Corridor!$B$5:$B$204&gt;$B299)*(A_Corridor!$D$5:$D$204&lt;&gt;"")),IF(A_Corridor!$D$5:$D$204="-","",UPPER(A_Corridor!$D$5:$D$204))),"")</f>
        <v/>
      </c>
      <c r="F299" s="181" t="str">
        <f>IFERROR(LOOKUP(2,1/((A_Corridor!$A$5:$A$204&lt;&gt;"")*(A_Corridor!$A$5:$A$204&lt;=$B299)*(A_Corridor!$B$5:$B$204&gt;$B299)*(A_Corridor!$E$5:$E$204&lt;&gt;"")),IF(A_Corridor!$E$5:$E$204="-","",1)),"")</f>
        <v/>
      </c>
      <c r="G299" s="182" t="str">
        <f>IFERROR(LOOKUP(2,1/((A_Corridor!$A$5:$A$204&lt;&gt;"")*(A_Corridor!$A$5:$A$204&lt;=$B299)*(A_Corridor!$B$5:$B$204&gt;$B299)*(A_Corridor!$E$5:$E$204&lt;&gt;"")),IF(A_Corridor!$E$5:$E$204="-","",A_Corridor!$E$5:$E$204)),"")</f>
        <v/>
      </c>
      <c r="H299" s="182" t="str">
        <f>IFERROR(LOOKUP(2,1/((D_Points!$A$5:$A$204&lt;&gt;"")*(D_Points!$A$5:$A$204&gt;=$B299)*(D_Points!$A$5:$A$204&lt;$B299+P_Interval)*(UPPER(TRIM(D_Points!$B$5:$B$204))="GULLY")*(D_Points!$H$5:$H$204&lt;&gt;"")),D_Points!$H$5:$H$204),"")</f>
        <v/>
      </c>
      <c r="I299" s="181" t="str">
        <f>IFERROR(LOOKUP(2,1/((A_Corridor!$A$5:$A$204&lt;&gt;"")*(A_Corridor!$A$5:$A$204&lt;=$B299)*(A_Corridor!$B$5:$B$204&gt;$B299)*(A_Corridor!$F$5:$F$204&lt;&gt;"")),IF(A_Corridor!$F$5:$F$204="-","",1)),"")</f>
        <v/>
      </c>
      <c r="J299" s="182" t="str">
        <f>IFERROR(LOOKUP(2,1/((A_Corridor!$A$5:$A$204&lt;&gt;"")*(A_Corridor!$A$5:$A$204&lt;=$B299)*(A_Corridor!$B$5:$B$204&gt;$B299)*(A_Corridor!$F$5:$F$204&lt;&gt;"")),IF(A_Corridor!$F$5:$F$204="-","",A_Corridor!$F$5:$F$204)),"")</f>
        <v/>
      </c>
      <c r="K299" s="182" t="str">
        <f>IFERROR(LOOKUP(2,1/((A_Corridor!$A$5:$A$204&lt;&gt;"")*(A_Corridor!$A$5:$A$204&lt;=$B299)*(A_Corridor!$B$5:$B$204&gt;$B299)*(A_Corridor!$G$5:$G$204&lt;&gt;"")),IF(A_Corridor!$G$5:$G$204="-","",A_Corridor!$G$5:$G$204)),"")</f>
        <v/>
      </c>
      <c r="L299" s="181" t="str">
        <f>IFERROR(LOOKUP(2,1/((A_Corridor!$A$5:$A$204&lt;&gt;"")*(A_Corridor!$A$5:$A$204&lt;=$B299)*(A_Corridor!$B$5:$B$204&gt;$B299)*(A_Corridor!$H$5:$H$204&lt;&gt;"")),IF(A_Corridor!$H$5:$H$204="-","",1)),"")</f>
        <v/>
      </c>
      <c r="M299" s="182" t="str">
        <f>IFERROR(LOOKUP(2,1/((A_Corridor!$A$5:$A$204&lt;&gt;"")*(A_Corridor!$A$5:$A$204&lt;=$B299)*(A_Corridor!$B$5:$B$204&gt;$B299)*(A_Corridor!$H$5:$H$204&lt;&gt;"")),IF(A_Corridor!$H$5:$H$204="-","",A_Corridor!$H$5:$H$204)),"")</f>
        <v/>
      </c>
      <c r="N299" s="182" t="str">
        <f>IFERROR(LOOKUP(2,1/((A_Corridor!$A$5:$A$204&lt;&gt;"")*(A_Corridor!$A$5:$A$204&lt;=$B299)*(A_Corridor!$B$5:$B$204&gt;$B299)*(A_Corridor!$I$5:$I$204&lt;&gt;"")),IF(A_Corridor!$I$5:$I$204="-","",A_Corridor!$I$5:$I$204)),"")</f>
        <v/>
      </c>
      <c r="O299" s="182" t="str">
        <f>IFERROR(LOOKUP(2,1/((D_Points!$A$5:$A$204&lt;&gt;"")*(D_Points!$A$5:$A$204&gt;=$B299)*(D_Points!$A$5:$A$204&lt;$B299+P_Interval)*(UPPER(TRIM(D_Points!$B$5:$B$204))="PITCHING")*(D_Points!$H$5:$H$204&lt;&gt;"")),D_Points!$H$5:$H$204),"")</f>
        <v/>
      </c>
      <c r="P299" s="181" t="str">
        <f>IFERROR(LOOKUP(2,1/((B_Drainage!$A$5:$A$204&lt;&gt;"")*(B_Drainage!$A$5:$A$204&lt;=$B299)*(B_Drainage!$B$5:$B$204&gt;$B299)*(B_Drainage!$C$5:$C$204&lt;&gt;"")),IF(B_Drainage!$C$5:$C$204="-","",UPPER(B_Drainage!$C$5:$C$204))),"")</f>
        <v/>
      </c>
      <c r="Q299" s="181" t="str">
        <f>IFERROR(LOOKUP(2,1/((B_Drainage!$A$5:$A$204&lt;&gt;"")*(B_Drainage!$A$5:$A$204&lt;=$B299)*(B_Drainage!$B$5:$B$204&gt;$B299)*(B_Drainage!$D$5:$D$204&lt;&gt;"")),IF(B_Drainage!$D$5:$D$204="-","",UPPER(B_Drainage!$D$5:$D$204))),"")</f>
        <v/>
      </c>
      <c r="R299" s="182" t="str">
        <f>IFERROR(LOOKUP(2,1/((D_Points!$A$5:$A$204&lt;&gt;"")*(D_Points!$A$5:$A$204&gt;=$B299)*(D_Points!$A$5:$A$204&lt;$B299+P_Interval)*(RIGHT(UPPER(TRIM(D_Points!$B$5:$B$204)),8)="_CULVERT")),IF(LEFT(UPPER(TRIM(D_Points!$B$5:$B$204)),2)="EX",1,IF(LEFT(UPPER(TRIM(D_Points!$B$5:$B$204)),2)="PR",2,3))),"")</f>
        <v/>
      </c>
      <c r="S299" s="182" t="str">
        <f>IFERROR(LOOKUP(2,1/((D_Points!$A$5:$A$204&lt;&gt;"")*(D_Points!$A$5:$A$204&gt;=$B299)*(D_Points!$A$5:$A$204&lt;$B299+P_Interval)*(RIGHT(UPPER(TRIM(D_Points!$B$5:$B$204)),7)="_BRIDGE")),IF(LEFT(UPPER(TRIM(D_Points!$B$5:$B$204)),2)="EX",1,IF(LEFT(UPPER(TRIM(D_Points!$B$5:$B$204)),2)="PR",2,2))),"")</f>
        <v/>
      </c>
      <c r="T299" s="181" t="str">
        <f>IFERROR(LOOKUP(2,1/((B_Drainage!$A$5:$A$204&lt;&gt;"")*(B_Drainage!$A$5:$A$204&lt;=$B299)*(B_Drainage!$B$5:$B$204&gt;$B299)*(B_Drainage!$E$5:$E$204&lt;&gt;"")),IF(B_Drainage!$E$5:$E$204="-","",1)),"")</f>
        <v/>
      </c>
      <c r="U299" s="181" t="str">
        <f>IFERROR(LOOKUP(2,1/((B_Drainage!$A$5:$A$204&lt;&gt;"")*(B_Drainage!$A$5:$A$204&lt;=$B299)*(B_Drainage!$B$5:$B$204&gt;$B299)*(B_Drainage!$E$5:$E$204&lt;&gt;"")),IF(B_Drainage!$E$5:$E$204="-","",B_Drainage!$E$5:$E$204)),"")</f>
        <v/>
      </c>
      <c r="V299" s="181" t="str">
        <f>IFERROR(LOOKUP(2,1/((B_Drainage!$A$5:$A$204&lt;&gt;"")*(B_Drainage!$A$5:$A$204&lt;=$B299)*(B_Drainage!$B$5:$B$204&gt;$B299)*(B_Drainage!$F$5:$F$204&lt;&gt;"")),IF(B_Drainage!$F$5:$F$204="-","",1)),"")</f>
        <v/>
      </c>
      <c r="W299" s="181" t="str">
        <f>IFERROR(LOOKUP(2,1/((B_Drainage!$A$5:$A$204&lt;&gt;"")*(B_Drainage!$A$5:$A$204&lt;=$B299)*(B_Drainage!$B$5:$B$204&gt;$B299)*(B_Drainage!$F$5:$F$204&lt;&gt;"")),IF(B_Drainage!$F$5:$F$204="-","",B_Drainage!$F$5:$F$204)),"")</f>
        <v/>
      </c>
      <c r="X299" s="181" t="str">
        <f>IFERROR(LOOKUP(2,1/((B_Drainage!$A$5:$A$204&lt;&gt;"")*(B_Drainage!$A$5:$A$204&lt;=$B299)*(B_Drainage!$B$5:$B$204&gt;$B299)*(B_Drainage!$G$5:$G$204&lt;&gt;"")),IF(UPPER(B_Drainage!$G$5:$G$204)="Y",1,"")),"")</f>
        <v/>
      </c>
      <c r="Y299" s="181" t="str">
        <f>IFERROR(LOOKUP(2,1/((B_Drainage!$A$5:$A$204&lt;&gt;"")*(B_Drainage!$A$5:$A$204&lt;=$B299)*(B_Drainage!$B$5:$B$204&gt;$B299)*(B_Drainage!$H$5:$H$204&lt;&gt;"")),IF(UPPER(B_Drainage!$H$5:$H$204)="Y",1,"")),"")</f>
        <v/>
      </c>
      <c r="Z299" s="181" t="str">
        <f>IFERROR(LOOKUP(2,1/((B_Drainage!$A$5:$A$204&lt;&gt;"")*(B_Drainage!$A$5:$A$204&lt;=$B299)*(B_Drainage!$B$5:$B$204&gt;$B299)*(B_Drainage!$I$5:$I$204&lt;&gt;"")),IF(UPPER(B_Drainage!$I$5:$I$204)="Y",1,"")),"")</f>
        <v/>
      </c>
      <c r="AA299" s="181" t="str">
        <f>IFERROR(LOOKUP(2,1/((B_Drainage!$A$5:$A$204&lt;&gt;"")*(B_Drainage!$A$5:$A$204&lt;=$B299)*(B_Drainage!$B$5:$B$204&gt;$B299)*(B_Drainage!$J$5:$J$204&lt;&gt;"")),IF(UPPER(B_Drainage!$J$5:$J$204)="Y",1,"")),"")</f>
        <v/>
      </c>
      <c r="AB299" s="182" t="str">
        <f>IFERROR(LOOKUP(2,1/((B_Drainage!$A$5:$A$204&lt;&gt;"")*(B_Drainage!$A$5:$A$204&lt;=$B299)*(B_Drainage!$B$5:$B$204&gt;$B299)*(B_Drainage!$K$5:$K$204&lt;&gt;"")),IF(B_Drainage!$K$5:$K$204="-","",B_Drainage!$K$5:$K$204)),"")</f>
        <v/>
      </c>
      <c r="AC299" s="182" t="str">
        <f>IFERROR(LOOKUP(2,1/((B_Drainage!$A$5:$A$204&lt;&gt;"")*(B_Drainage!$A$5:$A$204&lt;=$B299)*(B_Drainage!$B$5:$B$204&gt;$B299)*(B_Drainage!$L$5:$L$204&lt;&gt;"")),IF(B_Drainage!$L$5:$L$204="-","",B_Drainage!$L$5:$L$204)),"")</f>
        <v/>
      </c>
      <c r="AD299" s="182" t="str">
        <f>IFERROR(LOOKUP(2,1/((D_Points!$A$5:$A$204&lt;&gt;"")*(D_Points!$A$5:$A$204&gt;=$B299)*(D_Points!$A$5:$A$204&lt;$B299+P_Interval)*(UPPER(TRIM(D_Points!$B$5:$B$204))="TURNOUT_L")*(D_Points!$H$5:$H$204&lt;&gt;"")),D_Points!$H$5:$H$204),"")</f>
        <v/>
      </c>
      <c r="AE299" s="182" t="str">
        <f>IFERROR(LOOKUP(2,1/((D_Points!$A$5:$A$204&lt;&gt;"")*(D_Points!$A$5:$A$204&gt;=$B299)*(D_Points!$A$5:$A$204&lt;$B299+P_Interval)*(UPPER(TRIM(D_Points!$B$5:$B$204))="TURNOUT_R")*(D_Points!$H$5:$H$204&lt;&gt;"")),D_Points!$H$5:$H$204),"")</f>
        <v/>
      </c>
      <c r="AF299" s="181" t="str">
        <f>IFERROR(LOOKUP(2,1/((B_Drainage!$A$5:$A$204&lt;&gt;"")*(B_Drainage!$A$5:$A$204&lt;=$B299)*(B_Drainage!$B$5:$B$204&gt;$B299)*(B_Drainage!$M$5:$M$204&lt;&gt;"")),IF(UPPER(B_Drainage!$M$5:$M$204)="Y",1,"")),"")</f>
        <v/>
      </c>
      <c r="AG299" s="181" t="str">
        <f>IFERROR(LOOKUP(2,1/((B_Drainage!$A$5:$A$204&lt;&gt;"")*(B_Drainage!$A$5:$A$204&lt;=$B299)*(B_Drainage!$B$5:$B$204&gt;$B299)*(B_Drainage!$N$5:$N$204&lt;&gt;"")),IF(UPPER(B_Drainage!$N$5:$N$204)="Y",1,"")),"")</f>
        <v/>
      </c>
      <c r="AH299" s="181" t="str">
        <f t="shared" si="32"/>
        <v/>
      </c>
      <c r="AI299" s="181" t="str">
        <f t="shared" si="33"/>
        <v/>
      </c>
      <c r="AJ299" s="181" t="str">
        <f t="shared" si="34"/>
        <v/>
      </c>
      <c r="AK299" s="181" t="str">
        <f t="shared" si="35"/>
        <v/>
      </c>
      <c r="AL299" s="181" t="str">
        <f t="shared" si="36"/>
        <v/>
      </c>
      <c r="AM299" s="181" t="str">
        <f t="shared" si="37"/>
        <v/>
      </c>
      <c r="AN299" s="181" t="str">
        <f t="shared" si="38"/>
        <v/>
      </c>
      <c r="AO299" s="192" t="str">
        <f t="shared" si="39"/>
        <v/>
      </c>
      <c r="AQ299" t="str">
        <f>IFERROR(LOOKUP(2,1/((C_Pavement!$A$5:$A$204&lt;&gt;"")*(C_Pavement!$A$5:$A$204&lt;=$B299)*(C_Pavement!$B$5:$B$204&gt;$B299)*(C_Pavement!$C$5:$C$204&lt;&gt;"")),ROW(C_Pavement!$C$5:$C$204)-4),"")</f>
        <v/>
      </c>
      <c r="AR299" t="str">
        <f>IF($AQ299="","",UPPER(TRIM(INDEX(C_Pavement!$C$5:$C$204,$AQ299))))</f>
        <v/>
      </c>
      <c r="AS299" t="str">
        <f>IF($AR299="","",IFERROR(MATCH($AR299,E_Rules!$A$5:$A$9,0),""))</f>
        <v/>
      </c>
      <c r="AT299" t="str">
        <f>IF($AQ299="","",IF(INDEX(C_Pavement!$D$5:$D$204,$AQ299)&lt;&gt;"",UPPER(TRIM(INDEX(C_Pavement!$D$5:$D$204,$AQ299))),IF($AS299="","",INDEX(E_Rules!$C$5:$C$9,$AS299))))</f>
        <v/>
      </c>
      <c r="AU299" t="str">
        <f>IF($AQ299="","",IF(INDEX(C_Pavement!$E$5:$E$204,$AQ299)&lt;&gt;"",IF(INDEX(C_Pavement!$E$5:$E$204,$AQ299)="-","",INDEX(C_Pavement!$E$5:$E$204,$AQ299)),IF($AS299="","",INDEX(E_Rules!$D$5:$D$9,$AS299))))</f>
        <v/>
      </c>
      <c r="AV299" t="str">
        <f>IF($AQ299="","",IF(INDEX(C_Pavement!$F$5:$F$204,$AQ299)&lt;&gt;"",IF(INDEX(C_Pavement!$F$5:$F$204,$AQ299)="-","",INDEX(C_Pavement!$F$5:$F$204,$AQ299)),IF($AS299="","",INDEX(E_Rules!$E$5:$E$9,$AS299))))</f>
        <v/>
      </c>
      <c r="AW299" t="str">
        <f>IF($AQ299="","",IF(INDEX(C_Pavement!$G$5:$G$204,$AQ299)&lt;&gt;"",IF(INDEX(C_Pavement!$G$5:$G$204,$AQ299)="-","",INDEX(C_Pavement!$G$5:$G$204,$AQ299)),IF($AS299="","",INDEX(E_Rules!$F$5:$F$9,$AS299))))</f>
        <v/>
      </c>
      <c r="AX299" t="str">
        <f>IF($AQ299="","",IF(INDEX(C_Pavement!$H$5:$H$204,$AQ299)&lt;&gt;"",IF(INDEX(C_Pavement!$H$5:$H$204,$AQ299)="-","",INDEX(C_Pavement!$H$5:$H$204,$AQ299)),IF($AS299="","",INDEX(E_Rules!$G$5:$G$9,$AS299))))</f>
        <v/>
      </c>
      <c r="AY299" t="str">
        <f>IF($AQ299="","",IF(INDEX(C_Pavement!$I$5:$I$204,$AQ299)&lt;&gt;"",IF(INDEX(C_Pavement!$I$5:$I$204,$AQ299)="-","",INDEX(C_Pavement!$I$5:$I$204,$AQ299)),IF($AS299="","",INDEX(E_Rules!$H$5:$H$9,$AS299))))</f>
        <v/>
      </c>
    </row>
    <row r="300" spans="1:51" ht="15.75" customHeight="1" x14ac:dyDescent="0.3">
      <c r="A300" s="189">
        <v>295</v>
      </c>
      <c r="B300" s="180">
        <v>14700</v>
      </c>
      <c r="C300" s="180" t="s">
        <v>606</v>
      </c>
      <c r="D300" s="181" t="str">
        <f>IFERROR(LOOKUP(2,1/((A_Corridor!$A$5:$A$204&lt;&gt;"")*(A_Corridor!$A$5:$A$204&lt;=$B300)*(A_Corridor!$B$5:$B$204&gt;$B300)*(A_Corridor!$C$5:$C$204&lt;&gt;"")),IF(UPPER(A_Corridor!$C$5:$C$204)="Y",1,"")),"")</f>
        <v/>
      </c>
      <c r="E300" s="181" t="str">
        <f>IFERROR(LOOKUP(2,1/((A_Corridor!$A$5:$A$204&lt;&gt;"")*(A_Corridor!$A$5:$A$204&lt;=$B300)*(A_Corridor!$B$5:$B$204&gt;$B300)*(A_Corridor!$D$5:$D$204&lt;&gt;"")),IF(A_Corridor!$D$5:$D$204="-","",UPPER(A_Corridor!$D$5:$D$204))),"")</f>
        <v/>
      </c>
      <c r="F300" s="181" t="str">
        <f>IFERROR(LOOKUP(2,1/((A_Corridor!$A$5:$A$204&lt;&gt;"")*(A_Corridor!$A$5:$A$204&lt;=$B300)*(A_Corridor!$B$5:$B$204&gt;$B300)*(A_Corridor!$E$5:$E$204&lt;&gt;"")),IF(A_Corridor!$E$5:$E$204="-","",1)),"")</f>
        <v/>
      </c>
      <c r="G300" s="182" t="str">
        <f>IFERROR(LOOKUP(2,1/((A_Corridor!$A$5:$A$204&lt;&gt;"")*(A_Corridor!$A$5:$A$204&lt;=$B300)*(A_Corridor!$B$5:$B$204&gt;$B300)*(A_Corridor!$E$5:$E$204&lt;&gt;"")),IF(A_Corridor!$E$5:$E$204="-","",A_Corridor!$E$5:$E$204)),"")</f>
        <v/>
      </c>
      <c r="H300" s="182" t="str">
        <f>IFERROR(LOOKUP(2,1/((D_Points!$A$5:$A$204&lt;&gt;"")*(D_Points!$A$5:$A$204&gt;=$B300)*(D_Points!$A$5:$A$204&lt;$B300+P_Interval)*(UPPER(TRIM(D_Points!$B$5:$B$204))="GULLY")*(D_Points!$H$5:$H$204&lt;&gt;"")),D_Points!$H$5:$H$204),"")</f>
        <v/>
      </c>
      <c r="I300" s="181" t="str">
        <f>IFERROR(LOOKUP(2,1/((A_Corridor!$A$5:$A$204&lt;&gt;"")*(A_Corridor!$A$5:$A$204&lt;=$B300)*(A_Corridor!$B$5:$B$204&gt;$B300)*(A_Corridor!$F$5:$F$204&lt;&gt;"")),IF(A_Corridor!$F$5:$F$204="-","",1)),"")</f>
        <v/>
      </c>
      <c r="J300" s="182" t="str">
        <f>IFERROR(LOOKUP(2,1/((A_Corridor!$A$5:$A$204&lt;&gt;"")*(A_Corridor!$A$5:$A$204&lt;=$B300)*(A_Corridor!$B$5:$B$204&gt;$B300)*(A_Corridor!$F$5:$F$204&lt;&gt;"")),IF(A_Corridor!$F$5:$F$204="-","",A_Corridor!$F$5:$F$204)),"")</f>
        <v/>
      </c>
      <c r="K300" s="182" t="str">
        <f>IFERROR(LOOKUP(2,1/((A_Corridor!$A$5:$A$204&lt;&gt;"")*(A_Corridor!$A$5:$A$204&lt;=$B300)*(A_Corridor!$B$5:$B$204&gt;$B300)*(A_Corridor!$G$5:$G$204&lt;&gt;"")),IF(A_Corridor!$G$5:$G$204="-","",A_Corridor!$G$5:$G$204)),"")</f>
        <v/>
      </c>
      <c r="L300" s="181" t="str">
        <f>IFERROR(LOOKUP(2,1/((A_Corridor!$A$5:$A$204&lt;&gt;"")*(A_Corridor!$A$5:$A$204&lt;=$B300)*(A_Corridor!$B$5:$B$204&gt;$B300)*(A_Corridor!$H$5:$H$204&lt;&gt;"")),IF(A_Corridor!$H$5:$H$204="-","",1)),"")</f>
        <v/>
      </c>
      <c r="M300" s="182" t="str">
        <f>IFERROR(LOOKUP(2,1/((A_Corridor!$A$5:$A$204&lt;&gt;"")*(A_Corridor!$A$5:$A$204&lt;=$B300)*(A_Corridor!$B$5:$B$204&gt;$B300)*(A_Corridor!$H$5:$H$204&lt;&gt;"")),IF(A_Corridor!$H$5:$H$204="-","",A_Corridor!$H$5:$H$204)),"")</f>
        <v/>
      </c>
      <c r="N300" s="182" t="str">
        <f>IFERROR(LOOKUP(2,1/((A_Corridor!$A$5:$A$204&lt;&gt;"")*(A_Corridor!$A$5:$A$204&lt;=$B300)*(A_Corridor!$B$5:$B$204&gt;$B300)*(A_Corridor!$I$5:$I$204&lt;&gt;"")),IF(A_Corridor!$I$5:$I$204="-","",A_Corridor!$I$5:$I$204)),"")</f>
        <v/>
      </c>
      <c r="O300" s="182" t="str">
        <f>IFERROR(LOOKUP(2,1/((D_Points!$A$5:$A$204&lt;&gt;"")*(D_Points!$A$5:$A$204&gt;=$B300)*(D_Points!$A$5:$A$204&lt;$B300+P_Interval)*(UPPER(TRIM(D_Points!$B$5:$B$204))="PITCHING")*(D_Points!$H$5:$H$204&lt;&gt;"")),D_Points!$H$5:$H$204),"")</f>
        <v/>
      </c>
      <c r="P300" s="181" t="str">
        <f>IFERROR(LOOKUP(2,1/((B_Drainage!$A$5:$A$204&lt;&gt;"")*(B_Drainage!$A$5:$A$204&lt;=$B300)*(B_Drainage!$B$5:$B$204&gt;$B300)*(B_Drainage!$C$5:$C$204&lt;&gt;"")),IF(B_Drainage!$C$5:$C$204="-","",UPPER(B_Drainage!$C$5:$C$204))),"")</f>
        <v/>
      </c>
      <c r="Q300" s="181" t="str">
        <f>IFERROR(LOOKUP(2,1/((B_Drainage!$A$5:$A$204&lt;&gt;"")*(B_Drainage!$A$5:$A$204&lt;=$B300)*(B_Drainage!$B$5:$B$204&gt;$B300)*(B_Drainage!$D$5:$D$204&lt;&gt;"")),IF(B_Drainage!$D$5:$D$204="-","",UPPER(B_Drainage!$D$5:$D$204))),"")</f>
        <v/>
      </c>
      <c r="R300" s="182" t="str">
        <f>IFERROR(LOOKUP(2,1/((D_Points!$A$5:$A$204&lt;&gt;"")*(D_Points!$A$5:$A$204&gt;=$B300)*(D_Points!$A$5:$A$204&lt;$B300+P_Interval)*(RIGHT(UPPER(TRIM(D_Points!$B$5:$B$204)),8)="_CULVERT")),IF(LEFT(UPPER(TRIM(D_Points!$B$5:$B$204)),2)="EX",1,IF(LEFT(UPPER(TRIM(D_Points!$B$5:$B$204)),2)="PR",2,3))),"")</f>
        <v/>
      </c>
      <c r="S300" s="182" t="str">
        <f>IFERROR(LOOKUP(2,1/((D_Points!$A$5:$A$204&lt;&gt;"")*(D_Points!$A$5:$A$204&gt;=$B300)*(D_Points!$A$5:$A$204&lt;$B300+P_Interval)*(RIGHT(UPPER(TRIM(D_Points!$B$5:$B$204)),7)="_BRIDGE")),IF(LEFT(UPPER(TRIM(D_Points!$B$5:$B$204)),2)="EX",1,IF(LEFT(UPPER(TRIM(D_Points!$B$5:$B$204)),2)="PR",2,2))),"")</f>
        <v/>
      </c>
      <c r="T300" s="181" t="str">
        <f>IFERROR(LOOKUP(2,1/((B_Drainage!$A$5:$A$204&lt;&gt;"")*(B_Drainage!$A$5:$A$204&lt;=$B300)*(B_Drainage!$B$5:$B$204&gt;$B300)*(B_Drainage!$E$5:$E$204&lt;&gt;"")),IF(B_Drainage!$E$5:$E$204="-","",1)),"")</f>
        <v/>
      </c>
      <c r="U300" s="181" t="str">
        <f>IFERROR(LOOKUP(2,1/((B_Drainage!$A$5:$A$204&lt;&gt;"")*(B_Drainage!$A$5:$A$204&lt;=$B300)*(B_Drainage!$B$5:$B$204&gt;$B300)*(B_Drainage!$E$5:$E$204&lt;&gt;"")),IF(B_Drainage!$E$5:$E$204="-","",B_Drainage!$E$5:$E$204)),"")</f>
        <v/>
      </c>
      <c r="V300" s="181" t="str">
        <f>IFERROR(LOOKUP(2,1/((B_Drainage!$A$5:$A$204&lt;&gt;"")*(B_Drainage!$A$5:$A$204&lt;=$B300)*(B_Drainage!$B$5:$B$204&gt;$B300)*(B_Drainage!$F$5:$F$204&lt;&gt;"")),IF(B_Drainage!$F$5:$F$204="-","",1)),"")</f>
        <v/>
      </c>
      <c r="W300" s="181" t="str">
        <f>IFERROR(LOOKUP(2,1/((B_Drainage!$A$5:$A$204&lt;&gt;"")*(B_Drainage!$A$5:$A$204&lt;=$B300)*(B_Drainage!$B$5:$B$204&gt;$B300)*(B_Drainage!$F$5:$F$204&lt;&gt;"")),IF(B_Drainage!$F$5:$F$204="-","",B_Drainage!$F$5:$F$204)),"")</f>
        <v/>
      </c>
      <c r="X300" s="181" t="str">
        <f>IFERROR(LOOKUP(2,1/((B_Drainage!$A$5:$A$204&lt;&gt;"")*(B_Drainage!$A$5:$A$204&lt;=$B300)*(B_Drainage!$B$5:$B$204&gt;$B300)*(B_Drainage!$G$5:$G$204&lt;&gt;"")),IF(UPPER(B_Drainage!$G$5:$G$204)="Y",1,"")),"")</f>
        <v/>
      </c>
      <c r="Y300" s="181" t="str">
        <f>IFERROR(LOOKUP(2,1/((B_Drainage!$A$5:$A$204&lt;&gt;"")*(B_Drainage!$A$5:$A$204&lt;=$B300)*(B_Drainage!$B$5:$B$204&gt;$B300)*(B_Drainage!$H$5:$H$204&lt;&gt;"")),IF(UPPER(B_Drainage!$H$5:$H$204)="Y",1,"")),"")</f>
        <v/>
      </c>
      <c r="Z300" s="181" t="str">
        <f>IFERROR(LOOKUP(2,1/((B_Drainage!$A$5:$A$204&lt;&gt;"")*(B_Drainage!$A$5:$A$204&lt;=$B300)*(B_Drainage!$B$5:$B$204&gt;$B300)*(B_Drainage!$I$5:$I$204&lt;&gt;"")),IF(UPPER(B_Drainage!$I$5:$I$204)="Y",1,"")),"")</f>
        <v/>
      </c>
      <c r="AA300" s="181" t="str">
        <f>IFERROR(LOOKUP(2,1/((B_Drainage!$A$5:$A$204&lt;&gt;"")*(B_Drainage!$A$5:$A$204&lt;=$B300)*(B_Drainage!$B$5:$B$204&gt;$B300)*(B_Drainage!$J$5:$J$204&lt;&gt;"")),IF(UPPER(B_Drainage!$J$5:$J$204)="Y",1,"")),"")</f>
        <v/>
      </c>
      <c r="AB300" s="182" t="str">
        <f>IFERROR(LOOKUP(2,1/((B_Drainage!$A$5:$A$204&lt;&gt;"")*(B_Drainage!$A$5:$A$204&lt;=$B300)*(B_Drainage!$B$5:$B$204&gt;$B300)*(B_Drainage!$K$5:$K$204&lt;&gt;"")),IF(B_Drainage!$K$5:$K$204="-","",B_Drainage!$K$5:$K$204)),"")</f>
        <v/>
      </c>
      <c r="AC300" s="182" t="str">
        <f>IFERROR(LOOKUP(2,1/((B_Drainage!$A$5:$A$204&lt;&gt;"")*(B_Drainage!$A$5:$A$204&lt;=$B300)*(B_Drainage!$B$5:$B$204&gt;$B300)*(B_Drainage!$L$5:$L$204&lt;&gt;"")),IF(B_Drainage!$L$5:$L$204="-","",B_Drainage!$L$5:$L$204)),"")</f>
        <v/>
      </c>
      <c r="AD300" s="182" t="str">
        <f>IFERROR(LOOKUP(2,1/((D_Points!$A$5:$A$204&lt;&gt;"")*(D_Points!$A$5:$A$204&gt;=$B300)*(D_Points!$A$5:$A$204&lt;$B300+P_Interval)*(UPPER(TRIM(D_Points!$B$5:$B$204))="TURNOUT_L")*(D_Points!$H$5:$H$204&lt;&gt;"")),D_Points!$H$5:$H$204),"")</f>
        <v/>
      </c>
      <c r="AE300" s="182" t="str">
        <f>IFERROR(LOOKUP(2,1/((D_Points!$A$5:$A$204&lt;&gt;"")*(D_Points!$A$5:$A$204&gt;=$B300)*(D_Points!$A$5:$A$204&lt;$B300+P_Interval)*(UPPER(TRIM(D_Points!$B$5:$B$204))="TURNOUT_R")*(D_Points!$H$5:$H$204&lt;&gt;"")),D_Points!$H$5:$H$204),"")</f>
        <v/>
      </c>
      <c r="AF300" s="181" t="str">
        <f>IFERROR(LOOKUP(2,1/((B_Drainage!$A$5:$A$204&lt;&gt;"")*(B_Drainage!$A$5:$A$204&lt;=$B300)*(B_Drainage!$B$5:$B$204&gt;$B300)*(B_Drainage!$M$5:$M$204&lt;&gt;"")),IF(UPPER(B_Drainage!$M$5:$M$204)="Y",1,"")),"")</f>
        <v/>
      </c>
      <c r="AG300" s="181" t="str">
        <f>IFERROR(LOOKUP(2,1/((B_Drainage!$A$5:$A$204&lt;&gt;"")*(B_Drainage!$A$5:$A$204&lt;=$B300)*(B_Drainage!$B$5:$B$204&gt;$B300)*(B_Drainage!$N$5:$N$204&lt;&gt;"")),IF(UPPER(B_Drainage!$N$5:$N$204)="Y",1,"")),"")</f>
        <v/>
      </c>
      <c r="AH300" s="181" t="str">
        <f t="shared" si="32"/>
        <v/>
      </c>
      <c r="AI300" s="181" t="str">
        <f t="shared" si="33"/>
        <v/>
      </c>
      <c r="AJ300" s="181" t="str">
        <f t="shared" si="34"/>
        <v/>
      </c>
      <c r="AK300" s="181" t="str">
        <f t="shared" si="35"/>
        <v/>
      </c>
      <c r="AL300" s="181" t="str">
        <f t="shared" si="36"/>
        <v/>
      </c>
      <c r="AM300" s="181" t="str">
        <f t="shared" si="37"/>
        <v/>
      </c>
      <c r="AN300" s="181" t="str">
        <f t="shared" si="38"/>
        <v/>
      </c>
      <c r="AO300" s="192" t="str">
        <f t="shared" si="39"/>
        <v/>
      </c>
      <c r="AQ300" t="str">
        <f>IFERROR(LOOKUP(2,1/((C_Pavement!$A$5:$A$204&lt;&gt;"")*(C_Pavement!$A$5:$A$204&lt;=$B300)*(C_Pavement!$B$5:$B$204&gt;$B300)*(C_Pavement!$C$5:$C$204&lt;&gt;"")),ROW(C_Pavement!$C$5:$C$204)-4),"")</f>
        <v/>
      </c>
      <c r="AR300" t="str">
        <f>IF($AQ300="","",UPPER(TRIM(INDEX(C_Pavement!$C$5:$C$204,$AQ300))))</f>
        <v/>
      </c>
      <c r="AS300" t="str">
        <f>IF($AR300="","",IFERROR(MATCH($AR300,E_Rules!$A$5:$A$9,0),""))</f>
        <v/>
      </c>
      <c r="AT300" t="str">
        <f>IF($AQ300="","",IF(INDEX(C_Pavement!$D$5:$D$204,$AQ300)&lt;&gt;"",UPPER(TRIM(INDEX(C_Pavement!$D$5:$D$204,$AQ300))),IF($AS300="","",INDEX(E_Rules!$C$5:$C$9,$AS300))))</f>
        <v/>
      </c>
      <c r="AU300" t="str">
        <f>IF($AQ300="","",IF(INDEX(C_Pavement!$E$5:$E$204,$AQ300)&lt;&gt;"",IF(INDEX(C_Pavement!$E$5:$E$204,$AQ300)="-","",INDEX(C_Pavement!$E$5:$E$204,$AQ300)),IF($AS300="","",INDEX(E_Rules!$D$5:$D$9,$AS300))))</f>
        <v/>
      </c>
      <c r="AV300" t="str">
        <f>IF($AQ300="","",IF(INDEX(C_Pavement!$F$5:$F$204,$AQ300)&lt;&gt;"",IF(INDEX(C_Pavement!$F$5:$F$204,$AQ300)="-","",INDEX(C_Pavement!$F$5:$F$204,$AQ300)),IF($AS300="","",INDEX(E_Rules!$E$5:$E$9,$AS300))))</f>
        <v/>
      </c>
      <c r="AW300" t="str">
        <f>IF($AQ300="","",IF(INDEX(C_Pavement!$G$5:$G$204,$AQ300)&lt;&gt;"",IF(INDEX(C_Pavement!$G$5:$G$204,$AQ300)="-","",INDEX(C_Pavement!$G$5:$G$204,$AQ300)),IF($AS300="","",INDEX(E_Rules!$F$5:$F$9,$AS300))))</f>
        <v/>
      </c>
      <c r="AX300" t="str">
        <f>IF($AQ300="","",IF(INDEX(C_Pavement!$H$5:$H$204,$AQ300)&lt;&gt;"",IF(INDEX(C_Pavement!$H$5:$H$204,$AQ300)="-","",INDEX(C_Pavement!$H$5:$H$204,$AQ300)),IF($AS300="","",INDEX(E_Rules!$G$5:$G$9,$AS300))))</f>
        <v/>
      </c>
      <c r="AY300" t="str">
        <f>IF($AQ300="","",IF(INDEX(C_Pavement!$I$5:$I$204,$AQ300)&lt;&gt;"",IF(INDEX(C_Pavement!$I$5:$I$204,$AQ300)="-","",INDEX(C_Pavement!$I$5:$I$204,$AQ300)),IF($AS300="","",INDEX(E_Rules!$H$5:$H$9,$AS300))))</f>
        <v/>
      </c>
    </row>
    <row r="301" spans="1:51" ht="15.75" customHeight="1" x14ac:dyDescent="0.3">
      <c r="A301" s="189">
        <v>296</v>
      </c>
      <c r="B301" s="180">
        <v>14750</v>
      </c>
      <c r="C301" s="180" t="s">
        <v>607</v>
      </c>
      <c r="D301" s="181" t="str">
        <f>IFERROR(LOOKUP(2,1/((A_Corridor!$A$5:$A$204&lt;&gt;"")*(A_Corridor!$A$5:$A$204&lt;=$B301)*(A_Corridor!$B$5:$B$204&gt;$B301)*(A_Corridor!$C$5:$C$204&lt;&gt;"")),IF(UPPER(A_Corridor!$C$5:$C$204)="Y",1,"")),"")</f>
        <v/>
      </c>
      <c r="E301" s="181" t="str">
        <f>IFERROR(LOOKUP(2,1/((A_Corridor!$A$5:$A$204&lt;&gt;"")*(A_Corridor!$A$5:$A$204&lt;=$B301)*(A_Corridor!$B$5:$B$204&gt;$B301)*(A_Corridor!$D$5:$D$204&lt;&gt;"")),IF(A_Corridor!$D$5:$D$204="-","",UPPER(A_Corridor!$D$5:$D$204))),"")</f>
        <v/>
      </c>
      <c r="F301" s="181" t="str">
        <f>IFERROR(LOOKUP(2,1/((A_Corridor!$A$5:$A$204&lt;&gt;"")*(A_Corridor!$A$5:$A$204&lt;=$B301)*(A_Corridor!$B$5:$B$204&gt;$B301)*(A_Corridor!$E$5:$E$204&lt;&gt;"")),IF(A_Corridor!$E$5:$E$204="-","",1)),"")</f>
        <v/>
      </c>
      <c r="G301" s="182" t="str">
        <f>IFERROR(LOOKUP(2,1/((A_Corridor!$A$5:$A$204&lt;&gt;"")*(A_Corridor!$A$5:$A$204&lt;=$B301)*(A_Corridor!$B$5:$B$204&gt;$B301)*(A_Corridor!$E$5:$E$204&lt;&gt;"")),IF(A_Corridor!$E$5:$E$204="-","",A_Corridor!$E$5:$E$204)),"")</f>
        <v/>
      </c>
      <c r="H301" s="182" t="str">
        <f>IFERROR(LOOKUP(2,1/((D_Points!$A$5:$A$204&lt;&gt;"")*(D_Points!$A$5:$A$204&gt;=$B301)*(D_Points!$A$5:$A$204&lt;$B301+P_Interval)*(UPPER(TRIM(D_Points!$B$5:$B$204))="GULLY")*(D_Points!$H$5:$H$204&lt;&gt;"")),D_Points!$H$5:$H$204),"")</f>
        <v/>
      </c>
      <c r="I301" s="181" t="str">
        <f>IFERROR(LOOKUP(2,1/((A_Corridor!$A$5:$A$204&lt;&gt;"")*(A_Corridor!$A$5:$A$204&lt;=$B301)*(A_Corridor!$B$5:$B$204&gt;$B301)*(A_Corridor!$F$5:$F$204&lt;&gt;"")),IF(A_Corridor!$F$5:$F$204="-","",1)),"")</f>
        <v/>
      </c>
      <c r="J301" s="182" t="str">
        <f>IFERROR(LOOKUP(2,1/((A_Corridor!$A$5:$A$204&lt;&gt;"")*(A_Corridor!$A$5:$A$204&lt;=$B301)*(A_Corridor!$B$5:$B$204&gt;$B301)*(A_Corridor!$F$5:$F$204&lt;&gt;"")),IF(A_Corridor!$F$5:$F$204="-","",A_Corridor!$F$5:$F$204)),"")</f>
        <v/>
      </c>
      <c r="K301" s="182" t="str">
        <f>IFERROR(LOOKUP(2,1/((A_Corridor!$A$5:$A$204&lt;&gt;"")*(A_Corridor!$A$5:$A$204&lt;=$B301)*(A_Corridor!$B$5:$B$204&gt;$B301)*(A_Corridor!$G$5:$G$204&lt;&gt;"")),IF(A_Corridor!$G$5:$G$204="-","",A_Corridor!$G$5:$G$204)),"")</f>
        <v/>
      </c>
      <c r="L301" s="181" t="str">
        <f>IFERROR(LOOKUP(2,1/((A_Corridor!$A$5:$A$204&lt;&gt;"")*(A_Corridor!$A$5:$A$204&lt;=$B301)*(A_Corridor!$B$5:$B$204&gt;$B301)*(A_Corridor!$H$5:$H$204&lt;&gt;"")),IF(A_Corridor!$H$5:$H$204="-","",1)),"")</f>
        <v/>
      </c>
      <c r="M301" s="182" t="str">
        <f>IFERROR(LOOKUP(2,1/((A_Corridor!$A$5:$A$204&lt;&gt;"")*(A_Corridor!$A$5:$A$204&lt;=$B301)*(A_Corridor!$B$5:$B$204&gt;$B301)*(A_Corridor!$H$5:$H$204&lt;&gt;"")),IF(A_Corridor!$H$5:$H$204="-","",A_Corridor!$H$5:$H$204)),"")</f>
        <v/>
      </c>
      <c r="N301" s="182" t="str">
        <f>IFERROR(LOOKUP(2,1/((A_Corridor!$A$5:$A$204&lt;&gt;"")*(A_Corridor!$A$5:$A$204&lt;=$B301)*(A_Corridor!$B$5:$B$204&gt;$B301)*(A_Corridor!$I$5:$I$204&lt;&gt;"")),IF(A_Corridor!$I$5:$I$204="-","",A_Corridor!$I$5:$I$204)),"")</f>
        <v/>
      </c>
      <c r="O301" s="182" t="str">
        <f>IFERROR(LOOKUP(2,1/((D_Points!$A$5:$A$204&lt;&gt;"")*(D_Points!$A$5:$A$204&gt;=$B301)*(D_Points!$A$5:$A$204&lt;$B301+P_Interval)*(UPPER(TRIM(D_Points!$B$5:$B$204))="PITCHING")*(D_Points!$H$5:$H$204&lt;&gt;"")),D_Points!$H$5:$H$204),"")</f>
        <v/>
      </c>
      <c r="P301" s="181" t="str">
        <f>IFERROR(LOOKUP(2,1/((B_Drainage!$A$5:$A$204&lt;&gt;"")*(B_Drainage!$A$5:$A$204&lt;=$B301)*(B_Drainage!$B$5:$B$204&gt;$B301)*(B_Drainage!$C$5:$C$204&lt;&gt;"")),IF(B_Drainage!$C$5:$C$204="-","",UPPER(B_Drainage!$C$5:$C$204))),"")</f>
        <v/>
      </c>
      <c r="Q301" s="181" t="str">
        <f>IFERROR(LOOKUP(2,1/((B_Drainage!$A$5:$A$204&lt;&gt;"")*(B_Drainage!$A$5:$A$204&lt;=$B301)*(B_Drainage!$B$5:$B$204&gt;$B301)*(B_Drainage!$D$5:$D$204&lt;&gt;"")),IF(B_Drainage!$D$5:$D$204="-","",UPPER(B_Drainage!$D$5:$D$204))),"")</f>
        <v/>
      </c>
      <c r="R301" s="182" t="str">
        <f>IFERROR(LOOKUP(2,1/((D_Points!$A$5:$A$204&lt;&gt;"")*(D_Points!$A$5:$A$204&gt;=$B301)*(D_Points!$A$5:$A$204&lt;$B301+P_Interval)*(RIGHT(UPPER(TRIM(D_Points!$B$5:$B$204)),8)="_CULVERT")),IF(LEFT(UPPER(TRIM(D_Points!$B$5:$B$204)),2)="EX",1,IF(LEFT(UPPER(TRIM(D_Points!$B$5:$B$204)),2)="PR",2,3))),"")</f>
        <v/>
      </c>
      <c r="S301" s="182" t="str">
        <f>IFERROR(LOOKUP(2,1/((D_Points!$A$5:$A$204&lt;&gt;"")*(D_Points!$A$5:$A$204&gt;=$B301)*(D_Points!$A$5:$A$204&lt;$B301+P_Interval)*(RIGHT(UPPER(TRIM(D_Points!$B$5:$B$204)),7)="_BRIDGE")),IF(LEFT(UPPER(TRIM(D_Points!$B$5:$B$204)),2)="EX",1,IF(LEFT(UPPER(TRIM(D_Points!$B$5:$B$204)),2)="PR",2,2))),"")</f>
        <v/>
      </c>
      <c r="T301" s="181" t="str">
        <f>IFERROR(LOOKUP(2,1/((B_Drainage!$A$5:$A$204&lt;&gt;"")*(B_Drainage!$A$5:$A$204&lt;=$B301)*(B_Drainage!$B$5:$B$204&gt;$B301)*(B_Drainage!$E$5:$E$204&lt;&gt;"")),IF(B_Drainage!$E$5:$E$204="-","",1)),"")</f>
        <v/>
      </c>
      <c r="U301" s="181" t="str">
        <f>IFERROR(LOOKUP(2,1/((B_Drainage!$A$5:$A$204&lt;&gt;"")*(B_Drainage!$A$5:$A$204&lt;=$B301)*(B_Drainage!$B$5:$B$204&gt;$B301)*(B_Drainage!$E$5:$E$204&lt;&gt;"")),IF(B_Drainage!$E$5:$E$204="-","",B_Drainage!$E$5:$E$204)),"")</f>
        <v/>
      </c>
      <c r="V301" s="181" t="str">
        <f>IFERROR(LOOKUP(2,1/((B_Drainage!$A$5:$A$204&lt;&gt;"")*(B_Drainage!$A$5:$A$204&lt;=$B301)*(B_Drainage!$B$5:$B$204&gt;$B301)*(B_Drainage!$F$5:$F$204&lt;&gt;"")),IF(B_Drainage!$F$5:$F$204="-","",1)),"")</f>
        <v/>
      </c>
      <c r="W301" s="181" t="str">
        <f>IFERROR(LOOKUP(2,1/((B_Drainage!$A$5:$A$204&lt;&gt;"")*(B_Drainage!$A$5:$A$204&lt;=$B301)*(B_Drainage!$B$5:$B$204&gt;$B301)*(B_Drainage!$F$5:$F$204&lt;&gt;"")),IF(B_Drainage!$F$5:$F$204="-","",B_Drainage!$F$5:$F$204)),"")</f>
        <v/>
      </c>
      <c r="X301" s="181" t="str">
        <f>IFERROR(LOOKUP(2,1/((B_Drainage!$A$5:$A$204&lt;&gt;"")*(B_Drainage!$A$5:$A$204&lt;=$B301)*(B_Drainage!$B$5:$B$204&gt;$B301)*(B_Drainage!$G$5:$G$204&lt;&gt;"")),IF(UPPER(B_Drainage!$G$5:$G$204)="Y",1,"")),"")</f>
        <v/>
      </c>
      <c r="Y301" s="181" t="str">
        <f>IFERROR(LOOKUP(2,1/((B_Drainage!$A$5:$A$204&lt;&gt;"")*(B_Drainage!$A$5:$A$204&lt;=$B301)*(B_Drainage!$B$5:$B$204&gt;$B301)*(B_Drainage!$H$5:$H$204&lt;&gt;"")),IF(UPPER(B_Drainage!$H$5:$H$204)="Y",1,"")),"")</f>
        <v/>
      </c>
      <c r="Z301" s="181" t="str">
        <f>IFERROR(LOOKUP(2,1/((B_Drainage!$A$5:$A$204&lt;&gt;"")*(B_Drainage!$A$5:$A$204&lt;=$B301)*(B_Drainage!$B$5:$B$204&gt;$B301)*(B_Drainage!$I$5:$I$204&lt;&gt;"")),IF(UPPER(B_Drainage!$I$5:$I$204)="Y",1,"")),"")</f>
        <v/>
      </c>
      <c r="AA301" s="181" t="str">
        <f>IFERROR(LOOKUP(2,1/((B_Drainage!$A$5:$A$204&lt;&gt;"")*(B_Drainage!$A$5:$A$204&lt;=$B301)*(B_Drainage!$B$5:$B$204&gt;$B301)*(B_Drainage!$J$5:$J$204&lt;&gt;"")),IF(UPPER(B_Drainage!$J$5:$J$204)="Y",1,"")),"")</f>
        <v/>
      </c>
      <c r="AB301" s="182" t="str">
        <f>IFERROR(LOOKUP(2,1/((B_Drainage!$A$5:$A$204&lt;&gt;"")*(B_Drainage!$A$5:$A$204&lt;=$B301)*(B_Drainage!$B$5:$B$204&gt;$B301)*(B_Drainage!$K$5:$K$204&lt;&gt;"")),IF(B_Drainage!$K$5:$K$204="-","",B_Drainage!$K$5:$K$204)),"")</f>
        <v/>
      </c>
      <c r="AC301" s="182" t="str">
        <f>IFERROR(LOOKUP(2,1/((B_Drainage!$A$5:$A$204&lt;&gt;"")*(B_Drainage!$A$5:$A$204&lt;=$B301)*(B_Drainage!$B$5:$B$204&gt;$B301)*(B_Drainage!$L$5:$L$204&lt;&gt;"")),IF(B_Drainage!$L$5:$L$204="-","",B_Drainage!$L$5:$L$204)),"")</f>
        <v/>
      </c>
      <c r="AD301" s="182" t="str">
        <f>IFERROR(LOOKUP(2,1/((D_Points!$A$5:$A$204&lt;&gt;"")*(D_Points!$A$5:$A$204&gt;=$B301)*(D_Points!$A$5:$A$204&lt;$B301+P_Interval)*(UPPER(TRIM(D_Points!$B$5:$B$204))="TURNOUT_L")*(D_Points!$H$5:$H$204&lt;&gt;"")),D_Points!$H$5:$H$204),"")</f>
        <v/>
      </c>
      <c r="AE301" s="182" t="str">
        <f>IFERROR(LOOKUP(2,1/((D_Points!$A$5:$A$204&lt;&gt;"")*(D_Points!$A$5:$A$204&gt;=$B301)*(D_Points!$A$5:$A$204&lt;$B301+P_Interval)*(UPPER(TRIM(D_Points!$B$5:$B$204))="TURNOUT_R")*(D_Points!$H$5:$H$204&lt;&gt;"")),D_Points!$H$5:$H$204),"")</f>
        <v/>
      </c>
      <c r="AF301" s="181" t="str">
        <f>IFERROR(LOOKUP(2,1/((B_Drainage!$A$5:$A$204&lt;&gt;"")*(B_Drainage!$A$5:$A$204&lt;=$B301)*(B_Drainage!$B$5:$B$204&gt;$B301)*(B_Drainage!$M$5:$M$204&lt;&gt;"")),IF(UPPER(B_Drainage!$M$5:$M$204)="Y",1,"")),"")</f>
        <v/>
      </c>
      <c r="AG301" s="181" t="str">
        <f>IFERROR(LOOKUP(2,1/((B_Drainage!$A$5:$A$204&lt;&gt;"")*(B_Drainage!$A$5:$A$204&lt;=$B301)*(B_Drainage!$B$5:$B$204&gt;$B301)*(B_Drainage!$N$5:$N$204&lt;&gt;"")),IF(UPPER(B_Drainage!$N$5:$N$204)="Y",1,"")),"")</f>
        <v/>
      </c>
      <c r="AH301" s="181" t="str">
        <f t="shared" si="32"/>
        <v/>
      </c>
      <c r="AI301" s="181" t="str">
        <f t="shared" si="33"/>
        <v/>
      </c>
      <c r="AJ301" s="181" t="str">
        <f t="shared" si="34"/>
        <v/>
      </c>
      <c r="AK301" s="181" t="str">
        <f t="shared" si="35"/>
        <v/>
      </c>
      <c r="AL301" s="181" t="str">
        <f t="shared" si="36"/>
        <v/>
      </c>
      <c r="AM301" s="181" t="str">
        <f t="shared" si="37"/>
        <v/>
      </c>
      <c r="AN301" s="181" t="str">
        <f t="shared" si="38"/>
        <v/>
      </c>
      <c r="AO301" s="192" t="str">
        <f t="shared" si="39"/>
        <v/>
      </c>
      <c r="AQ301" t="str">
        <f>IFERROR(LOOKUP(2,1/((C_Pavement!$A$5:$A$204&lt;&gt;"")*(C_Pavement!$A$5:$A$204&lt;=$B301)*(C_Pavement!$B$5:$B$204&gt;$B301)*(C_Pavement!$C$5:$C$204&lt;&gt;"")),ROW(C_Pavement!$C$5:$C$204)-4),"")</f>
        <v/>
      </c>
      <c r="AR301" t="str">
        <f>IF($AQ301="","",UPPER(TRIM(INDEX(C_Pavement!$C$5:$C$204,$AQ301))))</f>
        <v/>
      </c>
      <c r="AS301" t="str">
        <f>IF($AR301="","",IFERROR(MATCH($AR301,E_Rules!$A$5:$A$9,0),""))</f>
        <v/>
      </c>
      <c r="AT301" t="str">
        <f>IF($AQ301="","",IF(INDEX(C_Pavement!$D$5:$D$204,$AQ301)&lt;&gt;"",UPPER(TRIM(INDEX(C_Pavement!$D$5:$D$204,$AQ301))),IF($AS301="","",INDEX(E_Rules!$C$5:$C$9,$AS301))))</f>
        <v/>
      </c>
      <c r="AU301" t="str">
        <f>IF($AQ301="","",IF(INDEX(C_Pavement!$E$5:$E$204,$AQ301)&lt;&gt;"",IF(INDEX(C_Pavement!$E$5:$E$204,$AQ301)="-","",INDEX(C_Pavement!$E$5:$E$204,$AQ301)),IF($AS301="","",INDEX(E_Rules!$D$5:$D$9,$AS301))))</f>
        <v/>
      </c>
      <c r="AV301" t="str">
        <f>IF($AQ301="","",IF(INDEX(C_Pavement!$F$5:$F$204,$AQ301)&lt;&gt;"",IF(INDEX(C_Pavement!$F$5:$F$204,$AQ301)="-","",INDEX(C_Pavement!$F$5:$F$204,$AQ301)),IF($AS301="","",INDEX(E_Rules!$E$5:$E$9,$AS301))))</f>
        <v/>
      </c>
      <c r="AW301" t="str">
        <f>IF($AQ301="","",IF(INDEX(C_Pavement!$G$5:$G$204,$AQ301)&lt;&gt;"",IF(INDEX(C_Pavement!$G$5:$G$204,$AQ301)="-","",INDEX(C_Pavement!$G$5:$G$204,$AQ301)),IF($AS301="","",INDEX(E_Rules!$F$5:$F$9,$AS301))))</f>
        <v/>
      </c>
      <c r="AX301" t="str">
        <f>IF($AQ301="","",IF(INDEX(C_Pavement!$H$5:$H$204,$AQ301)&lt;&gt;"",IF(INDEX(C_Pavement!$H$5:$H$204,$AQ301)="-","",INDEX(C_Pavement!$H$5:$H$204,$AQ301)),IF($AS301="","",INDEX(E_Rules!$G$5:$G$9,$AS301))))</f>
        <v/>
      </c>
      <c r="AY301" t="str">
        <f>IF($AQ301="","",IF(INDEX(C_Pavement!$I$5:$I$204,$AQ301)&lt;&gt;"",IF(INDEX(C_Pavement!$I$5:$I$204,$AQ301)="-","",INDEX(C_Pavement!$I$5:$I$204,$AQ301)),IF($AS301="","",INDEX(E_Rules!$H$5:$H$9,$AS301))))</f>
        <v/>
      </c>
    </row>
    <row r="302" spans="1:51" ht="15.75" customHeight="1" x14ac:dyDescent="0.3">
      <c r="A302" s="189">
        <v>297</v>
      </c>
      <c r="B302" s="180">
        <v>14800</v>
      </c>
      <c r="C302" s="180" t="s">
        <v>608</v>
      </c>
      <c r="D302" s="181" t="str">
        <f>IFERROR(LOOKUP(2,1/((A_Corridor!$A$5:$A$204&lt;&gt;"")*(A_Corridor!$A$5:$A$204&lt;=$B302)*(A_Corridor!$B$5:$B$204&gt;$B302)*(A_Corridor!$C$5:$C$204&lt;&gt;"")),IF(UPPER(A_Corridor!$C$5:$C$204)="Y",1,"")),"")</f>
        <v/>
      </c>
      <c r="E302" s="181" t="str">
        <f>IFERROR(LOOKUP(2,1/((A_Corridor!$A$5:$A$204&lt;&gt;"")*(A_Corridor!$A$5:$A$204&lt;=$B302)*(A_Corridor!$B$5:$B$204&gt;$B302)*(A_Corridor!$D$5:$D$204&lt;&gt;"")),IF(A_Corridor!$D$5:$D$204="-","",UPPER(A_Corridor!$D$5:$D$204))),"")</f>
        <v/>
      </c>
      <c r="F302" s="181" t="str">
        <f>IFERROR(LOOKUP(2,1/((A_Corridor!$A$5:$A$204&lt;&gt;"")*(A_Corridor!$A$5:$A$204&lt;=$B302)*(A_Corridor!$B$5:$B$204&gt;$B302)*(A_Corridor!$E$5:$E$204&lt;&gt;"")),IF(A_Corridor!$E$5:$E$204="-","",1)),"")</f>
        <v/>
      </c>
      <c r="G302" s="182" t="str">
        <f>IFERROR(LOOKUP(2,1/((A_Corridor!$A$5:$A$204&lt;&gt;"")*(A_Corridor!$A$5:$A$204&lt;=$B302)*(A_Corridor!$B$5:$B$204&gt;$B302)*(A_Corridor!$E$5:$E$204&lt;&gt;"")),IF(A_Corridor!$E$5:$E$204="-","",A_Corridor!$E$5:$E$204)),"")</f>
        <v/>
      </c>
      <c r="H302" s="182" t="str">
        <f>IFERROR(LOOKUP(2,1/((D_Points!$A$5:$A$204&lt;&gt;"")*(D_Points!$A$5:$A$204&gt;=$B302)*(D_Points!$A$5:$A$204&lt;$B302+P_Interval)*(UPPER(TRIM(D_Points!$B$5:$B$204))="GULLY")*(D_Points!$H$5:$H$204&lt;&gt;"")),D_Points!$H$5:$H$204),"")</f>
        <v/>
      </c>
      <c r="I302" s="181" t="str">
        <f>IFERROR(LOOKUP(2,1/((A_Corridor!$A$5:$A$204&lt;&gt;"")*(A_Corridor!$A$5:$A$204&lt;=$B302)*(A_Corridor!$B$5:$B$204&gt;$B302)*(A_Corridor!$F$5:$F$204&lt;&gt;"")),IF(A_Corridor!$F$5:$F$204="-","",1)),"")</f>
        <v/>
      </c>
      <c r="J302" s="182" t="str">
        <f>IFERROR(LOOKUP(2,1/((A_Corridor!$A$5:$A$204&lt;&gt;"")*(A_Corridor!$A$5:$A$204&lt;=$B302)*(A_Corridor!$B$5:$B$204&gt;$B302)*(A_Corridor!$F$5:$F$204&lt;&gt;"")),IF(A_Corridor!$F$5:$F$204="-","",A_Corridor!$F$5:$F$204)),"")</f>
        <v/>
      </c>
      <c r="K302" s="182" t="str">
        <f>IFERROR(LOOKUP(2,1/((A_Corridor!$A$5:$A$204&lt;&gt;"")*(A_Corridor!$A$5:$A$204&lt;=$B302)*(A_Corridor!$B$5:$B$204&gt;$B302)*(A_Corridor!$G$5:$G$204&lt;&gt;"")),IF(A_Corridor!$G$5:$G$204="-","",A_Corridor!$G$5:$G$204)),"")</f>
        <v/>
      </c>
      <c r="L302" s="181" t="str">
        <f>IFERROR(LOOKUP(2,1/((A_Corridor!$A$5:$A$204&lt;&gt;"")*(A_Corridor!$A$5:$A$204&lt;=$B302)*(A_Corridor!$B$5:$B$204&gt;$B302)*(A_Corridor!$H$5:$H$204&lt;&gt;"")),IF(A_Corridor!$H$5:$H$204="-","",1)),"")</f>
        <v/>
      </c>
      <c r="M302" s="182" t="str">
        <f>IFERROR(LOOKUP(2,1/((A_Corridor!$A$5:$A$204&lt;&gt;"")*(A_Corridor!$A$5:$A$204&lt;=$B302)*(A_Corridor!$B$5:$B$204&gt;$B302)*(A_Corridor!$H$5:$H$204&lt;&gt;"")),IF(A_Corridor!$H$5:$H$204="-","",A_Corridor!$H$5:$H$204)),"")</f>
        <v/>
      </c>
      <c r="N302" s="182" t="str">
        <f>IFERROR(LOOKUP(2,1/((A_Corridor!$A$5:$A$204&lt;&gt;"")*(A_Corridor!$A$5:$A$204&lt;=$B302)*(A_Corridor!$B$5:$B$204&gt;$B302)*(A_Corridor!$I$5:$I$204&lt;&gt;"")),IF(A_Corridor!$I$5:$I$204="-","",A_Corridor!$I$5:$I$204)),"")</f>
        <v/>
      </c>
      <c r="O302" s="182" t="str">
        <f>IFERROR(LOOKUP(2,1/((D_Points!$A$5:$A$204&lt;&gt;"")*(D_Points!$A$5:$A$204&gt;=$B302)*(D_Points!$A$5:$A$204&lt;$B302+P_Interval)*(UPPER(TRIM(D_Points!$B$5:$B$204))="PITCHING")*(D_Points!$H$5:$H$204&lt;&gt;"")),D_Points!$H$5:$H$204),"")</f>
        <v/>
      </c>
      <c r="P302" s="181" t="str">
        <f>IFERROR(LOOKUP(2,1/((B_Drainage!$A$5:$A$204&lt;&gt;"")*(B_Drainage!$A$5:$A$204&lt;=$B302)*(B_Drainage!$B$5:$B$204&gt;$B302)*(B_Drainage!$C$5:$C$204&lt;&gt;"")),IF(B_Drainage!$C$5:$C$204="-","",UPPER(B_Drainage!$C$5:$C$204))),"")</f>
        <v/>
      </c>
      <c r="Q302" s="181" t="str">
        <f>IFERROR(LOOKUP(2,1/((B_Drainage!$A$5:$A$204&lt;&gt;"")*(B_Drainage!$A$5:$A$204&lt;=$B302)*(B_Drainage!$B$5:$B$204&gt;$B302)*(B_Drainage!$D$5:$D$204&lt;&gt;"")),IF(B_Drainage!$D$5:$D$204="-","",UPPER(B_Drainage!$D$5:$D$204))),"")</f>
        <v/>
      </c>
      <c r="R302" s="182" t="str">
        <f>IFERROR(LOOKUP(2,1/((D_Points!$A$5:$A$204&lt;&gt;"")*(D_Points!$A$5:$A$204&gt;=$B302)*(D_Points!$A$5:$A$204&lt;$B302+P_Interval)*(RIGHT(UPPER(TRIM(D_Points!$B$5:$B$204)),8)="_CULVERT")),IF(LEFT(UPPER(TRIM(D_Points!$B$5:$B$204)),2)="EX",1,IF(LEFT(UPPER(TRIM(D_Points!$B$5:$B$204)),2)="PR",2,3))),"")</f>
        <v/>
      </c>
      <c r="S302" s="182" t="str">
        <f>IFERROR(LOOKUP(2,1/((D_Points!$A$5:$A$204&lt;&gt;"")*(D_Points!$A$5:$A$204&gt;=$B302)*(D_Points!$A$5:$A$204&lt;$B302+P_Interval)*(RIGHT(UPPER(TRIM(D_Points!$B$5:$B$204)),7)="_BRIDGE")),IF(LEFT(UPPER(TRIM(D_Points!$B$5:$B$204)),2)="EX",1,IF(LEFT(UPPER(TRIM(D_Points!$B$5:$B$204)),2)="PR",2,2))),"")</f>
        <v/>
      </c>
      <c r="T302" s="181" t="str">
        <f>IFERROR(LOOKUP(2,1/((B_Drainage!$A$5:$A$204&lt;&gt;"")*(B_Drainage!$A$5:$A$204&lt;=$B302)*(B_Drainage!$B$5:$B$204&gt;$B302)*(B_Drainage!$E$5:$E$204&lt;&gt;"")),IF(B_Drainage!$E$5:$E$204="-","",1)),"")</f>
        <v/>
      </c>
      <c r="U302" s="181" t="str">
        <f>IFERROR(LOOKUP(2,1/((B_Drainage!$A$5:$A$204&lt;&gt;"")*(B_Drainage!$A$5:$A$204&lt;=$B302)*(B_Drainage!$B$5:$B$204&gt;$B302)*(B_Drainage!$E$5:$E$204&lt;&gt;"")),IF(B_Drainage!$E$5:$E$204="-","",B_Drainage!$E$5:$E$204)),"")</f>
        <v/>
      </c>
      <c r="V302" s="181" t="str">
        <f>IFERROR(LOOKUP(2,1/((B_Drainage!$A$5:$A$204&lt;&gt;"")*(B_Drainage!$A$5:$A$204&lt;=$B302)*(B_Drainage!$B$5:$B$204&gt;$B302)*(B_Drainage!$F$5:$F$204&lt;&gt;"")),IF(B_Drainage!$F$5:$F$204="-","",1)),"")</f>
        <v/>
      </c>
      <c r="W302" s="181" t="str">
        <f>IFERROR(LOOKUP(2,1/((B_Drainage!$A$5:$A$204&lt;&gt;"")*(B_Drainage!$A$5:$A$204&lt;=$B302)*(B_Drainage!$B$5:$B$204&gt;$B302)*(B_Drainage!$F$5:$F$204&lt;&gt;"")),IF(B_Drainage!$F$5:$F$204="-","",B_Drainage!$F$5:$F$204)),"")</f>
        <v/>
      </c>
      <c r="X302" s="181" t="str">
        <f>IFERROR(LOOKUP(2,1/((B_Drainage!$A$5:$A$204&lt;&gt;"")*(B_Drainage!$A$5:$A$204&lt;=$B302)*(B_Drainage!$B$5:$B$204&gt;$B302)*(B_Drainage!$G$5:$G$204&lt;&gt;"")),IF(UPPER(B_Drainage!$G$5:$G$204)="Y",1,"")),"")</f>
        <v/>
      </c>
      <c r="Y302" s="181" t="str">
        <f>IFERROR(LOOKUP(2,1/((B_Drainage!$A$5:$A$204&lt;&gt;"")*(B_Drainage!$A$5:$A$204&lt;=$B302)*(B_Drainage!$B$5:$B$204&gt;$B302)*(B_Drainage!$H$5:$H$204&lt;&gt;"")),IF(UPPER(B_Drainage!$H$5:$H$204)="Y",1,"")),"")</f>
        <v/>
      </c>
      <c r="Z302" s="181" t="str">
        <f>IFERROR(LOOKUP(2,1/((B_Drainage!$A$5:$A$204&lt;&gt;"")*(B_Drainage!$A$5:$A$204&lt;=$B302)*(B_Drainage!$B$5:$B$204&gt;$B302)*(B_Drainage!$I$5:$I$204&lt;&gt;"")),IF(UPPER(B_Drainage!$I$5:$I$204)="Y",1,"")),"")</f>
        <v/>
      </c>
      <c r="AA302" s="181" t="str">
        <f>IFERROR(LOOKUP(2,1/((B_Drainage!$A$5:$A$204&lt;&gt;"")*(B_Drainage!$A$5:$A$204&lt;=$B302)*(B_Drainage!$B$5:$B$204&gt;$B302)*(B_Drainage!$J$5:$J$204&lt;&gt;"")),IF(UPPER(B_Drainage!$J$5:$J$204)="Y",1,"")),"")</f>
        <v/>
      </c>
      <c r="AB302" s="182" t="str">
        <f>IFERROR(LOOKUP(2,1/((B_Drainage!$A$5:$A$204&lt;&gt;"")*(B_Drainage!$A$5:$A$204&lt;=$B302)*(B_Drainage!$B$5:$B$204&gt;$B302)*(B_Drainage!$K$5:$K$204&lt;&gt;"")),IF(B_Drainage!$K$5:$K$204="-","",B_Drainage!$K$5:$K$204)),"")</f>
        <v/>
      </c>
      <c r="AC302" s="182" t="str">
        <f>IFERROR(LOOKUP(2,1/((B_Drainage!$A$5:$A$204&lt;&gt;"")*(B_Drainage!$A$5:$A$204&lt;=$B302)*(B_Drainage!$B$5:$B$204&gt;$B302)*(B_Drainage!$L$5:$L$204&lt;&gt;"")),IF(B_Drainage!$L$5:$L$204="-","",B_Drainage!$L$5:$L$204)),"")</f>
        <v/>
      </c>
      <c r="AD302" s="182" t="str">
        <f>IFERROR(LOOKUP(2,1/((D_Points!$A$5:$A$204&lt;&gt;"")*(D_Points!$A$5:$A$204&gt;=$B302)*(D_Points!$A$5:$A$204&lt;$B302+P_Interval)*(UPPER(TRIM(D_Points!$B$5:$B$204))="TURNOUT_L")*(D_Points!$H$5:$H$204&lt;&gt;"")),D_Points!$H$5:$H$204),"")</f>
        <v/>
      </c>
      <c r="AE302" s="182" t="str">
        <f>IFERROR(LOOKUP(2,1/((D_Points!$A$5:$A$204&lt;&gt;"")*(D_Points!$A$5:$A$204&gt;=$B302)*(D_Points!$A$5:$A$204&lt;$B302+P_Interval)*(UPPER(TRIM(D_Points!$B$5:$B$204))="TURNOUT_R")*(D_Points!$H$5:$H$204&lt;&gt;"")),D_Points!$H$5:$H$204),"")</f>
        <v/>
      </c>
      <c r="AF302" s="181" t="str">
        <f>IFERROR(LOOKUP(2,1/((B_Drainage!$A$5:$A$204&lt;&gt;"")*(B_Drainage!$A$5:$A$204&lt;=$B302)*(B_Drainage!$B$5:$B$204&gt;$B302)*(B_Drainage!$M$5:$M$204&lt;&gt;"")),IF(UPPER(B_Drainage!$M$5:$M$204)="Y",1,"")),"")</f>
        <v/>
      </c>
      <c r="AG302" s="181" t="str">
        <f>IFERROR(LOOKUP(2,1/((B_Drainage!$A$5:$A$204&lt;&gt;"")*(B_Drainage!$A$5:$A$204&lt;=$B302)*(B_Drainage!$B$5:$B$204&gt;$B302)*(B_Drainage!$N$5:$N$204&lt;&gt;"")),IF(UPPER(B_Drainage!$N$5:$N$204)="Y",1,"")),"")</f>
        <v/>
      </c>
      <c r="AH302" s="181" t="str">
        <f t="shared" si="32"/>
        <v/>
      </c>
      <c r="AI302" s="181" t="str">
        <f t="shared" si="33"/>
        <v/>
      </c>
      <c r="AJ302" s="181" t="str">
        <f t="shared" si="34"/>
        <v/>
      </c>
      <c r="AK302" s="181" t="str">
        <f t="shared" si="35"/>
        <v/>
      </c>
      <c r="AL302" s="181" t="str">
        <f t="shared" si="36"/>
        <v/>
      </c>
      <c r="AM302" s="181" t="str">
        <f t="shared" si="37"/>
        <v/>
      </c>
      <c r="AN302" s="181" t="str">
        <f t="shared" si="38"/>
        <v/>
      </c>
      <c r="AO302" s="192" t="str">
        <f t="shared" si="39"/>
        <v/>
      </c>
      <c r="AQ302" t="str">
        <f>IFERROR(LOOKUP(2,1/((C_Pavement!$A$5:$A$204&lt;&gt;"")*(C_Pavement!$A$5:$A$204&lt;=$B302)*(C_Pavement!$B$5:$B$204&gt;$B302)*(C_Pavement!$C$5:$C$204&lt;&gt;"")),ROW(C_Pavement!$C$5:$C$204)-4),"")</f>
        <v/>
      </c>
      <c r="AR302" t="str">
        <f>IF($AQ302="","",UPPER(TRIM(INDEX(C_Pavement!$C$5:$C$204,$AQ302))))</f>
        <v/>
      </c>
      <c r="AS302" t="str">
        <f>IF($AR302="","",IFERROR(MATCH($AR302,E_Rules!$A$5:$A$9,0),""))</f>
        <v/>
      </c>
      <c r="AT302" t="str">
        <f>IF($AQ302="","",IF(INDEX(C_Pavement!$D$5:$D$204,$AQ302)&lt;&gt;"",UPPER(TRIM(INDEX(C_Pavement!$D$5:$D$204,$AQ302))),IF($AS302="","",INDEX(E_Rules!$C$5:$C$9,$AS302))))</f>
        <v/>
      </c>
      <c r="AU302" t="str">
        <f>IF($AQ302="","",IF(INDEX(C_Pavement!$E$5:$E$204,$AQ302)&lt;&gt;"",IF(INDEX(C_Pavement!$E$5:$E$204,$AQ302)="-","",INDEX(C_Pavement!$E$5:$E$204,$AQ302)),IF($AS302="","",INDEX(E_Rules!$D$5:$D$9,$AS302))))</f>
        <v/>
      </c>
      <c r="AV302" t="str">
        <f>IF($AQ302="","",IF(INDEX(C_Pavement!$F$5:$F$204,$AQ302)&lt;&gt;"",IF(INDEX(C_Pavement!$F$5:$F$204,$AQ302)="-","",INDEX(C_Pavement!$F$5:$F$204,$AQ302)),IF($AS302="","",INDEX(E_Rules!$E$5:$E$9,$AS302))))</f>
        <v/>
      </c>
      <c r="AW302" t="str">
        <f>IF($AQ302="","",IF(INDEX(C_Pavement!$G$5:$G$204,$AQ302)&lt;&gt;"",IF(INDEX(C_Pavement!$G$5:$G$204,$AQ302)="-","",INDEX(C_Pavement!$G$5:$G$204,$AQ302)),IF($AS302="","",INDEX(E_Rules!$F$5:$F$9,$AS302))))</f>
        <v/>
      </c>
      <c r="AX302" t="str">
        <f>IF($AQ302="","",IF(INDEX(C_Pavement!$H$5:$H$204,$AQ302)&lt;&gt;"",IF(INDEX(C_Pavement!$H$5:$H$204,$AQ302)="-","",INDEX(C_Pavement!$H$5:$H$204,$AQ302)),IF($AS302="","",INDEX(E_Rules!$G$5:$G$9,$AS302))))</f>
        <v/>
      </c>
      <c r="AY302" t="str">
        <f>IF($AQ302="","",IF(INDEX(C_Pavement!$I$5:$I$204,$AQ302)&lt;&gt;"",IF(INDEX(C_Pavement!$I$5:$I$204,$AQ302)="-","",INDEX(C_Pavement!$I$5:$I$204,$AQ302)),IF($AS302="","",INDEX(E_Rules!$H$5:$H$9,$AS302))))</f>
        <v/>
      </c>
    </row>
    <row r="303" spans="1:51" ht="15.75" customHeight="1" x14ac:dyDescent="0.3">
      <c r="A303" s="189">
        <v>298</v>
      </c>
      <c r="B303" s="180">
        <v>14850</v>
      </c>
      <c r="C303" s="180" t="s">
        <v>609</v>
      </c>
      <c r="D303" s="181" t="str">
        <f>IFERROR(LOOKUP(2,1/((A_Corridor!$A$5:$A$204&lt;&gt;"")*(A_Corridor!$A$5:$A$204&lt;=$B303)*(A_Corridor!$B$5:$B$204&gt;$B303)*(A_Corridor!$C$5:$C$204&lt;&gt;"")),IF(UPPER(A_Corridor!$C$5:$C$204)="Y",1,"")),"")</f>
        <v/>
      </c>
      <c r="E303" s="181" t="str">
        <f>IFERROR(LOOKUP(2,1/((A_Corridor!$A$5:$A$204&lt;&gt;"")*(A_Corridor!$A$5:$A$204&lt;=$B303)*(A_Corridor!$B$5:$B$204&gt;$B303)*(A_Corridor!$D$5:$D$204&lt;&gt;"")),IF(A_Corridor!$D$5:$D$204="-","",UPPER(A_Corridor!$D$5:$D$204))),"")</f>
        <v/>
      </c>
      <c r="F303" s="181" t="str">
        <f>IFERROR(LOOKUP(2,1/((A_Corridor!$A$5:$A$204&lt;&gt;"")*(A_Corridor!$A$5:$A$204&lt;=$B303)*(A_Corridor!$B$5:$B$204&gt;$B303)*(A_Corridor!$E$5:$E$204&lt;&gt;"")),IF(A_Corridor!$E$5:$E$204="-","",1)),"")</f>
        <v/>
      </c>
      <c r="G303" s="182" t="str">
        <f>IFERROR(LOOKUP(2,1/((A_Corridor!$A$5:$A$204&lt;&gt;"")*(A_Corridor!$A$5:$A$204&lt;=$B303)*(A_Corridor!$B$5:$B$204&gt;$B303)*(A_Corridor!$E$5:$E$204&lt;&gt;"")),IF(A_Corridor!$E$5:$E$204="-","",A_Corridor!$E$5:$E$204)),"")</f>
        <v/>
      </c>
      <c r="H303" s="182" t="str">
        <f>IFERROR(LOOKUP(2,1/((D_Points!$A$5:$A$204&lt;&gt;"")*(D_Points!$A$5:$A$204&gt;=$B303)*(D_Points!$A$5:$A$204&lt;$B303+P_Interval)*(UPPER(TRIM(D_Points!$B$5:$B$204))="GULLY")*(D_Points!$H$5:$H$204&lt;&gt;"")),D_Points!$H$5:$H$204),"")</f>
        <v/>
      </c>
      <c r="I303" s="181" t="str">
        <f>IFERROR(LOOKUP(2,1/((A_Corridor!$A$5:$A$204&lt;&gt;"")*(A_Corridor!$A$5:$A$204&lt;=$B303)*(A_Corridor!$B$5:$B$204&gt;$B303)*(A_Corridor!$F$5:$F$204&lt;&gt;"")),IF(A_Corridor!$F$5:$F$204="-","",1)),"")</f>
        <v/>
      </c>
      <c r="J303" s="182" t="str">
        <f>IFERROR(LOOKUP(2,1/((A_Corridor!$A$5:$A$204&lt;&gt;"")*(A_Corridor!$A$5:$A$204&lt;=$B303)*(A_Corridor!$B$5:$B$204&gt;$B303)*(A_Corridor!$F$5:$F$204&lt;&gt;"")),IF(A_Corridor!$F$5:$F$204="-","",A_Corridor!$F$5:$F$204)),"")</f>
        <v/>
      </c>
      <c r="K303" s="182" t="str">
        <f>IFERROR(LOOKUP(2,1/((A_Corridor!$A$5:$A$204&lt;&gt;"")*(A_Corridor!$A$5:$A$204&lt;=$B303)*(A_Corridor!$B$5:$B$204&gt;$B303)*(A_Corridor!$G$5:$G$204&lt;&gt;"")),IF(A_Corridor!$G$5:$G$204="-","",A_Corridor!$G$5:$G$204)),"")</f>
        <v/>
      </c>
      <c r="L303" s="181" t="str">
        <f>IFERROR(LOOKUP(2,1/((A_Corridor!$A$5:$A$204&lt;&gt;"")*(A_Corridor!$A$5:$A$204&lt;=$B303)*(A_Corridor!$B$5:$B$204&gt;$B303)*(A_Corridor!$H$5:$H$204&lt;&gt;"")),IF(A_Corridor!$H$5:$H$204="-","",1)),"")</f>
        <v/>
      </c>
      <c r="M303" s="182" t="str">
        <f>IFERROR(LOOKUP(2,1/((A_Corridor!$A$5:$A$204&lt;&gt;"")*(A_Corridor!$A$5:$A$204&lt;=$B303)*(A_Corridor!$B$5:$B$204&gt;$B303)*(A_Corridor!$H$5:$H$204&lt;&gt;"")),IF(A_Corridor!$H$5:$H$204="-","",A_Corridor!$H$5:$H$204)),"")</f>
        <v/>
      </c>
      <c r="N303" s="182" t="str">
        <f>IFERROR(LOOKUP(2,1/((A_Corridor!$A$5:$A$204&lt;&gt;"")*(A_Corridor!$A$5:$A$204&lt;=$B303)*(A_Corridor!$B$5:$B$204&gt;$B303)*(A_Corridor!$I$5:$I$204&lt;&gt;"")),IF(A_Corridor!$I$5:$I$204="-","",A_Corridor!$I$5:$I$204)),"")</f>
        <v/>
      </c>
      <c r="O303" s="182" t="str">
        <f>IFERROR(LOOKUP(2,1/((D_Points!$A$5:$A$204&lt;&gt;"")*(D_Points!$A$5:$A$204&gt;=$B303)*(D_Points!$A$5:$A$204&lt;$B303+P_Interval)*(UPPER(TRIM(D_Points!$B$5:$B$204))="PITCHING")*(D_Points!$H$5:$H$204&lt;&gt;"")),D_Points!$H$5:$H$204),"")</f>
        <v/>
      </c>
      <c r="P303" s="181" t="str">
        <f>IFERROR(LOOKUP(2,1/((B_Drainage!$A$5:$A$204&lt;&gt;"")*(B_Drainage!$A$5:$A$204&lt;=$B303)*(B_Drainage!$B$5:$B$204&gt;$B303)*(B_Drainage!$C$5:$C$204&lt;&gt;"")),IF(B_Drainage!$C$5:$C$204="-","",UPPER(B_Drainage!$C$5:$C$204))),"")</f>
        <v/>
      </c>
      <c r="Q303" s="181" t="str">
        <f>IFERROR(LOOKUP(2,1/((B_Drainage!$A$5:$A$204&lt;&gt;"")*(B_Drainage!$A$5:$A$204&lt;=$B303)*(B_Drainage!$B$5:$B$204&gt;$B303)*(B_Drainage!$D$5:$D$204&lt;&gt;"")),IF(B_Drainage!$D$5:$D$204="-","",UPPER(B_Drainage!$D$5:$D$204))),"")</f>
        <v/>
      </c>
      <c r="R303" s="182" t="str">
        <f>IFERROR(LOOKUP(2,1/((D_Points!$A$5:$A$204&lt;&gt;"")*(D_Points!$A$5:$A$204&gt;=$B303)*(D_Points!$A$5:$A$204&lt;$B303+P_Interval)*(RIGHT(UPPER(TRIM(D_Points!$B$5:$B$204)),8)="_CULVERT")),IF(LEFT(UPPER(TRIM(D_Points!$B$5:$B$204)),2)="EX",1,IF(LEFT(UPPER(TRIM(D_Points!$B$5:$B$204)),2)="PR",2,3))),"")</f>
        <v/>
      </c>
      <c r="S303" s="182" t="str">
        <f>IFERROR(LOOKUP(2,1/((D_Points!$A$5:$A$204&lt;&gt;"")*(D_Points!$A$5:$A$204&gt;=$B303)*(D_Points!$A$5:$A$204&lt;$B303+P_Interval)*(RIGHT(UPPER(TRIM(D_Points!$B$5:$B$204)),7)="_BRIDGE")),IF(LEFT(UPPER(TRIM(D_Points!$B$5:$B$204)),2)="EX",1,IF(LEFT(UPPER(TRIM(D_Points!$B$5:$B$204)),2)="PR",2,2))),"")</f>
        <v/>
      </c>
      <c r="T303" s="181" t="str">
        <f>IFERROR(LOOKUP(2,1/((B_Drainage!$A$5:$A$204&lt;&gt;"")*(B_Drainage!$A$5:$A$204&lt;=$B303)*(B_Drainage!$B$5:$B$204&gt;$B303)*(B_Drainage!$E$5:$E$204&lt;&gt;"")),IF(B_Drainage!$E$5:$E$204="-","",1)),"")</f>
        <v/>
      </c>
      <c r="U303" s="181" t="str">
        <f>IFERROR(LOOKUP(2,1/((B_Drainage!$A$5:$A$204&lt;&gt;"")*(B_Drainage!$A$5:$A$204&lt;=$B303)*(B_Drainage!$B$5:$B$204&gt;$B303)*(B_Drainage!$E$5:$E$204&lt;&gt;"")),IF(B_Drainage!$E$5:$E$204="-","",B_Drainage!$E$5:$E$204)),"")</f>
        <v/>
      </c>
      <c r="V303" s="181" t="str">
        <f>IFERROR(LOOKUP(2,1/((B_Drainage!$A$5:$A$204&lt;&gt;"")*(B_Drainage!$A$5:$A$204&lt;=$B303)*(B_Drainage!$B$5:$B$204&gt;$B303)*(B_Drainage!$F$5:$F$204&lt;&gt;"")),IF(B_Drainage!$F$5:$F$204="-","",1)),"")</f>
        <v/>
      </c>
      <c r="W303" s="181" t="str">
        <f>IFERROR(LOOKUP(2,1/((B_Drainage!$A$5:$A$204&lt;&gt;"")*(B_Drainage!$A$5:$A$204&lt;=$B303)*(B_Drainage!$B$5:$B$204&gt;$B303)*(B_Drainage!$F$5:$F$204&lt;&gt;"")),IF(B_Drainage!$F$5:$F$204="-","",B_Drainage!$F$5:$F$204)),"")</f>
        <v/>
      </c>
      <c r="X303" s="181" t="str">
        <f>IFERROR(LOOKUP(2,1/((B_Drainage!$A$5:$A$204&lt;&gt;"")*(B_Drainage!$A$5:$A$204&lt;=$B303)*(B_Drainage!$B$5:$B$204&gt;$B303)*(B_Drainage!$G$5:$G$204&lt;&gt;"")),IF(UPPER(B_Drainage!$G$5:$G$204)="Y",1,"")),"")</f>
        <v/>
      </c>
      <c r="Y303" s="181" t="str">
        <f>IFERROR(LOOKUP(2,1/((B_Drainage!$A$5:$A$204&lt;&gt;"")*(B_Drainage!$A$5:$A$204&lt;=$B303)*(B_Drainage!$B$5:$B$204&gt;$B303)*(B_Drainage!$H$5:$H$204&lt;&gt;"")),IF(UPPER(B_Drainage!$H$5:$H$204)="Y",1,"")),"")</f>
        <v/>
      </c>
      <c r="Z303" s="181" t="str">
        <f>IFERROR(LOOKUP(2,1/((B_Drainage!$A$5:$A$204&lt;&gt;"")*(B_Drainage!$A$5:$A$204&lt;=$B303)*(B_Drainage!$B$5:$B$204&gt;$B303)*(B_Drainage!$I$5:$I$204&lt;&gt;"")),IF(UPPER(B_Drainage!$I$5:$I$204)="Y",1,"")),"")</f>
        <v/>
      </c>
      <c r="AA303" s="181" t="str">
        <f>IFERROR(LOOKUP(2,1/((B_Drainage!$A$5:$A$204&lt;&gt;"")*(B_Drainage!$A$5:$A$204&lt;=$B303)*(B_Drainage!$B$5:$B$204&gt;$B303)*(B_Drainage!$J$5:$J$204&lt;&gt;"")),IF(UPPER(B_Drainage!$J$5:$J$204)="Y",1,"")),"")</f>
        <v/>
      </c>
      <c r="AB303" s="182" t="str">
        <f>IFERROR(LOOKUP(2,1/((B_Drainage!$A$5:$A$204&lt;&gt;"")*(B_Drainage!$A$5:$A$204&lt;=$B303)*(B_Drainage!$B$5:$B$204&gt;$B303)*(B_Drainage!$K$5:$K$204&lt;&gt;"")),IF(B_Drainage!$K$5:$K$204="-","",B_Drainage!$K$5:$K$204)),"")</f>
        <v/>
      </c>
      <c r="AC303" s="182" t="str">
        <f>IFERROR(LOOKUP(2,1/((B_Drainage!$A$5:$A$204&lt;&gt;"")*(B_Drainage!$A$5:$A$204&lt;=$B303)*(B_Drainage!$B$5:$B$204&gt;$B303)*(B_Drainage!$L$5:$L$204&lt;&gt;"")),IF(B_Drainage!$L$5:$L$204="-","",B_Drainage!$L$5:$L$204)),"")</f>
        <v/>
      </c>
      <c r="AD303" s="182" t="str">
        <f>IFERROR(LOOKUP(2,1/((D_Points!$A$5:$A$204&lt;&gt;"")*(D_Points!$A$5:$A$204&gt;=$B303)*(D_Points!$A$5:$A$204&lt;$B303+P_Interval)*(UPPER(TRIM(D_Points!$B$5:$B$204))="TURNOUT_L")*(D_Points!$H$5:$H$204&lt;&gt;"")),D_Points!$H$5:$H$204),"")</f>
        <v/>
      </c>
      <c r="AE303" s="182" t="str">
        <f>IFERROR(LOOKUP(2,1/((D_Points!$A$5:$A$204&lt;&gt;"")*(D_Points!$A$5:$A$204&gt;=$B303)*(D_Points!$A$5:$A$204&lt;$B303+P_Interval)*(UPPER(TRIM(D_Points!$B$5:$B$204))="TURNOUT_R")*(D_Points!$H$5:$H$204&lt;&gt;"")),D_Points!$H$5:$H$204),"")</f>
        <v/>
      </c>
      <c r="AF303" s="181" t="str">
        <f>IFERROR(LOOKUP(2,1/((B_Drainage!$A$5:$A$204&lt;&gt;"")*(B_Drainage!$A$5:$A$204&lt;=$B303)*(B_Drainage!$B$5:$B$204&gt;$B303)*(B_Drainage!$M$5:$M$204&lt;&gt;"")),IF(UPPER(B_Drainage!$M$5:$M$204)="Y",1,"")),"")</f>
        <v/>
      </c>
      <c r="AG303" s="181" t="str">
        <f>IFERROR(LOOKUP(2,1/((B_Drainage!$A$5:$A$204&lt;&gt;"")*(B_Drainage!$A$5:$A$204&lt;=$B303)*(B_Drainage!$B$5:$B$204&gt;$B303)*(B_Drainage!$N$5:$N$204&lt;&gt;"")),IF(UPPER(B_Drainage!$N$5:$N$204)="Y",1,"")),"")</f>
        <v/>
      </c>
      <c r="AH303" s="181" t="str">
        <f t="shared" si="32"/>
        <v/>
      </c>
      <c r="AI303" s="181" t="str">
        <f t="shared" si="33"/>
        <v/>
      </c>
      <c r="AJ303" s="181" t="str">
        <f t="shared" si="34"/>
        <v/>
      </c>
      <c r="AK303" s="181" t="str">
        <f t="shared" si="35"/>
        <v/>
      </c>
      <c r="AL303" s="181" t="str">
        <f t="shared" si="36"/>
        <v/>
      </c>
      <c r="AM303" s="181" t="str">
        <f t="shared" si="37"/>
        <v/>
      </c>
      <c r="AN303" s="181" t="str">
        <f t="shared" si="38"/>
        <v/>
      </c>
      <c r="AO303" s="192" t="str">
        <f t="shared" si="39"/>
        <v/>
      </c>
      <c r="AQ303" t="str">
        <f>IFERROR(LOOKUP(2,1/((C_Pavement!$A$5:$A$204&lt;&gt;"")*(C_Pavement!$A$5:$A$204&lt;=$B303)*(C_Pavement!$B$5:$B$204&gt;$B303)*(C_Pavement!$C$5:$C$204&lt;&gt;"")),ROW(C_Pavement!$C$5:$C$204)-4),"")</f>
        <v/>
      </c>
      <c r="AR303" t="str">
        <f>IF($AQ303="","",UPPER(TRIM(INDEX(C_Pavement!$C$5:$C$204,$AQ303))))</f>
        <v/>
      </c>
      <c r="AS303" t="str">
        <f>IF($AR303="","",IFERROR(MATCH($AR303,E_Rules!$A$5:$A$9,0),""))</f>
        <v/>
      </c>
      <c r="AT303" t="str">
        <f>IF($AQ303="","",IF(INDEX(C_Pavement!$D$5:$D$204,$AQ303)&lt;&gt;"",UPPER(TRIM(INDEX(C_Pavement!$D$5:$D$204,$AQ303))),IF($AS303="","",INDEX(E_Rules!$C$5:$C$9,$AS303))))</f>
        <v/>
      </c>
      <c r="AU303" t="str">
        <f>IF($AQ303="","",IF(INDEX(C_Pavement!$E$5:$E$204,$AQ303)&lt;&gt;"",IF(INDEX(C_Pavement!$E$5:$E$204,$AQ303)="-","",INDEX(C_Pavement!$E$5:$E$204,$AQ303)),IF($AS303="","",INDEX(E_Rules!$D$5:$D$9,$AS303))))</f>
        <v/>
      </c>
      <c r="AV303" t="str">
        <f>IF($AQ303="","",IF(INDEX(C_Pavement!$F$5:$F$204,$AQ303)&lt;&gt;"",IF(INDEX(C_Pavement!$F$5:$F$204,$AQ303)="-","",INDEX(C_Pavement!$F$5:$F$204,$AQ303)),IF($AS303="","",INDEX(E_Rules!$E$5:$E$9,$AS303))))</f>
        <v/>
      </c>
      <c r="AW303" t="str">
        <f>IF($AQ303="","",IF(INDEX(C_Pavement!$G$5:$G$204,$AQ303)&lt;&gt;"",IF(INDEX(C_Pavement!$G$5:$G$204,$AQ303)="-","",INDEX(C_Pavement!$G$5:$G$204,$AQ303)),IF($AS303="","",INDEX(E_Rules!$F$5:$F$9,$AS303))))</f>
        <v/>
      </c>
      <c r="AX303" t="str">
        <f>IF($AQ303="","",IF(INDEX(C_Pavement!$H$5:$H$204,$AQ303)&lt;&gt;"",IF(INDEX(C_Pavement!$H$5:$H$204,$AQ303)="-","",INDEX(C_Pavement!$H$5:$H$204,$AQ303)),IF($AS303="","",INDEX(E_Rules!$G$5:$G$9,$AS303))))</f>
        <v/>
      </c>
      <c r="AY303" t="str">
        <f>IF($AQ303="","",IF(INDEX(C_Pavement!$I$5:$I$204,$AQ303)&lt;&gt;"",IF(INDEX(C_Pavement!$I$5:$I$204,$AQ303)="-","",INDEX(C_Pavement!$I$5:$I$204,$AQ303)),IF($AS303="","",INDEX(E_Rules!$H$5:$H$9,$AS303))))</f>
        <v/>
      </c>
    </row>
    <row r="304" spans="1:51" ht="15.75" customHeight="1" x14ac:dyDescent="0.3">
      <c r="A304" s="189">
        <v>299</v>
      </c>
      <c r="B304" s="180">
        <v>14900</v>
      </c>
      <c r="C304" s="180" t="s">
        <v>610</v>
      </c>
      <c r="D304" s="181" t="str">
        <f>IFERROR(LOOKUP(2,1/((A_Corridor!$A$5:$A$204&lt;&gt;"")*(A_Corridor!$A$5:$A$204&lt;=$B304)*(A_Corridor!$B$5:$B$204&gt;$B304)*(A_Corridor!$C$5:$C$204&lt;&gt;"")),IF(UPPER(A_Corridor!$C$5:$C$204)="Y",1,"")),"")</f>
        <v/>
      </c>
      <c r="E304" s="181" t="str">
        <f>IFERROR(LOOKUP(2,1/((A_Corridor!$A$5:$A$204&lt;&gt;"")*(A_Corridor!$A$5:$A$204&lt;=$B304)*(A_Corridor!$B$5:$B$204&gt;$B304)*(A_Corridor!$D$5:$D$204&lt;&gt;"")),IF(A_Corridor!$D$5:$D$204="-","",UPPER(A_Corridor!$D$5:$D$204))),"")</f>
        <v/>
      </c>
      <c r="F304" s="181" t="str">
        <f>IFERROR(LOOKUP(2,1/((A_Corridor!$A$5:$A$204&lt;&gt;"")*(A_Corridor!$A$5:$A$204&lt;=$B304)*(A_Corridor!$B$5:$B$204&gt;$B304)*(A_Corridor!$E$5:$E$204&lt;&gt;"")),IF(A_Corridor!$E$5:$E$204="-","",1)),"")</f>
        <v/>
      </c>
      <c r="G304" s="182" t="str">
        <f>IFERROR(LOOKUP(2,1/((A_Corridor!$A$5:$A$204&lt;&gt;"")*(A_Corridor!$A$5:$A$204&lt;=$B304)*(A_Corridor!$B$5:$B$204&gt;$B304)*(A_Corridor!$E$5:$E$204&lt;&gt;"")),IF(A_Corridor!$E$5:$E$204="-","",A_Corridor!$E$5:$E$204)),"")</f>
        <v/>
      </c>
      <c r="H304" s="182" t="str">
        <f>IFERROR(LOOKUP(2,1/((D_Points!$A$5:$A$204&lt;&gt;"")*(D_Points!$A$5:$A$204&gt;=$B304)*(D_Points!$A$5:$A$204&lt;$B304+P_Interval)*(UPPER(TRIM(D_Points!$B$5:$B$204))="GULLY")*(D_Points!$H$5:$H$204&lt;&gt;"")),D_Points!$H$5:$H$204),"")</f>
        <v/>
      </c>
      <c r="I304" s="181" t="str">
        <f>IFERROR(LOOKUP(2,1/((A_Corridor!$A$5:$A$204&lt;&gt;"")*(A_Corridor!$A$5:$A$204&lt;=$B304)*(A_Corridor!$B$5:$B$204&gt;$B304)*(A_Corridor!$F$5:$F$204&lt;&gt;"")),IF(A_Corridor!$F$5:$F$204="-","",1)),"")</f>
        <v/>
      </c>
      <c r="J304" s="182" t="str">
        <f>IFERROR(LOOKUP(2,1/((A_Corridor!$A$5:$A$204&lt;&gt;"")*(A_Corridor!$A$5:$A$204&lt;=$B304)*(A_Corridor!$B$5:$B$204&gt;$B304)*(A_Corridor!$F$5:$F$204&lt;&gt;"")),IF(A_Corridor!$F$5:$F$204="-","",A_Corridor!$F$5:$F$204)),"")</f>
        <v/>
      </c>
      <c r="K304" s="182" t="str">
        <f>IFERROR(LOOKUP(2,1/((A_Corridor!$A$5:$A$204&lt;&gt;"")*(A_Corridor!$A$5:$A$204&lt;=$B304)*(A_Corridor!$B$5:$B$204&gt;$B304)*(A_Corridor!$G$5:$G$204&lt;&gt;"")),IF(A_Corridor!$G$5:$G$204="-","",A_Corridor!$G$5:$G$204)),"")</f>
        <v/>
      </c>
      <c r="L304" s="181" t="str">
        <f>IFERROR(LOOKUP(2,1/((A_Corridor!$A$5:$A$204&lt;&gt;"")*(A_Corridor!$A$5:$A$204&lt;=$B304)*(A_Corridor!$B$5:$B$204&gt;$B304)*(A_Corridor!$H$5:$H$204&lt;&gt;"")),IF(A_Corridor!$H$5:$H$204="-","",1)),"")</f>
        <v/>
      </c>
      <c r="M304" s="182" t="str">
        <f>IFERROR(LOOKUP(2,1/((A_Corridor!$A$5:$A$204&lt;&gt;"")*(A_Corridor!$A$5:$A$204&lt;=$B304)*(A_Corridor!$B$5:$B$204&gt;$B304)*(A_Corridor!$H$5:$H$204&lt;&gt;"")),IF(A_Corridor!$H$5:$H$204="-","",A_Corridor!$H$5:$H$204)),"")</f>
        <v/>
      </c>
      <c r="N304" s="182" t="str">
        <f>IFERROR(LOOKUP(2,1/((A_Corridor!$A$5:$A$204&lt;&gt;"")*(A_Corridor!$A$5:$A$204&lt;=$B304)*(A_Corridor!$B$5:$B$204&gt;$B304)*(A_Corridor!$I$5:$I$204&lt;&gt;"")),IF(A_Corridor!$I$5:$I$204="-","",A_Corridor!$I$5:$I$204)),"")</f>
        <v/>
      </c>
      <c r="O304" s="182" t="str">
        <f>IFERROR(LOOKUP(2,1/((D_Points!$A$5:$A$204&lt;&gt;"")*(D_Points!$A$5:$A$204&gt;=$B304)*(D_Points!$A$5:$A$204&lt;$B304+P_Interval)*(UPPER(TRIM(D_Points!$B$5:$B$204))="PITCHING")*(D_Points!$H$5:$H$204&lt;&gt;"")),D_Points!$H$5:$H$204),"")</f>
        <v/>
      </c>
      <c r="P304" s="181" t="str">
        <f>IFERROR(LOOKUP(2,1/((B_Drainage!$A$5:$A$204&lt;&gt;"")*(B_Drainage!$A$5:$A$204&lt;=$B304)*(B_Drainage!$B$5:$B$204&gt;$B304)*(B_Drainage!$C$5:$C$204&lt;&gt;"")),IF(B_Drainage!$C$5:$C$204="-","",UPPER(B_Drainage!$C$5:$C$204))),"")</f>
        <v/>
      </c>
      <c r="Q304" s="181" t="str">
        <f>IFERROR(LOOKUP(2,1/((B_Drainage!$A$5:$A$204&lt;&gt;"")*(B_Drainage!$A$5:$A$204&lt;=$B304)*(B_Drainage!$B$5:$B$204&gt;$B304)*(B_Drainage!$D$5:$D$204&lt;&gt;"")),IF(B_Drainage!$D$5:$D$204="-","",UPPER(B_Drainage!$D$5:$D$204))),"")</f>
        <v/>
      </c>
      <c r="R304" s="182" t="str">
        <f>IFERROR(LOOKUP(2,1/((D_Points!$A$5:$A$204&lt;&gt;"")*(D_Points!$A$5:$A$204&gt;=$B304)*(D_Points!$A$5:$A$204&lt;$B304+P_Interval)*(RIGHT(UPPER(TRIM(D_Points!$B$5:$B$204)),8)="_CULVERT")),IF(LEFT(UPPER(TRIM(D_Points!$B$5:$B$204)),2)="EX",1,IF(LEFT(UPPER(TRIM(D_Points!$B$5:$B$204)),2)="PR",2,3))),"")</f>
        <v/>
      </c>
      <c r="S304" s="182" t="str">
        <f>IFERROR(LOOKUP(2,1/((D_Points!$A$5:$A$204&lt;&gt;"")*(D_Points!$A$5:$A$204&gt;=$B304)*(D_Points!$A$5:$A$204&lt;$B304+P_Interval)*(RIGHT(UPPER(TRIM(D_Points!$B$5:$B$204)),7)="_BRIDGE")),IF(LEFT(UPPER(TRIM(D_Points!$B$5:$B$204)),2)="EX",1,IF(LEFT(UPPER(TRIM(D_Points!$B$5:$B$204)),2)="PR",2,2))),"")</f>
        <v/>
      </c>
      <c r="T304" s="181" t="str">
        <f>IFERROR(LOOKUP(2,1/((B_Drainage!$A$5:$A$204&lt;&gt;"")*(B_Drainage!$A$5:$A$204&lt;=$B304)*(B_Drainage!$B$5:$B$204&gt;$B304)*(B_Drainage!$E$5:$E$204&lt;&gt;"")),IF(B_Drainage!$E$5:$E$204="-","",1)),"")</f>
        <v/>
      </c>
      <c r="U304" s="181" t="str">
        <f>IFERROR(LOOKUP(2,1/((B_Drainage!$A$5:$A$204&lt;&gt;"")*(B_Drainage!$A$5:$A$204&lt;=$B304)*(B_Drainage!$B$5:$B$204&gt;$B304)*(B_Drainage!$E$5:$E$204&lt;&gt;"")),IF(B_Drainage!$E$5:$E$204="-","",B_Drainage!$E$5:$E$204)),"")</f>
        <v/>
      </c>
      <c r="V304" s="181" t="str">
        <f>IFERROR(LOOKUP(2,1/((B_Drainage!$A$5:$A$204&lt;&gt;"")*(B_Drainage!$A$5:$A$204&lt;=$B304)*(B_Drainage!$B$5:$B$204&gt;$B304)*(B_Drainage!$F$5:$F$204&lt;&gt;"")),IF(B_Drainage!$F$5:$F$204="-","",1)),"")</f>
        <v/>
      </c>
      <c r="W304" s="181" t="str">
        <f>IFERROR(LOOKUP(2,1/((B_Drainage!$A$5:$A$204&lt;&gt;"")*(B_Drainage!$A$5:$A$204&lt;=$B304)*(B_Drainage!$B$5:$B$204&gt;$B304)*(B_Drainage!$F$5:$F$204&lt;&gt;"")),IF(B_Drainage!$F$5:$F$204="-","",B_Drainage!$F$5:$F$204)),"")</f>
        <v/>
      </c>
      <c r="X304" s="181" t="str">
        <f>IFERROR(LOOKUP(2,1/((B_Drainage!$A$5:$A$204&lt;&gt;"")*(B_Drainage!$A$5:$A$204&lt;=$B304)*(B_Drainage!$B$5:$B$204&gt;$B304)*(B_Drainage!$G$5:$G$204&lt;&gt;"")),IF(UPPER(B_Drainage!$G$5:$G$204)="Y",1,"")),"")</f>
        <v/>
      </c>
      <c r="Y304" s="181" t="str">
        <f>IFERROR(LOOKUP(2,1/((B_Drainage!$A$5:$A$204&lt;&gt;"")*(B_Drainage!$A$5:$A$204&lt;=$B304)*(B_Drainage!$B$5:$B$204&gt;$B304)*(B_Drainage!$H$5:$H$204&lt;&gt;"")),IF(UPPER(B_Drainage!$H$5:$H$204)="Y",1,"")),"")</f>
        <v/>
      </c>
      <c r="Z304" s="181" t="str">
        <f>IFERROR(LOOKUP(2,1/((B_Drainage!$A$5:$A$204&lt;&gt;"")*(B_Drainage!$A$5:$A$204&lt;=$B304)*(B_Drainage!$B$5:$B$204&gt;$B304)*(B_Drainage!$I$5:$I$204&lt;&gt;"")),IF(UPPER(B_Drainage!$I$5:$I$204)="Y",1,"")),"")</f>
        <v/>
      </c>
      <c r="AA304" s="181" t="str">
        <f>IFERROR(LOOKUP(2,1/((B_Drainage!$A$5:$A$204&lt;&gt;"")*(B_Drainage!$A$5:$A$204&lt;=$B304)*(B_Drainage!$B$5:$B$204&gt;$B304)*(B_Drainage!$J$5:$J$204&lt;&gt;"")),IF(UPPER(B_Drainage!$J$5:$J$204)="Y",1,"")),"")</f>
        <v/>
      </c>
      <c r="AB304" s="182" t="str">
        <f>IFERROR(LOOKUP(2,1/((B_Drainage!$A$5:$A$204&lt;&gt;"")*(B_Drainage!$A$5:$A$204&lt;=$B304)*(B_Drainage!$B$5:$B$204&gt;$B304)*(B_Drainage!$K$5:$K$204&lt;&gt;"")),IF(B_Drainage!$K$5:$K$204="-","",B_Drainage!$K$5:$K$204)),"")</f>
        <v/>
      </c>
      <c r="AC304" s="182" t="str">
        <f>IFERROR(LOOKUP(2,1/((B_Drainage!$A$5:$A$204&lt;&gt;"")*(B_Drainage!$A$5:$A$204&lt;=$B304)*(B_Drainage!$B$5:$B$204&gt;$B304)*(B_Drainage!$L$5:$L$204&lt;&gt;"")),IF(B_Drainage!$L$5:$L$204="-","",B_Drainage!$L$5:$L$204)),"")</f>
        <v/>
      </c>
      <c r="AD304" s="182" t="str">
        <f>IFERROR(LOOKUP(2,1/((D_Points!$A$5:$A$204&lt;&gt;"")*(D_Points!$A$5:$A$204&gt;=$B304)*(D_Points!$A$5:$A$204&lt;$B304+P_Interval)*(UPPER(TRIM(D_Points!$B$5:$B$204))="TURNOUT_L")*(D_Points!$H$5:$H$204&lt;&gt;"")),D_Points!$H$5:$H$204),"")</f>
        <v/>
      </c>
      <c r="AE304" s="182" t="str">
        <f>IFERROR(LOOKUP(2,1/((D_Points!$A$5:$A$204&lt;&gt;"")*(D_Points!$A$5:$A$204&gt;=$B304)*(D_Points!$A$5:$A$204&lt;$B304+P_Interval)*(UPPER(TRIM(D_Points!$B$5:$B$204))="TURNOUT_R")*(D_Points!$H$5:$H$204&lt;&gt;"")),D_Points!$H$5:$H$204),"")</f>
        <v/>
      </c>
      <c r="AF304" s="181" t="str">
        <f>IFERROR(LOOKUP(2,1/((B_Drainage!$A$5:$A$204&lt;&gt;"")*(B_Drainage!$A$5:$A$204&lt;=$B304)*(B_Drainage!$B$5:$B$204&gt;$B304)*(B_Drainage!$M$5:$M$204&lt;&gt;"")),IF(UPPER(B_Drainage!$M$5:$M$204)="Y",1,"")),"")</f>
        <v/>
      </c>
      <c r="AG304" s="181" t="str">
        <f>IFERROR(LOOKUP(2,1/((B_Drainage!$A$5:$A$204&lt;&gt;"")*(B_Drainage!$A$5:$A$204&lt;=$B304)*(B_Drainage!$B$5:$B$204&gt;$B304)*(B_Drainage!$N$5:$N$204&lt;&gt;"")),IF(UPPER(B_Drainage!$N$5:$N$204)="Y",1,"")),"")</f>
        <v/>
      </c>
      <c r="AH304" s="181" t="str">
        <f t="shared" si="32"/>
        <v/>
      </c>
      <c r="AI304" s="181" t="str">
        <f t="shared" si="33"/>
        <v/>
      </c>
      <c r="AJ304" s="181" t="str">
        <f t="shared" si="34"/>
        <v/>
      </c>
      <c r="AK304" s="181" t="str">
        <f t="shared" si="35"/>
        <v/>
      </c>
      <c r="AL304" s="181" t="str">
        <f t="shared" si="36"/>
        <v/>
      </c>
      <c r="AM304" s="181" t="str">
        <f t="shared" si="37"/>
        <v/>
      </c>
      <c r="AN304" s="181" t="str">
        <f t="shared" si="38"/>
        <v/>
      </c>
      <c r="AO304" s="192" t="str">
        <f t="shared" si="39"/>
        <v/>
      </c>
      <c r="AQ304" t="str">
        <f>IFERROR(LOOKUP(2,1/((C_Pavement!$A$5:$A$204&lt;&gt;"")*(C_Pavement!$A$5:$A$204&lt;=$B304)*(C_Pavement!$B$5:$B$204&gt;$B304)*(C_Pavement!$C$5:$C$204&lt;&gt;"")),ROW(C_Pavement!$C$5:$C$204)-4),"")</f>
        <v/>
      </c>
      <c r="AR304" t="str">
        <f>IF($AQ304="","",UPPER(TRIM(INDEX(C_Pavement!$C$5:$C$204,$AQ304))))</f>
        <v/>
      </c>
      <c r="AS304" t="str">
        <f>IF($AR304="","",IFERROR(MATCH($AR304,E_Rules!$A$5:$A$9,0),""))</f>
        <v/>
      </c>
      <c r="AT304" t="str">
        <f>IF($AQ304="","",IF(INDEX(C_Pavement!$D$5:$D$204,$AQ304)&lt;&gt;"",UPPER(TRIM(INDEX(C_Pavement!$D$5:$D$204,$AQ304))),IF($AS304="","",INDEX(E_Rules!$C$5:$C$9,$AS304))))</f>
        <v/>
      </c>
      <c r="AU304" t="str">
        <f>IF($AQ304="","",IF(INDEX(C_Pavement!$E$5:$E$204,$AQ304)&lt;&gt;"",IF(INDEX(C_Pavement!$E$5:$E$204,$AQ304)="-","",INDEX(C_Pavement!$E$5:$E$204,$AQ304)),IF($AS304="","",INDEX(E_Rules!$D$5:$D$9,$AS304))))</f>
        <v/>
      </c>
      <c r="AV304" t="str">
        <f>IF($AQ304="","",IF(INDEX(C_Pavement!$F$5:$F$204,$AQ304)&lt;&gt;"",IF(INDEX(C_Pavement!$F$5:$F$204,$AQ304)="-","",INDEX(C_Pavement!$F$5:$F$204,$AQ304)),IF($AS304="","",INDEX(E_Rules!$E$5:$E$9,$AS304))))</f>
        <v/>
      </c>
      <c r="AW304" t="str">
        <f>IF($AQ304="","",IF(INDEX(C_Pavement!$G$5:$G$204,$AQ304)&lt;&gt;"",IF(INDEX(C_Pavement!$G$5:$G$204,$AQ304)="-","",INDEX(C_Pavement!$G$5:$G$204,$AQ304)),IF($AS304="","",INDEX(E_Rules!$F$5:$F$9,$AS304))))</f>
        <v/>
      </c>
      <c r="AX304" t="str">
        <f>IF($AQ304="","",IF(INDEX(C_Pavement!$H$5:$H$204,$AQ304)&lt;&gt;"",IF(INDEX(C_Pavement!$H$5:$H$204,$AQ304)="-","",INDEX(C_Pavement!$H$5:$H$204,$AQ304)),IF($AS304="","",INDEX(E_Rules!$G$5:$G$9,$AS304))))</f>
        <v/>
      </c>
      <c r="AY304" t="str">
        <f>IF($AQ304="","",IF(INDEX(C_Pavement!$I$5:$I$204,$AQ304)&lt;&gt;"",IF(INDEX(C_Pavement!$I$5:$I$204,$AQ304)="-","",INDEX(C_Pavement!$I$5:$I$204,$AQ304)),IF($AS304="","",INDEX(E_Rules!$H$5:$H$9,$AS304))))</f>
        <v/>
      </c>
    </row>
    <row r="305" spans="1:51" ht="15.75" customHeight="1" x14ac:dyDescent="0.3">
      <c r="A305" s="189">
        <v>300</v>
      </c>
      <c r="B305" s="180">
        <v>14950</v>
      </c>
      <c r="C305" s="180" t="s">
        <v>611</v>
      </c>
      <c r="D305" s="181" t="str">
        <f>IFERROR(LOOKUP(2,1/((A_Corridor!$A$5:$A$204&lt;&gt;"")*(A_Corridor!$A$5:$A$204&lt;=$B305)*(A_Corridor!$B$5:$B$204&gt;$B305)*(A_Corridor!$C$5:$C$204&lt;&gt;"")),IF(UPPER(A_Corridor!$C$5:$C$204)="Y",1,"")),"")</f>
        <v/>
      </c>
      <c r="E305" s="181" t="str">
        <f>IFERROR(LOOKUP(2,1/((A_Corridor!$A$5:$A$204&lt;&gt;"")*(A_Corridor!$A$5:$A$204&lt;=$B305)*(A_Corridor!$B$5:$B$204&gt;$B305)*(A_Corridor!$D$5:$D$204&lt;&gt;"")),IF(A_Corridor!$D$5:$D$204="-","",UPPER(A_Corridor!$D$5:$D$204))),"")</f>
        <v/>
      </c>
      <c r="F305" s="181" t="str">
        <f>IFERROR(LOOKUP(2,1/((A_Corridor!$A$5:$A$204&lt;&gt;"")*(A_Corridor!$A$5:$A$204&lt;=$B305)*(A_Corridor!$B$5:$B$204&gt;$B305)*(A_Corridor!$E$5:$E$204&lt;&gt;"")),IF(A_Corridor!$E$5:$E$204="-","",1)),"")</f>
        <v/>
      </c>
      <c r="G305" s="182" t="str">
        <f>IFERROR(LOOKUP(2,1/((A_Corridor!$A$5:$A$204&lt;&gt;"")*(A_Corridor!$A$5:$A$204&lt;=$B305)*(A_Corridor!$B$5:$B$204&gt;$B305)*(A_Corridor!$E$5:$E$204&lt;&gt;"")),IF(A_Corridor!$E$5:$E$204="-","",A_Corridor!$E$5:$E$204)),"")</f>
        <v/>
      </c>
      <c r="H305" s="182" t="str">
        <f>IFERROR(LOOKUP(2,1/((D_Points!$A$5:$A$204&lt;&gt;"")*(D_Points!$A$5:$A$204&gt;=$B305)*(D_Points!$A$5:$A$204&lt;$B305+P_Interval)*(UPPER(TRIM(D_Points!$B$5:$B$204))="GULLY")*(D_Points!$H$5:$H$204&lt;&gt;"")),D_Points!$H$5:$H$204),"")</f>
        <v/>
      </c>
      <c r="I305" s="181" t="str">
        <f>IFERROR(LOOKUP(2,1/((A_Corridor!$A$5:$A$204&lt;&gt;"")*(A_Corridor!$A$5:$A$204&lt;=$B305)*(A_Corridor!$B$5:$B$204&gt;$B305)*(A_Corridor!$F$5:$F$204&lt;&gt;"")),IF(A_Corridor!$F$5:$F$204="-","",1)),"")</f>
        <v/>
      </c>
      <c r="J305" s="182" t="str">
        <f>IFERROR(LOOKUP(2,1/((A_Corridor!$A$5:$A$204&lt;&gt;"")*(A_Corridor!$A$5:$A$204&lt;=$B305)*(A_Corridor!$B$5:$B$204&gt;$B305)*(A_Corridor!$F$5:$F$204&lt;&gt;"")),IF(A_Corridor!$F$5:$F$204="-","",A_Corridor!$F$5:$F$204)),"")</f>
        <v/>
      </c>
      <c r="K305" s="182" t="str">
        <f>IFERROR(LOOKUP(2,1/((A_Corridor!$A$5:$A$204&lt;&gt;"")*(A_Corridor!$A$5:$A$204&lt;=$B305)*(A_Corridor!$B$5:$B$204&gt;$B305)*(A_Corridor!$G$5:$G$204&lt;&gt;"")),IF(A_Corridor!$G$5:$G$204="-","",A_Corridor!$G$5:$G$204)),"")</f>
        <v/>
      </c>
      <c r="L305" s="181" t="str">
        <f>IFERROR(LOOKUP(2,1/((A_Corridor!$A$5:$A$204&lt;&gt;"")*(A_Corridor!$A$5:$A$204&lt;=$B305)*(A_Corridor!$B$5:$B$204&gt;$B305)*(A_Corridor!$H$5:$H$204&lt;&gt;"")),IF(A_Corridor!$H$5:$H$204="-","",1)),"")</f>
        <v/>
      </c>
      <c r="M305" s="182" t="str">
        <f>IFERROR(LOOKUP(2,1/((A_Corridor!$A$5:$A$204&lt;&gt;"")*(A_Corridor!$A$5:$A$204&lt;=$B305)*(A_Corridor!$B$5:$B$204&gt;$B305)*(A_Corridor!$H$5:$H$204&lt;&gt;"")),IF(A_Corridor!$H$5:$H$204="-","",A_Corridor!$H$5:$H$204)),"")</f>
        <v/>
      </c>
      <c r="N305" s="182" t="str">
        <f>IFERROR(LOOKUP(2,1/((A_Corridor!$A$5:$A$204&lt;&gt;"")*(A_Corridor!$A$5:$A$204&lt;=$B305)*(A_Corridor!$B$5:$B$204&gt;$B305)*(A_Corridor!$I$5:$I$204&lt;&gt;"")),IF(A_Corridor!$I$5:$I$204="-","",A_Corridor!$I$5:$I$204)),"")</f>
        <v/>
      </c>
      <c r="O305" s="182" t="str">
        <f>IFERROR(LOOKUP(2,1/((D_Points!$A$5:$A$204&lt;&gt;"")*(D_Points!$A$5:$A$204&gt;=$B305)*(D_Points!$A$5:$A$204&lt;$B305+P_Interval)*(UPPER(TRIM(D_Points!$B$5:$B$204))="PITCHING")*(D_Points!$H$5:$H$204&lt;&gt;"")),D_Points!$H$5:$H$204),"")</f>
        <v/>
      </c>
      <c r="P305" s="181" t="str">
        <f>IFERROR(LOOKUP(2,1/((B_Drainage!$A$5:$A$204&lt;&gt;"")*(B_Drainage!$A$5:$A$204&lt;=$B305)*(B_Drainage!$B$5:$B$204&gt;$B305)*(B_Drainage!$C$5:$C$204&lt;&gt;"")),IF(B_Drainage!$C$5:$C$204="-","",UPPER(B_Drainage!$C$5:$C$204))),"")</f>
        <v/>
      </c>
      <c r="Q305" s="181" t="str">
        <f>IFERROR(LOOKUP(2,1/((B_Drainage!$A$5:$A$204&lt;&gt;"")*(B_Drainage!$A$5:$A$204&lt;=$B305)*(B_Drainage!$B$5:$B$204&gt;$B305)*(B_Drainage!$D$5:$D$204&lt;&gt;"")),IF(B_Drainage!$D$5:$D$204="-","",UPPER(B_Drainage!$D$5:$D$204))),"")</f>
        <v/>
      </c>
      <c r="R305" s="182" t="str">
        <f>IFERROR(LOOKUP(2,1/((D_Points!$A$5:$A$204&lt;&gt;"")*(D_Points!$A$5:$A$204&gt;=$B305)*(D_Points!$A$5:$A$204&lt;$B305+P_Interval)*(RIGHT(UPPER(TRIM(D_Points!$B$5:$B$204)),8)="_CULVERT")),IF(LEFT(UPPER(TRIM(D_Points!$B$5:$B$204)),2)="EX",1,IF(LEFT(UPPER(TRIM(D_Points!$B$5:$B$204)),2)="PR",2,3))),"")</f>
        <v/>
      </c>
      <c r="S305" s="182" t="str">
        <f>IFERROR(LOOKUP(2,1/((D_Points!$A$5:$A$204&lt;&gt;"")*(D_Points!$A$5:$A$204&gt;=$B305)*(D_Points!$A$5:$A$204&lt;$B305+P_Interval)*(RIGHT(UPPER(TRIM(D_Points!$B$5:$B$204)),7)="_BRIDGE")),IF(LEFT(UPPER(TRIM(D_Points!$B$5:$B$204)),2)="EX",1,IF(LEFT(UPPER(TRIM(D_Points!$B$5:$B$204)),2)="PR",2,2))),"")</f>
        <v/>
      </c>
      <c r="T305" s="181" t="str">
        <f>IFERROR(LOOKUP(2,1/((B_Drainage!$A$5:$A$204&lt;&gt;"")*(B_Drainage!$A$5:$A$204&lt;=$B305)*(B_Drainage!$B$5:$B$204&gt;$B305)*(B_Drainage!$E$5:$E$204&lt;&gt;"")),IF(B_Drainage!$E$5:$E$204="-","",1)),"")</f>
        <v/>
      </c>
      <c r="U305" s="181" t="str">
        <f>IFERROR(LOOKUP(2,1/((B_Drainage!$A$5:$A$204&lt;&gt;"")*(B_Drainage!$A$5:$A$204&lt;=$B305)*(B_Drainage!$B$5:$B$204&gt;$B305)*(B_Drainage!$E$5:$E$204&lt;&gt;"")),IF(B_Drainage!$E$5:$E$204="-","",B_Drainage!$E$5:$E$204)),"")</f>
        <v/>
      </c>
      <c r="V305" s="181" t="str">
        <f>IFERROR(LOOKUP(2,1/((B_Drainage!$A$5:$A$204&lt;&gt;"")*(B_Drainage!$A$5:$A$204&lt;=$B305)*(B_Drainage!$B$5:$B$204&gt;$B305)*(B_Drainage!$F$5:$F$204&lt;&gt;"")),IF(B_Drainage!$F$5:$F$204="-","",1)),"")</f>
        <v/>
      </c>
      <c r="W305" s="181" t="str">
        <f>IFERROR(LOOKUP(2,1/((B_Drainage!$A$5:$A$204&lt;&gt;"")*(B_Drainage!$A$5:$A$204&lt;=$B305)*(B_Drainage!$B$5:$B$204&gt;$B305)*(B_Drainage!$F$5:$F$204&lt;&gt;"")),IF(B_Drainage!$F$5:$F$204="-","",B_Drainage!$F$5:$F$204)),"")</f>
        <v/>
      </c>
      <c r="X305" s="181" t="str">
        <f>IFERROR(LOOKUP(2,1/((B_Drainage!$A$5:$A$204&lt;&gt;"")*(B_Drainage!$A$5:$A$204&lt;=$B305)*(B_Drainage!$B$5:$B$204&gt;$B305)*(B_Drainage!$G$5:$G$204&lt;&gt;"")),IF(UPPER(B_Drainage!$G$5:$G$204)="Y",1,"")),"")</f>
        <v/>
      </c>
      <c r="Y305" s="181" t="str">
        <f>IFERROR(LOOKUP(2,1/((B_Drainage!$A$5:$A$204&lt;&gt;"")*(B_Drainage!$A$5:$A$204&lt;=$B305)*(B_Drainage!$B$5:$B$204&gt;$B305)*(B_Drainage!$H$5:$H$204&lt;&gt;"")),IF(UPPER(B_Drainage!$H$5:$H$204)="Y",1,"")),"")</f>
        <v/>
      </c>
      <c r="Z305" s="181" t="str">
        <f>IFERROR(LOOKUP(2,1/((B_Drainage!$A$5:$A$204&lt;&gt;"")*(B_Drainage!$A$5:$A$204&lt;=$B305)*(B_Drainage!$B$5:$B$204&gt;$B305)*(B_Drainage!$I$5:$I$204&lt;&gt;"")),IF(UPPER(B_Drainage!$I$5:$I$204)="Y",1,"")),"")</f>
        <v/>
      </c>
      <c r="AA305" s="181" t="str">
        <f>IFERROR(LOOKUP(2,1/((B_Drainage!$A$5:$A$204&lt;&gt;"")*(B_Drainage!$A$5:$A$204&lt;=$B305)*(B_Drainage!$B$5:$B$204&gt;$B305)*(B_Drainage!$J$5:$J$204&lt;&gt;"")),IF(UPPER(B_Drainage!$J$5:$J$204)="Y",1,"")),"")</f>
        <v/>
      </c>
      <c r="AB305" s="182" t="str">
        <f>IFERROR(LOOKUP(2,1/((B_Drainage!$A$5:$A$204&lt;&gt;"")*(B_Drainage!$A$5:$A$204&lt;=$B305)*(B_Drainage!$B$5:$B$204&gt;$B305)*(B_Drainage!$K$5:$K$204&lt;&gt;"")),IF(B_Drainage!$K$5:$K$204="-","",B_Drainage!$K$5:$K$204)),"")</f>
        <v/>
      </c>
      <c r="AC305" s="182" t="str">
        <f>IFERROR(LOOKUP(2,1/((B_Drainage!$A$5:$A$204&lt;&gt;"")*(B_Drainage!$A$5:$A$204&lt;=$B305)*(B_Drainage!$B$5:$B$204&gt;$B305)*(B_Drainage!$L$5:$L$204&lt;&gt;"")),IF(B_Drainage!$L$5:$L$204="-","",B_Drainage!$L$5:$L$204)),"")</f>
        <v/>
      </c>
      <c r="AD305" s="182" t="str">
        <f>IFERROR(LOOKUP(2,1/((D_Points!$A$5:$A$204&lt;&gt;"")*(D_Points!$A$5:$A$204&gt;=$B305)*(D_Points!$A$5:$A$204&lt;$B305+P_Interval)*(UPPER(TRIM(D_Points!$B$5:$B$204))="TURNOUT_L")*(D_Points!$H$5:$H$204&lt;&gt;"")),D_Points!$H$5:$H$204),"")</f>
        <v/>
      </c>
      <c r="AE305" s="182" t="str">
        <f>IFERROR(LOOKUP(2,1/((D_Points!$A$5:$A$204&lt;&gt;"")*(D_Points!$A$5:$A$204&gt;=$B305)*(D_Points!$A$5:$A$204&lt;$B305+P_Interval)*(UPPER(TRIM(D_Points!$B$5:$B$204))="TURNOUT_R")*(D_Points!$H$5:$H$204&lt;&gt;"")),D_Points!$H$5:$H$204),"")</f>
        <v/>
      </c>
      <c r="AF305" s="181" t="str">
        <f>IFERROR(LOOKUP(2,1/((B_Drainage!$A$5:$A$204&lt;&gt;"")*(B_Drainage!$A$5:$A$204&lt;=$B305)*(B_Drainage!$B$5:$B$204&gt;$B305)*(B_Drainage!$M$5:$M$204&lt;&gt;"")),IF(UPPER(B_Drainage!$M$5:$M$204)="Y",1,"")),"")</f>
        <v/>
      </c>
      <c r="AG305" s="181" t="str">
        <f>IFERROR(LOOKUP(2,1/((B_Drainage!$A$5:$A$204&lt;&gt;"")*(B_Drainage!$A$5:$A$204&lt;=$B305)*(B_Drainage!$B$5:$B$204&gt;$B305)*(B_Drainage!$N$5:$N$204&lt;&gt;"")),IF(UPPER(B_Drainage!$N$5:$N$204)="Y",1,"")),"")</f>
        <v/>
      </c>
      <c r="AH305" s="181" t="str">
        <f t="shared" si="32"/>
        <v/>
      </c>
      <c r="AI305" s="181" t="str">
        <f t="shared" si="33"/>
        <v/>
      </c>
      <c r="AJ305" s="181" t="str">
        <f t="shared" si="34"/>
        <v/>
      </c>
      <c r="AK305" s="181" t="str">
        <f t="shared" si="35"/>
        <v/>
      </c>
      <c r="AL305" s="181" t="str">
        <f t="shared" si="36"/>
        <v/>
      </c>
      <c r="AM305" s="181" t="str">
        <f t="shared" si="37"/>
        <v/>
      </c>
      <c r="AN305" s="181" t="str">
        <f t="shared" si="38"/>
        <v/>
      </c>
      <c r="AO305" s="192" t="str">
        <f t="shared" si="39"/>
        <v/>
      </c>
      <c r="AQ305" t="str">
        <f>IFERROR(LOOKUP(2,1/((C_Pavement!$A$5:$A$204&lt;&gt;"")*(C_Pavement!$A$5:$A$204&lt;=$B305)*(C_Pavement!$B$5:$B$204&gt;$B305)*(C_Pavement!$C$5:$C$204&lt;&gt;"")),ROW(C_Pavement!$C$5:$C$204)-4),"")</f>
        <v/>
      </c>
      <c r="AR305" t="str">
        <f>IF($AQ305="","",UPPER(TRIM(INDEX(C_Pavement!$C$5:$C$204,$AQ305))))</f>
        <v/>
      </c>
      <c r="AS305" t="str">
        <f>IF($AR305="","",IFERROR(MATCH($AR305,E_Rules!$A$5:$A$9,0),""))</f>
        <v/>
      </c>
      <c r="AT305" t="str">
        <f>IF($AQ305="","",IF(INDEX(C_Pavement!$D$5:$D$204,$AQ305)&lt;&gt;"",UPPER(TRIM(INDEX(C_Pavement!$D$5:$D$204,$AQ305))),IF($AS305="","",INDEX(E_Rules!$C$5:$C$9,$AS305))))</f>
        <v/>
      </c>
      <c r="AU305" t="str">
        <f>IF($AQ305="","",IF(INDEX(C_Pavement!$E$5:$E$204,$AQ305)&lt;&gt;"",IF(INDEX(C_Pavement!$E$5:$E$204,$AQ305)="-","",INDEX(C_Pavement!$E$5:$E$204,$AQ305)),IF($AS305="","",INDEX(E_Rules!$D$5:$D$9,$AS305))))</f>
        <v/>
      </c>
      <c r="AV305" t="str">
        <f>IF($AQ305="","",IF(INDEX(C_Pavement!$F$5:$F$204,$AQ305)&lt;&gt;"",IF(INDEX(C_Pavement!$F$5:$F$204,$AQ305)="-","",INDEX(C_Pavement!$F$5:$F$204,$AQ305)),IF($AS305="","",INDEX(E_Rules!$E$5:$E$9,$AS305))))</f>
        <v/>
      </c>
      <c r="AW305" t="str">
        <f>IF($AQ305="","",IF(INDEX(C_Pavement!$G$5:$G$204,$AQ305)&lt;&gt;"",IF(INDEX(C_Pavement!$G$5:$G$204,$AQ305)="-","",INDEX(C_Pavement!$G$5:$G$204,$AQ305)),IF($AS305="","",INDEX(E_Rules!$F$5:$F$9,$AS305))))</f>
        <v/>
      </c>
      <c r="AX305" t="str">
        <f>IF($AQ305="","",IF(INDEX(C_Pavement!$H$5:$H$204,$AQ305)&lt;&gt;"",IF(INDEX(C_Pavement!$H$5:$H$204,$AQ305)="-","",INDEX(C_Pavement!$H$5:$H$204,$AQ305)),IF($AS305="","",INDEX(E_Rules!$G$5:$G$9,$AS305))))</f>
        <v/>
      </c>
      <c r="AY305" t="str">
        <f>IF($AQ305="","",IF(INDEX(C_Pavement!$I$5:$I$204,$AQ305)&lt;&gt;"",IF(INDEX(C_Pavement!$I$5:$I$204,$AQ305)="-","",INDEX(C_Pavement!$I$5:$I$204,$AQ305)),IF($AS305="","",INDEX(E_Rules!$H$5:$H$9,$AS305))))</f>
        <v/>
      </c>
    </row>
    <row r="306" spans="1:51" ht="15.75" customHeight="1" x14ac:dyDescent="0.3">
      <c r="A306" s="189">
        <v>301</v>
      </c>
      <c r="B306" s="180">
        <v>15000</v>
      </c>
      <c r="C306" s="180" t="s">
        <v>612</v>
      </c>
      <c r="D306" s="181" t="str">
        <f>IFERROR(LOOKUP(2,1/((A_Corridor!$A$5:$A$204&lt;&gt;"")*(A_Corridor!$A$5:$A$204&lt;=$B306)*(A_Corridor!$B$5:$B$204&gt;$B306)*(A_Corridor!$C$5:$C$204&lt;&gt;"")),IF(UPPER(A_Corridor!$C$5:$C$204)="Y",1,"")),"")</f>
        <v/>
      </c>
      <c r="E306" s="181" t="str">
        <f>IFERROR(LOOKUP(2,1/((A_Corridor!$A$5:$A$204&lt;&gt;"")*(A_Corridor!$A$5:$A$204&lt;=$B306)*(A_Corridor!$B$5:$B$204&gt;$B306)*(A_Corridor!$D$5:$D$204&lt;&gt;"")),IF(A_Corridor!$D$5:$D$204="-","",UPPER(A_Corridor!$D$5:$D$204))),"")</f>
        <v/>
      </c>
      <c r="F306" s="181" t="str">
        <f>IFERROR(LOOKUP(2,1/((A_Corridor!$A$5:$A$204&lt;&gt;"")*(A_Corridor!$A$5:$A$204&lt;=$B306)*(A_Corridor!$B$5:$B$204&gt;$B306)*(A_Corridor!$E$5:$E$204&lt;&gt;"")),IF(A_Corridor!$E$5:$E$204="-","",1)),"")</f>
        <v/>
      </c>
      <c r="G306" s="182" t="str">
        <f>IFERROR(LOOKUP(2,1/((A_Corridor!$A$5:$A$204&lt;&gt;"")*(A_Corridor!$A$5:$A$204&lt;=$B306)*(A_Corridor!$B$5:$B$204&gt;$B306)*(A_Corridor!$E$5:$E$204&lt;&gt;"")),IF(A_Corridor!$E$5:$E$204="-","",A_Corridor!$E$5:$E$204)),"")</f>
        <v/>
      </c>
      <c r="H306" s="182" t="str">
        <f>IFERROR(LOOKUP(2,1/((D_Points!$A$5:$A$204&lt;&gt;"")*(D_Points!$A$5:$A$204&gt;=$B306)*(D_Points!$A$5:$A$204&lt;$B306+P_Interval)*(UPPER(TRIM(D_Points!$B$5:$B$204))="GULLY")*(D_Points!$H$5:$H$204&lt;&gt;"")),D_Points!$H$5:$H$204),"")</f>
        <v/>
      </c>
      <c r="I306" s="181" t="str">
        <f>IFERROR(LOOKUP(2,1/((A_Corridor!$A$5:$A$204&lt;&gt;"")*(A_Corridor!$A$5:$A$204&lt;=$B306)*(A_Corridor!$B$5:$B$204&gt;$B306)*(A_Corridor!$F$5:$F$204&lt;&gt;"")),IF(A_Corridor!$F$5:$F$204="-","",1)),"")</f>
        <v/>
      </c>
      <c r="J306" s="182" t="str">
        <f>IFERROR(LOOKUP(2,1/((A_Corridor!$A$5:$A$204&lt;&gt;"")*(A_Corridor!$A$5:$A$204&lt;=$B306)*(A_Corridor!$B$5:$B$204&gt;$B306)*(A_Corridor!$F$5:$F$204&lt;&gt;"")),IF(A_Corridor!$F$5:$F$204="-","",A_Corridor!$F$5:$F$204)),"")</f>
        <v/>
      </c>
      <c r="K306" s="182" t="str">
        <f>IFERROR(LOOKUP(2,1/((A_Corridor!$A$5:$A$204&lt;&gt;"")*(A_Corridor!$A$5:$A$204&lt;=$B306)*(A_Corridor!$B$5:$B$204&gt;$B306)*(A_Corridor!$G$5:$G$204&lt;&gt;"")),IF(A_Corridor!$G$5:$G$204="-","",A_Corridor!$G$5:$G$204)),"")</f>
        <v/>
      </c>
      <c r="L306" s="181" t="str">
        <f>IFERROR(LOOKUP(2,1/((A_Corridor!$A$5:$A$204&lt;&gt;"")*(A_Corridor!$A$5:$A$204&lt;=$B306)*(A_Corridor!$B$5:$B$204&gt;$B306)*(A_Corridor!$H$5:$H$204&lt;&gt;"")),IF(A_Corridor!$H$5:$H$204="-","",1)),"")</f>
        <v/>
      </c>
      <c r="M306" s="182" t="str">
        <f>IFERROR(LOOKUP(2,1/((A_Corridor!$A$5:$A$204&lt;&gt;"")*(A_Corridor!$A$5:$A$204&lt;=$B306)*(A_Corridor!$B$5:$B$204&gt;$B306)*(A_Corridor!$H$5:$H$204&lt;&gt;"")),IF(A_Corridor!$H$5:$H$204="-","",A_Corridor!$H$5:$H$204)),"")</f>
        <v/>
      </c>
      <c r="N306" s="182" t="str">
        <f>IFERROR(LOOKUP(2,1/((A_Corridor!$A$5:$A$204&lt;&gt;"")*(A_Corridor!$A$5:$A$204&lt;=$B306)*(A_Corridor!$B$5:$B$204&gt;$B306)*(A_Corridor!$I$5:$I$204&lt;&gt;"")),IF(A_Corridor!$I$5:$I$204="-","",A_Corridor!$I$5:$I$204)),"")</f>
        <v/>
      </c>
      <c r="O306" s="182" t="str">
        <f>IFERROR(LOOKUP(2,1/((D_Points!$A$5:$A$204&lt;&gt;"")*(D_Points!$A$5:$A$204&gt;=$B306)*(D_Points!$A$5:$A$204&lt;$B306+P_Interval)*(UPPER(TRIM(D_Points!$B$5:$B$204))="PITCHING")*(D_Points!$H$5:$H$204&lt;&gt;"")),D_Points!$H$5:$H$204),"")</f>
        <v/>
      </c>
      <c r="P306" s="181" t="str">
        <f>IFERROR(LOOKUP(2,1/((B_Drainage!$A$5:$A$204&lt;&gt;"")*(B_Drainage!$A$5:$A$204&lt;=$B306)*(B_Drainage!$B$5:$B$204&gt;$B306)*(B_Drainage!$C$5:$C$204&lt;&gt;"")),IF(B_Drainage!$C$5:$C$204="-","",UPPER(B_Drainage!$C$5:$C$204))),"")</f>
        <v/>
      </c>
      <c r="Q306" s="181" t="str">
        <f>IFERROR(LOOKUP(2,1/((B_Drainage!$A$5:$A$204&lt;&gt;"")*(B_Drainage!$A$5:$A$204&lt;=$B306)*(B_Drainage!$B$5:$B$204&gt;$B306)*(B_Drainage!$D$5:$D$204&lt;&gt;"")),IF(B_Drainage!$D$5:$D$204="-","",UPPER(B_Drainage!$D$5:$D$204))),"")</f>
        <v/>
      </c>
      <c r="R306" s="182" t="str">
        <f>IFERROR(LOOKUP(2,1/((D_Points!$A$5:$A$204&lt;&gt;"")*(D_Points!$A$5:$A$204&gt;=$B306)*(D_Points!$A$5:$A$204&lt;$B306+P_Interval)*(RIGHT(UPPER(TRIM(D_Points!$B$5:$B$204)),8)="_CULVERT")),IF(LEFT(UPPER(TRIM(D_Points!$B$5:$B$204)),2)="EX",1,IF(LEFT(UPPER(TRIM(D_Points!$B$5:$B$204)),2)="PR",2,3))),"")</f>
        <v/>
      </c>
      <c r="S306" s="182" t="str">
        <f>IFERROR(LOOKUP(2,1/((D_Points!$A$5:$A$204&lt;&gt;"")*(D_Points!$A$5:$A$204&gt;=$B306)*(D_Points!$A$5:$A$204&lt;$B306+P_Interval)*(RIGHT(UPPER(TRIM(D_Points!$B$5:$B$204)),7)="_BRIDGE")),IF(LEFT(UPPER(TRIM(D_Points!$B$5:$B$204)),2)="EX",1,IF(LEFT(UPPER(TRIM(D_Points!$B$5:$B$204)),2)="PR",2,2))),"")</f>
        <v/>
      </c>
      <c r="T306" s="181" t="str">
        <f>IFERROR(LOOKUP(2,1/((B_Drainage!$A$5:$A$204&lt;&gt;"")*(B_Drainage!$A$5:$A$204&lt;=$B306)*(B_Drainage!$B$5:$B$204&gt;$B306)*(B_Drainage!$E$5:$E$204&lt;&gt;"")),IF(B_Drainage!$E$5:$E$204="-","",1)),"")</f>
        <v/>
      </c>
      <c r="U306" s="181" t="str">
        <f>IFERROR(LOOKUP(2,1/((B_Drainage!$A$5:$A$204&lt;&gt;"")*(B_Drainage!$A$5:$A$204&lt;=$B306)*(B_Drainage!$B$5:$B$204&gt;$B306)*(B_Drainage!$E$5:$E$204&lt;&gt;"")),IF(B_Drainage!$E$5:$E$204="-","",B_Drainage!$E$5:$E$204)),"")</f>
        <v/>
      </c>
      <c r="V306" s="181" t="str">
        <f>IFERROR(LOOKUP(2,1/((B_Drainage!$A$5:$A$204&lt;&gt;"")*(B_Drainage!$A$5:$A$204&lt;=$B306)*(B_Drainage!$B$5:$B$204&gt;$B306)*(B_Drainage!$F$5:$F$204&lt;&gt;"")),IF(B_Drainage!$F$5:$F$204="-","",1)),"")</f>
        <v/>
      </c>
      <c r="W306" s="181" t="str">
        <f>IFERROR(LOOKUP(2,1/((B_Drainage!$A$5:$A$204&lt;&gt;"")*(B_Drainage!$A$5:$A$204&lt;=$B306)*(B_Drainage!$B$5:$B$204&gt;$B306)*(B_Drainage!$F$5:$F$204&lt;&gt;"")),IF(B_Drainage!$F$5:$F$204="-","",B_Drainage!$F$5:$F$204)),"")</f>
        <v/>
      </c>
      <c r="X306" s="181" t="str">
        <f>IFERROR(LOOKUP(2,1/((B_Drainage!$A$5:$A$204&lt;&gt;"")*(B_Drainage!$A$5:$A$204&lt;=$B306)*(B_Drainage!$B$5:$B$204&gt;$B306)*(B_Drainage!$G$5:$G$204&lt;&gt;"")),IF(UPPER(B_Drainage!$G$5:$G$204)="Y",1,"")),"")</f>
        <v/>
      </c>
      <c r="Y306" s="181" t="str">
        <f>IFERROR(LOOKUP(2,1/((B_Drainage!$A$5:$A$204&lt;&gt;"")*(B_Drainage!$A$5:$A$204&lt;=$B306)*(B_Drainage!$B$5:$B$204&gt;$B306)*(B_Drainage!$H$5:$H$204&lt;&gt;"")),IF(UPPER(B_Drainage!$H$5:$H$204)="Y",1,"")),"")</f>
        <v/>
      </c>
      <c r="Z306" s="181" t="str">
        <f>IFERROR(LOOKUP(2,1/((B_Drainage!$A$5:$A$204&lt;&gt;"")*(B_Drainage!$A$5:$A$204&lt;=$B306)*(B_Drainage!$B$5:$B$204&gt;$B306)*(B_Drainage!$I$5:$I$204&lt;&gt;"")),IF(UPPER(B_Drainage!$I$5:$I$204)="Y",1,"")),"")</f>
        <v/>
      </c>
      <c r="AA306" s="181" t="str">
        <f>IFERROR(LOOKUP(2,1/((B_Drainage!$A$5:$A$204&lt;&gt;"")*(B_Drainage!$A$5:$A$204&lt;=$B306)*(B_Drainage!$B$5:$B$204&gt;$B306)*(B_Drainage!$J$5:$J$204&lt;&gt;"")),IF(UPPER(B_Drainage!$J$5:$J$204)="Y",1,"")),"")</f>
        <v/>
      </c>
      <c r="AB306" s="182" t="str">
        <f>IFERROR(LOOKUP(2,1/((B_Drainage!$A$5:$A$204&lt;&gt;"")*(B_Drainage!$A$5:$A$204&lt;=$B306)*(B_Drainage!$B$5:$B$204&gt;$B306)*(B_Drainage!$K$5:$K$204&lt;&gt;"")),IF(B_Drainage!$K$5:$K$204="-","",B_Drainage!$K$5:$K$204)),"")</f>
        <v/>
      </c>
      <c r="AC306" s="182" t="str">
        <f>IFERROR(LOOKUP(2,1/((B_Drainage!$A$5:$A$204&lt;&gt;"")*(B_Drainage!$A$5:$A$204&lt;=$B306)*(B_Drainage!$B$5:$B$204&gt;$B306)*(B_Drainage!$L$5:$L$204&lt;&gt;"")),IF(B_Drainage!$L$5:$L$204="-","",B_Drainage!$L$5:$L$204)),"")</f>
        <v/>
      </c>
      <c r="AD306" s="182" t="str">
        <f>IFERROR(LOOKUP(2,1/((D_Points!$A$5:$A$204&lt;&gt;"")*(D_Points!$A$5:$A$204&gt;=$B306)*(D_Points!$A$5:$A$204&lt;$B306+P_Interval)*(UPPER(TRIM(D_Points!$B$5:$B$204))="TURNOUT_L")*(D_Points!$H$5:$H$204&lt;&gt;"")),D_Points!$H$5:$H$204),"")</f>
        <v/>
      </c>
      <c r="AE306" s="182" t="str">
        <f>IFERROR(LOOKUP(2,1/((D_Points!$A$5:$A$204&lt;&gt;"")*(D_Points!$A$5:$A$204&gt;=$B306)*(D_Points!$A$5:$A$204&lt;$B306+P_Interval)*(UPPER(TRIM(D_Points!$B$5:$B$204))="TURNOUT_R")*(D_Points!$H$5:$H$204&lt;&gt;"")),D_Points!$H$5:$H$204),"")</f>
        <v/>
      </c>
      <c r="AF306" s="181" t="str">
        <f>IFERROR(LOOKUP(2,1/((B_Drainage!$A$5:$A$204&lt;&gt;"")*(B_Drainage!$A$5:$A$204&lt;=$B306)*(B_Drainage!$B$5:$B$204&gt;$B306)*(B_Drainage!$M$5:$M$204&lt;&gt;"")),IF(UPPER(B_Drainage!$M$5:$M$204)="Y",1,"")),"")</f>
        <v/>
      </c>
      <c r="AG306" s="181" t="str">
        <f>IFERROR(LOOKUP(2,1/((B_Drainage!$A$5:$A$204&lt;&gt;"")*(B_Drainage!$A$5:$A$204&lt;=$B306)*(B_Drainage!$B$5:$B$204&gt;$B306)*(B_Drainage!$N$5:$N$204&lt;&gt;"")),IF(UPPER(B_Drainage!$N$5:$N$204)="Y",1,"")),"")</f>
        <v/>
      </c>
      <c r="AH306" s="181" t="str">
        <f t="shared" si="32"/>
        <v/>
      </c>
      <c r="AI306" s="181" t="str">
        <f t="shared" si="33"/>
        <v/>
      </c>
      <c r="AJ306" s="181" t="str">
        <f t="shared" si="34"/>
        <v/>
      </c>
      <c r="AK306" s="181" t="str">
        <f t="shared" si="35"/>
        <v/>
      </c>
      <c r="AL306" s="181" t="str">
        <f t="shared" si="36"/>
        <v/>
      </c>
      <c r="AM306" s="181" t="str">
        <f t="shared" si="37"/>
        <v/>
      </c>
      <c r="AN306" s="181" t="str">
        <f t="shared" si="38"/>
        <v/>
      </c>
      <c r="AO306" s="192" t="str">
        <f t="shared" si="39"/>
        <v/>
      </c>
      <c r="AQ306" t="str">
        <f>IFERROR(LOOKUP(2,1/((C_Pavement!$A$5:$A$204&lt;&gt;"")*(C_Pavement!$A$5:$A$204&lt;=$B306)*(C_Pavement!$B$5:$B$204&gt;$B306)*(C_Pavement!$C$5:$C$204&lt;&gt;"")),ROW(C_Pavement!$C$5:$C$204)-4),"")</f>
        <v/>
      </c>
      <c r="AR306" t="str">
        <f>IF($AQ306="","",UPPER(TRIM(INDEX(C_Pavement!$C$5:$C$204,$AQ306))))</f>
        <v/>
      </c>
      <c r="AS306" t="str">
        <f>IF($AR306="","",IFERROR(MATCH($AR306,E_Rules!$A$5:$A$9,0),""))</f>
        <v/>
      </c>
      <c r="AT306" t="str">
        <f>IF($AQ306="","",IF(INDEX(C_Pavement!$D$5:$D$204,$AQ306)&lt;&gt;"",UPPER(TRIM(INDEX(C_Pavement!$D$5:$D$204,$AQ306))),IF($AS306="","",INDEX(E_Rules!$C$5:$C$9,$AS306))))</f>
        <v/>
      </c>
      <c r="AU306" t="str">
        <f>IF($AQ306="","",IF(INDEX(C_Pavement!$E$5:$E$204,$AQ306)&lt;&gt;"",IF(INDEX(C_Pavement!$E$5:$E$204,$AQ306)="-","",INDEX(C_Pavement!$E$5:$E$204,$AQ306)),IF($AS306="","",INDEX(E_Rules!$D$5:$D$9,$AS306))))</f>
        <v/>
      </c>
      <c r="AV306" t="str">
        <f>IF($AQ306="","",IF(INDEX(C_Pavement!$F$5:$F$204,$AQ306)&lt;&gt;"",IF(INDEX(C_Pavement!$F$5:$F$204,$AQ306)="-","",INDEX(C_Pavement!$F$5:$F$204,$AQ306)),IF($AS306="","",INDEX(E_Rules!$E$5:$E$9,$AS306))))</f>
        <v/>
      </c>
      <c r="AW306" t="str">
        <f>IF($AQ306="","",IF(INDEX(C_Pavement!$G$5:$G$204,$AQ306)&lt;&gt;"",IF(INDEX(C_Pavement!$G$5:$G$204,$AQ306)="-","",INDEX(C_Pavement!$G$5:$G$204,$AQ306)),IF($AS306="","",INDEX(E_Rules!$F$5:$F$9,$AS306))))</f>
        <v/>
      </c>
      <c r="AX306" t="str">
        <f>IF($AQ306="","",IF(INDEX(C_Pavement!$H$5:$H$204,$AQ306)&lt;&gt;"",IF(INDEX(C_Pavement!$H$5:$H$204,$AQ306)="-","",INDEX(C_Pavement!$H$5:$H$204,$AQ306)),IF($AS306="","",INDEX(E_Rules!$G$5:$G$9,$AS306))))</f>
        <v/>
      </c>
      <c r="AY306" t="str">
        <f>IF($AQ306="","",IF(INDEX(C_Pavement!$I$5:$I$204,$AQ306)&lt;&gt;"",IF(INDEX(C_Pavement!$I$5:$I$204,$AQ306)="-","",INDEX(C_Pavement!$I$5:$I$204,$AQ306)),IF($AS306="","",INDEX(E_Rules!$H$5:$H$9,$AS306))))</f>
        <v/>
      </c>
    </row>
    <row r="307" spans="1:51" ht="15.75" customHeight="1" x14ac:dyDescent="0.3">
      <c r="A307" s="189">
        <v>302</v>
      </c>
      <c r="B307" s="180">
        <v>15050</v>
      </c>
      <c r="C307" s="180" t="s">
        <v>613</v>
      </c>
      <c r="D307" s="181" t="str">
        <f>IFERROR(LOOKUP(2,1/((A_Corridor!$A$5:$A$204&lt;&gt;"")*(A_Corridor!$A$5:$A$204&lt;=$B307)*(A_Corridor!$B$5:$B$204&gt;$B307)*(A_Corridor!$C$5:$C$204&lt;&gt;"")),IF(UPPER(A_Corridor!$C$5:$C$204)="Y",1,"")),"")</f>
        <v/>
      </c>
      <c r="E307" s="181" t="str">
        <f>IFERROR(LOOKUP(2,1/((A_Corridor!$A$5:$A$204&lt;&gt;"")*(A_Corridor!$A$5:$A$204&lt;=$B307)*(A_Corridor!$B$5:$B$204&gt;$B307)*(A_Corridor!$D$5:$D$204&lt;&gt;"")),IF(A_Corridor!$D$5:$D$204="-","",UPPER(A_Corridor!$D$5:$D$204))),"")</f>
        <v/>
      </c>
      <c r="F307" s="181" t="str">
        <f>IFERROR(LOOKUP(2,1/((A_Corridor!$A$5:$A$204&lt;&gt;"")*(A_Corridor!$A$5:$A$204&lt;=$B307)*(A_Corridor!$B$5:$B$204&gt;$B307)*(A_Corridor!$E$5:$E$204&lt;&gt;"")),IF(A_Corridor!$E$5:$E$204="-","",1)),"")</f>
        <v/>
      </c>
      <c r="G307" s="182" t="str">
        <f>IFERROR(LOOKUP(2,1/((A_Corridor!$A$5:$A$204&lt;&gt;"")*(A_Corridor!$A$5:$A$204&lt;=$B307)*(A_Corridor!$B$5:$B$204&gt;$B307)*(A_Corridor!$E$5:$E$204&lt;&gt;"")),IF(A_Corridor!$E$5:$E$204="-","",A_Corridor!$E$5:$E$204)),"")</f>
        <v/>
      </c>
      <c r="H307" s="182" t="str">
        <f>IFERROR(LOOKUP(2,1/((D_Points!$A$5:$A$204&lt;&gt;"")*(D_Points!$A$5:$A$204&gt;=$B307)*(D_Points!$A$5:$A$204&lt;$B307+P_Interval)*(UPPER(TRIM(D_Points!$B$5:$B$204))="GULLY")*(D_Points!$H$5:$H$204&lt;&gt;"")),D_Points!$H$5:$H$204),"")</f>
        <v/>
      </c>
      <c r="I307" s="181" t="str">
        <f>IFERROR(LOOKUP(2,1/((A_Corridor!$A$5:$A$204&lt;&gt;"")*(A_Corridor!$A$5:$A$204&lt;=$B307)*(A_Corridor!$B$5:$B$204&gt;$B307)*(A_Corridor!$F$5:$F$204&lt;&gt;"")),IF(A_Corridor!$F$5:$F$204="-","",1)),"")</f>
        <v/>
      </c>
      <c r="J307" s="182" t="str">
        <f>IFERROR(LOOKUP(2,1/((A_Corridor!$A$5:$A$204&lt;&gt;"")*(A_Corridor!$A$5:$A$204&lt;=$B307)*(A_Corridor!$B$5:$B$204&gt;$B307)*(A_Corridor!$F$5:$F$204&lt;&gt;"")),IF(A_Corridor!$F$5:$F$204="-","",A_Corridor!$F$5:$F$204)),"")</f>
        <v/>
      </c>
      <c r="K307" s="182" t="str">
        <f>IFERROR(LOOKUP(2,1/((A_Corridor!$A$5:$A$204&lt;&gt;"")*(A_Corridor!$A$5:$A$204&lt;=$B307)*(A_Corridor!$B$5:$B$204&gt;$B307)*(A_Corridor!$G$5:$G$204&lt;&gt;"")),IF(A_Corridor!$G$5:$G$204="-","",A_Corridor!$G$5:$G$204)),"")</f>
        <v/>
      </c>
      <c r="L307" s="181" t="str">
        <f>IFERROR(LOOKUP(2,1/((A_Corridor!$A$5:$A$204&lt;&gt;"")*(A_Corridor!$A$5:$A$204&lt;=$B307)*(A_Corridor!$B$5:$B$204&gt;$B307)*(A_Corridor!$H$5:$H$204&lt;&gt;"")),IF(A_Corridor!$H$5:$H$204="-","",1)),"")</f>
        <v/>
      </c>
      <c r="M307" s="182" t="str">
        <f>IFERROR(LOOKUP(2,1/((A_Corridor!$A$5:$A$204&lt;&gt;"")*(A_Corridor!$A$5:$A$204&lt;=$B307)*(A_Corridor!$B$5:$B$204&gt;$B307)*(A_Corridor!$H$5:$H$204&lt;&gt;"")),IF(A_Corridor!$H$5:$H$204="-","",A_Corridor!$H$5:$H$204)),"")</f>
        <v/>
      </c>
      <c r="N307" s="182" t="str">
        <f>IFERROR(LOOKUP(2,1/((A_Corridor!$A$5:$A$204&lt;&gt;"")*(A_Corridor!$A$5:$A$204&lt;=$B307)*(A_Corridor!$B$5:$B$204&gt;$B307)*(A_Corridor!$I$5:$I$204&lt;&gt;"")),IF(A_Corridor!$I$5:$I$204="-","",A_Corridor!$I$5:$I$204)),"")</f>
        <v/>
      </c>
      <c r="O307" s="182" t="str">
        <f>IFERROR(LOOKUP(2,1/((D_Points!$A$5:$A$204&lt;&gt;"")*(D_Points!$A$5:$A$204&gt;=$B307)*(D_Points!$A$5:$A$204&lt;$B307+P_Interval)*(UPPER(TRIM(D_Points!$B$5:$B$204))="PITCHING")*(D_Points!$H$5:$H$204&lt;&gt;"")),D_Points!$H$5:$H$204),"")</f>
        <v/>
      </c>
      <c r="P307" s="181" t="str">
        <f>IFERROR(LOOKUP(2,1/((B_Drainage!$A$5:$A$204&lt;&gt;"")*(B_Drainage!$A$5:$A$204&lt;=$B307)*(B_Drainage!$B$5:$B$204&gt;$B307)*(B_Drainage!$C$5:$C$204&lt;&gt;"")),IF(B_Drainage!$C$5:$C$204="-","",UPPER(B_Drainage!$C$5:$C$204))),"")</f>
        <v/>
      </c>
      <c r="Q307" s="181" t="str">
        <f>IFERROR(LOOKUP(2,1/((B_Drainage!$A$5:$A$204&lt;&gt;"")*(B_Drainage!$A$5:$A$204&lt;=$B307)*(B_Drainage!$B$5:$B$204&gt;$B307)*(B_Drainage!$D$5:$D$204&lt;&gt;"")),IF(B_Drainage!$D$5:$D$204="-","",UPPER(B_Drainage!$D$5:$D$204))),"")</f>
        <v/>
      </c>
      <c r="R307" s="182" t="str">
        <f>IFERROR(LOOKUP(2,1/((D_Points!$A$5:$A$204&lt;&gt;"")*(D_Points!$A$5:$A$204&gt;=$B307)*(D_Points!$A$5:$A$204&lt;$B307+P_Interval)*(RIGHT(UPPER(TRIM(D_Points!$B$5:$B$204)),8)="_CULVERT")),IF(LEFT(UPPER(TRIM(D_Points!$B$5:$B$204)),2)="EX",1,IF(LEFT(UPPER(TRIM(D_Points!$B$5:$B$204)),2)="PR",2,3))),"")</f>
        <v/>
      </c>
      <c r="S307" s="182" t="str">
        <f>IFERROR(LOOKUP(2,1/((D_Points!$A$5:$A$204&lt;&gt;"")*(D_Points!$A$5:$A$204&gt;=$B307)*(D_Points!$A$5:$A$204&lt;$B307+P_Interval)*(RIGHT(UPPER(TRIM(D_Points!$B$5:$B$204)),7)="_BRIDGE")),IF(LEFT(UPPER(TRIM(D_Points!$B$5:$B$204)),2)="EX",1,IF(LEFT(UPPER(TRIM(D_Points!$B$5:$B$204)),2)="PR",2,2))),"")</f>
        <v/>
      </c>
      <c r="T307" s="181" t="str">
        <f>IFERROR(LOOKUP(2,1/((B_Drainage!$A$5:$A$204&lt;&gt;"")*(B_Drainage!$A$5:$A$204&lt;=$B307)*(B_Drainage!$B$5:$B$204&gt;$B307)*(B_Drainage!$E$5:$E$204&lt;&gt;"")),IF(B_Drainage!$E$5:$E$204="-","",1)),"")</f>
        <v/>
      </c>
      <c r="U307" s="181" t="str">
        <f>IFERROR(LOOKUP(2,1/((B_Drainage!$A$5:$A$204&lt;&gt;"")*(B_Drainage!$A$5:$A$204&lt;=$B307)*(B_Drainage!$B$5:$B$204&gt;$B307)*(B_Drainage!$E$5:$E$204&lt;&gt;"")),IF(B_Drainage!$E$5:$E$204="-","",B_Drainage!$E$5:$E$204)),"")</f>
        <v/>
      </c>
      <c r="V307" s="181" t="str">
        <f>IFERROR(LOOKUP(2,1/((B_Drainage!$A$5:$A$204&lt;&gt;"")*(B_Drainage!$A$5:$A$204&lt;=$B307)*(B_Drainage!$B$5:$B$204&gt;$B307)*(B_Drainage!$F$5:$F$204&lt;&gt;"")),IF(B_Drainage!$F$5:$F$204="-","",1)),"")</f>
        <v/>
      </c>
      <c r="W307" s="181" t="str">
        <f>IFERROR(LOOKUP(2,1/((B_Drainage!$A$5:$A$204&lt;&gt;"")*(B_Drainage!$A$5:$A$204&lt;=$B307)*(B_Drainage!$B$5:$B$204&gt;$B307)*(B_Drainage!$F$5:$F$204&lt;&gt;"")),IF(B_Drainage!$F$5:$F$204="-","",B_Drainage!$F$5:$F$204)),"")</f>
        <v/>
      </c>
      <c r="X307" s="181" t="str">
        <f>IFERROR(LOOKUP(2,1/((B_Drainage!$A$5:$A$204&lt;&gt;"")*(B_Drainage!$A$5:$A$204&lt;=$B307)*(B_Drainage!$B$5:$B$204&gt;$B307)*(B_Drainage!$G$5:$G$204&lt;&gt;"")),IF(UPPER(B_Drainage!$G$5:$G$204)="Y",1,"")),"")</f>
        <v/>
      </c>
      <c r="Y307" s="181" t="str">
        <f>IFERROR(LOOKUP(2,1/((B_Drainage!$A$5:$A$204&lt;&gt;"")*(B_Drainage!$A$5:$A$204&lt;=$B307)*(B_Drainage!$B$5:$B$204&gt;$B307)*(B_Drainage!$H$5:$H$204&lt;&gt;"")),IF(UPPER(B_Drainage!$H$5:$H$204)="Y",1,"")),"")</f>
        <v/>
      </c>
      <c r="Z307" s="181" t="str">
        <f>IFERROR(LOOKUP(2,1/((B_Drainage!$A$5:$A$204&lt;&gt;"")*(B_Drainage!$A$5:$A$204&lt;=$B307)*(B_Drainage!$B$5:$B$204&gt;$B307)*(B_Drainage!$I$5:$I$204&lt;&gt;"")),IF(UPPER(B_Drainage!$I$5:$I$204)="Y",1,"")),"")</f>
        <v/>
      </c>
      <c r="AA307" s="181" t="str">
        <f>IFERROR(LOOKUP(2,1/((B_Drainage!$A$5:$A$204&lt;&gt;"")*(B_Drainage!$A$5:$A$204&lt;=$B307)*(B_Drainage!$B$5:$B$204&gt;$B307)*(B_Drainage!$J$5:$J$204&lt;&gt;"")),IF(UPPER(B_Drainage!$J$5:$J$204)="Y",1,"")),"")</f>
        <v/>
      </c>
      <c r="AB307" s="182" t="str">
        <f>IFERROR(LOOKUP(2,1/((B_Drainage!$A$5:$A$204&lt;&gt;"")*(B_Drainage!$A$5:$A$204&lt;=$B307)*(B_Drainage!$B$5:$B$204&gt;$B307)*(B_Drainage!$K$5:$K$204&lt;&gt;"")),IF(B_Drainage!$K$5:$K$204="-","",B_Drainage!$K$5:$K$204)),"")</f>
        <v/>
      </c>
      <c r="AC307" s="182" t="str">
        <f>IFERROR(LOOKUP(2,1/((B_Drainage!$A$5:$A$204&lt;&gt;"")*(B_Drainage!$A$5:$A$204&lt;=$B307)*(B_Drainage!$B$5:$B$204&gt;$B307)*(B_Drainage!$L$5:$L$204&lt;&gt;"")),IF(B_Drainage!$L$5:$L$204="-","",B_Drainage!$L$5:$L$204)),"")</f>
        <v/>
      </c>
      <c r="AD307" s="182" t="str">
        <f>IFERROR(LOOKUP(2,1/((D_Points!$A$5:$A$204&lt;&gt;"")*(D_Points!$A$5:$A$204&gt;=$B307)*(D_Points!$A$5:$A$204&lt;$B307+P_Interval)*(UPPER(TRIM(D_Points!$B$5:$B$204))="TURNOUT_L")*(D_Points!$H$5:$H$204&lt;&gt;"")),D_Points!$H$5:$H$204),"")</f>
        <v/>
      </c>
      <c r="AE307" s="182" t="str">
        <f>IFERROR(LOOKUP(2,1/((D_Points!$A$5:$A$204&lt;&gt;"")*(D_Points!$A$5:$A$204&gt;=$B307)*(D_Points!$A$5:$A$204&lt;$B307+P_Interval)*(UPPER(TRIM(D_Points!$B$5:$B$204))="TURNOUT_R")*(D_Points!$H$5:$H$204&lt;&gt;"")),D_Points!$H$5:$H$204),"")</f>
        <v/>
      </c>
      <c r="AF307" s="181" t="str">
        <f>IFERROR(LOOKUP(2,1/((B_Drainage!$A$5:$A$204&lt;&gt;"")*(B_Drainage!$A$5:$A$204&lt;=$B307)*(B_Drainage!$B$5:$B$204&gt;$B307)*(B_Drainage!$M$5:$M$204&lt;&gt;"")),IF(UPPER(B_Drainage!$M$5:$M$204)="Y",1,"")),"")</f>
        <v/>
      </c>
      <c r="AG307" s="181" t="str">
        <f>IFERROR(LOOKUP(2,1/((B_Drainage!$A$5:$A$204&lt;&gt;"")*(B_Drainage!$A$5:$A$204&lt;=$B307)*(B_Drainage!$B$5:$B$204&gt;$B307)*(B_Drainage!$N$5:$N$204&lt;&gt;"")),IF(UPPER(B_Drainage!$N$5:$N$204)="Y",1,"")),"")</f>
        <v/>
      </c>
      <c r="AH307" s="181" t="str">
        <f t="shared" si="32"/>
        <v/>
      </c>
      <c r="AI307" s="181" t="str">
        <f t="shared" si="33"/>
        <v/>
      </c>
      <c r="AJ307" s="181" t="str">
        <f t="shared" si="34"/>
        <v/>
      </c>
      <c r="AK307" s="181" t="str">
        <f t="shared" si="35"/>
        <v/>
      </c>
      <c r="AL307" s="181" t="str">
        <f t="shared" si="36"/>
        <v/>
      </c>
      <c r="AM307" s="181" t="str">
        <f t="shared" si="37"/>
        <v/>
      </c>
      <c r="AN307" s="181" t="str">
        <f t="shared" si="38"/>
        <v/>
      </c>
      <c r="AO307" s="192" t="str">
        <f t="shared" si="39"/>
        <v/>
      </c>
      <c r="AQ307" t="str">
        <f>IFERROR(LOOKUP(2,1/((C_Pavement!$A$5:$A$204&lt;&gt;"")*(C_Pavement!$A$5:$A$204&lt;=$B307)*(C_Pavement!$B$5:$B$204&gt;$B307)*(C_Pavement!$C$5:$C$204&lt;&gt;"")),ROW(C_Pavement!$C$5:$C$204)-4),"")</f>
        <v/>
      </c>
      <c r="AR307" t="str">
        <f>IF($AQ307="","",UPPER(TRIM(INDEX(C_Pavement!$C$5:$C$204,$AQ307))))</f>
        <v/>
      </c>
      <c r="AS307" t="str">
        <f>IF($AR307="","",IFERROR(MATCH($AR307,E_Rules!$A$5:$A$9,0),""))</f>
        <v/>
      </c>
      <c r="AT307" t="str">
        <f>IF($AQ307="","",IF(INDEX(C_Pavement!$D$5:$D$204,$AQ307)&lt;&gt;"",UPPER(TRIM(INDEX(C_Pavement!$D$5:$D$204,$AQ307))),IF($AS307="","",INDEX(E_Rules!$C$5:$C$9,$AS307))))</f>
        <v/>
      </c>
      <c r="AU307" t="str">
        <f>IF($AQ307="","",IF(INDEX(C_Pavement!$E$5:$E$204,$AQ307)&lt;&gt;"",IF(INDEX(C_Pavement!$E$5:$E$204,$AQ307)="-","",INDEX(C_Pavement!$E$5:$E$204,$AQ307)),IF($AS307="","",INDEX(E_Rules!$D$5:$D$9,$AS307))))</f>
        <v/>
      </c>
      <c r="AV307" t="str">
        <f>IF($AQ307="","",IF(INDEX(C_Pavement!$F$5:$F$204,$AQ307)&lt;&gt;"",IF(INDEX(C_Pavement!$F$5:$F$204,$AQ307)="-","",INDEX(C_Pavement!$F$5:$F$204,$AQ307)),IF($AS307="","",INDEX(E_Rules!$E$5:$E$9,$AS307))))</f>
        <v/>
      </c>
      <c r="AW307" t="str">
        <f>IF($AQ307="","",IF(INDEX(C_Pavement!$G$5:$G$204,$AQ307)&lt;&gt;"",IF(INDEX(C_Pavement!$G$5:$G$204,$AQ307)="-","",INDEX(C_Pavement!$G$5:$G$204,$AQ307)),IF($AS307="","",INDEX(E_Rules!$F$5:$F$9,$AS307))))</f>
        <v/>
      </c>
      <c r="AX307" t="str">
        <f>IF($AQ307="","",IF(INDEX(C_Pavement!$H$5:$H$204,$AQ307)&lt;&gt;"",IF(INDEX(C_Pavement!$H$5:$H$204,$AQ307)="-","",INDEX(C_Pavement!$H$5:$H$204,$AQ307)),IF($AS307="","",INDEX(E_Rules!$G$5:$G$9,$AS307))))</f>
        <v/>
      </c>
      <c r="AY307" t="str">
        <f>IF($AQ307="","",IF(INDEX(C_Pavement!$I$5:$I$204,$AQ307)&lt;&gt;"",IF(INDEX(C_Pavement!$I$5:$I$204,$AQ307)="-","",INDEX(C_Pavement!$I$5:$I$204,$AQ307)),IF($AS307="","",INDEX(E_Rules!$H$5:$H$9,$AS307))))</f>
        <v/>
      </c>
    </row>
    <row r="308" spans="1:51" ht="15.75" customHeight="1" x14ac:dyDescent="0.3">
      <c r="A308" s="189">
        <v>303</v>
      </c>
      <c r="B308" s="180">
        <v>15100</v>
      </c>
      <c r="C308" s="180" t="s">
        <v>614</v>
      </c>
      <c r="D308" s="181" t="str">
        <f>IFERROR(LOOKUP(2,1/((A_Corridor!$A$5:$A$204&lt;&gt;"")*(A_Corridor!$A$5:$A$204&lt;=$B308)*(A_Corridor!$B$5:$B$204&gt;$B308)*(A_Corridor!$C$5:$C$204&lt;&gt;"")),IF(UPPER(A_Corridor!$C$5:$C$204)="Y",1,"")),"")</f>
        <v/>
      </c>
      <c r="E308" s="181" t="str">
        <f>IFERROR(LOOKUP(2,1/((A_Corridor!$A$5:$A$204&lt;&gt;"")*(A_Corridor!$A$5:$A$204&lt;=$B308)*(A_Corridor!$B$5:$B$204&gt;$B308)*(A_Corridor!$D$5:$D$204&lt;&gt;"")),IF(A_Corridor!$D$5:$D$204="-","",UPPER(A_Corridor!$D$5:$D$204))),"")</f>
        <v/>
      </c>
      <c r="F308" s="181" t="str">
        <f>IFERROR(LOOKUP(2,1/((A_Corridor!$A$5:$A$204&lt;&gt;"")*(A_Corridor!$A$5:$A$204&lt;=$B308)*(A_Corridor!$B$5:$B$204&gt;$B308)*(A_Corridor!$E$5:$E$204&lt;&gt;"")),IF(A_Corridor!$E$5:$E$204="-","",1)),"")</f>
        <v/>
      </c>
      <c r="G308" s="182" t="str">
        <f>IFERROR(LOOKUP(2,1/((A_Corridor!$A$5:$A$204&lt;&gt;"")*(A_Corridor!$A$5:$A$204&lt;=$B308)*(A_Corridor!$B$5:$B$204&gt;$B308)*(A_Corridor!$E$5:$E$204&lt;&gt;"")),IF(A_Corridor!$E$5:$E$204="-","",A_Corridor!$E$5:$E$204)),"")</f>
        <v/>
      </c>
      <c r="H308" s="182" t="str">
        <f>IFERROR(LOOKUP(2,1/((D_Points!$A$5:$A$204&lt;&gt;"")*(D_Points!$A$5:$A$204&gt;=$B308)*(D_Points!$A$5:$A$204&lt;$B308+P_Interval)*(UPPER(TRIM(D_Points!$B$5:$B$204))="GULLY")*(D_Points!$H$5:$H$204&lt;&gt;"")),D_Points!$H$5:$H$204),"")</f>
        <v/>
      </c>
      <c r="I308" s="181" t="str">
        <f>IFERROR(LOOKUP(2,1/((A_Corridor!$A$5:$A$204&lt;&gt;"")*(A_Corridor!$A$5:$A$204&lt;=$B308)*(A_Corridor!$B$5:$B$204&gt;$B308)*(A_Corridor!$F$5:$F$204&lt;&gt;"")),IF(A_Corridor!$F$5:$F$204="-","",1)),"")</f>
        <v/>
      </c>
      <c r="J308" s="182" t="str">
        <f>IFERROR(LOOKUP(2,1/((A_Corridor!$A$5:$A$204&lt;&gt;"")*(A_Corridor!$A$5:$A$204&lt;=$B308)*(A_Corridor!$B$5:$B$204&gt;$B308)*(A_Corridor!$F$5:$F$204&lt;&gt;"")),IF(A_Corridor!$F$5:$F$204="-","",A_Corridor!$F$5:$F$204)),"")</f>
        <v/>
      </c>
      <c r="K308" s="182" t="str">
        <f>IFERROR(LOOKUP(2,1/((A_Corridor!$A$5:$A$204&lt;&gt;"")*(A_Corridor!$A$5:$A$204&lt;=$B308)*(A_Corridor!$B$5:$B$204&gt;$B308)*(A_Corridor!$G$5:$G$204&lt;&gt;"")),IF(A_Corridor!$G$5:$G$204="-","",A_Corridor!$G$5:$G$204)),"")</f>
        <v/>
      </c>
      <c r="L308" s="181" t="str">
        <f>IFERROR(LOOKUP(2,1/((A_Corridor!$A$5:$A$204&lt;&gt;"")*(A_Corridor!$A$5:$A$204&lt;=$B308)*(A_Corridor!$B$5:$B$204&gt;$B308)*(A_Corridor!$H$5:$H$204&lt;&gt;"")),IF(A_Corridor!$H$5:$H$204="-","",1)),"")</f>
        <v/>
      </c>
      <c r="M308" s="182" t="str">
        <f>IFERROR(LOOKUP(2,1/((A_Corridor!$A$5:$A$204&lt;&gt;"")*(A_Corridor!$A$5:$A$204&lt;=$B308)*(A_Corridor!$B$5:$B$204&gt;$B308)*(A_Corridor!$H$5:$H$204&lt;&gt;"")),IF(A_Corridor!$H$5:$H$204="-","",A_Corridor!$H$5:$H$204)),"")</f>
        <v/>
      </c>
      <c r="N308" s="182" t="str">
        <f>IFERROR(LOOKUP(2,1/((A_Corridor!$A$5:$A$204&lt;&gt;"")*(A_Corridor!$A$5:$A$204&lt;=$B308)*(A_Corridor!$B$5:$B$204&gt;$B308)*(A_Corridor!$I$5:$I$204&lt;&gt;"")),IF(A_Corridor!$I$5:$I$204="-","",A_Corridor!$I$5:$I$204)),"")</f>
        <v/>
      </c>
      <c r="O308" s="182" t="str">
        <f>IFERROR(LOOKUP(2,1/((D_Points!$A$5:$A$204&lt;&gt;"")*(D_Points!$A$5:$A$204&gt;=$B308)*(D_Points!$A$5:$A$204&lt;$B308+P_Interval)*(UPPER(TRIM(D_Points!$B$5:$B$204))="PITCHING")*(D_Points!$H$5:$H$204&lt;&gt;"")),D_Points!$H$5:$H$204),"")</f>
        <v/>
      </c>
      <c r="P308" s="181" t="str">
        <f>IFERROR(LOOKUP(2,1/((B_Drainage!$A$5:$A$204&lt;&gt;"")*(B_Drainage!$A$5:$A$204&lt;=$B308)*(B_Drainage!$B$5:$B$204&gt;$B308)*(B_Drainage!$C$5:$C$204&lt;&gt;"")),IF(B_Drainage!$C$5:$C$204="-","",UPPER(B_Drainage!$C$5:$C$204))),"")</f>
        <v/>
      </c>
      <c r="Q308" s="181" t="str">
        <f>IFERROR(LOOKUP(2,1/((B_Drainage!$A$5:$A$204&lt;&gt;"")*(B_Drainage!$A$5:$A$204&lt;=$B308)*(B_Drainage!$B$5:$B$204&gt;$B308)*(B_Drainage!$D$5:$D$204&lt;&gt;"")),IF(B_Drainage!$D$5:$D$204="-","",UPPER(B_Drainage!$D$5:$D$204))),"")</f>
        <v/>
      </c>
      <c r="R308" s="182" t="str">
        <f>IFERROR(LOOKUP(2,1/((D_Points!$A$5:$A$204&lt;&gt;"")*(D_Points!$A$5:$A$204&gt;=$B308)*(D_Points!$A$5:$A$204&lt;$B308+P_Interval)*(RIGHT(UPPER(TRIM(D_Points!$B$5:$B$204)),8)="_CULVERT")),IF(LEFT(UPPER(TRIM(D_Points!$B$5:$B$204)),2)="EX",1,IF(LEFT(UPPER(TRIM(D_Points!$B$5:$B$204)),2)="PR",2,3))),"")</f>
        <v/>
      </c>
      <c r="S308" s="182" t="str">
        <f>IFERROR(LOOKUP(2,1/((D_Points!$A$5:$A$204&lt;&gt;"")*(D_Points!$A$5:$A$204&gt;=$B308)*(D_Points!$A$5:$A$204&lt;$B308+P_Interval)*(RIGHT(UPPER(TRIM(D_Points!$B$5:$B$204)),7)="_BRIDGE")),IF(LEFT(UPPER(TRIM(D_Points!$B$5:$B$204)),2)="EX",1,IF(LEFT(UPPER(TRIM(D_Points!$B$5:$B$204)),2)="PR",2,2))),"")</f>
        <v/>
      </c>
      <c r="T308" s="181" t="str">
        <f>IFERROR(LOOKUP(2,1/((B_Drainage!$A$5:$A$204&lt;&gt;"")*(B_Drainage!$A$5:$A$204&lt;=$B308)*(B_Drainage!$B$5:$B$204&gt;$B308)*(B_Drainage!$E$5:$E$204&lt;&gt;"")),IF(B_Drainage!$E$5:$E$204="-","",1)),"")</f>
        <v/>
      </c>
      <c r="U308" s="181" t="str">
        <f>IFERROR(LOOKUP(2,1/((B_Drainage!$A$5:$A$204&lt;&gt;"")*(B_Drainage!$A$5:$A$204&lt;=$B308)*(B_Drainage!$B$5:$B$204&gt;$B308)*(B_Drainage!$E$5:$E$204&lt;&gt;"")),IF(B_Drainage!$E$5:$E$204="-","",B_Drainage!$E$5:$E$204)),"")</f>
        <v/>
      </c>
      <c r="V308" s="181" t="str">
        <f>IFERROR(LOOKUP(2,1/((B_Drainage!$A$5:$A$204&lt;&gt;"")*(B_Drainage!$A$5:$A$204&lt;=$B308)*(B_Drainage!$B$5:$B$204&gt;$B308)*(B_Drainage!$F$5:$F$204&lt;&gt;"")),IF(B_Drainage!$F$5:$F$204="-","",1)),"")</f>
        <v/>
      </c>
      <c r="W308" s="181" t="str">
        <f>IFERROR(LOOKUP(2,1/((B_Drainage!$A$5:$A$204&lt;&gt;"")*(B_Drainage!$A$5:$A$204&lt;=$B308)*(B_Drainage!$B$5:$B$204&gt;$B308)*(B_Drainage!$F$5:$F$204&lt;&gt;"")),IF(B_Drainage!$F$5:$F$204="-","",B_Drainage!$F$5:$F$204)),"")</f>
        <v/>
      </c>
      <c r="X308" s="181" t="str">
        <f>IFERROR(LOOKUP(2,1/((B_Drainage!$A$5:$A$204&lt;&gt;"")*(B_Drainage!$A$5:$A$204&lt;=$B308)*(B_Drainage!$B$5:$B$204&gt;$B308)*(B_Drainage!$G$5:$G$204&lt;&gt;"")),IF(UPPER(B_Drainage!$G$5:$G$204)="Y",1,"")),"")</f>
        <v/>
      </c>
      <c r="Y308" s="181" t="str">
        <f>IFERROR(LOOKUP(2,1/((B_Drainage!$A$5:$A$204&lt;&gt;"")*(B_Drainage!$A$5:$A$204&lt;=$B308)*(B_Drainage!$B$5:$B$204&gt;$B308)*(B_Drainage!$H$5:$H$204&lt;&gt;"")),IF(UPPER(B_Drainage!$H$5:$H$204)="Y",1,"")),"")</f>
        <v/>
      </c>
      <c r="Z308" s="181" t="str">
        <f>IFERROR(LOOKUP(2,1/((B_Drainage!$A$5:$A$204&lt;&gt;"")*(B_Drainage!$A$5:$A$204&lt;=$B308)*(B_Drainage!$B$5:$B$204&gt;$B308)*(B_Drainage!$I$5:$I$204&lt;&gt;"")),IF(UPPER(B_Drainage!$I$5:$I$204)="Y",1,"")),"")</f>
        <v/>
      </c>
      <c r="AA308" s="181" t="str">
        <f>IFERROR(LOOKUP(2,1/((B_Drainage!$A$5:$A$204&lt;&gt;"")*(B_Drainage!$A$5:$A$204&lt;=$B308)*(B_Drainage!$B$5:$B$204&gt;$B308)*(B_Drainage!$J$5:$J$204&lt;&gt;"")),IF(UPPER(B_Drainage!$J$5:$J$204)="Y",1,"")),"")</f>
        <v/>
      </c>
      <c r="AB308" s="182" t="str">
        <f>IFERROR(LOOKUP(2,1/((B_Drainage!$A$5:$A$204&lt;&gt;"")*(B_Drainage!$A$5:$A$204&lt;=$B308)*(B_Drainage!$B$5:$B$204&gt;$B308)*(B_Drainage!$K$5:$K$204&lt;&gt;"")),IF(B_Drainage!$K$5:$K$204="-","",B_Drainage!$K$5:$K$204)),"")</f>
        <v/>
      </c>
      <c r="AC308" s="182" t="str">
        <f>IFERROR(LOOKUP(2,1/((B_Drainage!$A$5:$A$204&lt;&gt;"")*(B_Drainage!$A$5:$A$204&lt;=$B308)*(B_Drainage!$B$5:$B$204&gt;$B308)*(B_Drainage!$L$5:$L$204&lt;&gt;"")),IF(B_Drainage!$L$5:$L$204="-","",B_Drainage!$L$5:$L$204)),"")</f>
        <v/>
      </c>
      <c r="AD308" s="182" t="str">
        <f>IFERROR(LOOKUP(2,1/((D_Points!$A$5:$A$204&lt;&gt;"")*(D_Points!$A$5:$A$204&gt;=$B308)*(D_Points!$A$5:$A$204&lt;$B308+P_Interval)*(UPPER(TRIM(D_Points!$B$5:$B$204))="TURNOUT_L")*(D_Points!$H$5:$H$204&lt;&gt;"")),D_Points!$H$5:$H$204),"")</f>
        <v/>
      </c>
      <c r="AE308" s="182" t="str">
        <f>IFERROR(LOOKUP(2,1/((D_Points!$A$5:$A$204&lt;&gt;"")*(D_Points!$A$5:$A$204&gt;=$B308)*(D_Points!$A$5:$A$204&lt;$B308+P_Interval)*(UPPER(TRIM(D_Points!$B$5:$B$204))="TURNOUT_R")*(D_Points!$H$5:$H$204&lt;&gt;"")),D_Points!$H$5:$H$204),"")</f>
        <v/>
      </c>
      <c r="AF308" s="181" t="str">
        <f>IFERROR(LOOKUP(2,1/((B_Drainage!$A$5:$A$204&lt;&gt;"")*(B_Drainage!$A$5:$A$204&lt;=$B308)*(B_Drainage!$B$5:$B$204&gt;$B308)*(B_Drainage!$M$5:$M$204&lt;&gt;"")),IF(UPPER(B_Drainage!$M$5:$M$204)="Y",1,"")),"")</f>
        <v/>
      </c>
      <c r="AG308" s="181" t="str">
        <f>IFERROR(LOOKUP(2,1/((B_Drainage!$A$5:$A$204&lt;&gt;"")*(B_Drainage!$A$5:$A$204&lt;=$B308)*(B_Drainage!$B$5:$B$204&gt;$B308)*(B_Drainage!$N$5:$N$204&lt;&gt;"")),IF(UPPER(B_Drainage!$N$5:$N$204)="Y",1,"")),"")</f>
        <v/>
      </c>
      <c r="AH308" s="181" t="str">
        <f t="shared" si="32"/>
        <v/>
      </c>
      <c r="AI308" s="181" t="str">
        <f t="shared" si="33"/>
        <v/>
      </c>
      <c r="AJ308" s="181" t="str">
        <f t="shared" si="34"/>
        <v/>
      </c>
      <c r="AK308" s="181" t="str">
        <f t="shared" si="35"/>
        <v/>
      </c>
      <c r="AL308" s="181" t="str">
        <f t="shared" si="36"/>
        <v/>
      </c>
      <c r="AM308" s="181" t="str">
        <f t="shared" si="37"/>
        <v/>
      </c>
      <c r="AN308" s="181" t="str">
        <f t="shared" si="38"/>
        <v/>
      </c>
      <c r="AO308" s="192" t="str">
        <f t="shared" si="39"/>
        <v/>
      </c>
      <c r="AQ308" t="str">
        <f>IFERROR(LOOKUP(2,1/((C_Pavement!$A$5:$A$204&lt;&gt;"")*(C_Pavement!$A$5:$A$204&lt;=$B308)*(C_Pavement!$B$5:$B$204&gt;$B308)*(C_Pavement!$C$5:$C$204&lt;&gt;"")),ROW(C_Pavement!$C$5:$C$204)-4),"")</f>
        <v/>
      </c>
      <c r="AR308" t="str">
        <f>IF($AQ308="","",UPPER(TRIM(INDEX(C_Pavement!$C$5:$C$204,$AQ308))))</f>
        <v/>
      </c>
      <c r="AS308" t="str">
        <f>IF($AR308="","",IFERROR(MATCH($AR308,E_Rules!$A$5:$A$9,0),""))</f>
        <v/>
      </c>
      <c r="AT308" t="str">
        <f>IF($AQ308="","",IF(INDEX(C_Pavement!$D$5:$D$204,$AQ308)&lt;&gt;"",UPPER(TRIM(INDEX(C_Pavement!$D$5:$D$204,$AQ308))),IF($AS308="","",INDEX(E_Rules!$C$5:$C$9,$AS308))))</f>
        <v/>
      </c>
      <c r="AU308" t="str">
        <f>IF($AQ308="","",IF(INDEX(C_Pavement!$E$5:$E$204,$AQ308)&lt;&gt;"",IF(INDEX(C_Pavement!$E$5:$E$204,$AQ308)="-","",INDEX(C_Pavement!$E$5:$E$204,$AQ308)),IF($AS308="","",INDEX(E_Rules!$D$5:$D$9,$AS308))))</f>
        <v/>
      </c>
      <c r="AV308" t="str">
        <f>IF($AQ308="","",IF(INDEX(C_Pavement!$F$5:$F$204,$AQ308)&lt;&gt;"",IF(INDEX(C_Pavement!$F$5:$F$204,$AQ308)="-","",INDEX(C_Pavement!$F$5:$F$204,$AQ308)),IF($AS308="","",INDEX(E_Rules!$E$5:$E$9,$AS308))))</f>
        <v/>
      </c>
      <c r="AW308" t="str">
        <f>IF($AQ308="","",IF(INDEX(C_Pavement!$G$5:$G$204,$AQ308)&lt;&gt;"",IF(INDEX(C_Pavement!$G$5:$G$204,$AQ308)="-","",INDEX(C_Pavement!$G$5:$G$204,$AQ308)),IF($AS308="","",INDEX(E_Rules!$F$5:$F$9,$AS308))))</f>
        <v/>
      </c>
      <c r="AX308" t="str">
        <f>IF($AQ308="","",IF(INDEX(C_Pavement!$H$5:$H$204,$AQ308)&lt;&gt;"",IF(INDEX(C_Pavement!$H$5:$H$204,$AQ308)="-","",INDEX(C_Pavement!$H$5:$H$204,$AQ308)),IF($AS308="","",INDEX(E_Rules!$G$5:$G$9,$AS308))))</f>
        <v/>
      </c>
      <c r="AY308" t="str">
        <f>IF($AQ308="","",IF(INDEX(C_Pavement!$I$5:$I$204,$AQ308)&lt;&gt;"",IF(INDEX(C_Pavement!$I$5:$I$204,$AQ308)="-","",INDEX(C_Pavement!$I$5:$I$204,$AQ308)),IF($AS308="","",INDEX(E_Rules!$H$5:$H$9,$AS308))))</f>
        <v/>
      </c>
    </row>
    <row r="309" spans="1:51" ht="15.75" customHeight="1" x14ac:dyDescent="0.3">
      <c r="A309" s="189">
        <v>304</v>
      </c>
      <c r="B309" s="180">
        <v>15150</v>
      </c>
      <c r="C309" s="180" t="s">
        <v>615</v>
      </c>
      <c r="D309" s="181" t="str">
        <f>IFERROR(LOOKUP(2,1/((A_Corridor!$A$5:$A$204&lt;&gt;"")*(A_Corridor!$A$5:$A$204&lt;=$B309)*(A_Corridor!$B$5:$B$204&gt;$B309)*(A_Corridor!$C$5:$C$204&lt;&gt;"")),IF(UPPER(A_Corridor!$C$5:$C$204)="Y",1,"")),"")</f>
        <v/>
      </c>
      <c r="E309" s="181" t="str">
        <f>IFERROR(LOOKUP(2,1/((A_Corridor!$A$5:$A$204&lt;&gt;"")*(A_Corridor!$A$5:$A$204&lt;=$B309)*(A_Corridor!$B$5:$B$204&gt;$B309)*(A_Corridor!$D$5:$D$204&lt;&gt;"")),IF(A_Corridor!$D$5:$D$204="-","",UPPER(A_Corridor!$D$5:$D$204))),"")</f>
        <v/>
      </c>
      <c r="F309" s="181" t="str">
        <f>IFERROR(LOOKUP(2,1/((A_Corridor!$A$5:$A$204&lt;&gt;"")*(A_Corridor!$A$5:$A$204&lt;=$B309)*(A_Corridor!$B$5:$B$204&gt;$B309)*(A_Corridor!$E$5:$E$204&lt;&gt;"")),IF(A_Corridor!$E$5:$E$204="-","",1)),"")</f>
        <v/>
      </c>
      <c r="G309" s="182" t="str">
        <f>IFERROR(LOOKUP(2,1/((A_Corridor!$A$5:$A$204&lt;&gt;"")*(A_Corridor!$A$5:$A$204&lt;=$B309)*(A_Corridor!$B$5:$B$204&gt;$B309)*(A_Corridor!$E$5:$E$204&lt;&gt;"")),IF(A_Corridor!$E$5:$E$204="-","",A_Corridor!$E$5:$E$204)),"")</f>
        <v/>
      </c>
      <c r="H309" s="182" t="str">
        <f>IFERROR(LOOKUP(2,1/((D_Points!$A$5:$A$204&lt;&gt;"")*(D_Points!$A$5:$A$204&gt;=$B309)*(D_Points!$A$5:$A$204&lt;$B309+P_Interval)*(UPPER(TRIM(D_Points!$B$5:$B$204))="GULLY")*(D_Points!$H$5:$H$204&lt;&gt;"")),D_Points!$H$5:$H$204),"")</f>
        <v/>
      </c>
      <c r="I309" s="181" t="str">
        <f>IFERROR(LOOKUP(2,1/((A_Corridor!$A$5:$A$204&lt;&gt;"")*(A_Corridor!$A$5:$A$204&lt;=$B309)*(A_Corridor!$B$5:$B$204&gt;$B309)*(A_Corridor!$F$5:$F$204&lt;&gt;"")),IF(A_Corridor!$F$5:$F$204="-","",1)),"")</f>
        <v/>
      </c>
      <c r="J309" s="182" t="str">
        <f>IFERROR(LOOKUP(2,1/((A_Corridor!$A$5:$A$204&lt;&gt;"")*(A_Corridor!$A$5:$A$204&lt;=$B309)*(A_Corridor!$B$5:$B$204&gt;$B309)*(A_Corridor!$F$5:$F$204&lt;&gt;"")),IF(A_Corridor!$F$5:$F$204="-","",A_Corridor!$F$5:$F$204)),"")</f>
        <v/>
      </c>
      <c r="K309" s="182" t="str">
        <f>IFERROR(LOOKUP(2,1/((A_Corridor!$A$5:$A$204&lt;&gt;"")*(A_Corridor!$A$5:$A$204&lt;=$B309)*(A_Corridor!$B$5:$B$204&gt;$B309)*(A_Corridor!$G$5:$G$204&lt;&gt;"")),IF(A_Corridor!$G$5:$G$204="-","",A_Corridor!$G$5:$G$204)),"")</f>
        <v/>
      </c>
      <c r="L309" s="181" t="str">
        <f>IFERROR(LOOKUP(2,1/((A_Corridor!$A$5:$A$204&lt;&gt;"")*(A_Corridor!$A$5:$A$204&lt;=$B309)*(A_Corridor!$B$5:$B$204&gt;$B309)*(A_Corridor!$H$5:$H$204&lt;&gt;"")),IF(A_Corridor!$H$5:$H$204="-","",1)),"")</f>
        <v/>
      </c>
      <c r="M309" s="182" t="str">
        <f>IFERROR(LOOKUP(2,1/((A_Corridor!$A$5:$A$204&lt;&gt;"")*(A_Corridor!$A$5:$A$204&lt;=$B309)*(A_Corridor!$B$5:$B$204&gt;$B309)*(A_Corridor!$H$5:$H$204&lt;&gt;"")),IF(A_Corridor!$H$5:$H$204="-","",A_Corridor!$H$5:$H$204)),"")</f>
        <v/>
      </c>
      <c r="N309" s="182" t="str">
        <f>IFERROR(LOOKUP(2,1/((A_Corridor!$A$5:$A$204&lt;&gt;"")*(A_Corridor!$A$5:$A$204&lt;=$B309)*(A_Corridor!$B$5:$B$204&gt;$B309)*(A_Corridor!$I$5:$I$204&lt;&gt;"")),IF(A_Corridor!$I$5:$I$204="-","",A_Corridor!$I$5:$I$204)),"")</f>
        <v/>
      </c>
      <c r="O309" s="182" t="str">
        <f>IFERROR(LOOKUP(2,1/((D_Points!$A$5:$A$204&lt;&gt;"")*(D_Points!$A$5:$A$204&gt;=$B309)*(D_Points!$A$5:$A$204&lt;$B309+P_Interval)*(UPPER(TRIM(D_Points!$B$5:$B$204))="PITCHING")*(D_Points!$H$5:$H$204&lt;&gt;"")),D_Points!$H$5:$H$204),"")</f>
        <v/>
      </c>
      <c r="P309" s="181" t="str">
        <f>IFERROR(LOOKUP(2,1/((B_Drainage!$A$5:$A$204&lt;&gt;"")*(B_Drainage!$A$5:$A$204&lt;=$B309)*(B_Drainage!$B$5:$B$204&gt;$B309)*(B_Drainage!$C$5:$C$204&lt;&gt;"")),IF(B_Drainage!$C$5:$C$204="-","",UPPER(B_Drainage!$C$5:$C$204))),"")</f>
        <v/>
      </c>
      <c r="Q309" s="181" t="str">
        <f>IFERROR(LOOKUP(2,1/((B_Drainage!$A$5:$A$204&lt;&gt;"")*(B_Drainage!$A$5:$A$204&lt;=$B309)*(B_Drainage!$B$5:$B$204&gt;$B309)*(B_Drainage!$D$5:$D$204&lt;&gt;"")),IF(B_Drainage!$D$5:$D$204="-","",UPPER(B_Drainage!$D$5:$D$204))),"")</f>
        <v/>
      </c>
      <c r="R309" s="182" t="str">
        <f>IFERROR(LOOKUP(2,1/((D_Points!$A$5:$A$204&lt;&gt;"")*(D_Points!$A$5:$A$204&gt;=$B309)*(D_Points!$A$5:$A$204&lt;$B309+P_Interval)*(RIGHT(UPPER(TRIM(D_Points!$B$5:$B$204)),8)="_CULVERT")),IF(LEFT(UPPER(TRIM(D_Points!$B$5:$B$204)),2)="EX",1,IF(LEFT(UPPER(TRIM(D_Points!$B$5:$B$204)),2)="PR",2,3))),"")</f>
        <v/>
      </c>
      <c r="S309" s="182" t="str">
        <f>IFERROR(LOOKUP(2,1/((D_Points!$A$5:$A$204&lt;&gt;"")*(D_Points!$A$5:$A$204&gt;=$B309)*(D_Points!$A$5:$A$204&lt;$B309+P_Interval)*(RIGHT(UPPER(TRIM(D_Points!$B$5:$B$204)),7)="_BRIDGE")),IF(LEFT(UPPER(TRIM(D_Points!$B$5:$B$204)),2)="EX",1,IF(LEFT(UPPER(TRIM(D_Points!$B$5:$B$204)),2)="PR",2,2))),"")</f>
        <v/>
      </c>
      <c r="T309" s="181" t="str">
        <f>IFERROR(LOOKUP(2,1/((B_Drainage!$A$5:$A$204&lt;&gt;"")*(B_Drainage!$A$5:$A$204&lt;=$B309)*(B_Drainage!$B$5:$B$204&gt;$B309)*(B_Drainage!$E$5:$E$204&lt;&gt;"")),IF(B_Drainage!$E$5:$E$204="-","",1)),"")</f>
        <v/>
      </c>
      <c r="U309" s="181" t="str">
        <f>IFERROR(LOOKUP(2,1/((B_Drainage!$A$5:$A$204&lt;&gt;"")*(B_Drainage!$A$5:$A$204&lt;=$B309)*(B_Drainage!$B$5:$B$204&gt;$B309)*(B_Drainage!$E$5:$E$204&lt;&gt;"")),IF(B_Drainage!$E$5:$E$204="-","",B_Drainage!$E$5:$E$204)),"")</f>
        <v/>
      </c>
      <c r="V309" s="181" t="str">
        <f>IFERROR(LOOKUP(2,1/((B_Drainage!$A$5:$A$204&lt;&gt;"")*(B_Drainage!$A$5:$A$204&lt;=$B309)*(B_Drainage!$B$5:$B$204&gt;$B309)*(B_Drainage!$F$5:$F$204&lt;&gt;"")),IF(B_Drainage!$F$5:$F$204="-","",1)),"")</f>
        <v/>
      </c>
      <c r="W309" s="181" t="str">
        <f>IFERROR(LOOKUP(2,1/((B_Drainage!$A$5:$A$204&lt;&gt;"")*(B_Drainage!$A$5:$A$204&lt;=$B309)*(B_Drainage!$B$5:$B$204&gt;$B309)*(B_Drainage!$F$5:$F$204&lt;&gt;"")),IF(B_Drainage!$F$5:$F$204="-","",B_Drainage!$F$5:$F$204)),"")</f>
        <v/>
      </c>
      <c r="X309" s="181" t="str">
        <f>IFERROR(LOOKUP(2,1/((B_Drainage!$A$5:$A$204&lt;&gt;"")*(B_Drainage!$A$5:$A$204&lt;=$B309)*(B_Drainage!$B$5:$B$204&gt;$B309)*(B_Drainage!$G$5:$G$204&lt;&gt;"")),IF(UPPER(B_Drainage!$G$5:$G$204)="Y",1,"")),"")</f>
        <v/>
      </c>
      <c r="Y309" s="181" t="str">
        <f>IFERROR(LOOKUP(2,1/((B_Drainage!$A$5:$A$204&lt;&gt;"")*(B_Drainage!$A$5:$A$204&lt;=$B309)*(B_Drainage!$B$5:$B$204&gt;$B309)*(B_Drainage!$H$5:$H$204&lt;&gt;"")),IF(UPPER(B_Drainage!$H$5:$H$204)="Y",1,"")),"")</f>
        <v/>
      </c>
      <c r="Z309" s="181" t="str">
        <f>IFERROR(LOOKUP(2,1/((B_Drainage!$A$5:$A$204&lt;&gt;"")*(B_Drainage!$A$5:$A$204&lt;=$B309)*(B_Drainage!$B$5:$B$204&gt;$B309)*(B_Drainage!$I$5:$I$204&lt;&gt;"")),IF(UPPER(B_Drainage!$I$5:$I$204)="Y",1,"")),"")</f>
        <v/>
      </c>
      <c r="AA309" s="181" t="str">
        <f>IFERROR(LOOKUP(2,1/((B_Drainage!$A$5:$A$204&lt;&gt;"")*(B_Drainage!$A$5:$A$204&lt;=$B309)*(B_Drainage!$B$5:$B$204&gt;$B309)*(B_Drainage!$J$5:$J$204&lt;&gt;"")),IF(UPPER(B_Drainage!$J$5:$J$204)="Y",1,"")),"")</f>
        <v/>
      </c>
      <c r="AB309" s="182" t="str">
        <f>IFERROR(LOOKUP(2,1/((B_Drainage!$A$5:$A$204&lt;&gt;"")*(B_Drainage!$A$5:$A$204&lt;=$B309)*(B_Drainage!$B$5:$B$204&gt;$B309)*(B_Drainage!$K$5:$K$204&lt;&gt;"")),IF(B_Drainage!$K$5:$K$204="-","",B_Drainage!$K$5:$K$204)),"")</f>
        <v/>
      </c>
      <c r="AC309" s="182" t="str">
        <f>IFERROR(LOOKUP(2,1/((B_Drainage!$A$5:$A$204&lt;&gt;"")*(B_Drainage!$A$5:$A$204&lt;=$B309)*(B_Drainage!$B$5:$B$204&gt;$B309)*(B_Drainage!$L$5:$L$204&lt;&gt;"")),IF(B_Drainage!$L$5:$L$204="-","",B_Drainage!$L$5:$L$204)),"")</f>
        <v/>
      </c>
      <c r="AD309" s="182" t="str">
        <f>IFERROR(LOOKUP(2,1/((D_Points!$A$5:$A$204&lt;&gt;"")*(D_Points!$A$5:$A$204&gt;=$B309)*(D_Points!$A$5:$A$204&lt;$B309+P_Interval)*(UPPER(TRIM(D_Points!$B$5:$B$204))="TURNOUT_L")*(D_Points!$H$5:$H$204&lt;&gt;"")),D_Points!$H$5:$H$204),"")</f>
        <v/>
      </c>
      <c r="AE309" s="182" t="str">
        <f>IFERROR(LOOKUP(2,1/((D_Points!$A$5:$A$204&lt;&gt;"")*(D_Points!$A$5:$A$204&gt;=$B309)*(D_Points!$A$5:$A$204&lt;$B309+P_Interval)*(UPPER(TRIM(D_Points!$B$5:$B$204))="TURNOUT_R")*(D_Points!$H$5:$H$204&lt;&gt;"")),D_Points!$H$5:$H$204),"")</f>
        <v/>
      </c>
      <c r="AF309" s="181" t="str">
        <f>IFERROR(LOOKUP(2,1/((B_Drainage!$A$5:$A$204&lt;&gt;"")*(B_Drainage!$A$5:$A$204&lt;=$B309)*(B_Drainage!$B$5:$B$204&gt;$B309)*(B_Drainage!$M$5:$M$204&lt;&gt;"")),IF(UPPER(B_Drainage!$M$5:$M$204)="Y",1,"")),"")</f>
        <v/>
      </c>
      <c r="AG309" s="181" t="str">
        <f>IFERROR(LOOKUP(2,1/((B_Drainage!$A$5:$A$204&lt;&gt;"")*(B_Drainage!$A$5:$A$204&lt;=$B309)*(B_Drainage!$B$5:$B$204&gt;$B309)*(B_Drainage!$N$5:$N$204&lt;&gt;"")),IF(UPPER(B_Drainage!$N$5:$N$204)="Y",1,"")),"")</f>
        <v/>
      </c>
      <c r="AH309" s="181" t="str">
        <f t="shared" si="32"/>
        <v/>
      </c>
      <c r="AI309" s="181" t="str">
        <f t="shared" si="33"/>
        <v/>
      </c>
      <c r="AJ309" s="181" t="str">
        <f t="shared" si="34"/>
        <v/>
      </c>
      <c r="AK309" s="181" t="str">
        <f t="shared" si="35"/>
        <v/>
      </c>
      <c r="AL309" s="181" t="str">
        <f t="shared" si="36"/>
        <v/>
      </c>
      <c r="AM309" s="181" t="str">
        <f t="shared" si="37"/>
        <v/>
      </c>
      <c r="AN309" s="181" t="str">
        <f t="shared" si="38"/>
        <v/>
      </c>
      <c r="AO309" s="192" t="str">
        <f t="shared" si="39"/>
        <v/>
      </c>
      <c r="AQ309" t="str">
        <f>IFERROR(LOOKUP(2,1/((C_Pavement!$A$5:$A$204&lt;&gt;"")*(C_Pavement!$A$5:$A$204&lt;=$B309)*(C_Pavement!$B$5:$B$204&gt;$B309)*(C_Pavement!$C$5:$C$204&lt;&gt;"")),ROW(C_Pavement!$C$5:$C$204)-4),"")</f>
        <v/>
      </c>
      <c r="AR309" t="str">
        <f>IF($AQ309="","",UPPER(TRIM(INDEX(C_Pavement!$C$5:$C$204,$AQ309))))</f>
        <v/>
      </c>
      <c r="AS309" t="str">
        <f>IF($AR309="","",IFERROR(MATCH($AR309,E_Rules!$A$5:$A$9,0),""))</f>
        <v/>
      </c>
      <c r="AT309" t="str">
        <f>IF($AQ309="","",IF(INDEX(C_Pavement!$D$5:$D$204,$AQ309)&lt;&gt;"",UPPER(TRIM(INDEX(C_Pavement!$D$5:$D$204,$AQ309))),IF($AS309="","",INDEX(E_Rules!$C$5:$C$9,$AS309))))</f>
        <v/>
      </c>
      <c r="AU309" t="str">
        <f>IF($AQ309="","",IF(INDEX(C_Pavement!$E$5:$E$204,$AQ309)&lt;&gt;"",IF(INDEX(C_Pavement!$E$5:$E$204,$AQ309)="-","",INDEX(C_Pavement!$E$5:$E$204,$AQ309)),IF($AS309="","",INDEX(E_Rules!$D$5:$D$9,$AS309))))</f>
        <v/>
      </c>
      <c r="AV309" t="str">
        <f>IF($AQ309="","",IF(INDEX(C_Pavement!$F$5:$F$204,$AQ309)&lt;&gt;"",IF(INDEX(C_Pavement!$F$5:$F$204,$AQ309)="-","",INDEX(C_Pavement!$F$5:$F$204,$AQ309)),IF($AS309="","",INDEX(E_Rules!$E$5:$E$9,$AS309))))</f>
        <v/>
      </c>
      <c r="AW309" t="str">
        <f>IF($AQ309="","",IF(INDEX(C_Pavement!$G$5:$G$204,$AQ309)&lt;&gt;"",IF(INDEX(C_Pavement!$G$5:$G$204,$AQ309)="-","",INDEX(C_Pavement!$G$5:$G$204,$AQ309)),IF($AS309="","",INDEX(E_Rules!$F$5:$F$9,$AS309))))</f>
        <v/>
      </c>
      <c r="AX309" t="str">
        <f>IF($AQ309="","",IF(INDEX(C_Pavement!$H$5:$H$204,$AQ309)&lt;&gt;"",IF(INDEX(C_Pavement!$H$5:$H$204,$AQ309)="-","",INDEX(C_Pavement!$H$5:$H$204,$AQ309)),IF($AS309="","",INDEX(E_Rules!$G$5:$G$9,$AS309))))</f>
        <v/>
      </c>
      <c r="AY309" t="str">
        <f>IF($AQ309="","",IF(INDEX(C_Pavement!$I$5:$I$204,$AQ309)&lt;&gt;"",IF(INDEX(C_Pavement!$I$5:$I$204,$AQ309)="-","",INDEX(C_Pavement!$I$5:$I$204,$AQ309)),IF($AS309="","",INDEX(E_Rules!$H$5:$H$9,$AS309))))</f>
        <v/>
      </c>
    </row>
    <row r="310" spans="1:51" ht="15.75" customHeight="1" x14ac:dyDescent="0.3">
      <c r="A310" s="189">
        <v>305</v>
      </c>
      <c r="B310" s="180">
        <v>15200</v>
      </c>
      <c r="C310" s="180" t="s">
        <v>616</v>
      </c>
      <c r="D310" s="181" t="str">
        <f>IFERROR(LOOKUP(2,1/((A_Corridor!$A$5:$A$204&lt;&gt;"")*(A_Corridor!$A$5:$A$204&lt;=$B310)*(A_Corridor!$B$5:$B$204&gt;$B310)*(A_Corridor!$C$5:$C$204&lt;&gt;"")),IF(UPPER(A_Corridor!$C$5:$C$204)="Y",1,"")),"")</f>
        <v/>
      </c>
      <c r="E310" s="181" t="str">
        <f>IFERROR(LOOKUP(2,1/((A_Corridor!$A$5:$A$204&lt;&gt;"")*(A_Corridor!$A$5:$A$204&lt;=$B310)*(A_Corridor!$B$5:$B$204&gt;$B310)*(A_Corridor!$D$5:$D$204&lt;&gt;"")),IF(A_Corridor!$D$5:$D$204="-","",UPPER(A_Corridor!$D$5:$D$204))),"")</f>
        <v/>
      </c>
      <c r="F310" s="181" t="str">
        <f>IFERROR(LOOKUP(2,1/((A_Corridor!$A$5:$A$204&lt;&gt;"")*(A_Corridor!$A$5:$A$204&lt;=$B310)*(A_Corridor!$B$5:$B$204&gt;$B310)*(A_Corridor!$E$5:$E$204&lt;&gt;"")),IF(A_Corridor!$E$5:$E$204="-","",1)),"")</f>
        <v/>
      </c>
      <c r="G310" s="182" t="str">
        <f>IFERROR(LOOKUP(2,1/((A_Corridor!$A$5:$A$204&lt;&gt;"")*(A_Corridor!$A$5:$A$204&lt;=$B310)*(A_Corridor!$B$5:$B$204&gt;$B310)*(A_Corridor!$E$5:$E$204&lt;&gt;"")),IF(A_Corridor!$E$5:$E$204="-","",A_Corridor!$E$5:$E$204)),"")</f>
        <v/>
      </c>
      <c r="H310" s="182" t="str">
        <f>IFERROR(LOOKUP(2,1/((D_Points!$A$5:$A$204&lt;&gt;"")*(D_Points!$A$5:$A$204&gt;=$B310)*(D_Points!$A$5:$A$204&lt;$B310+P_Interval)*(UPPER(TRIM(D_Points!$B$5:$B$204))="GULLY")*(D_Points!$H$5:$H$204&lt;&gt;"")),D_Points!$H$5:$H$204),"")</f>
        <v/>
      </c>
      <c r="I310" s="181" t="str">
        <f>IFERROR(LOOKUP(2,1/((A_Corridor!$A$5:$A$204&lt;&gt;"")*(A_Corridor!$A$5:$A$204&lt;=$B310)*(A_Corridor!$B$5:$B$204&gt;$B310)*(A_Corridor!$F$5:$F$204&lt;&gt;"")),IF(A_Corridor!$F$5:$F$204="-","",1)),"")</f>
        <v/>
      </c>
      <c r="J310" s="182" t="str">
        <f>IFERROR(LOOKUP(2,1/((A_Corridor!$A$5:$A$204&lt;&gt;"")*(A_Corridor!$A$5:$A$204&lt;=$B310)*(A_Corridor!$B$5:$B$204&gt;$B310)*(A_Corridor!$F$5:$F$204&lt;&gt;"")),IF(A_Corridor!$F$5:$F$204="-","",A_Corridor!$F$5:$F$204)),"")</f>
        <v/>
      </c>
      <c r="K310" s="182" t="str">
        <f>IFERROR(LOOKUP(2,1/((A_Corridor!$A$5:$A$204&lt;&gt;"")*(A_Corridor!$A$5:$A$204&lt;=$B310)*(A_Corridor!$B$5:$B$204&gt;$B310)*(A_Corridor!$G$5:$G$204&lt;&gt;"")),IF(A_Corridor!$G$5:$G$204="-","",A_Corridor!$G$5:$G$204)),"")</f>
        <v/>
      </c>
      <c r="L310" s="181" t="str">
        <f>IFERROR(LOOKUP(2,1/((A_Corridor!$A$5:$A$204&lt;&gt;"")*(A_Corridor!$A$5:$A$204&lt;=$B310)*(A_Corridor!$B$5:$B$204&gt;$B310)*(A_Corridor!$H$5:$H$204&lt;&gt;"")),IF(A_Corridor!$H$5:$H$204="-","",1)),"")</f>
        <v/>
      </c>
      <c r="M310" s="182" t="str">
        <f>IFERROR(LOOKUP(2,1/((A_Corridor!$A$5:$A$204&lt;&gt;"")*(A_Corridor!$A$5:$A$204&lt;=$B310)*(A_Corridor!$B$5:$B$204&gt;$B310)*(A_Corridor!$H$5:$H$204&lt;&gt;"")),IF(A_Corridor!$H$5:$H$204="-","",A_Corridor!$H$5:$H$204)),"")</f>
        <v/>
      </c>
      <c r="N310" s="182" t="str">
        <f>IFERROR(LOOKUP(2,1/((A_Corridor!$A$5:$A$204&lt;&gt;"")*(A_Corridor!$A$5:$A$204&lt;=$B310)*(A_Corridor!$B$5:$B$204&gt;$B310)*(A_Corridor!$I$5:$I$204&lt;&gt;"")),IF(A_Corridor!$I$5:$I$204="-","",A_Corridor!$I$5:$I$204)),"")</f>
        <v/>
      </c>
      <c r="O310" s="182" t="str">
        <f>IFERROR(LOOKUP(2,1/((D_Points!$A$5:$A$204&lt;&gt;"")*(D_Points!$A$5:$A$204&gt;=$B310)*(D_Points!$A$5:$A$204&lt;$B310+P_Interval)*(UPPER(TRIM(D_Points!$B$5:$B$204))="PITCHING")*(D_Points!$H$5:$H$204&lt;&gt;"")),D_Points!$H$5:$H$204),"")</f>
        <v/>
      </c>
      <c r="P310" s="181" t="str">
        <f>IFERROR(LOOKUP(2,1/((B_Drainage!$A$5:$A$204&lt;&gt;"")*(B_Drainage!$A$5:$A$204&lt;=$B310)*(B_Drainage!$B$5:$B$204&gt;$B310)*(B_Drainage!$C$5:$C$204&lt;&gt;"")),IF(B_Drainage!$C$5:$C$204="-","",UPPER(B_Drainage!$C$5:$C$204))),"")</f>
        <v/>
      </c>
      <c r="Q310" s="181" t="str">
        <f>IFERROR(LOOKUP(2,1/((B_Drainage!$A$5:$A$204&lt;&gt;"")*(B_Drainage!$A$5:$A$204&lt;=$B310)*(B_Drainage!$B$5:$B$204&gt;$B310)*(B_Drainage!$D$5:$D$204&lt;&gt;"")),IF(B_Drainage!$D$5:$D$204="-","",UPPER(B_Drainage!$D$5:$D$204))),"")</f>
        <v/>
      </c>
      <c r="R310" s="182" t="str">
        <f>IFERROR(LOOKUP(2,1/((D_Points!$A$5:$A$204&lt;&gt;"")*(D_Points!$A$5:$A$204&gt;=$B310)*(D_Points!$A$5:$A$204&lt;$B310+P_Interval)*(RIGHT(UPPER(TRIM(D_Points!$B$5:$B$204)),8)="_CULVERT")),IF(LEFT(UPPER(TRIM(D_Points!$B$5:$B$204)),2)="EX",1,IF(LEFT(UPPER(TRIM(D_Points!$B$5:$B$204)),2)="PR",2,3))),"")</f>
        <v/>
      </c>
      <c r="S310" s="182" t="str">
        <f>IFERROR(LOOKUP(2,1/((D_Points!$A$5:$A$204&lt;&gt;"")*(D_Points!$A$5:$A$204&gt;=$B310)*(D_Points!$A$5:$A$204&lt;$B310+P_Interval)*(RIGHT(UPPER(TRIM(D_Points!$B$5:$B$204)),7)="_BRIDGE")),IF(LEFT(UPPER(TRIM(D_Points!$B$5:$B$204)),2)="EX",1,IF(LEFT(UPPER(TRIM(D_Points!$B$5:$B$204)),2)="PR",2,2))),"")</f>
        <v/>
      </c>
      <c r="T310" s="181" t="str">
        <f>IFERROR(LOOKUP(2,1/((B_Drainage!$A$5:$A$204&lt;&gt;"")*(B_Drainage!$A$5:$A$204&lt;=$B310)*(B_Drainage!$B$5:$B$204&gt;$B310)*(B_Drainage!$E$5:$E$204&lt;&gt;"")),IF(B_Drainage!$E$5:$E$204="-","",1)),"")</f>
        <v/>
      </c>
      <c r="U310" s="181" t="str">
        <f>IFERROR(LOOKUP(2,1/((B_Drainage!$A$5:$A$204&lt;&gt;"")*(B_Drainage!$A$5:$A$204&lt;=$B310)*(B_Drainage!$B$5:$B$204&gt;$B310)*(B_Drainage!$E$5:$E$204&lt;&gt;"")),IF(B_Drainage!$E$5:$E$204="-","",B_Drainage!$E$5:$E$204)),"")</f>
        <v/>
      </c>
      <c r="V310" s="181" t="str">
        <f>IFERROR(LOOKUP(2,1/((B_Drainage!$A$5:$A$204&lt;&gt;"")*(B_Drainage!$A$5:$A$204&lt;=$B310)*(B_Drainage!$B$5:$B$204&gt;$B310)*(B_Drainage!$F$5:$F$204&lt;&gt;"")),IF(B_Drainage!$F$5:$F$204="-","",1)),"")</f>
        <v/>
      </c>
      <c r="W310" s="181" t="str">
        <f>IFERROR(LOOKUP(2,1/((B_Drainage!$A$5:$A$204&lt;&gt;"")*(B_Drainage!$A$5:$A$204&lt;=$B310)*(B_Drainage!$B$5:$B$204&gt;$B310)*(B_Drainage!$F$5:$F$204&lt;&gt;"")),IF(B_Drainage!$F$5:$F$204="-","",B_Drainage!$F$5:$F$204)),"")</f>
        <v/>
      </c>
      <c r="X310" s="181" t="str">
        <f>IFERROR(LOOKUP(2,1/((B_Drainage!$A$5:$A$204&lt;&gt;"")*(B_Drainage!$A$5:$A$204&lt;=$B310)*(B_Drainage!$B$5:$B$204&gt;$B310)*(B_Drainage!$G$5:$G$204&lt;&gt;"")),IF(UPPER(B_Drainage!$G$5:$G$204)="Y",1,"")),"")</f>
        <v/>
      </c>
      <c r="Y310" s="181" t="str">
        <f>IFERROR(LOOKUP(2,1/((B_Drainage!$A$5:$A$204&lt;&gt;"")*(B_Drainage!$A$5:$A$204&lt;=$B310)*(B_Drainage!$B$5:$B$204&gt;$B310)*(B_Drainage!$H$5:$H$204&lt;&gt;"")),IF(UPPER(B_Drainage!$H$5:$H$204)="Y",1,"")),"")</f>
        <v/>
      </c>
      <c r="Z310" s="181" t="str">
        <f>IFERROR(LOOKUP(2,1/((B_Drainage!$A$5:$A$204&lt;&gt;"")*(B_Drainage!$A$5:$A$204&lt;=$B310)*(B_Drainage!$B$5:$B$204&gt;$B310)*(B_Drainage!$I$5:$I$204&lt;&gt;"")),IF(UPPER(B_Drainage!$I$5:$I$204)="Y",1,"")),"")</f>
        <v/>
      </c>
      <c r="AA310" s="181" t="str">
        <f>IFERROR(LOOKUP(2,1/((B_Drainage!$A$5:$A$204&lt;&gt;"")*(B_Drainage!$A$5:$A$204&lt;=$B310)*(B_Drainage!$B$5:$B$204&gt;$B310)*(B_Drainage!$J$5:$J$204&lt;&gt;"")),IF(UPPER(B_Drainage!$J$5:$J$204)="Y",1,"")),"")</f>
        <v/>
      </c>
      <c r="AB310" s="182" t="str">
        <f>IFERROR(LOOKUP(2,1/((B_Drainage!$A$5:$A$204&lt;&gt;"")*(B_Drainage!$A$5:$A$204&lt;=$B310)*(B_Drainage!$B$5:$B$204&gt;$B310)*(B_Drainage!$K$5:$K$204&lt;&gt;"")),IF(B_Drainage!$K$5:$K$204="-","",B_Drainage!$K$5:$K$204)),"")</f>
        <v/>
      </c>
      <c r="AC310" s="182" t="str">
        <f>IFERROR(LOOKUP(2,1/((B_Drainage!$A$5:$A$204&lt;&gt;"")*(B_Drainage!$A$5:$A$204&lt;=$B310)*(B_Drainage!$B$5:$B$204&gt;$B310)*(B_Drainage!$L$5:$L$204&lt;&gt;"")),IF(B_Drainage!$L$5:$L$204="-","",B_Drainage!$L$5:$L$204)),"")</f>
        <v/>
      </c>
      <c r="AD310" s="182" t="str">
        <f>IFERROR(LOOKUP(2,1/((D_Points!$A$5:$A$204&lt;&gt;"")*(D_Points!$A$5:$A$204&gt;=$B310)*(D_Points!$A$5:$A$204&lt;$B310+P_Interval)*(UPPER(TRIM(D_Points!$B$5:$B$204))="TURNOUT_L")*(D_Points!$H$5:$H$204&lt;&gt;"")),D_Points!$H$5:$H$204),"")</f>
        <v/>
      </c>
      <c r="AE310" s="182" t="str">
        <f>IFERROR(LOOKUP(2,1/((D_Points!$A$5:$A$204&lt;&gt;"")*(D_Points!$A$5:$A$204&gt;=$B310)*(D_Points!$A$5:$A$204&lt;$B310+P_Interval)*(UPPER(TRIM(D_Points!$B$5:$B$204))="TURNOUT_R")*(D_Points!$H$5:$H$204&lt;&gt;"")),D_Points!$H$5:$H$204),"")</f>
        <v/>
      </c>
      <c r="AF310" s="181" t="str">
        <f>IFERROR(LOOKUP(2,1/((B_Drainage!$A$5:$A$204&lt;&gt;"")*(B_Drainage!$A$5:$A$204&lt;=$B310)*(B_Drainage!$B$5:$B$204&gt;$B310)*(B_Drainage!$M$5:$M$204&lt;&gt;"")),IF(UPPER(B_Drainage!$M$5:$M$204)="Y",1,"")),"")</f>
        <v/>
      </c>
      <c r="AG310" s="181" t="str">
        <f>IFERROR(LOOKUP(2,1/((B_Drainage!$A$5:$A$204&lt;&gt;"")*(B_Drainage!$A$5:$A$204&lt;=$B310)*(B_Drainage!$B$5:$B$204&gt;$B310)*(B_Drainage!$N$5:$N$204&lt;&gt;"")),IF(UPPER(B_Drainage!$N$5:$N$204)="Y",1,"")),"")</f>
        <v/>
      </c>
      <c r="AH310" s="181" t="str">
        <f t="shared" si="32"/>
        <v/>
      </c>
      <c r="AI310" s="181" t="str">
        <f t="shared" si="33"/>
        <v/>
      </c>
      <c r="AJ310" s="181" t="str">
        <f t="shared" si="34"/>
        <v/>
      </c>
      <c r="AK310" s="181" t="str">
        <f t="shared" si="35"/>
        <v/>
      </c>
      <c r="AL310" s="181" t="str">
        <f t="shared" si="36"/>
        <v/>
      </c>
      <c r="AM310" s="181" t="str">
        <f t="shared" si="37"/>
        <v/>
      </c>
      <c r="AN310" s="181" t="str">
        <f t="shared" si="38"/>
        <v/>
      </c>
      <c r="AO310" s="192" t="str">
        <f t="shared" si="39"/>
        <v/>
      </c>
      <c r="AQ310" t="str">
        <f>IFERROR(LOOKUP(2,1/((C_Pavement!$A$5:$A$204&lt;&gt;"")*(C_Pavement!$A$5:$A$204&lt;=$B310)*(C_Pavement!$B$5:$B$204&gt;$B310)*(C_Pavement!$C$5:$C$204&lt;&gt;"")),ROW(C_Pavement!$C$5:$C$204)-4),"")</f>
        <v/>
      </c>
      <c r="AR310" t="str">
        <f>IF($AQ310="","",UPPER(TRIM(INDEX(C_Pavement!$C$5:$C$204,$AQ310))))</f>
        <v/>
      </c>
      <c r="AS310" t="str">
        <f>IF($AR310="","",IFERROR(MATCH($AR310,E_Rules!$A$5:$A$9,0),""))</f>
        <v/>
      </c>
      <c r="AT310" t="str">
        <f>IF($AQ310="","",IF(INDEX(C_Pavement!$D$5:$D$204,$AQ310)&lt;&gt;"",UPPER(TRIM(INDEX(C_Pavement!$D$5:$D$204,$AQ310))),IF($AS310="","",INDEX(E_Rules!$C$5:$C$9,$AS310))))</f>
        <v/>
      </c>
      <c r="AU310" t="str">
        <f>IF($AQ310="","",IF(INDEX(C_Pavement!$E$5:$E$204,$AQ310)&lt;&gt;"",IF(INDEX(C_Pavement!$E$5:$E$204,$AQ310)="-","",INDEX(C_Pavement!$E$5:$E$204,$AQ310)),IF($AS310="","",INDEX(E_Rules!$D$5:$D$9,$AS310))))</f>
        <v/>
      </c>
      <c r="AV310" t="str">
        <f>IF($AQ310="","",IF(INDEX(C_Pavement!$F$5:$F$204,$AQ310)&lt;&gt;"",IF(INDEX(C_Pavement!$F$5:$F$204,$AQ310)="-","",INDEX(C_Pavement!$F$5:$F$204,$AQ310)),IF($AS310="","",INDEX(E_Rules!$E$5:$E$9,$AS310))))</f>
        <v/>
      </c>
      <c r="AW310" t="str">
        <f>IF($AQ310="","",IF(INDEX(C_Pavement!$G$5:$G$204,$AQ310)&lt;&gt;"",IF(INDEX(C_Pavement!$G$5:$G$204,$AQ310)="-","",INDEX(C_Pavement!$G$5:$G$204,$AQ310)),IF($AS310="","",INDEX(E_Rules!$F$5:$F$9,$AS310))))</f>
        <v/>
      </c>
      <c r="AX310" t="str">
        <f>IF($AQ310="","",IF(INDEX(C_Pavement!$H$5:$H$204,$AQ310)&lt;&gt;"",IF(INDEX(C_Pavement!$H$5:$H$204,$AQ310)="-","",INDEX(C_Pavement!$H$5:$H$204,$AQ310)),IF($AS310="","",INDEX(E_Rules!$G$5:$G$9,$AS310))))</f>
        <v/>
      </c>
      <c r="AY310" t="str">
        <f>IF($AQ310="","",IF(INDEX(C_Pavement!$I$5:$I$204,$AQ310)&lt;&gt;"",IF(INDEX(C_Pavement!$I$5:$I$204,$AQ310)="-","",INDEX(C_Pavement!$I$5:$I$204,$AQ310)),IF($AS310="","",INDEX(E_Rules!$H$5:$H$9,$AS310))))</f>
        <v/>
      </c>
    </row>
    <row r="311" spans="1:51" ht="15.75" customHeight="1" x14ac:dyDescent="0.3">
      <c r="A311" s="189">
        <v>306</v>
      </c>
      <c r="B311" s="180">
        <v>15250</v>
      </c>
      <c r="C311" s="180" t="s">
        <v>617</v>
      </c>
      <c r="D311" s="181" t="str">
        <f>IFERROR(LOOKUP(2,1/((A_Corridor!$A$5:$A$204&lt;&gt;"")*(A_Corridor!$A$5:$A$204&lt;=$B311)*(A_Corridor!$B$5:$B$204&gt;$B311)*(A_Corridor!$C$5:$C$204&lt;&gt;"")),IF(UPPER(A_Corridor!$C$5:$C$204)="Y",1,"")),"")</f>
        <v/>
      </c>
      <c r="E311" s="181" t="str">
        <f>IFERROR(LOOKUP(2,1/((A_Corridor!$A$5:$A$204&lt;&gt;"")*(A_Corridor!$A$5:$A$204&lt;=$B311)*(A_Corridor!$B$5:$B$204&gt;$B311)*(A_Corridor!$D$5:$D$204&lt;&gt;"")),IF(A_Corridor!$D$5:$D$204="-","",UPPER(A_Corridor!$D$5:$D$204))),"")</f>
        <v/>
      </c>
      <c r="F311" s="181" t="str">
        <f>IFERROR(LOOKUP(2,1/((A_Corridor!$A$5:$A$204&lt;&gt;"")*(A_Corridor!$A$5:$A$204&lt;=$B311)*(A_Corridor!$B$5:$B$204&gt;$B311)*(A_Corridor!$E$5:$E$204&lt;&gt;"")),IF(A_Corridor!$E$5:$E$204="-","",1)),"")</f>
        <v/>
      </c>
      <c r="G311" s="182" t="str">
        <f>IFERROR(LOOKUP(2,1/((A_Corridor!$A$5:$A$204&lt;&gt;"")*(A_Corridor!$A$5:$A$204&lt;=$B311)*(A_Corridor!$B$5:$B$204&gt;$B311)*(A_Corridor!$E$5:$E$204&lt;&gt;"")),IF(A_Corridor!$E$5:$E$204="-","",A_Corridor!$E$5:$E$204)),"")</f>
        <v/>
      </c>
      <c r="H311" s="182" t="str">
        <f>IFERROR(LOOKUP(2,1/((D_Points!$A$5:$A$204&lt;&gt;"")*(D_Points!$A$5:$A$204&gt;=$B311)*(D_Points!$A$5:$A$204&lt;$B311+P_Interval)*(UPPER(TRIM(D_Points!$B$5:$B$204))="GULLY")*(D_Points!$H$5:$H$204&lt;&gt;"")),D_Points!$H$5:$H$204),"")</f>
        <v/>
      </c>
      <c r="I311" s="181" t="str">
        <f>IFERROR(LOOKUP(2,1/((A_Corridor!$A$5:$A$204&lt;&gt;"")*(A_Corridor!$A$5:$A$204&lt;=$B311)*(A_Corridor!$B$5:$B$204&gt;$B311)*(A_Corridor!$F$5:$F$204&lt;&gt;"")),IF(A_Corridor!$F$5:$F$204="-","",1)),"")</f>
        <v/>
      </c>
      <c r="J311" s="182" t="str">
        <f>IFERROR(LOOKUP(2,1/((A_Corridor!$A$5:$A$204&lt;&gt;"")*(A_Corridor!$A$5:$A$204&lt;=$B311)*(A_Corridor!$B$5:$B$204&gt;$B311)*(A_Corridor!$F$5:$F$204&lt;&gt;"")),IF(A_Corridor!$F$5:$F$204="-","",A_Corridor!$F$5:$F$204)),"")</f>
        <v/>
      </c>
      <c r="K311" s="182" t="str">
        <f>IFERROR(LOOKUP(2,1/((A_Corridor!$A$5:$A$204&lt;&gt;"")*(A_Corridor!$A$5:$A$204&lt;=$B311)*(A_Corridor!$B$5:$B$204&gt;$B311)*(A_Corridor!$G$5:$G$204&lt;&gt;"")),IF(A_Corridor!$G$5:$G$204="-","",A_Corridor!$G$5:$G$204)),"")</f>
        <v/>
      </c>
      <c r="L311" s="181" t="str">
        <f>IFERROR(LOOKUP(2,1/((A_Corridor!$A$5:$A$204&lt;&gt;"")*(A_Corridor!$A$5:$A$204&lt;=$B311)*(A_Corridor!$B$5:$B$204&gt;$B311)*(A_Corridor!$H$5:$H$204&lt;&gt;"")),IF(A_Corridor!$H$5:$H$204="-","",1)),"")</f>
        <v/>
      </c>
      <c r="M311" s="182" t="str">
        <f>IFERROR(LOOKUP(2,1/((A_Corridor!$A$5:$A$204&lt;&gt;"")*(A_Corridor!$A$5:$A$204&lt;=$B311)*(A_Corridor!$B$5:$B$204&gt;$B311)*(A_Corridor!$H$5:$H$204&lt;&gt;"")),IF(A_Corridor!$H$5:$H$204="-","",A_Corridor!$H$5:$H$204)),"")</f>
        <v/>
      </c>
      <c r="N311" s="182" t="str">
        <f>IFERROR(LOOKUP(2,1/((A_Corridor!$A$5:$A$204&lt;&gt;"")*(A_Corridor!$A$5:$A$204&lt;=$B311)*(A_Corridor!$B$5:$B$204&gt;$B311)*(A_Corridor!$I$5:$I$204&lt;&gt;"")),IF(A_Corridor!$I$5:$I$204="-","",A_Corridor!$I$5:$I$204)),"")</f>
        <v/>
      </c>
      <c r="O311" s="182" t="str">
        <f>IFERROR(LOOKUP(2,1/((D_Points!$A$5:$A$204&lt;&gt;"")*(D_Points!$A$5:$A$204&gt;=$B311)*(D_Points!$A$5:$A$204&lt;$B311+P_Interval)*(UPPER(TRIM(D_Points!$B$5:$B$204))="PITCHING")*(D_Points!$H$5:$H$204&lt;&gt;"")),D_Points!$H$5:$H$204),"")</f>
        <v/>
      </c>
      <c r="P311" s="181" t="str">
        <f>IFERROR(LOOKUP(2,1/((B_Drainage!$A$5:$A$204&lt;&gt;"")*(B_Drainage!$A$5:$A$204&lt;=$B311)*(B_Drainage!$B$5:$B$204&gt;$B311)*(B_Drainage!$C$5:$C$204&lt;&gt;"")),IF(B_Drainage!$C$5:$C$204="-","",UPPER(B_Drainage!$C$5:$C$204))),"")</f>
        <v/>
      </c>
      <c r="Q311" s="181" t="str">
        <f>IFERROR(LOOKUP(2,1/((B_Drainage!$A$5:$A$204&lt;&gt;"")*(B_Drainage!$A$5:$A$204&lt;=$B311)*(B_Drainage!$B$5:$B$204&gt;$B311)*(B_Drainage!$D$5:$D$204&lt;&gt;"")),IF(B_Drainage!$D$5:$D$204="-","",UPPER(B_Drainage!$D$5:$D$204))),"")</f>
        <v/>
      </c>
      <c r="R311" s="182" t="str">
        <f>IFERROR(LOOKUP(2,1/((D_Points!$A$5:$A$204&lt;&gt;"")*(D_Points!$A$5:$A$204&gt;=$B311)*(D_Points!$A$5:$A$204&lt;$B311+P_Interval)*(RIGHT(UPPER(TRIM(D_Points!$B$5:$B$204)),8)="_CULVERT")),IF(LEFT(UPPER(TRIM(D_Points!$B$5:$B$204)),2)="EX",1,IF(LEFT(UPPER(TRIM(D_Points!$B$5:$B$204)),2)="PR",2,3))),"")</f>
        <v/>
      </c>
      <c r="S311" s="182" t="str">
        <f>IFERROR(LOOKUP(2,1/((D_Points!$A$5:$A$204&lt;&gt;"")*(D_Points!$A$5:$A$204&gt;=$B311)*(D_Points!$A$5:$A$204&lt;$B311+P_Interval)*(RIGHT(UPPER(TRIM(D_Points!$B$5:$B$204)),7)="_BRIDGE")),IF(LEFT(UPPER(TRIM(D_Points!$B$5:$B$204)),2)="EX",1,IF(LEFT(UPPER(TRIM(D_Points!$B$5:$B$204)),2)="PR",2,2))),"")</f>
        <v/>
      </c>
      <c r="T311" s="181" t="str">
        <f>IFERROR(LOOKUP(2,1/((B_Drainage!$A$5:$A$204&lt;&gt;"")*(B_Drainage!$A$5:$A$204&lt;=$B311)*(B_Drainage!$B$5:$B$204&gt;$B311)*(B_Drainage!$E$5:$E$204&lt;&gt;"")),IF(B_Drainage!$E$5:$E$204="-","",1)),"")</f>
        <v/>
      </c>
      <c r="U311" s="181" t="str">
        <f>IFERROR(LOOKUP(2,1/((B_Drainage!$A$5:$A$204&lt;&gt;"")*(B_Drainage!$A$5:$A$204&lt;=$B311)*(B_Drainage!$B$5:$B$204&gt;$B311)*(B_Drainage!$E$5:$E$204&lt;&gt;"")),IF(B_Drainage!$E$5:$E$204="-","",B_Drainage!$E$5:$E$204)),"")</f>
        <v/>
      </c>
      <c r="V311" s="181" t="str">
        <f>IFERROR(LOOKUP(2,1/((B_Drainage!$A$5:$A$204&lt;&gt;"")*(B_Drainage!$A$5:$A$204&lt;=$B311)*(B_Drainage!$B$5:$B$204&gt;$B311)*(B_Drainage!$F$5:$F$204&lt;&gt;"")),IF(B_Drainage!$F$5:$F$204="-","",1)),"")</f>
        <v/>
      </c>
      <c r="W311" s="181" t="str">
        <f>IFERROR(LOOKUP(2,1/((B_Drainage!$A$5:$A$204&lt;&gt;"")*(B_Drainage!$A$5:$A$204&lt;=$B311)*(B_Drainage!$B$5:$B$204&gt;$B311)*(B_Drainage!$F$5:$F$204&lt;&gt;"")),IF(B_Drainage!$F$5:$F$204="-","",B_Drainage!$F$5:$F$204)),"")</f>
        <v/>
      </c>
      <c r="X311" s="181" t="str">
        <f>IFERROR(LOOKUP(2,1/((B_Drainage!$A$5:$A$204&lt;&gt;"")*(B_Drainage!$A$5:$A$204&lt;=$B311)*(B_Drainage!$B$5:$B$204&gt;$B311)*(B_Drainage!$G$5:$G$204&lt;&gt;"")),IF(UPPER(B_Drainage!$G$5:$G$204)="Y",1,"")),"")</f>
        <v/>
      </c>
      <c r="Y311" s="181" t="str">
        <f>IFERROR(LOOKUP(2,1/((B_Drainage!$A$5:$A$204&lt;&gt;"")*(B_Drainage!$A$5:$A$204&lt;=$B311)*(B_Drainage!$B$5:$B$204&gt;$B311)*(B_Drainage!$H$5:$H$204&lt;&gt;"")),IF(UPPER(B_Drainage!$H$5:$H$204)="Y",1,"")),"")</f>
        <v/>
      </c>
      <c r="Z311" s="181" t="str">
        <f>IFERROR(LOOKUP(2,1/((B_Drainage!$A$5:$A$204&lt;&gt;"")*(B_Drainage!$A$5:$A$204&lt;=$B311)*(B_Drainage!$B$5:$B$204&gt;$B311)*(B_Drainage!$I$5:$I$204&lt;&gt;"")),IF(UPPER(B_Drainage!$I$5:$I$204)="Y",1,"")),"")</f>
        <v/>
      </c>
      <c r="AA311" s="181" t="str">
        <f>IFERROR(LOOKUP(2,1/((B_Drainage!$A$5:$A$204&lt;&gt;"")*(B_Drainage!$A$5:$A$204&lt;=$B311)*(B_Drainage!$B$5:$B$204&gt;$B311)*(B_Drainage!$J$5:$J$204&lt;&gt;"")),IF(UPPER(B_Drainage!$J$5:$J$204)="Y",1,"")),"")</f>
        <v/>
      </c>
      <c r="AB311" s="182" t="str">
        <f>IFERROR(LOOKUP(2,1/((B_Drainage!$A$5:$A$204&lt;&gt;"")*(B_Drainage!$A$5:$A$204&lt;=$B311)*(B_Drainage!$B$5:$B$204&gt;$B311)*(B_Drainage!$K$5:$K$204&lt;&gt;"")),IF(B_Drainage!$K$5:$K$204="-","",B_Drainage!$K$5:$K$204)),"")</f>
        <v/>
      </c>
      <c r="AC311" s="182" t="str">
        <f>IFERROR(LOOKUP(2,1/((B_Drainage!$A$5:$A$204&lt;&gt;"")*(B_Drainage!$A$5:$A$204&lt;=$B311)*(B_Drainage!$B$5:$B$204&gt;$B311)*(B_Drainage!$L$5:$L$204&lt;&gt;"")),IF(B_Drainage!$L$5:$L$204="-","",B_Drainage!$L$5:$L$204)),"")</f>
        <v/>
      </c>
      <c r="AD311" s="182" t="str">
        <f>IFERROR(LOOKUP(2,1/((D_Points!$A$5:$A$204&lt;&gt;"")*(D_Points!$A$5:$A$204&gt;=$B311)*(D_Points!$A$5:$A$204&lt;$B311+P_Interval)*(UPPER(TRIM(D_Points!$B$5:$B$204))="TURNOUT_L")*(D_Points!$H$5:$H$204&lt;&gt;"")),D_Points!$H$5:$H$204),"")</f>
        <v/>
      </c>
      <c r="AE311" s="182" t="str">
        <f>IFERROR(LOOKUP(2,1/((D_Points!$A$5:$A$204&lt;&gt;"")*(D_Points!$A$5:$A$204&gt;=$B311)*(D_Points!$A$5:$A$204&lt;$B311+P_Interval)*(UPPER(TRIM(D_Points!$B$5:$B$204))="TURNOUT_R")*(D_Points!$H$5:$H$204&lt;&gt;"")),D_Points!$H$5:$H$204),"")</f>
        <v/>
      </c>
      <c r="AF311" s="181" t="str">
        <f>IFERROR(LOOKUP(2,1/((B_Drainage!$A$5:$A$204&lt;&gt;"")*(B_Drainage!$A$5:$A$204&lt;=$B311)*(B_Drainage!$B$5:$B$204&gt;$B311)*(B_Drainage!$M$5:$M$204&lt;&gt;"")),IF(UPPER(B_Drainage!$M$5:$M$204)="Y",1,"")),"")</f>
        <v/>
      </c>
      <c r="AG311" s="181" t="str">
        <f>IFERROR(LOOKUP(2,1/((B_Drainage!$A$5:$A$204&lt;&gt;"")*(B_Drainage!$A$5:$A$204&lt;=$B311)*(B_Drainage!$B$5:$B$204&gt;$B311)*(B_Drainage!$N$5:$N$204&lt;&gt;"")),IF(UPPER(B_Drainage!$N$5:$N$204)="Y",1,"")),"")</f>
        <v/>
      </c>
      <c r="AH311" s="181" t="str">
        <f t="shared" si="32"/>
        <v/>
      </c>
      <c r="AI311" s="181" t="str">
        <f t="shared" si="33"/>
        <v/>
      </c>
      <c r="AJ311" s="181" t="str">
        <f t="shared" si="34"/>
        <v/>
      </c>
      <c r="AK311" s="181" t="str">
        <f t="shared" si="35"/>
        <v/>
      </c>
      <c r="AL311" s="181" t="str">
        <f t="shared" si="36"/>
        <v/>
      </c>
      <c r="AM311" s="181" t="str">
        <f t="shared" si="37"/>
        <v/>
      </c>
      <c r="AN311" s="181" t="str">
        <f t="shared" si="38"/>
        <v/>
      </c>
      <c r="AO311" s="192" t="str">
        <f t="shared" si="39"/>
        <v/>
      </c>
      <c r="AQ311" t="str">
        <f>IFERROR(LOOKUP(2,1/((C_Pavement!$A$5:$A$204&lt;&gt;"")*(C_Pavement!$A$5:$A$204&lt;=$B311)*(C_Pavement!$B$5:$B$204&gt;$B311)*(C_Pavement!$C$5:$C$204&lt;&gt;"")),ROW(C_Pavement!$C$5:$C$204)-4),"")</f>
        <v/>
      </c>
      <c r="AR311" t="str">
        <f>IF($AQ311="","",UPPER(TRIM(INDEX(C_Pavement!$C$5:$C$204,$AQ311))))</f>
        <v/>
      </c>
      <c r="AS311" t="str">
        <f>IF($AR311="","",IFERROR(MATCH($AR311,E_Rules!$A$5:$A$9,0),""))</f>
        <v/>
      </c>
      <c r="AT311" t="str">
        <f>IF($AQ311="","",IF(INDEX(C_Pavement!$D$5:$D$204,$AQ311)&lt;&gt;"",UPPER(TRIM(INDEX(C_Pavement!$D$5:$D$204,$AQ311))),IF($AS311="","",INDEX(E_Rules!$C$5:$C$9,$AS311))))</f>
        <v/>
      </c>
      <c r="AU311" t="str">
        <f>IF($AQ311="","",IF(INDEX(C_Pavement!$E$5:$E$204,$AQ311)&lt;&gt;"",IF(INDEX(C_Pavement!$E$5:$E$204,$AQ311)="-","",INDEX(C_Pavement!$E$5:$E$204,$AQ311)),IF($AS311="","",INDEX(E_Rules!$D$5:$D$9,$AS311))))</f>
        <v/>
      </c>
      <c r="AV311" t="str">
        <f>IF($AQ311="","",IF(INDEX(C_Pavement!$F$5:$F$204,$AQ311)&lt;&gt;"",IF(INDEX(C_Pavement!$F$5:$F$204,$AQ311)="-","",INDEX(C_Pavement!$F$5:$F$204,$AQ311)),IF($AS311="","",INDEX(E_Rules!$E$5:$E$9,$AS311))))</f>
        <v/>
      </c>
      <c r="AW311" t="str">
        <f>IF($AQ311="","",IF(INDEX(C_Pavement!$G$5:$G$204,$AQ311)&lt;&gt;"",IF(INDEX(C_Pavement!$G$5:$G$204,$AQ311)="-","",INDEX(C_Pavement!$G$5:$G$204,$AQ311)),IF($AS311="","",INDEX(E_Rules!$F$5:$F$9,$AS311))))</f>
        <v/>
      </c>
      <c r="AX311" t="str">
        <f>IF($AQ311="","",IF(INDEX(C_Pavement!$H$5:$H$204,$AQ311)&lt;&gt;"",IF(INDEX(C_Pavement!$H$5:$H$204,$AQ311)="-","",INDEX(C_Pavement!$H$5:$H$204,$AQ311)),IF($AS311="","",INDEX(E_Rules!$G$5:$G$9,$AS311))))</f>
        <v/>
      </c>
      <c r="AY311" t="str">
        <f>IF($AQ311="","",IF(INDEX(C_Pavement!$I$5:$I$204,$AQ311)&lt;&gt;"",IF(INDEX(C_Pavement!$I$5:$I$204,$AQ311)="-","",INDEX(C_Pavement!$I$5:$I$204,$AQ311)),IF($AS311="","",INDEX(E_Rules!$H$5:$H$9,$AS311))))</f>
        <v/>
      </c>
    </row>
    <row r="312" spans="1:51" ht="15.75" customHeight="1" x14ac:dyDescent="0.3">
      <c r="A312" s="189">
        <v>307</v>
      </c>
      <c r="B312" s="180">
        <v>15300</v>
      </c>
      <c r="C312" s="180" t="s">
        <v>618</v>
      </c>
      <c r="D312" s="181" t="str">
        <f>IFERROR(LOOKUP(2,1/((A_Corridor!$A$5:$A$204&lt;&gt;"")*(A_Corridor!$A$5:$A$204&lt;=$B312)*(A_Corridor!$B$5:$B$204&gt;$B312)*(A_Corridor!$C$5:$C$204&lt;&gt;"")),IF(UPPER(A_Corridor!$C$5:$C$204)="Y",1,"")),"")</f>
        <v/>
      </c>
      <c r="E312" s="181" t="str">
        <f>IFERROR(LOOKUP(2,1/((A_Corridor!$A$5:$A$204&lt;&gt;"")*(A_Corridor!$A$5:$A$204&lt;=$B312)*(A_Corridor!$B$5:$B$204&gt;$B312)*(A_Corridor!$D$5:$D$204&lt;&gt;"")),IF(A_Corridor!$D$5:$D$204="-","",UPPER(A_Corridor!$D$5:$D$204))),"")</f>
        <v/>
      </c>
      <c r="F312" s="181" t="str">
        <f>IFERROR(LOOKUP(2,1/((A_Corridor!$A$5:$A$204&lt;&gt;"")*(A_Corridor!$A$5:$A$204&lt;=$B312)*(A_Corridor!$B$5:$B$204&gt;$B312)*(A_Corridor!$E$5:$E$204&lt;&gt;"")),IF(A_Corridor!$E$5:$E$204="-","",1)),"")</f>
        <v/>
      </c>
      <c r="G312" s="182" t="str">
        <f>IFERROR(LOOKUP(2,1/((A_Corridor!$A$5:$A$204&lt;&gt;"")*(A_Corridor!$A$5:$A$204&lt;=$B312)*(A_Corridor!$B$5:$B$204&gt;$B312)*(A_Corridor!$E$5:$E$204&lt;&gt;"")),IF(A_Corridor!$E$5:$E$204="-","",A_Corridor!$E$5:$E$204)),"")</f>
        <v/>
      </c>
      <c r="H312" s="182" t="str">
        <f>IFERROR(LOOKUP(2,1/((D_Points!$A$5:$A$204&lt;&gt;"")*(D_Points!$A$5:$A$204&gt;=$B312)*(D_Points!$A$5:$A$204&lt;$B312+P_Interval)*(UPPER(TRIM(D_Points!$B$5:$B$204))="GULLY")*(D_Points!$H$5:$H$204&lt;&gt;"")),D_Points!$H$5:$H$204),"")</f>
        <v/>
      </c>
      <c r="I312" s="181" t="str">
        <f>IFERROR(LOOKUP(2,1/((A_Corridor!$A$5:$A$204&lt;&gt;"")*(A_Corridor!$A$5:$A$204&lt;=$B312)*(A_Corridor!$B$5:$B$204&gt;$B312)*(A_Corridor!$F$5:$F$204&lt;&gt;"")),IF(A_Corridor!$F$5:$F$204="-","",1)),"")</f>
        <v/>
      </c>
      <c r="J312" s="182" t="str">
        <f>IFERROR(LOOKUP(2,1/((A_Corridor!$A$5:$A$204&lt;&gt;"")*(A_Corridor!$A$5:$A$204&lt;=$B312)*(A_Corridor!$B$5:$B$204&gt;$B312)*(A_Corridor!$F$5:$F$204&lt;&gt;"")),IF(A_Corridor!$F$5:$F$204="-","",A_Corridor!$F$5:$F$204)),"")</f>
        <v/>
      </c>
      <c r="K312" s="182" t="str">
        <f>IFERROR(LOOKUP(2,1/((A_Corridor!$A$5:$A$204&lt;&gt;"")*(A_Corridor!$A$5:$A$204&lt;=$B312)*(A_Corridor!$B$5:$B$204&gt;$B312)*(A_Corridor!$G$5:$G$204&lt;&gt;"")),IF(A_Corridor!$G$5:$G$204="-","",A_Corridor!$G$5:$G$204)),"")</f>
        <v/>
      </c>
      <c r="L312" s="181" t="str">
        <f>IFERROR(LOOKUP(2,1/((A_Corridor!$A$5:$A$204&lt;&gt;"")*(A_Corridor!$A$5:$A$204&lt;=$B312)*(A_Corridor!$B$5:$B$204&gt;$B312)*(A_Corridor!$H$5:$H$204&lt;&gt;"")),IF(A_Corridor!$H$5:$H$204="-","",1)),"")</f>
        <v/>
      </c>
      <c r="M312" s="182" t="str">
        <f>IFERROR(LOOKUP(2,1/((A_Corridor!$A$5:$A$204&lt;&gt;"")*(A_Corridor!$A$5:$A$204&lt;=$B312)*(A_Corridor!$B$5:$B$204&gt;$B312)*(A_Corridor!$H$5:$H$204&lt;&gt;"")),IF(A_Corridor!$H$5:$H$204="-","",A_Corridor!$H$5:$H$204)),"")</f>
        <v/>
      </c>
      <c r="N312" s="182" t="str">
        <f>IFERROR(LOOKUP(2,1/((A_Corridor!$A$5:$A$204&lt;&gt;"")*(A_Corridor!$A$5:$A$204&lt;=$B312)*(A_Corridor!$B$5:$B$204&gt;$B312)*(A_Corridor!$I$5:$I$204&lt;&gt;"")),IF(A_Corridor!$I$5:$I$204="-","",A_Corridor!$I$5:$I$204)),"")</f>
        <v/>
      </c>
      <c r="O312" s="182" t="str">
        <f>IFERROR(LOOKUP(2,1/((D_Points!$A$5:$A$204&lt;&gt;"")*(D_Points!$A$5:$A$204&gt;=$B312)*(D_Points!$A$5:$A$204&lt;$B312+P_Interval)*(UPPER(TRIM(D_Points!$B$5:$B$204))="PITCHING")*(D_Points!$H$5:$H$204&lt;&gt;"")),D_Points!$H$5:$H$204),"")</f>
        <v/>
      </c>
      <c r="P312" s="181" t="str">
        <f>IFERROR(LOOKUP(2,1/((B_Drainage!$A$5:$A$204&lt;&gt;"")*(B_Drainage!$A$5:$A$204&lt;=$B312)*(B_Drainage!$B$5:$B$204&gt;$B312)*(B_Drainage!$C$5:$C$204&lt;&gt;"")),IF(B_Drainage!$C$5:$C$204="-","",UPPER(B_Drainage!$C$5:$C$204))),"")</f>
        <v/>
      </c>
      <c r="Q312" s="181" t="str">
        <f>IFERROR(LOOKUP(2,1/((B_Drainage!$A$5:$A$204&lt;&gt;"")*(B_Drainage!$A$5:$A$204&lt;=$B312)*(B_Drainage!$B$5:$B$204&gt;$B312)*(B_Drainage!$D$5:$D$204&lt;&gt;"")),IF(B_Drainage!$D$5:$D$204="-","",UPPER(B_Drainage!$D$5:$D$204))),"")</f>
        <v/>
      </c>
      <c r="R312" s="182" t="str">
        <f>IFERROR(LOOKUP(2,1/((D_Points!$A$5:$A$204&lt;&gt;"")*(D_Points!$A$5:$A$204&gt;=$B312)*(D_Points!$A$5:$A$204&lt;$B312+P_Interval)*(RIGHT(UPPER(TRIM(D_Points!$B$5:$B$204)),8)="_CULVERT")),IF(LEFT(UPPER(TRIM(D_Points!$B$5:$B$204)),2)="EX",1,IF(LEFT(UPPER(TRIM(D_Points!$B$5:$B$204)),2)="PR",2,3))),"")</f>
        <v/>
      </c>
      <c r="S312" s="182" t="str">
        <f>IFERROR(LOOKUP(2,1/((D_Points!$A$5:$A$204&lt;&gt;"")*(D_Points!$A$5:$A$204&gt;=$B312)*(D_Points!$A$5:$A$204&lt;$B312+P_Interval)*(RIGHT(UPPER(TRIM(D_Points!$B$5:$B$204)),7)="_BRIDGE")),IF(LEFT(UPPER(TRIM(D_Points!$B$5:$B$204)),2)="EX",1,IF(LEFT(UPPER(TRIM(D_Points!$B$5:$B$204)),2)="PR",2,2))),"")</f>
        <v/>
      </c>
      <c r="T312" s="181" t="str">
        <f>IFERROR(LOOKUP(2,1/((B_Drainage!$A$5:$A$204&lt;&gt;"")*(B_Drainage!$A$5:$A$204&lt;=$B312)*(B_Drainage!$B$5:$B$204&gt;$B312)*(B_Drainage!$E$5:$E$204&lt;&gt;"")),IF(B_Drainage!$E$5:$E$204="-","",1)),"")</f>
        <v/>
      </c>
      <c r="U312" s="181" t="str">
        <f>IFERROR(LOOKUP(2,1/((B_Drainage!$A$5:$A$204&lt;&gt;"")*(B_Drainage!$A$5:$A$204&lt;=$B312)*(B_Drainage!$B$5:$B$204&gt;$B312)*(B_Drainage!$E$5:$E$204&lt;&gt;"")),IF(B_Drainage!$E$5:$E$204="-","",B_Drainage!$E$5:$E$204)),"")</f>
        <v/>
      </c>
      <c r="V312" s="181" t="str">
        <f>IFERROR(LOOKUP(2,1/((B_Drainage!$A$5:$A$204&lt;&gt;"")*(B_Drainage!$A$5:$A$204&lt;=$B312)*(B_Drainage!$B$5:$B$204&gt;$B312)*(B_Drainage!$F$5:$F$204&lt;&gt;"")),IF(B_Drainage!$F$5:$F$204="-","",1)),"")</f>
        <v/>
      </c>
      <c r="W312" s="181" t="str">
        <f>IFERROR(LOOKUP(2,1/((B_Drainage!$A$5:$A$204&lt;&gt;"")*(B_Drainage!$A$5:$A$204&lt;=$B312)*(B_Drainage!$B$5:$B$204&gt;$B312)*(B_Drainage!$F$5:$F$204&lt;&gt;"")),IF(B_Drainage!$F$5:$F$204="-","",B_Drainage!$F$5:$F$204)),"")</f>
        <v/>
      </c>
      <c r="X312" s="181" t="str">
        <f>IFERROR(LOOKUP(2,1/((B_Drainage!$A$5:$A$204&lt;&gt;"")*(B_Drainage!$A$5:$A$204&lt;=$B312)*(B_Drainage!$B$5:$B$204&gt;$B312)*(B_Drainage!$G$5:$G$204&lt;&gt;"")),IF(UPPER(B_Drainage!$G$5:$G$204)="Y",1,"")),"")</f>
        <v/>
      </c>
      <c r="Y312" s="181" t="str">
        <f>IFERROR(LOOKUP(2,1/((B_Drainage!$A$5:$A$204&lt;&gt;"")*(B_Drainage!$A$5:$A$204&lt;=$B312)*(B_Drainage!$B$5:$B$204&gt;$B312)*(B_Drainage!$H$5:$H$204&lt;&gt;"")),IF(UPPER(B_Drainage!$H$5:$H$204)="Y",1,"")),"")</f>
        <v/>
      </c>
      <c r="Z312" s="181" t="str">
        <f>IFERROR(LOOKUP(2,1/((B_Drainage!$A$5:$A$204&lt;&gt;"")*(B_Drainage!$A$5:$A$204&lt;=$B312)*(B_Drainage!$B$5:$B$204&gt;$B312)*(B_Drainage!$I$5:$I$204&lt;&gt;"")),IF(UPPER(B_Drainage!$I$5:$I$204)="Y",1,"")),"")</f>
        <v/>
      </c>
      <c r="AA312" s="181" t="str">
        <f>IFERROR(LOOKUP(2,1/((B_Drainage!$A$5:$A$204&lt;&gt;"")*(B_Drainage!$A$5:$A$204&lt;=$B312)*(B_Drainage!$B$5:$B$204&gt;$B312)*(B_Drainage!$J$5:$J$204&lt;&gt;"")),IF(UPPER(B_Drainage!$J$5:$J$204)="Y",1,"")),"")</f>
        <v/>
      </c>
      <c r="AB312" s="182" t="str">
        <f>IFERROR(LOOKUP(2,1/((B_Drainage!$A$5:$A$204&lt;&gt;"")*(B_Drainage!$A$5:$A$204&lt;=$B312)*(B_Drainage!$B$5:$B$204&gt;$B312)*(B_Drainage!$K$5:$K$204&lt;&gt;"")),IF(B_Drainage!$K$5:$K$204="-","",B_Drainage!$K$5:$K$204)),"")</f>
        <v/>
      </c>
      <c r="AC312" s="182" t="str">
        <f>IFERROR(LOOKUP(2,1/((B_Drainage!$A$5:$A$204&lt;&gt;"")*(B_Drainage!$A$5:$A$204&lt;=$B312)*(B_Drainage!$B$5:$B$204&gt;$B312)*(B_Drainage!$L$5:$L$204&lt;&gt;"")),IF(B_Drainage!$L$5:$L$204="-","",B_Drainage!$L$5:$L$204)),"")</f>
        <v/>
      </c>
      <c r="AD312" s="182" t="str">
        <f>IFERROR(LOOKUP(2,1/((D_Points!$A$5:$A$204&lt;&gt;"")*(D_Points!$A$5:$A$204&gt;=$B312)*(D_Points!$A$5:$A$204&lt;$B312+P_Interval)*(UPPER(TRIM(D_Points!$B$5:$B$204))="TURNOUT_L")*(D_Points!$H$5:$H$204&lt;&gt;"")),D_Points!$H$5:$H$204),"")</f>
        <v/>
      </c>
      <c r="AE312" s="182" t="str">
        <f>IFERROR(LOOKUP(2,1/((D_Points!$A$5:$A$204&lt;&gt;"")*(D_Points!$A$5:$A$204&gt;=$B312)*(D_Points!$A$5:$A$204&lt;$B312+P_Interval)*(UPPER(TRIM(D_Points!$B$5:$B$204))="TURNOUT_R")*(D_Points!$H$5:$H$204&lt;&gt;"")),D_Points!$H$5:$H$204),"")</f>
        <v/>
      </c>
      <c r="AF312" s="181" t="str">
        <f>IFERROR(LOOKUP(2,1/((B_Drainage!$A$5:$A$204&lt;&gt;"")*(B_Drainage!$A$5:$A$204&lt;=$B312)*(B_Drainage!$B$5:$B$204&gt;$B312)*(B_Drainage!$M$5:$M$204&lt;&gt;"")),IF(UPPER(B_Drainage!$M$5:$M$204)="Y",1,"")),"")</f>
        <v/>
      </c>
      <c r="AG312" s="181" t="str">
        <f>IFERROR(LOOKUP(2,1/((B_Drainage!$A$5:$A$204&lt;&gt;"")*(B_Drainage!$A$5:$A$204&lt;=$B312)*(B_Drainage!$B$5:$B$204&gt;$B312)*(B_Drainage!$N$5:$N$204&lt;&gt;"")),IF(UPPER(B_Drainage!$N$5:$N$204)="Y",1,"")),"")</f>
        <v/>
      </c>
      <c r="AH312" s="181" t="str">
        <f t="shared" si="32"/>
        <v/>
      </c>
      <c r="AI312" s="181" t="str">
        <f t="shared" si="33"/>
        <v/>
      </c>
      <c r="AJ312" s="181" t="str">
        <f t="shared" si="34"/>
        <v/>
      </c>
      <c r="AK312" s="181" t="str">
        <f t="shared" si="35"/>
        <v/>
      </c>
      <c r="AL312" s="181" t="str">
        <f t="shared" si="36"/>
        <v/>
      </c>
      <c r="AM312" s="181" t="str">
        <f t="shared" si="37"/>
        <v/>
      </c>
      <c r="AN312" s="181" t="str">
        <f t="shared" si="38"/>
        <v/>
      </c>
      <c r="AO312" s="192" t="str">
        <f t="shared" si="39"/>
        <v/>
      </c>
      <c r="AQ312" t="str">
        <f>IFERROR(LOOKUP(2,1/((C_Pavement!$A$5:$A$204&lt;&gt;"")*(C_Pavement!$A$5:$A$204&lt;=$B312)*(C_Pavement!$B$5:$B$204&gt;$B312)*(C_Pavement!$C$5:$C$204&lt;&gt;"")),ROW(C_Pavement!$C$5:$C$204)-4),"")</f>
        <v/>
      </c>
      <c r="AR312" t="str">
        <f>IF($AQ312="","",UPPER(TRIM(INDEX(C_Pavement!$C$5:$C$204,$AQ312))))</f>
        <v/>
      </c>
      <c r="AS312" t="str">
        <f>IF($AR312="","",IFERROR(MATCH($AR312,E_Rules!$A$5:$A$9,0),""))</f>
        <v/>
      </c>
      <c r="AT312" t="str">
        <f>IF($AQ312="","",IF(INDEX(C_Pavement!$D$5:$D$204,$AQ312)&lt;&gt;"",UPPER(TRIM(INDEX(C_Pavement!$D$5:$D$204,$AQ312))),IF($AS312="","",INDEX(E_Rules!$C$5:$C$9,$AS312))))</f>
        <v/>
      </c>
      <c r="AU312" t="str">
        <f>IF($AQ312="","",IF(INDEX(C_Pavement!$E$5:$E$204,$AQ312)&lt;&gt;"",IF(INDEX(C_Pavement!$E$5:$E$204,$AQ312)="-","",INDEX(C_Pavement!$E$5:$E$204,$AQ312)),IF($AS312="","",INDEX(E_Rules!$D$5:$D$9,$AS312))))</f>
        <v/>
      </c>
      <c r="AV312" t="str">
        <f>IF($AQ312="","",IF(INDEX(C_Pavement!$F$5:$F$204,$AQ312)&lt;&gt;"",IF(INDEX(C_Pavement!$F$5:$F$204,$AQ312)="-","",INDEX(C_Pavement!$F$5:$F$204,$AQ312)),IF($AS312="","",INDEX(E_Rules!$E$5:$E$9,$AS312))))</f>
        <v/>
      </c>
      <c r="AW312" t="str">
        <f>IF($AQ312="","",IF(INDEX(C_Pavement!$G$5:$G$204,$AQ312)&lt;&gt;"",IF(INDEX(C_Pavement!$G$5:$G$204,$AQ312)="-","",INDEX(C_Pavement!$G$5:$G$204,$AQ312)),IF($AS312="","",INDEX(E_Rules!$F$5:$F$9,$AS312))))</f>
        <v/>
      </c>
      <c r="AX312" t="str">
        <f>IF($AQ312="","",IF(INDEX(C_Pavement!$H$5:$H$204,$AQ312)&lt;&gt;"",IF(INDEX(C_Pavement!$H$5:$H$204,$AQ312)="-","",INDEX(C_Pavement!$H$5:$H$204,$AQ312)),IF($AS312="","",INDEX(E_Rules!$G$5:$G$9,$AS312))))</f>
        <v/>
      </c>
      <c r="AY312" t="str">
        <f>IF($AQ312="","",IF(INDEX(C_Pavement!$I$5:$I$204,$AQ312)&lt;&gt;"",IF(INDEX(C_Pavement!$I$5:$I$204,$AQ312)="-","",INDEX(C_Pavement!$I$5:$I$204,$AQ312)),IF($AS312="","",INDEX(E_Rules!$H$5:$H$9,$AS312))))</f>
        <v/>
      </c>
    </row>
    <row r="313" spans="1:51" ht="15.75" customHeight="1" x14ac:dyDescent="0.3">
      <c r="A313" s="189">
        <v>308</v>
      </c>
      <c r="B313" s="180">
        <v>15350</v>
      </c>
      <c r="C313" s="180" t="s">
        <v>619</v>
      </c>
      <c r="D313" s="181" t="str">
        <f>IFERROR(LOOKUP(2,1/((A_Corridor!$A$5:$A$204&lt;&gt;"")*(A_Corridor!$A$5:$A$204&lt;=$B313)*(A_Corridor!$B$5:$B$204&gt;$B313)*(A_Corridor!$C$5:$C$204&lt;&gt;"")),IF(UPPER(A_Corridor!$C$5:$C$204)="Y",1,"")),"")</f>
        <v/>
      </c>
      <c r="E313" s="181" t="str">
        <f>IFERROR(LOOKUP(2,1/((A_Corridor!$A$5:$A$204&lt;&gt;"")*(A_Corridor!$A$5:$A$204&lt;=$B313)*(A_Corridor!$B$5:$B$204&gt;$B313)*(A_Corridor!$D$5:$D$204&lt;&gt;"")),IF(A_Corridor!$D$5:$D$204="-","",UPPER(A_Corridor!$D$5:$D$204))),"")</f>
        <v/>
      </c>
      <c r="F313" s="181" t="str">
        <f>IFERROR(LOOKUP(2,1/((A_Corridor!$A$5:$A$204&lt;&gt;"")*(A_Corridor!$A$5:$A$204&lt;=$B313)*(A_Corridor!$B$5:$B$204&gt;$B313)*(A_Corridor!$E$5:$E$204&lt;&gt;"")),IF(A_Corridor!$E$5:$E$204="-","",1)),"")</f>
        <v/>
      </c>
      <c r="G313" s="182" t="str">
        <f>IFERROR(LOOKUP(2,1/((A_Corridor!$A$5:$A$204&lt;&gt;"")*(A_Corridor!$A$5:$A$204&lt;=$B313)*(A_Corridor!$B$5:$B$204&gt;$B313)*(A_Corridor!$E$5:$E$204&lt;&gt;"")),IF(A_Corridor!$E$5:$E$204="-","",A_Corridor!$E$5:$E$204)),"")</f>
        <v/>
      </c>
      <c r="H313" s="182" t="str">
        <f>IFERROR(LOOKUP(2,1/((D_Points!$A$5:$A$204&lt;&gt;"")*(D_Points!$A$5:$A$204&gt;=$B313)*(D_Points!$A$5:$A$204&lt;$B313+P_Interval)*(UPPER(TRIM(D_Points!$B$5:$B$204))="GULLY")*(D_Points!$H$5:$H$204&lt;&gt;"")),D_Points!$H$5:$H$204),"")</f>
        <v/>
      </c>
      <c r="I313" s="181" t="str">
        <f>IFERROR(LOOKUP(2,1/((A_Corridor!$A$5:$A$204&lt;&gt;"")*(A_Corridor!$A$5:$A$204&lt;=$B313)*(A_Corridor!$B$5:$B$204&gt;$B313)*(A_Corridor!$F$5:$F$204&lt;&gt;"")),IF(A_Corridor!$F$5:$F$204="-","",1)),"")</f>
        <v/>
      </c>
      <c r="J313" s="182" t="str">
        <f>IFERROR(LOOKUP(2,1/((A_Corridor!$A$5:$A$204&lt;&gt;"")*(A_Corridor!$A$5:$A$204&lt;=$B313)*(A_Corridor!$B$5:$B$204&gt;$B313)*(A_Corridor!$F$5:$F$204&lt;&gt;"")),IF(A_Corridor!$F$5:$F$204="-","",A_Corridor!$F$5:$F$204)),"")</f>
        <v/>
      </c>
      <c r="K313" s="182" t="str">
        <f>IFERROR(LOOKUP(2,1/((A_Corridor!$A$5:$A$204&lt;&gt;"")*(A_Corridor!$A$5:$A$204&lt;=$B313)*(A_Corridor!$B$5:$B$204&gt;$B313)*(A_Corridor!$G$5:$G$204&lt;&gt;"")),IF(A_Corridor!$G$5:$G$204="-","",A_Corridor!$G$5:$G$204)),"")</f>
        <v/>
      </c>
      <c r="L313" s="181" t="str">
        <f>IFERROR(LOOKUP(2,1/((A_Corridor!$A$5:$A$204&lt;&gt;"")*(A_Corridor!$A$5:$A$204&lt;=$B313)*(A_Corridor!$B$5:$B$204&gt;$B313)*(A_Corridor!$H$5:$H$204&lt;&gt;"")),IF(A_Corridor!$H$5:$H$204="-","",1)),"")</f>
        <v/>
      </c>
      <c r="M313" s="182" t="str">
        <f>IFERROR(LOOKUP(2,1/((A_Corridor!$A$5:$A$204&lt;&gt;"")*(A_Corridor!$A$5:$A$204&lt;=$B313)*(A_Corridor!$B$5:$B$204&gt;$B313)*(A_Corridor!$H$5:$H$204&lt;&gt;"")),IF(A_Corridor!$H$5:$H$204="-","",A_Corridor!$H$5:$H$204)),"")</f>
        <v/>
      </c>
      <c r="N313" s="182" t="str">
        <f>IFERROR(LOOKUP(2,1/((A_Corridor!$A$5:$A$204&lt;&gt;"")*(A_Corridor!$A$5:$A$204&lt;=$B313)*(A_Corridor!$B$5:$B$204&gt;$B313)*(A_Corridor!$I$5:$I$204&lt;&gt;"")),IF(A_Corridor!$I$5:$I$204="-","",A_Corridor!$I$5:$I$204)),"")</f>
        <v/>
      </c>
      <c r="O313" s="182" t="str">
        <f>IFERROR(LOOKUP(2,1/((D_Points!$A$5:$A$204&lt;&gt;"")*(D_Points!$A$5:$A$204&gt;=$B313)*(D_Points!$A$5:$A$204&lt;$B313+P_Interval)*(UPPER(TRIM(D_Points!$B$5:$B$204))="PITCHING")*(D_Points!$H$5:$H$204&lt;&gt;"")),D_Points!$H$5:$H$204),"")</f>
        <v/>
      </c>
      <c r="P313" s="181" t="str">
        <f>IFERROR(LOOKUP(2,1/((B_Drainage!$A$5:$A$204&lt;&gt;"")*(B_Drainage!$A$5:$A$204&lt;=$B313)*(B_Drainage!$B$5:$B$204&gt;$B313)*(B_Drainage!$C$5:$C$204&lt;&gt;"")),IF(B_Drainage!$C$5:$C$204="-","",UPPER(B_Drainage!$C$5:$C$204))),"")</f>
        <v/>
      </c>
      <c r="Q313" s="181" t="str">
        <f>IFERROR(LOOKUP(2,1/((B_Drainage!$A$5:$A$204&lt;&gt;"")*(B_Drainage!$A$5:$A$204&lt;=$B313)*(B_Drainage!$B$5:$B$204&gt;$B313)*(B_Drainage!$D$5:$D$204&lt;&gt;"")),IF(B_Drainage!$D$5:$D$204="-","",UPPER(B_Drainage!$D$5:$D$204))),"")</f>
        <v/>
      </c>
      <c r="R313" s="182" t="str">
        <f>IFERROR(LOOKUP(2,1/((D_Points!$A$5:$A$204&lt;&gt;"")*(D_Points!$A$5:$A$204&gt;=$B313)*(D_Points!$A$5:$A$204&lt;$B313+P_Interval)*(RIGHT(UPPER(TRIM(D_Points!$B$5:$B$204)),8)="_CULVERT")),IF(LEFT(UPPER(TRIM(D_Points!$B$5:$B$204)),2)="EX",1,IF(LEFT(UPPER(TRIM(D_Points!$B$5:$B$204)),2)="PR",2,3))),"")</f>
        <v/>
      </c>
      <c r="S313" s="182" t="str">
        <f>IFERROR(LOOKUP(2,1/((D_Points!$A$5:$A$204&lt;&gt;"")*(D_Points!$A$5:$A$204&gt;=$B313)*(D_Points!$A$5:$A$204&lt;$B313+P_Interval)*(RIGHT(UPPER(TRIM(D_Points!$B$5:$B$204)),7)="_BRIDGE")),IF(LEFT(UPPER(TRIM(D_Points!$B$5:$B$204)),2)="EX",1,IF(LEFT(UPPER(TRIM(D_Points!$B$5:$B$204)),2)="PR",2,2))),"")</f>
        <v/>
      </c>
      <c r="T313" s="181" t="str">
        <f>IFERROR(LOOKUP(2,1/((B_Drainage!$A$5:$A$204&lt;&gt;"")*(B_Drainage!$A$5:$A$204&lt;=$B313)*(B_Drainage!$B$5:$B$204&gt;$B313)*(B_Drainage!$E$5:$E$204&lt;&gt;"")),IF(B_Drainage!$E$5:$E$204="-","",1)),"")</f>
        <v/>
      </c>
      <c r="U313" s="181" t="str">
        <f>IFERROR(LOOKUP(2,1/((B_Drainage!$A$5:$A$204&lt;&gt;"")*(B_Drainage!$A$5:$A$204&lt;=$B313)*(B_Drainage!$B$5:$B$204&gt;$B313)*(B_Drainage!$E$5:$E$204&lt;&gt;"")),IF(B_Drainage!$E$5:$E$204="-","",B_Drainage!$E$5:$E$204)),"")</f>
        <v/>
      </c>
      <c r="V313" s="181" t="str">
        <f>IFERROR(LOOKUP(2,1/((B_Drainage!$A$5:$A$204&lt;&gt;"")*(B_Drainage!$A$5:$A$204&lt;=$B313)*(B_Drainage!$B$5:$B$204&gt;$B313)*(B_Drainage!$F$5:$F$204&lt;&gt;"")),IF(B_Drainage!$F$5:$F$204="-","",1)),"")</f>
        <v/>
      </c>
      <c r="W313" s="181" t="str">
        <f>IFERROR(LOOKUP(2,1/((B_Drainage!$A$5:$A$204&lt;&gt;"")*(B_Drainage!$A$5:$A$204&lt;=$B313)*(B_Drainage!$B$5:$B$204&gt;$B313)*(B_Drainage!$F$5:$F$204&lt;&gt;"")),IF(B_Drainage!$F$5:$F$204="-","",B_Drainage!$F$5:$F$204)),"")</f>
        <v/>
      </c>
      <c r="X313" s="181" t="str">
        <f>IFERROR(LOOKUP(2,1/((B_Drainage!$A$5:$A$204&lt;&gt;"")*(B_Drainage!$A$5:$A$204&lt;=$B313)*(B_Drainage!$B$5:$B$204&gt;$B313)*(B_Drainage!$G$5:$G$204&lt;&gt;"")),IF(UPPER(B_Drainage!$G$5:$G$204)="Y",1,"")),"")</f>
        <v/>
      </c>
      <c r="Y313" s="181" t="str">
        <f>IFERROR(LOOKUP(2,1/((B_Drainage!$A$5:$A$204&lt;&gt;"")*(B_Drainage!$A$5:$A$204&lt;=$B313)*(B_Drainage!$B$5:$B$204&gt;$B313)*(B_Drainage!$H$5:$H$204&lt;&gt;"")),IF(UPPER(B_Drainage!$H$5:$H$204)="Y",1,"")),"")</f>
        <v/>
      </c>
      <c r="Z313" s="181" t="str">
        <f>IFERROR(LOOKUP(2,1/((B_Drainage!$A$5:$A$204&lt;&gt;"")*(B_Drainage!$A$5:$A$204&lt;=$B313)*(B_Drainage!$B$5:$B$204&gt;$B313)*(B_Drainage!$I$5:$I$204&lt;&gt;"")),IF(UPPER(B_Drainage!$I$5:$I$204)="Y",1,"")),"")</f>
        <v/>
      </c>
      <c r="AA313" s="181" t="str">
        <f>IFERROR(LOOKUP(2,1/((B_Drainage!$A$5:$A$204&lt;&gt;"")*(B_Drainage!$A$5:$A$204&lt;=$B313)*(B_Drainage!$B$5:$B$204&gt;$B313)*(B_Drainage!$J$5:$J$204&lt;&gt;"")),IF(UPPER(B_Drainage!$J$5:$J$204)="Y",1,"")),"")</f>
        <v/>
      </c>
      <c r="AB313" s="182" t="str">
        <f>IFERROR(LOOKUP(2,1/((B_Drainage!$A$5:$A$204&lt;&gt;"")*(B_Drainage!$A$5:$A$204&lt;=$B313)*(B_Drainage!$B$5:$B$204&gt;$B313)*(B_Drainage!$K$5:$K$204&lt;&gt;"")),IF(B_Drainage!$K$5:$K$204="-","",B_Drainage!$K$5:$K$204)),"")</f>
        <v/>
      </c>
      <c r="AC313" s="182" t="str">
        <f>IFERROR(LOOKUP(2,1/((B_Drainage!$A$5:$A$204&lt;&gt;"")*(B_Drainage!$A$5:$A$204&lt;=$B313)*(B_Drainage!$B$5:$B$204&gt;$B313)*(B_Drainage!$L$5:$L$204&lt;&gt;"")),IF(B_Drainage!$L$5:$L$204="-","",B_Drainage!$L$5:$L$204)),"")</f>
        <v/>
      </c>
      <c r="AD313" s="182" t="str">
        <f>IFERROR(LOOKUP(2,1/((D_Points!$A$5:$A$204&lt;&gt;"")*(D_Points!$A$5:$A$204&gt;=$B313)*(D_Points!$A$5:$A$204&lt;$B313+P_Interval)*(UPPER(TRIM(D_Points!$B$5:$B$204))="TURNOUT_L")*(D_Points!$H$5:$H$204&lt;&gt;"")),D_Points!$H$5:$H$204),"")</f>
        <v/>
      </c>
      <c r="AE313" s="182" t="str">
        <f>IFERROR(LOOKUP(2,1/((D_Points!$A$5:$A$204&lt;&gt;"")*(D_Points!$A$5:$A$204&gt;=$B313)*(D_Points!$A$5:$A$204&lt;$B313+P_Interval)*(UPPER(TRIM(D_Points!$B$5:$B$204))="TURNOUT_R")*(D_Points!$H$5:$H$204&lt;&gt;"")),D_Points!$H$5:$H$204),"")</f>
        <v/>
      </c>
      <c r="AF313" s="181" t="str">
        <f>IFERROR(LOOKUP(2,1/((B_Drainage!$A$5:$A$204&lt;&gt;"")*(B_Drainage!$A$5:$A$204&lt;=$B313)*(B_Drainage!$B$5:$B$204&gt;$B313)*(B_Drainage!$M$5:$M$204&lt;&gt;"")),IF(UPPER(B_Drainage!$M$5:$M$204)="Y",1,"")),"")</f>
        <v/>
      </c>
      <c r="AG313" s="181" t="str">
        <f>IFERROR(LOOKUP(2,1/((B_Drainage!$A$5:$A$204&lt;&gt;"")*(B_Drainage!$A$5:$A$204&lt;=$B313)*(B_Drainage!$B$5:$B$204&gt;$B313)*(B_Drainage!$N$5:$N$204&lt;&gt;"")),IF(UPPER(B_Drainage!$N$5:$N$204)="Y",1,"")),"")</f>
        <v/>
      </c>
      <c r="AH313" s="181" t="str">
        <f t="shared" si="32"/>
        <v/>
      </c>
      <c r="AI313" s="181" t="str">
        <f t="shared" si="33"/>
        <v/>
      </c>
      <c r="AJ313" s="181" t="str">
        <f t="shared" si="34"/>
        <v/>
      </c>
      <c r="AK313" s="181" t="str">
        <f t="shared" si="35"/>
        <v/>
      </c>
      <c r="AL313" s="181" t="str">
        <f t="shared" si="36"/>
        <v/>
      </c>
      <c r="AM313" s="181" t="str">
        <f t="shared" si="37"/>
        <v/>
      </c>
      <c r="AN313" s="181" t="str">
        <f t="shared" si="38"/>
        <v/>
      </c>
      <c r="AO313" s="192" t="str">
        <f t="shared" si="39"/>
        <v/>
      </c>
      <c r="AQ313" t="str">
        <f>IFERROR(LOOKUP(2,1/((C_Pavement!$A$5:$A$204&lt;&gt;"")*(C_Pavement!$A$5:$A$204&lt;=$B313)*(C_Pavement!$B$5:$B$204&gt;$B313)*(C_Pavement!$C$5:$C$204&lt;&gt;"")),ROW(C_Pavement!$C$5:$C$204)-4),"")</f>
        <v/>
      </c>
      <c r="AR313" t="str">
        <f>IF($AQ313="","",UPPER(TRIM(INDEX(C_Pavement!$C$5:$C$204,$AQ313))))</f>
        <v/>
      </c>
      <c r="AS313" t="str">
        <f>IF($AR313="","",IFERROR(MATCH($AR313,E_Rules!$A$5:$A$9,0),""))</f>
        <v/>
      </c>
      <c r="AT313" t="str">
        <f>IF($AQ313="","",IF(INDEX(C_Pavement!$D$5:$D$204,$AQ313)&lt;&gt;"",UPPER(TRIM(INDEX(C_Pavement!$D$5:$D$204,$AQ313))),IF($AS313="","",INDEX(E_Rules!$C$5:$C$9,$AS313))))</f>
        <v/>
      </c>
      <c r="AU313" t="str">
        <f>IF($AQ313="","",IF(INDEX(C_Pavement!$E$5:$E$204,$AQ313)&lt;&gt;"",IF(INDEX(C_Pavement!$E$5:$E$204,$AQ313)="-","",INDEX(C_Pavement!$E$5:$E$204,$AQ313)),IF($AS313="","",INDEX(E_Rules!$D$5:$D$9,$AS313))))</f>
        <v/>
      </c>
      <c r="AV313" t="str">
        <f>IF($AQ313="","",IF(INDEX(C_Pavement!$F$5:$F$204,$AQ313)&lt;&gt;"",IF(INDEX(C_Pavement!$F$5:$F$204,$AQ313)="-","",INDEX(C_Pavement!$F$5:$F$204,$AQ313)),IF($AS313="","",INDEX(E_Rules!$E$5:$E$9,$AS313))))</f>
        <v/>
      </c>
      <c r="AW313" t="str">
        <f>IF($AQ313="","",IF(INDEX(C_Pavement!$G$5:$G$204,$AQ313)&lt;&gt;"",IF(INDEX(C_Pavement!$G$5:$G$204,$AQ313)="-","",INDEX(C_Pavement!$G$5:$G$204,$AQ313)),IF($AS313="","",INDEX(E_Rules!$F$5:$F$9,$AS313))))</f>
        <v/>
      </c>
      <c r="AX313" t="str">
        <f>IF($AQ313="","",IF(INDEX(C_Pavement!$H$5:$H$204,$AQ313)&lt;&gt;"",IF(INDEX(C_Pavement!$H$5:$H$204,$AQ313)="-","",INDEX(C_Pavement!$H$5:$H$204,$AQ313)),IF($AS313="","",INDEX(E_Rules!$G$5:$G$9,$AS313))))</f>
        <v/>
      </c>
      <c r="AY313" t="str">
        <f>IF($AQ313="","",IF(INDEX(C_Pavement!$I$5:$I$204,$AQ313)&lt;&gt;"",IF(INDEX(C_Pavement!$I$5:$I$204,$AQ313)="-","",INDEX(C_Pavement!$I$5:$I$204,$AQ313)),IF($AS313="","",INDEX(E_Rules!$H$5:$H$9,$AS313))))</f>
        <v/>
      </c>
    </row>
    <row r="314" spans="1:51" ht="15.75" customHeight="1" x14ac:dyDescent="0.3">
      <c r="A314" s="189">
        <v>309</v>
      </c>
      <c r="B314" s="180">
        <v>15400</v>
      </c>
      <c r="C314" s="180" t="s">
        <v>620</v>
      </c>
      <c r="D314" s="181" t="str">
        <f>IFERROR(LOOKUP(2,1/((A_Corridor!$A$5:$A$204&lt;&gt;"")*(A_Corridor!$A$5:$A$204&lt;=$B314)*(A_Corridor!$B$5:$B$204&gt;$B314)*(A_Corridor!$C$5:$C$204&lt;&gt;"")),IF(UPPER(A_Corridor!$C$5:$C$204)="Y",1,"")),"")</f>
        <v/>
      </c>
      <c r="E314" s="181" t="str">
        <f>IFERROR(LOOKUP(2,1/((A_Corridor!$A$5:$A$204&lt;&gt;"")*(A_Corridor!$A$5:$A$204&lt;=$B314)*(A_Corridor!$B$5:$B$204&gt;$B314)*(A_Corridor!$D$5:$D$204&lt;&gt;"")),IF(A_Corridor!$D$5:$D$204="-","",UPPER(A_Corridor!$D$5:$D$204))),"")</f>
        <v/>
      </c>
      <c r="F314" s="181" t="str">
        <f>IFERROR(LOOKUP(2,1/((A_Corridor!$A$5:$A$204&lt;&gt;"")*(A_Corridor!$A$5:$A$204&lt;=$B314)*(A_Corridor!$B$5:$B$204&gt;$B314)*(A_Corridor!$E$5:$E$204&lt;&gt;"")),IF(A_Corridor!$E$5:$E$204="-","",1)),"")</f>
        <v/>
      </c>
      <c r="G314" s="182" t="str">
        <f>IFERROR(LOOKUP(2,1/((A_Corridor!$A$5:$A$204&lt;&gt;"")*(A_Corridor!$A$5:$A$204&lt;=$B314)*(A_Corridor!$B$5:$B$204&gt;$B314)*(A_Corridor!$E$5:$E$204&lt;&gt;"")),IF(A_Corridor!$E$5:$E$204="-","",A_Corridor!$E$5:$E$204)),"")</f>
        <v/>
      </c>
      <c r="H314" s="182" t="str">
        <f>IFERROR(LOOKUP(2,1/((D_Points!$A$5:$A$204&lt;&gt;"")*(D_Points!$A$5:$A$204&gt;=$B314)*(D_Points!$A$5:$A$204&lt;$B314+P_Interval)*(UPPER(TRIM(D_Points!$B$5:$B$204))="GULLY")*(D_Points!$H$5:$H$204&lt;&gt;"")),D_Points!$H$5:$H$204),"")</f>
        <v/>
      </c>
      <c r="I314" s="181" t="str">
        <f>IFERROR(LOOKUP(2,1/((A_Corridor!$A$5:$A$204&lt;&gt;"")*(A_Corridor!$A$5:$A$204&lt;=$B314)*(A_Corridor!$B$5:$B$204&gt;$B314)*(A_Corridor!$F$5:$F$204&lt;&gt;"")),IF(A_Corridor!$F$5:$F$204="-","",1)),"")</f>
        <v/>
      </c>
      <c r="J314" s="182" t="str">
        <f>IFERROR(LOOKUP(2,1/((A_Corridor!$A$5:$A$204&lt;&gt;"")*(A_Corridor!$A$5:$A$204&lt;=$B314)*(A_Corridor!$B$5:$B$204&gt;$B314)*(A_Corridor!$F$5:$F$204&lt;&gt;"")),IF(A_Corridor!$F$5:$F$204="-","",A_Corridor!$F$5:$F$204)),"")</f>
        <v/>
      </c>
      <c r="K314" s="182" t="str">
        <f>IFERROR(LOOKUP(2,1/((A_Corridor!$A$5:$A$204&lt;&gt;"")*(A_Corridor!$A$5:$A$204&lt;=$B314)*(A_Corridor!$B$5:$B$204&gt;$B314)*(A_Corridor!$G$5:$G$204&lt;&gt;"")),IF(A_Corridor!$G$5:$G$204="-","",A_Corridor!$G$5:$G$204)),"")</f>
        <v/>
      </c>
      <c r="L314" s="181" t="str">
        <f>IFERROR(LOOKUP(2,1/((A_Corridor!$A$5:$A$204&lt;&gt;"")*(A_Corridor!$A$5:$A$204&lt;=$B314)*(A_Corridor!$B$5:$B$204&gt;$B314)*(A_Corridor!$H$5:$H$204&lt;&gt;"")),IF(A_Corridor!$H$5:$H$204="-","",1)),"")</f>
        <v/>
      </c>
      <c r="M314" s="182" t="str">
        <f>IFERROR(LOOKUP(2,1/((A_Corridor!$A$5:$A$204&lt;&gt;"")*(A_Corridor!$A$5:$A$204&lt;=$B314)*(A_Corridor!$B$5:$B$204&gt;$B314)*(A_Corridor!$H$5:$H$204&lt;&gt;"")),IF(A_Corridor!$H$5:$H$204="-","",A_Corridor!$H$5:$H$204)),"")</f>
        <v/>
      </c>
      <c r="N314" s="182" t="str">
        <f>IFERROR(LOOKUP(2,1/((A_Corridor!$A$5:$A$204&lt;&gt;"")*(A_Corridor!$A$5:$A$204&lt;=$B314)*(A_Corridor!$B$5:$B$204&gt;$B314)*(A_Corridor!$I$5:$I$204&lt;&gt;"")),IF(A_Corridor!$I$5:$I$204="-","",A_Corridor!$I$5:$I$204)),"")</f>
        <v/>
      </c>
      <c r="O314" s="182" t="str">
        <f>IFERROR(LOOKUP(2,1/((D_Points!$A$5:$A$204&lt;&gt;"")*(D_Points!$A$5:$A$204&gt;=$B314)*(D_Points!$A$5:$A$204&lt;$B314+P_Interval)*(UPPER(TRIM(D_Points!$B$5:$B$204))="PITCHING")*(D_Points!$H$5:$H$204&lt;&gt;"")),D_Points!$H$5:$H$204),"")</f>
        <v/>
      </c>
      <c r="P314" s="181" t="str">
        <f>IFERROR(LOOKUP(2,1/((B_Drainage!$A$5:$A$204&lt;&gt;"")*(B_Drainage!$A$5:$A$204&lt;=$B314)*(B_Drainage!$B$5:$B$204&gt;$B314)*(B_Drainage!$C$5:$C$204&lt;&gt;"")),IF(B_Drainage!$C$5:$C$204="-","",UPPER(B_Drainage!$C$5:$C$204))),"")</f>
        <v/>
      </c>
      <c r="Q314" s="181" t="str">
        <f>IFERROR(LOOKUP(2,1/((B_Drainage!$A$5:$A$204&lt;&gt;"")*(B_Drainage!$A$5:$A$204&lt;=$B314)*(B_Drainage!$B$5:$B$204&gt;$B314)*(B_Drainage!$D$5:$D$204&lt;&gt;"")),IF(B_Drainage!$D$5:$D$204="-","",UPPER(B_Drainage!$D$5:$D$204))),"")</f>
        <v/>
      </c>
      <c r="R314" s="182" t="str">
        <f>IFERROR(LOOKUP(2,1/((D_Points!$A$5:$A$204&lt;&gt;"")*(D_Points!$A$5:$A$204&gt;=$B314)*(D_Points!$A$5:$A$204&lt;$B314+P_Interval)*(RIGHT(UPPER(TRIM(D_Points!$B$5:$B$204)),8)="_CULVERT")),IF(LEFT(UPPER(TRIM(D_Points!$B$5:$B$204)),2)="EX",1,IF(LEFT(UPPER(TRIM(D_Points!$B$5:$B$204)),2)="PR",2,3))),"")</f>
        <v/>
      </c>
      <c r="S314" s="182" t="str">
        <f>IFERROR(LOOKUP(2,1/((D_Points!$A$5:$A$204&lt;&gt;"")*(D_Points!$A$5:$A$204&gt;=$B314)*(D_Points!$A$5:$A$204&lt;$B314+P_Interval)*(RIGHT(UPPER(TRIM(D_Points!$B$5:$B$204)),7)="_BRIDGE")),IF(LEFT(UPPER(TRIM(D_Points!$B$5:$B$204)),2)="EX",1,IF(LEFT(UPPER(TRIM(D_Points!$B$5:$B$204)),2)="PR",2,2))),"")</f>
        <v/>
      </c>
      <c r="T314" s="181" t="str">
        <f>IFERROR(LOOKUP(2,1/((B_Drainage!$A$5:$A$204&lt;&gt;"")*(B_Drainage!$A$5:$A$204&lt;=$B314)*(B_Drainage!$B$5:$B$204&gt;$B314)*(B_Drainage!$E$5:$E$204&lt;&gt;"")),IF(B_Drainage!$E$5:$E$204="-","",1)),"")</f>
        <v/>
      </c>
      <c r="U314" s="181" t="str">
        <f>IFERROR(LOOKUP(2,1/((B_Drainage!$A$5:$A$204&lt;&gt;"")*(B_Drainage!$A$5:$A$204&lt;=$B314)*(B_Drainage!$B$5:$B$204&gt;$B314)*(B_Drainage!$E$5:$E$204&lt;&gt;"")),IF(B_Drainage!$E$5:$E$204="-","",B_Drainage!$E$5:$E$204)),"")</f>
        <v/>
      </c>
      <c r="V314" s="181" t="str">
        <f>IFERROR(LOOKUP(2,1/((B_Drainage!$A$5:$A$204&lt;&gt;"")*(B_Drainage!$A$5:$A$204&lt;=$B314)*(B_Drainage!$B$5:$B$204&gt;$B314)*(B_Drainage!$F$5:$F$204&lt;&gt;"")),IF(B_Drainage!$F$5:$F$204="-","",1)),"")</f>
        <v/>
      </c>
      <c r="W314" s="181" t="str">
        <f>IFERROR(LOOKUP(2,1/((B_Drainage!$A$5:$A$204&lt;&gt;"")*(B_Drainage!$A$5:$A$204&lt;=$B314)*(B_Drainage!$B$5:$B$204&gt;$B314)*(B_Drainage!$F$5:$F$204&lt;&gt;"")),IF(B_Drainage!$F$5:$F$204="-","",B_Drainage!$F$5:$F$204)),"")</f>
        <v/>
      </c>
      <c r="X314" s="181" t="str">
        <f>IFERROR(LOOKUP(2,1/((B_Drainage!$A$5:$A$204&lt;&gt;"")*(B_Drainage!$A$5:$A$204&lt;=$B314)*(B_Drainage!$B$5:$B$204&gt;$B314)*(B_Drainage!$G$5:$G$204&lt;&gt;"")),IF(UPPER(B_Drainage!$G$5:$G$204)="Y",1,"")),"")</f>
        <v/>
      </c>
      <c r="Y314" s="181" t="str">
        <f>IFERROR(LOOKUP(2,1/((B_Drainage!$A$5:$A$204&lt;&gt;"")*(B_Drainage!$A$5:$A$204&lt;=$B314)*(B_Drainage!$B$5:$B$204&gt;$B314)*(B_Drainage!$H$5:$H$204&lt;&gt;"")),IF(UPPER(B_Drainage!$H$5:$H$204)="Y",1,"")),"")</f>
        <v/>
      </c>
      <c r="Z314" s="181" t="str">
        <f>IFERROR(LOOKUP(2,1/((B_Drainage!$A$5:$A$204&lt;&gt;"")*(B_Drainage!$A$5:$A$204&lt;=$B314)*(B_Drainage!$B$5:$B$204&gt;$B314)*(B_Drainage!$I$5:$I$204&lt;&gt;"")),IF(UPPER(B_Drainage!$I$5:$I$204)="Y",1,"")),"")</f>
        <v/>
      </c>
      <c r="AA314" s="181" t="str">
        <f>IFERROR(LOOKUP(2,1/((B_Drainage!$A$5:$A$204&lt;&gt;"")*(B_Drainage!$A$5:$A$204&lt;=$B314)*(B_Drainage!$B$5:$B$204&gt;$B314)*(B_Drainage!$J$5:$J$204&lt;&gt;"")),IF(UPPER(B_Drainage!$J$5:$J$204)="Y",1,"")),"")</f>
        <v/>
      </c>
      <c r="AB314" s="182" t="str">
        <f>IFERROR(LOOKUP(2,1/((B_Drainage!$A$5:$A$204&lt;&gt;"")*(B_Drainage!$A$5:$A$204&lt;=$B314)*(B_Drainage!$B$5:$B$204&gt;$B314)*(B_Drainage!$K$5:$K$204&lt;&gt;"")),IF(B_Drainage!$K$5:$K$204="-","",B_Drainage!$K$5:$K$204)),"")</f>
        <v/>
      </c>
      <c r="AC314" s="182" t="str">
        <f>IFERROR(LOOKUP(2,1/((B_Drainage!$A$5:$A$204&lt;&gt;"")*(B_Drainage!$A$5:$A$204&lt;=$B314)*(B_Drainage!$B$5:$B$204&gt;$B314)*(B_Drainage!$L$5:$L$204&lt;&gt;"")),IF(B_Drainage!$L$5:$L$204="-","",B_Drainage!$L$5:$L$204)),"")</f>
        <v/>
      </c>
      <c r="AD314" s="182" t="str">
        <f>IFERROR(LOOKUP(2,1/((D_Points!$A$5:$A$204&lt;&gt;"")*(D_Points!$A$5:$A$204&gt;=$B314)*(D_Points!$A$5:$A$204&lt;$B314+P_Interval)*(UPPER(TRIM(D_Points!$B$5:$B$204))="TURNOUT_L")*(D_Points!$H$5:$H$204&lt;&gt;"")),D_Points!$H$5:$H$204),"")</f>
        <v/>
      </c>
      <c r="AE314" s="182" t="str">
        <f>IFERROR(LOOKUP(2,1/((D_Points!$A$5:$A$204&lt;&gt;"")*(D_Points!$A$5:$A$204&gt;=$B314)*(D_Points!$A$5:$A$204&lt;$B314+P_Interval)*(UPPER(TRIM(D_Points!$B$5:$B$204))="TURNOUT_R")*(D_Points!$H$5:$H$204&lt;&gt;"")),D_Points!$H$5:$H$204),"")</f>
        <v/>
      </c>
      <c r="AF314" s="181" t="str">
        <f>IFERROR(LOOKUP(2,1/((B_Drainage!$A$5:$A$204&lt;&gt;"")*(B_Drainage!$A$5:$A$204&lt;=$B314)*(B_Drainage!$B$5:$B$204&gt;$B314)*(B_Drainage!$M$5:$M$204&lt;&gt;"")),IF(UPPER(B_Drainage!$M$5:$M$204)="Y",1,"")),"")</f>
        <v/>
      </c>
      <c r="AG314" s="181" t="str">
        <f>IFERROR(LOOKUP(2,1/((B_Drainage!$A$5:$A$204&lt;&gt;"")*(B_Drainage!$A$5:$A$204&lt;=$B314)*(B_Drainage!$B$5:$B$204&gt;$B314)*(B_Drainage!$N$5:$N$204&lt;&gt;"")),IF(UPPER(B_Drainage!$N$5:$N$204)="Y",1,"")),"")</f>
        <v/>
      </c>
      <c r="AH314" s="181" t="str">
        <f t="shared" si="32"/>
        <v/>
      </c>
      <c r="AI314" s="181" t="str">
        <f t="shared" si="33"/>
        <v/>
      </c>
      <c r="AJ314" s="181" t="str">
        <f t="shared" si="34"/>
        <v/>
      </c>
      <c r="AK314" s="181" t="str">
        <f t="shared" si="35"/>
        <v/>
      </c>
      <c r="AL314" s="181" t="str">
        <f t="shared" si="36"/>
        <v/>
      </c>
      <c r="AM314" s="181" t="str">
        <f t="shared" si="37"/>
        <v/>
      </c>
      <c r="AN314" s="181" t="str">
        <f t="shared" si="38"/>
        <v/>
      </c>
      <c r="AO314" s="192" t="str">
        <f t="shared" si="39"/>
        <v/>
      </c>
      <c r="AQ314" t="str">
        <f>IFERROR(LOOKUP(2,1/((C_Pavement!$A$5:$A$204&lt;&gt;"")*(C_Pavement!$A$5:$A$204&lt;=$B314)*(C_Pavement!$B$5:$B$204&gt;$B314)*(C_Pavement!$C$5:$C$204&lt;&gt;"")),ROW(C_Pavement!$C$5:$C$204)-4),"")</f>
        <v/>
      </c>
      <c r="AR314" t="str">
        <f>IF($AQ314="","",UPPER(TRIM(INDEX(C_Pavement!$C$5:$C$204,$AQ314))))</f>
        <v/>
      </c>
      <c r="AS314" t="str">
        <f>IF($AR314="","",IFERROR(MATCH($AR314,E_Rules!$A$5:$A$9,0),""))</f>
        <v/>
      </c>
      <c r="AT314" t="str">
        <f>IF($AQ314="","",IF(INDEX(C_Pavement!$D$5:$D$204,$AQ314)&lt;&gt;"",UPPER(TRIM(INDEX(C_Pavement!$D$5:$D$204,$AQ314))),IF($AS314="","",INDEX(E_Rules!$C$5:$C$9,$AS314))))</f>
        <v/>
      </c>
      <c r="AU314" t="str">
        <f>IF($AQ314="","",IF(INDEX(C_Pavement!$E$5:$E$204,$AQ314)&lt;&gt;"",IF(INDEX(C_Pavement!$E$5:$E$204,$AQ314)="-","",INDEX(C_Pavement!$E$5:$E$204,$AQ314)),IF($AS314="","",INDEX(E_Rules!$D$5:$D$9,$AS314))))</f>
        <v/>
      </c>
      <c r="AV314" t="str">
        <f>IF($AQ314="","",IF(INDEX(C_Pavement!$F$5:$F$204,$AQ314)&lt;&gt;"",IF(INDEX(C_Pavement!$F$5:$F$204,$AQ314)="-","",INDEX(C_Pavement!$F$5:$F$204,$AQ314)),IF($AS314="","",INDEX(E_Rules!$E$5:$E$9,$AS314))))</f>
        <v/>
      </c>
      <c r="AW314" t="str">
        <f>IF($AQ314="","",IF(INDEX(C_Pavement!$G$5:$G$204,$AQ314)&lt;&gt;"",IF(INDEX(C_Pavement!$G$5:$G$204,$AQ314)="-","",INDEX(C_Pavement!$G$5:$G$204,$AQ314)),IF($AS314="","",INDEX(E_Rules!$F$5:$F$9,$AS314))))</f>
        <v/>
      </c>
      <c r="AX314" t="str">
        <f>IF($AQ314="","",IF(INDEX(C_Pavement!$H$5:$H$204,$AQ314)&lt;&gt;"",IF(INDEX(C_Pavement!$H$5:$H$204,$AQ314)="-","",INDEX(C_Pavement!$H$5:$H$204,$AQ314)),IF($AS314="","",INDEX(E_Rules!$G$5:$G$9,$AS314))))</f>
        <v/>
      </c>
      <c r="AY314" t="str">
        <f>IF($AQ314="","",IF(INDEX(C_Pavement!$I$5:$I$204,$AQ314)&lt;&gt;"",IF(INDEX(C_Pavement!$I$5:$I$204,$AQ314)="-","",INDEX(C_Pavement!$I$5:$I$204,$AQ314)),IF($AS314="","",INDEX(E_Rules!$H$5:$H$9,$AS314))))</f>
        <v/>
      </c>
    </row>
    <row r="315" spans="1:51" ht="15.75" customHeight="1" x14ac:dyDescent="0.3">
      <c r="A315" s="189">
        <v>310</v>
      </c>
      <c r="B315" s="180">
        <v>15450</v>
      </c>
      <c r="C315" s="180" t="s">
        <v>621</v>
      </c>
      <c r="D315" s="181" t="str">
        <f>IFERROR(LOOKUP(2,1/((A_Corridor!$A$5:$A$204&lt;&gt;"")*(A_Corridor!$A$5:$A$204&lt;=$B315)*(A_Corridor!$B$5:$B$204&gt;$B315)*(A_Corridor!$C$5:$C$204&lt;&gt;"")),IF(UPPER(A_Corridor!$C$5:$C$204)="Y",1,"")),"")</f>
        <v/>
      </c>
      <c r="E315" s="181" t="str">
        <f>IFERROR(LOOKUP(2,1/((A_Corridor!$A$5:$A$204&lt;&gt;"")*(A_Corridor!$A$5:$A$204&lt;=$B315)*(A_Corridor!$B$5:$B$204&gt;$B315)*(A_Corridor!$D$5:$D$204&lt;&gt;"")),IF(A_Corridor!$D$5:$D$204="-","",UPPER(A_Corridor!$D$5:$D$204))),"")</f>
        <v/>
      </c>
      <c r="F315" s="181" t="str">
        <f>IFERROR(LOOKUP(2,1/((A_Corridor!$A$5:$A$204&lt;&gt;"")*(A_Corridor!$A$5:$A$204&lt;=$B315)*(A_Corridor!$B$5:$B$204&gt;$B315)*(A_Corridor!$E$5:$E$204&lt;&gt;"")),IF(A_Corridor!$E$5:$E$204="-","",1)),"")</f>
        <v/>
      </c>
      <c r="G315" s="182" t="str">
        <f>IFERROR(LOOKUP(2,1/((A_Corridor!$A$5:$A$204&lt;&gt;"")*(A_Corridor!$A$5:$A$204&lt;=$B315)*(A_Corridor!$B$5:$B$204&gt;$B315)*(A_Corridor!$E$5:$E$204&lt;&gt;"")),IF(A_Corridor!$E$5:$E$204="-","",A_Corridor!$E$5:$E$204)),"")</f>
        <v/>
      </c>
      <c r="H315" s="182" t="str">
        <f>IFERROR(LOOKUP(2,1/((D_Points!$A$5:$A$204&lt;&gt;"")*(D_Points!$A$5:$A$204&gt;=$B315)*(D_Points!$A$5:$A$204&lt;$B315+P_Interval)*(UPPER(TRIM(D_Points!$B$5:$B$204))="GULLY")*(D_Points!$H$5:$H$204&lt;&gt;"")),D_Points!$H$5:$H$204),"")</f>
        <v/>
      </c>
      <c r="I315" s="181" t="str">
        <f>IFERROR(LOOKUP(2,1/((A_Corridor!$A$5:$A$204&lt;&gt;"")*(A_Corridor!$A$5:$A$204&lt;=$B315)*(A_Corridor!$B$5:$B$204&gt;$B315)*(A_Corridor!$F$5:$F$204&lt;&gt;"")),IF(A_Corridor!$F$5:$F$204="-","",1)),"")</f>
        <v/>
      </c>
      <c r="J315" s="182" t="str">
        <f>IFERROR(LOOKUP(2,1/((A_Corridor!$A$5:$A$204&lt;&gt;"")*(A_Corridor!$A$5:$A$204&lt;=$B315)*(A_Corridor!$B$5:$B$204&gt;$B315)*(A_Corridor!$F$5:$F$204&lt;&gt;"")),IF(A_Corridor!$F$5:$F$204="-","",A_Corridor!$F$5:$F$204)),"")</f>
        <v/>
      </c>
      <c r="K315" s="182" t="str">
        <f>IFERROR(LOOKUP(2,1/((A_Corridor!$A$5:$A$204&lt;&gt;"")*(A_Corridor!$A$5:$A$204&lt;=$B315)*(A_Corridor!$B$5:$B$204&gt;$B315)*(A_Corridor!$G$5:$G$204&lt;&gt;"")),IF(A_Corridor!$G$5:$G$204="-","",A_Corridor!$G$5:$G$204)),"")</f>
        <v/>
      </c>
      <c r="L315" s="181" t="str">
        <f>IFERROR(LOOKUP(2,1/((A_Corridor!$A$5:$A$204&lt;&gt;"")*(A_Corridor!$A$5:$A$204&lt;=$B315)*(A_Corridor!$B$5:$B$204&gt;$B315)*(A_Corridor!$H$5:$H$204&lt;&gt;"")),IF(A_Corridor!$H$5:$H$204="-","",1)),"")</f>
        <v/>
      </c>
      <c r="M315" s="182" t="str">
        <f>IFERROR(LOOKUP(2,1/((A_Corridor!$A$5:$A$204&lt;&gt;"")*(A_Corridor!$A$5:$A$204&lt;=$B315)*(A_Corridor!$B$5:$B$204&gt;$B315)*(A_Corridor!$H$5:$H$204&lt;&gt;"")),IF(A_Corridor!$H$5:$H$204="-","",A_Corridor!$H$5:$H$204)),"")</f>
        <v/>
      </c>
      <c r="N315" s="182" t="str">
        <f>IFERROR(LOOKUP(2,1/((A_Corridor!$A$5:$A$204&lt;&gt;"")*(A_Corridor!$A$5:$A$204&lt;=$B315)*(A_Corridor!$B$5:$B$204&gt;$B315)*(A_Corridor!$I$5:$I$204&lt;&gt;"")),IF(A_Corridor!$I$5:$I$204="-","",A_Corridor!$I$5:$I$204)),"")</f>
        <v/>
      </c>
      <c r="O315" s="182" t="str">
        <f>IFERROR(LOOKUP(2,1/((D_Points!$A$5:$A$204&lt;&gt;"")*(D_Points!$A$5:$A$204&gt;=$B315)*(D_Points!$A$5:$A$204&lt;$B315+P_Interval)*(UPPER(TRIM(D_Points!$B$5:$B$204))="PITCHING")*(D_Points!$H$5:$H$204&lt;&gt;"")),D_Points!$H$5:$H$204),"")</f>
        <v/>
      </c>
      <c r="P315" s="181" t="str">
        <f>IFERROR(LOOKUP(2,1/((B_Drainage!$A$5:$A$204&lt;&gt;"")*(B_Drainage!$A$5:$A$204&lt;=$B315)*(B_Drainage!$B$5:$B$204&gt;$B315)*(B_Drainage!$C$5:$C$204&lt;&gt;"")),IF(B_Drainage!$C$5:$C$204="-","",UPPER(B_Drainage!$C$5:$C$204))),"")</f>
        <v/>
      </c>
      <c r="Q315" s="181" t="str">
        <f>IFERROR(LOOKUP(2,1/((B_Drainage!$A$5:$A$204&lt;&gt;"")*(B_Drainage!$A$5:$A$204&lt;=$B315)*(B_Drainage!$B$5:$B$204&gt;$B315)*(B_Drainage!$D$5:$D$204&lt;&gt;"")),IF(B_Drainage!$D$5:$D$204="-","",UPPER(B_Drainage!$D$5:$D$204))),"")</f>
        <v/>
      </c>
      <c r="R315" s="182" t="str">
        <f>IFERROR(LOOKUP(2,1/((D_Points!$A$5:$A$204&lt;&gt;"")*(D_Points!$A$5:$A$204&gt;=$B315)*(D_Points!$A$5:$A$204&lt;$B315+P_Interval)*(RIGHT(UPPER(TRIM(D_Points!$B$5:$B$204)),8)="_CULVERT")),IF(LEFT(UPPER(TRIM(D_Points!$B$5:$B$204)),2)="EX",1,IF(LEFT(UPPER(TRIM(D_Points!$B$5:$B$204)),2)="PR",2,3))),"")</f>
        <v/>
      </c>
      <c r="S315" s="182" t="str">
        <f>IFERROR(LOOKUP(2,1/((D_Points!$A$5:$A$204&lt;&gt;"")*(D_Points!$A$5:$A$204&gt;=$B315)*(D_Points!$A$5:$A$204&lt;$B315+P_Interval)*(RIGHT(UPPER(TRIM(D_Points!$B$5:$B$204)),7)="_BRIDGE")),IF(LEFT(UPPER(TRIM(D_Points!$B$5:$B$204)),2)="EX",1,IF(LEFT(UPPER(TRIM(D_Points!$B$5:$B$204)),2)="PR",2,2))),"")</f>
        <v/>
      </c>
      <c r="T315" s="181" t="str">
        <f>IFERROR(LOOKUP(2,1/((B_Drainage!$A$5:$A$204&lt;&gt;"")*(B_Drainage!$A$5:$A$204&lt;=$B315)*(B_Drainage!$B$5:$B$204&gt;$B315)*(B_Drainage!$E$5:$E$204&lt;&gt;"")),IF(B_Drainage!$E$5:$E$204="-","",1)),"")</f>
        <v/>
      </c>
      <c r="U315" s="181" t="str">
        <f>IFERROR(LOOKUP(2,1/((B_Drainage!$A$5:$A$204&lt;&gt;"")*(B_Drainage!$A$5:$A$204&lt;=$B315)*(B_Drainage!$B$5:$B$204&gt;$B315)*(B_Drainage!$E$5:$E$204&lt;&gt;"")),IF(B_Drainage!$E$5:$E$204="-","",B_Drainage!$E$5:$E$204)),"")</f>
        <v/>
      </c>
      <c r="V315" s="181" t="str">
        <f>IFERROR(LOOKUP(2,1/((B_Drainage!$A$5:$A$204&lt;&gt;"")*(B_Drainage!$A$5:$A$204&lt;=$B315)*(B_Drainage!$B$5:$B$204&gt;$B315)*(B_Drainage!$F$5:$F$204&lt;&gt;"")),IF(B_Drainage!$F$5:$F$204="-","",1)),"")</f>
        <v/>
      </c>
      <c r="W315" s="181" t="str">
        <f>IFERROR(LOOKUP(2,1/((B_Drainage!$A$5:$A$204&lt;&gt;"")*(B_Drainage!$A$5:$A$204&lt;=$B315)*(B_Drainage!$B$5:$B$204&gt;$B315)*(B_Drainage!$F$5:$F$204&lt;&gt;"")),IF(B_Drainage!$F$5:$F$204="-","",B_Drainage!$F$5:$F$204)),"")</f>
        <v/>
      </c>
      <c r="X315" s="181" t="str">
        <f>IFERROR(LOOKUP(2,1/((B_Drainage!$A$5:$A$204&lt;&gt;"")*(B_Drainage!$A$5:$A$204&lt;=$B315)*(B_Drainage!$B$5:$B$204&gt;$B315)*(B_Drainage!$G$5:$G$204&lt;&gt;"")),IF(UPPER(B_Drainage!$G$5:$G$204)="Y",1,"")),"")</f>
        <v/>
      </c>
      <c r="Y315" s="181" t="str">
        <f>IFERROR(LOOKUP(2,1/((B_Drainage!$A$5:$A$204&lt;&gt;"")*(B_Drainage!$A$5:$A$204&lt;=$B315)*(B_Drainage!$B$5:$B$204&gt;$B315)*(B_Drainage!$H$5:$H$204&lt;&gt;"")),IF(UPPER(B_Drainage!$H$5:$H$204)="Y",1,"")),"")</f>
        <v/>
      </c>
      <c r="Z315" s="181" t="str">
        <f>IFERROR(LOOKUP(2,1/((B_Drainage!$A$5:$A$204&lt;&gt;"")*(B_Drainage!$A$5:$A$204&lt;=$B315)*(B_Drainage!$B$5:$B$204&gt;$B315)*(B_Drainage!$I$5:$I$204&lt;&gt;"")),IF(UPPER(B_Drainage!$I$5:$I$204)="Y",1,"")),"")</f>
        <v/>
      </c>
      <c r="AA315" s="181" t="str">
        <f>IFERROR(LOOKUP(2,1/((B_Drainage!$A$5:$A$204&lt;&gt;"")*(B_Drainage!$A$5:$A$204&lt;=$B315)*(B_Drainage!$B$5:$B$204&gt;$B315)*(B_Drainage!$J$5:$J$204&lt;&gt;"")),IF(UPPER(B_Drainage!$J$5:$J$204)="Y",1,"")),"")</f>
        <v/>
      </c>
      <c r="AB315" s="182" t="str">
        <f>IFERROR(LOOKUP(2,1/((B_Drainage!$A$5:$A$204&lt;&gt;"")*(B_Drainage!$A$5:$A$204&lt;=$B315)*(B_Drainage!$B$5:$B$204&gt;$B315)*(B_Drainage!$K$5:$K$204&lt;&gt;"")),IF(B_Drainage!$K$5:$K$204="-","",B_Drainage!$K$5:$K$204)),"")</f>
        <v/>
      </c>
      <c r="AC315" s="182" t="str">
        <f>IFERROR(LOOKUP(2,1/((B_Drainage!$A$5:$A$204&lt;&gt;"")*(B_Drainage!$A$5:$A$204&lt;=$B315)*(B_Drainage!$B$5:$B$204&gt;$B315)*(B_Drainage!$L$5:$L$204&lt;&gt;"")),IF(B_Drainage!$L$5:$L$204="-","",B_Drainage!$L$5:$L$204)),"")</f>
        <v/>
      </c>
      <c r="AD315" s="182" t="str">
        <f>IFERROR(LOOKUP(2,1/((D_Points!$A$5:$A$204&lt;&gt;"")*(D_Points!$A$5:$A$204&gt;=$B315)*(D_Points!$A$5:$A$204&lt;$B315+P_Interval)*(UPPER(TRIM(D_Points!$B$5:$B$204))="TURNOUT_L")*(D_Points!$H$5:$H$204&lt;&gt;"")),D_Points!$H$5:$H$204),"")</f>
        <v/>
      </c>
      <c r="AE315" s="182" t="str">
        <f>IFERROR(LOOKUP(2,1/((D_Points!$A$5:$A$204&lt;&gt;"")*(D_Points!$A$5:$A$204&gt;=$B315)*(D_Points!$A$5:$A$204&lt;$B315+P_Interval)*(UPPER(TRIM(D_Points!$B$5:$B$204))="TURNOUT_R")*(D_Points!$H$5:$H$204&lt;&gt;"")),D_Points!$H$5:$H$204),"")</f>
        <v/>
      </c>
      <c r="AF315" s="181" t="str">
        <f>IFERROR(LOOKUP(2,1/((B_Drainage!$A$5:$A$204&lt;&gt;"")*(B_Drainage!$A$5:$A$204&lt;=$B315)*(B_Drainage!$B$5:$B$204&gt;$B315)*(B_Drainage!$M$5:$M$204&lt;&gt;"")),IF(UPPER(B_Drainage!$M$5:$M$204)="Y",1,"")),"")</f>
        <v/>
      </c>
      <c r="AG315" s="181" t="str">
        <f>IFERROR(LOOKUP(2,1/((B_Drainage!$A$5:$A$204&lt;&gt;"")*(B_Drainage!$A$5:$A$204&lt;=$B315)*(B_Drainage!$B$5:$B$204&gt;$B315)*(B_Drainage!$N$5:$N$204&lt;&gt;"")),IF(UPPER(B_Drainage!$N$5:$N$204)="Y",1,"")),"")</f>
        <v/>
      </c>
      <c r="AH315" s="181" t="str">
        <f t="shared" si="32"/>
        <v/>
      </c>
      <c r="AI315" s="181" t="str">
        <f t="shared" si="33"/>
        <v/>
      </c>
      <c r="AJ315" s="181" t="str">
        <f t="shared" si="34"/>
        <v/>
      </c>
      <c r="AK315" s="181" t="str">
        <f t="shared" si="35"/>
        <v/>
      </c>
      <c r="AL315" s="181" t="str">
        <f t="shared" si="36"/>
        <v/>
      </c>
      <c r="AM315" s="181" t="str">
        <f t="shared" si="37"/>
        <v/>
      </c>
      <c r="AN315" s="181" t="str">
        <f t="shared" si="38"/>
        <v/>
      </c>
      <c r="AO315" s="192" t="str">
        <f t="shared" si="39"/>
        <v/>
      </c>
      <c r="AQ315" t="str">
        <f>IFERROR(LOOKUP(2,1/((C_Pavement!$A$5:$A$204&lt;&gt;"")*(C_Pavement!$A$5:$A$204&lt;=$B315)*(C_Pavement!$B$5:$B$204&gt;$B315)*(C_Pavement!$C$5:$C$204&lt;&gt;"")),ROW(C_Pavement!$C$5:$C$204)-4),"")</f>
        <v/>
      </c>
      <c r="AR315" t="str">
        <f>IF($AQ315="","",UPPER(TRIM(INDEX(C_Pavement!$C$5:$C$204,$AQ315))))</f>
        <v/>
      </c>
      <c r="AS315" t="str">
        <f>IF($AR315="","",IFERROR(MATCH($AR315,E_Rules!$A$5:$A$9,0),""))</f>
        <v/>
      </c>
      <c r="AT315" t="str">
        <f>IF($AQ315="","",IF(INDEX(C_Pavement!$D$5:$D$204,$AQ315)&lt;&gt;"",UPPER(TRIM(INDEX(C_Pavement!$D$5:$D$204,$AQ315))),IF($AS315="","",INDEX(E_Rules!$C$5:$C$9,$AS315))))</f>
        <v/>
      </c>
      <c r="AU315" t="str">
        <f>IF($AQ315="","",IF(INDEX(C_Pavement!$E$5:$E$204,$AQ315)&lt;&gt;"",IF(INDEX(C_Pavement!$E$5:$E$204,$AQ315)="-","",INDEX(C_Pavement!$E$5:$E$204,$AQ315)),IF($AS315="","",INDEX(E_Rules!$D$5:$D$9,$AS315))))</f>
        <v/>
      </c>
      <c r="AV315" t="str">
        <f>IF($AQ315="","",IF(INDEX(C_Pavement!$F$5:$F$204,$AQ315)&lt;&gt;"",IF(INDEX(C_Pavement!$F$5:$F$204,$AQ315)="-","",INDEX(C_Pavement!$F$5:$F$204,$AQ315)),IF($AS315="","",INDEX(E_Rules!$E$5:$E$9,$AS315))))</f>
        <v/>
      </c>
      <c r="AW315" t="str">
        <f>IF($AQ315="","",IF(INDEX(C_Pavement!$G$5:$G$204,$AQ315)&lt;&gt;"",IF(INDEX(C_Pavement!$G$5:$G$204,$AQ315)="-","",INDEX(C_Pavement!$G$5:$G$204,$AQ315)),IF($AS315="","",INDEX(E_Rules!$F$5:$F$9,$AS315))))</f>
        <v/>
      </c>
      <c r="AX315" t="str">
        <f>IF($AQ315="","",IF(INDEX(C_Pavement!$H$5:$H$204,$AQ315)&lt;&gt;"",IF(INDEX(C_Pavement!$H$5:$H$204,$AQ315)="-","",INDEX(C_Pavement!$H$5:$H$204,$AQ315)),IF($AS315="","",INDEX(E_Rules!$G$5:$G$9,$AS315))))</f>
        <v/>
      </c>
      <c r="AY315" t="str">
        <f>IF($AQ315="","",IF(INDEX(C_Pavement!$I$5:$I$204,$AQ315)&lt;&gt;"",IF(INDEX(C_Pavement!$I$5:$I$204,$AQ315)="-","",INDEX(C_Pavement!$I$5:$I$204,$AQ315)),IF($AS315="","",INDEX(E_Rules!$H$5:$H$9,$AS315))))</f>
        <v/>
      </c>
    </row>
    <row r="316" spans="1:51" ht="15.75" customHeight="1" x14ac:dyDescent="0.3">
      <c r="A316" s="189">
        <v>311</v>
      </c>
      <c r="B316" s="180">
        <v>15500</v>
      </c>
      <c r="C316" s="180" t="s">
        <v>622</v>
      </c>
      <c r="D316" s="181" t="str">
        <f>IFERROR(LOOKUP(2,1/((A_Corridor!$A$5:$A$204&lt;&gt;"")*(A_Corridor!$A$5:$A$204&lt;=$B316)*(A_Corridor!$B$5:$B$204&gt;$B316)*(A_Corridor!$C$5:$C$204&lt;&gt;"")),IF(UPPER(A_Corridor!$C$5:$C$204)="Y",1,"")),"")</f>
        <v/>
      </c>
      <c r="E316" s="181" t="str">
        <f>IFERROR(LOOKUP(2,1/((A_Corridor!$A$5:$A$204&lt;&gt;"")*(A_Corridor!$A$5:$A$204&lt;=$B316)*(A_Corridor!$B$5:$B$204&gt;$B316)*(A_Corridor!$D$5:$D$204&lt;&gt;"")),IF(A_Corridor!$D$5:$D$204="-","",UPPER(A_Corridor!$D$5:$D$204))),"")</f>
        <v/>
      </c>
      <c r="F316" s="181" t="str">
        <f>IFERROR(LOOKUP(2,1/((A_Corridor!$A$5:$A$204&lt;&gt;"")*(A_Corridor!$A$5:$A$204&lt;=$B316)*(A_Corridor!$B$5:$B$204&gt;$B316)*(A_Corridor!$E$5:$E$204&lt;&gt;"")),IF(A_Corridor!$E$5:$E$204="-","",1)),"")</f>
        <v/>
      </c>
      <c r="G316" s="182" t="str">
        <f>IFERROR(LOOKUP(2,1/((A_Corridor!$A$5:$A$204&lt;&gt;"")*(A_Corridor!$A$5:$A$204&lt;=$B316)*(A_Corridor!$B$5:$B$204&gt;$B316)*(A_Corridor!$E$5:$E$204&lt;&gt;"")),IF(A_Corridor!$E$5:$E$204="-","",A_Corridor!$E$5:$E$204)),"")</f>
        <v/>
      </c>
      <c r="H316" s="182" t="str">
        <f>IFERROR(LOOKUP(2,1/((D_Points!$A$5:$A$204&lt;&gt;"")*(D_Points!$A$5:$A$204&gt;=$B316)*(D_Points!$A$5:$A$204&lt;$B316+P_Interval)*(UPPER(TRIM(D_Points!$B$5:$B$204))="GULLY")*(D_Points!$H$5:$H$204&lt;&gt;"")),D_Points!$H$5:$H$204),"")</f>
        <v/>
      </c>
      <c r="I316" s="181" t="str">
        <f>IFERROR(LOOKUP(2,1/((A_Corridor!$A$5:$A$204&lt;&gt;"")*(A_Corridor!$A$5:$A$204&lt;=$B316)*(A_Corridor!$B$5:$B$204&gt;$B316)*(A_Corridor!$F$5:$F$204&lt;&gt;"")),IF(A_Corridor!$F$5:$F$204="-","",1)),"")</f>
        <v/>
      </c>
      <c r="J316" s="182" t="str">
        <f>IFERROR(LOOKUP(2,1/((A_Corridor!$A$5:$A$204&lt;&gt;"")*(A_Corridor!$A$5:$A$204&lt;=$B316)*(A_Corridor!$B$5:$B$204&gt;$B316)*(A_Corridor!$F$5:$F$204&lt;&gt;"")),IF(A_Corridor!$F$5:$F$204="-","",A_Corridor!$F$5:$F$204)),"")</f>
        <v/>
      </c>
      <c r="K316" s="182" t="str">
        <f>IFERROR(LOOKUP(2,1/((A_Corridor!$A$5:$A$204&lt;&gt;"")*(A_Corridor!$A$5:$A$204&lt;=$B316)*(A_Corridor!$B$5:$B$204&gt;$B316)*(A_Corridor!$G$5:$G$204&lt;&gt;"")),IF(A_Corridor!$G$5:$G$204="-","",A_Corridor!$G$5:$G$204)),"")</f>
        <v/>
      </c>
      <c r="L316" s="181" t="str">
        <f>IFERROR(LOOKUP(2,1/((A_Corridor!$A$5:$A$204&lt;&gt;"")*(A_Corridor!$A$5:$A$204&lt;=$B316)*(A_Corridor!$B$5:$B$204&gt;$B316)*(A_Corridor!$H$5:$H$204&lt;&gt;"")),IF(A_Corridor!$H$5:$H$204="-","",1)),"")</f>
        <v/>
      </c>
      <c r="M316" s="182" t="str">
        <f>IFERROR(LOOKUP(2,1/((A_Corridor!$A$5:$A$204&lt;&gt;"")*(A_Corridor!$A$5:$A$204&lt;=$B316)*(A_Corridor!$B$5:$B$204&gt;$B316)*(A_Corridor!$H$5:$H$204&lt;&gt;"")),IF(A_Corridor!$H$5:$H$204="-","",A_Corridor!$H$5:$H$204)),"")</f>
        <v/>
      </c>
      <c r="N316" s="182" t="str">
        <f>IFERROR(LOOKUP(2,1/((A_Corridor!$A$5:$A$204&lt;&gt;"")*(A_Corridor!$A$5:$A$204&lt;=$B316)*(A_Corridor!$B$5:$B$204&gt;$B316)*(A_Corridor!$I$5:$I$204&lt;&gt;"")),IF(A_Corridor!$I$5:$I$204="-","",A_Corridor!$I$5:$I$204)),"")</f>
        <v/>
      </c>
      <c r="O316" s="182" t="str">
        <f>IFERROR(LOOKUP(2,1/((D_Points!$A$5:$A$204&lt;&gt;"")*(D_Points!$A$5:$A$204&gt;=$B316)*(D_Points!$A$5:$A$204&lt;$B316+P_Interval)*(UPPER(TRIM(D_Points!$B$5:$B$204))="PITCHING")*(D_Points!$H$5:$H$204&lt;&gt;"")),D_Points!$H$5:$H$204),"")</f>
        <v/>
      </c>
      <c r="P316" s="181" t="str">
        <f>IFERROR(LOOKUP(2,1/((B_Drainage!$A$5:$A$204&lt;&gt;"")*(B_Drainage!$A$5:$A$204&lt;=$B316)*(B_Drainage!$B$5:$B$204&gt;$B316)*(B_Drainage!$C$5:$C$204&lt;&gt;"")),IF(B_Drainage!$C$5:$C$204="-","",UPPER(B_Drainage!$C$5:$C$204))),"")</f>
        <v/>
      </c>
      <c r="Q316" s="181" t="str">
        <f>IFERROR(LOOKUP(2,1/((B_Drainage!$A$5:$A$204&lt;&gt;"")*(B_Drainage!$A$5:$A$204&lt;=$B316)*(B_Drainage!$B$5:$B$204&gt;$B316)*(B_Drainage!$D$5:$D$204&lt;&gt;"")),IF(B_Drainage!$D$5:$D$204="-","",UPPER(B_Drainage!$D$5:$D$204))),"")</f>
        <v/>
      </c>
      <c r="R316" s="182" t="str">
        <f>IFERROR(LOOKUP(2,1/((D_Points!$A$5:$A$204&lt;&gt;"")*(D_Points!$A$5:$A$204&gt;=$B316)*(D_Points!$A$5:$A$204&lt;$B316+P_Interval)*(RIGHT(UPPER(TRIM(D_Points!$B$5:$B$204)),8)="_CULVERT")),IF(LEFT(UPPER(TRIM(D_Points!$B$5:$B$204)),2)="EX",1,IF(LEFT(UPPER(TRIM(D_Points!$B$5:$B$204)),2)="PR",2,3))),"")</f>
        <v/>
      </c>
      <c r="S316" s="182" t="str">
        <f>IFERROR(LOOKUP(2,1/((D_Points!$A$5:$A$204&lt;&gt;"")*(D_Points!$A$5:$A$204&gt;=$B316)*(D_Points!$A$5:$A$204&lt;$B316+P_Interval)*(RIGHT(UPPER(TRIM(D_Points!$B$5:$B$204)),7)="_BRIDGE")),IF(LEFT(UPPER(TRIM(D_Points!$B$5:$B$204)),2)="EX",1,IF(LEFT(UPPER(TRIM(D_Points!$B$5:$B$204)),2)="PR",2,2))),"")</f>
        <v/>
      </c>
      <c r="T316" s="181" t="str">
        <f>IFERROR(LOOKUP(2,1/((B_Drainage!$A$5:$A$204&lt;&gt;"")*(B_Drainage!$A$5:$A$204&lt;=$B316)*(B_Drainage!$B$5:$B$204&gt;$B316)*(B_Drainage!$E$5:$E$204&lt;&gt;"")),IF(B_Drainage!$E$5:$E$204="-","",1)),"")</f>
        <v/>
      </c>
      <c r="U316" s="181" t="str">
        <f>IFERROR(LOOKUP(2,1/((B_Drainage!$A$5:$A$204&lt;&gt;"")*(B_Drainage!$A$5:$A$204&lt;=$B316)*(B_Drainage!$B$5:$B$204&gt;$B316)*(B_Drainage!$E$5:$E$204&lt;&gt;"")),IF(B_Drainage!$E$5:$E$204="-","",B_Drainage!$E$5:$E$204)),"")</f>
        <v/>
      </c>
      <c r="V316" s="181" t="str">
        <f>IFERROR(LOOKUP(2,1/((B_Drainage!$A$5:$A$204&lt;&gt;"")*(B_Drainage!$A$5:$A$204&lt;=$B316)*(B_Drainage!$B$5:$B$204&gt;$B316)*(B_Drainage!$F$5:$F$204&lt;&gt;"")),IF(B_Drainage!$F$5:$F$204="-","",1)),"")</f>
        <v/>
      </c>
      <c r="W316" s="181" t="str">
        <f>IFERROR(LOOKUP(2,1/((B_Drainage!$A$5:$A$204&lt;&gt;"")*(B_Drainage!$A$5:$A$204&lt;=$B316)*(B_Drainage!$B$5:$B$204&gt;$B316)*(B_Drainage!$F$5:$F$204&lt;&gt;"")),IF(B_Drainage!$F$5:$F$204="-","",B_Drainage!$F$5:$F$204)),"")</f>
        <v/>
      </c>
      <c r="X316" s="181" t="str">
        <f>IFERROR(LOOKUP(2,1/((B_Drainage!$A$5:$A$204&lt;&gt;"")*(B_Drainage!$A$5:$A$204&lt;=$B316)*(B_Drainage!$B$5:$B$204&gt;$B316)*(B_Drainage!$G$5:$G$204&lt;&gt;"")),IF(UPPER(B_Drainage!$G$5:$G$204)="Y",1,"")),"")</f>
        <v/>
      </c>
      <c r="Y316" s="181" t="str">
        <f>IFERROR(LOOKUP(2,1/((B_Drainage!$A$5:$A$204&lt;&gt;"")*(B_Drainage!$A$5:$A$204&lt;=$B316)*(B_Drainage!$B$5:$B$204&gt;$B316)*(B_Drainage!$H$5:$H$204&lt;&gt;"")),IF(UPPER(B_Drainage!$H$5:$H$204)="Y",1,"")),"")</f>
        <v/>
      </c>
      <c r="Z316" s="181" t="str">
        <f>IFERROR(LOOKUP(2,1/((B_Drainage!$A$5:$A$204&lt;&gt;"")*(B_Drainage!$A$5:$A$204&lt;=$B316)*(B_Drainage!$B$5:$B$204&gt;$B316)*(B_Drainage!$I$5:$I$204&lt;&gt;"")),IF(UPPER(B_Drainage!$I$5:$I$204)="Y",1,"")),"")</f>
        <v/>
      </c>
      <c r="AA316" s="181" t="str">
        <f>IFERROR(LOOKUP(2,1/((B_Drainage!$A$5:$A$204&lt;&gt;"")*(B_Drainage!$A$5:$A$204&lt;=$B316)*(B_Drainage!$B$5:$B$204&gt;$B316)*(B_Drainage!$J$5:$J$204&lt;&gt;"")),IF(UPPER(B_Drainage!$J$5:$J$204)="Y",1,"")),"")</f>
        <v/>
      </c>
      <c r="AB316" s="182" t="str">
        <f>IFERROR(LOOKUP(2,1/((B_Drainage!$A$5:$A$204&lt;&gt;"")*(B_Drainage!$A$5:$A$204&lt;=$B316)*(B_Drainage!$B$5:$B$204&gt;$B316)*(B_Drainage!$K$5:$K$204&lt;&gt;"")),IF(B_Drainage!$K$5:$K$204="-","",B_Drainage!$K$5:$K$204)),"")</f>
        <v/>
      </c>
      <c r="AC316" s="182" t="str">
        <f>IFERROR(LOOKUP(2,1/((B_Drainage!$A$5:$A$204&lt;&gt;"")*(B_Drainage!$A$5:$A$204&lt;=$B316)*(B_Drainage!$B$5:$B$204&gt;$B316)*(B_Drainage!$L$5:$L$204&lt;&gt;"")),IF(B_Drainage!$L$5:$L$204="-","",B_Drainage!$L$5:$L$204)),"")</f>
        <v/>
      </c>
      <c r="AD316" s="182" t="str">
        <f>IFERROR(LOOKUP(2,1/((D_Points!$A$5:$A$204&lt;&gt;"")*(D_Points!$A$5:$A$204&gt;=$B316)*(D_Points!$A$5:$A$204&lt;$B316+P_Interval)*(UPPER(TRIM(D_Points!$B$5:$B$204))="TURNOUT_L")*(D_Points!$H$5:$H$204&lt;&gt;"")),D_Points!$H$5:$H$204),"")</f>
        <v/>
      </c>
      <c r="AE316" s="182" t="str">
        <f>IFERROR(LOOKUP(2,1/((D_Points!$A$5:$A$204&lt;&gt;"")*(D_Points!$A$5:$A$204&gt;=$B316)*(D_Points!$A$5:$A$204&lt;$B316+P_Interval)*(UPPER(TRIM(D_Points!$B$5:$B$204))="TURNOUT_R")*(D_Points!$H$5:$H$204&lt;&gt;"")),D_Points!$H$5:$H$204),"")</f>
        <v/>
      </c>
      <c r="AF316" s="181" t="str">
        <f>IFERROR(LOOKUP(2,1/((B_Drainage!$A$5:$A$204&lt;&gt;"")*(B_Drainage!$A$5:$A$204&lt;=$B316)*(B_Drainage!$B$5:$B$204&gt;$B316)*(B_Drainage!$M$5:$M$204&lt;&gt;"")),IF(UPPER(B_Drainage!$M$5:$M$204)="Y",1,"")),"")</f>
        <v/>
      </c>
      <c r="AG316" s="181" t="str">
        <f>IFERROR(LOOKUP(2,1/((B_Drainage!$A$5:$A$204&lt;&gt;"")*(B_Drainage!$A$5:$A$204&lt;=$B316)*(B_Drainage!$B$5:$B$204&gt;$B316)*(B_Drainage!$N$5:$N$204&lt;&gt;"")),IF(UPPER(B_Drainage!$N$5:$N$204)="Y",1,"")),"")</f>
        <v/>
      </c>
      <c r="AH316" s="181" t="str">
        <f t="shared" si="32"/>
        <v/>
      </c>
      <c r="AI316" s="181" t="str">
        <f t="shared" si="33"/>
        <v/>
      </c>
      <c r="AJ316" s="181" t="str">
        <f t="shared" si="34"/>
        <v/>
      </c>
      <c r="AK316" s="181" t="str">
        <f t="shared" si="35"/>
        <v/>
      </c>
      <c r="AL316" s="181" t="str">
        <f t="shared" si="36"/>
        <v/>
      </c>
      <c r="AM316" s="181" t="str">
        <f t="shared" si="37"/>
        <v/>
      </c>
      <c r="AN316" s="181" t="str">
        <f t="shared" si="38"/>
        <v/>
      </c>
      <c r="AO316" s="192" t="str">
        <f t="shared" si="39"/>
        <v/>
      </c>
      <c r="AQ316" t="str">
        <f>IFERROR(LOOKUP(2,1/((C_Pavement!$A$5:$A$204&lt;&gt;"")*(C_Pavement!$A$5:$A$204&lt;=$B316)*(C_Pavement!$B$5:$B$204&gt;$B316)*(C_Pavement!$C$5:$C$204&lt;&gt;"")),ROW(C_Pavement!$C$5:$C$204)-4),"")</f>
        <v/>
      </c>
      <c r="AR316" t="str">
        <f>IF($AQ316="","",UPPER(TRIM(INDEX(C_Pavement!$C$5:$C$204,$AQ316))))</f>
        <v/>
      </c>
      <c r="AS316" t="str">
        <f>IF($AR316="","",IFERROR(MATCH($AR316,E_Rules!$A$5:$A$9,0),""))</f>
        <v/>
      </c>
      <c r="AT316" t="str">
        <f>IF($AQ316="","",IF(INDEX(C_Pavement!$D$5:$D$204,$AQ316)&lt;&gt;"",UPPER(TRIM(INDEX(C_Pavement!$D$5:$D$204,$AQ316))),IF($AS316="","",INDEX(E_Rules!$C$5:$C$9,$AS316))))</f>
        <v/>
      </c>
      <c r="AU316" t="str">
        <f>IF($AQ316="","",IF(INDEX(C_Pavement!$E$5:$E$204,$AQ316)&lt;&gt;"",IF(INDEX(C_Pavement!$E$5:$E$204,$AQ316)="-","",INDEX(C_Pavement!$E$5:$E$204,$AQ316)),IF($AS316="","",INDEX(E_Rules!$D$5:$D$9,$AS316))))</f>
        <v/>
      </c>
      <c r="AV316" t="str">
        <f>IF($AQ316="","",IF(INDEX(C_Pavement!$F$5:$F$204,$AQ316)&lt;&gt;"",IF(INDEX(C_Pavement!$F$5:$F$204,$AQ316)="-","",INDEX(C_Pavement!$F$5:$F$204,$AQ316)),IF($AS316="","",INDEX(E_Rules!$E$5:$E$9,$AS316))))</f>
        <v/>
      </c>
      <c r="AW316" t="str">
        <f>IF($AQ316="","",IF(INDEX(C_Pavement!$G$5:$G$204,$AQ316)&lt;&gt;"",IF(INDEX(C_Pavement!$G$5:$G$204,$AQ316)="-","",INDEX(C_Pavement!$G$5:$G$204,$AQ316)),IF($AS316="","",INDEX(E_Rules!$F$5:$F$9,$AS316))))</f>
        <v/>
      </c>
      <c r="AX316" t="str">
        <f>IF($AQ316="","",IF(INDEX(C_Pavement!$H$5:$H$204,$AQ316)&lt;&gt;"",IF(INDEX(C_Pavement!$H$5:$H$204,$AQ316)="-","",INDEX(C_Pavement!$H$5:$H$204,$AQ316)),IF($AS316="","",INDEX(E_Rules!$G$5:$G$9,$AS316))))</f>
        <v/>
      </c>
      <c r="AY316" t="str">
        <f>IF($AQ316="","",IF(INDEX(C_Pavement!$I$5:$I$204,$AQ316)&lt;&gt;"",IF(INDEX(C_Pavement!$I$5:$I$204,$AQ316)="-","",INDEX(C_Pavement!$I$5:$I$204,$AQ316)),IF($AS316="","",INDEX(E_Rules!$H$5:$H$9,$AS316))))</f>
        <v/>
      </c>
    </row>
    <row r="317" spans="1:51" ht="15.75" customHeight="1" x14ac:dyDescent="0.3">
      <c r="A317" s="189">
        <v>312</v>
      </c>
      <c r="B317" s="180">
        <v>15550</v>
      </c>
      <c r="C317" s="180" t="s">
        <v>623</v>
      </c>
      <c r="D317" s="181" t="str">
        <f>IFERROR(LOOKUP(2,1/((A_Corridor!$A$5:$A$204&lt;&gt;"")*(A_Corridor!$A$5:$A$204&lt;=$B317)*(A_Corridor!$B$5:$B$204&gt;$B317)*(A_Corridor!$C$5:$C$204&lt;&gt;"")),IF(UPPER(A_Corridor!$C$5:$C$204)="Y",1,"")),"")</f>
        <v/>
      </c>
      <c r="E317" s="181" t="str">
        <f>IFERROR(LOOKUP(2,1/((A_Corridor!$A$5:$A$204&lt;&gt;"")*(A_Corridor!$A$5:$A$204&lt;=$B317)*(A_Corridor!$B$5:$B$204&gt;$B317)*(A_Corridor!$D$5:$D$204&lt;&gt;"")),IF(A_Corridor!$D$5:$D$204="-","",UPPER(A_Corridor!$D$5:$D$204))),"")</f>
        <v/>
      </c>
      <c r="F317" s="181" t="str">
        <f>IFERROR(LOOKUP(2,1/((A_Corridor!$A$5:$A$204&lt;&gt;"")*(A_Corridor!$A$5:$A$204&lt;=$B317)*(A_Corridor!$B$5:$B$204&gt;$B317)*(A_Corridor!$E$5:$E$204&lt;&gt;"")),IF(A_Corridor!$E$5:$E$204="-","",1)),"")</f>
        <v/>
      </c>
      <c r="G317" s="182" t="str">
        <f>IFERROR(LOOKUP(2,1/((A_Corridor!$A$5:$A$204&lt;&gt;"")*(A_Corridor!$A$5:$A$204&lt;=$B317)*(A_Corridor!$B$5:$B$204&gt;$B317)*(A_Corridor!$E$5:$E$204&lt;&gt;"")),IF(A_Corridor!$E$5:$E$204="-","",A_Corridor!$E$5:$E$204)),"")</f>
        <v/>
      </c>
      <c r="H317" s="182" t="str">
        <f>IFERROR(LOOKUP(2,1/((D_Points!$A$5:$A$204&lt;&gt;"")*(D_Points!$A$5:$A$204&gt;=$B317)*(D_Points!$A$5:$A$204&lt;$B317+P_Interval)*(UPPER(TRIM(D_Points!$B$5:$B$204))="GULLY")*(D_Points!$H$5:$H$204&lt;&gt;"")),D_Points!$H$5:$H$204),"")</f>
        <v/>
      </c>
      <c r="I317" s="181" t="str">
        <f>IFERROR(LOOKUP(2,1/((A_Corridor!$A$5:$A$204&lt;&gt;"")*(A_Corridor!$A$5:$A$204&lt;=$B317)*(A_Corridor!$B$5:$B$204&gt;$B317)*(A_Corridor!$F$5:$F$204&lt;&gt;"")),IF(A_Corridor!$F$5:$F$204="-","",1)),"")</f>
        <v/>
      </c>
      <c r="J317" s="182" t="str">
        <f>IFERROR(LOOKUP(2,1/((A_Corridor!$A$5:$A$204&lt;&gt;"")*(A_Corridor!$A$5:$A$204&lt;=$B317)*(A_Corridor!$B$5:$B$204&gt;$B317)*(A_Corridor!$F$5:$F$204&lt;&gt;"")),IF(A_Corridor!$F$5:$F$204="-","",A_Corridor!$F$5:$F$204)),"")</f>
        <v/>
      </c>
      <c r="K317" s="182" t="str">
        <f>IFERROR(LOOKUP(2,1/((A_Corridor!$A$5:$A$204&lt;&gt;"")*(A_Corridor!$A$5:$A$204&lt;=$B317)*(A_Corridor!$B$5:$B$204&gt;$B317)*(A_Corridor!$G$5:$G$204&lt;&gt;"")),IF(A_Corridor!$G$5:$G$204="-","",A_Corridor!$G$5:$G$204)),"")</f>
        <v/>
      </c>
      <c r="L317" s="181" t="str">
        <f>IFERROR(LOOKUP(2,1/((A_Corridor!$A$5:$A$204&lt;&gt;"")*(A_Corridor!$A$5:$A$204&lt;=$B317)*(A_Corridor!$B$5:$B$204&gt;$B317)*(A_Corridor!$H$5:$H$204&lt;&gt;"")),IF(A_Corridor!$H$5:$H$204="-","",1)),"")</f>
        <v/>
      </c>
      <c r="M317" s="182" t="str">
        <f>IFERROR(LOOKUP(2,1/((A_Corridor!$A$5:$A$204&lt;&gt;"")*(A_Corridor!$A$5:$A$204&lt;=$B317)*(A_Corridor!$B$5:$B$204&gt;$B317)*(A_Corridor!$H$5:$H$204&lt;&gt;"")),IF(A_Corridor!$H$5:$H$204="-","",A_Corridor!$H$5:$H$204)),"")</f>
        <v/>
      </c>
      <c r="N317" s="182" t="str">
        <f>IFERROR(LOOKUP(2,1/((A_Corridor!$A$5:$A$204&lt;&gt;"")*(A_Corridor!$A$5:$A$204&lt;=$B317)*(A_Corridor!$B$5:$B$204&gt;$B317)*(A_Corridor!$I$5:$I$204&lt;&gt;"")),IF(A_Corridor!$I$5:$I$204="-","",A_Corridor!$I$5:$I$204)),"")</f>
        <v/>
      </c>
      <c r="O317" s="182" t="str">
        <f>IFERROR(LOOKUP(2,1/((D_Points!$A$5:$A$204&lt;&gt;"")*(D_Points!$A$5:$A$204&gt;=$B317)*(D_Points!$A$5:$A$204&lt;$B317+P_Interval)*(UPPER(TRIM(D_Points!$B$5:$B$204))="PITCHING")*(D_Points!$H$5:$H$204&lt;&gt;"")),D_Points!$H$5:$H$204),"")</f>
        <v/>
      </c>
      <c r="P317" s="181" t="str">
        <f>IFERROR(LOOKUP(2,1/((B_Drainage!$A$5:$A$204&lt;&gt;"")*(B_Drainage!$A$5:$A$204&lt;=$B317)*(B_Drainage!$B$5:$B$204&gt;$B317)*(B_Drainage!$C$5:$C$204&lt;&gt;"")),IF(B_Drainage!$C$5:$C$204="-","",UPPER(B_Drainage!$C$5:$C$204))),"")</f>
        <v/>
      </c>
      <c r="Q317" s="181" t="str">
        <f>IFERROR(LOOKUP(2,1/((B_Drainage!$A$5:$A$204&lt;&gt;"")*(B_Drainage!$A$5:$A$204&lt;=$B317)*(B_Drainage!$B$5:$B$204&gt;$B317)*(B_Drainage!$D$5:$D$204&lt;&gt;"")),IF(B_Drainage!$D$5:$D$204="-","",UPPER(B_Drainage!$D$5:$D$204))),"")</f>
        <v/>
      </c>
      <c r="R317" s="182" t="str">
        <f>IFERROR(LOOKUP(2,1/((D_Points!$A$5:$A$204&lt;&gt;"")*(D_Points!$A$5:$A$204&gt;=$B317)*(D_Points!$A$5:$A$204&lt;$B317+P_Interval)*(RIGHT(UPPER(TRIM(D_Points!$B$5:$B$204)),8)="_CULVERT")),IF(LEFT(UPPER(TRIM(D_Points!$B$5:$B$204)),2)="EX",1,IF(LEFT(UPPER(TRIM(D_Points!$B$5:$B$204)),2)="PR",2,3))),"")</f>
        <v/>
      </c>
      <c r="S317" s="182" t="str">
        <f>IFERROR(LOOKUP(2,1/((D_Points!$A$5:$A$204&lt;&gt;"")*(D_Points!$A$5:$A$204&gt;=$B317)*(D_Points!$A$5:$A$204&lt;$B317+P_Interval)*(RIGHT(UPPER(TRIM(D_Points!$B$5:$B$204)),7)="_BRIDGE")),IF(LEFT(UPPER(TRIM(D_Points!$B$5:$B$204)),2)="EX",1,IF(LEFT(UPPER(TRIM(D_Points!$B$5:$B$204)),2)="PR",2,2))),"")</f>
        <v/>
      </c>
      <c r="T317" s="181" t="str">
        <f>IFERROR(LOOKUP(2,1/((B_Drainage!$A$5:$A$204&lt;&gt;"")*(B_Drainage!$A$5:$A$204&lt;=$B317)*(B_Drainage!$B$5:$B$204&gt;$B317)*(B_Drainage!$E$5:$E$204&lt;&gt;"")),IF(B_Drainage!$E$5:$E$204="-","",1)),"")</f>
        <v/>
      </c>
      <c r="U317" s="181" t="str">
        <f>IFERROR(LOOKUP(2,1/((B_Drainage!$A$5:$A$204&lt;&gt;"")*(B_Drainage!$A$5:$A$204&lt;=$B317)*(B_Drainage!$B$5:$B$204&gt;$B317)*(B_Drainage!$E$5:$E$204&lt;&gt;"")),IF(B_Drainage!$E$5:$E$204="-","",B_Drainage!$E$5:$E$204)),"")</f>
        <v/>
      </c>
      <c r="V317" s="181" t="str">
        <f>IFERROR(LOOKUP(2,1/((B_Drainage!$A$5:$A$204&lt;&gt;"")*(B_Drainage!$A$5:$A$204&lt;=$B317)*(B_Drainage!$B$5:$B$204&gt;$B317)*(B_Drainage!$F$5:$F$204&lt;&gt;"")),IF(B_Drainage!$F$5:$F$204="-","",1)),"")</f>
        <v/>
      </c>
      <c r="W317" s="181" t="str">
        <f>IFERROR(LOOKUP(2,1/((B_Drainage!$A$5:$A$204&lt;&gt;"")*(B_Drainage!$A$5:$A$204&lt;=$B317)*(B_Drainage!$B$5:$B$204&gt;$B317)*(B_Drainage!$F$5:$F$204&lt;&gt;"")),IF(B_Drainage!$F$5:$F$204="-","",B_Drainage!$F$5:$F$204)),"")</f>
        <v/>
      </c>
      <c r="X317" s="181" t="str">
        <f>IFERROR(LOOKUP(2,1/((B_Drainage!$A$5:$A$204&lt;&gt;"")*(B_Drainage!$A$5:$A$204&lt;=$B317)*(B_Drainage!$B$5:$B$204&gt;$B317)*(B_Drainage!$G$5:$G$204&lt;&gt;"")),IF(UPPER(B_Drainage!$G$5:$G$204)="Y",1,"")),"")</f>
        <v/>
      </c>
      <c r="Y317" s="181" t="str">
        <f>IFERROR(LOOKUP(2,1/((B_Drainage!$A$5:$A$204&lt;&gt;"")*(B_Drainage!$A$5:$A$204&lt;=$B317)*(B_Drainage!$B$5:$B$204&gt;$B317)*(B_Drainage!$H$5:$H$204&lt;&gt;"")),IF(UPPER(B_Drainage!$H$5:$H$204)="Y",1,"")),"")</f>
        <v/>
      </c>
      <c r="Z317" s="181" t="str">
        <f>IFERROR(LOOKUP(2,1/((B_Drainage!$A$5:$A$204&lt;&gt;"")*(B_Drainage!$A$5:$A$204&lt;=$B317)*(B_Drainage!$B$5:$B$204&gt;$B317)*(B_Drainage!$I$5:$I$204&lt;&gt;"")),IF(UPPER(B_Drainage!$I$5:$I$204)="Y",1,"")),"")</f>
        <v/>
      </c>
      <c r="AA317" s="181" t="str">
        <f>IFERROR(LOOKUP(2,1/((B_Drainage!$A$5:$A$204&lt;&gt;"")*(B_Drainage!$A$5:$A$204&lt;=$B317)*(B_Drainage!$B$5:$B$204&gt;$B317)*(B_Drainage!$J$5:$J$204&lt;&gt;"")),IF(UPPER(B_Drainage!$J$5:$J$204)="Y",1,"")),"")</f>
        <v/>
      </c>
      <c r="AB317" s="182" t="str">
        <f>IFERROR(LOOKUP(2,1/((B_Drainage!$A$5:$A$204&lt;&gt;"")*(B_Drainage!$A$5:$A$204&lt;=$B317)*(B_Drainage!$B$5:$B$204&gt;$B317)*(B_Drainage!$K$5:$K$204&lt;&gt;"")),IF(B_Drainage!$K$5:$K$204="-","",B_Drainage!$K$5:$K$204)),"")</f>
        <v/>
      </c>
      <c r="AC317" s="182" t="str">
        <f>IFERROR(LOOKUP(2,1/((B_Drainage!$A$5:$A$204&lt;&gt;"")*(B_Drainage!$A$5:$A$204&lt;=$B317)*(B_Drainage!$B$5:$B$204&gt;$B317)*(B_Drainage!$L$5:$L$204&lt;&gt;"")),IF(B_Drainage!$L$5:$L$204="-","",B_Drainage!$L$5:$L$204)),"")</f>
        <v/>
      </c>
      <c r="AD317" s="182" t="str">
        <f>IFERROR(LOOKUP(2,1/((D_Points!$A$5:$A$204&lt;&gt;"")*(D_Points!$A$5:$A$204&gt;=$B317)*(D_Points!$A$5:$A$204&lt;$B317+P_Interval)*(UPPER(TRIM(D_Points!$B$5:$B$204))="TURNOUT_L")*(D_Points!$H$5:$H$204&lt;&gt;"")),D_Points!$H$5:$H$204),"")</f>
        <v/>
      </c>
      <c r="AE317" s="182" t="str">
        <f>IFERROR(LOOKUP(2,1/((D_Points!$A$5:$A$204&lt;&gt;"")*(D_Points!$A$5:$A$204&gt;=$B317)*(D_Points!$A$5:$A$204&lt;$B317+P_Interval)*(UPPER(TRIM(D_Points!$B$5:$B$204))="TURNOUT_R")*(D_Points!$H$5:$H$204&lt;&gt;"")),D_Points!$H$5:$H$204),"")</f>
        <v/>
      </c>
      <c r="AF317" s="181" t="str">
        <f>IFERROR(LOOKUP(2,1/((B_Drainage!$A$5:$A$204&lt;&gt;"")*(B_Drainage!$A$5:$A$204&lt;=$B317)*(B_Drainage!$B$5:$B$204&gt;$B317)*(B_Drainage!$M$5:$M$204&lt;&gt;"")),IF(UPPER(B_Drainage!$M$5:$M$204)="Y",1,"")),"")</f>
        <v/>
      </c>
      <c r="AG317" s="181" t="str">
        <f>IFERROR(LOOKUP(2,1/((B_Drainage!$A$5:$A$204&lt;&gt;"")*(B_Drainage!$A$5:$A$204&lt;=$B317)*(B_Drainage!$B$5:$B$204&gt;$B317)*(B_Drainage!$N$5:$N$204&lt;&gt;"")),IF(UPPER(B_Drainage!$N$5:$N$204)="Y",1,"")),"")</f>
        <v/>
      </c>
      <c r="AH317" s="181" t="str">
        <f t="shared" si="32"/>
        <v/>
      </c>
      <c r="AI317" s="181" t="str">
        <f t="shared" si="33"/>
        <v/>
      </c>
      <c r="AJ317" s="181" t="str">
        <f t="shared" si="34"/>
        <v/>
      </c>
      <c r="AK317" s="181" t="str">
        <f t="shared" si="35"/>
        <v/>
      </c>
      <c r="AL317" s="181" t="str">
        <f t="shared" si="36"/>
        <v/>
      </c>
      <c r="AM317" s="181" t="str">
        <f t="shared" si="37"/>
        <v/>
      </c>
      <c r="AN317" s="181" t="str">
        <f t="shared" si="38"/>
        <v/>
      </c>
      <c r="AO317" s="192" t="str">
        <f t="shared" si="39"/>
        <v/>
      </c>
      <c r="AQ317" t="str">
        <f>IFERROR(LOOKUP(2,1/((C_Pavement!$A$5:$A$204&lt;&gt;"")*(C_Pavement!$A$5:$A$204&lt;=$B317)*(C_Pavement!$B$5:$B$204&gt;$B317)*(C_Pavement!$C$5:$C$204&lt;&gt;"")),ROW(C_Pavement!$C$5:$C$204)-4),"")</f>
        <v/>
      </c>
      <c r="AR317" t="str">
        <f>IF($AQ317="","",UPPER(TRIM(INDEX(C_Pavement!$C$5:$C$204,$AQ317))))</f>
        <v/>
      </c>
      <c r="AS317" t="str">
        <f>IF($AR317="","",IFERROR(MATCH($AR317,E_Rules!$A$5:$A$9,0),""))</f>
        <v/>
      </c>
      <c r="AT317" t="str">
        <f>IF($AQ317="","",IF(INDEX(C_Pavement!$D$5:$D$204,$AQ317)&lt;&gt;"",UPPER(TRIM(INDEX(C_Pavement!$D$5:$D$204,$AQ317))),IF($AS317="","",INDEX(E_Rules!$C$5:$C$9,$AS317))))</f>
        <v/>
      </c>
      <c r="AU317" t="str">
        <f>IF($AQ317="","",IF(INDEX(C_Pavement!$E$5:$E$204,$AQ317)&lt;&gt;"",IF(INDEX(C_Pavement!$E$5:$E$204,$AQ317)="-","",INDEX(C_Pavement!$E$5:$E$204,$AQ317)),IF($AS317="","",INDEX(E_Rules!$D$5:$D$9,$AS317))))</f>
        <v/>
      </c>
      <c r="AV317" t="str">
        <f>IF($AQ317="","",IF(INDEX(C_Pavement!$F$5:$F$204,$AQ317)&lt;&gt;"",IF(INDEX(C_Pavement!$F$5:$F$204,$AQ317)="-","",INDEX(C_Pavement!$F$5:$F$204,$AQ317)),IF($AS317="","",INDEX(E_Rules!$E$5:$E$9,$AS317))))</f>
        <v/>
      </c>
      <c r="AW317" t="str">
        <f>IF($AQ317="","",IF(INDEX(C_Pavement!$G$5:$G$204,$AQ317)&lt;&gt;"",IF(INDEX(C_Pavement!$G$5:$G$204,$AQ317)="-","",INDEX(C_Pavement!$G$5:$G$204,$AQ317)),IF($AS317="","",INDEX(E_Rules!$F$5:$F$9,$AS317))))</f>
        <v/>
      </c>
      <c r="AX317" t="str">
        <f>IF($AQ317="","",IF(INDEX(C_Pavement!$H$5:$H$204,$AQ317)&lt;&gt;"",IF(INDEX(C_Pavement!$H$5:$H$204,$AQ317)="-","",INDEX(C_Pavement!$H$5:$H$204,$AQ317)),IF($AS317="","",INDEX(E_Rules!$G$5:$G$9,$AS317))))</f>
        <v/>
      </c>
      <c r="AY317" t="str">
        <f>IF($AQ317="","",IF(INDEX(C_Pavement!$I$5:$I$204,$AQ317)&lt;&gt;"",IF(INDEX(C_Pavement!$I$5:$I$204,$AQ317)="-","",INDEX(C_Pavement!$I$5:$I$204,$AQ317)),IF($AS317="","",INDEX(E_Rules!$H$5:$H$9,$AS317))))</f>
        <v/>
      </c>
    </row>
    <row r="318" spans="1:51" ht="15.75" customHeight="1" x14ac:dyDescent="0.3">
      <c r="A318" s="189">
        <v>313</v>
      </c>
      <c r="B318" s="180">
        <v>15600</v>
      </c>
      <c r="C318" s="180" t="s">
        <v>624</v>
      </c>
      <c r="D318" s="181" t="str">
        <f>IFERROR(LOOKUP(2,1/((A_Corridor!$A$5:$A$204&lt;&gt;"")*(A_Corridor!$A$5:$A$204&lt;=$B318)*(A_Corridor!$B$5:$B$204&gt;$B318)*(A_Corridor!$C$5:$C$204&lt;&gt;"")),IF(UPPER(A_Corridor!$C$5:$C$204)="Y",1,"")),"")</f>
        <v/>
      </c>
      <c r="E318" s="181" t="str">
        <f>IFERROR(LOOKUP(2,1/((A_Corridor!$A$5:$A$204&lt;&gt;"")*(A_Corridor!$A$5:$A$204&lt;=$B318)*(A_Corridor!$B$5:$B$204&gt;$B318)*(A_Corridor!$D$5:$D$204&lt;&gt;"")),IF(A_Corridor!$D$5:$D$204="-","",UPPER(A_Corridor!$D$5:$D$204))),"")</f>
        <v/>
      </c>
      <c r="F318" s="181" t="str">
        <f>IFERROR(LOOKUP(2,1/((A_Corridor!$A$5:$A$204&lt;&gt;"")*(A_Corridor!$A$5:$A$204&lt;=$B318)*(A_Corridor!$B$5:$B$204&gt;$B318)*(A_Corridor!$E$5:$E$204&lt;&gt;"")),IF(A_Corridor!$E$5:$E$204="-","",1)),"")</f>
        <v/>
      </c>
      <c r="G318" s="182" t="str">
        <f>IFERROR(LOOKUP(2,1/((A_Corridor!$A$5:$A$204&lt;&gt;"")*(A_Corridor!$A$5:$A$204&lt;=$B318)*(A_Corridor!$B$5:$B$204&gt;$B318)*(A_Corridor!$E$5:$E$204&lt;&gt;"")),IF(A_Corridor!$E$5:$E$204="-","",A_Corridor!$E$5:$E$204)),"")</f>
        <v/>
      </c>
      <c r="H318" s="182" t="str">
        <f>IFERROR(LOOKUP(2,1/((D_Points!$A$5:$A$204&lt;&gt;"")*(D_Points!$A$5:$A$204&gt;=$B318)*(D_Points!$A$5:$A$204&lt;$B318+P_Interval)*(UPPER(TRIM(D_Points!$B$5:$B$204))="GULLY")*(D_Points!$H$5:$H$204&lt;&gt;"")),D_Points!$H$5:$H$204),"")</f>
        <v/>
      </c>
      <c r="I318" s="181" t="str">
        <f>IFERROR(LOOKUP(2,1/((A_Corridor!$A$5:$A$204&lt;&gt;"")*(A_Corridor!$A$5:$A$204&lt;=$B318)*(A_Corridor!$B$5:$B$204&gt;$B318)*(A_Corridor!$F$5:$F$204&lt;&gt;"")),IF(A_Corridor!$F$5:$F$204="-","",1)),"")</f>
        <v/>
      </c>
      <c r="J318" s="182" t="str">
        <f>IFERROR(LOOKUP(2,1/((A_Corridor!$A$5:$A$204&lt;&gt;"")*(A_Corridor!$A$5:$A$204&lt;=$B318)*(A_Corridor!$B$5:$B$204&gt;$B318)*(A_Corridor!$F$5:$F$204&lt;&gt;"")),IF(A_Corridor!$F$5:$F$204="-","",A_Corridor!$F$5:$F$204)),"")</f>
        <v/>
      </c>
      <c r="K318" s="182" t="str">
        <f>IFERROR(LOOKUP(2,1/((A_Corridor!$A$5:$A$204&lt;&gt;"")*(A_Corridor!$A$5:$A$204&lt;=$B318)*(A_Corridor!$B$5:$B$204&gt;$B318)*(A_Corridor!$G$5:$G$204&lt;&gt;"")),IF(A_Corridor!$G$5:$G$204="-","",A_Corridor!$G$5:$G$204)),"")</f>
        <v/>
      </c>
      <c r="L318" s="181" t="str">
        <f>IFERROR(LOOKUP(2,1/((A_Corridor!$A$5:$A$204&lt;&gt;"")*(A_Corridor!$A$5:$A$204&lt;=$B318)*(A_Corridor!$B$5:$B$204&gt;$B318)*(A_Corridor!$H$5:$H$204&lt;&gt;"")),IF(A_Corridor!$H$5:$H$204="-","",1)),"")</f>
        <v/>
      </c>
      <c r="M318" s="182" t="str">
        <f>IFERROR(LOOKUP(2,1/((A_Corridor!$A$5:$A$204&lt;&gt;"")*(A_Corridor!$A$5:$A$204&lt;=$B318)*(A_Corridor!$B$5:$B$204&gt;$B318)*(A_Corridor!$H$5:$H$204&lt;&gt;"")),IF(A_Corridor!$H$5:$H$204="-","",A_Corridor!$H$5:$H$204)),"")</f>
        <v/>
      </c>
      <c r="N318" s="182" t="str">
        <f>IFERROR(LOOKUP(2,1/((A_Corridor!$A$5:$A$204&lt;&gt;"")*(A_Corridor!$A$5:$A$204&lt;=$B318)*(A_Corridor!$B$5:$B$204&gt;$B318)*(A_Corridor!$I$5:$I$204&lt;&gt;"")),IF(A_Corridor!$I$5:$I$204="-","",A_Corridor!$I$5:$I$204)),"")</f>
        <v/>
      </c>
      <c r="O318" s="182" t="str">
        <f>IFERROR(LOOKUP(2,1/((D_Points!$A$5:$A$204&lt;&gt;"")*(D_Points!$A$5:$A$204&gt;=$B318)*(D_Points!$A$5:$A$204&lt;$B318+P_Interval)*(UPPER(TRIM(D_Points!$B$5:$B$204))="PITCHING")*(D_Points!$H$5:$H$204&lt;&gt;"")),D_Points!$H$5:$H$204),"")</f>
        <v/>
      </c>
      <c r="P318" s="181" t="str">
        <f>IFERROR(LOOKUP(2,1/((B_Drainage!$A$5:$A$204&lt;&gt;"")*(B_Drainage!$A$5:$A$204&lt;=$B318)*(B_Drainage!$B$5:$B$204&gt;$B318)*(B_Drainage!$C$5:$C$204&lt;&gt;"")),IF(B_Drainage!$C$5:$C$204="-","",UPPER(B_Drainage!$C$5:$C$204))),"")</f>
        <v/>
      </c>
      <c r="Q318" s="181" t="str">
        <f>IFERROR(LOOKUP(2,1/((B_Drainage!$A$5:$A$204&lt;&gt;"")*(B_Drainage!$A$5:$A$204&lt;=$B318)*(B_Drainage!$B$5:$B$204&gt;$B318)*(B_Drainage!$D$5:$D$204&lt;&gt;"")),IF(B_Drainage!$D$5:$D$204="-","",UPPER(B_Drainage!$D$5:$D$204))),"")</f>
        <v/>
      </c>
      <c r="R318" s="182" t="str">
        <f>IFERROR(LOOKUP(2,1/((D_Points!$A$5:$A$204&lt;&gt;"")*(D_Points!$A$5:$A$204&gt;=$B318)*(D_Points!$A$5:$A$204&lt;$B318+P_Interval)*(RIGHT(UPPER(TRIM(D_Points!$B$5:$B$204)),8)="_CULVERT")),IF(LEFT(UPPER(TRIM(D_Points!$B$5:$B$204)),2)="EX",1,IF(LEFT(UPPER(TRIM(D_Points!$B$5:$B$204)),2)="PR",2,3))),"")</f>
        <v/>
      </c>
      <c r="S318" s="182" t="str">
        <f>IFERROR(LOOKUP(2,1/((D_Points!$A$5:$A$204&lt;&gt;"")*(D_Points!$A$5:$A$204&gt;=$B318)*(D_Points!$A$5:$A$204&lt;$B318+P_Interval)*(RIGHT(UPPER(TRIM(D_Points!$B$5:$B$204)),7)="_BRIDGE")),IF(LEFT(UPPER(TRIM(D_Points!$B$5:$B$204)),2)="EX",1,IF(LEFT(UPPER(TRIM(D_Points!$B$5:$B$204)),2)="PR",2,2))),"")</f>
        <v/>
      </c>
      <c r="T318" s="181" t="str">
        <f>IFERROR(LOOKUP(2,1/((B_Drainage!$A$5:$A$204&lt;&gt;"")*(B_Drainage!$A$5:$A$204&lt;=$B318)*(B_Drainage!$B$5:$B$204&gt;$B318)*(B_Drainage!$E$5:$E$204&lt;&gt;"")),IF(B_Drainage!$E$5:$E$204="-","",1)),"")</f>
        <v/>
      </c>
      <c r="U318" s="181" t="str">
        <f>IFERROR(LOOKUP(2,1/((B_Drainage!$A$5:$A$204&lt;&gt;"")*(B_Drainage!$A$5:$A$204&lt;=$B318)*(B_Drainage!$B$5:$B$204&gt;$B318)*(B_Drainage!$E$5:$E$204&lt;&gt;"")),IF(B_Drainage!$E$5:$E$204="-","",B_Drainage!$E$5:$E$204)),"")</f>
        <v/>
      </c>
      <c r="V318" s="181" t="str">
        <f>IFERROR(LOOKUP(2,1/((B_Drainage!$A$5:$A$204&lt;&gt;"")*(B_Drainage!$A$5:$A$204&lt;=$B318)*(B_Drainage!$B$5:$B$204&gt;$B318)*(B_Drainage!$F$5:$F$204&lt;&gt;"")),IF(B_Drainage!$F$5:$F$204="-","",1)),"")</f>
        <v/>
      </c>
      <c r="W318" s="181" t="str">
        <f>IFERROR(LOOKUP(2,1/((B_Drainage!$A$5:$A$204&lt;&gt;"")*(B_Drainage!$A$5:$A$204&lt;=$B318)*(B_Drainage!$B$5:$B$204&gt;$B318)*(B_Drainage!$F$5:$F$204&lt;&gt;"")),IF(B_Drainage!$F$5:$F$204="-","",B_Drainage!$F$5:$F$204)),"")</f>
        <v/>
      </c>
      <c r="X318" s="181" t="str">
        <f>IFERROR(LOOKUP(2,1/((B_Drainage!$A$5:$A$204&lt;&gt;"")*(B_Drainage!$A$5:$A$204&lt;=$B318)*(B_Drainage!$B$5:$B$204&gt;$B318)*(B_Drainage!$G$5:$G$204&lt;&gt;"")),IF(UPPER(B_Drainage!$G$5:$G$204)="Y",1,"")),"")</f>
        <v/>
      </c>
      <c r="Y318" s="181" t="str">
        <f>IFERROR(LOOKUP(2,1/((B_Drainage!$A$5:$A$204&lt;&gt;"")*(B_Drainage!$A$5:$A$204&lt;=$B318)*(B_Drainage!$B$5:$B$204&gt;$B318)*(B_Drainage!$H$5:$H$204&lt;&gt;"")),IF(UPPER(B_Drainage!$H$5:$H$204)="Y",1,"")),"")</f>
        <v/>
      </c>
      <c r="Z318" s="181" t="str">
        <f>IFERROR(LOOKUP(2,1/((B_Drainage!$A$5:$A$204&lt;&gt;"")*(B_Drainage!$A$5:$A$204&lt;=$B318)*(B_Drainage!$B$5:$B$204&gt;$B318)*(B_Drainage!$I$5:$I$204&lt;&gt;"")),IF(UPPER(B_Drainage!$I$5:$I$204)="Y",1,"")),"")</f>
        <v/>
      </c>
      <c r="AA318" s="181" t="str">
        <f>IFERROR(LOOKUP(2,1/((B_Drainage!$A$5:$A$204&lt;&gt;"")*(B_Drainage!$A$5:$A$204&lt;=$B318)*(B_Drainage!$B$5:$B$204&gt;$B318)*(B_Drainage!$J$5:$J$204&lt;&gt;"")),IF(UPPER(B_Drainage!$J$5:$J$204)="Y",1,"")),"")</f>
        <v/>
      </c>
      <c r="AB318" s="182" t="str">
        <f>IFERROR(LOOKUP(2,1/((B_Drainage!$A$5:$A$204&lt;&gt;"")*(B_Drainage!$A$5:$A$204&lt;=$B318)*(B_Drainage!$B$5:$B$204&gt;$B318)*(B_Drainage!$K$5:$K$204&lt;&gt;"")),IF(B_Drainage!$K$5:$K$204="-","",B_Drainage!$K$5:$K$204)),"")</f>
        <v/>
      </c>
      <c r="AC318" s="182" t="str">
        <f>IFERROR(LOOKUP(2,1/((B_Drainage!$A$5:$A$204&lt;&gt;"")*(B_Drainage!$A$5:$A$204&lt;=$B318)*(B_Drainage!$B$5:$B$204&gt;$B318)*(B_Drainage!$L$5:$L$204&lt;&gt;"")),IF(B_Drainage!$L$5:$L$204="-","",B_Drainage!$L$5:$L$204)),"")</f>
        <v/>
      </c>
      <c r="AD318" s="182" t="str">
        <f>IFERROR(LOOKUP(2,1/((D_Points!$A$5:$A$204&lt;&gt;"")*(D_Points!$A$5:$A$204&gt;=$B318)*(D_Points!$A$5:$A$204&lt;$B318+P_Interval)*(UPPER(TRIM(D_Points!$B$5:$B$204))="TURNOUT_L")*(D_Points!$H$5:$H$204&lt;&gt;"")),D_Points!$H$5:$H$204),"")</f>
        <v/>
      </c>
      <c r="AE318" s="182" t="str">
        <f>IFERROR(LOOKUP(2,1/((D_Points!$A$5:$A$204&lt;&gt;"")*(D_Points!$A$5:$A$204&gt;=$B318)*(D_Points!$A$5:$A$204&lt;$B318+P_Interval)*(UPPER(TRIM(D_Points!$B$5:$B$204))="TURNOUT_R")*(D_Points!$H$5:$H$204&lt;&gt;"")),D_Points!$H$5:$H$204),"")</f>
        <v/>
      </c>
      <c r="AF318" s="181" t="str">
        <f>IFERROR(LOOKUP(2,1/((B_Drainage!$A$5:$A$204&lt;&gt;"")*(B_Drainage!$A$5:$A$204&lt;=$B318)*(B_Drainage!$B$5:$B$204&gt;$B318)*(B_Drainage!$M$5:$M$204&lt;&gt;"")),IF(UPPER(B_Drainage!$M$5:$M$204)="Y",1,"")),"")</f>
        <v/>
      </c>
      <c r="AG318" s="181" t="str">
        <f>IFERROR(LOOKUP(2,1/((B_Drainage!$A$5:$A$204&lt;&gt;"")*(B_Drainage!$A$5:$A$204&lt;=$B318)*(B_Drainage!$B$5:$B$204&gt;$B318)*(B_Drainage!$N$5:$N$204&lt;&gt;"")),IF(UPPER(B_Drainage!$N$5:$N$204)="Y",1,"")),"")</f>
        <v/>
      </c>
      <c r="AH318" s="181" t="str">
        <f t="shared" si="32"/>
        <v/>
      </c>
      <c r="AI318" s="181" t="str">
        <f t="shared" si="33"/>
        <v/>
      </c>
      <c r="AJ318" s="181" t="str">
        <f t="shared" si="34"/>
        <v/>
      </c>
      <c r="AK318" s="181" t="str">
        <f t="shared" si="35"/>
        <v/>
      </c>
      <c r="AL318" s="181" t="str">
        <f t="shared" si="36"/>
        <v/>
      </c>
      <c r="AM318" s="181" t="str">
        <f t="shared" si="37"/>
        <v/>
      </c>
      <c r="AN318" s="181" t="str">
        <f t="shared" si="38"/>
        <v/>
      </c>
      <c r="AO318" s="192" t="str">
        <f t="shared" si="39"/>
        <v/>
      </c>
      <c r="AQ318" t="str">
        <f>IFERROR(LOOKUP(2,1/((C_Pavement!$A$5:$A$204&lt;&gt;"")*(C_Pavement!$A$5:$A$204&lt;=$B318)*(C_Pavement!$B$5:$B$204&gt;$B318)*(C_Pavement!$C$5:$C$204&lt;&gt;"")),ROW(C_Pavement!$C$5:$C$204)-4),"")</f>
        <v/>
      </c>
      <c r="AR318" t="str">
        <f>IF($AQ318="","",UPPER(TRIM(INDEX(C_Pavement!$C$5:$C$204,$AQ318))))</f>
        <v/>
      </c>
      <c r="AS318" t="str">
        <f>IF($AR318="","",IFERROR(MATCH($AR318,E_Rules!$A$5:$A$9,0),""))</f>
        <v/>
      </c>
      <c r="AT318" t="str">
        <f>IF($AQ318="","",IF(INDEX(C_Pavement!$D$5:$D$204,$AQ318)&lt;&gt;"",UPPER(TRIM(INDEX(C_Pavement!$D$5:$D$204,$AQ318))),IF($AS318="","",INDEX(E_Rules!$C$5:$C$9,$AS318))))</f>
        <v/>
      </c>
      <c r="AU318" t="str">
        <f>IF($AQ318="","",IF(INDEX(C_Pavement!$E$5:$E$204,$AQ318)&lt;&gt;"",IF(INDEX(C_Pavement!$E$5:$E$204,$AQ318)="-","",INDEX(C_Pavement!$E$5:$E$204,$AQ318)),IF($AS318="","",INDEX(E_Rules!$D$5:$D$9,$AS318))))</f>
        <v/>
      </c>
      <c r="AV318" t="str">
        <f>IF($AQ318="","",IF(INDEX(C_Pavement!$F$5:$F$204,$AQ318)&lt;&gt;"",IF(INDEX(C_Pavement!$F$5:$F$204,$AQ318)="-","",INDEX(C_Pavement!$F$5:$F$204,$AQ318)),IF($AS318="","",INDEX(E_Rules!$E$5:$E$9,$AS318))))</f>
        <v/>
      </c>
      <c r="AW318" t="str">
        <f>IF($AQ318="","",IF(INDEX(C_Pavement!$G$5:$G$204,$AQ318)&lt;&gt;"",IF(INDEX(C_Pavement!$G$5:$G$204,$AQ318)="-","",INDEX(C_Pavement!$G$5:$G$204,$AQ318)),IF($AS318="","",INDEX(E_Rules!$F$5:$F$9,$AS318))))</f>
        <v/>
      </c>
      <c r="AX318" t="str">
        <f>IF($AQ318="","",IF(INDEX(C_Pavement!$H$5:$H$204,$AQ318)&lt;&gt;"",IF(INDEX(C_Pavement!$H$5:$H$204,$AQ318)="-","",INDEX(C_Pavement!$H$5:$H$204,$AQ318)),IF($AS318="","",INDEX(E_Rules!$G$5:$G$9,$AS318))))</f>
        <v/>
      </c>
      <c r="AY318" t="str">
        <f>IF($AQ318="","",IF(INDEX(C_Pavement!$I$5:$I$204,$AQ318)&lt;&gt;"",IF(INDEX(C_Pavement!$I$5:$I$204,$AQ318)="-","",INDEX(C_Pavement!$I$5:$I$204,$AQ318)),IF($AS318="","",INDEX(E_Rules!$H$5:$H$9,$AS318))))</f>
        <v/>
      </c>
    </row>
    <row r="319" spans="1:51" ht="15.75" customHeight="1" x14ac:dyDescent="0.3">
      <c r="A319" s="189">
        <v>314</v>
      </c>
      <c r="B319" s="180">
        <v>15650</v>
      </c>
      <c r="C319" s="180" t="s">
        <v>625</v>
      </c>
      <c r="D319" s="181" t="str">
        <f>IFERROR(LOOKUP(2,1/((A_Corridor!$A$5:$A$204&lt;&gt;"")*(A_Corridor!$A$5:$A$204&lt;=$B319)*(A_Corridor!$B$5:$B$204&gt;$B319)*(A_Corridor!$C$5:$C$204&lt;&gt;"")),IF(UPPER(A_Corridor!$C$5:$C$204)="Y",1,"")),"")</f>
        <v/>
      </c>
      <c r="E319" s="181" t="str">
        <f>IFERROR(LOOKUP(2,1/((A_Corridor!$A$5:$A$204&lt;&gt;"")*(A_Corridor!$A$5:$A$204&lt;=$B319)*(A_Corridor!$B$5:$B$204&gt;$B319)*(A_Corridor!$D$5:$D$204&lt;&gt;"")),IF(A_Corridor!$D$5:$D$204="-","",UPPER(A_Corridor!$D$5:$D$204))),"")</f>
        <v/>
      </c>
      <c r="F319" s="181" t="str">
        <f>IFERROR(LOOKUP(2,1/((A_Corridor!$A$5:$A$204&lt;&gt;"")*(A_Corridor!$A$5:$A$204&lt;=$B319)*(A_Corridor!$B$5:$B$204&gt;$B319)*(A_Corridor!$E$5:$E$204&lt;&gt;"")),IF(A_Corridor!$E$5:$E$204="-","",1)),"")</f>
        <v/>
      </c>
      <c r="G319" s="182" t="str">
        <f>IFERROR(LOOKUP(2,1/((A_Corridor!$A$5:$A$204&lt;&gt;"")*(A_Corridor!$A$5:$A$204&lt;=$B319)*(A_Corridor!$B$5:$B$204&gt;$B319)*(A_Corridor!$E$5:$E$204&lt;&gt;"")),IF(A_Corridor!$E$5:$E$204="-","",A_Corridor!$E$5:$E$204)),"")</f>
        <v/>
      </c>
      <c r="H319" s="182" t="str">
        <f>IFERROR(LOOKUP(2,1/((D_Points!$A$5:$A$204&lt;&gt;"")*(D_Points!$A$5:$A$204&gt;=$B319)*(D_Points!$A$5:$A$204&lt;$B319+P_Interval)*(UPPER(TRIM(D_Points!$B$5:$B$204))="GULLY")*(D_Points!$H$5:$H$204&lt;&gt;"")),D_Points!$H$5:$H$204),"")</f>
        <v/>
      </c>
      <c r="I319" s="181" t="str">
        <f>IFERROR(LOOKUP(2,1/((A_Corridor!$A$5:$A$204&lt;&gt;"")*(A_Corridor!$A$5:$A$204&lt;=$B319)*(A_Corridor!$B$5:$B$204&gt;$B319)*(A_Corridor!$F$5:$F$204&lt;&gt;"")),IF(A_Corridor!$F$5:$F$204="-","",1)),"")</f>
        <v/>
      </c>
      <c r="J319" s="182" t="str">
        <f>IFERROR(LOOKUP(2,1/((A_Corridor!$A$5:$A$204&lt;&gt;"")*(A_Corridor!$A$5:$A$204&lt;=$B319)*(A_Corridor!$B$5:$B$204&gt;$B319)*(A_Corridor!$F$5:$F$204&lt;&gt;"")),IF(A_Corridor!$F$5:$F$204="-","",A_Corridor!$F$5:$F$204)),"")</f>
        <v/>
      </c>
      <c r="K319" s="182" t="str">
        <f>IFERROR(LOOKUP(2,1/((A_Corridor!$A$5:$A$204&lt;&gt;"")*(A_Corridor!$A$5:$A$204&lt;=$B319)*(A_Corridor!$B$5:$B$204&gt;$B319)*(A_Corridor!$G$5:$G$204&lt;&gt;"")),IF(A_Corridor!$G$5:$G$204="-","",A_Corridor!$G$5:$G$204)),"")</f>
        <v/>
      </c>
      <c r="L319" s="181" t="str">
        <f>IFERROR(LOOKUP(2,1/((A_Corridor!$A$5:$A$204&lt;&gt;"")*(A_Corridor!$A$5:$A$204&lt;=$B319)*(A_Corridor!$B$5:$B$204&gt;$B319)*(A_Corridor!$H$5:$H$204&lt;&gt;"")),IF(A_Corridor!$H$5:$H$204="-","",1)),"")</f>
        <v/>
      </c>
      <c r="M319" s="182" t="str">
        <f>IFERROR(LOOKUP(2,1/((A_Corridor!$A$5:$A$204&lt;&gt;"")*(A_Corridor!$A$5:$A$204&lt;=$B319)*(A_Corridor!$B$5:$B$204&gt;$B319)*(A_Corridor!$H$5:$H$204&lt;&gt;"")),IF(A_Corridor!$H$5:$H$204="-","",A_Corridor!$H$5:$H$204)),"")</f>
        <v/>
      </c>
      <c r="N319" s="182" t="str">
        <f>IFERROR(LOOKUP(2,1/((A_Corridor!$A$5:$A$204&lt;&gt;"")*(A_Corridor!$A$5:$A$204&lt;=$B319)*(A_Corridor!$B$5:$B$204&gt;$B319)*(A_Corridor!$I$5:$I$204&lt;&gt;"")),IF(A_Corridor!$I$5:$I$204="-","",A_Corridor!$I$5:$I$204)),"")</f>
        <v/>
      </c>
      <c r="O319" s="182" t="str">
        <f>IFERROR(LOOKUP(2,1/((D_Points!$A$5:$A$204&lt;&gt;"")*(D_Points!$A$5:$A$204&gt;=$B319)*(D_Points!$A$5:$A$204&lt;$B319+P_Interval)*(UPPER(TRIM(D_Points!$B$5:$B$204))="PITCHING")*(D_Points!$H$5:$H$204&lt;&gt;"")),D_Points!$H$5:$H$204),"")</f>
        <v/>
      </c>
      <c r="P319" s="181" t="str">
        <f>IFERROR(LOOKUP(2,1/((B_Drainage!$A$5:$A$204&lt;&gt;"")*(B_Drainage!$A$5:$A$204&lt;=$B319)*(B_Drainage!$B$5:$B$204&gt;$B319)*(B_Drainage!$C$5:$C$204&lt;&gt;"")),IF(B_Drainage!$C$5:$C$204="-","",UPPER(B_Drainage!$C$5:$C$204))),"")</f>
        <v/>
      </c>
      <c r="Q319" s="181" t="str">
        <f>IFERROR(LOOKUP(2,1/((B_Drainage!$A$5:$A$204&lt;&gt;"")*(B_Drainage!$A$5:$A$204&lt;=$B319)*(B_Drainage!$B$5:$B$204&gt;$B319)*(B_Drainage!$D$5:$D$204&lt;&gt;"")),IF(B_Drainage!$D$5:$D$204="-","",UPPER(B_Drainage!$D$5:$D$204))),"")</f>
        <v/>
      </c>
      <c r="R319" s="182" t="str">
        <f>IFERROR(LOOKUP(2,1/((D_Points!$A$5:$A$204&lt;&gt;"")*(D_Points!$A$5:$A$204&gt;=$B319)*(D_Points!$A$5:$A$204&lt;$B319+P_Interval)*(RIGHT(UPPER(TRIM(D_Points!$B$5:$B$204)),8)="_CULVERT")),IF(LEFT(UPPER(TRIM(D_Points!$B$5:$B$204)),2)="EX",1,IF(LEFT(UPPER(TRIM(D_Points!$B$5:$B$204)),2)="PR",2,3))),"")</f>
        <v/>
      </c>
      <c r="S319" s="182" t="str">
        <f>IFERROR(LOOKUP(2,1/((D_Points!$A$5:$A$204&lt;&gt;"")*(D_Points!$A$5:$A$204&gt;=$B319)*(D_Points!$A$5:$A$204&lt;$B319+P_Interval)*(RIGHT(UPPER(TRIM(D_Points!$B$5:$B$204)),7)="_BRIDGE")),IF(LEFT(UPPER(TRIM(D_Points!$B$5:$B$204)),2)="EX",1,IF(LEFT(UPPER(TRIM(D_Points!$B$5:$B$204)),2)="PR",2,2))),"")</f>
        <v/>
      </c>
      <c r="T319" s="181" t="str">
        <f>IFERROR(LOOKUP(2,1/((B_Drainage!$A$5:$A$204&lt;&gt;"")*(B_Drainage!$A$5:$A$204&lt;=$B319)*(B_Drainage!$B$5:$B$204&gt;$B319)*(B_Drainage!$E$5:$E$204&lt;&gt;"")),IF(B_Drainage!$E$5:$E$204="-","",1)),"")</f>
        <v/>
      </c>
      <c r="U319" s="181" t="str">
        <f>IFERROR(LOOKUP(2,1/((B_Drainage!$A$5:$A$204&lt;&gt;"")*(B_Drainage!$A$5:$A$204&lt;=$B319)*(B_Drainage!$B$5:$B$204&gt;$B319)*(B_Drainage!$E$5:$E$204&lt;&gt;"")),IF(B_Drainage!$E$5:$E$204="-","",B_Drainage!$E$5:$E$204)),"")</f>
        <v/>
      </c>
      <c r="V319" s="181" t="str">
        <f>IFERROR(LOOKUP(2,1/((B_Drainage!$A$5:$A$204&lt;&gt;"")*(B_Drainage!$A$5:$A$204&lt;=$B319)*(B_Drainage!$B$5:$B$204&gt;$B319)*(B_Drainage!$F$5:$F$204&lt;&gt;"")),IF(B_Drainage!$F$5:$F$204="-","",1)),"")</f>
        <v/>
      </c>
      <c r="W319" s="181" t="str">
        <f>IFERROR(LOOKUP(2,1/((B_Drainage!$A$5:$A$204&lt;&gt;"")*(B_Drainage!$A$5:$A$204&lt;=$B319)*(B_Drainage!$B$5:$B$204&gt;$B319)*(B_Drainage!$F$5:$F$204&lt;&gt;"")),IF(B_Drainage!$F$5:$F$204="-","",B_Drainage!$F$5:$F$204)),"")</f>
        <v/>
      </c>
      <c r="X319" s="181" t="str">
        <f>IFERROR(LOOKUP(2,1/((B_Drainage!$A$5:$A$204&lt;&gt;"")*(B_Drainage!$A$5:$A$204&lt;=$B319)*(B_Drainage!$B$5:$B$204&gt;$B319)*(B_Drainage!$G$5:$G$204&lt;&gt;"")),IF(UPPER(B_Drainage!$G$5:$G$204)="Y",1,"")),"")</f>
        <v/>
      </c>
      <c r="Y319" s="181" t="str">
        <f>IFERROR(LOOKUP(2,1/((B_Drainage!$A$5:$A$204&lt;&gt;"")*(B_Drainage!$A$5:$A$204&lt;=$B319)*(B_Drainage!$B$5:$B$204&gt;$B319)*(B_Drainage!$H$5:$H$204&lt;&gt;"")),IF(UPPER(B_Drainage!$H$5:$H$204)="Y",1,"")),"")</f>
        <v/>
      </c>
      <c r="Z319" s="181" t="str">
        <f>IFERROR(LOOKUP(2,1/((B_Drainage!$A$5:$A$204&lt;&gt;"")*(B_Drainage!$A$5:$A$204&lt;=$B319)*(B_Drainage!$B$5:$B$204&gt;$B319)*(B_Drainage!$I$5:$I$204&lt;&gt;"")),IF(UPPER(B_Drainage!$I$5:$I$204)="Y",1,"")),"")</f>
        <v/>
      </c>
      <c r="AA319" s="181" t="str">
        <f>IFERROR(LOOKUP(2,1/((B_Drainage!$A$5:$A$204&lt;&gt;"")*(B_Drainage!$A$5:$A$204&lt;=$B319)*(B_Drainage!$B$5:$B$204&gt;$B319)*(B_Drainage!$J$5:$J$204&lt;&gt;"")),IF(UPPER(B_Drainage!$J$5:$J$204)="Y",1,"")),"")</f>
        <v/>
      </c>
      <c r="AB319" s="182" t="str">
        <f>IFERROR(LOOKUP(2,1/((B_Drainage!$A$5:$A$204&lt;&gt;"")*(B_Drainage!$A$5:$A$204&lt;=$B319)*(B_Drainage!$B$5:$B$204&gt;$B319)*(B_Drainage!$K$5:$K$204&lt;&gt;"")),IF(B_Drainage!$K$5:$K$204="-","",B_Drainage!$K$5:$K$204)),"")</f>
        <v/>
      </c>
      <c r="AC319" s="182" t="str">
        <f>IFERROR(LOOKUP(2,1/((B_Drainage!$A$5:$A$204&lt;&gt;"")*(B_Drainage!$A$5:$A$204&lt;=$B319)*(B_Drainage!$B$5:$B$204&gt;$B319)*(B_Drainage!$L$5:$L$204&lt;&gt;"")),IF(B_Drainage!$L$5:$L$204="-","",B_Drainage!$L$5:$L$204)),"")</f>
        <v/>
      </c>
      <c r="AD319" s="182" t="str">
        <f>IFERROR(LOOKUP(2,1/((D_Points!$A$5:$A$204&lt;&gt;"")*(D_Points!$A$5:$A$204&gt;=$B319)*(D_Points!$A$5:$A$204&lt;$B319+P_Interval)*(UPPER(TRIM(D_Points!$B$5:$B$204))="TURNOUT_L")*(D_Points!$H$5:$H$204&lt;&gt;"")),D_Points!$H$5:$H$204),"")</f>
        <v/>
      </c>
      <c r="AE319" s="182" t="str">
        <f>IFERROR(LOOKUP(2,1/((D_Points!$A$5:$A$204&lt;&gt;"")*(D_Points!$A$5:$A$204&gt;=$B319)*(D_Points!$A$5:$A$204&lt;$B319+P_Interval)*(UPPER(TRIM(D_Points!$B$5:$B$204))="TURNOUT_R")*(D_Points!$H$5:$H$204&lt;&gt;"")),D_Points!$H$5:$H$204),"")</f>
        <v/>
      </c>
      <c r="AF319" s="181" t="str">
        <f>IFERROR(LOOKUP(2,1/((B_Drainage!$A$5:$A$204&lt;&gt;"")*(B_Drainage!$A$5:$A$204&lt;=$B319)*(B_Drainage!$B$5:$B$204&gt;$B319)*(B_Drainage!$M$5:$M$204&lt;&gt;"")),IF(UPPER(B_Drainage!$M$5:$M$204)="Y",1,"")),"")</f>
        <v/>
      </c>
      <c r="AG319" s="181" t="str">
        <f>IFERROR(LOOKUP(2,1/((B_Drainage!$A$5:$A$204&lt;&gt;"")*(B_Drainage!$A$5:$A$204&lt;=$B319)*(B_Drainage!$B$5:$B$204&gt;$B319)*(B_Drainage!$N$5:$N$204&lt;&gt;"")),IF(UPPER(B_Drainage!$N$5:$N$204)="Y",1,"")),"")</f>
        <v/>
      </c>
      <c r="AH319" s="181" t="str">
        <f t="shared" si="32"/>
        <v/>
      </c>
      <c r="AI319" s="181" t="str">
        <f t="shared" si="33"/>
        <v/>
      </c>
      <c r="AJ319" s="181" t="str">
        <f t="shared" si="34"/>
        <v/>
      </c>
      <c r="AK319" s="181" t="str">
        <f t="shared" si="35"/>
        <v/>
      </c>
      <c r="AL319" s="181" t="str">
        <f t="shared" si="36"/>
        <v/>
      </c>
      <c r="AM319" s="181" t="str">
        <f t="shared" si="37"/>
        <v/>
      </c>
      <c r="AN319" s="181" t="str">
        <f t="shared" si="38"/>
        <v/>
      </c>
      <c r="AO319" s="192" t="str">
        <f t="shared" si="39"/>
        <v/>
      </c>
      <c r="AQ319" t="str">
        <f>IFERROR(LOOKUP(2,1/((C_Pavement!$A$5:$A$204&lt;&gt;"")*(C_Pavement!$A$5:$A$204&lt;=$B319)*(C_Pavement!$B$5:$B$204&gt;$B319)*(C_Pavement!$C$5:$C$204&lt;&gt;"")),ROW(C_Pavement!$C$5:$C$204)-4),"")</f>
        <v/>
      </c>
      <c r="AR319" t="str">
        <f>IF($AQ319="","",UPPER(TRIM(INDEX(C_Pavement!$C$5:$C$204,$AQ319))))</f>
        <v/>
      </c>
      <c r="AS319" t="str">
        <f>IF($AR319="","",IFERROR(MATCH($AR319,E_Rules!$A$5:$A$9,0),""))</f>
        <v/>
      </c>
      <c r="AT319" t="str">
        <f>IF($AQ319="","",IF(INDEX(C_Pavement!$D$5:$D$204,$AQ319)&lt;&gt;"",UPPER(TRIM(INDEX(C_Pavement!$D$5:$D$204,$AQ319))),IF($AS319="","",INDEX(E_Rules!$C$5:$C$9,$AS319))))</f>
        <v/>
      </c>
      <c r="AU319" t="str">
        <f>IF($AQ319="","",IF(INDEX(C_Pavement!$E$5:$E$204,$AQ319)&lt;&gt;"",IF(INDEX(C_Pavement!$E$5:$E$204,$AQ319)="-","",INDEX(C_Pavement!$E$5:$E$204,$AQ319)),IF($AS319="","",INDEX(E_Rules!$D$5:$D$9,$AS319))))</f>
        <v/>
      </c>
      <c r="AV319" t="str">
        <f>IF($AQ319="","",IF(INDEX(C_Pavement!$F$5:$F$204,$AQ319)&lt;&gt;"",IF(INDEX(C_Pavement!$F$5:$F$204,$AQ319)="-","",INDEX(C_Pavement!$F$5:$F$204,$AQ319)),IF($AS319="","",INDEX(E_Rules!$E$5:$E$9,$AS319))))</f>
        <v/>
      </c>
      <c r="AW319" t="str">
        <f>IF($AQ319="","",IF(INDEX(C_Pavement!$G$5:$G$204,$AQ319)&lt;&gt;"",IF(INDEX(C_Pavement!$G$5:$G$204,$AQ319)="-","",INDEX(C_Pavement!$G$5:$G$204,$AQ319)),IF($AS319="","",INDEX(E_Rules!$F$5:$F$9,$AS319))))</f>
        <v/>
      </c>
      <c r="AX319" t="str">
        <f>IF($AQ319="","",IF(INDEX(C_Pavement!$H$5:$H$204,$AQ319)&lt;&gt;"",IF(INDEX(C_Pavement!$H$5:$H$204,$AQ319)="-","",INDEX(C_Pavement!$H$5:$H$204,$AQ319)),IF($AS319="","",INDEX(E_Rules!$G$5:$G$9,$AS319))))</f>
        <v/>
      </c>
      <c r="AY319" t="str">
        <f>IF($AQ319="","",IF(INDEX(C_Pavement!$I$5:$I$204,$AQ319)&lt;&gt;"",IF(INDEX(C_Pavement!$I$5:$I$204,$AQ319)="-","",INDEX(C_Pavement!$I$5:$I$204,$AQ319)),IF($AS319="","",INDEX(E_Rules!$H$5:$H$9,$AS319))))</f>
        <v/>
      </c>
    </row>
    <row r="320" spans="1:51" ht="15.75" customHeight="1" x14ac:dyDescent="0.3">
      <c r="A320" s="189">
        <v>315</v>
      </c>
      <c r="B320" s="180">
        <v>15700</v>
      </c>
      <c r="C320" s="180" t="s">
        <v>626</v>
      </c>
      <c r="D320" s="181" t="str">
        <f>IFERROR(LOOKUP(2,1/((A_Corridor!$A$5:$A$204&lt;&gt;"")*(A_Corridor!$A$5:$A$204&lt;=$B320)*(A_Corridor!$B$5:$B$204&gt;$B320)*(A_Corridor!$C$5:$C$204&lt;&gt;"")),IF(UPPER(A_Corridor!$C$5:$C$204)="Y",1,"")),"")</f>
        <v/>
      </c>
      <c r="E320" s="181" t="str">
        <f>IFERROR(LOOKUP(2,1/((A_Corridor!$A$5:$A$204&lt;&gt;"")*(A_Corridor!$A$5:$A$204&lt;=$B320)*(A_Corridor!$B$5:$B$204&gt;$B320)*(A_Corridor!$D$5:$D$204&lt;&gt;"")),IF(A_Corridor!$D$5:$D$204="-","",UPPER(A_Corridor!$D$5:$D$204))),"")</f>
        <v/>
      </c>
      <c r="F320" s="181" t="str">
        <f>IFERROR(LOOKUP(2,1/((A_Corridor!$A$5:$A$204&lt;&gt;"")*(A_Corridor!$A$5:$A$204&lt;=$B320)*(A_Corridor!$B$5:$B$204&gt;$B320)*(A_Corridor!$E$5:$E$204&lt;&gt;"")),IF(A_Corridor!$E$5:$E$204="-","",1)),"")</f>
        <v/>
      </c>
      <c r="G320" s="182" t="str">
        <f>IFERROR(LOOKUP(2,1/((A_Corridor!$A$5:$A$204&lt;&gt;"")*(A_Corridor!$A$5:$A$204&lt;=$B320)*(A_Corridor!$B$5:$B$204&gt;$B320)*(A_Corridor!$E$5:$E$204&lt;&gt;"")),IF(A_Corridor!$E$5:$E$204="-","",A_Corridor!$E$5:$E$204)),"")</f>
        <v/>
      </c>
      <c r="H320" s="182" t="str">
        <f>IFERROR(LOOKUP(2,1/((D_Points!$A$5:$A$204&lt;&gt;"")*(D_Points!$A$5:$A$204&gt;=$B320)*(D_Points!$A$5:$A$204&lt;$B320+P_Interval)*(UPPER(TRIM(D_Points!$B$5:$B$204))="GULLY")*(D_Points!$H$5:$H$204&lt;&gt;"")),D_Points!$H$5:$H$204),"")</f>
        <v/>
      </c>
      <c r="I320" s="181" t="str">
        <f>IFERROR(LOOKUP(2,1/((A_Corridor!$A$5:$A$204&lt;&gt;"")*(A_Corridor!$A$5:$A$204&lt;=$B320)*(A_Corridor!$B$5:$B$204&gt;$B320)*(A_Corridor!$F$5:$F$204&lt;&gt;"")),IF(A_Corridor!$F$5:$F$204="-","",1)),"")</f>
        <v/>
      </c>
      <c r="J320" s="182" t="str">
        <f>IFERROR(LOOKUP(2,1/((A_Corridor!$A$5:$A$204&lt;&gt;"")*(A_Corridor!$A$5:$A$204&lt;=$B320)*(A_Corridor!$B$5:$B$204&gt;$B320)*(A_Corridor!$F$5:$F$204&lt;&gt;"")),IF(A_Corridor!$F$5:$F$204="-","",A_Corridor!$F$5:$F$204)),"")</f>
        <v/>
      </c>
      <c r="K320" s="182" t="str">
        <f>IFERROR(LOOKUP(2,1/((A_Corridor!$A$5:$A$204&lt;&gt;"")*(A_Corridor!$A$5:$A$204&lt;=$B320)*(A_Corridor!$B$5:$B$204&gt;$B320)*(A_Corridor!$G$5:$G$204&lt;&gt;"")),IF(A_Corridor!$G$5:$G$204="-","",A_Corridor!$G$5:$G$204)),"")</f>
        <v/>
      </c>
      <c r="L320" s="181" t="str">
        <f>IFERROR(LOOKUP(2,1/((A_Corridor!$A$5:$A$204&lt;&gt;"")*(A_Corridor!$A$5:$A$204&lt;=$B320)*(A_Corridor!$B$5:$B$204&gt;$B320)*(A_Corridor!$H$5:$H$204&lt;&gt;"")),IF(A_Corridor!$H$5:$H$204="-","",1)),"")</f>
        <v/>
      </c>
      <c r="M320" s="182" t="str">
        <f>IFERROR(LOOKUP(2,1/((A_Corridor!$A$5:$A$204&lt;&gt;"")*(A_Corridor!$A$5:$A$204&lt;=$B320)*(A_Corridor!$B$5:$B$204&gt;$B320)*(A_Corridor!$H$5:$H$204&lt;&gt;"")),IF(A_Corridor!$H$5:$H$204="-","",A_Corridor!$H$5:$H$204)),"")</f>
        <v/>
      </c>
      <c r="N320" s="182" t="str">
        <f>IFERROR(LOOKUP(2,1/((A_Corridor!$A$5:$A$204&lt;&gt;"")*(A_Corridor!$A$5:$A$204&lt;=$B320)*(A_Corridor!$B$5:$B$204&gt;$B320)*(A_Corridor!$I$5:$I$204&lt;&gt;"")),IF(A_Corridor!$I$5:$I$204="-","",A_Corridor!$I$5:$I$204)),"")</f>
        <v/>
      </c>
      <c r="O320" s="182" t="str">
        <f>IFERROR(LOOKUP(2,1/((D_Points!$A$5:$A$204&lt;&gt;"")*(D_Points!$A$5:$A$204&gt;=$B320)*(D_Points!$A$5:$A$204&lt;$B320+P_Interval)*(UPPER(TRIM(D_Points!$B$5:$B$204))="PITCHING")*(D_Points!$H$5:$H$204&lt;&gt;"")),D_Points!$H$5:$H$204),"")</f>
        <v/>
      </c>
      <c r="P320" s="181" t="str">
        <f>IFERROR(LOOKUP(2,1/((B_Drainage!$A$5:$A$204&lt;&gt;"")*(B_Drainage!$A$5:$A$204&lt;=$B320)*(B_Drainage!$B$5:$B$204&gt;$B320)*(B_Drainage!$C$5:$C$204&lt;&gt;"")),IF(B_Drainage!$C$5:$C$204="-","",UPPER(B_Drainage!$C$5:$C$204))),"")</f>
        <v/>
      </c>
      <c r="Q320" s="181" t="str">
        <f>IFERROR(LOOKUP(2,1/((B_Drainage!$A$5:$A$204&lt;&gt;"")*(B_Drainage!$A$5:$A$204&lt;=$B320)*(B_Drainage!$B$5:$B$204&gt;$B320)*(B_Drainage!$D$5:$D$204&lt;&gt;"")),IF(B_Drainage!$D$5:$D$204="-","",UPPER(B_Drainage!$D$5:$D$204))),"")</f>
        <v/>
      </c>
      <c r="R320" s="182" t="str">
        <f>IFERROR(LOOKUP(2,1/((D_Points!$A$5:$A$204&lt;&gt;"")*(D_Points!$A$5:$A$204&gt;=$B320)*(D_Points!$A$5:$A$204&lt;$B320+P_Interval)*(RIGHT(UPPER(TRIM(D_Points!$B$5:$B$204)),8)="_CULVERT")),IF(LEFT(UPPER(TRIM(D_Points!$B$5:$B$204)),2)="EX",1,IF(LEFT(UPPER(TRIM(D_Points!$B$5:$B$204)),2)="PR",2,3))),"")</f>
        <v/>
      </c>
      <c r="S320" s="182" t="str">
        <f>IFERROR(LOOKUP(2,1/((D_Points!$A$5:$A$204&lt;&gt;"")*(D_Points!$A$5:$A$204&gt;=$B320)*(D_Points!$A$5:$A$204&lt;$B320+P_Interval)*(RIGHT(UPPER(TRIM(D_Points!$B$5:$B$204)),7)="_BRIDGE")),IF(LEFT(UPPER(TRIM(D_Points!$B$5:$B$204)),2)="EX",1,IF(LEFT(UPPER(TRIM(D_Points!$B$5:$B$204)),2)="PR",2,2))),"")</f>
        <v/>
      </c>
      <c r="T320" s="181" t="str">
        <f>IFERROR(LOOKUP(2,1/((B_Drainage!$A$5:$A$204&lt;&gt;"")*(B_Drainage!$A$5:$A$204&lt;=$B320)*(B_Drainage!$B$5:$B$204&gt;$B320)*(B_Drainage!$E$5:$E$204&lt;&gt;"")),IF(B_Drainage!$E$5:$E$204="-","",1)),"")</f>
        <v/>
      </c>
      <c r="U320" s="181" t="str">
        <f>IFERROR(LOOKUP(2,1/((B_Drainage!$A$5:$A$204&lt;&gt;"")*(B_Drainage!$A$5:$A$204&lt;=$B320)*(B_Drainage!$B$5:$B$204&gt;$B320)*(B_Drainage!$E$5:$E$204&lt;&gt;"")),IF(B_Drainage!$E$5:$E$204="-","",B_Drainage!$E$5:$E$204)),"")</f>
        <v/>
      </c>
      <c r="V320" s="181" t="str">
        <f>IFERROR(LOOKUP(2,1/((B_Drainage!$A$5:$A$204&lt;&gt;"")*(B_Drainage!$A$5:$A$204&lt;=$B320)*(B_Drainage!$B$5:$B$204&gt;$B320)*(B_Drainage!$F$5:$F$204&lt;&gt;"")),IF(B_Drainage!$F$5:$F$204="-","",1)),"")</f>
        <v/>
      </c>
      <c r="W320" s="181" t="str">
        <f>IFERROR(LOOKUP(2,1/((B_Drainage!$A$5:$A$204&lt;&gt;"")*(B_Drainage!$A$5:$A$204&lt;=$B320)*(B_Drainage!$B$5:$B$204&gt;$B320)*(B_Drainage!$F$5:$F$204&lt;&gt;"")),IF(B_Drainage!$F$5:$F$204="-","",B_Drainage!$F$5:$F$204)),"")</f>
        <v/>
      </c>
      <c r="X320" s="181" t="str">
        <f>IFERROR(LOOKUP(2,1/((B_Drainage!$A$5:$A$204&lt;&gt;"")*(B_Drainage!$A$5:$A$204&lt;=$B320)*(B_Drainage!$B$5:$B$204&gt;$B320)*(B_Drainage!$G$5:$G$204&lt;&gt;"")),IF(UPPER(B_Drainage!$G$5:$G$204)="Y",1,"")),"")</f>
        <v/>
      </c>
      <c r="Y320" s="181" t="str">
        <f>IFERROR(LOOKUP(2,1/((B_Drainage!$A$5:$A$204&lt;&gt;"")*(B_Drainage!$A$5:$A$204&lt;=$B320)*(B_Drainage!$B$5:$B$204&gt;$B320)*(B_Drainage!$H$5:$H$204&lt;&gt;"")),IF(UPPER(B_Drainage!$H$5:$H$204)="Y",1,"")),"")</f>
        <v/>
      </c>
      <c r="Z320" s="181" t="str">
        <f>IFERROR(LOOKUP(2,1/((B_Drainage!$A$5:$A$204&lt;&gt;"")*(B_Drainage!$A$5:$A$204&lt;=$B320)*(B_Drainage!$B$5:$B$204&gt;$B320)*(B_Drainage!$I$5:$I$204&lt;&gt;"")),IF(UPPER(B_Drainage!$I$5:$I$204)="Y",1,"")),"")</f>
        <v/>
      </c>
      <c r="AA320" s="181" t="str">
        <f>IFERROR(LOOKUP(2,1/((B_Drainage!$A$5:$A$204&lt;&gt;"")*(B_Drainage!$A$5:$A$204&lt;=$B320)*(B_Drainage!$B$5:$B$204&gt;$B320)*(B_Drainage!$J$5:$J$204&lt;&gt;"")),IF(UPPER(B_Drainage!$J$5:$J$204)="Y",1,"")),"")</f>
        <v/>
      </c>
      <c r="AB320" s="182" t="str">
        <f>IFERROR(LOOKUP(2,1/((B_Drainage!$A$5:$A$204&lt;&gt;"")*(B_Drainage!$A$5:$A$204&lt;=$B320)*(B_Drainage!$B$5:$B$204&gt;$B320)*(B_Drainage!$K$5:$K$204&lt;&gt;"")),IF(B_Drainage!$K$5:$K$204="-","",B_Drainage!$K$5:$K$204)),"")</f>
        <v/>
      </c>
      <c r="AC320" s="182" t="str">
        <f>IFERROR(LOOKUP(2,1/((B_Drainage!$A$5:$A$204&lt;&gt;"")*(B_Drainage!$A$5:$A$204&lt;=$B320)*(B_Drainage!$B$5:$B$204&gt;$B320)*(B_Drainage!$L$5:$L$204&lt;&gt;"")),IF(B_Drainage!$L$5:$L$204="-","",B_Drainage!$L$5:$L$204)),"")</f>
        <v/>
      </c>
      <c r="AD320" s="182" t="str">
        <f>IFERROR(LOOKUP(2,1/((D_Points!$A$5:$A$204&lt;&gt;"")*(D_Points!$A$5:$A$204&gt;=$B320)*(D_Points!$A$5:$A$204&lt;$B320+P_Interval)*(UPPER(TRIM(D_Points!$B$5:$B$204))="TURNOUT_L")*(D_Points!$H$5:$H$204&lt;&gt;"")),D_Points!$H$5:$H$204),"")</f>
        <v/>
      </c>
      <c r="AE320" s="182" t="str">
        <f>IFERROR(LOOKUP(2,1/((D_Points!$A$5:$A$204&lt;&gt;"")*(D_Points!$A$5:$A$204&gt;=$B320)*(D_Points!$A$5:$A$204&lt;$B320+P_Interval)*(UPPER(TRIM(D_Points!$B$5:$B$204))="TURNOUT_R")*(D_Points!$H$5:$H$204&lt;&gt;"")),D_Points!$H$5:$H$204),"")</f>
        <v/>
      </c>
      <c r="AF320" s="181" t="str">
        <f>IFERROR(LOOKUP(2,1/((B_Drainage!$A$5:$A$204&lt;&gt;"")*(B_Drainage!$A$5:$A$204&lt;=$B320)*(B_Drainage!$B$5:$B$204&gt;$B320)*(B_Drainage!$M$5:$M$204&lt;&gt;"")),IF(UPPER(B_Drainage!$M$5:$M$204)="Y",1,"")),"")</f>
        <v/>
      </c>
      <c r="AG320" s="181" t="str">
        <f>IFERROR(LOOKUP(2,1/((B_Drainage!$A$5:$A$204&lt;&gt;"")*(B_Drainage!$A$5:$A$204&lt;=$B320)*(B_Drainage!$B$5:$B$204&gt;$B320)*(B_Drainage!$N$5:$N$204&lt;&gt;"")),IF(UPPER(B_Drainage!$N$5:$N$204)="Y",1,"")),"")</f>
        <v/>
      </c>
      <c r="AH320" s="181" t="str">
        <f t="shared" si="32"/>
        <v/>
      </c>
      <c r="AI320" s="181" t="str">
        <f t="shared" si="33"/>
        <v/>
      </c>
      <c r="AJ320" s="181" t="str">
        <f t="shared" si="34"/>
        <v/>
      </c>
      <c r="AK320" s="181" t="str">
        <f t="shared" si="35"/>
        <v/>
      </c>
      <c r="AL320" s="181" t="str">
        <f t="shared" si="36"/>
        <v/>
      </c>
      <c r="AM320" s="181" t="str">
        <f t="shared" si="37"/>
        <v/>
      </c>
      <c r="AN320" s="181" t="str">
        <f t="shared" si="38"/>
        <v/>
      </c>
      <c r="AO320" s="192" t="str">
        <f t="shared" si="39"/>
        <v/>
      </c>
      <c r="AQ320" t="str">
        <f>IFERROR(LOOKUP(2,1/((C_Pavement!$A$5:$A$204&lt;&gt;"")*(C_Pavement!$A$5:$A$204&lt;=$B320)*(C_Pavement!$B$5:$B$204&gt;$B320)*(C_Pavement!$C$5:$C$204&lt;&gt;"")),ROW(C_Pavement!$C$5:$C$204)-4),"")</f>
        <v/>
      </c>
      <c r="AR320" t="str">
        <f>IF($AQ320="","",UPPER(TRIM(INDEX(C_Pavement!$C$5:$C$204,$AQ320))))</f>
        <v/>
      </c>
      <c r="AS320" t="str">
        <f>IF($AR320="","",IFERROR(MATCH($AR320,E_Rules!$A$5:$A$9,0),""))</f>
        <v/>
      </c>
      <c r="AT320" t="str">
        <f>IF($AQ320="","",IF(INDEX(C_Pavement!$D$5:$D$204,$AQ320)&lt;&gt;"",UPPER(TRIM(INDEX(C_Pavement!$D$5:$D$204,$AQ320))),IF($AS320="","",INDEX(E_Rules!$C$5:$C$9,$AS320))))</f>
        <v/>
      </c>
      <c r="AU320" t="str">
        <f>IF($AQ320="","",IF(INDEX(C_Pavement!$E$5:$E$204,$AQ320)&lt;&gt;"",IF(INDEX(C_Pavement!$E$5:$E$204,$AQ320)="-","",INDEX(C_Pavement!$E$5:$E$204,$AQ320)),IF($AS320="","",INDEX(E_Rules!$D$5:$D$9,$AS320))))</f>
        <v/>
      </c>
      <c r="AV320" t="str">
        <f>IF($AQ320="","",IF(INDEX(C_Pavement!$F$5:$F$204,$AQ320)&lt;&gt;"",IF(INDEX(C_Pavement!$F$5:$F$204,$AQ320)="-","",INDEX(C_Pavement!$F$5:$F$204,$AQ320)),IF($AS320="","",INDEX(E_Rules!$E$5:$E$9,$AS320))))</f>
        <v/>
      </c>
      <c r="AW320" t="str">
        <f>IF($AQ320="","",IF(INDEX(C_Pavement!$G$5:$G$204,$AQ320)&lt;&gt;"",IF(INDEX(C_Pavement!$G$5:$G$204,$AQ320)="-","",INDEX(C_Pavement!$G$5:$G$204,$AQ320)),IF($AS320="","",INDEX(E_Rules!$F$5:$F$9,$AS320))))</f>
        <v/>
      </c>
      <c r="AX320" t="str">
        <f>IF($AQ320="","",IF(INDEX(C_Pavement!$H$5:$H$204,$AQ320)&lt;&gt;"",IF(INDEX(C_Pavement!$H$5:$H$204,$AQ320)="-","",INDEX(C_Pavement!$H$5:$H$204,$AQ320)),IF($AS320="","",INDEX(E_Rules!$G$5:$G$9,$AS320))))</f>
        <v/>
      </c>
      <c r="AY320" t="str">
        <f>IF($AQ320="","",IF(INDEX(C_Pavement!$I$5:$I$204,$AQ320)&lt;&gt;"",IF(INDEX(C_Pavement!$I$5:$I$204,$AQ320)="-","",INDEX(C_Pavement!$I$5:$I$204,$AQ320)),IF($AS320="","",INDEX(E_Rules!$H$5:$H$9,$AS320))))</f>
        <v/>
      </c>
    </row>
    <row r="321" spans="1:51" ht="15.75" customHeight="1" x14ac:dyDescent="0.3">
      <c r="A321" s="189">
        <v>316</v>
      </c>
      <c r="B321" s="180">
        <v>15750</v>
      </c>
      <c r="C321" s="180" t="s">
        <v>627</v>
      </c>
      <c r="D321" s="181" t="str">
        <f>IFERROR(LOOKUP(2,1/((A_Corridor!$A$5:$A$204&lt;&gt;"")*(A_Corridor!$A$5:$A$204&lt;=$B321)*(A_Corridor!$B$5:$B$204&gt;$B321)*(A_Corridor!$C$5:$C$204&lt;&gt;"")),IF(UPPER(A_Corridor!$C$5:$C$204)="Y",1,"")),"")</f>
        <v/>
      </c>
      <c r="E321" s="181" t="str">
        <f>IFERROR(LOOKUP(2,1/((A_Corridor!$A$5:$A$204&lt;&gt;"")*(A_Corridor!$A$5:$A$204&lt;=$B321)*(A_Corridor!$B$5:$B$204&gt;$B321)*(A_Corridor!$D$5:$D$204&lt;&gt;"")),IF(A_Corridor!$D$5:$D$204="-","",UPPER(A_Corridor!$D$5:$D$204))),"")</f>
        <v/>
      </c>
      <c r="F321" s="181" t="str">
        <f>IFERROR(LOOKUP(2,1/((A_Corridor!$A$5:$A$204&lt;&gt;"")*(A_Corridor!$A$5:$A$204&lt;=$B321)*(A_Corridor!$B$5:$B$204&gt;$B321)*(A_Corridor!$E$5:$E$204&lt;&gt;"")),IF(A_Corridor!$E$5:$E$204="-","",1)),"")</f>
        <v/>
      </c>
      <c r="G321" s="182" t="str">
        <f>IFERROR(LOOKUP(2,1/((A_Corridor!$A$5:$A$204&lt;&gt;"")*(A_Corridor!$A$5:$A$204&lt;=$B321)*(A_Corridor!$B$5:$B$204&gt;$B321)*(A_Corridor!$E$5:$E$204&lt;&gt;"")),IF(A_Corridor!$E$5:$E$204="-","",A_Corridor!$E$5:$E$204)),"")</f>
        <v/>
      </c>
      <c r="H321" s="182" t="str">
        <f>IFERROR(LOOKUP(2,1/((D_Points!$A$5:$A$204&lt;&gt;"")*(D_Points!$A$5:$A$204&gt;=$B321)*(D_Points!$A$5:$A$204&lt;$B321+P_Interval)*(UPPER(TRIM(D_Points!$B$5:$B$204))="GULLY")*(D_Points!$H$5:$H$204&lt;&gt;"")),D_Points!$H$5:$H$204),"")</f>
        <v/>
      </c>
      <c r="I321" s="181" t="str">
        <f>IFERROR(LOOKUP(2,1/((A_Corridor!$A$5:$A$204&lt;&gt;"")*(A_Corridor!$A$5:$A$204&lt;=$B321)*(A_Corridor!$B$5:$B$204&gt;$B321)*(A_Corridor!$F$5:$F$204&lt;&gt;"")),IF(A_Corridor!$F$5:$F$204="-","",1)),"")</f>
        <v/>
      </c>
      <c r="J321" s="182" t="str">
        <f>IFERROR(LOOKUP(2,1/((A_Corridor!$A$5:$A$204&lt;&gt;"")*(A_Corridor!$A$5:$A$204&lt;=$B321)*(A_Corridor!$B$5:$B$204&gt;$B321)*(A_Corridor!$F$5:$F$204&lt;&gt;"")),IF(A_Corridor!$F$5:$F$204="-","",A_Corridor!$F$5:$F$204)),"")</f>
        <v/>
      </c>
      <c r="K321" s="182" t="str">
        <f>IFERROR(LOOKUP(2,1/((A_Corridor!$A$5:$A$204&lt;&gt;"")*(A_Corridor!$A$5:$A$204&lt;=$B321)*(A_Corridor!$B$5:$B$204&gt;$B321)*(A_Corridor!$G$5:$G$204&lt;&gt;"")),IF(A_Corridor!$G$5:$G$204="-","",A_Corridor!$G$5:$G$204)),"")</f>
        <v/>
      </c>
      <c r="L321" s="181" t="str">
        <f>IFERROR(LOOKUP(2,1/((A_Corridor!$A$5:$A$204&lt;&gt;"")*(A_Corridor!$A$5:$A$204&lt;=$B321)*(A_Corridor!$B$5:$B$204&gt;$B321)*(A_Corridor!$H$5:$H$204&lt;&gt;"")),IF(A_Corridor!$H$5:$H$204="-","",1)),"")</f>
        <v/>
      </c>
      <c r="M321" s="182" t="str">
        <f>IFERROR(LOOKUP(2,1/((A_Corridor!$A$5:$A$204&lt;&gt;"")*(A_Corridor!$A$5:$A$204&lt;=$B321)*(A_Corridor!$B$5:$B$204&gt;$B321)*(A_Corridor!$H$5:$H$204&lt;&gt;"")),IF(A_Corridor!$H$5:$H$204="-","",A_Corridor!$H$5:$H$204)),"")</f>
        <v/>
      </c>
      <c r="N321" s="182" t="str">
        <f>IFERROR(LOOKUP(2,1/((A_Corridor!$A$5:$A$204&lt;&gt;"")*(A_Corridor!$A$5:$A$204&lt;=$B321)*(A_Corridor!$B$5:$B$204&gt;$B321)*(A_Corridor!$I$5:$I$204&lt;&gt;"")),IF(A_Corridor!$I$5:$I$204="-","",A_Corridor!$I$5:$I$204)),"")</f>
        <v/>
      </c>
      <c r="O321" s="182" t="str">
        <f>IFERROR(LOOKUP(2,1/((D_Points!$A$5:$A$204&lt;&gt;"")*(D_Points!$A$5:$A$204&gt;=$B321)*(D_Points!$A$5:$A$204&lt;$B321+P_Interval)*(UPPER(TRIM(D_Points!$B$5:$B$204))="PITCHING")*(D_Points!$H$5:$H$204&lt;&gt;"")),D_Points!$H$5:$H$204),"")</f>
        <v/>
      </c>
      <c r="P321" s="181" t="str">
        <f>IFERROR(LOOKUP(2,1/((B_Drainage!$A$5:$A$204&lt;&gt;"")*(B_Drainage!$A$5:$A$204&lt;=$B321)*(B_Drainage!$B$5:$B$204&gt;$B321)*(B_Drainage!$C$5:$C$204&lt;&gt;"")),IF(B_Drainage!$C$5:$C$204="-","",UPPER(B_Drainage!$C$5:$C$204))),"")</f>
        <v/>
      </c>
      <c r="Q321" s="181" t="str">
        <f>IFERROR(LOOKUP(2,1/((B_Drainage!$A$5:$A$204&lt;&gt;"")*(B_Drainage!$A$5:$A$204&lt;=$B321)*(B_Drainage!$B$5:$B$204&gt;$B321)*(B_Drainage!$D$5:$D$204&lt;&gt;"")),IF(B_Drainage!$D$5:$D$204="-","",UPPER(B_Drainage!$D$5:$D$204))),"")</f>
        <v/>
      </c>
      <c r="R321" s="182" t="str">
        <f>IFERROR(LOOKUP(2,1/((D_Points!$A$5:$A$204&lt;&gt;"")*(D_Points!$A$5:$A$204&gt;=$B321)*(D_Points!$A$5:$A$204&lt;$B321+P_Interval)*(RIGHT(UPPER(TRIM(D_Points!$B$5:$B$204)),8)="_CULVERT")),IF(LEFT(UPPER(TRIM(D_Points!$B$5:$B$204)),2)="EX",1,IF(LEFT(UPPER(TRIM(D_Points!$B$5:$B$204)),2)="PR",2,3))),"")</f>
        <v/>
      </c>
      <c r="S321" s="182" t="str">
        <f>IFERROR(LOOKUP(2,1/((D_Points!$A$5:$A$204&lt;&gt;"")*(D_Points!$A$5:$A$204&gt;=$B321)*(D_Points!$A$5:$A$204&lt;$B321+P_Interval)*(RIGHT(UPPER(TRIM(D_Points!$B$5:$B$204)),7)="_BRIDGE")),IF(LEFT(UPPER(TRIM(D_Points!$B$5:$B$204)),2)="EX",1,IF(LEFT(UPPER(TRIM(D_Points!$B$5:$B$204)),2)="PR",2,2))),"")</f>
        <v/>
      </c>
      <c r="T321" s="181" t="str">
        <f>IFERROR(LOOKUP(2,1/((B_Drainage!$A$5:$A$204&lt;&gt;"")*(B_Drainage!$A$5:$A$204&lt;=$B321)*(B_Drainage!$B$5:$B$204&gt;$B321)*(B_Drainage!$E$5:$E$204&lt;&gt;"")),IF(B_Drainage!$E$5:$E$204="-","",1)),"")</f>
        <v/>
      </c>
      <c r="U321" s="181" t="str">
        <f>IFERROR(LOOKUP(2,1/((B_Drainage!$A$5:$A$204&lt;&gt;"")*(B_Drainage!$A$5:$A$204&lt;=$B321)*(B_Drainage!$B$5:$B$204&gt;$B321)*(B_Drainage!$E$5:$E$204&lt;&gt;"")),IF(B_Drainage!$E$5:$E$204="-","",B_Drainage!$E$5:$E$204)),"")</f>
        <v/>
      </c>
      <c r="V321" s="181" t="str">
        <f>IFERROR(LOOKUP(2,1/((B_Drainage!$A$5:$A$204&lt;&gt;"")*(B_Drainage!$A$5:$A$204&lt;=$B321)*(B_Drainage!$B$5:$B$204&gt;$B321)*(B_Drainage!$F$5:$F$204&lt;&gt;"")),IF(B_Drainage!$F$5:$F$204="-","",1)),"")</f>
        <v/>
      </c>
      <c r="W321" s="181" t="str">
        <f>IFERROR(LOOKUP(2,1/((B_Drainage!$A$5:$A$204&lt;&gt;"")*(B_Drainage!$A$5:$A$204&lt;=$B321)*(B_Drainage!$B$5:$B$204&gt;$B321)*(B_Drainage!$F$5:$F$204&lt;&gt;"")),IF(B_Drainage!$F$5:$F$204="-","",B_Drainage!$F$5:$F$204)),"")</f>
        <v/>
      </c>
      <c r="X321" s="181" t="str">
        <f>IFERROR(LOOKUP(2,1/((B_Drainage!$A$5:$A$204&lt;&gt;"")*(B_Drainage!$A$5:$A$204&lt;=$B321)*(B_Drainage!$B$5:$B$204&gt;$B321)*(B_Drainage!$G$5:$G$204&lt;&gt;"")),IF(UPPER(B_Drainage!$G$5:$G$204)="Y",1,"")),"")</f>
        <v/>
      </c>
      <c r="Y321" s="181" t="str">
        <f>IFERROR(LOOKUP(2,1/((B_Drainage!$A$5:$A$204&lt;&gt;"")*(B_Drainage!$A$5:$A$204&lt;=$B321)*(B_Drainage!$B$5:$B$204&gt;$B321)*(B_Drainage!$H$5:$H$204&lt;&gt;"")),IF(UPPER(B_Drainage!$H$5:$H$204)="Y",1,"")),"")</f>
        <v/>
      </c>
      <c r="Z321" s="181" t="str">
        <f>IFERROR(LOOKUP(2,1/((B_Drainage!$A$5:$A$204&lt;&gt;"")*(B_Drainage!$A$5:$A$204&lt;=$B321)*(B_Drainage!$B$5:$B$204&gt;$B321)*(B_Drainage!$I$5:$I$204&lt;&gt;"")),IF(UPPER(B_Drainage!$I$5:$I$204)="Y",1,"")),"")</f>
        <v/>
      </c>
      <c r="AA321" s="181" t="str">
        <f>IFERROR(LOOKUP(2,1/((B_Drainage!$A$5:$A$204&lt;&gt;"")*(B_Drainage!$A$5:$A$204&lt;=$B321)*(B_Drainage!$B$5:$B$204&gt;$B321)*(B_Drainage!$J$5:$J$204&lt;&gt;"")),IF(UPPER(B_Drainage!$J$5:$J$204)="Y",1,"")),"")</f>
        <v/>
      </c>
      <c r="AB321" s="182" t="str">
        <f>IFERROR(LOOKUP(2,1/((B_Drainage!$A$5:$A$204&lt;&gt;"")*(B_Drainage!$A$5:$A$204&lt;=$B321)*(B_Drainage!$B$5:$B$204&gt;$B321)*(B_Drainage!$K$5:$K$204&lt;&gt;"")),IF(B_Drainage!$K$5:$K$204="-","",B_Drainage!$K$5:$K$204)),"")</f>
        <v/>
      </c>
      <c r="AC321" s="182" t="str">
        <f>IFERROR(LOOKUP(2,1/((B_Drainage!$A$5:$A$204&lt;&gt;"")*(B_Drainage!$A$5:$A$204&lt;=$B321)*(B_Drainage!$B$5:$B$204&gt;$B321)*(B_Drainage!$L$5:$L$204&lt;&gt;"")),IF(B_Drainage!$L$5:$L$204="-","",B_Drainage!$L$5:$L$204)),"")</f>
        <v/>
      </c>
      <c r="AD321" s="182" t="str">
        <f>IFERROR(LOOKUP(2,1/((D_Points!$A$5:$A$204&lt;&gt;"")*(D_Points!$A$5:$A$204&gt;=$B321)*(D_Points!$A$5:$A$204&lt;$B321+P_Interval)*(UPPER(TRIM(D_Points!$B$5:$B$204))="TURNOUT_L")*(D_Points!$H$5:$H$204&lt;&gt;"")),D_Points!$H$5:$H$204),"")</f>
        <v/>
      </c>
      <c r="AE321" s="182" t="str">
        <f>IFERROR(LOOKUP(2,1/((D_Points!$A$5:$A$204&lt;&gt;"")*(D_Points!$A$5:$A$204&gt;=$B321)*(D_Points!$A$5:$A$204&lt;$B321+P_Interval)*(UPPER(TRIM(D_Points!$B$5:$B$204))="TURNOUT_R")*(D_Points!$H$5:$H$204&lt;&gt;"")),D_Points!$H$5:$H$204),"")</f>
        <v/>
      </c>
      <c r="AF321" s="181" t="str">
        <f>IFERROR(LOOKUP(2,1/((B_Drainage!$A$5:$A$204&lt;&gt;"")*(B_Drainage!$A$5:$A$204&lt;=$B321)*(B_Drainage!$B$5:$B$204&gt;$B321)*(B_Drainage!$M$5:$M$204&lt;&gt;"")),IF(UPPER(B_Drainage!$M$5:$M$204)="Y",1,"")),"")</f>
        <v/>
      </c>
      <c r="AG321" s="181" t="str">
        <f>IFERROR(LOOKUP(2,1/((B_Drainage!$A$5:$A$204&lt;&gt;"")*(B_Drainage!$A$5:$A$204&lt;=$B321)*(B_Drainage!$B$5:$B$204&gt;$B321)*(B_Drainage!$N$5:$N$204&lt;&gt;"")),IF(UPPER(B_Drainage!$N$5:$N$204)="Y",1,"")),"")</f>
        <v/>
      </c>
      <c r="AH321" s="181" t="str">
        <f t="shared" si="32"/>
        <v/>
      </c>
      <c r="AI321" s="181" t="str">
        <f t="shared" si="33"/>
        <v/>
      </c>
      <c r="AJ321" s="181" t="str">
        <f t="shared" si="34"/>
        <v/>
      </c>
      <c r="AK321" s="181" t="str">
        <f t="shared" si="35"/>
        <v/>
      </c>
      <c r="AL321" s="181" t="str">
        <f t="shared" si="36"/>
        <v/>
      </c>
      <c r="AM321" s="181" t="str">
        <f t="shared" si="37"/>
        <v/>
      </c>
      <c r="AN321" s="181" t="str">
        <f t="shared" si="38"/>
        <v/>
      </c>
      <c r="AO321" s="192" t="str">
        <f t="shared" si="39"/>
        <v/>
      </c>
      <c r="AQ321" t="str">
        <f>IFERROR(LOOKUP(2,1/((C_Pavement!$A$5:$A$204&lt;&gt;"")*(C_Pavement!$A$5:$A$204&lt;=$B321)*(C_Pavement!$B$5:$B$204&gt;$B321)*(C_Pavement!$C$5:$C$204&lt;&gt;"")),ROW(C_Pavement!$C$5:$C$204)-4),"")</f>
        <v/>
      </c>
      <c r="AR321" t="str">
        <f>IF($AQ321="","",UPPER(TRIM(INDEX(C_Pavement!$C$5:$C$204,$AQ321))))</f>
        <v/>
      </c>
      <c r="AS321" t="str">
        <f>IF($AR321="","",IFERROR(MATCH($AR321,E_Rules!$A$5:$A$9,0),""))</f>
        <v/>
      </c>
      <c r="AT321" t="str">
        <f>IF($AQ321="","",IF(INDEX(C_Pavement!$D$5:$D$204,$AQ321)&lt;&gt;"",UPPER(TRIM(INDEX(C_Pavement!$D$5:$D$204,$AQ321))),IF($AS321="","",INDEX(E_Rules!$C$5:$C$9,$AS321))))</f>
        <v/>
      </c>
      <c r="AU321" t="str">
        <f>IF($AQ321="","",IF(INDEX(C_Pavement!$E$5:$E$204,$AQ321)&lt;&gt;"",IF(INDEX(C_Pavement!$E$5:$E$204,$AQ321)="-","",INDEX(C_Pavement!$E$5:$E$204,$AQ321)),IF($AS321="","",INDEX(E_Rules!$D$5:$D$9,$AS321))))</f>
        <v/>
      </c>
      <c r="AV321" t="str">
        <f>IF($AQ321="","",IF(INDEX(C_Pavement!$F$5:$F$204,$AQ321)&lt;&gt;"",IF(INDEX(C_Pavement!$F$5:$F$204,$AQ321)="-","",INDEX(C_Pavement!$F$5:$F$204,$AQ321)),IF($AS321="","",INDEX(E_Rules!$E$5:$E$9,$AS321))))</f>
        <v/>
      </c>
      <c r="AW321" t="str">
        <f>IF($AQ321="","",IF(INDEX(C_Pavement!$G$5:$G$204,$AQ321)&lt;&gt;"",IF(INDEX(C_Pavement!$G$5:$G$204,$AQ321)="-","",INDEX(C_Pavement!$G$5:$G$204,$AQ321)),IF($AS321="","",INDEX(E_Rules!$F$5:$F$9,$AS321))))</f>
        <v/>
      </c>
      <c r="AX321" t="str">
        <f>IF($AQ321="","",IF(INDEX(C_Pavement!$H$5:$H$204,$AQ321)&lt;&gt;"",IF(INDEX(C_Pavement!$H$5:$H$204,$AQ321)="-","",INDEX(C_Pavement!$H$5:$H$204,$AQ321)),IF($AS321="","",INDEX(E_Rules!$G$5:$G$9,$AS321))))</f>
        <v/>
      </c>
      <c r="AY321" t="str">
        <f>IF($AQ321="","",IF(INDEX(C_Pavement!$I$5:$I$204,$AQ321)&lt;&gt;"",IF(INDEX(C_Pavement!$I$5:$I$204,$AQ321)="-","",INDEX(C_Pavement!$I$5:$I$204,$AQ321)),IF($AS321="","",INDEX(E_Rules!$H$5:$H$9,$AS321))))</f>
        <v/>
      </c>
    </row>
    <row r="322" spans="1:51" ht="15.75" customHeight="1" x14ac:dyDescent="0.3">
      <c r="A322" s="189">
        <v>317</v>
      </c>
      <c r="B322" s="180">
        <v>15800</v>
      </c>
      <c r="C322" s="180" t="s">
        <v>628</v>
      </c>
      <c r="D322" s="181" t="str">
        <f>IFERROR(LOOKUP(2,1/((A_Corridor!$A$5:$A$204&lt;&gt;"")*(A_Corridor!$A$5:$A$204&lt;=$B322)*(A_Corridor!$B$5:$B$204&gt;$B322)*(A_Corridor!$C$5:$C$204&lt;&gt;"")),IF(UPPER(A_Corridor!$C$5:$C$204)="Y",1,"")),"")</f>
        <v/>
      </c>
      <c r="E322" s="181" t="str">
        <f>IFERROR(LOOKUP(2,1/((A_Corridor!$A$5:$A$204&lt;&gt;"")*(A_Corridor!$A$5:$A$204&lt;=$B322)*(A_Corridor!$B$5:$B$204&gt;$B322)*(A_Corridor!$D$5:$D$204&lt;&gt;"")),IF(A_Corridor!$D$5:$D$204="-","",UPPER(A_Corridor!$D$5:$D$204))),"")</f>
        <v/>
      </c>
      <c r="F322" s="181" t="str">
        <f>IFERROR(LOOKUP(2,1/((A_Corridor!$A$5:$A$204&lt;&gt;"")*(A_Corridor!$A$5:$A$204&lt;=$B322)*(A_Corridor!$B$5:$B$204&gt;$B322)*(A_Corridor!$E$5:$E$204&lt;&gt;"")),IF(A_Corridor!$E$5:$E$204="-","",1)),"")</f>
        <v/>
      </c>
      <c r="G322" s="182" t="str">
        <f>IFERROR(LOOKUP(2,1/((A_Corridor!$A$5:$A$204&lt;&gt;"")*(A_Corridor!$A$5:$A$204&lt;=$B322)*(A_Corridor!$B$5:$B$204&gt;$B322)*(A_Corridor!$E$5:$E$204&lt;&gt;"")),IF(A_Corridor!$E$5:$E$204="-","",A_Corridor!$E$5:$E$204)),"")</f>
        <v/>
      </c>
      <c r="H322" s="182" t="str">
        <f>IFERROR(LOOKUP(2,1/((D_Points!$A$5:$A$204&lt;&gt;"")*(D_Points!$A$5:$A$204&gt;=$B322)*(D_Points!$A$5:$A$204&lt;$B322+P_Interval)*(UPPER(TRIM(D_Points!$B$5:$B$204))="GULLY")*(D_Points!$H$5:$H$204&lt;&gt;"")),D_Points!$H$5:$H$204),"")</f>
        <v/>
      </c>
      <c r="I322" s="181" t="str">
        <f>IFERROR(LOOKUP(2,1/((A_Corridor!$A$5:$A$204&lt;&gt;"")*(A_Corridor!$A$5:$A$204&lt;=$B322)*(A_Corridor!$B$5:$B$204&gt;$B322)*(A_Corridor!$F$5:$F$204&lt;&gt;"")),IF(A_Corridor!$F$5:$F$204="-","",1)),"")</f>
        <v/>
      </c>
      <c r="J322" s="182" t="str">
        <f>IFERROR(LOOKUP(2,1/((A_Corridor!$A$5:$A$204&lt;&gt;"")*(A_Corridor!$A$5:$A$204&lt;=$B322)*(A_Corridor!$B$5:$B$204&gt;$B322)*(A_Corridor!$F$5:$F$204&lt;&gt;"")),IF(A_Corridor!$F$5:$F$204="-","",A_Corridor!$F$5:$F$204)),"")</f>
        <v/>
      </c>
      <c r="K322" s="182" t="str">
        <f>IFERROR(LOOKUP(2,1/((A_Corridor!$A$5:$A$204&lt;&gt;"")*(A_Corridor!$A$5:$A$204&lt;=$B322)*(A_Corridor!$B$5:$B$204&gt;$B322)*(A_Corridor!$G$5:$G$204&lt;&gt;"")),IF(A_Corridor!$G$5:$G$204="-","",A_Corridor!$G$5:$G$204)),"")</f>
        <v/>
      </c>
      <c r="L322" s="181" t="str">
        <f>IFERROR(LOOKUP(2,1/((A_Corridor!$A$5:$A$204&lt;&gt;"")*(A_Corridor!$A$5:$A$204&lt;=$B322)*(A_Corridor!$B$5:$B$204&gt;$B322)*(A_Corridor!$H$5:$H$204&lt;&gt;"")),IF(A_Corridor!$H$5:$H$204="-","",1)),"")</f>
        <v/>
      </c>
      <c r="M322" s="182" t="str">
        <f>IFERROR(LOOKUP(2,1/((A_Corridor!$A$5:$A$204&lt;&gt;"")*(A_Corridor!$A$5:$A$204&lt;=$B322)*(A_Corridor!$B$5:$B$204&gt;$B322)*(A_Corridor!$H$5:$H$204&lt;&gt;"")),IF(A_Corridor!$H$5:$H$204="-","",A_Corridor!$H$5:$H$204)),"")</f>
        <v/>
      </c>
      <c r="N322" s="182" t="str">
        <f>IFERROR(LOOKUP(2,1/((A_Corridor!$A$5:$A$204&lt;&gt;"")*(A_Corridor!$A$5:$A$204&lt;=$B322)*(A_Corridor!$B$5:$B$204&gt;$B322)*(A_Corridor!$I$5:$I$204&lt;&gt;"")),IF(A_Corridor!$I$5:$I$204="-","",A_Corridor!$I$5:$I$204)),"")</f>
        <v/>
      </c>
      <c r="O322" s="182" t="str">
        <f>IFERROR(LOOKUP(2,1/((D_Points!$A$5:$A$204&lt;&gt;"")*(D_Points!$A$5:$A$204&gt;=$B322)*(D_Points!$A$5:$A$204&lt;$B322+P_Interval)*(UPPER(TRIM(D_Points!$B$5:$B$204))="PITCHING")*(D_Points!$H$5:$H$204&lt;&gt;"")),D_Points!$H$5:$H$204),"")</f>
        <v/>
      </c>
      <c r="P322" s="181" t="str">
        <f>IFERROR(LOOKUP(2,1/((B_Drainage!$A$5:$A$204&lt;&gt;"")*(B_Drainage!$A$5:$A$204&lt;=$B322)*(B_Drainage!$B$5:$B$204&gt;$B322)*(B_Drainage!$C$5:$C$204&lt;&gt;"")),IF(B_Drainage!$C$5:$C$204="-","",UPPER(B_Drainage!$C$5:$C$204))),"")</f>
        <v/>
      </c>
      <c r="Q322" s="181" t="str">
        <f>IFERROR(LOOKUP(2,1/((B_Drainage!$A$5:$A$204&lt;&gt;"")*(B_Drainage!$A$5:$A$204&lt;=$B322)*(B_Drainage!$B$5:$B$204&gt;$B322)*(B_Drainage!$D$5:$D$204&lt;&gt;"")),IF(B_Drainage!$D$5:$D$204="-","",UPPER(B_Drainage!$D$5:$D$204))),"")</f>
        <v/>
      </c>
      <c r="R322" s="182" t="str">
        <f>IFERROR(LOOKUP(2,1/((D_Points!$A$5:$A$204&lt;&gt;"")*(D_Points!$A$5:$A$204&gt;=$B322)*(D_Points!$A$5:$A$204&lt;$B322+P_Interval)*(RIGHT(UPPER(TRIM(D_Points!$B$5:$B$204)),8)="_CULVERT")),IF(LEFT(UPPER(TRIM(D_Points!$B$5:$B$204)),2)="EX",1,IF(LEFT(UPPER(TRIM(D_Points!$B$5:$B$204)),2)="PR",2,3))),"")</f>
        <v/>
      </c>
      <c r="S322" s="182" t="str">
        <f>IFERROR(LOOKUP(2,1/((D_Points!$A$5:$A$204&lt;&gt;"")*(D_Points!$A$5:$A$204&gt;=$B322)*(D_Points!$A$5:$A$204&lt;$B322+P_Interval)*(RIGHT(UPPER(TRIM(D_Points!$B$5:$B$204)),7)="_BRIDGE")),IF(LEFT(UPPER(TRIM(D_Points!$B$5:$B$204)),2)="EX",1,IF(LEFT(UPPER(TRIM(D_Points!$B$5:$B$204)),2)="PR",2,2))),"")</f>
        <v/>
      </c>
      <c r="T322" s="181" t="str">
        <f>IFERROR(LOOKUP(2,1/((B_Drainage!$A$5:$A$204&lt;&gt;"")*(B_Drainage!$A$5:$A$204&lt;=$B322)*(B_Drainage!$B$5:$B$204&gt;$B322)*(B_Drainage!$E$5:$E$204&lt;&gt;"")),IF(B_Drainage!$E$5:$E$204="-","",1)),"")</f>
        <v/>
      </c>
      <c r="U322" s="181" t="str">
        <f>IFERROR(LOOKUP(2,1/((B_Drainage!$A$5:$A$204&lt;&gt;"")*(B_Drainage!$A$5:$A$204&lt;=$B322)*(B_Drainage!$B$5:$B$204&gt;$B322)*(B_Drainage!$E$5:$E$204&lt;&gt;"")),IF(B_Drainage!$E$5:$E$204="-","",B_Drainage!$E$5:$E$204)),"")</f>
        <v/>
      </c>
      <c r="V322" s="181" t="str">
        <f>IFERROR(LOOKUP(2,1/((B_Drainage!$A$5:$A$204&lt;&gt;"")*(B_Drainage!$A$5:$A$204&lt;=$B322)*(B_Drainage!$B$5:$B$204&gt;$B322)*(B_Drainage!$F$5:$F$204&lt;&gt;"")),IF(B_Drainage!$F$5:$F$204="-","",1)),"")</f>
        <v/>
      </c>
      <c r="W322" s="181" t="str">
        <f>IFERROR(LOOKUP(2,1/((B_Drainage!$A$5:$A$204&lt;&gt;"")*(B_Drainage!$A$5:$A$204&lt;=$B322)*(B_Drainage!$B$5:$B$204&gt;$B322)*(B_Drainage!$F$5:$F$204&lt;&gt;"")),IF(B_Drainage!$F$5:$F$204="-","",B_Drainage!$F$5:$F$204)),"")</f>
        <v/>
      </c>
      <c r="X322" s="181" t="str">
        <f>IFERROR(LOOKUP(2,1/((B_Drainage!$A$5:$A$204&lt;&gt;"")*(B_Drainage!$A$5:$A$204&lt;=$B322)*(B_Drainage!$B$5:$B$204&gt;$B322)*(B_Drainage!$G$5:$G$204&lt;&gt;"")),IF(UPPER(B_Drainage!$G$5:$G$204)="Y",1,"")),"")</f>
        <v/>
      </c>
      <c r="Y322" s="181" t="str">
        <f>IFERROR(LOOKUP(2,1/((B_Drainage!$A$5:$A$204&lt;&gt;"")*(B_Drainage!$A$5:$A$204&lt;=$B322)*(B_Drainage!$B$5:$B$204&gt;$B322)*(B_Drainage!$H$5:$H$204&lt;&gt;"")),IF(UPPER(B_Drainage!$H$5:$H$204)="Y",1,"")),"")</f>
        <v/>
      </c>
      <c r="Z322" s="181" t="str">
        <f>IFERROR(LOOKUP(2,1/((B_Drainage!$A$5:$A$204&lt;&gt;"")*(B_Drainage!$A$5:$A$204&lt;=$B322)*(B_Drainage!$B$5:$B$204&gt;$B322)*(B_Drainage!$I$5:$I$204&lt;&gt;"")),IF(UPPER(B_Drainage!$I$5:$I$204)="Y",1,"")),"")</f>
        <v/>
      </c>
      <c r="AA322" s="181" t="str">
        <f>IFERROR(LOOKUP(2,1/((B_Drainage!$A$5:$A$204&lt;&gt;"")*(B_Drainage!$A$5:$A$204&lt;=$B322)*(B_Drainage!$B$5:$B$204&gt;$B322)*(B_Drainage!$J$5:$J$204&lt;&gt;"")),IF(UPPER(B_Drainage!$J$5:$J$204)="Y",1,"")),"")</f>
        <v/>
      </c>
      <c r="AB322" s="182" t="str">
        <f>IFERROR(LOOKUP(2,1/((B_Drainage!$A$5:$A$204&lt;&gt;"")*(B_Drainage!$A$5:$A$204&lt;=$B322)*(B_Drainage!$B$5:$B$204&gt;$B322)*(B_Drainage!$K$5:$K$204&lt;&gt;"")),IF(B_Drainage!$K$5:$K$204="-","",B_Drainage!$K$5:$K$204)),"")</f>
        <v/>
      </c>
      <c r="AC322" s="182" t="str">
        <f>IFERROR(LOOKUP(2,1/((B_Drainage!$A$5:$A$204&lt;&gt;"")*(B_Drainage!$A$5:$A$204&lt;=$B322)*(B_Drainage!$B$5:$B$204&gt;$B322)*(B_Drainage!$L$5:$L$204&lt;&gt;"")),IF(B_Drainage!$L$5:$L$204="-","",B_Drainage!$L$5:$L$204)),"")</f>
        <v/>
      </c>
      <c r="AD322" s="182" t="str">
        <f>IFERROR(LOOKUP(2,1/((D_Points!$A$5:$A$204&lt;&gt;"")*(D_Points!$A$5:$A$204&gt;=$B322)*(D_Points!$A$5:$A$204&lt;$B322+P_Interval)*(UPPER(TRIM(D_Points!$B$5:$B$204))="TURNOUT_L")*(D_Points!$H$5:$H$204&lt;&gt;"")),D_Points!$H$5:$H$204),"")</f>
        <v/>
      </c>
      <c r="AE322" s="182" t="str">
        <f>IFERROR(LOOKUP(2,1/((D_Points!$A$5:$A$204&lt;&gt;"")*(D_Points!$A$5:$A$204&gt;=$B322)*(D_Points!$A$5:$A$204&lt;$B322+P_Interval)*(UPPER(TRIM(D_Points!$B$5:$B$204))="TURNOUT_R")*(D_Points!$H$5:$H$204&lt;&gt;"")),D_Points!$H$5:$H$204),"")</f>
        <v/>
      </c>
      <c r="AF322" s="181" t="str">
        <f>IFERROR(LOOKUP(2,1/((B_Drainage!$A$5:$A$204&lt;&gt;"")*(B_Drainage!$A$5:$A$204&lt;=$B322)*(B_Drainage!$B$5:$B$204&gt;$B322)*(B_Drainage!$M$5:$M$204&lt;&gt;"")),IF(UPPER(B_Drainage!$M$5:$M$204)="Y",1,"")),"")</f>
        <v/>
      </c>
      <c r="AG322" s="181" t="str">
        <f>IFERROR(LOOKUP(2,1/((B_Drainage!$A$5:$A$204&lt;&gt;"")*(B_Drainage!$A$5:$A$204&lt;=$B322)*(B_Drainage!$B$5:$B$204&gt;$B322)*(B_Drainage!$N$5:$N$204&lt;&gt;"")),IF(UPPER(B_Drainage!$N$5:$N$204)="Y",1,"")),"")</f>
        <v/>
      </c>
      <c r="AH322" s="181" t="str">
        <f t="shared" si="32"/>
        <v/>
      </c>
      <c r="AI322" s="181" t="str">
        <f t="shared" si="33"/>
        <v/>
      </c>
      <c r="AJ322" s="181" t="str">
        <f t="shared" si="34"/>
        <v/>
      </c>
      <c r="AK322" s="181" t="str">
        <f t="shared" si="35"/>
        <v/>
      </c>
      <c r="AL322" s="181" t="str">
        <f t="shared" si="36"/>
        <v/>
      </c>
      <c r="AM322" s="181" t="str">
        <f t="shared" si="37"/>
        <v/>
      </c>
      <c r="AN322" s="181" t="str">
        <f t="shared" si="38"/>
        <v/>
      </c>
      <c r="AO322" s="192" t="str">
        <f t="shared" si="39"/>
        <v/>
      </c>
      <c r="AQ322" t="str">
        <f>IFERROR(LOOKUP(2,1/((C_Pavement!$A$5:$A$204&lt;&gt;"")*(C_Pavement!$A$5:$A$204&lt;=$B322)*(C_Pavement!$B$5:$B$204&gt;$B322)*(C_Pavement!$C$5:$C$204&lt;&gt;"")),ROW(C_Pavement!$C$5:$C$204)-4),"")</f>
        <v/>
      </c>
      <c r="AR322" t="str">
        <f>IF($AQ322="","",UPPER(TRIM(INDEX(C_Pavement!$C$5:$C$204,$AQ322))))</f>
        <v/>
      </c>
      <c r="AS322" t="str">
        <f>IF($AR322="","",IFERROR(MATCH($AR322,E_Rules!$A$5:$A$9,0),""))</f>
        <v/>
      </c>
      <c r="AT322" t="str">
        <f>IF($AQ322="","",IF(INDEX(C_Pavement!$D$5:$D$204,$AQ322)&lt;&gt;"",UPPER(TRIM(INDEX(C_Pavement!$D$5:$D$204,$AQ322))),IF($AS322="","",INDEX(E_Rules!$C$5:$C$9,$AS322))))</f>
        <v/>
      </c>
      <c r="AU322" t="str">
        <f>IF($AQ322="","",IF(INDEX(C_Pavement!$E$5:$E$204,$AQ322)&lt;&gt;"",IF(INDEX(C_Pavement!$E$5:$E$204,$AQ322)="-","",INDEX(C_Pavement!$E$5:$E$204,$AQ322)),IF($AS322="","",INDEX(E_Rules!$D$5:$D$9,$AS322))))</f>
        <v/>
      </c>
      <c r="AV322" t="str">
        <f>IF($AQ322="","",IF(INDEX(C_Pavement!$F$5:$F$204,$AQ322)&lt;&gt;"",IF(INDEX(C_Pavement!$F$5:$F$204,$AQ322)="-","",INDEX(C_Pavement!$F$5:$F$204,$AQ322)),IF($AS322="","",INDEX(E_Rules!$E$5:$E$9,$AS322))))</f>
        <v/>
      </c>
      <c r="AW322" t="str">
        <f>IF($AQ322="","",IF(INDEX(C_Pavement!$G$5:$G$204,$AQ322)&lt;&gt;"",IF(INDEX(C_Pavement!$G$5:$G$204,$AQ322)="-","",INDEX(C_Pavement!$G$5:$G$204,$AQ322)),IF($AS322="","",INDEX(E_Rules!$F$5:$F$9,$AS322))))</f>
        <v/>
      </c>
      <c r="AX322" t="str">
        <f>IF($AQ322="","",IF(INDEX(C_Pavement!$H$5:$H$204,$AQ322)&lt;&gt;"",IF(INDEX(C_Pavement!$H$5:$H$204,$AQ322)="-","",INDEX(C_Pavement!$H$5:$H$204,$AQ322)),IF($AS322="","",INDEX(E_Rules!$G$5:$G$9,$AS322))))</f>
        <v/>
      </c>
      <c r="AY322" t="str">
        <f>IF($AQ322="","",IF(INDEX(C_Pavement!$I$5:$I$204,$AQ322)&lt;&gt;"",IF(INDEX(C_Pavement!$I$5:$I$204,$AQ322)="-","",INDEX(C_Pavement!$I$5:$I$204,$AQ322)),IF($AS322="","",INDEX(E_Rules!$H$5:$H$9,$AS322))))</f>
        <v/>
      </c>
    </row>
    <row r="323" spans="1:51" ht="15.75" customHeight="1" x14ac:dyDescent="0.3">
      <c r="A323" s="189">
        <v>318</v>
      </c>
      <c r="B323" s="180">
        <v>15850</v>
      </c>
      <c r="C323" s="180" t="s">
        <v>629</v>
      </c>
      <c r="D323" s="181" t="str">
        <f>IFERROR(LOOKUP(2,1/((A_Corridor!$A$5:$A$204&lt;&gt;"")*(A_Corridor!$A$5:$A$204&lt;=$B323)*(A_Corridor!$B$5:$B$204&gt;$B323)*(A_Corridor!$C$5:$C$204&lt;&gt;"")),IF(UPPER(A_Corridor!$C$5:$C$204)="Y",1,"")),"")</f>
        <v/>
      </c>
      <c r="E323" s="181" t="str">
        <f>IFERROR(LOOKUP(2,1/((A_Corridor!$A$5:$A$204&lt;&gt;"")*(A_Corridor!$A$5:$A$204&lt;=$B323)*(A_Corridor!$B$5:$B$204&gt;$B323)*(A_Corridor!$D$5:$D$204&lt;&gt;"")),IF(A_Corridor!$D$5:$D$204="-","",UPPER(A_Corridor!$D$5:$D$204))),"")</f>
        <v/>
      </c>
      <c r="F323" s="181" t="str">
        <f>IFERROR(LOOKUP(2,1/((A_Corridor!$A$5:$A$204&lt;&gt;"")*(A_Corridor!$A$5:$A$204&lt;=$B323)*(A_Corridor!$B$5:$B$204&gt;$B323)*(A_Corridor!$E$5:$E$204&lt;&gt;"")),IF(A_Corridor!$E$5:$E$204="-","",1)),"")</f>
        <v/>
      </c>
      <c r="G323" s="182" t="str">
        <f>IFERROR(LOOKUP(2,1/((A_Corridor!$A$5:$A$204&lt;&gt;"")*(A_Corridor!$A$5:$A$204&lt;=$B323)*(A_Corridor!$B$5:$B$204&gt;$B323)*(A_Corridor!$E$5:$E$204&lt;&gt;"")),IF(A_Corridor!$E$5:$E$204="-","",A_Corridor!$E$5:$E$204)),"")</f>
        <v/>
      </c>
      <c r="H323" s="182" t="str">
        <f>IFERROR(LOOKUP(2,1/((D_Points!$A$5:$A$204&lt;&gt;"")*(D_Points!$A$5:$A$204&gt;=$B323)*(D_Points!$A$5:$A$204&lt;$B323+P_Interval)*(UPPER(TRIM(D_Points!$B$5:$B$204))="GULLY")*(D_Points!$H$5:$H$204&lt;&gt;"")),D_Points!$H$5:$H$204),"")</f>
        <v/>
      </c>
      <c r="I323" s="181" t="str">
        <f>IFERROR(LOOKUP(2,1/((A_Corridor!$A$5:$A$204&lt;&gt;"")*(A_Corridor!$A$5:$A$204&lt;=$B323)*(A_Corridor!$B$5:$B$204&gt;$B323)*(A_Corridor!$F$5:$F$204&lt;&gt;"")),IF(A_Corridor!$F$5:$F$204="-","",1)),"")</f>
        <v/>
      </c>
      <c r="J323" s="182" t="str">
        <f>IFERROR(LOOKUP(2,1/((A_Corridor!$A$5:$A$204&lt;&gt;"")*(A_Corridor!$A$5:$A$204&lt;=$B323)*(A_Corridor!$B$5:$B$204&gt;$B323)*(A_Corridor!$F$5:$F$204&lt;&gt;"")),IF(A_Corridor!$F$5:$F$204="-","",A_Corridor!$F$5:$F$204)),"")</f>
        <v/>
      </c>
      <c r="K323" s="182" t="str">
        <f>IFERROR(LOOKUP(2,1/((A_Corridor!$A$5:$A$204&lt;&gt;"")*(A_Corridor!$A$5:$A$204&lt;=$B323)*(A_Corridor!$B$5:$B$204&gt;$B323)*(A_Corridor!$G$5:$G$204&lt;&gt;"")),IF(A_Corridor!$G$5:$G$204="-","",A_Corridor!$G$5:$G$204)),"")</f>
        <v/>
      </c>
      <c r="L323" s="181" t="str">
        <f>IFERROR(LOOKUP(2,1/((A_Corridor!$A$5:$A$204&lt;&gt;"")*(A_Corridor!$A$5:$A$204&lt;=$B323)*(A_Corridor!$B$5:$B$204&gt;$B323)*(A_Corridor!$H$5:$H$204&lt;&gt;"")),IF(A_Corridor!$H$5:$H$204="-","",1)),"")</f>
        <v/>
      </c>
      <c r="M323" s="182" t="str">
        <f>IFERROR(LOOKUP(2,1/((A_Corridor!$A$5:$A$204&lt;&gt;"")*(A_Corridor!$A$5:$A$204&lt;=$B323)*(A_Corridor!$B$5:$B$204&gt;$B323)*(A_Corridor!$H$5:$H$204&lt;&gt;"")),IF(A_Corridor!$H$5:$H$204="-","",A_Corridor!$H$5:$H$204)),"")</f>
        <v/>
      </c>
      <c r="N323" s="182" t="str">
        <f>IFERROR(LOOKUP(2,1/((A_Corridor!$A$5:$A$204&lt;&gt;"")*(A_Corridor!$A$5:$A$204&lt;=$B323)*(A_Corridor!$B$5:$B$204&gt;$B323)*(A_Corridor!$I$5:$I$204&lt;&gt;"")),IF(A_Corridor!$I$5:$I$204="-","",A_Corridor!$I$5:$I$204)),"")</f>
        <v/>
      </c>
      <c r="O323" s="182" t="str">
        <f>IFERROR(LOOKUP(2,1/((D_Points!$A$5:$A$204&lt;&gt;"")*(D_Points!$A$5:$A$204&gt;=$B323)*(D_Points!$A$5:$A$204&lt;$B323+P_Interval)*(UPPER(TRIM(D_Points!$B$5:$B$204))="PITCHING")*(D_Points!$H$5:$H$204&lt;&gt;"")),D_Points!$H$5:$H$204),"")</f>
        <v/>
      </c>
      <c r="P323" s="181" t="str">
        <f>IFERROR(LOOKUP(2,1/((B_Drainage!$A$5:$A$204&lt;&gt;"")*(B_Drainage!$A$5:$A$204&lt;=$B323)*(B_Drainage!$B$5:$B$204&gt;$B323)*(B_Drainage!$C$5:$C$204&lt;&gt;"")),IF(B_Drainage!$C$5:$C$204="-","",UPPER(B_Drainage!$C$5:$C$204))),"")</f>
        <v/>
      </c>
      <c r="Q323" s="181" t="str">
        <f>IFERROR(LOOKUP(2,1/((B_Drainage!$A$5:$A$204&lt;&gt;"")*(B_Drainage!$A$5:$A$204&lt;=$B323)*(B_Drainage!$B$5:$B$204&gt;$B323)*(B_Drainage!$D$5:$D$204&lt;&gt;"")),IF(B_Drainage!$D$5:$D$204="-","",UPPER(B_Drainage!$D$5:$D$204))),"")</f>
        <v/>
      </c>
      <c r="R323" s="182" t="str">
        <f>IFERROR(LOOKUP(2,1/((D_Points!$A$5:$A$204&lt;&gt;"")*(D_Points!$A$5:$A$204&gt;=$B323)*(D_Points!$A$5:$A$204&lt;$B323+P_Interval)*(RIGHT(UPPER(TRIM(D_Points!$B$5:$B$204)),8)="_CULVERT")),IF(LEFT(UPPER(TRIM(D_Points!$B$5:$B$204)),2)="EX",1,IF(LEFT(UPPER(TRIM(D_Points!$B$5:$B$204)),2)="PR",2,3))),"")</f>
        <v/>
      </c>
      <c r="S323" s="182" t="str">
        <f>IFERROR(LOOKUP(2,1/((D_Points!$A$5:$A$204&lt;&gt;"")*(D_Points!$A$5:$A$204&gt;=$B323)*(D_Points!$A$5:$A$204&lt;$B323+P_Interval)*(RIGHT(UPPER(TRIM(D_Points!$B$5:$B$204)),7)="_BRIDGE")),IF(LEFT(UPPER(TRIM(D_Points!$B$5:$B$204)),2)="EX",1,IF(LEFT(UPPER(TRIM(D_Points!$B$5:$B$204)),2)="PR",2,2))),"")</f>
        <v/>
      </c>
      <c r="T323" s="181" t="str">
        <f>IFERROR(LOOKUP(2,1/((B_Drainage!$A$5:$A$204&lt;&gt;"")*(B_Drainage!$A$5:$A$204&lt;=$B323)*(B_Drainage!$B$5:$B$204&gt;$B323)*(B_Drainage!$E$5:$E$204&lt;&gt;"")),IF(B_Drainage!$E$5:$E$204="-","",1)),"")</f>
        <v/>
      </c>
      <c r="U323" s="181" t="str">
        <f>IFERROR(LOOKUP(2,1/((B_Drainage!$A$5:$A$204&lt;&gt;"")*(B_Drainage!$A$5:$A$204&lt;=$B323)*(B_Drainage!$B$5:$B$204&gt;$B323)*(B_Drainage!$E$5:$E$204&lt;&gt;"")),IF(B_Drainage!$E$5:$E$204="-","",B_Drainage!$E$5:$E$204)),"")</f>
        <v/>
      </c>
      <c r="V323" s="181" t="str">
        <f>IFERROR(LOOKUP(2,1/((B_Drainage!$A$5:$A$204&lt;&gt;"")*(B_Drainage!$A$5:$A$204&lt;=$B323)*(B_Drainage!$B$5:$B$204&gt;$B323)*(B_Drainage!$F$5:$F$204&lt;&gt;"")),IF(B_Drainage!$F$5:$F$204="-","",1)),"")</f>
        <v/>
      </c>
      <c r="W323" s="181" t="str">
        <f>IFERROR(LOOKUP(2,1/((B_Drainage!$A$5:$A$204&lt;&gt;"")*(B_Drainage!$A$5:$A$204&lt;=$B323)*(B_Drainage!$B$5:$B$204&gt;$B323)*(B_Drainage!$F$5:$F$204&lt;&gt;"")),IF(B_Drainage!$F$5:$F$204="-","",B_Drainage!$F$5:$F$204)),"")</f>
        <v/>
      </c>
      <c r="X323" s="181" t="str">
        <f>IFERROR(LOOKUP(2,1/((B_Drainage!$A$5:$A$204&lt;&gt;"")*(B_Drainage!$A$5:$A$204&lt;=$B323)*(B_Drainage!$B$5:$B$204&gt;$B323)*(B_Drainage!$G$5:$G$204&lt;&gt;"")),IF(UPPER(B_Drainage!$G$5:$G$204)="Y",1,"")),"")</f>
        <v/>
      </c>
      <c r="Y323" s="181" t="str">
        <f>IFERROR(LOOKUP(2,1/((B_Drainage!$A$5:$A$204&lt;&gt;"")*(B_Drainage!$A$5:$A$204&lt;=$B323)*(B_Drainage!$B$5:$B$204&gt;$B323)*(B_Drainage!$H$5:$H$204&lt;&gt;"")),IF(UPPER(B_Drainage!$H$5:$H$204)="Y",1,"")),"")</f>
        <v/>
      </c>
      <c r="Z323" s="181" t="str">
        <f>IFERROR(LOOKUP(2,1/((B_Drainage!$A$5:$A$204&lt;&gt;"")*(B_Drainage!$A$5:$A$204&lt;=$B323)*(B_Drainage!$B$5:$B$204&gt;$B323)*(B_Drainage!$I$5:$I$204&lt;&gt;"")),IF(UPPER(B_Drainage!$I$5:$I$204)="Y",1,"")),"")</f>
        <v/>
      </c>
      <c r="AA323" s="181" t="str">
        <f>IFERROR(LOOKUP(2,1/((B_Drainage!$A$5:$A$204&lt;&gt;"")*(B_Drainage!$A$5:$A$204&lt;=$B323)*(B_Drainage!$B$5:$B$204&gt;$B323)*(B_Drainage!$J$5:$J$204&lt;&gt;"")),IF(UPPER(B_Drainage!$J$5:$J$204)="Y",1,"")),"")</f>
        <v/>
      </c>
      <c r="AB323" s="182" t="str">
        <f>IFERROR(LOOKUP(2,1/((B_Drainage!$A$5:$A$204&lt;&gt;"")*(B_Drainage!$A$5:$A$204&lt;=$B323)*(B_Drainage!$B$5:$B$204&gt;$B323)*(B_Drainage!$K$5:$K$204&lt;&gt;"")),IF(B_Drainage!$K$5:$K$204="-","",B_Drainage!$K$5:$K$204)),"")</f>
        <v/>
      </c>
      <c r="AC323" s="182" t="str">
        <f>IFERROR(LOOKUP(2,1/((B_Drainage!$A$5:$A$204&lt;&gt;"")*(B_Drainage!$A$5:$A$204&lt;=$B323)*(B_Drainage!$B$5:$B$204&gt;$B323)*(B_Drainage!$L$5:$L$204&lt;&gt;"")),IF(B_Drainage!$L$5:$L$204="-","",B_Drainage!$L$5:$L$204)),"")</f>
        <v/>
      </c>
      <c r="AD323" s="182" t="str">
        <f>IFERROR(LOOKUP(2,1/((D_Points!$A$5:$A$204&lt;&gt;"")*(D_Points!$A$5:$A$204&gt;=$B323)*(D_Points!$A$5:$A$204&lt;$B323+P_Interval)*(UPPER(TRIM(D_Points!$B$5:$B$204))="TURNOUT_L")*(D_Points!$H$5:$H$204&lt;&gt;"")),D_Points!$H$5:$H$204),"")</f>
        <v/>
      </c>
      <c r="AE323" s="182" t="str">
        <f>IFERROR(LOOKUP(2,1/((D_Points!$A$5:$A$204&lt;&gt;"")*(D_Points!$A$5:$A$204&gt;=$B323)*(D_Points!$A$5:$A$204&lt;$B323+P_Interval)*(UPPER(TRIM(D_Points!$B$5:$B$204))="TURNOUT_R")*(D_Points!$H$5:$H$204&lt;&gt;"")),D_Points!$H$5:$H$204),"")</f>
        <v/>
      </c>
      <c r="AF323" s="181" t="str">
        <f>IFERROR(LOOKUP(2,1/((B_Drainage!$A$5:$A$204&lt;&gt;"")*(B_Drainage!$A$5:$A$204&lt;=$B323)*(B_Drainage!$B$5:$B$204&gt;$B323)*(B_Drainage!$M$5:$M$204&lt;&gt;"")),IF(UPPER(B_Drainage!$M$5:$M$204)="Y",1,"")),"")</f>
        <v/>
      </c>
      <c r="AG323" s="181" t="str">
        <f>IFERROR(LOOKUP(2,1/((B_Drainage!$A$5:$A$204&lt;&gt;"")*(B_Drainage!$A$5:$A$204&lt;=$B323)*(B_Drainage!$B$5:$B$204&gt;$B323)*(B_Drainage!$N$5:$N$204&lt;&gt;"")),IF(UPPER(B_Drainage!$N$5:$N$204)="Y",1,"")),"")</f>
        <v/>
      </c>
      <c r="AH323" s="181" t="str">
        <f t="shared" si="32"/>
        <v/>
      </c>
      <c r="AI323" s="181" t="str">
        <f t="shared" si="33"/>
        <v/>
      </c>
      <c r="AJ323" s="181" t="str">
        <f t="shared" si="34"/>
        <v/>
      </c>
      <c r="AK323" s="181" t="str">
        <f t="shared" si="35"/>
        <v/>
      </c>
      <c r="AL323" s="181" t="str">
        <f t="shared" si="36"/>
        <v/>
      </c>
      <c r="AM323" s="181" t="str">
        <f t="shared" si="37"/>
        <v/>
      </c>
      <c r="AN323" s="181" t="str">
        <f t="shared" si="38"/>
        <v/>
      </c>
      <c r="AO323" s="192" t="str">
        <f t="shared" si="39"/>
        <v/>
      </c>
      <c r="AQ323" t="str">
        <f>IFERROR(LOOKUP(2,1/((C_Pavement!$A$5:$A$204&lt;&gt;"")*(C_Pavement!$A$5:$A$204&lt;=$B323)*(C_Pavement!$B$5:$B$204&gt;$B323)*(C_Pavement!$C$5:$C$204&lt;&gt;"")),ROW(C_Pavement!$C$5:$C$204)-4),"")</f>
        <v/>
      </c>
      <c r="AR323" t="str">
        <f>IF($AQ323="","",UPPER(TRIM(INDEX(C_Pavement!$C$5:$C$204,$AQ323))))</f>
        <v/>
      </c>
      <c r="AS323" t="str">
        <f>IF($AR323="","",IFERROR(MATCH($AR323,E_Rules!$A$5:$A$9,0),""))</f>
        <v/>
      </c>
      <c r="AT323" t="str">
        <f>IF($AQ323="","",IF(INDEX(C_Pavement!$D$5:$D$204,$AQ323)&lt;&gt;"",UPPER(TRIM(INDEX(C_Pavement!$D$5:$D$204,$AQ323))),IF($AS323="","",INDEX(E_Rules!$C$5:$C$9,$AS323))))</f>
        <v/>
      </c>
      <c r="AU323" t="str">
        <f>IF($AQ323="","",IF(INDEX(C_Pavement!$E$5:$E$204,$AQ323)&lt;&gt;"",IF(INDEX(C_Pavement!$E$5:$E$204,$AQ323)="-","",INDEX(C_Pavement!$E$5:$E$204,$AQ323)),IF($AS323="","",INDEX(E_Rules!$D$5:$D$9,$AS323))))</f>
        <v/>
      </c>
      <c r="AV323" t="str">
        <f>IF($AQ323="","",IF(INDEX(C_Pavement!$F$5:$F$204,$AQ323)&lt;&gt;"",IF(INDEX(C_Pavement!$F$5:$F$204,$AQ323)="-","",INDEX(C_Pavement!$F$5:$F$204,$AQ323)),IF($AS323="","",INDEX(E_Rules!$E$5:$E$9,$AS323))))</f>
        <v/>
      </c>
      <c r="AW323" t="str">
        <f>IF($AQ323="","",IF(INDEX(C_Pavement!$G$5:$G$204,$AQ323)&lt;&gt;"",IF(INDEX(C_Pavement!$G$5:$G$204,$AQ323)="-","",INDEX(C_Pavement!$G$5:$G$204,$AQ323)),IF($AS323="","",INDEX(E_Rules!$F$5:$F$9,$AS323))))</f>
        <v/>
      </c>
      <c r="AX323" t="str">
        <f>IF($AQ323="","",IF(INDEX(C_Pavement!$H$5:$H$204,$AQ323)&lt;&gt;"",IF(INDEX(C_Pavement!$H$5:$H$204,$AQ323)="-","",INDEX(C_Pavement!$H$5:$H$204,$AQ323)),IF($AS323="","",INDEX(E_Rules!$G$5:$G$9,$AS323))))</f>
        <v/>
      </c>
      <c r="AY323" t="str">
        <f>IF($AQ323="","",IF(INDEX(C_Pavement!$I$5:$I$204,$AQ323)&lt;&gt;"",IF(INDEX(C_Pavement!$I$5:$I$204,$AQ323)="-","",INDEX(C_Pavement!$I$5:$I$204,$AQ323)),IF($AS323="","",INDEX(E_Rules!$H$5:$H$9,$AS323))))</f>
        <v/>
      </c>
    </row>
    <row r="324" spans="1:51" ht="15.75" customHeight="1" x14ac:dyDescent="0.3">
      <c r="A324" s="189">
        <v>319</v>
      </c>
      <c r="B324" s="180">
        <v>15900</v>
      </c>
      <c r="C324" s="180" t="s">
        <v>630</v>
      </c>
      <c r="D324" s="181" t="str">
        <f>IFERROR(LOOKUP(2,1/((A_Corridor!$A$5:$A$204&lt;&gt;"")*(A_Corridor!$A$5:$A$204&lt;=$B324)*(A_Corridor!$B$5:$B$204&gt;$B324)*(A_Corridor!$C$5:$C$204&lt;&gt;"")),IF(UPPER(A_Corridor!$C$5:$C$204)="Y",1,"")),"")</f>
        <v/>
      </c>
      <c r="E324" s="181" t="str">
        <f>IFERROR(LOOKUP(2,1/((A_Corridor!$A$5:$A$204&lt;&gt;"")*(A_Corridor!$A$5:$A$204&lt;=$B324)*(A_Corridor!$B$5:$B$204&gt;$B324)*(A_Corridor!$D$5:$D$204&lt;&gt;"")),IF(A_Corridor!$D$5:$D$204="-","",UPPER(A_Corridor!$D$5:$D$204))),"")</f>
        <v/>
      </c>
      <c r="F324" s="181" t="str">
        <f>IFERROR(LOOKUP(2,1/((A_Corridor!$A$5:$A$204&lt;&gt;"")*(A_Corridor!$A$5:$A$204&lt;=$B324)*(A_Corridor!$B$5:$B$204&gt;$B324)*(A_Corridor!$E$5:$E$204&lt;&gt;"")),IF(A_Corridor!$E$5:$E$204="-","",1)),"")</f>
        <v/>
      </c>
      <c r="G324" s="182" t="str">
        <f>IFERROR(LOOKUP(2,1/((A_Corridor!$A$5:$A$204&lt;&gt;"")*(A_Corridor!$A$5:$A$204&lt;=$B324)*(A_Corridor!$B$5:$B$204&gt;$B324)*(A_Corridor!$E$5:$E$204&lt;&gt;"")),IF(A_Corridor!$E$5:$E$204="-","",A_Corridor!$E$5:$E$204)),"")</f>
        <v/>
      </c>
      <c r="H324" s="182" t="str">
        <f>IFERROR(LOOKUP(2,1/((D_Points!$A$5:$A$204&lt;&gt;"")*(D_Points!$A$5:$A$204&gt;=$B324)*(D_Points!$A$5:$A$204&lt;$B324+P_Interval)*(UPPER(TRIM(D_Points!$B$5:$B$204))="GULLY")*(D_Points!$H$5:$H$204&lt;&gt;"")),D_Points!$H$5:$H$204),"")</f>
        <v/>
      </c>
      <c r="I324" s="181" t="str">
        <f>IFERROR(LOOKUP(2,1/((A_Corridor!$A$5:$A$204&lt;&gt;"")*(A_Corridor!$A$5:$A$204&lt;=$B324)*(A_Corridor!$B$5:$B$204&gt;$B324)*(A_Corridor!$F$5:$F$204&lt;&gt;"")),IF(A_Corridor!$F$5:$F$204="-","",1)),"")</f>
        <v/>
      </c>
      <c r="J324" s="182" t="str">
        <f>IFERROR(LOOKUP(2,1/((A_Corridor!$A$5:$A$204&lt;&gt;"")*(A_Corridor!$A$5:$A$204&lt;=$B324)*(A_Corridor!$B$5:$B$204&gt;$B324)*(A_Corridor!$F$5:$F$204&lt;&gt;"")),IF(A_Corridor!$F$5:$F$204="-","",A_Corridor!$F$5:$F$204)),"")</f>
        <v/>
      </c>
      <c r="K324" s="182" t="str">
        <f>IFERROR(LOOKUP(2,1/((A_Corridor!$A$5:$A$204&lt;&gt;"")*(A_Corridor!$A$5:$A$204&lt;=$B324)*(A_Corridor!$B$5:$B$204&gt;$B324)*(A_Corridor!$G$5:$G$204&lt;&gt;"")),IF(A_Corridor!$G$5:$G$204="-","",A_Corridor!$G$5:$G$204)),"")</f>
        <v/>
      </c>
      <c r="L324" s="181" t="str">
        <f>IFERROR(LOOKUP(2,1/((A_Corridor!$A$5:$A$204&lt;&gt;"")*(A_Corridor!$A$5:$A$204&lt;=$B324)*(A_Corridor!$B$5:$B$204&gt;$B324)*(A_Corridor!$H$5:$H$204&lt;&gt;"")),IF(A_Corridor!$H$5:$H$204="-","",1)),"")</f>
        <v/>
      </c>
      <c r="M324" s="182" t="str">
        <f>IFERROR(LOOKUP(2,1/((A_Corridor!$A$5:$A$204&lt;&gt;"")*(A_Corridor!$A$5:$A$204&lt;=$B324)*(A_Corridor!$B$5:$B$204&gt;$B324)*(A_Corridor!$H$5:$H$204&lt;&gt;"")),IF(A_Corridor!$H$5:$H$204="-","",A_Corridor!$H$5:$H$204)),"")</f>
        <v/>
      </c>
      <c r="N324" s="182" t="str">
        <f>IFERROR(LOOKUP(2,1/((A_Corridor!$A$5:$A$204&lt;&gt;"")*(A_Corridor!$A$5:$A$204&lt;=$B324)*(A_Corridor!$B$5:$B$204&gt;$B324)*(A_Corridor!$I$5:$I$204&lt;&gt;"")),IF(A_Corridor!$I$5:$I$204="-","",A_Corridor!$I$5:$I$204)),"")</f>
        <v/>
      </c>
      <c r="O324" s="182" t="str">
        <f>IFERROR(LOOKUP(2,1/((D_Points!$A$5:$A$204&lt;&gt;"")*(D_Points!$A$5:$A$204&gt;=$B324)*(D_Points!$A$5:$A$204&lt;$B324+P_Interval)*(UPPER(TRIM(D_Points!$B$5:$B$204))="PITCHING")*(D_Points!$H$5:$H$204&lt;&gt;"")),D_Points!$H$5:$H$204),"")</f>
        <v/>
      </c>
      <c r="P324" s="181" t="str">
        <f>IFERROR(LOOKUP(2,1/((B_Drainage!$A$5:$A$204&lt;&gt;"")*(B_Drainage!$A$5:$A$204&lt;=$B324)*(B_Drainage!$B$5:$B$204&gt;$B324)*(B_Drainage!$C$5:$C$204&lt;&gt;"")),IF(B_Drainage!$C$5:$C$204="-","",UPPER(B_Drainage!$C$5:$C$204))),"")</f>
        <v/>
      </c>
      <c r="Q324" s="181" t="str">
        <f>IFERROR(LOOKUP(2,1/((B_Drainage!$A$5:$A$204&lt;&gt;"")*(B_Drainage!$A$5:$A$204&lt;=$B324)*(B_Drainage!$B$5:$B$204&gt;$B324)*(B_Drainage!$D$5:$D$204&lt;&gt;"")),IF(B_Drainage!$D$5:$D$204="-","",UPPER(B_Drainage!$D$5:$D$204))),"")</f>
        <v/>
      </c>
      <c r="R324" s="182" t="str">
        <f>IFERROR(LOOKUP(2,1/((D_Points!$A$5:$A$204&lt;&gt;"")*(D_Points!$A$5:$A$204&gt;=$B324)*(D_Points!$A$5:$A$204&lt;$B324+P_Interval)*(RIGHT(UPPER(TRIM(D_Points!$B$5:$B$204)),8)="_CULVERT")),IF(LEFT(UPPER(TRIM(D_Points!$B$5:$B$204)),2)="EX",1,IF(LEFT(UPPER(TRIM(D_Points!$B$5:$B$204)),2)="PR",2,3))),"")</f>
        <v/>
      </c>
      <c r="S324" s="182" t="str">
        <f>IFERROR(LOOKUP(2,1/((D_Points!$A$5:$A$204&lt;&gt;"")*(D_Points!$A$5:$A$204&gt;=$B324)*(D_Points!$A$5:$A$204&lt;$B324+P_Interval)*(RIGHT(UPPER(TRIM(D_Points!$B$5:$B$204)),7)="_BRIDGE")),IF(LEFT(UPPER(TRIM(D_Points!$B$5:$B$204)),2)="EX",1,IF(LEFT(UPPER(TRIM(D_Points!$B$5:$B$204)),2)="PR",2,2))),"")</f>
        <v/>
      </c>
      <c r="T324" s="181" t="str">
        <f>IFERROR(LOOKUP(2,1/((B_Drainage!$A$5:$A$204&lt;&gt;"")*(B_Drainage!$A$5:$A$204&lt;=$B324)*(B_Drainage!$B$5:$B$204&gt;$B324)*(B_Drainage!$E$5:$E$204&lt;&gt;"")),IF(B_Drainage!$E$5:$E$204="-","",1)),"")</f>
        <v/>
      </c>
      <c r="U324" s="181" t="str">
        <f>IFERROR(LOOKUP(2,1/((B_Drainage!$A$5:$A$204&lt;&gt;"")*(B_Drainage!$A$5:$A$204&lt;=$B324)*(B_Drainage!$B$5:$B$204&gt;$B324)*(B_Drainage!$E$5:$E$204&lt;&gt;"")),IF(B_Drainage!$E$5:$E$204="-","",B_Drainage!$E$5:$E$204)),"")</f>
        <v/>
      </c>
      <c r="V324" s="181" t="str">
        <f>IFERROR(LOOKUP(2,1/((B_Drainage!$A$5:$A$204&lt;&gt;"")*(B_Drainage!$A$5:$A$204&lt;=$B324)*(B_Drainage!$B$5:$B$204&gt;$B324)*(B_Drainage!$F$5:$F$204&lt;&gt;"")),IF(B_Drainage!$F$5:$F$204="-","",1)),"")</f>
        <v/>
      </c>
      <c r="W324" s="181" t="str">
        <f>IFERROR(LOOKUP(2,1/((B_Drainage!$A$5:$A$204&lt;&gt;"")*(B_Drainage!$A$5:$A$204&lt;=$B324)*(B_Drainage!$B$5:$B$204&gt;$B324)*(B_Drainage!$F$5:$F$204&lt;&gt;"")),IF(B_Drainage!$F$5:$F$204="-","",B_Drainage!$F$5:$F$204)),"")</f>
        <v/>
      </c>
      <c r="X324" s="181" t="str">
        <f>IFERROR(LOOKUP(2,1/((B_Drainage!$A$5:$A$204&lt;&gt;"")*(B_Drainage!$A$5:$A$204&lt;=$B324)*(B_Drainage!$B$5:$B$204&gt;$B324)*(B_Drainage!$G$5:$G$204&lt;&gt;"")),IF(UPPER(B_Drainage!$G$5:$G$204)="Y",1,"")),"")</f>
        <v/>
      </c>
      <c r="Y324" s="181" t="str">
        <f>IFERROR(LOOKUP(2,1/((B_Drainage!$A$5:$A$204&lt;&gt;"")*(B_Drainage!$A$5:$A$204&lt;=$B324)*(B_Drainage!$B$5:$B$204&gt;$B324)*(B_Drainage!$H$5:$H$204&lt;&gt;"")),IF(UPPER(B_Drainage!$H$5:$H$204)="Y",1,"")),"")</f>
        <v/>
      </c>
      <c r="Z324" s="181" t="str">
        <f>IFERROR(LOOKUP(2,1/((B_Drainage!$A$5:$A$204&lt;&gt;"")*(B_Drainage!$A$5:$A$204&lt;=$B324)*(B_Drainage!$B$5:$B$204&gt;$B324)*(B_Drainage!$I$5:$I$204&lt;&gt;"")),IF(UPPER(B_Drainage!$I$5:$I$204)="Y",1,"")),"")</f>
        <v/>
      </c>
      <c r="AA324" s="181" t="str">
        <f>IFERROR(LOOKUP(2,1/((B_Drainage!$A$5:$A$204&lt;&gt;"")*(B_Drainage!$A$5:$A$204&lt;=$B324)*(B_Drainage!$B$5:$B$204&gt;$B324)*(B_Drainage!$J$5:$J$204&lt;&gt;"")),IF(UPPER(B_Drainage!$J$5:$J$204)="Y",1,"")),"")</f>
        <v/>
      </c>
      <c r="AB324" s="182" t="str">
        <f>IFERROR(LOOKUP(2,1/((B_Drainage!$A$5:$A$204&lt;&gt;"")*(B_Drainage!$A$5:$A$204&lt;=$B324)*(B_Drainage!$B$5:$B$204&gt;$B324)*(B_Drainage!$K$5:$K$204&lt;&gt;"")),IF(B_Drainage!$K$5:$K$204="-","",B_Drainage!$K$5:$K$204)),"")</f>
        <v/>
      </c>
      <c r="AC324" s="182" t="str">
        <f>IFERROR(LOOKUP(2,1/((B_Drainage!$A$5:$A$204&lt;&gt;"")*(B_Drainage!$A$5:$A$204&lt;=$B324)*(B_Drainage!$B$5:$B$204&gt;$B324)*(B_Drainage!$L$5:$L$204&lt;&gt;"")),IF(B_Drainage!$L$5:$L$204="-","",B_Drainage!$L$5:$L$204)),"")</f>
        <v/>
      </c>
      <c r="AD324" s="182" t="str">
        <f>IFERROR(LOOKUP(2,1/((D_Points!$A$5:$A$204&lt;&gt;"")*(D_Points!$A$5:$A$204&gt;=$B324)*(D_Points!$A$5:$A$204&lt;$B324+P_Interval)*(UPPER(TRIM(D_Points!$B$5:$B$204))="TURNOUT_L")*(D_Points!$H$5:$H$204&lt;&gt;"")),D_Points!$H$5:$H$204),"")</f>
        <v/>
      </c>
      <c r="AE324" s="182" t="str">
        <f>IFERROR(LOOKUP(2,1/((D_Points!$A$5:$A$204&lt;&gt;"")*(D_Points!$A$5:$A$204&gt;=$B324)*(D_Points!$A$5:$A$204&lt;$B324+P_Interval)*(UPPER(TRIM(D_Points!$B$5:$B$204))="TURNOUT_R")*(D_Points!$H$5:$H$204&lt;&gt;"")),D_Points!$H$5:$H$204),"")</f>
        <v/>
      </c>
      <c r="AF324" s="181" t="str">
        <f>IFERROR(LOOKUP(2,1/((B_Drainage!$A$5:$A$204&lt;&gt;"")*(B_Drainage!$A$5:$A$204&lt;=$B324)*(B_Drainage!$B$5:$B$204&gt;$B324)*(B_Drainage!$M$5:$M$204&lt;&gt;"")),IF(UPPER(B_Drainage!$M$5:$M$204)="Y",1,"")),"")</f>
        <v/>
      </c>
      <c r="AG324" s="181" t="str">
        <f>IFERROR(LOOKUP(2,1/((B_Drainage!$A$5:$A$204&lt;&gt;"")*(B_Drainage!$A$5:$A$204&lt;=$B324)*(B_Drainage!$B$5:$B$204&gt;$B324)*(B_Drainage!$N$5:$N$204&lt;&gt;"")),IF(UPPER(B_Drainage!$N$5:$N$204)="Y",1,"")),"")</f>
        <v/>
      </c>
      <c r="AH324" s="181" t="str">
        <f t="shared" si="32"/>
        <v/>
      </c>
      <c r="AI324" s="181" t="str">
        <f t="shared" si="33"/>
        <v/>
      </c>
      <c r="AJ324" s="181" t="str">
        <f t="shared" si="34"/>
        <v/>
      </c>
      <c r="AK324" s="181" t="str">
        <f t="shared" si="35"/>
        <v/>
      </c>
      <c r="AL324" s="181" t="str">
        <f t="shared" si="36"/>
        <v/>
      </c>
      <c r="AM324" s="181" t="str">
        <f t="shared" si="37"/>
        <v/>
      </c>
      <c r="AN324" s="181" t="str">
        <f t="shared" si="38"/>
        <v/>
      </c>
      <c r="AO324" s="192" t="str">
        <f t="shared" si="39"/>
        <v/>
      </c>
      <c r="AQ324" t="str">
        <f>IFERROR(LOOKUP(2,1/((C_Pavement!$A$5:$A$204&lt;&gt;"")*(C_Pavement!$A$5:$A$204&lt;=$B324)*(C_Pavement!$B$5:$B$204&gt;$B324)*(C_Pavement!$C$5:$C$204&lt;&gt;"")),ROW(C_Pavement!$C$5:$C$204)-4),"")</f>
        <v/>
      </c>
      <c r="AR324" t="str">
        <f>IF($AQ324="","",UPPER(TRIM(INDEX(C_Pavement!$C$5:$C$204,$AQ324))))</f>
        <v/>
      </c>
      <c r="AS324" t="str">
        <f>IF($AR324="","",IFERROR(MATCH($AR324,E_Rules!$A$5:$A$9,0),""))</f>
        <v/>
      </c>
      <c r="AT324" t="str">
        <f>IF($AQ324="","",IF(INDEX(C_Pavement!$D$5:$D$204,$AQ324)&lt;&gt;"",UPPER(TRIM(INDEX(C_Pavement!$D$5:$D$204,$AQ324))),IF($AS324="","",INDEX(E_Rules!$C$5:$C$9,$AS324))))</f>
        <v/>
      </c>
      <c r="AU324" t="str">
        <f>IF($AQ324="","",IF(INDEX(C_Pavement!$E$5:$E$204,$AQ324)&lt;&gt;"",IF(INDEX(C_Pavement!$E$5:$E$204,$AQ324)="-","",INDEX(C_Pavement!$E$5:$E$204,$AQ324)),IF($AS324="","",INDEX(E_Rules!$D$5:$D$9,$AS324))))</f>
        <v/>
      </c>
      <c r="AV324" t="str">
        <f>IF($AQ324="","",IF(INDEX(C_Pavement!$F$5:$F$204,$AQ324)&lt;&gt;"",IF(INDEX(C_Pavement!$F$5:$F$204,$AQ324)="-","",INDEX(C_Pavement!$F$5:$F$204,$AQ324)),IF($AS324="","",INDEX(E_Rules!$E$5:$E$9,$AS324))))</f>
        <v/>
      </c>
      <c r="AW324" t="str">
        <f>IF($AQ324="","",IF(INDEX(C_Pavement!$G$5:$G$204,$AQ324)&lt;&gt;"",IF(INDEX(C_Pavement!$G$5:$G$204,$AQ324)="-","",INDEX(C_Pavement!$G$5:$G$204,$AQ324)),IF($AS324="","",INDEX(E_Rules!$F$5:$F$9,$AS324))))</f>
        <v/>
      </c>
      <c r="AX324" t="str">
        <f>IF($AQ324="","",IF(INDEX(C_Pavement!$H$5:$H$204,$AQ324)&lt;&gt;"",IF(INDEX(C_Pavement!$H$5:$H$204,$AQ324)="-","",INDEX(C_Pavement!$H$5:$H$204,$AQ324)),IF($AS324="","",INDEX(E_Rules!$G$5:$G$9,$AS324))))</f>
        <v/>
      </c>
      <c r="AY324" t="str">
        <f>IF($AQ324="","",IF(INDEX(C_Pavement!$I$5:$I$204,$AQ324)&lt;&gt;"",IF(INDEX(C_Pavement!$I$5:$I$204,$AQ324)="-","",INDEX(C_Pavement!$I$5:$I$204,$AQ324)),IF($AS324="","",INDEX(E_Rules!$H$5:$H$9,$AS324))))</f>
        <v/>
      </c>
    </row>
    <row r="325" spans="1:51" ht="15.75" customHeight="1" x14ac:dyDescent="0.3">
      <c r="A325" s="189">
        <v>320</v>
      </c>
      <c r="B325" s="180">
        <v>15950</v>
      </c>
      <c r="C325" s="180" t="s">
        <v>631</v>
      </c>
      <c r="D325" s="181" t="str">
        <f>IFERROR(LOOKUP(2,1/((A_Corridor!$A$5:$A$204&lt;&gt;"")*(A_Corridor!$A$5:$A$204&lt;=$B325)*(A_Corridor!$B$5:$B$204&gt;$B325)*(A_Corridor!$C$5:$C$204&lt;&gt;"")),IF(UPPER(A_Corridor!$C$5:$C$204)="Y",1,"")),"")</f>
        <v/>
      </c>
      <c r="E325" s="181" t="str">
        <f>IFERROR(LOOKUP(2,1/((A_Corridor!$A$5:$A$204&lt;&gt;"")*(A_Corridor!$A$5:$A$204&lt;=$B325)*(A_Corridor!$B$5:$B$204&gt;$B325)*(A_Corridor!$D$5:$D$204&lt;&gt;"")),IF(A_Corridor!$D$5:$D$204="-","",UPPER(A_Corridor!$D$5:$D$204))),"")</f>
        <v/>
      </c>
      <c r="F325" s="181" t="str">
        <f>IFERROR(LOOKUP(2,1/((A_Corridor!$A$5:$A$204&lt;&gt;"")*(A_Corridor!$A$5:$A$204&lt;=$B325)*(A_Corridor!$B$5:$B$204&gt;$B325)*(A_Corridor!$E$5:$E$204&lt;&gt;"")),IF(A_Corridor!$E$5:$E$204="-","",1)),"")</f>
        <v/>
      </c>
      <c r="G325" s="182" t="str">
        <f>IFERROR(LOOKUP(2,1/((A_Corridor!$A$5:$A$204&lt;&gt;"")*(A_Corridor!$A$5:$A$204&lt;=$B325)*(A_Corridor!$B$5:$B$204&gt;$B325)*(A_Corridor!$E$5:$E$204&lt;&gt;"")),IF(A_Corridor!$E$5:$E$204="-","",A_Corridor!$E$5:$E$204)),"")</f>
        <v/>
      </c>
      <c r="H325" s="182" t="str">
        <f>IFERROR(LOOKUP(2,1/((D_Points!$A$5:$A$204&lt;&gt;"")*(D_Points!$A$5:$A$204&gt;=$B325)*(D_Points!$A$5:$A$204&lt;$B325+P_Interval)*(UPPER(TRIM(D_Points!$B$5:$B$204))="GULLY")*(D_Points!$H$5:$H$204&lt;&gt;"")),D_Points!$H$5:$H$204),"")</f>
        <v/>
      </c>
      <c r="I325" s="181" t="str">
        <f>IFERROR(LOOKUP(2,1/((A_Corridor!$A$5:$A$204&lt;&gt;"")*(A_Corridor!$A$5:$A$204&lt;=$B325)*(A_Corridor!$B$5:$B$204&gt;$B325)*(A_Corridor!$F$5:$F$204&lt;&gt;"")),IF(A_Corridor!$F$5:$F$204="-","",1)),"")</f>
        <v/>
      </c>
      <c r="J325" s="182" t="str">
        <f>IFERROR(LOOKUP(2,1/((A_Corridor!$A$5:$A$204&lt;&gt;"")*(A_Corridor!$A$5:$A$204&lt;=$B325)*(A_Corridor!$B$5:$B$204&gt;$B325)*(A_Corridor!$F$5:$F$204&lt;&gt;"")),IF(A_Corridor!$F$5:$F$204="-","",A_Corridor!$F$5:$F$204)),"")</f>
        <v/>
      </c>
      <c r="K325" s="182" t="str">
        <f>IFERROR(LOOKUP(2,1/((A_Corridor!$A$5:$A$204&lt;&gt;"")*(A_Corridor!$A$5:$A$204&lt;=$B325)*(A_Corridor!$B$5:$B$204&gt;$B325)*(A_Corridor!$G$5:$G$204&lt;&gt;"")),IF(A_Corridor!$G$5:$G$204="-","",A_Corridor!$G$5:$G$204)),"")</f>
        <v/>
      </c>
      <c r="L325" s="181" t="str">
        <f>IFERROR(LOOKUP(2,1/((A_Corridor!$A$5:$A$204&lt;&gt;"")*(A_Corridor!$A$5:$A$204&lt;=$B325)*(A_Corridor!$B$5:$B$204&gt;$B325)*(A_Corridor!$H$5:$H$204&lt;&gt;"")),IF(A_Corridor!$H$5:$H$204="-","",1)),"")</f>
        <v/>
      </c>
      <c r="M325" s="182" t="str">
        <f>IFERROR(LOOKUP(2,1/((A_Corridor!$A$5:$A$204&lt;&gt;"")*(A_Corridor!$A$5:$A$204&lt;=$B325)*(A_Corridor!$B$5:$B$204&gt;$B325)*(A_Corridor!$H$5:$H$204&lt;&gt;"")),IF(A_Corridor!$H$5:$H$204="-","",A_Corridor!$H$5:$H$204)),"")</f>
        <v/>
      </c>
      <c r="N325" s="182" t="str">
        <f>IFERROR(LOOKUP(2,1/((A_Corridor!$A$5:$A$204&lt;&gt;"")*(A_Corridor!$A$5:$A$204&lt;=$B325)*(A_Corridor!$B$5:$B$204&gt;$B325)*(A_Corridor!$I$5:$I$204&lt;&gt;"")),IF(A_Corridor!$I$5:$I$204="-","",A_Corridor!$I$5:$I$204)),"")</f>
        <v/>
      </c>
      <c r="O325" s="182" t="str">
        <f>IFERROR(LOOKUP(2,1/((D_Points!$A$5:$A$204&lt;&gt;"")*(D_Points!$A$5:$A$204&gt;=$B325)*(D_Points!$A$5:$A$204&lt;$B325+P_Interval)*(UPPER(TRIM(D_Points!$B$5:$B$204))="PITCHING")*(D_Points!$H$5:$H$204&lt;&gt;"")),D_Points!$H$5:$H$204),"")</f>
        <v/>
      </c>
      <c r="P325" s="181" t="str">
        <f>IFERROR(LOOKUP(2,1/((B_Drainage!$A$5:$A$204&lt;&gt;"")*(B_Drainage!$A$5:$A$204&lt;=$B325)*(B_Drainage!$B$5:$B$204&gt;$B325)*(B_Drainage!$C$5:$C$204&lt;&gt;"")),IF(B_Drainage!$C$5:$C$204="-","",UPPER(B_Drainage!$C$5:$C$204))),"")</f>
        <v/>
      </c>
      <c r="Q325" s="181" t="str">
        <f>IFERROR(LOOKUP(2,1/((B_Drainage!$A$5:$A$204&lt;&gt;"")*(B_Drainage!$A$5:$A$204&lt;=$B325)*(B_Drainage!$B$5:$B$204&gt;$B325)*(B_Drainage!$D$5:$D$204&lt;&gt;"")),IF(B_Drainage!$D$5:$D$204="-","",UPPER(B_Drainage!$D$5:$D$204))),"")</f>
        <v/>
      </c>
      <c r="R325" s="182" t="str">
        <f>IFERROR(LOOKUP(2,1/((D_Points!$A$5:$A$204&lt;&gt;"")*(D_Points!$A$5:$A$204&gt;=$B325)*(D_Points!$A$5:$A$204&lt;$B325+P_Interval)*(RIGHT(UPPER(TRIM(D_Points!$B$5:$B$204)),8)="_CULVERT")),IF(LEFT(UPPER(TRIM(D_Points!$B$5:$B$204)),2)="EX",1,IF(LEFT(UPPER(TRIM(D_Points!$B$5:$B$204)),2)="PR",2,3))),"")</f>
        <v/>
      </c>
      <c r="S325" s="182" t="str">
        <f>IFERROR(LOOKUP(2,1/((D_Points!$A$5:$A$204&lt;&gt;"")*(D_Points!$A$5:$A$204&gt;=$B325)*(D_Points!$A$5:$A$204&lt;$B325+P_Interval)*(RIGHT(UPPER(TRIM(D_Points!$B$5:$B$204)),7)="_BRIDGE")),IF(LEFT(UPPER(TRIM(D_Points!$B$5:$B$204)),2)="EX",1,IF(LEFT(UPPER(TRIM(D_Points!$B$5:$B$204)),2)="PR",2,2))),"")</f>
        <v/>
      </c>
      <c r="T325" s="181" t="str">
        <f>IFERROR(LOOKUP(2,1/((B_Drainage!$A$5:$A$204&lt;&gt;"")*(B_Drainage!$A$5:$A$204&lt;=$B325)*(B_Drainage!$B$5:$B$204&gt;$B325)*(B_Drainage!$E$5:$E$204&lt;&gt;"")),IF(B_Drainage!$E$5:$E$204="-","",1)),"")</f>
        <v/>
      </c>
      <c r="U325" s="181" t="str">
        <f>IFERROR(LOOKUP(2,1/((B_Drainage!$A$5:$A$204&lt;&gt;"")*(B_Drainage!$A$5:$A$204&lt;=$B325)*(B_Drainage!$B$5:$B$204&gt;$B325)*(B_Drainage!$E$5:$E$204&lt;&gt;"")),IF(B_Drainage!$E$5:$E$204="-","",B_Drainage!$E$5:$E$204)),"")</f>
        <v/>
      </c>
      <c r="V325" s="181" t="str">
        <f>IFERROR(LOOKUP(2,1/((B_Drainage!$A$5:$A$204&lt;&gt;"")*(B_Drainage!$A$5:$A$204&lt;=$B325)*(B_Drainage!$B$5:$B$204&gt;$B325)*(B_Drainage!$F$5:$F$204&lt;&gt;"")),IF(B_Drainage!$F$5:$F$204="-","",1)),"")</f>
        <v/>
      </c>
      <c r="W325" s="181" t="str">
        <f>IFERROR(LOOKUP(2,1/((B_Drainage!$A$5:$A$204&lt;&gt;"")*(B_Drainage!$A$5:$A$204&lt;=$B325)*(B_Drainage!$B$5:$B$204&gt;$B325)*(B_Drainage!$F$5:$F$204&lt;&gt;"")),IF(B_Drainage!$F$5:$F$204="-","",B_Drainage!$F$5:$F$204)),"")</f>
        <v/>
      </c>
      <c r="X325" s="181" t="str">
        <f>IFERROR(LOOKUP(2,1/((B_Drainage!$A$5:$A$204&lt;&gt;"")*(B_Drainage!$A$5:$A$204&lt;=$B325)*(B_Drainage!$B$5:$B$204&gt;$B325)*(B_Drainage!$G$5:$G$204&lt;&gt;"")),IF(UPPER(B_Drainage!$G$5:$G$204)="Y",1,"")),"")</f>
        <v/>
      </c>
      <c r="Y325" s="181" t="str">
        <f>IFERROR(LOOKUP(2,1/((B_Drainage!$A$5:$A$204&lt;&gt;"")*(B_Drainage!$A$5:$A$204&lt;=$B325)*(B_Drainage!$B$5:$B$204&gt;$B325)*(B_Drainage!$H$5:$H$204&lt;&gt;"")),IF(UPPER(B_Drainage!$H$5:$H$204)="Y",1,"")),"")</f>
        <v/>
      </c>
      <c r="Z325" s="181" t="str">
        <f>IFERROR(LOOKUP(2,1/((B_Drainage!$A$5:$A$204&lt;&gt;"")*(B_Drainage!$A$5:$A$204&lt;=$B325)*(B_Drainage!$B$5:$B$204&gt;$B325)*(B_Drainage!$I$5:$I$204&lt;&gt;"")),IF(UPPER(B_Drainage!$I$5:$I$204)="Y",1,"")),"")</f>
        <v/>
      </c>
      <c r="AA325" s="181" t="str">
        <f>IFERROR(LOOKUP(2,1/((B_Drainage!$A$5:$A$204&lt;&gt;"")*(B_Drainage!$A$5:$A$204&lt;=$B325)*(B_Drainage!$B$5:$B$204&gt;$B325)*(B_Drainage!$J$5:$J$204&lt;&gt;"")),IF(UPPER(B_Drainage!$J$5:$J$204)="Y",1,"")),"")</f>
        <v/>
      </c>
      <c r="AB325" s="182" t="str">
        <f>IFERROR(LOOKUP(2,1/((B_Drainage!$A$5:$A$204&lt;&gt;"")*(B_Drainage!$A$5:$A$204&lt;=$B325)*(B_Drainage!$B$5:$B$204&gt;$B325)*(B_Drainage!$K$5:$K$204&lt;&gt;"")),IF(B_Drainage!$K$5:$K$204="-","",B_Drainage!$K$5:$K$204)),"")</f>
        <v/>
      </c>
      <c r="AC325" s="182" t="str">
        <f>IFERROR(LOOKUP(2,1/((B_Drainage!$A$5:$A$204&lt;&gt;"")*(B_Drainage!$A$5:$A$204&lt;=$B325)*(B_Drainage!$B$5:$B$204&gt;$B325)*(B_Drainage!$L$5:$L$204&lt;&gt;"")),IF(B_Drainage!$L$5:$L$204="-","",B_Drainage!$L$5:$L$204)),"")</f>
        <v/>
      </c>
      <c r="AD325" s="182" t="str">
        <f>IFERROR(LOOKUP(2,1/((D_Points!$A$5:$A$204&lt;&gt;"")*(D_Points!$A$5:$A$204&gt;=$B325)*(D_Points!$A$5:$A$204&lt;$B325+P_Interval)*(UPPER(TRIM(D_Points!$B$5:$B$204))="TURNOUT_L")*(D_Points!$H$5:$H$204&lt;&gt;"")),D_Points!$H$5:$H$204),"")</f>
        <v/>
      </c>
      <c r="AE325" s="182" t="str">
        <f>IFERROR(LOOKUP(2,1/((D_Points!$A$5:$A$204&lt;&gt;"")*(D_Points!$A$5:$A$204&gt;=$B325)*(D_Points!$A$5:$A$204&lt;$B325+P_Interval)*(UPPER(TRIM(D_Points!$B$5:$B$204))="TURNOUT_R")*(D_Points!$H$5:$H$204&lt;&gt;"")),D_Points!$H$5:$H$204),"")</f>
        <v/>
      </c>
      <c r="AF325" s="181" t="str">
        <f>IFERROR(LOOKUP(2,1/((B_Drainage!$A$5:$A$204&lt;&gt;"")*(B_Drainage!$A$5:$A$204&lt;=$B325)*(B_Drainage!$B$5:$B$204&gt;$B325)*(B_Drainage!$M$5:$M$204&lt;&gt;"")),IF(UPPER(B_Drainage!$M$5:$M$204)="Y",1,"")),"")</f>
        <v/>
      </c>
      <c r="AG325" s="181" t="str">
        <f>IFERROR(LOOKUP(2,1/((B_Drainage!$A$5:$A$204&lt;&gt;"")*(B_Drainage!$A$5:$A$204&lt;=$B325)*(B_Drainage!$B$5:$B$204&gt;$B325)*(B_Drainage!$N$5:$N$204&lt;&gt;"")),IF(UPPER(B_Drainage!$N$5:$N$204)="Y",1,"")),"")</f>
        <v/>
      </c>
      <c r="AH325" s="181" t="str">
        <f t="shared" si="32"/>
        <v/>
      </c>
      <c r="AI325" s="181" t="str">
        <f t="shared" si="33"/>
        <v/>
      </c>
      <c r="AJ325" s="181" t="str">
        <f t="shared" si="34"/>
        <v/>
      </c>
      <c r="AK325" s="181" t="str">
        <f t="shared" si="35"/>
        <v/>
      </c>
      <c r="AL325" s="181" t="str">
        <f t="shared" si="36"/>
        <v/>
      </c>
      <c r="AM325" s="181" t="str">
        <f t="shared" si="37"/>
        <v/>
      </c>
      <c r="AN325" s="181" t="str">
        <f t="shared" si="38"/>
        <v/>
      </c>
      <c r="AO325" s="192" t="str">
        <f t="shared" si="39"/>
        <v/>
      </c>
      <c r="AQ325" t="str">
        <f>IFERROR(LOOKUP(2,1/((C_Pavement!$A$5:$A$204&lt;&gt;"")*(C_Pavement!$A$5:$A$204&lt;=$B325)*(C_Pavement!$B$5:$B$204&gt;$B325)*(C_Pavement!$C$5:$C$204&lt;&gt;"")),ROW(C_Pavement!$C$5:$C$204)-4),"")</f>
        <v/>
      </c>
      <c r="AR325" t="str">
        <f>IF($AQ325="","",UPPER(TRIM(INDEX(C_Pavement!$C$5:$C$204,$AQ325))))</f>
        <v/>
      </c>
      <c r="AS325" t="str">
        <f>IF($AR325="","",IFERROR(MATCH($AR325,E_Rules!$A$5:$A$9,0),""))</f>
        <v/>
      </c>
      <c r="AT325" t="str">
        <f>IF($AQ325="","",IF(INDEX(C_Pavement!$D$5:$D$204,$AQ325)&lt;&gt;"",UPPER(TRIM(INDEX(C_Pavement!$D$5:$D$204,$AQ325))),IF($AS325="","",INDEX(E_Rules!$C$5:$C$9,$AS325))))</f>
        <v/>
      </c>
      <c r="AU325" t="str">
        <f>IF($AQ325="","",IF(INDEX(C_Pavement!$E$5:$E$204,$AQ325)&lt;&gt;"",IF(INDEX(C_Pavement!$E$5:$E$204,$AQ325)="-","",INDEX(C_Pavement!$E$5:$E$204,$AQ325)),IF($AS325="","",INDEX(E_Rules!$D$5:$D$9,$AS325))))</f>
        <v/>
      </c>
      <c r="AV325" t="str">
        <f>IF($AQ325="","",IF(INDEX(C_Pavement!$F$5:$F$204,$AQ325)&lt;&gt;"",IF(INDEX(C_Pavement!$F$5:$F$204,$AQ325)="-","",INDEX(C_Pavement!$F$5:$F$204,$AQ325)),IF($AS325="","",INDEX(E_Rules!$E$5:$E$9,$AS325))))</f>
        <v/>
      </c>
      <c r="AW325" t="str">
        <f>IF($AQ325="","",IF(INDEX(C_Pavement!$G$5:$G$204,$AQ325)&lt;&gt;"",IF(INDEX(C_Pavement!$G$5:$G$204,$AQ325)="-","",INDEX(C_Pavement!$G$5:$G$204,$AQ325)),IF($AS325="","",INDEX(E_Rules!$F$5:$F$9,$AS325))))</f>
        <v/>
      </c>
      <c r="AX325" t="str">
        <f>IF($AQ325="","",IF(INDEX(C_Pavement!$H$5:$H$204,$AQ325)&lt;&gt;"",IF(INDEX(C_Pavement!$H$5:$H$204,$AQ325)="-","",INDEX(C_Pavement!$H$5:$H$204,$AQ325)),IF($AS325="","",INDEX(E_Rules!$G$5:$G$9,$AS325))))</f>
        <v/>
      </c>
      <c r="AY325" t="str">
        <f>IF($AQ325="","",IF(INDEX(C_Pavement!$I$5:$I$204,$AQ325)&lt;&gt;"",IF(INDEX(C_Pavement!$I$5:$I$204,$AQ325)="-","",INDEX(C_Pavement!$I$5:$I$204,$AQ325)),IF($AS325="","",INDEX(E_Rules!$H$5:$H$9,$AS325))))</f>
        <v/>
      </c>
    </row>
    <row r="326" spans="1:51" ht="15.75" customHeight="1" x14ac:dyDescent="0.3">
      <c r="A326" s="189">
        <v>321</v>
      </c>
      <c r="B326" s="180">
        <v>16000</v>
      </c>
      <c r="C326" s="180" t="s">
        <v>632</v>
      </c>
      <c r="D326" s="181" t="str">
        <f>IFERROR(LOOKUP(2,1/((A_Corridor!$A$5:$A$204&lt;&gt;"")*(A_Corridor!$A$5:$A$204&lt;=$B326)*(A_Corridor!$B$5:$B$204&gt;$B326)*(A_Corridor!$C$5:$C$204&lt;&gt;"")),IF(UPPER(A_Corridor!$C$5:$C$204)="Y",1,"")),"")</f>
        <v/>
      </c>
      <c r="E326" s="181" t="str">
        <f>IFERROR(LOOKUP(2,1/((A_Corridor!$A$5:$A$204&lt;&gt;"")*(A_Corridor!$A$5:$A$204&lt;=$B326)*(A_Corridor!$B$5:$B$204&gt;$B326)*(A_Corridor!$D$5:$D$204&lt;&gt;"")),IF(A_Corridor!$D$5:$D$204="-","",UPPER(A_Corridor!$D$5:$D$204))),"")</f>
        <v/>
      </c>
      <c r="F326" s="181" t="str">
        <f>IFERROR(LOOKUP(2,1/((A_Corridor!$A$5:$A$204&lt;&gt;"")*(A_Corridor!$A$5:$A$204&lt;=$B326)*(A_Corridor!$B$5:$B$204&gt;$B326)*(A_Corridor!$E$5:$E$204&lt;&gt;"")),IF(A_Corridor!$E$5:$E$204="-","",1)),"")</f>
        <v/>
      </c>
      <c r="G326" s="182" t="str">
        <f>IFERROR(LOOKUP(2,1/((A_Corridor!$A$5:$A$204&lt;&gt;"")*(A_Corridor!$A$5:$A$204&lt;=$B326)*(A_Corridor!$B$5:$B$204&gt;$B326)*(A_Corridor!$E$5:$E$204&lt;&gt;"")),IF(A_Corridor!$E$5:$E$204="-","",A_Corridor!$E$5:$E$204)),"")</f>
        <v/>
      </c>
      <c r="H326" s="182" t="str">
        <f>IFERROR(LOOKUP(2,1/((D_Points!$A$5:$A$204&lt;&gt;"")*(D_Points!$A$5:$A$204&gt;=$B326)*(D_Points!$A$5:$A$204&lt;$B326+P_Interval)*(UPPER(TRIM(D_Points!$B$5:$B$204))="GULLY")*(D_Points!$H$5:$H$204&lt;&gt;"")),D_Points!$H$5:$H$204),"")</f>
        <v/>
      </c>
      <c r="I326" s="181" t="str">
        <f>IFERROR(LOOKUP(2,1/((A_Corridor!$A$5:$A$204&lt;&gt;"")*(A_Corridor!$A$5:$A$204&lt;=$B326)*(A_Corridor!$B$5:$B$204&gt;$B326)*(A_Corridor!$F$5:$F$204&lt;&gt;"")),IF(A_Corridor!$F$5:$F$204="-","",1)),"")</f>
        <v/>
      </c>
      <c r="J326" s="182" t="str">
        <f>IFERROR(LOOKUP(2,1/((A_Corridor!$A$5:$A$204&lt;&gt;"")*(A_Corridor!$A$5:$A$204&lt;=$B326)*(A_Corridor!$B$5:$B$204&gt;$B326)*(A_Corridor!$F$5:$F$204&lt;&gt;"")),IF(A_Corridor!$F$5:$F$204="-","",A_Corridor!$F$5:$F$204)),"")</f>
        <v/>
      </c>
      <c r="K326" s="182" t="str">
        <f>IFERROR(LOOKUP(2,1/((A_Corridor!$A$5:$A$204&lt;&gt;"")*(A_Corridor!$A$5:$A$204&lt;=$B326)*(A_Corridor!$B$5:$B$204&gt;$B326)*(A_Corridor!$G$5:$G$204&lt;&gt;"")),IF(A_Corridor!$G$5:$G$204="-","",A_Corridor!$G$5:$G$204)),"")</f>
        <v/>
      </c>
      <c r="L326" s="181" t="str">
        <f>IFERROR(LOOKUP(2,1/((A_Corridor!$A$5:$A$204&lt;&gt;"")*(A_Corridor!$A$5:$A$204&lt;=$B326)*(A_Corridor!$B$5:$B$204&gt;$B326)*(A_Corridor!$H$5:$H$204&lt;&gt;"")),IF(A_Corridor!$H$5:$H$204="-","",1)),"")</f>
        <v/>
      </c>
      <c r="M326" s="182" t="str">
        <f>IFERROR(LOOKUP(2,1/((A_Corridor!$A$5:$A$204&lt;&gt;"")*(A_Corridor!$A$5:$A$204&lt;=$B326)*(A_Corridor!$B$5:$B$204&gt;$B326)*(A_Corridor!$H$5:$H$204&lt;&gt;"")),IF(A_Corridor!$H$5:$H$204="-","",A_Corridor!$H$5:$H$204)),"")</f>
        <v/>
      </c>
      <c r="N326" s="182" t="str">
        <f>IFERROR(LOOKUP(2,1/((A_Corridor!$A$5:$A$204&lt;&gt;"")*(A_Corridor!$A$5:$A$204&lt;=$B326)*(A_Corridor!$B$5:$B$204&gt;$B326)*(A_Corridor!$I$5:$I$204&lt;&gt;"")),IF(A_Corridor!$I$5:$I$204="-","",A_Corridor!$I$5:$I$204)),"")</f>
        <v/>
      </c>
      <c r="O326" s="182" t="str">
        <f>IFERROR(LOOKUP(2,1/((D_Points!$A$5:$A$204&lt;&gt;"")*(D_Points!$A$5:$A$204&gt;=$B326)*(D_Points!$A$5:$A$204&lt;$B326+P_Interval)*(UPPER(TRIM(D_Points!$B$5:$B$204))="PITCHING")*(D_Points!$H$5:$H$204&lt;&gt;"")),D_Points!$H$5:$H$204),"")</f>
        <v/>
      </c>
      <c r="P326" s="181" t="str">
        <f>IFERROR(LOOKUP(2,1/((B_Drainage!$A$5:$A$204&lt;&gt;"")*(B_Drainage!$A$5:$A$204&lt;=$B326)*(B_Drainage!$B$5:$B$204&gt;$B326)*(B_Drainage!$C$5:$C$204&lt;&gt;"")),IF(B_Drainage!$C$5:$C$204="-","",UPPER(B_Drainage!$C$5:$C$204))),"")</f>
        <v/>
      </c>
      <c r="Q326" s="181" t="str">
        <f>IFERROR(LOOKUP(2,1/((B_Drainage!$A$5:$A$204&lt;&gt;"")*(B_Drainage!$A$5:$A$204&lt;=$B326)*(B_Drainage!$B$5:$B$204&gt;$B326)*(B_Drainage!$D$5:$D$204&lt;&gt;"")),IF(B_Drainage!$D$5:$D$204="-","",UPPER(B_Drainage!$D$5:$D$204))),"")</f>
        <v/>
      </c>
      <c r="R326" s="182" t="str">
        <f>IFERROR(LOOKUP(2,1/((D_Points!$A$5:$A$204&lt;&gt;"")*(D_Points!$A$5:$A$204&gt;=$B326)*(D_Points!$A$5:$A$204&lt;$B326+P_Interval)*(RIGHT(UPPER(TRIM(D_Points!$B$5:$B$204)),8)="_CULVERT")),IF(LEFT(UPPER(TRIM(D_Points!$B$5:$B$204)),2)="EX",1,IF(LEFT(UPPER(TRIM(D_Points!$B$5:$B$204)),2)="PR",2,3))),"")</f>
        <v/>
      </c>
      <c r="S326" s="182" t="str">
        <f>IFERROR(LOOKUP(2,1/((D_Points!$A$5:$A$204&lt;&gt;"")*(D_Points!$A$5:$A$204&gt;=$B326)*(D_Points!$A$5:$A$204&lt;$B326+P_Interval)*(RIGHT(UPPER(TRIM(D_Points!$B$5:$B$204)),7)="_BRIDGE")),IF(LEFT(UPPER(TRIM(D_Points!$B$5:$B$204)),2)="EX",1,IF(LEFT(UPPER(TRIM(D_Points!$B$5:$B$204)),2)="PR",2,2))),"")</f>
        <v/>
      </c>
      <c r="T326" s="181" t="str">
        <f>IFERROR(LOOKUP(2,1/((B_Drainage!$A$5:$A$204&lt;&gt;"")*(B_Drainage!$A$5:$A$204&lt;=$B326)*(B_Drainage!$B$5:$B$204&gt;$B326)*(B_Drainage!$E$5:$E$204&lt;&gt;"")),IF(B_Drainage!$E$5:$E$204="-","",1)),"")</f>
        <v/>
      </c>
      <c r="U326" s="181" t="str">
        <f>IFERROR(LOOKUP(2,1/((B_Drainage!$A$5:$A$204&lt;&gt;"")*(B_Drainage!$A$5:$A$204&lt;=$B326)*(B_Drainage!$B$5:$B$204&gt;$B326)*(B_Drainage!$E$5:$E$204&lt;&gt;"")),IF(B_Drainage!$E$5:$E$204="-","",B_Drainage!$E$5:$E$204)),"")</f>
        <v/>
      </c>
      <c r="V326" s="181" t="str">
        <f>IFERROR(LOOKUP(2,1/((B_Drainage!$A$5:$A$204&lt;&gt;"")*(B_Drainage!$A$5:$A$204&lt;=$B326)*(B_Drainage!$B$5:$B$204&gt;$B326)*(B_Drainage!$F$5:$F$204&lt;&gt;"")),IF(B_Drainage!$F$5:$F$204="-","",1)),"")</f>
        <v/>
      </c>
      <c r="W326" s="181" t="str">
        <f>IFERROR(LOOKUP(2,1/((B_Drainage!$A$5:$A$204&lt;&gt;"")*(B_Drainage!$A$5:$A$204&lt;=$B326)*(B_Drainage!$B$5:$B$204&gt;$B326)*(B_Drainage!$F$5:$F$204&lt;&gt;"")),IF(B_Drainage!$F$5:$F$204="-","",B_Drainage!$F$5:$F$204)),"")</f>
        <v/>
      </c>
      <c r="X326" s="181" t="str">
        <f>IFERROR(LOOKUP(2,1/((B_Drainage!$A$5:$A$204&lt;&gt;"")*(B_Drainage!$A$5:$A$204&lt;=$B326)*(B_Drainage!$B$5:$B$204&gt;$B326)*(B_Drainage!$G$5:$G$204&lt;&gt;"")),IF(UPPER(B_Drainage!$G$5:$G$204)="Y",1,"")),"")</f>
        <v/>
      </c>
      <c r="Y326" s="181" t="str">
        <f>IFERROR(LOOKUP(2,1/((B_Drainage!$A$5:$A$204&lt;&gt;"")*(B_Drainage!$A$5:$A$204&lt;=$B326)*(B_Drainage!$B$5:$B$204&gt;$B326)*(B_Drainage!$H$5:$H$204&lt;&gt;"")),IF(UPPER(B_Drainage!$H$5:$H$204)="Y",1,"")),"")</f>
        <v/>
      </c>
      <c r="Z326" s="181" t="str">
        <f>IFERROR(LOOKUP(2,1/((B_Drainage!$A$5:$A$204&lt;&gt;"")*(B_Drainage!$A$5:$A$204&lt;=$B326)*(B_Drainage!$B$5:$B$204&gt;$B326)*(B_Drainage!$I$5:$I$204&lt;&gt;"")),IF(UPPER(B_Drainage!$I$5:$I$204)="Y",1,"")),"")</f>
        <v/>
      </c>
      <c r="AA326" s="181" t="str">
        <f>IFERROR(LOOKUP(2,1/((B_Drainage!$A$5:$A$204&lt;&gt;"")*(B_Drainage!$A$5:$A$204&lt;=$B326)*(B_Drainage!$B$5:$B$204&gt;$B326)*(B_Drainage!$J$5:$J$204&lt;&gt;"")),IF(UPPER(B_Drainage!$J$5:$J$204)="Y",1,"")),"")</f>
        <v/>
      </c>
      <c r="AB326" s="182" t="str">
        <f>IFERROR(LOOKUP(2,1/((B_Drainage!$A$5:$A$204&lt;&gt;"")*(B_Drainage!$A$5:$A$204&lt;=$B326)*(B_Drainage!$B$5:$B$204&gt;$B326)*(B_Drainage!$K$5:$K$204&lt;&gt;"")),IF(B_Drainage!$K$5:$K$204="-","",B_Drainage!$K$5:$K$204)),"")</f>
        <v/>
      </c>
      <c r="AC326" s="182" t="str">
        <f>IFERROR(LOOKUP(2,1/((B_Drainage!$A$5:$A$204&lt;&gt;"")*(B_Drainage!$A$5:$A$204&lt;=$B326)*(B_Drainage!$B$5:$B$204&gt;$B326)*(B_Drainage!$L$5:$L$204&lt;&gt;"")),IF(B_Drainage!$L$5:$L$204="-","",B_Drainage!$L$5:$L$204)),"")</f>
        <v/>
      </c>
      <c r="AD326" s="182" t="str">
        <f>IFERROR(LOOKUP(2,1/((D_Points!$A$5:$A$204&lt;&gt;"")*(D_Points!$A$5:$A$204&gt;=$B326)*(D_Points!$A$5:$A$204&lt;$B326+P_Interval)*(UPPER(TRIM(D_Points!$B$5:$B$204))="TURNOUT_L")*(D_Points!$H$5:$H$204&lt;&gt;"")),D_Points!$H$5:$H$204),"")</f>
        <v/>
      </c>
      <c r="AE326" s="182" t="str">
        <f>IFERROR(LOOKUP(2,1/((D_Points!$A$5:$A$204&lt;&gt;"")*(D_Points!$A$5:$A$204&gt;=$B326)*(D_Points!$A$5:$A$204&lt;$B326+P_Interval)*(UPPER(TRIM(D_Points!$B$5:$B$204))="TURNOUT_R")*(D_Points!$H$5:$H$204&lt;&gt;"")),D_Points!$H$5:$H$204),"")</f>
        <v/>
      </c>
      <c r="AF326" s="181" t="str">
        <f>IFERROR(LOOKUP(2,1/((B_Drainage!$A$5:$A$204&lt;&gt;"")*(B_Drainage!$A$5:$A$204&lt;=$B326)*(B_Drainage!$B$5:$B$204&gt;$B326)*(B_Drainage!$M$5:$M$204&lt;&gt;"")),IF(UPPER(B_Drainage!$M$5:$M$204)="Y",1,"")),"")</f>
        <v/>
      </c>
      <c r="AG326" s="181" t="str">
        <f>IFERROR(LOOKUP(2,1/((B_Drainage!$A$5:$A$204&lt;&gt;"")*(B_Drainage!$A$5:$A$204&lt;=$B326)*(B_Drainage!$B$5:$B$204&gt;$B326)*(B_Drainage!$N$5:$N$204&lt;&gt;"")),IF(UPPER(B_Drainage!$N$5:$N$204)="Y",1,"")),"")</f>
        <v/>
      </c>
      <c r="AH326" s="181" t="str">
        <f t="shared" ref="AH326:AH389" si="40">IF($AT326="BLADE",1,"")</f>
        <v/>
      </c>
      <c r="AI326" s="181" t="str">
        <f t="shared" ref="AI326:AI389" si="41">IF($AT326="RESHAPE",1,"")</f>
        <v/>
      </c>
      <c r="AJ326" s="181" t="str">
        <f t="shared" ref="AJ326:AJ389" si="42">IF($AT326="SCARIFY",1,"")</f>
        <v/>
      </c>
      <c r="AK326" s="181" t="str">
        <f t="shared" ref="AK326:AK389" si="43">$AU326</f>
        <v/>
      </c>
      <c r="AL326" s="181" t="str">
        <f t="shared" ref="AL326:AL389" si="44">$AV326</f>
        <v/>
      </c>
      <c r="AM326" s="181" t="str">
        <f t="shared" ref="AM326:AM389" si="45">IF(OR(UPPER($AW326)="Y",$AW326=1),1,"")</f>
        <v/>
      </c>
      <c r="AN326" s="181" t="str">
        <f t="shared" ref="AN326:AN389" si="46">IF(OR(UPPER($AX326)="Y",$AX326=1),1,"")</f>
        <v/>
      </c>
      <c r="AO326" s="192" t="str">
        <f t="shared" ref="AO326:AO389" si="47">IF(OR(UPPER($AY326)="Y",$AY326=1),1,"")</f>
        <v/>
      </c>
      <c r="AQ326" t="str">
        <f>IFERROR(LOOKUP(2,1/((C_Pavement!$A$5:$A$204&lt;&gt;"")*(C_Pavement!$A$5:$A$204&lt;=$B326)*(C_Pavement!$B$5:$B$204&gt;$B326)*(C_Pavement!$C$5:$C$204&lt;&gt;"")),ROW(C_Pavement!$C$5:$C$204)-4),"")</f>
        <v/>
      </c>
      <c r="AR326" t="str">
        <f>IF($AQ326="","",UPPER(TRIM(INDEX(C_Pavement!$C$5:$C$204,$AQ326))))</f>
        <v/>
      </c>
      <c r="AS326" t="str">
        <f>IF($AR326="","",IFERROR(MATCH($AR326,E_Rules!$A$5:$A$9,0),""))</f>
        <v/>
      </c>
      <c r="AT326" t="str">
        <f>IF($AQ326="","",IF(INDEX(C_Pavement!$D$5:$D$204,$AQ326)&lt;&gt;"",UPPER(TRIM(INDEX(C_Pavement!$D$5:$D$204,$AQ326))),IF($AS326="","",INDEX(E_Rules!$C$5:$C$9,$AS326))))</f>
        <v/>
      </c>
      <c r="AU326" t="str">
        <f>IF($AQ326="","",IF(INDEX(C_Pavement!$E$5:$E$204,$AQ326)&lt;&gt;"",IF(INDEX(C_Pavement!$E$5:$E$204,$AQ326)="-","",INDEX(C_Pavement!$E$5:$E$204,$AQ326)),IF($AS326="","",INDEX(E_Rules!$D$5:$D$9,$AS326))))</f>
        <v/>
      </c>
      <c r="AV326" t="str">
        <f>IF($AQ326="","",IF(INDEX(C_Pavement!$F$5:$F$204,$AQ326)&lt;&gt;"",IF(INDEX(C_Pavement!$F$5:$F$204,$AQ326)="-","",INDEX(C_Pavement!$F$5:$F$204,$AQ326)),IF($AS326="","",INDEX(E_Rules!$E$5:$E$9,$AS326))))</f>
        <v/>
      </c>
      <c r="AW326" t="str">
        <f>IF($AQ326="","",IF(INDEX(C_Pavement!$G$5:$G$204,$AQ326)&lt;&gt;"",IF(INDEX(C_Pavement!$G$5:$G$204,$AQ326)="-","",INDEX(C_Pavement!$G$5:$G$204,$AQ326)),IF($AS326="","",INDEX(E_Rules!$F$5:$F$9,$AS326))))</f>
        <v/>
      </c>
      <c r="AX326" t="str">
        <f>IF($AQ326="","",IF(INDEX(C_Pavement!$H$5:$H$204,$AQ326)&lt;&gt;"",IF(INDEX(C_Pavement!$H$5:$H$204,$AQ326)="-","",INDEX(C_Pavement!$H$5:$H$204,$AQ326)),IF($AS326="","",INDEX(E_Rules!$G$5:$G$9,$AS326))))</f>
        <v/>
      </c>
      <c r="AY326" t="str">
        <f>IF($AQ326="","",IF(INDEX(C_Pavement!$I$5:$I$204,$AQ326)&lt;&gt;"",IF(INDEX(C_Pavement!$I$5:$I$204,$AQ326)="-","",INDEX(C_Pavement!$I$5:$I$204,$AQ326)),IF($AS326="","",INDEX(E_Rules!$H$5:$H$9,$AS326))))</f>
        <v/>
      </c>
    </row>
    <row r="327" spans="1:51" ht="15.75" customHeight="1" x14ac:dyDescent="0.3">
      <c r="A327" s="189">
        <v>322</v>
      </c>
      <c r="B327" s="180">
        <v>16050</v>
      </c>
      <c r="C327" s="180" t="s">
        <v>633</v>
      </c>
      <c r="D327" s="181" t="str">
        <f>IFERROR(LOOKUP(2,1/((A_Corridor!$A$5:$A$204&lt;&gt;"")*(A_Corridor!$A$5:$A$204&lt;=$B327)*(A_Corridor!$B$5:$B$204&gt;$B327)*(A_Corridor!$C$5:$C$204&lt;&gt;"")),IF(UPPER(A_Corridor!$C$5:$C$204)="Y",1,"")),"")</f>
        <v/>
      </c>
      <c r="E327" s="181" t="str">
        <f>IFERROR(LOOKUP(2,1/((A_Corridor!$A$5:$A$204&lt;&gt;"")*(A_Corridor!$A$5:$A$204&lt;=$B327)*(A_Corridor!$B$5:$B$204&gt;$B327)*(A_Corridor!$D$5:$D$204&lt;&gt;"")),IF(A_Corridor!$D$5:$D$204="-","",UPPER(A_Corridor!$D$5:$D$204))),"")</f>
        <v/>
      </c>
      <c r="F327" s="181" t="str">
        <f>IFERROR(LOOKUP(2,1/((A_Corridor!$A$5:$A$204&lt;&gt;"")*(A_Corridor!$A$5:$A$204&lt;=$B327)*(A_Corridor!$B$5:$B$204&gt;$B327)*(A_Corridor!$E$5:$E$204&lt;&gt;"")),IF(A_Corridor!$E$5:$E$204="-","",1)),"")</f>
        <v/>
      </c>
      <c r="G327" s="182" t="str">
        <f>IFERROR(LOOKUP(2,1/((A_Corridor!$A$5:$A$204&lt;&gt;"")*(A_Corridor!$A$5:$A$204&lt;=$B327)*(A_Corridor!$B$5:$B$204&gt;$B327)*(A_Corridor!$E$5:$E$204&lt;&gt;"")),IF(A_Corridor!$E$5:$E$204="-","",A_Corridor!$E$5:$E$204)),"")</f>
        <v/>
      </c>
      <c r="H327" s="182" t="str">
        <f>IFERROR(LOOKUP(2,1/((D_Points!$A$5:$A$204&lt;&gt;"")*(D_Points!$A$5:$A$204&gt;=$B327)*(D_Points!$A$5:$A$204&lt;$B327+P_Interval)*(UPPER(TRIM(D_Points!$B$5:$B$204))="GULLY")*(D_Points!$H$5:$H$204&lt;&gt;"")),D_Points!$H$5:$H$204),"")</f>
        <v/>
      </c>
      <c r="I327" s="181" t="str">
        <f>IFERROR(LOOKUP(2,1/((A_Corridor!$A$5:$A$204&lt;&gt;"")*(A_Corridor!$A$5:$A$204&lt;=$B327)*(A_Corridor!$B$5:$B$204&gt;$B327)*(A_Corridor!$F$5:$F$204&lt;&gt;"")),IF(A_Corridor!$F$5:$F$204="-","",1)),"")</f>
        <v/>
      </c>
      <c r="J327" s="182" t="str">
        <f>IFERROR(LOOKUP(2,1/((A_Corridor!$A$5:$A$204&lt;&gt;"")*(A_Corridor!$A$5:$A$204&lt;=$B327)*(A_Corridor!$B$5:$B$204&gt;$B327)*(A_Corridor!$F$5:$F$204&lt;&gt;"")),IF(A_Corridor!$F$5:$F$204="-","",A_Corridor!$F$5:$F$204)),"")</f>
        <v/>
      </c>
      <c r="K327" s="182" t="str">
        <f>IFERROR(LOOKUP(2,1/((A_Corridor!$A$5:$A$204&lt;&gt;"")*(A_Corridor!$A$5:$A$204&lt;=$B327)*(A_Corridor!$B$5:$B$204&gt;$B327)*(A_Corridor!$G$5:$G$204&lt;&gt;"")),IF(A_Corridor!$G$5:$G$204="-","",A_Corridor!$G$5:$G$204)),"")</f>
        <v/>
      </c>
      <c r="L327" s="181" t="str">
        <f>IFERROR(LOOKUP(2,1/((A_Corridor!$A$5:$A$204&lt;&gt;"")*(A_Corridor!$A$5:$A$204&lt;=$B327)*(A_Corridor!$B$5:$B$204&gt;$B327)*(A_Corridor!$H$5:$H$204&lt;&gt;"")),IF(A_Corridor!$H$5:$H$204="-","",1)),"")</f>
        <v/>
      </c>
      <c r="M327" s="182" t="str">
        <f>IFERROR(LOOKUP(2,1/((A_Corridor!$A$5:$A$204&lt;&gt;"")*(A_Corridor!$A$5:$A$204&lt;=$B327)*(A_Corridor!$B$5:$B$204&gt;$B327)*(A_Corridor!$H$5:$H$204&lt;&gt;"")),IF(A_Corridor!$H$5:$H$204="-","",A_Corridor!$H$5:$H$204)),"")</f>
        <v/>
      </c>
      <c r="N327" s="182" t="str">
        <f>IFERROR(LOOKUP(2,1/((A_Corridor!$A$5:$A$204&lt;&gt;"")*(A_Corridor!$A$5:$A$204&lt;=$B327)*(A_Corridor!$B$5:$B$204&gt;$B327)*(A_Corridor!$I$5:$I$204&lt;&gt;"")),IF(A_Corridor!$I$5:$I$204="-","",A_Corridor!$I$5:$I$204)),"")</f>
        <v/>
      </c>
      <c r="O327" s="182" t="str">
        <f>IFERROR(LOOKUP(2,1/((D_Points!$A$5:$A$204&lt;&gt;"")*(D_Points!$A$5:$A$204&gt;=$B327)*(D_Points!$A$5:$A$204&lt;$B327+P_Interval)*(UPPER(TRIM(D_Points!$B$5:$B$204))="PITCHING")*(D_Points!$H$5:$H$204&lt;&gt;"")),D_Points!$H$5:$H$204),"")</f>
        <v/>
      </c>
      <c r="P327" s="181" t="str">
        <f>IFERROR(LOOKUP(2,1/((B_Drainage!$A$5:$A$204&lt;&gt;"")*(B_Drainage!$A$5:$A$204&lt;=$B327)*(B_Drainage!$B$5:$B$204&gt;$B327)*(B_Drainage!$C$5:$C$204&lt;&gt;"")),IF(B_Drainage!$C$5:$C$204="-","",UPPER(B_Drainage!$C$5:$C$204))),"")</f>
        <v/>
      </c>
      <c r="Q327" s="181" t="str">
        <f>IFERROR(LOOKUP(2,1/((B_Drainage!$A$5:$A$204&lt;&gt;"")*(B_Drainage!$A$5:$A$204&lt;=$B327)*(B_Drainage!$B$5:$B$204&gt;$B327)*(B_Drainage!$D$5:$D$204&lt;&gt;"")),IF(B_Drainage!$D$5:$D$204="-","",UPPER(B_Drainage!$D$5:$D$204))),"")</f>
        <v/>
      </c>
      <c r="R327" s="182" t="str">
        <f>IFERROR(LOOKUP(2,1/((D_Points!$A$5:$A$204&lt;&gt;"")*(D_Points!$A$5:$A$204&gt;=$B327)*(D_Points!$A$5:$A$204&lt;$B327+P_Interval)*(RIGHT(UPPER(TRIM(D_Points!$B$5:$B$204)),8)="_CULVERT")),IF(LEFT(UPPER(TRIM(D_Points!$B$5:$B$204)),2)="EX",1,IF(LEFT(UPPER(TRIM(D_Points!$B$5:$B$204)),2)="PR",2,3))),"")</f>
        <v/>
      </c>
      <c r="S327" s="182" t="str">
        <f>IFERROR(LOOKUP(2,1/((D_Points!$A$5:$A$204&lt;&gt;"")*(D_Points!$A$5:$A$204&gt;=$B327)*(D_Points!$A$5:$A$204&lt;$B327+P_Interval)*(RIGHT(UPPER(TRIM(D_Points!$B$5:$B$204)),7)="_BRIDGE")),IF(LEFT(UPPER(TRIM(D_Points!$B$5:$B$204)),2)="EX",1,IF(LEFT(UPPER(TRIM(D_Points!$B$5:$B$204)),2)="PR",2,2))),"")</f>
        <v/>
      </c>
      <c r="T327" s="181" t="str">
        <f>IFERROR(LOOKUP(2,1/((B_Drainage!$A$5:$A$204&lt;&gt;"")*(B_Drainage!$A$5:$A$204&lt;=$B327)*(B_Drainage!$B$5:$B$204&gt;$B327)*(B_Drainage!$E$5:$E$204&lt;&gt;"")),IF(B_Drainage!$E$5:$E$204="-","",1)),"")</f>
        <v/>
      </c>
      <c r="U327" s="181" t="str">
        <f>IFERROR(LOOKUP(2,1/((B_Drainage!$A$5:$A$204&lt;&gt;"")*(B_Drainage!$A$5:$A$204&lt;=$B327)*(B_Drainage!$B$5:$B$204&gt;$B327)*(B_Drainage!$E$5:$E$204&lt;&gt;"")),IF(B_Drainage!$E$5:$E$204="-","",B_Drainage!$E$5:$E$204)),"")</f>
        <v/>
      </c>
      <c r="V327" s="181" t="str">
        <f>IFERROR(LOOKUP(2,1/((B_Drainage!$A$5:$A$204&lt;&gt;"")*(B_Drainage!$A$5:$A$204&lt;=$B327)*(B_Drainage!$B$5:$B$204&gt;$B327)*(B_Drainage!$F$5:$F$204&lt;&gt;"")),IF(B_Drainage!$F$5:$F$204="-","",1)),"")</f>
        <v/>
      </c>
      <c r="W327" s="181" t="str">
        <f>IFERROR(LOOKUP(2,1/((B_Drainage!$A$5:$A$204&lt;&gt;"")*(B_Drainage!$A$5:$A$204&lt;=$B327)*(B_Drainage!$B$5:$B$204&gt;$B327)*(B_Drainage!$F$5:$F$204&lt;&gt;"")),IF(B_Drainage!$F$5:$F$204="-","",B_Drainage!$F$5:$F$204)),"")</f>
        <v/>
      </c>
      <c r="X327" s="181" t="str">
        <f>IFERROR(LOOKUP(2,1/((B_Drainage!$A$5:$A$204&lt;&gt;"")*(B_Drainage!$A$5:$A$204&lt;=$B327)*(B_Drainage!$B$5:$B$204&gt;$B327)*(B_Drainage!$G$5:$G$204&lt;&gt;"")),IF(UPPER(B_Drainage!$G$5:$G$204)="Y",1,"")),"")</f>
        <v/>
      </c>
      <c r="Y327" s="181" t="str">
        <f>IFERROR(LOOKUP(2,1/((B_Drainage!$A$5:$A$204&lt;&gt;"")*(B_Drainage!$A$5:$A$204&lt;=$B327)*(B_Drainage!$B$5:$B$204&gt;$B327)*(B_Drainage!$H$5:$H$204&lt;&gt;"")),IF(UPPER(B_Drainage!$H$5:$H$204)="Y",1,"")),"")</f>
        <v/>
      </c>
      <c r="Z327" s="181" t="str">
        <f>IFERROR(LOOKUP(2,1/((B_Drainage!$A$5:$A$204&lt;&gt;"")*(B_Drainage!$A$5:$A$204&lt;=$B327)*(B_Drainage!$B$5:$B$204&gt;$B327)*(B_Drainage!$I$5:$I$204&lt;&gt;"")),IF(UPPER(B_Drainage!$I$5:$I$204)="Y",1,"")),"")</f>
        <v/>
      </c>
      <c r="AA327" s="181" t="str">
        <f>IFERROR(LOOKUP(2,1/((B_Drainage!$A$5:$A$204&lt;&gt;"")*(B_Drainage!$A$5:$A$204&lt;=$B327)*(B_Drainage!$B$5:$B$204&gt;$B327)*(B_Drainage!$J$5:$J$204&lt;&gt;"")),IF(UPPER(B_Drainage!$J$5:$J$204)="Y",1,"")),"")</f>
        <v/>
      </c>
      <c r="AB327" s="182" t="str">
        <f>IFERROR(LOOKUP(2,1/((B_Drainage!$A$5:$A$204&lt;&gt;"")*(B_Drainage!$A$5:$A$204&lt;=$B327)*(B_Drainage!$B$5:$B$204&gt;$B327)*(B_Drainage!$K$5:$K$204&lt;&gt;"")),IF(B_Drainage!$K$5:$K$204="-","",B_Drainage!$K$5:$K$204)),"")</f>
        <v/>
      </c>
      <c r="AC327" s="182" t="str">
        <f>IFERROR(LOOKUP(2,1/((B_Drainage!$A$5:$A$204&lt;&gt;"")*(B_Drainage!$A$5:$A$204&lt;=$B327)*(B_Drainage!$B$5:$B$204&gt;$B327)*(B_Drainage!$L$5:$L$204&lt;&gt;"")),IF(B_Drainage!$L$5:$L$204="-","",B_Drainage!$L$5:$L$204)),"")</f>
        <v/>
      </c>
      <c r="AD327" s="182" t="str">
        <f>IFERROR(LOOKUP(2,1/((D_Points!$A$5:$A$204&lt;&gt;"")*(D_Points!$A$5:$A$204&gt;=$B327)*(D_Points!$A$5:$A$204&lt;$B327+P_Interval)*(UPPER(TRIM(D_Points!$B$5:$B$204))="TURNOUT_L")*(D_Points!$H$5:$H$204&lt;&gt;"")),D_Points!$H$5:$H$204),"")</f>
        <v/>
      </c>
      <c r="AE327" s="182" t="str">
        <f>IFERROR(LOOKUP(2,1/((D_Points!$A$5:$A$204&lt;&gt;"")*(D_Points!$A$5:$A$204&gt;=$B327)*(D_Points!$A$5:$A$204&lt;$B327+P_Interval)*(UPPER(TRIM(D_Points!$B$5:$B$204))="TURNOUT_R")*(D_Points!$H$5:$H$204&lt;&gt;"")),D_Points!$H$5:$H$204),"")</f>
        <v/>
      </c>
      <c r="AF327" s="181" t="str">
        <f>IFERROR(LOOKUP(2,1/((B_Drainage!$A$5:$A$204&lt;&gt;"")*(B_Drainage!$A$5:$A$204&lt;=$B327)*(B_Drainage!$B$5:$B$204&gt;$B327)*(B_Drainage!$M$5:$M$204&lt;&gt;"")),IF(UPPER(B_Drainage!$M$5:$M$204)="Y",1,"")),"")</f>
        <v/>
      </c>
      <c r="AG327" s="181" t="str">
        <f>IFERROR(LOOKUP(2,1/((B_Drainage!$A$5:$A$204&lt;&gt;"")*(B_Drainage!$A$5:$A$204&lt;=$B327)*(B_Drainage!$B$5:$B$204&gt;$B327)*(B_Drainage!$N$5:$N$204&lt;&gt;"")),IF(UPPER(B_Drainage!$N$5:$N$204)="Y",1,"")),"")</f>
        <v/>
      </c>
      <c r="AH327" s="181" t="str">
        <f t="shared" si="40"/>
        <v/>
      </c>
      <c r="AI327" s="181" t="str">
        <f t="shared" si="41"/>
        <v/>
      </c>
      <c r="AJ327" s="181" t="str">
        <f t="shared" si="42"/>
        <v/>
      </c>
      <c r="AK327" s="181" t="str">
        <f t="shared" si="43"/>
        <v/>
      </c>
      <c r="AL327" s="181" t="str">
        <f t="shared" si="44"/>
        <v/>
      </c>
      <c r="AM327" s="181" t="str">
        <f t="shared" si="45"/>
        <v/>
      </c>
      <c r="AN327" s="181" t="str">
        <f t="shared" si="46"/>
        <v/>
      </c>
      <c r="AO327" s="192" t="str">
        <f t="shared" si="47"/>
        <v/>
      </c>
      <c r="AQ327" t="str">
        <f>IFERROR(LOOKUP(2,1/((C_Pavement!$A$5:$A$204&lt;&gt;"")*(C_Pavement!$A$5:$A$204&lt;=$B327)*(C_Pavement!$B$5:$B$204&gt;$B327)*(C_Pavement!$C$5:$C$204&lt;&gt;"")),ROW(C_Pavement!$C$5:$C$204)-4),"")</f>
        <v/>
      </c>
      <c r="AR327" t="str">
        <f>IF($AQ327="","",UPPER(TRIM(INDEX(C_Pavement!$C$5:$C$204,$AQ327))))</f>
        <v/>
      </c>
      <c r="AS327" t="str">
        <f>IF($AR327="","",IFERROR(MATCH($AR327,E_Rules!$A$5:$A$9,0),""))</f>
        <v/>
      </c>
      <c r="AT327" t="str">
        <f>IF($AQ327="","",IF(INDEX(C_Pavement!$D$5:$D$204,$AQ327)&lt;&gt;"",UPPER(TRIM(INDEX(C_Pavement!$D$5:$D$204,$AQ327))),IF($AS327="","",INDEX(E_Rules!$C$5:$C$9,$AS327))))</f>
        <v/>
      </c>
      <c r="AU327" t="str">
        <f>IF($AQ327="","",IF(INDEX(C_Pavement!$E$5:$E$204,$AQ327)&lt;&gt;"",IF(INDEX(C_Pavement!$E$5:$E$204,$AQ327)="-","",INDEX(C_Pavement!$E$5:$E$204,$AQ327)),IF($AS327="","",INDEX(E_Rules!$D$5:$D$9,$AS327))))</f>
        <v/>
      </c>
      <c r="AV327" t="str">
        <f>IF($AQ327="","",IF(INDEX(C_Pavement!$F$5:$F$204,$AQ327)&lt;&gt;"",IF(INDEX(C_Pavement!$F$5:$F$204,$AQ327)="-","",INDEX(C_Pavement!$F$5:$F$204,$AQ327)),IF($AS327="","",INDEX(E_Rules!$E$5:$E$9,$AS327))))</f>
        <v/>
      </c>
      <c r="AW327" t="str">
        <f>IF($AQ327="","",IF(INDEX(C_Pavement!$G$5:$G$204,$AQ327)&lt;&gt;"",IF(INDEX(C_Pavement!$G$5:$G$204,$AQ327)="-","",INDEX(C_Pavement!$G$5:$G$204,$AQ327)),IF($AS327="","",INDEX(E_Rules!$F$5:$F$9,$AS327))))</f>
        <v/>
      </c>
      <c r="AX327" t="str">
        <f>IF($AQ327="","",IF(INDEX(C_Pavement!$H$5:$H$204,$AQ327)&lt;&gt;"",IF(INDEX(C_Pavement!$H$5:$H$204,$AQ327)="-","",INDEX(C_Pavement!$H$5:$H$204,$AQ327)),IF($AS327="","",INDEX(E_Rules!$G$5:$G$9,$AS327))))</f>
        <v/>
      </c>
      <c r="AY327" t="str">
        <f>IF($AQ327="","",IF(INDEX(C_Pavement!$I$5:$I$204,$AQ327)&lt;&gt;"",IF(INDEX(C_Pavement!$I$5:$I$204,$AQ327)="-","",INDEX(C_Pavement!$I$5:$I$204,$AQ327)),IF($AS327="","",INDEX(E_Rules!$H$5:$H$9,$AS327))))</f>
        <v/>
      </c>
    </row>
    <row r="328" spans="1:51" ht="15.75" customHeight="1" x14ac:dyDescent="0.3">
      <c r="A328" s="189">
        <v>323</v>
      </c>
      <c r="B328" s="180">
        <v>16100</v>
      </c>
      <c r="C328" s="180" t="s">
        <v>634</v>
      </c>
      <c r="D328" s="181" t="str">
        <f>IFERROR(LOOKUP(2,1/((A_Corridor!$A$5:$A$204&lt;&gt;"")*(A_Corridor!$A$5:$A$204&lt;=$B328)*(A_Corridor!$B$5:$B$204&gt;$B328)*(A_Corridor!$C$5:$C$204&lt;&gt;"")),IF(UPPER(A_Corridor!$C$5:$C$204)="Y",1,"")),"")</f>
        <v/>
      </c>
      <c r="E328" s="181" t="str">
        <f>IFERROR(LOOKUP(2,1/((A_Corridor!$A$5:$A$204&lt;&gt;"")*(A_Corridor!$A$5:$A$204&lt;=$B328)*(A_Corridor!$B$5:$B$204&gt;$B328)*(A_Corridor!$D$5:$D$204&lt;&gt;"")),IF(A_Corridor!$D$5:$D$204="-","",UPPER(A_Corridor!$D$5:$D$204))),"")</f>
        <v/>
      </c>
      <c r="F328" s="181" t="str">
        <f>IFERROR(LOOKUP(2,1/((A_Corridor!$A$5:$A$204&lt;&gt;"")*(A_Corridor!$A$5:$A$204&lt;=$B328)*(A_Corridor!$B$5:$B$204&gt;$B328)*(A_Corridor!$E$5:$E$204&lt;&gt;"")),IF(A_Corridor!$E$5:$E$204="-","",1)),"")</f>
        <v/>
      </c>
      <c r="G328" s="182" t="str">
        <f>IFERROR(LOOKUP(2,1/((A_Corridor!$A$5:$A$204&lt;&gt;"")*(A_Corridor!$A$5:$A$204&lt;=$B328)*(A_Corridor!$B$5:$B$204&gt;$B328)*(A_Corridor!$E$5:$E$204&lt;&gt;"")),IF(A_Corridor!$E$5:$E$204="-","",A_Corridor!$E$5:$E$204)),"")</f>
        <v/>
      </c>
      <c r="H328" s="182" t="str">
        <f>IFERROR(LOOKUP(2,1/((D_Points!$A$5:$A$204&lt;&gt;"")*(D_Points!$A$5:$A$204&gt;=$B328)*(D_Points!$A$5:$A$204&lt;$B328+P_Interval)*(UPPER(TRIM(D_Points!$B$5:$B$204))="GULLY")*(D_Points!$H$5:$H$204&lt;&gt;"")),D_Points!$H$5:$H$204),"")</f>
        <v/>
      </c>
      <c r="I328" s="181" t="str">
        <f>IFERROR(LOOKUP(2,1/((A_Corridor!$A$5:$A$204&lt;&gt;"")*(A_Corridor!$A$5:$A$204&lt;=$B328)*(A_Corridor!$B$5:$B$204&gt;$B328)*(A_Corridor!$F$5:$F$204&lt;&gt;"")),IF(A_Corridor!$F$5:$F$204="-","",1)),"")</f>
        <v/>
      </c>
      <c r="J328" s="182" t="str">
        <f>IFERROR(LOOKUP(2,1/((A_Corridor!$A$5:$A$204&lt;&gt;"")*(A_Corridor!$A$5:$A$204&lt;=$B328)*(A_Corridor!$B$5:$B$204&gt;$B328)*(A_Corridor!$F$5:$F$204&lt;&gt;"")),IF(A_Corridor!$F$5:$F$204="-","",A_Corridor!$F$5:$F$204)),"")</f>
        <v/>
      </c>
      <c r="K328" s="182" t="str">
        <f>IFERROR(LOOKUP(2,1/((A_Corridor!$A$5:$A$204&lt;&gt;"")*(A_Corridor!$A$5:$A$204&lt;=$B328)*(A_Corridor!$B$5:$B$204&gt;$B328)*(A_Corridor!$G$5:$G$204&lt;&gt;"")),IF(A_Corridor!$G$5:$G$204="-","",A_Corridor!$G$5:$G$204)),"")</f>
        <v/>
      </c>
      <c r="L328" s="181" t="str">
        <f>IFERROR(LOOKUP(2,1/((A_Corridor!$A$5:$A$204&lt;&gt;"")*(A_Corridor!$A$5:$A$204&lt;=$B328)*(A_Corridor!$B$5:$B$204&gt;$B328)*(A_Corridor!$H$5:$H$204&lt;&gt;"")),IF(A_Corridor!$H$5:$H$204="-","",1)),"")</f>
        <v/>
      </c>
      <c r="M328" s="182" t="str">
        <f>IFERROR(LOOKUP(2,1/((A_Corridor!$A$5:$A$204&lt;&gt;"")*(A_Corridor!$A$5:$A$204&lt;=$B328)*(A_Corridor!$B$5:$B$204&gt;$B328)*(A_Corridor!$H$5:$H$204&lt;&gt;"")),IF(A_Corridor!$H$5:$H$204="-","",A_Corridor!$H$5:$H$204)),"")</f>
        <v/>
      </c>
      <c r="N328" s="182" t="str">
        <f>IFERROR(LOOKUP(2,1/((A_Corridor!$A$5:$A$204&lt;&gt;"")*(A_Corridor!$A$5:$A$204&lt;=$B328)*(A_Corridor!$B$5:$B$204&gt;$B328)*(A_Corridor!$I$5:$I$204&lt;&gt;"")),IF(A_Corridor!$I$5:$I$204="-","",A_Corridor!$I$5:$I$204)),"")</f>
        <v/>
      </c>
      <c r="O328" s="182" t="str">
        <f>IFERROR(LOOKUP(2,1/((D_Points!$A$5:$A$204&lt;&gt;"")*(D_Points!$A$5:$A$204&gt;=$B328)*(D_Points!$A$5:$A$204&lt;$B328+P_Interval)*(UPPER(TRIM(D_Points!$B$5:$B$204))="PITCHING")*(D_Points!$H$5:$H$204&lt;&gt;"")),D_Points!$H$5:$H$204),"")</f>
        <v/>
      </c>
      <c r="P328" s="181" t="str">
        <f>IFERROR(LOOKUP(2,1/((B_Drainage!$A$5:$A$204&lt;&gt;"")*(B_Drainage!$A$5:$A$204&lt;=$B328)*(B_Drainage!$B$5:$B$204&gt;$B328)*(B_Drainage!$C$5:$C$204&lt;&gt;"")),IF(B_Drainage!$C$5:$C$204="-","",UPPER(B_Drainage!$C$5:$C$204))),"")</f>
        <v/>
      </c>
      <c r="Q328" s="181" t="str">
        <f>IFERROR(LOOKUP(2,1/((B_Drainage!$A$5:$A$204&lt;&gt;"")*(B_Drainage!$A$5:$A$204&lt;=$B328)*(B_Drainage!$B$5:$B$204&gt;$B328)*(B_Drainage!$D$5:$D$204&lt;&gt;"")),IF(B_Drainage!$D$5:$D$204="-","",UPPER(B_Drainage!$D$5:$D$204))),"")</f>
        <v/>
      </c>
      <c r="R328" s="182" t="str">
        <f>IFERROR(LOOKUP(2,1/((D_Points!$A$5:$A$204&lt;&gt;"")*(D_Points!$A$5:$A$204&gt;=$B328)*(D_Points!$A$5:$A$204&lt;$B328+P_Interval)*(RIGHT(UPPER(TRIM(D_Points!$B$5:$B$204)),8)="_CULVERT")),IF(LEFT(UPPER(TRIM(D_Points!$B$5:$B$204)),2)="EX",1,IF(LEFT(UPPER(TRIM(D_Points!$B$5:$B$204)),2)="PR",2,3))),"")</f>
        <v/>
      </c>
      <c r="S328" s="182" t="str">
        <f>IFERROR(LOOKUP(2,1/((D_Points!$A$5:$A$204&lt;&gt;"")*(D_Points!$A$5:$A$204&gt;=$B328)*(D_Points!$A$5:$A$204&lt;$B328+P_Interval)*(RIGHT(UPPER(TRIM(D_Points!$B$5:$B$204)),7)="_BRIDGE")),IF(LEFT(UPPER(TRIM(D_Points!$B$5:$B$204)),2)="EX",1,IF(LEFT(UPPER(TRIM(D_Points!$B$5:$B$204)),2)="PR",2,2))),"")</f>
        <v/>
      </c>
      <c r="T328" s="181" t="str">
        <f>IFERROR(LOOKUP(2,1/((B_Drainage!$A$5:$A$204&lt;&gt;"")*(B_Drainage!$A$5:$A$204&lt;=$B328)*(B_Drainage!$B$5:$B$204&gt;$B328)*(B_Drainage!$E$5:$E$204&lt;&gt;"")),IF(B_Drainage!$E$5:$E$204="-","",1)),"")</f>
        <v/>
      </c>
      <c r="U328" s="181" t="str">
        <f>IFERROR(LOOKUP(2,1/((B_Drainage!$A$5:$A$204&lt;&gt;"")*(B_Drainage!$A$5:$A$204&lt;=$B328)*(B_Drainage!$B$5:$B$204&gt;$B328)*(B_Drainage!$E$5:$E$204&lt;&gt;"")),IF(B_Drainage!$E$5:$E$204="-","",B_Drainage!$E$5:$E$204)),"")</f>
        <v/>
      </c>
      <c r="V328" s="181" t="str">
        <f>IFERROR(LOOKUP(2,1/((B_Drainage!$A$5:$A$204&lt;&gt;"")*(B_Drainage!$A$5:$A$204&lt;=$B328)*(B_Drainage!$B$5:$B$204&gt;$B328)*(B_Drainage!$F$5:$F$204&lt;&gt;"")),IF(B_Drainage!$F$5:$F$204="-","",1)),"")</f>
        <v/>
      </c>
      <c r="W328" s="181" t="str">
        <f>IFERROR(LOOKUP(2,1/((B_Drainage!$A$5:$A$204&lt;&gt;"")*(B_Drainage!$A$5:$A$204&lt;=$B328)*(B_Drainage!$B$5:$B$204&gt;$B328)*(B_Drainage!$F$5:$F$204&lt;&gt;"")),IF(B_Drainage!$F$5:$F$204="-","",B_Drainage!$F$5:$F$204)),"")</f>
        <v/>
      </c>
      <c r="X328" s="181" t="str">
        <f>IFERROR(LOOKUP(2,1/((B_Drainage!$A$5:$A$204&lt;&gt;"")*(B_Drainage!$A$5:$A$204&lt;=$B328)*(B_Drainage!$B$5:$B$204&gt;$B328)*(B_Drainage!$G$5:$G$204&lt;&gt;"")),IF(UPPER(B_Drainage!$G$5:$G$204)="Y",1,"")),"")</f>
        <v/>
      </c>
      <c r="Y328" s="181" t="str">
        <f>IFERROR(LOOKUP(2,1/((B_Drainage!$A$5:$A$204&lt;&gt;"")*(B_Drainage!$A$5:$A$204&lt;=$B328)*(B_Drainage!$B$5:$B$204&gt;$B328)*(B_Drainage!$H$5:$H$204&lt;&gt;"")),IF(UPPER(B_Drainage!$H$5:$H$204)="Y",1,"")),"")</f>
        <v/>
      </c>
      <c r="Z328" s="181" t="str">
        <f>IFERROR(LOOKUP(2,1/((B_Drainage!$A$5:$A$204&lt;&gt;"")*(B_Drainage!$A$5:$A$204&lt;=$B328)*(B_Drainage!$B$5:$B$204&gt;$B328)*(B_Drainage!$I$5:$I$204&lt;&gt;"")),IF(UPPER(B_Drainage!$I$5:$I$204)="Y",1,"")),"")</f>
        <v/>
      </c>
      <c r="AA328" s="181" t="str">
        <f>IFERROR(LOOKUP(2,1/((B_Drainage!$A$5:$A$204&lt;&gt;"")*(B_Drainage!$A$5:$A$204&lt;=$B328)*(B_Drainage!$B$5:$B$204&gt;$B328)*(B_Drainage!$J$5:$J$204&lt;&gt;"")),IF(UPPER(B_Drainage!$J$5:$J$204)="Y",1,"")),"")</f>
        <v/>
      </c>
      <c r="AB328" s="182" t="str">
        <f>IFERROR(LOOKUP(2,1/((B_Drainage!$A$5:$A$204&lt;&gt;"")*(B_Drainage!$A$5:$A$204&lt;=$B328)*(B_Drainage!$B$5:$B$204&gt;$B328)*(B_Drainage!$K$5:$K$204&lt;&gt;"")),IF(B_Drainage!$K$5:$K$204="-","",B_Drainage!$K$5:$K$204)),"")</f>
        <v/>
      </c>
      <c r="AC328" s="182" t="str">
        <f>IFERROR(LOOKUP(2,1/((B_Drainage!$A$5:$A$204&lt;&gt;"")*(B_Drainage!$A$5:$A$204&lt;=$B328)*(B_Drainage!$B$5:$B$204&gt;$B328)*(B_Drainage!$L$5:$L$204&lt;&gt;"")),IF(B_Drainage!$L$5:$L$204="-","",B_Drainage!$L$5:$L$204)),"")</f>
        <v/>
      </c>
      <c r="AD328" s="182" t="str">
        <f>IFERROR(LOOKUP(2,1/((D_Points!$A$5:$A$204&lt;&gt;"")*(D_Points!$A$5:$A$204&gt;=$B328)*(D_Points!$A$5:$A$204&lt;$B328+P_Interval)*(UPPER(TRIM(D_Points!$B$5:$B$204))="TURNOUT_L")*(D_Points!$H$5:$H$204&lt;&gt;"")),D_Points!$H$5:$H$204),"")</f>
        <v/>
      </c>
      <c r="AE328" s="182" t="str">
        <f>IFERROR(LOOKUP(2,1/((D_Points!$A$5:$A$204&lt;&gt;"")*(D_Points!$A$5:$A$204&gt;=$B328)*(D_Points!$A$5:$A$204&lt;$B328+P_Interval)*(UPPER(TRIM(D_Points!$B$5:$B$204))="TURNOUT_R")*(D_Points!$H$5:$H$204&lt;&gt;"")),D_Points!$H$5:$H$204),"")</f>
        <v/>
      </c>
      <c r="AF328" s="181" t="str">
        <f>IFERROR(LOOKUP(2,1/((B_Drainage!$A$5:$A$204&lt;&gt;"")*(B_Drainage!$A$5:$A$204&lt;=$B328)*(B_Drainage!$B$5:$B$204&gt;$B328)*(B_Drainage!$M$5:$M$204&lt;&gt;"")),IF(UPPER(B_Drainage!$M$5:$M$204)="Y",1,"")),"")</f>
        <v/>
      </c>
      <c r="AG328" s="181" t="str">
        <f>IFERROR(LOOKUP(2,1/((B_Drainage!$A$5:$A$204&lt;&gt;"")*(B_Drainage!$A$5:$A$204&lt;=$B328)*(B_Drainage!$B$5:$B$204&gt;$B328)*(B_Drainage!$N$5:$N$204&lt;&gt;"")),IF(UPPER(B_Drainage!$N$5:$N$204)="Y",1,"")),"")</f>
        <v/>
      </c>
      <c r="AH328" s="181" t="str">
        <f t="shared" si="40"/>
        <v/>
      </c>
      <c r="AI328" s="181" t="str">
        <f t="shared" si="41"/>
        <v/>
      </c>
      <c r="AJ328" s="181" t="str">
        <f t="shared" si="42"/>
        <v/>
      </c>
      <c r="AK328" s="181" t="str">
        <f t="shared" si="43"/>
        <v/>
      </c>
      <c r="AL328" s="181" t="str">
        <f t="shared" si="44"/>
        <v/>
      </c>
      <c r="AM328" s="181" t="str">
        <f t="shared" si="45"/>
        <v/>
      </c>
      <c r="AN328" s="181" t="str">
        <f t="shared" si="46"/>
        <v/>
      </c>
      <c r="AO328" s="192" t="str">
        <f t="shared" si="47"/>
        <v/>
      </c>
      <c r="AQ328" t="str">
        <f>IFERROR(LOOKUP(2,1/((C_Pavement!$A$5:$A$204&lt;&gt;"")*(C_Pavement!$A$5:$A$204&lt;=$B328)*(C_Pavement!$B$5:$B$204&gt;$B328)*(C_Pavement!$C$5:$C$204&lt;&gt;"")),ROW(C_Pavement!$C$5:$C$204)-4),"")</f>
        <v/>
      </c>
      <c r="AR328" t="str">
        <f>IF($AQ328="","",UPPER(TRIM(INDEX(C_Pavement!$C$5:$C$204,$AQ328))))</f>
        <v/>
      </c>
      <c r="AS328" t="str">
        <f>IF($AR328="","",IFERROR(MATCH($AR328,E_Rules!$A$5:$A$9,0),""))</f>
        <v/>
      </c>
      <c r="AT328" t="str">
        <f>IF($AQ328="","",IF(INDEX(C_Pavement!$D$5:$D$204,$AQ328)&lt;&gt;"",UPPER(TRIM(INDEX(C_Pavement!$D$5:$D$204,$AQ328))),IF($AS328="","",INDEX(E_Rules!$C$5:$C$9,$AS328))))</f>
        <v/>
      </c>
      <c r="AU328" t="str">
        <f>IF($AQ328="","",IF(INDEX(C_Pavement!$E$5:$E$204,$AQ328)&lt;&gt;"",IF(INDEX(C_Pavement!$E$5:$E$204,$AQ328)="-","",INDEX(C_Pavement!$E$5:$E$204,$AQ328)),IF($AS328="","",INDEX(E_Rules!$D$5:$D$9,$AS328))))</f>
        <v/>
      </c>
      <c r="AV328" t="str">
        <f>IF($AQ328="","",IF(INDEX(C_Pavement!$F$5:$F$204,$AQ328)&lt;&gt;"",IF(INDEX(C_Pavement!$F$5:$F$204,$AQ328)="-","",INDEX(C_Pavement!$F$5:$F$204,$AQ328)),IF($AS328="","",INDEX(E_Rules!$E$5:$E$9,$AS328))))</f>
        <v/>
      </c>
      <c r="AW328" t="str">
        <f>IF($AQ328="","",IF(INDEX(C_Pavement!$G$5:$G$204,$AQ328)&lt;&gt;"",IF(INDEX(C_Pavement!$G$5:$G$204,$AQ328)="-","",INDEX(C_Pavement!$G$5:$G$204,$AQ328)),IF($AS328="","",INDEX(E_Rules!$F$5:$F$9,$AS328))))</f>
        <v/>
      </c>
      <c r="AX328" t="str">
        <f>IF($AQ328="","",IF(INDEX(C_Pavement!$H$5:$H$204,$AQ328)&lt;&gt;"",IF(INDEX(C_Pavement!$H$5:$H$204,$AQ328)="-","",INDEX(C_Pavement!$H$5:$H$204,$AQ328)),IF($AS328="","",INDEX(E_Rules!$G$5:$G$9,$AS328))))</f>
        <v/>
      </c>
      <c r="AY328" t="str">
        <f>IF($AQ328="","",IF(INDEX(C_Pavement!$I$5:$I$204,$AQ328)&lt;&gt;"",IF(INDEX(C_Pavement!$I$5:$I$204,$AQ328)="-","",INDEX(C_Pavement!$I$5:$I$204,$AQ328)),IF($AS328="","",INDEX(E_Rules!$H$5:$H$9,$AS328))))</f>
        <v/>
      </c>
    </row>
    <row r="329" spans="1:51" ht="15.75" customHeight="1" x14ac:dyDescent="0.3">
      <c r="A329" s="189">
        <v>324</v>
      </c>
      <c r="B329" s="180">
        <v>16150</v>
      </c>
      <c r="C329" s="180" t="s">
        <v>635</v>
      </c>
      <c r="D329" s="181" t="str">
        <f>IFERROR(LOOKUP(2,1/((A_Corridor!$A$5:$A$204&lt;&gt;"")*(A_Corridor!$A$5:$A$204&lt;=$B329)*(A_Corridor!$B$5:$B$204&gt;$B329)*(A_Corridor!$C$5:$C$204&lt;&gt;"")),IF(UPPER(A_Corridor!$C$5:$C$204)="Y",1,"")),"")</f>
        <v/>
      </c>
      <c r="E329" s="181" t="str">
        <f>IFERROR(LOOKUP(2,1/((A_Corridor!$A$5:$A$204&lt;&gt;"")*(A_Corridor!$A$5:$A$204&lt;=$B329)*(A_Corridor!$B$5:$B$204&gt;$B329)*(A_Corridor!$D$5:$D$204&lt;&gt;"")),IF(A_Corridor!$D$5:$D$204="-","",UPPER(A_Corridor!$D$5:$D$204))),"")</f>
        <v/>
      </c>
      <c r="F329" s="181" t="str">
        <f>IFERROR(LOOKUP(2,1/((A_Corridor!$A$5:$A$204&lt;&gt;"")*(A_Corridor!$A$5:$A$204&lt;=$B329)*(A_Corridor!$B$5:$B$204&gt;$B329)*(A_Corridor!$E$5:$E$204&lt;&gt;"")),IF(A_Corridor!$E$5:$E$204="-","",1)),"")</f>
        <v/>
      </c>
      <c r="G329" s="182" t="str">
        <f>IFERROR(LOOKUP(2,1/((A_Corridor!$A$5:$A$204&lt;&gt;"")*(A_Corridor!$A$5:$A$204&lt;=$B329)*(A_Corridor!$B$5:$B$204&gt;$B329)*(A_Corridor!$E$5:$E$204&lt;&gt;"")),IF(A_Corridor!$E$5:$E$204="-","",A_Corridor!$E$5:$E$204)),"")</f>
        <v/>
      </c>
      <c r="H329" s="182" t="str">
        <f>IFERROR(LOOKUP(2,1/((D_Points!$A$5:$A$204&lt;&gt;"")*(D_Points!$A$5:$A$204&gt;=$B329)*(D_Points!$A$5:$A$204&lt;$B329+P_Interval)*(UPPER(TRIM(D_Points!$B$5:$B$204))="GULLY")*(D_Points!$H$5:$H$204&lt;&gt;"")),D_Points!$H$5:$H$204),"")</f>
        <v/>
      </c>
      <c r="I329" s="181" t="str">
        <f>IFERROR(LOOKUP(2,1/((A_Corridor!$A$5:$A$204&lt;&gt;"")*(A_Corridor!$A$5:$A$204&lt;=$B329)*(A_Corridor!$B$5:$B$204&gt;$B329)*(A_Corridor!$F$5:$F$204&lt;&gt;"")),IF(A_Corridor!$F$5:$F$204="-","",1)),"")</f>
        <v/>
      </c>
      <c r="J329" s="182" t="str">
        <f>IFERROR(LOOKUP(2,1/((A_Corridor!$A$5:$A$204&lt;&gt;"")*(A_Corridor!$A$5:$A$204&lt;=$B329)*(A_Corridor!$B$5:$B$204&gt;$B329)*(A_Corridor!$F$5:$F$204&lt;&gt;"")),IF(A_Corridor!$F$5:$F$204="-","",A_Corridor!$F$5:$F$204)),"")</f>
        <v/>
      </c>
      <c r="K329" s="182" t="str">
        <f>IFERROR(LOOKUP(2,1/((A_Corridor!$A$5:$A$204&lt;&gt;"")*(A_Corridor!$A$5:$A$204&lt;=$B329)*(A_Corridor!$B$5:$B$204&gt;$B329)*(A_Corridor!$G$5:$G$204&lt;&gt;"")),IF(A_Corridor!$G$5:$G$204="-","",A_Corridor!$G$5:$G$204)),"")</f>
        <v/>
      </c>
      <c r="L329" s="181" t="str">
        <f>IFERROR(LOOKUP(2,1/((A_Corridor!$A$5:$A$204&lt;&gt;"")*(A_Corridor!$A$5:$A$204&lt;=$B329)*(A_Corridor!$B$5:$B$204&gt;$B329)*(A_Corridor!$H$5:$H$204&lt;&gt;"")),IF(A_Corridor!$H$5:$H$204="-","",1)),"")</f>
        <v/>
      </c>
      <c r="M329" s="182" t="str">
        <f>IFERROR(LOOKUP(2,1/((A_Corridor!$A$5:$A$204&lt;&gt;"")*(A_Corridor!$A$5:$A$204&lt;=$B329)*(A_Corridor!$B$5:$B$204&gt;$B329)*(A_Corridor!$H$5:$H$204&lt;&gt;"")),IF(A_Corridor!$H$5:$H$204="-","",A_Corridor!$H$5:$H$204)),"")</f>
        <v/>
      </c>
      <c r="N329" s="182" t="str">
        <f>IFERROR(LOOKUP(2,1/((A_Corridor!$A$5:$A$204&lt;&gt;"")*(A_Corridor!$A$5:$A$204&lt;=$B329)*(A_Corridor!$B$5:$B$204&gt;$B329)*(A_Corridor!$I$5:$I$204&lt;&gt;"")),IF(A_Corridor!$I$5:$I$204="-","",A_Corridor!$I$5:$I$204)),"")</f>
        <v/>
      </c>
      <c r="O329" s="182" t="str">
        <f>IFERROR(LOOKUP(2,1/((D_Points!$A$5:$A$204&lt;&gt;"")*(D_Points!$A$5:$A$204&gt;=$B329)*(D_Points!$A$5:$A$204&lt;$B329+P_Interval)*(UPPER(TRIM(D_Points!$B$5:$B$204))="PITCHING")*(D_Points!$H$5:$H$204&lt;&gt;"")),D_Points!$H$5:$H$204),"")</f>
        <v/>
      </c>
      <c r="P329" s="181" t="str">
        <f>IFERROR(LOOKUP(2,1/((B_Drainage!$A$5:$A$204&lt;&gt;"")*(B_Drainage!$A$5:$A$204&lt;=$B329)*(B_Drainage!$B$5:$B$204&gt;$B329)*(B_Drainage!$C$5:$C$204&lt;&gt;"")),IF(B_Drainage!$C$5:$C$204="-","",UPPER(B_Drainage!$C$5:$C$204))),"")</f>
        <v/>
      </c>
      <c r="Q329" s="181" t="str">
        <f>IFERROR(LOOKUP(2,1/((B_Drainage!$A$5:$A$204&lt;&gt;"")*(B_Drainage!$A$5:$A$204&lt;=$B329)*(B_Drainage!$B$5:$B$204&gt;$B329)*(B_Drainage!$D$5:$D$204&lt;&gt;"")),IF(B_Drainage!$D$5:$D$204="-","",UPPER(B_Drainage!$D$5:$D$204))),"")</f>
        <v/>
      </c>
      <c r="R329" s="182" t="str">
        <f>IFERROR(LOOKUP(2,1/((D_Points!$A$5:$A$204&lt;&gt;"")*(D_Points!$A$5:$A$204&gt;=$B329)*(D_Points!$A$5:$A$204&lt;$B329+P_Interval)*(RIGHT(UPPER(TRIM(D_Points!$B$5:$B$204)),8)="_CULVERT")),IF(LEFT(UPPER(TRIM(D_Points!$B$5:$B$204)),2)="EX",1,IF(LEFT(UPPER(TRIM(D_Points!$B$5:$B$204)),2)="PR",2,3))),"")</f>
        <v/>
      </c>
      <c r="S329" s="182" t="str">
        <f>IFERROR(LOOKUP(2,1/((D_Points!$A$5:$A$204&lt;&gt;"")*(D_Points!$A$5:$A$204&gt;=$B329)*(D_Points!$A$5:$A$204&lt;$B329+P_Interval)*(RIGHT(UPPER(TRIM(D_Points!$B$5:$B$204)),7)="_BRIDGE")),IF(LEFT(UPPER(TRIM(D_Points!$B$5:$B$204)),2)="EX",1,IF(LEFT(UPPER(TRIM(D_Points!$B$5:$B$204)),2)="PR",2,2))),"")</f>
        <v/>
      </c>
      <c r="T329" s="181" t="str">
        <f>IFERROR(LOOKUP(2,1/((B_Drainage!$A$5:$A$204&lt;&gt;"")*(B_Drainage!$A$5:$A$204&lt;=$B329)*(B_Drainage!$B$5:$B$204&gt;$B329)*(B_Drainage!$E$5:$E$204&lt;&gt;"")),IF(B_Drainage!$E$5:$E$204="-","",1)),"")</f>
        <v/>
      </c>
      <c r="U329" s="181" t="str">
        <f>IFERROR(LOOKUP(2,1/((B_Drainage!$A$5:$A$204&lt;&gt;"")*(B_Drainage!$A$5:$A$204&lt;=$B329)*(B_Drainage!$B$5:$B$204&gt;$B329)*(B_Drainage!$E$5:$E$204&lt;&gt;"")),IF(B_Drainage!$E$5:$E$204="-","",B_Drainage!$E$5:$E$204)),"")</f>
        <v/>
      </c>
      <c r="V329" s="181" t="str">
        <f>IFERROR(LOOKUP(2,1/((B_Drainage!$A$5:$A$204&lt;&gt;"")*(B_Drainage!$A$5:$A$204&lt;=$B329)*(B_Drainage!$B$5:$B$204&gt;$B329)*(B_Drainage!$F$5:$F$204&lt;&gt;"")),IF(B_Drainage!$F$5:$F$204="-","",1)),"")</f>
        <v/>
      </c>
      <c r="W329" s="181" t="str">
        <f>IFERROR(LOOKUP(2,1/((B_Drainage!$A$5:$A$204&lt;&gt;"")*(B_Drainage!$A$5:$A$204&lt;=$B329)*(B_Drainage!$B$5:$B$204&gt;$B329)*(B_Drainage!$F$5:$F$204&lt;&gt;"")),IF(B_Drainage!$F$5:$F$204="-","",B_Drainage!$F$5:$F$204)),"")</f>
        <v/>
      </c>
      <c r="X329" s="181" t="str">
        <f>IFERROR(LOOKUP(2,1/((B_Drainage!$A$5:$A$204&lt;&gt;"")*(B_Drainage!$A$5:$A$204&lt;=$B329)*(B_Drainage!$B$5:$B$204&gt;$B329)*(B_Drainage!$G$5:$G$204&lt;&gt;"")),IF(UPPER(B_Drainage!$G$5:$G$204)="Y",1,"")),"")</f>
        <v/>
      </c>
      <c r="Y329" s="181" t="str">
        <f>IFERROR(LOOKUP(2,1/((B_Drainage!$A$5:$A$204&lt;&gt;"")*(B_Drainage!$A$5:$A$204&lt;=$B329)*(B_Drainage!$B$5:$B$204&gt;$B329)*(B_Drainage!$H$5:$H$204&lt;&gt;"")),IF(UPPER(B_Drainage!$H$5:$H$204)="Y",1,"")),"")</f>
        <v/>
      </c>
      <c r="Z329" s="181" t="str">
        <f>IFERROR(LOOKUP(2,1/((B_Drainage!$A$5:$A$204&lt;&gt;"")*(B_Drainage!$A$5:$A$204&lt;=$B329)*(B_Drainage!$B$5:$B$204&gt;$B329)*(B_Drainage!$I$5:$I$204&lt;&gt;"")),IF(UPPER(B_Drainage!$I$5:$I$204)="Y",1,"")),"")</f>
        <v/>
      </c>
      <c r="AA329" s="181" t="str">
        <f>IFERROR(LOOKUP(2,1/((B_Drainage!$A$5:$A$204&lt;&gt;"")*(B_Drainage!$A$5:$A$204&lt;=$B329)*(B_Drainage!$B$5:$B$204&gt;$B329)*(B_Drainage!$J$5:$J$204&lt;&gt;"")),IF(UPPER(B_Drainage!$J$5:$J$204)="Y",1,"")),"")</f>
        <v/>
      </c>
      <c r="AB329" s="182" t="str">
        <f>IFERROR(LOOKUP(2,1/((B_Drainage!$A$5:$A$204&lt;&gt;"")*(B_Drainage!$A$5:$A$204&lt;=$B329)*(B_Drainage!$B$5:$B$204&gt;$B329)*(B_Drainage!$K$5:$K$204&lt;&gt;"")),IF(B_Drainage!$K$5:$K$204="-","",B_Drainage!$K$5:$K$204)),"")</f>
        <v/>
      </c>
      <c r="AC329" s="182" t="str">
        <f>IFERROR(LOOKUP(2,1/((B_Drainage!$A$5:$A$204&lt;&gt;"")*(B_Drainage!$A$5:$A$204&lt;=$B329)*(B_Drainage!$B$5:$B$204&gt;$B329)*(B_Drainage!$L$5:$L$204&lt;&gt;"")),IF(B_Drainage!$L$5:$L$204="-","",B_Drainage!$L$5:$L$204)),"")</f>
        <v/>
      </c>
      <c r="AD329" s="182" t="str">
        <f>IFERROR(LOOKUP(2,1/((D_Points!$A$5:$A$204&lt;&gt;"")*(D_Points!$A$5:$A$204&gt;=$B329)*(D_Points!$A$5:$A$204&lt;$B329+P_Interval)*(UPPER(TRIM(D_Points!$B$5:$B$204))="TURNOUT_L")*(D_Points!$H$5:$H$204&lt;&gt;"")),D_Points!$H$5:$H$204),"")</f>
        <v/>
      </c>
      <c r="AE329" s="182" t="str">
        <f>IFERROR(LOOKUP(2,1/((D_Points!$A$5:$A$204&lt;&gt;"")*(D_Points!$A$5:$A$204&gt;=$B329)*(D_Points!$A$5:$A$204&lt;$B329+P_Interval)*(UPPER(TRIM(D_Points!$B$5:$B$204))="TURNOUT_R")*(D_Points!$H$5:$H$204&lt;&gt;"")),D_Points!$H$5:$H$204),"")</f>
        <v/>
      </c>
      <c r="AF329" s="181" t="str">
        <f>IFERROR(LOOKUP(2,1/((B_Drainage!$A$5:$A$204&lt;&gt;"")*(B_Drainage!$A$5:$A$204&lt;=$B329)*(B_Drainage!$B$5:$B$204&gt;$B329)*(B_Drainage!$M$5:$M$204&lt;&gt;"")),IF(UPPER(B_Drainage!$M$5:$M$204)="Y",1,"")),"")</f>
        <v/>
      </c>
      <c r="AG329" s="181" t="str">
        <f>IFERROR(LOOKUP(2,1/((B_Drainage!$A$5:$A$204&lt;&gt;"")*(B_Drainage!$A$5:$A$204&lt;=$B329)*(B_Drainage!$B$5:$B$204&gt;$B329)*(B_Drainage!$N$5:$N$204&lt;&gt;"")),IF(UPPER(B_Drainage!$N$5:$N$204)="Y",1,"")),"")</f>
        <v/>
      </c>
      <c r="AH329" s="181" t="str">
        <f t="shared" si="40"/>
        <v/>
      </c>
      <c r="AI329" s="181" t="str">
        <f t="shared" si="41"/>
        <v/>
      </c>
      <c r="AJ329" s="181" t="str">
        <f t="shared" si="42"/>
        <v/>
      </c>
      <c r="AK329" s="181" t="str">
        <f t="shared" si="43"/>
        <v/>
      </c>
      <c r="AL329" s="181" t="str">
        <f t="shared" si="44"/>
        <v/>
      </c>
      <c r="AM329" s="181" t="str">
        <f t="shared" si="45"/>
        <v/>
      </c>
      <c r="AN329" s="181" t="str">
        <f t="shared" si="46"/>
        <v/>
      </c>
      <c r="AO329" s="192" t="str">
        <f t="shared" si="47"/>
        <v/>
      </c>
      <c r="AQ329" t="str">
        <f>IFERROR(LOOKUP(2,1/((C_Pavement!$A$5:$A$204&lt;&gt;"")*(C_Pavement!$A$5:$A$204&lt;=$B329)*(C_Pavement!$B$5:$B$204&gt;$B329)*(C_Pavement!$C$5:$C$204&lt;&gt;"")),ROW(C_Pavement!$C$5:$C$204)-4),"")</f>
        <v/>
      </c>
      <c r="AR329" t="str">
        <f>IF($AQ329="","",UPPER(TRIM(INDEX(C_Pavement!$C$5:$C$204,$AQ329))))</f>
        <v/>
      </c>
      <c r="AS329" t="str">
        <f>IF($AR329="","",IFERROR(MATCH($AR329,E_Rules!$A$5:$A$9,0),""))</f>
        <v/>
      </c>
      <c r="AT329" t="str">
        <f>IF($AQ329="","",IF(INDEX(C_Pavement!$D$5:$D$204,$AQ329)&lt;&gt;"",UPPER(TRIM(INDEX(C_Pavement!$D$5:$D$204,$AQ329))),IF($AS329="","",INDEX(E_Rules!$C$5:$C$9,$AS329))))</f>
        <v/>
      </c>
      <c r="AU329" t="str">
        <f>IF($AQ329="","",IF(INDEX(C_Pavement!$E$5:$E$204,$AQ329)&lt;&gt;"",IF(INDEX(C_Pavement!$E$5:$E$204,$AQ329)="-","",INDEX(C_Pavement!$E$5:$E$204,$AQ329)),IF($AS329="","",INDEX(E_Rules!$D$5:$D$9,$AS329))))</f>
        <v/>
      </c>
      <c r="AV329" t="str">
        <f>IF($AQ329="","",IF(INDEX(C_Pavement!$F$5:$F$204,$AQ329)&lt;&gt;"",IF(INDEX(C_Pavement!$F$5:$F$204,$AQ329)="-","",INDEX(C_Pavement!$F$5:$F$204,$AQ329)),IF($AS329="","",INDEX(E_Rules!$E$5:$E$9,$AS329))))</f>
        <v/>
      </c>
      <c r="AW329" t="str">
        <f>IF($AQ329="","",IF(INDEX(C_Pavement!$G$5:$G$204,$AQ329)&lt;&gt;"",IF(INDEX(C_Pavement!$G$5:$G$204,$AQ329)="-","",INDEX(C_Pavement!$G$5:$G$204,$AQ329)),IF($AS329="","",INDEX(E_Rules!$F$5:$F$9,$AS329))))</f>
        <v/>
      </c>
      <c r="AX329" t="str">
        <f>IF($AQ329="","",IF(INDEX(C_Pavement!$H$5:$H$204,$AQ329)&lt;&gt;"",IF(INDEX(C_Pavement!$H$5:$H$204,$AQ329)="-","",INDEX(C_Pavement!$H$5:$H$204,$AQ329)),IF($AS329="","",INDEX(E_Rules!$G$5:$G$9,$AS329))))</f>
        <v/>
      </c>
      <c r="AY329" t="str">
        <f>IF($AQ329="","",IF(INDEX(C_Pavement!$I$5:$I$204,$AQ329)&lt;&gt;"",IF(INDEX(C_Pavement!$I$5:$I$204,$AQ329)="-","",INDEX(C_Pavement!$I$5:$I$204,$AQ329)),IF($AS329="","",INDEX(E_Rules!$H$5:$H$9,$AS329))))</f>
        <v/>
      </c>
    </row>
    <row r="330" spans="1:51" ht="15.75" customHeight="1" x14ac:dyDescent="0.3">
      <c r="A330" s="189">
        <v>325</v>
      </c>
      <c r="B330" s="180">
        <v>16200</v>
      </c>
      <c r="C330" s="180" t="s">
        <v>636</v>
      </c>
      <c r="D330" s="181" t="str">
        <f>IFERROR(LOOKUP(2,1/((A_Corridor!$A$5:$A$204&lt;&gt;"")*(A_Corridor!$A$5:$A$204&lt;=$B330)*(A_Corridor!$B$5:$B$204&gt;$B330)*(A_Corridor!$C$5:$C$204&lt;&gt;"")),IF(UPPER(A_Corridor!$C$5:$C$204)="Y",1,"")),"")</f>
        <v/>
      </c>
      <c r="E330" s="181" t="str">
        <f>IFERROR(LOOKUP(2,1/((A_Corridor!$A$5:$A$204&lt;&gt;"")*(A_Corridor!$A$5:$A$204&lt;=$B330)*(A_Corridor!$B$5:$B$204&gt;$B330)*(A_Corridor!$D$5:$D$204&lt;&gt;"")),IF(A_Corridor!$D$5:$D$204="-","",UPPER(A_Corridor!$D$5:$D$204))),"")</f>
        <v/>
      </c>
      <c r="F330" s="181" t="str">
        <f>IFERROR(LOOKUP(2,1/((A_Corridor!$A$5:$A$204&lt;&gt;"")*(A_Corridor!$A$5:$A$204&lt;=$B330)*(A_Corridor!$B$5:$B$204&gt;$B330)*(A_Corridor!$E$5:$E$204&lt;&gt;"")),IF(A_Corridor!$E$5:$E$204="-","",1)),"")</f>
        <v/>
      </c>
      <c r="G330" s="182" t="str">
        <f>IFERROR(LOOKUP(2,1/((A_Corridor!$A$5:$A$204&lt;&gt;"")*(A_Corridor!$A$5:$A$204&lt;=$B330)*(A_Corridor!$B$5:$B$204&gt;$B330)*(A_Corridor!$E$5:$E$204&lt;&gt;"")),IF(A_Corridor!$E$5:$E$204="-","",A_Corridor!$E$5:$E$204)),"")</f>
        <v/>
      </c>
      <c r="H330" s="182" t="str">
        <f>IFERROR(LOOKUP(2,1/((D_Points!$A$5:$A$204&lt;&gt;"")*(D_Points!$A$5:$A$204&gt;=$B330)*(D_Points!$A$5:$A$204&lt;$B330+P_Interval)*(UPPER(TRIM(D_Points!$B$5:$B$204))="GULLY")*(D_Points!$H$5:$H$204&lt;&gt;"")),D_Points!$H$5:$H$204),"")</f>
        <v/>
      </c>
      <c r="I330" s="181" t="str">
        <f>IFERROR(LOOKUP(2,1/((A_Corridor!$A$5:$A$204&lt;&gt;"")*(A_Corridor!$A$5:$A$204&lt;=$B330)*(A_Corridor!$B$5:$B$204&gt;$B330)*(A_Corridor!$F$5:$F$204&lt;&gt;"")),IF(A_Corridor!$F$5:$F$204="-","",1)),"")</f>
        <v/>
      </c>
      <c r="J330" s="182" t="str">
        <f>IFERROR(LOOKUP(2,1/((A_Corridor!$A$5:$A$204&lt;&gt;"")*(A_Corridor!$A$5:$A$204&lt;=$B330)*(A_Corridor!$B$5:$B$204&gt;$B330)*(A_Corridor!$F$5:$F$204&lt;&gt;"")),IF(A_Corridor!$F$5:$F$204="-","",A_Corridor!$F$5:$F$204)),"")</f>
        <v/>
      </c>
      <c r="K330" s="182" t="str">
        <f>IFERROR(LOOKUP(2,1/((A_Corridor!$A$5:$A$204&lt;&gt;"")*(A_Corridor!$A$5:$A$204&lt;=$B330)*(A_Corridor!$B$5:$B$204&gt;$B330)*(A_Corridor!$G$5:$G$204&lt;&gt;"")),IF(A_Corridor!$G$5:$G$204="-","",A_Corridor!$G$5:$G$204)),"")</f>
        <v/>
      </c>
      <c r="L330" s="181" t="str">
        <f>IFERROR(LOOKUP(2,1/((A_Corridor!$A$5:$A$204&lt;&gt;"")*(A_Corridor!$A$5:$A$204&lt;=$B330)*(A_Corridor!$B$5:$B$204&gt;$B330)*(A_Corridor!$H$5:$H$204&lt;&gt;"")),IF(A_Corridor!$H$5:$H$204="-","",1)),"")</f>
        <v/>
      </c>
      <c r="M330" s="182" t="str">
        <f>IFERROR(LOOKUP(2,1/((A_Corridor!$A$5:$A$204&lt;&gt;"")*(A_Corridor!$A$5:$A$204&lt;=$B330)*(A_Corridor!$B$5:$B$204&gt;$B330)*(A_Corridor!$H$5:$H$204&lt;&gt;"")),IF(A_Corridor!$H$5:$H$204="-","",A_Corridor!$H$5:$H$204)),"")</f>
        <v/>
      </c>
      <c r="N330" s="182" t="str">
        <f>IFERROR(LOOKUP(2,1/((A_Corridor!$A$5:$A$204&lt;&gt;"")*(A_Corridor!$A$5:$A$204&lt;=$B330)*(A_Corridor!$B$5:$B$204&gt;$B330)*(A_Corridor!$I$5:$I$204&lt;&gt;"")),IF(A_Corridor!$I$5:$I$204="-","",A_Corridor!$I$5:$I$204)),"")</f>
        <v/>
      </c>
      <c r="O330" s="182" t="str">
        <f>IFERROR(LOOKUP(2,1/((D_Points!$A$5:$A$204&lt;&gt;"")*(D_Points!$A$5:$A$204&gt;=$B330)*(D_Points!$A$5:$A$204&lt;$B330+P_Interval)*(UPPER(TRIM(D_Points!$B$5:$B$204))="PITCHING")*(D_Points!$H$5:$H$204&lt;&gt;"")),D_Points!$H$5:$H$204),"")</f>
        <v/>
      </c>
      <c r="P330" s="181" t="str">
        <f>IFERROR(LOOKUP(2,1/((B_Drainage!$A$5:$A$204&lt;&gt;"")*(B_Drainage!$A$5:$A$204&lt;=$B330)*(B_Drainage!$B$5:$B$204&gt;$B330)*(B_Drainage!$C$5:$C$204&lt;&gt;"")),IF(B_Drainage!$C$5:$C$204="-","",UPPER(B_Drainage!$C$5:$C$204))),"")</f>
        <v/>
      </c>
      <c r="Q330" s="181" t="str">
        <f>IFERROR(LOOKUP(2,1/((B_Drainage!$A$5:$A$204&lt;&gt;"")*(B_Drainage!$A$5:$A$204&lt;=$B330)*(B_Drainage!$B$5:$B$204&gt;$B330)*(B_Drainage!$D$5:$D$204&lt;&gt;"")),IF(B_Drainage!$D$5:$D$204="-","",UPPER(B_Drainage!$D$5:$D$204))),"")</f>
        <v/>
      </c>
      <c r="R330" s="182" t="str">
        <f>IFERROR(LOOKUP(2,1/((D_Points!$A$5:$A$204&lt;&gt;"")*(D_Points!$A$5:$A$204&gt;=$B330)*(D_Points!$A$5:$A$204&lt;$B330+P_Interval)*(RIGHT(UPPER(TRIM(D_Points!$B$5:$B$204)),8)="_CULVERT")),IF(LEFT(UPPER(TRIM(D_Points!$B$5:$B$204)),2)="EX",1,IF(LEFT(UPPER(TRIM(D_Points!$B$5:$B$204)),2)="PR",2,3))),"")</f>
        <v/>
      </c>
      <c r="S330" s="182" t="str">
        <f>IFERROR(LOOKUP(2,1/((D_Points!$A$5:$A$204&lt;&gt;"")*(D_Points!$A$5:$A$204&gt;=$B330)*(D_Points!$A$5:$A$204&lt;$B330+P_Interval)*(RIGHT(UPPER(TRIM(D_Points!$B$5:$B$204)),7)="_BRIDGE")),IF(LEFT(UPPER(TRIM(D_Points!$B$5:$B$204)),2)="EX",1,IF(LEFT(UPPER(TRIM(D_Points!$B$5:$B$204)),2)="PR",2,2))),"")</f>
        <v/>
      </c>
      <c r="T330" s="181" t="str">
        <f>IFERROR(LOOKUP(2,1/((B_Drainage!$A$5:$A$204&lt;&gt;"")*(B_Drainage!$A$5:$A$204&lt;=$B330)*(B_Drainage!$B$5:$B$204&gt;$B330)*(B_Drainage!$E$5:$E$204&lt;&gt;"")),IF(B_Drainage!$E$5:$E$204="-","",1)),"")</f>
        <v/>
      </c>
      <c r="U330" s="181" t="str">
        <f>IFERROR(LOOKUP(2,1/((B_Drainage!$A$5:$A$204&lt;&gt;"")*(B_Drainage!$A$5:$A$204&lt;=$B330)*(B_Drainage!$B$5:$B$204&gt;$B330)*(B_Drainage!$E$5:$E$204&lt;&gt;"")),IF(B_Drainage!$E$5:$E$204="-","",B_Drainage!$E$5:$E$204)),"")</f>
        <v/>
      </c>
      <c r="V330" s="181" t="str">
        <f>IFERROR(LOOKUP(2,1/((B_Drainage!$A$5:$A$204&lt;&gt;"")*(B_Drainage!$A$5:$A$204&lt;=$B330)*(B_Drainage!$B$5:$B$204&gt;$B330)*(B_Drainage!$F$5:$F$204&lt;&gt;"")),IF(B_Drainage!$F$5:$F$204="-","",1)),"")</f>
        <v/>
      </c>
      <c r="W330" s="181" t="str">
        <f>IFERROR(LOOKUP(2,1/((B_Drainage!$A$5:$A$204&lt;&gt;"")*(B_Drainage!$A$5:$A$204&lt;=$B330)*(B_Drainage!$B$5:$B$204&gt;$B330)*(B_Drainage!$F$5:$F$204&lt;&gt;"")),IF(B_Drainage!$F$5:$F$204="-","",B_Drainage!$F$5:$F$204)),"")</f>
        <v/>
      </c>
      <c r="X330" s="181" t="str">
        <f>IFERROR(LOOKUP(2,1/((B_Drainage!$A$5:$A$204&lt;&gt;"")*(B_Drainage!$A$5:$A$204&lt;=$B330)*(B_Drainage!$B$5:$B$204&gt;$B330)*(B_Drainage!$G$5:$G$204&lt;&gt;"")),IF(UPPER(B_Drainage!$G$5:$G$204)="Y",1,"")),"")</f>
        <v/>
      </c>
      <c r="Y330" s="181" t="str">
        <f>IFERROR(LOOKUP(2,1/((B_Drainage!$A$5:$A$204&lt;&gt;"")*(B_Drainage!$A$5:$A$204&lt;=$B330)*(B_Drainage!$B$5:$B$204&gt;$B330)*(B_Drainage!$H$5:$H$204&lt;&gt;"")),IF(UPPER(B_Drainage!$H$5:$H$204)="Y",1,"")),"")</f>
        <v/>
      </c>
      <c r="Z330" s="181" t="str">
        <f>IFERROR(LOOKUP(2,1/((B_Drainage!$A$5:$A$204&lt;&gt;"")*(B_Drainage!$A$5:$A$204&lt;=$B330)*(B_Drainage!$B$5:$B$204&gt;$B330)*(B_Drainage!$I$5:$I$204&lt;&gt;"")),IF(UPPER(B_Drainage!$I$5:$I$204)="Y",1,"")),"")</f>
        <v/>
      </c>
      <c r="AA330" s="181" t="str">
        <f>IFERROR(LOOKUP(2,1/((B_Drainage!$A$5:$A$204&lt;&gt;"")*(B_Drainage!$A$5:$A$204&lt;=$B330)*(B_Drainage!$B$5:$B$204&gt;$B330)*(B_Drainage!$J$5:$J$204&lt;&gt;"")),IF(UPPER(B_Drainage!$J$5:$J$204)="Y",1,"")),"")</f>
        <v/>
      </c>
      <c r="AB330" s="182" t="str">
        <f>IFERROR(LOOKUP(2,1/((B_Drainage!$A$5:$A$204&lt;&gt;"")*(B_Drainage!$A$5:$A$204&lt;=$B330)*(B_Drainage!$B$5:$B$204&gt;$B330)*(B_Drainage!$K$5:$K$204&lt;&gt;"")),IF(B_Drainage!$K$5:$K$204="-","",B_Drainage!$K$5:$K$204)),"")</f>
        <v/>
      </c>
      <c r="AC330" s="182" t="str">
        <f>IFERROR(LOOKUP(2,1/((B_Drainage!$A$5:$A$204&lt;&gt;"")*(B_Drainage!$A$5:$A$204&lt;=$B330)*(B_Drainage!$B$5:$B$204&gt;$B330)*(B_Drainage!$L$5:$L$204&lt;&gt;"")),IF(B_Drainage!$L$5:$L$204="-","",B_Drainage!$L$5:$L$204)),"")</f>
        <v/>
      </c>
      <c r="AD330" s="182" t="str">
        <f>IFERROR(LOOKUP(2,1/((D_Points!$A$5:$A$204&lt;&gt;"")*(D_Points!$A$5:$A$204&gt;=$B330)*(D_Points!$A$5:$A$204&lt;$B330+P_Interval)*(UPPER(TRIM(D_Points!$B$5:$B$204))="TURNOUT_L")*(D_Points!$H$5:$H$204&lt;&gt;"")),D_Points!$H$5:$H$204),"")</f>
        <v/>
      </c>
      <c r="AE330" s="182" t="str">
        <f>IFERROR(LOOKUP(2,1/((D_Points!$A$5:$A$204&lt;&gt;"")*(D_Points!$A$5:$A$204&gt;=$B330)*(D_Points!$A$5:$A$204&lt;$B330+P_Interval)*(UPPER(TRIM(D_Points!$B$5:$B$204))="TURNOUT_R")*(D_Points!$H$5:$H$204&lt;&gt;"")),D_Points!$H$5:$H$204),"")</f>
        <v/>
      </c>
      <c r="AF330" s="181" t="str">
        <f>IFERROR(LOOKUP(2,1/((B_Drainage!$A$5:$A$204&lt;&gt;"")*(B_Drainage!$A$5:$A$204&lt;=$B330)*(B_Drainage!$B$5:$B$204&gt;$B330)*(B_Drainage!$M$5:$M$204&lt;&gt;"")),IF(UPPER(B_Drainage!$M$5:$M$204)="Y",1,"")),"")</f>
        <v/>
      </c>
      <c r="AG330" s="181" t="str">
        <f>IFERROR(LOOKUP(2,1/((B_Drainage!$A$5:$A$204&lt;&gt;"")*(B_Drainage!$A$5:$A$204&lt;=$B330)*(B_Drainage!$B$5:$B$204&gt;$B330)*(B_Drainage!$N$5:$N$204&lt;&gt;"")),IF(UPPER(B_Drainage!$N$5:$N$204)="Y",1,"")),"")</f>
        <v/>
      </c>
      <c r="AH330" s="181" t="str">
        <f t="shared" si="40"/>
        <v/>
      </c>
      <c r="AI330" s="181" t="str">
        <f t="shared" si="41"/>
        <v/>
      </c>
      <c r="AJ330" s="181" t="str">
        <f t="shared" si="42"/>
        <v/>
      </c>
      <c r="AK330" s="181" t="str">
        <f t="shared" si="43"/>
        <v/>
      </c>
      <c r="AL330" s="181" t="str">
        <f t="shared" si="44"/>
        <v/>
      </c>
      <c r="AM330" s="181" t="str">
        <f t="shared" si="45"/>
        <v/>
      </c>
      <c r="AN330" s="181" t="str">
        <f t="shared" si="46"/>
        <v/>
      </c>
      <c r="AO330" s="192" t="str">
        <f t="shared" si="47"/>
        <v/>
      </c>
      <c r="AQ330" t="str">
        <f>IFERROR(LOOKUP(2,1/((C_Pavement!$A$5:$A$204&lt;&gt;"")*(C_Pavement!$A$5:$A$204&lt;=$B330)*(C_Pavement!$B$5:$B$204&gt;$B330)*(C_Pavement!$C$5:$C$204&lt;&gt;"")),ROW(C_Pavement!$C$5:$C$204)-4),"")</f>
        <v/>
      </c>
      <c r="AR330" t="str">
        <f>IF($AQ330="","",UPPER(TRIM(INDEX(C_Pavement!$C$5:$C$204,$AQ330))))</f>
        <v/>
      </c>
      <c r="AS330" t="str">
        <f>IF($AR330="","",IFERROR(MATCH($AR330,E_Rules!$A$5:$A$9,0),""))</f>
        <v/>
      </c>
      <c r="AT330" t="str">
        <f>IF($AQ330="","",IF(INDEX(C_Pavement!$D$5:$D$204,$AQ330)&lt;&gt;"",UPPER(TRIM(INDEX(C_Pavement!$D$5:$D$204,$AQ330))),IF($AS330="","",INDEX(E_Rules!$C$5:$C$9,$AS330))))</f>
        <v/>
      </c>
      <c r="AU330" t="str">
        <f>IF($AQ330="","",IF(INDEX(C_Pavement!$E$5:$E$204,$AQ330)&lt;&gt;"",IF(INDEX(C_Pavement!$E$5:$E$204,$AQ330)="-","",INDEX(C_Pavement!$E$5:$E$204,$AQ330)),IF($AS330="","",INDEX(E_Rules!$D$5:$D$9,$AS330))))</f>
        <v/>
      </c>
      <c r="AV330" t="str">
        <f>IF($AQ330="","",IF(INDEX(C_Pavement!$F$5:$F$204,$AQ330)&lt;&gt;"",IF(INDEX(C_Pavement!$F$5:$F$204,$AQ330)="-","",INDEX(C_Pavement!$F$5:$F$204,$AQ330)),IF($AS330="","",INDEX(E_Rules!$E$5:$E$9,$AS330))))</f>
        <v/>
      </c>
      <c r="AW330" t="str">
        <f>IF($AQ330="","",IF(INDEX(C_Pavement!$G$5:$G$204,$AQ330)&lt;&gt;"",IF(INDEX(C_Pavement!$G$5:$G$204,$AQ330)="-","",INDEX(C_Pavement!$G$5:$G$204,$AQ330)),IF($AS330="","",INDEX(E_Rules!$F$5:$F$9,$AS330))))</f>
        <v/>
      </c>
      <c r="AX330" t="str">
        <f>IF($AQ330="","",IF(INDEX(C_Pavement!$H$5:$H$204,$AQ330)&lt;&gt;"",IF(INDEX(C_Pavement!$H$5:$H$204,$AQ330)="-","",INDEX(C_Pavement!$H$5:$H$204,$AQ330)),IF($AS330="","",INDEX(E_Rules!$G$5:$G$9,$AS330))))</f>
        <v/>
      </c>
      <c r="AY330" t="str">
        <f>IF($AQ330="","",IF(INDEX(C_Pavement!$I$5:$I$204,$AQ330)&lt;&gt;"",IF(INDEX(C_Pavement!$I$5:$I$204,$AQ330)="-","",INDEX(C_Pavement!$I$5:$I$204,$AQ330)),IF($AS330="","",INDEX(E_Rules!$H$5:$H$9,$AS330))))</f>
        <v/>
      </c>
    </row>
    <row r="331" spans="1:51" ht="15.75" customHeight="1" x14ac:dyDescent="0.3">
      <c r="A331" s="189">
        <v>326</v>
      </c>
      <c r="B331" s="180">
        <v>16250</v>
      </c>
      <c r="C331" s="180" t="s">
        <v>637</v>
      </c>
      <c r="D331" s="181" t="str">
        <f>IFERROR(LOOKUP(2,1/((A_Corridor!$A$5:$A$204&lt;&gt;"")*(A_Corridor!$A$5:$A$204&lt;=$B331)*(A_Corridor!$B$5:$B$204&gt;$B331)*(A_Corridor!$C$5:$C$204&lt;&gt;"")),IF(UPPER(A_Corridor!$C$5:$C$204)="Y",1,"")),"")</f>
        <v/>
      </c>
      <c r="E331" s="181" t="str">
        <f>IFERROR(LOOKUP(2,1/((A_Corridor!$A$5:$A$204&lt;&gt;"")*(A_Corridor!$A$5:$A$204&lt;=$B331)*(A_Corridor!$B$5:$B$204&gt;$B331)*(A_Corridor!$D$5:$D$204&lt;&gt;"")),IF(A_Corridor!$D$5:$D$204="-","",UPPER(A_Corridor!$D$5:$D$204))),"")</f>
        <v/>
      </c>
      <c r="F331" s="181" t="str">
        <f>IFERROR(LOOKUP(2,1/((A_Corridor!$A$5:$A$204&lt;&gt;"")*(A_Corridor!$A$5:$A$204&lt;=$B331)*(A_Corridor!$B$5:$B$204&gt;$B331)*(A_Corridor!$E$5:$E$204&lt;&gt;"")),IF(A_Corridor!$E$5:$E$204="-","",1)),"")</f>
        <v/>
      </c>
      <c r="G331" s="182" t="str">
        <f>IFERROR(LOOKUP(2,1/((A_Corridor!$A$5:$A$204&lt;&gt;"")*(A_Corridor!$A$5:$A$204&lt;=$B331)*(A_Corridor!$B$5:$B$204&gt;$B331)*(A_Corridor!$E$5:$E$204&lt;&gt;"")),IF(A_Corridor!$E$5:$E$204="-","",A_Corridor!$E$5:$E$204)),"")</f>
        <v/>
      </c>
      <c r="H331" s="182" t="str">
        <f>IFERROR(LOOKUP(2,1/((D_Points!$A$5:$A$204&lt;&gt;"")*(D_Points!$A$5:$A$204&gt;=$B331)*(D_Points!$A$5:$A$204&lt;$B331+P_Interval)*(UPPER(TRIM(D_Points!$B$5:$B$204))="GULLY")*(D_Points!$H$5:$H$204&lt;&gt;"")),D_Points!$H$5:$H$204),"")</f>
        <v/>
      </c>
      <c r="I331" s="181" t="str">
        <f>IFERROR(LOOKUP(2,1/((A_Corridor!$A$5:$A$204&lt;&gt;"")*(A_Corridor!$A$5:$A$204&lt;=$B331)*(A_Corridor!$B$5:$B$204&gt;$B331)*(A_Corridor!$F$5:$F$204&lt;&gt;"")),IF(A_Corridor!$F$5:$F$204="-","",1)),"")</f>
        <v/>
      </c>
      <c r="J331" s="182" t="str">
        <f>IFERROR(LOOKUP(2,1/((A_Corridor!$A$5:$A$204&lt;&gt;"")*(A_Corridor!$A$5:$A$204&lt;=$B331)*(A_Corridor!$B$5:$B$204&gt;$B331)*(A_Corridor!$F$5:$F$204&lt;&gt;"")),IF(A_Corridor!$F$5:$F$204="-","",A_Corridor!$F$5:$F$204)),"")</f>
        <v/>
      </c>
      <c r="K331" s="182" t="str">
        <f>IFERROR(LOOKUP(2,1/((A_Corridor!$A$5:$A$204&lt;&gt;"")*(A_Corridor!$A$5:$A$204&lt;=$B331)*(A_Corridor!$B$5:$B$204&gt;$B331)*(A_Corridor!$G$5:$G$204&lt;&gt;"")),IF(A_Corridor!$G$5:$G$204="-","",A_Corridor!$G$5:$G$204)),"")</f>
        <v/>
      </c>
      <c r="L331" s="181" t="str">
        <f>IFERROR(LOOKUP(2,1/((A_Corridor!$A$5:$A$204&lt;&gt;"")*(A_Corridor!$A$5:$A$204&lt;=$B331)*(A_Corridor!$B$5:$B$204&gt;$B331)*(A_Corridor!$H$5:$H$204&lt;&gt;"")),IF(A_Corridor!$H$5:$H$204="-","",1)),"")</f>
        <v/>
      </c>
      <c r="M331" s="182" t="str">
        <f>IFERROR(LOOKUP(2,1/((A_Corridor!$A$5:$A$204&lt;&gt;"")*(A_Corridor!$A$5:$A$204&lt;=$B331)*(A_Corridor!$B$5:$B$204&gt;$B331)*(A_Corridor!$H$5:$H$204&lt;&gt;"")),IF(A_Corridor!$H$5:$H$204="-","",A_Corridor!$H$5:$H$204)),"")</f>
        <v/>
      </c>
      <c r="N331" s="182" t="str">
        <f>IFERROR(LOOKUP(2,1/((A_Corridor!$A$5:$A$204&lt;&gt;"")*(A_Corridor!$A$5:$A$204&lt;=$B331)*(A_Corridor!$B$5:$B$204&gt;$B331)*(A_Corridor!$I$5:$I$204&lt;&gt;"")),IF(A_Corridor!$I$5:$I$204="-","",A_Corridor!$I$5:$I$204)),"")</f>
        <v/>
      </c>
      <c r="O331" s="182" t="str">
        <f>IFERROR(LOOKUP(2,1/((D_Points!$A$5:$A$204&lt;&gt;"")*(D_Points!$A$5:$A$204&gt;=$B331)*(D_Points!$A$5:$A$204&lt;$B331+P_Interval)*(UPPER(TRIM(D_Points!$B$5:$B$204))="PITCHING")*(D_Points!$H$5:$H$204&lt;&gt;"")),D_Points!$H$5:$H$204),"")</f>
        <v/>
      </c>
      <c r="P331" s="181" t="str">
        <f>IFERROR(LOOKUP(2,1/((B_Drainage!$A$5:$A$204&lt;&gt;"")*(B_Drainage!$A$5:$A$204&lt;=$B331)*(B_Drainage!$B$5:$B$204&gt;$B331)*(B_Drainage!$C$5:$C$204&lt;&gt;"")),IF(B_Drainage!$C$5:$C$204="-","",UPPER(B_Drainage!$C$5:$C$204))),"")</f>
        <v/>
      </c>
      <c r="Q331" s="181" t="str">
        <f>IFERROR(LOOKUP(2,1/((B_Drainage!$A$5:$A$204&lt;&gt;"")*(B_Drainage!$A$5:$A$204&lt;=$B331)*(B_Drainage!$B$5:$B$204&gt;$B331)*(B_Drainage!$D$5:$D$204&lt;&gt;"")),IF(B_Drainage!$D$5:$D$204="-","",UPPER(B_Drainage!$D$5:$D$204))),"")</f>
        <v/>
      </c>
      <c r="R331" s="182" t="str">
        <f>IFERROR(LOOKUP(2,1/((D_Points!$A$5:$A$204&lt;&gt;"")*(D_Points!$A$5:$A$204&gt;=$B331)*(D_Points!$A$5:$A$204&lt;$B331+P_Interval)*(RIGHT(UPPER(TRIM(D_Points!$B$5:$B$204)),8)="_CULVERT")),IF(LEFT(UPPER(TRIM(D_Points!$B$5:$B$204)),2)="EX",1,IF(LEFT(UPPER(TRIM(D_Points!$B$5:$B$204)),2)="PR",2,3))),"")</f>
        <v/>
      </c>
      <c r="S331" s="182" t="str">
        <f>IFERROR(LOOKUP(2,1/((D_Points!$A$5:$A$204&lt;&gt;"")*(D_Points!$A$5:$A$204&gt;=$B331)*(D_Points!$A$5:$A$204&lt;$B331+P_Interval)*(RIGHT(UPPER(TRIM(D_Points!$B$5:$B$204)),7)="_BRIDGE")),IF(LEFT(UPPER(TRIM(D_Points!$B$5:$B$204)),2)="EX",1,IF(LEFT(UPPER(TRIM(D_Points!$B$5:$B$204)),2)="PR",2,2))),"")</f>
        <v/>
      </c>
      <c r="T331" s="181" t="str">
        <f>IFERROR(LOOKUP(2,1/((B_Drainage!$A$5:$A$204&lt;&gt;"")*(B_Drainage!$A$5:$A$204&lt;=$B331)*(B_Drainage!$B$5:$B$204&gt;$B331)*(B_Drainage!$E$5:$E$204&lt;&gt;"")),IF(B_Drainage!$E$5:$E$204="-","",1)),"")</f>
        <v/>
      </c>
      <c r="U331" s="181" t="str">
        <f>IFERROR(LOOKUP(2,1/((B_Drainage!$A$5:$A$204&lt;&gt;"")*(B_Drainage!$A$5:$A$204&lt;=$B331)*(B_Drainage!$B$5:$B$204&gt;$B331)*(B_Drainage!$E$5:$E$204&lt;&gt;"")),IF(B_Drainage!$E$5:$E$204="-","",B_Drainage!$E$5:$E$204)),"")</f>
        <v/>
      </c>
      <c r="V331" s="181" t="str">
        <f>IFERROR(LOOKUP(2,1/((B_Drainage!$A$5:$A$204&lt;&gt;"")*(B_Drainage!$A$5:$A$204&lt;=$B331)*(B_Drainage!$B$5:$B$204&gt;$B331)*(B_Drainage!$F$5:$F$204&lt;&gt;"")),IF(B_Drainage!$F$5:$F$204="-","",1)),"")</f>
        <v/>
      </c>
      <c r="W331" s="181" t="str">
        <f>IFERROR(LOOKUP(2,1/((B_Drainage!$A$5:$A$204&lt;&gt;"")*(B_Drainage!$A$5:$A$204&lt;=$B331)*(B_Drainage!$B$5:$B$204&gt;$B331)*(B_Drainage!$F$5:$F$204&lt;&gt;"")),IF(B_Drainage!$F$5:$F$204="-","",B_Drainage!$F$5:$F$204)),"")</f>
        <v/>
      </c>
      <c r="X331" s="181" t="str">
        <f>IFERROR(LOOKUP(2,1/((B_Drainage!$A$5:$A$204&lt;&gt;"")*(B_Drainage!$A$5:$A$204&lt;=$B331)*(B_Drainage!$B$5:$B$204&gt;$B331)*(B_Drainage!$G$5:$G$204&lt;&gt;"")),IF(UPPER(B_Drainage!$G$5:$G$204)="Y",1,"")),"")</f>
        <v/>
      </c>
      <c r="Y331" s="181" t="str">
        <f>IFERROR(LOOKUP(2,1/((B_Drainage!$A$5:$A$204&lt;&gt;"")*(B_Drainage!$A$5:$A$204&lt;=$B331)*(B_Drainage!$B$5:$B$204&gt;$B331)*(B_Drainage!$H$5:$H$204&lt;&gt;"")),IF(UPPER(B_Drainage!$H$5:$H$204)="Y",1,"")),"")</f>
        <v/>
      </c>
      <c r="Z331" s="181" t="str">
        <f>IFERROR(LOOKUP(2,1/((B_Drainage!$A$5:$A$204&lt;&gt;"")*(B_Drainage!$A$5:$A$204&lt;=$B331)*(B_Drainage!$B$5:$B$204&gt;$B331)*(B_Drainage!$I$5:$I$204&lt;&gt;"")),IF(UPPER(B_Drainage!$I$5:$I$204)="Y",1,"")),"")</f>
        <v/>
      </c>
      <c r="AA331" s="181" t="str">
        <f>IFERROR(LOOKUP(2,1/((B_Drainage!$A$5:$A$204&lt;&gt;"")*(B_Drainage!$A$5:$A$204&lt;=$B331)*(B_Drainage!$B$5:$B$204&gt;$B331)*(B_Drainage!$J$5:$J$204&lt;&gt;"")),IF(UPPER(B_Drainage!$J$5:$J$204)="Y",1,"")),"")</f>
        <v/>
      </c>
      <c r="AB331" s="182" t="str">
        <f>IFERROR(LOOKUP(2,1/((B_Drainage!$A$5:$A$204&lt;&gt;"")*(B_Drainage!$A$5:$A$204&lt;=$B331)*(B_Drainage!$B$5:$B$204&gt;$B331)*(B_Drainage!$K$5:$K$204&lt;&gt;"")),IF(B_Drainage!$K$5:$K$204="-","",B_Drainage!$K$5:$K$204)),"")</f>
        <v/>
      </c>
      <c r="AC331" s="182" t="str">
        <f>IFERROR(LOOKUP(2,1/((B_Drainage!$A$5:$A$204&lt;&gt;"")*(B_Drainage!$A$5:$A$204&lt;=$B331)*(B_Drainage!$B$5:$B$204&gt;$B331)*(B_Drainage!$L$5:$L$204&lt;&gt;"")),IF(B_Drainage!$L$5:$L$204="-","",B_Drainage!$L$5:$L$204)),"")</f>
        <v/>
      </c>
      <c r="AD331" s="182" t="str">
        <f>IFERROR(LOOKUP(2,1/((D_Points!$A$5:$A$204&lt;&gt;"")*(D_Points!$A$5:$A$204&gt;=$B331)*(D_Points!$A$5:$A$204&lt;$B331+P_Interval)*(UPPER(TRIM(D_Points!$B$5:$B$204))="TURNOUT_L")*(D_Points!$H$5:$H$204&lt;&gt;"")),D_Points!$H$5:$H$204),"")</f>
        <v/>
      </c>
      <c r="AE331" s="182" t="str">
        <f>IFERROR(LOOKUP(2,1/((D_Points!$A$5:$A$204&lt;&gt;"")*(D_Points!$A$5:$A$204&gt;=$B331)*(D_Points!$A$5:$A$204&lt;$B331+P_Interval)*(UPPER(TRIM(D_Points!$B$5:$B$204))="TURNOUT_R")*(D_Points!$H$5:$H$204&lt;&gt;"")),D_Points!$H$5:$H$204),"")</f>
        <v/>
      </c>
      <c r="AF331" s="181" t="str">
        <f>IFERROR(LOOKUP(2,1/((B_Drainage!$A$5:$A$204&lt;&gt;"")*(B_Drainage!$A$5:$A$204&lt;=$B331)*(B_Drainage!$B$5:$B$204&gt;$B331)*(B_Drainage!$M$5:$M$204&lt;&gt;"")),IF(UPPER(B_Drainage!$M$5:$M$204)="Y",1,"")),"")</f>
        <v/>
      </c>
      <c r="AG331" s="181" t="str">
        <f>IFERROR(LOOKUP(2,1/((B_Drainage!$A$5:$A$204&lt;&gt;"")*(B_Drainage!$A$5:$A$204&lt;=$B331)*(B_Drainage!$B$5:$B$204&gt;$B331)*(B_Drainage!$N$5:$N$204&lt;&gt;"")),IF(UPPER(B_Drainage!$N$5:$N$204)="Y",1,"")),"")</f>
        <v/>
      </c>
      <c r="AH331" s="181" t="str">
        <f t="shared" si="40"/>
        <v/>
      </c>
      <c r="AI331" s="181" t="str">
        <f t="shared" si="41"/>
        <v/>
      </c>
      <c r="AJ331" s="181" t="str">
        <f t="shared" si="42"/>
        <v/>
      </c>
      <c r="AK331" s="181" t="str">
        <f t="shared" si="43"/>
        <v/>
      </c>
      <c r="AL331" s="181" t="str">
        <f t="shared" si="44"/>
        <v/>
      </c>
      <c r="AM331" s="181" t="str">
        <f t="shared" si="45"/>
        <v/>
      </c>
      <c r="AN331" s="181" t="str">
        <f t="shared" si="46"/>
        <v/>
      </c>
      <c r="AO331" s="192" t="str">
        <f t="shared" si="47"/>
        <v/>
      </c>
      <c r="AQ331" t="str">
        <f>IFERROR(LOOKUP(2,1/((C_Pavement!$A$5:$A$204&lt;&gt;"")*(C_Pavement!$A$5:$A$204&lt;=$B331)*(C_Pavement!$B$5:$B$204&gt;$B331)*(C_Pavement!$C$5:$C$204&lt;&gt;"")),ROW(C_Pavement!$C$5:$C$204)-4),"")</f>
        <v/>
      </c>
      <c r="AR331" t="str">
        <f>IF($AQ331="","",UPPER(TRIM(INDEX(C_Pavement!$C$5:$C$204,$AQ331))))</f>
        <v/>
      </c>
      <c r="AS331" t="str">
        <f>IF($AR331="","",IFERROR(MATCH($AR331,E_Rules!$A$5:$A$9,0),""))</f>
        <v/>
      </c>
      <c r="AT331" t="str">
        <f>IF($AQ331="","",IF(INDEX(C_Pavement!$D$5:$D$204,$AQ331)&lt;&gt;"",UPPER(TRIM(INDEX(C_Pavement!$D$5:$D$204,$AQ331))),IF($AS331="","",INDEX(E_Rules!$C$5:$C$9,$AS331))))</f>
        <v/>
      </c>
      <c r="AU331" t="str">
        <f>IF($AQ331="","",IF(INDEX(C_Pavement!$E$5:$E$204,$AQ331)&lt;&gt;"",IF(INDEX(C_Pavement!$E$5:$E$204,$AQ331)="-","",INDEX(C_Pavement!$E$5:$E$204,$AQ331)),IF($AS331="","",INDEX(E_Rules!$D$5:$D$9,$AS331))))</f>
        <v/>
      </c>
      <c r="AV331" t="str">
        <f>IF($AQ331="","",IF(INDEX(C_Pavement!$F$5:$F$204,$AQ331)&lt;&gt;"",IF(INDEX(C_Pavement!$F$5:$F$204,$AQ331)="-","",INDEX(C_Pavement!$F$5:$F$204,$AQ331)),IF($AS331="","",INDEX(E_Rules!$E$5:$E$9,$AS331))))</f>
        <v/>
      </c>
      <c r="AW331" t="str">
        <f>IF($AQ331="","",IF(INDEX(C_Pavement!$G$5:$G$204,$AQ331)&lt;&gt;"",IF(INDEX(C_Pavement!$G$5:$G$204,$AQ331)="-","",INDEX(C_Pavement!$G$5:$G$204,$AQ331)),IF($AS331="","",INDEX(E_Rules!$F$5:$F$9,$AS331))))</f>
        <v/>
      </c>
      <c r="AX331" t="str">
        <f>IF($AQ331="","",IF(INDEX(C_Pavement!$H$5:$H$204,$AQ331)&lt;&gt;"",IF(INDEX(C_Pavement!$H$5:$H$204,$AQ331)="-","",INDEX(C_Pavement!$H$5:$H$204,$AQ331)),IF($AS331="","",INDEX(E_Rules!$G$5:$G$9,$AS331))))</f>
        <v/>
      </c>
      <c r="AY331" t="str">
        <f>IF($AQ331="","",IF(INDEX(C_Pavement!$I$5:$I$204,$AQ331)&lt;&gt;"",IF(INDEX(C_Pavement!$I$5:$I$204,$AQ331)="-","",INDEX(C_Pavement!$I$5:$I$204,$AQ331)),IF($AS331="","",INDEX(E_Rules!$H$5:$H$9,$AS331))))</f>
        <v/>
      </c>
    </row>
    <row r="332" spans="1:51" ht="15.75" customHeight="1" x14ac:dyDescent="0.3">
      <c r="A332" s="189">
        <v>327</v>
      </c>
      <c r="B332" s="180">
        <v>16300</v>
      </c>
      <c r="C332" s="180" t="s">
        <v>638</v>
      </c>
      <c r="D332" s="181" t="str">
        <f>IFERROR(LOOKUP(2,1/((A_Corridor!$A$5:$A$204&lt;&gt;"")*(A_Corridor!$A$5:$A$204&lt;=$B332)*(A_Corridor!$B$5:$B$204&gt;$B332)*(A_Corridor!$C$5:$C$204&lt;&gt;"")),IF(UPPER(A_Corridor!$C$5:$C$204)="Y",1,"")),"")</f>
        <v/>
      </c>
      <c r="E332" s="181" t="str">
        <f>IFERROR(LOOKUP(2,1/((A_Corridor!$A$5:$A$204&lt;&gt;"")*(A_Corridor!$A$5:$A$204&lt;=$B332)*(A_Corridor!$B$5:$B$204&gt;$B332)*(A_Corridor!$D$5:$D$204&lt;&gt;"")),IF(A_Corridor!$D$5:$D$204="-","",UPPER(A_Corridor!$D$5:$D$204))),"")</f>
        <v/>
      </c>
      <c r="F332" s="181" t="str">
        <f>IFERROR(LOOKUP(2,1/((A_Corridor!$A$5:$A$204&lt;&gt;"")*(A_Corridor!$A$5:$A$204&lt;=$B332)*(A_Corridor!$B$5:$B$204&gt;$B332)*(A_Corridor!$E$5:$E$204&lt;&gt;"")),IF(A_Corridor!$E$5:$E$204="-","",1)),"")</f>
        <v/>
      </c>
      <c r="G332" s="182" t="str">
        <f>IFERROR(LOOKUP(2,1/((A_Corridor!$A$5:$A$204&lt;&gt;"")*(A_Corridor!$A$5:$A$204&lt;=$B332)*(A_Corridor!$B$5:$B$204&gt;$B332)*(A_Corridor!$E$5:$E$204&lt;&gt;"")),IF(A_Corridor!$E$5:$E$204="-","",A_Corridor!$E$5:$E$204)),"")</f>
        <v/>
      </c>
      <c r="H332" s="182" t="str">
        <f>IFERROR(LOOKUP(2,1/((D_Points!$A$5:$A$204&lt;&gt;"")*(D_Points!$A$5:$A$204&gt;=$B332)*(D_Points!$A$5:$A$204&lt;$B332+P_Interval)*(UPPER(TRIM(D_Points!$B$5:$B$204))="GULLY")*(D_Points!$H$5:$H$204&lt;&gt;"")),D_Points!$H$5:$H$204),"")</f>
        <v/>
      </c>
      <c r="I332" s="181" t="str">
        <f>IFERROR(LOOKUP(2,1/((A_Corridor!$A$5:$A$204&lt;&gt;"")*(A_Corridor!$A$5:$A$204&lt;=$B332)*(A_Corridor!$B$5:$B$204&gt;$B332)*(A_Corridor!$F$5:$F$204&lt;&gt;"")),IF(A_Corridor!$F$5:$F$204="-","",1)),"")</f>
        <v/>
      </c>
      <c r="J332" s="182" t="str">
        <f>IFERROR(LOOKUP(2,1/((A_Corridor!$A$5:$A$204&lt;&gt;"")*(A_Corridor!$A$5:$A$204&lt;=$B332)*(A_Corridor!$B$5:$B$204&gt;$B332)*(A_Corridor!$F$5:$F$204&lt;&gt;"")),IF(A_Corridor!$F$5:$F$204="-","",A_Corridor!$F$5:$F$204)),"")</f>
        <v/>
      </c>
      <c r="K332" s="182" t="str">
        <f>IFERROR(LOOKUP(2,1/((A_Corridor!$A$5:$A$204&lt;&gt;"")*(A_Corridor!$A$5:$A$204&lt;=$B332)*(A_Corridor!$B$5:$B$204&gt;$B332)*(A_Corridor!$G$5:$G$204&lt;&gt;"")),IF(A_Corridor!$G$5:$G$204="-","",A_Corridor!$G$5:$G$204)),"")</f>
        <v/>
      </c>
      <c r="L332" s="181" t="str">
        <f>IFERROR(LOOKUP(2,1/((A_Corridor!$A$5:$A$204&lt;&gt;"")*(A_Corridor!$A$5:$A$204&lt;=$B332)*(A_Corridor!$B$5:$B$204&gt;$B332)*(A_Corridor!$H$5:$H$204&lt;&gt;"")),IF(A_Corridor!$H$5:$H$204="-","",1)),"")</f>
        <v/>
      </c>
      <c r="M332" s="182" t="str">
        <f>IFERROR(LOOKUP(2,1/((A_Corridor!$A$5:$A$204&lt;&gt;"")*(A_Corridor!$A$5:$A$204&lt;=$B332)*(A_Corridor!$B$5:$B$204&gt;$B332)*(A_Corridor!$H$5:$H$204&lt;&gt;"")),IF(A_Corridor!$H$5:$H$204="-","",A_Corridor!$H$5:$H$204)),"")</f>
        <v/>
      </c>
      <c r="N332" s="182" t="str">
        <f>IFERROR(LOOKUP(2,1/((A_Corridor!$A$5:$A$204&lt;&gt;"")*(A_Corridor!$A$5:$A$204&lt;=$B332)*(A_Corridor!$B$5:$B$204&gt;$B332)*(A_Corridor!$I$5:$I$204&lt;&gt;"")),IF(A_Corridor!$I$5:$I$204="-","",A_Corridor!$I$5:$I$204)),"")</f>
        <v/>
      </c>
      <c r="O332" s="182" t="str">
        <f>IFERROR(LOOKUP(2,1/((D_Points!$A$5:$A$204&lt;&gt;"")*(D_Points!$A$5:$A$204&gt;=$B332)*(D_Points!$A$5:$A$204&lt;$B332+P_Interval)*(UPPER(TRIM(D_Points!$B$5:$B$204))="PITCHING")*(D_Points!$H$5:$H$204&lt;&gt;"")),D_Points!$H$5:$H$204),"")</f>
        <v/>
      </c>
      <c r="P332" s="181" t="str">
        <f>IFERROR(LOOKUP(2,1/((B_Drainage!$A$5:$A$204&lt;&gt;"")*(B_Drainage!$A$5:$A$204&lt;=$B332)*(B_Drainage!$B$5:$B$204&gt;$B332)*(B_Drainage!$C$5:$C$204&lt;&gt;"")),IF(B_Drainage!$C$5:$C$204="-","",UPPER(B_Drainage!$C$5:$C$204))),"")</f>
        <v/>
      </c>
      <c r="Q332" s="181" t="str">
        <f>IFERROR(LOOKUP(2,1/((B_Drainage!$A$5:$A$204&lt;&gt;"")*(B_Drainage!$A$5:$A$204&lt;=$B332)*(B_Drainage!$B$5:$B$204&gt;$B332)*(B_Drainage!$D$5:$D$204&lt;&gt;"")),IF(B_Drainage!$D$5:$D$204="-","",UPPER(B_Drainage!$D$5:$D$204))),"")</f>
        <v/>
      </c>
      <c r="R332" s="182" t="str">
        <f>IFERROR(LOOKUP(2,1/((D_Points!$A$5:$A$204&lt;&gt;"")*(D_Points!$A$5:$A$204&gt;=$B332)*(D_Points!$A$5:$A$204&lt;$B332+P_Interval)*(RIGHT(UPPER(TRIM(D_Points!$B$5:$B$204)),8)="_CULVERT")),IF(LEFT(UPPER(TRIM(D_Points!$B$5:$B$204)),2)="EX",1,IF(LEFT(UPPER(TRIM(D_Points!$B$5:$B$204)),2)="PR",2,3))),"")</f>
        <v/>
      </c>
      <c r="S332" s="182" t="str">
        <f>IFERROR(LOOKUP(2,1/((D_Points!$A$5:$A$204&lt;&gt;"")*(D_Points!$A$5:$A$204&gt;=$B332)*(D_Points!$A$5:$A$204&lt;$B332+P_Interval)*(RIGHT(UPPER(TRIM(D_Points!$B$5:$B$204)),7)="_BRIDGE")),IF(LEFT(UPPER(TRIM(D_Points!$B$5:$B$204)),2)="EX",1,IF(LEFT(UPPER(TRIM(D_Points!$B$5:$B$204)),2)="PR",2,2))),"")</f>
        <v/>
      </c>
      <c r="T332" s="181" t="str">
        <f>IFERROR(LOOKUP(2,1/((B_Drainage!$A$5:$A$204&lt;&gt;"")*(B_Drainage!$A$5:$A$204&lt;=$B332)*(B_Drainage!$B$5:$B$204&gt;$B332)*(B_Drainage!$E$5:$E$204&lt;&gt;"")),IF(B_Drainage!$E$5:$E$204="-","",1)),"")</f>
        <v/>
      </c>
      <c r="U332" s="181" t="str">
        <f>IFERROR(LOOKUP(2,1/((B_Drainage!$A$5:$A$204&lt;&gt;"")*(B_Drainage!$A$5:$A$204&lt;=$B332)*(B_Drainage!$B$5:$B$204&gt;$B332)*(B_Drainage!$E$5:$E$204&lt;&gt;"")),IF(B_Drainage!$E$5:$E$204="-","",B_Drainage!$E$5:$E$204)),"")</f>
        <v/>
      </c>
      <c r="V332" s="181" t="str">
        <f>IFERROR(LOOKUP(2,1/((B_Drainage!$A$5:$A$204&lt;&gt;"")*(B_Drainage!$A$5:$A$204&lt;=$B332)*(B_Drainage!$B$5:$B$204&gt;$B332)*(B_Drainage!$F$5:$F$204&lt;&gt;"")),IF(B_Drainage!$F$5:$F$204="-","",1)),"")</f>
        <v/>
      </c>
      <c r="W332" s="181" t="str">
        <f>IFERROR(LOOKUP(2,1/((B_Drainage!$A$5:$A$204&lt;&gt;"")*(B_Drainage!$A$5:$A$204&lt;=$B332)*(B_Drainage!$B$5:$B$204&gt;$B332)*(B_Drainage!$F$5:$F$204&lt;&gt;"")),IF(B_Drainage!$F$5:$F$204="-","",B_Drainage!$F$5:$F$204)),"")</f>
        <v/>
      </c>
      <c r="X332" s="181" t="str">
        <f>IFERROR(LOOKUP(2,1/((B_Drainage!$A$5:$A$204&lt;&gt;"")*(B_Drainage!$A$5:$A$204&lt;=$B332)*(B_Drainage!$B$5:$B$204&gt;$B332)*(B_Drainage!$G$5:$G$204&lt;&gt;"")),IF(UPPER(B_Drainage!$G$5:$G$204)="Y",1,"")),"")</f>
        <v/>
      </c>
      <c r="Y332" s="181" t="str">
        <f>IFERROR(LOOKUP(2,1/((B_Drainage!$A$5:$A$204&lt;&gt;"")*(B_Drainage!$A$5:$A$204&lt;=$B332)*(B_Drainage!$B$5:$B$204&gt;$B332)*(B_Drainage!$H$5:$H$204&lt;&gt;"")),IF(UPPER(B_Drainage!$H$5:$H$204)="Y",1,"")),"")</f>
        <v/>
      </c>
      <c r="Z332" s="181" t="str">
        <f>IFERROR(LOOKUP(2,1/((B_Drainage!$A$5:$A$204&lt;&gt;"")*(B_Drainage!$A$5:$A$204&lt;=$B332)*(B_Drainage!$B$5:$B$204&gt;$B332)*(B_Drainage!$I$5:$I$204&lt;&gt;"")),IF(UPPER(B_Drainage!$I$5:$I$204)="Y",1,"")),"")</f>
        <v/>
      </c>
      <c r="AA332" s="181" t="str">
        <f>IFERROR(LOOKUP(2,1/((B_Drainage!$A$5:$A$204&lt;&gt;"")*(B_Drainage!$A$5:$A$204&lt;=$B332)*(B_Drainage!$B$5:$B$204&gt;$B332)*(B_Drainage!$J$5:$J$204&lt;&gt;"")),IF(UPPER(B_Drainage!$J$5:$J$204)="Y",1,"")),"")</f>
        <v/>
      </c>
      <c r="AB332" s="182" t="str">
        <f>IFERROR(LOOKUP(2,1/((B_Drainage!$A$5:$A$204&lt;&gt;"")*(B_Drainage!$A$5:$A$204&lt;=$B332)*(B_Drainage!$B$5:$B$204&gt;$B332)*(B_Drainage!$K$5:$K$204&lt;&gt;"")),IF(B_Drainage!$K$5:$K$204="-","",B_Drainage!$K$5:$K$204)),"")</f>
        <v/>
      </c>
      <c r="AC332" s="182" t="str">
        <f>IFERROR(LOOKUP(2,1/((B_Drainage!$A$5:$A$204&lt;&gt;"")*(B_Drainage!$A$5:$A$204&lt;=$B332)*(B_Drainage!$B$5:$B$204&gt;$B332)*(B_Drainage!$L$5:$L$204&lt;&gt;"")),IF(B_Drainage!$L$5:$L$204="-","",B_Drainage!$L$5:$L$204)),"")</f>
        <v/>
      </c>
      <c r="AD332" s="182" t="str">
        <f>IFERROR(LOOKUP(2,1/((D_Points!$A$5:$A$204&lt;&gt;"")*(D_Points!$A$5:$A$204&gt;=$B332)*(D_Points!$A$5:$A$204&lt;$B332+P_Interval)*(UPPER(TRIM(D_Points!$B$5:$B$204))="TURNOUT_L")*(D_Points!$H$5:$H$204&lt;&gt;"")),D_Points!$H$5:$H$204),"")</f>
        <v/>
      </c>
      <c r="AE332" s="182" t="str">
        <f>IFERROR(LOOKUP(2,1/((D_Points!$A$5:$A$204&lt;&gt;"")*(D_Points!$A$5:$A$204&gt;=$B332)*(D_Points!$A$5:$A$204&lt;$B332+P_Interval)*(UPPER(TRIM(D_Points!$B$5:$B$204))="TURNOUT_R")*(D_Points!$H$5:$H$204&lt;&gt;"")),D_Points!$H$5:$H$204),"")</f>
        <v/>
      </c>
      <c r="AF332" s="181" t="str">
        <f>IFERROR(LOOKUP(2,1/((B_Drainage!$A$5:$A$204&lt;&gt;"")*(B_Drainage!$A$5:$A$204&lt;=$B332)*(B_Drainage!$B$5:$B$204&gt;$B332)*(B_Drainage!$M$5:$M$204&lt;&gt;"")),IF(UPPER(B_Drainage!$M$5:$M$204)="Y",1,"")),"")</f>
        <v/>
      </c>
      <c r="AG332" s="181" t="str">
        <f>IFERROR(LOOKUP(2,1/((B_Drainage!$A$5:$A$204&lt;&gt;"")*(B_Drainage!$A$5:$A$204&lt;=$B332)*(B_Drainage!$B$5:$B$204&gt;$B332)*(B_Drainage!$N$5:$N$204&lt;&gt;"")),IF(UPPER(B_Drainage!$N$5:$N$204)="Y",1,"")),"")</f>
        <v/>
      </c>
      <c r="AH332" s="181" t="str">
        <f t="shared" si="40"/>
        <v/>
      </c>
      <c r="AI332" s="181" t="str">
        <f t="shared" si="41"/>
        <v/>
      </c>
      <c r="AJ332" s="181" t="str">
        <f t="shared" si="42"/>
        <v/>
      </c>
      <c r="AK332" s="181" t="str">
        <f t="shared" si="43"/>
        <v/>
      </c>
      <c r="AL332" s="181" t="str">
        <f t="shared" si="44"/>
        <v/>
      </c>
      <c r="AM332" s="181" t="str">
        <f t="shared" si="45"/>
        <v/>
      </c>
      <c r="AN332" s="181" t="str">
        <f t="shared" si="46"/>
        <v/>
      </c>
      <c r="AO332" s="192" t="str">
        <f t="shared" si="47"/>
        <v/>
      </c>
      <c r="AQ332" t="str">
        <f>IFERROR(LOOKUP(2,1/((C_Pavement!$A$5:$A$204&lt;&gt;"")*(C_Pavement!$A$5:$A$204&lt;=$B332)*(C_Pavement!$B$5:$B$204&gt;$B332)*(C_Pavement!$C$5:$C$204&lt;&gt;"")),ROW(C_Pavement!$C$5:$C$204)-4),"")</f>
        <v/>
      </c>
      <c r="AR332" t="str">
        <f>IF($AQ332="","",UPPER(TRIM(INDEX(C_Pavement!$C$5:$C$204,$AQ332))))</f>
        <v/>
      </c>
      <c r="AS332" t="str">
        <f>IF($AR332="","",IFERROR(MATCH($AR332,E_Rules!$A$5:$A$9,0),""))</f>
        <v/>
      </c>
      <c r="AT332" t="str">
        <f>IF($AQ332="","",IF(INDEX(C_Pavement!$D$5:$D$204,$AQ332)&lt;&gt;"",UPPER(TRIM(INDEX(C_Pavement!$D$5:$D$204,$AQ332))),IF($AS332="","",INDEX(E_Rules!$C$5:$C$9,$AS332))))</f>
        <v/>
      </c>
      <c r="AU332" t="str">
        <f>IF($AQ332="","",IF(INDEX(C_Pavement!$E$5:$E$204,$AQ332)&lt;&gt;"",IF(INDEX(C_Pavement!$E$5:$E$204,$AQ332)="-","",INDEX(C_Pavement!$E$5:$E$204,$AQ332)),IF($AS332="","",INDEX(E_Rules!$D$5:$D$9,$AS332))))</f>
        <v/>
      </c>
      <c r="AV332" t="str">
        <f>IF($AQ332="","",IF(INDEX(C_Pavement!$F$5:$F$204,$AQ332)&lt;&gt;"",IF(INDEX(C_Pavement!$F$5:$F$204,$AQ332)="-","",INDEX(C_Pavement!$F$5:$F$204,$AQ332)),IF($AS332="","",INDEX(E_Rules!$E$5:$E$9,$AS332))))</f>
        <v/>
      </c>
      <c r="AW332" t="str">
        <f>IF($AQ332="","",IF(INDEX(C_Pavement!$G$5:$G$204,$AQ332)&lt;&gt;"",IF(INDEX(C_Pavement!$G$5:$G$204,$AQ332)="-","",INDEX(C_Pavement!$G$5:$G$204,$AQ332)),IF($AS332="","",INDEX(E_Rules!$F$5:$F$9,$AS332))))</f>
        <v/>
      </c>
      <c r="AX332" t="str">
        <f>IF($AQ332="","",IF(INDEX(C_Pavement!$H$5:$H$204,$AQ332)&lt;&gt;"",IF(INDEX(C_Pavement!$H$5:$H$204,$AQ332)="-","",INDEX(C_Pavement!$H$5:$H$204,$AQ332)),IF($AS332="","",INDEX(E_Rules!$G$5:$G$9,$AS332))))</f>
        <v/>
      </c>
      <c r="AY332" t="str">
        <f>IF($AQ332="","",IF(INDEX(C_Pavement!$I$5:$I$204,$AQ332)&lt;&gt;"",IF(INDEX(C_Pavement!$I$5:$I$204,$AQ332)="-","",INDEX(C_Pavement!$I$5:$I$204,$AQ332)),IF($AS332="","",INDEX(E_Rules!$H$5:$H$9,$AS332))))</f>
        <v/>
      </c>
    </row>
    <row r="333" spans="1:51" ht="15.75" customHeight="1" x14ac:dyDescent="0.3">
      <c r="A333" s="189">
        <v>328</v>
      </c>
      <c r="B333" s="180">
        <v>16350</v>
      </c>
      <c r="C333" s="180" t="s">
        <v>639</v>
      </c>
      <c r="D333" s="181" t="str">
        <f>IFERROR(LOOKUP(2,1/((A_Corridor!$A$5:$A$204&lt;&gt;"")*(A_Corridor!$A$5:$A$204&lt;=$B333)*(A_Corridor!$B$5:$B$204&gt;$B333)*(A_Corridor!$C$5:$C$204&lt;&gt;"")),IF(UPPER(A_Corridor!$C$5:$C$204)="Y",1,"")),"")</f>
        <v/>
      </c>
      <c r="E333" s="181" t="str">
        <f>IFERROR(LOOKUP(2,1/((A_Corridor!$A$5:$A$204&lt;&gt;"")*(A_Corridor!$A$5:$A$204&lt;=$B333)*(A_Corridor!$B$5:$B$204&gt;$B333)*(A_Corridor!$D$5:$D$204&lt;&gt;"")),IF(A_Corridor!$D$5:$D$204="-","",UPPER(A_Corridor!$D$5:$D$204))),"")</f>
        <v/>
      </c>
      <c r="F333" s="181" t="str">
        <f>IFERROR(LOOKUP(2,1/((A_Corridor!$A$5:$A$204&lt;&gt;"")*(A_Corridor!$A$5:$A$204&lt;=$B333)*(A_Corridor!$B$5:$B$204&gt;$B333)*(A_Corridor!$E$5:$E$204&lt;&gt;"")),IF(A_Corridor!$E$5:$E$204="-","",1)),"")</f>
        <v/>
      </c>
      <c r="G333" s="182" t="str">
        <f>IFERROR(LOOKUP(2,1/((A_Corridor!$A$5:$A$204&lt;&gt;"")*(A_Corridor!$A$5:$A$204&lt;=$B333)*(A_Corridor!$B$5:$B$204&gt;$B333)*(A_Corridor!$E$5:$E$204&lt;&gt;"")),IF(A_Corridor!$E$5:$E$204="-","",A_Corridor!$E$5:$E$204)),"")</f>
        <v/>
      </c>
      <c r="H333" s="182" t="str">
        <f>IFERROR(LOOKUP(2,1/((D_Points!$A$5:$A$204&lt;&gt;"")*(D_Points!$A$5:$A$204&gt;=$B333)*(D_Points!$A$5:$A$204&lt;$B333+P_Interval)*(UPPER(TRIM(D_Points!$B$5:$B$204))="GULLY")*(D_Points!$H$5:$H$204&lt;&gt;"")),D_Points!$H$5:$H$204),"")</f>
        <v/>
      </c>
      <c r="I333" s="181" t="str">
        <f>IFERROR(LOOKUP(2,1/((A_Corridor!$A$5:$A$204&lt;&gt;"")*(A_Corridor!$A$5:$A$204&lt;=$B333)*(A_Corridor!$B$5:$B$204&gt;$B333)*(A_Corridor!$F$5:$F$204&lt;&gt;"")),IF(A_Corridor!$F$5:$F$204="-","",1)),"")</f>
        <v/>
      </c>
      <c r="J333" s="182" t="str">
        <f>IFERROR(LOOKUP(2,1/((A_Corridor!$A$5:$A$204&lt;&gt;"")*(A_Corridor!$A$5:$A$204&lt;=$B333)*(A_Corridor!$B$5:$B$204&gt;$B333)*(A_Corridor!$F$5:$F$204&lt;&gt;"")),IF(A_Corridor!$F$5:$F$204="-","",A_Corridor!$F$5:$F$204)),"")</f>
        <v/>
      </c>
      <c r="K333" s="182" t="str">
        <f>IFERROR(LOOKUP(2,1/((A_Corridor!$A$5:$A$204&lt;&gt;"")*(A_Corridor!$A$5:$A$204&lt;=$B333)*(A_Corridor!$B$5:$B$204&gt;$B333)*(A_Corridor!$G$5:$G$204&lt;&gt;"")),IF(A_Corridor!$G$5:$G$204="-","",A_Corridor!$G$5:$G$204)),"")</f>
        <v/>
      </c>
      <c r="L333" s="181" t="str">
        <f>IFERROR(LOOKUP(2,1/((A_Corridor!$A$5:$A$204&lt;&gt;"")*(A_Corridor!$A$5:$A$204&lt;=$B333)*(A_Corridor!$B$5:$B$204&gt;$B333)*(A_Corridor!$H$5:$H$204&lt;&gt;"")),IF(A_Corridor!$H$5:$H$204="-","",1)),"")</f>
        <v/>
      </c>
      <c r="M333" s="182" t="str">
        <f>IFERROR(LOOKUP(2,1/((A_Corridor!$A$5:$A$204&lt;&gt;"")*(A_Corridor!$A$5:$A$204&lt;=$B333)*(A_Corridor!$B$5:$B$204&gt;$B333)*(A_Corridor!$H$5:$H$204&lt;&gt;"")),IF(A_Corridor!$H$5:$H$204="-","",A_Corridor!$H$5:$H$204)),"")</f>
        <v/>
      </c>
      <c r="N333" s="182" t="str">
        <f>IFERROR(LOOKUP(2,1/((A_Corridor!$A$5:$A$204&lt;&gt;"")*(A_Corridor!$A$5:$A$204&lt;=$B333)*(A_Corridor!$B$5:$B$204&gt;$B333)*(A_Corridor!$I$5:$I$204&lt;&gt;"")),IF(A_Corridor!$I$5:$I$204="-","",A_Corridor!$I$5:$I$204)),"")</f>
        <v/>
      </c>
      <c r="O333" s="182" t="str">
        <f>IFERROR(LOOKUP(2,1/((D_Points!$A$5:$A$204&lt;&gt;"")*(D_Points!$A$5:$A$204&gt;=$B333)*(D_Points!$A$5:$A$204&lt;$B333+P_Interval)*(UPPER(TRIM(D_Points!$B$5:$B$204))="PITCHING")*(D_Points!$H$5:$H$204&lt;&gt;"")),D_Points!$H$5:$H$204),"")</f>
        <v/>
      </c>
      <c r="P333" s="181" t="str">
        <f>IFERROR(LOOKUP(2,1/((B_Drainage!$A$5:$A$204&lt;&gt;"")*(B_Drainage!$A$5:$A$204&lt;=$B333)*(B_Drainage!$B$5:$B$204&gt;$B333)*(B_Drainage!$C$5:$C$204&lt;&gt;"")),IF(B_Drainage!$C$5:$C$204="-","",UPPER(B_Drainage!$C$5:$C$204))),"")</f>
        <v/>
      </c>
      <c r="Q333" s="181" t="str">
        <f>IFERROR(LOOKUP(2,1/((B_Drainage!$A$5:$A$204&lt;&gt;"")*(B_Drainage!$A$5:$A$204&lt;=$B333)*(B_Drainage!$B$5:$B$204&gt;$B333)*(B_Drainage!$D$5:$D$204&lt;&gt;"")),IF(B_Drainage!$D$5:$D$204="-","",UPPER(B_Drainage!$D$5:$D$204))),"")</f>
        <v/>
      </c>
      <c r="R333" s="182" t="str">
        <f>IFERROR(LOOKUP(2,1/((D_Points!$A$5:$A$204&lt;&gt;"")*(D_Points!$A$5:$A$204&gt;=$B333)*(D_Points!$A$5:$A$204&lt;$B333+P_Interval)*(RIGHT(UPPER(TRIM(D_Points!$B$5:$B$204)),8)="_CULVERT")),IF(LEFT(UPPER(TRIM(D_Points!$B$5:$B$204)),2)="EX",1,IF(LEFT(UPPER(TRIM(D_Points!$B$5:$B$204)),2)="PR",2,3))),"")</f>
        <v/>
      </c>
      <c r="S333" s="182" t="str">
        <f>IFERROR(LOOKUP(2,1/((D_Points!$A$5:$A$204&lt;&gt;"")*(D_Points!$A$5:$A$204&gt;=$B333)*(D_Points!$A$5:$A$204&lt;$B333+P_Interval)*(RIGHT(UPPER(TRIM(D_Points!$B$5:$B$204)),7)="_BRIDGE")),IF(LEFT(UPPER(TRIM(D_Points!$B$5:$B$204)),2)="EX",1,IF(LEFT(UPPER(TRIM(D_Points!$B$5:$B$204)),2)="PR",2,2))),"")</f>
        <v/>
      </c>
      <c r="T333" s="181" t="str">
        <f>IFERROR(LOOKUP(2,1/((B_Drainage!$A$5:$A$204&lt;&gt;"")*(B_Drainage!$A$5:$A$204&lt;=$B333)*(B_Drainage!$B$5:$B$204&gt;$B333)*(B_Drainage!$E$5:$E$204&lt;&gt;"")),IF(B_Drainage!$E$5:$E$204="-","",1)),"")</f>
        <v/>
      </c>
      <c r="U333" s="181" t="str">
        <f>IFERROR(LOOKUP(2,1/((B_Drainage!$A$5:$A$204&lt;&gt;"")*(B_Drainage!$A$5:$A$204&lt;=$B333)*(B_Drainage!$B$5:$B$204&gt;$B333)*(B_Drainage!$E$5:$E$204&lt;&gt;"")),IF(B_Drainage!$E$5:$E$204="-","",B_Drainage!$E$5:$E$204)),"")</f>
        <v/>
      </c>
      <c r="V333" s="181" t="str">
        <f>IFERROR(LOOKUP(2,1/((B_Drainage!$A$5:$A$204&lt;&gt;"")*(B_Drainage!$A$5:$A$204&lt;=$B333)*(B_Drainage!$B$5:$B$204&gt;$B333)*(B_Drainage!$F$5:$F$204&lt;&gt;"")),IF(B_Drainage!$F$5:$F$204="-","",1)),"")</f>
        <v/>
      </c>
      <c r="W333" s="181" t="str">
        <f>IFERROR(LOOKUP(2,1/((B_Drainage!$A$5:$A$204&lt;&gt;"")*(B_Drainage!$A$5:$A$204&lt;=$B333)*(B_Drainage!$B$5:$B$204&gt;$B333)*(B_Drainage!$F$5:$F$204&lt;&gt;"")),IF(B_Drainage!$F$5:$F$204="-","",B_Drainage!$F$5:$F$204)),"")</f>
        <v/>
      </c>
      <c r="X333" s="181" t="str">
        <f>IFERROR(LOOKUP(2,1/((B_Drainage!$A$5:$A$204&lt;&gt;"")*(B_Drainage!$A$5:$A$204&lt;=$B333)*(B_Drainage!$B$5:$B$204&gt;$B333)*(B_Drainage!$G$5:$G$204&lt;&gt;"")),IF(UPPER(B_Drainage!$G$5:$G$204)="Y",1,"")),"")</f>
        <v/>
      </c>
      <c r="Y333" s="181" t="str">
        <f>IFERROR(LOOKUP(2,1/((B_Drainage!$A$5:$A$204&lt;&gt;"")*(B_Drainage!$A$5:$A$204&lt;=$B333)*(B_Drainage!$B$5:$B$204&gt;$B333)*(B_Drainage!$H$5:$H$204&lt;&gt;"")),IF(UPPER(B_Drainage!$H$5:$H$204)="Y",1,"")),"")</f>
        <v/>
      </c>
      <c r="Z333" s="181" t="str">
        <f>IFERROR(LOOKUP(2,1/((B_Drainage!$A$5:$A$204&lt;&gt;"")*(B_Drainage!$A$5:$A$204&lt;=$B333)*(B_Drainage!$B$5:$B$204&gt;$B333)*(B_Drainage!$I$5:$I$204&lt;&gt;"")),IF(UPPER(B_Drainage!$I$5:$I$204)="Y",1,"")),"")</f>
        <v/>
      </c>
      <c r="AA333" s="181" t="str">
        <f>IFERROR(LOOKUP(2,1/((B_Drainage!$A$5:$A$204&lt;&gt;"")*(B_Drainage!$A$5:$A$204&lt;=$B333)*(B_Drainage!$B$5:$B$204&gt;$B333)*(B_Drainage!$J$5:$J$204&lt;&gt;"")),IF(UPPER(B_Drainage!$J$5:$J$204)="Y",1,"")),"")</f>
        <v/>
      </c>
      <c r="AB333" s="182" t="str">
        <f>IFERROR(LOOKUP(2,1/((B_Drainage!$A$5:$A$204&lt;&gt;"")*(B_Drainage!$A$5:$A$204&lt;=$B333)*(B_Drainage!$B$5:$B$204&gt;$B333)*(B_Drainage!$K$5:$K$204&lt;&gt;"")),IF(B_Drainage!$K$5:$K$204="-","",B_Drainage!$K$5:$K$204)),"")</f>
        <v/>
      </c>
      <c r="AC333" s="182" t="str">
        <f>IFERROR(LOOKUP(2,1/((B_Drainage!$A$5:$A$204&lt;&gt;"")*(B_Drainage!$A$5:$A$204&lt;=$B333)*(B_Drainage!$B$5:$B$204&gt;$B333)*(B_Drainage!$L$5:$L$204&lt;&gt;"")),IF(B_Drainage!$L$5:$L$204="-","",B_Drainage!$L$5:$L$204)),"")</f>
        <v/>
      </c>
      <c r="AD333" s="182" t="str">
        <f>IFERROR(LOOKUP(2,1/((D_Points!$A$5:$A$204&lt;&gt;"")*(D_Points!$A$5:$A$204&gt;=$B333)*(D_Points!$A$5:$A$204&lt;$B333+P_Interval)*(UPPER(TRIM(D_Points!$B$5:$B$204))="TURNOUT_L")*(D_Points!$H$5:$H$204&lt;&gt;"")),D_Points!$H$5:$H$204),"")</f>
        <v/>
      </c>
      <c r="AE333" s="182" t="str">
        <f>IFERROR(LOOKUP(2,1/((D_Points!$A$5:$A$204&lt;&gt;"")*(D_Points!$A$5:$A$204&gt;=$B333)*(D_Points!$A$5:$A$204&lt;$B333+P_Interval)*(UPPER(TRIM(D_Points!$B$5:$B$204))="TURNOUT_R")*(D_Points!$H$5:$H$204&lt;&gt;"")),D_Points!$H$5:$H$204),"")</f>
        <v/>
      </c>
      <c r="AF333" s="181" t="str">
        <f>IFERROR(LOOKUP(2,1/((B_Drainage!$A$5:$A$204&lt;&gt;"")*(B_Drainage!$A$5:$A$204&lt;=$B333)*(B_Drainage!$B$5:$B$204&gt;$B333)*(B_Drainage!$M$5:$M$204&lt;&gt;"")),IF(UPPER(B_Drainage!$M$5:$M$204)="Y",1,"")),"")</f>
        <v/>
      </c>
      <c r="AG333" s="181" t="str">
        <f>IFERROR(LOOKUP(2,1/((B_Drainage!$A$5:$A$204&lt;&gt;"")*(B_Drainage!$A$5:$A$204&lt;=$B333)*(B_Drainage!$B$5:$B$204&gt;$B333)*(B_Drainage!$N$5:$N$204&lt;&gt;"")),IF(UPPER(B_Drainage!$N$5:$N$204)="Y",1,"")),"")</f>
        <v/>
      </c>
      <c r="AH333" s="181" t="str">
        <f t="shared" si="40"/>
        <v/>
      </c>
      <c r="AI333" s="181" t="str">
        <f t="shared" si="41"/>
        <v/>
      </c>
      <c r="AJ333" s="181" t="str">
        <f t="shared" si="42"/>
        <v/>
      </c>
      <c r="AK333" s="181" t="str">
        <f t="shared" si="43"/>
        <v/>
      </c>
      <c r="AL333" s="181" t="str">
        <f t="shared" si="44"/>
        <v/>
      </c>
      <c r="AM333" s="181" t="str">
        <f t="shared" si="45"/>
        <v/>
      </c>
      <c r="AN333" s="181" t="str">
        <f t="shared" si="46"/>
        <v/>
      </c>
      <c r="AO333" s="192" t="str">
        <f t="shared" si="47"/>
        <v/>
      </c>
      <c r="AQ333" t="str">
        <f>IFERROR(LOOKUP(2,1/((C_Pavement!$A$5:$A$204&lt;&gt;"")*(C_Pavement!$A$5:$A$204&lt;=$B333)*(C_Pavement!$B$5:$B$204&gt;$B333)*(C_Pavement!$C$5:$C$204&lt;&gt;"")),ROW(C_Pavement!$C$5:$C$204)-4),"")</f>
        <v/>
      </c>
      <c r="AR333" t="str">
        <f>IF($AQ333="","",UPPER(TRIM(INDEX(C_Pavement!$C$5:$C$204,$AQ333))))</f>
        <v/>
      </c>
      <c r="AS333" t="str">
        <f>IF($AR333="","",IFERROR(MATCH($AR333,E_Rules!$A$5:$A$9,0),""))</f>
        <v/>
      </c>
      <c r="AT333" t="str">
        <f>IF($AQ333="","",IF(INDEX(C_Pavement!$D$5:$D$204,$AQ333)&lt;&gt;"",UPPER(TRIM(INDEX(C_Pavement!$D$5:$D$204,$AQ333))),IF($AS333="","",INDEX(E_Rules!$C$5:$C$9,$AS333))))</f>
        <v/>
      </c>
      <c r="AU333" t="str">
        <f>IF($AQ333="","",IF(INDEX(C_Pavement!$E$5:$E$204,$AQ333)&lt;&gt;"",IF(INDEX(C_Pavement!$E$5:$E$204,$AQ333)="-","",INDEX(C_Pavement!$E$5:$E$204,$AQ333)),IF($AS333="","",INDEX(E_Rules!$D$5:$D$9,$AS333))))</f>
        <v/>
      </c>
      <c r="AV333" t="str">
        <f>IF($AQ333="","",IF(INDEX(C_Pavement!$F$5:$F$204,$AQ333)&lt;&gt;"",IF(INDEX(C_Pavement!$F$5:$F$204,$AQ333)="-","",INDEX(C_Pavement!$F$5:$F$204,$AQ333)),IF($AS333="","",INDEX(E_Rules!$E$5:$E$9,$AS333))))</f>
        <v/>
      </c>
      <c r="AW333" t="str">
        <f>IF($AQ333="","",IF(INDEX(C_Pavement!$G$5:$G$204,$AQ333)&lt;&gt;"",IF(INDEX(C_Pavement!$G$5:$G$204,$AQ333)="-","",INDEX(C_Pavement!$G$5:$G$204,$AQ333)),IF($AS333="","",INDEX(E_Rules!$F$5:$F$9,$AS333))))</f>
        <v/>
      </c>
      <c r="AX333" t="str">
        <f>IF($AQ333="","",IF(INDEX(C_Pavement!$H$5:$H$204,$AQ333)&lt;&gt;"",IF(INDEX(C_Pavement!$H$5:$H$204,$AQ333)="-","",INDEX(C_Pavement!$H$5:$H$204,$AQ333)),IF($AS333="","",INDEX(E_Rules!$G$5:$G$9,$AS333))))</f>
        <v/>
      </c>
      <c r="AY333" t="str">
        <f>IF($AQ333="","",IF(INDEX(C_Pavement!$I$5:$I$204,$AQ333)&lt;&gt;"",IF(INDEX(C_Pavement!$I$5:$I$204,$AQ333)="-","",INDEX(C_Pavement!$I$5:$I$204,$AQ333)),IF($AS333="","",INDEX(E_Rules!$H$5:$H$9,$AS333))))</f>
        <v/>
      </c>
    </row>
    <row r="334" spans="1:51" ht="15.75" customHeight="1" x14ac:dyDescent="0.3">
      <c r="A334" s="189">
        <v>329</v>
      </c>
      <c r="B334" s="180">
        <v>16400</v>
      </c>
      <c r="C334" s="180" t="s">
        <v>640</v>
      </c>
      <c r="D334" s="181" t="str">
        <f>IFERROR(LOOKUP(2,1/((A_Corridor!$A$5:$A$204&lt;&gt;"")*(A_Corridor!$A$5:$A$204&lt;=$B334)*(A_Corridor!$B$5:$B$204&gt;$B334)*(A_Corridor!$C$5:$C$204&lt;&gt;"")),IF(UPPER(A_Corridor!$C$5:$C$204)="Y",1,"")),"")</f>
        <v/>
      </c>
      <c r="E334" s="181" t="str">
        <f>IFERROR(LOOKUP(2,1/((A_Corridor!$A$5:$A$204&lt;&gt;"")*(A_Corridor!$A$5:$A$204&lt;=$B334)*(A_Corridor!$B$5:$B$204&gt;$B334)*(A_Corridor!$D$5:$D$204&lt;&gt;"")),IF(A_Corridor!$D$5:$D$204="-","",UPPER(A_Corridor!$D$5:$D$204))),"")</f>
        <v/>
      </c>
      <c r="F334" s="181" t="str">
        <f>IFERROR(LOOKUP(2,1/((A_Corridor!$A$5:$A$204&lt;&gt;"")*(A_Corridor!$A$5:$A$204&lt;=$B334)*(A_Corridor!$B$5:$B$204&gt;$B334)*(A_Corridor!$E$5:$E$204&lt;&gt;"")),IF(A_Corridor!$E$5:$E$204="-","",1)),"")</f>
        <v/>
      </c>
      <c r="G334" s="182" t="str">
        <f>IFERROR(LOOKUP(2,1/((A_Corridor!$A$5:$A$204&lt;&gt;"")*(A_Corridor!$A$5:$A$204&lt;=$B334)*(A_Corridor!$B$5:$B$204&gt;$B334)*(A_Corridor!$E$5:$E$204&lt;&gt;"")),IF(A_Corridor!$E$5:$E$204="-","",A_Corridor!$E$5:$E$204)),"")</f>
        <v/>
      </c>
      <c r="H334" s="182" t="str">
        <f>IFERROR(LOOKUP(2,1/((D_Points!$A$5:$A$204&lt;&gt;"")*(D_Points!$A$5:$A$204&gt;=$B334)*(D_Points!$A$5:$A$204&lt;$B334+P_Interval)*(UPPER(TRIM(D_Points!$B$5:$B$204))="GULLY")*(D_Points!$H$5:$H$204&lt;&gt;"")),D_Points!$H$5:$H$204),"")</f>
        <v/>
      </c>
      <c r="I334" s="181" t="str">
        <f>IFERROR(LOOKUP(2,1/((A_Corridor!$A$5:$A$204&lt;&gt;"")*(A_Corridor!$A$5:$A$204&lt;=$B334)*(A_Corridor!$B$5:$B$204&gt;$B334)*(A_Corridor!$F$5:$F$204&lt;&gt;"")),IF(A_Corridor!$F$5:$F$204="-","",1)),"")</f>
        <v/>
      </c>
      <c r="J334" s="182" t="str">
        <f>IFERROR(LOOKUP(2,1/((A_Corridor!$A$5:$A$204&lt;&gt;"")*(A_Corridor!$A$5:$A$204&lt;=$B334)*(A_Corridor!$B$5:$B$204&gt;$B334)*(A_Corridor!$F$5:$F$204&lt;&gt;"")),IF(A_Corridor!$F$5:$F$204="-","",A_Corridor!$F$5:$F$204)),"")</f>
        <v/>
      </c>
      <c r="K334" s="182" t="str">
        <f>IFERROR(LOOKUP(2,1/((A_Corridor!$A$5:$A$204&lt;&gt;"")*(A_Corridor!$A$5:$A$204&lt;=$B334)*(A_Corridor!$B$5:$B$204&gt;$B334)*(A_Corridor!$G$5:$G$204&lt;&gt;"")),IF(A_Corridor!$G$5:$G$204="-","",A_Corridor!$G$5:$G$204)),"")</f>
        <v/>
      </c>
      <c r="L334" s="181" t="str">
        <f>IFERROR(LOOKUP(2,1/((A_Corridor!$A$5:$A$204&lt;&gt;"")*(A_Corridor!$A$5:$A$204&lt;=$B334)*(A_Corridor!$B$5:$B$204&gt;$B334)*(A_Corridor!$H$5:$H$204&lt;&gt;"")),IF(A_Corridor!$H$5:$H$204="-","",1)),"")</f>
        <v/>
      </c>
      <c r="M334" s="182" t="str">
        <f>IFERROR(LOOKUP(2,1/((A_Corridor!$A$5:$A$204&lt;&gt;"")*(A_Corridor!$A$5:$A$204&lt;=$B334)*(A_Corridor!$B$5:$B$204&gt;$B334)*(A_Corridor!$H$5:$H$204&lt;&gt;"")),IF(A_Corridor!$H$5:$H$204="-","",A_Corridor!$H$5:$H$204)),"")</f>
        <v/>
      </c>
      <c r="N334" s="182" t="str">
        <f>IFERROR(LOOKUP(2,1/((A_Corridor!$A$5:$A$204&lt;&gt;"")*(A_Corridor!$A$5:$A$204&lt;=$B334)*(A_Corridor!$B$5:$B$204&gt;$B334)*(A_Corridor!$I$5:$I$204&lt;&gt;"")),IF(A_Corridor!$I$5:$I$204="-","",A_Corridor!$I$5:$I$204)),"")</f>
        <v/>
      </c>
      <c r="O334" s="182" t="str">
        <f>IFERROR(LOOKUP(2,1/((D_Points!$A$5:$A$204&lt;&gt;"")*(D_Points!$A$5:$A$204&gt;=$B334)*(D_Points!$A$5:$A$204&lt;$B334+P_Interval)*(UPPER(TRIM(D_Points!$B$5:$B$204))="PITCHING")*(D_Points!$H$5:$H$204&lt;&gt;"")),D_Points!$H$5:$H$204),"")</f>
        <v/>
      </c>
      <c r="P334" s="181" t="str">
        <f>IFERROR(LOOKUP(2,1/((B_Drainage!$A$5:$A$204&lt;&gt;"")*(B_Drainage!$A$5:$A$204&lt;=$B334)*(B_Drainage!$B$5:$B$204&gt;$B334)*(B_Drainage!$C$5:$C$204&lt;&gt;"")),IF(B_Drainage!$C$5:$C$204="-","",UPPER(B_Drainage!$C$5:$C$204))),"")</f>
        <v/>
      </c>
      <c r="Q334" s="181" t="str">
        <f>IFERROR(LOOKUP(2,1/((B_Drainage!$A$5:$A$204&lt;&gt;"")*(B_Drainage!$A$5:$A$204&lt;=$B334)*(B_Drainage!$B$5:$B$204&gt;$B334)*(B_Drainage!$D$5:$D$204&lt;&gt;"")),IF(B_Drainage!$D$5:$D$204="-","",UPPER(B_Drainage!$D$5:$D$204))),"")</f>
        <v/>
      </c>
      <c r="R334" s="182" t="str">
        <f>IFERROR(LOOKUP(2,1/((D_Points!$A$5:$A$204&lt;&gt;"")*(D_Points!$A$5:$A$204&gt;=$B334)*(D_Points!$A$5:$A$204&lt;$B334+P_Interval)*(RIGHT(UPPER(TRIM(D_Points!$B$5:$B$204)),8)="_CULVERT")),IF(LEFT(UPPER(TRIM(D_Points!$B$5:$B$204)),2)="EX",1,IF(LEFT(UPPER(TRIM(D_Points!$B$5:$B$204)),2)="PR",2,3))),"")</f>
        <v/>
      </c>
      <c r="S334" s="182" t="str">
        <f>IFERROR(LOOKUP(2,1/((D_Points!$A$5:$A$204&lt;&gt;"")*(D_Points!$A$5:$A$204&gt;=$B334)*(D_Points!$A$5:$A$204&lt;$B334+P_Interval)*(RIGHT(UPPER(TRIM(D_Points!$B$5:$B$204)),7)="_BRIDGE")),IF(LEFT(UPPER(TRIM(D_Points!$B$5:$B$204)),2)="EX",1,IF(LEFT(UPPER(TRIM(D_Points!$B$5:$B$204)),2)="PR",2,2))),"")</f>
        <v/>
      </c>
      <c r="T334" s="181" t="str">
        <f>IFERROR(LOOKUP(2,1/((B_Drainage!$A$5:$A$204&lt;&gt;"")*(B_Drainage!$A$5:$A$204&lt;=$B334)*(B_Drainage!$B$5:$B$204&gt;$B334)*(B_Drainage!$E$5:$E$204&lt;&gt;"")),IF(B_Drainage!$E$5:$E$204="-","",1)),"")</f>
        <v/>
      </c>
      <c r="U334" s="181" t="str">
        <f>IFERROR(LOOKUP(2,1/((B_Drainage!$A$5:$A$204&lt;&gt;"")*(B_Drainage!$A$5:$A$204&lt;=$B334)*(B_Drainage!$B$5:$B$204&gt;$B334)*(B_Drainage!$E$5:$E$204&lt;&gt;"")),IF(B_Drainage!$E$5:$E$204="-","",B_Drainage!$E$5:$E$204)),"")</f>
        <v/>
      </c>
      <c r="V334" s="181" t="str">
        <f>IFERROR(LOOKUP(2,1/((B_Drainage!$A$5:$A$204&lt;&gt;"")*(B_Drainage!$A$5:$A$204&lt;=$B334)*(B_Drainage!$B$5:$B$204&gt;$B334)*(B_Drainage!$F$5:$F$204&lt;&gt;"")),IF(B_Drainage!$F$5:$F$204="-","",1)),"")</f>
        <v/>
      </c>
      <c r="W334" s="181" t="str">
        <f>IFERROR(LOOKUP(2,1/((B_Drainage!$A$5:$A$204&lt;&gt;"")*(B_Drainage!$A$5:$A$204&lt;=$B334)*(B_Drainage!$B$5:$B$204&gt;$B334)*(B_Drainage!$F$5:$F$204&lt;&gt;"")),IF(B_Drainage!$F$5:$F$204="-","",B_Drainage!$F$5:$F$204)),"")</f>
        <v/>
      </c>
      <c r="X334" s="181" t="str">
        <f>IFERROR(LOOKUP(2,1/((B_Drainage!$A$5:$A$204&lt;&gt;"")*(B_Drainage!$A$5:$A$204&lt;=$B334)*(B_Drainage!$B$5:$B$204&gt;$B334)*(B_Drainage!$G$5:$G$204&lt;&gt;"")),IF(UPPER(B_Drainage!$G$5:$G$204)="Y",1,"")),"")</f>
        <v/>
      </c>
      <c r="Y334" s="181" t="str">
        <f>IFERROR(LOOKUP(2,1/((B_Drainage!$A$5:$A$204&lt;&gt;"")*(B_Drainage!$A$5:$A$204&lt;=$B334)*(B_Drainage!$B$5:$B$204&gt;$B334)*(B_Drainage!$H$5:$H$204&lt;&gt;"")),IF(UPPER(B_Drainage!$H$5:$H$204)="Y",1,"")),"")</f>
        <v/>
      </c>
      <c r="Z334" s="181" t="str">
        <f>IFERROR(LOOKUP(2,1/((B_Drainage!$A$5:$A$204&lt;&gt;"")*(B_Drainage!$A$5:$A$204&lt;=$B334)*(B_Drainage!$B$5:$B$204&gt;$B334)*(B_Drainage!$I$5:$I$204&lt;&gt;"")),IF(UPPER(B_Drainage!$I$5:$I$204)="Y",1,"")),"")</f>
        <v/>
      </c>
      <c r="AA334" s="181" t="str">
        <f>IFERROR(LOOKUP(2,1/((B_Drainage!$A$5:$A$204&lt;&gt;"")*(B_Drainage!$A$5:$A$204&lt;=$B334)*(B_Drainage!$B$5:$B$204&gt;$B334)*(B_Drainage!$J$5:$J$204&lt;&gt;"")),IF(UPPER(B_Drainage!$J$5:$J$204)="Y",1,"")),"")</f>
        <v/>
      </c>
      <c r="AB334" s="182" t="str">
        <f>IFERROR(LOOKUP(2,1/((B_Drainage!$A$5:$A$204&lt;&gt;"")*(B_Drainage!$A$5:$A$204&lt;=$B334)*(B_Drainage!$B$5:$B$204&gt;$B334)*(B_Drainage!$K$5:$K$204&lt;&gt;"")),IF(B_Drainage!$K$5:$K$204="-","",B_Drainage!$K$5:$K$204)),"")</f>
        <v/>
      </c>
      <c r="AC334" s="182" t="str">
        <f>IFERROR(LOOKUP(2,1/((B_Drainage!$A$5:$A$204&lt;&gt;"")*(B_Drainage!$A$5:$A$204&lt;=$B334)*(B_Drainage!$B$5:$B$204&gt;$B334)*(B_Drainage!$L$5:$L$204&lt;&gt;"")),IF(B_Drainage!$L$5:$L$204="-","",B_Drainage!$L$5:$L$204)),"")</f>
        <v/>
      </c>
      <c r="AD334" s="182" t="str">
        <f>IFERROR(LOOKUP(2,1/((D_Points!$A$5:$A$204&lt;&gt;"")*(D_Points!$A$5:$A$204&gt;=$B334)*(D_Points!$A$5:$A$204&lt;$B334+P_Interval)*(UPPER(TRIM(D_Points!$B$5:$B$204))="TURNOUT_L")*(D_Points!$H$5:$H$204&lt;&gt;"")),D_Points!$H$5:$H$204),"")</f>
        <v/>
      </c>
      <c r="AE334" s="182" t="str">
        <f>IFERROR(LOOKUP(2,1/((D_Points!$A$5:$A$204&lt;&gt;"")*(D_Points!$A$5:$A$204&gt;=$B334)*(D_Points!$A$5:$A$204&lt;$B334+P_Interval)*(UPPER(TRIM(D_Points!$B$5:$B$204))="TURNOUT_R")*(D_Points!$H$5:$H$204&lt;&gt;"")),D_Points!$H$5:$H$204),"")</f>
        <v/>
      </c>
      <c r="AF334" s="181" t="str">
        <f>IFERROR(LOOKUP(2,1/((B_Drainage!$A$5:$A$204&lt;&gt;"")*(B_Drainage!$A$5:$A$204&lt;=$B334)*(B_Drainage!$B$5:$B$204&gt;$B334)*(B_Drainage!$M$5:$M$204&lt;&gt;"")),IF(UPPER(B_Drainage!$M$5:$M$204)="Y",1,"")),"")</f>
        <v/>
      </c>
      <c r="AG334" s="181" t="str">
        <f>IFERROR(LOOKUP(2,1/((B_Drainage!$A$5:$A$204&lt;&gt;"")*(B_Drainage!$A$5:$A$204&lt;=$B334)*(B_Drainage!$B$5:$B$204&gt;$B334)*(B_Drainage!$N$5:$N$204&lt;&gt;"")),IF(UPPER(B_Drainage!$N$5:$N$204)="Y",1,"")),"")</f>
        <v/>
      </c>
      <c r="AH334" s="181" t="str">
        <f t="shared" si="40"/>
        <v/>
      </c>
      <c r="AI334" s="181" t="str">
        <f t="shared" si="41"/>
        <v/>
      </c>
      <c r="AJ334" s="181" t="str">
        <f t="shared" si="42"/>
        <v/>
      </c>
      <c r="AK334" s="181" t="str">
        <f t="shared" si="43"/>
        <v/>
      </c>
      <c r="AL334" s="181" t="str">
        <f t="shared" si="44"/>
        <v/>
      </c>
      <c r="AM334" s="181" t="str">
        <f t="shared" si="45"/>
        <v/>
      </c>
      <c r="AN334" s="181" t="str">
        <f t="shared" si="46"/>
        <v/>
      </c>
      <c r="AO334" s="192" t="str">
        <f t="shared" si="47"/>
        <v/>
      </c>
      <c r="AQ334" t="str">
        <f>IFERROR(LOOKUP(2,1/((C_Pavement!$A$5:$A$204&lt;&gt;"")*(C_Pavement!$A$5:$A$204&lt;=$B334)*(C_Pavement!$B$5:$B$204&gt;$B334)*(C_Pavement!$C$5:$C$204&lt;&gt;"")),ROW(C_Pavement!$C$5:$C$204)-4),"")</f>
        <v/>
      </c>
      <c r="AR334" t="str">
        <f>IF($AQ334="","",UPPER(TRIM(INDEX(C_Pavement!$C$5:$C$204,$AQ334))))</f>
        <v/>
      </c>
      <c r="AS334" t="str">
        <f>IF($AR334="","",IFERROR(MATCH($AR334,E_Rules!$A$5:$A$9,0),""))</f>
        <v/>
      </c>
      <c r="AT334" t="str">
        <f>IF($AQ334="","",IF(INDEX(C_Pavement!$D$5:$D$204,$AQ334)&lt;&gt;"",UPPER(TRIM(INDEX(C_Pavement!$D$5:$D$204,$AQ334))),IF($AS334="","",INDEX(E_Rules!$C$5:$C$9,$AS334))))</f>
        <v/>
      </c>
      <c r="AU334" t="str">
        <f>IF($AQ334="","",IF(INDEX(C_Pavement!$E$5:$E$204,$AQ334)&lt;&gt;"",IF(INDEX(C_Pavement!$E$5:$E$204,$AQ334)="-","",INDEX(C_Pavement!$E$5:$E$204,$AQ334)),IF($AS334="","",INDEX(E_Rules!$D$5:$D$9,$AS334))))</f>
        <v/>
      </c>
      <c r="AV334" t="str">
        <f>IF($AQ334="","",IF(INDEX(C_Pavement!$F$5:$F$204,$AQ334)&lt;&gt;"",IF(INDEX(C_Pavement!$F$5:$F$204,$AQ334)="-","",INDEX(C_Pavement!$F$5:$F$204,$AQ334)),IF($AS334="","",INDEX(E_Rules!$E$5:$E$9,$AS334))))</f>
        <v/>
      </c>
      <c r="AW334" t="str">
        <f>IF($AQ334="","",IF(INDEX(C_Pavement!$G$5:$G$204,$AQ334)&lt;&gt;"",IF(INDEX(C_Pavement!$G$5:$G$204,$AQ334)="-","",INDEX(C_Pavement!$G$5:$G$204,$AQ334)),IF($AS334="","",INDEX(E_Rules!$F$5:$F$9,$AS334))))</f>
        <v/>
      </c>
      <c r="AX334" t="str">
        <f>IF($AQ334="","",IF(INDEX(C_Pavement!$H$5:$H$204,$AQ334)&lt;&gt;"",IF(INDEX(C_Pavement!$H$5:$H$204,$AQ334)="-","",INDEX(C_Pavement!$H$5:$H$204,$AQ334)),IF($AS334="","",INDEX(E_Rules!$G$5:$G$9,$AS334))))</f>
        <v/>
      </c>
      <c r="AY334" t="str">
        <f>IF($AQ334="","",IF(INDEX(C_Pavement!$I$5:$I$204,$AQ334)&lt;&gt;"",IF(INDEX(C_Pavement!$I$5:$I$204,$AQ334)="-","",INDEX(C_Pavement!$I$5:$I$204,$AQ334)),IF($AS334="","",INDEX(E_Rules!$H$5:$H$9,$AS334))))</f>
        <v/>
      </c>
    </row>
    <row r="335" spans="1:51" ht="15.75" customHeight="1" x14ac:dyDescent="0.3">
      <c r="A335" s="189">
        <v>330</v>
      </c>
      <c r="B335" s="180">
        <v>16450</v>
      </c>
      <c r="C335" s="180" t="s">
        <v>641</v>
      </c>
      <c r="D335" s="181" t="str">
        <f>IFERROR(LOOKUP(2,1/((A_Corridor!$A$5:$A$204&lt;&gt;"")*(A_Corridor!$A$5:$A$204&lt;=$B335)*(A_Corridor!$B$5:$B$204&gt;$B335)*(A_Corridor!$C$5:$C$204&lt;&gt;"")),IF(UPPER(A_Corridor!$C$5:$C$204)="Y",1,"")),"")</f>
        <v/>
      </c>
      <c r="E335" s="181" t="str">
        <f>IFERROR(LOOKUP(2,1/((A_Corridor!$A$5:$A$204&lt;&gt;"")*(A_Corridor!$A$5:$A$204&lt;=$B335)*(A_Corridor!$B$5:$B$204&gt;$B335)*(A_Corridor!$D$5:$D$204&lt;&gt;"")),IF(A_Corridor!$D$5:$D$204="-","",UPPER(A_Corridor!$D$5:$D$204))),"")</f>
        <v/>
      </c>
      <c r="F335" s="181" t="str">
        <f>IFERROR(LOOKUP(2,1/((A_Corridor!$A$5:$A$204&lt;&gt;"")*(A_Corridor!$A$5:$A$204&lt;=$B335)*(A_Corridor!$B$5:$B$204&gt;$B335)*(A_Corridor!$E$5:$E$204&lt;&gt;"")),IF(A_Corridor!$E$5:$E$204="-","",1)),"")</f>
        <v/>
      </c>
      <c r="G335" s="182" t="str">
        <f>IFERROR(LOOKUP(2,1/((A_Corridor!$A$5:$A$204&lt;&gt;"")*(A_Corridor!$A$5:$A$204&lt;=$B335)*(A_Corridor!$B$5:$B$204&gt;$B335)*(A_Corridor!$E$5:$E$204&lt;&gt;"")),IF(A_Corridor!$E$5:$E$204="-","",A_Corridor!$E$5:$E$204)),"")</f>
        <v/>
      </c>
      <c r="H335" s="182" t="str">
        <f>IFERROR(LOOKUP(2,1/((D_Points!$A$5:$A$204&lt;&gt;"")*(D_Points!$A$5:$A$204&gt;=$B335)*(D_Points!$A$5:$A$204&lt;$B335+P_Interval)*(UPPER(TRIM(D_Points!$B$5:$B$204))="GULLY")*(D_Points!$H$5:$H$204&lt;&gt;"")),D_Points!$H$5:$H$204),"")</f>
        <v/>
      </c>
      <c r="I335" s="181" t="str">
        <f>IFERROR(LOOKUP(2,1/((A_Corridor!$A$5:$A$204&lt;&gt;"")*(A_Corridor!$A$5:$A$204&lt;=$B335)*(A_Corridor!$B$5:$B$204&gt;$B335)*(A_Corridor!$F$5:$F$204&lt;&gt;"")),IF(A_Corridor!$F$5:$F$204="-","",1)),"")</f>
        <v/>
      </c>
      <c r="J335" s="182" t="str">
        <f>IFERROR(LOOKUP(2,1/((A_Corridor!$A$5:$A$204&lt;&gt;"")*(A_Corridor!$A$5:$A$204&lt;=$B335)*(A_Corridor!$B$5:$B$204&gt;$B335)*(A_Corridor!$F$5:$F$204&lt;&gt;"")),IF(A_Corridor!$F$5:$F$204="-","",A_Corridor!$F$5:$F$204)),"")</f>
        <v/>
      </c>
      <c r="K335" s="182" t="str">
        <f>IFERROR(LOOKUP(2,1/((A_Corridor!$A$5:$A$204&lt;&gt;"")*(A_Corridor!$A$5:$A$204&lt;=$B335)*(A_Corridor!$B$5:$B$204&gt;$B335)*(A_Corridor!$G$5:$G$204&lt;&gt;"")),IF(A_Corridor!$G$5:$G$204="-","",A_Corridor!$G$5:$G$204)),"")</f>
        <v/>
      </c>
      <c r="L335" s="181" t="str">
        <f>IFERROR(LOOKUP(2,1/((A_Corridor!$A$5:$A$204&lt;&gt;"")*(A_Corridor!$A$5:$A$204&lt;=$B335)*(A_Corridor!$B$5:$B$204&gt;$B335)*(A_Corridor!$H$5:$H$204&lt;&gt;"")),IF(A_Corridor!$H$5:$H$204="-","",1)),"")</f>
        <v/>
      </c>
      <c r="M335" s="182" t="str">
        <f>IFERROR(LOOKUP(2,1/((A_Corridor!$A$5:$A$204&lt;&gt;"")*(A_Corridor!$A$5:$A$204&lt;=$B335)*(A_Corridor!$B$5:$B$204&gt;$B335)*(A_Corridor!$H$5:$H$204&lt;&gt;"")),IF(A_Corridor!$H$5:$H$204="-","",A_Corridor!$H$5:$H$204)),"")</f>
        <v/>
      </c>
      <c r="N335" s="182" t="str">
        <f>IFERROR(LOOKUP(2,1/((A_Corridor!$A$5:$A$204&lt;&gt;"")*(A_Corridor!$A$5:$A$204&lt;=$B335)*(A_Corridor!$B$5:$B$204&gt;$B335)*(A_Corridor!$I$5:$I$204&lt;&gt;"")),IF(A_Corridor!$I$5:$I$204="-","",A_Corridor!$I$5:$I$204)),"")</f>
        <v/>
      </c>
      <c r="O335" s="182" t="str">
        <f>IFERROR(LOOKUP(2,1/((D_Points!$A$5:$A$204&lt;&gt;"")*(D_Points!$A$5:$A$204&gt;=$B335)*(D_Points!$A$5:$A$204&lt;$B335+P_Interval)*(UPPER(TRIM(D_Points!$B$5:$B$204))="PITCHING")*(D_Points!$H$5:$H$204&lt;&gt;"")),D_Points!$H$5:$H$204),"")</f>
        <v/>
      </c>
      <c r="P335" s="181" t="str">
        <f>IFERROR(LOOKUP(2,1/((B_Drainage!$A$5:$A$204&lt;&gt;"")*(B_Drainage!$A$5:$A$204&lt;=$B335)*(B_Drainage!$B$5:$B$204&gt;$B335)*(B_Drainage!$C$5:$C$204&lt;&gt;"")),IF(B_Drainage!$C$5:$C$204="-","",UPPER(B_Drainage!$C$5:$C$204))),"")</f>
        <v/>
      </c>
      <c r="Q335" s="181" t="str">
        <f>IFERROR(LOOKUP(2,1/((B_Drainage!$A$5:$A$204&lt;&gt;"")*(B_Drainage!$A$5:$A$204&lt;=$B335)*(B_Drainage!$B$5:$B$204&gt;$B335)*(B_Drainage!$D$5:$D$204&lt;&gt;"")),IF(B_Drainage!$D$5:$D$204="-","",UPPER(B_Drainage!$D$5:$D$204))),"")</f>
        <v/>
      </c>
      <c r="R335" s="182" t="str">
        <f>IFERROR(LOOKUP(2,1/((D_Points!$A$5:$A$204&lt;&gt;"")*(D_Points!$A$5:$A$204&gt;=$B335)*(D_Points!$A$5:$A$204&lt;$B335+P_Interval)*(RIGHT(UPPER(TRIM(D_Points!$B$5:$B$204)),8)="_CULVERT")),IF(LEFT(UPPER(TRIM(D_Points!$B$5:$B$204)),2)="EX",1,IF(LEFT(UPPER(TRIM(D_Points!$B$5:$B$204)),2)="PR",2,3))),"")</f>
        <v/>
      </c>
      <c r="S335" s="182" t="str">
        <f>IFERROR(LOOKUP(2,1/((D_Points!$A$5:$A$204&lt;&gt;"")*(D_Points!$A$5:$A$204&gt;=$B335)*(D_Points!$A$5:$A$204&lt;$B335+P_Interval)*(RIGHT(UPPER(TRIM(D_Points!$B$5:$B$204)),7)="_BRIDGE")),IF(LEFT(UPPER(TRIM(D_Points!$B$5:$B$204)),2)="EX",1,IF(LEFT(UPPER(TRIM(D_Points!$B$5:$B$204)),2)="PR",2,2))),"")</f>
        <v/>
      </c>
      <c r="T335" s="181" t="str">
        <f>IFERROR(LOOKUP(2,1/((B_Drainage!$A$5:$A$204&lt;&gt;"")*(B_Drainage!$A$5:$A$204&lt;=$B335)*(B_Drainage!$B$5:$B$204&gt;$B335)*(B_Drainage!$E$5:$E$204&lt;&gt;"")),IF(B_Drainage!$E$5:$E$204="-","",1)),"")</f>
        <v/>
      </c>
      <c r="U335" s="181" t="str">
        <f>IFERROR(LOOKUP(2,1/((B_Drainage!$A$5:$A$204&lt;&gt;"")*(B_Drainage!$A$5:$A$204&lt;=$B335)*(B_Drainage!$B$5:$B$204&gt;$B335)*(B_Drainage!$E$5:$E$204&lt;&gt;"")),IF(B_Drainage!$E$5:$E$204="-","",B_Drainage!$E$5:$E$204)),"")</f>
        <v/>
      </c>
      <c r="V335" s="181" t="str">
        <f>IFERROR(LOOKUP(2,1/((B_Drainage!$A$5:$A$204&lt;&gt;"")*(B_Drainage!$A$5:$A$204&lt;=$B335)*(B_Drainage!$B$5:$B$204&gt;$B335)*(B_Drainage!$F$5:$F$204&lt;&gt;"")),IF(B_Drainage!$F$5:$F$204="-","",1)),"")</f>
        <v/>
      </c>
      <c r="W335" s="181" t="str">
        <f>IFERROR(LOOKUP(2,1/((B_Drainage!$A$5:$A$204&lt;&gt;"")*(B_Drainage!$A$5:$A$204&lt;=$B335)*(B_Drainage!$B$5:$B$204&gt;$B335)*(B_Drainage!$F$5:$F$204&lt;&gt;"")),IF(B_Drainage!$F$5:$F$204="-","",B_Drainage!$F$5:$F$204)),"")</f>
        <v/>
      </c>
      <c r="X335" s="181" t="str">
        <f>IFERROR(LOOKUP(2,1/((B_Drainage!$A$5:$A$204&lt;&gt;"")*(B_Drainage!$A$5:$A$204&lt;=$B335)*(B_Drainage!$B$5:$B$204&gt;$B335)*(B_Drainage!$G$5:$G$204&lt;&gt;"")),IF(UPPER(B_Drainage!$G$5:$G$204)="Y",1,"")),"")</f>
        <v/>
      </c>
      <c r="Y335" s="181" t="str">
        <f>IFERROR(LOOKUP(2,1/((B_Drainage!$A$5:$A$204&lt;&gt;"")*(B_Drainage!$A$5:$A$204&lt;=$B335)*(B_Drainage!$B$5:$B$204&gt;$B335)*(B_Drainage!$H$5:$H$204&lt;&gt;"")),IF(UPPER(B_Drainage!$H$5:$H$204)="Y",1,"")),"")</f>
        <v/>
      </c>
      <c r="Z335" s="181" t="str">
        <f>IFERROR(LOOKUP(2,1/((B_Drainage!$A$5:$A$204&lt;&gt;"")*(B_Drainage!$A$5:$A$204&lt;=$B335)*(B_Drainage!$B$5:$B$204&gt;$B335)*(B_Drainage!$I$5:$I$204&lt;&gt;"")),IF(UPPER(B_Drainage!$I$5:$I$204)="Y",1,"")),"")</f>
        <v/>
      </c>
      <c r="AA335" s="181" t="str">
        <f>IFERROR(LOOKUP(2,1/((B_Drainage!$A$5:$A$204&lt;&gt;"")*(B_Drainage!$A$5:$A$204&lt;=$B335)*(B_Drainage!$B$5:$B$204&gt;$B335)*(B_Drainage!$J$5:$J$204&lt;&gt;"")),IF(UPPER(B_Drainage!$J$5:$J$204)="Y",1,"")),"")</f>
        <v/>
      </c>
      <c r="AB335" s="182" t="str">
        <f>IFERROR(LOOKUP(2,1/((B_Drainage!$A$5:$A$204&lt;&gt;"")*(B_Drainage!$A$5:$A$204&lt;=$B335)*(B_Drainage!$B$5:$B$204&gt;$B335)*(B_Drainage!$K$5:$K$204&lt;&gt;"")),IF(B_Drainage!$K$5:$K$204="-","",B_Drainage!$K$5:$K$204)),"")</f>
        <v/>
      </c>
      <c r="AC335" s="182" t="str">
        <f>IFERROR(LOOKUP(2,1/((B_Drainage!$A$5:$A$204&lt;&gt;"")*(B_Drainage!$A$5:$A$204&lt;=$B335)*(B_Drainage!$B$5:$B$204&gt;$B335)*(B_Drainage!$L$5:$L$204&lt;&gt;"")),IF(B_Drainage!$L$5:$L$204="-","",B_Drainage!$L$5:$L$204)),"")</f>
        <v/>
      </c>
      <c r="AD335" s="182" t="str">
        <f>IFERROR(LOOKUP(2,1/((D_Points!$A$5:$A$204&lt;&gt;"")*(D_Points!$A$5:$A$204&gt;=$B335)*(D_Points!$A$5:$A$204&lt;$B335+P_Interval)*(UPPER(TRIM(D_Points!$B$5:$B$204))="TURNOUT_L")*(D_Points!$H$5:$H$204&lt;&gt;"")),D_Points!$H$5:$H$204),"")</f>
        <v/>
      </c>
      <c r="AE335" s="182" t="str">
        <f>IFERROR(LOOKUP(2,1/((D_Points!$A$5:$A$204&lt;&gt;"")*(D_Points!$A$5:$A$204&gt;=$B335)*(D_Points!$A$5:$A$204&lt;$B335+P_Interval)*(UPPER(TRIM(D_Points!$B$5:$B$204))="TURNOUT_R")*(D_Points!$H$5:$H$204&lt;&gt;"")),D_Points!$H$5:$H$204),"")</f>
        <v/>
      </c>
      <c r="AF335" s="181" t="str">
        <f>IFERROR(LOOKUP(2,1/((B_Drainage!$A$5:$A$204&lt;&gt;"")*(B_Drainage!$A$5:$A$204&lt;=$B335)*(B_Drainage!$B$5:$B$204&gt;$B335)*(B_Drainage!$M$5:$M$204&lt;&gt;"")),IF(UPPER(B_Drainage!$M$5:$M$204)="Y",1,"")),"")</f>
        <v/>
      </c>
      <c r="AG335" s="181" t="str">
        <f>IFERROR(LOOKUP(2,1/((B_Drainage!$A$5:$A$204&lt;&gt;"")*(B_Drainage!$A$5:$A$204&lt;=$B335)*(B_Drainage!$B$5:$B$204&gt;$B335)*(B_Drainage!$N$5:$N$204&lt;&gt;"")),IF(UPPER(B_Drainage!$N$5:$N$204)="Y",1,"")),"")</f>
        <v/>
      </c>
      <c r="AH335" s="181" t="str">
        <f t="shared" si="40"/>
        <v/>
      </c>
      <c r="AI335" s="181" t="str">
        <f t="shared" si="41"/>
        <v/>
      </c>
      <c r="AJ335" s="181" t="str">
        <f t="shared" si="42"/>
        <v/>
      </c>
      <c r="AK335" s="181" t="str">
        <f t="shared" si="43"/>
        <v/>
      </c>
      <c r="AL335" s="181" t="str">
        <f t="shared" si="44"/>
        <v/>
      </c>
      <c r="AM335" s="181" t="str">
        <f t="shared" si="45"/>
        <v/>
      </c>
      <c r="AN335" s="181" t="str">
        <f t="shared" si="46"/>
        <v/>
      </c>
      <c r="AO335" s="192" t="str">
        <f t="shared" si="47"/>
        <v/>
      </c>
      <c r="AQ335" t="str">
        <f>IFERROR(LOOKUP(2,1/((C_Pavement!$A$5:$A$204&lt;&gt;"")*(C_Pavement!$A$5:$A$204&lt;=$B335)*(C_Pavement!$B$5:$B$204&gt;$B335)*(C_Pavement!$C$5:$C$204&lt;&gt;"")),ROW(C_Pavement!$C$5:$C$204)-4),"")</f>
        <v/>
      </c>
      <c r="AR335" t="str">
        <f>IF($AQ335="","",UPPER(TRIM(INDEX(C_Pavement!$C$5:$C$204,$AQ335))))</f>
        <v/>
      </c>
      <c r="AS335" t="str">
        <f>IF($AR335="","",IFERROR(MATCH($AR335,E_Rules!$A$5:$A$9,0),""))</f>
        <v/>
      </c>
      <c r="AT335" t="str">
        <f>IF($AQ335="","",IF(INDEX(C_Pavement!$D$5:$D$204,$AQ335)&lt;&gt;"",UPPER(TRIM(INDEX(C_Pavement!$D$5:$D$204,$AQ335))),IF($AS335="","",INDEX(E_Rules!$C$5:$C$9,$AS335))))</f>
        <v/>
      </c>
      <c r="AU335" t="str">
        <f>IF($AQ335="","",IF(INDEX(C_Pavement!$E$5:$E$204,$AQ335)&lt;&gt;"",IF(INDEX(C_Pavement!$E$5:$E$204,$AQ335)="-","",INDEX(C_Pavement!$E$5:$E$204,$AQ335)),IF($AS335="","",INDEX(E_Rules!$D$5:$D$9,$AS335))))</f>
        <v/>
      </c>
      <c r="AV335" t="str">
        <f>IF($AQ335="","",IF(INDEX(C_Pavement!$F$5:$F$204,$AQ335)&lt;&gt;"",IF(INDEX(C_Pavement!$F$5:$F$204,$AQ335)="-","",INDEX(C_Pavement!$F$5:$F$204,$AQ335)),IF($AS335="","",INDEX(E_Rules!$E$5:$E$9,$AS335))))</f>
        <v/>
      </c>
      <c r="AW335" t="str">
        <f>IF($AQ335="","",IF(INDEX(C_Pavement!$G$5:$G$204,$AQ335)&lt;&gt;"",IF(INDEX(C_Pavement!$G$5:$G$204,$AQ335)="-","",INDEX(C_Pavement!$G$5:$G$204,$AQ335)),IF($AS335="","",INDEX(E_Rules!$F$5:$F$9,$AS335))))</f>
        <v/>
      </c>
      <c r="AX335" t="str">
        <f>IF($AQ335="","",IF(INDEX(C_Pavement!$H$5:$H$204,$AQ335)&lt;&gt;"",IF(INDEX(C_Pavement!$H$5:$H$204,$AQ335)="-","",INDEX(C_Pavement!$H$5:$H$204,$AQ335)),IF($AS335="","",INDEX(E_Rules!$G$5:$G$9,$AS335))))</f>
        <v/>
      </c>
      <c r="AY335" t="str">
        <f>IF($AQ335="","",IF(INDEX(C_Pavement!$I$5:$I$204,$AQ335)&lt;&gt;"",IF(INDEX(C_Pavement!$I$5:$I$204,$AQ335)="-","",INDEX(C_Pavement!$I$5:$I$204,$AQ335)),IF($AS335="","",INDEX(E_Rules!$H$5:$H$9,$AS335))))</f>
        <v/>
      </c>
    </row>
    <row r="336" spans="1:51" ht="15.75" customHeight="1" x14ac:dyDescent="0.3">
      <c r="A336" s="189">
        <v>331</v>
      </c>
      <c r="B336" s="180">
        <v>16500</v>
      </c>
      <c r="C336" s="180" t="s">
        <v>642</v>
      </c>
      <c r="D336" s="181" t="str">
        <f>IFERROR(LOOKUP(2,1/((A_Corridor!$A$5:$A$204&lt;&gt;"")*(A_Corridor!$A$5:$A$204&lt;=$B336)*(A_Corridor!$B$5:$B$204&gt;$B336)*(A_Corridor!$C$5:$C$204&lt;&gt;"")),IF(UPPER(A_Corridor!$C$5:$C$204)="Y",1,"")),"")</f>
        <v/>
      </c>
      <c r="E336" s="181" t="str">
        <f>IFERROR(LOOKUP(2,1/((A_Corridor!$A$5:$A$204&lt;&gt;"")*(A_Corridor!$A$5:$A$204&lt;=$B336)*(A_Corridor!$B$5:$B$204&gt;$B336)*(A_Corridor!$D$5:$D$204&lt;&gt;"")),IF(A_Corridor!$D$5:$D$204="-","",UPPER(A_Corridor!$D$5:$D$204))),"")</f>
        <v/>
      </c>
      <c r="F336" s="181" t="str">
        <f>IFERROR(LOOKUP(2,1/((A_Corridor!$A$5:$A$204&lt;&gt;"")*(A_Corridor!$A$5:$A$204&lt;=$B336)*(A_Corridor!$B$5:$B$204&gt;$B336)*(A_Corridor!$E$5:$E$204&lt;&gt;"")),IF(A_Corridor!$E$5:$E$204="-","",1)),"")</f>
        <v/>
      </c>
      <c r="G336" s="182" t="str">
        <f>IFERROR(LOOKUP(2,1/((A_Corridor!$A$5:$A$204&lt;&gt;"")*(A_Corridor!$A$5:$A$204&lt;=$B336)*(A_Corridor!$B$5:$B$204&gt;$B336)*(A_Corridor!$E$5:$E$204&lt;&gt;"")),IF(A_Corridor!$E$5:$E$204="-","",A_Corridor!$E$5:$E$204)),"")</f>
        <v/>
      </c>
      <c r="H336" s="182" t="str">
        <f>IFERROR(LOOKUP(2,1/((D_Points!$A$5:$A$204&lt;&gt;"")*(D_Points!$A$5:$A$204&gt;=$B336)*(D_Points!$A$5:$A$204&lt;$B336+P_Interval)*(UPPER(TRIM(D_Points!$B$5:$B$204))="GULLY")*(D_Points!$H$5:$H$204&lt;&gt;"")),D_Points!$H$5:$H$204),"")</f>
        <v/>
      </c>
      <c r="I336" s="181" t="str">
        <f>IFERROR(LOOKUP(2,1/((A_Corridor!$A$5:$A$204&lt;&gt;"")*(A_Corridor!$A$5:$A$204&lt;=$B336)*(A_Corridor!$B$5:$B$204&gt;$B336)*(A_Corridor!$F$5:$F$204&lt;&gt;"")),IF(A_Corridor!$F$5:$F$204="-","",1)),"")</f>
        <v/>
      </c>
      <c r="J336" s="182" t="str">
        <f>IFERROR(LOOKUP(2,1/((A_Corridor!$A$5:$A$204&lt;&gt;"")*(A_Corridor!$A$5:$A$204&lt;=$B336)*(A_Corridor!$B$5:$B$204&gt;$B336)*(A_Corridor!$F$5:$F$204&lt;&gt;"")),IF(A_Corridor!$F$5:$F$204="-","",A_Corridor!$F$5:$F$204)),"")</f>
        <v/>
      </c>
      <c r="K336" s="182" t="str">
        <f>IFERROR(LOOKUP(2,1/((A_Corridor!$A$5:$A$204&lt;&gt;"")*(A_Corridor!$A$5:$A$204&lt;=$B336)*(A_Corridor!$B$5:$B$204&gt;$B336)*(A_Corridor!$G$5:$G$204&lt;&gt;"")),IF(A_Corridor!$G$5:$G$204="-","",A_Corridor!$G$5:$G$204)),"")</f>
        <v/>
      </c>
      <c r="L336" s="181" t="str">
        <f>IFERROR(LOOKUP(2,1/((A_Corridor!$A$5:$A$204&lt;&gt;"")*(A_Corridor!$A$5:$A$204&lt;=$B336)*(A_Corridor!$B$5:$B$204&gt;$B336)*(A_Corridor!$H$5:$H$204&lt;&gt;"")),IF(A_Corridor!$H$5:$H$204="-","",1)),"")</f>
        <v/>
      </c>
      <c r="M336" s="182" t="str">
        <f>IFERROR(LOOKUP(2,1/((A_Corridor!$A$5:$A$204&lt;&gt;"")*(A_Corridor!$A$5:$A$204&lt;=$B336)*(A_Corridor!$B$5:$B$204&gt;$B336)*(A_Corridor!$H$5:$H$204&lt;&gt;"")),IF(A_Corridor!$H$5:$H$204="-","",A_Corridor!$H$5:$H$204)),"")</f>
        <v/>
      </c>
      <c r="N336" s="182" t="str">
        <f>IFERROR(LOOKUP(2,1/((A_Corridor!$A$5:$A$204&lt;&gt;"")*(A_Corridor!$A$5:$A$204&lt;=$B336)*(A_Corridor!$B$5:$B$204&gt;$B336)*(A_Corridor!$I$5:$I$204&lt;&gt;"")),IF(A_Corridor!$I$5:$I$204="-","",A_Corridor!$I$5:$I$204)),"")</f>
        <v/>
      </c>
      <c r="O336" s="182" t="str">
        <f>IFERROR(LOOKUP(2,1/((D_Points!$A$5:$A$204&lt;&gt;"")*(D_Points!$A$5:$A$204&gt;=$B336)*(D_Points!$A$5:$A$204&lt;$B336+P_Interval)*(UPPER(TRIM(D_Points!$B$5:$B$204))="PITCHING")*(D_Points!$H$5:$H$204&lt;&gt;"")),D_Points!$H$5:$H$204),"")</f>
        <v/>
      </c>
      <c r="P336" s="181" t="str">
        <f>IFERROR(LOOKUP(2,1/((B_Drainage!$A$5:$A$204&lt;&gt;"")*(B_Drainage!$A$5:$A$204&lt;=$B336)*(B_Drainage!$B$5:$B$204&gt;$B336)*(B_Drainage!$C$5:$C$204&lt;&gt;"")),IF(B_Drainage!$C$5:$C$204="-","",UPPER(B_Drainage!$C$5:$C$204))),"")</f>
        <v/>
      </c>
      <c r="Q336" s="181" t="str">
        <f>IFERROR(LOOKUP(2,1/((B_Drainage!$A$5:$A$204&lt;&gt;"")*(B_Drainage!$A$5:$A$204&lt;=$B336)*(B_Drainage!$B$5:$B$204&gt;$B336)*(B_Drainage!$D$5:$D$204&lt;&gt;"")),IF(B_Drainage!$D$5:$D$204="-","",UPPER(B_Drainage!$D$5:$D$204))),"")</f>
        <v/>
      </c>
      <c r="R336" s="182" t="str">
        <f>IFERROR(LOOKUP(2,1/((D_Points!$A$5:$A$204&lt;&gt;"")*(D_Points!$A$5:$A$204&gt;=$B336)*(D_Points!$A$5:$A$204&lt;$B336+P_Interval)*(RIGHT(UPPER(TRIM(D_Points!$B$5:$B$204)),8)="_CULVERT")),IF(LEFT(UPPER(TRIM(D_Points!$B$5:$B$204)),2)="EX",1,IF(LEFT(UPPER(TRIM(D_Points!$B$5:$B$204)),2)="PR",2,3))),"")</f>
        <v/>
      </c>
      <c r="S336" s="182" t="str">
        <f>IFERROR(LOOKUP(2,1/((D_Points!$A$5:$A$204&lt;&gt;"")*(D_Points!$A$5:$A$204&gt;=$B336)*(D_Points!$A$5:$A$204&lt;$B336+P_Interval)*(RIGHT(UPPER(TRIM(D_Points!$B$5:$B$204)),7)="_BRIDGE")),IF(LEFT(UPPER(TRIM(D_Points!$B$5:$B$204)),2)="EX",1,IF(LEFT(UPPER(TRIM(D_Points!$B$5:$B$204)),2)="PR",2,2))),"")</f>
        <v/>
      </c>
      <c r="T336" s="181" t="str">
        <f>IFERROR(LOOKUP(2,1/((B_Drainage!$A$5:$A$204&lt;&gt;"")*(B_Drainage!$A$5:$A$204&lt;=$B336)*(B_Drainage!$B$5:$B$204&gt;$B336)*(B_Drainage!$E$5:$E$204&lt;&gt;"")),IF(B_Drainage!$E$5:$E$204="-","",1)),"")</f>
        <v/>
      </c>
      <c r="U336" s="181" t="str">
        <f>IFERROR(LOOKUP(2,1/((B_Drainage!$A$5:$A$204&lt;&gt;"")*(B_Drainage!$A$5:$A$204&lt;=$B336)*(B_Drainage!$B$5:$B$204&gt;$B336)*(B_Drainage!$E$5:$E$204&lt;&gt;"")),IF(B_Drainage!$E$5:$E$204="-","",B_Drainage!$E$5:$E$204)),"")</f>
        <v/>
      </c>
      <c r="V336" s="181" t="str">
        <f>IFERROR(LOOKUP(2,1/((B_Drainage!$A$5:$A$204&lt;&gt;"")*(B_Drainage!$A$5:$A$204&lt;=$B336)*(B_Drainage!$B$5:$B$204&gt;$B336)*(B_Drainage!$F$5:$F$204&lt;&gt;"")),IF(B_Drainage!$F$5:$F$204="-","",1)),"")</f>
        <v/>
      </c>
      <c r="W336" s="181" t="str">
        <f>IFERROR(LOOKUP(2,1/((B_Drainage!$A$5:$A$204&lt;&gt;"")*(B_Drainage!$A$5:$A$204&lt;=$B336)*(B_Drainage!$B$5:$B$204&gt;$B336)*(B_Drainage!$F$5:$F$204&lt;&gt;"")),IF(B_Drainage!$F$5:$F$204="-","",B_Drainage!$F$5:$F$204)),"")</f>
        <v/>
      </c>
      <c r="X336" s="181" t="str">
        <f>IFERROR(LOOKUP(2,1/((B_Drainage!$A$5:$A$204&lt;&gt;"")*(B_Drainage!$A$5:$A$204&lt;=$B336)*(B_Drainage!$B$5:$B$204&gt;$B336)*(B_Drainage!$G$5:$G$204&lt;&gt;"")),IF(UPPER(B_Drainage!$G$5:$G$204)="Y",1,"")),"")</f>
        <v/>
      </c>
      <c r="Y336" s="181" t="str">
        <f>IFERROR(LOOKUP(2,1/((B_Drainage!$A$5:$A$204&lt;&gt;"")*(B_Drainage!$A$5:$A$204&lt;=$B336)*(B_Drainage!$B$5:$B$204&gt;$B336)*(B_Drainage!$H$5:$H$204&lt;&gt;"")),IF(UPPER(B_Drainage!$H$5:$H$204)="Y",1,"")),"")</f>
        <v/>
      </c>
      <c r="Z336" s="181" t="str">
        <f>IFERROR(LOOKUP(2,1/((B_Drainage!$A$5:$A$204&lt;&gt;"")*(B_Drainage!$A$5:$A$204&lt;=$B336)*(B_Drainage!$B$5:$B$204&gt;$B336)*(B_Drainage!$I$5:$I$204&lt;&gt;"")),IF(UPPER(B_Drainage!$I$5:$I$204)="Y",1,"")),"")</f>
        <v/>
      </c>
      <c r="AA336" s="181" t="str">
        <f>IFERROR(LOOKUP(2,1/((B_Drainage!$A$5:$A$204&lt;&gt;"")*(B_Drainage!$A$5:$A$204&lt;=$B336)*(B_Drainage!$B$5:$B$204&gt;$B336)*(B_Drainage!$J$5:$J$204&lt;&gt;"")),IF(UPPER(B_Drainage!$J$5:$J$204)="Y",1,"")),"")</f>
        <v/>
      </c>
      <c r="AB336" s="182" t="str">
        <f>IFERROR(LOOKUP(2,1/((B_Drainage!$A$5:$A$204&lt;&gt;"")*(B_Drainage!$A$5:$A$204&lt;=$B336)*(B_Drainage!$B$5:$B$204&gt;$B336)*(B_Drainage!$K$5:$K$204&lt;&gt;"")),IF(B_Drainage!$K$5:$K$204="-","",B_Drainage!$K$5:$K$204)),"")</f>
        <v/>
      </c>
      <c r="AC336" s="182" t="str">
        <f>IFERROR(LOOKUP(2,1/((B_Drainage!$A$5:$A$204&lt;&gt;"")*(B_Drainage!$A$5:$A$204&lt;=$B336)*(B_Drainage!$B$5:$B$204&gt;$B336)*(B_Drainage!$L$5:$L$204&lt;&gt;"")),IF(B_Drainage!$L$5:$L$204="-","",B_Drainage!$L$5:$L$204)),"")</f>
        <v/>
      </c>
      <c r="AD336" s="182" t="str">
        <f>IFERROR(LOOKUP(2,1/((D_Points!$A$5:$A$204&lt;&gt;"")*(D_Points!$A$5:$A$204&gt;=$B336)*(D_Points!$A$5:$A$204&lt;$B336+P_Interval)*(UPPER(TRIM(D_Points!$B$5:$B$204))="TURNOUT_L")*(D_Points!$H$5:$H$204&lt;&gt;"")),D_Points!$H$5:$H$204),"")</f>
        <v/>
      </c>
      <c r="AE336" s="182" t="str">
        <f>IFERROR(LOOKUP(2,1/((D_Points!$A$5:$A$204&lt;&gt;"")*(D_Points!$A$5:$A$204&gt;=$B336)*(D_Points!$A$5:$A$204&lt;$B336+P_Interval)*(UPPER(TRIM(D_Points!$B$5:$B$204))="TURNOUT_R")*(D_Points!$H$5:$H$204&lt;&gt;"")),D_Points!$H$5:$H$204),"")</f>
        <v/>
      </c>
      <c r="AF336" s="181" t="str">
        <f>IFERROR(LOOKUP(2,1/((B_Drainage!$A$5:$A$204&lt;&gt;"")*(B_Drainage!$A$5:$A$204&lt;=$B336)*(B_Drainage!$B$5:$B$204&gt;$B336)*(B_Drainage!$M$5:$M$204&lt;&gt;"")),IF(UPPER(B_Drainage!$M$5:$M$204)="Y",1,"")),"")</f>
        <v/>
      </c>
      <c r="AG336" s="181" t="str">
        <f>IFERROR(LOOKUP(2,1/((B_Drainage!$A$5:$A$204&lt;&gt;"")*(B_Drainage!$A$5:$A$204&lt;=$B336)*(B_Drainage!$B$5:$B$204&gt;$B336)*(B_Drainage!$N$5:$N$204&lt;&gt;"")),IF(UPPER(B_Drainage!$N$5:$N$204)="Y",1,"")),"")</f>
        <v/>
      </c>
      <c r="AH336" s="181" t="str">
        <f t="shared" si="40"/>
        <v/>
      </c>
      <c r="AI336" s="181" t="str">
        <f t="shared" si="41"/>
        <v/>
      </c>
      <c r="AJ336" s="181" t="str">
        <f t="shared" si="42"/>
        <v/>
      </c>
      <c r="AK336" s="181" t="str">
        <f t="shared" si="43"/>
        <v/>
      </c>
      <c r="AL336" s="181" t="str">
        <f t="shared" si="44"/>
        <v/>
      </c>
      <c r="AM336" s="181" t="str">
        <f t="shared" si="45"/>
        <v/>
      </c>
      <c r="AN336" s="181" t="str">
        <f t="shared" si="46"/>
        <v/>
      </c>
      <c r="AO336" s="192" t="str">
        <f t="shared" si="47"/>
        <v/>
      </c>
      <c r="AQ336" t="str">
        <f>IFERROR(LOOKUP(2,1/((C_Pavement!$A$5:$A$204&lt;&gt;"")*(C_Pavement!$A$5:$A$204&lt;=$B336)*(C_Pavement!$B$5:$B$204&gt;$B336)*(C_Pavement!$C$5:$C$204&lt;&gt;"")),ROW(C_Pavement!$C$5:$C$204)-4),"")</f>
        <v/>
      </c>
      <c r="AR336" t="str">
        <f>IF($AQ336="","",UPPER(TRIM(INDEX(C_Pavement!$C$5:$C$204,$AQ336))))</f>
        <v/>
      </c>
      <c r="AS336" t="str">
        <f>IF($AR336="","",IFERROR(MATCH($AR336,E_Rules!$A$5:$A$9,0),""))</f>
        <v/>
      </c>
      <c r="AT336" t="str">
        <f>IF($AQ336="","",IF(INDEX(C_Pavement!$D$5:$D$204,$AQ336)&lt;&gt;"",UPPER(TRIM(INDEX(C_Pavement!$D$5:$D$204,$AQ336))),IF($AS336="","",INDEX(E_Rules!$C$5:$C$9,$AS336))))</f>
        <v/>
      </c>
      <c r="AU336" t="str">
        <f>IF($AQ336="","",IF(INDEX(C_Pavement!$E$5:$E$204,$AQ336)&lt;&gt;"",IF(INDEX(C_Pavement!$E$5:$E$204,$AQ336)="-","",INDEX(C_Pavement!$E$5:$E$204,$AQ336)),IF($AS336="","",INDEX(E_Rules!$D$5:$D$9,$AS336))))</f>
        <v/>
      </c>
      <c r="AV336" t="str">
        <f>IF($AQ336="","",IF(INDEX(C_Pavement!$F$5:$F$204,$AQ336)&lt;&gt;"",IF(INDEX(C_Pavement!$F$5:$F$204,$AQ336)="-","",INDEX(C_Pavement!$F$5:$F$204,$AQ336)),IF($AS336="","",INDEX(E_Rules!$E$5:$E$9,$AS336))))</f>
        <v/>
      </c>
      <c r="AW336" t="str">
        <f>IF($AQ336="","",IF(INDEX(C_Pavement!$G$5:$G$204,$AQ336)&lt;&gt;"",IF(INDEX(C_Pavement!$G$5:$G$204,$AQ336)="-","",INDEX(C_Pavement!$G$5:$G$204,$AQ336)),IF($AS336="","",INDEX(E_Rules!$F$5:$F$9,$AS336))))</f>
        <v/>
      </c>
      <c r="AX336" t="str">
        <f>IF($AQ336="","",IF(INDEX(C_Pavement!$H$5:$H$204,$AQ336)&lt;&gt;"",IF(INDEX(C_Pavement!$H$5:$H$204,$AQ336)="-","",INDEX(C_Pavement!$H$5:$H$204,$AQ336)),IF($AS336="","",INDEX(E_Rules!$G$5:$G$9,$AS336))))</f>
        <v/>
      </c>
      <c r="AY336" t="str">
        <f>IF($AQ336="","",IF(INDEX(C_Pavement!$I$5:$I$204,$AQ336)&lt;&gt;"",IF(INDEX(C_Pavement!$I$5:$I$204,$AQ336)="-","",INDEX(C_Pavement!$I$5:$I$204,$AQ336)),IF($AS336="","",INDEX(E_Rules!$H$5:$H$9,$AS336))))</f>
        <v/>
      </c>
    </row>
    <row r="337" spans="1:51" ht="15.75" customHeight="1" x14ac:dyDescent="0.3">
      <c r="A337" s="189">
        <v>332</v>
      </c>
      <c r="B337" s="180">
        <v>16550</v>
      </c>
      <c r="C337" s="180" t="s">
        <v>643</v>
      </c>
      <c r="D337" s="181" t="str">
        <f>IFERROR(LOOKUP(2,1/((A_Corridor!$A$5:$A$204&lt;&gt;"")*(A_Corridor!$A$5:$A$204&lt;=$B337)*(A_Corridor!$B$5:$B$204&gt;$B337)*(A_Corridor!$C$5:$C$204&lt;&gt;"")),IF(UPPER(A_Corridor!$C$5:$C$204)="Y",1,"")),"")</f>
        <v/>
      </c>
      <c r="E337" s="181" t="str">
        <f>IFERROR(LOOKUP(2,1/((A_Corridor!$A$5:$A$204&lt;&gt;"")*(A_Corridor!$A$5:$A$204&lt;=$B337)*(A_Corridor!$B$5:$B$204&gt;$B337)*(A_Corridor!$D$5:$D$204&lt;&gt;"")),IF(A_Corridor!$D$5:$D$204="-","",UPPER(A_Corridor!$D$5:$D$204))),"")</f>
        <v/>
      </c>
      <c r="F337" s="181" t="str">
        <f>IFERROR(LOOKUP(2,1/((A_Corridor!$A$5:$A$204&lt;&gt;"")*(A_Corridor!$A$5:$A$204&lt;=$B337)*(A_Corridor!$B$5:$B$204&gt;$B337)*(A_Corridor!$E$5:$E$204&lt;&gt;"")),IF(A_Corridor!$E$5:$E$204="-","",1)),"")</f>
        <v/>
      </c>
      <c r="G337" s="182" t="str">
        <f>IFERROR(LOOKUP(2,1/((A_Corridor!$A$5:$A$204&lt;&gt;"")*(A_Corridor!$A$5:$A$204&lt;=$B337)*(A_Corridor!$B$5:$B$204&gt;$B337)*(A_Corridor!$E$5:$E$204&lt;&gt;"")),IF(A_Corridor!$E$5:$E$204="-","",A_Corridor!$E$5:$E$204)),"")</f>
        <v/>
      </c>
      <c r="H337" s="182" t="str">
        <f>IFERROR(LOOKUP(2,1/((D_Points!$A$5:$A$204&lt;&gt;"")*(D_Points!$A$5:$A$204&gt;=$B337)*(D_Points!$A$5:$A$204&lt;$B337+P_Interval)*(UPPER(TRIM(D_Points!$B$5:$B$204))="GULLY")*(D_Points!$H$5:$H$204&lt;&gt;"")),D_Points!$H$5:$H$204),"")</f>
        <v/>
      </c>
      <c r="I337" s="181" t="str">
        <f>IFERROR(LOOKUP(2,1/((A_Corridor!$A$5:$A$204&lt;&gt;"")*(A_Corridor!$A$5:$A$204&lt;=$B337)*(A_Corridor!$B$5:$B$204&gt;$B337)*(A_Corridor!$F$5:$F$204&lt;&gt;"")),IF(A_Corridor!$F$5:$F$204="-","",1)),"")</f>
        <v/>
      </c>
      <c r="J337" s="182" t="str">
        <f>IFERROR(LOOKUP(2,1/((A_Corridor!$A$5:$A$204&lt;&gt;"")*(A_Corridor!$A$5:$A$204&lt;=$B337)*(A_Corridor!$B$5:$B$204&gt;$B337)*(A_Corridor!$F$5:$F$204&lt;&gt;"")),IF(A_Corridor!$F$5:$F$204="-","",A_Corridor!$F$5:$F$204)),"")</f>
        <v/>
      </c>
      <c r="K337" s="182" t="str">
        <f>IFERROR(LOOKUP(2,1/((A_Corridor!$A$5:$A$204&lt;&gt;"")*(A_Corridor!$A$5:$A$204&lt;=$B337)*(A_Corridor!$B$5:$B$204&gt;$B337)*(A_Corridor!$G$5:$G$204&lt;&gt;"")),IF(A_Corridor!$G$5:$G$204="-","",A_Corridor!$G$5:$G$204)),"")</f>
        <v/>
      </c>
      <c r="L337" s="181" t="str">
        <f>IFERROR(LOOKUP(2,1/((A_Corridor!$A$5:$A$204&lt;&gt;"")*(A_Corridor!$A$5:$A$204&lt;=$B337)*(A_Corridor!$B$5:$B$204&gt;$B337)*(A_Corridor!$H$5:$H$204&lt;&gt;"")),IF(A_Corridor!$H$5:$H$204="-","",1)),"")</f>
        <v/>
      </c>
      <c r="M337" s="182" t="str">
        <f>IFERROR(LOOKUP(2,1/((A_Corridor!$A$5:$A$204&lt;&gt;"")*(A_Corridor!$A$5:$A$204&lt;=$B337)*(A_Corridor!$B$5:$B$204&gt;$B337)*(A_Corridor!$H$5:$H$204&lt;&gt;"")),IF(A_Corridor!$H$5:$H$204="-","",A_Corridor!$H$5:$H$204)),"")</f>
        <v/>
      </c>
      <c r="N337" s="182" t="str">
        <f>IFERROR(LOOKUP(2,1/((A_Corridor!$A$5:$A$204&lt;&gt;"")*(A_Corridor!$A$5:$A$204&lt;=$B337)*(A_Corridor!$B$5:$B$204&gt;$B337)*(A_Corridor!$I$5:$I$204&lt;&gt;"")),IF(A_Corridor!$I$5:$I$204="-","",A_Corridor!$I$5:$I$204)),"")</f>
        <v/>
      </c>
      <c r="O337" s="182" t="str">
        <f>IFERROR(LOOKUP(2,1/((D_Points!$A$5:$A$204&lt;&gt;"")*(D_Points!$A$5:$A$204&gt;=$B337)*(D_Points!$A$5:$A$204&lt;$B337+P_Interval)*(UPPER(TRIM(D_Points!$B$5:$B$204))="PITCHING")*(D_Points!$H$5:$H$204&lt;&gt;"")),D_Points!$H$5:$H$204),"")</f>
        <v/>
      </c>
      <c r="P337" s="181" t="str">
        <f>IFERROR(LOOKUP(2,1/((B_Drainage!$A$5:$A$204&lt;&gt;"")*(B_Drainage!$A$5:$A$204&lt;=$B337)*(B_Drainage!$B$5:$B$204&gt;$B337)*(B_Drainage!$C$5:$C$204&lt;&gt;"")),IF(B_Drainage!$C$5:$C$204="-","",UPPER(B_Drainage!$C$5:$C$204))),"")</f>
        <v/>
      </c>
      <c r="Q337" s="181" t="str">
        <f>IFERROR(LOOKUP(2,1/((B_Drainage!$A$5:$A$204&lt;&gt;"")*(B_Drainage!$A$5:$A$204&lt;=$B337)*(B_Drainage!$B$5:$B$204&gt;$B337)*(B_Drainage!$D$5:$D$204&lt;&gt;"")),IF(B_Drainage!$D$5:$D$204="-","",UPPER(B_Drainage!$D$5:$D$204))),"")</f>
        <v/>
      </c>
      <c r="R337" s="182" t="str">
        <f>IFERROR(LOOKUP(2,1/((D_Points!$A$5:$A$204&lt;&gt;"")*(D_Points!$A$5:$A$204&gt;=$B337)*(D_Points!$A$5:$A$204&lt;$B337+P_Interval)*(RIGHT(UPPER(TRIM(D_Points!$B$5:$B$204)),8)="_CULVERT")),IF(LEFT(UPPER(TRIM(D_Points!$B$5:$B$204)),2)="EX",1,IF(LEFT(UPPER(TRIM(D_Points!$B$5:$B$204)),2)="PR",2,3))),"")</f>
        <v/>
      </c>
      <c r="S337" s="182" t="str">
        <f>IFERROR(LOOKUP(2,1/((D_Points!$A$5:$A$204&lt;&gt;"")*(D_Points!$A$5:$A$204&gt;=$B337)*(D_Points!$A$5:$A$204&lt;$B337+P_Interval)*(RIGHT(UPPER(TRIM(D_Points!$B$5:$B$204)),7)="_BRIDGE")),IF(LEFT(UPPER(TRIM(D_Points!$B$5:$B$204)),2)="EX",1,IF(LEFT(UPPER(TRIM(D_Points!$B$5:$B$204)),2)="PR",2,2))),"")</f>
        <v/>
      </c>
      <c r="T337" s="181" t="str">
        <f>IFERROR(LOOKUP(2,1/((B_Drainage!$A$5:$A$204&lt;&gt;"")*(B_Drainage!$A$5:$A$204&lt;=$B337)*(B_Drainage!$B$5:$B$204&gt;$B337)*(B_Drainage!$E$5:$E$204&lt;&gt;"")),IF(B_Drainage!$E$5:$E$204="-","",1)),"")</f>
        <v/>
      </c>
      <c r="U337" s="181" t="str">
        <f>IFERROR(LOOKUP(2,1/((B_Drainage!$A$5:$A$204&lt;&gt;"")*(B_Drainage!$A$5:$A$204&lt;=$B337)*(B_Drainage!$B$5:$B$204&gt;$B337)*(B_Drainage!$E$5:$E$204&lt;&gt;"")),IF(B_Drainage!$E$5:$E$204="-","",B_Drainage!$E$5:$E$204)),"")</f>
        <v/>
      </c>
      <c r="V337" s="181" t="str">
        <f>IFERROR(LOOKUP(2,1/((B_Drainage!$A$5:$A$204&lt;&gt;"")*(B_Drainage!$A$5:$A$204&lt;=$B337)*(B_Drainage!$B$5:$B$204&gt;$B337)*(B_Drainage!$F$5:$F$204&lt;&gt;"")),IF(B_Drainage!$F$5:$F$204="-","",1)),"")</f>
        <v/>
      </c>
      <c r="W337" s="181" t="str">
        <f>IFERROR(LOOKUP(2,1/((B_Drainage!$A$5:$A$204&lt;&gt;"")*(B_Drainage!$A$5:$A$204&lt;=$B337)*(B_Drainage!$B$5:$B$204&gt;$B337)*(B_Drainage!$F$5:$F$204&lt;&gt;"")),IF(B_Drainage!$F$5:$F$204="-","",B_Drainage!$F$5:$F$204)),"")</f>
        <v/>
      </c>
      <c r="X337" s="181" t="str">
        <f>IFERROR(LOOKUP(2,1/((B_Drainage!$A$5:$A$204&lt;&gt;"")*(B_Drainage!$A$5:$A$204&lt;=$B337)*(B_Drainage!$B$5:$B$204&gt;$B337)*(B_Drainage!$G$5:$G$204&lt;&gt;"")),IF(UPPER(B_Drainage!$G$5:$G$204)="Y",1,"")),"")</f>
        <v/>
      </c>
      <c r="Y337" s="181" t="str">
        <f>IFERROR(LOOKUP(2,1/((B_Drainage!$A$5:$A$204&lt;&gt;"")*(B_Drainage!$A$5:$A$204&lt;=$B337)*(B_Drainage!$B$5:$B$204&gt;$B337)*(B_Drainage!$H$5:$H$204&lt;&gt;"")),IF(UPPER(B_Drainage!$H$5:$H$204)="Y",1,"")),"")</f>
        <v/>
      </c>
      <c r="Z337" s="181" t="str">
        <f>IFERROR(LOOKUP(2,1/((B_Drainage!$A$5:$A$204&lt;&gt;"")*(B_Drainage!$A$5:$A$204&lt;=$B337)*(B_Drainage!$B$5:$B$204&gt;$B337)*(B_Drainage!$I$5:$I$204&lt;&gt;"")),IF(UPPER(B_Drainage!$I$5:$I$204)="Y",1,"")),"")</f>
        <v/>
      </c>
      <c r="AA337" s="181" t="str">
        <f>IFERROR(LOOKUP(2,1/((B_Drainage!$A$5:$A$204&lt;&gt;"")*(B_Drainage!$A$5:$A$204&lt;=$B337)*(B_Drainage!$B$5:$B$204&gt;$B337)*(B_Drainage!$J$5:$J$204&lt;&gt;"")),IF(UPPER(B_Drainage!$J$5:$J$204)="Y",1,"")),"")</f>
        <v/>
      </c>
      <c r="AB337" s="182" t="str">
        <f>IFERROR(LOOKUP(2,1/((B_Drainage!$A$5:$A$204&lt;&gt;"")*(B_Drainage!$A$5:$A$204&lt;=$B337)*(B_Drainage!$B$5:$B$204&gt;$B337)*(B_Drainage!$K$5:$K$204&lt;&gt;"")),IF(B_Drainage!$K$5:$K$204="-","",B_Drainage!$K$5:$K$204)),"")</f>
        <v/>
      </c>
      <c r="AC337" s="182" t="str">
        <f>IFERROR(LOOKUP(2,1/((B_Drainage!$A$5:$A$204&lt;&gt;"")*(B_Drainage!$A$5:$A$204&lt;=$B337)*(B_Drainage!$B$5:$B$204&gt;$B337)*(B_Drainage!$L$5:$L$204&lt;&gt;"")),IF(B_Drainage!$L$5:$L$204="-","",B_Drainage!$L$5:$L$204)),"")</f>
        <v/>
      </c>
      <c r="AD337" s="182" t="str">
        <f>IFERROR(LOOKUP(2,1/((D_Points!$A$5:$A$204&lt;&gt;"")*(D_Points!$A$5:$A$204&gt;=$B337)*(D_Points!$A$5:$A$204&lt;$B337+P_Interval)*(UPPER(TRIM(D_Points!$B$5:$B$204))="TURNOUT_L")*(D_Points!$H$5:$H$204&lt;&gt;"")),D_Points!$H$5:$H$204),"")</f>
        <v/>
      </c>
      <c r="AE337" s="182" t="str">
        <f>IFERROR(LOOKUP(2,1/((D_Points!$A$5:$A$204&lt;&gt;"")*(D_Points!$A$5:$A$204&gt;=$B337)*(D_Points!$A$5:$A$204&lt;$B337+P_Interval)*(UPPER(TRIM(D_Points!$B$5:$B$204))="TURNOUT_R")*(D_Points!$H$5:$H$204&lt;&gt;"")),D_Points!$H$5:$H$204),"")</f>
        <v/>
      </c>
      <c r="AF337" s="181" t="str">
        <f>IFERROR(LOOKUP(2,1/((B_Drainage!$A$5:$A$204&lt;&gt;"")*(B_Drainage!$A$5:$A$204&lt;=$B337)*(B_Drainage!$B$5:$B$204&gt;$B337)*(B_Drainage!$M$5:$M$204&lt;&gt;"")),IF(UPPER(B_Drainage!$M$5:$M$204)="Y",1,"")),"")</f>
        <v/>
      </c>
      <c r="AG337" s="181" t="str">
        <f>IFERROR(LOOKUP(2,1/((B_Drainage!$A$5:$A$204&lt;&gt;"")*(B_Drainage!$A$5:$A$204&lt;=$B337)*(B_Drainage!$B$5:$B$204&gt;$B337)*(B_Drainage!$N$5:$N$204&lt;&gt;"")),IF(UPPER(B_Drainage!$N$5:$N$204)="Y",1,"")),"")</f>
        <v/>
      </c>
      <c r="AH337" s="181" t="str">
        <f t="shared" si="40"/>
        <v/>
      </c>
      <c r="AI337" s="181" t="str">
        <f t="shared" si="41"/>
        <v/>
      </c>
      <c r="AJ337" s="181" t="str">
        <f t="shared" si="42"/>
        <v/>
      </c>
      <c r="AK337" s="181" t="str">
        <f t="shared" si="43"/>
        <v/>
      </c>
      <c r="AL337" s="181" t="str">
        <f t="shared" si="44"/>
        <v/>
      </c>
      <c r="AM337" s="181" t="str">
        <f t="shared" si="45"/>
        <v/>
      </c>
      <c r="AN337" s="181" t="str">
        <f t="shared" si="46"/>
        <v/>
      </c>
      <c r="AO337" s="192" t="str">
        <f t="shared" si="47"/>
        <v/>
      </c>
      <c r="AQ337" t="str">
        <f>IFERROR(LOOKUP(2,1/((C_Pavement!$A$5:$A$204&lt;&gt;"")*(C_Pavement!$A$5:$A$204&lt;=$B337)*(C_Pavement!$B$5:$B$204&gt;$B337)*(C_Pavement!$C$5:$C$204&lt;&gt;"")),ROW(C_Pavement!$C$5:$C$204)-4),"")</f>
        <v/>
      </c>
      <c r="AR337" t="str">
        <f>IF($AQ337="","",UPPER(TRIM(INDEX(C_Pavement!$C$5:$C$204,$AQ337))))</f>
        <v/>
      </c>
      <c r="AS337" t="str">
        <f>IF($AR337="","",IFERROR(MATCH($AR337,E_Rules!$A$5:$A$9,0),""))</f>
        <v/>
      </c>
      <c r="AT337" t="str">
        <f>IF($AQ337="","",IF(INDEX(C_Pavement!$D$5:$D$204,$AQ337)&lt;&gt;"",UPPER(TRIM(INDEX(C_Pavement!$D$5:$D$204,$AQ337))),IF($AS337="","",INDEX(E_Rules!$C$5:$C$9,$AS337))))</f>
        <v/>
      </c>
      <c r="AU337" t="str">
        <f>IF($AQ337="","",IF(INDEX(C_Pavement!$E$5:$E$204,$AQ337)&lt;&gt;"",IF(INDEX(C_Pavement!$E$5:$E$204,$AQ337)="-","",INDEX(C_Pavement!$E$5:$E$204,$AQ337)),IF($AS337="","",INDEX(E_Rules!$D$5:$D$9,$AS337))))</f>
        <v/>
      </c>
      <c r="AV337" t="str">
        <f>IF($AQ337="","",IF(INDEX(C_Pavement!$F$5:$F$204,$AQ337)&lt;&gt;"",IF(INDEX(C_Pavement!$F$5:$F$204,$AQ337)="-","",INDEX(C_Pavement!$F$5:$F$204,$AQ337)),IF($AS337="","",INDEX(E_Rules!$E$5:$E$9,$AS337))))</f>
        <v/>
      </c>
      <c r="AW337" t="str">
        <f>IF($AQ337="","",IF(INDEX(C_Pavement!$G$5:$G$204,$AQ337)&lt;&gt;"",IF(INDEX(C_Pavement!$G$5:$G$204,$AQ337)="-","",INDEX(C_Pavement!$G$5:$G$204,$AQ337)),IF($AS337="","",INDEX(E_Rules!$F$5:$F$9,$AS337))))</f>
        <v/>
      </c>
      <c r="AX337" t="str">
        <f>IF($AQ337="","",IF(INDEX(C_Pavement!$H$5:$H$204,$AQ337)&lt;&gt;"",IF(INDEX(C_Pavement!$H$5:$H$204,$AQ337)="-","",INDEX(C_Pavement!$H$5:$H$204,$AQ337)),IF($AS337="","",INDEX(E_Rules!$G$5:$G$9,$AS337))))</f>
        <v/>
      </c>
      <c r="AY337" t="str">
        <f>IF($AQ337="","",IF(INDEX(C_Pavement!$I$5:$I$204,$AQ337)&lt;&gt;"",IF(INDEX(C_Pavement!$I$5:$I$204,$AQ337)="-","",INDEX(C_Pavement!$I$5:$I$204,$AQ337)),IF($AS337="","",INDEX(E_Rules!$H$5:$H$9,$AS337))))</f>
        <v/>
      </c>
    </row>
    <row r="338" spans="1:51" ht="15.75" customHeight="1" x14ac:dyDescent="0.3">
      <c r="A338" s="189">
        <v>333</v>
      </c>
      <c r="B338" s="180">
        <v>16600</v>
      </c>
      <c r="C338" s="180" t="s">
        <v>644</v>
      </c>
      <c r="D338" s="181" t="str">
        <f>IFERROR(LOOKUP(2,1/((A_Corridor!$A$5:$A$204&lt;&gt;"")*(A_Corridor!$A$5:$A$204&lt;=$B338)*(A_Corridor!$B$5:$B$204&gt;$B338)*(A_Corridor!$C$5:$C$204&lt;&gt;"")),IF(UPPER(A_Corridor!$C$5:$C$204)="Y",1,"")),"")</f>
        <v/>
      </c>
      <c r="E338" s="181" t="str">
        <f>IFERROR(LOOKUP(2,1/((A_Corridor!$A$5:$A$204&lt;&gt;"")*(A_Corridor!$A$5:$A$204&lt;=$B338)*(A_Corridor!$B$5:$B$204&gt;$B338)*(A_Corridor!$D$5:$D$204&lt;&gt;"")),IF(A_Corridor!$D$5:$D$204="-","",UPPER(A_Corridor!$D$5:$D$204))),"")</f>
        <v/>
      </c>
      <c r="F338" s="181" t="str">
        <f>IFERROR(LOOKUP(2,1/((A_Corridor!$A$5:$A$204&lt;&gt;"")*(A_Corridor!$A$5:$A$204&lt;=$B338)*(A_Corridor!$B$5:$B$204&gt;$B338)*(A_Corridor!$E$5:$E$204&lt;&gt;"")),IF(A_Corridor!$E$5:$E$204="-","",1)),"")</f>
        <v/>
      </c>
      <c r="G338" s="182" t="str">
        <f>IFERROR(LOOKUP(2,1/((A_Corridor!$A$5:$A$204&lt;&gt;"")*(A_Corridor!$A$5:$A$204&lt;=$B338)*(A_Corridor!$B$5:$B$204&gt;$B338)*(A_Corridor!$E$5:$E$204&lt;&gt;"")),IF(A_Corridor!$E$5:$E$204="-","",A_Corridor!$E$5:$E$204)),"")</f>
        <v/>
      </c>
      <c r="H338" s="182" t="str">
        <f>IFERROR(LOOKUP(2,1/((D_Points!$A$5:$A$204&lt;&gt;"")*(D_Points!$A$5:$A$204&gt;=$B338)*(D_Points!$A$5:$A$204&lt;$B338+P_Interval)*(UPPER(TRIM(D_Points!$B$5:$B$204))="GULLY")*(D_Points!$H$5:$H$204&lt;&gt;"")),D_Points!$H$5:$H$204),"")</f>
        <v/>
      </c>
      <c r="I338" s="181" t="str">
        <f>IFERROR(LOOKUP(2,1/((A_Corridor!$A$5:$A$204&lt;&gt;"")*(A_Corridor!$A$5:$A$204&lt;=$B338)*(A_Corridor!$B$5:$B$204&gt;$B338)*(A_Corridor!$F$5:$F$204&lt;&gt;"")),IF(A_Corridor!$F$5:$F$204="-","",1)),"")</f>
        <v/>
      </c>
      <c r="J338" s="182" t="str">
        <f>IFERROR(LOOKUP(2,1/((A_Corridor!$A$5:$A$204&lt;&gt;"")*(A_Corridor!$A$5:$A$204&lt;=$B338)*(A_Corridor!$B$5:$B$204&gt;$B338)*(A_Corridor!$F$5:$F$204&lt;&gt;"")),IF(A_Corridor!$F$5:$F$204="-","",A_Corridor!$F$5:$F$204)),"")</f>
        <v/>
      </c>
      <c r="K338" s="182" t="str">
        <f>IFERROR(LOOKUP(2,1/((A_Corridor!$A$5:$A$204&lt;&gt;"")*(A_Corridor!$A$5:$A$204&lt;=$B338)*(A_Corridor!$B$5:$B$204&gt;$B338)*(A_Corridor!$G$5:$G$204&lt;&gt;"")),IF(A_Corridor!$G$5:$G$204="-","",A_Corridor!$G$5:$G$204)),"")</f>
        <v/>
      </c>
      <c r="L338" s="181" t="str">
        <f>IFERROR(LOOKUP(2,1/((A_Corridor!$A$5:$A$204&lt;&gt;"")*(A_Corridor!$A$5:$A$204&lt;=$B338)*(A_Corridor!$B$5:$B$204&gt;$B338)*(A_Corridor!$H$5:$H$204&lt;&gt;"")),IF(A_Corridor!$H$5:$H$204="-","",1)),"")</f>
        <v/>
      </c>
      <c r="M338" s="182" t="str">
        <f>IFERROR(LOOKUP(2,1/((A_Corridor!$A$5:$A$204&lt;&gt;"")*(A_Corridor!$A$5:$A$204&lt;=$B338)*(A_Corridor!$B$5:$B$204&gt;$B338)*(A_Corridor!$H$5:$H$204&lt;&gt;"")),IF(A_Corridor!$H$5:$H$204="-","",A_Corridor!$H$5:$H$204)),"")</f>
        <v/>
      </c>
      <c r="N338" s="182" t="str">
        <f>IFERROR(LOOKUP(2,1/((A_Corridor!$A$5:$A$204&lt;&gt;"")*(A_Corridor!$A$5:$A$204&lt;=$B338)*(A_Corridor!$B$5:$B$204&gt;$B338)*(A_Corridor!$I$5:$I$204&lt;&gt;"")),IF(A_Corridor!$I$5:$I$204="-","",A_Corridor!$I$5:$I$204)),"")</f>
        <v/>
      </c>
      <c r="O338" s="182" t="str">
        <f>IFERROR(LOOKUP(2,1/((D_Points!$A$5:$A$204&lt;&gt;"")*(D_Points!$A$5:$A$204&gt;=$B338)*(D_Points!$A$5:$A$204&lt;$B338+P_Interval)*(UPPER(TRIM(D_Points!$B$5:$B$204))="PITCHING")*(D_Points!$H$5:$H$204&lt;&gt;"")),D_Points!$H$5:$H$204),"")</f>
        <v/>
      </c>
      <c r="P338" s="181" t="str">
        <f>IFERROR(LOOKUP(2,1/((B_Drainage!$A$5:$A$204&lt;&gt;"")*(B_Drainage!$A$5:$A$204&lt;=$B338)*(B_Drainage!$B$5:$B$204&gt;$B338)*(B_Drainage!$C$5:$C$204&lt;&gt;"")),IF(B_Drainage!$C$5:$C$204="-","",UPPER(B_Drainage!$C$5:$C$204))),"")</f>
        <v/>
      </c>
      <c r="Q338" s="181" t="str">
        <f>IFERROR(LOOKUP(2,1/((B_Drainage!$A$5:$A$204&lt;&gt;"")*(B_Drainage!$A$5:$A$204&lt;=$B338)*(B_Drainage!$B$5:$B$204&gt;$B338)*(B_Drainage!$D$5:$D$204&lt;&gt;"")),IF(B_Drainage!$D$5:$D$204="-","",UPPER(B_Drainage!$D$5:$D$204))),"")</f>
        <v/>
      </c>
      <c r="R338" s="182" t="str">
        <f>IFERROR(LOOKUP(2,1/((D_Points!$A$5:$A$204&lt;&gt;"")*(D_Points!$A$5:$A$204&gt;=$B338)*(D_Points!$A$5:$A$204&lt;$B338+P_Interval)*(RIGHT(UPPER(TRIM(D_Points!$B$5:$B$204)),8)="_CULVERT")),IF(LEFT(UPPER(TRIM(D_Points!$B$5:$B$204)),2)="EX",1,IF(LEFT(UPPER(TRIM(D_Points!$B$5:$B$204)),2)="PR",2,3))),"")</f>
        <v/>
      </c>
      <c r="S338" s="182" t="str">
        <f>IFERROR(LOOKUP(2,1/((D_Points!$A$5:$A$204&lt;&gt;"")*(D_Points!$A$5:$A$204&gt;=$B338)*(D_Points!$A$5:$A$204&lt;$B338+P_Interval)*(RIGHT(UPPER(TRIM(D_Points!$B$5:$B$204)),7)="_BRIDGE")),IF(LEFT(UPPER(TRIM(D_Points!$B$5:$B$204)),2)="EX",1,IF(LEFT(UPPER(TRIM(D_Points!$B$5:$B$204)),2)="PR",2,2))),"")</f>
        <v/>
      </c>
      <c r="T338" s="181" t="str">
        <f>IFERROR(LOOKUP(2,1/((B_Drainage!$A$5:$A$204&lt;&gt;"")*(B_Drainage!$A$5:$A$204&lt;=$B338)*(B_Drainage!$B$5:$B$204&gt;$B338)*(B_Drainage!$E$5:$E$204&lt;&gt;"")),IF(B_Drainage!$E$5:$E$204="-","",1)),"")</f>
        <v/>
      </c>
      <c r="U338" s="181" t="str">
        <f>IFERROR(LOOKUP(2,1/((B_Drainage!$A$5:$A$204&lt;&gt;"")*(B_Drainage!$A$5:$A$204&lt;=$B338)*(B_Drainage!$B$5:$B$204&gt;$B338)*(B_Drainage!$E$5:$E$204&lt;&gt;"")),IF(B_Drainage!$E$5:$E$204="-","",B_Drainage!$E$5:$E$204)),"")</f>
        <v/>
      </c>
      <c r="V338" s="181" t="str">
        <f>IFERROR(LOOKUP(2,1/((B_Drainage!$A$5:$A$204&lt;&gt;"")*(B_Drainage!$A$5:$A$204&lt;=$B338)*(B_Drainage!$B$5:$B$204&gt;$B338)*(B_Drainage!$F$5:$F$204&lt;&gt;"")),IF(B_Drainage!$F$5:$F$204="-","",1)),"")</f>
        <v/>
      </c>
      <c r="W338" s="181" t="str">
        <f>IFERROR(LOOKUP(2,1/((B_Drainage!$A$5:$A$204&lt;&gt;"")*(B_Drainage!$A$5:$A$204&lt;=$B338)*(B_Drainage!$B$5:$B$204&gt;$B338)*(B_Drainage!$F$5:$F$204&lt;&gt;"")),IF(B_Drainage!$F$5:$F$204="-","",B_Drainage!$F$5:$F$204)),"")</f>
        <v/>
      </c>
      <c r="X338" s="181" t="str">
        <f>IFERROR(LOOKUP(2,1/((B_Drainage!$A$5:$A$204&lt;&gt;"")*(B_Drainage!$A$5:$A$204&lt;=$B338)*(B_Drainage!$B$5:$B$204&gt;$B338)*(B_Drainage!$G$5:$G$204&lt;&gt;"")),IF(UPPER(B_Drainage!$G$5:$G$204)="Y",1,"")),"")</f>
        <v/>
      </c>
      <c r="Y338" s="181" t="str">
        <f>IFERROR(LOOKUP(2,1/((B_Drainage!$A$5:$A$204&lt;&gt;"")*(B_Drainage!$A$5:$A$204&lt;=$B338)*(B_Drainage!$B$5:$B$204&gt;$B338)*(B_Drainage!$H$5:$H$204&lt;&gt;"")),IF(UPPER(B_Drainage!$H$5:$H$204)="Y",1,"")),"")</f>
        <v/>
      </c>
      <c r="Z338" s="181" t="str">
        <f>IFERROR(LOOKUP(2,1/((B_Drainage!$A$5:$A$204&lt;&gt;"")*(B_Drainage!$A$5:$A$204&lt;=$B338)*(B_Drainage!$B$5:$B$204&gt;$B338)*(B_Drainage!$I$5:$I$204&lt;&gt;"")),IF(UPPER(B_Drainage!$I$5:$I$204)="Y",1,"")),"")</f>
        <v/>
      </c>
      <c r="AA338" s="181" t="str">
        <f>IFERROR(LOOKUP(2,1/((B_Drainage!$A$5:$A$204&lt;&gt;"")*(B_Drainage!$A$5:$A$204&lt;=$B338)*(B_Drainage!$B$5:$B$204&gt;$B338)*(B_Drainage!$J$5:$J$204&lt;&gt;"")),IF(UPPER(B_Drainage!$J$5:$J$204)="Y",1,"")),"")</f>
        <v/>
      </c>
      <c r="AB338" s="182" t="str">
        <f>IFERROR(LOOKUP(2,1/((B_Drainage!$A$5:$A$204&lt;&gt;"")*(B_Drainage!$A$5:$A$204&lt;=$B338)*(B_Drainage!$B$5:$B$204&gt;$B338)*(B_Drainage!$K$5:$K$204&lt;&gt;"")),IF(B_Drainage!$K$5:$K$204="-","",B_Drainage!$K$5:$K$204)),"")</f>
        <v/>
      </c>
      <c r="AC338" s="182" t="str">
        <f>IFERROR(LOOKUP(2,1/((B_Drainage!$A$5:$A$204&lt;&gt;"")*(B_Drainage!$A$5:$A$204&lt;=$B338)*(B_Drainage!$B$5:$B$204&gt;$B338)*(B_Drainage!$L$5:$L$204&lt;&gt;"")),IF(B_Drainage!$L$5:$L$204="-","",B_Drainage!$L$5:$L$204)),"")</f>
        <v/>
      </c>
      <c r="AD338" s="182" t="str">
        <f>IFERROR(LOOKUP(2,1/((D_Points!$A$5:$A$204&lt;&gt;"")*(D_Points!$A$5:$A$204&gt;=$B338)*(D_Points!$A$5:$A$204&lt;$B338+P_Interval)*(UPPER(TRIM(D_Points!$B$5:$B$204))="TURNOUT_L")*(D_Points!$H$5:$H$204&lt;&gt;"")),D_Points!$H$5:$H$204),"")</f>
        <v/>
      </c>
      <c r="AE338" s="182" t="str">
        <f>IFERROR(LOOKUP(2,1/((D_Points!$A$5:$A$204&lt;&gt;"")*(D_Points!$A$5:$A$204&gt;=$B338)*(D_Points!$A$5:$A$204&lt;$B338+P_Interval)*(UPPER(TRIM(D_Points!$B$5:$B$204))="TURNOUT_R")*(D_Points!$H$5:$H$204&lt;&gt;"")),D_Points!$H$5:$H$204),"")</f>
        <v/>
      </c>
      <c r="AF338" s="181" t="str">
        <f>IFERROR(LOOKUP(2,1/((B_Drainage!$A$5:$A$204&lt;&gt;"")*(B_Drainage!$A$5:$A$204&lt;=$B338)*(B_Drainage!$B$5:$B$204&gt;$B338)*(B_Drainage!$M$5:$M$204&lt;&gt;"")),IF(UPPER(B_Drainage!$M$5:$M$204)="Y",1,"")),"")</f>
        <v/>
      </c>
      <c r="AG338" s="181" t="str">
        <f>IFERROR(LOOKUP(2,1/((B_Drainage!$A$5:$A$204&lt;&gt;"")*(B_Drainage!$A$5:$A$204&lt;=$B338)*(B_Drainage!$B$5:$B$204&gt;$B338)*(B_Drainage!$N$5:$N$204&lt;&gt;"")),IF(UPPER(B_Drainage!$N$5:$N$204)="Y",1,"")),"")</f>
        <v/>
      </c>
      <c r="AH338" s="181" t="str">
        <f t="shared" si="40"/>
        <v/>
      </c>
      <c r="AI338" s="181" t="str">
        <f t="shared" si="41"/>
        <v/>
      </c>
      <c r="AJ338" s="181" t="str">
        <f t="shared" si="42"/>
        <v/>
      </c>
      <c r="AK338" s="181" t="str">
        <f t="shared" si="43"/>
        <v/>
      </c>
      <c r="AL338" s="181" t="str">
        <f t="shared" si="44"/>
        <v/>
      </c>
      <c r="AM338" s="181" t="str">
        <f t="shared" si="45"/>
        <v/>
      </c>
      <c r="AN338" s="181" t="str">
        <f t="shared" si="46"/>
        <v/>
      </c>
      <c r="AO338" s="192" t="str">
        <f t="shared" si="47"/>
        <v/>
      </c>
      <c r="AQ338" t="str">
        <f>IFERROR(LOOKUP(2,1/((C_Pavement!$A$5:$A$204&lt;&gt;"")*(C_Pavement!$A$5:$A$204&lt;=$B338)*(C_Pavement!$B$5:$B$204&gt;$B338)*(C_Pavement!$C$5:$C$204&lt;&gt;"")),ROW(C_Pavement!$C$5:$C$204)-4),"")</f>
        <v/>
      </c>
      <c r="AR338" t="str">
        <f>IF($AQ338="","",UPPER(TRIM(INDEX(C_Pavement!$C$5:$C$204,$AQ338))))</f>
        <v/>
      </c>
      <c r="AS338" t="str">
        <f>IF($AR338="","",IFERROR(MATCH($AR338,E_Rules!$A$5:$A$9,0),""))</f>
        <v/>
      </c>
      <c r="AT338" t="str">
        <f>IF($AQ338="","",IF(INDEX(C_Pavement!$D$5:$D$204,$AQ338)&lt;&gt;"",UPPER(TRIM(INDEX(C_Pavement!$D$5:$D$204,$AQ338))),IF($AS338="","",INDEX(E_Rules!$C$5:$C$9,$AS338))))</f>
        <v/>
      </c>
      <c r="AU338" t="str">
        <f>IF($AQ338="","",IF(INDEX(C_Pavement!$E$5:$E$204,$AQ338)&lt;&gt;"",IF(INDEX(C_Pavement!$E$5:$E$204,$AQ338)="-","",INDEX(C_Pavement!$E$5:$E$204,$AQ338)),IF($AS338="","",INDEX(E_Rules!$D$5:$D$9,$AS338))))</f>
        <v/>
      </c>
      <c r="AV338" t="str">
        <f>IF($AQ338="","",IF(INDEX(C_Pavement!$F$5:$F$204,$AQ338)&lt;&gt;"",IF(INDEX(C_Pavement!$F$5:$F$204,$AQ338)="-","",INDEX(C_Pavement!$F$5:$F$204,$AQ338)),IF($AS338="","",INDEX(E_Rules!$E$5:$E$9,$AS338))))</f>
        <v/>
      </c>
      <c r="AW338" t="str">
        <f>IF($AQ338="","",IF(INDEX(C_Pavement!$G$5:$G$204,$AQ338)&lt;&gt;"",IF(INDEX(C_Pavement!$G$5:$G$204,$AQ338)="-","",INDEX(C_Pavement!$G$5:$G$204,$AQ338)),IF($AS338="","",INDEX(E_Rules!$F$5:$F$9,$AS338))))</f>
        <v/>
      </c>
      <c r="AX338" t="str">
        <f>IF($AQ338="","",IF(INDEX(C_Pavement!$H$5:$H$204,$AQ338)&lt;&gt;"",IF(INDEX(C_Pavement!$H$5:$H$204,$AQ338)="-","",INDEX(C_Pavement!$H$5:$H$204,$AQ338)),IF($AS338="","",INDEX(E_Rules!$G$5:$G$9,$AS338))))</f>
        <v/>
      </c>
      <c r="AY338" t="str">
        <f>IF($AQ338="","",IF(INDEX(C_Pavement!$I$5:$I$204,$AQ338)&lt;&gt;"",IF(INDEX(C_Pavement!$I$5:$I$204,$AQ338)="-","",INDEX(C_Pavement!$I$5:$I$204,$AQ338)),IF($AS338="","",INDEX(E_Rules!$H$5:$H$9,$AS338))))</f>
        <v/>
      </c>
    </row>
    <row r="339" spans="1:51" ht="15.75" customHeight="1" x14ac:dyDescent="0.3">
      <c r="A339" s="189">
        <v>334</v>
      </c>
      <c r="B339" s="180">
        <v>16650</v>
      </c>
      <c r="C339" s="180" t="s">
        <v>645</v>
      </c>
      <c r="D339" s="181" t="str">
        <f>IFERROR(LOOKUP(2,1/((A_Corridor!$A$5:$A$204&lt;&gt;"")*(A_Corridor!$A$5:$A$204&lt;=$B339)*(A_Corridor!$B$5:$B$204&gt;$B339)*(A_Corridor!$C$5:$C$204&lt;&gt;"")),IF(UPPER(A_Corridor!$C$5:$C$204)="Y",1,"")),"")</f>
        <v/>
      </c>
      <c r="E339" s="181" t="str">
        <f>IFERROR(LOOKUP(2,1/((A_Corridor!$A$5:$A$204&lt;&gt;"")*(A_Corridor!$A$5:$A$204&lt;=$B339)*(A_Corridor!$B$5:$B$204&gt;$B339)*(A_Corridor!$D$5:$D$204&lt;&gt;"")),IF(A_Corridor!$D$5:$D$204="-","",UPPER(A_Corridor!$D$5:$D$204))),"")</f>
        <v/>
      </c>
      <c r="F339" s="181" t="str">
        <f>IFERROR(LOOKUP(2,1/((A_Corridor!$A$5:$A$204&lt;&gt;"")*(A_Corridor!$A$5:$A$204&lt;=$B339)*(A_Corridor!$B$5:$B$204&gt;$B339)*(A_Corridor!$E$5:$E$204&lt;&gt;"")),IF(A_Corridor!$E$5:$E$204="-","",1)),"")</f>
        <v/>
      </c>
      <c r="G339" s="182" t="str">
        <f>IFERROR(LOOKUP(2,1/((A_Corridor!$A$5:$A$204&lt;&gt;"")*(A_Corridor!$A$5:$A$204&lt;=$B339)*(A_Corridor!$B$5:$B$204&gt;$B339)*(A_Corridor!$E$5:$E$204&lt;&gt;"")),IF(A_Corridor!$E$5:$E$204="-","",A_Corridor!$E$5:$E$204)),"")</f>
        <v/>
      </c>
      <c r="H339" s="182" t="str">
        <f>IFERROR(LOOKUP(2,1/((D_Points!$A$5:$A$204&lt;&gt;"")*(D_Points!$A$5:$A$204&gt;=$B339)*(D_Points!$A$5:$A$204&lt;$B339+P_Interval)*(UPPER(TRIM(D_Points!$B$5:$B$204))="GULLY")*(D_Points!$H$5:$H$204&lt;&gt;"")),D_Points!$H$5:$H$204),"")</f>
        <v/>
      </c>
      <c r="I339" s="181" t="str">
        <f>IFERROR(LOOKUP(2,1/((A_Corridor!$A$5:$A$204&lt;&gt;"")*(A_Corridor!$A$5:$A$204&lt;=$B339)*(A_Corridor!$B$5:$B$204&gt;$B339)*(A_Corridor!$F$5:$F$204&lt;&gt;"")),IF(A_Corridor!$F$5:$F$204="-","",1)),"")</f>
        <v/>
      </c>
      <c r="J339" s="182" t="str">
        <f>IFERROR(LOOKUP(2,1/((A_Corridor!$A$5:$A$204&lt;&gt;"")*(A_Corridor!$A$5:$A$204&lt;=$B339)*(A_Corridor!$B$5:$B$204&gt;$B339)*(A_Corridor!$F$5:$F$204&lt;&gt;"")),IF(A_Corridor!$F$5:$F$204="-","",A_Corridor!$F$5:$F$204)),"")</f>
        <v/>
      </c>
      <c r="K339" s="182" t="str">
        <f>IFERROR(LOOKUP(2,1/((A_Corridor!$A$5:$A$204&lt;&gt;"")*(A_Corridor!$A$5:$A$204&lt;=$B339)*(A_Corridor!$B$5:$B$204&gt;$B339)*(A_Corridor!$G$5:$G$204&lt;&gt;"")),IF(A_Corridor!$G$5:$G$204="-","",A_Corridor!$G$5:$G$204)),"")</f>
        <v/>
      </c>
      <c r="L339" s="181" t="str">
        <f>IFERROR(LOOKUP(2,1/((A_Corridor!$A$5:$A$204&lt;&gt;"")*(A_Corridor!$A$5:$A$204&lt;=$B339)*(A_Corridor!$B$5:$B$204&gt;$B339)*(A_Corridor!$H$5:$H$204&lt;&gt;"")),IF(A_Corridor!$H$5:$H$204="-","",1)),"")</f>
        <v/>
      </c>
      <c r="M339" s="182" t="str">
        <f>IFERROR(LOOKUP(2,1/((A_Corridor!$A$5:$A$204&lt;&gt;"")*(A_Corridor!$A$5:$A$204&lt;=$B339)*(A_Corridor!$B$5:$B$204&gt;$B339)*(A_Corridor!$H$5:$H$204&lt;&gt;"")),IF(A_Corridor!$H$5:$H$204="-","",A_Corridor!$H$5:$H$204)),"")</f>
        <v/>
      </c>
      <c r="N339" s="182" t="str">
        <f>IFERROR(LOOKUP(2,1/((A_Corridor!$A$5:$A$204&lt;&gt;"")*(A_Corridor!$A$5:$A$204&lt;=$B339)*(A_Corridor!$B$5:$B$204&gt;$B339)*(A_Corridor!$I$5:$I$204&lt;&gt;"")),IF(A_Corridor!$I$5:$I$204="-","",A_Corridor!$I$5:$I$204)),"")</f>
        <v/>
      </c>
      <c r="O339" s="182" t="str">
        <f>IFERROR(LOOKUP(2,1/((D_Points!$A$5:$A$204&lt;&gt;"")*(D_Points!$A$5:$A$204&gt;=$B339)*(D_Points!$A$5:$A$204&lt;$B339+P_Interval)*(UPPER(TRIM(D_Points!$B$5:$B$204))="PITCHING")*(D_Points!$H$5:$H$204&lt;&gt;"")),D_Points!$H$5:$H$204),"")</f>
        <v/>
      </c>
      <c r="P339" s="181" t="str">
        <f>IFERROR(LOOKUP(2,1/((B_Drainage!$A$5:$A$204&lt;&gt;"")*(B_Drainage!$A$5:$A$204&lt;=$B339)*(B_Drainage!$B$5:$B$204&gt;$B339)*(B_Drainage!$C$5:$C$204&lt;&gt;"")),IF(B_Drainage!$C$5:$C$204="-","",UPPER(B_Drainage!$C$5:$C$204))),"")</f>
        <v/>
      </c>
      <c r="Q339" s="181" t="str">
        <f>IFERROR(LOOKUP(2,1/((B_Drainage!$A$5:$A$204&lt;&gt;"")*(B_Drainage!$A$5:$A$204&lt;=$B339)*(B_Drainage!$B$5:$B$204&gt;$B339)*(B_Drainage!$D$5:$D$204&lt;&gt;"")),IF(B_Drainage!$D$5:$D$204="-","",UPPER(B_Drainage!$D$5:$D$204))),"")</f>
        <v/>
      </c>
      <c r="R339" s="182" t="str">
        <f>IFERROR(LOOKUP(2,1/((D_Points!$A$5:$A$204&lt;&gt;"")*(D_Points!$A$5:$A$204&gt;=$B339)*(D_Points!$A$5:$A$204&lt;$B339+P_Interval)*(RIGHT(UPPER(TRIM(D_Points!$B$5:$B$204)),8)="_CULVERT")),IF(LEFT(UPPER(TRIM(D_Points!$B$5:$B$204)),2)="EX",1,IF(LEFT(UPPER(TRIM(D_Points!$B$5:$B$204)),2)="PR",2,3))),"")</f>
        <v/>
      </c>
      <c r="S339" s="182" t="str">
        <f>IFERROR(LOOKUP(2,1/((D_Points!$A$5:$A$204&lt;&gt;"")*(D_Points!$A$5:$A$204&gt;=$B339)*(D_Points!$A$5:$A$204&lt;$B339+P_Interval)*(RIGHT(UPPER(TRIM(D_Points!$B$5:$B$204)),7)="_BRIDGE")),IF(LEFT(UPPER(TRIM(D_Points!$B$5:$B$204)),2)="EX",1,IF(LEFT(UPPER(TRIM(D_Points!$B$5:$B$204)),2)="PR",2,2))),"")</f>
        <v/>
      </c>
      <c r="T339" s="181" t="str">
        <f>IFERROR(LOOKUP(2,1/((B_Drainage!$A$5:$A$204&lt;&gt;"")*(B_Drainage!$A$5:$A$204&lt;=$B339)*(B_Drainage!$B$5:$B$204&gt;$B339)*(B_Drainage!$E$5:$E$204&lt;&gt;"")),IF(B_Drainage!$E$5:$E$204="-","",1)),"")</f>
        <v/>
      </c>
      <c r="U339" s="181" t="str">
        <f>IFERROR(LOOKUP(2,1/((B_Drainage!$A$5:$A$204&lt;&gt;"")*(B_Drainage!$A$5:$A$204&lt;=$B339)*(B_Drainage!$B$5:$B$204&gt;$B339)*(B_Drainage!$E$5:$E$204&lt;&gt;"")),IF(B_Drainage!$E$5:$E$204="-","",B_Drainage!$E$5:$E$204)),"")</f>
        <v/>
      </c>
      <c r="V339" s="181" t="str">
        <f>IFERROR(LOOKUP(2,1/((B_Drainage!$A$5:$A$204&lt;&gt;"")*(B_Drainage!$A$5:$A$204&lt;=$B339)*(B_Drainage!$B$5:$B$204&gt;$B339)*(B_Drainage!$F$5:$F$204&lt;&gt;"")),IF(B_Drainage!$F$5:$F$204="-","",1)),"")</f>
        <v/>
      </c>
      <c r="W339" s="181" t="str">
        <f>IFERROR(LOOKUP(2,1/((B_Drainage!$A$5:$A$204&lt;&gt;"")*(B_Drainage!$A$5:$A$204&lt;=$B339)*(B_Drainage!$B$5:$B$204&gt;$B339)*(B_Drainage!$F$5:$F$204&lt;&gt;"")),IF(B_Drainage!$F$5:$F$204="-","",B_Drainage!$F$5:$F$204)),"")</f>
        <v/>
      </c>
      <c r="X339" s="181" t="str">
        <f>IFERROR(LOOKUP(2,1/((B_Drainage!$A$5:$A$204&lt;&gt;"")*(B_Drainage!$A$5:$A$204&lt;=$B339)*(B_Drainage!$B$5:$B$204&gt;$B339)*(B_Drainage!$G$5:$G$204&lt;&gt;"")),IF(UPPER(B_Drainage!$G$5:$G$204)="Y",1,"")),"")</f>
        <v/>
      </c>
      <c r="Y339" s="181" t="str">
        <f>IFERROR(LOOKUP(2,1/((B_Drainage!$A$5:$A$204&lt;&gt;"")*(B_Drainage!$A$5:$A$204&lt;=$B339)*(B_Drainage!$B$5:$B$204&gt;$B339)*(B_Drainage!$H$5:$H$204&lt;&gt;"")),IF(UPPER(B_Drainage!$H$5:$H$204)="Y",1,"")),"")</f>
        <v/>
      </c>
      <c r="Z339" s="181" t="str">
        <f>IFERROR(LOOKUP(2,1/((B_Drainage!$A$5:$A$204&lt;&gt;"")*(B_Drainage!$A$5:$A$204&lt;=$B339)*(B_Drainage!$B$5:$B$204&gt;$B339)*(B_Drainage!$I$5:$I$204&lt;&gt;"")),IF(UPPER(B_Drainage!$I$5:$I$204)="Y",1,"")),"")</f>
        <v/>
      </c>
      <c r="AA339" s="181" t="str">
        <f>IFERROR(LOOKUP(2,1/((B_Drainage!$A$5:$A$204&lt;&gt;"")*(B_Drainage!$A$5:$A$204&lt;=$B339)*(B_Drainage!$B$5:$B$204&gt;$B339)*(B_Drainage!$J$5:$J$204&lt;&gt;"")),IF(UPPER(B_Drainage!$J$5:$J$204)="Y",1,"")),"")</f>
        <v/>
      </c>
      <c r="AB339" s="182" t="str">
        <f>IFERROR(LOOKUP(2,1/((B_Drainage!$A$5:$A$204&lt;&gt;"")*(B_Drainage!$A$5:$A$204&lt;=$B339)*(B_Drainage!$B$5:$B$204&gt;$B339)*(B_Drainage!$K$5:$K$204&lt;&gt;"")),IF(B_Drainage!$K$5:$K$204="-","",B_Drainage!$K$5:$K$204)),"")</f>
        <v/>
      </c>
      <c r="AC339" s="182" t="str">
        <f>IFERROR(LOOKUP(2,1/((B_Drainage!$A$5:$A$204&lt;&gt;"")*(B_Drainage!$A$5:$A$204&lt;=$B339)*(B_Drainage!$B$5:$B$204&gt;$B339)*(B_Drainage!$L$5:$L$204&lt;&gt;"")),IF(B_Drainage!$L$5:$L$204="-","",B_Drainage!$L$5:$L$204)),"")</f>
        <v/>
      </c>
      <c r="AD339" s="182" t="str">
        <f>IFERROR(LOOKUP(2,1/((D_Points!$A$5:$A$204&lt;&gt;"")*(D_Points!$A$5:$A$204&gt;=$B339)*(D_Points!$A$5:$A$204&lt;$B339+P_Interval)*(UPPER(TRIM(D_Points!$B$5:$B$204))="TURNOUT_L")*(D_Points!$H$5:$H$204&lt;&gt;"")),D_Points!$H$5:$H$204),"")</f>
        <v/>
      </c>
      <c r="AE339" s="182" t="str">
        <f>IFERROR(LOOKUP(2,1/((D_Points!$A$5:$A$204&lt;&gt;"")*(D_Points!$A$5:$A$204&gt;=$B339)*(D_Points!$A$5:$A$204&lt;$B339+P_Interval)*(UPPER(TRIM(D_Points!$B$5:$B$204))="TURNOUT_R")*(D_Points!$H$5:$H$204&lt;&gt;"")),D_Points!$H$5:$H$204),"")</f>
        <v/>
      </c>
      <c r="AF339" s="181" t="str">
        <f>IFERROR(LOOKUP(2,1/((B_Drainage!$A$5:$A$204&lt;&gt;"")*(B_Drainage!$A$5:$A$204&lt;=$B339)*(B_Drainage!$B$5:$B$204&gt;$B339)*(B_Drainage!$M$5:$M$204&lt;&gt;"")),IF(UPPER(B_Drainage!$M$5:$M$204)="Y",1,"")),"")</f>
        <v/>
      </c>
      <c r="AG339" s="181" t="str">
        <f>IFERROR(LOOKUP(2,1/((B_Drainage!$A$5:$A$204&lt;&gt;"")*(B_Drainage!$A$5:$A$204&lt;=$B339)*(B_Drainage!$B$5:$B$204&gt;$B339)*(B_Drainage!$N$5:$N$204&lt;&gt;"")),IF(UPPER(B_Drainage!$N$5:$N$204)="Y",1,"")),"")</f>
        <v/>
      </c>
      <c r="AH339" s="181" t="str">
        <f t="shared" si="40"/>
        <v/>
      </c>
      <c r="AI339" s="181" t="str">
        <f t="shared" si="41"/>
        <v/>
      </c>
      <c r="AJ339" s="181" t="str">
        <f t="shared" si="42"/>
        <v/>
      </c>
      <c r="AK339" s="181" t="str">
        <f t="shared" si="43"/>
        <v/>
      </c>
      <c r="AL339" s="181" t="str">
        <f t="shared" si="44"/>
        <v/>
      </c>
      <c r="AM339" s="181" t="str">
        <f t="shared" si="45"/>
        <v/>
      </c>
      <c r="AN339" s="181" t="str">
        <f t="shared" si="46"/>
        <v/>
      </c>
      <c r="AO339" s="192" t="str">
        <f t="shared" si="47"/>
        <v/>
      </c>
      <c r="AQ339" t="str">
        <f>IFERROR(LOOKUP(2,1/((C_Pavement!$A$5:$A$204&lt;&gt;"")*(C_Pavement!$A$5:$A$204&lt;=$B339)*(C_Pavement!$B$5:$B$204&gt;$B339)*(C_Pavement!$C$5:$C$204&lt;&gt;"")),ROW(C_Pavement!$C$5:$C$204)-4),"")</f>
        <v/>
      </c>
      <c r="AR339" t="str">
        <f>IF($AQ339="","",UPPER(TRIM(INDEX(C_Pavement!$C$5:$C$204,$AQ339))))</f>
        <v/>
      </c>
      <c r="AS339" t="str">
        <f>IF($AR339="","",IFERROR(MATCH($AR339,E_Rules!$A$5:$A$9,0),""))</f>
        <v/>
      </c>
      <c r="AT339" t="str">
        <f>IF($AQ339="","",IF(INDEX(C_Pavement!$D$5:$D$204,$AQ339)&lt;&gt;"",UPPER(TRIM(INDEX(C_Pavement!$D$5:$D$204,$AQ339))),IF($AS339="","",INDEX(E_Rules!$C$5:$C$9,$AS339))))</f>
        <v/>
      </c>
      <c r="AU339" t="str">
        <f>IF($AQ339="","",IF(INDEX(C_Pavement!$E$5:$E$204,$AQ339)&lt;&gt;"",IF(INDEX(C_Pavement!$E$5:$E$204,$AQ339)="-","",INDEX(C_Pavement!$E$5:$E$204,$AQ339)),IF($AS339="","",INDEX(E_Rules!$D$5:$D$9,$AS339))))</f>
        <v/>
      </c>
      <c r="AV339" t="str">
        <f>IF($AQ339="","",IF(INDEX(C_Pavement!$F$5:$F$204,$AQ339)&lt;&gt;"",IF(INDEX(C_Pavement!$F$5:$F$204,$AQ339)="-","",INDEX(C_Pavement!$F$5:$F$204,$AQ339)),IF($AS339="","",INDEX(E_Rules!$E$5:$E$9,$AS339))))</f>
        <v/>
      </c>
      <c r="AW339" t="str">
        <f>IF($AQ339="","",IF(INDEX(C_Pavement!$G$5:$G$204,$AQ339)&lt;&gt;"",IF(INDEX(C_Pavement!$G$5:$G$204,$AQ339)="-","",INDEX(C_Pavement!$G$5:$G$204,$AQ339)),IF($AS339="","",INDEX(E_Rules!$F$5:$F$9,$AS339))))</f>
        <v/>
      </c>
      <c r="AX339" t="str">
        <f>IF($AQ339="","",IF(INDEX(C_Pavement!$H$5:$H$204,$AQ339)&lt;&gt;"",IF(INDEX(C_Pavement!$H$5:$H$204,$AQ339)="-","",INDEX(C_Pavement!$H$5:$H$204,$AQ339)),IF($AS339="","",INDEX(E_Rules!$G$5:$G$9,$AS339))))</f>
        <v/>
      </c>
      <c r="AY339" t="str">
        <f>IF($AQ339="","",IF(INDEX(C_Pavement!$I$5:$I$204,$AQ339)&lt;&gt;"",IF(INDEX(C_Pavement!$I$5:$I$204,$AQ339)="-","",INDEX(C_Pavement!$I$5:$I$204,$AQ339)),IF($AS339="","",INDEX(E_Rules!$H$5:$H$9,$AS339))))</f>
        <v/>
      </c>
    </row>
    <row r="340" spans="1:51" ht="15.75" customHeight="1" x14ac:dyDescent="0.3">
      <c r="A340" s="189">
        <v>335</v>
      </c>
      <c r="B340" s="180">
        <v>16700</v>
      </c>
      <c r="C340" s="180" t="s">
        <v>646</v>
      </c>
      <c r="D340" s="181" t="str">
        <f>IFERROR(LOOKUP(2,1/((A_Corridor!$A$5:$A$204&lt;&gt;"")*(A_Corridor!$A$5:$A$204&lt;=$B340)*(A_Corridor!$B$5:$B$204&gt;$B340)*(A_Corridor!$C$5:$C$204&lt;&gt;"")),IF(UPPER(A_Corridor!$C$5:$C$204)="Y",1,"")),"")</f>
        <v/>
      </c>
      <c r="E340" s="181" t="str">
        <f>IFERROR(LOOKUP(2,1/((A_Corridor!$A$5:$A$204&lt;&gt;"")*(A_Corridor!$A$5:$A$204&lt;=$B340)*(A_Corridor!$B$5:$B$204&gt;$B340)*(A_Corridor!$D$5:$D$204&lt;&gt;"")),IF(A_Corridor!$D$5:$D$204="-","",UPPER(A_Corridor!$D$5:$D$204))),"")</f>
        <v/>
      </c>
      <c r="F340" s="181" t="str">
        <f>IFERROR(LOOKUP(2,1/((A_Corridor!$A$5:$A$204&lt;&gt;"")*(A_Corridor!$A$5:$A$204&lt;=$B340)*(A_Corridor!$B$5:$B$204&gt;$B340)*(A_Corridor!$E$5:$E$204&lt;&gt;"")),IF(A_Corridor!$E$5:$E$204="-","",1)),"")</f>
        <v/>
      </c>
      <c r="G340" s="182" t="str">
        <f>IFERROR(LOOKUP(2,1/((A_Corridor!$A$5:$A$204&lt;&gt;"")*(A_Corridor!$A$5:$A$204&lt;=$B340)*(A_Corridor!$B$5:$B$204&gt;$B340)*(A_Corridor!$E$5:$E$204&lt;&gt;"")),IF(A_Corridor!$E$5:$E$204="-","",A_Corridor!$E$5:$E$204)),"")</f>
        <v/>
      </c>
      <c r="H340" s="182" t="str">
        <f>IFERROR(LOOKUP(2,1/((D_Points!$A$5:$A$204&lt;&gt;"")*(D_Points!$A$5:$A$204&gt;=$B340)*(D_Points!$A$5:$A$204&lt;$B340+P_Interval)*(UPPER(TRIM(D_Points!$B$5:$B$204))="GULLY")*(D_Points!$H$5:$H$204&lt;&gt;"")),D_Points!$H$5:$H$204),"")</f>
        <v/>
      </c>
      <c r="I340" s="181" t="str">
        <f>IFERROR(LOOKUP(2,1/((A_Corridor!$A$5:$A$204&lt;&gt;"")*(A_Corridor!$A$5:$A$204&lt;=$B340)*(A_Corridor!$B$5:$B$204&gt;$B340)*(A_Corridor!$F$5:$F$204&lt;&gt;"")),IF(A_Corridor!$F$5:$F$204="-","",1)),"")</f>
        <v/>
      </c>
      <c r="J340" s="182" t="str">
        <f>IFERROR(LOOKUP(2,1/((A_Corridor!$A$5:$A$204&lt;&gt;"")*(A_Corridor!$A$5:$A$204&lt;=$B340)*(A_Corridor!$B$5:$B$204&gt;$B340)*(A_Corridor!$F$5:$F$204&lt;&gt;"")),IF(A_Corridor!$F$5:$F$204="-","",A_Corridor!$F$5:$F$204)),"")</f>
        <v/>
      </c>
      <c r="K340" s="182" t="str">
        <f>IFERROR(LOOKUP(2,1/((A_Corridor!$A$5:$A$204&lt;&gt;"")*(A_Corridor!$A$5:$A$204&lt;=$B340)*(A_Corridor!$B$5:$B$204&gt;$B340)*(A_Corridor!$G$5:$G$204&lt;&gt;"")),IF(A_Corridor!$G$5:$G$204="-","",A_Corridor!$G$5:$G$204)),"")</f>
        <v/>
      </c>
      <c r="L340" s="181" t="str">
        <f>IFERROR(LOOKUP(2,1/((A_Corridor!$A$5:$A$204&lt;&gt;"")*(A_Corridor!$A$5:$A$204&lt;=$B340)*(A_Corridor!$B$5:$B$204&gt;$B340)*(A_Corridor!$H$5:$H$204&lt;&gt;"")),IF(A_Corridor!$H$5:$H$204="-","",1)),"")</f>
        <v/>
      </c>
      <c r="M340" s="182" t="str">
        <f>IFERROR(LOOKUP(2,1/((A_Corridor!$A$5:$A$204&lt;&gt;"")*(A_Corridor!$A$5:$A$204&lt;=$B340)*(A_Corridor!$B$5:$B$204&gt;$B340)*(A_Corridor!$H$5:$H$204&lt;&gt;"")),IF(A_Corridor!$H$5:$H$204="-","",A_Corridor!$H$5:$H$204)),"")</f>
        <v/>
      </c>
      <c r="N340" s="182" t="str">
        <f>IFERROR(LOOKUP(2,1/((A_Corridor!$A$5:$A$204&lt;&gt;"")*(A_Corridor!$A$5:$A$204&lt;=$B340)*(A_Corridor!$B$5:$B$204&gt;$B340)*(A_Corridor!$I$5:$I$204&lt;&gt;"")),IF(A_Corridor!$I$5:$I$204="-","",A_Corridor!$I$5:$I$204)),"")</f>
        <v/>
      </c>
      <c r="O340" s="182" t="str">
        <f>IFERROR(LOOKUP(2,1/((D_Points!$A$5:$A$204&lt;&gt;"")*(D_Points!$A$5:$A$204&gt;=$B340)*(D_Points!$A$5:$A$204&lt;$B340+P_Interval)*(UPPER(TRIM(D_Points!$B$5:$B$204))="PITCHING")*(D_Points!$H$5:$H$204&lt;&gt;"")),D_Points!$H$5:$H$204),"")</f>
        <v/>
      </c>
      <c r="P340" s="181" t="str">
        <f>IFERROR(LOOKUP(2,1/((B_Drainage!$A$5:$A$204&lt;&gt;"")*(B_Drainage!$A$5:$A$204&lt;=$B340)*(B_Drainage!$B$5:$B$204&gt;$B340)*(B_Drainage!$C$5:$C$204&lt;&gt;"")),IF(B_Drainage!$C$5:$C$204="-","",UPPER(B_Drainage!$C$5:$C$204))),"")</f>
        <v/>
      </c>
      <c r="Q340" s="181" t="str">
        <f>IFERROR(LOOKUP(2,1/((B_Drainage!$A$5:$A$204&lt;&gt;"")*(B_Drainage!$A$5:$A$204&lt;=$B340)*(B_Drainage!$B$5:$B$204&gt;$B340)*(B_Drainage!$D$5:$D$204&lt;&gt;"")),IF(B_Drainage!$D$5:$D$204="-","",UPPER(B_Drainage!$D$5:$D$204))),"")</f>
        <v/>
      </c>
      <c r="R340" s="182" t="str">
        <f>IFERROR(LOOKUP(2,1/((D_Points!$A$5:$A$204&lt;&gt;"")*(D_Points!$A$5:$A$204&gt;=$B340)*(D_Points!$A$5:$A$204&lt;$B340+P_Interval)*(RIGHT(UPPER(TRIM(D_Points!$B$5:$B$204)),8)="_CULVERT")),IF(LEFT(UPPER(TRIM(D_Points!$B$5:$B$204)),2)="EX",1,IF(LEFT(UPPER(TRIM(D_Points!$B$5:$B$204)),2)="PR",2,3))),"")</f>
        <v/>
      </c>
      <c r="S340" s="182" t="str">
        <f>IFERROR(LOOKUP(2,1/((D_Points!$A$5:$A$204&lt;&gt;"")*(D_Points!$A$5:$A$204&gt;=$B340)*(D_Points!$A$5:$A$204&lt;$B340+P_Interval)*(RIGHT(UPPER(TRIM(D_Points!$B$5:$B$204)),7)="_BRIDGE")),IF(LEFT(UPPER(TRIM(D_Points!$B$5:$B$204)),2)="EX",1,IF(LEFT(UPPER(TRIM(D_Points!$B$5:$B$204)),2)="PR",2,2))),"")</f>
        <v/>
      </c>
      <c r="T340" s="181" t="str">
        <f>IFERROR(LOOKUP(2,1/((B_Drainage!$A$5:$A$204&lt;&gt;"")*(B_Drainage!$A$5:$A$204&lt;=$B340)*(B_Drainage!$B$5:$B$204&gt;$B340)*(B_Drainage!$E$5:$E$204&lt;&gt;"")),IF(B_Drainage!$E$5:$E$204="-","",1)),"")</f>
        <v/>
      </c>
      <c r="U340" s="181" t="str">
        <f>IFERROR(LOOKUP(2,1/((B_Drainage!$A$5:$A$204&lt;&gt;"")*(B_Drainage!$A$5:$A$204&lt;=$B340)*(B_Drainage!$B$5:$B$204&gt;$B340)*(B_Drainage!$E$5:$E$204&lt;&gt;"")),IF(B_Drainage!$E$5:$E$204="-","",B_Drainage!$E$5:$E$204)),"")</f>
        <v/>
      </c>
      <c r="V340" s="181" t="str">
        <f>IFERROR(LOOKUP(2,1/((B_Drainage!$A$5:$A$204&lt;&gt;"")*(B_Drainage!$A$5:$A$204&lt;=$B340)*(B_Drainage!$B$5:$B$204&gt;$B340)*(B_Drainage!$F$5:$F$204&lt;&gt;"")),IF(B_Drainage!$F$5:$F$204="-","",1)),"")</f>
        <v/>
      </c>
      <c r="W340" s="181" t="str">
        <f>IFERROR(LOOKUP(2,1/((B_Drainage!$A$5:$A$204&lt;&gt;"")*(B_Drainage!$A$5:$A$204&lt;=$B340)*(B_Drainage!$B$5:$B$204&gt;$B340)*(B_Drainage!$F$5:$F$204&lt;&gt;"")),IF(B_Drainage!$F$5:$F$204="-","",B_Drainage!$F$5:$F$204)),"")</f>
        <v/>
      </c>
      <c r="X340" s="181" t="str">
        <f>IFERROR(LOOKUP(2,1/((B_Drainage!$A$5:$A$204&lt;&gt;"")*(B_Drainage!$A$5:$A$204&lt;=$B340)*(B_Drainage!$B$5:$B$204&gt;$B340)*(B_Drainage!$G$5:$G$204&lt;&gt;"")),IF(UPPER(B_Drainage!$G$5:$G$204)="Y",1,"")),"")</f>
        <v/>
      </c>
      <c r="Y340" s="181" t="str">
        <f>IFERROR(LOOKUP(2,1/((B_Drainage!$A$5:$A$204&lt;&gt;"")*(B_Drainage!$A$5:$A$204&lt;=$B340)*(B_Drainage!$B$5:$B$204&gt;$B340)*(B_Drainage!$H$5:$H$204&lt;&gt;"")),IF(UPPER(B_Drainage!$H$5:$H$204)="Y",1,"")),"")</f>
        <v/>
      </c>
      <c r="Z340" s="181" t="str">
        <f>IFERROR(LOOKUP(2,1/((B_Drainage!$A$5:$A$204&lt;&gt;"")*(B_Drainage!$A$5:$A$204&lt;=$B340)*(B_Drainage!$B$5:$B$204&gt;$B340)*(B_Drainage!$I$5:$I$204&lt;&gt;"")),IF(UPPER(B_Drainage!$I$5:$I$204)="Y",1,"")),"")</f>
        <v/>
      </c>
      <c r="AA340" s="181" t="str">
        <f>IFERROR(LOOKUP(2,1/((B_Drainage!$A$5:$A$204&lt;&gt;"")*(B_Drainage!$A$5:$A$204&lt;=$B340)*(B_Drainage!$B$5:$B$204&gt;$B340)*(B_Drainage!$J$5:$J$204&lt;&gt;"")),IF(UPPER(B_Drainage!$J$5:$J$204)="Y",1,"")),"")</f>
        <v/>
      </c>
      <c r="AB340" s="182" t="str">
        <f>IFERROR(LOOKUP(2,1/((B_Drainage!$A$5:$A$204&lt;&gt;"")*(B_Drainage!$A$5:$A$204&lt;=$B340)*(B_Drainage!$B$5:$B$204&gt;$B340)*(B_Drainage!$K$5:$K$204&lt;&gt;"")),IF(B_Drainage!$K$5:$K$204="-","",B_Drainage!$K$5:$K$204)),"")</f>
        <v/>
      </c>
      <c r="AC340" s="182" t="str">
        <f>IFERROR(LOOKUP(2,1/((B_Drainage!$A$5:$A$204&lt;&gt;"")*(B_Drainage!$A$5:$A$204&lt;=$B340)*(B_Drainage!$B$5:$B$204&gt;$B340)*(B_Drainage!$L$5:$L$204&lt;&gt;"")),IF(B_Drainage!$L$5:$L$204="-","",B_Drainage!$L$5:$L$204)),"")</f>
        <v/>
      </c>
      <c r="AD340" s="182" t="str">
        <f>IFERROR(LOOKUP(2,1/((D_Points!$A$5:$A$204&lt;&gt;"")*(D_Points!$A$5:$A$204&gt;=$B340)*(D_Points!$A$5:$A$204&lt;$B340+P_Interval)*(UPPER(TRIM(D_Points!$B$5:$B$204))="TURNOUT_L")*(D_Points!$H$5:$H$204&lt;&gt;"")),D_Points!$H$5:$H$204),"")</f>
        <v/>
      </c>
      <c r="AE340" s="182" t="str">
        <f>IFERROR(LOOKUP(2,1/((D_Points!$A$5:$A$204&lt;&gt;"")*(D_Points!$A$5:$A$204&gt;=$B340)*(D_Points!$A$5:$A$204&lt;$B340+P_Interval)*(UPPER(TRIM(D_Points!$B$5:$B$204))="TURNOUT_R")*(D_Points!$H$5:$H$204&lt;&gt;"")),D_Points!$H$5:$H$204),"")</f>
        <v/>
      </c>
      <c r="AF340" s="181" t="str">
        <f>IFERROR(LOOKUP(2,1/((B_Drainage!$A$5:$A$204&lt;&gt;"")*(B_Drainage!$A$5:$A$204&lt;=$B340)*(B_Drainage!$B$5:$B$204&gt;$B340)*(B_Drainage!$M$5:$M$204&lt;&gt;"")),IF(UPPER(B_Drainage!$M$5:$M$204)="Y",1,"")),"")</f>
        <v/>
      </c>
      <c r="AG340" s="181" t="str">
        <f>IFERROR(LOOKUP(2,1/((B_Drainage!$A$5:$A$204&lt;&gt;"")*(B_Drainage!$A$5:$A$204&lt;=$B340)*(B_Drainage!$B$5:$B$204&gt;$B340)*(B_Drainage!$N$5:$N$204&lt;&gt;"")),IF(UPPER(B_Drainage!$N$5:$N$204)="Y",1,"")),"")</f>
        <v/>
      </c>
      <c r="AH340" s="181" t="str">
        <f t="shared" si="40"/>
        <v/>
      </c>
      <c r="AI340" s="181" t="str">
        <f t="shared" si="41"/>
        <v/>
      </c>
      <c r="AJ340" s="181" t="str">
        <f t="shared" si="42"/>
        <v/>
      </c>
      <c r="AK340" s="181" t="str">
        <f t="shared" si="43"/>
        <v/>
      </c>
      <c r="AL340" s="181" t="str">
        <f t="shared" si="44"/>
        <v/>
      </c>
      <c r="AM340" s="181" t="str">
        <f t="shared" si="45"/>
        <v/>
      </c>
      <c r="AN340" s="181" t="str">
        <f t="shared" si="46"/>
        <v/>
      </c>
      <c r="AO340" s="192" t="str">
        <f t="shared" si="47"/>
        <v/>
      </c>
      <c r="AQ340" t="str">
        <f>IFERROR(LOOKUP(2,1/((C_Pavement!$A$5:$A$204&lt;&gt;"")*(C_Pavement!$A$5:$A$204&lt;=$B340)*(C_Pavement!$B$5:$B$204&gt;$B340)*(C_Pavement!$C$5:$C$204&lt;&gt;"")),ROW(C_Pavement!$C$5:$C$204)-4),"")</f>
        <v/>
      </c>
      <c r="AR340" t="str">
        <f>IF($AQ340="","",UPPER(TRIM(INDEX(C_Pavement!$C$5:$C$204,$AQ340))))</f>
        <v/>
      </c>
      <c r="AS340" t="str">
        <f>IF($AR340="","",IFERROR(MATCH($AR340,E_Rules!$A$5:$A$9,0),""))</f>
        <v/>
      </c>
      <c r="AT340" t="str">
        <f>IF($AQ340="","",IF(INDEX(C_Pavement!$D$5:$D$204,$AQ340)&lt;&gt;"",UPPER(TRIM(INDEX(C_Pavement!$D$5:$D$204,$AQ340))),IF($AS340="","",INDEX(E_Rules!$C$5:$C$9,$AS340))))</f>
        <v/>
      </c>
      <c r="AU340" t="str">
        <f>IF($AQ340="","",IF(INDEX(C_Pavement!$E$5:$E$204,$AQ340)&lt;&gt;"",IF(INDEX(C_Pavement!$E$5:$E$204,$AQ340)="-","",INDEX(C_Pavement!$E$5:$E$204,$AQ340)),IF($AS340="","",INDEX(E_Rules!$D$5:$D$9,$AS340))))</f>
        <v/>
      </c>
      <c r="AV340" t="str">
        <f>IF($AQ340="","",IF(INDEX(C_Pavement!$F$5:$F$204,$AQ340)&lt;&gt;"",IF(INDEX(C_Pavement!$F$5:$F$204,$AQ340)="-","",INDEX(C_Pavement!$F$5:$F$204,$AQ340)),IF($AS340="","",INDEX(E_Rules!$E$5:$E$9,$AS340))))</f>
        <v/>
      </c>
      <c r="AW340" t="str">
        <f>IF($AQ340="","",IF(INDEX(C_Pavement!$G$5:$G$204,$AQ340)&lt;&gt;"",IF(INDEX(C_Pavement!$G$5:$G$204,$AQ340)="-","",INDEX(C_Pavement!$G$5:$G$204,$AQ340)),IF($AS340="","",INDEX(E_Rules!$F$5:$F$9,$AS340))))</f>
        <v/>
      </c>
      <c r="AX340" t="str">
        <f>IF($AQ340="","",IF(INDEX(C_Pavement!$H$5:$H$204,$AQ340)&lt;&gt;"",IF(INDEX(C_Pavement!$H$5:$H$204,$AQ340)="-","",INDEX(C_Pavement!$H$5:$H$204,$AQ340)),IF($AS340="","",INDEX(E_Rules!$G$5:$G$9,$AS340))))</f>
        <v/>
      </c>
      <c r="AY340" t="str">
        <f>IF($AQ340="","",IF(INDEX(C_Pavement!$I$5:$I$204,$AQ340)&lt;&gt;"",IF(INDEX(C_Pavement!$I$5:$I$204,$AQ340)="-","",INDEX(C_Pavement!$I$5:$I$204,$AQ340)),IF($AS340="","",INDEX(E_Rules!$H$5:$H$9,$AS340))))</f>
        <v/>
      </c>
    </row>
    <row r="341" spans="1:51" ht="15.75" customHeight="1" x14ac:dyDescent="0.3">
      <c r="A341" s="189">
        <v>336</v>
      </c>
      <c r="B341" s="180">
        <v>16750</v>
      </c>
      <c r="C341" s="180" t="s">
        <v>647</v>
      </c>
      <c r="D341" s="181" t="str">
        <f>IFERROR(LOOKUP(2,1/((A_Corridor!$A$5:$A$204&lt;&gt;"")*(A_Corridor!$A$5:$A$204&lt;=$B341)*(A_Corridor!$B$5:$B$204&gt;$B341)*(A_Corridor!$C$5:$C$204&lt;&gt;"")),IF(UPPER(A_Corridor!$C$5:$C$204)="Y",1,"")),"")</f>
        <v/>
      </c>
      <c r="E341" s="181" t="str">
        <f>IFERROR(LOOKUP(2,1/((A_Corridor!$A$5:$A$204&lt;&gt;"")*(A_Corridor!$A$5:$A$204&lt;=$B341)*(A_Corridor!$B$5:$B$204&gt;$B341)*(A_Corridor!$D$5:$D$204&lt;&gt;"")),IF(A_Corridor!$D$5:$D$204="-","",UPPER(A_Corridor!$D$5:$D$204))),"")</f>
        <v/>
      </c>
      <c r="F341" s="181" t="str">
        <f>IFERROR(LOOKUP(2,1/((A_Corridor!$A$5:$A$204&lt;&gt;"")*(A_Corridor!$A$5:$A$204&lt;=$B341)*(A_Corridor!$B$5:$B$204&gt;$B341)*(A_Corridor!$E$5:$E$204&lt;&gt;"")),IF(A_Corridor!$E$5:$E$204="-","",1)),"")</f>
        <v/>
      </c>
      <c r="G341" s="182" t="str">
        <f>IFERROR(LOOKUP(2,1/((A_Corridor!$A$5:$A$204&lt;&gt;"")*(A_Corridor!$A$5:$A$204&lt;=$B341)*(A_Corridor!$B$5:$B$204&gt;$B341)*(A_Corridor!$E$5:$E$204&lt;&gt;"")),IF(A_Corridor!$E$5:$E$204="-","",A_Corridor!$E$5:$E$204)),"")</f>
        <v/>
      </c>
      <c r="H341" s="182" t="str">
        <f>IFERROR(LOOKUP(2,1/((D_Points!$A$5:$A$204&lt;&gt;"")*(D_Points!$A$5:$A$204&gt;=$B341)*(D_Points!$A$5:$A$204&lt;$B341+P_Interval)*(UPPER(TRIM(D_Points!$B$5:$B$204))="GULLY")*(D_Points!$H$5:$H$204&lt;&gt;"")),D_Points!$H$5:$H$204),"")</f>
        <v/>
      </c>
      <c r="I341" s="181" t="str">
        <f>IFERROR(LOOKUP(2,1/((A_Corridor!$A$5:$A$204&lt;&gt;"")*(A_Corridor!$A$5:$A$204&lt;=$B341)*(A_Corridor!$B$5:$B$204&gt;$B341)*(A_Corridor!$F$5:$F$204&lt;&gt;"")),IF(A_Corridor!$F$5:$F$204="-","",1)),"")</f>
        <v/>
      </c>
      <c r="J341" s="182" t="str">
        <f>IFERROR(LOOKUP(2,1/((A_Corridor!$A$5:$A$204&lt;&gt;"")*(A_Corridor!$A$5:$A$204&lt;=$B341)*(A_Corridor!$B$5:$B$204&gt;$B341)*(A_Corridor!$F$5:$F$204&lt;&gt;"")),IF(A_Corridor!$F$5:$F$204="-","",A_Corridor!$F$5:$F$204)),"")</f>
        <v/>
      </c>
      <c r="K341" s="182" t="str">
        <f>IFERROR(LOOKUP(2,1/((A_Corridor!$A$5:$A$204&lt;&gt;"")*(A_Corridor!$A$5:$A$204&lt;=$B341)*(A_Corridor!$B$5:$B$204&gt;$B341)*(A_Corridor!$G$5:$G$204&lt;&gt;"")),IF(A_Corridor!$G$5:$G$204="-","",A_Corridor!$G$5:$G$204)),"")</f>
        <v/>
      </c>
      <c r="L341" s="181" t="str">
        <f>IFERROR(LOOKUP(2,1/((A_Corridor!$A$5:$A$204&lt;&gt;"")*(A_Corridor!$A$5:$A$204&lt;=$B341)*(A_Corridor!$B$5:$B$204&gt;$B341)*(A_Corridor!$H$5:$H$204&lt;&gt;"")),IF(A_Corridor!$H$5:$H$204="-","",1)),"")</f>
        <v/>
      </c>
      <c r="M341" s="182" t="str">
        <f>IFERROR(LOOKUP(2,1/((A_Corridor!$A$5:$A$204&lt;&gt;"")*(A_Corridor!$A$5:$A$204&lt;=$B341)*(A_Corridor!$B$5:$B$204&gt;$B341)*(A_Corridor!$H$5:$H$204&lt;&gt;"")),IF(A_Corridor!$H$5:$H$204="-","",A_Corridor!$H$5:$H$204)),"")</f>
        <v/>
      </c>
      <c r="N341" s="182" t="str">
        <f>IFERROR(LOOKUP(2,1/((A_Corridor!$A$5:$A$204&lt;&gt;"")*(A_Corridor!$A$5:$A$204&lt;=$B341)*(A_Corridor!$B$5:$B$204&gt;$B341)*(A_Corridor!$I$5:$I$204&lt;&gt;"")),IF(A_Corridor!$I$5:$I$204="-","",A_Corridor!$I$5:$I$204)),"")</f>
        <v/>
      </c>
      <c r="O341" s="182" t="str">
        <f>IFERROR(LOOKUP(2,1/((D_Points!$A$5:$A$204&lt;&gt;"")*(D_Points!$A$5:$A$204&gt;=$B341)*(D_Points!$A$5:$A$204&lt;$B341+P_Interval)*(UPPER(TRIM(D_Points!$B$5:$B$204))="PITCHING")*(D_Points!$H$5:$H$204&lt;&gt;"")),D_Points!$H$5:$H$204),"")</f>
        <v/>
      </c>
      <c r="P341" s="181" t="str">
        <f>IFERROR(LOOKUP(2,1/((B_Drainage!$A$5:$A$204&lt;&gt;"")*(B_Drainage!$A$5:$A$204&lt;=$B341)*(B_Drainage!$B$5:$B$204&gt;$B341)*(B_Drainage!$C$5:$C$204&lt;&gt;"")),IF(B_Drainage!$C$5:$C$204="-","",UPPER(B_Drainage!$C$5:$C$204))),"")</f>
        <v/>
      </c>
      <c r="Q341" s="181" t="str">
        <f>IFERROR(LOOKUP(2,1/((B_Drainage!$A$5:$A$204&lt;&gt;"")*(B_Drainage!$A$5:$A$204&lt;=$B341)*(B_Drainage!$B$5:$B$204&gt;$B341)*(B_Drainage!$D$5:$D$204&lt;&gt;"")),IF(B_Drainage!$D$5:$D$204="-","",UPPER(B_Drainage!$D$5:$D$204))),"")</f>
        <v/>
      </c>
      <c r="R341" s="182" t="str">
        <f>IFERROR(LOOKUP(2,1/((D_Points!$A$5:$A$204&lt;&gt;"")*(D_Points!$A$5:$A$204&gt;=$B341)*(D_Points!$A$5:$A$204&lt;$B341+P_Interval)*(RIGHT(UPPER(TRIM(D_Points!$B$5:$B$204)),8)="_CULVERT")),IF(LEFT(UPPER(TRIM(D_Points!$B$5:$B$204)),2)="EX",1,IF(LEFT(UPPER(TRIM(D_Points!$B$5:$B$204)),2)="PR",2,3))),"")</f>
        <v/>
      </c>
      <c r="S341" s="182" t="str">
        <f>IFERROR(LOOKUP(2,1/((D_Points!$A$5:$A$204&lt;&gt;"")*(D_Points!$A$5:$A$204&gt;=$B341)*(D_Points!$A$5:$A$204&lt;$B341+P_Interval)*(RIGHT(UPPER(TRIM(D_Points!$B$5:$B$204)),7)="_BRIDGE")),IF(LEFT(UPPER(TRIM(D_Points!$B$5:$B$204)),2)="EX",1,IF(LEFT(UPPER(TRIM(D_Points!$B$5:$B$204)),2)="PR",2,2))),"")</f>
        <v/>
      </c>
      <c r="T341" s="181" t="str">
        <f>IFERROR(LOOKUP(2,1/((B_Drainage!$A$5:$A$204&lt;&gt;"")*(B_Drainage!$A$5:$A$204&lt;=$B341)*(B_Drainage!$B$5:$B$204&gt;$B341)*(B_Drainage!$E$5:$E$204&lt;&gt;"")),IF(B_Drainage!$E$5:$E$204="-","",1)),"")</f>
        <v/>
      </c>
      <c r="U341" s="181" t="str">
        <f>IFERROR(LOOKUP(2,1/((B_Drainage!$A$5:$A$204&lt;&gt;"")*(B_Drainage!$A$5:$A$204&lt;=$B341)*(B_Drainage!$B$5:$B$204&gt;$B341)*(B_Drainage!$E$5:$E$204&lt;&gt;"")),IF(B_Drainage!$E$5:$E$204="-","",B_Drainage!$E$5:$E$204)),"")</f>
        <v/>
      </c>
      <c r="V341" s="181" t="str">
        <f>IFERROR(LOOKUP(2,1/((B_Drainage!$A$5:$A$204&lt;&gt;"")*(B_Drainage!$A$5:$A$204&lt;=$B341)*(B_Drainage!$B$5:$B$204&gt;$B341)*(B_Drainage!$F$5:$F$204&lt;&gt;"")),IF(B_Drainage!$F$5:$F$204="-","",1)),"")</f>
        <v/>
      </c>
      <c r="W341" s="181" t="str">
        <f>IFERROR(LOOKUP(2,1/((B_Drainage!$A$5:$A$204&lt;&gt;"")*(B_Drainage!$A$5:$A$204&lt;=$B341)*(B_Drainage!$B$5:$B$204&gt;$B341)*(B_Drainage!$F$5:$F$204&lt;&gt;"")),IF(B_Drainage!$F$5:$F$204="-","",B_Drainage!$F$5:$F$204)),"")</f>
        <v/>
      </c>
      <c r="X341" s="181" t="str">
        <f>IFERROR(LOOKUP(2,1/((B_Drainage!$A$5:$A$204&lt;&gt;"")*(B_Drainage!$A$5:$A$204&lt;=$B341)*(B_Drainage!$B$5:$B$204&gt;$B341)*(B_Drainage!$G$5:$G$204&lt;&gt;"")),IF(UPPER(B_Drainage!$G$5:$G$204)="Y",1,"")),"")</f>
        <v/>
      </c>
      <c r="Y341" s="181" t="str">
        <f>IFERROR(LOOKUP(2,1/((B_Drainage!$A$5:$A$204&lt;&gt;"")*(B_Drainage!$A$5:$A$204&lt;=$B341)*(B_Drainage!$B$5:$B$204&gt;$B341)*(B_Drainage!$H$5:$H$204&lt;&gt;"")),IF(UPPER(B_Drainage!$H$5:$H$204)="Y",1,"")),"")</f>
        <v/>
      </c>
      <c r="Z341" s="181" t="str">
        <f>IFERROR(LOOKUP(2,1/((B_Drainage!$A$5:$A$204&lt;&gt;"")*(B_Drainage!$A$5:$A$204&lt;=$B341)*(B_Drainage!$B$5:$B$204&gt;$B341)*(B_Drainage!$I$5:$I$204&lt;&gt;"")),IF(UPPER(B_Drainage!$I$5:$I$204)="Y",1,"")),"")</f>
        <v/>
      </c>
      <c r="AA341" s="181" t="str">
        <f>IFERROR(LOOKUP(2,1/((B_Drainage!$A$5:$A$204&lt;&gt;"")*(B_Drainage!$A$5:$A$204&lt;=$B341)*(B_Drainage!$B$5:$B$204&gt;$B341)*(B_Drainage!$J$5:$J$204&lt;&gt;"")),IF(UPPER(B_Drainage!$J$5:$J$204)="Y",1,"")),"")</f>
        <v/>
      </c>
      <c r="AB341" s="182" t="str">
        <f>IFERROR(LOOKUP(2,1/((B_Drainage!$A$5:$A$204&lt;&gt;"")*(B_Drainage!$A$5:$A$204&lt;=$B341)*(B_Drainage!$B$5:$B$204&gt;$B341)*(B_Drainage!$K$5:$K$204&lt;&gt;"")),IF(B_Drainage!$K$5:$K$204="-","",B_Drainage!$K$5:$K$204)),"")</f>
        <v/>
      </c>
      <c r="AC341" s="182" t="str">
        <f>IFERROR(LOOKUP(2,1/((B_Drainage!$A$5:$A$204&lt;&gt;"")*(B_Drainage!$A$5:$A$204&lt;=$B341)*(B_Drainage!$B$5:$B$204&gt;$B341)*(B_Drainage!$L$5:$L$204&lt;&gt;"")),IF(B_Drainage!$L$5:$L$204="-","",B_Drainage!$L$5:$L$204)),"")</f>
        <v/>
      </c>
      <c r="AD341" s="182" t="str">
        <f>IFERROR(LOOKUP(2,1/((D_Points!$A$5:$A$204&lt;&gt;"")*(D_Points!$A$5:$A$204&gt;=$B341)*(D_Points!$A$5:$A$204&lt;$B341+P_Interval)*(UPPER(TRIM(D_Points!$B$5:$B$204))="TURNOUT_L")*(D_Points!$H$5:$H$204&lt;&gt;"")),D_Points!$H$5:$H$204),"")</f>
        <v/>
      </c>
      <c r="AE341" s="182" t="str">
        <f>IFERROR(LOOKUP(2,1/((D_Points!$A$5:$A$204&lt;&gt;"")*(D_Points!$A$5:$A$204&gt;=$B341)*(D_Points!$A$5:$A$204&lt;$B341+P_Interval)*(UPPER(TRIM(D_Points!$B$5:$B$204))="TURNOUT_R")*(D_Points!$H$5:$H$204&lt;&gt;"")),D_Points!$H$5:$H$204),"")</f>
        <v/>
      </c>
      <c r="AF341" s="181" t="str">
        <f>IFERROR(LOOKUP(2,1/((B_Drainage!$A$5:$A$204&lt;&gt;"")*(B_Drainage!$A$5:$A$204&lt;=$B341)*(B_Drainage!$B$5:$B$204&gt;$B341)*(B_Drainage!$M$5:$M$204&lt;&gt;"")),IF(UPPER(B_Drainage!$M$5:$M$204)="Y",1,"")),"")</f>
        <v/>
      </c>
      <c r="AG341" s="181" t="str">
        <f>IFERROR(LOOKUP(2,1/((B_Drainage!$A$5:$A$204&lt;&gt;"")*(B_Drainage!$A$5:$A$204&lt;=$B341)*(B_Drainage!$B$5:$B$204&gt;$B341)*(B_Drainage!$N$5:$N$204&lt;&gt;"")),IF(UPPER(B_Drainage!$N$5:$N$204)="Y",1,"")),"")</f>
        <v/>
      </c>
      <c r="AH341" s="181" t="str">
        <f t="shared" si="40"/>
        <v/>
      </c>
      <c r="AI341" s="181" t="str">
        <f t="shared" si="41"/>
        <v/>
      </c>
      <c r="AJ341" s="181" t="str">
        <f t="shared" si="42"/>
        <v/>
      </c>
      <c r="AK341" s="181" t="str">
        <f t="shared" si="43"/>
        <v/>
      </c>
      <c r="AL341" s="181" t="str">
        <f t="shared" si="44"/>
        <v/>
      </c>
      <c r="AM341" s="181" t="str">
        <f t="shared" si="45"/>
        <v/>
      </c>
      <c r="AN341" s="181" t="str">
        <f t="shared" si="46"/>
        <v/>
      </c>
      <c r="AO341" s="192" t="str">
        <f t="shared" si="47"/>
        <v/>
      </c>
      <c r="AQ341" t="str">
        <f>IFERROR(LOOKUP(2,1/((C_Pavement!$A$5:$A$204&lt;&gt;"")*(C_Pavement!$A$5:$A$204&lt;=$B341)*(C_Pavement!$B$5:$B$204&gt;$B341)*(C_Pavement!$C$5:$C$204&lt;&gt;"")),ROW(C_Pavement!$C$5:$C$204)-4),"")</f>
        <v/>
      </c>
      <c r="AR341" t="str">
        <f>IF($AQ341="","",UPPER(TRIM(INDEX(C_Pavement!$C$5:$C$204,$AQ341))))</f>
        <v/>
      </c>
      <c r="AS341" t="str">
        <f>IF($AR341="","",IFERROR(MATCH($AR341,E_Rules!$A$5:$A$9,0),""))</f>
        <v/>
      </c>
      <c r="AT341" t="str">
        <f>IF($AQ341="","",IF(INDEX(C_Pavement!$D$5:$D$204,$AQ341)&lt;&gt;"",UPPER(TRIM(INDEX(C_Pavement!$D$5:$D$204,$AQ341))),IF($AS341="","",INDEX(E_Rules!$C$5:$C$9,$AS341))))</f>
        <v/>
      </c>
      <c r="AU341" t="str">
        <f>IF($AQ341="","",IF(INDEX(C_Pavement!$E$5:$E$204,$AQ341)&lt;&gt;"",IF(INDEX(C_Pavement!$E$5:$E$204,$AQ341)="-","",INDEX(C_Pavement!$E$5:$E$204,$AQ341)),IF($AS341="","",INDEX(E_Rules!$D$5:$D$9,$AS341))))</f>
        <v/>
      </c>
      <c r="AV341" t="str">
        <f>IF($AQ341="","",IF(INDEX(C_Pavement!$F$5:$F$204,$AQ341)&lt;&gt;"",IF(INDEX(C_Pavement!$F$5:$F$204,$AQ341)="-","",INDEX(C_Pavement!$F$5:$F$204,$AQ341)),IF($AS341="","",INDEX(E_Rules!$E$5:$E$9,$AS341))))</f>
        <v/>
      </c>
      <c r="AW341" t="str">
        <f>IF($AQ341="","",IF(INDEX(C_Pavement!$G$5:$G$204,$AQ341)&lt;&gt;"",IF(INDEX(C_Pavement!$G$5:$G$204,$AQ341)="-","",INDEX(C_Pavement!$G$5:$G$204,$AQ341)),IF($AS341="","",INDEX(E_Rules!$F$5:$F$9,$AS341))))</f>
        <v/>
      </c>
      <c r="AX341" t="str">
        <f>IF($AQ341="","",IF(INDEX(C_Pavement!$H$5:$H$204,$AQ341)&lt;&gt;"",IF(INDEX(C_Pavement!$H$5:$H$204,$AQ341)="-","",INDEX(C_Pavement!$H$5:$H$204,$AQ341)),IF($AS341="","",INDEX(E_Rules!$G$5:$G$9,$AS341))))</f>
        <v/>
      </c>
      <c r="AY341" t="str">
        <f>IF($AQ341="","",IF(INDEX(C_Pavement!$I$5:$I$204,$AQ341)&lt;&gt;"",IF(INDEX(C_Pavement!$I$5:$I$204,$AQ341)="-","",INDEX(C_Pavement!$I$5:$I$204,$AQ341)),IF($AS341="","",INDEX(E_Rules!$H$5:$H$9,$AS341))))</f>
        <v/>
      </c>
    </row>
    <row r="342" spans="1:51" ht="15.75" customHeight="1" x14ac:dyDescent="0.3">
      <c r="A342" s="189">
        <v>337</v>
      </c>
      <c r="B342" s="180">
        <v>16800</v>
      </c>
      <c r="C342" s="180" t="s">
        <v>648</v>
      </c>
      <c r="D342" s="181" t="str">
        <f>IFERROR(LOOKUP(2,1/((A_Corridor!$A$5:$A$204&lt;&gt;"")*(A_Corridor!$A$5:$A$204&lt;=$B342)*(A_Corridor!$B$5:$B$204&gt;$B342)*(A_Corridor!$C$5:$C$204&lt;&gt;"")),IF(UPPER(A_Corridor!$C$5:$C$204)="Y",1,"")),"")</f>
        <v/>
      </c>
      <c r="E342" s="181" t="str">
        <f>IFERROR(LOOKUP(2,1/((A_Corridor!$A$5:$A$204&lt;&gt;"")*(A_Corridor!$A$5:$A$204&lt;=$B342)*(A_Corridor!$B$5:$B$204&gt;$B342)*(A_Corridor!$D$5:$D$204&lt;&gt;"")),IF(A_Corridor!$D$5:$D$204="-","",UPPER(A_Corridor!$D$5:$D$204))),"")</f>
        <v/>
      </c>
      <c r="F342" s="181" t="str">
        <f>IFERROR(LOOKUP(2,1/((A_Corridor!$A$5:$A$204&lt;&gt;"")*(A_Corridor!$A$5:$A$204&lt;=$B342)*(A_Corridor!$B$5:$B$204&gt;$B342)*(A_Corridor!$E$5:$E$204&lt;&gt;"")),IF(A_Corridor!$E$5:$E$204="-","",1)),"")</f>
        <v/>
      </c>
      <c r="G342" s="182" t="str">
        <f>IFERROR(LOOKUP(2,1/((A_Corridor!$A$5:$A$204&lt;&gt;"")*(A_Corridor!$A$5:$A$204&lt;=$B342)*(A_Corridor!$B$5:$B$204&gt;$B342)*(A_Corridor!$E$5:$E$204&lt;&gt;"")),IF(A_Corridor!$E$5:$E$204="-","",A_Corridor!$E$5:$E$204)),"")</f>
        <v/>
      </c>
      <c r="H342" s="182" t="str">
        <f>IFERROR(LOOKUP(2,1/((D_Points!$A$5:$A$204&lt;&gt;"")*(D_Points!$A$5:$A$204&gt;=$B342)*(D_Points!$A$5:$A$204&lt;$B342+P_Interval)*(UPPER(TRIM(D_Points!$B$5:$B$204))="GULLY")*(D_Points!$H$5:$H$204&lt;&gt;"")),D_Points!$H$5:$H$204),"")</f>
        <v/>
      </c>
      <c r="I342" s="181" t="str">
        <f>IFERROR(LOOKUP(2,1/((A_Corridor!$A$5:$A$204&lt;&gt;"")*(A_Corridor!$A$5:$A$204&lt;=$B342)*(A_Corridor!$B$5:$B$204&gt;$B342)*(A_Corridor!$F$5:$F$204&lt;&gt;"")),IF(A_Corridor!$F$5:$F$204="-","",1)),"")</f>
        <v/>
      </c>
      <c r="J342" s="182" t="str">
        <f>IFERROR(LOOKUP(2,1/((A_Corridor!$A$5:$A$204&lt;&gt;"")*(A_Corridor!$A$5:$A$204&lt;=$B342)*(A_Corridor!$B$5:$B$204&gt;$B342)*(A_Corridor!$F$5:$F$204&lt;&gt;"")),IF(A_Corridor!$F$5:$F$204="-","",A_Corridor!$F$5:$F$204)),"")</f>
        <v/>
      </c>
      <c r="K342" s="182" t="str">
        <f>IFERROR(LOOKUP(2,1/((A_Corridor!$A$5:$A$204&lt;&gt;"")*(A_Corridor!$A$5:$A$204&lt;=$B342)*(A_Corridor!$B$5:$B$204&gt;$B342)*(A_Corridor!$G$5:$G$204&lt;&gt;"")),IF(A_Corridor!$G$5:$G$204="-","",A_Corridor!$G$5:$G$204)),"")</f>
        <v/>
      </c>
      <c r="L342" s="181" t="str">
        <f>IFERROR(LOOKUP(2,1/((A_Corridor!$A$5:$A$204&lt;&gt;"")*(A_Corridor!$A$5:$A$204&lt;=$B342)*(A_Corridor!$B$5:$B$204&gt;$B342)*(A_Corridor!$H$5:$H$204&lt;&gt;"")),IF(A_Corridor!$H$5:$H$204="-","",1)),"")</f>
        <v/>
      </c>
      <c r="M342" s="182" t="str">
        <f>IFERROR(LOOKUP(2,1/((A_Corridor!$A$5:$A$204&lt;&gt;"")*(A_Corridor!$A$5:$A$204&lt;=$B342)*(A_Corridor!$B$5:$B$204&gt;$B342)*(A_Corridor!$H$5:$H$204&lt;&gt;"")),IF(A_Corridor!$H$5:$H$204="-","",A_Corridor!$H$5:$H$204)),"")</f>
        <v/>
      </c>
      <c r="N342" s="182" t="str">
        <f>IFERROR(LOOKUP(2,1/((A_Corridor!$A$5:$A$204&lt;&gt;"")*(A_Corridor!$A$5:$A$204&lt;=$B342)*(A_Corridor!$B$5:$B$204&gt;$B342)*(A_Corridor!$I$5:$I$204&lt;&gt;"")),IF(A_Corridor!$I$5:$I$204="-","",A_Corridor!$I$5:$I$204)),"")</f>
        <v/>
      </c>
      <c r="O342" s="182" t="str">
        <f>IFERROR(LOOKUP(2,1/((D_Points!$A$5:$A$204&lt;&gt;"")*(D_Points!$A$5:$A$204&gt;=$B342)*(D_Points!$A$5:$A$204&lt;$B342+P_Interval)*(UPPER(TRIM(D_Points!$B$5:$B$204))="PITCHING")*(D_Points!$H$5:$H$204&lt;&gt;"")),D_Points!$H$5:$H$204),"")</f>
        <v/>
      </c>
      <c r="P342" s="181" t="str">
        <f>IFERROR(LOOKUP(2,1/((B_Drainage!$A$5:$A$204&lt;&gt;"")*(B_Drainage!$A$5:$A$204&lt;=$B342)*(B_Drainage!$B$5:$B$204&gt;$B342)*(B_Drainage!$C$5:$C$204&lt;&gt;"")),IF(B_Drainage!$C$5:$C$204="-","",UPPER(B_Drainage!$C$5:$C$204))),"")</f>
        <v/>
      </c>
      <c r="Q342" s="181" t="str">
        <f>IFERROR(LOOKUP(2,1/((B_Drainage!$A$5:$A$204&lt;&gt;"")*(B_Drainage!$A$5:$A$204&lt;=$B342)*(B_Drainage!$B$5:$B$204&gt;$B342)*(B_Drainage!$D$5:$D$204&lt;&gt;"")),IF(B_Drainage!$D$5:$D$204="-","",UPPER(B_Drainage!$D$5:$D$204))),"")</f>
        <v/>
      </c>
      <c r="R342" s="182" t="str">
        <f>IFERROR(LOOKUP(2,1/((D_Points!$A$5:$A$204&lt;&gt;"")*(D_Points!$A$5:$A$204&gt;=$B342)*(D_Points!$A$5:$A$204&lt;$B342+P_Interval)*(RIGHT(UPPER(TRIM(D_Points!$B$5:$B$204)),8)="_CULVERT")),IF(LEFT(UPPER(TRIM(D_Points!$B$5:$B$204)),2)="EX",1,IF(LEFT(UPPER(TRIM(D_Points!$B$5:$B$204)),2)="PR",2,3))),"")</f>
        <v/>
      </c>
      <c r="S342" s="182" t="str">
        <f>IFERROR(LOOKUP(2,1/((D_Points!$A$5:$A$204&lt;&gt;"")*(D_Points!$A$5:$A$204&gt;=$B342)*(D_Points!$A$5:$A$204&lt;$B342+P_Interval)*(RIGHT(UPPER(TRIM(D_Points!$B$5:$B$204)),7)="_BRIDGE")),IF(LEFT(UPPER(TRIM(D_Points!$B$5:$B$204)),2)="EX",1,IF(LEFT(UPPER(TRIM(D_Points!$B$5:$B$204)),2)="PR",2,2))),"")</f>
        <v/>
      </c>
      <c r="T342" s="181" t="str">
        <f>IFERROR(LOOKUP(2,1/((B_Drainage!$A$5:$A$204&lt;&gt;"")*(B_Drainage!$A$5:$A$204&lt;=$B342)*(B_Drainage!$B$5:$B$204&gt;$B342)*(B_Drainage!$E$5:$E$204&lt;&gt;"")),IF(B_Drainage!$E$5:$E$204="-","",1)),"")</f>
        <v/>
      </c>
      <c r="U342" s="181" t="str">
        <f>IFERROR(LOOKUP(2,1/((B_Drainage!$A$5:$A$204&lt;&gt;"")*(B_Drainage!$A$5:$A$204&lt;=$B342)*(B_Drainage!$B$5:$B$204&gt;$B342)*(B_Drainage!$E$5:$E$204&lt;&gt;"")),IF(B_Drainage!$E$5:$E$204="-","",B_Drainage!$E$5:$E$204)),"")</f>
        <v/>
      </c>
      <c r="V342" s="181" t="str">
        <f>IFERROR(LOOKUP(2,1/((B_Drainage!$A$5:$A$204&lt;&gt;"")*(B_Drainage!$A$5:$A$204&lt;=$B342)*(B_Drainage!$B$5:$B$204&gt;$B342)*(B_Drainage!$F$5:$F$204&lt;&gt;"")),IF(B_Drainage!$F$5:$F$204="-","",1)),"")</f>
        <v/>
      </c>
      <c r="W342" s="181" t="str">
        <f>IFERROR(LOOKUP(2,1/((B_Drainage!$A$5:$A$204&lt;&gt;"")*(B_Drainage!$A$5:$A$204&lt;=$B342)*(B_Drainage!$B$5:$B$204&gt;$B342)*(B_Drainage!$F$5:$F$204&lt;&gt;"")),IF(B_Drainage!$F$5:$F$204="-","",B_Drainage!$F$5:$F$204)),"")</f>
        <v/>
      </c>
      <c r="X342" s="181" t="str">
        <f>IFERROR(LOOKUP(2,1/((B_Drainage!$A$5:$A$204&lt;&gt;"")*(B_Drainage!$A$5:$A$204&lt;=$B342)*(B_Drainage!$B$5:$B$204&gt;$B342)*(B_Drainage!$G$5:$G$204&lt;&gt;"")),IF(UPPER(B_Drainage!$G$5:$G$204)="Y",1,"")),"")</f>
        <v/>
      </c>
      <c r="Y342" s="181" t="str">
        <f>IFERROR(LOOKUP(2,1/((B_Drainage!$A$5:$A$204&lt;&gt;"")*(B_Drainage!$A$5:$A$204&lt;=$B342)*(B_Drainage!$B$5:$B$204&gt;$B342)*(B_Drainage!$H$5:$H$204&lt;&gt;"")),IF(UPPER(B_Drainage!$H$5:$H$204)="Y",1,"")),"")</f>
        <v/>
      </c>
      <c r="Z342" s="181" t="str">
        <f>IFERROR(LOOKUP(2,1/((B_Drainage!$A$5:$A$204&lt;&gt;"")*(B_Drainage!$A$5:$A$204&lt;=$B342)*(B_Drainage!$B$5:$B$204&gt;$B342)*(B_Drainage!$I$5:$I$204&lt;&gt;"")),IF(UPPER(B_Drainage!$I$5:$I$204)="Y",1,"")),"")</f>
        <v/>
      </c>
      <c r="AA342" s="181" t="str">
        <f>IFERROR(LOOKUP(2,1/((B_Drainage!$A$5:$A$204&lt;&gt;"")*(B_Drainage!$A$5:$A$204&lt;=$B342)*(B_Drainage!$B$5:$B$204&gt;$B342)*(B_Drainage!$J$5:$J$204&lt;&gt;"")),IF(UPPER(B_Drainage!$J$5:$J$204)="Y",1,"")),"")</f>
        <v/>
      </c>
      <c r="AB342" s="182" t="str">
        <f>IFERROR(LOOKUP(2,1/((B_Drainage!$A$5:$A$204&lt;&gt;"")*(B_Drainage!$A$5:$A$204&lt;=$B342)*(B_Drainage!$B$5:$B$204&gt;$B342)*(B_Drainage!$K$5:$K$204&lt;&gt;"")),IF(B_Drainage!$K$5:$K$204="-","",B_Drainage!$K$5:$K$204)),"")</f>
        <v/>
      </c>
      <c r="AC342" s="182" t="str">
        <f>IFERROR(LOOKUP(2,1/((B_Drainage!$A$5:$A$204&lt;&gt;"")*(B_Drainage!$A$5:$A$204&lt;=$B342)*(B_Drainage!$B$5:$B$204&gt;$B342)*(B_Drainage!$L$5:$L$204&lt;&gt;"")),IF(B_Drainage!$L$5:$L$204="-","",B_Drainage!$L$5:$L$204)),"")</f>
        <v/>
      </c>
      <c r="AD342" s="182" t="str">
        <f>IFERROR(LOOKUP(2,1/((D_Points!$A$5:$A$204&lt;&gt;"")*(D_Points!$A$5:$A$204&gt;=$B342)*(D_Points!$A$5:$A$204&lt;$B342+P_Interval)*(UPPER(TRIM(D_Points!$B$5:$B$204))="TURNOUT_L")*(D_Points!$H$5:$H$204&lt;&gt;"")),D_Points!$H$5:$H$204),"")</f>
        <v/>
      </c>
      <c r="AE342" s="182" t="str">
        <f>IFERROR(LOOKUP(2,1/((D_Points!$A$5:$A$204&lt;&gt;"")*(D_Points!$A$5:$A$204&gt;=$B342)*(D_Points!$A$5:$A$204&lt;$B342+P_Interval)*(UPPER(TRIM(D_Points!$B$5:$B$204))="TURNOUT_R")*(D_Points!$H$5:$H$204&lt;&gt;"")),D_Points!$H$5:$H$204),"")</f>
        <v/>
      </c>
      <c r="AF342" s="181" t="str">
        <f>IFERROR(LOOKUP(2,1/((B_Drainage!$A$5:$A$204&lt;&gt;"")*(B_Drainage!$A$5:$A$204&lt;=$B342)*(B_Drainage!$B$5:$B$204&gt;$B342)*(B_Drainage!$M$5:$M$204&lt;&gt;"")),IF(UPPER(B_Drainage!$M$5:$M$204)="Y",1,"")),"")</f>
        <v/>
      </c>
      <c r="AG342" s="181" t="str">
        <f>IFERROR(LOOKUP(2,1/((B_Drainage!$A$5:$A$204&lt;&gt;"")*(B_Drainage!$A$5:$A$204&lt;=$B342)*(B_Drainage!$B$5:$B$204&gt;$B342)*(B_Drainage!$N$5:$N$204&lt;&gt;"")),IF(UPPER(B_Drainage!$N$5:$N$204)="Y",1,"")),"")</f>
        <v/>
      </c>
      <c r="AH342" s="181" t="str">
        <f t="shared" si="40"/>
        <v/>
      </c>
      <c r="AI342" s="181" t="str">
        <f t="shared" si="41"/>
        <v/>
      </c>
      <c r="AJ342" s="181" t="str">
        <f t="shared" si="42"/>
        <v/>
      </c>
      <c r="AK342" s="181" t="str">
        <f t="shared" si="43"/>
        <v/>
      </c>
      <c r="AL342" s="181" t="str">
        <f t="shared" si="44"/>
        <v/>
      </c>
      <c r="AM342" s="181" t="str">
        <f t="shared" si="45"/>
        <v/>
      </c>
      <c r="AN342" s="181" t="str">
        <f t="shared" si="46"/>
        <v/>
      </c>
      <c r="AO342" s="192" t="str">
        <f t="shared" si="47"/>
        <v/>
      </c>
      <c r="AQ342" t="str">
        <f>IFERROR(LOOKUP(2,1/((C_Pavement!$A$5:$A$204&lt;&gt;"")*(C_Pavement!$A$5:$A$204&lt;=$B342)*(C_Pavement!$B$5:$B$204&gt;$B342)*(C_Pavement!$C$5:$C$204&lt;&gt;"")),ROW(C_Pavement!$C$5:$C$204)-4),"")</f>
        <v/>
      </c>
      <c r="AR342" t="str">
        <f>IF($AQ342="","",UPPER(TRIM(INDEX(C_Pavement!$C$5:$C$204,$AQ342))))</f>
        <v/>
      </c>
      <c r="AS342" t="str">
        <f>IF($AR342="","",IFERROR(MATCH($AR342,E_Rules!$A$5:$A$9,0),""))</f>
        <v/>
      </c>
      <c r="AT342" t="str">
        <f>IF($AQ342="","",IF(INDEX(C_Pavement!$D$5:$D$204,$AQ342)&lt;&gt;"",UPPER(TRIM(INDEX(C_Pavement!$D$5:$D$204,$AQ342))),IF($AS342="","",INDEX(E_Rules!$C$5:$C$9,$AS342))))</f>
        <v/>
      </c>
      <c r="AU342" t="str">
        <f>IF($AQ342="","",IF(INDEX(C_Pavement!$E$5:$E$204,$AQ342)&lt;&gt;"",IF(INDEX(C_Pavement!$E$5:$E$204,$AQ342)="-","",INDEX(C_Pavement!$E$5:$E$204,$AQ342)),IF($AS342="","",INDEX(E_Rules!$D$5:$D$9,$AS342))))</f>
        <v/>
      </c>
      <c r="AV342" t="str">
        <f>IF($AQ342="","",IF(INDEX(C_Pavement!$F$5:$F$204,$AQ342)&lt;&gt;"",IF(INDEX(C_Pavement!$F$5:$F$204,$AQ342)="-","",INDEX(C_Pavement!$F$5:$F$204,$AQ342)),IF($AS342="","",INDEX(E_Rules!$E$5:$E$9,$AS342))))</f>
        <v/>
      </c>
      <c r="AW342" t="str">
        <f>IF($AQ342="","",IF(INDEX(C_Pavement!$G$5:$G$204,$AQ342)&lt;&gt;"",IF(INDEX(C_Pavement!$G$5:$G$204,$AQ342)="-","",INDEX(C_Pavement!$G$5:$G$204,$AQ342)),IF($AS342="","",INDEX(E_Rules!$F$5:$F$9,$AS342))))</f>
        <v/>
      </c>
      <c r="AX342" t="str">
        <f>IF($AQ342="","",IF(INDEX(C_Pavement!$H$5:$H$204,$AQ342)&lt;&gt;"",IF(INDEX(C_Pavement!$H$5:$H$204,$AQ342)="-","",INDEX(C_Pavement!$H$5:$H$204,$AQ342)),IF($AS342="","",INDEX(E_Rules!$G$5:$G$9,$AS342))))</f>
        <v/>
      </c>
      <c r="AY342" t="str">
        <f>IF($AQ342="","",IF(INDEX(C_Pavement!$I$5:$I$204,$AQ342)&lt;&gt;"",IF(INDEX(C_Pavement!$I$5:$I$204,$AQ342)="-","",INDEX(C_Pavement!$I$5:$I$204,$AQ342)),IF($AS342="","",INDEX(E_Rules!$H$5:$H$9,$AS342))))</f>
        <v/>
      </c>
    </row>
    <row r="343" spans="1:51" ht="15.75" customHeight="1" x14ac:dyDescent="0.3">
      <c r="A343" s="189">
        <v>338</v>
      </c>
      <c r="B343" s="180">
        <v>16850</v>
      </c>
      <c r="C343" s="180" t="s">
        <v>649</v>
      </c>
      <c r="D343" s="181" t="str">
        <f>IFERROR(LOOKUP(2,1/((A_Corridor!$A$5:$A$204&lt;&gt;"")*(A_Corridor!$A$5:$A$204&lt;=$B343)*(A_Corridor!$B$5:$B$204&gt;$B343)*(A_Corridor!$C$5:$C$204&lt;&gt;"")),IF(UPPER(A_Corridor!$C$5:$C$204)="Y",1,"")),"")</f>
        <v/>
      </c>
      <c r="E343" s="181" t="str">
        <f>IFERROR(LOOKUP(2,1/((A_Corridor!$A$5:$A$204&lt;&gt;"")*(A_Corridor!$A$5:$A$204&lt;=$B343)*(A_Corridor!$B$5:$B$204&gt;$B343)*(A_Corridor!$D$5:$D$204&lt;&gt;"")),IF(A_Corridor!$D$5:$D$204="-","",UPPER(A_Corridor!$D$5:$D$204))),"")</f>
        <v/>
      </c>
      <c r="F343" s="181" t="str">
        <f>IFERROR(LOOKUP(2,1/((A_Corridor!$A$5:$A$204&lt;&gt;"")*(A_Corridor!$A$5:$A$204&lt;=$B343)*(A_Corridor!$B$5:$B$204&gt;$B343)*(A_Corridor!$E$5:$E$204&lt;&gt;"")),IF(A_Corridor!$E$5:$E$204="-","",1)),"")</f>
        <v/>
      </c>
      <c r="G343" s="182" t="str">
        <f>IFERROR(LOOKUP(2,1/((A_Corridor!$A$5:$A$204&lt;&gt;"")*(A_Corridor!$A$5:$A$204&lt;=$B343)*(A_Corridor!$B$5:$B$204&gt;$B343)*(A_Corridor!$E$5:$E$204&lt;&gt;"")),IF(A_Corridor!$E$5:$E$204="-","",A_Corridor!$E$5:$E$204)),"")</f>
        <v/>
      </c>
      <c r="H343" s="182" t="str">
        <f>IFERROR(LOOKUP(2,1/((D_Points!$A$5:$A$204&lt;&gt;"")*(D_Points!$A$5:$A$204&gt;=$B343)*(D_Points!$A$5:$A$204&lt;$B343+P_Interval)*(UPPER(TRIM(D_Points!$B$5:$B$204))="GULLY")*(D_Points!$H$5:$H$204&lt;&gt;"")),D_Points!$H$5:$H$204),"")</f>
        <v/>
      </c>
      <c r="I343" s="181" t="str">
        <f>IFERROR(LOOKUP(2,1/((A_Corridor!$A$5:$A$204&lt;&gt;"")*(A_Corridor!$A$5:$A$204&lt;=$B343)*(A_Corridor!$B$5:$B$204&gt;$B343)*(A_Corridor!$F$5:$F$204&lt;&gt;"")),IF(A_Corridor!$F$5:$F$204="-","",1)),"")</f>
        <v/>
      </c>
      <c r="J343" s="182" t="str">
        <f>IFERROR(LOOKUP(2,1/((A_Corridor!$A$5:$A$204&lt;&gt;"")*(A_Corridor!$A$5:$A$204&lt;=$B343)*(A_Corridor!$B$5:$B$204&gt;$B343)*(A_Corridor!$F$5:$F$204&lt;&gt;"")),IF(A_Corridor!$F$5:$F$204="-","",A_Corridor!$F$5:$F$204)),"")</f>
        <v/>
      </c>
      <c r="K343" s="182" t="str">
        <f>IFERROR(LOOKUP(2,1/((A_Corridor!$A$5:$A$204&lt;&gt;"")*(A_Corridor!$A$5:$A$204&lt;=$B343)*(A_Corridor!$B$5:$B$204&gt;$B343)*(A_Corridor!$G$5:$G$204&lt;&gt;"")),IF(A_Corridor!$G$5:$G$204="-","",A_Corridor!$G$5:$G$204)),"")</f>
        <v/>
      </c>
      <c r="L343" s="181" t="str">
        <f>IFERROR(LOOKUP(2,1/((A_Corridor!$A$5:$A$204&lt;&gt;"")*(A_Corridor!$A$5:$A$204&lt;=$B343)*(A_Corridor!$B$5:$B$204&gt;$B343)*(A_Corridor!$H$5:$H$204&lt;&gt;"")),IF(A_Corridor!$H$5:$H$204="-","",1)),"")</f>
        <v/>
      </c>
      <c r="M343" s="182" t="str">
        <f>IFERROR(LOOKUP(2,1/((A_Corridor!$A$5:$A$204&lt;&gt;"")*(A_Corridor!$A$5:$A$204&lt;=$B343)*(A_Corridor!$B$5:$B$204&gt;$B343)*(A_Corridor!$H$5:$H$204&lt;&gt;"")),IF(A_Corridor!$H$5:$H$204="-","",A_Corridor!$H$5:$H$204)),"")</f>
        <v/>
      </c>
      <c r="N343" s="182" t="str">
        <f>IFERROR(LOOKUP(2,1/((A_Corridor!$A$5:$A$204&lt;&gt;"")*(A_Corridor!$A$5:$A$204&lt;=$B343)*(A_Corridor!$B$5:$B$204&gt;$B343)*(A_Corridor!$I$5:$I$204&lt;&gt;"")),IF(A_Corridor!$I$5:$I$204="-","",A_Corridor!$I$5:$I$204)),"")</f>
        <v/>
      </c>
      <c r="O343" s="182" t="str">
        <f>IFERROR(LOOKUP(2,1/((D_Points!$A$5:$A$204&lt;&gt;"")*(D_Points!$A$5:$A$204&gt;=$B343)*(D_Points!$A$5:$A$204&lt;$B343+P_Interval)*(UPPER(TRIM(D_Points!$B$5:$B$204))="PITCHING")*(D_Points!$H$5:$H$204&lt;&gt;"")),D_Points!$H$5:$H$204),"")</f>
        <v/>
      </c>
      <c r="P343" s="181" t="str">
        <f>IFERROR(LOOKUP(2,1/((B_Drainage!$A$5:$A$204&lt;&gt;"")*(B_Drainage!$A$5:$A$204&lt;=$B343)*(B_Drainage!$B$5:$B$204&gt;$B343)*(B_Drainage!$C$5:$C$204&lt;&gt;"")),IF(B_Drainage!$C$5:$C$204="-","",UPPER(B_Drainage!$C$5:$C$204))),"")</f>
        <v/>
      </c>
      <c r="Q343" s="181" t="str">
        <f>IFERROR(LOOKUP(2,1/((B_Drainage!$A$5:$A$204&lt;&gt;"")*(B_Drainage!$A$5:$A$204&lt;=$B343)*(B_Drainage!$B$5:$B$204&gt;$B343)*(B_Drainage!$D$5:$D$204&lt;&gt;"")),IF(B_Drainage!$D$5:$D$204="-","",UPPER(B_Drainage!$D$5:$D$204))),"")</f>
        <v/>
      </c>
      <c r="R343" s="182" t="str">
        <f>IFERROR(LOOKUP(2,1/((D_Points!$A$5:$A$204&lt;&gt;"")*(D_Points!$A$5:$A$204&gt;=$B343)*(D_Points!$A$5:$A$204&lt;$B343+P_Interval)*(RIGHT(UPPER(TRIM(D_Points!$B$5:$B$204)),8)="_CULVERT")),IF(LEFT(UPPER(TRIM(D_Points!$B$5:$B$204)),2)="EX",1,IF(LEFT(UPPER(TRIM(D_Points!$B$5:$B$204)),2)="PR",2,3))),"")</f>
        <v/>
      </c>
      <c r="S343" s="182" t="str">
        <f>IFERROR(LOOKUP(2,1/((D_Points!$A$5:$A$204&lt;&gt;"")*(D_Points!$A$5:$A$204&gt;=$B343)*(D_Points!$A$5:$A$204&lt;$B343+P_Interval)*(RIGHT(UPPER(TRIM(D_Points!$B$5:$B$204)),7)="_BRIDGE")),IF(LEFT(UPPER(TRIM(D_Points!$B$5:$B$204)),2)="EX",1,IF(LEFT(UPPER(TRIM(D_Points!$B$5:$B$204)),2)="PR",2,2))),"")</f>
        <v/>
      </c>
      <c r="T343" s="181" t="str">
        <f>IFERROR(LOOKUP(2,1/((B_Drainage!$A$5:$A$204&lt;&gt;"")*(B_Drainage!$A$5:$A$204&lt;=$B343)*(B_Drainage!$B$5:$B$204&gt;$B343)*(B_Drainage!$E$5:$E$204&lt;&gt;"")),IF(B_Drainage!$E$5:$E$204="-","",1)),"")</f>
        <v/>
      </c>
      <c r="U343" s="181" t="str">
        <f>IFERROR(LOOKUP(2,1/((B_Drainage!$A$5:$A$204&lt;&gt;"")*(B_Drainage!$A$5:$A$204&lt;=$B343)*(B_Drainage!$B$5:$B$204&gt;$B343)*(B_Drainage!$E$5:$E$204&lt;&gt;"")),IF(B_Drainage!$E$5:$E$204="-","",B_Drainage!$E$5:$E$204)),"")</f>
        <v/>
      </c>
      <c r="V343" s="181" t="str">
        <f>IFERROR(LOOKUP(2,1/((B_Drainage!$A$5:$A$204&lt;&gt;"")*(B_Drainage!$A$5:$A$204&lt;=$B343)*(B_Drainage!$B$5:$B$204&gt;$B343)*(B_Drainage!$F$5:$F$204&lt;&gt;"")),IF(B_Drainage!$F$5:$F$204="-","",1)),"")</f>
        <v/>
      </c>
      <c r="W343" s="181" t="str">
        <f>IFERROR(LOOKUP(2,1/((B_Drainage!$A$5:$A$204&lt;&gt;"")*(B_Drainage!$A$5:$A$204&lt;=$B343)*(B_Drainage!$B$5:$B$204&gt;$B343)*(B_Drainage!$F$5:$F$204&lt;&gt;"")),IF(B_Drainage!$F$5:$F$204="-","",B_Drainage!$F$5:$F$204)),"")</f>
        <v/>
      </c>
      <c r="X343" s="181" t="str">
        <f>IFERROR(LOOKUP(2,1/((B_Drainage!$A$5:$A$204&lt;&gt;"")*(B_Drainage!$A$5:$A$204&lt;=$B343)*(B_Drainage!$B$5:$B$204&gt;$B343)*(B_Drainage!$G$5:$G$204&lt;&gt;"")),IF(UPPER(B_Drainage!$G$5:$G$204)="Y",1,"")),"")</f>
        <v/>
      </c>
      <c r="Y343" s="181" t="str">
        <f>IFERROR(LOOKUP(2,1/((B_Drainage!$A$5:$A$204&lt;&gt;"")*(B_Drainage!$A$5:$A$204&lt;=$B343)*(B_Drainage!$B$5:$B$204&gt;$B343)*(B_Drainage!$H$5:$H$204&lt;&gt;"")),IF(UPPER(B_Drainage!$H$5:$H$204)="Y",1,"")),"")</f>
        <v/>
      </c>
      <c r="Z343" s="181" t="str">
        <f>IFERROR(LOOKUP(2,1/((B_Drainage!$A$5:$A$204&lt;&gt;"")*(B_Drainage!$A$5:$A$204&lt;=$B343)*(B_Drainage!$B$5:$B$204&gt;$B343)*(B_Drainage!$I$5:$I$204&lt;&gt;"")),IF(UPPER(B_Drainage!$I$5:$I$204)="Y",1,"")),"")</f>
        <v/>
      </c>
      <c r="AA343" s="181" t="str">
        <f>IFERROR(LOOKUP(2,1/((B_Drainage!$A$5:$A$204&lt;&gt;"")*(B_Drainage!$A$5:$A$204&lt;=$B343)*(B_Drainage!$B$5:$B$204&gt;$B343)*(B_Drainage!$J$5:$J$204&lt;&gt;"")),IF(UPPER(B_Drainage!$J$5:$J$204)="Y",1,"")),"")</f>
        <v/>
      </c>
      <c r="AB343" s="182" t="str">
        <f>IFERROR(LOOKUP(2,1/((B_Drainage!$A$5:$A$204&lt;&gt;"")*(B_Drainage!$A$5:$A$204&lt;=$B343)*(B_Drainage!$B$5:$B$204&gt;$B343)*(B_Drainage!$K$5:$K$204&lt;&gt;"")),IF(B_Drainage!$K$5:$K$204="-","",B_Drainage!$K$5:$K$204)),"")</f>
        <v/>
      </c>
      <c r="AC343" s="182" t="str">
        <f>IFERROR(LOOKUP(2,1/((B_Drainage!$A$5:$A$204&lt;&gt;"")*(B_Drainage!$A$5:$A$204&lt;=$B343)*(B_Drainage!$B$5:$B$204&gt;$B343)*(B_Drainage!$L$5:$L$204&lt;&gt;"")),IF(B_Drainage!$L$5:$L$204="-","",B_Drainage!$L$5:$L$204)),"")</f>
        <v/>
      </c>
      <c r="AD343" s="182" t="str">
        <f>IFERROR(LOOKUP(2,1/((D_Points!$A$5:$A$204&lt;&gt;"")*(D_Points!$A$5:$A$204&gt;=$B343)*(D_Points!$A$5:$A$204&lt;$B343+P_Interval)*(UPPER(TRIM(D_Points!$B$5:$B$204))="TURNOUT_L")*(D_Points!$H$5:$H$204&lt;&gt;"")),D_Points!$H$5:$H$204),"")</f>
        <v/>
      </c>
      <c r="AE343" s="182" t="str">
        <f>IFERROR(LOOKUP(2,1/((D_Points!$A$5:$A$204&lt;&gt;"")*(D_Points!$A$5:$A$204&gt;=$B343)*(D_Points!$A$5:$A$204&lt;$B343+P_Interval)*(UPPER(TRIM(D_Points!$B$5:$B$204))="TURNOUT_R")*(D_Points!$H$5:$H$204&lt;&gt;"")),D_Points!$H$5:$H$204),"")</f>
        <v/>
      </c>
      <c r="AF343" s="181" t="str">
        <f>IFERROR(LOOKUP(2,1/((B_Drainage!$A$5:$A$204&lt;&gt;"")*(B_Drainage!$A$5:$A$204&lt;=$B343)*(B_Drainage!$B$5:$B$204&gt;$B343)*(B_Drainage!$M$5:$M$204&lt;&gt;"")),IF(UPPER(B_Drainage!$M$5:$M$204)="Y",1,"")),"")</f>
        <v/>
      </c>
      <c r="AG343" s="181" t="str">
        <f>IFERROR(LOOKUP(2,1/((B_Drainage!$A$5:$A$204&lt;&gt;"")*(B_Drainage!$A$5:$A$204&lt;=$B343)*(B_Drainage!$B$5:$B$204&gt;$B343)*(B_Drainage!$N$5:$N$204&lt;&gt;"")),IF(UPPER(B_Drainage!$N$5:$N$204)="Y",1,"")),"")</f>
        <v/>
      </c>
      <c r="AH343" s="181" t="str">
        <f t="shared" si="40"/>
        <v/>
      </c>
      <c r="AI343" s="181" t="str">
        <f t="shared" si="41"/>
        <v/>
      </c>
      <c r="AJ343" s="181" t="str">
        <f t="shared" si="42"/>
        <v/>
      </c>
      <c r="AK343" s="181" t="str">
        <f t="shared" si="43"/>
        <v/>
      </c>
      <c r="AL343" s="181" t="str">
        <f t="shared" si="44"/>
        <v/>
      </c>
      <c r="AM343" s="181" t="str">
        <f t="shared" si="45"/>
        <v/>
      </c>
      <c r="AN343" s="181" t="str">
        <f t="shared" si="46"/>
        <v/>
      </c>
      <c r="AO343" s="192" t="str">
        <f t="shared" si="47"/>
        <v/>
      </c>
      <c r="AQ343" t="str">
        <f>IFERROR(LOOKUP(2,1/((C_Pavement!$A$5:$A$204&lt;&gt;"")*(C_Pavement!$A$5:$A$204&lt;=$B343)*(C_Pavement!$B$5:$B$204&gt;$B343)*(C_Pavement!$C$5:$C$204&lt;&gt;"")),ROW(C_Pavement!$C$5:$C$204)-4),"")</f>
        <v/>
      </c>
      <c r="AR343" t="str">
        <f>IF($AQ343="","",UPPER(TRIM(INDEX(C_Pavement!$C$5:$C$204,$AQ343))))</f>
        <v/>
      </c>
      <c r="AS343" t="str">
        <f>IF($AR343="","",IFERROR(MATCH($AR343,E_Rules!$A$5:$A$9,0),""))</f>
        <v/>
      </c>
      <c r="AT343" t="str">
        <f>IF($AQ343="","",IF(INDEX(C_Pavement!$D$5:$D$204,$AQ343)&lt;&gt;"",UPPER(TRIM(INDEX(C_Pavement!$D$5:$D$204,$AQ343))),IF($AS343="","",INDEX(E_Rules!$C$5:$C$9,$AS343))))</f>
        <v/>
      </c>
      <c r="AU343" t="str">
        <f>IF($AQ343="","",IF(INDEX(C_Pavement!$E$5:$E$204,$AQ343)&lt;&gt;"",IF(INDEX(C_Pavement!$E$5:$E$204,$AQ343)="-","",INDEX(C_Pavement!$E$5:$E$204,$AQ343)),IF($AS343="","",INDEX(E_Rules!$D$5:$D$9,$AS343))))</f>
        <v/>
      </c>
      <c r="AV343" t="str">
        <f>IF($AQ343="","",IF(INDEX(C_Pavement!$F$5:$F$204,$AQ343)&lt;&gt;"",IF(INDEX(C_Pavement!$F$5:$F$204,$AQ343)="-","",INDEX(C_Pavement!$F$5:$F$204,$AQ343)),IF($AS343="","",INDEX(E_Rules!$E$5:$E$9,$AS343))))</f>
        <v/>
      </c>
      <c r="AW343" t="str">
        <f>IF($AQ343="","",IF(INDEX(C_Pavement!$G$5:$G$204,$AQ343)&lt;&gt;"",IF(INDEX(C_Pavement!$G$5:$G$204,$AQ343)="-","",INDEX(C_Pavement!$G$5:$G$204,$AQ343)),IF($AS343="","",INDEX(E_Rules!$F$5:$F$9,$AS343))))</f>
        <v/>
      </c>
      <c r="AX343" t="str">
        <f>IF($AQ343="","",IF(INDEX(C_Pavement!$H$5:$H$204,$AQ343)&lt;&gt;"",IF(INDEX(C_Pavement!$H$5:$H$204,$AQ343)="-","",INDEX(C_Pavement!$H$5:$H$204,$AQ343)),IF($AS343="","",INDEX(E_Rules!$G$5:$G$9,$AS343))))</f>
        <v/>
      </c>
      <c r="AY343" t="str">
        <f>IF($AQ343="","",IF(INDEX(C_Pavement!$I$5:$I$204,$AQ343)&lt;&gt;"",IF(INDEX(C_Pavement!$I$5:$I$204,$AQ343)="-","",INDEX(C_Pavement!$I$5:$I$204,$AQ343)),IF($AS343="","",INDEX(E_Rules!$H$5:$H$9,$AS343))))</f>
        <v/>
      </c>
    </row>
    <row r="344" spans="1:51" ht="15.75" customHeight="1" x14ac:dyDescent="0.3">
      <c r="A344" s="189">
        <v>339</v>
      </c>
      <c r="B344" s="180">
        <v>16900</v>
      </c>
      <c r="C344" s="180" t="s">
        <v>650</v>
      </c>
      <c r="D344" s="181" t="str">
        <f>IFERROR(LOOKUP(2,1/((A_Corridor!$A$5:$A$204&lt;&gt;"")*(A_Corridor!$A$5:$A$204&lt;=$B344)*(A_Corridor!$B$5:$B$204&gt;$B344)*(A_Corridor!$C$5:$C$204&lt;&gt;"")),IF(UPPER(A_Corridor!$C$5:$C$204)="Y",1,"")),"")</f>
        <v/>
      </c>
      <c r="E344" s="181" t="str">
        <f>IFERROR(LOOKUP(2,1/((A_Corridor!$A$5:$A$204&lt;&gt;"")*(A_Corridor!$A$5:$A$204&lt;=$B344)*(A_Corridor!$B$5:$B$204&gt;$B344)*(A_Corridor!$D$5:$D$204&lt;&gt;"")),IF(A_Corridor!$D$5:$D$204="-","",UPPER(A_Corridor!$D$5:$D$204))),"")</f>
        <v/>
      </c>
      <c r="F344" s="181" t="str">
        <f>IFERROR(LOOKUP(2,1/((A_Corridor!$A$5:$A$204&lt;&gt;"")*(A_Corridor!$A$5:$A$204&lt;=$B344)*(A_Corridor!$B$5:$B$204&gt;$B344)*(A_Corridor!$E$5:$E$204&lt;&gt;"")),IF(A_Corridor!$E$5:$E$204="-","",1)),"")</f>
        <v/>
      </c>
      <c r="G344" s="182" t="str">
        <f>IFERROR(LOOKUP(2,1/((A_Corridor!$A$5:$A$204&lt;&gt;"")*(A_Corridor!$A$5:$A$204&lt;=$B344)*(A_Corridor!$B$5:$B$204&gt;$B344)*(A_Corridor!$E$5:$E$204&lt;&gt;"")),IF(A_Corridor!$E$5:$E$204="-","",A_Corridor!$E$5:$E$204)),"")</f>
        <v/>
      </c>
      <c r="H344" s="182" t="str">
        <f>IFERROR(LOOKUP(2,1/((D_Points!$A$5:$A$204&lt;&gt;"")*(D_Points!$A$5:$A$204&gt;=$B344)*(D_Points!$A$5:$A$204&lt;$B344+P_Interval)*(UPPER(TRIM(D_Points!$B$5:$B$204))="GULLY")*(D_Points!$H$5:$H$204&lt;&gt;"")),D_Points!$H$5:$H$204),"")</f>
        <v/>
      </c>
      <c r="I344" s="181" t="str">
        <f>IFERROR(LOOKUP(2,1/((A_Corridor!$A$5:$A$204&lt;&gt;"")*(A_Corridor!$A$5:$A$204&lt;=$B344)*(A_Corridor!$B$5:$B$204&gt;$B344)*(A_Corridor!$F$5:$F$204&lt;&gt;"")),IF(A_Corridor!$F$5:$F$204="-","",1)),"")</f>
        <v/>
      </c>
      <c r="J344" s="182" t="str">
        <f>IFERROR(LOOKUP(2,1/((A_Corridor!$A$5:$A$204&lt;&gt;"")*(A_Corridor!$A$5:$A$204&lt;=$B344)*(A_Corridor!$B$5:$B$204&gt;$B344)*(A_Corridor!$F$5:$F$204&lt;&gt;"")),IF(A_Corridor!$F$5:$F$204="-","",A_Corridor!$F$5:$F$204)),"")</f>
        <v/>
      </c>
      <c r="K344" s="182" t="str">
        <f>IFERROR(LOOKUP(2,1/((A_Corridor!$A$5:$A$204&lt;&gt;"")*(A_Corridor!$A$5:$A$204&lt;=$B344)*(A_Corridor!$B$5:$B$204&gt;$B344)*(A_Corridor!$G$5:$G$204&lt;&gt;"")),IF(A_Corridor!$G$5:$G$204="-","",A_Corridor!$G$5:$G$204)),"")</f>
        <v/>
      </c>
      <c r="L344" s="181" t="str">
        <f>IFERROR(LOOKUP(2,1/((A_Corridor!$A$5:$A$204&lt;&gt;"")*(A_Corridor!$A$5:$A$204&lt;=$B344)*(A_Corridor!$B$5:$B$204&gt;$B344)*(A_Corridor!$H$5:$H$204&lt;&gt;"")),IF(A_Corridor!$H$5:$H$204="-","",1)),"")</f>
        <v/>
      </c>
      <c r="M344" s="182" t="str">
        <f>IFERROR(LOOKUP(2,1/((A_Corridor!$A$5:$A$204&lt;&gt;"")*(A_Corridor!$A$5:$A$204&lt;=$B344)*(A_Corridor!$B$5:$B$204&gt;$B344)*(A_Corridor!$H$5:$H$204&lt;&gt;"")),IF(A_Corridor!$H$5:$H$204="-","",A_Corridor!$H$5:$H$204)),"")</f>
        <v/>
      </c>
      <c r="N344" s="182" t="str">
        <f>IFERROR(LOOKUP(2,1/((A_Corridor!$A$5:$A$204&lt;&gt;"")*(A_Corridor!$A$5:$A$204&lt;=$B344)*(A_Corridor!$B$5:$B$204&gt;$B344)*(A_Corridor!$I$5:$I$204&lt;&gt;"")),IF(A_Corridor!$I$5:$I$204="-","",A_Corridor!$I$5:$I$204)),"")</f>
        <v/>
      </c>
      <c r="O344" s="182" t="str">
        <f>IFERROR(LOOKUP(2,1/((D_Points!$A$5:$A$204&lt;&gt;"")*(D_Points!$A$5:$A$204&gt;=$B344)*(D_Points!$A$5:$A$204&lt;$B344+P_Interval)*(UPPER(TRIM(D_Points!$B$5:$B$204))="PITCHING")*(D_Points!$H$5:$H$204&lt;&gt;"")),D_Points!$H$5:$H$204),"")</f>
        <v/>
      </c>
      <c r="P344" s="181" t="str">
        <f>IFERROR(LOOKUP(2,1/((B_Drainage!$A$5:$A$204&lt;&gt;"")*(B_Drainage!$A$5:$A$204&lt;=$B344)*(B_Drainage!$B$5:$B$204&gt;$B344)*(B_Drainage!$C$5:$C$204&lt;&gt;"")),IF(B_Drainage!$C$5:$C$204="-","",UPPER(B_Drainage!$C$5:$C$204))),"")</f>
        <v/>
      </c>
      <c r="Q344" s="181" t="str">
        <f>IFERROR(LOOKUP(2,1/((B_Drainage!$A$5:$A$204&lt;&gt;"")*(B_Drainage!$A$5:$A$204&lt;=$B344)*(B_Drainage!$B$5:$B$204&gt;$B344)*(B_Drainage!$D$5:$D$204&lt;&gt;"")),IF(B_Drainage!$D$5:$D$204="-","",UPPER(B_Drainage!$D$5:$D$204))),"")</f>
        <v/>
      </c>
      <c r="R344" s="182" t="str">
        <f>IFERROR(LOOKUP(2,1/((D_Points!$A$5:$A$204&lt;&gt;"")*(D_Points!$A$5:$A$204&gt;=$B344)*(D_Points!$A$5:$A$204&lt;$B344+P_Interval)*(RIGHT(UPPER(TRIM(D_Points!$B$5:$B$204)),8)="_CULVERT")),IF(LEFT(UPPER(TRIM(D_Points!$B$5:$B$204)),2)="EX",1,IF(LEFT(UPPER(TRIM(D_Points!$B$5:$B$204)),2)="PR",2,3))),"")</f>
        <v/>
      </c>
      <c r="S344" s="182" t="str">
        <f>IFERROR(LOOKUP(2,1/((D_Points!$A$5:$A$204&lt;&gt;"")*(D_Points!$A$5:$A$204&gt;=$B344)*(D_Points!$A$5:$A$204&lt;$B344+P_Interval)*(RIGHT(UPPER(TRIM(D_Points!$B$5:$B$204)),7)="_BRIDGE")),IF(LEFT(UPPER(TRIM(D_Points!$B$5:$B$204)),2)="EX",1,IF(LEFT(UPPER(TRIM(D_Points!$B$5:$B$204)),2)="PR",2,2))),"")</f>
        <v/>
      </c>
      <c r="T344" s="181" t="str">
        <f>IFERROR(LOOKUP(2,1/((B_Drainage!$A$5:$A$204&lt;&gt;"")*(B_Drainage!$A$5:$A$204&lt;=$B344)*(B_Drainage!$B$5:$B$204&gt;$B344)*(B_Drainage!$E$5:$E$204&lt;&gt;"")),IF(B_Drainage!$E$5:$E$204="-","",1)),"")</f>
        <v/>
      </c>
      <c r="U344" s="181" t="str">
        <f>IFERROR(LOOKUP(2,1/((B_Drainage!$A$5:$A$204&lt;&gt;"")*(B_Drainage!$A$5:$A$204&lt;=$B344)*(B_Drainage!$B$5:$B$204&gt;$B344)*(B_Drainage!$E$5:$E$204&lt;&gt;"")),IF(B_Drainage!$E$5:$E$204="-","",B_Drainage!$E$5:$E$204)),"")</f>
        <v/>
      </c>
      <c r="V344" s="181" t="str">
        <f>IFERROR(LOOKUP(2,1/((B_Drainage!$A$5:$A$204&lt;&gt;"")*(B_Drainage!$A$5:$A$204&lt;=$B344)*(B_Drainage!$B$5:$B$204&gt;$B344)*(B_Drainage!$F$5:$F$204&lt;&gt;"")),IF(B_Drainage!$F$5:$F$204="-","",1)),"")</f>
        <v/>
      </c>
      <c r="W344" s="181" t="str">
        <f>IFERROR(LOOKUP(2,1/((B_Drainage!$A$5:$A$204&lt;&gt;"")*(B_Drainage!$A$5:$A$204&lt;=$B344)*(B_Drainage!$B$5:$B$204&gt;$B344)*(B_Drainage!$F$5:$F$204&lt;&gt;"")),IF(B_Drainage!$F$5:$F$204="-","",B_Drainage!$F$5:$F$204)),"")</f>
        <v/>
      </c>
      <c r="X344" s="181" t="str">
        <f>IFERROR(LOOKUP(2,1/((B_Drainage!$A$5:$A$204&lt;&gt;"")*(B_Drainage!$A$5:$A$204&lt;=$B344)*(B_Drainage!$B$5:$B$204&gt;$B344)*(B_Drainage!$G$5:$G$204&lt;&gt;"")),IF(UPPER(B_Drainage!$G$5:$G$204)="Y",1,"")),"")</f>
        <v/>
      </c>
      <c r="Y344" s="181" t="str">
        <f>IFERROR(LOOKUP(2,1/((B_Drainage!$A$5:$A$204&lt;&gt;"")*(B_Drainage!$A$5:$A$204&lt;=$B344)*(B_Drainage!$B$5:$B$204&gt;$B344)*(B_Drainage!$H$5:$H$204&lt;&gt;"")),IF(UPPER(B_Drainage!$H$5:$H$204)="Y",1,"")),"")</f>
        <v/>
      </c>
      <c r="Z344" s="181" t="str">
        <f>IFERROR(LOOKUP(2,1/((B_Drainage!$A$5:$A$204&lt;&gt;"")*(B_Drainage!$A$5:$A$204&lt;=$B344)*(B_Drainage!$B$5:$B$204&gt;$B344)*(B_Drainage!$I$5:$I$204&lt;&gt;"")),IF(UPPER(B_Drainage!$I$5:$I$204)="Y",1,"")),"")</f>
        <v/>
      </c>
      <c r="AA344" s="181" t="str">
        <f>IFERROR(LOOKUP(2,1/((B_Drainage!$A$5:$A$204&lt;&gt;"")*(B_Drainage!$A$5:$A$204&lt;=$B344)*(B_Drainage!$B$5:$B$204&gt;$B344)*(B_Drainage!$J$5:$J$204&lt;&gt;"")),IF(UPPER(B_Drainage!$J$5:$J$204)="Y",1,"")),"")</f>
        <v/>
      </c>
      <c r="AB344" s="182" t="str">
        <f>IFERROR(LOOKUP(2,1/((B_Drainage!$A$5:$A$204&lt;&gt;"")*(B_Drainage!$A$5:$A$204&lt;=$B344)*(B_Drainage!$B$5:$B$204&gt;$B344)*(B_Drainage!$K$5:$K$204&lt;&gt;"")),IF(B_Drainage!$K$5:$K$204="-","",B_Drainage!$K$5:$K$204)),"")</f>
        <v/>
      </c>
      <c r="AC344" s="182" t="str">
        <f>IFERROR(LOOKUP(2,1/((B_Drainage!$A$5:$A$204&lt;&gt;"")*(B_Drainage!$A$5:$A$204&lt;=$B344)*(B_Drainage!$B$5:$B$204&gt;$B344)*(B_Drainage!$L$5:$L$204&lt;&gt;"")),IF(B_Drainage!$L$5:$L$204="-","",B_Drainage!$L$5:$L$204)),"")</f>
        <v/>
      </c>
      <c r="AD344" s="182" t="str">
        <f>IFERROR(LOOKUP(2,1/((D_Points!$A$5:$A$204&lt;&gt;"")*(D_Points!$A$5:$A$204&gt;=$B344)*(D_Points!$A$5:$A$204&lt;$B344+P_Interval)*(UPPER(TRIM(D_Points!$B$5:$B$204))="TURNOUT_L")*(D_Points!$H$5:$H$204&lt;&gt;"")),D_Points!$H$5:$H$204),"")</f>
        <v/>
      </c>
      <c r="AE344" s="182" t="str">
        <f>IFERROR(LOOKUP(2,1/((D_Points!$A$5:$A$204&lt;&gt;"")*(D_Points!$A$5:$A$204&gt;=$B344)*(D_Points!$A$5:$A$204&lt;$B344+P_Interval)*(UPPER(TRIM(D_Points!$B$5:$B$204))="TURNOUT_R")*(D_Points!$H$5:$H$204&lt;&gt;"")),D_Points!$H$5:$H$204),"")</f>
        <v/>
      </c>
      <c r="AF344" s="181" t="str">
        <f>IFERROR(LOOKUP(2,1/((B_Drainage!$A$5:$A$204&lt;&gt;"")*(B_Drainage!$A$5:$A$204&lt;=$B344)*(B_Drainage!$B$5:$B$204&gt;$B344)*(B_Drainage!$M$5:$M$204&lt;&gt;"")),IF(UPPER(B_Drainage!$M$5:$M$204)="Y",1,"")),"")</f>
        <v/>
      </c>
      <c r="AG344" s="181" t="str">
        <f>IFERROR(LOOKUP(2,1/((B_Drainage!$A$5:$A$204&lt;&gt;"")*(B_Drainage!$A$5:$A$204&lt;=$B344)*(B_Drainage!$B$5:$B$204&gt;$B344)*(B_Drainage!$N$5:$N$204&lt;&gt;"")),IF(UPPER(B_Drainage!$N$5:$N$204)="Y",1,"")),"")</f>
        <v/>
      </c>
      <c r="AH344" s="181" t="str">
        <f t="shared" si="40"/>
        <v/>
      </c>
      <c r="AI344" s="181" t="str">
        <f t="shared" si="41"/>
        <v/>
      </c>
      <c r="AJ344" s="181" t="str">
        <f t="shared" si="42"/>
        <v/>
      </c>
      <c r="AK344" s="181" t="str">
        <f t="shared" si="43"/>
        <v/>
      </c>
      <c r="AL344" s="181" t="str">
        <f t="shared" si="44"/>
        <v/>
      </c>
      <c r="AM344" s="181" t="str">
        <f t="shared" si="45"/>
        <v/>
      </c>
      <c r="AN344" s="181" t="str">
        <f t="shared" si="46"/>
        <v/>
      </c>
      <c r="AO344" s="192" t="str">
        <f t="shared" si="47"/>
        <v/>
      </c>
      <c r="AQ344" t="str">
        <f>IFERROR(LOOKUP(2,1/((C_Pavement!$A$5:$A$204&lt;&gt;"")*(C_Pavement!$A$5:$A$204&lt;=$B344)*(C_Pavement!$B$5:$B$204&gt;$B344)*(C_Pavement!$C$5:$C$204&lt;&gt;"")),ROW(C_Pavement!$C$5:$C$204)-4),"")</f>
        <v/>
      </c>
      <c r="AR344" t="str">
        <f>IF($AQ344="","",UPPER(TRIM(INDEX(C_Pavement!$C$5:$C$204,$AQ344))))</f>
        <v/>
      </c>
      <c r="AS344" t="str">
        <f>IF($AR344="","",IFERROR(MATCH($AR344,E_Rules!$A$5:$A$9,0),""))</f>
        <v/>
      </c>
      <c r="AT344" t="str">
        <f>IF($AQ344="","",IF(INDEX(C_Pavement!$D$5:$D$204,$AQ344)&lt;&gt;"",UPPER(TRIM(INDEX(C_Pavement!$D$5:$D$204,$AQ344))),IF($AS344="","",INDEX(E_Rules!$C$5:$C$9,$AS344))))</f>
        <v/>
      </c>
      <c r="AU344" t="str">
        <f>IF($AQ344="","",IF(INDEX(C_Pavement!$E$5:$E$204,$AQ344)&lt;&gt;"",IF(INDEX(C_Pavement!$E$5:$E$204,$AQ344)="-","",INDEX(C_Pavement!$E$5:$E$204,$AQ344)),IF($AS344="","",INDEX(E_Rules!$D$5:$D$9,$AS344))))</f>
        <v/>
      </c>
      <c r="AV344" t="str">
        <f>IF($AQ344="","",IF(INDEX(C_Pavement!$F$5:$F$204,$AQ344)&lt;&gt;"",IF(INDEX(C_Pavement!$F$5:$F$204,$AQ344)="-","",INDEX(C_Pavement!$F$5:$F$204,$AQ344)),IF($AS344="","",INDEX(E_Rules!$E$5:$E$9,$AS344))))</f>
        <v/>
      </c>
      <c r="AW344" t="str">
        <f>IF($AQ344="","",IF(INDEX(C_Pavement!$G$5:$G$204,$AQ344)&lt;&gt;"",IF(INDEX(C_Pavement!$G$5:$G$204,$AQ344)="-","",INDEX(C_Pavement!$G$5:$G$204,$AQ344)),IF($AS344="","",INDEX(E_Rules!$F$5:$F$9,$AS344))))</f>
        <v/>
      </c>
      <c r="AX344" t="str">
        <f>IF($AQ344="","",IF(INDEX(C_Pavement!$H$5:$H$204,$AQ344)&lt;&gt;"",IF(INDEX(C_Pavement!$H$5:$H$204,$AQ344)="-","",INDEX(C_Pavement!$H$5:$H$204,$AQ344)),IF($AS344="","",INDEX(E_Rules!$G$5:$G$9,$AS344))))</f>
        <v/>
      </c>
      <c r="AY344" t="str">
        <f>IF($AQ344="","",IF(INDEX(C_Pavement!$I$5:$I$204,$AQ344)&lt;&gt;"",IF(INDEX(C_Pavement!$I$5:$I$204,$AQ344)="-","",INDEX(C_Pavement!$I$5:$I$204,$AQ344)),IF($AS344="","",INDEX(E_Rules!$H$5:$H$9,$AS344))))</f>
        <v/>
      </c>
    </row>
    <row r="345" spans="1:51" ht="15.75" customHeight="1" x14ac:dyDescent="0.3">
      <c r="A345" s="189">
        <v>340</v>
      </c>
      <c r="B345" s="180">
        <v>16950</v>
      </c>
      <c r="C345" s="180" t="s">
        <v>651</v>
      </c>
      <c r="D345" s="181" t="str">
        <f>IFERROR(LOOKUP(2,1/((A_Corridor!$A$5:$A$204&lt;&gt;"")*(A_Corridor!$A$5:$A$204&lt;=$B345)*(A_Corridor!$B$5:$B$204&gt;$B345)*(A_Corridor!$C$5:$C$204&lt;&gt;"")),IF(UPPER(A_Corridor!$C$5:$C$204)="Y",1,"")),"")</f>
        <v/>
      </c>
      <c r="E345" s="181" t="str">
        <f>IFERROR(LOOKUP(2,1/((A_Corridor!$A$5:$A$204&lt;&gt;"")*(A_Corridor!$A$5:$A$204&lt;=$B345)*(A_Corridor!$B$5:$B$204&gt;$B345)*(A_Corridor!$D$5:$D$204&lt;&gt;"")),IF(A_Corridor!$D$5:$D$204="-","",UPPER(A_Corridor!$D$5:$D$204))),"")</f>
        <v/>
      </c>
      <c r="F345" s="181" t="str">
        <f>IFERROR(LOOKUP(2,1/((A_Corridor!$A$5:$A$204&lt;&gt;"")*(A_Corridor!$A$5:$A$204&lt;=$B345)*(A_Corridor!$B$5:$B$204&gt;$B345)*(A_Corridor!$E$5:$E$204&lt;&gt;"")),IF(A_Corridor!$E$5:$E$204="-","",1)),"")</f>
        <v/>
      </c>
      <c r="G345" s="182" t="str">
        <f>IFERROR(LOOKUP(2,1/((A_Corridor!$A$5:$A$204&lt;&gt;"")*(A_Corridor!$A$5:$A$204&lt;=$B345)*(A_Corridor!$B$5:$B$204&gt;$B345)*(A_Corridor!$E$5:$E$204&lt;&gt;"")),IF(A_Corridor!$E$5:$E$204="-","",A_Corridor!$E$5:$E$204)),"")</f>
        <v/>
      </c>
      <c r="H345" s="182" t="str">
        <f>IFERROR(LOOKUP(2,1/((D_Points!$A$5:$A$204&lt;&gt;"")*(D_Points!$A$5:$A$204&gt;=$B345)*(D_Points!$A$5:$A$204&lt;$B345+P_Interval)*(UPPER(TRIM(D_Points!$B$5:$B$204))="GULLY")*(D_Points!$H$5:$H$204&lt;&gt;"")),D_Points!$H$5:$H$204),"")</f>
        <v/>
      </c>
      <c r="I345" s="181" t="str">
        <f>IFERROR(LOOKUP(2,1/((A_Corridor!$A$5:$A$204&lt;&gt;"")*(A_Corridor!$A$5:$A$204&lt;=$B345)*(A_Corridor!$B$5:$B$204&gt;$B345)*(A_Corridor!$F$5:$F$204&lt;&gt;"")),IF(A_Corridor!$F$5:$F$204="-","",1)),"")</f>
        <v/>
      </c>
      <c r="J345" s="182" t="str">
        <f>IFERROR(LOOKUP(2,1/((A_Corridor!$A$5:$A$204&lt;&gt;"")*(A_Corridor!$A$5:$A$204&lt;=$B345)*(A_Corridor!$B$5:$B$204&gt;$B345)*(A_Corridor!$F$5:$F$204&lt;&gt;"")),IF(A_Corridor!$F$5:$F$204="-","",A_Corridor!$F$5:$F$204)),"")</f>
        <v/>
      </c>
      <c r="K345" s="182" t="str">
        <f>IFERROR(LOOKUP(2,1/((A_Corridor!$A$5:$A$204&lt;&gt;"")*(A_Corridor!$A$5:$A$204&lt;=$B345)*(A_Corridor!$B$5:$B$204&gt;$B345)*(A_Corridor!$G$5:$G$204&lt;&gt;"")),IF(A_Corridor!$G$5:$G$204="-","",A_Corridor!$G$5:$G$204)),"")</f>
        <v/>
      </c>
      <c r="L345" s="181" t="str">
        <f>IFERROR(LOOKUP(2,1/((A_Corridor!$A$5:$A$204&lt;&gt;"")*(A_Corridor!$A$5:$A$204&lt;=$B345)*(A_Corridor!$B$5:$B$204&gt;$B345)*(A_Corridor!$H$5:$H$204&lt;&gt;"")),IF(A_Corridor!$H$5:$H$204="-","",1)),"")</f>
        <v/>
      </c>
      <c r="M345" s="182" t="str">
        <f>IFERROR(LOOKUP(2,1/((A_Corridor!$A$5:$A$204&lt;&gt;"")*(A_Corridor!$A$5:$A$204&lt;=$B345)*(A_Corridor!$B$5:$B$204&gt;$B345)*(A_Corridor!$H$5:$H$204&lt;&gt;"")),IF(A_Corridor!$H$5:$H$204="-","",A_Corridor!$H$5:$H$204)),"")</f>
        <v/>
      </c>
      <c r="N345" s="182" t="str">
        <f>IFERROR(LOOKUP(2,1/((A_Corridor!$A$5:$A$204&lt;&gt;"")*(A_Corridor!$A$5:$A$204&lt;=$B345)*(A_Corridor!$B$5:$B$204&gt;$B345)*(A_Corridor!$I$5:$I$204&lt;&gt;"")),IF(A_Corridor!$I$5:$I$204="-","",A_Corridor!$I$5:$I$204)),"")</f>
        <v/>
      </c>
      <c r="O345" s="182" t="str">
        <f>IFERROR(LOOKUP(2,1/((D_Points!$A$5:$A$204&lt;&gt;"")*(D_Points!$A$5:$A$204&gt;=$B345)*(D_Points!$A$5:$A$204&lt;$B345+P_Interval)*(UPPER(TRIM(D_Points!$B$5:$B$204))="PITCHING")*(D_Points!$H$5:$H$204&lt;&gt;"")),D_Points!$H$5:$H$204),"")</f>
        <v/>
      </c>
      <c r="P345" s="181" t="str">
        <f>IFERROR(LOOKUP(2,1/((B_Drainage!$A$5:$A$204&lt;&gt;"")*(B_Drainage!$A$5:$A$204&lt;=$B345)*(B_Drainage!$B$5:$B$204&gt;$B345)*(B_Drainage!$C$5:$C$204&lt;&gt;"")),IF(B_Drainage!$C$5:$C$204="-","",UPPER(B_Drainage!$C$5:$C$204))),"")</f>
        <v/>
      </c>
      <c r="Q345" s="181" t="str">
        <f>IFERROR(LOOKUP(2,1/((B_Drainage!$A$5:$A$204&lt;&gt;"")*(B_Drainage!$A$5:$A$204&lt;=$B345)*(B_Drainage!$B$5:$B$204&gt;$B345)*(B_Drainage!$D$5:$D$204&lt;&gt;"")),IF(B_Drainage!$D$5:$D$204="-","",UPPER(B_Drainage!$D$5:$D$204))),"")</f>
        <v/>
      </c>
      <c r="R345" s="182" t="str">
        <f>IFERROR(LOOKUP(2,1/((D_Points!$A$5:$A$204&lt;&gt;"")*(D_Points!$A$5:$A$204&gt;=$B345)*(D_Points!$A$5:$A$204&lt;$B345+P_Interval)*(RIGHT(UPPER(TRIM(D_Points!$B$5:$B$204)),8)="_CULVERT")),IF(LEFT(UPPER(TRIM(D_Points!$B$5:$B$204)),2)="EX",1,IF(LEFT(UPPER(TRIM(D_Points!$B$5:$B$204)),2)="PR",2,3))),"")</f>
        <v/>
      </c>
      <c r="S345" s="182" t="str">
        <f>IFERROR(LOOKUP(2,1/((D_Points!$A$5:$A$204&lt;&gt;"")*(D_Points!$A$5:$A$204&gt;=$B345)*(D_Points!$A$5:$A$204&lt;$B345+P_Interval)*(RIGHT(UPPER(TRIM(D_Points!$B$5:$B$204)),7)="_BRIDGE")),IF(LEFT(UPPER(TRIM(D_Points!$B$5:$B$204)),2)="EX",1,IF(LEFT(UPPER(TRIM(D_Points!$B$5:$B$204)),2)="PR",2,2))),"")</f>
        <v/>
      </c>
      <c r="T345" s="181" t="str">
        <f>IFERROR(LOOKUP(2,1/((B_Drainage!$A$5:$A$204&lt;&gt;"")*(B_Drainage!$A$5:$A$204&lt;=$B345)*(B_Drainage!$B$5:$B$204&gt;$B345)*(B_Drainage!$E$5:$E$204&lt;&gt;"")),IF(B_Drainage!$E$5:$E$204="-","",1)),"")</f>
        <v/>
      </c>
      <c r="U345" s="181" t="str">
        <f>IFERROR(LOOKUP(2,1/((B_Drainage!$A$5:$A$204&lt;&gt;"")*(B_Drainage!$A$5:$A$204&lt;=$B345)*(B_Drainage!$B$5:$B$204&gt;$B345)*(B_Drainage!$E$5:$E$204&lt;&gt;"")),IF(B_Drainage!$E$5:$E$204="-","",B_Drainage!$E$5:$E$204)),"")</f>
        <v/>
      </c>
      <c r="V345" s="181" t="str">
        <f>IFERROR(LOOKUP(2,1/((B_Drainage!$A$5:$A$204&lt;&gt;"")*(B_Drainage!$A$5:$A$204&lt;=$B345)*(B_Drainage!$B$5:$B$204&gt;$B345)*(B_Drainage!$F$5:$F$204&lt;&gt;"")),IF(B_Drainage!$F$5:$F$204="-","",1)),"")</f>
        <v/>
      </c>
      <c r="W345" s="181" t="str">
        <f>IFERROR(LOOKUP(2,1/((B_Drainage!$A$5:$A$204&lt;&gt;"")*(B_Drainage!$A$5:$A$204&lt;=$B345)*(B_Drainage!$B$5:$B$204&gt;$B345)*(B_Drainage!$F$5:$F$204&lt;&gt;"")),IF(B_Drainage!$F$5:$F$204="-","",B_Drainage!$F$5:$F$204)),"")</f>
        <v/>
      </c>
      <c r="X345" s="181" t="str">
        <f>IFERROR(LOOKUP(2,1/((B_Drainage!$A$5:$A$204&lt;&gt;"")*(B_Drainage!$A$5:$A$204&lt;=$B345)*(B_Drainage!$B$5:$B$204&gt;$B345)*(B_Drainage!$G$5:$G$204&lt;&gt;"")),IF(UPPER(B_Drainage!$G$5:$G$204)="Y",1,"")),"")</f>
        <v/>
      </c>
      <c r="Y345" s="181" t="str">
        <f>IFERROR(LOOKUP(2,1/((B_Drainage!$A$5:$A$204&lt;&gt;"")*(B_Drainage!$A$5:$A$204&lt;=$B345)*(B_Drainage!$B$5:$B$204&gt;$B345)*(B_Drainage!$H$5:$H$204&lt;&gt;"")),IF(UPPER(B_Drainage!$H$5:$H$204)="Y",1,"")),"")</f>
        <v/>
      </c>
      <c r="Z345" s="181" t="str">
        <f>IFERROR(LOOKUP(2,1/((B_Drainage!$A$5:$A$204&lt;&gt;"")*(B_Drainage!$A$5:$A$204&lt;=$B345)*(B_Drainage!$B$5:$B$204&gt;$B345)*(B_Drainage!$I$5:$I$204&lt;&gt;"")),IF(UPPER(B_Drainage!$I$5:$I$204)="Y",1,"")),"")</f>
        <v/>
      </c>
      <c r="AA345" s="181" t="str">
        <f>IFERROR(LOOKUP(2,1/((B_Drainage!$A$5:$A$204&lt;&gt;"")*(B_Drainage!$A$5:$A$204&lt;=$B345)*(B_Drainage!$B$5:$B$204&gt;$B345)*(B_Drainage!$J$5:$J$204&lt;&gt;"")),IF(UPPER(B_Drainage!$J$5:$J$204)="Y",1,"")),"")</f>
        <v/>
      </c>
      <c r="AB345" s="182" t="str">
        <f>IFERROR(LOOKUP(2,1/((B_Drainage!$A$5:$A$204&lt;&gt;"")*(B_Drainage!$A$5:$A$204&lt;=$B345)*(B_Drainage!$B$5:$B$204&gt;$B345)*(B_Drainage!$K$5:$K$204&lt;&gt;"")),IF(B_Drainage!$K$5:$K$204="-","",B_Drainage!$K$5:$K$204)),"")</f>
        <v/>
      </c>
      <c r="AC345" s="182" t="str">
        <f>IFERROR(LOOKUP(2,1/((B_Drainage!$A$5:$A$204&lt;&gt;"")*(B_Drainage!$A$5:$A$204&lt;=$B345)*(B_Drainage!$B$5:$B$204&gt;$B345)*(B_Drainage!$L$5:$L$204&lt;&gt;"")),IF(B_Drainage!$L$5:$L$204="-","",B_Drainage!$L$5:$L$204)),"")</f>
        <v/>
      </c>
      <c r="AD345" s="182" t="str">
        <f>IFERROR(LOOKUP(2,1/((D_Points!$A$5:$A$204&lt;&gt;"")*(D_Points!$A$5:$A$204&gt;=$B345)*(D_Points!$A$5:$A$204&lt;$B345+P_Interval)*(UPPER(TRIM(D_Points!$B$5:$B$204))="TURNOUT_L")*(D_Points!$H$5:$H$204&lt;&gt;"")),D_Points!$H$5:$H$204),"")</f>
        <v/>
      </c>
      <c r="AE345" s="182" t="str">
        <f>IFERROR(LOOKUP(2,1/((D_Points!$A$5:$A$204&lt;&gt;"")*(D_Points!$A$5:$A$204&gt;=$B345)*(D_Points!$A$5:$A$204&lt;$B345+P_Interval)*(UPPER(TRIM(D_Points!$B$5:$B$204))="TURNOUT_R")*(D_Points!$H$5:$H$204&lt;&gt;"")),D_Points!$H$5:$H$204),"")</f>
        <v/>
      </c>
      <c r="AF345" s="181" t="str">
        <f>IFERROR(LOOKUP(2,1/((B_Drainage!$A$5:$A$204&lt;&gt;"")*(B_Drainage!$A$5:$A$204&lt;=$B345)*(B_Drainage!$B$5:$B$204&gt;$B345)*(B_Drainage!$M$5:$M$204&lt;&gt;"")),IF(UPPER(B_Drainage!$M$5:$M$204)="Y",1,"")),"")</f>
        <v/>
      </c>
      <c r="AG345" s="181" t="str">
        <f>IFERROR(LOOKUP(2,1/((B_Drainage!$A$5:$A$204&lt;&gt;"")*(B_Drainage!$A$5:$A$204&lt;=$B345)*(B_Drainage!$B$5:$B$204&gt;$B345)*(B_Drainage!$N$5:$N$204&lt;&gt;"")),IF(UPPER(B_Drainage!$N$5:$N$204)="Y",1,"")),"")</f>
        <v/>
      </c>
      <c r="AH345" s="181" t="str">
        <f t="shared" si="40"/>
        <v/>
      </c>
      <c r="AI345" s="181" t="str">
        <f t="shared" si="41"/>
        <v/>
      </c>
      <c r="AJ345" s="181" t="str">
        <f t="shared" si="42"/>
        <v/>
      </c>
      <c r="AK345" s="181" t="str">
        <f t="shared" si="43"/>
        <v/>
      </c>
      <c r="AL345" s="181" t="str">
        <f t="shared" si="44"/>
        <v/>
      </c>
      <c r="AM345" s="181" t="str">
        <f t="shared" si="45"/>
        <v/>
      </c>
      <c r="AN345" s="181" t="str">
        <f t="shared" si="46"/>
        <v/>
      </c>
      <c r="AO345" s="192" t="str">
        <f t="shared" si="47"/>
        <v/>
      </c>
      <c r="AQ345" t="str">
        <f>IFERROR(LOOKUP(2,1/((C_Pavement!$A$5:$A$204&lt;&gt;"")*(C_Pavement!$A$5:$A$204&lt;=$B345)*(C_Pavement!$B$5:$B$204&gt;$B345)*(C_Pavement!$C$5:$C$204&lt;&gt;"")),ROW(C_Pavement!$C$5:$C$204)-4),"")</f>
        <v/>
      </c>
      <c r="AR345" t="str">
        <f>IF($AQ345="","",UPPER(TRIM(INDEX(C_Pavement!$C$5:$C$204,$AQ345))))</f>
        <v/>
      </c>
      <c r="AS345" t="str">
        <f>IF($AR345="","",IFERROR(MATCH($AR345,E_Rules!$A$5:$A$9,0),""))</f>
        <v/>
      </c>
      <c r="AT345" t="str">
        <f>IF($AQ345="","",IF(INDEX(C_Pavement!$D$5:$D$204,$AQ345)&lt;&gt;"",UPPER(TRIM(INDEX(C_Pavement!$D$5:$D$204,$AQ345))),IF($AS345="","",INDEX(E_Rules!$C$5:$C$9,$AS345))))</f>
        <v/>
      </c>
      <c r="AU345" t="str">
        <f>IF($AQ345="","",IF(INDEX(C_Pavement!$E$5:$E$204,$AQ345)&lt;&gt;"",IF(INDEX(C_Pavement!$E$5:$E$204,$AQ345)="-","",INDEX(C_Pavement!$E$5:$E$204,$AQ345)),IF($AS345="","",INDEX(E_Rules!$D$5:$D$9,$AS345))))</f>
        <v/>
      </c>
      <c r="AV345" t="str">
        <f>IF($AQ345="","",IF(INDEX(C_Pavement!$F$5:$F$204,$AQ345)&lt;&gt;"",IF(INDEX(C_Pavement!$F$5:$F$204,$AQ345)="-","",INDEX(C_Pavement!$F$5:$F$204,$AQ345)),IF($AS345="","",INDEX(E_Rules!$E$5:$E$9,$AS345))))</f>
        <v/>
      </c>
      <c r="AW345" t="str">
        <f>IF($AQ345="","",IF(INDEX(C_Pavement!$G$5:$G$204,$AQ345)&lt;&gt;"",IF(INDEX(C_Pavement!$G$5:$G$204,$AQ345)="-","",INDEX(C_Pavement!$G$5:$G$204,$AQ345)),IF($AS345="","",INDEX(E_Rules!$F$5:$F$9,$AS345))))</f>
        <v/>
      </c>
      <c r="AX345" t="str">
        <f>IF($AQ345="","",IF(INDEX(C_Pavement!$H$5:$H$204,$AQ345)&lt;&gt;"",IF(INDEX(C_Pavement!$H$5:$H$204,$AQ345)="-","",INDEX(C_Pavement!$H$5:$H$204,$AQ345)),IF($AS345="","",INDEX(E_Rules!$G$5:$G$9,$AS345))))</f>
        <v/>
      </c>
      <c r="AY345" t="str">
        <f>IF($AQ345="","",IF(INDEX(C_Pavement!$I$5:$I$204,$AQ345)&lt;&gt;"",IF(INDEX(C_Pavement!$I$5:$I$204,$AQ345)="-","",INDEX(C_Pavement!$I$5:$I$204,$AQ345)),IF($AS345="","",INDEX(E_Rules!$H$5:$H$9,$AS345))))</f>
        <v/>
      </c>
    </row>
    <row r="346" spans="1:51" ht="15.75" customHeight="1" x14ac:dyDescent="0.3">
      <c r="A346" s="189">
        <v>341</v>
      </c>
      <c r="B346" s="180">
        <v>17000</v>
      </c>
      <c r="C346" s="180" t="s">
        <v>652</v>
      </c>
      <c r="D346" s="181" t="str">
        <f>IFERROR(LOOKUP(2,1/((A_Corridor!$A$5:$A$204&lt;&gt;"")*(A_Corridor!$A$5:$A$204&lt;=$B346)*(A_Corridor!$B$5:$B$204&gt;$B346)*(A_Corridor!$C$5:$C$204&lt;&gt;"")),IF(UPPER(A_Corridor!$C$5:$C$204)="Y",1,"")),"")</f>
        <v/>
      </c>
      <c r="E346" s="181" t="str">
        <f>IFERROR(LOOKUP(2,1/((A_Corridor!$A$5:$A$204&lt;&gt;"")*(A_Corridor!$A$5:$A$204&lt;=$B346)*(A_Corridor!$B$5:$B$204&gt;$B346)*(A_Corridor!$D$5:$D$204&lt;&gt;"")),IF(A_Corridor!$D$5:$D$204="-","",UPPER(A_Corridor!$D$5:$D$204))),"")</f>
        <v/>
      </c>
      <c r="F346" s="181" t="str">
        <f>IFERROR(LOOKUP(2,1/((A_Corridor!$A$5:$A$204&lt;&gt;"")*(A_Corridor!$A$5:$A$204&lt;=$B346)*(A_Corridor!$B$5:$B$204&gt;$B346)*(A_Corridor!$E$5:$E$204&lt;&gt;"")),IF(A_Corridor!$E$5:$E$204="-","",1)),"")</f>
        <v/>
      </c>
      <c r="G346" s="182" t="str">
        <f>IFERROR(LOOKUP(2,1/((A_Corridor!$A$5:$A$204&lt;&gt;"")*(A_Corridor!$A$5:$A$204&lt;=$B346)*(A_Corridor!$B$5:$B$204&gt;$B346)*(A_Corridor!$E$5:$E$204&lt;&gt;"")),IF(A_Corridor!$E$5:$E$204="-","",A_Corridor!$E$5:$E$204)),"")</f>
        <v/>
      </c>
      <c r="H346" s="182" t="str">
        <f>IFERROR(LOOKUP(2,1/((D_Points!$A$5:$A$204&lt;&gt;"")*(D_Points!$A$5:$A$204&gt;=$B346)*(D_Points!$A$5:$A$204&lt;$B346+P_Interval)*(UPPER(TRIM(D_Points!$B$5:$B$204))="GULLY")*(D_Points!$H$5:$H$204&lt;&gt;"")),D_Points!$H$5:$H$204),"")</f>
        <v/>
      </c>
      <c r="I346" s="181" t="str">
        <f>IFERROR(LOOKUP(2,1/((A_Corridor!$A$5:$A$204&lt;&gt;"")*(A_Corridor!$A$5:$A$204&lt;=$B346)*(A_Corridor!$B$5:$B$204&gt;$B346)*(A_Corridor!$F$5:$F$204&lt;&gt;"")),IF(A_Corridor!$F$5:$F$204="-","",1)),"")</f>
        <v/>
      </c>
      <c r="J346" s="182" t="str">
        <f>IFERROR(LOOKUP(2,1/((A_Corridor!$A$5:$A$204&lt;&gt;"")*(A_Corridor!$A$5:$A$204&lt;=$B346)*(A_Corridor!$B$5:$B$204&gt;$B346)*(A_Corridor!$F$5:$F$204&lt;&gt;"")),IF(A_Corridor!$F$5:$F$204="-","",A_Corridor!$F$5:$F$204)),"")</f>
        <v/>
      </c>
      <c r="K346" s="182" t="str">
        <f>IFERROR(LOOKUP(2,1/((A_Corridor!$A$5:$A$204&lt;&gt;"")*(A_Corridor!$A$5:$A$204&lt;=$B346)*(A_Corridor!$B$5:$B$204&gt;$B346)*(A_Corridor!$G$5:$G$204&lt;&gt;"")),IF(A_Corridor!$G$5:$G$204="-","",A_Corridor!$G$5:$G$204)),"")</f>
        <v/>
      </c>
      <c r="L346" s="181" t="str">
        <f>IFERROR(LOOKUP(2,1/((A_Corridor!$A$5:$A$204&lt;&gt;"")*(A_Corridor!$A$5:$A$204&lt;=$B346)*(A_Corridor!$B$5:$B$204&gt;$B346)*(A_Corridor!$H$5:$H$204&lt;&gt;"")),IF(A_Corridor!$H$5:$H$204="-","",1)),"")</f>
        <v/>
      </c>
      <c r="M346" s="182" t="str">
        <f>IFERROR(LOOKUP(2,1/((A_Corridor!$A$5:$A$204&lt;&gt;"")*(A_Corridor!$A$5:$A$204&lt;=$B346)*(A_Corridor!$B$5:$B$204&gt;$B346)*(A_Corridor!$H$5:$H$204&lt;&gt;"")),IF(A_Corridor!$H$5:$H$204="-","",A_Corridor!$H$5:$H$204)),"")</f>
        <v/>
      </c>
      <c r="N346" s="182" t="str">
        <f>IFERROR(LOOKUP(2,1/((A_Corridor!$A$5:$A$204&lt;&gt;"")*(A_Corridor!$A$5:$A$204&lt;=$B346)*(A_Corridor!$B$5:$B$204&gt;$B346)*(A_Corridor!$I$5:$I$204&lt;&gt;"")),IF(A_Corridor!$I$5:$I$204="-","",A_Corridor!$I$5:$I$204)),"")</f>
        <v/>
      </c>
      <c r="O346" s="182" t="str">
        <f>IFERROR(LOOKUP(2,1/((D_Points!$A$5:$A$204&lt;&gt;"")*(D_Points!$A$5:$A$204&gt;=$B346)*(D_Points!$A$5:$A$204&lt;$B346+P_Interval)*(UPPER(TRIM(D_Points!$B$5:$B$204))="PITCHING")*(D_Points!$H$5:$H$204&lt;&gt;"")),D_Points!$H$5:$H$204),"")</f>
        <v/>
      </c>
      <c r="P346" s="181" t="str">
        <f>IFERROR(LOOKUP(2,1/((B_Drainage!$A$5:$A$204&lt;&gt;"")*(B_Drainage!$A$5:$A$204&lt;=$B346)*(B_Drainage!$B$5:$B$204&gt;$B346)*(B_Drainage!$C$5:$C$204&lt;&gt;"")),IF(B_Drainage!$C$5:$C$204="-","",UPPER(B_Drainage!$C$5:$C$204))),"")</f>
        <v/>
      </c>
      <c r="Q346" s="181" t="str">
        <f>IFERROR(LOOKUP(2,1/((B_Drainage!$A$5:$A$204&lt;&gt;"")*(B_Drainage!$A$5:$A$204&lt;=$B346)*(B_Drainage!$B$5:$B$204&gt;$B346)*(B_Drainage!$D$5:$D$204&lt;&gt;"")),IF(B_Drainage!$D$5:$D$204="-","",UPPER(B_Drainage!$D$5:$D$204))),"")</f>
        <v/>
      </c>
      <c r="R346" s="182" t="str">
        <f>IFERROR(LOOKUP(2,1/((D_Points!$A$5:$A$204&lt;&gt;"")*(D_Points!$A$5:$A$204&gt;=$B346)*(D_Points!$A$5:$A$204&lt;$B346+P_Interval)*(RIGHT(UPPER(TRIM(D_Points!$B$5:$B$204)),8)="_CULVERT")),IF(LEFT(UPPER(TRIM(D_Points!$B$5:$B$204)),2)="EX",1,IF(LEFT(UPPER(TRIM(D_Points!$B$5:$B$204)),2)="PR",2,3))),"")</f>
        <v/>
      </c>
      <c r="S346" s="182" t="str">
        <f>IFERROR(LOOKUP(2,1/((D_Points!$A$5:$A$204&lt;&gt;"")*(D_Points!$A$5:$A$204&gt;=$B346)*(D_Points!$A$5:$A$204&lt;$B346+P_Interval)*(RIGHT(UPPER(TRIM(D_Points!$B$5:$B$204)),7)="_BRIDGE")),IF(LEFT(UPPER(TRIM(D_Points!$B$5:$B$204)),2)="EX",1,IF(LEFT(UPPER(TRIM(D_Points!$B$5:$B$204)),2)="PR",2,2))),"")</f>
        <v/>
      </c>
      <c r="T346" s="181" t="str">
        <f>IFERROR(LOOKUP(2,1/((B_Drainage!$A$5:$A$204&lt;&gt;"")*(B_Drainage!$A$5:$A$204&lt;=$B346)*(B_Drainage!$B$5:$B$204&gt;$B346)*(B_Drainage!$E$5:$E$204&lt;&gt;"")),IF(B_Drainage!$E$5:$E$204="-","",1)),"")</f>
        <v/>
      </c>
      <c r="U346" s="181" t="str">
        <f>IFERROR(LOOKUP(2,1/((B_Drainage!$A$5:$A$204&lt;&gt;"")*(B_Drainage!$A$5:$A$204&lt;=$B346)*(B_Drainage!$B$5:$B$204&gt;$B346)*(B_Drainage!$E$5:$E$204&lt;&gt;"")),IF(B_Drainage!$E$5:$E$204="-","",B_Drainage!$E$5:$E$204)),"")</f>
        <v/>
      </c>
      <c r="V346" s="181" t="str">
        <f>IFERROR(LOOKUP(2,1/((B_Drainage!$A$5:$A$204&lt;&gt;"")*(B_Drainage!$A$5:$A$204&lt;=$B346)*(B_Drainage!$B$5:$B$204&gt;$B346)*(B_Drainage!$F$5:$F$204&lt;&gt;"")),IF(B_Drainage!$F$5:$F$204="-","",1)),"")</f>
        <v/>
      </c>
      <c r="W346" s="181" t="str">
        <f>IFERROR(LOOKUP(2,1/((B_Drainage!$A$5:$A$204&lt;&gt;"")*(B_Drainage!$A$5:$A$204&lt;=$B346)*(B_Drainage!$B$5:$B$204&gt;$B346)*(B_Drainage!$F$5:$F$204&lt;&gt;"")),IF(B_Drainage!$F$5:$F$204="-","",B_Drainage!$F$5:$F$204)),"")</f>
        <v/>
      </c>
      <c r="X346" s="181" t="str">
        <f>IFERROR(LOOKUP(2,1/((B_Drainage!$A$5:$A$204&lt;&gt;"")*(B_Drainage!$A$5:$A$204&lt;=$B346)*(B_Drainage!$B$5:$B$204&gt;$B346)*(B_Drainage!$G$5:$G$204&lt;&gt;"")),IF(UPPER(B_Drainage!$G$5:$G$204)="Y",1,"")),"")</f>
        <v/>
      </c>
      <c r="Y346" s="181" t="str">
        <f>IFERROR(LOOKUP(2,1/((B_Drainage!$A$5:$A$204&lt;&gt;"")*(B_Drainage!$A$5:$A$204&lt;=$B346)*(B_Drainage!$B$5:$B$204&gt;$B346)*(B_Drainage!$H$5:$H$204&lt;&gt;"")),IF(UPPER(B_Drainage!$H$5:$H$204)="Y",1,"")),"")</f>
        <v/>
      </c>
      <c r="Z346" s="181" t="str">
        <f>IFERROR(LOOKUP(2,1/((B_Drainage!$A$5:$A$204&lt;&gt;"")*(B_Drainage!$A$5:$A$204&lt;=$B346)*(B_Drainage!$B$5:$B$204&gt;$B346)*(B_Drainage!$I$5:$I$204&lt;&gt;"")),IF(UPPER(B_Drainage!$I$5:$I$204)="Y",1,"")),"")</f>
        <v/>
      </c>
      <c r="AA346" s="181" t="str">
        <f>IFERROR(LOOKUP(2,1/((B_Drainage!$A$5:$A$204&lt;&gt;"")*(B_Drainage!$A$5:$A$204&lt;=$B346)*(B_Drainage!$B$5:$B$204&gt;$B346)*(B_Drainage!$J$5:$J$204&lt;&gt;"")),IF(UPPER(B_Drainage!$J$5:$J$204)="Y",1,"")),"")</f>
        <v/>
      </c>
      <c r="AB346" s="182" t="str">
        <f>IFERROR(LOOKUP(2,1/((B_Drainage!$A$5:$A$204&lt;&gt;"")*(B_Drainage!$A$5:$A$204&lt;=$B346)*(B_Drainage!$B$5:$B$204&gt;$B346)*(B_Drainage!$K$5:$K$204&lt;&gt;"")),IF(B_Drainage!$K$5:$K$204="-","",B_Drainage!$K$5:$K$204)),"")</f>
        <v/>
      </c>
      <c r="AC346" s="182" t="str">
        <f>IFERROR(LOOKUP(2,1/((B_Drainage!$A$5:$A$204&lt;&gt;"")*(B_Drainage!$A$5:$A$204&lt;=$B346)*(B_Drainage!$B$5:$B$204&gt;$B346)*(B_Drainage!$L$5:$L$204&lt;&gt;"")),IF(B_Drainage!$L$5:$L$204="-","",B_Drainage!$L$5:$L$204)),"")</f>
        <v/>
      </c>
      <c r="AD346" s="182" t="str">
        <f>IFERROR(LOOKUP(2,1/((D_Points!$A$5:$A$204&lt;&gt;"")*(D_Points!$A$5:$A$204&gt;=$B346)*(D_Points!$A$5:$A$204&lt;$B346+P_Interval)*(UPPER(TRIM(D_Points!$B$5:$B$204))="TURNOUT_L")*(D_Points!$H$5:$H$204&lt;&gt;"")),D_Points!$H$5:$H$204),"")</f>
        <v/>
      </c>
      <c r="AE346" s="182" t="str">
        <f>IFERROR(LOOKUP(2,1/((D_Points!$A$5:$A$204&lt;&gt;"")*(D_Points!$A$5:$A$204&gt;=$B346)*(D_Points!$A$5:$A$204&lt;$B346+P_Interval)*(UPPER(TRIM(D_Points!$B$5:$B$204))="TURNOUT_R")*(D_Points!$H$5:$H$204&lt;&gt;"")),D_Points!$H$5:$H$204),"")</f>
        <v/>
      </c>
      <c r="AF346" s="181" t="str">
        <f>IFERROR(LOOKUP(2,1/((B_Drainage!$A$5:$A$204&lt;&gt;"")*(B_Drainage!$A$5:$A$204&lt;=$B346)*(B_Drainage!$B$5:$B$204&gt;$B346)*(B_Drainage!$M$5:$M$204&lt;&gt;"")),IF(UPPER(B_Drainage!$M$5:$M$204)="Y",1,"")),"")</f>
        <v/>
      </c>
      <c r="AG346" s="181" t="str">
        <f>IFERROR(LOOKUP(2,1/((B_Drainage!$A$5:$A$204&lt;&gt;"")*(B_Drainage!$A$5:$A$204&lt;=$B346)*(B_Drainage!$B$5:$B$204&gt;$B346)*(B_Drainage!$N$5:$N$204&lt;&gt;"")),IF(UPPER(B_Drainage!$N$5:$N$204)="Y",1,"")),"")</f>
        <v/>
      </c>
      <c r="AH346" s="181" t="str">
        <f t="shared" si="40"/>
        <v/>
      </c>
      <c r="AI346" s="181" t="str">
        <f t="shared" si="41"/>
        <v/>
      </c>
      <c r="AJ346" s="181" t="str">
        <f t="shared" si="42"/>
        <v/>
      </c>
      <c r="AK346" s="181" t="str">
        <f t="shared" si="43"/>
        <v/>
      </c>
      <c r="AL346" s="181" t="str">
        <f t="shared" si="44"/>
        <v/>
      </c>
      <c r="AM346" s="181" t="str">
        <f t="shared" si="45"/>
        <v/>
      </c>
      <c r="AN346" s="181" t="str">
        <f t="shared" si="46"/>
        <v/>
      </c>
      <c r="AO346" s="192" t="str">
        <f t="shared" si="47"/>
        <v/>
      </c>
      <c r="AQ346" t="str">
        <f>IFERROR(LOOKUP(2,1/((C_Pavement!$A$5:$A$204&lt;&gt;"")*(C_Pavement!$A$5:$A$204&lt;=$B346)*(C_Pavement!$B$5:$B$204&gt;$B346)*(C_Pavement!$C$5:$C$204&lt;&gt;"")),ROW(C_Pavement!$C$5:$C$204)-4),"")</f>
        <v/>
      </c>
      <c r="AR346" t="str">
        <f>IF($AQ346="","",UPPER(TRIM(INDEX(C_Pavement!$C$5:$C$204,$AQ346))))</f>
        <v/>
      </c>
      <c r="AS346" t="str">
        <f>IF($AR346="","",IFERROR(MATCH($AR346,E_Rules!$A$5:$A$9,0),""))</f>
        <v/>
      </c>
      <c r="AT346" t="str">
        <f>IF($AQ346="","",IF(INDEX(C_Pavement!$D$5:$D$204,$AQ346)&lt;&gt;"",UPPER(TRIM(INDEX(C_Pavement!$D$5:$D$204,$AQ346))),IF($AS346="","",INDEX(E_Rules!$C$5:$C$9,$AS346))))</f>
        <v/>
      </c>
      <c r="AU346" t="str">
        <f>IF($AQ346="","",IF(INDEX(C_Pavement!$E$5:$E$204,$AQ346)&lt;&gt;"",IF(INDEX(C_Pavement!$E$5:$E$204,$AQ346)="-","",INDEX(C_Pavement!$E$5:$E$204,$AQ346)),IF($AS346="","",INDEX(E_Rules!$D$5:$D$9,$AS346))))</f>
        <v/>
      </c>
      <c r="AV346" t="str">
        <f>IF($AQ346="","",IF(INDEX(C_Pavement!$F$5:$F$204,$AQ346)&lt;&gt;"",IF(INDEX(C_Pavement!$F$5:$F$204,$AQ346)="-","",INDEX(C_Pavement!$F$5:$F$204,$AQ346)),IF($AS346="","",INDEX(E_Rules!$E$5:$E$9,$AS346))))</f>
        <v/>
      </c>
      <c r="AW346" t="str">
        <f>IF($AQ346="","",IF(INDEX(C_Pavement!$G$5:$G$204,$AQ346)&lt;&gt;"",IF(INDEX(C_Pavement!$G$5:$G$204,$AQ346)="-","",INDEX(C_Pavement!$G$5:$G$204,$AQ346)),IF($AS346="","",INDEX(E_Rules!$F$5:$F$9,$AS346))))</f>
        <v/>
      </c>
      <c r="AX346" t="str">
        <f>IF($AQ346="","",IF(INDEX(C_Pavement!$H$5:$H$204,$AQ346)&lt;&gt;"",IF(INDEX(C_Pavement!$H$5:$H$204,$AQ346)="-","",INDEX(C_Pavement!$H$5:$H$204,$AQ346)),IF($AS346="","",INDEX(E_Rules!$G$5:$G$9,$AS346))))</f>
        <v/>
      </c>
      <c r="AY346" t="str">
        <f>IF($AQ346="","",IF(INDEX(C_Pavement!$I$5:$I$204,$AQ346)&lt;&gt;"",IF(INDEX(C_Pavement!$I$5:$I$204,$AQ346)="-","",INDEX(C_Pavement!$I$5:$I$204,$AQ346)),IF($AS346="","",INDEX(E_Rules!$H$5:$H$9,$AS346))))</f>
        <v/>
      </c>
    </row>
    <row r="347" spans="1:51" ht="15.75" customHeight="1" x14ac:dyDescent="0.3">
      <c r="A347" s="189">
        <v>342</v>
      </c>
      <c r="B347" s="180">
        <v>17050</v>
      </c>
      <c r="C347" s="180" t="s">
        <v>653</v>
      </c>
      <c r="D347" s="181" t="str">
        <f>IFERROR(LOOKUP(2,1/((A_Corridor!$A$5:$A$204&lt;&gt;"")*(A_Corridor!$A$5:$A$204&lt;=$B347)*(A_Corridor!$B$5:$B$204&gt;$B347)*(A_Corridor!$C$5:$C$204&lt;&gt;"")),IF(UPPER(A_Corridor!$C$5:$C$204)="Y",1,"")),"")</f>
        <v/>
      </c>
      <c r="E347" s="181" t="str">
        <f>IFERROR(LOOKUP(2,1/((A_Corridor!$A$5:$A$204&lt;&gt;"")*(A_Corridor!$A$5:$A$204&lt;=$B347)*(A_Corridor!$B$5:$B$204&gt;$B347)*(A_Corridor!$D$5:$D$204&lt;&gt;"")),IF(A_Corridor!$D$5:$D$204="-","",UPPER(A_Corridor!$D$5:$D$204))),"")</f>
        <v/>
      </c>
      <c r="F347" s="181" t="str">
        <f>IFERROR(LOOKUP(2,1/((A_Corridor!$A$5:$A$204&lt;&gt;"")*(A_Corridor!$A$5:$A$204&lt;=$B347)*(A_Corridor!$B$5:$B$204&gt;$B347)*(A_Corridor!$E$5:$E$204&lt;&gt;"")),IF(A_Corridor!$E$5:$E$204="-","",1)),"")</f>
        <v/>
      </c>
      <c r="G347" s="182" t="str">
        <f>IFERROR(LOOKUP(2,1/((A_Corridor!$A$5:$A$204&lt;&gt;"")*(A_Corridor!$A$5:$A$204&lt;=$B347)*(A_Corridor!$B$5:$B$204&gt;$B347)*(A_Corridor!$E$5:$E$204&lt;&gt;"")),IF(A_Corridor!$E$5:$E$204="-","",A_Corridor!$E$5:$E$204)),"")</f>
        <v/>
      </c>
      <c r="H347" s="182" t="str">
        <f>IFERROR(LOOKUP(2,1/((D_Points!$A$5:$A$204&lt;&gt;"")*(D_Points!$A$5:$A$204&gt;=$B347)*(D_Points!$A$5:$A$204&lt;$B347+P_Interval)*(UPPER(TRIM(D_Points!$B$5:$B$204))="GULLY")*(D_Points!$H$5:$H$204&lt;&gt;"")),D_Points!$H$5:$H$204),"")</f>
        <v/>
      </c>
      <c r="I347" s="181" t="str">
        <f>IFERROR(LOOKUP(2,1/((A_Corridor!$A$5:$A$204&lt;&gt;"")*(A_Corridor!$A$5:$A$204&lt;=$B347)*(A_Corridor!$B$5:$B$204&gt;$B347)*(A_Corridor!$F$5:$F$204&lt;&gt;"")),IF(A_Corridor!$F$5:$F$204="-","",1)),"")</f>
        <v/>
      </c>
      <c r="J347" s="182" t="str">
        <f>IFERROR(LOOKUP(2,1/((A_Corridor!$A$5:$A$204&lt;&gt;"")*(A_Corridor!$A$5:$A$204&lt;=$B347)*(A_Corridor!$B$5:$B$204&gt;$B347)*(A_Corridor!$F$5:$F$204&lt;&gt;"")),IF(A_Corridor!$F$5:$F$204="-","",A_Corridor!$F$5:$F$204)),"")</f>
        <v/>
      </c>
      <c r="K347" s="182" t="str">
        <f>IFERROR(LOOKUP(2,1/((A_Corridor!$A$5:$A$204&lt;&gt;"")*(A_Corridor!$A$5:$A$204&lt;=$B347)*(A_Corridor!$B$5:$B$204&gt;$B347)*(A_Corridor!$G$5:$G$204&lt;&gt;"")),IF(A_Corridor!$G$5:$G$204="-","",A_Corridor!$G$5:$G$204)),"")</f>
        <v/>
      </c>
      <c r="L347" s="181" t="str">
        <f>IFERROR(LOOKUP(2,1/((A_Corridor!$A$5:$A$204&lt;&gt;"")*(A_Corridor!$A$5:$A$204&lt;=$B347)*(A_Corridor!$B$5:$B$204&gt;$B347)*(A_Corridor!$H$5:$H$204&lt;&gt;"")),IF(A_Corridor!$H$5:$H$204="-","",1)),"")</f>
        <v/>
      </c>
      <c r="M347" s="182" t="str">
        <f>IFERROR(LOOKUP(2,1/((A_Corridor!$A$5:$A$204&lt;&gt;"")*(A_Corridor!$A$5:$A$204&lt;=$B347)*(A_Corridor!$B$5:$B$204&gt;$B347)*(A_Corridor!$H$5:$H$204&lt;&gt;"")),IF(A_Corridor!$H$5:$H$204="-","",A_Corridor!$H$5:$H$204)),"")</f>
        <v/>
      </c>
      <c r="N347" s="182" t="str">
        <f>IFERROR(LOOKUP(2,1/((A_Corridor!$A$5:$A$204&lt;&gt;"")*(A_Corridor!$A$5:$A$204&lt;=$B347)*(A_Corridor!$B$5:$B$204&gt;$B347)*(A_Corridor!$I$5:$I$204&lt;&gt;"")),IF(A_Corridor!$I$5:$I$204="-","",A_Corridor!$I$5:$I$204)),"")</f>
        <v/>
      </c>
      <c r="O347" s="182" t="str">
        <f>IFERROR(LOOKUP(2,1/((D_Points!$A$5:$A$204&lt;&gt;"")*(D_Points!$A$5:$A$204&gt;=$B347)*(D_Points!$A$5:$A$204&lt;$B347+P_Interval)*(UPPER(TRIM(D_Points!$B$5:$B$204))="PITCHING")*(D_Points!$H$5:$H$204&lt;&gt;"")),D_Points!$H$5:$H$204),"")</f>
        <v/>
      </c>
      <c r="P347" s="181" t="str">
        <f>IFERROR(LOOKUP(2,1/((B_Drainage!$A$5:$A$204&lt;&gt;"")*(B_Drainage!$A$5:$A$204&lt;=$B347)*(B_Drainage!$B$5:$B$204&gt;$B347)*(B_Drainage!$C$5:$C$204&lt;&gt;"")),IF(B_Drainage!$C$5:$C$204="-","",UPPER(B_Drainage!$C$5:$C$204))),"")</f>
        <v/>
      </c>
      <c r="Q347" s="181" t="str">
        <f>IFERROR(LOOKUP(2,1/((B_Drainage!$A$5:$A$204&lt;&gt;"")*(B_Drainage!$A$5:$A$204&lt;=$B347)*(B_Drainage!$B$5:$B$204&gt;$B347)*(B_Drainage!$D$5:$D$204&lt;&gt;"")),IF(B_Drainage!$D$5:$D$204="-","",UPPER(B_Drainage!$D$5:$D$204))),"")</f>
        <v/>
      </c>
      <c r="R347" s="182" t="str">
        <f>IFERROR(LOOKUP(2,1/((D_Points!$A$5:$A$204&lt;&gt;"")*(D_Points!$A$5:$A$204&gt;=$B347)*(D_Points!$A$5:$A$204&lt;$B347+P_Interval)*(RIGHT(UPPER(TRIM(D_Points!$B$5:$B$204)),8)="_CULVERT")),IF(LEFT(UPPER(TRIM(D_Points!$B$5:$B$204)),2)="EX",1,IF(LEFT(UPPER(TRIM(D_Points!$B$5:$B$204)),2)="PR",2,3))),"")</f>
        <v/>
      </c>
      <c r="S347" s="182" t="str">
        <f>IFERROR(LOOKUP(2,1/((D_Points!$A$5:$A$204&lt;&gt;"")*(D_Points!$A$5:$A$204&gt;=$B347)*(D_Points!$A$5:$A$204&lt;$B347+P_Interval)*(RIGHT(UPPER(TRIM(D_Points!$B$5:$B$204)),7)="_BRIDGE")),IF(LEFT(UPPER(TRIM(D_Points!$B$5:$B$204)),2)="EX",1,IF(LEFT(UPPER(TRIM(D_Points!$B$5:$B$204)),2)="PR",2,2))),"")</f>
        <v/>
      </c>
      <c r="T347" s="181" t="str">
        <f>IFERROR(LOOKUP(2,1/((B_Drainage!$A$5:$A$204&lt;&gt;"")*(B_Drainage!$A$5:$A$204&lt;=$B347)*(B_Drainage!$B$5:$B$204&gt;$B347)*(B_Drainage!$E$5:$E$204&lt;&gt;"")),IF(B_Drainage!$E$5:$E$204="-","",1)),"")</f>
        <v/>
      </c>
      <c r="U347" s="181" t="str">
        <f>IFERROR(LOOKUP(2,1/((B_Drainage!$A$5:$A$204&lt;&gt;"")*(B_Drainage!$A$5:$A$204&lt;=$B347)*(B_Drainage!$B$5:$B$204&gt;$B347)*(B_Drainage!$E$5:$E$204&lt;&gt;"")),IF(B_Drainage!$E$5:$E$204="-","",B_Drainage!$E$5:$E$204)),"")</f>
        <v/>
      </c>
      <c r="V347" s="181" t="str">
        <f>IFERROR(LOOKUP(2,1/((B_Drainage!$A$5:$A$204&lt;&gt;"")*(B_Drainage!$A$5:$A$204&lt;=$B347)*(B_Drainage!$B$5:$B$204&gt;$B347)*(B_Drainage!$F$5:$F$204&lt;&gt;"")),IF(B_Drainage!$F$5:$F$204="-","",1)),"")</f>
        <v/>
      </c>
      <c r="W347" s="181" t="str">
        <f>IFERROR(LOOKUP(2,1/((B_Drainage!$A$5:$A$204&lt;&gt;"")*(B_Drainage!$A$5:$A$204&lt;=$B347)*(B_Drainage!$B$5:$B$204&gt;$B347)*(B_Drainage!$F$5:$F$204&lt;&gt;"")),IF(B_Drainage!$F$5:$F$204="-","",B_Drainage!$F$5:$F$204)),"")</f>
        <v/>
      </c>
      <c r="X347" s="181" t="str">
        <f>IFERROR(LOOKUP(2,1/((B_Drainage!$A$5:$A$204&lt;&gt;"")*(B_Drainage!$A$5:$A$204&lt;=$B347)*(B_Drainage!$B$5:$B$204&gt;$B347)*(B_Drainage!$G$5:$G$204&lt;&gt;"")),IF(UPPER(B_Drainage!$G$5:$G$204)="Y",1,"")),"")</f>
        <v/>
      </c>
      <c r="Y347" s="181" t="str">
        <f>IFERROR(LOOKUP(2,1/((B_Drainage!$A$5:$A$204&lt;&gt;"")*(B_Drainage!$A$5:$A$204&lt;=$B347)*(B_Drainage!$B$5:$B$204&gt;$B347)*(B_Drainage!$H$5:$H$204&lt;&gt;"")),IF(UPPER(B_Drainage!$H$5:$H$204)="Y",1,"")),"")</f>
        <v/>
      </c>
      <c r="Z347" s="181" t="str">
        <f>IFERROR(LOOKUP(2,1/((B_Drainage!$A$5:$A$204&lt;&gt;"")*(B_Drainage!$A$5:$A$204&lt;=$B347)*(B_Drainage!$B$5:$B$204&gt;$B347)*(B_Drainage!$I$5:$I$204&lt;&gt;"")),IF(UPPER(B_Drainage!$I$5:$I$204)="Y",1,"")),"")</f>
        <v/>
      </c>
      <c r="AA347" s="181" t="str">
        <f>IFERROR(LOOKUP(2,1/((B_Drainage!$A$5:$A$204&lt;&gt;"")*(B_Drainage!$A$5:$A$204&lt;=$B347)*(B_Drainage!$B$5:$B$204&gt;$B347)*(B_Drainage!$J$5:$J$204&lt;&gt;"")),IF(UPPER(B_Drainage!$J$5:$J$204)="Y",1,"")),"")</f>
        <v/>
      </c>
      <c r="AB347" s="182" t="str">
        <f>IFERROR(LOOKUP(2,1/((B_Drainage!$A$5:$A$204&lt;&gt;"")*(B_Drainage!$A$5:$A$204&lt;=$B347)*(B_Drainage!$B$5:$B$204&gt;$B347)*(B_Drainage!$K$5:$K$204&lt;&gt;"")),IF(B_Drainage!$K$5:$K$204="-","",B_Drainage!$K$5:$K$204)),"")</f>
        <v/>
      </c>
      <c r="AC347" s="182" t="str">
        <f>IFERROR(LOOKUP(2,1/((B_Drainage!$A$5:$A$204&lt;&gt;"")*(B_Drainage!$A$5:$A$204&lt;=$B347)*(B_Drainage!$B$5:$B$204&gt;$B347)*(B_Drainage!$L$5:$L$204&lt;&gt;"")),IF(B_Drainage!$L$5:$L$204="-","",B_Drainage!$L$5:$L$204)),"")</f>
        <v/>
      </c>
      <c r="AD347" s="182" t="str">
        <f>IFERROR(LOOKUP(2,1/((D_Points!$A$5:$A$204&lt;&gt;"")*(D_Points!$A$5:$A$204&gt;=$B347)*(D_Points!$A$5:$A$204&lt;$B347+P_Interval)*(UPPER(TRIM(D_Points!$B$5:$B$204))="TURNOUT_L")*(D_Points!$H$5:$H$204&lt;&gt;"")),D_Points!$H$5:$H$204),"")</f>
        <v/>
      </c>
      <c r="AE347" s="182" t="str">
        <f>IFERROR(LOOKUP(2,1/((D_Points!$A$5:$A$204&lt;&gt;"")*(D_Points!$A$5:$A$204&gt;=$B347)*(D_Points!$A$5:$A$204&lt;$B347+P_Interval)*(UPPER(TRIM(D_Points!$B$5:$B$204))="TURNOUT_R")*(D_Points!$H$5:$H$204&lt;&gt;"")),D_Points!$H$5:$H$204),"")</f>
        <v/>
      </c>
      <c r="AF347" s="181" t="str">
        <f>IFERROR(LOOKUP(2,1/((B_Drainage!$A$5:$A$204&lt;&gt;"")*(B_Drainage!$A$5:$A$204&lt;=$B347)*(B_Drainage!$B$5:$B$204&gt;$B347)*(B_Drainage!$M$5:$M$204&lt;&gt;"")),IF(UPPER(B_Drainage!$M$5:$M$204)="Y",1,"")),"")</f>
        <v/>
      </c>
      <c r="AG347" s="181" t="str">
        <f>IFERROR(LOOKUP(2,1/((B_Drainage!$A$5:$A$204&lt;&gt;"")*(B_Drainage!$A$5:$A$204&lt;=$B347)*(B_Drainage!$B$5:$B$204&gt;$B347)*(B_Drainage!$N$5:$N$204&lt;&gt;"")),IF(UPPER(B_Drainage!$N$5:$N$204)="Y",1,"")),"")</f>
        <v/>
      </c>
      <c r="AH347" s="181" t="str">
        <f t="shared" si="40"/>
        <v/>
      </c>
      <c r="AI347" s="181" t="str">
        <f t="shared" si="41"/>
        <v/>
      </c>
      <c r="AJ347" s="181" t="str">
        <f t="shared" si="42"/>
        <v/>
      </c>
      <c r="AK347" s="181" t="str">
        <f t="shared" si="43"/>
        <v/>
      </c>
      <c r="AL347" s="181" t="str">
        <f t="shared" si="44"/>
        <v/>
      </c>
      <c r="AM347" s="181" t="str">
        <f t="shared" si="45"/>
        <v/>
      </c>
      <c r="AN347" s="181" t="str">
        <f t="shared" si="46"/>
        <v/>
      </c>
      <c r="AO347" s="192" t="str">
        <f t="shared" si="47"/>
        <v/>
      </c>
      <c r="AQ347" t="str">
        <f>IFERROR(LOOKUP(2,1/((C_Pavement!$A$5:$A$204&lt;&gt;"")*(C_Pavement!$A$5:$A$204&lt;=$B347)*(C_Pavement!$B$5:$B$204&gt;$B347)*(C_Pavement!$C$5:$C$204&lt;&gt;"")),ROW(C_Pavement!$C$5:$C$204)-4),"")</f>
        <v/>
      </c>
      <c r="AR347" t="str">
        <f>IF($AQ347="","",UPPER(TRIM(INDEX(C_Pavement!$C$5:$C$204,$AQ347))))</f>
        <v/>
      </c>
      <c r="AS347" t="str">
        <f>IF($AR347="","",IFERROR(MATCH($AR347,E_Rules!$A$5:$A$9,0),""))</f>
        <v/>
      </c>
      <c r="AT347" t="str">
        <f>IF($AQ347="","",IF(INDEX(C_Pavement!$D$5:$D$204,$AQ347)&lt;&gt;"",UPPER(TRIM(INDEX(C_Pavement!$D$5:$D$204,$AQ347))),IF($AS347="","",INDEX(E_Rules!$C$5:$C$9,$AS347))))</f>
        <v/>
      </c>
      <c r="AU347" t="str">
        <f>IF($AQ347="","",IF(INDEX(C_Pavement!$E$5:$E$204,$AQ347)&lt;&gt;"",IF(INDEX(C_Pavement!$E$5:$E$204,$AQ347)="-","",INDEX(C_Pavement!$E$5:$E$204,$AQ347)),IF($AS347="","",INDEX(E_Rules!$D$5:$D$9,$AS347))))</f>
        <v/>
      </c>
      <c r="AV347" t="str">
        <f>IF($AQ347="","",IF(INDEX(C_Pavement!$F$5:$F$204,$AQ347)&lt;&gt;"",IF(INDEX(C_Pavement!$F$5:$F$204,$AQ347)="-","",INDEX(C_Pavement!$F$5:$F$204,$AQ347)),IF($AS347="","",INDEX(E_Rules!$E$5:$E$9,$AS347))))</f>
        <v/>
      </c>
      <c r="AW347" t="str">
        <f>IF($AQ347="","",IF(INDEX(C_Pavement!$G$5:$G$204,$AQ347)&lt;&gt;"",IF(INDEX(C_Pavement!$G$5:$G$204,$AQ347)="-","",INDEX(C_Pavement!$G$5:$G$204,$AQ347)),IF($AS347="","",INDEX(E_Rules!$F$5:$F$9,$AS347))))</f>
        <v/>
      </c>
      <c r="AX347" t="str">
        <f>IF($AQ347="","",IF(INDEX(C_Pavement!$H$5:$H$204,$AQ347)&lt;&gt;"",IF(INDEX(C_Pavement!$H$5:$H$204,$AQ347)="-","",INDEX(C_Pavement!$H$5:$H$204,$AQ347)),IF($AS347="","",INDEX(E_Rules!$G$5:$G$9,$AS347))))</f>
        <v/>
      </c>
      <c r="AY347" t="str">
        <f>IF($AQ347="","",IF(INDEX(C_Pavement!$I$5:$I$204,$AQ347)&lt;&gt;"",IF(INDEX(C_Pavement!$I$5:$I$204,$AQ347)="-","",INDEX(C_Pavement!$I$5:$I$204,$AQ347)),IF($AS347="","",INDEX(E_Rules!$H$5:$H$9,$AS347))))</f>
        <v/>
      </c>
    </row>
    <row r="348" spans="1:51" ht="15.75" customHeight="1" x14ac:dyDescent="0.3">
      <c r="A348" s="189">
        <v>343</v>
      </c>
      <c r="B348" s="180">
        <v>17100</v>
      </c>
      <c r="C348" s="180" t="s">
        <v>654</v>
      </c>
      <c r="D348" s="181" t="str">
        <f>IFERROR(LOOKUP(2,1/((A_Corridor!$A$5:$A$204&lt;&gt;"")*(A_Corridor!$A$5:$A$204&lt;=$B348)*(A_Corridor!$B$5:$B$204&gt;$B348)*(A_Corridor!$C$5:$C$204&lt;&gt;"")),IF(UPPER(A_Corridor!$C$5:$C$204)="Y",1,"")),"")</f>
        <v/>
      </c>
      <c r="E348" s="181" t="str">
        <f>IFERROR(LOOKUP(2,1/((A_Corridor!$A$5:$A$204&lt;&gt;"")*(A_Corridor!$A$5:$A$204&lt;=$B348)*(A_Corridor!$B$5:$B$204&gt;$B348)*(A_Corridor!$D$5:$D$204&lt;&gt;"")),IF(A_Corridor!$D$5:$D$204="-","",UPPER(A_Corridor!$D$5:$D$204))),"")</f>
        <v/>
      </c>
      <c r="F348" s="181" t="str">
        <f>IFERROR(LOOKUP(2,1/((A_Corridor!$A$5:$A$204&lt;&gt;"")*(A_Corridor!$A$5:$A$204&lt;=$B348)*(A_Corridor!$B$5:$B$204&gt;$B348)*(A_Corridor!$E$5:$E$204&lt;&gt;"")),IF(A_Corridor!$E$5:$E$204="-","",1)),"")</f>
        <v/>
      </c>
      <c r="G348" s="182" t="str">
        <f>IFERROR(LOOKUP(2,1/((A_Corridor!$A$5:$A$204&lt;&gt;"")*(A_Corridor!$A$5:$A$204&lt;=$B348)*(A_Corridor!$B$5:$B$204&gt;$B348)*(A_Corridor!$E$5:$E$204&lt;&gt;"")),IF(A_Corridor!$E$5:$E$204="-","",A_Corridor!$E$5:$E$204)),"")</f>
        <v/>
      </c>
      <c r="H348" s="182" t="str">
        <f>IFERROR(LOOKUP(2,1/((D_Points!$A$5:$A$204&lt;&gt;"")*(D_Points!$A$5:$A$204&gt;=$B348)*(D_Points!$A$5:$A$204&lt;$B348+P_Interval)*(UPPER(TRIM(D_Points!$B$5:$B$204))="GULLY")*(D_Points!$H$5:$H$204&lt;&gt;"")),D_Points!$H$5:$H$204),"")</f>
        <v/>
      </c>
      <c r="I348" s="181" t="str">
        <f>IFERROR(LOOKUP(2,1/((A_Corridor!$A$5:$A$204&lt;&gt;"")*(A_Corridor!$A$5:$A$204&lt;=$B348)*(A_Corridor!$B$5:$B$204&gt;$B348)*(A_Corridor!$F$5:$F$204&lt;&gt;"")),IF(A_Corridor!$F$5:$F$204="-","",1)),"")</f>
        <v/>
      </c>
      <c r="J348" s="182" t="str">
        <f>IFERROR(LOOKUP(2,1/((A_Corridor!$A$5:$A$204&lt;&gt;"")*(A_Corridor!$A$5:$A$204&lt;=$B348)*(A_Corridor!$B$5:$B$204&gt;$B348)*(A_Corridor!$F$5:$F$204&lt;&gt;"")),IF(A_Corridor!$F$5:$F$204="-","",A_Corridor!$F$5:$F$204)),"")</f>
        <v/>
      </c>
      <c r="K348" s="182" t="str">
        <f>IFERROR(LOOKUP(2,1/((A_Corridor!$A$5:$A$204&lt;&gt;"")*(A_Corridor!$A$5:$A$204&lt;=$B348)*(A_Corridor!$B$5:$B$204&gt;$B348)*(A_Corridor!$G$5:$G$204&lt;&gt;"")),IF(A_Corridor!$G$5:$G$204="-","",A_Corridor!$G$5:$G$204)),"")</f>
        <v/>
      </c>
      <c r="L348" s="181" t="str">
        <f>IFERROR(LOOKUP(2,1/((A_Corridor!$A$5:$A$204&lt;&gt;"")*(A_Corridor!$A$5:$A$204&lt;=$B348)*(A_Corridor!$B$5:$B$204&gt;$B348)*(A_Corridor!$H$5:$H$204&lt;&gt;"")),IF(A_Corridor!$H$5:$H$204="-","",1)),"")</f>
        <v/>
      </c>
      <c r="M348" s="182" t="str">
        <f>IFERROR(LOOKUP(2,1/((A_Corridor!$A$5:$A$204&lt;&gt;"")*(A_Corridor!$A$5:$A$204&lt;=$B348)*(A_Corridor!$B$5:$B$204&gt;$B348)*(A_Corridor!$H$5:$H$204&lt;&gt;"")),IF(A_Corridor!$H$5:$H$204="-","",A_Corridor!$H$5:$H$204)),"")</f>
        <v/>
      </c>
      <c r="N348" s="182" t="str">
        <f>IFERROR(LOOKUP(2,1/((A_Corridor!$A$5:$A$204&lt;&gt;"")*(A_Corridor!$A$5:$A$204&lt;=$B348)*(A_Corridor!$B$5:$B$204&gt;$B348)*(A_Corridor!$I$5:$I$204&lt;&gt;"")),IF(A_Corridor!$I$5:$I$204="-","",A_Corridor!$I$5:$I$204)),"")</f>
        <v/>
      </c>
      <c r="O348" s="182" t="str">
        <f>IFERROR(LOOKUP(2,1/((D_Points!$A$5:$A$204&lt;&gt;"")*(D_Points!$A$5:$A$204&gt;=$B348)*(D_Points!$A$5:$A$204&lt;$B348+P_Interval)*(UPPER(TRIM(D_Points!$B$5:$B$204))="PITCHING")*(D_Points!$H$5:$H$204&lt;&gt;"")),D_Points!$H$5:$H$204),"")</f>
        <v/>
      </c>
      <c r="P348" s="181" t="str">
        <f>IFERROR(LOOKUP(2,1/((B_Drainage!$A$5:$A$204&lt;&gt;"")*(B_Drainage!$A$5:$A$204&lt;=$B348)*(B_Drainage!$B$5:$B$204&gt;$B348)*(B_Drainage!$C$5:$C$204&lt;&gt;"")),IF(B_Drainage!$C$5:$C$204="-","",UPPER(B_Drainage!$C$5:$C$204))),"")</f>
        <v/>
      </c>
      <c r="Q348" s="181" t="str">
        <f>IFERROR(LOOKUP(2,1/((B_Drainage!$A$5:$A$204&lt;&gt;"")*(B_Drainage!$A$5:$A$204&lt;=$B348)*(B_Drainage!$B$5:$B$204&gt;$B348)*(B_Drainage!$D$5:$D$204&lt;&gt;"")),IF(B_Drainage!$D$5:$D$204="-","",UPPER(B_Drainage!$D$5:$D$204))),"")</f>
        <v/>
      </c>
      <c r="R348" s="182" t="str">
        <f>IFERROR(LOOKUP(2,1/((D_Points!$A$5:$A$204&lt;&gt;"")*(D_Points!$A$5:$A$204&gt;=$B348)*(D_Points!$A$5:$A$204&lt;$B348+P_Interval)*(RIGHT(UPPER(TRIM(D_Points!$B$5:$B$204)),8)="_CULVERT")),IF(LEFT(UPPER(TRIM(D_Points!$B$5:$B$204)),2)="EX",1,IF(LEFT(UPPER(TRIM(D_Points!$B$5:$B$204)),2)="PR",2,3))),"")</f>
        <v/>
      </c>
      <c r="S348" s="182" t="str">
        <f>IFERROR(LOOKUP(2,1/((D_Points!$A$5:$A$204&lt;&gt;"")*(D_Points!$A$5:$A$204&gt;=$B348)*(D_Points!$A$5:$A$204&lt;$B348+P_Interval)*(RIGHT(UPPER(TRIM(D_Points!$B$5:$B$204)),7)="_BRIDGE")),IF(LEFT(UPPER(TRIM(D_Points!$B$5:$B$204)),2)="EX",1,IF(LEFT(UPPER(TRIM(D_Points!$B$5:$B$204)),2)="PR",2,2))),"")</f>
        <v/>
      </c>
      <c r="T348" s="181" t="str">
        <f>IFERROR(LOOKUP(2,1/((B_Drainage!$A$5:$A$204&lt;&gt;"")*(B_Drainage!$A$5:$A$204&lt;=$B348)*(B_Drainage!$B$5:$B$204&gt;$B348)*(B_Drainage!$E$5:$E$204&lt;&gt;"")),IF(B_Drainage!$E$5:$E$204="-","",1)),"")</f>
        <v/>
      </c>
      <c r="U348" s="181" t="str">
        <f>IFERROR(LOOKUP(2,1/((B_Drainage!$A$5:$A$204&lt;&gt;"")*(B_Drainage!$A$5:$A$204&lt;=$B348)*(B_Drainage!$B$5:$B$204&gt;$B348)*(B_Drainage!$E$5:$E$204&lt;&gt;"")),IF(B_Drainage!$E$5:$E$204="-","",B_Drainage!$E$5:$E$204)),"")</f>
        <v/>
      </c>
      <c r="V348" s="181" t="str">
        <f>IFERROR(LOOKUP(2,1/((B_Drainage!$A$5:$A$204&lt;&gt;"")*(B_Drainage!$A$5:$A$204&lt;=$B348)*(B_Drainage!$B$5:$B$204&gt;$B348)*(B_Drainage!$F$5:$F$204&lt;&gt;"")),IF(B_Drainage!$F$5:$F$204="-","",1)),"")</f>
        <v/>
      </c>
      <c r="W348" s="181" t="str">
        <f>IFERROR(LOOKUP(2,1/((B_Drainage!$A$5:$A$204&lt;&gt;"")*(B_Drainage!$A$5:$A$204&lt;=$B348)*(B_Drainage!$B$5:$B$204&gt;$B348)*(B_Drainage!$F$5:$F$204&lt;&gt;"")),IF(B_Drainage!$F$5:$F$204="-","",B_Drainage!$F$5:$F$204)),"")</f>
        <v/>
      </c>
      <c r="X348" s="181" t="str">
        <f>IFERROR(LOOKUP(2,1/((B_Drainage!$A$5:$A$204&lt;&gt;"")*(B_Drainage!$A$5:$A$204&lt;=$B348)*(B_Drainage!$B$5:$B$204&gt;$B348)*(B_Drainage!$G$5:$G$204&lt;&gt;"")),IF(UPPER(B_Drainage!$G$5:$G$204)="Y",1,"")),"")</f>
        <v/>
      </c>
      <c r="Y348" s="181" t="str">
        <f>IFERROR(LOOKUP(2,1/((B_Drainage!$A$5:$A$204&lt;&gt;"")*(B_Drainage!$A$5:$A$204&lt;=$B348)*(B_Drainage!$B$5:$B$204&gt;$B348)*(B_Drainage!$H$5:$H$204&lt;&gt;"")),IF(UPPER(B_Drainage!$H$5:$H$204)="Y",1,"")),"")</f>
        <v/>
      </c>
      <c r="Z348" s="181" t="str">
        <f>IFERROR(LOOKUP(2,1/((B_Drainage!$A$5:$A$204&lt;&gt;"")*(B_Drainage!$A$5:$A$204&lt;=$B348)*(B_Drainage!$B$5:$B$204&gt;$B348)*(B_Drainage!$I$5:$I$204&lt;&gt;"")),IF(UPPER(B_Drainage!$I$5:$I$204)="Y",1,"")),"")</f>
        <v/>
      </c>
      <c r="AA348" s="181" t="str">
        <f>IFERROR(LOOKUP(2,1/((B_Drainage!$A$5:$A$204&lt;&gt;"")*(B_Drainage!$A$5:$A$204&lt;=$B348)*(B_Drainage!$B$5:$B$204&gt;$B348)*(B_Drainage!$J$5:$J$204&lt;&gt;"")),IF(UPPER(B_Drainage!$J$5:$J$204)="Y",1,"")),"")</f>
        <v/>
      </c>
      <c r="AB348" s="182" t="str">
        <f>IFERROR(LOOKUP(2,1/((B_Drainage!$A$5:$A$204&lt;&gt;"")*(B_Drainage!$A$5:$A$204&lt;=$B348)*(B_Drainage!$B$5:$B$204&gt;$B348)*(B_Drainage!$K$5:$K$204&lt;&gt;"")),IF(B_Drainage!$K$5:$K$204="-","",B_Drainage!$K$5:$K$204)),"")</f>
        <v/>
      </c>
      <c r="AC348" s="182" t="str">
        <f>IFERROR(LOOKUP(2,1/((B_Drainage!$A$5:$A$204&lt;&gt;"")*(B_Drainage!$A$5:$A$204&lt;=$B348)*(B_Drainage!$B$5:$B$204&gt;$B348)*(B_Drainage!$L$5:$L$204&lt;&gt;"")),IF(B_Drainage!$L$5:$L$204="-","",B_Drainage!$L$5:$L$204)),"")</f>
        <v/>
      </c>
      <c r="AD348" s="182" t="str">
        <f>IFERROR(LOOKUP(2,1/((D_Points!$A$5:$A$204&lt;&gt;"")*(D_Points!$A$5:$A$204&gt;=$B348)*(D_Points!$A$5:$A$204&lt;$B348+P_Interval)*(UPPER(TRIM(D_Points!$B$5:$B$204))="TURNOUT_L")*(D_Points!$H$5:$H$204&lt;&gt;"")),D_Points!$H$5:$H$204),"")</f>
        <v/>
      </c>
      <c r="AE348" s="182" t="str">
        <f>IFERROR(LOOKUP(2,1/((D_Points!$A$5:$A$204&lt;&gt;"")*(D_Points!$A$5:$A$204&gt;=$B348)*(D_Points!$A$5:$A$204&lt;$B348+P_Interval)*(UPPER(TRIM(D_Points!$B$5:$B$204))="TURNOUT_R")*(D_Points!$H$5:$H$204&lt;&gt;"")),D_Points!$H$5:$H$204),"")</f>
        <v/>
      </c>
      <c r="AF348" s="181" t="str">
        <f>IFERROR(LOOKUP(2,1/((B_Drainage!$A$5:$A$204&lt;&gt;"")*(B_Drainage!$A$5:$A$204&lt;=$B348)*(B_Drainage!$B$5:$B$204&gt;$B348)*(B_Drainage!$M$5:$M$204&lt;&gt;"")),IF(UPPER(B_Drainage!$M$5:$M$204)="Y",1,"")),"")</f>
        <v/>
      </c>
      <c r="AG348" s="181" t="str">
        <f>IFERROR(LOOKUP(2,1/((B_Drainage!$A$5:$A$204&lt;&gt;"")*(B_Drainage!$A$5:$A$204&lt;=$B348)*(B_Drainage!$B$5:$B$204&gt;$B348)*(B_Drainage!$N$5:$N$204&lt;&gt;"")),IF(UPPER(B_Drainage!$N$5:$N$204)="Y",1,"")),"")</f>
        <v/>
      </c>
      <c r="AH348" s="181" t="str">
        <f t="shared" si="40"/>
        <v/>
      </c>
      <c r="AI348" s="181" t="str">
        <f t="shared" si="41"/>
        <v/>
      </c>
      <c r="AJ348" s="181" t="str">
        <f t="shared" si="42"/>
        <v/>
      </c>
      <c r="AK348" s="181" t="str">
        <f t="shared" si="43"/>
        <v/>
      </c>
      <c r="AL348" s="181" t="str">
        <f t="shared" si="44"/>
        <v/>
      </c>
      <c r="AM348" s="181" t="str">
        <f t="shared" si="45"/>
        <v/>
      </c>
      <c r="AN348" s="181" t="str">
        <f t="shared" si="46"/>
        <v/>
      </c>
      <c r="AO348" s="192" t="str">
        <f t="shared" si="47"/>
        <v/>
      </c>
      <c r="AQ348" t="str">
        <f>IFERROR(LOOKUP(2,1/((C_Pavement!$A$5:$A$204&lt;&gt;"")*(C_Pavement!$A$5:$A$204&lt;=$B348)*(C_Pavement!$B$5:$B$204&gt;$B348)*(C_Pavement!$C$5:$C$204&lt;&gt;"")),ROW(C_Pavement!$C$5:$C$204)-4),"")</f>
        <v/>
      </c>
      <c r="AR348" t="str">
        <f>IF($AQ348="","",UPPER(TRIM(INDEX(C_Pavement!$C$5:$C$204,$AQ348))))</f>
        <v/>
      </c>
      <c r="AS348" t="str">
        <f>IF($AR348="","",IFERROR(MATCH($AR348,E_Rules!$A$5:$A$9,0),""))</f>
        <v/>
      </c>
      <c r="AT348" t="str">
        <f>IF($AQ348="","",IF(INDEX(C_Pavement!$D$5:$D$204,$AQ348)&lt;&gt;"",UPPER(TRIM(INDEX(C_Pavement!$D$5:$D$204,$AQ348))),IF($AS348="","",INDEX(E_Rules!$C$5:$C$9,$AS348))))</f>
        <v/>
      </c>
      <c r="AU348" t="str">
        <f>IF($AQ348="","",IF(INDEX(C_Pavement!$E$5:$E$204,$AQ348)&lt;&gt;"",IF(INDEX(C_Pavement!$E$5:$E$204,$AQ348)="-","",INDEX(C_Pavement!$E$5:$E$204,$AQ348)),IF($AS348="","",INDEX(E_Rules!$D$5:$D$9,$AS348))))</f>
        <v/>
      </c>
      <c r="AV348" t="str">
        <f>IF($AQ348="","",IF(INDEX(C_Pavement!$F$5:$F$204,$AQ348)&lt;&gt;"",IF(INDEX(C_Pavement!$F$5:$F$204,$AQ348)="-","",INDEX(C_Pavement!$F$5:$F$204,$AQ348)),IF($AS348="","",INDEX(E_Rules!$E$5:$E$9,$AS348))))</f>
        <v/>
      </c>
      <c r="AW348" t="str">
        <f>IF($AQ348="","",IF(INDEX(C_Pavement!$G$5:$G$204,$AQ348)&lt;&gt;"",IF(INDEX(C_Pavement!$G$5:$G$204,$AQ348)="-","",INDEX(C_Pavement!$G$5:$G$204,$AQ348)),IF($AS348="","",INDEX(E_Rules!$F$5:$F$9,$AS348))))</f>
        <v/>
      </c>
      <c r="AX348" t="str">
        <f>IF($AQ348="","",IF(INDEX(C_Pavement!$H$5:$H$204,$AQ348)&lt;&gt;"",IF(INDEX(C_Pavement!$H$5:$H$204,$AQ348)="-","",INDEX(C_Pavement!$H$5:$H$204,$AQ348)),IF($AS348="","",INDEX(E_Rules!$G$5:$G$9,$AS348))))</f>
        <v/>
      </c>
      <c r="AY348" t="str">
        <f>IF($AQ348="","",IF(INDEX(C_Pavement!$I$5:$I$204,$AQ348)&lt;&gt;"",IF(INDEX(C_Pavement!$I$5:$I$204,$AQ348)="-","",INDEX(C_Pavement!$I$5:$I$204,$AQ348)),IF($AS348="","",INDEX(E_Rules!$H$5:$H$9,$AS348))))</f>
        <v/>
      </c>
    </row>
    <row r="349" spans="1:51" ht="15.75" customHeight="1" x14ac:dyDescent="0.3">
      <c r="A349" s="189">
        <v>344</v>
      </c>
      <c r="B349" s="180">
        <v>17150</v>
      </c>
      <c r="C349" s="180" t="s">
        <v>655</v>
      </c>
      <c r="D349" s="181" t="str">
        <f>IFERROR(LOOKUP(2,1/((A_Corridor!$A$5:$A$204&lt;&gt;"")*(A_Corridor!$A$5:$A$204&lt;=$B349)*(A_Corridor!$B$5:$B$204&gt;$B349)*(A_Corridor!$C$5:$C$204&lt;&gt;"")),IF(UPPER(A_Corridor!$C$5:$C$204)="Y",1,"")),"")</f>
        <v/>
      </c>
      <c r="E349" s="181" t="str">
        <f>IFERROR(LOOKUP(2,1/((A_Corridor!$A$5:$A$204&lt;&gt;"")*(A_Corridor!$A$5:$A$204&lt;=$B349)*(A_Corridor!$B$5:$B$204&gt;$B349)*(A_Corridor!$D$5:$D$204&lt;&gt;"")),IF(A_Corridor!$D$5:$D$204="-","",UPPER(A_Corridor!$D$5:$D$204))),"")</f>
        <v/>
      </c>
      <c r="F349" s="181" t="str">
        <f>IFERROR(LOOKUP(2,1/((A_Corridor!$A$5:$A$204&lt;&gt;"")*(A_Corridor!$A$5:$A$204&lt;=$B349)*(A_Corridor!$B$5:$B$204&gt;$B349)*(A_Corridor!$E$5:$E$204&lt;&gt;"")),IF(A_Corridor!$E$5:$E$204="-","",1)),"")</f>
        <v/>
      </c>
      <c r="G349" s="182" t="str">
        <f>IFERROR(LOOKUP(2,1/((A_Corridor!$A$5:$A$204&lt;&gt;"")*(A_Corridor!$A$5:$A$204&lt;=$B349)*(A_Corridor!$B$5:$B$204&gt;$B349)*(A_Corridor!$E$5:$E$204&lt;&gt;"")),IF(A_Corridor!$E$5:$E$204="-","",A_Corridor!$E$5:$E$204)),"")</f>
        <v/>
      </c>
      <c r="H349" s="182" t="str">
        <f>IFERROR(LOOKUP(2,1/((D_Points!$A$5:$A$204&lt;&gt;"")*(D_Points!$A$5:$A$204&gt;=$B349)*(D_Points!$A$5:$A$204&lt;$B349+P_Interval)*(UPPER(TRIM(D_Points!$B$5:$B$204))="GULLY")*(D_Points!$H$5:$H$204&lt;&gt;"")),D_Points!$H$5:$H$204),"")</f>
        <v/>
      </c>
      <c r="I349" s="181" t="str">
        <f>IFERROR(LOOKUP(2,1/((A_Corridor!$A$5:$A$204&lt;&gt;"")*(A_Corridor!$A$5:$A$204&lt;=$B349)*(A_Corridor!$B$5:$B$204&gt;$B349)*(A_Corridor!$F$5:$F$204&lt;&gt;"")),IF(A_Corridor!$F$5:$F$204="-","",1)),"")</f>
        <v/>
      </c>
      <c r="J349" s="182" t="str">
        <f>IFERROR(LOOKUP(2,1/((A_Corridor!$A$5:$A$204&lt;&gt;"")*(A_Corridor!$A$5:$A$204&lt;=$B349)*(A_Corridor!$B$5:$B$204&gt;$B349)*(A_Corridor!$F$5:$F$204&lt;&gt;"")),IF(A_Corridor!$F$5:$F$204="-","",A_Corridor!$F$5:$F$204)),"")</f>
        <v/>
      </c>
      <c r="K349" s="182" t="str">
        <f>IFERROR(LOOKUP(2,1/((A_Corridor!$A$5:$A$204&lt;&gt;"")*(A_Corridor!$A$5:$A$204&lt;=$B349)*(A_Corridor!$B$5:$B$204&gt;$B349)*(A_Corridor!$G$5:$G$204&lt;&gt;"")),IF(A_Corridor!$G$5:$G$204="-","",A_Corridor!$G$5:$G$204)),"")</f>
        <v/>
      </c>
      <c r="L349" s="181" t="str">
        <f>IFERROR(LOOKUP(2,1/((A_Corridor!$A$5:$A$204&lt;&gt;"")*(A_Corridor!$A$5:$A$204&lt;=$B349)*(A_Corridor!$B$5:$B$204&gt;$B349)*(A_Corridor!$H$5:$H$204&lt;&gt;"")),IF(A_Corridor!$H$5:$H$204="-","",1)),"")</f>
        <v/>
      </c>
      <c r="M349" s="182" t="str">
        <f>IFERROR(LOOKUP(2,1/((A_Corridor!$A$5:$A$204&lt;&gt;"")*(A_Corridor!$A$5:$A$204&lt;=$B349)*(A_Corridor!$B$5:$B$204&gt;$B349)*(A_Corridor!$H$5:$H$204&lt;&gt;"")),IF(A_Corridor!$H$5:$H$204="-","",A_Corridor!$H$5:$H$204)),"")</f>
        <v/>
      </c>
      <c r="N349" s="182" t="str">
        <f>IFERROR(LOOKUP(2,1/((A_Corridor!$A$5:$A$204&lt;&gt;"")*(A_Corridor!$A$5:$A$204&lt;=$B349)*(A_Corridor!$B$5:$B$204&gt;$B349)*(A_Corridor!$I$5:$I$204&lt;&gt;"")),IF(A_Corridor!$I$5:$I$204="-","",A_Corridor!$I$5:$I$204)),"")</f>
        <v/>
      </c>
      <c r="O349" s="182" t="str">
        <f>IFERROR(LOOKUP(2,1/((D_Points!$A$5:$A$204&lt;&gt;"")*(D_Points!$A$5:$A$204&gt;=$B349)*(D_Points!$A$5:$A$204&lt;$B349+P_Interval)*(UPPER(TRIM(D_Points!$B$5:$B$204))="PITCHING")*(D_Points!$H$5:$H$204&lt;&gt;"")),D_Points!$H$5:$H$204),"")</f>
        <v/>
      </c>
      <c r="P349" s="181" t="str">
        <f>IFERROR(LOOKUP(2,1/((B_Drainage!$A$5:$A$204&lt;&gt;"")*(B_Drainage!$A$5:$A$204&lt;=$B349)*(B_Drainage!$B$5:$B$204&gt;$B349)*(B_Drainage!$C$5:$C$204&lt;&gt;"")),IF(B_Drainage!$C$5:$C$204="-","",UPPER(B_Drainage!$C$5:$C$204))),"")</f>
        <v/>
      </c>
      <c r="Q349" s="181" t="str">
        <f>IFERROR(LOOKUP(2,1/((B_Drainage!$A$5:$A$204&lt;&gt;"")*(B_Drainage!$A$5:$A$204&lt;=$B349)*(B_Drainage!$B$5:$B$204&gt;$B349)*(B_Drainage!$D$5:$D$204&lt;&gt;"")),IF(B_Drainage!$D$5:$D$204="-","",UPPER(B_Drainage!$D$5:$D$204))),"")</f>
        <v/>
      </c>
      <c r="R349" s="182" t="str">
        <f>IFERROR(LOOKUP(2,1/((D_Points!$A$5:$A$204&lt;&gt;"")*(D_Points!$A$5:$A$204&gt;=$B349)*(D_Points!$A$5:$A$204&lt;$B349+P_Interval)*(RIGHT(UPPER(TRIM(D_Points!$B$5:$B$204)),8)="_CULVERT")),IF(LEFT(UPPER(TRIM(D_Points!$B$5:$B$204)),2)="EX",1,IF(LEFT(UPPER(TRIM(D_Points!$B$5:$B$204)),2)="PR",2,3))),"")</f>
        <v/>
      </c>
      <c r="S349" s="182" t="str">
        <f>IFERROR(LOOKUP(2,1/((D_Points!$A$5:$A$204&lt;&gt;"")*(D_Points!$A$5:$A$204&gt;=$B349)*(D_Points!$A$5:$A$204&lt;$B349+P_Interval)*(RIGHT(UPPER(TRIM(D_Points!$B$5:$B$204)),7)="_BRIDGE")),IF(LEFT(UPPER(TRIM(D_Points!$B$5:$B$204)),2)="EX",1,IF(LEFT(UPPER(TRIM(D_Points!$B$5:$B$204)),2)="PR",2,2))),"")</f>
        <v/>
      </c>
      <c r="T349" s="181" t="str">
        <f>IFERROR(LOOKUP(2,1/((B_Drainage!$A$5:$A$204&lt;&gt;"")*(B_Drainage!$A$5:$A$204&lt;=$B349)*(B_Drainage!$B$5:$B$204&gt;$B349)*(B_Drainage!$E$5:$E$204&lt;&gt;"")),IF(B_Drainage!$E$5:$E$204="-","",1)),"")</f>
        <v/>
      </c>
      <c r="U349" s="181" t="str">
        <f>IFERROR(LOOKUP(2,1/((B_Drainage!$A$5:$A$204&lt;&gt;"")*(B_Drainage!$A$5:$A$204&lt;=$B349)*(B_Drainage!$B$5:$B$204&gt;$B349)*(B_Drainage!$E$5:$E$204&lt;&gt;"")),IF(B_Drainage!$E$5:$E$204="-","",B_Drainage!$E$5:$E$204)),"")</f>
        <v/>
      </c>
      <c r="V349" s="181" t="str">
        <f>IFERROR(LOOKUP(2,1/((B_Drainage!$A$5:$A$204&lt;&gt;"")*(B_Drainage!$A$5:$A$204&lt;=$B349)*(B_Drainage!$B$5:$B$204&gt;$B349)*(B_Drainage!$F$5:$F$204&lt;&gt;"")),IF(B_Drainage!$F$5:$F$204="-","",1)),"")</f>
        <v/>
      </c>
      <c r="W349" s="181" t="str">
        <f>IFERROR(LOOKUP(2,1/((B_Drainage!$A$5:$A$204&lt;&gt;"")*(B_Drainage!$A$5:$A$204&lt;=$B349)*(B_Drainage!$B$5:$B$204&gt;$B349)*(B_Drainage!$F$5:$F$204&lt;&gt;"")),IF(B_Drainage!$F$5:$F$204="-","",B_Drainage!$F$5:$F$204)),"")</f>
        <v/>
      </c>
      <c r="X349" s="181" t="str">
        <f>IFERROR(LOOKUP(2,1/((B_Drainage!$A$5:$A$204&lt;&gt;"")*(B_Drainage!$A$5:$A$204&lt;=$B349)*(B_Drainage!$B$5:$B$204&gt;$B349)*(B_Drainage!$G$5:$G$204&lt;&gt;"")),IF(UPPER(B_Drainage!$G$5:$G$204)="Y",1,"")),"")</f>
        <v/>
      </c>
      <c r="Y349" s="181" t="str">
        <f>IFERROR(LOOKUP(2,1/((B_Drainage!$A$5:$A$204&lt;&gt;"")*(B_Drainage!$A$5:$A$204&lt;=$B349)*(B_Drainage!$B$5:$B$204&gt;$B349)*(B_Drainage!$H$5:$H$204&lt;&gt;"")),IF(UPPER(B_Drainage!$H$5:$H$204)="Y",1,"")),"")</f>
        <v/>
      </c>
      <c r="Z349" s="181" t="str">
        <f>IFERROR(LOOKUP(2,1/((B_Drainage!$A$5:$A$204&lt;&gt;"")*(B_Drainage!$A$5:$A$204&lt;=$B349)*(B_Drainage!$B$5:$B$204&gt;$B349)*(B_Drainage!$I$5:$I$204&lt;&gt;"")),IF(UPPER(B_Drainage!$I$5:$I$204)="Y",1,"")),"")</f>
        <v/>
      </c>
      <c r="AA349" s="181" t="str">
        <f>IFERROR(LOOKUP(2,1/((B_Drainage!$A$5:$A$204&lt;&gt;"")*(B_Drainage!$A$5:$A$204&lt;=$B349)*(B_Drainage!$B$5:$B$204&gt;$B349)*(B_Drainage!$J$5:$J$204&lt;&gt;"")),IF(UPPER(B_Drainage!$J$5:$J$204)="Y",1,"")),"")</f>
        <v/>
      </c>
      <c r="AB349" s="182" t="str">
        <f>IFERROR(LOOKUP(2,1/((B_Drainage!$A$5:$A$204&lt;&gt;"")*(B_Drainage!$A$5:$A$204&lt;=$B349)*(B_Drainage!$B$5:$B$204&gt;$B349)*(B_Drainage!$K$5:$K$204&lt;&gt;"")),IF(B_Drainage!$K$5:$K$204="-","",B_Drainage!$K$5:$K$204)),"")</f>
        <v/>
      </c>
      <c r="AC349" s="182" t="str">
        <f>IFERROR(LOOKUP(2,1/((B_Drainage!$A$5:$A$204&lt;&gt;"")*(B_Drainage!$A$5:$A$204&lt;=$B349)*(B_Drainage!$B$5:$B$204&gt;$B349)*(B_Drainage!$L$5:$L$204&lt;&gt;"")),IF(B_Drainage!$L$5:$L$204="-","",B_Drainage!$L$5:$L$204)),"")</f>
        <v/>
      </c>
      <c r="AD349" s="182" t="str">
        <f>IFERROR(LOOKUP(2,1/((D_Points!$A$5:$A$204&lt;&gt;"")*(D_Points!$A$5:$A$204&gt;=$B349)*(D_Points!$A$5:$A$204&lt;$B349+P_Interval)*(UPPER(TRIM(D_Points!$B$5:$B$204))="TURNOUT_L")*(D_Points!$H$5:$H$204&lt;&gt;"")),D_Points!$H$5:$H$204),"")</f>
        <v/>
      </c>
      <c r="AE349" s="182" t="str">
        <f>IFERROR(LOOKUP(2,1/((D_Points!$A$5:$A$204&lt;&gt;"")*(D_Points!$A$5:$A$204&gt;=$B349)*(D_Points!$A$5:$A$204&lt;$B349+P_Interval)*(UPPER(TRIM(D_Points!$B$5:$B$204))="TURNOUT_R")*(D_Points!$H$5:$H$204&lt;&gt;"")),D_Points!$H$5:$H$204),"")</f>
        <v/>
      </c>
      <c r="AF349" s="181" t="str">
        <f>IFERROR(LOOKUP(2,1/((B_Drainage!$A$5:$A$204&lt;&gt;"")*(B_Drainage!$A$5:$A$204&lt;=$B349)*(B_Drainage!$B$5:$B$204&gt;$B349)*(B_Drainage!$M$5:$M$204&lt;&gt;"")),IF(UPPER(B_Drainage!$M$5:$M$204)="Y",1,"")),"")</f>
        <v/>
      </c>
      <c r="AG349" s="181" t="str">
        <f>IFERROR(LOOKUP(2,1/((B_Drainage!$A$5:$A$204&lt;&gt;"")*(B_Drainage!$A$5:$A$204&lt;=$B349)*(B_Drainage!$B$5:$B$204&gt;$B349)*(B_Drainage!$N$5:$N$204&lt;&gt;"")),IF(UPPER(B_Drainage!$N$5:$N$204)="Y",1,"")),"")</f>
        <v/>
      </c>
      <c r="AH349" s="181" t="str">
        <f t="shared" si="40"/>
        <v/>
      </c>
      <c r="AI349" s="181" t="str">
        <f t="shared" si="41"/>
        <v/>
      </c>
      <c r="AJ349" s="181" t="str">
        <f t="shared" si="42"/>
        <v/>
      </c>
      <c r="AK349" s="181" t="str">
        <f t="shared" si="43"/>
        <v/>
      </c>
      <c r="AL349" s="181" t="str">
        <f t="shared" si="44"/>
        <v/>
      </c>
      <c r="AM349" s="181" t="str">
        <f t="shared" si="45"/>
        <v/>
      </c>
      <c r="AN349" s="181" t="str">
        <f t="shared" si="46"/>
        <v/>
      </c>
      <c r="AO349" s="192" t="str">
        <f t="shared" si="47"/>
        <v/>
      </c>
      <c r="AQ349" t="str">
        <f>IFERROR(LOOKUP(2,1/((C_Pavement!$A$5:$A$204&lt;&gt;"")*(C_Pavement!$A$5:$A$204&lt;=$B349)*(C_Pavement!$B$5:$B$204&gt;$B349)*(C_Pavement!$C$5:$C$204&lt;&gt;"")),ROW(C_Pavement!$C$5:$C$204)-4),"")</f>
        <v/>
      </c>
      <c r="AR349" t="str">
        <f>IF($AQ349="","",UPPER(TRIM(INDEX(C_Pavement!$C$5:$C$204,$AQ349))))</f>
        <v/>
      </c>
      <c r="AS349" t="str">
        <f>IF($AR349="","",IFERROR(MATCH($AR349,E_Rules!$A$5:$A$9,0),""))</f>
        <v/>
      </c>
      <c r="AT349" t="str">
        <f>IF($AQ349="","",IF(INDEX(C_Pavement!$D$5:$D$204,$AQ349)&lt;&gt;"",UPPER(TRIM(INDEX(C_Pavement!$D$5:$D$204,$AQ349))),IF($AS349="","",INDEX(E_Rules!$C$5:$C$9,$AS349))))</f>
        <v/>
      </c>
      <c r="AU349" t="str">
        <f>IF($AQ349="","",IF(INDEX(C_Pavement!$E$5:$E$204,$AQ349)&lt;&gt;"",IF(INDEX(C_Pavement!$E$5:$E$204,$AQ349)="-","",INDEX(C_Pavement!$E$5:$E$204,$AQ349)),IF($AS349="","",INDEX(E_Rules!$D$5:$D$9,$AS349))))</f>
        <v/>
      </c>
      <c r="AV349" t="str">
        <f>IF($AQ349="","",IF(INDEX(C_Pavement!$F$5:$F$204,$AQ349)&lt;&gt;"",IF(INDEX(C_Pavement!$F$5:$F$204,$AQ349)="-","",INDEX(C_Pavement!$F$5:$F$204,$AQ349)),IF($AS349="","",INDEX(E_Rules!$E$5:$E$9,$AS349))))</f>
        <v/>
      </c>
      <c r="AW349" t="str">
        <f>IF($AQ349="","",IF(INDEX(C_Pavement!$G$5:$G$204,$AQ349)&lt;&gt;"",IF(INDEX(C_Pavement!$G$5:$G$204,$AQ349)="-","",INDEX(C_Pavement!$G$5:$G$204,$AQ349)),IF($AS349="","",INDEX(E_Rules!$F$5:$F$9,$AS349))))</f>
        <v/>
      </c>
      <c r="AX349" t="str">
        <f>IF($AQ349="","",IF(INDEX(C_Pavement!$H$5:$H$204,$AQ349)&lt;&gt;"",IF(INDEX(C_Pavement!$H$5:$H$204,$AQ349)="-","",INDEX(C_Pavement!$H$5:$H$204,$AQ349)),IF($AS349="","",INDEX(E_Rules!$G$5:$G$9,$AS349))))</f>
        <v/>
      </c>
      <c r="AY349" t="str">
        <f>IF($AQ349="","",IF(INDEX(C_Pavement!$I$5:$I$204,$AQ349)&lt;&gt;"",IF(INDEX(C_Pavement!$I$5:$I$204,$AQ349)="-","",INDEX(C_Pavement!$I$5:$I$204,$AQ349)),IF($AS349="","",INDEX(E_Rules!$H$5:$H$9,$AS349))))</f>
        <v/>
      </c>
    </row>
    <row r="350" spans="1:51" ht="15.75" customHeight="1" x14ac:dyDescent="0.3">
      <c r="A350" s="189">
        <v>345</v>
      </c>
      <c r="B350" s="180">
        <v>17200</v>
      </c>
      <c r="C350" s="180" t="s">
        <v>656</v>
      </c>
      <c r="D350" s="181" t="str">
        <f>IFERROR(LOOKUP(2,1/((A_Corridor!$A$5:$A$204&lt;&gt;"")*(A_Corridor!$A$5:$A$204&lt;=$B350)*(A_Corridor!$B$5:$B$204&gt;$B350)*(A_Corridor!$C$5:$C$204&lt;&gt;"")),IF(UPPER(A_Corridor!$C$5:$C$204)="Y",1,"")),"")</f>
        <v/>
      </c>
      <c r="E350" s="181" t="str">
        <f>IFERROR(LOOKUP(2,1/((A_Corridor!$A$5:$A$204&lt;&gt;"")*(A_Corridor!$A$5:$A$204&lt;=$B350)*(A_Corridor!$B$5:$B$204&gt;$B350)*(A_Corridor!$D$5:$D$204&lt;&gt;"")),IF(A_Corridor!$D$5:$D$204="-","",UPPER(A_Corridor!$D$5:$D$204))),"")</f>
        <v/>
      </c>
      <c r="F350" s="181" t="str">
        <f>IFERROR(LOOKUP(2,1/((A_Corridor!$A$5:$A$204&lt;&gt;"")*(A_Corridor!$A$5:$A$204&lt;=$B350)*(A_Corridor!$B$5:$B$204&gt;$B350)*(A_Corridor!$E$5:$E$204&lt;&gt;"")),IF(A_Corridor!$E$5:$E$204="-","",1)),"")</f>
        <v/>
      </c>
      <c r="G350" s="182" t="str">
        <f>IFERROR(LOOKUP(2,1/((A_Corridor!$A$5:$A$204&lt;&gt;"")*(A_Corridor!$A$5:$A$204&lt;=$B350)*(A_Corridor!$B$5:$B$204&gt;$B350)*(A_Corridor!$E$5:$E$204&lt;&gt;"")),IF(A_Corridor!$E$5:$E$204="-","",A_Corridor!$E$5:$E$204)),"")</f>
        <v/>
      </c>
      <c r="H350" s="182" t="str">
        <f>IFERROR(LOOKUP(2,1/((D_Points!$A$5:$A$204&lt;&gt;"")*(D_Points!$A$5:$A$204&gt;=$B350)*(D_Points!$A$5:$A$204&lt;$B350+P_Interval)*(UPPER(TRIM(D_Points!$B$5:$B$204))="GULLY")*(D_Points!$H$5:$H$204&lt;&gt;"")),D_Points!$H$5:$H$204),"")</f>
        <v/>
      </c>
      <c r="I350" s="181" t="str">
        <f>IFERROR(LOOKUP(2,1/((A_Corridor!$A$5:$A$204&lt;&gt;"")*(A_Corridor!$A$5:$A$204&lt;=$B350)*(A_Corridor!$B$5:$B$204&gt;$B350)*(A_Corridor!$F$5:$F$204&lt;&gt;"")),IF(A_Corridor!$F$5:$F$204="-","",1)),"")</f>
        <v/>
      </c>
      <c r="J350" s="182" t="str">
        <f>IFERROR(LOOKUP(2,1/((A_Corridor!$A$5:$A$204&lt;&gt;"")*(A_Corridor!$A$5:$A$204&lt;=$B350)*(A_Corridor!$B$5:$B$204&gt;$B350)*(A_Corridor!$F$5:$F$204&lt;&gt;"")),IF(A_Corridor!$F$5:$F$204="-","",A_Corridor!$F$5:$F$204)),"")</f>
        <v/>
      </c>
      <c r="K350" s="182" t="str">
        <f>IFERROR(LOOKUP(2,1/((A_Corridor!$A$5:$A$204&lt;&gt;"")*(A_Corridor!$A$5:$A$204&lt;=$B350)*(A_Corridor!$B$5:$B$204&gt;$B350)*(A_Corridor!$G$5:$G$204&lt;&gt;"")),IF(A_Corridor!$G$5:$G$204="-","",A_Corridor!$G$5:$G$204)),"")</f>
        <v/>
      </c>
      <c r="L350" s="181" t="str">
        <f>IFERROR(LOOKUP(2,1/((A_Corridor!$A$5:$A$204&lt;&gt;"")*(A_Corridor!$A$5:$A$204&lt;=$B350)*(A_Corridor!$B$5:$B$204&gt;$B350)*(A_Corridor!$H$5:$H$204&lt;&gt;"")),IF(A_Corridor!$H$5:$H$204="-","",1)),"")</f>
        <v/>
      </c>
      <c r="M350" s="182" t="str">
        <f>IFERROR(LOOKUP(2,1/((A_Corridor!$A$5:$A$204&lt;&gt;"")*(A_Corridor!$A$5:$A$204&lt;=$B350)*(A_Corridor!$B$5:$B$204&gt;$B350)*(A_Corridor!$H$5:$H$204&lt;&gt;"")),IF(A_Corridor!$H$5:$H$204="-","",A_Corridor!$H$5:$H$204)),"")</f>
        <v/>
      </c>
      <c r="N350" s="182" t="str">
        <f>IFERROR(LOOKUP(2,1/((A_Corridor!$A$5:$A$204&lt;&gt;"")*(A_Corridor!$A$5:$A$204&lt;=$B350)*(A_Corridor!$B$5:$B$204&gt;$B350)*(A_Corridor!$I$5:$I$204&lt;&gt;"")),IF(A_Corridor!$I$5:$I$204="-","",A_Corridor!$I$5:$I$204)),"")</f>
        <v/>
      </c>
      <c r="O350" s="182" t="str">
        <f>IFERROR(LOOKUP(2,1/((D_Points!$A$5:$A$204&lt;&gt;"")*(D_Points!$A$5:$A$204&gt;=$B350)*(D_Points!$A$5:$A$204&lt;$B350+P_Interval)*(UPPER(TRIM(D_Points!$B$5:$B$204))="PITCHING")*(D_Points!$H$5:$H$204&lt;&gt;"")),D_Points!$H$5:$H$204),"")</f>
        <v/>
      </c>
      <c r="P350" s="181" t="str">
        <f>IFERROR(LOOKUP(2,1/((B_Drainage!$A$5:$A$204&lt;&gt;"")*(B_Drainage!$A$5:$A$204&lt;=$B350)*(B_Drainage!$B$5:$B$204&gt;$B350)*(B_Drainage!$C$5:$C$204&lt;&gt;"")),IF(B_Drainage!$C$5:$C$204="-","",UPPER(B_Drainage!$C$5:$C$204))),"")</f>
        <v/>
      </c>
      <c r="Q350" s="181" t="str">
        <f>IFERROR(LOOKUP(2,1/((B_Drainage!$A$5:$A$204&lt;&gt;"")*(B_Drainage!$A$5:$A$204&lt;=$B350)*(B_Drainage!$B$5:$B$204&gt;$B350)*(B_Drainage!$D$5:$D$204&lt;&gt;"")),IF(B_Drainage!$D$5:$D$204="-","",UPPER(B_Drainage!$D$5:$D$204))),"")</f>
        <v/>
      </c>
      <c r="R350" s="182" t="str">
        <f>IFERROR(LOOKUP(2,1/((D_Points!$A$5:$A$204&lt;&gt;"")*(D_Points!$A$5:$A$204&gt;=$B350)*(D_Points!$A$5:$A$204&lt;$B350+P_Interval)*(RIGHT(UPPER(TRIM(D_Points!$B$5:$B$204)),8)="_CULVERT")),IF(LEFT(UPPER(TRIM(D_Points!$B$5:$B$204)),2)="EX",1,IF(LEFT(UPPER(TRIM(D_Points!$B$5:$B$204)),2)="PR",2,3))),"")</f>
        <v/>
      </c>
      <c r="S350" s="182" t="str">
        <f>IFERROR(LOOKUP(2,1/((D_Points!$A$5:$A$204&lt;&gt;"")*(D_Points!$A$5:$A$204&gt;=$B350)*(D_Points!$A$5:$A$204&lt;$B350+P_Interval)*(RIGHT(UPPER(TRIM(D_Points!$B$5:$B$204)),7)="_BRIDGE")),IF(LEFT(UPPER(TRIM(D_Points!$B$5:$B$204)),2)="EX",1,IF(LEFT(UPPER(TRIM(D_Points!$B$5:$B$204)),2)="PR",2,2))),"")</f>
        <v/>
      </c>
      <c r="T350" s="181" t="str">
        <f>IFERROR(LOOKUP(2,1/((B_Drainage!$A$5:$A$204&lt;&gt;"")*(B_Drainage!$A$5:$A$204&lt;=$B350)*(B_Drainage!$B$5:$B$204&gt;$B350)*(B_Drainage!$E$5:$E$204&lt;&gt;"")),IF(B_Drainage!$E$5:$E$204="-","",1)),"")</f>
        <v/>
      </c>
      <c r="U350" s="181" t="str">
        <f>IFERROR(LOOKUP(2,1/((B_Drainage!$A$5:$A$204&lt;&gt;"")*(B_Drainage!$A$5:$A$204&lt;=$B350)*(B_Drainage!$B$5:$B$204&gt;$B350)*(B_Drainage!$E$5:$E$204&lt;&gt;"")),IF(B_Drainage!$E$5:$E$204="-","",B_Drainage!$E$5:$E$204)),"")</f>
        <v/>
      </c>
      <c r="V350" s="181" t="str">
        <f>IFERROR(LOOKUP(2,1/((B_Drainage!$A$5:$A$204&lt;&gt;"")*(B_Drainage!$A$5:$A$204&lt;=$B350)*(B_Drainage!$B$5:$B$204&gt;$B350)*(B_Drainage!$F$5:$F$204&lt;&gt;"")),IF(B_Drainage!$F$5:$F$204="-","",1)),"")</f>
        <v/>
      </c>
      <c r="W350" s="181" t="str">
        <f>IFERROR(LOOKUP(2,1/((B_Drainage!$A$5:$A$204&lt;&gt;"")*(B_Drainage!$A$5:$A$204&lt;=$B350)*(B_Drainage!$B$5:$B$204&gt;$B350)*(B_Drainage!$F$5:$F$204&lt;&gt;"")),IF(B_Drainage!$F$5:$F$204="-","",B_Drainage!$F$5:$F$204)),"")</f>
        <v/>
      </c>
      <c r="X350" s="181" t="str">
        <f>IFERROR(LOOKUP(2,1/((B_Drainage!$A$5:$A$204&lt;&gt;"")*(B_Drainage!$A$5:$A$204&lt;=$B350)*(B_Drainage!$B$5:$B$204&gt;$B350)*(B_Drainage!$G$5:$G$204&lt;&gt;"")),IF(UPPER(B_Drainage!$G$5:$G$204)="Y",1,"")),"")</f>
        <v/>
      </c>
      <c r="Y350" s="181" t="str">
        <f>IFERROR(LOOKUP(2,1/((B_Drainage!$A$5:$A$204&lt;&gt;"")*(B_Drainage!$A$5:$A$204&lt;=$B350)*(B_Drainage!$B$5:$B$204&gt;$B350)*(B_Drainage!$H$5:$H$204&lt;&gt;"")),IF(UPPER(B_Drainage!$H$5:$H$204)="Y",1,"")),"")</f>
        <v/>
      </c>
      <c r="Z350" s="181" t="str">
        <f>IFERROR(LOOKUP(2,1/((B_Drainage!$A$5:$A$204&lt;&gt;"")*(B_Drainage!$A$5:$A$204&lt;=$B350)*(B_Drainage!$B$5:$B$204&gt;$B350)*(B_Drainage!$I$5:$I$204&lt;&gt;"")),IF(UPPER(B_Drainage!$I$5:$I$204)="Y",1,"")),"")</f>
        <v/>
      </c>
      <c r="AA350" s="181" t="str">
        <f>IFERROR(LOOKUP(2,1/((B_Drainage!$A$5:$A$204&lt;&gt;"")*(B_Drainage!$A$5:$A$204&lt;=$B350)*(B_Drainage!$B$5:$B$204&gt;$B350)*(B_Drainage!$J$5:$J$204&lt;&gt;"")),IF(UPPER(B_Drainage!$J$5:$J$204)="Y",1,"")),"")</f>
        <v/>
      </c>
      <c r="AB350" s="182" t="str">
        <f>IFERROR(LOOKUP(2,1/((B_Drainage!$A$5:$A$204&lt;&gt;"")*(B_Drainage!$A$5:$A$204&lt;=$B350)*(B_Drainage!$B$5:$B$204&gt;$B350)*(B_Drainage!$K$5:$K$204&lt;&gt;"")),IF(B_Drainage!$K$5:$K$204="-","",B_Drainage!$K$5:$K$204)),"")</f>
        <v/>
      </c>
      <c r="AC350" s="182" t="str">
        <f>IFERROR(LOOKUP(2,1/((B_Drainage!$A$5:$A$204&lt;&gt;"")*(B_Drainage!$A$5:$A$204&lt;=$B350)*(B_Drainage!$B$5:$B$204&gt;$B350)*(B_Drainage!$L$5:$L$204&lt;&gt;"")),IF(B_Drainage!$L$5:$L$204="-","",B_Drainage!$L$5:$L$204)),"")</f>
        <v/>
      </c>
      <c r="AD350" s="182" t="str">
        <f>IFERROR(LOOKUP(2,1/((D_Points!$A$5:$A$204&lt;&gt;"")*(D_Points!$A$5:$A$204&gt;=$B350)*(D_Points!$A$5:$A$204&lt;$B350+P_Interval)*(UPPER(TRIM(D_Points!$B$5:$B$204))="TURNOUT_L")*(D_Points!$H$5:$H$204&lt;&gt;"")),D_Points!$H$5:$H$204),"")</f>
        <v/>
      </c>
      <c r="AE350" s="182" t="str">
        <f>IFERROR(LOOKUP(2,1/((D_Points!$A$5:$A$204&lt;&gt;"")*(D_Points!$A$5:$A$204&gt;=$B350)*(D_Points!$A$5:$A$204&lt;$B350+P_Interval)*(UPPER(TRIM(D_Points!$B$5:$B$204))="TURNOUT_R")*(D_Points!$H$5:$H$204&lt;&gt;"")),D_Points!$H$5:$H$204),"")</f>
        <v/>
      </c>
      <c r="AF350" s="181" t="str">
        <f>IFERROR(LOOKUP(2,1/((B_Drainage!$A$5:$A$204&lt;&gt;"")*(B_Drainage!$A$5:$A$204&lt;=$B350)*(B_Drainage!$B$5:$B$204&gt;$B350)*(B_Drainage!$M$5:$M$204&lt;&gt;"")),IF(UPPER(B_Drainage!$M$5:$M$204)="Y",1,"")),"")</f>
        <v/>
      </c>
      <c r="AG350" s="181" t="str">
        <f>IFERROR(LOOKUP(2,1/((B_Drainage!$A$5:$A$204&lt;&gt;"")*(B_Drainage!$A$5:$A$204&lt;=$B350)*(B_Drainage!$B$5:$B$204&gt;$B350)*(B_Drainage!$N$5:$N$204&lt;&gt;"")),IF(UPPER(B_Drainage!$N$5:$N$204)="Y",1,"")),"")</f>
        <v/>
      </c>
      <c r="AH350" s="181" t="str">
        <f t="shared" si="40"/>
        <v/>
      </c>
      <c r="AI350" s="181" t="str">
        <f t="shared" si="41"/>
        <v/>
      </c>
      <c r="AJ350" s="181" t="str">
        <f t="shared" si="42"/>
        <v/>
      </c>
      <c r="AK350" s="181" t="str">
        <f t="shared" si="43"/>
        <v/>
      </c>
      <c r="AL350" s="181" t="str">
        <f t="shared" si="44"/>
        <v/>
      </c>
      <c r="AM350" s="181" t="str">
        <f t="shared" si="45"/>
        <v/>
      </c>
      <c r="AN350" s="181" t="str">
        <f t="shared" si="46"/>
        <v/>
      </c>
      <c r="AO350" s="192" t="str">
        <f t="shared" si="47"/>
        <v/>
      </c>
      <c r="AQ350" t="str">
        <f>IFERROR(LOOKUP(2,1/((C_Pavement!$A$5:$A$204&lt;&gt;"")*(C_Pavement!$A$5:$A$204&lt;=$B350)*(C_Pavement!$B$5:$B$204&gt;$B350)*(C_Pavement!$C$5:$C$204&lt;&gt;"")),ROW(C_Pavement!$C$5:$C$204)-4),"")</f>
        <v/>
      </c>
      <c r="AR350" t="str">
        <f>IF($AQ350="","",UPPER(TRIM(INDEX(C_Pavement!$C$5:$C$204,$AQ350))))</f>
        <v/>
      </c>
      <c r="AS350" t="str">
        <f>IF($AR350="","",IFERROR(MATCH($AR350,E_Rules!$A$5:$A$9,0),""))</f>
        <v/>
      </c>
      <c r="AT350" t="str">
        <f>IF($AQ350="","",IF(INDEX(C_Pavement!$D$5:$D$204,$AQ350)&lt;&gt;"",UPPER(TRIM(INDEX(C_Pavement!$D$5:$D$204,$AQ350))),IF($AS350="","",INDEX(E_Rules!$C$5:$C$9,$AS350))))</f>
        <v/>
      </c>
      <c r="AU350" t="str">
        <f>IF($AQ350="","",IF(INDEX(C_Pavement!$E$5:$E$204,$AQ350)&lt;&gt;"",IF(INDEX(C_Pavement!$E$5:$E$204,$AQ350)="-","",INDEX(C_Pavement!$E$5:$E$204,$AQ350)),IF($AS350="","",INDEX(E_Rules!$D$5:$D$9,$AS350))))</f>
        <v/>
      </c>
      <c r="AV350" t="str">
        <f>IF($AQ350="","",IF(INDEX(C_Pavement!$F$5:$F$204,$AQ350)&lt;&gt;"",IF(INDEX(C_Pavement!$F$5:$F$204,$AQ350)="-","",INDEX(C_Pavement!$F$5:$F$204,$AQ350)),IF($AS350="","",INDEX(E_Rules!$E$5:$E$9,$AS350))))</f>
        <v/>
      </c>
      <c r="AW350" t="str">
        <f>IF($AQ350="","",IF(INDEX(C_Pavement!$G$5:$G$204,$AQ350)&lt;&gt;"",IF(INDEX(C_Pavement!$G$5:$G$204,$AQ350)="-","",INDEX(C_Pavement!$G$5:$G$204,$AQ350)),IF($AS350="","",INDEX(E_Rules!$F$5:$F$9,$AS350))))</f>
        <v/>
      </c>
      <c r="AX350" t="str">
        <f>IF($AQ350="","",IF(INDEX(C_Pavement!$H$5:$H$204,$AQ350)&lt;&gt;"",IF(INDEX(C_Pavement!$H$5:$H$204,$AQ350)="-","",INDEX(C_Pavement!$H$5:$H$204,$AQ350)),IF($AS350="","",INDEX(E_Rules!$G$5:$G$9,$AS350))))</f>
        <v/>
      </c>
      <c r="AY350" t="str">
        <f>IF($AQ350="","",IF(INDEX(C_Pavement!$I$5:$I$204,$AQ350)&lt;&gt;"",IF(INDEX(C_Pavement!$I$5:$I$204,$AQ350)="-","",INDEX(C_Pavement!$I$5:$I$204,$AQ350)),IF($AS350="","",INDEX(E_Rules!$H$5:$H$9,$AS350))))</f>
        <v/>
      </c>
    </row>
    <row r="351" spans="1:51" ht="15.75" customHeight="1" x14ac:dyDescent="0.3">
      <c r="A351" s="189">
        <v>346</v>
      </c>
      <c r="B351" s="180">
        <v>17250</v>
      </c>
      <c r="C351" s="180" t="s">
        <v>657</v>
      </c>
      <c r="D351" s="181" t="str">
        <f>IFERROR(LOOKUP(2,1/((A_Corridor!$A$5:$A$204&lt;&gt;"")*(A_Corridor!$A$5:$A$204&lt;=$B351)*(A_Corridor!$B$5:$B$204&gt;$B351)*(A_Corridor!$C$5:$C$204&lt;&gt;"")),IF(UPPER(A_Corridor!$C$5:$C$204)="Y",1,"")),"")</f>
        <v/>
      </c>
      <c r="E351" s="181" t="str">
        <f>IFERROR(LOOKUP(2,1/((A_Corridor!$A$5:$A$204&lt;&gt;"")*(A_Corridor!$A$5:$A$204&lt;=$B351)*(A_Corridor!$B$5:$B$204&gt;$B351)*(A_Corridor!$D$5:$D$204&lt;&gt;"")),IF(A_Corridor!$D$5:$D$204="-","",UPPER(A_Corridor!$D$5:$D$204))),"")</f>
        <v/>
      </c>
      <c r="F351" s="181" t="str">
        <f>IFERROR(LOOKUP(2,1/((A_Corridor!$A$5:$A$204&lt;&gt;"")*(A_Corridor!$A$5:$A$204&lt;=$B351)*(A_Corridor!$B$5:$B$204&gt;$B351)*(A_Corridor!$E$5:$E$204&lt;&gt;"")),IF(A_Corridor!$E$5:$E$204="-","",1)),"")</f>
        <v/>
      </c>
      <c r="G351" s="182" t="str">
        <f>IFERROR(LOOKUP(2,1/((A_Corridor!$A$5:$A$204&lt;&gt;"")*(A_Corridor!$A$5:$A$204&lt;=$B351)*(A_Corridor!$B$5:$B$204&gt;$B351)*(A_Corridor!$E$5:$E$204&lt;&gt;"")),IF(A_Corridor!$E$5:$E$204="-","",A_Corridor!$E$5:$E$204)),"")</f>
        <v/>
      </c>
      <c r="H351" s="182" t="str">
        <f>IFERROR(LOOKUP(2,1/((D_Points!$A$5:$A$204&lt;&gt;"")*(D_Points!$A$5:$A$204&gt;=$B351)*(D_Points!$A$5:$A$204&lt;$B351+P_Interval)*(UPPER(TRIM(D_Points!$B$5:$B$204))="GULLY")*(D_Points!$H$5:$H$204&lt;&gt;"")),D_Points!$H$5:$H$204),"")</f>
        <v/>
      </c>
      <c r="I351" s="181" t="str">
        <f>IFERROR(LOOKUP(2,1/((A_Corridor!$A$5:$A$204&lt;&gt;"")*(A_Corridor!$A$5:$A$204&lt;=$B351)*(A_Corridor!$B$5:$B$204&gt;$B351)*(A_Corridor!$F$5:$F$204&lt;&gt;"")),IF(A_Corridor!$F$5:$F$204="-","",1)),"")</f>
        <v/>
      </c>
      <c r="J351" s="182" t="str">
        <f>IFERROR(LOOKUP(2,1/((A_Corridor!$A$5:$A$204&lt;&gt;"")*(A_Corridor!$A$5:$A$204&lt;=$B351)*(A_Corridor!$B$5:$B$204&gt;$B351)*(A_Corridor!$F$5:$F$204&lt;&gt;"")),IF(A_Corridor!$F$5:$F$204="-","",A_Corridor!$F$5:$F$204)),"")</f>
        <v/>
      </c>
      <c r="K351" s="182" t="str">
        <f>IFERROR(LOOKUP(2,1/((A_Corridor!$A$5:$A$204&lt;&gt;"")*(A_Corridor!$A$5:$A$204&lt;=$B351)*(A_Corridor!$B$5:$B$204&gt;$B351)*(A_Corridor!$G$5:$G$204&lt;&gt;"")),IF(A_Corridor!$G$5:$G$204="-","",A_Corridor!$G$5:$G$204)),"")</f>
        <v/>
      </c>
      <c r="L351" s="181" t="str">
        <f>IFERROR(LOOKUP(2,1/((A_Corridor!$A$5:$A$204&lt;&gt;"")*(A_Corridor!$A$5:$A$204&lt;=$B351)*(A_Corridor!$B$5:$B$204&gt;$B351)*(A_Corridor!$H$5:$H$204&lt;&gt;"")),IF(A_Corridor!$H$5:$H$204="-","",1)),"")</f>
        <v/>
      </c>
      <c r="M351" s="182" t="str">
        <f>IFERROR(LOOKUP(2,1/((A_Corridor!$A$5:$A$204&lt;&gt;"")*(A_Corridor!$A$5:$A$204&lt;=$B351)*(A_Corridor!$B$5:$B$204&gt;$B351)*(A_Corridor!$H$5:$H$204&lt;&gt;"")),IF(A_Corridor!$H$5:$H$204="-","",A_Corridor!$H$5:$H$204)),"")</f>
        <v/>
      </c>
      <c r="N351" s="182" t="str">
        <f>IFERROR(LOOKUP(2,1/((A_Corridor!$A$5:$A$204&lt;&gt;"")*(A_Corridor!$A$5:$A$204&lt;=$B351)*(A_Corridor!$B$5:$B$204&gt;$B351)*(A_Corridor!$I$5:$I$204&lt;&gt;"")),IF(A_Corridor!$I$5:$I$204="-","",A_Corridor!$I$5:$I$204)),"")</f>
        <v/>
      </c>
      <c r="O351" s="182" t="str">
        <f>IFERROR(LOOKUP(2,1/((D_Points!$A$5:$A$204&lt;&gt;"")*(D_Points!$A$5:$A$204&gt;=$B351)*(D_Points!$A$5:$A$204&lt;$B351+P_Interval)*(UPPER(TRIM(D_Points!$B$5:$B$204))="PITCHING")*(D_Points!$H$5:$H$204&lt;&gt;"")),D_Points!$H$5:$H$204),"")</f>
        <v/>
      </c>
      <c r="P351" s="181" t="str">
        <f>IFERROR(LOOKUP(2,1/((B_Drainage!$A$5:$A$204&lt;&gt;"")*(B_Drainage!$A$5:$A$204&lt;=$B351)*(B_Drainage!$B$5:$B$204&gt;$B351)*(B_Drainage!$C$5:$C$204&lt;&gt;"")),IF(B_Drainage!$C$5:$C$204="-","",UPPER(B_Drainage!$C$5:$C$204))),"")</f>
        <v/>
      </c>
      <c r="Q351" s="181" t="str">
        <f>IFERROR(LOOKUP(2,1/((B_Drainage!$A$5:$A$204&lt;&gt;"")*(B_Drainage!$A$5:$A$204&lt;=$B351)*(B_Drainage!$B$5:$B$204&gt;$B351)*(B_Drainage!$D$5:$D$204&lt;&gt;"")),IF(B_Drainage!$D$5:$D$204="-","",UPPER(B_Drainage!$D$5:$D$204))),"")</f>
        <v/>
      </c>
      <c r="R351" s="182" t="str">
        <f>IFERROR(LOOKUP(2,1/((D_Points!$A$5:$A$204&lt;&gt;"")*(D_Points!$A$5:$A$204&gt;=$B351)*(D_Points!$A$5:$A$204&lt;$B351+P_Interval)*(RIGHT(UPPER(TRIM(D_Points!$B$5:$B$204)),8)="_CULVERT")),IF(LEFT(UPPER(TRIM(D_Points!$B$5:$B$204)),2)="EX",1,IF(LEFT(UPPER(TRIM(D_Points!$B$5:$B$204)),2)="PR",2,3))),"")</f>
        <v/>
      </c>
      <c r="S351" s="182" t="str">
        <f>IFERROR(LOOKUP(2,1/((D_Points!$A$5:$A$204&lt;&gt;"")*(D_Points!$A$5:$A$204&gt;=$B351)*(D_Points!$A$5:$A$204&lt;$B351+P_Interval)*(RIGHT(UPPER(TRIM(D_Points!$B$5:$B$204)),7)="_BRIDGE")),IF(LEFT(UPPER(TRIM(D_Points!$B$5:$B$204)),2)="EX",1,IF(LEFT(UPPER(TRIM(D_Points!$B$5:$B$204)),2)="PR",2,2))),"")</f>
        <v/>
      </c>
      <c r="T351" s="181" t="str">
        <f>IFERROR(LOOKUP(2,1/((B_Drainage!$A$5:$A$204&lt;&gt;"")*(B_Drainage!$A$5:$A$204&lt;=$B351)*(B_Drainage!$B$5:$B$204&gt;$B351)*(B_Drainage!$E$5:$E$204&lt;&gt;"")),IF(B_Drainage!$E$5:$E$204="-","",1)),"")</f>
        <v/>
      </c>
      <c r="U351" s="181" t="str">
        <f>IFERROR(LOOKUP(2,1/((B_Drainage!$A$5:$A$204&lt;&gt;"")*(B_Drainage!$A$5:$A$204&lt;=$B351)*(B_Drainage!$B$5:$B$204&gt;$B351)*(B_Drainage!$E$5:$E$204&lt;&gt;"")),IF(B_Drainage!$E$5:$E$204="-","",B_Drainage!$E$5:$E$204)),"")</f>
        <v/>
      </c>
      <c r="V351" s="181" t="str">
        <f>IFERROR(LOOKUP(2,1/((B_Drainage!$A$5:$A$204&lt;&gt;"")*(B_Drainage!$A$5:$A$204&lt;=$B351)*(B_Drainage!$B$5:$B$204&gt;$B351)*(B_Drainage!$F$5:$F$204&lt;&gt;"")),IF(B_Drainage!$F$5:$F$204="-","",1)),"")</f>
        <v/>
      </c>
      <c r="W351" s="181" t="str">
        <f>IFERROR(LOOKUP(2,1/((B_Drainage!$A$5:$A$204&lt;&gt;"")*(B_Drainage!$A$5:$A$204&lt;=$B351)*(B_Drainage!$B$5:$B$204&gt;$B351)*(B_Drainage!$F$5:$F$204&lt;&gt;"")),IF(B_Drainage!$F$5:$F$204="-","",B_Drainage!$F$5:$F$204)),"")</f>
        <v/>
      </c>
      <c r="X351" s="181" t="str">
        <f>IFERROR(LOOKUP(2,1/((B_Drainage!$A$5:$A$204&lt;&gt;"")*(B_Drainage!$A$5:$A$204&lt;=$B351)*(B_Drainage!$B$5:$B$204&gt;$B351)*(B_Drainage!$G$5:$G$204&lt;&gt;"")),IF(UPPER(B_Drainage!$G$5:$G$204)="Y",1,"")),"")</f>
        <v/>
      </c>
      <c r="Y351" s="181" t="str">
        <f>IFERROR(LOOKUP(2,1/((B_Drainage!$A$5:$A$204&lt;&gt;"")*(B_Drainage!$A$5:$A$204&lt;=$B351)*(B_Drainage!$B$5:$B$204&gt;$B351)*(B_Drainage!$H$5:$H$204&lt;&gt;"")),IF(UPPER(B_Drainage!$H$5:$H$204)="Y",1,"")),"")</f>
        <v/>
      </c>
      <c r="Z351" s="181" t="str">
        <f>IFERROR(LOOKUP(2,1/((B_Drainage!$A$5:$A$204&lt;&gt;"")*(B_Drainage!$A$5:$A$204&lt;=$B351)*(B_Drainage!$B$5:$B$204&gt;$B351)*(B_Drainage!$I$5:$I$204&lt;&gt;"")),IF(UPPER(B_Drainage!$I$5:$I$204)="Y",1,"")),"")</f>
        <v/>
      </c>
      <c r="AA351" s="181" t="str">
        <f>IFERROR(LOOKUP(2,1/((B_Drainage!$A$5:$A$204&lt;&gt;"")*(B_Drainage!$A$5:$A$204&lt;=$B351)*(B_Drainage!$B$5:$B$204&gt;$B351)*(B_Drainage!$J$5:$J$204&lt;&gt;"")),IF(UPPER(B_Drainage!$J$5:$J$204)="Y",1,"")),"")</f>
        <v/>
      </c>
      <c r="AB351" s="182" t="str">
        <f>IFERROR(LOOKUP(2,1/((B_Drainage!$A$5:$A$204&lt;&gt;"")*(B_Drainage!$A$5:$A$204&lt;=$B351)*(B_Drainage!$B$5:$B$204&gt;$B351)*(B_Drainage!$K$5:$K$204&lt;&gt;"")),IF(B_Drainage!$K$5:$K$204="-","",B_Drainage!$K$5:$K$204)),"")</f>
        <v/>
      </c>
      <c r="AC351" s="182" t="str">
        <f>IFERROR(LOOKUP(2,1/((B_Drainage!$A$5:$A$204&lt;&gt;"")*(B_Drainage!$A$5:$A$204&lt;=$B351)*(B_Drainage!$B$5:$B$204&gt;$B351)*(B_Drainage!$L$5:$L$204&lt;&gt;"")),IF(B_Drainage!$L$5:$L$204="-","",B_Drainage!$L$5:$L$204)),"")</f>
        <v/>
      </c>
      <c r="AD351" s="182" t="str">
        <f>IFERROR(LOOKUP(2,1/((D_Points!$A$5:$A$204&lt;&gt;"")*(D_Points!$A$5:$A$204&gt;=$B351)*(D_Points!$A$5:$A$204&lt;$B351+P_Interval)*(UPPER(TRIM(D_Points!$B$5:$B$204))="TURNOUT_L")*(D_Points!$H$5:$H$204&lt;&gt;"")),D_Points!$H$5:$H$204),"")</f>
        <v/>
      </c>
      <c r="AE351" s="182" t="str">
        <f>IFERROR(LOOKUP(2,1/((D_Points!$A$5:$A$204&lt;&gt;"")*(D_Points!$A$5:$A$204&gt;=$B351)*(D_Points!$A$5:$A$204&lt;$B351+P_Interval)*(UPPER(TRIM(D_Points!$B$5:$B$204))="TURNOUT_R")*(D_Points!$H$5:$H$204&lt;&gt;"")),D_Points!$H$5:$H$204),"")</f>
        <v/>
      </c>
      <c r="AF351" s="181" t="str">
        <f>IFERROR(LOOKUP(2,1/((B_Drainage!$A$5:$A$204&lt;&gt;"")*(B_Drainage!$A$5:$A$204&lt;=$B351)*(B_Drainage!$B$5:$B$204&gt;$B351)*(B_Drainage!$M$5:$M$204&lt;&gt;"")),IF(UPPER(B_Drainage!$M$5:$M$204)="Y",1,"")),"")</f>
        <v/>
      </c>
      <c r="AG351" s="181" t="str">
        <f>IFERROR(LOOKUP(2,1/((B_Drainage!$A$5:$A$204&lt;&gt;"")*(B_Drainage!$A$5:$A$204&lt;=$B351)*(B_Drainage!$B$5:$B$204&gt;$B351)*(B_Drainage!$N$5:$N$204&lt;&gt;"")),IF(UPPER(B_Drainage!$N$5:$N$204)="Y",1,"")),"")</f>
        <v/>
      </c>
      <c r="AH351" s="181" t="str">
        <f t="shared" si="40"/>
        <v/>
      </c>
      <c r="AI351" s="181" t="str">
        <f t="shared" si="41"/>
        <v/>
      </c>
      <c r="AJ351" s="181" t="str">
        <f t="shared" si="42"/>
        <v/>
      </c>
      <c r="AK351" s="181" t="str">
        <f t="shared" si="43"/>
        <v/>
      </c>
      <c r="AL351" s="181" t="str">
        <f t="shared" si="44"/>
        <v/>
      </c>
      <c r="AM351" s="181" t="str">
        <f t="shared" si="45"/>
        <v/>
      </c>
      <c r="AN351" s="181" t="str">
        <f t="shared" si="46"/>
        <v/>
      </c>
      <c r="AO351" s="192" t="str">
        <f t="shared" si="47"/>
        <v/>
      </c>
      <c r="AQ351" t="str">
        <f>IFERROR(LOOKUP(2,1/((C_Pavement!$A$5:$A$204&lt;&gt;"")*(C_Pavement!$A$5:$A$204&lt;=$B351)*(C_Pavement!$B$5:$B$204&gt;$B351)*(C_Pavement!$C$5:$C$204&lt;&gt;"")),ROW(C_Pavement!$C$5:$C$204)-4),"")</f>
        <v/>
      </c>
      <c r="AR351" t="str">
        <f>IF($AQ351="","",UPPER(TRIM(INDEX(C_Pavement!$C$5:$C$204,$AQ351))))</f>
        <v/>
      </c>
      <c r="AS351" t="str">
        <f>IF($AR351="","",IFERROR(MATCH($AR351,E_Rules!$A$5:$A$9,0),""))</f>
        <v/>
      </c>
      <c r="AT351" t="str">
        <f>IF($AQ351="","",IF(INDEX(C_Pavement!$D$5:$D$204,$AQ351)&lt;&gt;"",UPPER(TRIM(INDEX(C_Pavement!$D$5:$D$204,$AQ351))),IF($AS351="","",INDEX(E_Rules!$C$5:$C$9,$AS351))))</f>
        <v/>
      </c>
      <c r="AU351" t="str">
        <f>IF($AQ351="","",IF(INDEX(C_Pavement!$E$5:$E$204,$AQ351)&lt;&gt;"",IF(INDEX(C_Pavement!$E$5:$E$204,$AQ351)="-","",INDEX(C_Pavement!$E$5:$E$204,$AQ351)),IF($AS351="","",INDEX(E_Rules!$D$5:$D$9,$AS351))))</f>
        <v/>
      </c>
      <c r="AV351" t="str">
        <f>IF($AQ351="","",IF(INDEX(C_Pavement!$F$5:$F$204,$AQ351)&lt;&gt;"",IF(INDEX(C_Pavement!$F$5:$F$204,$AQ351)="-","",INDEX(C_Pavement!$F$5:$F$204,$AQ351)),IF($AS351="","",INDEX(E_Rules!$E$5:$E$9,$AS351))))</f>
        <v/>
      </c>
      <c r="AW351" t="str">
        <f>IF($AQ351="","",IF(INDEX(C_Pavement!$G$5:$G$204,$AQ351)&lt;&gt;"",IF(INDEX(C_Pavement!$G$5:$G$204,$AQ351)="-","",INDEX(C_Pavement!$G$5:$G$204,$AQ351)),IF($AS351="","",INDEX(E_Rules!$F$5:$F$9,$AS351))))</f>
        <v/>
      </c>
      <c r="AX351" t="str">
        <f>IF($AQ351="","",IF(INDEX(C_Pavement!$H$5:$H$204,$AQ351)&lt;&gt;"",IF(INDEX(C_Pavement!$H$5:$H$204,$AQ351)="-","",INDEX(C_Pavement!$H$5:$H$204,$AQ351)),IF($AS351="","",INDEX(E_Rules!$G$5:$G$9,$AS351))))</f>
        <v/>
      </c>
      <c r="AY351" t="str">
        <f>IF($AQ351="","",IF(INDEX(C_Pavement!$I$5:$I$204,$AQ351)&lt;&gt;"",IF(INDEX(C_Pavement!$I$5:$I$204,$AQ351)="-","",INDEX(C_Pavement!$I$5:$I$204,$AQ351)),IF($AS351="","",INDEX(E_Rules!$H$5:$H$9,$AS351))))</f>
        <v/>
      </c>
    </row>
    <row r="352" spans="1:51" ht="15.75" customHeight="1" x14ac:dyDescent="0.3">
      <c r="A352" s="189">
        <v>347</v>
      </c>
      <c r="B352" s="180">
        <v>17300</v>
      </c>
      <c r="C352" s="180" t="s">
        <v>658</v>
      </c>
      <c r="D352" s="181" t="str">
        <f>IFERROR(LOOKUP(2,1/((A_Corridor!$A$5:$A$204&lt;&gt;"")*(A_Corridor!$A$5:$A$204&lt;=$B352)*(A_Corridor!$B$5:$B$204&gt;$B352)*(A_Corridor!$C$5:$C$204&lt;&gt;"")),IF(UPPER(A_Corridor!$C$5:$C$204)="Y",1,"")),"")</f>
        <v/>
      </c>
      <c r="E352" s="181" t="str">
        <f>IFERROR(LOOKUP(2,1/((A_Corridor!$A$5:$A$204&lt;&gt;"")*(A_Corridor!$A$5:$A$204&lt;=$B352)*(A_Corridor!$B$5:$B$204&gt;$B352)*(A_Corridor!$D$5:$D$204&lt;&gt;"")),IF(A_Corridor!$D$5:$D$204="-","",UPPER(A_Corridor!$D$5:$D$204))),"")</f>
        <v/>
      </c>
      <c r="F352" s="181" t="str">
        <f>IFERROR(LOOKUP(2,1/((A_Corridor!$A$5:$A$204&lt;&gt;"")*(A_Corridor!$A$5:$A$204&lt;=$B352)*(A_Corridor!$B$5:$B$204&gt;$B352)*(A_Corridor!$E$5:$E$204&lt;&gt;"")),IF(A_Corridor!$E$5:$E$204="-","",1)),"")</f>
        <v/>
      </c>
      <c r="G352" s="182" t="str">
        <f>IFERROR(LOOKUP(2,1/((A_Corridor!$A$5:$A$204&lt;&gt;"")*(A_Corridor!$A$5:$A$204&lt;=$B352)*(A_Corridor!$B$5:$B$204&gt;$B352)*(A_Corridor!$E$5:$E$204&lt;&gt;"")),IF(A_Corridor!$E$5:$E$204="-","",A_Corridor!$E$5:$E$204)),"")</f>
        <v/>
      </c>
      <c r="H352" s="182" t="str">
        <f>IFERROR(LOOKUP(2,1/((D_Points!$A$5:$A$204&lt;&gt;"")*(D_Points!$A$5:$A$204&gt;=$B352)*(D_Points!$A$5:$A$204&lt;$B352+P_Interval)*(UPPER(TRIM(D_Points!$B$5:$B$204))="GULLY")*(D_Points!$H$5:$H$204&lt;&gt;"")),D_Points!$H$5:$H$204),"")</f>
        <v/>
      </c>
      <c r="I352" s="181" t="str">
        <f>IFERROR(LOOKUP(2,1/((A_Corridor!$A$5:$A$204&lt;&gt;"")*(A_Corridor!$A$5:$A$204&lt;=$B352)*(A_Corridor!$B$5:$B$204&gt;$B352)*(A_Corridor!$F$5:$F$204&lt;&gt;"")),IF(A_Corridor!$F$5:$F$204="-","",1)),"")</f>
        <v/>
      </c>
      <c r="J352" s="182" t="str">
        <f>IFERROR(LOOKUP(2,1/((A_Corridor!$A$5:$A$204&lt;&gt;"")*(A_Corridor!$A$5:$A$204&lt;=$B352)*(A_Corridor!$B$5:$B$204&gt;$B352)*(A_Corridor!$F$5:$F$204&lt;&gt;"")),IF(A_Corridor!$F$5:$F$204="-","",A_Corridor!$F$5:$F$204)),"")</f>
        <v/>
      </c>
      <c r="K352" s="182" t="str">
        <f>IFERROR(LOOKUP(2,1/((A_Corridor!$A$5:$A$204&lt;&gt;"")*(A_Corridor!$A$5:$A$204&lt;=$B352)*(A_Corridor!$B$5:$B$204&gt;$B352)*(A_Corridor!$G$5:$G$204&lt;&gt;"")),IF(A_Corridor!$G$5:$G$204="-","",A_Corridor!$G$5:$G$204)),"")</f>
        <v/>
      </c>
      <c r="L352" s="181" t="str">
        <f>IFERROR(LOOKUP(2,1/((A_Corridor!$A$5:$A$204&lt;&gt;"")*(A_Corridor!$A$5:$A$204&lt;=$B352)*(A_Corridor!$B$5:$B$204&gt;$B352)*(A_Corridor!$H$5:$H$204&lt;&gt;"")),IF(A_Corridor!$H$5:$H$204="-","",1)),"")</f>
        <v/>
      </c>
      <c r="M352" s="182" t="str">
        <f>IFERROR(LOOKUP(2,1/((A_Corridor!$A$5:$A$204&lt;&gt;"")*(A_Corridor!$A$5:$A$204&lt;=$B352)*(A_Corridor!$B$5:$B$204&gt;$B352)*(A_Corridor!$H$5:$H$204&lt;&gt;"")),IF(A_Corridor!$H$5:$H$204="-","",A_Corridor!$H$5:$H$204)),"")</f>
        <v/>
      </c>
      <c r="N352" s="182" t="str">
        <f>IFERROR(LOOKUP(2,1/((A_Corridor!$A$5:$A$204&lt;&gt;"")*(A_Corridor!$A$5:$A$204&lt;=$B352)*(A_Corridor!$B$5:$B$204&gt;$B352)*(A_Corridor!$I$5:$I$204&lt;&gt;"")),IF(A_Corridor!$I$5:$I$204="-","",A_Corridor!$I$5:$I$204)),"")</f>
        <v/>
      </c>
      <c r="O352" s="182" t="str">
        <f>IFERROR(LOOKUP(2,1/((D_Points!$A$5:$A$204&lt;&gt;"")*(D_Points!$A$5:$A$204&gt;=$B352)*(D_Points!$A$5:$A$204&lt;$B352+P_Interval)*(UPPER(TRIM(D_Points!$B$5:$B$204))="PITCHING")*(D_Points!$H$5:$H$204&lt;&gt;"")),D_Points!$H$5:$H$204),"")</f>
        <v/>
      </c>
      <c r="P352" s="181" t="str">
        <f>IFERROR(LOOKUP(2,1/((B_Drainage!$A$5:$A$204&lt;&gt;"")*(B_Drainage!$A$5:$A$204&lt;=$B352)*(B_Drainage!$B$5:$B$204&gt;$B352)*(B_Drainage!$C$5:$C$204&lt;&gt;"")),IF(B_Drainage!$C$5:$C$204="-","",UPPER(B_Drainage!$C$5:$C$204))),"")</f>
        <v/>
      </c>
      <c r="Q352" s="181" t="str">
        <f>IFERROR(LOOKUP(2,1/((B_Drainage!$A$5:$A$204&lt;&gt;"")*(B_Drainage!$A$5:$A$204&lt;=$B352)*(B_Drainage!$B$5:$B$204&gt;$B352)*(B_Drainage!$D$5:$D$204&lt;&gt;"")),IF(B_Drainage!$D$5:$D$204="-","",UPPER(B_Drainage!$D$5:$D$204))),"")</f>
        <v/>
      </c>
      <c r="R352" s="182" t="str">
        <f>IFERROR(LOOKUP(2,1/((D_Points!$A$5:$A$204&lt;&gt;"")*(D_Points!$A$5:$A$204&gt;=$B352)*(D_Points!$A$5:$A$204&lt;$B352+P_Interval)*(RIGHT(UPPER(TRIM(D_Points!$B$5:$B$204)),8)="_CULVERT")),IF(LEFT(UPPER(TRIM(D_Points!$B$5:$B$204)),2)="EX",1,IF(LEFT(UPPER(TRIM(D_Points!$B$5:$B$204)),2)="PR",2,3))),"")</f>
        <v/>
      </c>
      <c r="S352" s="182" t="str">
        <f>IFERROR(LOOKUP(2,1/((D_Points!$A$5:$A$204&lt;&gt;"")*(D_Points!$A$5:$A$204&gt;=$B352)*(D_Points!$A$5:$A$204&lt;$B352+P_Interval)*(RIGHT(UPPER(TRIM(D_Points!$B$5:$B$204)),7)="_BRIDGE")),IF(LEFT(UPPER(TRIM(D_Points!$B$5:$B$204)),2)="EX",1,IF(LEFT(UPPER(TRIM(D_Points!$B$5:$B$204)),2)="PR",2,2))),"")</f>
        <v/>
      </c>
      <c r="T352" s="181" t="str">
        <f>IFERROR(LOOKUP(2,1/((B_Drainage!$A$5:$A$204&lt;&gt;"")*(B_Drainage!$A$5:$A$204&lt;=$B352)*(B_Drainage!$B$5:$B$204&gt;$B352)*(B_Drainage!$E$5:$E$204&lt;&gt;"")),IF(B_Drainage!$E$5:$E$204="-","",1)),"")</f>
        <v/>
      </c>
      <c r="U352" s="181" t="str">
        <f>IFERROR(LOOKUP(2,1/((B_Drainage!$A$5:$A$204&lt;&gt;"")*(B_Drainage!$A$5:$A$204&lt;=$B352)*(B_Drainage!$B$5:$B$204&gt;$B352)*(B_Drainage!$E$5:$E$204&lt;&gt;"")),IF(B_Drainage!$E$5:$E$204="-","",B_Drainage!$E$5:$E$204)),"")</f>
        <v/>
      </c>
      <c r="V352" s="181" t="str">
        <f>IFERROR(LOOKUP(2,1/((B_Drainage!$A$5:$A$204&lt;&gt;"")*(B_Drainage!$A$5:$A$204&lt;=$B352)*(B_Drainage!$B$5:$B$204&gt;$B352)*(B_Drainage!$F$5:$F$204&lt;&gt;"")),IF(B_Drainage!$F$5:$F$204="-","",1)),"")</f>
        <v/>
      </c>
      <c r="W352" s="181" t="str">
        <f>IFERROR(LOOKUP(2,1/((B_Drainage!$A$5:$A$204&lt;&gt;"")*(B_Drainage!$A$5:$A$204&lt;=$B352)*(B_Drainage!$B$5:$B$204&gt;$B352)*(B_Drainage!$F$5:$F$204&lt;&gt;"")),IF(B_Drainage!$F$5:$F$204="-","",B_Drainage!$F$5:$F$204)),"")</f>
        <v/>
      </c>
      <c r="X352" s="181" t="str">
        <f>IFERROR(LOOKUP(2,1/((B_Drainage!$A$5:$A$204&lt;&gt;"")*(B_Drainage!$A$5:$A$204&lt;=$B352)*(B_Drainage!$B$5:$B$204&gt;$B352)*(B_Drainage!$G$5:$G$204&lt;&gt;"")),IF(UPPER(B_Drainage!$G$5:$G$204)="Y",1,"")),"")</f>
        <v/>
      </c>
      <c r="Y352" s="181" t="str">
        <f>IFERROR(LOOKUP(2,1/((B_Drainage!$A$5:$A$204&lt;&gt;"")*(B_Drainage!$A$5:$A$204&lt;=$B352)*(B_Drainage!$B$5:$B$204&gt;$B352)*(B_Drainage!$H$5:$H$204&lt;&gt;"")),IF(UPPER(B_Drainage!$H$5:$H$204)="Y",1,"")),"")</f>
        <v/>
      </c>
      <c r="Z352" s="181" t="str">
        <f>IFERROR(LOOKUP(2,1/((B_Drainage!$A$5:$A$204&lt;&gt;"")*(B_Drainage!$A$5:$A$204&lt;=$B352)*(B_Drainage!$B$5:$B$204&gt;$B352)*(B_Drainage!$I$5:$I$204&lt;&gt;"")),IF(UPPER(B_Drainage!$I$5:$I$204)="Y",1,"")),"")</f>
        <v/>
      </c>
      <c r="AA352" s="181" t="str">
        <f>IFERROR(LOOKUP(2,1/((B_Drainage!$A$5:$A$204&lt;&gt;"")*(B_Drainage!$A$5:$A$204&lt;=$B352)*(B_Drainage!$B$5:$B$204&gt;$B352)*(B_Drainage!$J$5:$J$204&lt;&gt;"")),IF(UPPER(B_Drainage!$J$5:$J$204)="Y",1,"")),"")</f>
        <v/>
      </c>
      <c r="AB352" s="182" t="str">
        <f>IFERROR(LOOKUP(2,1/((B_Drainage!$A$5:$A$204&lt;&gt;"")*(B_Drainage!$A$5:$A$204&lt;=$B352)*(B_Drainage!$B$5:$B$204&gt;$B352)*(B_Drainage!$K$5:$K$204&lt;&gt;"")),IF(B_Drainage!$K$5:$K$204="-","",B_Drainage!$K$5:$K$204)),"")</f>
        <v/>
      </c>
      <c r="AC352" s="182" t="str">
        <f>IFERROR(LOOKUP(2,1/((B_Drainage!$A$5:$A$204&lt;&gt;"")*(B_Drainage!$A$5:$A$204&lt;=$B352)*(B_Drainage!$B$5:$B$204&gt;$B352)*(B_Drainage!$L$5:$L$204&lt;&gt;"")),IF(B_Drainage!$L$5:$L$204="-","",B_Drainage!$L$5:$L$204)),"")</f>
        <v/>
      </c>
      <c r="AD352" s="182" t="str">
        <f>IFERROR(LOOKUP(2,1/((D_Points!$A$5:$A$204&lt;&gt;"")*(D_Points!$A$5:$A$204&gt;=$B352)*(D_Points!$A$5:$A$204&lt;$B352+P_Interval)*(UPPER(TRIM(D_Points!$B$5:$B$204))="TURNOUT_L")*(D_Points!$H$5:$H$204&lt;&gt;"")),D_Points!$H$5:$H$204),"")</f>
        <v/>
      </c>
      <c r="AE352" s="182" t="str">
        <f>IFERROR(LOOKUP(2,1/((D_Points!$A$5:$A$204&lt;&gt;"")*(D_Points!$A$5:$A$204&gt;=$B352)*(D_Points!$A$5:$A$204&lt;$B352+P_Interval)*(UPPER(TRIM(D_Points!$B$5:$B$204))="TURNOUT_R")*(D_Points!$H$5:$H$204&lt;&gt;"")),D_Points!$H$5:$H$204),"")</f>
        <v/>
      </c>
      <c r="AF352" s="181" t="str">
        <f>IFERROR(LOOKUP(2,1/((B_Drainage!$A$5:$A$204&lt;&gt;"")*(B_Drainage!$A$5:$A$204&lt;=$B352)*(B_Drainage!$B$5:$B$204&gt;$B352)*(B_Drainage!$M$5:$M$204&lt;&gt;"")),IF(UPPER(B_Drainage!$M$5:$M$204)="Y",1,"")),"")</f>
        <v/>
      </c>
      <c r="AG352" s="181" t="str">
        <f>IFERROR(LOOKUP(2,1/((B_Drainage!$A$5:$A$204&lt;&gt;"")*(B_Drainage!$A$5:$A$204&lt;=$B352)*(B_Drainage!$B$5:$B$204&gt;$B352)*(B_Drainage!$N$5:$N$204&lt;&gt;"")),IF(UPPER(B_Drainage!$N$5:$N$204)="Y",1,"")),"")</f>
        <v/>
      </c>
      <c r="AH352" s="181" t="str">
        <f t="shared" si="40"/>
        <v/>
      </c>
      <c r="AI352" s="181" t="str">
        <f t="shared" si="41"/>
        <v/>
      </c>
      <c r="AJ352" s="181" t="str">
        <f t="shared" si="42"/>
        <v/>
      </c>
      <c r="AK352" s="181" t="str">
        <f t="shared" si="43"/>
        <v/>
      </c>
      <c r="AL352" s="181" t="str">
        <f t="shared" si="44"/>
        <v/>
      </c>
      <c r="AM352" s="181" t="str">
        <f t="shared" si="45"/>
        <v/>
      </c>
      <c r="AN352" s="181" t="str">
        <f t="shared" si="46"/>
        <v/>
      </c>
      <c r="AO352" s="192" t="str">
        <f t="shared" si="47"/>
        <v/>
      </c>
      <c r="AQ352" t="str">
        <f>IFERROR(LOOKUP(2,1/((C_Pavement!$A$5:$A$204&lt;&gt;"")*(C_Pavement!$A$5:$A$204&lt;=$B352)*(C_Pavement!$B$5:$B$204&gt;$B352)*(C_Pavement!$C$5:$C$204&lt;&gt;"")),ROW(C_Pavement!$C$5:$C$204)-4),"")</f>
        <v/>
      </c>
      <c r="AR352" t="str">
        <f>IF($AQ352="","",UPPER(TRIM(INDEX(C_Pavement!$C$5:$C$204,$AQ352))))</f>
        <v/>
      </c>
      <c r="AS352" t="str">
        <f>IF($AR352="","",IFERROR(MATCH($AR352,E_Rules!$A$5:$A$9,0),""))</f>
        <v/>
      </c>
      <c r="AT352" t="str">
        <f>IF($AQ352="","",IF(INDEX(C_Pavement!$D$5:$D$204,$AQ352)&lt;&gt;"",UPPER(TRIM(INDEX(C_Pavement!$D$5:$D$204,$AQ352))),IF($AS352="","",INDEX(E_Rules!$C$5:$C$9,$AS352))))</f>
        <v/>
      </c>
      <c r="AU352" t="str">
        <f>IF($AQ352="","",IF(INDEX(C_Pavement!$E$5:$E$204,$AQ352)&lt;&gt;"",IF(INDEX(C_Pavement!$E$5:$E$204,$AQ352)="-","",INDEX(C_Pavement!$E$5:$E$204,$AQ352)),IF($AS352="","",INDEX(E_Rules!$D$5:$D$9,$AS352))))</f>
        <v/>
      </c>
      <c r="AV352" t="str">
        <f>IF($AQ352="","",IF(INDEX(C_Pavement!$F$5:$F$204,$AQ352)&lt;&gt;"",IF(INDEX(C_Pavement!$F$5:$F$204,$AQ352)="-","",INDEX(C_Pavement!$F$5:$F$204,$AQ352)),IF($AS352="","",INDEX(E_Rules!$E$5:$E$9,$AS352))))</f>
        <v/>
      </c>
      <c r="AW352" t="str">
        <f>IF($AQ352="","",IF(INDEX(C_Pavement!$G$5:$G$204,$AQ352)&lt;&gt;"",IF(INDEX(C_Pavement!$G$5:$G$204,$AQ352)="-","",INDEX(C_Pavement!$G$5:$G$204,$AQ352)),IF($AS352="","",INDEX(E_Rules!$F$5:$F$9,$AS352))))</f>
        <v/>
      </c>
      <c r="AX352" t="str">
        <f>IF($AQ352="","",IF(INDEX(C_Pavement!$H$5:$H$204,$AQ352)&lt;&gt;"",IF(INDEX(C_Pavement!$H$5:$H$204,$AQ352)="-","",INDEX(C_Pavement!$H$5:$H$204,$AQ352)),IF($AS352="","",INDEX(E_Rules!$G$5:$G$9,$AS352))))</f>
        <v/>
      </c>
      <c r="AY352" t="str">
        <f>IF($AQ352="","",IF(INDEX(C_Pavement!$I$5:$I$204,$AQ352)&lt;&gt;"",IF(INDEX(C_Pavement!$I$5:$I$204,$AQ352)="-","",INDEX(C_Pavement!$I$5:$I$204,$AQ352)),IF($AS352="","",INDEX(E_Rules!$H$5:$H$9,$AS352))))</f>
        <v/>
      </c>
    </row>
    <row r="353" spans="1:51" ht="15.75" customHeight="1" x14ac:dyDescent="0.3">
      <c r="A353" s="189">
        <v>348</v>
      </c>
      <c r="B353" s="180">
        <v>17350</v>
      </c>
      <c r="C353" s="180" t="s">
        <v>659</v>
      </c>
      <c r="D353" s="181" t="str">
        <f>IFERROR(LOOKUP(2,1/((A_Corridor!$A$5:$A$204&lt;&gt;"")*(A_Corridor!$A$5:$A$204&lt;=$B353)*(A_Corridor!$B$5:$B$204&gt;$B353)*(A_Corridor!$C$5:$C$204&lt;&gt;"")),IF(UPPER(A_Corridor!$C$5:$C$204)="Y",1,"")),"")</f>
        <v/>
      </c>
      <c r="E353" s="181" t="str">
        <f>IFERROR(LOOKUP(2,1/((A_Corridor!$A$5:$A$204&lt;&gt;"")*(A_Corridor!$A$5:$A$204&lt;=$B353)*(A_Corridor!$B$5:$B$204&gt;$B353)*(A_Corridor!$D$5:$D$204&lt;&gt;"")),IF(A_Corridor!$D$5:$D$204="-","",UPPER(A_Corridor!$D$5:$D$204))),"")</f>
        <v/>
      </c>
      <c r="F353" s="181" t="str">
        <f>IFERROR(LOOKUP(2,1/((A_Corridor!$A$5:$A$204&lt;&gt;"")*(A_Corridor!$A$5:$A$204&lt;=$B353)*(A_Corridor!$B$5:$B$204&gt;$B353)*(A_Corridor!$E$5:$E$204&lt;&gt;"")),IF(A_Corridor!$E$5:$E$204="-","",1)),"")</f>
        <v/>
      </c>
      <c r="G353" s="182" t="str">
        <f>IFERROR(LOOKUP(2,1/((A_Corridor!$A$5:$A$204&lt;&gt;"")*(A_Corridor!$A$5:$A$204&lt;=$B353)*(A_Corridor!$B$5:$B$204&gt;$B353)*(A_Corridor!$E$5:$E$204&lt;&gt;"")),IF(A_Corridor!$E$5:$E$204="-","",A_Corridor!$E$5:$E$204)),"")</f>
        <v/>
      </c>
      <c r="H353" s="182" t="str">
        <f>IFERROR(LOOKUP(2,1/((D_Points!$A$5:$A$204&lt;&gt;"")*(D_Points!$A$5:$A$204&gt;=$B353)*(D_Points!$A$5:$A$204&lt;$B353+P_Interval)*(UPPER(TRIM(D_Points!$B$5:$B$204))="GULLY")*(D_Points!$H$5:$H$204&lt;&gt;"")),D_Points!$H$5:$H$204),"")</f>
        <v/>
      </c>
      <c r="I353" s="181" t="str">
        <f>IFERROR(LOOKUP(2,1/((A_Corridor!$A$5:$A$204&lt;&gt;"")*(A_Corridor!$A$5:$A$204&lt;=$B353)*(A_Corridor!$B$5:$B$204&gt;$B353)*(A_Corridor!$F$5:$F$204&lt;&gt;"")),IF(A_Corridor!$F$5:$F$204="-","",1)),"")</f>
        <v/>
      </c>
      <c r="J353" s="182" t="str">
        <f>IFERROR(LOOKUP(2,1/((A_Corridor!$A$5:$A$204&lt;&gt;"")*(A_Corridor!$A$5:$A$204&lt;=$B353)*(A_Corridor!$B$5:$B$204&gt;$B353)*(A_Corridor!$F$5:$F$204&lt;&gt;"")),IF(A_Corridor!$F$5:$F$204="-","",A_Corridor!$F$5:$F$204)),"")</f>
        <v/>
      </c>
      <c r="K353" s="182" t="str">
        <f>IFERROR(LOOKUP(2,1/((A_Corridor!$A$5:$A$204&lt;&gt;"")*(A_Corridor!$A$5:$A$204&lt;=$B353)*(A_Corridor!$B$5:$B$204&gt;$B353)*(A_Corridor!$G$5:$G$204&lt;&gt;"")),IF(A_Corridor!$G$5:$G$204="-","",A_Corridor!$G$5:$G$204)),"")</f>
        <v/>
      </c>
      <c r="L353" s="181" t="str">
        <f>IFERROR(LOOKUP(2,1/((A_Corridor!$A$5:$A$204&lt;&gt;"")*(A_Corridor!$A$5:$A$204&lt;=$B353)*(A_Corridor!$B$5:$B$204&gt;$B353)*(A_Corridor!$H$5:$H$204&lt;&gt;"")),IF(A_Corridor!$H$5:$H$204="-","",1)),"")</f>
        <v/>
      </c>
      <c r="M353" s="182" t="str">
        <f>IFERROR(LOOKUP(2,1/((A_Corridor!$A$5:$A$204&lt;&gt;"")*(A_Corridor!$A$5:$A$204&lt;=$B353)*(A_Corridor!$B$5:$B$204&gt;$B353)*(A_Corridor!$H$5:$H$204&lt;&gt;"")),IF(A_Corridor!$H$5:$H$204="-","",A_Corridor!$H$5:$H$204)),"")</f>
        <v/>
      </c>
      <c r="N353" s="182" t="str">
        <f>IFERROR(LOOKUP(2,1/((A_Corridor!$A$5:$A$204&lt;&gt;"")*(A_Corridor!$A$5:$A$204&lt;=$B353)*(A_Corridor!$B$5:$B$204&gt;$B353)*(A_Corridor!$I$5:$I$204&lt;&gt;"")),IF(A_Corridor!$I$5:$I$204="-","",A_Corridor!$I$5:$I$204)),"")</f>
        <v/>
      </c>
      <c r="O353" s="182" t="str">
        <f>IFERROR(LOOKUP(2,1/((D_Points!$A$5:$A$204&lt;&gt;"")*(D_Points!$A$5:$A$204&gt;=$B353)*(D_Points!$A$5:$A$204&lt;$B353+P_Interval)*(UPPER(TRIM(D_Points!$B$5:$B$204))="PITCHING")*(D_Points!$H$5:$H$204&lt;&gt;"")),D_Points!$H$5:$H$204),"")</f>
        <v/>
      </c>
      <c r="P353" s="181" t="str">
        <f>IFERROR(LOOKUP(2,1/((B_Drainage!$A$5:$A$204&lt;&gt;"")*(B_Drainage!$A$5:$A$204&lt;=$B353)*(B_Drainage!$B$5:$B$204&gt;$B353)*(B_Drainage!$C$5:$C$204&lt;&gt;"")),IF(B_Drainage!$C$5:$C$204="-","",UPPER(B_Drainage!$C$5:$C$204))),"")</f>
        <v/>
      </c>
      <c r="Q353" s="181" t="str">
        <f>IFERROR(LOOKUP(2,1/((B_Drainage!$A$5:$A$204&lt;&gt;"")*(B_Drainage!$A$5:$A$204&lt;=$B353)*(B_Drainage!$B$5:$B$204&gt;$B353)*(B_Drainage!$D$5:$D$204&lt;&gt;"")),IF(B_Drainage!$D$5:$D$204="-","",UPPER(B_Drainage!$D$5:$D$204))),"")</f>
        <v/>
      </c>
      <c r="R353" s="182" t="str">
        <f>IFERROR(LOOKUP(2,1/((D_Points!$A$5:$A$204&lt;&gt;"")*(D_Points!$A$5:$A$204&gt;=$B353)*(D_Points!$A$5:$A$204&lt;$B353+P_Interval)*(RIGHT(UPPER(TRIM(D_Points!$B$5:$B$204)),8)="_CULVERT")),IF(LEFT(UPPER(TRIM(D_Points!$B$5:$B$204)),2)="EX",1,IF(LEFT(UPPER(TRIM(D_Points!$B$5:$B$204)),2)="PR",2,3))),"")</f>
        <v/>
      </c>
      <c r="S353" s="182" t="str">
        <f>IFERROR(LOOKUP(2,1/((D_Points!$A$5:$A$204&lt;&gt;"")*(D_Points!$A$5:$A$204&gt;=$B353)*(D_Points!$A$5:$A$204&lt;$B353+P_Interval)*(RIGHT(UPPER(TRIM(D_Points!$B$5:$B$204)),7)="_BRIDGE")),IF(LEFT(UPPER(TRIM(D_Points!$B$5:$B$204)),2)="EX",1,IF(LEFT(UPPER(TRIM(D_Points!$B$5:$B$204)),2)="PR",2,2))),"")</f>
        <v/>
      </c>
      <c r="T353" s="181" t="str">
        <f>IFERROR(LOOKUP(2,1/((B_Drainage!$A$5:$A$204&lt;&gt;"")*(B_Drainage!$A$5:$A$204&lt;=$B353)*(B_Drainage!$B$5:$B$204&gt;$B353)*(B_Drainage!$E$5:$E$204&lt;&gt;"")),IF(B_Drainage!$E$5:$E$204="-","",1)),"")</f>
        <v/>
      </c>
      <c r="U353" s="181" t="str">
        <f>IFERROR(LOOKUP(2,1/((B_Drainage!$A$5:$A$204&lt;&gt;"")*(B_Drainage!$A$5:$A$204&lt;=$B353)*(B_Drainage!$B$5:$B$204&gt;$B353)*(B_Drainage!$E$5:$E$204&lt;&gt;"")),IF(B_Drainage!$E$5:$E$204="-","",B_Drainage!$E$5:$E$204)),"")</f>
        <v/>
      </c>
      <c r="V353" s="181" t="str">
        <f>IFERROR(LOOKUP(2,1/((B_Drainage!$A$5:$A$204&lt;&gt;"")*(B_Drainage!$A$5:$A$204&lt;=$B353)*(B_Drainage!$B$5:$B$204&gt;$B353)*(B_Drainage!$F$5:$F$204&lt;&gt;"")),IF(B_Drainage!$F$5:$F$204="-","",1)),"")</f>
        <v/>
      </c>
      <c r="W353" s="181" t="str">
        <f>IFERROR(LOOKUP(2,1/((B_Drainage!$A$5:$A$204&lt;&gt;"")*(B_Drainage!$A$5:$A$204&lt;=$B353)*(B_Drainage!$B$5:$B$204&gt;$B353)*(B_Drainage!$F$5:$F$204&lt;&gt;"")),IF(B_Drainage!$F$5:$F$204="-","",B_Drainage!$F$5:$F$204)),"")</f>
        <v/>
      </c>
      <c r="X353" s="181" t="str">
        <f>IFERROR(LOOKUP(2,1/((B_Drainage!$A$5:$A$204&lt;&gt;"")*(B_Drainage!$A$5:$A$204&lt;=$B353)*(B_Drainage!$B$5:$B$204&gt;$B353)*(B_Drainage!$G$5:$G$204&lt;&gt;"")),IF(UPPER(B_Drainage!$G$5:$G$204)="Y",1,"")),"")</f>
        <v/>
      </c>
      <c r="Y353" s="181" t="str">
        <f>IFERROR(LOOKUP(2,1/((B_Drainage!$A$5:$A$204&lt;&gt;"")*(B_Drainage!$A$5:$A$204&lt;=$B353)*(B_Drainage!$B$5:$B$204&gt;$B353)*(B_Drainage!$H$5:$H$204&lt;&gt;"")),IF(UPPER(B_Drainage!$H$5:$H$204)="Y",1,"")),"")</f>
        <v/>
      </c>
      <c r="Z353" s="181" t="str">
        <f>IFERROR(LOOKUP(2,1/((B_Drainage!$A$5:$A$204&lt;&gt;"")*(B_Drainage!$A$5:$A$204&lt;=$B353)*(B_Drainage!$B$5:$B$204&gt;$B353)*(B_Drainage!$I$5:$I$204&lt;&gt;"")),IF(UPPER(B_Drainage!$I$5:$I$204)="Y",1,"")),"")</f>
        <v/>
      </c>
      <c r="AA353" s="181" t="str">
        <f>IFERROR(LOOKUP(2,1/((B_Drainage!$A$5:$A$204&lt;&gt;"")*(B_Drainage!$A$5:$A$204&lt;=$B353)*(B_Drainage!$B$5:$B$204&gt;$B353)*(B_Drainage!$J$5:$J$204&lt;&gt;"")),IF(UPPER(B_Drainage!$J$5:$J$204)="Y",1,"")),"")</f>
        <v/>
      </c>
      <c r="AB353" s="182" t="str">
        <f>IFERROR(LOOKUP(2,1/((B_Drainage!$A$5:$A$204&lt;&gt;"")*(B_Drainage!$A$5:$A$204&lt;=$B353)*(B_Drainage!$B$5:$B$204&gt;$B353)*(B_Drainage!$K$5:$K$204&lt;&gt;"")),IF(B_Drainage!$K$5:$K$204="-","",B_Drainage!$K$5:$K$204)),"")</f>
        <v/>
      </c>
      <c r="AC353" s="182" t="str">
        <f>IFERROR(LOOKUP(2,1/((B_Drainage!$A$5:$A$204&lt;&gt;"")*(B_Drainage!$A$5:$A$204&lt;=$B353)*(B_Drainage!$B$5:$B$204&gt;$B353)*(B_Drainage!$L$5:$L$204&lt;&gt;"")),IF(B_Drainage!$L$5:$L$204="-","",B_Drainage!$L$5:$L$204)),"")</f>
        <v/>
      </c>
      <c r="AD353" s="182" t="str">
        <f>IFERROR(LOOKUP(2,1/((D_Points!$A$5:$A$204&lt;&gt;"")*(D_Points!$A$5:$A$204&gt;=$B353)*(D_Points!$A$5:$A$204&lt;$B353+P_Interval)*(UPPER(TRIM(D_Points!$B$5:$B$204))="TURNOUT_L")*(D_Points!$H$5:$H$204&lt;&gt;"")),D_Points!$H$5:$H$204),"")</f>
        <v/>
      </c>
      <c r="AE353" s="182" t="str">
        <f>IFERROR(LOOKUP(2,1/((D_Points!$A$5:$A$204&lt;&gt;"")*(D_Points!$A$5:$A$204&gt;=$B353)*(D_Points!$A$5:$A$204&lt;$B353+P_Interval)*(UPPER(TRIM(D_Points!$B$5:$B$204))="TURNOUT_R")*(D_Points!$H$5:$H$204&lt;&gt;"")),D_Points!$H$5:$H$204),"")</f>
        <v/>
      </c>
      <c r="AF353" s="181" t="str">
        <f>IFERROR(LOOKUP(2,1/((B_Drainage!$A$5:$A$204&lt;&gt;"")*(B_Drainage!$A$5:$A$204&lt;=$B353)*(B_Drainage!$B$5:$B$204&gt;$B353)*(B_Drainage!$M$5:$M$204&lt;&gt;"")),IF(UPPER(B_Drainage!$M$5:$M$204)="Y",1,"")),"")</f>
        <v/>
      </c>
      <c r="AG353" s="181" t="str">
        <f>IFERROR(LOOKUP(2,1/((B_Drainage!$A$5:$A$204&lt;&gt;"")*(B_Drainage!$A$5:$A$204&lt;=$B353)*(B_Drainage!$B$5:$B$204&gt;$B353)*(B_Drainage!$N$5:$N$204&lt;&gt;"")),IF(UPPER(B_Drainage!$N$5:$N$204)="Y",1,"")),"")</f>
        <v/>
      </c>
      <c r="AH353" s="181" t="str">
        <f t="shared" si="40"/>
        <v/>
      </c>
      <c r="AI353" s="181" t="str">
        <f t="shared" si="41"/>
        <v/>
      </c>
      <c r="AJ353" s="181" t="str">
        <f t="shared" si="42"/>
        <v/>
      </c>
      <c r="AK353" s="181" t="str">
        <f t="shared" si="43"/>
        <v/>
      </c>
      <c r="AL353" s="181" t="str">
        <f t="shared" si="44"/>
        <v/>
      </c>
      <c r="AM353" s="181" t="str">
        <f t="shared" si="45"/>
        <v/>
      </c>
      <c r="AN353" s="181" t="str">
        <f t="shared" si="46"/>
        <v/>
      </c>
      <c r="AO353" s="192" t="str">
        <f t="shared" si="47"/>
        <v/>
      </c>
      <c r="AQ353" t="str">
        <f>IFERROR(LOOKUP(2,1/((C_Pavement!$A$5:$A$204&lt;&gt;"")*(C_Pavement!$A$5:$A$204&lt;=$B353)*(C_Pavement!$B$5:$B$204&gt;$B353)*(C_Pavement!$C$5:$C$204&lt;&gt;"")),ROW(C_Pavement!$C$5:$C$204)-4),"")</f>
        <v/>
      </c>
      <c r="AR353" t="str">
        <f>IF($AQ353="","",UPPER(TRIM(INDEX(C_Pavement!$C$5:$C$204,$AQ353))))</f>
        <v/>
      </c>
      <c r="AS353" t="str">
        <f>IF($AR353="","",IFERROR(MATCH($AR353,E_Rules!$A$5:$A$9,0),""))</f>
        <v/>
      </c>
      <c r="AT353" t="str">
        <f>IF($AQ353="","",IF(INDEX(C_Pavement!$D$5:$D$204,$AQ353)&lt;&gt;"",UPPER(TRIM(INDEX(C_Pavement!$D$5:$D$204,$AQ353))),IF($AS353="","",INDEX(E_Rules!$C$5:$C$9,$AS353))))</f>
        <v/>
      </c>
      <c r="AU353" t="str">
        <f>IF($AQ353="","",IF(INDEX(C_Pavement!$E$5:$E$204,$AQ353)&lt;&gt;"",IF(INDEX(C_Pavement!$E$5:$E$204,$AQ353)="-","",INDEX(C_Pavement!$E$5:$E$204,$AQ353)),IF($AS353="","",INDEX(E_Rules!$D$5:$D$9,$AS353))))</f>
        <v/>
      </c>
      <c r="AV353" t="str">
        <f>IF($AQ353="","",IF(INDEX(C_Pavement!$F$5:$F$204,$AQ353)&lt;&gt;"",IF(INDEX(C_Pavement!$F$5:$F$204,$AQ353)="-","",INDEX(C_Pavement!$F$5:$F$204,$AQ353)),IF($AS353="","",INDEX(E_Rules!$E$5:$E$9,$AS353))))</f>
        <v/>
      </c>
      <c r="AW353" t="str">
        <f>IF($AQ353="","",IF(INDEX(C_Pavement!$G$5:$G$204,$AQ353)&lt;&gt;"",IF(INDEX(C_Pavement!$G$5:$G$204,$AQ353)="-","",INDEX(C_Pavement!$G$5:$G$204,$AQ353)),IF($AS353="","",INDEX(E_Rules!$F$5:$F$9,$AS353))))</f>
        <v/>
      </c>
      <c r="AX353" t="str">
        <f>IF($AQ353="","",IF(INDEX(C_Pavement!$H$5:$H$204,$AQ353)&lt;&gt;"",IF(INDEX(C_Pavement!$H$5:$H$204,$AQ353)="-","",INDEX(C_Pavement!$H$5:$H$204,$AQ353)),IF($AS353="","",INDEX(E_Rules!$G$5:$G$9,$AS353))))</f>
        <v/>
      </c>
      <c r="AY353" t="str">
        <f>IF($AQ353="","",IF(INDEX(C_Pavement!$I$5:$I$204,$AQ353)&lt;&gt;"",IF(INDEX(C_Pavement!$I$5:$I$204,$AQ353)="-","",INDEX(C_Pavement!$I$5:$I$204,$AQ353)),IF($AS353="","",INDEX(E_Rules!$H$5:$H$9,$AS353))))</f>
        <v/>
      </c>
    </row>
    <row r="354" spans="1:51" ht="15.75" customHeight="1" x14ac:dyDescent="0.3">
      <c r="A354" s="189">
        <v>349</v>
      </c>
      <c r="B354" s="180">
        <v>17400</v>
      </c>
      <c r="C354" s="180" t="s">
        <v>660</v>
      </c>
      <c r="D354" s="181" t="str">
        <f>IFERROR(LOOKUP(2,1/((A_Corridor!$A$5:$A$204&lt;&gt;"")*(A_Corridor!$A$5:$A$204&lt;=$B354)*(A_Corridor!$B$5:$B$204&gt;$B354)*(A_Corridor!$C$5:$C$204&lt;&gt;"")),IF(UPPER(A_Corridor!$C$5:$C$204)="Y",1,"")),"")</f>
        <v/>
      </c>
      <c r="E354" s="181" t="str">
        <f>IFERROR(LOOKUP(2,1/((A_Corridor!$A$5:$A$204&lt;&gt;"")*(A_Corridor!$A$5:$A$204&lt;=$B354)*(A_Corridor!$B$5:$B$204&gt;$B354)*(A_Corridor!$D$5:$D$204&lt;&gt;"")),IF(A_Corridor!$D$5:$D$204="-","",UPPER(A_Corridor!$D$5:$D$204))),"")</f>
        <v/>
      </c>
      <c r="F354" s="181" t="str">
        <f>IFERROR(LOOKUP(2,1/((A_Corridor!$A$5:$A$204&lt;&gt;"")*(A_Corridor!$A$5:$A$204&lt;=$B354)*(A_Corridor!$B$5:$B$204&gt;$B354)*(A_Corridor!$E$5:$E$204&lt;&gt;"")),IF(A_Corridor!$E$5:$E$204="-","",1)),"")</f>
        <v/>
      </c>
      <c r="G354" s="182" t="str">
        <f>IFERROR(LOOKUP(2,1/((A_Corridor!$A$5:$A$204&lt;&gt;"")*(A_Corridor!$A$5:$A$204&lt;=$B354)*(A_Corridor!$B$5:$B$204&gt;$B354)*(A_Corridor!$E$5:$E$204&lt;&gt;"")),IF(A_Corridor!$E$5:$E$204="-","",A_Corridor!$E$5:$E$204)),"")</f>
        <v/>
      </c>
      <c r="H354" s="182" t="str">
        <f>IFERROR(LOOKUP(2,1/((D_Points!$A$5:$A$204&lt;&gt;"")*(D_Points!$A$5:$A$204&gt;=$B354)*(D_Points!$A$5:$A$204&lt;$B354+P_Interval)*(UPPER(TRIM(D_Points!$B$5:$B$204))="GULLY")*(D_Points!$H$5:$H$204&lt;&gt;"")),D_Points!$H$5:$H$204),"")</f>
        <v/>
      </c>
      <c r="I354" s="181" t="str">
        <f>IFERROR(LOOKUP(2,1/((A_Corridor!$A$5:$A$204&lt;&gt;"")*(A_Corridor!$A$5:$A$204&lt;=$B354)*(A_Corridor!$B$5:$B$204&gt;$B354)*(A_Corridor!$F$5:$F$204&lt;&gt;"")),IF(A_Corridor!$F$5:$F$204="-","",1)),"")</f>
        <v/>
      </c>
      <c r="J354" s="182" t="str">
        <f>IFERROR(LOOKUP(2,1/((A_Corridor!$A$5:$A$204&lt;&gt;"")*(A_Corridor!$A$5:$A$204&lt;=$B354)*(A_Corridor!$B$5:$B$204&gt;$B354)*(A_Corridor!$F$5:$F$204&lt;&gt;"")),IF(A_Corridor!$F$5:$F$204="-","",A_Corridor!$F$5:$F$204)),"")</f>
        <v/>
      </c>
      <c r="K354" s="182" t="str">
        <f>IFERROR(LOOKUP(2,1/((A_Corridor!$A$5:$A$204&lt;&gt;"")*(A_Corridor!$A$5:$A$204&lt;=$B354)*(A_Corridor!$B$5:$B$204&gt;$B354)*(A_Corridor!$G$5:$G$204&lt;&gt;"")),IF(A_Corridor!$G$5:$G$204="-","",A_Corridor!$G$5:$G$204)),"")</f>
        <v/>
      </c>
      <c r="L354" s="181" t="str">
        <f>IFERROR(LOOKUP(2,1/((A_Corridor!$A$5:$A$204&lt;&gt;"")*(A_Corridor!$A$5:$A$204&lt;=$B354)*(A_Corridor!$B$5:$B$204&gt;$B354)*(A_Corridor!$H$5:$H$204&lt;&gt;"")),IF(A_Corridor!$H$5:$H$204="-","",1)),"")</f>
        <v/>
      </c>
      <c r="M354" s="182" t="str">
        <f>IFERROR(LOOKUP(2,1/((A_Corridor!$A$5:$A$204&lt;&gt;"")*(A_Corridor!$A$5:$A$204&lt;=$B354)*(A_Corridor!$B$5:$B$204&gt;$B354)*(A_Corridor!$H$5:$H$204&lt;&gt;"")),IF(A_Corridor!$H$5:$H$204="-","",A_Corridor!$H$5:$H$204)),"")</f>
        <v/>
      </c>
      <c r="N354" s="182" t="str">
        <f>IFERROR(LOOKUP(2,1/((A_Corridor!$A$5:$A$204&lt;&gt;"")*(A_Corridor!$A$5:$A$204&lt;=$B354)*(A_Corridor!$B$5:$B$204&gt;$B354)*(A_Corridor!$I$5:$I$204&lt;&gt;"")),IF(A_Corridor!$I$5:$I$204="-","",A_Corridor!$I$5:$I$204)),"")</f>
        <v/>
      </c>
      <c r="O354" s="182" t="str">
        <f>IFERROR(LOOKUP(2,1/((D_Points!$A$5:$A$204&lt;&gt;"")*(D_Points!$A$5:$A$204&gt;=$B354)*(D_Points!$A$5:$A$204&lt;$B354+P_Interval)*(UPPER(TRIM(D_Points!$B$5:$B$204))="PITCHING")*(D_Points!$H$5:$H$204&lt;&gt;"")),D_Points!$H$5:$H$204),"")</f>
        <v/>
      </c>
      <c r="P354" s="181" t="str">
        <f>IFERROR(LOOKUP(2,1/((B_Drainage!$A$5:$A$204&lt;&gt;"")*(B_Drainage!$A$5:$A$204&lt;=$B354)*(B_Drainage!$B$5:$B$204&gt;$B354)*(B_Drainage!$C$5:$C$204&lt;&gt;"")),IF(B_Drainage!$C$5:$C$204="-","",UPPER(B_Drainage!$C$5:$C$204))),"")</f>
        <v/>
      </c>
      <c r="Q354" s="181" t="str">
        <f>IFERROR(LOOKUP(2,1/((B_Drainage!$A$5:$A$204&lt;&gt;"")*(B_Drainage!$A$5:$A$204&lt;=$B354)*(B_Drainage!$B$5:$B$204&gt;$B354)*(B_Drainage!$D$5:$D$204&lt;&gt;"")),IF(B_Drainage!$D$5:$D$204="-","",UPPER(B_Drainage!$D$5:$D$204))),"")</f>
        <v/>
      </c>
      <c r="R354" s="182" t="str">
        <f>IFERROR(LOOKUP(2,1/((D_Points!$A$5:$A$204&lt;&gt;"")*(D_Points!$A$5:$A$204&gt;=$B354)*(D_Points!$A$5:$A$204&lt;$B354+P_Interval)*(RIGHT(UPPER(TRIM(D_Points!$B$5:$B$204)),8)="_CULVERT")),IF(LEFT(UPPER(TRIM(D_Points!$B$5:$B$204)),2)="EX",1,IF(LEFT(UPPER(TRIM(D_Points!$B$5:$B$204)),2)="PR",2,3))),"")</f>
        <v/>
      </c>
      <c r="S354" s="182" t="str">
        <f>IFERROR(LOOKUP(2,1/((D_Points!$A$5:$A$204&lt;&gt;"")*(D_Points!$A$5:$A$204&gt;=$B354)*(D_Points!$A$5:$A$204&lt;$B354+P_Interval)*(RIGHT(UPPER(TRIM(D_Points!$B$5:$B$204)),7)="_BRIDGE")),IF(LEFT(UPPER(TRIM(D_Points!$B$5:$B$204)),2)="EX",1,IF(LEFT(UPPER(TRIM(D_Points!$B$5:$B$204)),2)="PR",2,2))),"")</f>
        <v/>
      </c>
      <c r="T354" s="181" t="str">
        <f>IFERROR(LOOKUP(2,1/((B_Drainage!$A$5:$A$204&lt;&gt;"")*(B_Drainage!$A$5:$A$204&lt;=$B354)*(B_Drainage!$B$5:$B$204&gt;$B354)*(B_Drainage!$E$5:$E$204&lt;&gt;"")),IF(B_Drainage!$E$5:$E$204="-","",1)),"")</f>
        <v/>
      </c>
      <c r="U354" s="181" t="str">
        <f>IFERROR(LOOKUP(2,1/((B_Drainage!$A$5:$A$204&lt;&gt;"")*(B_Drainage!$A$5:$A$204&lt;=$B354)*(B_Drainage!$B$5:$B$204&gt;$B354)*(B_Drainage!$E$5:$E$204&lt;&gt;"")),IF(B_Drainage!$E$5:$E$204="-","",B_Drainage!$E$5:$E$204)),"")</f>
        <v/>
      </c>
      <c r="V354" s="181" t="str">
        <f>IFERROR(LOOKUP(2,1/((B_Drainage!$A$5:$A$204&lt;&gt;"")*(B_Drainage!$A$5:$A$204&lt;=$B354)*(B_Drainage!$B$5:$B$204&gt;$B354)*(B_Drainage!$F$5:$F$204&lt;&gt;"")),IF(B_Drainage!$F$5:$F$204="-","",1)),"")</f>
        <v/>
      </c>
      <c r="W354" s="181" t="str">
        <f>IFERROR(LOOKUP(2,1/((B_Drainage!$A$5:$A$204&lt;&gt;"")*(B_Drainage!$A$5:$A$204&lt;=$B354)*(B_Drainage!$B$5:$B$204&gt;$B354)*(B_Drainage!$F$5:$F$204&lt;&gt;"")),IF(B_Drainage!$F$5:$F$204="-","",B_Drainage!$F$5:$F$204)),"")</f>
        <v/>
      </c>
      <c r="X354" s="181" t="str">
        <f>IFERROR(LOOKUP(2,1/((B_Drainage!$A$5:$A$204&lt;&gt;"")*(B_Drainage!$A$5:$A$204&lt;=$B354)*(B_Drainage!$B$5:$B$204&gt;$B354)*(B_Drainage!$G$5:$G$204&lt;&gt;"")),IF(UPPER(B_Drainage!$G$5:$G$204)="Y",1,"")),"")</f>
        <v/>
      </c>
      <c r="Y354" s="181" t="str">
        <f>IFERROR(LOOKUP(2,1/((B_Drainage!$A$5:$A$204&lt;&gt;"")*(B_Drainage!$A$5:$A$204&lt;=$B354)*(B_Drainage!$B$5:$B$204&gt;$B354)*(B_Drainage!$H$5:$H$204&lt;&gt;"")),IF(UPPER(B_Drainage!$H$5:$H$204)="Y",1,"")),"")</f>
        <v/>
      </c>
      <c r="Z354" s="181" t="str">
        <f>IFERROR(LOOKUP(2,1/((B_Drainage!$A$5:$A$204&lt;&gt;"")*(B_Drainage!$A$5:$A$204&lt;=$B354)*(B_Drainage!$B$5:$B$204&gt;$B354)*(B_Drainage!$I$5:$I$204&lt;&gt;"")),IF(UPPER(B_Drainage!$I$5:$I$204)="Y",1,"")),"")</f>
        <v/>
      </c>
      <c r="AA354" s="181" t="str">
        <f>IFERROR(LOOKUP(2,1/((B_Drainage!$A$5:$A$204&lt;&gt;"")*(B_Drainage!$A$5:$A$204&lt;=$B354)*(B_Drainage!$B$5:$B$204&gt;$B354)*(B_Drainage!$J$5:$J$204&lt;&gt;"")),IF(UPPER(B_Drainage!$J$5:$J$204)="Y",1,"")),"")</f>
        <v/>
      </c>
      <c r="AB354" s="182" t="str">
        <f>IFERROR(LOOKUP(2,1/((B_Drainage!$A$5:$A$204&lt;&gt;"")*(B_Drainage!$A$5:$A$204&lt;=$B354)*(B_Drainage!$B$5:$B$204&gt;$B354)*(B_Drainage!$K$5:$K$204&lt;&gt;"")),IF(B_Drainage!$K$5:$K$204="-","",B_Drainage!$K$5:$K$204)),"")</f>
        <v/>
      </c>
      <c r="AC354" s="182" t="str">
        <f>IFERROR(LOOKUP(2,1/((B_Drainage!$A$5:$A$204&lt;&gt;"")*(B_Drainage!$A$5:$A$204&lt;=$B354)*(B_Drainage!$B$5:$B$204&gt;$B354)*(B_Drainage!$L$5:$L$204&lt;&gt;"")),IF(B_Drainage!$L$5:$L$204="-","",B_Drainage!$L$5:$L$204)),"")</f>
        <v/>
      </c>
      <c r="AD354" s="182" t="str">
        <f>IFERROR(LOOKUP(2,1/((D_Points!$A$5:$A$204&lt;&gt;"")*(D_Points!$A$5:$A$204&gt;=$B354)*(D_Points!$A$5:$A$204&lt;$B354+P_Interval)*(UPPER(TRIM(D_Points!$B$5:$B$204))="TURNOUT_L")*(D_Points!$H$5:$H$204&lt;&gt;"")),D_Points!$H$5:$H$204),"")</f>
        <v/>
      </c>
      <c r="AE354" s="182" t="str">
        <f>IFERROR(LOOKUP(2,1/((D_Points!$A$5:$A$204&lt;&gt;"")*(D_Points!$A$5:$A$204&gt;=$B354)*(D_Points!$A$5:$A$204&lt;$B354+P_Interval)*(UPPER(TRIM(D_Points!$B$5:$B$204))="TURNOUT_R")*(D_Points!$H$5:$H$204&lt;&gt;"")),D_Points!$H$5:$H$204),"")</f>
        <v/>
      </c>
      <c r="AF354" s="181" t="str">
        <f>IFERROR(LOOKUP(2,1/((B_Drainage!$A$5:$A$204&lt;&gt;"")*(B_Drainage!$A$5:$A$204&lt;=$B354)*(B_Drainage!$B$5:$B$204&gt;$B354)*(B_Drainage!$M$5:$M$204&lt;&gt;"")),IF(UPPER(B_Drainage!$M$5:$M$204)="Y",1,"")),"")</f>
        <v/>
      </c>
      <c r="AG354" s="181" t="str">
        <f>IFERROR(LOOKUP(2,1/((B_Drainage!$A$5:$A$204&lt;&gt;"")*(B_Drainage!$A$5:$A$204&lt;=$B354)*(B_Drainage!$B$5:$B$204&gt;$B354)*(B_Drainage!$N$5:$N$204&lt;&gt;"")),IF(UPPER(B_Drainage!$N$5:$N$204)="Y",1,"")),"")</f>
        <v/>
      </c>
      <c r="AH354" s="181" t="str">
        <f t="shared" si="40"/>
        <v/>
      </c>
      <c r="AI354" s="181" t="str">
        <f t="shared" si="41"/>
        <v/>
      </c>
      <c r="AJ354" s="181" t="str">
        <f t="shared" si="42"/>
        <v/>
      </c>
      <c r="AK354" s="181" t="str">
        <f t="shared" si="43"/>
        <v/>
      </c>
      <c r="AL354" s="181" t="str">
        <f t="shared" si="44"/>
        <v/>
      </c>
      <c r="AM354" s="181" t="str">
        <f t="shared" si="45"/>
        <v/>
      </c>
      <c r="AN354" s="181" t="str">
        <f t="shared" si="46"/>
        <v/>
      </c>
      <c r="AO354" s="192" t="str">
        <f t="shared" si="47"/>
        <v/>
      </c>
      <c r="AQ354" t="str">
        <f>IFERROR(LOOKUP(2,1/((C_Pavement!$A$5:$A$204&lt;&gt;"")*(C_Pavement!$A$5:$A$204&lt;=$B354)*(C_Pavement!$B$5:$B$204&gt;$B354)*(C_Pavement!$C$5:$C$204&lt;&gt;"")),ROW(C_Pavement!$C$5:$C$204)-4),"")</f>
        <v/>
      </c>
      <c r="AR354" t="str">
        <f>IF($AQ354="","",UPPER(TRIM(INDEX(C_Pavement!$C$5:$C$204,$AQ354))))</f>
        <v/>
      </c>
      <c r="AS354" t="str">
        <f>IF($AR354="","",IFERROR(MATCH($AR354,E_Rules!$A$5:$A$9,0),""))</f>
        <v/>
      </c>
      <c r="AT354" t="str">
        <f>IF($AQ354="","",IF(INDEX(C_Pavement!$D$5:$D$204,$AQ354)&lt;&gt;"",UPPER(TRIM(INDEX(C_Pavement!$D$5:$D$204,$AQ354))),IF($AS354="","",INDEX(E_Rules!$C$5:$C$9,$AS354))))</f>
        <v/>
      </c>
      <c r="AU354" t="str">
        <f>IF($AQ354="","",IF(INDEX(C_Pavement!$E$5:$E$204,$AQ354)&lt;&gt;"",IF(INDEX(C_Pavement!$E$5:$E$204,$AQ354)="-","",INDEX(C_Pavement!$E$5:$E$204,$AQ354)),IF($AS354="","",INDEX(E_Rules!$D$5:$D$9,$AS354))))</f>
        <v/>
      </c>
      <c r="AV354" t="str">
        <f>IF($AQ354="","",IF(INDEX(C_Pavement!$F$5:$F$204,$AQ354)&lt;&gt;"",IF(INDEX(C_Pavement!$F$5:$F$204,$AQ354)="-","",INDEX(C_Pavement!$F$5:$F$204,$AQ354)),IF($AS354="","",INDEX(E_Rules!$E$5:$E$9,$AS354))))</f>
        <v/>
      </c>
      <c r="AW354" t="str">
        <f>IF($AQ354="","",IF(INDEX(C_Pavement!$G$5:$G$204,$AQ354)&lt;&gt;"",IF(INDEX(C_Pavement!$G$5:$G$204,$AQ354)="-","",INDEX(C_Pavement!$G$5:$G$204,$AQ354)),IF($AS354="","",INDEX(E_Rules!$F$5:$F$9,$AS354))))</f>
        <v/>
      </c>
      <c r="AX354" t="str">
        <f>IF($AQ354="","",IF(INDEX(C_Pavement!$H$5:$H$204,$AQ354)&lt;&gt;"",IF(INDEX(C_Pavement!$H$5:$H$204,$AQ354)="-","",INDEX(C_Pavement!$H$5:$H$204,$AQ354)),IF($AS354="","",INDEX(E_Rules!$G$5:$G$9,$AS354))))</f>
        <v/>
      </c>
      <c r="AY354" t="str">
        <f>IF($AQ354="","",IF(INDEX(C_Pavement!$I$5:$I$204,$AQ354)&lt;&gt;"",IF(INDEX(C_Pavement!$I$5:$I$204,$AQ354)="-","",INDEX(C_Pavement!$I$5:$I$204,$AQ354)),IF($AS354="","",INDEX(E_Rules!$H$5:$H$9,$AS354))))</f>
        <v/>
      </c>
    </row>
    <row r="355" spans="1:51" ht="15.75" customHeight="1" x14ac:dyDescent="0.3">
      <c r="A355" s="189">
        <v>350</v>
      </c>
      <c r="B355" s="180">
        <v>17450</v>
      </c>
      <c r="C355" s="180" t="s">
        <v>661</v>
      </c>
      <c r="D355" s="181" t="str">
        <f>IFERROR(LOOKUP(2,1/((A_Corridor!$A$5:$A$204&lt;&gt;"")*(A_Corridor!$A$5:$A$204&lt;=$B355)*(A_Corridor!$B$5:$B$204&gt;$B355)*(A_Corridor!$C$5:$C$204&lt;&gt;"")),IF(UPPER(A_Corridor!$C$5:$C$204)="Y",1,"")),"")</f>
        <v/>
      </c>
      <c r="E355" s="181" t="str">
        <f>IFERROR(LOOKUP(2,1/((A_Corridor!$A$5:$A$204&lt;&gt;"")*(A_Corridor!$A$5:$A$204&lt;=$B355)*(A_Corridor!$B$5:$B$204&gt;$B355)*(A_Corridor!$D$5:$D$204&lt;&gt;"")),IF(A_Corridor!$D$5:$D$204="-","",UPPER(A_Corridor!$D$5:$D$204))),"")</f>
        <v/>
      </c>
      <c r="F355" s="181" t="str">
        <f>IFERROR(LOOKUP(2,1/((A_Corridor!$A$5:$A$204&lt;&gt;"")*(A_Corridor!$A$5:$A$204&lt;=$B355)*(A_Corridor!$B$5:$B$204&gt;$B355)*(A_Corridor!$E$5:$E$204&lt;&gt;"")),IF(A_Corridor!$E$5:$E$204="-","",1)),"")</f>
        <v/>
      </c>
      <c r="G355" s="182" t="str">
        <f>IFERROR(LOOKUP(2,1/((A_Corridor!$A$5:$A$204&lt;&gt;"")*(A_Corridor!$A$5:$A$204&lt;=$B355)*(A_Corridor!$B$5:$B$204&gt;$B355)*(A_Corridor!$E$5:$E$204&lt;&gt;"")),IF(A_Corridor!$E$5:$E$204="-","",A_Corridor!$E$5:$E$204)),"")</f>
        <v/>
      </c>
      <c r="H355" s="182" t="str">
        <f>IFERROR(LOOKUP(2,1/((D_Points!$A$5:$A$204&lt;&gt;"")*(D_Points!$A$5:$A$204&gt;=$B355)*(D_Points!$A$5:$A$204&lt;$B355+P_Interval)*(UPPER(TRIM(D_Points!$B$5:$B$204))="GULLY")*(D_Points!$H$5:$H$204&lt;&gt;"")),D_Points!$H$5:$H$204),"")</f>
        <v/>
      </c>
      <c r="I355" s="181" t="str">
        <f>IFERROR(LOOKUP(2,1/((A_Corridor!$A$5:$A$204&lt;&gt;"")*(A_Corridor!$A$5:$A$204&lt;=$B355)*(A_Corridor!$B$5:$B$204&gt;$B355)*(A_Corridor!$F$5:$F$204&lt;&gt;"")),IF(A_Corridor!$F$5:$F$204="-","",1)),"")</f>
        <v/>
      </c>
      <c r="J355" s="182" t="str">
        <f>IFERROR(LOOKUP(2,1/((A_Corridor!$A$5:$A$204&lt;&gt;"")*(A_Corridor!$A$5:$A$204&lt;=$B355)*(A_Corridor!$B$5:$B$204&gt;$B355)*(A_Corridor!$F$5:$F$204&lt;&gt;"")),IF(A_Corridor!$F$5:$F$204="-","",A_Corridor!$F$5:$F$204)),"")</f>
        <v/>
      </c>
      <c r="K355" s="182" t="str">
        <f>IFERROR(LOOKUP(2,1/((A_Corridor!$A$5:$A$204&lt;&gt;"")*(A_Corridor!$A$5:$A$204&lt;=$B355)*(A_Corridor!$B$5:$B$204&gt;$B355)*(A_Corridor!$G$5:$G$204&lt;&gt;"")),IF(A_Corridor!$G$5:$G$204="-","",A_Corridor!$G$5:$G$204)),"")</f>
        <v/>
      </c>
      <c r="L355" s="181" t="str">
        <f>IFERROR(LOOKUP(2,1/((A_Corridor!$A$5:$A$204&lt;&gt;"")*(A_Corridor!$A$5:$A$204&lt;=$B355)*(A_Corridor!$B$5:$B$204&gt;$B355)*(A_Corridor!$H$5:$H$204&lt;&gt;"")),IF(A_Corridor!$H$5:$H$204="-","",1)),"")</f>
        <v/>
      </c>
      <c r="M355" s="182" t="str">
        <f>IFERROR(LOOKUP(2,1/((A_Corridor!$A$5:$A$204&lt;&gt;"")*(A_Corridor!$A$5:$A$204&lt;=$B355)*(A_Corridor!$B$5:$B$204&gt;$B355)*(A_Corridor!$H$5:$H$204&lt;&gt;"")),IF(A_Corridor!$H$5:$H$204="-","",A_Corridor!$H$5:$H$204)),"")</f>
        <v/>
      </c>
      <c r="N355" s="182" t="str">
        <f>IFERROR(LOOKUP(2,1/((A_Corridor!$A$5:$A$204&lt;&gt;"")*(A_Corridor!$A$5:$A$204&lt;=$B355)*(A_Corridor!$B$5:$B$204&gt;$B355)*(A_Corridor!$I$5:$I$204&lt;&gt;"")),IF(A_Corridor!$I$5:$I$204="-","",A_Corridor!$I$5:$I$204)),"")</f>
        <v/>
      </c>
      <c r="O355" s="182" t="str">
        <f>IFERROR(LOOKUP(2,1/((D_Points!$A$5:$A$204&lt;&gt;"")*(D_Points!$A$5:$A$204&gt;=$B355)*(D_Points!$A$5:$A$204&lt;$B355+P_Interval)*(UPPER(TRIM(D_Points!$B$5:$B$204))="PITCHING")*(D_Points!$H$5:$H$204&lt;&gt;"")),D_Points!$H$5:$H$204),"")</f>
        <v/>
      </c>
      <c r="P355" s="181" t="str">
        <f>IFERROR(LOOKUP(2,1/((B_Drainage!$A$5:$A$204&lt;&gt;"")*(B_Drainage!$A$5:$A$204&lt;=$B355)*(B_Drainage!$B$5:$B$204&gt;$B355)*(B_Drainage!$C$5:$C$204&lt;&gt;"")),IF(B_Drainage!$C$5:$C$204="-","",UPPER(B_Drainage!$C$5:$C$204))),"")</f>
        <v/>
      </c>
      <c r="Q355" s="181" t="str">
        <f>IFERROR(LOOKUP(2,1/((B_Drainage!$A$5:$A$204&lt;&gt;"")*(B_Drainage!$A$5:$A$204&lt;=$B355)*(B_Drainage!$B$5:$B$204&gt;$B355)*(B_Drainage!$D$5:$D$204&lt;&gt;"")),IF(B_Drainage!$D$5:$D$204="-","",UPPER(B_Drainage!$D$5:$D$204))),"")</f>
        <v/>
      </c>
      <c r="R355" s="182" t="str">
        <f>IFERROR(LOOKUP(2,1/((D_Points!$A$5:$A$204&lt;&gt;"")*(D_Points!$A$5:$A$204&gt;=$B355)*(D_Points!$A$5:$A$204&lt;$B355+P_Interval)*(RIGHT(UPPER(TRIM(D_Points!$B$5:$B$204)),8)="_CULVERT")),IF(LEFT(UPPER(TRIM(D_Points!$B$5:$B$204)),2)="EX",1,IF(LEFT(UPPER(TRIM(D_Points!$B$5:$B$204)),2)="PR",2,3))),"")</f>
        <v/>
      </c>
      <c r="S355" s="182" t="str">
        <f>IFERROR(LOOKUP(2,1/((D_Points!$A$5:$A$204&lt;&gt;"")*(D_Points!$A$5:$A$204&gt;=$B355)*(D_Points!$A$5:$A$204&lt;$B355+P_Interval)*(RIGHT(UPPER(TRIM(D_Points!$B$5:$B$204)),7)="_BRIDGE")),IF(LEFT(UPPER(TRIM(D_Points!$B$5:$B$204)),2)="EX",1,IF(LEFT(UPPER(TRIM(D_Points!$B$5:$B$204)),2)="PR",2,2))),"")</f>
        <v/>
      </c>
      <c r="T355" s="181" t="str">
        <f>IFERROR(LOOKUP(2,1/((B_Drainage!$A$5:$A$204&lt;&gt;"")*(B_Drainage!$A$5:$A$204&lt;=$B355)*(B_Drainage!$B$5:$B$204&gt;$B355)*(B_Drainage!$E$5:$E$204&lt;&gt;"")),IF(B_Drainage!$E$5:$E$204="-","",1)),"")</f>
        <v/>
      </c>
      <c r="U355" s="181" t="str">
        <f>IFERROR(LOOKUP(2,1/((B_Drainage!$A$5:$A$204&lt;&gt;"")*(B_Drainage!$A$5:$A$204&lt;=$B355)*(B_Drainage!$B$5:$B$204&gt;$B355)*(B_Drainage!$E$5:$E$204&lt;&gt;"")),IF(B_Drainage!$E$5:$E$204="-","",B_Drainage!$E$5:$E$204)),"")</f>
        <v/>
      </c>
      <c r="V355" s="181" t="str">
        <f>IFERROR(LOOKUP(2,1/((B_Drainage!$A$5:$A$204&lt;&gt;"")*(B_Drainage!$A$5:$A$204&lt;=$B355)*(B_Drainage!$B$5:$B$204&gt;$B355)*(B_Drainage!$F$5:$F$204&lt;&gt;"")),IF(B_Drainage!$F$5:$F$204="-","",1)),"")</f>
        <v/>
      </c>
      <c r="W355" s="181" t="str">
        <f>IFERROR(LOOKUP(2,1/((B_Drainage!$A$5:$A$204&lt;&gt;"")*(B_Drainage!$A$5:$A$204&lt;=$B355)*(B_Drainage!$B$5:$B$204&gt;$B355)*(B_Drainage!$F$5:$F$204&lt;&gt;"")),IF(B_Drainage!$F$5:$F$204="-","",B_Drainage!$F$5:$F$204)),"")</f>
        <v/>
      </c>
      <c r="X355" s="181" t="str">
        <f>IFERROR(LOOKUP(2,1/((B_Drainage!$A$5:$A$204&lt;&gt;"")*(B_Drainage!$A$5:$A$204&lt;=$B355)*(B_Drainage!$B$5:$B$204&gt;$B355)*(B_Drainage!$G$5:$G$204&lt;&gt;"")),IF(UPPER(B_Drainage!$G$5:$G$204)="Y",1,"")),"")</f>
        <v/>
      </c>
      <c r="Y355" s="181" t="str">
        <f>IFERROR(LOOKUP(2,1/((B_Drainage!$A$5:$A$204&lt;&gt;"")*(B_Drainage!$A$5:$A$204&lt;=$B355)*(B_Drainage!$B$5:$B$204&gt;$B355)*(B_Drainage!$H$5:$H$204&lt;&gt;"")),IF(UPPER(B_Drainage!$H$5:$H$204)="Y",1,"")),"")</f>
        <v/>
      </c>
      <c r="Z355" s="181" t="str">
        <f>IFERROR(LOOKUP(2,1/((B_Drainage!$A$5:$A$204&lt;&gt;"")*(B_Drainage!$A$5:$A$204&lt;=$B355)*(B_Drainage!$B$5:$B$204&gt;$B355)*(B_Drainage!$I$5:$I$204&lt;&gt;"")),IF(UPPER(B_Drainage!$I$5:$I$204)="Y",1,"")),"")</f>
        <v/>
      </c>
      <c r="AA355" s="181" t="str">
        <f>IFERROR(LOOKUP(2,1/((B_Drainage!$A$5:$A$204&lt;&gt;"")*(B_Drainage!$A$5:$A$204&lt;=$B355)*(B_Drainage!$B$5:$B$204&gt;$B355)*(B_Drainage!$J$5:$J$204&lt;&gt;"")),IF(UPPER(B_Drainage!$J$5:$J$204)="Y",1,"")),"")</f>
        <v/>
      </c>
      <c r="AB355" s="182" t="str">
        <f>IFERROR(LOOKUP(2,1/((B_Drainage!$A$5:$A$204&lt;&gt;"")*(B_Drainage!$A$5:$A$204&lt;=$B355)*(B_Drainage!$B$5:$B$204&gt;$B355)*(B_Drainage!$K$5:$K$204&lt;&gt;"")),IF(B_Drainage!$K$5:$K$204="-","",B_Drainage!$K$5:$K$204)),"")</f>
        <v/>
      </c>
      <c r="AC355" s="182" t="str">
        <f>IFERROR(LOOKUP(2,1/((B_Drainage!$A$5:$A$204&lt;&gt;"")*(B_Drainage!$A$5:$A$204&lt;=$B355)*(B_Drainage!$B$5:$B$204&gt;$B355)*(B_Drainage!$L$5:$L$204&lt;&gt;"")),IF(B_Drainage!$L$5:$L$204="-","",B_Drainage!$L$5:$L$204)),"")</f>
        <v/>
      </c>
      <c r="AD355" s="182" t="str">
        <f>IFERROR(LOOKUP(2,1/((D_Points!$A$5:$A$204&lt;&gt;"")*(D_Points!$A$5:$A$204&gt;=$B355)*(D_Points!$A$5:$A$204&lt;$B355+P_Interval)*(UPPER(TRIM(D_Points!$B$5:$B$204))="TURNOUT_L")*(D_Points!$H$5:$H$204&lt;&gt;"")),D_Points!$H$5:$H$204),"")</f>
        <v/>
      </c>
      <c r="AE355" s="182" t="str">
        <f>IFERROR(LOOKUP(2,1/((D_Points!$A$5:$A$204&lt;&gt;"")*(D_Points!$A$5:$A$204&gt;=$B355)*(D_Points!$A$5:$A$204&lt;$B355+P_Interval)*(UPPER(TRIM(D_Points!$B$5:$B$204))="TURNOUT_R")*(D_Points!$H$5:$H$204&lt;&gt;"")),D_Points!$H$5:$H$204),"")</f>
        <v/>
      </c>
      <c r="AF355" s="181" t="str">
        <f>IFERROR(LOOKUP(2,1/((B_Drainage!$A$5:$A$204&lt;&gt;"")*(B_Drainage!$A$5:$A$204&lt;=$B355)*(B_Drainage!$B$5:$B$204&gt;$B355)*(B_Drainage!$M$5:$M$204&lt;&gt;"")),IF(UPPER(B_Drainage!$M$5:$M$204)="Y",1,"")),"")</f>
        <v/>
      </c>
      <c r="AG355" s="181" t="str">
        <f>IFERROR(LOOKUP(2,1/((B_Drainage!$A$5:$A$204&lt;&gt;"")*(B_Drainage!$A$5:$A$204&lt;=$B355)*(B_Drainage!$B$5:$B$204&gt;$B355)*(B_Drainage!$N$5:$N$204&lt;&gt;"")),IF(UPPER(B_Drainage!$N$5:$N$204)="Y",1,"")),"")</f>
        <v/>
      </c>
      <c r="AH355" s="181" t="str">
        <f t="shared" si="40"/>
        <v/>
      </c>
      <c r="AI355" s="181" t="str">
        <f t="shared" si="41"/>
        <v/>
      </c>
      <c r="AJ355" s="181" t="str">
        <f t="shared" si="42"/>
        <v/>
      </c>
      <c r="AK355" s="181" t="str">
        <f t="shared" si="43"/>
        <v/>
      </c>
      <c r="AL355" s="181" t="str">
        <f t="shared" si="44"/>
        <v/>
      </c>
      <c r="AM355" s="181" t="str">
        <f t="shared" si="45"/>
        <v/>
      </c>
      <c r="AN355" s="181" t="str">
        <f t="shared" si="46"/>
        <v/>
      </c>
      <c r="AO355" s="192" t="str">
        <f t="shared" si="47"/>
        <v/>
      </c>
      <c r="AQ355" t="str">
        <f>IFERROR(LOOKUP(2,1/((C_Pavement!$A$5:$A$204&lt;&gt;"")*(C_Pavement!$A$5:$A$204&lt;=$B355)*(C_Pavement!$B$5:$B$204&gt;$B355)*(C_Pavement!$C$5:$C$204&lt;&gt;"")),ROW(C_Pavement!$C$5:$C$204)-4),"")</f>
        <v/>
      </c>
      <c r="AR355" t="str">
        <f>IF($AQ355="","",UPPER(TRIM(INDEX(C_Pavement!$C$5:$C$204,$AQ355))))</f>
        <v/>
      </c>
      <c r="AS355" t="str">
        <f>IF($AR355="","",IFERROR(MATCH($AR355,E_Rules!$A$5:$A$9,0),""))</f>
        <v/>
      </c>
      <c r="AT355" t="str">
        <f>IF($AQ355="","",IF(INDEX(C_Pavement!$D$5:$D$204,$AQ355)&lt;&gt;"",UPPER(TRIM(INDEX(C_Pavement!$D$5:$D$204,$AQ355))),IF($AS355="","",INDEX(E_Rules!$C$5:$C$9,$AS355))))</f>
        <v/>
      </c>
      <c r="AU355" t="str">
        <f>IF($AQ355="","",IF(INDEX(C_Pavement!$E$5:$E$204,$AQ355)&lt;&gt;"",IF(INDEX(C_Pavement!$E$5:$E$204,$AQ355)="-","",INDEX(C_Pavement!$E$5:$E$204,$AQ355)),IF($AS355="","",INDEX(E_Rules!$D$5:$D$9,$AS355))))</f>
        <v/>
      </c>
      <c r="AV355" t="str">
        <f>IF($AQ355="","",IF(INDEX(C_Pavement!$F$5:$F$204,$AQ355)&lt;&gt;"",IF(INDEX(C_Pavement!$F$5:$F$204,$AQ355)="-","",INDEX(C_Pavement!$F$5:$F$204,$AQ355)),IF($AS355="","",INDEX(E_Rules!$E$5:$E$9,$AS355))))</f>
        <v/>
      </c>
      <c r="AW355" t="str">
        <f>IF($AQ355="","",IF(INDEX(C_Pavement!$G$5:$G$204,$AQ355)&lt;&gt;"",IF(INDEX(C_Pavement!$G$5:$G$204,$AQ355)="-","",INDEX(C_Pavement!$G$5:$G$204,$AQ355)),IF($AS355="","",INDEX(E_Rules!$F$5:$F$9,$AS355))))</f>
        <v/>
      </c>
      <c r="AX355" t="str">
        <f>IF($AQ355="","",IF(INDEX(C_Pavement!$H$5:$H$204,$AQ355)&lt;&gt;"",IF(INDEX(C_Pavement!$H$5:$H$204,$AQ355)="-","",INDEX(C_Pavement!$H$5:$H$204,$AQ355)),IF($AS355="","",INDEX(E_Rules!$G$5:$G$9,$AS355))))</f>
        <v/>
      </c>
      <c r="AY355" t="str">
        <f>IF($AQ355="","",IF(INDEX(C_Pavement!$I$5:$I$204,$AQ355)&lt;&gt;"",IF(INDEX(C_Pavement!$I$5:$I$204,$AQ355)="-","",INDEX(C_Pavement!$I$5:$I$204,$AQ355)),IF($AS355="","",INDEX(E_Rules!$H$5:$H$9,$AS355))))</f>
        <v/>
      </c>
    </row>
    <row r="356" spans="1:51" ht="15.75" customHeight="1" x14ac:dyDescent="0.3">
      <c r="A356" s="189">
        <v>351</v>
      </c>
      <c r="B356" s="180">
        <v>17500</v>
      </c>
      <c r="C356" s="180" t="s">
        <v>662</v>
      </c>
      <c r="D356" s="181" t="str">
        <f>IFERROR(LOOKUP(2,1/((A_Corridor!$A$5:$A$204&lt;&gt;"")*(A_Corridor!$A$5:$A$204&lt;=$B356)*(A_Corridor!$B$5:$B$204&gt;$B356)*(A_Corridor!$C$5:$C$204&lt;&gt;"")),IF(UPPER(A_Corridor!$C$5:$C$204)="Y",1,"")),"")</f>
        <v/>
      </c>
      <c r="E356" s="181" t="str">
        <f>IFERROR(LOOKUP(2,1/((A_Corridor!$A$5:$A$204&lt;&gt;"")*(A_Corridor!$A$5:$A$204&lt;=$B356)*(A_Corridor!$B$5:$B$204&gt;$B356)*(A_Corridor!$D$5:$D$204&lt;&gt;"")),IF(A_Corridor!$D$5:$D$204="-","",UPPER(A_Corridor!$D$5:$D$204))),"")</f>
        <v/>
      </c>
      <c r="F356" s="181" t="str">
        <f>IFERROR(LOOKUP(2,1/((A_Corridor!$A$5:$A$204&lt;&gt;"")*(A_Corridor!$A$5:$A$204&lt;=$B356)*(A_Corridor!$B$5:$B$204&gt;$B356)*(A_Corridor!$E$5:$E$204&lt;&gt;"")),IF(A_Corridor!$E$5:$E$204="-","",1)),"")</f>
        <v/>
      </c>
      <c r="G356" s="182" t="str">
        <f>IFERROR(LOOKUP(2,1/((A_Corridor!$A$5:$A$204&lt;&gt;"")*(A_Corridor!$A$5:$A$204&lt;=$B356)*(A_Corridor!$B$5:$B$204&gt;$B356)*(A_Corridor!$E$5:$E$204&lt;&gt;"")),IF(A_Corridor!$E$5:$E$204="-","",A_Corridor!$E$5:$E$204)),"")</f>
        <v/>
      </c>
      <c r="H356" s="182" t="str">
        <f>IFERROR(LOOKUP(2,1/((D_Points!$A$5:$A$204&lt;&gt;"")*(D_Points!$A$5:$A$204&gt;=$B356)*(D_Points!$A$5:$A$204&lt;$B356+P_Interval)*(UPPER(TRIM(D_Points!$B$5:$B$204))="GULLY")*(D_Points!$H$5:$H$204&lt;&gt;"")),D_Points!$H$5:$H$204),"")</f>
        <v/>
      </c>
      <c r="I356" s="181" t="str">
        <f>IFERROR(LOOKUP(2,1/((A_Corridor!$A$5:$A$204&lt;&gt;"")*(A_Corridor!$A$5:$A$204&lt;=$B356)*(A_Corridor!$B$5:$B$204&gt;$B356)*(A_Corridor!$F$5:$F$204&lt;&gt;"")),IF(A_Corridor!$F$5:$F$204="-","",1)),"")</f>
        <v/>
      </c>
      <c r="J356" s="182" t="str">
        <f>IFERROR(LOOKUP(2,1/((A_Corridor!$A$5:$A$204&lt;&gt;"")*(A_Corridor!$A$5:$A$204&lt;=$B356)*(A_Corridor!$B$5:$B$204&gt;$B356)*(A_Corridor!$F$5:$F$204&lt;&gt;"")),IF(A_Corridor!$F$5:$F$204="-","",A_Corridor!$F$5:$F$204)),"")</f>
        <v/>
      </c>
      <c r="K356" s="182" t="str">
        <f>IFERROR(LOOKUP(2,1/((A_Corridor!$A$5:$A$204&lt;&gt;"")*(A_Corridor!$A$5:$A$204&lt;=$B356)*(A_Corridor!$B$5:$B$204&gt;$B356)*(A_Corridor!$G$5:$G$204&lt;&gt;"")),IF(A_Corridor!$G$5:$G$204="-","",A_Corridor!$G$5:$G$204)),"")</f>
        <v/>
      </c>
      <c r="L356" s="181" t="str">
        <f>IFERROR(LOOKUP(2,1/((A_Corridor!$A$5:$A$204&lt;&gt;"")*(A_Corridor!$A$5:$A$204&lt;=$B356)*(A_Corridor!$B$5:$B$204&gt;$B356)*(A_Corridor!$H$5:$H$204&lt;&gt;"")),IF(A_Corridor!$H$5:$H$204="-","",1)),"")</f>
        <v/>
      </c>
      <c r="M356" s="182" t="str">
        <f>IFERROR(LOOKUP(2,1/((A_Corridor!$A$5:$A$204&lt;&gt;"")*(A_Corridor!$A$5:$A$204&lt;=$B356)*(A_Corridor!$B$5:$B$204&gt;$B356)*(A_Corridor!$H$5:$H$204&lt;&gt;"")),IF(A_Corridor!$H$5:$H$204="-","",A_Corridor!$H$5:$H$204)),"")</f>
        <v/>
      </c>
      <c r="N356" s="182" t="str">
        <f>IFERROR(LOOKUP(2,1/((A_Corridor!$A$5:$A$204&lt;&gt;"")*(A_Corridor!$A$5:$A$204&lt;=$B356)*(A_Corridor!$B$5:$B$204&gt;$B356)*(A_Corridor!$I$5:$I$204&lt;&gt;"")),IF(A_Corridor!$I$5:$I$204="-","",A_Corridor!$I$5:$I$204)),"")</f>
        <v/>
      </c>
      <c r="O356" s="182" t="str">
        <f>IFERROR(LOOKUP(2,1/((D_Points!$A$5:$A$204&lt;&gt;"")*(D_Points!$A$5:$A$204&gt;=$B356)*(D_Points!$A$5:$A$204&lt;$B356+P_Interval)*(UPPER(TRIM(D_Points!$B$5:$B$204))="PITCHING")*(D_Points!$H$5:$H$204&lt;&gt;"")),D_Points!$H$5:$H$204),"")</f>
        <v/>
      </c>
      <c r="P356" s="181" t="str">
        <f>IFERROR(LOOKUP(2,1/((B_Drainage!$A$5:$A$204&lt;&gt;"")*(B_Drainage!$A$5:$A$204&lt;=$B356)*(B_Drainage!$B$5:$B$204&gt;$B356)*(B_Drainage!$C$5:$C$204&lt;&gt;"")),IF(B_Drainage!$C$5:$C$204="-","",UPPER(B_Drainage!$C$5:$C$204))),"")</f>
        <v/>
      </c>
      <c r="Q356" s="181" t="str">
        <f>IFERROR(LOOKUP(2,1/((B_Drainage!$A$5:$A$204&lt;&gt;"")*(B_Drainage!$A$5:$A$204&lt;=$B356)*(B_Drainage!$B$5:$B$204&gt;$B356)*(B_Drainage!$D$5:$D$204&lt;&gt;"")),IF(B_Drainage!$D$5:$D$204="-","",UPPER(B_Drainage!$D$5:$D$204))),"")</f>
        <v/>
      </c>
      <c r="R356" s="182" t="str">
        <f>IFERROR(LOOKUP(2,1/((D_Points!$A$5:$A$204&lt;&gt;"")*(D_Points!$A$5:$A$204&gt;=$B356)*(D_Points!$A$5:$A$204&lt;$B356+P_Interval)*(RIGHT(UPPER(TRIM(D_Points!$B$5:$B$204)),8)="_CULVERT")),IF(LEFT(UPPER(TRIM(D_Points!$B$5:$B$204)),2)="EX",1,IF(LEFT(UPPER(TRIM(D_Points!$B$5:$B$204)),2)="PR",2,3))),"")</f>
        <v/>
      </c>
      <c r="S356" s="182" t="str">
        <f>IFERROR(LOOKUP(2,1/((D_Points!$A$5:$A$204&lt;&gt;"")*(D_Points!$A$5:$A$204&gt;=$B356)*(D_Points!$A$5:$A$204&lt;$B356+P_Interval)*(RIGHT(UPPER(TRIM(D_Points!$B$5:$B$204)),7)="_BRIDGE")),IF(LEFT(UPPER(TRIM(D_Points!$B$5:$B$204)),2)="EX",1,IF(LEFT(UPPER(TRIM(D_Points!$B$5:$B$204)),2)="PR",2,2))),"")</f>
        <v/>
      </c>
      <c r="T356" s="181" t="str">
        <f>IFERROR(LOOKUP(2,1/((B_Drainage!$A$5:$A$204&lt;&gt;"")*(B_Drainage!$A$5:$A$204&lt;=$B356)*(B_Drainage!$B$5:$B$204&gt;$B356)*(B_Drainage!$E$5:$E$204&lt;&gt;"")),IF(B_Drainage!$E$5:$E$204="-","",1)),"")</f>
        <v/>
      </c>
      <c r="U356" s="181" t="str">
        <f>IFERROR(LOOKUP(2,1/((B_Drainage!$A$5:$A$204&lt;&gt;"")*(B_Drainage!$A$5:$A$204&lt;=$B356)*(B_Drainage!$B$5:$B$204&gt;$B356)*(B_Drainage!$E$5:$E$204&lt;&gt;"")),IF(B_Drainage!$E$5:$E$204="-","",B_Drainage!$E$5:$E$204)),"")</f>
        <v/>
      </c>
      <c r="V356" s="181" t="str">
        <f>IFERROR(LOOKUP(2,1/((B_Drainage!$A$5:$A$204&lt;&gt;"")*(B_Drainage!$A$5:$A$204&lt;=$B356)*(B_Drainage!$B$5:$B$204&gt;$B356)*(B_Drainage!$F$5:$F$204&lt;&gt;"")),IF(B_Drainage!$F$5:$F$204="-","",1)),"")</f>
        <v/>
      </c>
      <c r="W356" s="181" t="str">
        <f>IFERROR(LOOKUP(2,1/((B_Drainage!$A$5:$A$204&lt;&gt;"")*(B_Drainage!$A$5:$A$204&lt;=$B356)*(B_Drainage!$B$5:$B$204&gt;$B356)*(B_Drainage!$F$5:$F$204&lt;&gt;"")),IF(B_Drainage!$F$5:$F$204="-","",B_Drainage!$F$5:$F$204)),"")</f>
        <v/>
      </c>
      <c r="X356" s="181" t="str">
        <f>IFERROR(LOOKUP(2,1/((B_Drainage!$A$5:$A$204&lt;&gt;"")*(B_Drainage!$A$5:$A$204&lt;=$B356)*(B_Drainage!$B$5:$B$204&gt;$B356)*(B_Drainage!$G$5:$G$204&lt;&gt;"")),IF(UPPER(B_Drainage!$G$5:$G$204)="Y",1,"")),"")</f>
        <v/>
      </c>
      <c r="Y356" s="181" t="str">
        <f>IFERROR(LOOKUP(2,1/((B_Drainage!$A$5:$A$204&lt;&gt;"")*(B_Drainage!$A$5:$A$204&lt;=$B356)*(B_Drainage!$B$5:$B$204&gt;$B356)*(B_Drainage!$H$5:$H$204&lt;&gt;"")),IF(UPPER(B_Drainage!$H$5:$H$204)="Y",1,"")),"")</f>
        <v/>
      </c>
      <c r="Z356" s="181" t="str">
        <f>IFERROR(LOOKUP(2,1/((B_Drainage!$A$5:$A$204&lt;&gt;"")*(B_Drainage!$A$5:$A$204&lt;=$B356)*(B_Drainage!$B$5:$B$204&gt;$B356)*(B_Drainage!$I$5:$I$204&lt;&gt;"")),IF(UPPER(B_Drainage!$I$5:$I$204)="Y",1,"")),"")</f>
        <v/>
      </c>
      <c r="AA356" s="181" t="str">
        <f>IFERROR(LOOKUP(2,1/((B_Drainage!$A$5:$A$204&lt;&gt;"")*(B_Drainage!$A$5:$A$204&lt;=$B356)*(B_Drainage!$B$5:$B$204&gt;$B356)*(B_Drainage!$J$5:$J$204&lt;&gt;"")),IF(UPPER(B_Drainage!$J$5:$J$204)="Y",1,"")),"")</f>
        <v/>
      </c>
      <c r="AB356" s="182" t="str">
        <f>IFERROR(LOOKUP(2,1/((B_Drainage!$A$5:$A$204&lt;&gt;"")*(B_Drainage!$A$5:$A$204&lt;=$B356)*(B_Drainage!$B$5:$B$204&gt;$B356)*(B_Drainage!$K$5:$K$204&lt;&gt;"")),IF(B_Drainage!$K$5:$K$204="-","",B_Drainage!$K$5:$K$204)),"")</f>
        <v/>
      </c>
      <c r="AC356" s="182" t="str">
        <f>IFERROR(LOOKUP(2,1/((B_Drainage!$A$5:$A$204&lt;&gt;"")*(B_Drainage!$A$5:$A$204&lt;=$B356)*(B_Drainage!$B$5:$B$204&gt;$B356)*(B_Drainage!$L$5:$L$204&lt;&gt;"")),IF(B_Drainage!$L$5:$L$204="-","",B_Drainage!$L$5:$L$204)),"")</f>
        <v/>
      </c>
      <c r="AD356" s="182" t="str">
        <f>IFERROR(LOOKUP(2,1/((D_Points!$A$5:$A$204&lt;&gt;"")*(D_Points!$A$5:$A$204&gt;=$B356)*(D_Points!$A$5:$A$204&lt;$B356+P_Interval)*(UPPER(TRIM(D_Points!$B$5:$B$204))="TURNOUT_L")*(D_Points!$H$5:$H$204&lt;&gt;"")),D_Points!$H$5:$H$204),"")</f>
        <v/>
      </c>
      <c r="AE356" s="182" t="str">
        <f>IFERROR(LOOKUP(2,1/((D_Points!$A$5:$A$204&lt;&gt;"")*(D_Points!$A$5:$A$204&gt;=$B356)*(D_Points!$A$5:$A$204&lt;$B356+P_Interval)*(UPPER(TRIM(D_Points!$B$5:$B$204))="TURNOUT_R")*(D_Points!$H$5:$H$204&lt;&gt;"")),D_Points!$H$5:$H$204),"")</f>
        <v/>
      </c>
      <c r="AF356" s="181" t="str">
        <f>IFERROR(LOOKUP(2,1/((B_Drainage!$A$5:$A$204&lt;&gt;"")*(B_Drainage!$A$5:$A$204&lt;=$B356)*(B_Drainage!$B$5:$B$204&gt;$B356)*(B_Drainage!$M$5:$M$204&lt;&gt;"")),IF(UPPER(B_Drainage!$M$5:$M$204)="Y",1,"")),"")</f>
        <v/>
      </c>
      <c r="AG356" s="181" t="str">
        <f>IFERROR(LOOKUP(2,1/((B_Drainage!$A$5:$A$204&lt;&gt;"")*(B_Drainage!$A$5:$A$204&lt;=$B356)*(B_Drainage!$B$5:$B$204&gt;$B356)*(B_Drainage!$N$5:$N$204&lt;&gt;"")),IF(UPPER(B_Drainage!$N$5:$N$204)="Y",1,"")),"")</f>
        <v/>
      </c>
      <c r="AH356" s="181" t="str">
        <f t="shared" si="40"/>
        <v/>
      </c>
      <c r="AI356" s="181" t="str">
        <f t="shared" si="41"/>
        <v/>
      </c>
      <c r="AJ356" s="181" t="str">
        <f t="shared" si="42"/>
        <v/>
      </c>
      <c r="AK356" s="181" t="str">
        <f t="shared" si="43"/>
        <v/>
      </c>
      <c r="AL356" s="181" t="str">
        <f t="shared" si="44"/>
        <v/>
      </c>
      <c r="AM356" s="181" t="str">
        <f t="shared" si="45"/>
        <v/>
      </c>
      <c r="AN356" s="181" t="str">
        <f t="shared" si="46"/>
        <v/>
      </c>
      <c r="AO356" s="192" t="str">
        <f t="shared" si="47"/>
        <v/>
      </c>
      <c r="AQ356" t="str">
        <f>IFERROR(LOOKUP(2,1/((C_Pavement!$A$5:$A$204&lt;&gt;"")*(C_Pavement!$A$5:$A$204&lt;=$B356)*(C_Pavement!$B$5:$B$204&gt;$B356)*(C_Pavement!$C$5:$C$204&lt;&gt;"")),ROW(C_Pavement!$C$5:$C$204)-4),"")</f>
        <v/>
      </c>
      <c r="AR356" t="str">
        <f>IF($AQ356="","",UPPER(TRIM(INDEX(C_Pavement!$C$5:$C$204,$AQ356))))</f>
        <v/>
      </c>
      <c r="AS356" t="str">
        <f>IF($AR356="","",IFERROR(MATCH($AR356,E_Rules!$A$5:$A$9,0),""))</f>
        <v/>
      </c>
      <c r="AT356" t="str">
        <f>IF($AQ356="","",IF(INDEX(C_Pavement!$D$5:$D$204,$AQ356)&lt;&gt;"",UPPER(TRIM(INDEX(C_Pavement!$D$5:$D$204,$AQ356))),IF($AS356="","",INDEX(E_Rules!$C$5:$C$9,$AS356))))</f>
        <v/>
      </c>
      <c r="AU356" t="str">
        <f>IF($AQ356="","",IF(INDEX(C_Pavement!$E$5:$E$204,$AQ356)&lt;&gt;"",IF(INDEX(C_Pavement!$E$5:$E$204,$AQ356)="-","",INDEX(C_Pavement!$E$5:$E$204,$AQ356)),IF($AS356="","",INDEX(E_Rules!$D$5:$D$9,$AS356))))</f>
        <v/>
      </c>
      <c r="AV356" t="str">
        <f>IF($AQ356="","",IF(INDEX(C_Pavement!$F$5:$F$204,$AQ356)&lt;&gt;"",IF(INDEX(C_Pavement!$F$5:$F$204,$AQ356)="-","",INDEX(C_Pavement!$F$5:$F$204,$AQ356)),IF($AS356="","",INDEX(E_Rules!$E$5:$E$9,$AS356))))</f>
        <v/>
      </c>
      <c r="AW356" t="str">
        <f>IF($AQ356="","",IF(INDEX(C_Pavement!$G$5:$G$204,$AQ356)&lt;&gt;"",IF(INDEX(C_Pavement!$G$5:$G$204,$AQ356)="-","",INDEX(C_Pavement!$G$5:$G$204,$AQ356)),IF($AS356="","",INDEX(E_Rules!$F$5:$F$9,$AS356))))</f>
        <v/>
      </c>
      <c r="AX356" t="str">
        <f>IF($AQ356="","",IF(INDEX(C_Pavement!$H$5:$H$204,$AQ356)&lt;&gt;"",IF(INDEX(C_Pavement!$H$5:$H$204,$AQ356)="-","",INDEX(C_Pavement!$H$5:$H$204,$AQ356)),IF($AS356="","",INDEX(E_Rules!$G$5:$G$9,$AS356))))</f>
        <v/>
      </c>
      <c r="AY356" t="str">
        <f>IF($AQ356="","",IF(INDEX(C_Pavement!$I$5:$I$204,$AQ356)&lt;&gt;"",IF(INDEX(C_Pavement!$I$5:$I$204,$AQ356)="-","",INDEX(C_Pavement!$I$5:$I$204,$AQ356)),IF($AS356="","",INDEX(E_Rules!$H$5:$H$9,$AS356))))</f>
        <v/>
      </c>
    </row>
    <row r="357" spans="1:51" ht="15.75" customHeight="1" x14ac:dyDescent="0.3">
      <c r="A357" s="189">
        <v>352</v>
      </c>
      <c r="B357" s="180">
        <v>17550</v>
      </c>
      <c r="C357" s="180" t="s">
        <v>663</v>
      </c>
      <c r="D357" s="181" t="str">
        <f>IFERROR(LOOKUP(2,1/((A_Corridor!$A$5:$A$204&lt;&gt;"")*(A_Corridor!$A$5:$A$204&lt;=$B357)*(A_Corridor!$B$5:$B$204&gt;$B357)*(A_Corridor!$C$5:$C$204&lt;&gt;"")),IF(UPPER(A_Corridor!$C$5:$C$204)="Y",1,"")),"")</f>
        <v/>
      </c>
      <c r="E357" s="181" t="str">
        <f>IFERROR(LOOKUP(2,1/((A_Corridor!$A$5:$A$204&lt;&gt;"")*(A_Corridor!$A$5:$A$204&lt;=$B357)*(A_Corridor!$B$5:$B$204&gt;$B357)*(A_Corridor!$D$5:$D$204&lt;&gt;"")),IF(A_Corridor!$D$5:$D$204="-","",UPPER(A_Corridor!$D$5:$D$204))),"")</f>
        <v/>
      </c>
      <c r="F357" s="181" t="str">
        <f>IFERROR(LOOKUP(2,1/((A_Corridor!$A$5:$A$204&lt;&gt;"")*(A_Corridor!$A$5:$A$204&lt;=$B357)*(A_Corridor!$B$5:$B$204&gt;$B357)*(A_Corridor!$E$5:$E$204&lt;&gt;"")),IF(A_Corridor!$E$5:$E$204="-","",1)),"")</f>
        <v/>
      </c>
      <c r="G357" s="182" t="str">
        <f>IFERROR(LOOKUP(2,1/((A_Corridor!$A$5:$A$204&lt;&gt;"")*(A_Corridor!$A$5:$A$204&lt;=$B357)*(A_Corridor!$B$5:$B$204&gt;$B357)*(A_Corridor!$E$5:$E$204&lt;&gt;"")),IF(A_Corridor!$E$5:$E$204="-","",A_Corridor!$E$5:$E$204)),"")</f>
        <v/>
      </c>
      <c r="H357" s="182" t="str">
        <f>IFERROR(LOOKUP(2,1/((D_Points!$A$5:$A$204&lt;&gt;"")*(D_Points!$A$5:$A$204&gt;=$B357)*(D_Points!$A$5:$A$204&lt;$B357+P_Interval)*(UPPER(TRIM(D_Points!$B$5:$B$204))="GULLY")*(D_Points!$H$5:$H$204&lt;&gt;"")),D_Points!$H$5:$H$204),"")</f>
        <v/>
      </c>
      <c r="I357" s="181" t="str">
        <f>IFERROR(LOOKUP(2,1/((A_Corridor!$A$5:$A$204&lt;&gt;"")*(A_Corridor!$A$5:$A$204&lt;=$B357)*(A_Corridor!$B$5:$B$204&gt;$B357)*(A_Corridor!$F$5:$F$204&lt;&gt;"")),IF(A_Corridor!$F$5:$F$204="-","",1)),"")</f>
        <v/>
      </c>
      <c r="J357" s="182" t="str">
        <f>IFERROR(LOOKUP(2,1/((A_Corridor!$A$5:$A$204&lt;&gt;"")*(A_Corridor!$A$5:$A$204&lt;=$B357)*(A_Corridor!$B$5:$B$204&gt;$B357)*(A_Corridor!$F$5:$F$204&lt;&gt;"")),IF(A_Corridor!$F$5:$F$204="-","",A_Corridor!$F$5:$F$204)),"")</f>
        <v/>
      </c>
      <c r="K357" s="182" t="str">
        <f>IFERROR(LOOKUP(2,1/((A_Corridor!$A$5:$A$204&lt;&gt;"")*(A_Corridor!$A$5:$A$204&lt;=$B357)*(A_Corridor!$B$5:$B$204&gt;$B357)*(A_Corridor!$G$5:$G$204&lt;&gt;"")),IF(A_Corridor!$G$5:$G$204="-","",A_Corridor!$G$5:$G$204)),"")</f>
        <v/>
      </c>
      <c r="L357" s="181" t="str">
        <f>IFERROR(LOOKUP(2,1/((A_Corridor!$A$5:$A$204&lt;&gt;"")*(A_Corridor!$A$5:$A$204&lt;=$B357)*(A_Corridor!$B$5:$B$204&gt;$B357)*(A_Corridor!$H$5:$H$204&lt;&gt;"")),IF(A_Corridor!$H$5:$H$204="-","",1)),"")</f>
        <v/>
      </c>
      <c r="M357" s="182" t="str">
        <f>IFERROR(LOOKUP(2,1/((A_Corridor!$A$5:$A$204&lt;&gt;"")*(A_Corridor!$A$5:$A$204&lt;=$B357)*(A_Corridor!$B$5:$B$204&gt;$B357)*(A_Corridor!$H$5:$H$204&lt;&gt;"")),IF(A_Corridor!$H$5:$H$204="-","",A_Corridor!$H$5:$H$204)),"")</f>
        <v/>
      </c>
      <c r="N357" s="182" t="str">
        <f>IFERROR(LOOKUP(2,1/((A_Corridor!$A$5:$A$204&lt;&gt;"")*(A_Corridor!$A$5:$A$204&lt;=$B357)*(A_Corridor!$B$5:$B$204&gt;$B357)*(A_Corridor!$I$5:$I$204&lt;&gt;"")),IF(A_Corridor!$I$5:$I$204="-","",A_Corridor!$I$5:$I$204)),"")</f>
        <v/>
      </c>
      <c r="O357" s="182" t="str">
        <f>IFERROR(LOOKUP(2,1/((D_Points!$A$5:$A$204&lt;&gt;"")*(D_Points!$A$5:$A$204&gt;=$B357)*(D_Points!$A$5:$A$204&lt;$B357+P_Interval)*(UPPER(TRIM(D_Points!$B$5:$B$204))="PITCHING")*(D_Points!$H$5:$H$204&lt;&gt;"")),D_Points!$H$5:$H$204),"")</f>
        <v/>
      </c>
      <c r="P357" s="181" t="str">
        <f>IFERROR(LOOKUP(2,1/((B_Drainage!$A$5:$A$204&lt;&gt;"")*(B_Drainage!$A$5:$A$204&lt;=$B357)*(B_Drainage!$B$5:$B$204&gt;$B357)*(B_Drainage!$C$5:$C$204&lt;&gt;"")),IF(B_Drainage!$C$5:$C$204="-","",UPPER(B_Drainage!$C$5:$C$204))),"")</f>
        <v/>
      </c>
      <c r="Q357" s="181" t="str">
        <f>IFERROR(LOOKUP(2,1/((B_Drainage!$A$5:$A$204&lt;&gt;"")*(B_Drainage!$A$5:$A$204&lt;=$B357)*(B_Drainage!$B$5:$B$204&gt;$B357)*(B_Drainage!$D$5:$D$204&lt;&gt;"")),IF(B_Drainage!$D$5:$D$204="-","",UPPER(B_Drainage!$D$5:$D$204))),"")</f>
        <v/>
      </c>
      <c r="R357" s="182" t="str">
        <f>IFERROR(LOOKUP(2,1/((D_Points!$A$5:$A$204&lt;&gt;"")*(D_Points!$A$5:$A$204&gt;=$B357)*(D_Points!$A$5:$A$204&lt;$B357+P_Interval)*(RIGHT(UPPER(TRIM(D_Points!$B$5:$B$204)),8)="_CULVERT")),IF(LEFT(UPPER(TRIM(D_Points!$B$5:$B$204)),2)="EX",1,IF(LEFT(UPPER(TRIM(D_Points!$B$5:$B$204)),2)="PR",2,3))),"")</f>
        <v/>
      </c>
      <c r="S357" s="182" t="str">
        <f>IFERROR(LOOKUP(2,1/((D_Points!$A$5:$A$204&lt;&gt;"")*(D_Points!$A$5:$A$204&gt;=$B357)*(D_Points!$A$5:$A$204&lt;$B357+P_Interval)*(RIGHT(UPPER(TRIM(D_Points!$B$5:$B$204)),7)="_BRIDGE")),IF(LEFT(UPPER(TRIM(D_Points!$B$5:$B$204)),2)="EX",1,IF(LEFT(UPPER(TRIM(D_Points!$B$5:$B$204)),2)="PR",2,2))),"")</f>
        <v/>
      </c>
      <c r="T357" s="181" t="str">
        <f>IFERROR(LOOKUP(2,1/((B_Drainage!$A$5:$A$204&lt;&gt;"")*(B_Drainage!$A$5:$A$204&lt;=$B357)*(B_Drainage!$B$5:$B$204&gt;$B357)*(B_Drainage!$E$5:$E$204&lt;&gt;"")),IF(B_Drainage!$E$5:$E$204="-","",1)),"")</f>
        <v/>
      </c>
      <c r="U357" s="181" t="str">
        <f>IFERROR(LOOKUP(2,1/((B_Drainage!$A$5:$A$204&lt;&gt;"")*(B_Drainage!$A$5:$A$204&lt;=$B357)*(B_Drainage!$B$5:$B$204&gt;$B357)*(B_Drainage!$E$5:$E$204&lt;&gt;"")),IF(B_Drainage!$E$5:$E$204="-","",B_Drainage!$E$5:$E$204)),"")</f>
        <v/>
      </c>
      <c r="V357" s="181" t="str">
        <f>IFERROR(LOOKUP(2,1/((B_Drainage!$A$5:$A$204&lt;&gt;"")*(B_Drainage!$A$5:$A$204&lt;=$B357)*(B_Drainage!$B$5:$B$204&gt;$B357)*(B_Drainage!$F$5:$F$204&lt;&gt;"")),IF(B_Drainage!$F$5:$F$204="-","",1)),"")</f>
        <v/>
      </c>
      <c r="W357" s="181" t="str">
        <f>IFERROR(LOOKUP(2,1/((B_Drainage!$A$5:$A$204&lt;&gt;"")*(B_Drainage!$A$5:$A$204&lt;=$B357)*(B_Drainage!$B$5:$B$204&gt;$B357)*(B_Drainage!$F$5:$F$204&lt;&gt;"")),IF(B_Drainage!$F$5:$F$204="-","",B_Drainage!$F$5:$F$204)),"")</f>
        <v/>
      </c>
      <c r="X357" s="181" t="str">
        <f>IFERROR(LOOKUP(2,1/((B_Drainage!$A$5:$A$204&lt;&gt;"")*(B_Drainage!$A$5:$A$204&lt;=$B357)*(B_Drainage!$B$5:$B$204&gt;$B357)*(B_Drainage!$G$5:$G$204&lt;&gt;"")),IF(UPPER(B_Drainage!$G$5:$G$204)="Y",1,"")),"")</f>
        <v/>
      </c>
      <c r="Y357" s="181" t="str">
        <f>IFERROR(LOOKUP(2,1/((B_Drainage!$A$5:$A$204&lt;&gt;"")*(B_Drainage!$A$5:$A$204&lt;=$B357)*(B_Drainage!$B$5:$B$204&gt;$B357)*(B_Drainage!$H$5:$H$204&lt;&gt;"")),IF(UPPER(B_Drainage!$H$5:$H$204)="Y",1,"")),"")</f>
        <v/>
      </c>
      <c r="Z357" s="181" t="str">
        <f>IFERROR(LOOKUP(2,1/((B_Drainage!$A$5:$A$204&lt;&gt;"")*(B_Drainage!$A$5:$A$204&lt;=$B357)*(B_Drainage!$B$5:$B$204&gt;$B357)*(B_Drainage!$I$5:$I$204&lt;&gt;"")),IF(UPPER(B_Drainage!$I$5:$I$204)="Y",1,"")),"")</f>
        <v/>
      </c>
      <c r="AA357" s="181" t="str">
        <f>IFERROR(LOOKUP(2,1/((B_Drainage!$A$5:$A$204&lt;&gt;"")*(B_Drainage!$A$5:$A$204&lt;=$B357)*(B_Drainage!$B$5:$B$204&gt;$B357)*(B_Drainage!$J$5:$J$204&lt;&gt;"")),IF(UPPER(B_Drainage!$J$5:$J$204)="Y",1,"")),"")</f>
        <v/>
      </c>
      <c r="AB357" s="182" t="str">
        <f>IFERROR(LOOKUP(2,1/((B_Drainage!$A$5:$A$204&lt;&gt;"")*(B_Drainage!$A$5:$A$204&lt;=$B357)*(B_Drainage!$B$5:$B$204&gt;$B357)*(B_Drainage!$K$5:$K$204&lt;&gt;"")),IF(B_Drainage!$K$5:$K$204="-","",B_Drainage!$K$5:$K$204)),"")</f>
        <v/>
      </c>
      <c r="AC357" s="182" t="str">
        <f>IFERROR(LOOKUP(2,1/((B_Drainage!$A$5:$A$204&lt;&gt;"")*(B_Drainage!$A$5:$A$204&lt;=$B357)*(B_Drainage!$B$5:$B$204&gt;$B357)*(B_Drainage!$L$5:$L$204&lt;&gt;"")),IF(B_Drainage!$L$5:$L$204="-","",B_Drainage!$L$5:$L$204)),"")</f>
        <v/>
      </c>
      <c r="AD357" s="182" t="str">
        <f>IFERROR(LOOKUP(2,1/((D_Points!$A$5:$A$204&lt;&gt;"")*(D_Points!$A$5:$A$204&gt;=$B357)*(D_Points!$A$5:$A$204&lt;$B357+P_Interval)*(UPPER(TRIM(D_Points!$B$5:$B$204))="TURNOUT_L")*(D_Points!$H$5:$H$204&lt;&gt;"")),D_Points!$H$5:$H$204),"")</f>
        <v/>
      </c>
      <c r="AE357" s="182" t="str">
        <f>IFERROR(LOOKUP(2,1/((D_Points!$A$5:$A$204&lt;&gt;"")*(D_Points!$A$5:$A$204&gt;=$B357)*(D_Points!$A$5:$A$204&lt;$B357+P_Interval)*(UPPER(TRIM(D_Points!$B$5:$B$204))="TURNOUT_R")*(D_Points!$H$5:$H$204&lt;&gt;"")),D_Points!$H$5:$H$204),"")</f>
        <v/>
      </c>
      <c r="AF357" s="181" t="str">
        <f>IFERROR(LOOKUP(2,1/((B_Drainage!$A$5:$A$204&lt;&gt;"")*(B_Drainage!$A$5:$A$204&lt;=$B357)*(B_Drainage!$B$5:$B$204&gt;$B357)*(B_Drainage!$M$5:$M$204&lt;&gt;"")),IF(UPPER(B_Drainage!$M$5:$M$204)="Y",1,"")),"")</f>
        <v/>
      </c>
      <c r="AG357" s="181" t="str">
        <f>IFERROR(LOOKUP(2,1/((B_Drainage!$A$5:$A$204&lt;&gt;"")*(B_Drainage!$A$5:$A$204&lt;=$B357)*(B_Drainage!$B$5:$B$204&gt;$B357)*(B_Drainage!$N$5:$N$204&lt;&gt;"")),IF(UPPER(B_Drainage!$N$5:$N$204)="Y",1,"")),"")</f>
        <v/>
      </c>
      <c r="AH357" s="181" t="str">
        <f t="shared" si="40"/>
        <v/>
      </c>
      <c r="AI357" s="181" t="str">
        <f t="shared" si="41"/>
        <v/>
      </c>
      <c r="AJ357" s="181" t="str">
        <f t="shared" si="42"/>
        <v/>
      </c>
      <c r="AK357" s="181" t="str">
        <f t="shared" si="43"/>
        <v/>
      </c>
      <c r="AL357" s="181" t="str">
        <f t="shared" si="44"/>
        <v/>
      </c>
      <c r="AM357" s="181" t="str">
        <f t="shared" si="45"/>
        <v/>
      </c>
      <c r="AN357" s="181" t="str">
        <f t="shared" si="46"/>
        <v/>
      </c>
      <c r="AO357" s="192" t="str">
        <f t="shared" si="47"/>
        <v/>
      </c>
      <c r="AQ357" t="str">
        <f>IFERROR(LOOKUP(2,1/((C_Pavement!$A$5:$A$204&lt;&gt;"")*(C_Pavement!$A$5:$A$204&lt;=$B357)*(C_Pavement!$B$5:$B$204&gt;$B357)*(C_Pavement!$C$5:$C$204&lt;&gt;"")),ROW(C_Pavement!$C$5:$C$204)-4),"")</f>
        <v/>
      </c>
      <c r="AR357" t="str">
        <f>IF($AQ357="","",UPPER(TRIM(INDEX(C_Pavement!$C$5:$C$204,$AQ357))))</f>
        <v/>
      </c>
      <c r="AS357" t="str">
        <f>IF($AR357="","",IFERROR(MATCH($AR357,E_Rules!$A$5:$A$9,0),""))</f>
        <v/>
      </c>
      <c r="AT357" t="str">
        <f>IF($AQ357="","",IF(INDEX(C_Pavement!$D$5:$D$204,$AQ357)&lt;&gt;"",UPPER(TRIM(INDEX(C_Pavement!$D$5:$D$204,$AQ357))),IF($AS357="","",INDEX(E_Rules!$C$5:$C$9,$AS357))))</f>
        <v/>
      </c>
      <c r="AU357" t="str">
        <f>IF($AQ357="","",IF(INDEX(C_Pavement!$E$5:$E$204,$AQ357)&lt;&gt;"",IF(INDEX(C_Pavement!$E$5:$E$204,$AQ357)="-","",INDEX(C_Pavement!$E$5:$E$204,$AQ357)),IF($AS357="","",INDEX(E_Rules!$D$5:$D$9,$AS357))))</f>
        <v/>
      </c>
      <c r="AV357" t="str">
        <f>IF($AQ357="","",IF(INDEX(C_Pavement!$F$5:$F$204,$AQ357)&lt;&gt;"",IF(INDEX(C_Pavement!$F$5:$F$204,$AQ357)="-","",INDEX(C_Pavement!$F$5:$F$204,$AQ357)),IF($AS357="","",INDEX(E_Rules!$E$5:$E$9,$AS357))))</f>
        <v/>
      </c>
      <c r="AW357" t="str">
        <f>IF($AQ357="","",IF(INDEX(C_Pavement!$G$5:$G$204,$AQ357)&lt;&gt;"",IF(INDEX(C_Pavement!$G$5:$G$204,$AQ357)="-","",INDEX(C_Pavement!$G$5:$G$204,$AQ357)),IF($AS357="","",INDEX(E_Rules!$F$5:$F$9,$AS357))))</f>
        <v/>
      </c>
      <c r="AX357" t="str">
        <f>IF($AQ357="","",IF(INDEX(C_Pavement!$H$5:$H$204,$AQ357)&lt;&gt;"",IF(INDEX(C_Pavement!$H$5:$H$204,$AQ357)="-","",INDEX(C_Pavement!$H$5:$H$204,$AQ357)),IF($AS357="","",INDEX(E_Rules!$G$5:$G$9,$AS357))))</f>
        <v/>
      </c>
      <c r="AY357" t="str">
        <f>IF($AQ357="","",IF(INDEX(C_Pavement!$I$5:$I$204,$AQ357)&lt;&gt;"",IF(INDEX(C_Pavement!$I$5:$I$204,$AQ357)="-","",INDEX(C_Pavement!$I$5:$I$204,$AQ357)),IF($AS357="","",INDEX(E_Rules!$H$5:$H$9,$AS357))))</f>
        <v/>
      </c>
    </row>
    <row r="358" spans="1:51" ht="15.75" customHeight="1" x14ac:dyDescent="0.3">
      <c r="A358" s="189">
        <v>353</v>
      </c>
      <c r="B358" s="180">
        <v>17600</v>
      </c>
      <c r="C358" s="180" t="s">
        <v>664</v>
      </c>
      <c r="D358" s="181" t="str">
        <f>IFERROR(LOOKUP(2,1/((A_Corridor!$A$5:$A$204&lt;&gt;"")*(A_Corridor!$A$5:$A$204&lt;=$B358)*(A_Corridor!$B$5:$B$204&gt;$B358)*(A_Corridor!$C$5:$C$204&lt;&gt;"")),IF(UPPER(A_Corridor!$C$5:$C$204)="Y",1,"")),"")</f>
        <v/>
      </c>
      <c r="E358" s="181" t="str">
        <f>IFERROR(LOOKUP(2,1/((A_Corridor!$A$5:$A$204&lt;&gt;"")*(A_Corridor!$A$5:$A$204&lt;=$B358)*(A_Corridor!$B$5:$B$204&gt;$B358)*(A_Corridor!$D$5:$D$204&lt;&gt;"")),IF(A_Corridor!$D$5:$D$204="-","",UPPER(A_Corridor!$D$5:$D$204))),"")</f>
        <v/>
      </c>
      <c r="F358" s="181" t="str">
        <f>IFERROR(LOOKUP(2,1/((A_Corridor!$A$5:$A$204&lt;&gt;"")*(A_Corridor!$A$5:$A$204&lt;=$B358)*(A_Corridor!$B$5:$B$204&gt;$B358)*(A_Corridor!$E$5:$E$204&lt;&gt;"")),IF(A_Corridor!$E$5:$E$204="-","",1)),"")</f>
        <v/>
      </c>
      <c r="G358" s="182" t="str">
        <f>IFERROR(LOOKUP(2,1/((A_Corridor!$A$5:$A$204&lt;&gt;"")*(A_Corridor!$A$5:$A$204&lt;=$B358)*(A_Corridor!$B$5:$B$204&gt;$B358)*(A_Corridor!$E$5:$E$204&lt;&gt;"")),IF(A_Corridor!$E$5:$E$204="-","",A_Corridor!$E$5:$E$204)),"")</f>
        <v/>
      </c>
      <c r="H358" s="182" t="str">
        <f>IFERROR(LOOKUP(2,1/((D_Points!$A$5:$A$204&lt;&gt;"")*(D_Points!$A$5:$A$204&gt;=$B358)*(D_Points!$A$5:$A$204&lt;$B358+P_Interval)*(UPPER(TRIM(D_Points!$B$5:$B$204))="GULLY")*(D_Points!$H$5:$H$204&lt;&gt;"")),D_Points!$H$5:$H$204),"")</f>
        <v/>
      </c>
      <c r="I358" s="181" t="str">
        <f>IFERROR(LOOKUP(2,1/((A_Corridor!$A$5:$A$204&lt;&gt;"")*(A_Corridor!$A$5:$A$204&lt;=$B358)*(A_Corridor!$B$5:$B$204&gt;$B358)*(A_Corridor!$F$5:$F$204&lt;&gt;"")),IF(A_Corridor!$F$5:$F$204="-","",1)),"")</f>
        <v/>
      </c>
      <c r="J358" s="182" t="str">
        <f>IFERROR(LOOKUP(2,1/((A_Corridor!$A$5:$A$204&lt;&gt;"")*(A_Corridor!$A$5:$A$204&lt;=$B358)*(A_Corridor!$B$5:$B$204&gt;$B358)*(A_Corridor!$F$5:$F$204&lt;&gt;"")),IF(A_Corridor!$F$5:$F$204="-","",A_Corridor!$F$5:$F$204)),"")</f>
        <v/>
      </c>
      <c r="K358" s="182" t="str">
        <f>IFERROR(LOOKUP(2,1/((A_Corridor!$A$5:$A$204&lt;&gt;"")*(A_Corridor!$A$5:$A$204&lt;=$B358)*(A_Corridor!$B$5:$B$204&gt;$B358)*(A_Corridor!$G$5:$G$204&lt;&gt;"")),IF(A_Corridor!$G$5:$G$204="-","",A_Corridor!$G$5:$G$204)),"")</f>
        <v/>
      </c>
      <c r="L358" s="181" t="str">
        <f>IFERROR(LOOKUP(2,1/((A_Corridor!$A$5:$A$204&lt;&gt;"")*(A_Corridor!$A$5:$A$204&lt;=$B358)*(A_Corridor!$B$5:$B$204&gt;$B358)*(A_Corridor!$H$5:$H$204&lt;&gt;"")),IF(A_Corridor!$H$5:$H$204="-","",1)),"")</f>
        <v/>
      </c>
      <c r="M358" s="182" t="str">
        <f>IFERROR(LOOKUP(2,1/((A_Corridor!$A$5:$A$204&lt;&gt;"")*(A_Corridor!$A$5:$A$204&lt;=$B358)*(A_Corridor!$B$5:$B$204&gt;$B358)*(A_Corridor!$H$5:$H$204&lt;&gt;"")),IF(A_Corridor!$H$5:$H$204="-","",A_Corridor!$H$5:$H$204)),"")</f>
        <v/>
      </c>
      <c r="N358" s="182" t="str">
        <f>IFERROR(LOOKUP(2,1/((A_Corridor!$A$5:$A$204&lt;&gt;"")*(A_Corridor!$A$5:$A$204&lt;=$B358)*(A_Corridor!$B$5:$B$204&gt;$B358)*(A_Corridor!$I$5:$I$204&lt;&gt;"")),IF(A_Corridor!$I$5:$I$204="-","",A_Corridor!$I$5:$I$204)),"")</f>
        <v/>
      </c>
      <c r="O358" s="182" t="str">
        <f>IFERROR(LOOKUP(2,1/((D_Points!$A$5:$A$204&lt;&gt;"")*(D_Points!$A$5:$A$204&gt;=$B358)*(D_Points!$A$5:$A$204&lt;$B358+P_Interval)*(UPPER(TRIM(D_Points!$B$5:$B$204))="PITCHING")*(D_Points!$H$5:$H$204&lt;&gt;"")),D_Points!$H$5:$H$204),"")</f>
        <v/>
      </c>
      <c r="P358" s="181" t="str">
        <f>IFERROR(LOOKUP(2,1/((B_Drainage!$A$5:$A$204&lt;&gt;"")*(B_Drainage!$A$5:$A$204&lt;=$B358)*(B_Drainage!$B$5:$B$204&gt;$B358)*(B_Drainage!$C$5:$C$204&lt;&gt;"")),IF(B_Drainage!$C$5:$C$204="-","",UPPER(B_Drainage!$C$5:$C$204))),"")</f>
        <v/>
      </c>
      <c r="Q358" s="181" t="str">
        <f>IFERROR(LOOKUP(2,1/((B_Drainage!$A$5:$A$204&lt;&gt;"")*(B_Drainage!$A$5:$A$204&lt;=$B358)*(B_Drainage!$B$5:$B$204&gt;$B358)*(B_Drainage!$D$5:$D$204&lt;&gt;"")),IF(B_Drainage!$D$5:$D$204="-","",UPPER(B_Drainage!$D$5:$D$204))),"")</f>
        <v/>
      </c>
      <c r="R358" s="182" t="str">
        <f>IFERROR(LOOKUP(2,1/((D_Points!$A$5:$A$204&lt;&gt;"")*(D_Points!$A$5:$A$204&gt;=$B358)*(D_Points!$A$5:$A$204&lt;$B358+P_Interval)*(RIGHT(UPPER(TRIM(D_Points!$B$5:$B$204)),8)="_CULVERT")),IF(LEFT(UPPER(TRIM(D_Points!$B$5:$B$204)),2)="EX",1,IF(LEFT(UPPER(TRIM(D_Points!$B$5:$B$204)),2)="PR",2,3))),"")</f>
        <v/>
      </c>
      <c r="S358" s="182" t="str">
        <f>IFERROR(LOOKUP(2,1/((D_Points!$A$5:$A$204&lt;&gt;"")*(D_Points!$A$5:$A$204&gt;=$B358)*(D_Points!$A$5:$A$204&lt;$B358+P_Interval)*(RIGHT(UPPER(TRIM(D_Points!$B$5:$B$204)),7)="_BRIDGE")),IF(LEFT(UPPER(TRIM(D_Points!$B$5:$B$204)),2)="EX",1,IF(LEFT(UPPER(TRIM(D_Points!$B$5:$B$204)),2)="PR",2,2))),"")</f>
        <v/>
      </c>
      <c r="T358" s="181" t="str">
        <f>IFERROR(LOOKUP(2,1/((B_Drainage!$A$5:$A$204&lt;&gt;"")*(B_Drainage!$A$5:$A$204&lt;=$B358)*(B_Drainage!$B$5:$B$204&gt;$B358)*(B_Drainage!$E$5:$E$204&lt;&gt;"")),IF(B_Drainage!$E$5:$E$204="-","",1)),"")</f>
        <v/>
      </c>
      <c r="U358" s="181" t="str">
        <f>IFERROR(LOOKUP(2,1/((B_Drainage!$A$5:$A$204&lt;&gt;"")*(B_Drainage!$A$5:$A$204&lt;=$B358)*(B_Drainage!$B$5:$B$204&gt;$B358)*(B_Drainage!$E$5:$E$204&lt;&gt;"")),IF(B_Drainage!$E$5:$E$204="-","",B_Drainage!$E$5:$E$204)),"")</f>
        <v/>
      </c>
      <c r="V358" s="181" t="str">
        <f>IFERROR(LOOKUP(2,1/((B_Drainage!$A$5:$A$204&lt;&gt;"")*(B_Drainage!$A$5:$A$204&lt;=$B358)*(B_Drainage!$B$5:$B$204&gt;$B358)*(B_Drainage!$F$5:$F$204&lt;&gt;"")),IF(B_Drainage!$F$5:$F$204="-","",1)),"")</f>
        <v/>
      </c>
      <c r="W358" s="181" t="str">
        <f>IFERROR(LOOKUP(2,1/((B_Drainage!$A$5:$A$204&lt;&gt;"")*(B_Drainage!$A$5:$A$204&lt;=$B358)*(B_Drainage!$B$5:$B$204&gt;$B358)*(B_Drainage!$F$5:$F$204&lt;&gt;"")),IF(B_Drainage!$F$5:$F$204="-","",B_Drainage!$F$5:$F$204)),"")</f>
        <v/>
      </c>
      <c r="X358" s="181" t="str">
        <f>IFERROR(LOOKUP(2,1/((B_Drainage!$A$5:$A$204&lt;&gt;"")*(B_Drainage!$A$5:$A$204&lt;=$B358)*(B_Drainage!$B$5:$B$204&gt;$B358)*(B_Drainage!$G$5:$G$204&lt;&gt;"")),IF(UPPER(B_Drainage!$G$5:$G$204)="Y",1,"")),"")</f>
        <v/>
      </c>
      <c r="Y358" s="181" t="str">
        <f>IFERROR(LOOKUP(2,1/((B_Drainage!$A$5:$A$204&lt;&gt;"")*(B_Drainage!$A$5:$A$204&lt;=$B358)*(B_Drainage!$B$5:$B$204&gt;$B358)*(B_Drainage!$H$5:$H$204&lt;&gt;"")),IF(UPPER(B_Drainage!$H$5:$H$204)="Y",1,"")),"")</f>
        <v/>
      </c>
      <c r="Z358" s="181" t="str">
        <f>IFERROR(LOOKUP(2,1/((B_Drainage!$A$5:$A$204&lt;&gt;"")*(B_Drainage!$A$5:$A$204&lt;=$B358)*(B_Drainage!$B$5:$B$204&gt;$B358)*(B_Drainage!$I$5:$I$204&lt;&gt;"")),IF(UPPER(B_Drainage!$I$5:$I$204)="Y",1,"")),"")</f>
        <v/>
      </c>
      <c r="AA358" s="181" t="str">
        <f>IFERROR(LOOKUP(2,1/((B_Drainage!$A$5:$A$204&lt;&gt;"")*(B_Drainage!$A$5:$A$204&lt;=$B358)*(B_Drainage!$B$5:$B$204&gt;$B358)*(B_Drainage!$J$5:$J$204&lt;&gt;"")),IF(UPPER(B_Drainage!$J$5:$J$204)="Y",1,"")),"")</f>
        <v/>
      </c>
      <c r="AB358" s="182" t="str">
        <f>IFERROR(LOOKUP(2,1/((B_Drainage!$A$5:$A$204&lt;&gt;"")*(B_Drainage!$A$5:$A$204&lt;=$B358)*(B_Drainage!$B$5:$B$204&gt;$B358)*(B_Drainage!$K$5:$K$204&lt;&gt;"")),IF(B_Drainage!$K$5:$K$204="-","",B_Drainage!$K$5:$K$204)),"")</f>
        <v/>
      </c>
      <c r="AC358" s="182" t="str">
        <f>IFERROR(LOOKUP(2,1/((B_Drainage!$A$5:$A$204&lt;&gt;"")*(B_Drainage!$A$5:$A$204&lt;=$B358)*(B_Drainage!$B$5:$B$204&gt;$B358)*(B_Drainage!$L$5:$L$204&lt;&gt;"")),IF(B_Drainage!$L$5:$L$204="-","",B_Drainage!$L$5:$L$204)),"")</f>
        <v/>
      </c>
      <c r="AD358" s="182" t="str">
        <f>IFERROR(LOOKUP(2,1/((D_Points!$A$5:$A$204&lt;&gt;"")*(D_Points!$A$5:$A$204&gt;=$B358)*(D_Points!$A$5:$A$204&lt;$B358+P_Interval)*(UPPER(TRIM(D_Points!$B$5:$B$204))="TURNOUT_L")*(D_Points!$H$5:$H$204&lt;&gt;"")),D_Points!$H$5:$H$204),"")</f>
        <v/>
      </c>
      <c r="AE358" s="182" t="str">
        <f>IFERROR(LOOKUP(2,1/((D_Points!$A$5:$A$204&lt;&gt;"")*(D_Points!$A$5:$A$204&gt;=$B358)*(D_Points!$A$5:$A$204&lt;$B358+P_Interval)*(UPPER(TRIM(D_Points!$B$5:$B$204))="TURNOUT_R")*(D_Points!$H$5:$H$204&lt;&gt;"")),D_Points!$H$5:$H$204),"")</f>
        <v/>
      </c>
      <c r="AF358" s="181" t="str">
        <f>IFERROR(LOOKUP(2,1/((B_Drainage!$A$5:$A$204&lt;&gt;"")*(B_Drainage!$A$5:$A$204&lt;=$B358)*(B_Drainage!$B$5:$B$204&gt;$B358)*(B_Drainage!$M$5:$M$204&lt;&gt;"")),IF(UPPER(B_Drainage!$M$5:$M$204)="Y",1,"")),"")</f>
        <v/>
      </c>
      <c r="AG358" s="181" t="str">
        <f>IFERROR(LOOKUP(2,1/((B_Drainage!$A$5:$A$204&lt;&gt;"")*(B_Drainage!$A$5:$A$204&lt;=$B358)*(B_Drainage!$B$5:$B$204&gt;$B358)*(B_Drainage!$N$5:$N$204&lt;&gt;"")),IF(UPPER(B_Drainage!$N$5:$N$204)="Y",1,"")),"")</f>
        <v/>
      </c>
      <c r="AH358" s="181" t="str">
        <f t="shared" si="40"/>
        <v/>
      </c>
      <c r="AI358" s="181" t="str">
        <f t="shared" si="41"/>
        <v/>
      </c>
      <c r="AJ358" s="181" t="str">
        <f t="shared" si="42"/>
        <v/>
      </c>
      <c r="AK358" s="181" t="str">
        <f t="shared" si="43"/>
        <v/>
      </c>
      <c r="AL358" s="181" t="str">
        <f t="shared" si="44"/>
        <v/>
      </c>
      <c r="AM358" s="181" t="str">
        <f t="shared" si="45"/>
        <v/>
      </c>
      <c r="AN358" s="181" t="str">
        <f t="shared" si="46"/>
        <v/>
      </c>
      <c r="AO358" s="192" t="str">
        <f t="shared" si="47"/>
        <v/>
      </c>
      <c r="AQ358" t="str">
        <f>IFERROR(LOOKUP(2,1/((C_Pavement!$A$5:$A$204&lt;&gt;"")*(C_Pavement!$A$5:$A$204&lt;=$B358)*(C_Pavement!$B$5:$B$204&gt;$B358)*(C_Pavement!$C$5:$C$204&lt;&gt;"")),ROW(C_Pavement!$C$5:$C$204)-4),"")</f>
        <v/>
      </c>
      <c r="AR358" t="str">
        <f>IF($AQ358="","",UPPER(TRIM(INDEX(C_Pavement!$C$5:$C$204,$AQ358))))</f>
        <v/>
      </c>
      <c r="AS358" t="str">
        <f>IF($AR358="","",IFERROR(MATCH($AR358,E_Rules!$A$5:$A$9,0),""))</f>
        <v/>
      </c>
      <c r="AT358" t="str">
        <f>IF($AQ358="","",IF(INDEX(C_Pavement!$D$5:$D$204,$AQ358)&lt;&gt;"",UPPER(TRIM(INDEX(C_Pavement!$D$5:$D$204,$AQ358))),IF($AS358="","",INDEX(E_Rules!$C$5:$C$9,$AS358))))</f>
        <v/>
      </c>
      <c r="AU358" t="str">
        <f>IF($AQ358="","",IF(INDEX(C_Pavement!$E$5:$E$204,$AQ358)&lt;&gt;"",IF(INDEX(C_Pavement!$E$5:$E$204,$AQ358)="-","",INDEX(C_Pavement!$E$5:$E$204,$AQ358)),IF($AS358="","",INDEX(E_Rules!$D$5:$D$9,$AS358))))</f>
        <v/>
      </c>
      <c r="AV358" t="str">
        <f>IF($AQ358="","",IF(INDEX(C_Pavement!$F$5:$F$204,$AQ358)&lt;&gt;"",IF(INDEX(C_Pavement!$F$5:$F$204,$AQ358)="-","",INDEX(C_Pavement!$F$5:$F$204,$AQ358)),IF($AS358="","",INDEX(E_Rules!$E$5:$E$9,$AS358))))</f>
        <v/>
      </c>
      <c r="AW358" t="str">
        <f>IF($AQ358="","",IF(INDEX(C_Pavement!$G$5:$G$204,$AQ358)&lt;&gt;"",IF(INDEX(C_Pavement!$G$5:$G$204,$AQ358)="-","",INDEX(C_Pavement!$G$5:$G$204,$AQ358)),IF($AS358="","",INDEX(E_Rules!$F$5:$F$9,$AS358))))</f>
        <v/>
      </c>
      <c r="AX358" t="str">
        <f>IF($AQ358="","",IF(INDEX(C_Pavement!$H$5:$H$204,$AQ358)&lt;&gt;"",IF(INDEX(C_Pavement!$H$5:$H$204,$AQ358)="-","",INDEX(C_Pavement!$H$5:$H$204,$AQ358)),IF($AS358="","",INDEX(E_Rules!$G$5:$G$9,$AS358))))</f>
        <v/>
      </c>
      <c r="AY358" t="str">
        <f>IF($AQ358="","",IF(INDEX(C_Pavement!$I$5:$I$204,$AQ358)&lt;&gt;"",IF(INDEX(C_Pavement!$I$5:$I$204,$AQ358)="-","",INDEX(C_Pavement!$I$5:$I$204,$AQ358)),IF($AS358="","",INDEX(E_Rules!$H$5:$H$9,$AS358))))</f>
        <v/>
      </c>
    </row>
    <row r="359" spans="1:51" ht="15.75" customHeight="1" x14ac:dyDescent="0.3">
      <c r="A359" s="189">
        <v>354</v>
      </c>
      <c r="B359" s="180">
        <v>17650</v>
      </c>
      <c r="C359" s="180" t="s">
        <v>665</v>
      </c>
      <c r="D359" s="181" t="str">
        <f>IFERROR(LOOKUP(2,1/((A_Corridor!$A$5:$A$204&lt;&gt;"")*(A_Corridor!$A$5:$A$204&lt;=$B359)*(A_Corridor!$B$5:$B$204&gt;$B359)*(A_Corridor!$C$5:$C$204&lt;&gt;"")),IF(UPPER(A_Corridor!$C$5:$C$204)="Y",1,"")),"")</f>
        <v/>
      </c>
      <c r="E359" s="181" t="str">
        <f>IFERROR(LOOKUP(2,1/((A_Corridor!$A$5:$A$204&lt;&gt;"")*(A_Corridor!$A$5:$A$204&lt;=$B359)*(A_Corridor!$B$5:$B$204&gt;$B359)*(A_Corridor!$D$5:$D$204&lt;&gt;"")),IF(A_Corridor!$D$5:$D$204="-","",UPPER(A_Corridor!$D$5:$D$204))),"")</f>
        <v/>
      </c>
      <c r="F359" s="181" t="str">
        <f>IFERROR(LOOKUP(2,1/((A_Corridor!$A$5:$A$204&lt;&gt;"")*(A_Corridor!$A$5:$A$204&lt;=$B359)*(A_Corridor!$B$5:$B$204&gt;$B359)*(A_Corridor!$E$5:$E$204&lt;&gt;"")),IF(A_Corridor!$E$5:$E$204="-","",1)),"")</f>
        <v/>
      </c>
      <c r="G359" s="182" t="str">
        <f>IFERROR(LOOKUP(2,1/((A_Corridor!$A$5:$A$204&lt;&gt;"")*(A_Corridor!$A$5:$A$204&lt;=$B359)*(A_Corridor!$B$5:$B$204&gt;$B359)*(A_Corridor!$E$5:$E$204&lt;&gt;"")),IF(A_Corridor!$E$5:$E$204="-","",A_Corridor!$E$5:$E$204)),"")</f>
        <v/>
      </c>
      <c r="H359" s="182" t="str">
        <f>IFERROR(LOOKUP(2,1/((D_Points!$A$5:$A$204&lt;&gt;"")*(D_Points!$A$5:$A$204&gt;=$B359)*(D_Points!$A$5:$A$204&lt;$B359+P_Interval)*(UPPER(TRIM(D_Points!$B$5:$B$204))="GULLY")*(D_Points!$H$5:$H$204&lt;&gt;"")),D_Points!$H$5:$H$204),"")</f>
        <v/>
      </c>
      <c r="I359" s="181" t="str">
        <f>IFERROR(LOOKUP(2,1/((A_Corridor!$A$5:$A$204&lt;&gt;"")*(A_Corridor!$A$5:$A$204&lt;=$B359)*(A_Corridor!$B$5:$B$204&gt;$B359)*(A_Corridor!$F$5:$F$204&lt;&gt;"")),IF(A_Corridor!$F$5:$F$204="-","",1)),"")</f>
        <v/>
      </c>
      <c r="J359" s="182" t="str">
        <f>IFERROR(LOOKUP(2,1/((A_Corridor!$A$5:$A$204&lt;&gt;"")*(A_Corridor!$A$5:$A$204&lt;=$B359)*(A_Corridor!$B$5:$B$204&gt;$B359)*(A_Corridor!$F$5:$F$204&lt;&gt;"")),IF(A_Corridor!$F$5:$F$204="-","",A_Corridor!$F$5:$F$204)),"")</f>
        <v/>
      </c>
      <c r="K359" s="182" t="str">
        <f>IFERROR(LOOKUP(2,1/((A_Corridor!$A$5:$A$204&lt;&gt;"")*(A_Corridor!$A$5:$A$204&lt;=$B359)*(A_Corridor!$B$5:$B$204&gt;$B359)*(A_Corridor!$G$5:$G$204&lt;&gt;"")),IF(A_Corridor!$G$5:$G$204="-","",A_Corridor!$G$5:$G$204)),"")</f>
        <v/>
      </c>
      <c r="L359" s="181" t="str">
        <f>IFERROR(LOOKUP(2,1/((A_Corridor!$A$5:$A$204&lt;&gt;"")*(A_Corridor!$A$5:$A$204&lt;=$B359)*(A_Corridor!$B$5:$B$204&gt;$B359)*(A_Corridor!$H$5:$H$204&lt;&gt;"")),IF(A_Corridor!$H$5:$H$204="-","",1)),"")</f>
        <v/>
      </c>
      <c r="M359" s="182" t="str">
        <f>IFERROR(LOOKUP(2,1/((A_Corridor!$A$5:$A$204&lt;&gt;"")*(A_Corridor!$A$5:$A$204&lt;=$B359)*(A_Corridor!$B$5:$B$204&gt;$B359)*(A_Corridor!$H$5:$H$204&lt;&gt;"")),IF(A_Corridor!$H$5:$H$204="-","",A_Corridor!$H$5:$H$204)),"")</f>
        <v/>
      </c>
      <c r="N359" s="182" t="str">
        <f>IFERROR(LOOKUP(2,1/((A_Corridor!$A$5:$A$204&lt;&gt;"")*(A_Corridor!$A$5:$A$204&lt;=$B359)*(A_Corridor!$B$5:$B$204&gt;$B359)*(A_Corridor!$I$5:$I$204&lt;&gt;"")),IF(A_Corridor!$I$5:$I$204="-","",A_Corridor!$I$5:$I$204)),"")</f>
        <v/>
      </c>
      <c r="O359" s="182" t="str">
        <f>IFERROR(LOOKUP(2,1/((D_Points!$A$5:$A$204&lt;&gt;"")*(D_Points!$A$5:$A$204&gt;=$B359)*(D_Points!$A$5:$A$204&lt;$B359+P_Interval)*(UPPER(TRIM(D_Points!$B$5:$B$204))="PITCHING")*(D_Points!$H$5:$H$204&lt;&gt;"")),D_Points!$H$5:$H$204),"")</f>
        <v/>
      </c>
      <c r="P359" s="181" t="str">
        <f>IFERROR(LOOKUP(2,1/((B_Drainage!$A$5:$A$204&lt;&gt;"")*(B_Drainage!$A$5:$A$204&lt;=$B359)*(B_Drainage!$B$5:$B$204&gt;$B359)*(B_Drainage!$C$5:$C$204&lt;&gt;"")),IF(B_Drainage!$C$5:$C$204="-","",UPPER(B_Drainage!$C$5:$C$204))),"")</f>
        <v/>
      </c>
      <c r="Q359" s="181" t="str">
        <f>IFERROR(LOOKUP(2,1/((B_Drainage!$A$5:$A$204&lt;&gt;"")*(B_Drainage!$A$5:$A$204&lt;=$B359)*(B_Drainage!$B$5:$B$204&gt;$B359)*(B_Drainage!$D$5:$D$204&lt;&gt;"")),IF(B_Drainage!$D$5:$D$204="-","",UPPER(B_Drainage!$D$5:$D$204))),"")</f>
        <v/>
      </c>
      <c r="R359" s="182" t="str">
        <f>IFERROR(LOOKUP(2,1/((D_Points!$A$5:$A$204&lt;&gt;"")*(D_Points!$A$5:$A$204&gt;=$B359)*(D_Points!$A$5:$A$204&lt;$B359+P_Interval)*(RIGHT(UPPER(TRIM(D_Points!$B$5:$B$204)),8)="_CULVERT")),IF(LEFT(UPPER(TRIM(D_Points!$B$5:$B$204)),2)="EX",1,IF(LEFT(UPPER(TRIM(D_Points!$B$5:$B$204)),2)="PR",2,3))),"")</f>
        <v/>
      </c>
      <c r="S359" s="182" t="str">
        <f>IFERROR(LOOKUP(2,1/((D_Points!$A$5:$A$204&lt;&gt;"")*(D_Points!$A$5:$A$204&gt;=$B359)*(D_Points!$A$5:$A$204&lt;$B359+P_Interval)*(RIGHT(UPPER(TRIM(D_Points!$B$5:$B$204)),7)="_BRIDGE")),IF(LEFT(UPPER(TRIM(D_Points!$B$5:$B$204)),2)="EX",1,IF(LEFT(UPPER(TRIM(D_Points!$B$5:$B$204)),2)="PR",2,2))),"")</f>
        <v/>
      </c>
      <c r="T359" s="181" t="str">
        <f>IFERROR(LOOKUP(2,1/((B_Drainage!$A$5:$A$204&lt;&gt;"")*(B_Drainage!$A$5:$A$204&lt;=$B359)*(B_Drainage!$B$5:$B$204&gt;$B359)*(B_Drainage!$E$5:$E$204&lt;&gt;"")),IF(B_Drainage!$E$5:$E$204="-","",1)),"")</f>
        <v/>
      </c>
      <c r="U359" s="181" t="str">
        <f>IFERROR(LOOKUP(2,1/((B_Drainage!$A$5:$A$204&lt;&gt;"")*(B_Drainage!$A$5:$A$204&lt;=$B359)*(B_Drainage!$B$5:$B$204&gt;$B359)*(B_Drainage!$E$5:$E$204&lt;&gt;"")),IF(B_Drainage!$E$5:$E$204="-","",B_Drainage!$E$5:$E$204)),"")</f>
        <v/>
      </c>
      <c r="V359" s="181" t="str">
        <f>IFERROR(LOOKUP(2,1/((B_Drainage!$A$5:$A$204&lt;&gt;"")*(B_Drainage!$A$5:$A$204&lt;=$B359)*(B_Drainage!$B$5:$B$204&gt;$B359)*(B_Drainage!$F$5:$F$204&lt;&gt;"")),IF(B_Drainage!$F$5:$F$204="-","",1)),"")</f>
        <v/>
      </c>
      <c r="W359" s="181" t="str">
        <f>IFERROR(LOOKUP(2,1/((B_Drainage!$A$5:$A$204&lt;&gt;"")*(B_Drainage!$A$5:$A$204&lt;=$B359)*(B_Drainage!$B$5:$B$204&gt;$B359)*(B_Drainage!$F$5:$F$204&lt;&gt;"")),IF(B_Drainage!$F$5:$F$204="-","",B_Drainage!$F$5:$F$204)),"")</f>
        <v/>
      </c>
      <c r="X359" s="181" t="str">
        <f>IFERROR(LOOKUP(2,1/((B_Drainage!$A$5:$A$204&lt;&gt;"")*(B_Drainage!$A$5:$A$204&lt;=$B359)*(B_Drainage!$B$5:$B$204&gt;$B359)*(B_Drainage!$G$5:$G$204&lt;&gt;"")),IF(UPPER(B_Drainage!$G$5:$G$204)="Y",1,"")),"")</f>
        <v/>
      </c>
      <c r="Y359" s="181" t="str">
        <f>IFERROR(LOOKUP(2,1/((B_Drainage!$A$5:$A$204&lt;&gt;"")*(B_Drainage!$A$5:$A$204&lt;=$B359)*(B_Drainage!$B$5:$B$204&gt;$B359)*(B_Drainage!$H$5:$H$204&lt;&gt;"")),IF(UPPER(B_Drainage!$H$5:$H$204)="Y",1,"")),"")</f>
        <v/>
      </c>
      <c r="Z359" s="181" t="str">
        <f>IFERROR(LOOKUP(2,1/((B_Drainage!$A$5:$A$204&lt;&gt;"")*(B_Drainage!$A$5:$A$204&lt;=$B359)*(B_Drainage!$B$5:$B$204&gt;$B359)*(B_Drainage!$I$5:$I$204&lt;&gt;"")),IF(UPPER(B_Drainage!$I$5:$I$204)="Y",1,"")),"")</f>
        <v/>
      </c>
      <c r="AA359" s="181" t="str">
        <f>IFERROR(LOOKUP(2,1/((B_Drainage!$A$5:$A$204&lt;&gt;"")*(B_Drainage!$A$5:$A$204&lt;=$B359)*(B_Drainage!$B$5:$B$204&gt;$B359)*(B_Drainage!$J$5:$J$204&lt;&gt;"")),IF(UPPER(B_Drainage!$J$5:$J$204)="Y",1,"")),"")</f>
        <v/>
      </c>
      <c r="AB359" s="182" t="str">
        <f>IFERROR(LOOKUP(2,1/((B_Drainage!$A$5:$A$204&lt;&gt;"")*(B_Drainage!$A$5:$A$204&lt;=$B359)*(B_Drainage!$B$5:$B$204&gt;$B359)*(B_Drainage!$K$5:$K$204&lt;&gt;"")),IF(B_Drainage!$K$5:$K$204="-","",B_Drainage!$K$5:$K$204)),"")</f>
        <v/>
      </c>
      <c r="AC359" s="182" t="str">
        <f>IFERROR(LOOKUP(2,1/((B_Drainage!$A$5:$A$204&lt;&gt;"")*(B_Drainage!$A$5:$A$204&lt;=$B359)*(B_Drainage!$B$5:$B$204&gt;$B359)*(B_Drainage!$L$5:$L$204&lt;&gt;"")),IF(B_Drainage!$L$5:$L$204="-","",B_Drainage!$L$5:$L$204)),"")</f>
        <v/>
      </c>
      <c r="AD359" s="182" t="str">
        <f>IFERROR(LOOKUP(2,1/((D_Points!$A$5:$A$204&lt;&gt;"")*(D_Points!$A$5:$A$204&gt;=$B359)*(D_Points!$A$5:$A$204&lt;$B359+P_Interval)*(UPPER(TRIM(D_Points!$B$5:$B$204))="TURNOUT_L")*(D_Points!$H$5:$H$204&lt;&gt;"")),D_Points!$H$5:$H$204),"")</f>
        <v/>
      </c>
      <c r="AE359" s="182" t="str">
        <f>IFERROR(LOOKUP(2,1/((D_Points!$A$5:$A$204&lt;&gt;"")*(D_Points!$A$5:$A$204&gt;=$B359)*(D_Points!$A$5:$A$204&lt;$B359+P_Interval)*(UPPER(TRIM(D_Points!$B$5:$B$204))="TURNOUT_R")*(D_Points!$H$5:$H$204&lt;&gt;"")),D_Points!$H$5:$H$204),"")</f>
        <v/>
      </c>
      <c r="AF359" s="181" t="str">
        <f>IFERROR(LOOKUP(2,1/((B_Drainage!$A$5:$A$204&lt;&gt;"")*(B_Drainage!$A$5:$A$204&lt;=$B359)*(B_Drainage!$B$5:$B$204&gt;$B359)*(B_Drainage!$M$5:$M$204&lt;&gt;"")),IF(UPPER(B_Drainage!$M$5:$M$204)="Y",1,"")),"")</f>
        <v/>
      </c>
      <c r="AG359" s="181" t="str">
        <f>IFERROR(LOOKUP(2,1/((B_Drainage!$A$5:$A$204&lt;&gt;"")*(B_Drainage!$A$5:$A$204&lt;=$B359)*(B_Drainage!$B$5:$B$204&gt;$B359)*(B_Drainage!$N$5:$N$204&lt;&gt;"")),IF(UPPER(B_Drainage!$N$5:$N$204)="Y",1,"")),"")</f>
        <v/>
      </c>
      <c r="AH359" s="181" t="str">
        <f t="shared" si="40"/>
        <v/>
      </c>
      <c r="AI359" s="181" t="str">
        <f t="shared" si="41"/>
        <v/>
      </c>
      <c r="AJ359" s="181" t="str">
        <f t="shared" si="42"/>
        <v/>
      </c>
      <c r="AK359" s="181" t="str">
        <f t="shared" si="43"/>
        <v/>
      </c>
      <c r="AL359" s="181" t="str">
        <f t="shared" si="44"/>
        <v/>
      </c>
      <c r="AM359" s="181" t="str">
        <f t="shared" si="45"/>
        <v/>
      </c>
      <c r="AN359" s="181" t="str">
        <f t="shared" si="46"/>
        <v/>
      </c>
      <c r="AO359" s="192" t="str">
        <f t="shared" si="47"/>
        <v/>
      </c>
      <c r="AQ359" t="str">
        <f>IFERROR(LOOKUP(2,1/((C_Pavement!$A$5:$A$204&lt;&gt;"")*(C_Pavement!$A$5:$A$204&lt;=$B359)*(C_Pavement!$B$5:$B$204&gt;$B359)*(C_Pavement!$C$5:$C$204&lt;&gt;"")),ROW(C_Pavement!$C$5:$C$204)-4),"")</f>
        <v/>
      </c>
      <c r="AR359" t="str">
        <f>IF($AQ359="","",UPPER(TRIM(INDEX(C_Pavement!$C$5:$C$204,$AQ359))))</f>
        <v/>
      </c>
      <c r="AS359" t="str">
        <f>IF($AR359="","",IFERROR(MATCH($AR359,E_Rules!$A$5:$A$9,0),""))</f>
        <v/>
      </c>
      <c r="AT359" t="str">
        <f>IF($AQ359="","",IF(INDEX(C_Pavement!$D$5:$D$204,$AQ359)&lt;&gt;"",UPPER(TRIM(INDEX(C_Pavement!$D$5:$D$204,$AQ359))),IF($AS359="","",INDEX(E_Rules!$C$5:$C$9,$AS359))))</f>
        <v/>
      </c>
      <c r="AU359" t="str">
        <f>IF($AQ359="","",IF(INDEX(C_Pavement!$E$5:$E$204,$AQ359)&lt;&gt;"",IF(INDEX(C_Pavement!$E$5:$E$204,$AQ359)="-","",INDEX(C_Pavement!$E$5:$E$204,$AQ359)),IF($AS359="","",INDEX(E_Rules!$D$5:$D$9,$AS359))))</f>
        <v/>
      </c>
      <c r="AV359" t="str">
        <f>IF($AQ359="","",IF(INDEX(C_Pavement!$F$5:$F$204,$AQ359)&lt;&gt;"",IF(INDEX(C_Pavement!$F$5:$F$204,$AQ359)="-","",INDEX(C_Pavement!$F$5:$F$204,$AQ359)),IF($AS359="","",INDEX(E_Rules!$E$5:$E$9,$AS359))))</f>
        <v/>
      </c>
      <c r="AW359" t="str">
        <f>IF($AQ359="","",IF(INDEX(C_Pavement!$G$5:$G$204,$AQ359)&lt;&gt;"",IF(INDEX(C_Pavement!$G$5:$G$204,$AQ359)="-","",INDEX(C_Pavement!$G$5:$G$204,$AQ359)),IF($AS359="","",INDEX(E_Rules!$F$5:$F$9,$AS359))))</f>
        <v/>
      </c>
      <c r="AX359" t="str">
        <f>IF($AQ359="","",IF(INDEX(C_Pavement!$H$5:$H$204,$AQ359)&lt;&gt;"",IF(INDEX(C_Pavement!$H$5:$H$204,$AQ359)="-","",INDEX(C_Pavement!$H$5:$H$204,$AQ359)),IF($AS359="","",INDEX(E_Rules!$G$5:$G$9,$AS359))))</f>
        <v/>
      </c>
      <c r="AY359" t="str">
        <f>IF($AQ359="","",IF(INDEX(C_Pavement!$I$5:$I$204,$AQ359)&lt;&gt;"",IF(INDEX(C_Pavement!$I$5:$I$204,$AQ359)="-","",INDEX(C_Pavement!$I$5:$I$204,$AQ359)),IF($AS359="","",INDEX(E_Rules!$H$5:$H$9,$AS359))))</f>
        <v/>
      </c>
    </row>
    <row r="360" spans="1:51" ht="15.75" customHeight="1" x14ac:dyDescent="0.3">
      <c r="A360" s="189">
        <v>355</v>
      </c>
      <c r="B360" s="180">
        <v>17700</v>
      </c>
      <c r="C360" s="180" t="s">
        <v>666</v>
      </c>
      <c r="D360" s="181" t="str">
        <f>IFERROR(LOOKUP(2,1/((A_Corridor!$A$5:$A$204&lt;&gt;"")*(A_Corridor!$A$5:$A$204&lt;=$B360)*(A_Corridor!$B$5:$B$204&gt;$B360)*(A_Corridor!$C$5:$C$204&lt;&gt;"")),IF(UPPER(A_Corridor!$C$5:$C$204)="Y",1,"")),"")</f>
        <v/>
      </c>
      <c r="E360" s="181" t="str">
        <f>IFERROR(LOOKUP(2,1/((A_Corridor!$A$5:$A$204&lt;&gt;"")*(A_Corridor!$A$5:$A$204&lt;=$B360)*(A_Corridor!$B$5:$B$204&gt;$B360)*(A_Corridor!$D$5:$D$204&lt;&gt;"")),IF(A_Corridor!$D$5:$D$204="-","",UPPER(A_Corridor!$D$5:$D$204))),"")</f>
        <v/>
      </c>
      <c r="F360" s="181" t="str">
        <f>IFERROR(LOOKUP(2,1/((A_Corridor!$A$5:$A$204&lt;&gt;"")*(A_Corridor!$A$5:$A$204&lt;=$B360)*(A_Corridor!$B$5:$B$204&gt;$B360)*(A_Corridor!$E$5:$E$204&lt;&gt;"")),IF(A_Corridor!$E$5:$E$204="-","",1)),"")</f>
        <v/>
      </c>
      <c r="G360" s="182" t="str">
        <f>IFERROR(LOOKUP(2,1/((A_Corridor!$A$5:$A$204&lt;&gt;"")*(A_Corridor!$A$5:$A$204&lt;=$B360)*(A_Corridor!$B$5:$B$204&gt;$B360)*(A_Corridor!$E$5:$E$204&lt;&gt;"")),IF(A_Corridor!$E$5:$E$204="-","",A_Corridor!$E$5:$E$204)),"")</f>
        <v/>
      </c>
      <c r="H360" s="182" t="str">
        <f>IFERROR(LOOKUP(2,1/((D_Points!$A$5:$A$204&lt;&gt;"")*(D_Points!$A$5:$A$204&gt;=$B360)*(D_Points!$A$5:$A$204&lt;$B360+P_Interval)*(UPPER(TRIM(D_Points!$B$5:$B$204))="GULLY")*(D_Points!$H$5:$H$204&lt;&gt;"")),D_Points!$H$5:$H$204),"")</f>
        <v/>
      </c>
      <c r="I360" s="181" t="str">
        <f>IFERROR(LOOKUP(2,1/((A_Corridor!$A$5:$A$204&lt;&gt;"")*(A_Corridor!$A$5:$A$204&lt;=$B360)*(A_Corridor!$B$5:$B$204&gt;$B360)*(A_Corridor!$F$5:$F$204&lt;&gt;"")),IF(A_Corridor!$F$5:$F$204="-","",1)),"")</f>
        <v/>
      </c>
      <c r="J360" s="182" t="str">
        <f>IFERROR(LOOKUP(2,1/((A_Corridor!$A$5:$A$204&lt;&gt;"")*(A_Corridor!$A$5:$A$204&lt;=$B360)*(A_Corridor!$B$5:$B$204&gt;$B360)*(A_Corridor!$F$5:$F$204&lt;&gt;"")),IF(A_Corridor!$F$5:$F$204="-","",A_Corridor!$F$5:$F$204)),"")</f>
        <v/>
      </c>
      <c r="K360" s="182" t="str">
        <f>IFERROR(LOOKUP(2,1/((A_Corridor!$A$5:$A$204&lt;&gt;"")*(A_Corridor!$A$5:$A$204&lt;=$B360)*(A_Corridor!$B$5:$B$204&gt;$B360)*(A_Corridor!$G$5:$G$204&lt;&gt;"")),IF(A_Corridor!$G$5:$G$204="-","",A_Corridor!$G$5:$G$204)),"")</f>
        <v/>
      </c>
      <c r="L360" s="181" t="str">
        <f>IFERROR(LOOKUP(2,1/((A_Corridor!$A$5:$A$204&lt;&gt;"")*(A_Corridor!$A$5:$A$204&lt;=$B360)*(A_Corridor!$B$5:$B$204&gt;$B360)*(A_Corridor!$H$5:$H$204&lt;&gt;"")),IF(A_Corridor!$H$5:$H$204="-","",1)),"")</f>
        <v/>
      </c>
      <c r="M360" s="182" t="str">
        <f>IFERROR(LOOKUP(2,1/((A_Corridor!$A$5:$A$204&lt;&gt;"")*(A_Corridor!$A$5:$A$204&lt;=$B360)*(A_Corridor!$B$5:$B$204&gt;$B360)*(A_Corridor!$H$5:$H$204&lt;&gt;"")),IF(A_Corridor!$H$5:$H$204="-","",A_Corridor!$H$5:$H$204)),"")</f>
        <v/>
      </c>
      <c r="N360" s="182" t="str">
        <f>IFERROR(LOOKUP(2,1/((A_Corridor!$A$5:$A$204&lt;&gt;"")*(A_Corridor!$A$5:$A$204&lt;=$B360)*(A_Corridor!$B$5:$B$204&gt;$B360)*(A_Corridor!$I$5:$I$204&lt;&gt;"")),IF(A_Corridor!$I$5:$I$204="-","",A_Corridor!$I$5:$I$204)),"")</f>
        <v/>
      </c>
      <c r="O360" s="182" t="str">
        <f>IFERROR(LOOKUP(2,1/((D_Points!$A$5:$A$204&lt;&gt;"")*(D_Points!$A$5:$A$204&gt;=$B360)*(D_Points!$A$5:$A$204&lt;$B360+P_Interval)*(UPPER(TRIM(D_Points!$B$5:$B$204))="PITCHING")*(D_Points!$H$5:$H$204&lt;&gt;"")),D_Points!$H$5:$H$204),"")</f>
        <v/>
      </c>
      <c r="P360" s="181" t="str">
        <f>IFERROR(LOOKUP(2,1/((B_Drainage!$A$5:$A$204&lt;&gt;"")*(B_Drainage!$A$5:$A$204&lt;=$B360)*(B_Drainage!$B$5:$B$204&gt;$B360)*(B_Drainage!$C$5:$C$204&lt;&gt;"")),IF(B_Drainage!$C$5:$C$204="-","",UPPER(B_Drainage!$C$5:$C$204))),"")</f>
        <v/>
      </c>
      <c r="Q360" s="181" t="str">
        <f>IFERROR(LOOKUP(2,1/((B_Drainage!$A$5:$A$204&lt;&gt;"")*(B_Drainage!$A$5:$A$204&lt;=$B360)*(B_Drainage!$B$5:$B$204&gt;$B360)*(B_Drainage!$D$5:$D$204&lt;&gt;"")),IF(B_Drainage!$D$5:$D$204="-","",UPPER(B_Drainage!$D$5:$D$204))),"")</f>
        <v/>
      </c>
      <c r="R360" s="182" t="str">
        <f>IFERROR(LOOKUP(2,1/((D_Points!$A$5:$A$204&lt;&gt;"")*(D_Points!$A$5:$A$204&gt;=$B360)*(D_Points!$A$5:$A$204&lt;$B360+P_Interval)*(RIGHT(UPPER(TRIM(D_Points!$B$5:$B$204)),8)="_CULVERT")),IF(LEFT(UPPER(TRIM(D_Points!$B$5:$B$204)),2)="EX",1,IF(LEFT(UPPER(TRIM(D_Points!$B$5:$B$204)),2)="PR",2,3))),"")</f>
        <v/>
      </c>
      <c r="S360" s="182" t="str">
        <f>IFERROR(LOOKUP(2,1/((D_Points!$A$5:$A$204&lt;&gt;"")*(D_Points!$A$5:$A$204&gt;=$B360)*(D_Points!$A$5:$A$204&lt;$B360+P_Interval)*(RIGHT(UPPER(TRIM(D_Points!$B$5:$B$204)),7)="_BRIDGE")),IF(LEFT(UPPER(TRIM(D_Points!$B$5:$B$204)),2)="EX",1,IF(LEFT(UPPER(TRIM(D_Points!$B$5:$B$204)),2)="PR",2,2))),"")</f>
        <v/>
      </c>
      <c r="T360" s="181" t="str">
        <f>IFERROR(LOOKUP(2,1/((B_Drainage!$A$5:$A$204&lt;&gt;"")*(B_Drainage!$A$5:$A$204&lt;=$B360)*(B_Drainage!$B$5:$B$204&gt;$B360)*(B_Drainage!$E$5:$E$204&lt;&gt;"")),IF(B_Drainage!$E$5:$E$204="-","",1)),"")</f>
        <v/>
      </c>
      <c r="U360" s="181" t="str">
        <f>IFERROR(LOOKUP(2,1/((B_Drainage!$A$5:$A$204&lt;&gt;"")*(B_Drainage!$A$5:$A$204&lt;=$B360)*(B_Drainage!$B$5:$B$204&gt;$B360)*(B_Drainage!$E$5:$E$204&lt;&gt;"")),IF(B_Drainage!$E$5:$E$204="-","",B_Drainage!$E$5:$E$204)),"")</f>
        <v/>
      </c>
      <c r="V360" s="181" t="str">
        <f>IFERROR(LOOKUP(2,1/((B_Drainage!$A$5:$A$204&lt;&gt;"")*(B_Drainage!$A$5:$A$204&lt;=$B360)*(B_Drainage!$B$5:$B$204&gt;$B360)*(B_Drainage!$F$5:$F$204&lt;&gt;"")),IF(B_Drainage!$F$5:$F$204="-","",1)),"")</f>
        <v/>
      </c>
      <c r="W360" s="181" t="str">
        <f>IFERROR(LOOKUP(2,1/((B_Drainage!$A$5:$A$204&lt;&gt;"")*(B_Drainage!$A$5:$A$204&lt;=$B360)*(B_Drainage!$B$5:$B$204&gt;$B360)*(B_Drainage!$F$5:$F$204&lt;&gt;"")),IF(B_Drainage!$F$5:$F$204="-","",B_Drainage!$F$5:$F$204)),"")</f>
        <v/>
      </c>
      <c r="X360" s="181" t="str">
        <f>IFERROR(LOOKUP(2,1/((B_Drainage!$A$5:$A$204&lt;&gt;"")*(B_Drainage!$A$5:$A$204&lt;=$B360)*(B_Drainage!$B$5:$B$204&gt;$B360)*(B_Drainage!$G$5:$G$204&lt;&gt;"")),IF(UPPER(B_Drainage!$G$5:$G$204)="Y",1,"")),"")</f>
        <v/>
      </c>
      <c r="Y360" s="181" t="str">
        <f>IFERROR(LOOKUP(2,1/((B_Drainage!$A$5:$A$204&lt;&gt;"")*(B_Drainage!$A$5:$A$204&lt;=$B360)*(B_Drainage!$B$5:$B$204&gt;$B360)*(B_Drainage!$H$5:$H$204&lt;&gt;"")),IF(UPPER(B_Drainage!$H$5:$H$204)="Y",1,"")),"")</f>
        <v/>
      </c>
      <c r="Z360" s="181" t="str">
        <f>IFERROR(LOOKUP(2,1/((B_Drainage!$A$5:$A$204&lt;&gt;"")*(B_Drainage!$A$5:$A$204&lt;=$B360)*(B_Drainage!$B$5:$B$204&gt;$B360)*(B_Drainage!$I$5:$I$204&lt;&gt;"")),IF(UPPER(B_Drainage!$I$5:$I$204)="Y",1,"")),"")</f>
        <v/>
      </c>
      <c r="AA360" s="181" t="str">
        <f>IFERROR(LOOKUP(2,1/((B_Drainage!$A$5:$A$204&lt;&gt;"")*(B_Drainage!$A$5:$A$204&lt;=$B360)*(B_Drainage!$B$5:$B$204&gt;$B360)*(B_Drainage!$J$5:$J$204&lt;&gt;"")),IF(UPPER(B_Drainage!$J$5:$J$204)="Y",1,"")),"")</f>
        <v/>
      </c>
      <c r="AB360" s="182" t="str">
        <f>IFERROR(LOOKUP(2,1/((B_Drainage!$A$5:$A$204&lt;&gt;"")*(B_Drainage!$A$5:$A$204&lt;=$B360)*(B_Drainage!$B$5:$B$204&gt;$B360)*(B_Drainage!$K$5:$K$204&lt;&gt;"")),IF(B_Drainage!$K$5:$K$204="-","",B_Drainage!$K$5:$K$204)),"")</f>
        <v/>
      </c>
      <c r="AC360" s="182" t="str">
        <f>IFERROR(LOOKUP(2,1/((B_Drainage!$A$5:$A$204&lt;&gt;"")*(B_Drainage!$A$5:$A$204&lt;=$B360)*(B_Drainage!$B$5:$B$204&gt;$B360)*(B_Drainage!$L$5:$L$204&lt;&gt;"")),IF(B_Drainage!$L$5:$L$204="-","",B_Drainage!$L$5:$L$204)),"")</f>
        <v/>
      </c>
      <c r="AD360" s="182" t="str">
        <f>IFERROR(LOOKUP(2,1/((D_Points!$A$5:$A$204&lt;&gt;"")*(D_Points!$A$5:$A$204&gt;=$B360)*(D_Points!$A$5:$A$204&lt;$B360+P_Interval)*(UPPER(TRIM(D_Points!$B$5:$B$204))="TURNOUT_L")*(D_Points!$H$5:$H$204&lt;&gt;"")),D_Points!$H$5:$H$204),"")</f>
        <v/>
      </c>
      <c r="AE360" s="182" t="str">
        <f>IFERROR(LOOKUP(2,1/((D_Points!$A$5:$A$204&lt;&gt;"")*(D_Points!$A$5:$A$204&gt;=$B360)*(D_Points!$A$5:$A$204&lt;$B360+P_Interval)*(UPPER(TRIM(D_Points!$B$5:$B$204))="TURNOUT_R")*(D_Points!$H$5:$H$204&lt;&gt;"")),D_Points!$H$5:$H$204),"")</f>
        <v/>
      </c>
      <c r="AF360" s="181" t="str">
        <f>IFERROR(LOOKUP(2,1/((B_Drainage!$A$5:$A$204&lt;&gt;"")*(B_Drainage!$A$5:$A$204&lt;=$B360)*(B_Drainage!$B$5:$B$204&gt;$B360)*(B_Drainage!$M$5:$M$204&lt;&gt;"")),IF(UPPER(B_Drainage!$M$5:$M$204)="Y",1,"")),"")</f>
        <v/>
      </c>
      <c r="AG360" s="181" t="str">
        <f>IFERROR(LOOKUP(2,1/((B_Drainage!$A$5:$A$204&lt;&gt;"")*(B_Drainage!$A$5:$A$204&lt;=$B360)*(B_Drainage!$B$5:$B$204&gt;$B360)*(B_Drainage!$N$5:$N$204&lt;&gt;"")),IF(UPPER(B_Drainage!$N$5:$N$204)="Y",1,"")),"")</f>
        <v/>
      </c>
      <c r="AH360" s="181" t="str">
        <f t="shared" si="40"/>
        <v/>
      </c>
      <c r="AI360" s="181" t="str">
        <f t="shared" si="41"/>
        <v/>
      </c>
      <c r="AJ360" s="181" t="str">
        <f t="shared" si="42"/>
        <v/>
      </c>
      <c r="AK360" s="181" t="str">
        <f t="shared" si="43"/>
        <v/>
      </c>
      <c r="AL360" s="181" t="str">
        <f t="shared" si="44"/>
        <v/>
      </c>
      <c r="AM360" s="181" t="str">
        <f t="shared" si="45"/>
        <v/>
      </c>
      <c r="AN360" s="181" t="str">
        <f t="shared" si="46"/>
        <v/>
      </c>
      <c r="AO360" s="192" t="str">
        <f t="shared" si="47"/>
        <v/>
      </c>
      <c r="AQ360" t="str">
        <f>IFERROR(LOOKUP(2,1/((C_Pavement!$A$5:$A$204&lt;&gt;"")*(C_Pavement!$A$5:$A$204&lt;=$B360)*(C_Pavement!$B$5:$B$204&gt;$B360)*(C_Pavement!$C$5:$C$204&lt;&gt;"")),ROW(C_Pavement!$C$5:$C$204)-4),"")</f>
        <v/>
      </c>
      <c r="AR360" t="str">
        <f>IF($AQ360="","",UPPER(TRIM(INDEX(C_Pavement!$C$5:$C$204,$AQ360))))</f>
        <v/>
      </c>
      <c r="AS360" t="str">
        <f>IF($AR360="","",IFERROR(MATCH($AR360,E_Rules!$A$5:$A$9,0),""))</f>
        <v/>
      </c>
      <c r="AT360" t="str">
        <f>IF($AQ360="","",IF(INDEX(C_Pavement!$D$5:$D$204,$AQ360)&lt;&gt;"",UPPER(TRIM(INDEX(C_Pavement!$D$5:$D$204,$AQ360))),IF($AS360="","",INDEX(E_Rules!$C$5:$C$9,$AS360))))</f>
        <v/>
      </c>
      <c r="AU360" t="str">
        <f>IF($AQ360="","",IF(INDEX(C_Pavement!$E$5:$E$204,$AQ360)&lt;&gt;"",IF(INDEX(C_Pavement!$E$5:$E$204,$AQ360)="-","",INDEX(C_Pavement!$E$5:$E$204,$AQ360)),IF($AS360="","",INDEX(E_Rules!$D$5:$D$9,$AS360))))</f>
        <v/>
      </c>
      <c r="AV360" t="str">
        <f>IF($AQ360="","",IF(INDEX(C_Pavement!$F$5:$F$204,$AQ360)&lt;&gt;"",IF(INDEX(C_Pavement!$F$5:$F$204,$AQ360)="-","",INDEX(C_Pavement!$F$5:$F$204,$AQ360)),IF($AS360="","",INDEX(E_Rules!$E$5:$E$9,$AS360))))</f>
        <v/>
      </c>
      <c r="AW360" t="str">
        <f>IF($AQ360="","",IF(INDEX(C_Pavement!$G$5:$G$204,$AQ360)&lt;&gt;"",IF(INDEX(C_Pavement!$G$5:$G$204,$AQ360)="-","",INDEX(C_Pavement!$G$5:$G$204,$AQ360)),IF($AS360="","",INDEX(E_Rules!$F$5:$F$9,$AS360))))</f>
        <v/>
      </c>
      <c r="AX360" t="str">
        <f>IF($AQ360="","",IF(INDEX(C_Pavement!$H$5:$H$204,$AQ360)&lt;&gt;"",IF(INDEX(C_Pavement!$H$5:$H$204,$AQ360)="-","",INDEX(C_Pavement!$H$5:$H$204,$AQ360)),IF($AS360="","",INDEX(E_Rules!$G$5:$G$9,$AS360))))</f>
        <v/>
      </c>
      <c r="AY360" t="str">
        <f>IF($AQ360="","",IF(INDEX(C_Pavement!$I$5:$I$204,$AQ360)&lt;&gt;"",IF(INDEX(C_Pavement!$I$5:$I$204,$AQ360)="-","",INDEX(C_Pavement!$I$5:$I$204,$AQ360)),IF($AS360="","",INDEX(E_Rules!$H$5:$H$9,$AS360))))</f>
        <v/>
      </c>
    </row>
    <row r="361" spans="1:51" ht="15.75" customHeight="1" x14ac:dyDescent="0.3">
      <c r="A361" s="189">
        <v>356</v>
      </c>
      <c r="B361" s="180">
        <v>17750</v>
      </c>
      <c r="C361" s="180" t="s">
        <v>667</v>
      </c>
      <c r="D361" s="181" t="str">
        <f>IFERROR(LOOKUP(2,1/((A_Corridor!$A$5:$A$204&lt;&gt;"")*(A_Corridor!$A$5:$A$204&lt;=$B361)*(A_Corridor!$B$5:$B$204&gt;$B361)*(A_Corridor!$C$5:$C$204&lt;&gt;"")),IF(UPPER(A_Corridor!$C$5:$C$204)="Y",1,"")),"")</f>
        <v/>
      </c>
      <c r="E361" s="181" t="str">
        <f>IFERROR(LOOKUP(2,1/((A_Corridor!$A$5:$A$204&lt;&gt;"")*(A_Corridor!$A$5:$A$204&lt;=$B361)*(A_Corridor!$B$5:$B$204&gt;$B361)*(A_Corridor!$D$5:$D$204&lt;&gt;"")),IF(A_Corridor!$D$5:$D$204="-","",UPPER(A_Corridor!$D$5:$D$204))),"")</f>
        <v/>
      </c>
      <c r="F361" s="181" t="str">
        <f>IFERROR(LOOKUP(2,1/((A_Corridor!$A$5:$A$204&lt;&gt;"")*(A_Corridor!$A$5:$A$204&lt;=$B361)*(A_Corridor!$B$5:$B$204&gt;$B361)*(A_Corridor!$E$5:$E$204&lt;&gt;"")),IF(A_Corridor!$E$5:$E$204="-","",1)),"")</f>
        <v/>
      </c>
      <c r="G361" s="182" t="str">
        <f>IFERROR(LOOKUP(2,1/((A_Corridor!$A$5:$A$204&lt;&gt;"")*(A_Corridor!$A$5:$A$204&lt;=$B361)*(A_Corridor!$B$5:$B$204&gt;$B361)*(A_Corridor!$E$5:$E$204&lt;&gt;"")),IF(A_Corridor!$E$5:$E$204="-","",A_Corridor!$E$5:$E$204)),"")</f>
        <v/>
      </c>
      <c r="H361" s="182" t="str">
        <f>IFERROR(LOOKUP(2,1/((D_Points!$A$5:$A$204&lt;&gt;"")*(D_Points!$A$5:$A$204&gt;=$B361)*(D_Points!$A$5:$A$204&lt;$B361+P_Interval)*(UPPER(TRIM(D_Points!$B$5:$B$204))="GULLY")*(D_Points!$H$5:$H$204&lt;&gt;"")),D_Points!$H$5:$H$204),"")</f>
        <v/>
      </c>
      <c r="I361" s="181" t="str">
        <f>IFERROR(LOOKUP(2,1/((A_Corridor!$A$5:$A$204&lt;&gt;"")*(A_Corridor!$A$5:$A$204&lt;=$B361)*(A_Corridor!$B$5:$B$204&gt;$B361)*(A_Corridor!$F$5:$F$204&lt;&gt;"")),IF(A_Corridor!$F$5:$F$204="-","",1)),"")</f>
        <v/>
      </c>
      <c r="J361" s="182" t="str">
        <f>IFERROR(LOOKUP(2,1/((A_Corridor!$A$5:$A$204&lt;&gt;"")*(A_Corridor!$A$5:$A$204&lt;=$B361)*(A_Corridor!$B$5:$B$204&gt;$B361)*(A_Corridor!$F$5:$F$204&lt;&gt;"")),IF(A_Corridor!$F$5:$F$204="-","",A_Corridor!$F$5:$F$204)),"")</f>
        <v/>
      </c>
      <c r="K361" s="182" t="str">
        <f>IFERROR(LOOKUP(2,1/((A_Corridor!$A$5:$A$204&lt;&gt;"")*(A_Corridor!$A$5:$A$204&lt;=$B361)*(A_Corridor!$B$5:$B$204&gt;$B361)*(A_Corridor!$G$5:$G$204&lt;&gt;"")),IF(A_Corridor!$G$5:$G$204="-","",A_Corridor!$G$5:$G$204)),"")</f>
        <v/>
      </c>
      <c r="L361" s="181" t="str">
        <f>IFERROR(LOOKUP(2,1/((A_Corridor!$A$5:$A$204&lt;&gt;"")*(A_Corridor!$A$5:$A$204&lt;=$B361)*(A_Corridor!$B$5:$B$204&gt;$B361)*(A_Corridor!$H$5:$H$204&lt;&gt;"")),IF(A_Corridor!$H$5:$H$204="-","",1)),"")</f>
        <v/>
      </c>
      <c r="M361" s="182" t="str">
        <f>IFERROR(LOOKUP(2,1/((A_Corridor!$A$5:$A$204&lt;&gt;"")*(A_Corridor!$A$5:$A$204&lt;=$B361)*(A_Corridor!$B$5:$B$204&gt;$B361)*(A_Corridor!$H$5:$H$204&lt;&gt;"")),IF(A_Corridor!$H$5:$H$204="-","",A_Corridor!$H$5:$H$204)),"")</f>
        <v/>
      </c>
      <c r="N361" s="182" t="str">
        <f>IFERROR(LOOKUP(2,1/((A_Corridor!$A$5:$A$204&lt;&gt;"")*(A_Corridor!$A$5:$A$204&lt;=$B361)*(A_Corridor!$B$5:$B$204&gt;$B361)*(A_Corridor!$I$5:$I$204&lt;&gt;"")),IF(A_Corridor!$I$5:$I$204="-","",A_Corridor!$I$5:$I$204)),"")</f>
        <v/>
      </c>
      <c r="O361" s="182" t="str">
        <f>IFERROR(LOOKUP(2,1/((D_Points!$A$5:$A$204&lt;&gt;"")*(D_Points!$A$5:$A$204&gt;=$B361)*(D_Points!$A$5:$A$204&lt;$B361+P_Interval)*(UPPER(TRIM(D_Points!$B$5:$B$204))="PITCHING")*(D_Points!$H$5:$H$204&lt;&gt;"")),D_Points!$H$5:$H$204),"")</f>
        <v/>
      </c>
      <c r="P361" s="181" t="str">
        <f>IFERROR(LOOKUP(2,1/((B_Drainage!$A$5:$A$204&lt;&gt;"")*(B_Drainage!$A$5:$A$204&lt;=$B361)*(B_Drainage!$B$5:$B$204&gt;$B361)*(B_Drainage!$C$5:$C$204&lt;&gt;"")),IF(B_Drainage!$C$5:$C$204="-","",UPPER(B_Drainage!$C$5:$C$204))),"")</f>
        <v/>
      </c>
      <c r="Q361" s="181" t="str">
        <f>IFERROR(LOOKUP(2,1/((B_Drainage!$A$5:$A$204&lt;&gt;"")*(B_Drainage!$A$5:$A$204&lt;=$B361)*(B_Drainage!$B$5:$B$204&gt;$B361)*(B_Drainage!$D$5:$D$204&lt;&gt;"")),IF(B_Drainage!$D$5:$D$204="-","",UPPER(B_Drainage!$D$5:$D$204))),"")</f>
        <v/>
      </c>
      <c r="R361" s="182" t="str">
        <f>IFERROR(LOOKUP(2,1/((D_Points!$A$5:$A$204&lt;&gt;"")*(D_Points!$A$5:$A$204&gt;=$B361)*(D_Points!$A$5:$A$204&lt;$B361+P_Interval)*(RIGHT(UPPER(TRIM(D_Points!$B$5:$B$204)),8)="_CULVERT")),IF(LEFT(UPPER(TRIM(D_Points!$B$5:$B$204)),2)="EX",1,IF(LEFT(UPPER(TRIM(D_Points!$B$5:$B$204)),2)="PR",2,3))),"")</f>
        <v/>
      </c>
      <c r="S361" s="182" t="str">
        <f>IFERROR(LOOKUP(2,1/((D_Points!$A$5:$A$204&lt;&gt;"")*(D_Points!$A$5:$A$204&gt;=$B361)*(D_Points!$A$5:$A$204&lt;$B361+P_Interval)*(RIGHT(UPPER(TRIM(D_Points!$B$5:$B$204)),7)="_BRIDGE")),IF(LEFT(UPPER(TRIM(D_Points!$B$5:$B$204)),2)="EX",1,IF(LEFT(UPPER(TRIM(D_Points!$B$5:$B$204)),2)="PR",2,2))),"")</f>
        <v/>
      </c>
      <c r="T361" s="181" t="str">
        <f>IFERROR(LOOKUP(2,1/((B_Drainage!$A$5:$A$204&lt;&gt;"")*(B_Drainage!$A$5:$A$204&lt;=$B361)*(B_Drainage!$B$5:$B$204&gt;$B361)*(B_Drainage!$E$5:$E$204&lt;&gt;"")),IF(B_Drainage!$E$5:$E$204="-","",1)),"")</f>
        <v/>
      </c>
      <c r="U361" s="181" t="str">
        <f>IFERROR(LOOKUP(2,1/((B_Drainage!$A$5:$A$204&lt;&gt;"")*(B_Drainage!$A$5:$A$204&lt;=$B361)*(B_Drainage!$B$5:$B$204&gt;$B361)*(B_Drainage!$E$5:$E$204&lt;&gt;"")),IF(B_Drainage!$E$5:$E$204="-","",B_Drainage!$E$5:$E$204)),"")</f>
        <v/>
      </c>
      <c r="V361" s="181" t="str">
        <f>IFERROR(LOOKUP(2,1/((B_Drainage!$A$5:$A$204&lt;&gt;"")*(B_Drainage!$A$5:$A$204&lt;=$B361)*(B_Drainage!$B$5:$B$204&gt;$B361)*(B_Drainage!$F$5:$F$204&lt;&gt;"")),IF(B_Drainage!$F$5:$F$204="-","",1)),"")</f>
        <v/>
      </c>
      <c r="W361" s="181" t="str">
        <f>IFERROR(LOOKUP(2,1/((B_Drainage!$A$5:$A$204&lt;&gt;"")*(B_Drainage!$A$5:$A$204&lt;=$B361)*(B_Drainage!$B$5:$B$204&gt;$B361)*(B_Drainage!$F$5:$F$204&lt;&gt;"")),IF(B_Drainage!$F$5:$F$204="-","",B_Drainage!$F$5:$F$204)),"")</f>
        <v/>
      </c>
      <c r="X361" s="181" t="str">
        <f>IFERROR(LOOKUP(2,1/((B_Drainage!$A$5:$A$204&lt;&gt;"")*(B_Drainage!$A$5:$A$204&lt;=$B361)*(B_Drainage!$B$5:$B$204&gt;$B361)*(B_Drainage!$G$5:$G$204&lt;&gt;"")),IF(UPPER(B_Drainage!$G$5:$G$204)="Y",1,"")),"")</f>
        <v/>
      </c>
      <c r="Y361" s="181" t="str">
        <f>IFERROR(LOOKUP(2,1/((B_Drainage!$A$5:$A$204&lt;&gt;"")*(B_Drainage!$A$5:$A$204&lt;=$B361)*(B_Drainage!$B$5:$B$204&gt;$B361)*(B_Drainage!$H$5:$H$204&lt;&gt;"")),IF(UPPER(B_Drainage!$H$5:$H$204)="Y",1,"")),"")</f>
        <v/>
      </c>
      <c r="Z361" s="181" t="str">
        <f>IFERROR(LOOKUP(2,1/((B_Drainage!$A$5:$A$204&lt;&gt;"")*(B_Drainage!$A$5:$A$204&lt;=$B361)*(B_Drainage!$B$5:$B$204&gt;$B361)*(B_Drainage!$I$5:$I$204&lt;&gt;"")),IF(UPPER(B_Drainage!$I$5:$I$204)="Y",1,"")),"")</f>
        <v/>
      </c>
      <c r="AA361" s="181" t="str">
        <f>IFERROR(LOOKUP(2,1/((B_Drainage!$A$5:$A$204&lt;&gt;"")*(B_Drainage!$A$5:$A$204&lt;=$B361)*(B_Drainage!$B$5:$B$204&gt;$B361)*(B_Drainage!$J$5:$J$204&lt;&gt;"")),IF(UPPER(B_Drainage!$J$5:$J$204)="Y",1,"")),"")</f>
        <v/>
      </c>
      <c r="AB361" s="182" t="str">
        <f>IFERROR(LOOKUP(2,1/((B_Drainage!$A$5:$A$204&lt;&gt;"")*(B_Drainage!$A$5:$A$204&lt;=$B361)*(B_Drainage!$B$5:$B$204&gt;$B361)*(B_Drainage!$K$5:$K$204&lt;&gt;"")),IF(B_Drainage!$K$5:$K$204="-","",B_Drainage!$K$5:$K$204)),"")</f>
        <v/>
      </c>
      <c r="AC361" s="182" t="str">
        <f>IFERROR(LOOKUP(2,1/((B_Drainage!$A$5:$A$204&lt;&gt;"")*(B_Drainage!$A$5:$A$204&lt;=$B361)*(B_Drainage!$B$5:$B$204&gt;$B361)*(B_Drainage!$L$5:$L$204&lt;&gt;"")),IF(B_Drainage!$L$5:$L$204="-","",B_Drainage!$L$5:$L$204)),"")</f>
        <v/>
      </c>
      <c r="AD361" s="182" t="str">
        <f>IFERROR(LOOKUP(2,1/((D_Points!$A$5:$A$204&lt;&gt;"")*(D_Points!$A$5:$A$204&gt;=$B361)*(D_Points!$A$5:$A$204&lt;$B361+P_Interval)*(UPPER(TRIM(D_Points!$B$5:$B$204))="TURNOUT_L")*(D_Points!$H$5:$H$204&lt;&gt;"")),D_Points!$H$5:$H$204),"")</f>
        <v/>
      </c>
      <c r="AE361" s="182" t="str">
        <f>IFERROR(LOOKUP(2,1/((D_Points!$A$5:$A$204&lt;&gt;"")*(D_Points!$A$5:$A$204&gt;=$B361)*(D_Points!$A$5:$A$204&lt;$B361+P_Interval)*(UPPER(TRIM(D_Points!$B$5:$B$204))="TURNOUT_R")*(D_Points!$H$5:$H$204&lt;&gt;"")),D_Points!$H$5:$H$204),"")</f>
        <v/>
      </c>
      <c r="AF361" s="181" t="str">
        <f>IFERROR(LOOKUP(2,1/((B_Drainage!$A$5:$A$204&lt;&gt;"")*(B_Drainage!$A$5:$A$204&lt;=$B361)*(B_Drainage!$B$5:$B$204&gt;$B361)*(B_Drainage!$M$5:$M$204&lt;&gt;"")),IF(UPPER(B_Drainage!$M$5:$M$204)="Y",1,"")),"")</f>
        <v/>
      </c>
      <c r="AG361" s="181" t="str">
        <f>IFERROR(LOOKUP(2,1/((B_Drainage!$A$5:$A$204&lt;&gt;"")*(B_Drainage!$A$5:$A$204&lt;=$B361)*(B_Drainage!$B$5:$B$204&gt;$B361)*(B_Drainage!$N$5:$N$204&lt;&gt;"")),IF(UPPER(B_Drainage!$N$5:$N$204)="Y",1,"")),"")</f>
        <v/>
      </c>
      <c r="AH361" s="181" t="str">
        <f t="shared" si="40"/>
        <v/>
      </c>
      <c r="AI361" s="181" t="str">
        <f t="shared" si="41"/>
        <v/>
      </c>
      <c r="AJ361" s="181" t="str">
        <f t="shared" si="42"/>
        <v/>
      </c>
      <c r="AK361" s="181" t="str">
        <f t="shared" si="43"/>
        <v/>
      </c>
      <c r="AL361" s="181" t="str">
        <f t="shared" si="44"/>
        <v/>
      </c>
      <c r="AM361" s="181" t="str">
        <f t="shared" si="45"/>
        <v/>
      </c>
      <c r="AN361" s="181" t="str">
        <f t="shared" si="46"/>
        <v/>
      </c>
      <c r="AO361" s="192" t="str">
        <f t="shared" si="47"/>
        <v/>
      </c>
      <c r="AQ361" t="str">
        <f>IFERROR(LOOKUP(2,1/((C_Pavement!$A$5:$A$204&lt;&gt;"")*(C_Pavement!$A$5:$A$204&lt;=$B361)*(C_Pavement!$B$5:$B$204&gt;$B361)*(C_Pavement!$C$5:$C$204&lt;&gt;"")),ROW(C_Pavement!$C$5:$C$204)-4),"")</f>
        <v/>
      </c>
      <c r="AR361" t="str">
        <f>IF($AQ361="","",UPPER(TRIM(INDEX(C_Pavement!$C$5:$C$204,$AQ361))))</f>
        <v/>
      </c>
      <c r="AS361" t="str">
        <f>IF($AR361="","",IFERROR(MATCH($AR361,E_Rules!$A$5:$A$9,0),""))</f>
        <v/>
      </c>
      <c r="AT361" t="str">
        <f>IF($AQ361="","",IF(INDEX(C_Pavement!$D$5:$D$204,$AQ361)&lt;&gt;"",UPPER(TRIM(INDEX(C_Pavement!$D$5:$D$204,$AQ361))),IF($AS361="","",INDEX(E_Rules!$C$5:$C$9,$AS361))))</f>
        <v/>
      </c>
      <c r="AU361" t="str">
        <f>IF($AQ361="","",IF(INDEX(C_Pavement!$E$5:$E$204,$AQ361)&lt;&gt;"",IF(INDEX(C_Pavement!$E$5:$E$204,$AQ361)="-","",INDEX(C_Pavement!$E$5:$E$204,$AQ361)),IF($AS361="","",INDEX(E_Rules!$D$5:$D$9,$AS361))))</f>
        <v/>
      </c>
      <c r="AV361" t="str">
        <f>IF($AQ361="","",IF(INDEX(C_Pavement!$F$5:$F$204,$AQ361)&lt;&gt;"",IF(INDEX(C_Pavement!$F$5:$F$204,$AQ361)="-","",INDEX(C_Pavement!$F$5:$F$204,$AQ361)),IF($AS361="","",INDEX(E_Rules!$E$5:$E$9,$AS361))))</f>
        <v/>
      </c>
      <c r="AW361" t="str">
        <f>IF($AQ361="","",IF(INDEX(C_Pavement!$G$5:$G$204,$AQ361)&lt;&gt;"",IF(INDEX(C_Pavement!$G$5:$G$204,$AQ361)="-","",INDEX(C_Pavement!$G$5:$G$204,$AQ361)),IF($AS361="","",INDEX(E_Rules!$F$5:$F$9,$AS361))))</f>
        <v/>
      </c>
      <c r="AX361" t="str">
        <f>IF($AQ361="","",IF(INDEX(C_Pavement!$H$5:$H$204,$AQ361)&lt;&gt;"",IF(INDEX(C_Pavement!$H$5:$H$204,$AQ361)="-","",INDEX(C_Pavement!$H$5:$H$204,$AQ361)),IF($AS361="","",INDEX(E_Rules!$G$5:$G$9,$AS361))))</f>
        <v/>
      </c>
      <c r="AY361" t="str">
        <f>IF($AQ361="","",IF(INDEX(C_Pavement!$I$5:$I$204,$AQ361)&lt;&gt;"",IF(INDEX(C_Pavement!$I$5:$I$204,$AQ361)="-","",INDEX(C_Pavement!$I$5:$I$204,$AQ361)),IF($AS361="","",INDEX(E_Rules!$H$5:$H$9,$AS361))))</f>
        <v/>
      </c>
    </row>
    <row r="362" spans="1:51" ht="15.75" customHeight="1" x14ac:dyDescent="0.3">
      <c r="A362" s="189">
        <v>357</v>
      </c>
      <c r="B362" s="180">
        <v>17800</v>
      </c>
      <c r="C362" s="180" t="s">
        <v>668</v>
      </c>
      <c r="D362" s="181" t="str">
        <f>IFERROR(LOOKUP(2,1/((A_Corridor!$A$5:$A$204&lt;&gt;"")*(A_Corridor!$A$5:$A$204&lt;=$B362)*(A_Corridor!$B$5:$B$204&gt;$B362)*(A_Corridor!$C$5:$C$204&lt;&gt;"")),IF(UPPER(A_Corridor!$C$5:$C$204)="Y",1,"")),"")</f>
        <v/>
      </c>
      <c r="E362" s="181" t="str">
        <f>IFERROR(LOOKUP(2,1/((A_Corridor!$A$5:$A$204&lt;&gt;"")*(A_Corridor!$A$5:$A$204&lt;=$B362)*(A_Corridor!$B$5:$B$204&gt;$B362)*(A_Corridor!$D$5:$D$204&lt;&gt;"")),IF(A_Corridor!$D$5:$D$204="-","",UPPER(A_Corridor!$D$5:$D$204))),"")</f>
        <v/>
      </c>
      <c r="F362" s="181" t="str">
        <f>IFERROR(LOOKUP(2,1/((A_Corridor!$A$5:$A$204&lt;&gt;"")*(A_Corridor!$A$5:$A$204&lt;=$B362)*(A_Corridor!$B$5:$B$204&gt;$B362)*(A_Corridor!$E$5:$E$204&lt;&gt;"")),IF(A_Corridor!$E$5:$E$204="-","",1)),"")</f>
        <v/>
      </c>
      <c r="G362" s="182" t="str">
        <f>IFERROR(LOOKUP(2,1/((A_Corridor!$A$5:$A$204&lt;&gt;"")*(A_Corridor!$A$5:$A$204&lt;=$B362)*(A_Corridor!$B$5:$B$204&gt;$B362)*(A_Corridor!$E$5:$E$204&lt;&gt;"")),IF(A_Corridor!$E$5:$E$204="-","",A_Corridor!$E$5:$E$204)),"")</f>
        <v/>
      </c>
      <c r="H362" s="182" t="str">
        <f>IFERROR(LOOKUP(2,1/((D_Points!$A$5:$A$204&lt;&gt;"")*(D_Points!$A$5:$A$204&gt;=$B362)*(D_Points!$A$5:$A$204&lt;$B362+P_Interval)*(UPPER(TRIM(D_Points!$B$5:$B$204))="GULLY")*(D_Points!$H$5:$H$204&lt;&gt;"")),D_Points!$H$5:$H$204),"")</f>
        <v/>
      </c>
      <c r="I362" s="181" t="str">
        <f>IFERROR(LOOKUP(2,1/((A_Corridor!$A$5:$A$204&lt;&gt;"")*(A_Corridor!$A$5:$A$204&lt;=$B362)*(A_Corridor!$B$5:$B$204&gt;$B362)*(A_Corridor!$F$5:$F$204&lt;&gt;"")),IF(A_Corridor!$F$5:$F$204="-","",1)),"")</f>
        <v/>
      </c>
      <c r="J362" s="182" t="str">
        <f>IFERROR(LOOKUP(2,1/((A_Corridor!$A$5:$A$204&lt;&gt;"")*(A_Corridor!$A$5:$A$204&lt;=$B362)*(A_Corridor!$B$5:$B$204&gt;$B362)*(A_Corridor!$F$5:$F$204&lt;&gt;"")),IF(A_Corridor!$F$5:$F$204="-","",A_Corridor!$F$5:$F$204)),"")</f>
        <v/>
      </c>
      <c r="K362" s="182" t="str">
        <f>IFERROR(LOOKUP(2,1/((A_Corridor!$A$5:$A$204&lt;&gt;"")*(A_Corridor!$A$5:$A$204&lt;=$B362)*(A_Corridor!$B$5:$B$204&gt;$B362)*(A_Corridor!$G$5:$G$204&lt;&gt;"")),IF(A_Corridor!$G$5:$G$204="-","",A_Corridor!$G$5:$G$204)),"")</f>
        <v/>
      </c>
      <c r="L362" s="181" t="str">
        <f>IFERROR(LOOKUP(2,1/((A_Corridor!$A$5:$A$204&lt;&gt;"")*(A_Corridor!$A$5:$A$204&lt;=$B362)*(A_Corridor!$B$5:$B$204&gt;$B362)*(A_Corridor!$H$5:$H$204&lt;&gt;"")),IF(A_Corridor!$H$5:$H$204="-","",1)),"")</f>
        <v/>
      </c>
      <c r="M362" s="182" t="str">
        <f>IFERROR(LOOKUP(2,1/((A_Corridor!$A$5:$A$204&lt;&gt;"")*(A_Corridor!$A$5:$A$204&lt;=$B362)*(A_Corridor!$B$5:$B$204&gt;$B362)*(A_Corridor!$H$5:$H$204&lt;&gt;"")),IF(A_Corridor!$H$5:$H$204="-","",A_Corridor!$H$5:$H$204)),"")</f>
        <v/>
      </c>
      <c r="N362" s="182" t="str">
        <f>IFERROR(LOOKUP(2,1/((A_Corridor!$A$5:$A$204&lt;&gt;"")*(A_Corridor!$A$5:$A$204&lt;=$B362)*(A_Corridor!$B$5:$B$204&gt;$B362)*(A_Corridor!$I$5:$I$204&lt;&gt;"")),IF(A_Corridor!$I$5:$I$204="-","",A_Corridor!$I$5:$I$204)),"")</f>
        <v/>
      </c>
      <c r="O362" s="182" t="str">
        <f>IFERROR(LOOKUP(2,1/((D_Points!$A$5:$A$204&lt;&gt;"")*(D_Points!$A$5:$A$204&gt;=$B362)*(D_Points!$A$5:$A$204&lt;$B362+P_Interval)*(UPPER(TRIM(D_Points!$B$5:$B$204))="PITCHING")*(D_Points!$H$5:$H$204&lt;&gt;"")),D_Points!$H$5:$H$204),"")</f>
        <v/>
      </c>
      <c r="P362" s="181" t="str">
        <f>IFERROR(LOOKUP(2,1/((B_Drainage!$A$5:$A$204&lt;&gt;"")*(B_Drainage!$A$5:$A$204&lt;=$B362)*(B_Drainage!$B$5:$B$204&gt;$B362)*(B_Drainage!$C$5:$C$204&lt;&gt;"")),IF(B_Drainage!$C$5:$C$204="-","",UPPER(B_Drainage!$C$5:$C$204))),"")</f>
        <v/>
      </c>
      <c r="Q362" s="181" t="str">
        <f>IFERROR(LOOKUP(2,1/((B_Drainage!$A$5:$A$204&lt;&gt;"")*(B_Drainage!$A$5:$A$204&lt;=$B362)*(B_Drainage!$B$5:$B$204&gt;$B362)*(B_Drainage!$D$5:$D$204&lt;&gt;"")),IF(B_Drainage!$D$5:$D$204="-","",UPPER(B_Drainage!$D$5:$D$204))),"")</f>
        <v/>
      </c>
      <c r="R362" s="182" t="str">
        <f>IFERROR(LOOKUP(2,1/((D_Points!$A$5:$A$204&lt;&gt;"")*(D_Points!$A$5:$A$204&gt;=$B362)*(D_Points!$A$5:$A$204&lt;$B362+P_Interval)*(RIGHT(UPPER(TRIM(D_Points!$B$5:$B$204)),8)="_CULVERT")),IF(LEFT(UPPER(TRIM(D_Points!$B$5:$B$204)),2)="EX",1,IF(LEFT(UPPER(TRIM(D_Points!$B$5:$B$204)),2)="PR",2,3))),"")</f>
        <v/>
      </c>
      <c r="S362" s="182" t="str">
        <f>IFERROR(LOOKUP(2,1/((D_Points!$A$5:$A$204&lt;&gt;"")*(D_Points!$A$5:$A$204&gt;=$B362)*(D_Points!$A$5:$A$204&lt;$B362+P_Interval)*(RIGHT(UPPER(TRIM(D_Points!$B$5:$B$204)),7)="_BRIDGE")),IF(LEFT(UPPER(TRIM(D_Points!$B$5:$B$204)),2)="EX",1,IF(LEFT(UPPER(TRIM(D_Points!$B$5:$B$204)),2)="PR",2,2))),"")</f>
        <v/>
      </c>
      <c r="T362" s="181" t="str">
        <f>IFERROR(LOOKUP(2,1/((B_Drainage!$A$5:$A$204&lt;&gt;"")*(B_Drainage!$A$5:$A$204&lt;=$B362)*(B_Drainage!$B$5:$B$204&gt;$B362)*(B_Drainage!$E$5:$E$204&lt;&gt;"")),IF(B_Drainage!$E$5:$E$204="-","",1)),"")</f>
        <v/>
      </c>
      <c r="U362" s="181" t="str">
        <f>IFERROR(LOOKUP(2,1/((B_Drainage!$A$5:$A$204&lt;&gt;"")*(B_Drainage!$A$5:$A$204&lt;=$B362)*(B_Drainage!$B$5:$B$204&gt;$B362)*(B_Drainage!$E$5:$E$204&lt;&gt;"")),IF(B_Drainage!$E$5:$E$204="-","",B_Drainage!$E$5:$E$204)),"")</f>
        <v/>
      </c>
      <c r="V362" s="181" t="str">
        <f>IFERROR(LOOKUP(2,1/((B_Drainage!$A$5:$A$204&lt;&gt;"")*(B_Drainage!$A$5:$A$204&lt;=$B362)*(B_Drainage!$B$5:$B$204&gt;$B362)*(B_Drainage!$F$5:$F$204&lt;&gt;"")),IF(B_Drainage!$F$5:$F$204="-","",1)),"")</f>
        <v/>
      </c>
      <c r="W362" s="181" t="str">
        <f>IFERROR(LOOKUP(2,1/((B_Drainage!$A$5:$A$204&lt;&gt;"")*(B_Drainage!$A$5:$A$204&lt;=$B362)*(B_Drainage!$B$5:$B$204&gt;$B362)*(B_Drainage!$F$5:$F$204&lt;&gt;"")),IF(B_Drainage!$F$5:$F$204="-","",B_Drainage!$F$5:$F$204)),"")</f>
        <v/>
      </c>
      <c r="X362" s="181" t="str">
        <f>IFERROR(LOOKUP(2,1/((B_Drainage!$A$5:$A$204&lt;&gt;"")*(B_Drainage!$A$5:$A$204&lt;=$B362)*(B_Drainage!$B$5:$B$204&gt;$B362)*(B_Drainage!$G$5:$G$204&lt;&gt;"")),IF(UPPER(B_Drainage!$G$5:$G$204)="Y",1,"")),"")</f>
        <v/>
      </c>
      <c r="Y362" s="181" t="str">
        <f>IFERROR(LOOKUP(2,1/((B_Drainage!$A$5:$A$204&lt;&gt;"")*(B_Drainage!$A$5:$A$204&lt;=$B362)*(B_Drainage!$B$5:$B$204&gt;$B362)*(B_Drainage!$H$5:$H$204&lt;&gt;"")),IF(UPPER(B_Drainage!$H$5:$H$204)="Y",1,"")),"")</f>
        <v/>
      </c>
      <c r="Z362" s="181" t="str">
        <f>IFERROR(LOOKUP(2,1/((B_Drainage!$A$5:$A$204&lt;&gt;"")*(B_Drainage!$A$5:$A$204&lt;=$B362)*(B_Drainage!$B$5:$B$204&gt;$B362)*(B_Drainage!$I$5:$I$204&lt;&gt;"")),IF(UPPER(B_Drainage!$I$5:$I$204)="Y",1,"")),"")</f>
        <v/>
      </c>
      <c r="AA362" s="181" t="str">
        <f>IFERROR(LOOKUP(2,1/((B_Drainage!$A$5:$A$204&lt;&gt;"")*(B_Drainage!$A$5:$A$204&lt;=$B362)*(B_Drainage!$B$5:$B$204&gt;$B362)*(B_Drainage!$J$5:$J$204&lt;&gt;"")),IF(UPPER(B_Drainage!$J$5:$J$204)="Y",1,"")),"")</f>
        <v/>
      </c>
      <c r="AB362" s="182" t="str">
        <f>IFERROR(LOOKUP(2,1/((B_Drainage!$A$5:$A$204&lt;&gt;"")*(B_Drainage!$A$5:$A$204&lt;=$B362)*(B_Drainage!$B$5:$B$204&gt;$B362)*(B_Drainage!$K$5:$K$204&lt;&gt;"")),IF(B_Drainage!$K$5:$K$204="-","",B_Drainage!$K$5:$K$204)),"")</f>
        <v/>
      </c>
      <c r="AC362" s="182" t="str">
        <f>IFERROR(LOOKUP(2,1/((B_Drainage!$A$5:$A$204&lt;&gt;"")*(B_Drainage!$A$5:$A$204&lt;=$B362)*(B_Drainage!$B$5:$B$204&gt;$B362)*(B_Drainage!$L$5:$L$204&lt;&gt;"")),IF(B_Drainage!$L$5:$L$204="-","",B_Drainage!$L$5:$L$204)),"")</f>
        <v/>
      </c>
      <c r="AD362" s="182" t="str">
        <f>IFERROR(LOOKUP(2,1/((D_Points!$A$5:$A$204&lt;&gt;"")*(D_Points!$A$5:$A$204&gt;=$B362)*(D_Points!$A$5:$A$204&lt;$B362+P_Interval)*(UPPER(TRIM(D_Points!$B$5:$B$204))="TURNOUT_L")*(D_Points!$H$5:$H$204&lt;&gt;"")),D_Points!$H$5:$H$204),"")</f>
        <v/>
      </c>
      <c r="AE362" s="182" t="str">
        <f>IFERROR(LOOKUP(2,1/((D_Points!$A$5:$A$204&lt;&gt;"")*(D_Points!$A$5:$A$204&gt;=$B362)*(D_Points!$A$5:$A$204&lt;$B362+P_Interval)*(UPPER(TRIM(D_Points!$B$5:$B$204))="TURNOUT_R")*(D_Points!$H$5:$H$204&lt;&gt;"")),D_Points!$H$5:$H$204),"")</f>
        <v/>
      </c>
      <c r="AF362" s="181" t="str">
        <f>IFERROR(LOOKUP(2,1/((B_Drainage!$A$5:$A$204&lt;&gt;"")*(B_Drainage!$A$5:$A$204&lt;=$B362)*(B_Drainage!$B$5:$B$204&gt;$B362)*(B_Drainage!$M$5:$M$204&lt;&gt;"")),IF(UPPER(B_Drainage!$M$5:$M$204)="Y",1,"")),"")</f>
        <v/>
      </c>
      <c r="AG362" s="181" t="str">
        <f>IFERROR(LOOKUP(2,1/((B_Drainage!$A$5:$A$204&lt;&gt;"")*(B_Drainage!$A$5:$A$204&lt;=$B362)*(B_Drainage!$B$5:$B$204&gt;$B362)*(B_Drainage!$N$5:$N$204&lt;&gt;"")),IF(UPPER(B_Drainage!$N$5:$N$204)="Y",1,"")),"")</f>
        <v/>
      </c>
      <c r="AH362" s="181" t="str">
        <f t="shared" si="40"/>
        <v/>
      </c>
      <c r="AI362" s="181" t="str">
        <f t="shared" si="41"/>
        <v/>
      </c>
      <c r="AJ362" s="181" t="str">
        <f t="shared" si="42"/>
        <v/>
      </c>
      <c r="AK362" s="181" t="str">
        <f t="shared" si="43"/>
        <v/>
      </c>
      <c r="AL362" s="181" t="str">
        <f t="shared" si="44"/>
        <v/>
      </c>
      <c r="AM362" s="181" t="str">
        <f t="shared" si="45"/>
        <v/>
      </c>
      <c r="AN362" s="181" t="str">
        <f t="shared" si="46"/>
        <v/>
      </c>
      <c r="AO362" s="192" t="str">
        <f t="shared" si="47"/>
        <v/>
      </c>
      <c r="AQ362" t="str">
        <f>IFERROR(LOOKUP(2,1/((C_Pavement!$A$5:$A$204&lt;&gt;"")*(C_Pavement!$A$5:$A$204&lt;=$B362)*(C_Pavement!$B$5:$B$204&gt;$B362)*(C_Pavement!$C$5:$C$204&lt;&gt;"")),ROW(C_Pavement!$C$5:$C$204)-4),"")</f>
        <v/>
      </c>
      <c r="AR362" t="str">
        <f>IF($AQ362="","",UPPER(TRIM(INDEX(C_Pavement!$C$5:$C$204,$AQ362))))</f>
        <v/>
      </c>
      <c r="AS362" t="str">
        <f>IF($AR362="","",IFERROR(MATCH($AR362,E_Rules!$A$5:$A$9,0),""))</f>
        <v/>
      </c>
      <c r="AT362" t="str">
        <f>IF($AQ362="","",IF(INDEX(C_Pavement!$D$5:$D$204,$AQ362)&lt;&gt;"",UPPER(TRIM(INDEX(C_Pavement!$D$5:$D$204,$AQ362))),IF($AS362="","",INDEX(E_Rules!$C$5:$C$9,$AS362))))</f>
        <v/>
      </c>
      <c r="AU362" t="str">
        <f>IF($AQ362="","",IF(INDEX(C_Pavement!$E$5:$E$204,$AQ362)&lt;&gt;"",IF(INDEX(C_Pavement!$E$5:$E$204,$AQ362)="-","",INDEX(C_Pavement!$E$5:$E$204,$AQ362)),IF($AS362="","",INDEX(E_Rules!$D$5:$D$9,$AS362))))</f>
        <v/>
      </c>
      <c r="AV362" t="str">
        <f>IF($AQ362="","",IF(INDEX(C_Pavement!$F$5:$F$204,$AQ362)&lt;&gt;"",IF(INDEX(C_Pavement!$F$5:$F$204,$AQ362)="-","",INDEX(C_Pavement!$F$5:$F$204,$AQ362)),IF($AS362="","",INDEX(E_Rules!$E$5:$E$9,$AS362))))</f>
        <v/>
      </c>
      <c r="AW362" t="str">
        <f>IF($AQ362="","",IF(INDEX(C_Pavement!$G$5:$G$204,$AQ362)&lt;&gt;"",IF(INDEX(C_Pavement!$G$5:$G$204,$AQ362)="-","",INDEX(C_Pavement!$G$5:$G$204,$AQ362)),IF($AS362="","",INDEX(E_Rules!$F$5:$F$9,$AS362))))</f>
        <v/>
      </c>
      <c r="AX362" t="str">
        <f>IF($AQ362="","",IF(INDEX(C_Pavement!$H$5:$H$204,$AQ362)&lt;&gt;"",IF(INDEX(C_Pavement!$H$5:$H$204,$AQ362)="-","",INDEX(C_Pavement!$H$5:$H$204,$AQ362)),IF($AS362="","",INDEX(E_Rules!$G$5:$G$9,$AS362))))</f>
        <v/>
      </c>
      <c r="AY362" t="str">
        <f>IF($AQ362="","",IF(INDEX(C_Pavement!$I$5:$I$204,$AQ362)&lt;&gt;"",IF(INDEX(C_Pavement!$I$5:$I$204,$AQ362)="-","",INDEX(C_Pavement!$I$5:$I$204,$AQ362)),IF($AS362="","",INDEX(E_Rules!$H$5:$H$9,$AS362))))</f>
        <v/>
      </c>
    </row>
    <row r="363" spans="1:51" ht="15.75" customHeight="1" x14ac:dyDescent="0.3">
      <c r="A363" s="189">
        <v>358</v>
      </c>
      <c r="B363" s="180">
        <v>17850</v>
      </c>
      <c r="C363" s="180" t="s">
        <v>669</v>
      </c>
      <c r="D363" s="181" t="str">
        <f>IFERROR(LOOKUP(2,1/((A_Corridor!$A$5:$A$204&lt;&gt;"")*(A_Corridor!$A$5:$A$204&lt;=$B363)*(A_Corridor!$B$5:$B$204&gt;$B363)*(A_Corridor!$C$5:$C$204&lt;&gt;"")),IF(UPPER(A_Corridor!$C$5:$C$204)="Y",1,"")),"")</f>
        <v/>
      </c>
      <c r="E363" s="181" t="str">
        <f>IFERROR(LOOKUP(2,1/((A_Corridor!$A$5:$A$204&lt;&gt;"")*(A_Corridor!$A$5:$A$204&lt;=$B363)*(A_Corridor!$B$5:$B$204&gt;$B363)*(A_Corridor!$D$5:$D$204&lt;&gt;"")),IF(A_Corridor!$D$5:$D$204="-","",UPPER(A_Corridor!$D$5:$D$204))),"")</f>
        <v/>
      </c>
      <c r="F363" s="181" t="str">
        <f>IFERROR(LOOKUP(2,1/((A_Corridor!$A$5:$A$204&lt;&gt;"")*(A_Corridor!$A$5:$A$204&lt;=$B363)*(A_Corridor!$B$5:$B$204&gt;$B363)*(A_Corridor!$E$5:$E$204&lt;&gt;"")),IF(A_Corridor!$E$5:$E$204="-","",1)),"")</f>
        <v/>
      </c>
      <c r="G363" s="182" t="str">
        <f>IFERROR(LOOKUP(2,1/((A_Corridor!$A$5:$A$204&lt;&gt;"")*(A_Corridor!$A$5:$A$204&lt;=$B363)*(A_Corridor!$B$5:$B$204&gt;$B363)*(A_Corridor!$E$5:$E$204&lt;&gt;"")),IF(A_Corridor!$E$5:$E$204="-","",A_Corridor!$E$5:$E$204)),"")</f>
        <v/>
      </c>
      <c r="H363" s="182" t="str">
        <f>IFERROR(LOOKUP(2,1/((D_Points!$A$5:$A$204&lt;&gt;"")*(D_Points!$A$5:$A$204&gt;=$B363)*(D_Points!$A$5:$A$204&lt;$B363+P_Interval)*(UPPER(TRIM(D_Points!$B$5:$B$204))="GULLY")*(D_Points!$H$5:$H$204&lt;&gt;"")),D_Points!$H$5:$H$204),"")</f>
        <v/>
      </c>
      <c r="I363" s="181" t="str">
        <f>IFERROR(LOOKUP(2,1/((A_Corridor!$A$5:$A$204&lt;&gt;"")*(A_Corridor!$A$5:$A$204&lt;=$B363)*(A_Corridor!$B$5:$B$204&gt;$B363)*(A_Corridor!$F$5:$F$204&lt;&gt;"")),IF(A_Corridor!$F$5:$F$204="-","",1)),"")</f>
        <v/>
      </c>
      <c r="J363" s="182" t="str">
        <f>IFERROR(LOOKUP(2,1/((A_Corridor!$A$5:$A$204&lt;&gt;"")*(A_Corridor!$A$5:$A$204&lt;=$B363)*(A_Corridor!$B$5:$B$204&gt;$B363)*(A_Corridor!$F$5:$F$204&lt;&gt;"")),IF(A_Corridor!$F$5:$F$204="-","",A_Corridor!$F$5:$F$204)),"")</f>
        <v/>
      </c>
      <c r="K363" s="182" t="str">
        <f>IFERROR(LOOKUP(2,1/((A_Corridor!$A$5:$A$204&lt;&gt;"")*(A_Corridor!$A$5:$A$204&lt;=$B363)*(A_Corridor!$B$5:$B$204&gt;$B363)*(A_Corridor!$G$5:$G$204&lt;&gt;"")),IF(A_Corridor!$G$5:$G$204="-","",A_Corridor!$G$5:$G$204)),"")</f>
        <v/>
      </c>
      <c r="L363" s="181" t="str">
        <f>IFERROR(LOOKUP(2,1/((A_Corridor!$A$5:$A$204&lt;&gt;"")*(A_Corridor!$A$5:$A$204&lt;=$B363)*(A_Corridor!$B$5:$B$204&gt;$B363)*(A_Corridor!$H$5:$H$204&lt;&gt;"")),IF(A_Corridor!$H$5:$H$204="-","",1)),"")</f>
        <v/>
      </c>
      <c r="M363" s="182" t="str">
        <f>IFERROR(LOOKUP(2,1/((A_Corridor!$A$5:$A$204&lt;&gt;"")*(A_Corridor!$A$5:$A$204&lt;=$B363)*(A_Corridor!$B$5:$B$204&gt;$B363)*(A_Corridor!$H$5:$H$204&lt;&gt;"")),IF(A_Corridor!$H$5:$H$204="-","",A_Corridor!$H$5:$H$204)),"")</f>
        <v/>
      </c>
      <c r="N363" s="182" t="str">
        <f>IFERROR(LOOKUP(2,1/((A_Corridor!$A$5:$A$204&lt;&gt;"")*(A_Corridor!$A$5:$A$204&lt;=$B363)*(A_Corridor!$B$5:$B$204&gt;$B363)*(A_Corridor!$I$5:$I$204&lt;&gt;"")),IF(A_Corridor!$I$5:$I$204="-","",A_Corridor!$I$5:$I$204)),"")</f>
        <v/>
      </c>
      <c r="O363" s="182" t="str">
        <f>IFERROR(LOOKUP(2,1/((D_Points!$A$5:$A$204&lt;&gt;"")*(D_Points!$A$5:$A$204&gt;=$B363)*(D_Points!$A$5:$A$204&lt;$B363+P_Interval)*(UPPER(TRIM(D_Points!$B$5:$B$204))="PITCHING")*(D_Points!$H$5:$H$204&lt;&gt;"")),D_Points!$H$5:$H$204),"")</f>
        <v/>
      </c>
      <c r="P363" s="181" t="str">
        <f>IFERROR(LOOKUP(2,1/((B_Drainage!$A$5:$A$204&lt;&gt;"")*(B_Drainage!$A$5:$A$204&lt;=$B363)*(B_Drainage!$B$5:$B$204&gt;$B363)*(B_Drainage!$C$5:$C$204&lt;&gt;"")),IF(B_Drainage!$C$5:$C$204="-","",UPPER(B_Drainage!$C$5:$C$204))),"")</f>
        <v/>
      </c>
      <c r="Q363" s="181" t="str">
        <f>IFERROR(LOOKUP(2,1/((B_Drainage!$A$5:$A$204&lt;&gt;"")*(B_Drainage!$A$5:$A$204&lt;=$B363)*(B_Drainage!$B$5:$B$204&gt;$B363)*(B_Drainage!$D$5:$D$204&lt;&gt;"")),IF(B_Drainage!$D$5:$D$204="-","",UPPER(B_Drainage!$D$5:$D$204))),"")</f>
        <v/>
      </c>
      <c r="R363" s="182" t="str">
        <f>IFERROR(LOOKUP(2,1/((D_Points!$A$5:$A$204&lt;&gt;"")*(D_Points!$A$5:$A$204&gt;=$B363)*(D_Points!$A$5:$A$204&lt;$B363+P_Interval)*(RIGHT(UPPER(TRIM(D_Points!$B$5:$B$204)),8)="_CULVERT")),IF(LEFT(UPPER(TRIM(D_Points!$B$5:$B$204)),2)="EX",1,IF(LEFT(UPPER(TRIM(D_Points!$B$5:$B$204)),2)="PR",2,3))),"")</f>
        <v/>
      </c>
      <c r="S363" s="182" t="str">
        <f>IFERROR(LOOKUP(2,1/((D_Points!$A$5:$A$204&lt;&gt;"")*(D_Points!$A$5:$A$204&gt;=$B363)*(D_Points!$A$5:$A$204&lt;$B363+P_Interval)*(RIGHT(UPPER(TRIM(D_Points!$B$5:$B$204)),7)="_BRIDGE")),IF(LEFT(UPPER(TRIM(D_Points!$B$5:$B$204)),2)="EX",1,IF(LEFT(UPPER(TRIM(D_Points!$B$5:$B$204)),2)="PR",2,2))),"")</f>
        <v/>
      </c>
      <c r="T363" s="181" t="str">
        <f>IFERROR(LOOKUP(2,1/((B_Drainage!$A$5:$A$204&lt;&gt;"")*(B_Drainage!$A$5:$A$204&lt;=$B363)*(B_Drainage!$B$5:$B$204&gt;$B363)*(B_Drainage!$E$5:$E$204&lt;&gt;"")),IF(B_Drainage!$E$5:$E$204="-","",1)),"")</f>
        <v/>
      </c>
      <c r="U363" s="181" t="str">
        <f>IFERROR(LOOKUP(2,1/((B_Drainage!$A$5:$A$204&lt;&gt;"")*(B_Drainage!$A$5:$A$204&lt;=$B363)*(B_Drainage!$B$5:$B$204&gt;$B363)*(B_Drainage!$E$5:$E$204&lt;&gt;"")),IF(B_Drainage!$E$5:$E$204="-","",B_Drainage!$E$5:$E$204)),"")</f>
        <v/>
      </c>
      <c r="V363" s="181" t="str">
        <f>IFERROR(LOOKUP(2,1/((B_Drainage!$A$5:$A$204&lt;&gt;"")*(B_Drainage!$A$5:$A$204&lt;=$B363)*(B_Drainage!$B$5:$B$204&gt;$B363)*(B_Drainage!$F$5:$F$204&lt;&gt;"")),IF(B_Drainage!$F$5:$F$204="-","",1)),"")</f>
        <v/>
      </c>
      <c r="W363" s="181" t="str">
        <f>IFERROR(LOOKUP(2,1/((B_Drainage!$A$5:$A$204&lt;&gt;"")*(B_Drainage!$A$5:$A$204&lt;=$B363)*(B_Drainage!$B$5:$B$204&gt;$B363)*(B_Drainage!$F$5:$F$204&lt;&gt;"")),IF(B_Drainage!$F$5:$F$204="-","",B_Drainage!$F$5:$F$204)),"")</f>
        <v/>
      </c>
      <c r="X363" s="181" t="str">
        <f>IFERROR(LOOKUP(2,1/((B_Drainage!$A$5:$A$204&lt;&gt;"")*(B_Drainage!$A$5:$A$204&lt;=$B363)*(B_Drainage!$B$5:$B$204&gt;$B363)*(B_Drainage!$G$5:$G$204&lt;&gt;"")),IF(UPPER(B_Drainage!$G$5:$G$204)="Y",1,"")),"")</f>
        <v/>
      </c>
      <c r="Y363" s="181" t="str">
        <f>IFERROR(LOOKUP(2,1/((B_Drainage!$A$5:$A$204&lt;&gt;"")*(B_Drainage!$A$5:$A$204&lt;=$B363)*(B_Drainage!$B$5:$B$204&gt;$B363)*(B_Drainage!$H$5:$H$204&lt;&gt;"")),IF(UPPER(B_Drainage!$H$5:$H$204)="Y",1,"")),"")</f>
        <v/>
      </c>
      <c r="Z363" s="181" t="str">
        <f>IFERROR(LOOKUP(2,1/((B_Drainage!$A$5:$A$204&lt;&gt;"")*(B_Drainage!$A$5:$A$204&lt;=$B363)*(B_Drainage!$B$5:$B$204&gt;$B363)*(B_Drainage!$I$5:$I$204&lt;&gt;"")),IF(UPPER(B_Drainage!$I$5:$I$204)="Y",1,"")),"")</f>
        <v/>
      </c>
      <c r="AA363" s="181" t="str">
        <f>IFERROR(LOOKUP(2,1/((B_Drainage!$A$5:$A$204&lt;&gt;"")*(B_Drainage!$A$5:$A$204&lt;=$B363)*(B_Drainage!$B$5:$B$204&gt;$B363)*(B_Drainage!$J$5:$J$204&lt;&gt;"")),IF(UPPER(B_Drainage!$J$5:$J$204)="Y",1,"")),"")</f>
        <v/>
      </c>
      <c r="AB363" s="182" t="str">
        <f>IFERROR(LOOKUP(2,1/((B_Drainage!$A$5:$A$204&lt;&gt;"")*(B_Drainage!$A$5:$A$204&lt;=$B363)*(B_Drainage!$B$5:$B$204&gt;$B363)*(B_Drainage!$K$5:$K$204&lt;&gt;"")),IF(B_Drainage!$K$5:$K$204="-","",B_Drainage!$K$5:$K$204)),"")</f>
        <v/>
      </c>
      <c r="AC363" s="182" t="str">
        <f>IFERROR(LOOKUP(2,1/((B_Drainage!$A$5:$A$204&lt;&gt;"")*(B_Drainage!$A$5:$A$204&lt;=$B363)*(B_Drainage!$B$5:$B$204&gt;$B363)*(B_Drainage!$L$5:$L$204&lt;&gt;"")),IF(B_Drainage!$L$5:$L$204="-","",B_Drainage!$L$5:$L$204)),"")</f>
        <v/>
      </c>
      <c r="AD363" s="182" t="str">
        <f>IFERROR(LOOKUP(2,1/((D_Points!$A$5:$A$204&lt;&gt;"")*(D_Points!$A$5:$A$204&gt;=$B363)*(D_Points!$A$5:$A$204&lt;$B363+P_Interval)*(UPPER(TRIM(D_Points!$B$5:$B$204))="TURNOUT_L")*(D_Points!$H$5:$H$204&lt;&gt;"")),D_Points!$H$5:$H$204),"")</f>
        <v/>
      </c>
      <c r="AE363" s="182" t="str">
        <f>IFERROR(LOOKUP(2,1/((D_Points!$A$5:$A$204&lt;&gt;"")*(D_Points!$A$5:$A$204&gt;=$B363)*(D_Points!$A$5:$A$204&lt;$B363+P_Interval)*(UPPER(TRIM(D_Points!$B$5:$B$204))="TURNOUT_R")*(D_Points!$H$5:$H$204&lt;&gt;"")),D_Points!$H$5:$H$204),"")</f>
        <v/>
      </c>
      <c r="AF363" s="181" t="str">
        <f>IFERROR(LOOKUP(2,1/((B_Drainage!$A$5:$A$204&lt;&gt;"")*(B_Drainage!$A$5:$A$204&lt;=$B363)*(B_Drainage!$B$5:$B$204&gt;$B363)*(B_Drainage!$M$5:$M$204&lt;&gt;"")),IF(UPPER(B_Drainage!$M$5:$M$204)="Y",1,"")),"")</f>
        <v/>
      </c>
      <c r="AG363" s="181" t="str">
        <f>IFERROR(LOOKUP(2,1/((B_Drainage!$A$5:$A$204&lt;&gt;"")*(B_Drainage!$A$5:$A$204&lt;=$B363)*(B_Drainage!$B$5:$B$204&gt;$B363)*(B_Drainage!$N$5:$N$204&lt;&gt;"")),IF(UPPER(B_Drainage!$N$5:$N$204)="Y",1,"")),"")</f>
        <v/>
      </c>
      <c r="AH363" s="181" t="str">
        <f t="shared" si="40"/>
        <v/>
      </c>
      <c r="AI363" s="181" t="str">
        <f t="shared" si="41"/>
        <v/>
      </c>
      <c r="AJ363" s="181" t="str">
        <f t="shared" si="42"/>
        <v/>
      </c>
      <c r="AK363" s="181" t="str">
        <f t="shared" si="43"/>
        <v/>
      </c>
      <c r="AL363" s="181" t="str">
        <f t="shared" si="44"/>
        <v/>
      </c>
      <c r="AM363" s="181" t="str">
        <f t="shared" si="45"/>
        <v/>
      </c>
      <c r="AN363" s="181" t="str">
        <f t="shared" si="46"/>
        <v/>
      </c>
      <c r="AO363" s="192" t="str">
        <f t="shared" si="47"/>
        <v/>
      </c>
      <c r="AQ363" t="str">
        <f>IFERROR(LOOKUP(2,1/((C_Pavement!$A$5:$A$204&lt;&gt;"")*(C_Pavement!$A$5:$A$204&lt;=$B363)*(C_Pavement!$B$5:$B$204&gt;$B363)*(C_Pavement!$C$5:$C$204&lt;&gt;"")),ROW(C_Pavement!$C$5:$C$204)-4),"")</f>
        <v/>
      </c>
      <c r="AR363" t="str">
        <f>IF($AQ363="","",UPPER(TRIM(INDEX(C_Pavement!$C$5:$C$204,$AQ363))))</f>
        <v/>
      </c>
      <c r="AS363" t="str">
        <f>IF($AR363="","",IFERROR(MATCH($AR363,E_Rules!$A$5:$A$9,0),""))</f>
        <v/>
      </c>
      <c r="AT363" t="str">
        <f>IF($AQ363="","",IF(INDEX(C_Pavement!$D$5:$D$204,$AQ363)&lt;&gt;"",UPPER(TRIM(INDEX(C_Pavement!$D$5:$D$204,$AQ363))),IF($AS363="","",INDEX(E_Rules!$C$5:$C$9,$AS363))))</f>
        <v/>
      </c>
      <c r="AU363" t="str">
        <f>IF($AQ363="","",IF(INDEX(C_Pavement!$E$5:$E$204,$AQ363)&lt;&gt;"",IF(INDEX(C_Pavement!$E$5:$E$204,$AQ363)="-","",INDEX(C_Pavement!$E$5:$E$204,$AQ363)),IF($AS363="","",INDEX(E_Rules!$D$5:$D$9,$AS363))))</f>
        <v/>
      </c>
      <c r="AV363" t="str">
        <f>IF($AQ363="","",IF(INDEX(C_Pavement!$F$5:$F$204,$AQ363)&lt;&gt;"",IF(INDEX(C_Pavement!$F$5:$F$204,$AQ363)="-","",INDEX(C_Pavement!$F$5:$F$204,$AQ363)),IF($AS363="","",INDEX(E_Rules!$E$5:$E$9,$AS363))))</f>
        <v/>
      </c>
      <c r="AW363" t="str">
        <f>IF($AQ363="","",IF(INDEX(C_Pavement!$G$5:$G$204,$AQ363)&lt;&gt;"",IF(INDEX(C_Pavement!$G$5:$G$204,$AQ363)="-","",INDEX(C_Pavement!$G$5:$G$204,$AQ363)),IF($AS363="","",INDEX(E_Rules!$F$5:$F$9,$AS363))))</f>
        <v/>
      </c>
      <c r="AX363" t="str">
        <f>IF($AQ363="","",IF(INDEX(C_Pavement!$H$5:$H$204,$AQ363)&lt;&gt;"",IF(INDEX(C_Pavement!$H$5:$H$204,$AQ363)="-","",INDEX(C_Pavement!$H$5:$H$204,$AQ363)),IF($AS363="","",INDEX(E_Rules!$G$5:$G$9,$AS363))))</f>
        <v/>
      </c>
      <c r="AY363" t="str">
        <f>IF($AQ363="","",IF(INDEX(C_Pavement!$I$5:$I$204,$AQ363)&lt;&gt;"",IF(INDEX(C_Pavement!$I$5:$I$204,$AQ363)="-","",INDEX(C_Pavement!$I$5:$I$204,$AQ363)),IF($AS363="","",INDEX(E_Rules!$H$5:$H$9,$AS363))))</f>
        <v/>
      </c>
    </row>
    <row r="364" spans="1:51" ht="15.75" customHeight="1" x14ac:dyDescent="0.3">
      <c r="A364" s="189">
        <v>359</v>
      </c>
      <c r="B364" s="180">
        <v>17900</v>
      </c>
      <c r="C364" s="180" t="s">
        <v>670</v>
      </c>
      <c r="D364" s="181" t="str">
        <f>IFERROR(LOOKUP(2,1/((A_Corridor!$A$5:$A$204&lt;&gt;"")*(A_Corridor!$A$5:$A$204&lt;=$B364)*(A_Corridor!$B$5:$B$204&gt;$B364)*(A_Corridor!$C$5:$C$204&lt;&gt;"")),IF(UPPER(A_Corridor!$C$5:$C$204)="Y",1,"")),"")</f>
        <v/>
      </c>
      <c r="E364" s="181" t="str">
        <f>IFERROR(LOOKUP(2,1/((A_Corridor!$A$5:$A$204&lt;&gt;"")*(A_Corridor!$A$5:$A$204&lt;=$B364)*(A_Corridor!$B$5:$B$204&gt;$B364)*(A_Corridor!$D$5:$D$204&lt;&gt;"")),IF(A_Corridor!$D$5:$D$204="-","",UPPER(A_Corridor!$D$5:$D$204))),"")</f>
        <v/>
      </c>
      <c r="F364" s="181" t="str">
        <f>IFERROR(LOOKUP(2,1/((A_Corridor!$A$5:$A$204&lt;&gt;"")*(A_Corridor!$A$5:$A$204&lt;=$B364)*(A_Corridor!$B$5:$B$204&gt;$B364)*(A_Corridor!$E$5:$E$204&lt;&gt;"")),IF(A_Corridor!$E$5:$E$204="-","",1)),"")</f>
        <v/>
      </c>
      <c r="G364" s="182" t="str">
        <f>IFERROR(LOOKUP(2,1/((A_Corridor!$A$5:$A$204&lt;&gt;"")*(A_Corridor!$A$5:$A$204&lt;=$B364)*(A_Corridor!$B$5:$B$204&gt;$B364)*(A_Corridor!$E$5:$E$204&lt;&gt;"")),IF(A_Corridor!$E$5:$E$204="-","",A_Corridor!$E$5:$E$204)),"")</f>
        <v/>
      </c>
      <c r="H364" s="182" t="str">
        <f>IFERROR(LOOKUP(2,1/((D_Points!$A$5:$A$204&lt;&gt;"")*(D_Points!$A$5:$A$204&gt;=$B364)*(D_Points!$A$5:$A$204&lt;$B364+P_Interval)*(UPPER(TRIM(D_Points!$B$5:$B$204))="GULLY")*(D_Points!$H$5:$H$204&lt;&gt;"")),D_Points!$H$5:$H$204),"")</f>
        <v/>
      </c>
      <c r="I364" s="181" t="str">
        <f>IFERROR(LOOKUP(2,1/((A_Corridor!$A$5:$A$204&lt;&gt;"")*(A_Corridor!$A$5:$A$204&lt;=$B364)*(A_Corridor!$B$5:$B$204&gt;$B364)*(A_Corridor!$F$5:$F$204&lt;&gt;"")),IF(A_Corridor!$F$5:$F$204="-","",1)),"")</f>
        <v/>
      </c>
      <c r="J364" s="182" t="str">
        <f>IFERROR(LOOKUP(2,1/((A_Corridor!$A$5:$A$204&lt;&gt;"")*(A_Corridor!$A$5:$A$204&lt;=$B364)*(A_Corridor!$B$5:$B$204&gt;$B364)*(A_Corridor!$F$5:$F$204&lt;&gt;"")),IF(A_Corridor!$F$5:$F$204="-","",A_Corridor!$F$5:$F$204)),"")</f>
        <v/>
      </c>
      <c r="K364" s="182" t="str">
        <f>IFERROR(LOOKUP(2,1/((A_Corridor!$A$5:$A$204&lt;&gt;"")*(A_Corridor!$A$5:$A$204&lt;=$B364)*(A_Corridor!$B$5:$B$204&gt;$B364)*(A_Corridor!$G$5:$G$204&lt;&gt;"")),IF(A_Corridor!$G$5:$G$204="-","",A_Corridor!$G$5:$G$204)),"")</f>
        <v/>
      </c>
      <c r="L364" s="181" t="str">
        <f>IFERROR(LOOKUP(2,1/((A_Corridor!$A$5:$A$204&lt;&gt;"")*(A_Corridor!$A$5:$A$204&lt;=$B364)*(A_Corridor!$B$5:$B$204&gt;$B364)*(A_Corridor!$H$5:$H$204&lt;&gt;"")),IF(A_Corridor!$H$5:$H$204="-","",1)),"")</f>
        <v/>
      </c>
      <c r="M364" s="182" t="str">
        <f>IFERROR(LOOKUP(2,1/((A_Corridor!$A$5:$A$204&lt;&gt;"")*(A_Corridor!$A$5:$A$204&lt;=$B364)*(A_Corridor!$B$5:$B$204&gt;$B364)*(A_Corridor!$H$5:$H$204&lt;&gt;"")),IF(A_Corridor!$H$5:$H$204="-","",A_Corridor!$H$5:$H$204)),"")</f>
        <v/>
      </c>
      <c r="N364" s="182" t="str">
        <f>IFERROR(LOOKUP(2,1/((A_Corridor!$A$5:$A$204&lt;&gt;"")*(A_Corridor!$A$5:$A$204&lt;=$B364)*(A_Corridor!$B$5:$B$204&gt;$B364)*(A_Corridor!$I$5:$I$204&lt;&gt;"")),IF(A_Corridor!$I$5:$I$204="-","",A_Corridor!$I$5:$I$204)),"")</f>
        <v/>
      </c>
      <c r="O364" s="182" t="str">
        <f>IFERROR(LOOKUP(2,1/((D_Points!$A$5:$A$204&lt;&gt;"")*(D_Points!$A$5:$A$204&gt;=$B364)*(D_Points!$A$5:$A$204&lt;$B364+P_Interval)*(UPPER(TRIM(D_Points!$B$5:$B$204))="PITCHING")*(D_Points!$H$5:$H$204&lt;&gt;"")),D_Points!$H$5:$H$204),"")</f>
        <v/>
      </c>
      <c r="P364" s="181" t="str">
        <f>IFERROR(LOOKUP(2,1/((B_Drainage!$A$5:$A$204&lt;&gt;"")*(B_Drainage!$A$5:$A$204&lt;=$B364)*(B_Drainage!$B$5:$B$204&gt;$B364)*(B_Drainage!$C$5:$C$204&lt;&gt;"")),IF(B_Drainage!$C$5:$C$204="-","",UPPER(B_Drainage!$C$5:$C$204))),"")</f>
        <v/>
      </c>
      <c r="Q364" s="181" t="str">
        <f>IFERROR(LOOKUP(2,1/((B_Drainage!$A$5:$A$204&lt;&gt;"")*(B_Drainage!$A$5:$A$204&lt;=$B364)*(B_Drainage!$B$5:$B$204&gt;$B364)*(B_Drainage!$D$5:$D$204&lt;&gt;"")),IF(B_Drainage!$D$5:$D$204="-","",UPPER(B_Drainage!$D$5:$D$204))),"")</f>
        <v/>
      </c>
      <c r="R364" s="182" t="str">
        <f>IFERROR(LOOKUP(2,1/((D_Points!$A$5:$A$204&lt;&gt;"")*(D_Points!$A$5:$A$204&gt;=$B364)*(D_Points!$A$5:$A$204&lt;$B364+P_Interval)*(RIGHT(UPPER(TRIM(D_Points!$B$5:$B$204)),8)="_CULVERT")),IF(LEFT(UPPER(TRIM(D_Points!$B$5:$B$204)),2)="EX",1,IF(LEFT(UPPER(TRIM(D_Points!$B$5:$B$204)),2)="PR",2,3))),"")</f>
        <v/>
      </c>
      <c r="S364" s="182" t="str">
        <f>IFERROR(LOOKUP(2,1/((D_Points!$A$5:$A$204&lt;&gt;"")*(D_Points!$A$5:$A$204&gt;=$B364)*(D_Points!$A$5:$A$204&lt;$B364+P_Interval)*(RIGHT(UPPER(TRIM(D_Points!$B$5:$B$204)),7)="_BRIDGE")),IF(LEFT(UPPER(TRIM(D_Points!$B$5:$B$204)),2)="EX",1,IF(LEFT(UPPER(TRIM(D_Points!$B$5:$B$204)),2)="PR",2,2))),"")</f>
        <v/>
      </c>
      <c r="T364" s="181" t="str">
        <f>IFERROR(LOOKUP(2,1/((B_Drainage!$A$5:$A$204&lt;&gt;"")*(B_Drainage!$A$5:$A$204&lt;=$B364)*(B_Drainage!$B$5:$B$204&gt;$B364)*(B_Drainage!$E$5:$E$204&lt;&gt;"")),IF(B_Drainage!$E$5:$E$204="-","",1)),"")</f>
        <v/>
      </c>
      <c r="U364" s="181" t="str">
        <f>IFERROR(LOOKUP(2,1/((B_Drainage!$A$5:$A$204&lt;&gt;"")*(B_Drainage!$A$5:$A$204&lt;=$B364)*(B_Drainage!$B$5:$B$204&gt;$B364)*(B_Drainage!$E$5:$E$204&lt;&gt;"")),IF(B_Drainage!$E$5:$E$204="-","",B_Drainage!$E$5:$E$204)),"")</f>
        <v/>
      </c>
      <c r="V364" s="181" t="str">
        <f>IFERROR(LOOKUP(2,1/((B_Drainage!$A$5:$A$204&lt;&gt;"")*(B_Drainage!$A$5:$A$204&lt;=$B364)*(B_Drainage!$B$5:$B$204&gt;$B364)*(B_Drainage!$F$5:$F$204&lt;&gt;"")),IF(B_Drainage!$F$5:$F$204="-","",1)),"")</f>
        <v/>
      </c>
      <c r="W364" s="181" t="str">
        <f>IFERROR(LOOKUP(2,1/((B_Drainage!$A$5:$A$204&lt;&gt;"")*(B_Drainage!$A$5:$A$204&lt;=$B364)*(B_Drainage!$B$5:$B$204&gt;$B364)*(B_Drainage!$F$5:$F$204&lt;&gt;"")),IF(B_Drainage!$F$5:$F$204="-","",B_Drainage!$F$5:$F$204)),"")</f>
        <v/>
      </c>
      <c r="X364" s="181" t="str">
        <f>IFERROR(LOOKUP(2,1/((B_Drainage!$A$5:$A$204&lt;&gt;"")*(B_Drainage!$A$5:$A$204&lt;=$B364)*(B_Drainage!$B$5:$B$204&gt;$B364)*(B_Drainage!$G$5:$G$204&lt;&gt;"")),IF(UPPER(B_Drainage!$G$5:$G$204)="Y",1,"")),"")</f>
        <v/>
      </c>
      <c r="Y364" s="181" t="str">
        <f>IFERROR(LOOKUP(2,1/((B_Drainage!$A$5:$A$204&lt;&gt;"")*(B_Drainage!$A$5:$A$204&lt;=$B364)*(B_Drainage!$B$5:$B$204&gt;$B364)*(B_Drainage!$H$5:$H$204&lt;&gt;"")),IF(UPPER(B_Drainage!$H$5:$H$204)="Y",1,"")),"")</f>
        <v/>
      </c>
      <c r="Z364" s="181" t="str">
        <f>IFERROR(LOOKUP(2,1/((B_Drainage!$A$5:$A$204&lt;&gt;"")*(B_Drainage!$A$5:$A$204&lt;=$B364)*(B_Drainage!$B$5:$B$204&gt;$B364)*(B_Drainage!$I$5:$I$204&lt;&gt;"")),IF(UPPER(B_Drainage!$I$5:$I$204)="Y",1,"")),"")</f>
        <v/>
      </c>
      <c r="AA364" s="181" t="str">
        <f>IFERROR(LOOKUP(2,1/((B_Drainage!$A$5:$A$204&lt;&gt;"")*(B_Drainage!$A$5:$A$204&lt;=$B364)*(B_Drainage!$B$5:$B$204&gt;$B364)*(B_Drainage!$J$5:$J$204&lt;&gt;"")),IF(UPPER(B_Drainage!$J$5:$J$204)="Y",1,"")),"")</f>
        <v/>
      </c>
      <c r="AB364" s="182" t="str">
        <f>IFERROR(LOOKUP(2,1/((B_Drainage!$A$5:$A$204&lt;&gt;"")*(B_Drainage!$A$5:$A$204&lt;=$B364)*(B_Drainage!$B$5:$B$204&gt;$B364)*(B_Drainage!$K$5:$K$204&lt;&gt;"")),IF(B_Drainage!$K$5:$K$204="-","",B_Drainage!$K$5:$K$204)),"")</f>
        <v/>
      </c>
      <c r="AC364" s="182" t="str">
        <f>IFERROR(LOOKUP(2,1/((B_Drainage!$A$5:$A$204&lt;&gt;"")*(B_Drainage!$A$5:$A$204&lt;=$B364)*(B_Drainage!$B$5:$B$204&gt;$B364)*(B_Drainage!$L$5:$L$204&lt;&gt;"")),IF(B_Drainage!$L$5:$L$204="-","",B_Drainage!$L$5:$L$204)),"")</f>
        <v/>
      </c>
      <c r="AD364" s="182" t="str">
        <f>IFERROR(LOOKUP(2,1/((D_Points!$A$5:$A$204&lt;&gt;"")*(D_Points!$A$5:$A$204&gt;=$B364)*(D_Points!$A$5:$A$204&lt;$B364+P_Interval)*(UPPER(TRIM(D_Points!$B$5:$B$204))="TURNOUT_L")*(D_Points!$H$5:$H$204&lt;&gt;"")),D_Points!$H$5:$H$204),"")</f>
        <v/>
      </c>
      <c r="AE364" s="182" t="str">
        <f>IFERROR(LOOKUP(2,1/((D_Points!$A$5:$A$204&lt;&gt;"")*(D_Points!$A$5:$A$204&gt;=$B364)*(D_Points!$A$5:$A$204&lt;$B364+P_Interval)*(UPPER(TRIM(D_Points!$B$5:$B$204))="TURNOUT_R")*(D_Points!$H$5:$H$204&lt;&gt;"")),D_Points!$H$5:$H$204),"")</f>
        <v/>
      </c>
      <c r="AF364" s="181" t="str">
        <f>IFERROR(LOOKUP(2,1/((B_Drainage!$A$5:$A$204&lt;&gt;"")*(B_Drainage!$A$5:$A$204&lt;=$B364)*(B_Drainage!$B$5:$B$204&gt;$B364)*(B_Drainage!$M$5:$M$204&lt;&gt;"")),IF(UPPER(B_Drainage!$M$5:$M$204)="Y",1,"")),"")</f>
        <v/>
      </c>
      <c r="AG364" s="181" t="str">
        <f>IFERROR(LOOKUP(2,1/((B_Drainage!$A$5:$A$204&lt;&gt;"")*(B_Drainage!$A$5:$A$204&lt;=$B364)*(B_Drainage!$B$5:$B$204&gt;$B364)*(B_Drainage!$N$5:$N$204&lt;&gt;"")),IF(UPPER(B_Drainage!$N$5:$N$204)="Y",1,"")),"")</f>
        <v/>
      </c>
      <c r="AH364" s="181" t="str">
        <f t="shared" si="40"/>
        <v/>
      </c>
      <c r="AI364" s="181" t="str">
        <f t="shared" si="41"/>
        <v/>
      </c>
      <c r="AJ364" s="181" t="str">
        <f t="shared" si="42"/>
        <v/>
      </c>
      <c r="AK364" s="181" t="str">
        <f t="shared" si="43"/>
        <v/>
      </c>
      <c r="AL364" s="181" t="str">
        <f t="shared" si="44"/>
        <v/>
      </c>
      <c r="AM364" s="181" t="str">
        <f t="shared" si="45"/>
        <v/>
      </c>
      <c r="AN364" s="181" t="str">
        <f t="shared" si="46"/>
        <v/>
      </c>
      <c r="AO364" s="192" t="str">
        <f t="shared" si="47"/>
        <v/>
      </c>
      <c r="AQ364" t="str">
        <f>IFERROR(LOOKUP(2,1/((C_Pavement!$A$5:$A$204&lt;&gt;"")*(C_Pavement!$A$5:$A$204&lt;=$B364)*(C_Pavement!$B$5:$B$204&gt;$B364)*(C_Pavement!$C$5:$C$204&lt;&gt;"")),ROW(C_Pavement!$C$5:$C$204)-4),"")</f>
        <v/>
      </c>
      <c r="AR364" t="str">
        <f>IF($AQ364="","",UPPER(TRIM(INDEX(C_Pavement!$C$5:$C$204,$AQ364))))</f>
        <v/>
      </c>
      <c r="AS364" t="str">
        <f>IF($AR364="","",IFERROR(MATCH($AR364,E_Rules!$A$5:$A$9,0),""))</f>
        <v/>
      </c>
      <c r="AT364" t="str">
        <f>IF($AQ364="","",IF(INDEX(C_Pavement!$D$5:$D$204,$AQ364)&lt;&gt;"",UPPER(TRIM(INDEX(C_Pavement!$D$5:$D$204,$AQ364))),IF($AS364="","",INDEX(E_Rules!$C$5:$C$9,$AS364))))</f>
        <v/>
      </c>
      <c r="AU364" t="str">
        <f>IF($AQ364="","",IF(INDEX(C_Pavement!$E$5:$E$204,$AQ364)&lt;&gt;"",IF(INDEX(C_Pavement!$E$5:$E$204,$AQ364)="-","",INDEX(C_Pavement!$E$5:$E$204,$AQ364)),IF($AS364="","",INDEX(E_Rules!$D$5:$D$9,$AS364))))</f>
        <v/>
      </c>
      <c r="AV364" t="str">
        <f>IF($AQ364="","",IF(INDEX(C_Pavement!$F$5:$F$204,$AQ364)&lt;&gt;"",IF(INDEX(C_Pavement!$F$5:$F$204,$AQ364)="-","",INDEX(C_Pavement!$F$5:$F$204,$AQ364)),IF($AS364="","",INDEX(E_Rules!$E$5:$E$9,$AS364))))</f>
        <v/>
      </c>
      <c r="AW364" t="str">
        <f>IF($AQ364="","",IF(INDEX(C_Pavement!$G$5:$G$204,$AQ364)&lt;&gt;"",IF(INDEX(C_Pavement!$G$5:$G$204,$AQ364)="-","",INDEX(C_Pavement!$G$5:$G$204,$AQ364)),IF($AS364="","",INDEX(E_Rules!$F$5:$F$9,$AS364))))</f>
        <v/>
      </c>
      <c r="AX364" t="str">
        <f>IF($AQ364="","",IF(INDEX(C_Pavement!$H$5:$H$204,$AQ364)&lt;&gt;"",IF(INDEX(C_Pavement!$H$5:$H$204,$AQ364)="-","",INDEX(C_Pavement!$H$5:$H$204,$AQ364)),IF($AS364="","",INDEX(E_Rules!$G$5:$G$9,$AS364))))</f>
        <v/>
      </c>
      <c r="AY364" t="str">
        <f>IF($AQ364="","",IF(INDEX(C_Pavement!$I$5:$I$204,$AQ364)&lt;&gt;"",IF(INDEX(C_Pavement!$I$5:$I$204,$AQ364)="-","",INDEX(C_Pavement!$I$5:$I$204,$AQ364)),IF($AS364="","",INDEX(E_Rules!$H$5:$H$9,$AS364))))</f>
        <v/>
      </c>
    </row>
    <row r="365" spans="1:51" ht="15.75" customHeight="1" x14ac:dyDescent="0.3">
      <c r="A365" s="189">
        <v>360</v>
      </c>
      <c r="B365" s="180">
        <v>17950</v>
      </c>
      <c r="C365" s="180" t="s">
        <v>671</v>
      </c>
      <c r="D365" s="181" t="str">
        <f>IFERROR(LOOKUP(2,1/((A_Corridor!$A$5:$A$204&lt;&gt;"")*(A_Corridor!$A$5:$A$204&lt;=$B365)*(A_Corridor!$B$5:$B$204&gt;$B365)*(A_Corridor!$C$5:$C$204&lt;&gt;"")),IF(UPPER(A_Corridor!$C$5:$C$204)="Y",1,"")),"")</f>
        <v/>
      </c>
      <c r="E365" s="181" t="str">
        <f>IFERROR(LOOKUP(2,1/((A_Corridor!$A$5:$A$204&lt;&gt;"")*(A_Corridor!$A$5:$A$204&lt;=$B365)*(A_Corridor!$B$5:$B$204&gt;$B365)*(A_Corridor!$D$5:$D$204&lt;&gt;"")),IF(A_Corridor!$D$5:$D$204="-","",UPPER(A_Corridor!$D$5:$D$204))),"")</f>
        <v/>
      </c>
      <c r="F365" s="181" t="str">
        <f>IFERROR(LOOKUP(2,1/((A_Corridor!$A$5:$A$204&lt;&gt;"")*(A_Corridor!$A$5:$A$204&lt;=$B365)*(A_Corridor!$B$5:$B$204&gt;$B365)*(A_Corridor!$E$5:$E$204&lt;&gt;"")),IF(A_Corridor!$E$5:$E$204="-","",1)),"")</f>
        <v/>
      </c>
      <c r="G365" s="182" t="str">
        <f>IFERROR(LOOKUP(2,1/((A_Corridor!$A$5:$A$204&lt;&gt;"")*(A_Corridor!$A$5:$A$204&lt;=$B365)*(A_Corridor!$B$5:$B$204&gt;$B365)*(A_Corridor!$E$5:$E$204&lt;&gt;"")),IF(A_Corridor!$E$5:$E$204="-","",A_Corridor!$E$5:$E$204)),"")</f>
        <v/>
      </c>
      <c r="H365" s="182" t="str">
        <f>IFERROR(LOOKUP(2,1/((D_Points!$A$5:$A$204&lt;&gt;"")*(D_Points!$A$5:$A$204&gt;=$B365)*(D_Points!$A$5:$A$204&lt;$B365+P_Interval)*(UPPER(TRIM(D_Points!$B$5:$B$204))="GULLY")*(D_Points!$H$5:$H$204&lt;&gt;"")),D_Points!$H$5:$H$204),"")</f>
        <v/>
      </c>
      <c r="I365" s="181" t="str">
        <f>IFERROR(LOOKUP(2,1/((A_Corridor!$A$5:$A$204&lt;&gt;"")*(A_Corridor!$A$5:$A$204&lt;=$B365)*(A_Corridor!$B$5:$B$204&gt;$B365)*(A_Corridor!$F$5:$F$204&lt;&gt;"")),IF(A_Corridor!$F$5:$F$204="-","",1)),"")</f>
        <v/>
      </c>
      <c r="J365" s="182" t="str">
        <f>IFERROR(LOOKUP(2,1/((A_Corridor!$A$5:$A$204&lt;&gt;"")*(A_Corridor!$A$5:$A$204&lt;=$B365)*(A_Corridor!$B$5:$B$204&gt;$B365)*(A_Corridor!$F$5:$F$204&lt;&gt;"")),IF(A_Corridor!$F$5:$F$204="-","",A_Corridor!$F$5:$F$204)),"")</f>
        <v/>
      </c>
      <c r="K365" s="182" t="str">
        <f>IFERROR(LOOKUP(2,1/((A_Corridor!$A$5:$A$204&lt;&gt;"")*(A_Corridor!$A$5:$A$204&lt;=$B365)*(A_Corridor!$B$5:$B$204&gt;$B365)*(A_Corridor!$G$5:$G$204&lt;&gt;"")),IF(A_Corridor!$G$5:$G$204="-","",A_Corridor!$G$5:$G$204)),"")</f>
        <v/>
      </c>
      <c r="L365" s="181" t="str">
        <f>IFERROR(LOOKUP(2,1/((A_Corridor!$A$5:$A$204&lt;&gt;"")*(A_Corridor!$A$5:$A$204&lt;=$B365)*(A_Corridor!$B$5:$B$204&gt;$B365)*(A_Corridor!$H$5:$H$204&lt;&gt;"")),IF(A_Corridor!$H$5:$H$204="-","",1)),"")</f>
        <v/>
      </c>
      <c r="M365" s="182" t="str">
        <f>IFERROR(LOOKUP(2,1/((A_Corridor!$A$5:$A$204&lt;&gt;"")*(A_Corridor!$A$5:$A$204&lt;=$B365)*(A_Corridor!$B$5:$B$204&gt;$B365)*(A_Corridor!$H$5:$H$204&lt;&gt;"")),IF(A_Corridor!$H$5:$H$204="-","",A_Corridor!$H$5:$H$204)),"")</f>
        <v/>
      </c>
      <c r="N365" s="182" t="str">
        <f>IFERROR(LOOKUP(2,1/((A_Corridor!$A$5:$A$204&lt;&gt;"")*(A_Corridor!$A$5:$A$204&lt;=$B365)*(A_Corridor!$B$5:$B$204&gt;$B365)*(A_Corridor!$I$5:$I$204&lt;&gt;"")),IF(A_Corridor!$I$5:$I$204="-","",A_Corridor!$I$5:$I$204)),"")</f>
        <v/>
      </c>
      <c r="O365" s="182" t="str">
        <f>IFERROR(LOOKUP(2,1/((D_Points!$A$5:$A$204&lt;&gt;"")*(D_Points!$A$5:$A$204&gt;=$B365)*(D_Points!$A$5:$A$204&lt;$B365+P_Interval)*(UPPER(TRIM(D_Points!$B$5:$B$204))="PITCHING")*(D_Points!$H$5:$H$204&lt;&gt;"")),D_Points!$H$5:$H$204),"")</f>
        <v/>
      </c>
      <c r="P365" s="181" t="str">
        <f>IFERROR(LOOKUP(2,1/((B_Drainage!$A$5:$A$204&lt;&gt;"")*(B_Drainage!$A$5:$A$204&lt;=$B365)*(B_Drainage!$B$5:$B$204&gt;$B365)*(B_Drainage!$C$5:$C$204&lt;&gt;"")),IF(B_Drainage!$C$5:$C$204="-","",UPPER(B_Drainage!$C$5:$C$204))),"")</f>
        <v/>
      </c>
      <c r="Q365" s="181" t="str">
        <f>IFERROR(LOOKUP(2,1/((B_Drainage!$A$5:$A$204&lt;&gt;"")*(B_Drainage!$A$5:$A$204&lt;=$B365)*(B_Drainage!$B$5:$B$204&gt;$B365)*(B_Drainage!$D$5:$D$204&lt;&gt;"")),IF(B_Drainage!$D$5:$D$204="-","",UPPER(B_Drainage!$D$5:$D$204))),"")</f>
        <v/>
      </c>
      <c r="R365" s="182" t="str">
        <f>IFERROR(LOOKUP(2,1/((D_Points!$A$5:$A$204&lt;&gt;"")*(D_Points!$A$5:$A$204&gt;=$B365)*(D_Points!$A$5:$A$204&lt;$B365+P_Interval)*(RIGHT(UPPER(TRIM(D_Points!$B$5:$B$204)),8)="_CULVERT")),IF(LEFT(UPPER(TRIM(D_Points!$B$5:$B$204)),2)="EX",1,IF(LEFT(UPPER(TRIM(D_Points!$B$5:$B$204)),2)="PR",2,3))),"")</f>
        <v/>
      </c>
      <c r="S365" s="182" t="str">
        <f>IFERROR(LOOKUP(2,1/((D_Points!$A$5:$A$204&lt;&gt;"")*(D_Points!$A$5:$A$204&gt;=$B365)*(D_Points!$A$5:$A$204&lt;$B365+P_Interval)*(RIGHT(UPPER(TRIM(D_Points!$B$5:$B$204)),7)="_BRIDGE")),IF(LEFT(UPPER(TRIM(D_Points!$B$5:$B$204)),2)="EX",1,IF(LEFT(UPPER(TRIM(D_Points!$B$5:$B$204)),2)="PR",2,2))),"")</f>
        <v/>
      </c>
      <c r="T365" s="181" t="str">
        <f>IFERROR(LOOKUP(2,1/((B_Drainage!$A$5:$A$204&lt;&gt;"")*(B_Drainage!$A$5:$A$204&lt;=$B365)*(B_Drainage!$B$5:$B$204&gt;$B365)*(B_Drainage!$E$5:$E$204&lt;&gt;"")),IF(B_Drainage!$E$5:$E$204="-","",1)),"")</f>
        <v/>
      </c>
      <c r="U365" s="181" t="str">
        <f>IFERROR(LOOKUP(2,1/((B_Drainage!$A$5:$A$204&lt;&gt;"")*(B_Drainage!$A$5:$A$204&lt;=$B365)*(B_Drainage!$B$5:$B$204&gt;$B365)*(B_Drainage!$E$5:$E$204&lt;&gt;"")),IF(B_Drainage!$E$5:$E$204="-","",B_Drainage!$E$5:$E$204)),"")</f>
        <v/>
      </c>
      <c r="V365" s="181" t="str">
        <f>IFERROR(LOOKUP(2,1/((B_Drainage!$A$5:$A$204&lt;&gt;"")*(B_Drainage!$A$5:$A$204&lt;=$B365)*(B_Drainage!$B$5:$B$204&gt;$B365)*(B_Drainage!$F$5:$F$204&lt;&gt;"")),IF(B_Drainage!$F$5:$F$204="-","",1)),"")</f>
        <v/>
      </c>
      <c r="W365" s="181" t="str">
        <f>IFERROR(LOOKUP(2,1/((B_Drainage!$A$5:$A$204&lt;&gt;"")*(B_Drainage!$A$5:$A$204&lt;=$B365)*(B_Drainage!$B$5:$B$204&gt;$B365)*(B_Drainage!$F$5:$F$204&lt;&gt;"")),IF(B_Drainage!$F$5:$F$204="-","",B_Drainage!$F$5:$F$204)),"")</f>
        <v/>
      </c>
      <c r="X365" s="181" t="str">
        <f>IFERROR(LOOKUP(2,1/((B_Drainage!$A$5:$A$204&lt;&gt;"")*(B_Drainage!$A$5:$A$204&lt;=$B365)*(B_Drainage!$B$5:$B$204&gt;$B365)*(B_Drainage!$G$5:$G$204&lt;&gt;"")),IF(UPPER(B_Drainage!$G$5:$G$204)="Y",1,"")),"")</f>
        <v/>
      </c>
      <c r="Y365" s="181" t="str">
        <f>IFERROR(LOOKUP(2,1/((B_Drainage!$A$5:$A$204&lt;&gt;"")*(B_Drainage!$A$5:$A$204&lt;=$B365)*(B_Drainage!$B$5:$B$204&gt;$B365)*(B_Drainage!$H$5:$H$204&lt;&gt;"")),IF(UPPER(B_Drainage!$H$5:$H$204)="Y",1,"")),"")</f>
        <v/>
      </c>
      <c r="Z365" s="181" t="str">
        <f>IFERROR(LOOKUP(2,1/((B_Drainage!$A$5:$A$204&lt;&gt;"")*(B_Drainage!$A$5:$A$204&lt;=$B365)*(B_Drainage!$B$5:$B$204&gt;$B365)*(B_Drainage!$I$5:$I$204&lt;&gt;"")),IF(UPPER(B_Drainage!$I$5:$I$204)="Y",1,"")),"")</f>
        <v/>
      </c>
      <c r="AA365" s="181" t="str">
        <f>IFERROR(LOOKUP(2,1/((B_Drainage!$A$5:$A$204&lt;&gt;"")*(B_Drainage!$A$5:$A$204&lt;=$B365)*(B_Drainage!$B$5:$B$204&gt;$B365)*(B_Drainage!$J$5:$J$204&lt;&gt;"")),IF(UPPER(B_Drainage!$J$5:$J$204)="Y",1,"")),"")</f>
        <v/>
      </c>
      <c r="AB365" s="182" t="str">
        <f>IFERROR(LOOKUP(2,1/((B_Drainage!$A$5:$A$204&lt;&gt;"")*(B_Drainage!$A$5:$A$204&lt;=$B365)*(B_Drainage!$B$5:$B$204&gt;$B365)*(B_Drainage!$K$5:$K$204&lt;&gt;"")),IF(B_Drainage!$K$5:$K$204="-","",B_Drainage!$K$5:$K$204)),"")</f>
        <v/>
      </c>
      <c r="AC365" s="182" t="str">
        <f>IFERROR(LOOKUP(2,1/((B_Drainage!$A$5:$A$204&lt;&gt;"")*(B_Drainage!$A$5:$A$204&lt;=$B365)*(B_Drainage!$B$5:$B$204&gt;$B365)*(B_Drainage!$L$5:$L$204&lt;&gt;"")),IF(B_Drainage!$L$5:$L$204="-","",B_Drainage!$L$5:$L$204)),"")</f>
        <v/>
      </c>
      <c r="AD365" s="182" t="str">
        <f>IFERROR(LOOKUP(2,1/((D_Points!$A$5:$A$204&lt;&gt;"")*(D_Points!$A$5:$A$204&gt;=$B365)*(D_Points!$A$5:$A$204&lt;$B365+P_Interval)*(UPPER(TRIM(D_Points!$B$5:$B$204))="TURNOUT_L")*(D_Points!$H$5:$H$204&lt;&gt;"")),D_Points!$H$5:$H$204),"")</f>
        <v/>
      </c>
      <c r="AE365" s="182" t="str">
        <f>IFERROR(LOOKUP(2,1/((D_Points!$A$5:$A$204&lt;&gt;"")*(D_Points!$A$5:$A$204&gt;=$B365)*(D_Points!$A$5:$A$204&lt;$B365+P_Interval)*(UPPER(TRIM(D_Points!$B$5:$B$204))="TURNOUT_R")*(D_Points!$H$5:$H$204&lt;&gt;"")),D_Points!$H$5:$H$204),"")</f>
        <v/>
      </c>
      <c r="AF365" s="181" t="str">
        <f>IFERROR(LOOKUP(2,1/((B_Drainage!$A$5:$A$204&lt;&gt;"")*(B_Drainage!$A$5:$A$204&lt;=$B365)*(B_Drainage!$B$5:$B$204&gt;$B365)*(B_Drainage!$M$5:$M$204&lt;&gt;"")),IF(UPPER(B_Drainage!$M$5:$M$204)="Y",1,"")),"")</f>
        <v/>
      </c>
      <c r="AG365" s="181" t="str">
        <f>IFERROR(LOOKUP(2,1/((B_Drainage!$A$5:$A$204&lt;&gt;"")*(B_Drainage!$A$5:$A$204&lt;=$B365)*(B_Drainage!$B$5:$B$204&gt;$B365)*(B_Drainage!$N$5:$N$204&lt;&gt;"")),IF(UPPER(B_Drainage!$N$5:$N$204)="Y",1,"")),"")</f>
        <v/>
      </c>
      <c r="AH365" s="181" t="str">
        <f t="shared" si="40"/>
        <v/>
      </c>
      <c r="AI365" s="181" t="str">
        <f t="shared" si="41"/>
        <v/>
      </c>
      <c r="AJ365" s="181" t="str">
        <f t="shared" si="42"/>
        <v/>
      </c>
      <c r="AK365" s="181" t="str">
        <f t="shared" si="43"/>
        <v/>
      </c>
      <c r="AL365" s="181" t="str">
        <f t="shared" si="44"/>
        <v/>
      </c>
      <c r="AM365" s="181" t="str">
        <f t="shared" si="45"/>
        <v/>
      </c>
      <c r="AN365" s="181" t="str">
        <f t="shared" si="46"/>
        <v/>
      </c>
      <c r="AO365" s="192" t="str">
        <f t="shared" si="47"/>
        <v/>
      </c>
      <c r="AQ365" t="str">
        <f>IFERROR(LOOKUP(2,1/((C_Pavement!$A$5:$A$204&lt;&gt;"")*(C_Pavement!$A$5:$A$204&lt;=$B365)*(C_Pavement!$B$5:$B$204&gt;$B365)*(C_Pavement!$C$5:$C$204&lt;&gt;"")),ROW(C_Pavement!$C$5:$C$204)-4),"")</f>
        <v/>
      </c>
      <c r="AR365" t="str">
        <f>IF($AQ365="","",UPPER(TRIM(INDEX(C_Pavement!$C$5:$C$204,$AQ365))))</f>
        <v/>
      </c>
      <c r="AS365" t="str">
        <f>IF($AR365="","",IFERROR(MATCH($AR365,E_Rules!$A$5:$A$9,0),""))</f>
        <v/>
      </c>
      <c r="AT365" t="str">
        <f>IF($AQ365="","",IF(INDEX(C_Pavement!$D$5:$D$204,$AQ365)&lt;&gt;"",UPPER(TRIM(INDEX(C_Pavement!$D$5:$D$204,$AQ365))),IF($AS365="","",INDEX(E_Rules!$C$5:$C$9,$AS365))))</f>
        <v/>
      </c>
      <c r="AU365" t="str">
        <f>IF($AQ365="","",IF(INDEX(C_Pavement!$E$5:$E$204,$AQ365)&lt;&gt;"",IF(INDEX(C_Pavement!$E$5:$E$204,$AQ365)="-","",INDEX(C_Pavement!$E$5:$E$204,$AQ365)),IF($AS365="","",INDEX(E_Rules!$D$5:$D$9,$AS365))))</f>
        <v/>
      </c>
      <c r="AV365" t="str">
        <f>IF($AQ365="","",IF(INDEX(C_Pavement!$F$5:$F$204,$AQ365)&lt;&gt;"",IF(INDEX(C_Pavement!$F$5:$F$204,$AQ365)="-","",INDEX(C_Pavement!$F$5:$F$204,$AQ365)),IF($AS365="","",INDEX(E_Rules!$E$5:$E$9,$AS365))))</f>
        <v/>
      </c>
      <c r="AW365" t="str">
        <f>IF($AQ365="","",IF(INDEX(C_Pavement!$G$5:$G$204,$AQ365)&lt;&gt;"",IF(INDEX(C_Pavement!$G$5:$G$204,$AQ365)="-","",INDEX(C_Pavement!$G$5:$G$204,$AQ365)),IF($AS365="","",INDEX(E_Rules!$F$5:$F$9,$AS365))))</f>
        <v/>
      </c>
      <c r="AX365" t="str">
        <f>IF($AQ365="","",IF(INDEX(C_Pavement!$H$5:$H$204,$AQ365)&lt;&gt;"",IF(INDEX(C_Pavement!$H$5:$H$204,$AQ365)="-","",INDEX(C_Pavement!$H$5:$H$204,$AQ365)),IF($AS365="","",INDEX(E_Rules!$G$5:$G$9,$AS365))))</f>
        <v/>
      </c>
      <c r="AY365" t="str">
        <f>IF($AQ365="","",IF(INDEX(C_Pavement!$I$5:$I$204,$AQ365)&lt;&gt;"",IF(INDEX(C_Pavement!$I$5:$I$204,$AQ365)="-","",INDEX(C_Pavement!$I$5:$I$204,$AQ365)),IF($AS365="","",INDEX(E_Rules!$H$5:$H$9,$AS365))))</f>
        <v/>
      </c>
    </row>
    <row r="366" spans="1:51" ht="15.75" customHeight="1" x14ac:dyDescent="0.3">
      <c r="A366" s="189">
        <v>361</v>
      </c>
      <c r="B366" s="180">
        <v>18000</v>
      </c>
      <c r="C366" s="180" t="s">
        <v>672</v>
      </c>
      <c r="D366" s="181" t="str">
        <f>IFERROR(LOOKUP(2,1/((A_Corridor!$A$5:$A$204&lt;&gt;"")*(A_Corridor!$A$5:$A$204&lt;=$B366)*(A_Corridor!$B$5:$B$204&gt;$B366)*(A_Corridor!$C$5:$C$204&lt;&gt;"")),IF(UPPER(A_Corridor!$C$5:$C$204)="Y",1,"")),"")</f>
        <v/>
      </c>
      <c r="E366" s="181" t="str">
        <f>IFERROR(LOOKUP(2,1/((A_Corridor!$A$5:$A$204&lt;&gt;"")*(A_Corridor!$A$5:$A$204&lt;=$B366)*(A_Corridor!$B$5:$B$204&gt;$B366)*(A_Corridor!$D$5:$D$204&lt;&gt;"")),IF(A_Corridor!$D$5:$D$204="-","",UPPER(A_Corridor!$D$5:$D$204))),"")</f>
        <v/>
      </c>
      <c r="F366" s="181" t="str">
        <f>IFERROR(LOOKUP(2,1/((A_Corridor!$A$5:$A$204&lt;&gt;"")*(A_Corridor!$A$5:$A$204&lt;=$B366)*(A_Corridor!$B$5:$B$204&gt;$B366)*(A_Corridor!$E$5:$E$204&lt;&gt;"")),IF(A_Corridor!$E$5:$E$204="-","",1)),"")</f>
        <v/>
      </c>
      <c r="G366" s="182" t="str">
        <f>IFERROR(LOOKUP(2,1/((A_Corridor!$A$5:$A$204&lt;&gt;"")*(A_Corridor!$A$5:$A$204&lt;=$B366)*(A_Corridor!$B$5:$B$204&gt;$B366)*(A_Corridor!$E$5:$E$204&lt;&gt;"")),IF(A_Corridor!$E$5:$E$204="-","",A_Corridor!$E$5:$E$204)),"")</f>
        <v/>
      </c>
      <c r="H366" s="182" t="str">
        <f>IFERROR(LOOKUP(2,1/((D_Points!$A$5:$A$204&lt;&gt;"")*(D_Points!$A$5:$A$204&gt;=$B366)*(D_Points!$A$5:$A$204&lt;$B366+P_Interval)*(UPPER(TRIM(D_Points!$B$5:$B$204))="GULLY")*(D_Points!$H$5:$H$204&lt;&gt;"")),D_Points!$H$5:$H$204),"")</f>
        <v/>
      </c>
      <c r="I366" s="181" t="str">
        <f>IFERROR(LOOKUP(2,1/((A_Corridor!$A$5:$A$204&lt;&gt;"")*(A_Corridor!$A$5:$A$204&lt;=$B366)*(A_Corridor!$B$5:$B$204&gt;$B366)*(A_Corridor!$F$5:$F$204&lt;&gt;"")),IF(A_Corridor!$F$5:$F$204="-","",1)),"")</f>
        <v/>
      </c>
      <c r="J366" s="182" t="str">
        <f>IFERROR(LOOKUP(2,1/((A_Corridor!$A$5:$A$204&lt;&gt;"")*(A_Corridor!$A$5:$A$204&lt;=$B366)*(A_Corridor!$B$5:$B$204&gt;$B366)*(A_Corridor!$F$5:$F$204&lt;&gt;"")),IF(A_Corridor!$F$5:$F$204="-","",A_Corridor!$F$5:$F$204)),"")</f>
        <v/>
      </c>
      <c r="K366" s="182" t="str">
        <f>IFERROR(LOOKUP(2,1/((A_Corridor!$A$5:$A$204&lt;&gt;"")*(A_Corridor!$A$5:$A$204&lt;=$B366)*(A_Corridor!$B$5:$B$204&gt;$B366)*(A_Corridor!$G$5:$G$204&lt;&gt;"")),IF(A_Corridor!$G$5:$G$204="-","",A_Corridor!$G$5:$G$204)),"")</f>
        <v/>
      </c>
      <c r="L366" s="181" t="str">
        <f>IFERROR(LOOKUP(2,1/((A_Corridor!$A$5:$A$204&lt;&gt;"")*(A_Corridor!$A$5:$A$204&lt;=$B366)*(A_Corridor!$B$5:$B$204&gt;$B366)*(A_Corridor!$H$5:$H$204&lt;&gt;"")),IF(A_Corridor!$H$5:$H$204="-","",1)),"")</f>
        <v/>
      </c>
      <c r="M366" s="182" t="str">
        <f>IFERROR(LOOKUP(2,1/((A_Corridor!$A$5:$A$204&lt;&gt;"")*(A_Corridor!$A$5:$A$204&lt;=$B366)*(A_Corridor!$B$5:$B$204&gt;$B366)*(A_Corridor!$H$5:$H$204&lt;&gt;"")),IF(A_Corridor!$H$5:$H$204="-","",A_Corridor!$H$5:$H$204)),"")</f>
        <v/>
      </c>
      <c r="N366" s="182" t="str">
        <f>IFERROR(LOOKUP(2,1/((A_Corridor!$A$5:$A$204&lt;&gt;"")*(A_Corridor!$A$5:$A$204&lt;=$B366)*(A_Corridor!$B$5:$B$204&gt;$B366)*(A_Corridor!$I$5:$I$204&lt;&gt;"")),IF(A_Corridor!$I$5:$I$204="-","",A_Corridor!$I$5:$I$204)),"")</f>
        <v/>
      </c>
      <c r="O366" s="182" t="str">
        <f>IFERROR(LOOKUP(2,1/((D_Points!$A$5:$A$204&lt;&gt;"")*(D_Points!$A$5:$A$204&gt;=$B366)*(D_Points!$A$5:$A$204&lt;$B366+P_Interval)*(UPPER(TRIM(D_Points!$B$5:$B$204))="PITCHING")*(D_Points!$H$5:$H$204&lt;&gt;"")),D_Points!$H$5:$H$204),"")</f>
        <v/>
      </c>
      <c r="P366" s="181" t="str">
        <f>IFERROR(LOOKUP(2,1/((B_Drainage!$A$5:$A$204&lt;&gt;"")*(B_Drainage!$A$5:$A$204&lt;=$B366)*(B_Drainage!$B$5:$B$204&gt;$B366)*(B_Drainage!$C$5:$C$204&lt;&gt;"")),IF(B_Drainage!$C$5:$C$204="-","",UPPER(B_Drainage!$C$5:$C$204))),"")</f>
        <v/>
      </c>
      <c r="Q366" s="181" t="str">
        <f>IFERROR(LOOKUP(2,1/((B_Drainage!$A$5:$A$204&lt;&gt;"")*(B_Drainage!$A$5:$A$204&lt;=$B366)*(B_Drainage!$B$5:$B$204&gt;$B366)*(B_Drainage!$D$5:$D$204&lt;&gt;"")),IF(B_Drainage!$D$5:$D$204="-","",UPPER(B_Drainage!$D$5:$D$204))),"")</f>
        <v/>
      </c>
      <c r="R366" s="182" t="str">
        <f>IFERROR(LOOKUP(2,1/((D_Points!$A$5:$A$204&lt;&gt;"")*(D_Points!$A$5:$A$204&gt;=$B366)*(D_Points!$A$5:$A$204&lt;$B366+P_Interval)*(RIGHT(UPPER(TRIM(D_Points!$B$5:$B$204)),8)="_CULVERT")),IF(LEFT(UPPER(TRIM(D_Points!$B$5:$B$204)),2)="EX",1,IF(LEFT(UPPER(TRIM(D_Points!$B$5:$B$204)),2)="PR",2,3))),"")</f>
        <v/>
      </c>
      <c r="S366" s="182" t="str">
        <f>IFERROR(LOOKUP(2,1/((D_Points!$A$5:$A$204&lt;&gt;"")*(D_Points!$A$5:$A$204&gt;=$B366)*(D_Points!$A$5:$A$204&lt;$B366+P_Interval)*(RIGHT(UPPER(TRIM(D_Points!$B$5:$B$204)),7)="_BRIDGE")),IF(LEFT(UPPER(TRIM(D_Points!$B$5:$B$204)),2)="EX",1,IF(LEFT(UPPER(TRIM(D_Points!$B$5:$B$204)),2)="PR",2,2))),"")</f>
        <v/>
      </c>
      <c r="T366" s="181" t="str">
        <f>IFERROR(LOOKUP(2,1/((B_Drainage!$A$5:$A$204&lt;&gt;"")*(B_Drainage!$A$5:$A$204&lt;=$B366)*(B_Drainage!$B$5:$B$204&gt;$B366)*(B_Drainage!$E$5:$E$204&lt;&gt;"")),IF(B_Drainage!$E$5:$E$204="-","",1)),"")</f>
        <v/>
      </c>
      <c r="U366" s="181" t="str">
        <f>IFERROR(LOOKUP(2,1/((B_Drainage!$A$5:$A$204&lt;&gt;"")*(B_Drainage!$A$5:$A$204&lt;=$B366)*(B_Drainage!$B$5:$B$204&gt;$B366)*(B_Drainage!$E$5:$E$204&lt;&gt;"")),IF(B_Drainage!$E$5:$E$204="-","",B_Drainage!$E$5:$E$204)),"")</f>
        <v/>
      </c>
      <c r="V366" s="181" t="str">
        <f>IFERROR(LOOKUP(2,1/((B_Drainage!$A$5:$A$204&lt;&gt;"")*(B_Drainage!$A$5:$A$204&lt;=$B366)*(B_Drainage!$B$5:$B$204&gt;$B366)*(B_Drainage!$F$5:$F$204&lt;&gt;"")),IF(B_Drainage!$F$5:$F$204="-","",1)),"")</f>
        <v/>
      </c>
      <c r="W366" s="181" t="str">
        <f>IFERROR(LOOKUP(2,1/((B_Drainage!$A$5:$A$204&lt;&gt;"")*(B_Drainage!$A$5:$A$204&lt;=$B366)*(B_Drainage!$B$5:$B$204&gt;$B366)*(B_Drainage!$F$5:$F$204&lt;&gt;"")),IF(B_Drainage!$F$5:$F$204="-","",B_Drainage!$F$5:$F$204)),"")</f>
        <v/>
      </c>
      <c r="X366" s="181" t="str">
        <f>IFERROR(LOOKUP(2,1/((B_Drainage!$A$5:$A$204&lt;&gt;"")*(B_Drainage!$A$5:$A$204&lt;=$B366)*(B_Drainage!$B$5:$B$204&gt;$B366)*(B_Drainage!$G$5:$G$204&lt;&gt;"")),IF(UPPER(B_Drainage!$G$5:$G$204)="Y",1,"")),"")</f>
        <v/>
      </c>
      <c r="Y366" s="181" t="str">
        <f>IFERROR(LOOKUP(2,1/((B_Drainage!$A$5:$A$204&lt;&gt;"")*(B_Drainage!$A$5:$A$204&lt;=$B366)*(B_Drainage!$B$5:$B$204&gt;$B366)*(B_Drainage!$H$5:$H$204&lt;&gt;"")),IF(UPPER(B_Drainage!$H$5:$H$204)="Y",1,"")),"")</f>
        <v/>
      </c>
      <c r="Z366" s="181" t="str">
        <f>IFERROR(LOOKUP(2,1/((B_Drainage!$A$5:$A$204&lt;&gt;"")*(B_Drainage!$A$5:$A$204&lt;=$B366)*(B_Drainage!$B$5:$B$204&gt;$B366)*(B_Drainage!$I$5:$I$204&lt;&gt;"")),IF(UPPER(B_Drainage!$I$5:$I$204)="Y",1,"")),"")</f>
        <v/>
      </c>
      <c r="AA366" s="181" t="str">
        <f>IFERROR(LOOKUP(2,1/((B_Drainage!$A$5:$A$204&lt;&gt;"")*(B_Drainage!$A$5:$A$204&lt;=$B366)*(B_Drainage!$B$5:$B$204&gt;$B366)*(B_Drainage!$J$5:$J$204&lt;&gt;"")),IF(UPPER(B_Drainage!$J$5:$J$204)="Y",1,"")),"")</f>
        <v/>
      </c>
      <c r="AB366" s="182" t="str">
        <f>IFERROR(LOOKUP(2,1/((B_Drainage!$A$5:$A$204&lt;&gt;"")*(B_Drainage!$A$5:$A$204&lt;=$B366)*(B_Drainage!$B$5:$B$204&gt;$B366)*(B_Drainage!$K$5:$K$204&lt;&gt;"")),IF(B_Drainage!$K$5:$K$204="-","",B_Drainage!$K$5:$K$204)),"")</f>
        <v/>
      </c>
      <c r="AC366" s="182" t="str">
        <f>IFERROR(LOOKUP(2,1/((B_Drainage!$A$5:$A$204&lt;&gt;"")*(B_Drainage!$A$5:$A$204&lt;=$B366)*(B_Drainage!$B$5:$B$204&gt;$B366)*(B_Drainage!$L$5:$L$204&lt;&gt;"")),IF(B_Drainage!$L$5:$L$204="-","",B_Drainage!$L$5:$L$204)),"")</f>
        <v/>
      </c>
      <c r="AD366" s="182" t="str">
        <f>IFERROR(LOOKUP(2,1/((D_Points!$A$5:$A$204&lt;&gt;"")*(D_Points!$A$5:$A$204&gt;=$B366)*(D_Points!$A$5:$A$204&lt;$B366+P_Interval)*(UPPER(TRIM(D_Points!$B$5:$B$204))="TURNOUT_L")*(D_Points!$H$5:$H$204&lt;&gt;"")),D_Points!$H$5:$H$204),"")</f>
        <v/>
      </c>
      <c r="AE366" s="182" t="str">
        <f>IFERROR(LOOKUP(2,1/((D_Points!$A$5:$A$204&lt;&gt;"")*(D_Points!$A$5:$A$204&gt;=$B366)*(D_Points!$A$5:$A$204&lt;$B366+P_Interval)*(UPPER(TRIM(D_Points!$B$5:$B$204))="TURNOUT_R")*(D_Points!$H$5:$H$204&lt;&gt;"")),D_Points!$H$5:$H$204),"")</f>
        <v/>
      </c>
      <c r="AF366" s="181" t="str">
        <f>IFERROR(LOOKUP(2,1/((B_Drainage!$A$5:$A$204&lt;&gt;"")*(B_Drainage!$A$5:$A$204&lt;=$B366)*(B_Drainage!$B$5:$B$204&gt;$B366)*(B_Drainage!$M$5:$M$204&lt;&gt;"")),IF(UPPER(B_Drainage!$M$5:$M$204)="Y",1,"")),"")</f>
        <v/>
      </c>
      <c r="AG366" s="181" t="str">
        <f>IFERROR(LOOKUP(2,1/((B_Drainage!$A$5:$A$204&lt;&gt;"")*(B_Drainage!$A$5:$A$204&lt;=$B366)*(B_Drainage!$B$5:$B$204&gt;$B366)*(B_Drainage!$N$5:$N$204&lt;&gt;"")),IF(UPPER(B_Drainage!$N$5:$N$204)="Y",1,"")),"")</f>
        <v/>
      </c>
      <c r="AH366" s="181" t="str">
        <f t="shared" si="40"/>
        <v/>
      </c>
      <c r="AI366" s="181" t="str">
        <f t="shared" si="41"/>
        <v/>
      </c>
      <c r="AJ366" s="181" t="str">
        <f t="shared" si="42"/>
        <v/>
      </c>
      <c r="AK366" s="181" t="str">
        <f t="shared" si="43"/>
        <v/>
      </c>
      <c r="AL366" s="181" t="str">
        <f t="shared" si="44"/>
        <v/>
      </c>
      <c r="AM366" s="181" t="str">
        <f t="shared" si="45"/>
        <v/>
      </c>
      <c r="AN366" s="181" t="str">
        <f t="shared" si="46"/>
        <v/>
      </c>
      <c r="AO366" s="192" t="str">
        <f t="shared" si="47"/>
        <v/>
      </c>
      <c r="AQ366" t="str">
        <f>IFERROR(LOOKUP(2,1/((C_Pavement!$A$5:$A$204&lt;&gt;"")*(C_Pavement!$A$5:$A$204&lt;=$B366)*(C_Pavement!$B$5:$B$204&gt;$B366)*(C_Pavement!$C$5:$C$204&lt;&gt;"")),ROW(C_Pavement!$C$5:$C$204)-4),"")</f>
        <v/>
      </c>
      <c r="AR366" t="str">
        <f>IF($AQ366="","",UPPER(TRIM(INDEX(C_Pavement!$C$5:$C$204,$AQ366))))</f>
        <v/>
      </c>
      <c r="AS366" t="str">
        <f>IF($AR366="","",IFERROR(MATCH($AR366,E_Rules!$A$5:$A$9,0),""))</f>
        <v/>
      </c>
      <c r="AT366" t="str">
        <f>IF($AQ366="","",IF(INDEX(C_Pavement!$D$5:$D$204,$AQ366)&lt;&gt;"",UPPER(TRIM(INDEX(C_Pavement!$D$5:$D$204,$AQ366))),IF($AS366="","",INDEX(E_Rules!$C$5:$C$9,$AS366))))</f>
        <v/>
      </c>
      <c r="AU366" t="str">
        <f>IF($AQ366="","",IF(INDEX(C_Pavement!$E$5:$E$204,$AQ366)&lt;&gt;"",IF(INDEX(C_Pavement!$E$5:$E$204,$AQ366)="-","",INDEX(C_Pavement!$E$5:$E$204,$AQ366)),IF($AS366="","",INDEX(E_Rules!$D$5:$D$9,$AS366))))</f>
        <v/>
      </c>
      <c r="AV366" t="str">
        <f>IF($AQ366="","",IF(INDEX(C_Pavement!$F$5:$F$204,$AQ366)&lt;&gt;"",IF(INDEX(C_Pavement!$F$5:$F$204,$AQ366)="-","",INDEX(C_Pavement!$F$5:$F$204,$AQ366)),IF($AS366="","",INDEX(E_Rules!$E$5:$E$9,$AS366))))</f>
        <v/>
      </c>
      <c r="AW366" t="str">
        <f>IF($AQ366="","",IF(INDEX(C_Pavement!$G$5:$G$204,$AQ366)&lt;&gt;"",IF(INDEX(C_Pavement!$G$5:$G$204,$AQ366)="-","",INDEX(C_Pavement!$G$5:$G$204,$AQ366)),IF($AS366="","",INDEX(E_Rules!$F$5:$F$9,$AS366))))</f>
        <v/>
      </c>
      <c r="AX366" t="str">
        <f>IF($AQ366="","",IF(INDEX(C_Pavement!$H$5:$H$204,$AQ366)&lt;&gt;"",IF(INDEX(C_Pavement!$H$5:$H$204,$AQ366)="-","",INDEX(C_Pavement!$H$5:$H$204,$AQ366)),IF($AS366="","",INDEX(E_Rules!$G$5:$G$9,$AS366))))</f>
        <v/>
      </c>
      <c r="AY366" t="str">
        <f>IF($AQ366="","",IF(INDEX(C_Pavement!$I$5:$I$204,$AQ366)&lt;&gt;"",IF(INDEX(C_Pavement!$I$5:$I$204,$AQ366)="-","",INDEX(C_Pavement!$I$5:$I$204,$AQ366)),IF($AS366="","",INDEX(E_Rules!$H$5:$H$9,$AS366))))</f>
        <v/>
      </c>
    </row>
    <row r="367" spans="1:51" ht="15.75" customHeight="1" x14ac:dyDescent="0.3">
      <c r="A367" s="189">
        <v>362</v>
      </c>
      <c r="B367" s="180">
        <v>18050</v>
      </c>
      <c r="C367" s="180" t="s">
        <v>673</v>
      </c>
      <c r="D367" s="181" t="str">
        <f>IFERROR(LOOKUP(2,1/((A_Corridor!$A$5:$A$204&lt;&gt;"")*(A_Corridor!$A$5:$A$204&lt;=$B367)*(A_Corridor!$B$5:$B$204&gt;$B367)*(A_Corridor!$C$5:$C$204&lt;&gt;"")),IF(UPPER(A_Corridor!$C$5:$C$204)="Y",1,"")),"")</f>
        <v/>
      </c>
      <c r="E367" s="181" t="str">
        <f>IFERROR(LOOKUP(2,1/((A_Corridor!$A$5:$A$204&lt;&gt;"")*(A_Corridor!$A$5:$A$204&lt;=$B367)*(A_Corridor!$B$5:$B$204&gt;$B367)*(A_Corridor!$D$5:$D$204&lt;&gt;"")),IF(A_Corridor!$D$5:$D$204="-","",UPPER(A_Corridor!$D$5:$D$204))),"")</f>
        <v/>
      </c>
      <c r="F367" s="181" t="str">
        <f>IFERROR(LOOKUP(2,1/((A_Corridor!$A$5:$A$204&lt;&gt;"")*(A_Corridor!$A$5:$A$204&lt;=$B367)*(A_Corridor!$B$5:$B$204&gt;$B367)*(A_Corridor!$E$5:$E$204&lt;&gt;"")),IF(A_Corridor!$E$5:$E$204="-","",1)),"")</f>
        <v/>
      </c>
      <c r="G367" s="182" t="str">
        <f>IFERROR(LOOKUP(2,1/((A_Corridor!$A$5:$A$204&lt;&gt;"")*(A_Corridor!$A$5:$A$204&lt;=$B367)*(A_Corridor!$B$5:$B$204&gt;$B367)*(A_Corridor!$E$5:$E$204&lt;&gt;"")),IF(A_Corridor!$E$5:$E$204="-","",A_Corridor!$E$5:$E$204)),"")</f>
        <v/>
      </c>
      <c r="H367" s="182" t="str">
        <f>IFERROR(LOOKUP(2,1/((D_Points!$A$5:$A$204&lt;&gt;"")*(D_Points!$A$5:$A$204&gt;=$B367)*(D_Points!$A$5:$A$204&lt;$B367+P_Interval)*(UPPER(TRIM(D_Points!$B$5:$B$204))="GULLY")*(D_Points!$H$5:$H$204&lt;&gt;"")),D_Points!$H$5:$H$204),"")</f>
        <v/>
      </c>
      <c r="I367" s="181" t="str">
        <f>IFERROR(LOOKUP(2,1/((A_Corridor!$A$5:$A$204&lt;&gt;"")*(A_Corridor!$A$5:$A$204&lt;=$B367)*(A_Corridor!$B$5:$B$204&gt;$B367)*(A_Corridor!$F$5:$F$204&lt;&gt;"")),IF(A_Corridor!$F$5:$F$204="-","",1)),"")</f>
        <v/>
      </c>
      <c r="J367" s="182" t="str">
        <f>IFERROR(LOOKUP(2,1/((A_Corridor!$A$5:$A$204&lt;&gt;"")*(A_Corridor!$A$5:$A$204&lt;=$B367)*(A_Corridor!$B$5:$B$204&gt;$B367)*(A_Corridor!$F$5:$F$204&lt;&gt;"")),IF(A_Corridor!$F$5:$F$204="-","",A_Corridor!$F$5:$F$204)),"")</f>
        <v/>
      </c>
      <c r="K367" s="182" t="str">
        <f>IFERROR(LOOKUP(2,1/((A_Corridor!$A$5:$A$204&lt;&gt;"")*(A_Corridor!$A$5:$A$204&lt;=$B367)*(A_Corridor!$B$5:$B$204&gt;$B367)*(A_Corridor!$G$5:$G$204&lt;&gt;"")),IF(A_Corridor!$G$5:$G$204="-","",A_Corridor!$G$5:$G$204)),"")</f>
        <v/>
      </c>
      <c r="L367" s="181" t="str">
        <f>IFERROR(LOOKUP(2,1/((A_Corridor!$A$5:$A$204&lt;&gt;"")*(A_Corridor!$A$5:$A$204&lt;=$B367)*(A_Corridor!$B$5:$B$204&gt;$B367)*(A_Corridor!$H$5:$H$204&lt;&gt;"")),IF(A_Corridor!$H$5:$H$204="-","",1)),"")</f>
        <v/>
      </c>
      <c r="M367" s="182" t="str">
        <f>IFERROR(LOOKUP(2,1/((A_Corridor!$A$5:$A$204&lt;&gt;"")*(A_Corridor!$A$5:$A$204&lt;=$B367)*(A_Corridor!$B$5:$B$204&gt;$B367)*(A_Corridor!$H$5:$H$204&lt;&gt;"")),IF(A_Corridor!$H$5:$H$204="-","",A_Corridor!$H$5:$H$204)),"")</f>
        <v/>
      </c>
      <c r="N367" s="182" t="str">
        <f>IFERROR(LOOKUP(2,1/((A_Corridor!$A$5:$A$204&lt;&gt;"")*(A_Corridor!$A$5:$A$204&lt;=$B367)*(A_Corridor!$B$5:$B$204&gt;$B367)*(A_Corridor!$I$5:$I$204&lt;&gt;"")),IF(A_Corridor!$I$5:$I$204="-","",A_Corridor!$I$5:$I$204)),"")</f>
        <v/>
      </c>
      <c r="O367" s="182" t="str">
        <f>IFERROR(LOOKUP(2,1/((D_Points!$A$5:$A$204&lt;&gt;"")*(D_Points!$A$5:$A$204&gt;=$B367)*(D_Points!$A$5:$A$204&lt;$B367+P_Interval)*(UPPER(TRIM(D_Points!$B$5:$B$204))="PITCHING")*(D_Points!$H$5:$H$204&lt;&gt;"")),D_Points!$H$5:$H$204),"")</f>
        <v/>
      </c>
      <c r="P367" s="181" t="str">
        <f>IFERROR(LOOKUP(2,1/((B_Drainage!$A$5:$A$204&lt;&gt;"")*(B_Drainage!$A$5:$A$204&lt;=$B367)*(B_Drainage!$B$5:$B$204&gt;$B367)*(B_Drainage!$C$5:$C$204&lt;&gt;"")),IF(B_Drainage!$C$5:$C$204="-","",UPPER(B_Drainage!$C$5:$C$204))),"")</f>
        <v/>
      </c>
      <c r="Q367" s="181" t="str">
        <f>IFERROR(LOOKUP(2,1/((B_Drainage!$A$5:$A$204&lt;&gt;"")*(B_Drainage!$A$5:$A$204&lt;=$B367)*(B_Drainage!$B$5:$B$204&gt;$B367)*(B_Drainage!$D$5:$D$204&lt;&gt;"")),IF(B_Drainage!$D$5:$D$204="-","",UPPER(B_Drainage!$D$5:$D$204))),"")</f>
        <v/>
      </c>
      <c r="R367" s="182" t="str">
        <f>IFERROR(LOOKUP(2,1/((D_Points!$A$5:$A$204&lt;&gt;"")*(D_Points!$A$5:$A$204&gt;=$B367)*(D_Points!$A$5:$A$204&lt;$B367+P_Interval)*(RIGHT(UPPER(TRIM(D_Points!$B$5:$B$204)),8)="_CULVERT")),IF(LEFT(UPPER(TRIM(D_Points!$B$5:$B$204)),2)="EX",1,IF(LEFT(UPPER(TRIM(D_Points!$B$5:$B$204)),2)="PR",2,3))),"")</f>
        <v/>
      </c>
      <c r="S367" s="182" t="str">
        <f>IFERROR(LOOKUP(2,1/((D_Points!$A$5:$A$204&lt;&gt;"")*(D_Points!$A$5:$A$204&gt;=$B367)*(D_Points!$A$5:$A$204&lt;$B367+P_Interval)*(RIGHT(UPPER(TRIM(D_Points!$B$5:$B$204)),7)="_BRIDGE")),IF(LEFT(UPPER(TRIM(D_Points!$B$5:$B$204)),2)="EX",1,IF(LEFT(UPPER(TRIM(D_Points!$B$5:$B$204)),2)="PR",2,2))),"")</f>
        <v/>
      </c>
      <c r="T367" s="181" t="str">
        <f>IFERROR(LOOKUP(2,1/((B_Drainage!$A$5:$A$204&lt;&gt;"")*(B_Drainage!$A$5:$A$204&lt;=$B367)*(B_Drainage!$B$5:$B$204&gt;$B367)*(B_Drainage!$E$5:$E$204&lt;&gt;"")),IF(B_Drainage!$E$5:$E$204="-","",1)),"")</f>
        <v/>
      </c>
      <c r="U367" s="181" t="str">
        <f>IFERROR(LOOKUP(2,1/((B_Drainage!$A$5:$A$204&lt;&gt;"")*(B_Drainage!$A$5:$A$204&lt;=$B367)*(B_Drainage!$B$5:$B$204&gt;$B367)*(B_Drainage!$E$5:$E$204&lt;&gt;"")),IF(B_Drainage!$E$5:$E$204="-","",B_Drainage!$E$5:$E$204)),"")</f>
        <v/>
      </c>
      <c r="V367" s="181" t="str">
        <f>IFERROR(LOOKUP(2,1/((B_Drainage!$A$5:$A$204&lt;&gt;"")*(B_Drainage!$A$5:$A$204&lt;=$B367)*(B_Drainage!$B$5:$B$204&gt;$B367)*(B_Drainage!$F$5:$F$204&lt;&gt;"")),IF(B_Drainage!$F$5:$F$204="-","",1)),"")</f>
        <v/>
      </c>
      <c r="W367" s="181" t="str">
        <f>IFERROR(LOOKUP(2,1/((B_Drainage!$A$5:$A$204&lt;&gt;"")*(B_Drainage!$A$5:$A$204&lt;=$B367)*(B_Drainage!$B$5:$B$204&gt;$B367)*(B_Drainage!$F$5:$F$204&lt;&gt;"")),IF(B_Drainage!$F$5:$F$204="-","",B_Drainage!$F$5:$F$204)),"")</f>
        <v/>
      </c>
      <c r="X367" s="181" t="str">
        <f>IFERROR(LOOKUP(2,1/((B_Drainage!$A$5:$A$204&lt;&gt;"")*(B_Drainage!$A$5:$A$204&lt;=$B367)*(B_Drainage!$B$5:$B$204&gt;$B367)*(B_Drainage!$G$5:$G$204&lt;&gt;"")),IF(UPPER(B_Drainage!$G$5:$G$204)="Y",1,"")),"")</f>
        <v/>
      </c>
      <c r="Y367" s="181" t="str">
        <f>IFERROR(LOOKUP(2,1/((B_Drainage!$A$5:$A$204&lt;&gt;"")*(B_Drainage!$A$5:$A$204&lt;=$B367)*(B_Drainage!$B$5:$B$204&gt;$B367)*(B_Drainage!$H$5:$H$204&lt;&gt;"")),IF(UPPER(B_Drainage!$H$5:$H$204)="Y",1,"")),"")</f>
        <v/>
      </c>
      <c r="Z367" s="181" t="str">
        <f>IFERROR(LOOKUP(2,1/((B_Drainage!$A$5:$A$204&lt;&gt;"")*(B_Drainage!$A$5:$A$204&lt;=$B367)*(B_Drainage!$B$5:$B$204&gt;$B367)*(B_Drainage!$I$5:$I$204&lt;&gt;"")),IF(UPPER(B_Drainage!$I$5:$I$204)="Y",1,"")),"")</f>
        <v/>
      </c>
      <c r="AA367" s="181" t="str">
        <f>IFERROR(LOOKUP(2,1/((B_Drainage!$A$5:$A$204&lt;&gt;"")*(B_Drainage!$A$5:$A$204&lt;=$B367)*(B_Drainage!$B$5:$B$204&gt;$B367)*(B_Drainage!$J$5:$J$204&lt;&gt;"")),IF(UPPER(B_Drainage!$J$5:$J$204)="Y",1,"")),"")</f>
        <v/>
      </c>
      <c r="AB367" s="182" t="str">
        <f>IFERROR(LOOKUP(2,1/((B_Drainage!$A$5:$A$204&lt;&gt;"")*(B_Drainage!$A$5:$A$204&lt;=$B367)*(B_Drainage!$B$5:$B$204&gt;$B367)*(B_Drainage!$K$5:$K$204&lt;&gt;"")),IF(B_Drainage!$K$5:$K$204="-","",B_Drainage!$K$5:$K$204)),"")</f>
        <v/>
      </c>
      <c r="AC367" s="182" t="str">
        <f>IFERROR(LOOKUP(2,1/((B_Drainage!$A$5:$A$204&lt;&gt;"")*(B_Drainage!$A$5:$A$204&lt;=$B367)*(B_Drainage!$B$5:$B$204&gt;$B367)*(B_Drainage!$L$5:$L$204&lt;&gt;"")),IF(B_Drainage!$L$5:$L$204="-","",B_Drainage!$L$5:$L$204)),"")</f>
        <v/>
      </c>
      <c r="AD367" s="182" t="str">
        <f>IFERROR(LOOKUP(2,1/((D_Points!$A$5:$A$204&lt;&gt;"")*(D_Points!$A$5:$A$204&gt;=$B367)*(D_Points!$A$5:$A$204&lt;$B367+P_Interval)*(UPPER(TRIM(D_Points!$B$5:$B$204))="TURNOUT_L")*(D_Points!$H$5:$H$204&lt;&gt;"")),D_Points!$H$5:$H$204),"")</f>
        <v/>
      </c>
      <c r="AE367" s="182" t="str">
        <f>IFERROR(LOOKUP(2,1/((D_Points!$A$5:$A$204&lt;&gt;"")*(D_Points!$A$5:$A$204&gt;=$B367)*(D_Points!$A$5:$A$204&lt;$B367+P_Interval)*(UPPER(TRIM(D_Points!$B$5:$B$204))="TURNOUT_R")*(D_Points!$H$5:$H$204&lt;&gt;"")),D_Points!$H$5:$H$204),"")</f>
        <v/>
      </c>
      <c r="AF367" s="181" t="str">
        <f>IFERROR(LOOKUP(2,1/((B_Drainage!$A$5:$A$204&lt;&gt;"")*(B_Drainage!$A$5:$A$204&lt;=$B367)*(B_Drainage!$B$5:$B$204&gt;$B367)*(B_Drainage!$M$5:$M$204&lt;&gt;"")),IF(UPPER(B_Drainage!$M$5:$M$204)="Y",1,"")),"")</f>
        <v/>
      </c>
      <c r="AG367" s="181" t="str">
        <f>IFERROR(LOOKUP(2,1/((B_Drainage!$A$5:$A$204&lt;&gt;"")*(B_Drainage!$A$5:$A$204&lt;=$B367)*(B_Drainage!$B$5:$B$204&gt;$B367)*(B_Drainage!$N$5:$N$204&lt;&gt;"")),IF(UPPER(B_Drainage!$N$5:$N$204)="Y",1,"")),"")</f>
        <v/>
      </c>
      <c r="AH367" s="181" t="str">
        <f t="shared" si="40"/>
        <v/>
      </c>
      <c r="AI367" s="181" t="str">
        <f t="shared" si="41"/>
        <v/>
      </c>
      <c r="AJ367" s="181" t="str">
        <f t="shared" si="42"/>
        <v/>
      </c>
      <c r="AK367" s="181" t="str">
        <f t="shared" si="43"/>
        <v/>
      </c>
      <c r="AL367" s="181" t="str">
        <f t="shared" si="44"/>
        <v/>
      </c>
      <c r="AM367" s="181" t="str">
        <f t="shared" si="45"/>
        <v/>
      </c>
      <c r="AN367" s="181" t="str">
        <f t="shared" si="46"/>
        <v/>
      </c>
      <c r="AO367" s="192" t="str">
        <f t="shared" si="47"/>
        <v/>
      </c>
      <c r="AQ367" t="str">
        <f>IFERROR(LOOKUP(2,1/((C_Pavement!$A$5:$A$204&lt;&gt;"")*(C_Pavement!$A$5:$A$204&lt;=$B367)*(C_Pavement!$B$5:$B$204&gt;$B367)*(C_Pavement!$C$5:$C$204&lt;&gt;"")),ROW(C_Pavement!$C$5:$C$204)-4),"")</f>
        <v/>
      </c>
      <c r="AR367" t="str">
        <f>IF($AQ367="","",UPPER(TRIM(INDEX(C_Pavement!$C$5:$C$204,$AQ367))))</f>
        <v/>
      </c>
      <c r="AS367" t="str">
        <f>IF($AR367="","",IFERROR(MATCH($AR367,E_Rules!$A$5:$A$9,0),""))</f>
        <v/>
      </c>
      <c r="AT367" t="str">
        <f>IF($AQ367="","",IF(INDEX(C_Pavement!$D$5:$D$204,$AQ367)&lt;&gt;"",UPPER(TRIM(INDEX(C_Pavement!$D$5:$D$204,$AQ367))),IF($AS367="","",INDEX(E_Rules!$C$5:$C$9,$AS367))))</f>
        <v/>
      </c>
      <c r="AU367" t="str">
        <f>IF($AQ367="","",IF(INDEX(C_Pavement!$E$5:$E$204,$AQ367)&lt;&gt;"",IF(INDEX(C_Pavement!$E$5:$E$204,$AQ367)="-","",INDEX(C_Pavement!$E$5:$E$204,$AQ367)),IF($AS367="","",INDEX(E_Rules!$D$5:$D$9,$AS367))))</f>
        <v/>
      </c>
      <c r="AV367" t="str">
        <f>IF($AQ367="","",IF(INDEX(C_Pavement!$F$5:$F$204,$AQ367)&lt;&gt;"",IF(INDEX(C_Pavement!$F$5:$F$204,$AQ367)="-","",INDEX(C_Pavement!$F$5:$F$204,$AQ367)),IF($AS367="","",INDEX(E_Rules!$E$5:$E$9,$AS367))))</f>
        <v/>
      </c>
      <c r="AW367" t="str">
        <f>IF($AQ367="","",IF(INDEX(C_Pavement!$G$5:$G$204,$AQ367)&lt;&gt;"",IF(INDEX(C_Pavement!$G$5:$G$204,$AQ367)="-","",INDEX(C_Pavement!$G$5:$G$204,$AQ367)),IF($AS367="","",INDEX(E_Rules!$F$5:$F$9,$AS367))))</f>
        <v/>
      </c>
      <c r="AX367" t="str">
        <f>IF($AQ367="","",IF(INDEX(C_Pavement!$H$5:$H$204,$AQ367)&lt;&gt;"",IF(INDEX(C_Pavement!$H$5:$H$204,$AQ367)="-","",INDEX(C_Pavement!$H$5:$H$204,$AQ367)),IF($AS367="","",INDEX(E_Rules!$G$5:$G$9,$AS367))))</f>
        <v/>
      </c>
      <c r="AY367" t="str">
        <f>IF($AQ367="","",IF(INDEX(C_Pavement!$I$5:$I$204,$AQ367)&lt;&gt;"",IF(INDEX(C_Pavement!$I$5:$I$204,$AQ367)="-","",INDEX(C_Pavement!$I$5:$I$204,$AQ367)),IF($AS367="","",INDEX(E_Rules!$H$5:$H$9,$AS367))))</f>
        <v/>
      </c>
    </row>
    <row r="368" spans="1:51" ht="15.75" customHeight="1" x14ac:dyDescent="0.3">
      <c r="A368" s="189">
        <v>363</v>
      </c>
      <c r="B368" s="180">
        <v>18100</v>
      </c>
      <c r="C368" s="180" t="s">
        <v>674</v>
      </c>
      <c r="D368" s="181" t="str">
        <f>IFERROR(LOOKUP(2,1/((A_Corridor!$A$5:$A$204&lt;&gt;"")*(A_Corridor!$A$5:$A$204&lt;=$B368)*(A_Corridor!$B$5:$B$204&gt;$B368)*(A_Corridor!$C$5:$C$204&lt;&gt;"")),IF(UPPER(A_Corridor!$C$5:$C$204)="Y",1,"")),"")</f>
        <v/>
      </c>
      <c r="E368" s="181" t="str">
        <f>IFERROR(LOOKUP(2,1/((A_Corridor!$A$5:$A$204&lt;&gt;"")*(A_Corridor!$A$5:$A$204&lt;=$B368)*(A_Corridor!$B$5:$B$204&gt;$B368)*(A_Corridor!$D$5:$D$204&lt;&gt;"")),IF(A_Corridor!$D$5:$D$204="-","",UPPER(A_Corridor!$D$5:$D$204))),"")</f>
        <v/>
      </c>
      <c r="F368" s="181" t="str">
        <f>IFERROR(LOOKUP(2,1/((A_Corridor!$A$5:$A$204&lt;&gt;"")*(A_Corridor!$A$5:$A$204&lt;=$B368)*(A_Corridor!$B$5:$B$204&gt;$B368)*(A_Corridor!$E$5:$E$204&lt;&gt;"")),IF(A_Corridor!$E$5:$E$204="-","",1)),"")</f>
        <v/>
      </c>
      <c r="G368" s="182" t="str">
        <f>IFERROR(LOOKUP(2,1/((A_Corridor!$A$5:$A$204&lt;&gt;"")*(A_Corridor!$A$5:$A$204&lt;=$B368)*(A_Corridor!$B$5:$B$204&gt;$B368)*(A_Corridor!$E$5:$E$204&lt;&gt;"")),IF(A_Corridor!$E$5:$E$204="-","",A_Corridor!$E$5:$E$204)),"")</f>
        <v/>
      </c>
      <c r="H368" s="182" t="str">
        <f>IFERROR(LOOKUP(2,1/((D_Points!$A$5:$A$204&lt;&gt;"")*(D_Points!$A$5:$A$204&gt;=$B368)*(D_Points!$A$5:$A$204&lt;$B368+P_Interval)*(UPPER(TRIM(D_Points!$B$5:$B$204))="GULLY")*(D_Points!$H$5:$H$204&lt;&gt;"")),D_Points!$H$5:$H$204),"")</f>
        <v/>
      </c>
      <c r="I368" s="181" t="str">
        <f>IFERROR(LOOKUP(2,1/((A_Corridor!$A$5:$A$204&lt;&gt;"")*(A_Corridor!$A$5:$A$204&lt;=$B368)*(A_Corridor!$B$5:$B$204&gt;$B368)*(A_Corridor!$F$5:$F$204&lt;&gt;"")),IF(A_Corridor!$F$5:$F$204="-","",1)),"")</f>
        <v/>
      </c>
      <c r="J368" s="182" t="str">
        <f>IFERROR(LOOKUP(2,1/((A_Corridor!$A$5:$A$204&lt;&gt;"")*(A_Corridor!$A$5:$A$204&lt;=$B368)*(A_Corridor!$B$5:$B$204&gt;$B368)*(A_Corridor!$F$5:$F$204&lt;&gt;"")),IF(A_Corridor!$F$5:$F$204="-","",A_Corridor!$F$5:$F$204)),"")</f>
        <v/>
      </c>
      <c r="K368" s="182" t="str">
        <f>IFERROR(LOOKUP(2,1/((A_Corridor!$A$5:$A$204&lt;&gt;"")*(A_Corridor!$A$5:$A$204&lt;=$B368)*(A_Corridor!$B$5:$B$204&gt;$B368)*(A_Corridor!$G$5:$G$204&lt;&gt;"")),IF(A_Corridor!$G$5:$G$204="-","",A_Corridor!$G$5:$G$204)),"")</f>
        <v/>
      </c>
      <c r="L368" s="181" t="str">
        <f>IFERROR(LOOKUP(2,1/((A_Corridor!$A$5:$A$204&lt;&gt;"")*(A_Corridor!$A$5:$A$204&lt;=$B368)*(A_Corridor!$B$5:$B$204&gt;$B368)*(A_Corridor!$H$5:$H$204&lt;&gt;"")),IF(A_Corridor!$H$5:$H$204="-","",1)),"")</f>
        <v/>
      </c>
      <c r="M368" s="182" t="str">
        <f>IFERROR(LOOKUP(2,1/((A_Corridor!$A$5:$A$204&lt;&gt;"")*(A_Corridor!$A$5:$A$204&lt;=$B368)*(A_Corridor!$B$5:$B$204&gt;$B368)*(A_Corridor!$H$5:$H$204&lt;&gt;"")),IF(A_Corridor!$H$5:$H$204="-","",A_Corridor!$H$5:$H$204)),"")</f>
        <v/>
      </c>
      <c r="N368" s="182" t="str">
        <f>IFERROR(LOOKUP(2,1/((A_Corridor!$A$5:$A$204&lt;&gt;"")*(A_Corridor!$A$5:$A$204&lt;=$B368)*(A_Corridor!$B$5:$B$204&gt;$B368)*(A_Corridor!$I$5:$I$204&lt;&gt;"")),IF(A_Corridor!$I$5:$I$204="-","",A_Corridor!$I$5:$I$204)),"")</f>
        <v/>
      </c>
      <c r="O368" s="182" t="str">
        <f>IFERROR(LOOKUP(2,1/((D_Points!$A$5:$A$204&lt;&gt;"")*(D_Points!$A$5:$A$204&gt;=$B368)*(D_Points!$A$5:$A$204&lt;$B368+P_Interval)*(UPPER(TRIM(D_Points!$B$5:$B$204))="PITCHING")*(D_Points!$H$5:$H$204&lt;&gt;"")),D_Points!$H$5:$H$204),"")</f>
        <v/>
      </c>
      <c r="P368" s="181" t="str">
        <f>IFERROR(LOOKUP(2,1/((B_Drainage!$A$5:$A$204&lt;&gt;"")*(B_Drainage!$A$5:$A$204&lt;=$B368)*(B_Drainage!$B$5:$B$204&gt;$B368)*(B_Drainage!$C$5:$C$204&lt;&gt;"")),IF(B_Drainage!$C$5:$C$204="-","",UPPER(B_Drainage!$C$5:$C$204))),"")</f>
        <v/>
      </c>
      <c r="Q368" s="181" t="str">
        <f>IFERROR(LOOKUP(2,1/((B_Drainage!$A$5:$A$204&lt;&gt;"")*(B_Drainage!$A$5:$A$204&lt;=$B368)*(B_Drainage!$B$5:$B$204&gt;$B368)*(B_Drainage!$D$5:$D$204&lt;&gt;"")),IF(B_Drainage!$D$5:$D$204="-","",UPPER(B_Drainage!$D$5:$D$204))),"")</f>
        <v/>
      </c>
      <c r="R368" s="182" t="str">
        <f>IFERROR(LOOKUP(2,1/((D_Points!$A$5:$A$204&lt;&gt;"")*(D_Points!$A$5:$A$204&gt;=$B368)*(D_Points!$A$5:$A$204&lt;$B368+P_Interval)*(RIGHT(UPPER(TRIM(D_Points!$B$5:$B$204)),8)="_CULVERT")),IF(LEFT(UPPER(TRIM(D_Points!$B$5:$B$204)),2)="EX",1,IF(LEFT(UPPER(TRIM(D_Points!$B$5:$B$204)),2)="PR",2,3))),"")</f>
        <v/>
      </c>
      <c r="S368" s="182" t="str">
        <f>IFERROR(LOOKUP(2,1/((D_Points!$A$5:$A$204&lt;&gt;"")*(D_Points!$A$5:$A$204&gt;=$B368)*(D_Points!$A$5:$A$204&lt;$B368+P_Interval)*(RIGHT(UPPER(TRIM(D_Points!$B$5:$B$204)),7)="_BRIDGE")),IF(LEFT(UPPER(TRIM(D_Points!$B$5:$B$204)),2)="EX",1,IF(LEFT(UPPER(TRIM(D_Points!$B$5:$B$204)),2)="PR",2,2))),"")</f>
        <v/>
      </c>
      <c r="T368" s="181" t="str">
        <f>IFERROR(LOOKUP(2,1/((B_Drainage!$A$5:$A$204&lt;&gt;"")*(B_Drainage!$A$5:$A$204&lt;=$B368)*(B_Drainage!$B$5:$B$204&gt;$B368)*(B_Drainage!$E$5:$E$204&lt;&gt;"")),IF(B_Drainage!$E$5:$E$204="-","",1)),"")</f>
        <v/>
      </c>
      <c r="U368" s="181" t="str">
        <f>IFERROR(LOOKUP(2,1/((B_Drainage!$A$5:$A$204&lt;&gt;"")*(B_Drainage!$A$5:$A$204&lt;=$B368)*(B_Drainage!$B$5:$B$204&gt;$B368)*(B_Drainage!$E$5:$E$204&lt;&gt;"")),IF(B_Drainage!$E$5:$E$204="-","",B_Drainage!$E$5:$E$204)),"")</f>
        <v/>
      </c>
      <c r="V368" s="181" t="str">
        <f>IFERROR(LOOKUP(2,1/((B_Drainage!$A$5:$A$204&lt;&gt;"")*(B_Drainage!$A$5:$A$204&lt;=$B368)*(B_Drainage!$B$5:$B$204&gt;$B368)*(B_Drainage!$F$5:$F$204&lt;&gt;"")),IF(B_Drainage!$F$5:$F$204="-","",1)),"")</f>
        <v/>
      </c>
      <c r="W368" s="181" t="str">
        <f>IFERROR(LOOKUP(2,1/((B_Drainage!$A$5:$A$204&lt;&gt;"")*(B_Drainage!$A$5:$A$204&lt;=$B368)*(B_Drainage!$B$5:$B$204&gt;$B368)*(B_Drainage!$F$5:$F$204&lt;&gt;"")),IF(B_Drainage!$F$5:$F$204="-","",B_Drainage!$F$5:$F$204)),"")</f>
        <v/>
      </c>
      <c r="X368" s="181" t="str">
        <f>IFERROR(LOOKUP(2,1/((B_Drainage!$A$5:$A$204&lt;&gt;"")*(B_Drainage!$A$5:$A$204&lt;=$B368)*(B_Drainage!$B$5:$B$204&gt;$B368)*(B_Drainage!$G$5:$G$204&lt;&gt;"")),IF(UPPER(B_Drainage!$G$5:$G$204)="Y",1,"")),"")</f>
        <v/>
      </c>
      <c r="Y368" s="181" t="str">
        <f>IFERROR(LOOKUP(2,1/((B_Drainage!$A$5:$A$204&lt;&gt;"")*(B_Drainage!$A$5:$A$204&lt;=$B368)*(B_Drainage!$B$5:$B$204&gt;$B368)*(B_Drainage!$H$5:$H$204&lt;&gt;"")),IF(UPPER(B_Drainage!$H$5:$H$204)="Y",1,"")),"")</f>
        <v/>
      </c>
      <c r="Z368" s="181" t="str">
        <f>IFERROR(LOOKUP(2,1/((B_Drainage!$A$5:$A$204&lt;&gt;"")*(B_Drainage!$A$5:$A$204&lt;=$B368)*(B_Drainage!$B$5:$B$204&gt;$B368)*(B_Drainage!$I$5:$I$204&lt;&gt;"")),IF(UPPER(B_Drainage!$I$5:$I$204)="Y",1,"")),"")</f>
        <v/>
      </c>
      <c r="AA368" s="181" t="str">
        <f>IFERROR(LOOKUP(2,1/((B_Drainage!$A$5:$A$204&lt;&gt;"")*(B_Drainage!$A$5:$A$204&lt;=$B368)*(B_Drainage!$B$5:$B$204&gt;$B368)*(B_Drainage!$J$5:$J$204&lt;&gt;"")),IF(UPPER(B_Drainage!$J$5:$J$204)="Y",1,"")),"")</f>
        <v/>
      </c>
      <c r="AB368" s="182" t="str">
        <f>IFERROR(LOOKUP(2,1/((B_Drainage!$A$5:$A$204&lt;&gt;"")*(B_Drainage!$A$5:$A$204&lt;=$B368)*(B_Drainage!$B$5:$B$204&gt;$B368)*(B_Drainage!$K$5:$K$204&lt;&gt;"")),IF(B_Drainage!$K$5:$K$204="-","",B_Drainage!$K$5:$K$204)),"")</f>
        <v/>
      </c>
      <c r="AC368" s="182" t="str">
        <f>IFERROR(LOOKUP(2,1/((B_Drainage!$A$5:$A$204&lt;&gt;"")*(B_Drainage!$A$5:$A$204&lt;=$B368)*(B_Drainage!$B$5:$B$204&gt;$B368)*(B_Drainage!$L$5:$L$204&lt;&gt;"")),IF(B_Drainage!$L$5:$L$204="-","",B_Drainage!$L$5:$L$204)),"")</f>
        <v/>
      </c>
      <c r="AD368" s="182" t="str">
        <f>IFERROR(LOOKUP(2,1/((D_Points!$A$5:$A$204&lt;&gt;"")*(D_Points!$A$5:$A$204&gt;=$B368)*(D_Points!$A$5:$A$204&lt;$B368+P_Interval)*(UPPER(TRIM(D_Points!$B$5:$B$204))="TURNOUT_L")*(D_Points!$H$5:$H$204&lt;&gt;"")),D_Points!$H$5:$H$204),"")</f>
        <v/>
      </c>
      <c r="AE368" s="182" t="str">
        <f>IFERROR(LOOKUP(2,1/((D_Points!$A$5:$A$204&lt;&gt;"")*(D_Points!$A$5:$A$204&gt;=$B368)*(D_Points!$A$5:$A$204&lt;$B368+P_Interval)*(UPPER(TRIM(D_Points!$B$5:$B$204))="TURNOUT_R")*(D_Points!$H$5:$H$204&lt;&gt;"")),D_Points!$H$5:$H$204),"")</f>
        <v/>
      </c>
      <c r="AF368" s="181" t="str">
        <f>IFERROR(LOOKUP(2,1/((B_Drainage!$A$5:$A$204&lt;&gt;"")*(B_Drainage!$A$5:$A$204&lt;=$B368)*(B_Drainage!$B$5:$B$204&gt;$B368)*(B_Drainage!$M$5:$M$204&lt;&gt;"")),IF(UPPER(B_Drainage!$M$5:$M$204)="Y",1,"")),"")</f>
        <v/>
      </c>
      <c r="AG368" s="181" t="str">
        <f>IFERROR(LOOKUP(2,1/((B_Drainage!$A$5:$A$204&lt;&gt;"")*(B_Drainage!$A$5:$A$204&lt;=$B368)*(B_Drainage!$B$5:$B$204&gt;$B368)*(B_Drainage!$N$5:$N$204&lt;&gt;"")),IF(UPPER(B_Drainage!$N$5:$N$204)="Y",1,"")),"")</f>
        <v/>
      </c>
      <c r="AH368" s="181" t="str">
        <f t="shared" si="40"/>
        <v/>
      </c>
      <c r="AI368" s="181" t="str">
        <f t="shared" si="41"/>
        <v/>
      </c>
      <c r="AJ368" s="181" t="str">
        <f t="shared" si="42"/>
        <v/>
      </c>
      <c r="AK368" s="181" t="str">
        <f t="shared" si="43"/>
        <v/>
      </c>
      <c r="AL368" s="181" t="str">
        <f t="shared" si="44"/>
        <v/>
      </c>
      <c r="AM368" s="181" t="str">
        <f t="shared" si="45"/>
        <v/>
      </c>
      <c r="AN368" s="181" t="str">
        <f t="shared" si="46"/>
        <v/>
      </c>
      <c r="AO368" s="192" t="str">
        <f t="shared" si="47"/>
        <v/>
      </c>
      <c r="AQ368" t="str">
        <f>IFERROR(LOOKUP(2,1/((C_Pavement!$A$5:$A$204&lt;&gt;"")*(C_Pavement!$A$5:$A$204&lt;=$B368)*(C_Pavement!$B$5:$B$204&gt;$B368)*(C_Pavement!$C$5:$C$204&lt;&gt;"")),ROW(C_Pavement!$C$5:$C$204)-4),"")</f>
        <v/>
      </c>
      <c r="AR368" t="str">
        <f>IF($AQ368="","",UPPER(TRIM(INDEX(C_Pavement!$C$5:$C$204,$AQ368))))</f>
        <v/>
      </c>
      <c r="AS368" t="str">
        <f>IF($AR368="","",IFERROR(MATCH($AR368,E_Rules!$A$5:$A$9,0),""))</f>
        <v/>
      </c>
      <c r="AT368" t="str">
        <f>IF($AQ368="","",IF(INDEX(C_Pavement!$D$5:$D$204,$AQ368)&lt;&gt;"",UPPER(TRIM(INDEX(C_Pavement!$D$5:$D$204,$AQ368))),IF($AS368="","",INDEX(E_Rules!$C$5:$C$9,$AS368))))</f>
        <v/>
      </c>
      <c r="AU368" t="str">
        <f>IF($AQ368="","",IF(INDEX(C_Pavement!$E$5:$E$204,$AQ368)&lt;&gt;"",IF(INDEX(C_Pavement!$E$5:$E$204,$AQ368)="-","",INDEX(C_Pavement!$E$5:$E$204,$AQ368)),IF($AS368="","",INDEX(E_Rules!$D$5:$D$9,$AS368))))</f>
        <v/>
      </c>
      <c r="AV368" t="str">
        <f>IF($AQ368="","",IF(INDEX(C_Pavement!$F$5:$F$204,$AQ368)&lt;&gt;"",IF(INDEX(C_Pavement!$F$5:$F$204,$AQ368)="-","",INDEX(C_Pavement!$F$5:$F$204,$AQ368)),IF($AS368="","",INDEX(E_Rules!$E$5:$E$9,$AS368))))</f>
        <v/>
      </c>
      <c r="AW368" t="str">
        <f>IF($AQ368="","",IF(INDEX(C_Pavement!$G$5:$G$204,$AQ368)&lt;&gt;"",IF(INDEX(C_Pavement!$G$5:$G$204,$AQ368)="-","",INDEX(C_Pavement!$G$5:$G$204,$AQ368)),IF($AS368="","",INDEX(E_Rules!$F$5:$F$9,$AS368))))</f>
        <v/>
      </c>
      <c r="AX368" t="str">
        <f>IF($AQ368="","",IF(INDEX(C_Pavement!$H$5:$H$204,$AQ368)&lt;&gt;"",IF(INDEX(C_Pavement!$H$5:$H$204,$AQ368)="-","",INDEX(C_Pavement!$H$5:$H$204,$AQ368)),IF($AS368="","",INDEX(E_Rules!$G$5:$G$9,$AS368))))</f>
        <v/>
      </c>
      <c r="AY368" t="str">
        <f>IF($AQ368="","",IF(INDEX(C_Pavement!$I$5:$I$204,$AQ368)&lt;&gt;"",IF(INDEX(C_Pavement!$I$5:$I$204,$AQ368)="-","",INDEX(C_Pavement!$I$5:$I$204,$AQ368)),IF($AS368="","",INDEX(E_Rules!$H$5:$H$9,$AS368))))</f>
        <v/>
      </c>
    </row>
    <row r="369" spans="1:51" ht="15.75" customHeight="1" x14ac:dyDescent="0.3">
      <c r="A369" s="189">
        <v>364</v>
      </c>
      <c r="B369" s="180">
        <v>18150</v>
      </c>
      <c r="C369" s="180" t="s">
        <v>675</v>
      </c>
      <c r="D369" s="181" t="str">
        <f>IFERROR(LOOKUP(2,1/((A_Corridor!$A$5:$A$204&lt;&gt;"")*(A_Corridor!$A$5:$A$204&lt;=$B369)*(A_Corridor!$B$5:$B$204&gt;$B369)*(A_Corridor!$C$5:$C$204&lt;&gt;"")),IF(UPPER(A_Corridor!$C$5:$C$204)="Y",1,"")),"")</f>
        <v/>
      </c>
      <c r="E369" s="181" t="str">
        <f>IFERROR(LOOKUP(2,1/((A_Corridor!$A$5:$A$204&lt;&gt;"")*(A_Corridor!$A$5:$A$204&lt;=$B369)*(A_Corridor!$B$5:$B$204&gt;$B369)*(A_Corridor!$D$5:$D$204&lt;&gt;"")),IF(A_Corridor!$D$5:$D$204="-","",UPPER(A_Corridor!$D$5:$D$204))),"")</f>
        <v/>
      </c>
      <c r="F369" s="181" t="str">
        <f>IFERROR(LOOKUP(2,1/((A_Corridor!$A$5:$A$204&lt;&gt;"")*(A_Corridor!$A$5:$A$204&lt;=$B369)*(A_Corridor!$B$5:$B$204&gt;$B369)*(A_Corridor!$E$5:$E$204&lt;&gt;"")),IF(A_Corridor!$E$5:$E$204="-","",1)),"")</f>
        <v/>
      </c>
      <c r="G369" s="182" t="str">
        <f>IFERROR(LOOKUP(2,1/((A_Corridor!$A$5:$A$204&lt;&gt;"")*(A_Corridor!$A$5:$A$204&lt;=$B369)*(A_Corridor!$B$5:$B$204&gt;$B369)*(A_Corridor!$E$5:$E$204&lt;&gt;"")),IF(A_Corridor!$E$5:$E$204="-","",A_Corridor!$E$5:$E$204)),"")</f>
        <v/>
      </c>
      <c r="H369" s="182" t="str">
        <f>IFERROR(LOOKUP(2,1/((D_Points!$A$5:$A$204&lt;&gt;"")*(D_Points!$A$5:$A$204&gt;=$B369)*(D_Points!$A$5:$A$204&lt;$B369+P_Interval)*(UPPER(TRIM(D_Points!$B$5:$B$204))="GULLY")*(D_Points!$H$5:$H$204&lt;&gt;"")),D_Points!$H$5:$H$204),"")</f>
        <v/>
      </c>
      <c r="I369" s="181" t="str">
        <f>IFERROR(LOOKUP(2,1/((A_Corridor!$A$5:$A$204&lt;&gt;"")*(A_Corridor!$A$5:$A$204&lt;=$B369)*(A_Corridor!$B$5:$B$204&gt;$B369)*(A_Corridor!$F$5:$F$204&lt;&gt;"")),IF(A_Corridor!$F$5:$F$204="-","",1)),"")</f>
        <v/>
      </c>
      <c r="J369" s="182" t="str">
        <f>IFERROR(LOOKUP(2,1/((A_Corridor!$A$5:$A$204&lt;&gt;"")*(A_Corridor!$A$5:$A$204&lt;=$B369)*(A_Corridor!$B$5:$B$204&gt;$B369)*(A_Corridor!$F$5:$F$204&lt;&gt;"")),IF(A_Corridor!$F$5:$F$204="-","",A_Corridor!$F$5:$F$204)),"")</f>
        <v/>
      </c>
      <c r="K369" s="182" t="str">
        <f>IFERROR(LOOKUP(2,1/((A_Corridor!$A$5:$A$204&lt;&gt;"")*(A_Corridor!$A$5:$A$204&lt;=$B369)*(A_Corridor!$B$5:$B$204&gt;$B369)*(A_Corridor!$G$5:$G$204&lt;&gt;"")),IF(A_Corridor!$G$5:$G$204="-","",A_Corridor!$G$5:$G$204)),"")</f>
        <v/>
      </c>
      <c r="L369" s="181" t="str">
        <f>IFERROR(LOOKUP(2,1/((A_Corridor!$A$5:$A$204&lt;&gt;"")*(A_Corridor!$A$5:$A$204&lt;=$B369)*(A_Corridor!$B$5:$B$204&gt;$B369)*(A_Corridor!$H$5:$H$204&lt;&gt;"")),IF(A_Corridor!$H$5:$H$204="-","",1)),"")</f>
        <v/>
      </c>
      <c r="M369" s="182" t="str">
        <f>IFERROR(LOOKUP(2,1/((A_Corridor!$A$5:$A$204&lt;&gt;"")*(A_Corridor!$A$5:$A$204&lt;=$B369)*(A_Corridor!$B$5:$B$204&gt;$B369)*(A_Corridor!$H$5:$H$204&lt;&gt;"")),IF(A_Corridor!$H$5:$H$204="-","",A_Corridor!$H$5:$H$204)),"")</f>
        <v/>
      </c>
      <c r="N369" s="182" t="str">
        <f>IFERROR(LOOKUP(2,1/((A_Corridor!$A$5:$A$204&lt;&gt;"")*(A_Corridor!$A$5:$A$204&lt;=$B369)*(A_Corridor!$B$5:$B$204&gt;$B369)*(A_Corridor!$I$5:$I$204&lt;&gt;"")),IF(A_Corridor!$I$5:$I$204="-","",A_Corridor!$I$5:$I$204)),"")</f>
        <v/>
      </c>
      <c r="O369" s="182" t="str">
        <f>IFERROR(LOOKUP(2,1/((D_Points!$A$5:$A$204&lt;&gt;"")*(D_Points!$A$5:$A$204&gt;=$B369)*(D_Points!$A$5:$A$204&lt;$B369+P_Interval)*(UPPER(TRIM(D_Points!$B$5:$B$204))="PITCHING")*(D_Points!$H$5:$H$204&lt;&gt;"")),D_Points!$H$5:$H$204),"")</f>
        <v/>
      </c>
      <c r="P369" s="181" t="str">
        <f>IFERROR(LOOKUP(2,1/((B_Drainage!$A$5:$A$204&lt;&gt;"")*(B_Drainage!$A$5:$A$204&lt;=$B369)*(B_Drainage!$B$5:$B$204&gt;$B369)*(B_Drainage!$C$5:$C$204&lt;&gt;"")),IF(B_Drainage!$C$5:$C$204="-","",UPPER(B_Drainage!$C$5:$C$204))),"")</f>
        <v/>
      </c>
      <c r="Q369" s="181" t="str">
        <f>IFERROR(LOOKUP(2,1/((B_Drainage!$A$5:$A$204&lt;&gt;"")*(B_Drainage!$A$5:$A$204&lt;=$B369)*(B_Drainage!$B$5:$B$204&gt;$B369)*(B_Drainage!$D$5:$D$204&lt;&gt;"")),IF(B_Drainage!$D$5:$D$204="-","",UPPER(B_Drainage!$D$5:$D$204))),"")</f>
        <v/>
      </c>
      <c r="R369" s="182" t="str">
        <f>IFERROR(LOOKUP(2,1/((D_Points!$A$5:$A$204&lt;&gt;"")*(D_Points!$A$5:$A$204&gt;=$B369)*(D_Points!$A$5:$A$204&lt;$B369+P_Interval)*(RIGHT(UPPER(TRIM(D_Points!$B$5:$B$204)),8)="_CULVERT")),IF(LEFT(UPPER(TRIM(D_Points!$B$5:$B$204)),2)="EX",1,IF(LEFT(UPPER(TRIM(D_Points!$B$5:$B$204)),2)="PR",2,3))),"")</f>
        <v/>
      </c>
      <c r="S369" s="182" t="str">
        <f>IFERROR(LOOKUP(2,1/((D_Points!$A$5:$A$204&lt;&gt;"")*(D_Points!$A$5:$A$204&gt;=$B369)*(D_Points!$A$5:$A$204&lt;$B369+P_Interval)*(RIGHT(UPPER(TRIM(D_Points!$B$5:$B$204)),7)="_BRIDGE")),IF(LEFT(UPPER(TRIM(D_Points!$B$5:$B$204)),2)="EX",1,IF(LEFT(UPPER(TRIM(D_Points!$B$5:$B$204)),2)="PR",2,2))),"")</f>
        <v/>
      </c>
      <c r="T369" s="181" t="str">
        <f>IFERROR(LOOKUP(2,1/((B_Drainage!$A$5:$A$204&lt;&gt;"")*(B_Drainage!$A$5:$A$204&lt;=$B369)*(B_Drainage!$B$5:$B$204&gt;$B369)*(B_Drainage!$E$5:$E$204&lt;&gt;"")),IF(B_Drainage!$E$5:$E$204="-","",1)),"")</f>
        <v/>
      </c>
      <c r="U369" s="181" t="str">
        <f>IFERROR(LOOKUP(2,1/((B_Drainage!$A$5:$A$204&lt;&gt;"")*(B_Drainage!$A$5:$A$204&lt;=$B369)*(B_Drainage!$B$5:$B$204&gt;$B369)*(B_Drainage!$E$5:$E$204&lt;&gt;"")),IF(B_Drainage!$E$5:$E$204="-","",B_Drainage!$E$5:$E$204)),"")</f>
        <v/>
      </c>
      <c r="V369" s="181" t="str">
        <f>IFERROR(LOOKUP(2,1/((B_Drainage!$A$5:$A$204&lt;&gt;"")*(B_Drainage!$A$5:$A$204&lt;=$B369)*(B_Drainage!$B$5:$B$204&gt;$B369)*(B_Drainage!$F$5:$F$204&lt;&gt;"")),IF(B_Drainage!$F$5:$F$204="-","",1)),"")</f>
        <v/>
      </c>
      <c r="W369" s="181" t="str">
        <f>IFERROR(LOOKUP(2,1/((B_Drainage!$A$5:$A$204&lt;&gt;"")*(B_Drainage!$A$5:$A$204&lt;=$B369)*(B_Drainage!$B$5:$B$204&gt;$B369)*(B_Drainage!$F$5:$F$204&lt;&gt;"")),IF(B_Drainage!$F$5:$F$204="-","",B_Drainage!$F$5:$F$204)),"")</f>
        <v/>
      </c>
      <c r="X369" s="181" t="str">
        <f>IFERROR(LOOKUP(2,1/((B_Drainage!$A$5:$A$204&lt;&gt;"")*(B_Drainage!$A$5:$A$204&lt;=$B369)*(B_Drainage!$B$5:$B$204&gt;$B369)*(B_Drainage!$G$5:$G$204&lt;&gt;"")),IF(UPPER(B_Drainage!$G$5:$G$204)="Y",1,"")),"")</f>
        <v/>
      </c>
      <c r="Y369" s="181" t="str">
        <f>IFERROR(LOOKUP(2,1/((B_Drainage!$A$5:$A$204&lt;&gt;"")*(B_Drainage!$A$5:$A$204&lt;=$B369)*(B_Drainage!$B$5:$B$204&gt;$B369)*(B_Drainage!$H$5:$H$204&lt;&gt;"")),IF(UPPER(B_Drainage!$H$5:$H$204)="Y",1,"")),"")</f>
        <v/>
      </c>
      <c r="Z369" s="181" t="str">
        <f>IFERROR(LOOKUP(2,1/((B_Drainage!$A$5:$A$204&lt;&gt;"")*(B_Drainage!$A$5:$A$204&lt;=$B369)*(B_Drainage!$B$5:$B$204&gt;$B369)*(B_Drainage!$I$5:$I$204&lt;&gt;"")),IF(UPPER(B_Drainage!$I$5:$I$204)="Y",1,"")),"")</f>
        <v/>
      </c>
      <c r="AA369" s="181" t="str">
        <f>IFERROR(LOOKUP(2,1/((B_Drainage!$A$5:$A$204&lt;&gt;"")*(B_Drainage!$A$5:$A$204&lt;=$B369)*(B_Drainage!$B$5:$B$204&gt;$B369)*(B_Drainage!$J$5:$J$204&lt;&gt;"")),IF(UPPER(B_Drainage!$J$5:$J$204)="Y",1,"")),"")</f>
        <v/>
      </c>
      <c r="AB369" s="182" t="str">
        <f>IFERROR(LOOKUP(2,1/((B_Drainage!$A$5:$A$204&lt;&gt;"")*(B_Drainage!$A$5:$A$204&lt;=$B369)*(B_Drainage!$B$5:$B$204&gt;$B369)*(B_Drainage!$K$5:$K$204&lt;&gt;"")),IF(B_Drainage!$K$5:$K$204="-","",B_Drainage!$K$5:$K$204)),"")</f>
        <v/>
      </c>
      <c r="AC369" s="182" t="str">
        <f>IFERROR(LOOKUP(2,1/((B_Drainage!$A$5:$A$204&lt;&gt;"")*(B_Drainage!$A$5:$A$204&lt;=$B369)*(B_Drainage!$B$5:$B$204&gt;$B369)*(B_Drainage!$L$5:$L$204&lt;&gt;"")),IF(B_Drainage!$L$5:$L$204="-","",B_Drainage!$L$5:$L$204)),"")</f>
        <v/>
      </c>
      <c r="AD369" s="182" t="str">
        <f>IFERROR(LOOKUP(2,1/((D_Points!$A$5:$A$204&lt;&gt;"")*(D_Points!$A$5:$A$204&gt;=$B369)*(D_Points!$A$5:$A$204&lt;$B369+P_Interval)*(UPPER(TRIM(D_Points!$B$5:$B$204))="TURNOUT_L")*(D_Points!$H$5:$H$204&lt;&gt;"")),D_Points!$H$5:$H$204),"")</f>
        <v/>
      </c>
      <c r="AE369" s="182" t="str">
        <f>IFERROR(LOOKUP(2,1/((D_Points!$A$5:$A$204&lt;&gt;"")*(D_Points!$A$5:$A$204&gt;=$B369)*(D_Points!$A$5:$A$204&lt;$B369+P_Interval)*(UPPER(TRIM(D_Points!$B$5:$B$204))="TURNOUT_R")*(D_Points!$H$5:$H$204&lt;&gt;"")),D_Points!$H$5:$H$204),"")</f>
        <v/>
      </c>
      <c r="AF369" s="181" t="str">
        <f>IFERROR(LOOKUP(2,1/((B_Drainage!$A$5:$A$204&lt;&gt;"")*(B_Drainage!$A$5:$A$204&lt;=$B369)*(B_Drainage!$B$5:$B$204&gt;$B369)*(B_Drainage!$M$5:$M$204&lt;&gt;"")),IF(UPPER(B_Drainage!$M$5:$M$204)="Y",1,"")),"")</f>
        <v/>
      </c>
      <c r="AG369" s="181" t="str">
        <f>IFERROR(LOOKUP(2,1/((B_Drainage!$A$5:$A$204&lt;&gt;"")*(B_Drainage!$A$5:$A$204&lt;=$B369)*(B_Drainage!$B$5:$B$204&gt;$B369)*(B_Drainage!$N$5:$N$204&lt;&gt;"")),IF(UPPER(B_Drainage!$N$5:$N$204)="Y",1,"")),"")</f>
        <v/>
      </c>
      <c r="AH369" s="181" t="str">
        <f t="shared" si="40"/>
        <v/>
      </c>
      <c r="AI369" s="181" t="str">
        <f t="shared" si="41"/>
        <v/>
      </c>
      <c r="AJ369" s="181" t="str">
        <f t="shared" si="42"/>
        <v/>
      </c>
      <c r="AK369" s="181" t="str">
        <f t="shared" si="43"/>
        <v/>
      </c>
      <c r="AL369" s="181" t="str">
        <f t="shared" si="44"/>
        <v/>
      </c>
      <c r="AM369" s="181" t="str">
        <f t="shared" si="45"/>
        <v/>
      </c>
      <c r="AN369" s="181" t="str">
        <f t="shared" si="46"/>
        <v/>
      </c>
      <c r="AO369" s="192" t="str">
        <f t="shared" si="47"/>
        <v/>
      </c>
      <c r="AQ369" t="str">
        <f>IFERROR(LOOKUP(2,1/((C_Pavement!$A$5:$A$204&lt;&gt;"")*(C_Pavement!$A$5:$A$204&lt;=$B369)*(C_Pavement!$B$5:$B$204&gt;$B369)*(C_Pavement!$C$5:$C$204&lt;&gt;"")),ROW(C_Pavement!$C$5:$C$204)-4),"")</f>
        <v/>
      </c>
      <c r="AR369" t="str">
        <f>IF($AQ369="","",UPPER(TRIM(INDEX(C_Pavement!$C$5:$C$204,$AQ369))))</f>
        <v/>
      </c>
      <c r="AS369" t="str">
        <f>IF($AR369="","",IFERROR(MATCH($AR369,E_Rules!$A$5:$A$9,0),""))</f>
        <v/>
      </c>
      <c r="AT369" t="str">
        <f>IF($AQ369="","",IF(INDEX(C_Pavement!$D$5:$D$204,$AQ369)&lt;&gt;"",UPPER(TRIM(INDEX(C_Pavement!$D$5:$D$204,$AQ369))),IF($AS369="","",INDEX(E_Rules!$C$5:$C$9,$AS369))))</f>
        <v/>
      </c>
      <c r="AU369" t="str">
        <f>IF($AQ369="","",IF(INDEX(C_Pavement!$E$5:$E$204,$AQ369)&lt;&gt;"",IF(INDEX(C_Pavement!$E$5:$E$204,$AQ369)="-","",INDEX(C_Pavement!$E$5:$E$204,$AQ369)),IF($AS369="","",INDEX(E_Rules!$D$5:$D$9,$AS369))))</f>
        <v/>
      </c>
      <c r="AV369" t="str">
        <f>IF($AQ369="","",IF(INDEX(C_Pavement!$F$5:$F$204,$AQ369)&lt;&gt;"",IF(INDEX(C_Pavement!$F$5:$F$204,$AQ369)="-","",INDEX(C_Pavement!$F$5:$F$204,$AQ369)),IF($AS369="","",INDEX(E_Rules!$E$5:$E$9,$AS369))))</f>
        <v/>
      </c>
      <c r="AW369" t="str">
        <f>IF($AQ369="","",IF(INDEX(C_Pavement!$G$5:$G$204,$AQ369)&lt;&gt;"",IF(INDEX(C_Pavement!$G$5:$G$204,$AQ369)="-","",INDEX(C_Pavement!$G$5:$G$204,$AQ369)),IF($AS369="","",INDEX(E_Rules!$F$5:$F$9,$AS369))))</f>
        <v/>
      </c>
      <c r="AX369" t="str">
        <f>IF($AQ369="","",IF(INDEX(C_Pavement!$H$5:$H$204,$AQ369)&lt;&gt;"",IF(INDEX(C_Pavement!$H$5:$H$204,$AQ369)="-","",INDEX(C_Pavement!$H$5:$H$204,$AQ369)),IF($AS369="","",INDEX(E_Rules!$G$5:$G$9,$AS369))))</f>
        <v/>
      </c>
      <c r="AY369" t="str">
        <f>IF($AQ369="","",IF(INDEX(C_Pavement!$I$5:$I$204,$AQ369)&lt;&gt;"",IF(INDEX(C_Pavement!$I$5:$I$204,$AQ369)="-","",INDEX(C_Pavement!$I$5:$I$204,$AQ369)),IF($AS369="","",INDEX(E_Rules!$H$5:$H$9,$AS369))))</f>
        <v/>
      </c>
    </row>
    <row r="370" spans="1:51" ht="15.75" customHeight="1" x14ac:dyDescent="0.3">
      <c r="A370" s="189">
        <v>365</v>
      </c>
      <c r="B370" s="180">
        <v>18200</v>
      </c>
      <c r="C370" s="180" t="s">
        <v>676</v>
      </c>
      <c r="D370" s="181" t="str">
        <f>IFERROR(LOOKUP(2,1/((A_Corridor!$A$5:$A$204&lt;&gt;"")*(A_Corridor!$A$5:$A$204&lt;=$B370)*(A_Corridor!$B$5:$B$204&gt;$B370)*(A_Corridor!$C$5:$C$204&lt;&gt;"")),IF(UPPER(A_Corridor!$C$5:$C$204)="Y",1,"")),"")</f>
        <v/>
      </c>
      <c r="E370" s="181" t="str">
        <f>IFERROR(LOOKUP(2,1/((A_Corridor!$A$5:$A$204&lt;&gt;"")*(A_Corridor!$A$5:$A$204&lt;=$B370)*(A_Corridor!$B$5:$B$204&gt;$B370)*(A_Corridor!$D$5:$D$204&lt;&gt;"")),IF(A_Corridor!$D$5:$D$204="-","",UPPER(A_Corridor!$D$5:$D$204))),"")</f>
        <v/>
      </c>
      <c r="F370" s="181" t="str">
        <f>IFERROR(LOOKUP(2,1/((A_Corridor!$A$5:$A$204&lt;&gt;"")*(A_Corridor!$A$5:$A$204&lt;=$B370)*(A_Corridor!$B$5:$B$204&gt;$B370)*(A_Corridor!$E$5:$E$204&lt;&gt;"")),IF(A_Corridor!$E$5:$E$204="-","",1)),"")</f>
        <v/>
      </c>
      <c r="G370" s="182" t="str">
        <f>IFERROR(LOOKUP(2,1/((A_Corridor!$A$5:$A$204&lt;&gt;"")*(A_Corridor!$A$5:$A$204&lt;=$B370)*(A_Corridor!$B$5:$B$204&gt;$B370)*(A_Corridor!$E$5:$E$204&lt;&gt;"")),IF(A_Corridor!$E$5:$E$204="-","",A_Corridor!$E$5:$E$204)),"")</f>
        <v/>
      </c>
      <c r="H370" s="182" t="str">
        <f>IFERROR(LOOKUP(2,1/((D_Points!$A$5:$A$204&lt;&gt;"")*(D_Points!$A$5:$A$204&gt;=$B370)*(D_Points!$A$5:$A$204&lt;$B370+P_Interval)*(UPPER(TRIM(D_Points!$B$5:$B$204))="GULLY")*(D_Points!$H$5:$H$204&lt;&gt;"")),D_Points!$H$5:$H$204),"")</f>
        <v/>
      </c>
      <c r="I370" s="181" t="str">
        <f>IFERROR(LOOKUP(2,1/((A_Corridor!$A$5:$A$204&lt;&gt;"")*(A_Corridor!$A$5:$A$204&lt;=$B370)*(A_Corridor!$B$5:$B$204&gt;$B370)*(A_Corridor!$F$5:$F$204&lt;&gt;"")),IF(A_Corridor!$F$5:$F$204="-","",1)),"")</f>
        <v/>
      </c>
      <c r="J370" s="182" t="str">
        <f>IFERROR(LOOKUP(2,1/((A_Corridor!$A$5:$A$204&lt;&gt;"")*(A_Corridor!$A$5:$A$204&lt;=$B370)*(A_Corridor!$B$5:$B$204&gt;$B370)*(A_Corridor!$F$5:$F$204&lt;&gt;"")),IF(A_Corridor!$F$5:$F$204="-","",A_Corridor!$F$5:$F$204)),"")</f>
        <v/>
      </c>
      <c r="K370" s="182" t="str">
        <f>IFERROR(LOOKUP(2,1/((A_Corridor!$A$5:$A$204&lt;&gt;"")*(A_Corridor!$A$5:$A$204&lt;=$B370)*(A_Corridor!$B$5:$B$204&gt;$B370)*(A_Corridor!$G$5:$G$204&lt;&gt;"")),IF(A_Corridor!$G$5:$G$204="-","",A_Corridor!$G$5:$G$204)),"")</f>
        <v/>
      </c>
      <c r="L370" s="181" t="str">
        <f>IFERROR(LOOKUP(2,1/((A_Corridor!$A$5:$A$204&lt;&gt;"")*(A_Corridor!$A$5:$A$204&lt;=$B370)*(A_Corridor!$B$5:$B$204&gt;$B370)*(A_Corridor!$H$5:$H$204&lt;&gt;"")),IF(A_Corridor!$H$5:$H$204="-","",1)),"")</f>
        <v/>
      </c>
      <c r="M370" s="182" t="str">
        <f>IFERROR(LOOKUP(2,1/((A_Corridor!$A$5:$A$204&lt;&gt;"")*(A_Corridor!$A$5:$A$204&lt;=$B370)*(A_Corridor!$B$5:$B$204&gt;$B370)*(A_Corridor!$H$5:$H$204&lt;&gt;"")),IF(A_Corridor!$H$5:$H$204="-","",A_Corridor!$H$5:$H$204)),"")</f>
        <v/>
      </c>
      <c r="N370" s="182" t="str">
        <f>IFERROR(LOOKUP(2,1/((A_Corridor!$A$5:$A$204&lt;&gt;"")*(A_Corridor!$A$5:$A$204&lt;=$B370)*(A_Corridor!$B$5:$B$204&gt;$B370)*(A_Corridor!$I$5:$I$204&lt;&gt;"")),IF(A_Corridor!$I$5:$I$204="-","",A_Corridor!$I$5:$I$204)),"")</f>
        <v/>
      </c>
      <c r="O370" s="182" t="str">
        <f>IFERROR(LOOKUP(2,1/((D_Points!$A$5:$A$204&lt;&gt;"")*(D_Points!$A$5:$A$204&gt;=$B370)*(D_Points!$A$5:$A$204&lt;$B370+P_Interval)*(UPPER(TRIM(D_Points!$B$5:$B$204))="PITCHING")*(D_Points!$H$5:$H$204&lt;&gt;"")),D_Points!$H$5:$H$204),"")</f>
        <v/>
      </c>
      <c r="P370" s="181" t="str">
        <f>IFERROR(LOOKUP(2,1/((B_Drainage!$A$5:$A$204&lt;&gt;"")*(B_Drainage!$A$5:$A$204&lt;=$B370)*(B_Drainage!$B$5:$B$204&gt;$B370)*(B_Drainage!$C$5:$C$204&lt;&gt;"")),IF(B_Drainage!$C$5:$C$204="-","",UPPER(B_Drainage!$C$5:$C$204))),"")</f>
        <v/>
      </c>
      <c r="Q370" s="181" t="str">
        <f>IFERROR(LOOKUP(2,1/((B_Drainage!$A$5:$A$204&lt;&gt;"")*(B_Drainage!$A$5:$A$204&lt;=$B370)*(B_Drainage!$B$5:$B$204&gt;$B370)*(B_Drainage!$D$5:$D$204&lt;&gt;"")),IF(B_Drainage!$D$5:$D$204="-","",UPPER(B_Drainage!$D$5:$D$204))),"")</f>
        <v/>
      </c>
      <c r="R370" s="182" t="str">
        <f>IFERROR(LOOKUP(2,1/((D_Points!$A$5:$A$204&lt;&gt;"")*(D_Points!$A$5:$A$204&gt;=$B370)*(D_Points!$A$5:$A$204&lt;$B370+P_Interval)*(RIGHT(UPPER(TRIM(D_Points!$B$5:$B$204)),8)="_CULVERT")),IF(LEFT(UPPER(TRIM(D_Points!$B$5:$B$204)),2)="EX",1,IF(LEFT(UPPER(TRIM(D_Points!$B$5:$B$204)),2)="PR",2,3))),"")</f>
        <v/>
      </c>
      <c r="S370" s="182" t="str">
        <f>IFERROR(LOOKUP(2,1/((D_Points!$A$5:$A$204&lt;&gt;"")*(D_Points!$A$5:$A$204&gt;=$B370)*(D_Points!$A$5:$A$204&lt;$B370+P_Interval)*(RIGHT(UPPER(TRIM(D_Points!$B$5:$B$204)),7)="_BRIDGE")),IF(LEFT(UPPER(TRIM(D_Points!$B$5:$B$204)),2)="EX",1,IF(LEFT(UPPER(TRIM(D_Points!$B$5:$B$204)),2)="PR",2,2))),"")</f>
        <v/>
      </c>
      <c r="T370" s="181" t="str">
        <f>IFERROR(LOOKUP(2,1/((B_Drainage!$A$5:$A$204&lt;&gt;"")*(B_Drainage!$A$5:$A$204&lt;=$B370)*(B_Drainage!$B$5:$B$204&gt;$B370)*(B_Drainage!$E$5:$E$204&lt;&gt;"")),IF(B_Drainage!$E$5:$E$204="-","",1)),"")</f>
        <v/>
      </c>
      <c r="U370" s="181" t="str">
        <f>IFERROR(LOOKUP(2,1/((B_Drainage!$A$5:$A$204&lt;&gt;"")*(B_Drainage!$A$5:$A$204&lt;=$B370)*(B_Drainage!$B$5:$B$204&gt;$B370)*(B_Drainage!$E$5:$E$204&lt;&gt;"")),IF(B_Drainage!$E$5:$E$204="-","",B_Drainage!$E$5:$E$204)),"")</f>
        <v/>
      </c>
      <c r="V370" s="181" t="str">
        <f>IFERROR(LOOKUP(2,1/((B_Drainage!$A$5:$A$204&lt;&gt;"")*(B_Drainage!$A$5:$A$204&lt;=$B370)*(B_Drainage!$B$5:$B$204&gt;$B370)*(B_Drainage!$F$5:$F$204&lt;&gt;"")),IF(B_Drainage!$F$5:$F$204="-","",1)),"")</f>
        <v/>
      </c>
      <c r="W370" s="181" t="str">
        <f>IFERROR(LOOKUP(2,1/((B_Drainage!$A$5:$A$204&lt;&gt;"")*(B_Drainage!$A$5:$A$204&lt;=$B370)*(B_Drainage!$B$5:$B$204&gt;$B370)*(B_Drainage!$F$5:$F$204&lt;&gt;"")),IF(B_Drainage!$F$5:$F$204="-","",B_Drainage!$F$5:$F$204)),"")</f>
        <v/>
      </c>
      <c r="X370" s="181" t="str">
        <f>IFERROR(LOOKUP(2,1/((B_Drainage!$A$5:$A$204&lt;&gt;"")*(B_Drainage!$A$5:$A$204&lt;=$B370)*(B_Drainage!$B$5:$B$204&gt;$B370)*(B_Drainage!$G$5:$G$204&lt;&gt;"")),IF(UPPER(B_Drainage!$G$5:$G$204)="Y",1,"")),"")</f>
        <v/>
      </c>
      <c r="Y370" s="181" t="str">
        <f>IFERROR(LOOKUP(2,1/((B_Drainage!$A$5:$A$204&lt;&gt;"")*(B_Drainage!$A$5:$A$204&lt;=$B370)*(B_Drainage!$B$5:$B$204&gt;$B370)*(B_Drainage!$H$5:$H$204&lt;&gt;"")),IF(UPPER(B_Drainage!$H$5:$H$204)="Y",1,"")),"")</f>
        <v/>
      </c>
      <c r="Z370" s="181" t="str">
        <f>IFERROR(LOOKUP(2,1/((B_Drainage!$A$5:$A$204&lt;&gt;"")*(B_Drainage!$A$5:$A$204&lt;=$B370)*(B_Drainage!$B$5:$B$204&gt;$B370)*(B_Drainage!$I$5:$I$204&lt;&gt;"")),IF(UPPER(B_Drainage!$I$5:$I$204)="Y",1,"")),"")</f>
        <v/>
      </c>
      <c r="AA370" s="181" t="str">
        <f>IFERROR(LOOKUP(2,1/((B_Drainage!$A$5:$A$204&lt;&gt;"")*(B_Drainage!$A$5:$A$204&lt;=$B370)*(B_Drainage!$B$5:$B$204&gt;$B370)*(B_Drainage!$J$5:$J$204&lt;&gt;"")),IF(UPPER(B_Drainage!$J$5:$J$204)="Y",1,"")),"")</f>
        <v/>
      </c>
      <c r="AB370" s="182" t="str">
        <f>IFERROR(LOOKUP(2,1/((B_Drainage!$A$5:$A$204&lt;&gt;"")*(B_Drainage!$A$5:$A$204&lt;=$B370)*(B_Drainage!$B$5:$B$204&gt;$B370)*(B_Drainage!$K$5:$K$204&lt;&gt;"")),IF(B_Drainage!$K$5:$K$204="-","",B_Drainage!$K$5:$K$204)),"")</f>
        <v/>
      </c>
      <c r="AC370" s="182" t="str">
        <f>IFERROR(LOOKUP(2,1/((B_Drainage!$A$5:$A$204&lt;&gt;"")*(B_Drainage!$A$5:$A$204&lt;=$B370)*(B_Drainage!$B$5:$B$204&gt;$B370)*(B_Drainage!$L$5:$L$204&lt;&gt;"")),IF(B_Drainage!$L$5:$L$204="-","",B_Drainage!$L$5:$L$204)),"")</f>
        <v/>
      </c>
      <c r="AD370" s="182" t="str">
        <f>IFERROR(LOOKUP(2,1/((D_Points!$A$5:$A$204&lt;&gt;"")*(D_Points!$A$5:$A$204&gt;=$B370)*(D_Points!$A$5:$A$204&lt;$B370+P_Interval)*(UPPER(TRIM(D_Points!$B$5:$B$204))="TURNOUT_L")*(D_Points!$H$5:$H$204&lt;&gt;"")),D_Points!$H$5:$H$204),"")</f>
        <v/>
      </c>
      <c r="AE370" s="182" t="str">
        <f>IFERROR(LOOKUP(2,1/((D_Points!$A$5:$A$204&lt;&gt;"")*(D_Points!$A$5:$A$204&gt;=$B370)*(D_Points!$A$5:$A$204&lt;$B370+P_Interval)*(UPPER(TRIM(D_Points!$B$5:$B$204))="TURNOUT_R")*(D_Points!$H$5:$H$204&lt;&gt;"")),D_Points!$H$5:$H$204),"")</f>
        <v/>
      </c>
      <c r="AF370" s="181" t="str">
        <f>IFERROR(LOOKUP(2,1/((B_Drainage!$A$5:$A$204&lt;&gt;"")*(B_Drainage!$A$5:$A$204&lt;=$B370)*(B_Drainage!$B$5:$B$204&gt;$B370)*(B_Drainage!$M$5:$M$204&lt;&gt;"")),IF(UPPER(B_Drainage!$M$5:$M$204)="Y",1,"")),"")</f>
        <v/>
      </c>
      <c r="AG370" s="181" t="str">
        <f>IFERROR(LOOKUP(2,1/((B_Drainage!$A$5:$A$204&lt;&gt;"")*(B_Drainage!$A$5:$A$204&lt;=$B370)*(B_Drainage!$B$5:$B$204&gt;$B370)*(B_Drainage!$N$5:$N$204&lt;&gt;"")),IF(UPPER(B_Drainage!$N$5:$N$204)="Y",1,"")),"")</f>
        <v/>
      </c>
      <c r="AH370" s="181" t="str">
        <f t="shared" si="40"/>
        <v/>
      </c>
      <c r="AI370" s="181" t="str">
        <f t="shared" si="41"/>
        <v/>
      </c>
      <c r="AJ370" s="181" t="str">
        <f t="shared" si="42"/>
        <v/>
      </c>
      <c r="AK370" s="181" t="str">
        <f t="shared" si="43"/>
        <v/>
      </c>
      <c r="AL370" s="181" t="str">
        <f t="shared" si="44"/>
        <v/>
      </c>
      <c r="AM370" s="181" t="str">
        <f t="shared" si="45"/>
        <v/>
      </c>
      <c r="AN370" s="181" t="str">
        <f t="shared" si="46"/>
        <v/>
      </c>
      <c r="AO370" s="192" t="str">
        <f t="shared" si="47"/>
        <v/>
      </c>
      <c r="AQ370" t="str">
        <f>IFERROR(LOOKUP(2,1/((C_Pavement!$A$5:$A$204&lt;&gt;"")*(C_Pavement!$A$5:$A$204&lt;=$B370)*(C_Pavement!$B$5:$B$204&gt;$B370)*(C_Pavement!$C$5:$C$204&lt;&gt;"")),ROW(C_Pavement!$C$5:$C$204)-4),"")</f>
        <v/>
      </c>
      <c r="AR370" t="str">
        <f>IF($AQ370="","",UPPER(TRIM(INDEX(C_Pavement!$C$5:$C$204,$AQ370))))</f>
        <v/>
      </c>
      <c r="AS370" t="str">
        <f>IF($AR370="","",IFERROR(MATCH($AR370,E_Rules!$A$5:$A$9,0),""))</f>
        <v/>
      </c>
      <c r="AT370" t="str">
        <f>IF($AQ370="","",IF(INDEX(C_Pavement!$D$5:$D$204,$AQ370)&lt;&gt;"",UPPER(TRIM(INDEX(C_Pavement!$D$5:$D$204,$AQ370))),IF($AS370="","",INDEX(E_Rules!$C$5:$C$9,$AS370))))</f>
        <v/>
      </c>
      <c r="AU370" t="str">
        <f>IF($AQ370="","",IF(INDEX(C_Pavement!$E$5:$E$204,$AQ370)&lt;&gt;"",IF(INDEX(C_Pavement!$E$5:$E$204,$AQ370)="-","",INDEX(C_Pavement!$E$5:$E$204,$AQ370)),IF($AS370="","",INDEX(E_Rules!$D$5:$D$9,$AS370))))</f>
        <v/>
      </c>
      <c r="AV370" t="str">
        <f>IF($AQ370="","",IF(INDEX(C_Pavement!$F$5:$F$204,$AQ370)&lt;&gt;"",IF(INDEX(C_Pavement!$F$5:$F$204,$AQ370)="-","",INDEX(C_Pavement!$F$5:$F$204,$AQ370)),IF($AS370="","",INDEX(E_Rules!$E$5:$E$9,$AS370))))</f>
        <v/>
      </c>
      <c r="AW370" t="str">
        <f>IF($AQ370="","",IF(INDEX(C_Pavement!$G$5:$G$204,$AQ370)&lt;&gt;"",IF(INDEX(C_Pavement!$G$5:$G$204,$AQ370)="-","",INDEX(C_Pavement!$G$5:$G$204,$AQ370)),IF($AS370="","",INDEX(E_Rules!$F$5:$F$9,$AS370))))</f>
        <v/>
      </c>
      <c r="AX370" t="str">
        <f>IF($AQ370="","",IF(INDEX(C_Pavement!$H$5:$H$204,$AQ370)&lt;&gt;"",IF(INDEX(C_Pavement!$H$5:$H$204,$AQ370)="-","",INDEX(C_Pavement!$H$5:$H$204,$AQ370)),IF($AS370="","",INDEX(E_Rules!$G$5:$G$9,$AS370))))</f>
        <v/>
      </c>
      <c r="AY370" t="str">
        <f>IF($AQ370="","",IF(INDEX(C_Pavement!$I$5:$I$204,$AQ370)&lt;&gt;"",IF(INDEX(C_Pavement!$I$5:$I$204,$AQ370)="-","",INDEX(C_Pavement!$I$5:$I$204,$AQ370)),IF($AS370="","",INDEX(E_Rules!$H$5:$H$9,$AS370))))</f>
        <v/>
      </c>
    </row>
    <row r="371" spans="1:51" ht="15.75" customHeight="1" x14ac:dyDescent="0.3">
      <c r="A371" s="189">
        <v>366</v>
      </c>
      <c r="B371" s="180">
        <v>18250</v>
      </c>
      <c r="C371" s="180" t="s">
        <v>677</v>
      </c>
      <c r="D371" s="181" t="str">
        <f>IFERROR(LOOKUP(2,1/((A_Corridor!$A$5:$A$204&lt;&gt;"")*(A_Corridor!$A$5:$A$204&lt;=$B371)*(A_Corridor!$B$5:$B$204&gt;$B371)*(A_Corridor!$C$5:$C$204&lt;&gt;"")),IF(UPPER(A_Corridor!$C$5:$C$204)="Y",1,"")),"")</f>
        <v/>
      </c>
      <c r="E371" s="181" t="str">
        <f>IFERROR(LOOKUP(2,1/((A_Corridor!$A$5:$A$204&lt;&gt;"")*(A_Corridor!$A$5:$A$204&lt;=$B371)*(A_Corridor!$B$5:$B$204&gt;$B371)*(A_Corridor!$D$5:$D$204&lt;&gt;"")),IF(A_Corridor!$D$5:$D$204="-","",UPPER(A_Corridor!$D$5:$D$204))),"")</f>
        <v/>
      </c>
      <c r="F371" s="181" t="str">
        <f>IFERROR(LOOKUP(2,1/((A_Corridor!$A$5:$A$204&lt;&gt;"")*(A_Corridor!$A$5:$A$204&lt;=$B371)*(A_Corridor!$B$5:$B$204&gt;$B371)*(A_Corridor!$E$5:$E$204&lt;&gt;"")),IF(A_Corridor!$E$5:$E$204="-","",1)),"")</f>
        <v/>
      </c>
      <c r="G371" s="182" t="str">
        <f>IFERROR(LOOKUP(2,1/((A_Corridor!$A$5:$A$204&lt;&gt;"")*(A_Corridor!$A$5:$A$204&lt;=$B371)*(A_Corridor!$B$5:$B$204&gt;$B371)*(A_Corridor!$E$5:$E$204&lt;&gt;"")),IF(A_Corridor!$E$5:$E$204="-","",A_Corridor!$E$5:$E$204)),"")</f>
        <v/>
      </c>
      <c r="H371" s="182" t="str">
        <f>IFERROR(LOOKUP(2,1/((D_Points!$A$5:$A$204&lt;&gt;"")*(D_Points!$A$5:$A$204&gt;=$B371)*(D_Points!$A$5:$A$204&lt;$B371+P_Interval)*(UPPER(TRIM(D_Points!$B$5:$B$204))="GULLY")*(D_Points!$H$5:$H$204&lt;&gt;"")),D_Points!$H$5:$H$204),"")</f>
        <v/>
      </c>
      <c r="I371" s="181" t="str">
        <f>IFERROR(LOOKUP(2,1/((A_Corridor!$A$5:$A$204&lt;&gt;"")*(A_Corridor!$A$5:$A$204&lt;=$B371)*(A_Corridor!$B$5:$B$204&gt;$B371)*(A_Corridor!$F$5:$F$204&lt;&gt;"")),IF(A_Corridor!$F$5:$F$204="-","",1)),"")</f>
        <v/>
      </c>
      <c r="J371" s="182" t="str">
        <f>IFERROR(LOOKUP(2,1/((A_Corridor!$A$5:$A$204&lt;&gt;"")*(A_Corridor!$A$5:$A$204&lt;=$B371)*(A_Corridor!$B$5:$B$204&gt;$B371)*(A_Corridor!$F$5:$F$204&lt;&gt;"")),IF(A_Corridor!$F$5:$F$204="-","",A_Corridor!$F$5:$F$204)),"")</f>
        <v/>
      </c>
      <c r="K371" s="182" t="str">
        <f>IFERROR(LOOKUP(2,1/((A_Corridor!$A$5:$A$204&lt;&gt;"")*(A_Corridor!$A$5:$A$204&lt;=$B371)*(A_Corridor!$B$5:$B$204&gt;$B371)*(A_Corridor!$G$5:$G$204&lt;&gt;"")),IF(A_Corridor!$G$5:$G$204="-","",A_Corridor!$G$5:$G$204)),"")</f>
        <v/>
      </c>
      <c r="L371" s="181" t="str">
        <f>IFERROR(LOOKUP(2,1/((A_Corridor!$A$5:$A$204&lt;&gt;"")*(A_Corridor!$A$5:$A$204&lt;=$B371)*(A_Corridor!$B$5:$B$204&gt;$B371)*(A_Corridor!$H$5:$H$204&lt;&gt;"")),IF(A_Corridor!$H$5:$H$204="-","",1)),"")</f>
        <v/>
      </c>
      <c r="M371" s="182" t="str">
        <f>IFERROR(LOOKUP(2,1/((A_Corridor!$A$5:$A$204&lt;&gt;"")*(A_Corridor!$A$5:$A$204&lt;=$B371)*(A_Corridor!$B$5:$B$204&gt;$B371)*(A_Corridor!$H$5:$H$204&lt;&gt;"")),IF(A_Corridor!$H$5:$H$204="-","",A_Corridor!$H$5:$H$204)),"")</f>
        <v/>
      </c>
      <c r="N371" s="182" t="str">
        <f>IFERROR(LOOKUP(2,1/((A_Corridor!$A$5:$A$204&lt;&gt;"")*(A_Corridor!$A$5:$A$204&lt;=$B371)*(A_Corridor!$B$5:$B$204&gt;$B371)*(A_Corridor!$I$5:$I$204&lt;&gt;"")),IF(A_Corridor!$I$5:$I$204="-","",A_Corridor!$I$5:$I$204)),"")</f>
        <v/>
      </c>
      <c r="O371" s="182" t="str">
        <f>IFERROR(LOOKUP(2,1/((D_Points!$A$5:$A$204&lt;&gt;"")*(D_Points!$A$5:$A$204&gt;=$B371)*(D_Points!$A$5:$A$204&lt;$B371+P_Interval)*(UPPER(TRIM(D_Points!$B$5:$B$204))="PITCHING")*(D_Points!$H$5:$H$204&lt;&gt;"")),D_Points!$H$5:$H$204),"")</f>
        <v/>
      </c>
      <c r="P371" s="181" t="str">
        <f>IFERROR(LOOKUP(2,1/((B_Drainage!$A$5:$A$204&lt;&gt;"")*(B_Drainage!$A$5:$A$204&lt;=$B371)*(B_Drainage!$B$5:$B$204&gt;$B371)*(B_Drainage!$C$5:$C$204&lt;&gt;"")),IF(B_Drainage!$C$5:$C$204="-","",UPPER(B_Drainage!$C$5:$C$204))),"")</f>
        <v/>
      </c>
      <c r="Q371" s="181" t="str">
        <f>IFERROR(LOOKUP(2,1/((B_Drainage!$A$5:$A$204&lt;&gt;"")*(B_Drainage!$A$5:$A$204&lt;=$B371)*(B_Drainage!$B$5:$B$204&gt;$B371)*(B_Drainage!$D$5:$D$204&lt;&gt;"")),IF(B_Drainage!$D$5:$D$204="-","",UPPER(B_Drainage!$D$5:$D$204))),"")</f>
        <v/>
      </c>
      <c r="R371" s="182" t="str">
        <f>IFERROR(LOOKUP(2,1/((D_Points!$A$5:$A$204&lt;&gt;"")*(D_Points!$A$5:$A$204&gt;=$B371)*(D_Points!$A$5:$A$204&lt;$B371+P_Interval)*(RIGHT(UPPER(TRIM(D_Points!$B$5:$B$204)),8)="_CULVERT")),IF(LEFT(UPPER(TRIM(D_Points!$B$5:$B$204)),2)="EX",1,IF(LEFT(UPPER(TRIM(D_Points!$B$5:$B$204)),2)="PR",2,3))),"")</f>
        <v/>
      </c>
      <c r="S371" s="182" t="str">
        <f>IFERROR(LOOKUP(2,1/((D_Points!$A$5:$A$204&lt;&gt;"")*(D_Points!$A$5:$A$204&gt;=$B371)*(D_Points!$A$5:$A$204&lt;$B371+P_Interval)*(RIGHT(UPPER(TRIM(D_Points!$B$5:$B$204)),7)="_BRIDGE")),IF(LEFT(UPPER(TRIM(D_Points!$B$5:$B$204)),2)="EX",1,IF(LEFT(UPPER(TRIM(D_Points!$B$5:$B$204)),2)="PR",2,2))),"")</f>
        <v/>
      </c>
      <c r="T371" s="181" t="str">
        <f>IFERROR(LOOKUP(2,1/((B_Drainage!$A$5:$A$204&lt;&gt;"")*(B_Drainage!$A$5:$A$204&lt;=$B371)*(B_Drainage!$B$5:$B$204&gt;$B371)*(B_Drainage!$E$5:$E$204&lt;&gt;"")),IF(B_Drainage!$E$5:$E$204="-","",1)),"")</f>
        <v/>
      </c>
      <c r="U371" s="181" t="str">
        <f>IFERROR(LOOKUP(2,1/((B_Drainage!$A$5:$A$204&lt;&gt;"")*(B_Drainage!$A$5:$A$204&lt;=$B371)*(B_Drainage!$B$5:$B$204&gt;$B371)*(B_Drainage!$E$5:$E$204&lt;&gt;"")),IF(B_Drainage!$E$5:$E$204="-","",B_Drainage!$E$5:$E$204)),"")</f>
        <v/>
      </c>
      <c r="V371" s="181" t="str">
        <f>IFERROR(LOOKUP(2,1/((B_Drainage!$A$5:$A$204&lt;&gt;"")*(B_Drainage!$A$5:$A$204&lt;=$B371)*(B_Drainage!$B$5:$B$204&gt;$B371)*(B_Drainage!$F$5:$F$204&lt;&gt;"")),IF(B_Drainage!$F$5:$F$204="-","",1)),"")</f>
        <v/>
      </c>
      <c r="W371" s="181" t="str">
        <f>IFERROR(LOOKUP(2,1/((B_Drainage!$A$5:$A$204&lt;&gt;"")*(B_Drainage!$A$5:$A$204&lt;=$B371)*(B_Drainage!$B$5:$B$204&gt;$B371)*(B_Drainage!$F$5:$F$204&lt;&gt;"")),IF(B_Drainage!$F$5:$F$204="-","",B_Drainage!$F$5:$F$204)),"")</f>
        <v/>
      </c>
      <c r="X371" s="181" t="str">
        <f>IFERROR(LOOKUP(2,1/((B_Drainage!$A$5:$A$204&lt;&gt;"")*(B_Drainage!$A$5:$A$204&lt;=$B371)*(B_Drainage!$B$5:$B$204&gt;$B371)*(B_Drainage!$G$5:$G$204&lt;&gt;"")),IF(UPPER(B_Drainage!$G$5:$G$204)="Y",1,"")),"")</f>
        <v/>
      </c>
      <c r="Y371" s="181" t="str">
        <f>IFERROR(LOOKUP(2,1/((B_Drainage!$A$5:$A$204&lt;&gt;"")*(B_Drainage!$A$5:$A$204&lt;=$B371)*(B_Drainage!$B$5:$B$204&gt;$B371)*(B_Drainage!$H$5:$H$204&lt;&gt;"")),IF(UPPER(B_Drainage!$H$5:$H$204)="Y",1,"")),"")</f>
        <v/>
      </c>
      <c r="Z371" s="181" t="str">
        <f>IFERROR(LOOKUP(2,1/((B_Drainage!$A$5:$A$204&lt;&gt;"")*(B_Drainage!$A$5:$A$204&lt;=$B371)*(B_Drainage!$B$5:$B$204&gt;$B371)*(B_Drainage!$I$5:$I$204&lt;&gt;"")),IF(UPPER(B_Drainage!$I$5:$I$204)="Y",1,"")),"")</f>
        <v/>
      </c>
      <c r="AA371" s="181" t="str">
        <f>IFERROR(LOOKUP(2,1/((B_Drainage!$A$5:$A$204&lt;&gt;"")*(B_Drainage!$A$5:$A$204&lt;=$B371)*(B_Drainage!$B$5:$B$204&gt;$B371)*(B_Drainage!$J$5:$J$204&lt;&gt;"")),IF(UPPER(B_Drainage!$J$5:$J$204)="Y",1,"")),"")</f>
        <v/>
      </c>
      <c r="AB371" s="182" t="str">
        <f>IFERROR(LOOKUP(2,1/((B_Drainage!$A$5:$A$204&lt;&gt;"")*(B_Drainage!$A$5:$A$204&lt;=$B371)*(B_Drainage!$B$5:$B$204&gt;$B371)*(B_Drainage!$K$5:$K$204&lt;&gt;"")),IF(B_Drainage!$K$5:$K$204="-","",B_Drainage!$K$5:$K$204)),"")</f>
        <v/>
      </c>
      <c r="AC371" s="182" t="str">
        <f>IFERROR(LOOKUP(2,1/((B_Drainage!$A$5:$A$204&lt;&gt;"")*(B_Drainage!$A$5:$A$204&lt;=$B371)*(B_Drainage!$B$5:$B$204&gt;$B371)*(B_Drainage!$L$5:$L$204&lt;&gt;"")),IF(B_Drainage!$L$5:$L$204="-","",B_Drainage!$L$5:$L$204)),"")</f>
        <v/>
      </c>
      <c r="AD371" s="182" t="str">
        <f>IFERROR(LOOKUP(2,1/((D_Points!$A$5:$A$204&lt;&gt;"")*(D_Points!$A$5:$A$204&gt;=$B371)*(D_Points!$A$5:$A$204&lt;$B371+P_Interval)*(UPPER(TRIM(D_Points!$B$5:$B$204))="TURNOUT_L")*(D_Points!$H$5:$H$204&lt;&gt;"")),D_Points!$H$5:$H$204),"")</f>
        <v/>
      </c>
      <c r="AE371" s="182" t="str">
        <f>IFERROR(LOOKUP(2,1/((D_Points!$A$5:$A$204&lt;&gt;"")*(D_Points!$A$5:$A$204&gt;=$B371)*(D_Points!$A$5:$A$204&lt;$B371+P_Interval)*(UPPER(TRIM(D_Points!$B$5:$B$204))="TURNOUT_R")*(D_Points!$H$5:$H$204&lt;&gt;"")),D_Points!$H$5:$H$204),"")</f>
        <v/>
      </c>
      <c r="AF371" s="181" t="str">
        <f>IFERROR(LOOKUP(2,1/((B_Drainage!$A$5:$A$204&lt;&gt;"")*(B_Drainage!$A$5:$A$204&lt;=$B371)*(B_Drainage!$B$5:$B$204&gt;$B371)*(B_Drainage!$M$5:$M$204&lt;&gt;"")),IF(UPPER(B_Drainage!$M$5:$M$204)="Y",1,"")),"")</f>
        <v/>
      </c>
      <c r="AG371" s="181" t="str">
        <f>IFERROR(LOOKUP(2,1/((B_Drainage!$A$5:$A$204&lt;&gt;"")*(B_Drainage!$A$5:$A$204&lt;=$B371)*(B_Drainage!$B$5:$B$204&gt;$B371)*(B_Drainage!$N$5:$N$204&lt;&gt;"")),IF(UPPER(B_Drainage!$N$5:$N$204)="Y",1,"")),"")</f>
        <v/>
      </c>
      <c r="AH371" s="181" t="str">
        <f t="shared" si="40"/>
        <v/>
      </c>
      <c r="AI371" s="181" t="str">
        <f t="shared" si="41"/>
        <v/>
      </c>
      <c r="AJ371" s="181" t="str">
        <f t="shared" si="42"/>
        <v/>
      </c>
      <c r="AK371" s="181" t="str">
        <f t="shared" si="43"/>
        <v/>
      </c>
      <c r="AL371" s="181" t="str">
        <f t="shared" si="44"/>
        <v/>
      </c>
      <c r="AM371" s="181" t="str">
        <f t="shared" si="45"/>
        <v/>
      </c>
      <c r="AN371" s="181" t="str">
        <f t="shared" si="46"/>
        <v/>
      </c>
      <c r="AO371" s="192" t="str">
        <f t="shared" si="47"/>
        <v/>
      </c>
      <c r="AQ371" t="str">
        <f>IFERROR(LOOKUP(2,1/((C_Pavement!$A$5:$A$204&lt;&gt;"")*(C_Pavement!$A$5:$A$204&lt;=$B371)*(C_Pavement!$B$5:$B$204&gt;$B371)*(C_Pavement!$C$5:$C$204&lt;&gt;"")),ROW(C_Pavement!$C$5:$C$204)-4),"")</f>
        <v/>
      </c>
      <c r="AR371" t="str">
        <f>IF($AQ371="","",UPPER(TRIM(INDEX(C_Pavement!$C$5:$C$204,$AQ371))))</f>
        <v/>
      </c>
      <c r="AS371" t="str">
        <f>IF($AR371="","",IFERROR(MATCH($AR371,E_Rules!$A$5:$A$9,0),""))</f>
        <v/>
      </c>
      <c r="AT371" t="str">
        <f>IF($AQ371="","",IF(INDEX(C_Pavement!$D$5:$D$204,$AQ371)&lt;&gt;"",UPPER(TRIM(INDEX(C_Pavement!$D$5:$D$204,$AQ371))),IF($AS371="","",INDEX(E_Rules!$C$5:$C$9,$AS371))))</f>
        <v/>
      </c>
      <c r="AU371" t="str">
        <f>IF($AQ371="","",IF(INDEX(C_Pavement!$E$5:$E$204,$AQ371)&lt;&gt;"",IF(INDEX(C_Pavement!$E$5:$E$204,$AQ371)="-","",INDEX(C_Pavement!$E$5:$E$204,$AQ371)),IF($AS371="","",INDEX(E_Rules!$D$5:$D$9,$AS371))))</f>
        <v/>
      </c>
      <c r="AV371" t="str">
        <f>IF($AQ371="","",IF(INDEX(C_Pavement!$F$5:$F$204,$AQ371)&lt;&gt;"",IF(INDEX(C_Pavement!$F$5:$F$204,$AQ371)="-","",INDEX(C_Pavement!$F$5:$F$204,$AQ371)),IF($AS371="","",INDEX(E_Rules!$E$5:$E$9,$AS371))))</f>
        <v/>
      </c>
      <c r="AW371" t="str">
        <f>IF($AQ371="","",IF(INDEX(C_Pavement!$G$5:$G$204,$AQ371)&lt;&gt;"",IF(INDEX(C_Pavement!$G$5:$G$204,$AQ371)="-","",INDEX(C_Pavement!$G$5:$G$204,$AQ371)),IF($AS371="","",INDEX(E_Rules!$F$5:$F$9,$AS371))))</f>
        <v/>
      </c>
      <c r="AX371" t="str">
        <f>IF($AQ371="","",IF(INDEX(C_Pavement!$H$5:$H$204,$AQ371)&lt;&gt;"",IF(INDEX(C_Pavement!$H$5:$H$204,$AQ371)="-","",INDEX(C_Pavement!$H$5:$H$204,$AQ371)),IF($AS371="","",INDEX(E_Rules!$G$5:$G$9,$AS371))))</f>
        <v/>
      </c>
      <c r="AY371" t="str">
        <f>IF($AQ371="","",IF(INDEX(C_Pavement!$I$5:$I$204,$AQ371)&lt;&gt;"",IF(INDEX(C_Pavement!$I$5:$I$204,$AQ371)="-","",INDEX(C_Pavement!$I$5:$I$204,$AQ371)),IF($AS371="","",INDEX(E_Rules!$H$5:$H$9,$AS371))))</f>
        <v/>
      </c>
    </row>
    <row r="372" spans="1:51" ht="15.75" customHeight="1" x14ac:dyDescent="0.3">
      <c r="A372" s="189">
        <v>367</v>
      </c>
      <c r="B372" s="180">
        <v>18300</v>
      </c>
      <c r="C372" s="180" t="s">
        <v>678</v>
      </c>
      <c r="D372" s="181" t="str">
        <f>IFERROR(LOOKUP(2,1/((A_Corridor!$A$5:$A$204&lt;&gt;"")*(A_Corridor!$A$5:$A$204&lt;=$B372)*(A_Corridor!$B$5:$B$204&gt;$B372)*(A_Corridor!$C$5:$C$204&lt;&gt;"")),IF(UPPER(A_Corridor!$C$5:$C$204)="Y",1,"")),"")</f>
        <v/>
      </c>
      <c r="E372" s="181" t="str">
        <f>IFERROR(LOOKUP(2,1/((A_Corridor!$A$5:$A$204&lt;&gt;"")*(A_Corridor!$A$5:$A$204&lt;=$B372)*(A_Corridor!$B$5:$B$204&gt;$B372)*(A_Corridor!$D$5:$D$204&lt;&gt;"")),IF(A_Corridor!$D$5:$D$204="-","",UPPER(A_Corridor!$D$5:$D$204))),"")</f>
        <v/>
      </c>
      <c r="F372" s="181" t="str">
        <f>IFERROR(LOOKUP(2,1/((A_Corridor!$A$5:$A$204&lt;&gt;"")*(A_Corridor!$A$5:$A$204&lt;=$B372)*(A_Corridor!$B$5:$B$204&gt;$B372)*(A_Corridor!$E$5:$E$204&lt;&gt;"")),IF(A_Corridor!$E$5:$E$204="-","",1)),"")</f>
        <v/>
      </c>
      <c r="G372" s="182" t="str">
        <f>IFERROR(LOOKUP(2,1/((A_Corridor!$A$5:$A$204&lt;&gt;"")*(A_Corridor!$A$5:$A$204&lt;=$B372)*(A_Corridor!$B$5:$B$204&gt;$B372)*(A_Corridor!$E$5:$E$204&lt;&gt;"")),IF(A_Corridor!$E$5:$E$204="-","",A_Corridor!$E$5:$E$204)),"")</f>
        <v/>
      </c>
      <c r="H372" s="182" t="str">
        <f>IFERROR(LOOKUP(2,1/((D_Points!$A$5:$A$204&lt;&gt;"")*(D_Points!$A$5:$A$204&gt;=$B372)*(D_Points!$A$5:$A$204&lt;$B372+P_Interval)*(UPPER(TRIM(D_Points!$B$5:$B$204))="GULLY")*(D_Points!$H$5:$H$204&lt;&gt;"")),D_Points!$H$5:$H$204),"")</f>
        <v/>
      </c>
      <c r="I372" s="181" t="str">
        <f>IFERROR(LOOKUP(2,1/((A_Corridor!$A$5:$A$204&lt;&gt;"")*(A_Corridor!$A$5:$A$204&lt;=$B372)*(A_Corridor!$B$5:$B$204&gt;$B372)*(A_Corridor!$F$5:$F$204&lt;&gt;"")),IF(A_Corridor!$F$5:$F$204="-","",1)),"")</f>
        <v/>
      </c>
      <c r="J372" s="182" t="str">
        <f>IFERROR(LOOKUP(2,1/((A_Corridor!$A$5:$A$204&lt;&gt;"")*(A_Corridor!$A$5:$A$204&lt;=$B372)*(A_Corridor!$B$5:$B$204&gt;$B372)*(A_Corridor!$F$5:$F$204&lt;&gt;"")),IF(A_Corridor!$F$5:$F$204="-","",A_Corridor!$F$5:$F$204)),"")</f>
        <v/>
      </c>
      <c r="K372" s="182" t="str">
        <f>IFERROR(LOOKUP(2,1/((A_Corridor!$A$5:$A$204&lt;&gt;"")*(A_Corridor!$A$5:$A$204&lt;=$B372)*(A_Corridor!$B$5:$B$204&gt;$B372)*(A_Corridor!$G$5:$G$204&lt;&gt;"")),IF(A_Corridor!$G$5:$G$204="-","",A_Corridor!$G$5:$G$204)),"")</f>
        <v/>
      </c>
      <c r="L372" s="181" t="str">
        <f>IFERROR(LOOKUP(2,1/((A_Corridor!$A$5:$A$204&lt;&gt;"")*(A_Corridor!$A$5:$A$204&lt;=$B372)*(A_Corridor!$B$5:$B$204&gt;$B372)*(A_Corridor!$H$5:$H$204&lt;&gt;"")),IF(A_Corridor!$H$5:$H$204="-","",1)),"")</f>
        <v/>
      </c>
      <c r="M372" s="182" t="str">
        <f>IFERROR(LOOKUP(2,1/((A_Corridor!$A$5:$A$204&lt;&gt;"")*(A_Corridor!$A$5:$A$204&lt;=$B372)*(A_Corridor!$B$5:$B$204&gt;$B372)*(A_Corridor!$H$5:$H$204&lt;&gt;"")),IF(A_Corridor!$H$5:$H$204="-","",A_Corridor!$H$5:$H$204)),"")</f>
        <v/>
      </c>
      <c r="N372" s="182" t="str">
        <f>IFERROR(LOOKUP(2,1/((A_Corridor!$A$5:$A$204&lt;&gt;"")*(A_Corridor!$A$5:$A$204&lt;=$B372)*(A_Corridor!$B$5:$B$204&gt;$B372)*(A_Corridor!$I$5:$I$204&lt;&gt;"")),IF(A_Corridor!$I$5:$I$204="-","",A_Corridor!$I$5:$I$204)),"")</f>
        <v/>
      </c>
      <c r="O372" s="182" t="str">
        <f>IFERROR(LOOKUP(2,1/((D_Points!$A$5:$A$204&lt;&gt;"")*(D_Points!$A$5:$A$204&gt;=$B372)*(D_Points!$A$5:$A$204&lt;$B372+P_Interval)*(UPPER(TRIM(D_Points!$B$5:$B$204))="PITCHING")*(D_Points!$H$5:$H$204&lt;&gt;"")),D_Points!$H$5:$H$204),"")</f>
        <v/>
      </c>
      <c r="P372" s="181" t="str">
        <f>IFERROR(LOOKUP(2,1/((B_Drainage!$A$5:$A$204&lt;&gt;"")*(B_Drainage!$A$5:$A$204&lt;=$B372)*(B_Drainage!$B$5:$B$204&gt;$B372)*(B_Drainage!$C$5:$C$204&lt;&gt;"")),IF(B_Drainage!$C$5:$C$204="-","",UPPER(B_Drainage!$C$5:$C$204))),"")</f>
        <v/>
      </c>
      <c r="Q372" s="181" t="str">
        <f>IFERROR(LOOKUP(2,1/((B_Drainage!$A$5:$A$204&lt;&gt;"")*(B_Drainage!$A$5:$A$204&lt;=$B372)*(B_Drainage!$B$5:$B$204&gt;$B372)*(B_Drainage!$D$5:$D$204&lt;&gt;"")),IF(B_Drainage!$D$5:$D$204="-","",UPPER(B_Drainage!$D$5:$D$204))),"")</f>
        <v/>
      </c>
      <c r="R372" s="182" t="str">
        <f>IFERROR(LOOKUP(2,1/((D_Points!$A$5:$A$204&lt;&gt;"")*(D_Points!$A$5:$A$204&gt;=$B372)*(D_Points!$A$5:$A$204&lt;$B372+P_Interval)*(RIGHT(UPPER(TRIM(D_Points!$B$5:$B$204)),8)="_CULVERT")),IF(LEFT(UPPER(TRIM(D_Points!$B$5:$B$204)),2)="EX",1,IF(LEFT(UPPER(TRIM(D_Points!$B$5:$B$204)),2)="PR",2,3))),"")</f>
        <v/>
      </c>
      <c r="S372" s="182" t="str">
        <f>IFERROR(LOOKUP(2,1/((D_Points!$A$5:$A$204&lt;&gt;"")*(D_Points!$A$5:$A$204&gt;=$B372)*(D_Points!$A$5:$A$204&lt;$B372+P_Interval)*(RIGHT(UPPER(TRIM(D_Points!$B$5:$B$204)),7)="_BRIDGE")),IF(LEFT(UPPER(TRIM(D_Points!$B$5:$B$204)),2)="EX",1,IF(LEFT(UPPER(TRIM(D_Points!$B$5:$B$204)),2)="PR",2,2))),"")</f>
        <v/>
      </c>
      <c r="T372" s="181" t="str">
        <f>IFERROR(LOOKUP(2,1/((B_Drainage!$A$5:$A$204&lt;&gt;"")*(B_Drainage!$A$5:$A$204&lt;=$B372)*(B_Drainage!$B$5:$B$204&gt;$B372)*(B_Drainage!$E$5:$E$204&lt;&gt;"")),IF(B_Drainage!$E$5:$E$204="-","",1)),"")</f>
        <v/>
      </c>
      <c r="U372" s="181" t="str">
        <f>IFERROR(LOOKUP(2,1/((B_Drainage!$A$5:$A$204&lt;&gt;"")*(B_Drainage!$A$5:$A$204&lt;=$B372)*(B_Drainage!$B$5:$B$204&gt;$B372)*(B_Drainage!$E$5:$E$204&lt;&gt;"")),IF(B_Drainage!$E$5:$E$204="-","",B_Drainage!$E$5:$E$204)),"")</f>
        <v/>
      </c>
      <c r="V372" s="181" t="str">
        <f>IFERROR(LOOKUP(2,1/((B_Drainage!$A$5:$A$204&lt;&gt;"")*(B_Drainage!$A$5:$A$204&lt;=$B372)*(B_Drainage!$B$5:$B$204&gt;$B372)*(B_Drainage!$F$5:$F$204&lt;&gt;"")),IF(B_Drainage!$F$5:$F$204="-","",1)),"")</f>
        <v/>
      </c>
      <c r="W372" s="181" t="str">
        <f>IFERROR(LOOKUP(2,1/((B_Drainage!$A$5:$A$204&lt;&gt;"")*(B_Drainage!$A$5:$A$204&lt;=$B372)*(B_Drainage!$B$5:$B$204&gt;$B372)*(B_Drainage!$F$5:$F$204&lt;&gt;"")),IF(B_Drainage!$F$5:$F$204="-","",B_Drainage!$F$5:$F$204)),"")</f>
        <v/>
      </c>
      <c r="X372" s="181" t="str">
        <f>IFERROR(LOOKUP(2,1/((B_Drainage!$A$5:$A$204&lt;&gt;"")*(B_Drainage!$A$5:$A$204&lt;=$B372)*(B_Drainage!$B$5:$B$204&gt;$B372)*(B_Drainage!$G$5:$G$204&lt;&gt;"")),IF(UPPER(B_Drainage!$G$5:$G$204)="Y",1,"")),"")</f>
        <v/>
      </c>
      <c r="Y372" s="181" t="str">
        <f>IFERROR(LOOKUP(2,1/((B_Drainage!$A$5:$A$204&lt;&gt;"")*(B_Drainage!$A$5:$A$204&lt;=$B372)*(B_Drainage!$B$5:$B$204&gt;$B372)*(B_Drainage!$H$5:$H$204&lt;&gt;"")),IF(UPPER(B_Drainage!$H$5:$H$204)="Y",1,"")),"")</f>
        <v/>
      </c>
      <c r="Z372" s="181" t="str">
        <f>IFERROR(LOOKUP(2,1/((B_Drainage!$A$5:$A$204&lt;&gt;"")*(B_Drainage!$A$5:$A$204&lt;=$B372)*(B_Drainage!$B$5:$B$204&gt;$B372)*(B_Drainage!$I$5:$I$204&lt;&gt;"")),IF(UPPER(B_Drainage!$I$5:$I$204)="Y",1,"")),"")</f>
        <v/>
      </c>
      <c r="AA372" s="181" t="str">
        <f>IFERROR(LOOKUP(2,1/((B_Drainage!$A$5:$A$204&lt;&gt;"")*(B_Drainage!$A$5:$A$204&lt;=$B372)*(B_Drainage!$B$5:$B$204&gt;$B372)*(B_Drainage!$J$5:$J$204&lt;&gt;"")),IF(UPPER(B_Drainage!$J$5:$J$204)="Y",1,"")),"")</f>
        <v/>
      </c>
      <c r="AB372" s="182" t="str">
        <f>IFERROR(LOOKUP(2,1/((B_Drainage!$A$5:$A$204&lt;&gt;"")*(B_Drainage!$A$5:$A$204&lt;=$B372)*(B_Drainage!$B$5:$B$204&gt;$B372)*(B_Drainage!$K$5:$K$204&lt;&gt;"")),IF(B_Drainage!$K$5:$K$204="-","",B_Drainage!$K$5:$K$204)),"")</f>
        <v/>
      </c>
      <c r="AC372" s="182" t="str">
        <f>IFERROR(LOOKUP(2,1/((B_Drainage!$A$5:$A$204&lt;&gt;"")*(B_Drainage!$A$5:$A$204&lt;=$B372)*(B_Drainage!$B$5:$B$204&gt;$B372)*(B_Drainage!$L$5:$L$204&lt;&gt;"")),IF(B_Drainage!$L$5:$L$204="-","",B_Drainage!$L$5:$L$204)),"")</f>
        <v/>
      </c>
      <c r="AD372" s="182" t="str">
        <f>IFERROR(LOOKUP(2,1/((D_Points!$A$5:$A$204&lt;&gt;"")*(D_Points!$A$5:$A$204&gt;=$B372)*(D_Points!$A$5:$A$204&lt;$B372+P_Interval)*(UPPER(TRIM(D_Points!$B$5:$B$204))="TURNOUT_L")*(D_Points!$H$5:$H$204&lt;&gt;"")),D_Points!$H$5:$H$204),"")</f>
        <v/>
      </c>
      <c r="AE372" s="182" t="str">
        <f>IFERROR(LOOKUP(2,1/((D_Points!$A$5:$A$204&lt;&gt;"")*(D_Points!$A$5:$A$204&gt;=$B372)*(D_Points!$A$5:$A$204&lt;$B372+P_Interval)*(UPPER(TRIM(D_Points!$B$5:$B$204))="TURNOUT_R")*(D_Points!$H$5:$H$204&lt;&gt;"")),D_Points!$H$5:$H$204),"")</f>
        <v/>
      </c>
      <c r="AF372" s="181" t="str">
        <f>IFERROR(LOOKUP(2,1/((B_Drainage!$A$5:$A$204&lt;&gt;"")*(B_Drainage!$A$5:$A$204&lt;=$B372)*(B_Drainage!$B$5:$B$204&gt;$B372)*(B_Drainage!$M$5:$M$204&lt;&gt;"")),IF(UPPER(B_Drainage!$M$5:$M$204)="Y",1,"")),"")</f>
        <v/>
      </c>
      <c r="AG372" s="181" t="str">
        <f>IFERROR(LOOKUP(2,1/((B_Drainage!$A$5:$A$204&lt;&gt;"")*(B_Drainage!$A$5:$A$204&lt;=$B372)*(B_Drainage!$B$5:$B$204&gt;$B372)*(B_Drainage!$N$5:$N$204&lt;&gt;"")),IF(UPPER(B_Drainage!$N$5:$N$204)="Y",1,"")),"")</f>
        <v/>
      </c>
      <c r="AH372" s="181" t="str">
        <f t="shared" si="40"/>
        <v/>
      </c>
      <c r="AI372" s="181" t="str">
        <f t="shared" si="41"/>
        <v/>
      </c>
      <c r="AJ372" s="181" t="str">
        <f t="shared" si="42"/>
        <v/>
      </c>
      <c r="AK372" s="181" t="str">
        <f t="shared" si="43"/>
        <v/>
      </c>
      <c r="AL372" s="181" t="str">
        <f t="shared" si="44"/>
        <v/>
      </c>
      <c r="AM372" s="181" t="str">
        <f t="shared" si="45"/>
        <v/>
      </c>
      <c r="AN372" s="181" t="str">
        <f t="shared" si="46"/>
        <v/>
      </c>
      <c r="AO372" s="192" t="str">
        <f t="shared" si="47"/>
        <v/>
      </c>
      <c r="AQ372" t="str">
        <f>IFERROR(LOOKUP(2,1/((C_Pavement!$A$5:$A$204&lt;&gt;"")*(C_Pavement!$A$5:$A$204&lt;=$B372)*(C_Pavement!$B$5:$B$204&gt;$B372)*(C_Pavement!$C$5:$C$204&lt;&gt;"")),ROW(C_Pavement!$C$5:$C$204)-4),"")</f>
        <v/>
      </c>
      <c r="AR372" t="str">
        <f>IF($AQ372="","",UPPER(TRIM(INDEX(C_Pavement!$C$5:$C$204,$AQ372))))</f>
        <v/>
      </c>
      <c r="AS372" t="str">
        <f>IF($AR372="","",IFERROR(MATCH($AR372,E_Rules!$A$5:$A$9,0),""))</f>
        <v/>
      </c>
      <c r="AT372" t="str">
        <f>IF($AQ372="","",IF(INDEX(C_Pavement!$D$5:$D$204,$AQ372)&lt;&gt;"",UPPER(TRIM(INDEX(C_Pavement!$D$5:$D$204,$AQ372))),IF($AS372="","",INDEX(E_Rules!$C$5:$C$9,$AS372))))</f>
        <v/>
      </c>
      <c r="AU372" t="str">
        <f>IF($AQ372="","",IF(INDEX(C_Pavement!$E$5:$E$204,$AQ372)&lt;&gt;"",IF(INDEX(C_Pavement!$E$5:$E$204,$AQ372)="-","",INDEX(C_Pavement!$E$5:$E$204,$AQ372)),IF($AS372="","",INDEX(E_Rules!$D$5:$D$9,$AS372))))</f>
        <v/>
      </c>
      <c r="AV372" t="str">
        <f>IF($AQ372="","",IF(INDEX(C_Pavement!$F$5:$F$204,$AQ372)&lt;&gt;"",IF(INDEX(C_Pavement!$F$5:$F$204,$AQ372)="-","",INDEX(C_Pavement!$F$5:$F$204,$AQ372)),IF($AS372="","",INDEX(E_Rules!$E$5:$E$9,$AS372))))</f>
        <v/>
      </c>
      <c r="AW372" t="str">
        <f>IF($AQ372="","",IF(INDEX(C_Pavement!$G$5:$G$204,$AQ372)&lt;&gt;"",IF(INDEX(C_Pavement!$G$5:$G$204,$AQ372)="-","",INDEX(C_Pavement!$G$5:$G$204,$AQ372)),IF($AS372="","",INDEX(E_Rules!$F$5:$F$9,$AS372))))</f>
        <v/>
      </c>
      <c r="AX372" t="str">
        <f>IF($AQ372="","",IF(INDEX(C_Pavement!$H$5:$H$204,$AQ372)&lt;&gt;"",IF(INDEX(C_Pavement!$H$5:$H$204,$AQ372)="-","",INDEX(C_Pavement!$H$5:$H$204,$AQ372)),IF($AS372="","",INDEX(E_Rules!$G$5:$G$9,$AS372))))</f>
        <v/>
      </c>
      <c r="AY372" t="str">
        <f>IF($AQ372="","",IF(INDEX(C_Pavement!$I$5:$I$204,$AQ372)&lt;&gt;"",IF(INDEX(C_Pavement!$I$5:$I$204,$AQ372)="-","",INDEX(C_Pavement!$I$5:$I$204,$AQ372)),IF($AS372="","",INDEX(E_Rules!$H$5:$H$9,$AS372))))</f>
        <v/>
      </c>
    </row>
    <row r="373" spans="1:51" ht="15.75" customHeight="1" x14ac:dyDescent="0.3">
      <c r="A373" s="189">
        <v>368</v>
      </c>
      <c r="B373" s="180">
        <v>18350</v>
      </c>
      <c r="C373" s="180" t="s">
        <v>679</v>
      </c>
      <c r="D373" s="181" t="str">
        <f>IFERROR(LOOKUP(2,1/((A_Corridor!$A$5:$A$204&lt;&gt;"")*(A_Corridor!$A$5:$A$204&lt;=$B373)*(A_Corridor!$B$5:$B$204&gt;$B373)*(A_Corridor!$C$5:$C$204&lt;&gt;"")),IF(UPPER(A_Corridor!$C$5:$C$204)="Y",1,"")),"")</f>
        <v/>
      </c>
      <c r="E373" s="181" t="str">
        <f>IFERROR(LOOKUP(2,1/((A_Corridor!$A$5:$A$204&lt;&gt;"")*(A_Corridor!$A$5:$A$204&lt;=$B373)*(A_Corridor!$B$5:$B$204&gt;$B373)*(A_Corridor!$D$5:$D$204&lt;&gt;"")),IF(A_Corridor!$D$5:$D$204="-","",UPPER(A_Corridor!$D$5:$D$204))),"")</f>
        <v/>
      </c>
      <c r="F373" s="181" t="str">
        <f>IFERROR(LOOKUP(2,1/((A_Corridor!$A$5:$A$204&lt;&gt;"")*(A_Corridor!$A$5:$A$204&lt;=$B373)*(A_Corridor!$B$5:$B$204&gt;$B373)*(A_Corridor!$E$5:$E$204&lt;&gt;"")),IF(A_Corridor!$E$5:$E$204="-","",1)),"")</f>
        <v/>
      </c>
      <c r="G373" s="182" t="str">
        <f>IFERROR(LOOKUP(2,1/((A_Corridor!$A$5:$A$204&lt;&gt;"")*(A_Corridor!$A$5:$A$204&lt;=$B373)*(A_Corridor!$B$5:$B$204&gt;$B373)*(A_Corridor!$E$5:$E$204&lt;&gt;"")),IF(A_Corridor!$E$5:$E$204="-","",A_Corridor!$E$5:$E$204)),"")</f>
        <v/>
      </c>
      <c r="H373" s="182" t="str">
        <f>IFERROR(LOOKUP(2,1/((D_Points!$A$5:$A$204&lt;&gt;"")*(D_Points!$A$5:$A$204&gt;=$B373)*(D_Points!$A$5:$A$204&lt;$B373+P_Interval)*(UPPER(TRIM(D_Points!$B$5:$B$204))="GULLY")*(D_Points!$H$5:$H$204&lt;&gt;"")),D_Points!$H$5:$H$204),"")</f>
        <v/>
      </c>
      <c r="I373" s="181" t="str">
        <f>IFERROR(LOOKUP(2,1/((A_Corridor!$A$5:$A$204&lt;&gt;"")*(A_Corridor!$A$5:$A$204&lt;=$B373)*(A_Corridor!$B$5:$B$204&gt;$B373)*(A_Corridor!$F$5:$F$204&lt;&gt;"")),IF(A_Corridor!$F$5:$F$204="-","",1)),"")</f>
        <v/>
      </c>
      <c r="J373" s="182" t="str">
        <f>IFERROR(LOOKUP(2,1/((A_Corridor!$A$5:$A$204&lt;&gt;"")*(A_Corridor!$A$5:$A$204&lt;=$B373)*(A_Corridor!$B$5:$B$204&gt;$B373)*(A_Corridor!$F$5:$F$204&lt;&gt;"")),IF(A_Corridor!$F$5:$F$204="-","",A_Corridor!$F$5:$F$204)),"")</f>
        <v/>
      </c>
      <c r="K373" s="182" t="str">
        <f>IFERROR(LOOKUP(2,1/((A_Corridor!$A$5:$A$204&lt;&gt;"")*(A_Corridor!$A$5:$A$204&lt;=$B373)*(A_Corridor!$B$5:$B$204&gt;$B373)*(A_Corridor!$G$5:$G$204&lt;&gt;"")),IF(A_Corridor!$G$5:$G$204="-","",A_Corridor!$G$5:$G$204)),"")</f>
        <v/>
      </c>
      <c r="L373" s="181" t="str">
        <f>IFERROR(LOOKUP(2,1/((A_Corridor!$A$5:$A$204&lt;&gt;"")*(A_Corridor!$A$5:$A$204&lt;=$B373)*(A_Corridor!$B$5:$B$204&gt;$B373)*(A_Corridor!$H$5:$H$204&lt;&gt;"")),IF(A_Corridor!$H$5:$H$204="-","",1)),"")</f>
        <v/>
      </c>
      <c r="M373" s="182" t="str">
        <f>IFERROR(LOOKUP(2,1/((A_Corridor!$A$5:$A$204&lt;&gt;"")*(A_Corridor!$A$5:$A$204&lt;=$B373)*(A_Corridor!$B$5:$B$204&gt;$B373)*(A_Corridor!$H$5:$H$204&lt;&gt;"")),IF(A_Corridor!$H$5:$H$204="-","",A_Corridor!$H$5:$H$204)),"")</f>
        <v/>
      </c>
      <c r="N373" s="182" t="str">
        <f>IFERROR(LOOKUP(2,1/((A_Corridor!$A$5:$A$204&lt;&gt;"")*(A_Corridor!$A$5:$A$204&lt;=$B373)*(A_Corridor!$B$5:$B$204&gt;$B373)*(A_Corridor!$I$5:$I$204&lt;&gt;"")),IF(A_Corridor!$I$5:$I$204="-","",A_Corridor!$I$5:$I$204)),"")</f>
        <v/>
      </c>
      <c r="O373" s="182" t="str">
        <f>IFERROR(LOOKUP(2,1/((D_Points!$A$5:$A$204&lt;&gt;"")*(D_Points!$A$5:$A$204&gt;=$B373)*(D_Points!$A$5:$A$204&lt;$B373+P_Interval)*(UPPER(TRIM(D_Points!$B$5:$B$204))="PITCHING")*(D_Points!$H$5:$H$204&lt;&gt;"")),D_Points!$H$5:$H$204),"")</f>
        <v/>
      </c>
      <c r="P373" s="181" t="str">
        <f>IFERROR(LOOKUP(2,1/((B_Drainage!$A$5:$A$204&lt;&gt;"")*(B_Drainage!$A$5:$A$204&lt;=$B373)*(B_Drainage!$B$5:$B$204&gt;$B373)*(B_Drainage!$C$5:$C$204&lt;&gt;"")),IF(B_Drainage!$C$5:$C$204="-","",UPPER(B_Drainage!$C$5:$C$204))),"")</f>
        <v/>
      </c>
      <c r="Q373" s="181" t="str">
        <f>IFERROR(LOOKUP(2,1/((B_Drainage!$A$5:$A$204&lt;&gt;"")*(B_Drainage!$A$5:$A$204&lt;=$B373)*(B_Drainage!$B$5:$B$204&gt;$B373)*(B_Drainage!$D$5:$D$204&lt;&gt;"")),IF(B_Drainage!$D$5:$D$204="-","",UPPER(B_Drainage!$D$5:$D$204))),"")</f>
        <v/>
      </c>
      <c r="R373" s="182" t="str">
        <f>IFERROR(LOOKUP(2,1/((D_Points!$A$5:$A$204&lt;&gt;"")*(D_Points!$A$5:$A$204&gt;=$B373)*(D_Points!$A$5:$A$204&lt;$B373+P_Interval)*(RIGHT(UPPER(TRIM(D_Points!$B$5:$B$204)),8)="_CULVERT")),IF(LEFT(UPPER(TRIM(D_Points!$B$5:$B$204)),2)="EX",1,IF(LEFT(UPPER(TRIM(D_Points!$B$5:$B$204)),2)="PR",2,3))),"")</f>
        <v/>
      </c>
      <c r="S373" s="182" t="str">
        <f>IFERROR(LOOKUP(2,1/((D_Points!$A$5:$A$204&lt;&gt;"")*(D_Points!$A$5:$A$204&gt;=$B373)*(D_Points!$A$5:$A$204&lt;$B373+P_Interval)*(RIGHT(UPPER(TRIM(D_Points!$B$5:$B$204)),7)="_BRIDGE")),IF(LEFT(UPPER(TRIM(D_Points!$B$5:$B$204)),2)="EX",1,IF(LEFT(UPPER(TRIM(D_Points!$B$5:$B$204)),2)="PR",2,2))),"")</f>
        <v/>
      </c>
      <c r="T373" s="181" t="str">
        <f>IFERROR(LOOKUP(2,1/((B_Drainage!$A$5:$A$204&lt;&gt;"")*(B_Drainage!$A$5:$A$204&lt;=$B373)*(B_Drainage!$B$5:$B$204&gt;$B373)*(B_Drainage!$E$5:$E$204&lt;&gt;"")),IF(B_Drainage!$E$5:$E$204="-","",1)),"")</f>
        <v/>
      </c>
      <c r="U373" s="181" t="str">
        <f>IFERROR(LOOKUP(2,1/((B_Drainage!$A$5:$A$204&lt;&gt;"")*(B_Drainage!$A$5:$A$204&lt;=$B373)*(B_Drainage!$B$5:$B$204&gt;$B373)*(B_Drainage!$E$5:$E$204&lt;&gt;"")),IF(B_Drainage!$E$5:$E$204="-","",B_Drainage!$E$5:$E$204)),"")</f>
        <v/>
      </c>
      <c r="V373" s="181" t="str">
        <f>IFERROR(LOOKUP(2,1/((B_Drainage!$A$5:$A$204&lt;&gt;"")*(B_Drainage!$A$5:$A$204&lt;=$B373)*(B_Drainage!$B$5:$B$204&gt;$B373)*(B_Drainage!$F$5:$F$204&lt;&gt;"")),IF(B_Drainage!$F$5:$F$204="-","",1)),"")</f>
        <v/>
      </c>
      <c r="W373" s="181" t="str">
        <f>IFERROR(LOOKUP(2,1/((B_Drainage!$A$5:$A$204&lt;&gt;"")*(B_Drainage!$A$5:$A$204&lt;=$B373)*(B_Drainage!$B$5:$B$204&gt;$B373)*(B_Drainage!$F$5:$F$204&lt;&gt;"")),IF(B_Drainage!$F$5:$F$204="-","",B_Drainage!$F$5:$F$204)),"")</f>
        <v/>
      </c>
      <c r="X373" s="181" t="str">
        <f>IFERROR(LOOKUP(2,1/((B_Drainage!$A$5:$A$204&lt;&gt;"")*(B_Drainage!$A$5:$A$204&lt;=$B373)*(B_Drainage!$B$5:$B$204&gt;$B373)*(B_Drainage!$G$5:$G$204&lt;&gt;"")),IF(UPPER(B_Drainage!$G$5:$G$204)="Y",1,"")),"")</f>
        <v/>
      </c>
      <c r="Y373" s="181" t="str">
        <f>IFERROR(LOOKUP(2,1/((B_Drainage!$A$5:$A$204&lt;&gt;"")*(B_Drainage!$A$5:$A$204&lt;=$B373)*(B_Drainage!$B$5:$B$204&gt;$B373)*(B_Drainage!$H$5:$H$204&lt;&gt;"")),IF(UPPER(B_Drainage!$H$5:$H$204)="Y",1,"")),"")</f>
        <v/>
      </c>
      <c r="Z373" s="181" t="str">
        <f>IFERROR(LOOKUP(2,1/((B_Drainage!$A$5:$A$204&lt;&gt;"")*(B_Drainage!$A$5:$A$204&lt;=$B373)*(B_Drainage!$B$5:$B$204&gt;$B373)*(B_Drainage!$I$5:$I$204&lt;&gt;"")),IF(UPPER(B_Drainage!$I$5:$I$204)="Y",1,"")),"")</f>
        <v/>
      </c>
      <c r="AA373" s="181" t="str">
        <f>IFERROR(LOOKUP(2,1/((B_Drainage!$A$5:$A$204&lt;&gt;"")*(B_Drainage!$A$5:$A$204&lt;=$B373)*(B_Drainage!$B$5:$B$204&gt;$B373)*(B_Drainage!$J$5:$J$204&lt;&gt;"")),IF(UPPER(B_Drainage!$J$5:$J$204)="Y",1,"")),"")</f>
        <v/>
      </c>
      <c r="AB373" s="182" t="str">
        <f>IFERROR(LOOKUP(2,1/((B_Drainage!$A$5:$A$204&lt;&gt;"")*(B_Drainage!$A$5:$A$204&lt;=$B373)*(B_Drainage!$B$5:$B$204&gt;$B373)*(B_Drainage!$K$5:$K$204&lt;&gt;"")),IF(B_Drainage!$K$5:$K$204="-","",B_Drainage!$K$5:$K$204)),"")</f>
        <v/>
      </c>
      <c r="AC373" s="182" t="str">
        <f>IFERROR(LOOKUP(2,1/((B_Drainage!$A$5:$A$204&lt;&gt;"")*(B_Drainage!$A$5:$A$204&lt;=$B373)*(B_Drainage!$B$5:$B$204&gt;$B373)*(B_Drainage!$L$5:$L$204&lt;&gt;"")),IF(B_Drainage!$L$5:$L$204="-","",B_Drainage!$L$5:$L$204)),"")</f>
        <v/>
      </c>
      <c r="AD373" s="182" t="str">
        <f>IFERROR(LOOKUP(2,1/((D_Points!$A$5:$A$204&lt;&gt;"")*(D_Points!$A$5:$A$204&gt;=$B373)*(D_Points!$A$5:$A$204&lt;$B373+P_Interval)*(UPPER(TRIM(D_Points!$B$5:$B$204))="TURNOUT_L")*(D_Points!$H$5:$H$204&lt;&gt;"")),D_Points!$H$5:$H$204),"")</f>
        <v/>
      </c>
      <c r="AE373" s="182" t="str">
        <f>IFERROR(LOOKUP(2,1/((D_Points!$A$5:$A$204&lt;&gt;"")*(D_Points!$A$5:$A$204&gt;=$B373)*(D_Points!$A$5:$A$204&lt;$B373+P_Interval)*(UPPER(TRIM(D_Points!$B$5:$B$204))="TURNOUT_R")*(D_Points!$H$5:$H$204&lt;&gt;"")),D_Points!$H$5:$H$204),"")</f>
        <v/>
      </c>
      <c r="AF373" s="181" t="str">
        <f>IFERROR(LOOKUP(2,1/((B_Drainage!$A$5:$A$204&lt;&gt;"")*(B_Drainage!$A$5:$A$204&lt;=$B373)*(B_Drainage!$B$5:$B$204&gt;$B373)*(B_Drainage!$M$5:$M$204&lt;&gt;"")),IF(UPPER(B_Drainage!$M$5:$M$204)="Y",1,"")),"")</f>
        <v/>
      </c>
      <c r="AG373" s="181" t="str">
        <f>IFERROR(LOOKUP(2,1/((B_Drainage!$A$5:$A$204&lt;&gt;"")*(B_Drainage!$A$5:$A$204&lt;=$B373)*(B_Drainage!$B$5:$B$204&gt;$B373)*(B_Drainage!$N$5:$N$204&lt;&gt;"")),IF(UPPER(B_Drainage!$N$5:$N$204)="Y",1,"")),"")</f>
        <v/>
      </c>
      <c r="AH373" s="181" t="str">
        <f t="shared" si="40"/>
        <v/>
      </c>
      <c r="AI373" s="181" t="str">
        <f t="shared" si="41"/>
        <v/>
      </c>
      <c r="AJ373" s="181" t="str">
        <f t="shared" si="42"/>
        <v/>
      </c>
      <c r="AK373" s="181" t="str">
        <f t="shared" si="43"/>
        <v/>
      </c>
      <c r="AL373" s="181" t="str">
        <f t="shared" si="44"/>
        <v/>
      </c>
      <c r="AM373" s="181" t="str">
        <f t="shared" si="45"/>
        <v/>
      </c>
      <c r="AN373" s="181" t="str">
        <f t="shared" si="46"/>
        <v/>
      </c>
      <c r="AO373" s="192" t="str">
        <f t="shared" si="47"/>
        <v/>
      </c>
      <c r="AQ373" t="str">
        <f>IFERROR(LOOKUP(2,1/((C_Pavement!$A$5:$A$204&lt;&gt;"")*(C_Pavement!$A$5:$A$204&lt;=$B373)*(C_Pavement!$B$5:$B$204&gt;$B373)*(C_Pavement!$C$5:$C$204&lt;&gt;"")),ROW(C_Pavement!$C$5:$C$204)-4),"")</f>
        <v/>
      </c>
      <c r="AR373" t="str">
        <f>IF($AQ373="","",UPPER(TRIM(INDEX(C_Pavement!$C$5:$C$204,$AQ373))))</f>
        <v/>
      </c>
      <c r="AS373" t="str">
        <f>IF($AR373="","",IFERROR(MATCH($AR373,E_Rules!$A$5:$A$9,0),""))</f>
        <v/>
      </c>
      <c r="AT373" t="str">
        <f>IF($AQ373="","",IF(INDEX(C_Pavement!$D$5:$D$204,$AQ373)&lt;&gt;"",UPPER(TRIM(INDEX(C_Pavement!$D$5:$D$204,$AQ373))),IF($AS373="","",INDEX(E_Rules!$C$5:$C$9,$AS373))))</f>
        <v/>
      </c>
      <c r="AU373" t="str">
        <f>IF($AQ373="","",IF(INDEX(C_Pavement!$E$5:$E$204,$AQ373)&lt;&gt;"",IF(INDEX(C_Pavement!$E$5:$E$204,$AQ373)="-","",INDEX(C_Pavement!$E$5:$E$204,$AQ373)),IF($AS373="","",INDEX(E_Rules!$D$5:$D$9,$AS373))))</f>
        <v/>
      </c>
      <c r="AV373" t="str">
        <f>IF($AQ373="","",IF(INDEX(C_Pavement!$F$5:$F$204,$AQ373)&lt;&gt;"",IF(INDEX(C_Pavement!$F$5:$F$204,$AQ373)="-","",INDEX(C_Pavement!$F$5:$F$204,$AQ373)),IF($AS373="","",INDEX(E_Rules!$E$5:$E$9,$AS373))))</f>
        <v/>
      </c>
      <c r="AW373" t="str">
        <f>IF($AQ373="","",IF(INDEX(C_Pavement!$G$5:$G$204,$AQ373)&lt;&gt;"",IF(INDEX(C_Pavement!$G$5:$G$204,$AQ373)="-","",INDEX(C_Pavement!$G$5:$G$204,$AQ373)),IF($AS373="","",INDEX(E_Rules!$F$5:$F$9,$AS373))))</f>
        <v/>
      </c>
      <c r="AX373" t="str">
        <f>IF($AQ373="","",IF(INDEX(C_Pavement!$H$5:$H$204,$AQ373)&lt;&gt;"",IF(INDEX(C_Pavement!$H$5:$H$204,$AQ373)="-","",INDEX(C_Pavement!$H$5:$H$204,$AQ373)),IF($AS373="","",INDEX(E_Rules!$G$5:$G$9,$AS373))))</f>
        <v/>
      </c>
      <c r="AY373" t="str">
        <f>IF($AQ373="","",IF(INDEX(C_Pavement!$I$5:$I$204,$AQ373)&lt;&gt;"",IF(INDEX(C_Pavement!$I$5:$I$204,$AQ373)="-","",INDEX(C_Pavement!$I$5:$I$204,$AQ373)),IF($AS373="","",INDEX(E_Rules!$H$5:$H$9,$AS373))))</f>
        <v/>
      </c>
    </row>
    <row r="374" spans="1:51" ht="15.75" customHeight="1" x14ac:dyDescent="0.3">
      <c r="A374" s="189">
        <v>369</v>
      </c>
      <c r="B374" s="180">
        <v>18400</v>
      </c>
      <c r="C374" s="180" t="s">
        <v>680</v>
      </c>
      <c r="D374" s="181" t="str">
        <f>IFERROR(LOOKUP(2,1/((A_Corridor!$A$5:$A$204&lt;&gt;"")*(A_Corridor!$A$5:$A$204&lt;=$B374)*(A_Corridor!$B$5:$B$204&gt;$B374)*(A_Corridor!$C$5:$C$204&lt;&gt;"")),IF(UPPER(A_Corridor!$C$5:$C$204)="Y",1,"")),"")</f>
        <v/>
      </c>
      <c r="E374" s="181" t="str">
        <f>IFERROR(LOOKUP(2,1/((A_Corridor!$A$5:$A$204&lt;&gt;"")*(A_Corridor!$A$5:$A$204&lt;=$B374)*(A_Corridor!$B$5:$B$204&gt;$B374)*(A_Corridor!$D$5:$D$204&lt;&gt;"")),IF(A_Corridor!$D$5:$D$204="-","",UPPER(A_Corridor!$D$5:$D$204))),"")</f>
        <v/>
      </c>
      <c r="F374" s="181" t="str">
        <f>IFERROR(LOOKUP(2,1/((A_Corridor!$A$5:$A$204&lt;&gt;"")*(A_Corridor!$A$5:$A$204&lt;=$B374)*(A_Corridor!$B$5:$B$204&gt;$B374)*(A_Corridor!$E$5:$E$204&lt;&gt;"")),IF(A_Corridor!$E$5:$E$204="-","",1)),"")</f>
        <v/>
      </c>
      <c r="G374" s="182" t="str">
        <f>IFERROR(LOOKUP(2,1/((A_Corridor!$A$5:$A$204&lt;&gt;"")*(A_Corridor!$A$5:$A$204&lt;=$B374)*(A_Corridor!$B$5:$B$204&gt;$B374)*(A_Corridor!$E$5:$E$204&lt;&gt;"")),IF(A_Corridor!$E$5:$E$204="-","",A_Corridor!$E$5:$E$204)),"")</f>
        <v/>
      </c>
      <c r="H374" s="182" t="str">
        <f>IFERROR(LOOKUP(2,1/((D_Points!$A$5:$A$204&lt;&gt;"")*(D_Points!$A$5:$A$204&gt;=$B374)*(D_Points!$A$5:$A$204&lt;$B374+P_Interval)*(UPPER(TRIM(D_Points!$B$5:$B$204))="GULLY")*(D_Points!$H$5:$H$204&lt;&gt;"")),D_Points!$H$5:$H$204),"")</f>
        <v/>
      </c>
      <c r="I374" s="181" t="str">
        <f>IFERROR(LOOKUP(2,1/((A_Corridor!$A$5:$A$204&lt;&gt;"")*(A_Corridor!$A$5:$A$204&lt;=$B374)*(A_Corridor!$B$5:$B$204&gt;$B374)*(A_Corridor!$F$5:$F$204&lt;&gt;"")),IF(A_Corridor!$F$5:$F$204="-","",1)),"")</f>
        <v/>
      </c>
      <c r="J374" s="182" t="str">
        <f>IFERROR(LOOKUP(2,1/((A_Corridor!$A$5:$A$204&lt;&gt;"")*(A_Corridor!$A$5:$A$204&lt;=$B374)*(A_Corridor!$B$5:$B$204&gt;$B374)*(A_Corridor!$F$5:$F$204&lt;&gt;"")),IF(A_Corridor!$F$5:$F$204="-","",A_Corridor!$F$5:$F$204)),"")</f>
        <v/>
      </c>
      <c r="K374" s="182" t="str">
        <f>IFERROR(LOOKUP(2,1/((A_Corridor!$A$5:$A$204&lt;&gt;"")*(A_Corridor!$A$5:$A$204&lt;=$B374)*(A_Corridor!$B$5:$B$204&gt;$B374)*(A_Corridor!$G$5:$G$204&lt;&gt;"")),IF(A_Corridor!$G$5:$G$204="-","",A_Corridor!$G$5:$G$204)),"")</f>
        <v/>
      </c>
      <c r="L374" s="181" t="str">
        <f>IFERROR(LOOKUP(2,1/((A_Corridor!$A$5:$A$204&lt;&gt;"")*(A_Corridor!$A$5:$A$204&lt;=$B374)*(A_Corridor!$B$5:$B$204&gt;$B374)*(A_Corridor!$H$5:$H$204&lt;&gt;"")),IF(A_Corridor!$H$5:$H$204="-","",1)),"")</f>
        <v/>
      </c>
      <c r="M374" s="182" t="str">
        <f>IFERROR(LOOKUP(2,1/((A_Corridor!$A$5:$A$204&lt;&gt;"")*(A_Corridor!$A$5:$A$204&lt;=$B374)*(A_Corridor!$B$5:$B$204&gt;$B374)*(A_Corridor!$H$5:$H$204&lt;&gt;"")),IF(A_Corridor!$H$5:$H$204="-","",A_Corridor!$H$5:$H$204)),"")</f>
        <v/>
      </c>
      <c r="N374" s="182" t="str">
        <f>IFERROR(LOOKUP(2,1/((A_Corridor!$A$5:$A$204&lt;&gt;"")*(A_Corridor!$A$5:$A$204&lt;=$B374)*(A_Corridor!$B$5:$B$204&gt;$B374)*(A_Corridor!$I$5:$I$204&lt;&gt;"")),IF(A_Corridor!$I$5:$I$204="-","",A_Corridor!$I$5:$I$204)),"")</f>
        <v/>
      </c>
      <c r="O374" s="182" t="str">
        <f>IFERROR(LOOKUP(2,1/((D_Points!$A$5:$A$204&lt;&gt;"")*(D_Points!$A$5:$A$204&gt;=$B374)*(D_Points!$A$5:$A$204&lt;$B374+P_Interval)*(UPPER(TRIM(D_Points!$B$5:$B$204))="PITCHING")*(D_Points!$H$5:$H$204&lt;&gt;"")),D_Points!$H$5:$H$204),"")</f>
        <v/>
      </c>
      <c r="P374" s="181" t="str">
        <f>IFERROR(LOOKUP(2,1/((B_Drainage!$A$5:$A$204&lt;&gt;"")*(B_Drainage!$A$5:$A$204&lt;=$B374)*(B_Drainage!$B$5:$B$204&gt;$B374)*(B_Drainage!$C$5:$C$204&lt;&gt;"")),IF(B_Drainage!$C$5:$C$204="-","",UPPER(B_Drainage!$C$5:$C$204))),"")</f>
        <v/>
      </c>
      <c r="Q374" s="181" t="str">
        <f>IFERROR(LOOKUP(2,1/((B_Drainage!$A$5:$A$204&lt;&gt;"")*(B_Drainage!$A$5:$A$204&lt;=$B374)*(B_Drainage!$B$5:$B$204&gt;$B374)*(B_Drainage!$D$5:$D$204&lt;&gt;"")),IF(B_Drainage!$D$5:$D$204="-","",UPPER(B_Drainage!$D$5:$D$204))),"")</f>
        <v/>
      </c>
      <c r="R374" s="182" t="str">
        <f>IFERROR(LOOKUP(2,1/((D_Points!$A$5:$A$204&lt;&gt;"")*(D_Points!$A$5:$A$204&gt;=$B374)*(D_Points!$A$5:$A$204&lt;$B374+P_Interval)*(RIGHT(UPPER(TRIM(D_Points!$B$5:$B$204)),8)="_CULVERT")),IF(LEFT(UPPER(TRIM(D_Points!$B$5:$B$204)),2)="EX",1,IF(LEFT(UPPER(TRIM(D_Points!$B$5:$B$204)),2)="PR",2,3))),"")</f>
        <v/>
      </c>
      <c r="S374" s="182" t="str">
        <f>IFERROR(LOOKUP(2,1/((D_Points!$A$5:$A$204&lt;&gt;"")*(D_Points!$A$5:$A$204&gt;=$B374)*(D_Points!$A$5:$A$204&lt;$B374+P_Interval)*(RIGHT(UPPER(TRIM(D_Points!$B$5:$B$204)),7)="_BRIDGE")),IF(LEFT(UPPER(TRIM(D_Points!$B$5:$B$204)),2)="EX",1,IF(LEFT(UPPER(TRIM(D_Points!$B$5:$B$204)),2)="PR",2,2))),"")</f>
        <v/>
      </c>
      <c r="T374" s="181" t="str">
        <f>IFERROR(LOOKUP(2,1/((B_Drainage!$A$5:$A$204&lt;&gt;"")*(B_Drainage!$A$5:$A$204&lt;=$B374)*(B_Drainage!$B$5:$B$204&gt;$B374)*(B_Drainage!$E$5:$E$204&lt;&gt;"")),IF(B_Drainage!$E$5:$E$204="-","",1)),"")</f>
        <v/>
      </c>
      <c r="U374" s="181" t="str">
        <f>IFERROR(LOOKUP(2,1/((B_Drainage!$A$5:$A$204&lt;&gt;"")*(B_Drainage!$A$5:$A$204&lt;=$B374)*(B_Drainage!$B$5:$B$204&gt;$B374)*(B_Drainage!$E$5:$E$204&lt;&gt;"")),IF(B_Drainage!$E$5:$E$204="-","",B_Drainage!$E$5:$E$204)),"")</f>
        <v/>
      </c>
      <c r="V374" s="181" t="str">
        <f>IFERROR(LOOKUP(2,1/((B_Drainage!$A$5:$A$204&lt;&gt;"")*(B_Drainage!$A$5:$A$204&lt;=$B374)*(B_Drainage!$B$5:$B$204&gt;$B374)*(B_Drainage!$F$5:$F$204&lt;&gt;"")),IF(B_Drainage!$F$5:$F$204="-","",1)),"")</f>
        <v/>
      </c>
      <c r="W374" s="181" t="str">
        <f>IFERROR(LOOKUP(2,1/((B_Drainage!$A$5:$A$204&lt;&gt;"")*(B_Drainage!$A$5:$A$204&lt;=$B374)*(B_Drainage!$B$5:$B$204&gt;$B374)*(B_Drainage!$F$5:$F$204&lt;&gt;"")),IF(B_Drainage!$F$5:$F$204="-","",B_Drainage!$F$5:$F$204)),"")</f>
        <v/>
      </c>
      <c r="X374" s="181" t="str">
        <f>IFERROR(LOOKUP(2,1/((B_Drainage!$A$5:$A$204&lt;&gt;"")*(B_Drainage!$A$5:$A$204&lt;=$B374)*(B_Drainage!$B$5:$B$204&gt;$B374)*(B_Drainage!$G$5:$G$204&lt;&gt;"")),IF(UPPER(B_Drainage!$G$5:$G$204)="Y",1,"")),"")</f>
        <v/>
      </c>
      <c r="Y374" s="181" t="str">
        <f>IFERROR(LOOKUP(2,1/((B_Drainage!$A$5:$A$204&lt;&gt;"")*(B_Drainage!$A$5:$A$204&lt;=$B374)*(B_Drainage!$B$5:$B$204&gt;$B374)*(B_Drainage!$H$5:$H$204&lt;&gt;"")),IF(UPPER(B_Drainage!$H$5:$H$204)="Y",1,"")),"")</f>
        <v/>
      </c>
      <c r="Z374" s="181" t="str">
        <f>IFERROR(LOOKUP(2,1/((B_Drainage!$A$5:$A$204&lt;&gt;"")*(B_Drainage!$A$5:$A$204&lt;=$B374)*(B_Drainage!$B$5:$B$204&gt;$B374)*(B_Drainage!$I$5:$I$204&lt;&gt;"")),IF(UPPER(B_Drainage!$I$5:$I$204)="Y",1,"")),"")</f>
        <v/>
      </c>
      <c r="AA374" s="181" t="str">
        <f>IFERROR(LOOKUP(2,1/((B_Drainage!$A$5:$A$204&lt;&gt;"")*(B_Drainage!$A$5:$A$204&lt;=$B374)*(B_Drainage!$B$5:$B$204&gt;$B374)*(B_Drainage!$J$5:$J$204&lt;&gt;"")),IF(UPPER(B_Drainage!$J$5:$J$204)="Y",1,"")),"")</f>
        <v/>
      </c>
      <c r="AB374" s="182" t="str">
        <f>IFERROR(LOOKUP(2,1/((B_Drainage!$A$5:$A$204&lt;&gt;"")*(B_Drainage!$A$5:$A$204&lt;=$B374)*(B_Drainage!$B$5:$B$204&gt;$B374)*(B_Drainage!$K$5:$K$204&lt;&gt;"")),IF(B_Drainage!$K$5:$K$204="-","",B_Drainage!$K$5:$K$204)),"")</f>
        <v/>
      </c>
      <c r="AC374" s="182" t="str">
        <f>IFERROR(LOOKUP(2,1/((B_Drainage!$A$5:$A$204&lt;&gt;"")*(B_Drainage!$A$5:$A$204&lt;=$B374)*(B_Drainage!$B$5:$B$204&gt;$B374)*(B_Drainage!$L$5:$L$204&lt;&gt;"")),IF(B_Drainage!$L$5:$L$204="-","",B_Drainage!$L$5:$L$204)),"")</f>
        <v/>
      </c>
      <c r="AD374" s="182" t="str">
        <f>IFERROR(LOOKUP(2,1/((D_Points!$A$5:$A$204&lt;&gt;"")*(D_Points!$A$5:$A$204&gt;=$B374)*(D_Points!$A$5:$A$204&lt;$B374+P_Interval)*(UPPER(TRIM(D_Points!$B$5:$B$204))="TURNOUT_L")*(D_Points!$H$5:$H$204&lt;&gt;"")),D_Points!$H$5:$H$204),"")</f>
        <v/>
      </c>
      <c r="AE374" s="182" t="str">
        <f>IFERROR(LOOKUP(2,1/((D_Points!$A$5:$A$204&lt;&gt;"")*(D_Points!$A$5:$A$204&gt;=$B374)*(D_Points!$A$5:$A$204&lt;$B374+P_Interval)*(UPPER(TRIM(D_Points!$B$5:$B$204))="TURNOUT_R")*(D_Points!$H$5:$H$204&lt;&gt;"")),D_Points!$H$5:$H$204),"")</f>
        <v/>
      </c>
      <c r="AF374" s="181" t="str">
        <f>IFERROR(LOOKUP(2,1/((B_Drainage!$A$5:$A$204&lt;&gt;"")*(B_Drainage!$A$5:$A$204&lt;=$B374)*(B_Drainage!$B$5:$B$204&gt;$B374)*(B_Drainage!$M$5:$M$204&lt;&gt;"")),IF(UPPER(B_Drainage!$M$5:$M$204)="Y",1,"")),"")</f>
        <v/>
      </c>
      <c r="AG374" s="181" t="str">
        <f>IFERROR(LOOKUP(2,1/((B_Drainage!$A$5:$A$204&lt;&gt;"")*(B_Drainage!$A$5:$A$204&lt;=$B374)*(B_Drainage!$B$5:$B$204&gt;$B374)*(B_Drainage!$N$5:$N$204&lt;&gt;"")),IF(UPPER(B_Drainage!$N$5:$N$204)="Y",1,"")),"")</f>
        <v/>
      </c>
      <c r="AH374" s="181" t="str">
        <f t="shared" si="40"/>
        <v/>
      </c>
      <c r="AI374" s="181" t="str">
        <f t="shared" si="41"/>
        <v/>
      </c>
      <c r="AJ374" s="181" t="str">
        <f t="shared" si="42"/>
        <v/>
      </c>
      <c r="AK374" s="181" t="str">
        <f t="shared" si="43"/>
        <v/>
      </c>
      <c r="AL374" s="181" t="str">
        <f t="shared" si="44"/>
        <v/>
      </c>
      <c r="AM374" s="181" t="str">
        <f t="shared" si="45"/>
        <v/>
      </c>
      <c r="AN374" s="181" t="str">
        <f t="shared" si="46"/>
        <v/>
      </c>
      <c r="AO374" s="192" t="str">
        <f t="shared" si="47"/>
        <v/>
      </c>
      <c r="AQ374" t="str">
        <f>IFERROR(LOOKUP(2,1/((C_Pavement!$A$5:$A$204&lt;&gt;"")*(C_Pavement!$A$5:$A$204&lt;=$B374)*(C_Pavement!$B$5:$B$204&gt;$B374)*(C_Pavement!$C$5:$C$204&lt;&gt;"")),ROW(C_Pavement!$C$5:$C$204)-4),"")</f>
        <v/>
      </c>
      <c r="AR374" t="str">
        <f>IF($AQ374="","",UPPER(TRIM(INDEX(C_Pavement!$C$5:$C$204,$AQ374))))</f>
        <v/>
      </c>
      <c r="AS374" t="str">
        <f>IF($AR374="","",IFERROR(MATCH($AR374,E_Rules!$A$5:$A$9,0),""))</f>
        <v/>
      </c>
      <c r="AT374" t="str">
        <f>IF($AQ374="","",IF(INDEX(C_Pavement!$D$5:$D$204,$AQ374)&lt;&gt;"",UPPER(TRIM(INDEX(C_Pavement!$D$5:$D$204,$AQ374))),IF($AS374="","",INDEX(E_Rules!$C$5:$C$9,$AS374))))</f>
        <v/>
      </c>
      <c r="AU374" t="str">
        <f>IF($AQ374="","",IF(INDEX(C_Pavement!$E$5:$E$204,$AQ374)&lt;&gt;"",IF(INDEX(C_Pavement!$E$5:$E$204,$AQ374)="-","",INDEX(C_Pavement!$E$5:$E$204,$AQ374)),IF($AS374="","",INDEX(E_Rules!$D$5:$D$9,$AS374))))</f>
        <v/>
      </c>
      <c r="AV374" t="str">
        <f>IF($AQ374="","",IF(INDEX(C_Pavement!$F$5:$F$204,$AQ374)&lt;&gt;"",IF(INDEX(C_Pavement!$F$5:$F$204,$AQ374)="-","",INDEX(C_Pavement!$F$5:$F$204,$AQ374)),IF($AS374="","",INDEX(E_Rules!$E$5:$E$9,$AS374))))</f>
        <v/>
      </c>
      <c r="AW374" t="str">
        <f>IF($AQ374="","",IF(INDEX(C_Pavement!$G$5:$G$204,$AQ374)&lt;&gt;"",IF(INDEX(C_Pavement!$G$5:$G$204,$AQ374)="-","",INDEX(C_Pavement!$G$5:$G$204,$AQ374)),IF($AS374="","",INDEX(E_Rules!$F$5:$F$9,$AS374))))</f>
        <v/>
      </c>
      <c r="AX374" t="str">
        <f>IF($AQ374="","",IF(INDEX(C_Pavement!$H$5:$H$204,$AQ374)&lt;&gt;"",IF(INDEX(C_Pavement!$H$5:$H$204,$AQ374)="-","",INDEX(C_Pavement!$H$5:$H$204,$AQ374)),IF($AS374="","",INDEX(E_Rules!$G$5:$G$9,$AS374))))</f>
        <v/>
      </c>
      <c r="AY374" t="str">
        <f>IF($AQ374="","",IF(INDEX(C_Pavement!$I$5:$I$204,$AQ374)&lt;&gt;"",IF(INDEX(C_Pavement!$I$5:$I$204,$AQ374)="-","",INDEX(C_Pavement!$I$5:$I$204,$AQ374)),IF($AS374="","",INDEX(E_Rules!$H$5:$H$9,$AS374))))</f>
        <v/>
      </c>
    </row>
    <row r="375" spans="1:51" ht="15.75" customHeight="1" x14ac:dyDescent="0.3">
      <c r="A375" s="189">
        <v>370</v>
      </c>
      <c r="B375" s="180">
        <v>18450</v>
      </c>
      <c r="C375" s="180" t="s">
        <v>681</v>
      </c>
      <c r="D375" s="181" t="str">
        <f>IFERROR(LOOKUP(2,1/((A_Corridor!$A$5:$A$204&lt;&gt;"")*(A_Corridor!$A$5:$A$204&lt;=$B375)*(A_Corridor!$B$5:$B$204&gt;$B375)*(A_Corridor!$C$5:$C$204&lt;&gt;"")),IF(UPPER(A_Corridor!$C$5:$C$204)="Y",1,"")),"")</f>
        <v/>
      </c>
      <c r="E375" s="181" t="str">
        <f>IFERROR(LOOKUP(2,1/((A_Corridor!$A$5:$A$204&lt;&gt;"")*(A_Corridor!$A$5:$A$204&lt;=$B375)*(A_Corridor!$B$5:$B$204&gt;$B375)*(A_Corridor!$D$5:$D$204&lt;&gt;"")),IF(A_Corridor!$D$5:$D$204="-","",UPPER(A_Corridor!$D$5:$D$204))),"")</f>
        <v/>
      </c>
      <c r="F375" s="181" t="str">
        <f>IFERROR(LOOKUP(2,1/((A_Corridor!$A$5:$A$204&lt;&gt;"")*(A_Corridor!$A$5:$A$204&lt;=$B375)*(A_Corridor!$B$5:$B$204&gt;$B375)*(A_Corridor!$E$5:$E$204&lt;&gt;"")),IF(A_Corridor!$E$5:$E$204="-","",1)),"")</f>
        <v/>
      </c>
      <c r="G375" s="182" t="str">
        <f>IFERROR(LOOKUP(2,1/((A_Corridor!$A$5:$A$204&lt;&gt;"")*(A_Corridor!$A$5:$A$204&lt;=$B375)*(A_Corridor!$B$5:$B$204&gt;$B375)*(A_Corridor!$E$5:$E$204&lt;&gt;"")),IF(A_Corridor!$E$5:$E$204="-","",A_Corridor!$E$5:$E$204)),"")</f>
        <v/>
      </c>
      <c r="H375" s="182" t="str">
        <f>IFERROR(LOOKUP(2,1/((D_Points!$A$5:$A$204&lt;&gt;"")*(D_Points!$A$5:$A$204&gt;=$B375)*(D_Points!$A$5:$A$204&lt;$B375+P_Interval)*(UPPER(TRIM(D_Points!$B$5:$B$204))="GULLY")*(D_Points!$H$5:$H$204&lt;&gt;"")),D_Points!$H$5:$H$204),"")</f>
        <v/>
      </c>
      <c r="I375" s="181" t="str">
        <f>IFERROR(LOOKUP(2,1/((A_Corridor!$A$5:$A$204&lt;&gt;"")*(A_Corridor!$A$5:$A$204&lt;=$B375)*(A_Corridor!$B$5:$B$204&gt;$B375)*(A_Corridor!$F$5:$F$204&lt;&gt;"")),IF(A_Corridor!$F$5:$F$204="-","",1)),"")</f>
        <v/>
      </c>
      <c r="J375" s="182" t="str">
        <f>IFERROR(LOOKUP(2,1/((A_Corridor!$A$5:$A$204&lt;&gt;"")*(A_Corridor!$A$5:$A$204&lt;=$B375)*(A_Corridor!$B$5:$B$204&gt;$B375)*(A_Corridor!$F$5:$F$204&lt;&gt;"")),IF(A_Corridor!$F$5:$F$204="-","",A_Corridor!$F$5:$F$204)),"")</f>
        <v/>
      </c>
      <c r="K375" s="182" t="str">
        <f>IFERROR(LOOKUP(2,1/((A_Corridor!$A$5:$A$204&lt;&gt;"")*(A_Corridor!$A$5:$A$204&lt;=$B375)*(A_Corridor!$B$5:$B$204&gt;$B375)*(A_Corridor!$G$5:$G$204&lt;&gt;"")),IF(A_Corridor!$G$5:$G$204="-","",A_Corridor!$G$5:$G$204)),"")</f>
        <v/>
      </c>
      <c r="L375" s="181" t="str">
        <f>IFERROR(LOOKUP(2,1/((A_Corridor!$A$5:$A$204&lt;&gt;"")*(A_Corridor!$A$5:$A$204&lt;=$B375)*(A_Corridor!$B$5:$B$204&gt;$B375)*(A_Corridor!$H$5:$H$204&lt;&gt;"")),IF(A_Corridor!$H$5:$H$204="-","",1)),"")</f>
        <v/>
      </c>
      <c r="M375" s="182" t="str">
        <f>IFERROR(LOOKUP(2,1/((A_Corridor!$A$5:$A$204&lt;&gt;"")*(A_Corridor!$A$5:$A$204&lt;=$B375)*(A_Corridor!$B$5:$B$204&gt;$B375)*(A_Corridor!$H$5:$H$204&lt;&gt;"")),IF(A_Corridor!$H$5:$H$204="-","",A_Corridor!$H$5:$H$204)),"")</f>
        <v/>
      </c>
      <c r="N375" s="182" t="str">
        <f>IFERROR(LOOKUP(2,1/((A_Corridor!$A$5:$A$204&lt;&gt;"")*(A_Corridor!$A$5:$A$204&lt;=$B375)*(A_Corridor!$B$5:$B$204&gt;$B375)*(A_Corridor!$I$5:$I$204&lt;&gt;"")),IF(A_Corridor!$I$5:$I$204="-","",A_Corridor!$I$5:$I$204)),"")</f>
        <v/>
      </c>
      <c r="O375" s="182" t="str">
        <f>IFERROR(LOOKUP(2,1/((D_Points!$A$5:$A$204&lt;&gt;"")*(D_Points!$A$5:$A$204&gt;=$B375)*(D_Points!$A$5:$A$204&lt;$B375+P_Interval)*(UPPER(TRIM(D_Points!$B$5:$B$204))="PITCHING")*(D_Points!$H$5:$H$204&lt;&gt;"")),D_Points!$H$5:$H$204),"")</f>
        <v/>
      </c>
      <c r="P375" s="181" t="str">
        <f>IFERROR(LOOKUP(2,1/((B_Drainage!$A$5:$A$204&lt;&gt;"")*(B_Drainage!$A$5:$A$204&lt;=$B375)*(B_Drainage!$B$5:$B$204&gt;$B375)*(B_Drainage!$C$5:$C$204&lt;&gt;"")),IF(B_Drainage!$C$5:$C$204="-","",UPPER(B_Drainage!$C$5:$C$204))),"")</f>
        <v/>
      </c>
      <c r="Q375" s="181" t="str">
        <f>IFERROR(LOOKUP(2,1/((B_Drainage!$A$5:$A$204&lt;&gt;"")*(B_Drainage!$A$5:$A$204&lt;=$B375)*(B_Drainage!$B$5:$B$204&gt;$B375)*(B_Drainage!$D$5:$D$204&lt;&gt;"")),IF(B_Drainage!$D$5:$D$204="-","",UPPER(B_Drainage!$D$5:$D$204))),"")</f>
        <v/>
      </c>
      <c r="R375" s="182" t="str">
        <f>IFERROR(LOOKUP(2,1/((D_Points!$A$5:$A$204&lt;&gt;"")*(D_Points!$A$5:$A$204&gt;=$B375)*(D_Points!$A$5:$A$204&lt;$B375+P_Interval)*(RIGHT(UPPER(TRIM(D_Points!$B$5:$B$204)),8)="_CULVERT")),IF(LEFT(UPPER(TRIM(D_Points!$B$5:$B$204)),2)="EX",1,IF(LEFT(UPPER(TRIM(D_Points!$B$5:$B$204)),2)="PR",2,3))),"")</f>
        <v/>
      </c>
      <c r="S375" s="182" t="str">
        <f>IFERROR(LOOKUP(2,1/((D_Points!$A$5:$A$204&lt;&gt;"")*(D_Points!$A$5:$A$204&gt;=$B375)*(D_Points!$A$5:$A$204&lt;$B375+P_Interval)*(RIGHT(UPPER(TRIM(D_Points!$B$5:$B$204)),7)="_BRIDGE")),IF(LEFT(UPPER(TRIM(D_Points!$B$5:$B$204)),2)="EX",1,IF(LEFT(UPPER(TRIM(D_Points!$B$5:$B$204)),2)="PR",2,2))),"")</f>
        <v/>
      </c>
      <c r="T375" s="181" t="str">
        <f>IFERROR(LOOKUP(2,1/((B_Drainage!$A$5:$A$204&lt;&gt;"")*(B_Drainage!$A$5:$A$204&lt;=$B375)*(B_Drainage!$B$5:$B$204&gt;$B375)*(B_Drainage!$E$5:$E$204&lt;&gt;"")),IF(B_Drainage!$E$5:$E$204="-","",1)),"")</f>
        <v/>
      </c>
      <c r="U375" s="181" t="str">
        <f>IFERROR(LOOKUP(2,1/((B_Drainage!$A$5:$A$204&lt;&gt;"")*(B_Drainage!$A$5:$A$204&lt;=$B375)*(B_Drainage!$B$5:$B$204&gt;$B375)*(B_Drainage!$E$5:$E$204&lt;&gt;"")),IF(B_Drainage!$E$5:$E$204="-","",B_Drainage!$E$5:$E$204)),"")</f>
        <v/>
      </c>
      <c r="V375" s="181" t="str">
        <f>IFERROR(LOOKUP(2,1/((B_Drainage!$A$5:$A$204&lt;&gt;"")*(B_Drainage!$A$5:$A$204&lt;=$B375)*(B_Drainage!$B$5:$B$204&gt;$B375)*(B_Drainage!$F$5:$F$204&lt;&gt;"")),IF(B_Drainage!$F$5:$F$204="-","",1)),"")</f>
        <v/>
      </c>
      <c r="W375" s="181" t="str">
        <f>IFERROR(LOOKUP(2,1/((B_Drainage!$A$5:$A$204&lt;&gt;"")*(B_Drainage!$A$5:$A$204&lt;=$B375)*(B_Drainage!$B$5:$B$204&gt;$B375)*(B_Drainage!$F$5:$F$204&lt;&gt;"")),IF(B_Drainage!$F$5:$F$204="-","",B_Drainage!$F$5:$F$204)),"")</f>
        <v/>
      </c>
      <c r="X375" s="181" t="str">
        <f>IFERROR(LOOKUP(2,1/((B_Drainage!$A$5:$A$204&lt;&gt;"")*(B_Drainage!$A$5:$A$204&lt;=$B375)*(B_Drainage!$B$5:$B$204&gt;$B375)*(B_Drainage!$G$5:$G$204&lt;&gt;"")),IF(UPPER(B_Drainage!$G$5:$G$204)="Y",1,"")),"")</f>
        <v/>
      </c>
      <c r="Y375" s="181" t="str">
        <f>IFERROR(LOOKUP(2,1/((B_Drainage!$A$5:$A$204&lt;&gt;"")*(B_Drainage!$A$5:$A$204&lt;=$B375)*(B_Drainage!$B$5:$B$204&gt;$B375)*(B_Drainage!$H$5:$H$204&lt;&gt;"")),IF(UPPER(B_Drainage!$H$5:$H$204)="Y",1,"")),"")</f>
        <v/>
      </c>
      <c r="Z375" s="181" t="str">
        <f>IFERROR(LOOKUP(2,1/((B_Drainage!$A$5:$A$204&lt;&gt;"")*(B_Drainage!$A$5:$A$204&lt;=$B375)*(B_Drainage!$B$5:$B$204&gt;$B375)*(B_Drainage!$I$5:$I$204&lt;&gt;"")),IF(UPPER(B_Drainage!$I$5:$I$204)="Y",1,"")),"")</f>
        <v/>
      </c>
      <c r="AA375" s="181" t="str">
        <f>IFERROR(LOOKUP(2,1/((B_Drainage!$A$5:$A$204&lt;&gt;"")*(B_Drainage!$A$5:$A$204&lt;=$B375)*(B_Drainage!$B$5:$B$204&gt;$B375)*(B_Drainage!$J$5:$J$204&lt;&gt;"")),IF(UPPER(B_Drainage!$J$5:$J$204)="Y",1,"")),"")</f>
        <v/>
      </c>
      <c r="AB375" s="182" t="str">
        <f>IFERROR(LOOKUP(2,1/((B_Drainage!$A$5:$A$204&lt;&gt;"")*(B_Drainage!$A$5:$A$204&lt;=$B375)*(B_Drainage!$B$5:$B$204&gt;$B375)*(B_Drainage!$K$5:$K$204&lt;&gt;"")),IF(B_Drainage!$K$5:$K$204="-","",B_Drainage!$K$5:$K$204)),"")</f>
        <v/>
      </c>
      <c r="AC375" s="182" t="str">
        <f>IFERROR(LOOKUP(2,1/((B_Drainage!$A$5:$A$204&lt;&gt;"")*(B_Drainage!$A$5:$A$204&lt;=$B375)*(B_Drainage!$B$5:$B$204&gt;$B375)*(B_Drainage!$L$5:$L$204&lt;&gt;"")),IF(B_Drainage!$L$5:$L$204="-","",B_Drainage!$L$5:$L$204)),"")</f>
        <v/>
      </c>
      <c r="AD375" s="182" t="str">
        <f>IFERROR(LOOKUP(2,1/((D_Points!$A$5:$A$204&lt;&gt;"")*(D_Points!$A$5:$A$204&gt;=$B375)*(D_Points!$A$5:$A$204&lt;$B375+P_Interval)*(UPPER(TRIM(D_Points!$B$5:$B$204))="TURNOUT_L")*(D_Points!$H$5:$H$204&lt;&gt;"")),D_Points!$H$5:$H$204),"")</f>
        <v/>
      </c>
      <c r="AE375" s="182" t="str">
        <f>IFERROR(LOOKUP(2,1/((D_Points!$A$5:$A$204&lt;&gt;"")*(D_Points!$A$5:$A$204&gt;=$B375)*(D_Points!$A$5:$A$204&lt;$B375+P_Interval)*(UPPER(TRIM(D_Points!$B$5:$B$204))="TURNOUT_R")*(D_Points!$H$5:$H$204&lt;&gt;"")),D_Points!$H$5:$H$204),"")</f>
        <v/>
      </c>
      <c r="AF375" s="181" t="str">
        <f>IFERROR(LOOKUP(2,1/((B_Drainage!$A$5:$A$204&lt;&gt;"")*(B_Drainage!$A$5:$A$204&lt;=$B375)*(B_Drainage!$B$5:$B$204&gt;$B375)*(B_Drainage!$M$5:$M$204&lt;&gt;"")),IF(UPPER(B_Drainage!$M$5:$M$204)="Y",1,"")),"")</f>
        <v/>
      </c>
      <c r="AG375" s="181" t="str">
        <f>IFERROR(LOOKUP(2,1/((B_Drainage!$A$5:$A$204&lt;&gt;"")*(B_Drainage!$A$5:$A$204&lt;=$B375)*(B_Drainage!$B$5:$B$204&gt;$B375)*(B_Drainage!$N$5:$N$204&lt;&gt;"")),IF(UPPER(B_Drainage!$N$5:$N$204)="Y",1,"")),"")</f>
        <v/>
      </c>
      <c r="AH375" s="181" t="str">
        <f t="shared" si="40"/>
        <v/>
      </c>
      <c r="AI375" s="181" t="str">
        <f t="shared" si="41"/>
        <v/>
      </c>
      <c r="AJ375" s="181" t="str">
        <f t="shared" si="42"/>
        <v/>
      </c>
      <c r="AK375" s="181" t="str">
        <f t="shared" si="43"/>
        <v/>
      </c>
      <c r="AL375" s="181" t="str">
        <f t="shared" si="44"/>
        <v/>
      </c>
      <c r="AM375" s="181" t="str">
        <f t="shared" si="45"/>
        <v/>
      </c>
      <c r="AN375" s="181" t="str">
        <f t="shared" si="46"/>
        <v/>
      </c>
      <c r="AO375" s="192" t="str">
        <f t="shared" si="47"/>
        <v/>
      </c>
      <c r="AQ375" t="str">
        <f>IFERROR(LOOKUP(2,1/((C_Pavement!$A$5:$A$204&lt;&gt;"")*(C_Pavement!$A$5:$A$204&lt;=$B375)*(C_Pavement!$B$5:$B$204&gt;$B375)*(C_Pavement!$C$5:$C$204&lt;&gt;"")),ROW(C_Pavement!$C$5:$C$204)-4),"")</f>
        <v/>
      </c>
      <c r="AR375" t="str">
        <f>IF($AQ375="","",UPPER(TRIM(INDEX(C_Pavement!$C$5:$C$204,$AQ375))))</f>
        <v/>
      </c>
      <c r="AS375" t="str">
        <f>IF($AR375="","",IFERROR(MATCH($AR375,E_Rules!$A$5:$A$9,0),""))</f>
        <v/>
      </c>
      <c r="AT375" t="str">
        <f>IF($AQ375="","",IF(INDEX(C_Pavement!$D$5:$D$204,$AQ375)&lt;&gt;"",UPPER(TRIM(INDEX(C_Pavement!$D$5:$D$204,$AQ375))),IF($AS375="","",INDEX(E_Rules!$C$5:$C$9,$AS375))))</f>
        <v/>
      </c>
      <c r="AU375" t="str">
        <f>IF($AQ375="","",IF(INDEX(C_Pavement!$E$5:$E$204,$AQ375)&lt;&gt;"",IF(INDEX(C_Pavement!$E$5:$E$204,$AQ375)="-","",INDEX(C_Pavement!$E$5:$E$204,$AQ375)),IF($AS375="","",INDEX(E_Rules!$D$5:$D$9,$AS375))))</f>
        <v/>
      </c>
      <c r="AV375" t="str">
        <f>IF($AQ375="","",IF(INDEX(C_Pavement!$F$5:$F$204,$AQ375)&lt;&gt;"",IF(INDEX(C_Pavement!$F$5:$F$204,$AQ375)="-","",INDEX(C_Pavement!$F$5:$F$204,$AQ375)),IF($AS375="","",INDEX(E_Rules!$E$5:$E$9,$AS375))))</f>
        <v/>
      </c>
      <c r="AW375" t="str">
        <f>IF($AQ375="","",IF(INDEX(C_Pavement!$G$5:$G$204,$AQ375)&lt;&gt;"",IF(INDEX(C_Pavement!$G$5:$G$204,$AQ375)="-","",INDEX(C_Pavement!$G$5:$G$204,$AQ375)),IF($AS375="","",INDEX(E_Rules!$F$5:$F$9,$AS375))))</f>
        <v/>
      </c>
      <c r="AX375" t="str">
        <f>IF($AQ375="","",IF(INDEX(C_Pavement!$H$5:$H$204,$AQ375)&lt;&gt;"",IF(INDEX(C_Pavement!$H$5:$H$204,$AQ375)="-","",INDEX(C_Pavement!$H$5:$H$204,$AQ375)),IF($AS375="","",INDEX(E_Rules!$G$5:$G$9,$AS375))))</f>
        <v/>
      </c>
      <c r="AY375" t="str">
        <f>IF($AQ375="","",IF(INDEX(C_Pavement!$I$5:$I$204,$AQ375)&lt;&gt;"",IF(INDEX(C_Pavement!$I$5:$I$204,$AQ375)="-","",INDEX(C_Pavement!$I$5:$I$204,$AQ375)),IF($AS375="","",INDEX(E_Rules!$H$5:$H$9,$AS375))))</f>
        <v/>
      </c>
    </row>
    <row r="376" spans="1:51" ht="15.75" customHeight="1" x14ac:dyDescent="0.3">
      <c r="A376" s="189">
        <v>371</v>
      </c>
      <c r="B376" s="180">
        <v>18500</v>
      </c>
      <c r="C376" s="180" t="s">
        <v>682</v>
      </c>
      <c r="D376" s="181" t="str">
        <f>IFERROR(LOOKUP(2,1/((A_Corridor!$A$5:$A$204&lt;&gt;"")*(A_Corridor!$A$5:$A$204&lt;=$B376)*(A_Corridor!$B$5:$B$204&gt;$B376)*(A_Corridor!$C$5:$C$204&lt;&gt;"")),IF(UPPER(A_Corridor!$C$5:$C$204)="Y",1,"")),"")</f>
        <v/>
      </c>
      <c r="E376" s="181" t="str">
        <f>IFERROR(LOOKUP(2,1/((A_Corridor!$A$5:$A$204&lt;&gt;"")*(A_Corridor!$A$5:$A$204&lt;=$B376)*(A_Corridor!$B$5:$B$204&gt;$B376)*(A_Corridor!$D$5:$D$204&lt;&gt;"")),IF(A_Corridor!$D$5:$D$204="-","",UPPER(A_Corridor!$D$5:$D$204))),"")</f>
        <v/>
      </c>
      <c r="F376" s="181" t="str">
        <f>IFERROR(LOOKUP(2,1/((A_Corridor!$A$5:$A$204&lt;&gt;"")*(A_Corridor!$A$5:$A$204&lt;=$B376)*(A_Corridor!$B$5:$B$204&gt;$B376)*(A_Corridor!$E$5:$E$204&lt;&gt;"")),IF(A_Corridor!$E$5:$E$204="-","",1)),"")</f>
        <v/>
      </c>
      <c r="G376" s="182" t="str">
        <f>IFERROR(LOOKUP(2,1/((A_Corridor!$A$5:$A$204&lt;&gt;"")*(A_Corridor!$A$5:$A$204&lt;=$B376)*(A_Corridor!$B$5:$B$204&gt;$B376)*(A_Corridor!$E$5:$E$204&lt;&gt;"")),IF(A_Corridor!$E$5:$E$204="-","",A_Corridor!$E$5:$E$204)),"")</f>
        <v/>
      </c>
      <c r="H376" s="182" t="str">
        <f>IFERROR(LOOKUP(2,1/((D_Points!$A$5:$A$204&lt;&gt;"")*(D_Points!$A$5:$A$204&gt;=$B376)*(D_Points!$A$5:$A$204&lt;$B376+P_Interval)*(UPPER(TRIM(D_Points!$B$5:$B$204))="GULLY")*(D_Points!$H$5:$H$204&lt;&gt;"")),D_Points!$H$5:$H$204),"")</f>
        <v/>
      </c>
      <c r="I376" s="181" t="str">
        <f>IFERROR(LOOKUP(2,1/((A_Corridor!$A$5:$A$204&lt;&gt;"")*(A_Corridor!$A$5:$A$204&lt;=$B376)*(A_Corridor!$B$5:$B$204&gt;$B376)*(A_Corridor!$F$5:$F$204&lt;&gt;"")),IF(A_Corridor!$F$5:$F$204="-","",1)),"")</f>
        <v/>
      </c>
      <c r="J376" s="182" t="str">
        <f>IFERROR(LOOKUP(2,1/((A_Corridor!$A$5:$A$204&lt;&gt;"")*(A_Corridor!$A$5:$A$204&lt;=$B376)*(A_Corridor!$B$5:$B$204&gt;$B376)*(A_Corridor!$F$5:$F$204&lt;&gt;"")),IF(A_Corridor!$F$5:$F$204="-","",A_Corridor!$F$5:$F$204)),"")</f>
        <v/>
      </c>
      <c r="K376" s="182" t="str">
        <f>IFERROR(LOOKUP(2,1/((A_Corridor!$A$5:$A$204&lt;&gt;"")*(A_Corridor!$A$5:$A$204&lt;=$B376)*(A_Corridor!$B$5:$B$204&gt;$B376)*(A_Corridor!$G$5:$G$204&lt;&gt;"")),IF(A_Corridor!$G$5:$G$204="-","",A_Corridor!$G$5:$G$204)),"")</f>
        <v/>
      </c>
      <c r="L376" s="181" t="str">
        <f>IFERROR(LOOKUP(2,1/((A_Corridor!$A$5:$A$204&lt;&gt;"")*(A_Corridor!$A$5:$A$204&lt;=$B376)*(A_Corridor!$B$5:$B$204&gt;$B376)*(A_Corridor!$H$5:$H$204&lt;&gt;"")),IF(A_Corridor!$H$5:$H$204="-","",1)),"")</f>
        <v/>
      </c>
      <c r="M376" s="182" t="str">
        <f>IFERROR(LOOKUP(2,1/((A_Corridor!$A$5:$A$204&lt;&gt;"")*(A_Corridor!$A$5:$A$204&lt;=$B376)*(A_Corridor!$B$5:$B$204&gt;$B376)*(A_Corridor!$H$5:$H$204&lt;&gt;"")),IF(A_Corridor!$H$5:$H$204="-","",A_Corridor!$H$5:$H$204)),"")</f>
        <v/>
      </c>
      <c r="N376" s="182" t="str">
        <f>IFERROR(LOOKUP(2,1/((A_Corridor!$A$5:$A$204&lt;&gt;"")*(A_Corridor!$A$5:$A$204&lt;=$B376)*(A_Corridor!$B$5:$B$204&gt;$B376)*(A_Corridor!$I$5:$I$204&lt;&gt;"")),IF(A_Corridor!$I$5:$I$204="-","",A_Corridor!$I$5:$I$204)),"")</f>
        <v/>
      </c>
      <c r="O376" s="182" t="str">
        <f>IFERROR(LOOKUP(2,1/((D_Points!$A$5:$A$204&lt;&gt;"")*(D_Points!$A$5:$A$204&gt;=$B376)*(D_Points!$A$5:$A$204&lt;$B376+P_Interval)*(UPPER(TRIM(D_Points!$B$5:$B$204))="PITCHING")*(D_Points!$H$5:$H$204&lt;&gt;"")),D_Points!$H$5:$H$204),"")</f>
        <v/>
      </c>
      <c r="P376" s="181" t="str">
        <f>IFERROR(LOOKUP(2,1/((B_Drainage!$A$5:$A$204&lt;&gt;"")*(B_Drainage!$A$5:$A$204&lt;=$B376)*(B_Drainage!$B$5:$B$204&gt;$B376)*(B_Drainage!$C$5:$C$204&lt;&gt;"")),IF(B_Drainage!$C$5:$C$204="-","",UPPER(B_Drainage!$C$5:$C$204))),"")</f>
        <v/>
      </c>
      <c r="Q376" s="181" t="str">
        <f>IFERROR(LOOKUP(2,1/((B_Drainage!$A$5:$A$204&lt;&gt;"")*(B_Drainage!$A$5:$A$204&lt;=$B376)*(B_Drainage!$B$5:$B$204&gt;$B376)*(B_Drainage!$D$5:$D$204&lt;&gt;"")),IF(B_Drainage!$D$5:$D$204="-","",UPPER(B_Drainage!$D$5:$D$204))),"")</f>
        <v/>
      </c>
      <c r="R376" s="182" t="str">
        <f>IFERROR(LOOKUP(2,1/((D_Points!$A$5:$A$204&lt;&gt;"")*(D_Points!$A$5:$A$204&gt;=$B376)*(D_Points!$A$5:$A$204&lt;$B376+P_Interval)*(RIGHT(UPPER(TRIM(D_Points!$B$5:$B$204)),8)="_CULVERT")),IF(LEFT(UPPER(TRIM(D_Points!$B$5:$B$204)),2)="EX",1,IF(LEFT(UPPER(TRIM(D_Points!$B$5:$B$204)),2)="PR",2,3))),"")</f>
        <v/>
      </c>
      <c r="S376" s="182" t="str">
        <f>IFERROR(LOOKUP(2,1/((D_Points!$A$5:$A$204&lt;&gt;"")*(D_Points!$A$5:$A$204&gt;=$B376)*(D_Points!$A$5:$A$204&lt;$B376+P_Interval)*(RIGHT(UPPER(TRIM(D_Points!$B$5:$B$204)),7)="_BRIDGE")),IF(LEFT(UPPER(TRIM(D_Points!$B$5:$B$204)),2)="EX",1,IF(LEFT(UPPER(TRIM(D_Points!$B$5:$B$204)),2)="PR",2,2))),"")</f>
        <v/>
      </c>
      <c r="T376" s="181" t="str">
        <f>IFERROR(LOOKUP(2,1/((B_Drainage!$A$5:$A$204&lt;&gt;"")*(B_Drainage!$A$5:$A$204&lt;=$B376)*(B_Drainage!$B$5:$B$204&gt;$B376)*(B_Drainage!$E$5:$E$204&lt;&gt;"")),IF(B_Drainage!$E$5:$E$204="-","",1)),"")</f>
        <v/>
      </c>
      <c r="U376" s="181" t="str">
        <f>IFERROR(LOOKUP(2,1/((B_Drainage!$A$5:$A$204&lt;&gt;"")*(B_Drainage!$A$5:$A$204&lt;=$B376)*(B_Drainage!$B$5:$B$204&gt;$B376)*(B_Drainage!$E$5:$E$204&lt;&gt;"")),IF(B_Drainage!$E$5:$E$204="-","",B_Drainage!$E$5:$E$204)),"")</f>
        <v/>
      </c>
      <c r="V376" s="181" t="str">
        <f>IFERROR(LOOKUP(2,1/((B_Drainage!$A$5:$A$204&lt;&gt;"")*(B_Drainage!$A$5:$A$204&lt;=$B376)*(B_Drainage!$B$5:$B$204&gt;$B376)*(B_Drainage!$F$5:$F$204&lt;&gt;"")),IF(B_Drainage!$F$5:$F$204="-","",1)),"")</f>
        <v/>
      </c>
      <c r="W376" s="181" t="str">
        <f>IFERROR(LOOKUP(2,1/((B_Drainage!$A$5:$A$204&lt;&gt;"")*(B_Drainage!$A$5:$A$204&lt;=$B376)*(B_Drainage!$B$5:$B$204&gt;$B376)*(B_Drainage!$F$5:$F$204&lt;&gt;"")),IF(B_Drainage!$F$5:$F$204="-","",B_Drainage!$F$5:$F$204)),"")</f>
        <v/>
      </c>
      <c r="X376" s="181" t="str">
        <f>IFERROR(LOOKUP(2,1/((B_Drainage!$A$5:$A$204&lt;&gt;"")*(B_Drainage!$A$5:$A$204&lt;=$B376)*(B_Drainage!$B$5:$B$204&gt;$B376)*(B_Drainage!$G$5:$G$204&lt;&gt;"")),IF(UPPER(B_Drainage!$G$5:$G$204)="Y",1,"")),"")</f>
        <v/>
      </c>
      <c r="Y376" s="181" t="str">
        <f>IFERROR(LOOKUP(2,1/((B_Drainage!$A$5:$A$204&lt;&gt;"")*(B_Drainage!$A$5:$A$204&lt;=$B376)*(B_Drainage!$B$5:$B$204&gt;$B376)*(B_Drainage!$H$5:$H$204&lt;&gt;"")),IF(UPPER(B_Drainage!$H$5:$H$204)="Y",1,"")),"")</f>
        <v/>
      </c>
      <c r="Z376" s="181" t="str">
        <f>IFERROR(LOOKUP(2,1/((B_Drainage!$A$5:$A$204&lt;&gt;"")*(B_Drainage!$A$5:$A$204&lt;=$B376)*(B_Drainage!$B$5:$B$204&gt;$B376)*(B_Drainage!$I$5:$I$204&lt;&gt;"")),IF(UPPER(B_Drainage!$I$5:$I$204)="Y",1,"")),"")</f>
        <v/>
      </c>
      <c r="AA376" s="181" t="str">
        <f>IFERROR(LOOKUP(2,1/((B_Drainage!$A$5:$A$204&lt;&gt;"")*(B_Drainage!$A$5:$A$204&lt;=$B376)*(B_Drainage!$B$5:$B$204&gt;$B376)*(B_Drainage!$J$5:$J$204&lt;&gt;"")),IF(UPPER(B_Drainage!$J$5:$J$204)="Y",1,"")),"")</f>
        <v/>
      </c>
      <c r="AB376" s="182" t="str">
        <f>IFERROR(LOOKUP(2,1/((B_Drainage!$A$5:$A$204&lt;&gt;"")*(B_Drainage!$A$5:$A$204&lt;=$B376)*(B_Drainage!$B$5:$B$204&gt;$B376)*(B_Drainage!$K$5:$K$204&lt;&gt;"")),IF(B_Drainage!$K$5:$K$204="-","",B_Drainage!$K$5:$K$204)),"")</f>
        <v/>
      </c>
      <c r="AC376" s="182" t="str">
        <f>IFERROR(LOOKUP(2,1/((B_Drainage!$A$5:$A$204&lt;&gt;"")*(B_Drainage!$A$5:$A$204&lt;=$B376)*(B_Drainage!$B$5:$B$204&gt;$B376)*(B_Drainage!$L$5:$L$204&lt;&gt;"")),IF(B_Drainage!$L$5:$L$204="-","",B_Drainage!$L$5:$L$204)),"")</f>
        <v/>
      </c>
      <c r="AD376" s="182" t="str">
        <f>IFERROR(LOOKUP(2,1/((D_Points!$A$5:$A$204&lt;&gt;"")*(D_Points!$A$5:$A$204&gt;=$B376)*(D_Points!$A$5:$A$204&lt;$B376+P_Interval)*(UPPER(TRIM(D_Points!$B$5:$B$204))="TURNOUT_L")*(D_Points!$H$5:$H$204&lt;&gt;"")),D_Points!$H$5:$H$204),"")</f>
        <v/>
      </c>
      <c r="AE376" s="182" t="str">
        <f>IFERROR(LOOKUP(2,1/((D_Points!$A$5:$A$204&lt;&gt;"")*(D_Points!$A$5:$A$204&gt;=$B376)*(D_Points!$A$5:$A$204&lt;$B376+P_Interval)*(UPPER(TRIM(D_Points!$B$5:$B$204))="TURNOUT_R")*(D_Points!$H$5:$H$204&lt;&gt;"")),D_Points!$H$5:$H$204),"")</f>
        <v/>
      </c>
      <c r="AF376" s="181" t="str">
        <f>IFERROR(LOOKUP(2,1/((B_Drainage!$A$5:$A$204&lt;&gt;"")*(B_Drainage!$A$5:$A$204&lt;=$B376)*(B_Drainage!$B$5:$B$204&gt;$B376)*(B_Drainage!$M$5:$M$204&lt;&gt;"")),IF(UPPER(B_Drainage!$M$5:$M$204)="Y",1,"")),"")</f>
        <v/>
      </c>
      <c r="AG376" s="181" t="str">
        <f>IFERROR(LOOKUP(2,1/((B_Drainage!$A$5:$A$204&lt;&gt;"")*(B_Drainage!$A$5:$A$204&lt;=$B376)*(B_Drainage!$B$5:$B$204&gt;$B376)*(B_Drainage!$N$5:$N$204&lt;&gt;"")),IF(UPPER(B_Drainage!$N$5:$N$204)="Y",1,"")),"")</f>
        <v/>
      </c>
      <c r="AH376" s="181" t="str">
        <f t="shared" si="40"/>
        <v/>
      </c>
      <c r="AI376" s="181" t="str">
        <f t="shared" si="41"/>
        <v/>
      </c>
      <c r="AJ376" s="181" t="str">
        <f t="shared" si="42"/>
        <v/>
      </c>
      <c r="AK376" s="181" t="str">
        <f t="shared" si="43"/>
        <v/>
      </c>
      <c r="AL376" s="181" t="str">
        <f t="shared" si="44"/>
        <v/>
      </c>
      <c r="AM376" s="181" t="str">
        <f t="shared" si="45"/>
        <v/>
      </c>
      <c r="AN376" s="181" t="str">
        <f t="shared" si="46"/>
        <v/>
      </c>
      <c r="AO376" s="192" t="str">
        <f t="shared" si="47"/>
        <v/>
      </c>
      <c r="AQ376" t="str">
        <f>IFERROR(LOOKUP(2,1/((C_Pavement!$A$5:$A$204&lt;&gt;"")*(C_Pavement!$A$5:$A$204&lt;=$B376)*(C_Pavement!$B$5:$B$204&gt;$B376)*(C_Pavement!$C$5:$C$204&lt;&gt;"")),ROW(C_Pavement!$C$5:$C$204)-4),"")</f>
        <v/>
      </c>
      <c r="AR376" t="str">
        <f>IF($AQ376="","",UPPER(TRIM(INDEX(C_Pavement!$C$5:$C$204,$AQ376))))</f>
        <v/>
      </c>
      <c r="AS376" t="str">
        <f>IF($AR376="","",IFERROR(MATCH($AR376,E_Rules!$A$5:$A$9,0),""))</f>
        <v/>
      </c>
      <c r="AT376" t="str">
        <f>IF($AQ376="","",IF(INDEX(C_Pavement!$D$5:$D$204,$AQ376)&lt;&gt;"",UPPER(TRIM(INDEX(C_Pavement!$D$5:$D$204,$AQ376))),IF($AS376="","",INDEX(E_Rules!$C$5:$C$9,$AS376))))</f>
        <v/>
      </c>
      <c r="AU376" t="str">
        <f>IF($AQ376="","",IF(INDEX(C_Pavement!$E$5:$E$204,$AQ376)&lt;&gt;"",IF(INDEX(C_Pavement!$E$5:$E$204,$AQ376)="-","",INDEX(C_Pavement!$E$5:$E$204,$AQ376)),IF($AS376="","",INDEX(E_Rules!$D$5:$D$9,$AS376))))</f>
        <v/>
      </c>
      <c r="AV376" t="str">
        <f>IF($AQ376="","",IF(INDEX(C_Pavement!$F$5:$F$204,$AQ376)&lt;&gt;"",IF(INDEX(C_Pavement!$F$5:$F$204,$AQ376)="-","",INDEX(C_Pavement!$F$5:$F$204,$AQ376)),IF($AS376="","",INDEX(E_Rules!$E$5:$E$9,$AS376))))</f>
        <v/>
      </c>
      <c r="AW376" t="str">
        <f>IF($AQ376="","",IF(INDEX(C_Pavement!$G$5:$G$204,$AQ376)&lt;&gt;"",IF(INDEX(C_Pavement!$G$5:$G$204,$AQ376)="-","",INDEX(C_Pavement!$G$5:$G$204,$AQ376)),IF($AS376="","",INDEX(E_Rules!$F$5:$F$9,$AS376))))</f>
        <v/>
      </c>
      <c r="AX376" t="str">
        <f>IF($AQ376="","",IF(INDEX(C_Pavement!$H$5:$H$204,$AQ376)&lt;&gt;"",IF(INDEX(C_Pavement!$H$5:$H$204,$AQ376)="-","",INDEX(C_Pavement!$H$5:$H$204,$AQ376)),IF($AS376="","",INDEX(E_Rules!$G$5:$G$9,$AS376))))</f>
        <v/>
      </c>
      <c r="AY376" t="str">
        <f>IF($AQ376="","",IF(INDEX(C_Pavement!$I$5:$I$204,$AQ376)&lt;&gt;"",IF(INDEX(C_Pavement!$I$5:$I$204,$AQ376)="-","",INDEX(C_Pavement!$I$5:$I$204,$AQ376)),IF($AS376="","",INDEX(E_Rules!$H$5:$H$9,$AS376))))</f>
        <v/>
      </c>
    </row>
    <row r="377" spans="1:51" ht="15.75" customHeight="1" x14ac:dyDescent="0.3">
      <c r="A377" s="189">
        <v>372</v>
      </c>
      <c r="B377" s="180">
        <v>18550</v>
      </c>
      <c r="C377" s="180" t="s">
        <v>683</v>
      </c>
      <c r="D377" s="181" t="str">
        <f>IFERROR(LOOKUP(2,1/((A_Corridor!$A$5:$A$204&lt;&gt;"")*(A_Corridor!$A$5:$A$204&lt;=$B377)*(A_Corridor!$B$5:$B$204&gt;$B377)*(A_Corridor!$C$5:$C$204&lt;&gt;"")),IF(UPPER(A_Corridor!$C$5:$C$204)="Y",1,"")),"")</f>
        <v/>
      </c>
      <c r="E377" s="181" t="str">
        <f>IFERROR(LOOKUP(2,1/((A_Corridor!$A$5:$A$204&lt;&gt;"")*(A_Corridor!$A$5:$A$204&lt;=$B377)*(A_Corridor!$B$5:$B$204&gt;$B377)*(A_Corridor!$D$5:$D$204&lt;&gt;"")),IF(A_Corridor!$D$5:$D$204="-","",UPPER(A_Corridor!$D$5:$D$204))),"")</f>
        <v/>
      </c>
      <c r="F377" s="181" t="str">
        <f>IFERROR(LOOKUP(2,1/((A_Corridor!$A$5:$A$204&lt;&gt;"")*(A_Corridor!$A$5:$A$204&lt;=$B377)*(A_Corridor!$B$5:$B$204&gt;$B377)*(A_Corridor!$E$5:$E$204&lt;&gt;"")),IF(A_Corridor!$E$5:$E$204="-","",1)),"")</f>
        <v/>
      </c>
      <c r="G377" s="182" t="str">
        <f>IFERROR(LOOKUP(2,1/((A_Corridor!$A$5:$A$204&lt;&gt;"")*(A_Corridor!$A$5:$A$204&lt;=$B377)*(A_Corridor!$B$5:$B$204&gt;$B377)*(A_Corridor!$E$5:$E$204&lt;&gt;"")),IF(A_Corridor!$E$5:$E$204="-","",A_Corridor!$E$5:$E$204)),"")</f>
        <v/>
      </c>
      <c r="H377" s="182" t="str">
        <f>IFERROR(LOOKUP(2,1/((D_Points!$A$5:$A$204&lt;&gt;"")*(D_Points!$A$5:$A$204&gt;=$B377)*(D_Points!$A$5:$A$204&lt;$B377+P_Interval)*(UPPER(TRIM(D_Points!$B$5:$B$204))="GULLY")*(D_Points!$H$5:$H$204&lt;&gt;"")),D_Points!$H$5:$H$204),"")</f>
        <v/>
      </c>
      <c r="I377" s="181" t="str">
        <f>IFERROR(LOOKUP(2,1/((A_Corridor!$A$5:$A$204&lt;&gt;"")*(A_Corridor!$A$5:$A$204&lt;=$B377)*(A_Corridor!$B$5:$B$204&gt;$B377)*(A_Corridor!$F$5:$F$204&lt;&gt;"")),IF(A_Corridor!$F$5:$F$204="-","",1)),"")</f>
        <v/>
      </c>
      <c r="J377" s="182" t="str">
        <f>IFERROR(LOOKUP(2,1/((A_Corridor!$A$5:$A$204&lt;&gt;"")*(A_Corridor!$A$5:$A$204&lt;=$B377)*(A_Corridor!$B$5:$B$204&gt;$B377)*(A_Corridor!$F$5:$F$204&lt;&gt;"")),IF(A_Corridor!$F$5:$F$204="-","",A_Corridor!$F$5:$F$204)),"")</f>
        <v/>
      </c>
      <c r="K377" s="182" t="str">
        <f>IFERROR(LOOKUP(2,1/((A_Corridor!$A$5:$A$204&lt;&gt;"")*(A_Corridor!$A$5:$A$204&lt;=$B377)*(A_Corridor!$B$5:$B$204&gt;$B377)*(A_Corridor!$G$5:$G$204&lt;&gt;"")),IF(A_Corridor!$G$5:$G$204="-","",A_Corridor!$G$5:$G$204)),"")</f>
        <v/>
      </c>
      <c r="L377" s="181" t="str">
        <f>IFERROR(LOOKUP(2,1/((A_Corridor!$A$5:$A$204&lt;&gt;"")*(A_Corridor!$A$5:$A$204&lt;=$B377)*(A_Corridor!$B$5:$B$204&gt;$B377)*(A_Corridor!$H$5:$H$204&lt;&gt;"")),IF(A_Corridor!$H$5:$H$204="-","",1)),"")</f>
        <v/>
      </c>
      <c r="M377" s="182" t="str">
        <f>IFERROR(LOOKUP(2,1/((A_Corridor!$A$5:$A$204&lt;&gt;"")*(A_Corridor!$A$5:$A$204&lt;=$B377)*(A_Corridor!$B$5:$B$204&gt;$B377)*(A_Corridor!$H$5:$H$204&lt;&gt;"")),IF(A_Corridor!$H$5:$H$204="-","",A_Corridor!$H$5:$H$204)),"")</f>
        <v/>
      </c>
      <c r="N377" s="182" t="str">
        <f>IFERROR(LOOKUP(2,1/((A_Corridor!$A$5:$A$204&lt;&gt;"")*(A_Corridor!$A$5:$A$204&lt;=$B377)*(A_Corridor!$B$5:$B$204&gt;$B377)*(A_Corridor!$I$5:$I$204&lt;&gt;"")),IF(A_Corridor!$I$5:$I$204="-","",A_Corridor!$I$5:$I$204)),"")</f>
        <v/>
      </c>
      <c r="O377" s="182" t="str">
        <f>IFERROR(LOOKUP(2,1/((D_Points!$A$5:$A$204&lt;&gt;"")*(D_Points!$A$5:$A$204&gt;=$B377)*(D_Points!$A$5:$A$204&lt;$B377+P_Interval)*(UPPER(TRIM(D_Points!$B$5:$B$204))="PITCHING")*(D_Points!$H$5:$H$204&lt;&gt;"")),D_Points!$H$5:$H$204),"")</f>
        <v/>
      </c>
      <c r="P377" s="181" t="str">
        <f>IFERROR(LOOKUP(2,1/((B_Drainage!$A$5:$A$204&lt;&gt;"")*(B_Drainage!$A$5:$A$204&lt;=$B377)*(B_Drainage!$B$5:$B$204&gt;$B377)*(B_Drainage!$C$5:$C$204&lt;&gt;"")),IF(B_Drainage!$C$5:$C$204="-","",UPPER(B_Drainage!$C$5:$C$204))),"")</f>
        <v/>
      </c>
      <c r="Q377" s="181" t="str">
        <f>IFERROR(LOOKUP(2,1/((B_Drainage!$A$5:$A$204&lt;&gt;"")*(B_Drainage!$A$5:$A$204&lt;=$B377)*(B_Drainage!$B$5:$B$204&gt;$B377)*(B_Drainage!$D$5:$D$204&lt;&gt;"")),IF(B_Drainage!$D$5:$D$204="-","",UPPER(B_Drainage!$D$5:$D$204))),"")</f>
        <v/>
      </c>
      <c r="R377" s="182" t="str">
        <f>IFERROR(LOOKUP(2,1/((D_Points!$A$5:$A$204&lt;&gt;"")*(D_Points!$A$5:$A$204&gt;=$B377)*(D_Points!$A$5:$A$204&lt;$B377+P_Interval)*(RIGHT(UPPER(TRIM(D_Points!$B$5:$B$204)),8)="_CULVERT")),IF(LEFT(UPPER(TRIM(D_Points!$B$5:$B$204)),2)="EX",1,IF(LEFT(UPPER(TRIM(D_Points!$B$5:$B$204)),2)="PR",2,3))),"")</f>
        <v/>
      </c>
      <c r="S377" s="182" t="str">
        <f>IFERROR(LOOKUP(2,1/((D_Points!$A$5:$A$204&lt;&gt;"")*(D_Points!$A$5:$A$204&gt;=$B377)*(D_Points!$A$5:$A$204&lt;$B377+P_Interval)*(RIGHT(UPPER(TRIM(D_Points!$B$5:$B$204)),7)="_BRIDGE")),IF(LEFT(UPPER(TRIM(D_Points!$B$5:$B$204)),2)="EX",1,IF(LEFT(UPPER(TRIM(D_Points!$B$5:$B$204)),2)="PR",2,2))),"")</f>
        <v/>
      </c>
      <c r="T377" s="181" t="str">
        <f>IFERROR(LOOKUP(2,1/((B_Drainage!$A$5:$A$204&lt;&gt;"")*(B_Drainage!$A$5:$A$204&lt;=$B377)*(B_Drainage!$B$5:$B$204&gt;$B377)*(B_Drainage!$E$5:$E$204&lt;&gt;"")),IF(B_Drainage!$E$5:$E$204="-","",1)),"")</f>
        <v/>
      </c>
      <c r="U377" s="181" t="str">
        <f>IFERROR(LOOKUP(2,1/((B_Drainage!$A$5:$A$204&lt;&gt;"")*(B_Drainage!$A$5:$A$204&lt;=$B377)*(B_Drainage!$B$5:$B$204&gt;$B377)*(B_Drainage!$E$5:$E$204&lt;&gt;"")),IF(B_Drainage!$E$5:$E$204="-","",B_Drainage!$E$5:$E$204)),"")</f>
        <v/>
      </c>
      <c r="V377" s="181" t="str">
        <f>IFERROR(LOOKUP(2,1/((B_Drainage!$A$5:$A$204&lt;&gt;"")*(B_Drainage!$A$5:$A$204&lt;=$B377)*(B_Drainage!$B$5:$B$204&gt;$B377)*(B_Drainage!$F$5:$F$204&lt;&gt;"")),IF(B_Drainage!$F$5:$F$204="-","",1)),"")</f>
        <v/>
      </c>
      <c r="W377" s="181" t="str">
        <f>IFERROR(LOOKUP(2,1/((B_Drainage!$A$5:$A$204&lt;&gt;"")*(B_Drainage!$A$5:$A$204&lt;=$B377)*(B_Drainage!$B$5:$B$204&gt;$B377)*(B_Drainage!$F$5:$F$204&lt;&gt;"")),IF(B_Drainage!$F$5:$F$204="-","",B_Drainage!$F$5:$F$204)),"")</f>
        <v/>
      </c>
      <c r="X377" s="181" t="str">
        <f>IFERROR(LOOKUP(2,1/((B_Drainage!$A$5:$A$204&lt;&gt;"")*(B_Drainage!$A$5:$A$204&lt;=$B377)*(B_Drainage!$B$5:$B$204&gt;$B377)*(B_Drainage!$G$5:$G$204&lt;&gt;"")),IF(UPPER(B_Drainage!$G$5:$G$204)="Y",1,"")),"")</f>
        <v/>
      </c>
      <c r="Y377" s="181" t="str">
        <f>IFERROR(LOOKUP(2,1/((B_Drainage!$A$5:$A$204&lt;&gt;"")*(B_Drainage!$A$5:$A$204&lt;=$B377)*(B_Drainage!$B$5:$B$204&gt;$B377)*(B_Drainage!$H$5:$H$204&lt;&gt;"")),IF(UPPER(B_Drainage!$H$5:$H$204)="Y",1,"")),"")</f>
        <v/>
      </c>
      <c r="Z377" s="181" t="str">
        <f>IFERROR(LOOKUP(2,1/((B_Drainage!$A$5:$A$204&lt;&gt;"")*(B_Drainage!$A$5:$A$204&lt;=$B377)*(B_Drainage!$B$5:$B$204&gt;$B377)*(B_Drainage!$I$5:$I$204&lt;&gt;"")),IF(UPPER(B_Drainage!$I$5:$I$204)="Y",1,"")),"")</f>
        <v/>
      </c>
      <c r="AA377" s="181" t="str">
        <f>IFERROR(LOOKUP(2,1/((B_Drainage!$A$5:$A$204&lt;&gt;"")*(B_Drainage!$A$5:$A$204&lt;=$B377)*(B_Drainage!$B$5:$B$204&gt;$B377)*(B_Drainage!$J$5:$J$204&lt;&gt;"")),IF(UPPER(B_Drainage!$J$5:$J$204)="Y",1,"")),"")</f>
        <v/>
      </c>
      <c r="AB377" s="182" t="str">
        <f>IFERROR(LOOKUP(2,1/((B_Drainage!$A$5:$A$204&lt;&gt;"")*(B_Drainage!$A$5:$A$204&lt;=$B377)*(B_Drainage!$B$5:$B$204&gt;$B377)*(B_Drainage!$K$5:$K$204&lt;&gt;"")),IF(B_Drainage!$K$5:$K$204="-","",B_Drainage!$K$5:$K$204)),"")</f>
        <v/>
      </c>
      <c r="AC377" s="182" t="str">
        <f>IFERROR(LOOKUP(2,1/((B_Drainage!$A$5:$A$204&lt;&gt;"")*(B_Drainage!$A$5:$A$204&lt;=$B377)*(B_Drainage!$B$5:$B$204&gt;$B377)*(B_Drainage!$L$5:$L$204&lt;&gt;"")),IF(B_Drainage!$L$5:$L$204="-","",B_Drainage!$L$5:$L$204)),"")</f>
        <v/>
      </c>
      <c r="AD377" s="182" t="str">
        <f>IFERROR(LOOKUP(2,1/((D_Points!$A$5:$A$204&lt;&gt;"")*(D_Points!$A$5:$A$204&gt;=$B377)*(D_Points!$A$5:$A$204&lt;$B377+P_Interval)*(UPPER(TRIM(D_Points!$B$5:$B$204))="TURNOUT_L")*(D_Points!$H$5:$H$204&lt;&gt;"")),D_Points!$H$5:$H$204),"")</f>
        <v/>
      </c>
      <c r="AE377" s="182" t="str">
        <f>IFERROR(LOOKUP(2,1/((D_Points!$A$5:$A$204&lt;&gt;"")*(D_Points!$A$5:$A$204&gt;=$B377)*(D_Points!$A$5:$A$204&lt;$B377+P_Interval)*(UPPER(TRIM(D_Points!$B$5:$B$204))="TURNOUT_R")*(D_Points!$H$5:$H$204&lt;&gt;"")),D_Points!$H$5:$H$204),"")</f>
        <v/>
      </c>
      <c r="AF377" s="181" t="str">
        <f>IFERROR(LOOKUP(2,1/((B_Drainage!$A$5:$A$204&lt;&gt;"")*(B_Drainage!$A$5:$A$204&lt;=$B377)*(B_Drainage!$B$5:$B$204&gt;$B377)*(B_Drainage!$M$5:$M$204&lt;&gt;"")),IF(UPPER(B_Drainage!$M$5:$M$204)="Y",1,"")),"")</f>
        <v/>
      </c>
      <c r="AG377" s="181" t="str">
        <f>IFERROR(LOOKUP(2,1/((B_Drainage!$A$5:$A$204&lt;&gt;"")*(B_Drainage!$A$5:$A$204&lt;=$B377)*(B_Drainage!$B$5:$B$204&gt;$B377)*(B_Drainage!$N$5:$N$204&lt;&gt;"")),IF(UPPER(B_Drainage!$N$5:$N$204)="Y",1,"")),"")</f>
        <v/>
      </c>
      <c r="AH377" s="181" t="str">
        <f t="shared" si="40"/>
        <v/>
      </c>
      <c r="AI377" s="181" t="str">
        <f t="shared" si="41"/>
        <v/>
      </c>
      <c r="AJ377" s="181" t="str">
        <f t="shared" si="42"/>
        <v/>
      </c>
      <c r="AK377" s="181" t="str">
        <f t="shared" si="43"/>
        <v/>
      </c>
      <c r="AL377" s="181" t="str">
        <f t="shared" si="44"/>
        <v/>
      </c>
      <c r="AM377" s="181" t="str">
        <f t="shared" si="45"/>
        <v/>
      </c>
      <c r="AN377" s="181" t="str">
        <f t="shared" si="46"/>
        <v/>
      </c>
      <c r="AO377" s="192" t="str">
        <f t="shared" si="47"/>
        <v/>
      </c>
      <c r="AQ377" t="str">
        <f>IFERROR(LOOKUP(2,1/((C_Pavement!$A$5:$A$204&lt;&gt;"")*(C_Pavement!$A$5:$A$204&lt;=$B377)*(C_Pavement!$B$5:$B$204&gt;$B377)*(C_Pavement!$C$5:$C$204&lt;&gt;"")),ROW(C_Pavement!$C$5:$C$204)-4),"")</f>
        <v/>
      </c>
      <c r="AR377" t="str">
        <f>IF($AQ377="","",UPPER(TRIM(INDEX(C_Pavement!$C$5:$C$204,$AQ377))))</f>
        <v/>
      </c>
      <c r="AS377" t="str">
        <f>IF($AR377="","",IFERROR(MATCH($AR377,E_Rules!$A$5:$A$9,0),""))</f>
        <v/>
      </c>
      <c r="AT377" t="str">
        <f>IF($AQ377="","",IF(INDEX(C_Pavement!$D$5:$D$204,$AQ377)&lt;&gt;"",UPPER(TRIM(INDEX(C_Pavement!$D$5:$D$204,$AQ377))),IF($AS377="","",INDEX(E_Rules!$C$5:$C$9,$AS377))))</f>
        <v/>
      </c>
      <c r="AU377" t="str">
        <f>IF($AQ377="","",IF(INDEX(C_Pavement!$E$5:$E$204,$AQ377)&lt;&gt;"",IF(INDEX(C_Pavement!$E$5:$E$204,$AQ377)="-","",INDEX(C_Pavement!$E$5:$E$204,$AQ377)),IF($AS377="","",INDEX(E_Rules!$D$5:$D$9,$AS377))))</f>
        <v/>
      </c>
      <c r="AV377" t="str">
        <f>IF($AQ377="","",IF(INDEX(C_Pavement!$F$5:$F$204,$AQ377)&lt;&gt;"",IF(INDEX(C_Pavement!$F$5:$F$204,$AQ377)="-","",INDEX(C_Pavement!$F$5:$F$204,$AQ377)),IF($AS377="","",INDEX(E_Rules!$E$5:$E$9,$AS377))))</f>
        <v/>
      </c>
      <c r="AW377" t="str">
        <f>IF($AQ377="","",IF(INDEX(C_Pavement!$G$5:$G$204,$AQ377)&lt;&gt;"",IF(INDEX(C_Pavement!$G$5:$G$204,$AQ377)="-","",INDEX(C_Pavement!$G$5:$G$204,$AQ377)),IF($AS377="","",INDEX(E_Rules!$F$5:$F$9,$AS377))))</f>
        <v/>
      </c>
      <c r="AX377" t="str">
        <f>IF($AQ377="","",IF(INDEX(C_Pavement!$H$5:$H$204,$AQ377)&lt;&gt;"",IF(INDEX(C_Pavement!$H$5:$H$204,$AQ377)="-","",INDEX(C_Pavement!$H$5:$H$204,$AQ377)),IF($AS377="","",INDEX(E_Rules!$G$5:$G$9,$AS377))))</f>
        <v/>
      </c>
      <c r="AY377" t="str">
        <f>IF($AQ377="","",IF(INDEX(C_Pavement!$I$5:$I$204,$AQ377)&lt;&gt;"",IF(INDEX(C_Pavement!$I$5:$I$204,$AQ377)="-","",INDEX(C_Pavement!$I$5:$I$204,$AQ377)),IF($AS377="","",INDEX(E_Rules!$H$5:$H$9,$AS377))))</f>
        <v/>
      </c>
    </row>
    <row r="378" spans="1:51" ht="15.75" customHeight="1" x14ac:dyDescent="0.3">
      <c r="A378" s="189">
        <v>373</v>
      </c>
      <c r="B378" s="180">
        <v>18600</v>
      </c>
      <c r="C378" s="180" t="s">
        <v>684</v>
      </c>
      <c r="D378" s="181" t="str">
        <f>IFERROR(LOOKUP(2,1/((A_Corridor!$A$5:$A$204&lt;&gt;"")*(A_Corridor!$A$5:$A$204&lt;=$B378)*(A_Corridor!$B$5:$B$204&gt;$B378)*(A_Corridor!$C$5:$C$204&lt;&gt;"")),IF(UPPER(A_Corridor!$C$5:$C$204)="Y",1,"")),"")</f>
        <v/>
      </c>
      <c r="E378" s="181" t="str">
        <f>IFERROR(LOOKUP(2,1/((A_Corridor!$A$5:$A$204&lt;&gt;"")*(A_Corridor!$A$5:$A$204&lt;=$B378)*(A_Corridor!$B$5:$B$204&gt;$B378)*(A_Corridor!$D$5:$D$204&lt;&gt;"")),IF(A_Corridor!$D$5:$D$204="-","",UPPER(A_Corridor!$D$5:$D$204))),"")</f>
        <v/>
      </c>
      <c r="F378" s="181" t="str">
        <f>IFERROR(LOOKUP(2,1/((A_Corridor!$A$5:$A$204&lt;&gt;"")*(A_Corridor!$A$5:$A$204&lt;=$B378)*(A_Corridor!$B$5:$B$204&gt;$B378)*(A_Corridor!$E$5:$E$204&lt;&gt;"")),IF(A_Corridor!$E$5:$E$204="-","",1)),"")</f>
        <v/>
      </c>
      <c r="G378" s="182" t="str">
        <f>IFERROR(LOOKUP(2,1/((A_Corridor!$A$5:$A$204&lt;&gt;"")*(A_Corridor!$A$5:$A$204&lt;=$B378)*(A_Corridor!$B$5:$B$204&gt;$B378)*(A_Corridor!$E$5:$E$204&lt;&gt;"")),IF(A_Corridor!$E$5:$E$204="-","",A_Corridor!$E$5:$E$204)),"")</f>
        <v/>
      </c>
      <c r="H378" s="182" t="str">
        <f>IFERROR(LOOKUP(2,1/((D_Points!$A$5:$A$204&lt;&gt;"")*(D_Points!$A$5:$A$204&gt;=$B378)*(D_Points!$A$5:$A$204&lt;$B378+P_Interval)*(UPPER(TRIM(D_Points!$B$5:$B$204))="GULLY")*(D_Points!$H$5:$H$204&lt;&gt;"")),D_Points!$H$5:$H$204),"")</f>
        <v/>
      </c>
      <c r="I378" s="181" t="str">
        <f>IFERROR(LOOKUP(2,1/((A_Corridor!$A$5:$A$204&lt;&gt;"")*(A_Corridor!$A$5:$A$204&lt;=$B378)*(A_Corridor!$B$5:$B$204&gt;$B378)*(A_Corridor!$F$5:$F$204&lt;&gt;"")),IF(A_Corridor!$F$5:$F$204="-","",1)),"")</f>
        <v/>
      </c>
      <c r="J378" s="182" t="str">
        <f>IFERROR(LOOKUP(2,1/((A_Corridor!$A$5:$A$204&lt;&gt;"")*(A_Corridor!$A$5:$A$204&lt;=$B378)*(A_Corridor!$B$5:$B$204&gt;$B378)*(A_Corridor!$F$5:$F$204&lt;&gt;"")),IF(A_Corridor!$F$5:$F$204="-","",A_Corridor!$F$5:$F$204)),"")</f>
        <v/>
      </c>
      <c r="K378" s="182" t="str">
        <f>IFERROR(LOOKUP(2,1/((A_Corridor!$A$5:$A$204&lt;&gt;"")*(A_Corridor!$A$5:$A$204&lt;=$B378)*(A_Corridor!$B$5:$B$204&gt;$B378)*(A_Corridor!$G$5:$G$204&lt;&gt;"")),IF(A_Corridor!$G$5:$G$204="-","",A_Corridor!$G$5:$G$204)),"")</f>
        <v/>
      </c>
      <c r="L378" s="181" t="str">
        <f>IFERROR(LOOKUP(2,1/((A_Corridor!$A$5:$A$204&lt;&gt;"")*(A_Corridor!$A$5:$A$204&lt;=$B378)*(A_Corridor!$B$5:$B$204&gt;$B378)*(A_Corridor!$H$5:$H$204&lt;&gt;"")),IF(A_Corridor!$H$5:$H$204="-","",1)),"")</f>
        <v/>
      </c>
      <c r="M378" s="182" t="str">
        <f>IFERROR(LOOKUP(2,1/((A_Corridor!$A$5:$A$204&lt;&gt;"")*(A_Corridor!$A$5:$A$204&lt;=$B378)*(A_Corridor!$B$5:$B$204&gt;$B378)*(A_Corridor!$H$5:$H$204&lt;&gt;"")),IF(A_Corridor!$H$5:$H$204="-","",A_Corridor!$H$5:$H$204)),"")</f>
        <v/>
      </c>
      <c r="N378" s="182" t="str">
        <f>IFERROR(LOOKUP(2,1/((A_Corridor!$A$5:$A$204&lt;&gt;"")*(A_Corridor!$A$5:$A$204&lt;=$B378)*(A_Corridor!$B$5:$B$204&gt;$B378)*(A_Corridor!$I$5:$I$204&lt;&gt;"")),IF(A_Corridor!$I$5:$I$204="-","",A_Corridor!$I$5:$I$204)),"")</f>
        <v/>
      </c>
      <c r="O378" s="182" t="str">
        <f>IFERROR(LOOKUP(2,1/((D_Points!$A$5:$A$204&lt;&gt;"")*(D_Points!$A$5:$A$204&gt;=$B378)*(D_Points!$A$5:$A$204&lt;$B378+P_Interval)*(UPPER(TRIM(D_Points!$B$5:$B$204))="PITCHING")*(D_Points!$H$5:$H$204&lt;&gt;"")),D_Points!$H$5:$H$204),"")</f>
        <v/>
      </c>
      <c r="P378" s="181" t="str">
        <f>IFERROR(LOOKUP(2,1/((B_Drainage!$A$5:$A$204&lt;&gt;"")*(B_Drainage!$A$5:$A$204&lt;=$B378)*(B_Drainage!$B$5:$B$204&gt;$B378)*(B_Drainage!$C$5:$C$204&lt;&gt;"")),IF(B_Drainage!$C$5:$C$204="-","",UPPER(B_Drainage!$C$5:$C$204))),"")</f>
        <v/>
      </c>
      <c r="Q378" s="181" t="str">
        <f>IFERROR(LOOKUP(2,1/((B_Drainage!$A$5:$A$204&lt;&gt;"")*(B_Drainage!$A$5:$A$204&lt;=$B378)*(B_Drainage!$B$5:$B$204&gt;$B378)*(B_Drainage!$D$5:$D$204&lt;&gt;"")),IF(B_Drainage!$D$5:$D$204="-","",UPPER(B_Drainage!$D$5:$D$204))),"")</f>
        <v/>
      </c>
      <c r="R378" s="182" t="str">
        <f>IFERROR(LOOKUP(2,1/((D_Points!$A$5:$A$204&lt;&gt;"")*(D_Points!$A$5:$A$204&gt;=$B378)*(D_Points!$A$5:$A$204&lt;$B378+P_Interval)*(RIGHT(UPPER(TRIM(D_Points!$B$5:$B$204)),8)="_CULVERT")),IF(LEFT(UPPER(TRIM(D_Points!$B$5:$B$204)),2)="EX",1,IF(LEFT(UPPER(TRIM(D_Points!$B$5:$B$204)),2)="PR",2,3))),"")</f>
        <v/>
      </c>
      <c r="S378" s="182" t="str">
        <f>IFERROR(LOOKUP(2,1/((D_Points!$A$5:$A$204&lt;&gt;"")*(D_Points!$A$5:$A$204&gt;=$B378)*(D_Points!$A$5:$A$204&lt;$B378+P_Interval)*(RIGHT(UPPER(TRIM(D_Points!$B$5:$B$204)),7)="_BRIDGE")),IF(LEFT(UPPER(TRIM(D_Points!$B$5:$B$204)),2)="EX",1,IF(LEFT(UPPER(TRIM(D_Points!$B$5:$B$204)),2)="PR",2,2))),"")</f>
        <v/>
      </c>
      <c r="T378" s="181" t="str">
        <f>IFERROR(LOOKUP(2,1/((B_Drainage!$A$5:$A$204&lt;&gt;"")*(B_Drainage!$A$5:$A$204&lt;=$B378)*(B_Drainage!$B$5:$B$204&gt;$B378)*(B_Drainage!$E$5:$E$204&lt;&gt;"")),IF(B_Drainage!$E$5:$E$204="-","",1)),"")</f>
        <v/>
      </c>
      <c r="U378" s="181" t="str">
        <f>IFERROR(LOOKUP(2,1/((B_Drainage!$A$5:$A$204&lt;&gt;"")*(B_Drainage!$A$5:$A$204&lt;=$B378)*(B_Drainage!$B$5:$B$204&gt;$B378)*(B_Drainage!$E$5:$E$204&lt;&gt;"")),IF(B_Drainage!$E$5:$E$204="-","",B_Drainage!$E$5:$E$204)),"")</f>
        <v/>
      </c>
      <c r="V378" s="181" t="str">
        <f>IFERROR(LOOKUP(2,1/((B_Drainage!$A$5:$A$204&lt;&gt;"")*(B_Drainage!$A$5:$A$204&lt;=$B378)*(B_Drainage!$B$5:$B$204&gt;$B378)*(B_Drainage!$F$5:$F$204&lt;&gt;"")),IF(B_Drainage!$F$5:$F$204="-","",1)),"")</f>
        <v/>
      </c>
      <c r="W378" s="181" t="str">
        <f>IFERROR(LOOKUP(2,1/((B_Drainage!$A$5:$A$204&lt;&gt;"")*(B_Drainage!$A$5:$A$204&lt;=$B378)*(B_Drainage!$B$5:$B$204&gt;$B378)*(B_Drainage!$F$5:$F$204&lt;&gt;"")),IF(B_Drainage!$F$5:$F$204="-","",B_Drainage!$F$5:$F$204)),"")</f>
        <v/>
      </c>
      <c r="X378" s="181" t="str">
        <f>IFERROR(LOOKUP(2,1/((B_Drainage!$A$5:$A$204&lt;&gt;"")*(B_Drainage!$A$5:$A$204&lt;=$B378)*(B_Drainage!$B$5:$B$204&gt;$B378)*(B_Drainage!$G$5:$G$204&lt;&gt;"")),IF(UPPER(B_Drainage!$G$5:$G$204)="Y",1,"")),"")</f>
        <v/>
      </c>
      <c r="Y378" s="181" t="str">
        <f>IFERROR(LOOKUP(2,1/((B_Drainage!$A$5:$A$204&lt;&gt;"")*(B_Drainage!$A$5:$A$204&lt;=$B378)*(B_Drainage!$B$5:$B$204&gt;$B378)*(B_Drainage!$H$5:$H$204&lt;&gt;"")),IF(UPPER(B_Drainage!$H$5:$H$204)="Y",1,"")),"")</f>
        <v/>
      </c>
      <c r="Z378" s="181" t="str">
        <f>IFERROR(LOOKUP(2,1/((B_Drainage!$A$5:$A$204&lt;&gt;"")*(B_Drainage!$A$5:$A$204&lt;=$B378)*(B_Drainage!$B$5:$B$204&gt;$B378)*(B_Drainage!$I$5:$I$204&lt;&gt;"")),IF(UPPER(B_Drainage!$I$5:$I$204)="Y",1,"")),"")</f>
        <v/>
      </c>
      <c r="AA378" s="181" t="str">
        <f>IFERROR(LOOKUP(2,1/((B_Drainage!$A$5:$A$204&lt;&gt;"")*(B_Drainage!$A$5:$A$204&lt;=$B378)*(B_Drainage!$B$5:$B$204&gt;$B378)*(B_Drainage!$J$5:$J$204&lt;&gt;"")),IF(UPPER(B_Drainage!$J$5:$J$204)="Y",1,"")),"")</f>
        <v/>
      </c>
      <c r="AB378" s="182" t="str">
        <f>IFERROR(LOOKUP(2,1/((B_Drainage!$A$5:$A$204&lt;&gt;"")*(B_Drainage!$A$5:$A$204&lt;=$B378)*(B_Drainage!$B$5:$B$204&gt;$B378)*(B_Drainage!$K$5:$K$204&lt;&gt;"")),IF(B_Drainage!$K$5:$K$204="-","",B_Drainage!$K$5:$K$204)),"")</f>
        <v/>
      </c>
      <c r="AC378" s="182" t="str">
        <f>IFERROR(LOOKUP(2,1/((B_Drainage!$A$5:$A$204&lt;&gt;"")*(B_Drainage!$A$5:$A$204&lt;=$B378)*(B_Drainage!$B$5:$B$204&gt;$B378)*(B_Drainage!$L$5:$L$204&lt;&gt;"")),IF(B_Drainage!$L$5:$L$204="-","",B_Drainage!$L$5:$L$204)),"")</f>
        <v/>
      </c>
      <c r="AD378" s="182" t="str">
        <f>IFERROR(LOOKUP(2,1/((D_Points!$A$5:$A$204&lt;&gt;"")*(D_Points!$A$5:$A$204&gt;=$B378)*(D_Points!$A$5:$A$204&lt;$B378+P_Interval)*(UPPER(TRIM(D_Points!$B$5:$B$204))="TURNOUT_L")*(D_Points!$H$5:$H$204&lt;&gt;"")),D_Points!$H$5:$H$204),"")</f>
        <v/>
      </c>
      <c r="AE378" s="182" t="str">
        <f>IFERROR(LOOKUP(2,1/((D_Points!$A$5:$A$204&lt;&gt;"")*(D_Points!$A$5:$A$204&gt;=$B378)*(D_Points!$A$5:$A$204&lt;$B378+P_Interval)*(UPPER(TRIM(D_Points!$B$5:$B$204))="TURNOUT_R")*(D_Points!$H$5:$H$204&lt;&gt;"")),D_Points!$H$5:$H$204),"")</f>
        <v/>
      </c>
      <c r="AF378" s="181" t="str">
        <f>IFERROR(LOOKUP(2,1/((B_Drainage!$A$5:$A$204&lt;&gt;"")*(B_Drainage!$A$5:$A$204&lt;=$B378)*(B_Drainage!$B$5:$B$204&gt;$B378)*(B_Drainage!$M$5:$M$204&lt;&gt;"")),IF(UPPER(B_Drainage!$M$5:$M$204)="Y",1,"")),"")</f>
        <v/>
      </c>
      <c r="AG378" s="181" t="str">
        <f>IFERROR(LOOKUP(2,1/((B_Drainage!$A$5:$A$204&lt;&gt;"")*(B_Drainage!$A$5:$A$204&lt;=$B378)*(B_Drainage!$B$5:$B$204&gt;$B378)*(B_Drainage!$N$5:$N$204&lt;&gt;"")),IF(UPPER(B_Drainage!$N$5:$N$204)="Y",1,"")),"")</f>
        <v/>
      </c>
      <c r="AH378" s="181" t="str">
        <f t="shared" si="40"/>
        <v/>
      </c>
      <c r="AI378" s="181" t="str">
        <f t="shared" si="41"/>
        <v/>
      </c>
      <c r="AJ378" s="181" t="str">
        <f t="shared" si="42"/>
        <v/>
      </c>
      <c r="AK378" s="181" t="str">
        <f t="shared" si="43"/>
        <v/>
      </c>
      <c r="AL378" s="181" t="str">
        <f t="shared" si="44"/>
        <v/>
      </c>
      <c r="AM378" s="181" t="str">
        <f t="shared" si="45"/>
        <v/>
      </c>
      <c r="AN378" s="181" t="str">
        <f t="shared" si="46"/>
        <v/>
      </c>
      <c r="AO378" s="192" t="str">
        <f t="shared" si="47"/>
        <v/>
      </c>
      <c r="AQ378" t="str">
        <f>IFERROR(LOOKUP(2,1/((C_Pavement!$A$5:$A$204&lt;&gt;"")*(C_Pavement!$A$5:$A$204&lt;=$B378)*(C_Pavement!$B$5:$B$204&gt;$B378)*(C_Pavement!$C$5:$C$204&lt;&gt;"")),ROW(C_Pavement!$C$5:$C$204)-4),"")</f>
        <v/>
      </c>
      <c r="AR378" t="str">
        <f>IF($AQ378="","",UPPER(TRIM(INDEX(C_Pavement!$C$5:$C$204,$AQ378))))</f>
        <v/>
      </c>
      <c r="AS378" t="str">
        <f>IF($AR378="","",IFERROR(MATCH($AR378,E_Rules!$A$5:$A$9,0),""))</f>
        <v/>
      </c>
      <c r="AT378" t="str">
        <f>IF($AQ378="","",IF(INDEX(C_Pavement!$D$5:$D$204,$AQ378)&lt;&gt;"",UPPER(TRIM(INDEX(C_Pavement!$D$5:$D$204,$AQ378))),IF($AS378="","",INDEX(E_Rules!$C$5:$C$9,$AS378))))</f>
        <v/>
      </c>
      <c r="AU378" t="str">
        <f>IF($AQ378="","",IF(INDEX(C_Pavement!$E$5:$E$204,$AQ378)&lt;&gt;"",IF(INDEX(C_Pavement!$E$5:$E$204,$AQ378)="-","",INDEX(C_Pavement!$E$5:$E$204,$AQ378)),IF($AS378="","",INDEX(E_Rules!$D$5:$D$9,$AS378))))</f>
        <v/>
      </c>
      <c r="AV378" t="str">
        <f>IF($AQ378="","",IF(INDEX(C_Pavement!$F$5:$F$204,$AQ378)&lt;&gt;"",IF(INDEX(C_Pavement!$F$5:$F$204,$AQ378)="-","",INDEX(C_Pavement!$F$5:$F$204,$AQ378)),IF($AS378="","",INDEX(E_Rules!$E$5:$E$9,$AS378))))</f>
        <v/>
      </c>
      <c r="AW378" t="str">
        <f>IF($AQ378="","",IF(INDEX(C_Pavement!$G$5:$G$204,$AQ378)&lt;&gt;"",IF(INDEX(C_Pavement!$G$5:$G$204,$AQ378)="-","",INDEX(C_Pavement!$G$5:$G$204,$AQ378)),IF($AS378="","",INDEX(E_Rules!$F$5:$F$9,$AS378))))</f>
        <v/>
      </c>
      <c r="AX378" t="str">
        <f>IF($AQ378="","",IF(INDEX(C_Pavement!$H$5:$H$204,$AQ378)&lt;&gt;"",IF(INDEX(C_Pavement!$H$5:$H$204,$AQ378)="-","",INDEX(C_Pavement!$H$5:$H$204,$AQ378)),IF($AS378="","",INDEX(E_Rules!$G$5:$G$9,$AS378))))</f>
        <v/>
      </c>
      <c r="AY378" t="str">
        <f>IF($AQ378="","",IF(INDEX(C_Pavement!$I$5:$I$204,$AQ378)&lt;&gt;"",IF(INDEX(C_Pavement!$I$5:$I$204,$AQ378)="-","",INDEX(C_Pavement!$I$5:$I$204,$AQ378)),IF($AS378="","",INDEX(E_Rules!$H$5:$H$9,$AS378))))</f>
        <v/>
      </c>
    </row>
    <row r="379" spans="1:51" ht="15.75" customHeight="1" x14ac:dyDescent="0.3">
      <c r="A379" s="189">
        <v>374</v>
      </c>
      <c r="B379" s="180">
        <v>18650</v>
      </c>
      <c r="C379" s="180" t="s">
        <v>685</v>
      </c>
      <c r="D379" s="181" t="str">
        <f>IFERROR(LOOKUP(2,1/((A_Corridor!$A$5:$A$204&lt;&gt;"")*(A_Corridor!$A$5:$A$204&lt;=$B379)*(A_Corridor!$B$5:$B$204&gt;$B379)*(A_Corridor!$C$5:$C$204&lt;&gt;"")),IF(UPPER(A_Corridor!$C$5:$C$204)="Y",1,"")),"")</f>
        <v/>
      </c>
      <c r="E379" s="181" t="str">
        <f>IFERROR(LOOKUP(2,1/((A_Corridor!$A$5:$A$204&lt;&gt;"")*(A_Corridor!$A$5:$A$204&lt;=$B379)*(A_Corridor!$B$5:$B$204&gt;$B379)*(A_Corridor!$D$5:$D$204&lt;&gt;"")),IF(A_Corridor!$D$5:$D$204="-","",UPPER(A_Corridor!$D$5:$D$204))),"")</f>
        <v/>
      </c>
      <c r="F379" s="181" t="str">
        <f>IFERROR(LOOKUP(2,1/((A_Corridor!$A$5:$A$204&lt;&gt;"")*(A_Corridor!$A$5:$A$204&lt;=$B379)*(A_Corridor!$B$5:$B$204&gt;$B379)*(A_Corridor!$E$5:$E$204&lt;&gt;"")),IF(A_Corridor!$E$5:$E$204="-","",1)),"")</f>
        <v/>
      </c>
      <c r="G379" s="182" t="str">
        <f>IFERROR(LOOKUP(2,1/((A_Corridor!$A$5:$A$204&lt;&gt;"")*(A_Corridor!$A$5:$A$204&lt;=$B379)*(A_Corridor!$B$5:$B$204&gt;$B379)*(A_Corridor!$E$5:$E$204&lt;&gt;"")),IF(A_Corridor!$E$5:$E$204="-","",A_Corridor!$E$5:$E$204)),"")</f>
        <v/>
      </c>
      <c r="H379" s="182" t="str">
        <f>IFERROR(LOOKUP(2,1/((D_Points!$A$5:$A$204&lt;&gt;"")*(D_Points!$A$5:$A$204&gt;=$B379)*(D_Points!$A$5:$A$204&lt;$B379+P_Interval)*(UPPER(TRIM(D_Points!$B$5:$B$204))="GULLY")*(D_Points!$H$5:$H$204&lt;&gt;"")),D_Points!$H$5:$H$204),"")</f>
        <v/>
      </c>
      <c r="I379" s="181" t="str">
        <f>IFERROR(LOOKUP(2,1/((A_Corridor!$A$5:$A$204&lt;&gt;"")*(A_Corridor!$A$5:$A$204&lt;=$B379)*(A_Corridor!$B$5:$B$204&gt;$B379)*(A_Corridor!$F$5:$F$204&lt;&gt;"")),IF(A_Corridor!$F$5:$F$204="-","",1)),"")</f>
        <v/>
      </c>
      <c r="J379" s="182" t="str">
        <f>IFERROR(LOOKUP(2,1/((A_Corridor!$A$5:$A$204&lt;&gt;"")*(A_Corridor!$A$5:$A$204&lt;=$B379)*(A_Corridor!$B$5:$B$204&gt;$B379)*(A_Corridor!$F$5:$F$204&lt;&gt;"")),IF(A_Corridor!$F$5:$F$204="-","",A_Corridor!$F$5:$F$204)),"")</f>
        <v/>
      </c>
      <c r="K379" s="182" t="str">
        <f>IFERROR(LOOKUP(2,1/((A_Corridor!$A$5:$A$204&lt;&gt;"")*(A_Corridor!$A$5:$A$204&lt;=$B379)*(A_Corridor!$B$5:$B$204&gt;$B379)*(A_Corridor!$G$5:$G$204&lt;&gt;"")),IF(A_Corridor!$G$5:$G$204="-","",A_Corridor!$G$5:$G$204)),"")</f>
        <v/>
      </c>
      <c r="L379" s="181" t="str">
        <f>IFERROR(LOOKUP(2,1/((A_Corridor!$A$5:$A$204&lt;&gt;"")*(A_Corridor!$A$5:$A$204&lt;=$B379)*(A_Corridor!$B$5:$B$204&gt;$B379)*(A_Corridor!$H$5:$H$204&lt;&gt;"")),IF(A_Corridor!$H$5:$H$204="-","",1)),"")</f>
        <v/>
      </c>
      <c r="M379" s="182" t="str">
        <f>IFERROR(LOOKUP(2,1/((A_Corridor!$A$5:$A$204&lt;&gt;"")*(A_Corridor!$A$5:$A$204&lt;=$B379)*(A_Corridor!$B$5:$B$204&gt;$B379)*(A_Corridor!$H$5:$H$204&lt;&gt;"")),IF(A_Corridor!$H$5:$H$204="-","",A_Corridor!$H$5:$H$204)),"")</f>
        <v/>
      </c>
      <c r="N379" s="182" t="str">
        <f>IFERROR(LOOKUP(2,1/((A_Corridor!$A$5:$A$204&lt;&gt;"")*(A_Corridor!$A$5:$A$204&lt;=$B379)*(A_Corridor!$B$5:$B$204&gt;$B379)*(A_Corridor!$I$5:$I$204&lt;&gt;"")),IF(A_Corridor!$I$5:$I$204="-","",A_Corridor!$I$5:$I$204)),"")</f>
        <v/>
      </c>
      <c r="O379" s="182" t="str">
        <f>IFERROR(LOOKUP(2,1/((D_Points!$A$5:$A$204&lt;&gt;"")*(D_Points!$A$5:$A$204&gt;=$B379)*(D_Points!$A$5:$A$204&lt;$B379+P_Interval)*(UPPER(TRIM(D_Points!$B$5:$B$204))="PITCHING")*(D_Points!$H$5:$H$204&lt;&gt;"")),D_Points!$H$5:$H$204),"")</f>
        <v/>
      </c>
      <c r="P379" s="181" t="str">
        <f>IFERROR(LOOKUP(2,1/((B_Drainage!$A$5:$A$204&lt;&gt;"")*(B_Drainage!$A$5:$A$204&lt;=$B379)*(B_Drainage!$B$5:$B$204&gt;$B379)*(B_Drainage!$C$5:$C$204&lt;&gt;"")),IF(B_Drainage!$C$5:$C$204="-","",UPPER(B_Drainage!$C$5:$C$204))),"")</f>
        <v/>
      </c>
      <c r="Q379" s="181" t="str">
        <f>IFERROR(LOOKUP(2,1/((B_Drainage!$A$5:$A$204&lt;&gt;"")*(B_Drainage!$A$5:$A$204&lt;=$B379)*(B_Drainage!$B$5:$B$204&gt;$B379)*(B_Drainage!$D$5:$D$204&lt;&gt;"")),IF(B_Drainage!$D$5:$D$204="-","",UPPER(B_Drainage!$D$5:$D$204))),"")</f>
        <v/>
      </c>
      <c r="R379" s="182" t="str">
        <f>IFERROR(LOOKUP(2,1/((D_Points!$A$5:$A$204&lt;&gt;"")*(D_Points!$A$5:$A$204&gt;=$B379)*(D_Points!$A$5:$A$204&lt;$B379+P_Interval)*(RIGHT(UPPER(TRIM(D_Points!$B$5:$B$204)),8)="_CULVERT")),IF(LEFT(UPPER(TRIM(D_Points!$B$5:$B$204)),2)="EX",1,IF(LEFT(UPPER(TRIM(D_Points!$B$5:$B$204)),2)="PR",2,3))),"")</f>
        <v/>
      </c>
      <c r="S379" s="182" t="str">
        <f>IFERROR(LOOKUP(2,1/((D_Points!$A$5:$A$204&lt;&gt;"")*(D_Points!$A$5:$A$204&gt;=$B379)*(D_Points!$A$5:$A$204&lt;$B379+P_Interval)*(RIGHT(UPPER(TRIM(D_Points!$B$5:$B$204)),7)="_BRIDGE")),IF(LEFT(UPPER(TRIM(D_Points!$B$5:$B$204)),2)="EX",1,IF(LEFT(UPPER(TRIM(D_Points!$B$5:$B$204)),2)="PR",2,2))),"")</f>
        <v/>
      </c>
      <c r="T379" s="181" t="str">
        <f>IFERROR(LOOKUP(2,1/((B_Drainage!$A$5:$A$204&lt;&gt;"")*(B_Drainage!$A$5:$A$204&lt;=$B379)*(B_Drainage!$B$5:$B$204&gt;$B379)*(B_Drainage!$E$5:$E$204&lt;&gt;"")),IF(B_Drainage!$E$5:$E$204="-","",1)),"")</f>
        <v/>
      </c>
      <c r="U379" s="181" t="str">
        <f>IFERROR(LOOKUP(2,1/((B_Drainage!$A$5:$A$204&lt;&gt;"")*(B_Drainage!$A$5:$A$204&lt;=$B379)*(B_Drainage!$B$5:$B$204&gt;$B379)*(B_Drainage!$E$5:$E$204&lt;&gt;"")),IF(B_Drainage!$E$5:$E$204="-","",B_Drainage!$E$5:$E$204)),"")</f>
        <v/>
      </c>
      <c r="V379" s="181" t="str">
        <f>IFERROR(LOOKUP(2,1/((B_Drainage!$A$5:$A$204&lt;&gt;"")*(B_Drainage!$A$5:$A$204&lt;=$B379)*(B_Drainage!$B$5:$B$204&gt;$B379)*(B_Drainage!$F$5:$F$204&lt;&gt;"")),IF(B_Drainage!$F$5:$F$204="-","",1)),"")</f>
        <v/>
      </c>
      <c r="W379" s="181" t="str">
        <f>IFERROR(LOOKUP(2,1/((B_Drainage!$A$5:$A$204&lt;&gt;"")*(B_Drainage!$A$5:$A$204&lt;=$B379)*(B_Drainage!$B$5:$B$204&gt;$B379)*(B_Drainage!$F$5:$F$204&lt;&gt;"")),IF(B_Drainage!$F$5:$F$204="-","",B_Drainage!$F$5:$F$204)),"")</f>
        <v/>
      </c>
      <c r="X379" s="181" t="str">
        <f>IFERROR(LOOKUP(2,1/((B_Drainage!$A$5:$A$204&lt;&gt;"")*(B_Drainage!$A$5:$A$204&lt;=$B379)*(B_Drainage!$B$5:$B$204&gt;$B379)*(B_Drainage!$G$5:$G$204&lt;&gt;"")),IF(UPPER(B_Drainage!$G$5:$G$204)="Y",1,"")),"")</f>
        <v/>
      </c>
      <c r="Y379" s="181" t="str">
        <f>IFERROR(LOOKUP(2,1/((B_Drainage!$A$5:$A$204&lt;&gt;"")*(B_Drainage!$A$5:$A$204&lt;=$B379)*(B_Drainage!$B$5:$B$204&gt;$B379)*(B_Drainage!$H$5:$H$204&lt;&gt;"")),IF(UPPER(B_Drainage!$H$5:$H$204)="Y",1,"")),"")</f>
        <v/>
      </c>
      <c r="Z379" s="181" t="str">
        <f>IFERROR(LOOKUP(2,1/((B_Drainage!$A$5:$A$204&lt;&gt;"")*(B_Drainage!$A$5:$A$204&lt;=$B379)*(B_Drainage!$B$5:$B$204&gt;$B379)*(B_Drainage!$I$5:$I$204&lt;&gt;"")),IF(UPPER(B_Drainage!$I$5:$I$204)="Y",1,"")),"")</f>
        <v/>
      </c>
      <c r="AA379" s="181" t="str">
        <f>IFERROR(LOOKUP(2,1/((B_Drainage!$A$5:$A$204&lt;&gt;"")*(B_Drainage!$A$5:$A$204&lt;=$B379)*(B_Drainage!$B$5:$B$204&gt;$B379)*(B_Drainage!$J$5:$J$204&lt;&gt;"")),IF(UPPER(B_Drainage!$J$5:$J$204)="Y",1,"")),"")</f>
        <v/>
      </c>
      <c r="AB379" s="182" t="str">
        <f>IFERROR(LOOKUP(2,1/((B_Drainage!$A$5:$A$204&lt;&gt;"")*(B_Drainage!$A$5:$A$204&lt;=$B379)*(B_Drainage!$B$5:$B$204&gt;$B379)*(B_Drainage!$K$5:$K$204&lt;&gt;"")),IF(B_Drainage!$K$5:$K$204="-","",B_Drainage!$K$5:$K$204)),"")</f>
        <v/>
      </c>
      <c r="AC379" s="182" t="str">
        <f>IFERROR(LOOKUP(2,1/((B_Drainage!$A$5:$A$204&lt;&gt;"")*(B_Drainage!$A$5:$A$204&lt;=$B379)*(B_Drainage!$B$5:$B$204&gt;$B379)*(B_Drainage!$L$5:$L$204&lt;&gt;"")),IF(B_Drainage!$L$5:$L$204="-","",B_Drainage!$L$5:$L$204)),"")</f>
        <v/>
      </c>
      <c r="AD379" s="182" t="str">
        <f>IFERROR(LOOKUP(2,1/((D_Points!$A$5:$A$204&lt;&gt;"")*(D_Points!$A$5:$A$204&gt;=$B379)*(D_Points!$A$5:$A$204&lt;$B379+P_Interval)*(UPPER(TRIM(D_Points!$B$5:$B$204))="TURNOUT_L")*(D_Points!$H$5:$H$204&lt;&gt;"")),D_Points!$H$5:$H$204),"")</f>
        <v/>
      </c>
      <c r="AE379" s="182" t="str">
        <f>IFERROR(LOOKUP(2,1/((D_Points!$A$5:$A$204&lt;&gt;"")*(D_Points!$A$5:$A$204&gt;=$B379)*(D_Points!$A$5:$A$204&lt;$B379+P_Interval)*(UPPER(TRIM(D_Points!$B$5:$B$204))="TURNOUT_R")*(D_Points!$H$5:$H$204&lt;&gt;"")),D_Points!$H$5:$H$204),"")</f>
        <v/>
      </c>
      <c r="AF379" s="181" t="str">
        <f>IFERROR(LOOKUP(2,1/((B_Drainage!$A$5:$A$204&lt;&gt;"")*(B_Drainage!$A$5:$A$204&lt;=$B379)*(B_Drainage!$B$5:$B$204&gt;$B379)*(B_Drainage!$M$5:$M$204&lt;&gt;"")),IF(UPPER(B_Drainage!$M$5:$M$204)="Y",1,"")),"")</f>
        <v/>
      </c>
      <c r="AG379" s="181" t="str">
        <f>IFERROR(LOOKUP(2,1/((B_Drainage!$A$5:$A$204&lt;&gt;"")*(B_Drainage!$A$5:$A$204&lt;=$B379)*(B_Drainage!$B$5:$B$204&gt;$B379)*(B_Drainage!$N$5:$N$204&lt;&gt;"")),IF(UPPER(B_Drainage!$N$5:$N$204)="Y",1,"")),"")</f>
        <v/>
      </c>
      <c r="AH379" s="181" t="str">
        <f t="shared" si="40"/>
        <v/>
      </c>
      <c r="AI379" s="181" t="str">
        <f t="shared" si="41"/>
        <v/>
      </c>
      <c r="AJ379" s="181" t="str">
        <f t="shared" si="42"/>
        <v/>
      </c>
      <c r="AK379" s="181" t="str">
        <f t="shared" si="43"/>
        <v/>
      </c>
      <c r="AL379" s="181" t="str">
        <f t="shared" si="44"/>
        <v/>
      </c>
      <c r="AM379" s="181" t="str">
        <f t="shared" si="45"/>
        <v/>
      </c>
      <c r="AN379" s="181" t="str">
        <f t="shared" si="46"/>
        <v/>
      </c>
      <c r="AO379" s="192" t="str">
        <f t="shared" si="47"/>
        <v/>
      </c>
      <c r="AQ379" t="str">
        <f>IFERROR(LOOKUP(2,1/((C_Pavement!$A$5:$A$204&lt;&gt;"")*(C_Pavement!$A$5:$A$204&lt;=$B379)*(C_Pavement!$B$5:$B$204&gt;$B379)*(C_Pavement!$C$5:$C$204&lt;&gt;"")),ROW(C_Pavement!$C$5:$C$204)-4),"")</f>
        <v/>
      </c>
      <c r="AR379" t="str">
        <f>IF($AQ379="","",UPPER(TRIM(INDEX(C_Pavement!$C$5:$C$204,$AQ379))))</f>
        <v/>
      </c>
      <c r="AS379" t="str">
        <f>IF($AR379="","",IFERROR(MATCH($AR379,E_Rules!$A$5:$A$9,0),""))</f>
        <v/>
      </c>
      <c r="AT379" t="str">
        <f>IF($AQ379="","",IF(INDEX(C_Pavement!$D$5:$D$204,$AQ379)&lt;&gt;"",UPPER(TRIM(INDEX(C_Pavement!$D$5:$D$204,$AQ379))),IF($AS379="","",INDEX(E_Rules!$C$5:$C$9,$AS379))))</f>
        <v/>
      </c>
      <c r="AU379" t="str">
        <f>IF($AQ379="","",IF(INDEX(C_Pavement!$E$5:$E$204,$AQ379)&lt;&gt;"",IF(INDEX(C_Pavement!$E$5:$E$204,$AQ379)="-","",INDEX(C_Pavement!$E$5:$E$204,$AQ379)),IF($AS379="","",INDEX(E_Rules!$D$5:$D$9,$AS379))))</f>
        <v/>
      </c>
      <c r="AV379" t="str">
        <f>IF($AQ379="","",IF(INDEX(C_Pavement!$F$5:$F$204,$AQ379)&lt;&gt;"",IF(INDEX(C_Pavement!$F$5:$F$204,$AQ379)="-","",INDEX(C_Pavement!$F$5:$F$204,$AQ379)),IF($AS379="","",INDEX(E_Rules!$E$5:$E$9,$AS379))))</f>
        <v/>
      </c>
      <c r="AW379" t="str">
        <f>IF($AQ379="","",IF(INDEX(C_Pavement!$G$5:$G$204,$AQ379)&lt;&gt;"",IF(INDEX(C_Pavement!$G$5:$G$204,$AQ379)="-","",INDEX(C_Pavement!$G$5:$G$204,$AQ379)),IF($AS379="","",INDEX(E_Rules!$F$5:$F$9,$AS379))))</f>
        <v/>
      </c>
      <c r="AX379" t="str">
        <f>IF($AQ379="","",IF(INDEX(C_Pavement!$H$5:$H$204,$AQ379)&lt;&gt;"",IF(INDEX(C_Pavement!$H$5:$H$204,$AQ379)="-","",INDEX(C_Pavement!$H$5:$H$204,$AQ379)),IF($AS379="","",INDEX(E_Rules!$G$5:$G$9,$AS379))))</f>
        <v/>
      </c>
      <c r="AY379" t="str">
        <f>IF($AQ379="","",IF(INDEX(C_Pavement!$I$5:$I$204,$AQ379)&lt;&gt;"",IF(INDEX(C_Pavement!$I$5:$I$204,$AQ379)="-","",INDEX(C_Pavement!$I$5:$I$204,$AQ379)),IF($AS379="","",INDEX(E_Rules!$H$5:$H$9,$AS379))))</f>
        <v/>
      </c>
    </row>
    <row r="380" spans="1:51" ht="15.75" customHeight="1" x14ac:dyDescent="0.3">
      <c r="A380" s="189">
        <v>375</v>
      </c>
      <c r="B380" s="180">
        <v>18700</v>
      </c>
      <c r="C380" s="180" t="s">
        <v>686</v>
      </c>
      <c r="D380" s="181" t="str">
        <f>IFERROR(LOOKUP(2,1/((A_Corridor!$A$5:$A$204&lt;&gt;"")*(A_Corridor!$A$5:$A$204&lt;=$B380)*(A_Corridor!$B$5:$B$204&gt;$B380)*(A_Corridor!$C$5:$C$204&lt;&gt;"")),IF(UPPER(A_Corridor!$C$5:$C$204)="Y",1,"")),"")</f>
        <v/>
      </c>
      <c r="E380" s="181" t="str">
        <f>IFERROR(LOOKUP(2,1/((A_Corridor!$A$5:$A$204&lt;&gt;"")*(A_Corridor!$A$5:$A$204&lt;=$B380)*(A_Corridor!$B$5:$B$204&gt;$B380)*(A_Corridor!$D$5:$D$204&lt;&gt;"")),IF(A_Corridor!$D$5:$D$204="-","",UPPER(A_Corridor!$D$5:$D$204))),"")</f>
        <v/>
      </c>
      <c r="F380" s="181" t="str">
        <f>IFERROR(LOOKUP(2,1/((A_Corridor!$A$5:$A$204&lt;&gt;"")*(A_Corridor!$A$5:$A$204&lt;=$B380)*(A_Corridor!$B$5:$B$204&gt;$B380)*(A_Corridor!$E$5:$E$204&lt;&gt;"")),IF(A_Corridor!$E$5:$E$204="-","",1)),"")</f>
        <v/>
      </c>
      <c r="G380" s="182" t="str">
        <f>IFERROR(LOOKUP(2,1/((A_Corridor!$A$5:$A$204&lt;&gt;"")*(A_Corridor!$A$5:$A$204&lt;=$B380)*(A_Corridor!$B$5:$B$204&gt;$B380)*(A_Corridor!$E$5:$E$204&lt;&gt;"")),IF(A_Corridor!$E$5:$E$204="-","",A_Corridor!$E$5:$E$204)),"")</f>
        <v/>
      </c>
      <c r="H380" s="182" t="str">
        <f>IFERROR(LOOKUP(2,1/((D_Points!$A$5:$A$204&lt;&gt;"")*(D_Points!$A$5:$A$204&gt;=$B380)*(D_Points!$A$5:$A$204&lt;$B380+P_Interval)*(UPPER(TRIM(D_Points!$B$5:$B$204))="GULLY")*(D_Points!$H$5:$H$204&lt;&gt;"")),D_Points!$H$5:$H$204),"")</f>
        <v/>
      </c>
      <c r="I380" s="181" t="str">
        <f>IFERROR(LOOKUP(2,1/((A_Corridor!$A$5:$A$204&lt;&gt;"")*(A_Corridor!$A$5:$A$204&lt;=$B380)*(A_Corridor!$B$5:$B$204&gt;$B380)*(A_Corridor!$F$5:$F$204&lt;&gt;"")),IF(A_Corridor!$F$5:$F$204="-","",1)),"")</f>
        <v/>
      </c>
      <c r="J380" s="182" t="str">
        <f>IFERROR(LOOKUP(2,1/((A_Corridor!$A$5:$A$204&lt;&gt;"")*(A_Corridor!$A$5:$A$204&lt;=$B380)*(A_Corridor!$B$5:$B$204&gt;$B380)*(A_Corridor!$F$5:$F$204&lt;&gt;"")),IF(A_Corridor!$F$5:$F$204="-","",A_Corridor!$F$5:$F$204)),"")</f>
        <v/>
      </c>
      <c r="K380" s="182" t="str">
        <f>IFERROR(LOOKUP(2,1/((A_Corridor!$A$5:$A$204&lt;&gt;"")*(A_Corridor!$A$5:$A$204&lt;=$B380)*(A_Corridor!$B$5:$B$204&gt;$B380)*(A_Corridor!$G$5:$G$204&lt;&gt;"")),IF(A_Corridor!$G$5:$G$204="-","",A_Corridor!$G$5:$G$204)),"")</f>
        <v/>
      </c>
      <c r="L380" s="181" t="str">
        <f>IFERROR(LOOKUP(2,1/((A_Corridor!$A$5:$A$204&lt;&gt;"")*(A_Corridor!$A$5:$A$204&lt;=$B380)*(A_Corridor!$B$5:$B$204&gt;$B380)*(A_Corridor!$H$5:$H$204&lt;&gt;"")),IF(A_Corridor!$H$5:$H$204="-","",1)),"")</f>
        <v/>
      </c>
      <c r="M380" s="182" t="str">
        <f>IFERROR(LOOKUP(2,1/((A_Corridor!$A$5:$A$204&lt;&gt;"")*(A_Corridor!$A$5:$A$204&lt;=$B380)*(A_Corridor!$B$5:$B$204&gt;$B380)*(A_Corridor!$H$5:$H$204&lt;&gt;"")),IF(A_Corridor!$H$5:$H$204="-","",A_Corridor!$H$5:$H$204)),"")</f>
        <v/>
      </c>
      <c r="N380" s="182" t="str">
        <f>IFERROR(LOOKUP(2,1/((A_Corridor!$A$5:$A$204&lt;&gt;"")*(A_Corridor!$A$5:$A$204&lt;=$B380)*(A_Corridor!$B$5:$B$204&gt;$B380)*(A_Corridor!$I$5:$I$204&lt;&gt;"")),IF(A_Corridor!$I$5:$I$204="-","",A_Corridor!$I$5:$I$204)),"")</f>
        <v/>
      </c>
      <c r="O380" s="182" t="str">
        <f>IFERROR(LOOKUP(2,1/((D_Points!$A$5:$A$204&lt;&gt;"")*(D_Points!$A$5:$A$204&gt;=$B380)*(D_Points!$A$5:$A$204&lt;$B380+P_Interval)*(UPPER(TRIM(D_Points!$B$5:$B$204))="PITCHING")*(D_Points!$H$5:$H$204&lt;&gt;"")),D_Points!$H$5:$H$204),"")</f>
        <v/>
      </c>
      <c r="P380" s="181" t="str">
        <f>IFERROR(LOOKUP(2,1/((B_Drainage!$A$5:$A$204&lt;&gt;"")*(B_Drainage!$A$5:$A$204&lt;=$B380)*(B_Drainage!$B$5:$B$204&gt;$B380)*(B_Drainage!$C$5:$C$204&lt;&gt;"")),IF(B_Drainage!$C$5:$C$204="-","",UPPER(B_Drainage!$C$5:$C$204))),"")</f>
        <v/>
      </c>
      <c r="Q380" s="181" t="str">
        <f>IFERROR(LOOKUP(2,1/((B_Drainage!$A$5:$A$204&lt;&gt;"")*(B_Drainage!$A$5:$A$204&lt;=$B380)*(B_Drainage!$B$5:$B$204&gt;$B380)*(B_Drainage!$D$5:$D$204&lt;&gt;"")),IF(B_Drainage!$D$5:$D$204="-","",UPPER(B_Drainage!$D$5:$D$204))),"")</f>
        <v/>
      </c>
      <c r="R380" s="182" t="str">
        <f>IFERROR(LOOKUP(2,1/((D_Points!$A$5:$A$204&lt;&gt;"")*(D_Points!$A$5:$A$204&gt;=$B380)*(D_Points!$A$5:$A$204&lt;$B380+P_Interval)*(RIGHT(UPPER(TRIM(D_Points!$B$5:$B$204)),8)="_CULVERT")),IF(LEFT(UPPER(TRIM(D_Points!$B$5:$B$204)),2)="EX",1,IF(LEFT(UPPER(TRIM(D_Points!$B$5:$B$204)),2)="PR",2,3))),"")</f>
        <v/>
      </c>
      <c r="S380" s="182" t="str">
        <f>IFERROR(LOOKUP(2,1/((D_Points!$A$5:$A$204&lt;&gt;"")*(D_Points!$A$5:$A$204&gt;=$B380)*(D_Points!$A$5:$A$204&lt;$B380+P_Interval)*(RIGHT(UPPER(TRIM(D_Points!$B$5:$B$204)),7)="_BRIDGE")),IF(LEFT(UPPER(TRIM(D_Points!$B$5:$B$204)),2)="EX",1,IF(LEFT(UPPER(TRIM(D_Points!$B$5:$B$204)),2)="PR",2,2))),"")</f>
        <v/>
      </c>
      <c r="T380" s="181" t="str">
        <f>IFERROR(LOOKUP(2,1/((B_Drainage!$A$5:$A$204&lt;&gt;"")*(B_Drainage!$A$5:$A$204&lt;=$B380)*(B_Drainage!$B$5:$B$204&gt;$B380)*(B_Drainage!$E$5:$E$204&lt;&gt;"")),IF(B_Drainage!$E$5:$E$204="-","",1)),"")</f>
        <v/>
      </c>
      <c r="U380" s="181" t="str">
        <f>IFERROR(LOOKUP(2,1/((B_Drainage!$A$5:$A$204&lt;&gt;"")*(B_Drainage!$A$5:$A$204&lt;=$B380)*(B_Drainage!$B$5:$B$204&gt;$B380)*(B_Drainage!$E$5:$E$204&lt;&gt;"")),IF(B_Drainage!$E$5:$E$204="-","",B_Drainage!$E$5:$E$204)),"")</f>
        <v/>
      </c>
      <c r="V380" s="181" t="str">
        <f>IFERROR(LOOKUP(2,1/((B_Drainage!$A$5:$A$204&lt;&gt;"")*(B_Drainage!$A$5:$A$204&lt;=$B380)*(B_Drainage!$B$5:$B$204&gt;$B380)*(B_Drainage!$F$5:$F$204&lt;&gt;"")),IF(B_Drainage!$F$5:$F$204="-","",1)),"")</f>
        <v/>
      </c>
      <c r="W380" s="181" t="str">
        <f>IFERROR(LOOKUP(2,1/((B_Drainage!$A$5:$A$204&lt;&gt;"")*(B_Drainage!$A$5:$A$204&lt;=$B380)*(B_Drainage!$B$5:$B$204&gt;$B380)*(B_Drainage!$F$5:$F$204&lt;&gt;"")),IF(B_Drainage!$F$5:$F$204="-","",B_Drainage!$F$5:$F$204)),"")</f>
        <v/>
      </c>
      <c r="X380" s="181" t="str">
        <f>IFERROR(LOOKUP(2,1/((B_Drainage!$A$5:$A$204&lt;&gt;"")*(B_Drainage!$A$5:$A$204&lt;=$B380)*(B_Drainage!$B$5:$B$204&gt;$B380)*(B_Drainage!$G$5:$G$204&lt;&gt;"")),IF(UPPER(B_Drainage!$G$5:$G$204)="Y",1,"")),"")</f>
        <v/>
      </c>
      <c r="Y380" s="181" t="str">
        <f>IFERROR(LOOKUP(2,1/((B_Drainage!$A$5:$A$204&lt;&gt;"")*(B_Drainage!$A$5:$A$204&lt;=$B380)*(B_Drainage!$B$5:$B$204&gt;$B380)*(B_Drainage!$H$5:$H$204&lt;&gt;"")),IF(UPPER(B_Drainage!$H$5:$H$204)="Y",1,"")),"")</f>
        <v/>
      </c>
      <c r="Z380" s="181" t="str">
        <f>IFERROR(LOOKUP(2,1/((B_Drainage!$A$5:$A$204&lt;&gt;"")*(B_Drainage!$A$5:$A$204&lt;=$B380)*(B_Drainage!$B$5:$B$204&gt;$B380)*(B_Drainage!$I$5:$I$204&lt;&gt;"")),IF(UPPER(B_Drainage!$I$5:$I$204)="Y",1,"")),"")</f>
        <v/>
      </c>
      <c r="AA380" s="181" t="str">
        <f>IFERROR(LOOKUP(2,1/((B_Drainage!$A$5:$A$204&lt;&gt;"")*(B_Drainage!$A$5:$A$204&lt;=$B380)*(B_Drainage!$B$5:$B$204&gt;$B380)*(B_Drainage!$J$5:$J$204&lt;&gt;"")),IF(UPPER(B_Drainage!$J$5:$J$204)="Y",1,"")),"")</f>
        <v/>
      </c>
      <c r="AB380" s="182" t="str">
        <f>IFERROR(LOOKUP(2,1/((B_Drainage!$A$5:$A$204&lt;&gt;"")*(B_Drainage!$A$5:$A$204&lt;=$B380)*(B_Drainage!$B$5:$B$204&gt;$B380)*(B_Drainage!$K$5:$K$204&lt;&gt;"")),IF(B_Drainage!$K$5:$K$204="-","",B_Drainage!$K$5:$K$204)),"")</f>
        <v/>
      </c>
      <c r="AC380" s="182" t="str">
        <f>IFERROR(LOOKUP(2,1/((B_Drainage!$A$5:$A$204&lt;&gt;"")*(B_Drainage!$A$5:$A$204&lt;=$B380)*(B_Drainage!$B$5:$B$204&gt;$B380)*(B_Drainage!$L$5:$L$204&lt;&gt;"")),IF(B_Drainage!$L$5:$L$204="-","",B_Drainage!$L$5:$L$204)),"")</f>
        <v/>
      </c>
      <c r="AD380" s="182" t="str">
        <f>IFERROR(LOOKUP(2,1/((D_Points!$A$5:$A$204&lt;&gt;"")*(D_Points!$A$5:$A$204&gt;=$B380)*(D_Points!$A$5:$A$204&lt;$B380+P_Interval)*(UPPER(TRIM(D_Points!$B$5:$B$204))="TURNOUT_L")*(D_Points!$H$5:$H$204&lt;&gt;"")),D_Points!$H$5:$H$204),"")</f>
        <v/>
      </c>
      <c r="AE380" s="182" t="str">
        <f>IFERROR(LOOKUP(2,1/((D_Points!$A$5:$A$204&lt;&gt;"")*(D_Points!$A$5:$A$204&gt;=$B380)*(D_Points!$A$5:$A$204&lt;$B380+P_Interval)*(UPPER(TRIM(D_Points!$B$5:$B$204))="TURNOUT_R")*(D_Points!$H$5:$H$204&lt;&gt;"")),D_Points!$H$5:$H$204),"")</f>
        <v/>
      </c>
      <c r="AF380" s="181" t="str">
        <f>IFERROR(LOOKUP(2,1/((B_Drainage!$A$5:$A$204&lt;&gt;"")*(B_Drainage!$A$5:$A$204&lt;=$B380)*(B_Drainage!$B$5:$B$204&gt;$B380)*(B_Drainage!$M$5:$M$204&lt;&gt;"")),IF(UPPER(B_Drainage!$M$5:$M$204)="Y",1,"")),"")</f>
        <v/>
      </c>
      <c r="AG380" s="181" t="str">
        <f>IFERROR(LOOKUP(2,1/((B_Drainage!$A$5:$A$204&lt;&gt;"")*(B_Drainage!$A$5:$A$204&lt;=$B380)*(B_Drainage!$B$5:$B$204&gt;$B380)*(B_Drainage!$N$5:$N$204&lt;&gt;"")),IF(UPPER(B_Drainage!$N$5:$N$204)="Y",1,"")),"")</f>
        <v/>
      </c>
      <c r="AH380" s="181" t="str">
        <f t="shared" si="40"/>
        <v/>
      </c>
      <c r="AI380" s="181" t="str">
        <f t="shared" si="41"/>
        <v/>
      </c>
      <c r="AJ380" s="181" t="str">
        <f t="shared" si="42"/>
        <v/>
      </c>
      <c r="AK380" s="181" t="str">
        <f t="shared" si="43"/>
        <v/>
      </c>
      <c r="AL380" s="181" t="str">
        <f t="shared" si="44"/>
        <v/>
      </c>
      <c r="AM380" s="181" t="str">
        <f t="shared" si="45"/>
        <v/>
      </c>
      <c r="AN380" s="181" t="str">
        <f t="shared" si="46"/>
        <v/>
      </c>
      <c r="AO380" s="192" t="str">
        <f t="shared" si="47"/>
        <v/>
      </c>
      <c r="AQ380" t="str">
        <f>IFERROR(LOOKUP(2,1/((C_Pavement!$A$5:$A$204&lt;&gt;"")*(C_Pavement!$A$5:$A$204&lt;=$B380)*(C_Pavement!$B$5:$B$204&gt;$B380)*(C_Pavement!$C$5:$C$204&lt;&gt;"")),ROW(C_Pavement!$C$5:$C$204)-4),"")</f>
        <v/>
      </c>
      <c r="AR380" t="str">
        <f>IF($AQ380="","",UPPER(TRIM(INDEX(C_Pavement!$C$5:$C$204,$AQ380))))</f>
        <v/>
      </c>
      <c r="AS380" t="str">
        <f>IF($AR380="","",IFERROR(MATCH($AR380,E_Rules!$A$5:$A$9,0),""))</f>
        <v/>
      </c>
      <c r="AT380" t="str">
        <f>IF($AQ380="","",IF(INDEX(C_Pavement!$D$5:$D$204,$AQ380)&lt;&gt;"",UPPER(TRIM(INDEX(C_Pavement!$D$5:$D$204,$AQ380))),IF($AS380="","",INDEX(E_Rules!$C$5:$C$9,$AS380))))</f>
        <v/>
      </c>
      <c r="AU380" t="str">
        <f>IF($AQ380="","",IF(INDEX(C_Pavement!$E$5:$E$204,$AQ380)&lt;&gt;"",IF(INDEX(C_Pavement!$E$5:$E$204,$AQ380)="-","",INDEX(C_Pavement!$E$5:$E$204,$AQ380)),IF($AS380="","",INDEX(E_Rules!$D$5:$D$9,$AS380))))</f>
        <v/>
      </c>
      <c r="AV380" t="str">
        <f>IF($AQ380="","",IF(INDEX(C_Pavement!$F$5:$F$204,$AQ380)&lt;&gt;"",IF(INDEX(C_Pavement!$F$5:$F$204,$AQ380)="-","",INDEX(C_Pavement!$F$5:$F$204,$AQ380)),IF($AS380="","",INDEX(E_Rules!$E$5:$E$9,$AS380))))</f>
        <v/>
      </c>
      <c r="AW380" t="str">
        <f>IF($AQ380="","",IF(INDEX(C_Pavement!$G$5:$G$204,$AQ380)&lt;&gt;"",IF(INDEX(C_Pavement!$G$5:$G$204,$AQ380)="-","",INDEX(C_Pavement!$G$5:$G$204,$AQ380)),IF($AS380="","",INDEX(E_Rules!$F$5:$F$9,$AS380))))</f>
        <v/>
      </c>
      <c r="AX380" t="str">
        <f>IF($AQ380="","",IF(INDEX(C_Pavement!$H$5:$H$204,$AQ380)&lt;&gt;"",IF(INDEX(C_Pavement!$H$5:$H$204,$AQ380)="-","",INDEX(C_Pavement!$H$5:$H$204,$AQ380)),IF($AS380="","",INDEX(E_Rules!$G$5:$G$9,$AS380))))</f>
        <v/>
      </c>
      <c r="AY380" t="str">
        <f>IF($AQ380="","",IF(INDEX(C_Pavement!$I$5:$I$204,$AQ380)&lt;&gt;"",IF(INDEX(C_Pavement!$I$5:$I$204,$AQ380)="-","",INDEX(C_Pavement!$I$5:$I$204,$AQ380)),IF($AS380="","",INDEX(E_Rules!$H$5:$H$9,$AS380))))</f>
        <v/>
      </c>
    </row>
    <row r="381" spans="1:51" ht="15.75" customHeight="1" x14ac:dyDescent="0.3">
      <c r="A381" s="189">
        <v>376</v>
      </c>
      <c r="B381" s="180">
        <v>18750</v>
      </c>
      <c r="C381" s="180" t="s">
        <v>687</v>
      </c>
      <c r="D381" s="181" t="str">
        <f>IFERROR(LOOKUP(2,1/((A_Corridor!$A$5:$A$204&lt;&gt;"")*(A_Corridor!$A$5:$A$204&lt;=$B381)*(A_Corridor!$B$5:$B$204&gt;$B381)*(A_Corridor!$C$5:$C$204&lt;&gt;"")),IF(UPPER(A_Corridor!$C$5:$C$204)="Y",1,"")),"")</f>
        <v/>
      </c>
      <c r="E381" s="181" t="str">
        <f>IFERROR(LOOKUP(2,1/((A_Corridor!$A$5:$A$204&lt;&gt;"")*(A_Corridor!$A$5:$A$204&lt;=$B381)*(A_Corridor!$B$5:$B$204&gt;$B381)*(A_Corridor!$D$5:$D$204&lt;&gt;"")),IF(A_Corridor!$D$5:$D$204="-","",UPPER(A_Corridor!$D$5:$D$204))),"")</f>
        <v/>
      </c>
      <c r="F381" s="181" t="str">
        <f>IFERROR(LOOKUP(2,1/((A_Corridor!$A$5:$A$204&lt;&gt;"")*(A_Corridor!$A$5:$A$204&lt;=$B381)*(A_Corridor!$B$5:$B$204&gt;$B381)*(A_Corridor!$E$5:$E$204&lt;&gt;"")),IF(A_Corridor!$E$5:$E$204="-","",1)),"")</f>
        <v/>
      </c>
      <c r="G381" s="182" t="str">
        <f>IFERROR(LOOKUP(2,1/((A_Corridor!$A$5:$A$204&lt;&gt;"")*(A_Corridor!$A$5:$A$204&lt;=$B381)*(A_Corridor!$B$5:$B$204&gt;$B381)*(A_Corridor!$E$5:$E$204&lt;&gt;"")),IF(A_Corridor!$E$5:$E$204="-","",A_Corridor!$E$5:$E$204)),"")</f>
        <v/>
      </c>
      <c r="H381" s="182" t="str">
        <f>IFERROR(LOOKUP(2,1/((D_Points!$A$5:$A$204&lt;&gt;"")*(D_Points!$A$5:$A$204&gt;=$B381)*(D_Points!$A$5:$A$204&lt;$B381+P_Interval)*(UPPER(TRIM(D_Points!$B$5:$B$204))="GULLY")*(D_Points!$H$5:$H$204&lt;&gt;"")),D_Points!$H$5:$H$204),"")</f>
        <v/>
      </c>
      <c r="I381" s="181" t="str">
        <f>IFERROR(LOOKUP(2,1/((A_Corridor!$A$5:$A$204&lt;&gt;"")*(A_Corridor!$A$5:$A$204&lt;=$B381)*(A_Corridor!$B$5:$B$204&gt;$B381)*(A_Corridor!$F$5:$F$204&lt;&gt;"")),IF(A_Corridor!$F$5:$F$204="-","",1)),"")</f>
        <v/>
      </c>
      <c r="J381" s="182" t="str">
        <f>IFERROR(LOOKUP(2,1/((A_Corridor!$A$5:$A$204&lt;&gt;"")*(A_Corridor!$A$5:$A$204&lt;=$B381)*(A_Corridor!$B$5:$B$204&gt;$B381)*(A_Corridor!$F$5:$F$204&lt;&gt;"")),IF(A_Corridor!$F$5:$F$204="-","",A_Corridor!$F$5:$F$204)),"")</f>
        <v/>
      </c>
      <c r="K381" s="182" t="str">
        <f>IFERROR(LOOKUP(2,1/((A_Corridor!$A$5:$A$204&lt;&gt;"")*(A_Corridor!$A$5:$A$204&lt;=$B381)*(A_Corridor!$B$5:$B$204&gt;$B381)*(A_Corridor!$G$5:$G$204&lt;&gt;"")),IF(A_Corridor!$G$5:$G$204="-","",A_Corridor!$G$5:$G$204)),"")</f>
        <v/>
      </c>
      <c r="L381" s="181" t="str">
        <f>IFERROR(LOOKUP(2,1/((A_Corridor!$A$5:$A$204&lt;&gt;"")*(A_Corridor!$A$5:$A$204&lt;=$B381)*(A_Corridor!$B$5:$B$204&gt;$B381)*(A_Corridor!$H$5:$H$204&lt;&gt;"")),IF(A_Corridor!$H$5:$H$204="-","",1)),"")</f>
        <v/>
      </c>
      <c r="M381" s="182" t="str">
        <f>IFERROR(LOOKUP(2,1/((A_Corridor!$A$5:$A$204&lt;&gt;"")*(A_Corridor!$A$5:$A$204&lt;=$B381)*(A_Corridor!$B$5:$B$204&gt;$B381)*(A_Corridor!$H$5:$H$204&lt;&gt;"")),IF(A_Corridor!$H$5:$H$204="-","",A_Corridor!$H$5:$H$204)),"")</f>
        <v/>
      </c>
      <c r="N381" s="182" t="str">
        <f>IFERROR(LOOKUP(2,1/((A_Corridor!$A$5:$A$204&lt;&gt;"")*(A_Corridor!$A$5:$A$204&lt;=$B381)*(A_Corridor!$B$5:$B$204&gt;$B381)*(A_Corridor!$I$5:$I$204&lt;&gt;"")),IF(A_Corridor!$I$5:$I$204="-","",A_Corridor!$I$5:$I$204)),"")</f>
        <v/>
      </c>
      <c r="O381" s="182" t="str">
        <f>IFERROR(LOOKUP(2,1/((D_Points!$A$5:$A$204&lt;&gt;"")*(D_Points!$A$5:$A$204&gt;=$B381)*(D_Points!$A$5:$A$204&lt;$B381+P_Interval)*(UPPER(TRIM(D_Points!$B$5:$B$204))="PITCHING")*(D_Points!$H$5:$H$204&lt;&gt;"")),D_Points!$H$5:$H$204),"")</f>
        <v/>
      </c>
      <c r="P381" s="181" t="str">
        <f>IFERROR(LOOKUP(2,1/((B_Drainage!$A$5:$A$204&lt;&gt;"")*(B_Drainage!$A$5:$A$204&lt;=$B381)*(B_Drainage!$B$5:$B$204&gt;$B381)*(B_Drainage!$C$5:$C$204&lt;&gt;"")),IF(B_Drainage!$C$5:$C$204="-","",UPPER(B_Drainage!$C$5:$C$204))),"")</f>
        <v/>
      </c>
      <c r="Q381" s="181" t="str">
        <f>IFERROR(LOOKUP(2,1/((B_Drainage!$A$5:$A$204&lt;&gt;"")*(B_Drainage!$A$5:$A$204&lt;=$B381)*(B_Drainage!$B$5:$B$204&gt;$B381)*(B_Drainage!$D$5:$D$204&lt;&gt;"")),IF(B_Drainage!$D$5:$D$204="-","",UPPER(B_Drainage!$D$5:$D$204))),"")</f>
        <v/>
      </c>
      <c r="R381" s="182" t="str">
        <f>IFERROR(LOOKUP(2,1/((D_Points!$A$5:$A$204&lt;&gt;"")*(D_Points!$A$5:$A$204&gt;=$B381)*(D_Points!$A$5:$A$204&lt;$B381+P_Interval)*(RIGHT(UPPER(TRIM(D_Points!$B$5:$B$204)),8)="_CULVERT")),IF(LEFT(UPPER(TRIM(D_Points!$B$5:$B$204)),2)="EX",1,IF(LEFT(UPPER(TRIM(D_Points!$B$5:$B$204)),2)="PR",2,3))),"")</f>
        <v/>
      </c>
      <c r="S381" s="182" t="str">
        <f>IFERROR(LOOKUP(2,1/((D_Points!$A$5:$A$204&lt;&gt;"")*(D_Points!$A$5:$A$204&gt;=$B381)*(D_Points!$A$5:$A$204&lt;$B381+P_Interval)*(RIGHT(UPPER(TRIM(D_Points!$B$5:$B$204)),7)="_BRIDGE")),IF(LEFT(UPPER(TRIM(D_Points!$B$5:$B$204)),2)="EX",1,IF(LEFT(UPPER(TRIM(D_Points!$B$5:$B$204)),2)="PR",2,2))),"")</f>
        <v/>
      </c>
      <c r="T381" s="181" t="str">
        <f>IFERROR(LOOKUP(2,1/((B_Drainage!$A$5:$A$204&lt;&gt;"")*(B_Drainage!$A$5:$A$204&lt;=$B381)*(B_Drainage!$B$5:$B$204&gt;$B381)*(B_Drainage!$E$5:$E$204&lt;&gt;"")),IF(B_Drainage!$E$5:$E$204="-","",1)),"")</f>
        <v/>
      </c>
      <c r="U381" s="181" t="str">
        <f>IFERROR(LOOKUP(2,1/((B_Drainage!$A$5:$A$204&lt;&gt;"")*(B_Drainage!$A$5:$A$204&lt;=$B381)*(B_Drainage!$B$5:$B$204&gt;$B381)*(B_Drainage!$E$5:$E$204&lt;&gt;"")),IF(B_Drainage!$E$5:$E$204="-","",B_Drainage!$E$5:$E$204)),"")</f>
        <v/>
      </c>
      <c r="V381" s="181" t="str">
        <f>IFERROR(LOOKUP(2,1/((B_Drainage!$A$5:$A$204&lt;&gt;"")*(B_Drainage!$A$5:$A$204&lt;=$B381)*(B_Drainage!$B$5:$B$204&gt;$B381)*(B_Drainage!$F$5:$F$204&lt;&gt;"")),IF(B_Drainage!$F$5:$F$204="-","",1)),"")</f>
        <v/>
      </c>
      <c r="W381" s="181" t="str">
        <f>IFERROR(LOOKUP(2,1/((B_Drainage!$A$5:$A$204&lt;&gt;"")*(B_Drainage!$A$5:$A$204&lt;=$B381)*(B_Drainage!$B$5:$B$204&gt;$B381)*(B_Drainage!$F$5:$F$204&lt;&gt;"")),IF(B_Drainage!$F$5:$F$204="-","",B_Drainage!$F$5:$F$204)),"")</f>
        <v/>
      </c>
      <c r="X381" s="181" t="str">
        <f>IFERROR(LOOKUP(2,1/((B_Drainage!$A$5:$A$204&lt;&gt;"")*(B_Drainage!$A$5:$A$204&lt;=$B381)*(B_Drainage!$B$5:$B$204&gt;$B381)*(B_Drainage!$G$5:$G$204&lt;&gt;"")),IF(UPPER(B_Drainage!$G$5:$G$204)="Y",1,"")),"")</f>
        <v/>
      </c>
      <c r="Y381" s="181" t="str">
        <f>IFERROR(LOOKUP(2,1/((B_Drainage!$A$5:$A$204&lt;&gt;"")*(B_Drainage!$A$5:$A$204&lt;=$B381)*(B_Drainage!$B$5:$B$204&gt;$B381)*(B_Drainage!$H$5:$H$204&lt;&gt;"")),IF(UPPER(B_Drainage!$H$5:$H$204)="Y",1,"")),"")</f>
        <v/>
      </c>
      <c r="Z381" s="181" t="str">
        <f>IFERROR(LOOKUP(2,1/((B_Drainage!$A$5:$A$204&lt;&gt;"")*(B_Drainage!$A$5:$A$204&lt;=$B381)*(B_Drainage!$B$5:$B$204&gt;$B381)*(B_Drainage!$I$5:$I$204&lt;&gt;"")),IF(UPPER(B_Drainage!$I$5:$I$204)="Y",1,"")),"")</f>
        <v/>
      </c>
      <c r="AA381" s="181" t="str">
        <f>IFERROR(LOOKUP(2,1/((B_Drainage!$A$5:$A$204&lt;&gt;"")*(B_Drainage!$A$5:$A$204&lt;=$B381)*(B_Drainage!$B$5:$B$204&gt;$B381)*(B_Drainage!$J$5:$J$204&lt;&gt;"")),IF(UPPER(B_Drainage!$J$5:$J$204)="Y",1,"")),"")</f>
        <v/>
      </c>
      <c r="AB381" s="182" t="str">
        <f>IFERROR(LOOKUP(2,1/((B_Drainage!$A$5:$A$204&lt;&gt;"")*(B_Drainage!$A$5:$A$204&lt;=$B381)*(B_Drainage!$B$5:$B$204&gt;$B381)*(B_Drainage!$K$5:$K$204&lt;&gt;"")),IF(B_Drainage!$K$5:$K$204="-","",B_Drainage!$K$5:$K$204)),"")</f>
        <v/>
      </c>
      <c r="AC381" s="182" t="str">
        <f>IFERROR(LOOKUP(2,1/((B_Drainage!$A$5:$A$204&lt;&gt;"")*(B_Drainage!$A$5:$A$204&lt;=$B381)*(B_Drainage!$B$5:$B$204&gt;$B381)*(B_Drainage!$L$5:$L$204&lt;&gt;"")),IF(B_Drainage!$L$5:$L$204="-","",B_Drainage!$L$5:$L$204)),"")</f>
        <v/>
      </c>
      <c r="AD381" s="182" t="str">
        <f>IFERROR(LOOKUP(2,1/((D_Points!$A$5:$A$204&lt;&gt;"")*(D_Points!$A$5:$A$204&gt;=$B381)*(D_Points!$A$5:$A$204&lt;$B381+P_Interval)*(UPPER(TRIM(D_Points!$B$5:$B$204))="TURNOUT_L")*(D_Points!$H$5:$H$204&lt;&gt;"")),D_Points!$H$5:$H$204),"")</f>
        <v/>
      </c>
      <c r="AE381" s="182" t="str">
        <f>IFERROR(LOOKUP(2,1/((D_Points!$A$5:$A$204&lt;&gt;"")*(D_Points!$A$5:$A$204&gt;=$B381)*(D_Points!$A$5:$A$204&lt;$B381+P_Interval)*(UPPER(TRIM(D_Points!$B$5:$B$204))="TURNOUT_R")*(D_Points!$H$5:$H$204&lt;&gt;"")),D_Points!$H$5:$H$204),"")</f>
        <v/>
      </c>
      <c r="AF381" s="181" t="str">
        <f>IFERROR(LOOKUP(2,1/((B_Drainage!$A$5:$A$204&lt;&gt;"")*(B_Drainage!$A$5:$A$204&lt;=$B381)*(B_Drainage!$B$5:$B$204&gt;$B381)*(B_Drainage!$M$5:$M$204&lt;&gt;"")),IF(UPPER(B_Drainage!$M$5:$M$204)="Y",1,"")),"")</f>
        <v/>
      </c>
      <c r="AG381" s="181" t="str">
        <f>IFERROR(LOOKUP(2,1/((B_Drainage!$A$5:$A$204&lt;&gt;"")*(B_Drainage!$A$5:$A$204&lt;=$B381)*(B_Drainage!$B$5:$B$204&gt;$B381)*(B_Drainage!$N$5:$N$204&lt;&gt;"")),IF(UPPER(B_Drainage!$N$5:$N$204)="Y",1,"")),"")</f>
        <v/>
      </c>
      <c r="AH381" s="181" t="str">
        <f t="shared" si="40"/>
        <v/>
      </c>
      <c r="AI381" s="181" t="str">
        <f t="shared" si="41"/>
        <v/>
      </c>
      <c r="AJ381" s="181" t="str">
        <f t="shared" si="42"/>
        <v/>
      </c>
      <c r="AK381" s="181" t="str">
        <f t="shared" si="43"/>
        <v/>
      </c>
      <c r="AL381" s="181" t="str">
        <f t="shared" si="44"/>
        <v/>
      </c>
      <c r="AM381" s="181" t="str">
        <f t="shared" si="45"/>
        <v/>
      </c>
      <c r="AN381" s="181" t="str">
        <f t="shared" si="46"/>
        <v/>
      </c>
      <c r="AO381" s="192" t="str">
        <f t="shared" si="47"/>
        <v/>
      </c>
      <c r="AQ381" t="str">
        <f>IFERROR(LOOKUP(2,1/((C_Pavement!$A$5:$A$204&lt;&gt;"")*(C_Pavement!$A$5:$A$204&lt;=$B381)*(C_Pavement!$B$5:$B$204&gt;$B381)*(C_Pavement!$C$5:$C$204&lt;&gt;"")),ROW(C_Pavement!$C$5:$C$204)-4),"")</f>
        <v/>
      </c>
      <c r="AR381" t="str">
        <f>IF($AQ381="","",UPPER(TRIM(INDEX(C_Pavement!$C$5:$C$204,$AQ381))))</f>
        <v/>
      </c>
      <c r="AS381" t="str">
        <f>IF($AR381="","",IFERROR(MATCH($AR381,E_Rules!$A$5:$A$9,0),""))</f>
        <v/>
      </c>
      <c r="AT381" t="str">
        <f>IF($AQ381="","",IF(INDEX(C_Pavement!$D$5:$D$204,$AQ381)&lt;&gt;"",UPPER(TRIM(INDEX(C_Pavement!$D$5:$D$204,$AQ381))),IF($AS381="","",INDEX(E_Rules!$C$5:$C$9,$AS381))))</f>
        <v/>
      </c>
      <c r="AU381" t="str">
        <f>IF($AQ381="","",IF(INDEX(C_Pavement!$E$5:$E$204,$AQ381)&lt;&gt;"",IF(INDEX(C_Pavement!$E$5:$E$204,$AQ381)="-","",INDEX(C_Pavement!$E$5:$E$204,$AQ381)),IF($AS381="","",INDEX(E_Rules!$D$5:$D$9,$AS381))))</f>
        <v/>
      </c>
      <c r="AV381" t="str">
        <f>IF($AQ381="","",IF(INDEX(C_Pavement!$F$5:$F$204,$AQ381)&lt;&gt;"",IF(INDEX(C_Pavement!$F$5:$F$204,$AQ381)="-","",INDEX(C_Pavement!$F$5:$F$204,$AQ381)),IF($AS381="","",INDEX(E_Rules!$E$5:$E$9,$AS381))))</f>
        <v/>
      </c>
      <c r="AW381" t="str">
        <f>IF($AQ381="","",IF(INDEX(C_Pavement!$G$5:$G$204,$AQ381)&lt;&gt;"",IF(INDEX(C_Pavement!$G$5:$G$204,$AQ381)="-","",INDEX(C_Pavement!$G$5:$G$204,$AQ381)),IF($AS381="","",INDEX(E_Rules!$F$5:$F$9,$AS381))))</f>
        <v/>
      </c>
      <c r="AX381" t="str">
        <f>IF($AQ381="","",IF(INDEX(C_Pavement!$H$5:$H$204,$AQ381)&lt;&gt;"",IF(INDEX(C_Pavement!$H$5:$H$204,$AQ381)="-","",INDEX(C_Pavement!$H$5:$H$204,$AQ381)),IF($AS381="","",INDEX(E_Rules!$G$5:$G$9,$AS381))))</f>
        <v/>
      </c>
      <c r="AY381" t="str">
        <f>IF($AQ381="","",IF(INDEX(C_Pavement!$I$5:$I$204,$AQ381)&lt;&gt;"",IF(INDEX(C_Pavement!$I$5:$I$204,$AQ381)="-","",INDEX(C_Pavement!$I$5:$I$204,$AQ381)),IF($AS381="","",INDEX(E_Rules!$H$5:$H$9,$AS381))))</f>
        <v/>
      </c>
    </row>
    <row r="382" spans="1:51" ht="15.75" customHeight="1" x14ac:dyDescent="0.3">
      <c r="A382" s="189">
        <v>377</v>
      </c>
      <c r="B382" s="180">
        <v>18800</v>
      </c>
      <c r="C382" s="180" t="s">
        <v>688</v>
      </c>
      <c r="D382" s="181" t="str">
        <f>IFERROR(LOOKUP(2,1/((A_Corridor!$A$5:$A$204&lt;&gt;"")*(A_Corridor!$A$5:$A$204&lt;=$B382)*(A_Corridor!$B$5:$B$204&gt;$B382)*(A_Corridor!$C$5:$C$204&lt;&gt;"")),IF(UPPER(A_Corridor!$C$5:$C$204)="Y",1,"")),"")</f>
        <v/>
      </c>
      <c r="E382" s="181" t="str">
        <f>IFERROR(LOOKUP(2,1/((A_Corridor!$A$5:$A$204&lt;&gt;"")*(A_Corridor!$A$5:$A$204&lt;=$B382)*(A_Corridor!$B$5:$B$204&gt;$B382)*(A_Corridor!$D$5:$D$204&lt;&gt;"")),IF(A_Corridor!$D$5:$D$204="-","",UPPER(A_Corridor!$D$5:$D$204))),"")</f>
        <v/>
      </c>
      <c r="F382" s="181" t="str">
        <f>IFERROR(LOOKUP(2,1/((A_Corridor!$A$5:$A$204&lt;&gt;"")*(A_Corridor!$A$5:$A$204&lt;=$B382)*(A_Corridor!$B$5:$B$204&gt;$B382)*(A_Corridor!$E$5:$E$204&lt;&gt;"")),IF(A_Corridor!$E$5:$E$204="-","",1)),"")</f>
        <v/>
      </c>
      <c r="G382" s="182" t="str">
        <f>IFERROR(LOOKUP(2,1/((A_Corridor!$A$5:$A$204&lt;&gt;"")*(A_Corridor!$A$5:$A$204&lt;=$B382)*(A_Corridor!$B$5:$B$204&gt;$B382)*(A_Corridor!$E$5:$E$204&lt;&gt;"")),IF(A_Corridor!$E$5:$E$204="-","",A_Corridor!$E$5:$E$204)),"")</f>
        <v/>
      </c>
      <c r="H382" s="182" t="str">
        <f>IFERROR(LOOKUP(2,1/((D_Points!$A$5:$A$204&lt;&gt;"")*(D_Points!$A$5:$A$204&gt;=$B382)*(D_Points!$A$5:$A$204&lt;$B382+P_Interval)*(UPPER(TRIM(D_Points!$B$5:$B$204))="GULLY")*(D_Points!$H$5:$H$204&lt;&gt;"")),D_Points!$H$5:$H$204),"")</f>
        <v/>
      </c>
      <c r="I382" s="181" t="str">
        <f>IFERROR(LOOKUP(2,1/((A_Corridor!$A$5:$A$204&lt;&gt;"")*(A_Corridor!$A$5:$A$204&lt;=$B382)*(A_Corridor!$B$5:$B$204&gt;$B382)*(A_Corridor!$F$5:$F$204&lt;&gt;"")),IF(A_Corridor!$F$5:$F$204="-","",1)),"")</f>
        <v/>
      </c>
      <c r="J382" s="182" t="str">
        <f>IFERROR(LOOKUP(2,1/((A_Corridor!$A$5:$A$204&lt;&gt;"")*(A_Corridor!$A$5:$A$204&lt;=$B382)*(A_Corridor!$B$5:$B$204&gt;$B382)*(A_Corridor!$F$5:$F$204&lt;&gt;"")),IF(A_Corridor!$F$5:$F$204="-","",A_Corridor!$F$5:$F$204)),"")</f>
        <v/>
      </c>
      <c r="K382" s="182" t="str">
        <f>IFERROR(LOOKUP(2,1/((A_Corridor!$A$5:$A$204&lt;&gt;"")*(A_Corridor!$A$5:$A$204&lt;=$B382)*(A_Corridor!$B$5:$B$204&gt;$B382)*(A_Corridor!$G$5:$G$204&lt;&gt;"")),IF(A_Corridor!$G$5:$G$204="-","",A_Corridor!$G$5:$G$204)),"")</f>
        <v/>
      </c>
      <c r="L382" s="181" t="str">
        <f>IFERROR(LOOKUP(2,1/((A_Corridor!$A$5:$A$204&lt;&gt;"")*(A_Corridor!$A$5:$A$204&lt;=$B382)*(A_Corridor!$B$5:$B$204&gt;$B382)*(A_Corridor!$H$5:$H$204&lt;&gt;"")),IF(A_Corridor!$H$5:$H$204="-","",1)),"")</f>
        <v/>
      </c>
      <c r="M382" s="182" t="str">
        <f>IFERROR(LOOKUP(2,1/((A_Corridor!$A$5:$A$204&lt;&gt;"")*(A_Corridor!$A$5:$A$204&lt;=$B382)*(A_Corridor!$B$5:$B$204&gt;$B382)*(A_Corridor!$H$5:$H$204&lt;&gt;"")),IF(A_Corridor!$H$5:$H$204="-","",A_Corridor!$H$5:$H$204)),"")</f>
        <v/>
      </c>
      <c r="N382" s="182" t="str">
        <f>IFERROR(LOOKUP(2,1/((A_Corridor!$A$5:$A$204&lt;&gt;"")*(A_Corridor!$A$5:$A$204&lt;=$B382)*(A_Corridor!$B$5:$B$204&gt;$B382)*(A_Corridor!$I$5:$I$204&lt;&gt;"")),IF(A_Corridor!$I$5:$I$204="-","",A_Corridor!$I$5:$I$204)),"")</f>
        <v/>
      </c>
      <c r="O382" s="182" t="str">
        <f>IFERROR(LOOKUP(2,1/((D_Points!$A$5:$A$204&lt;&gt;"")*(D_Points!$A$5:$A$204&gt;=$B382)*(D_Points!$A$5:$A$204&lt;$B382+P_Interval)*(UPPER(TRIM(D_Points!$B$5:$B$204))="PITCHING")*(D_Points!$H$5:$H$204&lt;&gt;"")),D_Points!$H$5:$H$204),"")</f>
        <v/>
      </c>
      <c r="P382" s="181" t="str">
        <f>IFERROR(LOOKUP(2,1/((B_Drainage!$A$5:$A$204&lt;&gt;"")*(B_Drainage!$A$5:$A$204&lt;=$B382)*(B_Drainage!$B$5:$B$204&gt;$B382)*(B_Drainage!$C$5:$C$204&lt;&gt;"")),IF(B_Drainage!$C$5:$C$204="-","",UPPER(B_Drainage!$C$5:$C$204))),"")</f>
        <v/>
      </c>
      <c r="Q382" s="181" t="str">
        <f>IFERROR(LOOKUP(2,1/((B_Drainage!$A$5:$A$204&lt;&gt;"")*(B_Drainage!$A$5:$A$204&lt;=$B382)*(B_Drainage!$B$5:$B$204&gt;$B382)*(B_Drainage!$D$5:$D$204&lt;&gt;"")),IF(B_Drainage!$D$5:$D$204="-","",UPPER(B_Drainage!$D$5:$D$204))),"")</f>
        <v/>
      </c>
      <c r="R382" s="182" t="str">
        <f>IFERROR(LOOKUP(2,1/((D_Points!$A$5:$A$204&lt;&gt;"")*(D_Points!$A$5:$A$204&gt;=$B382)*(D_Points!$A$5:$A$204&lt;$B382+P_Interval)*(RIGHT(UPPER(TRIM(D_Points!$B$5:$B$204)),8)="_CULVERT")),IF(LEFT(UPPER(TRIM(D_Points!$B$5:$B$204)),2)="EX",1,IF(LEFT(UPPER(TRIM(D_Points!$B$5:$B$204)),2)="PR",2,3))),"")</f>
        <v/>
      </c>
      <c r="S382" s="182" t="str">
        <f>IFERROR(LOOKUP(2,1/((D_Points!$A$5:$A$204&lt;&gt;"")*(D_Points!$A$5:$A$204&gt;=$B382)*(D_Points!$A$5:$A$204&lt;$B382+P_Interval)*(RIGHT(UPPER(TRIM(D_Points!$B$5:$B$204)),7)="_BRIDGE")),IF(LEFT(UPPER(TRIM(D_Points!$B$5:$B$204)),2)="EX",1,IF(LEFT(UPPER(TRIM(D_Points!$B$5:$B$204)),2)="PR",2,2))),"")</f>
        <v/>
      </c>
      <c r="T382" s="181" t="str">
        <f>IFERROR(LOOKUP(2,1/((B_Drainage!$A$5:$A$204&lt;&gt;"")*(B_Drainage!$A$5:$A$204&lt;=$B382)*(B_Drainage!$B$5:$B$204&gt;$B382)*(B_Drainage!$E$5:$E$204&lt;&gt;"")),IF(B_Drainage!$E$5:$E$204="-","",1)),"")</f>
        <v/>
      </c>
      <c r="U382" s="181" t="str">
        <f>IFERROR(LOOKUP(2,1/((B_Drainage!$A$5:$A$204&lt;&gt;"")*(B_Drainage!$A$5:$A$204&lt;=$B382)*(B_Drainage!$B$5:$B$204&gt;$B382)*(B_Drainage!$E$5:$E$204&lt;&gt;"")),IF(B_Drainage!$E$5:$E$204="-","",B_Drainage!$E$5:$E$204)),"")</f>
        <v/>
      </c>
      <c r="V382" s="181" t="str">
        <f>IFERROR(LOOKUP(2,1/((B_Drainage!$A$5:$A$204&lt;&gt;"")*(B_Drainage!$A$5:$A$204&lt;=$B382)*(B_Drainage!$B$5:$B$204&gt;$B382)*(B_Drainage!$F$5:$F$204&lt;&gt;"")),IF(B_Drainage!$F$5:$F$204="-","",1)),"")</f>
        <v/>
      </c>
      <c r="W382" s="181" t="str">
        <f>IFERROR(LOOKUP(2,1/((B_Drainage!$A$5:$A$204&lt;&gt;"")*(B_Drainage!$A$5:$A$204&lt;=$B382)*(B_Drainage!$B$5:$B$204&gt;$B382)*(B_Drainage!$F$5:$F$204&lt;&gt;"")),IF(B_Drainage!$F$5:$F$204="-","",B_Drainage!$F$5:$F$204)),"")</f>
        <v/>
      </c>
      <c r="X382" s="181" t="str">
        <f>IFERROR(LOOKUP(2,1/((B_Drainage!$A$5:$A$204&lt;&gt;"")*(B_Drainage!$A$5:$A$204&lt;=$B382)*(B_Drainage!$B$5:$B$204&gt;$B382)*(B_Drainage!$G$5:$G$204&lt;&gt;"")),IF(UPPER(B_Drainage!$G$5:$G$204)="Y",1,"")),"")</f>
        <v/>
      </c>
      <c r="Y382" s="181" t="str">
        <f>IFERROR(LOOKUP(2,1/((B_Drainage!$A$5:$A$204&lt;&gt;"")*(B_Drainage!$A$5:$A$204&lt;=$B382)*(B_Drainage!$B$5:$B$204&gt;$B382)*(B_Drainage!$H$5:$H$204&lt;&gt;"")),IF(UPPER(B_Drainage!$H$5:$H$204)="Y",1,"")),"")</f>
        <v/>
      </c>
      <c r="Z382" s="181" t="str">
        <f>IFERROR(LOOKUP(2,1/((B_Drainage!$A$5:$A$204&lt;&gt;"")*(B_Drainage!$A$5:$A$204&lt;=$B382)*(B_Drainage!$B$5:$B$204&gt;$B382)*(B_Drainage!$I$5:$I$204&lt;&gt;"")),IF(UPPER(B_Drainage!$I$5:$I$204)="Y",1,"")),"")</f>
        <v/>
      </c>
      <c r="AA382" s="181" t="str">
        <f>IFERROR(LOOKUP(2,1/((B_Drainage!$A$5:$A$204&lt;&gt;"")*(B_Drainage!$A$5:$A$204&lt;=$B382)*(B_Drainage!$B$5:$B$204&gt;$B382)*(B_Drainage!$J$5:$J$204&lt;&gt;"")),IF(UPPER(B_Drainage!$J$5:$J$204)="Y",1,"")),"")</f>
        <v/>
      </c>
      <c r="AB382" s="182" t="str">
        <f>IFERROR(LOOKUP(2,1/((B_Drainage!$A$5:$A$204&lt;&gt;"")*(B_Drainage!$A$5:$A$204&lt;=$B382)*(B_Drainage!$B$5:$B$204&gt;$B382)*(B_Drainage!$K$5:$K$204&lt;&gt;"")),IF(B_Drainage!$K$5:$K$204="-","",B_Drainage!$K$5:$K$204)),"")</f>
        <v/>
      </c>
      <c r="AC382" s="182" t="str">
        <f>IFERROR(LOOKUP(2,1/((B_Drainage!$A$5:$A$204&lt;&gt;"")*(B_Drainage!$A$5:$A$204&lt;=$B382)*(B_Drainage!$B$5:$B$204&gt;$B382)*(B_Drainage!$L$5:$L$204&lt;&gt;"")),IF(B_Drainage!$L$5:$L$204="-","",B_Drainage!$L$5:$L$204)),"")</f>
        <v/>
      </c>
      <c r="AD382" s="182" t="str">
        <f>IFERROR(LOOKUP(2,1/((D_Points!$A$5:$A$204&lt;&gt;"")*(D_Points!$A$5:$A$204&gt;=$B382)*(D_Points!$A$5:$A$204&lt;$B382+P_Interval)*(UPPER(TRIM(D_Points!$B$5:$B$204))="TURNOUT_L")*(D_Points!$H$5:$H$204&lt;&gt;"")),D_Points!$H$5:$H$204),"")</f>
        <v/>
      </c>
      <c r="AE382" s="182" t="str">
        <f>IFERROR(LOOKUP(2,1/((D_Points!$A$5:$A$204&lt;&gt;"")*(D_Points!$A$5:$A$204&gt;=$B382)*(D_Points!$A$5:$A$204&lt;$B382+P_Interval)*(UPPER(TRIM(D_Points!$B$5:$B$204))="TURNOUT_R")*(D_Points!$H$5:$H$204&lt;&gt;"")),D_Points!$H$5:$H$204),"")</f>
        <v/>
      </c>
      <c r="AF382" s="181" t="str">
        <f>IFERROR(LOOKUP(2,1/((B_Drainage!$A$5:$A$204&lt;&gt;"")*(B_Drainage!$A$5:$A$204&lt;=$B382)*(B_Drainage!$B$5:$B$204&gt;$B382)*(B_Drainage!$M$5:$M$204&lt;&gt;"")),IF(UPPER(B_Drainage!$M$5:$M$204)="Y",1,"")),"")</f>
        <v/>
      </c>
      <c r="AG382" s="181" t="str">
        <f>IFERROR(LOOKUP(2,1/((B_Drainage!$A$5:$A$204&lt;&gt;"")*(B_Drainage!$A$5:$A$204&lt;=$B382)*(B_Drainage!$B$5:$B$204&gt;$B382)*(B_Drainage!$N$5:$N$204&lt;&gt;"")),IF(UPPER(B_Drainage!$N$5:$N$204)="Y",1,"")),"")</f>
        <v/>
      </c>
      <c r="AH382" s="181" t="str">
        <f t="shared" si="40"/>
        <v/>
      </c>
      <c r="AI382" s="181" t="str">
        <f t="shared" si="41"/>
        <v/>
      </c>
      <c r="AJ382" s="181" t="str">
        <f t="shared" si="42"/>
        <v/>
      </c>
      <c r="AK382" s="181" t="str">
        <f t="shared" si="43"/>
        <v/>
      </c>
      <c r="AL382" s="181" t="str">
        <f t="shared" si="44"/>
        <v/>
      </c>
      <c r="AM382" s="181" t="str">
        <f t="shared" si="45"/>
        <v/>
      </c>
      <c r="AN382" s="181" t="str">
        <f t="shared" si="46"/>
        <v/>
      </c>
      <c r="AO382" s="192" t="str">
        <f t="shared" si="47"/>
        <v/>
      </c>
      <c r="AQ382" t="str">
        <f>IFERROR(LOOKUP(2,1/((C_Pavement!$A$5:$A$204&lt;&gt;"")*(C_Pavement!$A$5:$A$204&lt;=$B382)*(C_Pavement!$B$5:$B$204&gt;$B382)*(C_Pavement!$C$5:$C$204&lt;&gt;"")),ROW(C_Pavement!$C$5:$C$204)-4),"")</f>
        <v/>
      </c>
      <c r="AR382" t="str">
        <f>IF($AQ382="","",UPPER(TRIM(INDEX(C_Pavement!$C$5:$C$204,$AQ382))))</f>
        <v/>
      </c>
      <c r="AS382" t="str">
        <f>IF($AR382="","",IFERROR(MATCH($AR382,E_Rules!$A$5:$A$9,0),""))</f>
        <v/>
      </c>
      <c r="AT382" t="str">
        <f>IF($AQ382="","",IF(INDEX(C_Pavement!$D$5:$D$204,$AQ382)&lt;&gt;"",UPPER(TRIM(INDEX(C_Pavement!$D$5:$D$204,$AQ382))),IF($AS382="","",INDEX(E_Rules!$C$5:$C$9,$AS382))))</f>
        <v/>
      </c>
      <c r="AU382" t="str">
        <f>IF($AQ382="","",IF(INDEX(C_Pavement!$E$5:$E$204,$AQ382)&lt;&gt;"",IF(INDEX(C_Pavement!$E$5:$E$204,$AQ382)="-","",INDEX(C_Pavement!$E$5:$E$204,$AQ382)),IF($AS382="","",INDEX(E_Rules!$D$5:$D$9,$AS382))))</f>
        <v/>
      </c>
      <c r="AV382" t="str">
        <f>IF($AQ382="","",IF(INDEX(C_Pavement!$F$5:$F$204,$AQ382)&lt;&gt;"",IF(INDEX(C_Pavement!$F$5:$F$204,$AQ382)="-","",INDEX(C_Pavement!$F$5:$F$204,$AQ382)),IF($AS382="","",INDEX(E_Rules!$E$5:$E$9,$AS382))))</f>
        <v/>
      </c>
      <c r="AW382" t="str">
        <f>IF($AQ382="","",IF(INDEX(C_Pavement!$G$5:$G$204,$AQ382)&lt;&gt;"",IF(INDEX(C_Pavement!$G$5:$G$204,$AQ382)="-","",INDEX(C_Pavement!$G$5:$G$204,$AQ382)),IF($AS382="","",INDEX(E_Rules!$F$5:$F$9,$AS382))))</f>
        <v/>
      </c>
      <c r="AX382" t="str">
        <f>IF($AQ382="","",IF(INDEX(C_Pavement!$H$5:$H$204,$AQ382)&lt;&gt;"",IF(INDEX(C_Pavement!$H$5:$H$204,$AQ382)="-","",INDEX(C_Pavement!$H$5:$H$204,$AQ382)),IF($AS382="","",INDEX(E_Rules!$G$5:$G$9,$AS382))))</f>
        <v/>
      </c>
      <c r="AY382" t="str">
        <f>IF($AQ382="","",IF(INDEX(C_Pavement!$I$5:$I$204,$AQ382)&lt;&gt;"",IF(INDEX(C_Pavement!$I$5:$I$204,$AQ382)="-","",INDEX(C_Pavement!$I$5:$I$204,$AQ382)),IF($AS382="","",INDEX(E_Rules!$H$5:$H$9,$AS382))))</f>
        <v/>
      </c>
    </row>
    <row r="383" spans="1:51" ht="15.75" customHeight="1" x14ac:dyDescent="0.3">
      <c r="A383" s="189">
        <v>378</v>
      </c>
      <c r="B383" s="180">
        <v>18850</v>
      </c>
      <c r="C383" s="180" t="s">
        <v>689</v>
      </c>
      <c r="D383" s="181" t="str">
        <f>IFERROR(LOOKUP(2,1/((A_Corridor!$A$5:$A$204&lt;&gt;"")*(A_Corridor!$A$5:$A$204&lt;=$B383)*(A_Corridor!$B$5:$B$204&gt;$B383)*(A_Corridor!$C$5:$C$204&lt;&gt;"")),IF(UPPER(A_Corridor!$C$5:$C$204)="Y",1,"")),"")</f>
        <v/>
      </c>
      <c r="E383" s="181" t="str">
        <f>IFERROR(LOOKUP(2,1/((A_Corridor!$A$5:$A$204&lt;&gt;"")*(A_Corridor!$A$5:$A$204&lt;=$B383)*(A_Corridor!$B$5:$B$204&gt;$B383)*(A_Corridor!$D$5:$D$204&lt;&gt;"")),IF(A_Corridor!$D$5:$D$204="-","",UPPER(A_Corridor!$D$5:$D$204))),"")</f>
        <v/>
      </c>
      <c r="F383" s="181" t="str">
        <f>IFERROR(LOOKUP(2,1/((A_Corridor!$A$5:$A$204&lt;&gt;"")*(A_Corridor!$A$5:$A$204&lt;=$B383)*(A_Corridor!$B$5:$B$204&gt;$B383)*(A_Corridor!$E$5:$E$204&lt;&gt;"")),IF(A_Corridor!$E$5:$E$204="-","",1)),"")</f>
        <v/>
      </c>
      <c r="G383" s="182" t="str">
        <f>IFERROR(LOOKUP(2,1/((A_Corridor!$A$5:$A$204&lt;&gt;"")*(A_Corridor!$A$5:$A$204&lt;=$B383)*(A_Corridor!$B$5:$B$204&gt;$B383)*(A_Corridor!$E$5:$E$204&lt;&gt;"")),IF(A_Corridor!$E$5:$E$204="-","",A_Corridor!$E$5:$E$204)),"")</f>
        <v/>
      </c>
      <c r="H383" s="182" t="str">
        <f>IFERROR(LOOKUP(2,1/((D_Points!$A$5:$A$204&lt;&gt;"")*(D_Points!$A$5:$A$204&gt;=$B383)*(D_Points!$A$5:$A$204&lt;$B383+P_Interval)*(UPPER(TRIM(D_Points!$B$5:$B$204))="GULLY")*(D_Points!$H$5:$H$204&lt;&gt;"")),D_Points!$H$5:$H$204),"")</f>
        <v/>
      </c>
      <c r="I383" s="181" t="str">
        <f>IFERROR(LOOKUP(2,1/((A_Corridor!$A$5:$A$204&lt;&gt;"")*(A_Corridor!$A$5:$A$204&lt;=$B383)*(A_Corridor!$B$5:$B$204&gt;$B383)*(A_Corridor!$F$5:$F$204&lt;&gt;"")),IF(A_Corridor!$F$5:$F$204="-","",1)),"")</f>
        <v/>
      </c>
      <c r="J383" s="182" t="str">
        <f>IFERROR(LOOKUP(2,1/((A_Corridor!$A$5:$A$204&lt;&gt;"")*(A_Corridor!$A$5:$A$204&lt;=$B383)*(A_Corridor!$B$5:$B$204&gt;$B383)*(A_Corridor!$F$5:$F$204&lt;&gt;"")),IF(A_Corridor!$F$5:$F$204="-","",A_Corridor!$F$5:$F$204)),"")</f>
        <v/>
      </c>
      <c r="K383" s="182" t="str">
        <f>IFERROR(LOOKUP(2,1/((A_Corridor!$A$5:$A$204&lt;&gt;"")*(A_Corridor!$A$5:$A$204&lt;=$B383)*(A_Corridor!$B$5:$B$204&gt;$B383)*(A_Corridor!$G$5:$G$204&lt;&gt;"")),IF(A_Corridor!$G$5:$G$204="-","",A_Corridor!$G$5:$G$204)),"")</f>
        <v/>
      </c>
      <c r="L383" s="181" t="str">
        <f>IFERROR(LOOKUP(2,1/((A_Corridor!$A$5:$A$204&lt;&gt;"")*(A_Corridor!$A$5:$A$204&lt;=$B383)*(A_Corridor!$B$5:$B$204&gt;$B383)*(A_Corridor!$H$5:$H$204&lt;&gt;"")),IF(A_Corridor!$H$5:$H$204="-","",1)),"")</f>
        <v/>
      </c>
      <c r="M383" s="182" t="str">
        <f>IFERROR(LOOKUP(2,1/((A_Corridor!$A$5:$A$204&lt;&gt;"")*(A_Corridor!$A$5:$A$204&lt;=$B383)*(A_Corridor!$B$5:$B$204&gt;$B383)*(A_Corridor!$H$5:$H$204&lt;&gt;"")),IF(A_Corridor!$H$5:$H$204="-","",A_Corridor!$H$5:$H$204)),"")</f>
        <v/>
      </c>
      <c r="N383" s="182" t="str">
        <f>IFERROR(LOOKUP(2,1/((A_Corridor!$A$5:$A$204&lt;&gt;"")*(A_Corridor!$A$5:$A$204&lt;=$B383)*(A_Corridor!$B$5:$B$204&gt;$B383)*(A_Corridor!$I$5:$I$204&lt;&gt;"")),IF(A_Corridor!$I$5:$I$204="-","",A_Corridor!$I$5:$I$204)),"")</f>
        <v/>
      </c>
      <c r="O383" s="182" t="str">
        <f>IFERROR(LOOKUP(2,1/((D_Points!$A$5:$A$204&lt;&gt;"")*(D_Points!$A$5:$A$204&gt;=$B383)*(D_Points!$A$5:$A$204&lt;$B383+P_Interval)*(UPPER(TRIM(D_Points!$B$5:$B$204))="PITCHING")*(D_Points!$H$5:$H$204&lt;&gt;"")),D_Points!$H$5:$H$204),"")</f>
        <v/>
      </c>
      <c r="P383" s="181" t="str">
        <f>IFERROR(LOOKUP(2,1/((B_Drainage!$A$5:$A$204&lt;&gt;"")*(B_Drainage!$A$5:$A$204&lt;=$B383)*(B_Drainage!$B$5:$B$204&gt;$B383)*(B_Drainage!$C$5:$C$204&lt;&gt;"")),IF(B_Drainage!$C$5:$C$204="-","",UPPER(B_Drainage!$C$5:$C$204))),"")</f>
        <v/>
      </c>
      <c r="Q383" s="181" t="str">
        <f>IFERROR(LOOKUP(2,1/((B_Drainage!$A$5:$A$204&lt;&gt;"")*(B_Drainage!$A$5:$A$204&lt;=$B383)*(B_Drainage!$B$5:$B$204&gt;$B383)*(B_Drainage!$D$5:$D$204&lt;&gt;"")),IF(B_Drainage!$D$5:$D$204="-","",UPPER(B_Drainage!$D$5:$D$204))),"")</f>
        <v/>
      </c>
      <c r="R383" s="182" t="str">
        <f>IFERROR(LOOKUP(2,1/((D_Points!$A$5:$A$204&lt;&gt;"")*(D_Points!$A$5:$A$204&gt;=$B383)*(D_Points!$A$5:$A$204&lt;$B383+P_Interval)*(RIGHT(UPPER(TRIM(D_Points!$B$5:$B$204)),8)="_CULVERT")),IF(LEFT(UPPER(TRIM(D_Points!$B$5:$B$204)),2)="EX",1,IF(LEFT(UPPER(TRIM(D_Points!$B$5:$B$204)),2)="PR",2,3))),"")</f>
        <v/>
      </c>
      <c r="S383" s="182" t="str">
        <f>IFERROR(LOOKUP(2,1/((D_Points!$A$5:$A$204&lt;&gt;"")*(D_Points!$A$5:$A$204&gt;=$B383)*(D_Points!$A$5:$A$204&lt;$B383+P_Interval)*(RIGHT(UPPER(TRIM(D_Points!$B$5:$B$204)),7)="_BRIDGE")),IF(LEFT(UPPER(TRIM(D_Points!$B$5:$B$204)),2)="EX",1,IF(LEFT(UPPER(TRIM(D_Points!$B$5:$B$204)),2)="PR",2,2))),"")</f>
        <v/>
      </c>
      <c r="T383" s="181" t="str">
        <f>IFERROR(LOOKUP(2,1/((B_Drainage!$A$5:$A$204&lt;&gt;"")*(B_Drainage!$A$5:$A$204&lt;=$B383)*(B_Drainage!$B$5:$B$204&gt;$B383)*(B_Drainage!$E$5:$E$204&lt;&gt;"")),IF(B_Drainage!$E$5:$E$204="-","",1)),"")</f>
        <v/>
      </c>
      <c r="U383" s="181" t="str">
        <f>IFERROR(LOOKUP(2,1/((B_Drainage!$A$5:$A$204&lt;&gt;"")*(B_Drainage!$A$5:$A$204&lt;=$B383)*(B_Drainage!$B$5:$B$204&gt;$B383)*(B_Drainage!$E$5:$E$204&lt;&gt;"")),IF(B_Drainage!$E$5:$E$204="-","",B_Drainage!$E$5:$E$204)),"")</f>
        <v/>
      </c>
      <c r="V383" s="181" t="str">
        <f>IFERROR(LOOKUP(2,1/((B_Drainage!$A$5:$A$204&lt;&gt;"")*(B_Drainage!$A$5:$A$204&lt;=$B383)*(B_Drainage!$B$5:$B$204&gt;$B383)*(B_Drainage!$F$5:$F$204&lt;&gt;"")),IF(B_Drainage!$F$5:$F$204="-","",1)),"")</f>
        <v/>
      </c>
      <c r="W383" s="181" t="str">
        <f>IFERROR(LOOKUP(2,1/((B_Drainage!$A$5:$A$204&lt;&gt;"")*(B_Drainage!$A$5:$A$204&lt;=$B383)*(B_Drainage!$B$5:$B$204&gt;$B383)*(B_Drainage!$F$5:$F$204&lt;&gt;"")),IF(B_Drainage!$F$5:$F$204="-","",B_Drainage!$F$5:$F$204)),"")</f>
        <v/>
      </c>
      <c r="X383" s="181" t="str">
        <f>IFERROR(LOOKUP(2,1/((B_Drainage!$A$5:$A$204&lt;&gt;"")*(B_Drainage!$A$5:$A$204&lt;=$B383)*(B_Drainage!$B$5:$B$204&gt;$B383)*(B_Drainage!$G$5:$G$204&lt;&gt;"")),IF(UPPER(B_Drainage!$G$5:$G$204)="Y",1,"")),"")</f>
        <v/>
      </c>
      <c r="Y383" s="181" t="str">
        <f>IFERROR(LOOKUP(2,1/((B_Drainage!$A$5:$A$204&lt;&gt;"")*(B_Drainage!$A$5:$A$204&lt;=$B383)*(B_Drainage!$B$5:$B$204&gt;$B383)*(B_Drainage!$H$5:$H$204&lt;&gt;"")),IF(UPPER(B_Drainage!$H$5:$H$204)="Y",1,"")),"")</f>
        <v/>
      </c>
      <c r="Z383" s="181" t="str">
        <f>IFERROR(LOOKUP(2,1/((B_Drainage!$A$5:$A$204&lt;&gt;"")*(B_Drainage!$A$5:$A$204&lt;=$B383)*(B_Drainage!$B$5:$B$204&gt;$B383)*(B_Drainage!$I$5:$I$204&lt;&gt;"")),IF(UPPER(B_Drainage!$I$5:$I$204)="Y",1,"")),"")</f>
        <v/>
      </c>
      <c r="AA383" s="181" t="str">
        <f>IFERROR(LOOKUP(2,1/((B_Drainage!$A$5:$A$204&lt;&gt;"")*(B_Drainage!$A$5:$A$204&lt;=$B383)*(B_Drainage!$B$5:$B$204&gt;$B383)*(B_Drainage!$J$5:$J$204&lt;&gt;"")),IF(UPPER(B_Drainage!$J$5:$J$204)="Y",1,"")),"")</f>
        <v/>
      </c>
      <c r="AB383" s="182" t="str">
        <f>IFERROR(LOOKUP(2,1/((B_Drainage!$A$5:$A$204&lt;&gt;"")*(B_Drainage!$A$5:$A$204&lt;=$B383)*(B_Drainage!$B$5:$B$204&gt;$B383)*(B_Drainage!$K$5:$K$204&lt;&gt;"")),IF(B_Drainage!$K$5:$K$204="-","",B_Drainage!$K$5:$K$204)),"")</f>
        <v/>
      </c>
      <c r="AC383" s="182" t="str">
        <f>IFERROR(LOOKUP(2,1/((B_Drainage!$A$5:$A$204&lt;&gt;"")*(B_Drainage!$A$5:$A$204&lt;=$B383)*(B_Drainage!$B$5:$B$204&gt;$B383)*(B_Drainage!$L$5:$L$204&lt;&gt;"")),IF(B_Drainage!$L$5:$L$204="-","",B_Drainage!$L$5:$L$204)),"")</f>
        <v/>
      </c>
      <c r="AD383" s="182" t="str">
        <f>IFERROR(LOOKUP(2,1/((D_Points!$A$5:$A$204&lt;&gt;"")*(D_Points!$A$5:$A$204&gt;=$B383)*(D_Points!$A$5:$A$204&lt;$B383+P_Interval)*(UPPER(TRIM(D_Points!$B$5:$B$204))="TURNOUT_L")*(D_Points!$H$5:$H$204&lt;&gt;"")),D_Points!$H$5:$H$204),"")</f>
        <v/>
      </c>
      <c r="AE383" s="182" t="str">
        <f>IFERROR(LOOKUP(2,1/((D_Points!$A$5:$A$204&lt;&gt;"")*(D_Points!$A$5:$A$204&gt;=$B383)*(D_Points!$A$5:$A$204&lt;$B383+P_Interval)*(UPPER(TRIM(D_Points!$B$5:$B$204))="TURNOUT_R")*(D_Points!$H$5:$H$204&lt;&gt;"")),D_Points!$H$5:$H$204),"")</f>
        <v/>
      </c>
      <c r="AF383" s="181" t="str">
        <f>IFERROR(LOOKUP(2,1/((B_Drainage!$A$5:$A$204&lt;&gt;"")*(B_Drainage!$A$5:$A$204&lt;=$B383)*(B_Drainage!$B$5:$B$204&gt;$B383)*(B_Drainage!$M$5:$M$204&lt;&gt;"")),IF(UPPER(B_Drainage!$M$5:$M$204)="Y",1,"")),"")</f>
        <v/>
      </c>
      <c r="AG383" s="181" t="str">
        <f>IFERROR(LOOKUP(2,1/((B_Drainage!$A$5:$A$204&lt;&gt;"")*(B_Drainage!$A$5:$A$204&lt;=$B383)*(B_Drainage!$B$5:$B$204&gt;$B383)*(B_Drainage!$N$5:$N$204&lt;&gt;"")),IF(UPPER(B_Drainage!$N$5:$N$204)="Y",1,"")),"")</f>
        <v/>
      </c>
      <c r="AH383" s="181" t="str">
        <f t="shared" si="40"/>
        <v/>
      </c>
      <c r="AI383" s="181" t="str">
        <f t="shared" si="41"/>
        <v/>
      </c>
      <c r="AJ383" s="181" t="str">
        <f t="shared" si="42"/>
        <v/>
      </c>
      <c r="AK383" s="181" t="str">
        <f t="shared" si="43"/>
        <v/>
      </c>
      <c r="AL383" s="181" t="str">
        <f t="shared" si="44"/>
        <v/>
      </c>
      <c r="AM383" s="181" t="str">
        <f t="shared" si="45"/>
        <v/>
      </c>
      <c r="AN383" s="181" t="str">
        <f t="shared" si="46"/>
        <v/>
      </c>
      <c r="AO383" s="192" t="str">
        <f t="shared" si="47"/>
        <v/>
      </c>
      <c r="AQ383" t="str">
        <f>IFERROR(LOOKUP(2,1/((C_Pavement!$A$5:$A$204&lt;&gt;"")*(C_Pavement!$A$5:$A$204&lt;=$B383)*(C_Pavement!$B$5:$B$204&gt;$B383)*(C_Pavement!$C$5:$C$204&lt;&gt;"")),ROW(C_Pavement!$C$5:$C$204)-4),"")</f>
        <v/>
      </c>
      <c r="AR383" t="str">
        <f>IF($AQ383="","",UPPER(TRIM(INDEX(C_Pavement!$C$5:$C$204,$AQ383))))</f>
        <v/>
      </c>
      <c r="AS383" t="str">
        <f>IF($AR383="","",IFERROR(MATCH($AR383,E_Rules!$A$5:$A$9,0),""))</f>
        <v/>
      </c>
      <c r="AT383" t="str">
        <f>IF($AQ383="","",IF(INDEX(C_Pavement!$D$5:$D$204,$AQ383)&lt;&gt;"",UPPER(TRIM(INDEX(C_Pavement!$D$5:$D$204,$AQ383))),IF($AS383="","",INDEX(E_Rules!$C$5:$C$9,$AS383))))</f>
        <v/>
      </c>
      <c r="AU383" t="str">
        <f>IF($AQ383="","",IF(INDEX(C_Pavement!$E$5:$E$204,$AQ383)&lt;&gt;"",IF(INDEX(C_Pavement!$E$5:$E$204,$AQ383)="-","",INDEX(C_Pavement!$E$5:$E$204,$AQ383)),IF($AS383="","",INDEX(E_Rules!$D$5:$D$9,$AS383))))</f>
        <v/>
      </c>
      <c r="AV383" t="str">
        <f>IF($AQ383="","",IF(INDEX(C_Pavement!$F$5:$F$204,$AQ383)&lt;&gt;"",IF(INDEX(C_Pavement!$F$5:$F$204,$AQ383)="-","",INDEX(C_Pavement!$F$5:$F$204,$AQ383)),IF($AS383="","",INDEX(E_Rules!$E$5:$E$9,$AS383))))</f>
        <v/>
      </c>
      <c r="AW383" t="str">
        <f>IF($AQ383="","",IF(INDEX(C_Pavement!$G$5:$G$204,$AQ383)&lt;&gt;"",IF(INDEX(C_Pavement!$G$5:$G$204,$AQ383)="-","",INDEX(C_Pavement!$G$5:$G$204,$AQ383)),IF($AS383="","",INDEX(E_Rules!$F$5:$F$9,$AS383))))</f>
        <v/>
      </c>
      <c r="AX383" t="str">
        <f>IF($AQ383="","",IF(INDEX(C_Pavement!$H$5:$H$204,$AQ383)&lt;&gt;"",IF(INDEX(C_Pavement!$H$5:$H$204,$AQ383)="-","",INDEX(C_Pavement!$H$5:$H$204,$AQ383)),IF($AS383="","",INDEX(E_Rules!$G$5:$G$9,$AS383))))</f>
        <v/>
      </c>
      <c r="AY383" t="str">
        <f>IF($AQ383="","",IF(INDEX(C_Pavement!$I$5:$I$204,$AQ383)&lt;&gt;"",IF(INDEX(C_Pavement!$I$5:$I$204,$AQ383)="-","",INDEX(C_Pavement!$I$5:$I$204,$AQ383)),IF($AS383="","",INDEX(E_Rules!$H$5:$H$9,$AS383))))</f>
        <v/>
      </c>
    </row>
    <row r="384" spans="1:51" ht="15.75" customHeight="1" x14ac:dyDescent="0.3">
      <c r="A384" s="189">
        <v>379</v>
      </c>
      <c r="B384" s="180">
        <v>18900</v>
      </c>
      <c r="C384" s="180" t="s">
        <v>690</v>
      </c>
      <c r="D384" s="181" t="str">
        <f>IFERROR(LOOKUP(2,1/((A_Corridor!$A$5:$A$204&lt;&gt;"")*(A_Corridor!$A$5:$A$204&lt;=$B384)*(A_Corridor!$B$5:$B$204&gt;$B384)*(A_Corridor!$C$5:$C$204&lt;&gt;"")),IF(UPPER(A_Corridor!$C$5:$C$204)="Y",1,"")),"")</f>
        <v/>
      </c>
      <c r="E384" s="181" t="str">
        <f>IFERROR(LOOKUP(2,1/((A_Corridor!$A$5:$A$204&lt;&gt;"")*(A_Corridor!$A$5:$A$204&lt;=$B384)*(A_Corridor!$B$5:$B$204&gt;$B384)*(A_Corridor!$D$5:$D$204&lt;&gt;"")),IF(A_Corridor!$D$5:$D$204="-","",UPPER(A_Corridor!$D$5:$D$204))),"")</f>
        <v/>
      </c>
      <c r="F384" s="181" t="str">
        <f>IFERROR(LOOKUP(2,1/((A_Corridor!$A$5:$A$204&lt;&gt;"")*(A_Corridor!$A$5:$A$204&lt;=$B384)*(A_Corridor!$B$5:$B$204&gt;$B384)*(A_Corridor!$E$5:$E$204&lt;&gt;"")),IF(A_Corridor!$E$5:$E$204="-","",1)),"")</f>
        <v/>
      </c>
      <c r="G384" s="182" t="str">
        <f>IFERROR(LOOKUP(2,1/((A_Corridor!$A$5:$A$204&lt;&gt;"")*(A_Corridor!$A$5:$A$204&lt;=$B384)*(A_Corridor!$B$5:$B$204&gt;$B384)*(A_Corridor!$E$5:$E$204&lt;&gt;"")),IF(A_Corridor!$E$5:$E$204="-","",A_Corridor!$E$5:$E$204)),"")</f>
        <v/>
      </c>
      <c r="H384" s="182" t="str">
        <f>IFERROR(LOOKUP(2,1/((D_Points!$A$5:$A$204&lt;&gt;"")*(D_Points!$A$5:$A$204&gt;=$B384)*(D_Points!$A$5:$A$204&lt;$B384+P_Interval)*(UPPER(TRIM(D_Points!$B$5:$B$204))="GULLY")*(D_Points!$H$5:$H$204&lt;&gt;"")),D_Points!$H$5:$H$204),"")</f>
        <v/>
      </c>
      <c r="I384" s="181" t="str">
        <f>IFERROR(LOOKUP(2,1/((A_Corridor!$A$5:$A$204&lt;&gt;"")*(A_Corridor!$A$5:$A$204&lt;=$B384)*(A_Corridor!$B$5:$B$204&gt;$B384)*(A_Corridor!$F$5:$F$204&lt;&gt;"")),IF(A_Corridor!$F$5:$F$204="-","",1)),"")</f>
        <v/>
      </c>
      <c r="J384" s="182" t="str">
        <f>IFERROR(LOOKUP(2,1/((A_Corridor!$A$5:$A$204&lt;&gt;"")*(A_Corridor!$A$5:$A$204&lt;=$B384)*(A_Corridor!$B$5:$B$204&gt;$B384)*(A_Corridor!$F$5:$F$204&lt;&gt;"")),IF(A_Corridor!$F$5:$F$204="-","",A_Corridor!$F$5:$F$204)),"")</f>
        <v/>
      </c>
      <c r="K384" s="182" t="str">
        <f>IFERROR(LOOKUP(2,1/((A_Corridor!$A$5:$A$204&lt;&gt;"")*(A_Corridor!$A$5:$A$204&lt;=$B384)*(A_Corridor!$B$5:$B$204&gt;$B384)*(A_Corridor!$G$5:$G$204&lt;&gt;"")),IF(A_Corridor!$G$5:$G$204="-","",A_Corridor!$G$5:$G$204)),"")</f>
        <v/>
      </c>
      <c r="L384" s="181" t="str">
        <f>IFERROR(LOOKUP(2,1/((A_Corridor!$A$5:$A$204&lt;&gt;"")*(A_Corridor!$A$5:$A$204&lt;=$B384)*(A_Corridor!$B$5:$B$204&gt;$B384)*(A_Corridor!$H$5:$H$204&lt;&gt;"")),IF(A_Corridor!$H$5:$H$204="-","",1)),"")</f>
        <v/>
      </c>
      <c r="M384" s="182" t="str">
        <f>IFERROR(LOOKUP(2,1/((A_Corridor!$A$5:$A$204&lt;&gt;"")*(A_Corridor!$A$5:$A$204&lt;=$B384)*(A_Corridor!$B$5:$B$204&gt;$B384)*(A_Corridor!$H$5:$H$204&lt;&gt;"")),IF(A_Corridor!$H$5:$H$204="-","",A_Corridor!$H$5:$H$204)),"")</f>
        <v/>
      </c>
      <c r="N384" s="182" t="str">
        <f>IFERROR(LOOKUP(2,1/((A_Corridor!$A$5:$A$204&lt;&gt;"")*(A_Corridor!$A$5:$A$204&lt;=$B384)*(A_Corridor!$B$5:$B$204&gt;$B384)*(A_Corridor!$I$5:$I$204&lt;&gt;"")),IF(A_Corridor!$I$5:$I$204="-","",A_Corridor!$I$5:$I$204)),"")</f>
        <v/>
      </c>
      <c r="O384" s="182" t="str">
        <f>IFERROR(LOOKUP(2,1/((D_Points!$A$5:$A$204&lt;&gt;"")*(D_Points!$A$5:$A$204&gt;=$B384)*(D_Points!$A$5:$A$204&lt;$B384+P_Interval)*(UPPER(TRIM(D_Points!$B$5:$B$204))="PITCHING")*(D_Points!$H$5:$H$204&lt;&gt;"")),D_Points!$H$5:$H$204),"")</f>
        <v/>
      </c>
      <c r="P384" s="181" t="str">
        <f>IFERROR(LOOKUP(2,1/((B_Drainage!$A$5:$A$204&lt;&gt;"")*(B_Drainage!$A$5:$A$204&lt;=$B384)*(B_Drainage!$B$5:$B$204&gt;$B384)*(B_Drainage!$C$5:$C$204&lt;&gt;"")),IF(B_Drainage!$C$5:$C$204="-","",UPPER(B_Drainage!$C$5:$C$204))),"")</f>
        <v/>
      </c>
      <c r="Q384" s="181" t="str">
        <f>IFERROR(LOOKUP(2,1/((B_Drainage!$A$5:$A$204&lt;&gt;"")*(B_Drainage!$A$5:$A$204&lt;=$B384)*(B_Drainage!$B$5:$B$204&gt;$B384)*(B_Drainage!$D$5:$D$204&lt;&gt;"")),IF(B_Drainage!$D$5:$D$204="-","",UPPER(B_Drainage!$D$5:$D$204))),"")</f>
        <v/>
      </c>
      <c r="R384" s="182" t="str">
        <f>IFERROR(LOOKUP(2,1/((D_Points!$A$5:$A$204&lt;&gt;"")*(D_Points!$A$5:$A$204&gt;=$B384)*(D_Points!$A$5:$A$204&lt;$B384+P_Interval)*(RIGHT(UPPER(TRIM(D_Points!$B$5:$B$204)),8)="_CULVERT")),IF(LEFT(UPPER(TRIM(D_Points!$B$5:$B$204)),2)="EX",1,IF(LEFT(UPPER(TRIM(D_Points!$B$5:$B$204)),2)="PR",2,3))),"")</f>
        <v/>
      </c>
      <c r="S384" s="182" t="str">
        <f>IFERROR(LOOKUP(2,1/((D_Points!$A$5:$A$204&lt;&gt;"")*(D_Points!$A$5:$A$204&gt;=$B384)*(D_Points!$A$5:$A$204&lt;$B384+P_Interval)*(RIGHT(UPPER(TRIM(D_Points!$B$5:$B$204)),7)="_BRIDGE")),IF(LEFT(UPPER(TRIM(D_Points!$B$5:$B$204)),2)="EX",1,IF(LEFT(UPPER(TRIM(D_Points!$B$5:$B$204)),2)="PR",2,2))),"")</f>
        <v/>
      </c>
      <c r="T384" s="181" t="str">
        <f>IFERROR(LOOKUP(2,1/((B_Drainage!$A$5:$A$204&lt;&gt;"")*(B_Drainage!$A$5:$A$204&lt;=$B384)*(B_Drainage!$B$5:$B$204&gt;$B384)*(B_Drainage!$E$5:$E$204&lt;&gt;"")),IF(B_Drainage!$E$5:$E$204="-","",1)),"")</f>
        <v/>
      </c>
      <c r="U384" s="181" t="str">
        <f>IFERROR(LOOKUP(2,1/((B_Drainage!$A$5:$A$204&lt;&gt;"")*(B_Drainage!$A$5:$A$204&lt;=$B384)*(B_Drainage!$B$5:$B$204&gt;$B384)*(B_Drainage!$E$5:$E$204&lt;&gt;"")),IF(B_Drainage!$E$5:$E$204="-","",B_Drainage!$E$5:$E$204)),"")</f>
        <v/>
      </c>
      <c r="V384" s="181" t="str">
        <f>IFERROR(LOOKUP(2,1/((B_Drainage!$A$5:$A$204&lt;&gt;"")*(B_Drainage!$A$5:$A$204&lt;=$B384)*(B_Drainage!$B$5:$B$204&gt;$B384)*(B_Drainage!$F$5:$F$204&lt;&gt;"")),IF(B_Drainage!$F$5:$F$204="-","",1)),"")</f>
        <v/>
      </c>
      <c r="W384" s="181" t="str">
        <f>IFERROR(LOOKUP(2,1/((B_Drainage!$A$5:$A$204&lt;&gt;"")*(B_Drainage!$A$5:$A$204&lt;=$B384)*(B_Drainage!$B$5:$B$204&gt;$B384)*(B_Drainage!$F$5:$F$204&lt;&gt;"")),IF(B_Drainage!$F$5:$F$204="-","",B_Drainage!$F$5:$F$204)),"")</f>
        <v/>
      </c>
      <c r="X384" s="181" t="str">
        <f>IFERROR(LOOKUP(2,1/((B_Drainage!$A$5:$A$204&lt;&gt;"")*(B_Drainage!$A$5:$A$204&lt;=$B384)*(B_Drainage!$B$5:$B$204&gt;$B384)*(B_Drainage!$G$5:$G$204&lt;&gt;"")),IF(UPPER(B_Drainage!$G$5:$G$204)="Y",1,"")),"")</f>
        <v/>
      </c>
      <c r="Y384" s="181" t="str">
        <f>IFERROR(LOOKUP(2,1/((B_Drainage!$A$5:$A$204&lt;&gt;"")*(B_Drainage!$A$5:$A$204&lt;=$B384)*(B_Drainage!$B$5:$B$204&gt;$B384)*(B_Drainage!$H$5:$H$204&lt;&gt;"")),IF(UPPER(B_Drainage!$H$5:$H$204)="Y",1,"")),"")</f>
        <v/>
      </c>
      <c r="Z384" s="181" t="str">
        <f>IFERROR(LOOKUP(2,1/((B_Drainage!$A$5:$A$204&lt;&gt;"")*(B_Drainage!$A$5:$A$204&lt;=$B384)*(B_Drainage!$B$5:$B$204&gt;$B384)*(B_Drainage!$I$5:$I$204&lt;&gt;"")),IF(UPPER(B_Drainage!$I$5:$I$204)="Y",1,"")),"")</f>
        <v/>
      </c>
      <c r="AA384" s="181" t="str">
        <f>IFERROR(LOOKUP(2,1/((B_Drainage!$A$5:$A$204&lt;&gt;"")*(B_Drainage!$A$5:$A$204&lt;=$B384)*(B_Drainage!$B$5:$B$204&gt;$B384)*(B_Drainage!$J$5:$J$204&lt;&gt;"")),IF(UPPER(B_Drainage!$J$5:$J$204)="Y",1,"")),"")</f>
        <v/>
      </c>
      <c r="AB384" s="182" t="str">
        <f>IFERROR(LOOKUP(2,1/((B_Drainage!$A$5:$A$204&lt;&gt;"")*(B_Drainage!$A$5:$A$204&lt;=$B384)*(B_Drainage!$B$5:$B$204&gt;$B384)*(B_Drainage!$K$5:$K$204&lt;&gt;"")),IF(B_Drainage!$K$5:$K$204="-","",B_Drainage!$K$5:$K$204)),"")</f>
        <v/>
      </c>
      <c r="AC384" s="182" t="str">
        <f>IFERROR(LOOKUP(2,1/((B_Drainage!$A$5:$A$204&lt;&gt;"")*(B_Drainage!$A$5:$A$204&lt;=$B384)*(B_Drainage!$B$5:$B$204&gt;$B384)*(B_Drainage!$L$5:$L$204&lt;&gt;"")),IF(B_Drainage!$L$5:$L$204="-","",B_Drainage!$L$5:$L$204)),"")</f>
        <v/>
      </c>
      <c r="AD384" s="182" t="str">
        <f>IFERROR(LOOKUP(2,1/((D_Points!$A$5:$A$204&lt;&gt;"")*(D_Points!$A$5:$A$204&gt;=$B384)*(D_Points!$A$5:$A$204&lt;$B384+P_Interval)*(UPPER(TRIM(D_Points!$B$5:$B$204))="TURNOUT_L")*(D_Points!$H$5:$H$204&lt;&gt;"")),D_Points!$H$5:$H$204),"")</f>
        <v/>
      </c>
      <c r="AE384" s="182" t="str">
        <f>IFERROR(LOOKUP(2,1/((D_Points!$A$5:$A$204&lt;&gt;"")*(D_Points!$A$5:$A$204&gt;=$B384)*(D_Points!$A$5:$A$204&lt;$B384+P_Interval)*(UPPER(TRIM(D_Points!$B$5:$B$204))="TURNOUT_R")*(D_Points!$H$5:$H$204&lt;&gt;"")),D_Points!$H$5:$H$204),"")</f>
        <v/>
      </c>
      <c r="AF384" s="181" t="str">
        <f>IFERROR(LOOKUP(2,1/((B_Drainage!$A$5:$A$204&lt;&gt;"")*(B_Drainage!$A$5:$A$204&lt;=$B384)*(B_Drainage!$B$5:$B$204&gt;$B384)*(B_Drainage!$M$5:$M$204&lt;&gt;"")),IF(UPPER(B_Drainage!$M$5:$M$204)="Y",1,"")),"")</f>
        <v/>
      </c>
      <c r="AG384" s="181" t="str">
        <f>IFERROR(LOOKUP(2,1/((B_Drainage!$A$5:$A$204&lt;&gt;"")*(B_Drainage!$A$5:$A$204&lt;=$B384)*(B_Drainage!$B$5:$B$204&gt;$B384)*(B_Drainage!$N$5:$N$204&lt;&gt;"")),IF(UPPER(B_Drainage!$N$5:$N$204)="Y",1,"")),"")</f>
        <v/>
      </c>
      <c r="AH384" s="181" t="str">
        <f t="shared" si="40"/>
        <v/>
      </c>
      <c r="AI384" s="181" t="str">
        <f t="shared" si="41"/>
        <v/>
      </c>
      <c r="AJ384" s="181" t="str">
        <f t="shared" si="42"/>
        <v/>
      </c>
      <c r="AK384" s="181" t="str">
        <f t="shared" si="43"/>
        <v/>
      </c>
      <c r="AL384" s="181" t="str">
        <f t="shared" si="44"/>
        <v/>
      </c>
      <c r="AM384" s="181" t="str">
        <f t="shared" si="45"/>
        <v/>
      </c>
      <c r="AN384" s="181" t="str">
        <f t="shared" si="46"/>
        <v/>
      </c>
      <c r="AO384" s="192" t="str">
        <f t="shared" si="47"/>
        <v/>
      </c>
      <c r="AQ384" t="str">
        <f>IFERROR(LOOKUP(2,1/((C_Pavement!$A$5:$A$204&lt;&gt;"")*(C_Pavement!$A$5:$A$204&lt;=$B384)*(C_Pavement!$B$5:$B$204&gt;$B384)*(C_Pavement!$C$5:$C$204&lt;&gt;"")),ROW(C_Pavement!$C$5:$C$204)-4),"")</f>
        <v/>
      </c>
      <c r="AR384" t="str">
        <f>IF($AQ384="","",UPPER(TRIM(INDEX(C_Pavement!$C$5:$C$204,$AQ384))))</f>
        <v/>
      </c>
      <c r="AS384" t="str">
        <f>IF($AR384="","",IFERROR(MATCH($AR384,E_Rules!$A$5:$A$9,0),""))</f>
        <v/>
      </c>
      <c r="AT384" t="str">
        <f>IF($AQ384="","",IF(INDEX(C_Pavement!$D$5:$D$204,$AQ384)&lt;&gt;"",UPPER(TRIM(INDEX(C_Pavement!$D$5:$D$204,$AQ384))),IF($AS384="","",INDEX(E_Rules!$C$5:$C$9,$AS384))))</f>
        <v/>
      </c>
      <c r="AU384" t="str">
        <f>IF($AQ384="","",IF(INDEX(C_Pavement!$E$5:$E$204,$AQ384)&lt;&gt;"",IF(INDEX(C_Pavement!$E$5:$E$204,$AQ384)="-","",INDEX(C_Pavement!$E$5:$E$204,$AQ384)),IF($AS384="","",INDEX(E_Rules!$D$5:$D$9,$AS384))))</f>
        <v/>
      </c>
      <c r="AV384" t="str">
        <f>IF($AQ384="","",IF(INDEX(C_Pavement!$F$5:$F$204,$AQ384)&lt;&gt;"",IF(INDEX(C_Pavement!$F$5:$F$204,$AQ384)="-","",INDEX(C_Pavement!$F$5:$F$204,$AQ384)),IF($AS384="","",INDEX(E_Rules!$E$5:$E$9,$AS384))))</f>
        <v/>
      </c>
      <c r="AW384" t="str">
        <f>IF($AQ384="","",IF(INDEX(C_Pavement!$G$5:$G$204,$AQ384)&lt;&gt;"",IF(INDEX(C_Pavement!$G$5:$G$204,$AQ384)="-","",INDEX(C_Pavement!$G$5:$G$204,$AQ384)),IF($AS384="","",INDEX(E_Rules!$F$5:$F$9,$AS384))))</f>
        <v/>
      </c>
      <c r="AX384" t="str">
        <f>IF($AQ384="","",IF(INDEX(C_Pavement!$H$5:$H$204,$AQ384)&lt;&gt;"",IF(INDEX(C_Pavement!$H$5:$H$204,$AQ384)="-","",INDEX(C_Pavement!$H$5:$H$204,$AQ384)),IF($AS384="","",INDEX(E_Rules!$G$5:$G$9,$AS384))))</f>
        <v/>
      </c>
      <c r="AY384" t="str">
        <f>IF($AQ384="","",IF(INDEX(C_Pavement!$I$5:$I$204,$AQ384)&lt;&gt;"",IF(INDEX(C_Pavement!$I$5:$I$204,$AQ384)="-","",INDEX(C_Pavement!$I$5:$I$204,$AQ384)),IF($AS384="","",INDEX(E_Rules!$H$5:$H$9,$AS384))))</f>
        <v/>
      </c>
    </row>
    <row r="385" spans="1:51" ht="15.75" customHeight="1" x14ac:dyDescent="0.3">
      <c r="A385" s="189">
        <v>380</v>
      </c>
      <c r="B385" s="180">
        <v>18950</v>
      </c>
      <c r="C385" s="180" t="s">
        <v>691</v>
      </c>
      <c r="D385" s="181" t="str">
        <f>IFERROR(LOOKUP(2,1/((A_Corridor!$A$5:$A$204&lt;&gt;"")*(A_Corridor!$A$5:$A$204&lt;=$B385)*(A_Corridor!$B$5:$B$204&gt;$B385)*(A_Corridor!$C$5:$C$204&lt;&gt;"")),IF(UPPER(A_Corridor!$C$5:$C$204)="Y",1,"")),"")</f>
        <v/>
      </c>
      <c r="E385" s="181" t="str">
        <f>IFERROR(LOOKUP(2,1/((A_Corridor!$A$5:$A$204&lt;&gt;"")*(A_Corridor!$A$5:$A$204&lt;=$B385)*(A_Corridor!$B$5:$B$204&gt;$B385)*(A_Corridor!$D$5:$D$204&lt;&gt;"")),IF(A_Corridor!$D$5:$D$204="-","",UPPER(A_Corridor!$D$5:$D$204))),"")</f>
        <v/>
      </c>
      <c r="F385" s="181" t="str">
        <f>IFERROR(LOOKUP(2,1/((A_Corridor!$A$5:$A$204&lt;&gt;"")*(A_Corridor!$A$5:$A$204&lt;=$B385)*(A_Corridor!$B$5:$B$204&gt;$B385)*(A_Corridor!$E$5:$E$204&lt;&gt;"")),IF(A_Corridor!$E$5:$E$204="-","",1)),"")</f>
        <v/>
      </c>
      <c r="G385" s="182" t="str">
        <f>IFERROR(LOOKUP(2,1/((A_Corridor!$A$5:$A$204&lt;&gt;"")*(A_Corridor!$A$5:$A$204&lt;=$B385)*(A_Corridor!$B$5:$B$204&gt;$B385)*(A_Corridor!$E$5:$E$204&lt;&gt;"")),IF(A_Corridor!$E$5:$E$204="-","",A_Corridor!$E$5:$E$204)),"")</f>
        <v/>
      </c>
      <c r="H385" s="182" t="str">
        <f>IFERROR(LOOKUP(2,1/((D_Points!$A$5:$A$204&lt;&gt;"")*(D_Points!$A$5:$A$204&gt;=$B385)*(D_Points!$A$5:$A$204&lt;$B385+P_Interval)*(UPPER(TRIM(D_Points!$B$5:$B$204))="GULLY")*(D_Points!$H$5:$H$204&lt;&gt;"")),D_Points!$H$5:$H$204),"")</f>
        <v/>
      </c>
      <c r="I385" s="181" t="str">
        <f>IFERROR(LOOKUP(2,1/((A_Corridor!$A$5:$A$204&lt;&gt;"")*(A_Corridor!$A$5:$A$204&lt;=$B385)*(A_Corridor!$B$5:$B$204&gt;$B385)*(A_Corridor!$F$5:$F$204&lt;&gt;"")),IF(A_Corridor!$F$5:$F$204="-","",1)),"")</f>
        <v/>
      </c>
      <c r="J385" s="182" t="str">
        <f>IFERROR(LOOKUP(2,1/((A_Corridor!$A$5:$A$204&lt;&gt;"")*(A_Corridor!$A$5:$A$204&lt;=$B385)*(A_Corridor!$B$5:$B$204&gt;$B385)*(A_Corridor!$F$5:$F$204&lt;&gt;"")),IF(A_Corridor!$F$5:$F$204="-","",A_Corridor!$F$5:$F$204)),"")</f>
        <v/>
      </c>
      <c r="K385" s="182" t="str">
        <f>IFERROR(LOOKUP(2,1/((A_Corridor!$A$5:$A$204&lt;&gt;"")*(A_Corridor!$A$5:$A$204&lt;=$B385)*(A_Corridor!$B$5:$B$204&gt;$B385)*(A_Corridor!$G$5:$G$204&lt;&gt;"")),IF(A_Corridor!$G$5:$G$204="-","",A_Corridor!$G$5:$G$204)),"")</f>
        <v/>
      </c>
      <c r="L385" s="181" t="str">
        <f>IFERROR(LOOKUP(2,1/((A_Corridor!$A$5:$A$204&lt;&gt;"")*(A_Corridor!$A$5:$A$204&lt;=$B385)*(A_Corridor!$B$5:$B$204&gt;$B385)*(A_Corridor!$H$5:$H$204&lt;&gt;"")),IF(A_Corridor!$H$5:$H$204="-","",1)),"")</f>
        <v/>
      </c>
      <c r="M385" s="182" t="str">
        <f>IFERROR(LOOKUP(2,1/((A_Corridor!$A$5:$A$204&lt;&gt;"")*(A_Corridor!$A$5:$A$204&lt;=$B385)*(A_Corridor!$B$5:$B$204&gt;$B385)*(A_Corridor!$H$5:$H$204&lt;&gt;"")),IF(A_Corridor!$H$5:$H$204="-","",A_Corridor!$H$5:$H$204)),"")</f>
        <v/>
      </c>
      <c r="N385" s="182" t="str">
        <f>IFERROR(LOOKUP(2,1/((A_Corridor!$A$5:$A$204&lt;&gt;"")*(A_Corridor!$A$5:$A$204&lt;=$B385)*(A_Corridor!$B$5:$B$204&gt;$B385)*(A_Corridor!$I$5:$I$204&lt;&gt;"")),IF(A_Corridor!$I$5:$I$204="-","",A_Corridor!$I$5:$I$204)),"")</f>
        <v/>
      </c>
      <c r="O385" s="182" t="str">
        <f>IFERROR(LOOKUP(2,1/((D_Points!$A$5:$A$204&lt;&gt;"")*(D_Points!$A$5:$A$204&gt;=$B385)*(D_Points!$A$5:$A$204&lt;$B385+P_Interval)*(UPPER(TRIM(D_Points!$B$5:$B$204))="PITCHING")*(D_Points!$H$5:$H$204&lt;&gt;"")),D_Points!$H$5:$H$204),"")</f>
        <v/>
      </c>
      <c r="P385" s="181" t="str">
        <f>IFERROR(LOOKUP(2,1/((B_Drainage!$A$5:$A$204&lt;&gt;"")*(B_Drainage!$A$5:$A$204&lt;=$B385)*(B_Drainage!$B$5:$B$204&gt;$B385)*(B_Drainage!$C$5:$C$204&lt;&gt;"")),IF(B_Drainage!$C$5:$C$204="-","",UPPER(B_Drainage!$C$5:$C$204))),"")</f>
        <v/>
      </c>
      <c r="Q385" s="181" t="str">
        <f>IFERROR(LOOKUP(2,1/((B_Drainage!$A$5:$A$204&lt;&gt;"")*(B_Drainage!$A$5:$A$204&lt;=$B385)*(B_Drainage!$B$5:$B$204&gt;$B385)*(B_Drainage!$D$5:$D$204&lt;&gt;"")),IF(B_Drainage!$D$5:$D$204="-","",UPPER(B_Drainage!$D$5:$D$204))),"")</f>
        <v/>
      </c>
      <c r="R385" s="182" t="str">
        <f>IFERROR(LOOKUP(2,1/((D_Points!$A$5:$A$204&lt;&gt;"")*(D_Points!$A$5:$A$204&gt;=$B385)*(D_Points!$A$5:$A$204&lt;$B385+P_Interval)*(RIGHT(UPPER(TRIM(D_Points!$B$5:$B$204)),8)="_CULVERT")),IF(LEFT(UPPER(TRIM(D_Points!$B$5:$B$204)),2)="EX",1,IF(LEFT(UPPER(TRIM(D_Points!$B$5:$B$204)),2)="PR",2,3))),"")</f>
        <v/>
      </c>
      <c r="S385" s="182" t="str">
        <f>IFERROR(LOOKUP(2,1/((D_Points!$A$5:$A$204&lt;&gt;"")*(D_Points!$A$5:$A$204&gt;=$B385)*(D_Points!$A$5:$A$204&lt;$B385+P_Interval)*(RIGHT(UPPER(TRIM(D_Points!$B$5:$B$204)),7)="_BRIDGE")),IF(LEFT(UPPER(TRIM(D_Points!$B$5:$B$204)),2)="EX",1,IF(LEFT(UPPER(TRIM(D_Points!$B$5:$B$204)),2)="PR",2,2))),"")</f>
        <v/>
      </c>
      <c r="T385" s="181" t="str">
        <f>IFERROR(LOOKUP(2,1/((B_Drainage!$A$5:$A$204&lt;&gt;"")*(B_Drainage!$A$5:$A$204&lt;=$B385)*(B_Drainage!$B$5:$B$204&gt;$B385)*(B_Drainage!$E$5:$E$204&lt;&gt;"")),IF(B_Drainage!$E$5:$E$204="-","",1)),"")</f>
        <v/>
      </c>
      <c r="U385" s="181" t="str">
        <f>IFERROR(LOOKUP(2,1/((B_Drainage!$A$5:$A$204&lt;&gt;"")*(B_Drainage!$A$5:$A$204&lt;=$B385)*(B_Drainage!$B$5:$B$204&gt;$B385)*(B_Drainage!$E$5:$E$204&lt;&gt;"")),IF(B_Drainage!$E$5:$E$204="-","",B_Drainage!$E$5:$E$204)),"")</f>
        <v/>
      </c>
      <c r="V385" s="181" t="str">
        <f>IFERROR(LOOKUP(2,1/((B_Drainage!$A$5:$A$204&lt;&gt;"")*(B_Drainage!$A$5:$A$204&lt;=$B385)*(B_Drainage!$B$5:$B$204&gt;$B385)*(B_Drainage!$F$5:$F$204&lt;&gt;"")),IF(B_Drainage!$F$5:$F$204="-","",1)),"")</f>
        <v/>
      </c>
      <c r="W385" s="181" t="str">
        <f>IFERROR(LOOKUP(2,1/((B_Drainage!$A$5:$A$204&lt;&gt;"")*(B_Drainage!$A$5:$A$204&lt;=$B385)*(B_Drainage!$B$5:$B$204&gt;$B385)*(B_Drainage!$F$5:$F$204&lt;&gt;"")),IF(B_Drainage!$F$5:$F$204="-","",B_Drainage!$F$5:$F$204)),"")</f>
        <v/>
      </c>
      <c r="X385" s="181" t="str">
        <f>IFERROR(LOOKUP(2,1/((B_Drainage!$A$5:$A$204&lt;&gt;"")*(B_Drainage!$A$5:$A$204&lt;=$B385)*(B_Drainage!$B$5:$B$204&gt;$B385)*(B_Drainage!$G$5:$G$204&lt;&gt;"")),IF(UPPER(B_Drainage!$G$5:$G$204)="Y",1,"")),"")</f>
        <v/>
      </c>
      <c r="Y385" s="181" t="str">
        <f>IFERROR(LOOKUP(2,1/((B_Drainage!$A$5:$A$204&lt;&gt;"")*(B_Drainage!$A$5:$A$204&lt;=$B385)*(B_Drainage!$B$5:$B$204&gt;$B385)*(B_Drainage!$H$5:$H$204&lt;&gt;"")),IF(UPPER(B_Drainage!$H$5:$H$204)="Y",1,"")),"")</f>
        <v/>
      </c>
      <c r="Z385" s="181" t="str">
        <f>IFERROR(LOOKUP(2,1/((B_Drainage!$A$5:$A$204&lt;&gt;"")*(B_Drainage!$A$5:$A$204&lt;=$B385)*(B_Drainage!$B$5:$B$204&gt;$B385)*(B_Drainage!$I$5:$I$204&lt;&gt;"")),IF(UPPER(B_Drainage!$I$5:$I$204)="Y",1,"")),"")</f>
        <v/>
      </c>
      <c r="AA385" s="181" t="str">
        <f>IFERROR(LOOKUP(2,1/((B_Drainage!$A$5:$A$204&lt;&gt;"")*(B_Drainage!$A$5:$A$204&lt;=$B385)*(B_Drainage!$B$5:$B$204&gt;$B385)*(B_Drainage!$J$5:$J$204&lt;&gt;"")),IF(UPPER(B_Drainage!$J$5:$J$204)="Y",1,"")),"")</f>
        <v/>
      </c>
      <c r="AB385" s="182" t="str">
        <f>IFERROR(LOOKUP(2,1/((B_Drainage!$A$5:$A$204&lt;&gt;"")*(B_Drainage!$A$5:$A$204&lt;=$B385)*(B_Drainage!$B$5:$B$204&gt;$B385)*(B_Drainage!$K$5:$K$204&lt;&gt;"")),IF(B_Drainage!$K$5:$K$204="-","",B_Drainage!$K$5:$K$204)),"")</f>
        <v/>
      </c>
      <c r="AC385" s="182" t="str">
        <f>IFERROR(LOOKUP(2,1/((B_Drainage!$A$5:$A$204&lt;&gt;"")*(B_Drainage!$A$5:$A$204&lt;=$B385)*(B_Drainage!$B$5:$B$204&gt;$B385)*(B_Drainage!$L$5:$L$204&lt;&gt;"")),IF(B_Drainage!$L$5:$L$204="-","",B_Drainage!$L$5:$L$204)),"")</f>
        <v/>
      </c>
      <c r="AD385" s="182" t="str">
        <f>IFERROR(LOOKUP(2,1/((D_Points!$A$5:$A$204&lt;&gt;"")*(D_Points!$A$5:$A$204&gt;=$B385)*(D_Points!$A$5:$A$204&lt;$B385+P_Interval)*(UPPER(TRIM(D_Points!$B$5:$B$204))="TURNOUT_L")*(D_Points!$H$5:$H$204&lt;&gt;"")),D_Points!$H$5:$H$204),"")</f>
        <v/>
      </c>
      <c r="AE385" s="182" t="str">
        <f>IFERROR(LOOKUP(2,1/((D_Points!$A$5:$A$204&lt;&gt;"")*(D_Points!$A$5:$A$204&gt;=$B385)*(D_Points!$A$5:$A$204&lt;$B385+P_Interval)*(UPPER(TRIM(D_Points!$B$5:$B$204))="TURNOUT_R")*(D_Points!$H$5:$H$204&lt;&gt;"")),D_Points!$H$5:$H$204),"")</f>
        <v/>
      </c>
      <c r="AF385" s="181" t="str">
        <f>IFERROR(LOOKUP(2,1/((B_Drainage!$A$5:$A$204&lt;&gt;"")*(B_Drainage!$A$5:$A$204&lt;=$B385)*(B_Drainage!$B$5:$B$204&gt;$B385)*(B_Drainage!$M$5:$M$204&lt;&gt;"")),IF(UPPER(B_Drainage!$M$5:$M$204)="Y",1,"")),"")</f>
        <v/>
      </c>
      <c r="AG385" s="181" t="str">
        <f>IFERROR(LOOKUP(2,1/((B_Drainage!$A$5:$A$204&lt;&gt;"")*(B_Drainage!$A$5:$A$204&lt;=$B385)*(B_Drainage!$B$5:$B$204&gt;$B385)*(B_Drainage!$N$5:$N$204&lt;&gt;"")),IF(UPPER(B_Drainage!$N$5:$N$204)="Y",1,"")),"")</f>
        <v/>
      </c>
      <c r="AH385" s="181" t="str">
        <f t="shared" si="40"/>
        <v/>
      </c>
      <c r="AI385" s="181" t="str">
        <f t="shared" si="41"/>
        <v/>
      </c>
      <c r="AJ385" s="181" t="str">
        <f t="shared" si="42"/>
        <v/>
      </c>
      <c r="AK385" s="181" t="str">
        <f t="shared" si="43"/>
        <v/>
      </c>
      <c r="AL385" s="181" t="str">
        <f t="shared" si="44"/>
        <v/>
      </c>
      <c r="AM385" s="181" t="str">
        <f t="shared" si="45"/>
        <v/>
      </c>
      <c r="AN385" s="181" t="str">
        <f t="shared" si="46"/>
        <v/>
      </c>
      <c r="AO385" s="192" t="str">
        <f t="shared" si="47"/>
        <v/>
      </c>
      <c r="AQ385" t="str">
        <f>IFERROR(LOOKUP(2,1/((C_Pavement!$A$5:$A$204&lt;&gt;"")*(C_Pavement!$A$5:$A$204&lt;=$B385)*(C_Pavement!$B$5:$B$204&gt;$B385)*(C_Pavement!$C$5:$C$204&lt;&gt;"")),ROW(C_Pavement!$C$5:$C$204)-4),"")</f>
        <v/>
      </c>
      <c r="AR385" t="str">
        <f>IF($AQ385="","",UPPER(TRIM(INDEX(C_Pavement!$C$5:$C$204,$AQ385))))</f>
        <v/>
      </c>
      <c r="AS385" t="str">
        <f>IF($AR385="","",IFERROR(MATCH($AR385,E_Rules!$A$5:$A$9,0),""))</f>
        <v/>
      </c>
      <c r="AT385" t="str">
        <f>IF($AQ385="","",IF(INDEX(C_Pavement!$D$5:$D$204,$AQ385)&lt;&gt;"",UPPER(TRIM(INDEX(C_Pavement!$D$5:$D$204,$AQ385))),IF($AS385="","",INDEX(E_Rules!$C$5:$C$9,$AS385))))</f>
        <v/>
      </c>
      <c r="AU385" t="str">
        <f>IF($AQ385="","",IF(INDEX(C_Pavement!$E$5:$E$204,$AQ385)&lt;&gt;"",IF(INDEX(C_Pavement!$E$5:$E$204,$AQ385)="-","",INDEX(C_Pavement!$E$5:$E$204,$AQ385)),IF($AS385="","",INDEX(E_Rules!$D$5:$D$9,$AS385))))</f>
        <v/>
      </c>
      <c r="AV385" t="str">
        <f>IF($AQ385="","",IF(INDEX(C_Pavement!$F$5:$F$204,$AQ385)&lt;&gt;"",IF(INDEX(C_Pavement!$F$5:$F$204,$AQ385)="-","",INDEX(C_Pavement!$F$5:$F$204,$AQ385)),IF($AS385="","",INDEX(E_Rules!$E$5:$E$9,$AS385))))</f>
        <v/>
      </c>
      <c r="AW385" t="str">
        <f>IF($AQ385="","",IF(INDEX(C_Pavement!$G$5:$G$204,$AQ385)&lt;&gt;"",IF(INDEX(C_Pavement!$G$5:$G$204,$AQ385)="-","",INDEX(C_Pavement!$G$5:$G$204,$AQ385)),IF($AS385="","",INDEX(E_Rules!$F$5:$F$9,$AS385))))</f>
        <v/>
      </c>
      <c r="AX385" t="str">
        <f>IF($AQ385="","",IF(INDEX(C_Pavement!$H$5:$H$204,$AQ385)&lt;&gt;"",IF(INDEX(C_Pavement!$H$5:$H$204,$AQ385)="-","",INDEX(C_Pavement!$H$5:$H$204,$AQ385)),IF($AS385="","",INDEX(E_Rules!$G$5:$G$9,$AS385))))</f>
        <v/>
      </c>
      <c r="AY385" t="str">
        <f>IF($AQ385="","",IF(INDEX(C_Pavement!$I$5:$I$204,$AQ385)&lt;&gt;"",IF(INDEX(C_Pavement!$I$5:$I$204,$AQ385)="-","",INDEX(C_Pavement!$I$5:$I$204,$AQ385)),IF($AS385="","",INDEX(E_Rules!$H$5:$H$9,$AS385))))</f>
        <v/>
      </c>
    </row>
    <row r="386" spans="1:51" ht="15.75" customHeight="1" x14ac:dyDescent="0.3">
      <c r="A386" s="189">
        <v>381</v>
      </c>
      <c r="B386" s="180">
        <v>19000</v>
      </c>
      <c r="C386" s="180" t="s">
        <v>692</v>
      </c>
      <c r="D386" s="181" t="str">
        <f>IFERROR(LOOKUP(2,1/((A_Corridor!$A$5:$A$204&lt;&gt;"")*(A_Corridor!$A$5:$A$204&lt;=$B386)*(A_Corridor!$B$5:$B$204&gt;$B386)*(A_Corridor!$C$5:$C$204&lt;&gt;"")),IF(UPPER(A_Corridor!$C$5:$C$204)="Y",1,"")),"")</f>
        <v/>
      </c>
      <c r="E386" s="181" t="str">
        <f>IFERROR(LOOKUP(2,1/((A_Corridor!$A$5:$A$204&lt;&gt;"")*(A_Corridor!$A$5:$A$204&lt;=$B386)*(A_Corridor!$B$5:$B$204&gt;$B386)*(A_Corridor!$D$5:$D$204&lt;&gt;"")),IF(A_Corridor!$D$5:$D$204="-","",UPPER(A_Corridor!$D$5:$D$204))),"")</f>
        <v/>
      </c>
      <c r="F386" s="181" t="str">
        <f>IFERROR(LOOKUP(2,1/((A_Corridor!$A$5:$A$204&lt;&gt;"")*(A_Corridor!$A$5:$A$204&lt;=$B386)*(A_Corridor!$B$5:$B$204&gt;$B386)*(A_Corridor!$E$5:$E$204&lt;&gt;"")),IF(A_Corridor!$E$5:$E$204="-","",1)),"")</f>
        <v/>
      </c>
      <c r="G386" s="182" t="str">
        <f>IFERROR(LOOKUP(2,1/((A_Corridor!$A$5:$A$204&lt;&gt;"")*(A_Corridor!$A$5:$A$204&lt;=$B386)*(A_Corridor!$B$5:$B$204&gt;$B386)*(A_Corridor!$E$5:$E$204&lt;&gt;"")),IF(A_Corridor!$E$5:$E$204="-","",A_Corridor!$E$5:$E$204)),"")</f>
        <v/>
      </c>
      <c r="H386" s="182" t="str">
        <f>IFERROR(LOOKUP(2,1/((D_Points!$A$5:$A$204&lt;&gt;"")*(D_Points!$A$5:$A$204&gt;=$B386)*(D_Points!$A$5:$A$204&lt;$B386+P_Interval)*(UPPER(TRIM(D_Points!$B$5:$B$204))="GULLY")*(D_Points!$H$5:$H$204&lt;&gt;"")),D_Points!$H$5:$H$204),"")</f>
        <v/>
      </c>
      <c r="I386" s="181" t="str">
        <f>IFERROR(LOOKUP(2,1/((A_Corridor!$A$5:$A$204&lt;&gt;"")*(A_Corridor!$A$5:$A$204&lt;=$B386)*(A_Corridor!$B$5:$B$204&gt;$B386)*(A_Corridor!$F$5:$F$204&lt;&gt;"")),IF(A_Corridor!$F$5:$F$204="-","",1)),"")</f>
        <v/>
      </c>
      <c r="J386" s="182" t="str">
        <f>IFERROR(LOOKUP(2,1/((A_Corridor!$A$5:$A$204&lt;&gt;"")*(A_Corridor!$A$5:$A$204&lt;=$B386)*(A_Corridor!$B$5:$B$204&gt;$B386)*(A_Corridor!$F$5:$F$204&lt;&gt;"")),IF(A_Corridor!$F$5:$F$204="-","",A_Corridor!$F$5:$F$204)),"")</f>
        <v/>
      </c>
      <c r="K386" s="182" t="str">
        <f>IFERROR(LOOKUP(2,1/((A_Corridor!$A$5:$A$204&lt;&gt;"")*(A_Corridor!$A$5:$A$204&lt;=$B386)*(A_Corridor!$B$5:$B$204&gt;$B386)*(A_Corridor!$G$5:$G$204&lt;&gt;"")),IF(A_Corridor!$G$5:$G$204="-","",A_Corridor!$G$5:$G$204)),"")</f>
        <v/>
      </c>
      <c r="L386" s="181" t="str">
        <f>IFERROR(LOOKUP(2,1/((A_Corridor!$A$5:$A$204&lt;&gt;"")*(A_Corridor!$A$5:$A$204&lt;=$B386)*(A_Corridor!$B$5:$B$204&gt;$B386)*(A_Corridor!$H$5:$H$204&lt;&gt;"")),IF(A_Corridor!$H$5:$H$204="-","",1)),"")</f>
        <v/>
      </c>
      <c r="M386" s="182" t="str">
        <f>IFERROR(LOOKUP(2,1/((A_Corridor!$A$5:$A$204&lt;&gt;"")*(A_Corridor!$A$5:$A$204&lt;=$B386)*(A_Corridor!$B$5:$B$204&gt;$B386)*(A_Corridor!$H$5:$H$204&lt;&gt;"")),IF(A_Corridor!$H$5:$H$204="-","",A_Corridor!$H$5:$H$204)),"")</f>
        <v/>
      </c>
      <c r="N386" s="182" t="str">
        <f>IFERROR(LOOKUP(2,1/((A_Corridor!$A$5:$A$204&lt;&gt;"")*(A_Corridor!$A$5:$A$204&lt;=$B386)*(A_Corridor!$B$5:$B$204&gt;$B386)*(A_Corridor!$I$5:$I$204&lt;&gt;"")),IF(A_Corridor!$I$5:$I$204="-","",A_Corridor!$I$5:$I$204)),"")</f>
        <v/>
      </c>
      <c r="O386" s="182" t="str">
        <f>IFERROR(LOOKUP(2,1/((D_Points!$A$5:$A$204&lt;&gt;"")*(D_Points!$A$5:$A$204&gt;=$B386)*(D_Points!$A$5:$A$204&lt;$B386+P_Interval)*(UPPER(TRIM(D_Points!$B$5:$B$204))="PITCHING")*(D_Points!$H$5:$H$204&lt;&gt;"")),D_Points!$H$5:$H$204),"")</f>
        <v/>
      </c>
      <c r="P386" s="181" t="str">
        <f>IFERROR(LOOKUP(2,1/((B_Drainage!$A$5:$A$204&lt;&gt;"")*(B_Drainage!$A$5:$A$204&lt;=$B386)*(B_Drainage!$B$5:$B$204&gt;$B386)*(B_Drainage!$C$5:$C$204&lt;&gt;"")),IF(B_Drainage!$C$5:$C$204="-","",UPPER(B_Drainage!$C$5:$C$204))),"")</f>
        <v/>
      </c>
      <c r="Q386" s="181" t="str">
        <f>IFERROR(LOOKUP(2,1/((B_Drainage!$A$5:$A$204&lt;&gt;"")*(B_Drainage!$A$5:$A$204&lt;=$B386)*(B_Drainage!$B$5:$B$204&gt;$B386)*(B_Drainage!$D$5:$D$204&lt;&gt;"")),IF(B_Drainage!$D$5:$D$204="-","",UPPER(B_Drainage!$D$5:$D$204))),"")</f>
        <v/>
      </c>
      <c r="R386" s="182" t="str">
        <f>IFERROR(LOOKUP(2,1/((D_Points!$A$5:$A$204&lt;&gt;"")*(D_Points!$A$5:$A$204&gt;=$B386)*(D_Points!$A$5:$A$204&lt;$B386+P_Interval)*(RIGHT(UPPER(TRIM(D_Points!$B$5:$B$204)),8)="_CULVERT")),IF(LEFT(UPPER(TRIM(D_Points!$B$5:$B$204)),2)="EX",1,IF(LEFT(UPPER(TRIM(D_Points!$B$5:$B$204)),2)="PR",2,3))),"")</f>
        <v/>
      </c>
      <c r="S386" s="182" t="str">
        <f>IFERROR(LOOKUP(2,1/((D_Points!$A$5:$A$204&lt;&gt;"")*(D_Points!$A$5:$A$204&gt;=$B386)*(D_Points!$A$5:$A$204&lt;$B386+P_Interval)*(RIGHT(UPPER(TRIM(D_Points!$B$5:$B$204)),7)="_BRIDGE")),IF(LEFT(UPPER(TRIM(D_Points!$B$5:$B$204)),2)="EX",1,IF(LEFT(UPPER(TRIM(D_Points!$B$5:$B$204)),2)="PR",2,2))),"")</f>
        <v/>
      </c>
      <c r="T386" s="181" t="str">
        <f>IFERROR(LOOKUP(2,1/((B_Drainage!$A$5:$A$204&lt;&gt;"")*(B_Drainage!$A$5:$A$204&lt;=$B386)*(B_Drainage!$B$5:$B$204&gt;$B386)*(B_Drainage!$E$5:$E$204&lt;&gt;"")),IF(B_Drainage!$E$5:$E$204="-","",1)),"")</f>
        <v/>
      </c>
      <c r="U386" s="181" t="str">
        <f>IFERROR(LOOKUP(2,1/((B_Drainage!$A$5:$A$204&lt;&gt;"")*(B_Drainage!$A$5:$A$204&lt;=$B386)*(B_Drainage!$B$5:$B$204&gt;$B386)*(B_Drainage!$E$5:$E$204&lt;&gt;"")),IF(B_Drainage!$E$5:$E$204="-","",B_Drainage!$E$5:$E$204)),"")</f>
        <v/>
      </c>
      <c r="V386" s="181" t="str">
        <f>IFERROR(LOOKUP(2,1/((B_Drainage!$A$5:$A$204&lt;&gt;"")*(B_Drainage!$A$5:$A$204&lt;=$B386)*(B_Drainage!$B$5:$B$204&gt;$B386)*(B_Drainage!$F$5:$F$204&lt;&gt;"")),IF(B_Drainage!$F$5:$F$204="-","",1)),"")</f>
        <v/>
      </c>
      <c r="W386" s="181" t="str">
        <f>IFERROR(LOOKUP(2,1/((B_Drainage!$A$5:$A$204&lt;&gt;"")*(B_Drainage!$A$5:$A$204&lt;=$B386)*(B_Drainage!$B$5:$B$204&gt;$B386)*(B_Drainage!$F$5:$F$204&lt;&gt;"")),IF(B_Drainage!$F$5:$F$204="-","",B_Drainage!$F$5:$F$204)),"")</f>
        <v/>
      </c>
      <c r="X386" s="181" t="str">
        <f>IFERROR(LOOKUP(2,1/((B_Drainage!$A$5:$A$204&lt;&gt;"")*(B_Drainage!$A$5:$A$204&lt;=$B386)*(B_Drainage!$B$5:$B$204&gt;$B386)*(B_Drainage!$G$5:$G$204&lt;&gt;"")),IF(UPPER(B_Drainage!$G$5:$G$204)="Y",1,"")),"")</f>
        <v/>
      </c>
      <c r="Y386" s="181" t="str">
        <f>IFERROR(LOOKUP(2,1/((B_Drainage!$A$5:$A$204&lt;&gt;"")*(B_Drainage!$A$5:$A$204&lt;=$B386)*(B_Drainage!$B$5:$B$204&gt;$B386)*(B_Drainage!$H$5:$H$204&lt;&gt;"")),IF(UPPER(B_Drainage!$H$5:$H$204)="Y",1,"")),"")</f>
        <v/>
      </c>
      <c r="Z386" s="181" t="str">
        <f>IFERROR(LOOKUP(2,1/((B_Drainage!$A$5:$A$204&lt;&gt;"")*(B_Drainage!$A$5:$A$204&lt;=$B386)*(B_Drainage!$B$5:$B$204&gt;$B386)*(B_Drainage!$I$5:$I$204&lt;&gt;"")),IF(UPPER(B_Drainage!$I$5:$I$204)="Y",1,"")),"")</f>
        <v/>
      </c>
      <c r="AA386" s="181" t="str">
        <f>IFERROR(LOOKUP(2,1/((B_Drainage!$A$5:$A$204&lt;&gt;"")*(B_Drainage!$A$5:$A$204&lt;=$B386)*(B_Drainage!$B$5:$B$204&gt;$B386)*(B_Drainage!$J$5:$J$204&lt;&gt;"")),IF(UPPER(B_Drainage!$J$5:$J$204)="Y",1,"")),"")</f>
        <v/>
      </c>
      <c r="AB386" s="182" t="str">
        <f>IFERROR(LOOKUP(2,1/((B_Drainage!$A$5:$A$204&lt;&gt;"")*(B_Drainage!$A$5:$A$204&lt;=$B386)*(B_Drainage!$B$5:$B$204&gt;$B386)*(B_Drainage!$K$5:$K$204&lt;&gt;"")),IF(B_Drainage!$K$5:$K$204="-","",B_Drainage!$K$5:$K$204)),"")</f>
        <v/>
      </c>
      <c r="AC386" s="182" t="str">
        <f>IFERROR(LOOKUP(2,1/((B_Drainage!$A$5:$A$204&lt;&gt;"")*(B_Drainage!$A$5:$A$204&lt;=$B386)*(B_Drainage!$B$5:$B$204&gt;$B386)*(B_Drainage!$L$5:$L$204&lt;&gt;"")),IF(B_Drainage!$L$5:$L$204="-","",B_Drainage!$L$5:$L$204)),"")</f>
        <v/>
      </c>
      <c r="AD386" s="182" t="str">
        <f>IFERROR(LOOKUP(2,1/((D_Points!$A$5:$A$204&lt;&gt;"")*(D_Points!$A$5:$A$204&gt;=$B386)*(D_Points!$A$5:$A$204&lt;$B386+P_Interval)*(UPPER(TRIM(D_Points!$B$5:$B$204))="TURNOUT_L")*(D_Points!$H$5:$H$204&lt;&gt;"")),D_Points!$H$5:$H$204),"")</f>
        <v/>
      </c>
      <c r="AE386" s="182" t="str">
        <f>IFERROR(LOOKUP(2,1/((D_Points!$A$5:$A$204&lt;&gt;"")*(D_Points!$A$5:$A$204&gt;=$B386)*(D_Points!$A$5:$A$204&lt;$B386+P_Interval)*(UPPER(TRIM(D_Points!$B$5:$B$204))="TURNOUT_R")*(D_Points!$H$5:$H$204&lt;&gt;"")),D_Points!$H$5:$H$204),"")</f>
        <v/>
      </c>
      <c r="AF386" s="181" t="str">
        <f>IFERROR(LOOKUP(2,1/((B_Drainage!$A$5:$A$204&lt;&gt;"")*(B_Drainage!$A$5:$A$204&lt;=$B386)*(B_Drainage!$B$5:$B$204&gt;$B386)*(B_Drainage!$M$5:$M$204&lt;&gt;"")),IF(UPPER(B_Drainage!$M$5:$M$204)="Y",1,"")),"")</f>
        <v/>
      </c>
      <c r="AG386" s="181" t="str">
        <f>IFERROR(LOOKUP(2,1/((B_Drainage!$A$5:$A$204&lt;&gt;"")*(B_Drainage!$A$5:$A$204&lt;=$B386)*(B_Drainage!$B$5:$B$204&gt;$B386)*(B_Drainage!$N$5:$N$204&lt;&gt;"")),IF(UPPER(B_Drainage!$N$5:$N$204)="Y",1,"")),"")</f>
        <v/>
      </c>
      <c r="AH386" s="181" t="str">
        <f t="shared" si="40"/>
        <v/>
      </c>
      <c r="AI386" s="181" t="str">
        <f t="shared" si="41"/>
        <v/>
      </c>
      <c r="AJ386" s="181" t="str">
        <f t="shared" si="42"/>
        <v/>
      </c>
      <c r="AK386" s="181" t="str">
        <f t="shared" si="43"/>
        <v/>
      </c>
      <c r="AL386" s="181" t="str">
        <f t="shared" si="44"/>
        <v/>
      </c>
      <c r="AM386" s="181" t="str">
        <f t="shared" si="45"/>
        <v/>
      </c>
      <c r="AN386" s="181" t="str">
        <f t="shared" si="46"/>
        <v/>
      </c>
      <c r="AO386" s="192" t="str">
        <f t="shared" si="47"/>
        <v/>
      </c>
      <c r="AQ386" t="str">
        <f>IFERROR(LOOKUP(2,1/((C_Pavement!$A$5:$A$204&lt;&gt;"")*(C_Pavement!$A$5:$A$204&lt;=$B386)*(C_Pavement!$B$5:$B$204&gt;$B386)*(C_Pavement!$C$5:$C$204&lt;&gt;"")),ROW(C_Pavement!$C$5:$C$204)-4),"")</f>
        <v/>
      </c>
      <c r="AR386" t="str">
        <f>IF($AQ386="","",UPPER(TRIM(INDEX(C_Pavement!$C$5:$C$204,$AQ386))))</f>
        <v/>
      </c>
      <c r="AS386" t="str">
        <f>IF($AR386="","",IFERROR(MATCH($AR386,E_Rules!$A$5:$A$9,0),""))</f>
        <v/>
      </c>
      <c r="AT386" t="str">
        <f>IF($AQ386="","",IF(INDEX(C_Pavement!$D$5:$D$204,$AQ386)&lt;&gt;"",UPPER(TRIM(INDEX(C_Pavement!$D$5:$D$204,$AQ386))),IF($AS386="","",INDEX(E_Rules!$C$5:$C$9,$AS386))))</f>
        <v/>
      </c>
      <c r="AU386" t="str">
        <f>IF($AQ386="","",IF(INDEX(C_Pavement!$E$5:$E$204,$AQ386)&lt;&gt;"",IF(INDEX(C_Pavement!$E$5:$E$204,$AQ386)="-","",INDEX(C_Pavement!$E$5:$E$204,$AQ386)),IF($AS386="","",INDEX(E_Rules!$D$5:$D$9,$AS386))))</f>
        <v/>
      </c>
      <c r="AV386" t="str">
        <f>IF($AQ386="","",IF(INDEX(C_Pavement!$F$5:$F$204,$AQ386)&lt;&gt;"",IF(INDEX(C_Pavement!$F$5:$F$204,$AQ386)="-","",INDEX(C_Pavement!$F$5:$F$204,$AQ386)),IF($AS386="","",INDEX(E_Rules!$E$5:$E$9,$AS386))))</f>
        <v/>
      </c>
      <c r="AW386" t="str">
        <f>IF($AQ386="","",IF(INDEX(C_Pavement!$G$5:$G$204,$AQ386)&lt;&gt;"",IF(INDEX(C_Pavement!$G$5:$G$204,$AQ386)="-","",INDEX(C_Pavement!$G$5:$G$204,$AQ386)),IF($AS386="","",INDEX(E_Rules!$F$5:$F$9,$AS386))))</f>
        <v/>
      </c>
      <c r="AX386" t="str">
        <f>IF($AQ386="","",IF(INDEX(C_Pavement!$H$5:$H$204,$AQ386)&lt;&gt;"",IF(INDEX(C_Pavement!$H$5:$H$204,$AQ386)="-","",INDEX(C_Pavement!$H$5:$H$204,$AQ386)),IF($AS386="","",INDEX(E_Rules!$G$5:$G$9,$AS386))))</f>
        <v/>
      </c>
      <c r="AY386" t="str">
        <f>IF($AQ386="","",IF(INDEX(C_Pavement!$I$5:$I$204,$AQ386)&lt;&gt;"",IF(INDEX(C_Pavement!$I$5:$I$204,$AQ386)="-","",INDEX(C_Pavement!$I$5:$I$204,$AQ386)),IF($AS386="","",INDEX(E_Rules!$H$5:$H$9,$AS386))))</f>
        <v/>
      </c>
    </row>
    <row r="387" spans="1:51" ht="15.75" customHeight="1" x14ac:dyDescent="0.3">
      <c r="A387" s="189">
        <v>382</v>
      </c>
      <c r="B387" s="180">
        <v>19050</v>
      </c>
      <c r="C387" s="180" t="s">
        <v>693</v>
      </c>
      <c r="D387" s="181" t="str">
        <f>IFERROR(LOOKUP(2,1/((A_Corridor!$A$5:$A$204&lt;&gt;"")*(A_Corridor!$A$5:$A$204&lt;=$B387)*(A_Corridor!$B$5:$B$204&gt;$B387)*(A_Corridor!$C$5:$C$204&lt;&gt;"")),IF(UPPER(A_Corridor!$C$5:$C$204)="Y",1,"")),"")</f>
        <v/>
      </c>
      <c r="E387" s="181" t="str">
        <f>IFERROR(LOOKUP(2,1/((A_Corridor!$A$5:$A$204&lt;&gt;"")*(A_Corridor!$A$5:$A$204&lt;=$B387)*(A_Corridor!$B$5:$B$204&gt;$B387)*(A_Corridor!$D$5:$D$204&lt;&gt;"")),IF(A_Corridor!$D$5:$D$204="-","",UPPER(A_Corridor!$D$5:$D$204))),"")</f>
        <v/>
      </c>
      <c r="F387" s="181" t="str">
        <f>IFERROR(LOOKUP(2,1/((A_Corridor!$A$5:$A$204&lt;&gt;"")*(A_Corridor!$A$5:$A$204&lt;=$B387)*(A_Corridor!$B$5:$B$204&gt;$B387)*(A_Corridor!$E$5:$E$204&lt;&gt;"")),IF(A_Corridor!$E$5:$E$204="-","",1)),"")</f>
        <v/>
      </c>
      <c r="G387" s="182" t="str">
        <f>IFERROR(LOOKUP(2,1/((A_Corridor!$A$5:$A$204&lt;&gt;"")*(A_Corridor!$A$5:$A$204&lt;=$B387)*(A_Corridor!$B$5:$B$204&gt;$B387)*(A_Corridor!$E$5:$E$204&lt;&gt;"")),IF(A_Corridor!$E$5:$E$204="-","",A_Corridor!$E$5:$E$204)),"")</f>
        <v/>
      </c>
      <c r="H387" s="182" t="str">
        <f>IFERROR(LOOKUP(2,1/((D_Points!$A$5:$A$204&lt;&gt;"")*(D_Points!$A$5:$A$204&gt;=$B387)*(D_Points!$A$5:$A$204&lt;$B387+P_Interval)*(UPPER(TRIM(D_Points!$B$5:$B$204))="GULLY")*(D_Points!$H$5:$H$204&lt;&gt;"")),D_Points!$H$5:$H$204),"")</f>
        <v/>
      </c>
      <c r="I387" s="181" t="str">
        <f>IFERROR(LOOKUP(2,1/((A_Corridor!$A$5:$A$204&lt;&gt;"")*(A_Corridor!$A$5:$A$204&lt;=$B387)*(A_Corridor!$B$5:$B$204&gt;$B387)*(A_Corridor!$F$5:$F$204&lt;&gt;"")),IF(A_Corridor!$F$5:$F$204="-","",1)),"")</f>
        <v/>
      </c>
      <c r="J387" s="182" t="str">
        <f>IFERROR(LOOKUP(2,1/((A_Corridor!$A$5:$A$204&lt;&gt;"")*(A_Corridor!$A$5:$A$204&lt;=$B387)*(A_Corridor!$B$5:$B$204&gt;$B387)*(A_Corridor!$F$5:$F$204&lt;&gt;"")),IF(A_Corridor!$F$5:$F$204="-","",A_Corridor!$F$5:$F$204)),"")</f>
        <v/>
      </c>
      <c r="K387" s="182" t="str">
        <f>IFERROR(LOOKUP(2,1/((A_Corridor!$A$5:$A$204&lt;&gt;"")*(A_Corridor!$A$5:$A$204&lt;=$B387)*(A_Corridor!$B$5:$B$204&gt;$B387)*(A_Corridor!$G$5:$G$204&lt;&gt;"")),IF(A_Corridor!$G$5:$G$204="-","",A_Corridor!$G$5:$G$204)),"")</f>
        <v/>
      </c>
      <c r="L387" s="181" t="str">
        <f>IFERROR(LOOKUP(2,1/((A_Corridor!$A$5:$A$204&lt;&gt;"")*(A_Corridor!$A$5:$A$204&lt;=$B387)*(A_Corridor!$B$5:$B$204&gt;$B387)*(A_Corridor!$H$5:$H$204&lt;&gt;"")),IF(A_Corridor!$H$5:$H$204="-","",1)),"")</f>
        <v/>
      </c>
      <c r="M387" s="182" t="str">
        <f>IFERROR(LOOKUP(2,1/((A_Corridor!$A$5:$A$204&lt;&gt;"")*(A_Corridor!$A$5:$A$204&lt;=$B387)*(A_Corridor!$B$5:$B$204&gt;$B387)*(A_Corridor!$H$5:$H$204&lt;&gt;"")),IF(A_Corridor!$H$5:$H$204="-","",A_Corridor!$H$5:$H$204)),"")</f>
        <v/>
      </c>
      <c r="N387" s="182" t="str">
        <f>IFERROR(LOOKUP(2,1/((A_Corridor!$A$5:$A$204&lt;&gt;"")*(A_Corridor!$A$5:$A$204&lt;=$B387)*(A_Corridor!$B$5:$B$204&gt;$B387)*(A_Corridor!$I$5:$I$204&lt;&gt;"")),IF(A_Corridor!$I$5:$I$204="-","",A_Corridor!$I$5:$I$204)),"")</f>
        <v/>
      </c>
      <c r="O387" s="182" t="str">
        <f>IFERROR(LOOKUP(2,1/((D_Points!$A$5:$A$204&lt;&gt;"")*(D_Points!$A$5:$A$204&gt;=$B387)*(D_Points!$A$5:$A$204&lt;$B387+P_Interval)*(UPPER(TRIM(D_Points!$B$5:$B$204))="PITCHING")*(D_Points!$H$5:$H$204&lt;&gt;"")),D_Points!$H$5:$H$204),"")</f>
        <v/>
      </c>
      <c r="P387" s="181" t="str">
        <f>IFERROR(LOOKUP(2,1/((B_Drainage!$A$5:$A$204&lt;&gt;"")*(B_Drainage!$A$5:$A$204&lt;=$B387)*(B_Drainage!$B$5:$B$204&gt;$B387)*(B_Drainage!$C$5:$C$204&lt;&gt;"")),IF(B_Drainage!$C$5:$C$204="-","",UPPER(B_Drainage!$C$5:$C$204))),"")</f>
        <v/>
      </c>
      <c r="Q387" s="181" t="str">
        <f>IFERROR(LOOKUP(2,1/((B_Drainage!$A$5:$A$204&lt;&gt;"")*(B_Drainage!$A$5:$A$204&lt;=$B387)*(B_Drainage!$B$5:$B$204&gt;$B387)*(B_Drainage!$D$5:$D$204&lt;&gt;"")),IF(B_Drainage!$D$5:$D$204="-","",UPPER(B_Drainage!$D$5:$D$204))),"")</f>
        <v/>
      </c>
      <c r="R387" s="182" t="str">
        <f>IFERROR(LOOKUP(2,1/((D_Points!$A$5:$A$204&lt;&gt;"")*(D_Points!$A$5:$A$204&gt;=$B387)*(D_Points!$A$5:$A$204&lt;$B387+P_Interval)*(RIGHT(UPPER(TRIM(D_Points!$B$5:$B$204)),8)="_CULVERT")),IF(LEFT(UPPER(TRIM(D_Points!$B$5:$B$204)),2)="EX",1,IF(LEFT(UPPER(TRIM(D_Points!$B$5:$B$204)),2)="PR",2,3))),"")</f>
        <v/>
      </c>
      <c r="S387" s="182" t="str">
        <f>IFERROR(LOOKUP(2,1/((D_Points!$A$5:$A$204&lt;&gt;"")*(D_Points!$A$5:$A$204&gt;=$B387)*(D_Points!$A$5:$A$204&lt;$B387+P_Interval)*(RIGHT(UPPER(TRIM(D_Points!$B$5:$B$204)),7)="_BRIDGE")),IF(LEFT(UPPER(TRIM(D_Points!$B$5:$B$204)),2)="EX",1,IF(LEFT(UPPER(TRIM(D_Points!$B$5:$B$204)),2)="PR",2,2))),"")</f>
        <v/>
      </c>
      <c r="T387" s="181" t="str">
        <f>IFERROR(LOOKUP(2,1/((B_Drainage!$A$5:$A$204&lt;&gt;"")*(B_Drainage!$A$5:$A$204&lt;=$B387)*(B_Drainage!$B$5:$B$204&gt;$B387)*(B_Drainage!$E$5:$E$204&lt;&gt;"")),IF(B_Drainage!$E$5:$E$204="-","",1)),"")</f>
        <v/>
      </c>
      <c r="U387" s="181" t="str">
        <f>IFERROR(LOOKUP(2,1/((B_Drainage!$A$5:$A$204&lt;&gt;"")*(B_Drainage!$A$5:$A$204&lt;=$B387)*(B_Drainage!$B$5:$B$204&gt;$B387)*(B_Drainage!$E$5:$E$204&lt;&gt;"")),IF(B_Drainage!$E$5:$E$204="-","",B_Drainage!$E$5:$E$204)),"")</f>
        <v/>
      </c>
      <c r="V387" s="181" t="str">
        <f>IFERROR(LOOKUP(2,1/((B_Drainage!$A$5:$A$204&lt;&gt;"")*(B_Drainage!$A$5:$A$204&lt;=$B387)*(B_Drainage!$B$5:$B$204&gt;$B387)*(B_Drainage!$F$5:$F$204&lt;&gt;"")),IF(B_Drainage!$F$5:$F$204="-","",1)),"")</f>
        <v/>
      </c>
      <c r="W387" s="181" t="str">
        <f>IFERROR(LOOKUP(2,1/((B_Drainage!$A$5:$A$204&lt;&gt;"")*(B_Drainage!$A$5:$A$204&lt;=$B387)*(B_Drainage!$B$5:$B$204&gt;$B387)*(B_Drainage!$F$5:$F$204&lt;&gt;"")),IF(B_Drainage!$F$5:$F$204="-","",B_Drainage!$F$5:$F$204)),"")</f>
        <v/>
      </c>
      <c r="X387" s="181" t="str">
        <f>IFERROR(LOOKUP(2,1/((B_Drainage!$A$5:$A$204&lt;&gt;"")*(B_Drainage!$A$5:$A$204&lt;=$B387)*(B_Drainage!$B$5:$B$204&gt;$B387)*(B_Drainage!$G$5:$G$204&lt;&gt;"")),IF(UPPER(B_Drainage!$G$5:$G$204)="Y",1,"")),"")</f>
        <v/>
      </c>
      <c r="Y387" s="181" t="str">
        <f>IFERROR(LOOKUP(2,1/((B_Drainage!$A$5:$A$204&lt;&gt;"")*(B_Drainage!$A$5:$A$204&lt;=$B387)*(B_Drainage!$B$5:$B$204&gt;$B387)*(B_Drainage!$H$5:$H$204&lt;&gt;"")),IF(UPPER(B_Drainage!$H$5:$H$204)="Y",1,"")),"")</f>
        <v/>
      </c>
      <c r="Z387" s="181" t="str">
        <f>IFERROR(LOOKUP(2,1/((B_Drainage!$A$5:$A$204&lt;&gt;"")*(B_Drainage!$A$5:$A$204&lt;=$B387)*(B_Drainage!$B$5:$B$204&gt;$B387)*(B_Drainage!$I$5:$I$204&lt;&gt;"")),IF(UPPER(B_Drainage!$I$5:$I$204)="Y",1,"")),"")</f>
        <v/>
      </c>
      <c r="AA387" s="181" t="str">
        <f>IFERROR(LOOKUP(2,1/((B_Drainage!$A$5:$A$204&lt;&gt;"")*(B_Drainage!$A$5:$A$204&lt;=$B387)*(B_Drainage!$B$5:$B$204&gt;$B387)*(B_Drainage!$J$5:$J$204&lt;&gt;"")),IF(UPPER(B_Drainage!$J$5:$J$204)="Y",1,"")),"")</f>
        <v/>
      </c>
      <c r="AB387" s="182" t="str">
        <f>IFERROR(LOOKUP(2,1/((B_Drainage!$A$5:$A$204&lt;&gt;"")*(B_Drainage!$A$5:$A$204&lt;=$B387)*(B_Drainage!$B$5:$B$204&gt;$B387)*(B_Drainage!$K$5:$K$204&lt;&gt;"")),IF(B_Drainage!$K$5:$K$204="-","",B_Drainage!$K$5:$K$204)),"")</f>
        <v/>
      </c>
      <c r="AC387" s="182" t="str">
        <f>IFERROR(LOOKUP(2,1/((B_Drainage!$A$5:$A$204&lt;&gt;"")*(B_Drainage!$A$5:$A$204&lt;=$B387)*(B_Drainage!$B$5:$B$204&gt;$B387)*(B_Drainage!$L$5:$L$204&lt;&gt;"")),IF(B_Drainage!$L$5:$L$204="-","",B_Drainage!$L$5:$L$204)),"")</f>
        <v/>
      </c>
      <c r="AD387" s="182" t="str">
        <f>IFERROR(LOOKUP(2,1/((D_Points!$A$5:$A$204&lt;&gt;"")*(D_Points!$A$5:$A$204&gt;=$B387)*(D_Points!$A$5:$A$204&lt;$B387+P_Interval)*(UPPER(TRIM(D_Points!$B$5:$B$204))="TURNOUT_L")*(D_Points!$H$5:$H$204&lt;&gt;"")),D_Points!$H$5:$H$204),"")</f>
        <v/>
      </c>
      <c r="AE387" s="182" t="str">
        <f>IFERROR(LOOKUP(2,1/((D_Points!$A$5:$A$204&lt;&gt;"")*(D_Points!$A$5:$A$204&gt;=$B387)*(D_Points!$A$5:$A$204&lt;$B387+P_Interval)*(UPPER(TRIM(D_Points!$B$5:$B$204))="TURNOUT_R")*(D_Points!$H$5:$H$204&lt;&gt;"")),D_Points!$H$5:$H$204),"")</f>
        <v/>
      </c>
      <c r="AF387" s="181" t="str">
        <f>IFERROR(LOOKUP(2,1/((B_Drainage!$A$5:$A$204&lt;&gt;"")*(B_Drainage!$A$5:$A$204&lt;=$B387)*(B_Drainage!$B$5:$B$204&gt;$B387)*(B_Drainage!$M$5:$M$204&lt;&gt;"")),IF(UPPER(B_Drainage!$M$5:$M$204)="Y",1,"")),"")</f>
        <v/>
      </c>
      <c r="AG387" s="181" t="str">
        <f>IFERROR(LOOKUP(2,1/((B_Drainage!$A$5:$A$204&lt;&gt;"")*(B_Drainage!$A$5:$A$204&lt;=$B387)*(B_Drainage!$B$5:$B$204&gt;$B387)*(B_Drainage!$N$5:$N$204&lt;&gt;"")),IF(UPPER(B_Drainage!$N$5:$N$204)="Y",1,"")),"")</f>
        <v/>
      </c>
      <c r="AH387" s="181" t="str">
        <f t="shared" si="40"/>
        <v/>
      </c>
      <c r="AI387" s="181" t="str">
        <f t="shared" si="41"/>
        <v/>
      </c>
      <c r="AJ387" s="181" t="str">
        <f t="shared" si="42"/>
        <v/>
      </c>
      <c r="AK387" s="181" t="str">
        <f t="shared" si="43"/>
        <v/>
      </c>
      <c r="AL387" s="181" t="str">
        <f t="shared" si="44"/>
        <v/>
      </c>
      <c r="AM387" s="181" t="str">
        <f t="shared" si="45"/>
        <v/>
      </c>
      <c r="AN387" s="181" t="str">
        <f t="shared" si="46"/>
        <v/>
      </c>
      <c r="AO387" s="192" t="str">
        <f t="shared" si="47"/>
        <v/>
      </c>
      <c r="AQ387" t="str">
        <f>IFERROR(LOOKUP(2,1/((C_Pavement!$A$5:$A$204&lt;&gt;"")*(C_Pavement!$A$5:$A$204&lt;=$B387)*(C_Pavement!$B$5:$B$204&gt;$B387)*(C_Pavement!$C$5:$C$204&lt;&gt;"")),ROW(C_Pavement!$C$5:$C$204)-4),"")</f>
        <v/>
      </c>
      <c r="AR387" t="str">
        <f>IF($AQ387="","",UPPER(TRIM(INDEX(C_Pavement!$C$5:$C$204,$AQ387))))</f>
        <v/>
      </c>
      <c r="AS387" t="str">
        <f>IF($AR387="","",IFERROR(MATCH($AR387,E_Rules!$A$5:$A$9,0),""))</f>
        <v/>
      </c>
      <c r="AT387" t="str">
        <f>IF($AQ387="","",IF(INDEX(C_Pavement!$D$5:$D$204,$AQ387)&lt;&gt;"",UPPER(TRIM(INDEX(C_Pavement!$D$5:$D$204,$AQ387))),IF($AS387="","",INDEX(E_Rules!$C$5:$C$9,$AS387))))</f>
        <v/>
      </c>
      <c r="AU387" t="str">
        <f>IF($AQ387="","",IF(INDEX(C_Pavement!$E$5:$E$204,$AQ387)&lt;&gt;"",IF(INDEX(C_Pavement!$E$5:$E$204,$AQ387)="-","",INDEX(C_Pavement!$E$5:$E$204,$AQ387)),IF($AS387="","",INDEX(E_Rules!$D$5:$D$9,$AS387))))</f>
        <v/>
      </c>
      <c r="AV387" t="str">
        <f>IF($AQ387="","",IF(INDEX(C_Pavement!$F$5:$F$204,$AQ387)&lt;&gt;"",IF(INDEX(C_Pavement!$F$5:$F$204,$AQ387)="-","",INDEX(C_Pavement!$F$5:$F$204,$AQ387)),IF($AS387="","",INDEX(E_Rules!$E$5:$E$9,$AS387))))</f>
        <v/>
      </c>
      <c r="AW387" t="str">
        <f>IF($AQ387="","",IF(INDEX(C_Pavement!$G$5:$G$204,$AQ387)&lt;&gt;"",IF(INDEX(C_Pavement!$G$5:$G$204,$AQ387)="-","",INDEX(C_Pavement!$G$5:$G$204,$AQ387)),IF($AS387="","",INDEX(E_Rules!$F$5:$F$9,$AS387))))</f>
        <v/>
      </c>
      <c r="AX387" t="str">
        <f>IF($AQ387="","",IF(INDEX(C_Pavement!$H$5:$H$204,$AQ387)&lt;&gt;"",IF(INDEX(C_Pavement!$H$5:$H$204,$AQ387)="-","",INDEX(C_Pavement!$H$5:$H$204,$AQ387)),IF($AS387="","",INDEX(E_Rules!$G$5:$G$9,$AS387))))</f>
        <v/>
      </c>
      <c r="AY387" t="str">
        <f>IF($AQ387="","",IF(INDEX(C_Pavement!$I$5:$I$204,$AQ387)&lt;&gt;"",IF(INDEX(C_Pavement!$I$5:$I$204,$AQ387)="-","",INDEX(C_Pavement!$I$5:$I$204,$AQ387)),IF($AS387="","",INDEX(E_Rules!$H$5:$H$9,$AS387))))</f>
        <v/>
      </c>
    </row>
    <row r="388" spans="1:51" ht="15.75" customHeight="1" x14ac:dyDescent="0.3">
      <c r="A388" s="189">
        <v>383</v>
      </c>
      <c r="B388" s="180">
        <v>19100</v>
      </c>
      <c r="C388" s="180" t="s">
        <v>694</v>
      </c>
      <c r="D388" s="181" t="str">
        <f>IFERROR(LOOKUP(2,1/((A_Corridor!$A$5:$A$204&lt;&gt;"")*(A_Corridor!$A$5:$A$204&lt;=$B388)*(A_Corridor!$B$5:$B$204&gt;$B388)*(A_Corridor!$C$5:$C$204&lt;&gt;"")),IF(UPPER(A_Corridor!$C$5:$C$204)="Y",1,"")),"")</f>
        <v/>
      </c>
      <c r="E388" s="181" t="str">
        <f>IFERROR(LOOKUP(2,1/((A_Corridor!$A$5:$A$204&lt;&gt;"")*(A_Corridor!$A$5:$A$204&lt;=$B388)*(A_Corridor!$B$5:$B$204&gt;$B388)*(A_Corridor!$D$5:$D$204&lt;&gt;"")),IF(A_Corridor!$D$5:$D$204="-","",UPPER(A_Corridor!$D$5:$D$204))),"")</f>
        <v/>
      </c>
      <c r="F388" s="181" t="str">
        <f>IFERROR(LOOKUP(2,1/((A_Corridor!$A$5:$A$204&lt;&gt;"")*(A_Corridor!$A$5:$A$204&lt;=$B388)*(A_Corridor!$B$5:$B$204&gt;$B388)*(A_Corridor!$E$5:$E$204&lt;&gt;"")),IF(A_Corridor!$E$5:$E$204="-","",1)),"")</f>
        <v/>
      </c>
      <c r="G388" s="182" t="str">
        <f>IFERROR(LOOKUP(2,1/((A_Corridor!$A$5:$A$204&lt;&gt;"")*(A_Corridor!$A$5:$A$204&lt;=$B388)*(A_Corridor!$B$5:$B$204&gt;$B388)*(A_Corridor!$E$5:$E$204&lt;&gt;"")),IF(A_Corridor!$E$5:$E$204="-","",A_Corridor!$E$5:$E$204)),"")</f>
        <v/>
      </c>
      <c r="H388" s="182" t="str">
        <f>IFERROR(LOOKUP(2,1/((D_Points!$A$5:$A$204&lt;&gt;"")*(D_Points!$A$5:$A$204&gt;=$B388)*(D_Points!$A$5:$A$204&lt;$B388+P_Interval)*(UPPER(TRIM(D_Points!$B$5:$B$204))="GULLY")*(D_Points!$H$5:$H$204&lt;&gt;"")),D_Points!$H$5:$H$204),"")</f>
        <v/>
      </c>
      <c r="I388" s="181" t="str">
        <f>IFERROR(LOOKUP(2,1/((A_Corridor!$A$5:$A$204&lt;&gt;"")*(A_Corridor!$A$5:$A$204&lt;=$B388)*(A_Corridor!$B$5:$B$204&gt;$B388)*(A_Corridor!$F$5:$F$204&lt;&gt;"")),IF(A_Corridor!$F$5:$F$204="-","",1)),"")</f>
        <v/>
      </c>
      <c r="J388" s="182" t="str">
        <f>IFERROR(LOOKUP(2,1/((A_Corridor!$A$5:$A$204&lt;&gt;"")*(A_Corridor!$A$5:$A$204&lt;=$B388)*(A_Corridor!$B$5:$B$204&gt;$B388)*(A_Corridor!$F$5:$F$204&lt;&gt;"")),IF(A_Corridor!$F$5:$F$204="-","",A_Corridor!$F$5:$F$204)),"")</f>
        <v/>
      </c>
      <c r="K388" s="182" t="str">
        <f>IFERROR(LOOKUP(2,1/((A_Corridor!$A$5:$A$204&lt;&gt;"")*(A_Corridor!$A$5:$A$204&lt;=$B388)*(A_Corridor!$B$5:$B$204&gt;$B388)*(A_Corridor!$G$5:$G$204&lt;&gt;"")),IF(A_Corridor!$G$5:$G$204="-","",A_Corridor!$G$5:$G$204)),"")</f>
        <v/>
      </c>
      <c r="L388" s="181" t="str">
        <f>IFERROR(LOOKUP(2,1/((A_Corridor!$A$5:$A$204&lt;&gt;"")*(A_Corridor!$A$5:$A$204&lt;=$B388)*(A_Corridor!$B$5:$B$204&gt;$B388)*(A_Corridor!$H$5:$H$204&lt;&gt;"")),IF(A_Corridor!$H$5:$H$204="-","",1)),"")</f>
        <v/>
      </c>
      <c r="M388" s="182" t="str">
        <f>IFERROR(LOOKUP(2,1/((A_Corridor!$A$5:$A$204&lt;&gt;"")*(A_Corridor!$A$5:$A$204&lt;=$B388)*(A_Corridor!$B$5:$B$204&gt;$B388)*(A_Corridor!$H$5:$H$204&lt;&gt;"")),IF(A_Corridor!$H$5:$H$204="-","",A_Corridor!$H$5:$H$204)),"")</f>
        <v/>
      </c>
      <c r="N388" s="182" t="str">
        <f>IFERROR(LOOKUP(2,1/((A_Corridor!$A$5:$A$204&lt;&gt;"")*(A_Corridor!$A$5:$A$204&lt;=$B388)*(A_Corridor!$B$5:$B$204&gt;$B388)*(A_Corridor!$I$5:$I$204&lt;&gt;"")),IF(A_Corridor!$I$5:$I$204="-","",A_Corridor!$I$5:$I$204)),"")</f>
        <v/>
      </c>
      <c r="O388" s="182" t="str">
        <f>IFERROR(LOOKUP(2,1/((D_Points!$A$5:$A$204&lt;&gt;"")*(D_Points!$A$5:$A$204&gt;=$B388)*(D_Points!$A$5:$A$204&lt;$B388+P_Interval)*(UPPER(TRIM(D_Points!$B$5:$B$204))="PITCHING")*(D_Points!$H$5:$H$204&lt;&gt;"")),D_Points!$H$5:$H$204),"")</f>
        <v/>
      </c>
      <c r="P388" s="181" t="str">
        <f>IFERROR(LOOKUP(2,1/((B_Drainage!$A$5:$A$204&lt;&gt;"")*(B_Drainage!$A$5:$A$204&lt;=$B388)*(B_Drainage!$B$5:$B$204&gt;$B388)*(B_Drainage!$C$5:$C$204&lt;&gt;"")),IF(B_Drainage!$C$5:$C$204="-","",UPPER(B_Drainage!$C$5:$C$204))),"")</f>
        <v/>
      </c>
      <c r="Q388" s="181" t="str">
        <f>IFERROR(LOOKUP(2,1/((B_Drainage!$A$5:$A$204&lt;&gt;"")*(B_Drainage!$A$5:$A$204&lt;=$B388)*(B_Drainage!$B$5:$B$204&gt;$B388)*(B_Drainage!$D$5:$D$204&lt;&gt;"")),IF(B_Drainage!$D$5:$D$204="-","",UPPER(B_Drainage!$D$5:$D$204))),"")</f>
        <v/>
      </c>
      <c r="R388" s="182" t="str">
        <f>IFERROR(LOOKUP(2,1/((D_Points!$A$5:$A$204&lt;&gt;"")*(D_Points!$A$5:$A$204&gt;=$B388)*(D_Points!$A$5:$A$204&lt;$B388+P_Interval)*(RIGHT(UPPER(TRIM(D_Points!$B$5:$B$204)),8)="_CULVERT")),IF(LEFT(UPPER(TRIM(D_Points!$B$5:$B$204)),2)="EX",1,IF(LEFT(UPPER(TRIM(D_Points!$B$5:$B$204)),2)="PR",2,3))),"")</f>
        <v/>
      </c>
      <c r="S388" s="182" t="str">
        <f>IFERROR(LOOKUP(2,1/((D_Points!$A$5:$A$204&lt;&gt;"")*(D_Points!$A$5:$A$204&gt;=$B388)*(D_Points!$A$5:$A$204&lt;$B388+P_Interval)*(RIGHT(UPPER(TRIM(D_Points!$B$5:$B$204)),7)="_BRIDGE")),IF(LEFT(UPPER(TRIM(D_Points!$B$5:$B$204)),2)="EX",1,IF(LEFT(UPPER(TRIM(D_Points!$B$5:$B$204)),2)="PR",2,2))),"")</f>
        <v/>
      </c>
      <c r="T388" s="181" t="str">
        <f>IFERROR(LOOKUP(2,1/((B_Drainage!$A$5:$A$204&lt;&gt;"")*(B_Drainage!$A$5:$A$204&lt;=$B388)*(B_Drainage!$B$5:$B$204&gt;$B388)*(B_Drainage!$E$5:$E$204&lt;&gt;"")),IF(B_Drainage!$E$5:$E$204="-","",1)),"")</f>
        <v/>
      </c>
      <c r="U388" s="181" t="str">
        <f>IFERROR(LOOKUP(2,1/((B_Drainage!$A$5:$A$204&lt;&gt;"")*(B_Drainage!$A$5:$A$204&lt;=$B388)*(B_Drainage!$B$5:$B$204&gt;$B388)*(B_Drainage!$E$5:$E$204&lt;&gt;"")),IF(B_Drainage!$E$5:$E$204="-","",B_Drainage!$E$5:$E$204)),"")</f>
        <v/>
      </c>
      <c r="V388" s="181" t="str">
        <f>IFERROR(LOOKUP(2,1/((B_Drainage!$A$5:$A$204&lt;&gt;"")*(B_Drainage!$A$5:$A$204&lt;=$B388)*(B_Drainage!$B$5:$B$204&gt;$B388)*(B_Drainage!$F$5:$F$204&lt;&gt;"")),IF(B_Drainage!$F$5:$F$204="-","",1)),"")</f>
        <v/>
      </c>
      <c r="W388" s="181" t="str">
        <f>IFERROR(LOOKUP(2,1/((B_Drainage!$A$5:$A$204&lt;&gt;"")*(B_Drainage!$A$5:$A$204&lt;=$B388)*(B_Drainage!$B$5:$B$204&gt;$B388)*(B_Drainage!$F$5:$F$204&lt;&gt;"")),IF(B_Drainage!$F$5:$F$204="-","",B_Drainage!$F$5:$F$204)),"")</f>
        <v/>
      </c>
      <c r="X388" s="181" t="str">
        <f>IFERROR(LOOKUP(2,1/((B_Drainage!$A$5:$A$204&lt;&gt;"")*(B_Drainage!$A$5:$A$204&lt;=$B388)*(B_Drainage!$B$5:$B$204&gt;$B388)*(B_Drainage!$G$5:$G$204&lt;&gt;"")),IF(UPPER(B_Drainage!$G$5:$G$204)="Y",1,"")),"")</f>
        <v/>
      </c>
      <c r="Y388" s="181" t="str">
        <f>IFERROR(LOOKUP(2,1/((B_Drainage!$A$5:$A$204&lt;&gt;"")*(B_Drainage!$A$5:$A$204&lt;=$B388)*(B_Drainage!$B$5:$B$204&gt;$B388)*(B_Drainage!$H$5:$H$204&lt;&gt;"")),IF(UPPER(B_Drainage!$H$5:$H$204)="Y",1,"")),"")</f>
        <v/>
      </c>
      <c r="Z388" s="181" t="str">
        <f>IFERROR(LOOKUP(2,1/((B_Drainage!$A$5:$A$204&lt;&gt;"")*(B_Drainage!$A$5:$A$204&lt;=$B388)*(B_Drainage!$B$5:$B$204&gt;$B388)*(B_Drainage!$I$5:$I$204&lt;&gt;"")),IF(UPPER(B_Drainage!$I$5:$I$204)="Y",1,"")),"")</f>
        <v/>
      </c>
      <c r="AA388" s="181" t="str">
        <f>IFERROR(LOOKUP(2,1/((B_Drainage!$A$5:$A$204&lt;&gt;"")*(B_Drainage!$A$5:$A$204&lt;=$B388)*(B_Drainage!$B$5:$B$204&gt;$B388)*(B_Drainage!$J$5:$J$204&lt;&gt;"")),IF(UPPER(B_Drainage!$J$5:$J$204)="Y",1,"")),"")</f>
        <v/>
      </c>
      <c r="AB388" s="182" t="str">
        <f>IFERROR(LOOKUP(2,1/((B_Drainage!$A$5:$A$204&lt;&gt;"")*(B_Drainage!$A$5:$A$204&lt;=$B388)*(B_Drainage!$B$5:$B$204&gt;$B388)*(B_Drainage!$K$5:$K$204&lt;&gt;"")),IF(B_Drainage!$K$5:$K$204="-","",B_Drainage!$K$5:$K$204)),"")</f>
        <v/>
      </c>
      <c r="AC388" s="182" t="str">
        <f>IFERROR(LOOKUP(2,1/((B_Drainage!$A$5:$A$204&lt;&gt;"")*(B_Drainage!$A$5:$A$204&lt;=$B388)*(B_Drainage!$B$5:$B$204&gt;$B388)*(B_Drainage!$L$5:$L$204&lt;&gt;"")),IF(B_Drainage!$L$5:$L$204="-","",B_Drainage!$L$5:$L$204)),"")</f>
        <v/>
      </c>
      <c r="AD388" s="182" t="str">
        <f>IFERROR(LOOKUP(2,1/((D_Points!$A$5:$A$204&lt;&gt;"")*(D_Points!$A$5:$A$204&gt;=$B388)*(D_Points!$A$5:$A$204&lt;$B388+P_Interval)*(UPPER(TRIM(D_Points!$B$5:$B$204))="TURNOUT_L")*(D_Points!$H$5:$H$204&lt;&gt;"")),D_Points!$H$5:$H$204),"")</f>
        <v/>
      </c>
      <c r="AE388" s="182" t="str">
        <f>IFERROR(LOOKUP(2,1/((D_Points!$A$5:$A$204&lt;&gt;"")*(D_Points!$A$5:$A$204&gt;=$B388)*(D_Points!$A$5:$A$204&lt;$B388+P_Interval)*(UPPER(TRIM(D_Points!$B$5:$B$204))="TURNOUT_R")*(D_Points!$H$5:$H$204&lt;&gt;"")),D_Points!$H$5:$H$204),"")</f>
        <v/>
      </c>
      <c r="AF388" s="181" t="str">
        <f>IFERROR(LOOKUP(2,1/((B_Drainage!$A$5:$A$204&lt;&gt;"")*(B_Drainage!$A$5:$A$204&lt;=$B388)*(B_Drainage!$B$5:$B$204&gt;$B388)*(B_Drainage!$M$5:$M$204&lt;&gt;"")),IF(UPPER(B_Drainage!$M$5:$M$204)="Y",1,"")),"")</f>
        <v/>
      </c>
      <c r="AG388" s="181" t="str">
        <f>IFERROR(LOOKUP(2,1/((B_Drainage!$A$5:$A$204&lt;&gt;"")*(B_Drainage!$A$5:$A$204&lt;=$B388)*(B_Drainage!$B$5:$B$204&gt;$B388)*(B_Drainage!$N$5:$N$204&lt;&gt;"")),IF(UPPER(B_Drainage!$N$5:$N$204)="Y",1,"")),"")</f>
        <v/>
      </c>
      <c r="AH388" s="181" t="str">
        <f t="shared" si="40"/>
        <v/>
      </c>
      <c r="AI388" s="181" t="str">
        <f t="shared" si="41"/>
        <v/>
      </c>
      <c r="AJ388" s="181" t="str">
        <f t="shared" si="42"/>
        <v/>
      </c>
      <c r="AK388" s="181" t="str">
        <f t="shared" si="43"/>
        <v/>
      </c>
      <c r="AL388" s="181" t="str">
        <f t="shared" si="44"/>
        <v/>
      </c>
      <c r="AM388" s="181" t="str">
        <f t="shared" si="45"/>
        <v/>
      </c>
      <c r="AN388" s="181" t="str">
        <f t="shared" si="46"/>
        <v/>
      </c>
      <c r="AO388" s="192" t="str">
        <f t="shared" si="47"/>
        <v/>
      </c>
      <c r="AQ388" t="str">
        <f>IFERROR(LOOKUP(2,1/((C_Pavement!$A$5:$A$204&lt;&gt;"")*(C_Pavement!$A$5:$A$204&lt;=$B388)*(C_Pavement!$B$5:$B$204&gt;$B388)*(C_Pavement!$C$5:$C$204&lt;&gt;"")),ROW(C_Pavement!$C$5:$C$204)-4),"")</f>
        <v/>
      </c>
      <c r="AR388" t="str">
        <f>IF($AQ388="","",UPPER(TRIM(INDEX(C_Pavement!$C$5:$C$204,$AQ388))))</f>
        <v/>
      </c>
      <c r="AS388" t="str">
        <f>IF($AR388="","",IFERROR(MATCH($AR388,E_Rules!$A$5:$A$9,0),""))</f>
        <v/>
      </c>
      <c r="AT388" t="str">
        <f>IF($AQ388="","",IF(INDEX(C_Pavement!$D$5:$D$204,$AQ388)&lt;&gt;"",UPPER(TRIM(INDEX(C_Pavement!$D$5:$D$204,$AQ388))),IF($AS388="","",INDEX(E_Rules!$C$5:$C$9,$AS388))))</f>
        <v/>
      </c>
      <c r="AU388" t="str">
        <f>IF($AQ388="","",IF(INDEX(C_Pavement!$E$5:$E$204,$AQ388)&lt;&gt;"",IF(INDEX(C_Pavement!$E$5:$E$204,$AQ388)="-","",INDEX(C_Pavement!$E$5:$E$204,$AQ388)),IF($AS388="","",INDEX(E_Rules!$D$5:$D$9,$AS388))))</f>
        <v/>
      </c>
      <c r="AV388" t="str">
        <f>IF($AQ388="","",IF(INDEX(C_Pavement!$F$5:$F$204,$AQ388)&lt;&gt;"",IF(INDEX(C_Pavement!$F$5:$F$204,$AQ388)="-","",INDEX(C_Pavement!$F$5:$F$204,$AQ388)),IF($AS388="","",INDEX(E_Rules!$E$5:$E$9,$AS388))))</f>
        <v/>
      </c>
      <c r="AW388" t="str">
        <f>IF($AQ388="","",IF(INDEX(C_Pavement!$G$5:$G$204,$AQ388)&lt;&gt;"",IF(INDEX(C_Pavement!$G$5:$G$204,$AQ388)="-","",INDEX(C_Pavement!$G$5:$G$204,$AQ388)),IF($AS388="","",INDEX(E_Rules!$F$5:$F$9,$AS388))))</f>
        <v/>
      </c>
      <c r="AX388" t="str">
        <f>IF($AQ388="","",IF(INDEX(C_Pavement!$H$5:$H$204,$AQ388)&lt;&gt;"",IF(INDEX(C_Pavement!$H$5:$H$204,$AQ388)="-","",INDEX(C_Pavement!$H$5:$H$204,$AQ388)),IF($AS388="","",INDEX(E_Rules!$G$5:$G$9,$AS388))))</f>
        <v/>
      </c>
      <c r="AY388" t="str">
        <f>IF($AQ388="","",IF(INDEX(C_Pavement!$I$5:$I$204,$AQ388)&lt;&gt;"",IF(INDEX(C_Pavement!$I$5:$I$204,$AQ388)="-","",INDEX(C_Pavement!$I$5:$I$204,$AQ388)),IF($AS388="","",INDEX(E_Rules!$H$5:$H$9,$AS388))))</f>
        <v/>
      </c>
    </row>
    <row r="389" spans="1:51" ht="15.75" customHeight="1" x14ac:dyDescent="0.3">
      <c r="A389" s="189">
        <v>384</v>
      </c>
      <c r="B389" s="180">
        <v>19150</v>
      </c>
      <c r="C389" s="180" t="s">
        <v>695</v>
      </c>
      <c r="D389" s="181" t="str">
        <f>IFERROR(LOOKUP(2,1/((A_Corridor!$A$5:$A$204&lt;&gt;"")*(A_Corridor!$A$5:$A$204&lt;=$B389)*(A_Corridor!$B$5:$B$204&gt;$B389)*(A_Corridor!$C$5:$C$204&lt;&gt;"")),IF(UPPER(A_Corridor!$C$5:$C$204)="Y",1,"")),"")</f>
        <v/>
      </c>
      <c r="E389" s="181" t="str">
        <f>IFERROR(LOOKUP(2,1/((A_Corridor!$A$5:$A$204&lt;&gt;"")*(A_Corridor!$A$5:$A$204&lt;=$B389)*(A_Corridor!$B$5:$B$204&gt;$B389)*(A_Corridor!$D$5:$D$204&lt;&gt;"")),IF(A_Corridor!$D$5:$D$204="-","",UPPER(A_Corridor!$D$5:$D$204))),"")</f>
        <v/>
      </c>
      <c r="F389" s="181" t="str">
        <f>IFERROR(LOOKUP(2,1/((A_Corridor!$A$5:$A$204&lt;&gt;"")*(A_Corridor!$A$5:$A$204&lt;=$B389)*(A_Corridor!$B$5:$B$204&gt;$B389)*(A_Corridor!$E$5:$E$204&lt;&gt;"")),IF(A_Corridor!$E$5:$E$204="-","",1)),"")</f>
        <v/>
      </c>
      <c r="G389" s="182" t="str">
        <f>IFERROR(LOOKUP(2,1/((A_Corridor!$A$5:$A$204&lt;&gt;"")*(A_Corridor!$A$5:$A$204&lt;=$B389)*(A_Corridor!$B$5:$B$204&gt;$B389)*(A_Corridor!$E$5:$E$204&lt;&gt;"")),IF(A_Corridor!$E$5:$E$204="-","",A_Corridor!$E$5:$E$204)),"")</f>
        <v/>
      </c>
      <c r="H389" s="182" t="str">
        <f>IFERROR(LOOKUP(2,1/((D_Points!$A$5:$A$204&lt;&gt;"")*(D_Points!$A$5:$A$204&gt;=$B389)*(D_Points!$A$5:$A$204&lt;$B389+P_Interval)*(UPPER(TRIM(D_Points!$B$5:$B$204))="GULLY")*(D_Points!$H$5:$H$204&lt;&gt;"")),D_Points!$H$5:$H$204),"")</f>
        <v/>
      </c>
      <c r="I389" s="181" t="str">
        <f>IFERROR(LOOKUP(2,1/((A_Corridor!$A$5:$A$204&lt;&gt;"")*(A_Corridor!$A$5:$A$204&lt;=$B389)*(A_Corridor!$B$5:$B$204&gt;$B389)*(A_Corridor!$F$5:$F$204&lt;&gt;"")),IF(A_Corridor!$F$5:$F$204="-","",1)),"")</f>
        <v/>
      </c>
      <c r="J389" s="182" t="str">
        <f>IFERROR(LOOKUP(2,1/((A_Corridor!$A$5:$A$204&lt;&gt;"")*(A_Corridor!$A$5:$A$204&lt;=$B389)*(A_Corridor!$B$5:$B$204&gt;$B389)*(A_Corridor!$F$5:$F$204&lt;&gt;"")),IF(A_Corridor!$F$5:$F$204="-","",A_Corridor!$F$5:$F$204)),"")</f>
        <v/>
      </c>
      <c r="K389" s="182" t="str">
        <f>IFERROR(LOOKUP(2,1/((A_Corridor!$A$5:$A$204&lt;&gt;"")*(A_Corridor!$A$5:$A$204&lt;=$B389)*(A_Corridor!$B$5:$B$204&gt;$B389)*(A_Corridor!$G$5:$G$204&lt;&gt;"")),IF(A_Corridor!$G$5:$G$204="-","",A_Corridor!$G$5:$G$204)),"")</f>
        <v/>
      </c>
      <c r="L389" s="181" t="str">
        <f>IFERROR(LOOKUP(2,1/((A_Corridor!$A$5:$A$204&lt;&gt;"")*(A_Corridor!$A$5:$A$204&lt;=$B389)*(A_Corridor!$B$5:$B$204&gt;$B389)*(A_Corridor!$H$5:$H$204&lt;&gt;"")),IF(A_Corridor!$H$5:$H$204="-","",1)),"")</f>
        <v/>
      </c>
      <c r="M389" s="182" t="str">
        <f>IFERROR(LOOKUP(2,1/((A_Corridor!$A$5:$A$204&lt;&gt;"")*(A_Corridor!$A$5:$A$204&lt;=$B389)*(A_Corridor!$B$5:$B$204&gt;$B389)*(A_Corridor!$H$5:$H$204&lt;&gt;"")),IF(A_Corridor!$H$5:$H$204="-","",A_Corridor!$H$5:$H$204)),"")</f>
        <v/>
      </c>
      <c r="N389" s="182" t="str">
        <f>IFERROR(LOOKUP(2,1/((A_Corridor!$A$5:$A$204&lt;&gt;"")*(A_Corridor!$A$5:$A$204&lt;=$B389)*(A_Corridor!$B$5:$B$204&gt;$B389)*(A_Corridor!$I$5:$I$204&lt;&gt;"")),IF(A_Corridor!$I$5:$I$204="-","",A_Corridor!$I$5:$I$204)),"")</f>
        <v/>
      </c>
      <c r="O389" s="182" t="str">
        <f>IFERROR(LOOKUP(2,1/((D_Points!$A$5:$A$204&lt;&gt;"")*(D_Points!$A$5:$A$204&gt;=$B389)*(D_Points!$A$5:$A$204&lt;$B389+P_Interval)*(UPPER(TRIM(D_Points!$B$5:$B$204))="PITCHING")*(D_Points!$H$5:$H$204&lt;&gt;"")),D_Points!$H$5:$H$204),"")</f>
        <v/>
      </c>
      <c r="P389" s="181" t="str">
        <f>IFERROR(LOOKUP(2,1/((B_Drainage!$A$5:$A$204&lt;&gt;"")*(B_Drainage!$A$5:$A$204&lt;=$B389)*(B_Drainage!$B$5:$B$204&gt;$B389)*(B_Drainage!$C$5:$C$204&lt;&gt;"")),IF(B_Drainage!$C$5:$C$204="-","",UPPER(B_Drainage!$C$5:$C$204))),"")</f>
        <v/>
      </c>
      <c r="Q389" s="181" t="str">
        <f>IFERROR(LOOKUP(2,1/((B_Drainage!$A$5:$A$204&lt;&gt;"")*(B_Drainage!$A$5:$A$204&lt;=$B389)*(B_Drainage!$B$5:$B$204&gt;$B389)*(B_Drainage!$D$5:$D$204&lt;&gt;"")),IF(B_Drainage!$D$5:$D$204="-","",UPPER(B_Drainage!$D$5:$D$204))),"")</f>
        <v/>
      </c>
      <c r="R389" s="182" t="str">
        <f>IFERROR(LOOKUP(2,1/((D_Points!$A$5:$A$204&lt;&gt;"")*(D_Points!$A$5:$A$204&gt;=$B389)*(D_Points!$A$5:$A$204&lt;$B389+P_Interval)*(RIGHT(UPPER(TRIM(D_Points!$B$5:$B$204)),8)="_CULVERT")),IF(LEFT(UPPER(TRIM(D_Points!$B$5:$B$204)),2)="EX",1,IF(LEFT(UPPER(TRIM(D_Points!$B$5:$B$204)),2)="PR",2,3))),"")</f>
        <v/>
      </c>
      <c r="S389" s="182" t="str">
        <f>IFERROR(LOOKUP(2,1/((D_Points!$A$5:$A$204&lt;&gt;"")*(D_Points!$A$5:$A$204&gt;=$B389)*(D_Points!$A$5:$A$204&lt;$B389+P_Interval)*(RIGHT(UPPER(TRIM(D_Points!$B$5:$B$204)),7)="_BRIDGE")),IF(LEFT(UPPER(TRIM(D_Points!$B$5:$B$204)),2)="EX",1,IF(LEFT(UPPER(TRIM(D_Points!$B$5:$B$204)),2)="PR",2,2))),"")</f>
        <v/>
      </c>
      <c r="T389" s="181" t="str">
        <f>IFERROR(LOOKUP(2,1/((B_Drainage!$A$5:$A$204&lt;&gt;"")*(B_Drainage!$A$5:$A$204&lt;=$B389)*(B_Drainage!$B$5:$B$204&gt;$B389)*(B_Drainage!$E$5:$E$204&lt;&gt;"")),IF(B_Drainage!$E$5:$E$204="-","",1)),"")</f>
        <v/>
      </c>
      <c r="U389" s="181" t="str">
        <f>IFERROR(LOOKUP(2,1/((B_Drainage!$A$5:$A$204&lt;&gt;"")*(B_Drainage!$A$5:$A$204&lt;=$B389)*(B_Drainage!$B$5:$B$204&gt;$B389)*(B_Drainage!$E$5:$E$204&lt;&gt;"")),IF(B_Drainage!$E$5:$E$204="-","",B_Drainage!$E$5:$E$204)),"")</f>
        <v/>
      </c>
      <c r="V389" s="181" t="str">
        <f>IFERROR(LOOKUP(2,1/((B_Drainage!$A$5:$A$204&lt;&gt;"")*(B_Drainage!$A$5:$A$204&lt;=$B389)*(B_Drainage!$B$5:$B$204&gt;$B389)*(B_Drainage!$F$5:$F$204&lt;&gt;"")),IF(B_Drainage!$F$5:$F$204="-","",1)),"")</f>
        <v/>
      </c>
      <c r="W389" s="181" t="str">
        <f>IFERROR(LOOKUP(2,1/((B_Drainage!$A$5:$A$204&lt;&gt;"")*(B_Drainage!$A$5:$A$204&lt;=$B389)*(B_Drainage!$B$5:$B$204&gt;$B389)*(B_Drainage!$F$5:$F$204&lt;&gt;"")),IF(B_Drainage!$F$5:$F$204="-","",B_Drainage!$F$5:$F$204)),"")</f>
        <v/>
      </c>
      <c r="X389" s="181" t="str">
        <f>IFERROR(LOOKUP(2,1/((B_Drainage!$A$5:$A$204&lt;&gt;"")*(B_Drainage!$A$5:$A$204&lt;=$B389)*(B_Drainage!$B$5:$B$204&gt;$B389)*(B_Drainage!$G$5:$G$204&lt;&gt;"")),IF(UPPER(B_Drainage!$G$5:$G$204)="Y",1,"")),"")</f>
        <v/>
      </c>
      <c r="Y389" s="181" t="str">
        <f>IFERROR(LOOKUP(2,1/((B_Drainage!$A$5:$A$204&lt;&gt;"")*(B_Drainage!$A$5:$A$204&lt;=$B389)*(B_Drainage!$B$5:$B$204&gt;$B389)*(B_Drainage!$H$5:$H$204&lt;&gt;"")),IF(UPPER(B_Drainage!$H$5:$H$204)="Y",1,"")),"")</f>
        <v/>
      </c>
      <c r="Z389" s="181" t="str">
        <f>IFERROR(LOOKUP(2,1/((B_Drainage!$A$5:$A$204&lt;&gt;"")*(B_Drainage!$A$5:$A$204&lt;=$B389)*(B_Drainage!$B$5:$B$204&gt;$B389)*(B_Drainage!$I$5:$I$204&lt;&gt;"")),IF(UPPER(B_Drainage!$I$5:$I$204)="Y",1,"")),"")</f>
        <v/>
      </c>
      <c r="AA389" s="181" t="str">
        <f>IFERROR(LOOKUP(2,1/((B_Drainage!$A$5:$A$204&lt;&gt;"")*(B_Drainage!$A$5:$A$204&lt;=$B389)*(B_Drainage!$B$5:$B$204&gt;$B389)*(B_Drainage!$J$5:$J$204&lt;&gt;"")),IF(UPPER(B_Drainage!$J$5:$J$204)="Y",1,"")),"")</f>
        <v/>
      </c>
      <c r="AB389" s="182" t="str">
        <f>IFERROR(LOOKUP(2,1/((B_Drainage!$A$5:$A$204&lt;&gt;"")*(B_Drainage!$A$5:$A$204&lt;=$B389)*(B_Drainage!$B$5:$B$204&gt;$B389)*(B_Drainage!$K$5:$K$204&lt;&gt;"")),IF(B_Drainage!$K$5:$K$204="-","",B_Drainage!$K$5:$K$204)),"")</f>
        <v/>
      </c>
      <c r="AC389" s="182" t="str">
        <f>IFERROR(LOOKUP(2,1/((B_Drainage!$A$5:$A$204&lt;&gt;"")*(B_Drainage!$A$5:$A$204&lt;=$B389)*(B_Drainage!$B$5:$B$204&gt;$B389)*(B_Drainage!$L$5:$L$204&lt;&gt;"")),IF(B_Drainage!$L$5:$L$204="-","",B_Drainage!$L$5:$L$204)),"")</f>
        <v/>
      </c>
      <c r="AD389" s="182" t="str">
        <f>IFERROR(LOOKUP(2,1/((D_Points!$A$5:$A$204&lt;&gt;"")*(D_Points!$A$5:$A$204&gt;=$B389)*(D_Points!$A$5:$A$204&lt;$B389+P_Interval)*(UPPER(TRIM(D_Points!$B$5:$B$204))="TURNOUT_L")*(D_Points!$H$5:$H$204&lt;&gt;"")),D_Points!$H$5:$H$204),"")</f>
        <v/>
      </c>
      <c r="AE389" s="182" t="str">
        <f>IFERROR(LOOKUP(2,1/((D_Points!$A$5:$A$204&lt;&gt;"")*(D_Points!$A$5:$A$204&gt;=$B389)*(D_Points!$A$5:$A$204&lt;$B389+P_Interval)*(UPPER(TRIM(D_Points!$B$5:$B$204))="TURNOUT_R")*(D_Points!$H$5:$H$204&lt;&gt;"")),D_Points!$H$5:$H$204),"")</f>
        <v/>
      </c>
      <c r="AF389" s="181" t="str">
        <f>IFERROR(LOOKUP(2,1/((B_Drainage!$A$5:$A$204&lt;&gt;"")*(B_Drainage!$A$5:$A$204&lt;=$B389)*(B_Drainage!$B$5:$B$204&gt;$B389)*(B_Drainage!$M$5:$M$204&lt;&gt;"")),IF(UPPER(B_Drainage!$M$5:$M$204)="Y",1,"")),"")</f>
        <v/>
      </c>
      <c r="AG389" s="181" t="str">
        <f>IFERROR(LOOKUP(2,1/((B_Drainage!$A$5:$A$204&lt;&gt;"")*(B_Drainage!$A$5:$A$204&lt;=$B389)*(B_Drainage!$B$5:$B$204&gt;$B389)*(B_Drainage!$N$5:$N$204&lt;&gt;"")),IF(UPPER(B_Drainage!$N$5:$N$204)="Y",1,"")),"")</f>
        <v/>
      </c>
      <c r="AH389" s="181" t="str">
        <f t="shared" si="40"/>
        <v/>
      </c>
      <c r="AI389" s="181" t="str">
        <f t="shared" si="41"/>
        <v/>
      </c>
      <c r="AJ389" s="181" t="str">
        <f t="shared" si="42"/>
        <v/>
      </c>
      <c r="AK389" s="181" t="str">
        <f t="shared" si="43"/>
        <v/>
      </c>
      <c r="AL389" s="181" t="str">
        <f t="shared" si="44"/>
        <v/>
      </c>
      <c r="AM389" s="181" t="str">
        <f t="shared" si="45"/>
        <v/>
      </c>
      <c r="AN389" s="181" t="str">
        <f t="shared" si="46"/>
        <v/>
      </c>
      <c r="AO389" s="192" t="str">
        <f t="shared" si="47"/>
        <v/>
      </c>
      <c r="AQ389" t="str">
        <f>IFERROR(LOOKUP(2,1/((C_Pavement!$A$5:$A$204&lt;&gt;"")*(C_Pavement!$A$5:$A$204&lt;=$B389)*(C_Pavement!$B$5:$B$204&gt;$B389)*(C_Pavement!$C$5:$C$204&lt;&gt;"")),ROW(C_Pavement!$C$5:$C$204)-4),"")</f>
        <v/>
      </c>
      <c r="AR389" t="str">
        <f>IF($AQ389="","",UPPER(TRIM(INDEX(C_Pavement!$C$5:$C$204,$AQ389))))</f>
        <v/>
      </c>
      <c r="AS389" t="str">
        <f>IF($AR389="","",IFERROR(MATCH($AR389,E_Rules!$A$5:$A$9,0),""))</f>
        <v/>
      </c>
      <c r="AT389" t="str">
        <f>IF($AQ389="","",IF(INDEX(C_Pavement!$D$5:$D$204,$AQ389)&lt;&gt;"",UPPER(TRIM(INDEX(C_Pavement!$D$5:$D$204,$AQ389))),IF($AS389="","",INDEX(E_Rules!$C$5:$C$9,$AS389))))</f>
        <v/>
      </c>
      <c r="AU389" t="str">
        <f>IF($AQ389="","",IF(INDEX(C_Pavement!$E$5:$E$204,$AQ389)&lt;&gt;"",IF(INDEX(C_Pavement!$E$5:$E$204,$AQ389)="-","",INDEX(C_Pavement!$E$5:$E$204,$AQ389)),IF($AS389="","",INDEX(E_Rules!$D$5:$D$9,$AS389))))</f>
        <v/>
      </c>
      <c r="AV389" t="str">
        <f>IF($AQ389="","",IF(INDEX(C_Pavement!$F$5:$F$204,$AQ389)&lt;&gt;"",IF(INDEX(C_Pavement!$F$5:$F$204,$AQ389)="-","",INDEX(C_Pavement!$F$5:$F$204,$AQ389)),IF($AS389="","",INDEX(E_Rules!$E$5:$E$9,$AS389))))</f>
        <v/>
      </c>
      <c r="AW389" t="str">
        <f>IF($AQ389="","",IF(INDEX(C_Pavement!$G$5:$G$204,$AQ389)&lt;&gt;"",IF(INDEX(C_Pavement!$G$5:$G$204,$AQ389)="-","",INDEX(C_Pavement!$G$5:$G$204,$AQ389)),IF($AS389="","",INDEX(E_Rules!$F$5:$F$9,$AS389))))</f>
        <v/>
      </c>
      <c r="AX389" t="str">
        <f>IF($AQ389="","",IF(INDEX(C_Pavement!$H$5:$H$204,$AQ389)&lt;&gt;"",IF(INDEX(C_Pavement!$H$5:$H$204,$AQ389)="-","",INDEX(C_Pavement!$H$5:$H$204,$AQ389)),IF($AS389="","",INDEX(E_Rules!$G$5:$G$9,$AS389))))</f>
        <v/>
      </c>
      <c r="AY389" t="str">
        <f>IF($AQ389="","",IF(INDEX(C_Pavement!$I$5:$I$204,$AQ389)&lt;&gt;"",IF(INDEX(C_Pavement!$I$5:$I$204,$AQ389)="-","",INDEX(C_Pavement!$I$5:$I$204,$AQ389)),IF($AS389="","",INDEX(E_Rules!$H$5:$H$9,$AS389))))</f>
        <v/>
      </c>
    </row>
    <row r="390" spans="1:51" ht="15.75" customHeight="1" x14ac:dyDescent="0.3">
      <c r="A390" s="189">
        <v>385</v>
      </c>
      <c r="B390" s="180">
        <v>19200</v>
      </c>
      <c r="C390" s="180" t="s">
        <v>696</v>
      </c>
      <c r="D390" s="181" t="str">
        <f>IFERROR(LOOKUP(2,1/((A_Corridor!$A$5:$A$204&lt;&gt;"")*(A_Corridor!$A$5:$A$204&lt;=$B390)*(A_Corridor!$B$5:$B$204&gt;$B390)*(A_Corridor!$C$5:$C$204&lt;&gt;"")),IF(UPPER(A_Corridor!$C$5:$C$204)="Y",1,"")),"")</f>
        <v/>
      </c>
      <c r="E390" s="181" t="str">
        <f>IFERROR(LOOKUP(2,1/((A_Corridor!$A$5:$A$204&lt;&gt;"")*(A_Corridor!$A$5:$A$204&lt;=$B390)*(A_Corridor!$B$5:$B$204&gt;$B390)*(A_Corridor!$D$5:$D$204&lt;&gt;"")),IF(A_Corridor!$D$5:$D$204="-","",UPPER(A_Corridor!$D$5:$D$204))),"")</f>
        <v/>
      </c>
      <c r="F390" s="181" t="str">
        <f>IFERROR(LOOKUP(2,1/((A_Corridor!$A$5:$A$204&lt;&gt;"")*(A_Corridor!$A$5:$A$204&lt;=$B390)*(A_Corridor!$B$5:$B$204&gt;$B390)*(A_Corridor!$E$5:$E$204&lt;&gt;"")),IF(A_Corridor!$E$5:$E$204="-","",1)),"")</f>
        <v/>
      </c>
      <c r="G390" s="182" t="str">
        <f>IFERROR(LOOKUP(2,1/((A_Corridor!$A$5:$A$204&lt;&gt;"")*(A_Corridor!$A$5:$A$204&lt;=$B390)*(A_Corridor!$B$5:$B$204&gt;$B390)*(A_Corridor!$E$5:$E$204&lt;&gt;"")),IF(A_Corridor!$E$5:$E$204="-","",A_Corridor!$E$5:$E$204)),"")</f>
        <v/>
      </c>
      <c r="H390" s="182" t="str">
        <f>IFERROR(LOOKUP(2,1/((D_Points!$A$5:$A$204&lt;&gt;"")*(D_Points!$A$5:$A$204&gt;=$B390)*(D_Points!$A$5:$A$204&lt;$B390+P_Interval)*(UPPER(TRIM(D_Points!$B$5:$B$204))="GULLY")*(D_Points!$H$5:$H$204&lt;&gt;"")),D_Points!$H$5:$H$204),"")</f>
        <v/>
      </c>
      <c r="I390" s="181" t="str">
        <f>IFERROR(LOOKUP(2,1/((A_Corridor!$A$5:$A$204&lt;&gt;"")*(A_Corridor!$A$5:$A$204&lt;=$B390)*(A_Corridor!$B$5:$B$204&gt;$B390)*(A_Corridor!$F$5:$F$204&lt;&gt;"")),IF(A_Corridor!$F$5:$F$204="-","",1)),"")</f>
        <v/>
      </c>
      <c r="J390" s="182" t="str">
        <f>IFERROR(LOOKUP(2,1/((A_Corridor!$A$5:$A$204&lt;&gt;"")*(A_Corridor!$A$5:$A$204&lt;=$B390)*(A_Corridor!$B$5:$B$204&gt;$B390)*(A_Corridor!$F$5:$F$204&lt;&gt;"")),IF(A_Corridor!$F$5:$F$204="-","",A_Corridor!$F$5:$F$204)),"")</f>
        <v/>
      </c>
      <c r="K390" s="182" t="str">
        <f>IFERROR(LOOKUP(2,1/((A_Corridor!$A$5:$A$204&lt;&gt;"")*(A_Corridor!$A$5:$A$204&lt;=$B390)*(A_Corridor!$B$5:$B$204&gt;$B390)*(A_Corridor!$G$5:$G$204&lt;&gt;"")),IF(A_Corridor!$G$5:$G$204="-","",A_Corridor!$G$5:$G$204)),"")</f>
        <v/>
      </c>
      <c r="L390" s="181" t="str">
        <f>IFERROR(LOOKUP(2,1/((A_Corridor!$A$5:$A$204&lt;&gt;"")*(A_Corridor!$A$5:$A$204&lt;=$B390)*(A_Corridor!$B$5:$B$204&gt;$B390)*(A_Corridor!$H$5:$H$204&lt;&gt;"")),IF(A_Corridor!$H$5:$H$204="-","",1)),"")</f>
        <v/>
      </c>
      <c r="M390" s="182" t="str">
        <f>IFERROR(LOOKUP(2,1/((A_Corridor!$A$5:$A$204&lt;&gt;"")*(A_Corridor!$A$5:$A$204&lt;=$B390)*(A_Corridor!$B$5:$B$204&gt;$B390)*(A_Corridor!$H$5:$H$204&lt;&gt;"")),IF(A_Corridor!$H$5:$H$204="-","",A_Corridor!$H$5:$H$204)),"")</f>
        <v/>
      </c>
      <c r="N390" s="182" t="str">
        <f>IFERROR(LOOKUP(2,1/((A_Corridor!$A$5:$A$204&lt;&gt;"")*(A_Corridor!$A$5:$A$204&lt;=$B390)*(A_Corridor!$B$5:$B$204&gt;$B390)*(A_Corridor!$I$5:$I$204&lt;&gt;"")),IF(A_Corridor!$I$5:$I$204="-","",A_Corridor!$I$5:$I$204)),"")</f>
        <v/>
      </c>
      <c r="O390" s="182" t="str">
        <f>IFERROR(LOOKUP(2,1/((D_Points!$A$5:$A$204&lt;&gt;"")*(D_Points!$A$5:$A$204&gt;=$B390)*(D_Points!$A$5:$A$204&lt;$B390+P_Interval)*(UPPER(TRIM(D_Points!$B$5:$B$204))="PITCHING")*(D_Points!$H$5:$H$204&lt;&gt;"")),D_Points!$H$5:$H$204),"")</f>
        <v/>
      </c>
      <c r="P390" s="181" t="str">
        <f>IFERROR(LOOKUP(2,1/((B_Drainage!$A$5:$A$204&lt;&gt;"")*(B_Drainage!$A$5:$A$204&lt;=$B390)*(B_Drainage!$B$5:$B$204&gt;$B390)*(B_Drainage!$C$5:$C$204&lt;&gt;"")),IF(B_Drainage!$C$5:$C$204="-","",UPPER(B_Drainage!$C$5:$C$204))),"")</f>
        <v/>
      </c>
      <c r="Q390" s="181" t="str">
        <f>IFERROR(LOOKUP(2,1/((B_Drainage!$A$5:$A$204&lt;&gt;"")*(B_Drainage!$A$5:$A$204&lt;=$B390)*(B_Drainage!$B$5:$B$204&gt;$B390)*(B_Drainage!$D$5:$D$204&lt;&gt;"")),IF(B_Drainage!$D$5:$D$204="-","",UPPER(B_Drainage!$D$5:$D$204))),"")</f>
        <v/>
      </c>
      <c r="R390" s="182" t="str">
        <f>IFERROR(LOOKUP(2,1/((D_Points!$A$5:$A$204&lt;&gt;"")*(D_Points!$A$5:$A$204&gt;=$B390)*(D_Points!$A$5:$A$204&lt;$B390+P_Interval)*(RIGHT(UPPER(TRIM(D_Points!$B$5:$B$204)),8)="_CULVERT")),IF(LEFT(UPPER(TRIM(D_Points!$B$5:$B$204)),2)="EX",1,IF(LEFT(UPPER(TRIM(D_Points!$B$5:$B$204)),2)="PR",2,3))),"")</f>
        <v/>
      </c>
      <c r="S390" s="182" t="str">
        <f>IFERROR(LOOKUP(2,1/((D_Points!$A$5:$A$204&lt;&gt;"")*(D_Points!$A$5:$A$204&gt;=$B390)*(D_Points!$A$5:$A$204&lt;$B390+P_Interval)*(RIGHT(UPPER(TRIM(D_Points!$B$5:$B$204)),7)="_BRIDGE")),IF(LEFT(UPPER(TRIM(D_Points!$B$5:$B$204)),2)="EX",1,IF(LEFT(UPPER(TRIM(D_Points!$B$5:$B$204)),2)="PR",2,2))),"")</f>
        <v/>
      </c>
      <c r="T390" s="181" t="str">
        <f>IFERROR(LOOKUP(2,1/((B_Drainage!$A$5:$A$204&lt;&gt;"")*(B_Drainage!$A$5:$A$204&lt;=$B390)*(B_Drainage!$B$5:$B$204&gt;$B390)*(B_Drainage!$E$5:$E$204&lt;&gt;"")),IF(B_Drainage!$E$5:$E$204="-","",1)),"")</f>
        <v/>
      </c>
      <c r="U390" s="181" t="str">
        <f>IFERROR(LOOKUP(2,1/((B_Drainage!$A$5:$A$204&lt;&gt;"")*(B_Drainage!$A$5:$A$204&lt;=$B390)*(B_Drainage!$B$5:$B$204&gt;$B390)*(B_Drainage!$E$5:$E$204&lt;&gt;"")),IF(B_Drainage!$E$5:$E$204="-","",B_Drainage!$E$5:$E$204)),"")</f>
        <v/>
      </c>
      <c r="V390" s="181" t="str">
        <f>IFERROR(LOOKUP(2,1/((B_Drainage!$A$5:$A$204&lt;&gt;"")*(B_Drainage!$A$5:$A$204&lt;=$B390)*(B_Drainage!$B$5:$B$204&gt;$B390)*(B_Drainage!$F$5:$F$204&lt;&gt;"")),IF(B_Drainage!$F$5:$F$204="-","",1)),"")</f>
        <v/>
      </c>
      <c r="W390" s="181" t="str">
        <f>IFERROR(LOOKUP(2,1/((B_Drainage!$A$5:$A$204&lt;&gt;"")*(B_Drainage!$A$5:$A$204&lt;=$B390)*(B_Drainage!$B$5:$B$204&gt;$B390)*(B_Drainage!$F$5:$F$204&lt;&gt;"")),IF(B_Drainage!$F$5:$F$204="-","",B_Drainage!$F$5:$F$204)),"")</f>
        <v/>
      </c>
      <c r="X390" s="181" t="str">
        <f>IFERROR(LOOKUP(2,1/((B_Drainage!$A$5:$A$204&lt;&gt;"")*(B_Drainage!$A$5:$A$204&lt;=$B390)*(B_Drainage!$B$5:$B$204&gt;$B390)*(B_Drainage!$G$5:$G$204&lt;&gt;"")),IF(UPPER(B_Drainage!$G$5:$G$204)="Y",1,"")),"")</f>
        <v/>
      </c>
      <c r="Y390" s="181" t="str">
        <f>IFERROR(LOOKUP(2,1/((B_Drainage!$A$5:$A$204&lt;&gt;"")*(B_Drainage!$A$5:$A$204&lt;=$B390)*(B_Drainage!$B$5:$B$204&gt;$B390)*(B_Drainage!$H$5:$H$204&lt;&gt;"")),IF(UPPER(B_Drainage!$H$5:$H$204)="Y",1,"")),"")</f>
        <v/>
      </c>
      <c r="Z390" s="181" t="str">
        <f>IFERROR(LOOKUP(2,1/((B_Drainage!$A$5:$A$204&lt;&gt;"")*(B_Drainage!$A$5:$A$204&lt;=$B390)*(B_Drainage!$B$5:$B$204&gt;$B390)*(B_Drainage!$I$5:$I$204&lt;&gt;"")),IF(UPPER(B_Drainage!$I$5:$I$204)="Y",1,"")),"")</f>
        <v/>
      </c>
      <c r="AA390" s="181" t="str">
        <f>IFERROR(LOOKUP(2,1/((B_Drainage!$A$5:$A$204&lt;&gt;"")*(B_Drainage!$A$5:$A$204&lt;=$B390)*(B_Drainage!$B$5:$B$204&gt;$B390)*(B_Drainage!$J$5:$J$204&lt;&gt;"")),IF(UPPER(B_Drainage!$J$5:$J$204)="Y",1,"")),"")</f>
        <v/>
      </c>
      <c r="AB390" s="182" t="str">
        <f>IFERROR(LOOKUP(2,1/((B_Drainage!$A$5:$A$204&lt;&gt;"")*(B_Drainage!$A$5:$A$204&lt;=$B390)*(B_Drainage!$B$5:$B$204&gt;$B390)*(B_Drainage!$K$5:$K$204&lt;&gt;"")),IF(B_Drainage!$K$5:$K$204="-","",B_Drainage!$K$5:$K$204)),"")</f>
        <v/>
      </c>
      <c r="AC390" s="182" t="str">
        <f>IFERROR(LOOKUP(2,1/((B_Drainage!$A$5:$A$204&lt;&gt;"")*(B_Drainage!$A$5:$A$204&lt;=$B390)*(B_Drainage!$B$5:$B$204&gt;$B390)*(B_Drainage!$L$5:$L$204&lt;&gt;"")),IF(B_Drainage!$L$5:$L$204="-","",B_Drainage!$L$5:$L$204)),"")</f>
        <v/>
      </c>
      <c r="AD390" s="182" t="str">
        <f>IFERROR(LOOKUP(2,1/((D_Points!$A$5:$A$204&lt;&gt;"")*(D_Points!$A$5:$A$204&gt;=$B390)*(D_Points!$A$5:$A$204&lt;$B390+P_Interval)*(UPPER(TRIM(D_Points!$B$5:$B$204))="TURNOUT_L")*(D_Points!$H$5:$H$204&lt;&gt;"")),D_Points!$H$5:$H$204),"")</f>
        <v/>
      </c>
      <c r="AE390" s="182" t="str">
        <f>IFERROR(LOOKUP(2,1/((D_Points!$A$5:$A$204&lt;&gt;"")*(D_Points!$A$5:$A$204&gt;=$B390)*(D_Points!$A$5:$A$204&lt;$B390+P_Interval)*(UPPER(TRIM(D_Points!$B$5:$B$204))="TURNOUT_R")*(D_Points!$H$5:$H$204&lt;&gt;"")),D_Points!$H$5:$H$204),"")</f>
        <v/>
      </c>
      <c r="AF390" s="181" t="str">
        <f>IFERROR(LOOKUP(2,1/((B_Drainage!$A$5:$A$204&lt;&gt;"")*(B_Drainage!$A$5:$A$204&lt;=$B390)*(B_Drainage!$B$5:$B$204&gt;$B390)*(B_Drainage!$M$5:$M$204&lt;&gt;"")),IF(UPPER(B_Drainage!$M$5:$M$204)="Y",1,"")),"")</f>
        <v/>
      </c>
      <c r="AG390" s="181" t="str">
        <f>IFERROR(LOOKUP(2,1/((B_Drainage!$A$5:$A$204&lt;&gt;"")*(B_Drainage!$A$5:$A$204&lt;=$B390)*(B_Drainage!$B$5:$B$204&gt;$B390)*(B_Drainage!$N$5:$N$204&lt;&gt;"")),IF(UPPER(B_Drainage!$N$5:$N$204)="Y",1,"")),"")</f>
        <v/>
      </c>
      <c r="AH390" s="181" t="str">
        <f t="shared" ref="AH390:AH453" si="48">IF($AT390="BLADE",1,"")</f>
        <v/>
      </c>
      <c r="AI390" s="181" t="str">
        <f t="shared" ref="AI390:AI453" si="49">IF($AT390="RESHAPE",1,"")</f>
        <v/>
      </c>
      <c r="AJ390" s="181" t="str">
        <f t="shared" ref="AJ390:AJ453" si="50">IF($AT390="SCARIFY",1,"")</f>
        <v/>
      </c>
      <c r="AK390" s="181" t="str">
        <f t="shared" ref="AK390:AK453" si="51">$AU390</f>
        <v/>
      </c>
      <c r="AL390" s="181" t="str">
        <f t="shared" ref="AL390:AL453" si="52">$AV390</f>
        <v/>
      </c>
      <c r="AM390" s="181" t="str">
        <f t="shared" ref="AM390:AM453" si="53">IF(OR(UPPER($AW390)="Y",$AW390=1),1,"")</f>
        <v/>
      </c>
      <c r="AN390" s="181" t="str">
        <f t="shared" ref="AN390:AN453" si="54">IF(OR(UPPER($AX390)="Y",$AX390=1),1,"")</f>
        <v/>
      </c>
      <c r="AO390" s="192" t="str">
        <f t="shared" ref="AO390:AO453" si="55">IF(OR(UPPER($AY390)="Y",$AY390=1),1,"")</f>
        <v/>
      </c>
      <c r="AQ390" t="str">
        <f>IFERROR(LOOKUP(2,1/((C_Pavement!$A$5:$A$204&lt;&gt;"")*(C_Pavement!$A$5:$A$204&lt;=$B390)*(C_Pavement!$B$5:$B$204&gt;$B390)*(C_Pavement!$C$5:$C$204&lt;&gt;"")),ROW(C_Pavement!$C$5:$C$204)-4),"")</f>
        <v/>
      </c>
      <c r="AR390" t="str">
        <f>IF($AQ390="","",UPPER(TRIM(INDEX(C_Pavement!$C$5:$C$204,$AQ390))))</f>
        <v/>
      </c>
      <c r="AS390" t="str">
        <f>IF($AR390="","",IFERROR(MATCH($AR390,E_Rules!$A$5:$A$9,0),""))</f>
        <v/>
      </c>
      <c r="AT390" t="str">
        <f>IF($AQ390="","",IF(INDEX(C_Pavement!$D$5:$D$204,$AQ390)&lt;&gt;"",UPPER(TRIM(INDEX(C_Pavement!$D$5:$D$204,$AQ390))),IF($AS390="","",INDEX(E_Rules!$C$5:$C$9,$AS390))))</f>
        <v/>
      </c>
      <c r="AU390" t="str">
        <f>IF($AQ390="","",IF(INDEX(C_Pavement!$E$5:$E$204,$AQ390)&lt;&gt;"",IF(INDEX(C_Pavement!$E$5:$E$204,$AQ390)="-","",INDEX(C_Pavement!$E$5:$E$204,$AQ390)),IF($AS390="","",INDEX(E_Rules!$D$5:$D$9,$AS390))))</f>
        <v/>
      </c>
      <c r="AV390" t="str">
        <f>IF($AQ390="","",IF(INDEX(C_Pavement!$F$5:$F$204,$AQ390)&lt;&gt;"",IF(INDEX(C_Pavement!$F$5:$F$204,$AQ390)="-","",INDEX(C_Pavement!$F$5:$F$204,$AQ390)),IF($AS390="","",INDEX(E_Rules!$E$5:$E$9,$AS390))))</f>
        <v/>
      </c>
      <c r="AW390" t="str">
        <f>IF($AQ390="","",IF(INDEX(C_Pavement!$G$5:$G$204,$AQ390)&lt;&gt;"",IF(INDEX(C_Pavement!$G$5:$G$204,$AQ390)="-","",INDEX(C_Pavement!$G$5:$G$204,$AQ390)),IF($AS390="","",INDEX(E_Rules!$F$5:$F$9,$AS390))))</f>
        <v/>
      </c>
      <c r="AX390" t="str">
        <f>IF($AQ390="","",IF(INDEX(C_Pavement!$H$5:$H$204,$AQ390)&lt;&gt;"",IF(INDEX(C_Pavement!$H$5:$H$204,$AQ390)="-","",INDEX(C_Pavement!$H$5:$H$204,$AQ390)),IF($AS390="","",INDEX(E_Rules!$G$5:$G$9,$AS390))))</f>
        <v/>
      </c>
      <c r="AY390" t="str">
        <f>IF($AQ390="","",IF(INDEX(C_Pavement!$I$5:$I$204,$AQ390)&lt;&gt;"",IF(INDEX(C_Pavement!$I$5:$I$204,$AQ390)="-","",INDEX(C_Pavement!$I$5:$I$204,$AQ390)),IF($AS390="","",INDEX(E_Rules!$H$5:$H$9,$AS390))))</f>
        <v/>
      </c>
    </row>
    <row r="391" spans="1:51" ht="15.75" customHeight="1" x14ac:dyDescent="0.3">
      <c r="A391" s="189">
        <v>386</v>
      </c>
      <c r="B391" s="180">
        <v>19250</v>
      </c>
      <c r="C391" s="180" t="s">
        <v>697</v>
      </c>
      <c r="D391" s="181" t="str">
        <f>IFERROR(LOOKUP(2,1/((A_Corridor!$A$5:$A$204&lt;&gt;"")*(A_Corridor!$A$5:$A$204&lt;=$B391)*(A_Corridor!$B$5:$B$204&gt;$B391)*(A_Corridor!$C$5:$C$204&lt;&gt;"")),IF(UPPER(A_Corridor!$C$5:$C$204)="Y",1,"")),"")</f>
        <v/>
      </c>
      <c r="E391" s="181" t="str">
        <f>IFERROR(LOOKUP(2,1/((A_Corridor!$A$5:$A$204&lt;&gt;"")*(A_Corridor!$A$5:$A$204&lt;=$B391)*(A_Corridor!$B$5:$B$204&gt;$B391)*(A_Corridor!$D$5:$D$204&lt;&gt;"")),IF(A_Corridor!$D$5:$D$204="-","",UPPER(A_Corridor!$D$5:$D$204))),"")</f>
        <v/>
      </c>
      <c r="F391" s="181" t="str">
        <f>IFERROR(LOOKUP(2,1/((A_Corridor!$A$5:$A$204&lt;&gt;"")*(A_Corridor!$A$5:$A$204&lt;=$B391)*(A_Corridor!$B$5:$B$204&gt;$B391)*(A_Corridor!$E$5:$E$204&lt;&gt;"")),IF(A_Corridor!$E$5:$E$204="-","",1)),"")</f>
        <v/>
      </c>
      <c r="G391" s="182" t="str">
        <f>IFERROR(LOOKUP(2,1/((A_Corridor!$A$5:$A$204&lt;&gt;"")*(A_Corridor!$A$5:$A$204&lt;=$B391)*(A_Corridor!$B$5:$B$204&gt;$B391)*(A_Corridor!$E$5:$E$204&lt;&gt;"")),IF(A_Corridor!$E$5:$E$204="-","",A_Corridor!$E$5:$E$204)),"")</f>
        <v/>
      </c>
      <c r="H391" s="182" t="str">
        <f>IFERROR(LOOKUP(2,1/((D_Points!$A$5:$A$204&lt;&gt;"")*(D_Points!$A$5:$A$204&gt;=$B391)*(D_Points!$A$5:$A$204&lt;$B391+P_Interval)*(UPPER(TRIM(D_Points!$B$5:$B$204))="GULLY")*(D_Points!$H$5:$H$204&lt;&gt;"")),D_Points!$H$5:$H$204),"")</f>
        <v/>
      </c>
      <c r="I391" s="181" t="str">
        <f>IFERROR(LOOKUP(2,1/((A_Corridor!$A$5:$A$204&lt;&gt;"")*(A_Corridor!$A$5:$A$204&lt;=$B391)*(A_Corridor!$B$5:$B$204&gt;$B391)*(A_Corridor!$F$5:$F$204&lt;&gt;"")),IF(A_Corridor!$F$5:$F$204="-","",1)),"")</f>
        <v/>
      </c>
      <c r="J391" s="182" t="str">
        <f>IFERROR(LOOKUP(2,1/((A_Corridor!$A$5:$A$204&lt;&gt;"")*(A_Corridor!$A$5:$A$204&lt;=$B391)*(A_Corridor!$B$5:$B$204&gt;$B391)*(A_Corridor!$F$5:$F$204&lt;&gt;"")),IF(A_Corridor!$F$5:$F$204="-","",A_Corridor!$F$5:$F$204)),"")</f>
        <v/>
      </c>
      <c r="K391" s="182" t="str">
        <f>IFERROR(LOOKUP(2,1/((A_Corridor!$A$5:$A$204&lt;&gt;"")*(A_Corridor!$A$5:$A$204&lt;=$B391)*(A_Corridor!$B$5:$B$204&gt;$B391)*(A_Corridor!$G$5:$G$204&lt;&gt;"")),IF(A_Corridor!$G$5:$G$204="-","",A_Corridor!$G$5:$G$204)),"")</f>
        <v/>
      </c>
      <c r="L391" s="181" t="str">
        <f>IFERROR(LOOKUP(2,1/((A_Corridor!$A$5:$A$204&lt;&gt;"")*(A_Corridor!$A$5:$A$204&lt;=$B391)*(A_Corridor!$B$5:$B$204&gt;$B391)*(A_Corridor!$H$5:$H$204&lt;&gt;"")),IF(A_Corridor!$H$5:$H$204="-","",1)),"")</f>
        <v/>
      </c>
      <c r="M391" s="182" t="str">
        <f>IFERROR(LOOKUP(2,1/((A_Corridor!$A$5:$A$204&lt;&gt;"")*(A_Corridor!$A$5:$A$204&lt;=$B391)*(A_Corridor!$B$5:$B$204&gt;$B391)*(A_Corridor!$H$5:$H$204&lt;&gt;"")),IF(A_Corridor!$H$5:$H$204="-","",A_Corridor!$H$5:$H$204)),"")</f>
        <v/>
      </c>
      <c r="N391" s="182" t="str">
        <f>IFERROR(LOOKUP(2,1/((A_Corridor!$A$5:$A$204&lt;&gt;"")*(A_Corridor!$A$5:$A$204&lt;=$B391)*(A_Corridor!$B$5:$B$204&gt;$B391)*(A_Corridor!$I$5:$I$204&lt;&gt;"")),IF(A_Corridor!$I$5:$I$204="-","",A_Corridor!$I$5:$I$204)),"")</f>
        <v/>
      </c>
      <c r="O391" s="182" t="str">
        <f>IFERROR(LOOKUP(2,1/((D_Points!$A$5:$A$204&lt;&gt;"")*(D_Points!$A$5:$A$204&gt;=$B391)*(D_Points!$A$5:$A$204&lt;$B391+P_Interval)*(UPPER(TRIM(D_Points!$B$5:$B$204))="PITCHING")*(D_Points!$H$5:$H$204&lt;&gt;"")),D_Points!$H$5:$H$204),"")</f>
        <v/>
      </c>
      <c r="P391" s="181" t="str">
        <f>IFERROR(LOOKUP(2,1/((B_Drainage!$A$5:$A$204&lt;&gt;"")*(B_Drainage!$A$5:$A$204&lt;=$B391)*(B_Drainage!$B$5:$B$204&gt;$B391)*(B_Drainage!$C$5:$C$204&lt;&gt;"")),IF(B_Drainage!$C$5:$C$204="-","",UPPER(B_Drainage!$C$5:$C$204))),"")</f>
        <v/>
      </c>
      <c r="Q391" s="181" t="str">
        <f>IFERROR(LOOKUP(2,1/((B_Drainage!$A$5:$A$204&lt;&gt;"")*(B_Drainage!$A$5:$A$204&lt;=$B391)*(B_Drainage!$B$5:$B$204&gt;$B391)*(B_Drainage!$D$5:$D$204&lt;&gt;"")),IF(B_Drainage!$D$5:$D$204="-","",UPPER(B_Drainage!$D$5:$D$204))),"")</f>
        <v/>
      </c>
      <c r="R391" s="182" t="str">
        <f>IFERROR(LOOKUP(2,1/((D_Points!$A$5:$A$204&lt;&gt;"")*(D_Points!$A$5:$A$204&gt;=$B391)*(D_Points!$A$5:$A$204&lt;$B391+P_Interval)*(RIGHT(UPPER(TRIM(D_Points!$B$5:$B$204)),8)="_CULVERT")),IF(LEFT(UPPER(TRIM(D_Points!$B$5:$B$204)),2)="EX",1,IF(LEFT(UPPER(TRIM(D_Points!$B$5:$B$204)),2)="PR",2,3))),"")</f>
        <v/>
      </c>
      <c r="S391" s="182" t="str">
        <f>IFERROR(LOOKUP(2,1/((D_Points!$A$5:$A$204&lt;&gt;"")*(D_Points!$A$5:$A$204&gt;=$B391)*(D_Points!$A$5:$A$204&lt;$B391+P_Interval)*(RIGHT(UPPER(TRIM(D_Points!$B$5:$B$204)),7)="_BRIDGE")),IF(LEFT(UPPER(TRIM(D_Points!$B$5:$B$204)),2)="EX",1,IF(LEFT(UPPER(TRIM(D_Points!$B$5:$B$204)),2)="PR",2,2))),"")</f>
        <v/>
      </c>
      <c r="T391" s="181" t="str">
        <f>IFERROR(LOOKUP(2,1/((B_Drainage!$A$5:$A$204&lt;&gt;"")*(B_Drainage!$A$5:$A$204&lt;=$B391)*(B_Drainage!$B$5:$B$204&gt;$B391)*(B_Drainage!$E$5:$E$204&lt;&gt;"")),IF(B_Drainage!$E$5:$E$204="-","",1)),"")</f>
        <v/>
      </c>
      <c r="U391" s="181" t="str">
        <f>IFERROR(LOOKUP(2,1/((B_Drainage!$A$5:$A$204&lt;&gt;"")*(B_Drainage!$A$5:$A$204&lt;=$B391)*(B_Drainage!$B$5:$B$204&gt;$B391)*(B_Drainage!$E$5:$E$204&lt;&gt;"")),IF(B_Drainage!$E$5:$E$204="-","",B_Drainage!$E$5:$E$204)),"")</f>
        <v/>
      </c>
      <c r="V391" s="181" t="str">
        <f>IFERROR(LOOKUP(2,1/((B_Drainage!$A$5:$A$204&lt;&gt;"")*(B_Drainage!$A$5:$A$204&lt;=$B391)*(B_Drainage!$B$5:$B$204&gt;$B391)*(B_Drainage!$F$5:$F$204&lt;&gt;"")),IF(B_Drainage!$F$5:$F$204="-","",1)),"")</f>
        <v/>
      </c>
      <c r="W391" s="181" t="str">
        <f>IFERROR(LOOKUP(2,1/((B_Drainage!$A$5:$A$204&lt;&gt;"")*(B_Drainage!$A$5:$A$204&lt;=$B391)*(B_Drainage!$B$5:$B$204&gt;$B391)*(B_Drainage!$F$5:$F$204&lt;&gt;"")),IF(B_Drainage!$F$5:$F$204="-","",B_Drainage!$F$5:$F$204)),"")</f>
        <v/>
      </c>
      <c r="X391" s="181" t="str">
        <f>IFERROR(LOOKUP(2,1/((B_Drainage!$A$5:$A$204&lt;&gt;"")*(B_Drainage!$A$5:$A$204&lt;=$B391)*(B_Drainage!$B$5:$B$204&gt;$B391)*(B_Drainage!$G$5:$G$204&lt;&gt;"")),IF(UPPER(B_Drainage!$G$5:$G$204)="Y",1,"")),"")</f>
        <v/>
      </c>
      <c r="Y391" s="181" t="str">
        <f>IFERROR(LOOKUP(2,1/((B_Drainage!$A$5:$A$204&lt;&gt;"")*(B_Drainage!$A$5:$A$204&lt;=$B391)*(B_Drainage!$B$5:$B$204&gt;$B391)*(B_Drainage!$H$5:$H$204&lt;&gt;"")),IF(UPPER(B_Drainage!$H$5:$H$204)="Y",1,"")),"")</f>
        <v/>
      </c>
      <c r="Z391" s="181" t="str">
        <f>IFERROR(LOOKUP(2,1/((B_Drainage!$A$5:$A$204&lt;&gt;"")*(B_Drainage!$A$5:$A$204&lt;=$B391)*(B_Drainage!$B$5:$B$204&gt;$B391)*(B_Drainage!$I$5:$I$204&lt;&gt;"")),IF(UPPER(B_Drainage!$I$5:$I$204)="Y",1,"")),"")</f>
        <v/>
      </c>
      <c r="AA391" s="181" t="str">
        <f>IFERROR(LOOKUP(2,1/((B_Drainage!$A$5:$A$204&lt;&gt;"")*(B_Drainage!$A$5:$A$204&lt;=$B391)*(B_Drainage!$B$5:$B$204&gt;$B391)*(B_Drainage!$J$5:$J$204&lt;&gt;"")),IF(UPPER(B_Drainage!$J$5:$J$204)="Y",1,"")),"")</f>
        <v/>
      </c>
      <c r="AB391" s="182" t="str">
        <f>IFERROR(LOOKUP(2,1/((B_Drainage!$A$5:$A$204&lt;&gt;"")*(B_Drainage!$A$5:$A$204&lt;=$B391)*(B_Drainage!$B$5:$B$204&gt;$B391)*(B_Drainage!$K$5:$K$204&lt;&gt;"")),IF(B_Drainage!$K$5:$K$204="-","",B_Drainage!$K$5:$K$204)),"")</f>
        <v/>
      </c>
      <c r="AC391" s="182" t="str">
        <f>IFERROR(LOOKUP(2,1/((B_Drainage!$A$5:$A$204&lt;&gt;"")*(B_Drainage!$A$5:$A$204&lt;=$B391)*(B_Drainage!$B$5:$B$204&gt;$B391)*(B_Drainage!$L$5:$L$204&lt;&gt;"")),IF(B_Drainage!$L$5:$L$204="-","",B_Drainage!$L$5:$L$204)),"")</f>
        <v/>
      </c>
      <c r="AD391" s="182" t="str">
        <f>IFERROR(LOOKUP(2,1/((D_Points!$A$5:$A$204&lt;&gt;"")*(D_Points!$A$5:$A$204&gt;=$B391)*(D_Points!$A$5:$A$204&lt;$B391+P_Interval)*(UPPER(TRIM(D_Points!$B$5:$B$204))="TURNOUT_L")*(D_Points!$H$5:$H$204&lt;&gt;"")),D_Points!$H$5:$H$204),"")</f>
        <v/>
      </c>
      <c r="AE391" s="182" t="str">
        <f>IFERROR(LOOKUP(2,1/((D_Points!$A$5:$A$204&lt;&gt;"")*(D_Points!$A$5:$A$204&gt;=$B391)*(D_Points!$A$5:$A$204&lt;$B391+P_Interval)*(UPPER(TRIM(D_Points!$B$5:$B$204))="TURNOUT_R")*(D_Points!$H$5:$H$204&lt;&gt;"")),D_Points!$H$5:$H$204),"")</f>
        <v/>
      </c>
      <c r="AF391" s="181" t="str">
        <f>IFERROR(LOOKUP(2,1/((B_Drainage!$A$5:$A$204&lt;&gt;"")*(B_Drainage!$A$5:$A$204&lt;=$B391)*(B_Drainage!$B$5:$B$204&gt;$B391)*(B_Drainage!$M$5:$M$204&lt;&gt;"")),IF(UPPER(B_Drainage!$M$5:$M$204)="Y",1,"")),"")</f>
        <v/>
      </c>
      <c r="AG391" s="181" t="str">
        <f>IFERROR(LOOKUP(2,1/((B_Drainage!$A$5:$A$204&lt;&gt;"")*(B_Drainage!$A$5:$A$204&lt;=$B391)*(B_Drainage!$B$5:$B$204&gt;$B391)*(B_Drainage!$N$5:$N$204&lt;&gt;"")),IF(UPPER(B_Drainage!$N$5:$N$204)="Y",1,"")),"")</f>
        <v/>
      </c>
      <c r="AH391" s="181" t="str">
        <f t="shared" si="48"/>
        <v/>
      </c>
      <c r="AI391" s="181" t="str">
        <f t="shared" si="49"/>
        <v/>
      </c>
      <c r="AJ391" s="181" t="str">
        <f t="shared" si="50"/>
        <v/>
      </c>
      <c r="AK391" s="181" t="str">
        <f t="shared" si="51"/>
        <v/>
      </c>
      <c r="AL391" s="181" t="str">
        <f t="shared" si="52"/>
        <v/>
      </c>
      <c r="AM391" s="181" t="str">
        <f t="shared" si="53"/>
        <v/>
      </c>
      <c r="AN391" s="181" t="str">
        <f t="shared" si="54"/>
        <v/>
      </c>
      <c r="AO391" s="192" t="str">
        <f t="shared" si="55"/>
        <v/>
      </c>
      <c r="AQ391" t="str">
        <f>IFERROR(LOOKUP(2,1/((C_Pavement!$A$5:$A$204&lt;&gt;"")*(C_Pavement!$A$5:$A$204&lt;=$B391)*(C_Pavement!$B$5:$B$204&gt;$B391)*(C_Pavement!$C$5:$C$204&lt;&gt;"")),ROW(C_Pavement!$C$5:$C$204)-4),"")</f>
        <v/>
      </c>
      <c r="AR391" t="str">
        <f>IF($AQ391="","",UPPER(TRIM(INDEX(C_Pavement!$C$5:$C$204,$AQ391))))</f>
        <v/>
      </c>
      <c r="AS391" t="str">
        <f>IF($AR391="","",IFERROR(MATCH($AR391,E_Rules!$A$5:$A$9,0),""))</f>
        <v/>
      </c>
      <c r="AT391" t="str">
        <f>IF($AQ391="","",IF(INDEX(C_Pavement!$D$5:$D$204,$AQ391)&lt;&gt;"",UPPER(TRIM(INDEX(C_Pavement!$D$5:$D$204,$AQ391))),IF($AS391="","",INDEX(E_Rules!$C$5:$C$9,$AS391))))</f>
        <v/>
      </c>
      <c r="AU391" t="str">
        <f>IF($AQ391="","",IF(INDEX(C_Pavement!$E$5:$E$204,$AQ391)&lt;&gt;"",IF(INDEX(C_Pavement!$E$5:$E$204,$AQ391)="-","",INDEX(C_Pavement!$E$5:$E$204,$AQ391)),IF($AS391="","",INDEX(E_Rules!$D$5:$D$9,$AS391))))</f>
        <v/>
      </c>
      <c r="AV391" t="str">
        <f>IF($AQ391="","",IF(INDEX(C_Pavement!$F$5:$F$204,$AQ391)&lt;&gt;"",IF(INDEX(C_Pavement!$F$5:$F$204,$AQ391)="-","",INDEX(C_Pavement!$F$5:$F$204,$AQ391)),IF($AS391="","",INDEX(E_Rules!$E$5:$E$9,$AS391))))</f>
        <v/>
      </c>
      <c r="AW391" t="str">
        <f>IF($AQ391="","",IF(INDEX(C_Pavement!$G$5:$G$204,$AQ391)&lt;&gt;"",IF(INDEX(C_Pavement!$G$5:$G$204,$AQ391)="-","",INDEX(C_Pavement!$G$5:$G$204,$AQ391)),IF($AS391="","",INDEX(E_Rules!$F$5:$F$9,$AS391))))</f>
        <v/>
      </c>
      <c r="AX391" t="str">
        <f>IF($AQ391="","",IF(INDEX(C_Pavement!$H$5:$H$204,$AQ391)&lt;&gt;"",IF(INDEX(C_Pavement!$H$5:$H$204,$AQ391)="-","",INDEX(C_Pavement!$H$5:$H$204,$AQ391)),IF($AS391="","",INDEX(E_Rules!$G$5:$G$9,$AS391))))</f>
        <v/>
      </c>
      <c r="AY391" t="str">
        <f>IF($AQ391="","",IF(INDEX(C_Pavement!$I$5:$I$204,$AQ391)&lt;&gt;"",IF(INDEX(C_Pavement!$I$5:$I$204,$AQ391)="-","",INDEX(C_Pavement!$I$5:$I$204,$AQ391)),IF($AS391="","",INDEX(E_Rules!$H$5:$H$9,$AS391))))</f>
        <v/>
      </c>
    </row>
    <row r="392" spans="1:51" ht="15.75" customHeight="1" x14ac:dyDescent="0.3">
      <c r="A392" s="189">
        <v>387</v>
      </c>
      <c r="B392" s="180">
        <v>19300</v>
      </c>
      <c r="C392" s="180" t="s">
        <v>698</v>
      </c>
      <c r="D392" s="181" t="str">
        <f>IFERROR(LOOKUP(2,1/((A_Corridor!$A$5:$A$204&lt;&gt;"")*(A_Corridor!$A$5:$A$204&lt;=$B392)*(A_Corridor!$B$5:$B$204&gt;$B392)*(A_Corridor!$C$5:$C$204&lt;&gt;"")),IF(UPPER(A_Corridor!$C$5:$C$204)="Y",1,"")),"")</f>
        <v/>
      </c>
      <c r="E392" s="181" t="str">
        <f>IFERROR(LOOKUP(2,1/((A_Corridor!$A$5:$A$204&lt;&gt;"")*(A_Corridor!$A$5:$A$204&lt;=$B392)*(A_Corridor!$B$5:$B$204&gt;$B392)*(A_Corridor!$D$5:$D$204&lt;&gt;"")),IF(A_Corridor!$D$5:$D$204="-","",UPPER(A_Corridor!$D$5:$D$204))),"")</f>
        <v/>
      </c>
      <c r="F392" s="181" t="str">
        <f>IFERROR(LOOKUP(2,1/((A_Corridor!$A$5:$A$204&lt;&gt;"")*(A_Corridor!$A$5:$A$204&lt;=$B392)*(A_Corridor!$B$5:$B$204&gt;$B392)*(A_Corridor!$E$5:$E$204&lt;&gt;"")),IF(A_Corridor!$E$5:$E$204="-","",1)),"")</f>
        <v/>
      </c>
      <c r="G392" s="182" t="str">
        <f>IFERROR(LOOKUP(2,1/((A_Corridor!$A$5:$A$204&lt;&gt;"")*(A_Corridor!$A$5:$A$204&lt;=$B392)*(A_Corridor!$B$5:$B$204&gt;$B392)*(A_Corridor!$E$5:$E$204&lt;&gt;"")),IF(A_Corridor!$E$5:$E$204="-","",A_Corridor!$E$5:$E$204)),"")</f>
        <v/>
      </c>
      <c r="H392" s="182" t="str">
        <f>IFERROR(LOOKUP(2,1/((D_Points!$A$5:$A$204&lt;&gt;"")*(D_Points!$A$5:$A$204&gt;=$B392)*(D_Points!$A$5:$A$204&lt;$B392+P_Interval)*(UPPER(TRIM(D_Points!$B$5:$B$204))="GULLY")*(D_Points!$H$5:$H$204&lt;&gt;"")),D_Points!$H$5:$H$204),"")</f>
        <v/>
      </c>
      <c r="I392" s="181" t="str">
        <f>IFERROR(LOOKUP(2,1/((A_Corridor!$A$5:$A$204&lt;&gt;"")*(A_Corridor!$A$5:$A$204&lt;=$B392)*(A_Corridor!$B$5:$B$204&gt;$B392)*(A_Corridor!$F$5:$F$204&lt;&gt;"")),IF(A_Corridor!$F$5:$F$204="-","",1)),"")</f>
        <v/>
      </c>
      <c r="J392" s="182" t="str">
        <f>IFERROR(LOOKUP(2,1/((A_Corridor!$A$5:$A$204&lt;&gt;"")*(A_Corridor!$A$5:$A$204&lt;=$B392)*(A_Corridor!$B$5:$B$204&gt;$B392)*(A_Corridor!$F$5:$F$204&lt;&gt;"")),IF(A_Corridor!$F$5:$F$204="-","",A_Corridor!$F$5:$F$204)),"")</f>
        <v/>
      </c>
      <c r="K392" s="182" t="str">
        <f>IFERROR(LOOKUP(2,1/((A_Corridor!$A$5:$A$204&lt;&gt;"")*(A_Corridor!$A$5:$A$204&lt;=$B392)*(A_Corridor!$B$5:$B$204&gt;$B392)*(A_Corridor!$G$5:$G$204&lt;&gt;"")),IF(A_Corridor!$G$5:$G$204="-","",A_Corridor!$G$5:$G$204)),"")</f>
        <v/>
      </c>
      <c r="L392" s="181" t="str">
        <f>IFERROR(LOOKUP(2,1/((A_Corridor!$A$5:$A$204&lt;&gt;"")*(A_Corridor!$A$5:$A$204&lt;=$B392)*(A_Corridor!$B$5:$B$204&gt;$B392)*(A_Corridor!$H$5:$H$204&lt;&gt;"")),IF(A_Corridor!$H$5:$H$204="-","",1)),"")</f>
        <v/>
      </c>
      <c r="M392" s="182" t="str">
        <f>IFERROR(LOOKUP(2,1/((A_Corridor!$A$5:$A$204&lt;&gt;"")*(A_Corridor!$A$5:$A$204&lt;=$B392)*(A_Corridor!$B$5:$B$204&gt;$B392)*(A_Corridor!$H$5:$H$204&lt;&gt;"")),IF(A_Corridor!$H$5:$H$204="-","",A_Corridor!$H$5:$H$204)),"")</f>
        <v/>
      </c>
      <c r="N392" s="182" t="str">
        <f>IFERROR(LOOKUP(2,1/((A_Corridor!$A$5:$A$204&lt;&gt;"")*(A_Corridor!$A$5:$A$204&lt;=$B392)*(A_Corridor!$B$5:$B$204&gt;$B392)*(A_Corridor!$I$5:$I$204&lt;&gt;"")),IF(A_Corridor!$I$5:$I$204="-","",A_Corridor!$I$5:$I$204)),"")</f>
        <v/>
      </c>
      <c r="O392" s="182" t="str">
        <f>IFERROR(LOOKUP(2,1/((D_Points!$A$5:$A$204&lt;&gt;"")*(D_Points!$A$5:$A$204&gt;=$B392)*(D_Points!$A$5:$A$204&lt;$B392+P_Interval)*(UPPER(TRIM(D_Points!$B$5:$B$204))="PITCHING")*(D_Points!$H$5:$H$204&lt;&gt;"")),D_Points!$H$5:$H$204),"")</f>
        <v/>
      </c>
      <c r="P392" s="181" t="str">
        <f>IFERROR(LOOKUP(2,1/((B_Drainage!$A$5:$A$204&lt;&gt;"")*(B_Drainage!$A$5:$A$204&lt;=$B392)*(B_Drainage!$B$5:$B$204&gt;$B392)*(B_Drainage!$C$5:$C$204&lt;&gt;"")),IF(B_Drainage!$C$5:$C$204="-","",UPPER(B_Drainage!$C$5:$C$204))),"")</f>
        <v/>
      </c>
      <c r="Q392" s="181" t="str">
        <f>IFERROR(LOOKUP(2,1/((B_Drainage!$A$5:$A$204&lt;&gt;"")*(B_Drainage!$A$5:$A$204&lt;=$B392)*(B_Drainage!$B$5:$B$204&gt;$B392)*(B_Drainage!$D$5:$D$204&lt;&gt;"")),IF(B_Drainage!$D$5:$D$204="-","",UPPER(B_Drainage!$D$5:$D$204))),"")</f>
        <v/>
      </c>
      <c r="R392" s="182" t="str">
        <f>IFERROR(LOOKUP(2,1/((D_Points!$A$5:$A$204&lt;&gt;"")*(D_Points!$A$5:$A$204&gt;=$B392)*(D_Points!$A$5:$A$204&lt;$B392+P_Interval)*(RIGHT(UPPER(TRIM(D_Points!$B$5:$B$204)),8)="_CULVERT")),IF(LEFT(UPPER(TRIM(D_Points!$B$5:$B$204)),2)="EX",1,IF(LEFT(UPPER(TRIM(D_Points!$B$5:$B$204)),2)="PR",2,3))),"")</f>
        <v/>
      </c>
      <c r="S392" s="182" t="str">
        <f>IFERROR(LOOKUP(2,1/((D_Points!$A$5:$A$204&lt;&gt;"")*(D_Points!$A$5:$A$204&gt;=$B392)*(D_Points!$A$5:$A$204&lt;$B392+P_Interval)*(RIGHT(UPPER(TRIM(D_Points!$B$5:$B$204)),7)="_BRIDGE")),IF(LEFT(UPPER(TRIM(D_Points!$B$5:$B$204)),2)="EX",1,IF(LEFT(UPPER(TRIM(D_Points!$B$5:$B$204)),2)="PR",2,2))),"")</f>
        <v/>
      </c>
      <c r="T392" s="181" t="str">
        <f>IFERROR(LOOKUP(2,1/((B_Drainage!$A$5:$A$204&lt;&gt;"")*(B_Drainage!$A$5:$A$204&lt;=$B392)*(B_Drainage!$B$5:$B$204&gt;$B392)*(B_Drainage!$E$5:$E$204&lt;&gt;"")),IF(B_Drainage!$E$5:$E$204="-","",1)),"")</f>
        <v/>
      </c>
      <c r="U392" s="181" t="str">
        <f>IFERROR(LOOKUP(2,1/((B_Drainage!$A$5:$A$204&lt;&gt;"")*(B_Drainage!$A$5:$A$204&lt;=$B392)*(B_Drainage!$B$5:$B$204&gt;$B392)*(B_Drainage!$E$5:$E$204&lt;&gt;"")),IF(B_Drainage!$E$5:$E$204="-","",B_Drainage!$E$5:$E$204)),"")</f>
        <v/>
      </c>
      <c r="V392" s="181" t="str">
        <f>IFERROR(LOOKUP(2,1/((B_Drainage!$A$5:$A$204&lt;&gt;"")*(B_Drainage!$A$5:$A$204&lt;=$B392)*(B_Drainage!$B$5:$B$204&gt;$B392)*(B_Drainage!$F$5:$F$204&lt;&gt;"")),IF(B_Drainage!$F$5:$F$204="-","",1)),"")</f>
        <v/>
      </c>
      <c r="W392" s="181" t="str">
        <f>IFERROR(LOOKUP(2,1/((B_Drainage!$A$5:$A$204&lt;&gt;"")*(B_Drainage!$A$5:$A$204&lt;=$B392)*(B_Drainage!$B$5:$B$204&gt;$B392)*(B_Drainage!$F$5:$F$204&lt;&gt;"")),IF(B_Drainage!$F$5:$F$204="-","",B_Drainage!$F$5:$F$204)),"")</f>
        <v/>
      </c>
      <c r="X392" s="181" t="str">
        <f>IFERROR(LOOKUP(2,1/((B_Drainage!$A$5:$A$204&lt;&gt;"")*(B_Drainage!$A$5:$A$204&lt;=$B392)*(B_Drainage!$B$5:$B$204&gt;$B392)*(B_Drainage!$G$5:$G$204&lt;&gt;"")),IF(UPPER(B_Drainage!$G$5:$G$204)="Y",1,"")),"")</f>
        <v/>
      </c>
      <c r="Y392" s="181" t="str">
        <f>IFERROR(LOOKUP(2,1/((B_Drainage!$A$5:$A$204&lt;&gt;"")*(B_Drainage!$A$5:$A$204&lt;=$B392)*(B_Drainage!$B$5:$B$204&gt;$B392)*(B_Drainage!$H$5:$H$204&lt;&gt;"")),IF(UPPER(B_Drainage!$H$5:$H$204)="Y",1,"")),"")</f>
        <v/>
      </c>
      <c r="Z392" s="181" t="str">
        <f>IFERROR(LOOKUP(2,1/((B_Drainage!$A$5:$A$204&lt;&gt;"")*(B_Drainage!$A$5:$A$204&lt;=$B392)*(B_Drainage!$B$5:$B$204&gt;$B392)*(B_Drainage!$I$5:$I$204&lt;&gt;"")),IF(UPPER(B_Drainage!$I$5:$I$204)="Y",1,"")),"")</f>
        <v/>
      </c>
      <c r="AA392" s="181" t="str">
        <f>IFERROR(LOOKUP(2,1/((B_Drainage!$A$5:$A$204&lt;&gt;"")*(B_Drainage!$A$5:$A$204&lt;=$B392)*(B_Drainage!$B$5:$B$204&gt;$B392)*(B_Drainage!$J$5:$J$204&lt;&gt;"")),IF(UPPER(B_Drainage!$J$5:$J$204)="Y",1,"")),"")</f>
        <v/>
      </c>
      <c r="AB392" s="182" t="str">
        <f>IFERROR(LOOKUP(2,1/((B_Drainage!$A$5:$A$204&lt;&gt;"")*(B_Drainage!$A$5:$A$204&lt;=$B392)*(B_Drainage!$B$5:$B$204&gt;$B392)*(B_Drainage!$K$5:$K$204&lt;&gt;"")),IF(B_Drainage!$K$5:$K$204="-","",B_Drainage!$K$5:$K$204)),"")</f>
        <v/>
      </c>
      <c r="AC392" s="182" t="str">
        <f>IFERROR(LOOKUP(2,1/((B_Drainage!$A$5:$A$204&lt;&gt;"")*(B_Drainage!$A$5:$A$204&lt;=$B392)*(B_Drainage!$B$5:$B$204&gt;$B392)*(B_Drainage!$L$5:$L$204&lt;&gt;"")),IF(B_Drainage!$L$5:$L$204="-","",B_Drainage!$L$5:$L$204)),"")</f>
        <v/>
      </c>
      <c r="AD392" s="182" t="str">
        <f>IFERROR(LOOKUP(2,1/((D_Points!$A$5:$A$204&lt;&gt;"")*(D_Points!$A$5:$A$204&gt;=$B392)*(D_Points!$A$5:$A$204&lt;$B392+P_Interval)*(UPPER(TRIM(D_Points!$B$5:$B$204))="TURNOUT_L")*(D_Points!$H$5:$H$204&lt;&gt;"")),D_Points!$H$5:$H$204),"")</f>
        <v/>
      </c>
      <c r="AE392" s="182" t="str">
        <f>IFERROR(LOOKUP(2,1/((D_Points!$A$5:$A$204&lt;&gt;"")*(D_Points!$A$5:$A$204&gt;=$B392)*(D_Points!$A$5:$A$204&lt;$B392+P_Interval)*(UPPER(TRIM(D_Points!$B$5:$B$204))="TURNOUT_R")*(D_Points!$H$5:$H$204&lt;&gt;"")),D_Points!$H$5:$H$204),"")</f>
        <v/>
      </c>
      <c r="AF392" s="181" t="str">
        <f>IFERROR(LOOKUP(2,1/((B_Drainage!$A$5:$A$204&lt;&gt;"")*(B_Drainage!$A$5:$A$204&lt;=$B392)*(B_Drainage!$B$5:$B$204&gt;$B392)*(B_Drainage!$M$5:$M$204&lt;&gt;"")),IF(UPPER(B_Drainage!$M$5:$M$204)="Y",1,"")),"")</f>
        <v/>
      </c>
      <c r="AG392" s="181" t="str">
        <f>IFERROR(LOOKUP(2,1/((B_Drainage!$A$5:$A$204&lt;&gt;"")*(B_Drainage!$A$5:$A$204&lt;=$B392)*(B_Drainage!$B$5:$B$204&gt;$B392)*(B_Drainage!$N$5:$N$204&lt;&gt;"")),IF(UPPER(B_Drainage!$N$5:$N$204)="Y",1,"")),"")</f>
        <v/>
      </c>
      <c r="AH392" s="181" t="str">
        <f t="shared" si="48"/>
        <v/>
      </c>
      <c r="AI392" s="181" t="str">
        <f t="shared" si="49"/>
        <v/>
      </c>
      <c r="AJ392" s="181" t="str">
        <f t="shared" si="50"/>
        <v/>
      </c>
      <c r="AK392" s="181" t="str">
        <f t="shared" si="51"/>
        <v/>
      </c>
      <c r="AL392" s="181" t="str">
        <f t="shared" si="52"/>
        <v/>
      </c>
      <c r="AM392" s="181" t="str">
        <f t="shared" si="53"/>
        <v/>
      </c>
      <c r="AN392" s="181" t="str">
        <f t="shared" si="54"/>
        <v/>
      </c>
      <c r="AO392" s="192" t="str">
        <f t="shared" si="55"/>
        <v/>
      </c>
      <c r="AQ392" t="str">
        <f>IFERROR(LOOKUP(2,1/((C_Pavement!$A$5:$A$204&lt;&gt;"")*(C_Pavement!$A$5:$A$204&lt;=$B392)*(C_Pavement!$B$5:$B$204&gt;$B392)*(C_Pavement!$C$5:$C$204&lt;&gt;"")),ROW(C_Pavement!$C$5:$C$204)-4),"")</f>
        <v/>
      </c>
      <c r="AR392" t="str">
        <f>IF($AQ392="","",UPPER(TRIM(INDEX(C_Pavement!$C$5:$C$204,$AQ392))))</f>
        <v/>
      </c>
      <c r="AS392" t="str">
        <f>IF($AR392="","",IFERROR(MATCH($AR392,E_Rules!$A$5:$A$9,0),""))</f>
        <v/>
      </c>
      <c r="AT392" t="str">
        <f>IF($AQ392="","",IF(INDEX(C_Pavement!$D$5:$D$204,$AQ392)&lt;&gt;"",UPPER(TRIM(INDEX(C_Pavement!$D$5:$D$204,$AQ392))),IF($AS392="","",INDEX(E_Rules!$C$5:$C$9,$AS392))))</f>
        <v/>
      </c>
      <c r="AU392" t="str">
        <f>IF($AQ392="","",IF(INDEX(C_Pavement!$E$5:$E$204,$AQ392)&lt;&gt;"",IF(INDEX(C_Pavement!$E$5:$E$204,$AQ392)="-","",INDEX(C_Pavement!$E$5:$E$204,$AQ392)),IF($AS392="","",INDEX(E_Rules!$D$5:$D$9,$AS392))))</f>
        <v/>
      </c>
      <c r="AV392" t="str">
        <f>IF($AQ392="","",IF(INDEX(C_Pavement!$F$5:$F$204,$AQ392)&lt;&gt;"",IF(INDEX(C_Pavement!$F$5:$F$204,$AQ392)="-","",INDEX(C_Pavement!$F$5:$F$204,$AQ392)),IF($AS392="","",INDEX(E_Rules!$E$5:$E$9,$AS392))))</f>
        <v/>
      </c>
      <c r="AW392" t="str">
        <f>IF($AQ392="","",IF(INDEX(C_Pavement!$G$5:$G$204,$AQ392)&lt;&gt;"",IF(INDEX(C_Pavement!$G$5:$G$204,$AQ392)="-","",INDEX(C_Pavement!$G$5:$G$204,$AQ392)),IF($AS392="","",INDEX(E_Rules!$F$5:$F$9,$AS392))))</f>
        <v/>
      </c>
      <c r="AX392" t="str">
        <f>IF($AQ392="","",IF(INDEX(C_Pavement!$H$5:$H$204,$AQ392)&lt;&gt;"",IF(INDEX(C_Pavement!$H$5:$H$204,$AQ392)="-","",INDEX(C_Pavement!$H$5:$H$204,$AQ392)),IF($AS392="","",INDEX(E_Rules!$G$5:$G$9,$AS392))))</f>
        <v/>
      </c>
      <c r="AY392" t="str">
        <f>IF($AQ392="","",IF(INDEX(C_Pavement!$I$5:$I$204,$AQ392)&lt;&gt;"",IF(INDEX(C_Pavement!$I$5:$I$204,$AQ392)="-","",INDEX(C_Pavement!$I$5:$I$204,$AQ392)),IF($AS392="","",INDEX(E_Rules!$H$5:$H$9,$AS392))))</f>
        <v/>
      </c>
    </row>
    <row r="393" spans="1:51" ht="15.75" customHeight="1" x14ac:dyDescent="0.3">
      <c r="A393" s="189">
        <v>388</v>
      </c>
      <c r="B393" s="180">
        <v>19350</v>
      </c>
      <c r="C393" s="180" t="s">
        <v>699</v>
      </c>
      <c r="D393" s="181" t="str">
        <f>IFERROR(LOOKUP(2,1/((A_Corridor!$A$5:$A$204&lt;&gt;"")*(A_Corridor!$A$5:$A$204&lt;=$B393)*(A_Corridor!$B$5:$B$204&gt;$B393)*(A_Corridor!$C$5:$C$204&lt;&gt;"")),IF(UPPER(A_Corridor!$C$5:$C$204)="Y",1,"")),"")</f>
        <v/>
      </c>
      <c r="E393" s="181" t="str">
        <f>IFERROR(LOOKUP(2,1/((A_Corridor!$A$5:$A$204&lt;&gt;"")*(A_Corridor!$A$5:$A$204&lt;=$B393)*(A_Corridor!$B$5:$B$204&gt;$B393)*(A_Corridor!$D$5:$D$204&lt;&gt;"")),IF(A_Corridor!$D$5:$D$204="-","",UPPER(A_Corridor!$D$5:$D$204))),"")</f>
        <v/>
      </c>
      <c r="F393" s="181" t="str">
        <f>IFERROR(LOOKUP(2,1/((A_Corridor!$A$5:$A$204&lt;&gt;"")*(A_Corridor!$A$5:$A$204&lt;=$B393)*(A_Corridor!$B$5:$B$204&gt;$B393)*(A_Corridor!$E$5:$E$204&lt;&gt;"")),IF(A_Corridor!$E$5:$E$204="-","",1)),"")</f>
        <v/>
      </c>
      <c r="G393" s="182" t="str">
        <f>IFERROR(LOOKUP(2,1/((A_Corridor!$A$5:$A$204&lt;&gt;"")*(A_Corridor!$A$5:$A$204&lt;=$B393)*(A_Corridor!$B$5:$B$204&gt;$B393)*(A_Corridor!$E$5:$E$204&lt;&gt;"")),IF(A_Corridor!$E$5:$E$204="-","",A_Corridor!$E$5:$E$204)),"")</f>
        <v/>
      </c>
      <c r="H393" s="182" t="str">
        <f>IFERROR(LOOKUP(2,1/((D_Points!$A$5:$A$204&lt;&gt;"")*(D_Points!$A$5:$A$204&gt;=$B393)*(D_Points!$A$5:$A$204&lt;$B393+P_Interval)*(UPPER(TRIM(D_Points!$B$5:$B$204))="GULLY")*(D_Points!$H$5:$H$204&lt;&gt;"")),D_Points!$H$5:$H$204),"")</f>
        <v/>
      </c>
      <c r="I393" s="181" t="str">
        <f>IFERROR(LOOKUP(2,1/((A_Corridor!$A$5:$A$204&lt;&gt;"")*(A_Corridor!$A$5:$A$204&lt;=$B393)*(A_Corridor!$B$5:$B$204&gt;$B393)*(A_Corridor!$F$5:$F$204&lt;&gt;"")),IF(A_Corridor!$F$5:$F$204="-","",1)),"")</f>
        <v/>
      </c>
      <c r="J393" s="182" t="str">
        <f>IFERROR(LOOKUP(2,1/((A_Corridor!$A$5:$A$204&lt;&gt;"")*(A_Corridor!$A$5:$A$204&lt;=$B393)*(A_Corridor!$B$5:$B$204&gt;$B393)*(A_Corridor!$F$5:$F$204&lt;&gt;"")),IF(A_Corridor!$F$5:$F$204="-","",A_Corridor!$F$5:$F$204)),"")</f>
        <v/>
      </c>
      <c r="K393" s="182" t="str">
        <f>IFERROR(LOOKUP(2,1/((A_Corridor!$A$5:$A$204&lt;&gt;"")*(A_Corridor!$A$5:$A$204&lt;=$B393)*(A_Corridor!$B$5:$B$204&gt;$B393)*(A_Corridor!$G$5:$G$204&lt;&gt;"")),IF(A_Corridor!$G$5:$G$204="-","",A_Corridor!$G$5:$G$204)),"")</f>
        <v/>
      </c>
      <c r="L393" s="181" t="str">
        <f>IFERROR(LOOKUP(2,1/((A_Corridor!$A$5:$A$204&lt;&gt;"")*(A_Corridor!$A$5:$A$204&lt;=$B393)*(A_Corridor!$B$5:$B$204&gt;$B393)*(A_Corridor!$H$5:$H$204&lt;&gt;"")),IF(A_Corridor!$H$5:$H$204="-","",1)),"")</f>
        <v/>
      </c>
      <c r="M393" s="182" t="str">
        <f>IFERROR(LOOKUP(2,1/((A_Corridor!$A$5:$A$204&lt;&gt;"")*(A_Corridor!$A$5:$A$204&lt;=$B393)*(A_Corridor!$B$5:$B$204&gt;$B393)*(A_Corridor!$H$5:$H$204&lt;&gt;"")),IF(A_Corridor!$H$5:$H$204="-","",A_Corridor!$H$5:$H$204)),"")</f>
        <v/>
      </c>
      <c r="N393" s="182" t="str">
        <f>IFERROR(LOOKUP(2,1/((A_Corridor!$A$5:$A$204&lt;&gt;"")*(A_Corridor!$A$5:$A$204&lt;=$B393)*(A_Corridor!$B$5:$B$204&gt;$B393)*(A_Corridor!$I$5:$I$204&lt;&gt;"")),IF(A_Corridor!$I$5:$I$204="-","",A_Corridor!$I$5:$I$204)),"")</f>
        <v/>
      </c>
      <c r="O393" s="182" t="str">
        <f>IFERROR(LOOKUP(2,1/((D_Points!$A$5:$A$204&lt;&gt;"")*(D_Points!$A$5:$A$204&gt;=$B393)*(D_Points!$A$5:$A$204&lt;$B393+P_Interval)*(UPPER(TRIM(D_Points!$B$5:$B$204))="PITCHING")*(D_Points!$H$5:$H$204&lt;&gt;"")),D_Points!$H$5:$H$204),"")</f>
        <v/>
      </c>
      <c r="P393" s="181" t="str">
        <f>IFERROR(LOOKUP(2,1/((B_Drainage!$A$5:$A$204&lt;&gt;"")*(B_Drainage!$A$5:$A$204&lt;=$B393)*(B_Drainage!$B$5:$B$204&gt;$B393)*(B_Drainage!$C$5:$C$204&lt;&gt;"")),IF(B_Drainage!$C$5:$C$204="-","",UPPER(B_Drainage!$C$5:$C$204))),"")</f>
        <v/>
      </c>
      <c r="Q393" s="181" t="str">
        <f>IFERROR(LOOKUP(2,1/((B_Drainage!$A$5:$A$204&lt;&gt;"")*(B_Drainage!$A$5:$A$204&lt;=$B393)*(B_Drainage!$B$5:$B$204&gt;$B393)*(B_Drainage!$D$5:$D$204&lt;&gt;"")),IF(B_Drainage!$D$5:$D$204="-","",UPPER(B_Drainage!$D$5:$D$204))),"")</f>
        <v/>
      </c>
      <c r="R393" s="182" t="str">
        <f>IFERROR(LOOKUP(2,1/((D_Points!$A$5:$A$204&lt;&gt;"")*(D_Points!$A$5:$A$204&gt;=$B393)*(D_Points!$A$5:$A$204&lt;$B393+P_Interval)*(RIGHT(UPPER(TRIM(D_Points!$B$5:$B$204)),8)="_CULVERT")),IF(LEFT(UPPER(TRIM(D_Points!$B$5:$B$204)),2)="EX",1,IF(LEFT(UPPER(TRIM(D_Points!$B$5:$B$204)),2)="PR",2,3))),"")</f>
        <v/>
      </c>
      <c r="S393" s="182" t="str">
        <f>IFERROR(LOOKUP(2,1/((D_Points!$A$5:$A$204&lt;&gt;"")*(D_Points!$A$5:$A$204&gt;=$B393)*(D_Points!$A$5:$A$204&lt;$B393+P_Interval)*(RIGHT(UPPER(TRIM(D_Points!$B$5:$B$204)),7)="_BRIDGE")),IF(LEFT(UPPER(TRIM(D_Points!$B$5:$B$204)),2)="EX",1,IF(LEFT(UPPER(TRIM(D_Points!$B$5:$B$204)),2)="PR",2,2))),"")</f>
        <v/>
      </c>
      <c r="T393" s="181" t="str">
        <f>IFERROR(LOOKUP(2,1/((B_Drainage!$A$5:$A$204&lt;&gt;"")*(B_Drainage!$A$5:$A$204&lt;=$B393)*(B_Drainage!$B$5:$B$204&gt;$B393)*(B_Drainage!$E$5:$E$204&lt;&gt;"")),IF(B_Drainage!$E$5:$E$204="-","",1)),"")</f>
        <v/>
      </c>
      <c r="U393" s="181" t="str">
        <f>IFERROR(LOOKUP(2,1/((B_Drainage!$A$5:$A$204&lt;&gt;"")*(B_Drainage!$A$5:$A$204&lt;=$B393)*(B_Drainage!$B$5:$B$204&gt;$B393)*(B_Drainage!$E$5:$E$204&lt;&gt;"")),IF(B_Drainage!$E$5:$E$204="-","",B_Drainage!$E$5:$E$204)),"")</f>
        <v/>
      </c>
      <c r="V393" s="181" t="str">
        <f>IFERROR(LOOKUP(2,1/((B_Drainage!$A$5:$A$204&lt;&gt;"")*(B_Drainage!$A$5:$A$204&lt;=$B393)*(B_Drainage!$B$5:$B$204&gt;$B393)*(B_Drainage!$F$5:$F$204&lt;&gt;"")),IF(B_Drainage!$F$5:$F$204="-","",1)),"")</f>
        <v/>
      </c>
      <c r="W393" s="181" t="str">
        <f>IFERROR(LOOKUP(2,1/((B_Drainage!$A$5:$A$204&lt;&gt;"")*(B_Drainage!$A$5:$A$204&lt;=$B393)*(B_Drainage!$B$5:$B$204&gt;$B393)*(B_Drainage!$F$5:$F$204&lt;&gt;"")),IF(B_Drainage!$F$5:$F$204="-","",B_Drainage!$F$5:$F$204)),"")</f>
        <v/>
      </c>
      <c r="X393" s="181" t="str">
        <f>IFERROR(LOOKUP(2,1/((B_Drainage!$A$5:$A$204&lt;&gt;"")*(B_Drainage!$A$5:$A$204&lt;=$B393)*(B_Drainage!$B$5:$B$204&gt;$B393)*(B_Drainage!$G$5:$G$204&lt;&gt;"")),IF(UPPER(B_Drainage!$G$5:$G$204)="Y",1,"")),"")</f>
        <v/>
      </c>
      <c r="Y393" s="181" t="str">
        <f>IFERROR(LOOKUP(2,1/((B_Drainage!$A$5:$A$204&lt;&gt;"")*(B_Drainage!$A$5:$A$204&lt;=$B393)*(B_Drainage!$B$5:$B$204&gt;$B393)*(B_Drainage!$H$5:$H$204&lt;&gt;"")),IF(UPPER(B_Drainage!$H$5:$H$204)="Y",1,"")),"")</f>
        <v/>
      </c>
      <c r="Z393" s="181" t="str">
        <f>IFERROR(LOOKUP(2,1/((B_Drainage!$A$5:$A$204&lt;&gt;"")*(B_Drainage!$A$5:$A$204&lt;=$B393)*(B_Drainage!$B$5:$B$204&gt;$B393)*(B_Drainage!$I$5:$I$204&lt;&gt;"")),IF(UPPER(B_Drainage!$I$5:$I$204)="Y",1,"")),"")</f>
        <v/>
      </c>
      <c r="AA393" s="181" t="str">
        <f>IFERROR(LOOKUP(2,1/((B_Drainage!$A$5:$A$204&lt;&gt;"")*(B_Drainage!$A$5:$A$204&lt;=$B393)*(B_Drainage!$B$5:$B$204&gt;$B393)*(B_Drainage!$J$5:$J$204&lt;&gt;"")),IF(UPPER(B_Drainage!$J$5:$J$204)="Y",1,"")),"")</f>
        <v/>
      </c>
      <c r="AB393" s="182" t="str">
        <f>IFERROR(LOOKUP(2,1/((B_Drainage!$A$5:$A$204&lt;&gt;"")*(B_Drainage!$A$5:$A$204&lt;=$B393)*(B_Drainage!$B$5:$B$204&gt;$B393)*(B_Drainage!$K$5:$K$204&lt;&gt;"")),IF(B_Drainage!$K$5:$K$204="-","",B_Drainage!$K$5:$K$204)),"")</f>
        <v/>
      </c>
      <c r="AC393" s="182" t="str">
        <f>IFERROR(LOOKUP(2,1/((B_Drainage!$A$5:$A$204&lt;&gt;"")*(B_Drainage!$A$5:$A$204&lt;=$B393)*(B_Drainage!$B$5:$B$204&gt;$B393)*(B_Drainage!$L$5:$L$204&lt;&gt;"")),IF(B_Drainage!$L$5:$L$204="-","",B_Drainage!$L$5:$L$204)),"")</f>
        <v/>
      </c>
      <c r="AD393" s="182" t="str">
        <f>IFERROR(LOOKUP(2,1/((D_Points!$A$5:$A$204&lt;&gt;"")*(D_Points!$A$5:$A$204&gt;=$B393)*(D_Points!$A$5:$A$204&lt;$B393+P_Interval)*(UPPER(TRIM(D_Points!$B$5:$B$204))="TURNOUT_L")*(D_Points!$H$5:$H$204&lt;&gt;"")),D_Points!$H$5:$H$204),"")</f>
        <v/>
      </c>
      <c r="AE393" s="182" t="str">
        <f>IFERROR(LOOKUP(2,1/((D_Points!$A$5:$A$204&lt;&gt;"")*(D_Points!$A$5:$A$204&gt;=$B393)*(D_Points!$A$5:$A$204&lt;$B393+P_Interval)*(UPPER(TRIM(D_Points!$B$5:$B$204))="TURNOUT_R")*(D_Points!$H$5:$H$204&lt;&gt;"")),D_Points!$H$5:$H$204),"")</f>
        <v/>
      </c>
      <c r="AF393" s="181" t="str">
        <f>IFERROR(LOOKUP(2,1/((B_Drainage!$A$5:$A$204&lt;&gt;"")*(B_Drainage!$A$5:$A$204&lt;=$B393)*(B_Drainage!$B$5:$B$204&gt;$B393)*(B_Drainage!$M$5:$M$204&lt;&gt;"")),IF(UPPER(B_Drainage!$M$5:$M$204)="Y",1,"")),"")</f>
        <v/>
      </c>
      <c r="AG393" s="181" t="str">
        <f>IFERROR(LOOKUP(2,1/((B_Drainage!$A$5:$A$204&lt;&gt;"")*(B_Drainage!$A$5:$A$204&lt;=$B393)*(B_Drainage!$B$5:$B$204&gt;$B393)*(B_Drainage!$N$5:$N$204&lt;&gt;"")),IF(UPPER(B_Drainage!$N$5:$N$204)="Y",1,"")),"")</f>
        <v/>
      </c>
      <c r="AH393" s="181" t="str">
        <f t="shared" si="48"/>
        <v/>
      </c>
      <c r="AI393" s="181" t="str">
        <f t="shared" si="49"/>
        <v/>
      </c>
      <c r="AJ393" s="181" t="str">
        <f t="shared" si="50"/>
        <v/>
      </c>
      <c r="AK393" s="181" t="str">
        <f t="shared" si="51"/>
        <v/>
      </c>
      <c r="AL393" s="181" t="str">
        <f t="shared" si="52"/>
        <v/>
      </c>
      <c r="AM393" s="181" t="str">
        <f t="shared" si="53"/>
        <v/>
      </c>
      <c r="AN393" s="181" t="str">
        <f t="shared" si="54"/>
        <v/>
      </c>
      <c r="AO393" s="192" t="str">
        <f t="shared" si="55"/>
        <v/>
      </c>
      <c r="AQ393" t="str">
        <f>IFERROR(LOOKUP(2,1/((C_Pavement!$A$5:$A$204&lt;&gt;"")*(C_Pavement!$A$5:$A$204&lt;=$B393)*(C_Pavement!$B$5:$B$204&gt;$B393)*(C_Pavement!$C$5:$C$204&lt;&gt;"")),ROW(C_Pavement!$C$5:$C$204)-4),"")</f>
        <v/>
      </c>
      <c r="AR393" t="str">
        <f>IF($AQ393="","",UPPER(TRIM(INDEX(C_Pavement!$C$5:$C$204,$AQ393))))</f>
        <v/>
      </c>
      <c r="AS393" t="str">
        <f>IF($AR393="","",IFERROR(MATCH($AR393,E_Rules!$A$5:$A$9,0),""))</f>
        <v/>
      </c>
      <c r="AT393" t="str">
        <f>IF($AQ393="","",IF(INDEX(C_Pavement!$D$5:$D$204,$AQ393)&lt;&gt;"",UPPER(TRIM(INDEX(C_Pavement!$D$5:$D$204,$AQ393))),IF($AS393="","",INDEX(E_Rules!$C$5:$C$9,$AS393))))</f>
        <v/>
      </c>
      <c r="AU393" t="str">
        <f>IF($AQ393="","",IF(INDEX(C_Pavement!$E$5:$E$204,$AQ393)&lt;&gt;"",IF(INDEX(C_Pavement!$E$5:$E$204,$AQ393)="-","",INDEX(C_Pavement!$E$5:$E$204,$AQ393)),IF($AS393="","",INDEX(E_Rules!$D$5:$D$9,$AS393))))</f>
        <v/>
      </c>
      <c r="AV393" t="str">
        <f>IF($AQ393="","",IF(INDEX(C_Pavement!$F$5:$F$204,$AQ393)&lt;&gt;"",IF(INDEX(C_Pavement!$F$5:$F$204,$AQ393)="-","",INDEX(C_Pavement!$F$5:$F$204,$AQ393)),IF($AS393="","",INDEX(E_Rules!$E$5:$E$9,$AS393))))</f>
        <v/>
      </c>
      <c r="AW393" t="str">
        <f>IF($AQ393="","",IF(INDEX(C_Pavement!$G$5:$G$204,$AQ393)&lt;&gt;"",IF(INDEX(C_Pavement!$G$5:$G$204,$AQ393)="-","",INDEX(C_Pavement!$G$5:$G$204,$AQ393)),IF($AS393="","",INDEX(E_Rules!$F$5:$F$9,$AS393))))</f>
        <v/>
      </c>
      <c r="AX393" t="str">
        <f>IF($AQ393="","",IF(INDEX(C_Pavement!$H$5:$H$204,$AQ393)&lt;&gt;"",IF(INDEX(C_Pavement!$H$5:$H$204,$AQ393)="-","",INDEX(C_Pavement!$H$5:$H$204,$AQ393)),IF($AS393="","",INDEX(E_Rules!$G$5:$G$9,$AS393))))</f>
        <v/>
      </c>
      <c r="AY393" t="str">
        <f>IF($AQ393="","",IF(INDEX(C_Pavement!$I$5:$I$204,$AQ393)&lt;&gt;"",IF(INDEX(C_Pavement!$I$5:$I$204,$AQ393)="-","",INDEX(C_Pavement!$I$5:$I$204,$AQ393)),IF($AS393="","",INDEX(E_Rules!$H$5:$H$9,$AS393))))</f>
        <v/>
      </c>
    </row>
    <row r="394" spans="1:51" ht="15.75" customHeight="1" x14ac:dyDescent="0.3">
      <c r="A394" s="189">
        <v>389</v>
      </c>
      <c r="B394" s="180">
        <v>19400</v>
      </c>
      <c r="C394" s="180" t="s">
        <v>700</v>
      </c>
      <c r="D394" s="181" t="str">
        <f>IFERROR(LOOKUP(2,1/((A_Corridor!$A$5:$A$204&lt;&gt;"")*(A_Corridor!$A$5:$A$204&lt;=$B394)*(A_Corridor!$B$5:$B$204&gt;$B394)*(A_Corridor!$C$5:$C$204&lt;&gt;"")),IF(UPPER(A_Corridor!$C$5:$C$204)="Y",1,"")),"")</f>
        <v/>
      </c>
      <c r="E394" s="181" t="str">
        <f>IFERROR(LOOKUP(2,1/((A_Corridor!$A$5:$A$204&lt;&gt;"")*(A_Corridor!$A$5:$A$204&lt;=$B394)*(A_Corridor!$B$5:$B$204&gt;$B394)*(A_Corridor!$D$5:$D$204&lt;&gt;"")),IF(A_Corridor!$D$5:$D$204="-","",UPPER(A_Corridor!$D$5:$D$204))),"")</f>
        <v/>
      </c>
      <c r="F394" s="181" t="str">
        <f>IFERROR(LOOKUP(2,1/((A_Corridor!$A$5:$A$204&lt;&gt;"")*(A_Corridor!$A$5:$A$204&lt;=$B394)*(A_Corridor!$B$5:$B$204&gt;$B394)*(A_Corridor!$E$5:$E$204&lt;&gt;"")),IF(A_Corridor!$E$5:$E$204="-","",1)),"")</f>
        <v/>
      </c>
      <c r="G394" s="182" t="str">
        <f>IFERROR(LOOKUP(2,1/((A_Corridor!$A$5:$A$204&lt;&gt;"")*(A_Corridor!$A$5:$A$204&lt;=$B394)*(A_Corridor!$B$5:$B$204&gt;$B394)*(A_Corridor!$E$5:$E$204&lt;&gt;"")),IF(A_Corridor!$E$5:$E$204="-","",A_Corridor!$E$5:$E$204)),"")</f>
        <v/>
      </c>
      <c r="H394" s="182" t="str">
        <f>IFERROR(LOOKUP(2,1/((D_Points!$A$5:$A$204&lt;&gt;"")*(D_Points!$A$5:$A$204&gt;=$B394)*(D_Points!$A$5:$A$204&lt;$B394+P_Interval)*(UPPER(TRIM(D_Points!$B$5:$B$204))="GULLY")*(D_Points!$H$5:$H$204&lt;&gt;"")),D_Points!$H$5:$H$204),"")</f>
        <v/>
      </c>
      <c r="I394" s="181" t="str">
        <f>IFERROR(LOOKUP(2,1/((A_Corridor!$A$5:$A$204&lt;&gt;"")*(A_Corridor!$A$5:$A$204&lt;=$B394)*(A_Corridor!$B$5:$B$204&gt;$B394)*(A_Corridor!$F$5:$F$204&lt;&gt;"")),IF(A_Corridor!$F$5:$F$204="-","",1)),"")</f>
        <v/>
      </c>
      <c r="J394" s="182" t="str">
        <f>IFERROR(LOOKUP(2,1/((A_Corridor!$A$5:$A$204&lt;&gt;"")*(A_Corridor!$A$5:$A$204&lt;=$B394)*(A_Corridor!$B$5:$B$204&gt;$B394)*(A_Corridor!$F$5:$F$204&lt;&gt;"")),IF(A_Corridor!$F$5:$F$204="-","",A_Corridor!$F$5:$F$204)),"")</f>
        <v/>
      </c>
      <c r="K394" s="182" t="str">
        <f>IFERROR(LOOKUP(2,1/((A_Corridor!$A$5:$A$204&lt;&gt;"")*(A_Corridor!$A$5:$A$204&lt;=$B394)*(A_Corridor!$B$5:$B$204&gt;$B394)*(A_Corridor!$G$5:$G$204&lt;&gt;"")),IF(A_Corridor!$G$5:$G$204="-","",A_Corridor!$G$5:$G$204)),"")</f>
        <v/>
      </c>
      <c r="L394" s="181" t="str">
        <f>IFERROR(LOOKUP(2,1/((A_Corridor!$A$5:$A$204&lt;&gt;"")*(A_Corridor!$A$5:$A$204&lt;=$B394)*(A_Corridor!$B$5:$B$204&gt;$B394)*(A_Corridor!$H$5:$H$204&lt;&gt;"")),IF(A_Corridor!$H$5:$H$204="-","",1)),"")</f>
        <v/>
      </c>
      <c r="M394" s="182" t="str">
        <f>IFERROR(LOOKUP(2,1/((A_Corridor!$A$5:$A$204&lt;&gt;"")*(A_Corridor!$A$5:$A$204&lt;=$B394)*(A_Corridor!$B$5:$B$204&gt;$B394)*(A_Corridor!$H$5:$H$204&lt;&gt;"")),IF(A_Corridor!$H$5:$H$204="-","",A_Corridor!$H$5:$H$204)),"")</f>
        <v/>
      </c>
      <c r="N394" s="182" t="str">
        <f>IFERROR(LOOKUP(2,1/((A_Corridor!$A$5:$A$204&lt;&gt;"")*(A_Corridor!$A$5:$A$204&lt;=$B394)*(A_Corridor!$B$5:$B$204&gt;$B394)*(A_Corridor!$I$5:$I$204&lt;&gt;"")),IF(A_Corridor!$I$5:$I$204="-","",A_Corridor!$I$5:$I$204)),"")</f>
        <v/>
      </c>
      <c r="O394" s="182" t="str">
        <f>IFERROR(LOOKUP(2,1/((D_Points!$A$5:$A$204&lt;&gt;"")*(D_Points!$A$5:$A$204&gt;=$B394)*(D_Points!$A$5:$A$204&lt;$B394+P_Interval)*(UPPER(TRIM(D_Points!$B$5:$B$204))="PITCHING")*(D_Points!$H$5:$H$204&lt;&gt;"")),D_Points!$H$5:$H$204),"")</f>
        <v/>
      </c>
      <c r="P394" s="181" t="str">
        <f>IFERROR(LOOKUP(2,1/((B_Drainage!$A$5:$A$204&lt;&gt;"")*(B_Drainage!$A$5:$A$204&lt;=$B394)*(B_Drainage!$B$5:$B$204&gt;$B394)*(B_Drainage!$C$5:$C$204&lt;&gt;"")),IF(B_Drainage!$C$5:$C$204="-","",UPPER(B_Drainage!$C$5:$C$204))),"")</f>
        <v/>
      </c>
      <c r="Q394" s="181" t="str">
        <f>IFERROR(LOOKUP(2,1/((B_Drainage!$A$5:$A$204&lt;&gt;"")*(B_Drainage!$A$5:$A$204&lt;=$B394)*(B_Drainage!$B$5:$B$204&gt;$B394)*(B_Drainage!$D$5:$D$204&lt;&gt;"")),IF(B_Drainage!$D$5:$D$204="-","",UPPER(B_Drainage!$D$5:$D$204))),"")</f>
        <v/>
      </c>
      <c r="R394" s="182" t="str">
        <f>IFERROR(LOOKUP(2,1/((D_Points!$A$5:$A$204&lt;&gt;"")*(D_Points!$A$5:$A$204&gt;=$B394)*(D_Points!$A$5:$A$204&lt;$B394+P_Interval)*(RIGHT(UPPER(TRIM(D_Points!$B$5:$B$204)),8)="_CULVERT")),IF(LEFT(UPPER(TRIM(D_Points!$B$5:$B$204)),2)="EX",1,IF(LEFT(UPPER(TRIM(D_Points!$B$5:$B$204)),2)="PR",2,3))),"")</f>
        <v/>
      </c>
      <c r="S394" s="182" t="str">
        <f>IFERROR(LOOKUP(2,1/((D_Points!$A$5:$A$204&lt;&gt;"")*(D_Points!$A$5:$A$204&gt;=$B394)*(D_Points!$A$5:$A$204&lt;$B394+P_Interval)*(RIGHT(UPPER(TRIM(D_Points!$B$5:$B$204)),7)="_BRIDGE")),IF(LEFT(UPPER(TRIM(D_Points!$B$5:$B$204)),2)="EX",1,IF(LEFT(UPPER(TRIM(D_Points!$B$5:$B$204)),2)="PR",2,2))),"")</f>
        <v/>
      </c>
      <c r="T394" s="181" t="str">
        <f>IFERROR(LOOKUP(2,1/((B_Drainage!$A$5:$A$204&lt;&gt;"")*(B_Drainage!$A$5:$A$204&lt;=$B394)*(B_Drainage!$B$5:$B$204&gt;$B394)*(B_Drainage!$E$5:$E$204&lt;&gt;"")),IF(B_Drainage!$E$5:$E$204="-","",1)),"")</f>
        <v/>
      </c>
      <c r="U394" s="181" t="str">
        <f>IFERROR(LOOKUP(2,1/((B_Drainage!$A$5:$A$204&lt;&gt;"")*(B_Drainage!$A$5:$A$204&lt;=$B394)*(B_Drainage!$B$5:$B$204&gt;$B394)*(B_Drainage!$E$5:$E$204&lt;&gt;"")),IF(B_Drainage!$E$5:$E$204="-","",B_Drainage!$E$5:$E$204)),"")</f>
        <v/>
      </c>
      <c r="V394" s="181" t="str">
        <f>IFERROR(LOOKUP(2,1/((B_Drainage!$A$5:$A$204&lt;&gt;"")*(B_Drainage!$A$5:$A$204&lt;=$B394)*(B_Drainage!$B$5:$B$204&gt;$B394)*(B_Drainage!$F$5:$F$204&lt;&gt;"")),IF(B_Drainage!$F$5:$F$204="-","",1)),"")</f>
        <v/>
      </c>
      <c r="W394" s="181" t="str">
        <f>IFERROR(LOOKUP(2,1/((B_Drainage!$A$5:$A$204&lt;&gt;"")*(B_Drainage!$A$5:$A$204&lt;=$B394)*(B_Drainage!$B$5:$B$204&gt;$B394)*(B_Drainage!$F$5:$F$204&lt;&gt;"")),IF(B_Drainage!$F$5:$F$204="-","",B_Drainage!$F$5:$F$204)),"")</f>
        <v/>
      </c>
      <c r="X394" s="181" t="str">
        <f>IFERROR(LOOKUP(2,1/((B_Drainage!$A$5:$A$204&lt;&gt;"")*(B_Drainage!$A$5:$A$204&lt;=$B394)*(B_Drainage!$B$5:$B$204&gt;$B394)*(B_Drainage!$G$5:$G$204&lt;&gt;"")),IF(UPPER(B_Drainage!$G$5:$G$204)="Y",1,"")),"")</f>
        <v/>
      </c>
      <c r="Y394" s="181" t="str">
        <f>IFERROR(LOOKUP(2,1/((B_Drainage!$A$5:$A$204&lt;&gt;"")*(B_Drainage!$A$5:$A$204&lt;=$B394)*(B_Drainage!$B$5:$B$204&gt;$B394)*(B_Drainage!$H$5:$H$204&lt;&gt;"")),IF(UPPER(B_Drainage!$H$5:$H$204)="Y",1,"")),"")</f>
        <v/>
      </c>
      <c r="Z394" s="181" t="str">
        <f>IFERROR(LOOKUP(2,1/((B_Drainage!$A$5:$A$204&lt;&gt;"")*(B_Drainage!$A$5:$A$204&lt;=$B394)*(B_Drainage!$B$5:$B$204&gt;$B394)*(B_Drainage!$I$5:$I$204&lt;&gt;"")),IF(UPPER(B_Drainage!$I$5:$I$204)="Y",1,"")),"")</f>
        <v/>
      </c>
      <c r="AA394" s="181" t="str">
        <f>IFERROR(LOOKUP(2,1/((B_Drainage!$A$5:$A$204&lt;&gt;"")*(B_Drainage!$A$5:$A$204&lt;=$B394)*(B_Drainage!$B$5:$B$204&gt;$B394)*(B_Drainage!$J$5:$J$204&lt;&gt;"")),IF(UPPER(B_Drainage!$J$5:$J$204)="Y",1,"")),"")</f>
        <v/>
      </c>
      <c r="AB394" s="182" t="str">
        <f>IFERROR(LOOKUP(2,1/((B_Drainage!$A$5:$A$204&lt;&gt;"")*(B_Drainage!$A$5:$A$204&lt;=$B394)*(B_Drainage!$B$5:$B$204&gt;$B394)*(B_Drainage!$K$5:$K$204&lt;&gt;"")),IF(B_Drainage!$K$5:$K$204="-","",B_Drainage!$K$5:$K$204)),"")</f>
        <v/>
      </c>
      <c r="AC394" s="182" t="str">
        <f>IFERROR(LOOKUP(2,1/((B_Drainage!$A$5:$A$204&lt;&gt;"")*(B_Drainage!$A$5:$A$204&lt;=$B394)*(B_Drainage!$B$5:$B$204&gt;$B394)*(B_Drainage!$L$5:$L$204&lt;&gt;"")),IF(B_Drainage!$L$5:$L$204="-","",B_Drainage!$L$5:$L$204)),"")</f>
        <v/>
      </c>
      <c r="AD394" s="182" t="str">
        <f>IFERROR(LOOKUP(2,1/((D_Points!$A$5:$A$204&lt;&gt;"")*(D_Points!$A$5:$A$204&gt;=$B394)*(D_Points!$A$5:$A$204&lt;$B394+P_Interval)*(UPPER(TRIM(D_Points!$B$5:$B$204))="TURNOUT_L")*(D_Points!$H$5:$H$204&lt;&gt;"")),D_Points!$H$5:$H$204),"")</f>
        <v/>
      </c>
      <c r="AE394" s="182" t="str">
        <f>IFERROR(LOOKUP(2,1/((D_Points!$A$5:$A$204&lt;&gt;"")*(D_Points!$A$5:$A$204&gt;=$B394)*(D_Points!$A$5:$A$204&lt;$B394+P_Interval)*(UPPER(TRIM(D_Points!$B$5:$B$204))="TURNOUT_R")*(D_Points!$H$5:$H$204&lt;&gt;"")),D_Points!$H$5:$H$204),"")</f>
        <v/>
      </c>
      <c r="AF394" s="181" t="str">
        <f>IFERROR(LOOKUP(2,1/((B_Drainage!$A$5:$A$204&lt;&gt;"")*(B_Drainage!$A$5:$A$204&lt;=$B394)*(B_Drainage!$B$5:$B$204&gt;$B394)*(B_Drainage!$M$5:$M$204&lt;&gt;"")),IF(UPPER(B_Drainage!$M$5:$M$204)="Y",1,"")),"")</f>
        <v/>
      </c>
      <c r="AG394" s="181" t="str">
        <f>IFERROR(LOOKUP(2,1/((B_Drainage!$A$5:$A$204&lt;&gt;"")*(B_Drainage!$A$5:$A$204&lt;=$B394)*(B_Drainage!$B$5:$B$204&gt;$B394)*(B_Drainage!$N$5:$N$204&lt;&gt;"")),IF(UPPER(B_Drainage!$N$5:$N$204)="Y",1,"")),"")</f>
        <v/>
      </c>
      <c r="AH394" s="181" t="str">
        <f t="shared" si="48"/>
        <v/>
      </c>
      <c r="AI394" s="181" t="str">
        <f t="shared" si="49"/>
        <v/>
      </c>
      <c r="AJ394" s="181" t="str">
        <f t="shared" si="50"/>
        <v/>
      </c>
      <c r="AK394" s="181" t="str">
        <f t="shared" si="51"/>
        <v/>
      </c>
      <c r="AL394" s="181" t="str">
        <f t="shared" si="52"/>
        <v/>
      </c>
      <c r="AM394" s="181" t="str">
        <f t="shared" si="53"/>
        <v/>
      </c>
      <c r="AN394" s="181" t="str">
        <f t="shared" si="54"/>
        <v/>
      </c>
      <c r="AO394" s="192" t="str">
        <f t="shared" si="55"/>
        <v/>
      </c>
      <c r="AQ394" t="str">
        <f>IFERROR(LOOKUP(2,1/((C_Pavement!$A$5:$A$204&lt;&gt;"")*(C_Pavement!$A$5:$A$204&lt;=$B394)*(C_Pavement!$B$5:$B$204&gt;$B394)*(C_Pavement!$C$5:$C$204&lt;&gt;"")),ROW(C_Pavement!$C$5:$C$204)-4),"")</f>
        <v/>
      </c>
      <c r="AR394" t="str">
        <f>IF($AQ394="","",UPPER(TRIM(INDEX(C_Pavement!$C$5:$C$204,$AQ394))))</f>
        <v/>
      </c>
      <c r="AS394" t="str">
        <f>IF($AR394="","",IFERROR(MATCH($AR394,E_Rules!$A$5:$A$9,0),""))</f>
        <v/>
      </c>
      <c r="AT394" t="str">
        <f>IF($AQ394="","",IF(INDEX(C_Pavement!$D$5:$D$204,$AQ394)&lt;&gt;"",UPPER(TRIM(INDEX(C_Pavement!$D$5:$D$204,$AQ394))),IF($AS394="","",INDEX(E_Rules!$C$5:$C$9,$AS394))))</f>
        <v/>
      </c>
      <c r="AU394" t="str">
        <f>IF($AQ394="","",IF(INDEX(C_Pavement!$E$5:$E$204,$AQ394)&lt;&gt;"",IF(INDEX(C_Pavement!$E$5:$E$204,$AQ394)="-","",INDEX(C_Pavement!$E$5:$E$204,$AQ394)),IF($AS394="","",INDEX(E_Rules!$D$5:$D$9,$AS394))))</f>
        <v/>
      </c>
      <c r="AV394" t="str">
        <f>IF($AQ394="","",IF(INDEX(C_Pavement!$F$5:$F$204,$AQ394)&lt;&gt;"",IF(INDEX(C_Pavement!$F$5:$F$204,$AQ394)="-","",INDEX(C_Pavement!$F$5:$F$204,$AQ394)),IF($AS394="","",INDEX(E_Rules!$E$5:$E$9,$AS394))))</f>
        <v/>
      </c>
      <c r="AW394" t="str">
        <f>IF($AQ394="","",IF(INDEX(C_Pavement!$G$5:$G$204,$AQ394)&lt;&gt;"",IF(INDEX(C_Pavement!$G$5:$G$204,$AQ394)="-","",INDEX(C_Pavement!$G$5:$G$204,$AQ394)),IF($AS394="","",INDEX(E_Rules!$F$5:$F$9,$AS394))))</f>
        <v/>
      </c>
      <c r="AX394" t="str">
        <f>IF($AQ394="","",IF(INDEX(C_Pavement!$H$5:$H$204,$AQ394)&lt;&gt;"",IF(INDEX(C_Pavement!$H$5:$H$204,$AQ394)="-","",INDEX(C_Pavement!$H$5:$H$204,$AQ394)),IF($AS394="","",INDEX(E_Rules!$G$5:$G$9,$AS394))))</f>
        <v/>
      </c>
      <c r="AY394" t="str">
        <f>IF($AQ394="","",IF(INDEX(C_Pavement!$I$5:$I$204,$AQ394)&lt;&gt;"",IF(INDEX(C_Pavement!$I$5:$I$204,$AQ394)="-","",INDEX(C_Pavement!$I$5:$I$204,$AQ394)),IF($AS394="","",INDEX(E_Rules!$H$5:$H$9,$AS394))))</f>
        <v/>
      </c>
    </row>
    <row r="395" spans="1:51" ht="15.75" customHeight="1" x14ac:dyDescent="0.3">
      <c r="A395" s="189">
        <v>390</v>
      </c>
      <c r="B395" s="180">
        <v>19450</v>
      </c>
      <c r="C395" s="180" t="s">
        <v>701</v>
      </c>
      <c r="D395" s="181" t="str">
        <f>IFERROR(LOOKUP(2,1/((A_Corridor!$A$5:$A$204&lt;&gt;"")*(A_Corridor!$A$5:$A$204&lt;=$B395)*(A_Corridor!$B$5:$B$204&gt;$B395)*(A_Corridor!$C$5:$C$204&lt;&gt;"")),IF(UPPER(A_Corridor!$C$5:$C$204)="Y",1,"")),"")</f>
        <v/>
      </c>
      <c r="E395" s="181" t="str">
        <f>IFERROR(LOOKUP(2,1/((A_Corridor!$A$5:$A$204&lt;&gt;"")*(A_Corridor!$A$5:$A$204&lt;=$B395)*(A_Corridor!$B$5:$B$204&gt;$B395)*(A_Corridor!$D$5:$D$204&lt;&gt;"")),IF(A_Corridor!$D$5:$D$204="-","",UPPER(A_Corridor!$D$5:$D$204))),"")</f>
        <v/>
      </c>
      <c r="F395" s="181" t="str">
        <f>IFERROR(LOOKUP(2,1/((A_Corridor!$A$5:$A$204&lt;&gt;"")*(A_Corridor!$A$5:$A$204&lt;=$B395)*(A_Corridor!$B$5:$B$204&gt;$B395)*(A_Corridor!$E$5:$E$204&lt;&gt;"")),IF(A_Corridor!$E$5:$E$204="-","",1)),"")</f>
        <v/>
      </c>
      <c r="G395" s="182" t="str">
        <f>IFERROR(LOOKUP(2,1/((A_Corridor!$A$5:$A$204&lt;&gt;"")*(A_Corridor!$A$5:$A$204&lt;=$B395)*(A_Corridor!$B$5:$B$204&gt;$B395)*(A_Corridor!$E$5:$E$204&lt;&gt;"")),IF(A_Corridor!$E$5:$E$204="-","",A_Corridor!$E$5:$E$204)),"")</f>
        <v/>
      </c>
      <c r="H395" s="182" t="str">
        <f>IFERROR(LOOKUP(2,1/((D_Points!$A$5:$A$204&lt;&gt;"")*(D_Points!$A$5:$A$204&gt;=$B395)*(D_Points!$A$5:$A$204&lt;$B395+P_Interval)*(UPPER(TRIM(D_Points!$B$5:$B$204))="GULLY")*(D_Points!$H$5:$H$204&lt;&gt;"")),D_Points!$H$5:$H$204),"")</f>
        <v/>
      </c>
      <c r="I395" s="181" t="str">
        <f>IFERROR(LOOKUP(2,1/((A_Corridor!$A$5:$A$204&lt;&gt;"")*(A_Corridor!$A$5:$A$204&lt;=$B395)*(A_Corridor!$B$5:$B$204&gt;$B395)*(A_Corridor!$F$5:$F$204&lt;&gt;"")),IF(A_Corridor!$F$5:$F$204="-","",1)),"")</f>
        <v/>
      </c>
      <c r="J395" s="182" t="str">
        <f>IFERROR(LOOKUP(2,1/((A_Corridor!$A$5:$A$204&lt;&gt;"")*(A_Corridor!$A$5:$A$204&lt;=$B395)*(A_Corridor!$B$5:$B$204&gt;$B395)*(A_Corridor!$F$5:$F$204&lt;&gt;"")),IF(A_Corridor!$F$5:$F$204="-","",A_Corridor!$F$5:$F$204)),"")</f>
        <v/>
      </c>
      <c r="K395" s="182" t="str">
        <f>IFERROR(LOOKUP(2,1/((A_Corridor!$A$5:$A$204&lt;&gt;"")*(A_Corridor!$A$5:$A$204&lt;=$B395)*(A_Corridor!$B$5:$B$204&gt;$B395)*(A_Corridor!$G$5:$G$204&lt;&gt;"")),IF(A_Corridor!$G$5:$G$204="-","",A_Corridor!$G$5:$G$204)),"")</f>
        <v/>
      </c>
      <c r="L395" s="181" t="str">
        <f>IFERROR(LOOKUP(2,1/((A_Corridor!$A$5:$A$204&lt;&gt;"")*(A_Corridor!$A$5:$A$204&lt;=$B395)*(A_Corridor!$B$5:$B$204&gt;$B395)*(A_Corridor!$H$5:$H$204&lt;&gt;"")),IF(A_Corridor!$H$5:$H$204="-","",1)),"")</f>
        <v/>
      </c>
      <c r="M395" s="182" t="str">
        <f>IFERROR(LOOKUP(2,1/((A_Corridor!$A$5:$A$204&lt;&gt;"")*(A_Corridor!$A$5:$A$204&lt;=$B395)*(A_Corridor!$B$5:$B$204&gt;$B395)*(A_Corridor!$H$5:$H$204&lt;&gt;"")),IF(A_Corridor!$H$5:$H$204="-","",A_Corridor!$H$5:$H$204)),"")</f>
        <v/>
      </c>
      <c r="N395" s="182" t="str">
        <f>IFERROR(LOOKUP(2,1/((A_Corridor!$A$5:$A$204&lt;&gt;"")*(A_Corridor!$A$5:$A$204&lt;=$B395)*(A_Corridor!$B$5:$B$204&gt;$B395)*(A_Corridor!$I$5:$I$204&lt;&gt;"")),IF(A_Corridor!$I$5:$I$204="-","",A_Corridor!$I$5:$I$204)),"")</f>
        <v/>
      </c>
      <c r="O395" s="182" t="str">
        <f>IFERROR(LOOKUP(2,1/((D_Points!$A$5:$A$204&lt;&gt;"")*(D_Points!$A$5:$A$204&gt;=$B395)*(D_Points!$A$5:$A$204&lt;$B395+P_Interval)*(UPPER(TRIM(D_Points!$B$5:$B$204))="PITCHING")*(D_Points!$H$5:$H$204&lt;&gt;"")),D_Points!$H$5:$H$204),"")</f>
        <v/>
      </c>
      <c r="P395" s="181" t="str">
        <f>IFERROR(LOOKUP(2,1/((B_Drainage!$A$5:$A$204&lt;&gt;"")*(B_Drainage!$A$5:$A$204&lt;=$B395)*(B_Drainage!$B$5:$B$204&gt;$B395)*(B_Drainage!$C$5:$C$204&lt;&gt;"")),IF(B_Drainage!$C$5:$C$204="-","",UPPER(B_Drainage!$C$5:$C$204))),"")</f>
        <v/>
      </c>
      <c r="Q395" s="181" t="str">
        <f>IFERROR(LOOKUP(2,1/((B_Drainage!$A$5:$A$204&lt;&gt;"")*(B_Drainage!$A$5:$A$204&lt;=$B395)*(B_Drainage!$B$5:$B$204&gt;$B395)*(B_Drainage!$D$5:$D$204&lt;&gt;"")),IF(B_Drainage!$D$5:$D$204="-","",UPPER(B_Drainage!$D$5:$D$204))),"")</f>
        <v/>
      </c>
      <c r="R395" s="182" t="str">
        <f>IFERROR(LOOKUP(2,1/((D_Points!$A$5:$A$204&lt;&gt;"")*(D_Points!$A$5:$A$204&gt;=$B395)*(D_Points!$A$5:$A$204&lt;$B395+P_Interval)*(RIGHT(UPPER(TRIM(D_Points!$B$5:$B$204)),8)="_CULVERT")),IF(LEFT(UPPER(TRIM(D_Points!$B$5:$B$204)),2)="EX",1,IF(LEFT(UPPER(TRIM(D_Points!$B$5:$B$204)),2)="PR",2,3))),"")</f>
        <v/>
      </c>
      <c r="S395" s="182" t="str">
        <f>IFERROR(LOOKUP(2,1/((D_Points!$A$5:$A$204&lt;&gt;"")*(D_Points!$A$5:$A$204&gt;=$B395)*(D_Points!$A$5:$A$204&lt;$B395+P_Interval)*(RIGHT(UPPER(TRIM(D_Points!$B$5:$B$204)),7)="_BRIDGE")),IF(LEFT(UPPER(TRIM(D_Points!$B$5:$B$204)),2)="EX",1,IF(LEFT(UPPER(TRIM(D_Points!$B$5:$B$204)),2)="PR",2,2))),"")</f>
        <v/>
      </c>
      <c r="T395" s="181" t="str">
        <f>IFERROR(LOOKUP(2,1/((B_Drainage!$A$5:$A$204&lt;&gt;"")*(B_Drainage!$A$5:$A$204&lt;=$B395)*(B_Drainage!$B$5:$B$204&gt;$B395)*(B_Drainage!$E$5:$E$204&lt;&gt;"")),IF(B_Drainage!$E$5:$E$204="-","",1)),"")</f>
        <v/>
      </c>
      <c r="U395" s="181" t="str">
        <f>IFERROR(LOOKUP(2,1/((B_Drainage!$A$5:$A$204&lt;&gt;"")*(B_Drainage!$A$5:$A$204&lt;=$B395)*(B_Drainage!$B$5:$B$204&gt;$B395)*(B_Drainage!$E$5:$E$204&lt;&gt;"")),IF(B_Drainage!$E$5:$E$204="-","",B_Drainage!$E$5:$E$204)),"")</f>
        <v/>
      </c>
      <c r="V395" s="181" t="str">
        <f>IFERROR(LOOKUP(2,1/((B_Drainage!$A$5:$A$204&lt;&gt;"")*(B_Drainage!$A$5:$A$204&lt;=$B395)*(B_Drainage!$B$5:$B$204&gt;$B395)*(B_Drainage!$F$5:$F$204&lt;&gt;"")),IF(B_Drainage!$F$5:$F$204="-","",1)),"")</f>
        <v/>
      </c>
      <c r="W395" s="181" t="str">
        <f>IFERROR(LOOKUP(2,1/((B_Drainage!$A$5:$A$204&lt;&gt;"")*(B_Drainage!$A$5:$A$204&lt;=$B395)*(B_Drainage!$B$5:$B$204&gt;$B395)*(B_Drainage!$F$5:$F$204&lt;&gt;"")),IF(B_Drainage!$F$5:$F$204="-","",B_Drainage!$F$5:$F$204)),"")</f>
        <v/>
      </c>
      <c r="X395" s="181" t="str">
        <f>IFERROR(LOOKUP(2,1/((B_Drainage!$A$5:$A$204&lt;&gt;"")*(B_Drainage!$A$5:$A$204&lt;=$B395)*(B_Drainage!$B$5:$B$204&gt;$B395)*(B_Drainage!$G$5:$G$204&lt;&gt;"")),IF(UPPER(B_Drainage!$G$5:$G$204)="Y",1,"")),"")</f>
        <v/>
      </c>
      <c r="Y395" s="181" t="str">
        <f>IFERROR(LOOKUP(2,1/((B_Drainage!$A$5:$A$204&lt;&gt;"")*(B_Drainage!$A$5:$A$204&lt;=$B395)*(B_Drainage!$B$5:$B$204&gt;$B395)*(B_Drainage!$H$5:$H$204&lt;&gt;"")),IF(UPPER(B_Drainage!$H$5:$H$204)="Y",1,"")),"")</f>
        <v/>
      </c>
      <c r="Z395" s="181" t="str">
        <f>IFERROR(LOOKUP(2,1/((B_Drainage!$A$5:$A$204&lt;&gt;"")*(B_Drainage!$A$5:$A$204&lt;=$B395)*(B_Drainage!$B$5:$B$204&gt;$B395)*(B_Drainage!$I$5:$I$204&lt;&gt;"")),IF(UPPER(B_Drainage!$I$5:$I$204)="Y",1,"")),"")</f>
        <v/>
      </c>
      <c r="AA395" s="181" t="str">
        <f>IFERROR(LOOKUP(2,1/((B_Drainage!$A$5:$A$204&lt;&gt;"")*(B_Drainage!$A$5:$A$204&lt;=$B395)*(B_Drainage!$B$5:$B$204&gt;$B395)*(B_Drainage!$J$5:$J$204&lt;&gt;"")),IF(UPPER(B_Drainage!$J$5:$J$204)="Y",1,"")),"")</f>
        <v/>
      </c>
      <c r="AB395" s="182" t="str">
        <f>IFERROR(LOOKUP(2,1/((B_Drainage!$A$5:$A$204&lt;&gt;"")*(B_Drainage!$A$5:$A$204&lt;=$B395)*(B_Drainage!$B$5:$B$204&gt;$B395)*(B_Drainage!$K$5:$K$204&lt;&gt;"")),IF(B_Drainage!$K$5:$K$204="-","",B_Drainage!$K$5:$K$204)),"")</f>
        <v/>
      </c>
      <c r="AC395" s="182" t="str">
        <f>IFERROR(LOOKUP(2,1/((B_Drainage!$A$5:$A$204&lt;&gt;"")*(B_Drainage!$A$5:$A$204&lt;=$B395)*(B_Drainage!$B$5:$B$204&gt;$B395)*(B_Drainage!$L$5:$L$204&lt;&gt;"")),IF(B_Drainage!$L$5:$L$204="-","",B_Drainage!$L$5:$L$204)),"")</f>
        <v/>
      </c>
      <c r="AD395" s="182" t="str">
        <f>IFERROR(LOOKUP(2,1/((D_Points!$A$5:$A$204&lt;&gt;"")*(D_Points!$A$5:$A$204&gt;=$B395)*(D_Points!$A$5:$A$204&lt;$B395+P_Interval)*(UPPER(TRIM(D_Points!$B$5:$B$204))="TURNOUT_L")*(D_Points!$H$5:$H$204&lt;&gt;"")),D_Points!$H$5:$H$204),"")</f>
        <v/>
      </c>
      <c r="AE395" s="182" t="str">
        <f>IFERROR(LOOKUP(2,1/((D_Points!$A$5:$A$204&lt;&gt;"")*(D_Points!$A$5:$A$204&gt;=$B395)*(D_Points!$A$5:$A$204&lt;$B395+P_Interval)*(UPPER(TRIM(D_Points!$B$5:$B$204))="TURNOUT_R")*(D_Points!$H$5:$H$204&lt;&gt;"")),D_Points!$H$5:$H$204),"")</f>
        <v/>
      </c>
      <c r="AF395" s="181" t="str">
        <f>IFERROR(LOOKUP(2,1/((B_Drainage!$A$5:$A$204&lt;&gt;"")*(B_Drainage!$A$5:$A$204&lt;=$B395)*(B_Drainage!$B$5:$B$204&gt;$B395)*(B_Drainage!$M$5:$M$204&lt;&gt;"")),IF(UPPER(B_Drainage!$M$5:$M$204)="Y",1,"")),"")</f>
        <v/>
      </c>
      <c r="AG395" s="181" t="str">
        <f>IFERROR(LOOKUP(2,1/((B_Drainage!$A$5:$A$204&lt;&gt;"")*(B_Drainage!$A$5:$A$204&lt;=$B395)*(B_Drainage!$B$5:$B$204&gt;$B395)*(B_Drainage!$N$5:$N$204&lt;&gt;"")),IF(UPPER(B_Drainage!$N$5:$N$204)="Y",1,"")),"")</f>
        <v/>
      </c>
      <c r="AH395" s="181" t="str">
        <f t="shared" si="48"/>
        <v/>
      </c>
      <c r="AI395" s="181" t="str">
        <f t="shared" si="49"/>
        <v/>
      </c>
      <c r="AJ395" s="181" t="str">
        <f t="shared" si="50"/>
        <v/>
      </c>
      <c r="AK395" s="181" t="str">
        <f t="shared" si="51"/>
        <v/>
      </c>
      <c r="AL395" s="181" t="str">
        <f t="shared" si="52"/>
        <v/>
      </c>
      <c r="AM395" s="181" t="str">
        <f t="shared" si="53"/>
        <v/>
      </c>
      <c r="AN395" s="181" t="str">
        <f t="shared" si="54"/>
        <v/>
      </c>
      <c r="AO395" s="192" t="str">
        <f t="shared" si="55"/>
        <v/>
      </c>
      <c r="AQ395" t="str">
        <f>IFERROR(LOOKUP(2,1/((C_Pavement!$A$5:$A$204&lt;&gt;"")*(C_Pavement!$A$5:$A$204&lt;=$B395)*(C_Pavement!$B$5:$B$204&gt;$B395)*(C_Pavement!$C$5:$C$204&lt;&gt;"")),ROW(C_Pavement!$C$5:$C$204)-4),"")</f>
        <v/>
      </c>
      <c r="AR395" t="str">
        <f>IF($AQ395="","",UPPER(TRIM(INDEX(C_Pavement!$C$5:$C$204,$AQ395))))</f>
        <v/>
      </c>
      <c r="AS395" t="str">
        <f>IF($AR395="","",IFERROR(MATCH($AR395,E_Rules!$A$5:$A$9,0),""))</f>
        <v/>
      </c>
      <c r="AT395" t="str">
        <f>IF($AQ395="","",IF(INDEX(C_Pavement!$D$5:$D$204,$AQ395)&lt;&gt;"",UPPER(TRIM(INDEX(C_Pavement!$D$5:$D$204,$AQ395))),IF($AS395="","",INDEX(E_Rules!$C$5:$C$9,$AS395))))</f>
        <v/>
      </c>
      <c r="AU395" t="str">
        <f>IF($AQ395="","",IF(INDEX(C_Pavement!$E$5:$E$204,$AQ395)&lt;&gt;"",IF(INDEX(C_Pavement!$E$5:$E$204,$AQ395)="-","",INDEX(C_Pavement!$E$5:$E$204,$AQ395)),IF($AS395="","",INDEX(E_Rules!$D$5:$D$9,$AS395))))</f>
        <v/>
      </c>
      <c r="AV395" t="str">
        <f>IF($AQ395="","",IF(INDEX(C_Pavement!$F$5:$F$204,$AQ395)&lt;&gt;"",IF(INDEX(C_Pavement!$F$5:$F$204,$AQ395)="-","",INDEX(C_Pavement!$F$5:$F$204,$AQ395)),IF($AS395="","",INDEX(E_Rules!$E$5:$E$9,$AS395))))</f>
        <v/>
      </c>
      <c r="AW395" t="str">
        <f>IF($AQ395="","",IF(INDEX(C_Pavement!$G$5:$G$204,$AQ395)&lt;&gt;"",IF(INDEX(C_Pavement!$G$5:$G$204,$AQ395)="-","",INDEX(C_Pavement!$G$5:$G$204,$AQ395)),IF($AS395="","",INDEX(E_Rules!$F$5:$F$9,$AS395))))</f>
        <v/>
      </c>
      <c r="AX395" t="str">
        <f>IF($AQ395="","",IF(INDEX(C_Pavement!$H$5:$H$204,$AQ395)&lt;&gt;"",IF(INDEX(C_Pavement!$H$5:$H$204,$AQ395)="-","",INDEX(C_Pavement!$H$5:$H$204,$AQ395)),IF($AS395="","",INDEX(E_Rules!$G$5:$G$9,$AS395))))</f>
        <v/>
      </c>
      <c r="AY395" t="str">
        <f>IF($AQ395="","",IF(INDEX(C_Pavement!$I$5:$I$204,$AQ395)&lt;&gt;"",IF(INDEX(C_Pavement!$I$5:$I$204,$AQ395)="-","",INDEX(C_Pavement!$I$5:$I$204,$AQ395)),IF($AS395="","",INDEX(E_Rules!$H$5:$H$9,$AS395))))</f>
        <v/>
      </c>
    </row>
    <row r="396" spans="1:51" ht="15.75" customHeight="1" x14ac:dyDescent="0.3">
      <c r="A396" s="189">
        <v>391</v>
      </c>
      <c r="B396" s="180">
        <v>19500</v>
      </c>
      <c r="C396" s="180" t="s">
        <v>702</v>
      </c>
      <c r="D396" s="181" t="str">
        <f>IFERROR(LOOKUP(2,1/((A_Corridor!$A$5:$A$204&lt;&gt;"")*(A_Corridor!$A$5:$A$204&lt;=$B396)*(A_Corridor!$B$5:$B$204&gt;$B396)*(A_Corridor!$C$5:$C$204&lt;&gt;"")),IF(UPPER(A_Corridor!$C$5:$C$204)="Y",1,"")),"")</f>
        <v/>
      </c>
      <c r="E396" s="181" t="str">
        <f>IFERROR(LOOKUP(2,1/((A_Corridor!$A$5:$A$204&lt;&gt;"")*(A_Corridor!$A$5:$A$204&lt;=$B396)*(A_Corridor!$B$5:$B$204&gt;$B396)*(A_Corridor!$D$5:$D$204&lt;&gt;"")),IF(A_Corridor!$D$5:$D$204="-","",UPPER(A_Corridor!$D$5:$D$204))),"")</f>
        <v/>
      </c>
      <c r="F396" s="181" t="str">
        <f>IFERROR(LOOKUP(2,1/((A_Corridor!$A$5:$A$204&lt;&gt;"")*(A_Corridor!$A$5:$A$204&lt;=$B396)*(A_Corridor!$B$5:$B$204&gt;$B396)*(A_Corridor!$E$5:$E$204&lt;&gt;"")),IF(A_Corridor!$E$5:$E$204="-","",1)),"")</f>
        <v/>
      </c>
      <c r="G396" s="182" t="str">
        <f>IFERROR(LOOKUP(2,1/((A_Corridor!$A$5:$A$204&lt;&gt;"")*(A_Corridor!$A$5:$A$204&lt;=$B396)*(A_Corridor!$B$5:$B$204&gt;$B396)*(A_Corridor!$E$5:$E$204&lt;&gt;"")),IF(A_Corridor!$E$5:$E$204="-","",A_Corridor!$E$5:$E$204)),"")</f>
        <v/>
      </c>
      <c r="H396" s="182" t="str">
        <f>IFERROR(LOOKUP(2,1/((D_Points!$A$5:$A$204&lt;&gt;"")*(D_Points!$A$5:$A$204&gt;=$B396)*(D_Points!$A$5:$A$204&lt;$B396+P_Interval)*(UPPER(TRIM(D_Points!$B$5:$B$204))="GULLY")*(D_Points!$H$5:$H$204&lt;&gt;"")),D_Points!$H$5:$H$204),"")</f>
        <v/>
      </c>
      <c r="I396" s="181" t="str">
        <f>IFERROR(LOOKUP(2,1/((A_Corridor!$A$5:$A$204&lt;&gt;"")*(A_Corridor!$A$5:$A$204&lt;=$B396)*(A_Corridor!$B$5:$B$204&gt;$B396)*(A_Corridor!$F$5:$F$204&lt;&gt;"")),IF(A_Corridor!$F$5:$F$204="-","",1)),"")</f>
        <v/>
      </c>
      <c r="J396" s="182" t="str">
        <f>IFERROR(LOOKUP(2,1/((A_Corridor!$A$5:$A$204&lt;&gt;"")*(A_Corridor!$A$5:$A$204&lt;=$B396)*(A_Corridor!$B$5:$B$204&gt;$B396)*(A_Corridor!$F$5:$F$204&lt;&gt;"")),IF(A_Corridor!$F$5:$F$204="-","",A_Corridor!$F$5:$F$204)),"")</f>
        <v/>
      </c>
      <c r="K396" s="182" t="str">
        <f>IFERROR(LOOKUP(2,1/((A_Corridor!$A$5:$A$204&lt;&gt;"")*(A_Corridor!$A$5:$A$204&lt;=$B396)*(A_Corridor!$B$5:$B$204&gt;$B396)*(A_Corridor!$G$5:$G$204&lt;&gt;"")),IF(A_Corridor!$G$5:$G$204="-","",A_Corridor!$G$5:$G$204)),"")</f>
        <v/>
      </c>
      <c r="L396" s="181" t="str">
        <f>IFERROR(LOOKUP(2,1/((A_Corridor!$A$5:$A$204&lt;&gt;"")*(A_Corridor!$A$5:$A$204&lt;=$B396)*(A_Corridor!$B$5:$B$204&gt;$B396)*(A_Corridor!$H$5:$H$204&lt;&gt;"")),IF(A_Corridor!$H$5:$H$204="-","",1)),"")</f>
        <v/>
      </c>
      <c r="M396" s="182" t="str">
        <f>IFERROR(LOOKUP(2,1/((A_Corridor!$A$5:$A$204&lt;&gt;"")*(A_Corridor!$A$5:$A$204&lt;=$B396)*(A_Corridor!$B$5:$B$204&gt;$B396)*(A_Corridor!$H$5:$H$204&lt;&gt;"")),IF(A_Corridor!$H$5:$H$204="-","",A_Corridor!$H$5:$H$204)),"")</f>
        <v/>
      </c>
      <c r="N396" s="182" t="str">
        <f>IFERROR(LOOKUP(2,1/((A_Corridor!$A$5:$A$204&lt;&gt;"")*(A_Corridor!$A$5:$A$204&lt;=$B396)*(A_Corridor!$B$5:$B$204&gt;$B396)*(A_Corridor!$I$5:$I$204&lt;&gt;"")),IF(A_Corridor!$I$5:$I$204="-","",A_Corridor!$I$5:$I$204)),"")</f>
        <v/>
      </c>
      <c r="O396" s="182" t="str">
        <f>IFERROR(LOOKUP(2,1/((D_Points!$A$5:$A$204&lt;&gt;"")*(D_Points!$A$5:$A$204&gt;=$B396)*(D_Points!$A$5:$A$204&lt;$B396+P_Interval)*(UPPER(TRIM(D_Points!$B$5:$B$204))="PITCHING")*(D_Points!$H$5:$H$204&lt;&gt;"")),D_Points!$H$5:$H$204),"")</f>
        <v/>
      </c>
      <c r="P396" s="181" t="str">
        <f>IFERROR(LOOKUP(2,1/((B_Drainage!$A$5:$A$204&lt;&gt;"")*(B_Drainage!$A$5:$A$204&lt;=$B396)*(B_Drainage!$B$5:$B$204&gt;$B396)*(B_Drainage!$C$5:$C$204&lt;&gt;"")),IF(B_Drainage!$C$5:$C$204="-","",UPPER(B_Drainage!$C$5:$C$204))),"")</f>
        <v/>
      </c>
      <c r="Q396" s="181" t="str">
        <f>IFERROR(LOOKUP(2,1/((B_Drainage!$A$5:$A$204&lt;&gt;"")*(B_Drainage!$A$5:$A$204&lt;=$B396)*(B_Drainage!$B$5:$B$204&gt;$B396)*(B_Drainage!$D$5:$D$204&lt;&gt;"")),IF(B_Drainage!$D$5:$D$204="-","",UPPER(B_Drainage!$D$5:$D$204))),"")</f>
        <v/>
      </c>
      <c r="R396" s="182" t="str">
        <f>IFERROR(LOOKUP(2,1/((D_Points!$A$5:$A$204&lt;&gt;"")*(D_Points!$A$5:$A$204&gt;=$B396)*(D_Points!$A$5:$A$204&lt;$B396+P_Interval)*(RIGHT(UPPER(TRIM(D_Points!$B$5:$B$204)),8)="_CULVERT")),IF(LEFT(UPPER(TRIM(D_Points!$B$5:$B$204)),2)="EX",1,IF(LEFT(UPPER(TRIM(D_Points!$B$5:$B$204)),2)="PR",2,3))),"")</f>
        <v/>
      </c>
      <c r="S396" s="182" t="str">
        <f>IFERROR(LOOKUP(2,1/((D_Points!$A$5:$A$204&lt;&gt;"")*(D_Points!$A$5:$A$204&gt;=$B396)*(D_Points!$A$5:$A$204&lt;$B396+P_Interval)*(RIGHT(UPPER(TRIM(D_Points!$B$5:$B$204)),7)="_BRIDGE")),IF(LEFT(UPPER(TRIM(D_Points!$B$5:$B$204)),2)="EX",1,IF(LEFT(UPPER(TRIM(D_Points!$B$5:$B$204)),2)="PR",2,2))),"")</f>
        <v/>
      </c>
      <c r="T396" s="181" t="str">
        <f>IFERROR(LOOKUP(2,1/((B_Drainage!$A$5:$A$204&lt;&gt;"")*(B_Drainage!$A$5:$A$204&lt;=$B396)*(B_Drainage!$B$5:$B$204&gt;$B396)*(B_Drainage!$E$5:$E$204&lt;&gt;"")),IF(B_Drainage!$E$5:$E$204="-","",1)),"")</f>
        <v/>
      </c>
      <c r="U396" s="181" t="str">
        <f>IFERROR(LOOKUP(2,1/((B_Drainage!$A$5:$A$204&lt;&gt;"")*(B_Drainage!$A$5:$A$204&lt;=$B396)*(B_Drainage!$B$5:$B$204&gt;$B396)*(B_Drainage!$E$5:$E$204&lt;&gt;"")),IF(B_Drainage!$E$5:$E$204="-","",B_Drainage!$E$5:$E$204)),"")</f>
        <v/>
      </c>
      <c r="V396" s="181" t="str">
        <f>IFERROR(LOOKUP(2,1/((B_Drainage!$A$5:$A$204&lt;&gt;"")*(B_Drainage!$A$5:$A$204&lt;=$B396)*(B_Drainage!$B$5:$B$204&gt;$B396)*(B_Drainage!$F$5:$F$204&lt;&gt;"")),IF(B_Drainage!$F$5:$F$204="-","",1)),"")</f>
        <v/>
      </c>
      <c r="W396" s="181" t="str">
        <f>IFERROR(LOOKUP(2,1/((B_Drainage!$A$5:$A$204&lt;&gt;"")*(B_Drainage!$A$5:$A$204&lt;=$B396)*(B_Drainage!$B$5:$B$204&gt;$B396)*(B_Drainage!$F$5:$F$204&lt;&gt;"")),IF(B_Drainage!$F$5:$F$204="-","",B_Drainage!$F$5:$F$204)),"")</f>
        <v/>
      </c>
      <c r="X396" s="181" t="str">
        <f>IFERROR(LOOKUP(2,1/((B_Drainage!$A$5:$A$204&lt;&gt;"")*(B_Drainage!$A$5:$A$204&lt;=$B396)*(B_Drainage!$B$5:$B$204&gt;$B396)*(B_Drainage!$G$5:$G$204&lt;&gt;"")),IF(UPPER(B_Drainage!$G$5:$G$204)="Y",1,"")),"")</f>
        <v/>
      </c>
      <c r="Y396" s="181" t="str">
        <f>IFERROR(LOOKUP(2,1/((B_Drainage!$A$5:$A$204&lt;&gt;"")*(B_Drainage!$A$5:$A$204&lt;=$B396)*(B_Drainage!$B$5:$B$204&gt;$B396)*(B_Drainage!$H$5:$H$204&lt;&gt;"")),IF(UPPER(B_Drainage!$H$5:$H$204)="Y",1,"")),"")</f>
        <v/>
      </c>
      <c r="Z396" s="181" t="str">
        <f>IFERROR(LOOKUP(2,1/((B_Drainage!$A$5:$A$204&lt;&gt;"")*(B_Drainage!$A$5:$A$204&lt;=$B396)*(B_Drainage!$B$5:$B$204&gt;$B396)*(B_Drainage!$I$5:$I$204&lt;&gt;"")),IF(UPPER(B_Drainage!$I$5:$I$204)="Y",1,"")),"")</f>
        <v/>
      </c>
      <c r="AA396" s="181" t="str">
        <f>IFERROR(LOOKUP(2,1/((B_Drainage!$A$5:$A$204&lt;&gt;"")*(B_Drainage!$A$5:$A$204&lt;=$B396)*(B_Drainage!$B$5:$B$204&gt;$B396)*(B_Drainage!$J$5:$J$204&lt;&gt;"")),IF(UPPER(B_Drainage!$J$5:$J$204)="Y",1,"")),"")</f>
        <v/>
      </c>
      <c r="AB396" s="182" t="str">
        <f>IFERROR(LOOKUP(2,1/((B_Drainage!$A$5:$A$204&lt;&gt;"")*(B_Drainage!$A$5:$A$204&lt;=$B396)*(B_Drainage!$B$5:$B$204&gt;$B396)*(B_Drainage!$K$5:$K$204&lt;&gt;"")),IF(B_Drainage!$K$5:$K$204="-","",B_Drainage!$K$5:$K$204)),"")</f>
        <v/>
      </c>
      <c r="AC396" s="182" t="str">
        <f>IFERROR(LOOKUP(2,1/((B_Drainage!$A$5:$A$204&lt;&gt;"")*(B_Drainage!$A$5:$A$204&lt;=$B396)*(B_Drainage!$B$5:$B$204&gt;$B396)*(B_Drainage!$L$5:$L$204&lt;&gt;"")),IF(B_Drainage!$L$5:$L$204="-","",B_Drainage!$L$5:$L$204)),"")</f>
        <v/>
      </c>
      <c r="AD396" s="182" t="str">
        <f>IFERROR(LOOKUP(2,1/((D_Points!$A$5:$A$204&lt;&gt;"")*(D_Points!$A$5:$A$204&gt;=$B396)*(D_Points!$A$5:$A$204&lt;$B396+P_Interval)*(UPPER(TRIM(D_Points!$B$5:$B$204))="TURNOUT_L")*(D_Points!$H$5:$H$204&lt;&gt;"")),D_Points!$H$5:$H$204),"")</f>
        <v/>
      </c>
      <c r="AE396" s="182" t="str">
        <f>IFERROR(LOOKUP(2,1/((D_Points!$A$5:$A$204&lt;&gt;"")*(D_Points!$A$5:$A$204&gt;=$B396)*(D_Points!$A$5:$A$204&lt;$B396+P_Interval)*(UPPER(TRIM(D_Points!$B$5:$B$204))="TURNOUT_R")*(D_Points!$H$5:$H$204&lt;&gt;"")),D_Points!$H$5:$H$204),"")</f>
        <v/>
      </c>
      <c r="AF396" s="181" t="str">
        <f>IFERROR(LOOKUP(2,1/((B_Drainage!$A$5:$A$204&lt;&gt;"")*(B_Drainage!$A$5:$A$204&lt;=$B396)*(B_Drainage!$B$5:$B$204&gt;$B396)*(B_Drainage!$M$5:$M$204&lt;&gt;"")),IF(UPPER(B_Drainage!$M$5:$M$204)="Y",1,"")),"")</f>
        <v/>
      </c>
      <c r="AG396" s="181" t="str">
        <f>IFERROR(LOOKUP(2,1/((B_Drainage!$A$5:$A$204&lt;&gt;"")*(B_Drainage!$A$5:$A$204&lt;=$B396)*(B_Drainage!$B$5:$B$204&gt;$B396)*(B_Drainage!$N$5:$N$204&lt;&gt;"")),IF(UPPER(B_Drainage!$N$5:$N$204)="Y",1,"")),"")</f>
        <v/>
      </c>
      <c r="AH396" s="181" t="str">
        <f t="shared" si="48"/>
        <v/>
      </c>
      <c r="AI396" s="181" t="str">
        <f t="shared" si="49"/>
        <v/>
      </c>
      <c r="AJ396" s="181" t="str">
        <f t="shared" si="50"/>
        <v/>
      </c>
      <c r="AK396" s="181" t="str">
        <f t="shared" si="51"/>
        <v/>
      </c>
      <c r="AL396" s="181" t="str">
        <f t="shared" si="52"/>
        <v/>
      </c>
      <c r="AM396" s="181" t="str">
        <f t="shared" si="53"/>
        <v/>
      </c>
      <c r="AN396" s="181" t="str">
        <f t="shared" si="54"/>
        <v/>
      </c>
      <c r="AO396" s="192" t="str">
        <f t="shared" si="55"/>
        <v/>
      </c>
      <c r="AQ396" t="str">
        <f>IFERROR(LOOKUP(2,1/((C_Pavement!$A$5:$A$204&lt;&gt;"")*(C_Pavement!$A$5:$A$204&lt;=$B396)*(C_Pavement!$B$5:$B$204&gt;$B396)*(C_Pavement!$C$5:$C$204&lt;&gt;"")),ROW(C_Pavement!$C$5:$C$204)-4),"")</f>
        <v/>
      </c>
      <c r="AR396" t="str">
        <f>IF($AQ396="","",UPPER(TRIM(INDEX(C_Pavement!$C$5:$C$204,$AQ396))))</f>
        <v/>
      </c>
      <c r="AS396" t="str">
        <f>IF($AR396="","",IFERROR(MATCH($AR396,E_Rules!$A$5:$A$9,0),""))</f>
        <v/>
      </c>
      <c r="AT396" t="str">
        <f>IF($AQ396="","",IF(INDEX(C_Pavement!$D$5:$D$204,$AQ396)&lt;&gt;"",UPPER(TRIM(INDEX(C_Pavement!$D$5:$D$204,$AQ396))),IF($AS396="","",INDEX(E_Rules!$C$5:$C$9,$AS396))))</f>
        <v/>
      </c>
      <c r="AU396" t="str">
        <f>IF($AQ396="","",IF(INDEX(C_Pavement!$E$5:$E$204,$AQ396)&lt;&gt;"",IF(INDEX(C_Pavement!$E$5:$E$204,$AQ396)="-","",INDEX(C_Pavement!$E$5:$E$204,$AQ396)),IF($AS396="","",INDEX(E_Rules!$D$5:$D$9,$AS396))))</f>
        <v/>
      </c>
      <c r="AV396" t="str">
        <f>IF($AQ396="","",IF(INDEX(C_Pavement!$F$5:$F$204,$AQ396)&lt;&gt;"",IF(INDEX(C_Pavement!$F$5:$F$204,$AQ396)="-","",INDEX(C_Pavement!$F$5:$F$204,$AQ396)),IF($AS396="","",INDEX(E_Rules!$E$5:$E$9,$AS396))))</f>
        <v/>
      </c>
      <c r="AW396" t="str">
        <f>IF($AQ396="","",IF(INDEX(C_Pavement!$G$5:$G$204,$AQ396)&lt;&gt;"",IF(INDEX(C_Pavement!$G$5:$G$204,$AQ396)="-","",INDEX(C_Pavement!$G$5:$G$204,$AQ396)),IF($AS396="","",INDEX(E_Rules!$F$5:$F$9,$AS396))))</f>
        <v/>
      </c>
      <c r="AX396" t="str">
        <f>IF($AQ396="","",IF(INDEX(C_Pavement!$H$5:$H$204,$AQ396)&lt;&gt;"",IF(INDEX(C_Pavement!$H$5:$H$204,$AQ396)="-","",INDEX(C_Pavement!$H$5:$H$204,$AQ396)),IF($AS396="","",INDEX(E_Rules!$G$5:$G$9,$AS396))))</f>
        <v/>
      </c>
      <c r="AY396" t="str">
        <f>IF($AQ396="","",IF(INDEX(C_Pavement!$I$5:$I$204,$AQ396)&lt;&gt;"",IF(INDEX(C_Pavement!$I$5:$I$204,$AQ396)="-","",INDEX(C_Pavement!$I$5:$I$204,$AQ396)),IF($AS396="","",INDEX(E_Rules!$H$5:$H$9,$AS396))))</f>
        <v/>
      </c>
    </row>
    <row r="397" spans="1:51" ht="15.75" customHeight="1" x14ac:dyDescent="0.3">
      <c r="A397" s="189">
        <v>392</v>
      </c>
      <c r="B397" s="180">
        <v>19550</v>
      </c>
      <c r="C397" s="180" t="s">
        <v>703</v>
      </c>
      <c r="D397" s="181" t="str">
        <f>IFERROR(LOOKUP(2,1/((A_Corridor!$A$5:$A$204&lt;&gt;"")*(A_Corridor!$A$5:$A$204&lt;=$B397)*(A_Corridor!$B$5:$B$204&gt;$B397)*(A_Corridor!$C$5:$C$204&lt;&gt;"")),IF(UPPER(A_Corridor!$C$5:$C$204)="Y",1,"")),"")</f>
        <v/>
      </c>
      <c r="E397" s="181" t="str">
        <f>IFERROR(LOOKUP(2,1/((A_Corridor!$A$5:$A$204&lt;&gt;"")*(A_Corridor!$A$5:$A$204&lt;=$B397)*(A_Corridor!$B$5:$B$204&gt;$B397)*(A_Corridor!$D$5:$D$204&lt;&gt;"")),IF(A_Corridor!$D$5:$D$204="-","",UPPER(A_Corridor!$D$5:$D$204))),"")</f>
        <v/>
      </c>
      <c r="F397" s="181" t="str">
        <f>IFERROR(LOOKUP(2,1/((A_Corridor!$A$5:$A$204&lt;&gt;"")*(A_Corridor!$A$5:$A$204&lt;=$B397)*(A_Corridor!$B$5:$B$204&gt;$B397)*(A_Corridor!$E$5:$E$204&lt;&gt;"")),IF(A_Corridor!$E$5:$E$204="-","",1)),"")</f>
        <v/>
      </c>
      <c r="G397" s="182" t="str">
        <f>IFERROR(LOOKUP(2,1/((A_Corridor!$A$5:$A$204&lt;&gt;"")*(A_Corridor!$A$5:$A$204&lt;=$B397)*(A_Corridor!$B$5:$B$204&gt;$B397)*(A_Corridor!$E$5:$E$204&lt;&gt;"")),IF(A_Corridor!$E$5:$E$204="-","",A_Corridor!$E$5:$E$204)),"")</f>
        <v/>
      </c>
      <c r="H397" s="182" t="str">
        <f>IFERROR(LOOKUP(2,1/((D_Points!$A$5:$A$204&lt;&gt;"")*(D_Points!$A$5:$A$204&gt;=$B397)*(D_Points!$A$5:$A$204&lt;$B397+P_Interval)*(UPPER(TRIM(D_Points!$B$5:$B$204))="GULLY")*(D_Points!$H$5:$H$204&lt;&gt;"")),D_Points!$H$5:$H$204),"")</f>
        <v/>
      </c>
      <c r="I397" s="181" t="str">
        <f>IFERROR(LOOKUP(2,1/((A_Corridor!$A$5:$A$204&lt;&gt;"")*(A_Corridor!$A$5:$A$204&lt;=$B397)*(A_Corridor!$B$5:$B$204&gt;$B397)*(A_Corridor!$F$5:$F$204&lt;&gt;"")),IF(A_Corridor!$F$5:$F$204="-","",1)),"")</f>
        <v/>
      </c>
      <c r="J397" s="182" t="str">
        <f>IFERROR(LOOKUP(2,1/((A_Corridor!$A$5:$A$204&lt;&gt;"")*(A_Corridor!$A$5:$A$204&lt;=$B397)*(A_Corridor!$B$5:$B$204&gt;$B397)*(A_Corridor!$F$5:$F$204&lt;&gt;"")),IF(A_Corridor!$F$5:$F$204="-","",A_Corridor!$F$5:$F$204)),"")</f>
        <v/>
      </c>
      <c r="K397" s="182" t="str">
        <f>IFERROR(LOOKUP(2,1/((A_Corridor!$A$5:$A$204&lt;&gt;"")*(A_Corridor!$A$5:$A$204&lt;=$B397)*(A_Corridor!$B$5:$B$204&gt;$B397)*(A_Corridor!$G$5:$G$204&lt;&gt;"")),IF(A_Corridor!$G$5:$G$204="-","",A_Corridor!$G$5:$G$204)),"")</f>
        <v/>
      </c>
      <c r="L397" s="181" t="str">
        <f>IFERROR(LOOKUP(2,1/((A_Corridor!$A$5:$A$204&lt;&gt;"")*(A_Corridor!$A$5:$A$204&lt;=$B397)*(A_Corridor!$B$5:$B$204&gt;$B397)*(A_Corridor!$H$5:$H$204&lt;&gt;"")),IF(A_Corridor!$H$5:$H$204="-","",1)),"")</f>
        <v/>
      </c>
      <c r="M397" s="182" t="str">
        <f>IFERROR(LOOKUP(2,1/((A_Corridor!$A$5:$A$204&lt;&gt;"")*(A_Corridor!$A$5:$A$204&lt;=$B397)*(A_Corridor!$B$5:$B$204&gt;$B397)*(A_Corridor!$H$5:$H$204&lt;&gt;"")),IF(A_Corridor!$H$5:$H$204="-","",A_Corridor!$H$5:$H$204)),"")</f>
        <v/>
      </c>
      <c r="N397" s="182" t="str">
        <f>IFERROR(LOOKUP(2,1/((A_Corridor!$A$5:$A$204&lt;&gt;"")*(A_Corridor!$A$5:$A$204&lt;=$B397)*(A_Corridor!$B$5:$B$204&gt;$B397)*(A_Corridor!$I$5:$I$204&lt;&gt;"")),IF(A_Corridor!$I$5:$I$204="-","",A_Corridor!$I$5:$I$204)),"")</f>
        <v/>
      </c>
      <c r="O397" s="182" t="str">
        <f>IFERROR(LOOKUP(2,1/((D_Points!$A$5:$A$204&lt;&gt;"")*(D_Points!$A$5:$A$204&gt;=$B397)*(D_Points!$A$5:$A$204&lt;$B397+P_Interval)*(UPPER(TRIM(D_Points!$B$5:$B$204))="PITCHING")*(D_Points!$H$5:$H$204&lt;&gt;"")),D_Points!$H$5:$H$204),"")</f>
        <v/>
      </c>
      <c r="P397" s="181" t="str">
        <f>IFERROR(LOOKUP(2,1/((B_Drainage!$A$5:$A$204&lt;&gt;"")*(B_Drainage!$A$5:$A$204&lt;=$B397)*(B_Drainage!$B$5:$B$204&gt;$B397)*(B_Drainage!$C$5:$C$204&lt;&gt;"")),IF(B_Drainage!$C$5:$C$204="-","",UPPER(B_Drainage!$C$5:$C$204))),"")</f>
        <v/>
      </c>
      <c r="Q397" s="181" t="str">
        <f>IFERROR(LOOKUP(2,1/((B_Drainage!$A$5:$A$204&lt;&gt;"")*(B_Drainage!$A$5:$A$204&lt;=$B397)*(B_Drainage!$B$5:$B$204&gt;$B397)*(B_Drainage!$D$5:$D$204&lt;&gt;"")),IF(B_Drainage!$D$5:$D$204="-","",UPPER(B_Drainage!$D$5:$D$204))),"")</f>
        <v/>
      </c>
      <c r="R397" s="182" t="str">
        <f>IFERROR(LOOKUP(2,1/((D_Points!$A$5:$A$204&lt;&gt;"")*(D_Points!$A$5:$A$204&gt;=$B397)*(D_Points!$A$5:$A$204&lt;$B397+P_Interval)*(RIGHT(UPPER(TRIM(D_Points!$B$5:$B$204)),8)="_CULVERT")),IF(LEFT(UPPER(TRIM(D_Points!$B$5:$B$204)),2)="EX",1,IF(LEFT(UPPER(TRIM(D_Points!$B$5:$B$204)),2)="PR",2,3))),"")</f>
        <v/>
      </c>
      <c r="S397" s="182" t="str">
        <f>IFERROR(LOOKUP(2,1/((D_Points!$A$5:$A$204&lt;&gt;"")*(D_Points!$A$5:$A$204&gt;=$B397)*(D_Points!$A$5:$A$204&lt;$B397+P_Interval)*(RIGHT(UPPER(TRIM(D_Points!$B$5:$B$204)),7)="_BRIDGE")),IF(LEFT(UPPER(TRIM(D_Points!$B$5:$B$204)),2)="EX",1,IF(LEFT(UPPER(TRIM(D_Points!$B$5:$B$204)),2)="PR",2,2))),"")</f>
        <v/>
      </c>
      <c r="T397" s="181" t="str">
        <f>IFERROR(LOOKUP(2,1/((B_Drainage!$A$5:$A$204&lt;&gt;"")*(B_Drainage!$A$5:$A$204&lt;=$B397)*(B_Drainage!$B$5:$B$204&gt;$B397)*(B_Drainage!$E$5:$E$204&lt;&gt;"")),IF(B_Drainage!$E$5:$E$204="-","",1)),"")</f>
        <v/>
      </c>
      <c r="U397" s="181" t="str">
        <f>IFERROR(LOOKUP(2,1/((B_Drainage!$A$5:$A$204&lt;&gt;"")*(B_Drainage!$A$5:$A$204&lt;=$B397)*(B_Drainage!$B$5:$B$204&gt;$B397)*(B_Drainage!$E$5:$E$204&lt;&gt;"")),IF(B_Drainage!$E$5:$E$204="-","",B_Drainage!$E$5:$E$204)),"")</f>
        <v/>
      </c>
      <c r="V397" s="181" t="str">
        <f>IFERROR(LOOKUP(2,1/((B_Drainage!$A$5:$A$204&lt;&gt;"")*(B_Drainage!$A$5:$A$204&lt;=$B397)*(B_Drainage!$B$5:$B$204&gt;$B397)*(B_Drainage!$F$5:$F$204&lt;&gt;"")),IF(B_Drainage!$F$5:$F$204="-","",1)),"")</f>
        <v/>
      </c>
      <c r="W397" s="181" t="str">
        <f>IFERROR(LOOKUP(2,1/((B_Drainage!$A$5:$A$204&lt;&gt;"")*(B_Drainage!$A$5:$A$204&lt;=$B397)*(B_Drainage!$B$5:$B$204&gt;$B397)*(B_Drainage!$F$5:$F$204&lt;&gt;"")),IF(B_Drainage!$F$5:$F$204="-","",B_Drainage!$F$5:$F$204)),"")</f>
        <v/>
      </c>
      <c r="X397" s="181" t="str">
        <f>IFERROR(LOOKUP(2,1/((B_Drainage!$A$5:$A$204&lt;&gt;"")*(B_Drainage!$A$5:$A$204&lt;=$B397)*(B_Drainage!$B$5:$B$204&gt;$B397)*(B_Drainage!$G$5:$G$204&lt;&gt;"")),IF(UPPER(B_Drainage!$G$5:$G$204)="Y",1,"")),"")</f>
        <v/>
      </c>
      <c r="Y397" s="181" t="str">
        <f>IFERROR(LOOKUP(2,1/((B_Drainage!$A$5:$A$204&lt;&gt;"")*(B_Drainage!$A$5:$A$204&lt;=$B397)*(B_Drainage!$B$5:$B$204&gt;$B397)*(B_Drainage!$H$5:$H$204&lt;&gt;"")),IF(UPPER(B_Drainage!$H$5:$H$204)="Y",1,"")),"")</f>
        <v/>
      </c>
      <c r="Z397" s="181" t="str">
        <f>IFERROR(LOOKUP(2,1/((B_Drainage!$A$5:$A$204&lt;&gt;"")*(B_Drainage!$A$5:$A$204&lt;=$B397)*(B_Drainage!$B$5:$B$204&gt;$B397)*(B_Drainage!$I$5:$I$204&lt;&gt;"")),IF(UPPER(B_Drainage!$I$5:$I$204)="Y",1,"")),"")</f>
        <v/>
      </c>
      <c r="AA397" s="181" t="str">
        <f>IFERROR(LOOKUP(2,1/((B_Drainage!$A$5:$A$204&lt;&gt;"")*(B_Drainage!$A$5:$A$204&lt;=$B397)*(B_Drainage!$B$5:$B$204&gt;$B397)*(B_Drainage!$J$5:$J$204&lt;&gt;"")),IF(UPPER(B_Drainage!$J$5:$J$204)="Y",1,"")),"")</f>
        <v/>
      </c>
      <c r="AB397" s="182" t="str">
        <f>IFERROR(LOOKUP(2,1/((B_Drainage!$A$5:$A$204&lt;&gt;"")*(B_Drainage!$A$5:$A$204&lt;=$B397)*(B_Drainage!$B$5:$B$204&gt;$B397)*(B_Drainage!$K$5:$K$204&lt;&gt;"")),IF(B_Drainage!$K$5:$K$204="-","",B_Drainage!$K$5:$K$204)),"")</f>
        <v/>
      </c>
      <c r="AC397" s="182" t="str">
        <f>IFERROR(LOOKUP(2,1/((B_Drainage!$A$5:$A$204&lt;&gt;"")*(B_Drainage!$A$5:$A$204&lt;=$B397)*(B_Drainage!$B$5:$B$204&gt;$B397)*(B_Drainage!$L$5:$L$204&lt;&gt;"")),IF(B_Drainage!$L$5:$L$204="-","",B_Drainage!$L$5:$L$204)),"")</f>
        <v/>
      </c>
      <c r="AD397" s="182" t="str">
        <f>IFERROR(LOOKUP(2,1/((D_Points!$A$5:$A$204&lt;&gt;"")*(D_Points!$A$5:$A$204&gt;=$B397)*(D_Points!$A$5:$A$204&lt;$B397+P_Interval)*(UPPER(TRIM(D_Points!$B$5:$B$204))="TURNOUT_L")*(D_Points!$H$5:$H$204&lt;&gt;"")),D_Points!$H$5:$H$204),"")</f>
        <v/>
      </c>
      <c r="AE397" s="182" t="str">
        <f>IFERROR(LOOKUP(2,1/((D_Points!$A$5:$A$204&lt;&gt;"")*(D_Points!$A$5:$A$204&gt;=$B397)*(D_Points!$A$5:$A$204&lt;$B397+P_Interval)*(UPPER(TRIM(D_Points!$B$5:$B$204))="TURNOUT_R")*(D_Points!$H$5:$H$204&lt;&gt;"")),D_Points!$H$5:$H$204),"")</f>
        <v/>
      </c>
      <c r="AF397" s="181" t="str">
        <f>IFERROR(LOOKUP(2,1/((B_Drainage!$A$5:$A$204&lt;&gt;"")*(B_Drainage!$A$5:$A$204&lt;=$B397)*(B_Drainage!$B$5:$B$204&gt;$B397)*(B_Drainage!$M$5:$M$204&lt;&gt;"")),IF(UPPER(B_Drainage!$M$5:$M$204)="Y",1,"")),"")</f>
        <v/>
      </c>
      <c r="AG397" s="181" t="str">
        <f>IFERROR(LOOKUP(2,1/((B_Drainage!$A$5:$A$204&lt;&gt;"")*(B_Drainage!$A$5:$A$204&lt;=$B397)*(B_Drainage!$B$5:$B$204&gt;$B397)*(B_Drainage!$N$5:$N$204&lt;&gt;"")),IF(UPPER(B_Drainage!$N$5:$N$204)="Y",1,"")),"")</f>
        <v/>
      </c>
      <c r="AH397" s="181" t="str">
        <f t="shared" si="48"/>
        <v/>
      </c>
      <c r="AI397" s="181" t="str">
        <f t="shared" si="49"/>
        <v/>
      </c>
      <c r="AJ397" s="181" t="str">
        <f t="shared" si="50"/>
        <v/>
      </c>
      <c r="AK397" s="181" t="str">
        <f t="shared" si="51"/>
        <v/>
      </c>
      <c r="AL397" s="181" t="str">
        <f t="shared" si="52"/>
        <v/>
      </c>
      <c r="AM397" s="181" t="str">
        <f t="shared" si="53"/>
        <v/>
      </c>
      <c r="AN397" s="181" t="str">
        <f t="shared" si="54"/>
        <v/>
      </c>
      <c r="AO397" s="192" t="str">
        <f t="shared" si="55"/>
        <v/>
      </c>
      <c r="AQ397" t="str">
        <f>IFERROR(LOOKUP(2,1/((C_Pavement!$A$5:$A$204&lt;&gt;"")*(C_Pavement!$A$5:$A$204&lt;=$B397)*(C_Pavement!$B$5:$B$204&gt;$B397)*(C_Pavement!$C$5:$C$204&lt;&gt;"")),ROW(C_Pavement!$C$5:$C$204)-4),"")</f>
        <v/>
      </c>
      <c r="AR397" t="str">
        <f>IF($AQ397="","",UPPER(TRIM(INDEX(C_Pavement!$C$5:$C$204,$AQ397))))</f>
        <v/>
      </c>
      <c r="AS397" t="str">
        <f>IF($AR397="","",IFERROR(MATCH($AR397,E_Rules!$A$5:$A$9,0),""))</f>
        <v/>
      </c>
      <c r="AT397" t="str">
        <f>IF($AQ397="","",IF(INDEX(C_Pavement!$D$5:$D$204,$AQ397)&lt;&gt;"",UPPER(TRIM(INDEX(C_Pavement!$D$5:$D$204,$AQ397))),IF($AS397="","",INDEX(E_Rules!$C$5:$C$9,$AS397))))</f>
        <v/>
      </c>
      <c r="AU397" t="str">
        <f>IF($AQ397="","",IF(INDEX(C_Pavement!$E$5:$E$204,$AQ397)&lt;&gt;"",IF(INDEX(C_Pavement!$E$5:$E$204,$AQ397)="-","",INDEX(C_Pavement!$E$5:$E$204,$AQ397)),IF($AS397="","",INDEX(E_Rules!$D$5:$D$9,$AS397))))</f>
        <v/>
      </c>
      <c r="AV397" t="str">
        <f>IF($AQ397="","",IF(INDEX(C_Pavement!$F$5:$F$204,$AQ397)&lt;&gt;"",IF(INDEX(C_Pavement!$F$5:$F$204,$AQ397)="-","",INDEX(C_Pavement!$F$5:$F$204,$AQ397)),IF($AS397="","",INDEX(E_Rules!$E$5:$E$9,$AS397))))</f>
        <v/>
      </c>
      <c r="AW397" t="str">
        <f>IF($AQ397="","",IF(INDEX(C_Pavement!$G$5:$G$204,$AQ397)&lt;&gt;"",IF(INDEX(C_Pavement!$G$5:$G$204,$AQ397)="-","",INDEX(C_Pavement!$G$5:$G$204,$AQ397)),IF($AS397="","",INDEX(E_Rules!$F$5:$F$9,$AS397))))</f>
        <v/>
      </c>
      <c r="AX397" t="str">
        <f>IF($AQ397="","",IF(INDEX(C_Pavement!$H$5:$H$204,$AQ397)&lt;&gt;"",IF(INDEX(C_Pavement!$H$5:$H$204,$AQ397)="-","",INDEX(C_Pavement!$H$5:$H$204,$AQ397)),IF($AS397="","",INDEX(E_Rules!$G$5:$G$9,$AS397))))</f>
        <v/>
      </c>
      <c r="AY397" t="str">
        <f>IF($AQ397="","",IF(INDEX(C_Pavement!$I$5:$I$204,$AQ397)&lt;&gt;"",IF(INDEX(C_Pavement!$I$5:$I$204,$AQ397)="-","",INDEX(C_Pavement!$I$5:$I$204,$AQ397)),IF($AS397="","",INDEX(E_Rules!$H$5:$H$9,$AS397))))</f>
        <v/>
      </c>
    </row>
    <row r="398" spans="1:51" ht="15.75" customHeight="1" x14ac:dyDescent="0.3">
      <c r="A398" s="189">
        <v>393</v>
      </c>
      <c r="B398" s="180">
        <v>19600</v>
      </c>
      <c r="C398" s="180" t="s">
        <v>704</v>
      </c>
      <c r="D398" s="181" t="str">
        <f>IFERROR(LOOKUP(2,1/((A_Corridor!$A$5:$A$204&lt;&gt;"")*(A_Corridor!$A$5:$A$204&lt;=$B398)*(A_Corridor!$B$5:$B$204&gt;$B398)*(A_Corridor!$C$5:$C$204&lt;&gt;"")),IF(UPPER(A_Corridor!$C$5:$C$204)="Y",1,"")),"")</f>
        <v/>
      </c>
      <c r="E398" s="181" t="str">
        <f>IFERROR(LOOKUP(2,1/((A_Corridor!$A$5:$A$204&lt;&gt;"")*(A_Corridor!$A$5:$A$204&lt;=$B398)*(A_Corridor!$B$5:$B$204&gt;$B398)*(A_Corridor!$D$5:$D$204&lt;&gt;"")),IF(A_Corridor!$D$5:$D$204="-","",UPPER(A_Corridor!$D$5:$D$204))),"")</f>
        <v/>
      </c>
      <c r="F398" s="181" t="str">
        <f>IFERROR(LOOKUP(2,1/((A_Corridor!$A$5:$A$204&lt;&gt;"")*(A_Corridor!$A$5:$A$204&lt;=$B398)*(A_Corridor!$B$5:$B$204&gt;$B398)*(A_Corridor!$E$5:$E$204&lt;&gt;"")),IF(A_Corridor!$E$5:$E$204="-","",1)),"")</f>
        <v/>
      </c>
      <c r="G398" s="182" t="str">
        <f>IFERROR(LOOKUP(2,1/((A_Corridor!$A$5:$A$204&lt;&gt;"")*(A_Corridor!$A$5:$A$204&lt;=$B398)*(A_Corridor!$B$5:$B$204&gt;$B398)*(A_Corridor!$E$5:$E$204&lt;&gt;"")),IF(A_Corridor!$E$5:$E$204="-","",A_Corridor!$E$5:$E$204)),"")</f>
        <v/>
      </c>
      <c r="H398" s="182" t="str">
        <f>IFERROR(LOOKUP(2,1/((D_Points!$A$5:$A$204&lt;&gt;"")*(D_Points!$A$5:$A$204&gt;=$B398)*(D_Points!$A$5:$A$204&lt;$B398+P_Interval)*(UPPER(TRIM(D_Points!$B$5:$B$204))="GULLY")*(D_Points!$H$5:$H$204&lt;&gt;"")),D_Points!$H$5:$H$204),"")</f>
        <v/>
      </c>
      <c r="I398" s="181" t="str">
        <f>IFERROR(LOOKUP(2,1/((A_Corridor!$A$5:$A$204&lt;&gt;"")*(A_Corridor!$A$5:$A$204&lt;=$B398)*(A_Corridor!$B$5:$B$204&gt;$B398)*(A_Corridor!$F$5:$F$204&lt;&gt;"")),IF(A_Corridor!$F$5:$F$204="-","",1)),"")</f>
        <v/>
      </c>
      <c r="J398" s="182" t="str">
        <f>IFERROR(LOOKUP(2,1/((A_Corridor!$A$5:$A$204&lt;&gt;"")*(A_Corridor!$A$5:$A$204&lt;=$B398)*(A_Corridor!$B$5:$B$204&gt;$B398)*(A_Corridor!$F$5:$F$204&lt;&gt;"")),IF(A_Corridor!$F$5:$F$204="-","",A_Corridor!$F$5:$F$204)),"")</f>
        <v/>
      </c>
      <c r="K398" s="182" t="str">
        <f>IFERROR(LOOKUP(2,1/((A_Corridor!$A$5:$A$204&lt;&gt;"")*(A_Corridor!$A$5:$A$204&lt;=$B398)*(A_Corridor!$B$5:$B$204&gt;$B398)*(A_Corridor!$G$5:$G$204&lt;&gt;"")),IF(A_Corridor!$G$5:$G$204="-","",A_Corridor!$G$5:$G$204)),"")</f>
        <v/>
      </c>
      <c r="L398" s="181" t="str">
        <f>IFERROR(LOOKUP(2,1/((A_Corridor!$A$5:$A$204&lt;&gt;"")*(A_Corridor!$A$5:$A$204&lt;=$B398)*(A_Corridor!$B$5:$B$204&gt;$B398)*(A_Corridor!$H$5:$H$204&lt;&gt;"")),IF(A_Corridor!$H$5:$H$204="-","",1)),"")</f>
        <v/>
      </c>
      <c r="M398" s="182" t="str">
        <f>IFERROR(LOOKUP(2,1/((A_Corridor!$A$5:$A$204&lt;&gt;"")*(A_Corridor!$A$5:$A$204&lt;=$B398)*(A_Corridor!$B$5:$B$204&gt;$B398)*(A_Corridor!$H$5:$H$204&lt;&gt;"")),IF(A_Corridor!$H$5:$H$204="-","",A_Corridor!$H$5:$H$204)),"")</f>
        <v/>
      </c>
      <c r="N398" s="182" t="str">
        <f>IFERROR(LOOKUP(2,1/((A_Corridor!$A$5:$A$204&lt;&gt;"")*(A_Corridor!$A$5:$A$204&lt;=$B398)*(A_Corridor!$B$5:$B$204&gt;$B398)*(A_Corridor!$I$5:$I$204&lt;&gt;"")),IF(A_Corridor!$I$5:$I$204="-","",A_Corridor!$I$5:$I$204)),"")</f>
        <v/>
      </c>
      <c r="O398" s="182" t="str">
        <f>IFERROR(LOOKUP(2,1/((D_Points!$A$5:$A$204&lt;&gt;"")*(D_Points!$A$5:$A$204&gt;=$B398)*(D_Points!$A$5:$A$204&lt;$B398+P_Interval)*(UPPER(TRIM(D_Points!$B$5:$B$204))="PITCHING")*(D_Points!$H$5:$H$204&lt;&gt;"")),D_Points!$H$5:$H$204),"")</f>
        <v/>
      </c>
      <c r="P398" s="181" t="str">
        <f>IFERROR(LOOKUP(2,1/((B_Drainage!$A$5:$A$204&lt;&gt;"")*(B_Drainage!$A$5:$A$204&lt;=$B398)*(B_Drainage!$B$5:$B$204&gt;$B398)*(B_Drainage!$C$5:$C$204&lt;&gt;"")),IF(B_Drainage!$C$5:$C$204="-","",UPPER(B_Drainage!$C$5:$C$204))),"")</f>
        <v/>
      </c>
      <c r="Q398" s="181" t="str">
        <f>IFERROR(LOOKUP(2,1/((B_Drainage!$A$5:$A$204&lt;&gt;"")*(B_Drainage!$A$5:$A$204&lt;=$B398)*(B_Drainage!$B$5:$B$204&gt;$B398)*(B_Drainage!$D$5:$D$204&lt;&gt;"")),IF(B_Drainage!$D$5:$D$204="-","",UPPER(B_Drainage!$D$5:$D$204))),"")</f>
        <v/>
      </c>
      <c r="R398" s="182" t="str">
        <f>IFERROR(LOOKUP(2,1/((D_Points!$A$5:$A$204&lt;&gt;"")*(D_Points!$A$5:$A$204&gt;=$B398)*(D_Points!$A$5:$A$204&lt;$B398+P_Interval)*(RIGHT(UPPER(TRIM(D_Points!$B$5:$B$204)),8)="_CULVERT")),IF(LEFT(UPPER(TRIM(D_Points!$B$5:$B$204)),2)="EX",1,IF(LEFT(UPPER(TRIM(D_Points!$B$5:$B$204)),2)="PR",2,3))),"")</f>
        <v/>
      </c>
      <c r="S398" s="182" t="str">
        <f>IFERROR(LOOKUP(2,1/((D_Points!$A$5:$A$204&lt;&gt;"")*(D_Points!$A$5:$A$204&gt;=$B398)*(D_Points!$A$5:$A$204&lt;$B398+P_Interval)*(RIGHT(UPPER(TRIM(D_Points!$B$5:$B$204)),7)="_BRIDGE")),IF(LEFT(UPPER(TRIM(D_Points!$B$5:$B$204)),2)="EX",1,IF(LEFT(UPPER(TRIM(D_Points!$B$5:$B$204)),2)="PR",2,2))),"")</f>
        <v/>
      </c>
      <c r="T398" s="181" t="str">
        <f>IFERROR(LOOKUP(2,1/((B_Drainage!$A$5:$A$204&lt;&gt;"")*(B_Drainage!$A$5:$A$204&lt;=$B398)*(B_Drainage!$B$5:$B$204&gt;$B398)*(B_Drainage!$E$5:$E$204&lt;&gt;"")),IF(B_Drainage!$E$5:$E$204="-","",1)),"")</f>
        <v/>
      </c>
      <c r="U398" s="181" t="str">
        <f>IFERROR(LOOKUP(2,1/((B_Drainage!$A$5:$A$204&lt;&gt;"")*(B_Drainage!$A$5:$A$204&lt;=$B398)*(B_Drainage!$B$5:$B$204&gt;$B398)*(B_Drainage!$E$5:$E$204&lt;&gt;"")),IF(B_Drainage!$E$5:$E$204="-","",B_Drainage!$E$5:$E$204)),"")</f>
        <v/>
      </c>
      <c r="V398" s="181" t="str">
        <f>IFERROR(LOOKUP(2,1/((B_Drainage!$A$5:$A$204&lt;&gt;"")*(B_Drainage!$A$5:$A$204&lt;=$B398)*(B_Drainage!$B$5:$B$204&gt;$B398)*(B_Drainage!$F$5:$F$204&lt;&gt;"")),IF(B_Drainage!$F$5:$F$204="-","",1)),"")</f>
        <v/>
      </c>
      <c r="W398" s="181" t="str">
        <f>IFERROR(LOOKUP(2,1/((B_Drainage!$A$5:$A$204&lt;&gt;"")*(B_Drainage!$A$5:$A$204&lt;=$B398)*(B_Drainage!$B$5:$B$204&gt;$B398)*(B_Drainage!$F$5:$F$204&lt;&gt;"")),IF(B_Drainage!$F$5:$F$204="-","",B_Drainage!$F$5:$F$204)),"")</f>
        <v/>
      </c>
      <c r="X398" s="181" t="str">
        <f>IFERROR(LOOKUP(2,1/((B_Drainage!$A$5:$A$204&lt;&gt;"")*(B_Drainage!$A$5:$A$204&lt;=$B398)*(B_Drainage!$B$5:$B$204&gt;$B398)*(B_Drainage!$G$5:$G$204&lt;&gt;"")),IF(UPPER(B_Drainage!$G$5:$G$204)="Y",1,"")),"")</f>
        <v/>
      </c>
      <c r="Y398" s="181" t="str">
        <f>IFERROR(LOOKUP(2,1/((B_Drainage!$A$5:$A$204&lt;&gt;"")*(B_Drainage!$A$5:$A$204&lt;=$B398)*(B_Drainage!$B$5:$B$204&gt;$B398)*(B_Drainage!$H$5:$H$204&lt;&gt;"")),IF(UPPER(B_Drainage!$H$5:$H$204)="Y",1,"")),"")</f>
        <v/>
      </c>
      <c r="Z398" s="181" t="str">
        <f>IFERROR(LOOKUP(2,1/((B_Drainage!$A$5:$A$204&lt;&gt;"")*(B_Drainage!$A$5:$A$204&lt;=$B398)*(B_Drainage!$B$5:$B$204&gt;$B398)*(B_Drainage!$I$5:$I$204&lt;&gt;"")),IF(UPPER(B_Drainage!$I$5:$I$204)="Y",1,"")),"")</f>
        <v/>
      </c>
      <c r="AA398" s="181" t="str">
        <f>IFERROR(LOOKUP(2,1/((B_Drainage!$A$5:$A$204&lt;&gt;"")*(B_Drainage!$A$5:$A$204&lt;=$B398)*(B_Drainage!$B$5:$B$204&gt;$B398)*(B_Drainage!$J$5:$J$204&lt;&gt;"")),IF(UPPER(B_Drainage!$J$5:$J$204)="Y",1,"")),"")</f>
        <v/>
      </c>
      <c r="AB398" s="182" t="str">
        <f>IFERROR(LOOKUP(2,1/((B_Drainage!$A$5:$A$204&lt;&gt;"")*(B_Drainage!$A$5:$A$204&lt;=$B398)*(B_Drainage!$B$5:$B$204&gt;$B398)*(B_Drainage!$K$5:$K$204&lt;&gt;"")),IF(B_Drainage!$K$5:$K$204="-","",B_Drainage!$K$5:$K$204)),"")</f>
        <v/>
      </c>
      <c r="AC398" s="182" t="str">
        <f>IFERROR(LOOKUP(2,1/((B_Drainage!$A$5:$A$204&lt;&gt;"")*(B_Drainage!$A$5:$A$204&lt;=$B398)*(B_Drainage!$B$5:$B$204&gt;$B398)*(B_Drainage!$L$5:$L$204&lt;&gt;"")),IF(B_Drainage!$L$5:$L$204="-","",B_Drainage!$L$5:$L$204)),"")</f>
        <v/>
      </c>
      <c r="AD398" s="182" t="str">
        <f>IFERROR(LOOKUP(2,1/((D_Points!$A$5:$A$204&lt;&gt;"")*(D_Points!$A$5:$A$204&gt;=$B398)*(D_Points!$A$5:$A$204&lt;$B398+P_Interval)*(UPPER(TRIM(D_Points!$B$5:$B$204))="TURNOUT_L")*(D_Points!$H$5:$H$204&lt;&gt;"")),D_Points!$H$5:$H$204),"")</f>
        <v/>
      </c>
      <c r="AE398" s="182" t="str">
        <f>IFERROR(LOOKUP(2,1/((D_Points!$A$5:$A$204&lt;&gt;"")*(D_Points!$A$5:$A$204&gt;=$B398)*(D_Points!$A$5:$A$204&lt;$B398+P_Interval)*(UPPER(TRIM(D_Points!$B$5:$B$204))="TURNOUT_R")*(D_Points!$H$5:$H$204&lt;&gt;"")),D_Points!$H$5:$H$204),"")</f>
        <v/>
      </c>
      <c r="AF398" s="181" t="str">
        <f>IFERROR(LOOKUP(2,1/((B_Drainage!$A$5:$A$204&lt;&gt;"")*(B_Drainage!$A$5:$A$204&lt;=$B398)*(B_Drainage!$B$5:$B$204&gt;$B398)*(B_Drainage!$M$5:$M$204&lt;&gt;"")),IF(UPPER(B_Drainage!$M$5:$M$204)="Y",1,"")),"")</f>
        <v/>
      </c>
      <c r="AG398" s="181" t="str">
        <f>IFERROR(LOOKUP(2,1/((B_Drainage!$A$5:$A$204&lt;&gt;"")*(B_Drainage!$A$5:$A$204&lt;=$B398)*(B_Drainage!$B$5:$B$204&gt;$B398)*(B_Drainage!$N$5:$N$204&lt;&gt;"")),IF(UPPER(B_Drainage!$N$5:$N$204)="Y",1,"")),"")</f>
        <v/>
      </c>
      <c r="AH398" s="181" t="str">
        <f t="shared" si="48"/>
        <v/>
      </c>
      <c r="AI398" s="181" t="str">
        <f t="shared" si="49"/>
        <v/>
      </c>
      <c r="AJ398" s="181" t="str">
        <f t="shared" si="50"/>
        <v/>
      </c>
      <c r="AK398" s="181" t="str">
        <f t="shared" si="51"/>
        <v/>
      </c>
      <c r="AL398" s="181" t="str">
        <f t="shared" si="52"/>
        <v/>
      </c>
      <c r="AM398" s="181" t="str">
        <f t="shared" si="53"/>
        <v/>
      </c>
      <c r="AN398" s="181" t="str">
        <f t="shared" si="54"/>
        <v/>
      </c>
      <c r="AO398" s="192" t="str">
        <f t="shared" si="55"/>
        <v/>
      </c>
      <c r="AQ398" t="str">
        <f>IFERROR(LOOKUP(2,1/((C_Pavement!$A$5:$A$204&lt;&gt;"")*(C_Pavement!$A$5:$A$204&lt;=$B398)*(C_Pavement!$B$5:$B$204&gt;$B398)*(C_Pavement!$C$5:$C$204&lt;&gt;"")),ROW(C_Pavement!$C$5:$C$204)-4),"")</f>
        <v/>
      </c>
      <c r="AR398" t="str">
        <f>IF($AQ398="","",UPPER(TRIM(INDEX(C_Pavement!$C$5:$C$204,$AQ398))))</f>
        <v/>
      </c>
      <c r="AS398" t="str">
        <f>IF($AR398="","",IFERROR(MATCH($AR398,E_Rules!$A$5:$A$9,0),""))</f>
        <v/>
      </c>
      <c r="AT398" t="str">
        <f>IF($AQ398="","",IF(INDEX(C_Pavement!$D$5:$D$204,$AQ398)&lt;&gt;"",UPPER(TRIM(INDEX(C_Pavement!$D$5:$D$204,$AQ398))),IF($AS398="","",INDEX(E_Rules!$C$5:$C$9,$AS398))))</f>
        <v/>
      </c>
      <c r="AU398" t="str">
        <f>IF($AQ398="","",IF(INDEX(C_Pavement!$E$5:$E$204,$AQ398)&lt;&gt;"",IF(INDEX(C_Pavement!$E$5:$E$204,$AQ398)="-","",INDEX(C_Pavement!$E$5:$E$204,$AQ398)),IF($AS398="","",INDEX(E_Rules!$D$5:$D$9,$AS398))))</f>
        <v/>
      </c>
      <c r="AV398" t="str">
        <f>IF($AQ398="","",IF(INDEX(C_Pavement!$F$5:$F$204,$AQ398)&lt;&gt;"",IF(INDEX(C_Pavement!$F$5:$F$204,$AQ398)="-","",INDEX(C_Pavement!$F$5:$F$204,$AQ398)),IF($AS398="","",INDEX(E_Rules!$E$5:$E$9,$AS398))))</f>
        <v/>
      </c>
      <c r="AW398" t="str">
        <f>IF($AQ398="","",IF(INDEX(C_Pavement!$G$5:$G$204,$AQ398)&lt;&gt;"",IF(INDEX(C_Pavement!$G$5:$G$204,$AQ398)="-","",INDEX(C_Pavement!$G$5:$G$204,$AQ398)),IF($AS398="","",INDEX(E_Rules!$F$5:$F$9,$AS398))))</f>
        <v/>
      </c>
      <c r="AX398" t="str">
        <f>IF($AQ398="","",IF(INDEX(C_Pavement!$H$5:$H$204,$AQ398)&lt;&gt;"",IF(INDEX(C_Pavement!$H$5:$H$204,$AQ398)="-","",INDEX(C_Pavement!$H$5:$H$204,$AQ398)),IF($AS398="","",INDEX(E_Rules!$G$5:$G$9,$AS398))))</f>
        <v/>
      </c>
      <c r="AY398" t="str">
        <f>IF($AQ398="","",IF(INDEX(C_Pavement!$I$5:$I$204,$AQ398)&lt;&gt;"",IF(INDEX(C_Pavement!$I$5:$I$204,$AQ398)="-","",INDEX(C_Pavement!$I$5:$I$204,$AQ398)),IF($AS398="","",INDEX(E_Rules!$H$5:$H$9,$AS398))))</f>
        <v/>
      </c>
    </row>
    <row r="399" spans="1:51" ht="15.75" customHeight="1" x14ac:dyDescent="0.3">
      <c r="A399" s="189">
        <v>394</v>
      </c>
      <c r="B399" s="180">
        <v>19650</v>
      </c>
      <c r="C399" s="180" t="s">
        <v>705</v>
      </c>
      <c r="D399" s="181" t="str">
        <f>IFERROR(LOOKUP(2,1/((A_Corridor!$A$5:$A$204&lt;&gt;"")*(A_Corridor!$A$5:$A$204&lt;=$B399)*(A_Corridor!$B$5:$B$204&gt;$B399)*(A_Corridor!$C$5:$C$204&lt;&gt;"")),IF(UPPER(A_Corridor!$C$5:$C$204)="Y",1,"")),"")</f>
        <v/>
      </c>
      <c r="E399" s="181" t="str">
        <f>IFERROR(LOOKUP(2,1/((A_Corridor!$A$5:$A$204&lt;&gt;"")*(A_Corridor!$A$5:$A$204&lt;=$B399)*(A_Corridor!$B$5:$B$204&gt;$B399)*(A_Corridor!$D$5:$D$204&lt;&gt;"")),IF(A_Corridor!$D$5:$D$204="-","",UPPER(A_Corridor!$D$5:$D$204))),"")</f>
        <v/>
      </c>
      <c r="F399" s="181" t="str">
        <f>IFERROR(LOOKUP(2,1/((A_Corridor!$A$5:$A$204&lt;&gt;"")*(A_Corridor!$A$5:$A$204&lt;=$B399)*(A_Corridor!$B$5:$B$204&gt;$B399)*(A_Corridor!$E$5:$E$204&lt;&gt;"")),IF(A_Corridor!$E$5:$E$204="-","",1)),"")</f>
        <v/>
      </c>
      <c r="G399" s="182" t="str">
        <f>IFERROR(LOOKUP(2,1/((A_Corridor!$A$5:$A$204&lt;&gt;"")*(A_Corridor!$A$5:$A$204&lt;=$B399)*(A_Corridor!$B$5:$B$204&gt;$B399)*(A_Corridor!$E$5:$E$204&lt;&gt;"")),IF(A_Corridor!$E$5:$E$204="-","",A_Corridor!$E$5:$E$204)),"")</f>
        <v/>
      </c>
      <c r="H399" s="182" t="str">
        <f>IFERROR(LOOKUP(2,1/((D_Points!$A$5:$A$204&lt;&gt;"")*(D_Points!$A$5:$A$204&gt;=$B399)*(D_Points!$A$5:$A$204&lt;$B399+P_Interval)*(UPPER(TRIM(D_Points!$B$5:$B$204))="GULLY")*(D_Points!$H$5:$H$204&lt;&gt;"")),D_Points!$H$5:$H$204),"")</f>
        <v/>
      </c>
      <c r="I399" s="181" t="str">
        <f>IFERROR(LOOKUP(2,1/((A_Corridor!$A$5:$A$204&lt;&gt;"")*(A_Corridor!$A$5:$A$204&lt;=$B399)*(A_Corridor!$B$5:$B$204&gt;$B399)*(A_Corridor!$F$5:$F$204&lt;&gt;"")),IF(A_Corridor!$F$5:$F$204="-","",1)),"")</f>
        <v/>
      </c>
      <c r="J399" s="182" t="str">
        <f>IFERROR(LOOKUP(2,1/((A_Corridor!$A$5:$A$204&lt;&gt;"")*(A_Corridor!$A$5:$A$204&lt;=$B399)*(A_Corridor!$B$5:$B$204&gt;$B399)*(A_Corridor!$F$5:$F$204&lt;&gt;"")),IF(A_Corridor!$F$5:$F$204="-","",A_Corridor!$F$5:$F$204)),"")</f>
        <v/>
      </c>
      <c r="K399" s="182" t="str">
        <f>IFERROR(LOOKUP(2,1/((A_Corridor!$A$5:$A$204&lt;&gt;"")*(A_Corridor!$A$5:$A$204&lt;=$B399)*(A_Corridor!$B$5:$B$204&gt;$B399)*(A_Corridor!$G$5:$G$204&lt;&gt;"")),IF(A_Corridor!$G$5:$G$204="-","",A_Corridor!$G$5:$G$204)),"")</f>
        <v/>
      </c>
      <c r="L399" s="181" t="str">
        <f>IFERROR(LOOKUP(2,1/((A_Corridor!$A$5:$A$204&lt;&gt;"")*(A_Corridor!$A$5:$A$204&lt;=$B399)*(A_Corridor!$B$5:$B$204&gt;$B399)*(A_Corridor!$H$5:$H$204&lt;&gt;"")),IF(A_Corridor!$H$5:$H$204="-","",1)),"")</f>
        <v/>
      </c>
      <c r="M399" s="182" t="str">
        <f>IFERROR(LOOKUP(2,1/((A_Corridor!$A$5:$A$204&lt;&gt;"")*(A_Corridor!$A$5:$A$204&lt;=$B399)*(A_Corridor!$B$5:$B$204&gt;$B399)*(A_Corridor!$H$5:$H$204&lt;&gt;"")),IF(A_Corridor!$H$5:$H$204="-","",A_Corridor!$H$5:$H$204)),"")</f>
        <v/>
      </c>
      <c r="N399" s="182" t="str">
        <f>IFERROR(LOOKUP(2,1/((A_Corridor!$A$5:$A$204&lt;&gt;"")*(A_Corridor!$A$5:$A$204&lt;=$B399)*(A_Corridor!$B$5:$B$204&gt;$B399)*(A_Corridor!$I$5:$I$204&lt;&gt;"")),IF(A_Corridor!$I$5:$I$204="-","",A_Corridor!$I$5:$I$204)),"")</f>
        <v/>
      </c>
      <c r="O399" s="182" t="str">
        <f>IFERROR(LOOKUP(2,1/((D_Points!$A$5:$A$204&lt;&gt;"")*(D_Points!$A$5:$A$204&gt;=$B399)*(D_Points!$A$5:$A$204&lt;$B399+P_Interval)*(UPPER(TRIM(D_Points!$B$5:$B$204))="PITCHING")*(D_Points!$H$5:$H$204&lt;&gt;"")),D_Points!$H$5:$H$204),"")</f>
        <v/>
      </c>
      <c r="P399" s="181" t="str">
        <f>IFERROR(LOOKUP(2,1/((B_Drainage!$A$5:$A$204&lt;&gt;"")*(B_Drainage!$A$5:$A$204&lt;=$B399)*(B_Drainage!$B$5:$B$204&gt;$B399)*(B_Drainage!$C$5:$C$204&lt;&gt;"")),IF(B_Drainage!$C$5:$C$204="-","",UPPER(B_Drainage!$C$5:$C$204))),"")</f>
        <v/>
      </c>
      <c r="Q399" s="181" t="str">
        <f>IFERROR(LOOKUP(2,1/((B_Drainage!$A$5:$A$204&lt;&gt;"")*(B_Drainage!$A$5:$A$204&lt;=$B399)*(B_Drainage!$B$5:$B$204&gt;$B399)*(B_Drainage!$D$5:$D$204&lt;&gt;"")),IF(B_Drainage!$D$5:$D$204="-","",UPPER(B_Drainage!$D$5:$D$204))),"")</f>
        <v/>
      </c>
      <c r="R399" s="182" t="str">
        <f>IFERROR(LOOKUP(2,1/((D_Points!$A$5:$A$204&lt;&gt;"")*(D_Points!$A$5:$A$204&gt;=$B399)*(D_Points!$A$5:$A$204&lt;$B399+P_Interval)*(RIGHT(UPPER(TRIM(D_Points!$B$5:$B$204)),8)="_CULVERT")),IF(LEFT(UPPER(TRIM(D_Points!$B$5:$B$204)),2)="EX",1,IF(LEFT(UPPER(TRIM(D_Points!$B$5:$B$204)),2)="PR",2,3))),"")</f>
        <v/>
      </c>
      <c r="S399" s="182" t="str">
        <f>IFERROR(LOOKUP(2,1/((D_Points!$A$5:$A$204&lt;&gt;"")*(D_Points!$A$5:$A$204&gt;=$B399)*(D_Points!$A$5:$A$204&lt;$B399+P_Interval)*(RIGHT(UPPER(TRIM(D_Points!$B$5:$B$204)),7)="_BRIDGE")),IF(LEFT(UPPER(TRIM(D_Points!$B$5:$B$204)),2)="EX",1,IF(LEFT(UPPER(TRIM(D_Points!$B$5:$B$204)),2)="PR",2,2))),"")</f>
        <v/>
      </c>
      <c r="T399" s="181" t="str">
        <f>IFERROR(LOOKUP(2,1/((B_Drainage!$A$5:$A$204&lt;&gt;"")*(B_Drainage!$A$5:$A$204&lt;=$B399)*(B_Drainage!$B$5:$B$204&gt;$B399)*(B_Drainage!$E$5:$E$204&lt;&gt;"")),IF(B_Drainage!$E$5:$E$204="-","",1)),"")</f>
        <v/>
      </c>
      <c r="U399" s="181" t="str">
        <f>IFERROR(LOOKUP(2,1/((B_Drainage!$A$5:$A$204&lt;&gt;"")*(B_Drainage!$A$5:$A$204&lt;=$B399)*(B_Drainage!$B$5:$B$204&gt;$B399)*(B_Drainage!$E$5:$E$204&lt;&gt;"")),IF(B_Drainage!$E$5:$E$204="-","",B_Drainage!$E$5:$E$204)),"")</f>
        <v/>
      </c>
      <c r="V399" s="181" t="str">
        <f>IFERROR(LOOKUP(2,1/((B_Drainage!$A$5:$A$204&lt;&gt;"")*(B_Drainage!$A$5:$A$204&lt;=$B399)*(B_Drainage!$B$5:$B$204&gt;$B399)*(B_Drainage!$F$5:$F$204&lt;&gt;"")),IF(B_Drainage!$F$5:$F$204="-","",1)),"")</f>
        <v/>
      </c>
      <c r="W399" s="181" t="str">
        <f>IFERROR(LOOKUP(2,1/((B_Drainage!$A$5:$A$204&lt;&gt;"")*(B_Drainage!$A$5:$A$204&lt;=$B399)*(B_Drainage!$B$5:$B$204&gt;$B399)*(B_Drainage!$F$5:$F$204&lt;&gt;"")),IF(B_Drainage!$F$5:$F$204="-","",B_Drainage!$F$5:$F$204)),"")</f>
        <v/>
      </c>
      <c r="X399" s="181" t="str">
        <f>IFERROR(LOOKUP(2,1/((B_Drainage!$A$5:$A$204&lt;&gt;"")*(B_Drainage!$A$5:$A$204&lt;=$B399)*(B_Drainage!$B$5:$B$204&gt;$B399)*(B_Drainage!$G$5:$G$204&lt;&gt;"")),IF(UPPER(B_Drainage!$G$5:$G$204)="Y",1,"")),"")</f>
        <v/>
      </c>
      <c r="Y399" s="181" t="str">
        <f>IFERROR(LOOKUP(2,1/((B_Drainage!$A$5:$A$204&lt;&gt;"")*(B_Drainage!$A$5:$A$204&lt;=$B399)*(B_Drainage!$B$5:$B$204&gt;$B399)*(B_Drainage!$H$5:$H$204&lt;&gt;"")),IF(UPPER(B_Drainage!$H$5:$H$204)="Y",1,"")),"")</f>
        <v/>
      </c>
      <c r="Z399" s="181" t="str">
        <f>IFERROR(LOOKUP(2,1/((B_Drainage!$A$5:$A$204&lt;&gt;"")*(B_Drainage!$A$5:$A$204&lt;=$B399)*(B_Drainage!$B$5:$B$204&gt;$B399)*(B_Drainage!$I$5:$I$204&lt;&gt;"")),IF(UPPER(B_Drainage!$I$5:$I$204)="Y",1,"")),"")</f>
        <v/>
      </c>
      <c r="AA399" s="181" t="str">
        <f>IFERROR(LOOKUP(2,1/((B_Drainage!$A$5:$A$204&lt;&gt;"")*(B_Drainage!$A$5:$A$204&lt;=$B399)*(B_Drainage!$B$5:$B$204&gt;$B399)*(B_Drainage!$J$5:$J$204&lt;&gt;"")),IF(UPPER(B_Drainage!$J$5:$J$204)="Y",1,"")),"")</f>
        <v/>
      </c>
      <c r="AB399" s="182" t="str">
        <f>IFERROR(LOOKUP(2,1/((B_Drainage!$A$5:$A$204&lt;&gt;"")*(B_Drainage!$A$5:$A$204&lt;=$B399)*(B_Drainage!$B$5:$B$204&gt;$B399)*(B_Drainage!$K$5:$K$204&lt;&gt;"")),IF(B_Drainage!$K$5:$K$204="-","",B_Drainage!$K$5:$K$204)),"")</f>
        <v/>
      </c>
      <c r="AC399" s="182" t="str">
        <f>IFERROR(LOOKUP(2,1/((B_Drainage!$A$5:$A$204&lt;&gt;"")*(B_Drainage!$A$5:$A$204&lt;=$B399)*(B_Drainage!$B$5:$B$204&gt;$B399)*(B_Drainage!$L$5:$L$204&lt;&gt;"")),IF(B_Drainage!$L$5:$L$204="-","",B_Drainage!$L$5:$L$204)),"")</f>
        <v/>
      </c>
      <c r="AD399" s="182" t="str">
        <f>IFERROR(LOOKUP(2,1/((D_Points!$A$5:$A$204&lt;&gt;"")*(D_Points!$A$5:$A$204&gt;=$B399)*(D_Points!$A$5:$A$204&lt;$B399+P_Interval)*(UPPER(TRIM(D_Points!$B$5:$B$204))="TURNOUT_L")*(D_Points!$H$5:$H$204&lt;&gt;"")),D_Points!$H$5:$H$204),"")</f>
        <v/>
      </c>
      <c r="AE399" s="182" t="str">
        <f>IFERROR(LOOKUP(2,1/((D_Points!$A$5:$A$204&lt;&gt;"")*(D_Points!$A$5:$A$204&gt;=$B399)*(D_Points!$A$5:$A$204&lt;$B399+P_Interval)*(UPPER(TRIM(D_Points!$B$5:$B$204))="TURNOUT_R")*(D_Points!$H$5:$H$204&lt;&gt;"")),D_Points!$H$5:$H$204),"")</f>
        <v/>
      </c>
      <c r="AF399" s="181" t="str">
        <f>IFERROR(LOOKUP(2,1/((B_Drainage!$A$5:$A$204&lt;&gt;"")*(B_Drainage!$A$5:$A$204&lt;=$B399)*(B_Drainage!$B$5:$B$204&gt;$B399)*(B_Drainage!$M$5:$M$204&lt;&gt;"")),IF(UPPER(B_Drainage!$M$5:$M$204)="Y",1,"")),"")</f>
        <v/>
      </c>
      <c r="AG399" s="181" t="str">
        <f>IFERROR(LOOKUP(2,1/((B_Drainage!$A$5:$A$204&lt;&gt;"")*(B_Drainage!$A$5:$A$204&lt;=$B399)*(B_Drainage!$B$5:$B$204&gt;$B399)*(B_Drainage!$N$5:$N$204&lt;&gt;"")),IF(UPPER(B_Drainage!$N$5:$N$204)="Y",1,"")),"")</f>
        <v/>
      </c>
      <c r="AH399" s="181" t="str">
        <f t="shared" si="48"/>
        <v/>
      </c>
      <c r="AI399" s="181" t="str">
        <f t="shared" si="49"/>
        <v/>
      </c>
      <c r="AJ399" s="181" t="str">
        <f t="shared" si="50"/>
        <v/>
      </c>
      <c r="AK399" s="181" t="str">
        <f t="shared" si="51"/>
        <v/>
      </c>
      <c r="AL399" s="181" t="str">
        <f t="shared" si="52"/>
        <v/>
      </c>
      <c r="AM399" s="181" t="str">
        <f t="shared" si="53"/>
        <v/>
      </c>
      <c r="AN399" s="181" t="str">
        <f t="shared" si="54"/>
        <v/>
      </c>
      <c r="AO399" s="192" t="str">
        <f t="shared" si="55"/>
        <v/>
      </c>
      <c r="AQ399" t="str">
        <f>IFERROR(LOOKUP(2,1/((C_Pavement!$A$5:$A$204&lt;&gt;"")*(C_Pavement!$A$5:$A$204&lt;=$B399)*(C_Pavement!$B$5:$B$204&gt;$B399)*(C_Pavement!$C$5:$C$204&lt;&gt;"")),ROW(C_Pavement!$C$5:$C$204)-4),"")</f>
        <v/>
      </c>
      <c r="AR399" t="str">
        <f>IF($AQ399="","",UPPER(TRIM(INDEX(C_Pavement!$C$5:$C$204,$AQ399))))</f>
        <v/>
      </c>
      <c r="AS399" t="str">
        <f>IF($AR399="","",IFERROR(MATCH($AR399,E_Rules!$A$5:$A$9,0),""))</f>
        <v/>
      </c>
      <c r="AT399" t="str">
        <f>IF($AQ399="","",IF(INDEX(C_Pavement!$D$5:$D$204,$AQ399)&lt;&gt;"",UPPER(TRIM(INDEX(C_Pavement!$D$5:$D$204,$AQ399))),IF($AS399="","",INDEX(E_Rules!$C$5:$C$9,$AS399))))</f>
        <v/>
      </c>
      <c r="AU399" t="str">
        <f>IF($AQ399="","",IF(INDEX(C_Pavement!$E$5:$E$204,$AQ399)&lt;&gt;"",IF(INDEX(C_Pavement!$E$5:$E$204,$AQ399)="-","",INDEX(C_Pavement!$E$5:$E$204,$AQ399)),IF($AS399="","",INDEX(E_Rules!$D$5:$D$9,$AS399))))</f>
        <v/>
      </c>
      <c r="AV399" t="str">
        <f>IF($AQ399="","",IF(INDEX(C_Pavement!$F$5:$F$204,$AQ399)&lt;&gt;"",IF(INDEX(C_Pavement!$F$5:$F$204,$AQ399)="-","",INDEX(C_Pavement!$F$5:$F$204,$AQ399)),IF($AS399="","",INDEX(E_Rules!$E$5:$E$9,$AS399))))</f>
        <v/>
      </c>
      <c r="AW399" t="str">
        <f>IF($AQ399="","",IF(INDEX(C_Pavement!$G$5:$G$204,$AQ399)&lt;&gt;"",IF(INDEX(C_Pavement!$G$5:$G$204,$AQ399)="-","",INDEX(C_Pavement!$G$5:$G$204,$AQ399)),IF($AS399="","",INDEX(E_Rules!$F$5:$F$9,$AS399))))</f>
        <v/>
      </c>
      <c r="AX399" t="str">
        <f>IF($AQ399="","",IF(INDEX(C_Pavement!$H$5:$H$204,$AQ399)&lt;&gt;"",IF(INDEX(C_Pavement!$H$5:$H$204,$AQ399)="-","",INDEX(C_Pavement!$H$5:$H$204,$AQ399)),IF($AS399="","",INDEX(E_Rules!$G$5:$G$9,$AS399))))</f>
        <v/>
      </c>
      <c r="AY399" t="str">
        <f>IF($AQ399="","",IF(INDEX(C_Pavement!$I$5:$I$204,$AQ399)&lt;&gt;"",IF(INDEX(C_Pavement!$I$5:$I$204,$AQ399)="-","",INDEX(C_Pavement!$I$5:$I$204,$AQ399)),IF($AS399="","",INDEX(E_Rules!$H$5:$H$9,$AS399))))</f>
        <v/>
      </c>
    </row>
    <row r="400" spans="1:51" ht="15.75" customHeight="1" x14ac:dyDescent="0.3">
      <c r="A400" s="189">
        <v>395</v>
      </c>
      <c r="B400" s="180">
        <v>19700</v>
      </c>
      <c r="C400" s="180" t="s">
        <v>706</v>
      </c>
      <c r="D400" s="181" t="str">
        <f>IFERROR(LOOKUP(2,1/((A_Corridor!$A$5:$A$204&lt;&gt;"")*(A_Corridor!$A$5:$A$204&lt;=$B400)*(A_Corridor!$B$5:$B$204&gt;$B400)*(A_Corridor!$C$5:$C$204&lt;&gt;"")),IF(UPPER(A_Corridor!$C$5:$C$204)="Y",1,"")),"")</f>
        <v/>
      </c>
      <c r="E400" s="181" t="str">
        <f>IFERROR(LOOKUP(2,1/((A_Corridor!$A$5:$A$204&lt;&gt;"")*(A_Corridor!$A$5:$A$204&lt;=$B400)*(A_Corridor!$B$5:$B$204&gt;$B400)*(A_Corridor!$D$5:$D$204&lt;&gt;"")),IF(A_Corridor!$D$5:$D$204="-","",UPPER(A_Corridor!$D$5:$D$204))),"")</f>
        <v/>
      </c>
      <c r="F400" s="181" t="str">
        <f>IFERROR(LOOKUP(2,1/((A_Corridor!$A$5:$A$204&lt;&gt;"")*(A_Corridor!$A$5:$A$204&lt;=$B400)*(A_Corridor!$B$5:$B$204&gt;$B400)*(A_Corridor!$E$5:$E$204&lt;&gt;"")),IF(A_Corridor!$E$5:$E$204="-","",1)),"")</f>
        <v/>
      </c>
      <c r="G400" s="182" t="str">
        <f>IFERROR(LOOKUP(2,1/((A_Corridor!$A$5:$A$204&lt;&gt;"")*(A_Corridor!$A$5:$A$204&lt;=$B400)*(A_Corridor!$B$5:$B$204&gt;$B400)*(A_Corridor!$E$5:$E$204&lt;&gt;"")),IF(A_Corridor!$E$5:$E$204="-","",A_Corridor!$E$5:$E$204)),"")</f>
        <v/>
      </c>
      <c r="H400" s="182" t="str">
        <f>IFERROR(LOOKUP(2,1/((D_Points!$A$5:$A$204&lt;&gt;"")*(D_Points!$A$5:$A$204&gt;=$B400)*(D_Points!$A$5:$A$204&lt;$B400+P_Interval)*(UPPER(TRIM(D_Points!$B$5:$B$204))="GULLY")*(D_Points!$H$5:$H$204&lt;&gt;"")),D_Points!$H$5:$H$204),"")</f>
        <v/>
      </c>
      <c r="I400" s="181" t="str">
        <f>IFERROR(LOOKUP(2,1/((A_Corridor!$A$5:$A$204&lt;&gt;"")*(A_Corridor!$A$5:$A$204&lt;=$B400)*(A_Corridor!$B$5:$B$204&gt;$B400)*(A_Corridor!$F$5:$F$204&lt;&gt;"")),IF(A_Corridor!$F$5:$F$204="-","",1)),"")</f>
        <v/>
      </c>
      <c r="J400" s="182" t="str">
        <f>IFERROR(LOOKUP(2,1/((A_Corridor!$A$5:$A$204&lt;&gt;"")*(A_Corridor!$A$5:$A$204&lt;=$B400)*(A_Corridor!$B$5:$B$204&gt;$B400)*(A_Corridor!$F$5:$F$204&lt;&gt;"")),IF(A_Corridor!$F$5:$F$204="-","",A_Corridor!$F$5:$F$204)),"")</f>
        <v/>
      </c>
      <c r="K400" s="182" t="str">
        <f>IFERROR(LOOKUP(2,1/((A_Corridor!$A$5:$A$204&lt;&gt;"")*(A_Corridor!$A$5:$A$204&lt;=$B400)*(A_Corridor!$B$5:$B$204&gt;$B400)*(A_Corridor!$G$5:$G$204&lt;&gt;"")),IF(A_Corridor!$G$5:$G$204="-","",A_Corridor!$G$5:$G$204)),"")</f>
        <v/>
      </c>
      <c r="L400" s="181" t="str">
        <f>IFERROR(LOOKUP(2,1/((A_Corridor!$A$5:$A$204&lt;&gt;"")*(A_Corridor!$A$5:$A$204&lt;=$B400)*(A_Corridor!$B$5:$B$204&gt;$B400)*(A_Corridor!$H$5:$H$204&lt;&gt;"")),IF(A_Corridor!$H$5:$H$204="-","",1)),"")</f>
        <v/>
      </c>
      <c r="M400" s="182" t="str">
        <f>IFERROR(LOOKUP(2,1/((A_Corridor!$A$5:$A$204&lt;&gt;"")*(A_Corridor!$A$5:$A$204&lt;=$B400)*(A_Corridor!$B$5:$B$204&gt;$B400)*(A_Corridor!$H$5:$H$204&lt;&gt;"")),IF(A_Corridor!$H$5:$H$204="-","",A_Corridor!$H$5:$H$204)),"")</f>
        <v/>
      </c>
      <c r="N400" s="182" t="str">
        <f>IFERROR(LOOKUP(2,1/((A_Corridor!$A$5:$A$204&lt;&gt;"")*(A_Corridor!$A$5:$A$204&lt;=$B400)*(A_Corridor!$B$5:$B$204&gt;$B400)*(A_Corridor!$I$5:$I$204&lt;&gt;"")),IF(A_Corridor!$I$5:$I$204="-","",A_Corridor!$I$5:$I$204)),"")</f>
        <v/>
      </c>
      <c r="O400" s="182" t="str">
        <f>IFERROR(LOOKUP(2,1/((D_Points!$A$5:$A$204&lt;&gt;"")*(D_Points!$A$5:$A$204&gt;=$B400)*(D_Points!$A$5:$A$204&lt;$B400+P_Interval)*(UPPER(TRIM(D_Points!$B$5:$B$204))="PITCHING")*(D_Points!$H$5:$H$204&lt;&gt;"")),D_Points!$H$5:$H$204),"")</f>
        <v/>
      </c>
      <c r="P400" s="181" t="str">
        <f>IFERROR(LOOKUP(2,1/((B_Drainage!$A$5:$A$204&lt;&gt;"")*(B_Drainage!$A$5:$A$204&lt;=$B400)*(B_Drainage!$B$5:$B$204&gt;$B400)*(B_Drainage!$C$5:$C$204&lt;&gt;"")),IF(B_Drainage!$C$5:$C$204="-","",UPPER(B_Drainage!$C$5:$C$204))),"")</f>
        <v/>
      </c>
      <c r="Q400" s="181" t="str">
        <f>IFERROR(LOOKUP(2,1/((B_Drainage!$A$5:$A$204&lt;&gt;"")*(B_Drainage!$A$5:$A$204&lt;=$B400)*(B_Drainage!$B$5:$B$204&gt;$B400)*(B_Drainage!$D$5:$D$204&lt;&gt;"")),IF(B_Drainage!$D$5:$D$204="-","",UPPER(B_Drainage!$D$5:$D$204))),"")</f>
        <v/>
      </c>
      <c r="R400" s="182" t="str">
        <f>IFERROR(LOOKUP(2,1/((D_Points!$A$5:$A$204&lt;&gt;"")*(D_Points!$A$5:$A$204&gt;=$B400)*(D_Points!$A$5:$A$204&lt;$B400+P_Interval)*(RIGHT(UPPER(TRIM(D_Points!$B$5:$B$204)),8)="_CULVERT")),IF(LEFT(UPPER(TRIM(D_Points!$B$5:$B$204)),2)="EX",1,IF(LEFT(UPPER(TRIM(D_Points!$B$5:$B$204)),2)="PR",2,3))),"")</f>
        <v/>
      </c>
      <c r="S400" s="182" t="str">
        <f>IFERROR(LOOKUP(2,1/((D_Points!$A$5:$A$204&lt;&gt;"")*(D_Points!$A$5:$A$204&gt;=$B400)*(D_Points!$A$5:$A$204&lt;$B400+P_Interval)*(RIGHT(UPPER(TRIM(D_Points!$B$5:$B$204)),7)="_BRIDGE")),IF(LEFT(UPPER(TRIM(D_Points!$B$5:$B$204)),2)="EX",1,IF(LEFT(UPPER(TRIM(D_Points!$B$5:$B$204)),2)="PR",2,2))),"")</f>
        <v/>
      </c>
      <c r="T400" s="181" t="str">
        <f>IFERROR(LOOKUP(2,1/((B_Drainage!$A$5:$A$204&lt;&gt;"")*(B_Drainage!$A$5:$A$204&lt;=$B400)*(B_Drainage!$B$5:$B$204&gt;$B400)*(B_Drainage!$E$5:$E$204&lt;&gt;"")),IF(B_Drainage!$E$5:$E$204="-","",1)),"")</f>
        <v/>
      </c>
      <c r="U400" s="181" t="str">
        <f>IFERROR(LOOKUP(2,1/((B_Drainage!$A$5:$A$204&lt;&gt;"")*(B_Drainage!$A$5:$A$204&lt;=$B400)*(B_Drainage!$B$5:$B$204&gt;$B400)*(B_Drainage!$E$5:$E$204&lt;&gt;"")),IF(B_Drainage!$E$5:$E$204="-","",B_Drainage!$E$5:$E$204)),"")</f>
        <v/>
      </c>
      <c r="V400" s="181" t="str">
        <f>IFERROR(LOOKUP(2,1/((B_Drainage!$A$5:$A$204&lt;&gt;"")*(B_Drainage!$A$5:$A$204&lt;=$B400)*(B_Drainage!$B$5:$B$204&gt;$B400)*(B_Drainage!$F$5:$F$204&lt;&gt;"")),IF(B_Drainage!$F$5:$F$204="-","",1)),"")</f>
        <v/>
      </c>
      <c r="W400" s="181" t="str">
        <f>IFERROR(LOOKUP(2,1/((B_Drainage!$A$5:$A$204&lt;&gt;"")*(B_Drainage!$A$5:$A$204&lt;=$B400)*(B_Drainage!$B$5:$B$204&gt;$B400)*(B_Drainage!$F$5:$F$204&lt;&gt;"")),IF(B_Drainage!$F$5:$F$204="-","",B_Drainage!$F$5:$F$204)),"")</f>
        <v/>
      </c>
      <c r="X400" s="181" t="str">
        <f>IFERROR(LOOKUP(2,1/((B_Drainage!$A$5:$A$204&lt;&gt;"")*(B_Drainage!$A$5:$A$204&lt;=$B400)*(B_Drainage!$B$5:$B$204&gt;$B400)*(B_Drainage!$G$5:$G$204&lt;&gt;"")),IF(UPPER(B_Drainage!$G$5:$G$204)="Y",1,"")),"")</f>
        <v/>
      </c>
      <c r="Y400" s="181" t="str">
        <f>IFERROR(LOOKUP(2,1/((B_Drainage!$A$5:$A$204&lt;&gt;"")*(B_Drainage!$A$5:$A$204&lt;=$B400)*(B_Drainage!$B$5:$B$204&gt;$B400)*(B_Drainage!$H$5:$H$204&lt;&gt;"")),IF(UPPER(B_Drainage!$H$5:$H$204)="Y",1,"")),"")</f>
        <v/>
      </c>
      <c r="Z400" s="181" t="str">
        <f>IFERROR(LOOKUP(2,1/((B_Drainage!$A$5:$A$204&lt;&gt;"")*(B_Drainage!$A$5:$A$204&lt;=$B400)*(B_Drainage!$B$5:$B$204&gt;$B400)*(B_Drainage!$I$5:$I$204&lt;&gt;"")),IF(UPPER(B_Drainage!$I$5:$I$204)="Y",1,"")),"")</f>
        <v/>
      </c>
      <c r="AA400" s="181" t="str">
        <f>IFERROR(LOOKUP(2,1/((B_Drainage!$A$5:$A$204&lt;&gt;"")*(B_Drainage!$A$5:$A$204&lt;=$B400)*(B_Drainage!$B$5:$B$204&gt;$B400)*(B_Drainage!$J$5:$J$204&lt;&gt;"")),IF(UPPER(B_Drainage!$J$5:$J$204)="Y",1,"")),"")</f>
        <v/>
      </c>
      <c r="AB400" s="182" t="str">
        <f>IFERROR(LOOKUP(2,1/((B_Drainage!$A$5:$A$204&lt;&gt;"")*(B_Drainage!$A$5:$A$204&lt;=$B400)*(B_Drainage!$B$5:$B$204&gt;$B400)*(B_Drainage!$K$5:$K$204&lt;&gt;"")),IF(B_Drainage!$K$5:$K$204="-","",B_Drainage!$K$5:$K$204)),"")</f>
        <v/>
      </c>
      <c r="AC400" s="182" t="str">
        <f>IFERROR(LOOKUP(2,1/((B_Drainage!$A$5:$A$204&lt;&gt;"")*(B_Drainage!$A$5:$A$204&lt;=$B400)*(B_Drainage!$B$5:$B$204&gt;$B400)*(B_Drainage!$L$5:$L$204&lt;&gt;"")),IF(B_Drainage!$L$5:$L$204="-","",B_Drainage!$L$5:$L$204)),"")</f>
        <v/>
      </c>
      <c r="AD400" s="182" t="str">
        <f>IFERROR(LOOKUP(2,1/((D_Points!$A$5:$A$204&lt;&gt;"")*(D_Points!$A$5:$A$204&gt;=$B400)*(D_Points!$A$5:$A$204&lt;$B400+P_Interval)*(UPPER(TRIM(D_Points!$B$5:$B$204))="TURNOUT_L")*(D_Points!$H$5:$H$204&lt;&gt;"")),D_Points!$H$5:$H$204),"")</f>
        <v/>
      </c>
      <c r="AE400" s="182" t="str">
        <f>IFERROR(LOOKUP(2,1/((D_Points!$A$5:$A$204&lt;&gt;"")*(D_Points!$A$5:$A$204&gt;=$B400)*(D_Points!$A$5:$A$204&lt;$B400+P_Interval)*(UPPER(TRIM(D_Points!$B$5:$B$204))="TURNOUT_R")*(D_Points!$H$5:$H$204&lt;&gt;"")),D_Points!$H$5:$H$204),"")</f>
        <v/>
      </c>
      <c r="AF400" s="181" t="str">
        <f>IFERROR(LOOKUP(2,1/((B_Drainage!$A$5:$A$204&lt;&gt;"")*(B_Drainage!$A$5:$A$204&lt;=$B400)*(B_Drainage!$B$5:$B$204&gt;$B400)*(B_Drainage!$M$5:$M$204&lt;&gt;"")),IF(UPPER(B_Drainage!$M$5:$M$204)="Y",1,"")),"")</f>
        <v/>
      </c>
      <c r="AG400" s="181" t="str">
        <f>IFERROR(LOOKUP(2,1/((B_Drainage!$A$5:$A$204&lt;&gt;"")*(B_Drainage!$A$5:$A$204&lt;=$B400)*(B_Drainage!$B$5:$B$204&gt;$B400)*(B_Drainage!$N$5:$N$204&lt;&gt;"")),IF(UPPER(B_Drainage!$N$5:$N$204)="Y",1,"")),"")</f>
        <v/>
      </c>
      <c r="AH400" s="181" t="str">
        <f t="shared" si="48"/>
        <v/>
      </c>
      <c r="AI400" s="181" t="str">
        <f t="shared" si="49"/>
        <v/>
      </c>
      <c r="AJ400" s="181" t="str">
        <f t="shared" si="50"/>
        <v/>
      </c>
      <c r="AK400" s="181" t="str">
        <f t="shared" si="51"/>
        <v/>
      </c>
      <c r="AL400" s="181" t="str">
        <f t="shared" si="52"/>
        <v/>
      </c>
      <c r="AM400" s="181" t="str">
        <f t="shared" si="53"/>
        <v/>
      </c>
      <c r="AN400" s="181" t="str">
        <f t="shared" si="54"/>
        <v/>
      </c>
      <c r="AO400" s="192" t="str">
        <f t="shared" si="55"/>
        <v/>
      </c>
      <c r="AQ400" t="str">
        <f>IFERROR(LOOKUP(2,1/((C_Pavement!$A$5:$A$204&lt;&gt;"")*(C_Pavement!$A$5:$A$204&lt;=$B400)*(C_Pavement!$B$5:$B$204&gt;$B400)*(C_Pavement!$C$5:$C$204&lt;&gt;"")),ROW(C_Pavement!$C$5:$C$204)-4),"")</f>
        <v/>
      </c>
      <c r="AR400" t="str">
        <f>IF($AQ400="","",UPPER(TRIM(INDEX(C_Pavement!$C$5:$C$204,$AQ400))))</f>
        <v/>
      </c>
      <c r="AS400" t="str">
        <f>IF($AR400="","",IFERROR(MATCH($AR400,E_Rules!$A$5:$A$9,0),""))</f>
        <v/>
      </c>
      <c r="AT400" t="str">
        <f>IF($AQ400="","",IF(INDEX(C_Pavement!$D$5:$D$204,$AQ400)&lt;&gt;"",UPPER(TRIM(INDEX(C_Pavement!$D$5:$D$204,$AQ400))),IF($AS400="","",INDEX(E_Rules!$C$5:$C$9,$AS400))))</f>
        <v/>
      </c>
      <c r="AU400" t="str">
        <f>IF($AQ400="","",IF(INDEX(C_Pavement!$E$5:$E$204,$AQ400)&lt;&gt;"",IF(INDEX(C_Pavement!$E$5:$E$204,$AQ400)="-","",INDEX(C_Pavement!$E$5:$E$204,$AQ400)),IF($AS400="","",INDEX(E_Rules!$D$5:$D$9,$AS400))))</f>
        <v/>
      </c>
      <c r="AV400" t="str">
        <f>IF($AQ400="","",IF(INDEX(C_Pavement!$F$5:$F$204,$AQ400)&lt;&gt;"",IF(INDEX(C_Pavement!$F$5:$F$204,$AQ400)="-","",INDEX(C_Pavement!$F$5:$F$204,$AQ400)),IF($AS400="","",INDEX(E_Rules!$E$5:$E$9,$AS400))))</f>
        <v/>
      </c>
      <c r="AW400" t="str">
        <f>IF($AQ400="","",IF(INDEX(C_Pavement!$G$5:$G$204,$AQ400)&lt;&gt;"",IF(INDEX(C_Pavement!$G$5:$G$204,$AQ400)="-","",INDEX(C_Pavement!$G$5:$G$204,$AQ400)),IF($AS400="","",INDEX(E_Rules!$F$5:$F$9,$AS400))))</f>
        <v/>
      </c>
      <c r="AX400" t="str">
        <f>IF($AQ400="","",IF(INDEX(C_Pavement!$H$5:$H$204,$AQ400)&lt;&gt;"",IF(INDEX(C_Pavement!$H$5:$H$204,$AQ400)="-","",INDEX(C_Pavement!$H$5:$H$204,$AQ400)),IF($AS400="","",INDEX(E_Rules!$G$5:$G$9,$AS400))))</f>
        <v/>
      </c>
      <c r="AY400" t="str">
        <f>IF($AQ400="","",IF(INDEX(C_Pavement!$I$5:$I$204,$AQ400)&lt;&gt;"",IF(INDEX(C_Pavement!$I$5:$I$204,$AQ400)="-","",INDEX(C_Pavement!$I$5:$I$204,$AQ400)),IF($AS400="","",INDEX(E_Rules!$H$5:$H$9,$AS400))))</f>
        <v/>
      </c>
    </row>
    <row r="401" spans="1:51" ht="15.75" customHeight="1" x14ac:dyDescent="0.3">
      <c r="A401" s="189">
        <v>396</v>
      </c>
      <c r="B401" s="180">
        <v>19750</v>
      </c>
      <c r="C401" s="180" t="s">
        <v>707</v>
      </c>
      <c r="D401" s="181" t="str">
        <f>IFERROR(LOOKUP(2,1/((A_Corridor!$A$5:$A$204&lt;&gt;"")*(A_Corridor!$A$5:$A$204&lt;=$B401)*(A_Corridor!$B$5:$B$204&gt;$B401)*(A_Corridor!$C$5:$C$204&lt;&gt;"")),IF(UPPER(A_Corridor!$C$5:$C$204)="Y",1,"")),"")</f>
        <v/>
      </c>
      <c r="E401" s="181" t="str">
        <f>IFERROR(LOOKUP(2,1/((A_Corridor!$A$5:$A$204&lt;&gt;"")*(A_Corridor!$A$5:$A$204&lt;=$B401)*(A_Corridor!$B$5:$B$204&gt;$B401)*(A_Corridor!$D$5:$D$204&lt;&gt;"")),IF(A_Corridor!$D$5:$D$204="-","",UPPER(A_Corridor!$D$5:$D$204))),"")</f>
        <v/>
      </c>
      <c r="F401" s="181" t="str">
        <f>IFERROR(LOOKUP(2,1/((A_Corridor!$A$5:$A$204&lt;&gt;"")*(A_Corridor!$A$5:$A$204&lt;=$B401)*(A_Corridor!$B$5:$B$204&gt;$B401)*(A_Corridor!$E$5:$E$204&lt;&gt;"")),IF(A_Corridor!$E$5:$E$204="-","",1)),"")</f>
        <v/>
      </c>
      <c r="G401" s="182" t="str">
        <f>IFERROR(LOOKUP(2,1/((A_Corridor!$A$5:$A$204&lt;&gt;"")*(A_Corridor!$A$5:$A$204&lt;=$B401)*(A_Corridor!$B$5:$B$204&gt;$B401)*(A_Corridor!$E$5:$E$204&lt;&gt;"")),IF(A_Corridor!$E$5:$E$204="-","",A_Corridor!$E$5:$E$204)),"")</f>
        <v/>
      </c>
      <c r="H401" s="182" t="str">
        <f>IFERROR(LOOKUP(2,1/((D_Points!$A$5:$A$204&lt;&gt;"")*(D_Points!$A$5:$A$204&gt;=$B401)*(D_Points!$A$5:$A$204&lt;$B401+P_Interval)*(UPPER(TRIM(D_Points!$B$5:$B$204))="GULLY")*(D_Points!$H$5:$H$204&lt;&gt;"")),D_Points!$H$5:$H$204),"")</f>
        <v/>
      </c>
      <c r="I401" s="181" t="str">
        <f>IFERROR(LOOKUP(2,1/((A_Corridor!$A$5:$A$204&lt;&gt;"")*(A_Corridor!$A$5:$A$204&lt;=$B401)*(A_Corridor!$B$5:$B$204&gt;$B401)*(A_Corridor!$F$5:$F$204&lt;&gt;"")),IF(A_Corridor!$F$5:$F$204="-","",1)),"")</f>
        <v/>
      </c>
      <c r="J401" s="182" t="str">
        <f>IFERROR(LOOKUP(2,1/((A_Corridor!$A$5:$A$204&lt;&gt;"")*(A_Corridor!$A$5:$A$204&lt;=$B401)*(A_Corridor!$B$5:$B$204&gt;$B401)*(A_Corridor!$F$5:$F$204&lt;&gt;"")),IF(A_Corridor!$F$5:$F$204="-","",A_Corridor!$F$5:$F$204)),"")</f>
        <v/>
      </c>
      <c r="K401" s="182" t="str">
        <f>IFERROR(LOOKUP(2,1/((A_Corridor!$A$5:$A$204&lt;&gt;"")*(A_Corridor!$A$5:$A$204&lt;=$B401)*(A_Corridor!$B$5:$B$204&gt;$B401)*(A_Corridor!$G$5:$G$204&lt;&gt;"")),IF(A_Corridor!$G$5:$G$204="-","",A_Corridor!$G$5:$G$204)),"")</f>
        <v/>
      </c>
      <c r="L401" s="181" t="str">
        <f>IFERROR(LOOKUP(2,1/((A_Corridor!$A$5:$A$204&lt;&gt;"")*(A_Corridor!$A$5:$A$204&lt;=$B401)*(A_Corridor!$B$5:$B$204&gt;$B401)*(A_Corridor!$H$5:$H$204&lt;&gt;"")),IF(A_Corridor!$H$5:$H$204="-","",1)),"")</f>
        <v/>
      </c>
      <c r="M401" s="182" t="str">
        <f>IFERROR(LOOKUP(2,1/((A_Corridor!$A$5:$A$204&lt;&gt;"")*(A_Corridor!$A$5:$A$204&lt;=$B401)*(A_Corridor!$B$5:$B$204&gt;$B401)*(A_Corridor!$H$5:$H$204&lt;&gt;"")),IF(A_Corridor!$H$5:$H$204="-","",A_Corridor!$H$5:$H$204)),"")</f>
        <v/>
      </c>
      <c r="N401" s="182" t="str">
        <f>IFERROR(LOOKUP(2,1/((A_Corridor!$A$5:$A$204&lt;&gt;"")*(A_Corridor!$A$5:$A$204&lt;=$B401)*(A_Corridor!$B$5:$B$204&gt;$B401)*(A_Corridor!$I$5:$I$204&lt;&gt;"")),IF(A_Corridor!$I$5:$I$204="-","",A_Corridor!$I$5:$I$204)),"")</f>
        <v/>
      </c>
      <c r="O401" s="182" t="str">
        <f>IFERROR(LOOKUP(2,1/((D_Points!$A$5:$A$204&lt;&gt;"")*(D_Points!$A$5:$A$204&gt;=$B401)*(D_Points!$A$5:$A$204&lt;$B401+P_Interval)*(UPPER(TRIM(D_Points!$B$5:$B$204))="PITCHING")*(D_Points!$H$5:$H$204&lt;&gt;"")),D_Points!$H$5:$H$204),"")</f>
        <v/>
      </c>
      <c r="P401" s="181" t="str">
        <f>IFERROR(LOOKUP(2,1/((B_Drainage!$A$5:$A$204&lt;&gt;"")*(B_Drainage!$A$5:$A$204&lt;=$B401)*(B_Drainage!$B$5:$B$204&gt;$B401)*(B_Drainage!$C$5:$C$204&lt;&gt;"")),IF(B_Drainage!$C$5:$C$204="-","",UPPER(B_Drainage!$C$5:$C$204))),"")</f>
        <v/>
      </c>
      <c r="Q401" s="181" t="str">
        <f>IFERROR(LOOKUP(2,1/((B_Drainage!$A$5:$A$204&lt;&gt;"")*(B_Drainage!$A$5:$A$204&lt;=$B401)*(B_Drainage!$B$5:$B$204&gt;$B401)*(B_Drainage!$D$5:$D$204&lt;&gt;"")),IF(B_Drainage!$D$5:$D$204="-","",UPPER(B_Drainage!$D$5:$D$204))),"")</f>
        <v/>
      </c>
      <c r="R401" s="182" t="str">
        <f>IFERROR(LOOKUP(2,1/((D_Points!$A$5:$A$204&lt;&gt;"")*(D_Points!$A$5:$A$204&gt;=$B401)*(D_Points!$A$5:$A$204&lt;$B401+P_Interval)*(RIGHT(UPPER(TRIM(D_Points!$B$5:$B$204)),8)="_CULVERT")),IF(LEFT(UPPER(TRIM(D_Points!$B$5:$B$204)),2)="EX",1,IF(LEFT(UPPER(TRIM(D_Points!$B$5:$B$204)),2)="PR",2,3))),"")</f>
        <v/>
      </c>
      <c r="S401" s="182" t="str">
        <f>IFERROR(LOOKUP(2,1/((D_Points!$A$5:$A$204&lt;&gt;"")*(D_Points!$A$5:$A$204&gt;=$B401)*(D_Points!$A$5:$A$204&lt;$B401+P_Interval)*(RIGHT(UPPER(TRIM(D_Points!$B$5:$B$204)),7)="_BRIDGE")),IF(LEFT(UPPER(TRIM(D_Points!$B$5:$B$204)),2)="EX",1,IF(LEFT(UPPER(TRIM(D_Points!$B$5:$B$204)),2)="PR",2,2))),"")</f>
        <v/>
      </c>
      <c r="T401" s="181" t="str">
        <f>IFERROR(LOOKUP(2,1/((B_Drainage!$A$5:$A$204&lt;&gt;"")*(B_Drainage!$A$5:$A$204&lt;=$B401)*(B_Drainage!$B$5:$B$204&gt;$B401)*(B_Drainage!$E$5:$E$204&lt;&gt;"")),IF(B_Drainage!$E$5:$E$204="-","",1)),"")</f>
        <v/>
      </c>
      <c r="U401" s="181" t="str">
        <f>IFERROR(LOOKUP(2,1/((B_Drainage!$A$5:$A$204&lt;&gt;"")*(B_Drainage!$A$5:$A$204&lt;=$B401)*(B_Drainage!$B$5:$B$204&gt;$B401)*(B_Drainage!$E$5:$E$204&lt;&gt;"")),IF(B_Drainage!$E$5:$E$204="-","",B_Drainage!$E$5:$E$204)),"")</f>
        <v/>
      </c>
      <c r="V401" s="181" t="str">
        <f>IFERROR(LOOKUP(2,1/((B_Drainage!$A$5:$A$204&lt;&gt;"")*(B_Drainage!$A$5:$A$204&lt;=$B401)*(B_Drainage!$B$5:$B$204&gt;$B401)*(B_Drainage!$F$5:$F$204&lt;&gt;"")),IF(B_Drainage!$F$5:$F$204="-","",1)),"")</f>
        <v/>
      </c>
      <c r="W401" s="181" t="str">
        <f>IFERROR(LOOKUP(2,1/((B_Drainage!$A$5:$A$204&lt;&gt;"")*(B_Drainage!$A$5:$A$204&lt;=$B401)*(B_Drainage!$B$5:$B$204&gt;$B401)*(B_Drainage!$F$5:$F$204&lt;&gt;"")),IF(B_Drainage!$F$5:$F$204="-","",B_Drainage!$F$5:$F$204)),"")</f>
        <v/>
      </c>
      <c r="X401" s="181" t="str">
        <f>IFERROR(LOOKUP(2,1/((B_Drainage!$A$5:$A$204&lt;&gt;"")*(B_Drainage!$A$5:$A$204&lt;=$B401)*(B_Drainage!$B$5:$B$204&gt;$B401)*(B_Drainage!$G$5:$G$204&lt;&gt;"")),IF(UPPER(B_Drainage!$G$5:$G$204)="Y",1,"")),"")</f>
        <v/>
      </c>
      <c r="Y401" s="181" t="str">
        <f>IFERROR(LOOKUP(2,1/((B_Drainage!$A$5:$A$204&lt;&gt;"")*(B_Drainage!$A$5:$A$204&lt;=$B401)*(B_Drainage!$B$5:$B$204&gt;$B401)*(B_Drainage!$H$5:$H$204&lt;&gt;"")),IF(UPPER(B_Drainage!$H$5:$H$204)="Y",1,"")),"")</f>
        <v/>
      </c>
      <c r="Z401" s="181" t="str">
        <f>IFERROR(LOOKUP(2,1/((B_Drainage!$A$5:$A$204&lt;&gt;"")*(B_Drainage!$A$5:$A$204&lt;=$B401)*(B_Drainage!$B$5:$B$204&gt;$B401)*(B_Drainage!$I$5:$I$204&lt;&gt;"")),IF(UPPER(B_Drainage!$I$5:$I$204)="Y",1,"")),"")</f>
        <v/>
      </c>
      <c r="AA401" s="181" t="str">
        <f>IFERROR(LOOKUP(2,1/((B_Drainage!$A$5:$A$204&lt;&gt;"")*(B_Drainage!$A$5:$A$204&lt;=$B401)*(B_Drainage!$B$5:$B$204&gt;$B401)*(B_Drainage!$J$5:$J$204&lt;&gt;"")),IF(UPPER(B_Drainage!$J$5:$J$204)="Y",1,"")),"")</f>
        <v/>
      </c>
      <c r="AB401" s="182" t="str">
        <f>IFERROR(LOOKUP(2,1/((B_Drainage!$A$5:$A$204&lt;&gt;"")*(B_Drainage!$A$5:$A$204&lt;=$B401)*(B_Drainage!$B$5:$B$204&gt;$B401)*(B_Drainage!$K$5:$K$204&lt;&gt;"")),IF(B_Drainage!$K$5:$K$204="-","",B_Drainage!$K$5:$K$204)),"")</f>
        <v/>
      </c>
      <c r="AC401" s="182" t="str">
        <f>IFERROR(LOOKUP(2,1/((B_Drainage!$A$5:$A$204&lt;&gt;"")*(B_Drainage!$A$5:$A$204&lt;=$B401)*(B_Drainage!$B$5:$B$204&gt;$B401)*(B_Drainage!$L$5:$L$204&lt;&gt;"")),IF(B_Drainage!$L$5:$L$204="-","",B_Drainage!$L$5:$L$204)),"")</f>
        <v/>
      </c>
      <c r="AD401" s="182" t="str">
        <f>IFERROR(LOOKUP(2,1/((D_Points!$A$5:$A$204&lt;&gt;"")*(D_Points!$A$5:$A$204&gt;=$B401)*(D_Points!$A$5:$A$204&lt;$B401+P_Interval)*(UPPER(TRIM(D_Points!$B$5:$B$204))="TURNOUT_L")*(D_Points!$H$5:$H$204&lt;&gt;"")),D_Points!$H$5:$H$204),"")</f>
        <v/>
      </c>
      <c r="AE401" s="182" t="str">
        <f>IFERROR(LOOKUP(2,1/((D_Points!$A$5:$A$204&lt;&gt;"")*(D_Points!$A$5:$A$204&gt;=$B401)*(D_Points!$A$5:$A$204&lt;$B401+P_Interval)*(UPPER(TRIM(D_Points!$B$5:$B$204))="TURNOUT_R")*(D_Points!$H$5:$H$204&lt;&gt;"")),D_Points!$H$5:$H$204),"")</f>
        <v/>
      </c>
      <c r="AF401" s="181" t="str">
        <f>IFERROR(LOOKUP(2,1/((B_Drainage!$A$5:$A$204&lt;&gt;"")*(B_Drainage!$A$5:$A$204&lt;=$B401)*(B_Drainage!$B$5:$B$204&gt;$B401)*(B_Drainage!$M$5:$M$204&lt;&gt;"")),IF(UPPER(B_Drainage!$M$5:$M$204)="Y",1,"")),"")</f>
        <v/>
      </c>
      <c r="AG401" s="181" t="str">
        <f>IFERROR(LOOKUP(2,1/((B_Drainage!$A$5:$A$204&lt;&gt;"")*(B_Drainage!$A$5:$A$204&lt;=$B401)*(B_Drainage!$B$5:$B$204&gt;$B401)*(B_Drainage!$N$5:$N$204&lt;&gt;"")),IF(UPPER(B_Drainage!$N$5:$N$204)="Y",1,"")),"")</f>
        <v/>
      </c>
      <c r="AH401" s="181" t="str">
        <f t="shared" si="48"/>
        <v/>
      </c>
      <c r="AI401" s="181" t="str">
        <f t="shared" si="49"/>
        <v/>
      </c>
      <c r="AJ401" s="181" t="str">
        <f t="shared" si="50"/>
        <v/>
      </c>
      <c r="AK401" s="181" t="str">
        <f t="shared" si="51"/>
        <v/>
      </c>
      <c r="AL401" s="181" t="str">
        <f t="shared" si="52"/>
        <v/>
      </c>
      <c r="AM401" s="181" t="str">
        <f t="shared" si="53"/>
        <v/>
      </c>
      <c r="AN401" s="181" t="str">
        <f t="shared" si="54"/>
        <v/>
      </c>
      <c r="AO401" s="192" t="str">
        <f t="shared" si="55"/>
        <v/>
      </c>
      <c r="AQ401" t="str">
        <f>IFERROR(LOOKUP(2,1/((C_Pavement!$A$5:$A$204&lt;&gt;"")*(C_Pavement!$A$5:$A$204&lt;=$B401)*(C_Pavement!$B$5:$B$204&gt;$B401)*(C_Pavement!$C$5:$C$204&lt;&gt;"")),ROW(C_Pavement!$C$5:$C$204)-4),"")</f>
        <v/>
      </c>
      <c r="AR401" t="str">
        <f>IF($AQ401="","",UPPER(TRIM(INDEX(C_Pavement!$C$5:$C$204,$AQ401))))</f>
        <v/>
      </c>
      <c r="AS401" t="str">
        <f>IF($AR401="","",IFERROR(MATCH($AR401,E_Rules!$A$5:$A$9,0),""))</f>
        <v/>
      </c>
      <c r="AT401" t="str">
        <f>IF($AQ401="","",IF(INDEX(C_Pavement!$D$5:$D$204,$AQ401)&lt;&gt;"",UPPER(TRIM(INDEX(C_Pavement!$D$5:$D$204,$AQ401))),IF($AS401="","",INDEX(E_Rules!$C$5:$C$9,$AS401))))</f>
        <v/>
      </c>
      <c r="AU401" t="str">
        <f>IF($AQ401="","",IF(INDEX(C_Pavement!$E$5:$E$204,$AQ401)&lt;&gt;"",IF(INDEX(C_Pavement!$E$5:$E$204,$AQ401)="-","",INDEX(C_Pavement!$E$5:$E$204,$AQ401)),IF($AS401="","",INDEX(E_Rules!$D$5:$D$9,$AS401))))</f>
        <v/>
      </c>
      <c r="AV401" t="str">
        <f>IF($AQ401="","",IF(INDEX(C_Pavement!$F$5:$F$204,$AQ401)&lt;&gt;"",IF(INDEX(C_Pavement!$F$5:$F$204,$AQ401)="-","",INDEX(C_Pavement!$F$5:$F$204,$AQ401)),IF($AS401="","",INDEX(E_Rules!$E$5:$E$9,$AS401))))</f>
        <v/>
      </c>
      <c r="AW401" t="str">
        <f>IF($AQ401="","",IF(INDEX(C_Pavement!$G$5:$G$204,$AQ401)&lt;&gt;"",IF(INDEX(C_Pavement!$G$5:$G$204,$AQ401)="-","",INDEX(C_Pavement!$G$5:$G$204,$AQ401)),IF($AS401="","",INDEX(E_Rules!$F$5:$F$9,$AS401))))</f>
        <v/>
      </c>
      <c r="AX401" t="str">
        <f>IF($AQ401="","",IF(INDEX(C_Pavement!$H$5:$H$204,$AQ401)&lt;&gt;"",IF(INDEX(C_Pavement!$H$5:$H$204,$AQ401)="-","",INDEX(C_Pavement!$H$5:$H$204,$AQ401)),IF($AS401="","",INDEX(E_Rules!$G$5:$G$9,$AS401))))</f>
        <v/>
      </c>
      <c r="AY401" t="str">
        <f>IF($AQ401="","",IF(INDEX(C_Pavement!$I$5:$I$204,$AQ401)&lt;&gt;"",IF(INDEX(C_Pavement!$I$5:$I$204,$AQ401)="-","",INDEX(C_Pavement!$I$5:$I$204,$AQ401)),IF($AS401="","",INDEX(E_Rules!$H$5:$H$9,$AS401))))</f>
        <v/>
      </c>
    </row>
    <row r="402" spans="1:51" ht="15.75" customHeight="1" x14ac:dyDescent="0.3">
      <c r="A402" s="189">
        <v>397</v>
      </c>
      <c r="B402" s="180">
        <v>19800</v>
      </c>
      <c r="C402" s="180" t="s">
        <v>708</v>
      </c>
      <c r="D402" s="181" t="str">
        <f>IFERROR(LOOKUP(2,1/((A_Corridor!$A$5:$A$204&lt;&gt;"")*(A_Corridor!$A$5:$A$204&lt;=$B402)*(A_Corridor!$B$5:$B$204&gt;$B402)*(A_Corridor!$C$5:$C$204&lt;&gt;"")),IF(UPPER(A_Corridor!$C$5:$C$204)="Y",1,"")),"")</f>
        <v/>
      </c>
      <c r="E402" s="181" t="str">
        <f>IFERROR(LOOKUP(2,1/((A_Corridor!$A$5:$A$204&lt;&gt;"")*(A_Corridor!$A$5:$A$204&lt;=$B402)*(A_Corridor!$B$5:$B$204&gt;$B402)*(A_Corridor!$D$5:$D$204&lt;&gt;"")),IF(A_Corridor!$D$5:$D$204="-","",UPPER(A_Corridor!$D$5:$D$204))),"")</f>
        <v/>
      </c>
      <c r="F402" s="181" t="str">
        <f>IFERROR(LOOKUP(2,1/((A_Corridor!$A$5:$A$204&lt;&gt;"")*(A_Corridor!$A$5:$A$204&lt;=$B402)*(A_Corridor!$B$5:$B$204&gt;$B402)*(A_Corridor!$E$5:$E$204&lt;&gt;"")),IF(A_Corridor!$E$5:$E$204="-","",1)),"")</f>
        <v/>
      </c>
      <c r="G402" s="182" t="str">
        <f>IFERROR(LOOKUP(2,1/((A_Corridor!$A$5:$A$204&lt;&gt;"")*(A_Corridor!$A$5:$A$204&lt;=$B402)*(A_Corridor!$B$5:$B$204&gt;$B402)*(A_Corridor!$E$5:$E$204&lt;&gt;"")),IF(A_Corridor!$E$5:$E$204="-","",A_Corridor!$E$5:$E$204)),"")</f>
        <v/>
      </c>
      <c r="H402" s="182" t="str">
        <f>IFERROR(LOOKUP(2,1/((D_Points!$A$5:$A$204&lt;&gt;"")*(D_Points!$A$5:$A$204&gt;=$B402)*(D_Points!$A$5:$A$204&lt;$B402+P_Interval)*(UPPER(TRIM(D_Points!$B$5:$B$204))="GULLY")*(D_Points!$H$5:$H$204&lt;&gt;"")),D_Points!$H$5:$H$204),"")</f>
        <v/>
      </c>
      <c r="I402" s="181" t="str">
        <f>IFERROR(LOOKUP(2,1/((A_Corridor!$A$5:$A$204&lt;&gt;"")*(A_Corridor!$A$5:$A$204&lt;=$B402)*(A_Corridor!$B$5:$B$204&gt;$B402)*(A_Corridor!$F$5:$F$204&lt;&gt;"")),IF(A_Corridor!$F$5:$F$204="-","",1)),"")</f>
        <v/>
      </c>
      <c r="J402" s="182" t="str">
        <f>IFERROR(LOOKUP(2,1/((A_Corridor!$A$5:$A$204&lt;&gt;"")*(A_Corridor!$A$5:$A$204&lt;=$B402)*(A_Corridor!$B$5:$B$204&gt;$B402)*(A_Corridor!$F$5:$F$204&lt;&gt;"")),IF(A_Corridor!$F$5:$F$204="-","",A_Corridor!$F$5:$F$204)),"")</f>
        <v/>
      </c>
      <c r="K402" s="182" t="str">
        <f>IFERROR(LOOKUP(2,1/((A_Corridor!$A$5:$A$204&lt;&gt;"")*(A_Corridor!$A$5:$A$204&lt;=$B402)*(A_Corridor!$B$5:$B$204&gt;$B402)*(A_Corridor!$G$5:$G$204&lt;&gt;"")),IF(A_Corridor!$G$5:$G$204="-","",A_Corridor!$G$5:$G$204)),"")</f>
        <v/>
      </c>
      <c r="L402" s="181" t="str">
        <f>IFERROR(LOOKUP(2,1/((A_Corridor!$A$5:$A$204&lt;&gt;"")*(A_Corridor!$A$5:$A$204&lt;=$B402)*(A_Corridor!$B$5:$B$204&gt;$B402)*(A_Corridor!$H$5:$H$204&lt;&gt;"")),IF(A_Corridor!$H$5:$H$204="-","",1)),"")</f>
        <v/>
      </c>
      <c r="M402" s="182" t="str">
        <f>IFERROR(LOOKUP(2,1/((A_Corridor!$A$5:$A$204&lt;&gt;"")*(A_Corridor!$A$5:$A$204&lt;=$B402)*(A_Corridor!$B$5:$B$204&gt;$B402)*(A_Corridor!$H$5:$H$204&lt;&gt;"")),IF(A_Corridor!$H$5:$H$204="-","",A_Corridor!$H$5:$H$204)),"")</f>
        <v/>
      </c>
      <c r="N402" s="182" t="str">
        <f>IFERROR(LOOKUP(2,1/((A_Corridor!$A$5:$A$204&lt;&gt;"")*(A_Corridor!$A$5:$A$204&lt;=$B402)*(A_Corridor!$B$5:$B$204&gt;$B402)*(A_Corridor!$I$5:$I$204&lt;&gt;"")),IF(A_Corridor!$I$5:$I$204="-","",A_Corridor!$I$5:$I$204)),"")</f>
        <v/>
      </c>
      <c r="O402" s="182" t="str">
        <f>IFERROR(LOOKUP(2,1/((D_Points!$A$5:$A$204&lt;&gt;"")*(D_Points!$A$5:$A$204&gt;=$B402)*(D_Points!$A$5:$A$204&lt;$B402+P_Interval)*(UPPER(TRIM(D_Points!$B$5:$B$204))="PITCHING")*(D_Points!$H$5:$H$204&lt;&gt;"")),D_Points!$H$5:$H$204),"")</f>
        <v/>
      </c>
      <c r="P402" s="181" t="str">
        <f>IFERROR(LOOKUP(2,1/((B_Drainage!$A$5:$A$204&lt;&gt;"")*(B_Drainage!$A$5:$A$204&lt;=$B402)*(B_Drainage!$B$5:$B$204&gt;$B402)*(B_Drainage!$C$5:$C$204&lt;&gt;"")),IF(B_Drainage!$C$5:$C$204="-","",UPPER(B_Drainage!$C$5:$C$204))),"")</f>
        <v/>
      </c>
      <c r="Q402" s="181" t="str">
        <f>IFERROR(LOOKUP(2,1/((B_Drainage!$A$5:$A$204&lt;&gt;"")*(B_Drainage!$A$5:$A$204&lt;=$B402)*(B_Drainage!$B$5:$B$204&gt;$B402)*(B_Drainage!$D$5:$D$204&lt;&gt;"")),IF(B_Drainage!$D$5:$D$204="-","",UPPER(B_Drainage!$D$5:$D$204))),"")</f>
        <v/>
      </c>
      <c r="R402" s="182" t="str">
        <f>IFERROR(LOOKUP(2,1/((D_Points!$A$5:$A$204&lt;&gt;"")*(D_Points!$A$5:$A$204&gt;=$B402)*(D_Points!$A$5:$A$204&lt;$B402+P_Interval)*(RIGHT(UPPER(TRIM(D_Points!$B$5:$B$204)),8)="_CULVERT")),IF(LEFT(UPPER(TRIM(D_Points!$B$5:$B$204)),2)="EX",1,IF(LEFT(UPPER(TRIM(D_Points!$B$5:$B$204)),2)="PR",2,3))),"")</f>
        <v/>
      </c>
      <c r="S402" s="182" t="str">
        <f>IFERROR(LOOKUP(2,1/((D_Points!$A$5:$A$204&lt;&gt;"")*(D_Points!$A$5:$A$204&gt;=$B402)*(D_Points!$A$5:$A$204&lt;$B402+P_Interval)*(RIGHT(UPPER(TRIM(D_Points!$B$5:$B$204)),7)="_BRIDGE")),IF(LEFT(UPPER(TRIM(D_Points!$B$5:$B$204)),2)="EX",1,IF(LEFT(UPPER(TRIM(D_Points!$B$5:$B$204)),2)="PR",2,2))),"")</f>
        <v/>
      </c>
      <c r="T402" s="181" t="str">
        <f>IFERROR(LOOKUP(2,1/((B_Drainage!$A$5:$A$204&lt;&gt;"")*(B_Drainage!$A$5:$A$204&lt;=$B402)*(B_Drainage!$B$5:$B$204&gt;$B402)*(B_Drainage!$E$5:$E$204&lt;&gt;"")),IF(B_Drainage!$E$5:$E$204="-","",1)),"")</f>
        <v/>
      </c>
      <c r="U402" s="181" t="str">
        <f>IFERROR(LOOKUP(2,1/((B_Drainage!$A$5:$A$204&lt;&gt;"")*(B_Drainage!$A$5:$A$204&lt;=$B402)*(B_Drainage!$B$5:$B$204&gt;$B402)*(B_Drainage!$E$5:$E$204&lt;&gt;"")),IF(B_Drainage!$E$5:$E$204="-","",B_Drainage!$E$5:$E$204)),"")</f>
        <v/>
      </c>
      <c r="V402" s="181" t="str">
        <f>IFERROR(LOOKUP(2,1/((B_Drainage!$A$5:$A$204&lt;&gt;"")*(B_Drainage!$A$5:$A$204&lt;=$B402)*(B_Drainage!$B$5:$B$204&gt;$B402)*(B_Drainage!$F$5:$F$204&lt;&gt;"")),IF(B_Drainage!$F$5:$F$204="-","",1)),"")</f>
        <v/>
      </c>
      <c r="W402" s="181" t="str">
        <f>IFERROR(LOOKUP(2,1/((B_Drainage!$A$5:$A$204&lt;&gt;"")*(B_Drainage!$A$5:$A$204&lt;=$B402)*(B_Drainage!$B$5:$B$204&gt;$B402)*(B_Drainage!$F$5:$F$204&lt;&gt;"")),IF(B_Drainage!$F$5:$F$204="-","",B_Drainage!$F$5:$F$204)),"")</f>
        <v/>
      </c>
      <c r="X402" s="181" t="str">
        <f>IFERROR(LOOKUP(2,1/((B_Drainage!$A$5:$A$204&lt;&gt;"")*(B_Drainage!$A$5:$A$204&lt;=$B402)*(B_Drainage!$B$5:$B$204&gt;$B402)*(B_Drainage!$G$5:$G$204&lt;&gt;"")),IF(UPPER(B_Drainage!$G$5:$G$204)="Y",1,"")),"")</f>
        <v/>
      </c>
      <c r="Y402" s="181" t="str">
        <f>IFERROR(LOOKUP(2,1/((B_Drainage!$A$5:$A$204&lt;&gt;"")*(B_Drainage!$A$5:$A$204&lt;=$B402)*(B_Drainage!$B$5:$B$204&gt;$B402)*(B_Drainage!$H$5:$H$204&lt;&gt;"")),IF(UPPER(B_Drainage!$H$5:$H$204)="Y",1,"")),"")</f>
        <v/>
      </c>
      <c r="Z402" s="181" t="str">
        <f>IFERROR(LOOKUP(2,1/((B_Drainage!$A$5:$A$204&lt;&gt;"")*(B_Drainage!$A$5:$A$204&lt;=$B402)*(B_Drainage!$B$5:$B$204&gt;$B402)*(B_Drainage!$I$5:$I$204&lt;&gt;"")),IF(UPPER(B_Drainage!$I$5:$I$204)="Y",1,"")),"")</f>
        <v/>
      </c>
      <c r="AA402" s="181" t="str">
        <f>IFERROR(LOOKUP(2,1/((B_Drainage!$A$5:$A$204&lt;&gt;"")*(B_Drainage!$A$5:$A$204&lt;=$B402)*(B_Drainage!$B$5:$B$204&gt;$B402)*(B_Drainage!$J$5:$J$204&lt;&gt;"")),IF(UPPER(B_Drainage!$J$5:$J$204)="Y",1,"")),"")</f>
        <v/>
      </c>
      <c r="AB402" s="182" t="str">
        <f>IFERROR(LOOKUP(2,1/((B_Drainage!$A$5:$A$204&lt;&gt;"")*(B_Drainage!$A$5:$A$204&lt;=$B402)*(B_Drainage!$B$5:$B$204&gt;$B402)*(B_Drainage!$K$5:$K$204&lt;&gt;"")),IF(B_Drainage!$K$5:$K$204="-","",B_Drainage!$K$5:$K$204)),"")</f>
        <v/>
      </c>
      <c r="AC402" s="182" t="str">
        <f>IFERROR(LOOKUP(2,1/((B_Drainage!$A$5:$A$204&lt;&gt;"")*(B_Drainage!$A$5:$A$204&lt;=$B402)*(B_Drainage!$B$5:$B$204&gt;$B402)*(B_Drainage!$L$5:$L$204&lt;&gt;"")),IF(B_Drainage!$L$5:$L$204="-","",B_Drainage!$L$5:$L$204)),"")</f>
        <v/>
      </c>
      <c r="AD402" s="182" t="str">
        <f>IFERROR(LOOKUP(2,1/((D_Points!$A$5:$A$204&lt;&gt;"")*(D_Points!$A$5:$A$204&gt;=$B402)*(D_Points!$A$5:$A$204&lt;$B402+P_Interval)*(UPPER(TRIM(D_Points!$B$5:$B$204))="TURNOUT_L")*(D_Points!$H$5:$H$204&lt;&gt;"")),D_Points!$H$5:$H$204),"")</f>
        <v/>
      </c>
      <c r="AE402" s="182" t="str">
        <f>IFERROR(LOOKUP(2,1/((D_Points!$A$5:$A$204&lt;&gt;"")*(D_Points!$A$5:$A$204&gt;=$B402)*(D_Points!$A$5:$A$204&lt;$B402+P_Interval)*(UPPER(TRIM(D_Points!$B$5:$B$204))="TURNOUT_R")*(D_Points!$H$5:$H$204&lt;&gt;"")),D_Points!$H$5:$H$204),"")</f>
        <v/>
      </c>
      <c r="AF402" s="181" t="str">
        <f>IFERROR(LOOKUP(2,1/((B_Drainage!$A$5:$A$204&lt;&gt;"")*(B_Drainage!$A$5:$A$204&lt;=$B402)*(B_Drainage!$B$5:$B$204&gt;$B402)*(B_Drainage!$M$5:$M$204&lt;&gt;"")),IF(UPPER(B_Drainage!$M$5:$M$204)="Y",1,"")),"")</f>
        <v/>
      </c>
      <c r="AG402" s="181" t="str">
        <f>IFERROR(LOOKUP(2,1/((B_Drainage!$A$5:$A$204&lt;&gt;"")*(B_Drainage!$A$5:$A$204&lt;=$B402)*(B_Drainage!$B$5:$B$204&gt;$B402)*(B_Drainage!$N$5:$N$204&lt;&gt;"")),IF(UPPER(B_Drainage!$N$5:$N$204)="Y",1,"")),"")</f>
        <v/>
      </c>
      <c r="AH402" s="181" t="str">
        <f t="shared" si="48"/>
        <v/>
      </c>
      <c r="AI402" s="181" t="str">
        <f t="shared" si="49"/>
        <v/>
      </c>
      <c r="AJ402" s="181" t="str">
        <f t="shared" si="50"/>
        <v/>
      </c>
      <c r="AK402" s="181" t="str">
        <f t="shared" si="51"/>
        <v/>
      </c>
      <c r="AL402" s="181" t="str">
        <f t="shared" si="52"/>
        <v/>
      </c>
      <c r="AM402" s="181" t="str">
        <f t="shared" si="53"/>
        <v/>
      </c>
      <c r="AN402" s="181" t="str">
        <f t="shared" si="54"/>
        <v/>
      </c>
      <c r="AO402" s="192" t="str">
        <f t="shared" si="55"/>
        <v/>
      </c>
      <c r="AQ402" t="str">
        <f>IFERROR(LOOKUP(2,1/((C_Pavement!$A$5:$A$204&lt;&gt;"")*(C_Pavement!$A$5:$A$204&lt;=$B402)*(C_Pavement!$B$5:$B$204&gt;$B402)*(C_Pavement!$C$5:$C$204&lt;&gt;"")),ROW(C_Pavement!$C$5:$C$204)-4),"")</f>
        <v/>
      </c>
      <c r="AR402" t="str">
        <f>IF($AQ402="","",UPPER(TRIM(INDEX(C_Pavement!$C$5:$C$204,$AQ402))))</f>
        <v/>
      </c>
      <c r="AS402" t="str">
        <f>IF($AR402="","",IFERROR(MATCH($AR402,E_Rules!$A$5:$A$9,0),""))</f>
        <v/>
      </c>
      <c r="AT402" t="str">
        <f>IF($AQ402="","",IF(INDEX(C_Pavement!$D$5:$D$204,$AQ402)&lt;&gt;"",UPPER(TRIM(INDEX(C_Pavement!$D$5:$D$204,$AQ402))),IF($AS402="","",INDEX(E_Rules!$C$5:$C$9,$AS402))))</f>
        <v/>
      </c>
      <c r="AU402" t="str">
        <f>IF($AQ402="","",IF(INDEX(C_Pavement!$E$5:$E$204,$AQ402)&lt;&gt;"",IF(INDEX(C_Pavement!$E$5:$E$204,$AQ402)="-","",INDEX(C_Pavement!$E$5:$E$204,$AQ402)),IF($AS402="","",INDEX(E_Rules!$D$5:$D$9,$AS402))))</f>
        <v/>
      </c>
      <c r="AV402" t="str">
        <f>IF($AQ402="","",IF(INDEX(C_Pavement!$F$5:$F$204,$AQ402)&lt;&gt;"",IF(INDEX(C_Pavement!$F$5:$F$204,$AQ402)="-","",INDEX(C_Pavement!$F$5:$F$204,$AQ402)),IF($AS402="","",INDEX(E_Rules!$E$5:$E$9,$AS402))))</f>
        <v/>
      </c>
      <c r="AW402" t="str">
        <f>IF($AQ402="","",IF(INDEX(C_Pavement!$G$5:$G$204,$AQ402)&lt;&gt;"",IF(INDEX(C_Pavement!$G$5:$G$204,$AQ402)="-","",INDEX(C_Pavement!$G$5:$G$204,$AQ402)),IF($AS402="","",INDEX(E_Rules!$F$5:$F$9,$AS402))))</f>
        <v/>
      </c>
      <c r="AX402" t="str">
        <f>IF($AQ402="","",IF(INDEX(C_Pavement!$H$5:$H$204,$AQ402)&lt;&gt;"",IF(INDEX(C_Pavement!$H$5:$H$204,$AQ402)="-","",INDEX(C_Pavement!$H$5:$H$204,$AQ402)),IF($AS402="","",INDEX(E_Rules!$G$5:$G$9,$AS402))))</f>
        <v/>
      </c>
      <c r="AY402" t="str">
        <f>IF($AQ402="","",IF(INDEX(C_Pavement!$I$5:$I$204,$AQ402)&lt;&gt;"",IF(INDEX(C_Pavement!$I$5:$I$204,$AQ402)="-","",INDEX(C_Pavement!$I$5:$I$204,$AQ402)),IF($AS402="","",INDEX(E_Rules!$H$5:$H$9,$AS402))))</f>
        <v/>
      </c>
    </row>
    <row r="403" spans="1:51" ht="15.75" customHeight="1" x14ac:dyDescent="0.3">
      <c r="A403" s="189">
        <v>398</v>
      </c>
      <c r="B403" s="180">
        <v>19850</v>
      </c>
      <c r="C403" s="180" t="s">
        <v>709</v>
      </c>
      <c r="D403" s="181" t="str">
        <f>IFERROR(LOOKUP(2,1/((A_Corridor!$A$5:$A$204&lt;&gt;"")*(A_Corridor!$A$5:$A$204&lt;=$B403)*(A_Corridor!$B$5:$B$204&gt;$B403)*(A_Corridor!$C$5:$C$204&lt;&gt;"")),IF(UPPER(A_Corridor!$C$5:$C$204)="Y",1,"")),"")</f>
        <v/>
      </c>
      <c r="E403" s="181" t="str">
        <f>IFERROR(LOOKUP(2,1/((A_Corridor!$A$5:$A$204&lt;&gt;"")*(A_Corridor!$A$5:$A$204&lt;=$B403)*(A_Corridor!$B$5:$B$204&gt;$B403)*(A_Corridor!$D$5:$D$204&lt;&gt;"")),IF(A_Corridor!$D$5:$D$204="-","",UPPER(A_Corridor!$D$5:$D$204))),"")</f>
        <v/>
      </c>
      <c r="F403" s="181" t="str">
        <f>IFERROR(LOOKUP(2,1/((A_Corridor!$A$5:$A$204&lt;&gt;"")*(A_Corridor!$A$5:$A$204&lt;=$B403)*(A_Corridor!$B$5:$B$204&gt;$B403)*(A_Corridor!$E$5:$E$204&lt;&gt;"")),IF(A_Corridor!$E$5:$E$204="-","",1)),"")</f>
        <v/>
      </c>
      <c r="G403" s="182" t="str">
        <f>IFERROR(LOOKUP(2,1/((A_Corridor!$A$5:$A$204&lt;&gt;"")*(A_Corridor!$A$5:$A$204&lt;=$B403)*(A_Corridor!$B$5:$B$204&gt;$B403)*(A_Corridor!$E$5:$E$204&lt;&gt;"")),IF(A_Corridor!$E$5:$E$204="-","",A_Corridor!$E$5:$E$204)),"")</f>
        <v/>
      </c>
      <c r="H403" s="182" t="str">
        <f>IFERROR(LOOKUP(2,1/((D_Points!$A$5:$A$204&lt;&gt;"")*(D_Points!$A$5:$A$204&gt;=$B403)*(D_Points!$A$5:$A$204&lt;$B403+P_Interval)*(UPPER(TRIM(D_Points!$B$5:$B$204))="GULLY")*(D_Points!$H$5:$H$204&lt;&gt;"")),D_Points!$H$5:$H$204),"")</f>
        <v/>
      </c>
      <c r="I403" s="181" t="str">
        <f>IFERROR(LOOKUP(2,1/((A_Corridor!$A$5:$A$204&lt;&gt;"")*(A_Corridor!$A$5:$A$204&lt;=$B403)*(A_Corridor!$B$5:$B$204&gt;$B403)*(A_Corridor!$F$5:$F$204&lt;&gt;"")),IF(A_Corridor!$F$5:$F$204="-","",1)),"")</f>
        <v/>
      </c>
      <c r="J403" s="182" t="str">
        <f>IFERROR(LOOKUP(2,1/((A_Corridor!$A$5:$A$204&lt;&gt;"")*(A_Corridor!$A$5:$A$204&lt;=$B403)*(A_Corridor!$B$5:$B$204&gt;$B403)*(A_Corridor!$F$5:$F$204&lt;&gt;"")),IF(A_Corridor!$F$5:$F$204="-","",A_Corridor!$F$5:$F$204)),"")</f>
        <v/>
      </c>
      <c r="K403" s="182" t="str">
        <f>IFERROR(LOOKUP(2,1/((A_Corridor!$A$5:$A$204&lt;&gt;"")*(A_Corridor!$A$5:$A$204&lt;=$B403)*(A_Corridor!$B$5:$B$204&gt;$B403)*(A_Corridor!$G$5:$G$204&lt;&gt;"")),IF(A_Corridor!$G$5:$G$204="-","",A_Corridor!$G$5:$G$204)),"")</f>
        <v/>
      </c>
      <c r="L403" s="181" t="str">
        <f>IFERROR(LOOKUP(2,1/((A_Corridor!$A$5:$A$204&lt;&gt;"")*(A_Corridor!$A$5:$A$204&lt;=$B403)*(A_Corridor!$B$5:$B$204&gt;$B403)*(A_Corridor!$H$5:$H$204&lt;&gt;"")),IF(A_Corridor!$H$5:$H$204="-","",1)),"")</f>
        <v/>
      </c>
      <c r="M403" s="182" t="str">
        <f>IFERROR(LOOKUP(2,1/((A_Corridor!$A$5:$A$204&lt;&gt;"")*(A_Corridor!$A$5:$A$204&lt;=$B403)*(A_Corridor!$B$5:$B$204&gt;$B403)*(A_Corridor!$H$5:$H$204&lt;&gt;"")),IF(A_Corridor!$H$5:$H$204="-","",A_Corridor!$H$5:$H$204)),"")</f>
        <v/>
      </c>
      <c r="N403" s="182" t="str">
        <f>IFERROR(LOOKUP(2,1/((A_Corridor!$A$5:$A$204&lt;&gt;"")*(A_Corridor!$A$5:$A$204&lt;=$B403)*(A_Corridor!$B$5:$B$204&gt;$B403)*(A_Corridor!$I$5:$I$204&lt;&gt;"")),IF(A_Corridor!$I$5:$I$204="-","",A_Corridor!$I$5:$I$204)),"")</f>
        <v/>
      </c>
      <c r="O403" s="182" t="str">
        <f>IFERROR(LOOKUP(2,1/((D_Points!$A$5:$A$204&lt;&gt;"")*(D_Points!$A$5:$A$204&gt;=$B403)*(D_Points!$A$5:$A$204&lt;$B403+P_Interval)*(UPPER(TRIM(D_Points!$B$5:$B$204))="PITCHING")*(D_Points!$H$5:$H$204&lt;&gt;"")),D_Points!$H$5:$H$204),"")</f>
        <v/>
      </c>
      <c r="P403" s="181" t="str">
        <f>IFERROR(LOOKUP(2,1/((B_Drainage!$A$5:$A$204&lt;&gt;"")*(B_Drainage!$A$5:$A$204&lt;=$B403)*(B_Drainage!$B$5:$B$204&gt;$B403)*(B_Drainage!$C$5:$C$204&lt;&gt;"")),IF(B_Drainage!$C$5:$C$204="-","",UPPER(B_Drainage!$C$5:$C$204))),"")</f>
        <v/>
      </c>
      <c r="Q403" s="181" t="str">
        <f>IFERROR(LOOKUP(2,1/((B_Drainage!$A$5:$A$204&lt;&gt;"")*(B_Drainage!$A$5:$A$204&lt;=$B403)*(B_Drainage!$B$5:$B$204&gt;$B403)*(B_Drainage!$D$5:$D$204&lt;&gt;"")),IF(B_Drainage!$D$5:$D$204="-","",UPPER(B_Drainage!$D$5:$D$204))),"")</f>
        <v/>
      </c>
      <c r="R403" s="182" t="str">
        <f>IFERROR(LOOKUP(2,1/((D_Points!$A$5:$A$204&lt;&gt;"")*(D_Points!$A$5:$A$204&gt;=$B403)*(D_Points!$A$5:$A$204&lt;$B403+P_Interval)*(RIGHT(UPPER(TRIM(D_Points!$B$5:$B$204)),8)="_CULVERT")),IF(LEFT(UPPER(TRIM(D_Points!$B$5:$B$204)),2)="EX",1,IF(LEFT(UPPER(TRIM(D_Points!$B$5:$B$204)),2)="PR",2,3))),"")</f>
        <v/>
      </c>
      <c r="S403" s="182" t="str">
        <f>IFERROR(LOOKUP(2,1/((D_Points!$A$5:$A$204&lt;&gt;"")*(D_Points!$A$5:$A$204&gt;=$B403)*(D_Points!$A$5:$A$204&lt;$B403+P_Interval)*(RIGHT(UPPER(TRIM(D_Points!$B$5:$B$204)),7)="_BRIDGE")),IF(LEFT(UPPER(TRIM(D_Points!$B$5:$B$204)),2)="EX",1,IF(LEFT(UPPER(TRIM(D_Points!$B$5:$B$204)),2)="PR",2,2))),"")</f>
        <v/>
      </c>
      <c r="T403" s="181" t="str">
        <f>IFERROR(LOOKUP(2,1/((B_Drainage!$A$5:$A$204&lt;&gt;"")*(B_Drainage!$A$5:$A$204&lt;=$B403)*(B_Drainage!$B$5:$B$204&gt;$B403)*(B_Drainage!$E$5:$E$204&lt;&gt;"")),IF(B_Drainage!$E$5:$E$204="-","",1)),"")</f>
        <v/>
      </c>
      <c r="U403" s="181" t="str">
        <f>IFERROR(LOOKUP(2,1/((B_Drainage!$A$5:$A$204&lt;&gt;"")*(B_Drainage!$A$5:$A$204&lt;=$B403)*(B_Drainage!$B$5:$B$204&gt;$B403)*(B_Drainage!$E$5:$E$204&lt;&gt;"")),IF(B_Drainage!$E$5:$E$204="-","",B_Drainage!$E$5:$E$204)),"")</f>
        <v/>
      </c>
      <c r="V403" s="181" t="str">
        <f>IFERROR(LOOKUP(2,1/((B_Drainage!$A$5:$A$204&lt;&gt;"")*(B_Drainage!$A$5:$A$204&lt;=$B403)*(B_Drainage!$B$5:$B$204&gt;$B403)*(B_Drainage!$F$5:$F$204&lt;&gt;"")),IF(B_Drainage!$F$5:$F$204="-","",1)),"")</f>
        <v/>
      </c>
      <c r="W403" s="181" t="str">
        <f>IFERROR(LOOKUP(2,1/((B_Drainage!$A$5:$A$204&lt;&gt;"")*(B_Drainage!$A$5:$A$204&lt;=$B403)*(B_Drainage!$B$5:$B$204&gt;$B403)*(B_Drainage!$F$5:$F$204&lt;&gt;"")),IF(B_Drainage!$F$5:$F$204="-","",B_Drainage!$F$5:$F$204)),"")</f>
        <v/>
      </c>
      <c r="X403" s="181" t="str">
        <f>IFERROR(LOOKUP(2,1/((B_Drainage!$A$5:$A$204&lt;&gt;"")*(B_Drainage!$A$5:$A$204&lt;=$B403)*(B_Drainage!$B$5:$B$204&gt;$B403)*(B_Drainage!$G$5:$G$204&lt;&gt;"")),IF(UPPER(B_Drainage!$G$5:$G$204)="Y",1,"")),"")</f>
        <v/>
      </c>
      <c r="Y403" s="181" t="str">
        <f>IFERROR(LOOKUP(2,1/((B_Drainage!$A$5:$A$204&lt;&gt;"")*(B_Drainage!$A$5:$A$204&lt;=$B403)*(B_Drainage!$B$5:$B$204&gt;$B403)*(B_Drainage!$H$5:$H$204&lt;&gt;"")),IF(UPPER(B_Drainage!$H$5:$H$204)="Y",1,"")),"")</f>
        <v/>
      </c>
      <c r="Z403" s="181" t="str">
        <f>IFERROR(LOOKUP(2,1/((B_Drainage!$A$5:$A$204&lt;&gt;"")*(B_Drainage!$A$5:$A$204&lt;=$B403)*(B_Drainage!$B$5:$B$204&gt;$B403)*(B_Drainage!$I$5:$I$204&lt;&gt;"")),IF(UPPER(B_Drainage!$I$5:$I$204)="Y",1,"")),"")</f>
        <v/>
      </c>
      <c r="AA403" s="181" t="str">
        <f>IFERROR(LOOKUP(2,1/((B_Drainage!$A$5:$A$204&lt;&gt;"")*(B_Drainage!$A$5:$A$204&lt;=$B403)*(B_Drainage!$B$5:$B$204&gt;$B403)*(B_Drainage!$J$5:$J$204&lt;&gt;"")),IF(UPPER(B_Drainage!$J$5:$J$204)="Y",1,"")),"")</f>
        <v/>
      </c>
      <c r="AB403" s="182" t="str">
        <f>IFERROR(LOOKUP(2,1/((B_Drainage!$A$5:$A$204&lt;&gt;"")*(B_Drainage!$A$5:$A$204&lt;=$B403)*(B_Drainage!$B$5:$B$204&gt;$B403)*(B_Drainage!$K$5:$K$204&lt;&gt;"")),IF(B_Drainage!$K$5:$K$204="-","",B_Drainage!$K$5:$K$204)),"")</f>
        <v/>
      </c>
      <c r="AC403" s="182" t="str">
        <f>IFERROR(LOOKUP(2,1/((B_Drainage!$A$5:$A$204&lt;&gt;"")*(B_Drainage!$A$5:$A$204&lt;=$B403)*(B_Drainage!$B$5:$B$204&gt;$B403)*(B_Drainage!$L$5:$L$204&lt;&gt;"")),IF(B_Drainage!$L$5:$L$204="-","",B_Drainage!$L$5:$L$204)),"")</f>
        <v/>
      </c>
      <c r="AD403" s="182" t="str">
        <f>IFERROR(LOOKUP(2,1/((D_Points!$A$5:$A$204&lt;&gt;"")*(D_Points!$A$5:$A$204&gt;=$B403)*(D_Points!$A$5:$A$204&lt;$B403+P_Interval)*(UPPER(TRIM(D_Points!$B$5:$B$204))="TURNOUT_L")*(D_Points!$H$5:$H$204&lt;&gt;"")),D_Points!$H$5:$H$204),"")</f>
        <v/>
      </c>
      <c r="AE403" s="182" t="str">
        <f>IFERROR(LOOKUP(2,1/((D_Points!$A$5:$A$204&lt;&gt;"")*(D_Points!$A$5:$A$204&gt;=$B403)*(D_Points!$A$5:$A$204&lt;$B403+P_Interval)*(UPPER(TRIM(D_Points!$B$5:$B$204))="TURNOUT_R")*(D_Points!$H$5:$H$204&lt;&gt;"")),D_Points!$H$5:$H$204),"")</f>
        <v/>
      </c>
      <c r="AF403" s="181" t="str">
        <f>IFERROR(LOOKUP(2,1/((B_Drainage!$A$5:$A$204&lt;&gt;"")*(B_Drainage!$A$5:$A$204&lt;=$B403)*(B_Drainage!$B$5:$B$204&gt;$B403)*(B_Drainage!$M$5:$M$204&lt;&gt;"")),IF(UPPER(B_Drainage!$M$5:$M$204)="Y",1,"")),"")</f>
        <v/>
      </c>
      <c r="AG403" s="181" t="str">
        <f>IFERROR(LOOKUP(2,1/((B_Drainage!$A$5:$A$204&lt;&gt;"")*(B_Drainage!$A$5:$A$204&lt;=$B403)*(B_Drainage!$B$5:$B$204&gt;$B403)*(B_Drainage!$N$5:$N$204&lt;&gt;"")),IF(UPPER(B_Drainage!$N$5:$N$204)="Y",1,"")),"")</f>
        <v/>
      </c>
      <c r="AH403" s="181" t="str">
        <f t="shared" si="48"/>
        <v/>
      </c>
      <c r="AI403" s="181" t="str">
        <f t="shared" si="49"/>
        <v/>
      </c>
      <c r="AJ403" s="181" t="str">
        <f t="shared" si="50"/>
        <v/>
      </c>
      <c r="AK403" s="181" t="str">
        <f t="shared" si="51"/>
        <v/>
      </c>
      <c r="AL403" s="181" t="str">
        <f t="shared" si="52"/>
        <v/>
      </c>
      <c r="AM403" s="181" t="str">
        <f t="shared" si="53"/>
        <v/>
      </c>
      <c r="AN403" s="181" t="str">
        <f t="shared" si="54"/>
        <v/>
      </c>
      <c r="AO403" s="192" t="str">
        <f t="shared" si="55"/>
        <v/>
      </c>
      <c r="AQ403" t="str">
        <f>IFERROR(LOOKUP(2,1/((C_Pavement!$A$5:$A$204&lt;&gt;"")*(C_Pavement!$A$5:$A$204&lt;=$B403)*(C_Pavement!$B$5:$B$204&gt;$B403)*(C_Pavement!$C$5:$C$204&lt;&gt;"")),ROW(C_Pavement!$C$5:$C$204)-4),"")</f>
        <v/>
      </c>
      <c r="AR403" t="str">
        <f>IF($AQ403="","",UPPER(TRIM(INDEX(C_Pavement!$C$5:$C$204,$AQ403))))</f>
        <v/>
      </c>
      <c r="AS403" t="str">
        <f>IF($AR403="","",IFERROR(MATCH($AR403,E_Rules!$A$5:$A$9,0),""))</f>
        <v/>
      </c>
      <c r="AT403" t="str">
        <f>IF($AQ403="","",IF(INDEX(C_Pavement!$D$5:$D$204,$AQ403)&lt;&gt;"",UPPER(TRIM(INDEX(C_Pavement!$D$5:$D$204,$AQ403))),IF($AS403="","",INDEX(E_Rules!$C$5:$C$9,$AS403))))</f>
        <v/>
      </c>
      <c r="AU403" t="str">
        <f>IF($AQ403="","",IF(INDEX(C_Pavement!$E$5:$E$204,$AQ403)&lt;&gt;"",IF(INDEX(C_Pavement!$E$5:$E$204,$AQ403)="-","",INDEX(C_Pavement!$E$5:$E$204,$AQ403)),IF($AS403="","",INDEX(E_Rules!$D$5:$D$9,$AS403))))</f>
        <v/>
      </c>
      <c r="AV403" t="str">
        <f>IF($AQ403="","",IF(INDEX(C_Pavement!$F$5:$F$204,$AQ403)&lt;&gt;"",IF(INDEX(C_Pavement!$F$5:$F$204,$AQ403)="-","",INDEX(C_Pavement!$F$5:$F$204,$AQ403)),IF($AS403="","",INDEX(E_Rules!$E$5:$E$9,$AS403))))</f>
        <v/>
      </c>
      <c r="AW403" t="str">
        <f>IF($AQ403="","",IF(INDEX(C_Pavement!$G$5:$G$204,$AQ403)&lt;&gt;"",IF(INDEX(C_Pavement!$G$5:$G$204,$AQ403)="-","",INDEX(C_Pavement!$G$5:$G$204,$AQ403)),IF($AS403="","",INDEX(E_Rules!$F$5:$F$9,$AS403))))</f>
        <v/>
      </c>
      <c r="AX403" t="str">
        <f>IF($AQ403="","",IF(INDEX(C_Pavement!$H$5:$H$204,$AQ403)&lt;&gt;"",IF(INDEX(C_Pavement!$H$5:$H$204,$AQ403)="-","",INDEX(C_Pavement!$H$5:$H$204,$AQ403)),IF($AS403="","",INDEX(E_Rules!$G$5:$G$9,$AS403))))</f>
        <v/>
      </c>
      <c r="AY403" t="str">
        <f>IF($AQ403="","",IF(INDEX(C_Pavement!$I$5:$I$204,$AQ403)&lt;&gt;"",IF(INDEX(C_Pavement!$I$5:$I$204,$AQ403)="-","",INDEX(C_Pavement!$I$5:$I$204,$AQ403)),IF($AS403="","",INDEX(E_Rules!$H$5:$H$9,$AS403))))</f>
        <v/>
      </c>
    </row>
    <row r="404" spans="1:51" ht="15.75" customHeight="1" x14ac:dyDescent="0.3">
      <c r="A404" s="189">
        <v>399</v>
      </c>
      <c r="B404" s="180">
        <v>19900</v>
      </c>
      <c r="C404" s="180" t="s">
        <v>710</v>
      </c>
      <c r="D404" s="181" t="str">
        <f>IFERROR(LOOKUP(2,1/((A_Corridor!$A$5:$A$204&lt;&gt;"")*(A_Corridor!$A$5:$A$204&lt;=$B404)*(A_Corridor!$B$5:$B$204&gt;$B404)*(A_Corridor!$C$5:$C$204&lt;&gt;"")),IF(UPPER(A_Corridor!$C$5:$C$204)="Y",1,"")),"")</f>
        <v/>
      </c>
      <c r="E404" s="181" t="str">
        <f>IFERROR(LOOKUP(2,1/((A_Corridor!$A$5:$A$204&lt;&gt;"")*(A_Corridor!$A$5:$A$204&lt;=$B404)*(A_Corridor!$B$5:$B$204&gt;$B404)*(A_Corridor!$D$5:$D$204&lt;&gt;"")),IF(A_Corridor!$D$5:$D$204="-","",UPPER(A_Corridor!$D$5:$D$204))),"")</f>
        <v/>
      </c>
      <c r="F404" s="181" t="str">
        <f>IFERROR(LOOKUP(2,1/((A_Corridor!$A$5:$A$204&lt;&gt;"")*(A_Corridor!$A$5:$A$204&lt;=$B404)*(A_Corridor!$B$5:$B$204&gt;$B404)*(A_Corridor!$E$5:$E$204&lt;&gt;"")),IF(A_Corridor!$E$5:$E$204="-","",1)),"")</f>
        <v/>
      </c>
      <c r="G404" s="182" t="str">
        <f>IFERROR(LOOKUP(2,1/((A_Corridor!$A$5:$A$204&lt;&gt;"")*(A_Corridor!$A$5:$A$204&lt;=$B404)*(A_Corridor!$B$5:$B$204&gt;$B404)*(A_Corridor!$E$5:$E$204&lt;&gt;"")),IF(A_Corridor!$E$5:$E$204="-","",A_Corridor!$E$5:$E$204)),"")</f>
        <v/>
      </c>
      <c r="H404" s="182" t="str">
        <f>IFERROR(LOOKUP(2,1/((D_Points!$A$5:$A$204&lt;&gt;"")*(D_Points!$A$5:$A$204&gt;=$B404)*(D_Points!$A$5:$A$204&lt;$B404+P_Interval)*(UPPER(TRIM(D_Points!$B$5:$B$204))="GULLY")*(D_Points!$H$5:$H$204&lt;&gt;"")),D_Points!$H$5:$H$204),"")</f>
        <v/>
      </c>
      <c r="I404" s="181" t="str">
        <f>IFERROR(LOOKUP(2,1/((A_Corridor!$A$5:$A$204&lt;&gt;"")*(A_Corridor!$A$5:$A$204&lt;=$B404)*(A_Corridor!$B$5:$B$204&gt;$B404)*(A_Corridor!$F$5:$F$204&lt;&gt;"")),IF(A_Corridor!$F$5:$F$204="-","",1)),"")</f>
        <v/>
      </c>
      <c r="J404" s="182" t="str">
        <f>IFERROR(LOOKUP(2,1/((A_Corridor!$A$5:$A$204&lt;&gt;"")*(A_Corridor!$A$5:$A$204&lt;=$B404)*(A_Corridor!$B$5:$B$204&gt;$B404)*(A_Corridor!$F$5:$F$204&lt;&gt;"")),IF(A_Corridor!$F$5:$F$204="-","",A_Corridor!$F$5:$F$204)),"")</f>
        <v/>
      </c>
      <c r="K404" s="182" t="str">
        <f>IFERROR(LOOKUP(2,1/((A_Corridor!$A$5:$A$204&lt;&gt;"")*(A_Corridor!$A$5:$A$204&lt;=$B404)*(A_Corridor!$B$5:$B$204&gt;$B404)*(A_Corridor!$G$5:$G$204&lt;&gt;"")),IF(A_Corridor!$G$5:$G$204="-","",A_Corridor!$G$5:$G$204)),"")</f>
        <v/>
      </c>
      <c r="L404" s="181" t="str">
        <f>IFERROR(LOOKUP(2,1/((A_Corridor!$A$5:$A$204&lt;&gt;"")*(A_Corridor!$A$5:$A$204&lt;=$B404)*(A_Corridor!$B$5:$B$204&gt;$B404)*(A_Corridor!$H$5:$H$204&lt;&gt;"")),IF(A_Corridor!$H$5:$H$204="-","",1)),"")</f>
        <v/>
      </c>
      <c r="M404" s="182" t="str">
        <f>IFERROR(LOOKUP(2,1/((A_Corridor!$A$5:$A$204&lt;&gt;"")*(A_Corridor!$A$5:$A$204&lt;=$B404)*(A_Corridor!$B$5:$B$204&gt;$B404)*(A_Corridor!$H$5:$H$204&lt;&gt;"")),IF(A_Corridor!$H$5:$H$204="-","",A_Corridor!$H$5:$H$204)),"")</f>
        <v/>
      </c>
      <c r="N404" s="182" t="str">
        <f>IFERROR(LOOKUP(2,1/((A_Corridor!$A$5:$A$204&lt;&gt;"")*(A_Corridor!$A$5:$A$204&lt;=$B404)*(A_Corridor!$B$5:$B$204&gt;$B404)*(A_Corridor!$I$5:$I$204&lt;&gt;"")),IF(A_Corridor!$I$5:$I$204="-","",A_Corridor!$I$5:$I$204)),"")</f>
        <v/>
      </c>
      <c r="O404" s="182" t="str">
        <f>IFERROR(LOOKUP(2,1/((D_Points!$A$5:$A$204&lt;&gt;"")*(D_Points!$A$5:$A$204&gt;=$B404)*(D_Points!$A$5:$A$204&lt;$B404+P_Interval)*(UPPER(TRIM(D_Points!$B$5:$B$204))="PITCHING")*(D_Points!$H$5:$H$204&lt;&gt;"")),D_Points!$H$5:$H$204),"")</f>
        <v/>
      </c>
      <c r="P404" s="181" t="str">
        <f>IFERROR(LOOKUP(2,1/((B_Drainage!$A$5:$A$204&lt;&gt;"")*(B_Drainage!$A$5:$A$204&lt;=$B404)*(B_Drainage!$B$5:$B$204&gt;$B404)*(B_Drainage!$C$5:$C$204&lt;&gt;"")),IF(B_Drainage!$C$5:$C$204="-","",UPPER(B_Drainage!$C$5:$C$204))),"")</f>
        <v/>
      </c>
      <c r="Q404" s="181" t="str">
        <f>IFERROR(LOOKUP(2,1/((B_Drainage!$A$5:$A$204&lt;&gt;"")*(B_Drainage!$A$5:$A$204&lt;=$B404)*(B_Drainage!$B$5:$B$204&gt;$B404)*(B_Drainage!$D$5:$D$204&lt;&gt;"")),IF(B_Drainage!$D$5:$D$204="-","",UPPER(B_Drainage!$D$5:$D$204))),"")</f>
        <v/>
      </c>
      <c r="R404" s="182" t="str">
        <f>IFERROR(LOOKUP(2,1/((D_Points!$A$5:$A$204&lt;&gt;"")*(D_Points!$A$5:$A$204&gt;=$B404)*(D_Points!$A$5:$A$204&lt;$B404+P_Interval)*(RIGHT(UPPER(TRIM(D_Points!$B$5:$B$204)),8)="_CULVERT")),IF(LEFT(UPPER(TRIM(D_Points!$B$5:$B$204)),2)="EX",1,IF(LEFT(UPPER(TRIM(D_Points!$B$5:$B$204)),2)="PR",2,3))),"")</f>
        <v/>
      </c>
      <c r="S404" s="182" t="str">
        <f>IFERROR(LOOKUP(2,1/((D_Points!$A$5:$A$204&lt;&gt;"")*(D_Points!$A$5:$A$204&gt;=$B404)*(D_Points!$A$5:$A$204&lt;$B404+P_Interval)*(RIGHT(UPPER(TRIM(D_Points!$B$5:$B$204)),7)="_BRIDGE")),IF(LEFT(UPPER(TRIM(D_Points!$B$5:$B$204)),2)="EX",1,IF(LEFT(UPPER(TRIM(D_Points!$B$5:$B$204)),2)="PR",2,2))),"")</f>
        <v/>
      </c>
      <c r="T404" s="181" t="str">
        <f>IFERROR(LOOKUP(2,1/((B_Drainage!$A$5:$A$204&lt;&gt;"")*(B_Drainage!$A$5:$A$204&lt;=$B404)*(B_Drainage!$B$5:$B$204&gt;$B404)*(B_Drainage!$E$5:$E$204&lt;&gt;"")),IF(B_Drainage!$E$5:$E$204="-","",1)),"")</f>
        <v/>
      </c>
      <c r="U404" s="181" t="str">
        <f>IFERROR(LOOKUP(2,1/((B_Drainage!$A$5:$A$204&lt;&gt;"")*(B_Drainage!$A$5:$A$204&lt;=$B404)*(B_Drainage!$B$5:$B$204&gt;$B404)*(B_Drainage!$E$5:$E$204&lt;&gt;"")),IF(B_Drainage!$E$5:$E$204="-","",B_Drainage!$E$5:$E$204)),"")</f>
        <v/>
      </c>
      <c r="V404" s="181" t="str">
        <f>IFERROR(LOOKUP(2,1/((B_Drainage!$A$5:$A$204&lt;&gt;"")*(B_Drainage!$A$5:$A$204&lt;=$B404)*(B_Drainage!$B$5:$B$204&gt;$B404)*(B_Drainage!$F$5:$F$204&lt;&gt;"")),IF(B_Drainage!$F$5:$F$204="-","",1)),"")</f>
        <v/>
      </c>
      <c r="W404" s="181" t="str">
        <f>IFERROR(LOOKUP(2,1/((B_Drainage!$A$5:$A$204&lt;&gt;"")*(B_Drainage!$A$5:$A$204&lt;=$B404)*(B_Drainage!$B$5:$B$204&gt;$B404)*(B_Drainage!$F$5:$F$204&lt;&gt;"")),IF(B_Drainage!$F$5:$F$204="-","",B_Drainage!$F$5:$F$204)),"")</f>
        <v/>
      </c>
      <c r="X404" s="181" t="str">
        <f>IFERROR(LOOKUP(2,1/((B_Drainage!$A$5:$A$204&lt;&gt;"")*(B_Drainage!$A$5:$A$204&lt;=$B404)*(B_Drainage!$B$5:$B$204&gt;$B404)*(B_Drainage!$G$5:$G$204&lt;&gt;"")),IF(UPPER(B_Drainage!$G$5:$G$204)="Y",1,"")),"")</f>
        <v/>
      </c>
      <c r="Y404" s="181" t="str">
        <f>IFERROR(LOOKUP(2,1/((B_Drainage!$A$5:$A$204&lt;&gt;"")*(B_Drainage!$A$5:$A$204&lt;=$B404)*(B_Drainage!$B$5:$B$204&gt;$B404)*(B_Drainage!$H$5:$H$204&lt;&gt;"")),IF(UPPER(B_Drainage!$H$5:$H$204)="Y",1,"")),"")</f>
        <v/>
      </c>
      <c r="Z404" s="181" t="str">
        <f>IFERROR(LOOKUP(2,1/((B_Drainage!$A$5:$A$204&lt;&gt;"")*(B_Drainage!$A$5:$A$204&lt;=$B404)*(B_Drainage!$B$5:$B$204&gt;$B404)*(B_Drainage!$I$5:$I$204&lt;&gt;"")),IF(UPPER(B_Drainage!$I$5:$I$204)="Y",1,"")),"")</f>
        <v/>
      </c>
      <c r="AA404" s="181" t="str">
        <f>IFERROR(LOOKUP(2,1/((B_Drainage!$A$5:$A$204&lt;&gt;"")*(B_Drainage!$A$5:$A$204&lt;=$B404)*(B_Drainage!$B$5:$B$204&gt;$B404)*(B_Drainage!$J$5:$J$204&lt;&gt;"")),IF(UPPER(B_Drainage!$J$5:$J$204)="Y",1,"")),"")</f>
        <v/>
      </c>
      <c r="AB404" s="182" t="str">
        <f>IFERROR(LOOKUP(2,1/((B_Drainage!$A$5:$A$204&lt;&gt;"")*(B_Drainage!$A$5:$A$204&lt;=$B404)*(B_Drainage!$B$5:$B$204&gt;$B404)*(B_Drainage!$K$5:$K$204&lt;&gt;"")),IF(B_Drainage!$K$5:$K$204="-","",B_Drainage!$K$5:$K$204)),"")</f>
        <v/>
      </c>
      <c r="AC404" s="182" t="str">
        <f>IFERROR(LOOKUP(2,1/((B_Drainage!$A$5:$A$204&lt;&gt;"")*(B_Drainage!$A$5:$A$204&lt;=$B404)*(B_Drainage!$B$5:$B$204&gt;$B404)*(B_Drainage!$L$5:$L$204&lt;&gt;"")),IF(B_Drainage!$L$5:$L$204="-","",B_Drainage!$L$5:$L$204)),"")</f>
        <v/>
      </c>
      <c r="AD404" s="182" t="str">
        <f>IFERROR(LOOKUP(2,1/((D_Points!$A$5:$A$204&lt;&gt;"")*(D_Points!$A$5:$A$204&gt;=$B404)*(D_Points!$A$5:$A$204&lt;$B404+P_Interval)*(UPPER(TRIM(D_Points!$B$5:$B$204))="TURNOUT_L")*(D_Points!$H$5:$H$204&lt;&gt;"")),D_Points!$H$5:$H$204),"")</f>
        <v/>
      </c>
      <c r="AE404" s="182" t="str">
        <f>IFERROR(LOOKUP(2,1/((D_Points!$A$5:$A$204&lt;&gt;"")*(D_Points!$A$5:$A$204&gt;=$B404)*(D_Points!$A$5:$A$204&lt;$B404+P_Interval)*(UPPER(TRIM(D_Points!$B$5:$B$204))="TURNOUT_R")*(D_Points!$H$5:$H$204&lt;&gt;"")),D_Points!$H$5:$H$204),"")</f>
        <v/>
      </c>
      <c r="AF404" s="181" t="str">
        <f>IFERROR(LOOKUP(2,1/((B_Drainage!$A$5:$A$204&lt;&gt;"")*(B_Drainage!$A$5:$A$204&lt;=$B404)*(B_Drainage!$B$5:$B$204&gt;$B404)*(B_Drainage!$M$5:$M$204&lt;&gt;"")),IF(UPPER(B_Drainage!$M$5:$M$204)="Y",1,"")),"")</f>
        <v/>
      </c>
      <c r="AG404" s="181" t="str">
        <f>IFERROR(LOOKUP(2,1/((B_Drainage!$A$5:$A$204&lt;&gt;"")*(B_Drainage!$A$5:$A$204&lt;=$B404)*(B_Drainage!$B$5:$B$204&gt;$B404)*(B_Drainage!$N$5:$N$204&lt;&gt;"")),IF(UPPER(B_Drainage!$N$5:$N$204)="Y",1,"")),"")</f>
        <v/>
      </c>
      <c r="AH404" s="181" t="str">
        <f t="shared" si="48"/>
        <v/>
      </c>
      <c r="AI404" s="181" t="str">
        <f t="shared" si="49"/>
        <v/>
      </c>
      <c r="AJ404" s="181" t="str">
        <f t="shared" si="50"/>
        <v/>
      </c>
      <c r="AK404" s="181" t="str">
        <f t="shared" si="51"/>
        <v/>
      </c>
      <c r="AL404" s="181" t="str">
        <f t="shared" si="52"/>
        <v/>
      </c>
      <c r="AM404" s="181" t="str">
        <f t="shared" si="53"/>
        <v/>
      </c>
      <c r="AN404" s="181" t="str">
        <f t="shared" si="54"/>
        <v/>
      </c>
      <c r="AO404" s="192" t="str">
        <f t="shared" si="55"/>
        <v/>
      </c>
      <c r="AQ404" t="str">
        <f>IFERROR(LOOKUP(2,1/((C_Pavement!$A$5:$A$204&lt;&gt;"")*(C_Pavement!$A$5:$A$204&lt;=$B404)*(C_Pavement!$B$5:$B$204&gt;$B404)*(C_Pavement!$C$5:$C$204&lt;&gt;"")),ROW(C_Pavement!$C$5:$C$204)-4),"")</f>
        <v/>
      </c>
      <c r="AR404" t="str">
        <f>IF($AQ404="","",UPPER(TRIM(INDEX(C_Pavement!$C$5:$C$204,$AQ404))))</f>
        <v/>
      </c>
      <c r="AS404" t="str">
        <f>IF($AR404="","",IFERROR(MATCH($AR404,E_Rules!$A$5:$A$9,0),""))</f>
        <v/>
      </c>
      <c r="AT404" t="str">
        <f>IF($AQ404="","",IF(INDEX(C_Pavement!$D$5:$D$204,$AQ404)&lt;&gt;"",UPPER(TRIM(INDEX(C_Pavement!$D$5:$D$204,$AQ404))),IF($AS404="","",INDEX(E_Rules!$C$5:$C$9,$AS404))))</f>
        <v/>
      </c>
      <c r="AU404" t="str">
        <f>IF($AQ404="","",IF(INDEX(C_Pavement!$E$5:$E$204,$AQ404)&lt;&gt;"",IF(INDEX(C_Pavement!$E$5:$E$204,$AQ404)="-","",INDEX(C_Pavement!$E$5:$E$204,$AQ404)),IF($AS404="","",INDEX(E_Rules!$D$5:$D$9,$AS404))))</f>
        <v/>
      </c>
      <c r="AV404" t="str">
        <f>IF($AQ404="","",IF(INDEX(C_Pavement!$F$5:$F$204,$AQ404)&lt;&gt;"",IF(INDEX(C_Pavement!$F$5:$F$204,$AQ404)="-","",INDEX(C_Pavement!$F$5:$F$204,$AQ404)),IF($AS404="","",INDEX(E_Rules!$E$5:$E$9,$AS404))))</f>
        <v/>
      </c>
      <c r="AW404" t="str">
        <f>IF($AQ404="","",IF(INDEX(C_Pavement!$G$5:$G$204,$AQ404)&lt;&gt;"",IF(INDEX(C_Pavement!$G$5:$G$204,$AQ404)="-","",INDEX(C_Pavement!$G$5:$G$204,$AQ404)),IF($AS404="","",INDEX(E_Rules!$F$5:$F$9,$AS404))))</f>
        <v/>
      </c>
      <c r="AX404" t="str">
        <f>IF($AQ404="","",IF(INDEX(C_Pavement!$H$5:$H$204,$AQ404)&lt;&gt;"",IF(INDEX(C_Pavement!$H$5:$H$204,$AQ404)="-","",INDEX(C_Pavement!$H$5:$H$204,$AQ404)),IF($AS404="","",INDEX(E_Rules!$G$5:$G$9,$AS404))))</f>
        <v/>
      </c>
      <c r="AY404" t="str">
        <f>IF($AQ404="","",IF(INDEX(C_Pavement!$I$5:$I$204,$AQ404)&lt;&gt;"",IF(INDEX(C_Pavement!$I$5:$I$204,$AQ404)="-","",INDEX(C_Pavement!$I$5:$I$204,$AQ404)),IF($AS404="","",INDEX(E_Rules!$H$5:$H$9,$AS404))))</f>
        <v/>
      </c>
    </row>
    <row r="405" spans="1:51" ht="15.75" customHeight="1" x14ac:dyDescent="0.3">
      <c r="A405" s="189">
        <v>400</v>
      </c>
      <c r="B405" s="180">
        <v>19950</v>
      </c>
      <c r="C405" s="180" t="s">
        <v>711</v>
      </c>
      <c r="D405" s="181" t="str">
        <f>IFERROR(LOOKUP(2,1/((A_Corridor!$A$5:$A$204&lt;&gt;"")*(A_Corridor!$A$5:$A$204&lt;=$B405)*(A_Corridor!$B$5:$B$204&gt;$B405)*(A_Corridor!$C$5:$C$204&lt;&gt;"")),IF(UPPER(A_Corridor!$C$5:$C$204)="Y",1,"")),"")</f>
        <v/>
      </c>
      <c r="E405" s="181" t="str">
        <f>IFERROR(LOOKUP(2,1/((A_Corridor!$A$5:$A$204&lt;&gt;"")*(A_Corridor!$A$5:$A$204&lt;=$B405)*(A_Corridor!$B$5:$B$204&gt;$B405)*(A_Corridor!$D$5:$D$204&lt;&gt;"")),IF(A_Corridor!$D$5:$D$204="-","",UPPER(A_Corridor!$D$5:$D$204))),"")</f>
        <v/>
      </c>
      <c r="F405" s="181" t="str">
        <f>IFERROR(LOOKUP(2,1/((A_Corridor!$A$5:$A$204&lt;&gt;"")*(A_Corridor!$A$5:$A$204&lt;=$B405)*(A_Corridor!$B$5:$B$204&gt;$B405)*(A_Corridor!$E$5:$E$204&lt;&gt;"")),IF(A_Corridor!$E$5:$E$204="-","",1)),"")</f>
        <v/>
      </c>
      <c r="G405" s="182" t="str">
        <f>IFERROR(LOOKUP(2,1/((A_Corridor!$A$5:$A$204&lt;&gt;"")*(A_Corridor!$A$5:$A$204&lt;=$B405)*(A_Corridor!$B$5:$B$204&gt;$B405)*(A_Corridor!$E$5:$E$204&lt;&gt;"")),IF(A_Corridor!$E$5:$E$204="-","",A_Corridor!$E$5:$E$204)),"")</f>
        <v/>
      </c>
      <c r="H405" s="182" t="str">
        <f>IFERROR(LOOKUP(2,1/((D_Points!$A$5:$A$204&lt;&gt;"")*(D_Points!$A$5:$A$204&gt;=$B405)*(D_Points!$A$5:$A$204&lt;$B405+P_Interval)*(UPPER(TRIM(D_Points!$B$5:$B$204))="GULLY")*(D_Points!$H$5:$H$204&lt;&gt;"")),D_Points!$H$5:$H$204),"")</f>
        <v/>
      </c>
      <c r="I405" s="181" t="str">
        <f>IFERROR(LOOKUP(2,1/((A_Corridor!$A$5:$A$204&lt;&gt;"")*(A_Corridor!$A$5:$A$204&lt;=$B405)*(A_Corridor!$B$5:$B$204&gt;$B405)*(A_Corridor!$F$5:$F$204&lt;&gt;"")),IF(A_Corridor!$F$5:$F$204="-","",1)),"")</f>
        <v/>
      </c>
      <c r="J405" s="182" t="str">
        <f>IFERROR(LOOKUP(2,1/((A_Corridor!$A$5:$A$204&lt;&gt;"")*(A_Corridor!$A$5:$A$204&lt;=$B405)*(A_Corridor!$B$5:$B$204&gt;$B405)*(A_Corridor!$F$5:$F$204&lt;&gt;"")),IF(A_Corridor!$F$5:$F$204="-","",A_Corridor!$F$5:$F$204)),"")</f>
        <v/>
      </c>
      <c r="K405" s="182" t="str">
        <f>IFERROR(LOOKUP(2,1/((A_Corridor!$A$5:$A$204&lt;&gt;"")*(A_Corridor!$A$5:$A$204&lt;=$B405)*(A_Corridor!$B$5:$B$204&gt;$B405)*(A_Corridor!$G$5:$G$204&lt;&gt;"")),IF(A_Corridor!$G$5:$G$204="-","",A_Corridor!$G$5:$G$204)),"")</f>
        <v/>
      </c>
      <c r="L405" s="181" t="str">
        <f>IFERROR(LOOKUP(2,1/((A_Corridor!$A$5:$A$204&lt;&gt;"")*(A_Corridor!$A$5:$A$204&lt;=$B405)*(A_Corridor!$B$5:$B$204&gt;$B405)*(A_Corridor!$H$5:$H$204&lt;&gt;"")),IF(A_Corridor!$H$5:$H$204="-","",1)),"")</f>
        <v/>
      </c>
      <c r="M405" s="182" t="str">
        <f>IFERROR(LOOKUP(2,1/((A_Corridor!$A$5:$A$204&lt;&gt;"")*(A_Corridor!$A$5:$A$204&lt;=$B405)*(A_Corridor!$B$5:$B$204&gt;$B405)*(A_Corridor!$H$5:$H$204&lt;&gt;"")),IF(A_Corridor!$H$5:$H$204="-","",A_Corridor!$H$5:$H$204)),"")</f>
        <v/>
      </c>
      <c r="N405" s="182" t="str">
        <f>IFERROR(LOOKUP(2,1/((A_Corridor!$A$5:$A$204&lt;&gt;"")*(A_Corridor!$A$5:$A$204&lt;=$B405)*(A_Corridor!$B$5:$B$204&gt;$B405)*(A_Corridor!$I$5:$I$204&lt;&gt;"")),IF(A_Corridor!$I$5:$I$204="-","",A_Corridor!$I$5:$I$204)),"")</f>
        <v/>
      </c>
      <c r="O405" s="182" t="str">
        <f>IFERROR(LOOKUP(2,1/((D_Points!$A$5:$A$204&lt;&gt;"")*(D_Points!$A$5:$A$204&gt;=$B405)*(D_Points!$A$5:$A$204&lt;$B405+P_Interval)*(UPPER(TRIM(D_Points!$B$5:$B$204))="PITCHING")*(D_Points!$H$5:$H$204&lt;&gt;"")),D_Points!$H$5:$H$204),"")</f>
        <v/>
      </c>
      <c r="P405" s="181" t="str">
        <f>IFERROR(LOOKUP(2,1/((B_Drainage!$A$5:$A$204&lt;&gt;"")*(B_Drainage!$A$5:$A$204&lt;=$B405)*(B_Drainage!$B$5:$B$204&gt;$B405)*(B_Drainage!$C$5:$C$204&lt;&gt;"")),IF(B_Drainage!$C$5:$C$204="-","",UPPER(B_Drainage!$C$5:$C$204))),"")</f>
        <v/>
      </c>
      <c r="Q405" s="181" t="str">
        <f>IFERROR(LOOKUP(2,1/((B_Drainage!$A$5:$A$204&lt;&gt;"")*(B_Drainage!$A$5:$A$204&lt;=$B405)*(B_Drainage!$B$5:$B$204&gt;$B405)*(B_Drainage!$D$5:$D$204&lt;&gt;"")),IF(B_Drainage!$D$5:$D$204="-","",UPPER(B_Drainage!$D$5:$D$204))),"")</f>
        <v/>
      </c>
      <c r="R405" s="182" t="str">
        <f>IFERROR(LOOKUP(2,1/((D_Points!$A$5:$A$204&lt;&gt;"")*(D_Points!$A$5:$A$204&gt;=$B405)*(D_Points!$A$5:$A$204&lt;$B405+P_Interval)*(RIGHT(UPPER(TRIM(D_Points!$B$5:$B$204)),8)="_CULVERT")),IF(LEFT(UPPER(TRIM(D_Points!$B$5:$B$204)),2)="EX",1,IF(LEFT(UPPER(TRIM(D_Points!$B$5:$B$204)),2)="PR",2,3))),"")</f>
        <v/>
      </c>
      <c r="S405" s="182" t="str">
        <f>IFERROR(LOOKUP(2,1/((D_Points!$A$5:$A$204&lt;&gt;"")*(D_Points!$A$5:$A$204&gt;=$B405)*(D_Points!$A$5:$A$204&lt;$B405+P_Interval)*(RIGHT(UPPER(TRIM(D_Points!$B$5:$B$204)),7)="_BRIDGE")),IF(LEFT(UPPER(TRIM(D_Points!$B$5:$B$204)),2)="EX",1,IF(LEFT(UPPER(TRIM(D_Points!$B$5:$B$204)),2)="PR",2,2))),"")</f>
        <v/>
      </c>
      <c r="T405" s="181" t="str">
        <f>IFERROR(LOOKUP(2,1/((B_Drainage!$A$5:$A$204&lt;&gt;"")*(B_Drainage!$A$5:$A$204&lt;=$B405)*(B_Drainage!$B$5:$B$204&gt;$B405)*(B_Drainage!$E$5:$E$204&lt;&gt;"")),IF(B_Drainage!$E$5:$E$204="-","",1)),"")</f>
        <v/>
      </c>
      <c r="U405" s="181" t="str">
        <f>IFERROR(LOOKUP(2,1/((B_Drainage!$A$5:$A$204&lt;&gt;"")*(B_Drainage!$A$5:$A$204&lt;=$B405)*(B_Drainage!$B$5:$B$204&gt;$B405)*(B_Drainage!$E$5:$E$204&lt;&gt;"")),IF(B_Drainage!$E$5:$E$204="-","",B_Drainage!$E$5:$E$204)),"")</f>
        <v/>
      </c>
      <c r="V405" s="181" t="str">
        <f>IFERROR(LOOKUP(2,1/((B_Drainage!$A$5:$A$204&lt;&gt;"")*(B_Drainage!$A$5:$A$204&lt;=$B405)*(B_Drainage!$B$5:$B$204&gt;$B405)*(B_Drainage!$F$5:$F$204&lt;&gt;"")),IF(B_Drainage!$F$5:$F$204="-","",1)),"")</f>
        <v/>
      </c>
      <c r="W405" s="181" t="str">
        <f>IFERROR(LOOKUP(2,1/((B_Drainage!$A$5:$A$204&lt;&gt;"")*(B_Drainage!$A$5:$A$204&lt;=$B405)*(B_Drainage!$B$5:$B$204&gt;$B405)*(B_Drainage!$F$5:$F$204&lt;&gt;"")),IF(B_Drainage!$F$5:$F$204="-","",B_Drainage!$F$5:$F$204)),"")</f>
        <v/>
      </c>
      <c r="X405" s="181" t="str">
        <f>IFERROR(LOOKUP(2,1/((B_Drainage!$A$5:$A$204&lt;&gt;"")*(B_Drainage!$A$5:$A$204&lt;=$B405)*(B_Drainage!$B$5:$B$204&gt;$B405)*(B_Drainage!$G$5:$G$204&lt;&gt;"")),IF(UPPER(B_Drainage!$G$5:$G$204)="Y",1,"")),"")</f>
        <v/>
      </c>
      <c r="Y405" s="181" t="str">
        <f>IFERROR(LOOKUP(2,1/((B_Drainage!$A$5:$A$204&lt;&gt;"")*(B_Drainage!$A$5:$A$204&lt;=$B405)*(B_Drainage!$B$5:$B$204&gt;$B405)*(B_Drainage!$H$5:$H$204&lt;&gt;"")),IF(UPPER(B_Drainage!$H$5:$H$204)="Y",1,"")),"")</f>
        <v/>
      </c>
      <c r="Z405" s="181" t="str">
        <f>IFERROR(LOOKUP(2,1/((B_Drainage!$A$5:$A$204&lt;&gt;"")*(B_Drainage!$A$5:$A$204&lt;=$B405)*(B_Drainage!$B$5:$B$204&gt;$B405)*(B_Drainage!$I$5:$I$204&lt;&gt;"")),IF(UPPER(B_Drainage!$I$5:$I$204)="Y",1,"")),"")</f>
        <v/>
      </c>
      <c r="AA405" s="181" t="str">
        <f>IFERROR(LOOKUP(2,1/((B_Drainage!$A$5:$A$204&lt;&gt;"")*(B_Drainage!$A$5:$A$204&lt;=$B405)*(B_Drainage!$B$5:$B$204&gt;$B405)*(B_Drainage!$J$5:$J$204&lt;&gt;"")),IF(UPPER(B_Drainage!$J$5:$J$204)="Y",1,"")),"")</f>
        <v/>
      </c>
      <c r="AB405" s="182" t="str">
        <f>IFERROR(LOOKUP(2,1/((B_Drainage!$A$5:$A$204&lt;&gt;"")*(B_Drainage!$A$5:$A$204&lt;=$B405)*(B_Drainage!$B$5:$B$204&gt;$B405)*(B_Drainage!$K$5:$K$204&lt;&gt;"")),IF(B_Drainage!$K$5:$K$204="-","",B_Drainage!$K$5:$K$204)),"")</f>
        <v/>
      </c>
      <c r="AC405" s="182" t="str">
        <f>IFERROR(LOOKUP(2,1/((B_Drainage!$A$5:$A$204&lt;&gt;"")*(B_Drainage!$A$5:$A$204&lt;=$B405)*(B_Drainage!$B$5:$B$204&gt;$B405)*(B_Drainage!$L$5:$L$204&lt;&gt;"")),IF(B_Drainage!$L$5:$L$204="-","",B_Drainage!$L$5:$L$204)),"")</f>
        <v/>
      </c>
      <c r="AD405" s="182" t="str">
        <f>IFERROR(LOOKUP(2,1/((D_Points!$A$5:$A$204&lt;&gt;"")*(D_Points!$A$5:$A$204&gt;=$B405)*(D_Points!$A$5:$A$204&lt;$B405+P_Interval)*(UPPER(TRIM(D_Points!$B$5:$B$204))="TURNOUT_L")*(D_Points!$H$5:$H$204&lt;&gt;"")),D_Points!$H$5:$H$204),"")</f>
        <v/>
      </c>
      <c r="AE405" s="182" t="str">
        <f>IFERROR(LOOKUP(2,1/((D_Points!$A$5:$A$204&lt;&gt;"")*(D_Points!$A$5:$A$204&gt;=$B405)*(D_Points!$A$5:$A$204&lt;$B405+P_Interval)*(UPPER(TRIM(D_Points!$B$5:$B$204))="TURNOUT_R")*(D_Points!$H$5:$H$204&lt;&gt;"")),D_Points!$H$5:$H$204),"")</f>
        <v/>
      </c>
      <c r="AF405" s="181" t="str">
        <f>IFERROR(LOOKUP(2,1/((B_Drainage!$A$5:$A$204&lt;&gt;"")*(B_Drainage!$A$5:$A$204&lt;=$B405)*(B_Drainage!$B$5:$B$204&gt;$B405)*(B_Drainage!$M$5:$M$204&lt;&gt;"")),IF(UPPER(B_Drainage!$M$5:$M$204)="Y",1,"")),"")</f>
        <v/>
      </c>
      <c r="AG405" s="181" t="str">
        <f>IFERROR(LOOKUP(2,1/((B_Drainage!$A$5:$A$204&lt;&gt;"")*(B_Drainage!$A$5:$A$204&lt;=$B405)*(B_Drainage!$B$5:$B$204&gt;$B405)*(B_Drainage!$N$5:$N$204&lt;&gt;"")),IF(UPPER(B_Drainage!$N$5:$N$204)="Y",1,"")),"")</f>
        <v/>
      </c>
      <c r="AH405" s="181" t="str">
        <f t="shared" si="48"/>
        <v/>
      </c>
      <c r="AI405" s="181" t="str">
        <f t="shared" si="49"/>
        <v/>
      </c>
      <c r="AJ405" s="181" t="str">
        <f t="shared" si="50"/>
        <v/>
      </c>
      <c r="AK405" s="181" t="str">
        <f t="shared" si="51"/>
        <v/>
      </c>
      <c r="AL405" s="181" t="str">
        <f t="shared" si="52"/>
        <v/>
      </c>
      <c r="AM405" s="181" t="str">
        <f t="shared" si="53"/>
        <v/>
      </c>
      <c r="AN405" s="181" t="str">
        <f t="shared" si="54"/>
        <v/>
      </c>
      <c r="AO405" s="192" t="str">
        <f t="shared" si="55"/>
        <v/>
      </c>
      <c r="AQ405" t="str">
        <f>IFERROR(LOOKUP(2,1/((C_Pavement!$A$5:$A$204&lt;&gt;"")*(C_Pavement!$A$5:$A$204&lt;=$B405)*(C_Pavement!$B$5:$B$204&gt;$B405)*(C_Pavement!$C$5:$C$204&lt;&gt;"")),ROW(C_Pavement!$C$5:$C$204)-4),"")</f>
        <v/>
      </c>
      <c r="AR405" t="str">
        <f>IF($AQ405="","",UPPER(TRIM(INDEX(C_Pavement!$C$5:$C$204,$AQ405))))</f>
        <v/>
      </c>
      <c r="AS405" t="str">
        <f>IF($AR405="","",IFERROR(MATCH($AR405,E_Rules!$A$5:$A$9,0),""))</f>
        <v/>
      </c>
      <c r="AT405" t="str">
        <f>IF($AQ405="","",IF(INDEX(C_Pavement!$D$5:$D$204,$AQ405)&lt;&gt;"",UPPER(TRIM(INDEX(C_Pavement!$D$5:$D$204,$AQ405))),IF($AS405="","",INDEX(E_Rules!$C$5:$C$9,$AS405))))</f>
        <v/>
      </c>
      <c r="AU405" t="str">
        <f>IF($AQ405="","",IF(INDEX(C_Pavement!$E$5:$E$204,$AQ405)&lt;&gt;"",IF(INDEX(C_Pavement!$E$5:$E$204,$AQ405)="-","",INDEX(C_Pavement!$E$5:$E$204,$AQ405)),IF($AS405="","",INDEX(E_Rules!$D$5:$D$9,$AS405))))</f>
        <v/>
      </c>
      <c r="AV405" t="str">
        <f>IF($AQ405="","",IF(INDEX(C_Pavement!$F$5:$F$204,$AQ405)&lt;&gt;"",IF(INDEX(C_Pavement!$F$5:$F$204,$AQ405)="-","",INDEX(C_Pavement!$F$5:$F$204,$AQ405)),IF($AS405="","",INDEX(E_Rules!$E$5:$E$9,$AS405))))</f>
        <v/>
      </c>
      <c r="AW405" t="str">
        <f>IF($AQ405="","",IF(INDEX(C_Pavement!$G$5:$G$204,$AQ405)&lt;&gt;"",IF(INDEX(C_Pavement!$G$5:$G$204,$AQ405)="-","",INDEX(C_Pavement!$G$5:$G$204,$AQ405)),IF($AS405="","",INDEX(E_Rules!$F$5:$F$9,$AS405))))</f>
        <v/>
      </c>
      <c r="AX405" t="str">
        <f>IF($AQ405="","",IF(INDEX(C_Pavement!$H$5:$H$204,$AQ405)&lt;&gt;"",IF(INDEX(C_Pavement!$H$5:$H$204,$AQ405)="-","",INDEX(C_Pavement!$H$5:$H$204,$AQ405)),IF($AS405="","",INDEX(E_Rules!$G$5:$G$9,$AS405))))</f>
        <v/>
      </c>
      <c r="AY405" t="str">
        <f>IF($AQ405="","",IF(INDEX(C_Pavement!$I$5:$I$204,$AQ405)&lt;&gt;"",IF(INDEX(C_Pavement!$I$5:$I$204,$AQ405)="-","",INDEX(C_Pavement!$I$5:$I$204,$AQ405)),IF($AS405="","",INDEX(E_Rules!$H$5:$H$9,$AS405))))</f>
        <v/>
      </c>
    </row>
    <row r="406" spans="1:51" ht="15.75" customHeight="1" x14ac:dyDescent="0.3">
      <c r="A406" s="189">
        <v>401</v>
      </c>
      <c r="B406" s="180">
        <v>20000</v>
      </c>
      <c r="C406" s="180" t="s">
        <v>712</v>
      </c>
      <c r="D406" s="181" t="str">
        <f>IFERROR(LOOKUP(2,1/((A_Corridor!$A$5:$A$204&lt;&gt;"")*(A_Corridor!$A$5:$A$204&lt;=$B406)*(A_Corridor!$B$5:$B$204&gt;$B406)*(A_Corridor!$C$5:$C$204&lt;&gt;"")),IF(UPPER(A_Corridor!$C$5:$C$204)="Y",1,"")),"")</f>
        <v/>
      </c>
      <c r="E406" s="181" t="str">
        <f>IFERROR(LOOKUP(2,1/((A_Corridor!$A$5:$A$204&lt;&gt;"")*(A_Corridor!$A$5:$A$204&lt;=$B406)*(A_Corridor!$B$5:$B$204&gt;$B406)*(A_Corridor!$D$5:$D$204&lt;&gt;"")),IF(A_Corridor!$D$5:$D$204="-","",UPPER(A_Corridor!$D$5:$D$204))),"")</f>
        <v/>
      </c>
      <c r="F406" s="181" t="str">
        <f>IFERROR(LOOKUP(2,1/((A_Corridor!$A$5:$A$204&lt;&gt;"")*(A_Corridor!$A$5:$A$204&lt;=$B406)*(A_Corridor!$B$5:$B$204&gt;$B406)*(A_Corridor!$E$5:$E$204&lt;&gt;"")),IF(A_Corridor!$E$5:$E$204="-","",1)),"")</f>
        <v/>
      </c>
      <c r="G406" s="182" t="str">
        <f>IFERROR(LOOKUP(2,1/((A_Corridor!$A$5:$A$204&lt;&gt;"")*(A_Corridor!$A$5:$A$204&lt;=$B406)*(A_Corridor!$B$5:$B$204&gt;$B406)*(A_Corridor!$E$5:$E$204&lt;&gt;"")),IF(A_Corridor!$E$5:$E$204="-","",A_Corridor!$E$5:$E$204)),"")</f>
        <v/>
      </c>
      <c r="H406" s="182" t="str">
        <f>IFERROR(LOOKUP(2,1/((D_Points!$A$5:$A$204&lt;&gt;"")*(D_Points!$A$5:$A$204&gt;=$B406)*(D_Points!$A$5:$A$204&lt;$B406+P_Interval)*(UPPER(TRIM(D_Points!$B$5:$B$204))="GULLY")*(D_Points!$H$5:$H$204&lt;&gt;"")),D_Points!$H$5:$H$204),"")</f>
        <v/>
      </c>
      <c r="I406" s="181" t="str">
        <f>IFERROR(LOOKUP(2,1/((A_Corridor!$A$5:$A$204&lt;&gt;"")*(A_Corridor!$A$5:$A$204&lt;=$B406)*(A_Corridor!$B$5:$B$204&gt;$B406)*(A_Corridor!$F$5:$F$204&lt;&gt;"")),IF(A_Corridor!$F$5:$F$204="-","",1)),"")</f>
        <v/>
      </c>
      <c r="J406" s="182" t="str">
        <f>IFERROR(LOOKUP(2,1/((A_Corridor!$A$5:$A$204&lt;&gt;"")*(A_Corridor!$A$5:$A$204&lt;=$B406)*(A_Corridor!$B$5:$B$204&gt;$B406)*(A_Corridor!$F$5:$F$204&lt;&gt;"")),IF(A_Corridor!$F$5:$F$204="-","",A_Corridor!$F$5:$F$204)),"")</f>
        <v/>
      </c>
      <c r="K406" s="182" t="str">
        <f>IFERROR(LOOKUP(2,1/((A_Corridor!$A$5:$A$204&lt;&gt;"")*(A_Corridor!$A$5:$A$204&lt;=$B406)*(A_Corridor!$B$5:$B$204&gt;$B406)*(A_Corridor!$G$5:$G$204&lt;&gt;"")),IF(A_Corridor!$G$5:$G$204="-","",A_Corridor!$G$5:$G$204)),"")</f>
        <v/>
      </c>
      <c r="L406" s="181" t="str">
        <f>IFERROR(LOOKUP(2,1/((A_Corridor!$A$5:$A$204&lt;&gt;"")*(A_Corridor!$A$5:$A$204&lt;=$B406)*(A_Corridor!$B$5:$B$204&gt;$B406)*(A_Corridor!$H$5:$H$204&lt;&gt;"")),IF(A_Corridor!$H$5:$H$204="-","",1)),"")</f>
        <v/>
      </c>
      <c r="M406" s="182" t="str">
        <f>IFERROR(LOOKUP(2,1/((A_Corridor!$A$5:$A$204&lt;&gt;"")*(A_Corridor!$A$5:$A$204&lt;=$B406)*(A_Corridor!$B$5:$B$204&gt;$B406)*(A_Corridor!$H$5:$H$204&lt;&gt;"")),IF(A_Corridor!$H$5:$H$204="-","",A_Corridor!$H$5:$H$204)),"")</f>
        <v/>
      </c>
      <c r="N406" s="182" t="str">
        <f>IFERROR(LOOKUP(2,1/((A_Corridor!$A$5:$A$204&lt;&gt;"")*(A_Corridor!$A$5:$A$204&lt;=$B406)*(A_Corridor!$B$5:$B$204&gt;$B406)*(A_Corridor!$I$5:$I$204&lt;&gt;"")),IF(A_Corridor!$I$5:$I$204="-","",A_Corridor!$I$5:$I$204)),"")</f>
        <v/>
      </c>
      <c r="O406" s="182" t="str">
        <f>IFERROR(LOOKUP(2,1/((D_Points!$A$5:$A$204&lt;&gt;"")*(D_Points!$A$5:$A$204&gt;=$B406)*(D_Points!$A$5:$A$204&lt;$B406+P_Interval)*(UPPER(TRIM(D_Points!$B$5:$B$204))="PITCHING")*(D_Points!$H$5:$H$204&lt;&gt;"")),D_Points!$H$5:$H$204),"")</f>
        <v/>
      </c>
      <c r="P406" s="181" t="str">
        <f>IFERROR(LOOKUP(2,1/((B_Drainage!$A$5:$A$204&lt;&gt;"")*(B_Drainage!$A$5:$A$204&lt;=$B406)*(B_Drainage!$B$5:$B$204&gt;$B406)*(B_Drainage!$C$5:$C$204&lt;&gt;"")),IF(B_Drainage!$C$5:$C$204="-","",UPPER(B_Drainage!$C$5:$C$204))),"")</f>
        <v/>
      </c>
      <c r="Q406" s="181" t="str">
        <f>IFERROR(LOOKUP(2,1/((B_Drainage!$A$5:$A$204&lt;&gt;"")*(B_Drainage!$A$5:$A$204&lt;=$B406)*(B_Drainage!$B$5:$B$204&gt;$B406)*(B_Drainage!$D$5:$D$204&lt;&gt;"")),IF(B_Drainage!$D$5:$D$204="-","",UPPER(B_Drainage!$D$5:$D$204))),"")</f>
        <v/>
      </c>
      <c r="R406" s="182" t="str">
        <f>IFERROR(LOOKUP(2,1/((D_Points!$A$5:$A$204&lt;&gt;"")*(D_Points!$A$5:$A$204&gt;=$B406)*(D_Points!$A$5:$A$204&lt;$B406+P_Interval)*(RIGHT(UPPER(TRIM(D_Points!$B$5:$B$204)),8)="_CULVERT")),IF(LEFT(UPPER(TRIM(D_Points!$B$5:$B$204)),2)="EX",1,IF(LEFT(UPPER(TRIM(D_Points!$B$5:$B$204)),2)="PR",2,3))),"")</f>
        <v/>
      </c>
      <c r="S406" s="182" t="str">
        <f>IFERROR(LOOKUP(2,1/((D_Points!$A$5:$A$204&lt;&gt;"")*(D_Points!$A$5:$A$204&gt;=$B406)*(D_Points!$A$5:$A$204&lt;$B406+P_Interval)*(RIGHT(UPPER(TRIM(D_Points!$B$5:$B$204)),7)="_BRIDGE")),IF(LEFT(UPPER(TRIM(D_Points!$B$5:$B$204)),2)="EX",1,IF(LEFT(UPPER(TRIM(D_Points!$B$5:$B$204)),2)="PR",2,2))),"")</f>
        <v/>
      </c>
      <c r="T406" s="181" t="str">
        <f>IFERROR(LOOKUP(2,1/((B_Drainage!$A$5:$A$204&lt;&gt;"")*(B_Drainage!$A$5:$A$204&lt;=$B406)*(B_Drainage!$B$5:$B$204&gt;$B406)*(B_Drainage!$E$5:$E$204&lt;&gt;"")),IF(B_Drainage!$E$5:$E$204="-","",1)),"")</f>
        <v/>
      </c>
      <c r="U406" s="181" t="str">
        <f>IFERROR(LOOKUP(2,1/((B_Drainage!$A$5:$A$204&lt;&gt;"")*(B_Drainage!$A$5:$A$204&lt;=$B406)*(B_Drainage!$B$5:$B$204&gt;$B406)*(B_Drainage!$E$5:$E$204&lt;&gt;"")),IF(B_Drainage!$E$5:$E$204="-","",B_Drainage!$E$5:$E$204)),"")</f>
        <v/>
      </c>
      <c r="V406" s="181" t="str">
        <f>IFERROR(LOOKUP(2,1/((B_Drainage!$A$5:$A$204&lt;&gt;"")*(B_Drainage!$A$5:$A$204&lt;=$B406)*(B_Drainage!$B$5:$B$204&gt;$B406)*(B_Drainage!$F$5:$F$204&lt;&gt;"")),IF(B_Drainage!$F$5:$F$204="-","",1)),"")</f>
        <v/>
      </c>
      <c r="W406" s="181" t="str">
        <f>IFERROR(LOOKUP(2,1/((B_Drainage!$A$5:$A$204&lt;&gt;"")*(B_Drainage!$A$5:$A$204&lt;=$B406)*(B_Drainage!$B$5:$B$204&gt;$B406)*(B_Drainage!$F$5:$F$204&lt;&gt;"")),IF(B_Drainage!$F$5:$F$204="-","",B_Drainage!$F$5:$F$204)),"")</f>
        <v/>
      </c>
      <c r="X406" s="181" t="str">
        <f>IFERROR(LOOKUP(2,1/((B_Drainage!$A$5:$A$204&lt;&gt;"")*(B_Drainage!$A$5:$A$204&lt;=$B406)*(B_Drainage!$B$5:$B$204&gt;$B406)*(B_Drainage!$G$5:$G$204&lt;&gt;"")),IF(UPPER(B_Drainage!$G$5:$G$204)="Y",1,"")),"")</f>
        <v/>
      </c>
      <c r="Y406" s="181" t="str">
        <f>IFERROR(LOOKUP(2,1/((B_Drainage!$A$5:$A$204&lt;&gt;"")*(B_Drainage!$A$5:$A$204&lt;=$B406)*(B_Drainage!$B$5:$B$204&gt;$B406)*(B_Drainage!$H$5:$H$204&lt;&gt;"")),IF(UPPER(B_Drainage!$H$5:$H$204)="Y",1,"")),"")</f>
        <v/>
      </c>
      <c r="Z406" s="181" t="str">
        <f>IFERROR(LOOKUP(2,1/((B_Drainage!$A$5:$A$204&lt;&gt;"")*(B_Drainage!$A$5:$A$204&lt;=$B406)*(B_Drainage!$B$5:$B$204&gt;$B406)*(B_Drainage!$I$5:$I$204&lt;&gt;"")),IF(UPPER(B_Drainage!$I$5:$I$204)="Y",1,"")),"")</f>
        <v/>
      </c>
      <c r="AA406" s="181" t="str">
        <f>IFERROR(LOOKUP(2,1/((B_Drainage!$A$5:$A$204&lt;&gt;"")*(B_Drainage!$A$5:$A$204&lt;=$B406)*(B_Drainage!$B$5:$B$204&gt;$B406)*(B_Drainage!$J$5:$J$204&lt;&gt;"")),IF(UPPER(B_Drainage!$J$5:$J$204)="Y",1,"")),"")</f>
        <v/>
      </c>
      <c r="AB406" s="182" t="str">
        <f>IFERROR(LOOKUP(2,1/((B_Drainage!$A$5:$A$204&lt;&gt;"")*(B_Drainage!$A$5:$A$204&lt;=$B406)*(B_Drainage!$B$5:$B$204&gt;$B406)*(B_Drainage!$K$5:$K$204&lt;&gt;"")),IF(B_Drainage!$K$5:$K$204="-","",B_Drainage!$K$5:$K$204)),"")</f>
        <v/>
      </c>
      <c r="AC406" s="182" t="str">
        <f>IFERROR(LOOKUP(2,1/((B_Drainage!$A$5:$A$204&lt;&gt;"")*(B_Drainage!$A$5:$A$204&lt;=$B406)*(B_Drainage!$B$5:$B$204&gt;$B406)*(B_Drainage!$L$5:$L$204&lt;&gt;"")),IF(B_Drainage!$L$5:$L$204="-","",B_Drainage!$L$5:$L$204)),"")</f>
        <v/>
      </c>
      <c r="AD406" s="182" t="str">
        <f>IFERROR(LOOKUP(2,1/((D_Points!$A$5:$A$204&lt;&gt;"")*(D_Points!$A$5:$A$204&gt;=$B406)*(D_Points!$A$5:$A$204&lt;$B406+P_Interval)*(UPPER(TRIM(D_Points!$B$5:$B$204))="TURNOUT_L")*(D_Points!$H$5:$H$204&lt;&gt;"")),D_Points!$H$5:$H$204),"")</f>
        <v/>
      </c>
      <c r="AE406" s="182" t="str">
        <f>IFERROR(LOOKUP(2,1/((D_Points!$A$5:$A$204&lt;&gt;"")*(D_Points!$A$5:$A$204&gt;=$B406)*(D_Points!$A$5:$A$204&lt;$B406+P_Interval)*(UPPER(TRIM(D_Points!$B$5:$B$204))="TURNOUT_R")*(D_Points!$H$5:$H$204&lt;&gt;"")),D_Points!$H$5:$H$204),"")</f>
        <v/>
      </c>
      <c r="AF406" s="181" t="str">
        <f>IFERROR(LOOKUP(2,1/((B_Drainage!$A$5:$A$204&lt;&gt;"")*(B_Drainage!$A$5:$A$204&lt;=$B406)*(B_Drainage!$B$5:$B$204&gt;$B406)*(B_Drainage!$M$5:$M$204&lt;&gt;"")),IF(UPPER(B_Drainage!$M$5:$M$204)="Y",1,"")),"")</f>
        <v/>
      </c>
      <c r="AG406" s="181" t="str">
        <f>IFERROR(LOOKUP(2,1/((B_Drainage!$A$5:$A$204&lt;&gt;"")*(B_Drainage!$A$5:$A$204&lt;=$B406)*(B_Drainage!$B$5:$B$204&gt;$B406)*(B_Drainage!$N$5:$N$204&lt;&gt;"")),IF(UPPER(B_Drainage!$N$5:$N$204)="Y",1,"")),"")</f>
        <v/>
      </c>
      <c r="AH406" s="181" t="str">
        <f t="shared" si="48"/>
        <v/>
      </c>
      <c r="AI406" s="181" t="str">
        <f t="shared" si="49"/>
        <v/>
      </c>
      <c r="AJ406" s="181" t="str">
        <f t="shared" si="50"/>
        <v/>
      </c>
      <c r="AK406" s="181" t="str">
        <f t="shared" si="51"/>
        <v/>
      </c>
      <c r="AL406" s="181" t="str">
        <f t="shared" si="52"/>
        <v/>
      </c>
      <c r="AM406" s="181" t="str">
        <f t="shared" si="53"/>
        <v/>
      </c>
      <c r="AN406" s="181" t="str">
        <f t="shared" si="54"/>
        <v/>
      </c>
      <c r="AO406" s="192" t="str">
        <f t="shared" si="55"/>
        <v/>
      </c>
      <c r="AQ406" t="str">
        <f>IFERROR(LOOKUP(2,1/((C_Pavement!$A$5:$A$204&lt;&gt;"")*(C_Pavement!$A$5:$A$204&lt;=$B406)*(C_Pavement!$B$5:$B$204&gt;$B406)*(C_Pavement!$C$5:$C$204&lt;&gt;"")),ROW(C_Pavement!$C$5:$C$204)-4),"")</f>
        <v/>
      </c>
      <c r="AR406" t="str">
        <f>IF($AQ406="","",UPPER(TRIM(INDEX(C_Pavement!$C$5:$C$204,$AQ406))))</f>
        <v/>
      </c>
      <c r="AS406" t="str">
        <f>IF($AR406="","",IFERROR(MATCH($AR406,E_Rules!$A$5:$A$9,0),""))</f>
        <v/>
      </c>
      <c r="AT406" t="str">
        <f>IF($AQ406="","",IF(INDEX(C_Pavement!$D$5:$D$204,$AQ406)&lt;&gt;"",UPPER(TRIM(INDEX(C_Pavement!$D$5:$D$204,$AQ406))),IF($AS406="","",INDEX(E_Rules!$C$5:$C$9,$AS406))))</f>
        <v/>
      </c>
      <c r="AU406" t="str">
        <f>IF($AQ406="","",IF(INDEX(C_Pavement!$E$5:$E$204,$AQ406)&lt;&gt;"",IF(INDEX(C_Pavement!$E$5:$E$204,$AQ406)="-","",INDEX(C_Pavement!$E$5:$E$204,$AQ406)),IF($AS406="","",INDEX(E_Rules!$D$5:$D$9,$AS406))))</f>
        <v/>
      </c>
      <c r="AV406" t="str">
        <f>IF($AQ406="","",IF(INDEX(C_Pavement!$F$5:$F$204,$AQ406)&lt;&gt;"",IF(INDEX(C_Pavement!$F$5:$F$204,$AQ406)="-","",INDEX(C_Pavement!$F$5:$F$204,$AQ406)),IF($AS406="","",INDEX(E_Rules!$E$5:$E$9,$AS406))))</f>
        <v/>
      </c>
      <c r="AW406" t="str">
        <f>IF($AQ406="","",IF(INDEX(C_Pavement!$G$5:$G$204,$AQ406)&lt;&gt;"",IF(INDEX(C_Pavement!$G$5:$G$204,$AQ406)="-","",INDEX(C_Pavement!$G$5:$G$204,$AQ406)),IF($AS406="","",INDEX(E_Rules!$F$5:$F$9,$AS406))))</f>
        <v/>
      </c>
      <c r="AX406" t="str">
        <f>IF($AQ406="","",IF(INDEX(C_Pavement!$H$5:$H$204,$AQ406)&lt;&gt;"",IF(INDEX(C_Pavement!$H$5:$H$204,$AQ406)="-","",INDEX(C_Pavement!$H$5:$H$204,$AQ406)),IF($AS406="","",INDEX(E_Rules!$G$5:$G$9,$AS406))))</f>
        <v/>
      </c>
      <c r="AY406" t="str">
        <f>IF($AQ406="","",IF(INDEX(C_Pavement!$I$5:$I$204,$AQ406)&lt;&gt;"",IF(INDEX(C_Pavement!$I$5:$I$204,$AQ406)="-","",INDEX(C_Pavement!$I$5:$I$204,$AQ406)),IF($AS406="","",INDEX(E_Rules!$H$5:$H$9,$AS406))))</f>
        <v/>
      </c>
    </row>
    <row r="407" spans="1:51" ht="15.75" customHeight="1" x14ac:dyDescent="0.3">
      <c r="A407" s="189">
        <v>402</v>
      </c>
      <c r="B407" s="180">
        <v>20050</v>
      </c>
      <c r="C407" s="180" t="s">
        <v>713</v>
      </c>
      <c r="D407" s="181" t="str">
        <f>IFERROR(LOOKUP(2,1/((A_Corridor!$A$5:$A$204&lt;&gt;"")*(A_Corridor!$A$5:$A$204&lt;=$B407)*(A_Corridor!$B$5:$B$204&gt;$B407)*(A_Corridor!$C$5:$C$204&lt;&gt;"")),IF(UPPER(A_Corridor!$C$5:$C$204)="Y",1,"")),"")</f>
        <v/>
      </c>
      <c r="E407" s="181" t="str">
        <f>IFERROR(LOOKUP(2,1/((A_Corridor!$A$5:$A$204&lt;&gt;"")*(A_Corridor!$A$5:$A$204&lt;=$B407)*(A_Corridor!$B$5:$B$204&gt;$B407)*(A_Corridor!$D$5:$D$204&lt;&gt;"")),IF(A_Corridor!$D$5:$D$204="-","",UPPER(A_Corridor!$D$5:$D$204))),"")</f>
        <v/>
      </c>
      <c r="F407" s="181" t="str">
        <f>IFERROR(LOOKUP(2,1/((A_Corridor!$A$5:$A$204&lt;&gt;"")*(A_Corridor!$A$5:$A$204&lt;=$B407)*(A_Corridor!$B$5:$B$204&gt;$B407)*(A_Corridor!$E$5:$E$204&lt;&gt;"")),IF(A_Corridor!$E$5:$E$204="-","",1)),"")</f>
        <v/>
      </c>
      <c r="G407" s="182" t="str">
        <f>IFERROR(LOOKUP(2,1/((A_Corridor!$A$5:$A$204&lt;&gt;"")*(A_Corridor!$A$5:$A$204&lt;=$B407)*(A_Corridor!$B$5:$B$204&gt;$B407)*(A_Corridor!$E$5:$E$204&lt;&gt;"")),IF(A_Corridor!$E$5:$E$204="-","",A_Corridor!$E$5:$E$204)),"")</f>
        <v/>
      </c>
      <c r="H407" s="182" t="str">
        <f>IFERROR(LOOKUP(2,1/((D_Points!$A$5:$A$204&lt;&gt;"")*(D_Points!$A$5:$A$204&gt;=$B407)*(D_Points!$A$5:$A$204&lt;$B407+P_Interval)*(UPPER(TRIM(D_Points!$B$5:$B$204))="GULLY")*(D_Points!$H$5:$H$204&lt;&gt;"")),D_Points!$H$5:$H$204),"")</f>
        <v/>
      </c>
      <c r="I407" s="181" t="str">
        <f>IFERROR(LOOKUP(2,1/((A_Corridor!$A$5:$A$204&lt;&gt;"")*(A_Corridor!$A$5:$A$204&lt;=$B407)*(A_Corridor!$B$5:$B$204&gt;$B407)*(A_Corridor!$F$5:$F$204&lt;&gt;"")),IF(A_Corridor!$F$5:$F$204="-","",1)),"")</f>
        <v/>
      </c>
      <c r="J407" s="182" t="str">
        <f>IFERROR(LOOKUP(2,1/((A_Corridor!$A$5:$A$204&lt;&gt;"")*(A_Corridor!$A$5:$A$204&lt;=$B407)*(A_Corridor!$B$5:$B$204&gt;$B407)*(A_Corridor!$F$5:$F$204&lt;&gt;"")),IF(A_Corridor!$F$5:$F$204="-","",A_Corridor!$F$5:$F$204)),"")</f>
        <v/>
      </c>
      <c r="K407" s="182" t="str">
        <f>IFERROR(LOOKUP(2,1/((A_Corridor!$A$5:$A$204&lt;&gt;"")*(A_Corridor!$A$5:$A$204&lt;=$B407)*(A_Corridor!$B$5:$B$204&gt;$B407)*(A_Corridor!$G$5:$G$204&lt;&gt;"")),IF(A_Corridor!$G$5:$G$204="-","",A_Corridor!$G$5:$G$204)),"")</f>
        <v/>
      </c>
      <c r="L407" s="181" t="str">
        <f>IFERROR(LOOKUP(2,1/((A_Corridor!$A$5:$A$204&lt;&gt;"")*(A_Corridor!$A$5:$A$204&lt;=$B407)*(A_Corridor!$B$5:$B$204&gt;$B407)*(A_Corridor!$H$5:$H$204&lt;&gt;"")),IF(A_Corridor!$H$5:$H$204="-","",1)),"")</f>
        <v/>
      </c>
      <c r="M407" s="182" t="str">
        <f>IFERROR(LOOKUP(2,1/((A_Corridor!$A$5:$A$204&lt;&gt;"")*(A_Corridor!$A$5:$A$204&lt;=$B407)*(A_Corridor!$B$5:$B$204&gt;$B407)*(A_Corridor!$H$5:$H$204&lt;&gt;"")),IF(A_Corridor!$H$5:$H$204="-","",A_Corridor!$H$5:$H$204)),"")</f>
        <v/>
      </c>
      <c r="N407" s="182" t="str">
        <f>IFERROR(LOOKUP(2,1/((A_Corridor!$A$5:$A$204&lt;&gt;"")*(A_Corridor!$A$5:$A$204&lt;=$B407)*(A_Corridor!$B$5:$B$204&gt;$B407)*(A_Corridor!$I$5:$I$204&lt;&gt;"")),IF(A_Corridor!$I$5:$I$204="-","",A_Corridor!$I$5:$I$204)),"")</f>
        <v/>
      </c>
      <c r="O407" s="182" t="str">
        <f>IFERROR(LOOKUP(2,1/((D_Points!$A$5:$A$204&lt;&gt;"")*(D_Points!$A$5:$A$204&gt;=$B407)*(D_Points!$A$5:$A$204&lt;$B407+P_Interval)*(UPPER(TRIM(D_Points!$B$5:$B$204))="PITCHING")*(D_Points!$H$5:$H$204&lt;&gt;"")),D_Points!$H$5:$H$204),"")</f>
        <v/>
      </c>
      <c r="P407" s="181" t="str">
        <f>IFERROR(LOOKUP(2,1/((B_Drainage!$A$5:$A$204&lt;&gt;"")*(B_Drainage!$A$5:$A$204&lt;=$B407)*(B_Drainage!$B$5:$B$204&gt;$B407)*(B_Drainage!$C$5:$C$204&lt;&gt;"")),IF(B_Drainage!$C$5:$C$204="-","",UPPER(B_Drainage!$C$5:$C$204))),"")</f>
        <v/>
      </c>
      <c r="Q407" s="181" t="str">
        <f>IFERROR(LOOKUP(2,1/((B_Drainage!$A$5:$A$204&lt;&gt;"")*(B_Drainage!$A$5:$A$204&lt;=$B407)*(B_Drainage!$B$5:$B$204&gt;$B407)*(B_Drainage!$D$5:$D$204&lt;&gt;"")),IF(B_Drainage!$D$5:$D$204="-","",UPPER(B_Drainage!$D$5:$D$204))),"")</f>
        <v/>
      </c>
      <c r="R407" s="182" t="str">
        <f>IFERROR(LOOKUP(2,1/((D_Points!$A$5:$A$204&lt;&gt;"")*(D_Points!$A$5:$A$204&gt;=$B407)*(D_Points!$A$5:$A$204&lt;$B407+P_Interval)*(RIGHT(UPPER(TRIM(D_Points!$B$5:$B$204)),8)="_CULVERT")),IF(LEFT(UPPER(TRIM(D_Points!$B$5:$B$204)),2)="EX",1,IF(LEFT(UPPER(TRIM(D_Points!$B$5:$B$204)),2)="PR",2,3))),"")</f>
        <v/>
      </c>
      <c r="S407" s="182" t="str">
        <f>IFERROR(LOOKUP(2,1/((D_Points!$A$5:$A$204&lt;&gt;"")*(D_Points!$A$5:$A$204&gt;=$B407)*(D_Points!$A$5:$A$204&lt;$B407+P_Interval)*(RIGHT(UPPER(TRIM(D_Points!$B$5:$B$204)),7)="_BRIDGE")),IF(LEFT(UPPER(TRIM(D_Points!$B$5:$B$204)),2)="EX",1,IF(LEFT(UPPER(TRIM(D_Points!$B$5:$B$204)),2)="PR",2,2))),"")</f>
        <v/>
      </c>
      <c r="T407" s="181" t="str">
        <f>IFERROR(LOOKUP(2,1/((B_Drainage!$A$5:$A$204&lt;&gt;"")*(B_Drainage!$A$5:$A$204&lt;=$B407)*(B_Drainage!$B$5:$B$204&gt;$B407)*(B_Drainage!$E$5:$E$204&lt;&gt;"")),IF(B_Drainage!$E$5:$E$204="-","",1)),"")</f>
        <v/>
      </c>
      <c r="U407" s="181" t="str">
        <f>IFERROR(LOOKUP(2,1/((B_Drainage!$A$5:$A$204&lt;&gt;"")*(B_Drainage!$A$5:$A$204&lt;=$B407)*(B_Drainage!$B$5:$B$204&gt;$B407)*(B_Drainage!$E$5:$E$204&lt;&gt;"")),IF(B_Drainage!$E$5:$E$204="-","",B_Drainage!$E$5:$E$204)),"")</f>
        <v/>
      </c>
      <c r="V407" s="181" t="str">
        <f>IFERROR(LOOKUP(2,1/((B_Drainage!$A$5:$A$204&lt;&gt;"")*(B_Drainage!$A$5:$A$204&lt;=$B407)*(B_Drainage!$B$5:$B$204&gt;$B407)*(B_Drainage!$F$5:$F$204&lt;&gt;"")),IF(B_Drainage!$F$5:$F$204="-","",1)),"")</f>
        <v/>
      </c>
      <c r="W407" s="181" t="str">
        <f>IFERROR(LOOKUP(2,1/((B_Drainage!$A$5:$A$204&lt;&gt;"")*(B_Drainage!$A$5:$A$204&lt;=$B407)*(B_Drainage!$B$5:$B$204&gt;$B407)*(B_Drainage!$F$5:$F$204&lt;&gt;"")),IF(B_Drainage!$F$5:$F$204="-","",B_Drainage!$F$5:$F$204)),"")</f>
        <v/>
      </c>
      <c r="X407" s="181" t="str">
        <f>IFERROR(LOOKUP(2,1/((B_Drainage!$A$5:$A$204&lt;&gt;"")*(B_Drainage!$A$5:$A$204&lt;=$B407)*(B_Drainage!$B$5:$B$204&gt;$B407)*(B_Drainage!$G$5:$G$204&lt;&gt;"")),IF(UPPER(B_Drainage!$G$5:$G$204)="Y",1,"")),"")</f>
        <v/>
      </c>
      <c r="Y407" s="181" t="str">
        <f>IFERROR(LOOKUP(2,1/((B_Drainage!$A$5:$A$204&lt;&gt;"")*(B_Drainage!$A$5:$A$204&lt;=$B407)*(B_Drainage!$B$5:$B$204&gt;$B407)*(B_Drainage!$H$5:$H$204&lt;&gt;"")),IF(UPPER(B_Drainage!$H$5:$H$204)="Y",1,"")),"")</f>
        <v/>
      </c>
      <c r="Z407" s="181" t="str">
        <f>IFERROR(LOOKUP(2,1/((B_Drainage!$A$5:$A$204&lt;&gt;"")*(B_Drainage!$A$5:$A$204&lt;=$B407)*(B_Drainage!$B$5:$B$204&gt;$B407)*(B_Drainage!$I$5:$I$204&lt;&gt;"")),IF(UPPER(B_Drainage!$I$5:$I$204)="Y",1,"")),"")</f>
        <v/>
      </c>
      <c r="AA407" s="181" t="str">
        <f>IFERROR(LOOKUP(2,1/((B_Drainage!$A$5:$A$204&lt;&gt;"")*(B_Drainage!$A$5:$A$204&lt;=$B407)*(B_Drainage!$B$5:$B$204&gt;$B407)*(B_Drainage!$J$5:$J$204&lt;&gt;"")),IF(UPPER(B_Drainage!$J$5:$J$204)="Y",1,"")),"")</f>
        <v/>
      </c>
      <c r="AB407" s="182" t="str">
        <f>IFERROR(LOOKUP(2,1/((B_Drainage!$A$5:$A$204&lt;&gt;"")*(B_Drainage!$A$5:$A$204&lt;=$B407)*(B_Drainage!$B$5:$B$204&gt;$B407)*(B_Drainage!$K$5:$K$204&lt;&gt;"")),IF(B_Drainage!$K$5:$K$204="-","",B_Drainage!$K$5:$K$204)),"")</f>
        <v/>
      </c>
      <c r="AC407" s="182" t="str">
        <f>IFERROR(LOOKUP(2,1/((B_Drainage!$A$5:$A$204&lt;&gt;"")*(B_Drainage!$A$5:$A$204&lt;=$B407)*(B_Drainage!$B$5:$B$204&gt;$B407)*(B_Drainage!$L$5:$L$204&lt;&gt;"")),IF(B_Drainage!$L$5:$L$204="-","",B_Drainage!$L$5:$L$204)),"")</f>
        <v/>
      </c>
      <c r="AD407" s="182" t="str">
        <f>IFERROR(LOOKUP(2,1/((D_Points!$A$5:$A$204&lt;&gt;"")*(D_Points!$A$5:$A$204&gt;=$B407)*(D_Points!$A$5:$A$204&lt;$B407+P_Interval)*(UPPER(TRIM(D_Points!$B$5:$B$204))="TURNOUT_L")*(D_Points!$H$5:$H$204&lt;&gt;"")),D_Points!$H$5:$H$204),"")</f>
        <v/>
      </c>
      <c r="AE407" s="182" t="str">
        <f>IFERROR(LOOKUP(2,1/((D_Points!$A$5:$A$204&lt;&gt;"")*(D_Points!$A$5:$A$204&gt;=$B407)*(D_Points!$A$5:$A$204&lt;$B407+P_Interval)*(UPPER(TRIM(D_Points!$B$5:$B$204))="TURNOUT_R")*(D_Points!$H$5:$H$204&lt;&gt;"")),D_Points!$H$5:$H$204),"")</f>
        <v/>
      </c>
      <c r="AF407" s="181" t="str">
        <f>IFERROR(LOOKUP(2,1/((B_Drainage!$A$5:$A$204&lt;&gt;"")*(B_Drainage!$A$5:$A$204&lt;=$B407)*(B_Drainage!$B$5:$B$204&gt;$B407)*(B_Drainage!$M$5:$M$204&lt;&gt;"")),IF(UPPER(B_Drainage!$M$5:$M$204)="Y",1,"")),"")</f>
        <v/>
      </c>
      <c r="AG407" s="181" t="str">
        <f>IFERROR(LOOKUP(2,1/((B_Drainage!$A$5:$A$204&lt;&gt;"")*(B_Drainage!$A$5:$A$204&lt;=$B407)*(B_Drainage!$B$5:$B$204&gt;$B407)*(B_Drainage!$N$5:$N$204&lt;&gt;"")),IF(UPPER(B_Drainage!$N$5:$N$204)="Y",1,"")),"")</f>
        <v/>
      </c>
      <c r="AH407" s="181" t="str">
        <f t="shared" si="48"/>
        <v/>
      </c>
      <c r="AI407" s="181" t="str">
        <f t="shared" si="49"/>
        <v/>
      </c>
      <c r="AJ407" s="181" t="str">
        <f t="shared" si="50"/>
        <v/>
      </c>
      <c r="AK407" s="181" t="str">
        <f t="shared" si="51"/>
        <v/>
      </c>
      <c r="AL407" s="181" t="str">
        <f t="shared" si="52"/>
        <v/>
      </c>
      <c r="AM407" s="181" t="str">
        <f t="shared" si="53"/>
        <v/>
      </c>
      <c r="AN407" s="181" t="str">
        <f t="shared" si="54"/>
        <v/>
      </c>
      <c r="AO407" s="192" t="str">
        <f t="shared" si="55"/>
        <v/>
      </c>
      <c r="AQ407" t="str">
        <f>IFERROR(LOOKUP(2,1/((C_Pavement!$A$5:$A$204&lt;&gt;"")*(C_Pavement!$A$5:$A$204&lt;=$B407)*(C_Pavement!$B$5:$B$204&gt;$B407)*(C_Pavement!$C$5:$C$204&lt;&gt;"")),ROW(C_Pavement!$C$5:$C$204)-4),"")</f>
        <v/>
      </c>
      <c r="AR407" t="str">
        <f>IF($AQ407="","",UPPER(TRIM(INDEX(C_Pavement!$C$5:$C$204,$AQ407))))</f>
        <v/>
      </c>
      <c r="AS407" t="str">
        <f>IF($AR407="","",IFERROR(MATCH($AR407,E_Rules!$A$5:$A$9,0),""))</f>
        <v/>
      </c>
      <c r="AT407" t="str">
        <f>IF($AQ407="","",IF(INDEX(C_Pavement!$D$5:$D$204,$AQ407)&lt;&gt;"",UPPER(TRIM(INDEX(C_Pavement!$D$5:$D$204,$AQ407))),IF($AS407="","",INDEX(E_Rules!$C$5:$C$9,$AS407))))</f>
        <v/>
      </c>
      <c r="AU407" t="str">
        <f>IF($AQ407="","",IF(INDEX(C_Pavement!$E$5:$E$204,$AQ407)&lt;&gt;"",IF(INDEX(C_Pavement!$E$5:$E$204,$AQ407)="-","",INDEX(C_Pavement!$E$5:$E$204,$AQ407)),IF($AS407="","",INDEX(E_Rules!$D$5:$D$9,$AS407))))</f>
        <v/>
      </c>
      <c r="AV407" t="str">
        <f>IF($AQ407="","",IF(INDEX(C_Pavement!$F$5:$F$204,$AQ407)&lt;&gt;"",IF(INDEX(C_Pavement!$F$5:$F$204,$AQ407)="-","",INDEX(C_Pavement!$F$5:$F$204,$AQ407)),IF($AS407="","",INDEX(E_Rules!$E$5:$E$9,$AS407))))</f>
        <v/>
      </c>
      <c r="AW407" t="str">
        <f>IF($AQ407="","",IF(INDEX(C_Pavement!$G$5:$G$204,$AQ407)&lt;&gt;"",IF(INDEX(C_Pavement!$G$5:$G$204,$AQ407)="-","",INDEX(C_Pavement!$G$5:$G$204,$AQ407)),IF($AS407="","",INDEX(E_Rules!$F$5:$F$9,$AS407))))</f>
        <v/>
      </c>
      <c r="AX407" t="str">
        <f>IF($AQ407="","",IF(INDEX(C_Pavement!$H$5:$H$204,$AQ407)&lt;&gt;"",IF(INDEX(C_Pavement!$H$5:$H$204,$AQ407)="-","",INDEX(C_Pavement!$H$5:$H$204,$AQ407)),IF($AS407="","",INDEX(E_Rules!$G$5:$G$9,$AS407))))</f>
        <v/>
      </c>
      <c r="AY407" t="str">
        <f>IF($AQ407="","",IF(INDEX(C_Pavement!$I$5:$I$204,$AQ407)&lt;&gt;"",IF(INDEX(C_Pavement!$I$5:$I$204,$AQ407)="-","",INDEX(C_Pavement!$I$5:$I$204,$AQ407)),IF($AS407="","",INDEX(E_Rules!$H$5:$H$9,$AS407))))</f>
        <v/>
      </c>
    </row>
    <row r="408" spans="1:51" ht="15.75" customHeight="1" x14ac:dyDescent="0.3">
      <c r="A408" s="189">
        <v>403</v>
      </c>
      <c r="B408" s="180">
        <v>20100</v>
      </c>
      <c r="C408" s="180" t="s">
        <v>714</v>
      </c>
      <c r="D408" s="181" t="str">
        <f>IFERROR(LOOKUP(2,1/((A_Corridor!$A$5:$A$204&lt;&gt;"")*(A_Corridor!$A$5:$A$204&lt;=$B408)*(A_Corridor!$B$5:$B$204&gt;$B408)*(A_Corridor!$C$5:$C$204&lt;&gt;"")),IF(UPPER(A_Corridor!$C$5:$C$204)="Y",1,"")),"")</f>
        <v/>
      </c>
      <c r="E408" s="181" t="str">
        <f>IFERROR(LOOKUP(2,1/((A_Corridor!$A$5:$A$204&lt;&gt;"")*(A_Corridor!$A$5:$A$204&lt;=$B408)*(A_Corridor!$B$5:$B$204&gt;$B408)*(A_Corridor!$D$5:$D$204&lt;&gt;"")),IF(A_Corridor!$D$5:$D$204="-","",UPPER(A_Corridor!$D$5:$D$204))),"")</f>
        <v/>
      </c>
      <c r="F408" s="181" t="str">
        <f>IFERROR(LOOKUP(2,1/((A_Corridor!$A$5:$A$204&lt;&gt;"")*(A_Corridor!$A$5:$A$204&lt;=$B408)*(A_Corridor!$B$5:$B$204&gt;$B408)*(A_Corridor!$E$5:$E$204&lt;&gt;"")),IF(A_Corridor!$E$5:$E$204="-","",1)),"")</f>
        <v/>
      </c>
      <c r="G408" s="182" t="str">
        <f>IFERROR(LOOKUP(2,1/((A_Corridor!$A$5:$A$204&lt;&gt;"")*(A_Corridor!$A$5:$A$204&lt;=$B408)*(A_Corridor!$B$5:$B$204&gt;$B408)*(A_Corridor!$E$5:$E$204&lt;&gt;"")),IF(A_Corridor!$E$5:$E$204="-","",A_Corridor!$E$5:$E$204)),"")</f>
        <v/>
      </c>
      <c r="H408" s="182" t="str">
        <f>IFERROR(LOOKUP(2,1/((D_Points!$A$5:$A$204&lt;&gt;"")*(D_Points!$A$5:$A$204&gt;=$B408)*(D_Points!$A$5:$A$204&lt;$B408+P_Interval)*(UPPER(TRIM(D_Points!$B$5:$B$204))="GULLY")*(D_Points!$H$5:$H$204&lt;&gt;"")),D_Points!$H$5:$H$204),"")</f>
        <v/>
      </c>
      <c r="I408" s="181" t="str">
        <f>IFERROR(LOOKUP(2,1/((A_Corridor!$A$5:$A$204&lt;&gt;"")*(A_Corridor!$A$5:$A$204&lt;=$B408)*(A_Corridor!$B$5:$B$204&gt;$B408)*(A_Corridor!$F$5:$F$204&lt;&gt;"")),IF(A_Corridor!$F$5:$F$204="-","",1)),"")</f>
        <v/>
      </c>
      <c r="J408" s="182" t="str">
        <f>IFERROR(LOOKUP(2,1/((A_Corridor!$A$5:$A$204&lt;&gt;"")*(A_Corridor!$A$5:$A$204&lt;=$B408)*(A_Corridor!$B$5:$B$204&gt;$B408)*(A_Corridor!$F$5:$F$204&lt;&gt;"")),IF(A_Corridor!$F$5:$F$204="-","",A_Corridor!$F$5:$F$204)),"")</f>
        <v/>
      </c>
      <c r="K408" s="182" t="str">
        <f>IFERROR(LOOKUP(2,1/((A_Corridor!$A$5:$A$204&lt;&gt;"")*(A_Corridor!$A$5:$A$204&lt;=$B408)*(A_Corridor!$B$5:$B$204&gt;$B408)*(A_Corridor!$G$5:$G$204&lt;&gt;"")),IF(A_Corridor!$G$5:$G$204="-","",A_Corridor!$G$5:$G$204)),"")</f>
        <v/>
      </c>
      <c r="L408" s="181" t="str">
        <f>IFERROR(LOOKUP(2,1/((A_Corridor!$A$5:$A$204&lt;&gt;"")*(A_Corridor!$A$5:$A$204&lt;=$B408)*(A_Corridor!$B$5:$B$204&gt;$B408)*(A_Corridor!$H$5:$H$204&lt;&gt;"")),IF(A_Corridor!$H$5:$H$204="-","",1)),"")</f>
        <v/>
      </c>
      <c r="M408" s="182" t="str">
        <f>IFERROR(LOOKUP(2,1/((A_Corridor!$A$5:$A$204&lt;&gt;"")*(A_Corridor!$A$5:$A$204&lt;=$B408)*(A_Corridor!$B$5:$B$204&gt;$B408)*(A_Corridor!$H$5:$H$204&lt;&gt;"")),IF(A_Corridor!$H$5:$H$204="-","",A_Corridor!$H$5:$H$204)),"")</f>
        <v/>
      </c>
      <c r="N408" s="182" t="str">
        <f>IFERROR(LOOKUP(2,1/((A_Corridor!$A$5:$A$204&lt;&gt;"")*(A_Corridor!$A$5:$A$204&lt;=$B408)*(A_Corridor!$B$5:$B$204&gt;$B408)*(A_Corridor!$I$5:$I$204&lt;&gt;"")),IF(A_Corridor!$I$5:$I$204="-","",A_Corridor!$I$5:$I$204)),"")</f>
        <v/>
      </c>
      <c r="O408" s="182" t="str">
        <f>IFERROR(LOOKUP(2,1/((D_Points!$A$5:$A$204&lt;&gt;"")*(D_Points!$A$5:$A$204&gt;=$B408)*(D_Points!$A$5:$A$204&lt;$B408+P_Interval)*(UPPER(TRIM(D_Points!$B$5:$B$204))="PITCHING")*(D_Points!$H$5:$H$204&lt;&gt;"")),D_Points!$H$5:$H$204),"")</f>
        <v/>
      </c>
      <c r="P408" s="181" t="str">
        <f>IFERROR(LOOKUP(2,1/((B_Drainage!$A$5:$A$204&lt;&gt;"")*(B_Drainage!$A$5:$A$204&lt;=$B408)*(B_Drainage!$B$5:$B$204&gt;$B408)*(B_Drainage!$C$5:$C$204&lt;&gt;"")),IF(B_Drainage!$C$5:$C$204="-","",UPPER(B_Drainage!$C$5:$C$204))),"")</f>
        <v/>
      </c>
      <c r="Q408" s="181" t="str">
        <f>IFERROR(LOOKUP(2,1/((B_Drainage!$A$5:$A$204&lt;&gt;"")*(B_Drainage!$A$5:$A$204&lt;=$B408)*(B_Drainage!$B$5:$B$204&gt;$B408)*(B_Drainage!$D$5:$D$204&lt;&gt;"")),IF(B_Drainage!$D$5:$D$204="-","",UPPER(B_Drainage!$D$5:$D$204))),"")</f>
        <v/>
      </c>
      <c r="R408" s="182" t="str">
        <f>IFERROR(LOOKUP(2,1/((D_Points!$A$5:$A$204&lt;&gt;"")*(D_Points!$A$5:$A$204&gt;=$B408)*(D_Points!$A$5:$A$204&lt;$B408+P_Interval)*(RIGHT(UPPER(TRIM(D_Points!$B$5:$B$204)),8)="_CULVERT")),IF(LEFT(UPPER(TRIM(D_Points!$B$5:$B$204)),2)="EX",1,IF(LEFT(UPPER(TRIM(D_Points!$B$5:$B$204)),2)="PR",2,3))),"")</f>
        <v/>
      </c>
      <c r="S408" s="182" t="str">
        <f>IFERROR(LOOKUP(2,1/((D_Points!$A$5:$A$204&lt;&gt;"")*(D_Points!$A$5:$A$204&gt;=$B408)*(D_Points!$A$5:$A$204&lt;$B408+P_Interval)*(RIGHT(UPPER(TRIM(D_Points!$B$5:$B$204)),7)="_BRIDGE")),IF(LEFT(UPPER(TRIM(D_Points!$B$5:$B$204)),2)="EX",1,IF(LEFT(UPPER(TRIM(D_Points!$B$5:$B$204)),2)="PR",2,2))),"")</f>
        <v/>
      </c>
      <c r="T408" s="181" t="str">
        <f>IFERROR(LOOKUP(2,1/((B_Drainage!$A$5:$A$204&lt;&gt;"")*(B_Drainage!$A$5:$A$204&lt;=$B408)*(B_Drainage!$B$5:$B$204&gt;$B408)*(B_Drainage!$E$5:$E$204&lt;&gt;"")),IF(B_Drainage!$E$5:$E$204="-","",1)),"")</f>
        <v/>
      </c>
      <c r="U408" s="181" t="str">
        <f>IFERROR(LOOKUP(2,1/((B_Drainage!$A$5:$A$204&lt;&gt;"")*(B_Drainage!$A$5:$A$204&lt;=$B408)*(B_Drainage!$B$5:$B$204&gt;$B408)*(B_Drainage!$E$5:$E$204&lt;&gt;"")),IF(B_Drainage!$E$5:$E$204="-","",B_Drainage!$E$5:$E$204)),"")</f>
        <v/>
      </c>
      <c r="V408" s="181" t="str">
        <f>IFERROR(LOOKUP(2,1/((B_Drainage!$A$5:$A$204&lt;&gt;"")*(B_Drainage!$A$5:$A$204&lt;=$B408)*(B_Drainage!$B$5:$B$204&gt;$B408)*(B_Drainage!$F$5:$F$204&lt;&gt;"")),IF(B_Drainage!$F$5:$F$204="-","",1)),"")</f>
        <v/>
      </c>
      <c r="W408" s="181" t="str">
        <f>IFERROR(LOOKUP(2,1/((B_Drainage!$A$5:$A$204&lt;&gt;"")*(B_Drainage!$A$5:$A$204&lt;=$B408)*(B_Drainage!$B$5:$B$204&gt;$B408)*(B_Drainage!$F$5:$F$204&lt;&gt;"")),IF(B_Drainage!$F$5:$F$204="-","",B_Drainage!$F$5:$F$204)),"")</f>
        <v/>
      </c>
      <c r="X408" s="181" t="str">
        <f>IFERROR(LOOKUP(2,1/((B_Drainage!$A$5:$A$204&lt;&gt;"")*(B_Drainage!$A$5:$A$204&lt;=$B408)*(B_Drainage!$B$5:$B$204&gt;$B408)*(B_Drainage!$G$5:$G$204&lt;&gt;"")),IF(UPPER(B_Drainage!$G$5:$G$204)="Y",1,"")),"")</f>
        <v/>
      </c>
      <c r="Y408" s="181" t="str">
        <f>IFERROR(LOOKUP(2,1/((B_Drainage!$A$5:$A$204&lt;&gt;"")*(B_Drainage!$A$5:$A$204&lt;=$B408)*(B_Drainage!$B$5:$B$204&gt;$B408)*(B_Drainage!$H$5:$H$204&lt;&gt;"")),IF(UPPER(B_Drainage!$H$5:$H$204)="Y",1,"")),"")</f>
        <v/>
      </c>
      <c r="Z408" s="181" t="str">
        <f>IFERROR(LOOKUP(2,1/((B_Drainage!$A$5:$A$204&lt;&gt;"")*(B_Drainage!$A$5:$A$204&lt;=$B408)*(B_Drainage!$B$5:$B$204&gt;$B408)*(B_Drainage!$I$5:$I$204&lt;&gt;"")),IF(UPPER(B_Drainage!$I$5:$I$204)="Y",1,"")),"")</f>
        <v/>
      </c>
      <c r="AA408" s="181" t="str">
        <f>IFERROR(LOOKUP(2,1/((B_Drainage!$A$5:$A$204&lt;&gt;"")*(B_Drainage!$A$5:$A$204&lt;=$B408)*(B_Drainage!$B$5:$B$204&gt;$B408)*(B_Drainage!$J$5:$J$204&lt;&gt;"")),IF(UPPER(B_Drainage!$J$5:$J$204)="Y",1,"")),"")</f>
        <v/>
      </c>
      <c r="AB408" s="182" t="str">
        <f>IFERROR(LOOKUP(2,1/((B_Drainage!$A$5:$A$204&lt;&gt;"")*(B_Drainage!$A$5:$A$204&lt;=$B408)*(B_Drainage!$B$5:$B$204&gt;$B408)*(B_Drainage!$K$5:$K$204&lt;&gt;"")),IF(B_Drainage!$K$5:$K$204="-","",B_Drainage!$K$5:$K$204)),"")</f>
        <v/>
      </c>
      <c r="AC408" s="182" t="str">
        <f>IFERROR(LOOKUP(2,1/((B_Drainage!$A$5:$A$204&lt;&gt;"")*(B_Drainage!$A$5:$A$204&lt;=$B408)*(B_Drainage!$B$5:$B$204&gt;$B408)*(B_Drainage!$L$5:$L$204&lt;&gt;"")),IF(B_Drainage!$L$5:$L$204="-","",B_Drainage!$L$5:$L$204)),"")</f>
        <v/>
      </c>
      <c r="AD408" s="182" t="str">
        <f>IFERROR(LOOKUP(2,1/((D_Points!$A$5:$A$204&lt;&gt;"")*(D_Points!$A$5:$A$204&gt;=$B408)*(D_Points!$A$5:$A$204&lt;$B408+P_Interval)*(UPPER(TRIM(D_Points!$B$5:$B$204))="TURNOUT_L")*(D_Points!$H$5:$H$204&lt;&gt;"")),D_Points!$H$5:$H$204),"")</f>
        <v/>
      </c>
      <c r="AE408" s="182" t="str">
        <f>IFERROR(LOOKUP(2,1/((D_Points!$A$5:$A$204&lt;&gt;"")*(D_Points!$A$5:$A$204&gt;=$B408)*(D_Points!$A$5:$A$204&lt;$B408+P_Interval)*(UPPER(TRIM(D_Points!$B$5:$B$204))="TURNOUT_R")*(D_Points!$H$5:$H$204&lt;&gt;"")),D_Points!$H$5:$H$204),"")</f>
        <v/>
      </c>
      <c r="AF408" s="181" t="str">
        <f>IFERROR(LOOKUP(2,1/((B_Drainage!$A$5:$A$204&lt;&gt;"")*(B_Drainage!$A$5:$A$204&lt;=$B408)*(B_Drainage!$B$5:$B$204&gt;$B408)*(B_Drainage!$M$5:$M$204&lt;&gt;"")),IF(UPPER(B_Drainage!$M$5:$M$204)="Y",1,"")),"")</f>
        <v/>
      </c>
      <c r="AG408" s="181" t="str">
        <f>IFERROR(LOOKUP(2,1/((B_Drainage!$A$5:$A$204&lt;&gt;"")*(B_Drainage!$A$5:$A$204&lt;=$B408)*(B_Drainage!$B$5:$B$204&gt;$B408)*(B_Drainage!$N$5:$N$204&lt;&gt;"")),IF(UPPER(B_Drainage!$N$5:$N$204)="Y",1,"")),"")</f>
        <v/>
      </c>
      <c r="AH408" s="181" t="str">
        <f t="shared" si="48"/>
        <v/>
      </c>
      <c r="AI408" s="181" t="str">
        <f t="shared" si="49"/>
        <v/>
      </c>
      <c r="AJ408" s="181" t="str">
        <f t="shared" si="50"/>
        <v/>
      </c>
      <c r="AK408" s="181" t="str">
        <f t="shared" si="51"/>
        <v/>
      </c>
      <c r="AL408" s="181" t="str">
        <f t="shared" si="52"/>
        <v/>
      </c>
      <c r="AM408" s="181" t="str">
        <f t="shared" si="53"/>
        <v/>
      </c>
      <c r="AN408" s="181" t="str">
        <f t="shared" si="54"/>
        <v/>
      </c>
      <c r="AO408" s="192" t="str">
        <f t="shared" si="55"/>
        <v/>
      </c>
      <c r="AQ408" t="str">
        <f>IFERROR(LOOKUP(2,1/((C_Pavement!$A$5:$A$204&lt;&gt;"")*(C_Pavement!$A$5:$A$204&lt;=$B408)*(C_Pavement!$B$5:$B$204&gt;$B408)*(C_Pavement!$C$5:$C$204&lt;&gt;"")),ROW(C_Pavement!$C$5:$C$204)-4),"")</f>
        <v/>
      </c>
      <c r="AR408" t="str">
        <f>IF($AQ408="","",UPPER(TRIM(INDEX(C_Pavement!$C$5:$C$204,$AQ408))))</f>
        <v/>
      </c>
      <c r="AS408" t="str">
        <f>IF($AR408="","",IFERROR(MATCH($AR408,E_Rules!$A$5:$A$9,0),""))</f>
        <v/>
      </c>
      <c r="AT408" t="str">
        <f>IF($AQ408="","",IF(INDEX(C_Pavement!$D$5:$D$204,$AQ408)&lt;&gt;"",UPPER(TRIM(INDEX(C_Pavement!$D$5:$D$204,$AQ408))),IF($AS408="","",INDEX(E_Rules!$C$5:$C$9,$AS408))))</f>
        <v/>
      </c>
      <c r="AU408" t="str">
        <f>IF($AQ408="","",IF(INDEX(C_Pavement!$E$5:$E$204,$AQ408)&lt;&gt;"",IF(INDEX(C_Pavement!$E$5:$E$204,$AQ408)="-","",INDEX(C_Pavement!$E$5:$E$204,$AQ408)),IF($AS408="","",INDEX(E_Rules!$D$5:$D$9,$AS408))))</f>
        <v/>
      </c>
      <c r="AV408" t="str">
        <f>IF($AQ408="","",IF(INDEX(C_Pavement!$F$5:$F$204,$AQ408)&lt;&gt;"",IF(INDEX(C_Pavement!$F$5:$F$204,$AQ408)="-","",INDEX(C_Pavement!$F$5:$F$204,$AQ408)),IF($AS408="","",INDEX(E_Rules!$E$5:$E$9,$AS408))))</f>
        <v/>
      </c>
      <c r="AW408" t="str">
        <f>IF($AQ408="","",IF(INDEX(C_Pavement!$G$5:$G$204,$AQ408)&lt;&gt;"",IF(INDEX(C_Pavement!$G$5:$G$204,$AQ408)="-","",INDEX(C_Pavement!$G$5:$G$204,$AQ408)),IF($AS408="","",INDEX(E_Rules!$F$5:$F$9,$AS408))))</f>
        <v/>
      </c>
      <c r="AX408" t="str">
        <f>IF($AQ408="","",IF(INDEX(C_Pavement!$H$5:$H$204,$AQ408)&lt;&gt;"",IF(INDEX(C_Pavement!$H$5:$H$204,$AQ408)="-","",INDEX(C_Pavement!$H$5:$H$204,$AQ408)),IF($AS408="","",INDEX(E_Rules!$G$5:$G$9,$AS408))))</f>
        <v/>
      </c>
      <c r="AY408" t="str">
        <f>IF($AQ408="","",IF(INDEX(C_Pavement!$I$5:$I$204,$AQ408)&lt;&gt;"",IF(INDEX(C_Pavement!$I$5:$I$204,$AQ408)="-","",INDEX(C_Pavement!$I$5:$I$204,$AQ408)),IF($AS408="","",INDEX(E_Rules!$H$5:$H$9,$AS408))))</f>
        <v/>
      </c>
    </row>
    <row r="409" spans="1:51" ht="15.75" customHeight="1" x14ac:dyDescent="0.3">
      <c r="A409" s="189">
        <v>404</v>
      </c>
      <c r="B409" s="180">
        <v>20150</v>
      </c>
      <c r="C409" s="180" t="s">
        <v>715</v>
      </c>
      <c r="D409" s="181" t="str">
        <f>IFERROR(LOOKUP(2,1/((A_Corridor!$A$5:$A$204&lt;&gt;"")*(A_Corridor!$A$5:$A$204&lt;=$B409)*(A_Corridor!$B$5:$B$204&gt;$B409)*(A_Corridor!$C$5:$C$204&lt;&gt;"")),IF(UPPER(A_Corridor!$C$5:$C$204)="Y",1,"")),"")</f>
        <v/>
      </c>
      <c r="E409" s="181" t="str">
        <f>IFERROR(LOOKUP(2,1/((A_Corridor!$A$5:$A$204&lt;&gt;"")*(A_Corridor!$A$5:$A$204&lt;=$B409)*(A_Corridor!$B$5:$B$204&gt;$B409)*(A_Corridor!$D$5:$D$204&lt;&gt;"")),IF(A_Corridor!$D$5:$D$204="-","",UPPER(A_Corridor!$D$5:$D$204))),"")</f>
        <v/>
      </c>
      <c r="F409" s="181" t="str">
        <f>IFERROR(LOOKUP(2,1/((A_Corridor!$A$5:$A$204&lt;&gt;"")*(A_Corridor!$A$5:$A$204&lt;=$B409)*(A_Corridor!$B$5:$B$204&gt;$B409)*(A_Corridor!$E$5:$E$204&lt;&gt;"")),IF(A_Corridor!$E$5:$E$204="-","",1)),"")</f>
        <v/>
      </c>
      <c r="G409" s="182" t="str">
        <f>IFERROR(LOOKUP(2,1/((A_Corridor!$A$5:$A$204&lt;&gt;"")*(A_Corridor!$A$5:$A$204&lt;=$B409)*(A_Corridor!$B$5:$B$204&gt;$B409)*(A_Corridor!$E$5:$E$204&lt;&gt;"")),IF(A_Corridor!$E$5:$E$204="-","",A_Corridor!$E$5:$E$204)),"")</f>
        <v/>
      </c>
      <c r="H409" s="182" t="str">
        <f>IFERROR(LOOKUP(2,1/((D_Points!$A$5:$A$204&lt;&gt;"")*(D_Points!$A$5:$A$204&gt;=$B409)*(D_Points!$A$5:$A$204&lt;$B409+P_Interval)*(UPPER(TRIM(D_Points!$B$5:$B$204))="GULLY")*(D_Points!$H$5:$H$204&lt;&gt;"")),D_Points!$H$5:$H$204),"")</f>
        <v/>
      </c>
      <c r="I409" s="181" t="str">
        <f>IFERROR(LOOKUP(2,1/((A_Corridor!$A$5:$A$204&lt;&gt;"")*(A_Corridor!$A$5:$A$204&lt;=$B409)*(A_Corridor!$B$5:$B$204&gt;$B409)*(A_Corridor!$F$5:$F$204&lt;&gt;"")),IF(A_Corridor!$F$5:$F$204="-","",1)),"")</f>
        <v/>
      </c>
      <c r="J409" s="182" t="str">
        <f>IFERROR(LOOKUP(2,1/((A_Corridor!$A$5:$A$204&lt;&gt;"")*(A_Corridor!$A$5:$A$204&lt;=$B409)*(A_Corridor!$B$5:$B$204&gt;$B409)*(A_Corridor!$F$5:$F$204&lt;&gt;"")),IF(A_Corridor!$F$5:$F$204="-","",A_Corridor!$F$5:$F$204)),"")</f>
        <v/>
      </c>
      <c r="K409" s="182" t="str">
        <f>IFERROR(LOOKUP(2,1/((A_Corridor!$A$5:$A$204&lt;&gt;"")*(A_Corridor!$A$5:$A$204&lt;=$B409)*(A_Corridor!$B$5:$B$204&gt;$B409)*(A_Corridor!$G$5:$G$204&lt;&gt;"")),IF(A_Corridor!$G$5:$G$204="-","",A_Corridor!$G$5:$G$204)),"")</f>
        <v/>
      </c>
      <c r="L409" s="181" t="str">
        <f>IFERROR(LOOKUP(2,1/((A_Corridor!$A$5:$A$204&lt;&gt;"")*(A_Corridor!$A$5:$A$204&lt;=$B409)*(A_Corridor!$B$5:$B$204&gt;$B409)*(A_Corridor!$H$5:$H$204&lt;&gt;"")),IF(A_Corridor!$H$5:$H$204="-","",1)),"")</f>
        <v/>
      </c>
      <c r="M409" s="182" t="str">
        <f>IFERROR(LOOKUP(2,1/((A_Corridor!$A$5:$A$204&lt;&gt;"")*(A_Corridor!$A$5:$A$204&lt;=$B409)*(A_Corridor!$B$5:$B$204&gt;$B409)*(A_Corridor!$H$5:$H$204&lt;&gt;"")),IF(A_Corridor!$H$5:$H$204="-","",A_Corridor!$H$5:$H$204)),"")</f>
        <v/>
      </c>
      <c r="N409" s="182" t="str">
        <f>IFERROR(LOOKUP(2,1/((A_Corridor!$A$5:$A$204&lt;&gt;"")*(A_Corridor!$A$5:$A$204&lt;=$B409)*(A_Corridor!$B$5:$B$204&gt;$B409)*(A_Corridor!$I$5:$I$204&lt;&gt;"")),IF(A_Corridor!$I$5:$I$204="-","",A_Corridor!$I$5:$I$204)),"")</f>
        <v/>
      </c>
      <c r="O409" s="182" t="str">
        <f>IFERROR(LOOKUP(2,1/((D_Points!$A$5:$A$204&lt;&gt;"")*(D_Points!$A$5:$A$204&gt;=$B409)*(D_Points!$A$5:$A$204&lt;$B409+P_Interval)*(UPPER(TRIM(D_Points!$B$5:$B$204))="PITCHING")*(D_Points!$H$5:$H$204&lt;&gt;"")),D_Points!$H$5:$H$204),"")</f>
        <v/>
      </c>
      <c r="P409" s="181" t="str">
        <f>IFERROR(LOOKUP(2,1/((B_Drainage!$A$5:$A$204&lt;&gt;"")*(B_Drainage!$A$5:$A$204&lt;=$B409)*(B_Drainage!$B$5:$B$204&gt;$B409)*(B_Drainage!$C$5:$C$204&lt;&gt;"")),IF(B_Drainage!$C$5:$C$204="-","",UPPER(B_Drainage!$C$5:$C$204))),"")</f>
        <v/>
      </c>
      <c r="Q409" s="181" t="str">
        <f>IFERROR(LOOKUP(2,1/((B_Drainage!$A$5:$A$204&lt;&gt;"")*(B_Drainage!$A$5:$A$204&lt;=$B409)*(B_Drainage!$B$5:$B$204&gt;$B409)*(B_Drainage!$D$5:$D$204&lt;&gt;"")),IF(B_Drainage!$D$5:$D$204="-","",UPPER(B_Drainage!$D$5:$D$204))),"")</f>
        <v/>
      </c>
      <c r="R409" s="182" t="str">
        <f>IFERROR(LOOKUP(2,1/((D_Points!$A$5:$A$204&lt;&gt;"")*(D_Points!$A$5:$A$204&gt;=$B409)*(D_Points!$A$5:$A$204&lt;$B409+P_Interval)*(RIGHT(UPPER(TRIM(D_Points!$B$5:$B$204)),8)="_CULVERT")),IF(LEFT(UPPER(TRIM(D_Points!$B$5:$B$204)),2)="EX",1,IF(LEFT(UPPER(TRIM(D_Points!$B$5:$B$204)),2)="PR",2,3))),"")</f>
        <v/>
      </c>
      <c r="S409" s="182" t="str">
        <f>IFERROR(LOOKUP(2,1/((D_Points!$A$5:$A$204&lt;&gt;"")*(D_Points!$A$5:$A$204&gt;=$B409)*(D_Points!$A$5:$A$204&lt;$B409+P_Interval)*(RIGHT(UPPER(TRIM(D_Points!$B$5:$B$204)),7)="_BRIDGE")),IF(LEFT(UPPER(TRIM(D_Points!$B$5:$B$204)),2)="EX",1,IF(LEFT(UPPER(TRIM(D_Points!$B$5:$B$204)),2)="PR",2,2))),"")</f>
        <v/>
      </c>
      <c r="T409" s="181" t="str">
        <f>IFERROR(LOOKUP(2,1/((B_Drainage!$A$5:$A$204&lt;&gt;"")*(B_Drainage!$A$5:$A$204&lt;=$B409)*(B_Drainage!$B$5:$B$204&gt;$B409)*(B_Drainage!$E$5:$E$204&lt;&gt;"")),IF(B_Drainage!$E$5:$E$204="-","",1)),"")</f>
        <v/>
      </c>
      <c r="U409" s="181" t="str">
        <f>IFERROR(LOOKUP(2,1/((B_Drainage!$A$5:$A$204&lt;&gt;"")*(B_Drainage!$A$5:$A$204&lt;=$B409)*(B_Drainage!$B$5:$B$204&gt;$B409)*(B_Drainage!$E$5:$E$204&lt;&gt;"")),IF(B_Drainage!$E$5:$E$204="-","",B_Drainage!$E$5:$E$204)),"")</f>
        <v/>
      </c>
      <c r="V409" s="181" t="str">
        <f>IFERROR(LOOKUP(2,1/((B_Drainage!$A$5:$A$204&lt;&gt;"")*(B_Drainage!$A$5:$A$204&lt;=$B409)*(B_Drainage!$B$5:$B$204&gt;$B409)*(B_Drainage!$F$5:$F$204&lt;&gt;"")),IF(B_Drainage!$F$5:$F$204="-","",1)),"")</f>
        <v/>
      </c>
      <c r="W409" s="181" t="str">
        <f>IFERROR(LOOKUP(2,1/((B_Drainage!$A$5:$A$204&lt;&gt;"")*(B_Drainage!$A$5:$A$204&lt;=$B409)*(B_Drainage!$B$5:$B$204&gt;$B409)*(B_Drainage!$F$5:$F$204&lt;&gt;"")),IF(B_Drainage!$F$5:$F$204="-","",B_Drainage!$F$5:$F$204)),"")</f>
        <v/>
      </c>
      <c r="X409" s="181" t="str">
        <f>IFERROR(LOOKUP(2,1/((B_Drainage!$A$5:$A$204&lt;&gt;"")*(B_Drainage!$A$5:$A$204&lt;=$B409)*(B_Drainage!$B$5:$B$204&gt;$B409)*(B_Drainage!$G$5:$G$204&lt;&gt;"")),IF(UPPER(B_Drainage!$G$5:$G$204)="Y",1,"")),"")</f>
        <v/>
      </c>
      <c r="Y409" s="181" t="str">
        <f>IFERROR(LOOKUP(2,1/((B_Drainage!$A$5:$A$204&lt;&gt;"")*(B_Drainage!$A$5:$A$204&lt;=$B409)*(B_Drainage!$B$5:$B$204&gt;$B409)*(B_Drainage!$H$5:$H$204&lt;&gt;"")),IF(UPPER(B_Drainage!$H$5:$H$204)="Y",1,"")),"")</f>
        <v/>
      </c>
      <c r="Z409" s="181" t="str">
        <f>IFERROR(LOOKUP(2,1/((B_Drainage!$A$5:$A$204&lt;&gt;"")*(B_Drainage!$A$5:$A$204&lt;=$B409)*(B_Drainage!$B$5:$B$204&gt;$B409)*(B_Drainage!$I$5:$I$204&lt;&gt;"")),IF(UPPER(B_Drainage!$I$5:$I$204)="Y",1,"")),"")</f>
        <v/>
      </c>
      <c r="AA409" s="181" t="str">
        <f>IFERROR(LOOKUP(2,1/((B_Drainage!$A$5:$A$204&lt;&gt;"")*(B_Drainage!$A$5:$A$204&lt;=$B409)*(B_Drainage!$B$5:$B$204&gt;$B409)*(B_Drainage!$J$5:$J$204&lt;&gt;"")),IF(UPPER(B_Drainage!$J$5:$J$204)="Y",1,"")),"")</f>
        <v/>
      </c>
      <c r="AB409" s="182" t="str">
        <f>IFERROR(LOOKUP(2,1/((B_Drainage!$A$5:$A$204&lt;&gt;"")*(B_Drainage!$A$5:$A$204&lt;=$B409)*(B_Drainage!$B$5:$B$204&gt;$B409)*(B_Drainage!$K$5:$K$204&lt;&gt;"")),IF(B_Drainage!$K$5:$K$204="-","",B_Drainage!$K$5:$K$204)),"")</f>
        <v/>
      </c>
      <c r="AC409" s="182" t="str">
        <f>IFERROR(LOOKUP(2,1/((B_Drainage!$A$5:$A$204&lt;&gt;"")*(B_Drainage!$A$5:$A$204&lt;=$B409)*(B_Drainage!$B$5:$B$204&gt;$B409)*(B_Drainage!$L$5:$L$204&lt;&gt;"")),IF(B_Drainage!$L$5:$L$204="-","",B_Drainage!$L$5:$L$204)),"")</f>
        <v/>
      </c>
      <c r="AD409" s="182" t="str">
        <f>IFERROR(LOOKUP(2,1/((D_Points!$A$5:$A$204&lt;&gt;"")*(D_Points!$A$5:$A$204&gt;=$B409)*(D_Points!$A$5:$A$204&lt;$B409+P_Interval)*(UPPER(TRIM(D_Points!$B$5:$B$204))="TURNOUT_L")*(D_Points!$H$5:$H$204&lt;&gt;"")),D_Points!$H$5:$H$204),"")</f>
        <v/>
      </c>
      <c r="AE409" s="182" t="str">
        <f>IFERROR(LOOKUP(2,1/((D_Points!$A$5:$A$204&lt;&gt;"")*(D_Points!$A$5:$A$204&gt;=$B409)*(D_Points!$A$5:$A$204&lt;$B409+P_Interval)*(UPPER(TRIM(D_Points!$B$5:$B$204))="TURNOUT_R")*(D_Points!$H$5:$H$204&lt;&gt;"")),D_Points!$H$5:$H$204),"")</f>
        <v/>
      </c>
      <c r="AF409" s="181" t="str">
        <f>IFERROR(LOOKUP(2,1/((B_Drainage!$A$5:$A$204&lt;&gt;"")*(B_Drainage!$A$5:$A$204&lt;=$B409)*(B_Drainage!$B$5:$B$204&gt;$B409)*(B_Drainage!$M$5:$M$204&lt;&gt;"")),IF(UPPER(B_Drainage!$M$5:$M$204)="Y",1,"")),"")</f>
        <v/>
      </c>
      <c r="AG409" s="181" t="str">
        <f>IFERROR(LOOKUP(2,1/((B_Drainage!$A$5:$A$204&lt;&gt;"")*(B_Drainage!$A$5:$A$204&lt;=$B409)*(B_Drainage!$B$5:$B$204&gt;$B409)*(B_Drainage!$N$5:$N$204&lt;&gt;"")),IF(UPPER(B_Drainage!$N$5:$N$204)="Y",1,"")),"")</f>
        <v/>
      </c>
      <c r="AH409" s="181" t="str">
        <f t="shared" si="48"/>
        <v/>
      </c>
      <c r="AI409" s="181" t="str">
        <f t="shared" si="49"/>
        <v/>
      </c>
      <c r="AJ409" s="181" t="str">
        <f t="shared" si="50"/>
        <v/>
      </c>
      <c r="AK409" s="181" t="str">
        <f t="shared" si="51"/>
        <v/>
      </c>
      <c r="AL409" s="181" t="str">
        <f t="shared" si="52"/>
        <v/>
      </c>
      <c r="AM409" s="181" t="str">
        <f t="shared" si="53"/>
        <v/>
      </c>
      <c r="AN409" s="181" t="str">
        <f t="shared" si="54"/>
        <v/>
      </c>
      <c r="AO409" s="192" t="str">
        <f t="shared" si="55"/>
        <v/>
      </c>
      <c r="AQ409" t="str">
        <f>IFERROR(LOOKUP(2,1/((C_Pavement!$A$5:$A$204&lt;&gt;"")*(C_Pavement!$A$5:$A$204&lt;=$B409)*(C_Pavement!$B$5:$B$204&gt;$B409)*(C_Pavement!$C$5:$C$204&lt;&gt;"")),ROW(C_Pavement!$C$5:$C$204)-4),"")</f>
        <v/>
      </c>
      <c r="AR409" t="str">
        <f>IF($AQ409="","",UPPER(TRIM(INDEX(C_Pavement!$C$5:$C$204,$AQ409))))</f>
        <v/>
      </c>
      <c r="AS409" t="str">
        <f>IF($AR409="","",IFERROR(MATCH($AR409,E_Rules!$A$5:$A$9,0),""))</f>
        <v/>
      </c>
      <c r="AT409" t="str">
        <f>IF($AQ409="","",IF(INDEX(C_Pavement!$D$5:$D$204,$AQ409)&lt;&gt;"",UPPER(TRIM(INDEX(C_Pavement!$D$5:$D$204,$AQ409))),IF($AS409="","",INDEX(E_Rules!$C$5:$C$9,$AS409))))</f>
        <v/>
      </c>
      <c r="AU409" t="str">
        <f>IF($AQ409="","",IF(INDEX(C_Pavement!$E$5:$E$204,$AQ409)&lt;&gt;"",IF(INDEX(C_Pavement!$E$5:$E$204,$AQ409)="-","",INDEX(C_Pavement!$E$5:$E$204,$AQ409)),IF($AS409="","",INDEX(E_Rules!$D$5:$D$9,$AS409))))</f>
        <v/>
      </c>
      <c r="AV409" t="str">
        <f>IF($AQ409="","",IF(INDEX(C_Pavement!$F$5:$F$204,$AQ409)&lt;&gt;"",IF(INDEX(C_Pavement!$F$5:$F$204,$AQ409)="-","",INDEX(C_Pavement!$F$5:$F$204,$AQ409)),IF($AS409="","",INDEX(E_Rules!$E$5:$E$9,$AS409))))</f>
        <v/>
      </c>
      <c r="AW409" t="str">
        <f>IF($AQ409="","",IF(INDEX(C_Pavement!$G$5:$G$204,$AQ409)&lt;&gt;"",IF(INDEX(C_Pavement!$G$5:$G$204,$AQ409)="-","",INDEX(C_Pavement!$G$5:$G$204,$AQ409)),IF($AS409="","",INDEX(E_Rules!$F$5:$F$9,$AS409))))</f>
        <v/>
      </c>
      <c r="AX409" t="str">
        <f>IF($AQ409="","",IF(INDEX(C_Pavement!$H$5:$H$204,$AQ409)&lt;&gt;"",IF(INDEX(C_Pavement!$H$5:$H$204,$AQ409)="-","",INDEX(C_Pavement!$H$5:$H$204,$AQ409)),IF($AS409="","",INDEX(E_Rules!$G$5:$G$9,$AS409))))</f>
        <v/>
      </c>
      <c r="AY409" t="str">
        <f>IF($AQ409="","",IF(INDEX(C_Pavement!$I$5:$I$204,$AQ409)&lt;&gt;"",IF(INDEX(C_Pavement!$I$5:$I$204,$AQ409)="-","",INDEX(C_Pavement!$I$5:$I$204,$AQ409)),IF($AS409="","",INDEX(E_Rules!$H$5:$H$9,$AS409))))</f>
        <v/>
      </c>
    </row>
    <row r="410" spans="1:51" ht="15.75" customHeight="1" x14ac:dyDescent="0.3">
      <c r="A410" s="189">
        <v>405</v>
      </c>
      <c r="B410" s="180">
        <v>20200</v>
      </c>
      <c r="C410" s="180" t="s">
        <v>716</v>
      </c>
      <c r="D410" s="181" t="str">
        <f>IFERROR(LOOKUP(2,1/((A_Corridor!$A$5:$A$204&lt;&gt;"")*(A_Corridor!$A$5:$A$204&lt;=$B410)*(A_Corridor!$B$5:$B$204&gt;$B410)*(A_Corridor!$C$5:$C$204&lt;&gt;"")),IF(UPPER(A_Corridor!$C$5:$C$204)="Y",1,"")),"")</f>
        <v/>
      </c>
      <c r="E410" s="181" t="str">
        <f>IFERROR(LOOKUP(2,1/((A_Corridor!$A$5:$A$204&lt;&gt;"")*(A_Corridor!$A$5:$A$204&lt;=$B410)*(A_Corridor!$B$5:$B$204&gt;$B410)*(A_Corridor!$D$5:$D$204&lt;&gt;"")),IF(A_Corridor!$D$5:$D$204="-","",UPPER(A_Corridor!$D$5:$D$204))),"")</f>
        <v/>
      </c>
      <c r="F410" s="181" t="str">
        <f>IFERROR(LOOKUP(2,1/((A_Corridor!$A$5:$A$204&lt;&gt;"")*(A_Corridor!$A$5:$A$204&lt;=$B410)*(A_Corridor!$B$5:$B$204&gt;$B410)*(A_Corridor!$E$5:$E$204&lt;&gt;"")),IF(A_Corridor!$E$5:$E$204="-","",1)),"")</f>
        <v/>
      </c>
      <c r="G410" s="182" t="str">
        <f>IFERROR(LOOKUP(2,1/((A_Corridor!$A$5:$A$204&lt;&gt;"")*(A_Corridor!$A$5:$A$204&lt;=$B410)*(A_Corridor!$B$5:$B$204&gt;$B410)*(A_Corridor!$E$5:$E$204&lt;&gt;"")),IF(A_Corridor!$E$5:$E$204="-","",A_Corridor!$E$5:$E$204)),"")</f>
        <v/>
      </c>
      <c r="H410" s="182" t="str">
        <f>IFERROR(LOOKUP(2,1/((D_Points!$A$5:$A$204&lt;&gt;"")*(D_Points!$A$5:$A$204&gt;=$B410)*(D_Points!$A$5:$A$204&lt;$B410+P_Interval)*(UPPER(TRIM(D_Points!$B$5:$B$204))="GULLY")*(D_Points!$H$5:$H$204&lt;&gt;"")),D_Points!$H$5:$H$204),"")</f>
        <v/>
      </c>
      <c r="I410" s="181" t="str">
        <f>IFERROR(LOOKUP(2,1/((A_Corridor!$A$5:$A$204&lt;&gt;"")*(A_Corridor!$A$5:$A$204&lt;=$B410)*(A_Corridor!$B$5:$B$204&gt;$B410)*(A_Corridor!$F$5:$F$204&lt;&gt;"")),IF(A_Corridor!$F$5:$F$204="-","",1)),"")</f>
        <v/>
      </c>
      <c r="J410" s="182" t="str">
        <f>IFERROR(LOOKUP(2,1/((A_Corridor!$A$5:$A$204&lt;&gt;"")*(A_Corridor!$A$5:$A$204&lt;=$B410)*(A_Corridor!$B$5:$B$204&gt;$B410)*(A_Corridor!$F$5:$F$204&lt;&gt;"")),IF(A_Corridor!$F$5:$F$204="-","",A_Corridor!$F$5:$F$204)),"")</f>
        <v/>
      </c>
      <c r="K410" s="182" t="str">
        <f>IFERROR(LOOKUP(2,1/((A_Corridor!$A$5:$A$204&lt;&gt;"")*(A_Corridor!$A$5:$A$204&lt;=$B410)*(A_Corridor!$B$5:$B$204&gt;$B410)*(A_Corridor!$G$5:$G$204&lt;&gt;"")),IF(A_Corridor!$G$5:$G$204="-","",A_Corridor!$G$5:$G$204)),"")</f>
        <v/>
      </c>
      <c r="L410" s="181" t="str">
        <f>IFERROR(LOOKUP(2,1/((A_Corridor!$A$5:$A$204&lt;&gt;"")*(A_Corridor!$A$5:$A$204&lt;=$B410)*(A_Corridor!$B$5:$B$204&gt;$B410)*(A_Corridor!$H$5:$H$204&lt;&gt;"")),IF(A_Corridor!$H$5:$H$204="-","",1)),"")</f>
        <v/>
      </c>
      <c r="M410" s="182" t="str">
        <f>IFERROR(LOOKUP(2,1/((A_Corridor!$A$5:$A$204&lt;&gt;"")*(A_Corridor!$A$5:$A$204&lt;=$B410)*(A_Corridor!$B$5:$B$204&gt;$B410)*(A_Corridor!$H$5:$H$204&lt;&gt;"")),IF(A_Corridor!$H$5:$H$204="-","",A_Corridor!$H$5:$H$204)),"")</f>
        <v/>
      </c>
      <c r="N410" s="182" t="str">
        <f>IFERROR(LOOKUP(2,1/((A_Corridor!$A$5:$A$204&lt;&gt;"")*(A_Corridor!$A$5:$A$204&lt;=$B410)*(A_Corridor!$B$5:$B$204&gt;$B410)*(A_Corridor!$I$5:$I$204&lt;&gt;"")),IF(A_Corridor!$I$5:$I$204="-","",A_Corridor!$I$5:$I$204)),"")</f>
        <v/>
      </c>
      <c r="O410" s="182" t="str">
        <f>IFERROR(LOOKUP(2,1/((D_Points!$A$5:$A$204&lt;&gt;"")*(D_Points!$A$5:$A$204&gt;=$B410)*(D_Points!$A$5:$A$204&lt;$B410+P_Interval)*(UPPER(TRIM(D_Points!$B$5:$B$204))="PITCHING")*(D_Points!$H$5:$H$204&lt;&gt;"")),D_Points!$H$5:$H$204),"")</f>
        <v/>
      </c>
      <c r="P410" s="181" t="str">
        <f>IFERROR(LOOKUP(2,1/((B_Drainage!$A$5:$A$204&lt;&gt;"")*(B_Drainage!$A$5:$A$204&lt;=$B410)*(B_Drainage!$B$5:$B$204&gt;$B410)*(B_Drainage!$C$5:$C$204&lt;&gt;"")),IF(B_Drainage!$C$5:$C$204="-","",UPPER(B_Drainage!$C$5:$C$204))),"")</f>
        <v/>
      </c>
      <c r="Q410" s="181" t="str">
        <f>IFERROR(LOOKUP(2,1/((B_Drainage!$A$5:$A$204&lt;&gt;"")*(B_Drainage!$A$5:$A$204&lt;=$B410)*(B_Drainage!$B$5:$B$204&gt;$B410)*(B_Drainage!$D$5:$D$204&lt;&gt;"")),IF(B_Drainage!$D$5:$D$204="-","",UPPER(B_Drainage!$D$5:$D$204))),"")</f>
        <v/>
      </c>
      <c r="R410" s="182" t="str">
        <f>IFERROR(LOOKUP(2,1/((D_Points!$A$5:$A$204&lt;&gt;"")*(D_Points!$A$5:$A$204&gt;=$B410)*(D_Points!$A$5:$A$204&lt;$B410+P_Interval)*(RIGHT(UPPER(TRIM(D_Points!$B$5:$B$204)),8)="_CULVERT")),IF(LEFT(UPPER(TRIM(D_Points!$B$5:$B$204)),2)="EX",1,IF(LEFT(UPPER(TRIM(D_Points!$B$5:$B$204)),2)="PR",2,3))),"")</f>
        <v/>
      </c>
      <c r="S410" s="182" t="str">
        <f>IFERROR(LOOKUP(2,1/((D_Points!$A$5:$A$204&lt;&gt;"")*(D_Points!$A$5:$A$204&gt;=$B410)*(D_Points!$A$5:$A$204&lt;$B410+P_Interval)*(RIGHT(UPPER(TRIM(D_Points!$B$5:$B$204)),7)="_BRIDGE")),IF(LEFT(UPPER(TRIM(D_Points!$B$5:$B$204)),2)="EX",1,IF(LEFT(UPPER(TRIM(D_Points!$B$5:$B$204)),2)="PR",2,2))),"")</f>
        <v/>
      </c>
      <c r="T410" s="181" t="str">
        <f>IFERROR(LOOKUP(2,1/((B_Drainage!$A$5:$A$204&lt;&gt;"")*(B_Drainage!$A$5:$A$204&lt;=$B410)*(B_Drainage!$B$5:$B$204&gt;$B410)*(B_Drainage!$E$5:$E$204&lt;&gt;"")),IF(B_Drainage!$E$5:$E$204="-","",1)),"")</f>
        <v/>
      </c>
      <c r="U410" s="181" t="str">
        <f>IFERROR(LOOKUP(2,1/((B_Drainage!$A$5:$A$204&lt;&gt;"")*(B_Drainage!$A$5:$A$204&lt;=$B410)*(B_Drainage!$B$5:$B$204&gt;$B410)*(B_Drainage!$E$5:$E$204&lt;&gt;"")),IF(B_Drainage!$E$5:$E$204="-","",B_Drainage!$E$5:$E$204)),"")</f>
        <v/>
      </c>
      <c r="V410" s="181" t="str">
        <f>IFERROR(LOOKUP(2,1/((B_Drainage!$A$5:$A$204&lt;&gt;"")*(B_Drainage!$A$5:$A$204&lt;=$B410)*(B_Drainage!$B$5:$B$204&gt;$B410)*(B_Drainage!$F$5:$F$204&lt;&gt;"")),IF(B_Drainage!$F$5:$F$204="-","",1)),"")</f>
        <v/>
      </c>
      <c r="W410" s="181" t="str">
        <f>IFERROR(LOOKUP(2,1/((B_Drainage!$A$5:$A$204&lt;&gt;"")*(B_Drainage!$A$5:$A$204&lt;=$B410)*(B_Drainage!$B$5:$B$204&gt;$B410)*(B_Drainage!$F$5:$F$204&lt;&gt;"")),IF(B_Drainage!$F$5:$F$204="-","",B_Drainage!$F$5:$F$204)),"")</f>
        <v/>
      </c>
      <c r="X410" s="181" t="str">
        <f>IFERROR(LOOKUP(2,1/((B_Drainage!$A$5:$A$204&lt;&gt;"")*(B_Drainage!$A$5:$A$204&lt;=$B410)*(B_Drainage!$B$5:$B$204&gt;$B410)*(B_Drainage!$G$5:$G$204&lt;&gt;"")),IF(UPPER(B_Drainage!$G$5:$G$204)="Y",1,"")),"")</f>
        <v/>
      </c>
      <c r="Y410" s="181" t="str">
        <f>IFERROR(LOOKUP(2,1/((B_Drainage!$A$5:$A$204&lt;&gt;"")*(B_Drainage!$A$5:$A$204&lt;=$B410)*(B_Drainage!$B$5:$B$204&gt;$B410)*(B_Drainage!$H$5:$H$204&lt;&gt;"")),IF(UPPER(B_Drainage!$H$5:$H$204)="Y",1,"")),"")</f>
        <v/>
      </c>
      <c r="Z410" s="181" t="str">
        <f>IFERROR(LOOKUP(2,1/((B_Drainage!$A$5:$A$204&lt;&gt;"")*(B_Drainage!$A$5:$A$204&lt;=$B410)*(B_Drainage!$B$5:$B$204&gt;$B410)*(B_Drainage!$I$5:$I$204&lt;&gt;"")),IF(UPPER(B_Drainage!$I$5:$I$204)="Y",1,"")),"")</f>
        <v/>
      </c>
      <c r="AA410" s="181" t="str">
        <f>IFERROR(LOOKUP(2,1/((B_Drainage!$A$5:$A$204&lt;&gt;"")*(B_Drainage!$A$5:$A$204&lt;=$B410)*(B_Drainage!$B$5:$B$204&gt;$B410)*(B_Drainage!$J$5:$J$204&lt;&gt;"")),IF(UPPER(B_Drainage!$J$5:$J$204)="Y",1,"")),"")</f>
        <v/>
      </c>
      <c r="AB410" s="182" t="str">
        <f>IFERROR(LOOKUP(2,1/((B_Drainage!$A$5:$A$204&lt;&gt;"")*(B_Drainage!$A$5:$A$204&lt;=$B410)*(B_Drainage!$B$5:$B$204&gt;$B410)*(B_Drainage!$K$5:$K$204&lt;&gt;"")),IF(B_Drainage!$K$5:$K$204="-","",B_Drainage!$K$5:$K$204)),"")</f>
        <v/>
      </c>
      <c r="AC410" s="182" t="str">
        <f>IFERROR(LOOKUP(2,1/((B_Drainage!$A$5:$A$204&lt;&gt;"")*(B_Drainage!$A$5:$A$204&lt;=$B410)*(B_Drainage!$B$5:$B$204&gt;$B410)*(B_Drainage!$L$5:$L$204&lt;&gt;"")),IF(B_Drainage!$L$5:$L$204="-","",B_Drainage!$L$5:$L$204)),"")</f>
        <v/>
      </c>
      <c r="AD410" s="182" t="str">
        <f>IFERROR(LOOKUP(2,1/((D_Points!$A$5:$A$204&lt;&gt;"")*(D_Points!$A$5:$A$204&gt;=$B410)*(D_Points!$A$5:$A$204&lt;$B410+P_Interval)*(UPPER(TRIM(D_Points!$B$5:$B$204))="TURNOUT_L")*(D_Points!$H$5:$H$204&lt;&gt;"")),D_Points!$H$5:$H$204),"")</f>
        <v/>
      </c>
      <c r="AE410" s="182" t="str">
        <f>IFERROR(LOOKUP(2,1/((D_Points!$A$5:$A$204&lt;&gt;"")*(D_Points!$A$5:$A$204&gt;=$B410)*(D_Points!$A$5:$A$204&lt;$B410+P_Interval)*(UPPER(TRIM(D_Points!$B$5:$B$204))="TURNOUT_R")*(D_Points!$H$5:$H$204&lt;&gt;"")),D_Points!$H$5:$H$204),"")</f>
        <v/>
      </c>
      <c r="AF410" s="181" t="str">
        <f>IFERROR(LOOKUP(2,1/((B_Drainage!$A$5:$A$204&lt;&gt;"")*(B_Drainage!$A$5:$A$204&lt;=$B410)*(B_Drainage!$B$5:$B$204&gt;$B410)*(B_Drainage!$M$5:$M$204&lt;&gt;"")),IF(UPPER(B_Drainage!$M$5:$M$204)="Y",1,"")),"")</f>
        <v/>
      </c>
      <c r="AG410" s="181" t="str">
        <f>IFERROR(LOOKUP(2,1/((B_Drainage!$A$5:$A$204&lt;&gt;"")*(B_Drainage!$A$5:$A$204&lt;=$B410)*(B_Drainage!$B$5:$B$204&gt;$B410)*(B_Drainage!$N$5:$N$204&lt;&gt;"")),IF(UPPER(B_Drainage!$N$5:$N$204)="Y",1,"")),"")</f>
        <v/>
      </c>
      <c r="AH410" s="181" t="str">
        <f t="shared" si="48"/>
        <v/>
      </c>
      <c r="AI410" s="181" t="str">
        <f t="shared" si="49"/>
        <v/>
      </c>
      <c r="AJ410" s="181" t="str">
        <f t="shared" si="50"/>
        <v/>
      </c>
      <c r="AK410" s="181" t="str">
        <f t="shared" si="51"/>
        <v/>
      </c>
      <c r="AL410" s="181" t="str">
        <f t="shared" si="52"/>
        <v/>
      </c>
      <c r="AM410" s="181" t="str">
        <f t="shared" si="53"/>
        <v/>
      </c>
      <c r="AN410" s="181" t="str">
        <f t="shared" si="54"/>
        <v/>
      </c>
      <c r="AO410" s="192" t="str">
        <f t="shared" si="55"/>
        <v/>
      </c>
      <c r="AQ410" t="str">
        <f>IFERROR(LOOKUP(2,1/((C_Pavement!$A$5:$A$204&lt;&gt;"")*(C_Pavement!$A$5:$A$204&lt;=$B410)*(C_Pavement!$B$5:$B$204&gt;$B410)*(C_Pavement!$C$5:$C$204&lt;&gt;"")),ROW(C_Pavement!$C$5:$C$204)-4),"")</f>
        <v/>
      </c>
      <c r="AR410" t="str">
        <f>IF($AQ410="","",UPPER(TRIM(INDEX(C_Pavement!$C$5:$C$204,$AQ410))))</f>
        <v/>
      </c>
      <c r="AS410" t="str">
        <f>IF($AR410="","",IFERROR(MATCH($AR410,E_Rules!$A$5:$A$9,0),""))</f>
        <v/>
      </c>
      <c r="AT410" t="str">
        <f>IF($AQ410="","",IF(INDEX(C_Pavement!$D$5:$D$204,$AQ410)&lt;&gt;"",UPPER(TRIM(INDEX(C_Pavement!$D$5:$D$204,$AQ410))),IF($AS410="","",INDEX(E_Rules!$C$5:$C$9,$AS410))))</f>
        <v/>
      </c>
      <c r="AU410" t="str">
        <f>IF($AQ410="","",IF(INDEX(C_Pavement!$E$5:$E$204,$AQ410)&lt;&gt;"",IF(INDEX(C_Pavement!$E$5:$E$204,$AQ410)="-","",INDEX(C_Pavement!$E$5:$E$204,$AQ410)),IF($AS410="","",INDEX(E_Rules!$D$5:$D$9,$AS410))))</f>
        <v/>
      </c>
      <c r="AV410" t="str">
        <f>IF($AQ410="","",IF(INDEX(C_Pavement!$F$5:$F$204,$AQ410)&lt;&gt;"",IF(INDEX(C_Pavement!$F$5:$F$204,$AQ410)="-","",INDEX(C_Pavement!$F$5:$F$204,$AQ410)),IF($AS410="","",INDEX(E_Rules!$E$5:$E$9,$AS410))))</f>
        <v/>
      </c>
      <c r="AW410" t="str">
        <f>IF($AQ410="","",IF(INDEX(C_Pavement!$G$5:$G$204,$AQ410)&lt;&gt;"",IF(INDEX(C_Pavement!$G$5:$G$204,$AQ410)="-","",INDEX(C_Pavement!$G$5:$G$204,$AQ410)),IF($AS410="","",INDEX(E_Rules!$F$5:$F$9,$AS410))))</f>
        <v/>
      </c>
      <c r="AX410" t="str">
        <f>IF($AQ410="","",IF(INDEX(C_Pavement!$H$5:$H$204,$AQ410)&lt;&gt;"",IF(INDEX(C_Pavement!$H$5:$H$204,$AQ410)="-","",INDEX(C_Pavement!$H$5:$H$204,$AQ410)),IF($AS410="","",INDEX(E_Rules!$G$5:$G$9,$AS410))))</f>
        <v/>
      </c>
      <c r="AY410" t="str">
        <f>IF($AQ410="","",IF(INDEX(C_Pavement!$I$5:$I$204,$AQ410)&lt;&gt;"",IF(INDEX(C_Pavement!$I$5:$I$204,$AQ410)="-","",INDEX(C_Pavement!$I$5:$I$204,$AQ410)),IF($AS410="","",INDEX(E_Rules!$H$5:$H$9,$AS410))))</f>
        <v/>
      </c>
    </row>
    <row r="411" spans="1:51" ht="15.75" customHeight="1" x14ac:dyDescent="0.3">
      <c r="A411" s="189">
        <v>406</v>
      </c>
      <c r="B411" s="180">
        <v>20250</v>
      </c>
      <c r="C411" s="180" t="s">
        <v>717</v>
      </c>
      <c r="D411" s="181" t="str">
        <f>IFERROR(LOOKUP(2,1/((A_Corridor!$A$5:$A$204&lt;&gt;"")*(A_Corridor!$A$5:$A$204&lt;=$B411)*(A_Corridor!$B$5:$B$204&gt;$B411)*(A_Corridor!$C$5:$C$204&lt;&gt;"")),IF(UPPER(A_Corridor!$C$5:$C$204)="Y",1,"")),"")</f>
        <v/>
      </c>
      <c r="E411" s="181" t="str">
        <f>IFERROR(LOOKUP(2,1/((A_Corridor!$A$5:$A$204&lt;&gt;"")*(A_Corridor!$A$5:$A$204&lt;=$B411)*(A_Corridor!$B$5:$B$204&gt;$B411)*(A_Corridor!$D$5:$D$204&lt;&gt;"")),IF(A_Corridor!$D$5:$D$204="-","",UPPER(A_Corridor!$D$5:$D$204))),"")</f>
        <v/>
      </c>
      <c r="F411" s="181" t="str">
        <f>IFERROR(LOOKUP(2,1/((A_Corridor!$A$5:$A$204&lt;&gt;"")*(A_Corridor!$A$5:$A$204&lt;=$B411)*(A_Corridor!$B$5:$B$204&gt;$B411)*(A_Corridor!$E$5:$E$204&lt;&gt;"")),IF(A_Corridor!$E$5:$E$204="-","",1)),"")</f>
        <v/>
      </c>
      <c r="G411" s="182" t="str">
        <f>IFERROR(LOOKUP(2,1/((A_Corridor!$A$5:$A$204&lt;&gt;"")*(A_Corridor!$A$5:$A$204&lt;=$B411)*(A_Corridor!$B$5:$B$204&gt;$B411)*(A_Corridor!$E$5:$E$204&lt;&gt;"")),IF(A_Corridor!$E$5:$E$204="-","",A_Corridor!$E$5:$E$204)),"")</f>
        <v/>
      </c>
      <c r="H411" s="182" t="str">
        <f>IFERROR(LOOKUP(2,1/((D_Points!$A$5:$A$204&lt;&gt;"")*(D_Points!$A$5:$A$204&gt;=$B411)*(D_Points!$A$5:$A$204&lt;$B411+P_Interval)*(UPPER(TRIM(D_Points!$B$5:$B$204))="GULLY")*(D_Points!$H$5:$H$204&lt;&gt;"")),D_Points!$H$5:$H$204),"")</f>
        <v/>
      </c>
      <c r="I411" s="181" t="str">
        <f>IFERROR(LOOKUP(2,1/((A_Corridor!$A$5:$A$204&lt;&gt;"")*(A_Corridor!$A$5:$A$204&lt;=$B411)*(A_Corridor!$B$5:$B$204&gt;$B411)*(A_Corridor!$F$5:$F$204&lt;&gt;"")),IF(A_Corridor!$F$5:$F$204="-","",1)),"")</f>
        <v/>
      </c>
      <c r="J411" s="182" t="str">
        <f>IFERROR(LOOKUP(2,1/((A_Corridor!$A$5:$A$204&lt;&gt;"")*(A_Corridor!$A$5:$A$204&lt;=$B411)*(A_Corridor!$B$5:$B$204&gt;$B411)*(A_Corridor!$F$5:$F$204&lt;&gt;"")),IF(A_Corridor!$F$5:$F$204="-","",A_Corridor!$F$5:$F$204)),"")</f>
        <v/>
      </c>
      <c r="K411" s="182" t="str">
        <f>IFERROR(LOOKUP(2,1/((A_Corridor!$A$5:$A$204&lt;&gt;"")*(A_Corridor!$A$5:$A$204&lt;=$B411)*(A_Corridor!$B$5:$B$204&gt;$B411)*(A_Corridor!$G$5:$G$204&lt;&gt;"")),IF(A_Corridor!$G$5:$G$204="-","",A_Corridor!$G$5:$G$204)),"")</f>
        <v/>
      </c>
      <c r="L411" s="181" t="str">
        <f>IFERROR(LOOKUP(2,1/((A_Corridor!$A$5:$A$204&lt;&gt;"")*(A_Corridor!$A$5:$A$204&lt;=$B411)*(A_Corridor!$B$5:$B$204&gt;$B411)*(A_Corridor!$H$5:$H$204&lt;&gt;"")),IF(A_Corridor!$H$5:$H$204="-","",1)),"")</f>
        <v/>
      </c>
      <c r="M411" s="182" t="str">
        <f>IFERROR(LOOKUP(2,1/((A_Corridor!$A$5:$A$204&lt;&gt;"")*(A_Corridor!$A$5:$A$204&lt;=$B411)*(A_Corridor!$B$5:$B$204&gt;$B411)*(A_Corridor!$H$5:$H$204&lt;&gt;"")),IF(A_Corridor!$H$5:$H$204="-","",A_Corridor!$H$5:$H$204)),"")</f>
        <v/>
      </c>
      <c r="N411" s="182" t="str">
        <f>IFERROR(LOOKUP(2,1/((A_Corridor!$A$5:$A$204&lt;&gt;"")*(A_Corridor!$A$5:$A$204&lt;=$B411)*(A_Corridor!$B$5:$B$204&gt;$B411)*(A_Corridor!$I$5:$I$204&lt;&gt;"")),IF(A_Corridor!$I$5:$I$204="-","",A_Corridor!$I$5:$I$204)),"")</f>
        <v/>
      </c>
      <c r="O411" s="182" t="str">
        <f>IFERROR(LOOKUP(2,1/((D_Points!$A$5:$A$204&lt;&gt;"")*(D_Points!$A$5:$A$204&gt;=$B411)*(D_Points!$A$5:$A$204&lt;$B411+P_Interval)*(UPPER(TRIM(D_Points!$B$5:$B$204))="PITCHING")*(D_Points!$H$5:$H$204&lt;&gt;"")),D_Points!$H$5:$H$204),"")</f>
        <v/>
      </c>
      <c r="P411" s="181" t="str">
        <f>IFERROR(LOOKUP(2,1/((B_Drainage!$A$5:$A$204&lt;&gt;"")*(B_Drainage!$A$5:$A$204&lt;=$B411)*(B_Drainage!$B$5:$B$204&gt;$B411)*(B_Drainage!$C$5:$C$204&lt;&gt;"")),IF(B_Drainage!$C$5:$C$204="-","",UPPER(B_Drainage!$C$5:$C$204))),"")</f>
        <v/>
      </c>
      <c r="Q411" s="181" t="str">
        <f>IFERROR(LOOKUP(2,1/((B_Drainage!$A$5:$A$204&lt;&gt;"")*(B_Drainage!$A$5:$A$204&lt;=$B411)*(B_Drainage!$B$5:$B$204&gt;$B411)*(B_Drainage!$D$5:$D$204&lt;&gt;"")),IF(B_Drainage!$D$5:$D$204="-","",UPPER(B_Drainage!$D$5:$D$204))),"")</f>
        <v/>
      </c>
      <c r="R411" s="182" t="str">
        <f>IFERROR(LOOKUP(2,1/((D_Points!$A$5:$A$204&lt;&gt;"")*(D_Points!$A$5:$A$204&gt;=$B411)*(D_Points!$A$5:$A$204&lt;$B411+P_Interval)*(RIGHT(UPPER(TRIM(D_Points!$B$5:$B$204)),8)="_CULVERT")),IF(LEFT(UPPER(TRIM(D_Points!$B$5:$B$204)),2)="EX",1,IF(LEFT(UPPER(TRIM(D_Points!$B$5:$B$204)),2)="PR",2,3))),"")</f>
        <v/>
      </c>
      <c r="S411" s="182" t="str">
        <f>IFERROR(LOOKUP(2,1/((D_Points!$A$5:$A$204&lt;&gt;"")*(D_Points!$A$5:$A$204&gt;=$B411)*(D_Points!$A$5:$A$204&lt;$B411+P_Interval)*(RIGHT(UPPER(TRIM(D_Points!$B$5:$B$204)),7)="_BRIDGE")),IF(LEFT(UPPER(TRIM(D_Points!$B$5:$B$204)),2)="EX",1,IF(LEFT(UPPER(TRIM(D_Points!$B$5:$B$204)),2)="PR",2,2))),"")</f>
        <v/>
      </c>
      <c r="T411" s="181" t="str">
        <f>IFERROR(LOOKUP(2,1/((B_Drainage!$A$5:$A$204&lt;&gt;"")*(B_Drainage!$A$5:$A$204&lt;=$B411)*(B_Drainage!$B$5:$B$204&gt;$B411)*(B_Drainage!$E$5:$E$204&lt;&gt;"")),IF(B_Drainage!$E$5:$E$204="-","",1)),"")</f>
        <v/>
      </c>
      <c r="U411" s="181" t="str">
        <f>IFERROR(LOOKUP(2,1/((B_Drainage!$A$5:$A$204&lt;&gt;"")*(B_Drainage!$A$5:$A$204&lt;=$B411)*(B_Drainage!$B$5:$B$204&gt;$B411)*(B_Drainage!$E$5:$E$204&lt;&gt;"")),IF(B_Drainage!$E$5:$E$204="-","",B_Drainage!$E$5:$E$204)),"")</f>
        <v/>
      </c>
      <c r="V411" s="181" t="str">
        <f>IFERROR(LOOKUP(2,1/((B_Drainage!$A$5:$A$204&lt;&gt;"")*(B_Drainage!$A$5:$A$204&lt;=$B411)*(B_Drainage!$B$5:$B$204&gt;$B411)*(B_Drainage!$F$5:$F$204&lt;&gt;"")),IF(B_Drainage!$F$5:$F$204="-","",1)),"")</f>
        <v/>
      </c>
      <c r="W411" s="181" t="str">
        <f>IFERROR(LOOKUP(2,1/((B_Drainage!$A$5:$A$204&lt;&gt;"")*(B_Drainage!$A$5:$A$204&lt;=$B411)*(B_Drainage!$B$5:$B$204&gt;$B411)*(B_Drainage!$F$5:$F$204&lt;&gt;"")),IF(B_Drainage!$F$5:$F$204="-","",B_Drainage!$F$5:$F$204)),"")</f>
        <v/>
      </c>
      <c r="X411" s="181" t="str">
        <f>IFERROR(LOOKUP(2,1/((B_Drainage!$A$5:$A$204&lt;&gt;"")*(B_Drainage!$A$5:$A$204&lt;=$B411)*(B_Drainage!$B$5:$B$204&gt;$B411)*(B_Drainage!$G$5:$G$204&lt;&gt;"")),IF(UPPER(B_Drainage!$G$5:$G$204)="Y",1,"")),"")</f>
        <v/>
      </c>
      <c r="Y411" s="181" t="str">
        <f>IFERROR(LOOKUP(2,1/((B_Drainage!$A$5:$A$204&lt;&gt;"")*(B_Drainage!$A$5:$A$204&lt;=$B411)*(B_Drainage!$B$5:$B$204&gt;$B411)*(B_Drainage!$H$5:$H$204&lt;&gt;"")),IF(UPPER(B_Drainage!$H$5:$H$204)="Y",1,"")),"")</f>
        <v/>
      </c>
      <c r="Z411" s="181" t="str">
        <f>IFERROR(LOOKUP(2,1/((B_Drainage!$A$5:$A$204&lt;&gt;"")*(B_Drainage!$A$5:$A$204&lt;=$B411)*(B_Drainage!$B$5:$B$204&gt;$B411)*(B_Drainage!$I$5:$I$204&lt;&gt;"")),IF(UPPER(B_Drainage!$I$5:$I$204)="Y",1,"")),"")</f>
        <v/>
      </c>
      <c r="AA411" s="181" t="str">
        <f>IFERROR(LOOKUP(2,1/((B_Drainage!$A$5:$A$204&lt;&gt;"")*(B_Drainage!$A$5:$A$204&lt;=$B411)*(B_Drainage!$B$5:$B$204&gt;$B411)*(B_Drainage!$J$5:$J$204&lt;&gt;"")),IF(UPPER(B_Drainage!$J$5:$J$204)="Y",1,"")),"")</f>
        <v/>
      </c>
      <c r="AB411" s="182" t="str">
        <f>IFERROR(LOOKUP(2,1/((B_Drainage!$A$5:$A$204&lt;&gt;"")*(B_Drainage!$A$5:$A$204&lt;=$B411)*(B_Drainage!$B$5:$B$204&gt;$B411)*(B_Drainage!$K$5:$K$204&lt;&gt;"")),IF(B_Drainage!$K$5:$K$204="-","",B_Drainage!$K$5:$K$204)),"")</f>
        <v/>
      </c>
      <c r="AC411" s="182" t="str">
        <f>IFERROR(LOOKUP(2,1/((B_Drainage!$A$5:$A$204&lt;&gt;"")*(B_Drainage!$A$5:$A$204&lt;=$B411)*(B_Drainage!$B$5:$B$204&gt;$B411)*(B_Drainage!$L$5:$L$204&lt;&gt;"")),IF(B_Drainage!$L$5:$L$204="-","",B_Drainage!$L$5:$L$204)),"")</f>
        <v/>
      </c>
      <c r="AD411" s="182" t="str">
        <f>IFERROR(LOOKUP(2,1/((D_Points!$A$5:$A$204&lt;&gt;"")*(D_Points!$A$5:$A$204&gt;=$B411)*(D_Points!$A$5:$A$204&lt;$B411+P_Interval)*(UPPER(TRIM(D_Points!$B$5:$B$204))="TURNOUT_L")*(D_Points!$H$5:$H$204&lt;&gt;"")),D_Points!$H$5:$H$204),"")</f>
        <v/>
      </c>
      <c r="AE411" s="182" t="str">
        <f>IFERROR(LOOKUP(2,1/((D_Points!$A$5:$A$204&lt;&gt;"")*(D_Points!$A$5:$A$204&gt;=$B411)*(D_Points!$A$5:$A$204&lt;$B411+P_Interval)*(UPPER(TRIM(D_Points!$B$5:$B$204))="TURNOUT_R")*(D_Points!$H$5:$H$204&lt;&gt;"")),D_Points!$H$5:$H$204),"")</f>
        <v/>
      </c>
      <c r="AF411" s="181" t="str">
        <f>IFERROR(LOOKUP(2,1/((B_Drainage!$A$5:$A$204&lt;&gt;"")*(B_Drainage!$A$5:$A$204&lt;=$B411)*(B_Drainage!$B$5:$B$204&gt;$B411)*(B_Drainage!$M$5:$M$204&lt;&gt;"")),IF(UPPER(B_Drainage!$M$5:$M$204)="Y",1,"")),"")</f>
        <v/>
      </c>
      <c r="AG411" s="181" t="str">
        <f>IFERROR(LOOKUP(2,1/((B_Drainage!$A$5:$A$204&lt;&gt;"")*(B_Drainage!$A$5:$A$204&lt;=$B411)*(B_Drainage!$B$5:$B$204&gt;$B411)*(B_Drainage!$N$5:$N$204&lt;&gt;"")),IF(UPPER(B_Drainage!$N$5:$N$204)="Y",1,"")),"")</f>
        <v/>
      </c>
      <c r="AH411" s="181" t="str">
        <f t="shared" si="48"/>
        <v/>
      </c>
      <c r="AI411" s="181" t="str">
        <f t="shared" si="49"/>
        <v/>
      </c>
      <c r="AJ411" s="181" t="str">
        <f t="shared" si="50"/>
        <v/>
      </c>
      <c r="AK411" s="181" t="str">
        <f t="shared" si="51"/>
        <v/>
      </c>
      <c r="AL411" s="181" t="str">
        <f t="shared" si="52"/>
        <v/>
      </c>
      <c r="AM411" s="181" t="str">
        <f t="shared" si="53"/>
        <v/>
      </c>
      <c r="AN411" s="181" t="str">
        <f t="shared" si="54"/>
        <v/>
      </c>
      <c r="AO411" s="192" t="str">
        <f t="shared" si="55"/>
        <v/>
      </c>
      <c r="AQ411" t="str">
        <f>IFERROR(LOOKUP(2,1/((C_Pavement!$A$5:$A$204&lt;&gt;"")*(C_Pavement!$A$5:$A$204&lt;=$B411)*(C_Pavement!$B$5:$B$204&gt;$B411)*(C_Pavement!$C$5:$C$204&lt;&gt;"")),ROW(C_Pavement!$C$5:$C$204)-4),"")</f>
        <v/>
      </c>
      <c r="AR411" t="str">
        <f>IF($AQ411="","",UPPER(TRIM(INDEX(C_Pavement!$C$5:$C$204,$AQ411))))</f>
        <v/>
      </c>
      <c r="AS411" t="str">
        <f>IF($AR411="","",IFERROR(MATCH($AR411,E_Rules!$A$5:$A$9,0),""))</f>
        <v/>
      </c>
      <c r="AT411" t="str">
        <f>IF($AQ411="","",IF(INDEX(C_Pavement!$D$5:$D$204,$AQ411)&lt;&gt;"",UPPER(TRIM(INDEX(C_Pavement!$D$5:$D$204,$AQ411))),IF($AS411="","",INDEX(E_Rules!$C$5:$C$9,$AS411))))</f>
        <v/>
      </c>
      <c r="AU411" t="str">
        <f>IF($AQ411="","",IF(INDEX(C_Pavement!$E$5:$E$204,$AQ411)&lt;&gt;"",IF(INDEX(C_Pavement!$E$5:$E$204,$AQ411)="-","",INDEX(C_Pavement!$E$5:$E$204,$AQ411)),IF($AS411="","",INDEX(E_Rules!$D$5:$D$9,$AS411))))</f>
        <v/>
      </c>
      <c r="AV411" t="str">
        <f>IF($AQ411="","",IF(INDEX(C_Pavement!$F$5:$F$204,$AQ411)&lt;&gt;"",IF(INDEX(C_Pavement!$F$5:$F$204,$AQ411)="-","",INDEX(C_Pavement!$F$5:$F$204,$AQ411)),IF($AS411="","",INDEX(E_Rules!$E$5:$E$9,$AS411))))</f>
        <v/>
      </c>
      <c r="AW411" t="str">
        <f>IF($AQ411="","",IF(INDEX(C_Pavement!$G$5:$G$204,$AQ411)&lt;&gt;"",IF(INDEX(C_Pavement!$G$5:$G$204,$AQ411)="-","",INDEX(C_Pavement!$G$5:$G$204,$AQ411)),IF($AS411="","",INDEX(E_Rules!$F$5:$F$9,$AS411))))</f>
        <v/>
      </c>
      <c r="AX411" t="str">
        <f>IF($AQ411="","",IF(INDEX(C_Pavement!$H$5:$H$204,$AQ411)&lt;&gt;"",IF(INDEX(C_Pavement!$H$5:$H$204,$AQ411)="-","",INDEX(C_Pavement!$H$5:$H$204,$AQ411)),IF($AS411="","",INDEX(E_Rules!$G$5:$G$9,$AS411))))</f>
        <v/>
      </c>
      <c r="AY411" t="str">
        <f>IF($AQ411="","",IF(INDEX(C_Pavement!$I$5:$I$204,$AQ411)&lt;&gt;"",IF(INDEX(C_Pavement!$I$5:$I$204,$AQ411)="-","",INDEX(C_Pavement!$I$5:$I$204,$AQ411)),IF($AS411="","",INDEX(E_Rules!$H$5:$H$9,$AS411))))</f>
        <v/>
      </c>
    </row>
    <row r="412" spans="1:51" ht="15.75" customHeight="1" x14ac:dyDescent="0.3">
      <c r="A412" s="189">
        <v>407</v>
      </c>
      <c r="B412" s="180">
        <v>20300</v>
      </c>
      <c r="C412" s="180" t="s">
        <v>718</v>
      </c>
      <c r="D412" s="181" t="str">
        <f>IFERROR(LOOKUP(2,1/((A_Corridor!$A$5:$A$204&lt;&gt;"")*(A_Corridor!$A$5:$A$204&lt;=$B412)*(A_Corridor!$B$5:$B$204&gt;$B412)*(A_Corridor!$C$5:$C$204&lt;&gt;"")),IF(UPPER(A_Corridor!$C$5:$C$204)="Y",1,"")),"")</f>
        <v/>
      </c>
      <c r="E412" s="181" t="str">
        <f>IFERROR(LOOKUP(2,1/((A_Corridor!$A$5:$A$204&lt;&gt;"")*(A_Corridor!$A$5:$A$204&lt;=$B412)*(A_Corridor!$B$5:$B$204&gt;$B412)*(A_Corridor!$D$5:$D$204&lt;&gt;"")),IF(A_Corridor!$D$5:$D$204="-","",UPPER(A_Corridor!$D$5:$D$204))),"")</f>
        <v/>
      </c>
      <c r="F412" s="181" t="str">
        <f>IFERROR(LOOKUP(2,1/((A_Corridor!$A$5:$A$204&lt;&gt;"")*(A_Corridor!$A$5:$A$204&lt;=$B412)*(A_Corridor!$B$5:$B$204&gt;$B412)*(A_Corridor!$E$5:$E$204&lt;&gt;"")),IF(A_Corridor!$E$5:$E$204="-","",1)),"")</f>
        <v/>
      </c>
      <c r="G412" s="182" t="str">
        <f>IFERROR(LOOKUP(2,1/((A_Corridor!$A$5:$A$204&lt;&gt;"")*(A_Corridor!$A$5:$A$204&lt;=$B412)*(A_Corridor!$B$5:$B$204&gt;$B412)*(A_Corridor!$E$5:$E$204&lt;&gt;"")),IF(A_Corridor!$E$5:$E$204="-","",A_Corridor!$E$5:$E$204)),"")</f>
        <v/>
      </c>
      <c r="H412" s="182" t="str">
        <f>IFERROR(LOOKUP(2,1/((D_Points!$A$5:$A$204&lt;&gt;"")*(D_Points!$A$5:$A$204&gt;=$B412)*(D_Points!$A$5:$A$204&lt;$B412+P_Interval)*(UPPER(TRIM(D_Points!$B$5:$B$204))="GULLY")*(D_Points!$H$5:$H$204&lt;&gt;"")),D_Points!$H$5:$H$204),"")</f>
        <v/>
      </c>
      <c r="I412" s="181" t="str">
        <f>IFERROR(LOOKUP(2,1/((A_Corridor!$A$5:$A$204&lt;&gt;"")*(A_Corridor!$A$5:$A$204&lt;=$B412)*(A_Corridor!$B$5:$B$204&gt;$B412)*(A_Corridor!$F$5:$F$204&lt;&gt;"")),IF(A_Corridor!$F$5:$F$204="-","",1)),"")</f>
        <v/>
      </c>
      <c r="J412" s="182" t="str">
        <f>IFERROR(LOOKUP(2,1/((A_Corridor!$A$5:$A$204&lt;&gt;"")*(A_Corridor!$A$5:$A$204&lt;=$B412)*(A_Corridor!$B$5:$B$204&gt;$B412)*(A_Corridor!$F$5:$F$204&lt;&gt;"")),IF(A_Corridor!$F$5:$F$204="-","",A_Corridor!$F$5:$F$204)),"")</f>
        <v/>
      </c>
      <c r="K412" s="182" t="str">
        <f>IFERROR(LOOKUP(2,1/((A_Corridor!$A$5:$A$204&lt;&gt;"")*(A_Corridor!$A$5:$A$204&lt;=$B412)*(A_Corridor!$B$5:$B$204&gt;$B412)*(A_Corridor!$G$5:$G$204&lt;&gt;"")),IF(A_Corridor!$G$5:$G$204="-","",A_Corridor!$G$5:$G$204)),"")</f>
        <v/>
      </c>
      <c r="L412" s="181" t="str">
        <f>IFERROR(LOOKUP(2,1/((A_Corridor!$A$5:$A$204&lt;&gt;"")*(A_Corridor!$A$5:$A$204&lt;=$B412)*(A_Corridor!$B$5:$B$204&gt;$B412)*(A_Corridor!$H$5:$H$204&lt;&gt;"")),IF(A_Corridor!$H$5:$H$204="-","",1)),"")</f>
        <v/>
      </c>
      <c r="M412" s="182" t="str">
        <f>IFERROR(LOOKUP(2,1/((A_Corridor!$A$5:$A$204&lt;&gt;"")*(A_Corridor!$A$5:$A$204&lt;=$B412)*(A_Corridor!$B$5:$B$204&gt;$B412)*(A_Corridor!$H$5:$H$204&lt;&gt;"")),IF(A_Corridor!$H$5:$H$204="-","",A_Corridor!$H$5:$H$204)),"")</f>
        <v/>
      </c>
      <c r="N412" s="182" t="str">
        <f>IFERROR(LOOKUP(2,1/((A_Corridor!$A$5:$A$204&lt;&gt;"")*(A_Corridor!$A$5:$A$204&lt;=$B412)*(A_Corridor!$B$5:$B$204&gt;$B412)*(A_Corridor!$I$5:$I$204&lt;&gt;"")),IF(A_Corridor!$I$5:$I$204="-","",A_Corridor!$I$5:$I$204)),"")</f>
        <v/>
      </c>
      <c r="O412" s="182" t="str">
        <f>IFERROR(LOOKUP(2,1/((D_Points!$A$5:$A$204&lt;&gt;"")*(D_Points!$A$5:$A$204&gt;=$B412)*(D_Points!$A$5:$A$204&lt;$B412+P_Interval)*(UPPER(TRIM(D_Points!$B$5:$B$204))="PITCHING")*(D_Points!$H$5:$H$204&lt;&gt;"")),D_Points!$H$5:$H$204),"")</f>
        <v/>
      </c>
      <c r="P412" s="181" t="str">
        <f>IFERROR(LOOKUP(2,1/((B_Drainage!$A$5:$A$204&lt;&gt;"")*(B_Drainage!$A$5:$A$204&lt;=$B412)*(B_Drainage!$B$5:$B$204&gt;$B412)*(B_Drainage!$C$5:$C$204&lt;&gt;"")),IF(B_Drainage!$C$5:$C$204="-","",UPPER(B_Drainage!$C$5:$C$204))),"")</f>
        <v/>
      </c>
      <c r="Q412" s="181" t="str">
        <f>IFERROR(LOOKUP(2,1/((B_Drainage!$A$5:$A$204&lt;&gt;"")*(B_Drainage!$A$5:$A$204&lt;=$B412)*(B_Drainage!$B$5:$B$204&gt;$B412)*(B_Drainage!$D$5:$D$204&lt;&gt;"")),IF(B_Drainage!$D$5:$D$204="-","",UPPER(B_Drainage!$D$5:$D$204))),"")</f>
        <v/>
      </c>
      <c r="R412" s="182" t="str">
        <f>IFERROR(LOOKUP(2,1/((D_Points!$A$5:$A$204&lt;&gt;"")*(D_Points!$A$5:$A$204&gt;=$B412)*(D_Points!$A$5:$A$204&lt;$B412+P_Interval)*(RIGHT(UPPER(TRIM(D_Points!$B$5:$B$204)),8)="_CULVERT")),IF(LEFT(UPPER(TRIM(D_Points!$B$5:$B$204)),2)="EX",1,IF(LEFT(UPPER(TRIM(D_Points!$B$5:$B$204)),2)="PR",2,3))),"")</f>
        <v/>
      </c>
      <c r="S412" s="182" t="str">
        <f>IFERROR(LOOKUP(2,1/((D_Points!$A$5:$A$204&lt;&gt;"")*(D_Points!$A$5:$A$204&gt;=$B412)*(D_Points!$A$5:$A$204&lt;$B412+P_Interval)*(RIGHT(UPPER(TRIM(D_Points!$B$5:$B$204)),7)="_BRIDGE")),IF(LEFT(UPPER(TRIM(D_Points!$B$5:$B$204)),2)="EX",1,IF(LEFT(UPPER(TRIM(D_Points!$B$5:$B$204)),2)="PR",2,2))),"")</f>
        <v/>
      </c>
      <c r="T412" s="181" t="str">
        <f>IFERROR(LOOKUP(2,1/((B_Drainage!$A$5:$A$204&lt;&gt;"")*(B_Drainage!$A$5:$A$204&lt;=$B412)*(B_Drainage!$B$5:$B$204&gt;$B412)*(B_Drainage!$E$5:$E$204&lt;&gt;"")),IF(B_Drainage!$E$5:$E$204="-","",1)),"")</f>
        <v/>
      </c>
      <c r="U412" s="181" t="str">
        <f>IFERROR(LOOKUP(2,1/((B_Drainage!$A$5:$A$204&lt;&gt;"")*(B_Drainage!$A$5:$A$204&lt;=$B412)*(B_Drainage!$B$5:$B$204&gt;$B412)*(B_Drainage!$E$5:$E$204&lt;&gt;"")),IF(B_Drainage!$E$5:$E$204="-","",B_Drainage!$E$5:$E$204)),"")</f>
        <v/>
      </c>
      <c r="V412" s="181" t="str">
        <f>IFERROR(LOOKUP(2,1/((B_Drainage!$A$5:$A$204&lt;&gt;"")*(B_Drainage!$A$5:$A$204&lt;=$B412)*(B_Drainage!$B$5:$B$204&gt;$B412)*(B_Drainage!$F$5:$F$204&lt;&gt;"")),IF(B_Drainage!$F$5:$F$204="-","",1)),"")</f>
        <v/>
      </c>
      <c r="W412" s="181" t="str">
        <f>IFERROR(LOOKUP(2,1/((B_Drainage!$A$5:$A$204&lt;&gt;"")*(B_Drainage!$A$5:$A$204&lt;=$B412)*(B_Drainage!$B$5:$B$204&gt;$B412)*(B_Drainage!$F$5:$F$204&lt;&gt;"")),IF(B_Drainage!$F$5:$F$204="-","",B_Drainage!$F$5:$F$204)),"")</f>
        <v/>
      </c>
      <c r="X412" s="181" t="str">
        <f>IFERROR(LOOKUP(2,1/((B_Drainage!$A$5:$A$204&lt;&gt;"")*(B_Drainage!$A$5:$A$204&lt;=$B412)*(B_Drainage!$B$5:$B$204&gt;$B412)*(B_Drainage!$G$5:$G$204&lt;&gt;"")),IF(UPPER(B_Drainage!$G$5:$G$204)="Y",1,"")),"")</f>
        <v/>
      </c>
      <c r="Y412" s="181" t="str">
        <f>IFERROR(LOOKUP(2,1/((B_Drainage!$A$5:$A$204&lt;&gt;"")*(B_Drainage!$A$5:$A$204&lt;=$B412)*(B_Drainage!$B$5:$B$204&gt;$B412)*(B_Drainage!$H$5:$H$204&lt;&gt;"")),IF(UPPER(B_Drainage!$H$5:$H$204)="Y",1,"")),"")</f>
        <v/>
      </c>
      <c r="Z412" s="181" t="str">
        <f>IFERROR(LOOKUP(2,1/((B_Drainage!$A$5:$A$204&lt;&gt;"")*(B_Drainage!$A$5:$A$204&lt;=$B412)*(B_Drainage!$B$5:$B$204&gt;$B412)*(B_Drainage!$I$5:$I$204&lt;&gt;"")),IF(UPPER(B_Drainage!$I$5:$I$204)="Y",1,"")),"")</f>
        <v/>
      </c>
      <c r="AA412" s="181" t="str">
        <f>IFERROR(LOOKUP(2,1/((B_Drainage!$A$5:$A$204&lt;&gt;"")*(B_Drainage!$A$5:$A$204&lt;=$B412)*(B_Drainage!$B$5:$B$204&gt;$B412)*(B_Drainage!$J$5:$J$204&lt;&gt;"")),IF(UPPER(B_Drainage!$J$5:$J$204)="Y",1,"")),"")</f>
        <v/>
      </c>
      <c r="AB412" s="182" t="str">
        <f>IFERROR(LOOKUP(2,1/((B_Drainage!$A$5:$A$204&lt;&gt;"")*(B_Drainage!$A$5:$A$204&lt;=$B412)*(B_Drainage!$B$5:$B$204&gt;$B412)*(B_Drainage!$K$5:$K$204&lt;&gt;"")),IF(B_Drainage!$K$5:$K$204="-","",B_Drainage!$K$5:$K$204)),"")</f>
        <v/>
      </c>
      <c r="AC412" s="182" t="str">
        <f>IFERROR(LOOKUP(2,1/((B_Drainage!$A$5:$A$204&lt;&gt;"")*(B_Drainage!$A$5:$A$204&lt;=$B412)*(B_Drainage!$B$5:$B$204&gt;$B412)*(B_Drainage!$L$5:$L$204&lt;&gt;"")),IF(B_Drainage!$L$5:$L$204="-","",B_Drainage!$L$5:$L$204)),"")</f>
        <v/>
      </c>
      <c r="AD412" s="182" t="str">
        <f>IFERROR(LOOKUP(2,1/((D_Points!$A$5:$A$204&lt;&gt;"")*(D_Points!$A$5:$A$204&gt;=$B412)*(D_Points!$A$5:$A$204&lt;$B412+P_Interval)*(UPPER(TRIM(D_Points!$B$5:$B$204))="TURNOUT_L")*(D_Points!$H$5:$H$204&lt;&gt;"")),D_Points!$H$5:$H$204),"")</f>
        <v/>
      </c>
      <c r="AE412" s="182" t="str">
        <f>IFERROR(LOOKUP(2,1/((D_Points!$A$5:$A$204&lt;&gt;"")*(D_Points!$A$5:$A$204&gt;=$B412)*(D_Points!$A$5:$A$204&lt;$B412+P_Interval)*(UPPER(TRIM(D_Points!$B$5:$B$204))="TURNOUT_R")*(D_Points!$H$5:$H$204&lt;&gt;"")),D_Points!$H$5:$H$204),"")</f>
        <v/>
      </c>
      <c r="AF412" s="181" t="str">
        <f>IFERROR(LOOKUP(2,1/((B_Drainage!$A$5:$A$204&lt;&gt;"")*(B_Drainage!$A$5:$A$204&lt;=$B412)*(B_Drainage!$B$5:$B$204&gt;$B412)*(B_Drainage!$M$5:$M$204&lt;&gt;"")),IF(UPPER(B_Drainage!$M$5:$M$204)="Y",1,"")),"")</f>
        <v/>
      </c>
      <c r="AG412" s="181" t="str">
        <f>IFERROR(LOOKUP(2,1/((B_Drainage!$A$5:$A$204&lt;&gt;"")*(B_Drainage!$A$5:$A$204&lt;=$B412)*(B_Drainage!$B$5:$B$204&gt;$B412)*(B_Drainage!$N$5:$N$204&lt;&gt;"")),IF(UPPER(B_Drainage!$N$5:$N$204)="Y",1,"")),"")</f>
        <v/>
      </c>
      <c r="AH412" s="181" t="str">
        <f t="shared" si="48"/>
        <v/>
      </c>
      <c r="AI412" s="181" t="str">
        <f t="shared" si="49"/>
        <v/>
      </c>
      <c r="AJ412" s="181" t="str">
        <f t="shared" si="50"/>
        <v/>
      </c>
      <c r="AK412" s="181" t="str">
        <f t="shared" si="51"/>
        <v/>
      </c>
      <c r="AL412" s="181" t="str">
        <f t="shared" si="52"/>
        <v/>
      </c>
      <c r="AM412" s="181" t="str">
        <f t="shared" si="53"/>
        <v/>
      </c>
      <c r="AN412" s="181" t="str">
        <f t="shared" si="54"/>
        <v/>
      </c>
      <c r="AO412" s="192" t="str">
        <f t="shared" si="55"/>
        <v/>
      </c>
      <c r="AQ412" t="str">
        <f>IFERROR(LOOKUP(2,1/((C_Pavement!$A$5:$A$204&lt;&gt;"")*(C_Pavement!$A$5:$A$204&lt;=$B412)*(C_Pavement!$B$5:$B$204&gt;$B412)*(C_Pavement!$C$5:$C$204&lt;&gt;"")),ROW(C_Pavement!$C$5:$C$204)-4),"")</f>
        <v/>
      </c>
      <c r="AR412" t="str">
        <f>IF($AQ412="","",UPPER(TRIM(INDEX(C_Pavement!$C$5:$C$204,$AQ412))))</f>
        <v/>
      </c>
      <c r="AS412" t="str">
        <f>IF($AR412="","",IFERROR(MATCH($AR412,E_Rules!$A$5:$A$9,0),""))</f>
        <v/>
      </c>
      <c r="AT412" t="str">
        <f>IF($AQ412="","",IF(INDEX(C_Pavement!$D$5:$D$204,$AQ412)&lt;&gt;"",UPPER(TRIM(INDEX(C_Pavement!$D$5:$D$204,$AQ412))),IF($AS412="","",INDEX(E_Rules!$C$5:$C$9,$AS412))))</f>
        <v/>
      </c>
      <c r="AU412" t="str">
        <f>IF($AQ412="","",IF(INDEX(C_Pavement!$E$5:$E$204,$AQ412)&lt;&gt;"",IF(INDEX(C_Pavement!$E$5:$E$204,$AQ412)="-","",INDEX(C_Pavement!$E$5:$E$204,$AQ412)),IF($AS412="","",INDEX(E_Rules!$D$5:$D$9,$AS412))))</f>
        <v/>
      </c>
      <c r="AV412" t="str">
        <f>IF($AQ412="","",IF(INDEX(C_Pavement!$F$5:$F$204,$AQ412)&lt;&gt;"",IF(INDEX(C_Pavement!$F$5:$F$204,$AQ412)="-","",INDEX(C_Pavement!$F$5:$F$204,$AQ412)),IF($AS412="","",INDEX(E_Rules!$E$5:$E$9,$AS412))))</f>
        <v/>
      </c>
      <c r="AW412" t="str">
        <f>IF($AQ412="","",IF(INDEX(C_Pavement!$G$5:$G$204,$AQ412)&lt;&gt;"",IF(INDEX(C_Pavement!$G$5:$G$204,$AQ412)="-","",INDEX(C_Pavement!$G$5:$G$204,$AQ412)),IF($AS412="","",INDEX(E_Rules!$F$5:$F$9,$AS412))))</f>
        <v/>
      </c>
      <c r="AX412" t="str">
        <f>IF($AQ412="","",IF(INDEX(C_Pavement!$H$5:$H$204,$AQ412)&lt;&gt;"",IF(INDEX(C_Pavement!$H$5:$H$204,$AQ412)="-","",INDEX(C_Pavement!$H$5:$H$204,$AQ412)),IF($AS412="","",INDEX(E_Rules!$G$5:$G$9,$AS412))))</f>
        <v/>
      </c>
      <c r="AY412" t="str">
        <f>IF($AQ412="","",IF(INDEX(C_Pavement!$I$5:$I$204,$AQ412)&lt;&gt;"",IF(INDEX(C_Pavement!$I$5:$I$204,$AQ412)="-","",INDEX(C_Pavement!$I$5:$I$204,$AQ412)),IF($AS412="","",INDEX(E_Rules!$H$5:$H$9,$AS412))))</f>
        <v/>
      </c>
    </row>
    <row r="413" spans="1:51" ht="15.75" customHeight="1" x14ac:dyDescent="0.3">
      <c r="A413" s="189">
        <v>408</v>
      </c>
      <c r="B413" s="180">
        <v>20350</v>
      </c>
      <c r="C413" s="180" t="s">
        <v>719</v>
      </c>
      <c r="D413" s="181" t="str">
        <f>IFERROR(LOOKUP(2,1/((A_Corridor!$A$5:$A$204&lt;&gt;"")*(A_Corridor!$A$5:$A$204&lt;=$B413)*(A_Corridor!$B$5:$B$204&gt;$B413)*(A_Corridor!$C$5:$C$204&lt;&gt;"")),IF(UPPER(A_Corridor!$C$5:$C$204)="Y",1,"")),"")</f>
        <v/>
      </c>
      <c r="E413" s="181" t="str">
        <f>IFERROR(LOOKUP(2,1/((A_Corridor!$A$5:$A$204&lt;&gt;"")*(A_Corridor!$A$5:$A$204&lt;=$B413)*(A_Corridor!$B$5:$B$204&gt;$B413)*(A_Corridor!$D$5:$D$204&lt;&gt;"")),IF(A_Corridor!$D$5:$D$204="-","",UPPER(A_Corridor!$D$5:$D$204))),"")</f>
        <v/>
      </c>
      <c r="F413" s="181" t="str">
        <f>IFERROR(LOOKUP(2,1/((A_Corridor!$A$5:$A$204&lt;&gt;"")*(A_Corridor!$A$5:$A$204&lt;=$B413)*(A_Corridor!$B$5:$B$204&gt;$B413)*(A_Corridor!$E$5:$E$204&lt;&gt;"")),IF(A_Corridor!$E$5:$E$204="-","",1)),"")</f>
        <v/>
      </c>
      <c r="G413" s="182" t="str">
        <f>IFERROR(LOOKUP(2,1/((A_Corridor!$A$5:$A$204&lt;&gt;"")*(A_Corridor!$A$5:$A$204&lt;=$B413)*(A_Corridor!$B$5:$B$204&gt;$B413)*(A_Corridor!$E$5:$E$204&lt;&gt;"")),IF(A_Corridor!$E$5:$E$204="-","",A_Corridor!$E$5:$E$204)),"")</f>
        <v/>
      </c>
      <c r="H413" s="182" t="str">
        <f>IFERROR(LOOKUP(2,1/((D_Points!$A$5:$A$204&lt;&gt;"")*(D_Points!$A$5:$A$204&gt;=$B413)*(D_Points!$A$5:$A$204&lt;$B413+P_Interval)*(UPPER(TRIM(D_Points!$B$5:$B$204))="GULLY")*(D_Points!$H$5:$H$204&lt;&gt;"")),D_Points!$H$5:$H$204),"")</f>
        <v/>
      </c>
      <c r="I413" s="181" t="str">
        <f>IFERROR(LOOKUP(2,1/((A_Corridor!$A$5:$A$204&lt;&gt;"")*(A_Corridor!$A$5:$A$204&lt;=$B413)*(A_Corridor!$B$5:$B$204&gt;$B413)*(A_Corridor!$F$5:$F$204&lt;&gt;"")),IF(A_Corridor!$F$5:$F$204="-","",1)),"")</f>
        <v/>
      </c>
      <c r="J413" s="182" t="str">
        <f>IFERROR(LOOKUP(2,1/((A_Corridor!$A$5:$A$204&lt;&gt;"")*(A_Corridor!$A$5:$A$204&lt;=$B413)*(A_Corridor!$B$5:$B$204&gt;$B413)*(A_Corridor!$F$5:$F$204&lt;&gt;"")),IF(A_Corridor!$F$5:$F$204="-","",A_Corridor!$F$5:$F$204)),"")</f>
        <v/>
      </c>
      <c r="K413" s="182" t="str">
        <f>IFERROR(LOOKUP(2,1/((A_Corridor!$A$5:$A$204&lt;&gt;"")*(A_Corridor!$A$5:$A$204&lt;=$B413)*(A_Corridor!$B$5:$B$204&gt;$B413)*(A_Corridor!$G$5:$G$204&lt;&gt;"")),IF(A_Corridor!$G$5:$G$204="-","",A_Corridor!$G$5:$G$204)),"")</f>
        <v/>
      </c>
      <c r="L413" s="181" t="str">
        <f>IFERROR(LOOKUP(2,1/((A_Corridor!$A$5:$A$204&lt;&gt;"")*(A_Corridor!$A$5:$A$204&lt;=$B413)*(A_Corridor!$B$5:$B$204&gt;$B413)*(A_Corridor!$H$5:$H$204&lt;&gt;"")),IF(A_Corridor!$H$5:$H$204="-","",1)),"")</f>
        <v/>
      </c>
      <c r="M413" s="182" t="str">
        <f>IFERROR(LOOKUP(2,1/((A_Corridor!$A$5:$A$204&lt;&gt;"")*(A_Corridor!$A$5:$A$204&lt;=$B413)*(A_Corridor!$B$5:$B$204&gt;$B413)*(A_Corridor!$H$5:$H$204&lt;&gt;"")),IF(A_Corridor!$H$5:$H$204="-","",A_Corridor!$H$5:$H$204)),"")</f>
        <v/>
      </c>
      <c r="N413" s="182" t="str">
        <f>IFERROR(LOOKUP(2,1/((A_Corridor!$A$5:$A$204&lt;&gt;"")*(A_Corridor!$A$5:$A$204&lt;=$B413)*(A_Corridor!$B$5:$B$204&gt;$B413)*(A_Corridor!$I$5:$I$204&lt;&gt;"")),IF(A_Corridor!$I$5:$I$204="-","",A_Corridor!$I$5:$I$204)),"")</f>
        <v/>
      </c>
      <c r="O413" s="182" t="str">
        <f>IFERROR(LOOKUP(2,1/((D_Points!$A$5:$A$204&lt;&gt;"")*(D_Points!$A$5:$A$204&gt;=$B413)*(D_Points!$A$5:$A$204&lt;$B413+P_Interval)*(UPPER(TRIM(D_Points!$B$5:$B$204))="PITCHING")*(D_Points!$H$5:$H$204&lt;&gt;"")),D_Points!$H$5:$H$204),"")</f>
        <v/>
      </c>
      <c r="P413" s="181" t="str">
        <f>IFERROR(LOOKUP(2,1/((B_Drainage!$A$5:$A$204&lt;&gt;"")*(B_Drainage!$A$5:$A$204&lt;=$B413)*(B_Drainage!$B$5:$B$204&gt;$B413)*(B_Drainage!$C$5:$C$204&lt;&gt;"")),IF(B_Drainage!$C$5:$C$204="-","",UPPER(B_Drainage!$C$5:$C$204))),"")</f>
        <v/>
      </c>
      <c r="Q413" s="181" t="str">
        <f>IFERROR(LOOKUP(2,1/((B_Drainage!$A$5:$A$204&lt;&gt;"")*(B_Drainage!$A$5:$A$204&lt;=$B413)*(B_Drainage!$B$5:$B$204&gt;$B413)*(B_Drainage!$D$5:$D$204&lt;&gt;"")),IF(B_Drainage!$D$5:$D$204="-","",UPPER(B_Drainage!$D$5:$D$204))),"")</f>
        <v/>
      </c>
      <c r="R413" s="182" t="str">
        <f>IFERROR(LOOKUP(2,1/((D_Points!$A$5:$A$204&lt;&gt;"")*(D_Points!$A$5:$A$204&gt;=$B413)*(D_Points!$A$5:$A$204&lt;$B413+P_Interval)*(RIGHT(UPPER(TRIM(D_Points!$B$5:$B$204)),8)="_CULVERT")),IF(LEFT(UPPER(TRIM(D_Points!$B$5:$B$204)),2)="EX",1,IF(LEFT(UPPER(TRIM(D_Points!$B$5:$B$204)),2)="PR",2,3))),"")</f>
        <v/>
      </c>
      <c r="S413" s="182" t="str">
        <f>IFERROR(LOOKUP(2,1/((D_Points!$A$5:$A$204&lt;&gt;"")*(D_Points!$A$5:$A$204&gt;=$B413)*(D_Points!$A$5:$A$204&lt;$B413+P_Interval)*(RIGHT(UPPER(TRIM(D_Points!$B$5:$B$204)),7)="_BRIDGE")),IF(LEFT(UPPER(TRIM(D_Points!$B$5:$B$204)),2)="EX",1,IF(LEFT(UPPER(TRIM(D_Points!$B$5:$B$204)),2)="PR",2,2))),"")</f>
        <v/>
      </c>
      <c r="T413" s="181" t="str">
        <f>IFERROR(LOOKUP(2,1/((B_Drainage!$A$5:$A$204&lt;&gt;"")*(B_Drainage!$A$5:$A$204&lt;=$B413)*(B_Drainage!$B$5:$B$204&gt;$B413)*(B_Drainage!$E$5:$E$204&lt;&gt;"")),IF(B_Drainage!$E$5:$E$204="-","",1)),"")</f>
        <v/>
      </c>
      <c r="U413" s="181" t="str">
        <f>IFERROR(LOOKUP(2,1/((B_Drainage!$A$5:$A$204&lt;&gt;"")*(B_Drainage!$A$5:$A$204&lt;=$B413)*(B_Drainage!$B$5:$B$204&gt;$B413)*(B_Drainage!$E$5:$E$204&lt;&gt;"")),IF(B_Drainage!$E$5:$E$204="-","",B_Drainage!$E$5:$E$204)),"")</f>
        <v/>
      </c>
      <c r="V413" s="181" t="str">
        <f>IFERROR(LOOKUP(2,1/((B_Drainage!$A$5:$A$204&lt;&gt;"")*(B_Drainage!$A$5:$A$204&lt;=$B413)*(B_Drainage!$B$5:$B$204&gt;$B413)*(B_Drainage!$F$5:$F$204&lt;&gt;"")),IF(B_Drainage!$F$5:$F$204="-","",1)),"")</f>
        <v/>
      </c>
      <c r="W413" s="181" t="str">
        <f>IFERROR(LOOKUP(2,1/((B_Drainage!$A$5:$A$204&lt;&gt;"")*(B_Drainage!$A$5:$A$204&lt;=$B413)*(B_Drainage!$B$5:$B$204&gt;$B413)*(B_Drainage!$F$5:$F$204&lt;&gt;"")),IF(B_Drainage!$F$5:$F$204="-","",B_Drainage!$F$5:$F$204)),"")</f>
        <v/>
      </c>
      <c r="X413" s="181" t="str">
        <f>IFERROR(LOOKUP(2,1/((B_Drainage!$A$5:$A$204&lt;&gt;"")*(B_Drainage!$A$5:$A$204&lt;=$B413)*(B_Drainage!$B$5:$B$204&gt;$B413)*(B_Drainage!$G$5:$G$204&lt;&gt;"")),IF(UPPER(B_Drainage!$G$5:$G$204)="Y",1,"")),"")</f>
        <v/>
      </c>
      <c r="Y413" s="181" t="str">
        <f>IFERROR(LOOKUP(2,1/((B_Drainage!$A$5:$A$204&lt;&gt;"")*(B_Drainage!$A$5:$A$204&lt;=$B413)*(B_Drainage!$B$5:$B$204&gt;$B413)*(B_Drainage!$H$5:$H$204&lt;&gt;"")),IF(UPPER(B_Drainage!$H$5:$H$204)="Y",1,"")),"")</f>
        <v/>
      </c>
      <c r="Z413" s="181" t="str">
        <f>IFERROR(LOOKUP(2,1/((B_Drainage!$A$5:$A$204&lt;&gt;"")*(B_Drainage!$A$5:$A$204&lt;=$B413)*(B_Drainage!$B$5:$B$204&gt;$B413)*(B_Drainage!$I$5:$I$204&lt;&gt;"")),IF(UPPER(B_Drainage!$I$5:$I$204)="Y",1,"")),"")</f>
        <v/>
      </c>
      <c r="AA413" s="181" t="str">
        <f>IFERROR(LOOKUP(2,1/((B_Drainage!$A$5:$A$204&lt;&gt;"")*(B_Drainage!$A$5:$A$204&lt;=$B413)*(B_Drainage!$B$5:$B$204&gt;$B413)*(B_Drainage!$J$5:$J$204&lt;&gt;"")),IF(UPPER(B_Drainage!$J$5:$J$204)="Y",1,"")),"")</f>
        <v/>
      </c>
      <c r="AB413" s="182" t="str">
        <f>IFERROR(LOOKUP(2,1/((B_Drainage!$A$5:$A$204&lt;&gt;"")*(B_Drainage!$A$5:$A$204&lt;=$B413)*(B_Drainage!$B$5:$B$204&gt;$B413)*(B_Drainage!$K$5:$K$204&lt;&gt;"")),IF(B_Drainage!$K$5:$K$204="-","",B_Drainage!$K$5:$K$204)),"")</f>
        <v/>
      </c>
      <c r="AC413" s="182" t="str">
        <f>IFERROR(LOOKUP(2,1/((B_Drainage!$A$5:$A$204&lt;&gt;"")*(B_Drainage!$A$5:$A$204&lt;=$B413)*(B_Drainage!$B$5:$B$204&gt;$B413)*(B_Drainage!$L$5:$L$204&lt;&gt;"")),IF(B_Drainage!$L$5:$L$204="-","",B_Drainage!$L$5:$L$204)),"")</f>
        <v/>
      </c>
      <c r="AD413" s="182" t="str">
        <f>IFERROR(LOOKUP(2,1/((D_Points!$A$5:$A$204&lt;&gt;"")*(D_Points!$A$5:$A$204&gt;=$B413)*(D_Points!$A$5:$A$204&lt;$B413+P_Interval)*(UPPER(TRIM(D_Points!$B$5:$B$204))="TURNOUT_L")*(D_Points!$H$5:$H$204&lt;&gt;"")),D_Points!$H$5:$H$204),"")</f>
        <v/>
      </c>
      <c r="AE413" s="182" t="str">
        <f>IFERROR(LOOKUP(2,1/((D_Points!$A$5:$A$204&lt;&gt;"")*(D_Points!$A$5:$A$204&gt;=$B413)*(D_Points!$A$5:$A$204&lt;$B413+P_Interval)*(UPPER(TRIM(D_Points!$B$5:$B$204))="TURNOUT_R")*(D_Points!$H$5:$H$204&lt;&gt;"")),D_Points!$H$5:$H$204),"")</f>
        <v/>
      </c>
      <c r="AF413" s="181" t="str">
        <f>IFERROR(LOOKUP(2,1/((B_Drainage!$A$5:$A$204&lt;&gt;"")*(B_Drainage!$A$5:$A$204&lt;=$B413)*(B_Drainage!$B$5:$B$204&gt;$B413)*(B_Drainage!$M$5:$M$204&lt;&gt;"")),IF(UPPER(B_Drainage!$M$5:$M$204)="Y",1,"")),"")</f>
        <v/>
      </c>
      <c r="AG413" s="181" t="str">
        <f>IFERROR(LOOKUP(2,1/((B_Drainage!$A$5:$A$204&lt;&gt;"")*(B_Drainage!$A$5:$A$204&lt;=$B413)*(B_Drainage!$B$5:$B$204&gt;$B413)*(B_Drainage!$N$5:$N$204&lt;&gt;"")),IF(UPPER(B_Drainage!$N$5:$N$204)="Y",1,"")),"")</f>
        <v/>
      </c>
      <c r="AH413" s="181" t="str">
        <f t="shared" si="48"/>
        <v/>
      </c>
      <c r="AI413" s="181" t="str">
        <f t="shared" si="49"/>
        <v/>
      </c>
      <c r="AJ413" s="181" t="str">
        <f t="shared" si="50"/>
        <v/>
      </c>
      <c r="AK413" s="181" t="str">
        <f t="shared" si="51"/>
        <v/>
      </c>
      <c r="AL413" s="181" t="str">
        <f t="shared" si="52"/>
        <v/>
      </c>
      <c r="AM413" s="181" t="str">
        <f t="shared" si="53"/>
        <v/>
      </c>
      <c r="AN413" s="181" t="str">
        <f t="shared" si="54"/>
        <v/>
      </c>
      <c r="AO413" s="192" t="str">
        <f t="shared" si="55"/>
        <v/>
      </c>
      <c r="AQ413" t="str">
        <f>IFERROR(LOOKUP(2,1/((C_Pavement!$A$5:$A$204&lt;&gt;"")*(C_Pavement!$A$5:$A$204&lt;=$B413)*(C_Pavement!$B$5:$B$204&gt;$B413)*(C_Pavement!$C$5:$C$204&lt;&gt;"")),ROW(C_Pavement!$C$5:$C$204)-4),"")</f>
        <v/>
      </c>
      <c r="AR413" t="str">
        <f>IF($AQ413="","",UPPER(TRIM(INDEX(C_Pavement!$C$5:$C$204,$AQ413))))</f>
        <v/>
      </c>
      <c r="AS413" t="str">
        <f>IF($AR413="","",IFERROR(MATCH($AR413,E_Rules!$A$5:$A$9,0),""))</f>
        <v/>
      </c>
      <c r="AT413" t="str">
        <f>IF($AQ413="","",IF(INDEX(C_Pavement!$D$5:$D$204,$AQ413)&lt;&gt;"",UPPER(TRIM(INDEX(C_Pavement!$D$5:$D$204,$AQ413))),IF($AS413="","",INDEX(E_Rules!$C$5:$C$9,$AS413))))</f>
        <v/>
      </c>
      <c r="AU413" t="str">
        <f>IF($AQ413="","",IF(INDEX(C_Pavement!$E$5:$E$204,$AQ413)&lt;&gt;"",IF(INDEX(C_Pavement!$E$5:$E$204,$AQ413)="-","",INDEX(C_Pavement!$E$5:$E$204,$AQ413)),IF($AS413="","",INDEX(E_Rules!$D$5:$D$9,$AS413))))</f>
        <v/>
      </c>
      <c r="AV413" t="str">
        <f>IF($AQ413="","",IF(INDEX(C_Pavement!$F$5:$F$204,$AQ413)&lt;&gt;"",IF(INDEX(C_Pavement!$F$5:$F$204,$AQ413)="-","",INDEX(C_Pavement!$F$5:$F$204,$AQ413)),IF($AS413="","",INDEX(E_Rules!$E$5:$E$9,$AS413))))</f>
        <v/>
      </c>
      <c r="AW413" t="str">
        <f>IF($AQ413="","",IF(INDEX(C_Pavement!$G$5:$G$204,$AQ413)&lt;&gt;"",IF(INDEX(C_Pavement!$G$5:$G$204,$AQ413)="-","",INDEX(C_Pavement!$G$5:$G$204,$AQ413)),IF($AS413="","",INDEX(E_Rules!$F$5:$F$9,$AS413))))</f>
        <v/>
      </c>
      <c r="AX413" t="str">
        <f>IF($AQ413="","",IF(INDEX(C_Pavement!$H$5:$H$204,$AQ413)&lt;&gt;"",IF(INDEX(C_Pavement!$H$5:$H$204,$AQ413)="-","",INDEX(C_Pavement!$H$5:$H$204,$AQ413)),IF($AS413="","",INDEX(E_Rules!$G$5:$G$9,$AS413))))</f>
        <v/>
      </c>
      <c r="AY413" t="str">
        <f>IF($AQ413="","",IF(INDEX(C_Pavement!$I$5:$I$204,$AQ413)&lt;&gt;"",IF(INDEX(C_Pavement!$I$5:$I$204,$AQ413)="-","",INDEX(C_Pavement!$I$5:$I$204,$AQ413)),IF($AS413="","",INDEX(E_Rules!$H$5:$H$9,$AS413))))</f>
        <v/>
      </c>
    </row>
    <row r="414" spans="1:51" ht="15.75" customHeight="1" x14ac:dyDescent="0.3">
      <c r="A414" s="189">
        <v>409</v>
      </c>
      <c r="B414" s="180">
        <v>20400</v>
      </c>
      <c r="C414" s="180" t="s">
        <v>720</v>
      </c>
      <c r="D414" s="181" t="str">
        <f>IFERROR(LOOKUP(2,1/((A_Corridor!$A$5:$A$204&lt;&gt;"")*(A_Corridor!$A$5:$A$204&lt;=$B414)*(A_Corridor!$B$5:$B$204&gt;$B414)*(A_Corridor!$C$5:$C$204&lt;&gt;"")),IF(UPPER(A_Corridor!$C$5:$C$204)="Y",1,"")),"")</f>
        <v/>
      </c>
      <c r="E414" s="181" t="str">
        <f>IFERROR(LOOKUP(2,1/((A_Corridor!$A$5:$A$204&lt;&gt;"")*(A_Corridor!$A$5:$A$204&lt;=$B414)*(A_Corridor!$B$5:$B$204&gt;$B414)*(A_Corridor!$D$5:$D$204&lt;&gt;"")),IF(A_Corridor!$D$5:$D$204="-","",UPPER(A_Corridor!$D$5:$D$204))),"")</f>
        <v/>
      </c>
      <c r="F414" s="181" t="str">
        <f>IFERROR(LOOKUP(2,1/((A_Corridor!$A$5:$A$204&lt;&gt;"")*(A_Corridor!$A$5:$A$204&lt;=$B414)*(A_Corridor!$B$5:$B$204&gt;$B414)*(A_Corridor!$E$5:$E$204&lt;&gt;"")),IF(A_Corridor!$E$5:$E$204="-","",1)),"")</f>
        <v/>
      </c>
      <c r="G414" s="182" t="str">
        <f>IFERROR(LOOKUP(2,1/((A_Corridor!$A$5:$A$204&lt;&gt;"")*(A_Corridor!$A$5:$A$204&lt;=$B414)*(A_Corridor!$B$5:$B$204&gt;$B414)*(A_Corridor!$E$5:$E$204&lt;&gt;"")),IF(A_Corridor!$E$5:$E$204="-","",A_Corridor!$E$5:$E$204)),"")</f>
        <v/>
      </c>
      <c r="H414" s="182" t="str">
        <f>IFERROR(LOOKUP(2,1/((D_Points!$A$5:$A$204&lt;&gt;"")*(D_Points!$A$5:$A$204&gt;=$B414)*(D_Points!$A$5:$A$204&lt;$B414+P_Interval)*(UPPER(TRIM(D_Points!$B$5:$B$204))="GULLY")*(D_Points!$H$5:$H$204&lt;&gt;"")),D_Points!$H$5:$H$204),"")</f>
        <v/>
      </c>
      <c r="I414" s="181" t="str">
        <f>IFERROR(LOOKUP(2,1/((A_Corridor!$A$5:$A$204&lt;&gt;"")*(A_Corridor!$A$5:$A$204&lt;=$B414)*(A_Corridor!$B$5:$B$204&gt;$B414)*(A_Corridor!$F$5:$F$204&lt;&gt;"")),IF(A_Corridor!$F$5:$F$204="-","",1)),"")</f>
        <v/>
      </c>
      <c r="J414" s="182" t="str">
        <f>IFERROR(LOOKUP(2,1/((A_Corridor!$A$5:$A$204&lt;&gt;"")*(A_Corridor!$A$5:$A$204&lt;=$B414)*(A_Corridor!$B$5:$B$204&gt;$B414)*(A_Corridor!$F$5:$F$204&lt;&gt;"")),IF(A_Corridor!$F$5:$F$204="-","",A_Corridor!$F$5:$F$204)),"")</f>
        <v/>
      </c>
      <c r="K414" s="182" t="str">
        <f>IFERROR(LOOKUP(2,1/((A_Corridor!$A$5:$A$204&lt;&gt;"")*(A_Corridor!$A$5:$A$204&lt;=$B414)*(A_Corridor!$B$5:$B$204&gt;$B414)*(A_Corridor!$G$5:$G$204&lt;&gt;"")),IF(A_Corridor!$G$5:$G$204="-","",A_Corridor!$G$5:$G$204)),"")</f>
        <v/>
      </c>
      <c r="L414" s="181" t="str">
        <f>IFERROR(LOOKUP(2,1/((A_Corridor!$A$5:$A$204&lt;&gt;"")*(A_Corridor!$A$5:$A$204&lt;=$B414)*(A_Corridor!$B$5:$B$204&gt;$B414)*(A_Corridor!$H$5:$H$204&lt;&gt;"")),IF(A_Corridor!$H$5:$H$204="-","",1)),"")</f>
        <v/>
      </c>
      <c r="M414" s="182" t="str">
        <f>IFERROR(LOOKUP(2,1/((A_Corridor!$A$5:$A$204&lt;&gt;"")*(A_Corridor!$A$5:$A$204&lt;=$B414)*(A_Corridor!$B$5:$B$204&gt;$B414)*(A_Corridor!$H$5:$H$204&lt;&gt;"")),IF(A_Corridor!$H$5:$H$204="-","",A_Corridor!$H$5:$H$204)),"")</f>
        <v/>
      </c>
      <c r="N414" s="182" t="str">
        <f>IFERROR(LOOKUP(2,1/((A_Corridor!$A$5:$A$204&lt;&gt;"")*(A_Corridor!$A$5:$A$204&lt;=$B414)*(A_Corridor!$B$5:$B$204&gt;$B414)*(A_Corridor!$I$5:$I$204&lt;&gt;"")),IF(A_Corridor!$I$5:$I$204="-","",A_Corridor!$I$5:$I$204)),"")</f>
        <v/>
      </c>
      <c r="O414" s="182" t="str">
        <f>IFERROR(LOOKUP(2,1/((D_Points!$A$5:$A$204&lt;&gt;"")*(D_Points!$A$5:$A$204&gt;=$B414)*(D_Points!$A$5:$A$204&lt;$B414+P_Interval)*(UPPER(TRIM(D_Points!$B$5:$B$204))="PITCHING")*(D_Points!$H$5:$H$204&lt;&gt;"")),D_Points!$H$5:$H$204),"")</f>
        <v/>
      </c>
      <c r="P414" s="181" t="str">
        <f>IFERROR(LOOKUP(2,1/((B_Drainage!$A$5:$A$204&lt;&gt;"")*(B_Drainage!$A$5:$A$204&lt;=$B414)*(B_Drainage!$B$5:$B$204&gt;$B414)*(B_Drainage!$C$5:$C$204&lt;&gt;"")),IF(B_Drainage!$C$5:$C$204="-","",UPPER(B_Drainage!$C$5:$C$204))),"")</f>
        <v/>
      </c>
      <c r="Q414" s="181" t="str">
        <f>IFERROR(LOOKUP(2,1/((B_Drainage!$A$5:$A$204&lt;&gt;"")*(B_Drainage!$A$5:$A$204&lt;=$B414)*(B_Drainage!$B$5:$B$204&gt;$B414)*(B_Drainage!$D$5:$D$204&lt;&gt;"")),IF(B_Drainage!$D$5:$D$204="-","",UPPER(B_Drainage!$D$5:$D$204))),"")</f>
        <v/>
      </c>
      <c r="R414" s="182" t="str">
        <f>IFERROR(LOOKUP(2,1/((D_Points!$A$5:$A$204&lt;&gt;"")*(D_Points!$A$5:$A$204&gt;=$B414)*(D_Points!$A$5:$A$204&lt;$B414+P_Interval)*(RIGHT(UPPER(TRIM(D_Points!$B$5:$B$204)),8)="_CULVERT")),IF(LEFT(UPPER(TRIM(D_Points!$B$5:$B$204)),2)="EX",1,IF(LEFT(UPPER(TRIM(D_Points!$B$5:$B$204)),2)="PR",2,3))),"")</f>
        <v/>
      </c>
      <c r="S414" s="182" t="str">
        <f>IFERROR(LOOKUP(2,1/((D_Points!$A$5:$A$204&lt;&gt;"")*(D_Points!$A$5:$A$204&gt;=$B414)*(D_Points!$A$5:$A$204&lt;$B414+P_Interval)*(RIGHT(UPPER(TRIM(D_Points!$B$5:$B$204)),7)="_BRIDGE")),IF(LEFT(UPPER(TRIM(D_Points!$B$5:$B$204)),2)="EX",1,IF(LEFT(UPPER(TRIM(D_Points!$B$5:$B$204)),2)="PR",2,2))),"")</f>
        <v/>
      </c>
      <c r="T414" s="181" t="str">
        <f>IFERROR(LOOKUP(2,1/((B_Drainage!$A$5:$A$204&lt;&gt;"")*(B_Drainage!$A$5:$A$204&lt;=$B414)*(B_Drainage!$B$5:$B$204&gt;$B414)*(B_Drainage!$E$5:$E$204&lt;&gt;"")),IF(B_Drainage!$E$5:$E$204="-","",1)),"")</f>
        <v/>
      </c>
      <c r="U414" s="181" t="str">
        <f>IFERROR(LOOKUP(2,1/((B_Drainage!$A$5:$A$204&lt;&gt;"")*(B_Drainage!$A$5:$A$204&lt;=$B414)*(B_Drainage!$B$5:$B$204&gt;$B414)*(B_Drainage!$E$5:$E$204&lt;&gt;"")),IF(B_Drainage!$E$5:$E$204="-","",B_Drainage!$E$5:$E$204)),"")</f>
        <v/>
      </c>
      <c r="V414" s="181" t="str">
        <f>IFERROR(LOOKUP(2,1/((B_Drainage!$A$5:$A$204&lt;&gt;"")*(B_Drainage!$A$5:$A$204&lt;=$B414)*(B_Drainage!$B$5:$B$204&gt;$B414)*(B_Drainage!$F$5:$F$204&lt;&gt;"")),IF(B_Drainage!$F$5:$F$204="-","",1)),"")</f>
        <v/>
      </c>
      <c r="W414" s="181" t="str">
        <f>IFERROR(LOOKUP(2,1/((B_Drainage!$A$5:$A$204&lt;&gt;"")*(B_Drainage!$A$5:$A$204&lt;=$B414)*(B_Drainage!$B$5:$B$204&gt;$B414)*(B_Drainage!$F$5:$F$204&lt;&gt;"")),IF(B_Drainage!$F$5:$F$204="-","",B_Drainage!$F$5:$F$204)),"")</f>
        <v/>
      </c>
      <c r="X414" s="181" t="str">
        <f>IFERROR(LOOKUP(2,1/((B_Drainage!$A$5:$A$204&lt;&gt;"")*(B_Drainage!$A$5:$A$204&lt;=$B414)*(B_Drainage!$B$5:$B$204&gt;$B414)*(B_Drainage!$G$5:$G$204&lt;&gt;"")),IF(UPPER(B_Drainage!$G$5:$G$204)="Y",1,"")),"")</f>
        <v/>
      </c>
      <c r="Y414" s="181" t="str">
        <f>IFERROR(LOOKUP(2,1/((B_Drainage!$A$5:$A$204&lt;&gt;"")*(B_Drainage!$A$5:$A$204&lt;=$B414)*(B_Drainage!$B$5:$B$204&gt;$B414)*(B_Drainage!$H$5:$H$204&lt;&gt;"")),IF(UPPER(B_Drainage!$H$5:$H$204)="Y",1,"")),"")</f>
        <v/>
      </c>
      <c r="Z414" s="181" t="str">
        <f>IFERROR(LOOKUP(2,1/((B_Drainage!$A$5:$A$204&lt;&gt;"")*(B_Drainage!$A$5:$A$204&lt;=$B414)*(B_Drainage!$B$5:$B$204&gt;$B414)*(B_Drainage!$I$5:$I$204&lt;&gt;"")),IF(UPPER(B_Drainage!$I$5:$I$204)="Y",1,"")),"")</f>
        <v/>
      </c>
      <c r="AA414" s="181" t="str">
        <f>IFERROR(LOOKUP(2,1/((B_Drainage!$A$5:$A$204&lt;&gt;"")*(B_Drainage!$A$5:$A$204&lt;=$B414)*(B_Drainage!$B$5:$B$204&gt;$B414)*(B_Drainage!$J$5:$J$204&lt;&gt;"")),IF(UPPER(B_Drainage!$J$5:$J$204)="Y",1,"")),"")</f>
        <v/>
      </c>
      <c r="AB414" s="182" t="str">
        <f>IFERROR(LOOKUP(2,1/((B_Drainage!$A$5:$A$204&lt;&gt;"")*(B_Drainage!$A$5:$A$204&lt;=$B414)*(B_Drainage!$B$5:$B$204&gt;$B414)*(B_Drainage!$K$5:$K$204&lt;&gt;"")),IF(B_Drainage!$K$5:$K$204="-","",B_Drainage!$K$5:$K$204)),"")</f>
        <v/>
      </c>
      <c r="AC414" s="182" t="str">
        <f>IFERROR(LOOKUP(2,1/((B_Drainage!$A$5:$A$204&lt;&gt;"")*(B_Drainage!$A$5:$A$204&lt;=$B414)*(B_Drainage!$B$5:$B$204&gt;$B414)*(B_Drainage!$L$5:$L$204&lt;&gt;"")),IF(B_Drainage!$L$5:$L$204="-","",B_Drainage!$L$5:$L$204)),"")</f>
        <v/>
      </c>
      <c r="AD414" s="182" t="str">
        <f>IFERROR(LOOKUP(2,1/((D_Points!$A$5:$A$204&lt;&gt;"")*(D_Points!$A$5:$A$204&gt;=$B414)*(D_Points!$A$5:$A$204&lt;$B414+P_Interval)*(UPPER(TRIM(D_Points!$B$5:$B$204))="TURNOUT_L")*(D_Points!$H$5:$H$204&lt;&gt;"")),D_Points!$H$5:$H$204),"")</f>
        <v/>
      </c>
      <c r="AE414" s="182" t="str">
        <f>IFERROR(LOOKUP(2,1/((D_Points!$A$5:$A$204&lt;&gt;"")*(D_Points!$A$5:$A$204&gt;=$B414)*(D_Points!$A$5:$A$204&lt;$B414+P_Interval)*(UPPER(TRIM(D_Points!$B$5:$B$204))="TURNOUT_R")*(D_Points!$H$5:$H$204&lt;&gt;"")),D_Points!$H$5:$H$204),"")</f>
        <v/>
      </c>
      <c r="AF414" s="181" t="str">
        <f>IFERROR(LOOKUP(2,1/((B_Drainage!$A$5:$A$204&lt;&gt;"")*(B_Drainage!$A$5:$A$204&lt;=$B414)*(B_Drainage!$B$5:$B$204&gt;$B414)*(B_Drainage!$M$5:$M$204&lt;&gt;"")),IF(UPPER(B_Drainage!$M$5:$M$204)="Y",1,"")),"")</f>
        <v/>
      </c>
      <c r="AG414" s="181" t="str">
        <f>IFERROR(LOOKUP(2,1/((B_Drainage!$A$5:$A$204&lt;&gt;"")*(B_Drainage!$A$5:$A$204&lt;=$B414)*(B_Drainage!$B$5:$B$204&gt;$B414)*(B_Drainage!$N$5:$N$204&lt;&gt;"")),IF(UPPER(B_Drainage!$N$5:$N$204)="Y",1,"")),"")</f>
        <v/>
      </c>
      <c r="AH414" s="181" t="str">
        <f t="shared" si="48"/>
        <v/>
      </c>
      <c r="AI414" s="181" t="str">
        <f t="shared" si="49"/>
        <v/>
      </c>
      <c r="AJ414" s="181" t="str">
        <f t="shared" si="50"/>
        <v/>
      </c>
      <c r="AK414" s="181" t="str">
        <f t="shared" si="51"/>
        <v/>
      </c>
      <c r="AL414" s="181" t="str">
        <f t="shared" si="52"/>
        <v/>
      </c>
      <c r="AM414" s="181" t="str">
        <f t="shared" si="53"/>
        <v/>
      </c>
      <c r="AN414" s="181" t="str">
        <f t="shared" si="54"/>
        <v/>
      </c>
      <c r="AO414" s="192" t="str">
        <f t="shared" si="55"/>
        <v/>
      </c>
      <c r="AQ414" t="str">
        <f>IFERROR(LOOKUP(2,1/((C_Pavement!$A$5:$A$204&lt;&gt;"")*(C_Pavement!$A$5:$A$204&lt;=$B414)*(C_Pavement!$B$5:$B$204&gt;$B414)*(C_Pavement!$C$5:$C$204&lt;&gt;"")),ROW(C_Pavement!$C$5:$C$204)-4),"")</f>
        <v/>
      </c>
      <c r="AR414" t="str">
        <f>IF($AQ414="","",UPPER(TRIM(INDEX(C_Pavement!$C$5:$C$204,$AQ414))))</f>
        <v/>
      </c>
      <c r="AS414" t="str">
        <f>IF($AR414="","",IFERROR(MATCH($AR414,E_Rules!$A$5:$A$9,0),""))</f>
        <v/>
      </c>
      <c r="AT414" t="str">
        <f>IF($AQ414="","",IF(INDEX(C_Pavement!$D$5:$D$204,$AQ414)&lt;&gt;"",UPPER(TRIM(INDEX(C_Pavement!$D$5:$D$204,$AQ414))),IF($AS414="","",INDEX(E_Rules!$C$5:$C$9,$AS414))))</f>
        <v/>
      </c>
      <c r="AU414" t="str">
        <f>IF($AQ414="","",IF(INDEX(C_Pavement!$E$5:$E$204,$AQ414)&lt;&gt;"",IF(INDEX(C_Pavement!$E$5:$E$204,$AQ414)="-","",INDEX(C_Pavement!$E$5:$E$204,$AQ414)),IF($AS414="","",INDEX(E_Rules!$D$5:$D$9,$AS414))))</f>
        <v/>
      </c>
      <c r="AV414" t="str">
        <f>IF($AQ414="","",IF(INDEX(C_Pavement!$F$5:$F$204,$AQ414)&lt;&gt;"",IF(INDEX(C_Pavement!$F$5:$F$204,$AQ414)="-","",INDEX(C_Pavement!$F$5:$F$204,$AQ414)),IF($AS414="","",INDEX(E_Rules!$E$5:$E$9,$AS414))))</f>
        <v/>
      </c>
      <c r="AW414" t="str">
        <f>IF($AQ414="","",IF(INDEX(C_Pavement!$G$5:$G$204,$AQ414)&lt;&gt;"",IF(INDEX(C_Pavement!$G$5:$G$204,$AQ414)="-","",INDEX(C_Pavement!$G$5:$G$204,$AQ414)),IF($AS414="","",INDEX(E_Rules!$F$5:$F$9,$AS414))))</f>
        <v/>
      </c>
      <c r="AX414" t="str">
        <f>IF($AQ414="","",IF(INDEX(C_Pavement!$H$5:$H$204,$AQ414)&lt;&gt;"",IF(INDEX(C_Pavement!$H$5:$H$204,$AQ414)="-","",INDEX(C_Pavement!$H$5:$H$204,$AQ414)),IF($AS414="","",INDEX(E_Rules!$G$5:$G$9,$AS414))))</f>
        <v/>
      </c>
      <c r="AY414" t="str">
        <f>IF($AQ414="","",IF(INDEX(C_Pavement!$I$5:$I$204,$AQ414)&lt;&gt;"",IF(INDEX(C_Pavement!$I$5:$I$204,$AQ414)="-","",INDEX(C_Pavement!$I$5:$I$204,$AQ414)),IF($AS414="","",INDEX(E_Rules!$H$5:$H$9,$AS414))))</f>
        <v/>
      </c>
    </row>
    <row r="415" spans="1:51" ht="15.75" customHeight="1" x14ac:dyDescent="0.3">
      <c r="A415" s="189">
        <v>410</v>
      </c>
      <c r="B415" s="180">
        <v>20450</v>
      </c>
      <c r="C415" s="180" t="s">
        <v>721</v>
      </c>
      <c r="D415" s="181" t="str">
        <f>IFERROR(LOOKUP(2,1/((A_Corridor!$A$5:$A$204&lt;&gt;"")*(A_Corridor!$A$5:$A$204&lt;=$B415)*(A_Corridor!$B$5:$B$204&gt;$B415)*(A_Corridor!$C$5:$C$204&lt;&gt;"")),IF(UPPER(A_Corridor!$C$5:$C$204)="Y",1,"")),"")</f>
        <v/>
      </c>
      <c r="E415" s="181" t="str">
        <f>IFERROR(LOOKUP(2,1/((A_Corridor!$A$5:$A$204&lt;&gt;"")*(A_Corridor!$A$5:$A$204&lt;=$B415)*(A_Corridor!$B$5:$B$204&gt;$B415)*(A_Corridor!$D$5:$D$204&lt;&gt;"")),IF(A_Corridor!$D$5:$D$204="-","",UPPER(A_Corridor!$D$5:$D$204))),"")</f>
        <v/>
      </c>
      <c r="F415" s="181" t="str">
        <f>IFERROR(LOOKUP(2,1/((A_Corridor!$A$5:$A$204&lt;&gt;"")*(A_Corridor!$A$5:$A$204&lt;=$B415)*(A_Corridor!$B$5:$B$204&gt;$B415)*(A_Corridor!$E$5:$E$204&lt;&gt;"")),IF(A_Corridor!$E$5:$E$204="-","",1)),"")</f>
        <v/>
      </c>
      <c r="G415" s="182" t="str">
        <f>IFERROR(LOOKUP(2,1/((A_Corridor!$A$5:$A$204&lt;&gt;"")*(A_Corridor!$A$5:$A$204&lt;=$B415)*(A_Corridor!$B$5:$B$204&gt;$B415)*(A_Corridor!$E$5:$E$204&lt;&gt;"")),IF(A_Corridor!$E$5:$E$204="-","",A_Corridor!$E$5:$E$204)),"")</f>
        <v/>
      </c>
      <c r="H415" s="182" t="str">
        <f>IFERROR(LOOKUP(2,1/((D_Points!$A$5:$A$204&lt;&gt;"")*(D_Points!$A$5:$A$204&gt;=$B415)*(D_Points!$A$5:$A$204&lt;$B415+P_Interval)*(UPPER(TRIM(D_Points!$B$5:$B$204))="GULLY")*(D_Points!$H$5:$H$204&lt;&gt;"")),D_Points!$H$5:$H$204),"")</f>
        <v/>
      </c>
      <c r="I415" s="181" t="str">
        <f>IFERROR(LOOKUP(2,1/((A_Corridor!$A$5:$A$204&lt;&gt;"")*(A_Corridor!$A$5:$A$204&lt;=$B415)*(A_Corridor!$B$5:$B$204&gt;$B415)*(A_Corridor!$F$5:$F$204&lt;&gt;"")),IF(A_Corridor!$F$5:$F$204="-","",1)),"")</f>
        <v/>
      </c>
      <c r="J415" s="182" t="str">
        <f>IFERROR(LOOKUP(2,1/((A_Corridor!$A$5:$A$204&lt;&gt;"")*(A_Corridor!$A$5:$A$204&lt;=$B415)*(A_Corridor!$B$5:$B$204&gt;$B415)*(A_Corridor!$F$5:$F$204&lt;&gt;"")),IF(A_Corridor!$F$5:$F$204="-","",A_Corridor!$F$5:$F$204)),"")</f>
        <v/>
      </c>
      <c r="K415" s="182" t="str">
        <f>IFERROR(LOOKUP(2,1/((A_Corridor!$A$5:$A$204&lt;&gt;"")*(A_Corridor!$A$5:$A$204&lt;=$B415)*(A_Corridor!$B$5:$B$204&gt;$B415)*(A_Corridor!$G$5:$G$204&lt;&gt;"")),IF(A_Corridor!$G$5:$G$204="-","",A_Corridor!$G$5:$G$204)),"")</f>
        <v/>
      </c>
      <c r="L415" s="181" t="str">
        <f>IFERROR(LOOKUP(2,1/((A_Corridor!$A$5:$A$204&lt;&gt;"")*(A_Corridor!$A$5:$A$204&lt;=$B415)*(A_Corridor!$B$5:$B$204&gt;$B415)*(A_Corridor!$H$5:$H$204&lt;&gt;"")),IF(A_Corridor!$H$5:$H$204="-","",1)),"")</f>
        <v/>
      </c>
      <c r="M415" s="182" t="str">
        <f>IFERROR(LOOKUP(2,1/((A_Corridor!$A$5:$A$204&lt;&gt;"")*(A_Corridor!$A$5:$A$204&lt;=$B415)*(A_Corridor!$B$5:$B$204&gt;$B415)*(A_Corridor!$H$5:$H$204&lt;&gt;"")),IF(A_Corridor!$H$5:$H$204="-","",A_Corridor!$H$5:$H$204)),"")</f>
        <v/>
      </c>
      <c r="N415" s="182" t="str">
        <f>IFERROR(LOOKUP(2,1/((A_Corridor!$A$5:$A$204&lt;&gt;"")*(A_Corridor!$A$5:$A$204&lt;=$B415)*(A_Corridor!$B$5:$B$204&gt;$B415)*(A_Corridor!$I$5:$I$204&lt;&gt;"")),IF(A_Corridor!$I$5:$I$204="-","",A_Corridor!$I$5:$I$204)),"")</f>
        <v/>
      </c>
      <c r="O415" s="182" t="str">
        <f>IFERROR(LOOKUP(2,1/((D_Points!$A$5:$A$204&lt;&gt;"")*(D_Points!$A$5:$A$204&gt;=$B415)*(D_Points!$A$5:$A$204&lt;$B415+P_Interval)*(UPPER(TRIM(D_Points!$B$5:$B$204))="PITCHING")*(D_Points!$H$5:$H$204&lt;&gt;"")),D_Points!$H$5:$H$204),"")</f>
        <v/>
      </c>
      <c r="P415" s="181" t="str">
        <f>IFERROR(LOOKUP(2,1/((B_Drainage!$A$5:$A$204&lt;&gt;"")*(B_Drainage!$A$5:$A$204&lt;=$B415)*(B_Drainage!$B$5:$B$204&gt;$B415)*(B_Drainage!$C$5:$C$204&lt;&gt;"")),IF(B_Drainage!$C$5:$C$204="-","",UPPER(B_Drainage!$C$5:$C$204))),"")</f>
        <v/>
      </c>
      <c r="Q415" s="181" t="str">
        <f>IFERROR(LOOKUP(2,1/((B_Drainage!$A$5:$A$204&lt;&gt;"")*(B_Drainage!$A$5:$A$204&lt;=$B415)*(B_Drainage!$B$5:$B$204&gt;$B415)*(B_Drainage!$D$5:$D$204&lt;&gt;"")),IF(B_Drainage!$D$5:$D$204="-","",UPPER(B_Drainage!$D$5:$D$204))),"")</f>
        <v/>
      </c>
      <c r="R415" s="182" t="str">
        <f>IFERROR(LOOKUP(2,1/((D_Points!$A$5:$A$204&lt;&gt;"")*(D_Points!$A$5:$A$204&gt;=$B415)*(D_Points!$A$5:$A$204&lt;$B415+P_Interval)*(RIGHT(UPPER(TRIM(D_Points!$B$5:$B$204)),8)="_CULVERT")),IF(LEFT(UPPER(TRIM(D_Points!$B$5:$B$204)),2)="EX",1,IF(LEFT(UPPER(TRIM(D_Points!$B$5:$B$204)),2)="PR",2,3))),"")</f>
        <v/>
      </c>
      <c r="S415" s="182" t="str">
        <f>IFERROR(LOOKUP(2,1/((D_Points!$A$5:$A$204&lt;&gt;"")*(D_Points!$A$5:$A$204&gt;=$B415)*(D_Points!$A$5:$A$204&lt;$B415+P_Interval)*(RIGHT(UPPER(TRIM(D_Points!$B$5:$B$204)),7)="_BRIDGE")),IF(LEFT(UPPER(TRIM(D_Points!$B$5:$B$204)),2)="EX",1,IF(LEFT(UPPER(TRIM(D_Points!$B$5:$B$204)),2)="PR",2,2))),"")</f>
        <v/>
      </c>
      <c r="T415" s="181" t="str">
        <f>IFERROR(LOOKUP(2,1/((B_Drainage!$A$5:$A$204&lt;&gt;"")*(B_Drainage!$A$5:$A$204&lt;=$B415)*(B_Drainage!$B$5:$B$204&gt;$B415)*(B_Drainage!$E$5:$E$204&lt;&gt;"")),IF(B_Drainage!$E$5:$E$204="-","",1)),"")</f>
        <v/>
      </c>
      <c r="U415" s="181" t="str">
        <f>IFERROR(LOOKUP(2,1/((B_Drainage!$A$5:$A$204&lt;&gt;"")*(B_Drainage!$A$5:$A$204&lt;=$B415)*(B_Drainage!$B$5:$B$204&gt;$B415)*(B_Drainage!$E$5:$E$204&lt;&gt;"")),IF(B_Drainage!$E$5:$E$204="-","",B_Drainage!$E$5:$E$204)),"")</f>
        <v/>
      </c>
      <c r="V415" s="181" t="str">
        <f>IFERROR(LOOKUP(2,1/((B_Drainage!$A$5:$A$204&lt;&gt;"")*(B_Drainage!$A$5:$A$204&lt;=$B415)*(B_Drainage!$B$5:$B$204&gt;$B415)*(B_Drainage!$F$5:$F$204&lt;&gt;"")),IF(B_Drainage!$F$5:$F$204="-","",1)),"")</f>
        <v/>
      </c>
      <c r="W415" s="181" t="str">
        <f>IFERROR(LOOKUP(2,1/((B_Drainage!$A$5:$A$204&lt;&gt;"")*(B_Drainage!$A$5:$A$204&lt;=$B415)*(B_Drainage!$B$5:$B$204&gt;$B415)*(B_Drainage!$F$5:$F$204&lt;&gt;"")),IF(B_Drainage!$F$5:$F$204="-","",B_Drainage!$F$5:$F$204)),"")</f>
        <v/>
      </c>
      <c r="X415" s="181" t="str">
        <f>IFERROR(LOOKUP(2,1/((B_Drainage!$A$5:$A$204&lt;&gt;"")*(B_Drainage!$A$5:$A$204&lt;=$B415)*(B_Drainage!$B$5:$B$204&gt;$B415)*(B_Drainage!$G$5:$G$204&lt;&gt;"")),IF(UPPER(B_Drainage!$G$5:$G$204)="Y",1,"")),"")</f>
        <v/>
      </c>
      <c r="Y415" s="181" t="str">
        <f>IFERROR(LOOKUP(2,1/((B_Drainage!$A$5:$A$204&lt;&gt;"")*(B_Drainage!$A$5:$A$204&lt;=$B415)*(B_Drainage!$B$5:$B$204&gt;$B415)*(B_Drainage!$H$5:$H$204&lt;&gt;"")),IF(UPPER(B_Drainage!$H$5:$H$204)="Y",1,"")),"")</f>
        <v/>
      </c>
      <c r="Z415" s="181" t="str">
        <f>IFERROR(LOOKUP(2,1/((B_Drainage!$A$5:$A$204&lt;&gt;"")*(B_Drainage!$A$5:$A$204&lt;=$B415)*(B_Drainage!$B$5:$B$204&gt;$B415)*(B_Drainage!$I$5:$I$204&lt;&gt;"")),IF(UPPER(B_Drainage!$I$5:$I$204)="Y",1,"")),"")</f>
        <v/>
      </c>
      <c r="AA415" s="181" t="str">
        <f>IFERROR(LOOKUP(2,1/((B_Drainage!$A$5:$A$204&lt;&gt;"")*(B_Drainage!$A$5:$A$204&lt;=$B415)*(B_Drainage!$B$5:$B$204&gt;$B415)*(B_Drainage!$J$5:$J$204&lt;&gt;"")),IF(UPPER(B_Drainage!$J$5:$J$204)="Y",1,"")),"")</f>
        <v/>
      </c>
      <c r="AB415" s="182" t="str">
        <f>IFERROR(LOOKUP(2,1/((B_Drainage!$A$5:$A$204&lt;&gt;"")*(B_Drainage!$A$5:$A$204&lt;=$B415)*(B_Drainage!$B$5:$B$204&gt;$B415)*(B_Drainage!$K$5:$K$204&lt;&gt;"")),IF(B_Drainage!$K$5:$K$204="-","",B_Drainage!$K$5:$K$204)),"")</f>
        <v/>
      </c>
      <c r="AC415" s="182" t="str">
        <f>IFERROR(LOOKUP(2,1/((B_Drainage!$A$5:$A$204&lt;&gt;"")*(B_Drainage!$A$5:$A$204&lt;=$B415)*(B_Drainage!$B$5:$B$204&gt;$B415)*(B_Drainage!$L$5:$L$204&lt;&gt;"")),IF(B_Drainage!$L$5:$L$204="-","",B_Drainage!$L$5:$L$204)),"")</f>
        <v/>
      </c>
      <c r="AD415" s="182" t="str">
        <f>IFERROR(LOOKUP(2,1/((D_Points!$A$5:$A$204&lt;&gt;"")*(D_Points!$A$5:$A$204&gt;=$B415)*(D_Points!$A$5:$A$204&lt;$B415+P_Interval)*(UPPER(TRIM(D_Points!$B$5:$B$204))="TURNOUT_L")*(D_Points!$H$5:$H$204&lt;&gt;"")),D_Points!$H$5:$H$204),"")</f>
        <v/>
      </c>
      <c r="AE415" s="182" t="str">
        <f>IFERROR(LOOKUP(2,1/((D_Points!$A$5:$A$204&lt;&gt;"")*(D_Points!$A$5:$A$204&gt;=$B415)*(D_Points!$A$5:$A$204&lt;$B415+P_Interval)*(UPPER(TRIM(D_Points!$B$5:$B$204))="TURNOUT_R")*(D_Points!$H$5:$H$204&lt;&gt;"")),D_Points!$H$5:$H$204),"")</f>
        <v/>
      </c>
      <c r="AF415" s="181" t="str">
        <f>IFERROR(LOOKUP(2,1/((B_Drainage!$A$5:$A$204&lt;&gt;"")*(B_Drainage!$A$5:$A$204&lt;=$B415)*(B_Drainage!$B$5:$B$204&gt;$B415)*(B_Drainage!$M$5:$M$204&lt;&gt;"")),IF(UPPER(B_Drainage!$M$5:$M$204)="Y",1,"")),"")</f>
        <v/>
      </c>
      <c r="AG415" s="181" t="str">
        <f>IFERROR(LOOKUP(2,1/((B_Drainage!$A$5:$A$204&lt;&gt;"")*(B_Drainage!$A$5:$A$204&lt;=$B415)*(B_Drainage!$B$5:$B$204&gt;$B415)*(B_Drainage!$N$5:$N$204&lt;&gt;"")),IF(UPPER(B_Drainage!$N$5:$N$204)="Y",1,"")),"")</f>
        <v/>
      </c>
      <c r="AH415" s="181" t="str">
        <f t="shared" si="48"/>
        <v/>
      </c>
      <c r="AI415" s="181" t="str">
        <f t="shared" si="49"/>
        <v/>
      </c>
      <c r="AJ415" s="181" t="str">
        <f t="shared" si="50"/>
        <v/>
      </c>
      <c r="AK415" s="181" t="str">
        <f t="shared" si="51"/>
        <v/>
      </c>
      <c r="AL415" s="181" t="str">
        <f t="shared" si="52"/>
        <v/>
      </c>
      <c r="AM415" s="181" t="str">
        <f t="shared" si="53"/>
        <v/>
      </c>
      <c r="AN415" s="181" t="str">
        <f t="shared" si="54"/>
        <v/>
      </c>
      <c r="AO415" s="192" t="str">
        <f t="shared" si="55"/>
        <v/>
      </c>
      <c r="AQ415" t="str">
        <f>IFERROR(LOOKUP(2,1/((C_Pavement!$A$5:$A$204&lt;&gt;"")*(C_Pavement!$A$5:$A$204&lt;=$B415)*(C_Pavement!$B$5:$B$204&gt;$B415)*(C_Pavement!$C$5:$C$204&lt;&gt;"")),ROW(C_Pavement!$C$5:$C$204)-4),"")</f>
        <v/>
      </c>
      <c r="AR415" t="str">
        <f>IF($AQ415="","",UPPER(TRIM(INDEX(C_Pavement!$C$5:$C$204,$AQ415))))</f>
        <v/>
      </c>
      <c r="AS415" t="str">
        <f>IF($AR415="","",IFERROR(MATCH($AR415,E_Rules!$A$5:$A$9,0),""))</f>
        <v/>
      </c>
      <c r="AT415" t="str">
        <f>IF($AQ415="","",IF(INDEX(C_Pavement!$D$5:$D$204,$AQ415)&lt;&gt;"",UPPER(TRIM(INDEX(C_Pavement!$D$5:$D$204,$AQ415))),IF($AS415="","",INDEX(E_Rules!$C$5:$C$9,$AS415))))</f>
        <v/>
      </c>
      <c r="AU415" t="str">
        <f>IF($AQ415="","",IF(INDEX(C_Pavement!$E$5:$E$204,$AQ415)&lt;&gt;"",IF(INDEX(C_Pavement!$E$5:$E$204,$AQ415)="-","",INDEX(C_Pavement!$E$5:$E$204,$AQ415)),IF($AS415="","",INDEX(E_Rules!$D$5:$D$9,$AS415))))</f>
        <v/>
      </c>
      <c r="AV415" t="str">
        <f>IF($AQ415="","",IF(INDEX(C_Pavement!$F$5:$F$204,$AQ415)&lt;&gt;"",IF(INDEX(C_Pavement!$F$5:$F$204,$AQ415)="-","",INDEX(C_Pavement!$F$5:$F$204,$AQ415)),IF($AS415="","",INDEX(E_Rules!$E$5:$E$9,$AS415))))</f>
        <v/>
      </c>
      <c r="AW415" t="str">
        <f>IF($AQ415="","",IF(INDEX(C_Pavement!$G$5:$G$204,$AQ415)&lt;&gt;"",IF(INDEX(C_Pavement!$G$5:$G$204,$AQ415)="-","",INDEX(C_Pavement!$G$5:$G$204,$AQ415)),IF($AS415="","",INDEX(E_Rules!$F$5:$F$9,$AS415))))</f>
        <v/>
      </c>
      <c r="AX415" t="str">
        <f>IF($AQ415="","",IF(INDEX(C_Pavement!$H$5:$H$204,$AQ415)&lt;&gt;"",IF(INDEX(C_Pavement!$H$5:$H$204,$AQ415)="-","",INDEX(C_Pavement!$H$5:$H$204,$AQ415)),IF($AS415="","",INDEX(E_Rules!$G$5:$G$9,$AS415))))</f>
        <v/>
      </c>
      <c r="AY415" t="str">
        <f>IF($AQ415="","",IF(INDEX(C_Pavement!$I$5:$I$204,$AQ415)&lt;&gt;"",IF(INDEX(C_Pavement!$I$5:$I$204,$AQ415)="-","",INDEX(C_Pavement!$I$5:$I$204,$AQ415)),IF($AS415="","",INDEX(E_Rules!$H$5:$H$9,$AS415))))</f>
        <v/>
      </c>
    </row>
    <row r="416" spans="1:51" ht="15.75" customHeight="1" x14ac:dyDescent="0.3">
      <c r="A416" s="189">
        <v>411</v>
      </c>
      <c r="B416" s="180">
        <v>20500</v>
      </c>
      <c r="C416" s="180" t="s">
        <v>722</v>
      </c>
      <c r="D416" s="181" t="str">
        <f>IFERROR(LOOKUP(2,1/((A_Corridor!$A$5:$A$204&lt;&gt;"")*(A_Corridor!$A$5:$A$204&lt;=$B416)*(A_Corridor!$B$5:$B$204&gt;$B416)*(A_Corridor!$C$5:$C$204&lt;&gt;"")),IF(UPPER(A_Corridor!$C$5:$C$204)="Y",1,"")),"")</f>
        <v/>
      </c>
      <c r="E416" s="181" t="str">
        <f>IFERROR(LOOKUP(2,1/((A_Corridor!$A$5:$A$204&lt;&gt;"")*(A_Corridor!$A$5:$A$204&lt;=$B416)*(A_Corridor!$B$5:$B$204&gt;$B416)*(A_Corridor!$D$5:$D$204&lt;&gt;"")),IF(A_Corridor!$D$5:$D$204="-","",UPPER(A_Corridor!$D$5:$D$204))),"")</f>
        <v/>
      </c>
      <c r="F416" s="181" t="str">
        <f>IFERROR(LOOKUP(2,1/((A_Corridor!$A$5:$A$204&lt;&gt;"")*(A_Corridor!$A$5:$A$204&lt;=$B416)*(A_Corridor!$B$5:$B$204&gt;$B416)*(A_Corridor!$E$5:$E$204&lt;&gt;"")),IF(A_Corridor!$E$5:$E$204="-","",1)),"")</f>
        <v/>
      </c>
      <c r="G416" s="182" t="str">
        <f>IFERROR(LOOKUP(2,1/((A_Corridor!$A$5:$A$204&lt;&gt;"")*(A_Corridor!$A$5:$A$204&lt;=$B416)*(A_Corridor!$B$5:$B$204&gt;$B416)*(A_Corridor!$E$5:$E$204&lt;&gt;"")),IF(A_Corridor!$E$5:$E$204="-","",A_Corridor!$E$5:$E$204)),"")</f>
        <v/>
      </c>
      <c r="H416" s="182" t="str">
        <f>IFERROR(LOOKUP(2,1/((D_Points!$A$5:$A$204&lt;&gt;"")*(D_Points!$A$5:$A$204&gt;=$B416)*(D_Points!$A$5:$A$204&lt;$B416+P_Interval)*(UPPER(TRIM(D_Points!$B$5:$B$204))="GULLY")*(D_Points!$H$5:$H$204&lt;&gt;"")),D_Points!$H$5:$H$204),"")</f>
        <v/>
      </c>
      <c r="I416" s="181" t="str">
        <f>IFERROR(LOOKUP(2,1/((A_Corridor!$A$5:$A$204&lt;&gt;"")*(A_Corridor!$A$5:$A$204&lt;=$B416)*(A_Corridor!$B$5:$B$204&gt;$B416)*(A_Corridor!$F$5:$F$204&lt;&gt;"")),IF(A_Corridor!$F$5:$F$204="-","",1)),"")</f>
        <v/>
      </c>
      <c r="J416" s="182" t="str">
        <f>IFERROR(LOOKUP(2,1/((A_Corridor!$A$5:$A$204&lt;&gt;"")*(A_Corridor!$A$5:$A$204&lt;=$B416)*(A_Corridor!$B$5:$B$204&gt;$B416)*(A_Corridor!$F$5:$F$204&lt;&gt;"")),IF(A_Corridor!$F$5:$F$204="-","",A_Corridor!$F$5:$F$204)),"")</f>
        <v/>
      </c>
      <c r="K416" s="182" t="str">
        <f>IFERROR(LOOKUP(2,1/((A_Corridor!$A$5:$A$204&lt;&gt;"")*(A_Corridor!$A$5:$A$204&lt;=$B416)*(A_Corridor!$B$5:$B$204&gt;$B416)*(A_Corridor!$G$5:$G$204&lt;&gt;"")),IF(A_Corridor!$G$5:$G$204="-","",A_Corridor!$G$5:$G$204)),"")</f>
        <v/>
      </c>
      <c r="L416" s="181" t="str">
        <f>IFERROR(LOOKUP(2,1/((A_Corridor!$A$5:$A$204&lt;&gt;"")*(A_Corridor!$A$5:$A$204&lt;=$B416)*(A_Corridor!$B$5:$B$204&gt;$B416)*(A_Corridor!$H$5:$H$204&lt;&gt;"")),IF(A_Corridor!$H$5:$H$204="-","",1)),"")</f>
        <v/>
      </c>
      <c r="M416" s="182" t="str">
        <f>IFERROR(LOOKUP(2,1/((A_Corridor!$A$5:$A$204&lt;&gt;"")*(A_Corridor!$A$5:$A$204&lt;=$B416)*(A_Corridor!$B$5:$B$204&gt;$B416)*(A_Corridor!$H$5:$H$204&lt;&gt;"")),IF(A_Corridor!$H$5:$H$204="-","",A_Corridor!$H$5:$H$204)),"")</f>
        <v/>
      </c>
      <c r="N416" s="182" t="str">
        <f>IFERROR(LOOKUP(2,1/((A_Corridor!$A$5:$A$204&lt;&gt;"")*(A_Corridor!$A$5:$A$204&lt;=$B416)*(A_Corridor!$B$5:$B$204&gt;$B416)*(A_Corridor!$I$5:$I$204&lt;&gt;"")),IF(A_Corridor!$I$5:$I$204="-","",A_Corridor!$I$5:$I$204)),"")</f>
        <v/>
      </c>
      <c r="O416" s="182" t="str">
        <f>IFERROR(LOOKUP(2,1/((D_Points!$A$5:$A$204&lt;&gt;"")*(D_Points!$A$5:$A$204&gt;=$B416)*(D_Points!$A$5:$A$204&lt;$B416+P_Interval)*(UPPER(TRIM(D_Points!$B$5:$B$204))="PITCHING")*(D_Points!$H$5:$H$204&lt;&gt;"")),D_Points!$H$5:$H$204),"")</f>
        <v/>
      </c>
      <c r="P416" s="181" t="str">
        <f>IFERROR(LOOKUP(2,1/((B_Drainage!$A$5:$A$204&lt;&gt;"")*(B_Drainage!$A$5:$A$204&lt;=$B416)*(B_Drainage!$B$5:$B$204&gt;$B416)*(B_Drainage!$C$5:$C$204&lt;&gt;"")),IF(B_Drainage!$C$5:$C$204="-","",UPPER(B_Drainage!$C$5:$C$204))),"")</f>
        <v/>
      </c>
      <c r="Q416" s="181" t="str">
        <f>IFERROR(LOOKUP(2,1/((B_Drainage!$A$5:$A$204&lt;&gt;"")*(B_Drainage!$A$5:$A$204&lt;=$B416)*(B_Drainage!$B$5:$B$204&gt;$B416)*(B_Drainage!$D$5:$D$204&lt;&gt;"")),IF(B_Drainage!$D$5:$D$204="-","",UPPER(B_Drainage!$D$5:$D$204))),"")</f>
        <v/>
      </c>
      <c r="R416" s="182" t="str">
        <f>IFERROR(LOOKUP(2,1/((D_Points!$A$5:$A$204&lt;&gt;"")*(D_Points!$A$5:$A$204&gt;=$B416)*(D_Points!$A$5:$A$204&lt;$B416+P_Interval)*(RIGHT(UPPER(TRIM(D_Points!$B$5:$B$204)),8)="_CULVERT")),IF(LEFT(UPPER(TRIM(D_Points!$B$5:$B$204)),2)="EX",1,IF(LEFT(UPPER(TRIM(D_Points!$B$5:$B$204)),2)="PR",2,3))),"")</f>
        <v/>
      </c>
      <c r="S416" s="182" t="str">
        <f>IFERROR(LOOKUP(2,1/((D_Points!$A$5:$A$204&lt;&gt;"")*(D_Points!$A$5:$A$204&gt;=$B416)*(D_Points!$A$5:$A$204&lt;$B416+P_Interval)*(RIGHT(UPPER(TRIM(D_Points!$B$5:$B$204)),7)="_BRIDGE")),IF(LEFT(UPPER(TRIM(D_Points!$B$5:$B$204)),2)="EX",1,IF(LEFT(UPPER(TRIM(D_Points!$B$5:$B$204)),2)="PR",2,2))),"")</f>
        <v/>
      </c>
      <c r="T416" s="181" t="str">
        <f>IFERROR(LOOKUP(2,1/((B_Drainage!$A$5:$A$204&lt;&gt;"")*(B_Drainage!$A$5:$A$204&lt;=$B416)*(B_Drainage!$B$5:$B$204&gt;$B416)*(B_Drainage!$E$5:$E$204&lt;&gt;"")),IF(B_Drainage!$E$5:$E$204="-","",1)),"")</f>
        <v/>
      </c>
      <c r="U416" s="181" t="str">
        <f>IFERROR(LOOKUP(2,1/((B_Drainage!$A$5:$A$204&lt;&gt;"")*(B_Drainage!$A$5:$A$204&lt;=$B416)*(B_Drainage!$B$5:$B$204&gt;$B416)*(B_Drainage!$E$5:$E$204&lt;&gt;"")),IF(B_Drainage!$E$5:$E$204="-","",B_Drainage!$E$5:$E$204)),"")</f>
        <v/>
      </c>
      <c r="V416" s="181" t="str">
        <f>IFERROR(LOOKUP(2,1/((B_Drainage!$A$5:$A$204&lt;&gt;"")*(B_Drainage!$A$5:$A$204&lt;=$B416)*(B_Drainage!$B$5:$B$204&gt;$B416)*(B_Drainage!$F$5:$F$204&lt;&gt;"")),IF(B_Drainage!$F$5:$F$204="-","",1)),"")</f>
        <v/>
      </c>
      <c r="W416" s="181" t="str">
        <f>IFERROR(LOOKUP(2,1/((B_Drainage!$A$5:$A$204&lt;&gt;"")*(B_Drainage!$A$5:$A$204&lt;=$B416)*(B_Drainage!$B$5:$B$204&gt;$B416)*(B_Drainage!$F$5:$F$204&lt;&gt;"")),IF(B_Drainage!$F$5:$F$204="-","",B_Drainage!$F$5:$F$204)),"")</f>
        <v/>
      </c>
      <c r="X416" s="181" t="str">
        <f>IFERROR(LOOKUP(2,1/((B_Drainage!$A$5:$A$204&lt;&gt;"")*(B_Drainage!$A$5:$A$204&lt;=$B416)*(B_Drainage!$B$5:$B$204&gt;$B416)*(B_Drainage!$G$5:$G$204&lt;&gt;"")),IF(UPPER(B_Drainage!$G$5:$G$204)="Y",1,"")),"")</f>
        <v/>
      </c>
      <c r="Y416" s="181" t="str">
        <f>IFERROR(LOOKUP(2,1/((B_Drainage!$A$5:$A$204&lt;&gt;"")*(B_Drainage!$A$5:$A$204&lt;=$B416)*(B_Drainage!$B$5:$B$204&gt;$B416)*(B_Drainage!$H$5:$H$204&lt;&gt;"")),IF(UPPER(B_Drainage!$H$5:$H$204)="Y",1,"")),"")</f>
        <v/>
      </c>
      <c r="Z416" s="181" t="str">
        <f>IFERROR(LOOKUP(2,1/((B_Drainage!$A$5:$A$204&lt;&gt;"")*(B_Drainage!$A$5:$A$204&lt;=$B416)*(B_Drainage!$B$5:$B$204&gt;$B416)*(B_Drainage!$I$5:$I$204&lt;&gt;"")),IF(UPPER(B_Drainage!$I$5:$I$204)="Y",1,"")),"")</f>
        <v/>
      </c>
      <c r="AA416" s="181" t="str">
        <f>IFERROR(LOOKUP(2,1/((B_Drainage!$A$5:$A$204&lt;&gt;"")*(B_Drainage!$A$5:$A$204&lt;=$B416)*(B_Drainage!$B$5:$B$204&gt;$B416)*(B_Drainage!$J$5:$J$204&lt;&gt;"")),IF(UPPER(B_Drainage!$J$5:$J$204)="Y",1,"")),"")</f>
        <v/>
      </c>
      <c r="AB416" s="182" t="str">
        <f>IFERROR(LOOKUP(2,1/((B_Drainage!$A$5:$A$204&lt;&gt;"")*(B_Drainage!$A$5:$A$204&lt;=$B416)*(B_Drainage!$B$5:$B$204&gt;$B416)*(B_Drainage!$K$5:$K$204&lt;&gt;"")),IF(B_Drainage!$K$5:$K$204="-","",B_Drainage!$K$5:$K$204)),"")</f>
        <v/>
      </c>
      <c r="AC416" s="182" t="str">
        <f>IFERROR(LOOKUP(2,1/((B_Drainage!$A$5:$A$204&lt;&gt;"")*(B_Drainage!$A$5:$A$204&lt;=$B416)*(B_Drainage!$B$5:$B$204&gt;$B416)*(B_Drainage!$L$5:$L$204&lt;&gt;"")),IF(B_Drainage!$L$5:$L$204="-","",B_Drainage!$L$5:$L$204)),"")</f>
        <v/>
      </c>
      <c r="AD416" s="182" t="str">
        <f>IFERROR(LOOKUP(2,1/((D_Points!$A$5:$A$204&lt;&gt;"")*(D_Points!$A$5:$A$204&gt;=$B416)*(D_Points!$A$5:$A$204&lt;$B416+P_Interval)*(UPPER(TRIM(D_Points!$B$5:$B$204))="TURNOUT_L")*(D_Points!$H$5:$H$204&lt;&gt;"")),D_Points!$H$5:$H$204),"")</f>
        <v/>
      </c>
      <c r="AE416" s="182" t="str">
        <f>IFERROR(LOOKUP(2,1/((D_Points!$A$5:$A$204&lt;&gt;"")*(D_Points!$A$5:$A$204&gt;=$B416)*(D_Points!$A$5:$A$204&lt;$B416+P_Interval)*(UPPER(TRIM(D_Points!$B$5:$B$204))="TURNOUT_R")*(D_Points!$H$5:$H$204&lt;&gt;"")),D_Points!$H$5:$H$204),"")</f>
        <v/>
      </c>
      <c r="AF416" s="181" t="str">
        <f>IFERROR(LOOKUP(2,1/((B_Drainage!$A$5:$A$204&lt;&gt;"")*(B_Drainage!$A$5:$A$204&lt;=$B416)*(B_Drainage!$B$5:$B$204&gt;$B416)*(B_Drainage!$M$5:$M$204&lt;&gt;"")),IF(UPPER(B_Drainage!$M$5:$M$204)="Y",1,"")),"")</f>
        <v/>
      </c>
      <c r="AG416" s="181" t="str">
        <f>IFERROR(LOOKUP(2,1/((B_Drainage!$A$5:$A$204&lt;&gt;"")*(B_Drainage!$A$5:$A$204&lt;=$B416)*(B_Drainage!$B$5:$B$204&gt;$B416)*(B_Drainage!$N$5:$N$204&lt;&gt;"")),IF(UPPER(B_Drainage!$N$5:$N$204)="Y",1,"")),"")</f>
        <v/>
      </c>
      <c r="AH416" s="181" t="str">
        <f t="shared" si="48"/>
        <v/>
      </c>
      <c r="AI416" s="181" t="str">
        <f t="shared" si="49"/>
        <v/>
      </c>
      <c r="AJ416" s="181" t="str">
        <f t="shared" si="50"/>
        <v/>
      </c>
      <c r="AK416" s="181" t="str">
        <f t="shared" si="51"/>
        <v/>
      </c>
      <c r="AL416" s="181" t="str">
        <f t="shared" si="52"/>
        <v/>
      </c>
      <c r="AM416" s="181" t="str">
        <f t="shared" si="53"/>
        <v/>
      </c>
      <c r="AN416" s="181" t="str">
        <f t="shared" si="54"/>
        <v/>
      </c>
      <c r="AO416" s="192" t="str">
        <f t="shared" si="55"/>
        <v/>
      </c>
      <c r="AQ416" t="str">
        <f>IFERROR(LOOKUP(2,1/((C_Pavement!$A$5:$A$204&lt;&gt;"")*(C_Pavement!$A$5:$A$204&lt;=$B416)*(C_Pavement!$B$5:$B$204&gt;$B416)*(C_Pavement!$C$5:$C$204&lt;&gt;"")),ROW(C_Pavement!$C$5:$C$204)-4),"")</f>
        <v/>
      </c>
      <c r="AR416" t="str">
        <f>IF($AQ416="","",UPPER(TRIM(INDEX(C_Pavement!$C$5:$C$204,$AQ416))))</f>
        <v/>
      </c>
      <c r="AS416" t="str">
        <f>IF($AR416="","",IFERROR(MATCH($AR416,E_Rules!$A$5:$A$9,0),""))</f>
        <v/>
      </c>
      <c r="AT416" t="str">
        <f>IF($AQ416="","",IF(INDEX(C_Pavement!$D$5:$D$204,$AQ416)&lt;&gt;"",UPPER(TRIM(INDEX(C_Pavement!$D$5:$D$204,$AQ416))),IF($AS416="","",INDEX(E_Rules!$C$5:$C$9,$AS416))))</f>
        <v/>
      </c>
      <c r="AU416" t="str">
        <f>IF($AQ416="","",IF(INDEX(C_Pavement!$E$5:$E$204,$AQ416)&lt;&gt;"",IF(INDEX(C_Pavement!$E$5:$E$204,$AQ416)="-","",INDEX(C_Pavement!$E$5:$E$204,$AQ416)),IF($AS416="","",INDEX(E_Rules!$D$5:$D$9,$AS416))))</f>
        <v/>
      </c>
      <c r="AV416" t="str">
        <f>IF($AQ416="","",IF(INDEX(C_Pavement!$F$5:$F$204,$AQ416)&lt;&gt;"",IF(INDEX(C_Pavement!$F$5:$F$204,$AQ416)="-","",INDEX(C_Pavement!$F$5:$F$204,$AQ416)),IF($AS416="","",INDEX(E_Rules!$E$5:$E$9,$AS416))))</f>
        <v/>
      </c>
      <c r="AW416" t="str">
        <f>IF($AQ416="","",IF(INDEX(C_Pavement!$G$5:$G$204,$AQ416)&lt;&gt;"",IF(INDEX(C_Pavement!$G$5:$G$204,$AQ416)="-","",INDEX(C_Pavement!$G$5:$G$204,$AQ416)),IF($AS416="","",INDEX(E_Rules!$F$5:$F$9,$AS416))))</f>
        <v/>
      </c>
      <c r="AX416" t="str">
        <f>IF($AQ416="","",IF(INDEX(C_Pavement!$H$5:$H$204,$AQ416)&lt;&gt;"",IF(INDEX(C_Pavement!$H$5:$H$204,$AQ416)="-","",INDEX(C_Pavement!$H$5:$H$204,$AQ416)),IF($AS416="","",INDEX(E_Rules!$G$5:$G$9,$AS416))))</f>
        <v/>
      </c>
      <c r="AY416" t="str">
        <f>IF($AQ416="","",IF(INDEX(C_Pavement!$I$5:$I$204,$AQ416)&lt;&gt;"",IF(INDEX(C_Pavement!$I$5:$I$204,$AQ416)="-","",INDEX(C_Pavement!$I$5:$I$204,$AQ416)),IF($AS416="","",INDEX(E_Rules!$H$5:$H$9,$AS416))))</f>
        <v/>
      </c>
    </row>
    <row r="417" spans="1:51" ht="15.75" customHeight="1" x14ac:dyDescent="0.3">
      <c r="A417" s="189">
        <v>412</v>
      </c>
      <c r="B417" s="180">
        <v>20550</v>
      </c>
      <c r="C417" s="180" t="s">
        <v>723</v>
      </c>
      <c r="D417" s="181" t="str">
        <f>IFERROR(LOOKUP(2,1/((A_Corridor!$A$5:$A$204&lt;&gt;"")*(A_Corridor!$A$5:$A$204&lt;=$B417)*(A_Corridor!$B$5:$B$204&gt;$B417)*(A_Corridor!$C$5:$C$204&lt;&gt;"")),IF(UPPER(A_Corridor!$C$5:$C$204)="Y",1,"")),"")</f>
        <v/>
      </c>
      <c r="E417" s="181" t="str">
        <f>IFERROR(LOOKUP(2,1/((A_Corridor!$A$5:$A$204&lt;&gt;"")*(A_Corridor!$A$5:$A$204&lt;=$B417)*(A_Corridor!$B$5:$B$204&gt;$B417)*(A_Corridor!$D$5:$D$204&lt;&gt;"")),IF(A_Corridor!$D$5:$D$204="-","",UPPER(A_Corridor!$D$5:$D$204))),"")</f>
        <v/>
      </c>
      <c r="F417" s="181" t="str">
        <f>IFERROR(LOOKUP(2,1/((A_Corridor!$A$5:$A$204&lt;&gt;"")*(A_Corridor!$A$5:$A$204&lt;=$B417)*(A_Corridor!$B$5:$B$204&gt;$B417)*(A_Corridor!$E$5:$E$204&lt;&gt;"")),IF(A_Corridor!$E$5:$E$204="-","",1)),"")</f>
        <v/>
      </c>
      <c r="G417" s="182" t="str">
        <f>IFERROR(LOOKUP(2,1/((A_Corridor!$A$5:$A$204&lt;&gt;"")*(A_Corridor!$A$5:$A$204&lt;=$B417)*(A_Corridor!$B$5:$B$204&gt;$B417)*(A_Corridor!$E$5:$E$204&lt;&gt;"")),IF(A_Corridor!$E$5:$E$204="-","",A_Corridor!$E$5:$E$204)),"")</f>
        <v/>
      </c>
      <c r="H417" s="182" t="str">
        <f>IFERROR(LOOKUP(2,1/((D_Points!$A$5:$A$204&lt;&gt;"")*(D_Points!$A$5:$A$204&gt;=$B417)*(D_Points!$A$5:$A$204&lt;$B417+P_Interval)*(UPPER(TRIM(D_Points!$B$5:$B$204))="GULLY")*(D_Points!$H$5:$H$204&lt;&gt;"")),D_Points!$H$5:$H$204),"")</f>
        <v/>
      </c>
      <c r="I417" s="181" t="str">
        <f>IFERROR(LOOKUP(2,1/((A_Corridor!$A$5:$A$204&lt;&gt;"")*(A_Corridor!$A$5:$A$204&lt;=$B417)*(A_Corridor!$B$5:$B$204&gt;$B417)*(A_Corridor!$F$5:$F$204&lt;&gt;"")),IF(A_Corridor!$F$5:$F$204="-","",1)),"")</f>
        <v/>
      </c>
      <c r="J417" s="182" t="str">
        <f>IFERROR(LOOKUP(2,1/((A_Corridor!$A$5:$A$204&lt;&gt;"")*(A_Corridor!$A$5:$A$204&lt;=$B417)*(A_Corridor!$B$5:$B$204&gt;$B417)*(A_Corridor!$F$5:$F$204&lt;&gt;"")),IF(A_Corridor!$F$5:$F$204="-","",A_Corridor!$F$5:$F$204)),"")</f>
        <v/>
      </c>
      <c r="K417" s="182" t="str">
        <f>IFERROR(LOOKUP(2,1/((A_Corridor!$A$5:$A$204&lt;&gt;"")*(A_Corridor!$A$5:$A$204&lt;=$B417)*(A_Corridor!$B$5:$B$204&gt;$B417)*(A_Corridor!$G$5:$G$204&lt;&gt;"")),IF(A_Corridor!$G$5:$G$204="-","",A_Corridor!$G$5:$G$204)),"")</f>
        <v/>
      </c>
      <c r="L417" s="181" t="str">
        <f>IFERROR(LOOKUP(2,1/((A_Corridor!$A$5:$A$204&lt;&gt;"")*(A_Corridor!$A$5:$A$204&lt;=$B417)*(A_Corridor!$B$5:$B$204&gt;$B417)*(A_Corridor!$H$5:$H$204&lt;&gt;"")),IF(A_Corridor!$H$5:$H$204="-","",1)),"")</f>
        <v/>
      </c>
      <c r="M417" s="182" t="str">
        <f>IFERROR(LOOKUP(2,1/((A_Corridor!$A$5:$A$204&lt;&gt;"")*(A_Corridor!$A$5:$A$204&lt;=$B417)*(A_Corridor!$B$5:$B$204&gt;$B417)*(A_Corridor!$H$5:$H$204&lt;&gt;"")),IF(A_Corridor!$H$5:$H$204="-","",A_Corridor!$H$5:$H$204)),"")</f>
        <v/>
      </c>
      <c r="N417" s="182" t="str">
        <f>IFERROR(LOOKUP(2,1/((A_Corridor!$A$5:$A$204&lt;&gt;"")*(A_Corridor!$A$5:$A$204&lt;=$B417)*(A_Corridor!$B$5:$B$204&gt;$B417)*(A_Corridor!$I$5:$I$204&lt;&gt;"")),IF(A_Corridor!$I$5:$I$204="-","",A_Corridor!$I$5:$I$204)),"")</f>
        <v/>
      </c>
      <c r="O417" s="182" t="str">
        <f>IFERROR(LOOKUP(2,1/((D_Points!$A$5:$A$204&lt;&gt;"")*(D_Points!$A$5:$A$204&gt;=$B417)*(D_Points!$A$5:$A$204&lt;$B417+P_Interval)*(UPPER(TRIM(D_Points!$B$5:$B$204))="PITCHING")*(D_Points!$H$5:$H$204&lt;&gt;"")),D_Points!$H$5:$H$204),"")</f>
        <v/>
      </c>
      <c r="P417" s="181" t="str">
        <f>IFERROR(LOOKUP(2,1/((B_Drainage!$A$5:$A$204&lt;&gt;"")*(B_Drainage!$A$5:$A$204&lt;=$B417)*(B_Drainage!$B$5:$B$204&gt;$B417)*(B_Drainage!$C$5:$C$204&lt;&gt;"")),IF(B_Drainage!$C$5:$C$204="-","",UPPER(B_Drainage!$C$5:$C$204))),"")</f>
        <v/>
      </c>
      <c r="Q417" s="181" t="str">
        <f>IFERROR(LOOKUP(2,1/((B_Drainage!$A$5:$A$204&lt;&gt;"")*(B_Drainage!$A$5:$A$204&lt;=$B417)*(B_Drainage!$B$5:$B$204&gt;$B417)*(B_Drainage!$D$5:$D$204&lt;&gt;"")),IF(B_Drainage!$D$5:$D$204="-","",UPPER(B_Drainage!$D$5:$D$204))),"")</f>
        <v/>
      </c>
      <c r="R417" s="182" t="str">
        <f>IFERROR(LOOKUP(2,1/((D_Points!$A$5:$A$204&lt;&gt;"")*(D_Points!$A$5:$A$204&gt;=$B417)*(D_Points!$A$5:$A$204&lt;$B417+P_Interval)*(RIGHT(UPPER(TRIM(D_Points!$B$5:$B$204)),8)="_CULVERT")),IF(LEFT(UPPER(TRIM(D_Points!$B$5:$B$204)),2)="EX",1,IF(LEFT(UPPER(TRIM(D_Points!$B$5:$B$204)),2)="PR",2,3))),"")</f>
        <v/>
      </c>
      <c r="S417" s="182" t="str">
        <f>IFERROR(LOOKUP(2,1/((D_Points!$A$5:$A$204&lt;&gt;"")*(D_Points!$A$5:$A$204&gt;=$B417)*(D_Points!$A$5:$A$204&lt;$B417+P_Interval)*(RIGHT(UPPER(TRIM(D_Points!$B$5:$B$204)),7)="_BRIDGE")),IF(LEFT(UPPER(TRIM(D_Points!$B$5:$B$204)),2)="EX",1,IF(LEFT(UPPER(TRIM(D_Points!$B$5:$B$204)),2)="PR",2,2))),"")</f>
        <v/>
      </c>
      <c r="T417" s="181" t="str">
        <f>IFERROR(LOOKUP(2,1/((B_Drainage!$A$5:$A$204&lt;&gt;"")*(B_Drainage!$A$5:$A$204&lt;=$B417)*(B_Drainage!$B$5:$B$204&gt;$B417)*(B_Drainage!$E$5:$E$204&lt;&gt;"")),IF(B_Drainage!$E$5:$E$204="-","",1)),"")</f>
        <v/>
      </c>
      <c r="U417" s="181" t="str">
        <f>IFERROR(LOOKUP(2,1/((B_Drainage!$A$5:$A$204&lt;&gt;"")*(B_Drainage!$A$5:$A$204&lt;=$B417)*(B_Drainage!$B$5:$B$204&gt;$B417)*(B_Drainage!$E$5:$E$204&lt;&gt;"")),IF(B_Drainage!$E$5:$E$204="-","",B_Drainage!$E$5:$E$204)),"")</f>
        <v/>
      </c>
      <c r="V417" s="181" t="str">
        <f>IFERROR(LOOKUP(2,1/((B_Drainage!$A$5:$A$204&lt;&gt;"")*(B_Drainage!$A$5:$A$204&lt;=$B417)*(B_Drainage!$B$5:$B$204&gt;$B417)*(B_Drainage!$F$5:$F$204&lt;&gt;"")),IF(B_Drainage!$F$5:$F$204="-","",1)),"")</f>
        <v/>
      </c>
      <c r="W417" s="181" t="str">
        <f>IFERROR(LOOKUP(2,1/((B_Drainage!$A$5:$A$204&lt;&gt;"")*(B_Drainage!$A$5:$A$204&lt;=$B417)*(B_Drainage!$B$5:$B$204&gt;$B417)*(B_Drainage!$F$5:$F$204&lt;&gt;"")),IF(B_Drainage!$F$5:$F$204="-","",B_Drainage!$F$5:$F$204)),"")</f>
        <v/>
      </c>
      <c r="X417" s="181" t="str">
        <f>IFERROR(LOOKUP(2,1/((B_Drainage!$A$5:$A$204&lt;&gt;"")*(B_Drainage!$A$5:$A$204&lt;=$B417)*(B_Drainage!$B$5:$B$204&gt;$B417)*(B_Drainage!$G$5:$G$204&lt;&gt;"")),IF(UPPER(B_Drainage!$G$5:$G$204)="Y",1,"")),"")</f>
        <v/>
      </c>
      <c r="Y417" s="181" t="str">
        <f>IFERROR(LOOKUP(2,1/((B_Drainage!$A$5:$A$204&lt;&gt;"")*(B_Drainage!$A$5:$A$204&lt;=$B417)*(B_Drainage!$B$5:$B$204&gt;$B417)*(B_Drainage!$H$5:$H$204&lt;&gt;"")),IF(UPPER(B_Drainage!$H$5:$H$204)="Y",1,"")),"")</f>
        <v/>
      </c>
      <c r="Z417" s="181" t="str">
        <f>IFERROR(LOOKUP(2,1/((B_Drainage!$A$5:$A$204&lt;&gt;"")*(B_Drainage!$A$5:$A$204&lt;=$B417)*(B_Drainage!$B$5:$B$204&gt;$B417)*(B_Drainage!$I$5:$I$204&lt;&gt;"")),IF(UPPER(B_Drainage!$I$5:$I$204)="Y",1,"")),"")</f>
        <v/>
      </c>
      <c r="AA417" s="181" t="str">
        <f>IFERROR(LOOKUP(2,1/((B_Drainage!$A$5:$A$204&lt;&gt;"")*(B_Drainage!$A$5:$A$204&lt;=$B417)*(B_Drainage!$B$5:$B$204&gt;$B417)*(B_Drainage!$J$5:$J$204&lt;&gt;"")),IF(UPPER(B_Drainage!$J$5:$J$204)="Y",1,"")),"")</f>
        <v/>
      </c>
      <c r="AB417" s="182" t="str">
        <f>IFERROR(LOOKUP(2,1/((B_Drainage!$A$5:$A$204&lt;&gt;"")*(B_Drainage!$A$5:$A$204&lt;=$B417)*(B_Drainage!$B$5:$B$204&gt;$B417)*(B_Drainage!$K$5:$K$204&lt;&gt;"")),IF(B_Drainage!$K$5:$K$204="-","",B_Drainage!$K$5:$K$204)),"")</f>
        <v/>
      </c>
      <c r="AC417" s="182" t="str">
        <f>IFERROR(LOOKUP(2,1/((B_Drainage!$A$5:$A$204&lt;&gt;"")*(B_Drainage!$A$5:$A$204&lt;=$B417)*(B_Drainage!$B$5:$B$204&gt;$B417)*(B_Drainage!$L$5:$L$204&lt;&gt;"")),IF(B_Drainage!$L$5:$L$204="-","",B_Drainage!$L$5:$L$204)),"")</f>
        <v/>
      </c>
      <c r="AD417" s="182" t="str">
        <f>IFERROR(LOOKUP(2,1/((D_Points!$A$5:$A$204&lt;&gt;"")*(D_Points!$A$5:$A$204&gt;=$B417)*(D_Points!$A$5:$A$204&lt;$B417+P_Interval)*(UPPER(TRIM(D_Points!$B$5:$B$204))="TURNOUT_L")*(D_Points!$H$5:$H$204&lt;&gt;"")),D_Points!$H$5:$H$204),"")</f>
        <v/>
      </c>
      <c r="AE417" s="182" t="str">
        <f>IFERROR(LOOKUP(2,1/((D_Points!$A$5:$A$204&lt;&gt;"")*(D_Points!$A$5:$A$204&gt;=$B417)*(D_Points!$A$5:$A$204&lt;$B417+P_Interval)*(UPPER(TRIM(D_Points!$B$5:$B$204))="TURNOUT_R")*(D_Points!$H$5:$H$204&lt;&gt;"")),D_Points!$H$5:$H$204),"")</f>
        <v/>
      </c>
      <c r="AF417" s="181" t="str">
        <f>IFERROR(LOOKUP(2,1/((B_Drainage!$A$5:$A$204&lt;&gt;"")*(B_Drainage!$A$5:$A$204&lt;=$B417)*(B_Drainage!$B$5:$B$204&gt;$B417)*(B_Drainage!$M$5:$M$204&lt;&gt;"")),IF(UPPER(B_Drainage!$M$5:$M$204)="Y",1,"")),"")</f>
        <v/>
      </c>
      <c r="AG417" s="181" t="str">
        <f>IFERROR(LOOKUP(2,1/((B_Drainage!$A$5:$A$204&lt;&gt;"")*(B_Drainage!$A$5:$A$204&lt;=$B417)*(B_Drainage!$B$5:$B$204&gt;$B417)*(B_Drainage!$N$5:$N$204&lt;&gt;"")),IF(UPPER(B_Drainage!$N$5:$N$204)="Y",1,"")),"")</f>
        <v/>
      </c>
      <c r="AH417" s="181" t="str">
        <f t="shared" si="48"/>
        <v/>
      </c>
      <c r="AI417" s="181" t="str">
        <f t="shared" si="49"/>
        <v/>
      </c>
      <c r="AJ417" s="181" t="str">
        <f t="shared" si="50"/>
        <v/>
      </c>
      <c r="AK417" s="181" t="str">
        <f t="shared" si="51"/>
        <v/>
      </c>
      <c r="AL417" s="181" t="str">
        <f t="shared" si="52"/>
        <v/>
      </c>
      <c r="AM417" s="181" t="str">
        <f t="shared" si="53"/>
        <v/>
      </c>
      <c r="AN417" s="181" t="str">
        <f t="shared" si="54"/>
        <v/>
      </c>
      <c r="AO417" s="192" t="str">
        <f t="shared" si="55"/>
        <v/>
      </c>
      <c r="AQ417" t="str">
        <f>IFERROR(LOOKUP(2,1/((C_Pavement!$A$5:$A$204&lt;&gt;"")*(C_Pavement!$A$5:$A$204&lt;=$B417)*(C_Pavement!$B$5:$B$204&gt;$B417)*(C_Pavement!$C$5:$C$204&lt;&gt;"")),ROW(C_Pavement!$C$5:$C$204)-4),"")</f>
        <v/>
      </c>
      <c r="AR417" t="str">
        <f>IF($AQ417="","",UPPER(TRIM(INDEX(C_Pavement!$C$5:$C$204,$AQ417))))</f>
        <v/>
      </c>
      <c r="AS417" t="str">
        <f>IF($AR417="","",IFERROR(MATCH($AR417,E_Rules!$A$5:$A$9,0),""))</f>
        <v/>
      </c>
      <c r="AT417" t="str">
        <f>IF($AQ417="","",IF(INDEX(C_Pavement!$D$5:$D$204,$AQ417)&lt;&gt;"",UPPER(TRIM(INDEX(C_Pavement!$D$5:$D$204,$AQ417))),IF($AS417="","",INDEX(E_Rules!$C$5:$C$9,$AS417))))</f>
        <v/>
      </c>
      <c r="AU417" t="str">
        <f>IF($AQ417="","",IF(INDEX(C_Pavement!$E$5:$E$204,$AQ417)&lt;&gt;"",IF(INDEX(C_Pavement!$E$5:$E$204,$AQ417)="-","",INDEX(C_Pavement!$E$5:$E$204,$AQ417)),IF($AS417="","",INDEX(E_Rules!$D$5:$D$9,$AS417))))</f>
        <v/>
      </c>
      <c r="AV417" t="str">
        <f>IF($AQ417="","",IF(INDEX(C_Pavement!$F$5:$F$204,$AQ417)&lt;&gt;"",IF(INDEX(C_Pavement!$F$5:$F$204,$AQ417)="-","",INDEX(C_Pavement!$F$5:$F$204,$AQ417)),IF($AS417="","",INDEX(E_Rules!$E$5:$E$9,$AS417))))</f>
        <v/>
      </c>
      <c r="AW417" t="str">
        <f>IF($AQ417="","",IF(INDEX(C_Pavement!$G$5:$G$204,$AQ417)&lt;&gt;"",IF(INDEX(C_Pavement!$G$5:$G$204,$AQ417)="-","",INDEX(C_Pavement!$G$5:$G$204,$AQ417)),IF($AS417="","",INDEX(E_Rules!$F$5:$F$9,$AS417))))</f>
        <v/>
      </c>
      <c r="AX417" t="str">
        <f>IF($AQ417="","",IF(INDEX(C_Pavement!$H$5:$H$204,$AQ417)&lt;&gt;"",IF(INDEX(C_Pavement!$H$5:$H$204,$AQ417)="-","",INDEX(C_Pavement!$H$5:$H$204,$AQ417)),IF($AS417="","",INDEX(E_Rules!$G$5:$G$9,$AS417))))</f>
        <v/>
      </c>
      <c r="AY417" t="str">
        <f>IF($AQ417="","",IF(INDEX(C_Pavement!$I$5:$I$204,$AQ417)&lt;&gt;"",IF(INDEX(C_Pavement!$I$5:$I$204,$AQ417)="-","",INDEX(C_Pavement!$I$5:$I$204,$AQ417)),IF($AS417="","",INDEX(E_Rules!$H$5:$H$9,$AS417))))</f>
        <v/>
      </c>
    </row>
    <row r="418" spans="1:51" ht="15.75" customHeight="1" x14ac:dyDescent="0.3">
      <c r="A418" s="189">
        <v>413</v>
      </c>
      <c r="B418" s="180">
        <v>20600</v>
      </c>
      <c r="C418" s="180" t="s">
        <v>724</v>
      </c>
      <c r="D418" s="181" t="str">
        <f>IFERROR(LOOKUP(2,1/((A_Corridor!$A$5:$A$204&lt;&gt;"")*(A_Corridor!$A$5:$A$204&lt;=$B418)*(A_Corridor!$B$5:$B$204&gt;$B418)*(A_Corridor!$C$5:$C$204&lt;&gt;"")),IF(UPPER(A_Corridor!$C$5:$C$204)="Y",1,"")),"")</f>
        <v/>
      </c>
      <c r="E418" s="181" t="str">
        <f>IFERROR(LOOKUP(2,1/((A_Corridor!$A$5:$A$204&lt;&gt;"")*(A_Corridor!$A$5:$A$204&lt;=$B418)*(A_Corridor!$B$5:$B$204&gt;$B418)*(A_Corridor!$D$5:$D$204&lt;&gt;"")),IF(A_Corridor!$D$5:$D$204="-","",UPPER(A_Corridor!$D$5:$D$204))),"")</f>
        <v/>
      </c>
      <c r="F418" s="181" t="str">
        <f>IFERROR(LOOKUP(2,1/((A_Corridor!$A$5:$A$204&lt;&gt;"")*(A_Corridor!$A$5:$A$204&lt;=$B418)*(A_Corridor!$B$5:$B$204&gt;$B418)*(A_Corridor!$E$5:$E$204&lt;&gt;"")),IF(A_Corridor!$E$5:$E$204="-","",1)),"")</f>
        <v/>
      </c>
      <c r="G418" s="182" t="str">
        <f>IFERROR(LOOKUP(2,1/((A_Corridor!$A$5:$A$204&lt;&gt;"")*(A_Corridor!$A$5:$A$204&lt;=$B418)*(A_Corridor!$B$5:$B$204&gt;$B418)*(A_Corridor!$E$5:$E$204&lt;&gt;"")),IF(A_Corridor!$E$5:$E$204="-","",A_Corridor!$E$5:$E$204)),"")</f>
        <v/>
      </c>
      <c r="H418" s="182" t="str">
        <f>IFERROR(LOOKUP(2,1/((D_Points!$A$5:$A$204&lt;&gt;"")*(D_Points!$A$5:$A$204&gt;=$B418)*(D_Points!$A$5:$A$204&lt;$B418+P_Interval)*(UPPER(TRIM(D_Points!$B$5:$B$204))="GULLY")*(D_Points!$H$5:$H$204&lt;&gt;"")),D_Points!$H$5:$H$204),"")</f>
        <v/>
      </c>
      <c r="I418" s="181" t="str">
        <f>IFERROR(LOOKUP(2,1/((A_Corridor!$A$5:$A$204&lt;&gt;"")*(A_Corridor!$A$5:$A$204&lt;=$B418)*(A_Corridor!$B$5:$B$204&gt;$B418)*(A_Corridor!$F$5:$F$204&lt;&gt;"")),IF(A_Corridor!$F$5:$F$204="-","",1)),"")</f>
        <v/>
      </c>
      <c r="J418" s="182" t="str">
        <f>IFERROR(LOOKUP(2,1/((A_Corridor!$A$5:$A$204&lt;&gt;"")*(A_Corridor!$A$5:$A$204&lt;=$B418)*(A_Corridor!$B$5:$B$204&gt;$B418)*(A_Corridor!$F$5:$F$204&lt;&gt;"")),IF(A_Corridor!$F$5:$F$204="-","",A_Corridor!$F$5:$F$204)),"")</f>
        <v/>
      </c>
      <c r="K418" s="182" t="str">
        <f>IFERROR(LOOKUP(2,1/((A_Corridor!$A$5:$A$204&lt;&gt;"")*(A_Corridor!$A$5:$A$204&lt;=$B418)*(A_Corridor!$B$5:$B$204&gt;$B418)*(A_Corridor!$G$5:$G$204&lt;&gt;"")),IF(A_Corridor!$G$5:$G$204="-","",A_Corridor!$G$5:$G$204)),"")</f>
        <v/>
      </c>
      <c r="L418" s="181" t="str">
        <f>IFERROR(LOOKUP(2,1/((A_Corridor!$A$5:$A$204&lt;&gt;"")*(A_Corridor!$A$5:$A$204&lt;=$B418)*(A_Corridor!$B$5:$B$204&gt;$B418)*(A_Corridor!$H$5:$H$204&lt;&gt;"")),IF(A_Corridor!$H$5:$H$204="-","",1)),"")</f>
        <v/>
      </c>
      <c r="M418" s="182" t="str">
        <f>IFERROR(LOOKUP(2,1/((A_Corridor!$A$5:$A$204&lt;&gt;"")*(A_Corridor!$A$5:$A$204&lt;=$B418)*(A_Corridor!$B$5:$B$204&gt;$B418)*(A_Corridor!$H$5:$H$204&lt;&gt;"")),IF(A_Corridor!$H$5:$H$204="-","",A_Corridor!$H$5:$H$204)),"")</f>
        <v/>
      </c>
      <c r="N418" s="182" t="str">
        <f>IFERROR(LOOKUP(2,1/((A_Corridor!$A$5:$A$204&lt;&gt;"")*(A_Corridor!$A$5:$A$204&lt;=$B418)*(A_Corridor!$B$5:$B$204&gt;$B418)*(A_Corridor!$I$5:$I$204&lt;&gt;"")),IF(A_Corridor!$I$5:$I$204="-","",A_Corridor!$I$5:$I$204)),"")</f>
        <v/>
      </c>
      <c r="O418" s="182" t="str">
        <f>IFERROR(LOOKUP(2,1/((D_Points!$A$5:$A$204&lt;&gt;"")*(D_Points!$A$5:$A$204&gt;=$B418)*(D_Points!$A$5:$A$204&lt;$B418+P_Interval)*(UPPER(TRIM(D_Points!$B$5:$B$204))="PITCHING")*(D_Points!$H$5:$H$204&lt;&gt;"")),D_Points!$H$5:$H$204),"")</f>
        <v/>
      </c>
      <c r="P418" s="181" t="str">
        <f>IFERROR(LOOKUP(2,1/((B_Drainage!$A$5:$A$204&lt;&gt;"")*(B_Drainage!$A$5:$A$204&lt;=$B418)*(B_Drainage!$B$5:$B$204&gt;$B418)*(B_Drainage!$C$5:$C$204&lt;&gt;"")),IF(B_Drainage!$C$5:$C$204="-","",UPPER(B_Drainage!$C$5:$C$204))),"")</f>
        <v/>
      </c>
      <c r="Q418" s="181" t="str">
        <f>IFERROR(LOOKUP(2,1/((B_Drainage!$A$5:$A$204&lt;&gt;"")*(B_Drainage!$A$5:$A$204&lt;=$B418)*(B_Drainage!$B$5:$B$204&gt;$B418)*(B_Drainage!$D$5:$D$204&lt;&gt;"")),IF(B_Drainage!$D$5:$D$204="-","",UPPER(B_Drainage!$D$5:$D$204))),"")</f>
        <v/>
      </c>
      <c r="R418" s="182" t="str">
        <f>IFERROR(LOOKUP(2,1/((D_Points!$A$5:$A$204&lt;&gt;"")*(D_Points!$A$5:$A$204&gt;=$B418)*(D_Points!$A$5:$A$204&lt;$B418+P_Interval)*(RIGHT(UPPER(TRIM(D_Points!$B$5:$B$204)),8)="_CULVERT")),IF(LEFT(UPPER(TRIM(D_Points!$B$5:$B$204)),2)="EX",1,IF(LEFT(UPPER(TRIM(D_Points!$B$5:$B$204)),2)="PR",2,3))),"")</f>
        <v/>
      </c>
      <c r="S418" s="182" t="str">
        <f>IFERROR(LOOKUP(2,1/((D_Points!$A$5:$A$204&lt;&gt;"")*(D_Points!$A$5:$A$204&gt;=$B418)*(D_Points!$A$5:$A$204&lt;$B418+P_Interval)*(RIGHT(UPPER(TRIM(D_Points!$B$5:$B$204)),7)="_BRIDGE")),IF(LEFT(UPPER(TRIM(D_Points!$B$5:$B$204)),2)="EX",1,IF(LEFT(UPPER(TRIM(D_Points!$B$5:$B$204)),2)="PR",2,2))),"")</f>
        <v/>
      </c>
      <c r="T418" s="181" t="str">
        <f>IFERROR(LOOKUP(2,1/((B_Drainage!$A$5:$A$204&lt;&gt;"")*(B_Drainage!$A$5:$A$204&lt;=$B418)*(B_Drainage!$B$5:$B$204&gt;$B418)*(B_Drainage!$E$5:$E$204&lt;&gt;"")),IF(B_Drainage!$E$5:$E$204="-","",1)),"")</f>
        <v/>
      </c>
      <c r="U418" s="181" t="str">
        <f>IFERROR(LOOKUP(2,1/((B_Drainage!$A$5:$A$204&lt;&gt;"")*(B_Drainage!$A$5:$A$204&lt;=$B418)*(B_Drainage!$B$5:$B$204&gt;$B418)*(B_Drainage!$E$5:$E$204&lt;&gt;"")),IF(B_Drainage!$E$5:$E$204="-","",B_Drainage!$E$5:$E$204)),"")</f>
        <v/>
      </c>
      <c r="V418" s="181" t="str">
        <f>IFERROR(LOOKUP(2,1/((B_Drainage!$A$5:$A$204&lt;&gt;"")*(B_Drainage!$A$5:$A$204&lt;=$B418)*(B_Drainage!$B$5:$B$204&gt;$B418)*(B_Drainage!$F$5:$F$204&lt;&gt;"")),IF(B_Drainage!$F$5:$F$204="-","",1)),"")</f>
        <v/>
      </c>
      <c r="W418" s="181" t="str">
        <f>IFERROR(LOOKUP(2,1/((B_Drainage!$A$5:$A$204&lt;&gt;"")*(B_Drainage!$A$5:$A$204&lt;=$B418)*(B_Drainage!$B$5:$B$204&gt;$B418)*(B_Drainage!$F$5:$F$204&lt;&gt;"")),IF(B_Drainage!$F$5:$F$204="-","",B_Drainage!$F$5:$F$204)),"")</f>
        <v/>
      </c>
      <c r="X418" s="181" t="str">
        <f>IFERROR(LOOKUP(2,1/((B_Drainage!$A$5:$A$204&lt;&gt;"")*(B_Drainage!$A$5:$A$204&lt;=$B418)*(B_Drainage!$B$5:$B$204&gt;$B418)*(B_Drainage!$G$5:$G$204&lt;&gt;"")),IF(UPPER(B_Drainage!$G$5:$G$204)="Y",1,"")),"")</f>
        <v/>
      </c>
      <c r="Y418" s="181" t="str">
        <f>IFERROR(LOOKUP(2,1/((B_Drainage!$A$5:$A$204&lt;&gt;"")*(B_Drainage!$A$5:$A$204&lt;=$B418)*(B_Drainage!$B$5:$B$204&gt;$B418)*(B_Drainage!$H$5:$H$204&lt;&gt;"")),IF(UPPER(B_Drainage!$H$5:$H$204)="Y",1,"")),"")</f>
        <v/>
      </c>
      <c r="Z418" s="181" t="str">
        <f>IFERROR(LOOKUP(2,1/((B_Drainage!$A$5:$A$204&lt;&gt;"")*(B_Drainage!$A$5:$A$204&lt;=$B418)*(B_Drainage!$B$5:$B$204&gt;$B418)*(B_Drainage!$I$5:$I$204&lt;&gt;"")),IF(UPPER(B_Drainage!$I$5:$I$204)="Y",1,"")),"")</f>
        <v/>
      </c>
      <c r="AA418" s="181" t="str">
        <f>IFERROR(LOOKUP(2,1/((B_Drainage!$A$5:$A$204&lt;&gt;"")*(B_Drainage!$A$5:$A$204&lt;=$B418)*(B_Drainage!$B$5:$B$204&gt;$B418)*(B_Drainage!$J$5:$J$204&lt;&gt;"")),IF(UPPER(B_Drainage!$J$5:$J$204)="Y",1,"")),"")</f>
        <v/>
      </c>
      <c r="AB418" s="182" t="str">
        <f>IFERROR(LOOKUP(2,1/((B_Drainage!$A$5:$A$204&lt;&gt;"")*(B_Drainage!$A$5:$A$204&lt;=$B418)*(B_Drainage!$B$5:$B$204&gt;$B418)*(B_Drainage!$K$5:$K$204&lt;&gt;"")),IF(B_Drainage!$K$5:$K$204="-","",B_Drainage!$K$5:$K$204)),"")</f>
        <v/>
      </c>
      <c r="AC418" s="182" t="str">
        <f>IFERROR(LOOKUP(2,1/((B_Drainage!$A$5:$A$204&lt;&gt;"")*(B_Drainage!$A$5:$A$204&lt;=$B418)*(B_Drainage!$B$5:$B$204&gt;$B418)*(B_Drainage!$L$5:$L$204&lt;&gt;"")),IF(B_Drainage!$L$5:$L$204="-","",B_Drainage!$L$5:$L$204)),"")</f>
        <v/>
      </c>
      <c r="AD418" s="182" t="str">
        <f>IFERROR(LOOKUP(2,1/((D_Points!$A$5:$A$204&lt;&gt;"")*(D_Points!$A$5:$A$204&gt;=$B418)*(D_Points!$A$5:$A$204&lt;$B418+P_Interval)*(UPPER(TRIM(D_Points!$B$5:$B$204))="TURNOUT_L")*(D_Points!$H$5:$H$204&lt;&gt;"")),D_Points!$H$5:$H$204),"")</f>
        <v/>
      </c>
      <c r="AE418" s="182" t="str">
        <f>IFERROR(LOOKUP(2,1/((D_Points!$A$5:$A$204&lt;&gt;"")*(D_Points!$A$5:$A$204&gt;=$B418)*(D_Points!$A$5:$A$204&lt;$B418+P_Interval)*(UPPER(TRIM(D_Points!$B$5:$B$204))="TURNOUT_R")*(D_Points!$H$5:$H$204&lt;&gt;"")),D_Points!$H$5:$H$204),"")</f>
        <v/>
      </c>
      <c r="AF418" s="181" t="str">
        <f>IFERROR(LOOKUP(2,1/((B_Drainage!$A$5:$A$204&lt;&gt;"")*(B_Drainage!$A$5:$A$204&lt;=$B418)*(B_Drainage!$B$5:$B$204&gt;$B418)*(B_Drainage!$M$5:$M$204&lt;&gt;"")),IF(UPPER(B_Drainage!$M$5:$M$204)="Y",1,"")),"")</f>
        <v/>
      </c>
      <c r="AG418" s="181" t="str">
        <f>IFERROR(LOOKUP(2,1/((B_Drainage!$A$5:$A$204&lt;&gt;"")*(B_Drainage!$A$5:$A$204&lt;=$B418)*(B_Drainage!$B$5:$B$204&gt;$B418)*(B_Drainage!$N$5:$N$204&lt;&gt;"")),IF(UPPER(B_Drainage!$N$5:$N$204)="Y",1,"")),"")</f>
        <v/>
      </c>
      <c r="AH418" s="181" t="str">
        <f t="shared" si="48"/>
        <v/>
      </c>
      <c r="AI418" s="181" t="str">
        <f t="shared" si="49"/>
        <v/>
      </c>
      <c r="AJ418" s="181" t="str">
        <f t="shared" si="50"/>
        <v/>
      </c>
      <c r="AK418" s="181" t="str">
        <f t="shared" si="51"/>
        <v/>
      </c>
      <c r="AL418" s="181" t="str">
        <f t="shared" si="52"/>
        <v/>
      </c>
      <c r="AM418" s="181" t="str">
        <f t="shared" si="53"/>
        <v/>
      </c>
      <c r="AN418" s="181" t="str">
        <f t="shared" si="54"/>
        <v/>
      </c>
      <c r="AO418" s="192" t="str">
        <f t="shared" si="55"/>
        <v/>
      </c>
      <c r="AQ418" t="str">
        <f>IFERROR(LOOKUP(2,1/((C_Pavement!$A$5:$A$204&lt;&gt;"")*(C_Pavement!$A$5:$A$204&lt;=$B418)*(C_Pavement!$B$5:$B$204&gt;$B418)*(C_Pavement!$C$5:$C$204&lt;&gt;"")),ROW(C_Pavement!$C$5:$C$204)-4),"")</f>
        <v/>
      </c>
      <c r="AR418" t="str">
        <f>IF($AQ418="","",UPPER(TRIM(INDEX(C_Pavement!$C$5:$C$204,$AQ418))))</f>
        <v/>
      </c>
      <c r="AS418" t="str">
        <f>IF($AR418="","",IFERROR(MATCH($AR418,E_Rules!$A$5:$A$9,0),""))</f>
        <v/>
      </c>
      <c r="AT418" t="str">
        <f>IF($AQ418="","",IF(INDEX(C_Pavement!$D$5:$D$204,$AQ418)&lt;&gt;"",UPPER(TRIM(INDEX(C_Pavement!$D$5:$D$204,$AQ418))),IF($AS418="","",INDEX(E_Rules!$C$5:$C$9,$AS418))))</f>
        <v/>
      </c>
      <c r="AU418" t="str">
        <f>IF($AQ418="","",IF(INDEX(C_Pavement!$E$5:$E$204,$AQ418)&lt;&gt;"",IF(INDEX(C_Pavement!$E$5:$E$204,$AQ418)="-","",INDEX(C_Pavement!$E$5:$E$204,$AQ418)),IF($AS418="","",INDEX(E_Rules!$D$5:$D$9,$AS418))))</f>
        <v/>
      </c>
      <c r="AV418" t="str">
        <f>IF($AQ418="","",IF(INDEX(C_Pavement!$F$5:$F$204,$AQ418)&lt;&gt;"",IF(INDEX(C_Pavement!$F$5:$F$204,$AQ418)="-","",INDEX(C_Pavement!$F$5:$F$204,$AQ418)),IF($AS418="","",INDEX(E_Rules!$E$5:$E$9,$AS418))))</f>
        <v/>
      </c>
      <c r="AW418" t="str">
        <f>IF($AQ418="","",IF(INDEX(C_Pavement!$G$5:$G$204,$AQ418)&lt;&gt;"",IF(INDEX(C_Pavement!$G$5:$G$204,$AQ418)="-","",INDEX(C_Pavement!$G$5:$G$204,$AQ418)),IF($AS418="","",INDEX(E_Rules!$F$5:$F$9,$AS418))))</f>
        <v/>
      </c>
      <c r="AX418" t="str">
        <f>IF($AQ418="","",IF(INDEX(C_Pavement!$H$5:$H$204,$AQ418)&lt;&gt;"",IF(INDEX(C_Pavement!$H$5:$H$204,$AQ418)="-","",INDEX(C_Pavement!$H$5:$H$204,$AQ418)),IF($AS418="","",INDEX(E_Rules!$G$5:$G$9,$AS418))))</f>
        <v/>
      </c>
      <c r="AY418" t="str">
        <f>IF($AQ418="","",IF(INDEX(C_Pavement!$I$5:$I$204,$AQ418)&lt;&gt;"",IF(INDEX(C_Pavement!$I$5:$I$204,$AQ418)="-","",INDEX(C_Pavement!$I$5:$I$204,$AQ418)),IF($AS418="","",INDEX(E_Rules!$H$5:$H$9,$AS418))))</f>
        <v/>
      </c>
    </row>
    <row r="419" spans="1:51" ht="15.75" customHeight="1" x14ac:dyDescent="0.3">
      <c r="A419" s="189">
        <v>414</v>
      </c>
      <c r="B419" s="180">
        <v>20650</v>
      </c>
      <c r="C419" s="180" t="s">
        <v>725</v>
      </c>
      <c r="D419" s="181" t="str">
        <f>IFERROR(LOOKUP(2,1/((A_Corridor!$A$5:$A$204&lt;&gt;"")*(A_Corridor!$A$5:$A$204&lt;=$B419)*(A_Corridor!$B$5:$B$204&gt;$B419)*(A_Corridor!$C$5:$C$204&lt;&gt;"")),IF(UPPER(A_Corridor!$C$5:$C$204)="Y",1,"")),"")</f>
        <v/>
      </c>
      <c r="E419" s="181" t="str">
        <f>IFERROR(LOOKUP(2,1/((A_Corridor!$A$5:$A$204&lt;&gt;"")*(A_Corridor!$A$5:$A$204&lt;=$B419)*(A_Corridor!$B$5:$B$204&gt;$B419)*(A_Corridor!$D$5:$D$204&lt;&gt;"")),IF(A_Corridor!$D$5:$D$204="-","",UPPER(A_Corridor!$D$5:$D$204))),"")</f>
        <v/>
      </c>
      <c r="F419" s="181" t="str">
        <f>IFERROR(LOOKUP(2,1/((A_Corridor!$A$5:$A$204&lt;&gt;"")*(A_Corridor!$A$5:$A$204&lt;=$B419)*(A_Corridor!$B$5:$B$204&gt;$B419)*(A_Corridor!$E$5:$E$204&lt;&gt;"")),IF(A_Corridor!$E$5:$E$204="-","",1)),"")</f>
        <v/>
      </c>
      <c r="G419" s="182" t="str">
        <f>IFERROR(LOOKUP(2,1/((A_Corridor!$A$5:$A$204&lt;&gt;"")*(A_Corridor!$A$5:$A$204&lt;=$B419)*(A_Corridor!$B$5:$B$204&gt;$B419)*(A_Corridor!$E$5:$E$204&lt;&gt;"")),IF(A_Corridor!$E$5:$E$204="-","",A_Corridor!$E$5:$E$204)),"")</f>
        <v/>
      </c>
      <c r="H419" s="182" t="str">
        <f>IFERROR(LOOKUP(2,1/((D_Points!$A$5:$A$204&lt;&gt;"")*(D_Points!$A$5:$A$204&gt;=$B419)*(D_Points!$A$5:$A$204&lt;$B419+P_Interval)*(UPPER(TRIM(D_Points!$B$5:$B$204))="GULLY")*(D_Points!$H$5:$H$204&lt;&gt;"")),D_Points!$H$5:$H$204),"")</f>
        <v/>
      </c>
      <c r="I419" s="181" t="str">
        <f>IFERROR(LOOKUP(2,1/((A_Corridor!$A$5:$A$204&lt;&gt;"")*(A_Corridor!$A$5:$A$204&lt;=$B419)*(A_Corridor!$B$5:$B$204&gt;$B419)*(A_Corridor!$F$5:$F$204&lt;&gt;"")),IF(A_Corridor!$F$5:$F$204="-","",1)),"")</f>
        <v/>
      </c>
      <c r="J419" s="182" t="str">
        <f>IFERROR(LOOKUP(2,1/((A_Corridor!$A$5:$A$204&lt;&gt;"")*(A_Corridor!$A$5:$A$204&lt;=$B419)*(A_Corridor!$B$5:$B$204&gt;$B419)*(A_Corridor!$F$5:$F$204&lt;&gt;"")),IF(A_Corridor!$F$5:$F$204="-","",A_Corridor!$F$5:$F$204)),"")</f>
        <v/>
      </c>
      <c r="K419" s="182" t="str">
        <f>IFERROR(LOOKUP(2,1/((A_Corridor!$A$5:$A$204&lt;&gt;"")*(A_Corridor!$A$5:$A$204&lt;=$B419)*(A_Corridor!$B$5:$B$204&gt;$B419)*(A_Corridor!$G$5:$G$204&lt;&gt;"")),IF(A_Corridor!$G$5:$G$204="-","",A_Corridor!$G$5:$G$204)),"")</f>
        <v/>
      </c>
      <c r="L419" s="181" t="str">
        <f>IFERROR(LOOKUP(2,1/((A_Corridor!$A$5:$A$204&lt;&gt;"")*(A_Corridor!$A$5:$A$204&lt;=$B419)*(A_Corridor!$B$5:$B$204&gt;$B419)*(A_Corridor!$H$5:$H$204&lt;&gt;"")),IF(A_Corridor!$H$5:$H$204="-","",1)),"")</f>
        <v/>
      </c>
      <c r="M419" s="182" t="str">
        <f>IFERROR(LOOKUP(2,1/((A_Corridor!$A$5:$A$204&lt;&gt;"")*(A_Corridor!$A$5:$A$204&lt;=$B419)*(A_Corridor!$B$5:$B$204&gt;$B419)*(A_Corridor!$H$5:$H$204&lt;&gt;"")),IF(A_Corridor!$H$5:$H$204="-","",A_Corridor!$H$5:$H$204)),"")</f>
        <v/>
      </c>
      <c r="N419" s="182" t="str">
        <f>IFERROR(LOOKUP(2,1/((A_Corridor!$A$5:$A$204&lt;&gt;"")*(A_Corridor!$A$5:$A$204&lt;=$B419)*(A_Corridor!$B$5:$B$204&gt;$B419)*(A_Corridor!$I$5:$I$204&lt;&gt;"")),IF(A_Corridor!$I$5:$I$204="-","",A_Corridor!$I$5:$I$204)),"")</f>
        <v/>
      </c>
      <c r="O419" s="182" t="str">
        <f>IFERROR(LOOKUP(2,1/((D_Points!$A$5:$A$204&lt;&gt;"")*(D_Points!$A$5:$A$204&gt;=$B419)*(D_Points!$A$5:$A$204&lt;$B419+P_Interval)*(UPPER(TRIM(D_Points!$B$5:$B$204))="PITCHING")*(D_Points!$H$5:$H$204&lt;&gt;"")),D_Points!$H$5:$H$204),"")</f>
        <v/>
      </c>
      <c r="P419" s="181" t="str">
        <f>IFERROR(LOOKUP(2,1/((B_Drainage!$A$5:$A$204&lt;&gt;"")*(B_Drainage!$A$5:$A$204&lt;=$B419)*(B_Drainage!$B$5:$B$204&gt;$B419)*(B_Drainage!$C$5:$C$204&lt;&gt;"")),IF(B_Drainage!$C$5:$C$204="-","",UPPER(B_Drainage!$C$5:$C$204))),"")</f>
        <v/>
      </c>
      <c r="Q419" s="181" t="str">
        <f>IFERROR(LOOKUP(2,1/((B_Drainage!$A$5:$A$204&lt;&gt;"")*(B_Drainage!$A$5:$A$204&lt;=$B419)*(B_Drainage!$B$5:$B$204&gt;$B419)*(B_Drainage!$D$5:$D$204&lt;&gt;"")),IF(B_Drainage!$D$5:$D$204="-","",UPPER(B_Drainage!$D$5:$D$204))),"")</f>
        <v/>
      </c>
      <c r="R419" s="182" t="str">
        <f>IFERROR(LOOKUP(2,1/((D_Points!$A$5:$A$204&lt;&gt;"")*(D_Points!$A$5:$A$204&gt;=$B419)*(D_Points!$A$5:$A$204&lt;$B419+P_Interval)*(RIGHT(UPPER(TRIM(D_Points!$B$5:$B$204)),8)="_CULVERT")),IF(LEFT(UPPER(TRIM(D_Points!$B$5:$B$204)),2)="EX",1,IF(LEFT(UPPER(TRIM(D_Points!$B$5:$B$204)),2)="PR",2,3))),"")</f>
        <v/>
      </c>
      <c r="S419" s="182" t="str">
        <f>IFERROR(LOOKUP(2,1/((D_Points!$A$5:$A$204&lt;&gt;"")*(D_Points!$A$5:$A$204&gt;=$B419)*(D_Points!$A$5:$A$204&lt;$B419+P_Interval)*(RIGHT(UPPER(TRIM(D_Points!$B$5:$B$204)),7)="_BRIDGE")),IF(LEFT(UPPER(TRIM(D_Points!$B$5:$B$204)),2)="EX",1,IF(LEFT(UPPER(TRIM(D_Points!$B$5:$B$204)),2)="PR",2,2))),"")</f>
        <v/>
      </c>
      <c r="T419" s="181" t="str">
        <f>IFERROR(LOOKUP(2,1/((B_Drainage!$A$5:$A$204&lt;&gt;"")*(B_Drainage!$A$5:$A$204&lt;=$B419)*(B_Drainage!$B$5:$B$204&gt;$B419)*(B_Drainage!$E$5:$E$204&lt;&gt;"")),IF(B_Drainage!$E$5:$E$204="-","",1)),"")</f>
        <v/>
      </c>
      <c r="U419" s="181" t="str">
        <f>IFERROR(LOOKUP(2,1/((B_Drainage!$A$5:$A$204&lt;&gt;"")*(B_Drainage!$A$5:$A$204&lt;=$B419)*(B_Drainage!$B$5:$B$204&gt;$B419)*(B_Drainage!$E$5:$E$204&lt;&gt;"")),IF(B_Drainage!$E$5:$E$204="-","",B_Drainage!$E$5:$E$204)),"")</f>
        <v/>
      </c>
      <c r="V419" s="181" t="str">
        <f>IFERROR(LOOKUP(2,1/((B_Drainage!$A$5:$A$204&lt;&gt;"")*(B_Drainage!$A$5:$A$204&lt;=$B419)*(B_Drainage!$B$5:$B$204&gt;$B419)*(B_Drainage!$F$5:$F$204&lt;&gt;"")),IF(B_Drainage!$F$5:$F$204="-","",1)),"")</f>
        <v/>
      </c>
      <c r="W419" s="181" t="str">
        <f>IFERROR(LOOKUP(2,1/((B_Drainage!$A$5:$A$204&lt;&gt;"")*(B_Drainage!$A$5:$A$204&lt;=$B419)*(B_Drainage!$B$5:$B$204&gt;$B419)*(B_Drainage!$F$5:$F$204&lt;&gt;"")),IF(B_Drainage!$F$5:$F$204="-","",B_Drainage!$F$5:$F$204)),"")</f>
        <v/>
      </c>
      <c r="X419" s="181" t="str">
        <f>IFERROR(LOOKUP(2,1/((B_Drainage!$A$5:$A$204&lt;&gt;"")*(B_Drainage!$A$5:$A$204&lt;=$B419)*(B_Drainage!$B$5:$B$204&gt;$B419)*(B_Drainage!$G$5:$G$204&lt;&gt;"")),IF(UPPER(B_Drainage!$G$5:$G$204)="Y",1,"")),"")</f>
        <v/>
      </c>
      <c r="Y419" s="181" t="str">
        <f>IFERROR(LOOKUP(2,1/((B_Drainage!$A$5:$A$204&lt;&gt;"")*(B_Drainage!$A$5:$A$204&lt;=$B419)*(B_Drainage!$B$5:$B$204&gt;$B419)*(B_Drainage!$H$5:$H$204&lt;&gt;"")),IF(UPPER(B_Drainage!$H$5:$H$204)="Y",1,"")),"")</f>
        <v/>
      </c>
      <c r="Z419" s="181" t="str">
        <f>IFERROR(LOOKUP(2,1/((B_Drainage!$A$5:$A$204&lt;&gt;"")*(B_Drainage!$A$5:$A$204&lt;=$B419)*(B_Drainage!$B$5:$B$204&gt;$B419)*(B_Drainage!$I$5:$I$204&lt;&gt;"")),IF(UPPER(B_Drainage!$I$5:$I$204)="Y",1,"")),"")</f>
        <v/>
      </c>
      <c r="AA419" s="181" t="str">
        <f>IFERROR(LOOKUP(2,1/((B_Drainage!$A$5:$A$204&lt;&gt;"")*(B_Drainage!$A$5:$A$204&lt;=$B419)*(B_Drainage!$B$5:$B$204&gt;$B419)*(B_Drainage!$J$5:$J$204&lt;&gt;"")),IF(UPPER(B_Drainage!$J$5:$J$204)="Y",1,"")),"")</f>
        <v/>
      </c>
      <c r="AB419" s="182" t="str">
        <f>IFERROR(LOOKUP(2,1/((B_Drainage!$A$5:$A$204&lt;&gt;"")*(B_Drainage!$A$5:$A$204&lt;=$B419)*(B_Drainage!$B$5:$B$204&gt;$B419)*(B_Drainage!$K$5:$K$204&lt;&gt;"")),IF(B_Drainage!$K$5:$K$204="-","",B_Drainage!$K$5:$K$204)),"")</f>
        <v/>
      </c>
      <c r="AC419" s="182" t="str">
        <f>IFERROR(LOOKUP(2,1/((B_Drainage!$A$5:$A$204&lt;&gt;"")*(B_Drainage!$A$5:$A$204&lt;=$B419)*(B_Drainage!$B$5:$B$204&gt;$B419)*(B_Drainage!$L$5:$L$204&lt;&gt;"")),IF(B_Drainage!$L$5:$L$204="-","",B_Drainage!$L$5:$L$204)),"")</f>
        <v/>
      </c>
      <c r="AD419" s="182" t="str">
        <f>IFERROR(LOOKUP(2,1/((D_Points!$A$5:$A$204&lt;&gt;"")*(D_Points!$A$5:$A$204&gt;=$B419)*(D_Points!$A$5:$A$204&lt;$B419+P_Interval)*(UPPER(TRIM(D_Points!$B$5:$B$204))="TURNOUT_L")*(D_Points!$H$5:$H$204&lt;&gt;"")),D_Points!$H$5:$H$204),"")</f>
        <v/>
      </c>
      <c r="AE419" s="182" t="str">
        <f>IFERROR(LOOKUP(2,1/((D_Points!$A$5:$A$204&lt;&gt;"")*(D_Points!$A$5:$A$204&gt;=$B419)*(D_Points!$A$5:$A$204&lt;$B419+P_Interval)*(UPPER(TRIM(D_Points!$B$5:$B$204))="TURNOUT_R")*(D_Points!$H$5:$H$204&lt;&gt;"")),D_Points!$H$5:$H$204),"")</f>
        <v/>
      </c>
      <c r="AF419" s="181" t="str">
        <f>IFERROR(LOOKUP(2,1/((B_Drainage!$A$5:$A$204&lt;&gt;"")*(B_Drainage!$A$5:$A$204&lt;=$B419)*(B_Drainage!$B$5:$B$204&gt;$B419)*(B_Drainage!$M$5:$M$204&lt;&gt;"")),IF(UPPER(B_Drainage!$M$5:$M$204)="Y",1,"")),"")</f>
        <v/>
      </c>
      <c r="AG419" s="181" t="str">
        <f>IFERROR(LOOKUP(2,1/((B_Drainage!$A$5:$A$204&lt;&gt;"")*(B_Drainage!$A$5:$A$204&lt;=$B419)*(B_Drainage!$B$5:$B$204&gt;$B419)*(B_Drainage!$N$5:$N$204&lt;&gt;"")),IF(UPPER(B_Drainage!$N$5:$N$204)="Y",1,"")),"")</f>
        <v/>
      </c>
      <c r="AH419" s="181" t="str">
        <f t="shared" si="48"/>
        <v/>
      </c>
      <c r="AI419" s="181" t="str">
        <f t="shared" si="49"/>
        <v/>
      </c>
      <c r="AJ419" s="181" t="str">
        <f t="shared" si="50"/>
        <v/>
      </c>
      <c r="AK419" s="181" t="str">
        <f t="shared" si="51"/>
        <v/>
      </c>
      <c r="AL419" s="181" t="str">
        <f t="shared" si="52"/>
        <v/>
      </c>
      <c r="AM419" s="181" t="str">
        <f t="shared" si="53"/>
        <v/>
      </c>
      <c r="AN419" s="181" t="str">
        <f t="shared" si="54"/>
        <v/>
      </c>
      <c r="AO419" s="192" t="str">
        <f t="shared" si="55"/>
        <v/>
      </c>
      <c r="AQ419" t="str">
        <f>IFERROR(LOOKUP(2,1/((C_Pavement!$A$5:$A$204&lt;&gt;"")*(C_Pavement!$A$5:$A$204&lt;=$B419)*(C_Pavement!$B$5:$B$204&gt;$B419)*(C_Pavement!$C$5:$C$204&lt;&gt;"")),ROW(C_Pavement!$C$5:$C$204)-4),"")</f>
        <v/>
      </c>
      <c r="AR419" t="str">
        <f>IF($AQ419="","",UPPER(TRIM(INDEX(C_Pavement!$C$5:$C$204,$AQ419))))</f>
        <v/>
      </c>
      <c r="AS419" t="str">
        <f>IF($AR419="","",IFERROR(MATCH($AR419,E_Rules!$A$5:$A$9,0),""))</f>
        <v/>
      </c>
      <c r="AT419" t="str">
        <f>IF($AQ419="","",IF(INDEX(C_Pavement!$D$5:$D$204,$AQ419)&lt;&gt;"",UPPER(TRIM(INDEX(C_Pavement!$D$5:$D$204,$AQ419))),IF($AS419="","",INDEX(E_Rules!$C$5:$C$9,$AS419))))</f>
        <v/>
      </c>
      <c r="AU419" t="str">
        <f>IF($AQ419="","",IF(INDEX(C_Pavement!$E$5:$E$204,$AQ419)&lt;&gt;"",IF(INDEX(C_Pavement!$E$5:$E$204,$AQ419)="-","",INDEX(C_Pavement!$E$5:$E$204,$AQ419)),IF($AS419="","",INDEX(E_Rules!$D$5:$D$9,$AS419))))</f>
        <v/>
      </c>
      <c r="AV419" t="str">
        <f>IF($AQ419="","",IF(INDEX(C_Pavement!$F$5:$F$204,$AQ419)&lt;&gt;"",IF(INDEX(C_Pavement!$F$5:$F$204,$AQ419)="-","",INDEX(C_Pavement!$F$5:$F$204,$AQ419)),IF($AS419="","",INDEX(E_Rules!$E$5:$E$9,$AS419))))</f>
        <v/>
      </c>
      <c r="AW419" t="str">
        <f>IF($AQ419="","",IF(INDEX(C_Pavement!$G$5:$G$204,$AQ419)&lt;&gt;"",IF(INDEX(C_Pavement!$G$5:$G$204,$AQ419)="-","",INDEX(C_Pavement!$G$5:$G$204,$AQ419)),IF($AS419="","",INDEX(E_Rules!$F$5:$F$9,$AS419))))</f>
        <v/>
      </c>
      <c r="AX419" t="str">
        <f>IF($AQ419="","",IF(INDEX(C_Pavement!$H$5:$H$204,$AQ419)&lt;&gt;"",IF(INDEX(C_Pavement!$H$5:$H$204,$AQ419)="-","",INDEX(C_Pavement!$H$5:$H$204,$AQ419)),IF($AS419="","",INDEX(E_Rules!$G$5:$G$9,$AS419))))</f>
        <v/>
      </c>
      <c r="AY419" t="str">
        <f>IF($AQ419="","",IF(INDEX(C_Pavement!$I$5:$I$204,$AQ419)&lt;&gt;"",IF(INDEX(C_Pavement!$I$5:$I$204,$AQ419)="-","",INDEX(C_Pavement!$I$5:$I$204,$AQ419)),IF($AS419="","",INDEX(E_Rules!$H$5:$H$9,$AS419))))</f>
        <v/>
      </c>
    </row>
    <row r="420" spans="1:51" ht="15.75" customHeight="1" x14ac:dyDescent="0.3">
      <c r="A420" s="189">
        <v>415</v>
      </c>
      <c r="B420" s="180">
        <v>20700</v>
      </c>
      <c r="C420" s="180" t="s">
        <v>726</v>
      </c>
      <c r="D420" s="181" t="str">
        <f>IFERROR(LOOKUP(2,1/((A_Corridor!$A$5:$A$204&lt;&gt;"")*(A_Corridor!$A$5:$A$204&lt;=$B420)*(A_Corridor!$B$5:$B$204&gt;$B420)*(A_Corridor!$C$5:$C$204&lt;&gt;"")),IF(UPPER(A_Corridor!$C$5:$C$204)="Y",1,"")),"")</f>
        <v/>
      </c>
      <c r="E420" s="181" t="str">
        <f>IFERROR(LOOKUP(2,1/((A_Corridor!$A$5:$A$204&lt;&gt;"")*(A_Corridor!$A$5:$A$204&lt;=$B420)*(A_Corridor!$B$5:$B$204&gt;$B420)*(A_Corridor!$D$5:$D$204&lt;&gt;"")),IF(A_Corridor!$D$5:$D$204="-","",UPPER(A_Corridor!$D$5:$D$204))),"")</f>
        <v/>
      </c>
      <c r="F420" s="181" t="str">
        <f>IFERROR(LOOKUP(2,1/((A_Corridor!$A$5:$A$204&lt;&gt;"")*(A_Corridor!$A$5:$A$204&lt;=$B420)*(A_Corridor!$B$5:$B$204&gt;$B420)*(A_Corridor!$E$5:$E$204&lt;&gt;"")),IF(A_Corridor!$E$5:$E$204="-","",1)),"")</f>
        <v/>
      </c>
      <c r="G420" s="182" t="str">
        <f>IFERROR(LOOKUP(2,1/((A_Corridor!$A$5:$A$204&lt;&gt;"")*(A_Corridor!$A$5:$A$204&lt;=$B420)*(A_Corridor!$B$5:$B$204&gt;$B420)*(A_Corridor!$E$5:$E$204&lt;&gt;"")),IF(A_Corridor!$E$5:$E$204="-","",A_Corridor!$E$5:$E$204)),"")</f>
        <v/>
      </c>
      <c r="H420" s="182" t="str">
        <f>IFERROR(LOOKUP(2,1/((D_Points!$A$5:$A$204&lt;&gt;"")*(D_Points!$A$5:$A$204&gt;=$B420)*(D_Points!$A$5:$A$204&lt;$B420+P_Interval)*(UPPER(TRIM(D_Points!$B$5:$B$204))="GULLY")*(D_Points!$H$5:$H$204&lt;&gt;"")),D_Points!$H$5:$H$204),"")</f>
        <v/>
      </c>
      <c r="I420" s="181" t="str">
        <f>IFERROR(LOOKUP(2,1/((A_Corridor!$A$5:$A$204&lt;&gt;"")*(A_Corridor!$A$5:$A$204&lt;=$B420)*(A_Corridor!$B$5:$B$204&gt;$B420)*(A_Corridor!$F$5:$F$204&lt;&gt;"")),IF(A_Corridor!$F$5:$F$204="-","",1)),"")</f>
        <v/>
      </c>
      <c r="J420" s="182" t="str">
        <f>IFERROR(LOOKUP(2,1/((A_Corridor!$A$5:$A$204&lt;&gt;"")*(A_Corridor!$A$5:$A$204&lt;=$B420)*(A_Corridor!$B$5:$B$204&gt;$B420)*(A_Corridor!$F$5:$F$204&lt;&gt;"")),IF(A_Corridor!$F$5:$F$204="-","",A_Corridor!$F$5:$F$204)),"")</f>
        <v/>
      </c>
      <c r="K420" s="182" t="str">
        <f>IFERROR(LOOKUP(2,1/((A_Corridor!$A$5:$A$204&lt;&gt;"")*(A_Corridor!$A$5:$A$204&lt;=$B420)*(A_Corridor!$B$5:$B$204&gt;$B420)*(A_Corridor!$G$5:$G$204&lt;&gt;"")),IF(A_Corridor!$G$5:$G$204="-","",A_Corridor!$G$5:$G$204)),"")</f>
        <v/>
      </c>
      <c r="L420" s="181" t="str">
        <f>IFERROR(LOOKUP(2,1/((A_Corridor!$A$5:$A$204&lt;&gt;"")*(A_Corridor!$A$5:$A$204&lt;=$B420)*(A_Corridor!$B$5:$B$204&gt;$B420)*(A_Corridor!$H$5:$H$204&lt;&gt;"")),IF(A_Corridor!$H$5:$H$204="-","",1)),"")</f>
        <v/>
      </c>
      <c r="M420" s="182" t="str">
        <f>IFERROR(LOOKUP(2,1/((A_Corridor!$A$5:$A$204&lt;&gt;"")*(A_Corridor!$A$5:$A$204&lt;=$B420)*(A_Corridor!$B$5:$B$204&gt;$B420)*(A_Corridor!$H$5:$H$204&lt;&gt;"")),IF(A_Corridor!$H$5:$H$204="-","",A_Corridor!$H$5:$H$204)),"")</f>
        <v/>
      </c>
      <c r="N420" s="182" t="str">
        <f>IFERROR(LOOKUP(2,1/((A_Corridor!$A$5:$A$204&lt;&gt;"")*(A_Corridor!$A$5:$A$204&lt;=$B420)*(A_Corridor!$B$5:$B$204&gt;$B420)*(A_Corridor!$I$5:$I$204&lt;&gt;"")),IF(A_Corridor!$I$5:$I$204="-","",A_Corridor!$I$5:$I$204)),"")</f>
        <v/>
      </c>
      <c r="O420" s="182" t="str">
        <f>IFERROR(LOOKUP(2,1/((D_Points!$A$5:$A$204&lt;&gt;"")*(D_Points!$A$5:$A$204&gt;=$B420)*(D_Points!$A$5:$A$204&lt;$B420+P_Interval)*(UPPER(TRIM(D_Points!$B$5:$B$204))="PITCHING")*(D_Points!$H$5:$H$204&lt;&gt;"")),D_Points!$H$5:$H$204),"")</f>
        <v/>
      </c>
      <c r="P420" s="181" t="str">
        <f>IFERROR(LOOKUP(2,1/((B_Drainage!$A$5:$A$204&lt;&gt;"")*(B_Drainage!$A$5:$A$204&lt;=$B420)*(B_Drainage!$B$5:$B$204&gt;$B420)*(B_Drainage!$C$5:$C$204&lt;&gt;"")),IF(B_Drainage!$C$5:$C$204="-","",UPPER(B_Drainage!$C$5:$C$204))),"")</f>
        <v/>
      </c>
      <c r="Q420" s="181" t="str">
        <f>IFERROR(LOOKUP(2,1/((B_Drainage!$A$5:$A$204&lt;&gt;"")*(B_Drainage!$A$5:$A$204&lt;=$B420)*(B_Drainage!$B$5:$B$204&gt;$B420)*(B_Drainage!$D$5:$D$204&lt;&gt;"")),IF(B_Drainage!$D$5:$D$204="-","",UPPER(B_Drainage!$D$5:$D$204))),"")</f>
        <v/>
      </c>
      <c r="R420" s="182" t="str">
        <f>IFERROR(LOOKUP(2,1/((D_Points!$A$5:$A$204&lt;&gt;"")*(D_Points!$A$5:$A$204&gt;=$B420)*(D_Points!$A$5:$A$204&lt;$B420+P_Interval)*(RIGHT(UPPER(TRIM(D_Points!$B$5:$B$204)),8)="_CULVERT")),IF(LEFT(UPPER(TRIM(D_Points!$B$5:$B$204)),2)="EX",1,IF(LEFT(UPPER(TRIM(D_Points!$B$5:$B$204)),2)="PR",2,3))),"")</f>
        <v/>
      </c>
      <c r="S420" s="182" t="str">
        <f>IFERROR(LOOKUP(2,1/((D_Points!$A$5:$A$204&lt;&gt;"")*(D_Points!$A$5:$A$204&gt;=$B420)*(D_Points!$A$5:$A$204&lt;$B420+P_Interval)*(RIGHT(UPPER(TRIM(D_Points!$B$5:$B$204)),7)="_BRIDGE")),IF(LEFT(UPPER(TRIM(D_Points!$B$5:$B$204)),2)="EX",1,IF(LEFT(UPPER(TRIM(D_Points!$B$5:$B$204)),2)="PR",2,2))),"")</f>
        <v/>
      </c>
      <c r="T420" s="181" t="str">
        <f>IFERROR(LOOKUP(2,1/((B_Drainage!$A$5:$A$204&lt;&gt;"")*(B_Drainage!$A$5:$A$204&lt;=$B420)*(B_Drainage!$B$5:$B$204&gt;$B420)*(B_Drainage!$E$5:$E$204&lt;&gt;"")),IF(B_Drainage!$E$5:$E$204="-","",1)),"")</f>
        <v/>
      </c>
      <c r="U420" s="181" t="str">
        <f>IFERROR(LOOKUP(2,1/((B_Drainage!$A$5:$A$204&lt;&gt;"")*(B_Drainage!$A$5:$A$204&lt;=$B420)*(B_Drainage!$B$5:$B$204&gt;$B420)*(B_Drainage!$E$5:$E$204&lt;&gt;"")),IF(B_Drainage!$E$5:$E$204="-","",B_Drainage!$E$5:$E$204)),"")</f>
        <v/>
      </c>
      <c r="V420" s="181" t="str">
        <f>IFERROR(LOOKUP(2,1/((B_Drainage!$A$5:$A$204&lt;&gt;"")*(B_Drainage!$A$5:$A$204&lt;=$B420)*(B_Drainage!$B$5:$B$204&gt;$B420)*(B_Drainage!$F$5:$F$204&lt;&gt;"")),IF(B_Drainage!$F$5:$F$204="-","",1)),"")</f>
        <v/>
      </c>
      <c r="W420" s="181" t="str">
        <f>IFERROR(LOOKUP(2,1/((B_Drainage!$A$5:$A$204&lt;&gt;"")*(B_Drainage!$A$5:$A$204&lt;=$B420)*(B_Drainage!$B$5:$B$204&gt;$B420)*(B_Drainage!$F$5:$F$204&lt;&gt;"")),IF(B_Drainage!$F$5:$F$204="-","",B_Drainage!$F$5:$F$204)),"")</f>
        <v/>
      </c>
      <c r="X420" s="181" t="str">
        <f>IFERROR(LOOKUP(2,1/((B_Drainage!$A$5:$A$204&lt;&gt;"")*(B_Drainage!$A$5:$A$204&lt;=$B420)*(B_Drainage!$B$5:$B$204&gt;$B420)*(B_Drainage!$G$5:$G$204&lt;&gt;"")),IF(UPPER(B_Drainage!$G$5:$G$204)="Y",1,"")),"")</f>
        <v/>
      </c>
      <c r="Y420" s="181" t="str">
        <f>IFERROR(LOOKUP(2,1/((B_Drainage!$A$5:$A$204&lt;&gt;"")*(B_Drainage!$A$5:$A$204&lt;=$B420)*(B_Drainage!$B$5:$B$204&gt;$B420)*(B_Drainage!$H$5:$H$204&lt;&gt;"")),IF(UPPER(B_Drainage!$H$5:$H$204)="Y",1,"")),"")</f>
        <v/>
      </c>
      <c r="Z420" s="181" t="str">
        <f>IFERROR(LOOKUP(2,1/((B_Drainage!$A$5:$A$204&lt;&gt;"")*(B_Drainage!$A$5:$A$204&lt;=$B420)*(B_Drainage!$B$5:$B$204&gt;$B420)*(B_Drainage!$I$5:$I$204&lt;&gt;"")),IF(UPPER(B_Drainage!$I$5:$I$204)="Y",1,"")),"")</f>
        <v/>
      </c>
      <c r="AA420" s="181" t="str">
        <f>IFERROR(LOOKUP(2,1/((B_Drainage!$A$5:$A$204&lt;&gt;"")*(B_Drainage!$A$5:$A$204&lt;=$B420)*(B_Drainage!$B$5:$B$204&gt;$B420)*(B_Drainage!$J$5:$J$204&lt;&gt;"")),IF(UPPER(B_Drainage!$J$5:$J$204)="Y",1,"")),"")</f>
        <v/>
      </c>
      <c r="AB420" s="182" t="str">
        <f>IFERROR(LOOKUP(2,1/((B_Drainage!$A$5:$A$204&lt;&gt;"")*(B_Drainage!$A$5:$A$204&lt;=$B420)*(B_Drainage!$B$5:$B$204&gt;$B420)*(B_Drainage!$K$5:$K$204&lt;&gt;"")),IF(B_Drainage!$K$5:$K$204="-","",B_Drainage!$K$5:$K$204)),"")</f>
        <v/>
      </c>
      <c r="AC420" s="182" t="str">
        <f>IFERROR(LOOKUP(2,1/((B_Drainage!$A$5:$A$204&lt;&gt;"")*(B_Drainage!$A$5:$A$204&lt;=$B420)*(B_Drainage!$B$5:$B$204&gt;$B420)*(B_Drainage!$L$5:$L$204&lt;&gt;"")),IF(B_Drainage!$L$5:$L$204="-","",B_Drainage!$L$5:$L$204)),"")</f>
        <v/>
      </c>
      <c r="AD420" s="182" t="str">
        <f>IFERROR(LOOKUP(2,1/((D_Points!$A$5:$A$204&lt;&gt;"")*(D_Points!$A$5:$A$204&gt;=$B420)*(D_Points!$A$5:$A$204&lt;$B420+P_Interval)*(UPPER(TRIM(D_Points!$B$5:$B$204))="TURNOUT_L")*(D_Points!$H$5:$H$204&lt;&gt;"")),D_Points!$H$5:$H$204),"")</f>
        <v/>
      </c>
      <c r="AE420" s="182" t="str">
        <f>IFERROR(LOOKUP(2,1/((D_Points!$A$5:$A$204&lt;&gt;"")*(D_Points!$A$5:$A$204&gt;=$B420)*(D_Points!$A$5:$A$204&lt;$B420+P_Interval)*(UPPER(TRIM(D_Points!$B$5:$B$204))="TURNOUT_R")*(D_Points!$H$5:$H$204&lt;&gt;"")),D_Points!$H$5:$H$204),"")</f>
        <v/>
      </c>
      <c r="AF420" s="181" t="str">
        <f>IFERROR(LOOKUP(2,1/((B_Drainage!$A$5:$A$204&lt;&gt;"")*(B_Drainage!$A$5:$A$204&lt;=$B420)*(B_Drainage!$B$5:$B$204&gt;$B420)*(B_Drainage!$M$5:$M$204&lt;&gt;"")),IF(UPPER(B_Drainage!$M$5:$M$204)="Y",1,"")),"")</f>
        <v/>
      </c>
      <c r="AG420" s="181" t="str">
        <f>IFERROR(LOOKUP(2,1/((B_Drainage!$A$5:$A$204&lt;&gt;"")*(B_Drainage!$A$5:$A$204&lt;=$B420)*(B_Drainage!$B$5:$B$204&gt;$B420)*(B_Drainage!$N$5:$N$204&lt;&gt;"")),IF(UPPER(B_Drainage!$N$5:$N$204)="Y",1,"")),"")</f>
        <v/>
      </c>
      <c r="AH420" s="181" t="str">
        <f t="shared" si="48"/>
        <v/>
      </c>
      <c r="AI420" s="181" t="str">
        <f t="shared" si="49"/>
        <v/>
      </c>
      <c r="AJ420" s="181" t="str">
        <f t="shared" si="50"/>
        <v/>
      </c>
      <c r="AK420" s="181" t="str">
        <f t="shared" si="51"/>
        <v/>
      </c>
      <c r="AL420" s="181" t="str">
        <f t="shared" si="52"/>
        <v/>
      </c>
      <c r="AM420" s="181" t="str">
        <f t="shared" si="53"/>
        <v/>
      </c>
      <c r="AN420" s="181" t="str">
        <f t="shared" si="54"/>
        <v/>
      </c>
      <c r="AO420" s="192" t="str">
        <f t="shared" si="55"/>
        <v/>
      </c>
      <c r="AQ420" t="str">
        <f>IFERROR(LOOKUP(2,1/((C_Pavement!$A$5:$A$204&lt;&gt;"")*(C_Pavement!$A$5:$A$204&lt;=$B420)*(C_Pavement!$B$5:$B$204&gt;$B420)*(C_Pavement!$C$5:$C$204&lt;&gt;"")),ROW(C_Pavement!$C$5:$C$204)-4),"")</f>
        <v/>
      </c>
      <c r="AR420" t="str">
        <f>IF($AQ420="","",UPPER(TRIM(INDEX(C_Pavement!$C$5:$C$204,$AQ420))))</f>
        <v/>
      </c>
      <c r="AS420" t="str">
        <f>IF($AR420="","",IFERROR(MATCH($AR420,E_Rules!$A$5:$A$9,0),""))</f>
        <v/>
      </c>
      <c r="AT420" t="str">
        <f>IF($AQ420="","",IF(INDEX(C_Pavement!$D$5:$D$204,$AQ420)&lt;&gt;"",UPPER(TRIM(INDEX(C_Pavement!$D$5:$D$204,$AQ420))),IF($AS420="","",INDEX(E_Rules!$C$5:$C$9,$AS420))))</f>
        <v/>
      </c>
      <c r="AU420" t="str">
        <f>IF($AQ420="","",IF(INDEX(C_Pavement!$E$5:$E$204,$AQ420)&lt;&gt;"",IF(INDEX(C_Pavement!$E$5:$E$204,$AQ420)="-","",INDEX(C_Pavement!$E$5:$E$204,$AQ420)),IF($AS420="","",INDEX(E_Rules!$D$5:$D$9,$AS420))))</f>
        <v/>
      </c>
      <c r="AV420" t="str">
        <f>IF($AQ420="","",IF(INDEX(C_Pavement!$F$5:$F$204,$AQ420)&lt;&gt;"",IF(INDEX(C_Pavement!$F$5:$F$204,$AQ420)="-","",INDEX(C_Pavement!$F$5:$F$204,$AQ420)),IF($AS420="","",INDEX(E_Rules!$E$5:$E$9,$AS420))))</f>
        <v/>
      </c>
      <c r="AW420" t="str">
        <f>IF($AQ420="","",IF(INDEX(C_Pavement!$G$5:$G$204,$AQ420)&lt;&gt;"",IF(INDEX(C_Pavement!$G$5:$G$204,$AQ420)="-","",INDEX(C_Pavement!$G$5:$G$204,$AQ420)),IF($AS420="","",INDEX(E_Rules!$F$5:$F$9,$AS420))))</f>
        <v/>
      </c>
      <c r="AX420" t="str">
        <f>IF($AQ420="","",IF(INDEX(C_Pavement!$H$5:$H$204,$AQ420)&lt;&gt;"",IF(INDEX(C_Pavement!$H$5:$H$204,$AQ420)="-","",INDEX(C_Pavement!$H$5:$H$204,$AQ420)),IF($AS420="","",INDEX(E_Rules!$G$5:$G$9,$AS420))))</f>
        <v/>
      </c>
      <c r="AY420" t="str">
        <f>IF($AQ420="","",IF(INDEX(C_Pavement!$I$5:$I$204,$AQ420)&lt;&gt;"",IF(INDEX(C_Pavement!$I$5:$I$204,$AQ420)="-","",INDEX(C_Pavement!$I$5:$I$204,$AQ420)),IF($AS420="","",INDEX(E_Rules!$H$5:$H$9,$AS420))))</f>
        <v/>
      </c>
    </row>
    <row r="421" spans="1:51" ht="15.75" customHeight="1" x14ac:dyDescent="0.3">
      <c r="A421" s="189">
        <v>416</v>
      </c>
      <c r="B421" s="180">
        <v>20750</v>
      </c>
      <c r="C421" s="180" t="s">
        <v>727</v>
      </c>
      <c r="D421" s="181" t="str">
        <f>IFERROR(LOOKUP(2,1/((A_Corridor!$A$5:$A$204&lt;&gt;"")*(A_Corridor!$A$5:$A$204&lt;=$B421)*(A_Corridor!$B$5:$B$204&gt;$B421)*(A_Corridor!$C$5:$C$204&lt;&gt;"")),IF(UPPER(A_Corridor!$C$5:$C$204)="Y",1,"")),"")</f>
        <v/>
      </c>
      <c r="E421" s="181" t="str">
        <f>IFERROR(LOOKUP(2,1/((A_Corridor!$A$5:$A$204&lt;&gt;"")*(A_Corridor!$A$5:$A$204&lt;=$B421)*(A_Corridor!$B$5:$B$204&gt;$B421)*(A_Corridor!$D$5:$D$204&lt;&gt;"")),IF(A_Corridor!$D$5:$D$204="-","",UPPER(A_Corridor!$D$5:$D$204))),"")</f>
        <v/>
      </c>
      <c r="F421" s="181" t="str">
        <f>IFERROR(LOOKUP(2,1/((A_Corridor!$A$5:$A$204&lt;&gt;"")*(A_Corridor!$A$5:$A$204&lt;=$B421)*(A_Corridor!$B$5:$B$204&gt;$B421)*(A_Corridor!$E$5:$E$204&lt;&gt;"")),IF(A_Corridor!$E$5:$E$204="-","",1)),"")</f>
        <v/>
      </c>
      <c r="G421" s="182" t="str">
        <f>IFERROR(LOOKUP(2,1/((A_Corridor!$A$5:$A$204&lt;&gt;"")*(A_Corridor!$A$5:$A$204&lt;=$B421)*(A_Corridor!$B$5:$B$204&gt;$B421)*(A_Corridor!$E$5:$E$204&lt;&gt;"")),IF(A_Corridor!$E$5:$E$204="-","",A_Corridor!$E$5:$E$204)),"")</f>
        <v/>
      </c>
      <c r="H421" s="182" t="str">
        <f>IFERROR(LOOKUP(2,1/((D_Points!$A$5:$A$204&lt;&gt;"")*(D_Points!$A$5:$A$204&gt;=$B421)*(D_Points!$A$5:$A$204&lt;$B421+P_Interval)*(UPPER(TRIM(D_Points!$B$5:$B$204))="GULLY")*(D_Points!$H$5:$H$204&lt;&gt;"")),D_Points!$H$5:$H$204),"")</f>
        <v/>
      </c>
      <c r="I421" s="181" t="str">
        <f>IFERROR(LOOKUP(2,1/((A_Corridor!$A$5:$A$204&lt;&gt;"")*(A_Corridor!$A$5:$A$204&lt;=$B421)*(A_Corridor!$B$5:$B$204&gt;$B421)*(A_Corridor!$F$5:$F$204&lt;&gt;"")),IF(A_Corridor!$F$5:$F$204="-","",1)),"")</f>
        <v/>
      </c>
      <c r="J421" s="182" t="str">
        <f>IFERROR(LOOKUP(2,1/((A_Corridor!$A$5:$A$204&lt;&gt;"")*(A_Corridor!$A$5:$A$204&lt;=$B421)*(A_Corridor!$B$5:$B$204&gt;$B421)*(A_Corridor!$F$5:$F$204&lt;&gt;"")),IF(A_Corridor!$F$5:$F$204="-","",A_Corridor!$F$5:$F$204)),"")</f>
        <v/>
      </c>
      <c r="K421" s="182" t="str">
        <f>IFERROR(LOOKUP(2,1/((A_Corridor!$A$5:$A$204&lt;&gt;"")*(A_Corridor!$A$5:$A$204&lt;=$B421)*(A_Corridor!$B$5:$B$204&gt;$B421)*(A_Corridor!$G$5:$G$204&lt;&gt;"")),IF(A_Corridor!$G$5:$G$204="-","",A_Corridor!$G$5:$G$204)),"")</f>
        <v/>
      </c>
      <c r="L421" s="181" t="str">
        <f>IFERROR(LOOKUP(2,1/((A_Corridor!$A$5:$A$204&lt;&gt;"")*(A_Corridor!$A$5:$A$204&lt;=$B421)*(A_Corridor!$B$5:$B$204&gt;$B421)*(A_Corridor!$H$5:$H$204&lt;&gt;"")),IF(A_Corridor!$H$5:$H$204="-","",1)),"")</f>
        <v/>
      </c>
      <c r="M421" s="182" t="str">
        <f>IFERROR(LOOKUP(2,1/((A_Corridor!$A$5:$A$204&lt;&gt;"")*(A_Corridor!$A$5:$A$204&lt;=$B421)*(A_Corridor!$B$5:$B$204&gt;$B421)*(A_Corridor!$H$5:$H$204&lt;&gt;"")),IF(A_Corridor!$H$5:$H$204="-","",A_Corridor!$H$5:$H$204)),"")</f>
        <v/>
      </c>
      <c r="N421" s="182" t="str">
        <f>IFERROR(LOOKUP(2,1/((A_Corridor!$A$5:$A$204&lt;&gt;"")*(A_Corridor!$A$5:$A$204&lt;=$B421)*(A_Corridor!$B$5:$B$204&gt;$B421)*(A_Corridor!$I$5:$I$204&lt;&gt;"")),IF(A_Corridor!$I$5:$I$204="-","",A_Corridor!$I$5:$I$204)),"")</f>
        <v/>
      </c>
      <c r="O421" s="182" t="str">
        <f>IFERROR(LOOKUP(2,1/((D_Points!$A$5:$A$204&lt;&gt;"")*(D_Points!$A$5:$A$204&gt;=$B421)*(D_Points!$A$5:$A$204&lt;$B421+P_Interval)*(UPPER(TRIM(D_Points!$B$5:$B$204))="PITCHING")*(D_Points!$H$5:$H$204&lt;&gt;"")),D_Points!$H$5:$H$204),"")</f>
        <v/>
      </c>
      <c r="P421" s="181" t="str">
        <f>IFERROR(LOOKUP(2,1/((B_Drainage!$A$5:$A$204&lt;&gt;"")*(B_Drainage!$A$5:$A$204&lt;=$B421)*(B_Drainage!$B$5:$B$204&gt;$B421)*(B_Drainage!$C$5:$C$204&lt;&gt;"")),IF(B_Drainage!$C$5:$C$204="-","",UPPER(B_Drainage!$C$5:$C$204))),"")</f>
        <v/>
      </c>
      <c r="Q421" s="181" t="str">
        <f>IFERROR(LOOKUP(2,1/((B_Drainage!$A$5:$A$204&lt;&gt;"")*(B_Drainage!$A$5:$A$204&lt;=$B421)*(B_Drainage!$B$5:$B$204&gt;$B421)*(B_Drainage!$D$5:$D$204&lt;&gt;"")),IF(B_Drainage!$D$5:$D$204="-","",UPPER(B_Drainage!$D$5:$D$204))),"")</f>
        <v/>
      </c>
      <c r="R421" s="182" t="str">
        <f>IFERROR(LOOKUP(2,1/((D_Points!$A$5:$A$204&lt;&gt;"")*(D_Points!$A$5:$A$204&gt;=$B421)*(D_Points!$A$5:$A$204&lt;$B421+P_Interval)*(RIGHT(UPPER(TRIM(D_Points!$B$5:$B$204)),8)="_CULVERT")),IF(LEFT(UPPER(TRIM(D_Points!$B$5:$B$204)),2)="EX",1,IF(LEFT(UPPER(TRIM(D_Points!$B$5:$B$204)),2)="PR",2,3))),"")</f>
        <v/>
      </c>
      <c r="S421" s="182" t="str">
        <f>IFERROR(LOOKUP(2,1/((D_Points!$A$5:$A$204&lt;&gt;"")*(D_Points!$A$5:$A$204&gt;=$B421)*(D_Points!$A$5:$A$204&lt;$B421+P_Interval)*(RIGHT(UPPER(TRIM(D_Points!$B$5:$B$204)),7)="_BRIDGE")),IF(LEFT(UPPER(TRIM(D_Points!$B$5:$B$204)),2)="EX",1,IF(LEFT(UPPER(TRIM(D_Points!$B$5:$B$204)),2)="PR",2,2))),"")</f>
        <v/>
      </c>
      <c r="T421" s="181" t="str">
        <f>IFERROR(LOOKUP(2,1/((B_Drainage!$A$5:$A$204&lt;&gt;"")*(B_Drainage!$A$5:$A$204&lt;=$B421)*(B_Drainage!$B$5:$B$204&gt;$B421)*(B_Drainage!$E$5:$E$204&lt;&gt;"")),IF(B_Drainage!$E$5:$E$204="-","",1)),"")</f>
        <v/>
      </c>
      <c r="U421" s="181" t="str">
        <f>IFERROR(LOOKUP(2,1/((B_Drainage!$A$5:$A$204&lt;&gt;"")*(B_Drainage!$A$5:$A$204&lt;=$B421)*(B_Drainage!$B$5:$B$204&gt;$B421)*(B_Drainage!$E$5:$E$204&lt;&gt;"")),IF(B_Drainage!$E$5:$E$204="-","",B_Drainage!$E$5:$E$204)),"")</f>
        <v/>
      </c>
      <c r="V421" s="181" t="str">
        <f>IFERROR(LOOKUP(2,1/((B_Drainage!$A$5:$A$204&lt;&gt;"")*(B_Drainage!$A$5:$A$204&lt;=$B421)*(B_Drainage!$B$5:$B$204&gt;$B421)*(B_Drainage!$F$5:$F$204&lt;&gt;"")),IF(B_Drainage!$F$5:$F$204="-","",1)),"")</f>
        <v/>
      </c>
      <c r="W421" s="181" t="str">
        <f>IFERROR(LOOKUP(2,1/((B_Drainage!$A$5:$A$204&lt;&gt;"")*(B_Drainage!$A$5:$A$204&lt;=$B421)*(B_Drainage!$B$5:$B$204&gt;$B421)*(B_Drainage!$F$5:$F$204&lt;&gt;"")),IF(B_Drainage!$F$5:$F$204="-","",B_Drainage!$F$5:$F$204)),"")</f>
        <v/>
      </c>
      <c r="X421" s="181" t="str">
        <f>IFERROR(LOOKUP(2,1/((B_Drainage!$A$5:$A$204&lt;&gt;"")*(B_Drainage!$A$5:$A$204&lt;=$B421)*(B_Drainage!$B$5:$B$204&gt;$B421)*(B_Drainage!$G$5:$G$204&lt;&gt;"")),IF(UPPER(B_Drainage!$G$5:$G$204)="Y",1,"")),"")</f>
        <v/>
      </c>
      <c r="Y421" s="181" t="str">
        <f>IFERROR(LOOKUP(2,1/((B_Drainage!$A$5:$A$204&lt;&gt;"")*(B_Drainage!$A$5:$A$204&lt;=$B421)*(B_Drainage!$B$5:$B$204&gt;$B421)*(B_Drainage!$H$5:$H$204&lt;&gt;"")),IF(UPPER(B_Drainage!$H$5:$H$204)="Y",1,"")),"")</f>
        <v/>
      </c>
      <c r="Z421" s="181" t="str">
        <f>IFERROR(LOOKUP(2,1/((B_Drainage!$A$5:$A$204&lt;&gt;"")*(B_Drainage!$A$5:$A$204&lt;=$B421)*(B_Drainage!$B$5:$B$204&gt;$B421)*(B_Drainage!$I$5:$I$204&lt;&gt;"")),IF(UPPER(B_Drainage!$I$5:$I$204)="Y",1,"")),"")</f>
        <v/>
      </c>
      <c r="AA421" s="181" t="str">
        <f>IFERROR(LOOKUP(2,1/((B_Drainage!$A$5:$A$204&lt;&gt;"")*(B_Drainage!$A$5:$A$204&lt;=$B421)*(B_Drainage!$B$5:$B$204&gt;$B421)*(B_Drainage!$J$5:$J$204&lt;&gt;"")),IF(UPPER(B_Drainage!$J$5:$J$204)="Y",1,"")),"")</f>
        <v/>
      </c>
      <c r="AB421" s="182" t="str">
        <f>IFERROR(LOOKUP(2,1/((B_Drainage!$A$5:$A$204&lt;&gt;"")*(B_Drainage!$A$5:$A$204&lt;=$B421)*(B_Drainage!$B$5:$B$204&gt;$B421)*(B_Drainage!$K$5:$K$204&lt;&gt;"")),IF(B_Drainage!$K$5:$K$204="-","",B_Drainage!$K$5:$K$204)),"")</f>
        <v/>
      </c>
      <c r="AC421" s="182" t="str">
        <f>IFERROR(LOOKUP(2,1/((B_Drainage!$A$5:$A$204&lt;&gt;"")*(B_Drainage!$A$5:$A$204&lt;=$B421)*(B_Drainage!$B$5:$B$204&gt;$B421)*(B_Drainage!$L$5:$L$204&lt;&gt;"")),IF(B_Drainage!$L$5:$L$204="-","",B_Drainage!$L$5:$L$204)),"")</f>
        <v/>
      </c>
      <c r="AD421" s="182" t="str">
        <f>IFERROR(LOOKUP(2,1/((D_Points!$A$5:$A$204&lt;&gt;"")*(D_Points!$A$5:$A$204&gt;=$B421)*(D_Points!$A$5:$A$204&lt;$B421+P_Interval)*(UPPER(TRIM(D_Points!$B$5:$B$204))="TURNOUT_L")*(D_Points!$H$5:$H$204&lt;&gt;"")),D_Points!$H$5:$H$204),"")</f>
        <v/>
      </c>
      <c r="AE421" s="182" t="str">
        <f>IFERROR(LOOKUP(2,1/((D_Points!$A$5:$A$204&lt;&gt;"")*(D_Points!$A$5:$A$204&gt;=$B421)*(D_Points!$A$5:$A$204&lt;$B421+P_Interval)*(UPPER(TRIM(D_Points!$B$5:$B$204))="TURNOUT_R")*(D_Points!$H$5:$H$204&lt;&gt;"")),D_Points!$H$5:$H$204),"")</f>
        <v/>
      </c>
      <c r="AF421" s="181" t="str">
        <f>IFERROR(LOOKUP(2,1/((B_Drainage!$A$5:$A$204&lt;&gt;"")*(B_Drainage!$A$5:$A$204&lt;=$B421)*(B_Drainage!$B$5:$B$204&gt;$B421)*(B_Drainage!$M$5:$M$204&lt;&gt;"")),IF(UPPER(B_Drainage!$M$5:$M$204)="Y",1,"")),"")</f>
        <v/>
      </c>
      <c r="AG421" s="181" t="str">
        <f>IFERROR(LOOKUP(2,1/((B_Drainage!$A$5:$A$204&lt;&gt;"")*(B_Drainage!$A$5:$A$204&lt;=$B421)*(B_Drainage!$B$5:$B$204&gt;$B421)*(B_Drainage!$N$5:$N$204&lt;&gt;"")),IF(UPPER(B_Drainage!$N$5:$N$204)="Y",1,"")),"")</f>
        <v/>
      </c>
      <c r="AH421" s="181" t="str">
        <f t="shared" si="48"/>
        <v/>
      </c>
      <c r="AI421" s="181" t="str">
        <f t="shared" si="49"/>
        <v/>
      </c>
      <c r="AJ421" s="181" t="str">
        <f t="shared" si="50"/>
        <v/>
      </c>
      <c r="AK421" s="181" t="str">
        <f t="shared" si="51"/>
        <v/>
      </c>
      <c r="AL421" s="181" t="str">
        <f t="shared" si="52"/>
        <v/>
      </c>
      <c r="AM421" s="181" t="str">
        <f t="shared" si="53"/>
        <v/>
      </c>
      <c r="AN421" s="181" t="str">
        <f t="shared" si="54"/>
        <v/>
      </c>
      <c r="AO421" s="192" t="str">
        <f t="shared" si="55"/>
        <v/>
      </c>
      <c r="AQ421" t="str">
        <f>IFERROR(LOOKUP(2,1/((C_Pavement!$A$5:$A$204&lt;&gt;"")*(C_Pavement!$A$5:$A$204&lt;=$B421)*(C_Pavement!$B$5:$B$204&gt;$B421)*(C_Pavement!$C$5:$C$204&lt;&gt;"")),ROW(C_Pavement!$C$5:$C$204)-4),"")</f>
        <v/>
      </c>
      <c r="AR421" t="str">
        <f>IF($AQ421="","",UPPER(TRIM(INDEX(C_Pavement!$C$5:$C$204,$AQ421))))</f>
        <v/>
      </c>
      <c r="AS421" t="str">
        <f>IF($AR421="","",IFERROR(MATCH($AR421,E_Rules!$A$5:$A$9,0),""))</f>
        <v/>
      </c>
      <c r="AT421" t="str">
        <f>IF($AQ421="","",IF(INDEX(C_Pavement!$D$5:$D$204,$AQ421)&lt;&gt;"",UPPER(TRIM(INDEX(C_Pavement!$D$5:$D$204,$AQ421))),IF($AS421="","",INDEX(E_Rules!$C$5:$C$9,$AS421))))</f>
        <v/>
      </c>
      <c r="AU421" t="str">
        <f>IF($AQ421="","",IF(INDEX(C_Pavement!$E$5:$E$204,$AQ421)&lt;&gt;"",IF(INDEX(C_Pavement!$E$5:$E$204,$AQ421)="-","",INDEX(C_Pavement!$E$5:$E$204,$AQ421)),IF($AS421="","",INDEX(E_Rules!$D$5:$D$9,$AS421))))</f>
        <v/>
      </c>
      <c r="AV421" t="str">
        <f>IF($AQ421="","",IF(INDEX(C_Pavement!$F$5:$F$204,$AQ421)&lt;&gt;"",IF(INDEX(C_Pavement!$F$5:$F$204,$AQ421)="-","",INDEX(C_Pavement!$F$5:$F$204,$AQ421)),IF($AS421="","",INDEX(E_Rules!$E$5:$E$9,$AS421))))</f>
        <v/>
      </c>
      <c r="AW421" t="str">
        <f>IF($AQ421="","",IF(INDEX(C_Pavement!$G$5:$G$204,$AQ421)&lt;&gt;"",IF(INDEX(C_Pavement!$G$5:$G$204,$AQ421)="-","",INDEX(C_Pavement!$G$5:$G$204,$AQ421)),IF($AS421="","",INDEX(E_Rules!$F$5:$F$9,$AS421))))</f>
        <v/>
      </c>
      <c r="AX421" t="str">
        <f>IF($AQ421="","",IF(INDEX(C_Pavement!$H$5:$H$204,$AQ421)&lt;&gt;"",IF(INDEX(C_Pavement!$H$5:$H$204,$AQ421)="-","",INDEX(C_Pavement!$H$5:$H$204,$AQ421)),IF($AS421="","",INDEX(E_Rules!$G$5:$G$9,$AS421))))</f>
        <v/>
      </c>
      <c r="AY421" t="str">
        <f>IF($AQ421="","",IF(INDEX(C_Pavement!$I$5:$I$204,$AQ421)&lt;&gt;"",IF(INDEX(C_Pavement!$I$5:$I$204,$AQ421)="-","",INDEX(C_Pavement!$I$5:$I$204,$AQ421)),IF($AS421="","",INDEX(E_Rules!$H$5:$H$9,$AS421))))</f>
        <v/>
      </c>
    </row>
    <row r="422" spans="1:51" ht="15.75" customHeight="1" x14ac:dyDescent="0.3">
      <c r="A422" s="189">
        <v>417</v>
      </c>
      <c r="B422" s="180">
        <v>20800</v>
      </c>
      <c r="C422" s="180" t="s">
        <v>728</v>
      </c>
      <c r="D422" s="181" t="str">
        <f>IFERROR(LOOKUP(2,1/((A_Corridor!$A$5:$A$204&lt;&gt;"")*(A_Corridor!$A$5:$A$204&lt;=$B422)*(A_Corridor!$B$5:$B$204&gt;$B422)*(A_Corridor!$C$5:$C$204&lt;&gt;"")),IF(UPPER(A_Corridor!$C$5:$C$204)="Y",1,"")),"")</f>
        <v/>
      </c>
      <c r="E422" s="181" t="str">
        <f>IFERROR(LOOKUP(2,1/((A_Corridor!$A$5:$A$204&lt;&gt;"")*(A_Corridor!$A$5:$A$204&lt;=$B422)*(A_Corridor!$B$5:$B$204&gt;$B422)*(A_Corridor!$D$5:$D$204&lt;&gt;"")),IF(A_Corridor!$D$5:$D$204="-","",UPPER(A_Corridor!$D$5:$D$204))),"")</f>
        <v/>
      </c>
      <c r="F422" s="181" t="str">
        <f>IFERROR(LOOKUP(2,1/((A_Corridor!$A$5:$A$204&lt;&gt;"")*(A_Corridor!$A$5:$A$204&lt;=$B422)*(A_Corridor!$B$5:$B$204&gt;$B422)*(A_Corridor!$E$5:$E$204&lt;&gt;"")),IF(A_Corridor!$E$5:$E$204="-","",1)),"")</f>
        <v/>
      </c>
      <c r="G422" s="182" t="str">
        <f>IFERROR(LOOKUP(2,1/((A_Corridor!$A$5:$A$204&lt;&gt;"")*(A_Corridor!$A$5:$A$204&lt;=$B422)*(A_Corridor!$B$5:$B$204&gt;$B422)*(A_Corridor!$E$5:$E$204&lt;&gt;"")),IF(A_Corridor!$E$5:$E$204="-","",A_Corridor!$E$5:$E$204)),"")</f>
        <v/>
      </c>
      <c r="H422" s="182" t="str">
        <f>IFERROR(LOOKUP(2,1/((D_Points!$A$5:$A$204&lt;&gt;"")*(D_Points!$A$5:$A$204&gt;=$B422)*(D_Points!$A$5:$A$204&lt;$B422+P_Interval)*(UPPER(TRIM(D_Points!$B$5:$B$204))="GULLY")*(D_Points!$H$5:$H$204&lt;&gt;"")),D_Points!$H$5:$H$204),"")</f>
        <v/>
      </c>
      <c r="I422" s="181" t="str">
        <f>IFERROR(LOOKUP(2,1/((A_Corridor!$A$5:$A$204&lt;&gt;"")*(A_Corridor!$A$5:$A$204&lt;=$B422)*(A_Corridor!$B$5:$B$204&gt;$B422)*(A_Corridor!$F$5:$F$204&lt;&gt;"")),IF(A_Corridor!$F$5:$F$204="-","",1)),"")</f>
        <v/>
      </c>
      <c r="J422" s="182" t="str">
        <f>IFERROR(LOOKUP(2,1/((A_Corridor!$A$5:$A$204&lt;&gt;"")*(A_Corridor!$A$5:$A$204&lt;=$B422)*(A_Corridor!$B$5:$B$204&gt;$B422)*(A_Corridor!$F$5:$F$204&lt;&gt;"")),IF(A_Corridor!$F$5:$F$204="-","",A_Corridor!$F$5:$F$204)),"")</f>
        <v/>
      </c>
      <c r="K422" s="182" t="str">
        <f>IFERROR(LOOKUP(2,1/((A_Corridor!$A$5:$A$204&lt;&gt;"")*(A_Corridor!$A$5:$A$204&lt;=$B422)*(A_Corridor!$B$5:$B$204&gt;$B422)*(A_Corridor!$G$5:$G$204&lt;&gt;"")),IF(A_Corridor!$G$5:$G$204="-","",A_Corridor!$G$5:$G$204)),"")</f>
        <v/>
      </c>
      <c r="L422" s="181" t="str">
        <f>IFERROR(LOOKUP(2,1/((A_Corridor!$A$5:$A$204&lt;&gt;"")*(A_Corridor!$A$5:$A$204&lt;=$B422)*(A_Corridor!$B$5:$B$204&gt;$B422)*(A_Corridor!$H$5:$H$204&lt;&gt;"")),IF(A_Corridor!$H$5:$H$204="-","",1)),"")</f>
        <v/>
      </c>
      <c r="M422" s="182" t="str">
        <f>IFERROR(LOOKUP(2,1/((A_Corridor!$A$5:$A$204&lt;&gt;"")*(A_Corridor!$A$5:$A$204&lt;=$B422)*(A_Corridor!$B$5:$B$204&gt;$B422)*(A_Corridor!$H$5:$H$204&lt;&gt;"")),IF(A_Corridor!$H$5:$H$204="-","",A_Corridor!$H$5:$H$204)),"")</f>
        <v/>
      </c>
      <c r="N422" s="182" t="str">
        <f>IFERROR(LOOKUP(2,1/((A_Corridor!$A$5:$A$204&lt;&gt;"")*(A_Corridor!$A$5:$A$204&lt;=$B422)*(A_Corridor!$B$5:$B$204&gt;$B422)*(A_Corridor!$I$5:$I$204&lt;&gt;"")),IF(A_Corridor!$I$5:$I$204="-","",A_Corridor!$I$5:$I$204)),"")</f>
        <v/>
      </c>
      <c r="O422" s="182" t="str">
        <f>IFERROR(LOOKUP(2,1/((D_Points!$A$5:$A$204&lt;&gt;"")*(D_Points!$A$5:$A$204&gt;=$B422)*(D_Points!$A$5:$A$204&lt;$B422+P_Interval)*(UPPER(TRIM(D_Points!$B$5:$B$204))="PITCHING")*(D_Points!$H$5:$H$204&lt;&gt;"")),D_Points!$H$5:$H$204),"")</f>
        <v/>
      </c>
      <c r="P422" s="181" t="str">
        <f>IFERROR(LOOKUP(2,1/((B_Drainage!$A$5:$A$204&lt;&gt;"")*(B_Drainage!$A$5:$A$204&lt;=$B422)*(B_Drainage!$B$5:$B$204&gt;$B422)*(B_Drainage!$C$5:$C$204&lt;&gt;"")),IF(B_Drainage!$C$5:$C$204="-","",UPPER(B_Drainage!$C$5:$C$204))),"")</f>
        <v/>
      </c>
      <c r="Q422" s="181" t="str">
        <f>IFERROR(LOOKUP(2,1/((B_Drainage!$A$5:$A$204&lt;&gt;"")*(B_Drainage!$A$5:$A$204&lt;=$B422)*(B_Drainage!$B$5:$B$204&gt;$B422)*(B_Drainage!$D$5:$D$204&lt;&gt;"")),IF(B_Drainage!$D$5:$D$204="-","",UPPER(B_Drainage!$D$5:$D$204))),"")</f>
        <v/>
      </c>
      <c r="R422" s="182" t="str">
        <f>IFERROR(LOOKUP(2,1/((D_Points!$A$5:$A$204&lt;&gt;"")*(D_Points!$A$5:$A$204&gt;=$B422)*(D_Points!$A$5:$A$204&lt;$B422+P_Interval)*(RIGHT(UPPER(TRIM(D_Points!$B$5:$B$204)),8)="_CULVERT")),IF(LEFT(UPPER(TRIM(D_Points!$B$5:$B$204)),2)="EX",1,IF(LEFT(UPPER(TRIM(D_Points!$B$5:$B$204)),2)="PR",2,3))),"")</f>
        <v/>
      </c>
      <c r="S422" s="182" t="str">
        <f>IFERROR(LOOKUP(2,1/((D_Points!$A$5:$A$204&lt;&gt;"")*(D_Points!$A$5:$A$204&gt;=$B422)*(D_Points!$A$5:$A$204&lt;$B422+P_Interval)*(RIGHT(UPPER(TRIM(D_Points!$B$5:$B$204)),7)="_BRIDGE")),IF(LEFT(UPPER(TRIM(D_Points!$B$5:$B$204)),2)="EX",1,IF(LEFT(UPPER(TRIM(D_Points!$B$5:$B$204)),2)="PR",2,2))),"")</f>
        <v/>
      </c>
      <c r="T422" s="181" t="str">
        <f>IFERROR(LOOKUP(2,1/((B_Drainage!$A$5:$A$204&lt;&gt;"")*(B_Drainage!$A$5:$A$204&lt;=$B422)*(B_Drainage!$B$5:$B$204&gt;$B422)*(B_Drainage!$E$5:$E$204&lt;&gt;"")),IF(B_Drainage!$E$5:$E$204="-","",1)),"")</f>
        <v/>
      </c>
      <c r="U422" s="181" t="str">
        <f>IFERROR(LOOKUP(2,1/((B_Drainage!$A$5:$A$204&lt;&gt;"")*(B_Drainage!$A$5:$A$204&lt;=$B422)*(B_Drainage!$B$5:$B$204&gt;$B422)*(B_Drainage!$E$5:$E$204&lt;&gt;"")),IF(B_Drainage!$E$5:$E$204="-","",B_Drainage!$E$5:$E$204)),"")</f>
        <v/>
      </c>
      <c r="V422" s="181" t="str">
        <f>IFERROR(LOOKUP(2,1/((B_Drainage!$A$5:$A$204&lt;&gt;"")*(B_Drainage!$A$5:$A$204&lt;=$B422)*(B_Drainage!$B$5:$B$204&gt;$B422)*(B_Drainage!$F$5:$F$204&lt;&gt;"")),IF(B_Drainage!$F$5:$F$204="-","",1)),"")</f>
        <v/>
      </c>
      <c r="W422" s="181" t="str">
        <f>IFERROR(LOOKUP(2,1/((B_Drainage!$A$5:$A$204&lt;&gt;"")*(B_Drainage!$A$5:$A$204&lt;=$B422)*(B_Drainage!$B$5:$B$204&gt;$B422)*(B_Drainage!$F$5:$F$204&lt;&gt;"")),IF(B_Drainage!$F$5:$F$204="-","",B_Drainage!$F$5:$F$204)),"")</f>
        <v/>
      </c>
      <c r="X422" s="181" t="str">
        <f>IFERROR(LOOKUP(2,1/((B_Drainage!$A$5:$A$204&lt;&gt;"")*(B_Drainage!$A$5:$A$204&lt;=$B422)*(B_Drainage!$B$5:$B$204&gt;$B422)*(B_Drainage!$G$5:$G$204&lt;&gt;"")),IF(UPPER(B_Drainage!$G$5:$G$204)="Y",1,"")),"")</f>
        <v/>
      </c>
      <c r="Y422" s="181" t="str">
        <f>IFERROR(LOOKUP(2,1/((B_Drainage!$A$5:$A$204&lt;&gt;"")*(B_Drainage!$A$5:$A$204&lt;=$B422)*(B_Drainage!$B$5:$B$204&gt;$B422)*(B_Drainage!$H$5:$H$204&lt;&gt;"")),IF(UPPER(B_Drainage!$H$5:$H$204)="Y",1,"")),"")</f>
        <v/>
      </c>
      <c r="Z422" s="181" t="str">
        <f>IFERROR(LOOKUP(2,1/((B_Drainage!$A$5:$A$204&lt;&gt;"")*(B_Drainage!$A$5:$A$204&lt;=$B422)*(B_Drainage!$B$5:$B$204&gt;$B422)*(B_Drainage!$I$5:$I$204&lt;&gt;"")),IF(UPPER(B_Drainage!$I$5:$I$204)="Y",1,"")),"")</f>
        <v/>
      </c>
      <c r="AA422" s="181" t="str">
        <f>IFERROR(LOOKUP(2,1/((B_Drainage!$A$5:$A$204&lt;&gt;"")*(B_Drainage!$A$5:$A$204&lt;=$B422)*(B_Drainage!$B$5:$B$204&gt;$B422)*(B_Drainage!$J$5:$J$204&lt;&gt;"")),IF(UPPER(B_Drainage!$J$5:$J$204)="Y",1,"")),"")</f>
        <v/>
      </c>
      <c r="AB422" s="182" t="str">
        <f>IFERROR(LOOKUP(2,1/((B_Drainage!$A$5:$A$204&lt;&gt;"")*(B_Drainage!$A$5:$A$204&lt;=$B422)*(B_Drainage!$B$5:$B$204&gt;$B422)*(B_Drainage!$K$5:$K$204&lt;&gt;"")),IF(B_Drainage!$K$5:$K$204="-","",B_Drainage!$K$5:$K$204)),"")</f>
        <v/>
      </c>
      <c r="AC422" s="182" t="str">
        <f>IFERROR(LOOKUP(2,1/((B_Drainage!$A$5:$A$204&lt;&gt;"")*(B_Drainage!$A$5:$A$204&lt;=$B422)*(B_Drainage!$B$5:$B$204&gt;$B422)*(B_Drainage!$L$5:$L$204&lt;&gt;"")),IF(B_Drainage!$L$5:$L$204="-","",B_Drainage!$L$5:$L$204)),"")</f>
        <v/>
      </c>
      <c r="AD422" s="182" t="str">
        <f>IFERROR(LOOKUP(2,1/((D_Points!$A$5:$A$204&lt;&gt;"")*(D_Points!$A$5:$A$204&gt;=$B422)*(D_Points!$A$5:$A$204&lt;$B422+P_Interval)*(UPPER(TRIM(D_Points!$B$5:$B$204))="TURNOUT_L")*(D_Points!$H$5:$H$204&lt;&gt;"")),D_Points!$H$5:$H$204),"")</f>
        <v/>
      </c>
      <c r="AE422" s="182" t="str">
        <f>IFERROR(LOOKUP(2,1/((D_Points!$A$5:$A$204&lt;&gt;"")*(D_Points!$A$5:$A$204&gt;=$B422)*(D_Points!$A$5:$A$204&lt;$B422+P_Interval)*(UPPER(TRIM(D_Points!$B$5:$B$204))="TURNOUT_R")*(D_Points!$H$5:$H$204&lt;&gt;"")),D_Points!$H$5:$H$204),"")</f>
        <v/>
      </c>
      <c r="AF422" s="181" t="str">
        <f>IFERROR(LOOKUP(2,1/((B_Drainage!$A$5:$A$204&lt;&gt;"")*(B_Drainage!$A$5:$A$204&lt;=$B422)*(B_Drainage!$B$5:$B$204&gt;$B422)*(B_Drainage!$M$5:$M$204&lt;&gt;"")),IF(UPPER(B_Drainage!$M$5:$M$204)="Y",1,"")),"")</f>
        <v/>
      </c>
      <c r="AG422" s="181" t="str">
        <f>IFERROR(LOOKUP(2,1/((B_Drainage!$A$5:$A$204&lt;&gt;"")*(B_Drainage!$A$5:$A$204&lt;=$B422)*(B_Drainage!$B$5:$B$204&gt;$B422)*(B_Drainage!$N$5:$N$204&lt;&gt;"")),IF(UPPER(B_Drainage!$N$5:$N$204)="Y",1,"")),"")</f>
        <v/>
      </c>
      <c r="AH422" s="181" t="str">
        <f t="shared" si="48"/>
        <v/>
      </c>
      <c r="AI422" s="181" t="str">
        <f t="shared" si="49"/>
        <v/>
      </c>
      <c r="AJ422" s="181" t="str">
        <f t="shared" si="50"/>
        <v/>
      </c>
      <c r="AK422" s="181" t="str">
        <f t="shared" si="51"/>
        <v/>
      </c>
      <c r="AL422" s="181" t="str">
        <f t="shared" si="52"/>
        <v/>
      </c>
      <c r="AM422" s="181" t="str">
        <f t="shared" si="53"/>
        <v/>
      </c>
      <c r="AN422" s="181" t="str">
        <f t="shared" si="54"/>
        <v/>
      </c>
      <c r="AO422" s="192" t="str">
        <f t="shared" si="55"/>
        <v/>
      </c>
      <c r="AQ422" t="str">
        <f>IFERROR(LOOKUP(2,1/((C_Pavement!$A$5:$A$204&lt;&gt;"")*(C_Pavement!$A$5:$A$204&lt;=$B422)*(C_Pavement!$B$5:$B$204&gt;$B422)*(C_Pavement!$C$5:$C$204&lt;&gt;"")),ROW(C_Pavement!$C$5:$C$204)-4),"")</f>
        <v/>
      </c>
      <c r="AR422" t="str">
        <f>IF($AQ422="","",UPPER(TRIM(INDEX(C_Pavement!$C$5:$C$204,$AQ422))))</f>
        <v/>
      </c>
      <c r="AS422" t="str">
        <f>IF($AR422="","",IFERROR(MATCH($AR422,E_Rules!$A$5:$A$9,0),""))</f>
        <v/>
      </c>
      <c r="AT422" t="str">
        <f>IF($AQ422="","",IF(INDEX(C_Pavement!$D$5:$D$204,$AQ422)&lt;&gt;"",UPPER(TRIM(INDEX(C_Pavement!$D$5:$D$204,$AQ422))),IF($AS422="","",INDEX(E_Rules!$C$5:$C$9,$AS422))))</f>
        <v/>
      </c>
      <c r="AU422" t="str">
        <f>IF($AQ422="","",IF(INDEX(C_Pavement!$E$5:$E$204,$AQ422)&lt;&gt;"",IF(INDEX(C_Pavement!$E$5:$E$204,$AQ422)="-","",INDEX(C_Pavement!$E$5:$E$204,$AQ422)),IF($AS422="","",INDEX(E_Rules!$D$5:$D$9,$AS422))))</f>
        <v/>
      </c>
      <c r="AV422" t="str">
        <f>IF($AQ422="","",IF(INDEX(C_Pavement!$F$5:$F$204,$AQ422)&lt;&gt;"",IF(INDEX(C_Pavement!$F$5:$F$204,$AQ422)="-","",INDEX(C_Pavement!$F$5:$F$204,$AQ422)),IF($AS422="","",INDEX(E_Rules!$E$5:$E$9,$AS422))))</f>
        <v/>
      </c>
      <c r="AW422" t="str">
        <f>IF($AQ422="","",IF(INDEX(C_Pavement!$G$5:$G$204,$AQ422)&lt;&gt;"",IF(INDEX(C_Pavement!$G$5:$G$204,$AQ422)="-","",INDEX(C_Pavement!$G$5:$G$204,$AQ422)),IF($AS422="","",INDEX(E_Rules!$F$5:$F$9,$AS422))))</f>
        <v/>
      </c>
      <c r="AX422" t="str">
        <f>IF($AQ422="","",IF(INDEX(C_Pavement!$H$5:$H$204,$AQ422)&lt;&gt;"",IF(INDEX(C_Pavement!$H$5:$H$204,$AQ422)="-","",INDEX(C_Pavement!$H$5:$H$204,$AQ422)),IF($AS422="","",INDEX(E_Rules!$G$5:$G$9,$AS422))))</f>
        <v/>
      </c>
      <c r="AY422" t="str">
        <f>IF($AQ422="","",IF(INDEX(C_Pavement!$I$5:$I$204,$AQ422)&lt;&gt;"",IF(INDEX(C_Pavement!$I$5:$I$204,$AQ422)="-","",INDEX(C_Pavement!$I$5:$I$204,$AQ422)),IF($AS422="","",INDEX(E_Rules!$H$5:$H$9,$AS422))))</f>
        <v/>
      </c>
    </row>
    <row r="423" spans="1:51" ht="15.75" customHeight="1" x14ac:dyDescent="0.3">
      <c r="A423" s="189">
        <v>418</v>
      </c>
      <c r="B423" s="180">
        <v>20850</v>
      </c>
      <c r="C423" s="180" t="s">
        <v>729</v>
      </c>
      <c r="D423" s="181" t="str">
        <f>IFERROR(LOOKUP(2,1/((A_Corridor!$A$5:$A$204&lt;&gt;"")*(A_Corridor!$A$5:$A$204&lt;=$B423)*(A_Corridor!$B$5:$B$204&gt;$B423)*(A_Corridor!$C$5:$C$204&lt;&gt;"")),IF(UPPER(A_Corridor!$C$5:$C$204)="Y",1,"")),"")</f>
        <v/>
      </c>
      <c r="E423" s="181" t="str">
        <f>IFERROR(LOOKUP(2,1/((A_Corridor!$A$5:$A$204&lt;&gt;"")*(A_Corridor!$A$5:$A$204&lt;=$B423)*(A_Corridor!$B$5:$B$204&gt;$B423)*(A_Corridor!$D$5:$D$204&lt;&gt;"")),IF(A_Corridor!$D$5:$D$204="-","",UPPER(A_Corridor!$D$5:$D$204))),"")</f>
        <v/>
      </c>
      <c r="F423" s="181" t="str">
        <f>IFERROR(LOOKUP(2,1/((A_Corridor!$A$5:$A$204&lt;&gt;"")*(A_Corridor!$A$5:$A$204&lt;=$B423)*(A_Corridor!$B$5:$B$204&gt;$B423)*(A_Corridor!$E$5:$E$204&lt;&gt;"")),IF(A_Corridor!$E$5:$E$204="-","",1)),"")</f>
        <v/>
      </c>
      <c r="G423" s="182" t="str">
        <f>IFERROR(LOOKUP(2,1/((A_Corridor!$A$5:$A$204&lt;&gt;"")*(A_Corridor!$A$5:$A$204&lt;=$B423)*(A_Corridor!$B$5:$B$204&gt;$B423)*(A_Corridor!$E$5:$E$204&lt;&gt;"")),IF(A_Corridor!$E$5:$E$204="-","",A_Corridor!$E$5:$E$204)),"")</f>
        <v/>
      </c>
      <c r="H423" s="182" t="str">
        <f>IFERROR(LOOKUP(2,1/((D_Points!$A$5:$A$204&lt;&gt;"")*(D_Points!$A$5:$A$204&gt;=$B423)*(D_Points!$A$5:$A$204&lt;$B423+P_Interval)*(UPPER(TRIM(D_Points!$B$5:$B$204))="GULLY")*(D_Points!$H$5:$H$204&lt;&gt;"")),D_Points!$H$5:$H$204),"")</f>
        <v/>
      </c>
      <c r="I423" s="181" t="str">
        <f>IFERROR(LOOKUP(2,1/((A_Corridor!$A$5:$A$204&lt;&gt;"")*(A_Corridor!$A$5:$A$204&lt;=$B423)*(A_Corridor!$B$5:$B$204&gt;$B423)*(A_Corridor!$F$5:$F$204&lt;&gt;"")),IF(A_Corridor!$F$5:$F$204="-","",1)),"")</f>
        <v/>
      </c>
      <c r="J423" s="182" t="str">
        <f>IFERROR(LOOKUP(2,1/((A_Corridor!$A$5:$A$204&lt;&gt;"")*(A_Corridor!$A$5:$A$204&lt;=$B423)*(A_Corridor!$B$5:$B$204&gt;$B423)*(A_Corridor!$F$5:$F$204&lt;&gt;"")),IF(A_Corridor!$F$5:$F$204="-","",A_Corridor!$F$5:$F$204)),"")</f>
        <v/>
      </c>
      <c r="K423" s="182" t="str">
        <f>IFERROR(LOOKUP(2,1/((A_Corridor!$A$5:$A$204&lt;&gt;"")*(A_Corridor!$A$5:$A$204&lt;=$B423)*(A_Corridor!$B$5:$B$204&gt;$B423)*(A_Corridor!$G$5:$G$204&lt;&gt;"")),IF(A_Corridor!$G$5:$G$204="-","",A_Corridor!$G$5:$G$204)),"")</f>
        <v/>
      </c>
      <c r="L423" s="181" t="str">
        <f>IFERROR(LOOKUP(2,1/((A_Corridor!$A$5:$A$204&lt;&gt;"")*(A_Corridor!$A$5:$A$204&lt;=$B423)*(A_Corridor!$B$5:$B$204&gt;$B423)*(A_Corridor!$H$5:$H$204&lt;&gt;"")),IF(A_Corridor!$H$5:$H$204="-","",1)),"")</f>
        <v/>
      </c>
      <c r="M423" s="182" t="str">
        <f>IFERROR(LOOKUP(2,1/((A_Corridor!$A$5:$A$204&lt;&gt;"")*(A_Corridor!$A$5:$A$204&lt;=$B423)*(A_Corridor!$B$5:$B$204&gt;$B423)*(A_Corridor!$H$5:$H$204&lt;&gt;"")),IF(A_Corridor!$H$5:$H$204="-","",A_Corridor!$H$5:$H$204)),"")</f>
        <v/>
      </c>
      <c r="N423" s="182" t="str">
        <f>IFERROR(LOOKUP(2,1/((A_Corridor!$A$5:$A$204&lt;&gt;"")*(A_Corridor!$A$5:$A$204&lt;=$B423)*(A_Corridor!$B$5:$B$204&gt;$B423)*(A_Corridor!$I$5:$I$204&lt;&gt;"")),IF(A_Corridor!$I$5:$I$204="-","",A_Corridor!$I$5:$I$204)),"")</f>
        <v/>
      </c>
      <c r="O423" s="182" t="str">
        <f>IFERROR(LOOKUP(2,1/((D_Points!$A$5:$A$204&lt;&gt;"")*(D_Points!$A$5:$A$204&gt;=$B423)*(D_Points!$A$5:$A$204&lt;$B423+P_Interval)*(UPPER(TRIM(D_Points!$B$5:$B$204))="PITCHING")*(D_Points!$H$5:$H$204&lt;&gt;"")),D_Points!$H$5:$H$204),"")</f>
        <v/>
      </c>
      <c r="P423" s="181" t="str">
        <f>IFERROR(LOOKUP(2,1/((B_Drainage!$A$5:$A$204&lt;&gt;"")*(B_Drainage!$A$5:$A$204&lt;=$B423)*(B_Drainage!$B$5:$B$204&gt;$B423)*(B_Drainage!$C$5:$C$204&lt;&gt;"")),IF(B_Drainage!$C$5:$C$204="-","",UPPER(B_Drainage!$C$5:$C$204))),"")</f>
        <v/>
      </c>
      <c r="Q423" s="181" t="str">
        <f>IFERROR(LOOKUP(2,1/((B_Drainage!$A$5:$A$204&lt;&gt;"")*(B_Drainage!$A$5:$A$204&lt;=$B423)*(B_Drainage!$B$5:$B$204&gt;$B423)*(B_Drainage!$D$5:$D$204&lt;&gt;"")),IF(B_Drainage!$D$5:$D$204="-","",UPPER(B_Drainage!$D$5:$D$204))),"")</f>
        <v/>
      </c>
      <c r="R423" s="182" t="str">
        <f>IFERROR(LOOKUP(2,1/((D_Points!$A$5:$A$204&lt;&gt;"")*(D_Points!$A$5:$A$204&gt;=$B423)*(D_Points!$A$5:$A$204&lt;$B423+P_Interval)*(RIGHT(UPPER(TRIM(D_Points!$B$5:$B$204)),8)="_CULVERT")),IF(LEFT(UPPER(TRIM(D_Points!$B$5:$B$204)),2)="EX",1,IF(LEFT(UPPER(TRIM(D_Points!$B$5:$B$204)),2)="PR",2,3))),"")</f>
        <v/>
      </c>
      <c r="S423" s="182" t="str">
        <f>IFERROR(LOOKUP(2,1/((D_Points!$A$5:$A$204&lt;&gt;"")*(D_Points!$A$5:$A$204&gt;=$B423)*(D_Points!$A$5:$A$204&lt;$B423+P_Interval)*(RIGHT(UPPER(TRIM(D_Points!$B$5:$B$204)),7)="_BRIDGE")),IF(LEFT(UPPER(TRIM(D_Points!$B$5:$B$204)),2)="EX",1,IF(LEFT(UPPER(TRIM(D_Points!$B$5:$B$204)),2)="PR",2,2))),"")</f>
        <v/>
      </c>
      <c r="T423" s="181" t="str">
        <f>IFERROR(LOOKUP(2,1/((B_Drainage!$A$5:$A$204&lt;&gt;"")*(B_Drainage!$A$5:$A$204&lt;=$B423)*(B_Drainage!$B$5:$B$204&gt;$B423)*(B_Drainage!$E$5:$E$204&lt;&gt;"")),IF(B_Drainage!$E$5:$E$204="-","",1)),"")</f>
        <v/>
      </c>
      <c r="U423" s="181" t="str">
        <f>IFERROR(LOOKUP(2,1/((B_Drainage!$A$5:$A$204&lt;&gt;"")*(B_Drainage!$A$5:$A$204&lt;=$B423)*(B_Drainage!$B$5:$B$204&gt;$B423)*(B_Drainage!$E$5:$E$204&lt;&gt;"")),IF(B_Drainage!$E$5:$E$204="-","",B_Drainage!$E$5:$E$204)),"")</f>
        <v/>
      </c>
      <c r="V423" s="181" t="str">
        <f>IFERROR(LOOKUP(2,1/((B_Drainage!$A$5:$A$204&lt;&gt;"")*(B_Drainage!$A$5:$A$204&lt;=$B423)*(B_Drainage!$B$5:$B$204&gt;$B423)*(B_Drainage!$F$5:$F$204&lt;&gt;"")),IF(B_Drainage!$F$5:$F$204="-","",1)),"")</f>
        <v/>
      </c>
      <c r="W423" s="181" t="str">
        <f>IFERROR(LOOKUP(2,1/((B_Drainage!$A$5:$A$204&lt;&gt;"")*(B_Drainage!$A$5:$A$204&lt;=$B423)*(B_Drainage!$B$5:$B$204&gt;$B423)*(B_Drainage!$F$5:$F$204&lt;&gt;"")),IF(B_Drainage!$F$5:$F$204="-","",B_Drainage!$F$5:$F$204)),"")</f>
        <v/>
      </c>
      <c r="X423" s="181" t="str">
        <f>IFERROR(LOOKUP(2,1/((B_Drainage!$A$5:$A$204&lt;&gt;"")*(B_Drainage!$A$5:$A$204&lt;=$B423)*(B_Drainage!$B$5:$B$204&gt;$B423)*(B_Drainage!$G$5:$G$204&lt;&gt;"")),IF(UPPER(B_Drainage!$G$5:$G$204)="Y",1,"")),"")</f>
        <v/>
      </c>
      <c r="Y423" s="181" t="str">
        <f>IFERROR(LOOKUP(2,1/((B_Drainage!$A$5:$A$204&lt;&gt;"")*(B_Drainage!$A$5:$A$204&lt;=$B423)*(B_Drainage!$B$5:$B$204&gt;$B423)*(B_Drainage!$H$5:$H$204&lt;&gt;"")),IF(UPPER(B_Drainage!$H$5:$H$204)="Y",1,"")),"")</f>
        <v/>
      </c>
      <c r="Z423" s="181" t="str">
        <f>IFERROR(LOOKUP(2,1/((B_Drainage!$A$5:$A$204&lt;&gt;"")*(B_Drainage!$A$5:$A$204&lt;=$B423)*(B_Drainage!$B$5:$B$204&gt;$B423)*(B_Drainage!$I$5:$I$204&lt;&gt;"")),IF(UPPER(B_Drainage!$I$5:$I$204)="Y",1,"")),"")</f>
        <v/>
      </c>
      <c r="AA423" s="181" t="str">
        <f>IFERROR(LOOKUP(2,1/((B_Drainage!$A$5:$A$204&lt;&gt;"")*(B_Drainage!$A$5:$A$204&lt;=$B423)*(B_Drainage!$B$5:$B$204&gt;$B423)*(B_Drainage!$J$5:$J$204&lt;&gt;"")),IF(UPPER(B_Drainage!$J$5:$J$204)="Y",1,"")),"")</f>
        <v/>
      </c>
      <c r="AB423" s="182" t="str">
        <f>IFERROR(LOOKUP(2,1/((B_Drainage!$A$5:$A$204&lt;&gt;"")*(B_Drainage!$A$5:$A$204&lt;=$B423)*(B_Drainage!$B$5:$B$204&gt;$B423)*(B_Drainage!$K$5:$K$204&lt;&gt;"")),IF(B_Drainage!$K$5:$K$204="-","",B_Drainage!$K$5:$K$204)),"")</f>
        <v/>
      </c>
      <c r="AC423" s="182" t="str">
        <f>IFERROR(LOOKUP(2,1/((B_Drainage!$A$5:$A$204&lt;&gt;"")*(B_Drainage!$A$5:$A$204&lt;=$B423)*(B_Drainage!$B$5:$B$204&gt;$B423)*(B_Drainage!$L$5:$L$204&lt;&gt;"")),IF(B_Drainage!$L$5:$L$204="-","",B_Drainage!$L$5:$L$204)),"")</f>
        <v/>
      </c>
      <c r="AD423" s="182" t="str">
        <f>IFERROR(LOOKUP(2,1/((D_Points!$A$5:$A$204&lt;&gt;"")*(D_Points!$A$5:$A$204&gt;=$B423)*(D_Points!$A$5:$A$204&lt;$B423+P_Interval)*(UPPER(TRIM(D_Points!$B$5:$B$204))="TURNOUT_L")*(D_Points!$H$5:$H$204&lt;&gt;"")),D_Points!$H$5:$H$204),"")</f>
        <v/>
      </c>
      <c r="AE423" s="182" t="str">
        <f>IFERROR(LOOKUP(2,1/((D_Points!$A$5:$A$204&lt;&gt;"")*(D_Points!$A$5:$A$204&gt;=$B423)*(D_Points!$A$5:$A$204&lt;$B423+P_Interval)*(UPPER(TRIM(D_Points!$B$5:$B$204))="TURNOUT_R")*(D_Points!$H$5:$H$204&lt;&gt;"")),D_Points!$H$5:$H$204),"")</f>
        <v/>
      </c>
      <c r="AF423" s="181" t="str">
        <f>IFERROR(LOOKUP(2,1/((B_Drainage!$A$5:$A$204&lt;&gt;"")*(B_Drainage!$A$5:$A$204&lt;=$B423)*(B_Drainage!$B$5:$B$204&gt;$B423)*(B_Drainage!$M$5:$M$204&lt;&gt;"")),IF(UPPER(B_Drainage!$M$5:$M$204)="Y",1,"")),"")</f>
        <v/>
      </c>
      <c r="AG423" s="181" t="str">
        <f>IFERROR(LOOKUP(2,1/((B_Drainage!$A$5:$A$204&lt;&gt;"")*(B_Drainage!$A$5:$A$204&lt;=$B423)*(B_Drainage!$B$5:$B$204&gt;$B423)*(B_Drainage!$N$5:$N$204&lt;&gt;"")),IF(UPPER(B_Drainage!$N$5:$N$204)="Y",1,"")),"")</f>
        <v/>
      </c>
      <c r="AH423" s="181" t="str">
        <f t="shared" si="48"/>
        <v/>
      </c>
      <c r="AI423" s="181" t="str">
        <f t="shared" si="49"/>
        <v/>
      </c>
      <c r="AJ423" s="181" t="str">
        <f t="shared" si="50"/>
        <v/>
      </c>
      <c r="AK423" s="181" t="str">
        <f t="shared" si="51"/>
        <v/>
      </c>
      <c r="AL423" s="181" t="str">
        <f t="shared" si="52"/>
        <v/>
      </c>
      <c r="AM423" s="181" t="str">
        <f t="shared" si="53"/>
        <v/>
      </c>
      <c r="AN423" s="181" t="str">
        <f t="shared" si="54"/>
        <v/>
      </c>
      <c r="AO423" s="192" t="str">
        <f t="shared" si="55"/>
        <v/>
      </c>
      <c r="AQ423" t="str">
        <f>IFERROR(LOOKUP(2,1/((C_Pavement!$A$5:$A$204&lt;&gt;"")*(C_Pavement!$A$5:$A$204&lt;=$B423)*(C_Pavement!$B$5:$B$204&gt;$B423)*(C_Pavement!$C$5:$C$204&lt;&gt;"")),ROW(C_Pavement!$C$5:$C$204)-4),"")</f>
        <v/>
      </c>
      <c r="AR423" t="str">
        <f>IF($AQ423="","",UPPER(TRIM(INDEX(C_Pavement!$C$5:$C$204,$AQ423))))</f>
        <v/>
      </c>
      <c r="AS423" t="str">
        <f>IF($AR423="","",IFERROR(MATCH($AR423,E_Rules!$A$5:$A$9,0),""))</f>
        <v/>
      </c>
      <c r="AT423" t="str">
        <f>IF($AQ423="","",IF(INDEX(C_Pavement!$D$5:$D$204,$AQ423)&lt;&gt;"",UPPER(TRIM(INDEX(C_Pavement!$D$5:$D$204,$AQ423))),IF($AS423="","",INDEX(E_Rules!$C$5:$C$9,$AS423))))</f>
        <v/>
      </c>
      <c r="AU423" t="str">
        <f>IF($AQ423="","",IF(INDEX(C_Pavement!$E$5:$E$204,$AQ423)&lt;&gt;"",IF(INDEX(C_Pavement!$E$5:$E$204,$AQ423)="-","",INDEX(C_Pavement!$E$5:$E$204,$AQ423)),IF($AS423="","",INDEX(E_Rules!$D$5:$D$9,$AS423))))</f>
        <v/>
      </c>
      <c r="AV423" t="str">
        <f>IF($AQ423="","",IF(INDEX(C_Pavement!$F$5:$F$204,$AQ423)&lt;&gt;"",IF(INDEX(C_Pavement!$F$5:$F$204,$AQ423)="-","",INDEX(C_Pavement!$F$5:$F$204,$AQ423)),IF($AS423="","",INDEX(E_Rules!$E$5:$E$9,$AS423))))</f>
        <v/>
      </c>
      <c r="AW423" t="str">
        <f>IF($AQ423="","",IF(INDEX(C_Pavement!$G$5:$G$204,$AQ423)&lt;&gt;"",IF(INDEX(C_Pavement!$G$5:$G$204,$AQ423)="-","",INDEX(C_Pavement!$G$5:$G$204,$AQ423)),IF($AS423="","",INDEX(E_Rules!$F$5:$F$9,$AS423))))</f>
        <v/>
      </c>
      <c r="AX423" t="str">
        <f>IF($AQ423="","",IF(INDEX(C_Pavement!$H$5:$H$204,$AQ423)&lt;&gt;"",IF(INDEX(C_Pavement!$H$5:$H$204,$AQ423)="-","",INDEX(C_Pavement!$H$5:$H$204,$AQ423)),IF($AS423="","",INDEX(E_Rules!$G$5:$G$9,$AS423))))</f>
        <v/>
      </c>
      <c r="AY423" t="str">
        <f>IF($AQ423="","",IF(INDEX(C_Pavement!$I$5:$I$204,$AQ423)&lt;&gt;"",IF(INDEX(C_Pavement!$I$5:$I$204,$AQ423)="-","",INDEX(C_Pavement!$I$5:$I$204,$AQ423)),IF($AS423="","",INDEX(E_Rules!$H$5:$H$9,$AS423))))</f>
        <v/>
      </c>
    </row>
    <row r="424" spans="1:51" ht="15.75" customHeight="1" x14ac:dyDescent="0.3">
      <c r="A424" s="189">
        <v>419</v>
      </c>
      <c r="B424" s="180">
        <v>20900</v>
      </c>
      <c r="C424" s="180" t="s">
        <v>730</v>
      </c>
      <c r="D424" s="181" t="str">
        <f>IFERROR(LOOKUP(2,1/((A_Corridor!$A$5:$A$204&lt;&gt;"")*(A_Corridor!$A$5:$A$204&lt;=$B424)*(A_Corridor!$B$5:$B$204&gt;$B424)*(A_Corridor!$C$5:$C$204&lt;&gt;"")),IF(UPPER(A_Corridor!$C$5:$C$204)="Y",1,"")),"")</f>
        <v/>
      </c>
      <c r="E424" s="181" t="str">
        <f>IFERROR(LOOKUP(2,1/((A_Corridor!$A$5:$A$204&lt;&gt;"")*(A_Corridor!$A$5:$A$204&lt;=$B424)*(A_Corridor!$B$5:$B$204&gt;$B424)*(A_Corridor!$D$5:$D$204&lt;&gt;"")),IF(A_Corridor!$D$5:$D$204="-","",UPPER(A_Corridor!$D$5:$D$204))),"")</f>
        <v/>
      </c>
      <c r="F424" s="181" t="str">
        <f>IFERROR(LOOKUP(2,1/((A_Corridor!$A$5:$A$204&lt;&gt;"")*(A_Corridor!$A$5:$A$204&lt;=$B424)*(A_Corridor!$B$5:$B$204&gt;$B424)*(A_Corridor!$E$5:$E$204&lt;&gt;"")),IF(A_Corridor!$E$5:$E$204="-","",1)),"")</f>
        <v/>
      </c>
      <c r="G424" s="182" t="str">
        <f>IFERROR(LOOKUP(2,1/((A_Corridor!$A$5:$A$204&lt;&gt;"")*(A_Corridor!$A$5:$A$204&lt;=$B424)*(A_Corridor!$B$5:$B$204&gt;$B424)*(A_Corridor!$E$5:$E$204&lt;&gt;"")),IF(A_Corridor!$E$5:$E$204="-","",A_Corridor!$E$5:$E$204)),"")</f>
        <v/>
      </c>
      <c r="H424" s="182" t="str">
        <f>IFERROR(LOOKUP(2,1/((D_Points!$A$5:$A$204&lt;&gt;"")*(D_Points!$A$5:$A$204&gt;=$B424)*(D_Points!$A$5:$A$204&lt;$B424+P_Interval)*(UPPER(TRIM(D_Points!$B$5:$B$204))="GULLY")*(D_Points!$H$5:$H$204&lt;&gt;"")),D_Points!$H$5:$H$204),"")</f>
        <v/>
      </c>
      <c r="I424" s="181" t="str">
        <f>IFERROR(LOOKUP(2,1/((A_Corridor!$A$5:$A$204&lt;&gt;"")*(A_Corridor!$A$5:$A$204&lt;=$B424)*(A_Corridor!$B$5:$B$204&gt;$B424)*(A_Corridor!$F$5:$F$204&lt;&gt;"")),IF(A_Corridor!$F$5:$F$204="-","",1)),"")</f>
        <v/>
      </c>
      <c r="J424" s="182" t="str">
        <f>IFERROR(LOOKUP(2,1/((A_Corridor!$A$5:$A$204&lt;&gt;"")*(A_Corridor!$A$5:$A$204&lt;=$B424)*(A_Corridor!$B$5:$B$204&gt;$B424)*(A_Corridor!$F$5:$F$204&lt;&gt;"")),IF(A_Corridor!$F$5:$F$204="-","",A_Corridor!$F$5:$F$204)),"")</f>
        <v/>
      </c>
      <c r="K424" s="182" t="str">
        <f>IFERROR(LOOKUP(2,1/((A_Corridor!$A$5:$A$204&lt;&gt;"")*(A_Corridor!$A$5:$A$204&lt;=$B424)*(A_Corridor!$B$5:$B$204&gt;$B424)*(A_Corridor!$G$5:$G$204&lt;&gt;"")),IF(A_Corridor!$G$5:$G$204="-","",A_Corridor!$G$5:$G$204)),"")</f>
        <v/>
      </c>
      <c r="L424" s="181" t="str">
        <f>IFERROR(LOOKUP(2,1/((A_Corridor!$A$5:$A$204&lt;&gt;"")*(A_Corridor!$A$5:$A$204&lt;=$B424)*(A_Corridor!$B$5:$B$204&gt;$B424)*(A_Corridor!$H$5:$H$204&lt;&gt;"")),IF(A_Corridor!$H$5:$H$204="-","",1)),"")</f>
        <v/>
      </c>
      <c r="M424" s="182" t="str">
        <f>IFERROR(LOOKUP(2,1/((A_Corridor!$A$5:$A$204&lt;&gt;"")*(A_Corridor!$A$5:$A$204&lt;=$B424)*(A_Corridor!$B$5:$B$204&gt;$B424)*(A_Corridor!$H$5:$H$204&lt;&gt;"")),IF(A_Corridor!$H$5:$H$204="-","",A_Corridor!$H$5:$H$204)),"")</f>
        <v/>
      </c>
      <c r="N424" s="182" t="str">
        <f>IFERROR(LOOKUP(2,1/((A_Corridor!$A$5:$A$204&lt;&gt;"")*(A_Corridor!$A$5:$A$204&lt;=$B424)*(A_Corridor!$B$5:$B$204&gt;$B424)*(A_Corridor!$I$5:$I$204&lt;&gt;"")),IF(A_Corridor!$I$5:$I$204="-","",A_Corridor!$I$5:$I$204)),"")</f>
        <v/>
      </c>
      <c r="O424" s="182" t="str">
        <f>IFERROR(LOOKUP(2,1/((D_Points!$A$5:$A$204&lt;&gt;"")*(D_Points!$A$5:$A$204&gt;=$B424)*(D_Points!$A$5:$A$204&lt;$B424+P_Interval)*(UPPER(TRIM(D_Points!$B$5:$B$204))="PITCHING")*(D_Points!$H$5:$H$204&lt;&gt;"")),D_Points!$H$5:$H$204),"")</f>
        <v/>
      </c>
      <c r="P424" s="181" t="str">
        <f>IFERROR(LOOKUP(2,1/((B_Drainage!$A$5:$A$204&lt;&gt;"")*(B_Drainage!$A$5:$A$204&lt;=$B424)*(B_Drainage!$B$5:$B$204&gt;$B424)*(B_Drainage!$C$5:$C$204&lt;&gt;"")),IF(B_Drainage!$C$5:$C$204="-","",UPPER(B_Drainage!$C$5:$C$204))),"")</f>
        <v/>
      </c>
      <c r="Q424" s="181" t="str">
        <f>IFERROR(LOOKUP(2,1/((B_Drainage!$A$5:$A$204&lt;&gt;"")*(B_Drainage!$A$5:$A$204&lt;=$B424)*(B_Drainage!$B$5:$B$204&gt;$B424)*(B_Drainage!$D$5:$D$204&lt;&gt;"")),IF(B_Drainage!$D$5:$D$204="-","",UPPER(B_Drainage!$D$5:$D$204))),"")</f>
        <v/>
      </c>
      <c r="R424" s="182" t="str">
        <f>IFERROR(LOOKUP(2,1/((D_Points!$A$5:$A$204&lt;&gt;"")*(D_Points!$A$5:$A$204&gt;=$B424)*(D_Points!$A$5:$A$204&lt;$B424+P_Interval)*(RIGHT(UPPER(TRIM(D_Points!$B$5:$B$204)),8)="_CULVERT")),IF(LEFT(UPPER(TRIM(D_Points!$B$5:$B$204)),2)="EX",1,IF(LEFT(UPPER(TRIM(D_Points!$B$5:$B$204)),2)="PR",2,3))),"")</f>
        <v/>
      </c>
      <c r="S424" s="182" t="str">
        <f>IFERROR(LOOKUP(2,1/((D_Points!$A$5:$A$204&lt;&gt;"")*(D_Points!$A$5:$A$204&gt;=$B424)*(D_Points!$A$5:$A$204&lt;$B424+P_Interval)*(RIGHT(UPPER(TRIM(D_Points!$B$5:$B$204)),7)="_BRIDGE")),IF(LEFT(UPPER(TRIM(D_Points!$B$5:$B$204)),2)="EX",1,IF(LEFT(UPPER(TRIM(D_Points!$B$5:$B$204)),2)="PR",2,2))),"")</f>
        <v/>
      </c>
      <c r="T424" s="181" t="str">
        <f>IFERROR(LOOKUP(2,1/((B_Drainage!$A$5:$A$204&lt;&gt;"")*(B_Drainage!$A$5:$A$204&lt;=$B424)*(B_Drainage!$B$5:$B$204&gt;$B424)*(B_Drainage!$E$5:$E$204&lt;&gt;"")),IF(B_Drainage!$E$5:$E$204="-","",1)),"")</f>
        <v/>
      </c>
      <c r="U424" s="181" t="str">
        <f>IFERROR(LOOKUP(2,1/((B_Drainage!$A$5:$A$204&lt;&gt;"")*(B_Drainage!$A$5:$A$204&lt;=$B424)*(B_Drainage!$B$5:$B$204&gt;$B424)*(B_Drainage!$E$5:$E$204&lt;&gt;"")),IF(B_Drainage!$E$5:$E$204="-","",B_Drainage!$E$5:$E$204)),"")</f>
        <v/>
      </c>
      <c r="V424" s="181" t="str">
        <f>IFERROR(LOOKUP(2,1/((B_Drainage!$A$5:$A$204&lt;&gt;"")*(B_Drainage!$A$5:$A$204&lt;=$B424)*(B_Drainage!$B$5:$B$204&gt;$B424)*(B_Drainage!$F$5:$F$204&lt;&gt;"")),IF(B_Drainage!$F$5:$F$204="-","",1)),"")</f>
        <v/>
      </c>
      <c r="W424" s="181" t="str">
        <f>IFERROR(LOOKUP(2,1/((B_Drainage!$A$5:$A$204&lt;&gt;"")*(B_Drainage!$A$5:$A$204&lt;=$B424)*(B_Drainage!$B$5:$B$204&gt;$B424)*(B_Drainage!$F$5:$F$204&lt;&gt;"")),IF(B_Drainage!$F$5:$F$204="-","",B_Drainage!$F$5:$F$204)),"")</f>
        <v/>
      </c>
      <c r="X424" s="181" t="str">
        <f>IFERROR(LOOKUP(2,1/((B_Drainage!$A$5:$A$204&lt;&gt;"")*(B_Drainage!$A$5:$A$204&lt;=$B424)*(B_Drainage!$B$5:$B$204&gt;$B424)*(B_Drainage!$G$5:$G$204&lt;&gt;"")),IF(UPPER(B_Drainage!$G$5:$G$204)="Y",1,"")),"")</f>
        <v/>
      </c>
      <c r="Y424" s="181" t="str">
        <f>IFERROR(LOOKUP(2,1/((B_Drainage!$A$5:$A$204&lt;&gt;"")*(B_Drainage!$A$5:$A$204&lt;=$B424)*(B_Drainage!$B$5:$B$204&gt;$B424)*(B_Drainage!$H$5:$H$204&lt;&gt;"")),IF(UPPER(B_Drainage!$H$5:$H$204)="Y",1,"")),"")</f>
        <v/>
      </c>
      <c r="Z424" s="181" t="str">
        <f>IFERROR(LOOKUP(2,1/((B_Drainage!$A$5:$A$204&lt;&gt;"")*(B_Drainage!$A$5:$A$204&lt;=$B424)*(B_Drainage!$B$5:$B$204&gt;$B424)*(B_Drainage!$I$5:$I$204&lt;&gt;"")),IF(UPPER(B_Drainage!$I$5:$I$204)="Y",1,"")),"")</f>
        <v/>
      </c>
      <c r="AA424" s="181" t="str">
        <f>IFERROR(LOOKUP(2,1/((B_Drainage!$A$5:$A$204&lt;&gt;"")*(B_Drainage!$A$5:$A$204&lt;=$B424)*(B_Drainage!$B$5:$B$204&gt;$B424)*(B_Drainage!$J$5:$J$204&lt;&gt;"")),IF(UPPER(B_Drainage!$J$5:$J$204)="Y",1,"")),"")</f>
        <v/>
      </c>
      <c r="AB424" s="182" t="str">
        <f>IFERROR(LOOKUP(2,1/((B_Drainage!$A$5:$A$204&lt;&gt;"")*(B_Drainage!$A$5:$A$204&lt;=$B424)*(B_Drainage!$B$5:$B$204&gt;$B424)*(B_Drainage!$K$5:$K$204&lt;&gt;"")),IF(B_Drainage!$K$5:$K$204="-","",B_Drainage!$K$5:$K$204)),"")</f>
        <v/>
      </c>
      <c r="AC424" s="182" t="str">
        <f>IFERROR(LOOKUP(2,1/((B_Drainage!$A$5:$A$204&lt;&gt;"")*(B_Drainage!$A$5:$A$204&lt;=$B424)*(B_Drainage!$B$5:$B$204&gt;$B424)*(B_Drainage!$L$5:$L$204&lt;&gt;"")),IF(B_Drainage!$L$5:$L$204="-","",B_Drainage!$L$5:$L$204)),"")</f>
        <v/>
      </c>
      <c r="AD424" s="182" t="str">
        <f>IFERROR(LOOKUP(2,1/((D_Points!$A$5:$A$204&lt;&gt;"")*(D_Points!$A$5:$A$204&gt;=$B424)*(D_Points!$A$5:$A$204&lt;$B424+P_Interval)*(UPPER(TRIM(D_Points!$B$5:$B$204))="TURNOUT_L")*(D_Points!$H$5:$H$204&lt;&gt;"")),D_Points!$H$5:$H$204),"")</f>
        <v/>
      </c>
      <c r="AE424" s="182" t="str">
        <f>IFERROR(LOOKUP(2,1/((D_Points!$A$5:$A$204&lt;&gt;"")*(D_Points!$A$5:$A$204&gt;=$B424)*(D_Points!$A$5:$A$204&lt;$B424+P_Interval)*(UPPER(TRIM(D_Points!$B$5:$B$204))="TURNOUT_R")*(D_Points!$H$5:$H$204&lt;&gt;"")),D_Points!$H$5:$H$204),"")</f>
        <v/>
      </c>
      <c r="AF424" s="181" t="str">
        <f>IFERROR(LOOKUP(2,1/((B_Drainage!$A$5:$A$204&lt;&gt;"")*(B_Drainage!$A$5:$A$204&lt;=$B424)*(B_Drainage!$B$5:$B$204&gt;$B424)*(B_Drainage!$M$5:$M$204&lt;&gt;"")),IF(UPPER(B_Drainage!$M$5:$M$204)="Y",1,"")),"")</f>
        <v/>
      </c>
      <c r="AG424" s="181" t="str">
        <f>IFERROR(LOOKUP(2,1/((B_Drainage!$A$5:$A$204&lt;&gt;"")*(B_Drainage!$A$5:$A$204&lt;=$B424)*(B_Drainage!$B$5:$B$204&gt;$B424)*(B_Drainage!$N$5:$N$204&lt;&gt;"")),IF(UPPER(B_Drainage!$N$5:$N$204)="Y",1,"")),"")</f>
        <v/>
      </c>
      <c r="AH424" s="181" t="str">
        <f t="shared" si="48"/>
        <v/>
      </c>
      <c r="AI424" s="181" t="str">
        <f t="shared" si="49"/>
        <v/>
      </c>
      <c r="AJ424" s="181" t="str">
        <f t="shared" si="50"/>
        <v/>
      </c>
      <c r="AK424" s="181" t="str">
        <f t="shared" si="51"/>
        <v/>
      </c>
      <c r="AL424" s="181" t="str">
        <f t="shared" si="52"/>
        <v/>
      </c>
      <c r="AM424" s="181" t="str">
        <f t="shared" si="53"/>
        <v/>
      </c>
      <c r="AN424" s="181" t="str">
        <f t="shared" si="54"/>
        <v/>
      </c>
      <c r="AO424" s="192" t="str">
        <f t="shared" si="55"/>
        <v/>
      </c>
      <c r="AQ424" t="str">
        <f>IFERROR(LOOKUP(2,1/((C_Pavement!$A$5:$A$204&lt;&gt;"")*(C_Pavement!$A$5:$A$204&lt;=$B424)*(C_Pavement!$B$5:$B$204&gt;$B424)*(C_Pavement!$C$5:$C$204&lt;&gt;"")),ROW(C_Pavement!$C$5:$C$204)-4),"")</f>
        <v/>
      </c>
      <c r="AR424" t="str">
        <f>IF($AQ424="","",UPPER(TRIM(INDEX(C_Pavement!$C$5:$C$204,$AQ424))))</f>
        <v/>
      </c>
      <c r="AS424" t="str">
        <f>IF($AR424="","",IFERROR(MATCH($AR424,E_Rules!$A$5:$A$9,0),""))</f>
        <v/>
      </c>
      <c r="AT424" t="str">
        <f>IF($AQ424="","",IF(INDEX(C_Pavement!$D$5:$D$204,$AQ424)&lt;&gt;"",UPPER(TRIM(INDEX(C_Pavement!$D$5:$D$204,$AQ424))),IF($AS424="","",INDEX(E_Rules!$C$5:$C$9,$AS424))))</f>
        <v/>
      </c>
      <c r="AU424" t="str">
        <f>IF($AQ424="","",IF(INDEX(C_Pavement!$E$5:$E$204,$AQ424)&lt;&gt;"",IF(INDEX(C_Pavement!$E$5:$E$204,$AQ424)="-","",INDEX(C_Pavement!$E$5:$E$204,$AQ424)),IF($AS424="","",INDEX(E_Rules!$D$5:$D$9,$AS424))))</f>
        <v/>
      </c>
      <c r="AV424" t="str">
        <f>IF($AQ424="","",IF(INDEX(C_Pavement!$F$5:$F$204,$AQ424)&lt;&gt;"",IF(INDEX(C_Pavement!$F$5:$F$204,$AQ424)="-","",INDEX(C_Pavement!$F$5:$F$204,$AQ424)),IF($AS424="","",INDEX(E_Rules!$E$5:$E$9,$AS424))))</f>
        <v/>
      </c>
      <c r="AW424" t="str">
        <f>IF($AQ424="","",IF(INDEX(C_Pavement!$G$5:$G$204,$AQ424)&lt;&gt;"",IF(INDEX(C_Pavement!$G$5:$G$204,$AQ424)="-","",INDEX(C_Pavement!$G$5:$G$204,$AQ424)),IF($AS424="","",INDEX(E_Rules!$F$5:$F$9,$AS424))))</f>
        <v/>
      </c>
      <c r="AX424" t="str">
        <f>IF($AQ424="","",IF(INDEX(C_Pavement!$H$5:$H$204,$AQ424)&lt;&gt;"",IF(INDEX(C_Pavement!$H$5:$H$204,$AQ424)="-","",INDEX(C_Pavement!$H$5:$H$204,$AQ424)),IF($AS424="","",INDEX(E_Rules!$G$5:$G$9,$AS424))))</f>
        <v/>
      </c>
      <c r="AY424" t="str">
        <f>IF($AQ424="","",IF(INDEX(C_Pavement!$I$5:$I$204,$AQ424)&lt;&gt;"",IF(INDEX(C_Pavement!$I$5:$I$204,$AQ424)="-","",INDEX(C_Pavement!$I$5:$I$204,$AQ424)),IF($AS424="","",INDEX(E_Rules!$H$5:$H$9,$AS424))))</f>
        <v/>
      </c>
    </row>
    <row r="425" spans="1:51" ht="15.75" customHeight="1" x14ac:dyDescent="0.3">
      <c r="A425" s="189">
        <v>420</v>
      </c>
      <c r="B425" s="180">
        <v>20950</v>
      </c>
      <c r="C425" s="180" t="s">
        <v>731</v>
      </c>
      <c r="D425" s="181" t="str">
        <f>IFERROR(LOOKUP(2,1/((A_Corridor!$A$5:$A$204&lt;&gt;"")*(A_Corridor!$A$5:$A$204&lt;=$B425)*(A_Corridor!$B$5:$B$204&gt;$B425)*(A_Corridor!$C$5:$C$204&lt;&gt;"")),IF(UPPER(A_Corridor!$C$5:$C$204)="Y",1,"")),"")</f>
        <v/>
      </c>
      <c r="E425" s="181" t="str">
        <f>IFERROR(LOOKUP(2,1/((A_Corridor!$A$5:$A$204&lt;&gt;"")*(A_Corridor!$A$5:$A$204&lt;=$B425)*(A_Corridor!$B$5:$B$204&gt;$B425)*(A_Corridor!$D$5:$D$204&lt;&gt;"")),IF(A_Corridor!$D$5:$D$204="-","",UPPER(A_Corridor!$D$5:$D$204))),"")</f>
        <v/>
      </c>
      <c r="F425" s="181" t="str">
        <f>IFERROR(LOOKUP(2,1/((A_Corridor!$A$5:$A$204&lt;&gt;"")*(A_Corridor!$A$5:$A$204&lt;=$B425)*(A_Corridor!$B$5:$B$204&gt;$B425)*(A_Corridor!$E$5:$E$204&lt;&gt;"")),IF(A_Corridor!$E$5:$E$204="-","",1)),"")</f>
        <v/>
      </c>
      <c r="G425" s="182" t="str">
        <f>IFERROR(LOOKUP(2,1/((A_Corridor!$A$5:$A$204&lt;&gt;"")*(A_Corridor!$A$5:$A$204&lt;=$B425)*(A_Corridor!$B$5:$B$204&gt;$B425)*(A_Corridor!$E$5:$E$204&lt;&gt;"")),IF(A_Corridor!$E$5:$E$204="-","",A_Corridor!$E$5:$E$204)),"")</f>
        <v/>
      </c>
      <c r="H425" s="182" t="str">
        <f>IFERROR(LOOKUP(2,1/((D_Points!$A$5:$A$204&lt;&gt;"")*(D_Points!$A$5:$A$204&gt;=$B425)*(D_Points!$A$5:$A$204&lt;$B425+P_Interval)*(UPPER(TRIM(D_Points!$B$5:$B$204))="GULLY")*(D_Points!$H$5:$H$204&lt;&gt;"")),D_Points!$H$5:$H$204),"")</f>
        <v/>
      </c>
      <c r="I425" s="181" t="str">
        <f>IFERROR(LOOKUP(2,1/((A_Corridor!$A$5:$A$204&lt;&gt;"")*(A_Corridor!$A$5:$A$204&lt;=$B425)*(A_Corridor!$B$5:$B$204&gt;$B425)*(A_Corridor!$F$5:$F$204&lt;&gt;"")),IF(A_Corridor!$F$5:$F$204="-","",1)),"")</f>
        <v/>
      </c>
      <c r="J425" s="182" t="str">
        <f>IFERROR(LOOKUP(2,1/((A_Corridor!$A$5:$A$204&lt;&gt;"")*(A_Corridor!$A$5:$A$204&lt;=$B425)*(A_Corridor!$B$5:$B$204&gt;$B425)*(A_Corridor!$F$5:$F$204&lt;&gt;"")),IF(A_Corridor!$F$5:$F$204="-","",A_Corridor!$F$5:$F$204)),"")</f>
        <v/>
      </c>
      <c r="K425" s="182" t="str">
        <f>IFERROR(LOOKUP(2,1/((A_Corridor!$A$5:$A$204&lt;&gt;"")*(A_Corridor!$A$5:$A$204&lt;=$B425)*(A_Corridor!$B$5:$B$204&gt;$B425)*(A_Corridor!$G$5:$G$204&lt;&gt;"")),IF(A_Corridor!$G$5:$G$204="-","",A_Corridor!$G$5:$G$204)),"")</f>
        <v/>
      </c>
      <c r="L425" s="181" t="str">
        <f>IFERROR(LOOKUP(2,1/((A_Corridor!$A$5:$A$204&lt;&gt;"")*(A_Corridor!$A$5:$A$204&lt;=$B425)*(A_Corridor!$B$5:$B$204&gt;$B425)*(A_Corridor!$H$5:$H$204&lt;&gt;"")),IF(A_Corridor!$H$5:$H$204="-","",1)),"")</f>
        <v/>
      </c>
      <c r="M425" s="182" t="str">
        <f>IFERROR(LOOKUP(2,1/((A_Corridor!$A$5:$A$204&lt;&gt;"")*(A_Corridor!$A$5:$A$204&lt;=$B425)*(A_Corridor!$B$5:$B$204&gt;$B425)*(A_Corridor!$H$5:$H$204&lt;&gt;"")),IF(A_Corridor!$H$5:$H$204="-","",A_Corridor!$H$5:$H$204)),"")</f>
        <v/>
      </c>
      <c r="N425" s="182" t="str">
        <f>IFERROR(LOOKUP(2,1/((A_Corridor!$A$5:$A$204&lt;&gt;"")*(A_Corridor!$A$5:$A$204&lt;=$B425)*(A_Corridor!$B$5:$B$204&gt;$B425)*(A_Corridor!$I$5:$I$204&lt;&gt;"")),IF(A_Corridor!$I$5:$I$204="-","",A_Corridor!$I$5:$I$204)),"")</f>
        <v/>
      </c>
      <c r="O425" s="182" t="str">
        <f>IFERROR(LOOKUP(2,1/((D_Points!$A$5:$A$204&lt;&gt;"")*(D_Points!$A$5:$A$204&gt;=$B425)*(D_Points!$A$5:$A$204&lt;$B425+P_Interval)*(UPPER(TRIM(D_Points!$B$5:$B$204))="PITCHING")*(D_Points!$H$5:$H$204&lt;&gt;"")),D_Points!$H$5:$H$204),"")</f>
        <v/>
      </c>
      <c r="P425" s="181" t="str">
        <f>IFERROR(LOOKUP(2,1/((B_Drainage!$A$5:$A$204&lt;&gt;"")*(B_Drainage!$A$5:$A$204&lt;=$B425)*(B_Drainage!$B$5:$B$204&gt;$B425)*(B_Drainage!$C$5:$C$204&lt;&gt;"")),IF(B_Drainage!$C$5:$C$204="-","",UPPER(B_Drainage!$C$5:$C$204))),"")</f>
        <v/>
      </c>
      <c r="Q425" s="181" t="str">
        <f>IFERROR(LOOKUP(2,1/((B_Drainage!$A$5:$A$204&lt;&gt;"")*(B_Drainage!$A$5:$A$204&lt;=$B425)*(B_Drainage!$B$5:$B$204&gt;$B425)*(B_Drainage!$D$5:$D$204&lt;&gt;"")),IF(B_Drainage!$D$5:$D$204="-","",UPPER(B_Drainage!$D$5:$D$204))),"")</f>
        <v/>
      </c>
      <c r="R425" s="182" t="str">
        <f>IFERROR(LOOKUP(2,1/((D_Points!$A$5:$A$204&lt;&gt;"")*(D_Points!$A$5:$A$204&gt;=$B425)*(D_Points!$A$5:$A$204&lt;$B425+P_Interval)*(RIGHT(UPPER(TRIM(D_Points!$B$5:$B$204)),8)="_CULVERT")),IF(LEFT(UPPER(TRIM(D_Points!$B$5:$B$204)),2)="EX",1,IF(LEFT(UPPER(TRIM(D_Points!$B$5:$B$204)),2)="PR",2,3))),"")</f>
        <v/>
      </c>
      <c r="S425" s="182" t="str">
        <f>IFERROR(LOOKUP(2,1/((D_Points!$A$5:$A$204&lt;&gt;"")*(D_Points!$A$5:$A$204&gt;=$B425)*(D_Points!$A$5:$A$204&lt;$B425+P_Interval)*(RIGHT(UPPER(TRIM(D_Points!$B$5:$B$204)),7)="_BRIDGE")),IF(LEFT(UPPER(TRIM(D_Points!$B$5:$B$204)),2)="EX",1,IF(LEFT(UPPER(TRIM(D_Points!$B$5:$B$204)),2)="PR",2,2))),"")</f>
        <v/>
      </c>
      <c r="T425" s="181" t="str">
        <f>IFERROR(LOOKUP(2,1/((B_Drainage!$A$5:$A$204&lt;&gt;"")*(B_Drainage!$A$5:$A$204&lt;=$B425)*(B_Drainage!$B$5:$B$204&gt;$B425)*(B_Drainage!$E$5:$E$204&lt;&gt;"")),IF(B_Drainage!$E$5:$E$204="-","",1)),"")</f>
        <v/>
      </c>
      <c r="U425" s="181" t="str">
        <f>IFERROR(LOOKUP(2,1/((B_Drainage!$A$5:$A$204&lt;&gt;"")*(B_Drainage!$A$5:$A$204&lt;=$B425)*(B_Drainage!$B$5:$B$204&gt;$B425)*(B_Drainage!$E$5:$E$204&lt;&gt;"")),IF(B_Drainage!$E$5:$E$204="-","",B_Drainage!$E$5:$E$204)),"")</f>
        <v/>
      </c>
      <c r="V425" s="181" t="str">
        <f>IFERROR(LOOKUP(2,1/((B_Drainage!$A$5:$A$204&lt;&gt;"")*(B_Drainage!$A$5:$A$204&lt;=$B425)*(B_Drainage!$B$5:$B$204&gt;$B425)*(B_Drainage!$F$5:$F$204&lt;&gt;"")),IF(B_Drainage!$F$5:$F$204="-","",1)),"")</f>
        <v/>
      </c>
      <c r="W425" s="181" t="str">
        <f>IFERROR(LOOKUP(2,1/((B_Drainage!$A$5:$A$204&lt;&gt;"")*(B_Drainage!$A$5:$A$204&lt;=$B425)*(B_Drainage!$B$5:$B$204&gt;$B425)*(B_Drainage!$F$5:$F$204&lt;&gt;"")),IF(B_Drainage!$F$5:$F$204="-","",B_Drainage!$F$5:$F$204)),"")</f>
        <v/>
      </c>
      <c r="X425" s="181" t="str">
        <f>IFERROR(LOOKUP(2,1/((B_Drainage!$A$5:$A$204&lt;&gt;"")*(B_Drainage!$A$5:$A$204&lt;=$B425)*(B_Drainage!$B$5:$B$204&gt;$B425)*(B_Drainage!$G$5:$G$204&lt;&gt;"")),IF(UPPER(B_Drainage!$G$5:$G$204)="Y",1,"")),"")</f>
        <v/>
      </c>
      <c r="Y425" s="181" t="str">
        <f>IFERROR(LOOKUP(2,1/((B_Drainage!$A$5:$A$204&lt;&gt;"")*(B_Drainage!$A$5:$A$204&lt;=$B425)*(B_Drainage!$B$5:$B$204&gt;$B425)*(B_Drainage!$H$5:$H$204&lt;&gt;"")),IF(UPPER(B_Drainage!$H$5:$H$204)="Y",1,"")),"")</f>
        <v/>
      </c>
      <c r="Z425" s="181" t="str">
        <f>IFERROR(LOOKUP(2,1/((B_Drainage!$A$5:$A$204&lt;&gt;"")*(B_Drainage!$A$5:$A$204&lt;=$B425)*(B_Drainage!$B$5:$B$204&gt;$B425)*(B_Drainage!$I$5:$I$204&lt;&gt;"")),IF(UPPER(B_Drainage!$I$5:$I$204)="Y",1,"")),"")</f>
        <v/>
      </c>
      <c r="AA425" s="181" t="str">
        <f>IFERROR(LOOKUP(2,1/((B_Drainage!$A$5:$A$204&lt;&gt;"")*(B_Drainage!$A$5:$A$204&lt;=$B425)*(B_Drainage!$B$5:$B$204&gt;$B425)*(B_Drainage!$J$5:$J$204&lt;&gt;"")),IF(UPPER(B_Drainage!$J$5:$J$204)="Y",1,"")),"")</f>
        <v/>
      </c>
      <c r="AB425" s="182" t="str">
        <f>IFERROR(LOOKUP(2,1/((B_Drainage!$A$5:$A$204&lt;&gt;"")*(B_Drainage!$A$5:$A$204&lt;=$B425)*(B_Drainage!$B$5:$B$204&gt;$B425)*(B_Drainage!$K$5:$K$204&lt;&gt;"")),IF(B_Drainage!$K$5:$K$204="-","",B_Drainage!$K$5:$K$204)),"")</f>
        <v/>
      </c>
      <c r="AC425" s="182" t="str">
        <f>IFERROR(LOOKUP(2,1/((B_Drainage!$A$5:$A$204&lt;&gt;"")*(B_Drainage!$A$5:$A$204&lt;=$B425)*(B_Drainage!$B$5:$B$204&gt;$B425)*(B_Drainage!$L$5:$L$204&lt;&gt;"")),IF(B_Drainage!$L$5:$L$204="-","",B_Drainage!$L$5:$L$204)),"")</f>
        <v/>
      </c>
      <c r="AD425" s="182" t="str">
        <f>IFERROR(LOOKUP(2,1/((D_Points!$A$5:$A$204&lt;&gt;"")*(D_Points!$A$5:$A$204&gt;=$B425)*(D_Points!$A$5:$A$204&lt;$B425+P_Interval)*(UPPER(TRIM(D_Points!$B$5:$B$204))="TURNOUT_L")*(D_Points!$H$5:$H$204&lt;&gt;"")),D_Points!$H$5:$H$204),"")</f>
        <v/>
      </c>
      <c r="AE425" s="182" t="str">
        <f>IFERROR(LOOKUP(2,1/((D_Points!$A$5:$A$204&lt;&gt;"")*(D_Points!$A$5:$A$204&gt;=$B425)*(D_Points!$A$5:$A$204&lt;$B425+P_Interval)*(UPPER(TRIM(D_Points!$B$5:$B$204))="TURNOUT_R")*(D_Points!$H$5:$H$204&lt;&gt;"")),D_Points!$H$5:$H$204),"")</f>
        <v/>
      </c>
      <c r="AF425" s="181" t="str">
        <f>IFERROR(LOOKUP(2,1/((B_Drainage!$A$5:$A$204&lt;&gt;"")*(B_Drainage!$A$5:$A$204&lt;=$B425)*(B_Drainage!$B$5:$B$204&gt;$B425)*(B_Drainage!$M$5:$M$204&lt;&gt;"")),IF(UPPER(B_Drainage!$M$5:$M$204)="Y",1,"")),"")</f>
        <v/>
      </c>
      <c r="AG425" s="181" t="str">
        <f>IFERROR(LOOKUP(2,1/((B_Drainage!$A$5:$A$204&lt;&gt;"")*(B_Drainage!$A$5:$A$204&lt;=$B425)*(B_Drainage!$B$5:$B$204&gt;$B425)*(B_Drainage!$N$5:$N$204&lt;&gt;"")),IF(UPPER(B_Drainage!$N$5:$N$204)="Y",1,"")),"")</f>
        <v/>
      </c>
      <c r="AH425" s="181" t="str">
        <f t="shared" si="48"/>
        <v/>
      </c>
      <c r="AI425" s="181" t="str">
        <f t="shared" si="49"/>
        <v/>
      </c>
      <c r="AJ425" s="181" t="str">
        <f t="shared" si="50"/>
        <v/>
      </c>
      <c r="AK425" s="181" t="str">
        <f t="shared" si="51"/>
        <v/>
      </c>
      <c r="AL425" s="181" t="str">
        <f t="shared" si="52"/>
        <v/>
      </c>
      <c r="AM425" s="181" t="str">
        <f t="shared" si="53"/>
        <v/>
      </c>
      <c r="AN425" s="181" t="str">
        <f t="shared" si="54"/>
        <v/>
      </c>
      <c r="AO425" s="192" t="str">
        <f t="shared" si="55"/>
        <v/>
      </c>
      <c r="AQ425" t="str">
        <f>IFERROR(LOOKUP(2,1/((C_Pavement!$A$5:$A$204&lt;&gt;"")*(C_Pavement!$A$5:$A$204&lt;=$B425)*(C_Pavement!$B$5:$B$204&gt;$B425)*(C_Pavement!$C$5:$C$204&lt;&gt;"")),ROW(C_Pavement!$C$5:$C$204)-4),"")</f>
        <v/>
      </c>
      <c r="AR425" t="str">
        <f>IF($AQ425="","",UPPER(TRIM(INDEX(C_Pavement!$C$5:$C$204,$AQ425))))</f>
        <v/>
      </c>
      <c r="AS425" t="str">
        <f>IF($AR425="","",IFERROR(MATCH($AR425,E_Rules!$A$5:$A$9,0),""))</f>
        <v/>
      </c>
      <c r="AT425" t="str">
        <f>IF($AQ425="","",IF(INDEX(C_Pavement!$D$5:$D$204,$AQ425)&lt;&gt;"",UPPER(TRIM(INDEX(C_Pavement!$D$5:$D$204,$AQ425))),IF($AS425="","",INDEX(E_Rules!$C$5:$C$9,$AS425))))</f>
        <v/>
      </c>
      <c r="AU425" t="str">
        <f>IF($AQ425="","",IF(INDEX(C_Pavement!$E$5:$E$204,$AQ425)&lt;&gt;"",IF(INDEX(C_Pavement!$E$5:$E$204,$AQ425)="-","",INDEX(C_Pavement!$E$5:$E$204,$AQ425)),IF($AS425="","",INDEX(E_Rules!$D$5:$D$9,$AS425))))</f>
        <v/>
      </c>
      <c r="AV425" t="str">
        <f>IF($AQ425="","",IF(INDEX(C_Pavement!$F$5:$F$204,$AQ425)&lt;&gt;"",IF(INDEX(C_Pavement!$F$5:$F$204,$AQ425)="-","",INDEX(C_Pavement!$F$5:$F$204,$AQ425)),IF($AS425="","",INDEX(E_Rules!$E$5:$E$9,$AS425))))</f>
        <v/>
      </c>
      <c r="AW425" t="str">
        <f>IF($AQ425="","",IF(INDEX(C_Pavement!$G$5:$G$204,$AQ425)&lt;&gt;"",IF(INDEX(C_Pavement!$G$5:$G$204,$AQ425)="-","",INDEX(C_Pavement!$G$5:$G$204,$AQ425)),IF($AS425="","",INDEX(E_Rules!$F$5:$F$9,$AS425))))</f>
        <v/>
      </c>
      <c r="AX425" t="str">
        <f>IF($AQ425="","",IF(INDEX(C_Pavement!$H$5:$H$204,$AQ425)&lt;&gt;"",IF(INDEX(C_Pavement!$H$5:$H$204,$AQ425)="-","",INDEX(C_Pavement!$H$5:$H$204,$AQ425)),IF($AS425="","",INDEX(E_Rules!$G$5:$G$9,$AS425))))</f>
        <v/>
      </c>
      <c r="AY425" t="str">
        <f>IF($AQ425="","",IF(INDEX(C_Pavement!$I$5:$I$204,$AQ425)&lt;&gt;"",IF(INDEX(C_Pavement!$I$5:$I$204,$AQ425)="-","",INDEX(C_Pavement!$I$5:$I$204,$AQ425)),IF($AS425="","",INDEX(E_Rules!$H$5:$H$9,$AS425))))</f>
        <v/>
      </c>
    </row>
    <row r="426" spans="1:51" ht="15.75" customHeight="1" x14ac:dyDescent="0.3">
      <c r="A426" s="189">
        <v>421</v>
      </c>
      <c r="B426" s="180">
        <v>21000</v>
      </c>
      <c r="C426" s="180" t="s">
        <v>732</v>
      </c>
      <c r="D426" s="181" t="str">
        <f>IFERROR(LOOKUP(2,1/((A_Corridor!$A$5:$A$204&lt;&gt;"")*(A_Corridor!$A$5:$A$204&lt;=$B426)*(A_Corridor!$B$5:$B$204&gt;$B426)*(A_Corridor!$C$5:$C$204&lt;&gt;"")),IF(UPPER(A_Corridor!$C$5:$C$204)="Y",1,"")),"")</f>
        <v/>
      </c>
      <c r="E426" s="181" t="str">
        <f>IFERROR(LOOKUP(2,1/((A_Corridor!$A$5:$A$204&lt;&gt;"")*(A_Corridor!$A$5:$A$204&lt;=$B426)*(A_Corridor!$B$5:$B$204&gt;$B426)*(A_Corridor!$D$5:$D$204&lt;&gt;"")),IF(A_Corridor!$D$5:$D$204="-","",UPPER(A_Corridor!$D$5:$D$204))),"")</f>
        <v/>
      </c>
      <c r="F426" s="181" t="str">
        <f>IFERROR(LOOKUP(2,1/((A_Corridor!$A$5:$A$204&lt;&gt;"")*(A_Corridor!$A$5:$A$204&lt;=$B426)*(A_Corridor!$B$5:$B$204&gt;$B426)*(A_Corridor!$E$5:$E$204&lt;&gt;"")),IF(A_Corridor!$E$5:$E$204="-","",1)),"")</f>
        <v/>
      </c>
      <c r="G426" s="182" t="str">
        <f>IFERROR(LOOKUP(2,1/((A_Corridor!$A$5:$A$204&lt;&gt;"")*(A_Corridor!$A$5:$A$204&lt;=$B426)*(A_Corridor!$B$5:$B$204&gt;$B426)*(A_Corridor!$E$5:$E$204&lt;&gt;"")),IF(A_Corridor!$E$5:$E$204="-","",A_Corridor!$E$5:$E$204)),"")</f>
        <v/>
      </c>
      <c r="H426" s="182" t="str">
        <f>IFERROR(LOOKUP(2,1/((D_Points!$A$5:$A$204&lt;&gt;"")*(D_Points!$A$5:$A$204&gt;=$B426)*(D_Points!$A$5:$A$204&lt;$B426+P_Interval)*(UPPER(TRIM(D_Points!$B$5:$B$204))="GULLY")*(D_Points!$H$5:$H$204&lt;&gt;"")),D_Points!$H$5:$H$204),"")</f>
        <v/>
      </c>
      <c r="I426" s="181" t="str">
        <f>IFERROR(LOOKUP(2,1/((A_Corridor!$A$5:$A$204&lt;&gt;"")*(A_Corridor!$A$5:$A$204&lt;=$B426)*(A_Corridor!$B$5:$B$204&gt;$B426)*(A_Corridor!$F$5:$F$204&lt;&gt;"")),IF(A_Corridor!$F$5:$F$204="-","",1)),"")</f>
        <v/>
      </c>
      <c r="J426" s="182" t="str">
        <f>IFERROR(LOOKUP(2,1/((A_Corridor!$A$5:$A$204&lt;&gt;"")*(A_Corridor!$A$5:$A$204&lt;=$B426)*(A_Corridor!$B$5:$B$204&gt;$B426)*(A_Corridor!$F$5:$F$204&lt;&gt;"")),IF(A_Corridor!$F$5:$F$204="-","",A_Corridor!$F$5:$F$204)),"")</f>
        <v/>
      </c>
      <c r="K426" s="182" t="str">
        <f>IFERROR(LOOKUP(2,1/((A_Corridor!$A$5:$A$204&lt;&gt;"")*(A_Corridor!$A$5:$A$204&lt;=$B426)*(A_Corridor!$B$5:$B$204&gt;$B426)*(A_Corridor!$G$5:$G$204&lt;&gt;"")),IF(A_Corridor!$G$5:$G$204="-","",A_Corridor!$G$5:$G$204)),"")</f>
        <v/>
      </c>
      <c r="L426" s="181" t="str">
        <f>IFERROR(LOOKUP(2,1/((A_Corridor!$A$5:$A$204&lt;&gt;"")*(A_Corridor!$A$5:$A$204&lt;=$B426)*(A_Corridor!$B$5:$B$204&gt;$B426)*(A_Corridor!$H$5:$H$204&lt;&gt;"")),IF(A_Corridor!$H$5:$H$204="-","",1)),"")</f>
        <v/>
      </c>
      <c r="M426" s="182" t="str">
        <f>IFERROR(LOOKUP(2,1/((A_Corridor!$A$5:$A$204&lt;&gt;"")*(A_Corridor!$A$5:$A$204&lt;=$B426)*(A_Corridor!$B$5:$B$204&gt;$B426)*(A_Corridor!$H$5:$H$204&lt;&gt;"")),IF(A_Corridor!$H$5:$H$204="-","",A_Corridor!$H$5:$H$204)),"")</f>
        <v/>
      </c>
      <c r="N426" s="182" t="str">
        <f>IFERROR(LOOKUP(2,1/((A_Corridor!$A$5:$A$204&lt;&gt;"")*(A_Corridor!$A$5:$A$204&lt;=$B426)*(A_Corridor!$B$5:$B$204&gt;$B426)*(A_Corridor!$I$5:$I$204&lt;&gt;"")),IF(A_Corridor!$I$5:$I$204="-","",A_Corridor!$I$5:$I$204)),"")</f>
        <v/>
      </c>
      <c r="O426" s="182" t="str">
        <f>IFERROR(LOOKUP(2,1/((D_Points!$A$5:$A$204&lt;&gt;"")*(D_Points!$A$5:$A$204&gt;=$B426)*(D_Points!$A$5:$A$204&lt;$B426+P_Interval)*(UPPER(TRIM(D_Points!$B$5:$B$204))="PITCHING")*(D_Points!$H$5:$H$204&lt;&gt;"")),D_Points!$H$5:$H$204),"")</f>
        <v/>
      </c>
      <c r="P426" s="181" t="str">
        <f>IFERROR(LOOKUP(2,1/((B_Drainage!$A$5:$A$204&lt;&gt;"")*(B_Drainage!$A$5:$A$204&lt;=$B426)*(B_Drainage!$B$5:$B$204&gt;$B426)*(B_Drainage!$C$5:$C$204&lt;&gt;"")),IF(B_Drainage!$C$5:$C$204="-","",UPPER(B_Drainage!$C$5:$C$204))),"")</f>
        <v/>
      </c>
      <c r="Q426" s="181" t="str">
        <f>IFERROR(LOOKUP(2,1/((B_Drainage!$A$5:$A$204&lt;&gt;"")*(B_Drainage!$A$5:$A$204&lt;=$B426)*(B_Drainage!$B$5:$B$204&gt;$B426)*(B_Drainage!$D$5:$D$204&lt;&gt;"")),IF(B_Drainage!$D$5:$D$204="-","",UPPER(B_Drainage!$D$5:$D$204))),"")</f>
        <v/>
      </c>
      <c r="R426" s="182" t="str">
        <f>IFERROR(LOOKUP(2,1/((D_Points!$A$5:$A$204&lt;&gt;"")*(D_Points!$A$5:$A$204&gt;=$B426)*(D_Points!$A$5:$A$204&lt;$B426+P_Interval)*(RIGHT(UPPER(TRIM(D_Points!$B$5:$B$204)),8)="_CULVERT")),IF(LEFT(UPPER(TRIM(D_Points!$B$5:$B$204)),2)="EX",1,IF(LEFT(UPPER(TRIM(D_Points!$B$5:$B$204)),2)="PR",2,3))),"")</f>
        <v/>
      </c>
      <c r="S426" s="182" t="str">
        <f>IFERROR(LOOKUP(2,1/((D_Points!$A$5:$A$204&lt;&gt;"")*(D_Points!$A$5:$A$204&gt;=$B426)*(D_Points!$A$5:$A$204&lt;$B426+P_Interval)*(RIGHT(UPPER(TRIM(D_Points!$B$5:$B$204)),7)="_BRIDGE")),IF(LEFT(UPPER(TRIM(D_Points!$B$5:$B$204)),2)="EX",1,IF(LEFT(UPPER(TRIM(D_Points!$B$5:$B$204)),2)="PR",2,2))),"")</f>
        <v/>
      </c>
      <c r="T426" s="181" t="str">
        <f>IFERROR(LOOKUP(2,1/((B_Drainage!$A$5:$A$204&lt;&gt;"")*(B_Drainage!$A$5:$A$204&lt;=$B426)*(B_Drainage!$B$5:$B$204&gt;$B426)*(B_Drainage!$E$5:$E$204&lt;&gt;"")),IF(B_Drainage!$E$5:$E$204="-","",1)),"")</f>
        <v/>
      </c>
      <c r="U426" s="181" t="str">
        <f>IFERROR(LOOKUP(2,1/((B_Drainage!$A$5:$A$204&lt;&gt;"")*(B_Drainage!$A$5:$A$204&lt;=$B426)*(B_Drainage!$B$5:$B$204&gt;$B426)*(B_Drainage!$E$5:$E$204&lt;&gt;"")),IF(B_Drainage!$E$5:$E$204="-","",B_Drainage!$E$5:$E$204)),"")</f>
        <v/>
      </c>
      <c r="V426" s="181" t="str">
        <f>IFERROR(LOOKUP(2,1/((B_Drainage!$A$5:$A$204&lt;&gt;"")*(B_Drainage!$A$5:$A$204&lt;=$B426)*(B_Drainage!$B$5:$B$204&gt;$B426)*(B_Drainage!$F$5:$F$204&lt;&gt;"")),IF(B_Drainage!$F$5:$F$204="-","",1)),"")</f>
        <v/>
      </c>
      <c r="W426" s="181" t="str">
        <f>IFERROR(LOOKUP(2,1/((B_Drainage!$A$5:$A$204&lt;&gt;"")*(B_Drainage!$A$5:$A$204&lt;=$B426)*(B_Drainage!$B$5:$B$204&gt;$B426)*(B_Drainage!$F$5:$F$204&lt;&gt;"")),IF(B_Drainage!$F$5:$F$204="-","",B_Drainage!$F$5:$F$204)),"")</f>
        <v/>
      </c>
      <c r="X426" s="181" t="str">
        <f>IFERROR(LOOKUP(2,1/((B_Drainage!$A$5:$A$204&lt;&gt;"")*(B_Drainage!$A$5:$A$204&lt;=$B426)*(B_Drainage!$B$5:$B$204&gt;$B426)*(B_Drainage!$G$5:$G$204&lt;&gt;"")),IF(UPPER(B_Drainage!$G$5:$G$204)="Y",1,"")),"")</f>
        <v/>
      </c>
      <c r="Y426" s="181" t="str">
        <f>IFERROR(LOOKUP(2,1/((B_Drainage!$A$5:$A$204&lt;&gt;"")*(B_Drainage!$A$5:$A$204&lt;=$B426)*(B_Drainage!$B$5:$B$204&gt;$B426)*(B_Drainage!$H$5:$H$204&lt;&gt;"")),IF(UPPER(B_Drainage!$H$5:$H$204)="Y",1,"")),"")</f>
        <v/>
      </c>
      <c r="Z426" s="181" t="str">
        <f>IFERROR(LOOKUP(2,1/((B_Drainage!$A$5:$A$204&lt;&gt;"")*(B_Drainage!$A$5:$A$204&lt;=$B426)*(B_Drainage!$B$5:$B$204&gt;$B426)*(B_Drainage!$I$5:$I$204&lt;&gt;"")),IF(UPPER(B_Drainage!$I$5:$I$204)="Y",1,"")),"")</f>
        <v/>
      </c>
      <c r="AA426" s="181" t="str">
        <f>IFERROR(LOOKUP(2,1/((B_Drainage!$A$5:$A$204&lt;&gt;"")*(B_Drainage!$A$5:$A$204&lt;=$B426)*(B_Drainage!$B$5:$B$204&gt;$B426)*(B_Drainage!$J$5:$J$204&lt;&gt;"")),IF(UPPER(B_Drainage!$J$5:$J$204)="Y",1,"")),"")</f>
        <v/>
      </c>
      <c r="AB426" s="182" t="str">
        <f>IFERROR(LOOKUP(2,1/((B_Drainage!$A$5:$A$204&lt;&gt;"")*(B_Drainage!$A$5:$A$204&lt;=$B426)*(B_Drainage!$B$5:$B$204&gt;$B426)*(B_Drainage!$K$5:$K$204&lt;&gt;"")),IF(B_Drainage!$K$5:$K$204="-","",B_Drainage!$K$5:$K$204)),"")</f>
        <v/>
      </c>
      <c r="AC426" s="182" t="str">
        <f>IFERROR(LOOKUP(2,1/((B_Drainage!$A$5:$A$204&lt;&gt;"")*(B_Drainage!$A$5:$A$204&lt;=$B426)*(B_Drainage!$B$5:$B$204&gt;$B426)*(B_Drainage!$L$5:$L$204&lt;&gt;"")),IF(B_Drainage!$L$5:$L$204="-","",B_Drainage!$L$5:$L$204)),"")</f>
        <v/>
      </c>
      <c r="AD426" s="182" t="str">
        <f>IFERROR(LOOKUP(2,1/((D_Points!$A$5:$A$204&lt;&gt;"")*(D_Points!$A$5:$A$204&gt;=$B426)*(D_Points!$A$5:$A$204&lt;$B426+P_Interval)*(UPPER(TRIM(D_Points!$B$5:$B$204))="TURNOUT_L")*(D_Points!$H$5:$H$204&lt;&gt;"")),D_Points!$H$5:$H$204),"")</f>
        <v/>
      </c>
      <c r="AE426" s="182" t="str">
        <f>IFERROR(LOOKUP(2,1/((D_Points!$A$5:$A$204&lt;&gt;"")*(D_Points!$A$5:$A$204&gt;=$B426)*(D_Points!$A$5:$A$204&lt;$B426+P_Interval)*(UPPER(TRIM(D_Points!$B$5:$B$204))="TURNOUT_R")*(D_Points!$H$5:$H$204&lt;&gt;"")),D_Points!$H$5:$H$204),"")</f>
        <v/>
      </c>
      <c r="AF426" s="181" t="str">
        <f>IFERROR(LOOKUP(2,1/((B_Drainage!$A$5:$A$204&lt;&gt;"")*(B_Drainage!$A$5:$A$204&lt;=$B426)*(B_Drainage!$B$5:$B$204&gt;$B426)*(B_Drainage!$M$5:$M$204&lt;&gt;"")),IF(UPPER(B_Drainage!$M$5:$M$204)="Y",1,"")),"")</f>
        <v/>
      </c>
      <c r="AG426" s="181" t="str">
        <f>IFERROR(LOOKUP(2,1/((B_Drainage!$A$5:$A$204&lt;&gt;"")*(B_Drainage!$A$5:$A$204&lt;=$B426)*(B_Drainage!$B$5:$B$204&gt;$B426)*(B_Drainage!$N$5:$N$204&lt;&gt;"")),IF(UPPER(B_Drainage!$N$5:$N$204)="Y",1,"")),"")</f>
        <v/>
      </c>
      <c r="AH426" s="181" t="str">
        <f t="shared" si="48"/>
        <v/>
      </c>
      <c r="AI426" s="181" t="str">
        <f t="shared" si="49"/>
        <v/>
      </c>
      <c r="AJ426" s="181" t="str">
        <f t="shared" si="50"/>
        <v/>
      </c>
      <c r="AK426" s="181" t="str">
        <f t="shared" si="51"/>
        <v/>
      </c>
      <c r="AL426" s="181" t="str">
        <f t="shared" si="52"/>
        <v/>
      </c>
      <c r="AM426" s="181" t="str">
        <f t="shared" si="53"/>
        <v/>
      </c>
      <c r="AN426" s="181" t="str">
        <f t="shared" si="54"/>
        <v/>
      </c>
      <c r="AO426" s="192" t="str">
        <f t="shared" si="55"/>
        <v/>
      </c>
      <c r="AQ426" t="str">
        <f>IFERROR(LOOKUP(2,1/((C_Pavement!$A$5:$A$204&lt;&gt;"")*(C_Pavement!$A$5:$A$204&lt;=$B426)*(C_Pavement!$B$5:$B$204&gt;$B426)*(C_Pavement!$C$5:$C$204&lt;&gt;"")),ROW(C_Pavement!$C$5:$C$204)-4),"")</f>
        <v/>
      </c>
      <c r="AR426" t="str">
        <f>IF($AQ426="","",UPPER(TRIM(INDEX(C_Pavement!$C$5:$C$204,$AQ426))))</f>
        <v/>
      </c>
      <c r="AS426" t="str">
        <f>IF($AR426="","",IFERROR(MATCH($AR426,E_Rules!$A$5:$A$9,0),""))</f>
        <v/>
      </c>
      <c r="AT426" t="str">
        <f>IF($AQ426="","",IF(INDEX(C_Pavement!$D$5:$D$204,$AQ426)&lt;&gt;"",UPPER(TRIM(INDEX(C_Pavement!$D$5:$D$204,$AQ426))),IF($AS426="","",INDEX(E_Rules!$C$5:$C$9,$AS426))))</f>
        <v/>
      </c>
      <c r="AU426" t="str">
        <f>IF($AQ426="","",IF(INDEX(C_Pavement!$E$5:$E$204,$AQ426)&lt;&gt;"",IF(INDEX(C_Pavement!$E$5:$E$204,$AQ426)="-","",INDEX(C_Pavement!$E$5:$E$204,$AQ426)),IF($AS426="","",INDEX(E_Rules!$D$5:$D$9,$AS426))))</f>
        <v/>
      </c>
      <c r="AV426" t="str">
        <f>IF($AQ426="","",IF(INDEX(C_Pavement!$F$5:$F$204,$AQ426)&lt;&gt;"",IF(INDEX(C_Pavement!$F$5:$F$204,$AQ426)="-","",INDEX(C_Pavement!$F$5:$F$204,$AQ426)),IF($AS426="","",INDEX(E_Rules!$E$5:$E$9,$AS426))))</f>
        <v/>
      </c>
      <c r="AW426" t="str">
        <f>IF($AQ426="","",IF(INDEX(C_Pavement!$G$5:$G$204,$AQ426)&lt;&gt;"",IF(INDEX(C_Pavement!$G$5:$G$204,$AQ426)="-","",INDEX(C_Pavement!$G$5:$G$204,$AQ426)),IF($AS426="","",INDEX(E_Rules!$F$5:$F$9,$AS426))))</f>
        <v/>
      </c>
      <c r="AX426" t="str">
        <f>IF($AQ426="","",IF(INDEX(C_Pavement!$H$5:$H$204,$AQ426)&lt;&gt;"",IF(INDEX(C_Pavement!$H$5:$H$204,$AQ426)="-","",INDEX(C_Pavement!$H$5:$H$204,$AQ426)),IF($AS426="","",INDEX(E_Rules!$G$5:$G$9,$AS426))))</f>
        <v/>
      </c>
      <c r="AY426" t="str">
        <f>IF($AQ426="","",IF(INDEX(C_Pavement!$I$5:$I$204,$AQ426)&lt;&gt;"",IF(INDEX(C_Pavement!$I$5:$I$204,$AQ426)="-","",INDEX(C_Pavement!$I$5:$I$204,$AQ426)),IF($AS426="","",INDEX(E_Rules!$H$5:$H$9,$AS426))))</f>
        <v/>
      </c>
    </row>
    <row r="427" spans="1:51" ht="15.75" customHeight="1" x14ac:dyDescent="0.3">
      <c r="A427" s="189">
        <v>422</v>
      </c>
      <c r="B427" s="180">
        <v>21050</v>
      </c>
      <c r="C427" s="180" t="s">
        <v>733</v>
      </c>
      <c r="D427" s="181" t="str">
        <f>IFERROR(LOOKUP(2,1/((A_Corridor!$A$5:$A$204&lt;&gt;"")*(A_Corridor!$A$5:$A$204&lt;=$B427)*(A_Corridor!$B$5:$B$204&gt;$B427)*(A_Corridor!$C$5:$C$204&lt;&gt;"")),IF(UPPER(A_Corridor!$C$5:$C$204)="Y",1,"")),"")</f>
        <v/>
      </c>
      <c r="E427" s="181" t="str">
        <f>IFERROR(LOOKUP(2,1/((A_Corridor!$A$5:$A$204&lt;&gt;"")*(A_Corridor!$A$5:$A$204&lt;=$B427)*(A_Corridor!$B$5:$B$204&gt;$B427)*(A_Corridor!$D$5:$D$204&lt;&gt;"")),IF(A_Corridor!$D$5:$D$204="-","",UPPER(A_Corridor!$D$5:$D$204))),"")</f>
        <v/>
      </c>
      <c r="F427" s="181" t="str">
        <f>IFERROR(LOOKUP(2,1/((A_Corridor!$A$5:$A$204&lt;&gt;"")*(A_Corridor!$A$5:$A$204&lt;=$B427)*(A_Corridor!$B$5:$B$204&gt;$B427)*(A_Corridor!$E$5:$E$204&lt;&gt;"")),IF(A_Corridor!$E$5:$E$204="-","",1)),"")</f>
        <v/>
      </c>
      <c r="G427" s="182" t="str">
        <f>IFERROR(LOOKUP(2,1/((A_Corridor!$A$5:$A$204&lt;&gt;"")*(A_Corridor!$A$5:$A$204&lt;=$B427)*(A_Corridor!$B$5:$B$204&gt;$B427)*(A_Corridor!$E$5:$E$204&lt;&gt;"")),IF(A_Corridor!$E$5:$E$204="-","",A_Corridor!$E$5:$E$204)),"")</f>
        <v/>
      </c>
      <c r="H427" s="182" t="str">
        <f>IFERROR(LOOKUP(2,1/((D_Points!$A$5:$A$204&lt;&gt;"")*(D_Points!$A$5:$A$204&gt;=$B427)*(D_Points!$A$5:$A$204&lt;$B427+P_Interval)*(UPPER(TRIM(D_Points!$B$5:$B$204))="GULLY")*(D_Points!$H$5:$H$204&lt;&gt;"")),D_Points!$H$5:$H$204),"")</f>
        <v/>
      </c>
      <c r="I427" s="181" t="str">
        <f>IFERROR(LOOKUP(2,1/((A_Corridor!$A$5:$A$204&lt;&gt;"")*(A_Corridor!$A$5:$A$204&lt;=$B427)*(A_Corridor!$B$5:$B$204&gt;$B427)*(A_Corridor!$F$5:$F$204&lt;&gt;"")),IF(A_Corridor!$F$5:$F$204="-","",1)),"")</f>
        <v/>
      </c>
      <c r="J427" s="182" t="str">
        <f>IFERROR(LOOKUP(2,1/((A_Corridor!$A$5:$A$204&lt;&gt;"")*(A_Corridor!$A$5:$A$204&lt;=$B427)*(A_Corridor!$B$5:$B$204&gt;$B427)*(A_Corridor!$F$5:$F$204&lt;&gt;"")),IF(A_Corridor!$F$5:$F$204="-","",A_Corridor!$F$5:$F$204)),"")</f>
        <v/>
      </c>
      <c r="K427" s="182" t="str">
        <f>IFERROR(LOOKUP(2,1/((A_Corridor!$A$5:$A$204&lt;&gt;"")*(A_Corridor!$A$5:$A$204&lt;=$B427)*(A_Corridor!$B$5:$B$204&gt;$B427)*(A_Corridor!$G$5:$G$204&lt;&gt;"")),IF(A_Corridor!$G$5:$G$204="-","",A_Corridor!$G$5:$G$204)),"")</f>
        <v/>
      </c>
      <c r="L427" s="181" t="str">
        <f>IFERROR(LOOKUP(2,1/((A_Corridor!$A$5:$A$204&lt;&gt;"")*(A_Corridor!$A$5:$A$204&lt;=$B427)*(A_Corridor!$B$5:$B$204&gt;$B427)*(A_Corridor!$H$5:$H$204&lt;&gt;"")),IF(A_Corridor!$H$5:$H$204="-","",1)),"")</f>
        <v/>
      </c>
      <c r="M427" s="182" t="str">
        <f>IFERROR(LOOKUP(2,1/((A_Corridor!$A$5:$A$204&lt;&gt;"")*(A_Corridor!$A$5:$A$204&lt;=$B427)*(A_Corridor!$B$5:$B$204&gt;$B427)*(A_Corridor!$H$5:$H$204&lt;&gt;"")),IF(A_Corridor!$H$5:$H$204="-","",A_Corridor!$H$5:$H$204)),"")</f>
        <v/>
      </c>
      <c r="N427" s="182" t="str">
        <f>IFERROR(LOOKUP(2,1/((A_Corridor!$A$5:$A$204&lt;&gt;"")*(A_Corridor!$A$5:$A$204&lt;=$B427)*(A_Corridor!$B$5:$B$204&gt;$B427)*(A_Corridor!$I$5:$I$204&lt;&gt;"")),IF(A_Corridor!$I$5:$I$204="-","",A_Corridor!$I$5:$I$204)),"")</f>
        <v/>
      </c>
      <c r="O427" s="182" t="str">
        <f>IFERROR(LOOKUP(2,1/((D_Points!$A$5:$A$204&lt;&gt;"")*(D_Points!$A$5:$A$204&gt;=$B427)*(D_Points!$A$5:$A$204&lt;$B427+P_Interval)*(UPPER(TRIM(D_Points!$B$5:$B$204))="PITCHING")*(D_Points!$H$5:$H$204&lt;&gt;"")),D_Points!$H$5:$H$204),"")</f>
        <v/>
      </c>
      <c r="P427" s="181" t="str">
        <f>IFERROR(LOOKUP(2,1/((B_Drainage!$A$5:$A$204&lt;&gt;"")*(B_Drainage!$A$5:$A$204&lt;=$B427)*(B_Drainage!$B$5:$B$204&gt;$B427)*(B_Drainage!$C$5:$C$204&lt;&gt;"")),IF(B_Drainage!$C$5:$C$204="-","",UPPER(B_Drainage!$C$5:$C$204))),"")</f>
        <v/>
      </c>
      <c r="Q427" s="181" t="str">
        <f>IFERROR(LOOKUP(2,1/((B_Drainage!$A$5:$A$204&lt;&gt;"")*(B_Drainage!$A$5:$A$204&lt;=$B427)*(B_Drainage!$B$5:$B$204&gt;$B427)*(B_Drainage!$D$5:$D$204&lt;&gt;"")),IF(B_Drainage!$D$5:$D$204="-","",UPPER(B_Drainage!$D$5:$D$204))),"")</f>
        <v/>
      </c>
      <c r="R427" s="182" t="str">
        <f>IFERROR(LOOKUP(2,1/((D_Points!$A$5:$A$204&lt;&gt;"")*(D_Points!$A$5:$A$204&gt;=$B427)*(D_Points!$A$5:$A$204&lt;$B427+P_Interval)*(RIGHT(UPPER(TRIM(D_Points!$B$5:$B$204)),8)="_CULVERT")),IF(LEFT(UPPER(TRIM(D_Points!$B$5:$B$204)),2)="EX",1,IF(LEFT(UPPER(TRIM(D_Points!$B$5:$B$204)),2)="PR",2,3))),"")</f>
        <v/>
      </c>
      <c r="S427" s="182" t="str">
        <f>IFERROR(LOOKUP(2,1/((D_Points!$A$5:$A$204&lt;&gt;"")*(D_Points!$A$5:$A$204&gt;=$B427)*(D_Points!$A$5:$A$204&lt;$B427+P_Interval)*(RIGHT(UPPER(TRIM(D_Points!$B$5:$B$204)),7)="_BRIDGE")),IF(LEFT(UPPER(TRIM(D_Points!$B$5:$B$204)),2)="EX",1,IF(LEFT(UPPER(TRIM(D_Points!$B$5:$B$204)),2)="PR",2,2))),"")</f>
        <v/>
      </c>
      <c r="T427" s="181" t="str">
        <f>IFERROR(LOOKUP(2,1/((B_Drainage!$A$5:$A$204&lt;&gt;"")*(B_Drainage!$A$5:$A$204&lt;=$B427)*(B_Drainage!$B$5:$B$204&gt;$B427)*(B_Drainage!$E$5:$E$204&lt;&gt;"")),IF(B_Drainage!$E$5:$E$204="-","",1)),"")</f>
        <v/>
      </c>
      <c r="U427" s="181" t="str">
        <f>IFERROR(LOOKUP(2,1/((B_Drainage!$A$5:$A$204&lt;&gt;"")*(B_Drainage!$A$5:$A$204&lt;=$B427)*(B_Drainage!$B$5:$B$204&gt;$B427)*(B_Drainage!$E$5:$E$204&lt;&gt;"")),IF(B_Drainage!$E$5:$E$204="-","",B_Drainage!$E$5:$E$204)),"")</f>
        <v/>
      </c>
      <c r="V427" s="181" t="str">
        <f>IFERROR(LOOKUP(2,1/((B_Drainage!$A$5:$A$204&lt;&gt;"")*(B_Drainage!$A$5:$A$204&lt;=$B427)*(B_Drainage!$B$5:$B$204&gt;$B427)*(B_Drainage!$F$5:$F$204&lt;&gt;"")),IF(B_Drainage!$F$5:$F$204="-","",1)),"")</f>
        <v/>
      </c>
      <c r="W427" s="181" t="str">
        <f>IFERROR(LOOKUP(2,1/((B_Drainage!$A$5:$A$204&lt;&gt;"")*(B_Drainage!$A$5:$A$204&lt;=$B427)*(B_Drainage!$B$5:$B$204&gt;$B427)*(B_Drainage!$F$5:$F$204&lt;&gt;"")),IF(B_Drainage!$F$5:$F$204="-","",B_Drainage!$F$5:$F$204)),"")</f>
        <v/>
      </c>
      <c r="X427" s="181" t="str">
        <f>IFERROR(LOOKUP(2,1/((B_Drainage!$A$5:$A$204&lt;&gt;"")*(B_Drainage!$A$5:$A$204&lt;=$B427)*(B_Drainage!$B$5:$B$204&gt;$B427)*(B_Drainage!$G$5:$G$204&lt;&gt;"")),IF(UPPER(B_Drainage!$G$5:$G$204)="Y",1,"")),"")</f>
        <v/>
      </c>
      <c r="Y427" s="181" t="str">
        <f>IFERROR(LOOKUP(2,1/((B_Drainage!$A$5:$A$204&lt;&gt;"")*(B_Drainage!$A$5:$A$204&lt;=$B427)*(B_Drainage!$B$5:$B$204&gt;$B427)*(B_Drainage!$H$5:$H$204&lt;&gt;"")),IF(UPPER(B_Drainage!$H$5:$H$204)="Y",1,"")),"")</f>
        <v/>
      </c>
      <c r="Z427" s="181" t="str">
        <f>IFERROR(LOOKUP(2,1/((B_Drainage!$A$5:$A$204&lt;&gt;"")*(B_Drainage!$A$5:$A$204&lt;=$B427)*(B_Drainage!$B$5:$B$204&gt;$B427)*(B_Drainage!$I$5:$I$204&lt;&gt;"")),IF(UPPER(B_Drainage!$I$5:$I$204)="Y",1,"")),"")</f>
        <v/>
      </c>
      <c r="AA427" s="181" t="str">
        <f>IFERROR(LOOKUP(2,1/((B_Drainage!$A$5:$A$204&lt;&gt;"")*(B_Drainage!$A$5:$A$204&lt;=$B427)*(B_Drainage!$B$5:$B$204&gt;$B427)*(B_Drainage!$J$5:$J$204&lt;&gt;"")),IF(UPPER(B_Drainage!$J$5:$J$204)="Y",1,"")),"")</f>
        <v/>
      </c>
      <c r="AB427" s="182" t="str">
        <f>IFERROR(LOOKUP(2,1/((B_Drainage!$A$5:$A$204&lt;&gt;"")*(B_Drainage!$A$5:$A$204&lt;=$B427)*(B_Drainage!$B$5:$B$204&gt;$B427)*(B_Drainage!$K$5:$K$204&lt;&gt;"")),IF(B_Drainage!$K$5:$K$204="-","",B_Drainage!$K$5:$K$204)),"")</f>
        <v/>
      </c>
      <c r="AC427" s="182" t="str">
        <f>IFERROR(LOOKUP(2,1/((B_Drainage!$A$5:$A$204&lt;&gt;"")*(B_Drainage!$A$5:$A$204&lt;=$B427)*(B_Drainage!$B$5:$B$204&gt;$B427)*(B_Drainage!$L$5:$L$204&lt;&gt;"")),IF(B_Drainage!$L$5:$L$204="-","",B_Drainage!$L$5:$L$204)),"")</f>
        <v/>
      </c>
      <c r="AD427" s="182" t="str">
        <f>IFERROR(LOOKUP(2,1/((D_Points!$A$5:$A$204&lt;&gt;"")*(D_Points!$A$5:$A$204&gt;=$B427)*(D_Points!$A$5:$A$204&lt;$B427+P_Interval)*(UPPER(TRIM(D_Points!$B$5:$B$204))="TURNOUT_L")*(D_Points!$H$5:$H$204&lt;&gt;"")),D_Points!$H$5:$H$204),"")</f>
        <v/>
      </c>
      <c r="AE427" s="182" t="str">
        <f>IFERROR(LOOKUP(2,1/((D_Points!$A$5:$A$204&lt;&gt;"")*(D_Points!$A$5:$A$204&gt;=$B427)*(D_Points!$A$5:$A$204&lt;$B427+P_Interval)*(UPPER(TRIM(D_Points!$B$5:$B$204))="TURNOUT_R")*(D_Points!$H$5:$H$204&lt;&gt;"")),D_Points!$H$5:$H$204),"")</f>
        <v/>
      </c>
      <c r="AF427" s="181" t="str">
        <f>IFERROR(LOOKUP(2,1/((B_Drainage!$A$5:$A$204&lt;&gt;"")*(B_Drainage!$A$5:$A$204&lt;=$B427)*(B_Drainage!$B$5:$B$204&gt;$B427)*(B_Drainage!$M$5:$M$204&lt;&gt;"")),IF(UPPER(B_Drainage!$M$5:$M$204)="Y",1,"")),"")</f>
        <v/>
      </c>
      <c r="AG427" s="181" t="str">
        <f>IFERROR(LOOKUP(2,1/((B_Drainage!$A$5:$A$204&lt;&gt;"")*(B_Drainage!$A$5:$A$204&lt;=$B427)*(B_Drainage!$B$5:$B$204&gt;$B427)*(B_Drainage!$N$5:$N$204&lt;&gt;"")),IF(UPPER(B_Drainage!$N$5:$N$204)="Y",1,"")),"")</f>
        <v/>
      </c>
      <c r="AH427" s="181" t="str">
        <f t="shared" si="48"/>
        <v/>
      </c>
      <c r="AI427" s="181" t="str">
        <f t="shared" si="49"/>
        <v/>
      </c>
      <c r="AJ427" s="181" t="str">
        <f t="shared" si="50"/>
        <v/>
      </c>
      <c r="AK427" s="181" t="str">
        <f t="shared" si="51"/>
        <v/>
      </c>
      <c r="AL427" s="181" t="str">
        <f t="shared" si="52"/>
        <v/>
      </c>
      <c r="AM427" s="181" t="str">
        <f t="shared" si="53"/>
        <v/>
      </c>
      <c r="AN427" s="181" t="str">
        <f t="shared" si="54"/>
        <v/>
      </c>
      <c r="AO427" s="192" t="str">
        <f t="shared" si="55"/>
        <v/>
      </c>
      <c r="AQ427" t="str">
        <f>IFERROR(LOOKUP(2,1/((C_Pavement!$A$5:$A$204&lt;&gt;"")*(C_Pavement!$A$5:$A$204&lt;=$B427)*(C_Pavement!$B$5:$B$204&gt;$B427)*(C_Pavement!$C$5:$C$204&lt;&gt;"")),ROW(C_Pavement!$C$5:$C$204)-4),"")</f>
        <v/>
      </c>
      <c r="AR427" t="str">
        <f>IF($AQ427="","",UPPER(TRIM(INDEX(C_Pavement!$C$5:$C$204,$AQ427))))</f>
        <v/>
      </c>
      <c r="AS427" t="str">
        <f>IF($AR427="","",IFERROR(MATCH($AR427,E_Rules!$A$5:$A$9,0),""))</f>
        <v/>
      </c>
      <c r="AT427" t="str">
        <f>IF($AQ427="","",IF(INDEX(C_Pavement!$D$5:$D$204,$AQ427)&lt;&gt;"",UPPER(TRIM(INDEX(C_Pavement!$D$5:$D$204,$AQ427))),IF($AS427="","",INDEX(E_Rules!$C$5:$C$9,$AS427))))</f>
        <v/>
      </c>
      <c r="AU427" t="str">
        <f>IF($AQ427="","",IF(INDEX(C_Pavement!$E$5:$E$204,$AQ427)&lt;&gt;"",IF(INDEX(C_Pavement!$E$5:$E$204,$AQ427)="-","",INDEX(C_Pavement!$E$5:$E$204,$AQ427)),IF($AS427="","",INDEX(E_Rules!$D$5:$D$9,$AS427))))</f>
        <v/>
      </c>
      <c r="AV427" t="str">
        <f>IF($AQ427="","",IF(INDEX(C_Pavement!$F$5:$F$204,$AQ427)&lt;&gt;"",IF(INDEX(C_Pavement!$F$5:$F$204,$AQ427)="-","",INDEX(C_Pavement!$F$5:$F$204,$AQ427)),IF($AS427="","",INDEX(E_Rules!$E$5:$E$9,$AS427))))</f>
        <v/>
      </c>
      <c r="AW427" t="str">
        <f>IF($AQ427="","",IF(INDEX(C_Pavement!$G$5:$G$204,$AQ427)&lt;&gt;"",IF(INDEX(C_Pavement!$G$5:$G$204,$AQ427)="-","",INDEX(C_Pavement!$G$5:$G$204,$AQ427)),IF($AS427="","",INDEX(E_Rules!$F$5:$F$9,$AS427))))</f>
        <v/>
      </c>
      <c r="AX427" t="str">
        <f>IF($AQ427="","",IF(INDEX(C_Pavement!$H$5:$H$204,$AQ427)&lt;&gt;"",IF(INDEX(C_Pavement!$H$5:$H$204,$AQ427)="-","",INDEX(C_Pavement!$H$5:$H$204,$AQ427)),IF($AS427="","",INDEX(E_Rules!$G$5:$G$9,$AS427))))</f>
        <v/>
      </c>
      <c r="AY427" t="str">
        <f>IF($AQ427="","",IF(INDEX(C_Pavement!$I$5:$I$204,$AQ427)&lt;&gt;"",IF(INDEX(C_Pavement!$I$5:$I$204,$AQ427)="-","",INDEX(C_Pavement!$I$5:$I$204,$AQ427)),IF($AS427="","",INDEX(E_Rules!$H$5:$H$9,$AS427))))</f>
        <v/>
      </c>
    </row>
    <row r="428" spans="1:51" ht="15.75" customHeight="1" x14ac:dyDescent="0.3">
      <c r="A428" s="189">
        <v>423</v>
      </c>
      <c r="B428" s="180">
        <v>21100</v>
      </c>
      <c r="C428" s="180" t="s">
        <v>734</v>
      </c>
      <c r="D428" s="181" t="str">
        <f>IFERROR(LOOKUP(2,1/((A_Corridor!$A$5:$A$204&lt;&gt;"")*(A_Corridor!$A$5:$A$204&lt;=$B428)*(A_Corridor!$B$5:$B$204&gt;$B428)*(A_Corridor!$C$5:$C$204&lt;&gt;"")),IF(UPPER(A_Corridor!$C$5:$C$204)="Y",1,"")),"")</f>
        <v/>
      </c>
      <c r="E428" s="181" t="str">
        <f>IFERROR(LOOKUP(2,1/((A_Corridor!$A$5:$A$204&lt;&gt;"")*(A_Corridor!$A$5:$A$204&lt;=$B428)*(A_Corridor!$B$5:$B$204&gt;$B428)*(A_Corridor!$D$5:$D$204&lt;&gt;"")),IF(A_Corridor!$D$5:$D$204="-","",UPPER(A_Corridor!$D$5:$D$204))),"")</f>
        <v/>
      </c>
      <c r="F428" s="181" t="str">
        <f>IFERROR(LOOKUP(2,1/((A_Corridor!$A$5:$A$204&lt;&gt;"")*(A_Corridor!$A$5:$A$204&lt;=$B428)*(A_Corridor!$B$5:$B$204&gt;$B428)*(A_Corridor!$E$5:$E$204&lt;&gt;"")),IF(A_Corridor!$E$5:$E$204="-","",1)),"")</f>
        <v/>
      </c>
      <c r="G428" s="182" t="str">
        <f>IFERROR(LOOKUP(2,1/((A_Corridor!$A$5:$A$204&lt;&gt;"")*(A_Corridor!$A$5:$A$204&lt;=$B428)*(A_Corridor!$B$5:$B$204&gt;$B428)*(A_Corridor!$E$5:$E$204&lt;&gt;"")),IF(A_Corridor!$E$5:$E$204="-","",A_Corridor!$E$5:$E$204)),"")</f>
        <v/>
      </c>
      <c r="H428" s="182" t="str">
        <f>IFERROR(LOOKUP(2,1/((D_Points!$A$5:$A$204&lt;&gt;"")*(D_Points!$A$5:$A$204&gt;=$B428)*(D_Points!$A$5:$A$204&lt;$B428+P_Interval)*(UPPER(TRIM(D_Points!$B$5:$B$204))="GULLY")*(D_Points!$H$5:$H$204&lt;&gt;"")),D_Points!$H$5:$H$204),"")</f>
        <v/>
      </c>
      <c r="I428" s="181" t="str">
        <f>IFERROR(LOOKUP(2,1/((A_Corridor!$A$5:$A$204&lt;&gt;"")*(A_Corridor!$A$5:$A$204&lt;=$B428)*(A_Corridor!$B$5:$B$204&gt;$B428)*(A_Corridor!$F$5:$F$204&lt;&gt;"")),IF(A_Corridor!$F$5:$F$204="-","",1)),"")</f>
        <v/>
      </c>
      <c r="J428" s="182" t="str">
        <f>IFERROR(LOOKUP(2,1/((A_Corridor!$A$5:$A$204&lt;&gt;"")*(A_Corridor!$A$5:$A$204&lt;=$B428)*(A_Corridor!$B$5:$B$204&gt;$B428)*(A_Corridor!$F$5:$F$204&lt;&gt;"")),IF(A_Corridor!$F$5:$F$204="-","",A_Corridor!$F$5:$F$204)),"")</f>
        <v/>
      </c>
      <c r="K428" s="182" t="str">
        <f>IFERROR(LOOKUP(2,1/((A_Corridor!$A$5:$A$204&lt;&gt;"")*(A_Corridor!$A$5:$A$204&lt;=$B428)*(A_Corridor!$B$5:$B$204&gt;$B428)*(A_Corridor!$G$5:$G$204&lt;&gt;"")),IF(A_Corridor!$G$5:$G$204="-","",A_Corridor!$G$5:$G$204)),"")</f>
        <v/>
      </c>
      <c r="L428" s="181" t="str">
        <f>IFERROR(LOOKUP(2,1/((A_Corridor!$A$5:$A$204&lt;&gt;"")*(A_Corridor!$A$5:$A$204&lt;=$B428)*(A_Corridor!$B$5:$B$204&gt;$B428)*(A_Corridor!$H$5:$H$204&lt;&gt;"")),IF(A_Corridor!$H$5:$H$204="-","",1)),"")</f>
        <v/>
      </c>
      <c r="M428" s="182" t="str">
        <f>IFERROR(LOOKUP(2,1/((A_Corridor!$A$5:$A$204&lt;&gt;"")*(A_Corridor!$A$5:$A$204&lt;=$B428)*(A_Corridor!$B$5:$B$204&gt;$B428)*(A_Corridor!$H$5:$H$204&lt;&gt;"")),IF(A_Corridor!$H$5:$H$204="-","",A_Corridor!$H$5:$H$204)),"")</f>
        <v/>
      </c>
      <c r="N428" s="182" t="str">
        <f>IFERROR(LOOKUP(2,1/((A_Corridor!$A$5:$A$204&lt;&gt;"")*(A_Corridor!$A$5:$A$204&lt;=$B428)*(A_Corridor!$B$5:$B$204&gt;$B428)*(A_Corridor!$I$5:$I$204&lt;&gt;"")),IF(A_Corridor!$I$5:$I$204="-","",A_Corridor!$I$5:$I$204)),"")</f>
        <v/>
      </c>
      <c r="O428" s="182" t="str">
        <f>IFERROR(LOOKUP(2,1/((D_Points!$A$5:$A$204&lt;&gt;"")*(D_Points!$A$5:$A$204&gt;=$B428)*(D_Points!$A$5:$A$204&lt;$B428+P_Interval)*(UPPER(TRIM(D_Points!$B$5:$B$204))="PITCHING")*(D_Points!$H$5:$H$204&lt;&gt;"")),D_Points!$H$5:$H$204),"")</f>
        <v/>
      </c>
      <c r="P428" s="181" t="str">
        <f>IFERROR(LOOKUP(2,1/((B_Drainage!$A$5:$A$204&lt;&gt;"")*(B_Drainage!$A$5:$A$204&lt;=$B428)*(B_Drainage!$B$5:$B$204&gt;$B428)*(B_Drainage!$C$5:$C$204&lt;&gt;"")),IF(B_Drainage!$C$5:$C$204="-","",UPPER(B_Drainage!$C$5:$C$204))),"")</f>
        <v/>
      </c>
      <c r="Q428" s="181" t="str">
        <f>IFERROR(LOOKUP(2,1/((B_Drainage!$A$5:$A$204&lt;&gt;"")*(B_Drainage!$A$5:$A$204&lt;=$B428)*(B_Drainage!$B$5:$B$204&gt;$B428)*(B_Drainage!$D$5:$D$204&lt;&gt;"")),IF(B_Drainage!$D$5:$D$204="-","",UPPER(B_Drainage!$D$5:$D$204))),"")</f>
        <v/>
      </c>
      <c r="R428" s="182" t="str">
        <f>IFERROR(LOOKUP(2,1/((D_Points!$A$5:$A$204&lt;&gt;"")*(D_Points!$A$5:$A$204&gt;=$B428)*(D_Points!$A$5:$A$204&lt;$B428+P_Interval)*(RIGHT(UPPER(TRIM(D_Points!$B$5:$B$204)),8)="_CULVERT")),IF(LEFT(UPPER(TRIM(D_Points!$B$5:$B$204)),2)="EX",1,IF(LEFT(UPPER(TRIM(D_Points!$B$5:$B$204)),2)="PR",2,3))),"")</f>
        <v/>
      </c>
      <c r="S428" s="182" t="str">
        <f>IFERROR(LOOKUP(2,1/((D_Points!$A$5:$A$204&lt;&gt;"")*(D_Points!$A$5:$A$204&gt;=$B428)*(D_Points!$A$5:$A$204&lt;$B428+P_Interval)*(RIGHT(UPPER(TRIM(D_Points!$B$5:$B$204)),7)="_BRIDGE")),IF(LEFT(UPPER(TRIM(D_Points!$B$5:$B$204)),2)="EX",1,IF(LEFT(UPPER(TRIM(D_Points!$B$5:$B$204)),2)="PR",2,2))),"")</f>
        <v/>
      </c>
      <c r="T428" s="181" t="str">
        <f>IFERROR(LOOKUP(2,1/((B_Drainage!$A$5:$A$204&lt;&gt;"")*(B_Drainage!$A$5:$A$204&lt;=$B428)*(B_Drainage!$B$5:$B$204&gt;$B428)*(B_Drainage!$E$5:$E$204&lt;&gt;"")),IF(B_Drainage!$E$5:$E$204="-","",1)),"")</f>
        <v/>
      </c>
      <c r="U428" s="181" t="str">
        <f>IFERROR(LOOKUP(2,1/((B_Drainage!$A$5:$A$204&lt;&gt;"")*(B_Drainage!$A$5:$A$204&lt;=$B428)*(B_Drainage!$B$5:$B$204&gt;$B428)*(B_Drainage!$E$5:$E$204&lt;&gt;"")),IF(B_Drainage!$E$5:$E$204="-","",B_Drainage!$E$5:$E$204)),"")</f>
        <v/>
      </c>
      <c r="V428" s="181" t="str">
        <f>IFERROR(LOOKUP(2,1/((B_Drainage!$A$5:$A$204&lt;&gt;"")*(B_Drainage!$A$5:$A$204&lt;=$B428)*(B_Drainage!$B$5:$B$204&gt;$B428)*(B_Drainage!$F$5:$F$204&lt;&gt;"")),IF(B_Drainage!$F$5:$F$204="-","",1)),"")</f>
        <v/>
      </c>
      <c r="W428" s="181" t="str">
        <f>IFERROR(LOOKUP(2,1/((B_Drainage!$A$5:$A$204&lt;&gt;"")*(B_Drainage!$A$5:$A$204&lt;=$B428)*(B_Drainage!$B$5:$B$204&gt;$B428)*(B_Drainage!$F$5:$F$204&lt;&gt;"")),IF(B_Drainage!$F$5:$F$204="-","",B_Drainage!$F$5:$F$204)),"")</f>
        <v/>
      </c>
      <c r="X428" s="181" t="str">
        <f>IFERROR(LOOKUP(2,1/((B_Drainage!$A$5:$A$204&lt;&gt;"")*(B_Drainage!$A$5:$A$204&lt;=$B428)*(B_Drainage!$B$5:$B$204&gt;$B428)*(B_Drainage!$G$5:$G$204&lt;&gt;"")),IF(UPPER(B_Drainage!$G$5:$G$204)="Y",1,"")),"")</f>
        <v/>
      </c>
      <c r="Y428" s="181" t="str">
        <f>IFERROR(LOOKUP(2,1/((B_Drainage!$A$5:$A$204&lt;&gt;"")*(B_Drainage!$A$5:$A$204&lt;=$B428)*(B_Drainage!$B$5:$B$204&gt;$B428)*(B_Drainage!$H$5:$H$204&lt;&gt;"")),IF(UPPER(B_Drainage!$H$5:$H$204)="Y",1,"")),"")</f>
        <v/>
      </c>
      <c r="Z428" s="181" t="str">
        <f>IFERROR(LOOKUP(2,1/((B_Drainage!$A$5:$A$204&lt;&gt;"")*(B_Drainage!$A$5:$A$204&lt;=$B428)*(B_Drainage!$B$5:$B$204&gt;$B428)*(B_Drainage!$I$5:$I$204&lt;&gt;"")),IF(UPPER(B_Drainage!$I$5:$I$204)="Y",1,"")),"")</f>
        <v/>
      </c>
      <c r="AA428" s="181" t="str">
        <f>IFERROR(LOOKUP(2,1/((B_Drainage!$A$5:$A$204&lt;&gt;"")*(B_Drainage!$A$5:$A$204&lt;=$B428)*(B_Drainage!$B$5:$B$204&gt;$B428)*(B_Drainage!$J$5:$J$204&lt;&gt;"")),IF(UPPER(B_Drainage!$J$5:$J$204)="Y",1,"")),"")</f>
        <v/>
      </c>
      <c r="AB428" s="182" t="str">
        <f>IFERROR(LOOKUP(2,1/((B_Drainage!$A$5:$A$204&lt;&gt;"")*(B_Drainage!$A$5:$A$204&lt;=$B428)*(B_Drainage!$B$5:$B$204&gt;$B428)*(B_Drainage!$K$5:$K$204&lt;&gt;"")),IF(B_Drainage!$K$5:$K$204="-","",B_Drainage!$K$5:$K$204)),"")</f>
        <v/>
      </c>
      <c r="AC428" s="182" t="str">
        <f>IFERROR(LOOKUP(2,1/((B_Drainage!$A$5:$A$204&lt;&gt;"")*(B_Drainage!$A$5:$A$204&lt;=$B428)*(B_Drainage!$B$5:$B$204&gt;$B428)*(B_Drainage!$L$5:$L$204&lt;&gt;"")),IF(B_Drainage!$L$5:$L$204="-","",B_Drainage!$L$5:$L$204)),"")</f>
        <v/>
      </c>
      <c r="AD428" s="182" t="str">
        <f>IFERROR(LOOKUP(2,1/((D_Points!$A$5:$A$204&lt;&gt;"")*(D_Points!$A$5:$A$204&gt;=$B428)*(D_Points!$A$5:$A$204&lt;$B428+P_Interval)*(UPPER(TRIM(D_Points!$B$5:$B$204))="TURNOUT_L")*(D_Points!$H$5:$H$204&lt;&gt;"")),D_Points!$H$5:$H$204),"")</f>
        <v/>
      </c>
      <c r="AE428" s="182" t="str">
        <f>IFERROR(LOOKUP(2,1/((D_Points!$A$5:$A$204&lt;&gt;"")*(D_Points!$A$5:$A$204&gt;=$B428)*(D_Points!$A$5:$A$204&lt;$B428+P_Interval)*(UPPER(TRIM(D_Points!$B$5:$B$204))="TURNOUT_R")*(D_Points!$H$5:$H$204&lt;&gt;"")),D_Points!$H$5:$H$204),"")</f>
        <v/>
      </c>
      <c r="AF428" s="181" t="str">
        <f>IFERROR(LOOKUP(2,1/((B_Drainage!$A$5:$A$204&lt;&gt;"")*(B_Drainage!$A$5:$A$204&lt;=$B428)*(B_Drainage!$B$5:$B$204&gt;$B428)*(B_Drainage!$M$5:$M$204&lt;&gt;"")),IF(UPPER(B_Drainage!$M$5:$M$204)="Y",1,"")),"")</f>
        <v/>
      </c>
      <c r="AG428" s="181" t="str">
        <f>IFERROR(LOOKUP(2,1/((B_Drainage!$A$5:$A$204&lt;&gt;"")*(B_Drainage!$A$5:$A$204&lt;=$B428)*(B_Drainage!$B$5:$B$204&gt;$B428)*(B_Drainage!$N$5:$N$204&lt;&gt;"")),IF(UPPER(B_Drainage!$N$5:$N$204)="Y",1,"")),"")</f>
        <v/>
      </c>
      <c r="AH428" s="181" t="str">
        <f t="shared" si="48"/>
        <v/>
      </c>
      <c r="AI428" s="181" t="str">
        <f t="shared" si="49"/>
        <v/>
      </c>
      <c r="AJ428" s="181" t="str">
        <f t="shared" si="50"/>
        <v/>
      </c>
      <c r="AK428" s="181" t="str">
        <f t="shared" si="51"/>
        <v/>
      </c>
      <c r="AL428" s="181" t="str">
        <f t="shared" si="52"/>
        <v/>
      </c>
      <c r="AM428" s="181" t="str">
        <f t="shared" si="53"/>
        <v/>
      </c>
      <c r="AN428" s="181" t="str">
        <f t="shared" si="54"/>
        <v/>
      </c>
      <c r="AO428" s="192" t="str">
        <f t="shared" si="55"/>
        <v/>
      </c>
      <c r="AQ428" t="str">
        <f>IFERROR(LOOKUP(2,1/((C_Pavement!$A$5:$A$204&lt;&gt;"")*(C_Pavement!$A$5:$A$204&lt;=$B428)*(C_Pavement!$B$5:$B$204&gt;$B428)*(C_Pavement!$C$5:$C$204&lt;&gt;"")),ROW(C_Pavement!$C$5:$C$204)-4),"")</f>
        <v/>
      </c>
      <c r="AR428" t="str">
        <f>IF($AQ428="","",UPPER(TRIM(INDEX(C_Pavement!$C$5:$C$204,$AQ428))))</f>
        <v/>
      </c>
      <c r="AS428" t="str">
        <f>IF($AR428="","",IFERROR(MATCH($AR428,E_Rules!$A$5:$A$9,0),""))</f>
        <v/>
      </c>
      <c r="AT428" t="str">
        <f>IF($AQ428="","",IF(INDEX(C_Pavement!$D$5:$D$204,$AQ428)&lt;&gt;"",UPPER(TRIM(INDEX(C_Pavement!$D$5:$D$204,$AQ428))),IF($AS428="","",INDEX(E_Rules!$C$5:$C$9,$AS428))))</f>
        <v/>
      </c>
      <c r="AU428" t="str">
        <f>IF($AQ428="","",IF(INDEX(C_Pavement!$E$5:$E$204,$AQ428)&lt;&gt;"",IF(INDEX(C_Pavement!$E$5:$E$204,$AQ428)="-","",INDEX(C_Pavement!$E$5:$E$204,$AQ428)),IF($AS428="","",INDEX(E_Rules!$D$5:$D$9,$AS428))))</f>
        <v/>
      </c>
      <c r="AV428" t="str">
        <f>IF($AQ428="","",IF(INDEX(C_Pavement!$F$5:$F$204,$AQ428)&lt;&gt;"",IF(INDEX(C_Pavement!$F$5:$F$204,$AQ428)="-","",INDEX(C_Pavement!$F$5:$F$204,$AQ428)),IF($AS428="","",INDEX(E_Rules!$E$5:$E$9,$AS428))))</f>
        <v/>
      </c>
      <c r="AW428" t="str">
        <f>IF($AQ428="","",IF(INDEX(C_Pavement!$G$5:$G$204,$AQ428)&lt;&gt;"",IF(INDEX(C_Pavement!$G$5:$G$204,$AQ428)="-","",INDEX(C_Pavement!$G$5:$G$204,$AQ428)),IF($AS428="","",INDEX(E_Rules!$F$5:$F$9,$AS428))))</f>
        <v/>
      </c>
      <c r="AX428" t="str">
        <f>IF($AQ428="","",IF(INDEX(C_Pavement!$H$5:$H$204,$AQ428)&lt;&gt;"",IF(INDEX(C_Pavement!$H$5:$H$204,$AQ428)="-","",INDEX(C_Pavement!$H$5:$H$204,$AQ428)),IF($AS428="","",INDEX(E_Rules!$G$5:$G$9,$AS428))))</f>
        <v/>
      </c>
      <c r="AY428" t="str">
        <f>IF($AQ428="","",IF(INDEX(C_Pavement!$I$5:$I$204,$AQ428)&lt;&gt;"",IF(INDEX(C_Pavement!$I$5:$I$204,$AQ428)="-","",INDEX(C_Pavement!$I$5:$I$204,$AQ428)),IF($AS428="","",INDEX(E_Rules!$H$5:$H$9,$AS428))))</f>
        <v/>
      </c>
    </row>
    <row r="429" spans="1:51" ht="15.75" customHeight="1" x14ac:dyDescent="0.3">
      <c r="A429" s="189">
        <v>424</v>
      </c>
      <c r="B429" s="180">
        <v>21150</v>
      </c>
      <c r="C429" s="180" t="s">
        <v>735</v>
      </c>
      <c r="D429" s="181" t="str">
        <f>IFERROR(LOOKUP(2,1/((A_Corridor!$A$5:$A$204&lt;&gt;"")*(A_Corridor!$A$5:$A$204&lt;=$B429)*(A_Corridor!$B$5:$B$204&gt;$B429)*(A_Corridor!$C$5:$C$204&lt;&gt;"")),IF(UPPER(A_Corridor!$C$5:$C$204)="Y",1,"")),"")</f>
        <v/>
      </c>
      <c r="E429" s="181" t="str">
        <f>IFERROR(LOOKUP(2,1/((A_Corridor!$A$5:$A$204&lt;&gt;"")*(A_Corridor!$A$5:$A$204&lt;=$B429)*(A_Corridor!$B$5:$B$204&gt;$B429)*(A_Corridor!$D$5:$D$204&lt;&gt;"")),IF(A_Corridor!$D$5:$D$204="-","",UPPER(A_Corridor!$D$5:$D$204))),"")</f>
        <v/>
      </c>
      <c r="F429" s="181" t="str">
        <f>IFERROR(LOOKUP(2,1/((A_Corridor!$A$5:$A$204&lt;&gt;"")*(A_Corridor!$A$5:$A$204&lt;=$B429)*(A_Corridor!$B$5:$B$204&gt;$B429)*(A_Corridor!$E$5:$E$204&lt;&gt;"")),IF(A_Corridor!$E$5:$E$204="-","",1)),"")</f>
        <v/>
      </c>
      <c r="G429" s="182" t="str">
        <f>IFERROR(LOOKUP(2,1/((A_Corridor!$A$5:$A$204&lt;&gt;"")*(A_Corridor!$A$5:$A$204&lt;=$B429)*(A_Corridor!$B$5:$B$204&gt;$B429)*(A_Corridor!$E$5:$E$204&lt;&gt;"")),IF(A_Corridor!$E$5:$E$204="-","",A_Corridor!$E$5:$E$204)),"")</f>
        <v/>
      </c>
      <c r="H429" s="182" t="str">
        <f>IFERROR(LOOKUP(2,1/((D_Points!$A$5:$A$204&lt;&gt;"")*(D_Points!$A$5:$A$204&gt;=$B429)*(D_Points!$A$5:$A$204&lt;$B429+P_Interval)*(UPPER(TRIM(D_Points!$B$5:$B$204))="GULLY")*(D_Points!$H$5:$H$204&lt;&gt;"")),D_Points!$H$5:$H$204),"")</f>
        <v/>
      </c>
      <c r="I429" s="181" t="str">
        <f>IFERROR(LOOKUP(2,1/((A_Corridor!$A$5:$A$204&lt;&gt;"")*(A_Corridor!$A$5:$A$204&lt;=$B429)*(A_Corridor!$B$5:$B$204&gt;$B429)*(A_Corridor!$F$5:$F$204&lt;&gt;"")),IF(A_Corridor!$F$5:$F$204="-","",1)),"")</f>
        <v/>
      </c>
      <c r="J429" s="182" t="str">
        <f>IFERROR(LOOKUP(2,1/((A_Corridor!$A$5:$A$204&lt;&gt;"")*(A_Corridor!$A$5:$A$204&lt;=$B429)*(A_Corridor!$B$5:$B$204&gt;$B429)*(A_Corridor!$F$5:$F$204&lt;&gt;"")),IF(A_Corridor!$F$5:$F$204="-","",A_Corridor!$F$5:$F$204)),"")</f>
        <v/>
      </c>
      <c r="K429" s="182" t="str">
        <f>IFERROR(LOOKUP(2,1/((A_Corridor!$A$5:$A$204&lt;&gt;"")*(A_Corridor!$A$5:$A$204&lt;=$B429)*(A_Corridor!$B$5:$B$204&gt;$B429)*(A_Corridor!$G$5:$G$204&lt;&gt;"")),IF(A_Corridor!$G$5:$G$204="-","",A_Corridor!$G$5:$G$204)),"")</f>
        <v/>
      </c>
      <c r="L429" s="181" t="str">
        <f>IFERROR(LOOKUP(2,1/((A_Corridor!$A$5:$A$204&lt;&gt;"")*(A_Corridor!$A$5:$A$204&lt;=$B429)*(A_Corridor!$B$5:$B$204&gt;$B429)*(A_Corridor!$H$5:$H$204&lt;&gt;"")),IF(A_Corridor!$H$5:$H$204="-","",1)),"")</f>
        <v/>
      </c>
      <c r="M429" s="182" t="str">
        <f>IFERROR(LOOKUP(2,1/((A_Corridor!$A$5:$A$204&lt;&gt;"")*(A_Corridor!$A$5:$A$204&lt;=$B429)*(A_Corridor!$B$5:$B$204&gt;$B429)*(A_Corridor!$H$5:$H$204&lt;&gt;"")),IF(A_Corridor!$H$5:$H$204="-","",A_Corridor!$H$5:$H$204)),"")</f>
        <v/>
      </c>
      <c r="N429" s="182" t="str">
        <f>IFERROR(LOOKUP(2,1/((A_Corridor!$A$5:$A$204&lt;&gt;"")*(A_Corridor!$A$5:$A$204&lt;=$B429)*(A_Corridor!$B$5:$B$204&gt;$B429)*(A_Corridor!$I$5:$I$204&lt;&gt;"")),IF(A_Corridor!$I$5:$I$204="-","",A_Corridor!$I$5:$I$204)),"")</f>
        <v/>
      </c>
      <c r="O429" s="182" t="str">
        <f>IFERROR(LOOKUP(2,1/((D_Points!$A$5:$A$204&lt;&gt;"")*(D_Points!$A$5:$A$204&gt;=$B429)*(D_Points!$A$5:$A$204&lt;$B429+P_Interval)*(UPPER(TRIM(D_Points!$B$5:$B$204))="PITCHING")*(D_Points!$H$5:$H$204&lt;&gt;"")),D_Points!$H$5:$H$204),"")</f>
        <v/>
      </c>
      <c r="P429" s="181" t="str">
        <f>IFERROR(LOOKUP(2,1/((B_Drainage!$A$5:$A$204&lt;&gt;"")*(B_Drainage!$A$5:$A$204&lt;=$B429)*(B_Drainage!$B$5:$B$204&gt;$B429)*(B_Drainage!$C$5:$C$204&lt;&gt;"")),IF(B_Drainage!$C$5:$C$204="-","",UPPER(B_Drainage!$C$5:$C$204))),"")</f>
        <v/>
      </c>
      <c r="Q429" s="181" t="str">
        <f>IFERROR(LOOKUP(2,1/((B_Drainage!$A$5:$A$204&lt;&gt;"")*(B_Drainage!$A$5:$A$204&lt;=$B429)*(B_Drainage!$B$5:$B$204&gt;$B429)*(B_Drainage!$D$5:$D$204&lt;&gt;"")),IF(B_Drainage!$D$5:$D$204="-","",UPPER(B_Drainage!$D$5:$D$204))),"")</f>
        <v/>
      </c>
      <c r="R429" s="182" t="str">
        <f>IFERROR(LOOKUP(2,1/((D_Points!$A$5:$A$204&lt;&gt;"")*(D_Points!$A$5:$A$204&gt;=$B429)*(D_Points!$A$5:$A$204&lt;$B429+P_Interval)*(RIGHT(UPPER(TRIM(D_Points!$B$5:$B$204)),8)="_CULVERT")),IF(LEFT(UPPER(TRIM(D_Points!$B$5:$B$204)),2)="EX",1,IF(LEFT(UPPER(TRIM(D_Points!$B$5:$B$204)),2)="PR",2,3))),"")</f>
        <v/>
      </c>
      <c r="S429" s="182" t="str">
        <f>IFERROR(LOOKUP(2,1/((D_Points!$A$5:$A$204&lt;&gt;"")*(D_Points!$A$5:$A$204&gt;=$B429)*(D_Points!$A$5:$A$204&lt;$B429+P_Interval)*(RIGHT(UPPER(TRIM(D_Points!$B$5:$B$204)),7)="_BRIDGE")),IF(LEFT(UPPER(TRIM(D_Points!$B$5:$B$204)),2)="EX",1,IF(LEFT(UPPER(TRIM(D_Points!$B$5:$B$204)),2)="PR",2,2))),"")</f>
        <v/>
      </c>
      <c r="T429" s="181" t="str">
        <f>IFERROR(LOOKUP(2,1/((B_Drainage!$A$5:$A$204&lt;&gt;"")*(B_Drainage!$A$5:$A$204&lt;=$B429)*(B_Drainage!$B$5:$B$204&gt;$B429)*(B_Drainage!$E$5:$E$204&lt;&gt;"")),IF(B_Drainage!$E$5:$E$204="-","",1)),"")</f>
        <v/>
      </c>
      <c r="U429" s="181" t="str">
        <f>IFERROR(LOOKUP(2,1/((B_Drainage!$A$5:$A$204&lt;&gt;"")*(B_Drainage!$A$5:$A$204&lt;=$B429)*(B_Drainage!$B$5:$B$204&gt;$B429)*(B_Drainage!$E$5:$E$204&lt;&gt;"")),IF(B_Drainage!$E$5:$E$204="-","",B_Drainage!$E$5:$E$204)),"")</f>
        <v/>
      </c>
      <c r="V429" s="181" t="str">
        <f>IFERROR(LOOKUP(2,1/((B_Drainage!$A$5:$A$204&lt;&gt;"")*(B_Drainage!$A$5:$A$204&lt;=$B429)*(B_Drainage!$B$5:$B$204&gt;$B429)*(B_Drainage!$F$5:$F$204&lt;&gt;"")),IF(B_Drainage!$F$5:$F$204="-","",1)),"")</f>
        <v/>
      </c>
      <c r="W429" s="181" t="str">
        <f>IFERROR(LOOKUP(2,1/((B_Drainage!$A$5:$A$204&lt;&gt;"")*(B_Drainage!$A$5:$A$204&lt;=$B429)*(B_Drainage!$B$5:$B$204&gt;$B429)*(B_Drainage!$F$5:$F$204&lt;&gt;"")),IF(B_Drainage!$F$5:$F$204="-","",B_Drainage!$F$5:$F$204)),"")</f>
        <v/>
      </c>
      <c r="X429" s="181" t="str">
        <f>IFERROR(LOOKUP(2,1/((B_Drainage!$A$5:$A$204&lt;&gt;"")*(B_Drainage!$A$5:$A$204&lt;=$B429)*(B_Drainage!$B$5:$B$204&gt;$B429)*(B_Drainage!$G$5:$G$204&lt;&gt;"")),IF(UPPER(B_Drainage!$G$5:$G$204)="Y",1,"")),"")</f>
        <v/>
      </c>
      <c r="Y429" s="181" t="str">
        <f>IFERROR(LOOKUP(2,1/((B_Drainage!$A$5:$A$204&lt;&gt;"")*(B_Drainage!$A$5:$A$204&lt;=$B429)*(B_Drainage!$B$5:$B$204&gt;$B429)*(B_Drainage!$H$5:$H$204&lt;&gt;"")),IF(UPPER(B_Drainage!$H$5:$H$204)="Y",1,"")),"")</f>
        <v/>
      </c>
      <c r="Z429" s="181" t="str">
        <f>IFERROR(LOOKUP(2,1/((B_Drainage!$A$5:$A$204&lt;&gt;"")*(B_Drainage!$A$5:$A$204&lt;=$B429)*(B_Drainage!$B$5:$B$204&gt;$B429)*(B_Drainage!$I$5:$I$204&lt;&gt;"")),IF(UPPER(B_Drainage!$I$5:$I$204)="Y",1,"")),"")</f>
        <v/>
      </c>
      <c r="AA429" s="181" t="str">
        <f>IFERROR(LOOKUP(2,1/((B_Drainage!$A$5:$A$204&lt;&gt;"")*(B_Drainage!$A$5:$A$204&lt;=$B429)*(B_Drainage!$B$5:$B$204&gt;$B429)*(B_Drainage!$J$5:$J$204&lt;&gt;"")),IF(UPPER(B_Drainage!$J$5:$J$204)="Y",1,"")),"")</f>
        <v/>
      </c>
      <c r="AB429" s="182" t="str">
        <f>IFERROR(LOOKUP(2,1/((B_Drainage!$A$5:$A$204&lt;&gt;"")*(B_Drainage!$A$5:$A$204&lt;=$B429)*(B_Drainage!$B$5:$B$204&gt;$B429)*(B_Drainage!$K$5:$K$204&lt;&gt;"")),IF(B_Drainage!$K$5:$K$204="-","",B_Drainage!$K$5:$K$204)),"")</f>
        <v/>
      </c>
      <c r="AC429" s="182" t="str">
        <f>IFERROR(LOOKUP(2,1/((B_Drainage!$A$5:$A$204&lt;&gt;"")*(B_Drainage!$A$5:$A$204&lt;=$B429)*(B_Drainage!$B$5:$B$204&gt;$B429)*(B_Drainage!$L$5:$L$204&lt;&gt;"")),IF(B_Drainage!$L$5:$L$204="-","",B_Drainage!$L$5:$L$204)),"")</f>
        <v/>
      </c>
      <c r="AD429" s="182" t="str">
        <f>IFERROR(LOOKUP(2,1/((D_Points!$A$5:$A$204&lt;&gt;"")*(D_Points!$A$5:$A$204&gt;=$B429)*(D_Points!$A$5:$A$204&lt;$B429+P_Interval)*(UPPER(TRIM(D_Points!$B$5:$B$204))="TURNOUT_L")*(D_Points!$H$5:$H$204&lt;&gt;"")),D_Points!$H$5:$H$204),"")</f>
        <v/>
      </c>
      <c r="AE429" s="182" t="str">
        <f>IFERROR(LOOKUP(2,1/((D_Points!$A$5:$A$204&lt;&gt;"")*(D_Points!$A$5:$A$204&gt;=$B429)*(D_Points!$A$5:$A$204&lt;$B429+P_Interval)*(UPPER(TRIM(D_Points!$B$5:$B$204))="TURNOUT_R")*(D_Points!$H$5:$H$204&lt;&gt;"")),D_Points!$H$5:$H$204),"")</f>
        <v/>
      </c>
      <c r="AF429" s="181" t="str">
        <f>IFERROR(LOOKUP(2,1/((B_Drainage!$A$5:$A$204&lt;&gt;"")*(B_Drainage!$A$5:$A$204&lt;=$B429)*(B_Drainage!$B$5:$B$204&gt;$B429)*(B_Drainage!$M$5:$M$204&lt;&gt;"")),IF(UPPER(B_Drainage!$M$5:$M$204)="Y",1,"")),"")</f>
        <v/>
      </c>
      <c r="AG429" s="181" t="str">
        <f>IFERROR(LOOKUP(2,1/((B_Drainage!$A$5:$A$204&lt;&gt;"")*(B_Drainage!$A$5:$A$204&lt;=$B429)*(B_Drainage!$B$5:$B$204&gt;$B429)*(B_Drainage!$N$5:$N$204&lt;&gt;"")),IF(UPPER(B_Drainage!$N$5:$N$204)="Y",1,"")),"")</f>
        <v/>
      </c>
      <c r="AH429" s="181" t="str">
        <f t="shared" si="48"/>
        <v/>
      </c>
      <c r="AI429" s="181" t="str">
        <f t="shared" si="49"/>
        <v/>
      </c>
      <c r="AJ429" s="181" t="str">
        <f t="shared" si="50"/>
        <v/>
      </c>
      <c r="AK429" s="181" t="str">
        <f t="shared" si="51"/>
        <v/>
      </c>
      <c r="AL429" s="181" t="str">
        <f t="shared" si="52"/>
        <v/>
      </c>
      <c r="AM429" s="181" t="str">
        <f t="shared" si="53"/>
        <v/>
      </c>
      <c r="AN429" s="181" t="str">
        <f t="shared" si="54"/>
        <v/>
      </c>
      <c r="AO429" s="192" t="str">
        <f t="shared" si="55"/>
        <v/>
      </c>
      <c r="AQ429" t="str">
        <f>IFERROR(LOOKUP(2,1/((C_Pavement!$A$5:$A$204&lt;&gt;"")*(C_Pavement!$A$5:$A$204&lt;=$B429)*(C_Pavement!$B$5:$B$204&gt;$B429)*(C_Pavement!$C$5:$C$204&lt;&gt;"")),ROW(C_Pavement!$C$5:$C$204)-4),"")</f>
        <v/>
      </c>
      <c r="AR429" t="str">
        <f>IF($AQ429="","",UPPER(TRIM(INDEX(C_Pavement!$C$5:$C$204,$AQ429))))</f>
        <v/>
      </c>
      <c r="AS429" t="str">
        <f>IF($AR429="","",IFERROR(MATCH($AR429,E_Rules!$A$5:$A$9,0),""))</f>
        <v/>
      </c>
      <c r="AT429" t="str">
        <f>IF($AQ429="","",IF(INDEX(C_Pavement!$D$5:$D$204,$AQ429)&lt;&gt;"",UPPER(TRIM(INDEX(C_Pavement!$D$5:$D$204,$AQ429))),IF($AS429="","",INDEX(E_Rules!$C$5:$C$9,$AS429))))</f>
        <v/>
      </c>
      <c r="AU429" t="str">
        <f>IF($AQ429="","",IF(INDEX(C_Pavement!$E$5:$E$204,$AQ429)&lt;&gt;"",IF(INDEX(C_Pavement!$E$5:$E$204,$AQ429)="-","",INDEX(C_Pavement!$E$5:$E$204,$AQ429)),IF($AS429="","",INDEX(E_Rules!$D$5:$D$9,$AS429))))</f>
        <v/>
      </c>
      <c r="AV429" t="str">
        <f>IF($AQ429="","",IF(INDEX(C_Pavement!$F$5:$F$204,$AQ429)&lt;&gt;"",IF(INDEX(C_Pavement!$F$5:$F$204,$AQ429)="-","",INDEX(C_Pavement!$F$5:$F$204,$AQ429)),IF($AS429="","",INDEX(E_Rules!$E$5:$E$9,$AS429))))</f>
        <v/>
      </c>
      <c r="AW429" t="str">
        <f>IF($AQ429="","",IF(INDEX(C_Pavement!$G$5:$G$204,$AQ429)&lt;&gt;"",IF(INDEX(C_Pavement!$G$5:$G$204,$AQ429)="-","",INDEX(C_Pavement!$G$5:$G$204,$AQ429)),IF($AS429="","",INDEX(E_Rules!$F$5:$F$9,$AS429))))</f>
        <v/>
      </c>
      <c r="AX429" t="str">
        <f>IF($AQ429="","",IF(INDEX(C_Pavement!$H$5:$H$204,$AQ429)&lt;&gt;"",IF(INDEX(C_Pavement!$H$5:$H$204,$AQ429)="-","",INDEX(C_Pavement!$H$5:$H$204,$AQ429)),IF($AS429="","",INDEX(E_Rules!$G$5:$G$9,$AS429))))</f>
        <v/>
      </c>
      <c r="AY429" t="str">
        <f>IF($AQ429="","",IF(INDEX(C_Pavement!$I$5:$I$204,$AQ429)&lt;&gt;"",IF(INDEX(C_Pavement!$I$5:$I$204,$AQ429)="-","",INDEX(C_Pavement!$I$5:$I$204,$AQ429)),IF($AS429="","",INDEX(E_Rules!$H$5:$H$9,$AS429))))</f>
        <v/>
      </c>
    </row>
    <row r="430" spans="1:51" ht="15.75" customHeight="1" x14ac:dyDescent="0.3">
      <c r="A430" s="189">
        <v>425</v>
      </c>
      <c r="B430" s="180">
        <v>21200</v>
      </c>
      <c r="C430" s="180" t="s">
        <v>736</v>
      </c>
      <c r="D430" s="181" t="str">
        <f>IFERROR(LOOKUP(2,1/((A_Corridor!$A$5:$A$204&lt;&gt;"")*(A_Corridor!$A$5:$A$204&lt;=$B430)*(A_Corridor!$B$5:$B$204&gt;$B430)*(A_Corridor!$C$5:$C$204&lt;&gt;"")),IF(UPPER(A_Corridor!$C$5:$C$204)="Y",1,"")),"")</f>
        <v/>
      </c>
      <c r="E430" s="181" t="str">
        <f>IFERROR(LOOKUP(2,1/((A_Corridor!$A$5:$A$204&lt;&gt;"")*(A_Corridor!$A$5:$A$204&lt;=$B430)*(A_Corridor!$B$5:$B$204&gt;$B430)*(A_Corridor!$D$5:$D$204&lt;&gt;"")),IF(A_Corridor!$D$5:$D$204="-","",UPPER(A_Corridor!$D$5:$D$204))),"")</f>
        <v/>
      </c>
      <c r="F430" s="181" t="str">
        <f>IFERROR(LOOKUP(2,1/((A_Corridor!$A$5:$A$204&lt;&gt;"")*(A_Corridor!$A$5:$A$204&lt;=$B430)*(A_Corridor!$B$5:$B$204&gt;$B430)*(A_Corridor!$E$5:$E$204&lt;&gt;"")),IF(A_Corridor!$E$5:$E$204="-","",1)),"")</f>
        <v/>
      </c>
      <c r="G430" s="182" t="str">
        <f>IFERROR(LOOKUP(2,1/((A_Corridor!$A$5:$A$204&lt;&gt;"")*(A_Corridor!$A$5:$A$204&lt;=$B430)*(A_Corridor!$B$5:$B$204&gt;$B430)*(A_Corridor!$E$5:$E$204&lt;&gt;"")),IF(A_Corridor!$E$5:$E$204="-","",A_Corridor!$E$5:$E$204)),"")</f>
        <v/>
      </c>
      <c r="H430" s="182" t="str">
        <f>IFERROR(LOOKUP(2,1/((D_Points!$A$5:$A$204&lt;&gt;"")*(D_Points!$A$5:$A$204&gt;=$B430)*(D_Points!$A$5:$A$204&lt;$B430+P_Interval)*(UPPER(TRIM(D_Points!$B$5:$B$204))="GULLY")*(D_Points!$H$5:$H$204&lt;&gt;"")),D_Points!$H$5:$H$204),"")</f>
        <v/>
      </c>
      <c r="I430" s="181" t="str">
        <f>IFERROR(LOOKUP(2,1/((A_Corridor!$A$5:$A$204&lt;&gt;"")*(A_Corridor!$A$5:$A$204&lt;=$B430)*(A_Corridor!$B$5:$B$204&gt;$B430)*(A_Corridor!$F$5:$F$204&lt;&gt;"")),IF(A_Corridor!$F$5:$F$204="-","",1)),"")</f>
        <v/>
      </c>
      <c r="J430" s="182" t="str">
        <f>IFERROR(LOOKUP(2,1/((A_Corridor!$A$5:$A$204&lt;&gt;"")*(A_Corridor!$A$5:$A$204&lt;=$B430)*(A_Corridor!$B$5:$B$204&gt;$B430)*(A_Corridor!$F$5:$F$204&lt;&gt;"")),IF(A_Corridor!$F$5:$F$204="-","",A_Corridor!$F$5:$F$204)),"")</f>
        <v/>
      </c>
      <c r="K430" s="182" t="str">
        <f>IFERROR(LOOKUP(2,1/((A_Corridor!$A$5:$A$204&lt;&gt;"")*(A_Corridor!$A$5:$A$204&lt;=$B430)*(A_Corridor!$B$5:$B$204&gt;$B430)*(A_Corridor!$G$5:$G$204&lt;&gt;"")),IF(A_Corridor!$G$5:$G$204="-","",A_Corridor!$G$5:$G$204)),"")</f>
        <v/>
      </c>
      <c r="L430" s="181" t="str">
        <f>IFERROR(LOOKUP(2,1/((A_Corridor!$A$5:$A$204&lt;&gt;"")*(A_Corridor!$A$5:$A$204&lt;=$B430)*(A_Corridor!$B$5:$B$204&gt;$B430)*(A_Corridor!$H$5:$H$204&lt;&gt;"")),IF(A_Corridor!$H$5:$H$204="-","",1)),"")</f>
        <v/>
      </c>
      <c r="M430" s="182" t="str">
        <f>IFERROR(LOOKUP(2,1/((A_Corridor!$A$5:$A$204&lt;&gt;"")*(A_Corridor!$A$5:$A$204&lt;=$B430)*(A_Corridor!$B$5:$B$204&gt;$B430)*(A_Corridor!$H$5:$H$204&lt;&gt;"")),IF(A_Corridor!$H$5:$H$204="-","",A_Corridor!$H$5:$H$204)),"")</f>
        <v/>
      </c>
      <c r="N430" s="182" t="str">
        <f>IFERROR(LOOKUP(2,1/((A_Corridor!$A$5:$A$204&lt;&gt;"")*(A_Corridor!$A$5:$A$204&lt;=$B430)*(A_Corridor!$B$5:$B$204&gt;$B430)*(A_Corridor!$I$5:$I$204&lt;&gt;"")),IF(A_Corridor!$I$5:$I$204="-","",A_Corridor!$I$5:$I$204)),"")</f>
        <v/>
      </c>
      <c r="O430" s="182" t="str">
        <f>IFERROR(LOOKUP(2,1/((D_Points!$A$5:$A$204&lt;&gt;"")*(D_Points!$A$5:$A$204&gt;=$B430)*(D_Points!$A$5:$A$204&lt;$B430+P_Interval)*(UPPER(TRIM(D_Points!$B$5:$B$204))="PITCHING")*(D_Points!$H$5:$H$204&lt;&gt;"")),D_Points!$H$5:$H$204),"")</f>
        <v/>
      </c>
      <c r="P430" s="181" t="str">
        <f>IFERROR(LOOKUP(2,1/((B_Drainage!$A$5:$A$204&lt;&gt;"")*(B_Drainage!$A$5:$A$204&lt;=$B430)*(B_Drainage!$B$5:$B$204&gt;$B430)*(B_Drainage!$C$5:$C$204&lt;&gt;"")),IF(B_Drainage!$C$5:$C$204="-","",UPPER(B_Drainage!$C$5:$C$204))),"")</f>
        <v/>
      </c>
      <c r="Q430" s="181" t="str">
        <f>IFERROR(LOOKUP(2,1/((B_Drainage!$A$5:$A$204&lt;&gt;"")*(B_Drainage!$A$5:$A$204&lt;=$B430)*(B_Drainage!$B$5:$B$204&gt;$B430)*(B_Drainage!$D$5:$D$204&lt;&gt;"")),IF(B_Drainage!$D$5:$D$204="-","",UPPER(B_Drainage!$D$5:$D$204))),"")</f>
        <v/>
      </c>
      <c r="R430" s="182" t="str">
        <f>IFERROR(LOOKUP(2,1/((D_Points!$A$5:$A$204&lt;&gt;"")*(D_Points!$A$5:$A$204&gt;=$B430)*(D_Points!$A$5:$A$204&lt;$B430+P_Interval)*(RIGHT(UPPER(TRIM(D_Points!$B$5:$B$204)),8)="_CULVERT")),IF(LEFT(UPPER(TRIM(D_Points!$B$5:$B$204)),2)="EX",1,IF(LEFT(UPPER(TRIM(D_Points!$B$5:$B$204)),2)="PR",2,3))),"")</f>
        <v/>
      </c>
      <c r="S430" s="182" t="str">
        <f>IFERROR(LOOKUP(2,1/((D_Points!$A$5:$A$204&lt;&gt;"")*(D_Points!$A$5:$A$204&gt;=$B430)*(D_Points!$A$5:$A$204&lt;$B430+P_Interval)*(RIGHT(UPPER(TRIM(D_Points!$B$5:$B$204)),7)="_BRIDGE")),IF(LEFT(UPPER(TRIM(D_Points!$B$5:$B$204)),2)="EX",1,IF(LEFT(UPPER(TRIM(D_Points!$B$5:$B$204)),2)="PR",2,2))),"")</f>
        <v/>
      </c>
      <c r="T430" s="181" t="str">
        <f>IFERROR(LOOKUP(2,1/((B_Drainage!$A$5:$A$204&lt;&gt;"")*(B_Drainage!$A$5:$A$204&lt;=$B430)*(B_Drainage!$B$5:$B$204&gt;$B430)*(B_Drainage!$E$5:$E$204&lt;&gt;"")),IF(B_Drainage!$E$5:$E$204="-","",1)),"")</f>
        <v/>
      </c>
      <c r="U430" s="181" t="str">
        <f>IFERROR(LOOKUP(2,1/((B_Drainage!$A$5:$A$204&lt;&gt;"")*(B_Drainage!$A$5:$A$204&lt;=$B430)*(B_Drainage!$B$5:$B$204&gt;$B430)*(B_Drainage!$E$5:$E$204&lt;&gt;"")),IF(B_Drainage!$E$5:$E$204="-","",B_Drainage!$E$5:$E$204)),"")</f>
        <v/>
      </c>
      <c r="V430" s="181" t="str">
        <f>IFERROR(LOOKUP(2,1/((B_Drainage!$A$5:$A$204&lt;&gt;"")*(B_Drainage!$A$5:$A$204&lt;=$B430)*(B_Drainage!$B$5:$B$204&gt;$B430)*(B_Drainage!$F$5:$F$204&lt;&gt;"")),IF(B_Drainage!$F$5:$F$204="-","",1)),"")</f>
        <v/>
      </c>
      <c r="W430" s="181" t="str">
        <f>IFERROR(LOOKUP(2,1/((B_Drainage!$A$5:$A$204&lt;&gt;"")*(B_Drainage!$A$5:$A$204&lt;=$B430)*(B_Drainage!$B$5:$B$204&gt;$B430)*(B_Drainage!$F$5:$F$204&lt;&gt;"")),IF(B_Drainage!$F$5:$F$204="-","",B_Drainage!$F$5:$F$204)),"")</f>
        <v/>
      </c>
      <c r="X430" s="181" t="str">
        <f>IFERROR(LOOKUP(2,1/((B_Drainage!$A$5:$A$204&lt;&gt;"")*(B_Drainage!$A$5:$A$204&lt;=$B430)*(B_Drainage!$B$5:$B$204&gt;$B430)*(B_Drainage!$G$5:$G$204&lt;&gt;"")),IF(UPPER(B_Drainage!$G$5:$G$204)="Y",1,"")),"")</f>
        <v/>
      </c>
      <c r="Y430" s="181" t="str">
        <f>IFERROR(LOOKUP(2,1/((B_Drainage!$A$5:$A$204&lt;&gt;"")*(B_Drainage!$A$5:$A$204&lt;=$B430)*(B_Drainage!$B$5:$B$204&gt;$B430)*(B_Drainage!$H$5:$H$204&lt;&gt;"")),IF(UPPER(B_Drainage!$H$5:$H$204)="Y",1,"")),"")</f>
        <v/>
      </c>
      <c r="Z430" s="181" t="str">
        <f>IFERROR(LOOKUP(2,1/((B_Drainage!$A$5:$A$204&lt;&gt;"")*(B_Drainage!$A$5:$A$204&lt;=$B430)*(B_Drainage!$B$5:$B$204&gt;$B430)*(B_Drainage!$I$5:$I$204&lt;&gt;"")),IF(UPPER(B_Drainage!$I$5:$I$204)="Y",1,"")),"")</f>
        <v/>
      </c>
      <c r="AA430" s="181" t="str">
        <f>IFERROR(LOOKUP(2,1/((B_Drainage!$A$5:$A$204&lt;&gt;"")*(B_Drainage!$A$5:$A$204&lt;=$B430)*(B_Drainage!$B$5:$B$204&gt;$B430)*(B_Drainage!$J$5:$J$204&lt;&gt;"")),IF(UPPER(B_Drainage!$J$5:$J$204)="Y",1,"")),"")</f>
        <v/>
      </c>
      <c r="AB430" s="182" t="str">
        <f>IFERROR(LOOKUP(2,1/((B_Drainage!$A$5:$A$204&lt;&gt;"")*(B_Drainage!$A$5:$A$204&lt;=$B430)*(B_Drainage!$B$5:$B$204&gt;$B430)*(B_Drainage!$K$5:$K$204&lt;&gt;"")),IF(B_Drainage!$K$5:$K$204="-","",B_Drainage!$K$5:$K$204)),"")</f>
        <v/>
      </c>
      <c r="AC430" s="182" t="str">
        <f>IFERROR(LOOKUP(2,1/((B_Drainage!$A$5:$A$204&lt;&gt;"")*(B_Drainage!$A$5:$A$204&lt;=$B430)*(B_Drainage!$B$5:$B$204&gt;$B430)*(B_Drainage!$L$5:$L$204&lt;&gt;"")),IF(B_Drainage!$L$5:$L$204="-","",B_Drainage!$L$5:$L$204)),"")</f>
        <v/>
      </c>
      <c r="AD430" s="182" t="str">
        <f>IFERROR(LOOKUP(2,1/((D_Points!$A$5:$A$204&lt;&gt;"")*(D_Points!$A$5:$A$204&gt;=$B430)*(D_Points!$A$5:$A$204&lt;$B430+P_Interval)*(UPPER(TRIM(D_Points!$B$5:$B$204))="TURNOUT_L")*(D_Points!$H$5:$H$204&lt;&gt;"")),D_Points!$H$5:$H$204),"")</f>
        <v/>
      </c>
      <c r="AE430" s="182" t="str">
        <f>IFERROR(LOOKUP(2,1/((D_Points!$A$5:$A$204&lt;&gt;"")*(D_Points!$A$5:$A$204&gt;=$B430)*(D_Points!$A$5:$A$204&lt;$B430+P_Interval)*(UPPER(TRIM(D_Points!$B$5:$B$204))="TURNOUT_R")*(D_Points!$H$5:$H$204&lt;&gt;"")),D_Points!$H$5:$H$204),"")</f>
        <v/>
      </c>
      <c r="AF430" s="181" t="str">
        <f>IFERROR(LOOKUP(2,1/((B_Drainage!$A$5:$A$204&lt;&gt;"")*(B_Drainage!$A$5:$A$204&lt;=$B430)*(B_Drainage!$B$5:$B$204&gt;$B430)*(B_Drainage!$M$5:$M$204&lt;&gt;"")),IF(UPPER(B_Drainage!$M$5:$M$204)="Y",1,"")),"")</f>
        <v/>
      </c>
      <c r="AG430" s="181" t="str">
        <f>IFERROR(LOOKUP(2,1/((B_Drainage!$A$5:$A$204&lt;&gt;"")*(B_Drainage!$A$5:$A$204&lt;=$B430)*(B_Drainage!$B$5:$B$204&gt;$B430)*(B_Drainage!$N$5:$N$204&lt;&gt;"")),IF(UPPER(B_Drainage!$N$5:$N$204)="Y",1,"")),"")</f>
        <v/>
      </c>
      <c r="AH430" s="181" t="str">
        <f t="shared" si="48"/>
        <v/>
      </c>
      <c r="AI430" s="181" t="str">
        <f t="shared" si="49"/>
        <v/>
      </c>
      <c r="AJ430" s="181" t="str">
        <f t="shared" si="50"/>
        <v/>
      </c>
      <c r="AK430" s="181" t="str">
        <f t="shared" si="51"/>
        <v/>
      </c>
      <c r="AL430" s="181" t="str">
        <f t="shared" si="52"/>
        <v/>
      </c>
      <c r="AM430" s="181" t="str">
        <f t="shared" si="53"/>
        <v/>
      </c>
      <c r="AN430" s="181" t="str">
        <f t="shared" si="54"/>
        <v/>
      </c>
      <c r="AO430" s="192" t="str">
        <f t="shared" si="55"/>
        <v/>
      </c>
      <c r="AQ430" t="str">
        <f>IFERROR(LOOKUP(2,1/((C_Pavement!$A$5:$A$204&lt;&gt;"")*(C_Pavement!$A$5:$A$204&lt;=$B430)*(C_Pavement!$B$5:$B$204&gt;$B430)*(C_Pavement!$C$5:$C$204&lt;&gt;"")),ROW(C_Pavement!$C$5:$C$204)-4),"")</f>
        <v/>
      </c>
      <c r="AR430" t="str">
        <f>IF($AQ430="","",UPPER(TRIM(INDEX(C_Pavement!$C$5:$C$204,$AQ430))))</f>
        <v/>
      </c>
      <c r="AS430" t="str">
        <f>IF($AR430="","",IFERROR(MATCH($AR430,E_Rules!$A$5:$A$9,0),""))</f>
        <v/>
      </c>
      <c r="AT430" t="str">
        <f>IF($AQ430="","",IF(INDEX(C_Pavement!$D$5:$D$204,$AQ430)&lt;&gt;"",UPPER(TRIM(INDEX(C_Pavement!$D$5:$D$204,$AQ430))),IF($AS430="","",INDEX(E_Rules!$C$5:$C$9,$AS430))))</f>
        <v/>
      </c>
      <c r="AU430" t="str">
        <f>IF($AQ430="","",IF(INDEX(C_Pavement!$E$5:$E$204,$AQ430)&lt;&gt;"",IF(INDEX(C_Pavement!$E$5:$E$204,$AQ430)="-","",INDEX(C_Pavement!$E$5:$E$204,$AQ430)),IF($AS430="","",INDEX(E_Rules!$D$5:$D$9,$AS430))))</f>
        <v/>
      </c>
      <c r="AV430" t="str">
        <f>IF($AQ430="","",IF(INDEX(C_Pavement!$F$5:$F$204,$AQ430)&lt;&gt;"",IF(INDEX(C_Pavement!$F$5:$F$204,$AQ430)="-","",INDEX(C_Pavement!$F$5:$F$204,$AQ430)),IF($AS430="","",INDEX(E_Rules!$E$5:$E$9,$AS430))))</f>
        <v/>
      </c>
      <c r="AW430" t="str">
        <f>IF($AQ430="","",IF(INDEX(C_Pavement!$G$5:$G$204,$AQ430)&lt;&gt;"",IF(INDEX(C_Pavement!$G$5:$G$204,$AQ430)="-","",INDEX(C_Pavement!$G$5:$G$204,$AQ430)),IF($AS430="","",INDEX(E_Rules!$F$5:$F$9,$AS430))))</f>
        <v/>
      </c>
      <c r="AX430" t="str">
        <f>IF($AQ430="","",IF(INDEX(C_Pavement!$H$5:$H$204,$AQ430)&lt;&gt;"",IF(INDEX(C_Pavement!$H$5:$H$204,$AQ430)="-","",INDEX(C_Pavement!$H$5:$H$204,$AQ430)),IF($AS430="","",INDEX(E_Rules!$G$5:$G$9,$AS430))))</f>
        <v/>
      </c>
      <c r="AY430" t="str">
        <f>IF($AQ430="","",IF(INDEX(C_Pavement!$I$5:$I$204,$AQ430)&lt;&gt;"",IF(INDEX(C_Pavement!$I$5:$I$204,$AQ430)="-","",INDEX(C_Pavement!$I$5:$I$204,$AQ430)),IF($AS430="","",INDEX(E_Rules!$H$5:$H$9,$AS430))))</f>
        <v/>
      </c>
    </row>
    <row r="431" spans="1:51" ht="15.75" customHeight="1" x14ac:dyDescent="0.3">
      <c r="A431" s="189">
        <v>426</v>
      </c>
      <c r="B431" s="180">
        <v>21250</v>
      </c>
      <c r="C431" s="180" t="s">
        <v>737</v>
      </c>
      <c r="D431" s="181" t="str">
        <f>IFERROR(LOOKUP(2,1/((A_Corridor!$A$5:$A$204&lt;&gt;"")*(A_Corridor!$A$5:$A$204&lt;=$B431)*(A_Corridor!$B$5:$B$204&gt;$B431)*(A_Corridor!$C$5:$C$204&lt;&gt;"")),IF(UPPER(A_Corridor!$C$5:$C$204)="Y",1,"")),"")</f>
        <v/>
      </c>
      <c r="E431" s="181" t="str">
        <f>IFERROR(LOOKUP(2,1/((A_Corridor!$A$5:$A$204&lt;&gt;"")*(A_Corridor!$A$5:$A$204&lt;=$B431)*(A_Corridor!$B$5:$B$204&gt;$B431)*(A_Corridor!$D$5:$D$204&lt;&gt;"")),IF(A_Corridor!$D$5:$D$204="-","",UPPER(A_Corridor!$D$5:$D$204))),"")</f>
        <v/>
      </c>
      <c r="F431" s="181" t="str">
        <f>IFERROR(LOOKUP(2,1/((A_Corridor!$A$5:$A$204&lt;&gt;"")*(A_Corridor!$A$5:$A$204&lt;=$B431)*(A_Corridor!$B$5:$B$204&gt;$B431)*(A_Corridor!$E$5:$E$204&lt;&gt;"")),IF(A_Corridor!$E$5:$E$204="-","",1)),"")</f>
        <v/>
      </c>
      <c r="G431" s="182" t="str">
        <f>IFERROR(LOOKUP(2,1/((A_Corridor!$A$5:$A$204&lt;&gt;"")*(A_Corridor!$A$5:$A$204&lt;=$B431)*(A_Corridor!$B$5:$B$204&gt;$B431)*(A_Corridor!$E$5:$E$204&lt;&gt;"")),IF(A_Corridor!$E$5:$E$204="-","",A_Corridor!$E$5:$E$204)),"")</f>
        <v/>
      </c>
      <c r="H431" s="182" t="str">
        <f>IFERROR(LOOKUP(2,1/((D_Points!$A$5:$A$204&lt;&gt;"")*(D_Points!$A$5:$A$204&gt;=$B431)*(D_Points!$A$5:$A$204&lt;$B431+P_Interval)*(UPPER(TRIM(D_Points!$B$5:$B$204))="GULLY")*(D_Points!$H$5:$H$204&lt;&gt;"")),D_Points!$H$5:$H$204),"")</f>
        <v/>
      </c>
      <c r="I431" s="181" t="str">
        <f>IFERROR(LOOKUP(2,1/((A_Corridor!$A$5:$A$204&lt;&gt;"")*(A_Corridor!$A$5:$A$204&lt;=$B431)*(A_Corridor!$B$5:$B$204&gt;$B431)*(A_Corridor!$F$5:$F$204&lt;&gt;"")),IF(A_Corridor!$F$5:$F$204="-","",1)),"")</f>
        <v/>
      </c>
      <c r="J431" s="182" t="str">
        <f>IFERROR(LOOKUP(2,1/((A_Corridor!$A$5:$A$204&lt;&gt;"")*(A_Corridor!$A$5:$A$204&lt;=$B431)*(A_Corridor!$B$5:$B$204&gt;$B431)*(A_Corridor!$F$5:$F$204&lt;&gt;"")),IF(A_Corridor!$F$5:$F$204="-","",A_Corridor!$F$5:$F$204)),"")</f>
        <v/>
      </c>
      <c r="K431" s="182" t="str">
        <f>IFERROR(LOOKUP(2,1/((A_Corridor!$A$5:$A$204&lt;&gt;"")*(A_Corridor!$A$5:$A$204&lt;=$B431)*(A_Corridor!$B$5:$B$204&gt;$B431)*(A_Corridor!$G$5:$G$204&lt;&gt;"")),IF(A_Corridor!$G$5:$G$204="-","",A_Corridor!$G$5:$G$204)),"")</f>
        <v/>
      </c>
      <c r="L431" s="181" t="str">
        <f>IFERROR(LOOKUP(2,1/((A_Corridor!$A$5:$A$204&lt;&gt;"")*(A_Corridor!$A$5:$A$204&lt;=$B431)*(A_Corridor!$B$5:$B$204&gt;$B431)*(A_Corridor!$H$5:$H$204&lt;&gt;"")),IF(A_Corridor!$H$5:$H$204="-","",1)),"")</f>
        <v/>
      </c>
      <c r="M431" s="182" t="str">
        <f>IFERROR(LOOKUP(2,1/((A_Corridor!$A$5:$A$204&lt;&gt;"")*(A_Corridor!$A$5:$A$204&lt;=$B431)*(A_Corridor!$B$5:$B$204&gt;$B431)*(A_Corridor!$H$5:$H$204&lt;&gt;"")),IF(A_Corridor!$H$5:$H$204="-","",A_Corridor!$H$5:$H$204)),"")</f>
        <v/>
      </c>
      <c r="N431" s="182" t="str">
        <f>IFERROR(LOOKUP(2,1/((A_Corridor!$A$5:$A$204&lt;&gt;"")*(A_Corridor!$A$5:$A$204&lt;=$B431)*(A_Corridor!$B$5:$B$204&gt;$B431)*(A_Corridor!$I$5:$I$204&lt;&gt;"")),IF(A_Corridor!$I$5:$I$204="-","",A_Corridor!$I$5:$I$204)),"")</f>
        <v/>
      </c>
      <c r="O431" s="182" t="str">
        <f>IFERROR(LOOKUP(2,1/((D_Points!$A$5:$A$204&lt;&gt;"")*(D_Points!$A$5:$A$204&gt;=$B431)*(D_Points!$A$5:$A$204&lt;$B431+P_Interval)*(UPPER(TRIM(D_Points!$B$5:$B$204))="PITCHING")*(D_Points!$H$5:$H$204&lt;&gt;"")),D_Points!$H$5:$H$204),"")</f>
        <v/>
      </c>
      <c r="P431" s="181" t="str">
        <f>IFERROR(LOOKUP(2,1/((B_Drainage!$A$5:$A$204&lt;&gt;"")*(B_Drainage!$A$5:$A$204&lt;=$B431)*(B_Drainage!$B$5:$B$204&gt;$B431)*(B_Drainage!$C$5:$C$204&lt;&gt;"")),IF(B_Drainage!$C$5:$C$204="-","",UPPER(B_Drainage!$C$5:$C$204))),"")</f>
        <v/>
      </c>
      <c r="Q431" s="181" t="str">
        <f>IFERROR(LOOKUP(2,1/((B_Drainage!$A$5:$A$204&lt;&gt;"")*(B_Drainage!$A$5:$A$204&lt;=$B431)*(B_Drainage!$B$5:$B$204&gt;$B431)*(B_Drainage!$D$5:$D$204&lt;&gt;"")),IF(B_Drainage!$D$5:$D$204="-","",UPPER(B_Drainage!$D$5:$D$204))),"")</f>
        <v/>
      </c>
      <c r="R431" s="182" t="str">
        <f>IFERROR(LOOKUP(2,1/((D_Points!$A$5:$A$204&lt;&gt;"")*(D_Points!$A$5:$A$204&gt;=$B431)*(D_Points!$A$5:$A$204&lt;$B431+P_Interval)*(RIGHT(UPPER(TRIM(D_Points!$B$5:$B$204)),8)="_CULVERT")),IF(LEFT(UPPER(TRIM(D_Points!$B$5:$B$204)),2)="EX",1,IF(LEFT(UPPER(TRIM(D_Points!$B$5:$B$204)),2)="PR",2,3))),"")</f>
        <v/>
      </c>
      <c r="S431" s="182" t="str">
        <f>IFERROR(LOOKUP(2,1/((D_Points!$A$5:$A$204&lt;&gt;"")*(D_Points!$A$5:$A$204&gt;=$B431)*(D_Points!$A$5:$A$204&lt;$B431+P_Interval)*(RIGHT(UPPER(TRIM(D_Points!$B$5:$B$204)),7)="_BRIDGE")),IF(LEFT(UPPER(TRIM(D_Points!$B$5:$B$204)),2)="EX",1,IF(LEFT(UPPER(TRIM(D_Points!$B$5:$B$204)),2)="PR",2,2))),"")</f>
        <v/>
      </c>
      <c r="T431" s="181" t="str">
        <f>IFERROR(LOOKUP(2,1/((B_Drainage!$A$5:$A$204&lt;&gt;"")*(B_Drainage!$A$5:$A$204&lt;=$B431)*(B_Drainage!$B$5:$B$204&gt;$B431)*(B_Drainage!$E$5:$E$204&lt;&gt;"")),IF(B_Drainage!$E$5:$E$204="-","",1)),"")</f>
        <v/>
      </c>
      <c r="U431" s="181" t="str">
        <f>IFERROR(LOOKUP(2,1/((B_Drainage!$A$5:$A$204&lt;&gt;"")*(B_Drainage!$A$5:$A$204&lt;=$B431)*(B_Drainage!$B$5:$B$204&gt;$B431)*(B_Drainage!$E$5:$E$204&lt;&gt;"")),IF(B_Drainage!$E$5:$E$204="-","",B_Drainage!$E$5:$E$204)),"")</f>
        <v/>
      </c>
      <c r="V431" s="181" t="str">
        <f>IFERROR(LOOKUP(2,1/((B_Drainage!$A$5:$A$204&lt;&gt;"")*(B_Drainage!$A$5:$A$204&lt;=$B431)*(B_Drainage!$B$5:$B$204&gt;$B431)*(B_Drainage!$F$5:$F$204&lt;&gt;"")),IF(B_Drainage!$F$5:$F$204="-","",1)),"")</f>
        <v/>
      </c>
      <c r="W431" s="181" t="str">
        <f>IFERROR(LOOKUP(2,1/((B_Drainage!$A$5:$A$204&lt;&gt;"")*(B_Drainage!$A$5:$A$204&lt;=$B431)*(B_Drainage!$B$5:$B$204&gt;$B431)*(B_Drainage!$F$5:$F$204&lt;&gt;"")),IF(B_Drainage!$F$5:$F$204="-","",B_Drainage!$F$5:$F$204)),"")</f>
        <v/>
      </c>
      <c r="X431" s="181" t="str">
        <f>IFERROR(LOOKUP(2,1/((B_Drainage!$A$5:$A$204&lt;&gt;"")*(B_Drainage!$A$5:$A$204&lt;=$B431)*(B_Drainage!$B$5:$B$204&gt;$B431)*(B_Drainage!$G$5:$G$204&lt;&gt;"")),IF(UPPER(B_Drainage!$G$5:$G$204)="Y",1,"")),"")</f>
        <v/>
      </c>
      <c r="Y431" s="181" t="str">
        <f>IFERROR(LOOKUP(2,1/((B_Drainage!$A$5:$A$204&lt;&gt;"")*(B_Drainage!$A$5:$A$204&lt;=$B431)*(B_Drainage!$B$5:$B$204&gt;$B431)*(B_Drainage!$H$5:$H$204&lt;&gt;"")),IF(UPPER(B_Drainage!$H$5:$H$204)="Y",1,"")),"")</f>
        <v/>
      </c>
      <c r="Z431" s="181" t="str">
        <f>IFERROR(LOOKUP(2,1/((B_Drainage!$A$5:$A$204&lt;&gt;"")*(B_Drainage!$A$5:$A$204&lt;=$B431)*(B_Drainage!$B$5:$B$204&gt;$B431)*(B_Drainage!$I$5:$I$204&lt;&gt;"")),IF(UPPER(B_Drainage!$I$5:$I$204)="Y",1,"")),"")</f>
        <v/>
      </c>
      <c r="AA431" s="181" t="str">
        <f>IFERROR(LOOKUP(2,1/((B_Drainage!$A$5:$A$204&lt;&gt;"")*(B_Drainage!$A$5:$A$204&lt;=$B431)*(B_Drainage!$B$5:$B$204&gt;$B431)*(B_Drainage!$J$5:$J$204&lt;&gt;"")),IF(UPPER(B_Drainage!$J$5:$J$204)="Y",1,"")),"")</f>
        <v/>
      </c>
      <c r="AB431" s="182" t="str">
        <f>IFERROR(LOOKUP(2,1/((B_Drainage!$A$5:$A$204&lt;&gt;"")*(B_Drainage!$A$5:$A$204&lt;=$B431)*(B_Drainage!$B$5:$B$204&gt;$B431)*(B_Drainage!$K$5:$K$204&lt;&gt;"")),IF(B_Drainage!$K$5:$K$204="-","",B_Drainage!$K$5:$K$204)),"")</f>
        <v/>
      </c>
      <c r="AC431" s="182" t="str">
        <f>IFERROR(LOOKUP(2,1/((B_Drainage!$A$5:$A$204&lt;&gt;"")*(B_Drainage!$A$5:$A$204&lt;=$B431)*(B_Drainage!$B$5:$B$204&gt;$B431)*(B_Drainage!$L$5:$L$204&lt;&gt;"")),IF(B_Drainage!$L$5:$L$204="-","",B_Drainage!$L$5:$L$204)),"")</f>
        <v/>
      </c>
      <c r="AD431" s="182" t="str">
        <f>IFERROR(LOOKUP(2,1/((D_Points!$A$5:$A$204&lt;&gt;"")*(D_Points!$A$5:$A$204&gt;=$B431)*(D_Points!$A$5:$A$204&lt;$B431+P_Interval)*(UPPER(TRIM(D_Points!$B$5:$B$204))="TURNOUT_L")*(D_Points!$H$5:$H$204&lt;&gt;"")),D_Points!$H$5:$H$204),"")</f>
        <v/>
      </c>
      <c r="AE431" s="182" t="str">
        <f>IFERROR(LOOKUP(2,1/((D_Points!$A$5:$A$204&lt;&gt;"")*(D_Points!$A$5:$A$204&gt;=$B431)*(D_Points!$A$5:$A$204&lt;$B431+P_Interval)*(UPPER(TRIM(D_Points!$B$5:$B$204))="TURNOUT_R")*(D_Points!$H$5:$H$204&lt;&gt;"")),D_Points!$H$5:$H$204),"")</f>
        <v/>
      </c>
      <c r="AF431" s="181" t="str">
        <f>IFERROR(LOOKUP(2,1/((B_Drainage!$A$5:$A$204&lt;&gt;"")*(B_Drainage!$A$5:$A$204&lt;=$B431)*(B_Drainage!$B$5:$B$204&gt;$B431)*(B_Drainage!$M$5:$M$204&lt;&gt;"")),IF(UPPER(B_Drainage!$M$5:$M$204)="Y",1,"")),"")</f>
        <v/>
      </c>
      <c r="AG431" s="181" t="str">
        <f>IFERROR(LOOKUP(2,1/((B_Drainage!$A$5:$A$204&lt;&gt;"")*(B_Drainage!$A$5:$A$204&lt;=$B431)*(B_Drainage!$B$5:$B$204&gt;$B431)*(B_Drainage!$N$5:$N$204&lt;&gt;"")),IF(UPPER(B_Drainage!$N$5:$N$204)="Y",1,"")),"")</f>
        <v/>
      </c>
      <c r="AH431" s="181" t="str">
        <f t="shared" si="48"/>
        <v/>
      </c>
      <c r="AI431" s="181" t="str">
        <f t="shared" si="49"/>
        <v/>
      </c>
      <c r="AJ431" s="181" t="str">
        <f t="shared" si="50"/>
        <v/>
      </c>
      <c r="AK431" s="181" t="str">
        <f t="shared" si="51"/>
        <v/>
      </c>
      <c r="AL431" s="181" t="str">
        <f t="shared" si="52"/>
        <v/>
      </c>
      <c r="AM431" s="181" t="str">
        <f t="shared" si="53"/>
        <v/>
      </c>
      <c r="AN431" s="181" t="str">
        <f t="shared" si="54"/>
        <v/>
      </c>
      <c r="AO431" s="192" t="str">
        <f t="shared" si="55"/>
        <v/>
      </c>
      <c r="AQ431" t="str">
        <f>IFERROR(LOOKUP(2,1/((C_Pavement!$A$5:$A$204&lt;&gt;"")*(C_Pavement!$A$5:$A$204&lt;=$B431)*(C_Pavement!$B$5:$B$204&gt;$B431)*(C_Pavement!$C$5:$C$204&lt;&gt;"")),ROW(C_Pavement!$C$5:$C$204)-4),"")</f>
        <v/>
      </c>
      <c r="AR431" t="str">
        <f>IF($AQ431="","",UPPER(TRIM(INDEX(C_Pavement!$C$5:$C$204,$AQ431))))</f>
        <v/>
      </c>
      <c r="AS431" t="str">
        <f>IF($AR431="","",IFERROR(MATCH($AR431,E_Rules!$A$5:$A$9,0),""))</f>
        <v/>
      </c>
      <c r="AT431" t="str">
        <f>IF($AQ431="","",IF(INDEX(C_Pavement!$D$5:$D$204,$AQ431)&lt;&gt;"",UPPER(TRIM(INDEX(C_Pavement!$D$5:$D$204,$AQ431))),IF($AS431="","",INDEX(E_Rules!$C$5:$C$9,$AS431))))</f>
        <v/>
      </c>
      <c r="AU431" t="str">
        <f>IF($AQ431="","",IF(INDEX(C_Pavement!$E$5:$E$204,$AQ431)&lt;&gt;"",IF(INDEX(C_Pavement!$E$5:$E$204,$AQ431)="-","",INDEX(C_Pavement!$E$5:$E$204,$AQ431)),IF($AS431="","",INDEX(E_Rules!$D$5:$D$9,$AS431))))</f>
        <v/>
      </c>
      <c r="AV431" t="str">
        <f>IF($AQ431="","",IF(INDEX(C_Pavement!$F$5:$F$204,$AQ431)&lt;&gt;"",IF(INDEX(C_Pavement!$F$5:$F$204,$AQ431)="-","",INDEX(C_Pavement!$F$5:$F$204,$AQ431)),IF($AS431="","",INDEX(E_Rules!$E$5:$E$9,$AS431))))</f>
        <v/>
      </c>
      <c r="AW431" t="str">
        <f>IF($AQ431="","",IF(INDEX(C_Pavement!$G$5:$G$204,$AQ431)&lt;&gt;"",IF(INDEX(C_Pavement!$G$5:$G$204,$AQ431)="-","",INDEX(C_Pavement!$G$5:$G$204,$AQ431)),IF($AS431="","",INDEX(E_Rules!$F$5:$F$9,$AS431))))</f>
        <v/>
      </c>
      <c r="AX431" t="str">
        <f>IF($AQ431="","",IF(INDEX(C_Pavement!$H$5:$H$204,$AQ431)&lt;&gt;"",IF(INDEX(C_Pavement!$H$5:$H$204,$AQ431)="-","",INDEX(C_Pavement!$H$5:$H$204,$AQ431)),IF($AS431="","",INDEX(E_Rules!$G$5:$G$9,$AS431))))</f>
        <v/>
      </c>
      <c r="AY431" t="str">
        <f>IF($AQ431="","",IF(INDEX(C_Pavement!$I$5:$I$204,$AQ431)&lt;&gt;"",IF(INDEX(C_Pavement!$I$5:$I$204,$AQ431)="-","",INDEX(C_Pavement!$I$5:$I$204,$AQ431)),IF($AS431="","",INDEX(E_Rules!$H$5:$H$9,$AS431))))</f>
        <v/>
      </c>
    </row>
    <row r="432" spans="1:51" ht="15.75" customHeight="1" x14ac:dyDescent="0.3">
      <c r="A432" s="189">
        <v>427</v>
      </c>
      <c r="B432" s="180">
        <v>21300</v>
      </c>
      <c r="C432" s="180" t="s">
        <v>738</v>
      </c>
      <c r="D432" s="181" t="str">
        <f>IFERROR(LOOKUP(2,1/((A_Corridor!$A$5:$A$204&lt;&gt;"")*(A_Corridor!$A$5:$A$204&lt;=$B432)*(A_Corridor!$B$5:$B$204&gt;$B432)*(A_Corridor!$C$5:$C$204&lt;&gt;"")),IF(UPPER(A_Corridor!$C$5:$C$204)="Y",1,"")),"")</f>
        <v/>
      </c>
      <c r="E432" s="181" t="str">
        <f>IFERROR(LOOKUP(2,1/((A_Corridor!$A$5:$A$204&lt;&gt;"")*(A_Corridor!$A$5:$A$204&lt;=$B432)*(A_Corridor!$B$5:$B$204&gt;$B432)*(A_Corridor!$D$5:$D$204&lt;&gt;"")),IF(A_Corridor!$D$5:$D$204="-","",UPPER(A_Corridor!$D$5:$D$204))),"")</f>
        <v/>
      </c>
      <c r="F432" s="181" t="str">
        <f>IFERROR(LOOKUP(2,1/((A_Corridor!$A$5:$A$204&lt;&gt;"")*(A_Corridor!$A$5:$A$204&lt;=$B432)*(A_Corridor!$B$5:$B$204&gt;$B432)*(A_Corridor!$E$5:$E$204&lt;&gt;"")),IF(A_Corridor!$E$5:$E$204="-","",1)),"")</f>
        <v/>
      </c>
      <c r="G432" s="182" t="str">
        <f>IFERROR(LOOKUP(2,1/((A_Corridor!$A$5:$A$204&lt;&gt;"")*(A_Corridor!$A$5:$A$204&lt;=$B432)*(A_Corridor!$B$5:$B$204&gt;$B432)*(A_Corridor!$E$5:$E$204&lt;&gt;"")),IF(A_Corridor!$E$5:$E$204="-","",A_Corridor!$E$5:$E$204)),"")</f>
        <v/>
      </c>
      <c r="H432" s="182" t="str">
        <f>IFERROR(LOOKUP(2,1/((D_Points!$A$5:$A$204&lt;&gt;"")*(D_Points!$A$5:$A$204&gt;=$B432)*(D_Points!$A$5:$A$204&lt;$B432+P_Interval)*(UPPER(TRIM(D_Points!$B$5:$B$204))="GULLY")*(D_Points!$H$5:$H$204&lt;&gt;"")),D_Points!$H$5:$H$204),"")</f>
        <v/>
      </c>
      <c r="I432" s="181" t="str">
        <f>IFERROR(LOOKUP(2,1/((A_Corridor!$A$5:$A$204&lt;&gt;"")*(A_Corridor!$A$5:$A$204&lt;=$B432)*(A_Corridor!$B$5:$B$204&gt;$B432)*(A_Corridor!$F$5:$F$204&lt;&gt;"")),IF(A_Corridor!$F$5:$F$204="-","",1)),"")</f>
        <v/>
      </c>
      <c r="J432" s="182" t="str">
        <f>IFERROR(LOOKUP(2,1/((A_Corridor!$A$5:$A$204&lt;&gt;"")*(A_Corridor!$A$5:$A$204&lt;=$B432)*(A_Corridor!$B$5:$B$204&gt;$B432)*(A_Corridor!$F$5:$F$204&lt;&gt;"")),IF(A_Corridor!$F$5:$F$204="-","",A_Corridor!$F$5:$F$204)),"")</f>
        <v/>
      </c>
      <c r="K432" s="182" t="str">
        <f>IFERROR(LOOKUP(2,1/((A_Corridor!$A$5:$A$204&lt;&gt;"")*(A_Corridor!$A$5:$A$204&lt;=$B432)*(A_Corridor!$B$5:$B$204&gt;$B432)*(A_Corridor!$G$5:$G$204&lt;&gt;"")),IF(A_Corridor!$G$5:$G$204="-","",A_Corridor!$G$5:$G$204)),"")</f>
        <v/>
      </c>
      <c r="L432" s="181" t="str">
        <f>IFERROR(LOOKUP(2,1/((A_Corridor!$A$5:$A$204&lt;&gt;"")*(A_Corridor!$A$5:$A$204&lt;=$B432)*(A_Corridor!$B$5:$B$204&gt;$B432)*(A_Corridor!$H$5:$H$204&lt;&gt;"")),IF(A_Corridor!$H$5:$H$204="-","",1)),"")</f>
        <v/>
      </c>
      <c r="M432" s="182" t="str">
        <f>IFERROR(LOOKUP(2,1/((A_Corridor!$A$5:$A$204&lt;&gt;"")*(A_Corridor!$A$5:$A$204&lt;=$B432)*(A_Corridor!$B$5:$B$204&gt;$B432)*(A_Corridor!$H$5:$H$204&lt;&gt;"")),IF(A_Corridor!$H$5:$H$204="-","",A_Corridor!$H$5:$H$204)),"")</f>
        <v/>
      </c>
      <c r="N432" s="182" t="str">
        <f>IFERROR(LOOKUP(2,1/((A_Corridor!$A$5:$A$204&lt;&gt;"")*(A_Corridor!$A$5:$A$204&lt;=$B432)*(A_Corridor!$B$5:$B$204&gt;$B432)*(A_Corridor!$I$5:$I$204&lt;&gt;"")),IF(A_Corridor!$I$5:$I$204="-","",A_Corridor!$I$5:$I$204)),"")</f>
        <v/>
      </c>
      <c r="O432" s="182" t="str">
        <f>IFERROR(LOOKUP(2,1/((D_Points!$A$5:$A$204&lt;&gt;"")*(D_Points!$A$5:$A$204&gt;=$B432)*(D_Points!$A$5:$A$204&lt;$B432+P_Interval)*(UPPER(TRIM(D_Points!$B$5:$B$204))="PITCHING")*(D_Points!$H$5:$H$204&lt;&gt;"")),D_Points!$H$5:$H$204),"")</f>
        <v/>
      </c>
      <c r="P432" s="181" t="str">
        <f>IFERROR(LOOKUP(2,1/((B_Drainage!$A$5:$A$204&lt;&gt;"")*(B_Drainage!$A$5:$A$204&lt;=$B432)*(B_Drainage!$B$5:$B$204&gt;$B432)*(B_Drainage!$C$5:$C$204&lt;&gt;"")),IF(B_Drainage!$C$5:$C$204="-","",UPPER(B_Drainage!$C$5:$C$204))),"")</f>
        <v/>
      </c>
      <c r="Q432" s="181" t="str">
        <f>IFERROR(LOOKUP(2,1/((B_Drainage!$A$5:$A$204&lt;&gt;"")*(B_Drainage!$A$5:$A$204&lt;=$B432)*(B_Drainage!$B$5:$B$204&gt;$B432)*(B_Drainage!$D$5:$D$204&lt;&gt;"")),IF(B_Drainage!$D$5:$D$204="-","",UPPER(B_Drainage!$D$5:$D$204))),"")</f>
        <v/>
      </c>
      <c r="R432" s="182" t="str">
        <f>IFERROR(LOOKUP(2,1/((D_Points!$A$5:$A$204&lt;&gt;"")*(D_Points!$A$5:$A$204&gt;=$B432)*(D_Points!$A$5:$A$204&lt;$B432+P_Interval)*(RIGHT(UPPER(TRIM(D_Points!$B$5:$B$204)),8)="_CULVERT")),IF(LEFT(UPPER(TRIM(D_Points!$B$5:$B$204)),2)="EX",1,IF(LEFT(UPPER(TRIM(D_Points!$B$5:$B$204)),2)="PR",2,3))),"")</f>
        <v/>
      </c>
      <c r="S432" s="182" t="str">
        <f>IFERROR(LOOKUP(2,1/((D_Points!$A$5:$A$204&lt;&gt;"")*(D_Points!$A$5:$A$204&gt;=$B432)*(D_Points!$A$5:$A$204&lt;$B432+P_Interval)*(RIGHT(UPPER(TRIM(D_Points!$B$5:$B$204)),7)="_BRIDGE")),IF(LEFT(UPPER(TRIM(D_Points!$B$5:$B$204)),2)="EX",1,IF(LEFT(UPPER(TRIM(D_Points!$B$5:$B$204)),2)="PR",2,2))),"")</f>
        <v/>
      </c>
      <c r="T432" s="181" t="str">
        <f>IFERROR(LOOKUP(2,1/((B_Drainage!$A$5:$A$204&lt;&gt;"")*(B_Drainage!$A$5:$A$204&lt;=$B432)*(B_Drainage!$B$5:$B$204&gt;$B432)*(B_Drainage!$E$5:$E$204&lt;&gt;"")),IF(B_Drainage!$E$5:$E$204="-","",1)),"")</f>
        <v/>
      </c>
      <c r="U432" s="181" t="str">
        <f>IFERROR(LOOKUP(2,1/((B_Drainage!$A$5:$A$204&lt;&gt;"")*(B_Drainage!$A$5:$A$204&lt;=$B432)*(B_Drainage!$B$5:$B$204&gt;$B432)*(B_Drainage!$E$5:$E$204&lt;&gt;"")),IF(B_Drainage!$E$5:$E$204="-","",B_Drainage!$E$5:$E$204)),"")</f>
        <v/>
      </c>
      <c r="V432" s="181" t="str">
        <f>IFERROR(LOOKUP(2,1/((B_Drainage!$A$5:$A$204&lt;&gt;"")*(B_Drainage!$A$5:$A$204&lt;=$B432)*(B_Drainage!$B$5:$B$204&gt;$B432)*(B_Drainage!$F$5:$F$204&lt;&gt;"")),IF(B_Drainage!$F$5:$F$204="-","",1)),"")</f>
        <v/>
      </c>
      <c r="W432" s="181" t="str">
        <f>IFERROR(LOOKUP(2,1/((B_Drainage!$A$5:$A$204&lt;&gt;"")*(B_Drainage!$A$5:$A$204&lt;=$B432)*(B_Drainage!$B$5:$B$204&gt;$B432)*(B_Drainage!$F$5:$F$204&lt;&gt;"")),IF(B_Drainage!$F$5:$F$204="-","",B_Drainage!$F$5:$F$204)),"")</f>
        <v/>
      </c>
      <c r="X432" s="181" t="str">
        <f>IFERROR(LOOKUP(2,1/((B_Drainage!$A$5:$A$204&lt;&gt;"")*(B_Drainage!$A$5:$A$204&lt;=$B432)*(B_Drainage!$B$5:$B$204&gt;$B432)*(B_Drainage!$G$5:$G$204&lt;&gt;"")),IF(UPPER(B_Drainage!$G$5:$G$204)="Y",1,"")),"")</f>
        <v/>
      </c>
      <c r="Y432" s="181" t="str">
        <f>IFERROR(LOOKUP(2,1/((B_Drainage!$A$5:$A$204&lt;&gt;"")*(B_Drainage!$A$5:$A$204&lt;=$B432)*(B_Drainage!$B$5:$B$204&gt;$B432)*(B_Drainage!$H$5:$H$204&lt;&gt;"")),IF(UPPER(B_Drainage!$H$5:$H$204)="Y",1,"")),"")</f>
        <v/>
      </c>
      <c r="Z432" s="181" t="str">
        <f>IFERROR(LOOKUP(2,1/((B_Drainage!$A$5:$A$204&lt;&gt;"")*(B_Drainage!$A$5:$A$204&lt;=$B432)*(B_Drainage!$B$5:$B$204&gt;$B432)*(B_Drainage!$I$5:$I$204&lt;&gt;"")),IF(UPPER(B_Drainage!$I$5:$I$204)="Y",1,"")),"")</f>
        <v/>
      </c>
      <c r="AA432" s="181" t="str">
        <f>IFERROR(LOOKUP(2,1/((B_Drainage!$A$5:$A$204&lt;&gt;"")*(B_Drainage!$A$5:$A$204&lt;=$B432)*(B_Drainage!$B$5:$B$204&gt;$B432)*(B_Drainage!$J$5:$J$204&lt;&gt;"")),IF(UPPER(B_Drainage!$J$5:$J$204)="Y",1,"")),"")</f>
        <v/>
      </c>
      <c r="AB432" s="182" t="str">
        <f>IFERROR(LOOKUP(2,1/((B_Drainage!$A$5:$A$204&lt;&gt;"")*(B_Drainage!$A$5:$A$204&lt;=$B432)*(B_Drainage!$B$5:$B$204&gt;$B432)*(B_Drainage!$K$5:$K$204&lt;&gt;"")),IF(B_Drainage!$K$5:$K$204="-","",B_Drainage!$K$5:$K$204)),"")</f>
        <v/>
      </c>
      <c r="AC432" s="182" t="str">
        <f>IFERROR(LOOKUP(2,1/((B_Drainage!$A$5:$A$204&lt;&gt;"")*(B_Drainage!$A$5:$A$204&lt;=$B432)*(B_Drainage!$B$5:$B$204&gt;$B432)*(B_Drainage!$L$5:$L$204&lt;&gt;"")),IF(B_Drainage!$L$5:$L$204="-","",B_Drainage!$L$5:$L$204)),"")</f>
        <v/>
      </c>
      <c r="AD432" s="182" t="str">
        <f>IFERROR(LOOKUP(2,1/((D_Points!$A$5:$A$204&lt;&gt;"")*(D_Points!$A$5:$A$204&gt;=$B432)*(D_Points!$A$5:$A$204&lt;$B432+P_Interval)*(UPPER(TRIM(D_Points!$B$5:$B$204))="TURNOUT_L")*(D_Points!$H$5:$H$204&lt;&gt;"")),D_Points!$H$5:$H$204),"")</f>
        <v/>
      </c>
      <c r="AE432" s="182" t="str">
        <f>IFERROR(LOOKUP(2,1/((D_Points!$A$5:$A$204&lt;&gt;"")*(D_Points!$A$5:$A$204&gt;=$B432)*(D_Points!$A$5:$A$204&lt;$B432+P_Interval)*(UPPER(TRIM(D_Points!$B$5:$B$204))="TURNOUT_R")*(D_Points!$H$5:$H$204&lt;&gt;"")),D_Points!$H$5:$H$204),"")</f>
        <v/>
      </c>
      <c r="AF432" s="181" t="str">
        <f>IFERROR(LOOKUP(2,1/((B_Drainage!$A$5:$A$204&lt;&gt;"")*(B_Drainage!$A$5:$A$204&lt;=$B432)*(B_Drainage!$B$5:$B$204&gt;$B432)*(B_Drainage!$M$5:$M$204&lt;&gt;"")),IF(UPPER(B_Drainage!$M$5:$M$204)="Y",1,"")),"")</f>
        <v/>
      </c>
      <c r="AG432" s="181" t="str">
        <f>IFERROR(LOOKUP(2,1/((B_Drainage!$A$5:$A$204&lt;&gt;"")*(B_Drainage!$A$5:$A$204&lt;=$B432)*(B_Drainage!$B$5:$B$204&gt;$B432)*(B_Drainage!$N$5:$N$204&lt;&gt;"")),IF(UPPER(B_Drainage!$N$5:$N$204)="Y",1,"")),"")</f>
        <v/>
      </c>
      <c r="AH432" s="181" t="str">
        <f t="shared" si="48"/>
        <v/>
      </c>
      <c r="AI432" s="181" t="str">
        <f t="shared" si="49"/>
        <v/>
      </c>
      <c r="AJ432" s="181" t="str">
        <f t="shared" si="50"/>
        <v/>
      </c>
      <c r="AK432" s="181" t="str">
        <f t="shared" si="51"/>
        <v/>
      </c>
      <c r="AL432" s="181" t="str">
        <f t="shared" si="52"/>
        <v/>
      </c>
      <c r="AM432" s="181" t="str">
        <f t="shared" si="53"/>
        <v/>
      </c>
      <c r="AN432" s="181" t="str">
        <f t="shared" si="54"/>
        <v/>
      </c>
      <c r="AO432" s="192" t="str">
        <f t="shared" si="55"/>
        <v/>
      </c>
      <c r="AQ432" t="str">
        <f>IFERROR(LOOKUP(2,1/((C_Pavement!$A$5:$A$204&lt;&gt;"")*(C_Pavement!$A$5:$A$204&lt;=$B432)*(C_Pavement!$B$5:$B$204&gt;$B432)*(C_Pavement!$C$5:$C$204&lt;&gt;"")),ROW(C_Pavement!$C$5:$C$204)-4),"")</f>
        <v/>
      </c>
      <c r="AR432" t="str">
        <f>IF($AQ432="","",UPPER(TRIM(INDEX(C_Pavement!$C$5:$C$204,$AQ432))))</f>
        <v/>
      </c>
      <c r="AS432" t="str">
        <f>IF($AR432="","",IFERROR(MATCH($AR432,E_Rules!$A$5:$A$9,0),""))</f>
        <v/>
      </c>
      <c r="AT432" t="str">
        <f>IF($AQ432="","",IF(INDEX(C_Pavement!$D$5:$D$204,$AQ432)&lt;&gt;"",UPPER(TRIM(INDEX(C_Pavement!$D$5:$D$204,$AQ432))),IF($AS432="","",INDEX(E_Rules!$C$5:$C$9,$AS432))))</f>
        <v/>
      </c>
      <c r="AU432" t="str">
        <f>IF($AQ432="","",IF(INDEX(C_Pavement!$E$5:$E$204,$AQ432)&lt;&gt;"",IF(INDEX(C_Pavement!$E$5:$E$204,$AQ432)="-","",INDEX(C_Pavement!$E$5:$E$204,$AQ432)),IF($AS432="","",INDEX(E_Rules!$D$5:$D$9,$AS432))))</f>
        <v/>
      </c>
      <c r="AV432" t="str">
        <f>IF($AQ432="","",IF(INDEX(C_Pavement!$F$5:$F$204,$AQ432)&lt;&gt;"",IF(INDEX(C_Pavement!$F$5:$F$204,$AQ432)="-","",INDEX(C_Pavement!$F$5:$F$204,$AQ432)),IF($AS432="","",INDEX(E_Rules!$E$5:$E$9,$AS432))))</f>
        <v/>
      </c>
      <c r="AW432" t="str">
        <f>IF($AQ432="","",IF(INDEX(C_Pavement!$G$5:$G$204,$AQ432)&lt;&gt;"",IF(INDEX(C_Pavement!$G$5:$G$204,$AQ432)="-","",INDEX(C_Pavement!$G$5:$G$204,$AQ432)),IF($AS432="","",INDEX(E_Rules!$F$5:$F$9,$AS432))))</f>
        <v/>
      </c>
      <c r="AX432" t="str">
        <f>IF($AQ432="","",IF(INDEX(C_Pavement!$H$5:$H$204,$AQ432)&lt;&gt;"",IF(INDEX(C_Pavement!$H$5:$H$204,$AQ432)="-","",INDEX(C_Pavement!$H$5:$H$204,$AQ432)),IF($AS432="","",INDEX(E_Rules!$G$5:$G$9,$AS432))))</f>
        <v/>
      </c>
      <c r="AY432" t="str">
        <f>IF($AQ432="","",IF(INDEX(C_Pavement!$I$5:$I$204,$AQ432)&lt;&gt;"",IF(INDEX(C_Pavement!$I$5:$I$204,$AQ432)="-","",INDEX(C_Pavement!$I$5:$I$204,$AQ432)),IF($AS432="","",INDEX(E_Rules!$H$5:$H$9,$AS432))))</f>
        <v/>
      </c>
    </row>
    <row r="433" spans="1:51" ht="15.75" customHeight="1" x14ac:dyDescent="0.3">
      <c r="A433" s="189">
        <v>428</v>
      </c>
      <c r="B433" s="180">
        <v>21350</v>
      </c>
      <c r="C433" s="180" t="s">
        <v>739</v>
      </c>
      <c r="D433" s="181" t="str">
        <f>IFERROR(LOOKUP(2,1/((A_Corridor!$A$5:$A$204&lt;&gt;"")*(A_Corridor!$A$5:$A$204&lt;=$B433)*(A_Corridor!$B$5:$B$204&gt;$B433)*(A_Corridor!$C$5:$C$204&lt;&gt;"")),IF(UPPER(A_Corridor!$C$5:$C$204)="Y",1,"")),"")</f>
        <v/>
      </c>
      <c r="E433" s="181" t="str">
        <f>IFERROR(LOOKUP(2,1/((A_Corridor!$A$5:$A$204&lt;&gt;"")*(A_Corridor!$A$5:$A$204&lt;=$B433)*(A_Corridor!$B$5:$B$204&gt;$B433)*(A_Corridor!$D$5:$D$204&lt;&gt;"")),IF(A_Corridor!$D$5:$D$204="-","",UPPER(A_Corridor!$D$5:$D$204))),"")</f>
        <v/>
      </c>
      <c r="F433" s="181" t="str">
        <f>IFERROR(LOOKUP(2,1/((A_Corridor!$A$5:$A$204&lt;&gt;"")*(A_Corridor!$A$5:$A$204&lt;=$B433)*(A_Corridor!$B$5:$B$204&gt;$B433)*(A_Corridor!$E$5:$E$204&lt;&gt;"")),IF(A_Corridor!$E$5:$E$204="-","",1)),"")</f>
        <v/>
      </c>
      <c r="G433" s="182" t="str">
        <f>IFERROR(LOOKUP(2,1/((A_Corridor!$A$5:$A$204&lt;&gt;"")*(A_Corridor!$A$5:$A$204&lt;=$B433)*(A_Corridor!$B$5:$B$204&gt;$B433)*(A_Corridor!$E$5:$E$204&lt;&gt;"")),IF(A_Corridor!$E$5:$E$204="-","",A_Corridor!$E$5:$E$204)),"")</f>
        <v/>
      </c>
      <c r="H433" s="182" t="str">
        <f>IFERROR(LOOKUP(2,1/((D_Points!$A$5:$A$204&lt;&gt;"")*(D_Points!$A$5:$A$204&gt;=$B433)*(D_Points!$A$5:$A$204&lt;$B433+P_Interval)*(UPPER(TRIM(D_Points!$B$5:$B$204))="GULLY")*(D_Points!$H$5:$H$204&lt;&gt;"")),D_Points!$H$5:$H$204),"")</f>
        <v/>
      </c>
      <c r="I433" s="181" t="str">
        <f>IFERROR(LOOKUP(2,1/((A_Corridor!$A$5:$A$204&lt;&gt;"")*(A_Corridor!$A$5:$A$204&lt;=$B433)*(A_Corridor!$B$5:$B$204&gt;$B433)*(A_Corridor!$F$5:$F$204&lt;&gt;"")),IF(A_Corridor!$F$5:$F$204="-","",1)),"")</f>
        <v/>
      </c>
      <c r="J433" s="182" t="str">
        <f>IFERROR(LOOKUP(2,1/((A_Corridor!$A$5:$A$204&lt;&gt;"")*(A_Corridor!$A$5:$A$204&lt;=$B433)*(A_Corridor!$B$5:$B$204&gt;$B433)*(A_Corridor!$F$5:$F$204&lt;&gt;"")),IF(A_Corridor!$F$5:$F$204="-","",A_Corridor!$F$5:$F$204)),"")</f>
        <v/>
      </c>
      <c r="K433" s="182" t="str">
        <f>IFERROR(LOOKUP(2,1/((A_Corridor!$A$5:$A$204&lt;&gt;"")*(A_Corridor!$A$5:$A$204&lt;=$B433)*(A_Corridor!$B$5:$B$204&gt;$B433)*(A_Corridor!$G$5:$G$204&lt;&gt;"")),IF(A_Corridor!$G$5:$G$204="-","",A_Corridor!$G$5:$G$204)),"")</f>
        <v/>
      </c>
      <c r="L433" s="181" t="str">
        <f>IFERROR(LOOKUP(2,1/((A_Corridor!$A$5:$A$204&lt;&gt;"")*(A_Corridor!$A$5:$A$204&lt;=$B433)*(A_Corridor!$B$5:$B$204&gt;$B433)*(A_Corridor!$H$5:$H$204&lt;&gt;"")),IF(A_Corridor!$H$5:$H$204="-","",1)),"")</f>
        <v/>
      </c>
      <c r="M433" s="182" t="str">
        <f>IFERROR(LOOKUP(2,1/((A_Corridor!$A$5:$A$204&lt;&gt;"")*(A_Corridor!$A$5:$A$204&lt;=$B433)*(A_Corridor!$B$5:$B$204&gt;$B433)*(A_Corridor!$H$5:$H$204&lt;&gt;"")),IF(A_Corridor!$H$5:$H$204="-","",A_Corridor!$H$5:$H$204)),"")</f>
        <v/>
      </c>
      <c r="N433" s="182" t="str">
        <f>IFERROR(LOOKUP(2,1/((A_Corridor!$A$5:$A$204&lt;&gt;"")*(A_Corridor!$A$5:$A$204&lt;=$B433)*(A_Corridor!$B$5:$B$204&gt;$B433)*(A_Corridor!$I$5:$I$204&lt;&gt;"")),IF(A_Corridor!$I$5:$I$204="-","",A_Corridor!$I$5:$I$204)),"")</f>
        <v/>
      </c>
      <c r="O433" s="182" t="str">
        <f>IFERROR(LOOKUP(2,1/((D_Points!$A$5:$A$204&lt;&gt;"")*(D_Points!$A$5:$A$204&gt;=$B433)*(D_Points!$A$5:$A$204&lt;$B433+P_Interval)*(UPPER(TRIM(D_Points!$B$5:$B$204))="PITCHING")*(D_Points!$H$5:$H$204&lt;&gt;"")),D_Points!$H$5:$H$204),"")</f>
        <v/>
      </c>
      <c r="P433" s="181" t="str">
        <f>IFERROR(LOOKUP(2,1/((B_Drainage!$A$5:$A$204&lt;&gt;"")*(B_Drainage!$A$5:$A$204&lt;=$B433)*(B_Drainage!$B$5:$B$204&gt;$B433)*(B_Drainage!$C$5:$C$204&lt;&gt;"")),IF(B_Drainage!$C$5:$C$204="-","",UPPER(B_Drainage!$C$5:$C$204))),"")</f>
        <v/>
      </c>
      <c r="Q433" s="181" t="str">
        <f>IFERROR(LOOKUP(2,1/((B_Drainage!$A$5:$A$204&lt;&gt;"")*(B_Drainage!$A$5:$A$204&lt;=$B433)*(B_Drainage!$B$5:$B$204&gt;$B433)*(B_Drainage!$D$5:$D$204&lt;&gt;"")),IF(B_Drainage!$D$5:$D$204="-","",UPPER(B_Drainage!$D$5:$D$204))),"")</f>
        <v/>
      </c>
      <c r="R433" s="182" t="str">
        <f>IFERROR(LOOKUP(2,1/((D_Points!$A$5:$A$204&lt;&gt;"")*(D_Points!$A$5:$A$204&gt;=$B433)*(D_Points!$A$5:$A$204&lt;$B433+P_Interval)*(RIGHT(UPPER(TRIM(D_Points!$B$5:$B$204)),8)="_CULVERT")),IF(LEFT(UPPER(TRIM(D_Points!$B$5:$B$204)),2)="EX",1,IF(LEFT(UPPER(TRIM(D_Points!$B$5:$B$204)),2)="PR",2,3))),"")</f>
        <v/>
      </c>
      <c r="S433" s="182" t="str">
        <f>IFERROR(LOOKUP(2,1/((D_Points!$A$5:$A$204&lt;&gt;"")*(D_Points!$A$5:$A$204&gt;=$B433)*(D_Points!$A$5:$A$204&lt;$B433+P_Interval)*(RIGHT(UPPER(TRIM(D_Points!$B$5:$B$204)),7)="_BRIDGE")),IF(LEFT(UPPER(TRIM(D_Points!$B$5:$B$204)),2)="EX",1,IF(LEFT(UPPER(TRIM(D_Points!$B$5:$B$204)),2)="PR",2,2))),"")</f>
        <v/>
      </c>
      <c r="T433" s="181" t="str">
        <f>IFERROR(LOOKUP(2,1/((B_Drainage!$A$5:$A$204&lt;&gt;"")*(B_Drainage!$A$5:$A$204&lt;=$B433)*(B_Drainage!$B$5:$B$204&gt;$B433)*(B_Drainage!$E$5:$E$204&lt;&gt;"")),IF(B_Drainage!$E$5:$E$204="-","",1)),"")</f>
        <v/>
      </c>
      <c r="U433" s="181" t="str">
        <f>IFERROR(LOOKUP(2,1/((B_Drainage!$A$5:$A$204&lt;&gt;"")*(B_Drainage!$A$5:$A$204&lt;=$B433)*(B_Drainage!$B$5:$B$204&gt;$B433)*(B_Drainage!$E$5:$E$204&lt;&gt;"")),IF(B_Drainage!$E$5:$E$204="-","",B_Drainage!$E$5:$E$204)),"")</f>
        <v/>
      </c>
      <c r="V433" s="181" t="str">
        <f>IFERROR(LOOKUP(2,1/((B_Drainage!$A$5:$A$204&lt;&gt;"")*(B_Drainage!$A$5:$A$204&lt;=$B433)*(B_Drainage!$B$5:$B$204&gt;$B433)*(B_Drainage!$F$5:$F$204&lt;&gt;"")),IF(B_Drainage!$F$5:$F$204="-","",1)),"")</f>
        <v/>
      </c>
      <c r="W433" s="181" t="str">
        <f>IFERROR(LOOKUP(2,1/((B_Drainage!$A$5:$A$204&lt;&gt;"")*(B_Drainage!$A$5:$A$204&lt;=$B433)*(B_Drainage!$B$5:$B$204&gt;$B433)*(B_Drainage!$F$5:$F$204&lt;&gt;"")),IF(B_Drainage!$F$5:$F$204="-","",B_Drainage!$F$5:$F$204)),"")</f>
        <v/>
      </c>
      <c r="X433" s="181" t="str">
        <f>IFERROR(LOOKUP(2,1/((B_Drainage!$A$5:$A$204&lt;&gt;"")*(B_Drainage!$A$5:$A$204&lt;=$B433)*(B_Drainage!$B$5:$B$204&gt;$B433)*(B_Drainage!$G$5:$G$204&lt;&gt;"")),IF(UPPER(B_Drainage!$G$5:$G$204)="Y",1,"")),"")</f>
        <v/>
      </c>
      <c r="Y433" s="181" t="str">
        <f>IFERROR(LOOKUP(2,1/((B_Drainage!$A$5:$A$204&lt;&gt;"")*(B_Drainage!$A$5:$A$204&lt;=$B433)*(B_Drainage!$B$5:$B$204&gt;$B433)*(B_Drainage!$H$5:$H$204&lt;&gt;"")),IF(UPPER(B_Drainage!$H$5:$H$204)="Y",1,"")),"")</f>
        <v/>
      </c>
      <c r="Z433" s="181" t="str">
        <f>IFERROR(LOOKUP(2,1/((B_Drainage!$A$5:$A$204&lt;&gt;"")*(B_Drainage!$A$5:$A$204&lt;=$B433)*(B_Drainage!$B$5:$B$204&gt;$B433)*(B_Drainage!$I$5:$I$204&lt;&gt;"")),IF(UPPER(B_Drainage!$I$5:$I$204)="Y",1,"")),"")</f>
        <v/>
      </c>
      <c r="AA433" s="181" t="str">
        <f>IFERROR(LOOKUP(2,1/((B_Drainage!$A$5:$A$204&lt;&gt;"")*(B_Drainage!$A$5:$A$204&lt;=$B433)*(B_Drainage!$B$5:$B$204&gt;$B433)*(B_Drainage!$J$5:$J$204&lt;&gt;"")),IF(UPPER(B_Drainage!$J$5:$J$204)="Y",1,"")),"")</f>
        <v/>
      </c>
      <c r="AB433" s="182" t="str">
        <f>IFERROR(LOOKUP(2,1/((B_Drainage!$A$5:$A$204&lt;&gt;"")*(B_Drainage!$A$5:$A$204&lt;=$B433)*(B_Drainage!$B$5:$B$204&gt;$B433)*(B_Drainage!$K$5:$K$204&lt;&gt;"")),IF(B_Drainage!$K$5:$K$204="-","",B_Drainage!$K$5:$K$204)),"")</f>
        <v/>
      </c>
      <c r="AC433" s="182" t="str">
        <f>IFERROR(LOOKUP(2,1/((B_Drainage!$A$5:$A$204&lt;&gt;"")*(B_Drainage!$A$5:$A$204&lt;=$B433)*(B_Drainage!$B$5:$B$204&gt;$B433)*(B_Drainage!$L$5:$L$204&lt;&gt;"")),IF(B_Drainage!$L$5:$L$204="-","",B_Drainage!$L$5:$L$204)),"")</f>
        <v/>
      </c>
      <c r="AD433" s="182" t="str">
        <f>IFERROR(LOOKUP(2,1/((D_Points!$A$5:$A$204&lt;&gt;"")*(D_Points!$A$5:$A$204&gt;=$B433)*(D_Points!$A$5:$A$204&lt;$B433+P_Interval)*(UPPER(TRIM(D_Points!$B$5:$B$204))="TURNOUT_L")*(D_Points!$H$5:$H$204&lt;&gt;"")),D_Points!$H$5:$H$204),"")</f>
        <v/>
      </c>
      <c r="AE433" s="182" t="str">
        <f>IFERROR(LOOKUP(2,1/((D_Points!$A$5:$A$204&lt;&gt;"")*(D_Points!$A$5:$A$204&gt;=$B433)*(D_Points!$A$5:$A$204&lt;$B433+P_Interval)*(UPPER(TRIM(D_Points!$B$5:$B$204))="TURNOUT_R")*(D_Points!$H$5:$H$204&lt;&gt;"")),D_Points!$H$5:$H$204),"")</f>
        <v/>
      </c>
      <c r="AF433" s="181" t="str">
        <f>IFERROR(LOOKUP(2,1/((B_Drainage!$A$5:$A$204&lt;&gt;"")*(B_Drainage!$A$5:$A$204&lt;=$B433)*(B_Drainage!$B$5:$B$204&gt;$B433)*(B_Drainage!$M$5:$M$204&lt;&gt;"")),IF(UPPER(B_Drainage!$M$5:$M$204)="Y",1,"")),"")</f>
        <v/>
      </c>
      <c r="AG433" s="181" t="str">
        <f>IFERROR(LOOKUP(2,1/((B_Drainage!$A$5:$A$204&lt;&gt;"")*(B_Drainage!$A$5:$A$204&lt;=$B433)*(B_Drainage!$B$5:$B$204&gt;$B433)*(B_Drainage!$N$5:$N$204&lt;&gt;"")),IF(UPPER(B_Drainage!$N$5:$N$204)="Y",1,"")),"")</f>
        <v/>
      </c>
      <c r="AH433" s="181" t="str">
        <f t="shared" si="48"/>
        <v/>
      </c>
      <c r="AI433" s="181" t="str">
        <f t="shared" si="49"/>
        <v/>
      </c>
      <c r="AJ433" s="181" t="str">
        <f t="shared" si="50"/>
        <v/>
      </c>
      <c r="AK433" s="181" t="str">
        <f t="shared" si="51"/>
        <v/>
      </c>
      <c r="AL433" s="181" t="str">
        <f t="shared" si="52"/>
        <v/>
      </c>
      <c r="AM433" s="181" t="str">
        <f t="shared" si="53"/>
        <v/>
      </c>
      <c r="AN433" s="181" t="str">
        <f t="shared" si="54"/>
        <v/>
      </c>
      <c r="AO433" s="192" t="str">
        <f t="shared" si="55"/>
        <v/>
      </c>
      <c r="AQ433" t="str">
        <f>IFERROR(LOOKUP(2,1/((C_Pavement!$A$5:$A$204&lt;&gt;"")*(C_Pavement!$A$5:$A$204&lt;=$B433)*(C_Pavement!$B$5:$B$204&gt;$B433)*(C_Pavement!$C$5:$C$204&lt;&gt;"")),ROW(C_Pavement!$C$5:$C$204)-4),"")</f>
        <v/>
      </c>
      <c r="AR433" t="str">
        <f>IF($AQ433="","",UPPER(TRIM(INDEX(C_Pavement!$C$5:$C$204,$AQ433))))</f>
        <v/>
      </c>
      <c r="AS433" t="str">
        <f>IF($AR433="","",IFERROR(MATCH($AR433,E_Rules!$A$5:$A$9,0),""))</f>
        <v/>
      </c>
      <c r="AT433" t="str">
        <f>IF($AQ433="","",IF(INDEX(C_Pavement!$D$5:$D$204,$AQ433)&lt;&gt;"",UPPER(TRIM(INDEX(C_Pavement!$D$5:$D$204,$AQ433))),IF($AS433="","",INDEX(E_Rules!$C$5:$C$9,$AS433))))</f>
        <v/>
      </c>
      <c r="AU433" t="str">
        <f>IF($AQ433="","",IF(INDEX(C_Pavement!$E$5:$E$204,$AQ433)&lt;&gt;"",IF(INDEX(C_Pavement!$E$5:$E$204,$AQ433)="-","",INDEX(C_Pavement!$E$5:$E$204,$AQ433)),IF($AS433="","",INDEX(E_Rules!$D$5:$D$9,$AS433))))</f>
        <v/>
      </c>
      <c r="AV433" t="str">
        <f>IF($AQ433="","",IF(INDEX(C_Pavement!$F$5:$F$204,$AQ433)&lt;&gt;"",IF(INDEX(C_Pavement!$F$5:$F$204,$AQ433)="-","",INDEX(C_Pavement!$F$5:$F$204,$AQ433)),IF($AS433="","",INDEX(E_Rules!$E$5:$E$9,$AS433))))</f>
        <v/>
      </c>
      <c r="AW433" t="str">
        <f>IF($AQ433="","",IF(INDEX(C_Pavement!$G$5:$G$204,$AQ433)&lt;&gt;"",IF(INDEX(C_Pavement!$G$5:$G$204,$AQ433)="-","",INDEX(C_Pavement!$G$5:$G$204,$AQ433)),IF($AS433="","",INDEX(E_Rules!$F$5:$F$9,$AS433))))</f>
        <v/>
      </c>
      <c r="AX433" t="str">
        <f>IF($AQ433="","",IF(INDEX(C_Pavement!$H$5:$H$204,$AQ433)&lt;&gt;"",IF(INDEX(C_Pavement!$H$5:$H$204,$AQ433)="-","",INDEX(C_Pavement!$H$5:$H$204,$AQ433)),IF($AS433="","",INDEX(E_Rules!$G$5:$G$9,$AS433))))</f>
        <v/>
      </c>
      <c r="AY433" t="str">
        <f>IF($AQ433="","",IF(INDEX(C_Pavement!$I$5:$I$204,$AQ433)&lt;&gt;"",IF(INDEX(C_Pavement!$I$5:$I$204,$AQ433)="-","",INDEX(C_Pavement!$I$5:$I$204,$AQ433)),IF($AS433="","",INDEX(E_Rules!$H$5:$H$9,$AS433))))</f>
        <v/>
      </c>
    </row>
    <row r="434" spans="1:51" ht="15.75" customHeight="1" x14ac:dyDescent="0.3">
      <c r="A434" s="189">
        <v>429</v>
      </c>
      <c r="B434" s="180">
        <v>21400</v>
      </c>
      <c r="C434" s="180" t="s">
        <v>740</v>
      </c>
      <c r="D434" s="181" t="str">
        <f>IFERROR(LOOKUP(2,1/((A_Corridor!$A$5:$A$204&lt;&gt;"")*(A_Corridor!$A$5:$A$204&lt;=$B434)*(A_Corridor!$B$5:$B$204&gt;$B434)*(A_Corridor!$C$5:$C$204&lt;&gt;"")),IF(UPPER(A_Corridor!$C$5:$C$204)="Y",1,"")),"")</f>
        <v/>
      </c>
      <c r="E434" s="181" t="str">
        <f>IFERROR(LOOKUP(2,1/((A_Corridor!$A$5:$A$204&lt;&gt;"")*(A_Corridor!$A$5:$A$204&lt;=$B434)*(A_Corridor!$B$5:$B$204&gt;$B434)*(A_Corridor!$D$5:$D$204&lt;&gt;"")),IF(A_Corridor!$D$5:$D$204="-","",UPPER(A_Corridor!$D$5:$D$204))),"")</f>
        <v/>
      </c>
      <c r="F434" s="181" t="str">
        <f>IFERROR(LOOKUP(2,1/((A_Corridor!$A$5:$A$204&lt;&gt;"")*(A_Corridor!$A$5:$A$204&lt;=$B434)*(A_Corridor!$B$5:$B$204&gt;$B434)*(A_Corridor!$E$5:$E$204&lt;&gt;"")),IF(A_Corridor!$E$5:$E$204="-","",1)),"")</f>
        <v/>
      </c>
      <c r="G434" s="182" t="str">
        <f>IFERROR(LOOKUP(2,1/((A_Corridor!$A$5:$A$204&lt;&gt;"")*(A_Corridor!$A$5:$A$204&lt;=$B434)*(A_Corridor!$B$5:$B$204&gt;$B434)*(A_Corridor!$E$5:$E$204&lt;&gt;"")),IF(A_Corridor!$E$5:$E$204="-","",A_Corridor!$E$5:$E$204)),"")</f>
        <v/>
      </c>
      <c r="H434" s="182" t="str">
        <f>IFERROR(LOOKUP(2,1/((D_Points!$A$5:$A$204&lt;&gt;"")*(D_Points!$A$5:$A$204&gt;=$B434)*(D_Points!$A$5:$A$204&lt;$B434+P_Interval)*(UPPER(TRIM(D_Points!$B$5:$B$204))="GULLY")*(D_Points!$H$5:$H$204&lt;&gt;"")),D_Points!$H$5:$H$204),"")</f>
        <v/>
      </c>
      <c r="I434" s="181" t="str">
        <f>IFERROR(LOOKUP(2,1/((A_Corridor!$A$5:$A$204&lt;&gt;"")*(A_Corridor!$A$5:$A$204&lt;=$B434)*(A_Corridor!$B$5:$B$204&gt;$B434)*(A_Corridor!$F$5:$F$204&lt;&gt;"")),IF(A_Corridor!$F$5:$F$204="-","",1)),"")</f>
        <v/>
      </c>
      <c r="J434" s="182" t="str">
        <f>IFERROR(LOOKUP(2,1/((A_Corridor!$A$5:$A$204&lt;&gt;"")*(A_Corridor!$A$5:$A$204&lt;=$B434)*(A_Corridor!$B$5:$B$204&gt;$B434)*(A_Corridor!$F$5:$F$204&lt;&gt;"")),IF(A_Corridor!$F$5:$F$204="-","",A_Corridor!$F$5:$F$204)),"")</f>
        <v/>
      </c>
      <c r="K434" s="182" t="str">
        <f>IFERROR(LOOKUP(2,1/((A_Corridor!$A$5:$A$204&lt;&gt;"")*(A_Corridor!$A$5:$A$204&lt;=$B434)*(A_Corridor!$B$5:$B$204&gt;$B434)*(A_Corridor!$G$5:$G$204&lt;&gt;"")),IF(A_Corridor!$G$5:$G$204="-","",A_Corridor!$G$5:$G$204)),"")</f>
        <v/>
      </c>
      <c r="L434" s="181" t="str">
        <f>IFERROR(LOOKUP(2,1/((A_Corridor!$A$5:$A$204&lt;&gt;"")*(A_Corridor!$A$5:$A$204&lt;=$B434)*(A_Corridor!$B$5:$B$204&gt;$B434)*(A_Corridor!$H$5:$H$204&lt;&gt;"")),IF(A_Corridor!$H$5:$H$204="-","",1)),"")</f>
        <v/>
      </c>
      <c r="M434" s="182" t="str">
        <f>IFERROR(LOOKUP(2,1/((A_Corridor!$A$5:$A$204&lt;&gt;"")*(A_Corridor!$A$5:$A$204&lt;=$B434)*(A_Corridor!$B$5:$B$204&gt;$B434)*(A_Corridor!$H$5:$H$204&lt;&gt;"")),IF(A_Corridor!$H$5:$H$204="-","",A_Corridor!$H$5:$H$204)),"")</f>
        <v/>
      </c>
      <c r="N434" s="182" t="str">
        <f>IFERROR(LOOKUP(2,1/((A_Corridor!$A$5:$A$204&lt;&gt;"")*(A_Corridor!$A$5:$A$204&lt;=$B434)*(A_Corridor!$B$5:$B$204&gt;$B434)*(A_Corridor!$I$5:$I$204&lt;&gt;"")),IF(A_Corridor!$I$5:$I$204="-","",A_Corridor!$I$5:$I$204)),"")</f>
        <v/>
      </c>
      <c r="O434" s="182" t="str">
        <f>IFERROR(LOOKUP(2,1/((D_Points!$A$5:$A$204&lt;&gt;"")*(D_Points!$A$5:$A$204&gt;=$B434)*(D_Points!$A$5:$A$204&lt;$B434+P_Interval)*(UPPER(TRIM(D_Points!$B$5:$B$204))="PITCHING")*(D_Points!$H$5:$H$204&lt;&gt;"")),D_Points!$H$5:$H$204),"")</f>
        <v/>
      </c>
      <c r="P434" s="181" t="str">
        <f>IFERROR(LOOKUP(2,1/((B_Drainage!$A$5:$A$204&lt;&gt;"")*(B_Drainage!$A$5:$A$204&lt;=$B434)*(B_Drainage!$B$5:$B$204&gt;$B434)*(B_Drainage!$C$5:$C$204&lt;&gt;"")),IF(B_Drainage!$C$5:$C$204="-","",UPPER(B_Drainage!$C$5:$C$204))),"")</f>
        <v/>
      </c>
      <c r="Q434" s="181" t="str">
        <f>IFERROR(LOOKUP(2,1/((B_Drainage!$A$5:$A$204&lt;&gt;"")*(B_Drainage!$A$5:$A$204&lt;=$B434)*(B_Drainage!$B$5:$B$204&gt;$B434)*(B_Drainage!$D$5:$D$204&lt;&gt;"")),IF(B_Drainage!$D$5:$D$204="-","",UPPER(B_Drainage!$D$5:$D$204))),"")</f>
        <v/>
      </c>
      <c r="R434" s="182" t="str">
        <f>IFERROR(LOOKUP(2,1/((D_Points!$A$5:$A$204&lt;&gt;"")*(D_Points!$A$5:$A$204&gt;=$B434)*(D_Points!$A$5:$A$204&lt;$B434+P_Interval)*(RIGHT(UPPER(TRIM(D_Points!$B$5:$B$204)),8)="_CULVERT")),IF(LEFT(UPPER(TRIM(D_Points!$B$5:$B$204)),2)="EX",1,IF(LEFT(UPPER(TRIM(D_Points!$B$5:$B$204)),2)="PR",2,3))),"")</f>
        <v/>
      </c>
      <c r="S434" s="182" t="str">
        <f>IFERROR(LOOKUP(2,1/((D_Points!$A$5:$A$204&lt;&gt;"")*(D_Points!$A$5:$A$204&gt;=$B434)*(D_Points!$A$5:$A$204&lt;$B434+P_Interval)*(RIGHT(UPPER(TRIM(D_Points!$B$5:$B$204)),7)="_BRIDGE")),IF(LEFT(UPPER(TRIM(D_Points!$B$5:$B$204)),2)="EX",1,IF(LEFT(UPPER(TRIM(D_Points!$B$5:$B$204)),2)="PR",2,2))),"")</f>
        <v/>
      </c>
      <c r="T434" s="181" t="str">
        <f>IFERROR(LOOKUP(2,1/((B_Drainage!$A$5:$A$204&lt;&gt;"")*(B_Drainage!$A$5:$A$204&lt;=$B434)*(B_Drainage!$B$5:$B$204&gt;$B434)*(B_Drainage!$E$5:$E$204&lt;&gt;"")),IF(B_Drainage!$E$5:$E$204="-","",1)),"")</f>
        <v/>
      </c>
      <c r="U434" s="181" t="str">
        <f>IFERROR(LOOKUP(2,1/((B_Drainage!$A$5:$A$204&lt;&gt;"")*(B_Drainage!$A$5:$A$204&lt;=$B434)*(B_Drainage!$B$5:$B$204&gt;$B434)*(B_Drainage!$E$5:$E$204&lt;&gt;"")),IF(B_Drainage!$E$5:$E$204="-","",B_Drainage!$E$5:$E$204)),"")</f>
        <v/>
      </c>
      <c r="V434" s="181" t="str">
        <f>IFERROR(LOOKUP(2,1/((B_Drainage!$A$5:$A$204&lt;&gt;"")*(B_Drainage!$A$5:$A$204&lt;=$B434)*(B_Drainage!$B$5:$B$204&gt;$B434)*(B_Drainage!$F$5:$F$204&lt;&gt;"")),IF(B_Drainage!$F$5:$F$204="-","",1)),"")</f>
        <v/>
      </c>
      <c r="W434" s="181" t="str">
        <f>IFERROR(LOOKUP(2,1/((B_Drainage!$A$5:$A$204&lt;&gt;"")*(B_Drainage!$A$5:$A$204&lt;=$B434)*(B_Drainage!$B$5:$B$204&gt;$B434)*(B_Drainage!$F$5:$F$204&lt;&gt;"")),IF(B_Drainage!$F$5:$F$204="-","",B_Drainage!$F$5:$F$204)),"")</f>
        <v/>
      </c>
      <c r="X434" s="181" t="str">
        <f>IFERROR(LOOKUP(2,1/((B_Drainage!$A$5:$A$204&lt;&gt;"")*(B_Drainage!$A$5:$A$204&lt;=$B434)*(B_Drainage!$B$5:$B$204&gt;$B434)*(B_Drainage!$G$5:$G$204&lt;&gt;"")),IF(UPPER(B_Drainage!$G$5:$G$204)="Y",1,"")),"")</f>
        <v/>
      </c>
      <c r="Y434" s="181" t="str">
        <f>IFERROR(LOOKUP(2,1/((B_Drainage!$A$5:$A$204&lt;&gt;"")*(B_Drainage!$A$5:$A$204&lt;=$B434)*(B_Drainage!$B$5:$B$204&gt;$B434)*(B_Drainage!$H$5:$H$204&lt;&gt;"")),IF(UPPER(B_Drainage!$H$5:$H$204)="Y",1,"")),"")</f>
        <v/>
      </c>
      <c r="Z434" s="181" t="str">
        <f>IFERROR(LOOKUP(2,1/((B_Drainage!$A$5:$A$204&lt;&gt;"")*(B_Drainage!$A$5:$A$204&lt;=$B434)*(B_Drainage!$B$5:$B$204&gt;$B434)*(B_Drainage!$I$5:$I$204&lt;&gt;"")),IF(UPPER(B_Drainage!$I$5:$I$204)="Y",1,"")),"")</f>
        <v/>
      </c>
      <c r="AA434" s="181" t="str">
        <f>IFERROR(LOOKUP(2,1/((B_Drainage!$A$5:$A$204&lt;&gt;"")*(B_Drainage!$A$5:$A$204&lt;=$B434)*(B_Drainage!$B$5:$B$204&gt;$B434)*(B_Drainage!$J$5:$J$204&lt;&gt;"")),IF(UPPER(B_Drainage!$J$5:$J$204)="Y",1,"")),"")</f>
        <v/>
      </c>
      <c r="AB434" s="182" t="str">
        <f>IFERROR(LOOKUP(2,1/((B_Drainage!$A$5:$A$204&lt;&gt;"")*(B_Drainage!$A$5:$A$204&lt;=$B434)*(B_Drainage!$B$5:$B$204&gt;$B434)*(B_Drainage!$K$5:$K$204&lt;&gt;"")),IF(B_Drainage!$K$5:$K$204="-","",B_Drainage!$K$5:$K$204)),"")</f>
        <v/>
      </c>
      <c r="AC434" s="182" t="str">
        <f>IFERROR(LOOKUP(2,1/((B_Drainage!$A$5:$A$204&lt;&gt;"")*(B_Drainage!$A$5:$A$204&lt;=$B434)*(B_Drainage!$B$5:$B$204&gt;$B434)*(B_Drainage!$L$5:$L$204&lt;&gt;"")),IF(B_Drainage!$L$5:$L$204="-","",B_Drainage!$L$5:$L$204)),"")</f>
        <v/>
      </c>
      <c r="AD434" s="182" t="str">
        <f>IFERROR(LOOKUP(2,1/((D_Points!$A$5:$A$204&lt;&gt;"")*(D_Points!$A$5:$A$204&gt;=$B434)*(D_Points!$A$5:$A$204&lt;$B434+P_Interval)*(UPPER(TRIM(D_Points!$B$5:$B$204))="TURNOUT_L")*(D_Points!$H$5:$H$204&lt;&gt;"")),D_Points!$H$5:$H$204),"")</f>
        <v/>
      </c>
      <c r="AE434" s="182" t="str">
        <f>IFERROR(LOOKUP(2,1/((D_Points!$A$5:$A$204&lt;&gt;"")*(D_Points!$A$5:$A$204&gt;=$B434)*(D_Points!$A$5:$A$204&lt;$B434+P_Interval)*(UPPER(TRIM(D_Points!$B$5:$B$204))="TURNOUT_R")*(D_Points!$H$5:$H$204&lt;&gt;"")),D_Points!$H$5:$H$204),"")</f>
        <v/>
      </c>
      <c r="AF434" s="181" t="str">
        <f>IFERROR(LOOKUP(2,1/((B_Drainage!$A$5:$A$204&lt;&gt;"")*(B_Drainage!$A$5:$A$204&lt;=$B434)*(B_Drainage!$B$5:$B$204&gt;$B434)*(B_Drainage!$M$5:$M$204&lt;&gt;"")),IF(UPPER(B_Drainage!$M$5:$M$204)="Y",1,"")),"")</f>
        <v/>
      </c>
      <c r="AG434" s="181" t="str">
        <f>IFERROR(LOOKUP(2,1/((B_Drainage!$A$5:$A$204&lt;&gt;"")*(B_Drainage!$A$5:$A$204&lt;=$B434)*(B_Drainage!$B$5:$B$204&gt;$B434)*(B_Drainage!$N$5:$N$204&lt;&gt;"")),IF(UPPER(B_Drainage!$N$5:$N$204)="Y",1,"")),"")</f>
        <v/>
      </c>
      <c r="AH434" s="181" t="str">
        <f t="shared" si="48"/>
        <v/>
      </c>
      <c r="AI434" s="181" t="str">
        <f t="shared" si="49"/>
        <v/>
      </c>
      <c r="AJ434" s="181" t="str">
        <f t="shared" si="50"/>
        <v/>
      </c>
      <c r="AK434" s="181" t="str">
        <f t="shared" si="51"/>
        <v/>
      </c>
      <c r="AL434" s="181" t="str">
        <f t="shared" si="52"/>
        <v/>
      </c>
      <c r="AM434" s="181" t="str">
        <f t="shared" si="53"/>
        <v/>
      </c>
      <c r="AN434" s="181" t="str">
        <f t="shared" si="54"/>
        <v/>
      </c>
      <c r="AO434" s="192" t="str">
        <f t="shared" si="55"/>
        <v/>
      </c>
      <c r="AQ434" t="str">
        <f>IFERROR(LOOKUP(2,1/((C_Pavement!$A$5:$A$204&lt;&gt;"")*(C_Pavement!$A$5:$A$204&lt;=$B434)*(C_Pavement!$B$5:$B$204&gt;$B434)*(C_Pavement!$C$5:$C$204&lt;&gt;"")),ROW(C_Pavement!$C$5:$C$204)-4),"")</f>
        <v/>
      </c>
      <c r="AR434" t="str">
        <f>IF($AQ434="","",UPPER(TRIM(INDEX(C_Pavement!$C$5:$C$204,$AQ434))))</f>
        <v/>
      </c>
      <c r="AS434" t="str">
        <f>IF($AR434="","",IFERROR(MATCH($AR434,E_Rules!$A$5:$A$9,0),""))</f>
        <v/>
      </c>
      <c r="AT434" t="str">
        <f>IF($AQ434="","",IF(INDEX(C_Pavement!$D$5:$D$204,$AQ434)&lt;&gt;"",UPPER(TRIM(INDEX(C_Pavement!$D$5:$D$204,$AQ434))),IF($AS434="","",INDEX(E_Rules!$C$5:$C$9,$AS434))))</f>
        <v/>
      </c>
      <c r="AU434" t="str">
        <f>IF($AQ434="","",IF(INDEX(C_Pavement!$E$5:$E$204,$AQ434)&lt;&gt;"",IF(INDEX(C_Pavement!$E$5:$E$204,$AQ434)="-","",INDEX(C_Pavement!$E$5:$E$204,$AQ434)),IF($AS434="","",INDEX(E_Rules!$D$5:$D$9,$AS434))))</f>
        <v/>
      </c>
      <c r="AV434" t="str">
        <f>IF($AQ434="","",IF(INDEX(C_Pavement!$F$5:$F$204,$AQ434)&lt;&gt;"",IF(INDEX(C_Pavement!$F$5:$F$204,$AQ434)="-","",INDEX(C_Pavement!$F$5:$F$204,$AQ434)),IF($AS434="","",INDEX(E_Rules!$E$5:$E$9,$AS434))))</f>
        <v/>
      </c>
      <c r="AW434" t="str">
        <f>IF($AQ434="","",IF(INDEX(C_Pavement!$G$5:$G$204,$AQ434)&lt;&gt;"",IF(INDEX(C_Pavement!$G$5:$G$204,$AQ434)="-","",INDEX(C_Pavement!$G$5:$G$204,$AQ434)),IF($AS434="","",INDEX(E_Rules!$F$5:$F$9,$AS434))))</f>
        <v/>
      </c>
      <c r="AX434" t="str">
        <f>IF($AQ434="","",IF(INDEX(C_Pavement!$H$5:$H$204,$AQ434)&lt;&gt;"",IF(INDEX(C_Pavement!$H$5:$H$204,$AQ434)="-","",INDEX(C_Pavement!$H$5:$H$204,$AQ434)),IF($AS434="","",INDEX(E_Rules!$G$5:$G$9,$AS434))))</f>
        <v/>
      </c>
      <c r="AY434" t="str">
        <f>IF($AQ434="","",IF(INDEX(C_Pavement!$I$5:$I$204,$AQ434)&lt;&gt;"",IF(INDEX(C_Pavement!$I$5:$I$204,$AQ434)="-","",INDEX(C_Pavement!$I$5:$I$204,$AQ434)),IF($AS434="","",INDEX(E_Rules!$H$5:$H$9,$AS434))))</f>
        <v/>
      </c>
    </row>
    <row r="435" spans="1:51" ht="15.75" customHeight="1" x14ac:dyDescent="0.3">
      <c r="A435" s="189">
        <v>430</v>
      </c>
      <c r="B435" s="180">
        <v>21450</v>
      </c>
      <c r="C435" s="180" t="s">
        <v>741</v>
      </c>
      <c r="D435" s="181" t="str">
        <f>IFERROR(LOOKUP(2,1/((A_Corridor!$A$5:$A$204&lt;&gt;"")*(A_Corridor!$A$5:$A$204&lt;=$B435)*(A_Corridor!$B$5:$B$204&gt;$B435)*(A_Corridor!$C$5:$C$204&lt;&gt;"")),IF(UPPER(A_Corridor!$C$5:$C$204)="Y",1,"")),"")</f>
        <v/>
      </c>
      <c r="E435" s="181" t="str">
        <f>IFERROR(LOOKUP(2,1/((A_Corridor!$A$5:$A$204&lt;&gt;"")*(A_Corridor!$A$5:$A$204&lt;=$B435)*(A_Corridor!$B$5:$B$204&gt;$B435)*(A_Corridor!$D$5:$D$204&lt;&gt;"")),IF(A_Corridor!$D$5:$D$204="-","",UPPER(A_Corridor!$D$5:$D$204))),"")</f>
        <v/>
      </c>
      <c r="F435" s="181" t="str">
        <f>IFERROR(LOOKUP(2,1/((A_Corridor!$A$5:$A$204&lt;&gt;"")*(A_Corridor!$A$5:$A$204&lt;=$B435)*(A_Corridor!$B$5:$B$204&gt;$B435)*(A_Corridor!$E$5:$E$204&lt;&gt;"")),IF(A_Corridor!$E$5:$E$204="-","",1)),"")</f>
        <v/>
      </c>
      <c r="G435" s="182" t="str">
        <f>IFERROR(LOOKUP(2,1/((A_Corridor!$A$5:$A$204&lt;&gt;"")*(A_Corridor!$A$5:$A$204&lt;=$B435)*(A_Corridor!$B$5:$B$204&gt;$B435)*(A_Corridor!$E$5:$E$204&lt;&gt;"")),IF(A_Corridor!$E$5:$E$204="-","",A_Corridor!$E$5:$E$204)),"")</f>
        <v/>
      </c>
      <c r="H435" s="182" t="str">
        <f>IFERROR(LOOKUP(2,1/((D_Points!$A$5:$A$204&lt;&gt;"")*(D_Points!$A$5:$A$204&gt;=$B435)*(D_Points!$A$5:$A$204&lt;$B435+P_Interval)*(UPPER(TRIM(D_Points!$B$5:$B$204))="GULLY")*(D_Points!$H$5:$H$204&lt;&gt;"")),D_Points!$H$5:$H$204),"")</f>
        <v/>
      </c>
      <c r="I435" s="181" t="str">
        <f>IFERROR(LOOKUP(2,1/((A_Corridor!$A$5:$A$204&lt;&gt;"")*(A_Corridor!$A$5:$A$204&lt;=$B435)*(A_Corridor!$B$5:$B$204&gt;$B435)*(A_Corridor!$F$5:$F$204&lt;&gt;"")),IF(A_Corridor!$F$5:$F$204="-","",1)),"")</f>
        <v/>
      </c>
      <c r="J435" s="182" t="str">
        <f>IFERROR(LOOKUP(2,1/((A_Corridor!$A$5:$A$204&lt;&gt;"")*(A_Corridor!$A$5:$A$204&lt;=$B435)*(A_Corridor!$B$5:$B$204&gt;$B435)*(A_Corridor!$F$5:$F$204&lt;&gt;"")),IF(A_Corridor!$F$5:$F$204="-","",A_Corridor!$F$5:$F$204)),"")</f>
        <v/>
      </c>
      <c r="K435" s="182" t="str">
        <f>IFERROR(LOOKUP(2,1/((A_Corridor!$A$5:$A$204&lt;&gt;"")*(A_Corridor!$A$5:$A$204&lt;=$B435)*(A_Corridor!$B$5:$B$204&gt;$B435)*(A_Corridor!$G$5:$G$204&lt;&gt;"")),IF(A_Corridor!$G$5:$G$204="-","",A_Corridor!$G$5:$G$204)),"")</f>
        <v/>
      </c>
      <c r="L435" s="181" t="str">
        <f>IFERROR(LOOKUP(2,1/((A_Corridor!$A$5:$A$204&lt;&gt;"")*(A_Corridor!$A$5:$A$204&lt;=$B435)*(A_Corridor!$B$5:$B$204&gt;$B435)*(A_Corridor!$H$5:$H$204&lt;&gt;"")),IF(A_Corridor!$H$5:$H$204="-","",1)),"")</f>
        <v/>
      </c>
      <c r="M435" s="182" t="str">
        <f>IFERROR(LOOKUP(2,1/((A_Corridor!$A$5:$A$204&lt;&gt;"")*(A_Corridor!$A$5:$A$204&lt;=$B435)*(A_Corridor!$B$5:$B$204&gt;$B435)*(A_Corridor!$H$5:$H$204&lt;&gt;"")),IF(A_Corridor!$H$5:$H$204="-","",A_Corridor!$H$5:$H$204)),"")</f>
        <v/>
      </c>
      <c r="N435" s="182" t="str">
        <f>IFERROR(LOOKUP(2,1/((A_Corridor!$A$5:$A$204&lt;&gt;"")*(A_Corridor!$A$5:$A$204&lt;=$B435)*(A_Corridor!$B$5:$B$204&gt;$B435)*(A_Corridor!$I$5:$I$204&lt;&gt;"")),IF(A_Corridor!$I$5:$I$204="-","",A_Corridor!$I$5:$I$204)),"")</f>
        <v/>
      </c>
      <c r="O435" s="182" t="str">
        <f>IFERROR(LOOKUP(2,1/((D_Points!$A$5:$A$204&lt;&gt;"")*(D_Points!$A$5:$A$204&gt;=$B435)*(D_Points!$A$5:$A$204&lt;$B435+P_Interval)*(UPPER(TRIM(D_Points!$B$5:$B$204))="PITCHING")*(D_Points!$H$5:$H$204&lt;&gt;"")),D_Points!$H$5:$H$204),"")</f>
        <v/>
      </c>
      <c r="P435" s="181" t="str">
        <f>IFERROR(LOOKUP(2,1/((B_Drainage!$A$5:$A$204&lt;&gt;"")*(B_Drainage!$A$5:$A$204&lt;=$B435)*(B_Drainage!$B$5:$B$204&gt;$B435)*(B_Drainage!$C$5:$C$204&lt;&gt;"")),IF(B_Drainage!$C$5:$C$204="-","",UPPER(B_Drainage!$C$5:$C$204))),"")</f>
        <v/>
      </c>
      <c r="Q435" s="181" t="str">
        <f>IFERROR(LOOKUP(2,1/((B_Drainage!$A$5:$A$204&lt;&gt;"")*(B_Drainage!$A$5:$A$204&lt;=$B435)*(B_Drainage!$B$5:$B$204&gt;$B435)*(B_Drainage!$D$5:$D$204&lt;&gt;"")),IF(B_Drainage!$D$5:$D$204="-","",UPPER(B_Drainage!$D$5:$D$204))),"")</f>
        <v/>
      </c>
      <c r="R435" s="182" t="str">
        <f>IFERROR(LOOKUP(2,1/((D_Points!$A$5:$A$204&lt;&gt;"")*(D_Points!$A$5:$A$204&gt;=$B435)*(D_Points!$A$5:$A$204&lt;$B435+P_Interval)*(RIGHT(UPPER(TRIM(D_Points!$B$5:$B$204)),8)="_CULVERT")),IF(LEFT(UPPER(TRIM(D_Points!$B$5:$B$204)),2)="EX",1,IF(LEFT(UPPER(TRIM(D_Points!$B$5:$B$204)),2)="PR",2,3))),"")</f>
        <v/>
      </c>
      <c r="S435" s="182" t="str">
        <f>IFERROR(LOOKUP(2,1/((D_Points!$A$5:$A$204&lt;&gt;"")*(D_Points!$A$5:$A$204&gt;=$B435)*(D_Points!$A$5:$A$204&lt;$B435+P_Interval)*(RIGHT(UPPER(TRIM(D_Points!$B$5:$B$204)),7)="_BRIDGE")),IF(LEFT(UPPER(TRIM(D_Points!$B$5:$B$204)),2)="EX",1,IF(LEFT(UPPER(TRIM(D_Points!$B$5:$B$204)),2)="PR",2,2))),"")</f>
        <v/>
      </c>
      <c r="T435" s="181" t="str">
        <f>IFERROR(LOOKUP(2,1/((B_Drainage!$A$5:$A$204&lt;&gt;"")*(B_Drainage!$A$5:$A$204&lt;=$B435)*(B_Drainage!$B$5:$B$204&gt;$B435)*(B_Drainage!$E$5:$E$204&lt;&gt;"")),IF(B_Drainage!$E$5:$E$204="-","",1)),"")</f>
        <v/>
      </c>
      <c r="U435" s="181" t="str">
        <f>IFERROR(LOOKUP(2,1/((B_Drainage!$A$5:$A$204&lt;&gt;"")*(B_Drainage!$A$5:$A$204&lt;=$B435)*(B_Drainage!$B$5:$B$204&gt;$B435)*(B_Drainage!$E$5:$E$204&lt;&gt;"")),IF(B_Drainage!$E$5:$E$204="-","",B_Drainage!$E$5:$E$204)),"")</f>
        <v/>
      </c>
      <c r="V435" s="181" t="str">
        <f>IFERROR(LOOKUP(2,1/((B_Drainage!$A$5:$A$204&lt;&gt;"")*(B_Drainage!$A$5:$A$204&lt;=$B435)*(B_Drainage!$B$5:$B$204&gt;$B435)*(B_Drainage!$F$5:$F$204&lt;&gt;"")),IF(B_Drainage!$F$5:$F$204="-","",1)),"")</f>
        <v/>
      </c>
      <c r="W435" s="181" t="str">
        <f>IFERROR(LOOKUP(2,1/((B_Drainage!$A$5:$A$204&lt;&gt;"")*(B_Drainage!$A$5:$A$204&lt;=$B435)*(B_Drainage!$B$5:$B$204&gt;$B435)*(B_Drainage!$F$5:$F$204&lt;&gt;"")),IF(B_Drainage!$F$5:$F$204="-","",B_Drainage!$F$5:$F$204)),"")</f>
        <v/>
      </c>
      <c r="X435" s="181" t="str">
        <f>IFERROR(LOOKUP(2,1/((B_Drainage!$A$5:$A$204&lt;&gt;"")*(B_Drainage!$A$5:$A$204&lt;=$B435)*(B_Drainage!$B$5:$B$204&gt;$B435)*(B_Drainage!$G$5:$G$204&lt;&gt;"")),IF(UPPER(B_Drainage!$G$5:$G$204)="Y",1,"")),"")</f>
        <v/>
      </c>
      <c r="Y435" s="181" t="str">
        <f>IFERROR(LOOKUP(2,1/((B_Drainage!$A$5:$A$204&lt;&gt;"")*(B_Drainage!$A$5:$A$204&lt;=$B435)*(B_Drainage!$B$5:$B$204&gt;$B435)*(B_Drainage!$H$5:$H$204&lt;&gt;"")),IF(UPPER(B_Drainage!$H$5:$H$204)="Y",1,"")),"")</f>
        <v/>
      </c>
      <c r="Z435" s="181" t="str">
        <f>IFERROR(LOOKUP(2,1/((B_Drainage!$A$5:$A$204&lt;&gt;"")*(B_Drainage!$A$5:$A$204&lt;=$B435)*(B_Drainage!$B$5:$B$204&gt;$B435)*(B_Drainage!$I$5:$I$204&lt;&gt;"")),IF(UPPER(B_Drainage!$I$5:$I$204)="Y",1,"")),"")</f>
        <v/>
      </c>
      <c r="AA435" s="181" t="str">
        <f>IFERROR(LOOKUP(2,1/((B_Drainage!$A$5:$A$204&lt;&gt;"")*(B_Drainage!$A$5:$A$204&lt;=$B435)*(B_Drainage!$B$5:$B$204&gt;$B435)*(B_Drainage!$J$5:$J$204&lt;&gt;"")),IF(UPPER(B_Drainage!$J$5:$J$204)="Y",1,"")),"")</f>
        <v/>
      </c>
      <c r="AB435" s="182" t="str">
        <f>IFERROR(LOOKUP(2,1/((B_Drainage!$A$5:$A$204&lt;&gt;"")*(B_Drainage!$A$5:$A$204&lt;=$B435)*(B_Drainage!$B$5:$B$204&gt;$B435)*(B_Drainage!$K$5:$K$204&lt;&gt;"")),IF(B_Drainage!$K$5:$K$204="-","",B_Drainage!$K$5:$K$204)),"")</f>
        <v/>
      </c>
      <c r="AC435" s="182" t="str">
        <f>IFERROR(LOOKUP(2,1/((B_Drainage!$A$5:$A$204&lt;&gt;"")*(B_Drainage!$A$5:$A$204&lt;=$B435)*(B_Drainage!$B$5:$B$204&gt;$B435)*(B_Drainage!$L$5:$L$204&lt;&gt;"")),IF(B_Drainage!$L$5:$L$204="-","",B_Drainage!$L$5:$L$204)),"")</f>
        <v/>
      </c>
      <c r="AD435" s="182" t="str">
        <f>IFERROR(LOOKUP(2,1/((D_Points!$A$5:$A$204&lt;&gt;"")*(D_Points!$A$5:$A$204&gt;=$B435)*(D_Points!$A$5:$A$204&lt;$B435+P_Interval)*(UPPER(TRIM(D_Points!$B$5:$B$204))="TURNOUT_L")*(D_Points!$H$5:$H$204&lt;&gt;"")),D_Points!$H$5:$H$204),"")</f>
        <v/>
      </c>
      <c r="AE435" s="182" t="str">
        <f>IFERROR(LOOKUP(2,1/((D_Points!$A$5:$A$204&lt;&gt;"")*(D_Points!$A$5:$A$204&gt;=$B435)*(D_Points!$A$5:$A$204&lt;$B435+P_Interval)*(UPPER(TRIM(D_Points!$B$5:$B$204))="TURNOUT_R")*(D_Points!$H$5:$H$204&lt;&gt;"")),D_Points!$H$5:$H$204),"")</f>
        <v/>
      </c>
      <c r="AF435" s="181" t="str">
        <f>IFERROR(LOOKUP(2,1/((B_Drainage!$A$5:$A$204&lt;&gt;"")*(B_Drainage!$A$5:$A$204&lt;=$B435)*(B_Drainage!$B$5:$B$204&gt;$B435)*(B_Drainage!$M$5:$M$204&lt;&gt;"")),IF(UPPER(B_Drainage!$M$5:$M$204)="Y",1,"")),"")</f>
        <v/>
      </c>
      <c r="AG435" s="181" t="str">
        <f>IFERROR(LOOKUP(2,1/((B_Drainage!$A$5:$A$204&lt;&gt;"")*(B_Drainage!$A$5:$A$204&lt;=$B435)*(B_Drainage!$B$5:$B$204&gt;$B435)*(B_Drainage!$N$5:$N$204&lt;&gt;"")),IF(UPPER(B_Drainage!$N$5:$N$204)="Y",1,"")),"")</f>
        <v/>
      </c>
      <c r="AH435" s="181" t="str">
        <f t="shared" si="48"/>
        <v/>
      </c>
      <c r="AI435" s="181" t="str">
        <f t="shared" si="49"/>
        <v/>
      </c>
      <c r="AJ435" s="181" t="str">
        <f t="shared" si="50"/>
        <v/>
      </c>
      <c r="AK435" s="181" t="str">
        <f t="shared" si="51"/>
        <v/>
      </c>
      <c r="AL435" s="181" t="str">
        <f t="shared" si="52"/>
        <v/>
      </c>
      <c r="AM435" s="181" t="str">
        <f t="shared" si="53"/>
        <v/>
      </c>
      <c r="AN435" s="181" t="str">
        <f t="shared" si="54"/>
        <v/>
      </c>
      <c r="AO435" s="192" t="str">
        <f t="shared" si="55"/>
        <v/>
      </c>
      <c r="AQ435" t="str">
        <f>IFERROR(LOOKUP(2,1/((C_Pavement!$A$5:$A$204&lt;&gt;"")*(C_Pavement!$A$5:$A$204&lt;=$B435)*(C_Pavement!$B$5:$B$204&gt;$B435)*(C_Pavement!$C$5:$C$204&lt;&gt;"")),ROW(C_Pavement!$C$5:$C$204)-4),"")</f>
        <v/>
      </c>
      <c r="AR435" t="str">
        <f>IF($AQ435="","",UPPER(TRIM(INDEX(C_Pavement!$C$5:$C$204,$AQ435))))</f>
        <v/>
      </c>
      <c r="AS435" t="str">
        <f>IF($AR435="","",IFERROR(MATCH($AR435,E_Rules!$A$5:$A$9,0),""))</f>
        <v/>
      </c>
      <c r="AT435" t="str">
        <f>IF($AQ435="","",IF(INDEX(C_Pavement!$D$5:$D$204,$AQ435)&lt;&gt;"",UPPER(TRIM(INDEX(C_Pavement!$D$5:$D$204,$AQ435))),IF($AS435="","",INDEX(E_Rules!$C$5:$C$9,$AS435))))</f>
        <v/>
      </c>
      <c r="AU435" t="str">
        <f>IF($AQ435="","",IF(INDEX(C_Pavement!$E$5:$E$204,$AQ435)&lt;&gt;"",IF(INDEX(C_Pavement!$E$5:$E$204,$AQ435)="-","",INDEX(C_Pavement!$E$5:$E$204,$AQ435)),IF($AS435="","",INDEX(E_Rules!$D$5:$D$9,$AS435))))</f>
        <v/>
      </c>
      <c r="AV435" t="str">
        <f>IF($AQ435="","",IF(INDEX(C_Pavement!$F$5:$F$204,$AQ435)&lt;&gt;"",IF(INDEX(C_Pavement!$F$5:$F$204,$AQ435)="-","",INDEX(C_Pavement!$F$5:$F$204,$AQ435)),IF($AS435="","",INDEX(E_Rules!$E$5:$E$9,$AS435))))</f>
        <v/>
      </c>
      <c r="AW435" t="str">
        <f>IF($AQ435="","",IF(INDEX(C_Pavement!$G$5:$G$204,$AQ435)&lt;&gt;"",IF(INDEX(C_Pavement!$G$5:$G$204,$AQ435)="-","",INDEX(C_Pavement!$G$5:$G$204,$AQ435)),IF($AS435="","",INDEX(E_Rules!$F$5:$F$9,$AS435))))</f>
        <v/>
      </c>
      <c r="AX435" t="str">
        <f>IF($AQ435="","",IF(INDEX(C_Pavement!$H$5:$H$204,$AQ435)&lt;&gt;"",IF(INDEX(C_Pavement!$H$5:$H$204,$AQ435)="-","",INDEX(C_Pavement!$H$5:$H$204,$AQ435)),IF($AS435="","",INDEX(E_Rules!$G$5:$G$9,$AS435))))</f>
        <v/>
      </c>
      <c r="AY435" t="str">
        <f>IF($AQ435="","",IF(INDEX(C_Pavement!$I$5:$I$204,$AQ435)&lt;&gt;"",IF(INDEX(C_Pavement!$I$5:$I$204,$AQ435)="-","",INDEX(C_Pavement!$I$5:$I$204,$AQ435)),IF($AS435="","",INDEX(E_Rules!$H$5:$H$9,$AS435))))</f>
        <v/>
      </c>
    </row>
    <row r="436" spans="1:51" ht="15.75" customHeight="1" x14ac:dyDescent="0.3">
      <c r="A436" s="189">
        <v>431</v>
      </c>
      <c r="B436" s="180">
        <v>21500</v>
      </c>
      <c r="C436" s="180" t="s">
        <v>742</v>
      </c>
      <c r="D436" s="181" t="str">
        <f>IFERROR(LOOKUP(2,1/((A_Corridor!$A$5:$A$204&lt;&gt;"")*(A_Corridor!$A$5:$A$204&lt;=$B436)*(A_Corridor!$B$5:$B$204&gt;$B436)*(A_Corridor!$C$5:$C$204&lt;&gt;"")),IF(UPPER(A_Corridor!$C$5:$C$204)="Y",1,"")),"")</f>
        <v/>
      </c>
      <c r="E436" s="181" t="str">
        <f>IFERROR(LOOKUP(2,1/((A_Corridor!$A$5:$A$204&lt;&gt;"")*(A_Corridor!$A$5:$A$204&lt;=$B436)*(A_Corridor!$B$5:$B$204&gt;$B436)*(A_Corridor!$D$5:$D$204&lt;&gt;"")),IF(A_Corridor!$D$5:$D$204="-","",UPPER(A_Corridor!$D$5:$D$204))),"")</f>
        <v/>
      </c>
      <c r="F436" s="181" t="str">
        <f>IFERROR(LOOKUP(2,1/((A_Corridor!$A$5:$A$204&lt;&gt;"")*(A_Corridor!$A$5:$A$204&lt;=$B436)*(A_Corridor!$B$5:$B$204&gt;$B436)*(A_Corridor!$E$5:$E$204&lt;&gt;"")),IF(A_Corridor!$E$5:$E$204="-","",1)),"")</f>
        <v/>
      </c>
      <c r="G436" s="182" t="str">
        <f>IFERROR(LOOKUP(2,1/((A_Corridor!$A$5:$A$204&lt;&gt;"")*(A_Corridor!$A$5:$A$204&lt;=$B436)*(A_Corridor!$B$5:$B$204&gt;$B436)*(A_Corridor!$E$5:$E$204&lt;&gt;"")),IF(A_Corridor!$E$5:$E$204="-","",A_Corridor!$E$5:$E$204)),"")</f>
        <v/>
      </c>
      <c r="H436" s="182" t="str">
        <f>IFERROR(LOOKUP(2,1/((D_Points!$A$5:$A$204&lt;&gt;"")*(D_Points!$A$5:$A$204&gt;=$B436)*(D_Points!$A$5:$A$204&lt;$B436+P_Interval)*(UPPER(TRIM(D_Points!$B$5:$B$204))="GULLY")*(D_Points!$H$5:$H$204&lt;&gt;"")),D_Points!$H$5:$H$204),"")</f>
        <v/>
      </c>
      <c r="I436" s="181" t="str">
        <f>IFERROR(LOOKUP(2,1/((A_Corridor!$A$5:$A$204&lt;&gt;"")*(A_Corridor!$A$5:$A$204&lt;=$B436)*(A_Corridor!$B$5:$B$204&gt;$B436)*(A_Corridor!$F$5:$F$204&lt;&gt;"")),IF(A_Corridor!$F$5:$F$204="-","",1)),"")</f>
        <v/>
      </c>
      <c r="J436" s="182" t="str">
        <f>IFERROR(LOOKUP(2,1/((A_Corridor!$A$5:$A$204&lt;&gt;"")*(A_Corridor!$A$5:$A$204&lt;=$B436)*(A_Corridor!$B$5:$B$204&gt;$B436)*(A_Corridor!$F$5:$F$204&lt;&gt;"")),IF(A_Corridor!$F$5:$F$204="-","",A_Corridor!$F$5:$F$204)),"")</f>
        <v/>
      </c>
      <c r="K436" s="182" t="str">
        <f>IFERROR(LOOKUP(2,1/((A_Corridor!$A$5:$A$204&lt;&gt;"")*(A_Corridor!$A$5:$A$204&lt;=$B436)*(A_Corridor!$B$5:$B$204&gt;$B436)*(A_Corridor!$G$5:$G$204&lt;&gt;"")),IF(A_Corridor!$G$5:$G$204="-","",A_Corridor!$G$5:$G$204)),"")</f>
        <v/>
      </c>
      <c r="L436" s="181" t="str">
        <f>IFERROR(LOOKUP(2,1/((A_Corridor!$A$5:$A$204&lt;&gt;"")*(A_Corridor!$A$5:$A$204&lt;=$B436)*(A_Corridor!$B$5:$B$204&gt;$B436)*(A_Corridor!$H$5:$H$204&lt;&gt;"")),IF(A_Corridor!$H$5:$H$204="-","",1)),"")</f>
        <v/>
      </c>
      <c r="M436" s="182" t="str">
        <f>IFERROR(LOOKUP(2,1/((A_Corridor!$A$5:$A$204&lt;&gt;"")*(A_Corridor!$A$5:$A$204&lt;=$B436)*(A_Corridor!$B$5:$B$204&gt;$B436)*(A_Corridor!$H$5:$H$204&lt;&gt;"")),IF(A_Corridor!$H$5:$H$204="-","",A_Corridor!$H$5:$H$204)),"")</f>
        <v/>
      </c>
      <c r="N436" s="182" t="str">
        <f>IFERROR(LOOKUP(2,1/((A_Corridor!$A$5:$A$204&lt;&gt;"")*(A_Corridor!$A$5:$A$204&lt;=$B436)*(A_Corridor!$B$5:$B$204&gt;$B436)*(A_Corridor!$I$5:$I$204&lt;&gt;"")),IF(A_Corridor!$I$5:$I$204="-","",A_Corridor!$I$5:$I$204)),"")</f>
        <v/>
      </c>
      <c r="O436" s="182" t="str">
        <f>IFERROR(LOOKUP(2,1/((D_Points!$A$5:$A$204&lt;&gt;"")*(D_Points!$A$5:$A$204&gt;=$B436)*(D_Points!$A$5:$A$204&lt;$B436+P_Interval)*(UPPER(TRIM(D_Points!$B$5:$B$204))="PITCHING")*(D_Points!$H$5:$H$204&lt;&gt;"")),D_Points!$H$5:$H$204),"")</f>
        <v/>
      </c>
      <c r="P436" s="181" t="str">
        <f>IFERROR(LOOKUP(2,1/((B_Drainage!$A$5:$A$204&lt;&gt;"")*(B_Drainage!$A$5:$A$204&lt;=$B436)*(B_Drainage!$B$5:$B$204&gt;$B436)*(B_Drainage!$C$5:$C$204&lt;&gt;"")),IF(B_Drainage!$C$5:$C$204="-","",UPPER(B_Drainage!$C$5:$C$204))),"")</f>
        <v/>
      </c>
      <c r="Q436" s="181" t="str">
        <f>IFERROR(LOOKUP(2,1/((B_Drainage!$A$5:$A$204&lt;&gt;"")*(B_Drainage!$A$5:$A$204&lt;=$B436)*(B_Drainage!$B$5:$B$204&gt;$B436)*(B_Drainage!$D$5:$D$204&lt;&gt;"")),IF(B_Drainage!$D$5:$D$204="-","",UPPER(B_Drainage!$D$5:$D$204))),"")</f>
        <v/>
      </c>
      <c r="R436" s="182" t="str">
        <f>IFERROR(LOOKUP(2,1/((D_Points!$A$5:$A$204&lt;&gt;"")*(D_Points!$A$5:$A$204&gt;=$B436)*(D_Points!$A$5:$A$204&lt;$B436+P_Interval)*(RIGHT(UPPER(TRIM(D_Points!$B$5:$B$204)),8)="_CULVERT")),IF(LEFT(UPPER(TRIM(D_Points!$B$5:$B$204)),2)="EX",1,IF(LEFT(UPPER(TRIM(D_Points!$B$5:$B$204)),2)="PR",2,3))),"")</f>
        <v/>
      </c>
      <c r="S436" s="182" t="str">
        <f>IFERROR(LOOKUP(2,1/((D_Points!$A$5:$A$204&lt;&gt;"")*(D_Points!$A$5:$A$204&gt;=$B436)*(D_Points!$A$5:$A$204&lt;$B436+P_Interval)*(RIGHT(UPPER(TRIM(D_Points!$B$5:$B$204)),7)="_BRIDGE")),IF(LEFT(UPPER(TRIM(D_Points!$B$5:$B$204)),2)="EX",1,IF(LEFT(UPPER(TRIM(D_Points!$B$5:$B$204)),2)="PR",2,2))),"")</f>
        <v/>
      </c>
      <c r="T436" s="181" t="str">
        <f>IFERROR(LOOKUP(2,1/((B_Drainage!$A$5:$A$204&lt;&gt;"")*(B_Drainage!$A$5:$A$204&lt;=$B436)*(B_Drainage!$B$5:$B$204&gt;$B436)*(B_Drainage!$E$5:$E$204&lt;&gt;"")),IF(B_Drainage!$E$5:$E$204="-","",1)),"")</f>
        <v/>
      </c>
      <c r="U436" s="181" t="str">
        <f>IFERROR(LOOKUP(2,1/((B_Drainage!$A$5:$A$204&lt;&gt;"")*(B_Drainage!$A$5:$A$204&lt;=$B436)*(B_Drainage!$B$5:$B$204&gt;$B436)*(B_Drainage!$E$5:$E$204&lt;&gt;"")),IF(B_Drainage!$E$5:$E$204="-","",B_Drainage!$E$5:$E$204)),"")</f>
        <v/>
      </c>
      <c r="V436" s="181" t="str">
        <f>IFERROR(LOOKUP(2,1/((B_Drainage!$A$5:$A$204&lt;&gt;"")*(B_Drainage!$A$5:$A$204&lt;=$B436)*(B_Drainage!$B$5:$B$204&gt;$B436)*(B_Drainage!$F$5:$F$204&lt;&gt;"")),IF(B_Drainage!$F$5:$F$204="-","",1)),"")</f>
        <v/>
      </c>
      <c r="W436" s="181" t="str">
        <f>IFERROR(LOOKUP(2,1/((B_Drainage!$A$5:$A$204&lt;&gt;"")*(B_Drainage!$A$5:$A$204&lt;=$B436)*(B_Drainage!$B$5:$B$204&gt;$B436)*(B_Drainage!$F$5:$F$204&lt;&gt;"")),IF(B_Drainage!$F$5:$F$204="-","",B_Drainage!$F$5:$F$204)),"")</f>
        <v/>
      </c>
      <c r="X436" s="181" t="str">
        <f>IFERROR(LOOKUP(2,1/((B_Drainage!$A$5:$A$204&lt;&gt;"")*(B_Drainage!$A$5:$A$204&lt;=$B436)*(B_Drainage!$B$5:$B$204&gt;$B436)*(B_Drainage!$G$5:$G$204&lt;&gt;"")),IF(UPPER(B_Drainage!$G$5:$G$204)="Y",1,"")),"")</f>
        <v/>
      </c>
      <c r="Y436" s="181" t="str">
        <f>IFERROR(LOOKUP(2,1/((B_Drainage!$A$5:$A$204&lt;&gt;"")*(B_Drainage!$A$5:$A$204&lt;=$B436)*(B_Drainage!$B$5:$B$204&gt;$B436)*(B_Drainage!$H$5:$H$204&lt;&gt;"")),IF(UPPER(B_Drainage!$H$5:$H$204)="Y",1,"")),"")</f>
        <v/>
      </c>
      <c r="Z436" s="181" t="str">
        <f>IFERROR(LOOKUP(2,1/((B_Drainage!$A$5:$A$204&lt;&gt;"")*(B_Drainage!$A$5:$A$204&lt;=$B436)*(B_Drainage!$B$5:$B$204&gt;$B436)*(B_Drainage!$I$5:$I$204&lt;&gt;"")),IF(UPPER(B_Drainage!$I$5:$I$204)="Y",1,"")),"")</f>
        <v/>
      </c>
      <c r="AA436" s="181" t="str">
        <f>IFERROR(LOOKUP(2,1/((B_Drainage!$A$5:$A$204&lt;&gt;"")*(B_Drainage!$A$5:$A$204&lt;=$B436)*(B_Drainage!$B$5:$B$204&gt;$B436)*(B_Drainage!$J$5:$J$204&lt;&gt;"")),IF(UPPER(B_Drainage!$J$5:$J$204)="Y",1,"")),"")</f>
        <v/>
      </c>
      <c r="AB436" s="182" t="str">
        <f>IFERROR(LOOKUP(2,1/((B_Drainage!$A$5:$A$204&lt;&gt;"")*(B_Drainage!$A$5:$A$204&lt;=$B436)*(B_Drainage!$B$5:$B$204&gt;$B436)*(B_Drainage!$K$5:$K$204&lt;&gt;"")),IF(B_Drainage!$K$5:$K$204="-","",B_Drainage!$K$5:$K$204)),"")</f>
        <v/>
      </c>
      <c r="AC436" s="182" t="str">
        <f>IFERROR(LOOKUP(2,1/((B_Drainage!$A$5:$A$204&lt;&gt;"")*(B_Drainage!$A$5:$A$204&lt;=$B436)*(B_Drainage!$B$5:$B$204&gt;$B436)*(B_Drainage!$L$5:$L$204&lt;&gt;"")),IF(B_Drainage!$L$5:$L$204="-","",B_Drainage!$L$5:$L$204)),"")</f>
        <v/>
      </c>
      <c r="AD436" s="182" t="str">
        <f>IFERROR(LOOKUP(2,1/((D_Points!$A$5:$A$204&lt;&gt;"")*(D_Points!$A$5:$A$204&gt;=$B436)*(D_Points!$A$5:$A$204&lt;$B436+P_Interval)*(UPPER(TRIM(D_Points!$B$5:$B$204))="TURNOUT_L")*(D_Points!$H$5:$H$204&lt;&gt;"")),D_Points!$H$5:$H$204),"")</f>
        <v/>
      </c>
      <c r="AE436" s="182" t="str">
        <f>IFERROR(LOOKUP(2,1/((D_Points!$A$5:$A$204&lt;&gt;"")*(D_Points!$A$5:$A$204&gt;=$B436)*(D_Points!$A$5:$A$204&lt;$B436+P_Interval)*(UPPER(TRIM(D_Points!$B$5:$B$204))="TURNOUT_R")*(D_Points!$H$5:$H$204&lt;&gt;"")),D_Points!$H$5:$H$204),"")</f>
        <v/>
      </c>
      <c r="AF436" s="181" t="str">
        <f>IFERROR(LOOKUP(2,1/((B_Drainage!$A$5:$A$204&lt;&gt;"")*(B_Drainage!$A$5:$A$204&lt;=$B436)*(B_Drainage!$B$5:$B$204&gt;$B436)*(B_Drainage!$M$5:$M$204&lt;&gt;"")),IF(UPPER(B_Drainage!$M$5:$M$204)="Y",1,"")),"")</f>
        <v/>
      </c>
      <c r="AG436" s="181" t="str">
        <f>IFERROR(LOOKUP(2,1/((B_Drainage!$A$5:$A$204&lt;&gt;"")*(B_Drainage!$A$5:$A$204&lt;=$B436)*(B_Drainage!$B$5:$B$204&gt;$B436)*(B_Drainage!$N$5:$N$204&lt;&gt;"")),IF(UPPER(B_Drainage!$N$5:$N$204)="Y",1,"")),"")</f>
        <v/>
      </c>
      <c r="AH436" s="181" t="str">
        <f t="shared" si="48"/>
        <v/>
      </c>
      <c r="AI436" s="181" t="str">
        <f t="shared" si="49"/>
        <v/>
      </c>
      <c r="AJ436" s="181" t="str">
        <f t="shared" si="50"/>
        <v/>
      </c>
      <c r="AK436" s="181" t="str">
        <f t="shared" si="51"/>
        <v/>
      </c>
      <c r="AL436" s="181" t="str">
        <f t="shared" si="52"/>
        <v/>
      </c>
      <c r="AM436" s="181" t="str">
        <f t="shared" si="53"/>
        <v/>
      </c>
      <c r="AN436" s="181" t="str">
        <f t="shared" si="54"/>
        <v/>
      </c>
      <c r="AO436" s="192" t="str">
        <f t="shared" si="55"/>
        <v/>
      </c>
      <c r="AQ436" t="str">
        <f>IFERROR(LOOKUP(2,1/((C_Pavement!$A$5:$A$204&lt;&gt;"")*(C_Pavement!$A$5:$A$204&lt;=$B436)*(C_Pavement!$B$5:$B$204&gt;$B436)*(C_Pavement!$C$5:$C$204&lt;&gt;"")),ROW(C_Pavement!$C$5:$C$204)-4),"")</f>
        <v/>
      </c>
      <c r="AR436" t="str">
        <f>IF($AQ436="","",UPPER(TRIM(INDEX(C_Pavement!$C$5:$C$204,$AQ436))))</f>
        <v/>
      </c>
      <c r="AS436" t="str">
        <f>IF($AR436="","",IFERROR(MATCH($AR436,E_Rules!$A$5:$A$9,0),""))</f>
        <v/>
      </c>
      <c r="AT436" t="str">
        <f>IF($AQ436="","",IF(INDEX(C_Pavement!$D$5:$D$204,$AQ436)&lt;&gt;"",UPPER(TRIM(INDEX(C_Pavement!$D$5:$D$204,$AQ436))),IF($AS436="","",INDEX(E_Rules!$C$5:$C$9,$AS436))))</f>
        <v/>
      </c>
      <c r="AU436" t="str">
        <f>IF($AQ436="","",IF(INDEX(C_Pavement!$E$5:$E$204,$AQ436)&lt;&gt;"",IF(INDEX(C_Pavement!$E$5:$E$204,$AQ436)="-","",INDEX(C_Pavement!$E$5:$E$204,$AQ436)),IF($AS436="","",INDEX(E_Rules!$D$5:$D$9,$AS436))))</f>
        <v/>
      </c>
      <c r="AV436" t="str">
        <f>IF($AQ436="","",IF(INDEX(C_Pavement!$F$5:$F$204,$AQ436)&lt;&gt;"",IF(INDEX(C_Pavement!$F$5:$F$204,$AQ436)="-","",INDEX(C_Pavement!$F$5:$F$204,$AQ436)),IF($AS436="","",INDEX(E_Rules!$E$5:$E$9,$AS436))))</f>
        <v/>
      </c>
      <c r="AW436" t="str">
        <f>IF($AQ436="","",IF(INDEX(C_Pavement!$G$5:$G$204,$AQ436)&lt;&gt;"",IF(INDEX(C_Pavement!$G$5:$G$204,$AQ436)="-","",INDEX(C_Pavement!$G$5:$G$204,$AQ436)),IF($AS436="","",INDEX(E_Rules!$F$5:$F$9,$AS436))))</f>
        <v/>
      </c>
      <c r="AX436" t="str">
        <f>IF($AQ436="","",IF(INDEX(C_Pavement!$H$5:$H$204,$AQ436)&lt;&gt;"",IF(INDEX(C_Pavement!$H$5:$H$204,$AQ436)="-","",INDEX(C_Pavement!$H$5:$H$204,$AQ436)),IF($AS436="","",INDEX(E_Rules!$G$5:$G$9,$AS436))))</f>
        <v/>
      </c>
      <c r="AY436" t="str">
        <f>IF($AQ436="","",IF(INDEX(C_Pavement!$I$5:$I$204,$AQ436)&lt;&gt;"",IF(INDEX(C_Pavement!$I$5:$I$204,$AQ436)="-","",INDEX(C_Pavement!$I$5:$I$204,$AQ436)),IF($AS436="","",INDEX(E_Rules!$H$5:$H$9,$AS436))))</f>
        <v/>
      </c>
    </row>
    <row r="437" spans="1:51" ht="15.75" customHeight="1" x14ac:dyDescent="0.3">
      <c r="A437" s="189">
        <v>432</v>
      </c>
      <c r="B437" s="180">
        <v>21550</v>
      </c>
      <c r="C437" s="180" t="s">
        <v>743</v>
      </c>
      <c r="D437" s="181" t="str">
        <f>IFERROR(LOOKUP(2,1/((A_Corridor!$A$5:$A$204&lt;&gt;"")*(A_Corridor!$A$5:$A$204&lt;=$B437)*(A_Corridor!$B$5:$B$204&gt;$B437)*(A_Corridor!$C$5:$C$204&lt;&gt;"")),IF(UPPER(A_Corridor!$C$5:$C$204)="Y",1,"")),"")</f>
        <v/>
      </c>
      <c r="E437" s="181" t="str">
        <f>IFERROR(LOOKUP(2,1/((A_Corridor!$A$5:$A$204&lt;&gt;"")*(A_Corridor!$A$5:$A$204&lt;=$B437)*(A_Corridor!$B$5:$B$204&gt;$B437)*(A_Corridor!$D$5:$D$204&lt;&gt;"")),IF(A_Corridor!$D$5:$D$204="-","",UPPER(A_Corridor!$D$5:$D$204))),"")</f>
        <v/>
      </c>
      <c r="F437" s="181" t="str">
        <f>IFERROR(LOOKUP(2,1/((A_Corridor!$A$5:$A$204&lt;&gt;"")*(A_Corridor!$A$5:$A$204&lt;=$B437)*(A_Corridor!$B$5:$B$204&gt;$B437)*(A_Corridor!$E$5:$E$204&lt;&gt;"")),IF(A_Corridor!$E$5:$E$204="-","",1)),"")</f>
        <v/>
      </c>
      <c r="G437" s="182" t="str">
        <f>IFERROR(LOOKUP(2,1/((A_Corridor!$A$5:$A$204&lt;&gt;"")*(A_Corridor!$A$5:$A$204&lt;=$B437)*(A_Corridor!$B$5:$B$204&gt;$B437)*(A_Corridor!$E$5:$E$204&lt;&gt;"")),IF(A_Corridor!$E$5:$E$204="-","",A_Corridor!$E$5:$E$204)),"")</f>
        <v/>
      </c>
      <c r="H437" s="182" t="str">
        <f>IFERROR(LOOKUP(2,1/((D_Points!$A$5:$A$204&lt;&gt;"")*(D_Points!$A$5:$A$204&gt;=$B437)*(D_Points!$A$5:$A$204&lt;$B437+P_Interval)*(UPPER(TRIM(D_Points!$B$5:$B$204))="GULLY")*(D_Points!$H$5:$H$204&lt;&gt;"")),D_Points!$H$5:$H$204),"")</f>
        <v/>
      </c>
      <c r="I437" s="181" t="str">
        <f>IFERROR(LOOKUP(2,1/((A_Corridor!$A$5:$A$204&lt;&gt;"")*(A_Corridor!$A$5:$A$204&lt;=$B437)*(A_Corridor!$B$5:$B$204&gt;$B437)*(A_Corridor!$F$5:$F$204&lt;&gt;"")),IF(A_Corridor!$F$5:$F$204="-","",1)),"")</f>
        <v/>
      </c>
      <c r="J437" s="182" t="str">
        <f>IFERROR(LOOKUP(2,1/((A_Corridor!$A$5:$A$204&lt;&gt;"")*(A_Corridor!$A$5:$A$204&lt;=$B437)*(A_Corridor!$B$5:$B$204&gt;$B437)*(A_Corridor!$F$5:$F$204&lt;&gt;"")),IF(A_Corridor!$F$5:$F$204="-","",A_Corridor!$F$5:$F$204)),"")</f>
        <v/>
      </c>
      <c r="K437" s="182" t="str">
        <f>IFERROR(LOOKUP(2,1/((A_Corridor!$A$5:$A$204&lt;&gt;"")*(A_Corridor!$A$5:$A$204&lt;=$B437)*(A_Corridor!$B$5:$B$204&gt;$B437)*(A_Corridor!$G$5:$G$204&lt;&gt;"")),IF(A_Corridor!$G$5:$G$204="-","",A_Corridor!$G$5:$G$204)),"")</f>
        <v/>
      </c>
      <c r="L437" s="181" t="str">
        <f>IFERROR(LOOKUP(2,1/((A_Corridor!$A$5:$A$204&lt;&gt;"")*(A_Corridor!$A$5:$A$204&lt;=$B437)*(A_Corridor!$B$5:$B$204&gt;$B437)*(A_Corridor!$H$5:$H$204&lt;&gt;"")),IF(A_Corridor!$H$5:$H$204="-","",1)),"")</f>
        <v/>
      </c>
      <c r="M437" s="182" t="str">
        <f>IFERROR(LOOKUP(2,1/((A_Corridor!$A$5:$A$204&lt;&gt;"")*(A_Corridor!$A$5:$A$204&lt;=$B437)*(A_Corridor!$B$5:$B$204&gt;$B437)*(A_Corridor!$H$5:$H$204&lt;&gt;"")),IF(A_Corridor!$H$5:$H$204="-","",A_Corridor!$H$5:$H$204)),"")</f>
        <v/>
      </c>
      <c r="N437" s="182" t="str">
        <f>IFERROR(LOOKUP(2,1/((A_Corridor!$A$5:$A$204&lt;&gt;"")*(A_Corridor!$A$5:$A$204&lt;=$B437)*(A_Corridor!$B$5:$B$204&gt;$B437)*(A_Corridor!$I$5:$I$204&lt;&gt;"")),IF(A_Corridor!$I$5:$I$204="-","",A_Corridor!$I$5:$I$204)),"")</f>
        <v/>
      </c>
      <c r="O437" s="182" t="str">
        <f>IFERROR(LOOKUP(2,1/((D_Points!$A$5:$A$204&lt;&gt;"")*(D_Points!$A$5:$A$204&gt;=$B437)*(D_Points!$A$5:$A$204&lt;$B437+P_Interval)*(UPPER(TRIM(D_Points!$B$5:$B$204))="PITCHING")*(D_Points!$H$5:$H$204&lt;&gt;"")),D_Points!$H$5:$H$204),"")</f>
        <v/>
      </c>
      <c r="P437" s="181" t="str">
        <f>IFERROR(LOOKUP(2,1/((B_Drainage!$A$5:$A$204&lt;&gt;"")*(B_Drainage!$A$5:$A$204&lt;=$B437)*(B_Drainage!$B$5:$B$204&gt;$B437)*(B_Drainage!$C$5:$C$204&lt;&gt;"")),IF(B_Drainage!$C$5:$C$204="-","",UPPER(B_Drainage!$C$5:$C$204))),"")</f>
        <v/>
      </c>
      <c r="Q437" s="181" t="str">
        <f>IFERROR(LOOKUP(2,1/((B_Drainage!$A$5:$A$204&lt;&gt;"")*(B_Drainage!$A$5:$A$204&lt;=$B437)*(B_Drainage!$B$5:$B$204&gt;$B437)*(B_Drainage!$D$5:$D$204&lt;&gt;"")),IF(B_Drainage!$D$5:$D$204="-","",UPPER(B_Drainage!$D$5:$D$204))),"")</f>
        <v/>
      </c>
      <c r="R437" s="182" t="str">
        <f>IFERROR(LOOKUP(2,1/((D_Points!$A$5:$A$204&lt;&gt;"")*(D_Points!$A$5:$A$204&gt;=$B437)*(D_Points!$A$5:$A$204&lt;$B437+P_Interval)*(RIGHT(UPPER(TRIM(D_Points!$B$5:$B$204)),8)="_CULVERT")),IF(LEFT(UPPER(TRIM(D_Points!$B$5:$B$204)),2)="EX",1,IF(LEFT(UPPER(TRIM(D_Points!$B$5:$B$204)),2)="PR",2,3))),"")</f>
        <v/>
      </c>
      <c r="S437" s="182" t="str">
        <f>IFERROR(LOOKUP(2,1/((D_Points!$A$5:$A$204&lt;&gt;"")*(D_Points!$A$5:$A$204&gt;=$B437)*(D_Points!$A$5:$A$204&lt;$B437+P_Interval)*(RIGHT(UPPER(TRIM(D_Points!$B$5:$B$204)),7)="_BRIDGE")),IF(LEFT(UPPER(TRIM(D_Points!$B$5:$B$204)),2)="EX",1,IF(LEFT(UPPER(TRIM(D_Points!$B$5:$B$204)),2)="PR",2,2))),"")</f>
        <v/>
      </c>
      <c r="T437" s="181" t="str">
        <f>IFERROR(LOOKUP(2,1/((B_Drainage!$A$5:$A$204&lt;&gt;"")*(B_Drainage!$A$5:$A$204&lt;=$B437)*(B_Drainage!$B$5:$B$204&gt;$B437)*(B_Drainage!$E$5:$E$204&lt;&gt;"")),IF(B_Drainage!$E$5:$E$204="-","",1)),"")</f>
        <v/>
      </c>
      <c r="U437" s="181" t="str">
        <f>IFERROR(LOOKUP(2,1/((B_Drainage!$A$5:$A$204&lt;&gt;"")*(B_Drainage!$A$5:$A$204&lt;=$B437)*(B_Drainage!$B$5:$B$204&gt;$B437)*(B_Drainage!$E$5:$E$204&lt;&gt;"")),IF(B_Drainage!$E$5:$E$204="-","",B_Drainage!$E$5:$E$204)),"")</f>
        <v/>
      </c>
      <c r="V437" s="181" t="str">
        <f>IFERROR(LOOKUP(2,1/((B_Drainage!$A$5:$A$204&lt;&gt;"")*(B_Drainage!$A$5:$A$204&lt;=$B437)*(B_Drainage!$B$5:$B$204&gt;$B437)*(B_Drainage!$F$5:$F$204&lt;&gt;"")),IF(B_Drainage!$F$5:$F$204="-","",1)),"")</f>
        <v/>
      </c>
      <c r="W437" s="181" t="str">
        <f>IFERROR(LOOKUP(2,1/((B_Drainage!$A$5:$A$204&lt;&gt;"")*(B_Drainage!$A$5:$A$204&lt;=$B437)*(B_Drainage!$B$5:$B$204&gt;$B437)*(B_Drainage!$F$5:$F$204&lt;&gt;"")),IF(B_Drainage!$F$5:$F$204="-","",B_Drainage!$F$5:$F$204)),"")</f>
        <v/>
      </c>
      <c r="X437" s="181" t="str">
        <f>IFERROR(LOOKUP(2,1/((B_Drainage!$A$5:$A$204&lt;&gt;"")*(B_Drainage!$A$5:$A$204&lt;=$B437)*(B_Drainage!$B$5:$B$204&gt;$B437)*(B_Drainage!$G$5:$G$204&lt;&gt;"")),IF(UPPER(B_Drainage!$G$5:$G$204)="Y",1,"")),"")</f>
        <v/>
      </c>
      <c r="Y437" s="181" t="str">
        <f>IFERROR(LOOKUP(2,1/((B_Drainage!$A$5:$A$204&lt;&gt;"")*(B_Drainage!$A$5:$A$204&lt;=$B437)*(B_Drainage!$B$5:$B$204&gt;$B437)*(B_Drainage!$H$5:$H$204&lt;&gt;"")),IF(UPPER(B_Drainage!$H$5:$H$204)="Y",1,"")),"")</f>
        <v/>
      </c>
      <c r="Z437" s="181" t="str">
        <f>IFERROR(LOOKUP(2,1/((B_Drainage!$A$5:$A$204&lt;&gt;"")*(B_Drainage!$A$5:$A$204&lt;=$B437)*(B_Drainage!$B$5:$B$204&gt;$B437)*(B_Drainage!$I$5:$I$204&lt;&gt;"")),IF(UPPER(B_Drainage!$I$5:$I$204)="Y",1,"")),"")</f>
        <v/>
      </c>
      <c r="AA437" s="181" t="str">
        <f>IFERROR(LOOKUP(2,1/((B_Drainage!$A$5:$A$204&lt;&gt;"")*(B_Drainage!$A$5:$A$204&lt;=$B437)*(B_Drainage!$B$5:$B$204&gt;$B437)*(B_Drainage!$J$5:$J$204&lt;&gt;"")),IF(UPPER(B_Drainage!$J$5:$J$204)="Y",1,"")),"")</f>
        <v/>
      </c>
      <c r="AB437" s="182" t="str">
        <f>IFERROR(LOOKUP(2,1/((B_Drainage!$A$5:$A$204&lt;&gt;"")*(B_Drainage!$A$5:$A$204&lt;=$B437)*(B_Drainage!$B$5:$B$204&gt;$B437)*(B_Drainage!$K$5:$K$204&lt;&gt;"")),IF(B_Drainage!$K$5:$K$204="-","",B_Drainage!$K$5:$K$204)),"")</f>
        <v/>
      </c>
      <c r="AC437" s="182" t="str">
        <f>IFERROR(LOOKUP(2,1/((B_Drainage!$A$5:$A$204&lt;&gt;"")*(B_Drainage!$A$5:$A$204&lt;=$B437)*(B_Drainage!$B$5:$B$204&gt;$B437)*(B_Drainage!$L$5:$L$204&lt;&gt;"")),IF(B_Drainage!$L$5:$L$204="-","",B_Drainage!$L$5:$L$204)),"")</f>
        <v/>
      </c>
      <c r="AD437" s="182" t="str">
        <f>IFERROR(LOOKUP(2,1/((D_Points!$A$5:$A$204&lt;&gt;"")*(D_Points!$A$5:$A$204&gt;=$B437)*(D_Points!$A$5:$A$204&lt;$B437+P_Interval)*(UPPER(TRIM(D_Points!$B$5:$B$204))="TURNOUT_L")*(D_Points!$H$5:$H$204&lt;&gt;"")),D_Points!$H$5:$H$204),"")</f>
        <v/>
      </c>
      <c r="AE437" s="182" t="str">
        <f>IFERROR(LOOKUP(2,1/((D_Points!$A$5:$A$204&lt;&gt;"")*(D_Points!$A$5:$A$204&gt;=$B437)*(D_Points!$A$5:$A$204&lt;$B437+P_Interval)*(UPPER(TRIM(D_Points!$B$5:$B$204))="TURNOUT_R")*(D_Points!$H$5:$H$204&lt;&gt;"")),D_Points!$H$5:$H$204),"")</f>
        <v/>
      </c>
      <c r="AF437" s="181" t="str">
        <f>IFERROR(LOOKUP(2,1/((B_Drainage!$A$5:$A$204&lt;&gt;"")*(B_Drainage!$A$5:$A$204&lt;=$B437)*(B_Drainage!$B$5:$B$204&gt;$B437)*(B_Drainage!$M$5:$M$204&lt;&gt;"")),IF(UPPER(B_Drainage!$M$5:$M$204)="Y",1,"")),"")</f>
        <v/>
      </c>
      <c r="AG437" s="181" t="str">
        <f>IFERROR(LOOKUP(2,1/((B_Drainage!$A$5:$A$204&lt;&gt;"")*(B_Drainage!$A$5:$A$204&lt;=$B437)*(B_Drainage!$B$5:$B$204&gt;$B437)*(B_Drainage!$N$5:$N$204&lt;&gt;"")),IF(UPPER(B_Drainage!$N$5:$N$204)="Y",1,"")),"")</f>
        <v/>
      </c>
      <c r="AH437" s="181" t="str">
        <f t="shared" si="48"/>
        <v/>
      </c>
      <c r="AI437" s="181" t="str">
        <f t="shared" si="49"/>
        <v/>
      </c>
      <c r="AJ437" s="181" t="str">
        <f t="shared" si="50"/>
        <v/>
      </c>
      <c r="AK437" s="181" t="str">
        <f t="shared" si="51"/>
        <v/>
      </c>
      <c r="AL437" s="181" t="str">
        <f t="shared" si="52"/>
        <v/>
      </c>
      <c r="AM437" s="181" t="str">
        <f t="shared" si="53"/>
        <v/>
      </c>
      <c r="AN437" s="181" t="str">
        <f t="shared" si="54"/>
        <v/>
      </c>
      <c r="AO437" s="192" t="str">
        <f t="shared" si="55"/>
        <v/>
      </c>
      <c r="AQ437" t="str">
        <f>IFERROR(LOOKUP(2,1/((C_Pavement!$A$5:$A$204&lt;&gt;"")*(C_Pavement!$A$5:$A$204&lt;=$B437)*(C_Pavement!$B$5:$B$204&gt;$B437)*(C_Pavement!$C$5:$C$204&lt;&gt;"")),ROW(C_Pavement!$C$5:$C$204)-4),"")</f>
        <v/>
      </c>
      <c r="AR437" t="str">
        <f>IF($AQ437="","",UPPER(TRIM(INDEX(C_Pavement!$C$5:$C$204,$AQ437))))</f>
        <v/>
      </c>
      <c r="AS437" t="str">
        <f>IF($AR437="","",IFERROR(MATCH($AR437,E_Rules!$A$5:$A$9,0),""))</f>
        <v/>
      </c>
      <c r="AT437" t="str">
        <f>IF($AQ437="","",IF(INDEX(C_Pavement!$D$5:$D$204,$AQ437)&lt;&gt;"",UPPER(TRIM(INDEX(C_Pavement!$D$5:$D$204,$AQ437))),IF($AS437="","",INDEX(E_Rules!$C$5:$C$9,$AS437))))</f>
        <v/>
      </c>
      <c r="AU437" t="str">
        <f>IF($AQ437="","",IF(INDEX(C_Pavement!$E$5:$E$204,$AQ437)&lt;&gt;"",IF(INDEX(C_Pavement!$E$5:$E$204,$AQ437)="-","",INDEX(C_Pavement!$E$5:$E$204,$AQ437)),IF($AS437="","",INDEX(E_Rules!$D$5:$D$9,$AS437))))</f>
        <v/>
      </c>
      <c r="AV437" t="str">
        <f>IF($AQ437="","",IF(INDEX(C_Pavement!$F$5:$F$204,$AQ437)&lt;&gt;"",IF(INDEX(C_Pavement!$F$5:$F$204,$AQ437)="-","",INDEX(C_Pavement!$F$5:$F$204,$AQ437)),IF($AS437="","",INDEX(E_Rules!$E$5:$E$9,$AS437))))</f>
        <v/>
      </c>
      <c r="AW437" t="str">
        <f>IF($AQ437="","",IF(INDEX(C_Pavement!$G$5:$G$204,$AQ437)&lt;&gt;"",IF(INDEX(C_Pavement!$G$5:$G$204,$AQ437)="-","",INDEX(C_Pavement!$G$5:$G$204,$AQ437)),IF($AS437="","",INDEX(E_Rules!$F$5:$F$9,$AS437))))</f>
        <v/>
      </c>
      <c r="AX437" t="str">
        <f>IF($AQ437="","",IF(INDEX(C_Pavement!$H$5:$H$204,$AQ437)&lt;&gt;"",IF(INDEX(C_Pavement!$H$5:$H$204,$AQ437)="-","",INDEX(C_Pavement!$H$5:$H$204,$AQ437)),IF($AS437="","",INDEX(E_Rules!$G$5:$G$9,$AS437))))</f>
        <v/>
      </c>
      <c r="AY437" t="str">
        <f>IF($AQ437="","",IF(INDEX(C_Pavement!$I$5:$I$204,$AQ437)&lt;&gt;"",IF(INDEX(C_Pavement!$I$5:$I$204,$AQ437)="-","",INDEX(C_Pavement!$I$5:$I$204,$AQ437)),IF($AS437="","",INDEX(E_Rules!$H$5:$H$9,$AS437))))</f>
        <v/>
      </c>
    </row>
    <row r="438" spans="1:51" ht="15.75" customHeight="1" x14ac:dyDescent="0.3">
      <c r="A438" s="189">
        <v>433</v>
      </c>
      <c r="B438" s="180">
        <v>21600</v>
      </c>
      <c r="C438" s="180" t="s">
        <v>744</v>
      </c>
      <c r="D438" s="181" t="str">
        <f>IFERROR(LOOKUP(2,1/((A_Corridor!$A$5:$A$204&lt;&gt;"")*(A_Corridor!$A$5:$A$204&lt;=$B438)*(A_Corridor!$B$5:$B$204&gt;$B438)*(A_Corridor!$C$5:$C$204&lt;&gt;"")),IF(UPPER(A_Corridor!$C$5:$C$204)="Y",1,"")),"")</f>
        <v/>
      </c>
      <c r="E438" s="181" t="str">
        <f>IFERROR(LOOKUP(2,1/((A_Corridor!$A$5:$A$204&lt;&gt;"")*(A_Corridor!$A$5:$A$204&lt;=$B438)*(A_Corridor!$B$5:$B$204&gt;$B438)*(A_Corridor!$D$5:$D$204&lt;&gt;"")),IF(A_Corridor!$D$5:$D$204="-","",UPPER(A_Corridor!$D$5:$D$204))),"")</f>
        <v/>
      </c>
      <c r="F438" s="181" t="str">
        <f>IFERROR(LOOKUP(2,1/((A_Corridor!$A$5:$A$204&lt;&gt;"")*(A_Corridor!$A$5:$A$204&lt;=$B438)*(A_Corridor!$B$5:$B$204&gt;$B438)*(A_Corridor!$E$5:$E$204&lt;&gt;"")),IF(A_Corridor!$E$5:$E$204="-","",1)),"")</f>
        <v/>
      </c>
      <c r="G438" s="182" t="str">
        <f>IFERROR(LOOKUP(2,1/((A_Corridor!$A$5:$A$204&lt;&gt;"")*(A_Corridor!$A$5:$A$204&lt;=$B438)*(A_Corridor!$B$5:$B$204&gt;$B438)*(A_Corridor!$E$5:$E$204&lt;&gt;"")),IF(A_Corridor!$E$5:$E$204="-","",A_Corridor!$E$5:$E$204)),"")</f>
        <v/>
      </c>
      <c r="H438" s="182" t="str">
        <f>IFERROR(LOOKUP(2,1/((D_Points!$A$5:$A$204&lt;&gt;"")*(D_Points!$A$5:$A$204&gt;=$B438)*(D_Points!$A$5:$A$204&lt;$B438+P_Interval)*(UPPER(TRIM(D_Points!$B$5:$B$204))="GULLY")*(D_Points!$H$5:$H$204&lt;&gt;"")),D_Points!$H$5:$H$204),"")</f>
        <v/>
      </c>
      <c r="I438" s="181" t="str">
        <f>IFERROR(LOOKUP(2,1/((A_Corridor!$A$5:$A$204&lt;&gt;"")*(A_Corridor!$A$5:$A$204&lt;=$B438)*(A_Corridor!$B$5:$B$204&gt;$B438)*(A_Corridor!$F$5:$F$204&lt;&gt;"")),IF(A_Corridor!$F$5:$F$204="-","",1)),"")</f>
        <v/>
      </c>
      <c r="J438" s="182" t="str">
        <f>IFERROR(LOOKUP(2,1/((A_Corridor!$A$5:$A$204&lt;&gt;"")*(A_Corridor!$A$5:$A$204&lt;=$B438)*(A_Corridor!$B$5:$B$204&gt;$B438)*(A_Corridor!$F$5:$F$204&lt;&gt;"")),IF(A_Corridor!$F$5:$F$204="-","",A_Corridor!$F$5:$F$204)),"")</f>
        <v/>
      </c>
      <c r="K438" s="182" t="str">
        <f>IFERROR(LOOKUP(2,1/((A_Corridor!$A$5:$A$204&lt;&gt;"")*(A_Corridor!$A$5:$A$204&lt;=$B438)*(A_Corridor!$B$5:$B$204&gt;$B438)*(A_Corridor!$G$5:$G$204&lt;&gt;"")),IF(A_Corridor!$G$5:$G$204="-","",A_Corridor!$G$5:$G$204)),"")</f>
        <v/>
      </c>
      <c r="L438" s="181" t="str">
        <f>IFERROR(LOOKUP(2,1/((A_Corridor!$A$5:$A$204&lt;&gt;"")*(A_Corridor!$A$5:$A$204&lt;=$B438)*(A_Corridor!$B$5:$B$204&gt;$B438)*(A_Corridor!$H$5:$H$204&lt;&gt;"")),IF(A_Corridor!$H$5:$H$204="-","",1)),"")</f>
        <v/>
      </c>
      <c r="M438" s="182" t="str">
        <f>IFERROR(LOOKUP(2,1/((A_Corridor!$A$5:$A$204&lt;&gt;"")*(A_Corridor!$A$5:$A$204&lt;=$B438)*(A_Corridor!$B$5:$B$204&gt;$B438)*(A_Corridor!$H$5:$H$204&lt;&gt;"")),IF(A_Corridor!$H$5:$H$204="-","",A_Corridor!$H$5:$H$204)),"")</f>
        <v/>
      </c>
      <c r="N438" s="182" t="str">
        <f>IFERROR(LOOKUP(2,1/((A_Corridor!$A$5:$A$204&lt;&gt;"")*(A_Corridor!$A$5:$A$204&lt;=$B438)*(A_Corridor!$B$5:$B$204&gt;$B438)*(A_Corridor!$I$5:$I$204&lt;&gt;"")),IF(A_Corridor!$I$5:$I$204="-","",A_Corridor!$I$5:$I$204)),"")</f>
        <v/>
      </c>
      <c r="O438" s="182" t="str">
        <f>IFERROR(LOOKUP(2,1/((D_Points!$A$5:$A$204&lt;&gt;"")*(D_Points!$A$5:$A$204&gt;=$B438)*(D_Points!$A$5:$A$204&lt;$B438+P_Interval)*(UPPER(TRIM(D_Points!$B$5:$B$204))="PITCHING")*(D_Points!$H$5:$H$204&lt;&gt;"")),D_Points!$H$5:$H$204),"")</f>
        <v/>
      </c>
      <c r="P438" s="181" t="str">
        <f>IFERROR(LOOKUP(2,1/((B_Drainage!$A$5:$A$204&lt;&gt;"")*(B_Drainage!$A$5:$A$204&lt;=$B438)*(B_Drainage!$B$5:$B$204&gt;$B438)*(B_Drainage!$C$5:$C$204&lt;&gt;"")),IF(B_Drainage!$C$5:$C$204="-","",UPPER(B_Drainage!$C$5:$C$204))),"")</f>
        <v/>
      </c>
      <c r="Q438" s="181" t="str">
        <f>IFERROR(LOOKUP(2,1/((B_Drainage!$A$5:$A$204&lt;&gt;"")*(B_Drainage!$A$5:$A$204&lt;=$B438)*(B_Drainage!$B$5:$B$204&gt;$B438)*(B_Drainage!$D$5:$D$204&lt;&gt;"")),IF(B_Drainage!$D$5:$D$204="-","",UPPER(B_Drainage!$D$5:$D$204))),"")</f>
        <v/>
      </c>
      <c r="R438" s="182" t="str">
        <f>IFERROR(LOOKUP(2,1/((D_Points!$A$5:$A$204&lt;&gt;"")*(D_Points!$A$5:$A$204&gt;=$B438)*(D_Points!$A$5:$A$204&lt;$B438+P_Interval)*(RIGHT(UPPER(TRIM(D_Points!$B$5:$B$204)),8)="_CULVERT")),IF(LEFT(UPPER(TRIM(D_Points!$B$5:$B$204)),2)="EX",1,IF(LEFT(UPPER(TRIM(D_Points!$B$5:$B$204)),2)="PR",2,3))),"")</f>
        <v/>
      </c>
      <c r="S438" s="182" t="str">
        <f>IFERROR(LOOKUP(2,1/((D_Points!$A$5:$A$204&lt;&gt;"")*(D_Points!$A$5:$A$204&gt;=$B438)*(D_Points!$A$5:$A$204&lt;$B438+P_Interval)*(RIGHT(UPPER(TRIM(D_Points!$B$5:$B$204)),7)="_BRIDGE")),IF(LEFT(UPPER(TRIM(D_Points!$B$5:$B$204)),2)="EX",1,IF(LEFT(UPPER(TRIM(D_Points!$B$5:$B$204)),2)="PR",2,2))),"")</f>
        <v/>
      </c>
      <c r="T438" s="181" t="str">
        <f>IFERROR(LOOKUP(2,1/((B_Drainage!$A$5:$A$204&lt;&gt;"")*(B_Drainage!$A$5:$A$204&lt;=$B438)*(B_Drainage!$B$5:$B$204&gt;$B438)*(B_Drainage!$E$5:$E$204&lt;&gt;"")),IF(B_Drainage!$E$5:$E$204="-","",1)),"")</f>
        <v/>
      </c>
      <c r="U438" s="181" t="str">
        <f>IFERROR(LOOKUP(2,1/((B_Drainage!$A$5:$A$204&lt;&gt;"")*(B_Drainage!$A$5:$A$204&lt;=$B438)*(B_Drainage!$B$5:$B$204&gt;$B438)*(B_Drainage!$E$5:$E$204&lt;&gt;"")),IF(B_Drainage!$E$5:$E$204="-","",B_Drainage!$E$5:$E$204)),"")</f>
        <v/>
      </c>
      <c r="V438" s="181" t="str">
        <f>IFERROR(LOOKUP(2,1/((B_Drainage!$A$5:$A$204&lt;&gt;"")*(B_Drainage!$A$5:$A$204&lt;=$B438)*(B_Drainage!$B$5:$B$204&gt;$B438)*(B_Drainage!$F$5:$F$204&lt;&gt;"")),IF(B_Drainage!$F$5:$F$204="-","",1)),"")</f>
        <v/>
      </c>
      <c r="W438" s="181" t="str">
        <f>IFERROR(LOOKUP(2,1/((B_Drainage!$A$5:$A$204&lt;&gt;"")*(B_Drainage!$A$5:$A$204&lt;=$B438)*(B_Drainage!$B$5:$B$204&gt;$B438)*(B_Drainage!$F$5:$F$204&lt;&gt;"")),IF(B_Drainage!$F$5:$F$204="-","",B_Drainage!$F$5:$F$204)),"")</f>
        <v/>
      </c>
      <c r="X438" s="181" t="str">
        <f>IFERROR(LOOKUP(2,1/((B_Drainage!$A$5:$A$204&lt;&gt;"")*(B_Drainage!$A$5:$A$204&lt;=$B438)*(B_Drainage!$B$5:$B$204&gt;$B438)*(B_Drainage!$G$5:$G$204&lt;&gt;"")),IF(UPPER(B_Drainage!$G$5:$G$204)="Y",1,"")),"")</f>
        <v/>
      </c>
      <c r="Y438" s="181" t="str">
        <f>IFERROR(LOOKUP(2,1/((B_Drainage!$A$5:$A$204&lt;&gt;"")*(B_Drainage!$A$5:$A$204&lt;=$B438)*(B_Drainage!$B$5:$B$204&gt;$B438)*(B_Drainage!$H$5:$H$204&lt;&gt;"")),IF(UPPER(B_Drainage!$H$5:$H$204)="Y",1,"")),"")</f>
        <v/>
      </c>
      <c r="Z438" s="181" t="str">
        <f>IFERROR(LOOKUP(2,1/((B_Drainage!$A$5:$A$204&lt;&gt;"")*(B_Drainage!$A$5:$A$204&lt;=$B438)*(B_Drainage!$B$5:$B$204&gt;$B438)*(B_Drainage!$I$5:$I$204&lt;&gt;"")),IF(UPPER(B_Drainage!$I$5:$I$204)="Y",1,"")),"")</f>
        <v/>
      </c>
      <c r="AA438" s="181" t="str">
        <f>IFERROR(LOOKUP(2,1/((B_Drainage!$A$5:$A$204&lt;&gt;"")*(B_Drainage!$A$5:$A$204&lt;=$B438)*(B_Drainage!$B$5:$B$204&gt;$B438)*(B_Drainage!$J$5:$J$204&lt;&gt;"")),IF(UPPER(B_Drainage!$J$5:$J$204)="Y",1,"")),"")</f>
        <v/>
      </c>
      <c r="AB438" s="182" t="str">
        <f>IFERROR(LOOKUP(2,1/((B_Drainage!$A$5:$A$204&lt;&gt;"")*(B_Drainage!$A$5:$A$204&lt;=$B438)*(B_Drainage!$B$5:$B$204&gt;$B438)*(B_Drainage!$K$5:$K$204&lt;&gt;"")),IF(B_Drainage!$K$5:$K$204="-","",B_Drainage!$K$5:$K$204)),"")</f>
        <v/>
      </c>
      <c r="AC438" s="182" t="str">
        <f>IFERROR(LOOKUP(2,1/((B_Drainage!$A$5:$A$204&lt;&gt;"")*(B_Drainage!$A$5:$A$204&lt;=$B438)*(B_Drainage!$B$5:$B$204&gt;$B438)*(B_Drainage!$L$5:$L$204&lt;&gt;"")),IF(B_Drainage!$L$5:$L$204="-","",B_Drainage!$L$5:$L$204)),"")</f>
        <v/>
      </c>
      <c r="AD438" s="182" t="str">
        <f>IFERROR(LOOKUP(2,1/((D_Points!$A$5:$A$204&lt;&gt;"")*(D_Points!$A$5:$A$204&gt;=$B438)*(D_Points!$A$5:$A$204&lt;$B438+P_Interval)*(UPPER(TRIM(D_Points!$B$5:$B$204))="TURNOUT_L")*(D_Points!$H$5:$H$204&lt;&gt;"")),D_Points!$H$5:$H$204),"")</f>
        <v/>
      </c>
      <c r="AE438" s="182" t="str">
        <f>IFERROR(LOOKUP(2,1/((D_Points!$A$5:$A$204&lt;&gt;"")*(D_Points!$A$5:$A$204&gt;=$B438)*(D_Points!$A$5:$A$204&lt;$B438+P_Interval)*(UPPER(TRIM(D_Points!$B$5:$B$204))="TURNOUT_R")*(D_Points!$H$5:$H$204&lt;&gt;"")),D_Points!$H$5:$H$204),"")</f>
        <v/>
      </c>
      <c r="AF438" s="181" t="str">
        <f>IFERROR(LOOKUP(2,1/((B_Drainage!$A$5:$A$204&lt;&gt;"")*(B_Drainage!$A$5:$A$204&lt;=$B438)*(B_Drainage!$B$5:$B$204&gt;$B438)*(B_Drainage!$M$5:$M$204&lt;&gt;"")),IF(UPPER(B_Drainage!$M$5:$M$204)="Y",1,"")),"")</f>
        <v/>
      </c>
      <c r="AG438" s="181" t="str">
        <f>IFERROR(LOOKUP(2,1/((B_Drainage!$A$5:$A$204&lt;&gt;"")*(B_Drainage!$A$5:$A$204&lt;=$B438)*(B_Drainage!$B$5:$B$204&gt;$B438)*(B_Drainage!$N$5:$N$204&lt;&gt;"")),IF(UPPER(B_Drainage!$N$5:$N$204)="Y",1,"")),"")</f>
        <v/>
      </c>
      <c r="AH438" s="181" t="str">
        <f t="shared" si="48"/>
        <v/>
      </c>
      <c r="AI438" s="181" t="str">
        <f t="shared" si="49"/>
        <v/>
      </c>
      <c r="AJ438" s="181" t="str">
        <f t="shared" si="50"/>
        <v/>
      </c>
      <c r="AK438" s="181" t="str">
        <f t="shared" si="51"/>
        <v/>
      </c>
      <c r="AL438" s="181" t="str">
        <f t="shared" si="52"/>
        <v/>
      </c>
      <c r="AM438" s="181" t="str">
        <f t="shared" si="53"/>
        <v/>
      </c>
      <c r="AN438" s="181" t="str">
        <f t="shared" si="54"/>
        <v/>
      </c>
      <c r="AO438" s="192" t="str">
        <f t="shared" si="55"/>
        <v/>
      </c>
      <c r="AQ438" t="str">
        <f>IFERROR(LOOKUP(2,1/((C_Pavement!$A$5:$A$204&lt;&gt;"")*(C_Pavement!$A$5:$A$204&lt;=$B438)*(C_Pavement!$B$5:$B$204&gt;$B438)*(C_Pavement!$C$5:$C$204&lt;&gt;"")),ROW(C_Pavement!$C$5:$C$204)-4),"")</f>
        <v/>
      </c>
      <c r="AR438" t="str">
        <f>IF($AQ438="","",UPPER(TRIM(INDEX(C_Pavement!$C$5:$C$204,$AQ438))))</f>
        <v/>
      </c>
      <c r="AS438" t="str">
        <f>IF($AR438="","",IFERROR(MATCH($AR438,E_Rules!$A$5:$A$9,0),""))</f>
        <v/>
      </c>
      <c r="AT438" t="str">
        <f>IF($AQ438="","",IF(INDEX(C_Pavement!$D$5:$D$204,$AQ438)&lt;&gt;"",UPPER(TRIM(INDEX(C_Pavement!$D$5:$D$204,$AQ438))),IF($AS438="","",INDEX(E_Rules!$C$5:$C$9,$AS438))))</f>
        <v/>
      </c>
      <c r="AU438" t="str">
        <f>IF($AQ438="","",IF(INDEX(C_Pavement!$E$5:$E$204,$AQ438)&lt;&gt;"",IF(INDEX(C_Pavement!$E$5:$E$204,$AQ438)="-","",INDEX(C_Pavement!$E$5:$E$204,$AQ438)),IF($AS438="","",INDEX(E_Rules!$D$5:$D$9,$AS438))))</f>
        <v/>
      </c>
      <c r="AV438" t="str">
        <f>IF($AQ438="","",IF(INDEX(C_Pavement!$F$5:$F$204,$AQ438)&lt;&gt;"",IF(INDEX(C_Pavement!$F$5:$F$204,$AQ438)="-","",INDEX(C_Pavement!$F$5:$F$204,$AQ438)),IF($AS438="","",INDEX(E_Rules!$E$5:$E$9,$AS438))))</f>
        <v/>
      </c>
      <c r="AW438" t="str">
        <f>IF($AQ438="","",IF(INDEX(C_Pavement!$G$5:$G$204,$AQ438)&lt;&gt;"",IF(INDEX(C_Pavement!$G$5:$G$204,$AQ438)="-","",INDEX(C_Pavement!$G$5:$G$204,$AQ438)),IF($AS438="","",INDEX(E_Rules!$F$5:$F$9,$AS438))))</f>
        <v/>
      </c>
      <c r="AX438" t="str">
        <f>IF($AQ438="","",IF(INDEX(C_Pavement!$H$5:$H$204,$AQ438)&lt;&gt;"",IF(INDEX(C_Pavement!$H$5:$H$204,$AQ438)="-","",INDEX(C_Pavement!$H$5:$H$204,$AQ438)),IF($AS438="","",INDEX(E_Rules!$G$5:$G$9,$AS438))))</f>
        <v/>
      </c>
      <c r="AY438" t="str">
        <f>IF($AQ438="","",IF(INDEX(C_Pavement!$I$5:$I$204,$AQ438)&lt;&gt;"",IF(INDEX(C_Pavement!$I$5:$I$204,$AQ438)="-","",INDEX(C_Pavement!$I$5:$I$204,$AQ438)),IF($AS438="","",INDEX(E_Rules!$H$5:$H$9,$AS438))))</f>
        <v/>
      </c>
    </row>
    <row r="439" spans="1:51" ht="15.75" customHeight="1" x14ac:dyDescent="0.3">
      <c r="A439" s="189">
        <v>434</v>
      </c>
      <c r="B439" s="180">
        <v>21650</v>
      </c>
      <c r="C439" s="180" t="s">
        <v>745</v>
      </c>
      <c r="D439" s="181" t="str">
        <f>IFERROR(LOOKUP(2,1/((A_Corridor!$A$5:$A$204&lt;&gt;"")*(A_Corridor!$A$5:$A$204&lt;=$B439)*(A_Corridor!$B$5:$B$204&gt;$B439)*(A_Corridor!$C$5:$C$204&lt;&gt;"")),IF(UPPER(A_Corridor!$C$5:$C$204)="Y",1,"")),"")</f>
        <v/>
      </c>
      <c r="E439" s="181" t="str">
        <f>IFERROR(LOOKUP(2,1/((A_Corridor!$A$5:$A$204&lt;&gt;"")*(A_Corridor!$A$5:$A$204&lt;=$B439)*(A_Corridor!$B$5:$B$204&gt;$B439)*(A_Corridor!$D$5:$D$204&lt;&gt;"")),IF(A_Corridor!$D$5:$D$204="-","",UPPER(A_Corridor!$D$5:$D$204))),"")</f>
        <v/>
      </c>
      <c r="F439" s="181" t="str">
        <f>IFERROR(LOOKUP(2,1/((A_Corridor!$A$5:$A$204&lt;&gt;"")*(A_Corridor!$A$5:$A$204&lt;=$B439)*(A_Corridor!$B$5:$B$204&gt;$B439)*(A_Corridor!$E$5:$E$204&lt;&gt;"")),IF(A_Corridor!$E$5:$E$204="-","",1)),"")</f>
        <v/>
      </c>
      <c r="G439" s="182" t="str">
        <f>IFERROR(LOOKUP(2,1/((A_Corridor!$A$5:$A$204&lt;&gt;"")*(A_Corridor!$A$5:$A$204&lt;=$B439)*(A_Corridor!$B$5:$B$204&gt;$B439)*(A_Corridor!$E$5:$E$204&lt;&gt;"")),IF(A_Corridor!$E$5:$E$204="-","",A_Corridor!$E$5:$E$204)),"")</f>
        <v/>
      </c>
      <c r="H439" s="182" t="str">
        <f>IFERROR(LOOKUP(2,1/((D_Points!$A$5:$A$204&lt;&gt;"")*(D_Points!$A$5:$A$204&gt;=$B439)*(D_Points!$A$5:$A$204&lt;$B439+P_Interval)*(UPPER(TRIM(D_Points!$B$5:$B$204))="GULLY")*(D_Points!$H$5:$H$204&lt;&gt;"")),D_Points!$H$5:$H$204),"")</f>
        <v/>
      </c>
      <c r="I439" s="181" t="str">
        <f>IFERROR(LOOKUP(2,1/((A_Corridor!$A$5:$A$204&lt;&gt;"")*(A_Corridor!$A$5:$A$204&lt;=$B439)*(A_Corridor!$B$5:$B$204&gt;$B439)*(A_Corridor!$F$5:$F$204&lt;&gt;"")),IF(A_Corridor!$F$5:$F$204="-","",1)),"")</f>
        <v/>
      </c>
      <c r="J439" s="182" t="str">
        <f>IFERROR(LOOKUP(2,1/((A_Corridor!$A$5:$A$204&lt;&gt;"")*(A_Corridor!$A$5:$A$204&lt;=$B439)*(A_Corridor!$B$5:$B$204&gt;$B439)*(A_Corridor!$F$5:$F$204&lt;&gt;"")),IF(A_Corridor!$F$5:$F$204="-","",A_Corridor!$F$5:$F$204)),"")</f>
        <v/>
      </c>
      <c r="K439" s="182" t="str">
        <f>IFERROR(LOOKUP(2,1/((A_Corridor!$A$5:$A$204&lt;&gt;"")*(A_Corridor!$A$5:$A$204&lt;=$B439)*(A_Corridor!$B$5:$B$204&gt;$B439)*(A_Corridor!$G$5:$G$204&lt;&gt;"")),IF(A_Corridor!$G$5:$G$204="-","",A_Corridor!$G$5:$G$204)),"")</f>
        <v/>
      </c>
      <c r="L439" s="181" t="str">
        <f>IFERROR(LOOKUP(2,1/((A_Corridor!$A$5:$A$204&lt;&gt;"")*(A_Corridor!$A$5:$A$204&lt;=$B439)*(A_Corridor!$B$5:$B$204&gt;$B439)*(A_Corridor!$H$5:$H$204&lt;&gt;"")),IF(A_Corridor!$H$5:$H$204="-","",1)),"")</f>
        <v/>
      </c>
      <c r="M439" s="182" t="str">
        <f>IFERROR(LOOKUP(2,1/((A_Corridor!$A$5:$A$204&lt;&gt;"")*(A_Corridor!$A$5:$A$204&lt;=$B439)*(A_Corridor!$B$5:$B$204&gt;$B439)*(A_Corridor!$H$5:$H$204&lt;&gt;"")),IF(A_Corridor!$H$5:$H$204="-","",A_Corridor!$H$5:$H$204)),"")</f>
        <v/>
      </c>
      <c r="N439" s="182" t="str">
        <f>IFERROR(LOOKUP(2,1/((A_Corridor!$A$5:$A$204&lt;&gt;"")*(A_Corridor!$A$5:$A$204&lt;=$B439)*(A_Corridor!$B$5:$B$204&gt;$B439)*(A_Corridor!$I$5:$I$204&lt;&gt;"")),IF(A_Corridor!$I$5:$I$204="-","",A_Corridor!$I$5:$I$204)),"")</f>
        <v/>
      </c>
      <c r="O439" s="182" t="str">
        <f>IFERROR(LOOKUP(2,1/((D_Points!$A$5:$A$204&lt;&gt;"")*(D_Points!$A$5:$A$204&gt;=$B439)*(D_Points!$A$5:$A$204&lt;$B439+P_Interval)*(UPPER(TRIM(D_Points!$B$5:$B$204))="PITCHING")*(D_Points!$H$5:$H$204&lt;&gt;"")),D_Points!$H$5:$H$204),"")</f>
        <v/>
      </c>
      <c r="P439" s="181" t="str">
        <f>IFERROR(LOOKUP(2,1/((B_Drainage!$A$5:$A$204&lt;&gt;"")*(B_Drainage!$A$5:$A$204&lt;=$B439)*(B_Drainage!$B$5:$B$204&gt;$B439)*(B_Drainage!$C$5:$C$204&lt;&gt;"")),IF(B_Drainage!$C$5:$C$204="-","",UPPER(B_Drainage!$C$5:$C$204))),"")</f>
        <v/>
      </c>
      <c r="Q439" s="181" t="str">
        <f>IFERROR(LOOKUP(2,1/((B_Drainage!$A$5:$A$204&lt;&gt;"")*(B_Drainage!$A$5:$A$204&lt;=$B439)*(B_Drainage!$B$5:$B$204&gt;$B439)*(B_Drainage!$D$5:$D$204&lt;&gt;"")),IF(B_Drainage!$D$5:$D$204="-","",UPPER(B_Drainage!$D$5:$D$204))),"")</f>
        <v/>
      </c>
      <c r="R439" s="182" t="str">
        <f>IFERROR(LOOKUP(2,1/((D_Points!$A$5:$A$204&lt;&gt;"")*(D_Points!$A$5:$A$204&gt;=$B439)*(D_Points!$A$5:$A$204&lt;$B439+P_Interval)*(RIGHT(UPPER(TRIM(D_Points!$B$5:$B$204)),8)="_CULVERT")),IF(LEFT(UPPER(TRIM(D_Points!$B$5:$B$204)),2)="EX",1,IF(LEFT(UPPER(TRIM(D_Points!$B$5:$B$204)),2)="PR",2,3))),"")</f>
        <v/>
      </c>
      <c r="S439" s="182" t="str">
        <f>IFERROR(LOOKUP(2,1/((D_Points!$A$5:$A$204&lt;&gt;"")*(D_Points!$A$5:$A$204&gt;=$B439)*(D_Points!$A$5:$A$204&lt;$B439+P_Interval)*(RIGHT(UPPER(TRIM(D_Points!$B$5:$B$204)),7)="_BRIDGE")),IF(LEFT(UPPER(TRIM(D_Points!$B$5:$B$204)),2)="EX",1,IF(LEFT(UPPER(TRIM(D_Points!$B$5:$B$204)),2)="PR",2,2))),"")</f>
        <v/>
      </c>
      <c r="T439" s="181" t="str">
        <f>IFERROR(LOOKUP(2,1/((B_Drainage!$A$5:$A$204&lt;&gt;"")*(B_Drainage!$A$5:$A$204&lt;=$B439)*(B_Drainage!$B$5:$B$204&gt;$B439)*(B_Drainage!$E$5:$E$204&lt;&gt;"")),IF(B_Drainage!$E$5:$E$204="-","",1)),"")</f>
        <v/>
      </c>
      <c r="U439" s="181" t="str">
        <f>IFERROR(LOOKUP(2,1/((B_Drainage!$A$5:$A$204&lt;&gt;"")*(B_Drainage!$A$5:$A$204&lt;=$B439)*(B_Drainage!$B$5:$B$204&gt;$B439)*(B_Drainage!$E$5:$E$204&lt;&gt;"")),IF(B_Drainage!$E$5:$E$204="-","",B_Drainage!$E$5:$E$204)),"")</f>
        <v/>
      </c>
      <c r="V439" s="181" t="str">
        <f>IFERROR(LOOKUP(2,1/((B_Drainage!$A$5:$A$204&lt;&gt;"")*(B_Drainage!$A$5:$A$204&lt;=$B439)*(B_Drainage!$B$5:$B$204&gt;$B439)*(B_Drainage!$F$5:$F$204&lt;&gt;"")),IF(B_Drainage!$F$5:$F$204="-","",1)),"")</f>
        <v/>
      </c>
      <c r="W439" s="181" t="str">
        <f>IFERROR(LOOKUP(2,1/((B_Drainage!$A$5:$A$204&lt;&gt;"")*(B_Drainage!$A$5:$A$204&lt;=$B439)*(B_Drainage!$B$5:$B$204&gt;$B439)*(B_Drainage!$F$5:$F$204&lt;&gt;"")),IF(B_Drainage!$F$5:$F$204="-","",B_Drainage!$F$5:$F$204)),"")</f>
        <v/>
      </c>
      <c r="X439" s="181" t="str">
        <f>IFERROR(LOOKUP(2,1/((B_Drainage!$A$5:$A$204&lt;&gt;"")*(B_Drainage!$A$5:$A$204&lt;=$B439)*(B_Drainage!$B$5:$B$204&gt;$B439)*(B_Drainage!$G$5:$G$204&lt;&gt;"")),IF(UPPER(B_Drainage!$G$5:$G$204)="Y",1,"")),"")</f>
        <v/>
      </c>
      <c r="Y439" s="181" t="str">
        <f>IFERROR(LOOKUP(2,1/((B_Drainage!$A$5:$A$204&lt;&gt;"")*(B_Drainage!$A$5:$A$204&lt;=$B439)*(B_Drainage!$B$5:$B$204&gt;$B439)*(B_Drainage!$H$5:$H$204&lt;&gt;"")),IF(UPPER(B_Drainage!$H$5:$H$204)="Y",1,"")),"")</f>
        <v/>
      </c>
      <c r="Z439" s="181" t="str">
        <f>IFERROR(LOOKUP(2,1/((B_Drainage!$A$5:$A$204&lt;&gt;"")*(B_Drainage!$A$5:$A$204&lt;=$B439)*(B_Drainage!$B$5:$B$204&gt;$B439)*(B_Drainage!$I$5:$I$204&lt;&gt;"")),IF(UPPER(B_Drainage!$I$5:$I$204)="Y",1,"")),"")</f>
        <v/>
      </c>
      <c r="AA439" s="181" t="str">
        <f>IFERROR(LOOKUP(2,1/((B_Drainage!$A$5:$A$204&lt;&gt;"")*(B_Drainage!$A$5:$A$204&lt;=$B439)*(B_Drainage!$B$5:$B$204&gt;$B439)*(B_Drainage!$J$5:$J$204&lt;&gt;"")),IF(UPPER(B_Drainage!$J$5:$J$204)="Y",1,"")),"")</f>
        <v/>
      </c>
      <c r="AB439" s="182" t="str">
        <f>IFERROR(LOOKUP(2,1/((B_Drainage!$A$5:$A$204&lt;&gt;"")*(B_Drainage!$A$5:$A$204&lt;=$B439)*(B_Drainage!$B$5:$B$204&gt;$B439)*(B_Drainage!$K$5:$K$204&lt;&gt;"")),IF(B_Drainage!$K$5:$K$204="-","",B_Drainage!$K$5:$K$204)),"")</f>
        <v/>
      </c>
      <c r="AC439" s="182" t="str">
        <f>IFERROR(LOOKUP(2,1/((B_Drainage!$A$5:$A$204&lt;&gt;"")*(B_Drainage!$A$5:$A$204&lt;=$B439)*(B_Drainage!$B$5:$B$204&gt;$B439)*(B_Drainage!$L$5:$L$204&lt;&gt;"")),IF(B_Drainage!$L$5:$L$204="-","",B_Drainage!$L$5:$L$204)),"")</f>
        <v/>
      </c>
      <c r="AD439" s="182" t="str">
        <f>IFERROR(LOOKUP(2,1/((D_Points!$A$5:$A$204&lt;&gt;"")*(D_Points!$A$5:$A$204&gt;=$B439)*(D_Points!$A$5:$A$204&lt;$B439+P_Interval)*(UPPER(TRIM(D_Points!$B$5:$B$204))="TURNOUT_L")*(D_Points!$H$5:$H$204&lt;&gt;"")),D_Points!$H$5:$H$204),"")</f>
        <v/>
      </c>
      <c r="AE439" s="182" t="str">
        <f>IFERROR(LOOKUP(2,1/((D_Points!$A$5:$A$204&lt;&gt;"")*(D_Points!$A$5:$A$204&gt;=$B439)*(D_Points!$A$5:$A$204&lt;$B439+P_Interval)*(UPPER(TRIM(D_Points!$B$5:$B$204))="TURNOUT_R")*(D_Points!$H$5:$H$204&lt;&gt;"")),D_Points!$H$5:$H$204),"")</f>
        <v/>
      </c>
      <c r="AF439" s="181" t="str">
        <f>IFERROR(LOOKUP(2,1/((B_Drainage!$A$5:$A$204&lt;&gt;"")*(B_Drainage!$A$5:$A$204&lt;=$B439)*(B_Drainage!$B$5:$B$204&gt;$B439)*(B_Drainage!$M$5:$M$204&lt;&gt;"")),IF(UPPER(B_Drainage!$M$5:$M$204)="Y",1,"")),"")</f>
        <v/>
      </c>
      <c r="AG439" s="181" t="str">
        <f>IFERROR(LOOKUP(2,1/((B_Drainage!$A$5:$A$204&lt;&gt;"")*(B_Drainage!$A$5:$A$204&lt;=$B439)*(B_Drainage!$B$5:$B$204&gt;$B439)*(B_Drainage!$N$5:$N$204&lt;&gt;"")),IF(UPPER(B_Drainage!$N$5:$N$204)="Y",1,"")),"")</f>
        <v/>
      </c>
      <c r="AH439" s="181" t="str">
        <f t="shared" si="48"/>
        <v/>
      </c>
      <c r="AI439" s="181" t="str">
        <f t="shared" si="49"/>
        <v/>
      </c>
      <c r="AJ439" s="181" t="str">
        <f t="shared" si="50"/>
        <v/>
      </c>
      <c r="AK439" s="181" t="str">
        <f t="shared" si="51"/>
        <v/>
      </c>
      <c r="AL439" s="181" t="str">
        <f t="shared" si="52"/>
        <v/>
      </c>
      <c r="AM439" s="181" t="str">
        <f t="shared" si="53"/>
        <v/>
      </c>
      <c r="AN439" s="181" t="str">
        <f t="shared" si="54"/>
        <v/>
      </c>
      <c r="AO439" s="192" t="str">
        <f t="shared" si="55"/>
        <v/>
      </c>
      <c r="AQ439" t="str">
        <f>IFERROR(LOOKUP(2,1/((C_Pavement!$A$5:$A$204&lt;&gt;"")*(C_Pavement!$A$5:$A$204&lt;=$B439)*(C_Pavement!$B$5:$B$204&gt;$B439)*(C_Pavement!$C$5:$C$204&lt;&gt;"")),ROW(C_Pavement!$C$5:$C$204)-4),"")</f>
        <v/>
      </c>
      <c r="AR439" t="str">
        <f>IF($AQ439="","",UPPER(TRIM(INDEX(C_Pavement!$C$5:$C$204,$AQ439))))</f>
        <v/>
      </c>
      <c r="AS439" t="str">
        <f>IF($AR439="","",IFERROR(MATCH($AR439,E_Rules!$A$5:$A$9,0),""))</f>
        <v/>
      </c>
      <c r="AT439" t="str">
        <f>IF($AQ439="","",IF(INDEX(C_Pavement!$D$5:$D$204,$AQ439)&lt;&gt;"",UPPER(TRIM(INDEX(C_Pavement!$D$5:$D$204,$AQ439))),IF($AS439="","",INDEX(E_Rules!$C$5:$C$9,$AS439))))</f>
        <v/>
      </c>
      <c r="AU439" t="str">
        <f>IF($AQ439="","",IF(INDEX(C_Pavement!$E$5:$E$204,$AQ439)&lt;&gt;"",IF(INDEX(C_Pavement!$E$5:$E$204,$AQ439)="-","",INDEX(C_Pavement!$E$5:$E$204,$AQ439)),IF($AS439="","",INDEX(E_Rules!$D$5:$D$9,$AS439))))</f>
        <v/>
      </c>
      <c r="AV439" t="str">
        <f>IF($AQ439="","",IF(INDEX(C_Pavement!$F$5:$F$204,$AQ439)&lt;&gt;"",IF(INDEX(C_Pavement!$F$5:$F$204,$AQ439)="-","",INDEX(C_Pavement!$F$5:$F$204,$AQ439)),IF($AS439="","",INDEX(E_Rules!$E$5:$E$9,$AS439))))</f>
        <v/>
      </c>
      <c r="AW439" t="str">
        <f>IF($AQ439="","",IF(INDEX(C_Pavement!$G$5:$G$204,$AQ439)&lt;&gt;"",IF(INDEX(C_Pavement!$G$5:$G$204,$AQ439)="-","",INDEX(C_Pavement!$G$5:$G$204,$AQ439)),IF($AS439="","",INDEX(E_Rules!$F$5:$F$9,$AS439))))</f>
        <v/>
      </c>
      <c r="AX439" t="str">
        <f>IF($AQ439="","",IF(INDEX(C_Pavement!$H$5:$H$204,$AQ439)&lt;&gt;"",IF(INDEX(C_Pavement!$H$5:$H$204,$AQ439)="-","",INDEX(C_Pavement!$H$5:$H$204,$AQ439)),IF($AS439="","",INDEX(E_Rules!$G$5:$G$9,$AS439))))</f>
        <v/>
      </c>
      <c r="AY439" t="str">
        <f>IF($AQ439="","",IF(INDEX(C_Pavement!$I$5:$I$204,$AQ439)&lt;&gt;"",IF(INDEX(C_Pavement!$I$5:$I$204,$AQ439)="-","",INDEX(C_Pavement!$I$5:$I$204,$AQ439)),IF($AS439="","",INDEX(E_Rules!$H$5:$H$9,$AS439))))</f>
        <v/>
      </c>
    </row>
    <row r="440" spans="1:51" ht="15.75" customHeight="1" x14ac:dyDescent="0.3">
      <c r="A440" s="189">
        <v>435</v>
      </c>
      <c r="B440" s="180">
        <v>21700</v>
      </c>
      <c r="C440" s="180" t="s">
        <v>746</v>
      </c>
      <c r="D440" s="181" t="str">
        <f>IFERROR(LOOKUP(2,1/((A_Corridor!$A$5:$A$204&lt;&gt;"")*(A_Corridor!$A$5:$A$204&lt;=$B440)*(A_Corridor!$B$5:$B$204&gt;$B440)*(A_Corridor!$C$5:$C$204&lt;&gt;"")),IF(UPPER(A_Corridor!$C$5:$C$204)="Y",1,"")),"")</f>
        <v/>
      </c>
      <c r="E440" s="181" t="str">
        <f>IFERROR(LOOKUP(2,1/((A_Corridor!$A$5:$A$204&lt;&gt;"")*(A_Corridor!$A$5:$A$204&lt;=$B440)*(A_Corridor!$B$5:$B$204&gt;$B440)*(A_Corridor!$D$5:$D$204&lt;&gt;"")),IF(A_Corridor!$D$5:$D$204="-","",UPPER(A_Corridor!$D$5:$D$204))),"")</f>
        <v/>
      </c>
      <c r="F440" s="181" t="str">
        <f>IFERROR(LOOKUP(2,1/((A_Corridor!$A$5:$A$204&lt;&gt;"")*(A_Corridor!$A$5:$A$204&lt;=$B440)*(A_Corridor!$B$5:$B$204&gt;$B440)*(A_Corridor!$E$5:$E$204&lt;&gt;"")),IF(A_Corridor!$E$5:$E$204="-","",1)),"")</f>
        <v/>
      </c>
      <c r="G440" s="182" t="str">
        <f>IFERROR(LOOKUP(2,1/((A_Corridor!$A$5:$A$204&lt;&gt;"")*(A_Corridor!$A$5:$A$204&lt;=$B440)*(A_Corridor!$B$5:$B$204&gt;$B440)*(A_Corridor!$E$5:$E$204&lt;&gt;"")),IF(A_Corridor!$E$5:$E$204="-","",A_Corridor!$E$5:$E$204)),"")</f>
        <v/>
      </c>
      <c r="H440" s="182" t="str">
        <f>IFERROR(LOOKUP(2,1/((D_Points!$A$5:$A$204&lt;&gt;"")*(D_Points!$A$5:$A$204&gt;=$B440)*(D_Points!$A$5:$A$204&lt;$B440+P_Interval)*(UPPER(TRIM(D_Points!$B$5:$B$204))="GULLY")*(D_Points!$H$5:$H$204&lt;&gt;"")),D_Points!$H$5:$H$204),"")</f>
        <v/>
      </c>
      <c r="I440" s="181" t="str">
        <f>IFERROR(LOOKUP(2,1/((A_Corridor!$A$5:$A$204&lt;&gt;"")*(A_Corridor!$A$5:$A$204&lt;=$B440)*(A_Corridor!$B$5:$B$204&gt;$B440)*(A_Corridor!$F$5:$F$204&lt;&gt;"")),IF(A_Corridor!$F$5:$F$204="-","",1)),"")</f>
        <v/>
      </c>
      <c r="J440" s="182" t="str">
        <f>IFERROR(LOOKUP(2,1/((A_Corridor!$A$5:$A$204&lt;&gt;"")*(A_Corridor!$A$5:$A$204&lt;=$B440)*(A_Corridor!$B$5:$B$204&gt;$B440)*(A_Corridor!$F$5:$F$204&lt;&gt;"")),IF(A_Corridor!$F$5:$F$204="-","",A_Corridor!$F$5:$F$204)),"")</f>
        <v/>
      </c>
      <c r="K440" s="182" t="str">
        <f>IFERROR(LOOKUP(2,1/((A_Corridor!$A$5:$A$204&lt;&gt;"")*(A_Corridor!$A$5:$A$204&lt;=$B440)*(A_Corridor!$B$5:$B$204&gt;$B440)*(A_Corridor!$G$5:$G$204&lt;&gt;"")),IF(A_Corridor!$G$5:$G$204="-","",A_Corridor!$G$5:$G$204)),"")</f>
        <v/>
      </c>
      <c r="L440" s="181" t="str">
        <f>IFERROR(LOOKUP(2,1/((A_Corridor!$A$5:$A$204&lt;&gt;"")*(A_Corridor!$A$5:$A$204&lt;=$B440)*(A_Corridor!$B$5:$B$204&gt;$B440)*(A_Corridor!$H$5:$H$204&lt;&gt;"")),IF(A_Corridor!$H$5:$H$204="-","",1)),"")</f>
        <v/>
      </c>
      <c r="M440" s="182" t="str">
        <f>IFERROR(LOOKUP(2,1/((A_Corridor!$A$5:$A$204&lt;&gt;"")*(A_Corridor!$A$5:$A$204&lt;=$B440)*(A_Corridor!$B$5:$B$204&gt;$B440)*(A_Corridor!$H$5:$H$204&lt;&gt;"")),IF(A_Corridor!$H$5:$H$204="-","",A_Corridor!$H$5:$H$204)),"")</f>
        <v/>
      </c>
      <c r="N440" s="182" t="str">
        <f>IFERROR(LOOKUP(2,1/((A_Corridor!$A$5:$A$204&lt;&gt;"")*(A_Corridor!$A$5:$A$204&lt;=$B440)*(A_Corridor!$B$5:$B$204&gt;$B440)*(A_Corridor!$I$5:$I$204&lt;&gt;"")),IF(A_Corridor!$I$5:$I$204="-","",A_Corridor!$I$5:$I$204)),"")</f>
        <v/>
      </c>
      <c r="O440" s="182" t="str">
        <f>IFERROR(LOOKUP(2,1/((D_Points!$A$5:$A$204&lt;&gt;"")*(D_Points!$A$5:$A$204&gt;=$B440)*(D_Points!$A$5:$A$204&lt;$B440+P_Interval)*(UPPER(TRIM(D_Points!$B$5:$B$204))="PITCHING")*(D_Points!$H$5:$H$204&lt;&gt;"")),D_Points!$H$5:$H$204),"")</f>
        <v/>
      </c>
      <c r="P440" s="181" t="str">
        <f>IFERROR(LOOKUP(2,1/((B_Drainage!$A$5:$A$204&lt;&gt;"")*(B_Drainage!$A$5:$A$204&lt;=$B440)*(B_Drainage!$B$5:$B$204&gt;$B440)*(B_Drainage!$C$5:$C$204&lt;&gt;"")),IF(B_Drainage!$C$5:$C$204="-","",UPPER(B_Drainage!$C$5:$C$204))),"")</f>
        <v/>
      </c>
      <c r="Q440" s="181" t="str">
        <f>IFERROR(LOOKUP(2,1/((B_Drainage!$A$5:$A$204&lt;&gt;"")*(B_Drainage!$A$5:$A$204&lt;=$B440)*(B_Drainage!$B$5:$B$204&gt;$B440)*(B_Drainage!$D$5:$D$204&lt;&gt;"")),IF(B_Drainage!$D$5:$D$204="-","",UPPER(B_Drainage!$D$5:$D$204))),"")</f>
        <v/>
      </c>
      <c r="R440" s="182" t="str">
        <f>IFERROR(LOOKUP(2,1/((D_Points!$A$5:$A$204&lt;&gt;"")*(D_Points!$A$5:$A$204&gt;=$B440)*(D_Points!$A$5:$A$204&lt;$B440+P_Interval)*(RIGHT(UPPER(TRIM(D_Points!$B$5:$B$204)),8)="_CULVERT")),IF(LEFT(UPPER(TRIM(D_Points!$B$5:$B$204)),2)="EX",1,IF(LEFT(UPPER(TRIM(D_Points!$B$5:$B$204)),2)="PR",2,3))),"")</f>
        <v/>
      </c>
      <c r="S440" s="182" t="str">
        <f>IFERROR(LOOKUP(2,1/((D_Points!$A$5:$A$204&lt;&gt;"")*(D_Points!$A$5:$A$204&gt;=$B440)*(D_Points!$A$5:$A$204&lt;$B440+P_Interval)*(RIGHT(UPPER(TRIM(D_Points!$B$5:$B$204)),7)="_BRIDGE")),IF(LEFT(UPPER(TRIM(D_Points!$B$5:$B$204)),2)="EX",1,IF(LEFT(UPPER(TRIM(D_Points!$B$5:$B$204)),2)="PR",2,2))),"")</f>
        <v/>
      </c>
      <c r="T440" s="181" t="str">
        <f>IFERROR(LOOKUP(2,1/((B_Drainage!$A$5:$A$204&lt;&gt;"")*(B_Drainage!$A$5:$A$204&lt;=$B440)*(B_Drainage!$B$5:$B$204&gt;$B440)*(B_Drainage!$E$5:$E$204&lt;&gt;"")),IF(B_Drainage!$E$5:$E$204="-","",1)),"")</f>
        <v/>
      </c>
      <c r="U440" s="181" t="str">
        <f>IFERROR(LOOKUP(2,1/((B_Drainage!$A$5:$A$204&lt;&gt;"")*(B_Drainage!$A$5:$A$204&lt;=$B440)*(B_Drainage!$B$5:$B$204&gt;$B440)*(B_Drainage!$E$5:$E$204&lt;&gt;"")),IF(B_Drainage!$E$5:$E$204="-","",B_Drainage!$E$5:$E$204)),"")</f>
        <v/>
      </c>
      <c r="V440" s="181" t="str">
        <f>IFERROR(LOOKUP(2,1/((B_Drainage!$A$5:$A$204&lt;&gt;"")*(B_Drainage!$A$5:$A$204&lt;=$B440)*(B_Drainage!$B$5:$B$204&gt;$B440)*(B_Drainage!$F$5:$F$204&lt;&gt;"")),IF(B_Drainage!$F$5:$F$204="-","",1)),"")</f>
        <v/>
      </c>
      <c r="W440" s="181" t="str">
        <f>IFERROR(LOOKUP(2,1/((B_Drainage!$A$5:$A$204&lt;&gt;"")*(B_Drainage!$A$5:$A$204&lt;=$B440)*(B_Drainage!$B$5:$B$204&gt;$B440)*(B_Drainage!$F$5:$F$204&lt;&gt;"")),IF(B_Drainage!$F$5:$F$204="-","",B_Drainage!$F$5:$F$204)),"")</f>
        <v/>
      </c>
      <c r="X440" s="181" t="str">
        <f>IFERROR(LOOKUP(2,1/((B_Drainage!$A$5:$A$204&lt;&gt;"")*(B_Drainage!$A$5:$A$204&lt;=$B440)*(B_Drainage!$B$5:$B$204&gt;$B440)*(B_Drainage!$G$5:$G$204&lt;&gt;"")),IF(UPPER(B_Drainage!$G$5:$G$204)="Y",1,"")),"")</f>
        <v/>
      </c>
      <c r="Y440" s="181" t="str">
        <f>IFERROR(LOOKUP(2,1/((B_Drainage!$A$5:$A$204&lt;&gt;"")*(B_Drainage!$A$5:$A$204&lt;=$B440)*(B_Drainage!$B$5:$B$204&gt;$B440)*(B_Drainage!$H$5:$H$204&lt;&gt;"")),IF(UPPER(B_Drainage!$H$5:$H$204)="Y",1,"")),"")</f>
        <v/>
      </c>
      <c r="Z440" s="181" t="str">
        <f>IFERROR(LOOKUP(2,1/((B_Drainage!$A$5:$A$204&lt;&gt;"")*(B_Drainage!$A$5:$A$204&lt;=$B440)*(B_Drainage!$B$5:$B$204&gt;$B440)*(B_Drainage!$I$5:$I$204&lt;&gt;"")),IF(UPPER(B_Drainage!$I$5:$I$204)="Y",1,"")),"")</f>
        <v/>
      </c>
      <c r="AA440" s="181" t="str">
        <f>IFERROR(LOOKUP(2,1/((B_Drainage!$A$5:$A$204&lt;&gt;"")*(B_Drainage!$A$5:$A$204&lt;=$B440)*(B_Drainage!$B$5:$B$204&gt;$B440)*(B_Drainage!$J$5:$J$204&lt;&gt;"")),IF(UPPER(B_Drainage!$J$5:$J$204)="Y",1,"")),"")</f>
        <v/>
      </c>
      <c r="AB440" s="182" t="str">
        <f>IFERROR(LOOKUP(2,1/((B_Drainage!$A$5:$A$204&lt;&gt;"")*(B_Drainage!$A$5:$A$204&lt;=$B440)*(B_Drainage!$B$5:$B$204&gt;$B440)*(B_Drainage!$K$5:$K$204&lt;&gt;"")),IF(B_Drainage!$K$5:$K$204="-","",B_Drainage!$K$5:$K$204)),"")</f>
        <v/>
      </c>
      <c r="AC440" s="182" t="str">
        <f>IFERROR(LOOKUP(2,1/((B_Drainage!$A$5:$A$204&lt;&gt;"")*(B_Drainage!$A$5:$A$204&lt;=$B440)*(B_Drainage!$B$5:$B$204&gt;$B440)*(B_Drainage!$L$5:$L$204&lt;&gt;"")),IF(B_Drainage!$L$5:$L$204="-","",B_Drainage!$L$5:$L$204)),"")</f>
        <v/>
      </c>
      <c r="AD440" s="182" t="str">
        <f>IFERROR(LOOKUP(2,1/((D_Points!$A$5:$A$204&lt;&gt;"")*(D_Points!$A$5:$A$204&gt;=$B440)*(D_Points!$A$5:$A$204&lt;$B440+P_Interval)*(UPPER(TRIM(D_Points!$B$5:$B$204))="TURNOUT_L")*(D_Points!$H$5:$H$204&lt;&gt;"")),D_Points!$H$5:$H$204),"")</f>
        <v/>
      </c>
      <c r="AE440" s="182" t="str">
        <f>IFERROR(LOOKUP(2,1/((D_Points!$A$5:$A$204&lt;&gt;"")*(D_Points!$A$5:$A$204&gt;=$B440)*(D_Points!$A$5:$A$204&lt;$B440+P_Interval)*(UPPER(TRIM(D_Points!$B$5:$B$204))="TURNOUT_R")*(D_Points!$H$5:$H$204&lt;&gt;"")),D_Points!$H$5:$H$204),"")</f>
        <v/>
      </c>
      <c r="AF440" s="181" t="str">
        <f>IFERROR(LOOKUP(2,1/((B_Drainage!$A$5:$A$204&lt;&gt;"")*(B_Drainage!$A$5:$A$204&lt;=$B440)*(B_Drainage!$B$5:$B$204&gt;$B440)*(B_Drainage!$M$5:$M$204&lt;&gt;"")),IF(UPPER(B_Drainage!$M$5:$M$204)="Y",1,"")),"")</f>
        <v/>
      </c>
      <c r="AG440" s="181" t="str">
        <f>IFERROR(LOOKUP(2,1/((B_Drainage!$A$5:$A$204&lt;&gt;"")*(B_Drainage!$A$5:$A$204&lt;=$B440)*(B_Drainage!$B$5:$B$204&gt;$B440)*(B_Drainage!$N$5:$N$204&lt;&gt;"")),IF(UPPER(B_Drainage!$N$5:$N$204)="Y",1,"")),"")</f>
        <v/>
      </c>
      <c r="AH440" s="181" t="str">
        <f t="shared" si="48"/>
        <v/>
      </c>
      <c r="AI440" s="181" t="str">
        <f t="shared" si="49"/>
        <v/>
      </c>
      <c r="AJ440" s="181" t="str">
        <f t="shared" si="50"/>
        <v/>
      </c>
      <c r="AK440" s="181" t="str">
        <f t="shared" si="51"/>
        <v/>
      </c>
      <c r="AL440" s="181" t="str">
        <f t="shared" si="52"/>
        <v/>
      </c>
      <c r="AM440" s="181" t="str">
        <f t="shared" si="53"/>
        <v/>
      </c>
      <c r="AN440" s="181" t="str">
        <f t="shared" si="54"/>
        <v/>
      </c>
      <c r="AO440" s="192" t="str">
        <f t="shared" si="55"/>
        <v/>
      </c>
      <c r="AQ440" t="str">
        <f>IFERROR(LOOKUP(2,1/((C_Pavement!$A$5:$A$204&lt;&gt;"")*(C_Pavement!$A$5:$A$204&lt;=$B440)*(C_Pavement!$B$5:$B$204&gt;$B440)*(C_Pavement!$C$5:$C$204&lt;&gt;"")),ROW(C_Pavement!$C$5:$C$204)-4),"")</f>
        <v/>
      </c>
      <c r="AR440" t="str">
        <f>IF($AQ440="","",UPPER(TRIM(INDEX(C_Pavement!$C$5:$C$204,$AQ440))))</f>
        <v/>
      </c>
      <c r="AS440" t="str">
        <f>IF($AR440="","",IFERROR(MATCH($AR440,E_Rules!$A$5:$A$9,0),""))</f>
        <v/>
      </c>
      <c r="AT440" t="str">
        <f>IF($AQ440="","",IF(INDEX(C_Pavement!$D$5:$D$204,$AQ440)&lt;&gt;"",UPPER(TRIM(INDEX(C_Pavement!$D$5:$D$204,$AQ440))),IF($AS440="","",INDEX(E_Rules!$C$5:$C$9,$AS440))))</f>
        <v/>
      </c>
      <c r="AU440" t="str">
        <f>IF($AQ440="","",IF(INDEX(C_Pavement!$E$5:$E$204,$AQ440)&lt;&gt;"",IF(INDEX(C_Pavement!$E$5:$E$204,$AQ440)="-","",INDEX(C_Pavement!$E$5:$E$204,$AQ440)),IF($AS440="","",INDEX(E_Rules!$D$5:$D$9,$AS440))))</f>
        <v/>
      </c>
      <c r="AV440" t="str">
        <f>IF($AQ440="","",IF(INDEX(C_Pavement!$F$5:$F$204,$AQ440)&lt;&gt;"",IF(INDEX(C_Pavement!$F$5:$F$204,$AQ440)="-","",INDEX(C_Pavement!$F$5:$F$204,$AQ440)),IF($AS440="","",INDEX(E_Rules!$E$5:$E$9,$AS440))))</f>
        <v/>
      </c>
      <c r="AW440" t="str">
        <f>IF($AQ440="","",IF(INDEX(C_Pavement!$G$5:$G$204,$AQ440)&lt;&gt;"",IF(INDEX(C_Pavement!$G$5:$G$204,$AQ440)="-","",INDEX(C_Pavement!$G$5:$G$204,$AQ440)),IF($AS440="","",INDEX(E_Rules!$F$5:$F$9,$AS440))))</f>
        <v/>
      </c>
      <c r="AX440" t="str">
        <f>IF($AQ440="","",IF(INDEX(C_Pavement!$H$5:$H$204,$AQ440)&lt;&gt;"",IF(INDEX(C_Pavement!$H$5:$H$204,$AQ440)="-","",INDEX(C_Pavement!$H$5:$H$204,$AQ440)),IF($AS440="","",INDEX(E_Rules!$G$5:$G$9,$AS440))))</f>
        <v/>
      </c>
      <c r="AY440" t="str">
        <f>IF($AQ440="","",IF(INDEX(C_Pavement!$I$5:$I$204,$AQ440)&lt;&gt;"",IF(INDEX(C_Pavement!$I$5:$I$204,$AQ440)="-","",INDEX(C_Pavement!$I$5:$I$204,$AQ440)),IF($AS440="","",INDEX(E_Rules!$H$5:$H$9,$AS440))))</f>
        <v/>
      </c>
    </row>
    <row r="441" spans="1:51" ht="15.75" customHeight="1" x14ac:dyDescent="0.3">
      <c r="A441" s="189">
        <v>436</v>
      </c>
      <c r="B441" s="180">
        <v>21750</v>
      </c>
      <c r="C441" s="180" t="s">
        <v>747</v>
      </c>
      <c r="D441" s="181" t="str">
        <f>IFERROR(LOOKUP(2,1/((A_Corridor!$A$5:$A$204&lt;&gt;"")*(A_Corridor!$A$5:$A$204&lt;=$B441)*(A_Corridor!$B$5:$B$204&gt;$B441)*(A_Corridor!$C$5:$C$204&lt;&gt;"")),IF(UPPER(A_Corridor!$C$5:$C$204)="Y",1,"")),"")</f>
        <v/>
      </c>
      <c r="E441" s="181" t="str">
        <f>IFERROR(LOOKUP(2,1/((A_Corridor!$A$5:$A$204&lt;&gt;"")*(A_Corridor!$A$5:$A$204&lt;=$B441)*(A_Corridor!$B$5:$B$204&gt;$B441)*(A_Corridor!$D$5:$D$204&lt;&gt;"")),IF(A_Corridor!$D$5:$D$204="-","",UPPER(A_Corridor!$D$5:$D$204))),"")</f>
        <v/>
      </c>
      <c r="F441" s="181" t="str">
        <f>IFERROR(LOOKUP(2,1/((A_Corridor!$A$5:$A$204&lt;&gt;"")*(A_Corridor!$A$5:$A$204&lt;=$B441)*(A_Corridor!$B$5:$B$204&gt;$B441)*(A_Corridor!$E$5:$E$204&lt;&gt;"")),IF(A_Corridor!$E$5:$E$204="-","",1)),"")</f>
        <v/>
      </c>
      <c r="G441" s="182" t="str">
        <f>IFERROR(LOOKUP(2,1/((A_Corridor!$A$5:$A$204&lt;&gt;"")*(A_Corridor!$A$5:$A$204&lt;=$B441)*(A_Corridor!$B$5:$B$204&gt;$B441)*(A_Corridor!$E$5:$E$204&lt;&gt;"")),IF(A_Corridor!$E$5:$E$204="-","",A_Corridor!$E$5:$E$204)),"")</f>
        <v/>
      </c>
      <c r="H441" s="182" t="str">
        <f>IFERROR(LOOKUP(2,1/((D_Points!$A$5:$A$204&lt;&gt;"")*(D_Points!$A$5:$A$204&gt;=$B441)*(D_Points!$A$5:$A$204&lt;$B441+P_Interval)*(UPPER(TRIM(D_Points!$B$5:$B$204))="GULLY")*(D_Points!$H$5:$H$204&lt;&gt;"")),D_Points!$H$5:$H$204),"")</f>
        <v/>
      </c>
      <c r="I441" s="181" t="str">
        <f>IFERROR(LOOKUP(2,1/((A_Corridor!$A$5:$A$204&lt;&gt;"")*(A_Corridor!$A$5:$A$204&lt;=$B441)*(A_Corridor!$B$5:$B$204&gt;$B441)*(A_Corridor!$F$5:$F$204&lt;&gt;"")),IF(A_Corridor!$F$5:$F$204="-","",1)),"")</f>
        <v/>
      </c>
      <c r="J441" s="182" t="str">
        <f>IFERROR(LOOKUP(2,1/((A_Corridor!$A$5:$A$204&lt;&gt;"")*(A_Corridor!$A$5:$A$204&lt;=$B441)*(A_Corridor!$B$5:$B$204&gt;$B441)*(A_Corridor!$F$5:$F$204&lt;&gt;"")),IF(A_Corridor!$F$5:$F$204="-","",A_Corridor!$F$5:$F$204)),"")</f>
        <v/>
      </c>
      <c r="K441" s="182" t="str">
        <f>IFERROR(LOOKUP(2,1/((A_Corridor!$A$5:$A$204&lt;&gt;"")*(A_Corridor!$A$5:$A$204&lt;=$B441)*(A_Corridor!$B$5:$B$204&gt;$B441)*(A_Corridor!$G$5:$G$204&lt;&gt;"")),IF(A_Corridor!$G$5:$G$204="-","",A_Corridor!$G$5:$G$204)),"")</f>
        <v/>
      </c>
      <c r="L441" s="181" t="str">
        <f>IFERROR(LOOKUP(2,1/((A_Corridor!$A$5:$A$204&lt;&gt;"")*(A_Corridor!$A$5:$A$204&lt;=$B441)*(A_Corridor!$B$5:$B$204&gt;$B441)*(A_Corridor!$H$5:$H$204&lt;&gt;"")),IF(A_Corridor!$H$5:$H$204="-","",1)),"")</f>
        <v/>
      </c>
      <c r="M441" s="182" t="str">
        <f>IFERROR(LOOKUP(2,1/((A_Corridor!$A$5:$A$204&lt;&gt;"")*(A_Corridor!$A$5:$A$204&lt;=$B441)*(A_Corridor!$B$5:$B$204&gt;$B441)*(A_Corridor!$H$5:$H$204&lt;&gt;"")),IF(A_Corridor!$H$5:$H$204="-","",A_Corridor!$H$5:$H$204)),"")</f>
        <v/>
      </c>
      <c r="N441" s="182" t="str">
        <f>IFERROR(LOOKUP(2,1/((A_Corridor!$A$5:$A$204&lt;&gt;"")*(A_Corridor!$A$5:$A$204&lt;=$B441)*(A_Corridor!$B$5:$B$204&gt;$B441)*(A_Corridor!$I$5:$I$204&lt;&gt;"")),IF(A_Corridor!$I$5:$I$204="-","",A_Corridor!$I$5:$I$204)),"")</f>
        <v/>
      </c>
      <c r="O441" s="182" t="str">
        <f>IFERROR(LOOKUP(2,1/((D_Points!$A$5:$A$204&lt;&gt;"")*(D_Points!$A$5:$A$204&gt;=$B441)*(D_Points!$A$5:$A$204&lt;$B441+P_Interval)*(UPPER(TRIM(D_Points!$B$5:$B$204))="PITCHING")*(D_Points!$H$5:$H$204&lt;&gt;"")),D_Points!$H$5:$H$204),"")</f>
        <v/>
      </c>
      <c r="P441" s="181" t="str">
        <f>IFERROR(LOOKUP(2,1/((B_Drainage!$A$5:$A$204&lt;&gt;"")*(B_Drainage!$A$5:$A$204&lt;=$B441)*(B_Drainage!$B$5:$B$204&gt;$B441)*(B_Drainage!$C$5:$C$204&lt;&gt;"")),IF(B_Drainage!$C$5:$C$204="-","",UPPER(B_Drainage!$C$5:$C$204))),"")</f>
        <v/>
      </c>
      <c r="Q441" s="181" t="str">
        <f>IFERROR(LOOKUP(2,1/((B_Drainage!$A$5:$A$204&lt;&gt;"")*(B_Drainage!$A$5:$A$204&lt;=$B441)*(B_Drainage!$B$5:$B$204&gt;$B441)*(B_Drainage!$D$5:$D$204&lt;&gt;"")),IF(B_Drainage!$D$5:$D$204="-","",UPPER(B_Drainage!$D$5:$D$204))),"")</f>
        <v/>
      </c>
      <c r="R441" s="182" t="str">
        <f>IFERROR(LOOKUP(2,1/((D_Points!$A$5:$A$204&lt;&gt;"")*(D_Points!$A$5:$A$204&gt;=$B441)*(D_Points!$A$5:$A$204&lt;$B441+P_Interval)*(RIGHT(UPPER(TRIM(D_Points!$B$5:$B$204)),8)="_CULVERT")),IF(LEFT(UPPER(TRIM(D_Points!$B$5:$B$204)),2)="EX",1,IF(LEFT(UPPER(TRIM(D_Points!$B$5:$B$204)),2)="PR",2,3))),"")</f>
        <v/>
      </c>
      <c r="S441" s="182" t="str">
        <f>IFERROR(LOOKUP(2,1/((D_Points!$A$5:$A$204&lt;&gt;"")*(D_Points!$A$5:$A$204&gt;=$B441)*(D_Points!$A$5:$A$204&lt;$B441+P_Interval)*(RIGHT(UPPER(TRIM(D_Points!$B$5:$B$204)),7)="_BRIDGE")),IF(LEFT(UPPER(TRIM(D_Points!$B$5:$B$204)),2)="EX",1,IF(LEFT(UPPER(TRIM(D_Points!$B$5:$B$204)),2)="PR",2,2))),"")</f>
        <v/>
      </c>
      <c r="T441" s="181" t="str">
        <f>IFERROR(LOOKUP(2,1/((B_Drainage!$A$5:$A$204&lt;&gt;"")*(B_Drainage!$A$5:$A$204&lt;=$B441)*(B_Drainage!$B$5:$B$204&gt;$B441)*(B_Drainage!$E$5:$E$204&lt;&gt;"")),IF(B_Drainage!$E$5:$E$204="-","",1)),"")</f>
        <v/>
      </c>
      <c r="U441" s="181" t="str">
        <f>IFERROR(LOOKUP(2,1/((B_Drainage!$A$5:$A$204&lt;&gt;"")*(B_Drainage!$A$5:$A$204&lt;=$B441)*(B_Drainage!$B$5:$B$204&gt;$B441)*(B_Drainage!$E$5:$E$204&lt;&gt;"")),IF(B_Drainage!$E$5:$E$204="-","",B_Drainage!$E$5:$E$204)),"")</f>
        <v/>
      </c>
      <c r="V441" s="181" t="str">
        <f>IFERROR(LOOKUP(2,1/((B_Drainage!$A$5:$A$204&lt;&gt;"")*(B_Drainage!$A$5:$A$204&lt;=$B441)*(B_Drainage!$B$5:$B$204&gt;$B441)*(B_Drainage!$F$5:$F$204&lt;&gt;"")),IF(B_Drainage!$F$5:$F$204="-","",1)),"")</f>
        <v/>
      </c>
      <c r="W441" s="181" t="str">
        <f>IFERROR(LOOKUP(2,1/((B_Drainage!$A$5:$A$204&lt;&gt;"")*(B_Drainage!$A$5:$A$204&lt;=$B441)*(B_Drainage!$B$5:$B$204&gt;$B441)*(B_Drainage!$F$5:$F$204&lt;&gt;"")),IF(B_Drainage!$F$5:$F$204="-","",B_Drainage!$F$5:$F$204)),"")</f>
        <v/>
      </c>
      <c r="X441" s="181" t="str">
        <f>IFERROR(LOOKUP(2,1/((B_Drainage!$A$5:$A$204&lt;&gt;"")*(B_Drainage!$A$5:$A$204&lt;=$B441)*(B_Drainage!$B$5:$B$204&gt;$B441)*(B_Drainage!$G$5:$G$204&lt;&gt;"")),IF(UPPER(B_Drainage!$G$5:$G$204)="Y",1,"")),"")</f>
        <v/>
      </c>
      <c r="Y441" s="181" t="str">
        <f>IFERROR(LOOKUP(2,1/((B_Drainage!$A$5:$A$204&lt;&gt;"")*(B_Drainage!$A$5:$A$204&lt;=$B441)*(B_Drainage!$B$5:$B$204&gt;$B441)*(B_Drainage!$H$5:$H$204&lt;&gt;"")),IF(UPPER(B_Drainage!$H$5:$H$204)="Y",1,"")),"")</f>
        <v/>
      </c>
      <c r="Z441" s="181" t="str">
        <f>IFERROR(LOOKUP(2,1/((B_Drainage!$A$5:$A$204&lt;&gt;"")*(B_Drainage!$A$5:$A$204&lt;=$B441)*(B_Drainage!$B$5:$B$204&gt;$B441)*(B_Drainage!$I$5:$I$204&lt;&gt;"")),IF(UPPER(B_Drainage!$I$5:$I$204)="Y",1,"")),"")</f>
        <v/>
      </c>
      <c r="AA441" s="181" t="str">
        <f>IFERROR(LOOKUP(2,1/((B_Drainage!$A$5:$A$204&lt;&gt;"")*(B_Drainage!$A$5:$A$204&lt;=$B441)*(B_Drainage!$B$5:$B$204&gt;$B441)*(B_Drainage!$J$5:$J$204&lt;&gt;"")),IF(UPPER(B_Drainage!$J$5:$J$204)="Y",1,"")),"")</f>
        <v/>
      </c>
      <c r="AB441" s="182" t="str">
        <f>IFERROR(LOOKUP(2,1/((B_Drainage!$A$5:$A$204&lt;&gt;"")*(B_Drainage!$A$5:$A$204&lt;=$B441)*(B_Drainage!$B$5:$B$204&gt;$B441)*(B_Drainage!$K$5:$K$204&lt;&gt;"")),IF(B_Drainage!$K$5:$K$204="-","",B_Drainage!$K$5:$K$204)),"")</f>
        <v/>
      </c>
      <c r="AC441" s="182" t="str">
        <f>IFERROR(LOOKUP(2,1/((B_Drainage!$A$5:$A$204&lt;&gt;"")*(B_Drainage!$A$5:$A$204&lt;=$B441)*(B_Drainage!$B$5:$B$204&gt;$B441)*(B_Drainage!$L$5:$L$204&lt;&gt;"")),IF(B_Drainage!$L$5:$L$204="-","",B_Drainage!$L$5:$L$204)),"")</f>
        <v/>
      </c>
      <c r="AD441" s="182" t="str">
        <f>IFERROR(LOOKUP(2,1/((D_Points!$A$5:$A$204&lt;&gt;"")*(D_Points!$A$5:$A$204&gt;=$B441)*(D_Points!$A$5:$A$204&lt;$B441+P_Interval)*(UPPER(TRIM(D_Points!$B$5:$B$204))="TURNOUT_L")*(D_Points!$H$5:$H$204&lt;&gt;"")),D_Points!$H$5:$H$204),"")</f>
        <v/>
      </c>
      <c r="AE441" s="182" t="str">
        <f>IFERROR(LOOKUP(2,1/((D_Points!$A$5:$A$204&lt;&gt;"")*(D_Points!$A$5:$A$204&gt;=$B441)*(D_Points!$A$5:$A$204&lt;$B441+P_Interval)*(UPPER(TRIM(D_Points!$B$5:$B$204))="TURNOUT_R")*(D_Points!$H$5:$H$204&lt;&gt;"")),D_Points!$H$5:$H$204),"")</f>
        <v/>
      </c>
      <c r="AF441" s="181" t="str">
        <f>IFERROR(LOOKUP(2,1/((B_Drainage!$A$5:$A$204&lt;&gt;"")*(B_Drainage!$A$5:$A$204&lt;=$B441)*(B_Drainage!$B$5:$B$204&gt;$B441)*(B_Drainage!$M$5:$M$204&lt;&gt;"")),IF(UPPER(B_Drainage!$M$5:$M$204)="Y",1,"")),"")</f>
        <v/>
      </c>
      <c r="AG441" s="181" t="str">
        <f>IFERROR(LOOKUP(2,1/((B_Drainage!$A$5:$A$204&lt;&gt;"")*(B_Drainage!$A$5:$A$204&lt;=$B441)*(B_Drainage!$B$5:$B$204&gt;$B441)*(B_Drainage!$N$5:$N$204&lt;&gt;"")),IF(UPPER(B_Drainage!$N$5:$N$204)="Y",1,"")),"")</f>
        <v/>
      </c>
      <c r="AH441" s="181" t="str">
        <f t="shared" si="48"/>
        <v/>
      </c>
      <c r="AI441" s="181" t="str">
        <f t="shared" si="49"/>
        <v/>
      </c>
      <c r="AJ441" s="181" t="str">
        <f t="shared" si="50"/>
        <v/>
      </c>
      <c r="AK441" s="181" t="str">
        <f t="shared" si="51"/>
        <v/>
      </c>
      <c r="AL441" s="181" t="str">
        <f t="shared" si="52"/>
        <v/>
      </c>
      <c r="AM441" s="181" t="str">
        <f t="shared" si="53"/>
        <v/>
      </c>
      <c r="AN441" s="181" t="str">
        <f t="shared" si="54"/>
        <v/>
      </c>
      <c r="AO441" s="192" t="str">
        <f t="shared" si="55"/>
        <v/>
      </c>
      <c r="AQ441" t="str">
        <f>IFERROR(LOOKUP(2,1/((C_Pavement!$A$5:$A$204&lt;&gt;"")*(C_Pavement!$A$5:$A$204&lt;=$B441)*(C_Pavement!$B$5:$B$204&gt;$B441)*(C_Pavement!$C$5:$C$204&lt;&gt;"")),ROW(C_Pavement!$C$5:$C$204)-4),"")</f>
        <v/>
      </c>
      <c r="AR441" t="str">
        <f>IF($AQ441="","",UPPER(TRIM(INDEX(C_Pavement!$C$5:$C$204,$AQ441))))</f>
        <v/>
      </c>
      <c r="AS441" t="str">
        <f>IF($AR441="","",IFERROR(MATCH($AR441,E_Rules!$A$5:$A$9,0),""))</f>
        <v/>
      </c>
      <c r="AT441" t="str">
        <f>IF($AQ441="","",IF(INDEX(C_Pavement!$D$5:$D$204,$AQ441)&lt;&gt;"",UPPER(TRIM(INDEX(C_Pavement!$D$5:$D$204,$AQ441))),IF($AS441="","",INDEX(E_Rules!$C$5:$C$9,$AS441))))</f>
        <v/>
      </c>
      <c r="AU441" t="str">
        <f>IF($AQ441="","",IF(INDEX(C_Pavement!$E$5:$E$204,$AQ441)&lt;&gt;"",IF(INDEX(C_Pavement!$E$5:$E$204,$AQ441)="-","",INDEX(C_Pavement!$E$5:$E$204,$AQ441)),IF($AS441="","",INDEX(E_Rules!$D$5:$D$9,$AS441))))</f>
        <v/>
      </c>
      <c r="AV441" t="str">
        <f>IF($AQ441="","",IF(INDEX(C_Pavement!$F$5:$F$204,$AQ441)&lt;&gt;"",IF(INDEX(C_Pavement!$F$5:$F$204,$AQ441)="-","",INDEX(C_Pavement!$F$5:$F$204,$AQ441)),IF($AS441="","",INDEX(E_Rules!$E$5:$E$9,$AS441))))</f>
        <v/>
      </c>
      <c r="AW441" t="str">
        <f>IF($AQ441="","",IF(INDEX(C_Pavement!$G$5:$G$204,$AQ441)&lt;&gt;"",IF(INDEX(C_Pavement!$G$5:$G$204,$AQ441)="-","",INDEX(C_Pavement!$G$5:$G$204,$AQ441)),IF($AS441="","",INDEX(E_Rules!$F$5:$F$9,$AS441))))</f>
        <v/>
      </c>
      <c r="AX441" t="str">
        <f>IF($AQ441="","",IF(INDEX(C_Pavement!$H$5:$H$204,$AQ441)&lt;&gt;"",IF(INDEX(C_Pavement!$H$5:$H$204,$AQ441)="-","",INDEX(C_Pavement!$H$5:$H$204,$AQ441)),IF($AS441="","",INDEX(E_Rules!$G$5:$G$9,$AS441))))</f>
        <v/>
      </c>
      <c r="AY441" t="str">
        <f>IF($AQ441="","",IF(INDEX(C_Pavement!$I$5:$I$204,$AQ441)&lt;&gt;"",IF(INDEX(C_Pavement!$I$5:$I$204,$AQ441)="-","",INDEX(C_Pavement!$I$5:$I$204,$AQ441)),IF($AS441="","",INDEX(E_Rules!$H$5:$H$9,$AS441))))</f>
        <v/>
      </c>
    </row>
    <row r="442" spans="1:51" ht="15.75" customHeight="1" x14ac:dyDescent="0.3">
      <c r="A442" s="189">
        <v>437</v>
      </c>
      <c r="B442" s="180">
        <v>21800</v>
      </c>
      <c r="C442" s="180" t="s">
        <v>748</v>
      </c>
      <c r="D442" s="181" t="str">
        <f>IFERROR(LOOKUP(2,1/((A_Corridor!$A$5:$A$204&lt;&gt;"")*(A_Corridor!$A$5:$A$204&lt;=$B442)*(A_Corridor!$B$5:$B$204&gt;$B442)*(A_Corridor!$C$5:$C$204&lt;&gt;"")),IF(UPPER(A_Corridor!$C$5:$C$204)="Y",1,"")),"")</f>
        <v/>
      </c>
      <c r="E442" s="181" t="str">
        <f>IFERROR(LOOKUP(2,1/((A_Corridor!$A$5:$A$204&lt;&gt;"")*(A_Corridor!$A$5:$A$204&lt;=$B442)*(A_Corridor!$B$5:$B$204&gt;$B442)*(A_Corridor!$D$5:$D$204&lt;&gt;"")),IF(A_Corridor!$D$5:$D$204="-","",UPPER(A_Corridor!$D$5:$D$204))),"")</f>
        <v/>
      </c>
      <c r="F442" s="181" t="str">
        <f>IFERROR(LOOKUP(2,1/((A_Corridor!$A$5:$A$204&lt;&gt;"")*(A_Corridor!$A$5:$A$204&lt;=$B442)*(A_Corridor!$B$5:$B$204&gt;$B442)*(A_Corridor!$E$5:$E$204&lt;&gt;"")),IF(A_Corridor!$E$5:$E$204="-","",1)),"")</f>
        <v/>
      </c>
      <c r="G442" s="182" t="str">
        <f>IFERROR(LOOKUP(2,1/((A_Corridor!$A$5:$A$204&lt;&gt;"")*(A_Corridor!$A$5:$A$204&lt;=$B442)*(A_Corridor!$B$5:$B$204&gt;$B442)*(A_Corridor!$E$5:$E$204&lt;&gt;"")),IF(A_Corridor!$E$5:$E$204="-","",A_Corridor!$E$5:$E$204)),"")</f>
        <v/>
      </c>
      <c r="H442" s="182" t="str">
        <f>IFERROR(LOOKUP(2,1/((D_Points!$A$5:$A$204&lt;&gt;"")*(D_Points!$A$5:$A$204&gt;=$B442)*(D_Points!$A$5:$A$204&lt;$B442+P_Interval)*(UPPER(TRIM(D_Points!$B$5:$B$204))="GULLY")*(D_Points!$H$5:$H$204&lt;&gt;"")),D_Points!$H$5:$H$204),"")</f>
        <v/>
      </c>
      <c r="I442" s="181" t="str">
        <f>IFERROR(LOOKUP(2,1/((A_Corridor!$A$5:$A$204&lt;&gt;"")*(A_Corridor!$A$5:$A$204&lt;=$B442)*(A_Corridor!$B$5:$B$204&gt;$B442)*(A_Corridor!$F$5:$F$204&lt;&gt;"")),IF(A_Corridor!$F$5:$F$204="-","",1)),"")</f>
        <v/>
      </c>
      <c r="J442" s="182" t="str">
        <f>IFERROR(LOOKUP(2,1/((A_Corridor!$A$5:$A$204&lt;&gt;"")*(A_Corridor!$A$5:$A$204&lt;=$B442)*(A_Corridor!$B$5:$B$204&gt;$B442)*(A_Corridor!$F$5:$F$204&lt;&gt;"")),IF(A_Corridor!$F$5:$F$204="-","",A_Corridor!$F$5:$F$204)),"")</f>
        <v/>
      </c>
      <c r="K442" s="182" t="str">
        <f>IFERROR(LOOKUP(2,1/((A_Corridor!$A$5:$A$204&lt;&gt;"")*(A_Corridor!$A$5:$A$204&lt;=$B442)*(A_Corridor!$B$5:$B$204&gt;$B442)*(A_Corridor!$G$5:$G$204&lt;&gt;"")),IF(A_Corridor!$G$5:$G$204="-","",A_Corridor!$G$5:$G$204)),"")</f>
        <v/>
      </c>
      <c r="L442" s="181" t="str">
        <f>IFERROR(LOOKUP(2,1/((A_Corridor!$A$5:$A$204&lt;&gt;"")*(A_Corridor!$A$5:$A$204&lt;=$B442)*(A_Corridor!$B$5:$B$204&gt;$B442)*(A_Corridor!$H$5:$H$204&lt;&gt;"")),IF(A_Corridor!$H$5:$H$204="-","",1)),"")</f>
        <v/>
      </c>
      <c r="M442" s="182" t="str">
        <f>IFERROR(LOOKUP(2,1/((A_Corridor!$A$5:$A$204&lt;&gt;"")*(A_Corridor!$A$5:$A$204&lt;=$B442)*(A_Corridor!$B$5:$B$204&gt;$B442)*(A_Corridor!$H$5:$H$204&lt;&gt;"")),IF(A_Corridor!$H$5:$H$204="-","",A_Corridor!$H$5:$H$204)),"")</f>
        <v/>
      </c>
      <c r="N442" s="182" t="str">
        <f>IFERROR(LOOKUP(2,1/((A_Corridor!$A$5:$A$204&lt;&gt;"")*(A_Corridor!$A$5:$A$204&lt;=$B442)*(A_Corridor!$B$5:$B$204&gt;$B442)*(A_Corridor!$I$5:$I$204&lt;&gt;"")),IF(A_Corridor!$I$5:$I$204="-","",A_Corridor!$I$5:$I$204)),"")</f>
        <v/>
      </c>
      <c r="O442" s="182" t="str">
        <f>IFERROR(LOOKUP(2,1/((D_Points!$A$5:$A$204&lt;&gt;"")*(D_Points!$A$5:$A$204&gt;=$B442)*(D_Points!$A$5:$A$204&lt;$B442+P_Interval)*(UPPER(TRIM(D_Points!$B$5:$B$204))="PITCHING")*(D_Points!$H$5:$H$204&lt;&gt;"")),D_Points!$H$5:$H$204),"")</f>
        <v/>
      </c>
      <c r="P442" s="181" t="str">
        <f>IFERROR(LOOKUP(2,1/((B_Drainage!$A$5:$A$204&lt;&gt;"")*(B_Drainage!$A$5:$A$204&lt;=$B442)*(B_Drainage!$B$5:$B$204&gt;$B442)*(B_Drainage!$C$5:$C$204&lt;&gt;"")),IF(B_Drainage!$C$5:$C$204="-","",UPPER(B_Drainage!$C$5:$C$204))),"")</f>
        <v/>
      </c>
      <c r="Q442" s="181" t="str">
        <f>IFERROR(LOOKUP(2,1/((B_Drainage!$A$5:$A$204&lt;&gt;"")*(B_Drainage!$A$5:$A$204&lt;=$B442)*(B_Drainage!$B$5:$B$204&gt;$B442)*(B_Drainage!$D$5:$D$204&lt;&gt;"")),IF(B_Drainage!$D$5:$D$204="-","",UPPER(B_Drainage!$D$5:$D$204))),"")</f>
        <v/>
      </c>
      <c r="R442" s="182" t="str">
        <f>IFERROR(LOOKUP(2,1/((D_Points!$A$5:$A$204&lt;&gt;"")*(D_Points!$A$5:$A$204&gt;=$B442)*(D_Points!$A$5:$A$204&lt;$B442+P_Interval)*(RIGHT(UPPER(TRIM(D_Points!$B$5:$B$204)),8)="_CULVERT")),IF(LEFT(UPPER(TRIM(D_Points!$B$5:$B$204)),2)="EX",1,IF(LEFT(UPPER(TRIM(D_Points!$B$5:$B$204)),2)="PR",2,3))),"")</f>
        <v/>
      </c>
      <c r="S442" s="182" t="str">
        <f>IFERROR(LOOKUP(2,1/((D_Points!$A$5:$A$204&lt;&gt;"")*(D_Points!$A$5:$A$204&gt;=$B442)*(D_Points!$A$5:$A$204&lt;$B442+P_Interval)*(RIGHT(UPPER(TRIM(D_Points!$B$5:$B$204)),7)="_BRIDGE")),IF(LEFT(UPPER(TRIM(D_Points!$B$5:$B$204)),2)="EX",1,IF(LEFT(UPPER(TRIM(D_Points!$B$5:$B$204)),2)="PR",2,2))),"")</f>
        <v/>
      </c>
      <c r="T442" s="181" t="str">
        <f>IFERROR(LOOKUP(2,1/((B_Drainage!$A$5:$A$204&lt;&gt;"")*(B_Drainage!$A$5:$A$204&lt;=$B442)*(B_Drainage!$B$5:$B$204&gt;$B442)*(B_Drainage!$E$5:$E$204&lt;&gt;"")),IF(B_Drainage!$E$5:$E$204="-","",1)),"")</f>
        <v/>
      </c>
      <c r="U442" s="181" t="str">
        <f>IFERROR(LOOKUP(2,1/((B_Drainage!$A$5:$A$204&lt;&gt;"")*(B_Drainage!$A$5:$A$204&lt;=$B442)*(B_Drainage!$B$5:$B$204&gt;$B442)*(B_Drainage!$E$5:$E$204&lt;&gt;"")),IF(B_Drainage!$E$5:$E$204="-","",B_Drainage!$E$5:$E$204)),"")</f>
        <v/>
      </c>
      <c r="V442" s="181" t="str">
        <f>IFERROR(LOOKUP(2,1/((B_Drainage!$A$5:$A$204&lt;&gt;"")*(B_Drainage!$A$5:$A$204&lt;=$B442)*(B_Drainage!$B$5:$B$204&gt;$B442)*(B_Drainage!$F$5:$F$204&lt;&gt;"")),IF(B_Drainage!$F$5:$F$204="-","",1)),"")</f>
        <v/>
      </c>
      <c r="W442" s="181" t="str">
        <f>IFERROR(LOOKUP(2,1/((B_Drainage!$A$5:$A$204&lt;&gt;"")*(B_Drainage!$A$5:$A$204&lt;=$B442)*(B_Drainage!$B$5:$B$204&gt;$B442)*(B_Drainage!$F$5:$F$204&lt;&gt;"")),IF(B_Drainage!$F$5:$F$204="-","",B_Drainage!$F$5:$F$204)),"")</f>
        <v/>
      </c>
      <c r="X442" s="181" t="str">
        <f>IFERROR(LOOKUP(2,1/((B_Drainage!$A$5:$A$204&lt;&gt;"")*(B_Drainage!$A$5:$A$204&lt;=$B442)*(B_Drainage!$B$5:$B$204&gt;$B442)*(B_Drainage!$G$5:$G$204&lt;&gt;"")),IF(UPPER(B_Drainage!$G$5:$G$204)="Y",1,"")),"")</f>
        <v/>
      </c>
      <c r="Y442" s="181" t="str">
        <f>IFERROR(LOOKUP(2,1/((B_Drainage!$A$5:$A$204&lt;&gt;"")*(B_Drainage!$A$5:$A$204&lt;=$B442)*(B_Drainage!$B$5:$B$204&gt;$B442)*(B_Drainage!$H$5:$H$204&lt;&gt;"")),IF(UPPER(B_Drainage!$H$5:$H$204)="Y",1,"")),"")</f>
        <v/>
      </c>
      <c r="Z442" s="181" t="str">
        <f>IFERROR(LOOKUP(2,1/((B_Drainage!$A$5:$A$204&lt;&gt;"")*(B_Drainage!$A$5:$A$204&lt;=$B442)*(B_Drainage!$B$5:$B$204&gt;$B442)*(B_Drainage!$I$5:$I$204&lt;&gt;"")),IF(UPPER(B_Drainage!$I$5:$I$204)="Y",1,"")),"")</f>
        <v/>
      </c>
      <c r="AA442" s="181" t="str">
        <f>IFERROR(LOOKUP(2,1/((B_Drainage!$A$5:$A$204&lt;&gt;"")*(B_Drainage!$A$5:$A$204&lt;=$B442)*(B_Drainage!$B$5:$B$204&gt;$B442)*(B_Drainage!$J$5:$J$204&lt;&gt;"")),IF(UPPER(B_Drainage!$J$5:$J$204)="Y",1,"")),"")</f>
        <v/>
      </c>
      <c r="AB442" s="182" t="str">
        <f>IFERROR(LOOKUP(2,1/((B_Drainage!$A$5:$A$204&lt;&gt;"")*(B_Drainage!$A$5:$A$204&lt;=$B442)*(B_Drainage!$B$5:$B$204&gt;$B442)*(B_Drainage!$K$5:$K$204&lt;&gt;"")),IF(B_Drainage!$K$5:$K$204="-","",B_Drainage!$K$5:$K$204)),"")</f>
        <v/>
      </c>
      <c r="AC442" s="182" t="str">
        <f>IFERROR(LOOKUP(2,1/((B_Drainage!$A$5:$A$204&lt;&gt;"")*(B_Drainage!$A$5:$A$204&lt;=$B442)*(B_Drainage!$B$5:$B$204&gt;$B442)*(B_Drainage!$L$5:$L$204&lt;&gt;"")),IF(B_Drainage!$L$5:$L$204="-","",B_Drainage!$L$5:$L$204)),"")</f>
        <v/>
      </c>
      <c r="AD442" s="182" t="str">
        <f>IFERROR(LOOKUP(2,1/((D_Points!$A$5:$A$204&lt;&gt;"")*(D_Points!$A$5:$A$204&gt;=$B442)*(D_Points!$A$5:$A$204&lt;$B442+P_Interval)*(UPPER(TRIM(D_Points!$B$5:$B$204))="TURNOUT_L")*(D_Points!$H$5:$H$204&lt;&gt;"")),D_Points!$H$5:$H$204),"")</f>
        <v/>
      </c>
      <c r="AE442" s="182" t="str">
        <f>IFERROR(LOOKUP(2,1/((D_Points!$A$5:$A$204&lt;&gt;"")*(D_Points!$A$5:$A$204&gt;=$B442)*(D_Points!$A$5:$A$204&lt;$B442+P_Interval)*(UPPER(TRIM(D_Points!$B$5:$B$204))="TURNOUT_R")*(D_Points!$H$5:$H$204&lt;&gt;"")),D_Points!$H$5:$H$204),"")</f>
        <v/>
      </c>
      <c r="AF442" s="181" t="str">
        <f>IFERROR(LOOKUP(2,1/((B_Drainage!$A$5:$A$204&lt;&gt;"")*(B_Drainage!$A$5:$A$204&lt;=$B442)*(B_Drainage!$B$5:$B$204&gt;$B442)*(B_Drainage!$M$5:$M$204&lt;&gt;"")),IF(UPPER(B_Drainage!$M$5:$M$204)="Y",1,"")),"")</f>
        <v/>
      </c>
      <c r="AG442" s="181" t="str">
        <f>IFERROR(LOOKUP(2,1/((B_Drainage!$A$5:$A$204&lt;&gt;"")*(B_Drainage!$A$5:$A$204&lt;=$B442)*(B_Drainage!$B$5:$B$204&gt;$B442)*(B_Drainage!$N$5:$N$204&lt;&gt;"")),IF(UPPER(B_Drainage!$N$5:$N$204)="Y",1,"")),"")</f>
        <v/>
      </c>
      <c r="AH442" s="181" t="str">
        <f t="shared" si="48"/>
        <v/>
      </c>
      <c r="AI442" s="181" t="str">
        <f t="shared" si="49"/>
        <v/>
      </c>
      <c r="AJ442" s="181" t="str">
        <f t="shared" si="50"/>
        <v/>
      </c>
      <c r="AK442" s="181" t="str">
        <f t="shared" si="51"/>
        <v/>
      </c>
      <c r="AL442" s="181" t="str">
        <f t="shared" si="52"/>
        <v/>
      </c>
      <c r="AM442" s="181" t="str">
        <f t="shared" si="53"/>
        <v/>
      </c>
      <c r="AN442" s="181" t="str">
        <f t="shared" si="54"/>
        <v/>
      </c>
      <c r="AO442" s="192" t="str">
        <f t="shared" si="55"/>
        <v/>
      </c>
      <c r="AQ442" t="str">
        <f>IFERROR(LOOKUP(2,1/((C_Pavement!$A$5:$A$204&lt;&gt;"")*(C_Pavement!$A$5:$A$204&lt;=$B442)*(C_Pavement!$B$5:$B$204&gt;$B442)*(C_Pavement!$C$5:$C$204&lt;&gt;"")),ROW(C_Pavement!$C$5:$C$204)-4),"")</f>
        <v/>
      </c>
      <c r="AR442" t="str">
        <f>IF($AQ442="","",UPPER(TRIM(INDEX(C_Pavement!$C$5:$C$204,$AQ442))))</f>
        <v/>
      </c>
      <c r="AS442" t="str">
        <f>IF($AR442="","",IFERROR(MATCH($AR442,E_Rules!$A$5:$A$9,0),""))</f>
        <v/>
      </c>
      <c r="AT442" t="str">
        <f>IF($AQ442="","",IF(INDEX(C_Pavement!$D$5:$D$204,$AQ442)&lt;&gt;"",UPPER(TRIM(INDEX(C_Pavement!$D$5:$D$204,$AQ442))),IF($AS442="","",INDEX(E_Rules!$C$5:$C$9,$AS442))))</f>
        <v/>
      </c>
      <c r="AU442" t="str">
        <f>IF($AQ442="","",IF(INDEX(C_Pavement!$E$5:$E$204,$AQ442)&lt;&gt;"",IF(INDEX(C_Pavement!$E$5:$E$204,$AQ442)="-","",INDEX(C_Pavement!$E$5:$E$204,$AQ442)),IF($AS442="","",INDEX(E_Rules!$D$5:$D$9,$AS442))))</f>
        <v/>
      </c>
      <c r="AV442" t="str">
        <f>IF($AQ442="","",IF(INDEX(C_Pavement!$F$5:$F$204,$AQ442)&lt;&gt;"",IF(INDEX(C_Pavement!$F$5:$F$204,$AQ442)="-","",INDEX(C_Pavement!$F$5:$F$204,$AQ442)),IF($AS442="","",INDEX(E_Rules!$E$5:$E$9,$AS442))))</f>
        <v/>
      </c>
      <c r="AW442" t="str">
        <f>IF($AQ442="","",IF(INDEX(C_Pavement!$G$5:$G$204,$AQ442)&lt;&gt;"",IF(INDEX(C_Pavement!$G$5:$G$204,$AQ442)="-","",INDEX(C_Pavement!$G$5:$G$204,$AQ442)),IF($AS442="","",INDEX(E_Rules!$F$5:$F$9,$AS442))))</f>
        <v/>
      </c>
      <c r="AX442" t="str">
        <f>IF($AQ442="","",IF(INDEX(C_Pavement!$H$5:$H$204,$AQ442)&lt;&gt;"",IF(INDEX(C_Pavement!$H$5:$H$204,$AQ442)="-","",INDEX(C_Pavement!$H$5:$H$204,$AQ442)),IF($AS442="","",INDEX(E_Rules!$G$5:$G$9,$AS442))))</f>
        <v/>
      </c>
      <c r="AY442" t="str">
        <f>IF($AQ442="","",IF(INDEX(C_Pavement!$I$5:$I$204,$AQ442)&lt;&gt;"",IF(INDEX(C_Pavement!$I$5:$I$204,$AQ442)="-","",INDEX(C_Pavement!$I$5:$I$204,$AQ442)),IF($AS442="","",INDEX(E_Rules!$H$5:$H$9,$AS442))))</f>
        <v/>
      </c>
    </row>
    <row r="443" spans="1:51" ht="15.75" customHeight="1" x14ac:dyDescent="0.3">
      <c r="A443" s="189">
        <v>438</v>
      </c>
      <c r="B443" s="180">
        <v>21850</v>
      </c>
      <c r="C443" s="180" t="s">
        <v>749</v>
      </c>
      <c r="D443" s="181" t="str">
        <f>IFERROR(LOOKUP(2,1/((A_Corridor!$A$5:$A$204&lt;&gt;"")*(A_Corridor!$A$5:$A$204&lt;=$B443)*(A_Corridor!$B$5:$B$204&gt;$B443)*(A_Corridor!$C$5:$C$204&lt;&gt;"")),IF(UPPER(A_Corridor!$C$5:$C$204)="Y",1,"")),"")</f>
        <v/>
      </c>
      <c r="E443" s="181" t="str">
        <f>IFERROR(LOOKUP(2,1/((A_Corridor!$A$5:$A$204&lt;&gt;"")*(A_Corridor!$A$5:$A$204&lt;=$B443)*(A_Corridor!$B$5:$B$204&gt;$B443)*(A_Corridor!$D$5:$D$204&lt;&gt;"")),IF(A_Corridor!$D$5:$D$204="-","",UPPER(A_Corridor!$D$5:$D$204))),"")</f>
        <v/>
      </c>
      <c r="F443" s="181" t="str">
        <f>IFERROR(LOOKUP(2,1/((A_Corridor!$A$5:$A$204&lt;&gt;"")*(A_Corridor!$A$5:$A$204&lt;=$B443)*(A_Corridor!$B$5:$B$204&gt;$B443)*(A_Corridor!$E$5:$E$204&lt;&gt;"")),IF(A_Corridor!$E$5:$E$204="-","",1)),"")</f>
        <v/>
      </c>
      <c r="G443" s="182" t="str">
        <f>IFERROR(LOOKUP(2,1/((A_Corridor!$A$5:$A$204&lt;&gt;"")*(A_Corridor!$A$5:$A$204&lt;=$B443)*(A_Corridor!$B$5:$B$204&gt;$B443)*(A_Corridor!$E$5:$E$204&lt;&gt;"")),IF(A_Corridor!$E$5:$E$204="-","",A_Corridor!$E$5:$E$204)),"")</f>
        <v/>
      </c>
      <c r="H443" s="182" t="str">
        <f>IFERROR(LOOKUP(2,1/((D_Points!$A$5:$A$204&lt;&gt;"")*(D_Points!$A$5:$A$204&gt;=$B443)*(D_Points!$A$5:$A$204&lt;$B443+P_Interval)*(UPPER(TRIM(D_Points!$B$5:$B$204))="GULLY")*(D_Points!$H$5:$H$204&lt;&gt;"")),D_Points!$H$5:$H$204),"")</f>
        <v/>
      </c>
      <c r="I443" s="181" t="str">
        <f>IFERROR(LOOKUP(2,1/((A_Corridor!$A$5:$A$204&lt;&gt;"")*(A_Corridor!$A$5:$A$204&lt;=$B443)*(A_Corridor!$B$5:$B$204&gt;$B443)*(A_Corridor!$F$5:$F$204&lt;&gt;"")),IF(A_Corridor!$F$5:$F$204="-","",1)),"")</f>
        <v/>
      </c>
      <c r="J443" s="182" t="str">
        <f>IFERROR(LOOKUP(2,1/((A_Corridor!$A$5:$A$204&lt;&gt;"")*(A_Corridor!$A$5:$A$204&lt;=$B443)*(A_Corridor!$B$5:$B$204&gt;$B443)*(A_Corridor!$F$5:$F$204&lt;&gt;"")),IF(A_Corridor!$F$5:$F$204="-","",A_Corridor!$F$5:$F$204)),"")</f>
        <v/>
      </c>
      <c r="K443" s="182" t="str">
        <f>IFERROR(LOOKUP(2,1/((A_Corridor!$A$5:$A$204&lt;&gt;"")*(A_Corridor!$A$5:$A$204&lt;=$B443)*(A_Corridor!$B$5:$B$204&gt;$B443)*(A_Corridor!$G$5:$G$204&lt;&gt;"")),IF(A_Corridor!$G$5:$G$204="-","",A_Corridor!$G$5:$G$204)),"")</f>
        <v/>
      </c>
      <c r="L443" s="181" t="str">
        <f>IFERROR(LOOKUP(2,1/((A_Corridor!$A$5:$A$204&lt;&gt;"")*(A_Corridor!$A$5:$A$204&lt;=$B443)*(A_Corridor!$B$5:$B$204&gt;$B443)*(A_Corridor!$H$5:$H$204&lt;&gt;"")),IF(A_Corridor!$H$5:$H$204="-","",1)),"")</f>
        <v/>
      </c>
      <c r="M443" s="182" t="str">
        <f>IFERROR(LOOKUP(2,1/((A_Corridor!$A$5:$A$204&lt;&gt;"")*(A_Corridor!$A$5:$A$204&lt;=$B443)*(A_Corridor!$B$5:$B$204&gt;$B443)*(A_Corridor!$H$5:$H$204&lt;&gt;"")),IF(A_Corridor!$H$5:$H$204="-","",A_Corridor!$H$5:$H$204)),"")</f>
        <v/>
      </c>
      <c r="N443" s="182" t="str">
        <f>IFERROR(LOOKUP(2,1/((A_Corridor!$A$5:$A$204&lt;&gt;"")*(A_Corridor!$A$5:$A$204&lt;=$B443)*(A_Corridor!$B$5:$B$204&gt;$B443)*(A_Corridor!$I$5:$I$204&lt;&gt;"")),IF(A_Corridor!$I$5:$I$204="-","",A_Corridor!$I$5:$I$204)),"")</f>
        <v/>
      </c>
      <c r="O443" s="182" t="str">
        <f>IFERROR(LOOKUP(2,1/((D_Points!$A$5:$A$204&lt;&gt;"")*(D_Points!$A$5:$A$204&gt;=$B443)*(D_Points!$A$5:$A$204&lt;$B443+P_Interval)*(UPPER(TRIM(D_Points!$B$5:$B$204))="PITCHING")*(D_Points!$H$5:$H$204&lt;&gt;"")),D_Points!$H$5:$H$204),"")</f>
        <v/>
      </c>
      <c r="P443" s="181" t="str">
        <f>IFERROR(LOOKUP(2,1/((B_Drainage!$A$5:$A$204&lt;&gt;"")*(B_Drainage!$A$5:$A$204&lt;=$B443)*(B_Drainage!$B$5:$B$204&gt;$B443)*(B_Drainage!$C$5:$C$204&lt;&gt;"")),IF(B_Drainage!$C$5:$C$204="-","",UPPER(B_Drainage!$C$5:$C$204))),"")</f>
        <v/>
      </c>
      <c r="Q443" s="181" t="str">
        <f>IFERROR(LOOKUP(2,1/((B_Drainage!$A$5:$A$204&lt;&gt;"")*(B_Drainage!$A$5:$A$204&lt;=$B443)*(B_Drainage!$B$5:$B$204&gt;$B443)*(B_Drainage!$D$5:$D$204&lt;&gt;"")),IF(B_Drainage!$D$5:$D$204="-","",UPPER(B_Drainage!$D$5:$D$204))),"")</f>
        <v/>
      </c>
      <c r="R443" s="182" t="str">
        <f>IFERROR(LOOKUP(2,1/((D_Points!$A$5:$A$204&lt;&gt;"")*(D_Points!$A$5:$A$204&gt;=$B443)*(D_Points!$A$5:$A$204&lt;$B443+P_Interval)*(RIGHT(UPPER(TRIM(D_Points!$B$5:$B$204)),8)="_CULVERT")),IF(LEFT(UPPER(TRIM(D_Points!$B$5:$B$204)),2)="EX",1,IF(LEFT(UPPER(TRIM(D_Points!$B$5:$B$204)),2)="PR",2,3))),"")</f>
        <v/>
      </c>
      <c r="S443" s="182" t="str">
        <f>IFERROR(LOOKUP(2,1/((D_Points!$A$5:$A$204&lt;&gt;"")*(D_Points!$A$5:$A$204&gt;=$B443)*(D_Points!$A$5:$A$204&lt;$B443+P_Interval)*(RIGHT(UPPER(TRIM(D_Points!$B$5:$B$204)),7)="_BRIDGE")),IF(LEFT(UPPER(TRIM(D_Points!$B$5:$B$204)),2)="EX",1,IF(LEFT(UPPER(TRIM(D_Points!$B$5:$B$204)),2)="PR",2,2))),"")</f>
        <v/>
      </c>
      <c r="T443" s="181" t="str">
        <f>IFERROR(LOOKUP(2,1/((B_Drainage!$A$5:$A$204&lt;&gt;"")*(B_Drainage!$A$5:$A$204&lt;=$B443)*(B_Drainage!$B$5:$B$204&gt;$B443)*(B_Drainage!$E$5:$E$204&lt;&gt;"")),IF(B_Drainage!$E$5:$E$204="-","",1)),"")</f>
        <v/>
      </c>
      <c r="U443" s="181" t="str">
        <f>IFERROR(LOOKUP(2,1/((B_Drainage!$A$5:$A$204&lt;&gt;"")*(B_Drainage!$A$5:$A$204&lt;=$B443)*(B_Drainage!$B$5:$B$204&gt;$B443)*(B_Drainage!$E$5:$E$204&lt;&gt;"")),IF(B_Drainage!$E$5:$E$204="-","",B_Drainage!$E$5:$E$204)),"")</f>
        <v/>
      </c>
      <c r="V443" s="181" t="str">
        <f>IFERROR(LOOKUP(2,1/((B_Drainage!$A$5:$A$204&lt;&gt;"")*(B_Drainage!$A$5:$A$204&lt;=$B443)*(B_Drainage!$B$5:$B$204&gt;$B443)*(B_Drainage!$F$5:$F$204&lt;&gt;"")),IF(B_Drainage!$F$5:$F$204="-","",1)),"")</f>
        <v/>
      </c>
      <c r="W443" s="181" t="str">
        <f>IFERROR(LOOKUP(2,1/((B_Drainage!$A$5:$A$204&lt;&gt;"")*(B_Drainage!$A$5:$A$204&lt;=$B443)*(B_Drainage!$B$5:$B$204&gt;$B443)*(B_Drainage!$F$5:$F$204&lt;&gt;"")),IF(B_Drainage!$F$5:$F$204="-","",B_Drainage!$F$5:$F$204)),"")</f>
        <v/>
      </c>
      <c r="X443" s="181" t="str">
        <f>IFERROR(LOOKUP(2,1/((B_Drainage!$A$5:$A$204&lt;&gt;"")*(B_Drainage!$A$5:$A$204&lt;=$B443)*(B_Drainage!$B$5:$B$204&gt;$B443)*(B_Drainage!$G$5:$G$204&lt;&gt;"")),IF(UPPER(B_Drainage!$G$5:$G$204)="Y",1,"")),"")</f>
        <v/>
      </c>
      <c r="Y443" s="181" t="str">
        <f>IFERROR(LOOKUP(2,1/((B_Drainage!$A$5:$A$204&lt;&gt;"")*(B_Drainage!$A$5:$A$204&lt;=$B443)*(B_Drainage!$B$5:$B$204&gt;$B443)*(B_Drainage!$H$5:$H$204&lt;&gt;"")),IF(UPPER(B_Drainage!$H$5:$H$204)="Y",1,"")),"")</f>
        <v/>
      </c>
      <c r="Z443" s="181" t="str">
        <f>IFERROR(LOOKUP(2,1/((B_Drainage!$A$5:$A$204&lt;&gt;"")*(B_Drainage!$A$5:$A$204&lt;=$B443)*(B_Drainage!$B$5:$B$204&gt;$B443)*(B_Drainage!$I$5:$I$204&lt;&gt;"")),IF(UPPER(B_Drainage!$I$5:$I$204)="Y",1,"")),"")</f>
        <v/>
      </c>
      <c r="AA443" s="181" t="str">
        <f>IFERROR(LOOKUP(2,1/((B_Drainage!$A$5:$A$204&lt;&gt;"")*(B_Drainage!$A$5:$A$204&lt;=$B443)*(B_Drainage!$B$5:$B$204&gt;$B443)*(B_Drainage!$J$5:$J$204&lt;&gt;"")),IF(UPPER(B_Drainage!$J$5:$J$204)="Y",1,"")),"")</f>
        <v/>
      </c>
      <c r="AB443" s="182" t="str">
        <f>IFERROR(LOOKUP(2,1/((B_Drainage!$A$5:$A$204&lt;&gt;"")*(B_Drainage!$A$5:$A$204&lt;=$B443)*(B_Drainage!$B$5:$B$204&gt;$B443)*(B_Drainage!$K$5:$K$204&lt;&gt;"")),IF(B_Drainage!$K$5:$K$204="-","",B_Drainage!$K$5:$K$204)),"")</f>
        <v/>
      </c>
      <c r="AC443" s="182" t="str">
        <f>IFERROR(LOOKUP(2,1/((B_Drainage!$A$5:$A$204&lt;&gt;"")*(B_Drainage!$A$5:$A$204&lt;=$B443)*(B_Drainage!$B$5:$B$204&gt;$B443)*(B_Drainage!$L$5:$L$204&lt;&gt;"")),IF(B_Drainage!$L$5:$L$204="-","",B_Drainage!$L$5:$L$204)),"")</f>
        <v/>
      </c>
      <c r="AD443" s="182" t="str">
        <f>IFERROR(LOOKUP(2,1/((D_Points!$A$5:$A$204&lt;&gt;"")*(D_Points!$A$5:$A$204&gt;=$B443)*(D_Points!$A$5:$A$204&lt;$B443+P_Interval)*(UPPER(TRIM(D_Points!$B$5:$B$204))="TURNOUT_L")*(D_Points!$H$5:$H$204&lt;&gt;"")),D_Points!$H$5:$H$204),"")</f>
        <v/>
      </c>
      <c r="AE443" s="182" t="str">
        <f>IFERROR(LOOKUP(2,1/((D_Points!$A$5:$A$204&lt;&gt;"")*(D_Points!$A$5:$A$204&gt;=$B443)*(D_Points!$A$5:$A$204&lt;$B443+P_Interval)*(UPPER(TRIM(D_Points!$B$5:$B$204))="TURNOUT_R")*(D_Points!$H$5:$H$204&lt;&gt;"")),D_Points!$H$5:$H$204),"")</f>
        <v/>
      </c>
      <c r="AF443" s="181" t="str">
        <f>IFERROR(LOOKUP(2,1/((B_Drainage!$A$5:$A$204&lt;&gt;"")*(B_Drainage!$A$5:$A$204&lt;=$B443)*(B_Drainage!$B$5:$B$204&gt;$B443)*(B_Drainage!$M$5:$M$204&lt;&gt;"")),IF(UPPER(B_Drainage!$M$5:$M$204)="Y",1,"")),"")</f>
        <v/>
      </c>
      <c r="AG443" s="181" t="str">
        <f>IFERROR(LOOKUP(2,1/((B_Drainage!$A$5:$A$204&lt;&gt;"")*(B_Drainage!$A$5:$A$204&lt;=$B443)*(B_Drainage!$B$5:$B$204&gt;$B443)*(B_Drainage!$N$5:$N$204&lt;&gt;"")),IF(UPPER(B_Drainage!$N$5:$N$204)="Y",1,"")),"")</f>
        <v/>
      </c>
      <c r="AH443" s="181" t="str">
        <f t="shared" si="48"/>
        <v/>
      </c>
      <c r="AI443" s="181" t="str">
        <f t="shared" si="49"/>
        <v/>
      </c>
      <c r="AJ443" s="181" t="str">
        <f t="shared" si="50"/>
        <v/>
      </c>
      <c r="AK443" s="181" t="str">
        <f t="shared" si="51"/>
        <v/>
      </c>
      <c r="AL443" s="181" t="str">
        <f t="shared" si="52"/>
        <v/>
      </c>
      <c r="AM443" s="181" t="str">
        <f t="shared" si="53"/>
        <v/>
      </c>
      <c r="AN443" s="181" t="str">
        <f t="shared" si="54"/>
        <v/>
      </c>
      <c r="AO443" s="192" t="str">
        <f t="shared" si="55"/>
        <v/>
      </c>
      <c r="AQ443" t="str">
        <f>IFERROR(LOOKUP(2,1/((C_Pavement!$A$5:$A$204&lt;&gt;"")*(C_Pavement!$A$5:$A$204&lt;=$B443)*(C_Pavement!$B$5:$B$204&gt;$B443)*(C_Pavement!$C$5:$C$204&lt;&gt;"")),ROW(C_Pavement!$C$5:$C$204)-4),"")</f>
        <v/>
      </c>
      <c r="AR443" t="str">
        <f>IF($AQ443="","",UPPER(TRIM(INDEX(C_Pavement!$C$5:$C$204,$AQ443))))</f>
        <v/>
      </c>
      <c r="AS443" t="str">
        <f>IF($AR443="","",IFERROR(MATCH($AR443,E_Rules!$A$5:$A$9,0),""))</f>
        <v/>
      </c>
      <c r="AT443" t="str">
        <f>IF($AQ443="","",IF(INDEX(C_Pavement!$D$5:$D$204,$AQ443)&lt;&gt;"",UPPER(TRIM(INDEX(C_Pavement!$D$5:$D$204,$AQ443))),IF($AS443="","",INDEX(E_Rules!$C$5:$C$9,$AS443))))</f>
        <v/>
      </c>
      <c r="AU443" t="str">
        <f>IF($AQ443="","",IF(INDEX(C_Pavement!$E$5:$E$204,$AQ443)&lt;&gt;"",IF(INDEX(C_Pavement!$E$5:$E$204,$AQ443)="-","",INDEX(C_Pavement!$E$5:$E$204,$AQ443)),IF($AS443="","",INDEX(E_Rules!$D$5:$D$9,$AS443))))</f>
        <v/>
      </c>
      <c r="AV443" t="str">
        <f>IF($AQ443="","",IF(INDEX(C_Pavement!$F$5:$F$204,$AQ443)&lt;&gt;"",IF(INDEX(C_Pavement!$F$5:$F$204,$AQ443)="-","",INDEX(C_Pavement!$F$5:$F$204,$AQ443)),IF($AS443="","",INDEX(E_Rules!$E$5:$E$9,$AS443))))</f>
        <v/>
      </c>
      <c r="AW443" t="str">
        <f>IF($AQ443="","",IF(INDEX(C_Pavement!$G$5:$G$204,$AQ443)&lt;&gt;"",IF(INDEX(C_Pavement!$G$5:$G$204,$AQ443)="-","",INDEX(C_Pavement!$G$5:$G$204,$AQ443)),IF($AS443="","",INDEX(E_Rules!$F$5:$F$9,$AS443))))</f>
        <v/>
      </c>
      <c r="AX443" t="str">
        <f>IF($AQ443="","",IF(INDEX(C_Pavement!$H$5:$H$204,$AQ443)&lt;&gt;"",IF(INDEX(C_Pavement!$H$5:$H$204,$AQ443)="-","",INDEX(C_Pavement!$H$5:$H$204,$AQ443)),IF($AS443="","",INDEX(E_Rules!$G$5:$G$9,$AS443))))</f>
        <v/>
      </c>
      <c r="AY443" t="str">
        <f>IF($AQ443="","",IF(INDEX(C_Pavement!$I$5:$I$204,$AQ443)&lt;&gt;"",IF(INDEX(C_Pavement!$I$5:$I$204,$AQ443)="-","",INDEX(C_Pavement!$I$5:$I$204,$AQ443)),IF($AS443="","",INDEX(E_Rules!$H$5:$H$9,$AS443))))</f>
        <v/>
      </c>
    </row>
    <row r="444" spans="1:51" ht="15.75" customHeight="1" x14ac:dyDescent="0.3">
      <c r="A444" s="189">
        <v>439</v>
      </c>
      <c r="B444" s="180">
        <v>21900</v>
      </c>
      <c r="C444" s="180" t="s">
        <v>750</v>
      </c>
      <c r="D444" s="181" t="str">
        <f>IFERROR(LOOKUP(2,1/((A_Corridor!$A$5:$A$204&lt;&gt;"")*(A_Corridor!$A$5:$A$204&lt;=$B444)*(A_Corridor!$B$5:$B$204&gt;$B444)*(A_Corridor!$C$5:$C$204&lt;&gt;"")),IF(UPPER(A_Corridor!$C$5:$C$204)="Y",1,"")),"")</f>
        <v/>
      </c>
      <c r="E444" s="181" t="str">
        <f>IFERROR(LOOKUP(2,1/((A_Corridor!$A$5:$A$204&lt;&gt;"")*(A_Corridor!$A$5:$A$204&lt;=$B444)*(A_Corridor!$B$5:$B$204&gt;$B444)*(A_Corridor!$D$5:$D$204&lt;&gt;"")),IF(A_Corridor!$D$5:$D$204="-","",UPPER(A_Corridor!$D$5:$D$204))),"")</f>
        <v/>
      </c>
      <c r="F444" s="181" t="str">
        <f>IFERROR(LOOKUP(2,1/((A_Corridor!$A$5:$A$204&lt;&gt;"")*(A_Corridor!$A$5:$A$204&lt;=$B444)*(A_Corridor!$B$5:$B$204&gt;$B444)*(A_Corridor!$E$5:$E$204&lt;&gt;"")),IF(A_Corridor!$E$5:$E$204="-","",1)),"")</f>
        <v/>
      </c>
      <c r="G444" s="182" t="str">
        <f>IFERROR(LOOKUP(2,1/((A_Corridor!$A$5:$A$204&lt;&gt;"")*(A_Corridor!$A$5:$A$204&lt;=$B444)*(A_Corridor!$B$5:$B$204&gt;$B444)*(A_Corridor!$E$5:$E$204&lt;&gt;"")),IF(A_Corridor!$E$5:$E$204="-","",A_Corridor!$E$5:$E$204)),"")</f>
        <v/>
      </c>
      <c r="H444" s="182" t="str">
        <f>IFERROR(LOOKUP(2,1/((D_Points!$A$5:$A$204&lt;&gt;"")*(D_Points!$A$5:$A$204&gt;=$B444)*(D_Points!$A$5:$A$204&lt;$B444+P_Interval)*(UPPER(TRIM(D_Points!$B$5:$B$204))="GULLY")*(D_Points!$H$5:$H$204&lt;&gt;"")),D_Points!$H$5:$H$204),"")</f>
        <v/>
      </c>
      <c r="I444" s="181" t="str">
        <f>IFERROR(LOOKUP(2,1/((A_Corridor!$A$5:$A$204&lt;&gt;"")*(A_Corridor!$A$5:$A$204&lt;=$B444)*(A_Corridor!$B$5:$B$204&gt;$B444)*(A_Corridor!$F$5:$F$204&lt;&gt;"")),IF(A_Corridor!$F$5:$F$204="-","",1)),"")</f>
        <v/>
      </c>
      <c r="J444" s="182" t="str">
        <f>IFERROR(LOOKUP(2,1/((A_Corridor!$A$5:$A$204&lt;&gt;"")*(A_Corridor!$A$5:$A$204&lt;=$B444)*(A_Corridor!$B$5:$B$204&gt;$B444)*(A_Corridor!$F$5:$F$204&lt;&gt;"")),IF(A_Corridor!$F$5:$F$204="-","",A_Corridor!$F$5:$F$204)),"")</f>
        <v/>
      </c>
      <c r="K444" s="182" t="str">
        <f>IFERROR(LOOKUP(2,1/((A_Corridor!$A$5:$A$204&lt;&gt;"")*(A_Corridor!$A$5:$A$204&lt;=$B444)*(A_Corridor!$B$5:$B$204&gt;$B444)*(A_Corridor!$G$5:$G$204&lt;&gt;"")),IF(A_Corridor!$G$5:$G$204="-","",A_Corridor!$G$5:$G$204)),"")</f>
        <v/>
      </c>
      <c r="L444" s="181" t="str">
        <f>IFERROR(LOOKUP(2,1/((A_Corridor!$A$5:$A$204&lt;&gt;"")*(A_Corridor!$A$5:$A$204&lt;=$B444)*(A_Corridor!$B$5:$B$204&gt;$B444)*(A_Corridor!$H$5:$H$204&lt;&gt;"")),IF(A_Corridor!$H$5:$H$204="-","",1)),"")</f>
        <v/>
      </c>
      <c r="M444" s="182" t="str">
        <f>IFERROR(LOOKUP(2,1/((A_Corridor!$A$5:$A$204&lt;&gt;"")*(A_Corridor!$A$5:$A$204&lt;=$B444)*(A_Corridor!$B$5:$B$204&gt;$B444)*(A_Corridor!$H$5:$H$204&lt;&gt;"")),IF(A_Corridor!$H$5:$H$204="-","",A_Corridor!$H$5:$H$204)),"")</f>
        <v/>
      </c>
      <c r="N444" s="182" t="str">
        <f>IFERROR(LOOKUP(2,1/((A_Corridor!$A$5:$A$204&lt;&gt;"")*(A_Corridor!$A$5:$A$204&lt;=$B444)*(A_Corridor!$B$5:$B$204&gt;$B444)*(A_Corridor!$I$5:$I$204&lt;&gt;"")),IF(A_Corridor!$I$5:$I$204="-","",A_Corridor!$I$5:$I$204)),"")</f>
        <v/>
      </c>
      <c r="O444" s="182" t="str">
        <f>IFERROR(LOOKUP(2,1/((D_Points!$A$5:$A$204&lt;&gt;"")*(D_Points!$A$5:$A$204&gt;=$B444)*(D_Points!$A$5:$A$204&lt;$B444+P_Interval)*(UPPER(TRIM(D_Points!$B$5:$B$204))="PITCHING")*(D_Points!$H$5:$H$204&lt;&gt;"")),D_Points!$H$5:$H$204),"")</f>
        <v/>
      </c>
      <c r="P444" s="181" t="str">
        <f>IFERROR(LOOKUP(2,1/((B_Drainage!$A$5:$A$204&lt;&gt;"")*(B_Drainage!$A$5:$A$204&lt;=$B444)*(B_Drainage!$B$5:$B$204&gt;$B444)*(B_Drainage!$C$5:$C$204&lt;&gt;"")),IF(B_Drainage!$C$5:$C$204="-","",UPPER(B_Drainage!$C$5:$C$204))),"")</f>
        <v/>
      </c>
      <c r="Q444" s="181" t="str">
        <f>IFERROR(LOOKUP(2,1/((B_Drainage!$A$5:$A$204&lt;&gt;"")*(B_Drainage!$A$5:$A$204&lt;=$B444)*(B_Drainage!$B$5:$B$204&gt;$B444)*(B_Drainage!$D$5:$D$204&lt;&gt;"")),IF(B_Drainage!$D$5:$D$204="-","",UPPER(B_Drainage!$D$5:$D$204))),"")</f>
        <v/>
      </c>
      <c r="R444" s="182" t="str">
        <f>IFERROR(LOOKUP(2,1/((D_Points!$A$5:$A$204&lt;&gt;"")*(D_Points!$A$5:$A$204&gt;=$B444)*(D_Points!$A$5:$A$204&lt;$B444+P_Interval)*(RIGHT(UPPER(TRIM(D_Points!$B$5:$B$204)),8)="_CULVERT")),IF(LEFT(UPPER(TRIM(D_Points!$B$5:$B$204)),2)="EX",1,IF(LEFT(UPPER(TRIM(D_Points!$B$5:$B$204)),2)="PR",2,3))),"")</f>
        <v/>
      </c>
      <c r="S444" s="182" t="str">
        <f>IFERROR(LOOKUP(2,1/((D_Points!$A$5:$A$204&lt;&gt;"")*(D_Points!$A$5:$A$204&gt;=$B444)*(D_Points!$A$5:$A$204&lt;$B444+P_Interval)*(RIGHT(UPPER(TRIM(D_Points!$B$5:$B$204)),7)="_BRIDGE")),IF(LEFT(UPPER(TRIM(D_Points!$B$5:$B$204)),2)="EX",1,IF(LEFT(UPPER(TRIM(D_Points!$B$5:$B$204)),2)="PR",2,2))),"")</f>
        <v/>
      </c>
      <c r="T444" s="181" t="str">
        <f>IFERROR(LOOKUP(2,1/((B_Drainage!$A$5:$A$204&lt;&gt;"")*(B_Drainage!$A$5:$A$204&lt;=$B444)*(B_Drainage!$B$5:$B$204&gt;$B444)*(B_Drainage!$E$5:$E$204&lt;&gt;"")),IF(B_Drainage!$E$5:$E$204="-","",1)),"")</f>
        <v/>
      </c>
      <c r="U444" s="181" t="str">
        <f>IFERROR(LOOKUP(2,1/((B_Drainage!$A$5:$A$204&lt;&gt;"")*(B_Drainage!$A$5:$A$204&lt;=$B444)*(B_Drainage!$B$5:$B$204&gt;$B444)*(B_Drainage!$E$5:$E$204&lt;&gt;"")),IF(B_Drainage!$E$5:$E$204="-","",B_Drainage!$E$5:$E$204)),"")</f>
        <v/>
      </c>
      <c r="V444" s="181" t="str">
        <f>IFERROR(LOOKUP(2,1/((B_Drainage!$A$5:$A$204&lt;&gt;"")*(B_Drainage!$A$5:$A$204&lt;=$B444)*(B_Drainage!$B$5:$B$204&gt;$B444)*(B_Drainage!$F$5:$F$204&lt;&gt;"")),IF(B_Drainage!$F$5:$F$204="-","",1)),"")</f>
        <v/>
      </c>
      <c r="W444" s="181" t="str">
        <f>IFERROR(LOOKUP(2,1/((B_Drainage!$A$5:$A$204&lt;&gt;"")*(B_Drainage!$A$5:$A$204&lt;=$B444)*(B_Drainage!$B$5:$B$204&gt;$B444)*(B_Drainage!$F$5:$F$204&lt;&gt;"")),IF(B_Drainage!$F$5:$F$204="-","",B_Drainage!$F$5:$F$204)),"")</f>
        <v/>
      </c>
      <c r="X444" s="181" t="str">
        <f>IFERROR(LOOKUP(2,1/((B_Drainage!$A$5:$A$204&lt;&gt;"")*(B_Drainage!$A$5:$A$204&lt;=$B444)*(B_Drainage!$B$5:$B$204&gt;$B444)*(B_Drainage!$G$5:$G$204&lt;&gt;"")),IF(UPPER(B_Drainage!$G$5:$G$204)="Y",1,"")),"")</f>
        <v/>
      </c>
      <c r="Y444" s="181" t="str">
        <f>IFERROR(LOOKUP(2,1/((B_Drainage!$A$5:$A$204&lt;&gt;"")*(B_Drainage!$A$5:$A$204&lt;=$B444)*(B_Drainage!$B$5:$B$204&gt;$B444)*(B_Drainage!$H$5:$H$204&lt;&gt;"")),IF(UPPER(B_Drainage!$H$5:$H$204)="Y",1,"")),"")</f>
        <v/>
      </c>
      <c r="Z444" s="181" t="str">
        <f>IFERROR(LOOKUP(2,1/((B_Drainage!$A$5:$A$204&lt;&gt;"")*(B_Drainage!$A$5:$A$204&lt;=$B444)*(B_Drainage!$B$5:$B$204&gt;$B444)*(B_Drainage!$I$5:$I$204&lt;&gt;"")),IF(UPPER(B_Drainage!$I$5:$I$204)="Y",1,"")),"")</f>
        <v/>
      </c>
      <c r="AA444" s="181" t="str">
        <f>IFERROR(LOOKUP(2,1/((B_Drainage!$A$5:$A$204&lt;&gt;"")*(B_Drainage!$A$5:$A$204&lt;=$B444)*(B_Drainage!$B$5:$B$204&gt;$B444)*(B_Drainage!$J$5:$J$204&lt;&gt;"")),IF(UPPER(B_Drainage!$J$5:$J$204)="Y",1,"")),"")</f>
        <v/>
      </c>
      <c r="AB444" s="182" t="str">
        <f>IFERROR(LOOKUP(2,1/((B_Drainage!$A$5:$A$204&lt;&gt;"")*(B_Drainage!$A$5:$A$204&lt;=$B444)*(B_Drainage!$B$5:$B$204&gt;$B444)*(B_Drainage!$K$5:$K$204&lt;&gt;"")),IF(B_Drainage!$K$5:$K$204="-","",B_Drainage!$K$5:$K$204)),"")</f>
        <v/>
      </c>
      <c r="AC444" s="182" t="str">
        <f>IFERROR(LOOKUP(2,1/((B_Drainage!$A$5:$A$204&lt;&gt;"")*(B_Drainage!$A$5:$A$204&lt;=$B444)*(B_Drainage!$B$5:$B$204&gt;$B444)*(B_Drainage!$L$5:$L$204&lt;&gt;"")),IF(B_Drainage!$L$5:$L$204="-","",B_Drainage!$L$5:$L$204)),"")</f>
        <v/>
      </c>
      <c r="AD444" s="182" t="str">
        <f>IFERROR(LOOKUP(2,1/((D_Points!$A$5:$A$204&lt;&gt;"")*(D_Points!$A$5:$A$204&gt;=$B444)*(D_Points!$A$5:$A$204&lt;$B444+P_Interval)*(UPPER(TRIM(D_Points!$B$5:$B$204))="TURNOUT_L")*(D_Points!$H$5:$H$204&lt;&gt;"")),D_Points!$H$5:$H$204),"")</f>
        <v/>
      </c>
      <c r="AE444" s="182" t="str">
        <f>IFERROR(LOOKUP(2,1/((D_Points!$A$5:$A$204&lt;&gt;"")*(D_Points!$A$5:$A$204&gt;=$B444)*(D_Points!$A$5:$A$204&lt;$B444+P_Interval)*(UPPER(TRIM(D_Points!$B$5:$B$204))="TURNOUT_R")*(D_Points!$H$5:$H$204&lt;&gt;"")),D_Points!$H$5:$H$204),"")</f>
        <v/>
      </c>
      <c r="AF444" s="181" t="str">
        <f>IFERROR(LOOKUP(2,1/((B_Drainage!$A$5:$A$204&lt;&gt;"")*(B_Drainage!$A$5:$A$204&lt;=$B444)*(B_Drainage!$B$5:$B$204&gt;$B444)*(B_Drainage!$M$5:$M$204&lt;&gt;"")),IF(UPPER(B_Drainage!$M$5:$M$204)="Y",1,"")),"")</f>
        <v/>
      </c>
      <c r="AG444" s="181" t="str">
        <f>IFERROR(LOOKUP(2,1/((B_Drainage!$A$5:$A$204&lt;&gt;"")*(B_Drainage!$A$5:$A$204&lt;=$B444)*(B_Drainage!$B$5:$B$204&gt;$B444)*(B_Drainage!$N$5:$N$204&lt;&gt;"")),IF(UPPER(B_Drainage!$N$5:$N$204)="Y",1,"")),"")</f>
        <v/>
      </c>
      <c r="AH444" s="181" t="str">
        <f t="shared" si="48"/>
        <v/>
      </c>
      <c r="AI444" s="181" t="str">
        <f t="shared" si="49"/>
        <v/>
      </c>
      <c r="AJ444" s="181" t="str">
        <f t="shared" si="50"/>
        <v/>
      </c>
      <c r="AK444" s="181" t="str">
        <f t="shared" si="51"/>
        <v/>
      </c>
      <c r="AL444" s="181" t="str">
        <f t="shared" si="52"/>
        <v/>
      </c>
      <c r="AM444" s="181" t="str">
        <f t="shared" si="53"/>
        <v/>
      </c>
      <c r="AN444" s="181" t="str">
        <f t="shared" si="54"/>
        <v/>
      </c>
      <c r="AO444" s="192" t="str">
        <f t="shared" si="55"/>
        <v/>
      </c>
      <c r="AQ444" t="str">
        <f>IFERROR(LOOKUP(2,1/((C_Pavement!$A$5:$A$204&lt;&gt;"")*(C_Pavement!$A$5:$A$204&lt;=$B444)*(C_Pavement!$B$5:$B$204&gt;$B444)*(C_Pavement!$C$5:$C$204&lt;&gt;"")),ROW(C_Pavement!$C$5:$C$204)-4),"")</f>
        <v/>
      </c>
      <c r="AR444" t="str">
        <f>IF($AQ444="","",UPPER(TRIM(INDEX(C_Pavement!$C$5:$C$204,$AQ444))))</f>
        <v/>
      </c>
      <c r="AS444" t="str">
        <f>IF($AR444="","",IFERROR(MATCH($AR444,E_Rules!$A$5:$A$9,0),""))</f>
        <v/>
      </c>
      <c r="AT444" t="str">
        <f>IF($AQ444="","",IF(INDEX(C_Pavement!$D$5:$D$204,$AQ444)&lt;&gt;"",UPPER(TRIM(INDEX(C_Pavement!$D$5:$D$204,$AQ444))),IF($AS444="","",INDEX(E_Rules!$C$5:$C$9,$AS444))))</f>
        <v/>
      </c>
      <c r="AU444" t="str">
        <f>IF($AQ444="","",IF(INDEX(C_Pavement!$E$5:$E$204,$AQ444)&lt;&gt;"",IF(INDEX(C_Pavement!$E$5:$E$204,$AQ444)="-","",INDEX(C_Pavement!$E$5:$E$204,$AQ444)),IF($AS444="","",INDEX(E_Rules!$D$5:$D$9,$AS444))))</f>
        <v/>
      </c>
      <c r="AV444" t="str">
        <f>IF($AQ444="","",IF(INDEX(C_Pavement!$F$5:$F$204,$AQ444)&lt;&gt;"",IF(INDEX(C_Pavement!$F$5:$F$204,$AQ444)="-","",INDEX(C_Pavement!$F$5:$F$204,$AQ444)),IF($AS444="","",INDEX(E_Rules!$E$5:$E$9,$AS444))))</f>
        <v/>
      </c>
      <c r="AW444" t="str">
        <f>IF($AQ444="","",IF(INDEX(C_Pavement!$G$5:$G$204,$AQ444)&lt;&gt;"",IF(INDEX(C_Pavement!$G$5:$G$204,$AQ444)="-","",INDEX(C_Pavement!$G$5:$G$204,$AQ444)),IF($AS444="","",INDEX(E_Rules!$F$5:$F$9,$AS444))))</f>
        <v/>
      </c>
      <c r="AX444" t="str">
        <f>IF($AQ444="","",IF(INDEX(C_Pavement!$H$5:$H$204,$AQ444)&lt;&gt;"",IF(INDEX(C_Pavement!$H$5:$H$204,$AQ444)="-","",INDEX(C_Pavement!$H$5:$H$204,$AQ444)),IF($AS444="","",INDEX(E_Rules!$G$5:$G$9,$AS444))))</f>
        <v/>
      </c>
      <c r="AY444" t="str">
        <f>IF($AQ444="","",IF(INDEX(C_Pavement!$I$5:$I$204,$AQ444)&lt;&gt;"",IF(INDEX(C_Pavement!$I$5:$I$204,$AQ444)="-","",INDEX(C_Pavement!$I$5:$I$204,$AQ444)),IF($AS444="","",INDEX(E_Rules!$H$5:$H$9,$AS444))))</f>
        <v/>
      </c>
    </row>
    <row r="445" spans="1:51" ht="15.75" customHeight="1" x14ac:dyDescent="0.3">
      <c r="A445" s="189">
        <v>440</v>
      </c>
      <c r="B445" s="180">
        <v>21950</v>
      </c>
      <c r="C445" s="180" t="s">
        <v>751</v>
      </c>
      <c r="D445" s="181" t="str">
        <f>IFERROR(LOOKUP(2,1/((A_Corridor!$A$5:$A$204&lt;&gt;"")*(A_Corridor!$A$5:$A$204&lt;=$B445)*(A_Corridor!$B$5:$B$204&gt;$B445)*(A_Corridor!$C$5:$C$204&lt;&gt;"")),IF(UPPER(A_Corridor!$C$5:$C$204)="Y",1,"")),"")</f>
        <v/>
      </c>
      <c r="E445" s="181" t="str">
        <f>IFERROR(LOOKUP(2,1/((A_Corridor!$A$5:$A$204&lt;&gt;"")*(A_Corridor!$A$5:$A$204&lt;=$B445)*(A_Corridor!$B$5:$B$204&gt;$B445)*(A_Corridor!$D$5:$D$204&lt;&gt;"")),IF(A_Corridor!$D$5:$D$204="-","",UPPER(A_Corridor!$D$5:$D$204))),"")</f>
        <v/>
      </c>
      <c r="F445" s="181" t="str">
        <f>IFERROR(LOOKUP(2,1/((A_Corridor!$A$5:$A$204&lt;&gt;"")*(A_Corridor!$A$5:$A$204&lt;=$B445)*(A_Corridor!$B$5:$B$204&gt;$B445)*(A_Corridor!$E$5:$E$204&lt;&gt;"")),IF(A_Corridor!$E$5:$E$204="-","",1)),"")</f>
        <v/>
      </c>
      <c r="G445" s="182" t="str">
        <f>IFERROR(LOOKUP(2,1/((A_Corridor!$A$5:$A$204&lt;&gt;"")*(A_Corridor!$A$5:$A$204&lt;=$B445)*(A_Corridor!$B$5:$B$204&gt;$B445)*(A_Corridor!$E$5:$E$204&lt;&gt;"")),IF(A_Corridor!$E$5:$E$204="-","",A_Corridor!$E$5:$E$204)),"")</f>
        <v/>
      </c>
      <c r="H445" s="182" t="str">
        <f>IFERROR(LOOKUP(2,1/((D_Points!$A$5:$A$204&lt;&gt;"")*(D_Points!$A$5:$A$204&gt;=$B445)*(D_Points!$A$5:$A$204&lt;$B445+P_Interval)*(UPPER(TRIM(D_Points!$B$5:$B$204))="GULLY")*(D_Points!$H$5:$H$204&lt;&gt;"")),D_Points!$H$5:$H$204),"")</f>
        <v/>
      </c>
      <c r="I445" s="181" t="str">
        <f>IFERROR(LOOKUP(2,1/((A_Corridor!$A$5:$A$204&lt;&gt;"")*(A_Corridor!$A$5:$A$204&lt;=$B445)*(A_Corridor!$B$5:$B$204&gt;$B445)*(A_Corridor!$F$5:$F$204&lt;&gt;"")),IF(A_Corridor!$F$5:$F$204="-","",1)),"")</f>
        <v/>
      </c>
      <c r="J445" s="182" t="str">
        <f>IFERROR(LOOKUP(2,1/((A_Corridor!$A$5:$A$204&lt;&gt;"")*(A_Corridor!$A$5:$A$204&lt;=$B445)*(A_Corridor!$B$5:$B$204&gt;$B445)*(A_Corridor!$F$5:$F$204&lt;&gt;"")),IF(A_Corridor!$F$5:$F$204="-","",A_Corridor!$F$5:$F$204)),"")</f>
        <v/>
      </c>
      <c r="K445" s="182" t="str">
        <f>IFERROR(LOOKUP(2,1/((A_Corridor!$A$5:$A$204&lt;&gt;"")*(A_Corridor!$A$5:$A$204&lt;=$B445)*(A_Corridor!$B$5:$B$204&gt;$B445)*(A_Corridor!$G$5:$G$204&lt;&gt;"")),IF(A_Corridor!$G$5:$G$204="-","",A_Corridor!$G$5:$G$204)),"")</f>
        <v/>
      </c>
      <c r="L445" s="181" t="str">
        <f>IFERROR(LOOKUP(2,1/((A_Corridor!$A$5:$A$204&lt;&gt;"")*(A_Corridor!$A$5:$A$204&lt;=$B445)*(A_Corridor!$B$5:$B$204&gt;$B445)*(A_Corridor!$H$5:$H$204&lt;&gt;"")),IF(A_Corridor!$H$5:$H$204="-","",1)),"")</f>
        <v/>
      </c>
      <c r="M445" s="182" t="str">
        <f>IFERROR(LOOKUP(2,1/((A_Corridor!$A$5:$A$204&lt;&gt;"")*(A_Corridor!$A$5:$A$204&lt;=$B445)*(A_Corridor!$B$5:$B$204&gt;$B445)*(A_Corridor!$H$5:$H$204&lt;&gt;"")),IF(A_Corridor!$H$5:$H$204="-","",A_Corridor!$H$5:$H$204)),"")</f>
        <v/>
      </c>
      <c r="N445" s="182" t="str">
        <f>IFERROR(LOOKUP(2,1/((A_Corridor!$A$5:$A$204&lt;&gt;"")*(A_Corridor!$A$5:$A$204&lt;=$B445)*(A_Corridor!$B$5:$B$204&gt;$B445)*(A_Corridor!$I$5:$I$204&lt;&gt;"")),IF(A_Corridor!$I$5:$I$204="-","",A_Corridor!$I$5:$I$204)),"")</f>
        <v/>
      </c>
      <c r="O445" s="182" t="str">
        <f>IFERROR(LOOKUP(2,1/((D_Points!$A$5:$A$204&lt;&gt;"")*(D_Points!$A$5:$A$204&gt;=$B445)*(D_Points!$A$5:$A$204&lt;$B445+P_Interval)*(UPPER(TRIM(D_Points!$B$5:$B$204))="PITCHING")*(D_Points!$H$5:$H$204&lt;&gt;"")),D_Points!$H$5:$H$204),"")</f>
        <v/>
      </c>
      <c r="P445" s="181" t="str">
        <f>IFERROR(LOOKUP(2,1/((B_Drainage!$A$5:$A$204&lt;&gt;"")*(B_Drainage!$A$5:$A$204&lt;=$B445)*(B_Drainage!$B$5:$B$204&gt;$B445)*(B_Drainage!$C$5:$C$204&lt;&gt;"")),IF(B_Drainage!$C$5:$C$204="-","",UPPER(B_Drainage!$C$5:$C$204))),"")</f>
        <v/>
      </c>
      <c r="Q445" s="181" t="str">
        <f>IFERROR(LOOKUP(2,1/((B_Drainage!$A$5:$A$204&lt;&gt;"")*(B_Drainage!$A$5:$A$204&lt;=$B445)*(B_Drainage!$B$5:$B$204&gt;$B445)*(B_Drainage!$D$5:$D$204&lt;&gt;"")),IF(B_Drainage!$D$5:$D$204="-","",UPPER(B_Drainage!$D$5:$D$204))),"")</f>
        <v/>
      </c>
      <c r="R445" s="182" t="str">
        <f>IFERROR(LOOKUP(2,1/((D_Points!$A$5:$A$204&lt;&gt;"")*(D_Points!$A$5:$A$204&gt;=$B445)*(D_Points!$A$5:$A$204&lt;$B445+P_Interval)*(RIGHT(UPPER(TRIM(D_Points!$B$5:$B$204)),8)="_CULVERT")),IF(LEFT(UPPER(TRIM(D_Points!$B$5:$B$204)),2)="EX",1,IF(LEFT(UPPER(TRIM(D_Points!$B$5:$B$204)),2)="PR",2,3))),"")</f>
        <v/>
      </c>
      <c r="S445" s="182" t="str">
        <f>IFERROR(LOOKUP(2,1/((D_Points!$A$5:$A$204&lt;&gt;"")*(D_Points!$A$5:$A$204&gt;=$B445)*(D_Points!$A$5:$A$204&lt;$B445+P_Interval)*(RIGHT(UPPER(TRIM(D_Points!$B$5:$B$204)),7)="_BRIDGE")),IF(LEFT(UPPER(TRIM(D_Points!$B$5:$B$204)),2)="EX",1,IF(LEFT(UPPER(TRIM(D_Points!$B$5:$B$204)),2)="PR",2,2))),"")</f>
        <v/>
      </c>
      <c r="T445" s="181" t="str">
        <f>IFERROR(LOOKUP(2,1/((B_Drainage!$A$5:$A$204&lt;&gt;"")*(B_Drainage!$A$5:$A$204&lt;=$B445)*(B_Drainage!$B$5:$B$204&gt;$B445)*(B_Drainage!$E$5:$E$204&lt;&gt;"")),IF(B_Drainage!$E$5:$E$204="-","",1)),"")</f>
        <v/>
      </c>
      <c r="U445" s="181" t="str">
        <f>IFERROR(LOOKUP(2,1/((B_Drainage!$A$5:$A$204&lt;&gt;"")*(B_Drainage!$A$5:$A$204&lt;=$B445)*(B_Drainage!$B$5:$B$204&gt;$B445)*(B_Drainage!$E$5:$E$204&lt;&gt;"")),IF(B_Drainage!$E$5:$E$204="-","",B_Drainage!$E$5:$E$204)),"")</f>
        <v/>
      </c>
      <c r="V445" s="181" t="str">
        <f>IFERROR(LOOKUP(2,1/((B_Drainage!$A$5:$A$204&lt;&gt;"")*(B_Drainage!$A$5:$A$204&lt;=$B445)*(B_Drainage!$B$5:$B$204&gt;$B445)*(B_Drainage!$F$5:$F$204&lt;&gt;"")),IF(B_Drainage!$F$5:$F$204="-","",1)),"")</f>
        <v/>
      </c>
      <c r="W445" s="181" t="str">
        <f>IFERROR(LOOKUP(2,1/((B_Drainage!$A$5:$A$204&lt;&gt;"")*(B_Drainage!$A$5:$A$204&lt;=$B445)*(B_Drainage!$B$5:$B$204&gt;$B445)*(B_Drainage!$F$5:$F$204&lt;&gt;"")),IF(B_Drainage!$F$5:$F$204="-","",B_Drainage!$F$5:$F$204)),"")</f>
        <v/>
      </c>
      <c r="X445" s="181" t="str">
        <f>IFERROR(LOOKUP(2,1/((B_Drainage!$A$5:$A$204&lt;&gt;"")*(B_Drainage!$A$5:$A$204&lt;=$B445)*(B_Drainage!$B$5:$B$204&gt;$B445)*(B_Drainage!$G$5:$G$204&lt;&gt;"")),IF(UPPER(B_Drainage!$G$5:$G$204)="Y",1,"")),"")</f>
        <v/>
      </c>
      <c r="Y445" s="181" t="str">
        <f>IFERROR(LOOKUP(2,1/((B_Drainage!$A$5:$A$204&lt;&gt;"")*(B_Drainage!$A$5:$A$204&lt;=$B445)*(B_Drainage!$B$5:$B$204&gt;$B445)*(B_Drainage!$H$5:$H$204&lt;&gt;"")),IF(UPPER(B_Drainage!$H$5:$H$204)="Y",1,"")),"")</f>
        <v/>
      </c>
      <c r="Z445" s="181" t="str">
        <f>IFERROR(LOOKUP(2,1/((B_Drainage!$A$5:$A$204&lt;&gt;"")*(B_Drainage!$A$5:$A$204&lt;=$B445)*(B_Drainage!$B$5:$B$204&gt;$B445)*(B_Drainage!$I$5:$I$204&lt;&gt;"")),IF(UPPER(B_Drainage!$I$5:$I$204)="Y",1,"")),"")</f>
        <v/>
      </c>
      <c r="AA445" s="181" t="str">
        <f>IFERROR(LOOKUP(2,1/((B_Drainage!$A$5:$A$204&lt;&gt;"")*(B_Drainage!$A$5:$A$204&lt;=$B445)*(B_Drainage!$B$5:$B$204&gt;$B445)*(B_Drainage!$J$5:$J$204&lt;&gt;"")),IF(UPPER(B_Drainage!$J$5:$J$204)="Y",1,"")),"")</f>
        <v/>
      </c>
      <c r="AB445" s="182" t="str">
        <f>IFERROR(LOOKUP(2,1/((B_Drainage!$A$5:$A$204&lt;&gt;"")*(B_Drainage!$A$5:$A$204&lt;=$B445)*(B_Drainage!$B$5:$B$204&gt;$B445)*(B_Drainage!$K$5:$K$204&lt;&gt;"")),IF(B_Drainage!$K$5:$K$204="-","",B_Drainage!$K$5:$K$204)),"")</f>
        <v/>
      </c>
      <c r="AC445" s="182" t="str">
        <f>IFERROR(LOOKUP(2,1/((B_Drainage!$A$5:$A$204&lt;&gt;"")*(B_Drainage!$A$5:$A$204&lt;=$B445)*(B_Drainage!$B$5:$B$204&gt;$B445)*(B_Drainage!$L$5:$L$204&lt;&gt;"")),IF(B_Drainage!$L$5:$L$204="-","",B_Drainage!$L$5:$L$204)),"")</f>
        <v/>
      </c>
      <c r="AD445" s="182" t="str">
        <f>IFERROR(LOOKUP(2,1/((D_Points!$A$5:$A$204&lt;&gt;"")*(D_Points!$A$5:$A$204&gt;=$B445)*(D_Points!$A$5:$A$204&lt;$B445+P_Interval)*(UPPER(TRIM(D_Points!$B$5:$B$204))="TURNOUT_L")*(D_Points!$H$5:$H$204&lt;&gt;"")),D_Points!$H$5:$H$204),"")</f>
        <v/>
      </c>
      <c r="AE445" s="182" t="str">
        <f>IFERROR(LOOKUP(2,1/((D_Points!$A$5:$A$204&lt;&gt;"")*(D_Points!$A$5:$A$204&gt;=$B445)*(D_Points!$A$5:$A$204&lt;$B445+P_Interval)*(UPPER(TRIM(D_Points!$B$5:$B$204))="TURNOUT_R")*(D_Points!$H$5:$H$204&lt;&gt;"")),D_Points!$H$5:$H$204),"")</f>
        <v/>
      </c>
      <c r="AF445" s="181" t="str">
        <f>IFERROR(LOOKUP(2,1/((B_Drainage!$A$5:$A$204&lt;&gt;"")*(B_Drainage!$A$5:$A$204&lt;=$B445)*(B_Drainage!$B$5:$B$204&gt;$B445)*(B_Drainage!$M$5:$M$204&lt;&gt;"")),IF(UPPER(B_Drainage!$M$5:$M$204)="Y",1,"")),"")</f>
        <v/>
      </c>
      <c r="AG445" s="181" t="str">
        <f>IFERROR(LOOKUP(2,1/((B_Drainage!$A$5:$A$204&lt;&gt;"")*(B_Drainage!$A$5:$A$204&lt;=$B445)*(B_Drainage!$B$5:$B$204&gt;$B445)*(B_Drainage!$N$5:$N$204&lt;&gt;"")),IF(UPPER(B_Drainage!$N$5:$N$204)="Y",1,"")),"")</f>
        <v/>
      </c>
      <c r="AH445" s="181" t="str">
        <f t="shared" si="48"/>
        <v/>
      </c>
      <c r="AI445" s="181" t="str">
        <f t="shared" si="49"/>
        <v/>
      </c>
      <c r="AJ445" s="181" t="str">
        <f t="shared" si="50"/>
        <v/>
      </c>
      <c r="AK445" s="181" t="str">
        <f t="shared" si="51"/>
        <v/>
      </c>
      <c r="AL445" s="181" t="str">
        <f t="shared" si="52"/>
        <v/>
      </c>
      <c r="AM445" s="181" t="str">
        <f t="shared" si="53"/>
        <v/>
      </c>
      <c r="AN445" s="181" t="str">
        <f t="shared" si="54"/>
        <v/>
      </c>
      <c r="AO445" s="192" t="str">
        <f t="shared" si="55"/>
        <v/>
      </c>
      <c r="AQ445" t="str">
        <f>IFERROR(LOOKUP(2,1/((C_Pavement!$A$5:$A$204&lt;&gt;"")*(C_Pavement!$A$5:$A$204&lt;=$B445)*(C_Pavement!$B$5:$B$204&gt;$B445)*(C_Pavement!$C$5:$C$204&lt;&gt;"")),ROW(C_Pavement!$C$5:$C$204)-4),"")</f>
        <v/>
      </c>
      <c r="AR445" t="str">
        <f>IF($AQ445="","",UPPER(TRIM(INDEX(C_Pavement!$C$5:$C$204,$AQ445))))</f>
        <v/>
      </c>
      <c r="AS445" t="str">
        <f>IF($AR445="","",IFERROR(MATCH($AR445,E_Rules!$A$5:$A$9,0),""))</f>
        <v/>
      </c>
      <c r="AT445" t="str">
        <f>IF($AQ445="","",IF(INDEX(C_Pavement!$D$5:$D$204,$AQ445)&lt;&gt;"",UPPER(TRIM(INDEX(C_Pavement!$D$5:$D$204,$AQ445))),IF($AS445="","",INDEX(E_Rules!$C$5:$C$9,$AS445))))</f>
        <v/>
      </c>
      <c r="AU445" t="str">
        <f>IF($AQ445="","",IF(INDEX(C_Pavement!$E$5:$E$204,$AQ445)&lt;&gt;"",IF(INDEX(C_Pavement!$E$5:$E$204,$AQ445)="-","",INDEX(C_Pavement!$E$5:$E$204,$AQ445)),IF($AS445="","",INDEX(E_Rules!$D$5:$D$9,$AS445))))</f>
        <v/>
      </c>
      <c r="AV445" t="str">
        <f>IF($AQ445="","",IF(INDEX(C_Pavement!$F$5:$F$204,$AQ445)&lt;&gt;"",IF(INDEX(C_Pavement!$F$5:$F$204,$AQ445)="-","",INDEX(C_Pavement!$F$5:$F$204,$AQ445)),IF($AS445="","",INDEX(E_Rules!$E$5:$E$9,$AS445))))</f>
        <v/>
      </c>
      <c r="AW445" t="str">
        <f>IF($AQ445="","",IF(INDEX(C_Pavement!$G$5:$G$204,$AQ445)&lt;&gt;"",IF(INDEX(C_Pavement!$G$5:$G$204,$AQ445)="-","",INDEX(C_Pavement!$G$5:$G$204,$AQ445)),IF($AS445="","",INDEX(E_Rules!$F$5:$F$9,$AS445))))</f>
        <v/>
      </c>
      <c r="AX445" t="str">
        <f>IF($AQ445="","",IF(INDEX(C_Pavement!$H$5:$H$204,$AQ445)&lt;&gt;"",IF(INDEX(C_Pavement!$H$5:$H$204,$AQ445)="-","",INDEX(C_Pavement!$H$5:$H$204,$AQ445)),IF($AS445="","",INDEX(E_Rules!$G$5:$G$9,$AS445))))</f>
        <v/>
      </c>
      <c r="AY445" t="str">
        <f>IF($AQ445="","",IF(INDEX(C_Pavement!$I$5:$I$204,$AQ445)&lt;&gt;"",IF(INDEX(C_Pavement!$I$5:$I$204,$AQ445)="-","",INDEX(C_Pavement!$I$5:$I$204,$AQ445)),IF($AS445="","",INDEX(E_Rules!$H$5:$H$9,$AS445))))</f>
        <v/>
      </c>
    </row>
    <row r="446" spans="1:51" ht="15.75" customHeight="1" x14ac:dyDescent="0.3">
      <c r="A446" s="189">
        <v>441</v>
      </c>
      <c r="B446" s="180">
        <v>22000</v>
      </c>
      <c r="C446" s="180" t="s">
        <v>752</v>
      </c>
      <c r="D446" s="181" t="str">
        <f>IFERROR(LOOKUP(2,1/((A_Corridor!$A$5:$A$204&lt;&gt;"")*(A_Corridor!$A$5:$A$204&lt;=$B446)*(A_Corridor!$B$5:$B$204&gt;$B446)*(A_Corridor!$C$5:$C$204&lt;&gt;"")),IF(UPPER(A_Corridor!$C$5:$C$204)="Y",1,"")),"")</f>
        <v/>
      </c>
      <c r="E446" s="181" t="str">
        <f>IFERROR(LOOKUP(2,1/((A_Corridor!$A$5:$A$204&lt;&gt;"")*(A_Corridor!$A$5:$A$204&lt;=$B446)*(A_Corridor!$B$5:$B$204&gt;$B446)*(A_Corridor!$D$5:$D$204&lt;&gt;"")),IF(A_Corridor!$D$5:$D$204="-","",UPPER(A_Corridor!$D$5:$D$204))),"")</f>
        <v/>
      </c>
      <c r="F446" s="181" t="str">
        <f>IFERROR(LOOKUP(2,1/((A_Corridor!$A$5:$A$204&lt;&gt;"")*(A_Corridor!$A$5:$A$204&lt;=$B446)*(A_Corridor!$B$5:$B$204&gt;$B446)*(A_Corridor!$E$5:$E$204&lt;&gt;"")),IF(A_Corridor!$E$5:$E$204="-","",1)),"")</f>
        <v/>
      </c>
      <c r="G446" s="182" t="str">
        <f>IFERROR(LOOKUP(2,1/((A_Corridor!$A$5:$A$204&lt;&gt;"")*(A_Corridor!$A$5:$A$204&lt;=$B446)*(A_Corridor!$B$5:$B$204&gt;$B446)*(A_Corridor!$E$5:$E$204&lt;&gt;"")),IF(A_Corridor!$E$5:$E$204="-","",A_Corridor!$E$5:$E$204)),"")</f>
        <v/>
      </c>
      <c r="H446" s="182" t="str">
        <f>IFERROR(LOOKUP(2,1/((D_Points!$A$5:$A$204&lt;&gt;"")*(D_Points!$A$5:$A$204&gt;=$B446)*(D_Points!$A$5:$A$204&lt;$B446+P_Interval)*(UPPER(TRIM(D_Points!$B$5:$B$204))="GULLY")*(D_Points!$H$5:$H$204&lt;&gt;"")),D_Points!$H$5:$H$204),"")</f>
        <v/>
      </c>
      <c r="I446" s="181" t="str">
        <f>IFERROR(LOOKUP(2,1/((A_Corridor!$A$5:$A$204&lt;&gt;"")*(A_Corridor!$A$5:$A$204&lt;=$B446)*(A_Corridor!$B$5:$B$204&gt;$B446)*(A_Corridor!$F$5:$F$204&lt;&gt;"")),IF(A_Corridor!$F$5:$F$204="-","",1)),"")</f>
        <v/>
      </c>
      <c r="J446" s="182" t="str">
        <f>IFERROR(LOOKUP(2,1/((A_Corridor!$A$5:$A$204&lt;&gt;"")*(A_Corridor!$A$5:$A$204&lt;=$B446)*(A_Corridor!$B$5:$B$204&gt;$B446)*(A_Corridor!$F$5:$F$204&lt;&gt;"")),IF(A_Corridor!$F$5:$F$204="-","",A_Corridor!$F$5:$F$204)),"")</f>
        <v/>
      </c>
      <c r="K446" s="182" t="str">
        <f>IFERROR(LOOKUP(2,1/((A_Corridor!$A$5:$A$204&lt;&gt;"")*(A_Corridor!$A$5:$A$204&lt;=$B446)*(A_Corridor!$B$5:$B$204&gt;$B446)*(A_Corridor!$G$5:$G$204&lt;&gt;"")),IF(A_Corridor!$G$5:$G$204="-","",A_Corridor!$G$5:$G$204)),"")</f>
        <v/>
      </c>
      <c r="L446" s="181" t="str">
        <f>IFERROR(LOOKUP(2,1/((A_Corridor!$A$5:$A$204&lt;&gt;"")*(A_Corridor!$A$5:$A$204&lt;=$B446)*(A_Corridor!$B$5:$B$204&gt;$B446)*(A_Corridor!$H$5:$H$204&lt;&gt;"")),IF(A_Corridor!$H$5:$H$204="-","",1)),"")</f>
        <v/>
      </c>
      <c r="M446" s="182" t="str">
        <f>IFERROR(LOOKUP(2,1/((A_Corridor!$A$5:$A$204&lt;&gt;"")*(A_Corridor!$A$5:$A$204&lt;=$B446)*(A_Corridor!$B$5:$B$204&gt;$B446)*(A_Corridor!$H$5:$H$204&lt;&gt;"")),IF(A_Corridor!$H$5:$H$204="-","",A_Corridor!$H$5:$H$204)),"")</f>
        <v/>
      </c>
      <c r="N446" s="182" t="str">
        <f>IFERROR(LOOKUP(2,1/((A_Corridor!$A$5:$A$204&lt;&gt;"")*(A_Corridor!$A$5:$A$204&lt;=$B446)*(A_Corridor!$B$5:$B$204&gt;$B446)*(A_Corridor!$I$5:$I$204&lt;&gt;"")),IF(A_Corridor!$I$5:$I$204="-","",A_Corridor!$I$5:$I$204)),"")</f>
        <v/>
      </c>
      <c r="O446" s="182" t="str">
        <f>IFERROR(LOOKUP(2,1/((D_Points!$A$5:$A$204&lt;&gt;"")*(D_Points!$A$5:$A$204&gt;=$B446)*(D_Points!$A$5:$A$204&lt;$B446+P_Interval)*(UPPER(TRIM(D_Points!$B$5:$B$204))="PITCHING")*(D_Points!$H$5:$H$204&lt;&gt;"")),D_Points!$H$5:$H$204),"")</f>
        <v/>
      </c>
      <c r="P446" s="181" t="str">
        <f>IFERROR(LOOKUP(2,1/((B_Drainage!$A$5:$A$204&lt;&gt;"")*(B_Drainage!$A$5:$A$204&lt;=$B446)*(B_Drainage!$B$5:$B$204&gt;$B446)*(B_Drainage!$C$5:$C$204&lt;&gt;"")),IF(B_Drainage!$C$5:$C$204="-","",UPPER(B_Drainage!$C$5:$C$204))),"")</f>
        <v/>
      </c>
      <c r="Q446" s="181" t="str">
        <f>IFERROR(LOOKUP(2,1/((B_Drainage!$A$5:$A$204&lt;&gt;"")*(B_Drainage!$A$5:$A$204&lt;=$B446)*(B_Drainage!$B$5:$B$204&gt;$B446)*(B_Drainage!$D$5:$D$204&lt;&gt;"")),IF(B_Drainage!$D$5:$D$204="-","",UPPER(B_Drainage!$D$5:$D$204))),"")</f>
        <v/>
      </c>
      <c r="R446" s="182" t="str">
        <f>IFERROR(LOOKUP(2,1/((D_Points!$A$5:$A$204&lt;&gt;"")*(D_Points!$A$5:$A$204&gt;=$B446)*(D_Points!$A$5:$A$204&lt;$B446+P_Interval)*(RIGHT(UPPER(TRIM(D_Points!$B$5:$B$204)),8)="_CULVERT")),IF(LEFT(UPPER(TRIM(D_Points!$B$5:$B$204)),2)="EX",1,IF(LEFT(UPPER(TRIM(D_Points!$B$5:$B$204)),2)="PR",2,3))),"")</f>
        <v/>
      </c>
      <c r="S446" s="182" t="str">
        <f>IFERROR(LOOKUP(2,1/((D_Points!$A$5:$A$204&lt;&gt;"")*(D_Points!$A$5:$A$204&gt;=$B446)*(D_Points!$A$5:$A$204&lt;$B446+P_Interval)*(RIGHT(UPPER(TRIM(D_Points!$B$5:$B$204)),7)="_BRIDGE")),IF(LEFT(UPPER(TRIM(D_Points!$B$5:$B$204)),2)="EX",1,IF(LEFT(UPPER(TRIM(D_Points!$B$5:$B$204)),2)="PR",2,2))),"")</f>
        <v/>
      </c>
      <c r="T446" s="181" t="str">
        <f>IFERROR(LOOKUP(2,1/((B_Drainage!$A$5:$A$204&lt;&gt;"")*(B_Drainage!$A$5:$A$204&lt;=$B446)*(B_Drainage!$B$5:$B$204&gt;$B446)*(B_Drainage!$E$5:$E$204&lt;&gt;"")),IF(B_Drainage!$E$5:$E$204="-","",1)),"")</f>
        <v/>
      </c>
      <c r="U446" s="181" t="str">
        <f>IFERROR(LOOKUP(2,1/((B_Drainage!$A$5:$A$204&lt;&gt;"")*(B_Drainage!$A$5:$A$204&lt;=$B446)*(B_Drainage!$B$5:$B$204&gt;$B446)*(B_Drainage!$E$5:$E$204&lt;&gt;"")),IF(B_Drainage!$E$5:$E$204="-","",B_Drainage!$E$5:$E$204)),"")</f>
        <v/>
      </c>
      <c r="V446" s="181" t="str">
        <f>IFERROR(LOOKUP(2,1/((B_Drainage!$A$5:$A$204&lt;&gt;"")*(B_Drainage!$A$5:$A$204&lt;=$B446)*(B_Drainage!$B$5:$B$204&gt;$B446)*(B_Drainage!$F$5:$F$204&lt;&gt;"")),IF(B_Drainage!$F$5:$F$204="-","",1)),"")</f>
        <v/>
      </c>
      <c r="W446" s="181" t="str">
        <f>IFERROR(LOOKUP(2,1/((B_Drainage!$A$5:$A$204&lt;&gt;"")*(B_Drainage!$A$5:$A$204&lt;=$B446)*(B_Drainage!$B$5:$B$204&gt;$B446)*(B_Drainage!$F$5:$F$204&lt;&gt;"")),IF(B_Drainage!$F$5:$F$204="-","",B_Drainage!$F$5:$F$204)),"")</f>
        <v/>
      </c>
      <c r="X446" s="181" t="str">
        <f>IFERROR(LOOKUP(2,1/((B_Drainage!$A$5:$A$204&lt;&gt;"")*(B_Drainage!$A$5:$A$204&lt;=$B446)*(B_Drainage!$B$5:$B$204&gt;$B446)*(B_Drainage!$G$5:$G$204&lt;&gt;"")),IF(UPPER(B_Drainage!$G$5:$G$204)="Y",1,"")),"")</f>
        <v/>
      </c>
      <c r="Y446" s="181" t="str">
        <f>IFERROR(LOOKUP(2,1/((B_Drainage!$A$5:$A$204&lt;&gt;"")*(B_Drainage!$A$5:$A$204&lt;=$B446)*(B_Drainage!$B$5:$B$204&gt;$B446)*(B_Drainage!$H$5:$H$204&lt;&gt;"")),IF(UPPER(B_Drainage!$H$5:$H$204)="Y",1,"")),"")</f>
        <v/>
      </c>
      <c r="Z446" s="181" t="str">
        <f>IFERROR(LOOKUP(2,1/((B_Drainage!$A$5:$A$204&lt;&gt;"")*(B_Drainage!$A$5:$A$204&lt;=$B446)*(B_Drainage!$B$5:$B$204&gt;$B446)*(B_Drainage!$I$5:$I$204&lt;&gt;"")),IF(UPPER(B_Drainage!$I$5:$I$204)="Y",1,"")),"")</f>
        <v/>
      </c>
      <c r="AA446" s="181" t="str">
        <f>IFERROR(LOOKUP(2,1/((B_Drainage!$A$5:$A$204&lt;&gt;"")*(B_Drainage!$A$5:$A$204&lt;=$B446)*(B_Drainage!$B$5:$B$204&gt;$B446)*(B_Drainage!$J$5:$J$204&lt;&gt;"")),IF(UPPER(B_Drainage!$J$5:$J$204)="Y",1,"")),"")</f>
        <v/>
      </c>
      <c r="AB446" s="182" t="str">
        <f>IFERROR(LOOKUP(2,1/((B_Drainage!$A$5:$A$204&lt;&gt;"")*(B_Drainage!$A$5:$A$204&lt;=$B446)*(B_Drainage!$B$5:$B$204&gt;$B446)*(B_Drainage!$K$5:$K$204&lt;&gt;"")),IF(B_Drainage!$K$5:$K$204="-","",B_Drainage!$K$5:$K$204)),"")</f>
        <v/>
      </c>
      <c r="AC446" s="182" t="str">
        <f>IFERROR(LOOKUP(2,1/((B_Drainage!$A$5:$A$204&lt;&gt;"")*(B_Drainage!$A$5:$A$204&lt;=$B446)*(B_Drainage!$B$5:$B$204&gt;$B446)*(B_Drainage!$L$5:$L$204&lt;&gt;"")),IF(B_Drainage!$L$5:$L$204="-","",B_Drainage!$L$5:$L$204)),"")</f>
        <v/>
      </c>
      <c r="AD446" s="182" t="str">
        <f>IFERROR(LOOKUP(2,1/((D_Points!$A$5:$A$204&lt;&gt;"")*(D_Points!$A$5:$A$204&gt;=$B446)*(D_Points!$A$5:$A$204&lt;$B446+P_Interval)*(UPPER(TRIM(D_Points!$B$5:$B$204))="TURNOUT_L")*(D_Points!$H$5:$H$204&lt;&gt;"")),D_Points!$H$5:$H$204),"")</f>
        <v/>
      </c>
      <c r="AE446" s="182" t="str">
        <f>IFERROR(LOOKUP(2,1/((D_Points!$A$5:$A$204&lt;&gt;"")*(D_Points!$A$5:$A$204&gt;=$B446)*(D_Points!$A$5:$A$204&lt;$B446+P_Interval)*(UPPER(TRIM(D_Points!$B$5:$B$204))="TURNOUT_R")*(D_Points!$H$5:$H$204&lt;&gt;"")),D_Points!$H$5:$H$204),"")</f>
        <v/>
      </c>
      <c r="AF446" s="181" t="str">
        <f>IFERROR(LOOKUP(2,1/((B_Drainage!$A$5:$A$204&lt;&gt;"")*(B_Drainage!$A$5:$A$204&lt;=$B446)*(B_Drainage!$B$5:$B$204&gt;$B446)*(B_Drainage!$M$5:$M$204&lt;&gt;"")),IF(UPPER(B_Drainage!$M$5:$M$204)="Y",1,"")),"")</f>
        <v/>
      </c>
      <c r="AG446" s="181" t="str">
        <f>IFERROR(LOOKUP(2,1/((B_Drainage!$A$5:$A$204&lt;&gt;"")*(B_Drainage!$A$5:$A$204&lt;=$B446)*(B_Drainage!$B$5:$B$204&gt;$B446)*(B_Drainage!$N$5:$N$204&lt;&gt;"")),IF(UPPER(B_Drainage!$N$5:$N$204)="Y",1,"")),"")</f>
        <v/>
      </c>
      <c r="AH446" s="181" t="str">
        <f t="shared" si="48"/>
        <v/>
      </c>
      <c r="AI446" s="181" t="str">
        <f t="shared" si="49"/>
        <v/>
      </c>
      <c r="AJ446" s="181" t="str">
        <f t="shared" si="50"/>
        <v/>
      </c>
      <c r="AK446" s="181" t="str">
        <f t="shared" si="51"/>
        <v/>
      </c>
      <c r="AL446" s="181" t="str">
        <f t="shared" si="52"/>
        <v/>
      </c>
      <c r="AM446" s="181" t="str">
        <f t="shared" si="53"/>
        <v/>
      </c>
      <c r="AN446" s="181" t="str">
        <f t="shared" si="54"/>
        <v/>
      </c>
      <c r="AO446" s="192" t="str">
        <f t="shared" si="55"/>
        <v/>
      </c>
      <c r="AQ446" t="str">
        <f>IFERROR(LOOKUP(2,1/((C_Pavement!$A$5:$A$204&lt;&gt;"")*(C_Pavement!$A$5:$A$204&lt;=$B446)*(C_Pavement!$B$5:$B$204&gt;$B446)*(C_Pavement!$C$5:$C$204&lt;&gt;"")),ROW(C_Pavement!$C$5:$C$204)-4),"")</f>
        <v/>
      </c>
      <c r="AR446" t="str">
        <f>IF($AQ446="","",UPPER(TRIM(INDEX(C_Pavement!$C$5:$C$204,$AQ446))))</f>
        <v/>
      </c>
      <c r="AS446" t="str">
        <f>IF($AR446="","",IFERROR(MATCH($AR446,E_Rules!$A$5:$A$9,0),""))</f>
        <v/>
      </c>
      <c r="AT446" t="str">
        <f>IF($AQ446="","",IF(INDEX(C_Pavement!$D$5:$D$204,$AQ446)&lt;&gt;"",UPPER(TRIM(INDEX(C_Pavement!$D$5:$D$204,$AQ446))),IF($AS446="","",INDEX(E_Rules!$C$5:$C$9,$AS446))))</f>
        <v/>
      </c>
      <c r="AU446" t="str">
        <f>IF($AQ446="","",IF(INDEX(C_Pavement!$E$5:$E$204,$AQ446)&lt;&gt;"",IF(INDEX(C_Pavement!$E$5:$E$204,$AQ446)="-","",INDEX(C_Pavement!$E$5:$E$204,$AQ446)),IF($AS446="","",INDEX(E_Rules!$D$5:$D$9,$AS446))))</f>
        <v/>
      </c>
      <c r="AV446" t="str">
        <f>IF($AQ446="","",IF(INDEX(C_Pavement!$F$5:$F$204,$AQ446)&lt;&gt;"",IF(INDEX(C_Pavement!$F$5:$F$204,$AQ446)="-","",INDEX(C_Pavement!$F$5:$F$204,$AQ446)),IF($AS446="","",INDEX(E_Rules!$E$5:$E$9,$AS446))))</f>
        <v/>
      </c>
      <c r="AW446" t="str">
        <f>IF($AQ446="","",IF(INDEX(C_Pavement!$G$5:$G$204,$AQ446)&lt;&gt;"",IF(INDEX(C_Pavement!$G$5:$G$204,$AQ446)="-","",INDEX(C_Pavement!$G$5:$G$204,$AQ446)),IF($AS446="","",INDEX(E_Rules!$F$5:$F$9,$AS446))))</f>
        <v/>
      </c>
      <c r="AX446" t="str">
        <f>IF($AQ446="","",IF(INDEX(C_Pavement!$H$5:$H$204,$AQ446)&lt;&gt;"",IF(INDEX(C_Pavement!$H$5:$H$204,$AQ446)="-","",INDEX(C_Pavement!$H$5:$H$204,$AQ446)),IF($AS446="","",INDEX(E_Rules!$G$5:$G$9,$AS446))))</f>
        <v/>
      </c>
      <c r="AY446" t="str">
        <f>IF($AQ446="","",IF(INDEX(C_Pavement!$I$5:$I$204,$AQ446)&lt;&gt;"",IF(INDEX(C_Pavement!$I$5:$I$204,$AQ446)="-","",INDEX(C_Pavement!$I$5:$I$204,$AQ446)),IF($AS446="","",INDEX(E_Rules!$H$5:$H$9,$AS446))))</f>
        <v/>
      </c>
    </row>
    <row r="447" spans="1:51" ht="15.75" customHeight="1" x14ac:dyDescent="0.3">
      <c r="A447" s="189">
        <v>442</v>
      </c>
      <c r="B447" s="180">
        <v>22050</v>
      </c>
      <c r="C447" s="180" t="s">
        <v>753</v>
      </c>
      <c r="D447" s="181" t="str">
        <f>IFERROR(LOOKUP(2,1/((A_Corridor!$A$5:$A$204&lt;&gt;"")*(A_Corridor!$A$5:$A$204&lt;=$B447)*(A_Corridor!$B$5:$B$204&gt;$B447)*(A_Corridor!$C$5:$C$204&lt;&gt;"")),IF(UPPER(A_Corridor!$C$5:$C$204)="Y",1,"")),"")</f>
        <v/>
      </c>
      <c r="E447" s="181" t="str">
        <f>IFERROR(LOOKUP(2,1/((A_Corridor!$A$5:$A$204&lt;&gt;"")*(A_Corridor!$A$5:$A$204&lt;=$B447)*(A_Corridor!$B$5:$B$204&gt;$B447)*(A_Corridor!$D$5:$D$204&lt;&gt;"")),IF(A_Corridor!$D$5:$D$204="-","",UPPER(A_Corridor!$D$5:$D$204))),"")</f>
        <v/>
      </c>
      <c r="F447" s="181" t="str">
        <f>IFERROR(LOOKUP(2,1/((A_Corridor!$A$5:$A$204&lt;&gt;"")*(A_Corridor!$A$5:$A$204&lt;=$B447)*(A_Corridor!$B$5:$B$204&gt;$B447)*(A_Corridor!$E$5:$E$204&lt;&gt;"")),IF(A_Corridor!$E$5:$E$204="-","",1)),"")</f>
        <v/>
      </c>
      <c r="G447" s="182" t="str">
        <f>IFERROR(LOOKUP(2,1/((A_Corridor!$A$5:$A$204&lt;&gt;"")*(A_Corridor!$A$5:$A$204&lt;=$B447)*(A_Corridor!$B$5:$B$204&gt;$B447)*(A_Corridor!$E$5:$E$204&lt;&gt;"")),IF(A_Corridor!$E$5:$E$204="-","",A_Corridor!$E$5:$E$204)),"")</f>
        <v/>
      </c>
      <c r="H447" s="182" t="str">
        <f>IFERROR(LOOKUP(2,1/((D_Points!$A$5:$A$204&lt;&gt;"")*(D_Points!$A$5:$A$204&gt;=$B447)*(D_Points!$A$5:$A$204&lt;$B447+P_Interval)*(UPPER(TRIM(D_Points!$B$5:$B$204))="GULLY")*(D_Points!$H$5:$H$204&lt;&gt;"")),D_Points!$H$5:$H$204),"")</f>
        <v/>
      </c>
      <c r="I447" s="181" t="str">
        <f>IFERROR(LOOKUP(2,1/((A_Corridor!$A$5:$A$204&lt;&gt;"")*(A_Corridor!$A$5:$A$204&lt;=$B447)*(A_Corridor!$B$5:$B$204&gt;$B447)*(A_Corridor!$F$5:$F$204&lt;&gt;"")),IF(A_Corridor!$F$5:$F$204="-","",1)),"")</f>
        <v/>
      </c>
      <c r="J447" s="182" t="str">
        <f>IFERROR(LOOKUP(2,1/((A_Corridor!$A$5:$A$204&lt;&gt;"")*(A_Corridor!$A$5:$A$204&lt;=$B447)*(A_Corridor!$B$5:$B$204&gt;$B447)*(A_Corridor!$F$5:$F$204&lt;&gt;"")),IF(A_Corridor!$F$5:$F$204="-","",A_Corridor!$F$5:$F$204)),"")</f>
        <v/>
      </c>
      <c r="K447" s="182" t="str">
        <f>IFERROR(LOOKUP(2,1/((A_Corridor!$A$5:$A$204&lt;&gt;"")*(A_Corridor!$A$5:$A$204&lt;=$B447)*(A_Corridor!$B$5:$B$204&gt;$B447)*(A_Corridor!$G$5:$G$204&lt;&gt;"")),IF(A_Corridor!$G$5:$G$204="-","",A_Corridor!$G$5:$G$204)),"")</f>
        <v/>
      </c>
      <c r="L447" s="181" t="str">
        <f>IFERROR(LOOKUP(2,1/((A_Corridor!$A$5:$A$204&lt;&gt;"")*(A_Corridor!$A$5:$A$204&lt;=$B447)*(A_Corridor!$B$5:$B$204&gt;$B447)*(A_Corridor!$H$5:$H$204&lt;&gt;"")),IF(A_Corridor!$H$5:$H$204="-","",1)),"")</f>
        <v/>
      </c>
      <c r="M447" s="182" t="str">
        <f>IFERROR(LOOKUP(2,1/((A_Corridor!$A$5:$A$204&lt;&gt;"")*(A_Corridor!$A$5:$A$204&lt;=$B447)*(A_Corridor!$B$5:$B$204&gt;$B447)*(A_Corridor!$H$5:$H$204&lt;&gt;"")),IF(A_Corridor!$H$5:$H$204="-","",A_Corridor!$H$5:$H$204)),"")</f>
        <v/>
      </c>
      <c r="N447" s="182" t="str">
        <f>IFERROR(LOOKUP(2,1/((A_Corridor!$A$5:$A$204&lt;&gt;"")*(A_Corridor!$A$5:$A$204&lt;=$B447)*(A_Corridor!$B$5:$B$204&gt;$B447)*(A_Corridor!$I$5:$I$204&lt;&gt;"")),IF(A_Corridor!$I$5:$I$204="-","",A_Corridor!$I$5:$I$204)),"")</f>
        <v/>
      </c>
      <c r="O447" s="182" t="str">
        <f>IFERROR(LOOKUP(2,1/((D_Points!$A$5:$A$204&lt;&gt;"")*(D_Points!$A$5:$A$204&gt;=$B447)*(D_Points!$A$5:$A$204&lt;$B447+P_Interval)*(UPPER(TRIM(D_Points!$B$5:$B$204))="PITCHING")*(D_Points!$H$5:$H$204&lt;&gt;"")),D_Points!$H$5:$H$204),"")</f>
        <v/>
      </c>
      <c r="P447" s="181" t="str">
        <f>IFERROR(LOOKUP(2,1/((B_Drainage!$A$5:$A$204&lt;&gt;"")*(B_Drainage!$A$5:$A$204&lt;=$B447)*(B_Drainage!$B$5:$B$204&gt;$B447)*(B_Drainage!$C$5:$C$204&lt;&gt;"")),IF(B_Drainage!$C$5:$C$204="-","",UPPER(B_Drainage!$C$5:$C$204))),"")</f>
        <v/>
      </c>
      <c r="Q447" s="181" t="str">
        <f>IFERROR(LOOKUP(2,1/((B_Drainage!$A$5:$A$204&lt;&gt;"")*(B_Drainage!$A$5:$A$204&lt;=$B447)*(B_Drainage!$B$5:$B$204&gt;$B447)*(B_Drainage!$D$5:$D$204&lt;&gt;"")),IF(B_Drainage!$D$5:$D$204="-","",UPPER(B_Drainage!$D$5:$D$204))),"")</f>
        <v/>
      </c>
      <c r="R447" s="182" t="str">
        <f>IFERROR(LOOKUP(2,1/((D_Points!$A$5:$A$204&lt;&gt;"")*(D_Points!$A$5:$A$204&gt;=$B447)*(D_Points!$A$5:$A$204&lt;$B447+P_Interval)*(RIGHT(UPPER(TRIM(D_Points!$B$5:$B$204)),8)="_CULVERT")),IF(LEFT(UPPER(TRIM(D_Points!$B$5:$B$204)),2)="EX",1,IF(LEFT(UPPER(TRIM(D_Points!$B$5:$B$204)),2)="PR",2,3))),"")</f>
        <v/>
      </c>
      <c r="S447" s="182" t="str">
        <f>IFERROR(LOOKUP(2,1/((D_Points!$A$5:$A$204&lt;&gt;"")*(D_Points!$A$5:$A$204&gt;=$B447)*(D_Points!$A$5:$A$204&lt;$B447+P_Interval)*(RIGHT(UPPER(TRIM(D_Points!$B$5:$B$204)),7)="_BRIDGE")),IF(LEFT(UPPER(TRIM(D_Points!$B$5:$B$204)),2)="EX",1,IF(LEFT(UPPER(TRIM(D_Points!$B$5:$B$204)),2)="PR",2,2))),"")</f>
        <v/>
      </c>
      <c r="T447" s="181" t="str">
        <f>IFERROR(LOOKUP(2,1/((B_Drainage!$A$5:$A$204&lt;&gt;"")*(B_Drainage!$A$5:$A$204&lt;=$B447)*(B_Drainage!$B$5:$B$204&gt;$B447)*(B_Drainage!$E$5:$E$204&lt;&gt;"")),IF(B_Drainage!$E$5:$E$204="-","",1)),"")</f>
        <v/>
      </c>
      <c r="U447" s="181" t="str">
        <f>IFERROR(LOOKUP(2,1/((B_Drainage!$A$5:$A$204&lt;&gt;"")*(B_Drainage!$A$5:$A$204&lt;=$B447)*(B_Drainage!$B$5:$B$204&gt;$B447)*(B_Drainage!$E$5:$E$204&lt;&gt;"")),IF(B_Drainage!$E$5:$E$204="-","",B_Drainage!$E$5:$E$204)),"")</f>
        <v/>
      </c>
      <c r="V447" s="181" t="str">
        <f>IFERROR(LOOKUP(2,1/((B_Drainage!$A$5:$A$204&lt;&gt;"")*(B_Drainage!$A$5:$A$204&lt;=$B447)*(B_Drainage!$B$5:$B$204&gt;$B447)*(B_Drainage!$F$5:$F$204&lt;&gt;"")),IF(B_Drainage!$F$5:$F$204="-","",1)),"")</f>
        <v/>
      </c>
      <c r="W447" s="181" t="str">
        <f>IFERROR(LOOKUP(2,1/((B_Drainage!$A$5:$A$204&lt;&gt;"")*(B_Drainage!$A$5:$A$204&lt;=$B447)*(B_Drainage!$B$5:$B$204&gt;$B447)*(B_Drainage!$F$5:$F$204&lt;&gt;"")),IF(B_Drainage!$F$5:$F$204="-","",B_Drainage!$F$5:$F$204)),"")</f>
        <v/>
      </c>
      <c r="X447" s="181" t="str">
        <f>IFERROR(LOOKUP(2,1/((B_Drainage!$A$5:$A$204&lt;&gt;"")*(B_Drainage!$A$5:$A$204&lt;=$B447)*(B_Drainage!$B$5:$B$204&gt;$B447)*(B_Drainage!$G$5:$G$204&lt;&gt;"")),IF(UPPER(B_Drainage!$G$5:$G$204)="Y",1,"")),"")</f>
        <v/>
      </c>
      <c r="Y447" s="181" t="str">
        <f>IFERROR(LOOKUP(2,1/((B_Drainage!$A$5:$A$204&lt;&gt;"")*(B_Drainage!$A$5:$A$204&lt;=$B447)*(B_Drainage!$B$5:$B$204&gt;$B447)*(B_Drainage!$H$5:$H$204&lt;&gt;"")),IF(UPPER(B_Drainage!$H$5:$H$204)="Y",1,"")),"")</f>
        <v/>
      </c>
      <c r="Z447" s="181" t="str">
        <f>IFERROR(LOOKUP(2,1/((B_Drainage!$A$5:$A$204&lt;&gt;"")*(B_Drainage!$A$5:$A$204&lt;=$B447)*(B_Drainage!$B$5:$B$204&gt;$B447)*(B_Drainage!$I$5:$I$204&lt;&gt;"")),IF(UPPER(B_Drainage!$I$5:$I$204)="Y",1,"")),"")</f>
        <v/>
      </c>
      <c r="AA447" s="181" t="str">
        <f>IFERROR(LOOKUP(2,1/((B_Drainage!$A$5:$A$204&lt;&gt;"")*(B_Drainage!$A$5:$A$204&lt;=$B447)*(B_Drainage!$B$5:$B$204&gt;$B447)*(B_Drainage!$J$5:$J$204&lt;&gt;"")),IF(UPPER(B_Drainage!$J$5:$J$204)="Y",1,"")),"")</f>
        <v/>
      </c>
      <c r="AB447" s="182" t="str">
        <f>IFERROR(LOOKUP(2,1/((B_Drainage!$A$5:$A$204&lt;&gt;"")*(B_Drainage!$A$5:$A$204&lt;=$B447)*(B_Drainage!$B$5:$B$204&gt;$B447)*(B_Drainage!$K$5:$K$204&lt;&gt;"")),IF(B_Drainage!$K$5:$K$204="-","",B_Drainage!$K$5:$K$204)),"")</f>
        <v/>
      </c>
      <c r="AC447" s="182" t="str">
        <f>IFERROR(LOOKUP(2,1/((B_Drainage!$A$5:$A$204&lt;&gt;"")*(B_Drainage!$A$5:$A$204&lt;=$B447)*(B_Drainage!$B$5:$B$204&gt;$B447)*(B_Drainage!$L$5:$L$204&lt;&gt;"")),IF(B_Drainage!$L$5:$L$204="-","",B_Drainage!$L$5:$L$204)),"")</f>
        <v/>
      </c>
      <c r="AD447" s="182" t="str">
        <f>IFERROR(LOOKUP(2,1/((D_Points!$A$5:$A$204&lt;&gt;"")*(D_Points!$A$5:$A$204&gt;=$B447)*(D_Points!$A$5:$A$204&lt;$B447+P_Interval)*(UPPER(TRIM(D_Points!$B$5:$B$204))="TURNOUT_L")*(D_Points!$H$5:$H$204&lt;&gt;"")),D_Points!$H$5:$H$204),"")</f>
        <v/>
      </c>
      <c r="AE447" s="182" t="str">
        <f>IFERROR(LOOKUP(2,1/((D_Points!$A$5:$A$204&lt;&gt;"")*(D_Points!$A$5:$A$204&gt;=$B447)*(D_Points!$A$5:$A$204&lt;$B447+P_Interval)*(UPPER(TRIM(D_Points!$B$5:$B$204))="TURNOUT_R")*(D_Points!$H$5:$H$204&lt;&gt;"")),D_Points!$H$5:$H$204),"")</f>
        <v/>
      </c>
      <c r="AF447" s="181" t="str">
        <f>IFERROR(LOOKUP(2,1/((B_Drainage!$A$5:$A$204&lt;&gt;"")*(B_Drainage!$A$5:$A$204&lt;=$B447)*(B_Drainage!$B$5:$B$204&gt;$B447)*(B_Drainage!$M$5:$M$204&lt;&gt;"")),IF(UPPER(B_Drainage!$M$5:$M$204)="Y",1,"")),"")</f>
        <v/>
      </c>
      <c r="AG447" s="181" t="str">
        <f>IFERROR(LOOKUP(2,1/((B_Drainage!$A$5:$A$204&lt;&gt;"")*(B_Drainage!$A$5:$A$204&lt;=$B447)*(B_Drainage!$B$5:$B$204&gt;$B447)*(B_Drainage!$N$5:$N$204&lt;&gt;"")),IF(UPPER(B_Drainage!$N$5:$N$204)="Y",1,"")),"")</f>
        <v/>
      </c>
      <c r="AH447" s="181" t="str">
        <f t="shared" si="48"/>
        <v/>
      </c>
      <c r="AI447" s="181" t="str">
        <f t="shared" si="49"/>
        <v/>
      </c>
      <c r="AJ447" s="181" t="str">
        <f t="shared" si="50"/>
        <v/>
      </c>
      <c r="AK447" s="181" t="str">
        <f t="shared" si="51"/>
        <v/>
      </c>
      <c r="AL447" s="181" t="str">
        <f t="shared" si="52"/>
        <v/>
      </c>
      <c r="AM447" s="181" t="str">
        <f t="shared" si="53"/>
        <v/>
      </c>
      <c r="AN447" s="181" t="str">
        <f t="shared" si="54"/>
        <v/>
      </c>
      <c r="AO447" s="192" t="str">
        <f t="shared" si="55"/>
        <v/>
      </c>
      <c r="AQ447" t="str">
        <f>IFERROR(LOOKUP(2,1/((C_Pavement!$A$5:$A$204&lt;&gt;"")*(C_Pavement!$A$5:$A$204&lt;=$B447)*(C_Pavement!$B$5:$B$204&gt;$B447)*(C_Pavement!$C$5:$C$204&lt;&gt;"")),ROW(C_Pavement!$C$5:$C$204)-4),"")</f>
        <v/>
      </c>
      <c r="AR447" t="str">
        <f>IF($AQ447="","",UPPER(TRIM(INDEX(C_Pavement!$C$5:$C$204,$AQ447))))</f>
        <v/>
      </c>
      <c r="AS447" t="str">
        <f>IF($AR447="","",IFERROR(MATCH($AR447,E_Rules!$A$5:$A$9,0),""))</f>
        <v/>
      </c>
      <c r="AT447" t="str">
        <f>IF($AQ447="","",IF(INDEX(C_Pavement!$D$5:$D$204,$AQ447)&lt;&gt;"",UPPER(TRIM(INDEX(C_Pavement!$D$5:$D$204,$AQ447))),IF($AS447="","",INDEX(E_Rules!$C$5:$C$9,$AS447))))</f>
        <v/>
      </c>
      <c r="AU447" t="str">
        <f>IF($AQ447="","",IF(INDEX(C_Pavement!$E$5:$E$204,$AQ447)&lt;&gt;"",IF(INDEX(C_Pavement!$E$5:$E$204,$AQ447)="-","",INDEX(C_Pavement!$E$5:$E$204,$AQ447)),IF($AS447="","",INDEX(E_Rules!$D$5:$D$9,$AS447))))</f>
        <v/>
      </c>
      <c r="AV447" t="str">
        <f>IF($AQ447="","",IF(INDEX(C_Pavement!$F$5:$F$204,$AQ447)&lt;&gt;"",IF(INDEX(C_Pavement!$F$5:$F$204,$AQ447)="-","",INDEX(C_Pavement!$F$5:$F$204,$AQ447)),IF($AS447="","",INDEX(E_Rules!$E$5:$E$9,$AS447))))</f>
        <v/>
      </c>
      <c r="AW447" t="str">
        <f>IF($AQ447="","",IF(INDEX(C_Pavement!$G$5:$G$204,$AQ447)&lt;&gt;"",IF(INDEX(C_Pavement!$G$5:$G$204,$AQ447)="-","",INDEX(C_Pavement!$G$5:$G$204,$AQ447)),IF($AS447="","",INDEX(E_Rules!$F$5:$F$9,$AS447))))</f>
        <v/>
      </c>
      <c r="AX447" t="str">
        <f>IF($AQ447="","",IF(INDEX(C_Pavement!$H$5:$H$204,$AQ447)&lt;&gt;"",IF(INDEX(C_Pavement!$H$5:$H$204,$AQ447)="-","",INDEX(C_Pavement!$H$5:$H$204,$AQ447)),IF($AS447="","",INDEX(E_Rules!$G$5:$G$9,$AS447))))</f>
        <v/>
      </c>
      <c r="AY447" t="str">
        <f>IF($AQ447="","",IF(INDEX(C_Pavement!$I$5:$I$204,$AQ447)&lt;&gt;"",IF(INDEX(C_Pavement!$I$5:$I$204,$AQ447)="-","",INDEX(C_Pavement!$I$5:$I$204,$AQ447)),IF($AS447="","",INDEX(E_Rules!$H$5:$H$9,$AS447))))</f>
        <v/>
      </c>
    </row>
    <row r="448" spans="1:51" ht="15.75" customHeight="1" x14ac:dyDescent="0.3">
      <c r="A448" s="189">
        <v>443</v>
      </c>
      <c r="B448" s="180">
        <v>22100</v>
      </c>
      <c r="C448" s="180" t="s">
        <v>754</v>
      </c>
      <c r="D448" s="181" t="str">
        <f>IFERROR(LOOKUP(2,1/((A_Corridor!$A$5:$A$204&lt;&gt;"")*(A_Corridor!$A$5:$A$204&lt;=$B448)*(A_Corridor!$B$5:$B$204&gt;$B448)*(A_Corridor!$C$5:$C$204&lt;&gt;"")),IF(UPPER(A_Corridor!$C$5:$C$204)="Y",1,"")),"")</f>
        <v/>
      </c>
      <c r="E448" s="181" t="str">
        <f>IFERROR(LOOKUP(2,1/((A_Corridor!$A$5:$A$204&lt;&gt;"")*(A_Corridor!$A$5:$A$204&lt;=$B448)*(A_Corridor!$B$5:$B$204&gt;$B448)*(A_Corridor!$D$5:$D$204&lt;&gt;"")),IF(A_Corridor!$D$5:$D$204="-","",UPPER(A_Corridor!$D$5:$D$204))),"")</f>
        <v/>
      </c>
      <c r="F448" s="181" t="str">
        <f>IFERROR(LOOKUP(2,1/((A_Corridor!$A$5:$A$204&lt;&gt;"")*(A_Corridor!$A$5:$A$204&lt;=$B448)*(A_Corridor!$B$5:$B$204&gt;$B448)*(A_Corridor!$E$5:$E$204&lt;&gt;"")),IF(A_Corridor!$E$5:$E$204="-","",1)),"")</f>
        <v/>
      </c>
      <c r="G448" s="182" t="str">
        <f>IFERROR(LOOKUP(2,1/((A_Corridor!$A$5:$A$204&lt;&gt;"")*(A_Corridor!$A$5:$A$204&lt;=$B448)*(A_Corridor!$B$5:$B$204&gt;$B448)*(A_Corridor!$E$5:$E$204&lt;&gt;"")),IF(A_Corridor!$E$5:$E$204="-","",A_Corridor!$E$5:$E$204)),"")</f>
        <v/>
      </c>
      <c r="H448" s="182" t="str">
        <f>IFERROR(LOOKUP(2,1/((D_Points!$A$5:$A$204&lt;&gt;"")*(D_Points!$A$5:$A$204&gt;=$B448)*(D_Points!$A$5:$A$204&lt;$B448+P_Interval)*(UPPER(TRIM(D_Points!$B$5:$B$204))="GULLY")*(D_Points!$H$5:$H$204&lt;&gt;"")),D_Points!$H$5:$H$204),"")</f>
        <v/>
      </c>
      <c r="I448" s="181" t="str">
        <f>IFERROR(LOOKUP(2,1/((A_Corridor!$A$5:$A$204&lt;&gt;"")*(A_Corridor!$A$5:$A$204&lt;=$B448)*(A_Corridor!$B$5:$B$204&gt;$B448)*(A_Corridor!$F$5:$F$204&lt;&gt;"")),IF(A_Corridor!$F$5:$F$204="-","",1)),"")</f>
        <v/>
      </c>
      <c r="J448" s="182" t="str">
        <f>IFERROR(LOOKUP(2,1/((A_Corridor!$A$5:$A$204&lt;&gt;"")*(A_Corridor!$A$5:$A$204&lt;=$B448)*(A_Corridor!$B$5:$B$204&gt;$B448)*(A_Corridor!$F$5:$F$204&lt;&gt;"")),IF(A_Corridor!$F$5:$F$204="-","",A_Corridor!$F$5:$F$204)),"")</f>
        <v/>
      </c>
      <c r="K448" s="182" t="str">
        <f>IFERROR(LOOKUP(2,1/((A_Corridor!$A$5:$A$204&lt;&gt;"")*(A_Corridor!$A$5:$A$204&lt;=$B448)*(A_Corridor!$B$5:$B$204&gt;$B448)*(A_Corridor!$G$5:$G$204&lt;&gt;"")),IF(A_Corridor!$G$5:$G$204="-","",A_Corridor!$G$5:$G$204)),"")</f>
        <v/>
      </c>
      <c r="L448" s="181" t="str">
        <f>IFERROR(LOOKUP(2,1/((A_Corridor!$A$5:$A$204&lt;&gt;"")*(A_Corridor!$A$5:$A$204&lt;=$B448)*(A_Corridor!$B$5:$B$204&gt;$B448)*(A_Corridor!$H$5:$H$204&lt;&gt;"")),IF(A_Corridor!$H$5:$H$204="-","",1)),"")</f>
        <v/>
      </c>
      <c r="M448" s="182" t="str">
        <f>IFERROR(LOOKUP(2,1/((A_Corridor!$A$5:$A$204&lt;&gt;"")*(A_Corridor!$A$5:$A$204&lt;=$B448)*(A_Corridor!$B$5:$B$204&gt;$B448)*(A_Corridor!$H$5:$H$204&lt;&gt;"")),IF(A_Corridor!$H$5:$H$204="-","",A_Corridor!$H$5:$H$204)),"")</f>
        <v/>
      </c>
      <c r="N448" s="182" t="str">
        <f>IFERROR(LOOKUP(2,1/((A_Corridor!$A$5:$A$204&lt;&gt;"")*(A_Corridor!$A$5:$A$204&lt;=$B448)*(A_Corridor!$B$5:$B$204&gt;$B448)*(A_Corridor!$I$5:$I$204&lt;&gt;"")),IF(A_Corridor!$I$5:$I$204="-","",A_Corridor!$I$5:$I$204)),"")</f>
        <v/>
      </c>
      <c r="O448" s="182" t="str">
        <f>IFERROR(LOOKUP(2,1/((D_Points!$A$5:$A$204&lt;&gt;"")*(D_Points!$A$5:$A$204&gt;=$B448)*(D_Points!$A$5:$A$204&lt;$B448+P_Interval)*(UPPER(TRIM(D_Points!$B$5:$B$204))="PITCHING")*(D_Points!$H$5:$H$204&lt;&gt;"")),D_Points!$H$5:$H$204),"")</f>
        <v/>
      </c>
      <c r="P448" s="181" t="str">
        <f>IFERROR(LOOKUP(2,1/((B_Drainage!$A$5:$A$204&lt;&gt;"")*(B_Drainage!$A$5:$A$204&lt;=$B448)*(B_Drainage!$B$5:$B$204&gt;$B448)*(B_Drainage!$C$5:$C$204&lt;&gt;"")),IF(B_Drainage!$C$5:$C$204="-","",UPPER(B_Drainage!$C$5:$C$204))),"")</f>
        <v/>
      </c>
      <c r="Q448" s="181" t="str">
        <f>IFERROR(LOOKUP(2,1/((B_Drainage!$A$5:$A$204&lt;&gt;"")*(B_Drainage!$A$5:$A$204&lt;=$B448)*(B_Drainage!$B$5:$B$204&gt;$B448)*(B_Drainage!$D$5:$D$204&lt;&gt;"")),IF(B_Drainage!$D$5:$D$204="-","",UPPER(B_Drainage!$D$5:$D$204))),"")</f>
        <v/>
      </c>
      <c r="R448" s="182" t="str">
        <f>IFERROR(LOOKUP(2,1/((D_Points!$A$5:$A$204&lt;&gt;"")*(D_Points!$A$5:$A$204&gt;=$B448)*(D_Points!$A$5:$A$204&lt;$B448+P_Interval)*(RIGHT(UPPER(TRIM(D_Points!$B$5:$B$204)),8)="_CULVERT")),IF(LEFT(UPPER(TRIM(D_Points!$B$5:$B$204)),2)="EX",1,IF(LEFT(UPPER(TRIM(D_Points!$B$5:$B$204)),2)="PR",2,3))),"")</f>
        <v/>
      </c>
      <c r="S448" s="182" t="str">
        <f>IFERROR(LOOKUP(2,1/((D_Points!$A$5:$A$204&lt;&gt;"")*(D_Points!$A$5:$A$204&gt;=$B448)*(D_Points!$A$5:$A$204&lt;$B448+P_Interval)*(RIGHT(UPPER(TRIM(D_Points!$B$5:$B$204)),7)="_BRIDGE")),IF(LEFT(UPPER(TRIM(D_Points!$B$5:$B$204)),2)="EX",1,IF(LEFT(UPPER(TRIM(D_Points!$B$5:$B$204)),2)="PR",2,2))),"")</f>
        <v/>
      </c>
      <c r="T448" s="181" t="str">
        <f>IFERROR(LOOKUP(2,1/((B_Drainage!$A$5:$A$204&lt;&gt;"")*(B_Drainage!$A$5:$A$204&lt;=$B448)*(B_Drainage!$B$5:$B$204&gt;$B448)*(B_Drainage!$E$5:$E$204&lt;&gt;"")),IF(B_Drainage!$E$5:$E$204="-","",1)),"")</f>
        <v/>
      </c>
      <c r="U448" s="181" t="str">
        <f>IFERROR(LOOKUP(2,1/((B_Drainage!$A$5:$A$204&lt;&gt;"")*(B_Drainage!$A$5:$A$204&lt;=$B448)*(B_Drainage!$B$5:$B$204&gt;$B448)*(B_Drainage!$E$5:$E$204&lt;&gt;"")),IF(B_Drainage!$E$5:$E$204="-","",B_Drainage!$E$5:$E$204)),"")</f>
        <v/>
      </c>
      <c r="V448" s="181" t="str">
        <f>IFERROR(LOOKUP(2,1/((B_Drainage!$A$5:$A$204&lt;&gt;"")*(B_Drainage!$A$5:$A$204&lt;=$B448)*(B_Drainage!$B$5:$B$204&gt;$B448)*(B_Drainage!$F$5:$F$204&lt;&gt;"")),IF(B_Drainage!$F$5:$F$204="-","",1)),"")</f>
        <v/>
      </c>
      <c r="W448" s="181" t="str">
        <f>IFERROR(LOOKUP(2,1/((B_Drainage!$A$5:$A$204&lt;&gt;"")*(B_Drainage!$A$5:$A$204&lt;=$B448)*(B_Drainage!$B$5:$B$204&gt;$B448)*(B_Drainage!$F$5:$F$204&lt;&gt;"")),IF(B_Drainage!$F$5:$F$204="-","",B_Drainage!$F$5:$F$204)),"")</f>
        <v/>
      </c>
      <c r="X448" s="181" t="str">
        <f>IFERROR(LOOKUP(2,1/((B_Drainage!$A$5:$A$204&lt;&gt;"")*(B_Drainage!$A$5:$A$204&lt;=$B448)*(B_Drainage!$B$5:$B$204&gt;$B448)*(B_Drainage!$G$5:$G$204&lt;&gt;"")),IF(UPPER(B_Drainage!$G$5:$G$204)="Y",1,"")),"")</f>
        <v/>
      </c>
      <c r="Y448" s="181" t="str">
        <f>IFERROR(LOOKUP(2,1/((B_Drainage!$A$5:$A$204&lt;&gt;"")*(B_Drainage!$A$5:$A$204&lt;=$B448)*(B_Drainage!$B$5:$B$204&gt;$B448)*(B_Drainage!$H$5:$H$204&lt;&gt;"")),IF(UPPER(B_Drainage!$H$5:$H$204)="Y",1,"")),"")</f>
        <v/>
      </c>
      <c r="Z448" s="181" t="str">
        <f>IFERROR(LOOKUP(2,1/((B_Drainage!$A$5:$A$204&lt;&gt;"")*(B_Drainage!$A$5:$A$204&lt;=$B448)*(B_Drainage!$B$5:$B$204&gt;$B448)*(B_Drainage!$I$5:$I$204&lt;&gt;"")),IF(UPPER(B_Drainage!$I$5:$I$204)="Y",1,"")),"")</f>
        <v/>
      </c>
      <c r="AA448" s="181" t="str">
        <f>IFERROR(LOOKUP(2,1/((B_Drainage!$A$5:$A$204&lt;&gt;"")*(B_Drainage!$A$5:$A$204&lt;=$B448)*(B_Drainage!$B$5:$B$204&gt;$B448)*(B_Drainage!$J$5:$J$204&lt;&gt;"")),IF(UPPER(B_Drainage!$J$5:$J$204)="Y",1,"")),"")</f>
        <v/>
      </c>
      <c r="AB448" s="182" t="str">
        <f>IFERROR(LOOKUP(2,1/((B_Drainage!$A$5:$A$204&lt;&gt;"")*(B_Drainage!$A$5:$A$204&lt;=$B448)*(B_Drainage!$B$5:$B$204&gt;$B448)*(B_Drainage!$K$5:$K$204&lt;&gt;"")),IF(B_Drainage!$K$5:$K$204="-","",B_Drainage!$K$5:$K$204)),"")</f>
        <v/>
      </c>
      <c r="AC448" s="182" t="str">
        <f>IFERROR(LOOKUP(2,1/((B_Drainage!$A$5:$A$204&lt;&gt;"")*(B_Drainage!$A$5:$A$204&lt;=$B448)*(B_Drainage!$B$5:$B$204&gt;$B448)*(B_Drainage!$L$5:$L$204&lt;&gt;"")),IF(B_Drainage!$L$5:$L$204="-","",B_Drainage!$L$5:$L$204)),"")</f>
        <v/>
      </c>
      <c r="AD448" s="182" t="str">
        <f>IFERROR(LOOKUP(2,1/((D_Points!$A$5:$A$204&lt;&gt;"")*(D_Points!$A$5:$A$204&gt;=$B448)*(D_Points!$A$5:$A$204&lt;$B448+P_Interval)*(UPPER(TRIM(D_Points!$B$5:$B$204))="TURNOUT_L")*(D_Points!$H$5:$H$204&lt;&gt;"")),D_Points!$H$5:$H$204),"")</f>
        <v/>
      </c>
      <c r="AE448" s="182" t="str">
        <f>IFERROR(LOOKUP(2,1/((D_Points!$A$5:$A$204&lt;&gt;"")*(D_Points!$A$5:$A$204&gt;=$B448)*(D_Points!$A$5:$A$204&lt;$B448+P_Interval)*(UPPER(TRIM(D_Points!$B$5:$B$204))="TURNOUT_R")*(D_Points!$H$5:$H$204&lt;&gt;"")),D_Points!$H$5:$H$204),"")</f>
        <v/>
      </c>
      <c r="AF448" s="181" t="str">
        <f>IFERROR(LOOKUP(2,1/((B_Drainage!$A$5:$A$204&lt;&gt;"")*(B_Drainage!$A$5:$A$204&lt;=$B448)*(B_Drainage!$B$5:$B$204&gt;$B448)*(B_Drainage!$M$5:$M$204&lt;&gt;"")),IF(UPPER(B_Drainage!$M$5:$M$204)="Y",1,"")),"")</f>
        <v/>
      </c>
      <c r="AG448" s="181" t="str">
        <f>IFERROR(LOOKUP(2,1/((B_Drainage!$A$5:$A$204&lt;&gt;"")*(B_Drainage!$A$5:$A$204&lt;=$B448)*(B_Drainage!$B$5:$B$204&gt;$B448)*(B_Drainage!$N$5:$N$204&lt;&gt;"")),IF(UPPER(B_Drainage!$N$5:$N$204)="Y",1,"")),"")</f>
        <v/>
      </c>
      <c r="AH448" s="181" t="str">
        <f t="shared" si="48"/>
        <v/>
      </c>
      <c r="AI448" s="181" t="str">
        <f t="shared" si="49"/>
        <v/>
      </c>
      <c r="AJ448" s="181" t="str">
        <f t="shared" si="50"/>
        <v/>
      </c>
      <c r="AK448" s="181" t="str">
        <f t="shared" si="51"/>
        <v/>
      </c>
      <c r="AL448" s="181" t="str">
        <f t="shared" si="52"/>
        <v/>
      </c>
      <c r="AM448" s="181" t="str">
        <f t="shared" si="53"/>
        <v/>
      </c>
      <c r="AN448" s="181" t="str">
        <f t="shared" si="54"/>
        <v/>
      </c>
      <c r="AO448" s="192" t="str">
        <f t="shared" si="55"/>
        <v/>
      </c>
      <c r="AQ448" t="str">
        <f>IFERROR(LOOKUP(2,1/((C_Pavement!$A$5:$A$204&lt;&gt;"")*(C_Pavement!$A$5:$A$204&lt;=$B448)*(C_Pavement!$B$5:$B$204&gt;$B448)*(C_Pavement!$C$5:$C$204&lt;&gt;"")),ROW(C_Pavement!$C$5:$C$204)-4),"")</f>
        <v/>
      </c>
      <c r="AR448" t="str">
        <f>IF($AQ448="","",UPPER(TRIM(INDEX(C_Pavement!$C$5:$C$204,$AQ448))))</f>
        <v/>
      </c>
      <c r="AS448" t="str">
        <f>IF($AR448="","",IFERROR(MATCH($AR448,E_Rules!$A$5:$A$9,0),""))</f>
        <v/>
      </c>
      <c r="AT448" t="str">
        <f>IF($AQ448="","",IF(INDEX(C_Pavement!$D$5:$D$204,$AQ448)&lt;&gt;"",UPPER(TRIM(INDEX(C_Pavement!$D$5:$D$204,$AQ448))),IF($AS448="","",INDEX(E_Rules!$C$5:$C$9,$AS448))))</f>
        <v/>
      </c>
      <c r="AU448" t="str">
        <f>IF($AQ448="","",IF(INDEX(C_Pavement!$E$5:$E$204,$AQ448)&lt;&gt;"",IF(INDEX(C_Pavement!$E$5:$E$204,$AQ448)="-","",INDEX(C_Pavement!$E$5:$E$204,$AQ448)),IF($AS448="","",INDEX(E_Rules!$D$5:$D$9,$AS448))))</f>
        <v/>
      </c>
      <c r="AV448" t="str">
        <f>IF($AQ448="","",IF(INDEX(C_Pavement!$F$5:$F$204,$AQ448)&lt;&gt;"",IF(INDEX(C_Pavement!$F$5:$F$204,$AQ448)="-","",INDEX(C_Pavement!$F$5:$F$204,$AQ448)),IF($AS448="","",INDEX(E_Rules!$E$5:$E$9,$AS448))))</f>
        <v/>
      </c>
      <c r="AW448" t="str">
        <f>IF($AQ448="","",IF(INDEX(C_Pavement!$G$5:$G$204,$AQ448)&lt;&gt;"",IF(INDEX(C_Pavement!$G$5:$G$204,$AQ448)="-","",INDEX(C_Pavement!$G$5:$G$204,$AQ448)),IF($AS448="","",INDEX(E_Rules!$F$5:$F$9,$AS448))))</f>
        <v/>
      </c>
      <c r="AX448" t="str">
        <f>IF($AQ448="","",IF(INDEX(C_Pavement!$H$5:$H$204,$AQ448)&lt;&gt;"",IF(INDEX(C_Pavement!$H$5:$H$204,$AQ448)="-","",INDEX(C_Pavement!$H$5:$H$204,$AQ448)),IF($AS448="","",INDEX(E_Rules!$G$5:$G$9,$AS448))))</f>
        <v/>
      </c>
      <c r="AY448" t="str">
        <f>IF($AQ448="","",IF(INDEX(C_Pavement!$I$5:$I$204,$AQ448)&lt;&gt;"",IF(INDEX(C_Pavement!$I$5:$I$204,$AQ448)="-","",INDEX(C_Pavement!$I$5:$I$204,$AQ448)),IF($AS448="","",INDEX(E_Rules!$H$5:$H$9,$AS448))))</f>
        <v/>
      </c>
    </row>
    <row r="449" spans="1:51" ht="15.75" customHeight="1" x14ac:dyDescent="0.3">
      <c r="A449" s="189">
        <v>444</v>
      </c>
      <c r="B449" s="180">
        <v>22150</v>
      </c>
      <c r="C449" s="180" t="s">
        <v>755</v>
      </c>
      <c r="D449" s="181" t="str">
        <f>IFERROR(LOOKUP(2,1/((A_Corridor!$A$5:$A$204&lt;&gt;"")*(A_Corridor!$A$5:$A$204&lt;=$B449)*(A_Corridor!$B$5:$B$204&gt;$B449)*(A_Corridor!$C$5:$C$204&lt;&gt;"")),IF(UPPER(A_Corridor!$C$5:$C$204)="Y",1,"")),"")</f>
        <v/>
      </c>
      <c r="E449" s="181" t="str">
        <f>IFERROR(LOOKUP(2,1/((A_Corridor!$A$5:$A$204&lt;&gt;"")*(A_Corridor!$A$5:$A$204&lt;=$B449)*(A_Corridor!$B$5:$B$204&gt;$B449)*(A_Corridor!$D$5:$D$204&lt;&gt;"")),IF(A_Corridor!$D$5:$D$204="-","",UPPER(A_Corridor!$D$5:$D$204))),"")</f>
        <v/>
      </c>
      <c r="F449" s="181" t="str">
        <f>IFERROR(LOOKUP(2,1/((A_Corridor!$A$5:$A$204&lt;&gt;"")*(A_Corridor!$A$5:$A$204&lt;=$B449)*(A_Corridor!$B$5:$B$204&gt;$B449)*(A_Corridor!$E$5:$E$204&lt;&gt;"")),IF(A_Corridor!$E$5:$E$204="-","",1)),"")</f>
        <v/>
      </c>
      <c r="G449" s="182" t="str">
        <f>IFERROR(LOOKUP(2,1/((A_Corridor!$A$5:$A$204&lt;&gt;"")*(A_Corridor!$A$5:$A$204&lt;=$B449)*(A_Corridor!$B$5:$B$204&gt;$B449)*(A_Corridor!$E$5:$E$204&lt;&gt;"")),IF(A_Corridor!$E$5:$E$204="-","",A_Corridor!$E$5:$E$204)),"")</f>
        <v/>
      </c>
      <c r="H449" s="182" t="str">
        <f>IFERROR(LOOKUP(2,1/((D_Points!$A$5:$A$204&lt;&gt;"")*(D_Points!$A$5:$A$204&gt;=$B449)*(D_Points!$A$5:$A$204&lt;$B449+P_Interval)*(UPPER(TRIM(D_Points!$B$5:$B$204))="GULLY")*(D_Points!$H$5:$H$204&lt;&gt;"")),D_Points!$H$5:$H$204),"")</f>
        <v/>
      </c>
      <c r="I449" s="181" t="str">
        <f>IFERROR(LOOKUP(2,1/((A_Corridor!$A$5:$A$204&lt;&gt;"")*(A_Corridor!$A$5:$A$204&lt;=$B449)*(A_Corridor!$B$5:$B$204&gt;$B449)*(A_Corridor!$F$5:$F$204&lt;&gt;"")),IF(A_Corridor!$F$5:$F$204="-","",1)),"")</f>
        <v/>
      </c>
      <c r="J449" s="182" t="str">
        <f>IFERROR(LOOKUP(2,1/((A_Corridor!$A$5:$A$204&lt;&gt;"")*(A_Corridor!$A$5:$A$204&lt;=$B449)*(A_Corridor!$B$5:$B$204&gt;$B449)*(A_Corridor!$F$5:$F$204&lt;&gt;"")),IF(A_Corridor!$F$5:$F$204="-","",A_Corridor!$F$5:$F$204)),"")</f>
        <v/>
      </c>
      <c r="K449" s="182" t="str">
        <f>IFERROR(LOOKUP(2,1/((A_Corridor!$A$5:$A$204&lt;&gt;"")*(A_Corridor!$A$5:$A$204&lt;=$B449)*(A_Corridor!$B$5:$B$204&gt;$B449)*(A_Corridor!$G$5:$G$204&lt;&gt;"")),IF(A_Corridor!$G$5:$G$204="-","",A_Corridor!$G$5:$G$204)),"")</f>
        <v/>
      </c>
      <c r="L449" s="181" t="str">
        <f>IFERROR(LOOKUP(2,1/((A_Corridor!$A$5:$A$204&lt;&gt;"")*(A_Corridor!$A$5:$A$204&lt;=$B449)*(A_Corridor!$B$5:$B$204&gt;$B449)*(A_Corridor!$H$5:$H$204&lt;&gt;"")),IF(A_Corridor!$H$5:$H$204="-","",1)),"")</f>
        <v/>
      </c>
      <c r="M449" s="182" t="str">
        <f>IFERROR(LOOKUP(2,1/((A_Corridor!$A$5:$A$204&lt;&gt;"")*(A_Corridor!$A$5:$A$204&lt;=$B449)*(A_Corridor!$B$5:$B$204&gt;$B449)*(A_Corridor!$H$5:$H$204&lt;&gt;"")),IF(A_Corridor!$H$5:$H$204="-","",A_Corridor!$H$5:$H$204)),"")</f>
        <v/>
      </c>
      <c r="N449" s="182" t="str">
        <f>IFERROR(LOOKUP(2,1/((A_Corridor!$A$5:$A$204&lt;&gt;"")*(A_Corridor!$A$5:$A$204&lt;=$B449)*(A_Corridor!$B$5:$B$204&gt;$B449)*(A_Corridor!$I$5:$I$204&lt;&gt;"")),IF(A_Corridor!$I$5:$I$204="-","",A_Corridor!$I$5:$I$204)),"")</f>
        <v/>
      </c>
      <c r="O449" s="182" t="str">
        <f>IFERROR(LOOKUP(2,1/((D_Points!$A$5:$A$204&lt;&gt;"")*(D_Points!$A$5:$A$204&gt;=$B449)*(D_Points!$A$5:$A$204&lt;$B449+P_Interval)*(UPPER(TRIM(D_Points!$B$5:$B$204))="PITCHING")*(D_Points!$H$5:$H$204&lt;&gt;"")),D_Points!$H$5:$H$204),"")</f>
        <v/>
      </c>
      <c r="P449" s="181" t="str">
        <f>IFERROR(LOOKUP(2,1/((B_Drainage!$A$5:$A$204&lt;&gt;"")*(B_Drainage!$A$5:$A$204&lt;=$B449)*(B_Drainage!$B$5:$B$204&gt;$B449)*(B_Drainage!$C$5:$C$204&lt;&gt;"")),IF(B_Drainage!$C$5:$C$204="-","",UPPER(B_Drainage!$C$5:$C$204))),"")</f>
        <v/>
      </c>
      <c r="Q449" s="181" t="str">
        <f>IFERROR(LOOKUP(2,1/((B_Drainage!$A$5:$A$204&lt;&gt;"")*(B_Drainage!$A$5:$A$204&lt;=$B449)*(B_Drainage!$B$5:$B$204&gt;$B449)*(B_Drainage!$D$5:$D$204&lt;&gt;"")),IF(B_Drainage!$D$5:$D$204="-","",UPPER(B_Drainage!$D$5:$D$204))),"")</f>
        <v/>
      </c>
      <c r="R449" s="182" t="str">
        <f>IFERROR(LOOKUP(2,1/((D_Points!$A$5:$A$204&lt;&gt;"")*(D_Points!$A$5:$A$204&gt;=$B449)*(D_Points!$A$5:$A$204&lt;$B449+P_Interval)*(RIGHT(UPPER(TRIM(D_Points!$B$5:$B$204)),8)="_CULVERT")),IF(LEFT(UPPER(TRIM(D_Points!$B$5:$B$204)),2)="EX",1,IF(LEFT(UPPER(TRIM(D_Points!$B$5:$B$204)),2)="PR",2,3))),"")</f>
        <v/>
      </c>
      <c r="S449" s="182" t="str">
        <f>IFERROR(LOOKUP(2,1/((D_Points!$A$5:$A$204&lt;&gt;"")*(D_Points!$A$5:$A$204&gt;=$B449)*(D_Points!$A$5:$A$204&lt;$B449+P_Interval)*(RIGHT(UPPER(TRIM(D_Points!$B$5:$B$204)),7)="_BRIDGE")),IF(LEFT(UPPER(TRIM(D_Points!$B$5:$B$204)),2)="EX",1,IF(LEFT(UPPER(TRIM(D_Points!$B$5:$B$204)),2)="PR",2,2))),"")</f>
        <v/>
      </c>
      <c r="T449" s="181" t="str">
        <f>IFERROR(LOOKUP(2,1/((B_Drainage!$A$5:$A$204&lt;&gt;"")*(B_Drainage!$A$5:$A$204&lt;=$B449)*(B_Drainage!$B$5:$B$204&gt;$B449)*(B_Drainage!$E$5:$E$204&lt;&gt;"")),IF(B_Drainage!$E$5:$E$204="-","",1)),"")</f>
        <v/>
      </c>
      <c r="U449" s="181" t="str">
        <f>IFERROR(LOOKUP(2,1/((B_Drainage!$A$5:$A$204&lt;&gt;"")*(B_Drainage!$A$5:$A$204&lt;=$B449)*(B_Drainage!$B$5:$B$204&gt;$B449)*(B_Drainage!$E$5:$E$204&lt;&gt;"")),IF(B_Drainage!$E$5:$E$204="-","",B_Drainage!$E$5:$E$204)),"")</f>
        <v/>
      </c>
      <c r="V449" s="181" t="str">
        <f>IFERROR(LOOKUP(2,1/((B_Drainage!$A$5:$A$204&lt;&gt;"")*(B_Drainage!$A$5:$A$204&lt;=$B449)*(B_Drainage!$B$5:$B$204&gt;$B449)*(B_Drainage!$F$5:$F$204&lt;&gt;"")),IF(B_Drainage!$F$5:$F$204="-","",1)),"")</f>
        <v/>
      </c>
      <c r="W449" s="181" t="str">
        <f>IFERROR(LOOKUP(2,1/((B_Drainage!$A$5:$A$204&lt;&gt;"")*(B_Drainage!$A$5:$A$204&lt;=$B449)*(B_Drainage!$B$5:$B$204&gt;$B449)*(B_Drainage!$F$5:$F$204&lt;&gt;"")),IF(B_Drainage!$F$5:$F$204="-","",B_Drainage!$F$5:$F$204)),"")</f>
        <v/>
      </c>
      <c r="X449" s="181" t="str">
        <f>IFERROR(LOOKUP(2,1/((B_Drainage!$A$5:$A$204&lt;&gt;"")*(B_Drainage!$A$5:$A$204&lt;=$B449)*(B_Drainage!$B$5:$B$204&gt;$B449)*(B_Drainage!$G$5:$G$204&lt;&gt;"")),IF(UPPER(B_Drainage!$G$5:$G$204)="Y",1,"")),"")</f>
        <v/>
      </c>
      <c r="Y449" s="181" t="str">
        <f>IFERROR(LOOKUP(2,1/((B_Drainage!$A$5:$A$204&lt;&gt;"")*(B_Drainage!$A$5:$A$204&lt;=$B449)*(B_Drainage!$B$5:$B$204&gt;$B449)*(B_Drainage!$H$5:$H$204&lt;&gt;"")),IF(UPPER(B_Drainage!$H$5:$H$204)="Y",1,"")),"")</f>
        <v/>
      </c>
      <c r="Z449" s="181" t="str">
        <f>IFERROR(LOOKUP(2,1/((B_Drainage!$A$5:$A$204&lt;&gt;"")*(B_Drainage!$A$5:$A$204&lt;=$B449)*(B_Drainage!$B$5:$B$204&gt;$B449)*(B_Drainage!$I$5:$I$204&lt;&gt;"")),IF(UPPER(B_Drainage!$I$5:$I$204)="Y",1,"")),"")</f>
        <v/>
      </c>
      <c r="AA449" s="181" t="str">
        <f>IFERROR(LOOKUP(2,1/((B_Drainage!$A$5:$A$204&lt;&gt;"")*(B_Drainage!$A$5:$A$204&lt;=$B449)*(B_Drainage!$B$5:$B$204&gt;$B449)*(B_Drainage!$J$5:$J$204&lt;&gt;"")),IF(UPPER(B_Drainage!$J$5:$J$204)="Y",1,"")),"")</f>
        <v/>
      </c>
      <c r="AB449" s="182" t="str">
        <f>IFERROR(LOOKUP(2,1/((B_Drainage!$A$5:$A$204&lt;&gt;"")*(B_Drainage!$A$5:$A$204&lt;=$B449)*(B_Drainage!$B$5:$B$204&gt;$B449)*(B_Drainage!$K$5:$K$204&lt;&gt;"")),IF(B_Drainage!$K$5:$K$204="-","",B_Drainage!$K$5:$K$204)),"")</f>
        <v/>
      </c>
      <c r="AC449" s="182" t="str">
        <f>IFERROR(LOOKUP(2,1/((B_Drainage!$A$5:$A$204&lt;&gt;"")*(B_Drainage!$A$5:$A$204&lt;=$B449)*(B_Drainage!$B$5:$B$204&gt;$B449)*(B_Drainage!$L$5:$L$204&lt;&gt;"")),IF(B_Drainage!$L$5:$L$204="-","",B_Drainage!$L$5:$L$204)),"")</f>
        <v/>
      </c>
      <c r="AD449" s="182" t="str">
        <f>IFERROR(LOOKUP(2,1/((D_Points!$A$5:$A$204&lt;&gt;"")*(D_Points!$A$5:$A$204&gt;=$B449)*(D_Points!$A$5:$A$204&lt;$B449+P_Interval)*(UPPER(TRIM(D_Points!$B$5:$B$204))="TURNOUT_L")*(D_Points!$H$5:$H$204&lt;&gt;"")),D_Points!$H$5:$H$204),"")</f>
        <v/>
      </c>
      <c r="AE449" s="182" t="str">
        <f>IFERROR(LOOKUP(2,1/((D_Points!$A$5:$A$204&lt;&gt;"")*(D_Points!$A$5:$A$204&gt;=$B449)*(D_Points!$A$5:$A$204&lt;$B449+P_Interval)*(UPPER(TRIM(D_Points!$B$5:$B$204))="TURNOUT_R")*(D_Points!$H$5:$H$204&lt;&gt;"")),D_Points!$H$5:$H$204),"")</f>
        <v/>
      </c>
      <c r="AF449" s="181" t="str">
        <f>IFERROR(LOOKUP(2,1/((B_Drainage!$A$5:$A$204&lt;&gt;"")*(B_Drainage!$A$5:$A$204&lt;=$B449)*(B_Drainage!$B$5:$B$204&gt;$B449)*(B_Drainage!$M$5:$M$204&lt;&gt;"")),IF(UPPER(B_Drainage!$M$5:$M$204)="Y",1,"")),"")</f>
        <v/>
      </c>
      <c r="AG449" s="181" t="str">
        <f>IFERROR(LOOKUP(2,1/((B_Drainage!$A$5:$A$204&lt;&gt;"")*(B_Drainage!$A$5:$A$204&lt;=$B449)*(B_Drainage!$B$5:$B$204&gt;$B449)*(B_Drainage!$N$5:$N$204&lt;&gt;"")),IF(UPPER(B_Drainage!$N$5:$N$204)="Y",1,"")),"")</f>
        <v/>
      </c>
      <c r="AH449" s="181" t="str">
        <f t="shared" si="48"/>
        <v/>
      </c>
      <c r="AI449" s="181" t="str">
        <f t="shared" si="49"/>
        <v/>
      </c>
      <c r="AJ449" s="181" t="str">
        <f t="shared" si="50"/>
        <v/>
      </c>
      <c r="AK449" s="181" t="str">
        <f t="shared" si="51"/>
        <v/>
      </c>
      <c r="AL449" s="181" t="str">
        <f t="shared" si="52"/>
        <v/>
      </c>
      <c r="AM449" s="181" t="str">
        <f t="shared" si="53"/>
        <v/>
      </c>
      <c r="AN449" s="181" t="str">
        <f t="shared" si="54"/>
        <v/>
      </c>
      <c r="AO449" s="192" t="str">
        <f t="shared" si="55"/>
        <v/>
      </c>
      <c r="AQ449" t="str">
        <f>IFERROR(LOOKUP(2,1/((C_Pavement!$A$5:$A$204&lt;&gt;"")*(C_Pavement!$A$5:$A$204&lt;=$B449)*(C_Pavement!$B$5:$B$204&gt;$B449)*(C_Pavement!$C$5:$C$204&lt;&gt;"")),ROW(C_Pavement!$C$5:$C$204)-4),"")</f>
        <v/>
      </c>
      <c r="AR449" t="str">
        <f>IF($AQ449="","",UPPER(TRIM(INDEX(C_Pavement!$C$5:$C$204,$AQ449))))</f>
        <v/>
      </c>
      <c r="AS449" t="str">
        <f>IF($AR449="","",IFERROR(MATCH($AR449,E_Rules!$A$5:$A$9,0),""))</f>
        <v/>
      </c>
      <c r="AT449" t="str">
        <f>IF($AQ449="","",IF(INDEX(C_Pavement!$D$5:$D$204,$AQ449)&lt;&gt;"",UPPER(TRIM(INDEX(C_Pavement!$D$5:$D$204,$AQ449))),IF($AS449="","",INDEX(E_Rules!$C$5:$C$9,$AS449))))</f>
        <v/>
      </c>
      <c r="AU449" t="str">
        <f>IF($AQ449="","",IF(INDEX(C_Pavement!$E$5:$E$204,$AQ449)&lt;&gt;"",IF(INDEX(C_Pavement!$E$5:$E$204,$AQ449)="-","",INDEX(C_Pavement!$E$5:$E$204,$AQ449)),IF($AS449="","",INDEX(E_Rules!$D$5:$D$9,$AS449))))</f>
        <v/>
      </c>
      <c r="AV449" t="str">
        <f>IF($AQ449="","",IF(INDEX(C_Pavement!$F$5:$F$204,$AQ449)&lt;&gt;"",IF(INDEX(C_Pavement!$F$5:$F$204,$AQ449)="-","",INDEX(C_Pavement!$F$5:$F$204,$AQ449)),IF($AS449="","",INDEX(E_Rules!$E$5:$E$9,$AS449))))</f>
        <v/>
      </c>
      <c r="AW449" t="str">
        <f>IF($AQ449="","",IF(INDEX(C_Pavement!$G$5:$G$204,$AQ449)&lt;&gt;"",IF(INDEX(C_Pavement!$G$5:$G$204,$AQ449)="-","",INDEX(C_Pavement!$G$5:$G$204,$AQ449)),IF($AS449="","",INDEX(E_Rules!$F$5:$F$9,$AS449))))</f>
        <v/>
      </c>
      <c r="AX449" t="str">
        <f>IF($AQ449="","",IF(INDEX(C_Pavement!$H$5:$H$204,$AQ449)&lt;&gt;"",IF(INDEX(C_Pavement!$H$5:$H$204,$AQ449)="-","",INDEX(C_Pavement!$H$5:$H$204,$AQ449)),IF($AS449="","",INDEX(E_Rules!$G$5:$G$9,$AS449))))</f>
        <v/>
      </c>
      <c r="AY449" t="str">
        <f>IF($AQ449="","",IF(INDEX(C_Pavement!$I$5:$I$204,$AQ449)&lt;&gt;"",IF(INDEX(C_Pavement!$I$5:$I$204,$AQ449)="-","",INDEX(C_Pavement!$I$5:$I$204,$AQ449)),IF($AS449="","",INDEX(E_Rules!$H$5:$H$9,$AS449))))</f>
        <v/>
      </c>
    </row>
    <row r="450" spans="1:51" ht="15.75" customHeight="1" x14ac:dyDescent="0.3">
      <c r="A450" s="189">
        <v>445</v>
      </c>
      <c r="B450" s="180">
        <v>22200</v>
      </c>
      <c r="C450" s="180" t="s">
        <v>756</v>
      </c>
      <c r="D450" s="181" t="str">
        <f>IFERROR(LOOKUP(2,1/((A_Corridor!$A$5:$A$204&lt;&gt;"")*(A_Corridor!$A$5:$A$204&lt;=$B450)*(A_Corridor!$B$5:$B$204&gt;$B450)*(A_Corridor!$C$5:$C$204&lt;&gt;"")),IF(UPPER(A_Corridor!$C$5:$C$204)="Y",1,"")),"")</f>
        <v/>
      </c>
      <c r="E450" s="181" t="str">
        <f>IFERROR(LOOKUP(2,1/((A_Corridor!$A$5:$A$204&lt;&gt;"")*(A_Corridor!$A$5:$A$204&lt;=$B450)*(A_Corridor!$B$5:$B$204&gt;$B450)*(A_Corridor!$D$5:$D$204&lt;&gt;"")),IF(A_Corridor!$D$5:$D$204="-","",UPPER(A_Corridor!$D$5:$D$204))),"")</f>
        <v/>
      </c>
      <c r="F450" s="181" t="str">
        <f>IFERROR(LOOKUP(2,1/((A_Corridor!$A$5:$A$204&lt;&gt;"")*(A_Corridor!$A$5:$A$204&lt;=$B450)*(A_Corridor!$B$5:$B$204&gt;$B450)*(A_Corridor!$E$5:$E$204&lt;&gt;"")),IF(A_Corridor!$E$5:$E$204="-","",1)),"")</f>
        <v/>
      </c>
      <c r="G450" s="182" t="str">
        <f>IFERROR(LOOKUP(2,1/((A_Corridor!$A$5:$A$204&lt;&gt;"")*(A_Corridor!$A$5:$A$204&lt;=$B450)*(A_Corridor!$B$5:$B$204&gt;$B450)*(A_Corridor!$E$5:$E$204&lt;&gt;"")),IF(A_Corridor!$E$5:$E$204="-","",A_Corridor!$E$5:$E$204)),"")</f>
        <v/>
      </c>
      <c r="H450" s="182" t="str">
        <f>IFERROR(LOOKUP(2,1/((D_Points!$A$5:$A$204&lt;&gt;"")*(D_Points!$A$5:$A$204&gt;=$B450)*(D_Points!$A$5:$A$204&lt;$B450+P_Interval)*(UPPER(TRIM(D_Points!$B$5:$B$204))="GULLY")*(D_Points!$H$5:$H$204&lt;&gt;"")),D_Points!$H$5:$H$204),"")</f>
        <v/>
      </c>
      <c r="I450" s="181" t="str">
        <f>IFERROR(LOOKUP(2,1/((A_Corridor!$A$5:$A$204&lt;&gt;"")*(A_Corridor!$A$5:$A$204&lt;=$B450)*(A_Corridor!$B$5:$B$204&gt;$B450)*(A_Corridor!$F$5:$F$204&lt;&gt;"")),IF(A_Corridor!$F$5:$F$204="-","",1)),"")</f>
        <v/>
      </c>
      <c r="J450" s="182" t="str">
        <f>IFERROR(LOOKUP(2,1/((A_Corridor!$A$5:$A$204&lt;&gt;"")*(A_Corridor!$A$5:$A$204&lt;=$B450)*(A_Corridor!$B$5:$B$204&gt;$B450)*(A_Corridor!$F$5:$F$204&lt;&gt;"")),IF(A_Corridor!$F$5:$F$204="-","",A_Corridor!$F$5:$F$204)),"")</f>
        <v/>
      </c>
      <c r="K450" s="182" t="str">
        <f>IFERROR(LOOKUP(2,1/((A_Corridor!$A$5:$A$204&lt;&gt;"")*(A_Corridor!$A$5:$A$204&lt;=$B450)*(A_Corridor!$B$5:$B$204&gt;$B450)*(A_Corridor!$G$5:$G$204&lt;&gt;"")),IF(A_Corridor!$G$5:$G$204="-","",A_Corridor!$G$5:$G$204)),"")</f>
        <v/>
      </c>
      <c r="L450" s="181" t="str">
        <f>IFERROR(LOOKUP(2,1/((A_Corridor!$A$5:$A$204&lt;&gt;"")*(A_Corridor!$A$5:$A$204&lt;=$B450)*(A_Corridor!$B$5:$B$204&gt;$B450)*(A_Corridor!$H$5:$H$204&lt;&gt;"")),IF(A_Corridor!$H$5:$H$204="-","",1)),"")</f>
        <v/>
      </c>
      <c r="M450" s="182" t="str">
        <f>IFERROR(LOOKUP(2,1/((A_Corridor!$A$5:$A$204&lt;&gt;"")*(A_Corridor!$A$5:$A$204&lt;=$B450)*(A_Corridor!$B$5:$B$204&gt;$B450)*(A_Corridor!$H$5:$H$204&lt;&gt;"")),IF(A_Corridor!$H$5:$H$204="-","",A_Corridor!$H$5:$H$204)),"")</f>
        <v/>
      </c>
      <c r="N450" s="182" t="str">
        <f>IFERROR(LOOKUP(2,1/((A_Corridor!$A$5:$A$204&lt;&gt;"")*(A_Corridor!$A$5:$A$204&lt;=$B450)*(A_Corridor!$B$5:$B$204&gt;$B450)*(A_Corridor!$I$5:$I$204&lt;&gt;"")),IF(A_Corridor!$I$5:$I$204="-","",A_Corridor!$I$5:$I$204)),"")</f>
        <v/>
      </c>
      <c r="O450" s="182" t="str">
        <f>IFERROR(LOOKUP(2,1/((D_Points!$A$5:$A$204&lt;&gt;"")*(D_Points!$A$5:$A$204&gt;=$B450)*(D_Points!$A$5:$A$204&lt;$B450+P_Interval)*(UPPER(TRIM(D_Points!$B$5:$B$204))="PITCHING")*(D_Points!$H$5:$H$204&lt;&gt;"")),D_Points!$H$5:$H$204),"")</f>
        <v/>
      </c>
      <c r="P450" s="181" t="str">
        <f>IFERROR(LOOKUP(2,1/((B_Drainage!$A$5:$A$204&lt;&gt;"")*(B_Drainage!$A$5:$A$204&lt;=$B450)*(B_Drainage!$B$5:$B$204&gt;$B450)*(B_Drainage!$C$5:$C$204&lt;&gt;"")),IF(B_Drainage!$C$5:$C$204="-","",UPPER(B_Drainage!$C$5:$C$204))),"")</f>
        <v/>
      </c>
      <c r="Q450" s="181" t="str">
        <f>IFERROR(LOOKUP(2,1/((B_Drainage!$A$5:$A$204&lt;&gt;"")*(B_Drainage!$A$5:$A$204&lt;=$B450)*(B_Drainage!$B$5:$B$204&gt;$B450)*(B_Drainage!$D$5:$D$204&lt;&gt;"")),IF(B_Drainage!$D$5:$D$204="-","",UPPER(B_Drainage!$D$5:$D$204))),"")</f>
        <v/>
      </c>
      <c r="R450" s="182" t="str">
        <f>IFERROR(LOOKUP(2,1/((D_Points!$A$5:$A$204&lt;&gt;"")*(D_Points!$A$5:$A$204&gt;=$B450)*(D_Points!$A$5:$A$204&lt;$B450+P_Interval)*(RIGHT(UPPER(TRIM(D_Points!$B$5:$B$204)),8)="_CULVERT")),IF(LEFT(UPPER(TRIM(D_Points!$B$5:$B$204)),2)="EX",1,IF(LEFT(UPPER(TRIM(D_Points!$B$5:$B$204)),2)="PR",2,3))),"")</f>
        <v/>
      </c>
      <c r="S450" s="182" t="str">
        <f>IFERROR(LOOKUP(2,1/((D_Points!$A$5:$A$204&lt;&gt;"")*(D_Points!$A$5:$A$204&gt;=$B450)*(D_Points!$A$5:$A$204&lt;$B450+P_Interval)*(RIGHT(UPPER(TRIM(D_Points!$B$5:$B$204)),7)="_BRIDGE")),IF(LEFT(UPPER(TRIM(D_Points!$B$5:$B$204)),2)="EX",1,IF(LEFT(UPPER(TRIM(D_Points!$B$5:$B$204)),2)="PR",2,2))),"")</f>
        <v/>
      </c>
      <c r="T450" s="181" t="str">
        <f>IFERROR(LOOKUP(2,1/((B_Drainage!$A$5:$A$204&lt;&gt;"")*(B_Drainage!$A$5:$A$204&lt;=$B450)*(B_Drainage!$B$5:$B$204&gt;$B450)*(B_Drainage!$E$5:$E$204&lt;&gt;"")),IF(B_Drainage!$E$5:$E$204="-","",1)),"")</f>
        <v/>
      </c>
      <c r="U450" s="181" t="str">
        <f>IFERROR(LOOKUP(2,1/((B_Drainage!$A$5:$A$204&lt;&gt;"")*(B_Drainage!$A$5:$A$204&lt;=$B450)*(B_Drainage!$B$5:$B$204&gt;$B450)*(B_Drainage!$E$5:$E$204&lt;&gt;"")),IF(B_Drainage!$E$5:$E$204="-","",B_Drainage!$E$5:$E$204)),"")</f>
        <v/>
      </c>
      <c r="V450" s="181" t="str">
        <f>IFERROR(LOOKUP(2,1/((B_Drainage!$A$5:$A$204&lt;&gt;"")*(B_Drainage!$A$5:$A$204&lt;=$B450)*(B_Drainage!$B$5:$B$204&gt;$B450)*(B_Drainage!$F$5:$F$204&lt;&gt;"")),IF(B_Drainage!$F$5:$F$204="-","",1)),"")</f>
        <v/>
      </c>
      <c r="W450" s="181" t="str">
        <f>IFERROR(LOOKUP(2,1/((B_Drainage!$A$5:$A$204&lt;&gt;"")*(B_Drainage!$A$5:$A$204&lt;=$B450)*(B_Drainage!$B$5:$B$204&gt;$B450)*(B_Drainage!$F$5:$F$204&lt;&gt;"")),IF(B_Drainage!$F$5:$F$204="-","",B_Drainage!$F$5:$F$204)),"")</f>
        <v/>
      </c>
      <c r="X450" s="181" t="str">
        <f>IFERROR(LOOKUP(2,1/((B_Drainage!$A$5:$A$204&lt;&gt;"")*(B_Drainage!$A$5:$A$204&lt;=$B450)*(B_Drainage!$B$5:$B$204&gt;$B450)*(B_Drainage!$G$5:$G$204&lt;&gt;"")),IF(UPPER(B_Drainage!$G$5:$G$204)="Y",1,"")),"")</f>
        <v/>
      </c>
      <c r="Y450" s="181" t="str">
        <f>IFERROR(LOOKUP(2,1/((B_Drainage!$A$5:$A$204&lt;&gt;"")*(B_Drainage!$A$5:$A$204&lt;=$B450)*(B_Drainage!$B$5:$B$204&gt;$B450)*(B_Drainage!$H$5:$H$204&lt;&gt;"")),IF(UPPER(B_Drainage!$H$5:$H$204)="Y",1,"")),"")</f>
        <v/>
      </c>
      <c r="Z450" s="181" t="str">
        <f>IFERROR(LOOKUP(2,1/((B_Drainage!$A$5:$A$204&lt;&gt;"")*(B_Drainage!$A$5:$A$204&lt;=$B450)*(B_Drainage!$B$5:$B$204&gt;$B450)*(B_Drainage!$I$5:$I$204&lt;&gt;"")),IF(UPPER(B_Drainage!$I$5:$I$204)="Y",1,"")),"")</f>
        <v/>
      </c>
      <c r="AA450" s="181" t="str">
        <f>IFERROR(LOOKUP(2,1/((B_Drainage!$A$5:$A$204&lt;&gt;"")*(B_Drainage!$A$5:$A$204&lt;=$B450)*(B_Drainage!$B$5:$B$204&gt;$B450)*(B_Drainage!$J$5:$J$204&lt;&gt;"")),IF(UPPER(B_Drainage!$J$5:$J$204)="Y",1,"")),"")</f>
        <v/>
      </c>
      <c r="AB450" s="182" t="str">
        <f>IFERROR(LOOKUP(2,1/((B_Drainage!$A$5:$A$204&lt;&gt;"")*(B_Drainage!$A$5:$A$204&lt;=$B450)*(B_Drainage!$B$5:$B$204&gt;$B450)*(B_Drainage!$K$5:$K$204&lt;&gt;"")),IF(B_Drainage!$K$5:$K$204="-","",B_Drainage!$K$5:$K$204)),"")</f>
        <v/>
      </c>
      <c r="AC450" s="182" t="str">
        <f>IFERROR(LOOKUP(2,1/((B_Drainage!$A$5:$A$204&lt;&gt;"")*(B_Drainage!$A$5:$A$204&lt;=$B450)*(B_Drainage!$B$5:$B$204&gt;$B450)*(B_Drainage!$L$5:$L$204&lt;&gt;"")),IF(B_Drainage!$L$5:$L$204="-","",B_Drainage!$L$5:$L$204)),"")</f>
        <v/>
      </c>
      <c r="AD450" s="182" t="str">
        <f>IFERROR(LOOKUP(2,1/((D_Points!$A$5:$A$204&lt;&gt;"")*(D_Points!$A$5:$A$204&gt;=$B450)*(D_Points!$A$5:$A$204&lt;$B450+P_Interval)*(UPPER(TRIM(D_Points!$B$5:$B$204))="TURNOUT_L")*(D_Points!$H$5:$H$204&lt;&gt;"")),D_Points!$H$5:$H$204),"")</f>
        <v/>
      </c>
      <c r="AE450" s="182" t="str">
        <f>IFERROR(LOOKUP(2,1/((D_Points!$A$5:$A$204&lt;&gt;"")*(D_Points!$A$5:$A$204&gt;=$B450)*(D_Points!$A$5:$A$204&lt;$B450+P_Interval)*(UPPER(TRIM(D_Points!$B$5:$B$204))="TURNOUT_R")*(D_Points!$H$5:$H$204&lt;&gt;"")),D_Points!$H$5:$H$204),"")</f>
        <v/>
      </c>
      <c r="AF450" s="181" t="str">
        <f>IFERROR(LOOKUP(2,1/((B_Drainage!$A$5:$A$204&lt;&gt;"")*(B_Drainage!$A$5:$A$204&lt;=$B450)*(B_Drainage!$B$5:$B$204&gt;$B450)*(B_Drainage!$M$5:$M$204&lt;&gt;"")),IF(UPPER(B_Drainage!$M$5:$M$204)="Y",1,"")),"")</f>
        <v/>
      </c>
      <c r="AG450" s="181" t="str">
        <f>IFERROR(LOOKUP(2,1/((B_Drainage!$A$5:$A$204&lt;&gt;"")*(B_Drainage!$A$5:$A$204&lt;=$B450)*(B_Drainage!$B$5:$B$204&gt;$B450)*(B_Drainage!$N$5:$N$204&lt;&gt;"")),IF(UPPER(B_Drainage!$N$5:$N$204)="Y",1,"")),"")</f>
        <v/>
      </c>
      <c r="AH450" s="181" t="str">
        <f t="shared" si="48"/>
        <v/>
      </c>
      <c r="AI450" s="181" t="str">
        <f t="shared" si="49"/>
        <v/>
      </c>
      <c r="AJ450" s="181" t="str">
        <f t="shared" si="50"/>
        <v/>
      </c>
      <c r="AK450" s="181" t="str">
        <f t="shared" si="51"/>
        <v/>
      </c>
      <c r="AL450" s="181" t="str">
        <f t="shared" si="52"/>
        <v/>
      </c>
      <c r="AM450" s="181" t="str">
        <f t="shared" si="53"/>
        <v/>
      </c>
      <c r="AN450" s="181" t="str">
        <f t="shared" si="54"/>
        <v/>
      </c>
      <c r="AO450" s="192" t="str">
        <f t="shared" si="55"/>
        <v/>
      </c>
      <c r="AQ450" t="str">
        <f>IFERROR(LOOKUP(2,1/((C_Pavement!$A$5:$A$204&lt;&gt;"")*(C_Pavement!$A$5:$A$204&lt;=$B450)*(C_Pavement!$B$5:$B$204&gt;$B450)*(C_Pavement!$C$5:$C$204&lt;&gt;"")),ROW(C_Pavement!$C$5:$C$204)-4),"")</f>
        <v/>
      </c>
      <c r="AR450" t="str">
        <f>IF($AQ450="","",UPPER(TRIM(INDEX(C_Pavement!$C$5:$C$204,$AQ450))))</f>
        <v/>
      </c>
      <c r="AS450" t="str">
        <f>IF($AR450="","",IFERROR(MATCH($AR450,E_Rules!$A$5:$A$9,0),""))</f>
        <v/>
      </c>
      <c r="AT450" t="str">
        <f>IF($AQ450="","",IF(INDEX(C_Pavement!$D$5:$D$204,$AQ450)&lt;&gt;"",UPPER(TRIM(INDEX(C_Pavement!$D$5:$D$204,$AQ450))),IF($AS450="","",INDEX(E_Rules!$C$5:$C$9,$AS450))))</f>
        <v/>
      </c>
      <c r="AU450" t="str">
        <f>IF($AQ450="","",IF(INDEX(C_Pavement!$E$5:$E$204,$AQ450)&lt;&gt;"",IF(INDEX(C_Pavement!$E$5:$E$204,$AQ450)="-","",INDEX(C_Pavement!$E$5:$E$204,$AQ450)),IF($AS450="","",INDEX(E_Rules!$D$5:$D$9,$AS450))))</f>
        <v/>
      </c>
      <c r="AV450" t="str">
        <f>IF($AQ450="","",IF(INDEX(C_Pavement!$F$5:$F$204,$AQ450)&lt;&gt;"",IF(INDEX(C_Pavement!$F$5:$F$204,$AQ450)="-","",INDEX(C_Pavement!$F$5:$F$204,$AQ450)),IF($AS450="","",INDEX(E_Rules!$E$5:$E$9,$AS450))))</f>
        <v/>
      </c>
      <c r="AW450" t="str">
        <f>IF($AQ450="","",IF(INDEX(C_Pavement!$G$5:$G$204,$AQ450)&lt;&gt;"",IF(INDEX(C_Pavement!$G$5:$G$204,$AQ450)="-","",INDEX(C_Pavement!$G$5:$G$204,$AQ450)),IF($AS450="","",INDEX(E_Rules!$F$5:$F$9,$AS450))))</f>
        <v/>
      </c>
      <c r="AX450" t="str">
        <f>IF($AQ450="","",IF(INDEX(C_Pavement!$H$5:$H$204,$AQ450)&lt;&gt;"",IF(INDEX(C_Pavement!$H$5:$H$204,$AQ450)="-","",INDEX(C_Pavement!$H$5:$H$204,$AQ450)),IF($AS450="","",INDEX(E_Rules!$G$5:$G$9,$AS450))))</f>
        <v/>
      </c>
      <c r="AY450" t="str">
        <f>IF($AQ450="","",IF(INDEX(C_Pavement!$I$5:$I$204,$AQ450)&lt;&gt;"",IF(INDEX(C_Pavement!$I$5:$I$204,$AQ450)="-","",INDEX(C_Pavement!$I$5:$I$204,$AQ450)),IF($AS450="","",INDEX(E_Rules!$H$5:$H$9,$AS450))))</f>
        <v/>
      </c>
    </row>
    <row r="451" spans="1:51" ht="15.75" customHeight="1" x14ac:dyDescent="0.3">
      <c r="A451" s="189">
        <v>446</v>
      </c>
      <c r="B451" s="180">
        <v>22250</v>
      </c>
      <c r="C451" s="180" t="s">
        <v>757</v>
      </c>
      <c r="D451" s="181" t="str">
        <f>IFERROR(LOOKUP(2,1/((A_Corridor!$A$5:$A$204&lt;&gt;"")*(A_Corridor!$A$5:$A$204&lt;=$B451)*(A_Corridor!$B$5:$B$204&gt;$B451)*(A_Corridor!$C$5:$C$204&lt;&gt;"")),IF(UPPER(A_Corridor!$C$5:$C$204)="Y",1,"")),"")</f>
        <v/>
      </c>
      <c r="E451" s="181" t="str">
        <f>IFERROR(LOOKUP(2,1/((A_Corridor!$A$5:$A$204&lt;&gt;"")*(A_Corridor!$A$5:$A$204&lt;=$B451)*(A_Corridor!$B$5:$B$204&gt;$B451)*(A_Corridor!$D$5:$D$204&lt;&gt;"")),IF(A_Corridor!$D$5:$D$204="-","",UPPER(A_Corridor!$D$5:$D$204))),"")</f>
        <v/>
      </c>
      <c r="F451" s="181" t="str">
        <f>IFERROR(LOOKUP(2,1/((A_Corridor!$A$5:$A$204&lt;&gt;"")*(A_Corridor!$A$5:$A$204&lt;=$B451)*(A_Corridor!$B$5:$B$204&gt;$B451)*(A_Corridor!$E$5:$E$204&lt;&gt;"")),IF(A_Corridor!$E$5:$E$204="-","",1)),"")</f>
        <v/>
      </c>
      <c r="G451" s="182" t="str">
        <f>IFERROR(LOOKUP(2,1/((A_Corridor!$A$5:$A$204&lt;&gt;"")*(A_Corridor!$A$5:$A$204&lt;=$B451)*(A_Corridor!$B$5:$B$204&gt;$B451)*(A_Corridor!$E$5:$E$204&lt;&gt;"")),IF(A_Corridor!$E$5:$E$204="-","",A_Corridor!$E$5:$E$204)),"")</f>
        <v/>
      </c>
      <c r="H451" s="182" t="str">
        <f>IFERROR(LOOKUP(2,1/((D_Points!$A$5:$A$204&lt;&gt;"")*(D_Points!$A$5:$A$204&gt;=$B451)*(D_Points!$A$5:$A$204&lt;$B451+P_Interval)*(UPPER(TRIM(D_Points!$B$5:$B$204))="GULLY")*(D_Points!$H$5:$H$204&lt;&gt;"")),D_Points!$H$5:$H$204),"")</f>
        <v/>
      </c>
      <c r="I451" s="181" t="str">
        <f>IFERROR(LOOKUP(2,1/((A_Corridor!$A$5:$A$204&lt;&gt;"")*(A_Corridor!$A$5:$A$204&lt;=$B451)*(A_Corridor!$B$5:$B$204&gt;$B451)*(A_Corridor!$F$5:$F$204&lt;&gt;"")),IF(A_Corridor!$F$5:$F$204="-","",1)),"")</f>
        <v/>
      </c>
      <c r="J451" s="182" t="str">
        <f>IFERROR(LOOKUP(2,1/((A_Corridor!$A$5:$A$204&lt;&gt;"")*(A_Corridor!$A$5:$A$204&lt;=$B451)*(A_Corridor!$B$5:$B$204&gt;$B451)*(A_Corridor!$F$5:$F$204&lt;&gt;"")),IF(A_Corridor!$F$5:$F$204="-","",A_Corridor!$F$5:$F$204)),"")</f>
        <v/>
      </c>
      <c r="K451" s="182" t="str">
        <f>IFERROR(LOOKUP(2,1/((A_Corridor!$A$5:$A$204&lt;&gt;"")*(A_Corridor!$A$5:$A$204&lt;=$B451)*(A_Corridor!$B$5:$B$204&gt;$B451)*(A_Corridor!$G$5:$G$204&lt;&gt;"")),IF(A_Corridor!$G$5:$G$204="-","",A_Corridor!$G$5:$G$204)),"")</f>
        <v/>
      </c>
      <c r="L451" s="181" t="str">
        <f>IFERROR(LOOKUP(2,1/((A_Corridor!$A$5:$A$204&lt;&gt;"")*(A_Corridor!$A$5:$A$204&lt;=$B451)*(A_Corridor!$B$5:$B$204&gt;$B451)*(A_Corridor!$H$5:$H$204&lt;&gt;"")),IF(A_Corridor!$H$5:$H$204="-","",1)),"")</f>
        <v/>
      </c>
      <c r="M451" s="182" t="str">
        <f>IFERROR(LOOKUP(2,1/((A_Corridor!$A$5:$A$204&lt;&gt;"")*(A_Corridor!$A$5:$A$204&lt;=$B451)*(A_Corridor!$B$5:$B$204&gt;$B451)*(A_Corridor!$H$5:$H$204&lt;&gt;"")),IF(A_Corridor!$H$5:$H$204="-","",A_Corridor!$H$5:$H$204)),"")</f>
        <v/>
      </c>
      <c r="N451" s="182" t="str">
        <f>IFERROR(LOOKUP(2,1/((A_Corridor!$A$5:$A$204&lt;&gt;"")*(A_Corridor!$A$5:$A$204&lt;=$B451)*(A_Corridor!$B$5:$B$204&gt;$B451)*(A_Corridor!$I$5:$I$204&lt;&gt;"")),IF(A_Corridor!$I$5:$I$204="-","",A_Corridor!$I$5:$I$204)),"")</f>
        <v/>
      </c>
      <c r="O451" s="182" t="str">
        <f>IFERROR(LOOKUP(2,1/((D_Points!$A$5:$A$204&lt;&gt;"")*(D_Points!$A$5:$A$204&gt;=$B451)*(D_Points!$A$5:$A$204&lt;$B451+P_Interval)*(UPPER(TRIM(D_Points!$B$5:$B$204))="PITCHING")*(D_Points!$H$5:$H$204&lt;&gt;"")),D_Points!$H$5:$H$204),"")</f>
        <v/>
      </c>
      <c r="P451" s="181" t="str">
        <f>IFERROR(LOOKUP(2,1/((B_Drainage!$A$5:$A$204&lt;&gt;"")*(B_Drainage!$A$5:$A$204&lt;=$B451)*(B_Drainage!$B$5:$B$204&gt;$B451)*(B_Drainage!$C$5:$C$204&lt;&gt;"")),IF(B_Drainage!$C$5:$C$204="-","",UPPER(B_Drainage!$C$5:$C$204))),"")</f>
        <v/>
      </c>
      <c r="Q451" s="181" t="str">
        <f>IFERROR(LOOKUP(2,1/((B_Drainage!$A$5:$A$204&lt;&gt;"")*(B_Drainage!$A$5:$A$204&lt;=$B451)*(B_Drainage!$B$5:$B$204&gt;$B451)*(B_Drainage!$D$5:$D$204&lt;&gt;"")),IF(B_Drainage!$D$5:$D$204="-","",UPPER(B_Drainage!$D$5:$D$204))),"")</f>
        <v/>
      </c>
      <c r="R451" s="182" t="str">
        <f>IFERROR(LOOKUP(2,1/((D_Points!$A$5:$A$204&lt;&gt;"")*(D_Points!$A$5:$A$204&gt;=$B451)*(D_Points!$A$5:$A$204&lt;$B451+P_Interval)*(RIGHT(UPPER(TRIM(D_Points!$B$5:$B$204)),8)="_CULVERT")),IF(LEFT(UPPER(TRIM(D_Points!$B$5:$B$204)),2)="EX",1,IF(LEFT(UPPER(TRIM(D_Points!$B$5:$B$204)),2)="PR",2,3))),"")</f>
        <v/>
      </c>
      <c r="S451" s="182" t="str">
        <f>IFERROR(LOOKUP(2,1/((D_Points!$A$5:$A$204&lt;&gt;"")*(D_Points!$A$5:$A$204&gt;=$B451)*(D_Points!$A$5:$A$204&lt;$B451+P_Interval)*(RIGHT(UPPER(TRIM(D_Points!$B$5:$B$204)),7)="_BRIDGE")),IF(LEFT(UPPER(TRIM(D_Points!$B$5:$B$204)),2)="EX",1,IF(LEFT(UPPER(TRIM(D_Points!$B$5:$B$204)),2)="PR",2,2))),"")</f>
        <v/>
      </c>
      <c r="T451" s="181" t="str">
        <f>IFERROR(LOOKUP(2,1/((B_Drainage!$A$5:$A$204&lt;&gt;"")*(B_Drainage!$A$5:$A$204&lt;=$B451)*(B_Drainage!$B$5:$B$204&gt;$B451)*(B_Drainage!$E$5:$E$204&lt;&gt;"")),IF(B_Drainage!$E$5:$E$204="-","",1)),"")</f>
        <v/>
      </c>
      <c r="U451" s="181" t="str">
        <f>IFERROR(LOOKUP(2,1/((B_Drainage!$A$5:$A$204&lt;&gt;"")*(B_Drainage!$A$5:$A$204&lt;=$B451)*(B_Drainage!$B$5:$B$204&gt;$B451)*(B_Drainage!$E$5:$E$204&lt;&gt;"")),IF(B_Drainage!$E$5:$E$204="-","",B_Drainage!$E$5:$E$204)),"")</f>
        <v/>
      </c>
      <c r="V451" s="181" t="str">
        <f>IFERROR(LOOKUP(2,1/((B_Drainage!$A$5:$A$204&lt;&gt;"")*(B_Drainage!$A$5:$A$204&lt;=$B451)*(B_Drainage!$B$5:$B$204&gt;$B451)*(B_Drainage!$F$5:$F$204&lt;&gt;"")),IF(B_Drainage!$F$5:$F$204="-","",1)),"")</f>
        <v/>
      </c>
      <c r="W451" s="181" t="str">
        <f>IFERROR(LOOKUP(2,1/((B_Drainage!$A$5:$A$204&lt;&gt;"")*(B_Drainage!$A$5:$A$204&lt;=$B451)*(B_Drainage!$B$5:$B$204&gt;$B451)*(B_Drainage!$F$5:$F$204&lt;&gt;"")),IF(B_Drainage!$F$5:$F$204="-","",B_Drainage!$F$5:$F$204)),"")</f>
        <v/>
      </c>
      <c r="X451" s="181" t="str">
        <f>IFERROR(LOOKUP(2,1/((B_Drainage!$A$5:$A$204&lt;&gt;"")*(B_Drainage!$A$5:$A$204&lt;=$B451)*(B_Drainage!$B$5:$B$204&gt;$B451)*(B_Drainage!$G$5:$G$204&lt;&gt;"")),IF(UPPER(B_Drainage!$G$5:$G$204)="Y",1,"")),"")</f>
        <v/>
      </c>
      <c r="Y451" s="181" t="str">
        <f>IFERROR(LOOKUP(2,1/((B_Drainage!$A$5:$A$204&lt;&gt;"")*(B_Drainage!$A$5:$A$204&lt;=$B451)*(B_Drainage!$B$5:$B$204&gt;$B451)*(B_Drainage!$H$5:$H$204&lt;&gt;"")),IF(UPPER(B_Drainage!$H$5:$H$204)="Y",1,"")),"")</f>
        <v/>
      </c>
      <c r="Z451" s="181" t="str">
        <f>IFERROR(LOOKUP(2,1/((B_Drainage!$A$5:$A$204&lt;&gt;"")*(B_Drainage!$A$5:$A$204&lt;=$B451)*(B_Drainage!$B$5:$B$204&gt;$B451)*(B_Drainage!$I$5:$I$204&lt;&gt;"")),IF(UPPER(B_Drainage!$I$5:$I$204)="Y",1,"")),"")</f>
        <v/>
      </c>
      <c r="AA451" s="181" t="str">
        <f>IFERROR(LOOKUP(2,1/((B_Drainage!$A$5:$A$204&lt;&gt;"")*(B_Drainage!$A$5:$A$204&lt;=$B451)*(B_Drainage!$B$5:$B$204&gt;$B451)*(B_Drainage!$J$5:$J$204&lt;&gt;"")),IF(UPPER(B_Drainage!$J$5:$J$204)="Y",1,"")),"")</f>
        <v/>
      </c>
      <c r="AB451" s="182" t="str">
        <f>IFERROR(LOOKUP(2,1/((B_Drainage!$A$5:$A$204&lt;&gt;"")*(B_Drainage!$A$5:$A$204&lt;=$B451)*(B_Drainage!$B$5:$B$204&gt;$B451)*(B_Drainage!$K$5:$K$204&lt;&gt;"")),IF(B_Drainage!$K$5:$K$204="-","",B_Drainage!$K$5:$K$204)),"")</f>
        <v/>
      </c>
      <c r="AC451" s="182" t="str">
        <f>IFERROR(LOOKUP(2,1/((B_Drainage!$A$5:$A$204&lt;&gt;"")*(B_Drainage!$A$5:$A$204&lt;=$B451)*(B_Drainage!$B$5:$B$204&gt;$B451)*(B_Drainage!$L$5:$L$204&lt;&gt;"")),IF(B_Drainage!$L$5:$L$204="-","",B_Drainage!$L$5:$L$204)),"")</f>
        <v/>
      </c>
      <c r="AD451" s="182" t="str">
        <f>IFERROR(LOOKUP(2,1/((D_Points!$A$5:$A$204&lt;&gt;"")*(D_Points!$A$5:$A$204&gt;=$B451)*(D_Points!$A$5:$A$204&lt;$B451+P_Interval)*(UPPER(TRIM(D_Points!$B$5:$B$204))="TURNOUT_L")*(D_Points!$H$5:$H$204&lt;&gt;"")),D_Points!$H$5:$H$204),"")</f>
        <v/>
      </c>
      <c r="AE451" s="182" t="str">
        <f>IFERROR(LOOKUP(2,1/((D_Points!$A$5:$A$204&lt;&gt;"")*(D_Points!$A$5:$A$204&gt;=$B451)*(D_Points!$A$5:$A$204&lt;$B451+P_Interval)*(UPPER(TRIM(D_Points!$B$5:$B$204))="TURNOUT_R")*(D_Points!$H$5:$H$204&lt;&gt;"")),D_Points!$H$5:$H$204),"")</f>
        <v/>
      </c>
      <c r="AF451" s="181" t="str">
        <f>IFERROR(LOOKUP(2,1/((B_Drainage!$A$5:$A$204&lt;&gt;"")*(B_Drainage!$A$5:$A$204&lt;=$B451)*(B_Drainage!$B$5:$B$204&gt;$B451)*(B_Drainage!$M$5:$M$204&lt;&gt;"")),IF(UPPER(B_Drainage!$M$5:$M$204)="Y",1,"")),"")</f>
        <v/>
      </c>
      <c r="AG451" s="181" t="str">
        <f>IFERROR(LOOKUP(2,1/((B_Drainage!$A$5:$A$204&lt;&gt;"")*(B_Drainage!$A$5:$A$204&lt;=$B451)*(B_Drainage!$B$5:$B$204&gt;$B451)*(B_Drainage!$N$5:$N$204&lt;&gt;"")),IF(UPPER(B_Drainage!$N$5:$N$204)="Y",1,"")),"")</f>
        <v/>
      </c>
      <c r="AH451" s="181" t="str">
        <f t="shared" si="48"/>
        <v/>
      </c>
      <c r="AI451" s="181" t="str">
        <f t="shared" si="49"/>
        <v/>
      </c>
      <c r="AJ451" s="181" t="str">
        <f t="shared" si="50"/>
        <v/>
      </c>
      <c r="AK451" s="181" t="str">
        <f t="shared" si="51"/>
        <v/>
      </c>
      <c r="AL451" s="181" t="str">
        <f t="shared" si="52"/>
        <v/>
      </c>
      <c r="AM451" s="181" t="str">
        <f t="shared" si="53"/>
        <v/>
      </c>
      <c r="AN451" s="181" t="str">
        <f t="shared" si="54"/>
        <v/>
      </c>
      <c r="AO451" s="192" t="str">
        <f t="shared" si="55"/>
        <v/>
      </c>
      <c r="AQ451" t="str">
        <f>IFERROR(LOOKUP(2,1/((C_Pavement!$A$5:$A$204&lt;&gt;"")*(C_Pavement!$A$5:$A$204&lt;=$B451)*(C_Pavement!$B$5:$B$204&gt;$B451)*(C_Pavement!$C$5:$C$204&lt;&gt;"")),ROW(C_Pavement!$C$5:$C$204)-4),"")</f>
        <v/>
      </c>
      <c r="AR451" t="str">
        <f>IF($AQ451="","",UPPER(TRIM(INDEX(C_Pavement!$C$5:$C$204,$AQ451))))</f>
        <v/>
      </c>
      <c r="AS451" t="str">
        <f>IF($AR451="","",IFERROR(MATCH($AR451,E_Rules!$A$5:$A$9,0),""))</f>
        <v/>
      </c>
      <c r="AT451" t="str">
        <f>IF($AQ451="","",IF(INDEX(C_Pavement!$D$5:$D$204,$AQ451)&lt;&gt;"",UPPER(TRIM(INDEX(C_Pavement!$D$5:$D$204,$AQ451))),IF($AS451="","",INDEX(E_Rules!$C$5:$C$9,$AS451))))</f>
        <v/>
      </c>
      <c r="AU451" t="str">
        <f>IF($AQ451="","",IF(INDEX(C_Pavement!$E$5:$E$204,$AQ451)&lt;&gt;"",IF(INDEX(C_Pavement!$E$5:$E$204,$AQ451)="-","",INDEX(C_Pavement!$E$5:$E$204,$AQ451)),IF($AS451="","",INDEX(E_Rules!$D$5:$D$9,$AS451))))</f>
        <v/>
      </c>
      <c r="AV451" t="str">
        <f>IF($AQ451="","",IF(INDEX(C_Pavement!$F$5:$F$204,$AQ451)&lt;&gt;"",IF(INDEX(C_Pavement!$F$5:$F$204,$AQ451)="-","",INDEX(C_Pavement!$F$5:$F$204,$AQ451)),IF($AS451="","",INDEX(E_Rules!$E$5:$E$9,$AS451))))</f>
        <v/>
      </c>
      <c r="AW451" t="str">
        <f>IF($AQ451="","",IF(INDEX(C_Pavement!$G$5:$G$204,$AQ451)&lt;&gt;"",IF(INDEX(C_Pavement!$G$5:$G$204,$AQ451)="-","",INDEX(C_Pavement!$G$5:$G$204,$AQ451)),IF($AS451="","",INDEX(E_Rules!$F$5:$F$9,$AS451))))</f>
        <v/>
      </c>
      <c r="AX451" t="str">
        <f>IF($AQ451="","",IF(INDEX(C_Pavement!$H$5:$H$204,$AQ451)&lt;&gt;"",IF(INDEX(C_Pavement!$H$5:$H$204,$AQ451)="-","",INDEX(C_Pavement!$H$5:$H$204,$AQ451)),IF($AS451="","",INDEX(E_Rules!$G$5:$G$9,$AS451))))</f>
        <v/>
      </c>
      <c r="AY451" t="str">
        <f>IF($AQ451="","",IF(INDEX(C_Pavement!$I$5:$I$204,$AQ451)&lt;&gt;"",IF(INDEX(C_Pavement!$I$5:$I$204,$AQ451)="-","",INDEX(C_Pavement!$I$5:$I$204,$AQ451)),IF($AS451="","",INDEX(E_Rules!$H$5:$H$9,$AS451))))</f>
        <v/>
      </c>
    </row>
    <row r="452" spans="1:51" ht="15.75" customHeight="1" x14ac:dyDescent="0.3">
      <c r="A452" s="189">
        <v>447</v>
      </c>
      <c r="B452" s="180">
        <v>22300</v>
      </c>
      <c r="C452" s="180" t="s">
        <v>758</v>
      </c>
      <c r="D452" s="181" t="str">
        <f>IFERROR(LOOKUP(2,1/((A_Corridor!$A$5:$A$204&lt;&gt;"")*(A_Corridor!$A$5:$A$204&lt;=$B452)*(A_Corridor!$B$5:$B$204&gt;$B452)*(A_Corridor!$C$5:$C$204&lt;&gt;"")),IF(UPPER(A_Corridor!$C$5:$C$204)="Y",1,"")),"")</f>
        <v/>
      </c>
      <c r="E452" s="181" t="str">
        <f>IFERROR(LOOKUP(2,1/((A_Corridor!$A$5:$A$204&lt;&gt;"")*(A_Corridor!$A$5:$A$204&lt;=$B452)*(A_Corridor!$B$5:$B$204&gt;$B452)*(A_Corridor!$D$5:$D$204&lt;&gt;"")),IF(A_Corridor!$D$5:$D$204="-","",UPPER(A_Corridor!$D$5:$D$204))),"")</f>
        <v/>
      </c>
      <c r="F452" s="181" t="str">
        <f>IFERROR(LOOKUP(2,1/((A_Corridor!$A$5:$A$204&lt;&gt;"")*(A_Corridor!$A$5:$A$204&lt;=$B452)*(A_Corridor!$B$5:$B$204&gt;$B452)*(A_Corridor!$E$5:$E$204&lt;&gt;"")),IF(A_Corridor!$E$5:$E$204="-","",1)),"")</f>
        <v/>
      </c>
      <c r="G452" s="182" t="str">
        <f>IFERROR(LOOKUP(2,1/((A_Corridor!$A$5:$A$204&lt;&gt;"")*(A_Corridor!$A$5:$A$204&lt;=$B452)*(A_Corridor!$B$5:$B$204&gt;$B452)*(A_Corridor!$E$5:$E$204&lt;&gt;"")),IF(A_Corridor!$E$5:$E$204="-","",A_Corridor!$E$5:$E$204)),"")</f>
        <v/>
      </c>
      <c r="H452" s="182" t="str">
        <f>IFERROR(LOOKUP(2,1/((D_Points!$A$5:$A$204&lt;&gt;"")*(D_Points!$A$5:$A$204&gt;=$B452)*(D_Points!$A$5:$A$204&lt;$B452+P_Interval)*(UPPER(TRIM(D_Points!$B$5:$B$204))="GULLY")*(D_Points!$H$5:$H$204&lt;&gt;"")),D_Points!$H$5:$H$204),"")</f>
        <v/>
      </c>
      <c r="I452" s="181" t="str">
        <f>IFERROR(LOOKUP(2,1/((A_Corridor!$A$5:$A$204&lt;&gt;"")*(A_Corridor!$A$5:$A$204&lt;=$B452)*(A_Corridor!$B$5:$B$204&gt;$B452)*(A_Corridor!$F$5:$F$204&lt;&gt;"")),IF(A_Corridor!$F$5:$F$204="-","",1)),"")</f>
        <v/>
      </c>
      <c r="J452" s="182" t="str">
        <f>IFERROR(LOOKUP(2,1/((A_Corridor!$A$5:$A$204&lt;&gt;"")*(A_Corridor!$A$5:$A$204&lt;=$B452)*(A_Corridor!$B$5:$B$204&gt;$B452)*(A_Corridor!$F$5:$F$204&lt;&gt;"")),IF(A_Corridor!$F$5:$F$204="-","",A_Corridor!$F$5:$F$204)),"")</f>
        <v/>
      </c>
      <c r="K452" s="182" t="str">
        <f>IFERROR(LOOKUP(2,1/((A_Corridor!$A$5:$A$204&lt;&gt;"")*(A_Corridor!$A$5:$A$204&lt;=$B452)*(A_Corridor!$B$5:$B$204&gt;$B452)*(A_Corridor!$G$5:$G$204&lt;&gt;"")),IF(A_Corridor!$G$5:$G$204="-","",A_Corridor!$G$5:$G$204)),"")</f>
        <v/>
      </c>
      <c r="L452" s="181" t="str">
        <f>IFERROR(LOOKUP(2,1/((A_Corridor!$A$5:$A$204&lt;&gt;"")*(A_Corridor!$A$5:$A$204&lt;=$B452)*(A_Corridor!$B$5:$B$204&gt;$B452)*(A_Corridor!$H$5:$H$204&lt;&gt;"")),IF(A_Corridor!$H$5:$H$204="-","",1)),"")</f>
        <v/>
      </c>
      <c r="M452" s="182" t="str">
        <f>IFERROR(LOOKUP(2,1/((A_Corridor!$A$5:$A$204&lt;&gt;"")*(A_Corridor!$A$5:$A$204&lt;=$B452)*(A_Corridor!$B$5:$B$204&gt;$B452)*(A_Corridor!$H$5:$H$204&lt;&gt;"")),IF(A_Corridor!$H$5:$H$204="-","",A_Corridor!$H$5:$H$204)),"")</f>
        <v/>
      </c>
      <c r="N452" s="182" t="str">
        <f>IFERROR(LOOKUP(2,1/((A_Corridor!$A$5:$A$204&lt;&gt;"")*(A_Corridor!$A$5:$A$204&lt;=$B452)*(A_Corridor!$B$5:$B$204&gt;$B452)*(A_Corridor!$I$5:$I$204&lt;&gt;"")),IF(A_Corridor!$I$5:$I$204="-","",A_Corridor!$I$5:$I$204)),"")</f>
        <v/>
      </c>
      <c r="O452" s="182" t="str">
        <f>IFERROR(LOOKUP(2,1/((D_Points!$A$5:$A$204&lt;&gt;"")*(D_Points!$A$5:$A$204&gt;=$B452)*(D_Points!$A$5:$A$204&lt;$B452+P_Interval)*(UPPER(TRIM(D_Points!$B$5:$B$204))="PITCHING")*(D_Points!$H$5:$H$204&lt;&gt;"")),D_Points!$H$5:$H$204),"")</f>
        <v/>
      </c>
      <c r="P452" s="181" t="str">
        <f>IFERROR(LOOKUP(2,1/((B_Drainage!$A$5:$A$204&lt;&gt;"")*(B_Drainage!$A$5:$A$204&lt;=$B452)*(B_Drainage!$B$5:$B$204&gt;$B452)*(B_Drainage!$C$5:$C$204&lt;&gt;"")),IF(B_Drainage!$C$5:$C$204="-","",UPPER(B_Drainage!$C$5:$C$204))),"")</f>
        <v/>
      </c>
      <c r="Q452" s="181" t="str">
        <f>IFERROR(LOOKUP(2,1/((B_Drainage!$A$5:$A$204&lt;&gt;"")*(B_Drainage!$A$5:$A$204&lt;=$B452)*(B_Drainage!$B$5:$B$204&gt;$B452)*(B_Drainage!$D$5:$D$204&lt;&gt;"")),IF(B_Drainage!$D$5:$D$204="-","",UPPER(B_Drainage!$D$5:$D$204))),"")</f>
        <v/>
      </c>
      <c r="R452" s="182" t="str">
        <f>IFERROR(LOOKUP(2,1/((D_Points!$A$5:$A$204&lt;&gt;"")*(D_Points!$A$5:$A$204&gt;=$B452)*(D_Points!$A$5:$A$204&lt;$B452+P_Interval)*(RIGHT(UPPER(TRIM(D_Points!$B$5:$B$204)),8)="_CULVERT")),IF(LEFT(UPPER(TRIM(D_Points!$B$5:$B$204)),2)="EX",1,IF(LEFT(UPPER(TRIM(D_Points!$B$5:$B$204)),2)="PR",2,3))),"")</f>
        <v/>
      </c>
      <c r="S452" s="182" t="str">
        <f>IFERROR(LOOKUP(2,1/((D_Points!$A$5:$A$204&lt;&gt;"")*(D_Points!$A$5:$A$204&gt;=$B452)*(D_Points!$A$5:$A$204&lt;$B452+P_Interval)*(RIGHT(UPPER(TRIM(D_Points!$B$5:$B$204)),7)="_BRIDGE")),IF(LEFT(UPPER(TRIM(D_Points!$B$5:$B$204)),2)="EX",1,IF(LEFT(UPPER(TRIM(D_Points!$B$5:$B$204)),2)="PR",2,2))),"")</f>
        <v/>
      </c>
      <c r="T452" s="181" t="str">
        <f>IFERROR(LOOKUP(2,1/((B_Drainage!$A$5:$A$204&lt;&gt;"")*(B_Drainage!$A$5:$A$204&lt;=$B452)*(B_Drainage!$B$5:$B$204&gt;$B452)*(B_Drainage!$E$5:$E$204&lt;&gt;"")),IF(B_Drainage!$E$5:$E$204="-","",1)),"")</f>
        <v/>
      </c>
      <c r="U452" s="181" t="str">
        <f>IFERROR(LOOKUP(2,1/((B_Drainage!$A$5:$A$204&lt;&gt;"")*(B_Drainage!$A$5:$A$204&lt;=$B452)*(B_Drainage!$B$5:$B$204&gt;$B452)*(B_Drainage!$E$5:$E$204&lt;&gt;"")),IF(B_Drainage!$E$5:$E$204="-","",B_Drainage!$E$5:$E$204)),"")</f>
        <v/>
      </c>
      <c r="V452" s="181" t="str">
        <f>IFERROR(LOOKUP(2,1/((B_Drainage!$A$5:$A$204&lt;&gt;"")*(B_Drainage!$A$5:$A$204&lt;=$B452)*(B_Drainage!$B$5:$B$204&gt;$B452)*(B_Drainage!$F$5:$F$204&lt;&gt;"")),IF(B_Drainage!$F$5:$F$204="-","",1)),"")</f>
        <v/>
      </c>
      <c r="W452" s="181" t="str">
        <f>IFERROR(LOOKUP(2,1/((B_Drainage!$A$5:$A$204&lt;&gt;"")*(B_Drainage!$A$5:$A$204&lt;=$B452)*(B_Drainage!$B$5:$B$204&gt;$B452)*(B_Drainage!$F$5:$F$204&lt;&gt;"")),IF(B_Drainage!$F$5:$F$204="-","",B_Drainage!$F$5:$F$204)),"")</f>
        <v/>
      </c>
      <c r="X452" s="181" t="str">
        <f>IFERROR(LOOKUP(2,1/((B_Drainage!$A$5:$A$204&lt;&gt;"")*(B_Drainage!$A$5:$A$204&lt;=$B452)*(B_Drainage!$B$5:$B$204&gt;$B452)*(B_Drainage!$G$5:$G$204&lt;&gt;"")),IF(UPPER(B_Drainage!$G$5:$G$204)="Y",1,"")),"")</f>
        <v/>
      </c>
      <c r="Y452" s="181" t="str">
        <f>IFERROR(LOOKUP(2,1/((B_Drainage!$A$5:$A$204&lt;&gt;"")*(B_Drainage!$A$5:$A$204&lt;=$B452)*(B_Drainage!$B$5:$B$204&gt;$B452)*(B_Drainage!$H$5:$H$204&lt;&gt;"")),IF(UPPER(B_Drainage!$H$5:$H$204)="Y",1,"")),"")</f>
        <v/>
      </c>
      <c r="Z452" s="181" t="str">
        <f>IFERROR(LOOKUP(2,1/((B_Drainage!$A$5:$A$204&lt;&gt;"")*(B_Drainage!$A$5:$A$204&lt;=$B452)*(B_Drainage!$B$5:$B$204&gt;$B452)*(B_Drainage!$I$5:$I$204&lt;&gt;"")),IF(UPPER(B_Drainage!$I$5:$I$204)="Y",1,"")),"")</f>
        <v/>
      </c>
      <c r="AA452" s="181" t="str">
        <f>IFERROR(LOOKUP(2,1/((B_Drainage!$A$5:$A$204&lt;&gt;"")*(B_Drainage!$A$5:$A$204&lt;=$B452)*(B_Drainage!$B$5:$B$204&gt;$B452)*(B_Drainage!$J$5:$J$204&lt;&gt;"")),IF(UPPER(B_Drainage!$J$5:$J$204)="Y",1,"")),"")</f>
        <v/>
      </c>
      <c r="AB452" s="182" t="str">
        <f>IFERROR(LOOKUP(2,1/((B_Drainage!$A$5:$A$204&lt;&gt;"")*(B_Drainage!$A$5:$A$204&lt;=$B452)*(B_Drainage!$B$5:$B$204&gt;$B452)*(B_Drainage!$K$5:$K$204&lt;&gt;"")),IF(B_Drainage!$K$5:$K$204="-","",B_Drainage!$K$5:$K$204)),"")</f>
        <v/>
      </c>
      <c r="AC452" s="182" t="str">
        <f>IFERROR(LOOKUP(2,1/((B_Drainage!$A$5:$A$204&lt;&gt;"")*(B_Drainage!$A$5:$A$204&lt;=$B452)*(B_Drainage!$B$5:$B$204&gt;$B452)*(B_Drainage!$L$5:$L$204&lt;&gt;"")),IF(B_Drainage!$L$5:$L$204="-","",B_Drainage!$L$5:$L$204)),"")</f>
        <v/>
      </c>
      <c r="AD452" s="182" t="str">
        <f>IFERROR(LOOKUP(2,1/((D_Points!$A$5:$A$204&lt;&gt;"")*(D_Points!$A$5:$A$204&gt;=$B452)*(D_Points!$A$5:$A$204&lt;$B452+P_Interval)*(UPPER(TRIM(D_Points!$B$5:$B$204))="TURNOUT_L")*(D_Points!$H$5:$H$204&lt;&gt;"")),D_Points!$H$5:$H$204),"")</f>
        <v/>
      </c>
      <c r="AE452" s="182" t="str">
        <f>IFERROR(LOOKUP(2,1/((D_Points!$A$5:$A$204&lt;&gt;"")*(D_Points!$A$5:$A$204&gt;=$B452)*(D_Points!$A$5:$A$204&lt;$B452+P_Interval)*(UPPER(TRIM(D_Points!$B$5:$B$204))="TURNOUT_R")*(D_Points!$H$5:$H$204&lt;&gt;"")),D_Points!$H$5:$H$204),"")</f>
        <v/>
      </c>
      <c r="AF452" s="181" t="str">
        <f>IFERROR(LOOKUP(2,1/((B_Drainage!$A$5:$A$204&lt;&gt;"")*(B_Drainage!$A$5:$A$204&lt;=$B452)*(B_Drainage!$B$5:$B$204&gt;$B452)*(B_Drainage!$M$5:$M$204&lt;&gt;"")),IF(UPPER(B_Drainage!$M$5:$M$204)="Y",1,"")),"")</f>
        <v/>
      </c>
      <c r="AG452" s="181" t="str">
        <f>IFERROR(LOOKUP(2,1/((B_Drainage!$A$5:$A$204&lt;&gt;"")*(B_Drainage!$A$5:$A$204&lt;=$B452)*(B_Drainage!$B$5:$B$204&gt;$B452)*(B_Drainage!$N$5:$N$204&lt;&gt;"")),IF(UPPER(B_Drainage!$N$5:$N$204)="Y",1,"")),"")</f>
        <v/>
      </c>
      <c r="AH452" s="181" t="str">
        <f t="shared" si="48"/>
        <v/>
      </c>
      <c r="AI452" s="181" t="str">
        <f t="shared" si="49"/>
        <v/>
      </c>
      <c r="AJ452" s="181" t="str">
        <f t="shared" si="50"/>
        <v/>
      </c>
      <c r="AK452" s="181" t="str">
        <f t="shared" si="51"/>
        <v/>
      </c>
      <c r="AL452" s="181" t="str">
        <f t="shared" si="52"/>
        <v/>
      </c>
      <c r="AM452" s="181" t="str">
        <f t="shared" si="53"/>
        <v/>
      </c>
      <c r="AN452" s="181" t="str">
        <f t="shared" si="54"/>
        <v/>
      </c>
      <c r="AO452" s="192" t="str">
        <f t="shared" si="55"/>
        <v/>
      </c>
      <c r="AQ452" t="str">
        <f>IFERROR(LOOKUP(2,1/((C_Pavement!$A$5:$A$204&lt;&gt;"")*(C_Pavement!$A$5:$A$204&lt;=$B452)*(C_Pavement!$B$5:$B$204&gt;$B452)*(C_Pavement!$C$5:$C$204&lt;&gt;"")),ROW(C_Pavement!$C$5:$C$204)-4),"")</f>
        <v/>
      </c>
      <c r="AR452" t="str">
        <f>IF($AQ452="","",UPPER(TRIM(INDEX(C_Pavement!$C$5:$C$204,$AQ452))))</f>
        <v/>
      </c>
      <c r="AS452" t="str">
        <f>IF($AR452="","",IFERROR(MATCH($AR452,E_Rules!$A$5:$A$9,0),""))</f>
        <v/>
      </c>
      <c r="AT452" t="str">
        <f>IF($AQ452="","",IF(INDEX(C_Pavement!$D$5:$D$204,$AQ452)&lt;&gt;"",UPPER(TRIM(INDEX(C_Pavement!$D$5:$D$204,$AQ452))),IF($AS452="","",INDEX(E_Rules!$C$5:$C$9,$AS452))))</f>
        <v/>
      </c>
      <c r="AU452" t="str">
        <f>IF($AQ452="","",IF(INDEX(C_Pavement!$E$5:$E$204,$AQ452)&lt;&gt;"",IF(INDEX(C_Pavement!$E$5:$E$204,$AQ452)="-","",INDEX(C_Pavement!$E$5:$E$204,$AQ452)),IF($AS452="","",INDEX(E_Rules!$D$5:$D$9,$AS452))))</f>
        <v/>
      </c>
      <c r="AV452" t="str">
        <f>IF($AQ452="","",IF(INDEX(C_Pavement!$F$5:$F$204,$AQ452)&lt;&gt;"",IF(INDEX(C_Pavement!$F$5:$F$204,$AQ452)="-","",INDEX(C_Pavement!$F$5:$F$204,$AQ452)),IF($AS452="","",INDEX(E_Rules!$E$5:$E$9,$AS452))))</f>
        <v/>
      </c>
      <c r="AW452" t="str">
        <f>IF($AQ452="","",IF(INDEX(C_Pavement!$G$5:$G$204,$AQ452)&lt;&gt;"",IF(INDEX(C_Pavement!$G$5:$G$204,$AQ452)="-","",INDEX(C_Pavement!$G$5:$G$204,$AQ452)),IF($AS452="","",INDEX(E_Rules!$F$5:$F$9,$AS452))))</f>
        <v/>
      </c>
      <c r="AX452" t="str">
        <f>IF($AQ452="","",IF(INDEX(C_Pavement!$H$5:$H$204,$AQ452)&lt;&gt;"",IF(INDEX(C_Pavement!$H$5:$H$204,$AQ452)="-","",INDEX(C_Pavement!$H$5:$H$204,$AQ452)),IF($AS452="","",INDEX(E_Rules!$G$5:$G$9,$AS452))))</f>
        <v/>
      </c>
      <c r="AY452" t="str">
        <f>IF($AQ452="","",IF(INDEX(C_Pavement!$I$5:$I$204,$AQ452)&lt;&gt;"",IF(INDEX(C_Pavement!$I$5:$I$204,$AQ452)="-","",INDEX(C_Pavement!$I$5:$I$204,$AQ452)),IF($AS452="","",INDEX(E_Rules!$H$5:$H$9,$AS452))))</f>
        <v/>
      </c>
    </row>
    <row r="453" spans="1:51" ht="15.75" customHeight="1" x14ac:dyDescent="0.3">
      <c r="A453" s="189">
        <v>448</v>
      </c>
      <c r="B453" s="180">
        <v>22350</v>
      </c>
      <c r="C453" s="180" t="s">
        <v>759</v>
      </c>
      <c r="D453" s="181" t="str">
        <f>IFERROR(LOOKUP(2,1/((A_Corridor!$A$5:$A$204&lt;&gt;"")*(A_Corridor!$A$5:$A$204&lt;=$B453)*(A_Corridor!$B$5:$B$204&gt;$B453)*(A_Corridor!$C$5:$C$204&lt;&gt;"")),IF(UPPER(A_Corridor!$C$5:$C$204)="Y",1,"")),"")</f>
        <v/>
      </c>
      <c r="E453" s="181" t="str">
        <f>IFERROR(LOOKUP(2,1/((A_Corridor!$A$5:$A$204&lt;&gt;"")*(A_Corridor!$A$5:$A$204&lt;=$B453)*(A_Corridor!$B$5:$B$204&gt;$B453)*(A_Corridor!$D$5:$D$204&lt;&gt;"")),IF(A_Corridor!$D$5:$D$204="-","",UPPER(A_Corridor!$D$5:$D$204))),"")</f>
        <v/>
      </c>
      <c r="F453" s="181" t="str">
        <f>IFERROR(LOOKUP(2,1/((A_Corridor!$A$5:$A$204&lt;&gt;"")*(A_Corridor!$A$5:$A$204&lt;=$B453)*(A_Corridor!$B$5:$B$204&gt;$B453)*(A_Corridor!$E$5:$E$204&lt;&gt;"")),IF(A_Corridor!$E$5:$E$204="-","",1)),"")</f>
        <v/>
      </c>
      <c r="G453" s="182" t="str">
        <f>IFERROR(LOOKUP(2,1/((A_Corridor!$A$5:$A$204&lt;&gt;"")*(A_Corridor!$A$5:$A$204&lt;=$B453)*(A_Corridor!$B$5:$B$204&gt;$B453)*(A_Corridor!$E$5:$E$204&lt;&gt;"")),IF(A_Corridor!$E$5:$E$204="-","",A_Corridor!$E$5:$E$204)),"")</f>
        <v/>
      </c>
      <c r="H453" s="182" t="str">
        <f>IFERROR(LOOKUP(2,1/((D_Points!$A$5:$A$204&lt;&gt;"")*(D_Points!$A$5:$A$204&gt;=$B453)*(D_Points!$A$5:$A$204&lt;$B453+P_Interval)*(UPPER(TRIM(D_Points!$B$5:$B$204))="GULLY")*(D_Points!$H$5:$H$204&lt;&gt;"")),D_Points!$H$5:$H$204),"")</f>
        <v/>
      </c>
      <c r="I453" s="181" t="str">
        <f>IFERROR(LOOKUP(2,1/((A_Corridor!$A$5:$A$204&lt;&gt;"")*(A_Corridor!$A$5:$A$204&lt;=$B453)*(A_Corridor!$B$5:$B$204&gt;$B453)*(A_Corridor!$F$5:$F$204&lt;&gt;"")),IF(A_Corridor!$F$5:$F$204="-","",1)),"")</f>
        <v/>
      </c>
      <c r="J453" s="182" t="str">
        <f>IFERROR(LOOKUP(2,1/((A_Corridor!$A$5:$A$204&lt;&gt;"")*(A_Corridor!$A$5:$A$204&lt;=$B453)*(A_Corridor!$B$5:$B$204&gt;$B453)*(A_Corridor!$F$5:$F$204&lt;&gt;"")),IF(A_Corridor!$F$5:$F$204="-","",A_Corridor!$F$5:$F$204)),"")</f>
        <v/>
      </c>
      <c r="K453" s="182" t="str">
        <f>IFERROR(LOOKUP(2,1/((A_Corridor!$A$5:$A$204&lt;&gt;"")*(A_Corridor!$A$5:$A$204&lt;=$B453)*(A_Corridor!$B$5:$B$204&gt;$B453)*(A_Corridor!$G$5:$G$204&lt;&gt;"")),IF(A_Corridor!$G$5:$G$204="-","",A_Corridor!$G$5:$G$204)),"")</f>
        <v/>
      </c>
      <c r="L453" s="181" t="str">
        <f>IFERROR(LOOKUP(2,1/((A_Corridor!$A$5:$A$204&lt;&gt;"")*(A_Corridor!$A$5:$A$204&lt;=$B453)*(A_Corridor!$B$5:$B$204&gt;$B453)*(A_Corridor!$H$5:$H$204&lt;&gt;"")),IF(A_Corridor!$H$5:$H$204="-","",1)),"")</f>
        <v/>
      </c>
      <c r="M453" s="182" t="str">
        <f>IFERROR(LOOKUP(2,1/((A_Corridor!$A$5:$A$204&lt;&gt;"")*(A_Corridor!$A$5:$A$204&lt;=$B453)*(A_Corridor!$B$5:$B$204&gt;$B453)*(A_Corridor!$H$5:$H$204&lt;&gt;"")),IF(A_Corridor!$H$5:$H$204="-","",A_Corridor!$H$5:$H$204)),"")</f>
        <v/>
      </c>
      <c r="N453" s="182" t="str">
        <f>IFERROR(LOOKUP(2,1/((A_Corridor!$A$5:$A$204&lt;&gt;"")*(A_Corridor!$A$5:$A$204&lt;=$B453)*(A_Corridor!$B$5:$B$204&gt;$B453)*(A_Corridor!$I$5:$I$204&lt;&gt;"")),IF(A_Corridor!$I$5:$I$204="-","",A_Corridor!$I$5:$I$204)),"")</f>
        <v/>
      </c>
      <c r="O453" s="182" t="str">
        <f>IFERROR(LOOKUP(2,1/((D_Points!$A$5:$A$204&lt;&gt;"")*(D_Points!$A$5:$A$204&gt;=$B453)*(D_Points!$A$5:$A$204&lt;$B453+P_Interval)*(UPPER(TRIM(D_Points!$B$5:$B$204))="PITCHING")*(D_Points!$H$5:$H$204&lt;&gt;"")),D_Points!$H$5:$H$204),"")</f>
        <v/>
      </c>
      <c r="P453" s="181" t="str">
        <f>IFERROR(LOOKUP(2,1/((B_Drainage!$A$5:$A$204&lt;&gt;"")*(B_Drainage!$A$5:$A$204&lt;=$B453)*(B_Drainage!$B$5:$B$204&gt;$B453)*(B_Drainage!$C$5:$C$204&lt;&gt;"")),IF(B_Drainage!$C$5:$C$204="-","",UPPER(B_Drainage!$C$5:$C$204))),"")</f>
        <v/>
      </c>
      <c r="Q453" s="181" t="str">
        <f>IFERROR(LOOKUP(2,1/((B_Drainage!$A$5:$A$204&lt;&gt;"")*(B_Drainage!$A$5:$A$204&lt;=$B453)*(B_Drainage!$B$5:$B$204&gt;$B453)*(B_Drainage!$D$5:$D$204&lt;&gt;"")),IF(B_Drainage!$D$5:$D$204="-","",UPPER(B_Drainage!$D$5:$D$204))),"")</f>
        <v/>
      </c>
      <c r="R453" s="182" t="str">
        <f>IFERROR(LOOKUP(2,1/((D_Points!$A$5:$A$204&lt;&gt;"")*(D_Points!$A$5:$A$204&gt;=$B453)*(D_Points!$A$5:$A$204&lt;$B453+P_Interval)*(RIGHT(UPPER(TRIM(D_Points!$B$5:$B$204)),8)="_CULVERT")),IF(LEFT(UPPER(TRIM(D_Points!$B$5:$B$204)),2)="EX",1,IF(LEFT(UPPER(TRIM(D_Points!$B$5:$B$204)),2)="PR",2,3))),"")</f>
        <v/>
      </c>
      <c r="S453" s="182" t="str">
        <f>IFERROR(LOOKUP(2,1/((D_Points!$A$5:$A$204&lt;&gt;"")*(D_Points!$A$5:$A$204&gt;=$B453)*(D_Points!$A$5:$A$204&lt;$B453+P_Interval)*(RIGHT(UPPER(TRIM(D_Points!$B$5:$B$204)),7)="_BRIDGE")),IF(LEFT(UPPER(TRIM(D_Points!$B$5:$B$204)),2)="EX",1,IF(LEFT(UPPER(TRIM(D_Points!$B$5:$B$204)),2)="PR",2,2))),"")</f>
        <v/>
      </c>
      <c r="T453" s="181" t="str">
        <f>IFERROR(LOOKUP(2,1/((B_Drainage!$A$5:$A$204&lt;&gt;"")*(B_Drainage!$A$5:$A$204&lt;=$B453)*(B_Drainage!$B$5:$B$204&gt;$B453)*(B_Drainage!$E$5:$E$204&lt;&gt;"")),IF(B_Drainage!$E$5:$E$204="-","",1)),"")</f>
        <v/>
      </c>
      <c r="U453" s="181" t="str">
        <f>IFERROR(LOOKUP(2,1/((B_Drainage!$A$5:$A$204&lt;&gt;"")*(B_Drainage!$A$5:$A$204&lt;=$B453)*(B_Drainage!$B$5:$B$204&gt;$B453)*(B_Drainage!$E$5:$E$204&lt;&gt;"")),IF(B_Drainage!$E$5:$E$204="-","",B_Drainage!$E$5:$E$204)),"")</f>
        <v/>
      </c>
      <c r="V453" s="181" t="str">
        <f>IFERROR(LOOKUP(2,1/((B_Drainage!$A$5:$A$204&lt;&gt;"")*(B_Drainage!$A$5:$A$204&lt;=$B453)*(B_Drainage!$B$5:$B$204&gt;$B453)*(B_Drainage!$F$5:$F$204&lt;&gt;"")),IF(B_Drainage!$F$5:$F$204="-","",1)),"")</f>
        <v/>
      </c>
      <c r="W453" s="181" t="str">
        <f>IFERROR(LOOKUP(2,1/((B_Drainage!$A$5:$A$204&lt;&gt;"")*(B_Drainage!$A$5:$A$204&lt;=$B453)*(B_Drainage!$B$5:$B$204&gt;$B453)*(B_Drainage!$F$5:$F$204&lt;&gt;"")),IF(B_Drainage!$F$5:$F$204="-","",B_Drainage!$F$5:$F$204)),"")</f>
        <v/>
      </c>
      <c r="X453" s="181" t="str">
        <f>IFERROR(LOOKUP(2,1/((B_Drainage!$A$5:$A$204&lt;&gt;"")*(B_Drainage!$A$5:$A$204&lt;=$B453)*(B_Drainage!$B$5:$B$204&gt;$B453)*(B_Drainage!$G$5:$G$204&lt;&gt;"")),IF(UPPER(B_Drainage!$G$5:$G$204)="Y",1,"")),"")</f>
        <v/>
      </c>
      <c r="Y453" s="181" t="str">
        <f>IFERROR(LOOKUP(2,1/((B_Drainage!$A$5:$A$204&lt;&gt;"")*(B_Drainage!$A$5:$A$204&lt;=$B453)*(B_Drainage!$B$5:$B$204&gt;$B453)*(B_Drainage!$H$5:$H$204&lt;&gt;"")),IF(UPPER(B_Drainage!$H$5:$H$204)="Y",1,"")),"")</f>
        <v/>
      </c>
      <c r="Z453" s="181" t="str">
        <f>IFERROR(LOOKUP(2,1/((B_Drainage!$A$5:$A$204&lt;&gt;"")*(B_Drainage!$A$5:$A$204&lt;=$B453)*(B_Drainage!$B$5:$B$204&gt;$B453)*(B_Drainage!$I$5:$I$204&lt;&gt;"")),IF(UPPER(B_Drainage!$I$5:$I$204)="Y",1,"")),"")</f>
        <v/>
      </c>
      <c r="AA453" s="181" t="str">
        <f>IFERROR(LOOKUP(2,1/((B_Drainage!$A$5:$A$204&lt;&gt;"")*(B_Drainage!$A$5:$A$204&lt;=$B453)*(B_Drainage!$B$5:$B$204&gt;$B453)*(B_Drainage!$J$5:$J$204&lt;&gt;"")),IF(UPPER(B_Drainage!$J$5:$J$204)="Y",1,"")),"")</f>
        <v/>
      </c>
      <c r="AB453" s="182" t="str">
        <f>IFERROR(LOOKUP(2,1/((B_Drainage!$A$5:$A$204&lt;&gt;"")*(B_Drainage!$A$5:$A$204&lt;=$B453)*(B_Drainage!$B$5:$B$204&gt;$B453)*(B_Drainage!$K$5:$K$204&lt;&gt;"")),IF(B_Drainage!$K$5:$K$204="-","",B_Drainage!$K$5:$K$204)),"")</f>
        <v/>
      </c>
      <c r="AC453" s="182" t="str">
        <f>IFERROR(LOOKUP(2,1/((B_Drainage!$A$5:$A$204&lt;&gt;"")*(B_Drainage!$A$5:$A$204&lt;=$B453)*(B_Drainage!$B$5:$B$204&gt;$B453)*(B_Drainage!$L$5:$L$204&lt;&gt;"")),IF(B_Drainage!$L$5:$L$204="-","",B_Drainage!$L$5:$L$204)),"")</f>
        <v/>
      </c>
      <c r="AD453" s="182" t="str">
        <f>IFERROR(LOOKUP(2,1/((D_Points!$A$5:$A$204&lt;&gt;"")*(D_Points!$A$5:$A$204&gt;=$B453)*(D_Points!$A$5:$A$204&lt;$B453+P_Interval)*(UPPER(TRIM(D_Points!$B$5:$B$204))="TURNOUT_L")*(D_Points!$H$5:$H$204&lt;&gt;"")),D_Points!$H$5:$H$204),"")</f>
        <v/>
      </c>
      <c r="AE453" s="182" t="str">
        <f>IFERROR(LOOKUP(2,1/((D_Points!$A$5:$A$204&lt;&gt;"")*(D_Points!$A$5:$A$204&gt;=$B453)*(D_Points!$A$5:$A$204&lt;$B453+P_Interval)*(UPPER(TRIM(D_Points!$B$5:$B$204))="TURNOUT_R")*(D_Points!$H$5:$H$204&lt;&gt;"")),D_Points!$H$5:$H$204),"")</f>
        <v/>
      </c>
      <c r="AF453" s="181" t="str">
        <f>IFERROR(LOOKUP(2,1/((B_Drainage!$A$5:$A$204&lt;&gt;"")*(B_Drainage!$A$5:$A$204&lt;=$B453)*(B_Drainage!$B$5:$B$204&gt;$B453)*(B_Drainage!$M$5:$M$204&lt;&gt;"")),IF(UPPER(B_Drainage!$M$5:$M$204)="Y",1,"")),"")</f>
        <v/>
      </c>
      <c r="AG453" s="181" t="str">
        <f>IFERROR(LOOKUP(2,1/((B_Drainage!$A$5:$A$204&lt;&gt;"")*(B_Drainage!$A$5:$A$204&lt;=$B453)*(B_Drainage!$B$5:$B$204&gt;$B453)*(B_Drainage!$N$5:$N$204&lt;&gt;"")),IF(UPPER(B_Drainage!$N$5:$N$204)="Y",1,"")),"")</f>
        <v/>
      </c>
      <c r="AH453" s="181" t="str">
        <f t="shared" si="48"/>
        <v/>
      </c>
      <c r="AI453" s="181" t="str">
        <f t="shared" si="49"/>
        <v/>
      </c>
      <c r="AJ453" s="181" t="str">
        <f t="shared" si="50"/>
        <v/>
      </c>
      <c r="AK453" s="181" t="str">
        <f t="shared" si="51"/>
        <v/>
      </c>
      <c r="AL453" s="181" t="str">
        <f t="shared" si="52"/>
        <v/>
      </c>
      <c r="AM453" s="181" t="str">
        <f t="shared" si="53"/>
        <v/>
      </c>
      <c r="AN453" s="181" t="str">
        <f t="shared" si="54"/>
        <v/>
      </c>
      <c r="AO453" s="192" t="str">
        <f t="shared" si="55"/>
        <v/>
      </c>
      <c r="AQ453" t="str">
        <f>IFERROR(LOOKUP(2,1/((C_Pavement!$A$5:$A$204&lt;&gt;"")*(C_Pavement!$A$5:$A$204&lt;=$B453)*(C_Pavement!$B$5:$B$204&gt;$B453)*(C_Pavement!$C$5:$C$204&lt;&gt;"")),ROW(C_Pavement!$C$5:$C$204)-4),"")</f>
        <v/>
      </c>
      <c r="AR453" t="str">
        <f>IF($AQ453="","",UPPER(TRIM(INDEX(C_Pavement!$C$5:$C$204,$AQ453))))</f>
        <v/>
      </c>
      <c r="AS453" t="str">
        <f>IF($AR453="","",IFERROR(MATCH($AR453,E_Rules!$A$5:$A$9,0),""))</f>
        <v/>
      </c>
      <c r="AT453" t="str">
        <f>IF($AQ453="","",IF(INDEX(C_Pavement!$D$5:$D$204,$AQ453)&lt;&gt;"",UPPER(TRIM(INDEX(C_Pavement!$D$5:$D$204,$AQ453))),IF($AS453="","",INDEX(E_Rules!$C$5:$C$9,$AS453))))</f>
        <v/>
      </c>
      <c r="AU453" t="str">
        <f>IF($AQ453="","",IF(INDEX(C_Pavement!$E$5:$E$204,$AQ453)&lt;&gt;"",IF(INDEX(C_Pavement!$E$5:$E$204,$AQ453)="-","",INDEX(C_Pavement!$E$5:$E$204,$AQ453)),IF($AS453="","",INDEX(E_Rules!$D$5:$D$9,$AS453))))</f>
        <v/>
      </c>
      <c r="AV453" t="str">
        <f>IF($AQ453="","",IF(INDEX(C_Pavement!$F$5:$F$204,$AQ453)&lt;&gt;"",IF(INDEX(C_Pavement!$F$5:$F$204,$AQ453)="-","",INDEX(C_Pavement!$F$5:$F$204,$AQ453)),IF($AS453="","",INDEX(E_Rules!$E$5:$E$9,$AS453))))</f>
        <v/>
      </c>
      <c r="AW453" t="str">
        <f>IF($AQ453="","",IF(INDEX(C_Pavement!$G$5:$G$204,$AQ453)&lt;&gt;"",IF(INDEX(C_Pavement!$G$5:$G$204,$AQ453)="-","",INDEX(C_Pavement!$G$5:$G$204,$AQ453)),IF($AS453="","",INDEX(E_Rules!$F$5:$F$9,$AS453))))</f>
        <v/>
      </c>
      <c r="AX453" t="str">
        <f>IF($AQ453="","",IF(INDEX(C_Pavement!$H$5:$H$204,$AQ453)&lt;&gt;"",IF(INDEX(C_Pavement!$H$5:$H$204,$AQ453)="-","",INDEX(C_Pavement!$H$5:$H$204,$AQ453)),IF($AS453="","",INDEX(E_Rules!$G$5:$G$9,$AS453))))</f>
        <v/>
      </c>
      <c r="AY453" t="str">
        <f>IF($AQ453="","",IF(INDEX(C_Pavement!$I$5:$I$204,$AQ453)&lt;&gt;"",IF(INDEX(C_Pavement!$I$5:$I$204,$AQ453)="-","",INDEX(C_Pavement!$I$5:$I$204,$AQ453)),IF($AS453="","",INDEX(E_Rules!$H$5:$H$9,$AS453))))</f>
        <v/>
      </c>
    </row>
    <row r="454" spans="1:51" ht="15.75" customHeight="1" x14ac:dyDescent="0.3">
      <c r="A454" s="189">
        <v>449</v>
      </c>
      <c r="B454" s="180">
        <v>22400</v>
      </c>
      <c r="C454" s="180" t="s">
        <v>760</v>
      </c>
      <c r="D454" s="181" t="str">
        <f>IFERROR(LOOKUP(2,1/((A_Corridor!$A$5:$A$204&lt;&gt;"")*(A_Corridor!$A$5:$A$204&lt;=$B454)*(A_Corridor!$B$5:$B$204&gt;$B454)*(A_Corridor!$C$5:$C$204&lt;&gt;"")),IF(UPPER(A_Corridor!$C$5:$C$204)="Y",1,"")),"")</f>
        <v/>
      </c>
      <c r="E454" s="181" t="str">
        <f>IFERROR(LOOKUP(2,1/((A_Corridor!$A$5:$A$204&lt;&gt;"")*(A_Corridor!$A$5:$A$204&lt;=$B454)*(A_Corridor!$B$5:$B$204&gt;$B454)*(A_Corridor!$D$5:$D$204&lt;&gt;"")),IF(A_Corridor!$D$5:$D$204="-","",UPPER(A_Corridor!$D$5:$D$204))),"")</f>
        <v/>
      </c>
      <c r="F454" s="181" t="str">
        <f>IFERROR(LOOKUP(2,1/((A_Corridor!$A$5:$A$204&lt;&gt;"")*(A_Corridor!$A$5:$A$204&lt;=$B454)*(A_Corridor!$B$5:$B$204&gt;$B454)*(A_Corridor!$E$5:$E$204&lt;&gt;"")),IF(A_Corridor!$E$5:$E$204="-","",1)),"")</f>
        <v/>
      </c>
      <c r="G454" s="182" t="str">
        <f>IFERROR(LOOKUP(2,1/((A_Corridor!$A$5:$A$204&lt;&gt;"")*(A_Corridor!$A$5:$A$204&lt;=$B454)*(A_Corridor!$B$5:$B$204&gt;$B454)*(A_Corridor!$E$5:$E$204&lt;&gt;"")),IF(A_Corridor!$E$5:$E$204="-","",A_Corridor!$E$5:$E$204)),"")</f>
        <v/>
      </c>
      <c r="H454" s="182" t="str">
        <f>IFERROR(LOOKUP(2,1/((D_Points!$A$5:$A$204&lt;&gt;"")*(D_Points!$A$5:$A$204&gt;=$B454)*(D_Points!$A$5:$A$204&lt;$B454+P_Interval)*(UPPER(TRIM(D_Points!$B$5:$B$204))="GULLY")*(D_Points!$H$5:$H$204&lt;&gt;"")),D_Points!$H$5:$H$204),"")</f>
        <v/>
      </c>
      <c r="I454" s="181" t="str">
        <f>IFERROR(LOOKUP(2,1/((A_Corridor!$A$5:$A$204&lt;&gt;"")*(A_Corridor!$A$5:$A$204&lt;=$B454)*(A_Corridor!$B$5:$B$204&gt;$B454)*(A_Corridor!$F$5:$F$204&lt;&gt;"")),IF(A_Corridor!$F$5:$F$204="-","",1)),"")</f>
        <v/>
      </c>
      <c r="J454" s="182" t="str">
        <f>IFERROR(LOOKUP(2,1/((A_Corridor!$A$5:$A$204&lt;&gt;"")*(A_Corridor!$A$5:$A$204&lt;=$B454)*(A_Corridor!$B$5:$B$204&gt;$B454)*(A_Corridor!$F$5:$F$204&lt;&gt;"")),IF(A_Corridor!$F$5:$F$204="-","",A_Corridor!$F$5:$F$204)),"")</f>
        <v/>
      </c>
      <c r="K454" s="182" t="str">
        <f>IFERROR(LOOKUP(2,1/((A_Corridor!$A$5:$A$204&lt;&gt;"")*(A_Corridor!$A$5:$A$204&lt;=$B454)*(A_Corridor!$B$5:$B$204&gt;$B454)*(A_Corridor!$G$5:$G$204&lt;&gt;"")),IF(A_Corridor!$G$5:$G$204="-","",A_Corridor!$G$5:$G$204)),"")</f>
        <v/>
      </c>
      <c r="L454" s="181" t="str">
        <f>IFERROR(LOOKUP(2,1/((A_Corridor!$A$5:$A$204&lt;&gt;"")*(A_Corridor!$A$5:$A$204&lt;=$B454)*(A_Corridor!$B$5:$B$204&gt;$B454)*(A_Corridor!$H$5:$H$204&lt;&gt;"")),IF(A_Corridor!$H$5:$H$204="-","",1)),"")</f>
        <v/>
      </c>
      <c r="M454" s="182" t="str">
        <f>IFERROR(LOOKUP(2,1/((A_Corridor!$A$5:$A$204&lt;&gt;"")*(A_Corridor!$A$5:$A$204&lt;=$B454)*(A_Corridor!$B$5:$B$204&gt;$B454)*(A_Corridor!$H$5:$H$204&lt;&gt;"")),IF(A_Corridor!$H$5:$H$204="-","",A_Corridor!$H$5:$H$204)),"")</f>
        <v/>
      </c>
      <c r="N454" s="182" t="str">
        <f>IFERROR(LOOKUP(2,1/((A_Corridor!$A$5:$A$204&lt;&gt;"")*(A_Corridor!$A$5:$A$204&lt;=$B454)*(A_Corridor!$B$5:$B$204&gt;$B454)*(A_Corridor!$I$5:$I$204&lt;&gt;"")),IF(A_Corridor!$I$5:$I$204="-","",A_Corridor!$I$5:$I$204)),"")</f>
        <v/>
      </c>
      <c r="O454" s="182" t="str">
        <f>IFERROR(LOOKUP(2,1/((D_Points!$A$5:$A$204&lt;&gt;"")*(D_Points!$A$5:$A$204&gt;=$B454)*(D_Points!$A$5:$A$204&lt;$B454+P_Interval)*(UPPER(TRIM(D_Points!$B$5:$B$204))="PITCHING")*(D_Points!$H$5:$H$204&lt;&gt;"")),D_Points!$H$5:$H$204),"")</f>
        <v/>
      </c>
      <c r="P454" s="181" t="str">
        <f>IFERROR(LOOKUP(2,1/((B_Drainage!$A$5:$A$204&lt;&gt;"")*(B_Drainage!$A$5:$A$204&lt;=$B454)*(B_Drainage!$B$5:$B$204&gt;$B454)*(B_Drainage!$C$5:$C$204&lt;&gt;"")),IF(B_Drainage!$C$5:$C$204="-","",UPPER(B_Drainage!$C$5:$C$204))),"")</f>
        <v/>
      </c>
      <c r="Q454" s="181" t="str">
        <f>IFERROR(LOOKUP(2,1/((B_Drainage!$A$5:$A$204&lt;&gt;"")*(B_Drainage!$A$5:$A$204&lt;=$B454)*(B_Drainage!$B$5:$B$204&gt;$B454)*(B_Drainage!$D$5:$D$204&lt;&gt;"")),IF(B_Drainage!$D$5:$D$204="-","",UPPER(B_Drainage!$D$5:$D$204))),"")</f>
        <v/>
      </c>
      <c r="R454" s="182" t="str">
        <f>IFERROR(LOOKUP(2,1/((D_Points!$A$5:$A$204&lt;&gt;"")*(D_Points!$A$5:$A$204&gt;=$B454)*(D_Points!$A$5:$A$204&lt;$B454+P_Interval)*(RIGHT(UPPER(TRIM(D_Points!$B$5:$B$204)),8)="_CULVERT")),IF(LEFT(UPPER(TRIM(D_Points!$B$5:$B$204)),2)="EX",1,IF(LEFT(UPPER(TRIM(D_Points!$B$5:$B$204)),2)="PR",2,3))),"")</f>
        <v/>
      </c>
      <c r="S454" s="182" t="str">
        <f>IFERROR(LOOKUP(2,1/((D_Points!$A$5:$A$204&lt;&gt;"")*(D_Points!$A$5:$A$204&gt;=$B454)*(D_Points!$A$5:$A$204&lt;$B454+P_Interval)*(RIGHT(UPPER(TRIM(D_Points!$B$5:$B$204)),7)="_BRIDGE")),IF(LEFT(UPPER(TRIM(D_Points!$B$5:$B$204)),2)="EX",1,IF(LEFT(UPPER(TRIM(D_Points!$B$5:$B$204)),2)="PR",2,2))),"")</f>
        <v/>
      </c>
      <c r="T454" s="181" t="str">
        <f>IFERROR(LOOKUP(2,1/((B_Drainage!$A$5:$A$204&lt;&gt;"")*(B_Drainage!$A$5:$A$204&lt;=$B454)*(B_Drainage!$B$5:$B$204&gt;$B454)*(B_Drainage!$E$5:$E$204&lt;&gt;"")),IF(B_Drainage!$E$5:$E$204="-","",1)),"")</f>
        <v/>
      </c>
      <c r="U454" s="181" t="str">
        <f>IFERROR(LOOKUP(2,1/((B_Drainage!$A$5:$A$204&lt;&gt;"")*(B_Drainage!$A$5:$A$204&lt;=$B454)*(B_Drainage!$B$5:$B$204&gt;$B454)*(B_Drainage!$E$5:$E$204&lt;&gt;"")),IF(B_Drainage!$E$5:$E$204="-","",B_Drainage!$E$5:$E$204)),"")</f>
        <v/>
      </c>
      <c r="V454" s="181" t="str">
        <f>IFERROR(LOOKUP(2,1/((B_Drainage!$A$5:$A$204&lt;&gt;"")*(B_Drainage!$A$5:$A$204&lt;=$B454)*(B_Drainage!$B$5:$B$204&gt;$B454)*(B_Drainage!$F$5:$F$204&lt;&gt;"")),IF(B_Drainage!$F$5:$F$204="-","",1)),"")</f>
        <v/>
      </c>
      <c r="W454" s="181" t="str">
        <f>IFERROR(LOOKUP(2,1/((B_Drainage!$A$5:$A$204&lt;&gt;"")*(B_Drainage!$A$5:$A$204&lt;=$B454)*(B_Drainage!$B$5:$B$204&gt;$B454)*(B_Drainage!$F$5:$F$204&lt;&gt;"")),IF(B_Drainage!$F$5:$F$204="-","",B_Drainage!$F$5:$F$204)),"")</f>
        <v/>
      </c>
      <c r="X454" s="181" t="str">
        <f>IFERROR(LOOKUP(2,1/((B_Drainage!$A$5:$A$204&lt;&gt;"")*(B_Drainage!$A$5:$A$204&lt;=$B454)*(B_Drainage!$B$5:$B$204&gt;$B454)*(B_Drainage!$G$5:$G$204&lt;&gt;"")),IF(UPPER(B_Drainage!$G$5:$G$204)="Y",1,"")),"")</f>
        <v/>
      </c>
      <c r="Y454" s="181" t="str">
        <f>IFERROR(LOOKUP(2,1/((B_Drainage!$A$5:$A$204&lt;&gt;"")*(B_Drainage!$A$5:$A$204&lt;=$B454)*(B_Drainage!$B$5:$B$204&gt;$B454)*(B_Drainage!$H$5:$H$204&lt;&gt;"")),IF(UPPER(B_Drainage!$H$5:$H$204)="Y",1,"")),"")</f>
        <v/>
      </c>
      <c r="Z454" s="181" t="str">
        <f>IFERROR(LOOKUP(2,1/((B_Drainage!$A$5:$A$204&lt;&gt;"")*(B_Drainage!$A$5:$A$204&lt;=$B454)*(B_Drainage!$B$5:$B$204&gt;$B454)*(B_Drainage!$I$5:$I$204&lt;&gt;"")),IF(UPPER(B_Drainage!$I$5:$I$204)="Y",1,"")),"")</f>
        <v/>
      </c>
      <c r="AA454" s="181" t="str">
        <f>IFERROR(LOOKUP(2,1/((B_Drainage!$A$5:$A$204&lt;&gt;"")*(B_Drainage!$A$5:$A$204&lt;=$B454)*(B_Drainage!$B$5:$B$204&gt;$B454)*(B_Drainage!$J$5:$J$204&lt;&gt;"")),IF(UPPER(B_Drainage!$J$5:$J$204)="Y",1,"")),"")</f>
        <v/>
      </c>
      <c r="AB454" s="182" t="str">
        <f>IFERROR(LOOKUP(2,1/((B_Drainage!$A$5:$A$204&lt;&gt;"")*(B_Drainage!$A$5:$A$204&lt;=$B454)*(B_Drainage!$B$5:$B$204&gt;$B454)*(B_Drainage!$K$5:$K$204&lt;&gt;"")),IF(B_Drainage!$K$5:$K$204="-","",B_Drainage!$K$5:$K$204)),"")</f>
        <v/>
      </c>
      <c r="AC454" s="182" t="str">
        <f>IFERROR(LOOKUP(2,1/((B_Drainage!$A$5:$A$204&lt;&gt;"")*(B_Drainage!$A$5:$A$204&lt;=$B454)*(B_Drainage!$B$5:$B$204&gt;$B454)*(B_Drainage!$L$5:$L$204&lt;&gt;"")),IF(B_Drainage!$L$5:$L$204="-","",B_Drainage!$L$5:$L$204)),"")</f>
        <v/>
      </c>
      <c r="AD454" s="182" t="str">
        <f>IFERROR(LOOKUP(2,1/((D_Points!$A$5:$A$204&lt;&gt;"")*(D_Points!$A$5:$A$204&gt;=$B454)*(D_Points!$A$5:$A$204&lt;$B454+P_Interval)*(UPPER(TRIM(D_Points!$B$5:$B$204))="TURNOUT_L")*(D_Points!$H$5:$H$204&lt;&gt;"")),D_Points!$H$5:$H$204),"")</f>
        <v/>
      </c>
      <c r="AE454" s="182" t="str">
        <f>IFERROR(LOOKUP(2,1/((D_Points!$A$5:$A$204&lt;&gt;"")*(D_Points!$A$5:$A$204&gt;=$B454)*(D_Points!$A$5:$A$204&lt;$B454+P_Interval)*(UPPER(TRIM(D_Points!$B$5:$B$204))="TURNOUT_R")*(D_Points!$H$5:$H$204&lt;&gt;"")),D_Points!$H$5:$H$204),"")</f>
        <v/>
      </c>
      <c r="AF454" s="181" t="str">
        <f>IFERROR(LOOKUP(2,1/((B_Drainage!$A$5:$A$204&lt;&gt;"")*(B_Drainage!$A$5:$A$204&lt;=$B454)*(B_Drainage!$B$5:$B$204&gt;$B454)*(B_Drainage!$M$5:$M$204&lt;&gt;"")),IF(UPPER(B_Drainage!$M$5:$M$204)="Y",1,"")),"")</f>
        <v/>
      </c>
      <c r="AG454" s="181" t="str">
        <f>IFERROR(LOOKUP(2,1/((B_Drainage!$A$5:$A$204&lt;&gt;"")*(B_Drainage!$A$5:$A$204&lt;=$B454)*(B_Drainage!$B$5:$B$204&gt;$B454)*(B_Drainage!$N$5:$N$204&lt;&gt;"")),IF(UPPER(B_Drainage!$N$5:$N$204)="Y",1,"")),"")</f>
        <v/>
      </c>
      <c r="AH454" s="181" t="str">
        <f t="shared" ref="AH454:AH517" si="56">IF($AT454="BLADE",1,"")</f>
        <v/>
      </c>
      <c r="AI454" s="181" t="str">
        <f t="shared" ref="AI454:AI517" si="57">IF($AT454="RESHAPE",1,"")</f>
        <v/>
      </c>
      <c r="AJ454" s="181" t="str">
        <f t="shared" ref="AJ454:AJ517" si="58">IF($AT454="SCARIFY",1,"")</f>
        <v/>
      </c>
      <c r="AK454" s="181" t="str">
        <f t="shared" ref="AK454:AK517" si="59">$AU454</f>
        <v/>
      </c>
      <c r="AL454" s="181" t="str">
        <f t="shared" ref="AL454:AL517" si="60">$AV454</f>
        <v/>
      </c>
      <c r="AM454" s="181" t="str">
        <f t="shared" ref="AM454:AM517" si="61">IF(OR(UPPER($AW454)="Y",$AW454=1),1,"")</f>
        <v/>
      </c>
      <c r="AN454" s="181" t="str">
        <f t="shared" ref="AN454:AN517" si="62">IF(OR(UPPER($AX454)="Y",$AX454=1),1,"")</f>
        <v/>
      </c>
      <c r="AO454" s="192" t="str">
        <f t="shared" ref="AO454:AO517" si="63">IF(OR(UPPER($AY454)="Y",$AY454=1),1,"")</f>
        <v/>
      </c>
      <c r="AQ454" t="str">
        <f>IFERROR(LOOKUP(2,1/((C_Pavement!$A$5:$A$204&lt;&gt;"")*(C_Pavement!$A$5:$A$204&lt;=$B454)*(C_Pavement!$B$5:$B$204&gt;$B454)*(C_Pavement!$C$5:$C$204&lt;&gt;"")),ROW(C_Pavement!$C$5:$C$204)-4),"")</f>
        <v/>
      </c>
      <c r="AR454" t="str">
        <f>IF($AQ454="","",UPPER(TRIM(INDEX(C_Pavement!$C$5:$C$204,$AQ454))))</f>
        <v/>
      </c>
      <c r="AS454" t="str">
        <f>IF($AR454="","",IFERROR(MATCH($AR454,E_Rules!$A$5:$A$9,0),""))</f>
        <v/>
      </c>
      <c r="AT454" t="str">
        <f>IF($AQ454="","",IF(INDEX(C_Pavement!$D$5:$D$204,$AQ454)&lt;&gt;"",UPPER(TRIM(INDEX(C_Pavement!$D$5:$D$204,$AQ454))),IF($AS454="","",INDEX(E_Rules!$C$5:$C$9,$AS454))))</f>
        <v/>
      </c>
      <c r="AU454" t="str">
        <f>IF($AQ454="","",IF(INDEX(C_Pavement!$E$5:$E$204,$AQ454)&lt;&gt;"",IF(INDEX(C_Pavement!$E$5:$E$204,$AQ454)="-","",INDEX(C_Pavement!$E$5:$E$204,$AQ454)),IF($AS454="","",INDEX(E_Rules!$D$5:$D$9,$AS454))))</f>
        <v/>
      </c>
      <c r="AV454" t="str">
        <f>IF($AQ454="","",IF(INDEX(C_Pavement!$F$5:$F$204,$AQ454)&lt;&gt;"",IF(INDEX(C_Pavement!$F$5:$F$204,$AQ454)="-","",INDEX(C_Pavement!$F$5:$F$204,$AQ454)),IF($AS454="","",INDEX(E_Rules!$E$5:$E$9,$AS454))))</f>
        <v/>
      </c>
      <c r="AW454" t="str">
        <f>IF($AQ454="","",IF(INDEX(C_Pavement!$G$5:$G$204,$AQ454)&lt;&gt;"",IF(INDEX(C_Pavement!$G$5:$G$204,$AQ454)="-","",INDEX(C_Pavement!$G$5:$G$204,$AQ454)),IF($AS454="","",INDEX(E_Rules!$F$5:$F$9,$AS454))))</f>
        <v/>
      </c>
      <c r="AX454" t="str">
        <f>IF($AQ454="","",IF(INDEX(C_Pavement!$H$5:$H$204,$AQ454)&lt;&gt;"",IF(INDEX(C_Pavement!$H$5:$H$204,$AQ454)="-","",INDEX(C_Pavement!$H$5:$H$204,$AQ454)),IF($AS454="","",INDEX(E_Rules!$G$5:$G$9,$AS454))))</f>
        <v/>
      </c>
      <c r="AY454" t="str">
        <f>IF($AQ454="","",IF(INDEX(C_Pavement!$I$5:$I$204,$AQ454)&lt;&gt;"",IF(INDEX(C_Pavement!$I$5:$I$204,$AQ454)="-","",INDEX(C_Pavement!$I$5:$I$204,$AQ454)),IF($AS454="","",INDEX(E_Rules!$H$5:$H$9,$AS454))))</f>
        <v/>
      </c>
    </row>
    <row r="455" spans="1:51" ht="15.75" customHeight="1" x14ac:dyDescent="0.3">
      <c r="A455" s="189">
        <v>450</v>
      </c>
      <c r="B455" s="180">
        <v>22450</v>
      </c>
      <c r="C455" s="180" t="s">
        <v>761</v>
      </c>
      <c r="D455" s="181" t="str">
        <f>IFERROR(LOOKUP(2,1/((A_Corridor!$A$5:$A$204&lt;&gt;"")*(A_Corridor!$A$5:$A$204&lt;=$B455)*(A_Corridor!$B$5:$B$204&gt;$B455)*(A_Corridor!$C$5:$C$204&lt;&gt;"")),IF(UPPER(A_Corridor!$C$5:$C$204)="Y",1,"")),"")</f>
        <v/>
      </c>
      <c r="E455" s="181" t="str">
        <f>IFERROR(LOOKUP(2,1/((A_Corridor!$A$5:$A$204&lt;&gt;"")*(A_Corridor!$A$5:$A$204&lt;=$B455)*(A_Corridor!$B$5:$B$204&gt;$B455)*(A_Corridor!$D$5:$D$204&lt;&gt;"")),IF(A_Corridor!$D$5:$D$204="-","",UPPER(A_Corridor!$D$5:$D$204))),"")</f>
        <v/>
      </c>
      <c r="F455" s="181" t="str">
        <f>IFERROR(LOOKUP(2,1/((A_Corridor!$A$5:$A$204&lt;&gt;"")*(A_Corridor!$A$5:$A$204&lt;=$B455)*(A_Corridor!$B$5:$B$204&gt;$B455)*(A_Corridor!$E$5:$E$204&lt;&gt;"")),IF(A_Corridor!$E$5:$E$204="-","",1)),"")</f>
        <v/>
      </c>
      <c r="G455" s="182" t="str">
        <f>IFERROR(LOOKUP(2,1/((A_Corridor!$A$5:$A$204&lt;&gt;"")*(A_Corridor!$A$5:$A$204&lt;=$B455)*(A_Corridor!$B$5:$B$204&gt;$B455)*(A_Corridor!$E$5:$E$204&lt;&gt;"")),IF(A_Corridor!$E$5:$E$204="-","",A_Corridor!$E$5:$E$204)),"")</f>
        <v/>
      </c>
      <c r="H455" s="182" t="str">
        <f>IFERROR(LOOKUP(2,1/((D_Points!$A$5:$A$204&lt;&gt;"")*(D_Points!$A$5:$A$204&gt;=$B455)*(D_Points!$A$5:$A$204&lt;$B455+P_Interval)*(UPPER(TRIM(D_Points!$B$5:$B$204))="GULLY")*(D_Points!$H$5:$H$204&lt;&gt;"")),D_Points!$H$5:$H$204),"")</f>
        <v/>
      </c>
      <c r="I455" s="181" t="str">
        <f>IFERROR(LOOKUP(2,1/((A_Corridor!$A$5:$A$204&lt;&gt;"")*(A_Corridor!$A$5:$A$204&lt;=$B455)*(A_Corridor!$B$5:$B$204&gt;$B455)*(A_Corridor!$F$5:$F$204&lt;&gt;"")),IF(A_Corridor!$F$5:$F$204="-","",1)),"")</f>
        <v/>
      </c>
      <c r="J455" s="182" t="str">
        <f>IFERROR(LOOKUP(2,1/((A_Corridor!$A$5:$A$204&lt;&gt;"")*(A_Corridor!$A$5:$A$204&lt;=$B455)*(A_Corridor!$B$5:$B$204&gt;$B455)*(A_Corridor!$F$5:$F$204&lt;&gt;"")),IF(A_Corridor!$F$5:$F$204="-","",A_Corridor!$F$5:$F$204)),"")</f>
        <v/>
      </c>
      <c r="K455" s="182" t="str">
        <f>IFERROR(LOOKUP(2,1/((A_Corridor!$A$5:$A$204&lt;&gt;"")*(A_Corridor!$A$5:$A$204&lt;=$B455)*(A_Corridor!$B$5:$B$204&gt;$B455)*(A_Corridor!$G$5:$G$204&lt;&gt;"")),IF(A_Corridor!$G$5:$G$204="-","",A_Corridor!$G$5:$G$204)),"")</f>
        <v/>
      </c>
      <c r="L455" s="181" t="str">
        <f>IFERROR(LOOKUP(2,1/((A_Corridor!$A$5:$A$204&lt;&gt;"")*(A_Corridor!$A$5:$A$204&lt;=$B455)*(A_Corridor!$B$5:$B$204&gt;$B455)*(A_Corridor!$H$5:$H$204&lt;&gt;"")),IF(A_Corridor!$H$5:$H$204="-","",1)),"")</f>
        <v/>
      </c>
      <c r="M455" s="182" t="str">
        <f>IFERROR(LOOKUP(2,1/((A_Corridor!$A$5:$A$204&lt;&gt;"")*(A_Corridor!$A$5:$A$204&lt;=$B455)*(A_Corridor!$B$5:$B$204&gt;$B455)*(A_Corridor!$H$5:$H$204&lt;&gt;"")),IF(A_Corridor!$H$5:$H$204="-","",A_Corridor!$H$5:$H$204)),"")</f>
        <v/>
      </c>
      <c r="N455" s="182" t="str">
        <f>IFERROR(LOOKUP(2,1/((A_Corridor!$A$5:$A$204&lt;&gt;"")*(A_Corridor!$A$5:$A$204&lt;=$B455)*(A_Corridor!$B$5:$B$204&gt;$B455)*(A_Corridor!$I$5:$I$204&lt;&gt;"")),IF(A_Corridor!$I$5:$I$204="-","",A_Corridor!$I$5:$I$204)),"")</f>
        <v/>
      </c>
      <c r="O455" s="182" t="str">
        <f>IFERROR(LOOKUP(2,1/((D_Points!$A$5:$A$204&lt;&gt;"")*(D_Points!$A$5:$A$204&gt;=$B455)*(D_Points!$A$5:$A$204&lt;$B455+P_Interval)*(UPPER(TRIM(D_Points!$B$5:$B$204))="PITCHING")*(D_Points!$H$5:$H$204&lt;&gt;"")),D_Points!$H$5:$H$204),"")</f>
        <v/>
      </c>
      <c r="P455" s="181" t="str">
        <f>IFERROR(LOOKUP(2,1/((B_Drainage!$A$5:$A$204&lt;&gt;"")*(B_Drainage!$A$5:$A$204&lt;=$B455)*(B_Drainage!$B$5:$B$204&gt;$B455)*(B_Drainage!$C$5:$C$204&lt;&gt;"")),IF(B_Drainage!$C$5:$C$204="-","",UPPER(B_Drainage!$C$5:$C$204))),"")</f>
        <v/>
      </c>
      <c r="Q455" s="181" t="str">
        <f>IFERROR(LOOKUP(2,1/((B_Drainage!$A$5:$A$204&lt;&gt;"")*(B_Drainage!$A$5:$A$204&lt;=$B455)*(B_Drainage!$B$5:$B$204&gt;$B455)*(B_Drainage!$D$5:$D$204&lt;&gt;"")),IF(B_Drainage!$D$5:$D$204="-","",UPPER(B_Drainage!$D$5:$D$204))),"")</f>
        <v/>
      </c>
      <c r="R455" s="182" t="str">
        <f>IFERROR(LOOKUP(2,1/((D_Points!$A$5:$A$204&lt;&gt;"")*(D_Points!$A$5:$A$204&gt;=$B455)*(D_Points!$A$5:$A$204&lt;$B455+P_Interval)*(RIGHT(UPPER(TRIM(D_Points!$B$5:$B$204)),8)="_CULVERT")),IF(LEFT(UPPER(TRIM(D_Points!$B$5:$B$204)),2)="EX",1,IF(LEFT(UPPER(TRIM(D_Points!$B$5:$B$204)),2)="PR",2,3))),"")</f>
        <v/>
      </c>
      <c r="S455" s="182" t="str">
        <f>IFERROR(LOOKUP(2,1/((D_Points!$A$5:$A$204&lt;&gt;"")*(D_Points!$A$5:$A$204&gt;=$B455)*(D_Points!$A$5:$A$204&lt;$B455+P_Interval)*(RIGHT(UPPER(TRIM(D_Points!$B$5:$B$204)),7)="_BRIDGE")),IF(LEFT(UPPER(TRIM(D_Points!$B$5:$B$204)),2)="EX",1,IF(LEFT(UPPER(TRIM(D_Points!$B$5:$B$204)),2)="PR",2,2))),"")</f>
        <v/>
      </c>
      <c r="T455" s="181" t="str">
        <f>IFERROR(LOOKUP(2,1/((B_Drainage!$A$5:$A$204&lt;&gt;"")*(B_Drainage!$A$5:$A$204&lt;=$B455)*(B_Drainage!$B$5:$B$204&gt;$B455)*(B_Drainage!$E$5:$E$204&lt;&gt;"")),IF(B_Drainage!$E$5:$E$204="-","",1)),"")</f>
        <v/>
      </c>
      <c r="U455" s="181" t="str">
        <f>IFERROR(LOOKUP(2,1/((B_Drainage!$A$5:$A$204&lt;&gt;"")*(B_Drainage!$A$5:$A$204&lt;=$B455)*(B_Drainage!$B$5:$B$204&gt;$B455)*(B_Drainage!$E$5:$E$204&lt;&gt;"")),IF(B_Drainage!$E$5:$E$204="-","",B_Drainage!$E$5:$E$204)),"")</f>
        <v/>
      </c>
      <c r="V455" s="181" t="str">
        <f>IFERROR(LOOKUP(2,1/((B_Drainage!$A$5:$A$204&lt;&gt;"")*(B_Drainage!$A$5:$A$204&lt;=$B455)*(B_Drainage!$B$5:$B$204&gt;$B455)*(B_Drainage!$F$5:$F$204&lt;&gt;"")),IF(B_Drainage!$F$5:$F$204="-","",1)),"")</f>
        <v/>
      </c>
      <c r="W455" s="181" t="str">
        <f>IFERROR(LOOKUP(2,1/((B_Drainage!$A$5:$A$204&lt;&gt;"")*(B_Drainage!$A$5:$A$204&lt;=$B455)*(B_Drainage!$B$5:$B$204&gt;$B455)*(B_Drainage!$F$5:$F$204&lt;&gt;"")),IF(B_Drainage!$F$5:$F$204="-","",B_Drainage!$F$5:$F$204)),"")</f>
        <v/>
      </c>
      <c r="X455" s="181" t="str">
        <f>IFERROR(LOOKUP(2,1/((B_Drainage!$A$5:$A$204&lt;&gt;"")*(B_Drainage!$A$5:$A$204&lt;=$B455)*(B_Drainage!$B$5:$B$204&gt;$B455)*(B_Drainage!$G$5:$G$204&lt;&gt;"")),IF(UPPER(B_Drainage!$G$5:$G$204)="Y",1,"")),"")</f>
        <v/>
      </c>
      <c r="Y455" s="181" t="str">
        <f>IFERROR(LOOKUP(2,1/((B_Drainage!$A$5:$A$204&lt;&gt;"")*(B_Drainage!$A$5:$A$204&lt;=$B455)*(B_Drainage!$B$5:$B$204&gt;$B455)*(B_Drainage!$H$5:$H$204&lt;&gt;"")),IF(UPPER(B_Drainage!$H$5:$H$204)="Y",1,"")),"")</f>
        <v/>
      </c>
      <c r="Z455" s="181" t="str">
        <f>IFERROR(LOOKUP(2,1/((B_Drainage!$A$5:$A$204&lt;&gt;"")*(B_Drainage!$A$5:$A$204&lt;=$B455)*(B_Drainage!$B$5:$B$204&gt;$B455)*(B_Drainage!$I$5:$I$204&lt;&gt;"")),IF(UPPER(B_Drainage!$I$5:$I$204)="Y",1,"")),"")</f>
        <v/>
      </c>
      <c r="AA455" s="181" t="str">
        <f>IFERROR(LOOKUP(2,1/((B_Drainage!$A$5:$A$204&lt;&gt;"")*(B_Drainage!$A$5:$A$204&lt;=$B455)*(B_Drainage!$B$5:$B$204&gt;$B455)*(B_Drainage!$J$5:$J$204&lt;&gt;"")),IF(UPPER(B_Drainage!$J$5:$J$204)="Y",1,"")),"")</f>
        <v/>
      </c>
      <c r="AB455" s="182" t="str">
        <f>IFERROR(LOOKUP(2,1/((B_Drainage!$A$5:$A$204&lt;&gt;"")*(B_Drainage!$A$5:$A$204&lt;=$B455)*(B_Drainage!$B$5:$B$204&gt;$B455)*(B_Drainage!$K$5:$K$204&lt;&gt;"")),IF(B_Drainage!$K$5:$K$204="-","",B_Drainage!$K$5:$K$204)),"")</f>
        <v/>
      </c>
      <c r="AC455" s="182" t="str">
        <f>IFERROR(LOOKUP(2,1/((B_Drainage!$A$5:$A$204&lt;&gt;"")*(B_Drainage!$A$5:$A$204&lt;=$B455)*(B_Drainage!$B$5:$B$204&gt;$B455)*(B_Drainage!$L$5:$L$204&lt;&gt;"")),IF(B_Drainage!$L$5:$L$204="-","",B_Drainage!$L$5:$L$204)),"")</f>
        <v/>
      </c>
      <c r="AD455" s="182" t="str">
        <f>IFERROR(LOOKUP(2,1/((D_Points!$A$5:$A$204&lt;&gt;"")*(D_Points!$A$5:$A$204&gt;=$B455)*(D_Points!$A$5:$A$204&lt;$B455+P_Interval)*(UPPER(TRIM(D_Points!$B$5:$B$204))="TURNOUT_L")*(D_Points!$H$5:$H$204&lt;&gt;"")),D_Points!$H$5:$H$204),"")</f>
        <v/>
      </c>
      <c r="AE455" s="182" t="str">
        <f>IFERROR(LOOKUP(2,1/((D_Points!$A$5:$A$204&lt;&gt;"")*(D_Points!$A$5:$A$204&gt;=$B455)*(D_Points!$A$5:$A$204&lt;$B455+P_Interval)*(UPPER(TRIM(D_Points!$B$5:$B$204))="TURNOUT_R")*(D_Points!$H$5:$H$204&lt;&gt;"")),D_Points!$H$5:$H$204),"")</f>
        <v/>
      </c>
      <c r="AF455" s="181" t="str">
        <f>IFERROR(LOOKUP(2,1/((B_Drainage!$A$5:$A$204&lt;&gt;"")*(B_Drainage!$A$5:$A$204&lt;=$B455)*(B_Drainage!$B$5:$B$204&gt;$B455)*(B_Drainage!$M$5:$M$204&lt;&gt;"")),IF(UPPER(B_Drainage!$M$5:$M$204)="Y",1,"")),"")</f>
        <v/>
      </c>
      <c r="AG455" s="181" t="str">
        <f>IFERROR(LOOKUP(2,1/((B_Drainage!$A$5:$A$204&lt;&gt;"")*(B_Drainage!$A$5:$A$204&lt;=$B455)*(B_Drainage!$B$5:$B$204&gt;$B455)*(B_Drainage!$N$5:$N$204&lt;&gt;"")),IF(UPPER(B_Drainage!$N$5:$N$204)="Y",1,"")),"")</f>
        <v/>
      </c>
      <c r="AH455" s="181" t="str">
        <f t="shared" si="56"/>
        <v/>
      </c>
      <c r="AI455" s="181" t="str">
        <f t="shared" si="57"/>
        <v/>
      </c>
      <c r="AJ455" s="181" t="str">
        <f t="shared" si="58"/>
        <v/>
      </c>
      <c r="AK455" s="181" t="str">
        <f t="shared" si="59"/>
        <v/>
      </c>
      <c r="AL455" s="181" t="str">
        <f t="shared" si="60"/>
        <v/>
      </c>
      <c r="AM455" s="181" t="str">
        <f t="shared" si="61"/>
        <v/>
      </c>
      <c r="AN455" s="181" t="str">
        <f t="shared" si="62"/>
        <v/>
      </c>
      <c r="AO455" s="192" t="str">
        <f t="shared" si="63"/>
        <v/>
      </c>
      <c r="AQ455" t="str">
        <f>IFERROR(LOOKUP(2,1/((C_Pavement!$A$5:$A$204&lt;&gt;"")*(C_Pavement!$A$5:$A$204&lt;=$B455)*(C_Pavement!$B$5:$B$204&gt;$B455)*(C_Pavement!$C$5:$C$204&lt;&gt;"")),ROW(C_Pavement!$C$5:$C$204)-4),"")</f>
        <v/>
      </c>
      <c r="AR455" t="str">
        <f>IF($AQ455="","",UPPER(TRIM(INDEX(C_Pavement!$C$5:$C$204,$AQ455))))</f>
        <v/>
      </c>
      <c r="AS455" t="str">
        <f>IF($AR455="","",IFERROR(MATCH($AR455,E_Rules!$A$5:$A$9,0),""))</f>
        <v/>
      </c>
      <c r="AT455" t="str">
        <f>IF($AQ455="","",IF(INDEX(C_Pavement!$D$5:$D$204,$AQ455)&lt;&gt;"",UPPER(TRIM(INDEX(C_Pavement!$D$5:$D$204,$AQ455))),IF($AS455="","",INDEX(E_Rules!$C$5:$C$9,$AS455))))</f>
        <v/>
      </c>
      <c r="AU455" t="str">
        <f>IF($AQ455="","",IF(INDEX(C_Pavement!$E$5:$E$204,$AQ455)&lt;&gt;"",IF(INDEX(C_Pavement!$E$5:$E$204,$AQ455)="-","",INDEX(C_Pavement!$E$5:$E$204,$AQ455)),IF($AS455="","",INDEX(E_Rules!$D$5:$D$9,$AS455))))</f>
        <v/>
      </c>
      <c r="AV455" t="str">
        <f>IF($AQ455="","",IF(INDEX(C_Pavement!$F$5:$F$204,$AQ455)&lt;&gt;"",IF(INDEX(C_Pavement!$F$5:$F$204,$AQ455)="-","",INDEX(C_Pavement!$F$5:$F$204,$AQ455)),IF($AS455="","",INDEX(E_Rules!$E$5:$E$9,$AS455))))</f>
        <v/>
      </c>
      <c r="AW455" t="str">
        <f>IF($AQ455="","",IF(INDEX(C_Pavement!$G$5:$G$204,$AQ455)&lt;&gt;"",IF(INDEX(C_Pavement!$G$5:$G$204,$AQ455)="-","",INDEX(C_Pavement!$G$5:$G$204,$AQ455)),IF($AS455="","",INDEX(E_Rules!$F$5:$F$9,$AS455))))</f>
        <v/>
      </c>
      <c r="AX455" t="str">
        <f>IF($AQ455="","",IF(INDEX(C_Pavement!$H$5:$H$204,$AQ455)&lt;&gt;"",IF(INDEX(C_Pavement!$H$5:$H$204,$AQ455)="-","",INDEX(C_Pavement!$H$5:$H$204,$AQ455)),IF($AS455="","",INDEX(E_Rules!$G$5:$G$9,$AS455))))</f>
        <v/>
      </c>
      <c r="AY455" t="str">
        <f>IF($AQ455="","",IF(INDEX(C_Pavement!$I$5:$I$204,$AQ455)&lt;&gt;"",IF(INDEX(C_Pavement!$I$5:$I$204,$AQ455)="-","",INDEX(C_Pavement!$I$5:$I$204,$AQ455)),IF($AS455="","",INDEX(E_Rules!$H$5:$H$9,$AS455))))</f>
        <v/>
      </c>
    </row>
    <row r="456" spans="1:51" ht="15.75" customHeight="1" x14ac:dyDescent="0.3">
      <c r="A456" s="189">
        <v>451</v>
      </c>
      <c r="B456" s="180">
        <v>22500</v>
      </c>
      <c r="C456" s="180" t="s">
        <v>762</v>
      </c>
      <c r="D456" s="181" t="str">
        <f>IFERROR(LOOKUP(2,1/((A_Corridor!$A$5:$A$204&lt;&gt;"")*(A_Corridor!$A$5:$A$204&lt;=$B456)*(A_Corridor!$B$5:$B$204&gt;$B456)*(A_Corridor!$C$5:$C$204&lt;&gt;"")),IF(UPPER(A_Corridor!$C$5:$C$204)="Y",1,"")),"")</f>
        <v/>
      </c>
      <c r="E456" s="181" t="str">
        <f>IFERROR(LOOKUP(2,1/((A_Corridor!$A$5:$A$204&lt;&gt;"")*(A_Corridor!$A$5:$A$204&lt;=$B456)*(A_Corridor!$B$5:$B$204&gt;$B456)*(A_Corridor!$D$5:$D$204&lt;&gt;"")),IF(A_Corridor!$D$5:$D$204="-","",UPPER(A_Corridor!$D$5:$D$204))),"")</f>
        <v/>
      </c>
      <c r="F456" s="181" t="str">
        <f>IFERROR(LOOKUP(2,1/((A_Corridor!$A$5:$A$204&lt;&gt;"")*(A_Corridor!$A$5:$A$204&lt;=$B456)*(A_Corridor!$B$5:$B$204&gt;$B456)*(A_Corridor!$E$5:$E$204&lt;&gt;"")),IF(A_Corridor!$E$5:$E$204="-","",1)),"")</f>
        <v/>
      </c>
      <c r="G456" s="182" t="str">
        <f>IFERROR(LOOKUP(2,1/((A_Corridor!$A$5:$A$204&lt;&gt;"")*(A_Corridor!$A$5:$A$204&lt;=$B456)*(A_Corridor!$B$5:$B$204&gt;$B456)*(A_Corridor!$E$5:$E$204&lt;&gt;"")),IF(A_Corridor!$E$5:$E$204="-","",A_Corridor!$E$5:$E$204)),"")</f>
        <v/>
      </c>
      <c r="H456" s="182" t="str">
        <f>IFERROR(LOOKUP(2,1/((D_Points!$A$5:$A$204&lt;&gt;"")*(D_Points!$A$5:$A$204&gt;=$B456)*(D_Points!$A$5:$A$204&lt;$B456+P_Interval)*(UPPER(TRIM(D_Points!$B$5:$B$204))="GULLY")*(D_Points!$H$5:$H$204&lt;&gt;"")),D_Points!$H$5:$H$204),"")</f>
        <v/>
      </c>
      <c r="I456" s="181" t="str">
        <f>IFERROR(LOOKUP(2,1/((A_Corridor!$A$5:$A$204&lt;&gt;"")*(A_Corridor!$A$5:$A$204&lt;=$B456)*(A_Corridor!$B$5:$B$204&gt;$B456)*(A_Corridor!$F$5:$F$204&lt;&gt;"")),IF(A_Corridor!$F$5:$F$204="-","",1)),"")</f>
        <v/>
      </c>
      <c r="J456" s="182" t="str">
        <f>IFERROR(LOOKUP(2,1/((A_Corridor!$A$5:$A$204&lt;&gt;"")*(A_Corridor!$A$5:$A$204&lt;=$B456)*(A_Corridor!$B$5:$B$204&gt;$B456)*(A_Corridor!$F$5:$F$204&lt;&gt;"")),IF(A_Corridor!$F$5:$F$204="-","",A_Corridor!$F$5:$F$204)),"")</f>
        <v/>
      </c>
      <c r="K456" s="182" t="str">
        <f>IFERROR(LOOKUP(2,1/((A_Corridor!$A$5:$A$204&lt;&gt;"")*(A_Corridor!$A$5:$A$204&lt;=$B456)*(A_Corridor!$B$5:$B$204&gt;$B456)*(A_Corridor!$G$5:$G$204&lt;&gt;"")),IF(A_Corridor!$G$5:$G$204="-","",A_Corridor!$G$5:$G$204)),"")</f>
        <v/>
      </c>
      <c r="L456" s="181" t="str">
        <f>IFERROR(LOOKUP(2,1/((A_Corridor!$A$5:$A$204&lt;&gt;"")*(A_Corridor!$A$5:$A$204&lt;=$B456)*(A_Corridor!$B$5:$B$204&gt;$B456)*(A_Corridor!$H$5:$H$204&lt;&gt;"")),IF(A_Corridor!$H$5:$H$204="-","",1)),"")</f>
        <v/>
      </c>
      <c r="M456" s="182" t="str">
        <f>IFERROR(LOOKUP(2,1/((A_Corridor!$A$5:$A$204&lt;&gt;"")*(A_Corridor!$A$5:$A$204&lt;=$B456)*(A_Corridor!$B$5:$B$204&gt;$B456)*(A_Corridor!$H$5:$H$204&lt;&gt;"")),IF(A_Corridor!$H$5:$H$204="-","",A_Corridor!$H$5:$H$204)),"")</f>
        <v/>
      </c>
      <c r="N456" s="182" t="str">
        <f>IFERROR(LOOKUP(2,1/((A_Corridor!$A$5:$A$204&lt;&gt;"")*(A_Corridor!$A$5:$A$204&lt;=$B456)*(A_Corridor!$B$5:$B$204&gt;$B456)*(A_Corridor!$I$5:$I$204&lt;&gt;"")),IF(A_Corridor!$I$5:$I$204="-","",A_Corridor!$I$5:$I$204)),"")</f>
        <v/>
      </c>
      <c r="O456" s="182" t="str">
        <f>IFERROR(LOOKUP(2,1/((D_Points!$A$5:$A$204&lt;&gt;"")*(D_Points!$A$5:$A$204&gt;=$B456)*(D_Points!$A$5:$A$204&lt;$B456+P_Interval)*(UPPER(TRIM(D_Points!$B$5:$B$204))="PITCHING")*(D_Points!$H$5:$H$204&lt;&gt;"")),D_Points!$H$5:$H$204),"")</f>
        <v/>
      </c>
      <c r="P456" s="181" t="str">
        <f>IFERROR(LOOKUP(2,1/((B_Drainage!$A$5:$A$204&lt;&gt;"")*(B_Drainage!$A$5:$A$204&lt;=$B456)*(B_Drainage!$B$5:$B$204&gt;$B456)*(B_Drainage!$C$5:$C$204&lt;&gt;"")),IF(B_Drainage!$C$5:$C$204="-","",UPPER(B_Drainage!$C$5:$C$204))),"")</f>
        <v/>
      </c>
      <c r="Q456" s="181" t="str">
        <f>IFERROR(LOOKUP(2,1/((B_Drainage!$A$5:$A$204&lt;&gt;"")*(B_Drainage!$A$5:$A$204&lt;=$B456)*(B_Drainage!$B$5:$B$204&gt;$B456)*(B_Drainage!$D$5:$D$204&lt;&gt;"")),IF(B_Drainage!$D$5:$D$204="-","",UPPER(B_Drainage!$D$5:$D$204))),"")</f>
        <v/>
      </c>
      <c r="R456" s="182" t="str">
        <f>IFERROR(LOOKUP(2,1/((D_Points!$A$5:$A$204&lt;&gt;"")*(D_Points!$A$5:$A$204&gt;=$B456)*(D_Points!$A$5:$A$204&lt;$B456+P_Interval)*(RIGHT(UPPER(TRIM(D_Points!$B$5:$B$204)),8)="_CULVERT")),IF(LEFT(UPPER(TRIM(D_Points!$B$5:$B$204)),2)="EX",1,IF(LEFT(UPPER(TRIM(D_Points!$B$5:$B$204)),2)="PR",2,3))),"")</f>
        <v/>
      </c>
      <c r="S456" s="182" t="str">
        <f>IFERROR(LOOKUP(2,1/((D_Points!$A$5:$A$204&lt;&gt;"")*(D_Points!$A$5:$A$204&gt;=$B456)*(D_Points!$A$5:$A$204&lt;$B456+P_Interval)*(RIGHT(UPPER(TRIM(D_Points!$B$5:$B$204)),7)="_BRIDGE")),IF(LEFT(UPPER(TRIM(D_Points!$B$5:$B$204)),2)="EX",1,IF(LEFT(UPPER(TRIM(D_Points!$B$5:$B$204)),2)="PR",2,2))),"")</f>
        <v/>
      </c>
      <c r="T456" s="181" t="str">
        <f>IFERROR(LOOKUP(2,1/((B_Drainage!$A$5:$A$204&lt;&gt;"")*(B_Drainage!$A$5:$A$204&lt;=$B456)*(B_Drainage!$B$5:$B$204&gt;$B456)*(B_Drainage!$E$5:$E$204&lt;&gt;"")),IF(B_Drainage!$E$5:$E$204="-","",1)),"")</f>
        <v/>
      </c>
      <c r="U456" s="181" t="str">
        <f>IFERROR(LOOKUP(2,1/((B_Drainage!$A$5:$A$204&lt;&gt;"")*(B_Drainage!$A$5:$A$204&lt;=$B456)*(B_Drainage!$B$5:$B$204&gt;$B456)*(B_Drainage!$E$5:$E$204&lt;&gt;"")),IF(B_Drainage!$E$5:$E$204="-","",B_Drainage!$E$5:$E$204)),"")</f>
        <v/>
      </c>
      <c r="V456" s="181" t="str">
        <f>IFERROR(LOOKUP(2,1/((B_Drainage!$A$5:$A$204&lt;&gt;"")*(B_Drainage!$A$5:$A$204&lt;=$B456)*(B_Drainage!$B$5:$B$204&gt;$B456)*(B_Drainage!$F$5:$F$204&lt;&gt;"")),IF(B_Drainage!$F$5:$F$204="-","",1)),"")</f>
        <v/>
      </c>
      <c r="W456" s="181" t="str">
        <f>IFERROR(LOOKUP(2,1/((B_Drainage!$A$5:$A$204&lt;&gt;"")*(B_Drainage!$A$5:$A$204&lt;=$B456)*(B_Drainage!$B$5:$B$204&gt;$B456)*(B_Drainage!$F$5:$F$204&lt;&gt;"")),IF(B_Drainage!$F$5:$F$204="-","",B_Drainage!$F$5:$F$204)),"")</f>
        <v/>
      </c>
      <c r="X456" s="181" t="str">
        <f>IFERROR(LOOKUP(2,1/((B_Drainage!$A$5:$A$204&lt;&gt;"")*(B_Drainage!$A$5:$A$204&lt;=$B456)*(B_Drainage!$B$5:$B$204&gt;$B456)*(B_Drainage!$G$5:$G$204&lt;&gt;"")),IF(UPPER(B_Drainage!$G$5:$G$204)="Y",1,"")),"")</f>
        <v/>
      </c>
      <c r="Y456" s="181" t="str">
        <f>IFERROR(LOOKUP(2,1/((B_Drainage!$A$5:$A$204&lt;&gt;"")*(B_Drainage!$A$5:$A$204&lt;=$B456)*(B_Drainage!$B$5:$B$204&gt;$B456)*(B_Drainage!$H$5:$H$204&lt;&gt;"")),IF(UPPER(B_Drainage!$H$5:$H$204)="Y",1,"")),"")</f>
        <v/>
      </c>
      <c r="Z456" s="181" t="str">
        <f>IFERROR(LOOKUP(2,1/((B_Drainage!$A$5:$A$204&lt;&gt;"")*(B_Drainage!$A$5:$A$204&lt;=$B456)*(B_Drainage!$B$5:$B$204&gt;$B456)*(B_Drainage!$I$5:$I$204&lt;&gt;"")),IF(UPPER(B_Drainage!$I$5:$I$204)="Y",1,"")),"")</f>
        <v/>
      </c>
      <c r="AA456" s="181" t="str">
        <f>IFERROR(LOOKUP(2,1/((B_Drainage!$A$5:$A$204&lt;&gt;"")*(B_Drainage!$A$5:$A$204&lt;=$B456)*(B_Drainage!$B$5:$B$204&gt;$B456)*(B_Drainage!$J$5:$J$204&lt;&gt;"")),IF(UPPER(B_Drainage!$J$5:$J$204)="Y",1,"")),"")</f>
        <v/>
      </c>
      <c r="AB456" s="182" t="str">
        <f>IFERROR(LOOKUP(2,1/((B_Drainage!$A$5:$A$204&lt;&gt;"")*(B_Drainage!$A$5:$A$204&lt;=$B456)*(B_Drainage!$B$5:$B$204&gt;$B456)*(B_Drainage!$K$5:$K$204&lt;&gt;"")),IF(B_Drainage!$K$5:$K$204="-","",B_Drainage!$K$5:$K$204)),"")</f>
        <v/>
      </c>
      <c r="AC456" s="182" t="str">
        <f>IFERROR(LOOKUP(2,1/((B_Drainage!$A$5:$A$204&lt;&gt;"")*(B_Drainage!$A$5:$A$204&lt;=$B456)*(B_Drainage!$B$5:$B$204&gt;$B456)*(B_Drainage!$L$5:$L$204&lt;&gt;"")),IF(B_Drainage!$L$5:$L$204="-","",B_Drainage!$L$5:$L$204)),"")</f>
        <v/>
      </c>
      <c r="AD456" s="182" t="str">
        <f>IFERROR(LOOKUP(2,1/((D_Points!$A$5:$A$204&lt;&gt;"")*(D_Points!$A$5:$A$204&gt;=$B456)*(D_Points!$A$5:$A$204&lt;$B456+P_Interval)*(UPPER(TRIM(D_Points!$B$5:$B$204))="TURNOUT_L")*(D_Points!$H$5:$H$204&lt;&gt;"")),D_Points!$H$5:$H$204),"")</f>
        <v/>
      </c>
      <c r="AE456" s="182" t="str">
        <f>IFERROR(LOOKUP(2,1/((D_Points!$A$5:$A$204&lt;&gt;"")*(D_Points!$A$5:$A$204&gt;=$B456)*(D_Points!$A$5:$A$204&lt;$B456+P_Interval)*(UPPER(TRIM(D_Points!$B$5:$B$204))="TURNOUT_R")*(D_Points!$H$5:$H$204&lt;&gt;"")),D_Points!$H$5:$H$204),"")</f>
        <v/>
      </c>
      <c r="AF456" s="181" t="str">
        <f>IFERROR(LOOKUP(2,1/((B_Drainage!$A$5:$A$204&lt;&gt;"")*(B_Drainage!$A$5:$A$204&lt;=$B456)*(B_Drainage!$B$5:$B$204&gt;$B456)*(B_Drainage!$M$5:$M$204&lt;&gt;"")),IF(UPPER(B_Drainage!$M$5:$M$204)="Y",1,"")),"")</f>
        <v/>
      </c>
      <c r="AG456" s="181" t="str">
        <f>IFERROR(LOOKUP(2,1/((B_Drainage!$A$5:$A$204&lt;&gt;"")*(B_Drainage!$A$5:$A$204&lt;=$B456)*(B_Drainage!$B$5:$B$204&gt;$B456)*(B_Drainage!$N$5:$N$204&lt;&gt;"")),IF(UPPER(B_Drainage!$N$5:$N$204)="Y",1,"")),"")</f>
        <v/>
      </c>
      <c r="AH456" s="181" t="str">
        <f t="shared" si="56"/>
        <v/>
      </c>
      <c r="AI456" s="181" t="str">
        <f t="shared" si="57"/>
        <v/>
      </c>
      <c r="AJ456" s="181" t="str">
        <f t="shared" si="58"/>
        <v/>
      </c>
      <c r="AK456" s="181" t="str">
        <f t="shared" si="59"/>
        <v/>
      </c>
      <c r="AL456" s="181" t="str">
        <f t="shared" si="60"/>
        <v/>
      </c>
      <c r="AM456" s="181" t="str">
        <f t="shared" si="61"/>
        <v/>
      </c>
      <c r="AN456" s="181" t="str">
        <f t="shared" si="62"/>
        <v/>
      </c>
      <c r="AO456" s="192" t="str">
        <f t="shared" si="63"/>
        <v/>
      </c>
      <c r="AQ456" t="str">
        <f>IFERROR(LOOKUP(2,1/((C_Pavement!$A$5:$A$204&lt;&gt;"")*(C_Pavement!$A$5:$A$204&lt;=$B456)*(C_Pavement!$B$5:$B$204&gt;$B456)*(C_Pavement!$C$5:$C$204&lt;&gt;"")),ROW(C_Pavement!$C$5:$C$204)-4),"")</f>
        <v/>
      </c>
      <c r="AR456" t="str">
        <f>IF($AQ456="","",UPPER(TRIM(INDEX(C_Pavement!$C$5:$C$204,$AQ456))))</f>
        <v/>
      </c>
      <c r="AS456" t="str">
        <f>IF($AR456="","",IFERROR(MATCH($AR456,E_Rules!$A$5:$A$9,0),""))</f>
        <v/>
      </c>
      <c r="AT456" t="str">
        <f>IF($AQ456="","",IF(INDEX(C_Pavement!$D$5:$D$204,$AQ456)&lt;&gt;"",UPPER(TRIM(INDEX(C_Pavement!$D$5:$D$204,$AQ456))),IF($AS456="","",INDEX(E_Rules!$C$5:$C$9,$AS456))))</f>
        <v/>
      </c>
      <c r="AU456" t="str">
        <f>IF($AQ456="","",IF(INDEX(C_Pavement!$E$5:$E$204,$AQ456)&lt;&gt;"",IF(INDEX(C_Pavement!$E$5:$E$204,$AQ456)="-","",INDEX(C_Pavement!$E$5:$E$204,$AQ456)),IF($AS456="","",INDEX(E_Rules!$D$5:$D$9,$AS456))))</f>
        <v/>
      </c>
      <c r="AV456" t="str">
        <f>IF($AQ456="","",IF(INDEX(C_Pavement!$F$5:$F$204,$AQ456)&lt;&gt;"",IF(INDEX(C_Pavement!$F$5:$F$204,$AQ456)="-","",INDEX(C_Pavement!$F$5:$F$204,$AQ456)),IF($AS456="","",INDEX(E_Rules!$E$5:$E$9,$AS456))))</f>
        <v/>
      </c>
      <c r="AW456" t="str">
        <f>IF($AQ456="","",IF(INDEX(C_Pavement!$G$5:$G$204,$AQ456)&lt;&gt;"",IF(INDEX(C_Pavement!$G$5:$G$204,$AQ456)="-","",INDEX(C_Pavement!$G$5:$G$204,$AQ456)),IF($AS456="","",INDEX(E_Rules!$F$5:$F$9,$AS456))))</f>
        <v/>
      </c>
      <c r="AX456" t="str">
        <f>IF($AQ456="","",IF(INDEX(C_Pavement!$H$5:$H$204,$AQ456)&lt;&gt;"",IF(INDEX(C_Pavement!$H$5:$H$204,$AQ456)="-","",INDEX(C_Pavement!$H$5:$H$204,$AQ456)),IF($AS456="","",INDEX(E_Rules!$G$5:$G$9,$AS456))))</f>
        <v/>
      </c>
      <c r="AY456" t="str">
        <f>IF($AQ456="","",IF(INDEX(C_Pavement!$I$5:$I$204,$AQ456)&lt;&gt;"",IF(INDEX(C_Pavement!$I$5:$I$204,$AQ456)="-","",INDEX(C_Pavement!$I$5:$I$204,$AQ456)),IF($AS456="","",INDEX(E_Rules!$H$5:$H$9,$AS456))))</f>
        <v/>
      </c>
    </row>
    <row r="457" spans="1:51" ht="15.75" customHeight="1" x14ac:dyDescent="0.3">
      <c r="A457" s="189">
        <v>452</v>
      </c>
      <c r="B457" s="180">
        <v>22550</v>
      </c>
      <c r="C457" s="180" t="s">
        <v>763</v>
      </c>
      <c r="D457" s="181" t="str">
        <f>IFERROR(LOOKUP(2,1/((A_Corridor!$A$5:$A$204&lt;&gt;"")*(A_Corridor!$A$5:$A$204&lt;=$B457)*(A_Corridor!$B$5:$B$204&gt;$B457)*(A_Corridor!$C$5:$C$204&lt;&gt;"")),IF(UPPER(A_Corridor!$C$5:$C$204)="Y",1,"")),"")</f>
        <v/>
      </c>
      <c r="E457" s="181" t="str">
        <f>IFERROR(LOOKUP(2,1/((A_Corridor!$A$5:$A$204&lt;&gt;"")*(A_Corridor!$A$5:$A$204&lt;=$B457)*(A_Corridor!$B$5:$B$204&gt;$B457)*(A_Corridor!$D$5:$D$204&lt;&gt;"")),IF(A_Corridor!$D$5:$D$204="-","",UPPER(A_Corridor!$D$5:$D$204))),"")</f>
        <v/>
      </c>
      <c r="F457" s="181" t="str">
        <f>IFERROR(LOOKUP(2,1/((A_Corridor!$A$5:$A$204&lt;&gt;"")*(A_Corridor!$A$5:$A$204&lt;=$B457)*(A_Corridor!$B$5:$B$204&gt;$B457)*(A_Corridor!$E$5:$E$204&lt;&gt;"")),IF(A_Corridor!$E$5:$E$204="-","",1)),"")</f>
        <v/>
      </c>
      <c r="G457" s="182" t="str">
        <f>IFERROR(LOOKUP(2,1/((A_Corridor!$A$5:$A$204&lt;&gt;"")*(A_Corridor!$A$5:$A$204&lt;=$B457)*(A_Corridor!$B$5:$B$204&gt;$B457)*(A_Corridor!$E$5:$E$204&lt;&gt;"")),IF(A_Corridor!$E$5:$E$204="-","",A_Corridor!$E$5:$E$204)),"")</f>
        <v/>
      </c>
      <c r="H457" s="182" t="str">
        <f>IFERROR(LOOKUP(2,1/((D_Points!$A$5:$A$204&lt;&gt;"")*(D_Points!$A$5:$A$204&gt;=$B457)*(D_Points!$A$5:$A$204&lt;$B457+P_Interval)*(UPPER(TRIM(D_Points!$B$5:$B$204))="GULLY")*(D_Points!$H$5:$H$204&lt;&gt;"")),D_Points!$H$5:$H$204),"")</f>
        <v/>
      </c>
      <c r="I457" s="181" t="str">
        <f>IFERROR(LOOKUP(2,1/((A_Corridor!$A$5:$A$204&lt;&gt;"")*(A_Corridor!$A$5:$A$204&lt;=$B457)*(A_Corridor!$B$5:$B$204&gt;$B457)*(A_Corridor!$F$5:$F$204&lt;&gt;"")),IF(A_Corridor!$F$5:$F$204="-","",1)),"")</f>
        <v/>
      </c>
      <c r="J457" s="182" t="str">
        <f>IFERROR(LOOKUP(2,1/((A_Corridor!$A$5:$A$204&lt;&gt;"")*(A_Corridor!$A$5:$A$204&lt;=$B457)*(A_Corridor!$B$5:$B$204&gt;$B457)*(A_Corridor!$F$5:$F$204&lt;&gt;"")),IF(A_Corridor!$F$5:$F$204="-","",A_Corridor!$F$5:$F$204)),"")</f>
        <v/>
      </c>
      <c r="K457" s="182" t="str">
        <f>IFERROR(LOOKUP(2,1/((A_Corridor!$A$5:$A$204&lt;&gt;"")*(A_Corridor!$A$5:$A$204&lt;=$B457)*(A_Corridor!$B$5:$B$204&gt;$B457)*(A_Corridor!$G$5:$G$204&lt;&gt;"")),IF(A_Corridor!$G$5:$G$204="-","",A_Corridor!$G$5:$G$204)),"")</f>
        <v/>
      </c>
      <c r="L457" s="181" t="str">
        <f>IFERROR(LOOKUP(2,1/((A_Corridor!$A$5:$A$204&lt;&gt;"")*(A_Corridor!$A$5:$A$204&lt;=$B457)*(A_Corridor!$B$5:$B$204&gt;$B457)*(A_Corridor!$H$5:$H$204&lt;&gt;"")),IF(A_Corridor!$H$5:$H$204="-","",1)),"")</f>
        <v/>
      </c>
      <c r="M457" s="182" t="str">
        <f>IFERROR(LOOKUP(2,1/((A_Corridor!$A$5:$A$204&lt;&gt;"")*(A_Corridor!$A$5:$A$204&lt;=$B457)*(A_Corridor!$B$5:$B$204&gt;$B457)*(A_Corridor!$H$5:$H$204&lt;&gt;"")),IF(A_Corridor!$H$5:$H$204="-","",A_Corridor!$H$5:$H$204)),"")</f>
        <v/>
      </c>
      <c r="N457" s="182" t="str">
        <f>IFERROR(LOOKUP(2,1/((A_Corridor!$A$5:$A$204&lt;&gt;"")*(A_Corridor!$A$5:$A$204&lt;=$B457)*(A_Corridor!$B$5:$B$204&gt;$B457)*(A_Corridor!$I$5:$I$204&lt;&gt;"")),IF(A_Corridor!$I$5:$I$204="-","",A_Corridor!$I$5:$I$204)),"")</f>
        <v/>
      </c>
      <c r="O457" s="182" t="str">
        <f>IFERROR(LOOKUP(2,1/((D_Points!$A$5:$A$204&lt;&gt;"")*(D_Points!$A$5:$A$204&gt;=$B457)*(D_Points!$A$5:$A$204&lt;$B457+P_Interval)*(UPPER(TRIM(D_Points!$B$5:$B$204))="PITCHING")*(D_Points!$H$5:$H$204&lt;&gt;"")),D_Points!$H$5:$H$204),"")</f>
        <v/>
      </c>
      <c r="P457" s="181" t="str">
        <f>IFERROR(LOOKUP(2,1/((B_Drainage!$A$5:$A$204&lt;&gt;"")*(B_Drainage!$A$5:$A$204&lt;=$B457)*(B_Drainage!$B$5:$B$204&gt;$B457)*(B_Drainage!$C$5:$C$204&lt;&gt;"")),IF(B_Drainage!$C$5:$C$204="-","",UPPER(B_Drainage!$C$5:$C$204))),"")</f>
        <v/>
      </c>
      <c r="Q457" s="181" t="str">
        <f>IFERROR(LOOKUP(2,1/((B_Drainage!$A$5:$A$204&lt;&gt;"")*(B_Drainage!$A$5:$A$204&lt;=$B457)*(B_Drainage!$B$5:$B$204&gt;$B457)*(B_Drainage!$D$5:$D$204&lt;&gt;"")),IF(B_Drainage!$D$5:$D$204="-","",UPPER(B_Drainage!$D$5:$D$204))),"")</f>
        <v/>
      </c>
      <c r="R457" s="182" t="str">
        <f>IFERROR(LOOKUP(2,1/((D_Points!$A$5:$A$204&lt;&gt;"")*(D_Points!$A$5:$A$204&gt;=$B457)*(D_Points!$A$5:$A$204&lt;$B457+P_Interval)*(RIGHT(UPPER(TRIM(D_Points!$B$5:$B$204)),8)="_CULVERT")),IF(LEFT(UPPER(TRIM(D_Points!$B$5:$B$204)),2)="EX",1,IF(LEFT(UPPER(TRIM(D_Points!$B$5:$B$204)),2)="PR",2,3))),"")</f>
        <v/>
      </c>
      <c r="S457" s="182" t="str">
        <f>IFERROR(LOOKUP(2,1/((D_Points!$A$5:$A$204&lt;&gt;"")*(D_Points!$A$5:$A$204&gt;=$B457)*(D_Points!$A$5:$A$204&lt;$B457+P_Interval)*(RIGHT(UPPER(TRIM(D_Points!$B$5:$B$204)),7)="_BRIDGE")),IF(LEFT(UPPER(TRIM(D_Points!$B$5:$B$204)),2)="EX",1,IF(LEFT(UPPER(TRIM(D_Points!$B$5:$B$204)),2)="PR",2,2))),"")</f>
        <v/>
      </c>
      <c r="T457" s="181" t="str">
        <f>IFERROR(LOOKUP(2,1/((B_Drainage!$A$5:$A$204&lt;&gt;"")*(B_Drainage!$A$5:$A$204&lt;=$B457)*(B_Drainage!$B$5:$B$204&gt;$B457)*(B_Drainage!$E$5:$E$204&lt;&gt;"")),IF(B_Drainage!$E$5:$E$204="-","",1)),"")</f>
        <v/>
      </c>
      <c r="U457" s="181" t="str">
        <f>IFERROR(LOOKUP(2,1/((B_Drainage!$A$5:$A$204&lt;&gt;"")*(B_Drainage!$A$5:$A$204&lt;=$B457)*(B_Drainage!$B$5:$B$204&gt;$B457)*(B_Drainage!$E$5:$E$204&lt;&gt;"")),IF(B_Drainage!$E$5:$E$204="-","",B_Drainage!$E$5:$E$204)),"")</f>
        <v/>
      </c>
      <c r="V457" s="181" t="str">
        <f>IFERROR(LOOKUP(2,1/((B_Drainage!$A$5:$A$204&lt;&gt;"")*(B_Drainage!$A$5:$A$204&lt;=$B457)*(B_Drainage!$B$5:$B$204&gt;$B457)*(B_Drainage!$F$5:$F$204&lt;&gt;"")),IF(B_Drainage!$F$5:$F$204="-","",1)),"")</f>
        <v/>
      </c>
      <c r="W457" s="181" t="str">
        <f>IFERROR(LOOKUP(2,1/((B_Drainage!$A$5:$A$204&lt;&gt;"")*(B_Drainage!$A$5:$A$204&lt;=$B457)*(B_Drainage!$B$5:$B$204&gt;$B457)*(B_Drainage!$F$5:$F$204&lt;&gt;"")),IF(B_Drainage!$F$5:$F$204="-","",B_Drainage!$F$5:$F$204)),"")</f>
        <v/>
      </c>
      <c r="X457" s="181" t="str">
        <f>IFERROR(LOOKUP(2,1/((B_Drainage!$A$5:$A$204&lt;&gt;"")*(B_Drainage!$A$5:$A$204&lt;=$B457)*(B_Drainage!$B$5:$B$204&gt;$B457)*(B_Drainage!$G$5:$G$204&lt;&gt;"")),IF(UPPER(B_Drainage!$G$5:$G$204)="Y",1,"")),"")</f>
        <v/>
      </c>
      <c r="Y457" s="181" t="str">
        <f>IFERROR(LOOKUP(2,1/((B_Drainage!$A$5:$A$204&lt;&gt;"")*(B_Drainage!$A$5:$A$204&lt;=$B457)*(B_Drainage!$B$5:$B$204&gt;$B457)*(B_Drainage!$H$5:$H$204&lt;&gt;"")),IF(UPPER(B_Drainage!$H$5:$H$204)="Y",1,"")),"")</f>
        <v/>
      </c>
      <c r="Z457" s="181" t="str">
        <f>IFERROR(LOOKUP(2,1/((B_Drainage!$A$5:$A$204&lt;&gt;"")*(B_Drainage!$A$5:$A$204&lt;=$B457)*(B_Drainage!$B$5:$B$204&gt;$B457)*(B_Drainage!$I$5:$I$204&lt;&gt;"")),IF(UPPER(B_Drainage!$I$5:$I$204)="Y",1,"")),"")</f>
        <v/>
      </c>
      <c r="AA457" s="181" t="str">
        <f>IFERROR(LOOKUP(2,1/((B_Drainage!$A$5:$A$204&lt;&gt;"")*(B_Drainage!$A$5:$A$204&lt;=$B457)*(B_Drainage!$B$5:$B$204&gt;$B457)*(B_Drainage!$J$5:$J$204&lt;&gt;"")),IF(UPPER(B_Drainage!$J$5:$J$204)="Y",1,"")),"")</f>
        <v/>
      </c>
      <c r="AB457" s="182" t="str">
        <f>IFERROR(LOOKUP(2,1/((B_Drainage!$A$5:$A$204&lt;&gt;"")*(B_Drainage!$A$5:$A$204&lt;=$B457)*(B_Drainage!$B$5:$B$204&gt;$B457)*(B_Drainage!$K$5:$K$204&lt;&gt;"")),IF(B_Drainage!$K$5:$K$204="-","",B_Drainage!$K$5:$K$204)),"")</f>
        <v/>
      </c>
      <c r="AC457" s="182" t="str">
        <f>IFERROR(LOOKUP(2,1/((B_Drainage!$A$5:$A$204&lt;&gt;"")*(B_Drainage!$A$5:$A$204&lt;=$B457)*(B_Drainage!$B$5:$B$204&gt;$B457)*(B_Drainage!$L$5:$L$204&lt;&gt;"")),IF(B_Drainage!$L$5:$L$204="-","",B_Drainage!$L$5:$L$204)),"")</f>
        <v/>
      </c>
      <c r="AD457" s="182" t="str">
        <f>IFERROR(LOOKUP(2,1/((D_Points!$A$5:$A$204&lt;&gt;"")*(D_Points!$A$5:$A$204&gt;=$B457)*(D_Points!$A$5:$A$204&lt;$B457+P_Interval)*(UPPER(TRIM(D_Points!$B$5:$B$204))="TURNOUT_L")*(D_Points!$H$5:$H$204&lt;&gt;"")),D_Points!$H$5:$H$204),"")</f>
        <v/>
      </c>
      <c r="AE457" s="182" t="str">
        <f>IFERROR(LOOKUP(2,1/((D_Points!$A$5:$A$204&lt;&gt;"")*(D_Points!$A$5:$A$204&gt;=$B457)*(D_Points!$A$5:$A$204&lt;$B457+P_Interval)*(UPPER(TRIM(D_Points!$B$5:$B$204))="TURNOUT_R")*(D_Points!$H$5:$H$204&lt;&gt;"")),D_Points!$H$5:$H$204),"")</f>
        <v/>
      </c>
      <c r="AF457" s="181" t="str">
        <f>IFERROR(LOOKUP(2,1/((B_Drainage!$A$5:$A$204&lt;&gt;"")*(B_Drainage!$A$5:$A$204&lt;=$B457)*(B_Drainage!$B$5:$B$204&gt;$B457)*(B_Drainage!$M$5:$M$204&lt;&gt;"")),IF(UPPER(B_Drainage!$M$5:$M$204)="Y",1,"")),"")</f>
        <v/>
      </c>
      <c r="AG457" s="181" t="str">
        <f>IFERROR(LOOKUP(2,1/((B_Drainage!$A$5:$A$204&lt;&gt;"")*(B_Drainage!$A$5:$A$204&lt;=$B457)*(B_Drainage!$B$5:$B$204&gt;$B457)*(B_Drainage!$N$5:$N$204&lt;&gt;"")),IF(UPPER(B_Drainage!$N$5:$N$204)="Y",1,"")),"")</f>
        <v/>
      </c>
      <c r="AH457" s="181" t="str">
        <f t="shared" si="56"/>
        <v/>
      </c>
      <c r="AI457" s="181" t="str">
        <f t="shared" si="57"/>
        <v/>
      </c>
      <c r="AJ457" s="181" t="str">
        <f t="shared" si="58"/>
        <v/>
      </c>
      <c r="AK457" s="181" t="str">
        <f t="shared" si="59"/>
        <v/>
      </c>
      <c r="AL457" s="181" t="str">
        <f t="shared" si="60"/>
        <v/>
      </c>
      <c r="AM457" s="181" t="str">
        <f t="shared" si="61"/>
        <v/>
      </c>
      <c r="AN457" s="181" t="str">
        <f t="shared" si="62"/>
        <v/>
      </c>
      <c r="AO457" s="192" t="str">
        <f t="shared" si="63"/>
        <v/>
      </c>
      <c r="AQ457" t="str">
        <f>IFERROR(LOOKUP(2,1/((C_Pavement!$A$5:$A$204&lt;&gt;"")*(C_Pavement!$A$5:$A$204&lt;=$B457)*(C_Pavement!$B$5:$B$204&gt;$B457)*(C_Pavement!$C$5:$C$204&lt;&gt;"")),ROW(C_Pavement!$C$5:$C$204)-4),"")</f>
        <v/>
      </c>
      <c r="AR457" t="str">
        <f>IF($AQ457="","",UPPER(TRIM(INDEX(C_Pavement!$C$5:$C$204,$AQ457))))</f>
        <v/>
      </c>
      <c r="AS457" t="str">
        <f>IF($AR457="","",IFERROR(MATCH($AR457,E_Rules!$A$5:$A$9,0),""))</f>
        <v/>
      </c>
      <c r="AT457" t="str">
        <f>IF($AQ457="","",IF(INDEX(C_Pavement!$D$5:$D$204,$AQ457)&lt;&gt;"",UPPER(TRIM(INDEX(C_Pavement!$D$5:$D$204,$AQ457))),IF($AS457="","",INDEX(E_Rules!$C$5:$C$9,$AS457))))</f>
        <v/>
      </c>
      <c r="AU457" t="str">
        <f>IF($AQ457="","",IF(INDEX(C_Pavement!$E$5:$E$204,$AQ457)&lt;&gt;"",IF(INDEX(C_Pavement!$E$5:$E$204,$AQ457)="-","",INDEX(C_Pavement!$E$5:$E$204,$AQ457)),IF($AS457="","",INDEX(E_Rules!$D$5:$D$9,$AS457))))</f>
        <v/>
      </c>
      <c r="AV457" t="str">
        <f>IF($AQ457="","",IF(INDEX(C_Pavement!$F$5:$F$204,$AQ457)&lt;&gt;"",IF(INDEX(C_Pavement!$F$5:$F$204,$AQ457)="-","",INDEX(C_Pavement!$F$5:$F$204,$AQ457)),IF($AS457="","",INDEX(E_Rules!$E$5:$E$9,$AS457))))</f>
        <v/>
      </c>
      <c r="AW457" t="str">
        <f>IF($AQ457="","",IF(INDEX(C_Pavement!$G$5:$G$204,$AQ457)&lt;&gt;"",IF(INDEX(C_Pavement!$G$5:$G$204,$AQ457)="-","",INDEX(C_Pavement!$G$5:$G$204,$AQ457)),IF($AS457="","",INDEX(E_Rules!$F$5:$F$9,$AS457))))</f>
        <v/>
      </c>
      <c r="AX457" t="str">
        <f>IF($AQ457="","",IF(INDEX(C_Pavement!$H$5:$H$204,$AQ457)&lt;&gt;"",IF(INDEX(C_Pavement!$H$5:$H$204,$AQ457)="-","",INDEX(C_Pavement!$H$5:$H$204,$AQ457)),IF($AS457="","",INDEX(E_Rules!$G$5:$G$9,$AS457))))</f>
        <v/>
      </c>
      <c r="AY457" t="str">
        <f>IF($AQ457="","",IF(INDEX(C_Pavement!$I$5:$I$204,$AQ457)&lt;&gt;"",IF(INDEX(C_Pavement!$I$5:$I$204,$AQ457)="-","",INDEX(C_Pavement!$I$5:$I$204,$AQ457)),IF($AS457="","",INDEX(E_Rules!$H$5:$H$9,$AS457))))</f>
        <v/>
      </c>
    </row>
    <row r="458" spans="1:51" ht="15.75" customHeight="1" x14ac:dyDescent="0.3">
      <c r="A458" s="189">
        <v>453</v>
      </c>
      <c r="B458" s="180">
        <v>22600</v>
      </c>
      <c r="C458" s="180" t="s">
        <v>764</v>
      </c>
      <c r="D458" s="181" t="str">
        <f>IFERROR(LOOKUP(2,1/((A_Corridor!$A$5:$A$204&lt;&gt;"")*(A_Corridor!$A$5:$A$204&lt;=$B458)*(A_Corridor!$B$5:$B$204&gt;$B458)*(A_Corridor!$C$5:$C$204&lt;&gt;"")),IF(UPPER(A_Corridor!$C$5:$C$204)="Y",1,"")),"")</f>
        <v/>
      </c>
      <c r="E458" s="181" t="str">
        <f>IFERROR(LOOKUP(2,1/((A_Corridor!$A$5:$A$204&lt;&gt;"")*(A_Corridor!$A$5:$A$204&lt;=$B458)*(A_Corridor!$B$5:$B$204&gt;$B458)*(A_Corridor!$D$5:$D$204&lt;&gt;"")),IF(A_Corridor!$D$5:$D$204="-","",UPPER(A_Corridor!$D$5:$D$204))),"")</f>
        <v/>
      </c>
      <c r="F458" s="181" t="str">
        <f>IFERROR(LOOKUP(2,1/((A_Corridor!$A$5:$A$204&lt;&gt;"")*(A_Corridor!$A$5:$A$204&lt;=$B458)*(A_Corridor!$B$5:$B$204&gt;$B458)*(A_Corridor!$E$5:$E$204&lt;&gt;"")),IF(A_Corridor!$E$5:$E$204="-","",1)),"")</f>
        <v/>
      </c>
      <c r="G458" s="182" t="str">
        <f>IFERROR(LOOKUP(2,1/((A_Corridor!$A$5:$A$204&lt;&gt;"")*(A_Corridor!$A$5:$A$204&lt;=$B458)*(A_Corridor!$B$5:$B$204&gt;$B458)*(A_Corridor!$E$5:$E$204&lt;&gt;"")),IF(A_Corridor!$E$5:$E$204="-","",A_Corridor!$E$5:$E$204)),"")</f>
        <v/>
      </c>
      <c r="H458" s="182" t="str">
        <f>IFERROR(LOOKUP(2,1/((D_Points!$A$5:$A$204&lt;&gt;"")*(D_Points!$A$5:$A$204&gt;=$B458)*(D_Points!$A$5:$A$204&lt;$B458+P_Interval)*(UPPER(TRIM(D_Points!$B$5:$B$204))="GULLY")*(D_Points!$H$5:$H$204&lt;&gt;"")),D_Points!$H$5:$H$204),"")</f>
        <v/>
      </c>
      <c r="I458" s="181" t="str">
        <f>IFERROR(LOOKUP(2,1/((A_Corridor!$A$5:$A$204&lt;&gt;"")*(A_Corridor!$A$5:$A$204&lt;=$B458)*(A_Corridor!$B$5:$B$204&gt;$B458)*(A_Corridor!$F$5:$F$204&lt;&gt;"")),IF(A_Corridor!$F$5:$F$204="-","",1)),"")</f>
        <v/>
      </c>
      <c r="J458" s="182" t="str">
        <f>IFERROR(LOOKUP(2,1/((A_Corridor!$A$5:$A$204&lt;&gt;"")*(A_Corridor!$A$5:$A$204&lt;=$B458)*(A_Corridor!$B$5:$B$204&gt;$B458)*(A_Corridor!$F$5:$F$204&lt;&gt;"")),IF(A_Corridor!$F$5:$F$204="-","",A_Corridor!$F$5:$F$204)),"")</f>
        <v/>
      </c>
      <c r="K458" s="182" t="str">
        <f>IFERROR(LOOKUP(2,1/((A_Corridor!$A$5:$A$204&lt;&gt;"")*(A_Corridor!$A$5:$A$204&lt;=$B458)*(A_Corridor!$B$5:$B$204&gt;$B458)*(A_Corridor!$G$5:$G$204&lt;&gt;"")),IF(A_Corridor!$G$5:$G$204="-","",A_Corridor!$G$5:$G$204)),"")</f>
        <v/>
      </c>
      <c r="L458" s="181" t="str">
        <f>IFERROR(LOOKUP(2,1/((A_Corridor!$A$5:$A$204&lt;&gt;"")*(A_Corridor!$A$5:$A$204&lt;=$B458)*(A_Corridor!$B$5:$B$204&gt;$B458)*(A_Corridor!$H$5:$H$204&lt;&gt;"")),IF(A_Corridor!$H$5:$H$204="-","",1)),"")</f>
        <v/>
      </c>
      <c r="M458" s="182" t="str">
        <f>IFERROR(LOOKUP(2,1/((A_Corridor!$A$5:$A$204&lt;&gt;"")*(A_Corridor!$A$5:$A$204&lt;=$B458)*(A_Corridor!$B$5:$B$204&gt;$B458)*(A_Corridor!$H$5:$H$204&lt;&gt;"")),IF(A_Corridor!$H$5:$H$204="-","",A_Corridor!$H$5:$H$204)),"")</f>
        <v/>
      </c>
      <c r="N458" s="182" t="str">
        <f>IFERROR(LOOKUP(2,1/((A_Corridor!$A$5:$A$204&lt;&gt;"")*(A_Corridor!$A$5:$A$204&lt;=$B458)*(A_Corridor!$B$5:$B$204&gt;$B458)*(A_Corridor!$I$5:$I$204&lt;&gt;"")),IF(A_Corridor!$I$5:$I$204="-","",A_Corridor!$I$5:$I$204)),"")</f>
        <v/>
      </c>
      <c r="O458" s="182" t="str">
        <f>IFERROR(LOOKUP(2,1/((D_Points!$A$5:$A$204&lt;&gt;"")*(D_Points!$A$5:$A$204&gt;=$B458)*(D_Points!$A$5:$A$204&lt;$B458+P_Interval)*(UPPER(TRIM(D_Points!$B$5:$B$204))="PITCHING")*(D_Points!$H$5:$H$204&lt;&gt;"")),D_Points!$H$5:$H$204),"")</f>
        <v/>
      </c>
      <c r="P458" s="181" t="str">
        <f>IFERROR(LOOKUP(2,1/((B_Drainage!$A$5:$A$204&lt;&gt;"")*(B_Drainage!$A$5:$A$204&lt;=$B458)*(B_Drainage!$B$5:$B$204&gt;$B458)*(B_Drainage!$C$5:$C$204&lt;&gt;"")),IF(B_Drainage!$C$5:$C$204="-","",UPPER(B_Drainage!$C$5:$C$204))),"")</f>
        <v/>
      </c>
      <c r="Q458" s="181" t="str">
        <f>IFERROR(LOOKUP(2,1/((B_Drainage!$A$5:$A$204&lt;&gt;"")*(B_Drainage!$A$5:$A$204&lt;=$B458)*(B_Drainage!$B$5:$B$204&gt;$B458)*(B_Drainage!$D$5:$D$204&lt;&gt;"")),IF(B_Drainage!$D$5:$D$204="-","",UPPER(B_Drainage!$D$5:$D$204))),"")</f>
        <v/>
      </c>
      <c r="R458" s="182" t="str">
        <f>IFERROR(LOOKUP(2,1/((D_Points!$A$5:$A$204&lt;&gt;"")*(D_Points!$A$5:$A$204&gt;=$B458)*(D_Points!$A$5:$A$204&lt;$B458+P_Interval)*(RIGHT(UPPER(TRIM(D_Points!$B$5:$B$204)),8)="_CULVERT")),IF(LEFT(UPPER(TRIM(D_Points!$B$5:$B$204)),2)="EX",1,IF(LEFT(UPPER(TRIM(D_Points!$B$5:$B$204)),2)="PR",2,3))),"")</f>
        <v/>
      </c>
      <c r="S458" s="182" t="str">
        <f>IFERROR(LOOKUP(2,1/((D_Points!$A$5:$A$204&lt;&gt;"")*(D_Points!$A$5:$A$204&gt;=$B458)*(D_Points!$A$5:$A$204&lt;$B458+P_Interval)*(RIGHT(UPPER(TRIM(D_Points!$B$5:$B$204)),7)="_BRIDGE")),IF(LEFT(UPPER(TRIM(D_Points!$B$5:$B$204)),2)="EX",1,IF(LEFT(UPPER(TRIM(D_Points!$B$5:$B$204)),2)="PR",2,2))),"")</f>
        <v/>
      </c>
      <c r="T458" s="181" t="str">
        <f>IFERROR(LOOKUP(2,1/((B_Drainage!$A$5:$A$204&lt;&gt;"")*(B_Drainage!$A$5:$A$204&lt;=$B458)*(B_Drainage!$B$5:$B$204&gt;$B458)*(B_Drainage!$E$5:$E$204&lt;&gt;"")),IF(B_Drainage!$E$5:$E$204="-","",1)),"")</f>
        <v/>
      </c>
      <c r="U458" s="181" t="str">
        <f>IFERROR(LOOKUP(2,1/((B_Drainage!$A$5:$A$204&lt;&gt;"")*(B_Drainage!$A$5:$A$204&lt;=$B458)*(B_Drainage!$B$5:$B$204&gt;$B458)*(B_Drainage!$E$5:$E$204&lt;&gt;"")),IF(B_Drainage!$E$5:$E$204="-","",B_Drainage!$E$5:$E$204)),"")</f>
        <v/>
      </c>
      <c r="V458" s="181" t="str">
        <f>IFERROR(LOOKUP(2,1/((B_Drainage!$A$5:$A$204&lt;&gt;"")*(B_Drainage!$A$5:$A$204&lt;=$B458)*(B_Drainage!$B$5:$B$204&gt;$B458)*(B_Drainage!$F$5:$F$204&lt;&gt;"")),IF(B_Drainage!$F$5:$F$204="-","",1)),"")</f>
        <v/>
      </c>
      <c r="W458" s="181" t="str">
        <f>IFERROR(LOOKUP(2,1/((B_Drainage!$A$5:$A$204&lt;&gt;"")*(B_Drainage!$A$5:$A$204&lt;=$B458)*(B_Drainage!$B$5:$B$204&gt;$B458)*(B_Drainage!$F$5:$F$204&lt;&gt;"")),IF(B_Drainage!$F$5:$F$204="-","",B_Drainage!$F$5:$F$204)),"")</f>
        <v/>
      </c>
      <c r="X458" s="181" t="str">
        <f>IFERROR(LOOKUP(2,1/((B_Drainage!$A$5:$A$204&lt;&gt;"")*(B_Drainage!$A$5:$A$204&lt;=$B458)*(B_Drainage!$B$5:$B$204&gt;$B458)*(B_Drainage!$G$5:$G$204&lt;&gt;"")),IF(UPPER(B_Drainage!$G$5:$G$204)="Y",1,"")),"")</f>
        <v/>
      </c>
      <c r="Y458" s="181" t="str">
        <f>IFERROR(LOOKUP(2,1/((B_Drainage!$A$5:$A$204&lt;&gt;"")*(B_Drainage!$A$5:$A$204&lt;=$B458)*(B_Drainage!$B$5:$B$204&gt;$B458)*(B_Drainage!$H$5:$H$204&lt;&gt;"")),IF(UPPER(B_Drainage!$H$5:$H$204)="Y",1,"")),"")</f>
        <v/>
      </c>
      <c r="Z458" s="181" t="str">
        <f>IFERROR(LOOKUP(2,1/((B_Drainage!$A$5:$A$204&lt;&gt;"")*(B_Drainage!$A$5:$A$204&lt;=$B458)*(B_Drainage!$B$5:$B$204&gt;$B458)*(B_Drainage!$I$5:$I$204&lt;&gt;"")),IF(UPPER(B_Drainage!$I$5:$I$204)="Y",1,"")),"")</f>
        <v/>
      </c>
      <c r="AA458" s="181" t="str">
        <f>IFERROR(LOOKUP(2,1/((B_Drainage!$A$5:$A$204&lt;&gt;"")*(B_Drainage!$A$5:$A$204&lt;=$B458)*(B_Drainage!$B$5:$B$204&gt;$B458)*(B_Drainage!$J$5:$J$204&lt;&gt;"")),IF(UPPER(B_Drainage!$J$5:$J$204)="Y",1,"")),"")</f>
        <v/>
      </c>
      <c r="AB458" s="182" t="str">
        <f>IFERROR(LOOKUP(2,1/((B_Drainage!$A$5:$A$204&lt;&gt;"")*(B_Drainage!$A$5:$A$204&lt;=$B458)*(B_Drainage!$B$5:$B$204&gt;$B458)*(B_Drainage!$K$5:$K$204&lt;&gt;"")),IF(B_Drainage!$K$5:$K$204="-","",B_Drainage!$K$5:$K$204)),"")</f>
        <v/>
      </c>
      <c r="AC458" s="182" t="str">
        <f>IFERROR(LOOKUP(2,1/((B_Drainage!$A$5:$A$204&lt;&gt;"")*(B_Drainage!$A$5:$A$204&lt;=$B458)*(B_Drainage!$B$5:$B$204&gt;$B458)*(B_Drainage!$L$5:$L$204&lt;&gt;"")),IF(B_Drainage!$L$5:$L$204="-","",B_Drainage!$L$5:$L$204)),"")</f>
        <v/>
      </c>
      <c r="AD458" s="182" t="str">
        <f>IFERROR(LOOKUP(2,1/((D_Points!$A$5:$A$204&lt;&gt;"")*(D_Points!$A$5:$A$204&gt;=$B458)*(D_Points!$A$5:$A$204&lt;$B458+P_Interval)*(UPPER(TRIM(D_Points!$B$5:$B$204))="TURNOUT_L")*(D_Points!$H$5:$H$204&lt;&gt;"")),D_Points!$H$5:$H$204),"")</f>
        <v/>
      </c>
      <c r="AE458" s="182" t="str">
        <f>IFERROR(LOOKUP(2,1/((D_Points!$A$5:$A$204&lt;&gt;"")*(D_Points!$A$5:$A$204&gt;=$B458)*(D_Points!$A$5:$A$204&lt;$B458+P_Interval)*(UPPER(TRIM(D_Points!$B$5:$B$204))="TURNOUT_R")*(D_Points!$H$5:$H$204&lt;&gt;"")),D_Points!$H$5:$H$204),"")</f>
        <v/>
      </c>
      <c r="AF458" s="181" t="str">
        <f>IFERROR(LOOKUP(2,1/((B_Drainage!$A$5:$A$204&lt;&gt;"")*(B_Drainage!$A$5:$A$204&lt;=$B458)*(B_Drainage!$B$5:$B$204&gt;$B458)*(B_Drainage!$M$5:$M$204&lt;&gt;"")),IF(UPPER(B_Drainage!$M$5:$M$204)="Y",1,"")),"")</f>
        <v/>
      </c>
      <c r="AG458" s="181" t="str">
        <f>IFERROR(LOOKUP(2,1/((B_Drainage!$A$5:$A$204&lt;&gt;"")*(B_Drainage!$A$5:$A$204&lt;=$B458)*(B_Drainage!$B$5:$B$204&gt;$B458)*(B_Drainage!$N$5:$N$204&lt;&gt;"")),IF(UPPER(B_Drainage!$N$5:$N$204)="Y",1,"")),"")</f>
        <v/>
      </c>
      <c r="AH458" s="181" t="str">
        <f t="shared" si="56"/>
        <v/>
      </c>
      <c r="AI458" s="181" t="str">
        <f t="shared" si="57"/>
        <v/>
      </c>
      <c r="AJ458" s="181" t="str">
        <f t="shared" si="58"/>
        <v/>
      </c>
      <c r="AK458" s="181" t="str">
        <f t="shared" si="59"/>
        <v/>
      </c>
      <c r="AL458" s="181" t="str">
        <f t="shared" si="60"/>
        <v/>
      </c>
      <c r="AM458" s="181" t="str">
        <f t="shared" si="61"/>
        <v/>
      </c>
      <c r="AN458" s="181" t="str">
        <f t="shared" si="62"/>
        <v/>
      </c>
      <c r="AO458" s="192" t="str">
        <f t="shared" si="63"/>
        <v/>
      </c>
      <c r="AQ458" t="str">
        <f>IFERROR(LOOKUP(2,1/((C_Pavement!$A$5:$A$204&lt;&gt;"")*(C_Pavement!$A$5:$A$204&lt;=$B458)*(C_Pavement!$B$5:$B$204&gt;$B458)*(C_Pavement!$C$5:$C$204&lt;&gt;"")),ROW(C_Pavement!$C$5:$C$204)-4),"")</f>
        <v/>
      </c>
      <c r="AR458" t="str">
        <f>IF($AQ458="","",UPPER(TRIM(INDEX(C_Pavement!$C$5:$C$204,$AQ458))))</f>
        <v/>
      </c>
      <c r="AS458" t="str">
        <f>IF($AR458="","",IFERROR(MATCH($AR458,E_Rules!$A$5:$A$9,0),""))</f>
        <v/>
      </c>
      <c r="AT458" t="str">
        <f>IF($AQ458="","",IF(INDEX(C_Pavement!$D$5:$D$204,$AQ458)&lt;&gt;"",UPPER(TRIM(INDEX(C_Pavement!$D$5:$D$204,$AQ458))),IF($AS458="","",INDEX(E_Rules!$C$5:$C$9,$AS458))))</f>
        <v/>
      </c>
      <c r="AU458" t="str">
        <f>IF($AQ458="","",IF(INDEX(C_Pavement!$E$5:$E$204,$AQ458)&lt;&gt;"",IF(INDEX(C_Pavement!$E$5:$E$204,$AQ458)="-","",INDEX(C_Pavement!$E$5:$E$204,$AQ458)),IF($AS458="","",INDEX(E_Rules!$D$5:$D$9,$AS458))))</f>
        <v/>
      </c>
      <c r="AV458" t="str">
        <f>IF($AQ458="","",IF(INDEX(C_Pavement!$F$5:$F$204,$AQ458)&lt;&gt;"",IF(INDEX(C_Pavement!$F$5:$F$204,$AQ458)="-","",INDEX(C_Pavement!$F$5:$F$204,$AQ458)),IF($AS458="","",INDEX(E_Rules!$E$5:$E$9,$AS458))))</f>
        <v/>
      </c>
      <c r="AW458" t="str">
        <f>IF($AQ458="","",IF(INDEX(C_Pavement!$G$5:$G$204,$AQ458)&lt;&gt;"",IF(INDEX(C_Pavement!$G$5:$G$204,$AQ458)="-","",INDEX(C_Pavement!$G$5:$G$204,$AQ458)),IF($AS458="","",INDEX(E_Rules!$F$5:$F$9,$AS458))))</f>
        <v/>
      </c>
      <c r="AX458" t="str">
        <f>IF($AQ458="","",IF(INDEX(C_Pavement!$H$5:$H$204,$AQ458)&lt;&gt;"",IF(INDEX(C_Pavement!$H$5:$H$204,$AQ458)="-","",INDEX(C_Pavement!$H$5:$H$204,$AQ458)),IF($AS458="","",INDEX(E_Rules!$G$5:$G$9,$AS458))))</f>
        <v/>
      </c>
      <c r="AY458" t="str">
        <f>IF($AQ458="","",IF(INDEX(C_Pavement!$I$5:$I$204,$AQ458)&lt;&gt;"",IF(INDEX(C_Pavement!$I$5:$I$204,$AQ458)="-","",INDEX(C_Pavement!$I$5:$I$204,$AQ458)),IF($AS458="","",INDEX(E_Rules!$H$5:$H$9,$AS458))))</f>
        <v/>
      </c>
    </row>
    <row r="459" spans="1:51" ht="15.75" customHeight="1" x14ac:dyDescent="0.3">
      <c r="A459" s="189">
        <v>454</v>
      </c>
      <c r="B459" s="180">
        <v>22650</v>
      </c>
      <c r="C459" s="180" t="s">
        <v>765</v>
      </c>
      <c r="D459" s="181" t="str">
        <f>IFERROR(LOOKUP(2,1/((A_Corridor!$A$5:$A$204&lt;&gt;"")*(A_Corridor!$A$5:$A$204&lt;=$B459)*(A_Corridor!$B$5:$B$204&gt;$B459)*(A_Corridor!$C$5:$C$204&lt;&gt;"")),IF(UPPER(A_Corridor!$C$5:$C$204)="Y",1,"")),"")</f>
        <v/>
      </c>
      <c r="E459" s="181" t="str">
        <f>IFERROR(LOOKUP(2,1/((A_Corridor!$A$5:$A$204&lt;&gt;"")*(A_Corridor!$A$5:$A$204&lt;=$B459)*(A_Corridor!$B$5:$B$204&gt;$B459)*(A_Corridor!$D$5:$D$204&lt;&gt;"")),IF(A_Corridor!$D$5:$D$204="-","",UPPER(A_Corridor!$D$5:$D$204))),"")</f>
        <v/>
      </c>
      <c r="F459" s="181" t="str">
        <f>IFERROR(LOOKUP(2,1/((A_Corridor!$A$5:$A$204&lt;&gt;"")*(A_Corridor!$A$5:$A$204&lt;=$B459)*(A_Corridor!$B$5:$B$204&gt;$B459)*(A_Corridor!$E$5:$E$204&lt;&gt;"")),IF(A_Corridor!$E$5:$E$204="-","",1)),"")</f>
        <v/>
      </c>
      <c r="G459" s="182" t="str">
        <f>IFERROR(LOOKUP(2,1/((A_Corridor!$A$5:$A$204&lt;&gt;"")*(A_Corridor!$A$5:$A$204&lt;=$B459)*(A_Corridor!$B$5:$B$204&gt;$B459)*(A_Corridor!$E$5:$E$204&lt;&gt;"")),IF(A_Corridor!$E$5:$E$204="-","",A_Corridor!$E$5:$E$204)),"")</f>
        <v/>
      </c>
      <c r="H459" s="182" t="str">
        <f>IFERROR(LOOKUP(2,1/((D_Points!$A$5:$A$204&lt;&gt;"")*(D_Points!$A$5:$A$204&gt;=$B459)*(D_Points!$A$5:$A$204&lt;$B459+P_Interval)*(UPPER(TRIM(D_Points!$B$5:$B$204))="GULLY")*(D_Points!$H$5:$H$204&lt;&gt;"")),D_Points!$H$5:$H$204),"")</f>
        <v/>
      </c>
      <c r="I459" s="181" t="str">
        <f>IFERROR(LOOKUP(2,1/((A_Corridor!$A$5:$A$204&lt;&gt;"")*(A_Corridor!$A$5:$A$204&lt;=$B459)*(A_Corridor!$B$5:$B$204&gt;$B459)*(A_Corridor!$F$5:$F$204&lt;&gt;"")),IF(A_Corridor!$F$5:$F$204="-","",1)),"")</f>
        <v/>
      </c>
      <c r="J459" s="182" t="str">
        <f>IFERROR(LOOKUP(2,1/((A_Corridor!$A$5:$A$204&lt;&gt;"")*(A_Corridor!$A$5:$A$204&lt;=$B459)*(A_Corridor!$B$5:$B$204&gt;$B459)*(A_Corridor!$F$5:$F$204&lt;&gt;"")),IF(A_Corridor!$F$5:$F$204="-","",A_Corridor!$F$5:$F$204)),"")</f>
        <v/>
      </c>
      <c r="K459" s="182" t="str">
        <f>IFERROR(LOOKUP(2,1/((A_Corridor!$A$5:$A$204&lt;&gt;"")*(A_Corridor!$A$5:$A$204&lt;=$B459)*(A_Corridor!$B$5:$B$204&gt;$B459)*(A_Corridor!$G$5:$G$204&lt;&gt;"")),IF(A_Corridor!$G$5:$G$204="-","",A_Corridor!$G$5:$G$204)),"")</f>
        <v/>
      </c>
      <c r="L459" s="181" t="str">
        <f>IFERROR(LOOKUP(2,1/((A_Corridor!$A$5:$A$204&lt;&gt;"")*(A_Corridor!$A$5:$A$204&lt;=$B459)*(A_Corridor!$B$5:$B$204&gt;$B459)*(A_Corridor!$H$5:$H$204&lt;&gt;"")),IF(A_Corridor!$H$5:$H$204="-","",1)),"")</f>
        <v/>
      </c>
      <c r="M459" s="182" t="str">
        <f>IFERROR(LOOKUP(2,1/((A_Corridor!$A$5:$A$204&lt;&gt;"")*(A_Corridor!$A$5:$A$204&lt;=$B459)*(A_Corridor!$B$5:$B$204&gt;$B459)*(A_Corridor!$H$5:$H$204&lt;&gt;"")),IF(A_Corridor!$H$5:$H$204="-","",A_Corridor!$H$5:$H$204)),"")</f>
        <v/>
      </c>
      <c r="N459" s="182" t="str">
        <f>IFERROR(LOOKUP(2,1/((A_Corridor!$A$5:$A$204&lt;&gt;"")*(A_Corridor!$A$5:$A$204&lt;=$B459)*(A_Corridor!$B$5:$B$204&gt;$B459)*(A_Corridor!$I$5:$I$204&lt;&gt;"")),IF(A_Corridor!$I$5:$I$204="-","",A_Corridor!$I$5:$I$204)),"")</f>
        <v/>
      </c>
      <c r="O459" s="182" t="str">
        <f>IFERROR(LOOKUP(2,1/((D_Points!$A$5:$A$204&lt;&gt;"")*(D_Points!$A$5:$A$204&gt;=$B459)*(D_Points!$A$5:$A$204&lt;$B459+P_Interval)*(UPPER(TRIM(D_Points!$B$5:$B$204))="PITCHING")*(D_Points!$H$5:$H$204&lt;&gt;"")),D_Points!$H$5:$H$204),"")</f>
        <v/>
      </c>
      <c r="P459" s="181" t="str">
        <f>IFERROR(LOOKUP(2,1/((B_Drainage!$A$5:$A$204&lt;&gt;"")*(B_Drainage!$A$5:$A$204&lt;=$B459)*(B_Drainage!$B$5:$B$204&gt;$B459)*(B_Drainage!$C$5:$C$204&lt;&gt;"")),IF(B_Drainage!$C$5:$C$204="-","",UPPER(B_Drainage!$C$5:$C$204))),"")</f>
        <v/>
      </c>
      <c r="Q459" s="181" t="str">
        <f>IFERROR(LOOKUP(2,1/((B_Drainage!$A$5:$A$204&lt;&gt;"")*(B_Drainage!$A$5:$A$204&lt;=$B459)*(B_Drainage!$B$5:$B$204&gt;$B459)*(B_Drainage!$D$5:$D$204&lt;&gt;"")),IF(B_Drainage!$D$5:$D$204="-","",UPPER(B_Drainage!$D$5:$D$204))),"")</f>
        <v/>
      </c>
      <c r="R459" s="182" t="str">
        <f>IFERROR(LOOKUP(2,1/((D_Points!$A$5:$A$204&lt;&gt;"")*(D_Points!$A$5:$A$204&gt;=$B459)*(D_Points!$A$5:$A$204&lt;$B459+P_Interval)*(RIGHT(UPPER(TRIM(D_Points!$B$5:$B$204)),8)="_CULVERT")),IF(LEFT(UPPER(TRIM(D_Points!$B$5:$B$204)),2)="EX",1,IF(LEFT(UPPER(TRIM(D_Points!$B$5:$B$204)),2)="PR",2,3))),"")</f>
        <v/>
      </c>
      <c r="S459" s="182" t="str">
        <f>IFERROR(LOOKUP(2,1/((D_Points!$A$5:$A$204&lt;&gt;"")*(D_Points!$A$5:$A$204&gt;=$B459)*(D_Points!$A$5:$A$204&lt;$B459+P_Interval)*(RIGHT(UPPER(TRIM(D_Points!$B$5:$B$204)),7)="_BRIDGE")),IF(LEFT(UPPER(TRIM(D_Points!$B$5:$B$204)),2)="EX",1,IF(LEFT(UPPER(TRIM(D_Points!$B$5:$B$204)),2)="PR",2,2))),"")</f>
        <v/>
      </c>
      <c r="T459" s="181" t="str">
        <f>IFERROR(LOOKUP(2,1/((B_Drainage!$A$5:$A$204&lt;&gt;"")*(B_Drainage!$A$5:$A$204&lt;=$B459)*(B_Drainage!$B$5:$B$204&gt;$B459)*(B_Drainage!$E$5:$E$204&lt;&gt;"")),IF(B_Drainage!$E$5:$E$204="-","",1)),"")</f>
        <v/>
      </c>
      <c r="U459" s="181" t="str">
        <f>IFERROR(LOOKUP(2,1/((B_Drainage!$A$5:$A$204&lt;&gt;"")*(B_Drainage!$A$5:$A$204&lt;=$B459)*(B_Drainage!$B$5:$B$204&gt;$B459)*(B_Drainage!$E$5:$E$204&lt;&gt;"")),IF(B_Drainage!$E$5:$E$204="-","",B_Drainage!$E$5:$E$204)),"")</f>
        <v/>
      </c>
      <c r="V459" s="181" t="str">
        <f>IFERROR(LOOKUP(2,1/((B_Drainage!$A$5:$A$204&lt;&gt;"")*(B_Drainage!$A$5:$A$204&lt;=$B459)*(B_Drainage!$B$5:$B$204&gt;$B459)*(B_Drainage!$F$5:$F$204&lt;&gt;"")),IF(B_Drainage!$F$5:$F$204="-","",1)),"")</f>
        <v/>
      </c>
      <c r="W459" s="181" t="str">
        <f>IFERROR(LOOKUP(2,1/((B_Drainage!$A$5:$A$204&lt;&gt;"")*(B_Drainage!$A$5:$A$204&lt;=$B459)*(B_Drainage!$B$5:$B$204&gt;$B459)*(B_Drainage!$F$5:$F$204&lt;&gt;"")),IF(B_Drainage!$F$5:$F$204="-","",B_Drainage!$F$5:$F$204)),"")</f>
        <v/>
      </c>
      <c r="X459" s="181" t="str">
        <f>IFERROR(LOOKUP(2,1/((B_Drainage!$A$5:$A$204&lt;&gt;"")*(B_Drainage!$A$5:$A$204&lt;=$B459)*(B_Drainage!$B$5:$B$204&gt;$B459)*(B_Drainage!$G$5:$G$204&lt;&gt;"")),IF(UPPER(B_Drainage!$G$5:$G$204)="Y",1,"")),"")</f>
        <v/>
      </c>
      <c r="Y459" s="181" t="str">
        <f>IFERROR(LOOKUP(2,1/((B_Drainage!$A$5:$A$204&lt;&gt;"")*(B_Drainage!$A$5:$A$204&lt;=$B459)*(B_Drainage!$B$5:$B$204&gt;$B459)*(B_Drainage!$H$5:$H$204&lt;&gt;"")),IF(UPPER(B_Drainage!$H$5:$H$204)="Y",1,"")),"")</f>
        <v/>
      </c>
      <c r="Z459" s="181" t="str">
        <f>IFERROR(LOOKUP(2,1/((B_Drainage!$A$5:$A$204&lt;&gt;"")*(B_Drainage!$A$5:$A$204&lt;=$B459)*(B_Drainage!$B$5:$B$204&gt;$B459)*(B_Drainage!$I$5:$I$204&lt;&gt;"")),IF(UPPER(B_Drainage!$I$5:$I$204)="Y",1,"")),"")</f>
        <v/>
      </c>
      <c r="AA459" s="181" t="str">
        <f>IFERROR(LOOKUP(2,1/((B_Drainage!$A$5:$A$204&lt;&gt;"")*(B_Drainage!$A$5:$A$204&lt;=$B459)*(B_Drainage!$B$5:$B$204&gt;$B459)*(B_Drainage!$J$5:$J$204&lt;&gt;"")),IF(UPPER(B_Drainage!$J$5:$J$204)="Y",1,"")),"")</f>
        <v/>
      </c>
      <c r="AB459" s="182" t="str">
        <f>IFERROR(LOOKUP(2,1/((B_Drainage!$A$5:$A$204&lt;&gt;"")*(B_Drainage!$A$5:$A$204&lt;=$B459)*(B_Drainage!$B$5:$B$204&gt;$B459)*(B_Drainage!$K$5:$K$204&lt;&gt;"")),IF(B_Drainage!$K$5:$K$204="-","",B_Drainage!$K$5:$K$204)),"")</f>
        <v/>
      </c>
      <c r="AC459" s="182" t="str">
        <f>IFERROR(LOOKUP(2,1/((B_Drainage!$A$5:$A$204&lt;&gt;"")*(B_Drainage!$A$5:$A$204&lt;=$B459)*(B_Drainage!$B$5:$B$204&gt;$B459)*(B_Drainage!$L$5:$L$204&lt;&gt;"")),IF(B_Drainage!$L$5:$L$204="-","",B_Drainage!$L$5:$L$204)),"")</f>
        <v/>
      </c>
      <c r="AD459" s="182" t="str">
        <f>IFERROR(LOOKUP(2,1/((D_Points!$A$5:$A$204&lt;&gt;"")*(D_Points!$A$5:$A$204&gt;=$B459)*(D_Points!$A$5:$A$204&lt;$B459+P_Interval)*(UPPER(TRIM(D_Points!$B$5:$B$204))="TURNOUT_L")*(D_Points!$H$5:$H$204&lt;&gt;"")),D_Points!$H$5:$H$204),"")</f>
        <v/>
      </c>
      <c r="AE459" s="182" t="str">
        <f>IFERROR(LOOKUP(2,1/((D_Points!$A$5:$A$204&lt;&gt;"")*(D_Points!$A$5:$A$204&gt;=$B459)*(D_Points!$A$5:$A$204&lt;$B459+P_Interval)*(UPPER(TRIM(D_Points!$B$5:$B$204))="TURNOUT_R")*(D_Points!$H$5:$H$204&lt;&gt;"")),D_Points!$H$5:$H$204),"")</f>
        <v/>
      </c>
      <c r="AF459" s="181" t="str">
        <f>IFERROR(LOOKUP(2,1/((B_Drainage!$A$5:$A$204&lt;&gt;"")*(B_Drainage!$A$5:$A$204&lt;=$B459)*(B_Drainage!$B$5:$B$204&gt;$B459)*(B_Drainage!$M$5:$M$204&lt;&gt;"")),IF(UPPER(B_Drainage!$M$5:$M$204)="Y",1,"")),"")</f>
        <v/>
      </c>
      <c r="AG459" s="181" t="str">
        <f>IFERROR(LOOKUP(2,1/((B_Drainage!$A$5:$A$204&lt;&gt;"")*(B_Drainage!$A$5:$A$204&lt;=$B459)*(B_Drainage!$B$5:$B$204&gt;$B459)*(B_Drainage!$N$5:$N$204&lt;&gt;"")),IF(UPPER(B_Drainage!$N$5:$N$204)="Y",1,"")),"")</f>
        <v/>
      </c>
      <c r="AH459" s="181" t="str">
        <f t="shared" si="56"/>
        <v/>
      </c>
      <c r="AI459" s="181" t="str">
        <f t="shared" si="57"/>
        <v/>
      </c>
      <c r="AJ459" s="181" t="str">
        <f t="shared" si="58"/>
        <v/>
      </c>
      <c r="AK459" s="181" t="str">
        <f t="shared" si="59"/>
        <v/>
      </c>
      <c r="AL459" s="181" t="str">
        <f t="shared" si="60"/>
        <v/>
      </c>
      <c r="AM459" s="181" t="str">
        <f t="shared" si="61"/>
        <v/>
      </c>
      <c r="AN459" s="181" t="str">
        <f t="shared" si="62"/>
        <v/>
      </c>
      <c r="AO459" s="192" t="str">
        <f t="shared" si="63"/>
        <v/>
      </c>
      <c r="AQ459" t="str">
        <f>IFERROR(LOOKUP(2,1/((C_Pavement!$A$5:$A$204&lt;&gt;"")*(C_Pavement!$A$5:$A$204&lt;=$B459)*(C_Pavement!$B$5:$B$204&gt;$B459)*(C_Pavement!$C$5:$C$204&lt;&gt;"")),ROW(C_Pavement!$C$5:$C$204)-4),"")</f>
        <v/>
      </c>
      <c r="AR459" t="str">
        <f>IF($AQ459="","",UPPER(TRIM(INDEX(C_Pavement!$C$5:$C$204,$AQ459))))</f>
        <v/>
      </c>
      <c r="AS459" t="str">
        <f>IF($AR459="","",IFERROR(MATCH($AR459,E_Rules!$A$5:$A$9,0),""))</f>
        <v/>
      </c>
      <c r="AT459" t="str">
        <f>IF($AQ459="","",IF(INDEX(C_Pavement!$D$5:$D$204,$AQ459)&lt;&gt;"",UPPER(TRIM(INDEX(C_Pavement!$D$5:$D$204,$AQ459))),IF($AS459="","",INDEX(E_Rules!$C$5:$C$9,$AS459))))</f>
        <v/>
      </c>
      <c r="AU459" t="str">
        <f>IF($AQ459="","",IF(INDEX(C_Pavement!$E$5:$E$204,$AQ459)&lt;&gt;"",IF(INDEX(C_Pavement!$E$5:$E$204,$AQ459)="-","",INDEX(C_Pavement!$E$5:$E$204,$AQ459)),IF($AS459="","",INDEX(E_Rules!$D$5:$D$9,$AS459))))</f>
        <v/>
      </c>
      <c r="AV459" t="str">
        <f>IF($AQ459="","",IF(INDEX(C_Pavement!$F$5:$F$204,$AQ459)&lt;&gt;"",IF(INDEX(C_Pavement!$F$5:$F$204,$AQ459)="-","",INDEX(C_Pavement!$F$5:$F$204,$AQ459)),IF($AS459="","",INDEX(E_Rules!$E$5:$E$9,$AS459))))</f>
        <v/>
      </c>
      <c r="AW459" t="str">
        <f>IF($AQ459="","",IF(INDEX(C_Pavement!$G$5:$G$204,$AQ459)&lt;&gt;"",IF(INDEX(C_Pavement!$G$5:$G$204,$AQ459)="-","",INDEX(C_Pavement!$G$5:$G$204,$AQ459)),IF($AS459="","",INDEX(E_Rules!$F$5:$F$9,$AS459))))</f>
        <v/>
      </c>
      <c r="AX459" t="str">
        <f>IF($AQ459="","",IF(INDEX(C_Pavement!$H$5:$H$204,$AQ459)&lt;&gt;"",IF(INDEX(C_Pavement!$H$5:$H$204,$AQ459)="-","",INDEX(C_Pavement!$H$5:$H$204,$AQ459)),IF($AS459="","",INDEX(E_Rules!$G$5:$G$9,$AS459))))</f>
        <v/>
      </c>
      <c r="AY459" t="str">
        <f>IF($AQ459="","",IF(INDEX(C_Pavement!$I$5:$I$204,$AQ459)&lt;&gt;"",IF(INDEX(C_Pavement!$I$5:$I$204,$AQ459)="-","",INDEX(C_Pavement!$I$5:$I$204,$AQ459)),IF($AS459="","",INDEX(E_Rules!$H$5:$H$9,$AS459))))</f>
        <v/>
      </c>
    </row>
    <row r="460" spans="1:51" ht="15.75" customHeight="1" x14ac:dyDescent="0.3">
      <c r="A460" s="189">
        <v>455</v>
      </c>
      <c r="B460" s="180">
        <v>22700</v>
      </c>
      <c r="C460" s="180" t="s">
        <v>766</v>
      </c>
      <c r="D460" s="181" t="str">
        <f>IFERROR(LOOKUP(2,1/((A_Corridor!$A$5:$A$204&lt;&gt;"")*(A_Corridor!$A$5:$A$204&lt;=$B460)*(A_Corridor!$B$5:$B$204&gt;$B460)*(A_Corridor!$C$5:$C$204&lt;&gt;"")),IF(UPPER(A_Corridor!$C$5:$C$204)="Y",1,"")),"")</f>
        <v/>
      </c>
      <c r="E460" s="181" t="str">
        <f>IFERROR(LOOKUP(2,1/((A_Corridor!$A$5:$A$204&lt;&gt;"")*(A_Corridor!$A$5:$A$204&lt;=$B460)*(A_Corridor!$B$5:$B$204&gt;$B460)*(A_Corridor!$D$5:$D$204&lt;&gt;"")),IF(A_Corridor!$D$5:$D$204="-","",UPPER(A_Corridor!$D$5:$D$204))),"")</f>
        <v/>
      </c>
      <c r="F460" s="181" t="str">
        <f>IFERROR(LOOKUP(2,1/((A_Corridor!$A$5:$A$204&lt;&gt;"")*(A_Corridor!$A$5:$A$204&lt;=$B460)*(A_Corridor!$B$5:$B$204&gt;$B460)*(A_Corridor!$E$5:$E$204&lt;&gt;"")),IF(A_Corridor!$E$5:$E$204="-","",1)),"")</f>
        <v/>
      </c>
      <c r="G460" s="182" t="str">
        <f>IFERROR(LOOKUP(2,1/((A_Corridor!$A$5:$A$204&lt;&gt;"")*(A_Corridor!$A$5:$A$204&lt;=$B460)*(A_Corridor!$B$5:$B$204&gt;$B460)*(A_Corridor!$E$5:$E$204&lt;&gt;"")),IF(A_Corridor!$E$5:$E$204="-","",A_Corridor!$E$5:$E$204)),"")</f>
        <v/>
      </c>
      <c r="H460" s="182" t="str">
        <f>IFERROR(LOOKUP(2,1/((D_Points!$A$5:$A$204&lt;&gt;"")*(D_Points!$A$5:$A$204&gt;=$B460)*(D_Points!$A$5:$A$204&lt;$B460+P_Interval)*(UPPER(TRIM(D_Points!$B$5:$B$204))="GULLY")*(D_Points!$H$5:$H$204&lt;&gt;"")),D_Points!$H$5:$H$204),"")</f>
        <v/>
      </c>
      <c r="I460" s="181" t="str">
        <f>IFERROR(LOOKUP(2,1/((A_Corridor!$A$5:$A$204&lt;&gt;"")*(A_Corridor!$A$5:$A$204&lt;=$B460)*(A_Corridor!$B$5:$B$204&gt;$B460)*(A_Corridor!$F$5:$F$204&lt;&gt;"")),IF(A_Corridor!$F$5:$F$204="-","",1)),"")</f>
        <v/>
      </c>
      <c r="J460" s="182" t="str">
        <f>IFERROR(LOOKUP(2,1/((A_Corridor!$A$5:$A$204&lt;&gt;"")*(A_Corridor!$A$5:$A$204&lt;=$B460)*(A_Corridor!$B$5:$B$204&gt;$B460)*(A_Corridor!$F$5:$F$204&lt;&gt;"")),IF(A_Corridor!$F$5:$F$204="-","",A_Corridor!$F$5:$F$204)),"")</f>
        <v/>
      </c>
      <c r="K460" s="182" t="str">
        <f>IFERROR(LOOKUP(2,1/((A_Corridor!$A$5:$A$204&lt;&gt;"")*(A_Corridor!$A$5:$A$204&lt;=$B460)*(A_Corridor!$B$5:$B$204&gt;$B460)*(A_Corridor!$G$5:$G$204&lt;&gt;"")),IF(A_Corridor!$G$5:$G$204="-","",A_Corridor!$G$5:$G$204)),"")</f>
        <v/>
      </c>
      <c r="L460" s="181" t="str">
        <f>IFERROR(LOOKUP(2,1/((A_Corridor!$A$5:$A$204&lt;&gt;"")*(A_Corridor!$A$5:$A$204&lt;=$B460)*(A_Corridor!$B$5:$B$204&gt;$B460)*(A_Corridor!$H$5:$H$204&lt;&gt;"")),IF(A_Corridor!$H$5:$H$204="-","",1)),"")</f>
        <v/>
      </c>
      <c r="M460" s="182" t="str">
        <f>IFERROR(LOOKUP(2,1/((A_Corridor!$A$5:$A$204&lt;&gt;"")*(A_Corridor!$A$5:$A$204&lt;=$B460)*(A_Corridor!$B$5:$B$204&gt;$B460)*(A_Corridor!$H$5:$H$204&lt;&gt;"")),IF(A_Corridor!$H$5:$H$204="-","",A_Corridor!$H$5:$H$204)),"")</f>
        <v/>
      </c>
      <c r="N460" s="182" t="str">
        <f>IFERROR(LOOKUP(2,1/((A_Corridor!$A$5:$A$204&lt;&gt;"")*(A_Corridor!$A$5:$A$204&lt;=$B460)*(A_Corridor!$B$5:$B$204&gt;$B460)*(A_Corridor!$I$5:$I$204&lt;&gt;"")),IF(A_Corridor!$I$5:$I$204="-","",A_Corridor!$I$5:$I$204)),"")</f>
        <v/>
      </c>
      <c r="O460" s="182" t="str">
        <f>IFERROR(LOOKUP(2,1/((D_Points!$A$5:$A$204&lt;&gt;"")*(D_Points!$A$5:$A$204&gt;=$B460)*(D_Points!$A$5:$A$204&lt;$B460+P_Interval)*(UPPER(TRIM(D_Points!$B$5:$B$204))="PITCHING")*(D_Points!$H$5:$H$204&lt;&gt;"")),D_Points!$H$5:$H$204),"")</f>
        <v/>
      </c>
      <c r="P460" s="181" t="str">
        <f>IFERROR(LOOKUP(2,1/((B_Drainage!$A$5:$A$204&lt;&gt;"")*(B_Drainage!$A$5:$A$204&lt;=$B460)*(B_Drainage!$B$5:$B$204&gt;$B460)*(B_Drainage!$C$5:$C$204&lt;&gt;"")),IF(B_Drainage!$C$5:$C$204="-","",UPPER(B_Drainage!$C$5:$C$204))),"")</f>
        <v/>
      </c>
      <c r="Q460" s="181" t="str">
        <f>IFERROR(LOOKUP(2,1/((B_Drainage!$A$5:$A$204&lt;&gt;"")*(B_Drainage!$A$5:$A$204&lt;=$B460)*(B_Drainage!$B$5:$B$204&gt;$B460)*(B_Drainage!$D$5:$D$204&lt;&gt;"")),IF(B_Drainage!$D$5:$D$204="-","",UPPER(B_Drainage!$D$5:$D$204))),"")</f>
        <v/>
      </c>
      <c r="R460" s="182" t="str">
        <f>IFERROR(LOOKUP(2,1/((D_Points!$A$5:$A$204&lt;&gt;"")*(D_Points!$A$5:$A$204&gt;=$B460)*(D_Points!$A$5:$A$204&lt;$B460+P_Interval)*(RIGHT(UPPER(TRIM(D_Points!$B$5:$B$204)),8)="_CULVERT")),IF(LEFT(UPPER(TRIM(D_Points!$B$5:$B$204)),2)="EX",1,IF(LEFT(UPPER(TRIM(D_Points!$B$5:$B$204)),2)="PR",2,3))),"")</f>
        <v/>
      </c>
      <c r="S460" s="182" t="str">
        <f>IFERROR(LOOKUP(2,1/((D_Points!$A$5:$A$204&lt;&gt;"")*(D_Points!$A$5:$A$204&gt;=$B460)*(D_Points!$A$5:$A$204&lt;$B460+P_Interval)*(RIGHT(UPPER(TRIM(D_Points!$B$5:$B$204)),7)="_BRIDGE")),IF(LEFT(UPPER(TRIM(D_Points!$B$5:$B$204)),2)="EX",1,IF(LEFT(UPPER(TRIM(D_Points!$B$5:$B$204)),2)="PR",2,2))),"")</f>
        <v/>
      </c>
      <c r="T460" s="181" t="str">
        <f>IFERROR(LOOKUP(2,1/((B_Drainage!$A$5:$A$204&lt;&gt;"")*(B_Drainage!$A$5:$A$204&lt;=$B460)*(B_Drainage!$B$5:$B$204&gt;$B460)*(B_Drainage!$E$5:$E$204&lt;&gt;"")),IF(B_Drainage!$E$5:$E$204="-","",1)),"")</f>
        <v/>
      </c>
      <c r="U460" s="181" t="str">
        <f>IFERROR(LOOKUP(2,1/((B_Drainage!$A$5:$A$204&lt;&gt;"")*(B_Drainage!$A$5:$A$204&lt;=$B460)*(B_Drainage!$B$5:$B$204&gt;$B460)*(B_Drainage!$E$5:$E$204&lt;&gt;"")),IF(B_Drainage!$E$5:$E$204="-","",B_Drainage!$E$5:$E$204)),"")</f>
        <v/>
      </c>
      <c r="V460" s="181" t="str">
        <f>IFERROR(LOOKUP(2,1/((B_Drainage!$A$5:$A$204&lt;&gt;"")*(B_Drainage!$A$5:$A$204&lt;=$B460)*(B_Drainage!$B$5:$B$204&gt;$B460)*(B_Drainage!$F$5:$F$204&lt;&gt;"")),IF(B_Drainage!$F$5:$F$204="-","",1)),"")</f>
        <v/>
      </c>
      <c r="W460" s="181" t="str">
        <f>IFERROR(LOOKUP(2,1/((B_Drainage!$A$5:$A$204&lt;&gt;"")*(B_Drainage!$A$5:$A$204&lt;=$B460)*(B_Drainage!$B$5:$B$204&gt;$B460)*(B_Drainage!$F$5:$F$204&lt;&gt;"")),IF(B_Drainage!$F$5:$F$204="-","",B_Drainage!$F$5:$F$204)),"")</f>
        <v/>
      </c>
      <c r="X460" s="181" t="str">
        <f>IFERROR(LOOKUP(2,1/((B_Drainage!$A$5:$A$204&lt;&gt;"")*(B_Drainage!$A$5:$A$204&lt;=$B460)*(B_Drainage!$B$5:$B$204&gt;$B460)*(B_Drainage!$G$5:$G$204&lt;&gt;"")),IF(UPPER(B_Drainage!$G$5:$G$204)="Y",1,"")),"")</f>
        <v/>
      </c>
      <c r="Y460" s="181" t="str">
        <f>IFERROR(LOOKUP(2,1/((B_Drainage!$A$5:$A$204&lt;&gt;"")*(B_Drainage!$A$5:$A$204&lt;=$B460)*(B_Drainage!$B$5:$B$204&gt;$B460)*(B_Drainage!$H$5:$H$204&lt;&gt;"")),IF(UPPER(B_Drainage!$H$5:$H$204)="Y",1,"")),"")</f>
        <v/>
      </c>
      <c r="Z460" s="181" t="str">
        <f>IFERROR(LOOKUP(2,1/((B_Drainage!$A$5:$A$204&lt;&gt;"")*(B_Drainage!$A$5:$A$204&lt;=$B460)*(B_Drainage!$B$5:$B$204&gt;$B460)*(B_Drainage!$I$5:$I$204&lt;&gt;"")),IF(UPPER(B_Drainage!$I$5:$I$204)="Y",1,"")),"")</f>
        <v/>
      </c>
      <c r="AA460" s="181" t="str">
        <f>IFERROR(LOOKUP(2,1/((B_Drainage!$A$5:$A$204&lt;&gt;"")*(B_Drainage!$A$5:$A$204&lt;=$B460)*(B_Drainage!$B$5:$B$204&gt;$B460)*(B_Drainage!$J$5:$J$204&lt;&gt;"")),IF(UPPER(B_Drainage!$J$5:$J$204)="Y",1,"")),"")</f>
        <v/>
      </c>
      <c r="AB460" s="182" t="str">
        <f>IFERROR(LOOKUP(2,1/((B_Drainage!$A$5:$A$204&lt;&gt;"")*(B_Drainage!$A$5:$A$204&lt;=$B460)*(B_Drainage!$B$5:$B$204&gt;$B460)*(B_Drainage!$K$5:$K$204&lt;&gt;"")),IF(B_Drainage!$K$5:$K$204="-","",B_Drainage!$K$5:$K$204)),"")</f>
        <v/>
      </c>
      <c r="AC460" s="182" t="str">
        <f>IFERROR(LOOKUP(2,1/((B_Drainage!$A$5:$A$204&lt;&gt;"")*(B_Drainage!$A$5:$A$204&lt;=$B460)*(B_Drainage!$B$5:$B$204&gt;$B460)*(B_Drainage!$L$5:$L$204&lt;&gt;"")),IF(B_Drainage!$L$5:$L$204="-","",B_Drainage!$L$5:$L$204)),"")</f>
        <v/>
      </c>
      <c r="AD460" s="182" t="str">
        <f>IFERROR(LOOKUP(2,1/((D_Points!$A$5:$A$204&lt;&gt;"")*(D_Points!$A$5:$A$204&gt;=$B460)*(D_Points!$A$5:$A$204&lt;$B460+P_Interval)*(UPPER(TRIM(D_Points!$B$5:$B$204))="TURNOUT_L")*(D_Points!$H$5:$H$204&lt;&gt;"")),D_Points!$H$5:$H$204),"")</f>
        <v/>
      </c>
      <c r="AE460" s="182" t="str">
        <f>IFERROR(LOOKUP(2,1/((D_Points!$A$5:$A$204&lt;&gt;"")*(D_Points!$A$5:$A$204&gt;=$B460)*(D_Points!$A$5:$A$204&lt;$B460+P_Interval)*(UPPER(TRIM(D_Points!$B$5:$B$204))="TURNOUT_R")*(D_Points!$H$5:$H$204&lt;&gt;"")),D_Points!$H$5:$H$204),"")</f>
        <v/>
      </c>
      <c r="AF460" s="181" t="str">
        <f>IFERROR(LOOKUP(2,1/((B_Drainage!$A$5:$A$204&lt;&gt;"")*(B_Drainage!$A$5:$A$204&lt;=$B460)*(B_Drainage!$B$5:$B$204&gt;$B460)*(B_Drainage!$M$5:$M$204&lt;&gt;"")),IF(UPPER(B_Drainage!$M$5:$M$204)="Y",1,"")),"")</f>
        <v/>
      </c>
      <c r="AG460" s="181" t="str">
        <f>IFERROR(LOOKUP(2,1/((B_Drainage!$A$5:$A$204&lt;&gt;"")*(B_Drainage!$A$5:$A$204&lt;=$B460)*(B_Drainage!$B$5:$B$204&gt;$B460)*(B_Drainage!$N$5:$N$204&lt;&gt;"")),IF(UPPER(B_Drainage!$N$5:$N$204)="Y",1,"")),"")</f>
        <v/>
      </c>
      <c r="AH460" s="181" t="str">
        <f t="shared" si="56"/>
        <v/>
      </c>
      <c r="AI460" s="181" t="str">
        <f t="shared" si="57"/>
        <v/>
      </c>
      <c r="AJ460" s="181" t="str">
        <f t="shared" si="58"/>
        <v/>
      </c>
      <c r="AK460" s="181" t="str">
        <f t="shared" si="59"/>
        <v/>
      </c>
      <c r="AL460" s="181" t="str">
        <f t="shared" si="60"/>
        <v/>
      </c>
      <c r="AM460" s="181" t="str">
        <f t="shared" si="61"/>
        <v/>
      </c>
      <c r="AN460" s="181" t="str">
        <f t="shared" si="62"/>
        <v/>
      </c>
      <c r="AO460" s="192" t="str">
        <f t="shared" si="63"/>
        <v/>
      </c>
      <c r="AQ460" t="str">
        <f>IFERROR(LOOKUP(2,1/((C_Pavement!$A$5:$A$204&lt;&gt;"")*(C_Pavement!$A$5:$A$204&lt;=$B460)*(C_Pavement!$B$5:$B$204&gt;$B460)*(C_Pavement!$C$5:$C$204&lt;&gt;"")),ROW(C_Pavement!$C$5:$C$204)-4),"")</f>
        <v/>
      </c>
      <c r="AR460" t="str">
        <f>IF($AQ460="","",UPPER(TRIM(INDEX(C_Pavement!$C$5:$C$204,$AQ460))))</f>
        <v/>
      </c>
      <c r="AS460" t="str">
        <f>IF($AR460="","",IFERROR(MATCH($AR460,E_Rules!$A$5:$A$9,0),""))</f>
        <v/>
      </c>
      <c r="AT460" t="str">
        <f>IF($AQ460="","",IF(INDEX(C_Pavement!$D$5:$D$204,$AQ460)&lt;&gt;"",UPPER(TRIM(INDEX(C_Pavement!$D$5:$D$204,$AQ460))),IF($AS460="","",INDEX(E_Rules!$C$5:$C$9,$AS460))))</f>
        <v/>
      </c>
      <c r="AU460" t="str">
        <f>IF($AQ460="","",IF(INDEX(C_Pavement!$E$5:$E$204,$AQ460)&lt;&gt;"",IF(INDEX(C_Pavement!$E$5:$E$204,$AQ460)="-","",INDEX(C_Pavement!$E$5:$E$204,$AQ460)),IF($AS460="","",INDEX(E_Rules!$D$5:$D$9,$AS460))))</f>
        <v/>
      </c>
      <c r="AV460" t="str">
        <f>IF($AQ460="","",IF(INDEX(C_Pavement!$F$5:$F$204,$AQ460)&lt;&gt;"",IF(INDEX(C_Pavement!$F$5:$F$204,$AQ460)="-","",INDEX(C_Pavement!$F$5:$F$204,$AQ460)),IF($AS460="","",INDEX(E_Rules!$E$5:$E$9,$AS460))))</f>
        <v/>
      </c>
      <c r="AW460" t="str">
        <f>IF($AQ460="","",IF(INDEX(C_Pavement!$G$5:$G$204,$AQ460)&lt;&gt;"",IF(INDEX(C_Pavement!$G$5:$G$204,$AQ460)="-","",INDEX(C_Pavement!$G$5:$G$204,$AQ460)),IF($AS460="","",INDEX(E_Rules!$F$5:$F$9,$AS460))))</f>
        <v/>
      </c>
      <c r="AX460" t="str">
        <f>IF($AQ460="","",IF(INDEX(C_Pavement!$H$5:$H$204,$AQ460)&lt;&gt;"",IF(INDEX(C_Pavement!$H$5:$H$204,$AQ460)="-","",INDEX(C_Pavement!$H$5:$H$204,$AQ460)),IF($AS460="","",INDEX(E_Rules!$G$5:$G$9,$AS460))))</f>
        <v/>
      </c>
      <c r="AY460" t="str">
        <f>IF($AQ460="","",IF(INDEX(C_Pavement!$I$5:$I$204,$AQ460)&lt;&gt;"",IF(INDEX(C_Pavement!$I$5:$I$204,$AQ460)="-","",INDEX(C_Pavement!$I$5:$I$204,$AQ460)),IF($AS460="","",INDEX(E_Rules!$H$5:$H$9,$AS460))))</f>
        <v/>
      </c>
    </row>
    <row r="461" spans="1:51" ht="15.75" customHeight="1" x14ac:dyDescent="0.3">
      <c r="A461" s="189">
        <v>456</v>
      </c>
      <c r="B461" s="180">
        <v>22750</v>
      </c>
      <c r="C461" s="180" t="s">
        <v>767</v>
      </c>
      <c r="D461" s="181" t="str">
        <f>IFERROR(LOOKUP(2,1/((A_Corridor!$A$5:$A$204&lt;&gt;"")*(A_Corridor!$A$5:$A$204&lt;=$B461)*(A_Corridor!$B$5:$B$204&gt;$B461)*(A_Corridor!$C$5:$C$204&lt;&gt;"")),IF(UPPER(A_Corridor!$C$5:$C$204)="Y",1,"")),"")</f>
        <v/>
      </c>
      <c r="E461" s="181" t="str">
        <f>IFERROR(LOOKUP(2,1/((A_Corridor!$A$5:$A$204&lt;&gt;"")*(A_Corridor!$A$5:$A$204&lt;=$B461)*(A_Corridor!$B$5:$B$204&gt;$B461)*(A_Corridor!$D$5:$D$204&lt;&gt;"")),IF(A_Corridor!$D$5:$D$204="-","",UPPER(A_Corridor!$D$5:$D$204))),"")</f>
        <v/>
      </c>
      <c r="F461" s="181" t="str">
        <f>IFERROR(LOOKUP(2,1/((A_Corridor!$A$5:$A$204&lt;&gt;"")*(A_Corridor!$A$5:$A$204&lt;=$B461)*(A_Corridor!$B$5:$B$204&gt;$B461)*(A_Corridor!$E$5:$E$204&lt;&gt;"")),IF(A_Corridor!$E$5:$E$204="-","",1)),"")</f>
        <v/>
      </c>
      <c r="G461" s="182" t="str">
        <f>IFERROR(LOOKUP(2,1/((A_Corridor!$A$5:$A$204&lt;&gt;"")*(A_Corridor!$A$5:$A$204&lt;=$B461)*(A_Corridor!$B$5:$B$204&gt;$B461)*(A_Corridor!$E$5:$E$204&lt;&gt;"")),IF(A_Corridor!$E$5:$E$204="-","",A_Corridor!$E$5:$E$204)),"")</f>
        <v/>
      </c>
      <c r="H461" s="182" t="str">
        <f>IFERROR(LOOKUP(2,1/((D_Points!$A$5:$A$204&lt;&gt;"")*(D_Points!$A$5:$A$204&gt;=$B461)*(D_Points!$A$5:$A$204&lt;$B461+P_Interval)*(UPPER(TRIM(D_Points!$B$5:$B$204))="GULLY")*(D_Points!$H$5:$H$204&lt;&gt;"")),D_Points!$H$5:$H$204),"")</f>
        <v/>
      </c>
      <c r="I461" s="181" t="str">
        <f>IFERROR(LOOKUP(2,1/((A_Corridor!$A$5:$A$204&lt;&gt;"")*(A_Corridor!$A$5:$A$204&lt;=$B461)*(A_Corridor!$B$5:$B$204&gt;$B461)*(A_Corridor!$F$5:$F$204&lt;&gt;"")),IF(A_Corridor!$F$5:$F$204="-","",1)),"")</f>
        <v/>
      </c>
      <c r="J461" s="182" t="str">
        <f>IFERROR(LOOKUP(2,1/((A_Corridor!$A$5:$A$204&lt;&gt;"")*(A_Corridor!$A$5:$A$204&lt;=$B461)*(A_Corridor!$B$5:$B$204&gt;$B461)*(A_Corridor!$F$5:$F$204&lt;&gt;"")),IF(A_Corridor!$F$5:$F$204="-","",A_Corridor!$F$5:$F$204)),"")</f>
        <v/>
      </c>
      <c r="K461" s="182" t="str">
        <f>IFERROR(LOOKUP(2,1/((A_Corridor!$A$5:$A$204&lt;&gt;"")*(A_Corridor!$A$5:$A$204&lt;=$B461)*(A_Corridor!$B$5:$B$204&gt;$B461)*(A_Corridor!$G$5:$G$204&lt;&gt;"")),IF(A_Corridor!$G$5:$G$204="-","",A_Corridor!$G$5:$G$204)),"")</f>
        <v/>
      </c>
      <c r="L461" s="181" t="str">
        <f>IFERROR(LOOKUP(2,1/((A_Corridor!$A$5:$A$204&lt;&gt;"")*(A_Corridor!$A$5:$A$204&lt;=$B461)*(A_Corridor!$B$5:$B$204&gt;$B461)*(A_Corridor!$H$5:$H$204&lt;&gt;"")),IF(A_Corridor!$H$5:$H$204="-","",1)),"")</f>
        <v/>
      </c>
      <c r="M461" s="182" t="str">
        <f>IFERROR(LOOKUP(2,1/((A_Corridor!$A$5:$A$204&lt;&gt;"")*(A_Corridor!$A$5:$A$204&lt;=$B461)*(A_Corridor!$B$5:$B$204&gt;$B461)*(A_Corridor!$H$5:$H$204&lt;&gt;"")),IF(A_Corridor!$H$5:$H$204="-","",A_Corridor!$H$5:$H$204)),"")</f>
        <v/>
      </c>
      <c r="N461" s="182" t="str">
        <f>IFERROR(LOOKUP(2,1/((A_Corridor!$A$5:$A$204&lt;&gt;"")*(A_Corridor!$A$5:$A$204&lt;=$B461)*(A_Corridor!$B$5:$B$204&gt;$B461)*(A_Corridor!$I$5:$I$204&lt;&gt;"")),IF(A_Corridor!$I$5:$I$204="-","",A_Corridor!$I$5:$I$204)),"")</f>
        <v/>
      </c>
      <c r="O461" s="182" t="str">
        <f>IFERROR(LOOKUP(2,1/((D_Points!$A$5:$A$204&lt;&gt;"")*(D_Points!$A$5:$A$204&gt;=$B461)*(D_Points!$A$5:$A$204&lt;$B461+P_Interval)*(UPPER(TRIM(D_Points!$B$5:$B$204))="PITCHING")*(D_Points!$H$5:$H$204&lt;&gt;"")),D_Points!$H$5:$H$204),"")</f>
        <v/>
      </c>
      <c r="P461" s="181" t="str">
        <f>IFERROR(LOOKUP(2,1/((B_Drainage!$A$5:$A$204&lt;&gt;"")*(B_Drainage!$A$5:$A$204&lt;=$B461)*(B_Drainage!$B$5:$B$204&gt;$B461)*(B_Drainage!$C$5:$C$204&lt;&gt;"")),IF(B_Drainage!$C$5:$C$204="-","",UPPER(B_Drainage!$C$5:$C$204))),"")</f>
        <v/>
      </c>
      <c r="Q461" s="181" t="str">
        <f>IFERROR(LOOKUP(2,1/((B_Drainage!$A$5:$A$204&lt;&gt;"")*(B_Drainage!$A$5:$A$204&lt;=$B461)*(B_Drainage!$B$5:$B$204&gt;$B461)*(B_Drainage!$D$5:$D$204&lt;&gt;"")),IF(B_Drainage!$D$5:$D$204="-","",UPPER(B_Drainage!$D$5:$D$204))),"")</f>
        <v/>
      </c>
      <c r="R461" s="182" t="str">
        <f>IFERROR(LOOKUP(2,1/((D_Points!$A$5:$A$204&lt;&gt;"")*(D_Points!$A$5:$A$204&gt;=$B461)*(D_Points!$A$5:$A$204&lt;$B461+P_Interval)*(RIGHT(UPPER(TRIM(D_Points!$B$5:$B$204)),8)="_CULVERT")),IF(LEFT(UPPER(TRIM(D_Points!$B$5:$B$204)),2)="EX",1,IF(LEFT(UPPER(TRIM(D_Points!$B$5:$B$204)),2)="PR",2,3))),"")</f>
        <v/>
      </c>
      <c r="S461" s="182" t="str">
        <f>IFERROR(LOOKUP(2,1/((D_Points!$A$5:$A$204&lt;&gt;"")*(D_Points!$A$5:$A$204&gt;=$B461)*(D_Points!$A$5:$A$204&lt;$B461+P_Interval)*(RIGHT(UPPER(TRIM(D_Points!$B$5:$B$204)),7)="_BRIDGE")),IF(LEFT(UPPER(TRIM(D_Points!$B$5:$B$204)),2)="EX",1,IF(LEFT(UPPER(TRIM(D_Points!$B$5:$B$204)),2)="PR",2,2))),"")</f>
        <v/>
      </c>
      <c r="T461" s="181" t="str">
        <f>IFERROR(LOOKUP(2,1/((B_Drainage!$A$5:$A$204&lt;&gt;"")*(B_Drainage!$A$5:$A$204&lt;=$B461)*(B_Drainage!$B$5:$B$204&gt;$B461)*(B_Drainage!$E$5:$E$204&lt;&gt;"")),IF(B_Drainage!$E$5:$E$204="-","",1)),"")</f>
        <v/>
      </c>
      <c r="U461" s="181" t="str">
        <f>IFERROR(LOOKUP(2,1/((B_Drainage!$A$5:$A$204&lt;&gt;"")*(B_Drainage!$A$5:$A$204&lt;=$B461)*(B_Drainage!$B$5:$B$204&gt;$B461)*(B_Drainage!$E$5:$E$204&lt;&gt;"")),IF(B_Drainage!$E$5:$E$204="-","",B_Drainage!$E$5:$E$204)),"")</f>
        <v/>
      </c>
      <c r="V461" s="181" t="str">
        <f>IFERROR(LOOKUP(2,1/((B_Drainage!$A$5:$A$204&lt;&gt;"")*(B_Drainage!$A$5:$A$204&lt;=$B461)*(B_Drainage!$B$5:$B$204&gt;$B461)*(B_Drainage!$F$5:$F$204&lt;&gt;"")),IF(B_Drainage!$F$5:$F$204="-","",1)),"")</f>
        <v/>
      </c>
      <c r="W461" s="181" t="str">
        <f>IFERROR(LOOKUP(2,1/((B_Drainage!$A$5:$A$204&lt;&gt;"")*(B_Drainage!$A$5:$A$204&lt;=$B461)*(B_Drainage!$B$5:$B$204&gt;$B461)*(B_Drainage!$F$5:$F$204&lt;&gt;"")),IF(B_Drainage!$F$5:$F$204="-","",B_Drainage!$F$5:$F$204)),"")</f>
        <v/>
      </c>
      <c r="X461" s="181" t="str">
        <f>IFERROR(LOOKUP(2,1/((B_Drainage!$A$5:$A$204&lt;&gt;"")*(B_Drainage!$A$5:$A$204&lt;=$B461)*(B_Drainage!$B$5:$B$204&gt;$B461)*(B_Drainage!$G$5:$G$204&lt;&gt;"")),IF(UPPER(B_Drainage!$G$5:$G$204)="Y",1,"")),"")</f>
        <v/>
      </c>
      <c r="Y461" s="181" t="str">
        <f>IFERROR(LOOKUP(2,1/((B_Drainage!$A$5:$A$204&lt;&gt;"")*(B_Drainage!$A$5:$A$204&lt;=$B461)*(B_Drainage!$B$5:$B$204&gt;$B461)*(B_Drainage!$H$5:$H$204&lt;&gt;"")),IF(UPPER(B_Drainage!$H$5:$H$204)="Y",1,"")),"")</f>
        <v/>
      </c>
      <c r="Z461" s="181" t="str">
        <f>IFERROR(LOOKUP(2,1/((B_Drainage!$A$5:$A$204&lt;&gt;"")*(B_Drainage!$A$5:$A$204&lt;=$B461)*(B_Drainage!$B$5:$B$204&gt;$B461)*(B_Drainage!$I$5:$I$204&lt;&gt;"")),IF(UPPER(B_Drainage!$I$5:$I$204)="Y",1,"")),"")</f>
        <v/>
      </c>
      <c r="AA461" s="181" t="str">
        <f>IFERROR(LOOKUP(2,1/((B_Drainage!$A$5:$A$204&lt;&gt;"")*(B_Drainage!$A$5:$A$204&lt;=$B461)*(B_Drainage!$B$5:$B$204&gt;$B461)*(B_Drainage!$J$5:$J$204&lt;&gt;"")),IF(UPPER(B_Drainage!$J$5:$J$204)="Y",1,"")),"")</f>
        <v/>
      </c>
      <c r="AB461" s="182" t="str">
        <f>IFERROR(LOOKUP(2,1/((B_Drainage!$A$5:$A$204&lt;&gt;"")*(B_Drainage!$A$5:$A$204&lt;=$B461)*(B_Drainage!$B$5:$B$204&gt;$B461)*(B_Drainage!$K$5:$K$204&lt;&gt;"")),IF(B_Drainage!$K$5:$K$204="-","",B_Drainage!$K$5:$K$204)),"")</f>
        <v/>
      </c>
      <c r="AC461" s="182" t="str">
        <f>IFERROR(LOOKUP(2,1/((B_Drainage!$A$5:$A$204&lt;&gt;"")*(B_Drainage!$A$5:$A$204&lt;=$B461)*(B_Drainage!$B$5:$B$204&gt;$B461)*(B_Drainage!$L$5:$L$204&lt;&gt;"")),IF(B_Drainage!$L$5:$L$204="-","",B_Drainage!$L$5:$L$204)),"")</f>
        <v/>
      </c>
      <c r="AD461" s="182" t="str">
        <f>IFERROR(LOOKUP(2,1/((D_Points!$A$5:$A$204&lt;&gt;"")*(D_Points!$A$5:$A$204&gt;=$B461)*(D_Points!$A$5:$A$204&lt;$B461+P_Interval)*(UPPER(TRIM(D_Points!$B$5:$B$204))="TURNOUT_L")*(D_Points!$H$5:$H$204&lt;&gt;"")),D_Points!$H$5:$H$204),"")</f>
        <v/>
      </c>
      <c r="AE461" s="182" t="str">
        <f>IFERROR(LOOKUP(2,1/((D_Points!$A$5:$A$204&lt;&gt;"")*(D_Points!$A$5:$A$204&gt;=$B461)*(D_Points!$A$5:$A$204&lt;$B461+P_Interval)*(UPPER(TRIM(D_Points!$B$5:$B$204))="TURNOUT_R")*(D_Points!$H$5:$H$204&lt;&gt;"")),D_Points!$H$5:$H$204),"")</f>
        <v/>
      </c>
      <c r="AF461" s="181" t="str">
        <f>IFERROR(LOOKUP(2,1/((B_Drainage!$A$5:$A$204&lt;&gt;"")*(B_Drainage!$A$5:$A$204&lt;=$B461)*(B_Drainage!$B$5:$B$204&gt;$B461)*(B_Drainage!$M$5:$M$204&lt;&gt;"")),IF(UPPER(B_Drainage!$M$5:$M$204)="Y",1,"")),"")</f>
        <v/>
      </c>
      <c r="AG461" s="181" t="str">
        <f>IFERROR(LOOKUP(2,1/((B_Drainage!$A$5:$A$204&lt;&gt;"")*(B_Drainage!$A$5:$A$204&lt;=$B461)*(B_Drainage!$B$5:$B$204&gt;$B461)*(B_Drainage!$N$5:$N$204&lt;&gt;"")),IF(UPPER(B_Drainage!$N$5:$N$204)="Y",1,"")),"")</f>
        <v/>
      </c>
      <c r="AH461" s="181" t="str">
        <f t="shared" si="56"/>
        <v/>
      </c>
      <c r="AI461" s="181" t="str">
        <f t="shared" si="57"/>
        <v/>
      </c>
      <c r="AJ461" s="181" t="str">
        <f t="shared" si="58"/>
        <v/>
      </c>
      <c r="AK461" s="181" t="str">
        <f t="shared" si="59"/>
        <v/>
      </c>
      <c r="AL461" s="181" t="str">
        <f t="shared" si="60"/>
        <v/>
      </c>
      <c r="AM461" s="181" t="str">
        <f t="shared" si="61"/>
        <v/>
      </c>
      <c r="AN461" s="181" t="str">
        <f t="shared" si="62"/>
        <v/>
      </c>
      <c r="AO461" s="192" t="str">
        <f t="shared" si="63"/>
        <v/>
      </c>
      <c r="AQ461" t="str">
        <f>IFERROR(LOOKUP(2,1/((C_Pavement!$A$5:$A$204&lt;&gt;"")*(C_Pavement!$A$5:$A$204&lt;=$B461)*(C_Pavement!$B$5:$B$204&gt;$B461)*(C_Pavement!$C$5:$C$204&lt;&gt;"")),ROW(C_Pavement!$C$5:$C$204)-4),"")</f>
        <v/>
      </c>
      <c r="AR461" t="str">
        <f>IF($AQ461="","",UPPER(TRIM(INDEX(C_Pavement!$C$5:$C$204,$AQ461))))</f>
        <v/>
      </c>
      <c r="AS461" t="str">
        <f>IF($AR461="","",IFERROR(MATCH($AR461,E_Rules!$A$5:$A$9,0),""))</f>
        <v/>
      </c>
      <c r="AT461" t="str">
        <f>IF($AQ461="","",IF(INDEX(C_Pavement!$D$5:$D$204,$AQ461)&lt;&gt;"",UPPER(TRIM(INDEX(C_Pavement!$D$5:$D$204,$AQ461))),IF($AS461="","",INDEX(E_Rules!$C$5:$C$9,$AS461))))</f>
        <v/>
      </c>
      <c r="AU461" t="str">
        <f>IF($AQ461="","",IF(INDEX(C_Pavement!$E$5:$E$204,$AQ461)&lt;&gt;"",IF(INDEX(C_Pavement!$E$5:$E$204,$AQ461)="-","",INDEX(C_Pavement!$E$5:$E$204,$AQ461)),IF($AS461="","",INDEX(E_Rules!$D$5:$D$9,$AS461))))</f>
        <v/>
      </c>
      <c r="AV461" t="str">
        <f>IF($AQ461="","",IF(INDEX(C_Pavement!$F$5:$F$204,$AQ461)&lt;&gt;"",IF(INDEX(C_Pavement!$F$5:$F$204,$AQ461)="-","",INDEX(C_Pavement!$F$5:$F$204,$AQ461)),IF($AS461="","",INDEX(E_Rules!$E$5:$E$9,$AS461))))</f>
        <v/>
      </c>
      <c r="AW461" t="str">
        <f>IF($AQ461="","",IF(INDEX(C_Pavement!$G$5:$G$204,$AQ461)&lt;&gt;"",IF(INDEX(C_Pavement!$G$5:$G$204,$AQ461)="-","",INDEX(C_Pavement!$G$5:$G$204,$AQ461)),IF($AS461="","",INDEX(E_Rules!$F$5:$F$9,$AS461))))</f>
        <v/>
      </c>
      <c r="AX461" t="str">
        <f>IF($AQ461="","",IF(INDEX(C_Pavement!$H$5:$H$204,$AQ461)&lt;&gt;"",IF(INDEX(C_Pavement!$H$5:$H$204,$AQ461)="-","",INDEX(C_Pavement!$H$5:$H$204,$AQ461)),IF($AS461="","",INDEX(E_Rules!$G$5:$G$9,$AS461))))</f>
        <v/>
      </c>
      <c r="AY461" t="str">
        <f>IF($AQ461="","",IF(INDEX(C_Pavement!$I$5:$I$204,$AQ461)&lt;&gt;"",IF(INDEX(C_Pavement!$I$5:$I$204,$AQ461)="-","",INDEX(C_Pavement!$I$5:$I$204,$AQ461)),IF($AS461="","",INDEX(E_Rules!$H$5:$H$9,$AS461))))</f>
        <v/>
      </c>
    </row>
    <row r="462" spans="1:51" ht="15.75" customHeight="1" x14ac:dyDescent="0.3">
      <c r="A462" s="189">
        <v>457</v>
      </c>
      <c r="B462" s="180">
        <v>22800</v>
      </c>
      <c r="C462" s="180" t="s">
        <v>768</v>
      </c>
      <c r="D462" s="181" t="str">
        <f>IFERROR(LOOKUP(2,1/((A_Corridor!$A$5:$A$204&lt;&gt;"")*(A_Corridor!$A$5:$A$204&lt;=$B462)*(A_Corridor!$B$5:$B$204&gt;$B462)*(A_Corridor!$C$5:$C$204&lt;&gt;"")),IF(UPPER(A_Corridor!$C$5:$C$204)="Y",1,"")),"")</f>
        <v/>
      </c>
      <c r="E462" s="181" t="str">
        <f>IFERROR(LOOKUP(2,1/((A_Corridor!$A$5:$A$204&lt;&gt;"")*(A_Corridor!$A$5:$A$204&lt;=$B462)*(A_Corridor!$B$5:$B$204&gt;$B462)*(A_Corridor!$D$5:$D$204&lt;&gt;"")),IF(A_Corridor!$D$5:$D$204="-","",UPPER(A_Corridor!$D$5:$D$204))),"")</f>
        <v/>
      </c>
      <c r="F462" s="181" t="str">
        <f>IFERROR(LOOKUP(2,1/((A_Corridor!$A$5:$A$204&lt;&gt;"")*(A_Corridor!$A$5:$A$204&lt;=$B462)*(A_Corridor!$B$5:$B$204&gt;$B462)*(A_Corridor!$E$5:$E$204&lt;&gt;"")),IF(A_Corridor!$E$5:$E$204="-","",1)),"")</f>
        <v/>
      </c>
      <c r="G462" s="182" t="str">
        <f>IFERROR(LOOKUP(2,1/((A_Corridor!$A$5:$A$204&lt;&gt;"")*(A_Corridor!$A$5:$A$204&lt;=$B462)*(A_Corridor!$B$5:$B$204&gt;$B462)*(A_Corridor!$E$5:$E$204&lt;&gt;"")),IF(A_Corridor!$E$5:$E$204="-","",A_Corridor!$E$5:$E$204)),"")</f>
        <v/>
      </c>
      <c r="H462" s="182" t="str">
        <f>IFERROR(LOOKUP(2,1/((D_Points!$A$5:$A$204&lt;&gt;"")*(D_Points!$A$5:$A$204&gt;=$B462)*(D_Points!$A$5:$A$204&lt;$B462+P_Interval)*(UPPER(TRIM(D_Points!$B$5:$B$204))="GULLY")*(D_Points!$H$5:$H$204&lt;&gt;"")),D_Points!$H$5:$H$204),"")</f>
        <v/>
      </c>
      <c r="I462" s="181" t="str">
        <f>IFERROR(LOOKUP(2,1/((A_Corridor!$A$5:$A$204&lt;&gt;"")*(A_Corridor!$A$5:$A$204&lt;=$B462)*(A_Corridor!$B$5:$B$204&gt;$B462)*(A_Corridor!$F$5:$F$204&lt;&gt;"")),IF(A_Corridor!$F$5:$F$204="-","",1)),"")</f>
        <v/>
      </c>
      <c r="J462" s="182" t="str">
        <f>IFERROR(LOOKUP(2,1/((A_Corridor!$A$5:$A$204&lt;&gt;"")*(A_Corridor!$A$5:$A$204&lt;=$B462)*(A_Corridor!$B$5:$B$204&gt;$B462)*(A_Corridor!$F$5:$F$204&lt;&gt;"")),IF(A_Corridor!$F$5:$F$204="-","",A_Corridor!$F$5:$F$204)),"")</f>
        <v/>
      </c>
      <c r="K462" s="182" t="str">
        <f>IFERROR(LOOKUP(2,1/((A_Corridor!$A$5:$A$204&lt;&gt;"")*(A_Corridor!$A$5:$A$204&lt;=$B462)*(A_Corridor!$B$5:$B$204&gt;$B462)*(A_Corridor!$G$5:$G$204&lt;&gt;"")),IF(A_Corridor!$G$5:$G$204="-","",A_Corridor!$G$5:$G$204)),"")</f>
        <v/>
      </c>
      <c r="L462" s="181" t="str">
        <f>IFERROR(LOOKUP(2,1/((A_Corridor!$A$5:$A$204&lt;&gt;"")*(A_Corridor!$A$5:$A$204&lt;=$B462)*(A_Corridor!$B$5:$B$204&gt;$B462)*(A_Corridor!$H$5:$H$204&lt;&gt;"")),IF(A_Corridor!$H$5:$H$204="-","",1)),"")</f>
        <v/>
      </c>
      <c r="M462" s="182" t="str">
        <f>IFERROR(LOOKUP(2,1/((A_Corridor!$A$5:$A$204&lt;&gt;"")*(A_Corridor!$A$5:$A$204&lt;=$B462)*(A_Corridor!$B$5:$B$204&gt;$B462)*(A_Corridor!$H$5:$H$204&lt;&gt;"")),IF(A_Corridor!$H$5:$H$204="-","",A_Corridor!$H$5:$H$204)),"")</f>
        <v/>
      </c>
      <c r="N462" s="182" t="str">
        <f>IFERROR(LOOKUP(2,1/((A_Corridor!$A$5:$A$204&lt;&gt;"")*(A_Corridor!$A$5:$A$204&lt;=$B462)*(A_Corridor!$B$5:$B$204&gt;$B462)*(A_Corridor!$I$5:$I$204&lt;&gt;"")),IF(A_Corridor!$I$5:$I$204="-","",A_Corridor!$I$5:$I$204)),"")</f>
        <v/>
      </c>
      <c r="O462" s="182" t="str">
        <f>IFERROR(LOOKUP(2,1/((D_Points!$A$5:$A$204&lt;&gt;"")*(D_Points!$A$5:$A$204&gt;=$B462)*(D_Points!$A$5:$A$204&lt;$B462+P_Interval)*(UPPER(TRIM(D_Points!$B$5:$B$204))="PITCHING")*(D_Points!$H$5:$H$204&lt;&gt;"")),D_Points!$H$5:$H$204),"")</f>
        <v/>
      </c>
      <c r="P462" s="181" t="str">
        <f>IFERROR(LOOKUP(2,1/((B_Drainage!$A$5:$A$204&lt;&gt;"")*(B_Drainage!$A$5:$A$204&lt;=$B462)*(B_Drainage!$B$5:$B$204&gt;$B462)*(B_Drainage!$C$5:$C$204&lt;&gt;"")),IF(B_Drainage!$C$5:$C$204="-","",UPPER(B_Drainage!$C$5:$C$204))),"")</f>
        <v/>
      </c>
      <c r="Q462" s="181" t="str">
        <f>IFERROR(LOOKUP(2,1/((B_Drainage!$A$5:$A$204&lt;&gt;"")*(B_Drainage!$A$5:$A$204&lt;=$B462)*(B_Drainage!$B$5:$B$204&gt;$B462)*(B_Drainage!$D$5:$D$204&lt;&gt;"")),IF(B_Drainage!$D$5:$D$204="-","",UPPER(B_Drainage!$D$5:$D$204))),"")</f>
        <v/>
      </c>
      <c r="R462" s="182" t="str">
        <f>IFERROR(LOOKUP(2,1/((D_Points!$A$5:$A$204&lt;&gt;"")*(D_Points!$A$5:$A$204&gt;=$B462)*(D_Points!$A$5:$A$204&lt;$B462+P_Interval)*(RIGHT(UPPER(TRIM(D_Points!$B$5:$B$204)),8)="_CULVERT")),IF(LEFT(UPPER(TRIM(D_Points!$B$5:$B$204)),2)="EX",1,IF(LEFT(UPPER(TRIM(D_Points!$B$5:$B$204)),2)="PR",2,3))),"")</f>
        <v/>
      </c>
      <c r="S462" s="182" t="str">
        <f>IFERROR(LOOKUP(2,1/((D_Points!$A$5:$A$204&lt;&gt;"")*(D_Points!$A$5:$A$204&gt;=$B462)*(D_Points!$A$5:$A$204&lt;$B462+P_Interval)*(RIGHT(UPPER(TRIM(D_Points!$B$5:$B$204)),7)="_BRIDGE")),IF(LEFT(UPPER(TRIM(D_Points!$B$5:$B$204)),2)="EX",1,IF(LEFT(UPPER(TRIM(D_Points!$B$5:$B$204)),2)="PR",2,2))),"")</f>
        <v/>
      </c>
      <c r="T462" s="181" t="str">
        <f>IFERROR(LOOKUP(2,1/((B_Drainage!$A$5:$A$204&lt;&gt;"")*(B_Drainage!$A$5:$A$204&lt;=$B462)*(B_Drainage!$B$5:$B$204&gt;$B462)*(B_Drainage!$E$5:$E$204&lt;&gt;"")),IF(B_Drainage!$E$5:$E$204="-","",1)),"")</f>
        <v/>
      </c>
      <c r="U462" s="181" t="str">
        <f>IFERROR(LOOKUP(2,1/((B_Drainage!$A$5:$A$204&lt;&gt;"")*(B_Drainage!$A$5:$A$204&lt;=$B462)*(B_Drainage!$B$5:$B$204&gt;$B462)*(B_Drainage!$E$5:$E$204&lt;&gt;"")),IF(B_Drainage!$E$5:$E$204="-","",B_Drainage!$E$5:$E$204)),"")</f>
        <v/>
      </c>
      <c r="V462" s="181" t="str">
        <f>IFERROR(LOOKUP(2,1/((B_Drainage!$A$5:$A$204&lt;&gt;"")*(B_Drainage!$A$5:$A$204&lt;=$B462)*(B_Drainage!$B$5:$B$204&gt;$B462)*(B_Drainage!$F$5:$F$204&lt;&gt;"")),IF(B_Drainage!$F$5:$F$204="-","",1)),"")</f>
        <v/>
      </c>
      <c r="W462" s="181" t="str">
        <f>IFERROR(LOOKUP(2,1/((B_Drainage!$A$5:$A$204&lt;&gt;"")*(B_Drainage!$A$5:$A$204&lt;=$B462)*(B_Drainage!$B$5:$B$204&gt;$B462)*(B_Drainage!$F$5:$F$204&lt;&gt;"")),IF(B_Drainage!$F$5:$F$204="-","",B_Drainage!$F$5:$F$204)),"")</f>
        <v/>
      </c>
      <c r="X462" s="181" t="str">
        <f>IFERROR(LOOKUP(2,1/((B_Drainage!$A$5:$A$204&lt;&gt;"")*(B_Drainage!$A$5:$A$204&lt;=$B462)*(B_Drainage!$B$5:$B$204&gt;$B462)*(B_Drainage!$G$5:$G$204&lt;&gt;"")),IF(UPPER(B_Drainage!$G$5:$G$204)="Y",1,"")),"")</f>
        <v/>
      </c>
      <c r="Y462" s="181" t="str">
        <f>IFERROR(LOOKUP(2,1/((B_Drainage!$A$5:$A$204&lt;&gt;"")*(B_Drainage!$A$5:$A$204&lt;=$B462)*(B_Drainage!$B$5:$B$204&gt;$B462)*(B_Drainage!$H$5:$H$204&lt;&gt;"")),IF(UPPER(B_Drainage!$H$5:$H$204)="Y",1,"")),"")</f>
        <v/>
      </c>
      <c r="Z462" s="181" t="str">
        <f>IFERROR(LOOKUP(2,1/((B_Drainage!$A$5:$A$204&lt;&gt;"")*(B_Drainage!$A$5:$A$204&lt;=$B462)*(B_Drainage!$B$5:$B$204&gt;$B462)*(B_Drainage!$I$5:$I$204&lt;&gt;"")),IF(UPPER(B_Drainage!$I$5:$I$204)="Y",1,"")),"")</f>
        <v/>
      </c>
      <c r="AA462" s="181" t="str">
        <f>IFERROR(LOOKUP(2,1/((B_Drainage!$A$5:$A$204&lt;&gt;"")*(B_Drainage!$A$5:$A$204&lt;=$B462)*(B_Drainage!$B$5:$B$204&gt;$B462)*(B_Drainage!$J$5:$J$204&lt;&gt;"")),IF(UPPER(B_Drainage!$J$5:$J$204)="Y",1,"")),"")</f>
        <v/>
      </c>
      <c r="AB462" s="182" t="str">
        <f>IFERROR(LOOKUP(2,1/((B_Drainage!$A$5:$A$204&lt;&gt;"")*(B_Drainage!$A$5:$A$204&lt;=$B462)*(B_Drainage!$B$5:$B$204&gt;$B462)*(B_Drainage!$K$5:$K$204&lt;&gt;"")),IF(B_Drainage!$K$5:$K$204="-","",B_Drainage!$K$5:$K$204)),"")</f>
        <v/>
      </c>
      <c r="AC462" s="182" t="str">
        <f>IFERROR(LOOKUP(2,1/((B_Drainage!$A$5:$A$204&lt;&gt;"")*(B_Drainage!$A$5:$A$204&lt;=$B462)*(B_Drainage!$B$5:$B$204&gt;$B462)*(B_Drainage!$L$5:$L$204&lt;&gt;"")),IF(B_Drainage!$L$5:$L$204="-","",B_Drainage!$L$5:$L$204)),"")</f>
        <v/>
      </c>
      <c r="AD462" s="182" t="str">
        <f>IFERROR(LOOKUP(2,1/((D_Points!$A$5:$A$204&lt;&gt;"")*(D_Points!$A$5:$A$204&gt;=$B462)*(D_Points!$A$5:$A$204&lt;$B462+P_Interval)*(UPPER(TRIM(D_Points!$B$5:$B$204))="TURNOUT_L")*(D_Points!$H$5:$H$204&lt;&gt;"")),D_Points!$H$5:$H$204),"")</f>
        <v/>
      </c>
      <c r="AE462" s="182" t="str">
        <f>IFERROR(LOOKUP(2,1/((D_Points!$A$5:$A$204&lt;&gt;"")*(D_Points!$A$5:$A$204&gt;=$B462)*(D_Points!$A$5:$A$204&lt;$B462+P_Interval)*(UPPER(TRIM(D_Points!$B$5:$B$204))="TURNOUT_R")*(D_Points!$H$5:$H$204&lt;&gt;"")),D_Points!$H$5:$H$204),"")</f>
        <v/>
      </c>
      <c r="AF462" s="181" t="str">
        <f>IFERROR(LOOKUP(2,1/((B_Drainage!$A$5:$A$204&lt;&gt;"")*(B_Drainage!$A$5:$A$204&lt;=$B462)*(B_Drainage!$B$5:$B$204&gt;$B462)*(B_Drainage!$M$5:$M$204&lt;&gt;"")),IF(UPPER(B_Drainage!$M$5:$M$204)="Y",1,"")),"")</f>
        <v/>
      </c>
      <c r="AG462" s="181" t="str">
        <f>IFERROR(LOOKUP(2,1/((B_Drainage!$A$5:$A$204&lt;&gt;"")*(B_Drainage!$A$5:$A$204&lt;=$B462)*(B_Drainage!$B$5:$B$204&gt;$B462)*(B_Drainage!$N$5:$N$204&lt;&gt;"")),IF(UPPER(B_Drainage!$N$5:$N$204)="Y",1,"")),"")</f>
        <v/>
      </c>
      <c r="AH462" s="181" t="str">
        <f t="shared" si="56"/>
        <v/>
      </c>
      <c r="AI462" s="181" t="str">
        <f t="shared" si="57"/>
        <v/>
      </c>
      <c r="AJ462" s="181" t="str">
        <f t="shared" si="58"/>
        <v/>
      </c>
      <c r="AK462" s="181" t="str">
        <f t="shared" si="59"/>
        <v/>
      </c>
      <c r="AL462" s="181" t="str">
        <f t="shared" si="60"/>
        <v/>
      </c>
      <c r="AM462" s="181" t="str">
        <f t="shared" si="61"/>
        <v/>
      </c>
      <c r="AN462" s="181" t="str">
        <f t="shared" si="62"/>
        <v/>
      </c>
      <c r="AO462" s="192" t="str">
        <f t="shared" si="63"/>
        <v/>
      </c>
      <c r="AQ462" t="str">
        <f>IFERROR(LOOKUP(2,1/((C_Pavement!$A$5:$A$204&lt;&gt;"")*(C_Pavement!$A$5:$A$204&lt;=$B462)*(C_Pavement!$B$5:$B$204&gt;$B462)*(C_Pavement!$C$5:$C$204&lt;&gt;"")),ROW(C_Pavement!$C$5:$C$204)-4),"")</f>
        <v/>
      </c>
      <c r="AR462" t="str">
        <f>IF($AQ462="","",UPPER(TRIM(INDEX(C_Pavement!$C$5:$C$204,$AQ462))))</f>
        <v/>
      </c>
      <c r="AS462" t="str">
        <f>IF($AR462="","",IFERROR(MATCH($AR462,E_Rules!$A$5:$A$9,0),""))</f>
        <v/>
      </c>
      <c r="AT462" t="str">
        <f>IF($AQ462="","",IF(INDEX(C_Pavement!$D$5:$D$204,$AQ462)&lt;&gt;"",UPPER(TRIM(INDEX(C_Pavement!$D$5:$D$204,$AQ462))),IF($AS462="","",INDEX(E_Rules!$C$5:$C$9,$AS462))))</f>
        <v/>
      </c>
      <c r="AU462" t="str">
        <f>IF($AQ462="","",IF(INDEX(C_Pavement!$E$5:$E$204,$AQ462)&lt;&gt;"",IF(INDEX(C_Pavement!$E$5:$E$204,$AQ462)="-","",INDEX(C_Pavement!$E$5:$E$204,$AQ462)),IF($AS462="","",INDEX(E_Rules!$D$5:$D$9,$AS462))))</f>
        <v/>
      </c>
      <c r="AV462" t="str">
        <f>IF($AQ462="","",IF(INDEX(C_Pavement!$F$5:$F$204,$AQ462)&lt;&gt;"",IF(INDEX(C_Pavement!$F$5:$F$204,$AQ462)="-","",INDEX(C_Pavement!$F$5:$F$204,$AQ462)),IF($AS462="","",INDEX(E_Rules!$E$5:$E$9,$AS462))))</f>
        <v/>
      </c>
      <c r="AW462" t="str">
        <f>IF($AQ462="","",IF(INDEX(C_Pavement!$G$5:$G$204,$AQ462)&lt;&gt;"",IF(INDEX(C_Pavement!$G$5:$G$204,$AQ462)="-","",INDEX(C_Pavement!$G$5:$G$204,$AQ462)),IF($AS462="","",INDEX(E_Rules!$F$5:$F$9,$AS462))))</f>
        <v/>
      </c>
      <c r="AX462" t="str">
        <f>IF($AQ462="","",IF(INDEX(C_Pavement!$H$5:$H$204,$AQ462)&lt;&gt;"",IF(INDEX(C_Pavement!$H$5:$H$204,$AQ462)="-","",INDEX(C_Pavement!$H$5:$H$204,$AQ462)),IF($AS462="","",INDEX(E_Rules!$G$5:$G$9,$AS462))))</f>
        <v/>
      </c>
      <c r="AY462" t="str">
        <f>IF($AQ462="","",IF(INDEX(C_Pavement!$I$5:$I$204,$AQ462)&lt;&gt;"",IF(INDEX(C_Pavement!$I$5:$I$204,$AQ462)="-","",INDEX(C_Pavement!$I$5:$I$204,$AQ462)),IF($AS462="","",INDEX(E_Rules!$H$5:$H$9,$AS462))))</f>
        <v/>
      </c>
    </row>
    <row r="463" spans="1:51" ht="15.75" customHeight="1" x14ac:dyDescent="0.3">
      <c r="A463" s="189">
        <v>458</v>
      </c>
      <c r="B463" s="180">
        <v>22850</v>
      </c>
      <c r="C463" s="180" t="s">
        <v>769</v>
      </c>
      <c r="D463" s="181" t="str">
        <f>IFERROR(LOOKUP(2,1/((A_Corridor!$A$5:$A$204&lt;&gt;"")*(A_Corridor!$A$5:$A$204&lt;=$B463)*(A_Corridor!$B$5:$B$204&gt;$B463)*(A_Corridor!$C$5:$C$204&lt;&gt;"")),IF(UPPER(A_Corridor!$C$5:$C$204)="Y",1,"")),"")</f>
        <v/>
      </c>
      <c r="E463" s="181" t="str">
        <f>IFERROR(LOOKUP(2,1/((A_Corridor!$A$5:$A$204&lt;&gt;"")*(A_Corridor!$A$5:$A$204&lt;=$B463)*(A_Corridor!$B$5:$B$204&gt;$B463)*(A_Corridor!$D$5:$D$204&lt;&gt;"")),IF(A_Corridor!$D$5:$D$204="-","",UPPER(A_Corridor!$D$5:$D$204))),"")</f>
        <v/>
      </c>
      <c r="F463" s="181" t="str">
        <f>IFERROR(LOOKUP(2,1/((A_Corridor!$A$5:$A$204&lt;&gt;"")*(A_Corridor!$A$5:$A$204&lt;=$B463)*(A_Corridor!$B$5:$B$204&gt;$B463)*(A_Corridor!$E$5:$E$204&lt;&gt;"")),IF(A_Corridor!$E$5:$E$204="-","",1)),"")</f>
        <v/>
      </c>
      <c r="G463" s="182" t="str">
        <f>IFERROR(LOOKUP(2,1/((A_Corridor!$A$5:$A$204&lt;&gt;"")*(A_Corridor!$A$5:$A$204&lt;=$B463)*(A_Corridor!$B$5:$B$204&gt;$B463)*(A_Corridor!$E$5:$E$204&lt;&gt;"")),IF(A_Corridor!$E$5:$E$204="-","",A_Corridor!$E$5:$E$204)),"")</f>
        <v/>
      </c>
      <c r="H463" s="182" t="str">
        <f>IFERROR(LOOKUP(2,1/((D_Points!$A$5:$A$204&lt;&gt;"")*(D_Points!$A$5:$A$204&gt;=$B463)*(D_Points!$A$5:$A$204&lt;$B463+P_Interval)*(UPPER(TRIM(D_Points!$B$5:$B$204))="GULLY")*(D_Points!$H$5:$H$204&lt;&gt;"")),D_Points!$H$5:$H$204),"")</f>
        <v/>
      </c>
      <c r="I463" s="181" t="str">
        <f>IFERROR(LOOKUP(2,1/((A_Corridor!$A$5:$A$204&lt;&gt;"")*(A_Corridor!$A$5:$A$204&lt;=$B463)*(A_Corridor!$B$5:$B$204&gt;$B463)*(A_Corridor!$F$5:$F$204&lt;&gt;"")),IF(A_Corridor!$F$5:$F$204="-","",1)),"")</f>
        <v/>
      </c>
      <c r="J463" s="182" t="str">
        <f>IFERROR(LOOKUP(2,1/((A_Corridor!$A$5:$A$204&lt;&gt;"")*(A_Corridor!$A$5:$A$204&lt;=$B463)*(A_Corridor!$B$5:$B$204&gt;$B463)*(A_Corridor!$F$5:$F$204&lt;&gt;"")),IF(A_Corridor!$F$5:$F$204="-","",A_Corridor!$F$5:$F$204)),"")</f>
        <v/>
      </c>
      <c r="K463" s="182" t="str">
        <f>IFERROR(LOOKUP(2,1/((A_Corridor!$A$5:$A$204&lt;&gt;"")*(A_Corridor!$A$5:$A$204&lt;=$B463)*(A_Corridor!$B$5:$B$204&gt;$B463)*(A_Corridor!$G$5:$G$204&lt;&gt;"")),IF(A_Corridor!$G$5:$G$204="-","",A_Corridor!$G$5:$G$204)),"")</f>
        <v/>
      </c>
      <c r="L463" s="181" t="str">
        <f>IFERROR(LOOKUP(2,1/((A_Corridor!$A$5:$A$204&lt;&gt;"")*(A_Corridor!$A$5:$A$204&lt;=$B463)*(A_Corridor!$B$5:$B$204&gt;$B463)*(A_Corridor!$H$5:$H$204&lt;&gt;"")),IF(A_Corridor!$H$5:$H$204="-","",1)),"")</f>
        <v/>
      </c>
      <c r="M463" s="182" t="str">
        <f>IFERROR(LOOKUP(2,1/((A_Corridor!$A$5:$A$204&lt;&gt;"")*(A_Corridor!$A$5:$A$204&lt;=$B463)*(A_Corridor!$B$5:$B$204&gt;$B463)*(A_Corridor!$H$5:$H$204&lt;&gt;"")),IF(A_Corridor!$H$5:$H$204="-","",A_Corridor!$H$5:$H$204)),"")</f>
        <v/>
      </c>
      <c r="N463" s="182" t="str">
        <f>IFERROR(LOOKUP(2,1/((A_Corridor!$A$5:$A$204&lt;&gt;"")*(A_Corridor!$A$5:$A$204&lt;=$B463)*(A_Corridor!$B$5:$B$204&gt;$B463)*(A_Corridor!$I$5:$I$204&lt;&gt;"")),IF(A_Corridor!$I$5:$I$204="-","",A_Corridor!$I$5:$I$204)),"")</f>
        <v/>
      </c>
      <c r="O463" s="182" t="str">
        <f>IFERROR(LOOKUP(2,1/((D_Points!$A$5:$A$204&lt;&gt;"")*(D_Points!$A$5:$A$204&gt;=$B463)*(D_Points!$A$5:$A$204&lt;$B463+P_Interval)*(UPPER(TRIM(D_Points!$B$5:$B$204))="PITCHING")*(D_Points!$H$5:$H$204&lt;&gt;"")),D_Points!$H$5:$H$204),"")</f>
        <v/>
      </c>
      <c r="P463" s="181" t="str">
        <f>IFERROR(LOOKUP(2,1/((B_Drainage!$A$5:$A$204&lt;&gt;"")*(B_Drainage!$A$5:$A$204&lt;=$B463)*(B_Drainage!$B$5:$B$204&gt;$B463)*(B_Drainage!$C$5:$C$204&lt;&gt;"")),IF(B_Drainage!$C$5:$C$204="-","",UPPER(B_Drainage!$C$5:$C$204))),"")</f>
        <v/>
      </c>
      <c r="Q463" s="181" t="str">
        <f>IFERROR(LOOKUP(2,1/((B_Drainage!$A$5:$A$204&lt;&gt;"")*(B_Drainage!$A$5:$A$204&lt;=$B463)*(B_Drainage!$B$5:$B$204&gt;$B463)*(B_Drainage!$D$5:$D$204&lt;&gt;"")),IF(B_Drainage!$D$5:$D$204="-","",UPPER(B_Drainage!$D$5:$D$204))),"")</f>
        <v/>
      </c>
      <c r="R463" s="182" t="str">
        <f>IFERROR(LOOKUP(2,1/((D_Points!$A$5:$A$204&lt;&gt;"")*(D_Points!$A$5:$A$204&gt;=$B463)*(D_Points!$A$5:$A$204&lt;$B463+P_Interval)*(RIGHT(UPPER(TRIM(D_Points!$B$5:$B$204)),8)="_CULVERT")),IF(LEFT(UPPER(TRIM(D_Points!$B$5:$B$204)),2)="EX",1,IF(LEFT(UPPER(TRIM(D_Points!$B$5:$B$204)),2)="PR",2,3))),"")</f>
        <v/>
      </c>
      <c r="S463" s="182" t="str">
        <f>IFERROR(LOOKUP(2,1/((D_Points!$A$5:$A$204&lt;&gt;"")*(D_Points!$A$5:$A$204&gt;=$B463)*(D_Points!$A$5:$A$204&lt;$B463+P_Interval)*(RIGHT(UPPER(TRIM(D_Points!$B$5:$B$204)),7)="_BRIDGE")),IF(LEFT(UPPER(TRIM(D_Points!$B$5:$B$204)),2)="EX",1,IF(LEFT(UPPER(TRIM(D_Points!$B$5:$B$204)),2)="PR",2,2))),"")</f>
        <v/>
      </c>
      <c r="T463" s="181" t="str">
        <f>IFERROR(LOOKUP(2,1/((B_Drainage!$A$5:$A$204&lt;&gt;"")*(B_Drainage!$A$5:$A$204&lt;=$B463)*(B_Drainage!$B$5:$B$204&gt;$B463)*(B_Drainage!$E$5:$E$204&lt;&gt;"")),IF(B_Drainage!$E$5:$E$204="-","",1)),"")</f>
        <v/>
      </c>
      <c r="U463" s="181" t="str">
        <f>IFERROR(LOOKUP(2,1/((B_Drainage!$A$5:$A$204&lt;&gt;"")*(B_Drainage!$A$5:$A$204&lt;=$B463)*(B_Drainage!$B$5:$B$204&gt;$B463)*(B_Drainage!$E$5:$E$204&lt;&gt;"")),IF(B_Drainage!$E$5:$E$204="-","",B_Drainage!$E$5:$E$204)),"")</f>
        <v/>
      </c>
      <c r="V463" s="181" t="str">
        <f>IFERROR(LOOKUP(2,1/((B_Drainage!$A$5:$A$204&lt;&gt;"")*(B_Drainage!$A$5:$A$204&lt;=$B463)*(B_Drainage!$B$5:$B$204&gt;$B463)*(B_Drainage!$F$5:$F$204&lt;&gt;"")),IF(B_Drainage!$F$5:$F$204="-","",1)),"")</f>
        <v/>
      </c>
      <c r="W463" s="181" t="str">
        <f>IFERROR(LOOKUP(2,1/((B_Drainage!$A$5:$A$204&lt;&gt;"")*(B_Drainage!$A$5:$A$204&lt;=$B463)*(B_Drainage!$B$5:$B$204&gt;$B463)*(B_Drainage!$F$5:$F$204&lt;&gt;"")),IF(B_Drainage!$F$5:$F$204="-","",B_Drainage!$F$5:$F$204)),"")</f>
        <v/>
      </c>
      <c r="X463" s="181" t="str">
        <f>IFERROR(LOOKUP(2,1/((B_Drainage!$A$5:$A$204&lt;&gt;"")*(B_Drainage!$A$5:$A$204&lt;=$B463)*(B_Drainage!$B$5:$B$204&gt;$B463)*(B_Drainage!$G$5:$G$204&lt;&gt;"")),IF(UPPER(B_Drainage!$G$5:$G$204)="Y",1,"")),"")</f>
        <v/>
      </c>
      <c r="Y463" s="181" t="str">
        <f>IFERROR(LOOKUP(2,1/((B_Drainage!$A$5:$A$204&lt;&gt;"")*(B_Drainage!$A$5:$A$204&lt;=$B463)*(B_Drainage!$B$5:$B$204&gt;$B463)*(B_Drainage!$H$5:$H$204&lt;&gt;"")),IF(UPPER(B_Drainage!$H$5:$H$204)="Y",1,"")),"")</f>
        <v/>
      </c>
      <c r="Z463" s="181" t="str">
        <f>IFERROR(LOOKUP(2,1/((B_Drainage!$A$5:$A$204&lt;&gt;"")*(B_Drainage!$A$5:$A$204&lt;=$B463)*(B_Drainage!$B$5:$B$204&gt;$B463)*(B_Drainage!$I$5:$I$204&lt;&gt;"")),IF(UPPER(B_Drainage!$I$5:$I$204)="Y",1,"")),"")</f>
        <v/>
      </c>
      <c r="AA463" s="181" t="str">
        <f>IFERROR(LOOKUP(2,1/((B_Drainage!$A$5:$A$204&lt;&gt;"")*(B_Drainage!$A$5:$A$204&lt;=$B463)*(B_Drainage!$B$5:$B$204&gt;$B463)*(B_Drainage!$J$5:$J$204&lt;&gt;"")),IF(UPPER(B_Drainage!$J$5:$J$204)="Y",1,"")),"")</f>
        <v/>
      </c>
      <c r="AB463" s="182" t="str">
        <f>IFERROR(LOOKUP(2,1/((B_Drainage!$A$5:$A$204&lt;&gt;"")*(B_Drainage!$A$5:$A$204&lt;=$B463)*(B_Drainage!$B$5:$B$204&gt;$B463)*(B_Drainage!$K$5:$K$204&lt;&gt;"")),IF(B_Drainage!$K$5:$K$204="-","",B_Drainage!$K$5:$K$204)),"")</f>
        <v/>
      </c>
      <c r="AC463" s="182" t="str">
        <f>IFERROR(LOOKUP(2,1/((B_Drainage!$A$5:$A$204&lt;&gt;"")*(B_Drainage!$A$5:$A$204&lt;=$B463)*(B_Drainage!$B$5:$B$204&gt;$B463)*(B_Drainage!$L$5:$L$204&lt;&gt;"")),IF(B_Drainage!$L$5:$L$204="-","",B_Drainage!$L$5:$L$204)),"")</f>
        <v/>
      </c>
      <c r="AD463" s="182" t="str">
        <f>IFERROR(LOOKUP(2,1/((D_Points!$A$5:$A$204&lt;&gt;"")*(D_Points!$A$5:$A$204&gt;=$B463)*(D_Points!$A$5:$A$204&lt;$B463+P_Interval)*(UPPER(TRIM(D_Points!$B$5:$B$204))="TURNOUT_L")*(D_Points!$H$5:$H$204&lt;&gt;"")),D_Points!$H$5:$H$204),"")</f>
        <v/>
      </c>
      <c r="AE463" s="182" t="str">
        <f>IFERROR(LOOKUP(2,1/((D_Points!$A$5:$A$204&lt;&gt;"")*(D_Points!$A$5:$A$204&gt;=$B463)*(D_Points!$A$5:$A$204&lt;$B463+P_Interval)*(UPPER(TRIM(D_Points!$B$5:$B$204))="TURNOUT_R")*(D_Points!$H$5:$H$204&lt;&gt;"")),D_Points!$H$5:$H$204),"")</f>
        <v/>
      </c>
      <c r="AF463" s="181" t="str">
        <f>IFERROR(LOOKUP(2,1/((B_Drainage!$A$5:$A$204&lt;&gt;"")*(B_Drainage!$A$5:$A$204&lt;=$B463)*(B_Drainage!$B$5:$B$204&gt;$B463)*(B_Drainage!$M$5:$M$204&lt;&gt;"")),IF(UPPER(B_Drainage!$M$5:$M$204)="Y",1,"")),"")</f>
        <v/>
      </c>
      <c r="AG463" s="181" t="str">
        <f>IFERROR(LOOKUP(2,1/((B_Drainage!$A$5:$A$204&lt;&gt;"")*(B_Drainage!$A$5:$A$204&lt;=$B463)*(B_Drainage!$B$5:$B$204&gt;$B463)*(B_Drainage!$N$5:$N$204&lt;&gt;"")),IF(UPPER(B_Drainage!$N$5:$N$204)="Y",1,"")),"")</f>
        <v/>
      </c>
      <c r="AH463" s="181" t="str">
        <f t="shared" si="56"/>
        <v/>
      </c>
      <c r="AI463" s="181" t="str">
        <f t="shared" si="57"/>
        <v/>
      </c>
      <c r="AJ463" s="181" t="str">
        <f t="shared" si="58"/>
        <v/>
      </c>
      <c r="AK463" s="181" t="str">
        <f t="shared" si="59"/>
        <v/>
      </c>
      <c r="AL463" s="181" t="str">
        <f t="shared" si="60"/>
        <v/>
      </c>
      <c r="AM463" s="181" t="str">
        <f t="shared" si="61"/>
        <v/>
      </c>
      <c r="AN463" s="181" t="str">
        <f t="shared" si="62"/>
        <v/>
      </c>
      <c r="AO463" s="192" t="str">
        <f t="shared" si="63"/>
        <v/>
      </c>
      <c r="AQ463" t="str">
        <f>IFERROR(LOOKUP(2,1/((C_Pavement!$A$5:$A$204&lt;&gt;"")*(C_Pavement!$A$5:$A$204&lt;=$B463)*(C_Pavement!$B$5:$B$204&gt;$B463)*(C_Pavement!$C$5:$C$204&lt;&gt;"")),ROW(C_Pavement!$C$5:$C$204)-4),"")</f>
        <v/>
      </c>
      <c r="AR463" t="str">
        <f>IF($AQ463="","",UPPER(TRIM(INDEX(C_Pavement!$C$5:$C$204,$AQ463))))</f>
        <v/>
      </c>
      <c r="AS463" t="str">
        <f>IF($AR463="","",IFERROR(MATCH($AR463,E_Rules!$A$5:$A$9,0),""))</f>
        <v/>
      </c>
      <c r="AT463" t="str">
        <f>IF($AQ463="","",IF(INDEX(C_Pavement!$D$5:$D$204,$AQ463)&lt;&gt;"",UPPER(TRIM(INDEX(C_Pavement!$D$5:$D$204,$AQ463))),IF($AS463="","",INDEX(E_Rules!$C$5:$C$9,$AS463))))</f>
        <v/>
      </c>
      <c r="AU463" t="str">
        <f>IF($AQ463="","",IF(INDEX(C_Pavement!$E$5:$E$204,$AQ463)&lt;&gt;"",IF(INDEX(C_Pavement!$E$5:$E$204,$AQ463)="-","",INDEX(C_Pavement!$E$5:$E$204,$AQ463)),IF($AS463="","",INDEX(E_Rules!$D$5:$D$9,$AS463))))</f>
        <v/>
      </c>
      <c r="AV463" t="str">
        <f>IF($AQ463="","",IF(INDEX(C_Pavement!$F$5:$F$204,$AQ463)&lt;&gt;"",IF(INDEX(C_Pavement!$F$5:$F$204,$AQ463)="-","",INDEX(C_Pavement!$F$5:$F$204,$AQ463)),IF($AS463="","",INDEX(E_Rules!$E$5:$E$9,$AS463))))</f>
        <v/>
      </c>
      <c r="AW463" t="str">
        <f>IF($AQ463="","",IF(INDEX(C_Pavement!$G$5:$G$204,$AQ463)&lt;&gt;"",IF(INDEX(C_Pavement!$G$5:$G$204,$AQ463)="-","",INDEX(C_Pavement!$G$5:$G$204,$AQ463)),IF($AS463="","",INDEX(E_Rules!$F$5:$F$9,$AS463))))</f>
        <v/>
      </c>
      <c r="AX463" t="str">
        <f>IF($AQ463="","",IF(INDEX(C_Pavement!$H$5:$H$204,$AQ463)&lt;&gt;"",IF(INDEX(C_Pavement!$H$5:$H$204,$AQ463)="-","",INDEX(C_Pavement!$H$5:$H$204,$AQ463)),IF($AS463="","",INDEX(E_Rules!$G$5:$G$9,$AS463))))</f>
        <v/>
      </c>
      <c r="AY463" t="str">
        <f>IF($AQ463="","",IF(INDEX(C_Pavement!$I$5:$I$204,$AQ463)&lt;&gt;"",IF(INDEX(C_Pavement!$I$5:$I$204,$AQ463)="-","",INDEX(C_Pavement!$I$5:$I$204,$AQ463)),IF($AS463="","",INDEX(E_Rules!$H$5:$H$9,$AS463))))</f>
        <v/>
      </c>
    </row>
    <row r="464" spans="1:51" ht="15.75" customHeight="1" x14ac:dyDescent="0.3">
      <c r="A464" s="189">
        <v>459</v>
      </c>
      <c r="B464" s="180">
        <v>22900</v>
      </c>
      <c r="C464" s="180" t="s">
        <v>770</v>
      </c>
      <c r="D464" s="181" t="str">
        <f>IFERROR(LOOKUP(2,1/((A_Corridor!$A$5:$A$204&lt;&gt;"")*(A_Corridor!$A$5:$A$204&lt;=$B464)*(A_Corridor!$B$5:$B$204&gt;$B464)*(A_Corridor!$C$5:$C$204&lt;&gt;"")),IF(UPPER(A_Corridor!$C$5:$C$204)="Y",1,"")),"")</f>
        <v/>
      </c>
      <c r="E464" s="181" t="str">
        <f>IFERROR(LOOKUP(2,1/((A_Corridor!$A$5:$A$204&lt;&gt;"")*(A_Corridor!$A$5:$A$204&lt;=$B464)*(A_Corridor!$B$5:$B$204&gt;$B464)*(A_Corridor!$D$5:$D$204&lt;&gt;"")),IF(A_Corridor!$D$5:$D$204="-","",UPPER(A_Corridor!$D$5:$D$204))),"")</f>
        <v/>
      </c>
      <c r="F464" s="181" t="str">
        <f>IFERROR(LOOKUP(2,1/((A_Corridor!$A$5:$A$204&lt;&gt;"")*(A_Corridor!$A$5:$A$204&lt;=$B464)*(A_Corridor!$B$5:$B$204&gt;$B464)*(A_Corridor!$E$5:$E$204&lt;&gt;"")),IF(A_Corridor!$E$5:$E$204="-","",1)),"")</f>
        <v/>
      </c>
      <c r="G464" s="182" t="str">
        <f>IFERROR(LOOKUP(2,1/((A_Corridor!$A$5:$A$204&lt;&gt;"")*(A_Corridor!$A$5:$A$204&lt;=$B464)*(A_Corridor!$B$5:$B$204&gt;$B464)*(A_Corridor!$E$5:$E$204&lt;&gt;"")),IF(A_Corridor!$E$5:$E$204="-","",A_Corridor!$E$5:$E$204)),"")</f>
        <v/>
      </c>
      <c r="H464" s="182" t="str">
        <f>IFERROR(LOOKUP(2,1/((D_Points!$A$5:$A$204&lt;&gt;"")*(D_Points!$A$5:$A$204&gt;=$B464)*(D_Points!$A$5:$A$204&lt;$B464+P_Interval)*(UPPER(TRIM(D_Points!$B$5:$B$204))="GULLY")*(D_Points!$H$5:$H$204&lt;&gt;"")),D_Points!$H$5:$H$204),"")</f>
        <v/>
      </c>
      <c r="I464" s="181" t="str">
        <f>IFERROR(LOOKUP(2,1/((A_Corridor!$A$5:$A$204&lt;&gt;"")*(A_Corridor!$A$5:$A$204&lt;=$B464)*(A_Corridor!$B$5:$B$204&gt;$B464)*(A_Corridor!$F$5:$F$204&lt;&gt;"")),IF(A_Corridor!$F$5:$F$204="-","",1)),"")</f>
        <v/>
      </c>
      <c r="J464" s="182" t="str">
        <f>IFERROR(LOOKUP(2,1/((A_Corridor!$A$5:$A$204&lt;&gt;"")*(A_Corridor!$A$5:$A$204&lt;=$B464)*(A_Corridor!$B$5:$B$204&gt;$B464)*(A_Corridor!$F$5:$F$204&lt;&gt;"")),IF(A_Corridor!$F$5:$F$204="-","",A_Corridor!$F$5:$F$204)),"")</f>
        <v/>
      </c>
      <c r="K464" s="182" t="str">
        <f>IFERROR(LOOKUP(2,1/((A_Corridor!$A$5:$A$204&lt;&gt;"")*(A_Corridor!$A$5:$A$204&lt;=$B464)*(A_Corridor!$B$5:$B$204&gt;$B464)*(A_Corridor!$G$5:$G$204&lt;&gt;"")),IF(A_Corridor!$G$5:$G$204="-","",A_Corridor!$G$5:$G$204)),"")</f>
        <v/>
      </c>
      <c r="L464" s="181" t="str">
        <f>IFERROR(LOOKUP(2,1/((A_Corridor!$A$5:$A$204&lt;&gt;"")*(A_Corridor!$A$5:$A$204&lt;=$B464)*(A_Corridor!$B$5:$B$204&gt;$B464)*(A_Corridor!$H$5:$H$204&lt;&gt;"")),IF(A_Corridor!$H$5:$H$204="-","",1)),"")</f>
        <v/>
      </c>
      <c r="M464" s="182" t="str">
        <f>IFERROR(LOOKUP(2,1/((A_Corridor!$A$5:$A$204&lt;&gt;"")*(A_Corridor!$A$5:$A$204&lt;=$B464)*(A_Corridor!$B$5:$B$204&gt;$B464)*(A_Corridor!$H$5:$H$204&lt;&gt;"")),IF(A_Corridor!$H$5:$H$204="-","",A_Corridor!$H$5:$H$204)),"")</f>
        <v/>
      </c>
      <c r="N464" s="182" t="str">
        <f>IFERROR(LOOKUP(2,1/((A_Corridor!$A$5:$A$204&lt;&gt;"")*(A_Corridor!$A$5:$A$204&lt;=$B464)*(A_Corridor!$B$5:$B$204&gt;$B464)*(A_Corridor!$I$5:$I$204&lt;&gt;"")),IF(A_Corridor!$I$5:$I$204="-","",A_Corridor!$I$5:$I$204)),"")</f>
        <v/>
      </c>
      <c r="O464" s="182" t="str">
        <f>IFERROR(LOOKUP(2,1/((D_Points!$A$5:$A$204&lt;&gt;"")*(D_Points!$A$5:$A$204&gt;=$B464)*(D_Points!$A$5:$A$204&lt;$B464+P_Interval)*(UPPER(TRIM(D_Points!$B$5:$B$204))="PITCHING")*(D_Points!$H$5:$H$204&lt;&gt;"")),D_Points!$H$5:$H$204),"")</f>
        <v/>
      </c>
      <c r="P464" s="181" t="str">
        <f>IFERROR(LOOKUP(2,1/((B_Drainage!$A$5:$A$204&lt;&gt;"")*(B_Drainage!$A$5:$A$204&lt;=$B464)*(B_Drainage!$B$5:$B$204&gt;$B464)*(B_Drainage!$C$5:$C$204&lt;&gt;"")),IF(B_Drainage!$C$5:$C$204="-","",UPPER(B_Drainage!$C$5:$C$204))),"")</f>
        <v/>
      </c>
      <c r="Q464" s="181" t="str">
        <f>IFERROR(LOOKUP(2,1/((B_Drainage!$A$5:$A$204&lt;&gt;"")*(B_Drainage!$A$5:$A$204&lt;=$B464)*(B_Drainage!$B$5:$B$204&gt;$B464)*(B_Drainage!$D$5:$D$204&lt;&gt;"")),IF(B_Drainage!$D$5:$D$204="-","",UPPER(B_Drainage!$D$5:$D$204))),"")</f>
        <v/>
      </c>
      <c r="R464" s="182" t="str">
        <f>IFERROR(LOOKUP(2,1/((D_Points!$A$5:$A$204&lt;&gt;"")*(D_Points!$A$5:$A$204&gt;=$B464)*(D_Points!$A$5:$A$204&lt;$B464+P_Interval)*(RIGHT(UPPER(TRIM(D_Points!$B$5:$B$204)),8)="_CULVERT")),IF(LEFT(UPPER(TRIM(D_Points!$B$5:$B$204)),2)="EX",1,IF(LEFT(UPPER(TRIM(D_Points!$B$5:$B$204)),2)="PR",2,3))),"")</f>
        <v/>
      </c>
      <c r="S464" s="182" t="str">
        <f>IFERROR(LOOKUP(2,1/((D_Points!$A$5:$A$204&lt;&gt;"")*(D_Points!$A$5:$A$204&gt;=$B464)*(D_Points!$A$5:$A$204&lt;$B464+P_Interval)*(RIGHT(UPPER(TRIM(D_Points!$B$5:$B$204)),7)="_BRIDGE")),IF(LEFT(UPPER(TRIM(D_Points!$B$5:$B$204)),2)="EX",1,IF(LEFT(UPPER(TRIM(D_Points!$B$5:$B$204)),2)="PR",2,2))),"")</f>
        <v/>
      </c>
      <c r="T464" s="181" t="str">
        <f>IFERROR(LOOKUP(2,1/((B_Drainage!$A$5:$A$204&lt;&gt;"")*(B_Drainage!$A$5:$A$204&lt;=$B464)*(B_Drainage!$B$5:$B$204&gt;$B464)*(B_Drainage!$E$5:$E$204&lt;&gt;"")),IF(B_Drainage!$E$5:$E$204="-","",1)),"")</f>
        <v/>
      </c>
      <c r="U464" s="181" t="str">
        <f>IFERROR(LOOKUP(2,1/((B_Drainage!$A$5:$A$204&lt;&gt;"")*(B_Drainage!$A$5:$A$204&lt;=$B464)*(B_Drainage!$B$5:$B$204&gt;$B464)*(B_Drainage!$E$5:$E$204&lt;&gt;"")),IF(B_Drainage!$E$5:$E$204="-","",B_Drainage!$E$5:$E$204)),"")</f>
        <v/>
      </c>
      <c r="V464" s="181" t="str">
        <f>IFERROR(LOOKUP(2,1/((B_Drainage!$A$5:$A$204&lt;&gt;"")*(B_Drainage!$A$5:$A$204&lt;=$B464)*(B_Drainage!$B$5:$B$204&gt;$B464)*(B_Drainage!$F$5:$F$204&lt;&gt;"")),IF(B_Drainage!$F$5:$F$204="-","",1)),"")</f>
        <v/>
      </c>
      <c r="W464" s="181" t="str">
        <f>IFERROR(LOOKUP(2,1/((B_Drainage!$A$5:$A$204&lt;&gt;"")*(B_Drainage!$A$5:$A$204&lt;=$B464)*(B_Drainage!$B$5:$B$204&gt;$B464)*(B_Drainage!$F$5:$F$204&lt;&gt;"")),IF(B_Drainage!$F$5:$F$204="-","",B_Drainage!$F$5:$F$204)),"")</f>
        <v/>
      </c>
      <c r="X464" s="181" t="str">
        <f>IFERROR(LOOKUP(2,1/((B_Drainage!$A$5:$A$204&lt;&gt;"")*(B_Drainage!$A$5:$A$204&lt;=$B464)*(B_Drainage!$B$5:$B$204&gt;$B464)*(B_Drainage!$G$5:$G$204&lt;&gt;"")),IF(UPPER(B_Drainage!$G$5:$G$204)="Y",1,"")),"")</f>
        <v/>
      </c>
      <c r="Y464" s="181" t="str">
        <f>IFERROR(LOOKUP(2,1/((B_Drainage!$A$5:$A$204&lt;&gt;"")*(B_Drainage!$A$5:$A$204&lt;=$B464)*(B_Drainage!$B$5:$B$204&gt;$B464)*(B_Drainage!$H$5:$H$204&lt;&gt;"")),IF(UPPER(B_Drainage!$H$5:$H$204)="Y",1,"")),"")</f>
        <v/>
      </c>
      <c r="Z464" s="181" t="str">
        <f>IFERROR(LOOKUP(2,1/((B_Drainage!$A$5:$A$204&lt;&gt;"")*(B_Drainage!$A$5:$A$204&lt;=$B464)*(B_Drainage!$B$5:$B$204&gt;$B464)*(B_Drainage!$I$5:$I$204&lt;&gt;"")),IF(UPPER(B_Drainage!$I$5:$I$204)="Y",1,"")),"")</f>
        <v/>
      </c>
      <c r="AA464" s="181" t="str">
        <f>IFERROR(LOOKUP(2,1/((B_Drainage!$A$5:$A$204&lt;&gt;"")*(B_Drainage!$A$5:$A$204&lt;=$B464)*(B_Drainage!$B$5:$B$204&gt;$B464)*(B_Drainage!$J$5:$J$204&lt;&gt;"")),IF(UPPER(B_Drainage!$J$5:$J$204)="Y",1,"")),"")</f>
        <v/>
      </c>
      <c r="AB464" s="182" t="str">
        <f>IFERROR(LOOKUP(2,1/((B_Drainage!$A$5:$A$204&lt;&gt;"")*(B_Drainage!$A$5:$A$204&lt;=$B464)*(B_Drainage!$B$5:$B$204&gt;$B464)*(B_Drainage!$K$5:$K$204&lt;&gt;"")),IF(B_Drainage!$K$5:$K$204="-","",B_Drainage!$K$5:$K$204)),"")</f>
        <v/>
      </c>
      <c r="AC464" s="182" t="str">
        <f>IFERROR(LOOKUP(2,1/((B_Drainage!$A$5:$A$204&lt;&gt;"")*(B_Drainage!$A$5:$A$204&lt;=$B464)*(B_Drainage!$B$5:$B$204&gt;$B464)*(B_Drainage!$L$5:$L$204&lt;&gt;"")),IF(B_Drainage!$L$5:$L$204="-","",B_Drainage!$L$5:$L$204)),"")</f>
        <v/>
      </c>
      <c r="AD464" s="182" t="str">
        <f>IFERROR(LOOKUP(2,1/((D_Points!$A$5:$A$204&lt;&gt;"")*(D_Points!$A$5:$A$204&gt;=$B464)*(D_Points!$A$5:$A$204&lt;$B464+P_Interval)*(UPPER(TRIM(D_Points!$B$5:$B$204))="TURNOUT_L")*(D_Points!$H$5:$H$204&lt;&gt;"")),D_Points!$H$5:$H$204),"")</f>
        <v/>
      </c>
      <c r="AE464" s="182" t="str">
        <f>IFERROR(LOOKUP(2,1/((D_Points!$A$5:$A$204&lt;&gt;"")*(D_Points!$A$5:$A$204&gt;=$B464)*(D_Points!$A$5:$A$204&lt;$B464+P_Interval)*(UPPER(TRIM(D_Points!$B$5:$B$204))="TURNOUT_R")*(D_Points!$H$5:$H$204&lt;&gt;"")),D_Points!$H$5:$H$204),"")</f>
        <v/>
      </c>
      <c r="AF464" s="181" t="str">
        <f>IFERROR(LOOKUP(2,1/((B_Drainage!$A$5:$A$204&lt;&gt;"")*(B_Drainage!$A$5:$A$204&lt;=$B464)*(B_Drainage!$B$5:$B$204&gt;$B464)*(B_Drainage!$M$5:$M$204&lt;&gt;"")),IF(UPPER(B_Drainage!$M$5:$M$204)="Y",1,"")),"")</f>
        <v/>
      </c>
      <c r="AG464" s="181" t="str">
        <f>IFERROR(LOOKUP(2,1/((B_Drainage!$A$5:$A$204&lt;&gt;"")*(B_Drainage!$A$5:$A$204&lt;=$B464)*(B_Drainage!$B$5:$B$204&gt;$B464)*(B_Drainage!$N$5:$N$204&lt;&gt;"")),IF(UPPER(B_Drainage!$N$5:$N$204)="Y",1,"")),"")</f>
        <v/>
      </c>
      <c r="AH464" s="181" t="str">
        <f t="shared" si="56"/>
        <v/>
      </c>
      <c r="AI464" s="181" t="str">
        <f t="shared" si="57"/>
        <v/>
      </c>
      <c r="AJ464" s="181" t="str">
        <f t="shared" si="58"/>
        <v/>
      </c>
      <c r="AK464" s="181" t="str">
        <f t="shared" si="59"/>
        <v/>
      </c>
      <c r="AL464" s="181" t="str">
        <f t="shared" si="60"/>
        <v/>
      </c>
      <c r="AM464" s="181" t="str">
        <f t="shared" si="61"/>
        <v/>
      </c>
      <c r="AN464" s="181" t="str">
        <f t="shared" si="62"/>
        <v/>
      </c>
      <c r="AO464" s="192" t="str">
        <f t="shared" si="63"/>
        <v/>
      </c>
      <c r="AQ464" t="str">
        <f>IFERROR(LOOKUP(2,1/((C_Pavement!$A$5:$A$204&lt;&gt;"")*(C_Pavement!$A$5:$A$204&lt;=$B464)*(C_Pavement!$B$5:$B$204&gt;$B464)*(C_Pavement!$C$5:$C$204&lt;&gt;"")),ROW(C_Pavement!$C$5:$C$204)-4),"")</f>
        <v/>
      </c>
      <c r="AR464" t="str">
        <f>IF($AQ464="","",UPPER(TRIM(INDEX(C_Pavement!$C$5:$C$204,$AQ464))))</f>
        <v/>
      </c>
      <c r="AS464" t="str">
        <f>IF($AR464="","",IFERROR(MATCH($AR464,E_Rules!$A$5:$A$9,0),""))</f>
        <v/>
      </c>
      <c r="AT464" t="str">
        <f>IF($AQ464="","",IF(INDEX(C_Pavement!$D$5:$D$204,$AQ464)&lt;&gt;"",UPPER(TRIM(INDEX(C_Pavement!$D$5:$D$204,$AQ464))),IF($AS464="","",INDEX(E_Rules!$C$5:$C$9,$AS464))))</f>
        <v/>
      </c>
      <c r="AU464" t="str">
        <f>IF($AQ464="","",IF(INDEX(C_Pavement!$E$5:$E$204,$AQ464)&lt;&gt;"",IF(INDEX(C_Pavement!$E$5:$E$204,$AQ464)="-","",INDEX(C_Pavement!$E$5:$E$204,$AQ464)),IF($AS464="","",INDEX(E_Rules!$D$5:$D$9,$AS464))))</f>
        <v/>
      </c>
      <c r="AV464" t="str">
        <f>IF($AQ464="","",IF(INDEX(C_Pavement!$F$5:$F$204,$AQ464)&lt;&gt;"",IF(INDEX(C_Pavement!$F$5:$F$204,$AQ464)="-","",INDEX(C_Pavement!$F$5:$F$204,$AQ464)),IF($AS464="","",INDEX(E_Rules!$E$5:$E$9,$AS464))))</f>
        <v/>
      </c>
      <c r="AW464" t="str">
        <f>IF($AQ464="","",IF(INDEX(C_Pavement!$G$5:$G$204,$AQ464)&lt;&gt;"",IF(INDEX(C_Pavement!$G$5:$G$204,$AQ464)="-","",INDEX(C_Pavement!$G$5:$G$204,$AQ464)),IF($AS464="","",INDEX(E_Rules!$F$5:$F$9,$AS464))))</f>
        <v/>
      </c>
      <c r="AX464" t="str">
        <f>IF($AQ464="","",IF(INDEX(C_Pavement!$H$5:$H$204,$AQ464)&lt;&gt;"",IF(INDEX(C_Pavement!$H$5:$H$204,$AQ464)="-","",INDEX(C_Pavement!$H$5:$H$204,$AQ464)),IF($AS464="","",INDEX(E_Rules!$G$5:$G$9,$AS464))))</f>
        <v/>
      </c>
      <c r="AY464" t="str">
        <f>IF($AQ464="","",IF(INDEX(C_Pavement!$I$5:$I$204,$AQ464)&lt;&gt;"",IF(INDEX(C_Pavement!$I$5:$I$204,$AQ464)="-","",INDEX(C_Pavement!$I$5:$I$204,$AQ464)),IF($AS464="","",INDEX(E_Rules!$H$5:$H$9,$AS464))))</f>
        <v/>
      </c>
    </row>
    <row r="465" spans="1:51" ht="15.75" customHeight="1" x14ac:dyDescent="0.3">
      <c r="A465" s="189">
        <v>460</v>
      </c>
      <c r="B465" s="180">
        <v>22950</v>
      </c>
      <c r="C465" s="180" t="s">
        <v>771</v>
      </c>
      <c r="D465" s="181" t="str">
        <f>IFERROR(LOOKUP(2,1/((A_Corridor!$A$5:$A$204&lt;&gt;"")*(A_Corridor!$A$5:$A$204&lt;=$B465)*(A_Corridor!$B$5:$B$204&gt;$B465)*(A_Corridor!$C$5:$C$204&lt;&gt;"")),IF(UPPER(A_Corridor!$C$5:$C$204)="Y",1,"")),"")</f>
        <v/>
      </c>
      <c r="E465" s="181" t="str">
        <f>IFERROR(LOOKUP(2,1/((A_Corridor!$A$5:$A$204&lt;&gt;"")*(A_Corridor!$A$5:$A$204&lt;=$B465)*(A_Corridor!$B$5:$B$204&gt;$B465)*(A_Corridor!$D$5:$D$204&lt;&gt;"")),IF(A_Corridor!$D$5:$D$204="-","",UPPER(A_Corridor!$D$5:$D$204))),"")</f>
        <v/>
      </c>
      <c r="F465" s="181" t="str">
        <f>IFERROR(LOOKUP(2,1/((A_Corridor!$A$5:$A$204&lt;&gt;"")*(A_Corridor!$A$5:$A$204&lt;=$B465)*(A_Corridor!$B$5:$B$204&gt;$B465)*(A_Corridor!$E$5:$E$204&lt;&gt;"")),IF(A_Corridor!$E$5:$E$204="-","",1)),"")</f>
        <v/>
      </c>
      <c r="G465" s="182" t="str">
        <f>IFERROR(LOOKUP(2,1/((A_Corridor!$A$5:$A$204&lt;&gt;"")*(A_Corridor!$A$5:$A$204&lt;=$B465)*(A_Corridor!$B$5:$B$204&gt;$B465)*(A_Corridor!$E$5:$E$204&lt;&gt;"")),IF(A_Corridor!$E$5:$E$204="-","",A_Corridor!$E$5:$E$204)),"")</f>
        <v/>
      </c>
      <c r="H465" s="182" t="str">
        <f>IFERROR(LOOKUP(2,1/((D_Points!$A$5:$A$204&lt;&gt;"")*(D_Points!$A$5:$A$204&gt;=$B465)*(D_Points!$A$5:$A$204&lt;$B465+P_Interval)*(UPPER(TRIM(D_Points!$B$5:$B$204))="GULLY")*(D_Points!$H$5:$H$204&lt;&gt;"")),D_Points!$H$5:$H$204),"")</f>
        <v/>
      </c>
      <c r="I465" s="181" t="str">
        <f>IFERROR(LOOKUP(2,1/((A_Corridor!$A$5:$A$204&lt;&gt;"")*(A_Corridor!$A$5:$A$204&lt;=$B465)*(A_Corridor!$B$5:$B$204&gt;$B465)*(A_Corridor!$F$5:$F$204&lt;&gt;"")),IF(A_Corridor!$F$5:$F$204="-","",1)),"")</f>
        <v/>
      </c>
      <c r="J465" s="182" t="str">
        <f>IFERROR(LOOKUP(2,1/((A_Corridor!$A$5:$A$204&lt;&gt;"")*(A_Corridor!$A$5:$A$204&lt;=$B465)*(A_Corridor!$B$5:$B$204&gt;$B465)*(A_Corridor!$F$5:$F$204&lt;&gt;"")),IF(A_Corridor!$F$5:$F$204="-","",A_Corridor!$F$5:$F$204)),"")</f>
        <v/>
      </c>
      <c r="K465" s="182" t="str">
        <f>IFERROR(LOOKUP(2,1/((A_Corridor!$A$5:$A$204&lt;&gt;"")*(A_Corridor!$A$5:$A$204&lt;=$B465)*(A_Corridor!$B$5:$B$204&gt;$B465)*(A_Corridor!$G$5:$G$204&lt;&gt;"")),IF(A_Corridor!$G$5:$G$204="-","",A_Corridor!$G$5:$G$204)),"")</f>
        <v/>
      </c>
      <c r="L465" s="181" t="str">
        <f>IFERROR(LOOKUP(2,1/((A_Corridor!$A$5:$A$204&lt;&gt;"")*(A_Corridor!$A$5:$A$204&lt;=$B465)*(A_Corridor!$B$5:$B$204&gt;$B465)*(A_Corridor!$H$5:$H$204&lt;&gt;"")),IF(A_Corridor!$H$5:$H$204="-","",1)),"")</f>
        <v/>
      </c>
      <c r="M465" s="182" t="str">
        <f>IFERROR(LOOKUP(2,1/((A_Corridor!$A$5:$A$204&lt;&gt;"")*(A_Corridor!$A$5:$A$204&lt;=$B465)*(A_Corridor!$B$5:$B$204&gt;$B465)*(A_Corridor!$H$5:$H$204&lt;&gt;"")),IF(A_Corridor!$H$5:$H$204="-","",A_Corridor!$H$5:$H$204)),"")</f>
        <v/>
      </c>
      <c r="N465" s="182" t="str">
        <f>IFERROR(LOOKUP(2,1/((A_Corridor!$A$5:$A$204&lt;&gt;"")*(A_Corridor!$A$5:$A$204&lt;=$B465)*(A_Corridor!$B$5:$B$204&gt;$B465)*(A_Corridor!$I$5:$I$204&lt;&gt;"")),IF(A_Corridor!$I$5:$I$204="-","",A_Corridor!$I$5:$I$204)),"")</f>
        <v/>
      </c>
      <c r="O465" s="182" t="str">
        <f>IFERROR(LOOKUP(2,1/((D_Points!$A$5:$A$204&lt;&gt;"")*(D_Points!$A$5:$A$204&gt;=$B465)*(D_Points!$A$5:$A$204&lt;$B465+P_Interval)*(UPPER(TRIM(D_Points!$B$5:$B$204))="PITCHING")*(D_Points!$H$5:$H$204&lt;&gt;"")),D_Points!$H$5:$H$204),"")</f>
        <v/>
      </c>
      <c r="P465" s="181" t="str">
        <f>IFERROR(LOOKUP(2,1/((B_Drainage!$A$5:$A$204&lt;&gt;"")*(B_Drainage!$A$5:$A$204&lt;=$B465)*(B_Drainage!$B$5:$B$204&gt;$B465)*(B_Drainage!$C$5:$C$204&lt;&gt;"")),IF(B_Drainage!$C$5:$C$204="-","",UPPER(B_Drainage!$C$5:$C$204))),"")</f>
        <v/>
      </c>
      <c r="Q465" s="181" t="str">
        <f>IFERROR(LOOKUP(2,1/((B_Drainage!$A$5:$A$204&lt;&gt;"")*(B_Drainage!$A$5:$A$204&lt;=$B465)*(B_Drainage!$B$5:$B$204&gt;$B465)*(B_Drainage!$D$5:$D$204&lt;&gt;"")),IF(B_Drainage!$D$5:$D$204="-","",UPPER(B_Drainage!$D$5:$D$204))),"")</f>
        <v/>
      </c>
      <c r="R465" s="182" t="str">
        <f>IFERROR(LOOKUP(2,1/((D_Points!$A$5:$A$204&lt;&gt;"")*(D_Points!$A$5:$A$204&gt;=$B465)*(D_Points!$A$5:$A$204&lt;$B465+P_Interval)*(RIGHT(UPPER(TRIM(D_Points!$B$5:$B$204)),8)="_CULVERT")),IF(LEFT(UPPER(TRIM(D_Points!$B$5:$B$204)),2)="EX",1,IF(LEFT(UPPER(TRIM(D_Points!$B$5:$B$204)),2)="PR",2,3))),"")</f>
        <v/>
      </c>
      <c r="S465" s="182" t="str">
        <f>IFERROR(LOOKUP(2,1/((D_Points!$A$5:$A$204&lt;&gt;"")*(D_Points!$A$5:$A$204&gt;=$B465)*(D_Points!$A$5:$A$204&lt;$B465+P_Interval)*(RIGHT(UPPER(TRIM(D_Points!$B$5:$B$204)),7)="_BRIDGE")),IF(LEFT(UPPER(TRIM(D_Points!$B$5:$B$204)),2)="EX",1,IF(LEFT(UPPER(TRIM(D_Points!$B$5:$B$204)),2)="PR",2,2))),"")</f>
        <v/>
      </c>
      <c r="T465" s="181" t="str">
        <f>IFERROR(LOOKUP(2,1/((B_Drainage!$A$5:$A$204&lt;&gt;"")*(B_Drainage!$A$5:$A$204&lt;=$B465)*(B_Drainage!$B$5:$B$204&gt;$B465)*(B_Drainage!$E$5:$E$204&lt;&gt;"")),IF(B_Drainage!$E$5:$E$204="-","",1)),"")</f>
        <v/>
      </c>
      <c r="U465" s="181" t="str">
        <f>IFERROR(LOOKUP(2,1/((B_Drainage!$A$5:$A$204&lt;&gt;"")*(B_Drainage!$A$5:$A$204&lt;=$B465)*(B_Drainage!$B$5:$B$204&gt;$B465)*(B_Drainage!$E$5:$E$204&lt;&gt;"")),IF(B_Drainage!$E$5:$E$204="-","",B_Drainage!$E$5:$E$204)),"")</f>
        <v/>
      </c>
      <c r="V465" s="181" t="str">
        <f>IFERROR(LOOKUP(2,1/((B_Drainage!$A$5:$A$204&lt;&gt;"")*(B_Drainage!$A$5:$A$204&lt;=$B465)*(B_Drainage!$B$5:$B$204&gt;$B465)*(B_Drainage!$F$5:$F$204&lt;&gt;"")),IF(B_Drainage!$F$5:$F$204="-","",1)),"")</f>
        <v/>
      </c>
      <c r="W465" s="181" t="str">
        <f>IFERROR(LOOKUP(2,1/((B_Drainage!$A$5:$A$204&lt;&gt;"")*(B_Drainage!$A$5:$A$204&lt;=$B465)*(B_Drainage!$B$5:$B$204&gt;$B465)*(B_Drainage!$F$5:$F$204&lt;&gt;"")),IF(B_Drainage!$F$5:$F$204="-","",B_Drainage!$F$5:$F$204)),"")</f>
        <v/>
      </c>
      <c r="X465" s="181" t="str">
        <f>IFERROR(LOOKUP(2,1/((B_Drainage!$A$5:$A$204&lt;&gt;"")*(B_Drainage!$A$5:$A$204&lt;=$B465)*(B_Drainage!$B$5:$B$204&gt;$B465)*(B_Drainage!$G$5:$G$204&lt;&gt;"")),IF(UPPER(B_Drainage!$G$5:$G$204)="Y",1,"")),"")</f>
        <v/>
      </c>
      <c r="Y465" s="181" t="str">
        <f>IFERROR(LOOKUP(2,1/((B_Drainage!$A$5:$A$204&lt;&gt;"")*(B_Drainage!$A$5:$A$204&lt;=$B465)*(B_Drainage!$B$5:$B$204&gt;$B465)*(B_Drainage!$H$5:$H$204&lt;&gt;"")),IF(UPPER(B_Drainage!$H$5:$H$204)="Y",1,"")),"")</f>
        <v/>
      </c>
      <c r="Z465" s="181" t="str">
        <f>IFERROR(LOOKUP(2,1/((B_Drainage!$A$5:$A$204&lt;&gt;"")*(B_Drainage!$A$5:$A$204&lt;=$B465)*(B_Drainage!$B$5:$B$204&gt;$B465)*(B_Drainage!$I$5:$I$204&lt;&gt;"")),IF(UPPER(B_Drainage!$I$5:$I$204)="Y",1,"")),"")</f>
        <v/>
      </c>
      <c r="AA465" s="181" t="str">
        <f>IFERROR(LOOKUP(2,1/((B_Drainage!$A$5:$A$204&lt;&gt;"")*(B_Drainage!$A$5:$A$204&lt;=$B465)*(B_Drainage!$B$5:$B$204&gt;$B465)*(B_Drainage!$J$5:$J$204&lt;&gt;"")),IF(UPPER(B_Drainage!$J$5:$J$204)="Y",1,"")),"")</f>
        <v/>
      </c>
      <c r="AB465" s="182" t="str">
        <f>IFERROR(LOOKUP(2,1/((B_Drainage!$A$5:$A$204&lt;&gt;"")*(B_Drainage!$A$5:$A$204&lt;=$B465)*(B_Drainage!$B$5:$B$204&gt;$B465)*(B_Drainage!$K$5:$K$204&lt;&gt;"")),IF(B_Drainage!$K$5:$K$204="-","",B_Drainage!$K$5:$K$204)),"")</f>
        <v/>
      </c>
      <c r="AC465" s="182" t="str">
        <f>IFERROR(LOOKUP(2,1/((B_Drainage!$A$5:$A$204&lt;&gt;"")*(B_Drainage!$A$5:$A$204&lt;=$B465)*(B_Drainage!$B$5:$B$204&gt;$B465)*(B_Drainage!$L$5:$L$204&lt;&gt;"")),IF(B_Drainage!$L$5:$L$204="-","",B_Drainage!$L$5:$L$204)),"")</f>
        <v/>
      </c>
      <c r="AD465" s="182" t="str">
        <f>IFERROR(LOOKUP(2,1/((D_Points!$A$5:$A$204&lt;&gt;"")*(D_Points!$A$5:$A$204&gt;=$B465)*(D_Points!$A$5:$A$204&lt;$B465+P_Interval)*(UPPER(TRIM(D_Points!$B$5:$B$204))="TURNOUT_L")*(D_Points!$H$5:$H$204&lt;&gt;"")),D_Points!$H$5:$H$204),"")</f>
        <v/>
      </c>
      <c r="AE465" s="182" t="str">
        <f>IFERROR(LOOKUP(2,1/((D_Points!$A$5:$A$204&lt;&gt;"")*(D_Points!$A$5:$A$204&gt;=$B465)*(D_Points!$A$5:$A$204&lt;$B465+P_Interval)*(UPPER(TRIM(D_Points!$B$5:$B$204))="TURNOUT_R")*(D_Points!$H$5:$H$204&lt;&gt;"")),D_Points!$H$5:$H$204),"")</f>
        <v/>
      </c>
      <c r="AF465" s="181" t="str">
        <f>IFERROR(LOOKUP(2,1/((B_Drainage!$A$5:$A$204&lt;&gt;"")*(B_Drainage!$A$5:$A$204&lt;=$B465)*(B_Drainage!$B$5:$B$204&gt;$B465)*(B_Drainage!$M$5:$M$204&lt;&gt;"")),IF(UPPER(B_Drainage!$M$5:$M$204)="Y",1,"")),"")</f>
        <v/>
      </c>
      <c r="AG465" s="181" t="str">
        <f>IFERROR(LOOKUP(2,1/((B_Drainage!$A$5:$A$204&lt;&gt;"")*(B_Drainage!$A$5:$A$204&lt;=$B465)*(B_Drainage!$B$5:$B$204&gt;$B465)*(B_Drainage!$N$5:$N$204&lt;&gt;"")),IF(UPPER(B_Drainage!$N$5:$N$204)="Y",1,"")),"")</f>
        <v/>
      </c>
      <c r="AH465" s="181" t="str">
        <f t="shared" si="56"/>
        <v/>
      </c>
      <c r="AI465" s="181" t="str">
        <f t="shared" si="57"/>
        <v/>
      </c>
      <c r="AJ465" s="181" t="str">
        <f t="shared" si="58"/>
        <v/>
      </c>
      <c r="AK465" s="181" t="str">
        <f t="shared" si="59"/>
        <v/>
      </c>
      <c r="AL465" s="181" t="str">
        <f t="shared" si="60"/>
        <v/>
      </c>
      <c r="AM465" s="181" t="str">
        <f t="shared" si="61"/>
        <v/>
      </c>
      <c r="AN465" s="181" t="str">
        <f t="shared" si="62"/>
        <v/>
      </c>
      <c r="AO465" s="192" t="str">
        <f t="shared" si="63"/>
        <v/>
      </c>
      <c r="AQ465" t="str">
        <f>IFERROR(LOOKUP(2,1/((C_Pavement!$A$5:$A$204&lt;&gt;"")*(C_Pavement!$A$5:$A$204&lt;=$B465)*(C_Pavement!$B$5:$B$204&gt;$B465)*(C_Pavement!$C$5:$C$204&lt;&gt;"")),ROW(C_Pavement!$C$5:$C$204)-4),"")</f>
        <v/>
      </c>
      <c r="AR465" t="str">
        <f>IF($AQ465="","",UPPER(TRIM(INDEX(C_Pavement!$C$5:$C$204,$AQ465))))</f>
        <v/>
      </c>
      <c r="AS465" t="str">
        <f>IF($AR465="","",IFERROR(MATCH($AR465,E_Rules!$A$5:$A$9,0),""))</f>
        <v/>
      </c>
      <c r="AT465" t="str">
        <f>IF($AQ465="","",IF(INDEX(C_Pavement!$D$5:$D$204,$AQ465)&lt;&gt;"",UPPER(TRIM(INDEX(C_Pavement!$D$5:$D$204,$AQ465))),IF($AS465="","",INDEX(E_Rules!$C$5:$C$9,$AS465))))</f>
        <v/>
      </c>
      <c r="AU465" t="str">
        <f>IF($AQ465="","",IF(INDEX(C_Pavement!$E$5:$E$204,$AQ465)&lt;&gt;"",IF(INDEX(C_Pavement!$E$5:$E$204,$AQ465)="-","",INDEX(C_Pavement!$E$5:$E$204,$AQ465)),IF($AS465="","",INDEX(E_Rules!$D$5:$D$9,$AS465))))</f>
        <v/>
      </c>
      <c r="AV465" t="str">
        <f>IF($AQ465="","",IF(INDEX(C_Pavement!$F$5:$F$204,$AQ465)&lt;&gt;"",IF(INDEX(C_Pavement!$F$5:$F$204,$AQ465)="-","",INDEX(C_Pavement!$F$5:$F$204,$AQ465)),IF($AS465="","",INDEX(E_Rules!$E$5:$E$9,$AS465))))</f>
        <v/>
      </c>
      <c r="AW465" t="str">
        <f>IF($AQ465="","",IF(INDEX(C_Pavement!$G$5:$G$204,$AQ465)&lt;&gt;"",IF(INDEX(C_Pavement!$G$5:$G$204,$AQ465)="-","",INDEX(C_Pavement!$G$5:$G$204,$AQ465)),IF($AS465="","",INDEX(E_Rules!$F$5:$F$9,$AS465))))</f>
        <v/>
      </c>
      <c r="AX465" t="str">
        <f>IF($AQ465="","",IF(INDEX(C_Pavement!$H$5:$H$204,$AQ465)&lt;&gt;"",IF(INDEX(C_Pavement!$H$5:$H$204,$AQ465)="-","",INDEX(C_Pavement!$H$5:$H$204,$AQ465)),IF($AS465="","",INDEX(E_Rules!$G$5:$G$9,$AS465))))</f>
        <v/>
      </c>
      <c r="AY465" t="str">
        <f>IF($AQ465="","",IF(INDEX(C_Pavement!$I$5:$I$204,$AQ465)&lt;&gt;"",IF(INDEX(C_Pavement!$I$5:$I$204,$AQ465)="-","",INDEX(C_Pavement!$I$5:$I$204,$AQ465)),IF($AS465="","",INDEX(E_Rules!$H$5:$H$9,$AS465))))</f>
        <v/>
      </c>
    </row>
    <row r="466" spans="1:51" ht="15.75" customHeight="1" x14ac:dyDescent="0.3">
      <c r="A466" s="189">
        <v>461</v>
      </c>
      <c r="B466" s="180">
        <v>23000</v>
      </c>
      <c r="C466" s="180" t="s">
        <v>772</v>
      </c>
      <c r="D466" s="181" t="str">
        <f>IFERROR(LOOKUP(2,1/((A_Corridor!$A$5:$A$204&lt;&gt;"")*(A_Corridor!$A$5:$A$204&lt;=$B466)*(A_Corridor!$B$5:$B$204&gt;$B466)*(A_Corridor!$C$5:$C$204&lt;&gt;"")),IF(UPPER(A_Corridor!$C$5:$C$204)="Y",1,"")),"")</f>
        <v/>
      </c>
      <c r="E466" s="181" t="str">
        <f>IFERROR(LOOKUP(2,1/((A_Corridor!$A$5:$A$204&lt;&gt;"")*(A_Corridor!$A$5:$A$204&lt;=$B466)*(A_Corridor!$B$5:$B$204&gt;$B466)*(A_Corridor!$D$5:$D$204&lt;&gt;"")),IF(A_Corridor!$D$5:$D$204="-","",UPPER(A_Corridor!$D$5:$D$204))),"")</f>
        <v/>
      </c>
      <c r="F466" s="181" t="str">
        <f>IFERROR(LOOKUP(2,1/((A_Corridor!$A$5:$A$204&lt;&gt;"")*(A_Corridor!$A$5:$A$204&lt;=$B466)*(A_Corridor!$B$5:$B$204&gt;$B466)*(A_Corridor!$E$5:$E$204&lt;&gt;"")),IF(A_Corridor!$E$5:$E$204="-","",1)),"")</f>
        <v/>
      </c>
      <c r="G466" s="182" t="str">
        <f>IFERROR(LOOKUP(2,1/((A_Corridor!$A$5:$A$204&lt;&gt;"")*(A_Corridor!$A$5:$A$204&lt;=$B466)*(A_Corridor!$B$5:$B$204&gt;$B466)*(A_Corridor!$E$5:$E$204&lt;&gt;"")),IF(A_Corridor!$E$5:$E$204="-","",A_Corridor!$E$5:$E$204)),"")</f>
        <v/>
      </c>
      <c r="H466" s="182" t="str">
        <f>IFERROR(LOOKUP(2,1/((D_Points!$A$5:$A$204&lt;&gt;"")*(D_Points!$A$5:$A$204&gt;=$B466)*(D_Points!$A$5:$A$204&lt;$B466+P_Interval)*(UPPER(TRIM(D_Points!$B$5:$B$204))="GULLY")*(D_Points!$H$5:$H$204&lt;&gt;"")),D_Points!$H$5:$H$204),"")</f>
        <v/>
      </c>
      <c r="I466" s="181" t="str">
        <f>IFERROR(LOOKUP(2,1/((A_Corridor!$A$5:$A$204&lt;&gt;"")*(A_Corridor!$A$5:$A$204&lt;=$B466)*(A_Corridor!$B$5:$B$204&gt;$B466)*(A_Corridor!$F$5:$F$204&lt;&gt;"")),IF(A_Corridor!$F$5:$F$204="-","",1)),"")</f>
        <v/>
      </c>
      <c r="J466" s="182" t="str">
        <f>IFERROR(LOOKUP(2,1/((A_Corridor!$A$5:$A$204&lt;&gt;"")*(A_Corridor!$A$5:$A$204&lt;=$B466)*(A_Corridor!$B$5:$B$204&gt;$B466)*(A_Corridor!$F$5:$F$204&lt;&gt;"")),IF(A_Corridor!$F$5:$F$204="-","",A_Corridor!$F$5:$F$204)),"")</f>
        <v/>
      </c>
      <c r="K466" s="182" t="str">
        <f>IFERROR(LOOKUP(2,1/((A_Corridor!$A$5:$A$204&lt;&gt;"")*(A_Corridor!$A$5:$A$204&lt;=$B466)*(A_Corridor!$B$5:$B$204&gt;$B466)*(A_Corridor!$G$5:$G$204&lt;&gt;"")),IF(A_Corridor!$G$5:$G$204="-","",A_Corridor!$G$5:$G$204)),"")</f>
        <v/>
      </c>
      <c r="L466" s="181" t="str">
        <f>IFERROR(LOOKUP(2,1/((A_Corridor!$A$5:$A$204&lt;&gt;"")*(A_Corridor!$A$5:$A$204&lt;=$B466)*(A_Corridor!$B$5:$B$204&gt;$B466)*(A_Corridor!$H$5:$H$204&lt;&gt;"")),IF(A_Corridor!$H$5:$H$204="-","",1)),"")</f>
        <v/>
      </c>
      <c r="M466" s="182" t="str">
        <f>IFERROR(LOOKUP(2,1/((A_Corridor!$A$5:$A$204&lt;&gt;"")*(A_Corridor!$A$5:$A$204&lt;=$B466)*(A_Corridor!$B$5:$B$204&gt;$B466)*(A_Corridor!$H$5:$H$204&lt;&gt;"")),IF(A_Corridor!$H$5:$H$204="-","",A_Corridor!$H$5:$H$204)),"")</f>
        <v/>
      </c>
      <c r="N466" s="182" t="str">
        <f>IFERROR(LOOKUP(2,1/((A_Corridor!$A$5:$A$204&lt;&gt;"")*(A_Corridor!$A$5:$A$204&lt;=$B466)*(A_Corridor!$B$5:$B$204&gt;$B466)*(A_Corridor!$I$5:$I$204&lt;&gt;"")),IF(A_Corridor!$I$5:$I$204="-","",A_Corridor!$I$5:$I$204)),"")</f>
        <v/>
      </c>
      <c r="O466" s="182" t="str">
        <f>IFERROR(LOOKUP(2,1/((D_Points!$A$5:$A$204&lt;&gt;"")*(D_Points!$A$5:$A$204&gt;=$B466)*(D_Points!$A$5:$A$204&lt;$B466+P_Interval)*(UPPER(TRIM(D_Points!$B$5:$B$204))="PITCHING")*(D_Points!$H$5:$H$204&lt;&gt;"")),D_Points!$H$5:$H$204),"")</f>
        <v/>
      </c>
      <c r="P466" s="181" t="str">
        <f>IFERROR(LOOKUP(2,1/((B_Drainage!$A$5:$A$204&lt;&gt;"")*(B_Drainage!$A$5:$A$204&lt;=$B466)*(B_Drainage!$B$5:$B$204&gt;$B466)*(B_Drainage!$C$5:$C$204&lt;&gt;"")),IF(B_Drainage!$C$5:$C$204="-","",UPPER(B_Drainage!$C$5:$C$204))),"")</f>
        <v/>
      </c>
      <c r="Q466" s="181" t="str">
        <f>IFERROR(LOOKUP(2,1/((B_Drainage!$A$5:$A$204&lt;&gt;"")*(B_Drainage!$A$5:$A$204&lt;=$B466)*(B_Drainage!$B$5:$B$204&gt;$B466)*(B_Drainage!$D$5:$D$204&lt;&gt;"")),IF(B_Drainage!$D$5:$D$204="-","",UPPER(B_Drainage!$D$5:$D$204))),"")</f>
        <v/>
      </c>
      <c r="R466" s="182" t="str">
        <f>IFERROR(LOOKUP(2,1/((D_Points!$A$5:$A$204&lt;&gt;"")*(D_Points!$A$5:$A$204&gt;=$B466)*(D_Points!$A$5:$A$204&lt;$B466+P_Interval)*(RIGHT(UPPER(TRIM(D_Points!$B$5:$B$204)),8)="_CULVERT")),IF(LEFT(UPPER(TRIM(D_Points!$B$5:$B$204)),2)="EX",1,IF(LEFT(UPPER(TRIM(D_Points!$B$5:$B$204)),2)="PR",2,3))),"")</f>
        <v/>
      </c>
      <c r="S466" s="182" t="str">
        <f>IFERROR(LOOKUP(2,1/((D_Points!$A$5:$A$204&lt;&gt;"")*(D_Points!$A$5:$A$204&gt;=$B466)*(D_Points!$A$5:$A$204&lt;$B466+P_Interval)*(RIGHT(UPPER(TRIM(D_Points!$B$5:$B$204)),7)="_BRIDGE")),IF(LEFT(UPPER(TRIM(D_Points!$B$5:$B$204)),2)="EX",1,IF(LEFT(UPPER(TRIM(D_Points!$B$5:$B$204)),2)="PR",2,2))),"")</f>
        <v/>
      </c>
      <c r="T466" s="181" t="str">
        <f>IFERROR(LOOKUP(2,1/((B_Drainage!$A$5:$A$204&lt;&gt;"")*(B_Drainage!$A$5:$A$204&lt;=$B466)*(B_Drainage!$B$5:$B$204&gt;$B466)*(B_Drainage!$E$5:$E$204&lt;&gt;"")),IF(B_Drainage!$E$5:$E$204="-","",1)),"")</f>
        <v/>
      </c>
      <c r="U466" s="181" t="str">
        <f>IFERROR(LOOKUP(2,1/((B_Drainage!$A$5:$A$204&lt;&gt;"")*(B_Drainage!$A$5:$A$204&lt;=$B466)*(B_Drainage!$B$5:$B$204&gt;$B466)*(B_Drainage!$E$5:$E$204&lt;&gt;"")),IF(B_Drainage!$E$5:$E$204="-","",B_Drainage!$E$5:$E$204)),"")</f>
        <v/>
      </c>
      <c r="V466" s="181" t="str">
        <f>IFERROR(LOOKUP(2,1/((B_Drainage!$A$5:$A$204&lt;&gt;"")*(B_Drainage!$A$5:$A$204&lt;=$B466)*(B_Drainage!$B$5:$B$204&gt;$B466)*(B_Drainage!$F$5:$F$204&lt;&gt;"")),IF(B_Drainage!$F$5:$F$204="-","",1)),"")</f>
        <v/>
      </c>
      <c r="W466" s="181" t="str">
        <f>IFERROR(LOOKUP(2,1/((B_Drainage!$A$5:$A$204&lt;&gt;"")*(B_Drainage!$A$5:$A$204&lt;=$B466)*(B_Drainage!$B$5:$B$204&gt;$B466)*(B_Drainage!$F$5:$F$204&lt;&gt;"")),IF(B_Drainage!$F$5:$F$204="-","",B_Drainage!$F$5:$F$204)),"")</f>
        <v/>
      </c>
      <c r="X466" s="181" t="str">
        <f>IFERROR(LOOKUP(2,1/((B_Drainage!$A$5:$A$204&lt;&gt;"")*(B_Drainage!$A$5:$A$204&lt;=$B466)*(B_Drainage!$B$5:$B$204&gt;$B466)*(B_Drainage!$G$5:$G$204&lt;&gt;"")),IF(UPPER(B_Drainage!$G$5:$G$204)="Y",1,"")),"")</f>
        <v/>
      </c>
      <c r="Y466" s="181" t="str">
        <f>IFERROR(LOOKUP(2,1/((B_Drainage!$A$5:$A$204&lt;&gt;"")*(B_Drainage!$A$5:$A$204&lt;=$B466)*(B_Drainage!$B$5:$B$204&gt;$B466)*(B_Drainage!$H$5:$H$204&lt;&gt;"")),IF(UPPER(B_Drainage!$H$5:$H$204)="Y",1,"")),"")</f>
        <v/>
      </c>
      <c r="Z466" s="181" t="str">
        <f>IFERROR(LOOKUP(2,1/((B_Drainage!$A$5:$A$204&lt;&gt;"")*(B_Drainage!$A$5:$A$204&lt;=$B466)*(B_Drainage!$B$5:$B$204&gt;$B466)*(B_Drainage!$I$5:$I$204&lt;&gt;"")),IF(UPPER(B_Drainage!$I$5:$I$204)="Y",1,"")),"")</f>
        <v/>
      </c>
      <c r="AA466" s="181" t="str">
        <f>IFERROR(LOOKUP(2,1/((B_Drainage!$A$5:$A$204&lt;&gt;"")*(B_Drainage!$A$5:$A$204&lt;=$B466)*(B_Drainage!$B$5:$B$204&gt;$B466)*(B_Drainage!$J$5:$J$204&lt;&gt;"")),IF(UPPER(B_Drainage!$J$5:$J$204)="Y",1,"")),"")</f>
        <v/>
      </c>
      <c r="AB466" s="182" t="str">
        <f>IFERROR(LOOKUP(2,1/((B_Drainage!$A$5:$A$204&lt;&gt;"")*(B_Drainage!$A$5:$A$204&lt;=$B466)*(B_Drainage!$B$5:$B$204&gt;$B466)*(B_Drainage!$K$5:$K$204&lt;&gt;"")),IF(B_Drainage!$K$5:$K$204="-","",B_Drainage!$K$5:$K$204)),"")</f>
        <v/>
      </c>
      <c r="AC466" s="182" t="str">
        <f>IFERROR(LOOKUP(2,1/((B_Drainage!$A$5:$A$204&lt;&gt;"")*(B_Drainage!$A$5:$A$204&lt;=$B466)*(B_Drainage!$B$5:$B$204&gt;$B466)*(B_Drainage!$L$5:$L$204&lt;&gt;"")),IF(B_Drainage!$L$5:$L$204="-","",B_Drainage!$L$5:$L$204)),"")</f>
        <v/>
      </c>
      <c r="AD466" s="182" t="str">
        <f>IFERROR(LOOKUP(2,1/((D_Points!$A$5:$A$204&lt;&gt;"")*(D_Points!$A$5:$A$204&gt;=$B466)*(D_Points!$A$5:$A$204&lt;$B466+P_Interval)*(UPPER(TRIM(D_Points!$B$5:$B$204))="TURNOUT_L")*(D_Points!$H$5:$H$204&lt;&gt;"")),D_Points!$H$5:$H$204),"")</f>
        <v/>
      </c>
      <c r="AE466" s="182" t="str">
        <f>IFERROR(LOOKUP(2,1/((D_Points!$A$5:$A$204&lt;&gt;"")*(D_Points!$A$5:$A$204&gt;=$B466)*(D_Points!$A$5:$A$204&lt;$B466+P_Interval)*(UPPER(TRIM(D_Points!$B$5:$B$204))="TURNOUT_R")*(D_Points!$H$5:$H$204&lt;&gt;"")),D_Points!$H$5:$H$204),"")</f>
        <v/>
      </c>
      <c r="AF466" s="181" t="str">
        <f>IFERROR(LOOKUP(2,1/((B_Drainage!$A$5:$A$204&lt;&gt;"")*(B_Drainage!$A$5:$A$204&lt;=$B466)*(B_Drainage!$B$5:$B$204&gt;$B466)*(B_Drainage!$M$5:$M$204&lt;&gt;"")),IF(UPPER(B_Drainage!$M$5:$M$204)="Y",1,"")),"")</f>
        <v/>
      </c>
      <c r="AG466" s="181" t="str">
        <f>IFERROR(LOOKUP(2,1/((B_Drainage!$A$5:$A$204&lt;&gt;"")*(B_Drainage!$A$5:$A$204&lt;=$B466)*(B_Drainage!$B$5:$B$204&gt;$B466)*(B_Drainage!$N$5:$N$204&lt;&gt;"")),IF(UPPER(B_Drainage!$N$5:$N$204)="Y",1,"")),"")</f>
        <v/>
      </c>
      <c r="AH466" s="181" t="str">
        <f t="shared" si="56"/>
        <v/>
      </c>
      <c r="AI466" s="181" t="str">
        <f t="shared" si="57"/>
        <v/>
      </c>
      <c r="AJ466" s="181" t="str">
        <f t="shared" si="58"/>
        <v/>
      </c>
      <c r="AK466" s="181" t="str">
        <f t="shared" si="59"/>
        <v/>
      </c>
      <c r="AL466" s="181" t="str">
        <f t="shared" si="60"/>
        <v/>
      </c>
      <c r="AM466" s="181" t="str">
        <f t="shared" si="61"/>
        <v/>
      </c>
      <c r="AN466" s="181" t="str">
        <f t="shared" si="62"/>
        <v/>
      </c>
      <c r="AO466" s="192" t="str">
        <f t="shared" si="63"/>
        <v/>
      </c>
      <c r="AQ466" t="str">
        <f>IFERROR(LOOKUP(2,1/((C_Pavement!$A$5:$A$204&lt;&gt;"")*(C_Pavement!$A$5:$A$204&lt;=$B466)*(C_Pavement!$B$5:$B$204&gt;$B466)*(C_Pavement!$C$5:$C$204&lt;&gt;"")),ROW(C_Pavement!$C$5:$C$204)-4),"")</f>
        <v/>
      </c>
      <c r="AR466" t="str">
        <f>IF($AQ466="","",UPPER(TRIM(INDEX(C_Pavement!$C$5:$C$204,$AQ466))))</f>
        <v/>
      </c>
      <c r="AS466" t="str">
        <f>IF($AR466="","",IFERROR(MATCH($AR466,E_Rules!$A$5:$A$9,0),""))</f>
        <v/>
      </c>
      <c r="AT466" t="str">
        <f>IF($AQ466="","",IF(INDEX(C_Pavement!$D$5:$D$204,$AQ466)&lt;&gt;"",UPPER(TRIM(INDEX(C_Pavement!$D$5:$D$204,$AQ466))),IF($AS466="","",INDEX(E_Rules!$C$5:$C$9,$AS466))))</f>
        <v/>
      </c>
      <c r="AU466" t="str">
        <f>IF($AQ466="","",IF(INDEX(C_Pavement!$E$5:$E$204,$AQ466)&lt;&gt;"",IF(INDEX(C_Pavement!$E$5:$E$204,$AQ466)="-","",INDEX(C_Pavement!$E$5:$E$204,$AQ466)),IF($AS466="","",INDEX(E_Rules!$D$5:$D$9,$AS466))))</f>
        <v/>
      </c>
      <c r="AV466" t="str">
        <f>IF($AQ466="","",IF(INDEX(C_Pavement!$F$5:$F$204,$AQ466)&lt;&gt;"",IF(INDEX(C_Pavement!$F$5:$F$204,$AQ466)="-","",INDEX(C_Pavement!$F$5:$F$204,$AQ466)),IF($AS466="","",INDEX(E_Rules!$E$5:$E$9,$AS466))))</f>
        <v/>
      </c>
      <c r="AW466" t="str">
        <f>IF($AQ466="","",IF(INDEX(C_Pavement!$G$5:$G$204,$AQ466)&lt;&gt;"",IF(INDEX(C_Pavement!$G$5:$G$204,$AQ466)="-","",INDEX(C_Pavement!$G$5:$G$204,$AQ466)),IF($AS466="","",INDEX(E_Rules!$F$5:$F$9,$AS466))))</f>
        <v/>
      </c>
      <c r="AX466" t="str">
        <f>IF($AQ466="","",IF(INDEX(C_Pavement!$H$5:$H$204,$AQ466)&lt;&gt;"",IF(INDEX(C_Pavement!$H$5:$H$204,$AQ466)="-","",INDEX(C_Pavement!$H$5:$H$204,$AQ466)),IF($AS466="","",INDEX(E_Rules!$G$5:$G$9,$AS466))))</f>
        <v/>
      </c>
      <c r="AY466" t="str">
        <f>IF($AQ466="","",IF(INDEX(C_Pavement!$I$5:$I$204,$AQ466)&lt;&gt;"",IF(INDEX(C_Pavement!$I$5:$I$204,$AQ466)="-","",INDEX(C_Pavement!$I$5:$I$204,$AQ466)),IF($AS466="","",INDEX(E_Rules!$H$5:$H$9,$AS466))))</f>
        <v/>
      </c>
    </row>
    <row r="467" spans="1:51" ht="15.75" customHeight="1" x14ac:dyDescent="0.3">
      <c r="A467" s="189">
        <v>462</v>
      </c>
      <c r="B467" s="180">
        <v>23050</v>
      </c>
      <c r="C467" s="180" t="s">
        <v>773</v>
      </c>
      <c r="D467" s="181" t="str">
        <f>IFERROR(LOOKUP(2,1/((A_Corridor!$A$5:$A$204&lt;&gt;"")*(A_Corridor!$A$5:$A$204&lt;=$B467)*(A_Corridor!$B$5:$B$204&gt;$B467)*(A_Corridor!$C$5:$C$204&lt;&gt;"")),IF(UPPER(A_Corridor!$C$5:$C$204)="Y",1,"")),"")</f>
        <v/>
      </c>
      <c r="E467" s="181" t="str">
        <f>IFERROR(LOOKUP(2,1/((A_Corridor!$A$5:$A$204&lt;&gt;"")*(A_Corridor!$A$5:$A$204&lt;=$B467)*(A_Corridor!$B$5:$B$204&gt;$B467)*(A_Corridor!$D$5:$D$204&lt;&gt;"")),IF(A_Corridor!$D$5:$D$204="-","",UPPER(A_Corridor!$D$5:$D$204))),"")</f>
        <v/>
      </c>
      <c r="F467" s="181" t="str">
        <f>IFERROR(LOOKUP(2,1/((A_Corridor!$A$5:$A$204&lt;&gt;"")*(A_Corridor!$A$5:$A$204&lt;=$B467)*(A_Corridor!$B$5:$B$204&gt;$B467)*(A_Corridor!$E$5:$E$204&lt;&gt;"")),IF(A_Corridor!$E$5:$E$204="-","",1)),"")</f>
        <v/>
      </c>
      <c r="G467" s="182" t="str">
        <f>IFERROR(LOOKUP(2,1/((A_Corridor!$A$5:$A$204&lt;&gt;"")*(A_Corridor!$A$5:$A$204&lt;=$B467)*(A_Corridor!$B$5:$B$204&gt;$B467)*(A_Corridor!$E$5:$E$204&lt;&gt;"")),IF(A_Corridor!$E$5:$E$204="-","",A_Corridor!$E$5:$E$204)),"")</f>
        <v/>
      </c>
      <c r="H467" s="182" t="str">
        <f>IFERROR(LOOKUP(2,1/((D_Points!$A$5:$A$204&lt;&gt;"")*(D_Points!$A$5:$A$204&gt;=$B467)*(D_Points!$A$5:$A$204&lt;$B467+P_Interval)*(UPPER(TRIM(D_Points!$B$5:$B$204))="GULLY")*(D_Points!$H$5:$H$204&lt;&gt;"")),D_Points!$H$5:$H$204),"")</f>
        <v/>
      </c>
      <c r="I467" s="181" t="str">
        <f>IFERROR(LOOKUP(2,1/((A_Corridor!$A$5:$A$204&lt;&gt;"")*(A_Corridor!$A$5:$A$204&lt;=$B467)*(A_Corridor!$B$5:$B$204&gt;$B467)*(A_Corridor!$F$5:$F$204&lt;&gt;"")),IF(A_Corridor!$F$5:$F$204="-","",1)),"")</f>
        <v/>
      </c>
      <c r="J467" s="182" t="str">
        <f>IFERROR(LOOKUP(2,1/((A_Corridor!$A$5:$A$204&lt;&gt;"")*(A_Corridor!$A$5:$A$204&lt;=$B467)*(A_Corridor!$B$5:$B$204&gt;$B467)*(A_Corridor!$F$5:$F$204&lt;&gt;"")),IF(A_Corridor!$F$5:$F$204="-","",A_Corridor!$F$5:$F$204)),"")</f>
        <v/>
      </c>
      <c r="K467" s="182" t="str">
        <f>IFERROR(LOOKUP(2,1/((A_Corridor!$A$5:$A$204&lt;&gt;"")*(A_Corridor!$A$5:$A$204&lt;=$B467)*(A_Corridor!$B$5:$B$204&gt;$B467)*(A_Corridor!$G$5:$G$204&lt;&gt;"")),IF(A_Corridor!$G$5:$G$204="-","",A_Corridor!$G$5:$G$204)),"")</f>
        <v/>
      </c>
      <c r="L467" s="181" t="str">
        <f>IFERROR(LOOKUP(2,1/((A_Corridor!$A$5:$A$204&lt;&gt;"")*(A_Corridor!$A$5:$A$204&lt;=$B467)*(A_Corridor!$B$5:$B$204&gt;$B467)*(A_Corridor!$H$5:$H$204&lt;&gt;"")),IF(A_Corridor!$H$5:$H$204="-","",1)),"")</f>
        <v/>
      </c>
      <c r="M467" s="182" t="str">
        <f>IFERROR(LOOKUP(2,1/((A_Corridor!$A$5:$A$204&lt;&gt;"")*(A_Corridor!$A$5:$A$204&lt;=$B467)*(A_Corridor!$B$5:$B$204&gt;$B467)*(A_Corridor!$H$5:$H$204&lt;&gt;"")),IF(A_Corridor!$H$5:$H$204="-","",A_Corridor!$H$5:$H$204)),"")</f>
        <v/>
      </c>
      <c r="N467" s="182" t="str">
        <f>IFERROR(LOOKUP(2,1/((A_Corridor!$A$5:$A$204&lt;&gt;"")*(A_Corridor!$A$5:$A$204&lt;=$B467)*(A_Corridor!$B$5:$B$204&gt;$B467)*(A_Corridor!$I$5:$I$204&lt;&gt;"")),IF(A_Corridor!$I$5:$I$204="-","",A_Corridor!$I$5:$I$204)),"")</f>
        <v/>
      </c>
      <c r="O467" s="182" t="str">
        <f>IFERROR(LOOKUP(2,1/((D_Points!$A$5:$A$204&lt;&gt;"")*(D_Points!$A$5:$A$204&gt;=$B467)*(D_Points!$A$5:$A$204&lt;$B467+P_Interval)*(UPPER(TRIM(D_Points!$B$5:$B$204))="PITCHING")*(D_Points!$H$5:$H$204&lt;&gt;"")),D_Points!$H$5:$H$204),"")</f>
        <v/>
      </c>
      <c r="P467" s="181" t="str">
        <f>IFERROR(LOOKUP(2,1/((B_Drainage!$A$5:$A$204&lt;&gt;"")*(B_Drainage!$A$5:$A$204&lt;=$B467)*(B_Drainage!$B$5:$B$204&gt;$B467)*(B_Drainage!$C$5:$C$204&lt;&gt;"")),IF(B_Drainage!$C$5:$C$204="-","",UPPER(B_Drainage!$C$5:$C$204))),"")</f>
        <v/>
      </c>
      <c r="Q467" s="181" t="str">
        <f>IFERROR(LOOKUP(2,1/((B_Drainage!$A$5:$A$204&lt;&gt;"")*(B_Drainage!$A$5:$A$204&lt;=$B467)*(B_Drainage!$B$5:$B$204&gt;$B467)*(B_Drainage!$D$5:$D$204&lt;&gt;"")),IF(B_Drainage!$D$5:$D$204="-","",UPPER(B_Drainage!$D$5:$D$204))),"")</f>
        <v/>
      </c>
      <c r="R467" s="182" t="str">
        <f>IFERROR(LOOKUP(2,1/((D_Points!$A$5:$A$204&lt;&gt;"")*(D_Points!$A$5:$A$204&gt;=$B467)*(D_Points!$A$5:$A$204&lt;$B467+P_Interval)*(RIGHT(UPPER(TRIM(D_Points!$B$5:$B$204)),8)="_CULVERT")),IF(LEFT(UPPER(TRIM(D_Points!$B$5:$B$204)),2)="EX",1,IF(LEFT(UPPER(TRIM(D_Points!$B$5:$B$204)),2)="PR",2,3))),"")</f>
        <v/>
      </c>
      <c r="S467" s="182" t="str">
        <f>IFERROR(LOOKUP(2,1/((D_Points!$A$5:$A$204&lt;&gt;"")*(D_Points!$A$5:$A$204&gt;=$B467)*(D_Points!$A$5:$A$204&lt;$B467+P_Interval)*(RIGHT(UPPER(TRIM(D_Points!$B$5:$B$204)),7)="_BRIDGE")),IF(LEFT(UPPER(TRIM(D_Points!$B$5:$B$204)),2)="EX",1,IF(LEFT(UPPER(TRIM(D_Points!$B$5:$B$204)),2)="PR",2,2))),"")</f>
        <v/>
      </c>
      <c r="T467" s="181" t="str">
        <f>IFERROR(LOOKUP(2,1/((B_Drainage!$A$5:$A$204&lt;&gt;"")*(B_Drainage!$A$5:$A$204&lt;=$B467)*(B_Drainage!$B$5:$B$204&gt;$B467)*(B_Drainage!$E$5:$E$204&lt;&gt;"")),IF(B_Drainage!$E$5:$E$204="-","",1)),"")</f>
        <v/>
      </c>
      <c r="U467" s="181" t="str">
        <f>IFERROR(LOOKUP(2,1/((B_Drainage!$A$5:$A$204&lt;&gt;"")*(B_Drainage!$A$5:$A$204&lt;=$B467)*(B_Drainage!$B$5:$B$204&gt;$B467)*(B_Drainage!$E$5:$E$204&lt;&gt;"")),IF(B_Drainage!$E$5:$E$204="-","",B_Drainage!$E$5:$E$204)),"")</f>
        <v/>
      </c>
      <c r="V467" s="181" t="str">
        <f>IFERROR(LOOKUP(2,1/((B_Drainage!$A$5:$A$204&lt;&gt;"")*(B_Drainage!$A$5:$A$204&lt;=$B467)*(B_Drainage!$B$5:$B$204&gt;$B467)*(B_Drainage!$F$5:$F$204&lt;&gt;"")),IF(B_Drainage!$F$5:$F$204="-","",1)),"")</f>
        <v/>
      </c>
      <c r="W467" s="181" t="str">
        <f>IFERROR(LOOKUP(2,1/((B_Drainage!$A$5:$A$204&lt;&gt;"")*(B_Drainage!$A$5:$A$204&lt;=$B467)*(B_Drainage!$B$5:$B$204&gt;$B467)*(B_Drainage!$F$5:$F$204&lt;&gt;"")),IF(B_Drainage!$F$5:$F$204="-","",B_Drainage!$F$5:$F$204)),"")</f>
        <v/>
      </c>
      <c r="X467" s="181" t="str">
        <f>IFERROR(LOOKUP(2,1/((B_Drainage!$A$5:$A$204&lt;&gt;"")*(B_Drainage!$A$5:$A$204&lt;=$B467)*(B_Drainage!$B$5:$B$204&gt;$B467)*(B_Drainage!$G$5:$G$204&lt;&gt;"")),IF(UPPER(B_Drainage!$G$5:$G$204)="Y",1,"")),"")</f>
        <v/>
      </c>
      <c r="Y467" s="181" t="str">
        <f>IFERROR(LOOKUP(2,1/((B_Drainage!$A$5:$A$204&lt;&gt;"")*(B_Drainage!$A$5:$A$204&lt;=$B467)*(B_Drainage!$B$5:$B$204&gt;$B467)*(B_Drainage!$H$5:$H$204&lt;&gt;"")),IF(UPPER(B_Drainage!$H$5:$H$204)="Y",1,"")),"")</f>
        <v/>
      </c>
      <c r="Z467" s="181" t="str">
        <f>IFERROR(LOOKUP(2,1/((B_Drainage!$A$5:$A$204&lt;&gt;"")*(B_Drainage!$A$5:$A$204&lt;=$B467)*(B_Drainage!$B$5:$B$204&gt;$B467)*(B_Drainage!$I$5:$I$204&lt;&gt;"")),IF(UPPER(B_Drainage!$I$5:$I$204)="Y",1,"")),"")</f>
        <v/>
      </c>
      <c r="AA467" s="181" t="str">
        <f>IFERROR(LOOKUP(2,1/((B_Drainage!$A$5:$A$204&lt;&gt;"")*(B_Drainage!$A$5:$A$204&lt;=$B467)*(B_Drainage!$B$5:$B$204&gt;$B467)*(B_Drainage!$J$5:$J$204&lt;&gt;"")),IF(UPPER(B_Drainage!$J$5:$J$204)="Y",1,"")),"")</f>
        <v/>
      </c>
      <c r="AB467" s="182" t="str">
        <f>IFERROR(LOOKUP(2,1/((B_Drainage!$A$5:$A$204&lt;&gt;"")*(B_Drainage!$A$5:$A$204&lt;=$B467)*(B_Drainage!$B$5:$B$204&gt;$B467)*(B_Drainage!$K$5:$K$204&lt;&gt;"")),IF(B_Drainage!$K$5:$K$204="-","",B_Drainage!$K$5:$K$204)),"")</f>
        <v/>
      </c>
      <c r="AC467" s="182" t="str">
        <f>IFERROR(LOOKUP(2,1/((B_Drainage!$A$5:$A$204&lt;&gt;"")*(B_Drainage!$A$5:$A$204&lt;=$B467)*(B_Drainage!$B$5:$B$204&gt;$B467)*(B_Drainage!$L$5:$L$204&lt;&gt;"")),IF(B_Drainage!$L$5:$L$204="-","",B_Drainage!$L$5:$L$204)),"")</f>
        <v/>
      </c>
      <c r="AD467" s="182" t="str">
        <f>IFERROR(LOOKUP(2,1/((D_Points!$A$5:$A$204&lt;&gt;"")*(D_Points!$A$5:$A$204&gt;=$B467)*(D_Points!$A$5:$A$204&lt;$B467+P_Interval)*(UPPER(TRIM(D_Points!$B$5:$B$204))="TURNOUT_L")*(D_Points!$H$5:$H$204&lt;&gt;"")),D_Points!$H$5:$H$204),"")</f>
        <v/>
      </c>
      <c r="AE467" s="182" t="str">
        <f>IFERROR(LOOKUP(2,1/((D_Points!$A$5:$A$204&lt;&gt;"")*(D_Points!$A$5:$A$204&gt;=$B467)*(D_Points!$A$5:$A$204&lt;$B467+P_Interval)*(UPPER(TRIM(D_Points!$B$5:$B$204))="TURNOUT_R")*(D_Points!$H$5:$H$204&lt;&gt;"")),D_Points!$H$5:$H$204),"")</f>
        <v/>
      </c>
      <c r="AF467" s="181" t="str">
        <f>IFERROR(LOOKUP(2,1/((B_Drainage!$A$5:$A$204&lt;&gt;"")*(B_Drainage!$A$5:$A$204&lt;=$B467)*(B_Drainage!$B$5:$B$204&gt;$B467)*(B_Drainage!$M$5:$M$204&lt;&gt;"")),IF(UPPER(B_Drainage!$M$5:$M$204)="Y",1,"")),"")</f>
        <v/>
      </c>
      <c r="AG467" s="181" t="str">
        <f>IFERROR(LOOKUP(2,1/((B_Drainage!$A$5:$A$204&lt;&gt;"")*(B_Drainage!$A$5:$A$204&lt;=$B467)*(B_Drainage!$B$5:$B$204&gt;$B467)*(B_Drainage!$N$5:$N$204&lt;&gt;"")),IF(UPPER(B_Drainage!$N$5:$N$204)="Y",1,"")),"")</f>
        <v/>
      </c>
      <c r="AH467" s="181" t="str">
        <f t="shared" si="56"/>
        <v/>
      </c>
      <c r="AI467" s="181" t="str">
        <f t="shared" si="57"/>
        <v/>
      </c>
      <c r="AJ467" s="181" t="str">
        <f t="shared" si="58"/>
        <v/>
      </c>
      <c r="AK467" s="181" t="str">
        <f t="shared" si="59"/>
        <v/>
      </c>
      <c r="AL467" s="181" t="str">
        <f t="shared" si="60"/>
        <v/>
      </c>
      <c r="AM467" s="181" t="str">
        <f t="shared" si="61"/>
        <v/>
      </c>
      <c r="AN467" s="181" t="str">
        <f t="shared" si="62"/>
        <v/>
      </c>
      <c r="AO467" s="192" t="str">
        <f t="shared" si="63"/>
        <v/>
      </c>
      <c r="AQ467" t="str">
        <f>IFERROR(LOOKUP(2,1/((C_Pavement!$A$5:$A$204&lt;&gt;"")*(C_Pavement!$A$5:$A$204&lt;=$B467)*(C_Pavement!$B$5:$B$204&gt;$B467)*(C_Pavement!$C$5:$C$204&lt;&gt;"")),ROW(C_Pavement!$C$5:$C$204)-4),"")</f>
        <v/>
      </c>
      <c r="AR467" t="str">
        <f>IF($AQ467="","",UPPER(TRIM(INDEX(C_Pavement!$C$5:$C$204,$AQ467))))</f>
        <v/>
      </c>
      <c r="AS467" t="str">
        <f>IF($AR467="","",IFERROR(MATCH($AR467,E_Rules!$A$5:$A$9,0),""))</f>
        <v/>
      </c>
      <c r="AT467" t="str">
        <f>IF($AQ467="","",IF(INDEX(C_Pavement!$D$5:$D$204,$AQ467)&lt;&gt;"",UPPER(TRIM(INDEX(C_Pavement!$D$5:$D$204,$AQ467))),IF($AS467="","",INDEX(E_Rules!$C$5:$C$9,$AS467))))</f>
        <v/>
      </c>
      <c r="AU467" t="str">
        <f>IF($AQ467="","",IF(INDEX(C_Pavement!$E$5:$E$204,$AQ467)&lt;&gt;"",IF(INDEX(C_Pavement!$E$5:$E$204,$AQ467)="-","",INDEX(C_Pavement!$E$5:$E$204,$AQ467)),IF($AS467="","",INDEX(E_Rules!$D$5:$D$9,$AS467))))</f>
        <v/>
      </c>
      <c r="AV467" t="str">
        <f>IF($AQ467="","",IF(INDEX(C_Pavement!$F$5:$F$204,$AQ467)&lt;&gt;"",IF(INDEX(C_Pavement!$F$5:$F$204,$AQ467)="-","",INDEX(C_Pavement!$F$5:$F$204,$AQ467)),IF($AS467="","",INDEX(E_Rules!$E$5:$E$9,$AS467))))</f>
        <v/>
      </c>
      <c r="AW467" t="str">
        <f>IF($AQ467="","",IF(INDEX(C_Pavement!$G$5:$G$204,$AQ467)&lt;&gt;"",IF(INDEX(C_Pavement!$G$5:$G$204,$AQ467)="-","",INDEX(C_Pavement!$G$5:$G$204,$AQ467)),IF($AS467="","",INDEX(E_Rules!$F$5:$F$9,$AS467))))</f>
        <v/>
      </c>
      <c r="AX467" t="str">
        <f>IF($AQ467="","",IF(INDEX(C_Pavement!$H$5:$H$204,$AQ467)&lt;&gt;"",IF(INDEX(C_Pavement!$H$5:$H$204,$AQ467)="-","",INDEX(C_Pavement!$H$5:$H$204,$AQ467)),IF($AS467="","",INDEX(E_Rules!$G$5:$G$9,$AS467))))</f>
        <v/>
      </c>
      <c r="AY467" t="str">
        <f>IF($AQ467="","",IF(INDEX(C_Pavement!$I$5:$I$204,$AQ467)&lt;&gt;"",IF(INDEX(C_Pavement!$I$5:$I$204,$AQ467)="-","",INDEX(C_Pavement!$I$5:$I$204,$AQ467)),IF($AS467="","",INDEX(E_Rules!$H$5:$H$9,$AS467))))</f>
        <v/>
      </c>
    </row>
    <row r="468" spans="1:51" ht="15.75" customHeight="1" x14ac:dyDescent="0.3">
      <c r="A468" s="189">
        <v>463</v>
      </c>
      <c r="B468" s="180">
        <v>23100</v>
      </c>
      <c r="C468" s="180" t="s">
        <v>774</v>
      </c>
      <c r="D468" s="181" t="str">
        <f>IFERROR(LOOKUP(2,1/((A_Corridor!$A$5:$A$204&lt;&gt;"")*(A_Corridor!$A$5:$A$204&lt;=$B468)*(A_Corridor!$B$5:$B$204&gt;$B468)*(A_Corridor!$C$5:$C$204&lt;&gt;"")),IF(UPPER(A_Corridor!$C$5:$C$204)="Y",1,"")),"")</f>
        <v/>
      </c>
      <c r="E468" s="181" t="str">
        <f>IFERROR(LOOKUP(2,1/((A_Corridor!$A$5:$A$204&lt;&gt;"")*(A_Corridor!$A$5:$A$204&lt;=$B468)*(A_Corridor!$B$5:$B$204&gt;$B468)*(A_Corridor!$D$5:$D$204&lt;&gt;"")),IF(A_Corridor!$D$5:$D$204="-","",UPPER(A_Corridor!$D$5:$D$204))),"")</f>
        <v/>
      </c>
      <c r="F468" s="181" t="str">
        <f>IFERROR(LOOKUP(2,1/((A_Corridor!$A$5:$A$204&lt;&gt;"")*(A_Corridor!$A$5:$A$204&lt;=$B468)*(A_Corridor!$B$5:$B$204&gt;$B468)*(A_Corridor!$E$5:$E$204&lt;&gt;"")),IF(A_Corridor!$E$5:$E$204="-","",1)),"")</f>
        <v/>
      </c>
      <c r="G468" s="182" t="str">
        <f>IFERROR(LOOKUP(2,1/((A_Corridor!$A$5:$A$204&lt;&gt;"")*(A_Corridor!$A$5:$A$204&lt;=$B468)*(A_Corridor!$B$5:$B$204&gt;$B468)*(A_Corridor!$E$5:$E$204&lt;&gt;"")),IF(A_Corridor!$E$5:$E$204="-","",A_Corridor!$E$5:$E$204)),"")</f>
        <v/>
      </c>
      <c r="H468" s="182" t="str">
        <f>IFERROR(LOOKUP(2,1/((D_Points!$A$5:$A$204&lt;&gt;"")*(D_Points!$A$5:$A$204&gt;=$B468)*(D_Points!$A$5:$A$204&lt;$B468+P_Interval)*(UPPER(TRIM(D_Points!$B$5:$B$204))="GULLY")*(D_Points!$H$5:$H$204&lt;&gt;"")),D_Points!$H$5:$H$204),"")</f>
        <v/>
      </c>
      <c r="I468" s="181" t="str">
        <f>IFERROR(LOOKUP(2,1/((A_Corridor!$A$5:$A$204&lt;&gt;"")*(A_Corridor!$A$5:$A$204&lt;=$B468)*(A_Corridor!$B$5:$B$204&gt;$B468)*(A_Corridor!$F$5:$F$204&lt;&gt;"")),IF(A_Corridor!$F$5:$F$204="-","",1)),"")</f>
        <v/>
      </c>
      <c r="J468" s="182" t="str">
        <f>IFERROR(LOOKUP(2,1/((A_Corridor!$A$5:$A$204&lt;&gt;"")*(A_Corridor!$A$5:$A$204&lt;=$B468)*(A_Corridor!$B$5:$B$204&gt;$B468)*(A_Corridor!$F$5:$F$204&lt;&gt;"")),IF(A_Corridor!$F$5:$F$204="-","",A_Corridor!$F$5:$F$204)),"")</f>
        <v/>
      </c>
      <c r="K468" s="182" t="str">
        <f>IFERROR(LOOKUP(2,1/((A_Corridor!$A$5:$A$204&lt;&gt;"")*(A_Corridor!$A$5:$A$204&lt;=$B468)*(A_Corridor!$B$5:$B$204&gt;$B468)*(A_Corridor!$G$5:$G$204&lt;&gt;"")),IF(A_Corridor!$G$5:$G$204="-","",A_Corridor!$G$5:$G$204)),"")</f>
        <v/>
      </c>
      <c r="L468" s="181" t="str">
        <f>IFERROR(LOOKUP(2,1/((A_Corridor!$A$5:$A$204&lt;&gt;"")*(A_Corridor!$A$5:$A$204&lt;=$B468)*(A_Corridor!$B$5:$B$204&gt;$B468)*(A_Corridor!$H$5:$H$204&lt;&gt;"")),IF(A_Corridor!$H$5:$H$204="-","",1)),"")</f>
        <v/>
      </c>
      <c r="M468" s="182" t="str">
        <f>IFERROR(LOOKUP(2,1/((A_Corridor!$A$5:$A$204&lt;&gt;"")*(A_Corridor!$A$5:$A$204&lt;=$B468)*(A_Corridor!$B$5:$B$204&gt;$B468)*(A_Corridor!$H$5:$H$204&lt;&gt;"")),IF(A_Corridor!$H$5:$H$204="-","",A_Corridor!$H$5:$H$204)),"")</f>
        <v/>
      </c>
      <c r="N468" s="182" t="str">
        <f>IFERROR(LOOKUP(2,1/((A_Corridor!$A$5:$A$204&lt;&gt;"")*(A_Corridor!$A$5:$A$204&lt;=$B468)*(A_Corridor!$B$5:$B$204&gt;$B468)*(A_Corridor!$I$5:$I$204&lt;&gt;"")),IF(A_Corridor!$I$5:$I$204="-","",A_Corridor!$I$5:$I$204)),"")</f>
        <v/>
      </c>
      <c r="O468" s="182" t="str">
        <f>IFERROR(LOOKUP(2,1/((D_Points!$A$5:$A$204&lt;&gt;"")*(D_Points!$A$5:$A$204&gt;=$B468)*(D_Points!$A$5:$A$204&lt;$B468+P_Interval)*(UPPER(TRIM(D_Points!$B$5:$B$204))="PITCHING")*(D_Points!$H$5:$H$204&lt;&gt;"")),D_Points!$H$5:$H$204),"")</f>
        <v/>
      </c>
      <c r="P468" s="181" t="str">
        <f>IFERROR(LOOKUP(2,1/((B_Drainage!$A$5:$A$204&lt;&gt;"")*(B_Drainage!$A$5:$A$204&lt;=$B468)*(B_Drainage!$B$5:$B$204&gt;$B468)*(B_Drainage!$C$5:$C$204&lt;&gt;"")),IF(B_Drainage!$C$5:$C$204="-","",UPPER(B_Drainage!$C$5:$C$204))),"")</f>
        <v/>
      </c>
      <c r="Q468" s="181" t="str">
        <f>IFERROR(LOOKUP(2,1/((B_Drainage!$A$5:$A$204&lt;&gt;"")*(B_Drainage!$A$5:$A$204&lt;=$B468)*(B_Drainage!$B$5:$B$204&gt;$B468)*(B_Drainage!$D$5:$D$204&lt;&gt;"")),IF(B_Drainage!$D$5:$D$204="-","",UPPER(B_Drainage!$D$5:$D$204))),"")</f>
        <v/>
      </c>
      <c r="R468" s="182" t="str">
        <f>IFERROR(LOOKUP(2,1/((D_Points!$A$5:$A$204&lt;&gt;"")*(D_Points!$A$5:$A$204&gt;=$B468)*(D_Points!$A$5:$A$204&lt;$B468+P_Interval)*(RIGHT(UPPER(TRIM(D_Points!$B$5:$B$204)),8)="_CULVERT")),IF(LEFT(UPPER(TRIM(D_Points!$B$5:$B$204)),2)="EX",1,IF(LEFT(UPPER(TRIM(D_Points!$B$5:$B$204)),2)="PR",2,3))),"")</f>
        <v/>
      </c>
      <c r="S468" s="182" t="str">
        <f>IFERROR(LOOKUP(2,1/((D_Points!$A$5:$A$204&lt;&gt;"")*(D_Points!$A$5:$A$204&gt;=$B468)*(D_Points!$A$5:$A$204&lt;$B468+P_Interval)*(RIGHT(UPPER(TRIM(D_Points!$B$5:$B$204)),7)="_BRIDGE")),IF(LEFT(UPPER(TRIM(D_Points!$B$5:$B$204)),2)="EX",1,IF(LEFT(UPPER(TRIM(D_Points!$B$5:$B$204)),2)="PR",2,2))),"")</f>
        <v/>
      </c>
      <c r="T468" s="181" t="str">
        <f>IFERROR(LOOKUP(2,1/((B_Drainage!$A$5:$A$204&lt;&gt;"")*(B_Drainage!$A$5:$A$204&lt;=$B468)*(B_Drainage!$B$5:$B$204&gt;$B468)*(B_Drainage!$E$5:$E$204&lt;&gt;"")),IF(B_Drainage!$E$5:$E$204="-","",1)),"")</f>
        <v/>
      </c>
      <c r="U468" s="181" t="str">
        <f>IFERROR(LOOKUP(2,1/((B_Drainage!$A$5:$A$204&lt;&gt;"")*(B_Drainage!$A$5:$A$204&lt;=$B468)*(B_Drainage!$B$5:$B$204&gt;$B468)*(B_Drainage!$E$5:$E$204&lt;&gt;"")),IF(B_Drainage!$E$5:$E$204="-","",B_Drainage!$E$5:$E$204)),"")</f>
        <v/>
      </c>
      <c r="V468" s="181" t="str">
        <f>IFERROR(LOOKUP(2,1/((B_Drainage!$A$5:$A$204&lt;&gt;"")*(B_Drainage!$A$5:$A$204&lt;=$B468)*(B_Drainage!$B$5:$B$204&gt;$B468)*(B_Drainage!$F$5:$F$204&lt;&gt;"")),IF(B_Drainage!$F$5:$F$204="-","",1)),"")</f>
        <v/>
      </c>
      <c r="W468" s="181" t="str">
        <f>IFERROR(LOOKUP(2,1/((B_Drainage!$A$5:$A$204&lt;&gt;"")*(B_Drainage!$A$5:$A$204&lt;=$B468)*(B_Drainage!$B$5:$B$204&gt;$B468)*(B_Drainage!$F$5:$F$204&lt;&gt;"")),IF(B_Drainage!$F$5:$F$204="-","",B_Drainage!$F$5:$F$204)),"")</f>
        <v/>
      </c>
      <c r="X468" s="181" t="str">
        <f>IFERROR(LOOKUP(2,1/((B_Drainage!$A$5:$A$204&lt;&gt;"")*(B_Drainage!$A$5:$A$204&lt;=$B468)*(B_Drainage!$B$5:$B$204&gt;$B468)*(B_Drainage!$G$5:$G$204&lt;&gt;"")),IF(UPPER(B_Drainage!$G$5:$G$204)="Y",1,"")),"")</f>
        <v/>
      </c>
      <c r="Y468" s="181" t="str">
        <f>IFERROR(LOOKUP(2,1/((B_Drainage!$A$5:$A$204&lt;&gt;"")*(B_Drainage!$A$5:$A$204&lt;=$B468)*(B_Drainage!$B$5:$B$204&gt;$B468)*(B_Drainage!$H$5:$H$204&lt;&gt;"")),IF(UPPER(B_Drainage!$H$5:$H$204)="Y",1,"")),"")</f>
        <v/>
      </c>
      <c r="Z468" s="181" t="str">
        <f>IFERROR(LOOKUP(2,1/((B_Drainage!$A$5:$A$204&lt;&gt;"")*(B_Drainage!$A$5:$A$204&lt;=$B468)*(B_Drainage!$B$5:$B$204&gt;$B468)*(B_Drainage!$I$5:$I$204&lt;&gt;"")),IF(UPPER(B_Drainage!$I$5:$I$204)="Y",1,"")),"")</f>
        <v/>
      </c>
      <c r="AA468" s="181" t="str">
        <f>IFERROR(LOOKUP(2,1/((B_Drainage!$A$5:$A$204&lt;&gt;"")*(B_Drainage!$A$5:$A$204&lt;=$B468)*(B_Drainage!$B$5:$B$204&gt;$B468)*(B_Drainage!$J$5:$J$204&lt;&gt;"")),IF(UPPER(B_Drainage!$J$5:$J$204)="Y",1,"")),"")</f>
        <v/>
      </c>
      <c r="AB468" s="182" t="str">
        <f>IFERROR(LOOKUP(2,1/((B_Drainage!$A$5:$A$204&lt;&gt;"")*(B_Drainage!$A$5:$A$204&lt;=$B468)*(B_Drainage!$B$5:$B$204&gt;$B468)*(B_Drainage!$K$5:$K$204&lt;&gt;"")),IF(B_Drainage!$K$5:$K$204="-","",B_Drainage!$K$5:$K$204)),"")</f>
        <v/>
      </c>
      <c r="AC468" s="182" t="str">
        <f>IFERROR(LOOKUP(2,1/((B_Drainage!$A$5:$A$204&lt;&gt;"")*(B_Drainage!$A$5:$A$204&lt;=$B468)*(B_Drainage!$B$5:$B$204&gt;$B468)*(B_Drainage!$L$5:$L$204&lt;&gt;"")),IF(B_Drainage!$L$5:$L$204="-","",B_Drainage!$L$5:$L$204)),"")</f>
        <v/>
      </c>
      <c r="AD468" s="182" t="str">
        <f>IFERROR(LOOKUP(2,1/((D_Points!$A$5:$A$204&lt;&gt;"")*(D_Points!$A$5:$A$204&gt;=$B468)*(D_Points!$A$5:$A$204&lt;$B468+P_Interval)*(UPPER(TRIM(D_Points!$B$5:$B$204))="TURNOUT_L")*(D_Points!$H$5:$H$204&lt;&gt;"")),D_Points!$H$5:$H$204),"")</f>
        <v/>
      </c>
      <c r="AE468" s="182" t="str">
        <f>IFERROR(LOOKUP(2,1/((D_Points!$A$5:$A$204&lt;&gt;"")*(D_Points!$A$5:$A$204&gt;=$B468)*(D_Points!$A$5:$A$204&lt;$B468+P_Interval)*(UPPER(TRIM(D_Points!$B$5:$B$204))="TURNOUT_R")*(D_Points!$H$5:$H$204&lt;&gt;"")),D_Points!$H$5:$H$204),"")</f>
        <v/>
      </c>
      <c r="AF468" s="181" t="str">
        <f>IFERROR(LOOKUP(2,1/((B_Drainage!$A$5:$A$204&lt;&gt;"")*(B_Drainage!$A$5:$A$204&lt;=$B468)*(B_Drainage!$B$5:$B$204&gt;$B468)*(B_Drainage!$M$5:$M$204&lt;&gt;"")),IF(UPPER(B_Drainage!$M$5:$M$204)="Y",1,"")),"")</f>
        <v/>
      </c>
      <c r="AG468" s="181" t="str">
        <f>IFERROR(LOOKUP(2,1/((B_Drainage!$A$5:$A$204&lt;&gt;"")*(B_Drainage!$A$5:$A$204&lt;=$B468)*(B_Drainage!$B$5:$B$204&gt;$B468)*(B_Drainage!$N$5:$N$204&lt;&gt;"")),IF(UPPER(B_Drainage!$N$5:$N$204)="Y",1,"")),"")</f>
        <v/>
      </c>
      <c r="AH468" s="181" t="str">
        <f t="shared" si="56"/>
        <v/>
      </c>
      <c r="AI468" s="181" t="str">
        <f t="shared" si="57"/>
        <v/>
      </c>
      <c r="AJ468" s="181" t="str">
        <f t="shared" si="58"/>
        <v/>
      </c>
      <c r="AK468" s="181" t="str">
        <f t="shared" si="59"/>
        <v/>
      </c>
      <c r="AL468" s="181" t="str">
        <f t="shared" si="60"/>
        <v/>
      </c>
      <c r="AM468" s="181" t="str">
        <f t="shared" si="61"/>
        <v/>
      </c>
      <c r="AN468" s="181" t="str">
        <f t="shared" si="62"/>
        <v/>
      </c>
      <c r="AO468" s="192" t="str">
        <f t="shared" si="63"/>
        <v/>
      </c>
      <c r="AQ468" t="str">
        <f>IFERROR(LOOKUP(2,1/((C_Pavement!$A$5:$A$204&lt;&gt;"")*(C_Pavement!$A$5:$A$204&lt;=$B468)*(C_Pavement!$B$5:$B$204&gt;$B468)*(C_Pavement!$C$5:$C$204&lt;&gt;"")),ROW(C_Pavement!$C$5:$C$204)-4),"")</f>
        <v/>
      </c>
      <c r="AR468" t="str">
        <f>IF($AQ468="","",UPPER(TRIM(INDEX(C_Pavement!$C$5:$C$204,$AQ468))))</f>
        <v/>
      </c>
      <c r="AS468" t="str">
        <f>IF($AR468="","",IFERROR(MATCH($AR468,E_Rules!$A$5:$A$9,0),""))</f>
        <v/>
      </c>
      <c r="AT468" t="str">
        <f>IF($AQ468="","",IF(INDEX(C_Pavement!$D$5:$D$204,$AQ468)&lt;&gt;"",UPPER(TRIM(INDEX(C_Pavement!$D$5:$D$204,$AQ468))),IF($AS468="","",INDEX(E_Rules!$C$5:$C$9,$AS468))))</f>
        <v/>
      </c>
      <c r="AU468" t="str">
        <f>IF($AQ468="","",IF(INDEX(C_Pavement!$E$5:$E$204,$AQ468)&lt;&gt;"",IF(INDEX(C_Pavement!$E$5:$E$204,$AQ468)="-","",INDEX(C_Pavement!$E$5:$E$204,$AQ468)),IF($AS468="","",INDEX(E_Rules!$D$5:$D$9,$AS468))))</f>
        <v/>
      </c>
      <c r="AV468" t="str">
        <f>IF($AQ468="","",IF(INDEX(C_Pavement!$F$5:$F$204,$AQ468)&lt;&gt;"",IF(INDEX(C_Pavement!$F$5:$F$204,$AQ468)="-","",INDEX(C_Pavement!$F$5:$F$204,$AQ468)),IF($AS468="","",INDEX(E_Rules!$E$5:$E$9,$AS468))))</f>
        <v/>
      </c>
      <c r="AW468" t="str">
        <f>IF($AQ468="","",IF(INDEX(C_Pavement!$G$5:$G$204,$AQ468)&lt;&gt;"",IF(INDEX(C_Pavement!$G$5:$G$204,$AQ468)="-","",INDEX(C_Pavement!$G$5:$G$204,$AQ468)),IF($AS468="","",INDEX(E_Rules!$F$5:$F$9,$AS468))))</f>
        <v/>
      </c>
      <c r="AX468" t="str">
        <f>IF($AQ468="","",IF(INDEX(C_Pavement!$H$5:$H$204,$AQ468)&lt;&gt;"",IF(INDEX(C_Pavement!$H$5:$H$204,$AQ468)="-","",INDEX(C_Pavement!$H$5:$H$204,$AQ468)),IF($AS468="","",INDEX(E_Rules!$G$5:$G$9,$AS468))))</f>
        <v/>
      </c>
      <c r="AY468" t="str">
        <f>IF($AQ468="","",IF(INDEX(C_Pavement!$I$5:$I$204,$AQ468)&lt;&gt;"",IF(INDEX(C_Pavement!$I$5:$I$204,$AQ468)="-","",INDEX(C_Pavement!$I$5:$I$204,$AQ468)),IF($AS468="","",INDEX(E_Rules!$H$5:$H$9,$AS468))))</f>
        <v/>
      </c>
    </row>
    <row r="469" spans="1:51" ht="15.75" customHeight="1" x14ac:dyDescent="0.3">
      <c r="A469" s="189">
        <v>464</v>
      </c>
      <c r="B469" s="180">
        <v>23150</v>
      </c>
      <c r="C469" s="180" t="s">
        <v>775</v>
      </c>
      <c r="D469" s="181" t="str">
        <f>IFERROR(LOOKUP(2,1/((A_Corridor!$A$5:$A$204&lt;&gt;"")*(A_Corridor!$A$5:$A$204&lt;=$B469)*(A_Corridor!$B$5:$B$204&gt;$B469)*(A_Corridor!$C$5:$C$204&lt;&gt;"")),IF(UPPER(A_Corridor!$C$5:$C$204)="Y",1,"")),"")</f>
        <v/>
      </c>
      <c r="E469" s="181" t="str">
        <f>IFERROR(LOOKUP(2,1/((A_Corridor!$A$5:$A$204&lt;&gt;"")*(A_Corridor!$A$5:$A$204&lt;=$B469)*(A_Corridor!$B$5:$B$204&gt;$B469)*(A_Corridor!$D$5:$D$204&lt;&gt;"")),IF(A_Corridor!$D$5:$D$204="-","",UPPER(A_Corridor!$D$5:$D$204))),"")</f>
        <v/>
      </c>
      <c r="F469" s="181" t="str">
        <f>IFERROR(LOOKUP(2,1/((A_Corridor!$A$5:$A$204&lt;&gt;"")*(A_Corridor!$A$5:$A$204&lt;=$B469)*(A_Corridor!$B$5:$B$204&gt;$B469)*(A_Corridor!$E$5:$E$204&lt;&gt;"")),IF(A_Corridor!$E$5:$E$204="-","",1)),"")</f>
        <v/>
      </c>
      <c r="G469" s="182" t="str">
        <f>IFERROR(LOOKUP(2,1/((A_Corridor!$A$5:$A$204&lt;&gt;"")*(A_Corridor!$A$5:$A$204&lt;=$B469)*(A_Corridor!$B$5:$B$204&gt;$B469)*(A_Corridor!$E$5:$E$204&lt;&gt;"")),IF(A_Corridor!$E$5:$E$204="-","",A_Corridor!$E$5:$E$204)),"")</f>
        <v/>
      </c>
      <c r="H469" s="182" t="str">
        <f>IFERROR(LOOKUP(2,1/((D_Points!$A$5:$A$204&lt;&gt;"")*(D_Points!$A$5:$A$204&gt;=$B469)*(D_Points!$A$5:$A$204&lt;$B469+P_Interval)*(UPPER(TRIM(D_Points!$B$5:$B$204))="GULLY")*(D_Points!$H$5:$H$204&lt;&gt;"")),D_Points!$H$5:$H$204),"")</f>
        <v/>
      </c>
      <c r="I469" s="181" t="str">
        <f>IFERROR(LOOKUP(2,1/((A_Corridor!$A$5:$A$204&lt;&gt;"")*(A_Corridor!$A$5:$A$204&lt;=$B469)*(A_Corridor!$B$5:$B$204&gt;$B469)*(A_Corridor!$F$5:$F$204&lt;&gt;"")),IF(A_Corridor!$F$5:$F$204="-","",1)),"")</f>
        <v/>
      </c>
      <c r="J469" s="182" t="str">
        <f>IFERROR(LOOKUP(2,1/((A_Corridor!$A$5:$A$204&lt;&gt;"")*(A_Corridor!$A$5:$A$204&lt;=$B469)*(A_Corridor!$B$5:$B$204&gt;$B469)*(A_Corridor!$F$5:$F$204&lt;&gt;"")),IF(A_Corridor!$F$5:$F$204="-","",A_Corridor!$F$5:$F$204)),"")</f>
        <v/>
      </c>
      <c r="K469" s="182" t="str">
        <f>IFERROR(LOOKUP(2,1/((A_Corridor!$A$5:$A$204&lt;&gt;"")*(A_Corridor!$A$5:$A$204&lt;=$B469)*(A_Corridor!$B$5:$B$204&gt;$B469)*(A_Corridor!$G$5:$G$204&lt;&gt;"")),IF(A_Corridor!$G$5:$G$204="-","",A_Corridor!$G$5:$G$204)),"")</f>
        <v/>
      </c>
      <c r="L469" s="181" t="str">
        <f>IFERROR(LOOKUP(2,1/((A_Corridor!$A$5:$A$204&lt;&gt;"")*(A_Corridor!$A$5:$A$204&lt;=$B469)*(A_Corridor!$B$5:$B$204&gt;$B469)*(A_Corridor!$H$5:$H$204&lt;&gt;"")),IF(A_Corridor!$H$5:$H$204="-","",1)),"")</f>
        <v/>
      </c>
      <c r="M469" s="182" t="str">
        <f>IFERROR(LOOKUP(2,1/((A_Corridor!$A$5:$A$204&lt;&gt;"")*(A_Corridor!$A$5:$A$204&lt;=$B469)*(A_Corridor!$B$5:$B$204&gt;$B469)*(A_Corridor!$H$5:$H$204&lt;&gt;"")),IF(A_Corridor!$H$5:$H$204="-","",A_Corridor!$H$5:$H$204)),"")</f>
        <v/>
      </c>
      <c r="N469" s="182" t="str">
        <f>IFERROR(LOOKUP(2,1/((A_Corridor!$A$5:$A$204&lt;&gt;"")*(A_Corridor!$A$5:$A$204&lt;=$B469)*(A_Corridor!$B$5:$B$204&gt;$B469)*(A_Corridor!$I$5:$I$204&lt;&gt;"")),IF(A_Corridor!$I$5:$I$204="-","",A_Corridor!$I$5:$I$204)),"")</f>
        <v/>
      </c>
      <c r="O469" s="182" t="str">
        <f>IFERROR(LOOKUP(2,1/((D_Points!$A$5:$A$204&lt;&gt;"")*(D_Points!$A$5:$A$204&gt;=$B469)*(D_Points!$A$5:$A$204&lt;$B469+P_Interval)*(UPPER(TRIM(D_Points!$B$5:$B$204))="PITCHING")*(D_Points!$H$5:$H$204&lt;&gt;"")),D_Points!$H$5:$H$204),"")</f>
        <v/>
      </c>
      <c r="P469" s="181" t="str">
        <f>IFERROR(LOOKUP(2,1/((B_Drainage!$A$5:$A$204&lt;&gt;"")*(B_Drainage!$A$5:$A$204&lt;=$B469)*(B_Drainage!$B$5:$B$204&gt;$B469)*(B_Drainage!$C$5:$C$204&lt;&gt;"")),IF(B_Drainage!$C$5:$C$204="-","",UPPER(B_Drainage!$C$5:$C$204))),"")</f>
        <v/>
      </c>
      <c r="Q469" s="181" t="str">
        <f>IFERROR(LOOKUP(2,1/((B_Drainage!$A$5:$A$204&lt;&gt;"")*(B_Drainage!$A$5:$A$204&lt;=$B469)*(B_Drainage!$B$5:$B$204&gt;$B469)*(B_Drainage!$D$5:$D$204&lt;&gt;"")),IF(B_Drainage!$D$5:$D$204="-","",UPPER(B_Drainage!$D$5:$D$204))),"")</f>
        <v/>
      </c>
      <c r="R469" s="182" t="str">
        <f>IFERROR(LOOKUP(2,1/((D_Points!$A$5:$A$204&lt;&gt;"")*(D_Points!$A$5:$A$204&gt;=$B469)*(D_Points!$A$5:$A$204&lt;$B469+P_Interval)*(RIGHT(UPPER(TRIM(D_Points!$B$5:$B$204)),8)="_CULVERT")),IF(LEFT(UPPER(TRIM(D_Points!$B$5:$B$204)),2)="EX",1,IF(LEFT(UPPER(TRIM(D_Points!$B$5:$B$204)),2)="PR",2,3))),"")</f>
        <v/>
      </c>
      <c r="S469" s="182" t="str">
        <f>IFERROR(LOOKUP(2,1/((D_Points!$A$5:$A$204&lt;&gt;"")*(D_Points!$A$5:$A$204&gt;=$B469)*(D_Points!$A$5:$A$204&lt;$B469+P_Interval)*(RIGHT(UPPER(TRIM(D_Points!$B$5:$B$204)),7)="_BRIDGE")),IF(LEFT(UPPER(TRIM(D_Points!$B$5:$B$204)),2)="EX",1,IF(LEFT(UPPER(TRIM(D_Points!$B$5:$B$204)),2)="PR",2,2))),"")</f>
        <v/>
      </c>
      <c r="T469" s="181" t="str">
        <f>IFERROR(LOOKUP(2,1/((B_Drainage!$A$5:$A$204&lt;&gt;"")*(B_Drainage!$A$5:$A$204&lt;=$B469)*(B_Drainage!$B$5:$B$204&gt;$B469)*(B_Drainage!$E$5:$E$204&lt;&gt;"")),IF(B_Drainage!$E$5:$E$204="-","",1)),"")</f>
        <v/>
      </c>
      <c r="U469" s="181" t="str">
        <f>IFERROR(LOOKUP(2,1/((B_Drainage!$A$5:$A$204&lt;&gt;"")*(B_Drainage!$A$5:$A$204&lt;=$B469)*(B_Drainage!$B$5:$B$204&gt;$B469)*(B_Drainage!$E$5:$E$204&lt;&gt;"")),IF(B_Drainage!$E$5:$E$204="-","",B_Drainage!$E$5:$E$204)),"")</f>
        <v/>
      </c>
      <c r="V469" s="181" t="str">
        <f>IFERROR(LOOKUP(2,1/((B_Drainage!$A$5:$A$204&lt;&gt;"")*(B_Drainage!$A$5:$A$204&lt;=$B469)*(B_Drainage!$B$5:$B$204&gt;$B469)*(B_Drainage!$F$5:$F$204&lt;&gt;"")),IF(B_Drainage!$F$5:$F$204="-","",1)),"")</f>
        <v/>
      </c>
      <c r="W469" s="181" t="str">
        <f>IFERROR(LOOKUP(2,1/((B_Drainage!$A$5:$A$204&lt;&gt;"")*(B_Drainage!$A$5:$A$204&lt;=$B469)*(B_Drainage!$B$5:$B$204&gt;$B469)*(B_Drainage!$F$5:$F$204&lt;&gt;"")),IF(B_Drainage!$F$5:$F$204="-","",B_Drainage!$F$5:$F$204)),"")</f>
        <v/>
      </c>
      <c r="X469" s="181" t="str">
        <f>IFERROR(LOOKUP(2,1/((B_Drainage!$A$5:$A$204&lt;&gt;"")*(B_Drainage!$A$5:$A$204&lt;=$B469)*(B_Drainage!$B$5:$B$204&gt;$B469)*(B_Drainage!$G$5:$G$204&lt;&gt;"")),IF(UPPER(B_Drainage!$G$5:$G$204)="Y",1,"")),"")</f>
        <v/>
      </c>
      <c r="Y469" s="181" t="str">
        <f>IFERROR(LOOKUP(2,1/((B_Drainage!$A$5:$A$204&lt;&gt;"")*(B_Drainage!$A$5:$A$204&lt;=$B469)*(B_Drainage!$B$5:$B$204&gt;$B469)*(B_Drainage!$H$5:$H$204&lt;&gt;"")),IF(UPPER(B_Drainage!$H$5:$H$204)="Y",1,"")),"")</f>
        <v/>
      </c>
      <c r="Z469" s="181" t="str">
        <f>IFERROR(LOOKUP(2,1/((B_Drainage!$A$5:$A$204&lt;&gt;"")*(B_Drainage!$A$5:$A$204&lt;=$B469)*(B_Drainage!$B$5:$B$204&gt;$B469)*(B_Drainage!$I$5:$I$204&lt;&gt;"")),IF(UPPER(B_Drainage!$I$5:$I$204)="Y",1,"")),"")</f>
        <v/>
      </c>
      <c r="AA469" s="181" t="str">
        <f>IFERROR(LOOKUP(2,1/((B_Drainage!$A$5:$A$204&lt;&gt;"")*(B_Drainage!$A$5:$A$204&lt;=$B469)*(B_Drainage!$B$5:$B$204&gt;$B469)*(B_Drainage!$J$5:$J$204&lt;&gt;"")),IF(UPPER(B_Drainage!$J$5:$J$204)="Y",1,"")),"")</f>
        <v/>
      </c>
      <c r="AB469" s="182" t="str">
        <f>IFERROR(LOOKUP(2,1/((B_Drainage!$A$5:$A$204&lt;&gt;"")*(B_Drainage!$A$5:$A$204&lt;=$B469)*(B_Drainage!$B$5:$B$204&gt;$B469)*(B_Drainage!$K$5:$K$204&lt;&gt;"")),IF(B_Drainage!$K$5:$K$204="-","",B_Drainage!$K$5:$K$204)),"")</f>
        <v/>
      </c>
      <c r="AC469" s="182" t="str">
        <f>IFERROR(LOOKUP(2,1/((B_Drainage!$A$5:$A$204&lt;&gt;"")*(B_Drainage!$A$5:$A$204&lt;=$B469)*(B_Drainage!$B$5:$B$204&gt;$B469)*(B_Drainage!$L$5:$L$204&lt;&gt;"")),IF(B_Drainage!$L$5:$L$204="-","",B_Drainage!$L$5:$L$204)),"")</f>
        <v/>
      </c>
      <c r="AD469" s="182" t="str">
        <f>IFERROR(LOOKUP(2,1/((D_Points!$A$5:$A$204&lt;&gt;"")*(D_Points!$A$5:$A$204&gt;=$B469)*(D_Points!$A$5:$A$204&lt;$B469+P_Interval)*(UPPER(TRIM(D_Points!$B$5:$B$204))="TURNOUT_L")*(D_Points!$H$5:$H$204&lt;&gt;"")),D_Points!$H$5:$H$204),"")</f>
        <v/>
      </c>
      <c r="AE469" s="182" t="str">
        <f>IFERROR(LOOKUP(2,1/((D_Points!$A$5:$A$204&lt;&gt;"")*(D_Points!$A$5:$A$204&gt;=$B469)*(D_Points!$A$5:$A$204&lt;$B469+P_Interval)*(UPPER(TRIM(D_Points!$B$5:$B$204))="TURNOUT_R")*(D_Points!$H$5:$H$204&lt;&gt;"")),D_Points!$H$5:$H$204),"")</f>
        <v/>
      </c>
      <c r="AF469" s="181" t="str">
        <f>IFERROR(LOOKUP(2,1/((B_Drainage!$A$5:$A$204&lt;&gt;"")*(B_Drainage!$A$5:$A$204&lt;=$B469)*(B_Drainage!$B$5:$B$204&gt;$B469)*(B_Drainage!$M$5:$M$204&lt;&gt;"")),IF(UPPER(B_Drainage!$M$5:$M$204)="Y",1,"")),"")</f>
        <v/>
      </c>
      <c r="AG469" s="181" t="str">
        <f>IFERROR(LOOKUP(2,1/((B_Drainage!$A$5:$A$204&lt;&gt;"")*(B_Drainage!$A$5:$A$204&lt;=$B469)*(B_Drainage!$B$5:$B$204&gt;$B469)*(B_Drainage!$N$5:$N$204&lt;&gt;"")),IF(UPPER(B_Drainage!$N$5:$N$204)="Y",1,"")),"")</f>
        <v/>
      </c>
      <c r="AH469" s="181" t="str">
        <f t="shared" si="56"/>
        <v/>
      </c>
      <c r="AI469" s="181" t="str">
        <f t="shared" si="57"/>
        <v/>
      </c>
      <c r="AJ469" s="181" t="str">
        <f t="shared" si="58"/>
        <v/>
      </c>
      <c r="AK469" s="181" t="str">
        <f t="shared" si="59"/>
        <v/>
      </c>
      <c r="AL469" s="181" t="str">
        <f t="shared" si="60"/>
        <v/>
      </c>
      <c r="AM469" s="181" t="str">
        <f t="shared" si="61"/>
        <v/>
      </c>
      <c r="AN469" s="181" t="str">
        <f t="shared" si="62"/>
        <v/>
      </c>
      <c r="AO469" s="192" t="str">
        <f t="shared" si="63"/>
        <v/>
      </c>
      <c r="AQ469" t="str">
        <f>IFERROR(LOOKUP(2,1/((C_Pavement!$A$5:$A$204&lt;&gt;"")*(C_Pavement!$A$5:$A$204&lt;=$B469)*(C_Pavement!$B$5:$B$204&gt;$B469)*(C_Pavement!$C$5:$C$204&lt;&gt;"")),ROW(C_Pavement!$C$5:$C$204)-4),"")</f>
        <v/>
      </c>
      <c r="AR469" t="str">
        <f>IF($AQ469="","",UPPER(TRIM(INDEX(C_Pavement!$C$5:$C$204,$AQ469))))</f>
        <v/>
      </c>
      <c r="AS469" t="str">
        <f>IF($AR469="","",IFERROR(MATCH($AR469,E_Rules!$A$5:$A$9,0),""))</f>
        <v/>
      </c>
      <c r="AT469" t="str">
        <f>IF($AQ469="","",IF(INDEX(C_Pavement!$D$5:$D$204,$AQ469)&lt;&gt;"",UPPER(TRIM(INDEX(C_Pavement!$D$5:$D$204,$AQ469))),IF($AS469="","",INDEX(E_Rules!$C$5:$C$9,$AS469))))</f>
        <v/>
      </c>
      <c r="AU469" t="str">
        <f>IF($AQ469="","",IF(INDEX(C_Pavement!$E$5:$E$204,$AQ469)&lt;&gt;"",IF(INDEX(C_Pavement!$E$5:$E$204,$AQ469)="-","",INDEX(C_Pavement!$E$5:$E$204,$AQ469)),IF($AS469="","",INDEX(E_Rules!$D$5:$D$9,$AS469))))</f>
        <v/>
      </c>
      <c r="AV469" t="str">
        <f>IF($AQ469="","",IF(INDEX(C_Pavement!$F$5:$F$204,$AQ469)&lt;&gt;"",IF(INDEX(C_Pavement!$F$5:$F$204,$AQ469)="-","",INDEX(C_Pavement!$F$5:$F$204,$AQ469)),IF($AS469="","",INDEX(E_Rules!$E$5:$E$9,$AS469))))</f>
        <v/>
      </c>
      <c r="AW469" t="str">
        <f>IF($AQ469="","",IF(INDEX(C_Pavement!$G$5:$G$204,$AQ469)&lt;&gt;"",IF(INDEX(C_Pavement!$G$5:$G$204,$AQ469)="-","",INDEX(C_Pavement!$G$5:$G$204,$AQ469)),IF($AS469="","",INDEX(E_Rules!$F$5:$F$9,$AS469))))</f>
        <v/>
      </c>
      <c r="AX469" t="str">
        <f>IF($AQ469="","",IF(INDEX(C_Pavement!$H$5:$H$204,$AQ469)&lt;&gt;"",IF(INDEX(C_Pavement!$H$5:$H$204,$AQ469)="-","",INDEX(C_Pavement!$H$5:$H$204,$AQ469)),IF($AS469="","",INDEX(E_Rules!$G$5:$G$9,$AS469))))</f>
        <v/>
      </c>
      <c r="AY469" t="str">
        <f>IF($AQ469="","",IF(INDEX(C_Pavement!$I$5:$I$204,$AQ469)&lt;&gt;"",IF(INDEX(C_Pavement!$I$5:$I$204,$AQ469)="-","",INDEX(C_Pavement!$I$5:$I$204,$AQ469)),IF($AS469="","",INDEX(E_Rules!$H$5:$H$9,$AS469))))</f>
        <v/>
      </c>
    </row>
    <row r="470" spans="1:51" ht="15.75" customHeight="1" x14ac:dyDescent="0.3">
      <c r="A470" s="189">
        <v>465</v>
      </c>
      <c r="B470" s="180">
        <v>23200</v>
      </c>
      <c r="C470" s="180" t="s">
        <v>776</v>
      </c>
      <c r="D470" s="181" t="str">
        <f>IFERROR(LOOKUP(2,1/((A_Corridor!$A$5:$A$204&lt;&gt;"")*(A_Corridor!$A$5:$A$204&lt;=$B470)*(A_Corridor!$B$5:$B$204&gt;$B470)*(A_Corridor!$C$5:$C$204&lt;&gt;"")),IF(UPPER(A_Corridor!$C$5:$C$204)="Y",1,"")),"")</f>
        <v/>
      </c>
      <c r="E470" s="181" t="str">
        <f>IFERROR(LOOKUP(2,1/((A_Corridor!$A$5:$A$204&lt;&gt;"")*(A_Corridor!$A$5:$A$204&lt;=$B470)*(A_Corridor!$B$5:$B$204&gt;$B470)*(A_Corridor!$D$5:$D$204&lt;&gt;"")),IF(A_Corridor!$D$5:$D$204="-","",UPPER(A_Corridor!$D$5:$D$204))),"")</f>
        <v/>
      </c>
      <c r="F470" s="181" t="str">
        <f>IFERROR(LOOKUP(2,1/((A_Corridor!$A$5:$A$204&lt;&gt;"")*(A_Corridor!$A$5:$A$204&lt;=$B470)*(A_Corridor!$B$5:$B$204&gt;$B470)*(A_Corridor!$E$5:$E$204&lt;&gt;"")),IF(A_Corridor!$E$5:$E$204="-","",1)),"")</f>
        <v/>
      </c>
      <c r="G470" s="182" t="str">
        <f>IFERROR(LOOKUP(2,1/((A_Corridor!$A$5:$A$204&lt;&gt;"")*(A_Corridor!$A$5:$A$204&lt;=$B470)*(A_Corridor!$B$5:$B$204&gt;$B470)*(A_Corridor!$E$5:$E$204&lt;&gt;"")),IF(A_Corridor!$E$5:$E$204="-","",A_Corridor!$E$5:$E$204)),"")</f>
        <v/>
      </c>
      <c r="H470" s="182" t="str">
        <f>IFERROR(LOOKUP(2,1/((D_Points!$A$5:$A$204&lt;&gt;"")*(D_Points!$A$5:$A$204&gt;=$B470)*(D_Points!$A$5:$A$204&lt;$B470+P_Interval)*(UPPER(TRIM(D_Points!$B$5:$B$204))="GULLY")*(D_Points!$H$5:$H$204&lt;&gt;"")),D_Points!$H$5:$H$204),"")</f>
        <v/>
      </c>
      <c r="I470" s="181" t="str">
        <f>IFERROR(LOOKUP(2,1/((A_Corridor!$A$5:$A$204&lt;&gt;"")*(A_Corridor!$A$5:$A$204&lt;=$B470)*(A_Corridor!$B$5:$B$204&gt;$B470)*(A_Corridor!$F$5:$F$204&lt;&gt;"")),IF(A_Corridor!$F$5:$F$204="-","",1)),"")</f>
        <v/>
      </c>
      <c r="J470" s="182" t="str">
        <f>IFERROR(LOOKUP(2,1/((A_Corridor!$A$5:$A$204&lt;&gt;"")*(A_Corridor!$A$5:$A$204&lt;=$B470)*(A_Corridor!$B$5:$B$204&gt;$B470)*(A_Corridor!$F$5:$F$204&lt;&gt;"")),IF(A_Corridor!$F$5:$F$204="-","",A_Corridor!$F$5:$F$204)),"")</f>
        <v/>
      </c>
      <c r="K470" s="182" t="str">
        <f>IFERROR(LOOKUP(2,1/((A_Corridor!$A$5:$A$204&lt;&gt;"")*(A_Corridor!$A$5:$A$204&lt;=$B470)*(A_Corridor!$B$5:$B$204&gt;$B470)*(A_Corridor!$G$5:$G$204&lt;&gt;"")),IF(A_Corridor!$G$5:$G$204="-","",A_Corridor!$G$5:$G$204)),"")</f>
        <v/>
      </c>
      <c r="L470" s="181" t="str">
        <f>IFERROR(LOOKUP(2,1/((A_Corridor!$A$5:$A$204&lt;&gt;"")*(A_Corridor!$A$5:$A$204&lt;=$B470)*(A_Corridor!$B$5:$B$204&gt;$B470)*(A_Corridor!$H$5:$H$204&lt;&gt;"")),IF(A_Corridor!$H$5:$H$204="-","",1)),"")</f>
        <v/>
      </c>
      <c r="M470" s="182" t="str">
        <f>IFERROR(LOOKUP(2,1/((A_Corridor!$A$5:$A$204&lt;&gt;"")*(A_Corridor!$A$5:$A$204&lt;=$B470)*(A_Corridor!$B$5:$B$204&gt;$B470)*(A_Corridor!$H$5:$H$204&lt;&gt;"")),IF(A_Corridor!$H$5:$H$204="-","",A_Corridor!$H$5:$H$204)),"")</f>
        <v/>
      </c>
      <c r="N470" s="182" t="str">
        <f>IFERROR(LOOKUP(2,1/((A_Corridor!$A$5:$A$204&lt;&gt;"")*(A_Corridor!$A$5:$A$204&lt;=$B470)*(A_Corridor!$B$5:$B$204&gt;$B470)*(A_Corridor!$I$5:$I$204&lt;&gt;"")),IF(A_Corridor!$I$5:$I$204="-","",A_Corridor!$I$5:$I$204)),"")</f>
        <v/>
      </c>
      <c r="O470" s="182" t="str">
        <f>IFERROR(LOOKUP(2,1/((D_Points!$A$5:$A$204&lt;&gt;"")*(D_Points!$A$5:$A$204&gt;=$B470)*(D_Points!$A$5:$A$204&lt;$B470+P_Interval)*(UPPER(TRIM(D_Points!$B$5:$B$204))="PITCHING")*(D_Points!$H$5:$H$204&lt;&gt;"")),D_Points!$H$5:$H$204),"")</f>
        <v/>
      </c>
      <c r="P470" s="181" t="str">
        <f>IFERROR(LOOKUP(2,1/((B_Drainage!$A$5:$A$204&lt;&gt;"")*(B_Drainage!$A$5:$A$204&lt;=$B470)*(B_Drainage!$B$5:$B$204&gt;$B470)*(B_Drainage!$C$5:$C$204&lt;&gt;"")),IF(B_Drainage!$C$5:$C$204="-","",UPPER(B_Drainage!$C$5:$C$204))),"")</f>
        <v/>
      </c>
      <c r="Q470" s="181" t="str">
        <f>IFERROR(LOOKUP(2,1/((B_Drainage!$A$5:$A$204&lt;&gt;"")*(B_Drainage!$A$5:$A$204&lt;=$B470)*(B_Drainage!$B$5:$B$204&gt;$B470)*(B_Drainage!$D$5:$D$204&lt;&gt;"")),IF(B_Drainage!$D$5:$D$204="-","",UPPER(B_Drainage!$D$5:$D$204))),"")</f>
        <v/>
      </c>
      <c r="R470" s="182" t="str">
        <f>IFERROR(LOOKUP(2,1/((D_Points!$A$5:$A$204&lt;&gt;"")*(D_Points!$A$5:$A$204&gt;=$B470)*(D_Points!$A$5:$A$204&lt;$B470+P_Interval)*(RIGHT(UPPER(TRIM(D_Points!$B$5:$B$204)),8)="_CULVERT")),IF(LEFT(UPPER(TRIM(D_Points!$B$5:$B$204)),2)="EX",1,IF(LEFT(UPPER(TRIM(D_Points!$B$5:$B$204)),2)="PR",2,3))),"")</f>
        <v/>
      </c>
      <c r="S470" s="182" t="str">
        <f>IFERROR(LOOKUP(2,1/((D_Points!$A$5:$A$204&lt;&gt;"")*(D_Points!$A$5:$A$204&gt;=$B470)*(D_Points!$A$5:$A$204&lt;$B470+P_Interval)*(RIGHT(UPPER(TRIM(D_Points!$B$5:$B$204)),7)="_BRIDGE")),IF(LEFT(UPPER(TRIM(D_Points!$B$5:$B$204)),2)="EX",1,IF(LEFT(UPPER(TRIM(D_Points!$B$5:$B$204)),2)="PR",2,2))),"")</f>
        <v/>
      </c>
      <c r="T470" s="181" t="str">
        <f>IFERROR(LOOKUP(2,1/((B_Drainage!$A$5:$A$204&lt;&gt;"")*(B_Drainage!$A$5:$A$204&lt;=$B470)*(B_Drainage!$B$5:$B$204&gt;$B470)*(B_Drainage!$E$5:$E$204&lt;&gt;"")),IF(B_Drainage!$E$5:$E$204="-","",1)),"")</f>
        <v/>
      </c>
      <c r="U470" s="181" t="str">
        <f>IFERROR(LOOKUP(2,1/((B_Drainage!$A$5:$A$204&lt;&gt;"")*(B_Drainage!$A$5:$A$204&lt;=$B470)*(B_Drainage!$B$5:$B$204&gt;$B470)*(B_Drainage!$E$5:$E$204&lt;&gt;"")),IF(B_Drainage!$E$5:$E$204="-","",B_Drainage!$E$5:$E$204)),"")</f>
        <v/>
      </c>
      <c r="V470" s="181" t="str">
        <f>IFERROR(LOOKUP(2,1/((B_Drainage!$A$5:$A$204&lt;&gt;"")*(B_Drainage!$A$5:$A$204&lt;=$B470)*(B_Drainage!$B$5:$B$204&gt;$B470)*(B_Drainage!$F$5:$F$204&lt;&gt;"")),IF(B_Drainage!$F$5:$F$204="-","",1)),"")</f>
        <v/>
      </c>
      <c r="W470" s="181" t="str">
        <f>IFERROR(LOOKUP(2,1/((B_Drainage!$A$5:$A$204&lt;&gt;"")*(B_Drainage!$A$5:$A$204&lt;=$B470)*(B_Drainage!$B$5:$B$204&gt;$B470)*(B_Drainage!$F$5:$F$204&lt;&gt;"")),IF(B_Drainage!$F$5:$F$204="-","",B_Drainage!$F$5:$F$204)),"")</f>
        <v/>
      </c>
      <c r="X470" s="181" t="str">
        <f>IFERROR(LOOKUP(2,1/((B_Drainage!$A$5:$A$204&lt;&gt;"")*(B_Drainage!$A$5:$A$204&lt;=$B470)*(B_Drainage!$B$5:$B$204&gt;$B470)*(B_Drainage!$G$5:$G$204&lt;&gt;"")),IF(UPPER(B_Drainage!$G$5:$G$204)="Y",1,"")),"")</f>
        <v/>
      </c>
      <c r="Y470" s="181" t="str">
        <f>IFERROR(LOOKUP(2,1/((B_Drainage!$A$5:$A$204&lt;&gt;"")*(B_Drainage!$A$5:$A$204&lt;=$B470)*(B_Drainage!$B$5:$B$204&gt;$B470)*(B_Drainage!$H$5:$H$204&lt;&gt;"")),IF(UPPER(B_Drainage!$H$5:$H$204)="Y",1,"")),"")</f>
        <v/>
      </c>
      <c r="Z470" s="181" t="str">
        <f>IFERROR(LOOKUP(2,1/((B_Drainage!$A$5:$A$204&lt;&gt;"")*(B_Drainage!$A$5:$A$204&lt;=$B470)*(B_Drainage!$B$5:$B$204&gt;$B470)*(B_Drainage!$I$5:$I$204&lt;&gt;"")),IF(UPPER(B_Drainage!$I$5:$I$204)="Y",1,"")),"")</f>
        <v/>
      </c>
      <c r="AA470" s="181" t="str">
        <f>IFERROR(LOOKUP(2,1/((B_Drainage!$A$5:$A$204&lt;&gt;"")*(B_Drainage!$A$5:$A$204&lt;=$B470)*(B_Drainage!$B$5:$B$204&gt;$B470)*(B_Drainage!$J$5:$J$204&lt;&gt;"")),IF(UPPER(B_Drainage!$J$5:$J$204)="Y",1,"")),"")</f>
        <v/>
      </c>
      <c r="AB470" s="182" t="str">
        <f>IFERROR(LOOKUP(2,1/((B_Drainage!$A$5:$A$204&lt;&gt;"")*(B_Drainage!$A$5:$A$204&lt;=$B470)*(B_Drainage!$B$5:$B$204&gt;$B470)*(B_Drainage!$K$5:$K$204&lt;&gt;"")),IF(B_Drainage!$K$5:$K$204="-","",B_Drainage!$K$5:$K$204)),"")</f>
        <v/>
      </c>
      <c r="AC470" s="182" t="str">
        <f>IFERROR(LOOKUP(2,1/((B_Drainage!$A$5:$A$204&lt;&gt;"")*(B_Drainage!$A$5:$A$204&lt;=$B470)*(B_Drainage!$B$5:$B$204&gt;$B470)*(B_Drainage!$L$5:$L$204&lt;&gt;"")),IF(B_Drainage!$L$5:$L$204="-","",B_Drainage!$L$5:$L$204)),"")</f>
        <v/>
      </c>
      <c r="AD470" s="182" t="str">
        <f>IFERROR(LOOKUP(2,1/((D_Points!$A$5:$A$204&lt;&gt;"")*(D_Points!$A$5:$A$204&gt;=$B470)*(D_Points!$A$5:$A$204&lt;$B470+P_Interval)*(UPPER(TRIM(D_Points!$B$5:$B$204))="TURNOUT_L")*(D_Points!$H$5:$H$204&lt;&gt;"")),D_Points!$H$5:$H$204),"")</f>
        <v/>
      </c>
      <c r="AE470" s="182" t="str">
        <f>IFERROR(LOOKUP(2,1/((D_Points!$A$5:$A$204&lt;&gt;"")*(D_Points!$A$5:$A$204&gt;=$B470)*(D_Points!$A$5:$A$204&lt;$B470+P_Interval)*(UPPER(TRIM(D_Points!$B$5:$B$204))="TURNOUT_R")*(D_Points!$H$5:$H$204&lt;&gt;"")),D_Points!$H$5:$H$204),"")</f>
        <v/>
      </c>
      <c r="AF470" s="181" t="str">
        <f>IFERROR(LOOKUP(2,1/((B_Drainage!$A$5:$A$204&lt;&gt;"")*(B_Drainage!$A$5:$A$204&lt;=$B470)*(B_Drainage!$B$5:$B$204&gt;$B470)*(B_Drainage!$M$5:$M$204&lt;&gt;"")),IF(UPPER(B_Drainage!$M$5:$M$204)="Y",1,"")),"")</f>
        <v/>
      </c>
      <c r="AG470" s="181" t="str">
        <f>IFERROR(LOOKUP(2,1/((B_Drainage!$A$5:$A$204&lt;&gt;"")*(B_Drainage!$A$5:$A$204&lt;=$B470)*(B_Drainage!$B$5:$B$204&gt;$B470)*(B_Drainage!$N$5:$N$204&lt;&gt;"")),IF(UPPER(B_Drainage!$N$5:$N$204)="Y",1,"")),"")</f>
        <v/>
      </c>
      <c r="AH470" s="181" t="str">
        <f t="shared" si="56"/>
        <v/>
      </c>
      <c r="AI470" s="181" t="str">
        <f t="shared" si="57"/>
        <v/>
      </c>
      <c r="AJ470" s="181" t="str">
        <f t="shared" si="58"/>
        <v/>
      </c>
      <c r="AK470" s="181" t="str">
        <f t="shared" si="59"/>
        <v/>
      </c>
      <c r="AL470" s="181" t="str">
        <f t="shared" si="60"/>
        <v/>
      </c>
      <c r="AM470" s="181" t="str">
        <f t="shared" si="61"/>
        <v/>
      </c>
      <c r="AN470" s="181" t="str">
        <f t="shared" si="62"/>
        <v/>
      </c>
      <c r="AO470" s="192" t="str">
        <f t="shared" si="63"/>
        <v/>
      </c>
      <c r="AQ470" t="str">
        <f>IFERROR(LOOKUP(2,1/((C_Pavement!$A$5:$A$204&lt;&gt;"")*(C_Pavement!$A$5:$A$204&lt;=$B470)*(C_Pavement!$B$5:$B$204&gt;$B470)*(C_Pavement!$C$5:$C$204&lt;&gt;"")),ROW(C_Pavement!$C$5:$C$204)-4),"")</f>
        <v/>
      </c>
      <c r="AR470" t="str">
        <f>IF($AQ470="","",UPPER(TRIM(INDEX(C_Pavement!$C$5:$C$204,$AQ470))))</f>
        <v/>
      </c>
      <c r="AS470" t="str">
        <f>IF($AR470="","",IFERROR(MATCH($AR470,E_Rules!$A$5:$A$9,0),""))</f>
        <v/>
      </c>
      <c r="AT470" t="str">
        <f>IF($AQ470="","",IF(INDEX(C_Pavement!$D$5:$D$204,$AQ470)&lt;&gt;"",UPPER(TRIM(INDEX(C_Pavement!$D$5:$D$204,$AQ470))),IF($AS470="","",INDEX(E_Rules!$C$5:$C$9,$AS470))))</f>
        <v/>
      </c>
      <c r="AU470" t="str">
        <f>IF($AQ470="","",IF(INDEX(C_Pavement!$E$5:$E$204,$AQ470)&lt;&gt;"",IF(INDEX(C_Pavement!$E$5:$E$204,$AQ470)="-","",INDEX(C_Pavement!$E$5:$E$204,$AQ470)),IF($AS470="","",INDEX(E_Rules!$D$5:$D$9,$AS470))))</f>
        <v/>
      </c>
      <c r="AV470" t="str">
        <f>IF($AQ470="","",IF(INDEX(C_Pavement!$F$5:$F$204,$AQ470)&lt;&gt;"",IF(INDEX(C_Pavement!$F$5:$F$204,$AQ470)="-","",INDEX(C_Pavement!$F$5:$F$204,$AQ470)),IF($AS470="","",INDEX(E_Rules!$E$5:$E$9,$AS470))))</f>
        <v/>
      </c>
      <c r="AW470" t="str">
        <f>IF($AQ470="","",IF(INDEX(C_Pavement!$G$5:$G$204,$AQ470)&lt;&gt;"",IF(INDEX(C_Pavement!$G$5:$G$204,$AQ470)="-","",INDEX(C_Pavement!$G$5:$G$204,$AQ470)),IF($AS470="","",INDEX(E_Rules!$F$5:$F$9,$AS470))))</f>
        <v/>
      </c>
      <c r="AX470" t="str">
        <f>IF($AQ470="","",IF(INDEX(C_Pavement!$H$5:$H$204,$AQ470)&lt;&gt;"",IF(INDEX(C_Pavement!$H$5:$H$204,$AQ470)="-","",INDEX(C_Pavement!$H$5:$H$204,$AQ470)),IF($AS470="","",INDEX(E_Rules!$G$5:$G$9,$AS470))))</f>
        <v/>
      </c>
      <c r="AY470" t="str">
        <f>IF($AQ470="","",IF(INDEX(C_Pavement!$I$5:$I$204,$AQ470)&lt;&gt;"",IF(INDEX(C_Pavement!$I$5:$I$204,$AQ470)="-","",INDEX(C_Pavement!$I$5:$I$204,$AQ470)),IF($AS470="","",INDEX(E_Rules!$H$5:$H$9,$AS470))))</f>
        <v/>
      </c>
    </row>
    <row r="471" spans="1:51" ht="15.75" customHeight="1" x14ac:dyDescent="0.3">
      <c r="A471" s="189">
        <v>466</v>
      </c>
      <c r="B471" s="180">
        <v>23250</v>
      </c>
      <c r="C471" s="180" t="s">
        <v>777</v>
      </c>
      <c r="D471" s="181" t="str">
        <f>IFERROR(LOOKUP(2,1/((A_Corridor!$A$5:$A$204&lt;&gt;"")*(A_Corridor!$A$5:$A$204&lt;=$B471)*(A_Corridor!$B$5:$B$204&gt;$B471)*(A_Corridor!$C$5:$C$204&lt;&gt;"")),IF(UPPER(A_Corridor!$C$5:$C$204)="Y",1,"")),"")</f>
        <v/>
      </c>
      <c r="E471" s="181" t="str">
        <f>IFERROR(LOOKUP(2,1/((A_Corridor!$A$5:$A$204&lt;&gt;"")*(A_Corridor!$A$5:$A$204&lt;=$B471)*(A_Corridor!$B$5:$B$204&gt;$B471)*(A_Corridor!$D$5:$D$204&lt;&gt;"")),IF(A_Corridor!$D$5:$D$204="-","",UPPER(A_Corridor!$D$5:$D$204))),"")</f>
        <v/>
      </c>
      <c r="F471" s="181" t="str">
        <f>IFERROR(LOOKUP(2,1/((A_Corridor!$A$5:$A$204&lt;&gt;"")*(A_Corridor!$A$5:$A$204&lt;=$B471)*(A_Corridor!$B$5:$B$204&gt;$B471)*(A_Corridor!$E$5:$E$204&lt;&gt;"")),IF(A_Corridor!$E$5:$E$204="-","",1)),"")</f>
        <v/>
      </c>
      <c r="G471" s="182" t="str">
        <f>IFERROR(LOOKUP(2,1/((A_Corridor!$A$5:$A$204&lt;&gt;"")*(A_Corridor!$A$5:$A$204&lt;=$B471)*(A_Corridor!$B$5:$B$204&gt;$B471)*(A_Corridor!$E$5:$E$204&lt;&gt;"")),IF(A_Corridor!$E$5:$E$204="-","",A_Corridor!$E$5:$E$204)),"")</f>
        <v/>
      </c>
      <c r="H471" s="182" t="str">
        <f>IFERROR(LOOKUP(2,1/((D_Points!$A$5:$A$204&lt;&gt;"")*(D_Points!$A$5:$A$204&gt;=$B471)*(D_Points!$A$5:$A$204&lt;$B471+P_Interval)*(UPPER(TRIM(D_Points!$B$5:$B$204))="GULLY")*(D_Points!$H$5:$H$204&lt;&gt;"")),D_Points!$H$5:$H$204),"")</f>
        <v/>
      </c>
      <c r="I471" s="181" t="str">
        <f>IFERROR(LOOKUP(2,1/((A_Corridor!$A$5:$A$204&lt;&gt;"")*(A_Corridor!$A$5:$A$204&lt;=$B471)*(A_Corridor!$B$5:$B$204&gt;$B471)*(A_Corridor!$F$5:$F$204&lt;&gt;"")),IF(A_Corridor!$F$5:$F$204="-","",1)),"")</f>
        <v/>
      </c>
      <c r="J471" s="182" t="str">
        <f>IFERROR(LOOKUP(2,1/((A_Corridor!$A$5:$A$204&lt;&gt;"")*(A_Corridor!$A$5:$A$204&lt;=$B471)*(A_Corridor!$B$5:$B$204&gt;$B471)*(A_Corridor!$F$5:$F$204&lt;&gt;"")),IF(A_Corridor!$F$5:$F$204="-","",A_Corridor!$F$5:$F$204)),"")</f>
        <v/>
      </c>
      <c r="K471" s="182" t="str">
        <f>IFERROR(LOOKUP(2,1/((A_Corridor!$A$5:$A$204&lt;&gt;"")*(A_Corridor!$A$5:$A$204&lt;=$B471)*(A_Corridor!$B$5:$B$204&gt;$B471)*(A_Corridor!$G$5:$G$204&lt;&gt;"")),IF(A_Corridor!$G$5:$G$204="-","",A_Corridor!$G$5:$G$204)),"")</f>
        <v/>
      </c>
      <c r="L471" s="181" t="str">
        <f>IFERROR(LOOKUP(2,1/((A_Corridor!$A$5:$A$204&lt;&gt;"")*(A_Corridor!$A$5:$A$204&lt;=$B471)*(A_Corridor!$B$5:$B$204&gt;$B471)*(A_Corridor!$H$5:$H$204&lt;&gt;"")),IF(A_Corridor!$H$5:$H$204="-","",1)),"")</f>
        <v/>
      </c>
      <c r="M471" s="182" t="str">
        <f>IFERROR(LOOKUP(2,1/((A_Corridor!$A$5:$A$204&lt;&gt;"")*(A_Corridor!$A$5:$A$204&lt;=$B471)*(A_Corridor!$B$5:$B$204&gt;$B471)*(A_Corridor!$H$5:$H$204&lt;&gt;"")),IF(A_Corridor!$H$5:$H$204="-","",A_Corridor!$H$5:$H$204)),"")</f>
        <v/>
      </c>
      <c r="N471" s="182" t="str">
        <f>IFERROR(LOOKUP(2,1/((A_Corridor!$A$5:$A$204&lt;&gt;"")*(A_Corridor!$A$5:$A$204&lt;=$B471)*(A_Corridor!$B$5:$B$204&gt;$B471)*(A_Corridor!$I$5:$I$204&lt;&gt;"")),IF(A_Corridor!$I$5:$I$204="-","",A_Corridor!$I$5:$I$204)),"")</f>
        <v/>
      </c>
      <c r="O471" s="182" t="str">
        <f>IFERROR(LOOKUP(2,1/((D_Points!$A$5:$A$204&lt;&gt;"")*(D_Points!$A$5:$A$204&gt;=$B471)*(D_Points!$A$5:$A$204&lt;$B471+P_Interval)*(UPPER(TRIM(D_Points!$B$5:$B$204))="PITCHING")*(D_Points!$H$5:$H$204&lt;&gt;"")),D_Points!$H$5:$H$204),"")</f>
        <v/>
      </c>
      <c r="P471" s="181" t="str">
        <f>IFERROR(LOOKUP(2,1/((B_Drainage!$A$5:$A$204&lt;&gt;"")*(B_Drainage!$A$5:$A$204&lt;=$B471)*(B_Drainage!$B$5:$B$204&gt;$B471)*(B_Drainage!$C$5:$C$204&lt;&gt;"")),IF(B_Drainage!$C$5:$C$204="-","",UPPER(B_Drainage!$C$5:$C$204))),"")</f>
        <v/>
      </c>
      <c r="Q471" s="181" t="str">
        <f>IFERROR(LOOKUP(2,1/((B_Drainage!$A$5:$A$204&lt;&gt;"")*(B_Drainage!$A$5:$A$204&lt;=$B471)*(B_Drainage!$B$5:$B$204&gt;$B471)*(B_Drainage!$D$5:$D$204&lt;&gt;"")),IF(B_Drainage!$D$5:$D$204="-","",UPPER(B_Drainage!$D$5:$D$204))),"")</f>
        <v/>
      </c>
      <c r="R471" s="182" t="str">
        <f>IFERROR(LOOKUP(2,1/((D_Points!$A$5:$A$204&lt;&gt;"")*(D_Points!$A$5:$A$204&gt;=$B471)*(D_Points!$A$5:$A$204&lt;$B471+P_Interval)*(RIGHT(UPPER(TRIM(D_Points!$B$5:$B$204)),8)="_CULVERT")),IF(LEFT(UPPER(TRIM(D_Points!$B$5:$B$204)),2)="EX",1,IF(LEFT(UPPER(TRIM(D_Points!$B$5:$B$204)),2)="PR",2,3))),"")</f>
        <v/>
      </c>
      <c r="S471" s="182" t="str">
        <f>IFERROR(LOOKUP(2,1/((D_Points!$A$5:$A$204&lt;&gt;"")*(D_Points!$A$5:$A$204&gt;=$B471)*(D_Points!$A$5:$A$204&lt;$B471+P_Interval)*(RIGHT(UPPER(TRIM(D_Points!$B$5:$B$204)),7)="_BRIDGE")),IF(LEFT(UPPER(TRIM(D_Points!$B$5:$B$204)),2)="EX",1,IF(LEFT(UPPER(TRIM(D_Points!$B$5:$B$204)),2)="PR",2,2))),"")</f>
        <v/>
      </c>
      <c r="T471" s="181" t="str">
        <f>IFERROR(LOOKUP(2,1/((B_Drainage!$A$5:$A$204&lt;&gt;"")*(B_Drainage!$A$5:$A$204&lt;=$B471)*(B_Drainage!$B$5:$B$204&gt;$B471)*(B_Drainage!$E$5:$E$204&lt;&gt;"")),IF(B_Drainage!$E$5:$E$204="-","",1)),"")</f>
        <v/>
      </c>
      <c r="U471" s="181" t="str">
        <f>IFERROR(LOOKUP(2,1/((B_Drainage!$A$5:$A$204&lt;&gt;"")*(B_Drainage!$A$5:$A$204&lt;=$B471)*(B_Drainage!$B$5:$B$204&gt;$B471)*(B_Drainage!$E$5:$E$204&lt;&gt;"")),IF(B_Drainage!$E$5:$E$204="-","",B_Drainage!$E$5:$E$204)),"")</f>
        <v/>
      </c>
      <c r="V471" s="181" t="str">
        <f>IFERROR(LOOKUP(2,1/((B_Drainage!$A$5:$A$204&lt;&gt;"")*(B_Drainage!$A$5:$A$204&lt;=$B471)*(B_Drainage!$B$5:$B$204&gt;$B471)*(B_Drainage!$F$5:$F$204&lt;&gt;"")),IF(B_Drainage!$F$5:$F$204="-","",1)),"")</f>
        <v/>
      </c>
      <c r="W471" s="181" t="str">
        <f>IFERROR(LOOKUP(2,1/((B_Drainage!$A$5:$A$204&lt;&gt;"")*(B_Drainage!$A$5:$A$204&lt;=$B471)*(B_Drainage!$B$5:$B$204&gt;$B471)*(B_Drainage!$F$5:$F$204&lt;&gt;"")),IF(B_Drainage!$F$5:$F$204="-","",B_Drainage!$F$5:$F$204)),"")</f>
        <v/>
      </c>
      <c r="X471" s="181" t="str">
        <f>IFERROR(LOOKUP(2,1/((B_Drainage!$A$5:$A$204&lt;&gt;"")*(B_Drainage!$A$5:$A$204&lt;=$B471)*(B_Drainage!$B$5:$B$204&gt;$B471)*(B_Drainage!$G$5:$G$204&lt;&gt;"")),IF(UPPER(B_Drainage!$G$5:$G$204)="Y",1,"")),"")</f>
        <v/>
      </c>
      <c r="Y471" s="181" t="str">
        <f>IFERROR(LOOKUP(2,1/((B_Drainage!$A$5:$A$204&lt;&gt;"")*(B_Drainage!$A$5:$A$204&lt;=$B471)*(B_Drainage!$B$5:$B$204&gt;$B471)*(B_Drainage!$H$5:$H$204&lt;&gt;"")),IF(UPPER(B_Drainage!$H$5:$H$204)="Y",1,"")),"")</f>
        <v/>
      </c>
      <c r="Z471" s="181" t="str">
        <f>IFERROR(LOOKUP(2,1/((B_Drainage!$A$5:$A$204&lt;&gt;"")*(B_Drainage!$A$5:$A$204&lt;=$B471)*(B_Drainage!$B$5:$B$204&gt;$B471)*(B_Drainage!$I$5:$I$204&lt;&gt;"")),IF(UPPER(B_Drainage!$I$5:$I$204)="Y",1,"")),"")</f>
        <v/>
      </c>
      <c r="AA471" s="181" t="str">
        <f>IFERROR(LOOKUP(2,1/((B_Drainage!$A$5:$A$204&lt;&gt;"")*(B_Drainage!$A$5:$A$204&lt;=$B471)*(B_Drainage!$B$5:$B$204&gt;$B471)*(B_Drainage!$J$5:$J$204&lt;&gt;"")),IF(UPPER(B_Drainage!$J$5:$J$204)="Y",1,"")),"")</f>
        <v/>
      </c>
      <c r="AB471" s="182" t="str">
        <f>IFERROR(LOOKUP(2,1/((B_Drainage!$A$5:$A$204&lt;&gt;"")*(B_Drainage!$A$5:$A$204&lt;=$B471)*(B_Drainage!$B$5:$B$204&gt;$B471)*(B_Drainage!$K$5:$K$204&lt;&gt;"")),IF(B_Drainage!$K$5:$K$204="-","",B_Drainage!$K$5:$K$204)),"")</f>
        <v/>
      </c>
      <c r="AC471" s="182" t="str">
        <f>IFERROR(LOOKUP(2,1/((B_Drainage!$A$5:$A$204&lt;&gt;"")*(B_Drainage!$A$5:$A$204&lt;=$B471)*(B_Drainage!$B$5:$B$204&gt;$B471)*(B_Drainage!$L$5:$L$204&lt;&gt;"")),IF(B_Drainage!$L$5:$L$204="-","",B_Drainage!$L$5:$L$204)),"")</f>
        <v/>
      </c>
      <c r="AD471" s="182" t="str">
        <f>IFERROR(LOOKUP(2,1/((D_Points!$A$5:$A$204&lt;&gt;"")*(D_Points!$A$5:$A$204&gt;=$B471)*(D_Points!$A$5:$A$204&lt;$B471+P_Interval)*(UPPER(TRIM(D_Points!$B$5:$B$204))="TURNOUT_L")*(D_Points!$H$5:$H$204&lt;&gt;"")),D_Points!$H$5:$H$204),"")</f>
        <v/>
      </c>
      <c r="AE471" s="182" t="str">
        <f>IFERROR(LOOKUP(2,1/((D_Points!$A$5:$A$204&lt;&gt;"")*(D_Points!$A$5:$A$204&gt;=$B471)*(D_Points!$A$5:$A$204&lt;$B471+P_Interval)*(UPPER(TRIM(D_Points!$B$5:$B$204))="TURNOUT_R")*(D_Points!$H$5:$H$204&lt;&gt;"")),D_Points!$H$5:$H$204),"")</f>
        <v/>
      </c>
      <c r="AF471" s="181" t="str">
        <f>IFERROR(LOOKUP(2,1/((B_Drainage!$A$5:$A$204&lt;&gt;"")*(B_Drainage!$A$5:$A$204&lt;=$B471)*(B_Drainage!$B$5:$B$204&gt;$B471)*(B_Drainage!$M$5:$M$204&lt;&gt;"")),IF(UPPER(B_Drainage!$M$5:$M$204)="Y",1,"")),"")</f>
        <v/>
      </c>
      <c r="AG471" s="181" t="str">
        <f>IFERROR(LOOKUP(2,1/((B_Drainage!$A$5:$A$204&lt;&gt;"")*(B_Drainage!$A$5:$A$204&lt;=$B471)*(B_Drainage!$B$5:$B$204&gt;$B471)*(B_Drainage!$N$5:$N$204&lt;&gt;"")),IF(UPPER(B_Drainage!$N$5:$N$204)="Y",1,"")),"")</f>
        <v/>
      </c>
      <c r="AH471" s="181" t="str">
        <f t="shared" si="56"/>
        <v/>
      </c>
      <c r="AI471" s="181" t="str">
        <f t="shared" si="57"/>
        <v/>
      </c>
      <c r="AJ471" s="181" t="str">
        <f t="shared" si="58"/>
        <v/>
      </c>
      <c r="AK471" s="181" t="str">
        <f t="shared" si="59"/>
        <v/>
      </c>
      <c r="AL471" s="181" t="str">
        <f t="shared" si="60"/>
        <v/>
      </c>
      <c r="AM471" s="181" t="str">
        <f t="shared" si="61"/>
        <v/>
      </c>
      <c r="AN471" s="181" t="str">
        <f t="shared" si="62"/>
        <v/>
      </c>
      <c r="AO471" s="192" t="str">
        <f t="shared" si="63"/>
        <v/>
      </c>
      <c r="AQ471" t="str">
        <f>IFERROR(LOOKUP(2,1/((C_Pavement!$A$5:$A$204&lt;&gt;"")*(C_Pavement!$A$5:$A$204&lt;=$B471)*(C_Pavement!$B$5:$B$204&gt;$B471)*(C_Pavement!$C$5:$C$204&lt;&gt;"")),ROW(C_Pavement!$C$5:$C$204)-4),"")</f>
        <v/>
      </c>
      <c r="AR471" t="str">
        <f>IF($AQ471="","",UPPER(TRIM(INDEX(C_Pavement!$C$5:$C$204,$AQ471))))</f>
        <v/>
      </c>
      <c r="AS471" t="str">
        <f>IF($AR471="","",IFERROR(MATCH($AR471,E_Rules!$A$5:$A$9,0),""))</f>
        <v/>
      </c>
      <c r="AT471" t="str">
        <f>IF($AQ471="","",IF(INDEX(C_Pavement!$D$5:$D$204,$AQ471)&lt;&gt;"",UPPER(TRIM(INDEX(C_Pavement!$D$5:$D$204,$AQ471))),IF($AS471="","",INDEX(E_Rules!$C$5:$C$9,$AS471))))</f>
        <v/>
      </c>
      <c r="AU471" t="str">
        <f>IF($AQ471="","",IF(INDEX(C_Pavement!$E$5:$E$204,$AQ471)&lt;&gt;"",IF(INDEX(C_Pavement!$E$5:$E$204,$AQ471)="-","",INDEX(C_Pavement!$E$5:$E$204,$AQ471)),IF($AS471="","",INDEX(E_Rules!$D$5:$D$9,$AS471))))</f>
        <v/>
      </c>
      <c r="AV471" t="str">
        <f>IF($AQ471="","",IF(INDEX(C_Pavement!$F$5:$F$204,$AQ471)&lt;&gt;"",IF(INDEX(C_Pavement!$F$5:$F$204,$AQ471)="-","",INDEX(C_Pavement!$F$5:$F$204,$AQ471)),IF($AS471="","",INDEX(E_Rules!$E$5:$E$9,$AS471))))</f>
        <v/>
      </c>
      <c r="AW471" t="str">
        <f>IF($AQ471="","",IF(INDEX(C_Pavement!$G$5:$G$204,$AQ471)&lt;&gt;"",IF(INDEX(C_Pavement!$G$5:$G$204,$AQ471)="-","",INDEX(C_Pavement!$G$5:$G$204,$AQ471)),IF($AS471="","",INDEX(E_Rules!$F$5:$F$9,$AS471))))</f>
        <v/>
      </c>
      <c r="AX471" t="str">
        <f>IF($AQ471="","",IF(INDEX(C_Pavement!$H$5:$H$204,$AQ471)&lt;&gt;"",IF(INDEX(C_Pavement!$H$5:$H$204,$AQ471)="-","",INDEX(C_Pavement!$H$5:$H$204,$AQ471)),IF($AS471="","",INDEX(E_Rules!$G$5:$G$9,$AS471))))</f>
        <v/>
      </c>
      <c r="AY471" t="str">
        <f>IF($AQ471="","",IF(INDEX(C_Pavement!$I$5:$I$204,$AQ471)&lt;&gt;"",IF(INDEX(C_Pavement!$I$5:$I$204,$AQ471)="-","",INDEX(C_Pavement!$I$5:$I$204,$AQ471)),IF($AS471="","",INDEX(E_Rules!$H$5:$H$9,$AS471))))</f>
        <v/>
      </c>
    </row>
    <row r="472" spans="1:51" ht="15.75" customHeight="1" x14ac:dyDescent="0.3">
      <c r="A472" s="189">
        <v>467</v>
      </c>
      <c r="B472" s="180">
        <v>23300</v>
      </c>
      <c r="C472" s="180" t="s">
        <v>778</v>
      </c>
      <c r="D472" s="181" t="str">
        <f>IFERROR(LOOKUP(2,1/((A_Corridor!$A$5:$A$204&lt;&gt;"")*(A_Corridor!$A$5:$A$204&lt;=$B472)*(A_Corridor!$B$5:$B$204&gt;$B472)*(A_Corridor!$C$5:$C$204&lt;&gt;"")),IF(UPPER(A_Corridor!$C$5:$C$204)="Y",1,"")),"")</f>
        <v/>
      </c>
      <c r="E472" s="181" t="str">
        <f>IFERROR(LOOKUP(2,1/((A_Corridor!$A$5:$A$204&lt;&gt;"")*(A_Corridor!$A$5:$A$204&lt;=$B472)*(A_Corridor!$B$5:$B$204&gt;$B472)*(A_Corridor!$D$5:$D$204&lt;&gt;"")),IF(A_Corridor!$D$5:$D$204="-","",UPPER(A_Corridor!$D$5:$D$204))),"")</f>
        <v/>
      </c>
      <c r="F472" s="181" t="str">
        <f>IFERROR(LOOKUP(2,1/((A_Corridor!$A$5:$A$204&lt;&gt;"")*(A_Corridor!$A$5:$A$204&lt;=$B472)*(A_Corridor!$B$5:$B$204&gt;$B472)*(A_Corridor!$E$5:$E$204&lt;&gt;"")),IF(A_Corridor!$E$5:$E$204="-","",1)),"")</f>
        <v/>
      </c>
      <c r="G472" s="182" t="str">
        <f>IFERROR(LOOKUP(2,1/((A_Corridor!$A$5:$A$204&lt;&gt;"")*(A_Corridor!$A$5:$A$204&lt;=$B472)*(A_Corridor!$B$5:$B$204&gt;$B472)*(A_Corridor!$E$5:$E$204&lt;&gt;"")),IF(A_Corridor!$E$5:$E$204="-","",A_Corridor!$E$5:$E$204)),"")</f>
        <v/>
      </c>
      <c r="H472" s="182" t="str">
        <f>IFERROR(LOOKUP(2,1/((D_Points!$A$5:$A$204&lt;&gt;"")*(D_Points!$A$5:$A$204&gt;=$B472)*(D_Points!$A$5:$A$204&lt;$B472+P_Interval)*(UPPER(TRIM(D_Points!$B$5:$B$204))="GULLY")*(D_Points!$H$5:$H$204&lt;&gt;"")),D_Points!$H$5:$H$204),"")</f>
        <v/>
      </c>
      <c r="I472" s="181" t="str">
        <f>IFERROR(LOOKUP(2,1/((A_Corridor!$A$5:$A$204&lt;&gt;"")*(A_Corridor!$A$5:$A$204&lt;=$B472)*(A_Corridor!$B$5:$B$204&gt;$B472)*(A_Corridor!$F$5:$F$204&lt;&gt;"")),IF(A_Corridor!$F$5:$F$204="-","",1)),"")</f>
        <v/>
      </c>
      <c r="J472" s="182" t="str">
        <f>IFERROR(LOOKUP(2,1/((A_Corridor!$A$5:$A$204&lt;&gt;"")*(A_Corridor!$A$5:$A$204&lt;=$B472)*(A_Corridor!$B$5:$B$204&gt;$B472)*(A_Corridor!$F$5:$F$204&lt;&gt;"")),IF(A_Corridor!$F$5:$F$204="-","",A_Corridor!$F$5:$F$204)),"")</f>
        <v/>
      </c>
      <c r="K472" s="182" t="str">
        <f>IFERROR(LOOKUP(2,1/((A_Corridor!$A$5:$A$204&lt;&gt;"")*(A_Corridor!$A$5:$A$204&lt;=$B472)*(A_Corridor!$B$5:$B$204&gt;$B472)*(A_Corridor!$G$5:$G$204&lt;&gt;"")),IF(A_Corridor!$G$5:$G$204="-","",A_Corridor!$G$5:$G$204)),"")</f>
        <v/>
      </c>
      <c r="L472" s="181" t="str">
        <f>IFERROR(LOOKUP(2,1/((A_Corridor!$A$5:$A$204&lt;&gt;"")*(A_Corridor!$A$5:$A$204&lt;=$B472)*(A_Corridor!$B$5:$B$204&gt;$B472)*(A_Corridor!$H$5:$H$204&lt;&gt;"")),IF(A_Corridor!$H$5:$H$204="-","",1)),"")</f>
        <v/>
      </c>
      <c r="M472" s="182" t="str">
        <f>IFERROR(LOOKUP(2,1/((A_Corridor!$A$5:$A$204&lt;&gt;"")*(A_Corridor!$A$5:$A$204&lt;=$B472)*(A_Corridor!$B$5:$B$204&gt;$B472)*(A_Corridor!$H$5:$H$204&lt;&gt;"")),IF(A_Corridor!$H$5:$H$204="-","",A_Corridor!$H$5:$H$204)),"")</f>
        <v/>
      </c>
      <c r="N472" s="182" t="str">
        <f>IFERROR(LOOKUP(2,1/((A_Corridor!$A$5:$A$204&lt;&gt;"")*(A_Corridor!$A$5:$A$204&lt;=$B472)*(A_Corridor!$B$5:$B$204&gt;$B472)*(A_Corridor!$I$5:$I$204&lt;&gt;"")),IF(A_Corridor!$I$5:$I$204="-","",A_Corridor!$I$5:$I$204)),"")</f>
        <v/>
      </c>
      <c r="O472" s="182" t="str">
        <f>IFERROR(LOOKUP(2,1/((D_Points!$A$5:$A$204&lt;&gt;"")*(D_Points!$A$5:$A$204&gt;=$B472)*(D_Points!$A$5:$A$204&lt;$B472+P_Interval)*(UPPER(TRIM(D_Points!$B$5:$B$204))="PITCHING")*(D_Points!$H$5:$H$204&lt;&gt;"")),D_Points!$H$5:$H$204),"")</f>
        <v/>
      </c>
      <c r="P472" s="181" t="str">
        <f>IFERROR(LOOKUP(2,1/((B_Drainage!$A$5:$A$204&lt;&gt;"")*(B_Drainage!$A$5:$A$204&lt;=$B472)*(B_Drainage!$B$5:$B$204&gt;$B472)*(B_Drainage!$C$5:$C$204&lt;&gt;"")),IF(B_Drainage!$C$5:$C$204="-","",UPPER(B_Drainage!$C$5:$C$204))),"")</f>
        <v/>
      </c>
      <c r="Q472" s="181" t="str">
        <f>IFERROR(LOOKUP(2,1/((B_Drainage!$A$5:$A$204&lt;&gt;"")*(B_Drainage!$A$5:$A$204&lt;=$B472)*(B_Drainage!$B$5:$B$204&gt;$B472)*(B_Drainage!$D$5:$D$204&lt;&gt;"")),IF(B_Drainage!$D$5:$D$204="-","",UPPER(B_Drainage!$D$5:$D$204))),"")</f>
        <v/>
      </c>
      <c r="R472" s="182" t="str">
        <f>IFERROR(LOOKUP(2,1/((D_Points!$A$5:$A$204&lt;&gt;"")*(D_Points!$A$5:$A$204&gt;=$B472)*(D_Points!$A$5:$A$204&lt;$B472+P_Interval)*(RIGHT(UPPER(TRIM(D_Points!$B$5:$B$204)),8)="_CULVERT")),IF(LEFT(UPPER(TRIM(D_Points!$B$5:$B$204)),2)="EX",1,IF(LEFT(UPPER(TRIM(D_Points!$B$5:$B$204)),2)="PR",2,3))),"")</f>
        <v/>
      </c>
      <c r="S472" s="182" t="str">
        <f>IFERROR(LOOKUP(2,1/((D_Points!$A$5:$A$204&lt;&gt;"")*(D_Points!$A$5:$A$204&gt;=$B472)*(D_Points!$A$5:$A$204&lt;$B472+P_Interval)*(RIGHT(UPPER(TRIM(D_Points!$B$5:$B$204)),7)="_BRIDGE")),IF(LEFT(UPPER(TRIM(D_Points!$B$5:$B$204)),2)="EX",1,IF(LEFT(UPPER(TRIM(D_Points!$B$5:$B$204)),2)="PR",2,2))),"")</f>
        <v/>
      </c>
      <c r="T472" s="181" t="str">
        <f>IFERROR(LOOKUP(2,1/((B_Drainage!$A$5:$A$204&lt;&gt;"")*(B_Drainage!$A$5:$A$204&lt;=$B472)*(B_Drainage!$B$5:$B$204&gt;$B472)*(B_Drainage!$E$5:$E$204&lt;&gt;"")),IF(B_Drainage!$E$5:$E$204="-","",1)),"")</f>
        <v/>
      </c>
      <c r="U472" s="181" t="str">
        <f>IFERROR(LOOKUP(2,1/((B_Drainage!$A$5:$A$204&lt;&gt;"")*(B_Drainage!$A$5:$A$204&lt;=$B472)*(B_Drainage!$B$5:$B$204&gt;$B472)*(B_Drainage!$E$5:$E$204&lt;&gt;"")),IF(B_Drainage!$E$5:$E$204="-","",B_Drainage!$E$5:$E$204)),"")</f>
        <v/>
      </c>
      <c r="V472" s="181" t="str">
        <f>IFERROR(LOOKUP(2,1/((B_Drainage!$A$5:$A$204&lt;&gt;"")*(B_Drainage!$A$5:$A$204&lt;=$B472)*(B_Drainage!$B$5:$B$204&gt;$B472)*(B_Drainage!$F$5:$F$204&lt;&gt;"")),IF(B_Drainage!$F$5:$F$204="-","",1)),"")</f>
        <v/>
      </c>
      <c r="W472" s="181" t="str">
        <f>IFERROR(LOOKUP(2,1/((B_Drainage!$A$5:$A$204&lt;&gt;"")*(B_Drainage!$A$5:$A$204&lt;=$B472)*(B_Drainage!$B$5:$B$204&gt;$B472)*(B_Drainage!$F$5:$F$204&lt;&gt;"")),IF(B_Drainage!$F$5:$F$204="-","",B_Drainage!$F$5:$F$204)),"")</f>
        <v/>
      </c>
      <c r="X472" s="181" t="str">
        <f>IFERROR(LOOKUP(2,1/((B_Drainage!$A$5:$A$204&lt;&gt;"")*(B_Drainage!$A$5:$A$204&lt;=$B472)*(B_Drainage!$B$5:$B$204&gt;$B472)*(B_Drainage!$G$5:$G$204&lt;&gt;"")),IF(UPPER(B_Drainage!$G$5:$G$204)="Y",1,"")),"")</f>
        <v/>
      </c>
      <c r="Y472" s="181" t="str">
        <f>IFERROR(LOOKUP(2,1/((B_Drainage!$A$5:$A$204&lt;&gt;"")*(B_Drainage!$A$5:$A$204&lt;=$B472)*(B_Drainage!$B$5:$B$204&gt;$B472)*(B_Drainage!$H$5:$H$204&lt;&gt;"")),IF(UPPER(B_Drainage!$H$5:$H$204)="Y",1,"")),"")</f>
        <v/>
      </c>
      <c r="Z472" s="181" t="str">
        <f>IFERROR(LOOKUP(2,1/((B_Drainage!$A$5:$A$204&lt;&gt;"")*(B_Drainage!$A$5:$A$204&lt;=$B472)*(B_Drainage!$B$5:$B$204&gt;$B472)*(B_Drainage!$I$5:$I$204&lt;&gt;"")),IF(UPPER(B_Drainage!$I$5:$I$204)="Y",1,"")),"")</f>
        <v/>
      </c>
      <c r="AA472" s="181" t="str">
        <f>IFERROR(LOOKUP(2,1/((B_Drainage!$A$5:$A$204&lt;&gt;"")*(B_Drainage!$A$5:$A$204&lt;=$B472)*(B_Drainage!$B$5:$B$204&gt;$B472)*(B_Drainage!$J$5:$J$204&lt;&gt;"")),IF(UPPER(B_Drainage!$J$5:$J$204)="Y",1,"")),"")</f>
        <v/>
      </c>
      <c r="AB472" s="182" t="str">
        <f>IFERROR(LOOKUP(2,1/((B_Drainage!$A$5:$A$204&lt;&gt;"")*(B_Drainage!$A$5:$A$204&lt;=$B472)*(B_Drainage!$B$5:$B$204&gt;$B472)*(B_Drainage!$K$5:$K$204&lt;&gt;"")),IF(B_Drainage!$K$5:$K$204="-","",B_Drainage!$K$5:$K$204)),"")</f>
        <v/>
      </c>
      <c r="AC472" s="182" t="str">
        <f>IFERROR(LOOKUP(2,1/((B_Drainage!$A$5:$A$204&lt;&gt;"")*(B_Drainage!$A$5:$A$204&lt;=$B472)*(B_Drainage!$B$5:$B$204&gt;$B472)*(B_Drainage!$L$5:$L$204&lt;&gt;"")),IF(B_Drainage!$L$5:$L$204="-","",B_Drainage!$L$5:$L$204)),"")</f>
        <v/>
      </c>
      <c r="AD472" s="182" t="str">
        <f>IFERROR(LOOKUP(2,1/((D_Points!$A$5:$A$204&lt;&gt;"")*(D_Points!$A$5:$A$204&gt;=$B472)*(D_Points!$A$5:$A$204&lt;$B472+P_Interval)*(UPPER(TRIM(D_Points!$B$5:$B$204))="TURNOUT_L")*(D_Points!$H$5:$H$204&lt;&gt;"")),D_Points!$H$5:$H$204),"")</f>
        <v/>
      </c>
      <c r="AE472" s="182" t="str">
        <f>IFERROR(LOOKUP(2,1/((D_Points!$A$5:$A$204&lt;&gt;"")*(D_Points!$A$5:$A$204&gt;=$B472)*(D_Points!$A$5:$A$204&lt;$B472+P_Interval)*(UPPER(TRIM(D_Points!$B$5:$B$204))="TURNOUT_R")*(D_Points!$H$5:$H$204&lt;&gt;"")),D_Points!$H$5:$H$204),"")</f>
        <v/>
      </c>
      <c r="AF472" s="181" t="str">
        <f>IFERROR(LOOKUP(2,1/((B_Drainage!$A$5:$A$204&lt;&gt;"")*(B_Drainage!$A$5:$A$204&lt;=$B472)*(B_Drainage!$B$5:$B$204&gt;$B472)*(B_Drainage!$M$5:$M$204&lt;&gt;"")),IF(UPPER(B_Drainage!$M$5:$M$204)="Y",1,"")),"")</f>
        <v/>
      </c>
      <c r="AG472" s="181" t="str">
        <f>IFERROR(LOOKUP(2,1/((B_Drainage!$A$5:$A$204&lt;&gt;"")*(B_Drainage!$A$5:$A$204&lt;=$B472)*(B_Drainage!$B$5:$B$204&gt;$B472)*(B_Drainage!$N$5:$N$204&lt;&gt;"")),IF(UPPER(B_Drainage!$N$5:$N$204)="Y",1,"")),"")</f>
        <v/>
      </c>
      <c r="AH472" s="181" t="str">
        <f t="shared" si="56"/>
        <v/>
      </c>
      <c r="AI472" s="181" t="str">
        <f t="shared" si="57"/>
        <v/>
      </c>
      <c r="AJ472" s="181" t="str">
        <f t="shared" si="58"/>
        <v/>
      </c>
      <c r="AK472" s="181" t="str">
        <f t="shared" si="59"/>
        <v/>
      </c>
      <c r="AL472" s="181" t="str">
        <f t="shared" si="60"/>
        <v/>
      </c>
      <c r="AM472" s="181" t="str">
        <f t="shared" si="61"/>
        <v/>
      </c>
      <c r="AN472" s="181" t="str">
        <f t="shared" si="62"/>
        <v/>
      </c>
      <c r="AO472" s="192" t="str">
        <f t="shared" si="63"/>
        <v/>
      </c>
      <c r="AQ472" t="str">
        <f>IFERROR(LOOKUP(2,1/((C_Pavement!$A$5:$A$204&lt;&gt;"")*(C_Pavement!$A$5:$A$204&lt;=$B472)*(C_Pavement!$B$5:$B$204&gt;$B472)*(C_Pavement!$C$5:$C$204&lt;&gt;"")),ROW(C_Pavement!$C$5:$C$204)-4),"")</f>
        <v/>
      </c>
      <c r="AR472" t="str">
        <f>IF($AQ472="","",UPPER(TRIM(INDEX(C_Pavement!$C$5:$C$204,$AQ472))))</f>
        <v/>
      </c>
      <c r="AS472" t="str">
        <f>IF($AR472="","",IFERROR(MATCH($AR472,E_Rules!$A$5:$A$9,0),""))</f>
        <v/>
      </c>
      <c r="AT472" t="str">
        <f>IF($AQ472="","",IF(INDEX(C_Pavement!$D$5:$D$204,$AQ472)&lt;&gt;"",UPPER(TRIM(INDEX(C_Pavement!$D$5:$D$204,$AQ472))),IF($AS472="","",INDEX(E_Rules!$C$5:$C$9,$AS472))))</f>
        <v/>
      </c>
      <c r="AU472" t="str">
        <f>IF($AQ472="","",IF(INDEX(C_Pavement!$E$5:$E$204,$AQ472)&lt;&gt;"",IF(INDEX(C_Pavement!$E$5:$E$204,$AQ472)="-","",INDEX(C_Pavement!$E$5:$E$204,$AQ472)),IF($AS472="","",INDEX(E_Rules!$D$5:$D$9,$AS472))))</f>
        <v/>
      </c>
      <c r="AV472" t="str">
        <f>IF($AQ472="","",IF(INDEX(C_Pavement!$F$5:$F$204,$AQ472)&lt;&gt;"",IF(INDEX(C_Pavement!$F$5:$F$204,$AQ472)="-","",INDEX(C_Pavement!$F$5:$F$204,$AQ472)),IF($AS472="","",INDEX(E_Rules!$E$5:$E$9,$AS472))))</f>
        <v/>
      </c>
      <c r="AW472" t="str">
        <f>IF($AQ472="","",IF(INDEX(C_Pavement!$G$5:$G$204,$AQ472)&lt;&gt;"",IF(INDEX(C_Pavement!$G$5:$G$204,$AQ472)="-","",INDEX(C_Pavement!$G$5:$G$204,$AQ472)),IF($AS472="","",INDEX(E_Rules!$F$5:$F$9,$AS472))))</f>
        <v/>
      </c>
      <c r="AX472" t="str">
        <f>IF($AQ472="","",IF(INDEX(C_Pavement!$H$5:$H$204,$AQ472)&lt;&gt;"",IF(INDEX(C_Pavement!$H$5:$H$204,$AQ472)="-","",INDEX(C_Pavement!$H$5:$H$204,$AQ472)),IF($AS472="","",INDEX(E_Rules!$G$5:$G$9,$AS472))))</f>
        <v/>
      </c>
      <c r="AY472" t="str">
        <f>IF($AQ472="","",IF(INDEX(C_Pavement!$I$5:$I$204,$AQ472)&lt;&gt;"",IF(INDEX(C_Pavement!$I$5:$I$204,$AQ472)="-","",INDEX(C_Pavement!$I$5:$I$204,$AQ472)),IF($AS472="","",INDEX(E_Rules!$H$5:$H$9,$AS472))))</f>
        <v/>
      </c>
    </row>
    <row r="473" spans="1:51" ht="15.75" customHeight="1" x14ac:dyDescent="0.3">
      <c r="A473" s="189">
        <v>468</v>
      </c>
      <c r="B473" s="180">
        <v>23350</v>
      </c>
      <c r="C473" s="180" t="s">
        <v>779</v>
      </c>
      <c r="D473" s="181" t="str">
        <f>IFERROR(LOOKUP(2,1/((A_Corridor!$A$5:$A$204&lt;&gt;"")*(A_Corridor!$A$5:$A$204&lt;=$B473)*(A_Corridor!$B$5:$B$204&gt;$B473)*(A_Corridor!$C$5:$C$204&lt;&gt;"")),IF(UPPER(A_Corridor!$C$5:$C$204)="Y",1,"")),"")</f>
        <v/>
      </c>
      <c r="E473" s="181" t="str">
        <f>IFERROR(LOOKUP(2,1/((A_Corridor!$A$5:$A$204&lt;&gt;"")*(A_Corridor!$A$5:$A$204&lt;=$B473)*(A_Corridor!$B$5:$B$204&gt;$B473)*(A_Corridor!$D$5:$D$204&lt;&gt;"")),IF(A_Corridor!$D$5:$D$204="-","",UPPER(A_Corridor!$D$5:$D$204))),"")</f>
        <v/>
      </c>
      <c r="F473" s="181" t="str">
        <f>IFERROR(LOOKUP(2,1/((A_Corridor!$A$5:$A$204&lt;&gt;"")*(A_Corridor!$A$5:$A$204&lt;=$B473)*(A_Corridor!$B$5:$B$204&gt;$B473)*(A_Corridor!$E$5:$E$204&lt;&gt;"")),IF(A_Corridor!$E$5:$E$204="-","",1)),"")</f>
        <v/>
      </c>
      <c r="G473" s="182" t="str">
        <f>IFERROR(LOOKUP(2,1/((A_Corridor!$A$5:$A$204&lt;&gt;"")*(A_Corridor!$A$5:$A$204&lt;=$B473)*(A_Corridor!$B$5:$B$204&gt;$B473)*(A_Corridor!$E$5:$E$204&lt;&gt;"")),IF(A_Corridor!$E$5:$E$204="-","",A_Corridor!$E$5:$E$204)),"")</f>
        <v/>
      </c>
      <c r="H473" s="182" t="str">
        <f>IFERROR(LOOKUP(2,1/((D_Points!$A$5:$A$204&lt;&gt;"")*(D_Points!$A$5:$A$204&gt;=$B473)*(D_Points!$A$5:$A$204&lt;$B473+P_Interval)*(UPPER(TRIM(D_Points!$B$5:$B$204))="GULLY")*(D_Points!$H$5:$H$204&lt;&gt;"")),D_Points!$H$5:$H$204),"")</f>
        <v/>
      </c>
      <c r="I473" s="181" t="str">
        <f>IFERROR(LOOKUP(2,1/((A_Corridor!$A$5:$A$204&lt;&gt;"")*(A_Corridor!$A$5:$A$204&lt;=$B473)*(A_Corridor!$B$5:$B$204&gt;$B473)*(A_Corridor!$F$5:$F$204&lt;&gt;"")),IF(A_Corridor!$F$5:$F$204="-","",1)),"")</f>
        <v/>
      </c>
      <c r="J473" s="182" t="str">
        <f>IFERROR(LOOKUP(2,1/((A_Corridor!$A$5:$A$204&lt;&gt;"")*(A_Corridor!$A$5:$A$204&lt;=$B473)*(A_Corridor!$B$5:$B$204&gt;$B473)*(A_Corridor!$F$5:$F$204&lt;&gt;"")),IF(A_Corridor!$F$5:$F$204="-","",A_Corridor!$F$5:$F$204)),"")</f>
        <v/>
      </c>
      <c r="K473" s="182" t="str">
        <f>IFERROR(LOOKUP(2,1/((A_Corridor!$A$5:$A$204&lt;&gt;"")*(A_Corridor!$A$5:$A$204&lt;=$B473)*(A_Corridor!$B$5:$B$204&gt;$B473)*(A_Corridor!$G$5:$G$204&lt;&gt;"")),IF(A_Corridor!$G$5:$G$204="-","",A_Corridor!$G$5:$G$204)),"")</f>
        <v/>
      </c>
      <c r="L473" s="181" t="str">
        <f>IFERROR(LOOKUP(2,1/((A_Corridor!$A$5:$A$204&lt;&gt;"")*(A_Corridor!$A$5:$A$204&lt;=$B473)*(A_Corridor!$B$5:$B$204&gt;$B473)*(A_Corridor!$H$5:$H$204&lt;&gt;"")),IF(A_Corridor!$H$5:$H$204="-","",1)),"")</f>
        <v/>
      </c>
      <c r="M473" s="182" t="str">
        <f>IFERROR(LOOKUP(2,1/((A_Corridor!$A$5:$A$204&lt;&gt;"")*(A_Corridor!$A$5:$A$204&lt;=$B473)*(A_Corridor!$B$5:$B$204&gt;$B473)*(A_Corridor!$H$5:$H$204&lt;&gt;"")),IF(A_Corridor!$H$5:$H$204="-","",A_Corridor!$H$5:$H$204)),"")</f>
        <v/>
      </c>
      <c r="N473" s="182" t="str">
        <f>IFERROR(LOOKUP(2,1/((A_Corridor!$A$5:$A$204&lt;&gt;"")*(A_Corridor!$A$5:$A$204&lt;=$B473)*(A_Corridor!$B$5:$B$204&gt;$B473)*(A_Corridor!$I$5:$I$204&lt;&gt;"")),IF(A_Corridor!$I$5:$I$204="-","",A_Corridor!$I$5:$I$204)),"")</f>
        <v/>
      </c>
      <c r="O473" s="182" t="str">
        <f>IFERROR(LOOKUP(2,1/((D_Points!$A$5:$A$204&lt;&gt;"")*(D_Points!$A$5:$A$204&gt;=$B473)*(D_Points!$A$5:$A$204&lt;$B473+P_Interval)*(UPPER(TRIM(D_Points!$B$5:$B$204))="PITCHING")*(D_Points!$H$5:$H$204&lt;&gt;"")),D_Points!$H$5:$H$204),"")</f>
        <v/>
      </c>
      <c r="P473" s="181" t="str">
        <f>IFERROR(LOOKUP(2,1/((B_Drainage!$A$5:$A$204&lt;&gt;"")*(B_Drainage!$A$5:$A$204&lt;=$B473)*(B_Drainage!$B$5:$B$204&gt;$B473)*(B_Drainage!$C$5:$C$204&lt;&gt;"")),IF(B_Drainage!$C$5:$C$204="-","",UPPER(B_Drainage!$C$5:$C$204))),"")</f>
        <v/>
      </c>
      <c r="Q473" s="181" t="str">
        <f>IFERROR(LOOKUP(2,1/((B_Drainage!$A$5:$A$204&lt;&gt;"")*(B_Drainage!$A$5:$A$204&lt;=$B473)*(B_Drainage!$B$5:$B$204&gt;$B473)*(B_Drainage!$D$5:$D$204&lt;&gt;"")),IF(B_Drainage!$D$5:$D$204="-","",UPPER(B_Drainage!$D$5:$D$204))),"")</f>
        <v/>
      </c>
      <c r="R473" s="182" t="str">
        <f>IFERROR(LOOKUP(2,1/((D_Points!$A$5:$A$204&lt;&gt;"")*(D_Points!$A$5:$A$204&gt;=$B473)*(D_Points!$A$5:$A$204&lt;$B473+P_Interval)*(RIGHT(UPPER(TRIM(D_Points!$B$5:$B$204)),8)="_CULVERT")),IF(LEFT(UPPER(TRIM(D_Points!$B$5:$B$204)),2)="EX",1,IF(LEFT(UPPER(TRIM(D_Points!$B$5:$B$204)),2)="PR",2,3))),"")</f>
        <v/>
      </c>
      <c r="S473" s="182" t="str">
        <f>IFERROR(LOOKUP(2,1/((D_Points!$A$5:$A$204&lt;&gt;"")*(D_Points!$A$5:$A$204&gt;=$B473)*(D_Points!$A$5:$A$204&lt;$B473+P_Interval)*(RIGHT(UPPER(TRIM(D_Points!$B$5:$B$204)),7)="_BRIDGE")),IF(LEFT(UPPER(TRIM(D_Points!$B$5:$B$204)),2)="EX",1,IF(LEFT(UPPER(TRIM(D_Points!$B$5:$B$204)),2)="PR",2,2))),"")</f>
        <v/>
      </c>
      <c r="T473" s="181" t="str">
        <f>IFERROR(LOOKUP(2,1/((B_Drainage!$A$5:$A$204&lt;&gt;"")*(B_Drainage!$A$5:$A$204&lt;=$B473)*(B_Drainage!$B$5:$B$204&gt;$B473)*(B_Drainage!$E$5:$E$204&lt;&gt;"")),IF(B_Drainage!$E$5:$E$204="-","",1)),"")</f>
        <v/>
      </c>
      <c r="U473" s="181" t="str">
        <f>IFERROR(LOOKUP(2,1/((B_Drainage!$A$5:$A$204&lt;&gt;"")*(B_Drainage!$A$5:$A$204&lt;=$B473)*(B_Drainage!$B$5:$B$204&gt;$B473)*(B_Drainage!$E$5:$E$204&lt;&gt;"")),IF(B_Drainage!$E$5:$E$204="-","",B_Drainage!$E$5:$E$204)),"")</f>
        <v/>
      </c>
      <c r="V473" s="181" t="str">
        <f>IFERROR(LOOKUP(2,1/((B_Drainage!$A$5:$A$204&lt;&gt;"")*(B_Drainage!$A$5:$A$204&lt;=$B473)*(B_Drainage!$B$5:$B$204&gt;$B473)*(B_Drainage!$F$5:$F$204&lt;&gt;"")),IF(B_Drainage!$F$5:$F$204="-","",1)),"")</f>
        <v/>
      </c>
      <c r="W473" s="181" t="str">
        <f>IFERROR(LOOKUP(2,1/((B_Drainage!$A$5:$A$204&lt;&gt;"")*(B_Drainage!$A$5:$A$204&lt;=$B473)*(B_Drainage!$B$5:$B$204&gt;$B473)*(B_Drainage!$F$5:$F$204&lt;&gt;"")),IF(B_Drainage!$F$5:$F$204="-","",B_Drainage!$F$5:$F$204)),"")</f>
        <v/>
      </c>
      <c r="X473" s="181" t="str">
        <f>IFERROR(LOOKUP(2,1/((B_Drainage!$A$5:$A$204&lt;&gt;"")*(B_Drainage!$A$5:$A$204&lt;=$B473)*(B_Drainage!$B$5:$B$204&gt;$B473)*(B_Drainage!$G$5:$G$204&lt;&gt;"")),IF(UPPER(B_Drainage!$G$5:$G$204)="Y",1,"")),"")</f>
        <v/>
      </c>
      <c r="Y473" s="181" t="str">
        <f>IFERROR(LOOKUP(2,1/((B_Drainage!$A$5:$A$204&lt;&gt;"")*(B_Drainage!$A$5:$A$204&lt;=$B473)*(B_Drainage!$B$5:$B$204&gt;$B473)*(B_Drainage!$H$5:$H$204&lt;&gt;"")),IF(UPPER(B_Drainage!$H$5:$H$204)="Y",1,"")),"")</f>
        <v/>
      </c>
      <c r="Z473" s="181" t="str">
        <f>IFERROR(LOOKUP(2,1/((B_Drainage!$A$5:$A$204&lt;&gt;"")*(B_Drainage!$A$5:$A$204&lt;=$B473)*(B_Drainage!$B$5:$B$204&gt;$B473)*(B_Drainage!$I$5:$I$204&lt;&gt;"")),IF(UPPER(B_Drainage!$I$5:$I$204)="Y",1,"")),"")</f>
        <v/>
      </c>
      <c r="AA473" s="181" t="str">
        <f>IFERROR(LOOKUP(2,1/((B_Drainage!$A$5:$A$204&lt;&gt;"")*(B_Drainage!$A$5:$A$204&lt;=$B473)*(B_Drainage!$B$5:$B$204&gt;$B473)*(B_Drainage!$J$5:$J$204&lt;&gt;"")),IF(UPPER(B_Drainage!$J$5:$J$204)="Y",1,"")),"")</f>
        <v/>
      </c>
      <c r="AB473" s="182" t="str">
        <f>IFERROR(LOOKUP(2,1/((B_Drainage!$A$5:$A$204&lt;&gt;"")*(B_Drainage!$A$5:$A$204&lt;=$B473)*(B_Drainage!$B$5:$B$204&gt;$B473)*(B_Drainage!$K$5:$K$204&lt;&gt;"")),IF(B_Drainage!$K$5:$K$204="-","",B_Drainage!$K$5:$K$204)),"")</f>
        <v/>
      </c>
      <c r="AC473" s="182" t="str">
        <f>IFERROR(LOOKUP(2,1/((B_Drainage!$A$5:$A$204&lt;&gt;"")*(B_Drainage!$A$5:$A$204&lt;=$B473)*(B_Drainage!$B$5:$B$204&gt;$B473)*(B_Drainage!$L$5:$L$204&lt;&gt;"")),IF(B_Drainage!$L$5:$L$204="-","",B_Drainage!$L$5:$L$204)),"")</f>
        <v/>
      </c>
      <c r="AD473" s="182" t="str">
        <f>IFERROR(LOOKUP(2,1/((D_Points!$A$5:$A$204&lt;&gt;"")*(D_Points!$A$5:$A$204&gt;=$B473)*(D_Points!$A$5:$A$204&lt;$B473+P_Interval)*(UPPER(TRIM(D_Points!$B$5:$B$204))="TURNOUT_L")*(D_Points!$H$5:$H$204&lt;&gt;"")),D_Points!$H$5:$H$204),"")</f>
        <v/>
      </c>
      <c r="AE473" s="182" t="str">
        <f>IFERROR(LOOKUP(2,1/((D_Points!$A$5:$A$204&lt;&gt;"")*(D_Points!$A$5:$A$204&gt;=$B473)*(D_Points!$A$5:$A$204&lt;$B473+P_Interval)*(UPPER(TRIM(D_Points!$B$5:$B$204))="TURNOUT_R")*(D_Points!$H$5:$H$204&lt;&gt;"")),D_Points!$H$5:$H$204),"")</f>
        <v/>
      </c>
      <c r="AF473" s="181" t="str">
        <f>IFERROR(LOOKUP(2,1/((B_Drainage!$A$5:$A$204&lt;&gt;"")*(B_Drainage!$A$5:$A$204&lt;=$B473)*(B_Drainage!$B$5:$B$204&gt;$B473)*(B_Drainage!$M$5:$M$204&lt;&gt;"")),IF(UPPER(B_Drainage!$M$5:$M$204)="Y",1,"")),"")</f>
        <v/>
      </c>
      <c r="AG473" s="181" t="str">
        <f>IFERROR(LOOKUP(2,1/((B_Drainage!$A$5:$A$204&lt;&gt;"")*(B_Drainage!$A$5:$A$204&lt;=$B473)*(B_Drainage!$B$5:$B$204&gt;$B473)*(B_Drainage!$N$5:$N$204&lt;&gt;"")),IF(UPPER(B_Drainage!$N$5:$N$204)="Y",1,"")),"")</f>
        <v/>
      </c>
      <c r="AH473" s="181" t="str">
        <f t="shared" si="56"/>
        <v/>
      </c>
      <c r="AI473" s="181" t="str">
        <f t="shared" si="57"/>
        <v/>
      </c>
      <c r="AJ473" s="181" t="str">
        <f t="shared" si="58"/>
        <v/>
      </c>
      <c r="AK473" s="181" t="str">
        <f t="shared" si="59"/>
        <v/>
      </c>
      <c r="AL473" s="181" t="str">
        <f t="shared" si="60"/>
        <v/>
      </c>
      <c r="AM473" s="181" t="str">
        <f t="shared" si="61"/>
        <v/>
      </c>
      <c r="AN473" s="181" t="str">
        <f t="shared" si="62"/>
        <v/>
      </c>
      <c r="AO473" s="192" t="str">
        <f t="shared" si="63"/>
        <v/>
      </c>
      <c r="AQ473" t="str">
        <f>IFERROR(LOOKUP(2,1/((C_Pavement!$A$5:$A$204&lt;&gt;"")*(C_Pavement!$A$5:$A$204&lt;=$B473)*(C_Pavement!$B$5:$B$204&gt;$B473)*(C_Pavement!$C$5:$C$204&lt;&gt;"")),ROW(C_Pavement!$C$5:$C$204)-4),"")</f>
        <v/>
      </c>
      <c r="AR473" t="str">
        <f>IF($AQ473="","",UPPER(TRIM(INDEX(C_Pavement!$C$5:$C$204,$AQ473))))</f>
        <v/>
      </c>
      <c r="AS473" t="str">
        <f>IF($AR473="","",IFERROR(MATCH($AR473,E_Rules!$A$5:$A$9,0),""))</f>
        <v/>
      </c>
      <c r="AT473" t="str">
        <f>IF($AQ473="","",IF(INDEX(C_Pavement!$D$5:$D$204,$AQ473)&lt;&gt;"",UPPER(TRIM(INDEX(C_Pavement!$D$5:$D$204,$AQ473))),IF($AS473="","",INDEX(E_Rules!$C$5:$C$9,$AS473))))</f>
        <v/>
      </c>
      <c r="AU473" t="str">
        <f>IF($AQ473="","",IF(INDEX(C_Pavement!$E$5:$E$204,$AQ473)&lt;&gt;"",IF(INDEX(C_Pavement!$E$5:$E$204,$AQ473)="-","",INDEX(C_Pavement!$E$5:$E$204,$AQ473)),IF($AS473="","",INDEX(E_Rules!$D$5:$D$9,$AS473))))</f>
        <v/>
      </c>
      <c r="AV473" t="str">
        <f>IF($AQ473="","",IF(INDEX(C_Pavement!$F$5:$F$204,$AQ473)&lt;&gt;"",IF(INDEX(C_Pavement!$F$5:$F$204,$AQ473)="-","",INDEX(C_Pavement!$F$5:$F$204,$AQ473)),IF($AS473="","",INDEX(E_Rules!$E$5:$E$9,$AS473))))</f>
        <v/>
      </c>
      <c r="AW473" t="str">
        <f>IF($AQ473="","",IF(INDEX(C_Pavement!$G$5:$G$204,$AQ473)&lt;&gt;"",IF(INDEX(C_Pavement!$G$5:$G$204,$AQ473)="-","",INDEX(C_Pavement!$G$5:$G$204,$AQ473)),IF($AS473="","",INDEX(E_Rules!$F$5:$F$9,$AS473))))</f>
        <v/>
      </c>
      <c r="AX473" t="str">
        <f>IF($AQ473="","",IF(INDEX(C_Pavement!$H$5:$H$204,$AQ473)&lt;&gt;"",IF(INDEX(C_Pavement!$H$5:$H$204,$AQ473)="-","",INDEX(C_Pavement!$H$5:$H$204,$AQ473)),IF($AS473="","",INDEX(E_Rules!$G$5:$G$9,$AS473))))</f>
        <v/>
      </c>
      <c r="AY473" t="str">
        <f>IF($AQ473="","",IF(INDEX(C_Pavement!$I$5:$I$204,$AQ473)&lt;&gt;"",IF(INDEX(C_Pavement!$I$5:$I$204,$AQ473)="-","",INDEX(C_Pavement!$I$5:$I$204,$AQ473)),IF($AS473="","",INDEX(E_Rules!$H$5:$H$9,$AS473))))</f>
        <v/>
      </c>
    </row>
    <row r="474" spans="1:51" ht="15.75" customHeight="1" x14ac:dyDescent="0.3">
      <c r="A474" s="189">
        <v>469</v>
      </c>
      <c r="B474" s="180">
        <v>23400</v>
      </c>
      <c r="C474" s="180" t="s">
        <v>780</v>
      </c>
      <c r="D474" s="181" t="str">
        <f>IFERROR(LOOKUP(2,1/((A_Corridor!$A$5:$A$204&lt;&gt;"")*(A_Corridor!$A$5:$A$204&lt;=$B474)*(A_Corridor!$B$5:$B$204&gt;$B474)*(A_Corridor!$C$5:$C$204&lt;&gt;"")),IF(UPPER(A_Corridor!$C$5:$C$204)="Y",1,"")),"")</f>
        <v/>
      </c>
      <c r="E474" s="181" t="str">
        <f>IFERROR(LOOKUP(2,1/((A_Corridor!$A$5:$A$204&lt;&gt;"")*(A_Corridor!$A$5:$A$204&lt;=$B474)*(A_Corridor!$B$5:$B$204&gt;$B474)*(A_Corridor!$D$5:$D$204&lt;&gt;"")),IF(A_Corridor!$D$5:$D$204="-","",UPPER(A_Corridor!$D$5:$D$204))),"")</f>
        <v/>
      </c>
      <c r="F474" s="181" t="str">
        <f>IFERROR(LOOKUP(2,1/((A_Corridor!$A$5:$A$204&lt;&gt;"")*(A_Corridor!$A$5:$A$204&lt;=$B474)*(A_Corridor!$B$5:$B$204&gt;$B474)*(A_Corridor!$E$5:$E$204&lt;&gt;"")),IF(A_Corridor!$E$5:$E$204="-","",1)),"")</f>
        <v/>
      </c>
      <c r="G474" s="182" t="str">
        <f>IFERROR(LOOKUP(2,1/((A_Corridor!$A$5:$A$204&lt;&gt;"")*(A_Corridor!$A$5:$A$204&lt;=$B474)*(A_Corridor!$B$5:$B$204&gt;$B474)*(A_Corridor!$E$5:$E$204&lt;&gt;"")),IF(A_Corridor!$E$5:$E$204="-","",A_Corridor!$E$5:$E$204)),"")</f>
        <v/>
      </c>
      <c r="H474" s="182" t="str">
        <f>IFERROR(LOOKUP(2,1/((D_Points!$A$5:$A$204&lt;&gt;"")*(D_Points!$A$5:$A$204&gt;=$B474)*(D_Points!$A$5:$A$204&lt;$B474+P_Interval)*(UPPER(TRIM(D_Points!$B$5:$B$204))="GULLY")*(D_Points!$H$5:$H$204&lt;&gt;"")),D_Points!$H$5:$H$204),"")</f>
        <v/>
      </c>
      <c r="I474" s="181" t="str">
        <f>IFERROR(LOOKUP(2,1/((A_Corridor!$A$5:$A$204&lt;&gt;"")*(A_Corridor!$A$5:$A$204&lt;=$B474)*(A_Corridor!$B$5:$B$204&gt;$B474)*(A_Corridor!$F$5:$F$204&lt;&gt;"")),IF(A_Corridor!$F$5:$F$204="-","",1)),"")</f>
        <v/>
      </c>
      <c r="J474" s="182" t="str">
        <f>IFERROR(LOOKUP(2,1/((A_Corridor!$A$5:$A$204&lt;&gt;"")*(A_Corridor!$A$5:$A$204&lt;=$B474)*(A_Corridor!$B$5:$B$204&gt;$B474)*(A_Corridor!$F$5:$F$204&lt;&gt;"")),IF(A_Corridor!$F$5:$F$204="-","",A_Corridor!$F$5:$F$204)),"")</f>
        <v/>
      </c>
      <c r="K474" s="182" t="str">
        <f>IFERROR(LOOKUP(2,1/((A_Corridor!$A$5:$A$204&lt;&gt;"")*(A_Corridor!$A$5:$A$204&lt;=$B474)*(A_Corridor!$B$5:$B$204&gt;$B474)*(A_Corridor!$G$5:$G$204&lt;&gt;"")),IF(A_Corridor!$G$5:$G$204="-","",A_Corridor!$G$5:$G$204)),"")</f>
        <v/>
      </c>
      <c r="L474" s="181" t="str">
        <f>IFERROR(LOOKUP(2,1/((A_Corridor!$A$5:$A$204&lt;&gt;"")*(A_Corridor!$A$5:$A$204&lt;=$B474)*(A_Corridor!$B$5:$B$204&gt;$B474)*(A_Corridor!$H$5:$H$204&lt;&gt;"")),IF(A_Corridor!$H$5:$H$204="-","",1)),"")</f>
        <v/>
      </c>
      <c r="M474" s="182" t="str">
        <f>IFERROR(LOOKUP(2,1/((A_Corridor!$A$5:$A$204&lt;&gt;"")*(A_Corridor!$A$5:$A$204&lt;=$B474)*(A_Corridor!$B$5:$B$204&gt;$B474)*(A_Corridor!$H$5:$H$204&lt;&gt;"")),IF(A_Corridor!$H$5:$H$204="-","",A_Corridor!$H$5:$H$204)),"")</f>
        <v/>
      </c>
      <c r="N474" s="182" t="str">
        <f>IFERROR(LOOKUP(2,1/((A_Corridor!$A$5:$A$204&lt;&gt;"")*(A_Corridor!$A$5:$A$204&lt;=$B474)*(A_Corridor!$B$5:$B$204&gt;$B474)*(A_Corridor!$I$5:$I$204&lt;&gt;"")),IF(A_Corridor!$I$5:$I$204="-","",A_Corridor!$I$5:$I$204)),"")</f>
        <v/>
      </c>
      <c r="O474" s="182" t="str">
        <f>IFERROR(LOOKUP(2,1/((D_Points!$A$5:$A$204&lt;&gt;"")*(D_Points!$A$5:$A$204&gt;=$B474)*(D_Points!$A$5:$A$204&lt;$B474+P_Interval)*(UPPER(TRIM(D_Points!$B$5:$B$204))="PITCHING")*(D_Points!$H$5:$H$204&lt;&gt;"")),D_Points!$H$5:$H$204),"")</f>
        <v/>
      </c>
      <c r="P474" s="181" t="str">
        <f>IFERROR(LOOKUP(2,1/((B_Drainage!$A$5:$A$204&lt;&gt;"")*(B_Drainage!$A$5:$A$204&lt;=$B474)*(B_Drainage!$B$5:$B$204&gt;$B474)*(B_Drainage!$C$5:$C$204&lt;&gt;"")),IF(B_Drainage!$C$5:$C$204="-","",UPPER(B_Drainage!$C$5:$C$204))),"")</f>
        <v/>
      </c>
      <c r="Q474" s="181" t="str">
        <f>IFERROR(LOOKUP(2,1/((B_Drainage!$A$5:$A$204&lt;&gt;"")*(B_Drainage!$A$5:$A$204&lt;=$B474)*(B_Drainage!$B$5:$B$204&gt;$B474)*(B_Drainage!$D$5:$D$204&lt;&gt;"")),IF(B_Drainage!$D$5:$D$204="-","",UPPER(B_Drainage!$D$5:$D$204))),"")</f>
        <v/>
      </c>
      <c r="R474" s="182" t="str">
        <f>IFERROR(LOOKUP(2,1/((D_Points!$A$5:$A$204&lt;&gt;"")*(D_Points!$A$5:$A$204&gt;=$B474)*(D_Points!$A$5:$A$204&lt;$B474+P_Interval)*(RIGHT(UPPER(TRIM(D_Points!$B$5:$B$204)),8)="_CULVERT")),IF(LEFT(UPPER(TRIM(D_Points!$B$5:$B$204)),2)="EX",1,IF(LEFT(UPPER(TRIM(D_Points!$B$5:$B$204)),2)="PR",2,3))),"")</f>
        <v/>
      </c>
      <c r="S474" s="182" t="str">
        <f>IFERROR(LOOKUP(2,1/((D_Points!$A$5:$A$204&lt;&gt;"")*(D_Points!$A$5:$A$204&gt;=$B474)*(D_Points!$A$5:$A$204&lt;$B474+P_Interval)*(RIGHT(UPPER(TRIM(D_Points!$B$5:$B$204)),7)="_BRIDGE")),IF(LEFT(UPPER(TRIM(D_Points!$B$5:$B$204)),2)="EX",1,IF(LEFT(UPPER(TRIM(D_Points!$B$5:$B$204)),2)="PR",2,2))),"")</f>
        <v/>
      </c>
      <c r="T474" s="181" t="str">
        <f>IFERROR(LOOKUP(2,1/((B_Drainage!$A$5:$A$204&lt;&gt;"")*(B_Drainage!$A$5:$A$204&lt;=$B474)*(B_Drainage!$B$5:$B$204&gt;$B474)*(B_Drainage!$E$5:$E$204&lt;&gt;"")),IF(B_Drainage!$E$5:$E$204="-","",1)),"")</f>
        <v/>
      </c>
      <c r="U474" s="181" t="str">
        <f>IFERROR(LOOKUP(2,1/((B_Drainage!$A$5:$A$204&lt;&gt;"")*(B_Drainage!$A$5:$A$204&lt;=$B474)*(B_Drainage!$B$5:$B$204&gt;$B474)*(B_Drainage!$E$5:$E$204&lt;&gt;"")),IF(B_Drainage!$E$5:$E$204="-","",B_Drainage!$E$5:$E$204)),"")</f>
        <v/>
      </c>
      <c r="V474" s="181" t="str">
        <f>IFERROR(LOOKUP(2,1/((B_Drainage!$A$5:$A$204&lt;&gt;"")*(B_Drainage!$A$5:$A$204&lt;=$B474)*(B_Drainage!$B$5:$B$204&gt;$B474)*(B_Drainage!$F$5:$F$204&lt;&gt;"")),IF(B_Drainage!$F$5:$F$204="-","",1)),"")</f>
        <v/>
      </c>
      <c r="W474" s="181" t="str">
        <f>IFERROR(LOOKUP(2,1/((B_Drainage!$A$5:$A$204&lt;&gt;"")*(B_Drainage!$A$5:$A$204&lt;=$B474)*(B_Drainage!$B$5:$B$204&gt;$B474)*(B_Drainage!$F$5:$F$204&lt;&gt;"")),IF(B_Drainage!$F$5:$F$204="-","",B_Drainage!$F$5:$F$204)),"")</f>
        <v/>
      </c>
      <c r="X474" s="181" t="str">
        <f>IFERROR(LOOKUP(2,1/((B_Drainage!$A$5:$A$204&lt;&gt;"")*(B_Drainage!$A$5:$A$204&lt;=$B474)*(B_Drainage!$B$5:$B$204&gt;$B474)*(B_Drainage!$G$5:$G$204&lt;&gt;"")),IF(UPPER(B_Drainage!$G$5:$G$204)="Y",1,"")),"")</f>
        <v/>
      </c>
      <c r="Y474" s="181" t="str">
        <f>IFERROR(LOOKUP(2,1/((B_Drainage!$A$5:$A$204&lt;&gt;"")*(B_Drainage!$A$5:$A$204&lt;=$B474)*(B_Drainage!$B$5:$B$204&gt;$B474)*(B_Drainage!$H$5:$H$204&lt;&gt;"")),IF(UPPER(B_Drainage!$H$5:$H$204)="Y",1,"")),"")</f>
        <v/>
      </c>
      <c r="Z474" s="181" t="str">
        <f>IFERROR(LOOKUP(2,1/((B_Drainage!$A$5:$A$204&lt;&gt;"")*(B_Drainage!$A$5:$A$204&lt;=$B474)*(B_Drainage!$B$5:$B$204&gt;$B474)*(B_Drainage!$I$5:$I$204&lt;&gt;"")),IF(UPPER(B_Drainage!$I$5:$I$204)="Y",1,"")),"")</f>
        <v/>
      </c>
      <c r="AA474" s="181" t="str">
        <f>IFERROR(LOOKUP(2,1/((B_Drainage!$A$5:$A$204&lt;&gt;"")*(B_Drainage!$A$5:$A$204&lt;=$B474)*(B_Drainage!$B$5:$B$204&gt;$B474)*(B_Drainage!$J$5:$J$204&lt;&gt;"")),IF(UPPER(B_Drainage!$J$5:$J$204)="Y",1,"")),"")</f>
        <v/>
      </c>
      <c r="AB474" s="182" t="str">
        <f>IFERROR(LOOKUP(2,1/((B_Drainage!$A$5:$A$204&lt;&gt;"")*(B_Drainage!$A$5:$A$204&lt;=$B474)*(B_Drainage!$B$5:$B$204&gt;$B474)*(B_Drainage!$K$5:$K$204&lt;&gt;"")),IF(B_Drainage!$K$5:$K$204="-","",B_Drainage!$K$5:$K$204)),"")</f>
        <v/>
      </c>
      <c r="AC474" s="182" t="str">
        <f>IFERROR(LOOKUP(2,1/((B_Drainage!$A$5:$A$204&lt;&gt;"")*(B_Drainage!$A$5:$A$204&lt;=$B474)*(B_Drainage!$B$5:$B$204&gt;$B474)*(B_Drainage!$L$5:$L$204&lt;&gt;"")),IF(B_Drainage!$L$5:$L$204="-","",B_Drainage!$L$5:$L$204)),"")</f>
        <v/>
      </c>
      <c r="AD474" s="182" t="str">
        <f>IFERROR(LOOKUP(2,1/((D_Points!$A$5:$A$204&lt;&gt;"")*(D_Points!$A$5:$A$204&gt;=$B474)*(D_Points!$A$5:$A$204&lt;$B474+P_Interval)*(UPPER(TRIM(D_Points!$B$5:$B$204))="TURNOUT_L")*(D_Points!$H$5:$H$204&lt;&gt;"")),D_Points!$H$5:$H$204),"")</f>
        <v/>
      </c>
      <c r="AE474" s="182" t="str">
        <f>IFERROR(LOOKUP(2,1/((D_Points!$A$5:$A$204&lt;&gt;"")*(D_Points!$A$5:$A$204&gt;=$B474)*(D_Points!$A$5:$A$204&lt;$B474+P_Interval)*(UPPER(TRIM(D_Points!$B$5:$B$204))="TURNOUT_R")*(D_Points!$H$5:$H$204&lt;&gt;"")),D_Points!$H$5:$H$204),"")</f>
        <v/>
      </c>
      <c r="AF474" s="181" t="str">
        <f>IFERROR(LOOKUP(2,1/((B_Drainage!$A$5:$A$204&lt;&gt;"")*(B_Drainage!$A$5:$A$204&lt;=$B474)*(B_Drainage!$B$5:$B$204&gt;$B474)*(B_Drainage!$M$5:$M$204&lt;&gt;"")),IF(UPPER(B_Drainage!$M$5:$M$204)="Y",1,"")),"")</f>
        <v/>
      </c>
      <c r="AG474" s="181" t="str">
        <f>IFERROR(LOOKUP(2,1/((B_Drainage!$A$5:$A$204&lt;&gt;"")*(B_Drainage!$A$5:$A$204&lt;=$B474)*(B_Drainage!$B$5:$B$204&gt;$B474)*(B_Drainage!$N$5:$N$204&lt;&gt;"")),IF(UPPER(B_Drainage!$N$5:$N$204)="Y",1,"")),"")</f>
        <v/>
      </c>
      <c r="AH474" s="181" t="str">
        <f t="shared" si="56"/>
        <v/>
      </c>
      <c r="AI474" s="181" t="str">
        <f t="shared" si="57"/>
        <v/>
      </c>
      <c r="AJ474" s="181" t="str">
        <f t="shared" si="58"/>
        <v/>
      </c>
      <c r="AK474" s="181" t="str">
        <f t="shared" si="59"/>
        <v/>
      </c>
      <c r="AL474" s="181" t="str">
        <f t="shared" si="60"/>
        <v/>
      </c>
      <c r="AM474" s="181" t="str">
        <f t="shared" si="61"/>
        <v/>
      </c>
      <c r="AN474" s="181" t="str">
        <f t="shared" si="62"/>
        <v/>
      </c>
      <c r="AO474" s="192" t="str">
        <f t="shared" si="63"/>
        <v/>
      </c>
      <c r="AQ474" t="str">
        <f>IFERROR(LOOKUP(2,1/((C_Pavement!$A$5:$A$204&lt;&gt;"")*(C_Pavement!$A$5:$A$204&lt;=$B474)*(C_Pavement!$B$5:$B$204&gt;$B474)*(C_Pavement!$C$5:$C$204&lt;&gt;"")),ROW(C_Pavement!$C$5:$C$204)-4),"")</f>
        <v/>
      </c>
      <c r="AR474" t="str">
        <f>IF($AQ474="","",UPPER(TRIM(INDEX(C_Pavement!$C$5:$C$204,$AQ474))))</f>
        <v/>
      </c>
      <c r="AS474" t="str">
        <f>IF($AR474="","",IFERROR(MATCH($AR474,E_Rules!$A$5:$A$9,0),""))</f>
        <v/>
      </c>
      <c r="AT474" t="str">
        <f>IF($AQ474="","",IF(INDEX(C_Pavement!$D$5:$D$204,$AQ474)&lt;&gt;"",UPPER(TRIM(INDEX(C_Pavement!$D$5:$D$204,$AQ474))),IF($AS474="","",INDEX(E_Rules!$C$5:$C$9,$AS474))))</f>
        <v/>
      </c>
      <c r="AU474" t="str">
        <f>IF($AQ474="","",IF(INDEX(C_Pavement!$E$5:$E$204,$AQ474)&lt;&gt;"",IF(INDEX(C_Pavement!$E$5:$E$204,$AQ474)="-","",INDEX(C_Pavement!$E$5:$E$204,$AQ474)),IF($AS474="","",INDEX(E_Rules!$D$5:$D$9,$AS474))))</f>
        <v/>
      </c>
      <c r="AV474" t="str">
        <f>IF($AQ474="","",IF(INDEX(C_Pavement!$F$5:$F$204,$AQ474)&lt;&gt;"",IF(INDEX(C_Pavement!$F$5:$F$204,$AQ474)="-","",INDEX(C_Pavement!$F$5:$F$204,$AQ474)),IF($AS474="","",INDEX(E_Rules!$E$5:$E$9,$AS474))))</f>
        <v/>
      </c>
      <c r="AW474" t="str">
        <f>IF($AQ474="","",IF(INDEX(C_Pavement!$G$5:$G$204,$AQ474)&lt;&gt;"",IF(INDEX(C_Pavement!$G$5:$G$204,$AQ474)="-","",INDEX(C_Pavement!$G$5:$G$204,$AQ474)),IF($AS474="","",INDEX(E_Rules!$F$5:$F$9,$AS474))))</f>
        <v/>
      </c>
      <c r="AX474" t="str">
        <f>IF($AQ474="","",IF(INDEX(C_Pavement!$H$5:$H$204,$AQ474)&lt;&gt;"",IF(INDEX(C_Pavement!$H$5:$H$204,$AQ474)="-","",INDEX(C_Pavement!$H$5:$H$204,$AQ474)),IF($AS474="","",INDEX(E_Rules!$G$5:$G$9,$AS474))))</f>
        <v/>
      </c>
      <c r="AY474" t="str">
        <f>IF($AQ474="","",IF(INDEX(C_Pavement!$I$5:$I$204,$AQ474)&lt;&gt;"",IF(INDEX(C_Pavement!$I$5:$I$204,$AQ474)="-","",INDEX(C_Pavement!$I$5:$I$204,$AQ474)),IF($AS474="","",INDEX(E_Rules!$H$5:$H$9,$AS474))))</f>
        <v/>
      </c>
    </row>
    <row r="475" spans="1:51" ht="15.75" customHeight="1" x14ac:dyDescent="0.3">
      <c r="A475" s="189">
        <v>470</v>
      </c>
      <c r="B475" s="180">
        <v>23450</v>
      </c>
      <c r="C475" s="180" t="s">
        <v>781</v>
      </c>
      <c r="D475" s="181" t="str">
        <f>IFERROR(LOOKUP(2,1/((A_Corridor!$A$5:$A$204&lt;&gt;"")*(A_Corridor!$A$5:$A$204&lt;=$B475)*(A_Corridor!$B$5:$B$204&gt;$B475)*(A_Corridor!$C$5:$C$204&lt;&gt;"")),IF(UPPER(A_Corridor!$C$5:$C$204)="Y",1,"")),"")</f>
        <v/>
      </c>
      <c r="E475" s="181" t="str">
        <f>IFERROR(LOOKUP(2,1/((A_Corridor!$A$5:$A$204&lt;&gt;"")*(A_Corridor!$A$5:$A$204&lt;=$B475)*(A_Corridor!$B$5:$B$204&gt;$B475)*(A_Corridor!$D$5:$D$204&lt;&gt;"")),IF(A_Corridor!$D$5:$D$204="-","",UPPER(A_Corridor!$D$5:$D$204))),"")</f>
        <v/>
      </c>
      <c r="F475" s="181" t="str">
        <f>IFERROR(LOOKUP(2,1/((A_Corridor!$A$5:$A$204&lt;&gt;"")*(A_Corridor!$A$5:$A$204&lt;=$B475)*(A_Corridor!$B$5:$B$204&gt;$B475)*(A_Corridor!$E$5:$E$204&lt;&gt;"")),IF(A_Corridor!$E$5:$E$204="-","",1)),"")</f>
        <v/>
      </c>
      <c r="G475" s="182" t="str">
        <f>IFERROR(LOOKUP(2,1/((A_Corridor!$A$5:$A$204&lt;&gt;"")*(A_Corridor!$A$5:$A$204&lt;=$B475)*(A_Corridor!$B$5:$B$204&gt;$B475)*(A_Corridor!$E$5:$E$204&lt;&gt;"")),IF(A_Corridor!$E$5:$E$204="-","",A_Corridor!$E$5:$E$204)),"")</f>
        <v/>
      </c>
      <c r="H475" s="182" t="str">
        <f>IFERROR(LOOKUP(2,1/((D_Points!$A$5:$A$204&lt;&gt;"")*(D_Points!$A$5:$A$204&gt;=$B475)*(D_Points!$A$5:$A$204&lt;$B475+P_Interval)*(UPPER(TRIM(D_Points!$B$5:$B$204))="GULLY")*(D_Points!$H$5:$H$204&lt;&gt;"")),D_Points!$H$5:$H$204),"")</f>
        <v/>
      </c>
      <c r="I475" s="181" t="str">
        <f>IFERROR(LOOKUP(2,1/((A_Corridor!$A$5:$A$204&lt;&gt;"")*(A_Corridor!$A$5:$A$204&lt;=$B475)*(A_Corridor!$B$5:$B$204&gt;$B475)*(A_Corridor!$F$5:$F$204&lt;&gt;"")),IF(A_Corridor!$F$5:$F$204="-","",1)),"")</f>
        <v/>
      </c>
      <c r="J475" s="182" t="str">
        <f>IFERROR(LOOKUP(2,1/((A_Corridor!$A$5:$A$204&lt;&gt;"")*(A_Corridor!$A$5:$A$204&lt;=$B475)*(A_Corridor!$B$5:$B$204&gt;$B475)*(A_Corridor!$F$5:$F$204&lt;&gt;"")),IF(A_Corridor!$F$5:$F$204="-","",A_Corridor!$F$5:$F$204)),"")</f>
        <v/>
      </c>
      <c r="K475" s="182" t="str">
        <f>IFERROR(LOOKUP(2,1/((A_Corridor!$A$5:$A$204&lt;&gt;"")*(A_Corridor!$A$5:$A$204&lt;=$B475)*(A_Corridor!$B$5:$B$204&gt;$B475)*(A_Corridor!$G$5:$G$204&lt;&gt;"")),IF(A_Corridor!$G$5:$G$204="-","",A_Corridor!$G$5:$G$204)),"")</f>
        <v/>
      </c>
      <c r="L475" s="181" t="str">
        <f>IFERROR(LOOKUP(2,1/((A_Corridor!$A$5:$A$204&lt;&gt;"")*(A_Corridor!$A$5:$A$204&lt;=$B475)*(A_Corridor!$B$5:$B$204&gt;$B475)*(A_Corridor!$H$5:$H$204&lt;&gt;"")),IF(A_Corridor!$H$5:$H$204="-","",1)),"")</f>
        <v/>
      </c>
      <c r="M475" s="182" t="str">
        <f>IFERROR(LOOKUP(2,1/((A_Corridor!$A$5:$A$204&lt;&gt;"")*(A_Corridor!$A$5:$A$204&lt;=$B475)*(A_Corridor!$B$5:$B$204&gt;$B475)*(A_Corridor!$H$5:$H$204&lt;&gt;"")),IF(A_Corridor!$H$5:$H$204="-","",A_Corridor!$H$5:$H$204)),"")</f>
        <v/>
      </c>
      <c r="N475" s="182" t="str">
        <f>IFERROR(LOOKUP(2,1/((A_Corridor!$A$5:$A$204&lt;&gt;"")*(A_Corridor!$A$5:$A$204&lt;=$B475)*(A_Corridor!$B$5:$B$204&gt;$B475)*(A_Corridor!$I$5:$I$204&lt;&gt;"")),IF(A_Corridor!$I$5:$I$204="-","",A_Corridor!$I$5:$I$204)),"")</f>
        <v/>
      </c>
      <c r="O475" s="182" t="str">
        <f>IFERROR(LOOKUP(2,1/((D_Points!$A$5:$A$204&lt;&gt;"")*(D_Points!$A$5:$A$204&gt;=$B475)*(D_Points!$A$5:$A$204&lt;$B475+P_Interval)*(UPPER(TRIM(D_Points!$B$5:$B$204))="PITCHING")*(D_Points!$H$5:$H$204&lt;&gt;"")),D_Points!$H$5:$H$204),"")</f>
        <v/>
      </c>
      <c r="P475" s="181" t="str">
        <f>IFERROR(LOOKUP(2,1/((B_Drainage!$A$5:$A$204&lt;&gt;"")*(B_Drainage!$A$5:$A$204&lt;=$B475)*(B_Drainage!$B$5:$B$204&gt;$B475)*(B_Drainage!$C$5:$C$204&lt;&gt;"")),IF(B_Drainage!$C$5:$C$204="-","",UPPER(B_Drainage!$C$5:$C$204))),"")</f>
        <v/>
      </c>
      <c r="Q475" s="181" t="str">
        <f>IFERROR(LOOKUP(2,1/((B_Drainage!$A$5:$A$204&lt;&gt;"")*(B_Drainage!$A$5:$A$204&lt;=$B475)*(B_Drainage!$B$5:$B$204&gt;$B475)*(B_Drainage!$D$5:$D$204&lt;&gt;"")),IF(B_Drainage!$D$5:$D$204="-","",UPPER(B_Drainage!$D$5:$D$204))),"")</f>
        <v/>
      </c>
      <c r="R475" s="182" t="str">
        <f>IFERROR(LOOKUP(2,1/((D_Points!$A$5:$A$204&lt;&gt;"")*(D_Points!$A$5:$A$204&gt;=$B475)*(D_Points!$A$5:$A$204&lt;$B475+P_Interval)*(RIGHT(UPPER(TRIM(D_Points!$B$5:$B$204)),8)="_CULVERT")),IF(LEFT(UPPER(TRIM(D_Points!$B$5:$B$204)),2)="EX",1,IF(LEFT(UPPER(TRIM(D_Points!$B$5:$B$204)),2)="PR",2,3))),"")</f>
        <v/>
      </c>
      <c r="S475" s="182" t="str">
        <f>IFERROR(LOOKUP(2,1/((D_Points!$A$5:$A$204&lt;&gt;"")*(D_Points!$A$5:$A$204&gt;=$B475)*(D_Points!$A$5:$A$204&lt;$B475+P_Interval)*(RIGHT(UPPER(TRIM(D_Points!$B$5:$B$204)),7)="_BRIDGE")),IF(LEFT(UPPER(TRIM(D_Points!$B$5:$B$204)),2)="EX",1,IF(LEFT(UPPER(TRIM(D_Points!$B$5:$B$204)),2)="PR",2,2))),"")</f>
        <v/>
      </c>
      <c r="T475" s="181" t="str">
        <f>IFERROR(LOOKUP(2,1/((B_Drainage!$A$5:$A$204&lt;&gt;"")*(B_Drainage!$A$5:$A$204&lt;=$B475)*(B_Drainage!$B$5:$B$204&gt;$B475)*(B_Drainage!$E$5:$E$204&lt;&gt;"")),IF(B_Drainage!$E$5:$E$204="-","",1)),"")</f>
        <v/>
      </c>
      <c r="U475" s="181" t="str">
        <f>IFERROR(LOOKUP(2,1/((B_Drainage!$A$5:$A$204&lt;&gt;"")*(B_Drainage!$A$5:$A$204&lt;=$B475)*(B_Drainage!$B$5:$B$204&gt;$B475)*(B_Drainage!$E$5:$E$204&lt;&gt;"")),IF(B_Drainage!$E$5:$E$204="-","",B_Drainage!$E$5:$E$204)),"")</f>
        <v/>
      </c>
      <c r="V475" s="181" t="str">
        <f>IFERROR(LOOKUP(2,1/((B_Drainage!$A$5:$A$204&lt;&gt;"")*(B_Drainage!$A$5:$A$204&lt;=$B475)*(B_Drainage!$B$5:$B$204&gt;$B475)*(B_Drainage!$F$5:$F$204&lt;&gt;"")),IF(B_Drainage!$F$5:$F$204="-","",1)),"")</f>
        <v/>
      </c>
      <c r="W475" s="181" t="str">
        <f>IFERROR(LOOKUP(2,1/((B_Drainage!$A$5:$A$204&lt;&gt;"")*(B_Drainage!$A$5:$A$204&lt;=$B475)*(B_Drainage!$B$5:$B$204&gt;$B475)*(B_Drainage!$F$5:$F$204&lt;&gt;"")),IF(B_Drainage!$F$5:$F$204="-","",B_Drainage!$F$5:$F$204)),"")</f>
        <v/>
      </c>
      <c r="X475" s="181" t="str">
        <f>IFERROR(LOOKUP(2,1/((B_Drainage!$A$5:$A$204&lt;&gt;"")*(B_Drainage!$A$5:$A$204&lt;=$B475)*(B_Drainage!$B$5:$B$204&gt;$B475)*(B_Drainage!$G$5:$G$204&lt;&gt;"")),IF(UPPER(B_Drainage!$G$5:$G$204)="Y",1,"")),"")</f>
        <v/>
      </c>
      <c r="Y475" s="181" t="str">
        <f>IFERROR(LOOKUP(2,1/((B_Drainage!$A$5:$A$204&lt;&gt;"")*(B_Drainage!$A$5:$A$204&lt;=$B475)*(B_Drainage!$B$5:$B$204&gt;$B475)*(B_Drainage!$H$5:$H$204&lt;&gt;"")),IF(UPPER(B_Drainage!$H$5:$H$204)="Y",1,"")),"")</f>
        <v/>
      </c>
      <c r="Z475" s="181" t="str">
        <f>IFERROR(LOOKUP(2,1/((B_Drainage!$A$5:$A$204&lt;&gt;"")*(B_Drainage!$A$5:$A$204&lt;=$B475)*(B_Drainage!$B$5:$B$204&gt;$B475)*(B_Drainage!$I$5:$I$204&lt;&gt;"")),IF(UPPER(B_Drainage!$I$5:$I$204)="Y",1,"")),"")</f>
        <v/>
      </c>
      <c r="AA475" s="181" t="str">
        <f>IFERROR(LOOKUP(2,1/((B_Drainage!$A$5:$A$204&lt;&gt;"")*(B_Drainage!$A$5:$A$204&lt;=$B475)*(B_Drainage!$B$5:$B$204&gt;$B475)*(B_Drainage!$J$5:$J$204&lt;&gt;"")),IF(UPPER(B_Drainage!$J$5:$J$204)="Y",1,"")),"")</f>
        <v/>
      </c>
      <c r="AB475" s="182" t="str">
        <f>IFERROR(LOOKUP(2,1/((B_Drainage!$A$5:$A$204&lt;&gt;"")*(B_Drainage!$A$5:$A$204&lt;=$B475)*(B_Drainage!$B$5:$B$204&gt;$B475)*(B_Drainage!$K$5:$K$204&lt;&gt;"")),IF(B_Drainage!$K$5:$K$204="-","",B_Drainage!$K$5:$K$204)),"")</f>
        <v/>
      </c>
      <c r="AC475" s="182" t="str">
        <f>IFERROR(LOOKUP(2,1/((B_Drainage!$A$5:$A$204&lt;&gt;"")*(B_Drainage!$A$5:$A$204&lt;=$B475)*(B_Drainage!$B$5:$B$204&gt;$B475)*(B_Drainage!$L$5:$L$204&lt;&gt;"")),IF(B_Drainage!$L$5:$L$204="-","",B_Drainage!$L$5:$L$204)),"")</f>
        <v/>
      </c>
      <c r="AD475" s="182" t="str">
        <f>IFERROR(LOOKUP(2,1/((D_Points!$A$5:$A$204&lt;&gt;"")*(D_Points!$A$5:$A$204&gt;=$B475)*(D_Points!$A$5:$A$204&lt;$B475+P_Interval)*(UPPER(TRIM(D_Points!$B$5:$B$204))="TURNOUT_L")*(D_Points!$H$5:$H$204&lt;&gt;"")),D_Points!$H$5:$H$204),"")</f>
        <v/>
      </c>
      <c r="AE475" s="182" t="str">
        <f>IFERROR(LOOKUP(2,1/((D_Points!$A$5:$A$204&lt;&gt;"")*(D_Points!$A$5:$A$204&gt;=$B475)*(D_Points!$A$5:$A$204&lt;$B475+P_Interval)*(UPPER(TRIM(D_Points!$B$5:$B$204))="TURNOUT_R")*(D_Points!$H$5:$H$204&lt;&gt;"")),D_Points!$H$5:$H$204),"")</f>
        <v/>
      </c>
      <c r="AF475" s="181" t="str">
        <f>IFERROR(LOOKUP(2,1/((B_Drainage!$A$5:$A$204&lt;&gt;"")*(B_Drainage!$A$5:$A$204&lt;=$B475)*(B_Drainage!$B$5:$B$204&gt;$B475)*(B_Drainage!$M$5:$M$204&lt;&gt;"")),IF(UPPER(B_Drainage!$M$5:$M$204)="Y",1,"")),"")</f>
        <v/>
      </c>
      <c r="AG475" s="181" t="str">
        <f>IFERROR(LOOKUP(2,1/((B_Drainage!$A$5:$A$204&lt;&gt;"")*(B_Drainage!$A$5:$A$204&lt;=$B475)*(B_Drainage!$B$5:$B$204&gt;$B475)*(B_Drainage!$N$5:$N$204&lt;&gt;"")),IF(UPPER(B_Drainage!$N$5:$N$204)="Y",1,"")),"")</f>
        <v/>
      </c>
      <c r="AH475" s="181" t="str">
        <f t="shared" si="56"/>
        <v/>
      </c>
      <c r="AI475" s="181" t="str">
        <f t="shared" si="57"/>
        <v/>
      </c>
      <c r="AJ475" s="181" t="str">
        <f t="shared" si="58"/>
        <v/>
      </c>
      <c r="AK475" s="181" t="str">
        <f t="shared" si="59"/>
        <v/>
      </c>
      <c r="AL475" s="181" t="str">
        <f t="shared" si="60"/>
        <v/>
      </c>
      <c r="AM475" s="181" t="str">
        <f t="shared" si="61"/>
        <v/>
      </c>
      <c r="AN475" s="181" t="str">
        <f t="shared" si="62"/>
        <v/>
      </c>
      <c r="AO475" s="192" t="str">
        <f t="shared" si="63"/>
        <v/>
      </c>
      <c r="AQ475" t="str">
        <f>IFERROR(LOOKUP(2,1/((C_Pavement!$A$5:$A$204&lt;&gt;"")*(C_Pavement!$A$5:$A$204&lt;=$B475)*(C_Pavement!$B$5:$B$204&gt;$B475)*(C_Pavement!$C$5:$C$204&lt;&gt;"")),ROW(C_Pavement!$C$5:$C$204)-4),"")</f>
        <v/>
      </c>
      <c r="AR475" t="str">
        <f>IF($AQ475="","",UPPER(TRIM(INDEX(C_Pavement!$C$5:$C$204,$AQ475))))</f>
        <v/>
      </c>
      <c r="AS475" t="str">
        <f>IF($AR475="","",IFERROR(MATCH($AR475,E_Rules!$A$5:$A$9,0),""))</f>
        <v/>
      </c>
      <c r="AT475" t="str">
        <f>IF($AQ475="","",IF(INDEX(C_Pavement!$D$5:$D$204,$AQ475)&lt;&gt;"",UPPER(TRIM(INDEX(C_Pavement!$D$5:$D$204,$AQ475))),IF($AS475="","",INDEX(E_Rules!$C$5:$C$9,$AS475))))</f>
        <v/>
      </c>
      <c r="AU475" t="str">
        <f>IF($AQ475="","",IF(INDEX(C_Pavement!$E$5:$E$204,$AQ475)&lt;&gt;"",IF(INDEX(C_Pavement!$E$5:$E$204,$AQ475)="-","",INDEX(C_Pavement!$E$5:$E$204,$AQ475)),IF($AS475="","",INDEX(E_Rules!$D$5:$D$9,$AS475))))</f>
        <v/>
      </c>
      <c r="AV475" t="str">
        <f>IF($AQ475="","",IF(INDEX(C_Pavement!$F$5:$F$204,$AQ475)&lt;&gt;"",IF(INDEX(C_Pavement!$F$5:$F$204,$AQ475)="-","",INDEX(C_Pavement!$F$5:$F$204,$AQ475)),IF($AS475="","",INDEX(E_Rules!$E$5:$E$9,$AS475))))</f>
        <v/>
      </c>
      <c r="AW475" t="str">
        <f>IF($AQ475="","",IF(INDEX(C_Pavement!$G$5:$G$204,$AQ475)&lt;&gt;"",IF(INDEX(C_Pavement!$G$5:$G$204,$AQ475)="-","",INDEX(C_Pavement!$G$5:$G$204,$AQ475)),IF($AS475="","",INDEX(E_Rules!$F$5:$F$9,$AS475))))</f>
        <v/>
      </c>
      <c r="AX475" t="str">
        <f>IF($AQ475="","",IF(INDEX(C_Pavement!$H$5:$H$204,$AQ475)&lt;&gt;"",IF(INDEX(C_Pavement!$H$5:$H$204,$AQ475)="-","",INDEX(C_Pavement!$H$5:$H$204,$AQ475)),IF($AS475="","",INDEX(E_Rules!$G$5:$G$9,$AS475))))</f>
        <v/>
      </c>
      <c r="AY475" t="str">
        <f>IF($AQ475="","",IF(INDEX(C_Pavement!$I$5:$I$204,$AQ475)&lt;&gt;"",IF(INDEX(C_Pavement!$I$5:$I$204,$AQ475)="-","",INDEX(C_Pavement!$I$5:$I$204,$AQ475)),IF($AS475="","",INDEX(E_Rules!$H$5:$H$9,$AS475))))</f>
        <v/>
      </c>
    </row>
    <row r="476" spans="1:51" ht="15.75" customHeight="1" x14ac:dyDescent="0.3">
      <c r="A476" s="189">
        <v>471</v>
      </c>
      <c r="B476" s="180">
        <v>23500</v>
      </c>
      <c r="C476" s="180" t="s">
        <v>782</v>
      </c>
      <c r="D476" s="181" t="str">
        <f>IFERROR(LOOKUP(2,1/((A_Corridor!$A$5:$A$204&lt;&gt;"")*(A_Corridor!$A$5:$A$204&lt;=$B476)*(A_Corridor!$B$5:$B$204&gt;$B476)*(A_Corridor!$C$5:$C$204&lt;&gt;"")),IF(UPPER(A_Corridor!$C$5:$C$204)="Y",1,"")),"")</f>
        <v/>
      </c>
      <c r="E476" s="181" t="str">
        <f>IFERROR(LOOKUP(2,1/((A_Corridor!$A$5:$A$204&lt;&gt;"")*(A_Corridor!$A$5:$A$204&lt;=$B476)*(A_Corridor!$B$5:$B$204&gt;$B476)*(A_Corridor!$D$5:$D$204&lt;&gt;"")),IF(A_Corridor!$D$5:$D$204="-","",UPPER(A_Corridor!$D$5:$D$204))),"")</f>
        <v/>
      </c>
      <c r="F476" s="181" t="str">
        <f>IFERROR(LOOKUP(2,1/((A_Corridor!$A$5:$A$204&lt;&gt;"")*(A_Corridor!$A$5:$A$204&lt;=$B476)*(A_Corridor!$B$5:$B$204&gt;$B476)*(A_Corridor!$E$5:$E$204&lt;&gt;"")),IF(A_Corridor!$E$5:$E$204="-","",1)),"")</f>
        <v/>
      </c>
      <c r="G476" s="182" t="str">
        <f>IFERROR(LOOKUP(2,1/((A_Corridor!$A$5:$A$204&lt;&gt;"")*(A_Corridor!$A$5:$A$204&lt;=$B476)*(A_Corridor!$B$5:$B$204&gt;$B476)*(A_Corridor!$E$5:$E$204&lt;&gt;"")),IF(A_Corridor!$E$5:$E$204="-","",A_Corridor!$E$5:$E$204)),"")</f>
        <v/>
      </c>
      <c r="H476" s="182" t="str">
        <f>IFERROR(LOOKUP(2,1/((D_Points!$A$5:$A$204&lt;&gt;"")*(D_Points!$A$5:$A$204&gt;=$B476)*(D_Points!$A$5:$A$204&lt;$B476+P_Interval)*(UPPER(TRIM(D_Points!$B$5:$B$204))="GULLY")*(D_Points!$H$5:$H$204&lt;&gt;"")),D_Points!$H$5:$H$204),"")</f>
        <v/>
      </c>
      <c r="I476" s="181" t="str">
        <f>IFERROR(LOOKUP(2,1/((A_Corridor!$A$5:$A$204&lt;&gt;"")*(A_Corridor!$A$5:$A$204&lt;=$B476)*(A_Corridor!$B$5:$B$204&gt;$B476)*(A_Corridor!$F$5:$F$204&lt;&gt;"")),IF(A_Corridor!$F$5:$F$204="-","",1)),"")</f>
        <v/>
      </c>
      <c r="J476" s="182" t="str">
        <f>IFERROR(LOOKUP(2,1/((A_Corridor!$A$5:$A$204&lt;&gt;"")*(A_Corridor!$A$5:$A$204&lt;=$B476)*(A_Corridor!$B$5:$B$204&gt;$B476)*(A_Corridor!$F$5:$F$204&lt;&gt;"")),IF(A_Corridor!$F$5:$F$204="-","",A_Corridor!$F$5:$F$204)),"")</f>
        <v/>
      </c>
      <c r="K476" s="182" t="str">
        <f>IFERROR(LOOKUP(2,1/((A_Corridor!$A$5:$A$204&lt;&gt;"")*(A_Corridor!$A$5:$A$204&lt;=$B476)*(A_Corridor!$B$5:$B$204&gt;$B476)*(A_Corridor!$G$5:$G$204&lt;&gt;"")),IF(A_Corridor!$G$5:$G$204="-","",A_Corridor!$G$5:$G$204)),"")</f>
        <v/>
      </c>
      <c r="L476" s="181" t="str">
        <f>IFERROR(LOOKUP(2,1/((A_Corridor!$A$5:$A$204&lt;&gt;"")*(A_Corridor!$A$5:$A$204&lt;=$B476)*(A_Corridor!$B$5:$B$204&gt;$B476)*(A_Corridor!$H$5:$H$204&lt;&gt;"")),IF(A_Corridor!$H$5:$H$204="-","",1)),"")</f>
        <v/>
      </c>
      <c r="M476" s="182" t="str">
        <f>IFERROR(LOOKUP(2,1/((A_Corridor!$A$5:$A$204&lt;&gt;"")*(A_Corridor!$A$5:$A$204&lt;=$B476)*(A_Corridor!$B$5:$B$204&gt;$B476)*(A_Corridor!$H$5:$H$204&lt;&gt;"")),IF(A_Corridor!$H$5:$H$204="-","",A_Corridor!$H$5:$H$204)),"")</f>
        <v/>
      </c>
      <c r="N476" s="182" t="str">
        <f>IFERROR(LOOKUP(2,1/((A_Corridor!$A$5:$A$204&lt;&gt;"")*(A_Corridor!$A$5:$A$204&lt;=$B476)*(A_Corridor!$B$5:$B$204&gt;$B476)*(A_Corridor!$I$5:$I$204&lt;&gt;"")),IF(A_Corridor!$I$5:$I$204="-","",A_Corridor!$I$5:$I$204)),"")</f>
        <v/>
      </c>
      <c r="O476" s="182" t="str">
        <f>IFERROR(LOOKUP(2,1/((D_Points!$A$5:$A$204&lt;&gt;"")*(D_Points!$A$5:$A$204&gt;=$B476)*(D_Points!$A$5:$A$204&lt;$B476+P_Interval)*(UPPER(TRIM(D_Points!$B$5:$B$204))="PITCHING")*(D_Points!$H$5:$H$204&lt;&gt;"")),D_Points!$H$5:$H$204),"")</f>
        <v/>
      </c>
      <c r="P476" s="181" t="str">
        <f>IFERROR(LOOKUP(2,1/((B_Drainage!$A$5:$A$204&lt;&gt;"")*(B_Drainage!$A$5:$A$204&lt;=$B476)*(B_Drainage!$B$5:$B$204&gt;$B476)*(B_Drainage!$C$5:$C$204&lt;&gt;"")),IF(B_Drainage!$C$5:$C$204="-","",UPPER(B_Drainage!$C$5:$C$204))),"")</f>
        <v/>
      </c>
      <c r="Q476" s="181" t="str">
        <f>IFERROR(LOOKUP(2,1/((B_Drainage!$A$5:$A$204&lt;&gt;"")*(B_Drainage!$A$5:$A$204&lt;=$B476)*(B_Drainage!$B$5:$B$204&gt;$B476)*(B_Drainage!$D$5:$D$204&lt;&gt;"")),IF(B_Drainage!$D$5:$D$204="-","",UPPER(B_Drainage!$D$5:$D$204))),"")</f>
        <v/>
      </c>
      <c r="R476" s="182" t="str">
        <f>IFERROR(LOOKUP(2,1/((D_Points!$A$5:$A$204&lt;&gt;"")*(D_Points!$A$5:$A$204&gt;=$B476)*(D_Points!$A$5:$A$204&lt;$B476+P_Interval)*(RIGHT(UPPER(TRIM(D_Points!$B$5:$B$204)),8)="_CULVERT")),IF(LEFT(UPPER(TRIM(D_Points!$B$5:$B$204)),2)="EX",1,IF(LEFT(UPPER(TRIM(D_Points!$B$5:$B$204)),2)="PR",2,3))),"")</f>
        <v/>
      </c>
      <c r="S476" s="182" t="str">
        <f>IFERROR(LOOKUP(2,1/((D_Points!$A$5:$A$204&lt;&gt;"")*(D_Points!$A$5:$A$204&gt;=$B476)*(D_Points!$A$5:$A$204&lt;$B476+P_Interval)*(RIGHT(UPPER(TRIM(D_Points!$B$5:$B$204)),7)="_BRIDGE")),IF(LEFT(UPPER(TRIM(D_Points!$B$5:$B$204)),2)="EX",1,IF(LEFT(UPPER(TRIM(D_Points!$B$5:$B$204)),2)="PR",2,2))),"")</f>
        <v/>
      </c>
      <c r="T476" s="181" t="str">
        <f>IFERROR(LOOKUP(2,1/((B_Drainage!$A$5:$A$204&lt;&gt;"")*(B_Drainage!$A$5:$A$204&lt;=$B476)*(B_Drainage!$B$5:$B$204&gt;$B476)*(B_Drainage!$E$5:$E$204&lt;&gt;"")),IF(B_Drainage!$E$5:$E$204="-","",1)),"")</f>
        <v/>
      </c>
      <c r="U476" s="181" t="str">
        <f>IFERROR(LOOKUP(2,1/((B_Drainage!$A$5:$A$204&lt;&gt;"")*(B_Drainage!$A$5:$A$204&lt;=$B476)*(B_Drainage!$B$5:$B$204&gt;$B476)*(B_Drainage!$E$5:$E$204&lt;&gt;"")),IF(B_Drainage!$E$5:$E$204="-","",B_Drainage!$E$5:$E$204)),"")</f>
        <v/>
      </c>
      <c r="V476" s="181" t="str">
        <f>IFERROR(LOOKUP(2,1/((B_Drainage!$A$5:$A$204&lt;&gt;"")*(B_Drainage!$A$5:$A$204&lt;=$B476)*(B_Drainage!$B$5:$B$204&gt;$B476)*(B_Drainage!$F$5:$F$204&lt;&gt;"")),IF(B_Drainage!$F$5:$F$204="-","",1)),"")</f>
        <v/>
      </c>
      <c r="W476" s="181" t="str">
        <f>IFERROR(LOOKUP(2,1/((B_Drainage!$A$5:$A$204&lt;&gt;"")*(B_Drainage!$A$5:$A$204&lt;=$B476)*(B_Drainage!$B$5:$B$204&gt;$B476)*(B_Drainage!$F$5:$F$204&lt;&gt;"")),IF(B_Drainage!$F$5:$F$204="-","",B_Drainage!$F$5:$F$204)),"")</f>
        <v/>
      </c>
      <c r="X476" s="181" t="str">
        <f>IFERROR(LOOKUP(2,1/((B_Drainage!$A$5:$A$204&lt;&gt;"")*(B_Drainage!$A$5:$A$204&lt;=$B476)*(B_Drainage!$B$5:$B$204&gt;$B476)*(B_Drainage!$G$5:$G$204&lt;&gt;"")),IF(UPPER(B_Drainage!$G$5:$G$204)="Y",1,"")),"")</f>
        <v/>
      </c>
      <c r="Y476" s="181" t="str">
        <f>IFERROR(LOOKUP(2,1/((B_Drainage!$A$5:$A$204&lt;&gt;"")*(B_Drainage!$A$5:$A$204&lt;=$B476)*(B_Drainage!$B$5:$B$204&gt;$B476)*(B_Drainage!$H$5:$H$204&lt;&gt;"")),IF(UPPER(B_Drainage!$H$5:$H$204)="Y",1,"")),"")</f>
        <v/>
      </c>
      <c r="Z476" s="181" t="str">
        <f>IFERROR(LOOKUP(2,1/((B_Drainage!$A$5:$A$204&lt;&gt;"")*(B_Drainage!$A$5:$A$204&lt;=$B476)*(B_Drainage!$B$5:$B$204&gt;$B476)*(B_Drainage!$I$5:$I$204&lt;&gt;"")),IF(UPPER(B_Drainage!$I$5:$I$204)="Y",1,"")),"")</f>
        <v/>
      </c>
      <c r="AA476" s="181" t="str">
        <f>IFERROR(LOOKUP(2,1/((B_Drainage!$A$5:$A$204&lt;&gt;"")*(B_Drainage!$A$5:$A$204&lt;=$B476)*(B_Drainage!$B$5:$B$204&gt;$B476)*(B_Drainage!$J$5:$J$204&lt;&gt;"")),IF(UPPER(B_Drainage!$J$5:$J$204)="Y",1,"")),"")</f>
        <v/>
      </c>
      <c r="AB476" s="182" t="str">
        <f>IFERROR(LOOKUP(2,1/((B_Drainage!$A$5:$A$204&lt;&gt;"")*(B_Drainage!$A$5:$A$204&lt;=$B476)*(B_Drainage!$B$5:$B$204&gt;$B476)*(B_Drainage!$K$5:$K$204&lt;&gt;"")),IF(B_Drainage!$K$5:$K$204="-","",B_Drainage!$K$5:$K$204)),"")</f>
        <v/>
      </c>
      <c r="AC476" s="182" t="str">
        <f>IFERROR(LOOKUP(2,1/((B_Drainage!$A$5:$A$204&lt;&gt;"")*(B_Drainage!$A$5:$A$204&lt;=$B476)*(B_Drainage!$B$5:$B$204&gt;$B476)*(B_Drainage!$L$5:$L$204&lt;&gt;"")),IF(B_Drainage!$L$5:$L$204="-","",B_Drainage!$L$5:$L$204)),"")</f>
        <v/>
      </c>
      <c r="AD476" s="182" t="str">
        <f>IFERROR(LOOKUP(2,1/((D_Points!$A$5:$A$204&lt;&gt;"")*(D_Points!$A$5:$A$204&gt;=$B476)*(D_Points!$A$5:$A$204&lt;$B476+P_Interval)*(UPPER(TRIM(D_Points!$B$5:$B$204))="TURNOUT_L")*(D_Points!$H$5:$H$204&lt;&gt;"")),D_Points!$H$5:$H$204),"")</f>
        <v/>
      </c>
      <c r="AE476" s="182" t="str">
        <f>IFERROR(LOOKUP(2,1/((D_Points!$A$5:$A$204&lt;&gt;"")*(D_Points!$A$5:$A$204&gt;=$B476)*(D_Points!$A$5:$A$204&lt;$B476+P_Interval)*(UPPER(TRIM(D_Points!$B$5:$B$204))="TURNOUT_R")*(D_Points!$H$5:$H$204&lt;&gt;"")),D_Points!$H$5:$H$204),"")</f>
        <v/>
      </c>
      <c r="AF476" s="181" t="str">
        <f>IFERROR(LOOKUP(2,1/((B_Drainage!$A$5:$A$204&lt;&gt;"")*(B_Drainage!$A$5:$A$204&lt;=$B476)*(B_Drainage!$B$5:$B$204&gt;$B476)*(B_Drainage!$M$5:$M$204&lt;&gt;"")),IF(UPPER(B_Drainage!$M$5:$M$204)="Y",1,"")),"")</f>
        <v/>
      </c>
      <c r="AG476" s="181" t="str">
        <f>IFERROR(LOOKUP(2,1/((B_Drainage!$A$5:$A$204&lt;&gt;"")*(B_Drainage!$A$5:$A$204&lt;=$B476)*(B_Drainage!$B$5:$B$204&gt;$B476)*(B_Drainage!$N$5:$N$204&lt;&gt;"")),IF(UPPER(B_Drainage!$N$5:$N$204)="Y",1,"")),"")</f>
        <v/>
      </c>
      <c r="AH476" s="181" t="str">
        <f t="shared" si="56"/>
        <v/>
      </c>
      <c r="AI476" s="181" t="str">
        <f t="shared" si="57"/>
        <v/>
      </c>
      <c r="AJ476" s="181" t="str">
        <f t="shared" si="58"/>
        <v/>
      </c>
      <c r="AK476" s="181" t="str">
        <f t="shared" si="59"/>
        <v/>
      </c>
      <c r="AL476" s="181" t="str">
        <f t="shared" si="60"/>
        <v/>
      </c>
      <c r="AM476" s="181" t="str">
        <f t="shared" si="61"/>
        <v/>
      </c>
      <c r="AN476" s="181" t="str">
        <f t="shared" si="62"/>
        <v/>
      </c>
      <c r="AO476" s="192" t="str">
        <f t="shared" si="63"/>
        <v/>
      </c>
      <c r="AQ476" t="str">
        <f>IFERROR(LOOKUP(2,1/((C_Pavement!$A$5:$A$204&lt;&gt;"")*(C_Pavement!$A$5:$A$204&lt;=$B476)*(C_Pavement!$B$5:$B$204&gt;$B476)*(C_Pavement!$C$5:$C$204&lt;&gt;"")),ROW(C_Pavement!$C$5:$C$204)-4),"")</f>
        <v/>
      </c>
      <c r="AR476" t="str">
        <f>IF($AQ476="","",UPPER(TRIM(INDEX(C_Pavement!$C$5:$C$204,$AQ476))))</f>
        <v/>
      </c>
      <c r="AS476" t="str">
        <f>IF($AR476="","",IFERROR(MATCH($AR476,E_Rules!$A$5:$A$9,0),""))</f>
        <v/>
      </c>
      <c r="AT476" t="str">
        <f>IF($AQ476="","",IF(INDEX(C_Pavement!$D$5:$D$204,$AQ476)&lt;&gt;"",UPPER(TRIM(INDEX(C_Pavement!$D$5:$D$204,$AQ476))),IF($AS476="","",INDEX(E_Rules!$C$5:$C$9,$AS476))))</f>
        <v/>
      </c>
      <c r="AU476" t="str">
        <f>IF($AQ476="","",IF(INDEX(C_Pavement!$E$5:$E$204,$AQ476)&lt;&gt;"",IF(INDEX(C_Pavement!$E$5:$E$204,$AQ476)="-","",INDEX(C_Pavement!$E$5:$E$204,$AQ476)),IF($AS476="","",INDEX(E_Rules!$D$5:$D$9,$AS476))))</f>
        <v/>
      </c>
      <c r="AV476" t="str">
        <f>IF($AQ476="","",IF(INDEX(C_Pavement!$F$5:$F$204,$AQ476)&lt;&gt;"",IF(INDEX(C_Pavement!$F$5:$F$204,$AQ476)="-","",INDEX(C_Pavement!$F$5:$F$204,$AQ476)),IF($AS476="","",INDEX(E_Rules!$E$5:$E$9,$AS476))))</f>
        <v/>
      </c>
      <c r="AW476" t="str">
        <f>IF($AQ476="","",IF(INDEX(C_Pavement!$G$5:$G$204,$AQ476)&lt;&gt;"",IF(INDEX(C_Pavement!$G$5:$G$204,$AQ476)="-","",INDEX(C_Pavement!$G$5:$G$204,$AQ476)),IF($AS476="","",INDEX(E_Rules!$F$5:$F$9,$AS476))))</f>
        <v/>
      </c>
      <c r="AX476" t="str">
        <f>IF($AQ476="","",IF(INDEX(C_Pavement!$H$5:$H$204,$AQ476)&lt;&gt;"",IF(INDEX(C_Pavement!$H$5:$H$204,$AQ476)="-","",INDEX(C_Pavement!$H$5:$H$204,$AQ476)),IF($AS476="","",INDEX(E_Rules!$G$5:$G$9,$AS476))))</f>
        <v/>
      </c>
      <c r="AY476" t="str">
        <f>IF($AQ476="","",IF(INDEX(C_Pavement!$I$5:$I$204,$AQ476)&lt;&gt;"",IF(INDEX(C_Pavement!$I$5:$I$204,$AQ476)="-","",INDEX(C_Pavement!$I$5:$I$204,$AQ476)),IF($AS476="","",INDEX(E_Rules!$H$5:$H$9,$AS476))))</f>
        <v/>
      </c>
    </row>
    <row r="477" spans="1:51" ht="15.75" customHeight="1" x14ac:dyDescent="0.3">
      <c r="A477" s="189">
        <v>472</v>
      </c>
      <c r="B477" s="180">
        <v>23550</v>
      </c>
      <c r="C477" s="180" t="s">
        <v>783</v>
      </c>
      <c r="D477" s="181" t="str">
        <f>IFERROR(LOOKUP(2,1/((A_Corridor!$A$5:$A$204&lt;&gt;"")*(A_Corridor!$A$5:$A$204&lt;=$B477)*(A_Corridor!$B$5:$B$204&gt;$B477)*(A_Corridor!$C$5:$C$204&lt;&gt;"")),IF(UPPER(A_Corridor!$C$5:$C$204)="Y",1,"")),"")</f>
        <v/>
      </c>
      <c r="E477" s="181" t="str">
        <f>IFERROR(LOOKUP(2,1/((A_Corridor!$A$5:$A$204&lt;&gt;"")*(A_Corridor!$A$5:$A$204&lt;=$B477)*(A_Corridor!$B$5:$B$204&gt;$B477)*(A_Corridor!$D$5:$D$204&lt;&gt;"")),IF(A_Corridor!$D$5:$D$204="-","",UPPER(A_Corridor!$D$5:$D$204))),"")</f>
        <v/>
      </c>
      <c r="F477" s="181" t="str">
        <f>IFERROR(LOOKUP(2,1/((A_Corridor!$A$5:$A$204&lt;&gt;"")*(A_Corridor!$A$5:$A$204&lt;=$B477)*(A_Corridor!$B$5:$B$204&gt;$B477)*(A_Corridor!$E$5:$E$204&lt;&gt;"")),IF(A_Corridor!$E$5:$E$204="-","",1)),"")</f>
        <v/>
      </c>
      <c r="G477" s="182" t="str">
        <f>IFERROR(LOOKUP(2,1/((A_Corridor!$A$5:$A$204&lt;&gt;"")*(A_Corridor!$A$5:$A$204&lt;=$B477)*(A_Corridor!$B$5:$B$204&gt;$B477)*(A_Corridor!$E$5:$E$204&lt;&gt;"")),IF(A_Corridor!$E$5:$E$204="-","",A_Corridor!$E$5:$E$204)),"")</f>
        <v/>
      </c>
      <c r="H477" s="182" t="str">
        <f>IFERROR(LOOKUP(2,1/((D_Points!$A$5:$A$204&lt;&gt;"")*(D_Points!$A$5:$A$204&gt;=$B477)*(D_Points!$A$5:$A$204&lt;$B477+P_Interval)*(UPPER(TRIM(D_Points!$B$5:$B$204))="GULLY")*(D_Points!$H$5:$H$204&lt;&gt;"")),D_Points!$H$5:$H$204),"")</f>
        <v/>
      </c>
      <c r="I477" s="181" t="str">
        <f>IFERROR(LOOKUP(2,1/((A_Corridor!$A$5:$A$204&lt;&gt;"")*(A_Corridor!$A$5:$A$204&lt;=$B477)*(A_Corridor!$B$5:$B$204&gt;$B477)*(A_Corridor!$F$5:$F$204&lt;&gt;"")),IF(A_Corridor!$F$5:$F$204="-","",1)),"")</f>
        <v/>
      </c>
      <c r="J477" s="182" t="str">
        <f>IFERROR(LOOKUP(2,1/((A_Corridor!$A$5:$A$204&lt;&gt;"")*(A_Corridor!$A$5:$A$204&lt;=$B477)*(A_Corridor!$B$5:$B$204&gt;$B477)*(A_Corridor!$F$5:$F$204&lt;&gt;"")),IF(A_Corridor!$F$5:$F$204="-","",A_Corridor!$F$5:$F$204)),"")</f>
        <v/>
      </c>
      <c r="K477" s="182" t="str">
        <f>IFERROR(LOOKUP(2,1/((A_Corridor!$A$5:$A$204&lt;&gt;"")*(A_Corridor!$A$5:$A$204&lt;=$B477)*(A_Corridor!$B$5:$B$204&gt;$B477)*(A_Corridor!$G$5:$G$204&lt;&gt;"")),IF(A_Corridor!$G$5:$G$204="-","",A_Corridor!$G$5:$G$204)),"")</f>
        <v/>
      </c>
      <c r="L477" s="181" t="str">
        <f>IFERROR(LOOKUP(2,1/((A_Corridor!$A$5:$A$204&lt;&gt;"")*(A_Corridor!$A$5:$A$204&lt;=$B477)*(A_Corridor!$B$5:$B$204&gt;$B477)*(A_Corridor!$H$5:$H$204&lt;&gt;"")),IF(A_Corridor!$H$5:$H$204="-","",1)),"")</f>
        <v/>
      </c>
      <c r="M477" s="182" t="str">
        <f>IFERROR(LOOKUP(2,1/((A_Corridor!$A$5:$A$204&lt;&gt;"")*(A_Corridor!$A$5:$A$204&lt;=$B477)*(A_Corridor!$B$5:$B$204&gt;$B477)*(A_Corridor!$H$5:$H$204&lt;&gt;"")),IF(A_Corridor!$H$5:$H$204="-","",A_Corridor!$H$5:$H$204)),"")</f>
        <v/>
      </c>
      <c r="N477" s="182" t="str">
        <f>IFERROR(LOOKUP(2,1/((A_Corridor!$A$5:$A$204&lt;&gt;"")*(A_Corridor!$A$5:$A$204&lt;=$B477)*(A_Corridor!$B$5:$B$204&gt;$B477)*(A_Corridor!$I$5:$I$204&lt;&gt;"")),IF(A_Corridor!$I$5:$I$204="-","",A_Corridor!$I$5:$I$204)),"")</f>
        <v/>
      </c>
      <c r="O477" s="182" t="str">
        <f>IFERROR(LOOKUP(2,1/((D_Points!$A$5:$A$204&lt;&gt;"")*(D_Points!$A$5:$A$204&gt;=$B477)*(D_Points!$A$5:$A$204&lt;$B477+P_Interval)*(UPPER(TRIM(D_Points!$B$5:$B$204))="PITCHING")*(D_Points!$H$5:$H$204&lt;&gt;"")),D_Points!$H$5:$H$204),"")</f>
        <v/>
      </c>
      <c r="P477" s="181" t="str">
        <f>IFERROR(LOOKUP(2,1/((B_Drainage!$A$5:$A$204&lt;&gt;"")*(B_Drainage!$A$5:$A$204&lt;=$B477)*(B_Drainage!$B$5:$B$204&gt;$B477)*(B_Drainage!$C$5:$C$204&lt;&gt;"")),IF(B_Drainage!$C$5:$C$204="-","",UPPER(B_Drainage!$C$5:$C$204))),"")</f>
        <v/>
      </c>
      <c r="Q477" s="181" t="str">
        <f>IFERROR(LOOKUP(2,1/((B_Drainage!$A$5:$A$204&lt;&gt;"")*(B_Drainage!$A$5:$A$204&lt;=$B477)*(B_Drainage!$B$5:$B$204&gt;$B477)*(B_Drainage!$D$5:$D$204&lt;&gt;"")),IF(B_Drainage!$D$5:$D$204="-","",UPPER(B_Drainage!$D$5:$D$204))),"")</f>
        <v/>
      </c>
      <c r="R477" s="182" t="str">
        <f>IFERROR(LOOKUP(2,1/((D_Points!$A$5:$A$204&lt;&gt;"")*(D_Points!$A$5:$A$204&gt;=$B477)*(D_Points!$A$5:$A$204&lt;$B477+P_Interval)*(RIGHT(UPPER(TRIM(D_Points!$B$5:$B$204)),8)="_CULVERT")),IF(LEFT(UPPER(TRIM(D_Points!$B$5:$B$204)),2)="EX",1,IF(LEFT(UPPER(TRIM(D_Points!$B$5:$B$204)),2)="PR",2,3))),"")</f>
        <v/>
      </c>
      <c r="S477" s="182" t="str">
        <f>IFERROR(LOOKUP(2,1/((D_Points!$A$5:$A$204&lt;&gt;"")*(D_Points!$A$5:$A$204&gt;=$B477)*(D_Points!$A$5:$A$204&lt;$B477+P_Interval)*(RIGHT(UPPER(TRIM(D_Points!$B$5:$B$204)),7)="_BRIDGE")),IF(LEFT(UPPER(TRIM(D_Points!$B$5:$B$204)),2)="EX",1,IF(LEFT(UPPER(TRIM(D_Points!$B$5:$B$204)),2)="PR",2,2))),"")</f>
        <v/>
      </c>
      <c r="T477" s="181" t="str">
        <f>IFERROR(LOOKUP(2,1/((B_Drainage!$A$5:$A$204&lt;&gt;"")*(B_Drainage!$A$5:$A$204&lt;=$B477)*(B_Drainage!$B$5:$B$204&gt;$B477)*(B_Drainage!$E$5:$E$204&lt;&gt;"")),IF(B_Drainage!$E$5:$E$204="-","",1)),"")</f>
        <v/>
      </c>
      <c r="U477" s="181" t="str">
        <f>IFERROR(LOOKUP(2,1/((B_Drainage!$A$5:$A$204&lt;&gt;"")*(B_Drainage!$A$5:$A$204&lt;=$B477)*(B_Drainage!$B$5:$B$204&gt;$B477)*(B_Drainage!$E$5:$E$204&lt;&gt;"")),IF(B_Drainage!$E$5:$E$204="-","",B_Drainage!$E$5:$E$204)),"")</f>
        <v/>
      </c>
      <c r="V477" s="181" t="str">
        <f>IFERROR(LOOKUP(2,1/((B_Drainage!$A$5:$A$204&lt;&gt;"")*(B_Drainage!$A$5:$A$204&lt;=$B477)*(B_Drainage!$B$5:$B$204&gt;$B477)*(B_Drainage!$F$5:$F$204&lt;&gt;"")),IF(B_Drainage!$F$5:$F$204="-","",1)),"")</f>
        <v/>
      </c>
      <c r="W477" s="181" t="str">
        <f>IFERROR(LOOKUP(2,1/((B_Drainage!$A$5:$A$204&lt;&gt;"")*(B_Drainage!$A$5:$A$204&lt;=$B477)*(B_Drainage!$B$5:$B$204&gt;$B477)*(B_Drainage!$F$5:$F$204&lt;&gt;"")),IF(B_Drainage!$F$5:$F$204="-","",B_Drainage!$F$5:$F$204)),"")</f>
        <v/>
      </c>
      <c r="X477" s="181" t="str">
        <f>IFERROR(LOOKUP(2,1/((B_Drainage!$A$5:$A$204&lt;&gt;"")*(B_Drainage!$A$5:$A$204&lt;=$B477)*(B_Drainage!$B$5:$B$204&gt;$B477)*(B_Drainage!$G$5:$G$204&lt;&gt;"")),IF(UPPER(B_Drainage!$G$5:$G$204)="Y",1,"")),"")</f>
        <v/>
      </c>
      <c r="Y477" s="181" t="str">
        <f>IFERROR(LOOKUP(2,1/((B_Drainage!$A$5:$A$204&lt;&gt;"")*(B_Drainage!$A$5:$A$204&lt;=$B477)*(B_Drainage!$B$5:$B$204&gt;$B477)*(B_Drainage!$H$5:$H$204&lt;&gt;"")),IF(UPPER(B_Drainage!$H$5:$H$204)="Y",1,"")),"")</f>
        <v/>
      </c>
      <c r="Z477" s="181" t="str">
        <f>IFERROR(LOOKUP(2,1/((B_Drainage!$A$5:$A$204&lt;&gt;"")*(B_Drainage!$A$5:$A$204&lt;=$B477)*(B_Drainage!$B$5:$B$204&gt;$B477)*(B_Drainage!$I$5:$I$204&lt;&gt;"")),IF(UPPER(B_Drainage!$I$5:$I$204)="Y",1,"")),"")</f>
        <v/>
      </c>
      <c r="AA477" s="181" t="str">
        <f>IFERROR(LOOKUP(2,1/((B_Drainage!$A$5:$A$204&lt;&gt;"")*(B_Drainage!$A$5:$A$204&lt;=$B477)*(B_Drainage!$B$5:$B$204&gt;$B477)*(B_Drainage!$J$5:$J$204&lt;&gt;"")),IF(UPPER(B_Drainage!$J$5:$J$204)="Y",1,"")),"")</f>
        <v/>
      </c>
      <c r="AB477" s="182" t="str">
        <f>IFERROR(LOOKUP(2,1/((B_Drainage!$A$5:$A$204&lt;&gt;"")*(B_Drainage!$A$5:$A$204&lt;=$B477)*(B_Drainage!$B$5:$B$204&gt;$B477)*(B_Drainage!$K$5:$K$204&lt;&gt;"")),IF(B_Drainage!$K$5:$K$204="-","",B_Drainage!$K$5:$K$204)),"")</f>
        <v/>
      </c>
      <c r="AC477" s="182" t="str">
        <f>IFERROR(LOOKUP(2,1/((B_Drainage!$A$5:$A$204&lt;&gt;"")*(B_Drainage!$A$5:$A$204&lt;=$B477)*(B_Drainage!$B$5:$B$204&gt;$B477)*(B_Drainage!$L$5:$L$204&lt;&gt;"")),IF(B_Drainage!$L$5:$L$204="-","",B_Drainage!$L$5:$L$204)),"")</f>
        <v/>
      </c>
      <c r="AD477" s="182" t="str">
        <f>IFERROR(LOOKUP(2,1/((D_Points!$A$5:$A$204&lt;&gt;"")*(D_Points!$A$5:$A$204&gt;=$B477)*(D_Points!$A$5:$A$204&lt;$B477+P_Interval)*(UPPER(TRIM(D_Points!$B$5:$B$204))="TURNOUT_L")*(D_Points!$H$5:$H$204&lt;&gt;"")),D_Points!$H$5:$H$204),"")</f>
        <v/>
      </c>
      <c r="AE477" s="182" t="str">
        <f>IFERROR(LOOKUP(2,1/((D_Points!$A$5:$A$204&lt;&gt;"")*(D_Points!$A$5:$A$204&gt;=$B477)*(D_Points!$A$5:$A$204&lt;$B477+P_Interval)*(UPPER(TRIM(D_Points!$B$5:$B$204))="TURNOUT_R")*(D_Points!$H$5:$H$204&lt;&gt;"")),D_Points!$H$5:$H$204),"")</f>
        <v/>
      </c>
      <c r="AF477" s="181" t="str">
        <f>IFERROR(LOOKUP(2,1/((B_Drainage!$A$5:$A$204&lt;&gt;"")*(B_Drainage!$A$5:$A$204&lt;=$B477)*(B_Drainage!$B$5:$B$204&gt;$B477)*(B_Drainage!$M$5:$M$204&lt;&gt;"")),IF(UPPER(B_Drainage!$M$5:$M$204)="Y",1,"")),"")</f>
        <v/>
      </c>
      <c r="AG477" s="181" t="str">
        <f>IFERROR(LOOKUP(2,1/((B_Drainage!$A$5:$A$204&lt;&gt;"")*(B_Drainage!$A$5:$A$204&lt;=$B477)*(B_Drainage!$B$5:$B$204&gt;$B477)*(B_Drainage!$N$5:$N$204&lt;&gt;"")),IF(UPPER(B_Drainage!$N$5:$N$204)="Y",1,"")),"")</f>
        <v/>
      </c>
      <c r="AH477" s="181" t="str">
        <f t="shared" si="56"/>
        <v/>
      </c>
      <c r="AI477" s="181" t="str">
        <f t="shared" si="57"/>
        <v/>
      </c>
      <c r="AJ477" s="181" t="str">
        <f t="shared" si="58"/>
        <v/>
      </c>
      <c r="AK477" s="181" t="str">
        <f t="shared" si="59"/>
        <v/>
      </c>
      <c r="AL477" s="181" t="str">
        <f t="shared" si="60"/>
        <v/>
      </c>
      <c r="AM477" s="181" t="str">
        <f t="shared" si="61"/>
        <v/>
      </c>
      <c r="AN477" s="181" t="str">
        <f t="shared" si="62"/>
        <v/>
      </c>
      <c r="AO477" s="192" t="str">
        <f t="shared" si="63"/>
        <v/>
      </c>
      <c r="AQ477" t="str">
        <f>IFERROR(LOOKUP(2,1/((C_Pavement!$A$5:$A$204&lt;&gt;"")*(C_Pavement!$A$5:$A$204&lt;=$B477)*(C_Pavement!$B$5:$B$204&gt;$B477)*(C_Pavement!$C$5:$C$204&lt;&gt;"")),ROW(C_Pavement!$C$5:$C$204)-4),"")</f>
        <v/>
      </c>
      <c r="AR477" t="str">
        <f>IF($AQ477="","",UPPER(TRIM(INDEX(C_Pavement!$C$5:$C$204,$AQ477))))</f>
        <v/>
      </c>
      <c r="AS477" t="str">
        <f>IF($AR477="","",IFERROR(MATCH($AR477,E_Rules!$A$5:$A$9,0),""))</f>
        <v/>
      </c>
      <c r="AT477" t="str">
        <f>IF($AQ477="","",IF(INDEX(C_Pavement!$D$5:$D$204,$AQ477)&lt;&gt;"",UPPER(TRIM(INDEX(C_Pavement!$D$5:$D$204,$AQ477))),IF($AS477="","",INDEX(E_Rules!$C$5:$C$9,$AS477))))</f>
        <v/>
      </c>
      <c r="AU477" t="str">
        <f>IF($AQ477="","",IF(INDEX(C_Pavement!$E$5:$E$204,$AQ477)&lt;&gt;"",IF(INDEX(C_Pavement!$E$5:$E$204,$AQ477)="-","",INDEX(C_Pavement!$E$5:$E$204,$AQ477)),IF($AS477="","",INDEX(E_Rules!$D$5:$D$9,$AS477))))</f>
        <v/>
      </c>
      <c r="AV477" t="str">
        <f>IF($AQ477="","",IF(INDEX(C_Pavement!$F$5:$F$204,$AQ477)&lt;&gt;"",IF(INDEX(C_Pavement!$F$5:$F$204,$AQ477)="-","",INDEX(C_Pavement!$F$5:$F$204,$AQ477)),IF($AS477="","",INDEX(E_Rules!$E$5:$E$9,$AS477))))</f>
        <v/>
      </c>
      <c r="AW477" t="str">
        <f>IF($AQ477="","",IF(INDEX(C_Pavement!$G$5:$G$204,$AQ477)&lt;&gt;"",IF(INDEX(C_Pavement!$G$5:$G$204,$AQ477)="-","",INDEX(C_Pavement!$G$5:$G$204,$AQ477)),IF($AS477="","",INDEX(E_Rules!$F$5:$F$9,$AS477))))</f>
        <v/>
      </c>
      <c r="AX477" t="str">
        <f>IF($AQ477="","",IF(INDEX(C_Pavement!$H$5:$H$204,$AQ477)&lt;&gt;"",IF(INDEX(C_Pavement!$H$5:$H$204,$AQ477)="-","",INDEX(C_Pavement!$H$5:$H$204,$AQ477)),IF($AS477="","",INDEX(E_Rules!$G$5:$G$9,$AS477))))</f>
        <v/>
      </c>
      <c r="AY477" t="str">
        <f>IF($AQ477="","",IF(INDEX(C_Pavement!$I$5:$I$204,$AQ477)&lt;&gt;"",IF(INDEX(C_Pavement!$I$5:$I$204,$AQ477)="-","",INDEX(C_Pavement!$I$5:$I$204,$AQ477)),IF($AS477="","",INDEX(E_Rules!$H$5:$H$9,$AS477))))</f>
        <v/>
      </c>
    </row>
    <row r="478" spans="1:51" ht="15.75" customHeight="1" x14ac:dyDescent="0.3">
      <c r="A478" s="189">
        <v>473</v>
      </c>
      <c r="B478" s="180">
        <v>23600</v>
      </c>
      <c r="C478" s="180" t="s">
        <v>784</v>
      </c>
      <c r="D478" s="181" t="str">
        <f>IFERROR(LOOKUP(2,1/((A_Corridor!$A$5:$A$204&lt;&gt;"")*(A_Corridor!$A$5:$A$204&lt;=$B478)*(A_Corridor!$B$5:$B$204&gt;$B478)*(A_Corridor!$C$5:$C$204&lt;&gt;"")),IF(UPPER(A_Corridor!$C$5:$C$204)="Y",1,"")),"")</f>
        <v/>
      </c>
      <c r="E478" s="181" t="str">
        <f>IFERROR(LOOKUP(2,1/((A_Corridor!$A$5:$A$204&lt;&gt;"")*(A_Corridor!$A$5:$A$204&lt;=$B478)*(A_Corridor!$B$5:$B$204&gt;$B478)*(A_Corridor!$D$5:$D$204&lt;&gt;"")),IF(A_Corridor!$D$5:$D$204="-","",UPPER(A_Corridor!$D$5:$D$204))),"")</f>
        <v/>
      </c>
      <c r="F478" s="181" t="str">
        <f>IFERROR(LOOKUP(2,1/((A_Corridor!$A$5:$A$204&lt;&gt;"")*(A_Corridor!$A$5:$A$204&lt;=$B478)*(A_Corridor!$B$5:$B$204&gt;$B478)*(A_Corridor!$E$5:$E$204&lt;&gt;"")),IF(A_Corridor!$E$5:$E$204="-","",1)),"")</f>
        <v/>
      </c>
      <c r="G478" s="182" t="str">
        <f>IFERROR(LOOKUP(2,1/((A_Corridor!$A$5:$A$204&lt;&gt;"")*(A_Corridor!$A$5:$A$204&lt;=$B478)*(A_Corridor!$B$5:$B$204&gt;$B478)*(A_Corridor!$E$5:$E$204&lt;&gt;"")),IF(A_Corridor!$E$5:$E$204="-","",A_Corridor!$E$5:$E$204)),"")</f>
        <v/>
      </c>
      <c r="H478" s="182" t="str">
        <f>IFERROR(LOOKUP(2,1/((D_Points!$A$5:$A$204&lt;&gt;"")*(D_Points!$A$5:$A$204&gt;=$B478)*(D_Points!$A$5:$A$204&lt;$B478+P_Interval)*(UPPER(TRIM(D_Points!$B$5:$B$204))="GULLY")*(D_Points!$H$5:$H$204&lt;&gt;"")),D_Points!$H$5:$H$204),"")</f>
        <v/>
      </c>
      <c r="I478" s="181" t="str">
        <f>IFERROR(LOOKUP(2,1/((A_Corridor!$A$5:$A$204&lt;&gt;"")*(A_Corridor!$A$5:$A$204&lt;=$B478)*(A_Corridor!$B$5:$B$204&gt;$B478)*(A_Corridor!$F$5:$F$204&lt;&gt;"")),IF(A_Corridor!$F$5:$F$204="-","",1)),"")</f>
        <v/>
      </c>
      <c r="J478" s="182" t="str">
        <f>IFERROR(LOOKUP(2,1/((A_Corridor!$A$5:$A$204&lt;&gt;"")*(A_Corridor!$A$5:$A$204&lt;=$B478)*(A_Corridor!$B$5:$B$204&gt;$B478)*(A_Corridor!$F$5:$F$204&lt;&gt;"")),IF(A_Corridor!$F$5:$F$204="-","",A_Corridor!$F$5:$F$204)),"")</f>
        <v/>
      </c>
      <c r="K478" s="182" t="str">
        <f>IFERROR(LOOKUP(2,1/((A_Corridor!$A$5:$A$204&lt;&gt;"")*(A_Corridor!$A$5:$A$204&lt;=$B478)*(A_Corridor!$B$5:$B$204&gt;$B478)*(A_Corridor!$G$5:$G$204&lt;&gt;"")),IF(A_Corridor!$G$5:$G$204="-","",A_Corridor!$G$5:$G$204)),"")</f>
        <v/>
      </c>
      <c r="L478" s="181" t="str">
        <f>IFERROR(LOOKUP(2,1/((A_Corridor!$A$5:$A$204&lt;&gt;"")*(A_Corridor!$A$5:$A$204&lt;=$B478)*(A_Corridor!$B$5:$B$204&gt;$B478)*(A_Corridor!$H$5:$H$204&lt;&gt;"")),IF(A_Corridor!$H$5:$H$204="-","",1)),"")</f>
        <v/>
      </c>
      <c r="M478" s="182" t="str">
        <f>IFERROR(LOOKUP(2,1/((A_Corridor!$A$5:$A$204&lt;&gt;"")*(A_Corridor!$A$5:$A$204&lt;=$B478)*(A_Corridor!$B$5:$B$204&gt;$B478)*(A_Corridor!$H$5:$H$204&lt;&gt;"")),IF(A_Corridor!$H$5:$H$204="-","",A_Corridor!$H$5:$H$204)),"")</f>
        <v/>
      </c>
      <c r="N478" s="182" t="str">
        <f>IFERROR(LOOKUP(2,1/((A_Corridor!$A$5:$A$204&lt;&gt;"")*(A_Corridor!$A$5:$A$204&lt;=$B478)*(A_Corridor!$B$5:$B$204&gt;$B478)*(A_Corridor!$I$5:$I$204&lt;&gt;"")),IF(A_Corridor!$I$5:$I$204="-","",A_Corridor!$I$5:$I$204)),"")</f>
        <v/>
      </c>
      <c r="O478" s="182" t="str">
        <f>IFERROR(LOOKUP(2,1/((D_Points!$A$5:$A$204&lt;&gt;"")*(D_Points!$A$5:$A$204&gt;=$B478)*(D_Points!$A$5:$A$204&lt;$B478+P_Interval)*(UPPER(TRIM(D_Points!$B$5:$B$204))="PITCHING")*(D_Points!$H$5:$H$204&lt;&gt;"")),D_Points!$H$5:$H$204),"")</f>
        <v/>
      </c>
      <c r="P478" s="181" t="str">
        <f>IFERROR(LOOKUP(2,1/((B_Drainage!$A$5:$A$204&lt;&gt;"")*(B_Drainage!$A$5:$A$204&lt;=$B478)*(B_Drainage!$B$5:$B$204&gt;$B478)*(B_Drainage!$C$5:$C$204&lt;&gt;"")),IF(B_Drainage!$C$5:$C$204="-","",UPPER(B_Drainage!$C$5:$C$204))),"")</f>
        <v/>
      </c>
      <c r="Q478" s="181" t="str">
        <f>IFERROR(LOOKUP(2,1/((B_Drainage!$A$5:$A$204&lt;&gt;"")*(B_Drainage!$A$5:$A$204&lt;=$B478)*(B_Drainage!$B$5:$B$204&gt;$B478)*(B_Drainage!$D$5:$D$204&lt;&gt;"")),IF(B_Drainage!$D$5:$D$204="-","",UPPER(B_Drainage!$D$5:$D$204))),"")</f>
        <v/>
      </c>
      <c r="R478" s="182" t="str">
        <f>IFERROR(LOOKUP(2,1/((D_Points!$A$5:$A$204&lt;&gt;"")*(D_Points!$A$5:$A$204&gt;=$B478)*(D_Points!$A$5:$A$204&lt;$B478+P_Interval)*(RIGHT(UPPER(TRIM(D_Points!$B$5:$B$204)),8)="_CULVERT")),IF(LEFT(UPPER(TRIM(D_Points!$B$5:$B$204)),2)="EX",1,IF(LEFT(UPPER(TRIM(D_Points!$B$5:$B$204)),2)="PR",2,3))),"")</f>
        <v/>
      </c>
      <c r="S478" s="182" t="str">
        <f>IFERROR(LOOKUP(2,1/((D_Points!$A$5:$A$204&lt;&gt;"")*(D_Points!$A$5:$A$204&gt;=$B478)*(D_Points!$A$5:$A$204&lt;$B478+P_Interval)*(RIGHT(UPPER(TRIM(D_Points!$B$5:$B$204)),7)="_BRIDGE")),IF(LEFT(UPPER(TRIM(D_Points!$B$5:$B$204)),2)="EX",1,IF(LEFT(UPPER(TRIM(D_Points!$B$5:$B$204)),2)="PR",2,2))),"")</f>
        <v/>
      </c>
      <c r="T478" s="181" t="str">
        <f>IFERROR(LOOKUP(2,1/((B_Drainage!$A$5:$A$204&lt;&gt;"")*(B_Drainage!$A$5:$A$204&lt;=$B478)*(B_Drainage!$B$5:$B$204&gt;$B478)*(B_Drainage!$E$5:$E$204&lt;&gt;"")),IF(B_Drainage!$E$5:$E$204="-","",1)),"")</f>
        <v/>
      </c>
      <c r="U478" s="181" t="str">
        <f>IFERROR(LOOKUP(2,1/((B_Drainage!$A$5:$A$204&lt;&gt;"")*(B_Drainage!$A$5:$A$204&lt;=$B478)*(B_Drainage!$B$5:$B$204&gt;$B478)*(B_Drainage!$E$5:$E$204&lt;&gt;"")),IF(B_Drainage!$E$5:$E$204="-","",B_Drainage!$E$5:$E$204)),"")</f>
        <v/>
      </c>
      <c r="V478" s="181" t="str">
        <f>IFERROR(LOOKUP(2,1/((B_Drainage!$A$5:$A$204&lt;&gt;"")*(B_Drainage!$A$5:$A$204&lt;=$B478)*(B_Drainage!$B$5:$B$204&gt;$B478)*(B_Drainage!$F$5:$F$204&lt;&gt;"")),IF(B_Drainage!$F$5:$F$204="-","",1)),"")</f>
        <v/>
      </c>
      <c r="W478" s="181" t="str">
        <f>IFERROR(LOOKUP(2,1/((B_Drainage!$A$5:$A$204&lt;&gt;"")*(B_Drainage!$A$5:$A$204&lt;=$B478)*(B_Drainage!$B$5:$B$204&gt;$B478)*(B_Drainage!$F$5:$F$204&lt;&gt;"")),IF(B_Drainage!$F$5:$F$204="-","",B_Drainage!$F$5:$F$204)),"")</f>
        <v/>
      </c>
      <c r="X478" s="181" t="str">
        <f>IFERROR(LOOKUP(2,1/((B_Drainage!$A$5:$A$204&lt;&gt;"")*(B_Drainage!$A$5:$A$204&lt;=$B478)*(B_Drainage!$B$5:$B$204&gt;$B478)*(B_Drainage!$G$5:$G$204&lt;&gt;"")),IF(UPPER(B_Drainage!$G$5:$G$204)="Y",1,"")),"")</f>
        <v/>
      </c>
      <c r="Y478" s="181" t="str">
        <f>IFERROR(LOOKUP(2,1/((B_Drainage!$A$5:$A$204&lt;&gt;"")*(B_Drainage!$A$5:$A$204&lt;=$B478)*(B_Drainage!$B$5:$B$204&gt;$B478)*(B_Drainage!$H$5:$H$204&lt;&gt;"")),IF(UPPER(B_Drainage!$H$5:$H$204)="Y",1,"")),"")</f>
        <v/>
      </c>
      <c r="Z478" s="181" t="str">
        <f>IFERROR(LOOKUP(2,1/((B_Drainage!$A$5:$A$204&lt;&gt;"")*(B_Drainage!$A$5:$A$204&lt;=$B478)*(B_Drainage!$B$5:$B$204&gt;$B478)*(B_Drainage!$I$5:$I$204&lt;&gt;"")),IF(UPPER(B_Drainage!$I$5:$I$204)="Y",1,"")),"")</f>
        <v/>
      </c>
      <c r="AA478" s="181" t="str">
        <f>IFERROR(LOOKUP(2,1/((B_Drainage!$A$5:$A$204&lt;&gt;"")*(B_Drainage!$A$5:$A$204&lt;=$B478)*(B_Drainage!$B$5:$B$204&gt;$B478)*(B_Drainage!$J$5:$J$204&lt;&gt;"")),IF(UPPER(B_Drainage!$J$5:$J$204)="Y",1,"")),"")</f>
        <v/>
      </c>
      <c r="AB478" s="182" t="str">
        <f>IFERROR(LOOKUP(2,1/((B_Drainage!$A$5:$A$204&lt;&gt;"")*(B_Drainage!$A$5:$A$204&lt;=$B478)*(B_Drainage!$B$5:$B$204&gt;$B478)*(B_Drainage!$K$5:$K$204&lt;&gt;"")),IF(B_Drainage!$K$5:$K$204="-","",B_Drainage!$K$5:$K$204)),"")</f>
        <v/>
      </c>
      <c r="AC478" s="182" t="str">
        <f>IFERROR(LOOKUP(2,1/((B_Drainage!$A$5:$A$204&lt;&gt;"")*(B_Drainage!$A$5:$A$204&lt;=$B478)*(B_Drainage!$B$5:$B$204&gt;$B478)*(B_Drainage!$L$5:$L$204&lt;&gt;"")),IF(B_Drainage!$L$5:$L$204="-","",B_Drainage!$L$5:$L$204)),"")</f>
        <v/>
      </c>
      <c r="AD478" s="182" t="str">
        <f>IFERROR(LOOKUP(2,1/((D_Points!$A$5:$A$204&lt;&gt;"")*(D_Points!$A$5:$A$204&gt;=$B478)*(D_Points!$A$5:$A$204&lt;$B478+P_Interval)*(UPPER(TRIM(D_Points!$B$5:$B$204))="TURNOUT_L")*(D_Points!$H$5:$H$204&lt;&gt;"")),D_Points!$H$5:$H$204),"")</f>
        <v/>
      </c>
      <c r="AE478" s="182" t="str">
        <f>IFERROR(LOOKUP(2,1/((D_Points!$A$5:$A$204&lt;&gt;"")*(D_Points!$A$5:$A$204&gt;=$B478)*(D_Points!$A$5:$A$204&lt;$B478+P_Interval)*(UPPER(TRIM(D_Points!$B$5:$B$204))="TURNOUT_R")*(D_Points!$H$5:$H$204&lt;&gt;"")),D_Points!$H$5:$H$204),"")</f>
        <v/>
      </c>
      <c r="AF478" s="181" t="str">
        <f>IFERROR(LOOKUP(2,1/((B_Drainage!$A$5:$A$204&lt;&gt;"")*(B_Drainage!$A$5:$A$204&lt;=$B478)*(B_Drainage!$B$5:$B$204&gt;$B478)*(B_Drainage!$M$5:$M$204&lt;&gt;"")),IF(UPPER(B_Drainage!$M$5:$M$204)="Y",1,"")),"")</f>
        <v/>
      </c>
      <c r="AG478" s="181" t="str">
        <f>IFERROR(LOOKUP(2,1/((B_Drainage!$A$5:$A$204&lt;&gt;"")*(B_Drainage!$A$5:$A$204&lt;=$B478)*(B_Drainage!$B$5:$B$204&gt;$B478)*(B_Drainage!$N$5:$N$204&lt;&gt;"")),IF(UPPER(B_Drainage!$N$5:$N$204)="Y",1,"")),"")</f>
        <v/>
      </c>
      <c r="AH478" s="181" t="str">
        <f t="shared" si="56"/>
        <v/>
      </c>
      <c r="AI478" s="181" t="str">
        <f t="shared" si="57"/>
        <v/>
      </c>
      <c r="AJ478" s="181" t="str">
        <f t="shared" si="58"/>
        <v/>
      </c>
      <c r="AK478" s="181" t="str">
        <f t="shared" si="59"/>
        <v/>
      </c>
      <c r="AL478" s="181" t="str">
        <f t="shared" si="60"/>
        <v/>
      </c>
      <c r="AM478" s="181" t="str">
        <f t="shared" si="61"/>
        <v/>
      </c>
      <c r="AN478" s="181" t="str">
        <f t="shared" si="62"/>
        <v/>
      </c>
      <c r="AO478" s="192" t="str">
        <f t="shared" si="63"/>
        <v/>
      </c>
      <c r="AQ478" t="str">
        <f>IFERROR(LOOKUP(2,1/((C_Pavement!$A$5:$A$204&lt;&gt;"")*(C_Pavement!$A$5:$A$204&lt;=$B478)*(C_Pavement!$B$5:$B$204&gt;$B478)*(C_Pavement!$C$5:$C$204&lt;&gt;"")),ROW(C_Pavement!$C$5:$C$204)-4),"")</f>
        <v/>
      </c>
      <c r="AR478" t="str">
        <f>IF($AQ478="","",UPPER(TRIM(INDEX(C_Pavement!$C$5:$C$204,$AQ478))))</f>
        <v/>
      </c>
      <c r="AS478" t="str">
        <f>IF($AR478="","",IFERROR(MATCH($AR478,E_Rules!$A$5:$A$9,0),""))</f>
        <v/>
      </c>
      <c r="AT478" t="str">
        <f>IF($AQ478="","",IF(INDEX(C_Pavement!$D$5:$D$204,$AQ478)&lt;&gt;"",UPPER(TRIM(INDEX(C_Pavement!$D$5:$D$204,$AQ478))),IF($AS478="","",INDEX(E_Rules!$C$5:$C$9,$AS478))))</f>
        <v/>
      </c>
      <c r="AU478" t="str">
        <f>IF($AQ478="","",IF(INDEX(C_Pavement!$E$5:$E$204,$AQ478)&lt;&gt;"",IF(INDEX(C_Pavement!$E$5:$E$204,$AQ478)="-","",INDEX(C_Pavement!$E$5:$E$204,$AQ478)),IF($AS478="","",INDEX(E_Rules!$D$5:$D$9,$AS478))))</f>
        <v/>
      </c>
      <c r="AV478" t="str">
        <f>IF($AQ478="","",IF(INDEX(C_Pavement!$F$5:$F$204,$AQ478)&lt;&gt;"",IF(INDEX(C_Pavement!$F$5:$F$204,$AQ478)="-","",INDEX(C_Pavement!$F$5:$F$204,$AQ478)),IF($AS478="","",INDEX(E_Rules!$E$5:$E$9,$AS478))))</f>
        <v/>
      </c>
      <c r="AW478" t="str">
        <f>IF($AQ478="","",IF(INDEX(C_Pavement!$G$5:$G$204,$AQ478)&lt;&gt;"",IF(INDEX(C_Pavement!$G$5:$G$204,$AQ478)="-","",INDEX(C_Pavement!$G$5:$G$204,$AQ478)),IF($AS478="","",INDEX(E_Rules!$F$5:$F$9,$AS478))))</f>
        <v/>
      </c>
      <c r="AX478" t="str">
        <f>IF($AQ478="","",IF(INDEX(C_Pavement!$H$5:$H$204,$AQ478)&lt;&gt;"",IF(INDEX(C_Pavement!$H$5:$H$204,$AQ478)="-","",INDEX(C_Pavement!$H$5:$H$204,$AQ478)),IF($AS478="","",INDEX(E_Rules!$G$5:$G$9,$AS478))))</f>
        <v/>
      </c>
      <c r="AY478" t="str">
        <f>IF($AQ478="","",IF(INDEX(C_Pavement!$I$5:$I$204,$AQ478)&lt;&gt;"",IF(INDEX(C_Pavement!$I$5:$I$204,$AQ478)="-","",INDEX(C_Pavement!$I$5:$I$204,$AQ478)),IF($AS478="","",INDEX(E_Rules!$H$5:$H$9,$AS478))))</f>
        <v/>
      </c>
    </row>
    <row r="479" spans="1:51" ht="15.75" customHeight="1" x14ac:dyDescent="0.3">
      <c r="A479" s="189">
        <v>474</v>
      </c>
      <c r="B479" s="180">
        <v>23650</v>
      </c>
      <c r="C479" s="180" t="s">
        <v>785</v>
      </c>
      <c r="D479" s="181" t="str">
        <f>IFERROR(LOOKUP(2,1/((A_Corridor!$A$5:$A$204&lt;&gt;"")*(A_Corridor!$A$5:$A$204&lt;=$B479)*(A_Corridor!$B$5:$B$204&gt;$B479)*(A_Corridor!$C$5:$C$204&lt;&gt;"")),IF(UPPER(A_Corridor!$C$5:$C$204)="Y",1,"")),"")</f>
        <v/>
      </c>
      <c r="E479" s="181" t="str">
        <f>IFERROR(LOOKUP(2,1/((A_Corridor!$A$5:$A$204&lt;&gt;"")*(A_Corridor!$A$5:$A$204&lt;=$B479)*(A_Corridor!$B$5:$B$204&gt;$B479)*(A_Corridor!$D$5:$D$204&lt;&gt;"")),IF(A_Corridor!$D$5:$D$204="-","",UPPER(A_Corridor!$D$5:$D$204))),"")</f>
        <v/>
      </c>
      <c r="F479" s="181" t="str">
        <f>IFERROR(LOOKUP(2,1/((A_Corridor!$A$5:$A$204&lt;&gt;"")*(A_Corridor!$A$5:$A$204&lt;=$B479)*(A_Corridor!$B$5:$B$204&gt;$B479)*(A_Corridor!$E$5:$E$204&lt;&gt;"")),IF(A_Corridor!$E$5:$E$204="-","",1)),"")</f>
        <v/>
      </c>
      <c r="G479" s="182" t="str">
        <f>IFERROR(LOOKUP(2,1/((A_Corridor!$A$5:$A$204&lt;&gt;"")*(A_Corridor!$A$5:$A$204&lt;=$B479)*(A_Corridor!$B$5:$B$204&gt;$B479)*(A_Corridor!$E$5:$E$204&lt;&gt;"")),IF(A_Corridor!$E$5:$E$204="-","",A_Corridor!$E$5:$E$204)),"")</f>
        <v/>
      </c>
      <c r="H479" s="182" t="str">
        <f>IFERROR(LOOKUP(2,1/((D_Points!$A$5:$A$204&lt;&gt;"")*(D_Points!$A$5:$A$204&gt;=$B479)*(D_Points!$A$5:$A$204&lt;$B479+P_Interval)*(UPPER(TRIM(D_Points!$B$5:$B$204))="GULLY")*(D_Points!$H$5:$H$204&lt;&gt;"")),D_Points!$H$5:$H$204),"")</f>
        <v/>
      </c>
      <c r="I479" s="181" t="str">
        <f>IFERROR(LOOKUP(2,1/((A_Corridor!$A$5:$A$204&lt;&gt;"")*(A_Corridor!$A$5:$A$204&lt;=$B479)*(A_Corridor!$B$5:$B$204&gt;$B479)*(A_Corridor!$F$5:$F$204&lt;&gt;"")),IF(A_Corridor!$F$5:$F$204="-","",1)),"")</f>
        <v/>
      </c>
      <c r="J479" s="182" t="str">
        <f>IFERROR(LOOKUP(2,1/((A_Corridor!$A$5:$A$204&lt;&gt;"")*(A_Corridor!$A$5:$A$204&lt;=$B479)*(A_Corridor!$B$5:$B$204&gt;$B479)*(A_Corridor!$F$5:$F$204&lt;&gt;"")),IF(A_Corridor!$F$5:$F$204="-","",A_Corridor!$F$5:$F$204)),"")</f>
        <v/>
      </c>
      <c r="K479" s="182" t="str">
        <f>IFERROR(LOOKUP(2,1/((A_Corridor!$A$5:$A$204&lt;&gt;"")*(A_Corridor!$A$5:$A$204&lt;=$B479)*(A_Corridor!$B$5:$B$204&gt;$B479)*(A_Corridor!$G$5:$G$204&lt;&gt;"")),IF(A_Corridor!$G$5:$G$204="-","",A_Corridor!$G$5:$G$204)),"")</f>
        <v/>
      </c>
      <c r="L479" s="181" t="str">
        <f>IFERROR(LOOKUP(2,1/((A_Corridor!$A$5:$A$204&lt;&gt;"")*(A_Corridor!$A$5:$A$204&lt;=$B479)*(A_Corridor!$B$5:$B$204&gt;$B479)*(A_Corridor!$H$5:$H$204&lt;&gt;"")),IF(A_Corridor!$H$5:$H$204="-","",1)),"")</f>
        <v/>
      </c>
      <c r="M479" s="182" t="str">
        <f>IFERROR(LOOKUP(2,1/((A_Corridor!$A$5:$A$204&lt;&gt;"")*(A_Corridor!$A$5:$A$204&lt;=$B479)*(A_Corridor!$B$5:$B$204&gt;$B479)*(A_Corridor!$H$5:$H$204&lt;&gt;"")),IF(A_Corridor!$H$5:$H$204="-","",A_Corridor!$H$5:$H$204)),"")</f>
        <v/>
      </c>
      <c r="N479" s="182" t="str">
        <f>IFERROR(LOOKUP(2,1/((A_Corridor!$A$5:$A$204&lt;&gt;"")*(A_Corridor!$A$5:$A$204&lt;=$B479)*(A_Corridor!$B$5:$B$204&gt;$B479)*(A_Corridor!$I$5:$I$204&lt;&gt;"")),IF(A_Corridor!$I$5:$I$204="-","",A_Corridor!$I$5:$I$204)),"")</f>
        <v/>
      </c>
      <c r="O479" s="182" t="str">
        <f>IFERROR(LOOKUP(2,1/((D_Points!$A$5:$A$204&lt;&gt;"")*(D_Points!$A$5:$A$204&gt;=$B479)*(D_Points!$A$5:$A$204&lt;$B479+P_Interval)*(UPPER(TRIM(D_Points!$B$5:$B$204))="PITCHING")*(D_Points!$H$5:$H$204&lt;&gt;"")),D_Points!$H$5:$H$204),"")</f>
        <v/>
      </c>
      <c r="P479" s="181" t="str">
        <f>IFERROR(LOOKUP(2,1/((B_Drainage!$A$5:$A$204&lt;&gt;"")*(B_Drainage!$A$5:$A$204&lt;=$B479)*(B_Drainage!$B$5:$B$204&gt;$B479)*(B_Drainage!$C$5:$C$204&lt;&gt;"")),IF(B_Drainage!$C$5:$C$204="-","",UPPER(B_Drainage!$C$5:$C$204))),"")</f>
        <v/>
      </c>
      <c r="Q479" s="181" t="str">
        <f>IFERROR(LOOKUP(2,1/((B_Drainage!$A$5:$A$204&lt;&gt;"")*(B_Drainage!$A$5:$A$204&lt;=$B479)*(B_Drainage!$B$5:$B$204&gt;$B479)*(B_Drainage!$D$5:$D$204&lt;&gt;"")),IF(B_Drainage!$D$5:$D$204="-","",UPPER(B_Drainage!$D$5:$D$204))),"")</f>
        <v/>
      </c>
      <c r="R479" s="182" t="str">
        <f>IFERROR(LOOKUP(2,1/((D_Points!$A$5:$A$204&lt;&gt;"")*(D_Points!$A$5:$A$204&gt;=$B479)*(D_Points!$A$5:$A$204&lt;$B479+P_Interval)*(RIGHT(UPPER(TRIM(D_Points!$B$5:$B$204)),8)="_CULVERT")),IF(LEFT(UPPER(TRIM(D_Points!$B$5:$B$204)),2)="EX",1,IF(LEFT(UPPER(TRIM(D_Points!$B$5:$B$204)),2)="PR",2,3))),"")</f>
        <v/>
      </c>
      <c r="S479" s="182" t="str">
        <f>IFERROR(LOOKUP(2,1/((D_Points!$A$5:$A$204&lt;&gt;"")*(D_Points!$A$5:$A$204&gt;=$B479)*(D_Points!$A$5:$A$204&lt;$B479+P_Interval)*(RIGHT(UPPER(TRIM(D_Points!$B$5:$B$204)),7)="_BRIDGE")),IF(LEFT(UPPER(TRIM(D_Points!$B$5:$B$204)),2)="EX",1,IF(LEFT(UPPER(TRIM(D_Points!$B$5:$B$204)),2)="PR",2,2))),"")</f>
        <v/>
      </c>
      <c r="T479" s="181" t="str">
        <f>IFERROR(LOOKUP(2,1/((B_Drainage!$A$5:$A$204&lt;&gt;"")*(B_Drainage!$A$5:$A$204&lt;=$B479)*(B_Drainage!$B$5:$B$204&gt;$B479)*(B_Drainage!$E$5:$E$204&lt;&gt;"")),IF(B_Drainage!$E$5:$E$204="-","",1)),"")</f>
        <v/>
      </c>
      <c r="U479" s="181" t="str">
        <f>IFERROR(LOOKUP(2,1/((B_Drainage!$A$5:$A$204&lt;&gt;"")*(B_Drainage!$A$5:$A$204&lt;=$B479)*(B_Drainage!$B$5:$B$204&gt;$B479)*(B_Drainage!$E$5:$E$204&lt;&gt;"")),IF(B_Drainage!$E$5:$E$204="-","",B_Drainage!$E$5:$E$204)),"")</f>
        <v/>
      </c>
      <c r="V479" s="181" t="str">
        <f>IFERROR(LOOKUP(2,1/((B_Drainage!$A$5:$A$204&lt;&gt;"")*(B_Drainage!$A$5:$A$204&lt;=$B479)*(B_Drainage!$B$5:$B$204&gt;$B479)*(B_Drainage!$F$5:$F$204&lt;&gt;"")),IF(B_Drainage!$F$5:$F$204="-","",1)),"")</f>
        <v/>
      </c>
      <c r="W479" s="181" t="str">
        <f>IFERROR(LOOKUP(2,1/((B_Drainage!$A$5:$A$204&lt;&gt;"")*(B_Drainage!$A$5:$A$204&lt;=$B479)*(B_Drainage!$B$5:$B$204&gt;$B479)*(B_Drainage!$F$5:$F$204&lt;&gt;"")),IF(B_Drainage!$F$5:$F$204="-","",B_Drainage!$F$5:$F$204)),"")</f>
        <v/>
      </c>
      <c r="X479" s="181" t="str">
        <f>IFERROR(LOOKUP(2,1/((B_Drainage!$A$5:$A$204&lt;&gt;"")*(B_Drainage!$A$5:$A$204&lt;=$B479)*(B_Drainage!$B$5:$B$204&gt;$B479)*(B_Drainage!$G$5:$G$204&lt;&gt;"")),IF(UPPER(B_Drainage!$G$5:$G$204)="Y",1,"")),"")</f>
        <v/>
      </c>
      <c r="Y479" s="181" t="str">
        <f>IFERROR(LOOKUP(2,1/((B_Drainage!$A$5:$A$204&lt;&gt;"")*(B_Drainage!$A$5:$A$204&lt;=$B479)*(B_Drainage!$B$5:$B$204&gt;$B479)*(B_Drainage!$H$5:$H$204&lt;&gt;"")),IF(UPPER(B_Drainage!$H$5:$H$204)="Y",1,"")),"")</f>
        <v/>
      </c>
      <c r="Z479" s="181" t="str">
        <f>IFERROR(LOOKUP(2,1/((B_Drainage!$A$5:$A$204&lt;&gt;"")*(B_Drainage!$A$5:$A$204&lt;=$B479)*(B_Drainage!$B$5:$B$204&gt;$B479)*(B_Drainage!$I$5:$I$204&lt;&gt;"")),IF(UPPER(B_Drainage!$I$5:$I$204)="Y",1,"")),"")</f>
        <v/>
      </c>
      <c r="AA479" s="181" t="str">
        <f>IFERROR(LOOKUP(2,1/((B_Drainage!$A$5:$A$204&lt;&gt;"")*(B_Drainage!$A$5:$A$204&lt;=$B479)*(B_Drainage!$B$5:$B$204&gt;$B479)*(B_Drainage!$J$5:$J$204&lt;&gt;"")),IF(UPPER(B_Drainage!$J$5:$J$204)="Y",1,"")),"")</f>
        <v/>
      </c>
      <c r="AB479" s="182" t="str">
        <f>IFERROR(LOOKUP(2,1/((B_Drainage!$A$5:$A$204&lt;&gt;"")*(B_Drainage!$A$5:$A$204&lt;=$B479)*(B_Drainage!$B$5:$B$204&gt;$B479)*(B_Drainage!$K$5:$K$204&lt;&gt;"")),IF(B_Drainage!$K$5:$K$204="-","",B_Drainage!$K$5:$K$204)),"")</f>
        <v/>
      </c>
      <c r="AC479" s="182" t="str">
        <f>IFERROR(LOOKUP(2,1/((B_Drainage!$A$5:$A$204&lt;&gt;"")*(B_Drainage!$A$5:$A$204&lt;=$B479)*(B_Drainage!$B$5:$B$204&gt;$B479)*(B_Drainage!$L$5:$L$204&lt;&gt;"")),IF(B_Drainage!$L$5:$L$204="-","",B_Drainage!$L$5:$L$204)),"")</f>
        <v/>
      </c>
      <c r="AD479" s="182" t="str">
        <f>IFERROR(LOOKUP(2,1/((D_Points!$A$5:$A$204&lt;&gt;"")*(D_Points!$A$5:$A$204&gt;=$B479)*(D_Points!$A$5:$A$204&lt;$B479+P_Interval)*(UPPER(TRIM(D_Points!$B$5:$B$204))="TURNOUT_L")*(D_Points!$H$5:$H$204&lt;&gt;"")),D_Points!$H$5:$H$204),"")</f>
        <v/>
      </c>
      <c r="AE479" s="182" t="str">
        <f>IFERROR(LOOKUP(2,1/((D_Points!$A$5:$A$204&lt;&gt;"")*(D_Points!$A$5:$A$204&gt;=$B479)*(D_Points!$A$5:$A$204&lt;$B479+P_Interval)*(UPPER(TRIM(D_Points!$B$5:$B$204))="TURNOUT_R")*(D_Points!$H$5:$H$204&lt;&gt;"")),D_Points!$H$5:$H$204),"")</f>
        <v/>
      </c>
      <c r="AF479" s="181" t="str">
        <f>IFERROR(LOOKUP(2,1/((B_Drainage!$A$5:$A$204&lt;&gt;"")*(B_Drainage!$A$5:$A$204&lt;=$B479)*(B_Drainage!$B$5:$B$204&gt;$B479)*(B_Drainage!$M$5:$M$204&lt;&gt;"")),IF(UPPER(B_Drainage!$M$5:$M$204)="Y",1,"")),"")</f>
        <v/>
      </c>
      <c r="AG479" s="181" t="str">
        <f>IFERROR(LOOKUP(2,1/((B_Drainage!$A$5:$A$204&lt;&gt;"")*(B_Drainage!$A$5:$A$204&lt;=$B479)*(B_Drainage!$B$5:$B$204&gt;$B479)*(B_Drainage!$N$5:$N$204&lt;&gt;"")),IF(UPPER(B_Drainage!$N$5:$N$204)="Y",1,"")),"")</f>
        <v/>
      </c>
      <c r="AH479" s="181" t="str">
        <f t="shared" si="56"/>
        <v/>
      </c>
      <c r="AI479" s="181" t="str">
        <f t="shared" si="57"/>
        <v/>
      </c>
      <c r="AJ479" s="181" t="str">
        <f t="shared" si="58"/>
        <v/>
      </c>
      <c r="AK479" s="181" t="str">
        <f t="shared" si="59"/>
        <v/>
      </c>
      <c r="AL479" s="181" t="str">
        <f t="shared" si="60"/>
        <v/>
      </c>
      <c r="AM479" s="181" t="str">
        <f t="shared" si="61"/>
        <v/>
      </c>
      <c r="AN479" s="181" t="str">
        <f t="shared" si="62"/>
        <v/>
      </c>
      <c r="AO479" s="192" t="str">
        <f t="shared" si="63"/>
        <v/>
      </c>
      <c r="AQ479" t="str">
        <f>IFERROR(LOOKUP(2,1/((C_Pavement!$A$5:$A$204&lt;&gt;"")*(C_Pavement!$A$5:$A$204&lt;=$B479)*(C_Pavement!$B$5:$B$204&gt;$B479)*(C_Pavement!$C$5:$C$204&lt;&gt;"")),ROW(C_Pavement!$C$5:$C$204)-4),"")</f>
        <v/>
      </c>
      <c r="AR479" t="str">
        <f>IF($AQ479="","",UPPER(TRIM(INDEX(C_Pavement!$C$5:$C$204,$AQ479))))</f>
        <v/>
      </c>
      <c r="AS479" t="str">
        <f>IF($AR479="","",IFERROR(MATCH($AR479,E_Rules!$A$5:$A$9,0),""))</f>
        <v/>
      </c>
      <c r="AT479" t="str">
        <f>IF($AQ479="","",IF(INDEX(C_Pavement!$D$5:$D$204,$AQ479)&lt;&gt;"",UPPER(TRIM(INDEX(C_Pavement!$D$5:$D$204,$AQ479))),IF($AS479="","",INDEX(E_Rules!$C$5:$C$9,$AS479))))</f>
        <v/>
      </c>
      <c r="AU479" t="str">
        <f>IF($AQ479="","",IF(INDEX(C_Pavement!$E$5:$E$204,$AQ479)&lt;&gt;"",IF(INDEX(C_Pavement!$E$5:$E$204,$AQ479)="-","",INDEX(C_Pavement!$E$5:$E$204,$AQ479)),IF($AS479="","",INDEX(E_Rules!$D$5:$D$9,$AS479))))</f>
        <v/>
      </c>
      <c r="AV479" t="str">
        <f>IF($AQ479="","",IF(INDEX(C_Pavement!$F$5:$F$204,$AQ479)&lt;&gt;"",IF(INDEX(C_Pavement!$F$5:$F$204,$AQ479)="-","",INDEX(C_Pavement!$F$5:$F$204,$AQ479)),IF($AS479="","",INDEX(E_Rules!$E$5:$E$9,$AS479))))</f>
        <v/>
      </c>
      <c r="AW479" t="str">
        <f>IF($AQ479="","",IF(INDEX(C_Pavement!$G$5:$G$204,$AQ479)&lt;&gt;"",IF(INDEX(C_Pavement!$G$5:$G$204,$AQ479)="-","",INDEX(C_Pavement!$G$5:$G$204,$AQ479)),IF($AS479="","",INDEX(E_Rules!$F$5:$F$9,$AS479))))</f>
        <v/>
      </c>
      <c r="AX479" t="str">
        <f>IF($AQ479="","",IF(INDEX(C_Pavement!$H$5:$H$204,$AQ479)&lt;&gt;"",IF(INDEX(C_Pavement!$H$5:$H$204,$AQ479)="-","",INDEX(C_Pavement!$H$5:$H$204,$AQ479)),IF($AS479="","",INDEX(E_Rules!$G$5:$G$9,$AS479))))</f>
        <v/>
      </c>
      <c r="AY479" t="str">
        <f>IF($AQ479="","",IF(INDEX(C_Pavement!$I$5:$I$204,$AQ479)&lt;&gt;"",IF(INDEX(C_Pavement!$I$5:$I$204,$AQ479)="-","",INDEX(C_Pavement!$I$5:$I$204,$AQ479)),IF($AS479="","",INDEX(E_Rules!$H$5:$H$9,$AS479))))</f>
        <v/>
      </c>
    </row>
    <row r="480" spans="1:51" ht="15.75" customHeight="1" x14ac:dyDescent="0.3">
      <c r="A480" s="189">
        <v>475</v>
      </c>
      <c r="B480" s="180">
        <v>23700</v>
      </c>
      <c r="C480" s="180" t="s">
        <v>786</v>
      </c>
      <c r="D480" s="181" t="str">
        <f>IFERROR(LOOKUP(2,1/((A_Corridor!$A$5:$A$204&lt;&gt;"")*(A_Corridor!$A$5:$A$204&lt;=$B480)*(A_Corridor!$B$5:$B$204&gt;$B480)*(A_Corridor!$C$5:$C$204&lt;&gt;"")),IF(UPPER(A_Corridor!$C$5:$C$204)="Y",1,"")),"")</f>
        <v/>
      </c>
      <c r="E480" s="181" t="str">
        <f>IFERROR(LOOKUP(2,1/((A_Corridor!$A$5:$A$204&lt;&gt;"")*(A_Corridor!$A$5:$A$204&lt;=$B480)*(A_Corridor!$B$5:$B$204&gt;$B480)*(A_Corridor!$D$5:$D$204&lt;&gt;"")),IF(A_Corridor!$D$5:$D$204="-","",UPPER(A_Corridor!$D$5:$D$204))),"")</f>
        <v/>
      </c>
      <c r="F480" s="181" t="str">
        <f>IFERROR(LOOKUP(2,1/((A_Corridor!$A$5:$A$204&lt;&gt;"")*(A_Corridor!$A$5:$A$204&lt;=$B480)*(A_Corridor!$B$5:$B$204&gt;$B480)*(A_Corridor!$E$5:$E$204&lt;&gt;"")),IF(A_Corridor!$E$5:$E$204="-","",1)),"")</f>
        <v/>
      </c>
      <c r="G480" s="182" t="str">
        <f>IFERROR(LOOKUP(2,1/((A_Corridor!$A$5:$A$204&lt;&gt;"")*(A_Corridor!$A$5:$A$204&lt;=$B480)*(A_Corridor!$B$5:$B$204&gt;$B480)*(A_Corridor!$E$5:$E$204&lt;&gt;"")),IF(A_Corridor!$E$5:$E$204="-","",A_Corridor!$E$5:$E$204)),"")</f>
        <v/>
      </c>
      <c r="H480" s="182" t="str">
        <f>IFERROR(LOOKUP(2,1/((D_Points!$A$5:$A$204&lt;&gt;"")*(D_Points!$A$5:$A$204&gt;=$B480)*(D_Points!$A$5:$A$204&lt;$B480+P_Interval)*(UPPER(TRIM(D_Points!$B$5:$B$204))="GULLY")*(D_Points!$H$5:$H$204&lt;&gt;"")),D_Points!$H$5:$H$204),"")</f>
        <v/>
      </c>
      <c r="I480" s="181" t="str">
        <f>IFERROR(LOOKUP(2,1/((A_Corridor!$A$5:$A$204&lt;&gt;"")*(A_Corridor!$A$5:$A$204&lt;=$B480)*(A_Corridor!$B$5:$B$204&gt;$B480)*(A_Corridor!$F$5:$F$204&lt;&gt;"")),IF(A_Corridor!$F$5:$F$204="-","",1)),"")</f>
        <v/>
      </c>
      <c r="J480" s="182" t="str">
        <f>IFERROR(LOOKUP(2,1/((A_Corridor!$A$5:$A$204&lt;&gt;"")*(A_Corridor!$A$5:$A$204&lt;=$B480)*(A_Corridor!$B$5:$B$204&gt;$B480)*(A_Corridor!$F$5:$F$204&lt;&gt;"")),IF(A_Corridor!$F$5:$F$204="-","",A_Corridor!$F$5:$F$204)),"")</f>
        <v/>
      </c>
      <c r="K480" s="182" t="str">
        <f>IFERROR(LOOKUP(2,1/((A_Corridor!$A$5:$A$204&lt;&gt;"")*(A_Corridor!$A$5:$A$204&lt;=$B480)*(A_Corridor!$B$5:$B$204&gt;$B480)*(A_Corridor!$G$5:$G$204&lt;&gt;"")),IF(A_Corridor!$G$5:$G$204="-","",A_Corridor!$G$5:$G$204)),"")</f>
        <v/>
      </c>
      <c r="L480" s="181" t="str">
        <f>IFERROR(LOOKUP(2,1/((A_Corridor!$A$5:$A$204&lt;&gt;"")*(A_Corridor!$A$5:$A$204&lt;=$B480)*(A_Corridor!$B$5:$B$204&gt;$B480)*(A_Corridor!$H$5:$H$204&lt;&gt;"")),IF(A_Corridor!$H$5:$H$204="-","",1)),"")</f>
        <v/>
      </c>
      <c r="M480" s="182" t="str">
        <f>IFERROR(LOOKUP(2,1/((A_Corridor!$A$5:$A$204&lt;&gt;"")*(A_Corridor!$A$5:$A$204&lt;=$B480)*(A_Corridor!$B$5:$B$204&gt;$B480)*(A_Corridor!$H$5:$H$204&lt;&gt;"")),IF(A_Corridor!$H$5:$H$204="-","",A_Corridor!$H$5:$H$204)),"")</f>
        <v/>
      </c>
      <c r="N480" s="182" t="str">
        <f>IFERROR(LOOKUP(2,1/((A_Corridor!$A$5:$A$204&lt;&gt;"")*(A_Corridor!$A$5:$A$204&lt;=$B480)*(A_Corridor!$B$5:$B$204&gt;$B480)*(A_Corridor!$I$5:$I$204&lt;&gt;"")),IF(A_Corridor!$I$5:$I$204="-","",A_Corridor!$I$5:$I$204)),"")</f>
        <v/>
      </c>
      <c r="O480" s="182" t="str">
        <f>IFERROR(LOOKUP(2,1/((D_Points!$A$5:$A$204&lt;&gt;"")*(D_Points!$A$5:$A$204&gt;=$B480)*(D_Points!$A$5:$A$204&lt;$B480+P_Interval)*(UPPER(TRIM(D_Points!$B$5:$B$204))="PITCHING")*(D_Points!$H$5:$H$204&lt;&gt;"")),D_Points!$H$5:$H$204),"")</f>
        <v/>
      </c>
      <c r="P480" s="181" t="str">
        <f>IFERROR(LOOKUP(2,1/((B_Drainage!$A$5:$A$204&lt;&gt;"")*(B_Drainage!$A$5:$A$204&lt;=$B480)*(B_Drainage!$B$5:$B$204&gt;$B480)*(B_Drainage!$C$5:$C$204&lt;&gt;"")),IF(B_Drainage!$C$5:$C$204="-","",UPPER(B_Drainage!$C$5:$C$204))),"")</f>
        <v/>
      </c>
      <c r="Q480" s="181" t="str">
        <f>IFERROR(LOOKUP(2,1/((B_Drainage!$A$5:$A$204&lt;&gt;"")*(B_Drainage!$A$5:$A$204&lt;=$B480)*(B_Drainage!$B$5:$B$204&gt;$B480)*(B_Drainage!$D$5:$D$204&lt;&gt;"")),IF(B_Drainage!$D$5:$D$204="-","",UPPER(B_Drainage!$D$5:$D$204))),"")</f>
        <v/>
      </c>
      <c r="R480" s="182" t="str">
        <f>IFERROR(LOOKUP(2,1/((D_Points!$A$5:$A$204&lt;&gt;"")*(D_Points!$A$5:$A$204&gt;=$B480)*(D_Points!$A$5:$A$204&lt;$B480+P_Interval)*(RIGHT(UPPER(TRIM(D_Points!$B$5:$B$204)),8)="_CULVERT")),IF(LEFT(UPPER(TRIM(D_Points!$B$5:$B$204)),2)="EX",1,IF(LEFT(UPPER(TRIM(D_Points!$B$5:$B$204)),2)="PR",2,3))),"")</f>
        <v/>
      </c>
      <c r="S480" s="182" t="str">
        <f>IFERROR(LOOKUP(2,1/((D_Points!$A$5:$A$204&lt;&gt;"")*(D_Points!$A$5:$A$204&gt;=$B480)*(D_Points!$A$5:$A$204&lt;$B480+P_Interval)*(RIGHT(UPPER(TRIM(D_Points!$B$5:$B$204)),7)="_BRIDGE")),IF(LEFT(UPPER(TRIM(D_Points!$B$5:$B$204)),2)="EX",1,IF(LEFT(UPPER(TRIM(D_Points!$B$5:$B$204)),2)="PR",2,2))),"")</f>
        <v/>
      </c>
      <c r="T480" s="181" t="str">
        <f>IFERROR(LOOKUP(2,1/((B_Drainage!$A$5:$A$204&lt;&gt;"")*(B_Drainage!$A$5:$A$204&lt;=$B480)*(B_Drainage!$B$5:$B$204&gt;$B480)*(B_Drainage!$E$5:$E$204&lt;&gt;"")),IF(B_Drainage!$E$5:$E$204="-","",1)),"")</f>
        <v/>
      </c>
      <c r="U480" s="181" t="str">
        <f>IFERROR(LOOKUP(2,1/((B_Drainage!$A$5:$A$204&lt;&gt;"")*(B_Drainage!$A$5:$A$204&lt;=$B480)*(B_Drainage!$B$5:$B$204&gt;$B480)*(B_Drainage!$E$5:$E$204&lt;&gt;"")),IF(B_Drainage!$E$5:$E$204="-","",B_Drainage!$E$5:$E$204)),"")</f>
        <v/>
      </c>
      <c r="V480" s="181" t="str">
        <f>IFERROR(LOOKUP(2,1/((B_Drainage!$A$5:$A$204&lt;&gt;"")*(B_Drainage!$A$5:$A$204&lt;=$B480)*(B_Drainage!$B$5:$B$204&gt;$B480)*(B_Drainage!$F$5:$F$204&lt;&gt;"")),IF(B_Drainage!$F$5:$F$204="-","",1)),"")</f>
        <v/>
      </c>
      <c r="W480" s="181" t="str">
        <f>IFERROR(LOOKUP(2,1/((B_Drainage!$A$5:$A$204&lt;&gt;"")*(B_Drainage!$A$5:$A$204&lt;=$B480)*(B_Drainage!$B$5:$B$204&gt;$B480)*(B_Drainage!$F$5:$F$204&lt;&gt;"")),IF(B_Drainage!$F$5:$F$204="-","",B_Drainage!$F$5:$F$204)),"")</f>
        <v/>
      </c>
      <c r="X480" s="181" t="str">
        <f>IFERROR(LOOKUP(2,1/((B_Drainage!$A$5:$A$204&lt;&gt;"")*(B_Drainage!$A$5:$A$204&lt;=$B480)*(B_Drainage!$B$5:$B$204&gt;$B480)*(B_Drainage!$G$5:$G$204&lt;&gt;"")),IF(UPPER(B_Drainage!$G$5:$G$204)="Y",1,"")),"")</f>
        <v/>
      </c>
      <c r="Y480" s="181" t="str">
        <f>IFERROR(LOOKUP(2,1/((B_Drainage!$A$5:$A$204&lt;&gt;"")*(B_Drainage!$A$5:$A$204&lt;=$B480)*(B_Drainage!$B$5:$B$204&gt;$B480)*(B_Drainage!$H$5:$H$204&lt;&gt;"")),IF(UPPER(B_Drainage!$H$5:$H$204)="Y",1,"")),"")</f>
        <v/>
      </c>
      <c r="Z480" s="181" t="str">
        <f>IFERROR(LOOKUP(2,1/((B_Drainage!$A$5:$A$204&lt;&gt;"")*(B_Drainage!$A$5:$A$204&lt;=$B480)*(B_Drainage!$B$5:$B$204&gt;$B480)*(B_Drainage!$I$5:$I$204&lt;&gt;"")),IF(UPPER(B_Drainage!$I$5:$I$204)="Y",1,"")),"")</f>
        <v/>
      </c>
      <c r="AA480" s="181" t="str">
        <f>IFERROR(LOOKUP(2,1/((B_Drainage!$A$5:$A$204&lt;&gt;"")*(B_Drainage!$A$5:$A$204&lt;=$B480)*(B_Drainage!$B$5:$B$204&gt;$B480)*(B_Drainage!$J$5:$J$204&lt;&gt;"")),IF(UPPER(B_Drainage!$J$5:$J$204)="Y",1,"")),"")</f>
        <v/>
      </c>
      <c r="AB480" s="182" t="str">
        <f>IFERROR(LOOKUP(2,1/((B_Drainage!$A$5:$A$204&lt;&gt;"")*(B_Drainage!$A$5:$A$204&lt;=$B480)*(B_Drainage!$B$5:$B$204&gt;$B480)*(B_Drainage!$K$5:$K$204&lt;&gt;"")),IF(B_Drainage!$K$5:$K$204="-","",B_Drainage!$K$5:$K$204)),"")</f>
        <v/>
      </c>
      <c r="AC480" s="182" t="str">
        <f>IFERROR(LOOKUP(2,1/((B_Drainage!$A$5:$A$204&lt;&gt;"")*(B_Drainage!$A$5:$A$204&lt;=$B480)*(B_Drainage!$B$5:$B$204&gt;$B480)*(B_Drainage!$L$5:$L$204&lt;&gt;"")),IF(B_Drainage!$L$5:$L$204="-","",B_Drainage!$L$5:$L$204)),"")</f>
        <v/>
      </c>
      <c r="AD480" s="182" t="str">
        <f>IFERROR(LOOKUP(2,1/((D_Points!$A$5:$A$204&lt;&gt;"")*(D_Points!$A$5:$A$204&gt;=$B480)*(D_Points!$A$5:$A$204&lt;$B480+P_Interval)*(UPPER(TRIM(D_Points!$B$5:$B$204))="TURNOUT_L")*(D_Points!$H$5:$H$204&lt;&gt;"")),D_Points!$H$5:$H$204),"")</f>
        <v/>
      </c>
      <c r="AE480" s="182" t="str">
        <f>IFERROR(LOOKUP(2,1/((D_Points!$A$5:$A$204&lt;&gt;"")*(D_Points!$A$5:$A$204&gt;=$B480)*(D_Points!$A$5:$A$204&lt;$B480+P_Interval)*(UPPER(TRIM(D_Points!$B$5:$B$204))="TURNOUT_R")*(D_Points!$H$5:$H$204&lt;&gt;"")),D_Points!$H$5:$H$204),"")</f>
        <v/>
      </c>
      <c r="AF480" s="181" t="str">
        <f>IFERROR(LOOKUP(2,1/((B_Drainage!$A$5:$A$204&lt;&gt;"")*(B_Drainage!$A$5:$A$204&lt;=$B480)*(B_Drainage!$B$5:$B$204&gt;$B480)*(B_Drainage!$M$5:$M$204&lt;&gt;"")),IF(UPPER(B_Drainage!$M$5:$M$204)="Y",1,"")),"")</f>
        <v/>
      </c>
      <c r="AG480" s="181" t="str">
        <f>IFERROR(LOOKUP(2,1/((B_Drainage!$A$5:$A$204&lt;&gt;"")*(B_Drainage!$A$5:$A$204&lt;=$B480)*(B_Drainage!$B$5:$B$204&gt;$B480)*(B_Drainage!$N$5:$N$204&lt;&gt;"")),IF(UPPER(B_Drainage!$N$5:$N$204)="Y",1,"")),"")</f>
        <v/>
      </c>
      <c r="AH480" s="181" t="str">
        <f t="shared" si="56"/>
        <v/>
      </c>
      <c r="AI480" s="181" t="str">
        <f t="shared" si="57"/>
        <v/>
      </c>
      <c r="AJ480" s="181" t="str">
        <f t="shared" si="58"/>
        <v/>
      </c>
      <c r="AK480" s="181" t="str">
        <f t="shared" si="59"/>
        <v/>
      </c>
      <c r="AL480" s="181" t="str">
        <f t="shared" si="60"/>
        <v/>
      </c>
      <c r="AM480" s="181" t="str">
        <f t="shared" si="61"/>
        <v/>
      </c>
      <c r="AN480" s="181" t="str">
        <f t="shared" si="62"/>
        <v/>
      </c>
      <c r="AO480" s="192" t="str">
        <f t="shared" si="63"/>
        <v/>
      </c>
      <c r="AQ480" t="str">
        <f>IFERROR(LOOKUP(2,1/((C_Pavement!$A$5:$A$204&lt;&gt;"")*(C_Pavement!$A$5:$A$204&lt;=$B480)*(C_Pavement!$B$5:$B$204&gt;$B480)*(C_Pavement!$C$5:$C$204&lt;&gt;"")),ROW(C_Pavement!$C$5:$C$204)-4),"")</f>
        <v/>
      </c>
      <c r="AR480" t="str">
        <f>IF($AQ480="","",UPPER(TRIM(INDEX(C_Pavement!$C$5:$C$204,$AQ480))))</f>
        <v/>
      </c>
      <c r="AS480" t="str">
        <f>IF($AR480="","",IFERROR(MATCH($AR480,E_Rules!$A$5:$A$9,0),""))</f>
        <v/>
      </c>
      <c r="AT480" t="str">
        <f>IF($AQ480="","",IF(INDEX(C_Pavement!$D$5:$D$204,$AQ480)&lt;&gt;"",UPPER(TRIM(INDEX(C_Pavement!$D$5:$D$204,$AQ480))),IF($AS480="","",INDEX(E_Rules!$C$5:$C$9,$AS480))))</f>
        <v/>
      </c>
      <c r="AU480" t="str">
        <f>IF($AQ480="","",IF(INDEX(C_Pavement!$E$5:$E$204,$AQ480)&lt;&gt;"",IF(INDEX(C_Pavement!$E$5:$E$204,$AQ480)="-","",INDEX(C_Pavement!$E$5:$E$204,$AQ480)),IF($AS480="","",INDEX(E_Rules!$D$5:$D$9,$AS480))))</f>
        <v/>
      </c>
      <c r="AV480" t="str">
        <f>IF($AQ480="","",IF(INDEX(C_Pavement!$F$5:$F$204,$AQ480)&lt;&gt;"",IF(INDEX(C_Pavement!$F$5:$F$204,$AQ480)="-","",INDEX(C_Pavement!$F$5:$F$204,$AQ480)),IF($AS480="","",INDEX(E_Rules!$E$5:$E$9,$AS480))))</f>
        <v/>
      </c>
      <c r="AW480" t="str">
        <f>IF($AQ480="","",IF(INDEX(C_Pavement!$G$5:$G$204,$AQ480)&lt;&gt;"",IF(INDEX(C_Pavement!$G$5:$G$204,$AQ480)="-","",INDEX(C_Pavement!$G$5:$G$204,$AQ480)),IF($AS480="","",INDEX(E_Rules!$F$5:$F$9,$AS480))))</f>
        <v/>
      </c>
      <c r="AX480" t="str">
        <f>IF($AQ480="","",IF(INDEX(C_Pavement!$H$5:$H$204,$AQ480)&lt;&gt;"",IF(INDEX(C_Pavement!$H$5:$H$204,$AQ480)="-","",INDEX(C_Pavement!$H$5:$H$204,$AQ480)),IF($AS480="","",INDEX(E_Rules!$G$5:$G$9,$AS480))))</f>
        <v/>
      </c>
      <c r="AY480" t="str">
        <f>IF($AQ480="","",IF(INDEX(C_Pavement!$I$5:$I$204,$AQ480)&lt;&gt;"",IF(INDEX(C_Pavement!$I$5:$I$204,$AQ480)="-","",INDEX(C_Pavement!$I$5:$I$204,$AQ480)),IF($AS480="","",INDEX(E_Rules!$H$5:$H$9,$AS480))))</f>
        <v/>
      </c>
    </row>
    <row r="481" spans="1:51" ht="15.75" customHeight="1" x14ac:dyDescent="0.3">
      <c r="A481" s="189">
        <v>476</v>
      </c>
      <c r="B481" s="180">
        <v>23750</v>
      </c>
      <c r="C481" s="180" t="s">
        <v>787</v>
      </c>
      <c r="D481" s="181" t="str">
        <f>IFERROR(LOOKUP(2,1/((A_Corridor!$A$5:$A$204&lt;&gt;"")*(A_Corridor!$A$5:$A$204&lt;=$B481)*(A_Corridor!$B$5:$B$204&gt;$B481)*(A_Corridor!$C$5:$C$204&lt;&gt;"")),IF(UPPER(A_Corridor!$C$5:$C$204)="Y",1,"")),"")</f>
        <v/>
      </c>
      <c r="E481" s="181" t="str">
        <f>IFERROR(LOOKUP(2,1/((A_Corridor!$A$5:$A$204&lt;&gt;"")*(A_Corridor!$A$5:$A$204&lt;=$B481)*(A_Corridor!$B$5:$B$204&gt;$B481)*(A_Corridor!$D$5:$D$204&lt;&gt;"")),IF(A_Corridor!$D$5:$D$204="-","",UPPER(A_Corridor!$D$5:$D$204))),"")</f>
        <v/>
      </c>
      <c r="F481" s="181" t="str">
        <f>IFERROR(LOOKUP(2,1/((A_Corridor!$A$5:$A$204&lt;&gt;"")*(A_Corridor!$A$5:$A$204&lt;=$B481)*(A_Corridor!$B$5:$B$204&gt;$B481)*(A_Corridor!$E$5:$E$204&lt;&gt;"")),IF(A_Corridor!$E$5:$E$204="-","",1)),"")</f>
        <v/>
      </c>
      <c r="G481" s="182" t="str">
        <f>IFERROR(LOOKUP(2,1/((A_Corridor!$A$5:$A$204&lt;&gt;"")*(A_Corridor!$A$5:$A$204&lt;=$B481)*(A_Corridor!$B$5:$B$204&gt;$B481)*(A_Corridor!$E$5:$E$204&lt;&gt;"")),IF(A_Corridor!$E$5:$E$204="-","",A_Corridor!$E$5:$E$204)),"")</f>
        <v/>
      </c>
      <c r="H481" s="182" t="str">
        <f>IFERROR(LOOKUP(2,1/((D_Points!$A$5:$A$204&lt;&gt;"")*(D_Points!$A$5:$A$204&gt;=$B481)*(D_Points!$A$5:$A$204&lt;$B481+P_Interval)*(UPPER(TRIM(D_Points!$B$5:$B$204))="GULLY")*(D_Points!$H$5:$H$204&lt;&gt;"")),D_Points!$H$5:$H$204),"")</f>
        <v/>
      </c>
      <c r="I481" s="181" t="str">
        <f>IFERROR(LOOKUP(2,1/((A_Corridor!$A$5:$A$204&lt;&gt;"")*(A_Corridor!$A$5:$A$204&lt;=$B481)*(A_Corridor!$B$5:$B$204&gt;$B481)*(A_Corridor!$F$5:$F$204&lt;&gt;"")),IF(A_Corridor!$F$5:$F$204="-","",1)),"")</f>
        <v/>
      </c>
      <c r="J481" s="182" t="str">
        <f>IFERROR(LOOKUP(2,1/((A_Corridor!$A$5:$A$204&lt;&gt;"")*(A_Corridor!$A$5:$A$204&lt;=$B481)*(A_Corridor!$B$5:$B$204&gt;$B481)*(A_Corridor!$F$5:$F$204&lt;&gt;"")),IF(A_Corridor!$F$5:$F$204="-","",A_Corridor!$F$5:$F$204)),"")</f>
        <v/>
      </c>
      <c r="K481" s="182" t="str">
        <f>IFERROR(LOOKUP(2,1/((A_Corridor!$A$5:$A$204&lt;&gt;"")*(A_Corridor!$A$5:$A$204&lt;=$B481)*(A_Corridor!$B$5:$B$204&gt;$B481)*(A_Corridor!$G$5:$G$204&lt;&gt;"")),IF(A_Corridor!$G$5:$G$204="-","",A_Corridor!$G$5:$G$204)),"")</f>
        <v/>
      </c>
      <c r="L481" s="181" t="str">
        <f>IFERROR(LOOKUP(2,1/((A_Corridor!$A$5:$A$204&lt;&gt;"")*(A_Corridor!$A$5:$A$204&lt;=$B481)*(A_Corridor!$B$5:$B$204&gt;$B481)*(A_Corridor!$H$5:$H$204&lt;&gt;"")),IF(A_Corridor!$H$5:$H$204="-","",1)),"")</f>
        <v/>
      </c>
      <c r="M481" s="182" t="str">
        <f>IFERROR(LOOKUP(2,1/((A_Corridor!$A$5:$A$204&lt;&gt;"")*(A_Corridor!$A$5:$A$204&lt;=$B481)*(A_Corridor!$B$5:$B$204&gt;$B481)*(A_Corridor!$H$5:$H$204&lt;&gt;"")),IF(A_Corridor!$H$5:$H$204="-","",A_Corridor!$H$5:$H$204)),"")</f>
        <v/>
      </c>
      <c r="N481" s="182" t="str">
        <f>IFERROR(LOOKUP(2,1/((A_Corridor!$A$5:$A$204&lt;&gt;"")*(A_Corridor!$A$5:$A$204&lt;=$B481)*(A_Corridor!$B$5:$B$204&gt;$B481)*(A_Corridor!$I$5:$I$204&lt;&gt;"")),IF(A_Corridor!$I$5:$I$204="-","",A_Corridor!$I$5:$I$204)),"")</f>
        <v/>
      </c>
      <c r="O481" s="182" t="str">
        <f>IFERROR(LOOKUP(2,1/((D_Points!$A$5:$A$204&lt;&gt;"")*(D_Points!$A$5:$A$204&gt;=$B481)*(D_Points!$A$5:$A$204&lt;$B481+P_Interval)*(UPPER(TRIM(D_Points!$B$5:$B$204))="PITCHING")*(D_Points!$H$5:$H$204&lt;&gt;"")),D_Points!$H$5:$H$204),"")</f>
        <v/>
      </c>
      <c r="P481" s="181" t="str">
        <f>IFERROR(LOOKUP(2,1/((B_Drainage!$A$5:$A$204&lt;&gt;"")*(B_Drainage!$A$5:$A$204&lt;=$B481)*(B_Drainage!$B$5:$B$204&gt;$B481)*(B_Drainage!$C$5:$C$204&lt;&gt;"")),IF(B_Drainage!$C$5:$C$204="-","",UPPER(B_Drainage!$C$5:$C$204))),"")</f>
        <v/>
      </c>
      <c r="Q481" s="181" t="str">
        <f>IFERROR(LOOKUP(2,1/((B_Drainage!$A$5:$A$204&lt;&gt;"")*(B_Drainage!$A$5:$A$204&lt;=$B481)*(B_Drainage!$B$5:$B$204&gt;$B481)*(B_Drainage!$D$5:$D$204&lt;&gt;"")),IF(B_Drainage!$D$5:$D$204="-","",UPPER(B_Drainage!$D$5:$D$204))),"")</f>
        <v/>
      </c>
      <c r="R481" s="182" t="str">
        <f>IFERROR(LOOKUP(2,1/((D_Points!$A$5:$A$204&lt;&gt;"")*(D_Points!$A$5:$A$204&gt;=$B481)*(D_Points!$A$5:$A$204&lt;$B481+P_Interval)*(RIGHT(UPPER(TRIM(D_Points!$B$5:$B$204)),8)="_CULVERT")),IF(LEFT(UPPER(TRIM(D_Points!$B$5:$B$204)),2)="EX",1,IF(LEFT(UPPER(TRIM(D_Points!$B$5:$B$204)),2)="PR",2,3))),"")</f>
        <v/>
      </c>
      <c r="S481" s="182" t="str">
        <f>IFERROR(LOOKUP(2,1/((D_Points!$A$5:$A$204&lt;&gt;"")*(D_Points!$A$5:$A$204&gt;=$B481)*(D_Points!$A$5:$A$204&lt;$B481+P_Interval)*(RIGHT(UPPER(TRIM(D_Points!$B$5:$B$204)),7)="_BRIDGE")),IF(LEFT(UPPER(TRIM(D_Points!$B$5:$B$204)),2)="EX",1,IF(LEFT(UPPER(TRIM(D_Points!$B$5:$B$204)),2)="PR",2,2))),"")</f>
        <v/>
      </c>
      <c r="T481" s="181" t="str">
        <f>IFERROR(LOOKUP(2,1/((B_Drainage!$A$5:$A$204&lt;&gt;"")*(B_Drainage!$A$5:$A$204&lt;=$B481)*(B_Drainage!$B$5:$B$204&gt;$B481)*(B_Drainage!$E$5:$E$204&lt;&gt;"")),IF(B_Drainage!$E$5:$E$204="-","",1)),"")</f>
        <v/>
      </c>
      <c r="U481" s="181" t="str">
        <f>IFERROR(LOOKUP(2,1/((B_Drainage!$A$5:$A$204&lt;&gt;"")*(B_Drainage!$A$5:$A$204&lt;=$B481)*(B_Drainage!$B$5:$B$204&gt;$B481)*(B_Drainage!$E$5:$E$204&lt;&gt;"")),IF(B_Drainage!$E$5:$E$204="-","",B_Drainage!$E$5:$E$204)),"")</f>
        <v/>
      </c>
      <c r="V481" s="181" t="str">
        <f>IFERROR(LOOKUP(2,1/((B_Drainage!$A$5:$A$204&lt;&gt;"")*(B_Drainage!$A$5:$A$204&lt;=$B481)*(B_Drainage!$B$5:$B$204&gt;$B481)*(B_Drainage!$F$5:$F$204&lt;&gt;"")),IF(B_Drainage!$F$5:$F$204="-","",1)),"")</f>
        <v/>
      </c>
      <c r="W481" s="181" t="str">
        <f>IFERROR(LOOKUP(2,1/((B_Drainage!$A$5:$A$204&lt;&gt;"")*(B_Drainage!$A$5:$A$204&lt;=$B481)*(B_Drainage!$B$5:$B$204&gt;$B481)*(B_Drainage!$F$5:$F$204&lt;&gt;"")),IF(B_Drainage!$F$5:$F$204="-","",B_Drainage!$F$5:$F$204)),"")</f>
        <v/>
      </c>
      <c r="X481" s="181" t="str">
        <f>IFERROR(LOOKUP(2,1/((B_Drainage!$A$5:$A$204&lt;&gt;"")*(B_Drainage!$A$5:$A$204&lt;=$B481)*(B_Drainage!$B$5:$B$204&gt;$B481)*(B_Drainage!$G$5:$G$204&lt;&gt;"")),IF(UPPER(B_Drainage!$G$5:$G$204)="Y",1,"")),"")</f>
        <v/>
      </c>
      <c r="Y481" s="181" t="str">
        <f>IFERROR(LOOKUP(2,1/((B_Drainage!$A$5:$A$204&lt;&gt;"")*(B_Drainage!$A$5:$A$204&lt;=$B481)*(B_Drainage!$B$5:$B$204&gt;$B481)*(B_Drainage!$H$5:$H$204&lt;&gt;"")),IF(UPPER(B_Drainage!$H$5:$H$204)="Y",1,"")),"")</f>
        <v/>
      </c>
      <c r="Z481" s="181" t="str">
        <f>IFERROR(LOOKUP(2,1/((B_Drainage!$A$5:$A$204&lt;&gt;"")*(B_Drainage!$A$5:$A$204&lt;=$B481)*(B_Drainage!$B$5:$B$204&gt;$B481)*(B_Drainage!$I$5:$I$204&lt;&gt;"")),IF(UPPER(B_Drainage!$I$5:$I$204)="Y",1,"")),"")</f>
        <v/>
      </c>
      <c r="AA481" s="181" t="str">
        <f>IFERROR(LOOKUP(2,1/((B_Drainage!$A$5:$A$204&lt;&gt;"")*(B_Drainage!$A$5:$A$204&lt;=$B481)*(B_Drainage!$B$5:$B$204&gt;$B481)*(B_Drainage!$J$5:$J$204&lt;&gt;"")),IF(UPPER(B_Drainage!$J$5:$J$204)="Y",1,"")),"")</f>
        <v/>
      </c>
      <c r="AB481" s="182" t="str">
        <f>IFERROR(LOOKUP(2,1/((B_Drainage!$A$5:$A$204&lt;&gt;"")*(B_Drainage!$A$5:$A$204&lt;=$B481)*(B_Drainage!$B$5:$B$204&gt;$B481)*(B_Drainage!$K$5:$K$204&lt;&gt;"")),IF(B_Drainage!$K$5:$K$204="-","",B_Drainage!$K$5:$K$204)),"")</f>
        <v/>
      </c>
      <c r="AC481" s="182" t="str">
        <f>IFERROR(LOOKUP(2,1/((B_Drainage!$A$5:$A$204&lt;&gt;"")*(B_Drainage!$A$5:$A$204&lt;=$B481)*(B_Drainage!$B$5:$B$204&gt;$B481)*(B_Drainage!$L$5:$L$204&lt;&gt;"")),IF(B_Drainage!$L$5:$L$204="-","",B_Drainage!$L$5:$L$204)),"")</f>
        <v/>
      </c>
      <c r="AD481" s="182" t="str">
        <f>IFERROR(LOOKUP(2,1/((D_Points!$A$5:$A$204&lt;&gt;"")*(D_Points!$A$5:$A$204&gt;=$B481)*(D_Points!$A$5:$A$204&lt;$B481+P_Interval)*(UPPER(TRIM(D_Points!$B$5:$B$204))="TURNOUT_L")*(D_Points!$H$5:$H$204&lt;&gt;"")),D_Points!$H$5:$H$204),"")</f>
        <v/>
      </c>
      <c r="AE481" s="182" t="str">
        <f>IFERROR(LOOKUP(2,1/((D_Points!$A$5:$A$204&lt;&gt;"")*(D_Points!$A$5:$A$204&gt;=$B481)*(D_Points!$A$5:$A$204&lt;$B481+P_Interval)*(UPPER(TRIM(D_Points!$B$5:$B$204))="TURNOUT_R")*(D_Points!$H$5:$H$204&lt;&gt;"")),D_Points!$H$5:$H$204),"")</f>
        <v/>
      </c>
      <c r="AF481" s="181" t="str">
        <f>IFERROR(LOOKUP(2,1/((B_Drainage!$A$5:$A$204&lt;&gt;"")*(B_Drainage!$A$5:$A$204&lt;=$B481)*(B_Drainage!$B$5:$B$204&gt;$B481)*(B_Drainage!$M$5:$M$204&lt;&gt;"")),IF(UPPER(B_Drainage!$M$5:$M$204)="Y",1,"")),"")</f>
        <v/>
      </c>
      <c r="AG481" s="181" t="str">
        <f>IFERROR(LOOKUP(2,1/((B_Drainage!$A$5:$A$204&lt;&gt;"")*(B_Drainage!$A$5:$A$204&lt;=$B481)*(B_Drainage!$B$5:$B$204&gt;$B481)*(B_Drainage!$N$5:$N$204&lt;&gt;"")),IF(UPPER(B_Drainage!$N$5:$N$204)="Y",1,"")),"")</f>
        <v/>
      </c>
      <c r="AH481" s="181" t="str">
        <f t="shared" si="56"/>
        <v/>
      </c>
      <c r="AI481" s="181" t="str">
        <f t="shared" si="57"/>
        <v/>
      </c>
      <c r="AJ481" s="181" t="str">
        <f t="shared" si="58"/>
        <v/>
      </c>
      <c r="AK481" s="181" t="str">
        <f t="shared" si="59"/>
        <v/>
      </c>
      <c r="AL481" s="181" t="str">
        <f t="shared" si="60"/>
        <v/>
      </c>
      <c r="AM481" s="181" t="str">
        <f t="shared" si="61"/>
        <v/>
      </c>
      <c r="AN481" s="181" t="str">
        <f t="shared" si="62"/>
        <v/>
      </c>
      <c r="AO481" s="192" t="str">
        <f t="shared" si="63"/>
        <v/>
      </c>
      <c r="AQ481" t="str">
        <f>IFERROR(LOOKUP(2,1/((C_Pavement!$A$5:$A$204&lt;&gt;"")*(C_Pavement!$A$5:$A$204&lt;=$B481)*(C_Pavement!$B$5:$B$204&gt;$B481)*(C_Pavement!$C$5:$C$204&lt;&gt;"")),ROW(C_Pavement!$C$5:$C$204)-4),"")</f>
        <v/>
      </c>
      <c r="AR481" t="str">
        <f>IF($AQ481="","",UPPER(TRIM(INDEX(C_Pavement!$C$5:$C$204,$AQ481))))</f>
        <v/>
      </c>
      <c r="AS481" t="str">
        <f>IF($AR481="","",IFERROR(MATCH($AR481,E_Rules!$A$5:$A$9,0),""))</f>
        <v/>
      </c>
      <c r="AT481" t="str">
        <f>IF($AQ481="","",IF(INDEX(C_Pavement!$D$5:$D$204,$AQ481)&lt;&gt;"",UPPER(TRIM(INDEX(C_Pavement!$D$5:$D$204,$AQ481))),IF($AS481="","",INDEX(E_Rules!$C$5:$C$9,$AS481))))</f>
        <v/>
      </c>
      <c r="AU481" t="str">
        <f>IF($AQ481="","",IF(INDEX(C_Pavement!$E$5:$E$204,$AQ481)&lt;&gt;"",IF(INDEX(C_Pavement!$E$5:$E$204,$AQ481)="-","",INDEX(C_Pavement!$E$5:$E$204,$AQ481)),IF($AS481="","",INDEX(E_Rules!$D$5:$D$9,$AS481))))</f>
        <v/>
      </c>
      <c r="AV481" t="str">
        <f>IF($AQ481="","",IF(INDEX(C_Pavement!$F$5:$F$204,$AQ481)&lt;&gt;"",IF(INDEX(C_Pavement!$F$5:$F$204,$AQ481)="-","",INDEX(C_Pavement!$F$5:$F$204,$AQ481)),IF($AS481="","",INDEX(E_Rules!$E$5:$E$9,$AS481))))</f>
        <v/>
      </c>
      <c r="AW481" t="str">
        <f>IF($AQ481="","",IF(INDEX(C_Pavement!$G$5:$G$204,$AQ481)&lt;&gt;"",IF(INDEX(C_Pavement!$G$5:$G$204,$AQ481)="-","",INDEX(C_Pavement!$G$5:$G$204,$AQ481)),IF($AS481="","",INDEX(E_Rules!$F$5:$F$9,$AS481))))</f>
        <v/>
      </c>
      <c r="AX481" t="str">
        <f>IF($AQ481="","",IF(INDEX(C_Pavement!$H$5:$H$204,$AQ481)&lt;&gt;"",IF(INDEX(C_Pavement!$H$5:$H$204,$AQ481)="-","",INDEX(C_Pavement!$H$5:$H$204,$AQ481)),IF($AS481="","",INDEX(E_Rules!$G$5:$G$9,$AS481))))</f>
        <v/>
      </c>
      <c r="AY481" t="str">
        <f>IF($AQ481="","",IF(INDEX(C_Pavement!$I$5:$I$204,$AQ481)&lt;&gt;"",IF(INDEX(C_Pavement!$I$5:$I$204,$AQ481)="-","",INDEX(C_Pavement!$I$5:$I$204,$AQ481)),IF($AS481="","",INDEX(E_Rules!$H$5:$H$9,$AS481))))</f>
        <v/>
      </c>
    </row>
    <row r="482" spans="1:51" ht="15.75" customHeight="1" x14ac:dyDescent="0.3">
      <c r="A482" s="189">
        <v>477</v>
      </c>
      <c r="B482" s="180">
        <v>23800</v>
      </c>
      <c r="C482" s="180" t="s">
        <v>788</v>
      </c>
      <c r="D482" s="181" t="str">
        <f>IFERROR(LOOKUP(2,1/((A_Corridor!$A$5:$A$204&lt;&gt;"")*(A_Corridor!$A$5:$A$204&lt;=$B482)*(A_Corridor!$B$5:$B$204&gt;$B482)*(A_Corridor!$C$5:$C$204&lt;&gt;"")),IF(UPPER(A_Corridor!$C$5:$C$204)="Y",1,"")),"")</f>
        <v/>
      </c>
      <c r="E482" s="181" t="str">
        <f>IFERROR(LOOKUP(2,1/((A_Corridor!$A$5:$A$204&lt;&gt;"")*(A_Corridor!$A$5:$A$204&lt;=$B482)*(A_Corridor!$B$5:$B$204&gt;$B482)*(A_Corridor!$D$5:$D$204&lt;&gt;"")),IF(A_Corridor!$D$5:$D$204="-","",UPPER(A_Corridor!$D$5:$D$204))),"")</f>
        <v/>
      </c>
      <c r="F482" s="181" t="str">
        <f>IFERROR(LOOKUP(2,1/((A_Corridor!$A$5:$A$204&lt;&gt;"")*(A_Corridor!$A$5:$A$204&lt;=$B482)*(A_Corridor!$B$5:$B$204&gt;$B482)*(A_Corridor!$E$5:$E$204&lt;&gt;"")),IF(A_Corridor!$E$5:$E$204="-","",1)),"")</f>
        <v/>
      </c>
      <c r="G482" s="182" t="str">
        <f>IFERROR(LOOKUP(2,1/((A_Corridor!$A$5:$A$204&lt;&gt;"")*(A_Corridor!$A$5:$A$204&lt;=$B482)*(A_Corridor!$B$5:$B$204&gt;$B482)*(A_Corridor!$E$5:$E$204&lt;&gt;"")),IF(A_Corridor!$E$5:$E$204="-","",A_Corridor!$E$5:$E$204)),"")</f>
        <v/>
      </c>
      <c r="H482" s="182" t="str">
        <f>IFERROR(LOOKUP(2,1/((D_Points!$A$5:$A$204&lt;&gt;"")*(D_Points!$A$5:$A$204&gt;=$B482)*(D_Points!$A$5:$A$204&lt;$B482+P_Interval)*(UPPER(TRIM(D_Points!$B$5:$B$204))="GULLY")*(D_Points!$H$5:$H$204&lt;&gt;"")),D_Points!$H$5:$H$204),"")</f>
        <v/>
      </c>
      <c r="I482" s="181" t="str">
        <f>IFERROR(LOOKUP(2,1/((A_Corridor!$A$5:$A$204&lt;&gt;"")*(A_Corridor!$A$5:$A$204&lt;=$B482)*(A_Corridor!$B$5:$B$204&gt;$B482)*(A_Corridor!$F$5:$F$204&lt;&gt;"")),IF(A_Corridor!$F$5:$F$204="-","",1)),"")</f>
        <v/>
      </c>
      <c r="J482" s="182" t="str">
        <f>IFERROR(LOOKUP(2,1/((A_Corridor!$A$5:$A$204&lt;&gt;"")*(A_Corridor!$A$5:$A$204&lt;=$B482)*(A_Corridor!$B$5:$B$204&gt;$B482)*(A_Corridor!$F$5:$F$204&lt;&gt;"")),IF(A_Corridor!$F$5:$F$204="-","",A_Corridor!$F$5:$F$204)),"")</f>
        <v/>
      </c>
      <c r="K482" s="182" t="str">
        <f>IFERROR(LOOKUP(2,1/((A_Corridor!$A$5:$A$204&lt;&gt;"")*(A_Corridor!$A$5:$A$204&lt;=$B482)*(A_Corridor!$B$5:$B$204&gt;$B482)*(A_Corridor!$G$5:$G$204&lt;&gt;"")),IF(A_Corridor!$G$5:$G$204="-","",A_Corridor!$G$5:$G$204)),"")</f>
        <v/>
      </c>
      <c r="L482" s="181" t="str">
        <f>IFERROR(LOOKUP(2,1/((A_Corridor!$A$5:$A$204&lt;&gt;"")*(A_Corridor!$A$5:$A$204&lt;=$B482)*(A_Corridor!$B$5:$B$204&gt;$B482)*(A_Corridor!$H$5:$H$204&lt;&gt;"")),IF(A_Corridor!$H$5:$H$204="-","",1)),"")</f>
        <v/>
      </c>
      <c r="M482" s="182" t="str">
        <f>IFERROR(LOOKUP(2,1/((A_Corridor!$A$5:$A$204&lt;&gt;"")*(A_Corridor!$A$5:$A$204&lt;=$B482)*(A_Corridor!$B$5:$B$204&gt;$B482)*(A_Corridor!$H$5:$H$204&lt;&gt;"")),IF(A_Corridor!$H$5:$H$204="-","",A_Corridor!$H$5:$H$204)),"")</f>
        <v/>
      </c>
      <c r="N482" s="182" t="str">
        <f>IFERROR(LOOKUP(2,1/((A_Corridor!$A$5:$A$204&lt;&gt;"")*(A_Corridor!$A$5:$A$204&lt;=$B482)*(A_Corridor!$B$5:$B$204&gt;$B482)*(A_Corridor!$I$5:$I$204&lt;&gt;"")),IF(A_Corridor!$I$5:$I$204="-","",A_Corridor!$I$5:$I$204)),"")</f>
        <v/>
      </c>
      <c r="O482" s="182" t="str">
        <f>IFERROR(LOOKUP(2,1/((D_Points!$A$5:$A$204&lt;&gt;"")*(D_Points!$A$5:$A$204&gt;=$B482)*(D_Points!$A$5:$A$204&lt;$B482+P_Interval)*(UPPER(TRIM(D_Points!$B$5:$B$204))="PITCHING")*(D_Points!$H$5:$H$204&lt;&gt;"")),D_Points!$H$5:$H$204),"")</f>
        <v/>
      </c>
      <c r="P482" s="181" t="str">
        <f>IFERROR(LOOKUP(2,1/((B_Drainage!$A$5:$A$204&lt;&gt;"")*(B_Drainage!$A$5:$A$204&lt;=$B482)*(B_Drainage!$B$5:$B$204&gt;$B482)*(B_Drainage!$C$5:$C$204&lt;&gt;"")),IF(B_Drainage!$C$5:$C$204="-","",UPPER(B_Drainage!$C$5:$C$204))),"")</f>
        <v/>
      </c>
      <c r="Q482" s="181" t="str">
        <f>IFERROR(LOOKUP(2,1/((B_Drainage!$A$5:$A$204&lt;&gt;"")*(B_Drainage!$A$5:$A$204&lt;=$B482)*(B_Drainage!$B$5:$B$204&gt;$B482)*(B_Drainage!$D$5:$D$204&lt;&gt;"")),IF(B_Drainage!$D$5:$D$204="-","",UPPER(B_Drainage!$D$5:$D$204))),"")</f>
        <v/>
      </c>
      <c r="R482" s="182" t="str">
        <f>IFERROR(LOOKUP(2,1/((D_Points!$A$5:$A$204&lt;&gt;"")*(D_Points!$A$5:$A$204&gt;=$B482)*(D_Points!$A$5:$A$204&lt;$B482+P_Interval)*(RIGHT(UPPER(TRIM(D_Points!$B$5:$B$204)),8)="_CULVERT")),IF(LEFT(UPPER(TRIM(D_Points!$B$5:$B$204)),2)="EX",1,IF(LEFT(UPPER(TRIM(D_Points!$B$5:$B$204)),2)="PR",2,3))),"")</f>
        <v/>
      </c>
      <c r="S482" s="182" t="str">
        <f>IFERROR(LOOKUP(2,1/((D_Points!$A$5:$A$204&lt;&gt;"")*(D_Points!$A$5:$A$204&gt;=$B482)*(D_Points!$A$5:$A$204&lt;$B482+P_Interval)*(RIGHT(UPPER(TRIM(D_Points!$B$5:$B$204)),7)="_BRIDGE")),IF(LEFT(UPPER(TRIM(D_Points!$B$5:$B$204)),2)="EX",1,IF(LEFT(UPPER(TRIM(D_Points!$B$5:$B$204)),2)="PR",2,2))),"")</f>
        <v/>
      </c>
      <c r="T482" s="181" t="str">
        <f>IFERROR(LOOKUP(2,1/((B_Drainage!$A$5:$A$204&lt;&gt;"")*(B_Drainage!$A$5:$A$204&lt;=$B482)*(B_Drainage!$B$5:$B$204&gt;$B482)*(B_Drainage!$E$5:$E$204&lt;&gt;"")),IF(B_Drainage!$E$5:$E$204="-","",1)),"")</f>
        <v/>
      </c>
      <c r="U482" s="181" t="str">
        <f>IFERROR(LOOKUP(2,1/((B_Drainage!$A$5:$A$204&lt;&gt;"")*(B_Drainage!$A$5:$A$204&lt;=$B482)*(B_Drainage!$B$5:$B$204&gt;$B482)*(B_Drainage!$E$5:$E$204&lt;&gt;"")),IF(B_Drainage!$E$5:$E$204="-","",B_Drainage!$E$5:$E$204)),"")</f>
        <v/>
      </c>
      <c r="V482" s="181" t="str">
        <f>IFERROR(LOOKUP(2,1/((B_Drainage!$A$5:$A$204&lt;&gt;"")*(B_Drainage!$A$5:$A$204&lt;=$B482)*(B_Drainage!$B$5:$B$204&gt;$B482)*(B_Drainage!$F$5:$F$204&lt;&gt;"")),IF(B_Drainage!$F$5:$F$204="-","",1)),"")</f>
        <v/>
      </c>
      <c r="W482" s="181" t="str">
        <f>IFERROR(LOOKUP(2,1/((B_Drainage!$A$5:$A$204&lt;&gt;"")*(B_Drainage!$A$5:$A$204&lt;=$B482)*(B_Drainage!$B$5:$B$204&gt;$B482)*(B_Drainage!$F$5:$F$204&lt;&gt;"")),IF(B_Drainage!$F$5:$F$204="-","",B_Drainage!$F$5:$F$204)),"")</f>
        <v/>
      </c>
      <c r="X482" s="181" t="str">
        <f>IFERROR(LOOKUP(2,1/((B_Drainage!$A$5:$A$204&lt;&gt;"")*(B_Drainage!$A$5:$A$204&lt;=$B482)*(B_Drainage!$B$5:$B$204&gt;$B482)*(B_Drainage!$G$5:$G$204&lt;&gt;"")),IF(UPPER(B_Drainage!$G$5:$G$204)="Y",1,"")),"")</f>
        <v/>
      </c>
      <c r="Y482" s="181" t="str">
        <f>IFERROR(LOOKUP(2,1/((B_Drainage!$A$5:$A$204&lt;&gt;"")*(B_Drainage!$A$5:$A$204&lt;=$B482)*(B_Drainage!$B$5:$B$204&gt;$B482)*(B_Drainage!$H$5:$H$204&lt;&gt;"")),IF(UPPER(B_Drainage!$H$5:$H$204)="Y",1,"")),"")</f>
        <v/>
      </c>
      <c r="Z482" s="181" t="str">
        <f>IFERROR(LOOKUP(2,1/((B_Drainage!$A$5:$A$204&lt;&gt;"")*(B_Drainage!$A$5:$A$204&lt;=$B482)*(B_Drainage!$B$5:$B$204&gt;$B482)*(B_Drainage!$I$5:$I$204&lt;&gt;"")),IF(UPPER(B_Drainage!$I$5:$I$204)="Y",1,"")),"")</f>
        <v/>
      </c>
      <c r="AA482" s="181" t="str">
        <f>IFERROR(LOOKUP(2,1/((B_Drainage!$A$5:$A$204&lt;&gt;"")*(B_Drainage!$A$5:$A$204&lt;=$B482)*(B_Drainage!$B$5:$B$204&gt;$B482)*(B_Drainage!$J$5:$J$204&lt;&gt;"")),IF(UPPER(B_Drainage!$J$5:$J$204)="Y",1,"")),"")</f>
        <v/>
      </c>
      <c r="AB482" s="182" t="str">
        <f>IFERROR(LOOKUP(2,1/((B_Drainage!$A$5:$A$204&lt;&gt;"")*(B_Drainage!$A$5:$A$204&lt;=$B482)*(B_Drainage!$B$5:$B$204&gt;$B482)*(B_Drainage!$K$5:$K$204&lt;&gt;"")),IF(B_Drainage!$K$5:$K$204="-","",B_Drainage!$K$5:$K$204)),"")</f>
        <v/>
      </c>
      <c r="AC482" s="182" t="str">
        <f>IFERROR(LOOKUP(2,1/((B_Drainage!$A$5:$A$204&lt;&gt;"")*(B_Drainage!$A$5:$A$204&lt;=$B482)*(B_Drainage!$B$5:$B$204&gt;$B482)*(B_Drainage!$L$5:$L$204&lt;&gt;"")),IF(B_Drainage!$L$5:$L$204="-","",B_Drainage!$L$5:$L$204)),"")</f>
        <v/>
      </c>
      <c r="AD482" s="182" t="str">
        <f>IFERROR(LOOKUP(2,1/((D_Points!$A$5:$A$204&lt;&gt;"")*(D_Points!$A$5:$A$204&gt;=$B482)*(D_Points!$A$5:$A$204&lt;$B482+P_Interval)*(UPPER(TRIM(D_Points!$B$5:$B$204))="TURNOUT_L")*(D_Points!$H$5:$H$204&lt;&gt;"")),D_Points!$H$5:$H$204),"")</f>
        <v/>
      </c>
      <c r="AE482" s="182" t="str">
        <f>IFERROR(LOOKUP(2,1/((D_Points!$A$5:$A$204&lt;&gt;"")*(D_Points!$A$5:$A$204&gt;=$B482)*(D_Points!$A$5:$A$204&lt;$B482+P_Interval)*(UPPER(TRIM(D_Points!$B$5:$B$204))="TURNOUT_R")*(D_Points!$H$5:$H$204&lt;&gt;"")),D_Points!$H$5:$H$204),"")</f>
        <v/>
      </c>
      <c r="AF482" s="181" t="str">
        <f>IFERROR(LOOKUP(2,1/((B_Drainage!$A$5:$A$204&lt;&gt;"")*(B_Drainage!$A$5:$A$204&lt;=$B482)*(B_Drainage!$B$5:$B$204&gt;$B482)*(B_Drainage!$M$5:$M$204&lt;&gt;"")),IF(UPPER(B_Drainage!$M$5:$M$204)="Y",1,"")),"")</f>
        <v/>
      </c>
      <c r="AG482" s="181" t="str">
        <f>IFERROR(LOOKUP(2,1/((B_Drainage!$A$5:$A$204&lt;&gt;"")*(B_Drainage!$A$5:$A$204&lt;=$B482)*(B_Drainage!$B$5:$B$204&gt;$B482)*(B_Drainage!$N$5:$N$204&lt;&gt;"")),IF(UPPER(B_Drainage!$N$5:$N$204)="Y",1,"")),"")</f>
        <v/>
      </c>
      <c r="AH482" s="181" t="str">
        <f t="shared" si="56"/>
        <v/>
      </c>
      <c r="AI482" s="181" t="str">
        <f t="shared" si="57"/>
        <v/>
      </c>
      <c r="AJ482" s="181" t="str">
        <f t="shared" si="58"/>
        <v/>
      </c>
      <c r="AK482" s="181" t="str">
        <f t="shared" si="59"/>
        <v/>
      </c>
      <c r="AL482" s="181" t="str">
        <f t="shared" si="60"/>
        <v/>
      </c>
      <c r="AM482" s="181" t="str">
        <f t="shared" si="61"/>
        <v/>
      </c>
      <c r="AN482" s="181" t="str">
        <f t="shared" si="62"/>
        <v/>
      </c>
      <c r="AO482" s="192" t="str">
        <f t="shared" si="63"/>
        <v/>
      </c>
      <c r="AQ482" t="str">
        <f>IFERROR(LOOKUP(2,1/((C_Pavement!$A$5:$A$204&lt;&gt;"")*(C_Pavement!$A$5:$A$204&lt;=$B482)*(C_Pavement!$B$5:$B$204&gt;$B482)*(C_Pavement!$C$5:$C$204&lt;&gt;"")),ROW(C_Pavement!$C$5:$C$204)-4),"")</f>
        <v/>
      </c>
      <c r="AR482" t="str">
        <f>IF($AQ482="","",UPPER(TRIM(INDEX(C_Pavement!$C$5:$C$204,$AQ482))))</f>
        <v/>
      </c>
      <c r="AS482" t="str">
        <f>IF($AR482="","",IFERROR(MATCH($AR482,E_Rules!$A$5:$A$9,0),""))</f>
        <v/>
      </c>
      <c r="AT482" t="str">
        <f>IF($AQ482="","",IF(INDEX(C_Pavement!$D$5:$D$204,$AQ482)&lt;&gt;"",UPPER(TRIM(INDEX(C_Pavement!$D$5:$D$204,$AQ482))),IF($AS482="","",INDEX(E_Rules!$C$5:$C$9,$AS482))))</f>
        <v/>
      </c>
      <c r="AU482" t="str">
        <f>IF($AQ482="","",IF(INDEX(C_Pavement!$E$5:$E$204,$AQ482)&lt;&gt;"",IF(INDEX(C_Pavement!$E$5:$E$204,$AQ482)="-","",INDEX(C_Pavement!$E$5:$E$204,$AQ482)),IF($AS482="","",INDEX(E_Rules!$D$5:$D$9,$AS482))))</f>
        <v/>
      </c>
      <c r="AV482" t="str">
        <f>IF($AQ482="","",IF(INDEX(C_Pavement!$F$5:$F$204,$AQ482)&lt;&gt;"",IF(INDEX(C_Pavement!$F$5:$F$204,$AQ482)="-","",INDEX(C_Pavement!$F$5:$F$204,$AQ482)),IF($AS482="","",INDEX(E_Rules!$E$5:$E$9,$AS482))))</f>
        <v/>
      </c>
      <c r="AW482" t="str">
        <f>IF($AQ482="","",IF(INDEX(C_Pavement!$G$5:$G$204,$AQ482)&lt;&gt;"",IF(INDEX(C_Pavement!$G$5:$G$204,$AQ482)="-","",INDEX(C_Pavement!$G$5:$G$204,$AQ482)),IF($AS482="","",INDEX(E_Rules!$F$5:$F$9,$AS482))))</f>
        <v/>
      </c>
      <c r="AX482" t="str">
        <f>IF($AQ482="","",IF(INDEX(C_Pavement!$H$5:$H$204,$AQ482)&lt;&gt;"",IF(INDEX(C_Pavement!$H$5:$H$204,$AQ482)="-","",INDEX(C_Pavement!$H$5:$H$204,$AQ482)),IF($AS482="","",INDEX(E_Rules!$G$5:$G$9,$AS482))))</f>
        <v/>
      </c>
      <c r="AY482" t="str">
        <f>IF($AQ482="","",IF(INDEX(C_Pavement!$I$5:$I$204,$AQ482)&lt;&gt;"",IF(INDEX(C_Pavement!$I$5:$I$204,$AQ482)="-","",INDEX(C_Pavement!$I$5:$I$204,$AQ482)),IF($AS482="","",INDEX(E_Rules!$H$5:$H$9,$AS482))))</f>
        <v/>
      </c>
    </row>
    <row r="483" spans="1:51" ht="15.75" customHeight="1" x14ac:dyDescent="0.3">
      <c r="A483" s="189">
        <v>478</v>
      </c>
      <c r="B483" s="180">
        <v>23850</v>
      </c>
      <c r="C483" s="180" t="s">
        <v>789</v>
      </c>
      <c r="D483" s="181" t="str">
        <f>IFERROR(LOOKUP(2,1/((A_Corridor!$A$5:$A$204&lt;&gt;"")*(A_Corridor!$A$5:$A$204&lt;=$B483)*(A_Corridor!$B$5:$B$204&gt;$B483)*(A_Corridor!$C$5:$C$204&lt;&gt;"")),IF(UPPER(A_Corridor!$C$5:$C$204)="Y",1,"")),"")</f>
        <v/>
      </c>
      <c r="E483" s="181" t="str">
        <f>IFERROR(LOOKUP(2,1/((A_Corridor!$A$5:$A$204&lt;&gt;"")*(A_Corridor!$A$5:$A$204&lt;=$B483)*(A_Corridor!$B$5:$B$204&gt;$B483)*(A_Corridor!$D$5:$D$204&lt;&gt;"")),IF(A_Corridor!$D$5:$D$204="-","",UPPER(A_Corridor!$D$5:$D$204))),"")</f>
        <v/>
      </c>
      <c r="F483" s="181" t="str">
        <f>IFERROR(LOOKUP(2,1/((A_Corridor!$A$5:$A$204&lt;&gt;"")*(A_Corridor!$A$5:$A$204&lt;=$B483)*(A_Corridor!$B$5:$B$204&gt;$B483)*(A_Corridor!$E$5:$E$204&lt;&gt;"")),IF(A_Corridor!$E$5:$E$204="-","",1)),"")</f>
        <v/>
      </c>
      <c r="G483" s="182" t="str">
        <f>IFERROR(LOOKUP(2,1/((A_Corridor!$A$5:$A$204&lt;&gt;"")*(A_Corridor!$A$5:$A$204&lt;=$B483)*(A_Corridor!$B$5:$B$204&gt;$B483)*(A_Corridor!$E$5:$E$204&lt;&gt;"")),IF(A_Corridor!$E$5:$E$204="-","",A_Corridor!$E$5:$E$204)),"")</f>
        <v/>
      </c>
      <c r="H483" s="182" t="str">
        <f>IFERROR(LOOKUP(2,1/((D_Points!$A$5:$A$204&lt;&gt;"")*(D_Points!$A$5:$A$204&gt;=$B483)*(D_Points!$A$5:$A$204&lt;$B483+P_Interval)*(UPPER(TRIM(D_Points!$B$5:$B$204))="GULLY")*(D_Points!$H$5:$H$204&lt;&gt;"")),D_Points!$H$5:$H$204),"")</f>
        <v/>
      </c>
      <c r="I483" s="181" t="str">
        <f>IFERROR(LOOKUP(2,1/((A_Corridor!$A$5:$A$204&lt;&gt;"")*(A_Corridor!$A$5:$A$204&lt;=$B483)*(A_Corridor!$B$5:$B$204&gt;$B483)*(A_Corridor!$F$5:$F$204&lt;&gt;"")),IF(A_Corridor!$F$5:$F$204="-","",1)),"")</f>
        <v/>
      </c>
      <c r="J483" s="182" t="str">
        <f>IFERROR(LOOKUP(2,1/((A_Corridor!$A$5:$A$204&lt;&gt;"")*(A_Corridor!$A$5:$A$204&lt;=$B483)*(A_Corridor!$B$5:$B$204&gt;$B483)*(A_Corridor!$F$5:$F$204&lt;&gt;"")),IF(A_Corridor!$F$5:$F$204="-","",A_Corridor!$F$5:$F$204)),"")</f>
        <v/>
      </c>
      <c r="K483" s="182" t="str">
        <f>IFERROR(LOOKUP(2,1/((A_Corridor!$A$5:$A$204&lt;&gt;"")*(A_Corridor!$A$5:$A$204&lt;=$B483)*(A_Corridor!$B$5:$B$204&gt;$B483)*(A_Corridor!$G$5:$G$204&lt;&gt;"")),IF(A_Corridor!$G$5:$G$204="-","",A_Corridor!$G$5:$G$204)),"")</f>
        <v/>
      </c>
      <c r="L483" s="181" t="str">
        <f>IFERROR(LOOKUP(2,1/((A_Corridor!$A$5:$A$204&lt;&gt;"")*(A_Corridor!$A$5:$A$204&lt;=$B483)*(A_Corridor!$B$5:$B$204&gt;$B483)*(A_Corridor!$H$5:$H$204&lt;&gt;"")),IF(A_Corridor!$H$5:$H$204="-","",1)),"")</f>
        <v/>
      </c>
      <c r="M483" s="182" t="str">
        <f>IFERROR(LOOKUP(2,1/((A_Corridor!$A$5:$A$204&lt;&gt;"")*(A_Corridor!$A$5:$A$204&lt;=$B483)*(A_Corridor!$B$5:$B$204&gt;$B483)*(A_Corridor!$H$5:$H$204&lt;&gt;"")),IF(A_Corridor!$H$5:$H$204="-","",A_Corridor!$H$5:$H$204)),"")</f>
        <v/>
      </c>
      <c r="N483" s="182" t="str">
        <f>IFERROR(LOOKUP(2,1/((A_Corridor!$A$5:$A$204&lt;&gt;"")*(A_Corridor!$A$5:$A$204&lt;=$B483)*(A_Corridor!$B$5:$B$204&gt;$B483)*(A_Corridor!$I$5:$I$204&lt;&gt;"")),IF(A_Corridor!$I$5:$I$204="-","",A_Corridor!$I$5:$I$204)),"")</f>
        <v/>
      </c>
      <c r="O483" s="182" t="str">
        <f>IFERROR(LOOKUP(2,1/((D_Points!$A$5:$A$204&lt;&gt;"")*(D_Points!$A$5:$A$204&gt;=$B483)*(D_Points!$A$5:$A$204&lt;$B483+P_Interval)*(UPPER(TRIM(D_Points!$B$5:$B$204))="PITCHING")*(D_Points!$H$5:$H$204&lt;&gt;"")),D_Points!$H$5:$H$204),"")</f>
        <v/>
      </c>
      <c r="P483" s="181" t="str">
        <f>IFERROR(LOOKUP(2,1/((B_Drainage!$A$5:$A$204&lt;&gt;"")*(B_Drainage!$A$5:$A$204&lt;=$B483)*(B_Drainage!$B$5:$B$204&gt;$B483)*(B_Drainage!$C$5:$C$204&lt;&gt;"")),IF(B_Drainage!$C$5:$C$204="-","",UPPER(B_Drainage!$C$5:$C$204))),"")</f>
        <v/>
      </c>
      <c r="Q483" s="181" t="str">
        <f>IFERROR(LOOKUP(2,1/((B_Drainage!$A$5:$A$204&lt;&gt;"")*(B_Drainage!$A$5:$A$204&lt;=$B483)*(B_Drainage!$B$5:$B$204&gt;$B483)*(B_Drainage!$D$5:$D$204&lt;&gt;"")),IF(B_Drainage!$D$5:$D$204="-","",UPPER(B_Drainage!$D$5:$D$204))),"")</f>
        <v/>
      </c>
      <c r="R483" s="182" t="str">
        <f>IFERROR(LOOKUP(2,1/((D_Points!$A$5:$A$204&lt;&gt;"")*(D_Points!$A$5:$A$204&gt;=$B483)*(D_Points!$A$5:$A$204&lt;$B483+P_Interval)*(RIGHT(UPPER(TRIM(D_Points!$B$5:$B$204)),8)="_CULVERT")),IF(LEFT(UPPER(TRIM(D_Points!$B$5:$B$204)),2)="EX",1,IF(LEFT(UPPER(TRIM(D_Points!$B$5:$B$204)),2)="PR",2,3))),"")</f>
        <v/>
      </c>
      <c r="S483" s="182" t="str">
        <f>IFERROR(LOOKUP(2,1/((D_Points!$A$5:$A$204&lt;&gt;"")*(D_Points!$A$5:$A$204&gt;=$B483)*(D_Points!$A$5:$A$204&lt;$B483+P_Interval)*(RIGHT(UPPER(TRIM(D_Points!$B$5:$B$204)),7)="_BRIDGE")),IF(LEFT(UPPER(TRIM(D_Points!$B$5:$B$204)),2)="EX",1,IF(LEFT(UPPER(TRIM(D_Points!$B$5:$B$204)),2)="PR",2,2))),"")</f>
        <v/>
      </c>
      <c r="T483" s="181" t="str">
        <f>IFERROR(LOOKUP(2,1/((B_Drainage!$A$5:$A$204&lt;&gt;"")*(B_Drainage!$A$5:$A$204&lt;=$B483)*(B_Drainage!$B$5:$B$204&gt;$B483)*(B_Drainage!$E$5:$E$204&lt;&gt;"")),IF(B_Drainage!$E$5:$E$204="-","",1)),"")</f>
        <v/>
      </c>
      <c r="U483" s="181" t="str">
        <f>IFERROR(LOOKUP(2,1/((B_Drainage!$A$5:$A$204&lt;&gt;"")*(B_Drainage!$A$5:$A$204&lt;=$B483)*(B_Drainage!$B$5:$B$204&gt;$B483)*(B_Drainage!$E$5:$E$204&lt;&gt;"")),IF(B_Drainage!$E$5:$E$204="-","",B_Drainage!$E$5:$E$204)),"")</f>
        <v/>
      </c>
      <c r="V483" s="181" t="str">
        <f>IFERROR(LOOKUP(2,1/((B_Drainage!$A$5:$A$204&lt;&gt;"")*(B_Drainage!$A$5:$A$204&lt;=$B483)*(B_Drainage!$B$5:$B$204&gt;$B483)*(B_Drainage!$F$5:$F$204&lt;&gt;"")),IF(B_Drainage!$F$5:$F$204="-","",1)),"")</f>
        <v/>
      </c>
      <c r="W483" s="181" t="str">
        <f>IFERROR(LOOKUP(2,1/((B_Drainage!$A$5:$A$204&lt;&gt;"")*(B_Drainage!$A$5:$A$204&lt;=$B483)*(B_Drainage!$B$5:$B$204&gt;$B483)*(B_Drainage!$F$5:$F$204&lt;&gt;"")),IF(B_Drainage!$F$5:$F$204="-","",B_Drainage!$F$5:$F$204)),"")</f>
        <v/>
      </c>
      <c r="X483" s="181" t="str">
        <f>IFERROR(LOOKUP(2,1/((B_Drainage!$A$5:$A$204&lt;&gt;"")*(B_Drainage!$A$5:$A$204&lt;=$B483)*(B_Drainage!$B$5:$B$204&gt;$B483)*(B_Drainage!$G$5:$G$204&lt;&gt;"")),IF(UPPER(B_Drainage!$G$5:$G$204)="Y",1,"")),"")</f>
        <v/>
      </c>
      <c r="Y483" s="181" t="str">
        <f>IFERROR(LOOKUP(2,1/((B_Drainage!$A$5:$A$204&lt;&gt;"")*(B_Drainage!$A$5:$A$204&lt;=$B483)*(B_Drainage!$B$5:$B$204&gt;$B483)*(B_Drainage!$H$5:$H$204&lt;&gt;"")),IF(UPPER(B_Drainage!$H$5:$H$204)="Y",1,"")),"")</f>
        <v/>
      </c>
      <c r="Z483" s="181" t="str">
        <f>IFERROR(LOOKUP(2,1/((B_Drainage!$A$5:$A$204&lt;&gt;"")*(B_Drainage!$A$5:$A$204&lt;=$B483)*(B_Drainage!$B$5:$B$204&gt;$B483)*(B_Drainage!$I$5:$I$204&lt;&gt;"")),IF(UPPER(B_Drainage!$I$5:$I$204)="Y",1,"")),"")</f>
        <v/>
      </c>
      <c r="AA483" s="181" t="str">
        <f>IFERROR(LOOKUP(2,1/((B_Drainage!$A$5:$A$204&lt;&gt;"")*(B_Drainage!$A$5:$A$204&lt;=$B483)*(B_Drainage!$B$5:$B$204&gt;$B483)*(B_Drainage!$J$5:$J$204&lt;&gt;"")),IF(UPPER(B_Drainage!$J$5:$J$204)="Y",1,"")),"")</f>
        <v/>
      </c>
      <c r="AB483" s="182" t="str">
        <f>IFERROR(LOOKUP(2,1/((B_Drainage!$A$5:$A$204&lt;&gt;"")*(B_Drainage!$A$5:$A$204&lt;=$B483)*(B_Drainage!$B$5:$B$204&gt;$B483)*(B_Drainage!$K$5:$K$204&lt;&gt;"")),IF(B_Drainage!$K$5:$K$204="-","",B_Drainage!$K$5:$K$204)),"")</f>
        <v/>
      </c>
      <c r="AC483" s="182" t="str">
        <f>IFERROR(LOOKUP(2,1/((B_Drainage!$A$5:$A$204&lt;&gt;"")*(B_Drainage!$A$5:$A$204&lt;=$B483)*(B_Drainage!$B$5:$B$204&gt;$B483)*(B_Drainage!$L$5:$L$204&lt;&gt;"")),IF(B_Drainage!$L$5:$L$204="-","",B_Drainage!$L$5:$L$204)),"")</f>
        <v/>
      </c>
      <c r="AD483" s="182" t="str">
        <f>IFERROR(LOOKUP(2,1/((D_Points!$A$5:$A$204&lt;&gt;"")*(D_Points!$A$5:$A$204&gt;=$B483)*(D_Points!$A$5:$A$204&lt;$B483+P_Interval)*(UPPER(TRIM(D_Points!$B$5:$B$204))="TURNOUT_L")*(D_Points!$H$5:$H$204&lt;&gt;"")),D_Points!$H$5:$H$204),"")</f>
        <v/>
      </c>
      <c r="AE483" s="182" t="str">
        <f>IFERROR(LOOKUP(2,1/((D_Points!$A$5:$A$204&lt;&gt;"")*(D_Points!$A$5:$A$204&gt;=$B483)*(D_Points!$A$5:$A$204&lt;$B483+P_Interval)*(UPPER(TRIM(D_Points!$B$5:$B$204))="TURNOUT_R")*(D_Points!$H$5:$H$204&lt;&gt;"")),D_Points!$H$5:$H$204),"")</f>
        <v/>
      </c>
      <c r="AF483" s="181" t="str">
        <f>IFERROR(LOOKUP(2,1/((B_Drainage!$A$5:$A$204&lt;&gt;"")*(B_Drainage!$A$5:$A$204&lt;=$B483)*(B_Drainage!$B$5:$B$204&gt;$B483)*(B_Drainage!$M$5:$M$204&lt;&gt;"")),IF(UPPER(B_Drainage!$M$5:$M$204)="Y",1,"")),"")</f>
        <v/>
      </c>
      <c r="AG483" s="181" t="str">
        <f>IFERROR(LOOKUP(2,1/((B_Drainage!$A$5:$A$204&lt;&gt;"")*(B_Drainage!$A$5:$A$204&lt;=$B483)*(B_Drainage!$B$5:$B$204&gt;$B483)*(B_Drainage!$N$5:$N$204&lt;&gt;"")),IF(UPPER(B_Drainage!$N$5:$N$204)="Y",1,"")),"")</f>
        <v/>
      </c>
      <c r="AH483" s="181" t="str">
        <f t="shared" si="56"/>
        <v/>
      </c>
      <c r="AI483" s="181" t="str">
        <f t="shared" si="57"/>
        <v/>
      </c>
      <c r="AJ483" s="181" t="str">
        <f t="shared" si="58"/>
        <v/>
      </c>
      <c r="AK483" s="181" t="str">
        <f t="shared" si="59"/>
        <v/>
      </c>
      <c r="AL483" s="181" t="str">
        <f t="shared" si="60"/>
        <v/>
      </c>
      <c r="AM483" s="181" t="str">
        <f t="shared" si="61"/>
        <v/>
      </c>
      <c r="AN483" s="181" t="str">
        <f t="shared" si="62"/>
        <v/>
      </c>
      <c r="AO483" s="192" t="str">
        <f t="shared" si="63"/>
        <v/>
      </c>
      <c r="AQ483" t="str">
        <f>IFERROR(LOOKUP(2,1/((C_Pavement!$A$5:$A$204&lt;&gt;"")*(C_Pavement!$A$5:$A$204&lt;=$B483)*(C_Pavement!$B$5:$B$204&gt;$B483)*(C_Pavement!$C$5:$C$204&lt;&gt;"")),ROW(C_Pavement!$C$5:$C$204)-4),"")</f>
        <v/>
      </c>
      <c r="AR483" t="str">
        <f>IF($AQ483="","",UPPER(TRIM(INDEX(C_Pavement!$C$5:$C$204,$AQ483))))</f>
        <v/>
      </c>
      <c r="AS483" t="str">
        <f>IF($AR483="","",IFERROR(MATCH($AR483,E_Rules!$A$5:$A$9,0),""))</f>
        <v/>
      </c>
      <c r="AT483" t="str">
        <f>IF($AQ483="","",IF(INDEX(C_Pavement!$D$5:$D$204,$AQ483)&lt;&gt;"",UPPER(TRIM(INDEX(C_Pavement!$D$5:$D$204,$AQ483))),IF($AS483="","",INDEX(E_Rules!$C$5:$C$9,$AS483))))</f>
        <v/>
      </c>
      <c r="AU483" t="str">
        <f>IF($AQ483="","",IF(INDEX(C_Pavement!$E$5:$E$204,$AQ483)&lt;&gt;"",IF(INDEX(C_Pavement!$E$5:$E$204,$AQ483)="-","",INDEX(C_Pavement!$E$5:$E$204,$AQ483)),IF($AS483="","",INDEX(E_Rules!$D$5:$D$9,$AS483))))</f>
        <v/>
      </c>
      <c r="AV483" t="str">
        <f>IF($AQ483="","",IF(INDEX(C_Pavement!$F$5:$F$204,$AQ483)&lt;&gt;"",IF(INDEX(C_Pavement!$F$5:$F$204,$AQ483)="-","",INDEX(C_Pavement!$F$5:$F$204,$AQ483)),IF($AS483="","",INDEX(E_Rules!$E$5:$E$9,$AS483))))</f>
        <v/>
      </c>
      <c r="AW483" t="str">
        <f>IF($AQ483="","",IF(INDEX(C_Pavement!$G$5:$G$204,$AQ483)&lt;&gt;"",IF(INDEX(C_Pavement!$G$5:$G$204,$AQ483)="-","",INDEX(C_Pavement!$G$5:$G$204,$AQ483)),IF($AS483="","",INDEX(E_Rules!$F$5:$F$9,$AS483))))</f>
        <v/>
      </c>
      <c r="AX483" t="str">
        <f>IF($AQ483="","",IF(INDEX(C_Pavement!$H$5:$H$204,$AQ483)&lt;&gt;"",IF(INDEX(C_Pavement!$H$5:$H$204,$AQ483)="-","",INDEX(C_Pavement!$H$5:$H$204,$AQ483)),IF($AS483="","",INDEX(E_Rules!$G$5:$G$9,$AS483))))</f>
        <v/>
      </c>
      <c r="AY483" t="str">
        <f>IF($AQ483="","",IF(INDEX(C_Pavement!$I$5:$I$204,$AQ483)&lt;&gt;"",IF(INDEX(C_Pavement!$I$5:$I$204,$AQ483)="-","",INDEX(C_Pavement!$I$5:$I$204,$AQ483)),IF($AS483="","",INDEX(E_Rules!$H$5:$H$9,$AS483))))</f>
        <v/>
      </c>
    </row>
    <row r="484" spans="1:51" ht="15.75" customHeight="1" x14ac:dyDescent="0.3">
      <c r="A484" s="189">
        <v>479</v>
      </c>
      <c r="B484" s="180">
        <v>23900</v>
      </c>
      <c r="C484" s="180" t="s">
        <v>790</v>
      </c>
      <c r="D484" s="181" t="str">
        <f>IFERROR(LOOKUP(2,1/((A_Corridor!$A$5:$A$204&lt;&gt;"")*(A_Corridor!$A$5:$A$204&lt;=$B484)*(A_Corridor!$B$5:$B$204&gt;$B484)*(A_Corridor!$C$5:$C$204&lt;&gt;"")),IF(UPPER(A_Corridor!$C$5:$C$204)="Y",1,"")),"")</f>
        <v/>
      </c>
      <c r="E484" s="181" t="str">
        <f>IFERROR(LOOKUP(2,1/((A_Corridor!$A$5:$A$204&lt;&gt;"")*(A_Corridor!$A$5:$A$204&lt;=$B484)*(A_Corridor!$B$5:$B$204&gt;$B484)*(A_Corridor!$D$5:$D$204&lt;&gt;"")),IF(A_Corridor!$D$5:$D$204="-","",UPPER(A_Corridor!$D$5:$D$204))),"")</f>
        <v/>
      </c>
      <c r="F484" s="181" t="str">
        <f>IFERROR(LOOKUP(2,1/((A_Corridor!$A$5:$A$204&lt;&gt;"")*(A_Corridor!$A$5:$A$204&lt;=$B484)*(A_Corridor!$B$5:$B$204&gt;$B484)*(A_Corridor!$E$5:$E$204&lt;&gt;"")),IF(A_Corridor!$E$5:$E$204="-","",1)),"")</f>
        <v/>
      </c>
      <c r="G484" s="182" t="str">
        <f>IFERROR(LOOKUP(2,1/((A_Corridor!$A$5:$A$204&lt;&gt;"")*(A_Corridor!$A$5:$A$204&lt;=$B484)*(A_Corridor!$B$5:$B$204&gt;$B484)*(A_Corridor!$E$5:$E$204&lt;&gt;"")),IF(A_Corridor!$E$5:$E$204="-","",A_Corridor!$E$5:$E$204)),"")</f>
        <v/>
      </c>
      <c r="H484" s="182" t="str">
        <f>IFERROR(LOOKUP(2,1/((D_Points!$A$5:$A$204&lt;&gt;"")*(D_Points!$A$5:$A$204&gt;=$B484)*(D_Points!$A$5:$A$204&lt;$B484+P_Interval)*(UPPER(TRIM(D_Points!$B$5:$B$204))="GULLY")*(D_Points!$H$5:$H$204&lt;&gt;"")),D_Points!$H$5:$H$204),"")</f>
        <v/>
      </c>
      <c r="I484" s="181" t="str">
        <f>IFERROR(LOOKUP(2,1/((A_Corridor!$A$5:$A$204&lt;&gt;"")*(A_Corridor!$A$5:$A$204&lt;=$B484)*(A_Corridor!$B$5:$B$204&gt;$B484)*(A_Corridor!$F$5:$F$204&lt;&gt;"")),IF(A_Corridor!$F$5:$F$204="-","",1)),"")</f>
        <v/>
      </c>
      <c r="J484" s="182" t="str">
        <f>IFERROR(LOOKUP(2,1/((A_Corridor!$A$5:$A$204&lt;&gt;"")*(A_Corridor!$A$5:$A$204&lt;=$B484)*(A_Corridor!$B$5:$B$204&gt;$B484)*(A_Corridor!$F$5:$F$204&lt;&gt;"")),IF(A_Corridor!$F$5:$F$204="-","",A_Corridor!$F$5:$F$204)),"")</f>
        <v/>
      </c>
      <c r="K484" s="182" t="str">
        <f>IFERROR(LOOKUP(2,1/((A_Corridor!$A$5:$A$204&lt;&gt;"")*(A_Corridor!$A$5:$A$204&lt;=$B484)*(A_Corridor!$B$5:$B$204&gt;$B484)*(A_Corridor!$G$5:$G$204&lt;&gt;"")),IF(A_Corridor!$G$5:$G$204="-","",A_Corridor!$G$5:$G$204)),"")</f>
        <v/>
      </c>
      <c r="L484" s="181" t="str">
        <f>IFERROR(LOOKUP(2,1/((A_Corridor!$A$5:$A$204&lt;&gt;"")*(A_Corridor!$A$5:$A$204&lt;=$B484)*(A_Corridor!$B$5:$B$204&gt;$B484)*(A_Corridor!$H$5:$H$204&lt;&gt;"")),IF(A_Corridor!$H$5:$H$204="-","",1)),"")</f>
        <v/>
      </c>
      <c r="M484" s="182" t="str">
        <f>IFERROR(LOOKUP(2,1/((A_Corridor!$A$5:$A$204&lt;&gt;"")*(A_Corridor!$A$5:$A$204&lt;=$B484)*(A_Corridor!$B$5:$B$204&gt;$B484)*(A_Corridor!$H$5:$H$204&lt;&gt;"")),IF(A_Corridor!$H$5:$H$204="-","",A_Corridor!$H$5:$H$204)),"")</f>
        <v/>
      </c>
      <c r="N484" s="182" t="str">
        <f>IFERROR(LOOKUP(2,1/((A_Corridor!$A$5:$A$204&lt;&gt;"")*(A_Corridor!$A$5:$A$204&lt;=$B484)*(A_Corridor!$B$5:$B$204&gt;$B484)*(A_Corridor!$I$5:$I$204&lt;&gt;"")),IF(A_Corridor!$I$5:$I$204="-","",A_Corridor!$I$5:$I$204)),"")</f>
        <v/>
      </c>
      <c r="O484" s="182" t="str">
        <f>IFERROR(LOOKUP(2,1/((D_Points!$A$5:$A$204&lt;&gt;"")*(D_Points!$A$5:$A$204&gt;=$B484)*(D_Points!$A$5:$A$204&lt;$B484+P_Interval)*(UPPER(TRIM(D_Points!$B$5:$B$204))="PITCHING")*(D_Points!$H$5:$H$204&lt;&gt;"")),D_Points!$H$5:$H$204),"")</f>
        <v/>
      </c>
      <c r="P484" s="181" t="str">
        <f>IFERROR(LOOKUP(2,1/((B_Drainage!$A$5:$A$204&lt;&gt;"")*(B_Drainage!$A$5:$A$204&lt;=$B484)*(B_Drainage!$B$5:$B$204&gt;$B484)*(B_Drainage!$C$5:$C$204&lt;&gt;"")),IF(B_Drainage!$C$5:$C$204="-","",UPPER(B_Drainage!$C$5:$C$204))),"")</f>
        <v/>
      </c>
      <c r="Q484" s="181" t="str">
        <f>IFERROR(LOOKUP(2,1/((B_Drainage!$A$5:$A$204&lt;&gt;"")*(B_Drainage!$A$5:$A$204&lt;=$B484)*(B_Drainage!$B$5:$B$204&gt;$B484)*(B_Drainage!$D$5:$D$204&lt;&gt;"")),IF(B_Drainage!$D$5:$D$204="-","",UPPER(B_Drainage!$D$5:$D$204))),"")</f>
        <v/>
      </c>
      <c r="R484" s="182" t="str">
        <f>IFERROR(LOOKUP(2,1/((D_Points!$A$5:$A$204&lt;&gt;"")*(D_Points!$A$5:$A$204&gt;=$B484)*(D_Points!$A$5:$A$204&lt;$B484+P_Interval)*(RIGHT(UPPER(TRIM(D_Points!$B$5:$B$204)),8)="_CULVERT")),IF(LEFT(UPPER(TRIM(D_Points!$B$5:$B$204)),2)="EX",1,IF(LEFT(UPPER(TRIM(D_Points!$B$5:$B$204)),2)="PR",2,3))),"")</f>
        <v/>
      </c>
      <c r="S484" s="182" t="str">
        <f>IFERROR(LOOKUP(2,1/((D_Points!$A$5:$A$204&lt;&gt;"")*(D_Points!$A$5:$A$204&gt;=$B484)*(D_Points!$A$5:$A$204&lt;$B484+P_Interval)*(RIGHT(UPPER(TRIM(D_Points!$B$5:$B$204)),7)="_BRIDGE")),IF(LEFT(UPPER(TRIM(D_Points!$B$5:$B$204)),2)="EX",1,IF(LEFT(UPPER(TRIM(D_Points!$B$5:$B$204)),2)="PR",2,2))),"")</f>
        <v/>
      </c>
      <c r="T484" s="181" t="str">
        <f>IFERROR(LOOKUP(2,1/((B_Drainage!$A$5:$A$204&lt;&gt;"")*(B_Drainage!$A$5:$A$204&lt;=$B484)*(B_Drainage!$B$5:$B$204&gt;$B484)*(B_Drainage!$E$5:$E$204&lt;&gt;"")),IF(B_Drainage!$E$5:$E$204="-","",1)),"")</f>
        <v/>
      </c>
      <c r="U484" s="181" t="str">
        <f>IFERROR(LOOKUP(2,1/((B_Drainage!$A$5:$A$204&lt;&gt;"")*(B_Drainage!$A$5:$A$204&lt;=$B484)*(B_Drainage!$B$5:$B$204&gt;$B484)*(B_Drainage!$E$5:$E$204&lt;&gt;"")),IF(B_Drainage!$E$5:$E$204="-","",B_Drainage!$E$5:$E$204)),"")</f>
        <v/>
      </c>
      <c r="V484" s="181" t="str">
        <f>IFERROR(LOOKUP(2,1/((B_Drainage!$A$5:$A$204&lt;&gt;"")*(B_Drainage!$A$5:$A$204&lt;=$B484)*(B_Drainage!$B$5:$B$204&gt;$B484)*(B_Drainage!$F$5:$F$204&lt;&gt;"")),IF(B_Drainage!$F$5:$F$204="-","",1)),"")</f>
        <v/>
      </c>
      <c r="W484" s="181" t="str">
        <f>IFERROR(LOOKUP(2,1/((B_Drainage!$A$5:$A$204&lt;&gt;"")*(B_Drainage!$A$5:$A$204&lt;=$B484)*(B_Drainage!$B$5:$B$204&gt;$B484)*(B_Drainage!$F$5:$F$204&lt;&gt;"")),IF(B_Drainage!$F$5:$F$204="-","",B_Drainage!$F$5:$F$204)),"")</f>
        <v/>
      </c>
      <c r="X484" s="181" t="str">
        <f>IFERROR(LOOKUP(2,1/((B_Drainage!$A$5:$A$204&lt;&gt;"")*(B_Drainage!$A$5:$A$204&lt;=$B484)*(B_Drainage!$B$5:$B$204&gt;$B484)*(B_Drainage!$G$5:$G$204&lt;&gt;"")),IF(UPPER(B_Drainage!$G$5:$G$204)="Y",1,"")),"")</f>
        <v/>
      </c>
      <c r="Y484" s="181" t="str">
        <f>IFERROR(LOOKUP(2,1/((B_Drainage!$A$5:$A$204&lt;&gt;"")*(B_Drainage!$A$5:$A$204&lt;=$B484)*(B_Drainage!$B$5:$B$204&gt;$B484)*(B_Drainage!$H$5:$H$204&lt;&gt;"")),IF(UPPER(B_Drainage!$H$5:$H$204)="Y",1,"")),"")</f>
        <v/>
      </c>
      <c r="Z484" s="181" t="str">
        <f>IFERROR(LOOKUP(2,1/((B_Drainage!$A$5:$A$204&lt;&gt;"")*(B_Drainage!$A$5:$A$204&lt;=$B484)*(B_Drainage!$B$5:$B$204&gt;$B484)*(B_Drainage!$I$5:$I$204&lt;&gt;"")),IF(UPPER(B_Drainage!$I$5:$I$204)="Y",1,"")),"")</f>
        <v/>
      </c>
      <c r="AA484" s="181" t="str">
        <f>IFERROR(LOOKUP(2,1/((B_Drainage!$A$5:$A$204&lt;&gt;"")*(B_Drainage!$A$5:$A$204&lt;=$B484)*(B_Drainage!$B$5:$B$204&gt;$B484)*(B_Drainage!$J$5:$J$204&lt;&gt;"")),IF(UPPER(B_Drainage!$J$5:$J$204)="Y",1,"")),"")</f>
        <v/>
      </c>
      <c r="AB484" s="182" t="str">
        <f>IFERROR(LOOKUP(2,1/((B_Drainage!$A$5:$A$204&lt;&gt;"")*(B_Drainage!$A$5:$A$204&lt;=$B484)*(B_Drainage!$B$5:$B$204&gt;$B484)*(B_Drainage!$K$5:$K$204&lt;&gt;"")),IF(B_Drainage!$K$5:$K$204="-","",B_Drainage!$K$5:$K$204)),"")</f>
        <v/>
      </c>
      <c r="AC484" s="182" t="str">
        <f>IFERROR(LOOKUP(2,1/((B_Drainage!$A$5:$A$204&lt;&gt;"")*(B_Drainage!$A$5:$A$204&lt;=$B484)*(B_Drainage!$B$5:$B$204&gt;$B484)*(B_Drainage!$L$5:$L$204&lt;&gt;"")),IF(B_Drainage!$L$5:$L$204="-","",B_Drainage!$L$5:$L$204)),"")</f>
        <v/>
      </c>
      <c r="AD484" s="182" t="str">
        <f>IFERROR(LOOKUP(2,1/((D_Points!$A$5:$A$204&lt;&gt;"")*(D_Points!$A$5:$A$204&gt;=$B484)*(D_Points!$A$5:$A$204&lt;$B484+P_Interval)*(UPPER(TRIM(D_Points!$B$5:$B$204))="TURNOUT_L")*(D_Points!$H$5:$H$204&lt;&gt;"")),D_Points!$H$5:$H$204),"")</f>
        <v/>
      </c>
      <c r="AE484" s="182" t="str">
        <f>IFERROR(LOOKUP(2,1/((D_Points!$A$5:$A$204&lt;&gt;"")*(D_Points!$A$5:$A$204&gt;=$B484)*(D_Points!$A$5:$A$204&lt;$B484+P_Interval)*(UPPER(TRIM(D_Points!$B$5:$B$204))="TURNOUT_R")*(D_Points!$H$5:$H$204&lt;&gt;"")),D_Points!$H$5:$H$204),"")</f>
        <v/>
      </c>
      <c r="AF484" s="181" t="str">
        <f>IFERROR(LOOKUP(2,1/((B_Drainage!$A$5:$A$204&lt;&gt;"")*(B_Drainage!$A$5:$A$204&lt;=$B484)*(B_Drainage!$B$5:$B$204&gt;$B484)*(B_Drainage!$M$5:$M$204&lt;&gt;"")),IF(UPPER(B_Drainage!$M$5:$M$204)="Y",1,"")),"")</f>
        <v/>
      </c>
      <c r="AG484" s="181" t="str">
        <f>IFERROR(LOOKUP(2,1/((B_Drainage!$A$5:$A$204&lt;&gt;"")*(B_Drainage!$A$5:$A$204&lt;=$B484)*(B_Drainage!$B$5:$B$204&gt;$B484)*(B_Drainage!$N$5:$N$204&lt;&gt;"")),IF(UPPER(B_Drainage!$N$5:$N$204)="Y",1,"")),"")</f>
        <v/>
      </c>
      <c r="AH484" s="181" t="str">
        <f t="shared" si="56"/>
        <v/>
      </c>
      <c r="AI484" s="181" t="str">
        <f t="shared" si="57"/>
        <v/>
      </c>
      <c r="AJ484" s="181" t="str">
        <f t="shared" si="58"/>
        <v/>
      </c>
      <c r="AK484" s="181" t="str">
        <f t="shared" si="59"/>
        <v/>
      </c>
      <c r="AL484" s="181" t="str">
        <f t="shared" si="60"/>
        <v/>
      </c>
      <c r="AM484" s="181" t="str">
        <f t="shared" si="61"/>
        <v/>
      </c>
      <c r="AN484" s="181" t="str">
        <f t="shared" si="62"/>
        <v/>
      </c>
      <c r="AO484" s="192" t="str">
        <f t="shared" si="63"/>
        <v/>
      </c>
      <c r="AQ484" t="str">
        <f>IFERROR(LOOKUP(2,1/((C_Pavement!$A$5:$A$204&lt;&gt;"")*(C_Pavement!$A$5:$A$204&lt;=$B484)*(C_Pavement!$B$5:$B$204&gt;$B484)*(C_Pavement!$C$5:$C$204&lt;&gt;"")),ROW(C_Pavement!$C$5:$C$204)-4),"")</f>
        <v/>
      </c>
      <c r="AR484" t="str">
        <f>IF($AQ484="","",UPPER(TRIM(INDEX(C_Pavement!$C$5:$C$204,$AQ484))))</f>
        <v/>
      </c>
      <c r="AS484" t="str">
        <f>IF($AR484="","",IFERROR(MATCH($AR484,E_Rules!$A$5:$A$9,0),""))</f>
        <v/>
      </c>
      <c r="AT484" t="str">
        <f>IF($AQ484="","",IF(INDEX(C_Pavement!$D$5:$D$204,$AQ484)&lt;&gt;"",UPPER(TRIM(INDEX(C_Pavement!$D$5:$D$204,$AQ484))),IF($AS484="","",INDEX(E_Rules!$C$5:$C$9,$AS484))))</f>
        <v/>
      </c>
      <c r="AU484" t="str">
        <f>IF($AQ484="","",IF(INDEX(C_Pavement!$E$5:$E$204,$AQ484)&lt;&gt;"",IF(INDEX(C_Pavement!$E$5:$E$204,$AQ484)="-","",INDEX(C_Pavement!$E$5:$E$204,$AQ484)),IF($AS484="","",INDEX(E_Rules!$D$5:$D$9,$AS484))))</f>
        <v/>
      </c>
      <c r="AV484" t="str">
        <f>IF($AQ484="","",IF(INDEX(C_Pavement!$F$5:$F$204,$AQ484)&lt;&gt;"",IF(INDEX(C_Pavement!$F$5:$F$204,$AQ484)="-","",INDEX(C_Pavement!$F$5:$F$204,$AQ484)),IF($AS484="","",INDEX(E_Rules!$E$5:$E$9,$AS484))))</f>
        <v/>
      </c>
      <c r="AW484" t="str">
        <f>IF($AQ484="","",IF(INDEX(C_Pavement!$G$5:$G$204,$AQ484)&lt;&gt;"",IF(INDEX(C_Pavement!$G$5:$G$204,$AQ484)="-","",INDEX(C_Pavement!$G$5:$G$204,$AQ484)),IF($AS484="","",INDEX(E_Rules!$F$5:$F$9,$AS484))))</f>
        <v/>
      </c>
      <c r="AX484" t="str">
        <f>IF($AQ484="","",IF(INDEX(C_Pavement!$H$5:$H$204,$AQ484)&lt;&gt;"",IF(INDEX(C_Pavement!$H$5:$H$204,$AQ484)="-","",INDEX(C_Pavement!$H$5:$H$204,$AQ484)),IF($AS484="","",INDEX(E_Rules!$G$5:$G$9,$AS484))))</f>
        <v/>
      </c>
      <c r="AY484" t="str">
        <f>IF($AQ484="","",IF(INDEX(C_Pavement!$I$5:$I$204,$AQ484)&lt;&gt;"",IF(INDEX(C_Pavement!$I$5:$I$204,$AQ484)="-","",INDEX(C_Pavement!$I$5:$I$204,$AQ484)),IF($AS484="","",INDEX(E_Rules!$H$5:$H$9,$AS484))))</f>
        <v/>
      </c>
    </row>
    <row r="485" spans="1:51" ht="15.75" customHeight="1" x14ac:dyDescent="0.3">
      <c r="A485" s="189">
        <v>480</v>
      </c>
      <c r="B485" s="180">
        <v>23950</v>
      </c>
      <c r="C485" s="180" t="s">
        <v>791</v>
      </c>
      <c r="D485" s="181" t="str">
        <f>IFERROR(LOOKUP(2,1/((A_Corridor!$A$5:$A$204&lt;&gt;"")*(A_Corridor!$A$5:$A$204&lt;=$B485)*(A_Corridor!$B$5:$B$204&gt;$B485)*(A_Corridor!$C$5:$C$204&lt;&gt;"")),IF(UPPER(A_Corridor!$C$5:$C$204)="Y",1,"")),"")</f>
        <v/>
      </c>
      <c r="E485" s="181" t="str">
        <f>IFERROR(LOOKUP(2,1/((A_Corridor!$A$5:$A$204&lt;&gt;"")*(A_Corridor!$A$5:$A$204&lt;=$B485)*(A_Corridor!$B$5:$B$204&gt;$B485)*(A_Corridor!$D$5:$D$204&lt;&gt;"")),IF(A_Corridor!$D$5:$D$204="-","",UPPER(A_Corridor!$D$5:$D$204))),"")</f>
        <v/>
      </c>
      <c r="F485" s="181" t="str">
        <f>IFERROR(LOOKUP(2,1/((A_Corridor!$A$5:$A$204&lt;&gt;"")*(A_Corridor!$A$5:$A$204&lt;=$B485)*(A_Corridor!$B$5:$B$204&gt;$B485)*(A_Corridor!$E$5:$E$204&lt;&gt;"")),IF(A_Corridor!$E$5:$E$204="-","",1)),"")</f>
        <v/>
      </c>
      <c r="G485" s="182" t="str">
        <f>IFERROR(LOOKUP(2,1/((A_Corridor!$A$5:$A$204&lt;&gt;"")*(A_Corridor!$A$5:$A$204&lt;=$B485)*(A_Corridor!$B$5:$B$204&gt;$B485)*(A_Corridor!$E$5:$E$204&lt;&gt;"")),IF(A_Corridor!$E$5:$E$204="-","",A_Corridor!$E$5:$E$204)),"")</f>
        <v/>
      </c>
      <c r="H485" s="182" t="str">
        <f>IFERROR(LOOKUP(2,1/((D_Points!$A$5:$A$204&lt;&gt;"")*(D_Points!$A$5:$A$204&gt;=$B485)*(D_Points!$A$5:$A$204&lt;$B485+P_Interval)*(UPPER(TRIM(D_Points!$B$5:$B$204))="GULLY")*(D_Points!$H$5:$H$204&lt;&gt;"")),D_Points!$H$5:$H$204),"")</f>
        <v/>
      </c>
      <c r="I485" s="181" t="str">
        <f>IFERROR(LOOKUP(2,1/((A_Corridor!$A$5:$A$204&lt;&gt;"")*(A_Corridor!$A$5:$A$204&lt;=$B485)*(A_Corridor!$B$5:$B$204&gt;$B485)*(A_Corridor!$F$5:$F$204&lt;&gt;"")),IF(A_Corridor!$F$5:$F$204="-","",1)),"")</f>
        <v/>
      </c>
      <c r="J485" s="182" t="str">
        <f>IFERROR(LOOKUP(2,1/((A_Corridor!$A$5:$A$204&lt;&gt;"")*(A_Corridor!$A$5:$A$204&lt;=$B485)*(A_Corridor!$B$5:$B$204&gt;$B485)*(A_Corridor!$F$5:$F$204&lt;&gt;"")),IF(A_Corridor!$F$5:$F$204="-","",A_Corridor!$F$5:$F$204)),"")</f>
        <v/>
      </c>
      <c r="K485" s="182" t="str">
        <f>IFERROR(LOOKUP(2,1/((A_Corridor!$A$5:$A$204&lt;&gt;"")*(A_Corridor!$A$5:$A$204&lt;=$B485)*(A_Corridor!$B$5:$B$204&gt;$B485)*(A_Corridor!$G$5:$G$204&lt;&gt;"")),IF(A_Corridor!$G$5:$G$204="-","",A_Corridor!$G$5:$G$204)),"")</f>
        <v/>
      </c>
      <c r="L485" s="181" t="str">
        <f>IFERROR(LOOKUP(2,1/((A_Corridor!$A$5:$A$204&lt;&gt;"")*(A_Corridor!$A$5:$A$204&lt;=$B485)*(A_Corridor!$B$5:$B$204&gt;$B485)*(A_Corridor!$H$5:$H$204&lt;&gt;"")),IF(A_Corridor!$H$5:$H$204="-","",1)),"")</f>
        <v/>
      </c>
      <c r="M485" s="182" t="str">
        <f>IFERROR(LOOKUP(2,1/((A_Corridor!$A$5:$A$204&lt;&gt;"")*(A_Corridor!$A$5:$A$204&lt;=$B485)*(A_Corridor!$B$5:$B$204&gt;$B485)*(A_Corridor!$H$5:$H$204&lt;&gt;"")),IF(A_Corridor!$H$5:$H$204="-","",A_Corridor!$H$5:$H$204)),"")</f>
        <v/>
      </c>
      <c r="N485" s="182" t="str">
        <f>IFERROR(LOOKUP(2,1/((A_Corridor!$A$5:$A$204&lt;&gt;"")*(A_Corridor!$A$5:$A$204&lt;=$B485)*(A_Corridor!$B$5:$B$204&gt;$B485)*(A_Corridor!$I$5:$I$204&lt;&gt;"")),IF(A_Corridor!$I$5:$I$204="-","",A_Corridor!$I$5:$I$204)),"")</f>
        <v/>
      </c>
      <c r="O485" s="182" t="str">
        <f>IFERROR(LOOKUP(2,1/((D_Points!$A$5:$A$204&lt;&gt;"")*(D_Points!$A$5:$A$204&gt;=$B485)*(D_Points!$A$5:$A$204&lt;$B485+P_Interval)*(UPPER(TRIM(D_Points!$B$5:$B$204))="PITCHING")*(D_Points!$H$5:$H$204&lt;&gt;"")),D_Points!$H$5:$H$204),"")</f>
        <v/>
      </c>
      <c r="P485" s="181" t="str">
        <f>IFERROR(LOOKUP(2,1/((B_Drainage!$A$5:$A$204&lt;&gt;"")*(B_Drainage!$A$5:$A$204&lt;=$B485)*(B_Drainage!$B$5:$B$204&gt;$B485)*(B_Drainage!$C$5:$C$204&lt;&gt;"")),IF(B_Drainage!$C$5:$C$204="-","",UPPER(B_Drainage!$C$5:$C$204))),"")</f>
        <v/>
      </c>
      <c r="Q485" s="181" t="str">
        <f>IFERROR(LOOKUP(2,1/((B_Drainage!$A$5:$A$204&lt;&gt;"")*(B_Drainage!$A$5:$A$204&lt;=$B485)*(B_Drainage!$B$5:$B$204&gt;$B485)*(B_Drainage!$D$5:$D$204&lt;&gt;"")),IF(B_Drainage!$D$5:$D$204="-","",UPPER(B_Drainage!$D$5:$D$204))),"")</f>
        <v/>
      </c>
      <c r="R485" s="182" t="str">
        <f>IFERROR(LOOKUP(2,1/((D_Points!$A$5:$A$204&lt;&gt;"")*(D_Points!$A$5:$A$204&gt;=$B485)*(D_Points!$A$5:$A$204&lt;$B485+P_Interval)*(RIGHT(UPPER(TRIM(D_Points!$B$5:$B$204)),8)="_CULVERT")),IF(LEFT(UPPER(TRIM(D_Points!$B$5:$B$204)),2)="EX",1,IF(LEFT(UPPER(TRIM(D_Points!$B$5:$B$204)),2)="PR",2,3))),"")</f>
        <v/>
      </c>
      <c r="S485" s="182" t="str">
        <f>IFERROR(LOOKUP(2,1/((D_Points!$A$5:$A$204&lt;&gt;"")*(D_Points!$A$5:$A$204&gt;=$B485)*(D_Points!$A$5:$A$204&lt;$B485+P_Interval)*(RIGHT(UPPER(TRIM(D_Points!$B$5:$B$204)),7)="_BRIDGE")),IF(LEFT(UPPER(TRIM(D_Points!$B$5:$B$204)),2)="EX",1,IF(LEFT(UPPER(TRIM(D_Points!$B$5:$B$204)),2)="PR",2,2))),"")</f>
        <v/>
      </c>
      <c r="T485" s="181" t="str">
        <f>IFERROR(LOOKUP(2,1/((B_Drainage!$A$5:$A$204&lt;&gt;"")*(B_Drainage!$A$5:$A$204&lt;=$B485)*(B_Drainage!$B$5:$B$204&gt;$B485)*(B_Drainage!$E$5:$E$204&lt;&gt;"")),IF(B_Drainage!$E$5:$E$204="-","",1)),"")</f>
        <v/>
      </c>
      <c r="U485" s="181" t="str">
        <f>IFERROR(LOOKUP(2,1/((B_Drainage!$A$5:$A$204&lt;&gt;"")*(B_Drainage!$A$5:$A$204&lt;=$B485)*(B_Drainage!$B$5:$B$204&gt;$B485)*(B_Drainage!$E$5:$E$204&lt;&gt;"")),IF(B_Drainage!$E$5:$E$204="-","",B_Drainage!$E$5:$E$204)),"")</f>
        <v/>
      </c>
      <c r="V485" s="181" t="str">
        <f>IFERROR(LOOKUP(2,1/((B_Drainage!$A$5:$A$204&lt;&gt;"")*(B_Drainage!$A$5:$A$204&lt;=$B485)*(B_Drainage!$B$5:$B$204&gt;$B485)*(B_Drainage!$F$5:$F$204&lt;&gt;"")),IF(B_Drainage!$F$5:$F$204="-","",1)),"")</f>
        <v/>
      </c>
      <c r="W485" s="181" t="str">
        <f>IFERROR(LOOKUP(2,1/((B_Drainage!$A$5:$A$204&lt;&gt;"")*(B_Drainage!$A$5:$A$204&lt;=$B485)*(B_Drainage!$B$5:$B$204&gt;$B485)*(B_Drainage!$F$5:$F$204&lt;&gt;"")),IF(B_Drainage!$F$5:$F$204="-","",B_Drainage!$F$5:$F$204)),"")</f>
        <v/>
      </c>
      <c r="X485" s="181" t="str">
        <f>IFERROR(LOOKUP(2,1/((B_Drainage!$A$5:$A$204&lt;&gt;"")*(B_Drainage!$A$5:$A$204&lt;=$B485)*(B_Drainage!$B$5:$B$204&gt;$B485)*(B_Drainage!$G$5:$G$204&lt;&gt;"")),IF(UPPER(B_Drainage!$G$5:$G$204)="Y",1,"")),"")</f>
        <v/>
      </c>
      <c r="Y485" s="181" t="str">
        <f>IFERROR(LOOKUP(2,1/((B_Drainage!$A$5:$A$204&lt;&gt;"")*(B_Drainage!$A$5:$A$204&lt;=$B485)*(B_Drainage!$B$5:$B$204&gt;$B485)*(B_Drainage!$H$5:$H$204&lt;&gt;"")),IF(UPPER(B_Drainage!$H$5:$H$204)="Y",1,"")),"")</f>
        <v/>
      </c>
      <c r="Z485" s="181" t="str">
        <f>IFERROR(LOOKUP(2,1/((B_Drainage!$A$5:$A$204&lt;&gt;"")*(B_Drainage!$A$5:$A$204&lt;=$B485)*(B_Drainage!$B$5:$B$204&gt;$B485)*(B_Drainage!$I$5:$I$204&lt;&gt;"")),IF(UPPER(B_Drainage!$I$5:$I$204)="Y",1,"")),"")</f>
        <v/>
      </c>
      <c r="AA485" s="181" t="str">
        <f>IFERROR(LOOKUP(2,1/((B_Drainage!$A$5:$A$204&lt;&gt;"")*(B_Drainage!$A$5:$A$204&lt;=$B485)*(B_Drainage!$B$5:$B$204&gt;$B485)*(B_Drainage!$J$5:$J$204&lt;&gt;"")),IF(UPPER(B_Drainage!$J$5:$J$204)="Y",1,"")),"")</f>
        <v/>
      </c>
      <c r="AB485" s="182" t="str">
        <f>IFERROR(LOOKUP(2,1/((B_Drainage!$A$5:$A$204&lt;&gt;"")*(B_Drainage!$A$5:$A$204&lt;=$B485)*(B_Drainage!$B$5:$B$204&gt;$B485)*(B_Drainage!$K$5:$K$204&lt;&gt;"")),IF(B_Drainage!$K$5:$K$204="-","",B_Drainage!$K$5:$K$204)),"")</f>
        <v/>
      </c>
      <c r="AC485" s="182" t="str">
        <f>IFERROR(LOOKUP(2,1/((B_Drainage!$A$5:$A$204&lt;&gt;"")*(B_Drainage!$A$5:$A$204&lt;=$B485)*(B_Drainage!$B$5:$B$204&gt;$B485)*(B_Drainage!$L$5:$L$204&lt;&gt;"")),IF(B_Drainage!$L$5:$L$204="-","",B_Drainage!$L$5:$L$204)),"")</f>
        <v/>
      </c>
      <c r="AD485" s="182" t="str">
        <f>IFERROR(LOOKUP(2,1/((D_Points!$A$5:$A$204&lt;&gt;"")*(D_Points!$A$5:$A$204&gt;=$B485)*(D_Points!$A$5:$A$204&lt;$B485+P_Interval)*(UPPER(TRIM(D_Points!$B$5:$B$204))="TURNOUT_L")*(D_Points!$H$5:$H$204&lt;&gt;"")),D_Points!$H$5:$H$204),"")</f>
        <v/>
      </c>
      <c r="AE485" s="182" t="str">
        <f>IFERROR(LOOKUP(2,1/((D_Points!$A$5:$A$204&lt;&gt;"")*(D_Points!$A$5:$A$204&gt;=$B485)*(D_Points!$A$5:$A$204&lt;$B485+P_Interval)*(UPPER(TRIM(D_Points!$B$5:$B$204))="TURNOUT_R")*(D_Points!$H$5:$H$204&lt;&gt;"")),D_Points!$H$5:$H$204),"")</f>
        <v/>
      </c>
      <c r="AF485" s="181" t="str">
        <f>IFERROR(LOOKUP(2,1/((B_Drainage!$A$5:$A$204&lt;&gt;"")*(B_Drainage!$A$5:$A$204&lt;=$B485)*(B_Drainage!$B$5:$B$204&gt;$B485)*(B_Drainage!$M$5:$M$204&lt;&gt;"")),IF(UPPER(B_Drainage!$M$5:$M$204)="Y",1,"")),"")</f>
        <v/>
      </c>
      <c r="AG485" s="181" t="str">
        <f>IFERROR(LOOKUP(2,1/((B_Drainage!$A$5:$A$204&lt;&gt;"")*(B_Drainage!$A$5:$A$204&lt;=$B485)*(B_Drainage!$B$5:$B$204&gt;$B485)*(B_Drainage!$N$5:$N$204&lt;&gt;"")),IF(UPPER(B_Drainage!$N$5:$N$204)="Y",1,"")),"")</f>
        <v/>
      </c>
      <c r="AH485" s="181" t="str">
        <f t="shared" si="56"/>
        <v/>
      </c>
      <c r="AI485" s="181" t="str">
        <f t="shared" si="57"/>
        <v/>
      </c>
      <c r="AJ485" s="181" t="str">
        <f t="shared" si="58"/>
        <v/>
      </c>
      <c r="AK485" s="181" t="str">
        <f t="shared" si="59"/>
        <v/>
      </c>
      <c r="AL485" s="181" t="str">
        <f t="shared" si="60"/>
        <v/>
      </c>
      <c r="AM485" s="181" t="str">
        <f t="shared" si="61"/>
        <v/>
      </c>
      <c r="AN485" s="181" t="str">
        <f t="shared" si="62"/>
        <v/>
      </c>
      <c r="AO485" s="192" t="str">
        <f t="shared" si="63"/>
        <v/>
      </c>
      <c r="AQ485" t="str">
        <f>IFERROR(LOOKUP(2,1/((C_Pavement!$A$5:$A$204&lt;&gt;"")*(C_Pavement!$A$5:$A$204&lt;=$B485)*(C_Pavement!$B$5:$B$204&gt;$B485)*(C_Pavement!$C$5:$C$204&lt;&gt;"")),ROW(C_Pavement!$C$5:$C$204)-4),"")</f>
        <v/>
      </c>
      <c r="AR485" t="str">
        <f>IF($AQ485="","",UPPER(TRIM(INDEX(C_Pavement!$C$5:$C$204,$AQ485))))</f>
        <v/>
      </c>
      <c r="AS485" t="str">
        <f>IF($AR485="","",IFERROR(MATCH($AR485,E_Rules!$A$5:$A$9,0),""))</f>
        <v/>
      </c>
      <c r="AT485" t="str">
        <f>IF($AQ485="","",IF(INDEX(C_Pavement!$D$5:$D$204,$AQ485)&lt;&gt;"",UPPER(TRIM(INDEX(C_Pavement!$D$5:$D$204,$AQ485))),IF($AS485="","",INDEX(E_Rules!$C$5:$C$9,$AS485))))</f>
        <v/>
      </c>
      <c r="AU485" t="str">
        <f>IF($AQ485="","",IF(INDEX(C_Pavement!$E$5:$E$204,$AQ485)&lt;&gt;"",IF(INDEX(C_Pavement!$E$5:$E$204,$AQ485)="-","",INDEX(C_Pavement!$E$5:$E$204,$AQ485)),IF($AS485="","",INDEX(E_Rules!$D$5:$D$9,$AS485))))</f>
        <v/>
      </c>
      <c r="AV485" t="str">
        <f>IF($AQ485="","",IF(INDEX(C_Pavement!$F$5:$F$204,$AQ485)&lt;&gt;"",IF(INDEX(C_Pavement!$F$5:$F$204,$AQ485)="-","",INDEX(C_Pavement!$F$5:$F$204,$AQ485)),IF($AS485="","",INDEX(E_Rules!$E$5:$E$9,$AS485))))</f>
        <v/>
      </c>
      <c r="AW485" t="str">
        <f>IF($AQ485="","",IF(INDEX(C_Pavement!$G$5:$G$204,$AQ485)&lt;&gt;"",IF(INDEX(C_Pavement!$G$5:$G$204,$AQ485)="-","",INDEX(C_Pavement!$G$5:$G$204,$AQ485)),IF($AS485="","",INDEX(E_Rules!$F$5:$F$9,$AS485))))</f>
        <v/>
      </c>
      <c r="AX485" t="str">
        <f>IF($AQ485="","",IF(INDEX(C_Pavement!$H$5:$H$204,$AQ485)&lt;&gt;"",IF(INDEX(C_Pavement!$H$5:$H$204,$AQ485)="-","",INDEX(C_Pavement!$H$5:$H$204,$AQ485)),IF($AS485="","",INDEX(E_Rules!$G$5:$G$9,$AS485))))</f>
        <v/>
      </c>
      <c r="AY485" t="str">
        <f>IF($AQ485="","",IF(INDEX(C_Pavement!$I$5:$I$204,$AQ485)&lt;&gt;"",IF(INDEX(C_Pavement!$I$5:$I$204,$AQ485)="-","",INDEX(C_Pavement!$I$5:$I$204,$AQ485)),IF($AS485="","",INDEX(E_Rules!$H$5:$H$9,$AS485))))</f>
        <v/>
      </c>
    </row>
    <row r="486" spans="1:51" ht="15.75" customHeight="1" x14ac:dyDescent="0.3">
      <c r="A486" s="189">
        <v>481</v>
      </c>
      <c r="B486" s="180">
        <v>24000</v>
      </c>
      <c r="C486" s="180" t="s">
        <v>792</v>
      </c>
      <c r="D486" s="181" t="str">
        <f>IFERROR(LOOKUP(2,1/((A_Corridor!$A$5:$A$204&lt;&gt;"")*(A_Corridor!$A$5:$A$204&lt;=$B486)*(A_Corridor!$B$5:$B$204&gt;$B486)*(A_Corridor!$C$5:$C$204&lt;&gt;"")),IF(UPPER(A_Corridor!$C$5:$C$204)="Y",1,"")),"")</f>
        <v/>
      </c>
      <c r="E486" s="181" t="str">
        <f>IFERROR(LOOKUP(2,1/((A_Corridor!$A$5:$A$204&lt;&gt;"")*(A_Corridor!$A$5:$A$204&lt;=$B486)*(A_Corridor!$B$5:$B$204&gt;$B486)*(A_Corridor!$D$5:$D$204&lt;&gt;"")),IF(A_Corridor!$D$5:$D$204="-","",UPPER(A_Corridor!$D$5:$D$204))),"")</f>
        <v/>
      </c>
      <c r="F486" s="181" t="str">
        <f>IFERROR(LOOKUP(2,1/((A_Corridor!$A$5:$A$204&lt;&gt;"")*(A_Corridor!$A$5:$A$204&lt;=$B486)*(A_Corridor!$B$5:$B$204&gt;$B486)*(A_Corridor!$E$5:$E$204&lt;&gt;"")),IF(A_Corridor!$E$5:$E$204="-","",1)),"")</f>
        <v/>
      </c>
      <c r="G486" s="182" t="str">
        <f>IFERROR(LOOKUP(2,1/((A_Corridor!$A$5:$A$204&lt;&gt;"")*(A_Corridor!$A$5:$A$204&lt;=$B486)*(A_Corridor!$B$5:$B$204&gt;$B486)*(A_Corridor!$E$5:$E$204&lt;&gt;"")),IF(A_Corridor!$E$5:$E$204="-","",A_Corridor!$E$5:$E$204)),"")</f>
        <v/>
      </c>
      <c r="H486" s="182" t="str">
        <f>IFERROR(LOOKUP(2,1/((D_Points!$A$5:$A$204&lt;&gt;"")*(D_Points!$A$5:$A$204&gt;=$B486)*(D_Points!$A$5:$A$204&lt;$B486+P_Interval)*(UPPER(TRIM(D_Points!$B$5:$B$204))="GULLY")*(D_Points!$H$5:$H$204&lt;&gt;"")),D_Points!$H$5:$H$204),"")</f>
        <v/>
      </c>
      <c r="I486" s="181" t="str">
        <f>IFERROR(LOOKUP(2,1/((A_Corridor!$A$5:$A$204&lt;&gt;"")*(A_Corridor!$A$5:$A$204&lt;=$B486)*(A_Corridor!$B$5:$B$204&gt;$B486)*(A_Corridor!$F$5:$F$204&lt;&gt;"")),IF(A_Corridor!$F$5:$F$204="-","",1)),"")</f>
        <v/>
      </c>
      <c r="J486" s="182" t="str">
        <f>IFERROR(LOOKUP(2,1/((A_Corridor!$A$5:$A$204&lt;&gt;"")*(A_Corridor!$A$5:$A$204&lt;=$B486)*(A_Corridor!$B$5:$B$204&gt;$B486)*(A_Corridor!$F$5:$F$204&lt;&gt;"")),IF(A_Corridor!$F$5:$F$204="-","",A_Corridor!$F$5:$F$204)),"")</f>
        <v/>
      </c>
      <c r="K486" s="182" t="str">
        <f>IFERROR(LOOKUP(2,1/((A_Corridor!$A$5:$A$204&lt;&gt;"")*(A_Corridor!$A$5:$A$204&lt;=$B486)*(A_Corridor!$B$5:$B$204&gt;$B486)*(A_Corridor!$G$5:$G$204&lt;&gt;"")),IF(A_Corridor!$G$5:$G$204="-","",A_Corridor!$G$5:$G$204)),"")</f>
        <v/>
      </c>
      <c r="L486" s="181" t="str">
        <f>IFERROR(LOOKUP(2,1/((A_Corridor!$A$5:$A$204&lt;&gt;"")*(A_Corridor!$A$5:$A$204&lt;=$B486)*(A_Corridor!$B$5:$B$204&gt;$B486)*(A_Corridor!$H$5:$H$204&lt;&gt;"")),IF(A_Corridor!$H$5:$H$204="-","",1)),"")</f>
        <v/>
      </c>
      <c r="M486" s="182" t="str">
        <f>IFERROR(LOOKUP(2,1/((A_Corridor!$A$5:$A$204&lt;&gt;"")*(A_Corridor!$A$5:$A$204&lt;=$B486)*(A_Corridor!$B$5:$B$204&gt;$B486)*(A_Corridor!$H$5:$H$204&lt;&gt;"")),IF(A_Corridor!$H$5:$H$204="-","",A_Corridor!$H$5:$H$204)),"")</f>
        <v/>
      </c>
      <c r="N486" s="182" t="str">
        <f>IFERROR(LOOKUP(2,1/((A_Corridor!$A$5:$A$204&lt;&gt;"")*(A_Corridor!$A$5:$A$204&lt;=$B486)*(A_Corridor!$B$5:$B$204&gt;$B486)*(A_Corridor!$I$5:$I$204&lt;&gt;"")),IF(A_Corridor!$I$5:$I$204="-","",A_Corridor!$I$5:$I$204)),"")</f>
        <v/>
      </c>
      <c r="O486" s="182" t="str">
        <f>IFERROR(LOOKUP(2,1/((D_Points!$A$5:$A$204&lt;&gt;"")*(D_Points!$A$5:$A$204&gt;=$B486)*(D_Points!$A$5:$A$204&lt;$B486+P_Interval)*(UPPER(TRIM(D_Points!$B$5:$B$204))="PITCHING")*(D_Points!$H$5:$H$204&lt;&gt;"")),D_Points!$H$5:$H$204),"")</f>
        <v/>
      </c>
      <c r="P486" s="181" t="str">
        <f>IFERROR(LOOKUP(2,1/((B_Drainage!$A$5:$A$204&lt;&gt;"")*(B_Drainage!$A$5:$A$204&lt;=$B486)*(B_Drainage!$B$5:$B$204&gt;$B486)*(B_Drainage!$C$5:$C$204&lt;&gt;"")),IF(B_Drainage!$C$5:$C$204="-","",UPPER(B_Drainage!$C$5:$C$204))),"")</f>
        <v/>
      </c>
      <c r="Q486" s="181" t="str">
        <f>IFERROR(LOOKUP(2,1/((B_Drainage!$A$5:$A$204&lt;&gt;"")*(B_Drainage!$A$5:$A$204&lt;=$B486)*(B_Drainage!$B$5:$B$204&gt;$B486)*(B_Drainage!$D$5:$D$204&lt;&gt;"")),IF(B_Drainage!$D$5:$D$204="-","",UPPER(B_Drainage!$D$5:$D$204))),"")</f>
        <v/>
      </c>
      <c r="R486" s="182" t="str">
        <f>IFERROR(LOOKUP(2,1/((D_Points!$A$5:$A$204&lt;&gt;"")*(D_Points!$A$5:$A$204&gt;=$B486)*(D_Points!$A$5:$A$204&lt;$B486+P_Interval)*(RIGHT(UPPER(TRIM(D_Points!$B$5:$B$204)),8)="_CULVERT")),IF(LEFT(UPPER(TRIM(D_Points!$B$5:$B$204)),2)="EX",1,IF(LEFT(UPPER(TRIM(D_Points!$B$5:$B$204)),2)="PR",2,3))),"")</f>
        <v/>
      </c>
      <c r="S486" s="182" t="str">
        <f>IFERROR(LOOKUP(2,1/((D_Points!$A$5:$A$204&lt;&gt;"")*(D_Points!$A$5:$A$204&gt;=$B486)*(D_Points!$A$5:$A$204&lt;$B486+P_Interval)*(RIGHT(UPPER(TRIM(D_Points!$B$5:$B$204)),7)="_BRIDGE")),IF(LEFT(UPPER(TRIM(D_Points!$B$5:$B$204)),2)="EX",1,IF(LEFT(UPPER(TRIM(D_Points!$B$5:$B$204)),2)="PR",2,2))),"")</f>
        <v/>
      </c>
      <c r="T486" s="181" t="str">
        <f>IFERROR(LOOKUP(2,1/((B_Drainage!$A$5:$A$204&lt;&gt;"")*(B_Drainage!$A$5:$A$204&lt;=$B486)*(B_Drainage!$B$5:$B$204&gt;$B486)*(B_Drainage!$E$5:$E$204&lt;&gt;"")),IF(B_Drainage!$E$5:$E$204="-","",1)),"")</f>
        <v/>
      </c>
      <c r="U486" s="181" t="str">
        <f>IFERROR(LOOKUP(2,1/((B_Drainage!$A$5:$A$204&lt;&gt;"")*(B_Drainage!$A$5:$A$204&lt;=$B486)*(B_Drainage!$B$5:$B$204&gt;$B486)*(B_Drainage!$E$5:$E$204&lt;&gt;"")),IF(B_Drainage!$E$5:$E$204="-","",B_Drainage!$E$5:$E$204)),"")</f>
        <v/>
      </c>
      <c r="V486" s="181" t="str">
        <f>IFERROR(LOOKUP(2,1/((B_Drainage!$A$5:$A$204&lt;&gt;"")*(B_Drainage!$A$5:$A$204&lt;=$B486)*(B_Drainage!$B$5:$B$204&gt;$B486)*(B_Drainage!$F$5:$F$204&lt;&gt;"")),IF(B_Drainage!$F$5:$F$204="-","",1)),"")</f>
        <v/>
      </c>
      <c r="W486" s="181" t="str">
        <f>IFERROR(LOOKUP(2,1/((B_Drainage!$A$5:$A$204&lt;&gt;"")*(B_Drainage!$A$5:$A$204&lt;=$B486)*(B_Drainage!$B$5:$B$204&gt;$B486)*(B_Drainage!$F$5:$F$204&lt;&gt;"")),IF(B_Drainage!$F$5:$F$204="-","",B_Drainage!$F$5:$F$204)),"")</f>
        <v/>
      </c>
      <c r="X486" s="181" t="str">
        <f>IFERROR(LOOKUP(2,1/((B_Drainage!$A$5:$A$204&lt;&gt;"")*(B_Drainage!$A$5:$A$204&lt;=$B486)*(B_Drainage!$B$5:$B$204&gt;$B486)*(B_Drainage!$G$5:$G$204&lt;&gt;"")),IF(UPPER(B_Drainage!$G$5:$G$204)="Y",1,"")),"")</f>
        <v/>
      </c>
      <c r="Y486" s="181" t="str">
        <f>IFERROR(LOOKUP(2,1/((B_Drainage!$A$5:$A$204&lt;&gt;"")*(B_Drainage!$A$5:$A$204&lt;=$B486)*(B_Drainage!$B$5:$B$204&gt;$B486)*(B_Drainage!$H$5:$H$204&lt;&gt;"")),IF(UPPER(B_Drainage!$H$5:$H$204)="Y",1,"")),"")</f>
        <v/>
      </c>
      <c r="Z486" s="181" t="str">
        <f>IFERROR(LOOKUP(2,1/((B_Drainage!$A$5:$A$204&lt;&gt;"")*(B_Drainage!$A$5:$A$204&lt;=$B486)*(B_Drainage!$B$5:$B$204&gt;$B486)*(B_Drainage!$I$5:$I$204&lt;&gt;"")),IF(UPPER(B_Drainage!$I$5:$I$204)="Y",1,"")),"")</f>
        <v/>
      </c>
      <c r="AA486" s="181" t="str">
        <f>IFERROR(LOOKUP(2,1/((B_Drainage!$A$5:$A$204&lt;&gt;"")*(B_Drainage!$A$5:$A$204&lt;=$B486)*(B_Drainage!$B$5:$B$204&gt;$B486)*(B_Drainage!$J$5:$J$204&lt;&gt;"")),IF(UPPER(B_Drainage!$J$5:$J$204)="Y",1,"")),"")</f>
        <v/>
      </c>
      <c r="AB486" s="182" t="str">
        <f>IFERROR(LOOKUP(2,1/((B_Drainage!$A$5:$A$204&lt;&gt;"")*(B_Drainage!$A$5:$A$204&lt;=$B486)*(B_Drainage!$B$5:$B$204&gt;$B486)*(B_Drainage!$K$5:$K$204&lt;&gt;"")),IF(B_Drainage!$K$5:$K$204="-","",B_Drainage!$K$5:$K$204)),"")</f>
        <v/>
      </c>
      <c r="AC486" s="182" t="str">
        <f>IFERROR(LOOKUP(2,1/((B_Drainage!$A$5:$A$204&lt;&gt;"")*(B_Drainage!$A$5:$A$204&lt;=$B486)*(B_Drainage!$B$5:$B$204&gt;$B486)*(B_Drainage!$L$5:$L$204&lt;&gt;"")),IF(B_Drainage!$L$5:$L$204="-","",B_Drainage!$L$5:$L$204)),"")</f>
        <v/>
      </c>
      <c r="AD486" s="182" t="str">
        <f>IFERROR(LOOKUP(2,1/((D_Points!$A$5:$A$204&lt;&gt;"")*(D_Points!$A$5:$A$204&gt;=$B486)*(D_Points!$A$5:$A$204&lt;$B486+P_Interval)*(UPPER(TRIM(D_Points!$B$5:$B$204))="TURNOUT_L")*(D_Points!$H$5:$H$204&lt;&gt;"")),D_Points!$H$5:$H$204),"")</f>
        <v/>
      </c>
      <c r="AE486" s="182" t="str">
        <f>IFERROR(LOOKUP(2,1/((D_Points!$A$5:$A$204&lt;&gt;"")*(D_Points!$A$5:$A$204&gt;=$B486)*(D_Points!$A$5:$A$204&lt;$B486+P_Interval)*(UPPER(TRIM(D_Points!$B$5:$B$204))="TURNOUT_R")*(D_Points!$H$5:$H$204&lt;&gt;"")),D_Points!$H$5:$H$204),"")</f>
        <v/>
      </c>
      <c r="AF486" s="181" t="str">
        <f>IFERROR(LOOKUP(2,1/((B_Drainage!$A$5:$A$204&lt;&gt;"")*(B_Drainage!$A$5:$A$204&lt;=$B486)*(B_Drainage!$B$5:$B$204&gt;$B486)*(B_Drainage!$M$5:$M$204&lt;&gt;"")),IF(UPPER(B_Drainage!$M$5:$M$204)="Y",1,"")),"")</f>
        <v/>
      </c>
      <c r="AG486" s="181" t="str">
        <f>IFERROR(LOOKUP(2,1/((B_Drainage!$A$5:$A$204&lt;&gt;"")*(B_Drainage!$A$5:$A$204&lt;=$B486)*(B_Drainage!$B$5:$B$204&gt;$B486)*(B_Drainage!$N$5:$N$204&lt;&gt;"")),IF(UPPER(B_Drainage!$N$5:$N$204)="Y",1,"")),"")</f>
        <v/>
      </c>
      <c r="AH486" s="181" t="str">
        <f t="shared" si="56"/>
        <v/>
      </c>
      <c r="AI486" s="181" t="str">
        <f t="shared" si="57"/>
        <v/>
      </c>
      <c r="AJ486" s="181" t="str">
        <f t="shared" si="58"/>
        <v/>
      </c>
      <c r="AK486" s="181" t="str">
        <f t="shared" si="59"/>
        <v/>
      </c>
      <c r="AL486" s="181" t="str">
        <f t="shared" si="60"/>
        <v/>
      </c>
      <c r="AM486" s="181" t="str">
        <f t="shared" si="61"/>
        <v/>
      </c>
      <c r="AN486" s="181" t="str">
        <f t="shared" si="62"/>
        <v/>
      </c>
      <c r="AO486" s="192" t="str">
        <f t="shared" si="63"/>
        <v/>
      </c>
      <c r="AQ486" t="str">
        <f>IFERROR(LOOKUP(2,1/((C_Pavement!$A$5:$A$204&lt;&gt;"")*(C_Pavement!$A$5:$A$204&lt;=$B486)*(C_Pavement!$B$5:$B$204&gt;$B486)*(C_Pavement!$C$5:$C$204&lt;&gt;"")),ROW(C_Pavement!$C$5:$C$204)-4),"")</f>
        <v/>
      </c>
      <c r="AR486" t="str">
        <f>IF($AQ486="","",UPPER(TRIM(INDEX(C_Pavement!$C$5:$C$204,$AQ486))))</f>
        <v/>
      </c>
      <c r="AS486" t="str">
        <f>IF($AR486="","",IFERROR(MATCH($AR486,E_Rules!$A$5:$A$9,0),""))</f>
        <v/>
      </c>
      <c r="AT486" t="str">
        <f>IF($AQ486="","",IF(INDEX(C_Pavement!$D$5:$D$204,$AQ486)&lt;&gt;"",UPPER(TRIM(INDEX(C_Pavement!$D$5:$D$204,$AQ486))),IF($AS486="","",INDEX(E_Rules!$C$5:$C$9,$AS486))))</f>
        <v/>
      </c>
      <c r="AU486" t="str">
        <f>IF($AQ486="","",IF(INDEX(C_Pavement!$E$5:$E$204,$AQ486)&lt;&gt;"",IF(INDEX(C_Pavement!$E$5:$E$204,$AQ486)="-","",INDEX(C_Pavement!$E$5:$E$204,$AQ486)),IF($AS486="","",INDEX(E_Rules!$D$5:$D$9,$AS486))))</f>
        <v/>
      </c>
      <c r="AV486" t="str">
        <f>IF($AQ486="","",IF(INDEX(C_Pavement!$F$5:$F$204,$AQ486)&lt;&gt;"",IF(INDEX(C_Pavement!$F$5:$F$204,$AQ486)="-","",INDEX(C_Pavement!$F$5:$F$204,$AQ486)),IF($AS486="","",INDEX(E_Rules!$E$5:$E$9,$AS486))))</f>
        <v/>
      </c>
      <c r="AW486" t="str">
        <f>IF($AQ486="","",IF(INDEX(C_Pavement!$G$5:$G$204,$AQ486)&lt;&gt;"",IF(INDEX(C_Pavement!$G$5:$G$204,$AQ486)="-","",INDEX(C_Pavement!$G$5:$G$204,$AQ486)),IF($AS486="","",INDEX(E_Rules!$F$5:$F$9,$AS486))))</f>
        <v/>
      </c>
      <c r="AX486" t="str">
        <f>IF($AQ486="","",IF(INDEX(C_Pavement!$H$5:$H$204,$AQ486)&lt;&gt;"",IF(INDEX(C_Pavement!$H$5:$H$204,$AQ486)="-","",INDEX(C_Pavement!$H$5:$H$204,$AQ486)),IF($AS486="","",INDEX(E_Rules!$G$5:$G$9,$AS486))))</f>
        <v/>
      </c>
      <c r="AY486" t="str">
        <f>IF($AQ486="","",IF(INDEX(C_Pavement!$I$5:$I$204,$AQ486)&lt;&gt;"",IF(INDEX(C_Pavement!$I$5:$I$204,$AQ486)="-","",INDEX(C_Pavement!$I$5:$I$204,$AQ486)),IF($AS486="","",INDEX(E_Rules!$H$5:$H$9,$AS486))))</f>
        <v/>
      </c>
    </row>
    <row r="487" spans="1:51" ht="15.75" customHeight="1" x14ac:dyDescent="0.3">
      <c r="A487" s="189">
        <v>482</v>
      </c>
      <c r="B487" s="180">
        <v>24050</v>
      </c>
      <c r="C487" s="180" t="s">
        <v>793</v>
      </c>
      <c r="D487" s="181" t="str">
        <f>IFERROR(LOOKUP(2,1/((A_Corridor!$A$5:$A$204&lt;&gt;"")*(A_Corridor!$A$5:$A$204&lt;=$B487)*(A_Corridor!$B$5:$B$204&gt;$B487)*(A_Corridor!$C$5:$C$204&lt;&gt;"")),IF(UPPER(A_Corridor!$C$5:$C$204)="Y",1,"")),"")</f>
        <v/>
      </c>
      <c r="E487" s="181" t="str">
        <f>IFERROR(LOOKUP(2,1/((A_Corridor!$A$5:$A$204&lt;&gt;"")*(A_Corridor!$A$5:$A$204&lt;=$B487)*(A_Corridor!$B$5:$B$204&gt;$B487)*(A_Corridor!$D$5:$D$204&lt;&gt;"")),IF(A_Corridor!$D$5:$D$204="-","",UPPER(A_Corridor!$D$5:$D$204))),"")</f>
        <v/>
      </c>
      <c r="F487" s="181" t="str">
        <f>IFERROR(LOOKUP(2,1/((A_Corridor!$A$5:$A$204&lt;&gt;"")*(A_Corridor!$A$5:$A$204&lt;=$B487)*(A_Corridor!$B$5:$B$204&gt;$B487)*(A_Corridor!$E$5:$E$204&lt;&gt;"")),IF(A_Corridor!$E$5:$E$204="-","",1)),"")</f>
        <v/>
      </c>
      <c r="G487" s="182" t="str">
        <f>IFERROR(LOOKUP(2,1/((A_Corridor!$A$5:$A$204&lt;&gt;"")*(A_Corridor!$A$5:$A$204&lt;=$B487)*(A_Corridor!$B$5:$B$204&gt;$B487)*(A_Corridor!$E$5:$E$204&lt;&gt;"")),IF(A_Corridor!$E$5:$E$204="-","",A_Corridor!$E$5:$E$204)),"")</f>
        <v/>
      </c>
      <c r="H487" s="182" t="str">
        <f>IFERROR(LOOKUP(2,1/((D_Points!$A$5:$A$204&lt;&gt;"")*(D_Points!$A$5:$A$204&gt;=$B487)*(D_Points!$A$5:$A$204&lt;$B487+P_Interval)*(UPPER(TRIM(D_Points!$B$5:$B$204))="GULLY")*(D_Points!$H$5:$H$204&lt;&gt;"")),D_Points!$H$5:$H$204),"")</f>
        <v/>
      </c>
      <c r="I487" s="181" t="str">
        <f>IFERROR(LOOKUP(2,1/((A_Corridor!$A$5:$A$204&lt;&gt;"")*(A_Corridor!$A$5:$A$204&lt;=$B487)*(A_Corridor!$B$5:$B$204&gt;$B487)*(A_Corridor!$F$5:$F$204&lt;&gt;"")),IF(A_Corridor!$F$5:$F$204="-","",1)),"")</f>
        <v/>
      </c>
      <c r="J487" s="182" t="str">
        <f>IFERROR(LOOKUP(2,1/((A_Corridor!$A$5:$A$204&lt;&gt;"")*(A_Corridor!$A$5:$A$204&lt;=$B487)*(A_Corridor!$B$5:$B$204&gt;$B487)*(A_Corridor!$F$5:$F$204&lt;&gt;"")),IF(A_Corridor!$F$5:$F$204="-","",A_Corridor!$F$5:$F$204)),"")</f>
        <v/>
      </c>
      <c r="K487" s="182" t="str">
        <f>IFERROR(LOOKUP(2,1/((A_Corridor!$A$5:$A$204&lt;&gt;"")*(A_Corridor!$A$5:$A$204&lt;=$B487)*(A_Corridor!$B$5:$B$204&gt;$B487)*(A_Corridor!$G$5:$G$204&lt;&gt;"")),IF(A_Corridor!$G$5:$G$204="-","",A_Corridor!$G$5:$G$204)),"")</f>
        <v/>
      </c>
      <c r="L487" s="181" t="str">
        <f>IFERROR(LOOKUP(2,1/((A_Corridor!$A$5:$A$204&lt;&gt;"")*(A_Corridor!$A$5:$A$204&lt;=$B487)*(A_Corridor!$B$5:$B$204&gt;$B487)*(A_Corridor!$H$5:$H$204&lt;&gt;"")),IF(A_Corridor!$H$5:$H$204="-","",1)),"")</f>
        <v/>
      </c>
      <c r="M487" s="182" t="str">
        <f>IFERROR(LOOKUP(2,1/((A_Corridor!$A$5:$A$204&lt;&gt;"")*(A_Corridor!$A$5:$A$204&lt;=$B487)*(A_Corridor!$B$5:$B$204&gt;$B487)*(A_Corridor!$H$5:$H$204&lt;&gt;"")),IF(A_Corridor!$H$5:$H$204="-","",A_Corridor!$H$5:$H$204)),"")</f>
        <v/>
      </c>
      <c r="N487" s="182" t="str">
        <f>IFERROR(LOOKUP(2,1/((A_Corridor!$A$5:$A$204&lt;&gt;"")*(A_Corridor!$A$5:$A$204&lt;=$B487)*(A_Corridor!$B$5:$B$204&gt;$B487)*(A_Corridor!$I$5:$I$204&lt;&gt;"")),IF(A_Corridor!$I$5:$I$204="-","",A_Corridor!$I$5:$I$204)),"")</f>
        <v/>
      </c>
      <c r="O487" s="182" t="str">
        <f>IFERROR(LOOKUP(2,1/((D_Points!$A$5:$A$204&lt;&gt;"")*(D_Points!$A$5:$A$204&gt;=$B487)*(D_Points!$A$5:$A$204&lt;$B487+P_Interval)*(UPPER(TRIM(D_Points!$B$5:$B$204))="PITCHING")*(D_Points!$H$5:$H$204&lt;&gt;"")),D_Points!$H$5:$H$204),"")</f>
        <v/>
      </c>
      <c r="P487" s="181" t="str">
        <f>IFERROR(LOOKUP(2,1/((B_Drainage!$A$5:$A$204&lt;&gt;"")*(B_Drainage!$A$5:$A$204&lt;=$B487)*(B_Drainage!$B$5:$B$204&gt;$B487)*(B_Drainage!$C$5:$C$204&lt;&gt;"")),IF(B_Drainage!$C$5:$C$204="-","",UPPER(B_Drainage!$C$5:$C$204))),"")</f>
        <v/>
      </c>
      <c r="Q487" s="181" t="str">
        <f>IFERROR(LOOKUP(2,1/((B_Drainage!$A$5:$A$204&lt;&gt;"")*(B_Drainage!$A$5:$A$204&lt;=$B487)*(B_Drainage!$B$5:$B$204&gt;$B487)*(B_Drainage!$D$5:$D$204&lt;&gt;"")),IF(B_Drainage!$D$5:$D$204="-","",UPPER(B_Drainage!$D$5:$D$204))),"")</f>
        <v/>
      </c>
      <c r="R487" s="182" t="str">
        <f>IFERROR(LOOKUP(2,1/((D_Points!$A$5:$A$204&lt;&gt;"")*(D_Points!$A$5:$A$204&gt;=$B487)*(D_Points!$A$5:$A$204&lt;$B487+P_Interval)*(RIGHT(UPPER(TRIM(D_Points!$B$5:$B$204)),8)="_CULVERT")),IF(LEFT(UPPER(TRIM(D_Points!$B$5:$B$204)),2)="EX",1,IF(LEFT(UPPER(TRIM(D_Points!$B$5:$B$204)),2)="PR",2,3))),"")</f>
        <v/>
      </c>
      <c r="S487" s="182" t="str">
        <f>IFERROR(LOOKUP(2,1/((D_Points!$A$5:$A$204&lt;&gt;"")*(D_Points!$A$5:$A$204&gt;=$B487)*(D_Points!$A$5:$A$204&lt;$B487+P_Interval)*(RIGHT(UPPER(TRIM(D_Points!$B$5:$B$204)),7)="_BRIDGE")),IF(LEFT(UPPER(TRIM(D_Points!$B$5:$B$204)),2)="EX",1,IF(LEFT(UPPER(TRIM(D_Points!$B$5:$B$204)),2)="PR",2,2))),"")</f>
        <v/>
      </c>
      <c r="T487" s="181" t="str">
        <f>IFERROR(LOOKUP(2,1/((B_Drainage!$A$5:$A$204&lt;&gt;"")*(B_Drainage!$A$5:$A$204&lt;=$B487)*(B_Drainage!$B$5:$B$204&gt;$B487)*(B_Drainage!$E$5:$E$204&lt;&gt;"")),IF(B_Drainage!$E$5:$E$204="-","",1)),"")</f>
        <v/>
      </c>
      <c r="U487" s="181" t="str">
        <f>IFERROR(LOOKUP(2,1/((B_Drainage!$A$5:$A$204&lt;&gt;"")*(B_Drainage!$A$5:$A$204&lt;=$B487)*(B_Drainage!$B$5:$B$204&gt;$B487)*(B_Drainage!$E$5:$E$204&lt;&gt;"")),IF(B_Drainage!$E$5:$E$204="-","",B_Drainage!$E$5:$E$204)),"")</f>
        <v/>
      </c>
      <c r="V487" s="181" t="str">
        <f>IFERROR(LOOKUP(2,1/((B_Drainage!$A$5:$A$204&lt;&gt;"")*(B_Drainage!$A$5:$A$204&lt;=$B487)*(B_Drainage!$B$5:$B$204&gt;$B487)*(B_Drainage!$F$5:$F$204&lt;&gt;"")),IF(B_Drainage!$F$5:$F$204="-","",1)),"")</f>
        <v/>
      </c>
      <c r="W487" s="181" t="str">
        <f>IFERROR(LOOKUP(2,1/((B_Drainage!$A$5:$A$204&lt;&gt;"")*(B_Drainage!$A$5:$A$204&lt;=$B487)*(B_Drainage!$B$5:$B$204&gt;$B487)*(B_Drainage!$F$5:$F$204&lt;&gt;"")),IF(B_Drainage!$F$5:$F$204="-","",B_Drainage!$F$5:$F$204)),"")</f>
        <v/>
      </c>
      <c r="X487" s="181" t="str">
        <f>IFERROR(LOOKUP(2,1/((B_Drainage!$A$5:$A$204&lt;&gt;"")*(B_Drainage!$A$5:$A$204&lt;=$B487)*(B_Drainage!$B$5:$B$204&gt;$B487)*(B_Drainage!$G$5:$G$204&lt;&gt;"")),IF(UPPER(B_Drainage!$G$5:$G$204)="Y",1,"")),"")</f>
        <v/>
      </c>
      <c r="Y487" s="181" t="str">
        <f>IFERROR(LOOKUP(2,1/((B_Drainage!$A$5:$A$204&lt;&gt;"")*(B_Drainage!$A$5:$A$204&lt;=$B487)*(B_Drainage!$B$5:$B$204&gt;$B487)*(B_Drainage!$H$5:$H$204&lt;&gt;"")),IF(UPPER(B_Drainage!$H$5:$H$204)="Y",1,"")),"")</f>
        <v/>
      </c>
      <c r="Z487" s="181" t="str">
        <f>IFERROR(LOOKUP(2,1/((B_Drainage!$A$5:$A$204&lt;&gt;"")*(B_Drainage!$A$5:$A$204&lt;=$B487)*(B_Drainage!$B$5:$B$204&gt;$B487)*(B_Drainage!$I$5:$I$204&lt;&gt;"")),IF(UPPER(B_Drainage!$I$5:$I$204)="Y",1,"")),"")</f>
        <v/>
      </c>
      <c r="AA487" s="181" t="str">
        <f>IFERROR(LOOKUP(2,1/((B_Drainage!$A$5:$A$204&lt;&gt;"")*(B_Drainage!$A$5:$A$204&lt;=$B487)*(B_Drainage!$B$5:$B$204&gt;$B487)*(B_Drainage!$J$5:$J$204&lt;&gt;"")),IF(UPPER(B_Drainage!$J$5:$J$204)="Y",1,"")),"")</f>
        <v/>
      </c>
      <c r="AB487" s="182" t="str">
        <f>IFERROR(LOOKUP(2,1/((B_Drainage!$A$5:$A$204&lt;&gt;"")*(B_Drainage!$A$5:$A$204&lt;=$B487)*(B_Drainage!$B$5:$B$204&gt;$B487)*(B_Drainage!$K$5:$K$204&lt;&gt;"")),IF(B_Drainage!$K$5:$K$204="-","",B_Drainage!$K$5:$K$204)),"")</f>
        <v/>
      </c>
      <c r="AC487" s="182" t="str">
        <f>IFERROR(LOOKUP(2,1/((B_Drainage!$A$5:$A$204&lt;&gt;"")*(B_Drainage!$A$5:$A$204&lt;=$B487)*(B_Drainage!$B$5:$B$204&gt;$B487)*(B_Drainage!$L$5:$L$204&lt;&gt;"")),IF(B_Drainage!$L$5:$L$204="-","",B_Drainage!$L$5:$L$204)),"")</f>
        <v/>
      </c>
      <c r="AD487" s="182" t="str">
        <f>IFERROR(LOOKUP(2,1/((D_Points!$A$5:$A$204&lt;&gt;"")*(D_Points!$A$5:$A$204&gt;=$B487)*(D_Points!$A$5:$A$204&lt;$B487+P_Interval)*(UPPER(TRIM(D_Points!$B$5:$B$204))="TURNOUT_L")*(D_Points!$H$5:$H$204&lt;&gt;"")),D_Points!$H$5:$H$204),"")</f>
        <v/>
      </c>
      <c r="AE487" s="182" t="str">
        <f>IFERROR(LOOKUP(2,1/((D_Points!$A$5:$A$204&lt;&gt;"")*(D_Points!$A$5:$A$204&gt;=$B487)*(D_Points!$A$5:$A$204&lt;$B487+P_Interval)*(UPPER(TRIM(D_Points!$B$5:$B$204))="TURNOUT_R")*(D_Points!$H$5:$H$204&lt;&gt;"")),D_Points!$H$5:$H$204),"")</f>
        <v/>
      </c>
      <c r="AF487" s="181" t="str">
        <f>IFERROR(LOOKUP(2,1/((B_Drainage!$A$5:$A$204&lt;&gt;"")*(B_Drainage!$A$5:$A$204&lt;=$B487)*(B_Drainage!$B$5:$B$204&gt;$B487)*(B_Drainage!$M$5:$M$204&lt;&gt;"")),IF(UPPER(B_Drainage!$M$5:$M$204)="Y",1,"")),"")</f>
        <v/>
      </c>
      <c r="AG487" s="181" t="str">
        <f>IFERROR(LOOKUP(2,1/((B_Drainage!$A$5:$A$204&lt;&gt;"")*(B_Drainage!$A$5:$A$204&lt;=$B487)*(B_Drainage!$B$5:$B$204&gt;$B487)*(B_Drainage!$N$5:$N$204&lt;&gt;"")),IF(UPPER(B_Drainage!$N$5:$N$204)="Y",1,"")),"")</f>
        <v/>
      </c>
      <c r="AH487" s="181" t="str">
        <f t="shared" si="56"/>
        <v/>
      </c>
      <c r="AI487" s="181" t="str">
        <f t="shared" si="57"/>
        <v/>
      </c>
      <c r="AJ487" s="181" t="str">
        <f t="shared" si="58"/>
        <v/>
      </c>
      <c r="AK487" s="181" t="str">
        <f t="shared" si="59"/>
        <v/>
      </c>
      <c r="AL487" s="181" t="str">
        <f t="shared" si="60"/>
        <v/>
      </c>
      <c r="AM487" s="181" t="str">
        <f t="shared" si="61"/>
        <v/>
      </c>
      <c r="AN487" s="181" t="str">
        <f t="shared" si="62"/>
        <v/>
      </c>
      <c r="AO487" s="192" t="str">
        <f t="shared" si="63"/>
        <v/>
      </c>
      <c r="AQ487" t="str">
        <f>IFERROR(LOOKUP(2,1/((C_Pavement!$A$5:$A$204&lt;&gt;"")*(C_Pavement!$A$5:$A$204&lt;=$B487)*(C_Pavement!$B$5:$B$204&gt;$B487)*(C_Pavement!$C$5:$C$204&lt;&gt;"")),ROW(C_Pavement!$C$5:$C$204)-4),"")</f>
        <v/>
      </c>
      <c r="AR487" t="str">
        <f>IF($AQ487="","",UPPER(TRIM(INDEX(C_Pavement!$C$5:$C$204,$AQ487))))</f>
        <v/>
      </c>
      <c r="AS487" t="str">
        <f>IF($AR487="","",IFERROR(MATCH($AR487,E_Rules!$A$5:$A$9,0),""))</f>
        <v/>
      </c>
      <c r="AT487" t="str">
        <f>IF($AQ487="","",IF(INDEX(C_Pavement!$D$5:$D$204,$AQ487)&lt;&gt;"",UPPER(TRIM(INDEX(C_Pavement!$D$5:$D$204,$AQ487))),IF($AS487="","",INDEX(E_Rules!$C$5:$C$9,$AS487))))</f>
        <v/>
      </c>
      <c r="AU487" t="str">
        <f>IF($AQ487="","",IF(INDEX(C_Pavement!$E$5:$E$204,$AQ487)&lt;&gt;"",IF(INDEX(C_Pavement!$E$5:$E$204,$AQ487)="-","",INDEX(C_Pavement!$E$5:$E$204,$AQ487)),IF($AS487="","",INDEX(E_Rules!$D$5:$D$9,$AS487))))</f>
        <v/>
      </c>
      <c r="AV487" t="str">
        <f>IF($AQ487="","",IF(INDEX(C_Pavement!$F$5:$F$204,$AQ487)&lt;&gt;"",IF(INDEX(C_Pavement!$F$5:$F$204,$AQ487)="-","",INDEX(C_Pavement!$F$5:$F$204,$AQ487)),IF($AS487="","",INDEX(E_Rules!$E$5:$E$9,$AS487))))</f>
        <v/>
      </c>
      <c r="AW487" t="str">
        <f>IF($AQ487="","",IF(INDEX(C_Pavement!$G$5:$G$204,$AQ487)&lt;&gt;"",IF(INDEX(C_Pavement!$G$5:$G$204,$AQ487)="-","",INDEX(C_Pavement!$G$5:$G$204,$AQ487)),IF($AS487="","",INDEX(E_Rules!$F$5:$F$9,$AS487))))</f>
        <v/>
      </c>
      <c r="AX487" t="str">
        <f>IF($AQ487="","",IF(INDEX(C_Pavement!$H$5:$H$204,$AQ487)&lt;&gt;"",IF(INDEX(C_Pavement!$H$5:$H$204,$AQ487)="-","",INDEX(C_Pavement!$H$5:$H$204,$AQ487)),IF($AS487="","",INDEX(E_Rules!$G$5:$G$9,$AS487))))</f>
        <v/>
      </c>
      <c r="AY487" t="str">
        <f>IF($AQ487="","",IF(INDEX(C_Pavement!$I$5:$I$204,$AQ487)&lt;&gt;"",IF(INDEX(C_Pavement!$I$5:$I$204,$AQ487)="-","",INDEX(C_Pavement!$I$5:$I$204,$AQ487)),IF($AS487="","",INDEX(E_Rules!$H$5:$H$9,$AS487))))</f>
        <v/>
      </c>
    </row>
    <row r="488" spans="1:51" ht="15.75" customHeight="1" x14ac:dyDescent="0.3">
      <c r="A488" s="189">
        <v>483</v>
      </c>
      <c r="B488" s="180">
        <v>24100</v>
      </c>
      <c r="C488" s="180" t="s">
        <v>794</v>
      </c>
      <c r="D488" s="181" t="str">
        <f>IFERROR(LOOKUP(2,1/((A_Corridor!$A$5:$A$204&lt;&gt;"")*(A_Corridor!$A$5:$A$204&lt;=$B488)*(A_Corridor!$B$5:$B$204&gt;$B488)*(A_Corridor!$C$5:$C$204&lt;&gt;"")),IF(UPPER(A_Corridor!$C$5:$C$204)="Y",1,"")),"")</f>
        <v/>
      </c>
      <c r="E488" s="181" t="str">
        <f>IFERROR(LOOKUP(2,1/((A_Corridor!$A$5:$A$204&lt;&gt;"")*(A_Corridor!$A$5:$A$204&lt;=$B488)*(A_Corridor!$B$5:$B$204&gt;$B488)*(A_Corridor!$D$5:$D$204&lt;&gt;"")),IF(A_Corridor!$D$5:$D$204="-","",UPPER(A_Corridor!$D$5:$D$204))),"")</f>
        <v/>
      </c>
      <c r="F488" s="181" t="str">
        <f>IFERROR(LOOKUP(2,1/((A_Corridor!$A$5:$A$204&lt;&gt;"")*(A_Corridor!$A$5:$A$204&lt;=$B488)*(A_Corridor!$B$5:$B$204&gt;$B488)*(A_Corridor!$E$5:$E$204&lt;&gt;"")),IF(A_Corridor!$E$5:$E$204="-","",1)),"")</f>
        <v/>
      </c>
      <c r="G488" s="182" t="str">
        <f>IFERROR(LOOKUP(2,1/((A_Corridor!$A$5:$A$204&lt;&gt;"")*(A_Corridor!$A$5:$A$204&lt;=$B488)*(A_Corridor!$B$5:$B$204&gt;$B488)*(A_Corridor!$E$5:$E$204&lt;&gt;"")),IF(A_Corridor!$E$5:$E$204="-","",A_Corridor!$E$5:$E$204)),"")</f>
        <v/>
      </c>
      <c r="H488" s="182" t="str">
        <f>IFERROR(LOOKUP(2,1/((D_Points!$A$5:$A$204&lt;&gt;"")*(D_Points!$A$5:$A$204&gt;=$B488)*(D_Points!$A$5:$A$204&lt;$B488+P_Interval)*(UPPER(TRIM(D_Points!$B$5:$B$204))="GULLY")*(D_Points!$H$5:$H$204&lt;&gt;"")),D_Points!$H$5:$H$204),"")</f>
        <v/>
      </c>
      <c r="I488" s="181" t="str">
        <f>IFERROR(LOOKUP(2,1/((A_Corridor!$A$5:$A$204&lt;&gt;"")*(A_Corridor!$A$5:$A$204&lt;=$B488)*(A_Corridor!$B$5:$B$204&gt;$B488)*(A_Corridor!$F$5:$F$204&lt;&gt;"")),IF(A_Corridor!$F$5:$F$204="-","",1)),"")</f>
        <v/>
      </c>
      <c r="J488" s="182" t="str">
        <f>IFERROR(LOOKUP(2,1/((A_Corridor!$A$5:$A$204&lt;&gt;"")*(A_Corridor!$A$5:$A$204&lt;=$B488)*(A_Corridor!$B$5:$B$204&gt;$B488)*(A_Corridor!$F$5:$F$204&lt;&gt;"")),IF(A_Corridor!$F$5:$F$204="-","",A_Corridor!$F$5:$F$204)),"")</f>
        <v/>
      </c>
      <c r="K488" s="182" t="str">
        <f>IFERROR(LOOKUP(2,1/((A_Corridor!$A$5:$A$204&lt;&gt;"")*(A_Corridor!$A$5:$A$204&lt;=$B488)*(A_Corridor!$B$5:$B$204&gt;$B488)*(A_Corridor!$G$5:$G$204&lt;&gt;"")),IF(A_Corridor!$G$5:$G$204="-","",A_Corridor!$G$5:$G$204)),"")</f>
        <v/>
      </c>
      <c r="L488" s="181" t="str">
        <f>IFERROR(LOOKUP(2,1/((A_Corridor!$A$5:$A$204&lt;&gt;"")*(A_Corridor!$A$5:$A$204&lt;=$B488)*(A_Corridor!$B$5:$B$204&gt;$B488)*(A_Corridor!$H$5:$H$204&lt;&gt;"")),IF(A_Corridor!$H$5:$H$204="-","",1)),"")</f>
        <v/>
      </c>
      <c r="M488" s="182" t="str">
        <f>IFERROR(LOOKUP(2,1/((A_Corridor!$A$5:$A$204&lt;&gt;"")*(A_Corridor!$A$5:$A$204&lt;=$B488)*(A_Corridor!$B$5:$B$204&gt;$B488)*(A_Corridor!$H$5:$H$204&lt;&gt;"")),IF(A_Corridor!$H$5:$H$204="-","",A_Corridor!$H$5:$H$204)),"")</f>
        <v/>
      </c>
      <c r="N488" s="182" t="str">
        <f>IFERROR(LOOKUP(2,1/((A_Corridor!$A$5:$A$204&lt;&gt;"")*(A_Corridor!$A$5:$A$204&lt;=$B488)*(A_Corridor!$B$5:$B$204&gt;$B488)*(A_Corridor!$I$5:$I$204&lt;&gt;"")),IF(A_Corridor!$I$5:$I$204="-","",A_Corridor!$I$5:$I$204)),"")</f>
        <v/>
      </c>
      <c r="O488" s="182" t="str">
        <f>IFERROR(LOOKUP(2,1/((D_Points!$A$5:$A$204&lt;&gt;"")*(D_Points!$A$5:$A$204&gt;=$B488)*(D_Points!$A$5:$A$204&lt;$B488+P_Interval)*(UPPER(TRIM(D_Points!$B$5:$B$204))="PITCHING")*(D_Points!$H$5:$H$204&lt;&gt;"")),D_Points!$H$5:$H$204),"")</f>
        <v/>
      </c>
      <c r="P488" s="181" t="str">
        <f>IFERROR(LOOKUP(2,1/((B_Drainage!$A$5:$A$204&lt;&gt;"")*(B_Drainage!$A$5:$A$204&lt;=$B488)*(B_Drainage!$B$5:$B$204&gt;$B488)*(B_Drainage!$C$5:$C$204&lt;&gt;"")),IF(B_Drainage!$C$5:$C$204="-","",UPPER(B_Drainage!$C$5:$C$204))),"")</f>
        <v/>
      </c>
      <c r="Q488" s="181" t="str">
        <f>IFERROR(LOOKUP(2,1/((B_Drainage!$A$5:$A$204&lt;&gt;"")*(B_Drainage!$A$5:$A$204&lt;=$B488)*(B_Drainage!$B$5:$B$204&gt;$B488)*(B_Drainage!$D$5:$D$204&lt;&gt;"")),IF(B_Drainage!$D$5:$D$204="-","",UPPER(B_Drainage!$D$5:$D$204))),"")</f>
        <v/>
      </c>
      <c r="R488" s="182" t="str">
        <f>IFERROR(LOOKUP(2,1/((D_Points!$A$5:$A$204&lt;&gt;"")*(D_Points!$A$5:$A$204&gt;=$B488)*(D_Points!$A$5:$A$204&lt;$B488+P_Interval)*(RIGHT(UPPER(TRIM(D_Points!$B$5:$B$204)),8)="_CULVERT")),IF(LEFT(UPPER(TRIM(D_Points!$B$5:$B$204)),2)="EX",1,IF(LEFT(UPPER(TRIM(D_Points!$B$5:$B$204)),2)="PR",2,3))),"")</f>
        <v/>
      </c>
      <c r="S488" s="182" t="str">
        <f>IFERROR(LOOKUP(2,1/((D_Points!$A$5:$A$204&lt;&gt;"")*(D_Points!$A$5:$A$204&gt;=$B488)*(D_Points!$A$5:$A$204&lt;$B488+P_Interval)*(RIGHT(UPPER(TRIM(D_Points!$B$5:$B$204)),7)="_BRIDGE")),IF(LEFT(UPPER(TRIM(D_Points!$B$5:$B$204)),2)="EX",1,IF(LEFT(UPPER(TRIM(D_Points!$B$5:$B$204)),2)="PR",2,2))),"")</f>
        <v/>
      </c>
      <c r="T488" s="181" t="str">
        <f>IFERROR(LOOKUP(2,1/((B_Drainage!$A$5:$A$204&lt;&gt;"")*(B_Drainage!$A$5:$A$204&lt;=$B488)*(B_Drainage!$B$5:$B$204&gt;$B488)*(B_Drainage!$E$5:$E$204&lt;&gt;"")),IF(B_Drainage!$E$5:$E$204="-","",1)),"")</f>
        <v/>
      </c>
      <c r="U488" s="181" t="str">
        <f>IFERROR(LOOKUP(2,1/((B_Drainage!$A$5:$A$204&lt;&gt;"")*(B_Drainage!$A$5:$A$204&lt;=$B488)*(B_Drainage!$B$5:$B$204&gt;$B488)*(B_Drainage!$E$5:$E$204&lt;&gt;"")),IF(B_Drainage!$E$5:$E$204="-","",B_Drainage!$E$5:$E$204)),"")</f>
        <v/>
      </c>
      <c r="V488" s="181" t="str">
        <f>IFERROR(LOOKUP(2,1/((B_Drainage!$A$5:$A$204&lt;&gt;"")*(B_Drainage!$A$5:$A$204&lt;=$B488)*(B_Drainage!$B$5:$B$204&gt;$B488)*(B_Drainage!$F$5:$F$204&lt;&gt;"")),IF(B_Drainage!$F$5:$F$204="-","",1)),"")</f>
        <v/>
      </c>
      <c r="W488" s="181" t="str">
        <f>IFERROR(LOOKUP(2,1/((B_Drainage!$A$5:$A$204&lt;&gt;"")*(B_Drainage!$A$5:$A$204&lt;=$B488)*(B_Drainage!$B$5:$B$204&gt;$B488)*(B_Drainage!$F$5:$F$204&lt;&gt;"")),IF(B_Drainage!$F$5:$F$204="-","",B_Drainage!$F$5:$F$204)),"")</f>
        <v/>
      </c>
      <c r="X488" s="181" t="str">
        <f>IFERROR(LOOKUP(2,1/((B_Drainage!$A$5:$A$204&lt;&gt;"")*(B_Drainage!$A$5:$A$204&lt;=$B488)*(B_Drainage!$B$5:$B$204&gt;$B488)*(B_Drainage!$G$5:$G$204&lt;&gt;"")),IF(UPPER(B_Drainage!$G$5:$G$204)="Y",1,"")),"")</f>
        <v/>
      </c>
      <c r="Y488" s="181" t="str">
        <f>IFERROR(LOOKUP(2,1/((B_Drainage!$A$5:$A$204&lt;&gt;"")*(B_Drainage!$A$5:$A$204&lt;=$B488)*(B_Drainage!$B$5:$B$204&gt;$B488)*(B_Drainage!$H$5:$H$204&lt;&gt;"")),IF(UPPER(B_Drainage!$H$5:$H$204)="Y",1,"")),"")</f>
        <v/>
      </c>
      <c r="Z488" s="181" t="str">
        <f>IFERROR(LOOKUP(2,1/((B_Drainage!$A$5:$A$204&lt;&gt;"")*(B_Drainage!$A$5:$A$204&lt;=$B488)*(B_Drainage!$B$5:$B$204&gt;$B488)*(B_Drainage!$I$5:$I$204&lt;&gt;"")),IF(UPPER(B_Drainage!$I$5:$I$204)="Y",1,"")),"")</f>
        <v/>
      </c>
      <c r="AA488" s="181" t="str">
        <f>IFERROR(LOOKUP(2,1/((B_Drainage!$A$5:$A$204&lt;&gt;"")*(B_Drainage!$A$5:$A$204&lt;=$B488)*(B_Drainage!$B$5:$B$204&gt;$B488)*(B_Drainage!$J$5:$J$204&lt;&gt;"")),IF(UPPER(B_Drainage!$J$5:$J$204)="Y",1,"")),"")</f>
        <v/>
      </c>
      <c r="AB488" s="182" t="str">
        <f>IFERROR(LOOKUP(2,1/((B_Drainage!$A$5:$A$204&lt;&gt;"")*(B_Drainage!$A$5:$A$204&lt;=$B488)*(B_Drainage!$B$5:$B$204&gt;$B488)*(B_Drainage!$K$5:$K$204&lt;&gt;"")),IF(B_Drainage!$K$5:$K$204="-","",B_Drainage!$K$5:$K$204)),"")</f>
        <v/>
      </c>
      <c r="AC488" s="182" t="str">
        <f>IFERROR(LOOKUP(2,1/((B_Drainage!$A$5:$A$204&lt;&gt;"")*(B_Drainage!$A$5:$A$204&lt;=$B488)*(B_Drainage!$B$5:$B$204&gt;$B488)*(B_Drainage!$L$5:$L$204&lt;&gt;"")),IF(B_Drainage!$L$5:$L$204="-","",B_Drainage!$L$5:$L$204)),"")</f>
        <v/>
      </c>
      <c r="AD488" s="182" t="str">
        <f>IFERROR(LOOKUP(2,1/((D_Points!$A$5:$A$204&lt;&gt;"")*(D_Points!$A$5:$A$204&gt;=$B488)*(D_Points!$A$5:$A$204&lt;$B488+P_Interval)*(UPPER(TRIM(D_Points!$B$5:$B$204))="TURNOUT_L")*(D_Points!$H$5:$H$204&lt;&gt;"")),D_Points!$H$5:$H$204),"")</f>
        <v/>
      </c>
      <c r="AE488" s="182" t="str">
        <f>IFERROR(LOOKUP(2,1/((D_Points!$A$5:$A$204&lt;&gt;"")*(D_Points!$A$5:$A$204&gt;=$B488)*(D_Points!$A$5:$A$204&lt;$B488+P_Interval)*(UPPER(TRIM(D_Points!$B$5:$B$204))="TURNOUT_R")*(D_Points!$H$5:$H$204&lt;&gt;"")),D_Points!$H$5:$H$204),"")</f>
        <v/>
      </c>
      <c r="AF488" s="181" t="str">
        <f>IFERROR(LOOKUP(2,1/((B_Drainage!$A$5:$A$204&lt;&gt;"")*(B_Drainage!$A$5:$A$204&lt;=$B488)*(B_Drainage!$B$5:$B$204&gt;$B488)*(B_Drainage!$M$5:$M$204&lt;&gt;"")),IF(UPPER(B_Drainage!$M$5:$M$204)="Y",1,"")),"")</f>
        <v/>
      </c>
      <c r="AG488" s="181" t="str">
        <f>IFERROR(LOOKUP(2,1/((B_Drainage!$A$5:$A$204&lt;&gt;"")*(B_Drainage!$A$5:$A$204&lt;=$B488)*(B_Drainage!$B$5:$B$204&gt;$B488)*(B_Drainage!$N$5:$N$204&lt;&gt;"")),IF(UPPER(B_Drainage!$N$5:$N$204)="Y",1,"")),"")</f>
        <v/>
      </c>
      <c r="AH488" s="181" t="str">
        <f t="shared" si="56"/>
        <v/>
      </c>
      <c r="AI488" s="181" t="str">
        <f t="shared" si="57"/>
        <v/>
      </c>
      <c r="AJ488" s="181" t="str">
        <f t="shared" si="58"/>
        <v/>
      </c>
      <c r="AK488" s="181" t="str">
        <f t="shared" si="59"/>
        <v/>
      </c>
      <c r="AL488" s="181" t="str">
        <f t="shared" si="60"/>
        <v/>
      </c>
      <c r="AM488" s="181" t="str">
        <f t="shared" si="61"/>
        <v/>
      </c>
      <c r="AN488" s="181" t="str">
        <f t="shared" si="62"/>
        <v/>
      </c>
      <c r="AO488" s="192" t="str">
        <f t="shared" si="63"/>
        <v/>
      </c>
      <c r="AQ488" t="str">
        <f>IFERROR(LOOKUP(2,1/((C_Pavement!$A$5:$A$204&lt;&gt;"")*(C_Pavement!$A$5:$A$204&lt;=$B488)*(C_Pavement!$B$5:$B$204&gt;$B488)*(C_Pavement!$C$5:$C$204&lt;&gt;"")),ROW(C_Pavement!$C$5:$C$204)-4),"")</f>
        <v/>
      </c>
      <c r="AR488" t="str">
        <f>IF($AQ488="","",UPPER(TRIM(INDEX(C_Pavement!$C$5:$C$204,$AQ488))))</f>
        <v/>
      </c>
      <c r="AS488" t="str">
        <f>IF($AR488="","",IFERROR(MATCH($AR488,E_Rules!$A$5:$A$9,0),""))</f>
        <v/>
      </c>
      <c r="AT488" t="str">
        <f>IF($AQ488="","",IF(INDEX(C_Pavement!$D$5:$D$204,$AQ488)&lt;&gt;"",UPPER(TRIM(INDEX(C_Pavement!$D$5:$D$204,$AQ488))),IF($AS488="","",INDEX(E_Rules!$C$5:$C$9,$AS488))))</f>
        <v/>
      </c>
      <c r="AU488" t="str">
        <f>IF($AQ488="","",IF(INDEX(C_Pavement!$E$5:$E$204,$AQ488)&lt;&gt;"",IF(INDEX(C_Pavement!$E$5:$E$204,$AQ488)="-","",INDEX(C_Pavement!$E$5:$E$204,$AQ488)),IF($AS488="","",INDEX(E_Rules!$D$5:$D$9,$AS488))))</f>
        <v/>
      </c>
      <c r="AV488" t="str">
        <f>IF($AQ488="","",IF(INDEX(C_Pavement!$F$5:$F$204,$AQ488)&lt;&gt;"",IF(INDEX(C_Pavement!$F$5:$F$204,$AQ488)="-","",INDEX(C_Pavement!$F$5:$F$204,$AQ488)),IF($AS488="","",INDEX(E_Rules!$E$5:$E$9,$AS488))))</f>
        <v/>
      </c>
      <c r="AW488" t="str">
        <f>IF($AQ488="","",IF(INDEX(C_Pavement!$G$5:$G$204,$AQ488)&lt;&gt;"",IF(INDEX(C_Pavement!$G$5:$G$204,$AQ488)="-","",INDEX(C_Pavement!$G$5:$G$204,$AQ488)),IF($AS488="","",INDEX(E_Rules!$F$5:$F$9,$AS488))))</f>
        <v/>
      </c>
      <c r="AX488" t="str">
        <f>IF($AQ488="","",IF(INDEX(C_Pavement!$H$5:$H$204,$AQ488)&lt;&gt;"",IF(INDEX(C_Pavement!$H$5:$H$204,$AQ488)="-","",INDEX(C_Pavement!$H$5:$H$204,$AQ488)),IF($AS488="","",INDEX(E_Rules!$G$5:$G$9,$AS488))))</f>
        <v/>
      </c>
      <c r="AY488" t="str">
        <f>IF($AQ488="","",IF(INDEX(C_Pavement!$I$5:$I$204,$AQ488)&lt;&gt;"",IF(INDEX(C_Pavement!$I$5:$I$204,$AQ488)="-","",INDEX(C_Pavement!$I$5:$I$204,$AQ488)),IF($AS488="","",INDEX(E_Rules!$H$5:$H$9,$AS488))))</f>
        <v/>
      </c>
    </row>
    <row r="489" spans="1:51" ht="15.75" customHeight="1" x14ac:dyDescent="0.3">
      <c r="A489" s="189">
        <v>484</v>
      </c>
      <c r="B489" s="180">
        <v>24150</v>
      </c>
      <c r="C489" s="180" t="s">
        <v>795</v>
      </c>
      <c r="D489" s="181" t="str">
        <f>IFERROR(LOOKUP(2,1/((A_Corridor!$A$5:$A$204&lt;&gt;"")*(A_Corridor!$A$5:$A$204&lt;=$B489)*(A_Corridor!$B$5:$B$204&gt;$B489)*(A_Corridor!$C$5:$C$204&lt;&gt;"")),IF(UPPER(A_Corridor!$C$5:$C$204)="Y",1,"")),"")</f>
        <v/>
      </c>
      <c r="E489" s="181" t="str">
        <f>IFERROR(LOOKUP(2,1/((A_Corridor!$A$5:$A$204&lt;&gt;"")*(A_Corridor!$A$5:$A$204&lt;=$B489)*(A_Corridor!$B$5:$B$204&gt;$B489)*(A_Corridor!$D$5:$D$204&lt;&gt;"")),IF(A_Corridor!$D$5:$D$204="-","",UPPER(A_Corridor!$D$5:$D$204))),"")</f>
        <v/>
      </c>
      <c r="F489" s="181" t="str">
        <f>IFERROR(LOOKUP(2,1/((A_Corridor!$A$5:$A$204&lt;&gt;"")*(A_Corridor!$A$5:$A$204&lt;=$B489)*(A_Corridor!$B$5:$B$204&gt;$B489)*(A_Corridor!$E$5:$E$204&lt;&gt;"")),IF(A_Corridor!$E$5:$E$204="-","",1)),"")</f>
        <v/>
      </c>
      <c r="G489" s="182" t="str">
        <f>IFERROR(LOOKUP(2,1/((A_Corridor!$A$5:$A$204&lt;&gt;"")*(A_Corridor!$A$5:$A$204&lt;=$B489)*(A_Corridor!$B$5:$B$204&gt;$B489)*(A_Corridor!$E$5:$E$204&lt;&gt;"")),IF(A_Corridor!$E$5:$E$204="-","",A_Corridor!$E$5:$E$204)),"")</f>
        <v/>
      </c>
      <c r="H489" s="182" t="str">
        <f>IFERROR(LOOKUP(2,1/((D_Points!$A$5:$A$204&lt;&gt;"")*(D_Points!$A$5:$A$204&gt;=$B489)*(D_Points!$A$5:$A$204&lt;$B489+P_Interval)*(UPPER(TRIM(D_Points!$B$5:$B$204))="GULLY")*(D_Points!$H$5:$H$204&lt;&gt;"")),D_Points!$H$5:$H$204),"")</f>
        <v/>
      </c>
      <c r="I489" s="181" t="str">
        <f>IFERROR(LOOKUP(2,1/((A_Corridor!$A$5:$A$204&lt;&gt;"")*(A_Corridor!$A$5:$A$204&lt;=$B489)*(A_Corridor!$B$5:$B$204&gt;$B489)*(A_Corridor!$F$5:$F$204&lt;&gt;"")),IF(A_Corridor!$F$5:$F$204="-","",1)),"")</f>
        <v/>
      </c>
      <c r="J489" s="182" t="str">
        <f>IFERROR(LOOKUP(2,1/((A_Corridor!$A$5:$A$204&lt;&gt;"")*(A_Corridor!$A$5:$A$204&lt;=$B489)*(A_Corridor!$B$5:$B$204&gt;$B489)*(A_Corridor!$F$5:$F$204&lt;&gt;"")),IF(A_Corridor!$F$5:$F$204="-","",A_Corridor!$F$5:$F$204)),"")</f>
        <v/>
      </c>
      <c r="K489" s="182" t="str">
        <f>IFERROR(LOOKUP(2,1/((A_Corridor!$A$5:$A$204&lt;&gt;"")*(A_Corridor!$A$5:$A$204&lt;=$B489)*(A_Corridor!$B$5:$B$204&gt;$B489)*(A_Corridor!$G$5:$G$204&lt;&gt;"")),IF(A_Corridor!$G$5:$G$204="-","",A_Corridor!$G$5:$G$204)),"")</f>
        <v/>
      </c>
      <c r="L489" s="181" t="str">
        <f>IFERROR(LOOKUP(2,1/((A_Corridor!$A$5:$A$204&lt;&gt;"")*(A_Corridor!$A$5:$A$204&lt;=$B489)*(A_Corridor!$B$5:$B$204&gt;$B489)*(A_Corridor!$H$5:$H$204&lt;&gt;"")),IF(A_Corridor!$H$5:$H$204="-","",1)),"")</f>
        <v/>
      </c>
      <c r="M489" s="182" t="str">
        <f>IFERROR(LOOKUP(2,1/((A_Corridor!$A$5:$A$204&lt;&gt;"")*(A_Corridor!$A$5:$A$204&lt;=$B489)*(A_Corridor!$B$5:$B$204&gt;$B489)*(A_Corridor!$H$5:$H$204&lt;&gt;"")),IF(A_Corridor!$H$5:$H$204="-","",A_Corridor!$H$5:$H$204)),"")</f>
        <v/>
      </c>
      <c r="N489" s="182" t="str">
        <f>IFERROR(LOOKUP(2,1/((A_Corridor!$A$5:$A$204&lt;&gt;"")*(A_Corridor!$A$5:$A$204&lt;=$B489)*(A_Corridor!$B$5:$B$204&gt;$B489)*(A_Corridor!$I$5:$I$204&lt;&gt;"")),IF(A_Corridor!$I$5:$I$204="-","",A_Corridor!$I$5:$I$204)),"")</f>
        <v/>
      </c>
      <c r="O489" s="182" t="str">
        <f>IFERROR(LOOKUP(2,1/((D_Points!$A$5:$A$204&lt;&gt;"")*(D_Points!$A$5:$A$204&gt;=$B489)*(D_Points!$A$5:$A$204&lt;$B489+P_Interval)*(UPPER(TRIM(D_Points!$B$5:$B$204))="PITCHING")*(D_Points!$H$5:$H$204&lt;&gt;"")),D_Points!$H$5:$H$204),"")</f>
        <v/>
      </c>
      <c r="P489" s="181" t="str">
        <f>IFERROR(LOOKUP(2,1/((B_Drainage!$A$5:$A$204&lt;&gt;"")*(B_Drainage!$A$5:$A$204&lt;=$B489)*(B_Drainage!$B$5:$B$204&gt;$B489)*(B_Drainage!$C$5:$C$204&lt;&gt;"")),IF(B_Drainage!$C$5:$C$204="-","",UPPER(B_Drainage!$C$5:$C$204))),"")</f>
        <v/>
      </c>
      <c r="Q489" s="181" t="str">
        <f>IFERROR(LOOKUP(2,1/((B_Drainage!$A$5:$A$204&lt;&gt;"")*(B_Drainage!$A$5:$A$204&lt;=$B489)*(B_Drainage!$B$5:$B$204&gt;$B489)*(B_Drainage!$D$5:$D$204&lt;&gt;"")),IF(B_Drainage!$D$5:$D$204="-","",UPPER(B_Drainage!$D$5:$D$204))),"")</f>
        <v/>
      </c>
      <c r="R489" s="182" t="str">
        <f>IFERROR(LOOKUP(2,1/((D_Points!$A$5:$A$204&lt;&gt;"")*(D_Points!$A$5:$A$204&gt;=$B489)*(D_Points!$A$5:$A$204&lt;$B489+P_Interval)*(RIGHT(UPPER(TRIM(D_Points!$B$5:$B$204)),8)="_CULVERT")),IF(LEFT(UPPER(TRIM(D_Points!$B$5:$B$204)),2)="EX",1,IF(LEFT(UPPER(TRIM(D_Points!$B$5:$B$204)),2)="PR",2,3))),"")</f>
        <v/>
      </c>
      <c r="S489" s="182" t="str">
        <f>IFERROR(LOOKUP(2,1/((D_Points!$A$5:$A$204&lt;&gt;"")*(D_Points!$A$5:$A$204&gt;=$B489)*(D_Points!$A$5:$A$204&lt;$B489+P_Interval)*(RIGHT(UPPER(TRIM(D_Points!$B$5:$B$204)),7)="_BRIDGE")),IF(LEFT(UPPER(TRIM(D_Points!$B$5:$B$204)),2)="EX",1,IF(LEFT(UPPER(TRIM(D_Points!$B$5:$B$204)),2)="PR",2,2))),"")</f>
        <v/>
      </c>
      <c r="T489" s="181" t="str">
        <f>IFERROR(LOOKUP(2,1/((B_Drainage!$A$5:$A$204&lt;&gt;"")*(B_Drainage!$A$5:$A$204&lt;=$B489)*(B_Drainage!$B$5:$B$204&gt;$B489)*(B_Drainage!$E$5:$E$204&lt;&gt;"")),IF(B_Drainage!$E$5:$E$204="-","",1)),"")</f>
        <v/>
      </c>
      <c r="U489" s="181" t="str">
        <f>IFERROR(LOOKUP(2,1/((B_Drainage!$A$5:$A$204&lt;&gt;"")*(B_Drainage!$A$5:$A$204&lt;=$B489)*(B_Drainage!$B$5:$B$204&gt;$B489)*(B_Drainage!$E$5:$E$204&lt;&gt;"")),IF(B_Drainage!$E$5:$E$204="-","",B_Drainage!$E$5:$E$204)),"")</f>
        <v/>
      </c>
      <c r="V489" s="181" t="str">
        <f>IFERROR(LOOKUP(2,1/((B_Drainage!$A$5:$A$204&lt;&gt;"")*(B_Drainage!$A$5:$A$204&lt;=$B489)*(B_Drainage!$B$5:$B$204&gt;$B489)*(B_Drainage!$F$5:$F$204&lt;&gt;"")),IF(B_Drainage!$F$5:$F$204="-","",1)),"")</f>
        <v/>
      </c>
      <c r="W489" s="181" t="str">
        <f>IFERROR(LOOKUP(2,1/((B_Drainage!$A$5:$A$204&lt;&gt;"")*(B_Drainage!$A$5:$A$204&lt;=$B489)*(B_Drainage!$B$5:$B$204&gt;$B489)*(B_Drainage!$F$5:$F$204&lt;&gt;"")),IF(B_Drainage!$F$5:$F$204="-","",B_Drainage!$F$5:$F$204)),"")</f>
        <v/>
      </c>
      <c r="X489" s="181" t="str">
        <f>IFERROR(LOOKUP(2,1/((B_Drainage!$A$5:$A$204&lt;&gt;"")*(B_Drainage!$A$5:$A$204&lt;=$B489)*(B_Drainage!$B$5:$B$204&gt;$B489)*(B_Drainage!$G$5:$G$204&lt;&gt;"")),IF(UPPER(B_Drainage!$G$5:$G$204)="Y",1,"")),"")</f>
        <v/>
      </c>
      <c r="Y489" s="181" t="str">
        <f>IFERROR(LOOKUP(2,1/((B_Drainage!$A$5:$A$204&lt;&gt;"")*(B_Drainage!$A$5:$A$204&lt;=$B489)*(B_Drainage!$B$5:$B$204&gt;$B489)*(B_Drainage!$H$5:$H$204&lt;&gt;"")),IF(UPPER(B_Drainage!$H$5:$H$204)="Y",1,"")),"")</f>
        <v/>
      </c>
      <c r="Z489" s="181" t="str">
        <f>IFERROR(LOOKUP(2,1/((B_Drainage!$A$5:$A$204&lt;&gt;"")*(B_Drainage!$A$5:$A$204&lt;=$B489)*(B_Drainage!$B$5:$B$204&gt;$B489)*(B_Drainage!$I$5:$I$204&lt;&gt;"")),IF(UPPER(B_Drainage!$I$5:$I$204)="Y",1,"")),"")</f>
        <v/>
      </c>
      <c r="AA489" s="181" t="str">
        <f>IFERROR(LOOKUP(2,1/((B_Drainage!$A$5:$A$204&lt;&gt;"")*(B_Drainage!$A$5:$A$204&lt;=$B489)*(B_Drainage!$B$5:$B$204&gt;$B489)*(B_Drainage!$J$5:$J$204&lt;&gt;"")),IF(UPPER(B_Drainage!$J$5:$J$204)="Y",1,"")),"")</f>
        <v/>
      </c>
      <c r="AB489" s="182" t="str">
        <f>IFERROR(LOOKUP(2,1/((B_Drainage!$A$5:$A$204&lt;&gt;"")*(B_Drainage!$A$5:$A$204&lt;=$B489)*(B_Drainage!$B$5:$B$204&gt;$B489)*(B_Drainage!$K$5:$K$204&lt;&gt;"")),IF(B_Drainage!$K$5:$K$204="-","",B_Drainage!$K$5:$K$204)),"")</f>
        <v/>
      </c>
      <c r="AC489" s="182" t="str">
        <f>IFERROR(LOOKUP(2,1/((B_Drainage!$A$5:$A$204&lt;&gt;"")*(B_Drainage!$A$5:$A$204&lt;=$B489)*(B_Drainage!$B$5:$B$204&gt;$B489)*(B_Drainage!$L$5:$L$204&lt;&gt;"")),IF(B_Drainage!$L$5:$L$204="-","",B_Drainage!$L$5:$L$204)),"")</f>
        <v/>
      </c>
      <c r="AD489" s="182" t="str">
        <f>IFERROR(LOOKUP(2,1/((D_Points!$A$5:$A$204&lt;&gt;"")*(D_Points!$A$5:$A$204&gt;=$B489)*(D_Points!$A$5:$A$204&lt;$B489+P_Interval)*(UPPER(TRIM(D_Points!$B$5:$B$204))="TURNOUT_L")*(D_Points!$H$5:$H$204&lt;&gt;"")),D_Points!$H$5:$H$204),"")</f>
        <v/>
      </c>
      <c r="AE489" s="182" t="str">
        <f>IFERROR(LOOKUP(2,1/((D_Points!$A$5:$A$204&lt;&gt;"")*(D_Points!$A$5:$A$204&gt;=$B489)*(D_Points!$A$5:$A$204&lt;$B489+P_Interval)*(UPPER(TRIM(D_Points!$B$5:$B$204))="TURNOUT_R")*(D_Points!$H$5:$H$204&lt;&gt;"")),D_Points!$H$5:$H$204),"")</f>
        <v/>
      </c>
      <c r="AF489" s="181" t="str">
        <f>IFERROR(LOOKUP(2,1/((B_Drainage!$A$5:$A$204&lt;&gt;"")*(B_Drainage!$A$5:$A$204&lt;=$B489)*(B_Drainage!$B$5:$B$204&gt;$B489)*(B_Drainage!$M$5:$M$204&lt;&gt;"")),IF(UPPER(B_Drainage!$M$5:$M$204)="Y",1,"")),"")</f>
        <v/>
      </c>
      <c r="AG489" s="181" t="str">
        <f>IFERROR(LOOKUP(2,1/((B_Drainage!$A$5:$A$204&lt;&gt;"")*(B_Drainage!$A$5:$A$204&lt;=$B489)*(B_Drainage!$B$5:$B$204&gt;$B489)*(B_Drainage!$N$5:$N$204&lt;&gt;"")),IF(UPPER(B_Drainage!$N$5:$N$204)="Y",1,"")),"")</f>
        <v/>
      </c>
      <c r="AH489" s="181" t="str">
        <f t="shared" si="56"/>
        <v/>
      </c>
      <c r="AI489" s="181" t="str">
        <f t="shared" si="57"/>
        <v/>
      </c>
      <c r="AJ489" s="181" t="str">
        <f t="shared" si="58"/>
        <v/>
      </c>
      <c r="AK489" s="181" t="str">
        <f t="shared" si="59"/>
        <v/>
      </c>
      <c r="AL489" s="181" t="str">
        <f t="shared" si="60"/>
        <v/>
      </c>
      <c r="AM489" s="181" t="str">
        <f t="shared" si="61"/>
        <v/>
      </c>
      <c r="AN489" s="181" t="str">
        <f t="shared" si="62"/>
        <v/>
      </c>
      <c r="AO489" s="192" t="str">
        <f t="shared" si="63"/>
        <v/>
      </c>
      <c r="AQ489" t="str">
        <f>IFERROR(LOOKUP(2,1/((C_Pavement!$A$5:$A$204&lt;&gt;"")*(C_Pavement!$A$5:$A$204&lt;=$B489)*(C_Pavement!$B$5:$B$204&gt;$B489)*(C_Pavement!$C$5:$C$204&lt;&gt;"")),ROW(C_Pavement!$C$5:$C$204)-4),"")</f>
        <v/>
      </c>
      <c r="AR489" t="str">
        <f>IF($AQ489="","",UPPER(TRIM(INDEX(C_Pavement!$C$5:$C$204,$AQ489))))</f>
        <v/>
      </c>
      <c r="AS489" t="str">
        <f>IF($AR489="","",IFERROR(MATCH($AR489,E_Rules!$A$5:$A$9,0),""))</f>
        <v/>
      </c>
      <c r="AT489" t="str">
        <f>IF($AQ489="","",IF(INDEX(C_Pavement!$D$5:$D$204,$AQ489)&lt;&gt;"",UPPER(TRIM(INDEX(C_Pavement!$D$5:$D$204,$AQ489))),IF($AS489="","",INDEX(E_Rules!$C$5:$C$9,$AS489))))</f>
        <v/>
      </c>
      <c r="AU489" t="str">
        <f>IF($AQ489="","",IF(INDEX(C_Pavement!$E$5:$E$204,$AQ489)&lt;&gt;"",IF(INDEX(C_Pavement!$E$5:$E$204,$AQ489)="-","",INDEX(C_Pavement!$E$5:$E$204,$AQ489)),IF($AS489="","",INDEX(E_Rules!$D$5:$D$9,$AS489))))</f>
        <v/>
      </c>
      <c r="AV489" t="str">
        <f>IF($AQ489="","",IF(INDEX(C_Pavement!$F$5:$F$204,$AQ489)&lt;&gt;"",IF(INDEX(C_Pavement!$F$5:$F$204,$AQ489)="-","",INDEX(C_Pavement!$F$5:$F$204,$AQ489)),IF($AS489="","",INDEX(E_Rules!$E$5:$E$9,$AS489))))</f>
        <v/>
      </c>
      <c r="AW489" t="str">
        <f>IF($AQ489="","",IF(INDEX(C_Pavement!$G$5:$G$204,$AQ489)&lt;&gt;"",IF(INDEX(C_Pavement!$G$5:$G$204,$AQ489)="-","",INDEX(C_Pavement!$G$5:$G$204,$AQ489)),IF($AS489="","",INDEX(E_Rules!$F$5:$F$9,$AS489))))</f>
        <v/>
      </c>
      <c r="AX489" t="str">
        <f>IF($AQ489="","",IF(INDEX(C_Pavement!$H$5:$H$204,$AQ489)&lt;&gt;"",IF(INDEX(C_Pavement!$H$5:$H$204,$AQ489)="-","",INDEX(C_Pavement!$H$5:$H$204,$AQ489)),IF($AS489="","",INDEX(E_Rules!$G$5:$G$9,$AS489))))</f>
        <v/>
      </c>
      <c r="AY489" t="str">
        <f>IF($AQ489="","",IF(INDEX(C_Pavement!$I$5:$I$204,$AQ489)&lt;&gt;"",IF(INDEX(C_Pavement!$I$5:$I$204,$AQ489)="-","",INDEX(C_Pavement!$I$5:$I$204,$AQ489)),IF($AS489="","",INDEX(E_Rules!$H$5:$H$9,$AS489))))</f>
        <v/>
      </c>
    </row>
    <row r="490" spans="1:51" ht="15.75" customHeight="1" x14ac:dyDescent="0.3">
      <c r="A490" s="189">
        <v>485</v>
      </c>
      <c r="B490" s="180">
        <v>24200</v>
      </c>
      <c r="C490" s="180" t="s">
        <v>796</v>
      </c>
      <c r="D490" s="181" t="str">
        <f>IFERROR(LOOKUP(2,1/((A_Corridor!$A$5:$A$204&lt;&gt;"")*(A_Corridor!$A$5:$A$204&lt;=$B490)*(A_Corridor!$B$5:$B$204&gt;$B490)*(A_Corridor!$C$5:$C$204&lt;&gt;"")),IF(UPPER(A_Corridor!$C$5:$C$204)="Y",1,"")),"")</f>
        <v/>
      </c>
      <c r="E490" s="181" t="str">
        <f>IFERROR(LOOKUP(2,1/((A_Corridor!$A$5:$A$204&lt;&gt;"")*(A_Corridor!$A$5:$A$204&lt;=$B490)*(A_Corridor!$B$5:$B$204&gt;$B490)*(A_Corridor!$D$5:$D$204&lt;&gt;"")),IF(A_Corridor!$D$5:$D$204="-","",UPPER(A_Corridor!$D$5:$D$204))),"")</f>
        <v/>
      </c>
      <c r="F490" s="181" t="str">
        <f>IFERROR(LOOKUP(2,1/((A_Corridor!$A$5:$A$204&lt;&gt;"")*(A_Corridor!$A$5:$A$204&lt;=$B490)*(A_Corridor!$B$5:$B$204&gt;$B490)*(A_Corridor!$E$5:$E$204&lt;&gt;"")),IF(A_Corridor!$E$5:$E$204="-","",1)),"")</f>
        <v/>
      </c>
      <c r="G490" s="182" t="str">
        <f>IFERROR(LOOKUP(2,1/((A_Corridor!$A$5:$A$204&lt;&gt;"")*(A_Corridor!$A$5:$A$204&lt;=$B490)*(A_Corridor!$B$5:$B$204&gt;$B490)*(A_Corridor!$E$5:$E$204&lt;&gt;"")),IF(A_Corridor!$E$5:$E$204="-","",A_Corridor!$E$5:$E$204)),"")</f>
        <v/>
      </c>
      <c r="H490" s="182" t="str">
        <f>IFERROR(LOOKUP(2,1/((D_Points!$A$5:$A$204&lt;&gt;"")*(D_Points!$A$5:$A$204&gt;=$B490)*(D_Points!$A$5:$A$204&lt;$B490+P_Interval)*(UPPER(TRIM(D_Points!$B$5:$B$204))="GULLY")*(D_Points!$H$5:$H$204&lt;&gt;"")),D_Points!$H$5:$H$204),"")</f>
        <v/>
      </c>
      <c r="I490" s="181" t="str">
        <f>IFERROR(LOOKUP(2,1/((A_Corridor!$A$5:$A$204&lt;&gt;"")*(A_Corridor!$A$5:$A$204&lt;=$B490)*(A_Corridor!$B$5:$B$204&gt;$B490)*(A_Corridor!$F$5:$F$204&lt;&gt;"")),IF(A_Corridor!$F$5:$F$204="-","",1)),"")</f>
        <v/>
      </c>
      <c r="J490" s="182" t="str">
        <f>IFERROR(LOOKUP(2,1/((A_Corridor!$A$5:$A$204&lt;&gt;"")*(A_Corridor!$A$5:$A$204&lt;=$B490)*(A_Corridor!$B$5:$B$204&gt;$B490)*(A_Corridor!$F$5:$F$204&lt;&gt;"")),IF(A_Corridor!$F$5:$F$204="-","",A_Corridor!$F$5:$F$204)),"")</f>
        <v/>
      </c>
      <c r="K490" s="182" t="str">
        <f>IFERROR(LOOKUP(2,1/((A_Corridor!$A$5:$A$204&lt;&gt;"")*(A_Corridor!$A$5:$A$204&lt;=$B490)*(A_Corridor!$B$5:$B$204&gt;$B490)*(A_Corridor!$G$5:$G$204&lt;&gt;"")),IF(A_Corridor!$G$5:$G$204="-","",A_Corridor!$G$5:$G$204)),"")</f>
        <v/>
      </c>
      <c r="L490" s="181" t="str">
        <f>IFERROR(LOOKUP(2,1/((A_Corridor!$A$5:$A$204&lt;&gt;"")*(A_Corridor!$A$5:$A$204&lt;=$B490)*(A_Corridor!$B$5:$B$204&gt;$B490)*(A_Corridor!$H$5:$H$204&lt;&gt;"")),IF(A_Corridor!$H$5:$H$204="-","",1)),"")</f>
        <v/>
      </c>
      <c r="M490" s="182" t="str">
        <f>IFERROR(LOOKUP(2,1/((A_Corridor!$A$5:$A$204&lt;&gt;"")*(A_Corridor!$A$5:$A$204&lt;=$B490)*(A_Corridor!$B$5:$B$204&gt;$B490)*(A_Corridor!$H$5:$H$204&lt;&gt;"")),IF(A_Corridor!$H$5:$H$204="-","",A_Corridor!$H$5:$H$204)),"")</f>
        <v/>
      </c>
      <c r="N490" s="182" t="str">
        <f>IFERROR(LOOKUP(2,1/((A_Corridor!$A$5:$A$204&lt;&gt;"")*(A_Corridor!$A$5:$A$204&lt;=$B490)*(A_Corridor!$B$5:$B$204&gt;$B490)*(A_Corridor!$I$5:$I$204&lt;&gt;"")),IF(A_Corridor!$I$5:$I$204="-","",A_Corridor!$I$5:$I$204)),"")</f>
        <v/>
      </c>
      <c r="O490" s="182" t="str">
        <f>IFERROR(LOOKUP(2,1/((D_Points!$A$5:$A$204&lt;&gt;"")*(D_Points!$A$5:$A$204&gt;=$B490)*(D_Points!$A$5:$A$204&lt;$B490+P_Interval)*(UPPER(TRIM(D_Points!$B$5:$B$204))="PITCHING")*(D_Points!$H$5:$H$204&lt;&gt;"")),D_Points!$H$5:$H$204),"")</f>
        <v/>
      </c>
      <c r="P490" s="181" t="str">
        <f>IFERROR(LOOKUP(2,1/((B_Drainage!$A$5:$A$204&lt;&gt;"")*(B_Drainage!$A$5:$A$204&lt;=$B490)*(B_Drainage!$B$5:$B$204&gt;$B490)*(B_Drainage!$C$5:$C$204&lt;&gt;"")),IF(B_Drainage!$C$5:$C$204="-","",UPPER(B_Drainage!$C$5:$C$204))),"")</f>
        <v/>
      </c>
      <c r="Q490" s="181" t="str">
        <f>IFERROR(LOOKUP(2,1/((B_Drainage!$A$5:$A$204&lt;&gt;"")*(B_Drainage!$A$5:$A$204&lt;=$B490)*(B_Drainage!$B$5:$B$204&gt;$B490)*(B_Drainage!$D$5:$D$204&lt;&gt;"")),IF(B_Drainage!$D$5:$D$204="-","",UPPER(B_Drainage!$D$5:$D$204))),"")</f>
        <v/>
      </c>
      <c r="R490" s="182" t="str">
        <f>IFERROR(LOOKUP(2,1/((D_Points!$A$5:$A$204&lt;&gt;"")*(D_Points!$A$5:$A$204&gt;=$B490)*(D_Points!$A$5:$A$204&lt;$B490+P_Interval)*(RIGHT(UPPER(TRIM(D_Points!$B$5:$B$204)),8)="_CULVERT")),IF(LEFT(UPPER(TRIM(D_Points!$B$5:$B$204)),2)="EX",1,IF(LEFT(UPPER(TRIM(D_Points!$B$5:$B$204)),2)="PR",2,3))),"")</f>
        <v/>
      </c>
      <c r="S490" s="182" t="str">
        <f>IFERROR(LOOKUP(2,1/((D_Points!$A$5:$A$204&lt;&gt;"")*(D_Points!$A$5:$A$204&gt;=$B490)*(D_Points!$A$5:$A$204&lt;$B490+P_Interval)*(RIGHT(UPPER(TRIM(D_Points!$B$5:$B$204)),7)="_BRIDGE")),IF(LEFT(UPPER(TRIM(D_Points!$B$5:$B$204)),2)="EX",1,IF(LEFT(UPPER(TRIM(D_Points!$B$5:$B$204)),2)="PR",2,2))),"")</f>
        <v/>
      </c>
      <c r="T490" s="181" t="str">
        <f>IFERROR(LOOKUP(2,1/((B_Drainage!$A$5:$A$204&lt;&gt;"")*(B_Drainage!$A$5:$A$204&lt;=$B490)*(B_Drainage!$B$5:$B$204&gt;$B490)*(B_Drainage!$E$5:$E$204&lt;&gt;"")),IF(B_Drainage!$E$5:$E$204="-","",1)),"")</f>
        <v/>
      </c>
      <c r="U490" s="181" t="str">
        <f>IFERROR(LOOKUP(2,1/((B_Drainage!$A$5:$A$204&lt;&gt;"")*(B_Drainage!$A$5:$A$204&lt;=$B490)*(B_Drainage!$B$5:$B$204&gt;$B490)*(B_Drainage!$E$5:$E$204&lt;&gt;"")),IF(B_Drainage!$E$5:$E$204="-","",B_Drainage!$E$5:$E$204)),"")</f>
        <v/>
      </c>
      <c r="V490" s="181" t="str">
        <f>IFERROR(LOOKUP(2,1/((B_Drainage!$A$5:$A$204&lt;&gt;"")*(B_Drainage!$A$5:$A$204&lt;=$B490)*(B_Drainage!$B$5:$B$204&gt;$B490)*(B_Drainage!$F$5:$F$204&lt;&gt;"")),IF(B_Drainage!$F$5:$F$204="-","",1)),"")</f>
        <v/>
      </c>
      <c r="W490" s="181" t="str">
        <f>IFERROR(LOOKUP(2,1/((B_Drainage!$A$5:$A$204&lt;&gt;"")*(B_Drainage!$A$5:$A$204&lt;=$B490)*(B_Drainage!$B$5:$B$204&gt;$B490)*(B_Drainage!$F$5:$F$204&lt;&gt;"")),IF(B_Drainage!$F$5:$F$204="-","",B_Drainage!$F$5:$F$204)),"")</f>
        <v/>
      </c>
      <c r="X490" s="181" t="str">
        <f>IFERROR(LOOKUP(2,1/((B_Drainage!$A$5:$A$204&lt;&gt;"")*(B_Drainage!$A$5:$A$204&lt;=$B490)*(B_Drainage!$B$5:$B$204&gt;$B490)*(B_Drainage!$G$5:$G$204&lt;&gt;"")),IF(UPPER(B_Drainage!$G$5:$G$204)="Y",1,"")),"")</f>
        <v/>
      </c>
      <c r="Y490" s="181" t="str">
        <f>IFERROR(LOOKUP(2,1/((B_Drainage!$A$5:$A$204&lt;&gt;"")*(B_Drainage!$A$5:$A$204&lt;=$B490)*(B_Drainage!$B$5:$B$204&gt;$B490)*(B_Drainage!$H$5:$H$204&lt;&gt;"")),IF(UPPER(B_Drainage!$H$5:$H$204)="Y",1,"")),"")</f>
        <v/>
      </c>
      <c r="Z490" s="181" t="str">
        <f>IFERROR(LOOKUP(2,1/((B_Drainage!$A$5:$A$204&lt;&gt;"")*(B_Drainage!$A$5:$A$204&lt;=$B490)*(B_Drainage!$B$5:$B$204&gt;$B490)*(B_Drainage!$I$5:$I$204&lt;&gt;"")),IF(UPPER(B_Drainage!$I$5:$I$204)="Y",1,"")),"")</f>
        <v/>
      </c>
      <c r="AA490" s="181" t="str">
        <f>IFERROR(LOOKUP(2,1/((B_Drainage!$A$5:$A$204&lt;&gt;"")*(B_Drainage!$A$5:$A$204&lt;=$B490)*(B_Drainage!$B$5:$B$204&gt;$B490)*(B_Drainage!$J$5:$J$204&lt;&gt;"")),IF(UPPER(B_Drainage!$J$5:$J$204)="Y",1,"")),"")</f>
        <v/>
      </c>
      <c r="AB490" s="182" t="str">
        <f>IFERROR(LOOKUP(2,1/((B_Drainage!$A$5:$A$204&lt;&gt;"")*(B_Drainage!$A$5:$A$204&lt;=$B490)*(B_Drainage!$B$5:$B$204&gt;$B490)*(B_Drainage!$K$5:$K$204&lt;&gt;"")),IF(B_Drainage!$K$5:$K$204="-","",B_Drainage!$K$5:$K$204)),"")</f>
        <v/>
      </c>
      <c r="AC490" s="182" t="str">
        <f>IFERROR(LOOKUP(2,1/((B_Drainage!$A$5:$A$204&lt;&gt;"")*(B_Drainage!$A$5:$A$204&lt;=$B490)*(B_Drainage!$B$5:$B$204&gt;$B490)*(B_Drainage!$L$5:$L$204&lt;&gt;"")),IF(B_Drainage!$L$5:$L$204="-","",B_Drainage!$L$5:$L$204)),"")</f>
        <v/>
      </c>
      <c r="AD490" s="182" t="str">
        <f>IFERROR(LOOKUP(2,1/((D_Points!$A$5:$A$204&lt;&gt;"")*(D_Points!$A$5:$A$204&gt;=$B490)*(D_Points!$A$5:$A$204&lt;$B490+P_Interval)*(UPPER(TRIM(D_Points!$B$5:$B$204))="TURNOUT_L")*(D_Points!$H$5:$H$204&lt;&gt;"")),D_Points!$H$5:$H$204),"")</f>
        <v/>
      </c>
      <c r="AE490" s="182" t="str">
        <f>IFERROR(LOOKUP(2,1/((D_Points!$A$5:$A$204&lt;&gt;"")*(D_Points!$A$5:$A$204&gt;=$B490)*(D_Points!$A$5:$A$204&lt;$B490+P_Interval)*(UPPER(TRIM(D_Points!$B$5:$B$204))="TURNOUT_R")*(D_Points!$H$5:$H$204&lt;&gt;"")),D_Points!$H$5:$H$204),"")</f>
        <v/>
      </c>
      <c r="AF490" s="181" t="str">
        <f>IFERROR(LOOKUP(2,1/((B_Drainage!$A$5:$A$204&lt;&gt;"")*(B_Drainage!$A$5:$A$204&lt;=$B490)*(B_Drainage!$B$5:$B$204&gt;$B490)*(B_Drainage!$M$5:$M$204&lt;&gt;"")),IF(UPPER(B_Drainage!$M$5:$M$204)="Y",1,"")),"")</f>
        <v/>
      </c>
      <c r="AG490" s="181" t="str">
        <f>IFERROR(LOOKUP(2,1/((B_Drainage!$A$5:$A$204&lt;&gt;"")*(B_Drainage!$A$5:$A$204&lt;=$B490)*(B_Drainage!$B$5:$B$204&gt;$B490)*(B_Drainage!$N$5:$N$204&lt;&gt;"")),IF(UPPER(B_Drainage!$N$5:$N$204)="Y",1,"")),"")</f>
        <v/>
      </c>
      <c r="AH490" s="181" t="str">
        <f t="shared" si="56"/>
        <v/>
      </c>
      <c r="AI490" s="181" t="str">
        <f t="shared" si="57"/>
        <v/>
      </c>
      <c r="AJ490" s="181" t="str">
        <f t="shared" si="58"/>
        <v/>
      </c>
      <c r="AK490" s="181" t="str">
        <f t="shared" si="59"/>
        <v/>
      </c>
      <c r="AL490" s="181" t="str">
        <f t="shared" si="60"/>
        <v/>
      </c>
      <c r="AM490" s="181" t="str">
        <f t="shared" si="61"/>
        <v/>
      </c>
      <c r="AN490" s="181" t="str">
        <f t="shared" si="62"/>
        <v/>
      </c>
      <c r="AO490" s="192" t="str">
        <f t="shared" si="63"/>
        <v/>
      </c>
      <c r="AQ490" t="str">
        <f>IFERROR(LOOKUP(2,1/((C_Pavement!$A$5:$A$204&lt;&gt;"")*(C_Pavement!$A$5:$A$204&lt;=$B490)*(C_Pavement!$B$5:$B$204&gt;$B490)*(C_Pavement!$C$5:$C$204&lt;&gt;"")),ROW(C_Pavement!$C$5:$C$204)-4),"")</f>
        <v/>
      </c>
      <c r="AR490" t="str">
        <f>IF($AQ490="","",UPPER(TRIM(INDEX(C_Pavement!$C$5:$C$204,$AQ490))))</f>
        <v/>
      </c>
      <c r="AS490" t="str">
        <f>IF($AR490="","",IFERROR(MATCH($AR490,E_Rules!$A$5:$A$9,0),""))</f>
        <v/>
      </c>
      <c r="AT490" t="str">
        <f>IF($AQ490="","",IF(INDEX(C_Pavement!$D$5:$D$204,$AQ490)&lt;&gt;"",UPPER(TRIM(INDEX(C_Pavement!$D$5:$D$204,$AQ490))),IF($AS490="","",INDEX(E_Rules!$C$5:$C$9,$AS490))))</f>
        <v/>
      </c>
      <c r="AU490" t="str">
        <f>IF($AQ490="","",IF(INDEX(C_Pavement!$E$5:$E$204,$AQ490)&lt;&gt;"",IF(INDEX(C_Pavement!$E$5:$E$204,$AQ490)="-","",INDEX(C_Pavement!$E$5:$E$204,$AQ490)),IF($AS490="","",INDEX(E_Rules!$D$5:$D$9,$AS490))))</f>
        <v/>
      </c>
      <c r="AV490" t="str">
        <f>IF($AQ490="","",IF(INDEX(C_Pavement!$F$5:$F$204,$AQ490)&lt;&gt;"",IF(INDEX(C_Pavement!$F$5:$F$204,$AQ490)="-","",INDEX(C_Pavement!$F$5:$F$204,$AQ490)),IF($AS490="","",INDEX(E_Rules!$E$5:$E$9,$AS490))))</f>
        <v/>
      </c>
      <c r="AW490" t="str">
        <f>IF($AQ490="","",IF(INDEX(C_Pavement!$G$5:$G$204,$AQ490)&lt;&gt;"",IF(INDEX(C_Pavement!$G$5:$G$204,$AQ490)="-","",INDEX(C_Pavement!$G$5:$G$204,$AQ490)),IF($AS490="","",INDEX(E_Rules!$F$5:$F$9,$AS490))))</f>
        <v/>
      </c>
      <c r="AX490" t="str">
        <f>IF($AQ490="","",IF(INDEX(C_Pavement!$H$5:$H$204,$AQ490)&lt;&gt;"",IF(INDEX(C_Pavement!$H$5:$H$204,$AQ490)="-","",INDEX(C_Pavement!$H$5:$H$204,$AQ490)),IF($AS490="","",INDEX(E_Rules!$G$5:$G$9,$AS490))))</f>
        <v/>
      </c>
      <c r="AY490" t="str">
        <f>IF($AQ490="","",IF(INDEX(C_Pavement!$I$5:$I$204,$AQ490)&lt;&gt;"",IF(INDEX(C_Pavement!$I$5:$I$204,$AQ490)="-","",INDEX(C_Pavement!$I$5:$I$204,$AQ490)),IF($AS490="","",INDEX(E_Rules!$H$5:$H$9,$AS490))))</f>
        <v/>
      </c>
    </row>
    <row r="491" spans="1:51" ht="15.75" customHeight="1" x14ac:dyDescent="0.3">
      <c r="A491" s="189">
        <v>486</v>
      </c>
      <c r="B491" s="180">
        <v>24250</v>
      </c>
      <c r="C491" s="180" t="s">
        <v>797</v>
      </c>
      <c r="D491" s="181" t="str">
        <f>IFERROR(LOOKUP(2,1/((A_Corridor!$A$5:$A$204&lt;&gt;"")*(A_Corridor!$A$5:$A$204&lt;=$B491)*(A_Corridor!$B$5:$B$204&gt;$B491)*(A_Corridor!$C$5:$C$204&lt;&gt;"")),IF(UPPER(A_Corridor!$C$5:$C$204)="Y",1,"")),"")</f>
        <v/>
      </c>
      <c r="E491" s="181" t="str">
        <f>IFERROR(LOOKUP(2,1/((A_Corridor!$A$5:$A$204&lt;&gt;"")*(A_Corridor!$A$5:$A$204&lt;=$B491)*(A_Corridor!$B$5:$B$204&gt;$B491)*(A_Corridor!$D$5:$D$204&lt;&gt;"")),IF(A_Corridor!$D$5:$D$204="-","",UPPER(A_Corridor!$D$5:$D$204))),"")</f>
        <v/>
      </c>
      <c r="F491" s="181" t="str">
        <f>IFERROR(LOOKUP(2,1/((A_Corridor!$A$5:$A$204&lt;&gt;"")*(A_Corridor!$A$5:$A$204&lt;=$B491)*(A_Corridor!$B$5:$B$204&gt;$B491)*(A_Corridor!$E$5:$E$204&lt;&gt;"")),IF(A_Corridor!$E$5:$E$204="-","",1)),"")</f>
        <v/>
      </c>
      <c r="G491" s="182" t="str">
        <f>IFERROR(LOOKUP(2,1/((A_Corridor!$A$5:$A$204&lt;&gt;"")*(A_Corridor!$A$5:$A$204&lt;=$B491)*(A_Corridor!$B$5:$B$204&gt;$B491)*(A_Corridor!$E$5:$E$204&lt;&gt;"")),IF(A_Corridor!$E$5:$E$204="-","",A_Corridor!$E$5:$E$204)),"")</f>
        <v/>
      </c>
      <c r="H491" s="182" t="str">
        <f>IFERROR(LOOKUP(2,1/((D_Points!$A$5:$A$204&lt;&gt;"")*(D_Points!$A$5:$A$204&gt;=$B491)*(D_Points!$A$5:$A$204&lt;$B491+P_Interval)*(UPPER(TRIM(D_Points!$B$5:$B$204))="GULLY")*(D_Points!$H$5:$H$204&lt;&gt;"")),D_Points!$H$5:$H$204),"")</f>
        <v/>
      </c>
      <c r="I491" s="181" t="str">
        <f>IFERROR(LOOKUP(2,1/((A_Corridor!$A$5:$A$204&lt;&gt;"")*(A_Corridor!$A$5:$A$204&lt;=$B491)*(A_Corridor!$B$5:$B$204&gt;$B491)*(A_Corridor!$F$5:$F$204&lt;&gt;"")),IF(A_Corridor!$F$5:$F$204="-","",1)),"")</f>
        <v/>
      </c>
      <c r="J491" s="182" t="str">
        <f>IFERROR(LOOKUP(2,1/((A_Corridor!$A$5:$A$204&lt;&gt;"")*(A_Corridor!$A$5:$A$204&lt;=$B491)*(A_Corridor!$B$5:$B$204&gt;$B491)*(A_Corridor!$F$5:$F$204&lt;&gt;"")),IF(A_Corridor!$F$5:$F$204="-","",A_Corridor!$F$5:$F$204)),"")</f>
        <v/>
      </c>
      <c r="K491" s="182" t="str">
        <f>IFERROR(LOOKUP(2,1/((A_Corridor!$A$5:$A$204&lt;&gt;"")*(A_Corridor!$A$5:$A$204&lt;=$B491)*(A_Corridor!$B$5:$B$204&gt;$B491)*(A_Corridor!$G$5:$G$204&lt;&gt;"")),IF(A_Corridor!$G$5:$G$204="-","",A_Corridor!$G$5:$G$204)),"")</f>
        <v/>
      </c>
      <c r="L491" s="181" t="str">
        <f>IFERROR(LOOKUP(2,1/((A_Corridor!$A$5:$A$204&lt;&gt;"")*(A_Corridor!$A$5:$A$204&lt;=$B491)*(A_Corridor!$B$5:$B$204&gt;$B491)*(A_Corridor!$H$5:$H$204&lt;&gt;"")),IF(A_Corridor!$H$5:$H$204="-","",1)),"")</f>
        <v/>
      </c>
      <c r="M491" s="182" t="str">
        <f>IFERROR(LOOKUP(2,1/((A_Corridor!$A$5:$A$204&lt;&gt;"")*(A_Corridor!$A$5:$A$204&lt;=$B491)*(A_Corridor!$B$5:$B$204&gt;$B491)*(A_Corridor!$H$5:$H$204&lt;&gt;"")),IF(A_Corridor!$H$5:$H$204="-","",A_Corridor!$H$5:$H$204)),"")</f>
        <v/>
      </c>
      <c r="N491" s="182" t="str">
        <f>IFERROR(LOOKUP(2,1/((A_Corridor!$A$5:$A$204&lt;&gt;"")*(A_Corridor!$A$5:$A$204&lt;=$B491)*(A_Corridor!$B$5:$B$204&gt;$B491)*(A_Corridor!$I$5:$I$204&lt;&gt;"")),IF(A_Corridor!$I$5:$I$204="-","",A_Corridor!$I$5:$I$204)),"")</f>
        <v/>
      </c>
      <c r="O491" s="182" t="str">
        <f>IFERROR(LOOKUP(2,1/((D_Points!$A$5:$A$204&lt;&gt;"")*(D_Points!$A$5:$A$204&gt;=$B491)*(D_Points!$A$5:$A$204&lt;$B491+P_Interval)*(UPPER(TRIM(D_Points!$B$5:$B$204))="PITCHING")*(D_Points!$H$5:$H$204&lt;&gt;"")),D_Points!$H$5:$H$204),"")</f>
        <v/>
      </c>
      <c r="P491" s="181" t="str">
        <f>IFERROR(LOOKUP(2,1/((B_Drainage!$A$5:$A$204&lt;&gt;"")*(B_Drainage!$A$5:$A$204&lt;=$B491)*(B_Drainage!$B$5:$B$204&gt;$B491)*(B_Drainage!$C$5:$C$204&lt;&gt;"")),IF(B_Drainage!$C$5:$C$204="-","",UPPER(B_Drainage!$C$5:$C$204))),"")</f>
        <v/>
      </c>
      <c r="Q491" s="181" t="str">
        <f>IFERROR(LOOKUP(2,1/((B_Drainage!$A$5:$A$204&lt;&gt;"")*(B_Drainage!$A$5:$A$204&lt;=$B491)*(B_Drainage!$B$5:$B$204&gt;$B491)*(B_Drainage!$D$5:$D$204&lt;&gt;"")),IF(B_Drainage!$D$5:$D$204="-","",UPPER(B_Drainage!$D$5:$D$204))),"")</f>
        <v/>
      </c>
      <c r="R491" s="182" t="str">
        <f>IFERROR(LOOKUP(2,1/((D_Points!$A$5:$A$204&lt;&gt;"")*(D_Points!$A$5:$A$204&gt;=$B491)*(D_Points!$A$5:$A$204&lt;$B491+P_Interval)*(RIGHT(UPPER(TRIM(D_Points!$B$5:$B$204)),8)="_CULVERT")),IF(LEFT(UPPER(TRIM(D_Points!$B$5:$B$204)),2)="EX",1,IF(LEFT(UPPER(TRIM(D_Points!$B$5:$B$204)),2)="PR",2,3))),"")</f>
        <v/>
      </c>
      <c r="S491" s="182" t="str">
        <f>IFERROR(LOOKUP(2,1/((D_Points!$A$5:$A$204&lt;&gt;"")*(D_Points!$A$5:$A$204&gt;=$B491)*(D_Points!$A$5:$A$204&lt;$B491+P_Interval)*(RIGHT(UPPER(TRIM(D_Points!$B$5:$B$204)),7)="_BRIDGE")),IF(LEFT(UPPER(TRIM(D_Points!$B$5:$B$204)),2)="EX",1,IF(LEFT(UPPER(TRIM(D_Points!$B$5:$B$204)),2)="PR",2,2))),"")</f>
        <v/>
      </c>
      <c r="T491" s="181" t="str">
        <f>IFERROR(LOOKUP(2,1/((B_Drainage!$A$5:$A$204&lt;&gt;"")*(B_Drainage!$A$5:$A$204&lt;=$B491)*(B_Drainage!$B$5:$B$204&gt;$B491)*(B_Drainage!$E$5:$E$204&lt;&gt;"")),IF(B_Drainage!$E$5:$E$204="-","",1)),"")</f>
        <v/>
      </c>
      <c r="U491" s="181" t="str">
        <f>IFERROR(LOOKUP(2,1/((B_Drainage!$A$5:$A$204&lt;&gt;"")*(B_Drainage!$A$5:$A$204&lt;=$B491)*(B_Drainage!$B$5:$B$204&gt;$B491)*(B_Drainage!$E$5:$E$204&lt;&gt;"")),IF(B_Drainage!$E$5:$E$204="-","",B_Drainage!$E$5:$E$204)),"")</f>
        <v/>
      </c>
      <c r="V491" s="181" t="str">
        <f>IFERROR(LOOKUP(2,1/((B_Drainage!$A$5:$A$204&lt;&gt;"")*(B_Drainage!$A$5:$A$204&lt;=$B491)*(B_Drainage!$B$5:$B$204&gt;$B491)*(B_Drainage!$F$5:$F$204&lt;&gt;"")),IF(B_Drainage!$F$5:$F$204="-","",1)),"")</f>
        <v/>
      </c>
      <c r="W491" s="181" t="str">
        <f>IFERROR(LOOKUP(2,1/((B_Drainage!$A$5:$A$204&lt;&gt;"")*(B_Drainage!$A$5:$A$204&lt;=$B491)*(B_Drainage!$B$5:$B$204&gt;$B491)*(B_Drainage!$F$5:$F$204&lt;&gt;"")),IF(B_Drainage!$F$5:$F$204="-","",B_Drainage!$F$5:$F$204)),"")</f>
        <v/>
      </c>
      <c r="X491" s="181" t="str">
        <f>IFERROR(LOOKUP(2,1/((B_Drainage!$A$5:$A$204&lt;&gt;"")*(B_Drainage!$A$5:$A$204&lt;=$B491)*(B_Drainage!$B$5:$B$204&gt;$B491)*(B_Drainage!$G$5:$G$204&lt;&gt;"")),IF(UPPER(B_Drainage!$G$5:$G$204)="Y",1,"")),"")</f>
        <v/>
      </c>
      <c r="Y491" s="181" t="str">
        <f>IFERROR(LOOKUP(2,1/((B_Drainage!$A$5:$A$204&lt;&gt;"")*(B_Drainage!$A$5:$A$204&lt;=$B491)*(B_Drainage!$B$5:$B$204&gt;$B491)*(B_Drainage!$H$5:$H$204&lt;&gt;"")),IF(UPPER(B_Drainage!$H$5:$H$204)="Y",1,"")),"")</f>
        <v/>
      </c>
      <c r="Z491" s="181" t="str">
        <f>IFERROR(LOOKUP(2,1/((B_Drainage!$A$5:$A$204&lt;&gt;"")*(B_Drainage!$A$5:$A$204&lt;=$B491)*(B_Drainage!$B$5:$B$204&gt;$B491)*(B_Drainage!$I$5:$I$204&lt;&gt;"")),IF(UPPER(B_Drainage!$I$5:$I$204)="Y",1,"")),"")</f>
        <v/>
      </c>
      <c r="AA491" s="181" t="str">
        <f>IFERROR(LOOKUP(2,1/((B_Drainage!$A$5:$A$204&lt;&gt;"")*(B_Drainage!$A$5:$A$204&lt;=$B491)*(B_Drainage!$B$5:$B$204&gt;$B491)*(B_Drainage!$J$5:$J$204&lt;&gt;"")),IF(UPPER(B_Drainage!$J$5:$J$204)="Y",1,"")),"")</f>
        <v/>
      </c>
      <c r="AB491" s="182" t="str">
        <f>IFERROR(LOOKUP(2,1/((B_Drainage!$A$5:$A$204&lt;&gt;"")*(B_Drainage!$A$5:$A$204&lt;=$B491)*(B_Drainage!$B$5:$B$204&gt;$B491)*(B_Drainage!$K$5:$K$204&lt;&gt;"")),IF(B_Drainage!$K$5:$K$204="-","",B_Drainage!$K$5:$K$204)),"")</f>
        <v/>
      </c>
      <c r="AC491" s="182" t="str">
        <f>IFERROR(LOOKUP(2,1/((B_Drainage!$A$5:$A$204&lt;&gt;"")*(B_Drainage!$A$5:$A$204&lt;=$B491)*(B_Drainage!$B$5:$B$204&gt;$B491)*(B_Drainage!$L$5:$L$204&lt;&gt;"")),IF(B_Drainage!$L$5:$L$204="-","",B_Drainage!$L$5:$L$204)),"")</f>
        <v/>
      </c>
      <c r="AD491" s="182" t="str">
        <f>IFERROR(LOOKUP(2,1/((D_Points!$A$5:$A$204&lt;&gt;"")*(D_Points!$A$5:$A$204&gt;=$B491)*(D_Points!$A$5:$A$204&lt;$B491+P_Interval)*(UPPER(TRIM(D_Points!$B$5:$B$204))="TURNOUT_L")*(D_Points!$H$5:$H$204&lt;&gt;"")),D_Points!$H$5:$H$204),"")</f>
        <v/>
      </c>
      <c r="AE491" s="182" t="str">
        <f>IFERROR(LOOKUP(2,1/((D_Points!$A$5:$A$204&lt;&gt;"")*(D_Points!$A$5:$A$204&gt;=$B491)*(D_Points!$A$5:$A$204&lt;$B491+P_Interval)*(UPPER(TRIM(D_Points!$B$5:$B$204))="TURNOUT_R")*(D_Points!$H$5:$H$204&lt;&gt;"")),D_Points!$H$5:$H$204),"")</f>
        <v/>
      </c>
      <c r="AF491" s="181" t="str">
        <f>IFERROR(LOOKUP(2,1/((B_Drainage!$A$5:$A$204&lt;&gt;"")*(B_Drainage!$A$5:$A$204&lt;=$B491)*(B_Drainage!$B$5:$B$204&gt;$B491)*(B_Drainage!$M$5:$M$204&lt;&gt;"")),IF(UPPER(B_Drainage!$M$5:$M$204)="Y",1,"")),"")</f>
        <v/>
      </c>
      <c r="AG491" s="181" t="str">
        <f>IFERROR(LOOKUP(2,1/((B_Drainage!$A$5:$A$204&lt;&gt;"")*(B_Drainage!$A$5:$A$204&lt;=$B491)*(B_Drainage!$B$5:$B$204&gt;$B491)*(B_Drainage!$N$5:$N$204&lt;&gt;"")),IF(UPPER(B_Drainage!$N$5:$N$204)="Y",1,"")),"")</f>
        <v/>
      </c>
      <c r="AH491" s="181" t="str">
        <f t="shared" si="56"/>
        <v/>
      </c>
      <c r="AI491" s="181" t="str">
        <f t="shared" si="57"/>
        <v/>
      </c>
      <c r="AJ491" s="181" t="str">
        <f t="shared" si="58"/>
        <v/>
      </c>
      <c r="AK491" s="181" t="str">
        <f t="shared" si="59"/>
        <v/>
      </c>
      <c r="AL491" s="181" t="str">
        <f t="shared" si="60"/>
        <v/>
      </c>
      <c r="AM491" s="181" t="str">
        <f t="shared" si="61"/>
        <v/>
      </c>
      <c r="AN491" s="181" t="str">
        <f t="shared" si="62"/>
        <v/>
      </c>
      <c r="AO491" s="192" t="str">
        <f t="shared" si="63"/>
        <v/>
      </c>
      <c r="AQ491" t="str">
        <f>IFERROR(LOOKUP(2,1/((C_Pavement!$A$5:$A$204&lt;&gt;"")*(C_Pavement!$A$5:$A$204&lt;=$B491)*(C_Pavement!$B$5:$B$204&gt;$B491)*(C_Pavement!$C$5:$C$204&lt;&gt;"")),ROW(C_Pavement!$C$5:$C$204)-4),"")</f>
        <v/>
      </c>
      <c r="AR491" t="str">
        <f>IF($AQ491="","",UPPER(TRIM(INDEX(C_Pavement!$C$5:$C$204,$AQ491))))</f>
        <v/>
      </c>
      <c r="AS491" t="str">
        <f>IF($AR491="","",IFERROR(MATCH($AR491,E_Rules!$A$5:$A$9,0),""))</f>
        <v/>
      </c>
      <c r="AT491" t="str">
        <f>IF($AQ491="","",IF(INDEX(C_Pavement!$D$5:$D$204,$AQ491)&lt;&gt;"",UPPER(TRIM(INDEX(C_Pavement!$D$5:$D$204,$AQ491))),IF($AS491="","",INDEX(E_Rules!$C$5:$C$9,$AS491))))</f>
        <v/>
      </c>
      <c r="AU491" t="str">
        <f>IF($AQ491="","",IF(INDEX(C_Pavement!$E$5:$E$204,$AQ491)&lt;&gt;"",IF(INDEX(C_Pavement!$E$5:$E$204,$AQ491)="-","",INDEX(C_Pavement!$E$5:$E$204,$AQ491)),IF($AS491="","",INDEX(E_Rules!$D$5:$D$9,$AS491))))</f>
        <v/>
      </c>
      <c r="AV491" t="str">
        <f>IF($AQ491="","",IF(INDEX(C_Pavement!$F$5:$F$204,$AQ491)&lt;&gt;"",IF(INDEX(C_Pavement!$F$5:$F$204,$AQ491)="-","",INDEX(C_Pavement!$F$5:$F$204,$AQ491)),IF($AS491="","",INDEX(E_Rules!$E$5:$E$9,$AS491))))</f>
        <v/>
      </c>
      <c r="AW491" t="str">
        <f>IF($AQ491="","",IF(INDEX(C_Pavement!$G$5:$G$204,$AQ491)&lt;&gt;"",IF(INDEX(C_Pavement!$G$5:$G$204,$AQ491)="-","",INDEX(C_Pavement!$G$5:$G$204,$AQ491)),IF($AS491="","",INDEX(E_Rules!$F$5:$F$9,$AS491))))</f>
        <v/>
      </c>
      <c r="AX491" t="str">
        <f>IF($AQ491="","",IF(INDEX(C_Pavement!$H$5:$H$204,$AQ491)&lt;&gt;"",IF(INDEX(C_Pavement!$H$5:$H$204,$AQ491)="-","",INDEX(C_Pavement!$H$5:$H$204,$AQ491)),IF($AS491="","",INDEX(E_Rules!$G$5:$G$9,$AS491))))</f>
        <v/>
      </c>
      <c r="AY491" t="str">
        <f>IF($AQ491="","",IF(INDEX(C_Pavement!$I$5:$I$204,$AQ491)&lt;&gt;"",IF(INDEX(C_Pavement!$I$5:$I$204,$AQ491)="-","",INDEX(C_Pavement!$I$5:$I$204,$AQ491)),IF($AS491="","",INDEX(E_Rules!$H$5:$H$9,$AS491))))</f>
        <v/>
      </c>
    </row>
    <row r="492" spans="1:51" ht="15.75" customHeight="1" x14ac:dyDescent="0.3">
      <c r="A492" s="189">
        <v>487</v>
      </c>
      <c r="B492" s="180">
        <v>24300</v>
      </c>
      <c r="C492" s="180" t="s">
        <v>798</v>
      </c>
      <c r="D492" s="181" t="str">
        <f>IFERROR(LOOKUP(2,1/((A_Corridor!$A$5:$A$204&lt;&gt;"")*(A_Corridor!$A$5:$A$204&lt;=$B492)*(A_Corridor!$B$5:$B$204&gt;$B492)*(A_Corridor!$C$5:$C$204&lt;&gt;"")),IF(UPPER(A_Corridor!$C$5:$C$204)="Y",1,"")),"")</f>
        <v/>
      </c>
      <c r="E492" s="181" t="str">
        <f>IFERROR(LOOKUP(2,1/((A_Corridor!$A$5:$A$204&lt;&gt;"")*(A_Corridor!$A$5:$A$204&lt;=$B492)*(A_Corridor!$B$5:$B$204&gt;$B492)*(A_Corridor!$D$5:$D$204&lt;&gt;"")),IF(A_Corridor!$D$5:$D$204="-","",UPPER(A_Corridor!$D$5:$D$204))),"")</f>
        <v/>
      </c>
      <c r="F492" s="181" t="str">
        <f>IFERROR(LOOKUP(2,1/((A_Corridor!$A$5:$A$204&lt;&gt;"")*(A_Corridor!$A$5:$A$204&lt;=$B492)*(A_Corridor!$B$5:$B$204&gt;$B492)*(A_Corridor!$E$5:$E$204&lt;&gt;"")),IF(A_Corridor!$E$5:$E$204="-","",1)),"")</f>
        <v/>
      </c>
      <c r="G492" s="182" t="str">
        <f>IFERROR(LOOKUP(2,1/((A_Corridor!$A$5:$A$204&lt;&gt;"")*(A_Corridor!$A$5:$A$204&lt;=$B492)*(A_Corridor!$B$5:$B$204&gt;$B492)*(A_Corridor!$E$5:$E$204&lt;&gt;"")),IF(A_Corridor!$E$5:$E$204="-","",A_Corridor!$E$5:$E$204)),"")</f>
        <v/>
      </c>
      <c r="H492" s="182" t="str">
        <f>IFERROR(LOOKUP(2,1/((D_Points!$A$5:$A$204&lt;&gt;"")*(D_Points!$A$5:$A$204&gt;=$B492)*(D_Points!$A$5:$A$204&lt;$B492+P_Interval)*(UPPER(TRIM(D_Points!$B$5:$B$204))="GULLY")*(D_Points!$H$5:$H$204&lt;&gt;"")),D_Points!$H$5:$H$204),"")</f>
        <v/>
      </c>
      <c r="I492" s="181" t="str">
        <f>IFERROR(LOOKUP(2,1/((A_Corridor!$A$5:$A$204&lt;&gt;"")*(A_Corridor!$A$5:$A$204&lt;=$B492)*(A_Corridor!$B$5:$B$204&gt;$B492)*(A_Corridor!$F$5:$F$204&lt;&gt;"")),IF(A_Corridor!$F$5:$F$204="-","",1)),"")</f>
        <v/>
      </c>
      <c r="J492" s="182" t="str">
        <f>IFERROR(LOOKUP(2,1/((A_Corridor!$A$5:$A$204&lt;&gt;"")*(A_Corridor!$A$5:$A$204&lt;=$B492)*(A_Corridor!$B$5:$B$204&gt;$B492)*(A_Corridor!$F$5:$F$204&lt;&gt;"")),IF(A_Corridor!$F$5:$F$204="-","",A_Corridor!$F$5:$F$204)),"")</f>
        <v/>
      </c>
      <c r="K492" s="182" t="str">
        <f>IFERROR(LOOKUP(2,1/((A_Corridor!$A$5:$A$204&lt;&gt;"")*(A_Corridor!$A$5:$A$204&lt;=$B492)*(A_Corridor!$B$5:$B$204&gt;$B492)*(A_Corridor!$G$5:$G$204&lt;&gt;"")),IF(A_Corridor!$G$5:$G$204="-","",A_Corridor!$G$5:$G$204)),"")</f>
        <v/>
      </c>
      <c r="L492" s="181" t="str">
        <f>IFERROR(LOOKUP(2,1/((A_Corridor!$A$5:$A$204&lt;&gt;"")*(A_Corridor!$A$5:$A$204&lt;=$B492)*(A_Corridor!$B$5:$B$204&gt;$B492)*(A_Corridor!$H$5:$H$204&lt;&gt;"")),IF(A_Corridor!$H$5:$H$204="-","",1)),"")</f>
        <v/>
      </c>
      <c r="M492" s="182" t="str">
        <f>IFERROR(LOOKUP(2,1/((A_Corridor!$A$5:$A$204&lt;&gt;"")*(A_Corridor!$A$5:$A$204&lt;=$B492)*(A_Corridor!$B$5:$B$204&gt;$B492)*(A_Corridor!$H$5:$H$204&lt;&gt;"")),IF(A_Corridor!$H$5:$H$204="-","",A_Corridor!$H$5:$H$204)),"")</f>
        <v/>
      </c>
      <c r="N492" s="182" t="str">
        <f>IFERROR(LOOKUP(2,1/((A_Corridor!$A$5:$A$204&lt;&gt;"")*(A_Corridor!$A$5:$A$204&lt;=$B492)*(A_Corridor!$B$5:$B$204&gt;$B492)*(A_Corridor!$I$5:$I$204&lt;&gt;"")),IF(A_Corridor!$I$5:$I$204="-","",A_Corridor!$I$5:$I$204)),"")</f>
        <v/>
      </c>
      <c r="O492" s="182" t="str">
        <f>IFERROR(LOOKUP(2,1/((D_Points!$A$5:$A$204&lt;&gt;"")*(D_Points!$A$5:$A$204&gt;=$B492)*(D_Points!$A$5:$A$204&lt;$B492+P_Interval)*(UPPER(TRIM(D_Points!$B$5:$B$204))="PITCHING")*(D_Points!$H$5:$H$204&lt;&gt;"")),D_Points!$H$5:$H$204),"")</f>
        <v/>
      </c>
      <c r="P492" s="181" t="str">
        <f>IFERROR(LOOKUP(2,1/((B_Drainage!$A$5:$A$204&lt;&gt;"")*(B_Drainage!$A$5:$A$204&lt;=$B492)*(B_Drainage!$B$5:$B$204&gt;$B492)*(B_Drainage!$C$5:$C$204&lt;&gt;"")),IF(B_Drainage!$C$5:$C$204="-","",UPPER(B_Drainage!$C$5:$C$204))),"")</f>
        <v/>
      </c>
      <c r="Q492" s="181" t="str">
        <f>IFERROR(LOOKUP(2,1/((B_Drainage!$A$5:$A$204&lt;&gt;"")*(B_Drainage!$A$5:$A$204&lt;=$B492)*(B_Drainage!$B$5:$B$204&gt;$B492)*(B_Drainage!$D$5:$D$204&lt;&gt;"")),IF(B_Drainage!$D$5:$D$204="-","",UPPER(B_Drainage!$D$5:$D$204))),"")</f>
        <v/>
      </c>
      <c r="R492" s="182" t="str">
        <f>IFERROR(LOOKUP(2,1/((D_Points!$A$5:$A$204&lt;&gt;"")*(D_Points!$A$5:$A$204&gt;=$B492)*(D_Points!$A$5:$A$204&lt;$B492+P_Interval)*(RIGHT(UPPER(TRIM(D_Points!$B$5:$B$204)),8)="_CULVERT")),IF(LEFT(UPPER(TRIM(D_Points!$B$5:$B$204)),2)="EX",1,IF(LEFT(UPPER(TRIM(D_Points!$B$5:$B$204)),2)="PR",2,3))),"")</f>
        <v/>
      </c>
      <c r="S492" s="182" t="str">
        <f>IFERROR(LOOKUP(2,1/((D_Points!$A$5:$A$204&lt;&gt;"")*(D_Points!$A$5:$A$204&gt;=$B492)*(D_Points!$A$5:$A$204&lt;$B492+P_Interval)*(RIGHT(UPPER(TRIM(D_Points!$B$5:$B$204)),7)="_BRIDGE")),IF(LEFT(UPPER(TRIM(D_Points!$B$5:$B$204)),2)="EX",1,IF(LEFT(UPPER(TRIM(D_Points!$B$5:$B$204)),2)="PR",2,2))),"")</f>
        <v/>
      </c>
      <c r="T492" s="181" t="str">
        <f>IFERROR(LOOKUP(2,1/((B_Drainage!$A$5:$A$204&lt;&gt;"")*(B_Drainage!$A$5:$A$204&lt;=$B492)*(B_Drainage!$B$5:$B$204&gt;$B492)*(B_Drainage!$E$5:$E$204&lt;&gt;"")),IF(B_Drainage!$E$5:$E$204="-","",1)),"")</f>
        <v/>
      </c>
      <c r="U492" s="181" t="str">
        <f>IFERROR(LOOKUP(2,1/((B_Drainage!$A$5:$A$204&lt;&gt;"")*(B_Drainage!$A$5:$A$204&lt;=$B492)*(B_Drainage!$B$5:$B$204&gt;$B492)*(B_Drainage!$E$5:$E$204&lt;&gt;"")),IF(B_Drainage!$E$5:$E$204="-","",B_Drainage!$E$5:$E$204)),"")</f>
        <v/>
      </c>
      <c r="V492" s="181" t="str">
        <f>IFERROR(LOOKUP(2,1/((B_Drainage!$A$5:$A$204&lt;&gt;"")*(B_Drainage!$A$5:$A$204&lt;=$B492)*(B_Drainage!$B$5:$B$204&gt;$B492)*(B_Drainage!$F$5:$F$204&lt;&gt;"")),IF(B_Drainage!$F$5:$F$204="-","",1)),"")</f>
        <v/>
      </c>
      <c r="W492" s="181" t="str">
        <f>IFERROR(LOOKUP(2,1/((B_Drainage!$A$5:$A$204&lt;&gt;"")*(B_Drainage!$A$5:$A$204&lt;=$B492)*(B_Drainage!$B$5:$B$204&gt;$B492)*(B_Drainage!$F$5:$F$204&lt;&gt;"")),IF(B_Drainage!$F$5:$F$204="-","",B_Drainage!$F$5:$F$204)),"")</f>
        <v/>
      </c>
      <c r="X492" s="181" t="str">
        <f>IFERROR(LOOKUP(2,1/((B_Drainage!$A$5:$A$204&lt;&gt;"")*(B_Drainage!$A$5:$A$204&lt;=$B492)*(B_Drainage!$B$5:$B$204&gt;$B492)*(B_Drainage!$G$5:$G$204&lt;&gt;"")),IF(UPPER(B_Drainage!$G$5:$G$204)="Y",1,"")),"")</f>
        <v/>
      </c>
      <c r="Y492" s="181" t="str">
        <f>IFERROR(LOOKUP(2,1/((B_Drainage!$A$5:$A$204&lt;&gt;"")*(B_Drainage!$A$5:$A$204&lt;=$B492)*(B_Drainage!$B$5:$B$204&gt;$B492)*(B_Drainage!$H$5:$H$204&lt;&gt;"")),IF(UPPER(B_Drainage!$H$5:$H$204)="Y",1,"")),"")</f>
        <v/>
      </c>
      <c r="Z492" s="181" t="str">
        <f>IFERROR(LOOKUP(2,1/((B_Drainage!$A$5:$A$204&lt;&gt;"")*(B_Drainage!$A$5:$A$204&lt;=$B492)*(B_Drainage!$B$5:$B$204&gt;$B492)*(B_Drainage!$I$5:$I$204&lt;&gt;"")),IF(UPPER(B_Drainage!$I$5:$I$204)="Y",1,"")),"")</f>
        <v/>
      </c>
      <c r="AA492" s="181" t="str">
        <f>IFERROR(LOOKUP(2,1/((B_Drainage!$A$5:$A$204&lt;&gt;"")*(B_Drainage!$A$5:$A$204&lt;=$B492)*(B_Drainage!$B$5:$B$204&gt;$B492)*(B_Drainage!$J$5:$J$204&lt;&gt;"")),IF(UPPER(B_Drainage!$J$5:$J$204)="Y",1,"")),"")</f>
        <v/>
      </c>
      <c r="AB492" s="182" t="str">
        <f>IFERROR(LOOKUP(2,1/((B_Drainage!$A$5:$A$204&lt;&gt;"")*(B_Drainage!$A$5:$A$204&lt;=$B492)*(B_Drainage!$B$5:$B$204&gt;$B492)*(B_Drainage!$K$5:$K$204&lt;&gt;"")),IF(B_Drainage!$K$5:$K$204="-","",B_Drainage!$K$5:$K$204)),"")</f>
        <v/>
      </c>
      <c r="AC492" s="182" t="str">
        <f>IFERROR(LOOKUP(2,1/((B_Drainage!$A$5:$A$204&lt;&gt;"")*(B_Drainage!$A$5:$A$204&lt;=$B492)*(B_Drainage!$B$5:$B$204&gt;$B492)*(B_Drainage!$L$5:$L$204&lt;&gt;"")),IF(B_Drainage!$L$5:$L$204="-","",B_Drainage!$L$5:$L$204)),"")</f>
        <v/>
      </c>
      <c r="AD492" s="182" t="str">
        <f>IFERROR(LOOKUP(2,1/((D_Points!$A$5:$A$204&lt;&gt;"")*(D_Points!$A$5:$A$204&gt;=$B492)*(D_Points!$A$5:$A$204&lt;$B492+P_Interval)*(UPPER(TRIM(D_Points!$B$5:$B$204))="TURNOUT_L")*(D_Points!$H$5:$H$204&lt;&gt;"")),D_Points!$H$5:$H$204),"")</f>
        <v/>
      </c>
      <c r="AE492" s="182" t="str">
        <f>IFERROR(LOOKUP(2,1/((D_Points!$A$5:$A$204&lt;&gt;"")*(D_Points!$A$5:$A$204&gt;=$B492)*(D_Points!$A$5:$A$204&lt;$B492+P_Interval)*(UPPER(TRIM(D_Points!$B$5:$B$204))="TURNOUT_R")*(D_Points!$H$5:$H$204&lt;&gt;"")),D_Points!$H$5:$H$204),"")</f>
        <v/>
      </c>
      <c r="AF492" s="181" t="str">
        <f>IFERROR(LOOKUP(2,1/((B_Drainage!$A$5:$A$204&lt;&gt;"")*(B_Drainage!$A$5:$A$204&lt;=$B492)*(B_Drainage!$B$5:$B$204&gt;$B492)*(B_Drainage!$M$5:$M$204&lt;&gt;"")),IF(UPPER(B_Drainage!$M$5:$M$204)="Y",1,"")),"")</f>
        <v/>
      </c>
      <c r="AG492" s="181" t="str">
        <f>IFERROR(LOOKUP(2,1/((B_Drainage!$A$5:$A$204&lt;&gt;"")*(B_Drainage!$A$5:$A$204&lt;=$B492)*(B_Drainage!$B$5:$B$204&gt;$B492)*(B_Drainage!$N$5:$N$204&lt;&gt;"")),IF(UPPER(B_Drainage!$N$5:$N$204)="Y",1,"")),"")</f>
        <v/>
      </c>
      <c r="AH492" s="181" t="str">
        <f t="shared" si="56"/>
        <v/>
      </c>
      <c r="AI492" s="181" t="str">
        <f t="shared" si="57"/>
        <v/>
      </c>
      <c r="AJ492" s="181" t="str">
        <f t="shared" si="58"/>
        <v/>
      </c>
      <c r="AK492" s="181" t="str">
        <f t="shared" si="59"/>
        <v/>
      </c>
      <c r="AL492" s="181" t="str">
        <f t="shared" si="60"/>
        <v/>
      </c>
      <c r="AM492" s="181" t="str">
        <f t="shared" si="61"/>
        <v/>
      </c>
      <c r="AN492" s="181" t="str">
        <f t="shared" si="62"/>
        <v/>
      </c>
      <c r="AO492" s="192" t="str">
        <f t="shared" si="63"/>
        <v/>
      </c>
      <c r="AQ492" t="str">
        <f>IFERROR(LOOKUP(2,1/((C_Pavement!$A$5:$A$204&lt;&gt;"")*(C_Pavement!$A$5:$A$204&lt;=$B492)*(C_Pavement!$B$5:$B$204&gt;$B492)*(C_Pavement!$C$5:$C$204&lt;&gt;"")),ROW(C_Pavement!$C$5:$C$204)-4),"")</f>
        <v/>
      </c>
      <c r="AR492" t="str">
        <f>IF($AQ492="","",UPPER(TRIM(INDEX(C_Pavement!$C$5:$C$204,$AQ492))))</f>
        <v/>
      </c>
      <c r="AS492" t="str">
        <f>IF($AR492="","",IFERROR(MATCH($AR492,E_Rules!$A$5:$A$9,0),""))</f>
        <v/>
      </c>
      <c r="AT492" t="str">
        <f>IF($AQ492="","",IF(INDEX(C_Pavement!$D$5:$D$204,$AQ492)&lt;&gt;"",UPPER(TRIM(INDEX(C_Pavement!$D$5:$D$204,$AQ492))),IF($AS492="","",INDEX(E_Rules!$C$5:$C$9,$AS492))))</f>
        <v/>
      </c>
      <c r="AU492" t="str">
        <f>IF($AQ492="","",IF(INDEX(C_Pavement!$E$5:$E$204,$AQ492)&lt;&gt;"",IF(INDEX(C_Pavement!$E$5:$E$204,$AQ492)="-","",INDEX(C_Pavement!$E$5:$E$204,$AQ492)),IF($AS492="","",INDEX(E_Rules!$D$5:$D$9,$AS492))))</f>
        <v/>
      </c>
      <c r="AV492" t="str">
        <f>IF($AQ492="","",IF(INDEX(C_Pavement!$F$5:$F$204,$AQ492)&lt;&gt;"",IF(INDEX(C_Pavement!$F$5:$F$204,$AQ492)="-","",INDEX(C_Pavement!$F$5:$F$204,$AQ492)),IF($AS492="","",INDEX(E_Rules!$E$5:$E$9,$AS492))))</f>
        <v/>
      </c>
      <c r="AW492" t="str">
        <f>IF($AQ492="","",IF(INDEX(C_Pavement!$G$5:$G$204,$AQ492)&lt;&gt;"",IF(INDEX(C_Pavement!$G$5:$G$204,$AQ492)="-","",INDEX(C_Pavement!$G$5:$G$204,$AQ492)),IF($AS492="","",INDEX(E_Rules!$F$5:$F$9,$AS492))))</f>
        <v/>
      </c>
      <c r="AX492" t="str">
        <f>IF($AQ492="","",IF(INDEX(C_Pavement!$H$5:$H$204,$AQ492)&lt;&gt;"",IF(INDEX(C_Pavement!$H$5:$H$204,$AQ492)="-","",INDEX(C_Pavement!$H$5:$H$204,$AQ492)),IF($AS492="","",INDEX(E_Rules!$G$5:$G$9,$AS492))))</f>
        <v/>
      </c>
      <c r="AY492" t="str">
        <f>IF($AQ492="","",IF(INDEX(C_Pavement!$I$5:$I$204,$AQ492)&lt;&gt;"",IF(INDEX(C_Pavement!$I$5:$I$204,$AQ492)="-","",INDEX(C_Pavement!$I$5:$I$204,$AQ492)),IF($AS492="","",INDEX(E_Rules!$H$5:$H$9,$AS492))))</f>
        <v/>
      </c>
    </row>
    <row r="493" spans="1:51" ht="15.75" customHeight="1" x14ac:dyDescent="0.3">
      <c r="A493" s="189">
        <v>488</v>
      </c>
      <c r="B493" s="180">
        <v>24350</v>
      </c>
      <c r="C493" s="180" t="s">
        <v>799</v>
      </c>
      <c r="D493" s="181" t="str">
        <f>IFERROR(LOOKUP(2,1/((A_Corridor!$A$5:$A$204&lt;&gt;"")*(A_Corridor!$A$5:$A$204&lt;=$B493)*(A_Corridor!$B$5:$B$204&gt;$B493)*(A_Corridor!$C$5:$C$204&lt;&gt;"")),IF(UPPER(A_Corridor!$C$5:$C$204)="Y",1,"")),"")</f>
        <v/>
      </c>
      <c r="E493" s="181" t="str">
        <f>IFERROR(LOOKUP(2,1/((A_Corridor!$A$5:$A$204&lt;&gt;"")*(A_Corridor!$A$5:$A$204&lt;=$B493)*(A_Corridor!$B$5:$B$204&gt;$B493)*(A_Corridor!$D$5:$D$204&lt;&gt;"")),IF(A_Corridor!$D$5:$D$204="-","",UPPER(A_Corridor!$D$5:$D$204))),"")</f>
        <v/>
      </c>
      <c r="F493" s="181" t="str">
        <f>IFERROR(LOOKUP(2,1/((A_Corridor!$A$5:$A$204&lt;&gt;"")*(A_Corridor!$A$5:$A$204&lt;=$B493)*(A_Corridor!$B$5:$B$204&gt;$B493)*(A_Corridor!$E$5:$E$204&lt;&gt;"")),IF(A_Corridor!$E$5:$E$204="-","",1)),"")</f>
        <v/>
      </c>
      <c r="G493" s="182" t="str">
        <f>IFERROR(LOOKUP(2,1/((A_Corridor!$A$5:$A$204&lt;&gt;"")*(A_Corridor!$A$5:$A$204&lt;=$B493)*(A_Corridor!$B$5:$B$204&gt;$B493)*(A_Corridor!$E$5:$E$204&lt;&gt;"")),IF(A_Corridor!$E$5:$E$204="-","",A_Corridor!$E$5:$E$204)),"")</f>
        <v/>
      </c>
      <c r="H493" s="182" t="str">
        <f>IFERROR(LOOKUP(2,1/((D_Points!$A$5:$A$204&lt;&gt;"")*(D_Points!$A$5:$A$204&gt;=$B493)*(D_Points!$A$5:$A$204&lt;$B493+P_Interval)*(UPPER(TRIM(D_Points!$B$5:$B$204))="GULLY")*(D_Points!$H$5:$H$204&lt;&gt;"")),D_Points!$H$5:$H$204),"")</f>
        <v/>
      </c>
      <c r="I493" s="181" t="str">
        <f>IFERROR(LOOKUP(2,1/((A_Corridor!$A$5:$A$204&lt;&gt;"")*(A_Corridor!$A$5:$A$204&lt;=$B493)*(A_Corridor!$B$5:$B$204&gt;$B493)*(A_Corridor!$F$5:$F$204&lt;&gt;"")),IF(A_Corridor!$F$5:$F$204="-","",1)),"")</f>
        <v/>
      </c>
      <c r="J493" s="182" t="str">
        <f>IFERROR(LOOKUP(2,1/((A_Corridor!$A$5:$A$204&lt;&gt;"")*(A_Corridor!$A$5:$A$204&lt;=$B493)*(A_Corridor!$B$5:$B$204&gt;$B493)*(A_Corridor!$F$5:$F$204&lt;&gt;"")),IF(A_Corridor!$F$5:$F$204="-","",A_Corridor!$F$5:$F$204)),"")</f>
        <v/>
      </c>
      <c r="K493" s="182" t="str">
        <f>IFERROR(LOOKUP(2,1/((A_Corridor!$A$5:$A$204&lt;&gt;"")*(A_Corridor!$A$5:$A$204&lt;=$B493)*(A_Corridor!$B$5:$B$204&gt;$B493)*(A_Corridor!$G$5:$G$204&lt;&gt;"")),IF(A_Corridor!$G$5:$G$204="-","",A_Corridor!$G$5:$G$204)),"")</f>
        <v/>
      </c>
      <c r="L493" s="181" t="str">
        <f>IFERROR(LOOKUP(2,1/((A_Corridor!$A$5:$A$204&lt;&gt;"")*(A_Corridor!$A$5:$A$204&lt;=$B493)*(A_Corridor!$B$5:$B$204&gt;$B493)*(A_Corridor!$H$5:$H$204&lt;&gt;"")),IF(A_Corridor!$H$5:$H$204="-","",1)),"")</f>
        <v/>
      </c>
      <c r="M493" s="182" t="str">
        <f>IFERROR(LOOKUP(2,1/((A_Corridor!$A$5:$A$204&lt;&gt;"")*(A_Corridor!$A$5:$A$204&lt;=$B493)*(A_Corridor!$B$5:$B$204&gt;$B493)*(A_Corridor!$H$5:$H$204&lt;&gt;"")),IF(A_Corridor!$H$5:$H$204="-","",A_Corridor!$H$5:$H$204)),"")</f>
        <v/>
      </c>
      <c r="N493" s="182" t="str">
        <f>IFERROR(LOOKUP(2,1/((A_Corridor!$A$5:$A$204&lt;&gt;"")*(A_Corridor!$A$5:$A$204&lt;=$B493)*(A_Corridor!$B$5:$B$204&gt;$B493)*(A_Corridor!$I$5:$I$204&lt;&gt;"")),IF(A_Corridor!$I$5:$I$204="-","",A_Corridor!$I$5:$I$204)),"")</f>
        <v/>
      </c>
      <c r="O493" s="182" t="str">
        <f>IFERROR(LOOKUP(2,1/((D_Points!$A$5:$A$204&lt;&gt;"")*(D_Points!$A$5:$A$204&gt;=$B493)*(D_Points!$A$5:$A$204&lt;$B493+P_Interval)*(UPPER(TRIM(D_Points!$B$5:$B$204))="PITCHING")*(D_Points!$H$5:$H$204&lt;&gt;"")),D_Points!$H$5:$H$204),"")</f>
        <v/>
      </c>
      <c r="P493" s="181" t="str">
        <f>IFERROR(LOOKUP(2,1/((B_Drainage!$A$5:$A$204&lt;&gt;"")*(B_Drainage!$A$5:$A$204&lt;=$B493)*(B_Drainage!$B$5:$B$204&gt;$B493)*(B_Drainage!$C$5:$C$204&lt;&gt;"")),IF(B_Drainage!$C$5:$C$204="-","",UPPER(B_Drainage!$C$5:$C$204))),"")</f>
        <v/>
      </c>
      <c r="Q493" s="181" t="str">
        <f>IFERROR(LOOKUP(2,1/((B_Drainage!$A$5:$A$204&lt;&gt;"")*(B_Drainage!$A$5:$A$204&lt;=$B493)*(B_Drainage!$B$5:$B$204&gt;$B493)*(B_Drainage!$D$5:$D$204&lt;&gt;"")),IF(B_Drainage!$D$5:$D$204="-","",UPPER(B_Drainage!$D$5:$D$204))),"")</f>
        <v/>
      </c>
      <c r="R493" s="182" t="str">
        <f>IFERROR(LOOKUP(2,1/((D_Points!$A$5:$A$204&lt;&gt;"")*(D_Points!$A$5:$A$204&gt;=$B493)*(D_Points!$A$5:$A$204&lt;$B493+P_Interval)*(RIGHT(UPPER(TRIM(D_Points!$B$5:$B$204)),8)="_CULVERT")),IF(LEFT(UPPER(TRIM(D_Points!$B$5:$B$204)),2)="EX",1,IF(LEFT(UPPER(TRIM(D_Points!$B$5:$B$204)),2)="PR",2,3))),"")</f>
        <v/>
      </c>
      <c r="S493" s="182" t="str">
        <f>IFERROR(LOOKUP(2,1/((D_Points!$A$5:$A$204&lt;&gt;"")*(D_Points!$A$5:$A$204&gt;=$B493)*(D_Points!$A$5:$A$204&lt;$B493+P_Interval)*(RIGHT(UPPER(TRIM(D_Points!$B$5:$B$204)),7)="_BRIDGE")),IF(LEFT(UPPER(TRIM(D_Points!$B$5:$B$204)),2)="EX",1,IF(LEFT(UPPER(TRIM(D_Points!$B$5:$B$204)),2)="PR",2,2))),"")</f>
        <v/>
      </c>
      <c r="T493" s="181" t="str">
        <f>IFERROR(LOOKUP(2,1/((B_Drainage!$A$5:$A$204&lt;&gt;"")*(B_Drainage!$A$5:$A$204&lt;=$B493)*(B_Drainage!$B$5:$B$204&gt;$B493)*(B_Drainage!$E$5:$E$204&lt;&gt;"")),IF(B_Drainage!$E$5:$E$204="-","",1)),"")</f>
        <v/>
      </c>
      <c r="U493" s="181" t="str">
        <f>IFERROR(LOOKUP(2,1/((B_Drainage!$A$5:$A$204&lt;&gt;"")*(B_Drainage!$A$5:$A$204&lt;=$B493)*(B_Drainage!$B$5:$B$204&gt;$B493)*(B_Drainage!$E$5:$E$204&lt;&gt;"")),IF(B_Drainage!$E$5:$E$204="-","",B_Drainage!$E$5:$E$204)),"")</f>
        <v/>
      </c>
      <c r="V493" s="181" t="str">
        <f>IFERROR(LOOKUP(2,1/((B_Drainage!$A$5:$A$204&lt;&gt;"")*(B_Drainage!$A$5:$A$204&lt;=$B493)*(B_Drainage!$B$5:$B$204&gt;$B493)*(B_Drainage!$F$5:$F$204&lt;&gt;"")),IF(B_Drainage!$F$5:$F$204="-","",1)),"")</f>
        <v/>
      </c>
      <c r="W493" s="181" t="str">
        <f>IFERROR(LOOKUP(2,1/((B_Drainage!$A$5:$A$204&lt;&gt;"")*(B_Drainage!$A$5:$A$204&lt;=$B493)*(B_Drainage!$B$5:$B$204&gt;$B493)*(B_Drainage!$F$5:$F$204&lt;&gt;"")),IF(B_Drainage!$F$5:$F$204="-","",B_Drainage!$F$5:$F$204)),"")</f>
        <v/>
      </c>
      <c r="X493" s="181" t="str">
        <f>IFERROR(LOOKUP(2,1/((B_Drainage!$A$5:$A$204&lt;&gt;"")*(B_Drainage!$A$5:$A$204&lt;=$B493)*(B_Drainage!$B$5:$B$204&gt;$B493)*(B_Drainage!$G$5:$G$204&lt;&gt;"")),IF(UPPER(B_Drainage!$G$5:$G$204)="Y",1,"")),"")</f>
        <v/>
      </c>
      <c r="Y493" s="181" t="str">
        <f>IFERROR(LOOKUP(2,1/((B_Drainage!$A$5:$A$204&lt;&gt;"")*(B_Drainage!$A$5:$A$204&lt;=$B493)*(B_Drainage!$B$5:$B$204&gt;$B493)*(B_Drainage!$H$5:$H$204&lt;&gt;"")),IF(UPPER(B_Drainage!$H$5:$H$204)="Y",1,"")),"")</f>
        <v/>
      </c>
      <c r="Z493" s="181" t="str">
        <f>IFERROR(LOOKUP(2,1/((B_Drainage!$A$5:$A$204&lt;&gt;"")*(B_Drainage!$A$5:$A$204&lt;=$B493)*(B_Drainage!$B$5:$B$204&gt;$B493)*(B_Drainage!$I$5:$I$204&lt;&gt;"")),IF(UPPER(B_Drainage!$I$5:$I$204)="Y",1,"")),"")</f>
        <v/>
      </c>
      <c r="AA493" s="181" t="str">
        <f>IFERROR(LOOKUP(2,1/((B_Drainage!$A$5:$A$204&lt;&gt;"")*(B_Drainage!$A$5:$A$204&lt;=$B493)*(B_Drainage!$B$5:$B$204&gt;$B493)*(B_Drainage!$J$5:$J$204&lt;&gt;"")),IF(UPPER(B_Drainage!$J$5:$J$204)="Y",1,"")),"")</f>
        <v/>
      </c>
      <c r="AB493" s="182" t="str">
        <f>IFERROR(LOOKUP(2,1/((B_Drainage!$A$5:$A$204&lt;&gt;"")*(B_Drainage!$A$5:$A$204&lt;=$B493)*(B_Drainage!$B$5:$B$204&gt;$B493)*(B_Drainage!$K$5:$K$204&lt;&gt;"")),IF(B_Drainage!$K$5:$K$204="-","",B_Drainage!$K$5:$K$204)),"")</f>
        <v/>
      </c>
      <c r="AC493" s="182" t="str">
        <f>IFERROR(LOOKUP(2,1/((B_Drainage!$A$5:$A$204&lt;&gt;"")*(B_Drainage!$A$5:$A$204&lt;=$B493)*(B_Drainage!$B$5:$B$204&gt;$B493)*(B_Drainage!$L$5:$L$204&lt;&gt;"")),IF(B_Drainage!$L$5:$L$204="-","",B_Drainage!$L$5:$L$204)),"")</f>
        <v/>
      </c>
      <c r="AD493" s="182" t="str">
        <f>IFERROR(LOOKUP(2,1/((D_Points!$A$5:$A$204&lt;&gt;"")*(D_Points!$A$5:$A$204&gt;=$B493)*(D_Points!$A$5:$A$204&lt;$B493+P_Interval)*(UPPER(TRIM(D_Points!$B$5:$B$204))="TURNOUT_L")*(D_Points!$H$5:$H$204&lt;&gt;"")),D_Points!$H$5:$H$204),"")</f>
        <v/>
      </c>
      <c r="AE493" s="182" t="str">
        <f>IFERROR(LOOKUP(2,1/((D_Points!$A$5:$A$204&lt;&gt;"")*(D_Points!$A$5:$A$204&gt;=$B493)*(D_Points!$A$5:$A$204&lt;$B493+P_Interval)*(UPPER(TRIM(D_Points!$B$5:$B$204))="TURNOUT_R")*(D_Points!$H$5:$H$204&lt;&gt;"")),D_Points!$H$5:$H$204),"")</f>
        <v/>
      </c>
      <c r="AF493" s="181" t="str">
        <f>IFERROR(LOOKUP(2,1/((B_Drainage!$A$5:$A$204&lt;&gt;"")*(B_Drainage!$A$5:$A$204&lt;=$B493)*(B_Drainage!$B$5:$B$204&gt;$B493)*(B_Drainage!$M$5:$M$204&lt;&gt;"")),IF(UPPER(B_Drainage!$M$5:$M$204)="Y",1,"")),"")</f>
        <v/>
      </c>
      <c r="AG493" s="181" t="str">
        <f>IFERROR(LOOKUP(2,1/((B_Drainage!$A$5:$A$204&lt;&gt;"")*(B_Drainage!$A$5:$A$204&lt;=$B493)*(B_Drainage!$B$5:$B$204&gt;$B493)*(B_Drainage!$N$5:$N$204&lt;&gt;"")),IF(UPPER(B_Drainage!$N$5:$N$204)="Y",1,"")),"")</f>
        <v/>
      </c>
      <c r="AH493" s="181" t="str">
        <f t="shared" si="56"/>
        <v/>
      </c>
      <c r="AI493" s="181" t="str">
        <f t="shared" si="57"/>
        <v/>
      </c>
      <c r="AJ493" s="181" t="str">
        <f t="shared" si="58"/>
        <v/>
      </c>
      <c r="AK493" s="181" t="str">
        <f t="shared" si="59"/>
        <v/>
      </c>
      <c r="AL493" s="181" t="str">
        <f t="shared" si="60"/>
        <v/>
      </c>
      <c r="AM493" s="181" t="str">
        <f t="shared" si="61"/>
        <v/>
      </c>
      <c r="AN493" s="181" t="str">
        <f t="shared" si="62"/>
        <v/>
      </c>
      <c r="AO493" s="192" t="str">
        <f t="shared" si="63"/>
        <v/>
      </c>
      <c r="AQ493" t="str">
        <f>IFERROR(LOOKUP(2,1/((C_Pavement!$A$5:$A$204&lt;&gt;"")*(C_Pavement!$A$5:$A$204&lt;=$B493)*(C_Pavement!$B$5:$B$204&gt;$B493)*(C_Pavement!$C$5:$C$204&lt;&gt;"")),ROW(C_Pavement!$C$5:$C$204)-4),"")</f>
        <v/>
      </c>
      <c r="AR493" t="str">
        <f>IF($AQ493="","",UPPER(TRIM(INDEX(C_Pavement!$C$5:$C$204,$AQ493))))</f>
        <v/>
      </c>
      <c r="AS493" t="str">
        <f>IF($AR493="","",IFERROR(MATCH($AR493,E_Rules!$A$5:$A$9,0),""))</f>
        <v/>
      </c>
      <c r="AT493" t="str">
        <f>IF($AQ493="","",IF(INDEX(C_Pavement!$D$5:$D$204,$AQ493)&lt;&gt;"",UPPER(TRIM(INDEX(C_Pavement!$D$5:$D$204,$AQ493))),IF($AS493="","",INDEX(E_Rules!$C$5:$C$9,$AS493))))</f>
        <v/>
      </c>
      <c r="AU493" t="str">
        <f>IF($AQ493="","",IF(INDEX(C_Pavement!$E$5:$E$204,$AQ493)&lt;&gt;"",IF(INDEX(C_Pavement!$E$5:$E$204,$AQ493)="-","",INDEX(C_Pavement!$E$5:$E$204,$AQ493)),IF($AS493="","",INDEX(E_Rules!$D$5:$D$9,$AS493))))</f>
        <v/>
      </c>
      <c r="AV493" t="str">
        <f>IF($AQ493="","",IF(INDEX(C_Pavement!$F$5:$F$204,$AQ493)&lt;&gt;"",IF(INDEX(C_Pavement!$F$5:$F$204,$AQ493)="-","",INDEX(C_Pavement!$F$5:$F$204,$AQ493)),IF($AS493="","",INDEX(E_Rules!$E$5:$E$9,$AS493))))</f>
        <v/>
      </c>
      <c r="AW493" t="str">
        <f>IF($AQ493="","",IF(INDEX(C_Pavement!$G$5:$G$204,$AQ493)&lt;&gt;"",IF(INDEX(C_Pavement!$G$5:$G$204,$AQ493)="-","",INDEX(C_Pavement!$G$5:$G$204,$AQ493)),IF($AS493="","",INDEX(E_Rules!$F$5:$F$9,$AS493))))</f>
        <v/>
      </c>
      <c r="AX493" t="str">
        <f>IF($AQ493="","",IF(INDEX(C_Pavement!$H$5:$H$204,$AQ493)&lt;&gt;"",IF(INDEX(C_Pavement!$H$5:$H$204,$AQ493)="-","",INDEX(C_Pavement!$H$5:$H$204,$AQ493)),IF($AS493="","",INDEX(E_Rules!$G$5:$G$9,$AS493))))</f>
        <v/>
      </c>
      <c r="AY493" t="str">
        <f>IF($AQ493="","",IF(INDEX(C_Pavement!$I$5:$I$204,$AQ493)&lt;&gt;"",IF(INDEX(C_Pavement!$I$5:$I$204,$AQ493)="-","",INDEX(C_Pavement!$I$5:$I$204,$AQ493)),IF($AS493="","",INDEX(E_Rules!$H$5:$H$9,$AS493))))</f>
        <v/>
      </c>
    </row>
    <row r="494" spans="1:51" ht="15.75" customHeight="1" x14ac:dyDescent="0.3">
      <c r="A494" s="189">
        <v>489</v>
      </c>
      <c r="B494" s="180">
        <v>24400</v>
      </c>
      <c r="C494" s="180" t="s">
        <v>800</v>
      </c>
      <c r="D494" s="181" t="str">
        <f>IFERROR(LOOKUP(2,1/((A_Corridor!$A$5:$A$204&lt;&gt;"")*(A_Corridor!$A$5:$A$204&lt;=$B494)*(A_Corridor!$B$5:$B$204&gt;$B494)*(A_Corridor!$C$5:$C$204&lt;&gt;"")),IF(UPPER(A_Corridor!$C$5:$C$204)="Y",1,"")),"")</f>
        <v/>
      </c>
      <c r="E494" s="181" t="str">
        <f>IFERROR(LOOKUP(2,1/((A_Corridor!$A$5:$A$204&lt;&gt;"")*(A_Corridor!$A$5:$A$204&lt;=$B494)*(A_Corridor!$B$5:$B$204&gt;$B494)*(A_Corridor!$D$5:$D$204&lt;&gt;"")),IF(A_Corridor!$D$5:$D$204="-","",UPPER(A_Corridor!$D$5:$D$204))),"")</f>
        <v/>
      </c>
      <c r="F494" s="181" t="str">
        <f>IFERROR(LOOKUP(2,1/((A_Corridor!$A$5:$A$204&lt;&gt;"")*(A_Corridor!$A$5:$A$204&lt;=$B494)*(A_Corridor!$B$5:$B$204&gt;$B494)*(A_Corridor!$E$5:$E$204&lt;&gt;"")),IF(A_Corridor!$E$5:$E$204="-","",1)),"")</f>
        <v/>
      </c>
      <c r="G494" s="182" t="str">
        <f>IFERROR(LOOKUP(2,1/((A_Corridor!$A$5:$A$204&lt;&gt;"")*(A_Corridor!$A$5:$A$204&lt;=$B494)*(A_Corridor!$B$5:$B$204&gt;$B494)*(A_Corridor!$E$5:$E$204&lt;&gt;"")),IF(A_Corridor!$E$5:$E$204="-","",A_Corridor!$E$5:$E$204)),"")</f>
        <v/>
      </c>
      <c r="H494" s="182" t="str">
        <f>IFERROR(LOOKUP(2,1/((D_Points!$A$5:$A$204&lt;&gt;"")*(D_Points!$A$5:$A$204&gt;=$B494)*(D_Points!$A$5:$A$204&lt;$B494+P_Interval)*(UPPER(TRIM(D_Points!$B$5:$B$204))="GULLY")*(D_Points!$H$5:$H$204&lt;&gt;"")),D_Points!$H$5:$H$204),"")</f>
        <v/>
      </c>
      <c r="I494" s="181" t="str">
        <f>IFERROR(LOOKUP(2,1/((A_Corridor!$A$5:$A$204&lt;&gt;"")*(A_Corridor!$A$5:$A$204&lt;=$B494)*(A_Corridor!$B$5:$B$204&gt;$B494)*(A_Corridor!$F$5:$F$204&lt;&gt;"")),IF(A_Corridor!$F$5:$F$204="-","",1)),"")</f>
        <v/>
      </c>
      <c r="J494" s="182" t="str">
        <f>IFERROR(LOOKUP(2,1/((A_Corridor!$A$5:$A$204&lt;&gt;"")*(A_Corridor!$A$5:$A$204&lt;=$B494)*(A_Corridor!$B$5:$B$204&gt;$B494)*(A_Corridor!$F$5:$F$204&lt;&gt;"")),IF(A_Corridor!$F$5:$F$204="-","",A_Corridor!$F$5:$F$204)),"")</f>
        <v/>
      </c>
      <c r="K494" s="182" t="str">
        <f>IFERROR(LOOKUP(2,1/((A_Corridor!$A$5:$A$204&lt;&gt;"")*(A_Corridor!$A$5:$A$204&lt;=$B494)*(A_Corridor!$B$5:$B$204&gt;$B494)*(A_Corridor!$G$5:$G$204&lt;&gt;"")),IF(A_Corridor!$G$5:$G$204="-","",A_Corridor!$G$5:$G$204)),"")</f>
        <v/>
      </c>
      <c r="L494" s="181" t="str">
        <f>IFERROR(LOOKUP(2,1/((A_Corridor!$A$5:$A$204&lt;&gt;"")*(A_Corridor!$A$5:$A$204&lt;=$B494)*(A_Corridor!$B$5:$B$204&gt;$B494)*(A_Corridor!$H$5:$H$204&lt;&gt;"")),IF(A_Corridor!$H$5:$H$204="-","",1)),"")</f>
        <v/>
      </c>
      <c r="M494" s="182" t="str">
        <f>IFERROR(LOOKUP(2,1/((A_Corridor!$A$5:$A$204&lt;&gt;"")*(A_Corridor!$A$5:$A$204&lt;=$B494)*(A_Corridor!$B$5:$B$204&gt;$B494)*(A_Corridor!$H$5:$H$204&lt;&gt;"")),IF(A_Corridor!$H$5:$H$204="-","",A_Corridor!$H$5:$H$204)),"")</f>
        <v/>
      </c>
      <c r="N494" s="182" t="str">
        <f>IFERROR(LOOKUP(2,1/((A_Corridor!$A$5:$A$204&lt;&gt;"")*(A_Corridor!$A$5:$A$204&lt;=$B494)*(A_Corridor!$B$5:$B$204&gt;$B494)*(A_Corridor!$I$5:$I$204&lt;&gt;"")),IF(A_Corridor!$I$5:$I$204="-","",A_Corridor!$I$5:$I$204)),"")</f>
        <v/>
      </c>
      <c r="O494" s="182" t="str">
        <f>IFERROR(LOOKUP(2,1/((D_Points!$A$5:$A$204&lt;&gt;"")*(D_Points!$A$5:$A$204&gt;=$B494)*(D_Points!$A$5:$A$204&lt;$B494+P_Interval)*(UPPER(TRIM(D_Points!$B$5:$B$204))="PITCHING")*(D_Points!$H$5:$H$204&lt;&gt;"")),D_Points!$H$5:$H$204),"")</f>
        <v/>
      </c>
      <c r="P494" s="181" t="str">
        <f>IFERROR(LOOKUP(2,1/((B_Drainage!$A$5:$A$204&lt;&gt;"")*(B_Drainage!$A$5:$A$204&lt;=$B494)*(B_Drainage!$B$5:$B$204&gt;$B494)*(B_Drainage!$C$5:$C$204&lt;&gt;"")),IF(B_Drainage!$C$5:$C$204="-","",UPPER(B_Drainage!$C$5:$C$204))),"")</f>
        <v/>
      </c>
      <c r="Q494" s="181" t="str">
        <f>IFERROR(LOOKUP(2,1/((B_Drainage!$A$5:$A$204&lt;&gt;"")*(B_Drainage!$A$5:$A$204&lt;=$B494)*(B_Drainage!$B$5:$B$204&gt;$B494)*(B_Drainage!$D$5:$D$204&lt;&gt;"")),IF(B_Drainage!$D$5:$D$204="-","",UPPER(B_Drainage!$D$5:$D$204))),"")</f>
        <v/>
      </c>
      <c r="R494" s="182" t="str">
        <f>IFERROR(LOOKUP(2,1/((D_Points!$A$5:$A$204&lt;&gt;"")*(D_Points!$A$5:$A$204&gt;=$B494)*(D_Points!$A$5:$A$204&lt;$B494+P_Interval)*(RIGHT(UPPER(TRIM(D_Points!$B$5:$B$204)),8)="_CULVERT")),IF(LEFT(UPPER(TRIM(D_Points!$B$5:$B$204)),2)="EX",1,IF(LEFT(UPPER(TRIM(D_Points!$B$5:$B$204)),2)="PR",2,3))),"")</f>
        <v/>
      </c>
      <c r="S494" s="182" t="str">
        <f>IFERROR(LOOKUP(2,1/((D_Points!$A$5:$A$204&lt;&gt;"")*(D_Points!$A$5:$A$204&gt;=$B494)*(D_Points!$A$5:$A$204&lt;$B494+P_Interval)*(RIGHT(UPPER(TRIM(D_Points!$B$5:$B$204)),7)="_BRIDGE")),IF(LEFT(UPPER(TRIM(D_Points!$B$5:$B$204)),2)="EX",1,IF(LEFT(UPPER(TRIM(D_Points!$B$5:$B$204)),2)="PR",2,2))),"")</f>
        <v/>
      </c>
      <c r="T494" s="181" t="str">
        <f>IFERROR(LOOKUP(2,1/((B_Drainage!$A$5:$A$204&lt;&gt;"")*(B_Drainage!$A$5:$A$204&lt;=$B494)*(B_Drainage!$B$5:$B$204&gt;$B494)*(B_Drainage!$E$5:$E$204&lt;&gt;"")),IF(B_Drainage!$E$5:$E$204="-","",1)),"")</f>
        <v/>
      </c>
      <c r="U494" s="181" t="str">
        <f>IFERROR(LOOKUP(2,1/((B_Drainage!$A$5:$A$204&lt;&gt;"")*(B_Drainage!$A$5:$A$204&lt;=$B494)*(B_Drainage!$B$5:$B$204&gt;$B494)*(B_Drainage!$E$5:$E$204&lt;&gt;"")),IF(B_Drainage!$E$5:$E$204="-","",B_Drainage!$E$5:$E$204)),"")</f>
        <v/>
      </c>
      <c r="V494" s="181" t="str">
        <f>IFERROR(LOOKUP(2,1/((B_Drainage!$A$5:$A$204&lt;&gt;"")*(B_Drainage!$A$5:$A$204&lt;=$B494)*(B_Drainage!$B$5:$B$204&gt;$B494)*(B_Drainage!$F$5:$F$204&lt;&gt;"")),IF(B_Drainage!$F$5:$F$204="-","",1)),"")</f>
        <v/>
      </c>
      <c r="W494" s="181" t="str">
        <f>IFERROR(LOOKUP(2,1/((B_Drainage!$A$5:$A$204&lt;&gt;"")*(B_Drainage!$A$5:$A$204&lt;=$B494)*(B_Drainage!$B$5:$B$204&gt;$B494)*(B_Drainage!$F$5:$F$204&lt;&gt;"")),IF(B_Drainage!$F$5:$F$204="-","",B_Drainage!$F$5:$F$204)),"")</f>
        <v/>
      </c>
      <c r="X494" s="181" t="str">
        <f>IFERROR(LOOKUP(2,1/((B_Drainage!$A$5:$A$204&lt;&gt;"")*(B_Drainage!$A$5:$A$204&lt;=$B494)*(B_Drainage!$B$5:$B$204&gt;$B494)*(B_Drainage!$G$5:$G$204&lt;&gt;"")),IF(UPPER(B_Drainage!$G$5:$G$204)="Y",1,"")),"")</f>
        <v/>
      </c>
      <c r="Y494" s="181" t="str">
        <f>IFERROR(LOOKUP(2,1/((B_Drainage!$A$5:$A$204&lt;&gt;"")*(B_Drainage!$A$5:$A$204&lt;=$B494)*(B_Drainage!$B$5:$B$204&gt;$B494)*(B_Drainage!$H$5:$H$204&lt;&gt;"")),IF(UPPER(B_Drainage!$H$5:$H$204)="Y",1,"")),"")</f>
        <v/>
      </c>
      <c r="Z494" s="181" t="str">
        <f>IFERROR(LOOKUP(2,1/((B_Drainage!$A$5:$A$204&lt;&gt;"")*(B_Drainage!$A$5:$A$204&lt;=$B494)*(B_Drainage!$B$5:$B$204&gt;$B494)*(B_Drainage!$I$5:$I$204&lt;&gt;"")),IF(UPPER(B_Drainage!$I$5:$I$204)="Y",1,"")),"")</f>
        <v/>
      </c>
      <c r="AA494" s="181" t="str">
        <f>IFERROR(LOOKUP(2,1/((B_Drainage!$A$5:$A$204&lt;&gt;"")*(B_Drainage!$A$5:$A$204&lt;=$B494)*(B_Drainage!$B$5:$B$204&gt;$B494)*(B_Drainage!$J$5:$J$204&lt;&gt;"")),IF(UPPER(B_Drainage!$J$5:$J$204)="Y",1,"")),"")</f>
        <v/>
      </c>
      <c r="AB494" s="182" t="str">
        <f>IFERROR(LOOKUP(2,1/((B_Drainage!$A$5:$A$204&lt;&gt;"")*(B_Drainage!$A$5:$A$204&lt;=$B494)*(B_Drainage!$B$5:$B$204&gt;$B494)*(B_Drainage!$K$5:$K$204&lt;&gt;"")),IF(B_Drainage!$K$5:$K$204="-","",B_Drainage!$K$5:$K$204)),"")</f>
        <v/>
      </c>
      <c r="AC494" s="182" t="str">
        <f>IFERROR(LOOKUP(2,1/((B_Drainage!$A$5:$A$204&lt;&gt;"")*(B_Drainage!$A$5:$A$204&lt;=$B494)*(B_Drainage!$B$5:$B$204&gt;$B494)*(B_Drainage!$L$5:$L$204&lt;&gt;"")),IF(B_Drainage!$L$5:$L$204="-","",B_Drainage!$L$5:$L$204)),"")</f>
        <v/>
      </c>
      <c r="AD494" s="182" t="str">
        <f>IFERROR(LOOKUP(2,1/((D_Points!$A$5:$A$204&lt;&gt;"")*(D_Points!$A$5:$A$204&gt;=$B494)*(D_Points!$A$5:$A$204&lt;$B494+P_Interval)*(UPPER(TRIM(D_Points!$B$5:$B$204))="TURNOUT_L")*(D_Points!$H$5:$H$204&lt;&gt;"")),D_Points!$H$5:$H$204),"")</f>
        <v/>
      </c>
      <c r="AE494" s="182" t="str">
        <f>IFERROR(LOOKUP(2,1/((D_Points!$A$5:$A$204&lt;&gt;"")*(D_Points!$A$5:$A$204&gt;=$B494)*(D_Points!$A$5:$A$204&lt;$B494+P_Interval)*(UPPER(TRIM(D_Points!$B$5:$B$204))="TURNOUT_R")*(D_Points!$H$5:$H$204&lt;&gt;"")),D_Points!$H$5:$H$204),"")</f>
        <v/>
      </c>
      <c r="AF494" s="181" t="str">
        <f>IFERROR(LOOKUP(2,1/((B_Drainage!$A$5:$A$204&lt;&gt;"")*(B_Drainage!$A$5:$A$204&lt;=$B494)*(B_Drainage!$B$5:$B$204&gt;$B494)*(B_Drainage!$M$5:$M$204&lt;&gt;"")),IF(UPPER(B_Drainage!$M$5:$M$204)="Y",1,"")),"")</f>
        <v/>
      </c>
      <c r="AG494" s="181" t="str">
        <f>IFERROR(LOOKUP(2,1/((B_Drainage!$A$5:$A$204&lt;&gt;"")*(B_Drainage!$A$5:$A$204&lt;=$B494)*(B_Drainage!$B$5:$B$204&gt;$B494)*(B_Drainage!$N$5:$N$204&lt;&gt;"")),IF(UPPER(B_Drainage!$N$5:$N$204)="Y",1,"")),"")</f>
        <v/>
      </c>
      <c r="AH494" s="181" t="str">
        <f t="shared" si="56"/>
        <v/>
      </c>
      <c r="AI494" s="181" t="str">
        <f t="shared" si="57"/>
        <v/>
      </c>
      <c r="AJ494" s="181" t="str">
        <f t="shared" si="58"/>
        <v/>
      </c>
      <c r="AK494" s="181" t="str">
        <f t="shared" si="59"/>
        <v/>
      </c>
      <c r="AL494" s="181" t="str">
        <f t="shared" si="60"/>
        <v/>
      </c>
      <c r="AM494" s="181" t="str">
        <f t="shared" si="61"/>
        <v/>
      </c>
      <c r="AN494" s="181" t="str">
        <f t="shared" si="62"/>
        <v/>
      </c>
      <c r="AO494" s="192" t="str">
        <f t="shared" si="63"/>
        <v/>
      </c>
      <c r="AQ494" t="str">
        <f>IFERROR(LOOKUP(2,1/((C_Pavement!$A$5:$A$204&lt;&gt;"")*(C_Pavement!$A$5:$A$204&lt;=$B494)*(C_Pavement!$B$5:$B$204&gt;$B494)*(C_Pavement!$C$5:$C$204&lt;&gt;"")),ROW(C_Pavement!$C$5:$C$204)-4),"")</f>
        <v/>
      </c>
      <c r="AR494" t="str">
        <f>IF($AQ494="","",UPPER(TRIM(INDEX(C_Pavement!$C$5:$C$204,$AQ494))))</f>
        <v/>
      </c>
      <c r="AS494" t="str">
        <f>IF($AR494="","",IFERROR(MATCH($AR494,E_Rules!$A$5:$A$9,0),""))</f>
        <v/>
      </c>
      <c r="AT494" t="str">
        <f>IF($AQ494="","",IF(INDEX(C_Pavement!$D$5:$D$204,$AQ494)&lt;&gt;"",UPPER(TRIM(INDEX(C_Pavement!$D$5:$D$204,$AQ494))),IF($AS494="","",INDEX(E_Rules!$C$5:$C$9,$AS494))))</f>
        <v/>
      </c>
      <c r="AU494" t="str">
        <f>IF($AQ494="","",IF(INDEX(C_Pavement!$E$5:$E$204,$AQ494)&lt;&gt;"",IF(INDEX(C_Pavement!$E$5:$E$204,$AQ494)="-","",INDEX(C_Pavement!$E$5:$E$204,$AQ494)),IF($AS494="","",INDEX(E_Rules!$D$5:$D$9,$AS494))))</f>
        <v/>
      </c>
      <c r="AV494" t="str">
        <f>IF($AQ494="","",IF(INDEX(C_Pavement!$F$5:$F$204,$AQ494)&lt;&gt;"",IF(INDEX(C_Pavement!$F$5:$F$204,$AQ494)="-","",INDEX(C_Pavement!$F$5:$F$204,$AQ494)),IF($AS494="","",INDEX(E_Rules!$E$5:$E$9,$AS494))))</f>
        <v/>
      </c>
      <c r="AW494" t="str">
        <f>IF($AQ494="","",IF(INDEX(C_Pavement!$G$5:$G$204,$AQ494)&lt;&gt;"",IF(INDEX(C_Pavement!$G$5:$G$204,$AQ494)="-","",INDEX(C_Pavement!$G$5:$G$204,$AQ494)),IF($AS494="","",INDEX(E_Rules!$F$5:$F$9,$AS494))))</f>
        <v/>
      </c>
      <c r="AX494" t="str">
        <f>IF($AQ494="","",IF(INDEX(C_Pavement!$H$5:$H$204,$AQ494)&lt;&gt;"",IF(INDEX(C_Pavement!$H$5:$H$204,$AQ494)="-","",INDEX(C_Pavement!$H$5:$H$204,$AQ494)),IF($AS494="","",INDEX(E_Rules!$G$5:$G$9,$AS494))))</f>
        <v/>
      </c>
      <c r="AY494" t="str">
        <f>IF($AQ494="","",IF(INDEX(C_Pavement!$I$5:$I$204,$AQ494)&lt;&gt;"",IF(INDEX(C_Pavement!$I$5:$I$204,$AQ494)="-","",INDEX(C_Pavement!$I$5:$I$204,$AQ494)),IF($AS494="","",INDEX(E_Rules!$H$5:$H$9,$AS494))))</f>
        <v/>
      </c>
    </row>
    <row r="495" spans="1:51" ht="15.75" customHeight="1" x14ac:dyDescent="0.3">
      <c r="A495" s="189">
        <v>490</v>
      </c>
      <c r="B495" s="180">
        <v>24450</v>
      </c>
      <c r="C495" s="180" t="s">
        <v>801</v>
      </c>
      <c r="D495" s="181" t="str">
        <f>IFERROR(LOOKUP(2,1/((A_Corridor!$A$5:$A$204&lt;&gt;"")*(A_Corridor!$A$5:$A$204&lt;=$B495)*(A_Corridor!$B$5:$B$204&gt;$B495)*(A_Corridor!$C$5:$C$204&lt;&gt;"")),IF(UPPER(A_Corridor!$C$5:$C$204)="Y",1,"")),"")</f>
        <v/>
      </c>
      <c r="E495" s="181" t="str">
        <f>IFERROR(LOOKUP(2,1/((A_Corridor!$A$5:$A$204&lt;&gt;"")*(A_Corridor!$A$5:$A$204&lt;=$B495)*(A_Corridor!$B$5:$B$204&gt;$B495)*(A_Corridor!$D$5:$D$204&lt;&gt;"")),IF(A_Corridor!$D$5:$D$204="-","",UPPER(A_Corridor!$D$5:$D$204))),"")</f>
        <v/>
      </c>
      <c r="F495" s="181" t="str">
        <f>IFERROR(LOOKUP(2,1/((A_Corridor!$A$5:$A$204&lt;&gt;"")*(A_Corridor!$A$5:$A$204&lt;=$B495)*(A_Corridor!$B$5:$B$204&gt;$B495)*(A_Corridor!$E$5:$E$204&lt;&gt;"")),IF(A_Corridor!$E$5:$E$204="-","",1)),"")</f>
        <v/>
      </c>
      <c r="G495" s="182" t="str">
        <f>IFERROR(LOOKUP(2,1/((A_Corridor!$A$5:$A$204&lt;&gt;"")*(A_Corridor!$A$5:$A$204&lt;=$B495)*(A_Corridor!$B$5:$B$204&gt;$B495)*(A_Corridor!$E$5:$E$204&lt;&gt;"")),IF(A_Corridor!$E$5:$E$204="-","",A_Corridor!$E$5:$E$204)),"")</f>
        <v/>
      </c>
      <c r="H495" s="182" t="str">
        <f>IFERROR(LOOKUP(2,1/((D_Points!$A$5:$A$204&lt;&gt;"")*(D_Points!$A$5:$A$204&gt;=$B495)*(D_Points!$A$5:$A$204&lt;$B495+P_Interval)*(UPPER(TRIM(D_Points!$B$5:$B$204))="GULLY")*(D_Points!$H$5:$H$204&lt;&gt;"")),D_Points!$H$5:$H$204),"")</f>
        <v/>
      </c>
      <c r="I495" s="181" t="str">
        <f>IFERROR(LOOKUP(2,1/((A_Corridor!$A$5:$A$204&lt;&gt;"")*(A_Corridor!$A$5:$A$204&lt;=$B495)*(A_Corridor!$B$5:$B$204&gt;$B495)*(A_Corridor!$F$5:$F$204&lt;&gt;"")),IF(A_Corridor!$F$5:$F$204="-","",1)),"")</f>
        <v/>
      </c>
      <c r="J495" s="182" t="str">
        <f>IFERROR(LOOKUP(2,1/((A_Corridor!$A$5:$A$204&lt;&gt;"")*(A_Corridor!$A$5:$A$204&lt;=$B495)*(A_Corridor!$B$5:$B$204&gt;$B495)*(A_Corridor!$F$5:$F$204&lt;&gt;"")),IF(A_Corridor!$F$5:$F$204="-","",A_Corridor!$F$5:$F$204)),"")</f>
        <v/>
      </c>
      <c r="K495" s="182" t="str">
        <f>IFERROR(LOOKUP(2,1/((A_Corridor!$A$5:$A$204&lt;&gt;"")*(A_Corridor!$A$5:$A$204&lt;=$B495)*(A_Corridor!$B$5:$B$204&gt;$B495)*(A_Corridor!$G$5:$G$204&lt;&gt;"")),IF(A_Corridor!$G$5:$G$204="-","",A_Corridor!$G$5:$G$204)),"")</f>
        <v/>
      </c>
      <c r="L495" s="181" t="str">
        <f>IFERROR(LOOKUP(2,1/((A_Corridor!$A$5:$A$204&lt;&gt;"")*(A_Corridor!$A$5:$A$204&lt;=$B495)*(A_Corridor!$B$5:$B$204&gt;$B495)*(A_Corridor!$H$5:$H$204&lt;&gt;"")),IF(A_Corridor!$H$5:$H$204="-","",1)),"")</f>
        <v/>
      </c>
      <c r="M495" s="182" t="str">
        <f>IFERROR(LOOKUP(2,1/((A_Corridor!$A$5:$A$204&lt;&gt;"")*(A_Corridor!$A$5:$A$204&lt;=$B495)*(A_Corridor!$B$5:$B$204&gt;$B495)*(A_Corridor!$H$5:$H$204&lt;&gt;"")),IF(A_Corridor!$H$5:$H$204="-","",A_Corridor!$H$5:$H$204)),"")</f>
        <v/>
      </c>
      <c r="N495" s="182" t="str">
        <f>IFERROR(LOOKUP(2,1/((A_Corridor!$A$5:$A$204&lt;&gt;"")*(A_Corridor!$A$5:$A$204&lt;=$B495)*(A_Corridor!$B$5:$B$204&gt;$B495)*(A_Corridor!$I$5:$I$204&lt;&gt;"")),IF(A_Corridor!$I$5:$I$204="-","",A_Corridor!$I$5:$I$204)),"")</f>
        <v/>
      </c>
      <c r="O495" s="182" t="str">
        <f>IFERROR(LOOKUP(2,1/((D_Points!$A$5:$A$204&lt;&gt;"")*(D_Points!$A$5:$A$204&gt;=$B495)*(D_Points!$A$5:$A$204&lt;$B495+P_Interval)*(UPPER(TRIM(D_Points!$B$5:$B$204))="PITCHING")*(D_Points!$H$5:$H$204&lt;&gt;"")),D_Points!$H$5:$H$204),"")</f>
        <v/>
      </c>
      <c r="P495" s="181" t="str">
        <f>IFERROR(LOOKUP(2,1/((B_Drainage!$A$5:$A$204&lt;&gt;"")*(B_Drainage!$A$5:$A$204&lt;=$B495)*(B_Drainage!$B$5:$B$204&gt;$B495)*(B_Drainage!$C$5:$C$204&lt;&gt;"")),IF(B_Drainage!$C$5:$C$204="-","",UPPER(B_Drainage!$C$5:$C$204))),"")</f>
        <v/>
      </c>
      <c r="Q495" s="181" t="str">
        <f>IFERROR(LOOKUP(2,1/((B_Drainage!$A$5:$A$204&lt;&gt;"")*(B_Drainage!$A$5:$A$204&lt;=$B495)*(B_Drainage!$B$5:$B$204&gt;$B495)*(B_Drainage!$D$5:$D$204&lt;&gt;"")),IF(B_Drainage!$D$5:$D$204="-","",UPPER(B_Drainage!$D$5:$D$204))),"")</f>
        <v/>
      </c>
      <c r="R495" s="182" t="str">
        <f>IFERROR(LOOKUP(2,1/((D_Points!$A$5:$A$204&lt;&gt;"")*(D_Points!$A$5:$A$204&gt;=$B495)*(D_Points!$A$5:$A$204&lt;$B495+P_Interval)*(RIGHT(UPPER(TRIM(D_Points!$B$5:$B$204)),8)="_CULVERT")),IF(LEFT(UPPER(TRIM(D_Points!$B$5:$B$204)),2)="EX",1,IF(LEFT(UPPER(TRIM(D_Points!$B$5:$B$204)),2)="PR",2,3))),"")</f>
        <v/>
      </c>
      <c r="S495" s="182" t="str">
        <f>IFERROR(LOOKUP(2,1/((D_Points!$A$5:$A$204&lt;&gt;"")*(D_Points!$A$5:$A$204&gt;=$B495)*(D_Points!$A$5:$A$204&lt;$B495+P_Interval)*(RIGHT(UPPER(TRIM(D_Points!$B$5:$B$204)),7)="_BRIDGE")),IF(LEFT(UPPER(TRIM(D_Points!$B$5:$B$204)),2)="EX",1,IF(LEFT(UPPER(TRIM(D_Points!$B$5:$B$204)),2)="PR",2,2))),"")</f>
        <v/>
      </c>
      <c r="T495" s="181" t="str">
        <f>IFERROR(LOOKUP(2,1/((B_Drainage!$A$5:$A$204&lt;&gt;"")*(B_Drainage!$A$5:$A$204&lt;=$B495)*(B_Drainage!$B$5:$B$204&gt;$B495)*(B_Drainage!$E$5:$E$204&lt;&gt;"")),IF(B_Drainage!$E$5:$E$204="-","",1)),"")</f>
        <v/>
      </c>
      <c r="U495" s="181" t="str">
        <f>IFERROR(LOOKUP(2,1/((B_Drainage!$A$5:$A$204&lt;&gt;"")*(B_Drainage!$A$5:$A$204&lt;=$B495)*(B_Drainage!$B$5:$B$204&gt;$B495)*(B_Drainage!$E$5:$E$204&lt;&gt;"")),IF(B_Drainage!$E$5:$E$204="-","",B_Drainage!$E$5:$E$204)),"")</f>
        <v/>
      </c>
      <c r="V495" s="181" t="str">
        <f>IFERROR(LOOKUP(2,1/((B_Drainage!$A$5:$A$204&lt;&gt;"")*(B_Drainage!$A$5:$A$204&lt;=$B495)*(B_Drainage!$B$5:$B$204&gt;$B495)*(B_Drainage!$F$5:$F$204&lt;&gt;"")),IF(B_Drainage!$F$5:$F$204="-","",1)),"")</f>
        <v/>
      </c>
      <c r="W495" s="181" t="str">
        <f>IFERROR(LOOKUP(2,1/((B_Drainage!$A$5:$A$204&lt;&gt;"")*(B_Drainage!$A$5:$A$204&lt;=$B495)*(B_Drainage!$B$5:$B$204&gt;$B495)*(B_Drainage!$F$5:$F$204&lt;&gt;"")),IF(B_Drainage!$F$5:$F$204="-","",B_Drainage!$F$5:$F$204)),"")</f>
        <v/>
      </c>
      <c r="X495" s="181" t="str">
        <f>IFERROR(LOOKUP(2,1/((B_Drainage!$A$5:$A$204&lt;&gt;"")*(B_Drainage!$A$5:$A$204&lt;=$B495)*(B_Drainage!$B$5:$B$204&gt;$B495)*(B_Drainage!$G$5:$G$204&lt;&gt;"")),IF(UPPER(B_Drainage!$G$5:$G$204)="Y",1,"")),"")</f>
        <v/>
      </c>
      <c r="Y495" s="181" t="str">
        <f>IFERROR(LOOKUP(2,1/((B_Drainage!$A$5:$A$204&lt;&gt;"")*(B_Drainage!$A$5:$A$204&lt;=$B495)*(B_Drainage!$B$5:$B$204&gt;$B495)*(B_Drainage!$H$5:$H$204&lt;&gt;"")),IF(UPPER(B_Drainage!$H$5:$H$204)="Y",1,"")),"")</f>
        <v/>
      </c>
      <c r="Z495" s="181" t="str">
        <f>IFERROR(LOOKUP(2,1/((B_Drainage!$A$5:$A$204&lt;&gt;"")*(B_Drainage!$A$5:$A$204&lt;=$B495)*(B_Drainage!$B$5:$B$204&gt;$B495)*(B_Drainage!$I$5:$I$204&lt;&gt;"")),IF(UPPER(B_Drainage!$I$5:$I$204)="Y",1,"")),"")</f>
        <v/>
      </c>
      <c r="AA495" s="181" t="str">
        <f>IFERROR(LOOKUP(2,1/((B_Drainage!$A$5:$A$204&lt;&gt;"")*(B_Drainage!$A$5:$A$204&lt;=$B495)*(B_Drainage!$B$5:$B$204&gt;$B495)*(B_Drainage!$J$5:$J$204&lt;&gt;"")),IF(UPPER(B_Drainage!$J$5:$J$204)="Y",1,"")),"")</f>
        <v/>
      </c>
      <c r="AB495" s="182" t="str">
        <f>IFERROR(LOOKUP(2,1/((B_Drainage!$A$5:$A$204&lt;&gt;"")*(B_Drainage!$A$5:$A$204&lt;=$B495)*(B_Drainage!$B$5:$B$204&gt;$B495)*(B_Drainage!$K$5:$K$204&lt;&gt;"")),IF(B_Drainage!$K$5:$K$204="-","",B_Drainage!$K$5:$K$204)),"")</f>
        <v/>
      </c>
      <c r="AC495" s="182" t="str">
        <f>IFERROR(LOOKUP(2,1/((B_Drainage!$A$5:$A$204&lt;&gt;"")*(B_Drainage!$A$5:$A$204&lt;=$B495)*(B_Drainage!$B$5:$B$204&gt;$B495)*(B_Drainage!$L$5:$L$204&lt;&gt;"")),IF(B_Drainage!$L$5:$L$204="-","",B_Drainage!$L$5:$L$204)),"")</f>
        <v/>
      </c>
      <c r="AD495" s="182" t="str">
        <f>IFERROR(LOOKUP(2,1/((D_Points!$A$5:$A$204&lt;&gt;"")*(D_Points!$A$5:$A$204&gt;=$B495)*(D_Points!$A$5:$A$204&lt;$B495+P_Interval)*(UPPER(TRIM(D_Points!$B$5:$B$204))="TURNOUT_L")*(D_Points!$H$5:$H$204&lt;&gt;"")),D_Points!$H$5:$H$204),"")</f>
        <v/>
      </c>
      <c r="AE495" s="182" t="str">
        <f>IFERROR(LOOKUP(2,1/((D_Points!$A$5:$A$204&lt;&gt;"")*(D_Points!$A$5:$A$204&gt;=$B495)*(D_Points!$A$5:$A$204&lt;$B495+P_Interval)*(UPPER(TRIM(D_Points!$B$5:$B$204))="TURNOUT_R")*(D_Points!$H$5:$H$204&lt;&gt;"")),D_Points!$H$5:$H$204),"")</f>
        <v/>
      </c>
      <c r="AF495" s="181" t="str">
        <f>IFERROR(LOOKUP(2,1/((B_Drainage!$A$5:$A$204&lt;&gt;"")*(B_Drainage!$A$5:$A$204&lt;=$B495)*(B_Drainage!$B$5:$B$204&gt;$B495)*(B_Drainage!$M$5:$M$204&lt;&gt;"")),IF(UPPER(B_Drainage!$M$5:$M$204)="Y",1,"")),"")</f>
        <v/>
      </c>
      <c r="AG495" s="181" t="str">
        <f>IFERROR(LOOKUP(2,1/((B_Drainage!$A$5:$A$204&lt;&gt;"")*(B_Drainage!$A$5:$A$204&lt;=$B495)*(B_Drainage!$B$5:$B$204&gt;$B495)*(B_Drainage!$N$5:$N$204&lt;&gt;"")),IF(UPPER(B_Drainage!$N$5:$N$204)="Y",1,"")),"")</f>
        <v/>
      </c>
      <c r="AH495" s="181" t="str">
        <f t="shared" si="56"/>
        <v/>
      </c>
      <c r="AI495" s="181" t="str">
        <f t="shared" si="57"/>
        <v/>
      </c>
      <c r="AJ495" s="181" t="str">
        <f t="shared" si="58"/>
        <v/>
      </c>
      <c r="AK495" s="181" t="str">
        <f t="shared" si="59"/>
        <v/>
      </c>
      <c r="AL495" s="181" t="str">
        <f t="shared" si="60"/>
        <v/>
      </c>
      <c r="AM495" s="181" t="str">
        <f t="shared" si="61"/>
        <v/>
      </c>
      <c r="AN495" s="181" t="str">
        <f t="shared" si="62"/>
        <v/>
      </c>
      <c r="AO495" s="192" t="str">
        <f t="shared" si="63"/>
        <v/>
      </c>
      <c r="AQ495" t="str">
        <f>IFERROR(LOOKUP(2,1/((C_Pavement!$A$5:$A$204&lt;&gt;"")*(C_Pavement!$A$5:$A$204&lt;=$B495)*(C_Pavement!$B$5:$B$204&gt;$B495)*(C_Pavement!$C$5:$C$204&lt;&gt;"")),ROW(C_Pavement!$C$5:$C$204)-4),"")</f>
        <v/>
      </c>
      <c r="AR495" t="str">
        <f>IF($AQ495="","",UPPER(TRIM(INDEX(C_Pavement!$C$5:$C$204,$AQ495))))</f>
        <v/>
      </c>
      <c r="AS495" t="str">
        <f>IF($AR495="","",IFERROR(MATCH($AR495,E_Rules!$A$5:$A$9,0),""))</f>
        <v/>
      </c>
      <c r="AT495" t="str">
        <f>IF($AQ495="","",IF(INDEX(C_Pavement!$D$5:$D$204,$AQ495)&lt;&gt;"",UPPER(TRIM(INDEX(C_Pavement!$D$5:$D$204,$AQ495))),IF($AS495="","",INDEX(E_Rules!$C$5:$C$9,$AS495))))</f>
        <v/>
      </c>
      <c r="AU495" t="str">
        <f>IF($AQ495="","",IF(INDEX(C_Pavement!$E$5:$E$204,$AQ495)&lt;&gt;"",IF(INDEX(C_Pavement!$E$5:$E$204,$AQ495)="-","",INDEX(C_Pavement!$E$5:$E$204,$AQ495)),IF($AS495="","",INDEX(E_Rules!$D$5:$D$9,$AS495))))</f>
        <v/>
      </c>
      <c r="AV495" t="str">
        <f>IF($AQ495="","",IF(INDEX(C_Pavement!$F$5:$F$204,$AQ495)&lt;&gt;"",IF(INDEX(C_Pavement!$F$5:$F$204,$AQ495)="-","",INDEX(C_Pavement!$F$5:$F$204,$AQ495)),IF($AS495="","",INDEX(E_Rules!$E$5:$E$9,$AS495))))</f>
        <v/>
      </c>
      <c r="AW495" t="str">
        <f>IF($AQ495="","",IF(INDEX(C_Pavement!$G$5:$G$204,$AQ495)&lt;&gt;"",IF(INDEX(C_Pavement!$G$5:$G$204,$AQ495)="-","",INDEX(C_Pavement!$G$5:$G$204,$AQ495)),IF($AS495="","",INDEX(E_Rules!$F$5:$F$9,$AS495))))</f>
        <v/>
      </c>
      <c r="AX495" t="str">
        <f>IF($AQ495="","",IF(INDEX(C_Pavement!$H$5:$H$204,$AQ495)&lt;&gt;"",IF(INDEX(C_Pavement!$H$5:$H$204,$AQ495)="-","",INDEX(C_Pavement!$H$5:$H$204,$AQ495)),IF($AS495="","",INDEX(E_Rules!$G$5:$G$9,$AS495))))</f>
        <v/>
      </c>
      <c r="AY495" t="str">
        <f>IF($AQ495="","",IF(INDEX(C_Pavement!$I$5:$I$204,$AQ495)&lt;&gt;"",IF(INDEX(C_Pavement!$I$5:$I$204,$AQ495)="-","",INDEX(C_Pavement!$I$5:$I$204,$AQ495)),IF($AS495="","",INDEX(E_Rules!$H$5:$H$9,$AS495))))</f>
        <v/>
      </c>
    </row>
    <row r="496" spans="1:51" ht="15.75" customHeight="1" x14ac:dyDescent="0.3">
      <c r="A496" s="189">
        <v>491</v>
      </c>
      <c r="B496" s="180">
        <v>24500</v>
      </c>
      <c r="C496" s="180" t="s">
        <v>802</v>
      </c>
      <c r="D496" s="181" t="str">
        <f>IFERROR(LOOKUP(2,1/((A_Corridor!$A$5:$A$204&lt;&gt;"")*(A_Corridor!$A$5:$A$204&lt;=$B496)*(A_Corridor!$B$5:$B$204&gt;$B496)*(A_Corridor!$C$5:$C$204&lt;&gt;"")),IF(UPPER(A_Corridor!$C$5:$C$204)="Y",1,"")),"")</f>
        <v/>
      </c>
      <c r="E496" s="181" t="str">
        <f>IFERROR(LOOKUP(2,1/((A_Corridor!$A$5:$A$204&lt;&gt;"")*(A_Corridor!$A$5:$A$204&lt;=$B496)*(A_Corridor!$B$5:$B$204&gt;$B496)*(A_Corridor!$D$5:$D$204&lt;&gt;"")),IF(A_Corridor!$D$5:$D$204="-","",UPPER(A_Corridor!$D$5:$D$204))),"")</f>
        <v/>
      </c>
      <c r="F496" s="181" t="str">
        <f>IFERROR(LOOKUP(2,1/((A_Corridor!$A$5:$A$204&lt;&gt;"")*(A_Corridor!$A$5:$A$204&lt;=$B496)*(A_Corridor!$B$5:$B$204&gt;$B496)*(A_Corridor!$E$5:$E$204&lt;&gt;"")),IF(A_Corridor!$E$5:$E$204="-","",1)),"")</f>
        <v/>
      </c>
      <c r="G496" s="182" t="str">
        <f>IFERROR(LOOKUP(2,1/((A_Corridor!$A$5:$A$204&lt;&gt;"")*(A_Corridor!$A$5:$A$204&lt;=$B496)*(A_Corridor!$B$5:$B$204&gt;$B496)*(A_Corridor!$E$5:$E$204&lt;&gt;"")),IF(A_Corridor!$E$5:$E$204="-","",A_Corridor!$E$5:$E$204)),"")</f>
        <v/>
      </c>
      <c r="H496" s="182" t="str">
        <f>IFERROR(LOOKUP(2,1/((D_Points!$A$5:$A$204&lt;&gt;"")*(D_Points!$A$5:$A$204&gt;=$B496)*(D_Points!$A$5:$A$204&lt;$B496+P_Interval)*(UPPER(TRIM(D_Points!$B$5:$B$204))="GULLY")*(D_Points!$H$5:$H$204&lt;&gt;"")),D_Points!$H$5:$H$204),"")</f>
        <v/>
      </c>
      <c r="I496" s="181" t="str">
        <f>IFERROR(LOOKUP(2,1/((A_Corridor!$A$5:$A$204&lt;&gt;"")*(A_Corridor!$A$5:$A$204&lt;=$B496)*(A_Corridor!$B$5:$B$204&gt;$B496)*(A_Corridor!$F$5:$F$204&lt;&gt;"")),IF(A_Corridor!$F$5:$F$204="-","",1)),"")</f>
        <v/>
      </c>
      <c r="J496" s="182" t="str">
        <f>IFERROR(LOOKUP(2,1/((A_Corridor!$A$5:$A$204&lt;&gt;"")*(A_Corridor!$A$5:$A$204&lt;=$B496)*(A_Corridor!$B$5:$B$204&gt;$B496)*(A_Corridor!$F$5:$F$204&lt;&gt;"")),IF(A_Corridor!$F$5:$F$204="-","",A_Corridor!$F$5:$F$204)),"")</f>
        <v/>
      </c>
      <c r="K496" s="182" t="str">
        <f>IFERROR(LOOKUP(2,1/((A_Corridor!$A$5:$A$204&lt;&gt;"")*(A_Corridor!$A$5:$A$204&lt;=$B496)*(A_Corridor!$B$5:$B$204&gt;$B496)*(A_Corridor!$G$5:$G$204&lt;&gt;"")),IF(A_Corridor!$G$5:$G$204="-","",A_Corridor!$G$5:$G$204)),"")</f>
        <v/>
      </c>
      <c r="L496" s="181" t="str">
        <f>IFERROR(LOOKUP(2,1/((A_Corridor!$A$5:$A$204&lt;&gt;"")*(A_Corridor!$A$5:$A$204&lt;=$B496)*(A_Corridor!$B$5:$B$204&gt;$B496)*(A_Corridor!$H$5:$H$204&lt;&gt;"")),IF(A_Corridor!$H$5:$H$204="-","",1)),"")</f>
        <v/>
      </c>
      <c r="M496" s="182" t="str">
        <f>IFERROR(LOOKUP(2,1/((A_Corridor!$A$5:$A$204&lt;&gt;"")*(A_Corridor!$A$5:$A$204&lt;=$B496)*(A_Corridor!$B$5:$B$204&gt;$B496)*(A_Corridor!$H$5:$H$204&lt;&gt;"")),IF(A_Corridor!$H$5:$H$204="-","",A_Corridor!$H$5:$H$204)),"")</f>
        <v/>
      </c>
      <c r="N496" s="182" t="str">
        <f>IFERROR(LOOKUP(2,1/((A_Corridor!$A$5:$A$204&lt;&gt;"")*(A_Corridor!$A$5:$A$204&lt;=$B496)*(A_Corridor!$B$5:$B$204&gt;$B496)*(A_Corridor!$I$5:$I$204&lt;&gt;"")),IF(A_Corridor!$I$5:$I$204="-","",A_Corridor!$I$5:$I$204)),"")</f>
        <v/>
      </c>
      <c r="O496" s="182" t="str">
        <f>IFERROR(LOOKUP(2,1/((D_Points!$A$5:$A$204&lt;&gt;"")*(D_Points!$A$5:$A$204&gt;=$B496)*(D_Points!$A$5:$A$204&lt;$B496+P_Interval)*(UPPER(TRIM(D_Points!$B$5:$B$204))="PITCHING")*(D_Points!$H$5:$H$204&lt;&gt;"")),D_Points!$H$5:$H$204),"")</f>
        <v/>
      </c>
      <c r="P496" s="181" t="str">
        <f>IFERROR(LOOKUP(2,1/((B_Drainage!$A$5:$A$204&lt;&gt;"")*(B_Drainage!$A$5:$A$204&lt;=$B496)*(B_Drainage!$B$5:$B$204&gt;$B496)*(B_Drainage!$C$5:$C$204&lt;&gt;"")),IF(B_Drainage!$C$5:$C$204="-","",UPPER(B_Drainage!$C$5:$C$204))),"")</f>
        <v/>
      </c>
      <c r="Q496" s="181" t="str">
        <f>IFERROR(LOOKUP(2,1/((B_Drainage!$A$5:$A$204&lt;&gt;"")*(B_Drainage!$A$5:$A$204&lt;=$B496)*(B_Drainage!$B$5:$B$204&gt;$B496)*(B_Drainage!$D$5:$D$204&lt;&gt;"")),IF(B_Drainage!$D$5:$D$204="-","",UPPER(B_Drainage!$D$5:$D$204))),"")</f>
        <v/>
      </c>
      <c r="R496" s="182" t="str">
        <f>IFERROR(LOOKUP(2,1/((D_Points!$A$5:$A$204&lt;&gt;"")*(D_Points!$A$5:$A$204&gt;=$B496)*(D_Points!$A$5:$A$204&lt;$B496+P_Interval)*(RIGHT(UPPER(TRIM(D_Points!$B$5:$B$204)),8)="_CULVERT")),IF(LEFT(UPPER(TRIM(D_Points!$B$5:$B$204)),2)="EX",1,IF(LEFT(UPPER(TRIM(D_Points!$B$5:$B$204)),2)="PR",2,3))),"")</f>
        <v/>
      </c>
      <c r="S496" s="182" t="str">
        <f>IFERROR(LOOKUP(2,1/((D_Points!$A$5:$A$204&lt;&gt;"")*(D_Points!$A$5:$A$204&gt;=$B496)*(D_Points!$A$5:$A$204&lt;$B496+P_Interval)*(RIGHT(UPPER(TRIM(D_Points!$B$5:$B$204)),7)="_BRIDGE")),IF(LEFT(UPPER(TRIM(D_Points!$B$5:$B$204)),2)="EX",1,IF(LEFT(UPPER(TRIM(D_Points!$B$5:$B$204)),2)="PR",2,2))),"")</f>
        <v/>
      </c>
      <c r="T496" s="181" t="str">
        <f>IFERROR(LOOKUP(2,1/((B_Drainage!$A$5:$A$204&lt;&gt;"")*(B_Drainage!$A$5:$A$204&lt;=$B496)*(B_Drainage!$B$5:$B$204&gt;$B496)*(B_Drainage!$E$5:$E$204&lt;&gt;"")),IF(B_Drainage!$E$5:$E$204="-","",1)),"")</f>
        <v/>
      </c>
      <c r="U496" s="181" t="str">
        <f>IFERROR(LOOKUP(2,1/((B_Drainage!$A$5:$A$204&lt;&gt;"")*(B_Drainage!$A$5:$A$204&lt;=$B496)*(B_Drainage!$B$5:$B$204&gt;$B496)*(B_Drainage!$E$5:$E$204&lt;&gt;"")),IF(B_Drainage!$E$5:$E$204="-","",B_Drainage!$E$5:$E$204)),"")</f>
        <v/>
      </c>
      <c r="V496" s="181" t="str">
        <f>IFERROR(LOOKUP(2,1/((B_Drainage!$A$5:$A$204&lt;&gt;"")*(B_Drainage!$A$5:$A$204&lt;=$B496)*(B_Drainage!$B$5:$B$204&gt;$B496)*(B_Drainage!$F$5:$F$204&lt;&gt;"")),IF(B_Drainage!$F$5:$F$204="-","",1)),"")</f>
        <v/>
      </c>
      <c r="W496" s="181" t="str">
        <f>IFERROR(LOOKUP(2,1/((B_Drainage!$A$5:$A$204&lt;&gt;"")*(B_Drainage!$A$5:$A$204&lt;=$B496)*(B_Drainage!$B$5:$B$204&gt;$B496)*(B_Drainage!$F$5:$F$204&lt;&gt;"")),IF(B_Drainage!$F$5:$F$204="-","",B_Drainage!$F$5:$F$204)),"")</f>
        <v/>
      </c>
      <c r="X496" s="181" t="str">
        <f>IFERROR(LOOKUP(2,1/((B_Drainage!$A$5:$A$204&lt;&gt;"")*(B_Drainage!$A$5:$A$204&lt;=$B496)*(B_Drainage!$B$5:$B$204&gt;$B496)*(B_Drainage!$G$5:$G$204&lt;&gt;"")),IF(UPPER(B_Drainage!$G$5:$G$204)="Y",1,"")),"")</f>
        <v/>
      </c>
      <c r="Y496" s="181" t="str">
        <f>IFERROR(LOOKUP(2,1/((B_Drainage!$A$5:$A$204&lt;&gt;"")*(B_Drainage!$A$5:$A$204&lt;=$B496)*(B_Drainage!$B$5:$B$204&gt;$B496)*(B_Drainage!$H$5:$H$204&lt;&gt;"")),IF(UPPER(B_Drainage!$H$5:$H$204)="Y",1,"")),"")</f>
        <v/>
      </c>
      <c r="Z496" s="181" t="str">
        <f>IFERROR(LOOKUP(2,1/((B_Drainage!$A$5:$A$204&lt;&gt;"")*(B_Drainage!$A$5:$A$204&lt;=$B496)*(B_Drainage!$B$5:$B$204&gt;$B496)*(B_Drainage!$I$5:$I$204&lt;&gt;"")),IF(UPPER(B_Drainage!$I$5:$I$204)="Y",1,"")),"")</f>
        <v/>
      </c>
      <c r="AA496" s="181" t="str">
        <f>IFERROR(LOOKUP(2,1/((B_Drainage!$A$5:$A$204&lt;&gt;"")*(B_Drainage!$A$5:$A$204&lt;=$B496)*(B_Drainage!$B$5:$B$204&gt;$B496)*(B_Drainage!$J$5:$J$204&lt;&gt;"")),IF(UPPER(B_Drainage!$J$5:$J$204)="Y",1,"")),"")</f>
        <v/>
      </c>
      <c r="AB496" s="182" t="str">
        <f>IFERROR(LOOKUP(2,1/((B_Drainage!$A$5:$A$204&lt;&gt;"")*(B_Drainage!$A$5:$A$204&lt;=$B496)*(B_Drainage!$B$5:$B$204&gt;$B496)*(B_Drainage!$K$5:$K$204&lt;&gt;"")),IF(B_Drainage!$K$5:$K$204="-","",B_Drainage!$K$5:$K$204)),"")</f>
        <v/>
      </c>
      <c r="AC496" s="182" t="str">
        <f>IFERROR(LOOKUP(2,1/((B_Drainage!$A$5:$A$204&lt;&gt;"")*(B_Drainage!$A$5:$A$204&lt;=$B496)*(B_Drainage!$B$5:$B$204&gt;$B496)*(B_Drainage!$L$5:$L$204&lt;&gt;"")),IF(B_Drainage!$L$5:$L$204="-","",B_Drainage!$L$5:$L$204)),"")</f>
        <v/>
      </c>
      <c r="AD496" s="182" t="str">
        <f>IFERROR(LOOKUP(2,1/((D_Points!$A$5:$A$204&lt;&gt;"")*(D_Points!$A$5:$A$204&gt;=$B496)*(D_Points!$A$5:$A$204&lt;$B496+P_Interval)*(UPPER(TRIM(D_Points!$B$5:$B$204))="TURNOUT_L")*(D_Points!$H$5:$H$204&lt;&gt;"")),D_Points!$H$5:$H$204),"")</f>
        <v/>
      </c>
      <c r="AE496" s="182" t="str">
        <f>IFERROR(LOOKUP(2,1/((D_Points!$A$5:$A$204&lt;&gt;"")*(D_Points!$A$5:$A$204&gt;=$B496)*(D_Points!$A$5:$A$204&lt;$B496+P_Interval)*(UPPER(TRIM(D_Points!$B$5:$B$204))="TURNOUT_R")*(D_Points!$H$5:$H$204&lt;&gt;"")),D_Points!$H$5:$H$204),"")</f>
        <v/>
      </c>
      <c r="AF496" s="181" t="str">
        <f>IFERROR(LOOKUP(2,1/((B_Drainage!$A$5:$A$204&lt;&gt;"")*(B_Drainage!$A$5:$A$204&lt;=$B496)*(B_Drainage!$B$5:$B$204&gt;$B496)*(B_Drainage!$M$5:$M$204&lt;&gt;"")),IF(UPPER(B_Drainage!$M$5:$M$204)="Y",1,"")),"")</f>
        <v/>
      </c>
      <c r="AG496" s="181" t="str">
        <f>IFERROR(LOOKUP(2,1/((B_Drainage!$A$5:$A$204&lt;&gt;"")*(B_Drainage!$A$5:$A$204&lt;=$B496)*(B_Drainage!$B$5:$B$204&gt;$B496)*(B_Drainage!$N$5:$N$204&lt;&gt;"")),IF(UPPER(B_Drainage!$N$5:$N$204)="Y",1,"")),"")</f>
        <v/>
      </c>
      <c r="AH496" s="181" t="str">
        <f t="shared" si="56"/>
        <v/>
      </c>
      <c r="AI496" s="181" t="str">
        <f t="shared" si="57"/>
        <v/>
      </c>
      <c r="AJ496" s="181" t="str">
        <f t="shared" si="58"/>
        <v/>
      </c>
      <c r="AK496" s="181" t="str">
        <f t="shared" si="59"/>
        <v/>
      </c>
      <c r="AL496" s="181" t="str">
        <f t="shared" si="60"/>
        <v/>
      </c>
      <c r="AM496" s="181" t="str">
        <f t="shared" si="61"/>
        <v/>
      </c>
      <c r="AN496" s="181" t="str">
        <f t="shared" si="62"/>
        <v/>
      </c>
      <c r="AO496" s="192" t="str">
        <f t="shared" si="63"/>
        <v/>
      </c>
      <c r="AQ496" t="str">
        <f>IFERROR(LOOKUP(2,1/((C_Pavement!$A$5:$A$204&lt;&gt;"")*(C_Pavement!$A$5:$A$204&lt;=$B496)*(C_Pavement!$B$5:$B$204&gt;$B496)*(C_Pavement!$C$5:$C$204&lt;&gt;"")),ROW(C_Pavement!$C$5:$C$204)-4),"")</f>
        <v/>
      </c>
      <c r="AR496" t="str">
        <f>IF($AQ496="","",UPPER(TRIM(INDEX(C_Pavement!$C$5:$C$204,$AQ496))))</f>
        <v/>
      </c>
      <c r="AS496" t="str">
        <f>IF($AR496="","",IFERROR(MATCH($AR496,E_Rules!$A$5:$A$9,0),""))</f>
        <v/>
      </c>
      <c r="AT496" t="str">
        <f>IF($AQ496="","",IF(INDEX(C_Pavement!$D$5:$D$204,$AQ496)&lt;&gt;"",UPPER(TRIM(INDEX(C_Pavement!$D$5:$D$204,$AQ496))),IF($AS496="","",INDEX(E_Rules!$C$5:$C$9,$AS496))))</f>
        <v/>
      </c>
      <c r="AU496" t="str">
        <f>IF($AQ496="","",IF(INDEX(C_Pavement!$E$5:$E$204,$AQ496)&lt;&gt;"",IF(INDEX(C_Pavement!$E$5:$E$204,$AQ496)="-","",INDEX(C_Pavement!$E$5:$E$204,$AQ496)),IF($AS496="","",INDEX(E_Rules!$D$5:$D$9,$AS496))))</f>
        <v/>
      </c>
      <c r="AV496" t="str">
        <f>IF($AQ496="","",IF(INDEX(C_Pavement!$F$5:$F$204,$AQ496)&lt;&gt;"",IF(INDEX(C_Pavement!$F$5:$F$204,$AQ496)="-","",INDEX(C_Pavement!$F$5:$F$204,$AQ496)),IF($AS496="","",INDEX(E_Rules!$E$5:$E$9,$AS496))))</f>
        <v/>
      </c>
      <c r="AW496" t="str">
        <f>IF($AQ496="","",IF(INDEX(C_Pavement!$G$5:$G$204,$AQ496)&lt;&gt;"",IF(INDEX(C_Pavement!$G$5:$G$204,$AQ496)="-","",INDEX(C_Pavement!$G$5:$G$204,$AQ496)),IF($AS496="","",INDEX(E_Rules!$F$5:$F$9,$AS496))))</f>
        <v/>
      </c>
      <c r="AX496" t="str">
        <f>IF($AQ496="","",IF(INDEX(C_Pavement!$H$5:$H$204,$AQ496)&lt;&gt;"",IF(INDEX(C_Pavement!$H$5:$H$204,$AQ496)="-","",INDEX(C_Pavement!$H$5:$H$204,$AQ496)),IF($AS496="","",INDEX(E_Rules!$G$5:$G$9,$AS496))))</f>
        <v/>
      </c>
      <c r="AY496" t="str">
        <f>IF($AQ496="","",IF(INDEX(C_Pavement!$I$5:$I$204,$AQ496)&lt;&gt;"",IF(INDEX(C_Pavement!$I$5:$I$204,$AQ496)="-","",INDEX(C_Pavement!$I$5:$I$204,$AQ496)),IF($AS496="","",INDEX(E_Rules!$H$5:$H$9,$AS496))))</f>
        <v/>
      </c>
    </row>
    <row r="497" spans="1:51" ht="15.75" customHeight="1" x14ac:dyDescent="0.3">
      <c r="A497" s="189">
        <v>492</v>
      </c>
      <c r="B497" s="180">
        <v>24550</v>
      </c>
      <c r="C497" s="180" t="s">
        <v>803</v>
      </c>
      <c r="D497" s="181" t="str">
        <f>IFERROR(LOOKUP(2,1/((A_Corridor!$A$5:$A$204&lt;&gt;"")*(A_Corridor!$A$5:$A$204&lt;=$B497)*(A_Corridor!$B$5:$B$204&gt;$B497)*(A_Corridor!$C$5:$C$204&lt;&gt;"")),IF(UPPER(A_Corridor!$C$5:$C$204)="Y",1,"")),"")</f>
        <v/>
      </c>
      <c r="E497" s="181" t="str">
        <f>IFERROR(LOOKUP(2,1/((A_Corridor!$A$5:$A$204&lt;&gt;"")*(A_Corridor!$A$5:$A$204&lt;=$B497)*(A_Corridor!$B$5:$B$204&gt;$B497)*(A_Corridor!$D$5:$D$204&lt;&gt;"")),IF(A_Corridor!$D$5:$D$204="-","",UPPER(A_Corridor!$D$5:$D$204))),"")</f>
        <v/>
      </c>
      <c r="F497" s="181" t="str">
        <f>IFERROR(LOOKUP(2,1/((A_Corridor!$A$5:$A$204&lt;&gt;"")*(A_Corridor!$A$5:$A$204&lt;=$B497)*(A_Corridor!$B$5:$B$204&gt;$B497)*(A_Corridor!$E$5:$E$204&lt;&gt;"")),IF(A_Corridor!$E$5:$E$204="-","",1)),"")</f>
        <v/>
      </c>
      <c r="G497" s="182" t="str">
        <f>IFERROR(LOOKUP(2,1/((A_Corridor!$A$5:$A$204&lt;&gt;"")*(A_Corridor!$A$5:$A$204&lt;=$B497)*(A_Corridor!$B$5:$B$204&gt;$B497)*(A_Corridor!$E$5:$E$204&lt;&gt;"")),IF(A_Corridor!$E$5:$E$204="-","",A_Corridor!$E$5:$E$204)),"")</f>
        <v/>
      </c>
      <c r="H497" s="182" t="str">
        <f>IFERROR(LOOKUP(2,1/((D_Points!$A$5:$A$204&lt;&gt;"")*(D_Points!$A$5:$A$204&gt;=$B497)*(D_Points!$A$5:$A$204&lt;$B497+P_Interval)*(UPPER(TRIM(D_Points!$B$5:$B$204))="GULLY")*(D_Points!$H$5:$H$204&lt;&gt;"")),D_Points!$H$5:$H$204),"")</f>
        <v/>
      </c>
      <c r="I497" s="181" t="str">
        <f>IFERROR(LOOKUP(2,1/((A_Corridor!$A$5:$A$204&lt;&gt;"")*(A_Corridor!$A$5:$A$204&lt;=$B497)*(A_Corridor!$B$5:$B$204&gt;$B497)*(A_Corridor!$F$5:$F$204&lt;&gt;"")),IF(A_Corridor!$F$5:$F$204="-","",1)),"")</f>
        <v/>
      </c>
      <c r="J497" s="182" t="str">
        <f>IFERROR(LOOKUP(2,1/((A_Corridor!$A$5:$A$204&lt;&gt;"")*(A_Corridor!$A$5:$A$204&lt;=$B497)*(A_Corridor!$B$5:$B$204&gt;$B497)*(A_Corridor!$F$5:$F$204&lt;&gt;"")),IF(A_Corridor!$F$5:$F$204="-","",A_Corridor!$F$5:$F$204)),"")</f>
        <v/>
      </c>
      <c r="K497" s="182" t="str">
        <f>IFERROR(LOOKUP(2,1/((A_Corridor!$A$5:$A$204&lt;&gt;"")*(A_Corridor!$A$5:$A$204&lt;=$B497)*(A_Corridor!$B$5:$B$204&gt;$B497)*(A_Corridor!$G$5:$G$204&lt;&gt;"")),IF(A_Corridor!$G$5:$G$204="-","",A_Corridor!$G$5:$G$204)),"")</f>
        <v/>
      </c>
      <c r="L497" s="181" t="str">
        <f>IFERROR(LOOKUP(2,1/((A_Corridor!$A$5:$A$204&lt;&gt;"")*(A_Corridor!$A$5:$A$204&lt;=$B497)*(A_Corridor!$B$5:$B$204&gt;$B497)*(A_Corridor!$H$5:$H$204&lt;&gt;"")),IF(A_Corridor!$H$5:$H$204="-","",1)),"")</f>
        <v/>
      </c>
      <c r="M497" s="182" t="str">
        <f>IFERROR(LOOKUP(2,1/((A_Corridor!$A$5:$A$204&lt;&gt;"")*(A_Corridor!$A$5:$A$204&lt;=$B497)*(A_Corridor!$B$5:$B$204&gt;$B497)*(A_Corridor!$H$5:$H$204&lt;&gt;"")),IF(A_Corridor!$H$5:$H$204="-","",A_Corridor!$H$5:$H$204)),"")</f>
        <v/>
      </c>
      <c r="N497" s="182" t="str">
        <f>IFERROR(LOOKUP(2,1/((A_Corridor!$A$5:$A$204&lt;&gt;"")*(A_Corridor!$A$5:$A$204&lt;=$B497)*(A_Corridor!$B$5:$B$204&gt;$B497)*(A_Corridor!$I$5:$I$204&lt;&gt;"")),IF(A_Corridor!$I$5:$I$204="-","",A_Corridor!$I$5:$I$204)),"")</f>
        <v/>
      </c>
      <c r="O497" s="182" t="str">
        <f>IFERROR(LOOKUP(2,1/((D_Points!$A$5:$A$204&lt;&gt;"")*(D_Points!$A$5:$A$204&gt;=$B497)*(D_Points!$A$5:$A$204&lt;$B497+P_Interval)*(UPPER(TRIM(D_Points!$B$5:$B$204))="PITCHING")*(D_Points!$H$5:$H$204&lt;&gt;"")),D_Points!$H$5:$H$204),"")</f>
        <v/>
      </c>
      <c r="P497" s="181" t="str">
        <f>IFERROR(LOOKUP(2,1/((B_Drainage!$A$5:$A$204&lt;&gt;"")*(B_Drainage!$A$5:$A$204&lt;=$B497)*(B_Drainage!$B$5:$B$204&gt;$B497)*(B_Drainage!$C$5:$C$204&lt;&gt;"")),IF(B_Drainage!$C$5:$C$204="-","",UPPER(B_Drainage!$C$5:$C$204))),"")</f>
        <v/>
      </c>
      <c r="Q497" s="181" t="str">
        <f>IFERROR(LOOKUP(2,1/((B_Drainage!$A$5:$A$204&lt;&gt;"")*(B_Drainage!$A$5:$A$204&lt;=$B497)*(B_Drainage!$B$5:$B$204&gt;$B497)*(B_Drainage!$D$5:$D$204&lt;&gt;"")),IF(B_Drainage!$D$5:$D$204="-","",UPPER(B_Drainage!$D$5:$D$204))),"")</f>
        <v/>
      </c>
      <c r="R497" s="182" t="str">
        <f>IFERROR(LOOKUP(2,1/((D_Points!$A$5:$A$204&lt;&gt;"")*(D_Points!$A$5:$A$204&gt;=$B497)*(D_Points!$A$5:$A$204&lt;$B497+P_Interval)*(RIGHT(UPPER(TRIM(D_Points!$B$5:$B$204)),8)="_CULVERT")),IF(LEFT(UPPER(TRIM(D_Points!$B$5:$B$204)),2)="EX",1,IF(LEFT(UPPER(TRIM(D_Points!$B$5:$B$204)),2)="PR",2,3))),"")</f>
        <v/>
      </c>
      <c r="S497" s="182" t="str">
        <f>IFERROR(LOOKUP(2,1/((D_Points!$A$5:$A$204&lt;&gt;"")*(D_Points!$A$5:$A$204&gt;=$B497)*(D_Points!$A$5:$A$204&lt;$B497+P_Interval)*(RIGHT(UPPER(TRIM(D_Points!$B$5:$B$204)),7)="_BRIDGE")),IF(LEFT(UPPER(TRIM(D_Points!$B$5:$B$204)),2)="EX",1,IF(LEFT(UPPER(TRIM(D_Points!$B$5:$B$204)),2)="PR",2,2))),"")</f>
        <v/>
      </c>
      <c r="T497" s="181" t="str">
        <f>IFERROR(LOOKUP(2,1/((B_Drainage!$A$5:$A$204&lt;&gt;"")*(B_Drainage!$A$5:$A$204&lt;=$B497)*(B_Drainage!$B$5:$B$204&gt;$B497)*(B_Drainage!$E$5:$E$204&lt;&gt;"")),IF(B_Drainage!$E$5:$E$204="-","",1)),"")</f>
        <v/>
      </c>
      <c r="U497" s="181" t="str">
        <f>IFERROR(LOOKUP(2,1/((B_Drainage!$A$5:$A$204&lt;&gt;"")*(B_Drainage!$A$5:$A$204&lt;=$B497)*(B_Drainage!$B$5:$B$204&gt;$B497)*(B_Drainage!$E$5:$E$204&lt;&gt;"")),IF(B_Drainage!$E$5:$E$204="-","",B_Drainage!$E$5:$E$204)),"")</f>
        <v/>
      </c>
      <c r="V497" s="181" t="str">
        <f>IFERROR(LOOKUP(2,1/((B_Drainage!$A$5:$A$204&lt;&gt;"")*(B_Drainage!$A$5:$A$204&lt;=$B497)*(B_Drainage!$B$5:$B$204&gt;$B497)*(B_Drainage!$F$5:$F$204&lt;&gt;"")),IF(B_Drainage!$F$5:$F$204="-","",1)),"")</f>
        <v/>
      </c>
      <c r="W497" s="181" t="str">
        <f>IFERROR(LOOKUP(2,1/((B_Drainage!$A$5:$A$204&lt;&gt;"")*(B_Drainage!$A$5:$A$204&lt;=$B497)*(B_Drainage!$B$5:$B$204&gt;$B497)*(B_Drainage!$F$5:$F$204&lt;&gt;"")),IF(B_Drainage!$F$5:$F$204="-","",B_Drainage!$F$5:$F$204)),"")</f>
        <v/>
      </c>
      <c r="X497" s="181" t="str">
        <f>IFERROR(LOOKUP(2,1/((B_Drainage!$A$5:$A$204&lt;&gt;"")*(B_Drainage!$A$5:$A$204&lt;=$B497)*(B_Drainage!$B$5:$B$204&gt;$B497)*(B_Drainage!$G$5:$G$204&lt;&gt;"")),IF(UPPER(B_Drainage!$G$5:$G$204)="Y",1,"")),"")</f>
        <v/>
      </c>
      <c r="Y497" s="181" t="str">
        <f>IFERROR(LOOKUP(2,1/((B_Drainage!$A$5:$A$204&lt;&gt;"")*(B_Drainage!$A$5:$A$204&lt;=$B497)*(B_Drainage!$B$5:$B$204&gt;$B497)*(B_Drainage!$H$5:$H$204&lt;&gt;"")),IF(UPPER(B_Drainage!$H$5:$H$204)="Y",1,"")),"")</f>
        <v/>
      </c>
      <c r="Z497" s="181" t="str">
        <f>IFERROR(LOOKUP(2,1/((B_Drainage!$A$5:$A$204&lt;&gt;"")*(B_Drainage!$A$5:$A$204&lt;=$B497)*(B_Drainage!$B$5:$B$204&gt;$B497)*(B_Drainage!$I$5:$I$204&lt;&gt;"")),IF(UPPER(B_Drainage!$I$5:$I$204)="Y",1,"")),"")</f>
        <v/>
      </c>
      <c r="AA497" s="181" t="str">
        <f>IFERROR(LOOKUP(2,1/((B_Drainage!$A$5:$A$204&lt;&gt;"")*(B_Drainage!$A$5:$A$204&lt;=$B497)*(B_Drainage!$B$5:$B$204&gt;$B497)*(B_Drainage!$J$5:$J$204&lt;&gt;"")),IF(UPPER(B_Drainage!$J$5:$J$204)="Y",1,"")),"")</f>
        <v/>
      </c>
      <c r="AB497" s="182" t="str">
        <f>IFERROR(LOOKUP(2,1/((B_Drainage!$A$5:$A$204&lt;&gt;"")*(B_Drainage!$A$5:$A$204&lt;=$B497)*(B_Drainage!$B$5:$B$204&gt;$B497)*(B_Drainage!$K$5:$K$204&lt;&gt;"")),IF(B_Drainage!$K$5:$K$204="-","",B_Drainage!$K$5:$K$204)),"")</f>
        <v/>
      </c>
      <c r="AC497" s="182" t="str">
        <f>IFERROR(LOOKUP(2,1/((B_Drainage!$A$5:$A$204&lt;&gt;"")*(B_Drainage!$A$5:$A$204&lt;=$B497)*(B_Drainage!$B$5:$B$204&gt;$B497)*(B_Drainage!$L$5:$L$204&lt;&gt;"")),IF(B_Drainage!$L$5:$L$204="-","",B_Drainage!$L$5:$L$204)),"")</f>
        <v/>
      </c>
      <c r="AD497" s="182" t="str">
        <f>IFERROR(LOOKUP(2,1/((D_Points!$A$5:$A$204&lt;&gt;"")*(D_Points!$A$5:$A$204&gt;=$B497)*(D_Points!$A$5:$A$204&lt;$B497+P_Interval)*(UPPER(TRIM(D_Points!$B$5:$B$204))="TURNOUT_L")*(D_Points!$H$5:$H$204&lt;&gt;"")),D_Points!$H$5:$H$204),"")</f>
        <v/>
      </c>
      <c r="AE497" s="182" t="str">
        <f>IFERROR(LOOKUP(2,1/((D_Points!$A$5:$A$204&lt;&gt;"")*(D_Points!$A$5:$A$204&gt;=$B497)*(D_Points!$A$5:$A$204&lt;$B497+P_Interval)*(UPPER(TRIM(D_Points!$B$5:$B$204))="TURNOUT_R")*(D_Points!$H$5:$H$204&lt;&gt;"")),D_Points!$H$5:$H$204),"")</f>
        <v/>
      </c>
      <c r="AF497" s="181" t="str">
        <f>IFERROR(LOOKUP(2,1/((B_Drainage!$A$5:$A$204&lt;&gt;"")*(B_Drainage!$A$5:$A$204&lt;=$B497)*(B_Drainage!$B$5:$B$204&gt;$B497)*(B_Drainage!$M$5:$M$204&lt;&gt;"")),IF(UPPER(B_Drainage!$M$5:$M$204)="Y",1,"")),"")</f>
        <v/>
      </c>
      <c r="AG497" s="181" t="str">
        <f>IFERROR(LOOKUP(2,1/((B_Drainage!$A$5:$A$204&lt;&gt;"")*(B_Drainage!$A$5:$A$204&lt;=$B497)*(B_Drainage!$B$5:$B$204&gt;$B497)*(B_Drainage!$N$5:$N$204&lt;&gt;"")),IF(UPPER(B_Drainage!$N$5:$N$204)="Y",1,"")),"")</f>
        <v/>
      </c>
      <c r="AH497" s="181" t="str">
        <f t="shared" si="56"/>
        <v/>
      </c>
      <c r="AI497" s="181" t="str">
        <f t="shared" si="57"/>
        <v/>
      </c>
      <c r="AJ497" s="181" t="str">
        <f t="shared" si="58"/>
        <v/>
      </c>
      <c r="AK497" s="181" t="str">
        <f t="shared" si="59"/>
        <v/>
      </c>
      <c r="AL497" s="181" t="str">
        <f t="shared" si="60"/>
        <v/>
      </c>
      <c r="AM497" s="181" t="str">
        <f t="shared" si="61"/>
        <v/>
      </c>
      <c r="AN497" s="181" t="str">
        <f t="shared" si="62"/>
        <v/>
      </c>
      <c r="AO497" s="192" t="str">
        <f t="shared" si="63"/>
        <v/>
      </c>
      <c r="AQ497" t="str">
        <f>IFERROR(LOOKUP(2,1/((C_Pavement!$A$5:$A$204&lt;&gt;"")*(C_Pavement!$A$5:$A$204&lt;=$B497)*(C_Pavement!$B$5:$B$204&gt;$B497)*(C_Pavement!$C$5:$C$204&lt;&gt;"")),ROW(C_Pavement!$C$5:$C$204)-4),"")</f>
        <v/>
      </c>
      <c r="AR497" t="str">
        <f>IF($AQ497="","",UPPER(TRIM(INDEX(C_Pavement!$C$5:$C$204,$AQ497))))</f>
        <v/>
      </c>
      <c r="AS497" t="str">
        <f>IF($AR497="","",IFERROR(MATCH($AR497,E_Rules!$A$5:$A$9,0),""))</f>
        <v/>
      </c>
      <c r="AT497" t="str">
        <f>IF($AQ497="","",IF(INDEX(C_Pavement!$D$5:$D$204,$AQ497)&lt;&gt;"",UPPER(TRIM(INDEX(C_Pavement!$D$5:$D$204,$AQ497))),IF($AS497="","",INDEX(E_Rules!$C$5:$C$9,$AS497))))</f>
        <v/>
      </c>
      <c r="AU497" t="str">
        <f>IF($AQ497="","",IF(INDEX(C_Pavement!$E$5:$E$204,$AQ497)&lt;&gt;"",IF(INDEX(C_Pavement!$E$5:$E$204,$AQ497)="-","",INDEX(C_Pavement!$E$5:$E$204,$AQ497)),IF($AS497="","",INDEX(E_Rules!$D$5:$D$9,$AS497))))</f>
        <v/>
      </c>
      <c r="AV497" t="str">
        <f>IF($AQ497="","",IF(INDEX(C_Pavement!$F$5:$F$204,$AQ497)&lt;&gt;"",IF(INDEX(C_Pavement!$F$5:$F$204,$AQ497)="-","",INDEX(C_Pavement!$F$5:$F$204,$AQ497)),IF($AS497="","",INDEX(E_Rules!$E$5:$E$9,$AS497))))</f>
        <v/>
      </c>
      <c r="AW497" t="str">
        <f>IF($AQ497="","",IF(INDEX(C_Pavement!$G$5:$G$204,$AQ497)&lt;&gt;"",IF(INDEX(C_Pavement!$G$5:$G$204,$AQ497)="-","",INDEX(C_Pavement!$G$5:$G$204,$AQ497)),IF($AS497="","",INDEX(E_Rules!$F$5:$F$9,$AS497))))</f>
        <v/>
      </c>
      <c r="AX497" t="str">
        <f>IF($AQ497="","",IF(INDEX(C_Pavement!$H$5:$H$204,$AQ497)&lt;&gt;"",IF(INDEX(C_Pavement!$H$5:$H$204,$AQ497)="-","",INDEX(C_Pavement!$H$5:$H$204,$AQ497)),IF($AS497="","",INDEX(E_Rules!$G$5:$G$9,$AS497))))</f>
        <v/>
      </c>
      <c r="AY497" t="str">
        <f>IF($AQ497="","",IF(INDEX(C_Pavement!$I$5:$I$204,$AQ497)&lt;&gt;"",IF(INDEX(C_Pavement!$I$5:$I$204,$AQ497)="-","",INDEX(C_Pavement!$I$5:$I$204,$AQ497)),IF($AS497="","",INDEX(E_Rules!$H$5:$H$9,$AS497))))</f>
        <v/>
      </c>
    </row>
    <row r="498" spans="1:51" ht="15.75" customHeight="1" x14ac:dyDescent="0.3">
      <c r="A498" s="189">
        <v>493</v>
      </c>
      <c r="B498" s="180">
        <v>24600</v>
      </c>
      <c r="C498" s="180" t="s">
        <v>804</v>
      </c>
      <c r="D498" s="181" t="str">
        <f>IFERROR(LOOKUP(2,1/((A_Corridor!$A$5:$A$204&lt;&gt;"")*(A_Corridor!$A$5:$A$204&lt;=$B498)*(A_Corridor!$B$5:$B$204&gt;$B498)*(A_Corridor!$C$5:$C$204&lt;&gt;"")),IF(UPPER(A_Corridor!$C$5:$C$204)="Y",1,"")),"")</f>
        <v/>
      </c>
      <c r="E498" s="181" t="str">
        <f>IFERROR(LOOKUP(2,1/((A_Corridor!$A$5:$A$204&lt;&gt;"")*(A_Corridor!$A$5:$A$204&lt;=$B498)*(A_Corridor!$B$5:$B$204&gt;$B498)*(A_Corridor!$D$5:$D$204&lt;&gt;"")),IF(A_Corridor!$D$5:$D$204="-","",UPPER(A_Corridor!$D$5:$D$204))),"")</f>
        <v/>
      </c>
      <c r="F498" s="181" t="str">
        <f>IFERROR(LOOKUP(2,1/((A_Corridor!$A$5:$A$204&lt;&gt;"")*(A_Corridor!$A$5:$A$204&lt;=$B498)*(A_Corridor!$B$5:$B$204&gt;$B498)*(A_Corridor!$E$5:$E$204&lt;&gt;"")),IF(A_Corridor!$E$5:$E$204="-","",1)),"")</f>
        <v/>
      </c>
      <c r="G498" s="182" t="str">
        <f>IFERROR(LOOKUP(2,1/((A_Corridor!$A$5:$A$204&lt;&gt;"")*(A_Corridor!$A$5:$A$204&lt;=$B498)*(A_Corridor!$B$5:$B$204&gt;$B498)*(A_Corridor!$E$5:$E$204&lt;&gt;"")),IF(A_Corridor!$E$5:$E$204="-","",A_Corridor!$E$5:$E$204)),"")</f>
        <v/>
      </c>
      <c r="H498" s="182" t="str">
        <f>IFERROR(LOOKUP(2,1/((D_Points!$A$5:$A$204&lt;&gt;"")*(D_Points!$A$5:$A$204&gt;=$B498)*(D_Points!$A$5:$A$204&lt;$B498+P_Interval)*(UPPER(TRIM(D_Points!$B$5:$B$204))="GULLY")*(D_Points!$H$5:$H$204&lt;&gt;"")),D_Points!$H$5:$H$204),"")</f>
        <v/>
      </c>
      <c r="I498" s="181" t="str">
        <f>IFERROR(LOOKUP(2,1/((A_Corridor!$A$5:$A$204&lt;&gt;"")*(A_Corridor!$A$5:$A$204&lt;=$B498)*(A_Corridor!$B$5:$B$204&gt;$B498)*(A_Corridor!$F$5:$F$204&lt;&gt;"")),IF(A_Corridor!$F$5:$F$204="-","",1)),"")</f>
        <v/>
      </c>
      <c r="J498" s="182" t="str">
        <f>IFERROR(LOOKUP(2,1/((A_Corridor!$A$5:$A$204&lt;&gt;"")*(A_Corridor!$A$5:$A$204&lt;=$B498)*(A_Corridor!$B$5:$B$204&gt;$B498)*(A_Corridor!$F$5:$F$204&lt;&gt;"")),IF(A_Corridor!$F$5:$F$204="-","",A_Corridor!$F$5:$F$204)),"")</f>
        <v/>
      </c>
      <c r="K498" s="182" t="str">
        <f>IFERROR(LOOKUP(2,1/((A_Corridor!$A$5:$A$204&lt;&gt;"")*(A_Corridor!$A$5:$A$204&lt;=$B498)*(A_Corridor!$B$5:$B$204&gt;$B498)*(A_Corridor!$G$5:$G$204&lt;&gt;"")),IF(A_Corridor!$G$5:$G$204="-","",A_Corridor!$G$5:$G$204)),"")</f>
        <v/>
      </c>
      <c r="L498" s="181" t="str">
        <f>IFERROR(LOOKUP(2,1/((A_Corridor!$A$5:$A$204&lt;&gt;"")*(A_Corridor!$A$5:$A$204&lt;=$B498)*(A_Corridor!$B$5:$B$204&gt;$B498)*(A_Corridor!$H$5:$H$204&lt;&gt;"")),IF(A_Corridor!$H$5:$H$204="-","",1)),"")</f>
        <v/>
      </c>
      <c r="M498" s="182" t="str">
        <f>IFERROR(LOOKUP(2,1/((A_Corridor!$A$5:$A$204&lt;&gt;"")*(A_Corridor!$A$5:$A$204&lt;=$B498)*(A_Corridor!$B$5:$B$204&gt;$B498)*(A_Corridor!$H$5:$H$204&lt;&gt;"")),IF(A_Corridor!$H$5:$H$204="-","",A_Corridor!$H$5:$H$204)),"")</f>
        <v/>
      </c>
      <c r="N498" s="182" t="str">
        <f>IFERROR(LOOKUP(2,1/((A_Corridor!$A$5:$A$204&lt;&gt;"")*(A_Corridor!$A$5:$A$204&lt;=$B498)*(A_Corridor!$B$5:$B$204&gt;$B498)*(A_Corridor!$I$5:$I$204&lt;&gt;"")),IF(A_Corridor!$I$5:$I$204="-","",A_Corridor!$I$5:$I$204)),"")</f>
        <v/>
      </c>
      <c r="O498" s="182" t="str">
        <f>IFERROR(LOOKUP(2,1/((D_Points!$A$5:$A$204&lt;&gt;"")*(D_Points!$A$5:$A$204&gt;=$B498)*(D_Points!$A$5:$A$204&lt;$B498+P_Interval)*(UPPER(TRIM(D_Points!$B$5:$B$204))="PITCHING")*(D_Points!$H$5:$H$204&lt;&gt;"")),D_Points!$H$5:$H$204),"")</f>
        <v/>
      </c>
      <c r="P498" s="181" t="str">
        <f>IFERROR(LOOKUP(2,1/((B_Drainage!$A$5:$A$204&lt;&gt;"")*(B_Drainage!$A$5:$A$204&lt;=$B498)*(B_Drainage!$B$5:$B$204&gt;$B498)*(B_Drainage!$C$5:$C$204&lt;&gt;"")),IF(B_Drainage!$C$5:$C$204="-","",UPPER(B_Drainage!$C$5:$C$204))),"")</f>
        <v/>
      </c>
      <c r="Q498" s="181" t="str">
        <f>IFERROR(LOOKUP(2,1/((B_Drainage!$A$5:$A$204&lt;&gt;"")*(B_Drainage!$A$5:$A$204&lt;=$B498)*(B_Drainage!$B$5:$B$204&gt;$B498)*(B_Drainage!$D$5:$D$204&lt;&gt;"")),IF(B_Drainage!$D$5:$D$204="-","",UPPER(B_Drainage!$D$5:$D$204))),"")</f>
        <v/>
      </c>
      <c r="R498" s="182" t="str">
        <f>IFERROR(LOOKUP(2,1/((D_Points!$A$5:$A$204&lt;&gt;"")*(D_Points!$A$5:$A$204&gt;=$B498)*(D_Points!$A$5:$A$204&lt;$B498+P_Interval)*(RIGHT(UPPER(TRIM(D_Points!$B$5:$B$204)),8)="_CULVERT")),IF(LEFT(UPPER(TRIM(D_Points!$B$5:$B$204)),2)="EX",1,IF(LEFT(UPPER(TRIM(D_Points!$B$5:$B$204)),2)="PR",2,3))),"")</f>
        <v/>
      </c>
      <c r="S498" s="182" t="str">
        <f>IFERROR(LOOKUP(2,1/((D_Points!$A$5:$A$204&lt;&gt;"")*(D_Points!$A$5:$A$204&gt;=$B498)*(D_Points!$A$5:$A$204&lt;$B498+P_Interval)*(RIGHT(UPPER(TRIM(D_Points!$B$5:$B$204)),7)="_BRIDGE")),IF(LEFT(UPPER(TRIM(D_Points!$B$5:$B$204)),2)="EX",1,IF(LEFT(UPPER(TRIM(D_Points!$B$5:$B$204)),2)="PR",2,2))),"")</f>
        <v/>
      </c>
      <c r="T498" s="181" t="str">
        <f>IFERROR(LOOKUP(2,1/((B_Drainage!$A$5:$A$204&lt;&gt;"")*(B_Drainage!$A$5:$A$204&lt;=$B498)*(B_Drainage!$B$5:$B$204&gt;$B498)*(B_Drainage!$E$5:$E$204&lt;&gt;"")),IF(B_Drainage!$E$5:$E$204="-","",1)),"")</f>
        <v/>
      </c>
      <c r="U498" s="181" t="str">
        <f>IFERROR(LOOKUP(2,1/((B_Drainage!$A$5:$A$204&lt;&gt;"")*(B_Drainage!$A$5:$A$204&lt;=$B498)*(B_Drainage!$B$5:$B$204&gt;$B498)*(B_Drainage!$E$5:$E$204&lt;&gt;"")),IF(B_Drainage!$E$5:$E$204="-","",B_Drainage!$E$5:$E$204)),"")</f>
        <v/>
      </c>
      <c r="V498" s="181" t="str">
        <f>IFERROR(LOOKUP(2,1/((B_Drainage!$A$5:$A$204&lt;&gt;"")*(B_Drainage!$A$5:$A$204&lt;=$B498)*(B_Drainage!$B$5:$B$204&gt;$B498)*(B_Drainage!$F$5:$F$204&lt;&gt;"")),IF(B_Drainage!$F$5:$F$204="-","",1)),"")</f>
        <v/>
      </c>
      <c r="W498" s="181" t="str">
        <f>IFERROR(LOOKUP(2,1/((B_Drainage!$A$5:$A$204&lt;&gt;"")*(B_Drainage!$A$5:$A$204&lt;=$B498)*(B_Drainage!$B$5:$B$204&gt;$B498)*(B_Drainage!$F$5:$F$204&lt;&gt;"")),IF(B_Drainage!$F$5:$F$204="-","",B_Drainage!$F$5:$F$204)),"")</f>
        <v/>
      </c>
      <c r="X498" s="181" t="str">
        <f>IFERROR(LOOKUP(2,1/((B_Drainage!$A$5:$A$204&lt;&gt;"")*(B_Drainage!$A$5:$A$204&lt;=$B498)*(B_Drainage!$B$5:$B$204&gt;$B498)*(B_Drainage!$G$5:$G$204&lt;&gt;"")),IF(UPPER(B_Drainage!$G$5:$G$204)="Y",1,"")),"")</f>
        <v/>
      </c>
      <c r="Y498" s="181" t="str">
        <f>IFERROR(LOOKUP(2,1/((B_Drainage!$A$5:$A$204&lt;&gt;"")*(B_Drainage!$A$5:$A$204&lt;=$B498)*(B_Drainage!$B$5:$B$204&gt;$B498)*(B_Drainage!$H$5:$H$204&lt;&gt;"")),IF(UPPER(B_Drainage!$H$5:$H$204)="Y",1,"")),"")</f>
        <v/>
      </c>
      <c r="Z498" s="181" t="str">
        <f>IFERROR(LOOKUP(2,1/((B_Drainage!$A$5:$A$204&lt;&gt;"")*(B_Drainage!$A$5:$A$204&lt;=$B498)*(B_Drainage!$B$5:$B$204&gt;$B498)*(B_Drainage!$I$5:$I$204&lt;&gt;"")),IF(UPPER(B_Drainage!$I$5:$I$204)="Y",1,"")),"")</f>
        <v/>
      </c>
      <c r="AA498" s="181" t="str">
        <f>IFERROR(LOOKUP(2,1/((B_Drainage!$A$5:$A$204&lt;&gt;"")*(B_Drainage!$A$5:$A$204&lt;=$B498)*(B_Drainage!$B$5:$B$204&gt;$B498)*(B_Drainage!$J$5:$J$204&lt;&gt;"")),IF(UPPER(B_Drainage!$J$5:$J$204)="Y",1,"")),"")</f>
        <v/>
      </c>
      <c r="AB498" s="182" t="str">
        <f>IFERROR(LOOKUP(2,1/((B_Drainage!$A$5:$A$204&lt;&gt;"")*(B_Drainage!$A$5:$A$204&lt;=$B498)*(B_Drainage!$B$5:$B$204&gt;$B498)*(B_Drainage!$K$5:$K$204&lt;&gt;"")),IF(B_Drainage!$K$5:$K$204="-","",B_Drainage!$K$5:$K$204)),"")</f>
        <v/>
      </c>
      <c r="AC498" s="182" t="str">
        <f>IFERROR(LOOKUP(2,1/((B_Drainage!$A$5:$A$204&lt;&gt;"")*(B_Drainage!$A$5:$A$204&lt;=$B498)*(B_Drainage!$B$5:$B$204&gt;$B498)*(B_Drainage!$L$5:$L$204&lt;&gt;"")),IF(B_Drainage!$L$5:$L$204="-","",B_Drainage!$L$5:$L$204)),"")</f>
        <v/>
      </c>
      <c r="AD498" s="182" t="str">
        <f>IFERROR(LOOKUP(2,1/((D_Points!$A$5:$A$204&lt;&gt;"")*(D_Points!$A$5:$A$204&gt;=$B498)*(D_Points!$A$5:$A$204&lt;$B498+P_Interval)*(UPPER(TRIM(D_Points!$B$5:$B$204))="TURNOUT_L")*(D_Points!$H$5:$H$204&lt;&gt;"")),D_Points!$H$5:$H$204),"")</f>
        <v/>
      </c>
      <c r="AE498" s="182" t="str">
        <f>IFERROR(LOOKUP(2,1/((D_Points!$A$5:$A$204&lt;&gt;"")*(D_Points!$A$5:$A$204&gt;=$B498)*(D_Points!$A$5:$A$204&lt;$B498+P_Interval)*(UPPER(TRIM(D_Points!$B$5:$B$204))="TURNOUT_R")*(D_Points!$H$5:$H$204&lt;&gt;"")),D_Points!$H$5:$H$204),"")</f>
        <v/>
      </c>
      <c r="AF498" s="181" t="str">
        <f>IFERROR(LOOKUP(2,1/((B_Drainage!$A$5:$A$204&lt;&gt;"")*(B_Drainage!$A$5:$A$204&lt;=$B498)*(B_Drainage!$B$5:$B$204&gt;$B498)*(B_Drainage!$M$5:$M$204&lt;&gt;"")),IF(UPPER(B_Drainage!$M$5:$M$204)="Y",1,"")),"")</f>
        <v/>
      </c>
      <c r="AG498" s="181" t="str">
        <f>IFERROR(LOOKUP(2,1/((B_Drainage!$A$5:$A$204&lt;&gt;"")*(B_Drainage!$A$5:$A$204&lt;=$B498)*(B_Drainage!$B$5:$B$204&gt;$B498)*(B_Drainage!$N$5:$N$204&lt;&gt;"")),IF(UPPER(B_Drainage!$N$5:$N$204)="Y",1,"")),"")</f>
        <v/>
      </c>
      <c r="AH498" s="181" t="str">
        <f t="shared" si="56"/>
        <v/>
      </c>
      <c r="AI498" s="181" t="str">
        <f t="shared" si="57"/>
        <v/>
      </c>
      <c r="AJ498" s="181" t="str">
        <f t="shared" si="58"/>
        <v/>
      </c>
      <c r="AK498" s="181" t="str">
        <f t="shared" si="59"/>
        <v/>
      </c>
      <c r="AL498" s="181" t="str">
        <f t="shared" si="60"/>
        <v/>
      </c>
      <c r="AM498" s="181" t="str">
        <f t="shared" si="61"/>
        <v/>
      </c>
      <c r="AN498" s="181" t="str">
        <f t="shared" si="62"/>
        <v/>
      </c>
      <c r="AO498" s="192" t="str">
        <f t="shared" si="63"/>
        <v/>
      </c>
      <c r="AQ498" t="str">
        <f>IFERROR(LOOKUP(2,1/((C_Pavement!$A$5:$A$204&lt;&gt;"")*(C_Pavement!$A$5:$A$204&lt;=$B498)*(C_Pavement!$B$5:$B$204&gt;$B498)*(C_Pavement!$C$5:$C$204&lt;&gt;"")),ROW(C_Pavement!$C$5:$C$204)-4),"")</f>
        <v/>
      </c>
      <c r="AR498" t="str">
        <f>IF($AQ498="","",UPPER(TRIM(INDEX(C_Pavement!$C$5:$C$204,$AQ498))))</f>
        <v/>
      </c>
      <c r="AS498" t="str">
        <f>IF($AR498="","",IFERROR(MATCH($AR498,E_Rules!$A$5:$A$9,0),""))</f>
        <v/>
      </c>
      <c r="AT498" t="str">
        <f>IF($AQ498="","",IF(INDEX(C_Pavement!$D$5:$D$204,$AQ498)&lt;&gt;"",UPPER(TRIM(INDEX(C_Pavement!$D$5:$D$204,$AQ498))),IF($AS498="","",INDEX(E_Rules!$C$5:$C$9,$AS498))))</f>
        <v/>
      </c>
      <c r="AU498" t="str">
        <f>IF($AQ498="","",IF(INDEX(C_Pavement!$E$5:$E$204,$AQ498)&lt;&gt;"",IF(INDEX(C_Pavement!$E$5:$E$204,$AQ498)="-","",INDEX(C_Pavement!$E$5:$E$204,$AQ498)),IF($AS498="","",INDEX(E_Rules!$D$5:$D$9,$AS498))))</f>
        <v/>
      </c>
      <c r="AV498" t="str">
        <f>IF($AQ498="","",IF(INDEX(C_Pavement!$F$5:$F$204,$AQ498)&lt;&gt;"",IF(INDEX(C_Pavement!$F$5:$F$204,$AQ498)="-","",INDEX(C_Pavement!$F$5:$F$204,$AQ498)),IF($AS498="","",INDEX(E_Rules!$E$5:$E$9,$AS498))))</f>
        <v/>
      </c>
      <c r="AW498" t="str">
        <f>IF($AQ498="","",IF(INDEX(C_Pavement!$G$5:$G$204,$AQ498)&lt;&gt;"",IF(INDEX(C_Pavement!$G$5:$G$204,$AQ498)="-","",INDEX(C_Pavement!$G$5:$G$204,$AQ498)),IF($AS498="","",INDEX(E_Rules!$F$5:$F$9,$AS498))))</f>
        <v/>
      </c>
      <c r="AX498" t="str">
        <f>IF($AQ498="","",IF(INDEX(C_Pavement!$H$5:$H$204,$AQ498)&lt;&gt;"",IF(INDEX(C_Pavement!$H$5:$H$204,$AQ498)="-","",INDEX(C_Pavement!$H$5:$H$204,$AQ498)),IF($AS498="","",INDEX(E_Rules!$G$5:$G$9,$AS498))))</f>
        <v/>
      </c>
      <c r="AY498" t="str">
        <f>IF($AQ498="","",IF(INDEX(C_Pavement!$I$5:$I$204,$AQ498)&lt;&gt;"",IF(INDEX(C_Pavement!$I$5:$I$204,$AQ498)="-","",INDEX(C_Pavement!$I$5:$I$204,$AQ498)),IF($AS498="","",INDEX(E_Rules!$H$5:$H$9,$AS498))))</f>
        <v/>
      </c>
    </row>
    <row r="499" spans="1:51" ht="15.75" customHeight="1" x14ac:dyDescent="0.3">
      <c r="A499" s="189">
        <v>494</v>
      </c>
      <c r="B499" s="180">
        <v>24650</v>
      </c>
      <c r="C499" s="180" t="s">
        <v>805</v>
      </c>
      <c r="D499" s="181" t="str">
        <f>IFERROR(LOOKUP(2,1/((A_Corridor!$A$5:$A$204&lt;&gt;"")*(A_Corridor!$A$5:$A$204&lt;=$B499)*(A_Corridor!$B$5:$B$204&gt;$B499)*(A_Corridor!$C$5:$C$204&lt;&gt;"")),IF(UPPER(A_Corridor!$C$5:$C$204)="Y",1,"")),"")</f>
        <v/>
      </c>
      <c r="E499" s="181" t="str">
        <f>IFERROR(LOOKUP(2,1/((A_Corridor!$A$5:$A$204&lt;&gt;"")*(A_Corridor!$A$5:$A$204&lt;=$B499)*(A_Corridor!$B$5:$B$204&gt;$B499)*(A_Corridor!$D$5:$D$204&lt;&gt;"")),IF(A_Corridor!$D$5:$D$204="-","",UPPER(A_Corridor!$D$5:$D$204))),"")</f>
        <v/>
      </c>
      <c r="F499" s="181" t="str">
        <f>IFERROR(LOOKUP(2,1/((A_Corridor!$A$5:$A$204&lt;&gt;"")*(A_Corridor!$A$5:$A$204&lt;=$B499)*(A_Corridor!$B$5:$B$204&gt;$B499)*(A_Corridor!$E$5:$E$204&lt;&gt;"")),IF(A_Corridor!$E$5:$E$204="-","",1)),"")</f>
        <v/>
      </c>
      <c r="G499" s="182" t="str">
        <f>IFERROR(LOOKUP(2,1/((A_Corridor!$A$5:$A$204&lt;&gt;"")*(A_Corridor!$A$5:$A$204&lt;=$B499)*(A_Corridor!$B$5:$B$204&gt;$B499)*(A_Corridor!$E$5:$E$204&lt;&gt;"")),IF(A_Corridor!$E$5:$E$204="-","",A_Corridor!$E$5:$E$204)),"")</f>
        <v/>
      </c>
      <c r="H499" s="182" t="str">
        <f>IFERROR(LOOKUP(2,1/((D_Points!$A$5:$A$204&lt;&gt;"")*(D_Points!$A$5:$A$204&gt;=$B499)*(D_Points!$A$5:$A$204&lt;$B499+P_Interval)*(UPPER(TRIM(D_Points!$B$5:$B$204))="GULLY")*(D_Points!$H$5:$H$204&lt;&gt;"")),D_Points!$H$5:$H$204),"")</f>
        <v/>
      </c>
      <c r="I499" s="181" t="str">
        <f>IFERROR(LOOKUP(2,1/((A_Corridor!$A$5:$A$204&lt;&gt;"")*(A_Corridor!$A$5:$A$204&lt;=$B499)*(A_Corridor!$B$5:$B$204&gt;$B499)*(A_Corridor!$F$5:$F$204&lt;&gt;"")),IF(A_Corridor!$F$5:$F$204="-","",1)),"")</f>
        <v/>
      </c>
      <c r="J499" s="182" t="str">
        <f>IFERROR(LOOKUP(2,1/((A_Corridor!$A$5:$A$204&lt;&gt;"")*(A_Corridor!$A$5:$A$204&lt;=$B499)*(A_Corridor!$B$5:$B$204&gt;$B499)*(A_Corridor!$F$5:$F$204&lt;&gt;"")),IF(A_Corridor!$F$5:$F$204="-","",A_Corridor!$F$5:$F$204)),"")</f>
        <v/>
      </c>
      <c r="K499" s="182" t="str">
        <f>IFERROR(LOOKUP(2,1/((A_Corridor!$A$5:$A$204&lt;&gt;"")*(A_Corridor!$A$5:$A$204&lt;=$B499)*(A_Corridor!$B$5:$B$204&gt;$B499)*(A_Corridor!$G$5:$G$204&lt;&gt;"")),IF(A_Corridor!$G$5:$G$204="-","",A_Corridor!$G$5:$G$204)),"")</f>
        <v/>
      </c>
      <c r="L499" s="181" t="str">
        <f>IFERROR(LOOKUP(2,1/((A_Corridor!$A$5:$A$204&lt;&gt;"")*(A_Corridor!$A$5:$A$204&lt;=$B499)*(A_Corridor!$B$5:$B$204&gt;$B499)*(A_Corridor!$H$5:$H$204&lt;&gt;"")),IF(A_Corridor!$H$5:$H$204="-","",1)),"")</f>
        <v/>
      </c>
      <c r="M499" s="182" t="str">
        <f>IFERROR(LOOKUP(2,1/((A_Corridor!$A$5:$A$204&lt;&gt;"")*(A_Corridor!$A$5:$A$204&lt;=$B499)*(A_Corridor!$B$5:$B$204&gt;$B499)*(A_Corridor!$H$5:$H$204&lt;&gt;"")),IF(A_Corridor!$H$5:$H$204="-","",A_Corridor!$H$5:$H$204)),"")</f>
        <v/>
      </c>
      <c r="N499" s="182" t="str">
        <f>IFERROR(LOOKUP(2,1/((A_Corridor!$A$5:$A$204&lt;&gt;"")*(A_Corridor!$A$5:$A$204&lt;=$B499)*(A_Corridor!$B$5:$B$204&gt;$B499)*(A_Corridor!$I$5:$I$204&lt;&gt;"")),IF(A_Corridor!$I$5:$I$204="-","",A_Corridor!$I$5:$I$204)),"")</f>
        <v/>
      </c>
      <c r="O499" s="182" t="str">
        <f>IFERROR(LOOKUP(2,1/((D_Points!$A$5:$A$204&lt;&gt;"")*(D_Points!$A$5:$A$204&gt;=$B499)*(D_Points!$A$5:$A$204&lt;$B499+P_Interval)*(UPPER(TRIM(D_Points!$B$5:$B$204))="PITCHING")*(D_Points!$H$5:$H$204&lt;&gt;"")),D_Points!$H$5:$H$204),"")</f>
        <v/>
      </c>
      <c r="P499" s="181" t="str">
        <f>IFERROR(LOOKUP(2,1/((B_Drainage!$A$5:$A$204&lt;&gt;"")*(B_Drainage!$A$5:$A$204&lt;=$B499)*(B_Drainage!$B$5:$B$204&gt;$B499)*(B_Drainage!$C$5:$C$204&lt;&gt;"")),IF(B_Drainage!$C$5:$C$204="-","",UPPER(B_Drainage!$C$5:$C$204))),"")</f>
        <v/>
      </c>
      <c r="Q499" s="181" t="str">
        <f>IFERROR(LOOKUP(2,1/((B_Drainage!$A$5:$A$204&lt;&gt;"")*(B_Drainage!$A$5:$A$204&lt;=$B499)*(B_Drainage!$B$5:$B$204&gt;$B499)*(B_Drainage!$D$5:$D$204&lt;&gt;"")),IF(B_Drainage!$D$5:$D$204="-","",UPPER(B_Drainage!$D$5:$D$204))),"")</f>
        <v/>
      </c>
      <c r="R499" s="182" t="str">
        <f>IFERROR(LOOKUP(2,1/((D_Points!$A$5:$A$204&lt;&gt;"")*(D_Points!$A$5:$A$204&gt;=$B499)*(D_Points!$A$5:$A$204&lt;$B499+P_Interval)*(RIGHT(UPPER(TRIM(D_Points!$B$5:$B$204)),8)="_CULVERT")),IF(LEFT(UPPER(TRIM(D_Points!$B$5:$B$204)),2)="EX",1,IF(LEFT(UPPER(TRIM(D_Points!$B$5:$B$204)),2)="PR",2,3))),"")</f>
        <v/>
      </c>
      <c r="S499" s="182" t="str">
        <f>IFERROR(LOOKUP(2,1/((D_Points!$A$5:$A$204&lt;&gt;"")*(D_Points!$A$5:$A$204&gt;=$B499)*(D_Points!$A$5:$A$204&lt;$B499+P_Interval)*(RIGHT(UPPER(TRIM(D_Points!$B$5:$B$204)),7)="_BRIDGE")),IF(LEFT(UPPER(TRIM(D_Points!$B$5:$B$204)),2)="EX",1,IF(LEFT(UPPER(TRIM(D_Points!$B$5:$B$204)),2)="PR",2,2))),"")</f>
        <v/>
      </c>
      <c r="T499" s="181" t="str">
        <f>IFERROR(LOOKUP(2,1/((B_Drainage!$A$5:$A$204&lt;&gt;"")*(B_Drainage!$A$5:$A$204&lt;=$B499)*(B_Drainage!$B$5:$B$204&gt;$B499)*(B_Drainage!$E$5:$E$204&lt;&gt;"")),IF(B_Drainage!$E$5:$E$204="-","",1)),"")</f>
        <v/>
      </c>
      <c r="U499" s="181" t="str">
        <f>IFERROR(LOOKUP(2,1/((B_Drainage!$A$5:$A$204&lt;&gt;"")*(B_Drainage!$A$5:$A$204&lt;=$B499)*(B_Drainage!$B$5:$B$204&gt;$B499)*(B_Drainage!$E$5:$E$204&lt;&gt;"")),IF(B_Drainage!$E$5:$E$204="-","",B_Drainage!$E$5:$E$204)),"")</f>
        <v/>
      </c>
      <c r="V499" s="181" t="str">
        <f>IFERROR(LOOKUP(2,1/((B_Drainage!$A$5:$A$204&lt;&gt;"")*(B_Drainage!$A$5:$A$204&lt;=$B499)*(B_Drainage!$B$5:$B$204&gt;$B499)*(B_Drainage!$F$5:$F$204&lt;&gt;"")),IF(B_Drainage!$F$5:$F$204="-","",1)),"")</f>
        <v/>
      </c>
      <c r="W499" s="181" t="str">
        <f>IFERROR(LOOKUP(2,1/((B_Drainage!$A$5:$A$204&lt;&gt;"")*(B_Drainage!$A$5:$A$204&lt;=$B499)*(B_Drainage!$B$5:$B$204&gt;$B499)*(B_Drainage!$F$5:$F$204&lt;&gt;"")),IF(B_Drainage!$F$5:$F$204="-","",B_Drainage!$F$5:$F$204)),"")</f>
        <v/>
      </c>
      <c r="X499" s="181" t="str">
        <f>IFERROR(LOOKUP(2,1/((B_Drainage!$A$5:$A$204&lt;&gt;"")*(B_Drainage!$A$5:$A$204&lt;=$B499)*(B_Drainage!$B$5:$B$204&gt;$B499)*(B_Drainage!$G$5:$G$204&lt;&gt;"")),IF(UPPER(B_Drainage!$G$5:$G$204)="Y",1,"")),"")</f>
        <v/>
      </c>
      <c r="Y499" s="181" t="str">
        <f>IFERROR(LOOKUP(2,1/((B_Drainage!$A$5:$A$204&lt;&gt;"")*(B_Drainage!$A$5:$A$204&lt;=$B499)*(B_Drainage!$B$5:$B$204&gt;$B499)*(B_Drainage!$H$5:$H$204&lt;&gt;"")),IF(UPPER(B_Drainage!$H$5:$H$204)="Y",1,"")),"")</f>
        <v/>
      </c>
      <c r="Z499" s="181" t="str">
        <f>IFERROR(LOOKUP(2,1/((B_Drainage!$A$5:$A$204&lt;&gt;"")*(B_Drainage!$A$5:$A$204&lt;=$B499)*(B_Drainage!$B$5:$B$204&gt;$B499)*(B_Drainage!$I$5:$I$204&lt;&gt;"")),IF(UPPER(B_Drainage!$I$5:$I$204)="Y",1,"")),"")</f>
        <v/>
      </c>
      <c r="AA499" s="181" t="str">
        <f>IFERROR(LOOKUP(2,1/((B_Drainage!$A$5:$A$204&lt;&gt;"")*(B_Drainage!$A$5:$A$204&lt;=$B499)*(B_Drainage!$B$5:$B$204&gt;$B499)*(B_Drainage!$J$5:$J$204&lt;&gt;"")),IF(UPPER(B_Drainage!$J$5:$J$204)="Y",1,"")),"")</f>
        <v/>
      </c>
      <c r="AB499" s="182" t="str">
        <f>IFERROR(LOOKUP(2,1/((B_Drainage!$A$5:$A$204&lt;&gt;"")*(B_Drainage!$A$5:$A$204&lt;=$B499)*(B_Drainage!$B$5:$B$204&gt;$B499)*(B_Drainage!$K$5:$K$204&lt;&gt;"")),IF(B_Drainage!$K$5:$K$204="-","",B_Drainage!$K$5:$K$204)),"")</f>
        <v/>
      </c>
      <c r="AC499" s="182" t="str">
        <f>IFERROR(LOOKUP(2,1/((B_Drainage!$A$5:$A$204&lt;&gt;"")*(B_Drainage!$A$5:$A$204&lt;=$B499)*(B_Drainage!$B$5:$B$204&gt;$B499)*(B_Drainage!$L$5:$L$204&lt;&gt;"")),IF(B_Drainage!$L$5:$L$204="-","",B_Drainage!$L$5:$L$204)),"")</f>
        <v/>
      </c>
      <c r="AD499" s="182" t="str">
        <f>IFERROR(LOOKUP(2,1/((D_Points!$A$5:$A$204&lt;&gt;"")*(D_Points!$A$5:$A$204&gt;=$B499)*(D_Points!$A$5:$A$204&lt;$B499+P_Interval)*(UPPER(TRIM(D_Points!$B$5:$B$204))="TURNOUT_L")*(D_Points!$H$5:$H$204&lt;&gt;"")),D_Points!$H$5:$H$204),"")</f>
        <v/>
      </c>
      <c r="AE499" s="182" t="str">
        <f>IFERROR(LOOKUP(2,1/((D_Points!$A$5:$A$204&lt;&gt;"")*(D_Points!$A$5:$A$204&gt;=$B499)*(D_Points!$A$5:$A$204&lt;$B499+P_Interval)*(UPPER(TRIM(D_Points!$B$5:$B$204))="TURNOUT_R")*(D_Points!$H$5:$H$204&lt;&gt;"")),D_Points!$H$5:$H$204),"")</f>
        <v/>
      </c>
      <c r="AF499" s="181" t="str">
        <f>IFERROR(LOOKUP(2,1/((B_Drainage!$A$5:$A$204&lt;&gt;"")*(B_Drainage!$A$5:$A$204&lt;=$B499)*(B_Drainage!$B$5:$B$204&gt;$B499)*(B_Drainage!$M$5:$M$204&lt;&gt;"")),IF(UPPER(B_Drainage!$M$5:$M$204)="Y",1,"")),"")</f>
        <v/>
      </c>
      <c r="AG499" s="181" t="str">
        <f>IFERROR(LOOKUP(2,1/((B_Drainage!$A$5:$A$204&lt;&gt;"")*(B_Drainage!$A$5:$A$204&lt;=$B499)*(B_Drainage!$B$5:$B$204&gt;$B499)*(B_Drainage!$N$5:$N$204&lt;&gt;"")),IF(UPPER(B_Drainage!$N$5:$N$204)="Y",1,"")),"")</f>
        <v/>
      </c>
      <c r="AH499" s="181" t="str">
        <f t="shared" si="56"/>
        <v/>
      </c>
      <c r="AI499" s="181" t="str">
        <f t="shared" si="57"/>
        <v/>
      </c>
      <c r="AJ499" s="181" t="str">
        <f t="shared" si="58"/>
        <v/>
      </c>
      <c r="AK499" s="181" t="str">
        <f t="shared" si="59"/>
        <v/>
      </c>
      <c r="AL499" s="181" t="str">
        <f t="shared" si="60"/>
        <v/>
      </c>
      <c r="AM499" s="181" t="str">
        <f t="shared" si="61"/>
        <v/>
      </c>
      <c r="AN499" s="181" t="str">
        <f t="shared" si="62"/>
        <v/>
      </c>
      <c r="AO499" s="192" t="str">
        <f t="shared" si="63"/>
        <v/>
      </c>
      <c r="AQ499" t="str">
        <f>IFERROR(LOOKUP(2,1/((C_Pavement!$A$5:$A$204&lt;&gt;"")*(C_Pavement!$A$5:$A$204&lt;=$B499)*(C_Pavement!$B$5:$B$204&gt;$B499)*(C_Pavement!$C$5:$C$204&lt;&gt;"")),ROW(C_Pavement!$C$5:$C$204)-4),"")</f>
        <v/>
      </c>
      <c r="AR499" t="str">
        <f>IF($AQ499="","",UPPER(TRIM(INDEX(C_Pavement!$C$5:$C$204,$AQ499))))</f>
        <v/>
      </c>
      <c r="AS499" t="str">
        <f>IF($AR499="","",IFERROR(MATCH($AR499,E_Rules!$A$5:$A$9,0),""))</f>
        <v/>
      </c>
      <c r="AT499" t="str">
        <f>IF($AQ499="","",IF(INDEX(C_Pavement!$D$5:$D$204,$AQ499)&lt;&gt;"",UPPER(TRIM(INDEX(C_Pavement!$D$5:$D$204,$AQ499))),IF($AS499="","",INDEX(E_Rules!$C$5:$C$9,$AS499))))</f>
        <v/>
      </c>
      <c r="AU499" t="str">
        <f>IF($AQ499="","",IF(INDEX(C_Pavement!$E$5:$E$204,$AQ499)&lt;&gt;"",IF(INDEX(C_Pavement!$E$5:$E$204,$AQ499)="-","",INDEX(C_Pavement!$E$5:$E$204,$AQ499)),IF($AS499="","",INDEX(E_Rules!$D$5:$D$9,$AS499))))</f>
        <v/>
      </c>
      <c r="AV499" t="str">
        <f>IF($AQ499="","",IF(INDEX(C_Pavement!$F$5:$F$204,$AQ499)&lt;&gt;"",IF(INDEX(C_Pavement!$F$5:$F$204,$AQ499)="-","",INDEX(C_Pavement!$F$5:$F$204,$AQ499)),IF($AS499="","",INDEX(E_Rules!$E$5:$E$9,$AS499))))</f>
        <v/>
      </c>
      <c r="AW499" t="str">
        <f>IF($AQ499="","",IF(INDEX(C_Pavement!$G$5:$G$204,$AQ499)&lt;&gt;"",IF(INDEX(C_Pavement!$G$5:$G$204,$AQ499)="-","",INDEX(C_Pavement!$G$5:$G$204,$AQ499)),IF($AS499="","",INDEX(E_Rules!$F$5:$F$9,$AS499))))</f>
        <v/>
      </c>
      <c r="AX499" t="str">
        <f>IF($AQ499="","",IF(INDEX(C_Pavement!$H$5:$H$204,$AQ499)&lt;&gt;"",IF(INDEX(C_Pavement!$H$5:$H$204,$AQ499)="-","",INDEX(C_Pavement!$H$5:$H$204,$AQ499)),IF($AS499="","",INDEX(E_Rules!$G$5:$G$9,$AS499))))</f>
        <v/>
      </c>
      <c r="AY499" t="str">
        <f>IF($AQ499="","",IF(INDEX(C_Pavement!$I$5:$I$204,$AQ499)&lt;&gt;"",IF(INDEX(C_Pavement!$I$5:$I$204,$AQ499)="-","",INDEX(C_Pavement!$I$5:$I$204,$AQ499)),IF($AS499="","",INDEX(E_Rules!$H$5:$H$9,$AS499))))</f>
        <v/>
      </c>
    </row>
    <row r="500" spans="1:51" ht="15.75" customHeight="1" x14ac:dyDescent="0.3">
      <c r="A500" s="189">
        <v>495</v>
      </c>
      <c r="B500" s="180">
        <v>24700</v>
      </c>
      <c r="C500" s="180" t="s">
        <v>806</v>
      </c>
      <c r="D500" s="181" t="str">
        <f>IFERROR(LOOKUP(2,1/((A_Corridor!$A$5:$A$204&lt;&gt;"")*(A_Corridor!$A$5:$A$204&lt;=$B500)*(A_Corridor!$B$5:$B$204&gt;$B500)*(A_Corridor!$C$5:$C$204&lt;&gt;"")),IF(UPPER(A_Corridor!$C$5:$C$204)="Y",1,"")),"")</f>
        <v/>
      </c>
      <c r="E500" s="181" t="str">
        <f>IFERROR(LOOKUP(2,1/((A_Corridor!$A$5:$A$204&lt;&gt;"")*(A_Corridor!$A$5:$A$204&lt;=$B500)*(A_Corridor!$B$5:$B$204&gt;$B500)*(A_Corridor!$D$5:$D$204&lt;&gt;"")),IF(A_Corridor!$D$5:$D$204="-","",UPPER(A_Corridor!$D$5:$D$204))),"")</f>
        <v/>
      </c>
      <c r="F500" s="181" t="str">
        <f>IFERROR(LOOKUP(2,1/((A_Corridor!$A$5:$A$204&lt;&gt;"")*(A_Corridor!$A$5:$A$204&lt;=$B500)*(A_Corridor!$B$5:$B$204&gt;$B500)*(A_Corridor!$E$5:$E$204&lt;&gt;"")),IF(A_Corridor!$E$5:$E$204="-","",1)),"")</f>
        <v/>
      </c>
      <c r="G500" s="182" t="str">
        <f>IFERROR(LOOKUP(2,1/((A_Corridor!$A$5:$A$204&lt;&gt;"")*(A_Corridor!$A$5:$A$204&lt;=$B500)*(A_Corridor!$B$5:$B$204&gt;$B500)*(A_Corridor!$E$5:$E$204&lt;&gt;"")),IF(A_Corridor!$E$5:$E$204="-","",A_Corridor!$E$5:$E$204)),"")</f>
        <v/>
      </c>
      <c r="H500" s="182" t="str">
        <f>IFERROR(LOOKUP(2,1/((D_Points!$A$5:$A$204&lt;&gt;"")*(D_Points!$A$5:$A$204&gt;=$B500)*(D_Points!$A$5:$A$204&lt;$B500+P_Interval)*(UPPER(TRIM(D_Points!$B$5:$B$204))="GULLY")*(D_Points!$H$5:$H$204&lt;&gt;"")),D_Points!$H$5:$H$204),"")</f>
        <v/>
      </c>
      <c r="I500" s="181" t="str">
        <f>IFERROR(LOOKUP(2,1/((A_Corridor!$A$5:$A$204&lt;&gt;"")*(A_Corridor!$A$5:$A$204&lt;=$B500)*(A_Corridor!$B$5:$B$204&gt;$B500)*(A_Corridor!$F$5:$F$204&lt;&gt;"")),IF(A_Corridor!$F$5:$F$204="-","",1)),"")</f>
        <v/>
      </c>
      <c r="J500" s="182" t="str">
        <f>IFERROR(LOOKUP(2,1/((A_Corridor!$A$5:$A$204&lt;&gt;"")*(A_Corridor!$A$5:$A$204&lt;=$B500)*(A_Corridor!$B$5:$B$204&gt;$B500)*(A_Corridor!$F$5:$F$204&lt;&gt;"")),IF(A_Corridor!$F$5:$F$204="-","",A_Corridor!$F$5:$F$204)),"")</f>
        <v/>
      </c>
      <c r="K500" s="182" t="str">
        <f>IFERROR(LOOKUP(2,1/((A_Corridor!$A$5:$A$204&lt;&gt;"")*(A_Corridor!$A$5:$A$204&lt;=$B500)*(A_Corridor!$B$5:$B$204&gt;$B500)*(A_Corridor!$G$5:$G$204&lt;&gt;"")),IF(A_Corridor!$G$5:$G$204="-","",A_Corridor!$G$5:$G$204)),"")</f>
        <v/>
      </c>
      <c r="L500" s="181" t="str">
        <f>IFERROR(LOOKUP(2,1/((A_Corridor!$A$5:$A$204&lt;&gt;"")*(A_Corridor!$A$5:$A$204&lt;=$B500)*(A_Corridor!$B$5:$B$204&gt;$B500)*(A_Corridor!$H$5:$H$204&lt;&gt;"")),IF(A_Corridor!$H$5:$H$204="-","",1)),"")</f>
        <v/>
      </c>
      <c r="M500" s="182" t="str">
        <f>IFERROR(LOOKUP(2,1/((A_Corridor!$A$5:$A$204&lt;&gt;"")*(A_Corridor!$A$5:$A$204&lt;=$B500)*(A_Corridor!$B$5:$B$204&gt;$B500)*(A_Corridor!$H$5:$H$204&lt;&gt;"")),IF(A_Corridor!$H$5:$H$204="-","",A_Corridor!$H$5:$H$204)),"")</f>
        <v/>
      </c>
      <c r="N500" s="182" t="str">
        <f>IFERROR(LOOKUP(2,1/((A_Corridor!$A$5:$A$204&lt;&gt;"")*(A_Corridor!$A$5:$A$204&lt;=$B500)*(A_Corridor!$B$5:$B$204&gt;$B500)*(A_Corridor!$I$5:$I$204&lt;&gt;"")),IF(A_Corridor!$I$5:$I$204="-","",A_Corridor!$I$5:$I$204)),"")</f>
        <v/>
      </c>
      <c r="O500" s="182" t="str">
        <f>IFERROR(LOOKUP(2,1/((D_Points!$A$5:$A$204&lt;&gt;"")*(D_Points!$A$5:$A$204&gt;=$B500)*(D_Points!$A$5:$A$204&lt;$B500+P_Interval)*(UPPER(TRIM(D_Points!$B$5:$B$204))="PITCHING")*(D_Points!$H$5:$H$204&lt;&gt;"")),D_Points!$H$5:$H$204),"")</f>
        <v/>
      </c>
      <c r="P500" s="181" t="str">
        <f>IFERROR(LOOKUP(2,1/((B_Drainage!$A$5:$A$204&lt;&gt;"")*(B_Drainage!$A$5:$A$204&lt;=$B500)*(B_Drainage!$B$5:$B$204&gt;$B500)*(B_Drainage!$C$5:$C$204&lt;&gt;"")),IF(B_Drainage!$C$5:$C$204="-","",UPPER(B_Drainage!$C$5:$C$204))),"")</f>
        <v/>
      </c>
      <c r="Q500" s="181" t="str">
        <f>IFERROR(LOOKUP(2,1/((B_Drainage!$A$5:$A$204&lt;&gt;"")*(B_Drainage!$A$5:$A$204&lt;=$B500)*(B_Drainage!$B$5:$B$204&gt;$B500)*(B_Drainage!$D$5:$D$204&lt;&gt;"")),IF(B_Drainage!$D$5:$D$204="-","",UPPER(B_Drainage!$D$5:$D$204))),"")</f>
        <v/>
      </c>
      <c r="R500" s="182" t="str">
        <f>IFERROR(LOOKUP(2,1/((D_Points!$A$5:$A$204&lt;&gt;"")*(D_Points!$A$5:$A$204&gt;=$B500)*(D_Points!$A$5:$A$204&lt;$B500+P_Interval)*(RIGHT(UPPER(TRIM(D_Points!$B$5:$B$204)),8)="_CULVERT")),IF(LEFT(UPPER(TRIM(D_Points!$B$5:$B$204)),2)="EX",1,IF(LEFT(UPPER(TRIM(D_Points!$B$5:$B$204)),2)="PR",2,3))),"")</f>
        <v/>
      </c>
      <c r="S500" s="182" t="str">
        <f>IFERROR(LOOKUP(2,1/((D_Points!$A$5:$A$204&lt;&gt;"")*(D_Points!$A$5:$A$204&gt;=$B500)*(D_Points!$A$5:$A$204&lt;$B500+P_Interval)*(RIGHT(UPPER(TRIM(D_Points!$B$5:$B$204)),7)="_BRIDGE")),IF(LEFT(UPPER(TRIM(D_Points!$B$5:$B$204)),2)="EX",1,IF(LEFT(UPPER(TRIM(D_Points!$B$5:$B$204)),2)="PR",2,2))),"")</f>
        <v/>
      </c>
      <c r="T500" s="181" t="str">
        <f>IFERROR(LOOKUP(2,1/((B_Drainage!$A$5:$A$204&lt;&gt;"")*(B_Drainage!$A$5:$A$204&lt;=$B500)*(B_Drainage!$B$5:$B$204&gt;$B500)*(B_Drainage!$E$5:$E$204&lt;&gt;"")),IF(B_Drainage!$E$5:$E$204="-","",1)),"")</f>
        <v/>
      </c>
      <c r="U500" s="181" t="str">
        <f>IFERROR(LOOKUP(2,1/((B_Drainage!$A$5:$A$204&lt;&gt;"")*(B_Drainage!$A$5:$A$204&lt;=$B500)*(B_Drainage!$B$5:$B$204&gt;$B500)*(B_Drainage!$E$5:$E$204&lt;&gt;"")),IF(B_Drainage!$E$5:$E$204="-","",B_Drainage!$E$5:$E$204)),"")</f>
        <v/>
      </c>
      <c r="V500" s="181" t="str">
        <f>IFERROR(LOOKUP(2,1/((B_Drainage!$A$5:$A$204&lt;&gt;"")*(B_Drainage!$A$5:$A$204&lt;=$B500)*(B_Drainage!$B$5:$B$204&gt;$B500)*(B_Drainage!$F$5:$F$204&lt;&gt;"")),IF(B_Drainage!$F$5:$F$204="-","",1)),"")</f>
        <v/>
      </c>
      <c r="W500" s="181" t="str">
        <f>IFERROR(LOOKUP(2,1/((B_Drainage!$A$5:$A$204&lt;&gt;"")*(B_Drainage!$A$5:$A$204&lt;=$B500)*(B_Drainage!$B$5:$B$204&gt;$B500)*(B_Drainage!$F$5:$F$204&lt;&gt;"")),IF(B_Drainage!$F$5:$F$204="-","",B_Drainage!$F$5:$F$204)),"")</f>
        <v/>
      </c>
      <c r="X500" s="181" t="str">
        <f>IFERROR(LOOKUP(2,1/((B_Drainage!$A$5:$A$204&lt;&gt;"")*(B_Drainage!$A$5:$A$204&lt;=$B500)*(B_Drainage!$B$5:$B$204&gt;$B500)*(B_Drainage!$G$5:$G$204&lt;&gt;"")),IF(UPPER(B_Drainage!$G$5:$G$204)="Y",1,"")),"")</f>
        <v/>
      </c>
      <c r="Y500" s="181" t="str">
        <f>IFERROR(LOOKUP(2,1/((B_Drainage!$A$5:$A$204&lt;&gt;"")*(B_Drainage!$A$5:$A$204&lt;=$B500)*(B_Drainage!$B$5:$B$204&gt;$B500)*(B_Drainage!$H$5:$H$204&lt;&gt;"")),IF(UPPER(B_Drainage!$H$5:$H$204)="Y",1,"")),"")</f>
        <v/>
      </c>
      <c r="Z500" s="181" t="str">
        <f>IFERROR(LOOKUP(2,1/((B_Drainage!$A$5:$A$204&lt;&gt;"")*(B_Drainage!$A$5:$A$204&lt;=$B500)*(B_Drainage!$B$5:$B$204&gt;$B500)*(B_Drainage!$I$5:$I$204&lt;&gt;"")),IF(UPPER(B_Drainage!$I$5:$I$204)="Y",1,"")),"")</f>
        <v/>
      </c>
      <c r="AA500" s="181" t="str">
        <f>IFERROR(LOOKUP(2,1/((B_Drainage!$A$5:$A$204&lt;&gt;"")*(B_Drainage!$A$5:$A$204&lt;=$B500)*(B_Drainage!$B$5:$B$204&gt;$B500)*(B_Drainage!$J$5:$J$204&lt;&gt;"")),IF(UPPER(B_Drainage!$J$5:$J$204)="Y",1,"")),"")</f>
        <v/>
      </c>
      <c r="AB500" s="182" t="str">
        <f>IFERROR(LOOKUP(2,1/((B_Drainage!$A$5:$A$204&lt;&gt;"")*(B_Drainage!$A$5:$A$204&lt;=$B500)*(B_Drainage!$B$5:$B$204&gt;$B500)*(B_Drainage!$K$5:$K$204&lt;&gt;"")),IF(B_Drainage!$K$5:$K$204="-","",B_Drainage!$K$5:$K$204)),"")</f>
        <v/>
      </c>
      <c r="AC500" s="182" t="str">
        <f>IFERROR(LOOKUP(2,1/((B_Drainage!$A$5:$A$204&lt;&gt;"")*(B_Drainage!$A$5:$A$204&lt;=$B500)*(B_Drainage!$B$5:$B$204&gt;$B500)*(B_Drainage!$L$5:$L$204&lt;&gt;"")),IF(B_Drainage!$L$5:$L$204="-","",B_Drainage!$L$5:$L$204)),"")</f>
        <v/>
      </c>
      <c r="AD500" s="182" t="str">
        <f>IFERROR(LOOKUP(2,1/((D_Points!$A$5:$A$204&lt;&gt;"")*(D_Points!$A$5:$A$204&gt;=$B500)*(D_Points!$A$5:$A$204&lt;$B500+P_Interval)*(UPPER(TRIM(D_Points!$B$5:$B$204))="TURNOUT_L")*(D_Points!$H$5:$H$204&lt;&gt;"")),D_Points!$H$5:$H$204),"")</f>
        <v/>
      </c>
      <c r="AE500" s="182" t="str">
        <f>IFERROR(LOOKUP(2,1/((D_Points!$A$5:$A$204&lt;&gt;"")*(D_Points!$A$5:$A$204&gt;=$B500)*(D_Points!$A$5:$A$204&lt;$B500+P_Interval)*(UPPER(TRIM(D_Points!$B$5:$B$204))="TURNOUT_R")*(D_Points!$H$5:$H$204&lt;&gt;"")),D_Points!$H$5:$H$204),"")</f>
        <v/>
      </c>
      <c r="AF500" s="181" t="str">
        <f>IFERROR(LOOKUP(2,1/((B_Drainage!$A$5:$A$204&lt;&gt;"")*(B_Drainage!$A$5:$A$204&lt;=$B500)*(B_Drainage!$B$5:$B$204&gt;$B500)*(B_Drainage!$M$5:$M$204&lt;&gt;"")),IF(UPPER(B_Drainage!$M$5:$M$204)="Y",1,"")),"")</f>
        <v/>
      </c>
      <c r="AG500" s="181" t="str">
        <f>IFERROR(LOOKUP(2,1/((B_Drainage!$A$5:$A$204&lt;&gt;"")*(B_Drainage!$A$5:$A$204&lt;=$B500)*(B_Drainage!$B$5:$B$204&gt;$B500)*(B_Drainage!$N$5:$N$204&lt;&gt;"")),IF(UPPER(B_Drainage!$N$5:$N$204)="Y",1,"")),"")</f>
        <v/>
      </c>
      <c r="AH500" s="181" t="str">
        <f t="shared" si="56"/>
        <v/>
      </c>
      <c r="AI500" s="181" t="str">
        <f t="shared" si="57"/>
        <v/>
      </c>
      <c r="AJ500" s="181" t="str">
        <f t="shared" si="58"/>
        <v/>
      </c>
      <c r="AK500" s="181" t="str">
        <f t="shared" si="59"/>
        <v/>
      </c>
      <c r="AL500" s="181" t="str">
        <f t="shared" si="60"/>
        <v/>
      </c>
      <c r="AM500" s="181" t="str">
        <f t="shared" si="61"/>
        <v/>
      </c>
      <c r="AN500" s="181" t="str">
        <f t="shared" si="62"/>
        <v/>
      </c>
      <c r="AO500" s="192" t="str">
        <f t="shared" si="63"/>
        <v/>
      </c>
      <c r="AQ500" t="str">
        <f>IFERROR(LOOKUP(2,1/((C_Pavement!$A$5:$A$204&lt;&gt;"")*(C_Pavement!$A$5:$A$204&lt;=$B500)*(C_Pavement!$B$5:$B$204&gt;$B500)*(C_Pavement!$C$5:$C$204&lt;&gt;"")),ROW(C_Pavement!$C$5:$C$204)-4),"")</f>
        <v/>
      </c>
      <c r="AR500" t="str">
        <f>IF($AQ500="","",UPPER(TRIM(INDEX(C_Pavement!$C$5:$C$204,$AQ500))))</f>
        <v/>
      </c>
      <c r="AS500" t="str">
        <f>IF($AR500="","",IFERROR(MATCH($AR500,E_Rules!$A$5:$A$9,0),""))</f>
        <v/>
      </c>
      <c r="AT500" t="str">
        <f>IF($AQ500="","",IF(INDEX(C_Pavement!$D$5:$D$204,$AQ500)&lt;&gt;"",UPPER(TRIM(INDEX(C_Pavement!$D$5:$D$204,$AQ500))),IF($AS500="","",INDEX(E_Rules!$C$5:$C$9,$AS500))))</f>
        <v/>
      </c>
      <c r="AU500" t="str">
        <f>IF($AQ500="","",IF(INDEX(C_Pavement!$E$5:$E$204,$AQ500)&lt;&gt;"",IF(INDEX(C_Pavement!$E$5:$E$204,$AQ500)="-","",INDEX(C_Pavement!$E$5:$E$204,$AQ500)),IF($AS500="","",INDEX(E_Rules!$D$5:$D$9,$AS500))))</f>
        <v/>
      </c>
      <c r="AV500" t="str">
        <f>IF($AQ500="","",IF(INDEX(C_Pavement!$F$5:$F$204,$AQ500)&lt;&gt;"",IF(INDEX(C_Pavement!$F$5:$F$204,$AQ500)="-","",INDEX(C_Pavement!$F$5:$F$204,$AQ500)),IF($AS500="","",INDEX(E_Rules!$E$5:$E$9,$AS500))))</f>
        <v/>
      </c>
      <c r="AW500" t="str">
        <f>IF($AQ500="","",IF(INDEX(C_Pavement!$G$5:$G$204,$AQ500)&lt;&gt;"",IF(INDEX(C_Pavement!$G$5:$G$204,$AQ500)="-","",INDEX(C_Pavement!$G$5:$G$204,$AQ500)),IF($AS500="","",INDEX(E_Rules!$F$5:$F$9,$AS500))))</f>
        <v/>
      </c>
      <c r="AX500" t="str">
        <f>IF($AQ500="","",IF(INDEX(C_Pavement!$H$5:$H$204,$AQ500)&lt;&gt;"",IF(INDEX(C_Pavement!$H$5:$H$204,$AQ500)="-","",INDEX(C_Pavement!$H$5:$H$204,$AQ500)),IF($AS500="","",INDEX(E_Rules!$G$5:$G$9,$AS500))))</f>
        <v/>
      </c>
      <c r="AY500" t="str">
        <f>IF($AQ500="","",IF(INDEX(C_Pavement!$I$5:$I$204,$AQ500)&lt;&gt;"",IF(INDEX(C_Pavement!$I$5:$I$204,$AQ500)="-","",INDEX(C_Pavement!$I$5:$I$204,$AQ500)),IF($AS500="","",INDEX(E_Rules!$H$5:$H$9,$AS500))))</f>
        <v/>
      </c>
    </row>
    <row r="501" spans="1:51" ht="15.75" customHeight="1" x14ac:dyDescent="0.3">
      <c r="A501" s="189">
        <v>496</v>
      </c>
      <c r="B501" s="180">
        <v>24750</v>
      </c>
      <c r="C501" s="180" t="s">
        <v>807</v>
      </c>
      <c r="D501" s="181" t="str">
        <f>IFERROR(LOOKUP(2,1/((A_Corridor!$A$5:$A$204&lt;&gt;"")*(A_Corridor!$A$5:$A$204&lt;=$B501)*(A_Corridor!$B$5:$B$204&gt;$B501)*(A_Corridor!$C$5:$C$204&lt;&gt;"")),IF(UPPER(A_Corridor!$C$5:$C$204)="Y",1,"")),"")</f>
        <v/>
      </c>
      <c r="E501" s="181" t="str">
        <f>IFERROR(LOOKUP(2,1/((A_Corridor!$A$5:$A$204&lt;&gt;"")*(A_Corridor!$A$5:$A$204&lt;=$B501)*(A_Corridor!$B$5:$B$204&gt;$B501)*(A_Corridor!$D$5:$D$204&lt;&gt;"")),IF(A_Corridor!$D$5:$D$204="-","",UPPER(A_Corridor!$D$5:$D$204))),"")</f>
        <v/>
      </c>
      <c r="F501" s="181" t="str">
        <f>IFERROR(LOOKUP(2,1/((A_Corridor!$A$5:$A$204&lt;&gt;"")*(A_Corridor!$A$5:$A$204&lt;=$B501)*(A_Corridor!$B$5:$B$204&gt;$B501)*(A_Corridor!$E$5:$E$204&lt;&gt;"")),IF(A_Corridor!$E$5:$E$204="-","",1)),"")</f>
        <v/>
      </c>
      <c r="G501" s="182" t="str">
        <f>IFERROR(LOOKUP(2,1/((A_Corridor!$A$5:$A$204&lt;&gt;"")*(A_Corridor!$A$5:$A$204&lt;=$B501)*(A_Corridor!$B$5:$B$204&gt;$B501)*(A_Corridor!$E$5:$E$204&lt;&gt;"")),IF(A_Corridor!$E$5:$E$204="-","",A_Corridor!$E$5:$E$204)),"")</f>
        <v/>
      </c>
      <c r="H501" s="182" t="str">
        <f>IFERROR(LOOKUP(2,1/((D_Points!$A$5:$A$204&lt;&gt;"")*(D_Points!$A$5:$A$204&gt;=$B501)*(D_Points!$A$5:$A$204&lt;$B501+P_Interval)*(UPPER(TRIM(D_Points!$B$5:$B$204))="GULLY")*(D_Points!$H$5:$H$204&lt;&gt;"")),D_Points!$H$5:$H$204),"")</f>
        <v/>
      </c>
      <c r="I501" s="181" t="str">
        <f>IFERROR(LOOKUP(2,1/((A_Corridor!$A$5:$A$204&lt;&gt;"")*(A_Corridor!$A$5:$A$204&lt;=$B501)*(A_Corridor!$B$5:$B$204&gt;$B501)*(A_Corridor!$F$5:$F$204&lt;&gt;"")),IF(A_Corridor!$F$5:$F$204="-","",1)),"")</f>
        <v/>
      </c>
      <c r="J501" s="182" t="str">
        <f>IFERROR(LOOKUP(2,1/((A_Corridor!$A$5:$A$204&lt;&gt;"")*(A_Corridor!$A$5:$A$204&lt;=$B501)*(A_Corridor!$B$5:$B$204&gt;$B501)*(A_Corridor!$F$5:$F$204&lt;&gt;"")),IF(A_Corridor!$F$5:$F$204="-","",A_Corridor!$F$5:$F$204)),"")</f>
        <v/>
      </c>
      <c r="K501" s="182" t="str">
        <f>IFERROR(LOOKUP(2,1/((A_Corridor!$A$5:$A$204&lt;&gt;"")*(A_Corridor!$A$5:$A$204&lt;=$B501)*(A_Corridor!$B$5:$B$204&gt;$B501)*(A_Corridor!$G$5:$G$204&lt;&gt;"")),IF(A_Corridor!$G$5:$G$204="-","",A_Corridor!$G$5:$G$204)),"")</f>
        <v/>
      </c>
      <c r="L501" s="181" t="str">
        <f>IFERROR(LOOKUP(2,1/((A_Corridor!$A$5:$A$204&lt;&gt;"")*(A_Corridor!$A$5:$A$204&lt;=$B501)*(A_Corridor!$B$5:$B$204&gt;$B501)*(A_Corridor!$H$5:$H$204&lt;&gt;"")),IF(A_Corridor!$H$5:$H$204="-","",1)),"")</f>
        <v/>
      </c>
      <c r="M501" s="182" t="str">
        <f>IFERROR(LOOKUP(2,1/((A_Corridor!$A$5:$A$204&lt;&gt;"")*(A_Corridor!$A$5:$A$204&lt;=$B501)*(A_Corridor!$B$5:$B$204&gt;$B501)*(A_Corridor!$H$5:$H$204&lt;&gt;"")),IF(A_Corridor!$H$5:$H$204="-","",A_Corridor!$H$5:$H$204)),"")</f>
        <v/>
      </c>
      <c r="N501" s="182" t="str">
        <f>IFERROR(LOOKUP(2,1/((A_Corridor!$A$5:$A$204&lt;&gt;"")*(A_Corridor!$A$5:$A$204&lt;=$B501)*(A_Corridor!$B$5:$B$204&gt;$B501)*(A_Corridor!$I$5:$I$204&lt;&gt;"")),IF(A_Corridor!$I$5:$I$204="-","",A_Corridor!$I$5:$I$204)),"")</f>
        <v/>
      </c>
      <c r="O501" s="182" t="str">
        <f>IFERROR(LOOKUP(2,1/((D_Points!$A$5:$A$204&lt;&gt;"")*(D_Points!$A$5:$A$204&gt;=$B501)*(D_Points!$A$5:$A$204&lt;$B501+P_Interval)*(UPPER(TRIM(D_Points!$B$5:$B$204))="PITCHING")*(D_Points!$H$5:$H$204&lt;&gt;"")),D_Points!$H$5:$H$204),"")</f>
        <v/>
      </c>
      <c r="P501" s="181" t="str">
        <f>IFERROR(LOOKUP(2,1/((B_Drainage!$A$5:$A$204&lt;&gt;"")*(B_Drainage!$A$5:$A$204&lt;=$B501)*(B_Drainage!$B$5:$B$204&gt;$B501)*(B_Drainage!$C$5:$C$204&lt;&gt;"")),IF(B_Drainage!$C$5:$C$204="-","",UPPER(B_Drainage!$C$5:$C$204))),"")</f>
        <v/>
      </c>
      <c r="Q501" s="181" t="str">
        <f>IFERROR(LOOKUP(2,1/((B_Drainage!$A$5:$A$204&lt;&gt;"")*(B_Drainage!$A$5:$A$204&lt;=$B501)*(B_Drainage!$B$5:$B$204&gt;$B501)*(B_Drainage!$D$5:$D$204&lt;&gt;"")),IF(B_Drainage!$D$5:$D$204="-","",UPPER(B_Drainage!$D$5:$D$204))),"")</f>
        <v/>
      </c>
      <c r="R501" s="182" t="str">
        <f>IFERROR(LOOKUP(2,1/((D_Points!$A$5:$A$204&lt;&gt;"")*(D_Points!$A$5:$A$204&gt;=$B501)*(D_Points!$A$5:$A$204&lt;$B501+P_Interval)*(RIGHT(UPPER(TRIM(D_Points!$B$5:$B$204)),8)="_CULVERT")),IF(LEFT(UPPER(TRIM(D_Points!$B$5:$B$204)),2)="EX",1,IF(LEFT(UPPER(TRIM(D_Points!$B$5:$B$204)),2)="PR",2,3))),"")</f>
        <v/>
      </c>
      <c r="S501" s="182" t="str">
        <f>IFERROR(LOOKUP(2,1/((D_Points!$A$5:$A$204&lt;&gt;"")*(D_Points!$A$5:$A$204&gt;=$B501)*(D_Points!$A$5:$A$204&lt;$B501+P_Interval)*(RIGHT(UPPER(TRIM(D_Points!$B$5:$B$204)),7)="_BRIDGE")),IF(LEFT(UPPER(TRIM(D_Points!$B$5:$B$204)),2)="EX",1,IF(LEFT(UPPER(TRIM(D_Points!$B$5:$B$204)),2)="PR",2,2))),"")</f>
        <v/>
      </c>
      <c r="T501" s="181" t="str">
        <f>IFERROR(LOOKUP(2,1/((B_Drainage!$A$5:$A$204&lt;&gt;"")*(B_Drainage!$A$5:$A$204&lt;=$B501)*(B_Drainage!$B$5:$B$204&gt;$B501)*(B_Drainage!$E$5:$E$204&lt;&gt;"")),IF(B_Drainage!$E$5:$E$204="-","",1)),"")</f>
        <v/>
      </c>
      <c r="U501" s="181" t="str">
        <f>IFERROR(LOOKUP(2,1/((B_Drainage!$A$5:$A$204&lt;&gt;"")*(B_Drainage!$A$5:$A$204&lt;=$B501)*(B_Drainage!$B$5:$B$204&gt;$B501)*(B_Drainage!$E$5:$E$204&lt;&gt;"")),IF(B_Drainage!$E$5:$E$204="-","",B_Drainage!$E$5:$E$204)),"")</f>
        <v/>
      </c>
      <c r="V501" s="181" t="str">
        <f>IFERROR(LOOKUP(2,1/((B_Drainage!$A$5:$A$204&lt;&gt;"")*(B_Drainage!$A$5:$A$204&lt;=$B501)*(B_Drainage!$B$5:$B$204&gt;$B501)*(B_Drainage!$F$5:$F$204&lt;&gt;"")),IF(B_Drainage!$F$5:$F$204="-","",1)),"")</f>
        <v/>
      </c>
      <c r="W501" s="181" t="str">
        <f>IFERROR(LOOKUP(2,1/((B_Drainage!$A$5:$A$204&lt;&gt;"")*(B_Drainage!$A$5:$A$204&lt;=$B501)*(B_Drainage!$B$5:$B$204&gt;$B501)*(B_Drainage!$F$5:$F$204&lt;&gt;"")),IF(B_Drainage!$F$5:$F$204="-","",B_Drainage!$F$5:$F$204)),"")</f>
        <v/>
      </c>
      <c r="X501" s="181" t="str">
        <f>IFERROR(LOOKUP(2,1/((B_Drainage!$A$5:$A$204&lt;&gt;"")*(B_Drainage!$A$5:$A$204&lt;=$B501)*(B_Drainage!$B$5:$B$204&gt;$B501)*(B_Drainage!$G$5:$G$204&lt;&gt;"")),IF(UPPER(B_Drainage!$G$5:$G$204)="Y",1,"")),"")</f>
        <v/>
      </c>
      <c r="Y501" s="181" t="str">
        <f>IFERROR(LOOKUP(2,1/((B_Drainage!$A$5:$A$204&lt;&gt;"")*(B_Drainage!$A$5:$A$204&lt;=$B501)*(B_Drainage!$B$5:$B$204&gt;$B501)*(B_Drainage!$H$5:$H$204&lt;&gt;"")),IF(UPPER(B_Drainage!$H$5:$H$204)="Y",1,"")),"")</f>
        <v/>
      </c>
      <c r="Z501" s="181" t="str">
        <f>IFERROR(LOOKUP(2,1/((B_Drainage!$A$5:$A$204&lt;&gt;"")*(B_Drainage!$A$5:$A$204&lt;=$B501)*(B_Drainage!$B$5:$B$204&gt;$B501)*(B_Drainage!$I$5:$I$204&lt;&gt;"")),IF(UPPER(B_Drainage!$I$5:$I$204)="Y",1,"")),"")</f>
        <v/>
      </c>
      <c r="AA501" s="181" t="str">
        <f>IFERROR(LOOKUP(2,1/((B_Drainage!$A$5:$A$204&lt;&gt;"")*(B_Drainage!$A$5:$A$204&lt;=$B501)*(B_Drainage!$B$5:$B$204&gt;$B501)*(B_Drainage!$J$5:$J$204&lt;&gt;"")),IF(UPPER(B_Drainage!$J$5:$J$204)="Y",1,"")),"")</f>
        <v/>
      </c>
      <c r="AB501" s="182" t="str">
        <f>IFERROR(LOOKUP(2,1/((B_Drainage!$A$5:$A$204&lt;&gt;"")*(B_Drainage!$A$5:$A$204&lt;=$B501)*(B_Drainage!$B$5:$B$204&gt;$B501)*(B_Drainage!$K$5:$K$204&lt;&gt;"")),IF(B_Drainage!$K$5:$K$204="-","",B_Drainage!$K$5:$K$204)),"")</f>
        <v/>
      </c>
      <c r="AC501" s="182" t="str">
        <f>IFERROR(LOOKUP(2,1/((B_Drainage!$A$5:$A$204&lt;&gt;"")*(B_Drainage!$A$5:$A$204&lt;=$B501)*(B_Drainage!$B$5:$B$204&gt;$B501)*(B_Drainage!$L$5:$L$204&lt;&gt;"")),IF(B_Drainage!$L$5:$L$204="-","",B_Drainage!$L$5:$L$204)),"")</f>
        <v/>
      </c>
      <c r="AD501" s="182" t="str">
        <f>IFERROR(LOOKUP(2,1/((D_Points!$A$5:$A$204&lt;&gt;"")*(D_Points!$A$5:$A$204&gt;=$B501)*(D_Points!$A$5:$A$204&lt;$B501+P_Interval)*(UPPER(TRIM(D_Points!$B$5:$B$204))="TURNOUT_L")*(D_Points!$H$5:$H$204&lt;&gt;"")),D_Points!$H$5:$H$204),"")</f>
        <v/>
      </c>
      <c r="AE501" s="182" t="str">
        <f>IFERROR(LOOKUP(2,1/((D_Points!$A$5:$A$204&lt;&gt;"")*(D_Points!$A$5:$A$204&gt;=$B501)*(D_Points!$A$5:$A$204&lt;$B501+P_Interval)*(UPPER(TRIM(D_Points!$B$5:$B$204))="TURNOUT_R")*(D_Points!$H$5:$H$204&lt;&gt;"")),D_Points!$H$5:$H$204),"")</f>
        <v/>
      </c>
      <c r="AF501" s="181" t="str">
        <f>IFERROR(LOOKUP(2,1/((B_Drainage!$A$5:$A$204&lt;&gt;"")*(B_Drainage!$A$5:$A$204&lt;=$B501)*(B_Drainage!$B$5:$B$204&gt;$B501)*(B_Drainage!$M$5:$M$204&lt;&gt;"")),IF(UPPER(B_Drainage!$M$5:$M$204)="Y",1,"")),"")</f>
        <v/>
      </c>
      <c r="AG501" s="181" t="str">
        <f>IFERROR(LOOKUP(2,1/((B_Drainage!$A$5:$A$204&lt;&gt;"")*(B_Drainage!$A$5:$A$204&lt;=$B501)*(B_Drainage!$B$5:$B$204&gt;$B501)*(B_Drainage!$N$5:$N$204&lt;&gt;"")),IF(UPPER(B_Drainage!$N$5:$N$204)="Y",1,"")),"")</f>
        <v/>
      </c>
      <c r="AH501" s="181" t="str">
        <f t="shared" si="56"/>
        <v/>
      </c>
      <c r="AI501" s="181" t="str">
        <f t="shared" si="57"/>
        <v/>
      </c>
      <c r="AJ501" s="181" t="str">
        <f t="shared" si="58"/>
        <v/>
      </c>
      <c r="AK501" s="181" t="str">
        <f t="shared" si="59"/>
        <v/>
      </c>
      <c r="AL501" s="181" t="str">
        <f t="shared" si="60"/>
        <v/>
      </c>
      <c r="AM501" s="181" t="str">
        <f t="shared" si="61"/>
        <v/>
      </c>
      <c r="AN501" s="181" t="str">
        <f t="shared" si="62"/>
        <v/>
      </c>
      <c r="AO501" s="192" t="str">
        <f t="shared" si="63"/>
        <v/>
      </c>
      <c r="AQ501" t="str">
        <f>IFERROR(LOOKUP(2,1/((C_Pavement!$A$5:$A$204&lt;&gt;"")*(C_Pavement!$A$5:$A$204&lt;=$B501)*(C_Pavement!$B$5:$B$204&gt;$B501)*(C_Pavement!$C$5:$C$204&lt;&gt;"")),ROW(C_Pavement!$C$5:$C$204)-4),"")</f>
        <v/>
      </c>
      <c r="AR501" t="str">
        <f>IF($AQ501="","",UPPER(TRIM(INDEX(C_Pavement!$C$5:$C$204,$AQ501))))</f>
        <v/>
      </c>
      <c r="AS501" t="str">
        <f>IF($AR501="","",IFERROR(MATCH($AR501,E_Rules!$A$5:$A$9,0),""))</f>
        <v/>
      </c>
      <c r="AT501" t="str">
        <f>IF($AQ501="","",IF(INDEX(C_Pavement!$D$5:$D$204,$AQ501)&lt;&gt;"",UPPER(TRIM(INDEX(C_Pavement!$D$5:$D$204,$AQ501))),IF($AS501="","",INDEX(E_Rules!$C$5:$C$9,$AS501))))</f>
        <v/>
      </c>
      <c r="AU501" t="str">
        <f>IF($AQ501="","",IF(INDEX(C_Pavement!$E$5:$E$204,$AQ501)&lt;&gt;"",IF(INDEX(C_Pavement!$E$5:$E$204,$AQ501)="-","",INDEX(C_Pavement!$E$5:$E$204,$AQ501)),IF($AS501="","",INDEX(E_Rules!$D$5:$D$9,$AS501))))</f>
        <v/>
      </c>
      <c r="AV501" t="str">
        <f>IF($AQ501="","",IF(INDEX(C_Pavement!$F$5:$F$204,$AQ501)&lt;&gt;"",IF(INDEX(C_Pavement!$F$5:$F$204,$AQ501)="-","",INDEX(C_Pavement!$F$5:$F$204,$AQ501)),IF($AS501="","",INDEX(E_Rules!$E$5:$E$9,$AS501))))</f>
        <v/>
      </c>
      <c r="AW501" t="str">
        <f>IF($AQ501="","",IF(INDEX(C_Pavement!$G$5:$G$204,$AQ501)&lt;&gt;"",IF(INDEX(C_Pavement!$G$5:$G$204,$AQ501)="-","",INDEX(C_Pavement!$G$5:$G$204,$AQ501)),IF($AS501="","",INDEX(E_Rules!$F$5:$F$9,$AS501))))</f>
        <v/>
      </c>
      <c r="AX501" t="str">
        <f>IF($AQ501="","",IF(INDEX(C_Pavement!$H$5:$H$204,$AQ501)&lt;&gt;"",IF(INDEX(C_Pavement!$H$5:$H$204,$AQ501)="-","",INDEX(C_Pavement!$H$5:$H$204,$AQ501)),IF($AS501="","",INDEX(E_Rules!$G$5:$G$9,$AS501))))</f>
        <v/>
      </c>
      <c r="AY501" t="str">
        <f>IF($AQ501="","",IF(INDEX(C_Pavement!$I$5:$I$204,$AQ501)&lt;&gt;"",IF(INDEX(C_Pavement!$I$5:$I$204,$AQ501)="-","",INDEX(C_Pavement!$I$5:$I$204,$AQ501)),IF($AS501="","",INDEX(E_Rules!$H$5:$H$9,$AS501))))</f>
        <v/>
      </c>
    </row>
    <row r="502" spans="1:51" ht="15.75" customHeight="1" x14ac:dyDescent="0.3">
      <c r="A502" s="189">
        <v>497</v>
      </c>
      <c r="B502" s="180">
        <v>24800</v>
      </c>
      <c r="C502" s="180" t="s">
        <v>808</v>
      </c>
      <c r="D502" s="181" t="str">
        <f>IFERROR(LOOKUP(2,1/((A_Corridor!$A$5:$A$204&lt;&gt;"")*(A_Corridor!$A$5:$A$204&lt;=$B502)*(A_Corridor!$B$5:$B$204&gt;$B502)*(A_Corridor!$C$5:$C$204&lt;&gt;"")),IF(UPPER(A_Corridor!$C$5:$C$204)="Y",1,"")),"")</f>
        <v/>
      </c>
      <c r="E502" s="181" t="str">
        <f>IFERROR(LOOKUP(2,1/((A_Corridor!$A$5:$A$204&lt;&gt;"")*(A_Corridor!$A$5:$A$204&lt;=$B502)*(A_Corridor!$B$5:$B$204&gt;$B502)*(A_Corridor!$D$5:$D$204&lt;&gt;"")),IF(A_Corridor!$D$5:$D$204="-","",UPPER(A_Corridor!$D$5:$D$204))),"")</f>
        <v/>
      </c>
      <c r="F502" s="181" t="str">
        <f>IFERROR(LOOKUP(2,1/((A_Corridor!$A$5:$A$204&lt;&gt;"")*(A_Corridor!$A$5:$A$204&lt;=$B502)*(A_Corridor!$B$5:$B$204&gt;$B502)*(A_Corridor!$E$5:$E$204&lt;&gt;"")),IF(A_Corridor!$E$5:$E$204="-","",1)),"")</f>
        <v/>
      </c>
      <c r="G502" s="182" t="str">
        <f>IFERROR(LOOKUP(2,1/((A_Corridor!$A$5:$A$204&lt;&gt;"")*(A_Corridor!$A$5:$A$204&lt;=$B502)*(A_Corridor!$B$5:$B$204&gt;$B502)*(A_Corridor!$E$5:$E$204&lt;&gt;"")),IF(A_Corridor!$E$5:$E$204="-","",A_Corridor!$E$5:$E$204)),"")</f>
        <v/>
      </c>
      <c r="H502" s="182" t="str">
        <f>IFERROR(LOOKUP(2,1/((D_Points!$A$5:$A$204&lt;&gt;"")*(D_Points!$A$5:$A$204&gt;=$B502)*(D_Points!$A$5:$A$204&lt;$B502+P_Interval)*(UPPER(TRIM(D_Points!$B$5:$B$204))="GULLY")*(D_Points!$H$5:$H$204&lt;&gt;"")),D_Points!$H$5:$H$204),"")</f>
        <v/>
      </c>
      <c r="I502" s="181" t="str">
        <f>IFERROR(LOOKUP(2,1/((A_Corridor!$A$5:$A$204&lt;&gt;"")*(A_Corridor!$A$5:$A$204&lt;=$B502)*(A_Corridor!$B$5:$B$204&gt;$B502)*(A_Corridor!$F$5:$F$204&lt;&gt;"")),IF(A_Corridor!$F$5:$F$204="-","",1)),"")</f>
        <v/>
      </c>
      <c r="J502" s="182" t="str">
        <f>IFERROR(LOOKUP(2,1/((A_Corridor!$A$5:$A$204&lt;&gt;"")*(A_Corridor!$A$5:$A$204&lt;=$B502)*(A_Corridor!$B$5:$B$204&gt;$B502)*(A_Corridor!$F$5:$F$204&lt;&gt;"")),IF(A_Corridor!$F$5:$F$204="-","",A_Corridor!$F$5:$F$204)),"")</f>
        <v/>
      </c>
      <c r="K502" s="182" t="str">
        <f>IFERROR(LOOKUP(2,1/((A_Corridor!$A$5:$A$204&lt;&gt;"")*(A_Corridor!$A$5:$A$204&lt;=$B502)*(A_Corridor!$B$5:$B$204&gt;$B502)*(A_Corridor!$G$5:$G$204&lt;&gt;"")),IF(A_Corridor!$G$5:$G$204="-","",A_Corridor!$G$5:$G$204)),"")</f>
        <v/>
      </c>
      <c r="L502" s="181" t="str">
        <f>IFERROR(LOOKUP(2,1/((A_Corridor!$A$5:$A$204&lt;&gt;"")*(A_Corridor!$A$5:$A$204&lt;=$B502)*(A_Corridor!$B$5:$B$204&gt;$B502)*(A_Corridor!$H$5:$H$204&lt;&gt;"")),IF(A_Corridor!$H$5:$H$204="-","",1)),"")</f>
        <v/>
      </c>
      <c r="M502" s="182" t="str">
        <f>IFERROR(LOOKUP(2,1/((A_Corridor!$A$5:$A$204&lt;&gt;"")*(A_Corridor!$A$5:$A$204&lt;=$B502)*(A_Corridor!$B$5:$B$204&gt;$B502)*(A_Corridor!$H$5:$H$204&lt;&gt;"")),IF(A_Corridor!$H$5:$H$204="-","",A_Corridor!$H$5:$H$204)),"")</f>
        <v/>
      </c>
      <c r="N502" s="182" t="str">
        <f>IFERROR(LOOKUP(2,1/((A_Corridor!$A$5:$A$204&lt;&gt;"")*(A_Corridor!$A$5:$A$204&lt;=$B502)*(A_Corridor!$B$5:$B$204&gt;$B502)*(A_Corridor!$I$5:$I$204&lt;&gt;"")),IF(A_Corridor!$I$5:$I$204="-","",A_Corridor!$I$5:$I$204)),"")</f>
        <v/>
      </c>
      <c r="O502" s="182" t="str">
        <f>IFERROR(LOOKUP(2,1/((D_Points!$A$5:$A$204&lt;&gt;"")*(D_Points!$A$5:$A$204&gt;=$B502)*(D_Points!$A$5:$A$204&lt;$B502+P_Interval)*(UPPER(TRIM(D_Points!$B$5:$B$204))="PITCHING")*(D_Points!$H$5:$H$204&lt;&gt;"")),D_Points!$H$5:$H$204),"")</f>
        <v/>
      </c>
      <c r="P502" s="181" t="str">
        <f>IFERROR(LOOKUP(2,1/((B_Drainage!$A$5:$A$204&lt;&gt;"")*(B_Drainage!$A$5:$A$204&lt;=$B502)*(B_Drainage!$B$5:$B$204&gt;$B502)*(B_Drainage!$C$5:$C$204&lt;&gt;"")),IF(B_Drainage!$C$5:$C$204="-","",UPPER(B_Drainage!$C$5:$C$204))),"")</f>
        <v/>
      </c>
      <c r="Q502" s="181" t="str">
        <f>IFERROR(LOOKUP(2,1/((B_Drainage!$A$5:$A$204&lt;&gt;"")*(B_Drainage!$A$5:$A$204&lt;=$B502)*(B_Drainage!$B$5:$B$204&gt;$B502)*(B_Drainage!$D$5:$D$204&lt;&gt;"")),IF(B_Drainage!$D$5:$D$204="-","",UPPER(B_Drainage!$D$5:$D$204))),"")</f>
        <v/>
      </c>
      <c r="R502" s="182" t="str">
        <f>IFERROR(LOOKUP(2,1/((D_Points!$A$5:$A$204&lt;&gt;"")*(D_Points!$A$5:$A$204&gt;=$B502)*(D_Points!$A$5:$A$204&lt;$B502+P_Interval)*(RIGHT(UPPER(TRIM(D_Points!$B$5:$B$204)),8)="_CULVERT")),IF(LEFT(UPPER(TRIM(D_Points!$B$5:$B$204)),2)="EX",1,IF(LEFT(UPPER(TRIM(D_Points!$B$5:$B$204)),2)="PR",2,3))),"")</f>
        <v/>
      </c>
      <c r="S502" s="182" t="str">
        <f>IFERROR(LOOKUP(2,1/((D_Points!$A$5:$A$204&lt;&gt;"")*(D_Points!$A$5:$A$204&gt;=$B502)*(D_Points!$A$5:$A$204&lt;$B502+P_Interval)*(RIGHT(UPPER(TRIM(D_Points!$B$5:$B$204)),7)="_BRIDGE")),IF(LEFT(UPPER(TRIM(D_Points!$B$5:$B$204)),2)="EX",1,IF(LEFT(UPPER(TRIM(D_Points!$B$5:$B$204)),2)="PR",2,2))),"")</f>
        <v/>
      </c>
      <c r="T502" s="181" t="str">
        <f>IFERROR(LOOKUP(2,1/((B_Drainage!$A$5:$A$204&lt;&gt;"")*(B_Drainage!$A$5:$A$204&lt;=$B502)*(B_Drainage!$B$5:$B$204&gt;$B502)*(B_Drainage!$E$5:$E$204&lt;&gt;"")),IF(B_Drainage!$E$5:$E$204="-","",1)),"")</f>
        <v/>
      </c>
      <c r="U502" s="181" t="str">
        <f>IFERROR(LOOKUP(2,1/((B_Drainage!$A$5:$A$204&lt;&gt;"")*(B_Drainage!$A$5:$A$204&lt;=$B502)*(B_Drainage!$B$5:$B$204&gt;$B502)*(B_Drainage!$E$5:$E$204&lt;&gt;"")),IF(B_Drainage!$E$5:$E$204="-","",B_Drainage!$E$5:$E$204)),"")</f>
        <v/>
      </c>
      <c r="V502" s="181" t="str">
        <f>IFERROR(LOOKUP(2,1/((B_Drainage!$A$5:$A$204&lt;&gt;"")*(B_Drainage!$A$5:$A$204&lt;=$B502)*(B_Drainage!$B$5:$B$204&gt;$B502)*(B_Drainage!$F$5:$F$204&lt;&gt;"")),IF(B_Drainage!$F$5:$F$204="-","",1)),"")</f>
        <v/>
      </c>
      <c r="W502" s="181" t="str">
        <f>IFERROR(LOOKUP(2,1/((B_Drainage!$A$5:$A$204&lt;&gt;"")*(B_Drainage!$A$5:$A$204&lt;=$B502)*(B_Drainage!$B$5:$B$204&gt;$B502)*(B_Drainage!$F$5:$F$204&lt;&gt;"")),IF(B_Drainage!$F$5:$F$204="-","",B_Drainage!$F$5:$F$204)),"")</f>
        <v/>
      </c>
      <c r="X502" s="181" t="str">
        <f>IFERROR(LOOKUP(2,1/((B_Drainage!$A$5:$A$204&lt;&gt;"")*(B_Drainage!$A$5:$A$204&lt;=$B502)*(B_Drainage!$B$5:$B$204&gt;$B502)*(B_Drainage!$G$5:$G$204&lt;&gt;"")),IF(UPPER(B_Drainage!$G$5:$G$204)="Y",1,"")),"")</f>
        <v/>
      </c>
      <c r="Y502" s="181" t="str">
        <f>IFERROR(LOOKUP(2,1/((B_Drainage!$A$5:$A$204&lt;&gt;"")*(B_Drainage!$A$5:$A$204&lt;=$B502)*(B_Drainage!$B$5:$B$204&gt;$B502)*(B_Drainage!$H$5:$H$204&lt;&gt;"")),IF(UPPER(B_Drainage!$H$5:$H$204)="Y",1,"")),"")</f>
        <v/>
      </c>
      <c r="Z502" s="181" t="str">
        <f>IFERROR(LOOKUP(2,1/((B_Drainage!$A$5:$A$204&lt;&gt;"")*(B_Drainage!$A$5:$A$204&lt;=$B502)*(B_Drainage!$B$5:$B$204&gt;$B502)*(B_Drainage!$I$5:$I$204&lt;&gt;"")),IF(UPPER(B_Drainage!$I$5:$I$204)="Y",1,"")),"")</f>
        <v/>
      </c>
      <c r="AA502" s="181" t="str">
        <f>IFERROR(LOOKUP(2,1/((B_Drainage!$A$5:$A$204&lt;&gt;"")*(B_Drainage!$A$5:$A$204&lt;=$B502)*(B_Drainage!$B$5:$B$204&gt;$B502)*(B_Drainage!$J$5:$J$204&lt;&gt;"")),IF(UPPER(B_Drainage!$J$5:$J$204)="Y",1,"")),"")</f>
        <v/>
      </c>
      <c r="AB502" s="182" t="str">
        <f>IFERROR(LOOKUP(2,1/((B_Drainage!$A$5:$A$204&lt;&gt;"")*(B_Drainage!$A$5:$A$204&lt;=$B502)*(B_Drainage!$B$5:$B$204&gt;$B502)*(B_Drainage!$K$5:$K$204&lt;&gt;"")),IF(B_Drainage!$K$5:$K$204="-","",B_Drainage!$K$5:$K$204)),"")</f>
        <v/>
      </c>
      <c r="AC502" s="182" t="str">
        <f>IFERROR(LOOKUP(2,1/((B_Drainage!$A$5:$A$204&lt;&gt;"")*(B_Drainage!$A$5:$A$204&lt;=$B502)*(B_Drainage!$B$5:$B$204&gt;$B502)*(B_Drainage!$L$5:$L$204&lt;&gt;"")),IF(B_Drainage!$L$5:$L$204="-","",B_Drainage!$L$5:$L$204)),"")</f>
        <v/>
      </c>
      <c r="AD502" s="182" t="str">
        <f>IFERROR(LOOKUP(2,1/((D_Points!$A$5:$A$204&lt;&gt;"")*(D_Points!$A$5:$A$204&gt;=$B502)*(D_Points!$A$5:$A$204&lt;$B502+P_Interval)*(UPPER(TRIM(D_Points!$B$5:$B$204))="TURNOUT_L")*(D_Points!$H$5:$H$204&lt;&gt;"")),D_Points!$H$5:$H$204),"")</f>
        <v/>
      </c>
      <c r="AE502" s="182" t="str">
        <f>IFERROR(LOOKUP(2,1/((D_Points!$A$5:$A$204&lt;&gt;"")*(D_Points!$A$5:$A$204&gt;=$B502)*(D_Points!$A$5:$A$204&lt;$B502+P_Interval)*(UPPER(TRIM(D_Points!$B$5:$B$204))="TURNOUT_R")*(D_Points!$H$5:$H$204&lt;&gt;"")),D_Points!$H$5:$H$204),"")</f>
        <v/>
      </c>
      <c r="AF502" s="181" t="str">
        <f>IFERROR(LOOKUP(2,1/((B_Drainage!$A$5:$A$204&lt;&gt;"")*(B_Drainage!$A$5:$A$204&lt;=$B502)*(B_Drainage!$B$5:$B$204&gt;$B502)*(B_Drainage!$M$5:$M$204&lt;&gt;"")),IF(UPPER(B_Drainage!$M$5:$M$204)="Y",1,"")),"")</f>
        <v/>
      </c>
      <c r="AG502" s="181" t="str">
        <f>IFERROR(LOOKUP(2,1/((B_Drainage!$A$5:$A$204&lt;&gt;"")*(B_Drainage!$A$5:$A$204&lt;=$B502)*(B_Drainage!$B$5:$B$204&gt;$B502)*(B_Drainage!$N$5:$N$204&lt;&gt;"")),IF(UPPER(B_Drainage!$N$5:$N$204)="Y",1,"")),"")</f>
        <v/>
      </c>
      <c r="AH502" s="181" t="str">
        <f t="shared" si="56"/>
        <v/>
      </c>
      <c r="AI502" s="181" t="str">
        <f t="shared" si="57"/>
        <v/>
      </c>
      <c r="AJ502" s="181" t="str">
        <f t="shared" si="58"/>
        <v/>
      </c>
      <c r="AK502" s="181" t="str">
        <f t="shared" si="59"/>
        <v/>
      </c>
      <c r="AL502" s="181" t="str">
        <f t="shared" si="60"/>
        <v/>
      </c>
      <c r="AM502" s="181" t="str">
        <f t="shared" si="61"/>
        <v/>
      </c>
      <c r="AN502" s="181" t="str">
        <f t="shared" si="62"/>
        <v/>
      </c>
      <c r="AO502" s="192" t="str">
        <f t="shared" si="63"/>
        <v/>
      </c>
      <c r="AQ502" t="str">
        <f>IFERROR(LOOKUP(2,1/((C_Pavement!$A$5:$A$204&lt;&gt;"")*(C_Pavement!$A$5:$A$204&lt;=$B502)*(C_Pavement!$B$5:$B$204&gt;$B502)*(C_Pavement!$C$5:$C$204&lt;&gt;"")),ROW(C_Pavement!$C$5:$C$204)-4),"")</f>
        <v/>
      </c>
      <c r="AR502" t="str">
        <f>IF($AQ502="","",UPPER(TRIM(INDEX(C_Pavement!$C$5:$C$204,$AQ502))))</f>
        <v/>
      </c>
      <c r="AS502" t="str">
        <f>IF($AR502="","",IFERROR(MATCH($AR502,E_Rules!$A$5:$A$9,0),""))</f>
        <v/>
      </c>
      <c r="AT502" t="str">
        <f>IF($AQ502="","",IF(INDEX(C_Pavement!$D$5:$D$204,$AQ502)&lt;&gt;"",UPPER(TRIM(INDEX(C_Pavement!$D$5:$D$204,$AQ502))),IF($AS502="","",INDEX(E_Rules!$C$5:$C$9,$AS502))))</f>
        <v/>
      </c>
      <c r="AU502" t="str">
        <f>IF($AQ502="","",IF(INDEX(C_Pavement!$E$5:$E$204,$AQ502)&lt;&gt;"",IF(INDEX(C_Pavement!$E$5:$E$204,$AQ502)="-","",INDEX(C_Pavement!$E$5:$E$204,$AQ502)),IF($AS502="","",INDEX(E_Rules!$D$5:$D$9,$AS502))))</f>
        <v/>
      </c>
      <c r="AV502" t="str">
        <f>IF($AQ502="","",IF(INDEX(C_Pavement!$F$5:$F$204,$AQ502)&lt;&gt;"",IF(INDEX(C_Pavement!$F$5:$F$204,$AQ502)="-","",INDEX(C_Pavement!$F$5:$F$204,$AQ502)),IF($AS502="","",INDEX(E_Rules!$E$5:$E$9,$AS502))))</f>
        <v/>
      </c>
      <c r="AW502" t="str">
        <f>IF($AQ502="","",IF(INDEX(C_Pavement!$G$5:$G$204,$AQ502)&lt;&gt;"",IF(INDEX(C_Pavement!$G$5:$G$204,$AQ502)="-","",INDEX(C_Pavement!$G$5:$G$204,$AQ502)),IF($AS502="","",INDEX(E_Rules!$F$5:$F$9,$AS502))))</f>
        <v/>
      </c>
      <c r="AX502" t="str">
        <f>IF($AQ502="","",IF(INDEX(C_Pavement!$H$5:$H$204,$AQ502)&lt;&gt;"",IF(INDEX(C_Pavement!$H$5:$H$204,$AQ502)="-","",INDEX(C_Pavement!$H$5:$H$204,$AQ502)),IF($AS502="","",INDEX(E_Rules!$G$5:$G$9,$AS502))))</f>
        <v/>
      </c>
      <c r="AY502" t="str">
        <f>IF($AQ502="","",IF(INDEX(C_Pavement!$I$5:$I$204,$AQ502)&lt;&gt;"",IF(INDEX(C_Pavement!$I$5:$I$204,$AQ502)="-","",INDEX(C_Pavement!$I$5:$I$204,$AQ502)),IF($AS502="","",INDEX(E_Rules!$H$5:$H$9,$AS502))))</f>
        <v/>
      </c>
    </row>
    <row r="503" spans="1:51" ht="15.75" customHeight="1" x14ac:dyDescent="0.3">
      <c r="A503" s="189">
        <v>498</v>
      </c>
      <c r="B503" s="180">
        <v>24850</v>
      </c>
      <c r="C503" s="180" t="s">
        <v>809</v>
      </c>
      <c r="D503" s="181" t="str">
        <f>IFERROR(LOOKUP(2,1/((A_Corridor!$A$5:$A$204&lt;&gt;"")*(A_Corridor!$A$5:$A$204&lt;=$B503)*(A_Corridor!$B$5:$B$204&gt;$B503)*(A_Corridor!$C$5:$C$204&lt;&gt;"")),IF(UPPER(A_Corridor!$C$5:$C$204)="Y",1,"")),"")</f>
        <v/>
      </c>
      <c r="E503" s="181" t="str">
        <f>IFERROR(LOOKUP(2,1/((A_Corridor!$A$5:$A$204&lt;&gt;"")*(A_Corridor!$A$5:$A$204&lt;=$B503)*(A_Corridor!$B$5:$B$204&gt;$B503)*(A_Corridor!$D$5:$D$204&lt;&gt;"")),IF(A_Corridor!$D$5:$D$204="-","",UPPER(A_Corridor!$D$5:$D$204))),"")</f>
        <v/>
      </c>
      <c r="F503" s="181" t="str">
        <f>IFERROR(LOOKUP(2,1/((A_Corridor!$A$5:$A$204&lt;&gt;"")*(A_Corridor!$A$5:$A$204&lt;=$B503)*(A_Corridor!$B$5:$B$204&gt;$B503)*(A_Corridor!$E$5:$E$204&lt;&gt;"")),IF(A_Corridor!$E$5:$E$204="-","",1)),"")</f>
        <v/>
      </c>
      <c r="G503" s="182" t="str">
        <f>IFERROR(LOOKUP(2,1/((A_Corridor!$A$5:$A$204&lt;&gt;"")*(A_Corridor!$A$5:$A$204&lt;=$B503)*(A_Corridor!$B$5:$B$204&gt;$B503)*(A_Corridor!$E$5:$E$204&lt;&gt;"")),IF(A_Corridor!$E$5:$E$204="-","",A_Corridor!$E$5:$E$204)),"")</f>
        <v/>
      </c>
      <c r="H503" s="182" t="str">
        <f>IFERROR(LOOKUP(2,1/((D_Points!$A$5:$A$204&lt;&gt;"")*(D_Points!$A$5:$A$204&gt;=$B503)*(D_Points!$A$5:$A$204&lt;$B503+P_Interval)*(UPPER(TRIM(D_Points!$B$5:$B$204))="GULLY")*(D_Points!$H$5:$H$204&lt;&gt;"")),D_Points!$H$5:$H$204),"")</f>
        <v/>
      </c>
      <c r="I503" s="181" t="str">
        <f>IFERROR(LOOKUP(2,1/((A_Corridor!$A$5:$A$204&lt;&gt;"")*(A_Corridor!$A$5:$A$204&lt;=$B503)*(A_Corridor!$B$5:$B$204&gt;$B503)*(A_Corridor!$F$5:$F$204&lt;&gt;"")),IF(A_Corridor!$F$5:$F$204="-","",1)),"")</f>
        <v/>
      </c>
      <c r="J503" s="182" t="str">
        <f>IFERROR(LOOKUP(2,1/((A_Corridor!$A$5:$A$204&lt;&gt;"")*(A_Corridor!$A$5:$A$204&lt;=$B503)*(A_Corridor!$B$5:$B$204&gt;$B503)*(A_Corridor!$F$5:$F$204&lt;&gt;"")),IF(A_Corridor!$F$5:$F$204="-","",A_Corridor!$F$5:$F$204)),"")</f>
        <v/>
      </c>
      <c r="K503" s="182" t="str">
        <f>IFERROR(LOOKUP(2,1/((A_Corridor!$A$5:$A$204&lt;&gt;"")*(A_Corridor!$A$5:$A$204&lt;=$B503)*(A_Corridor!$B$5:$B$204&gt;$B503)*(A_Corridor!$G$5:$G$204&lt;&gt;"")),IF(A_Corridor!$G$5:$G$204="-","",A_Corridor!$G$5:$G$204)),"")</f>
        <v/>
      </c>
      <c r="L503" s="181" t="str">
        <f>IFERROR(LOOKUP(2,1/((A_Corridor!$A$5:$A$204&lt;&gt;"")*(A_Corridor!$A$5:$A$204&lt;=$B503)*(A_Corridor!$B$5:$B$204&gt;$B503)*(A_Corridor!$H$5:$H$204&lt;&gt;"")),IF(A_Corridor!$H$5:$H$204="-","",1)),"")</f>
        <v/>
      </c>
      <c r="M503" s="182" t="str">
        <f>IFERROR(LOOKUP(2,1/((A_Corridor!$A$5:$A$204&lt;&gt;"")*(A_Corridor!$A$5:$A$204&lt;=$B503)*(A_Corridor!$B$5:$B$204&gt;$B503)*(A_Corridor!$H$5:$H$204&lt;&gt;"")),IF(A_Corridor!$H$5:$H$204="-","",A_Corridor!$H$5:$H$204)),"")</f>
        <v/>
      </c>
      <c r="N503" s="182" t="str">
        <f>IFERROR(LOOKUP(2,1/((A_Corridor!$A$5:$A$204&lt;&gt;"")*(A_Corridor!$A$5:$A$204&lt;=$B503)*(A_Corridor!$B$5:$B$204&gt;$B503)*(A_Corridor!$I$5:$I$204&lt;&gt;"")),IF(A_Corridor!$I$5:$I$204="-","",A_Corridor!$I$5:$I$204)),"")</f>
        <v/>
      </c>
      <c r="O503" s="182" t="str">
        <f>IFERROR(LOOKUP(2,1/((D_Points!$A$5:$A$204&lt;&gt;"")*(D_Points!$A$5:$A$204&gt;=$B503)*(D_Points!$A$5:$A$204&lt;$B503+P_Interval)*(UPPER(TRIM(D_Points!$B$5:$B$204))="PITCHING")*(D_Points!$H$5:$H$204&lt;&gt;"")),D_Points!$H$5:$H$204),"")</f>
        <v/>
      </c>
      <c r="P503" s="181" t="str">
        <f>IFERROR(LOOKUP(2,1/((B_Drainage!$A$5:$A$204&lt;&gt;"")*(B_Drainage!$A$5:$A$204&lt;=$B503)*(B_Drainage!$B$5:$B$204&gt;$B503)*(B_Drainage!$C$5:$C$204&lt;&gt;"")),IF(B_Drainage!$C$5:$C$204="-","",UPPER(B_Drainage!$C$5:$C$204))),"")</f>
        <v/>
      </c>
      <c r="Q503" s="181" t="str">
        <f>IFERROR(LOOKUP(2,1/((B_Drainage!$A$5:$A$204&lt;&gt;"")*(B_Drainage!$A$5:$A$204&lt;=$B503)*(B_Drainage!$B$5:$B$204&gt;$B503)*(B_Drainage!$D$5:$D$204&lt;&gt;"")),IF(B_Drainage!$D$5:$D$204="-","",UPPER(B_Drainage!$D$5:$D$204))),"")</f>
        <v/>
      </c>
      <c r="R503" s="182" t="str">
        <f>IFERROR(LOOKUP(2,1/((D_Points!$A$5:$A$204&lt;&gt;"")*(D_Points!$A$5:$A$204&gt;=$B503)*(D_Points!$A$5:$A$204&lt;$B503+P_Interval)*(RIGHT(UPPER(TRIM(D_Points!$B$5:$B$204)),8)="_CULVERT")),IF(LEFT(UPPER(TRIM(D_Points!$B$5:$B$204)),2)="EX",1,IF(LEFT(UPPER(TRIM(D_Points!$B$5:$B$204)),2)="PR",2,3))),"")</f>
        <v/>
      </c>
      <c r="S503" s="182" t="str">
        <f>IFERROR(LOOKUP(2,1/((D_Points!$A$5:$A$204&lt;&gt;"")*(D_Points!$A$5:$A$204&gt;=$B503)*(D_Points!$A$5:$A$204&lt;$B503+P_Interval)*(RIGHT(UPPER(TRIM(D_Points!$B$5:$B$204)),7)="_BRIDGE")),IF(LEFT(UPPER(TRIM(D_Points!$B$5:$B$204)),2)="EX",1,IF(LEFT(UPPER(TRIM(D_Points!$B$5:$B$204)),2)="PR",2,2))),"")</f>
        <v/>
      </c>
      <c r="T503" s="181" t="str">
        <f>IFERROR(LOOKUP(2,1/((B_Drainage!$A$5:$A$204&lt;&gt;"")*(B_Drainage!$A$5:$A$204&lt;=$B503)*(B_Drainage!$B$5:$B$204&gt;$B503)*(B_Drainage!$E$5:$E$204&lt;&gt;"")),IF(B_Drainage!$E$5:$E$204="-","",1)),"")</f>
        <v/>
      </c>
      <c r="U503" s="181" t="str">
        <f>IFERROR(LOOKUP(2,1/((B_Drainage!$A$5:$A$204&lt;&gt;"")*(B_Drainage!$A$5:$A$204&lt;=$B503)*(B_Drainage!$B$5:$B$204&gt;$B503)*(B_Drainage!$E$5:$E$204&lt;&gt;"")),IF(B_Drainage!$E$5:$E$204="-","",B_Drainage!$E$5:$E$204)),"")</f>
        <v/>
      </c>
      <c r="V503" s="181" t="str">
        <f>IFERROR(LOOKUP(2,1/((B_Drainage!$A$5:$A$204&lt;&gt;"")*(B_Drainage!$A$5:$A$204&lt;=$B503)*(B_Drainage!$B$5:$B$204&gt;$B503)*(B_Drainage!$F$5:$F$204&lt;&gt;"")),IF(B_Drainage!$F$5:$F$204="-","",1)),"")</f>
        <v/>
      </c>
      <c r="W503" s="181" t="str">
        <f>IFERROR(LOOKUP(2,1/((B_Drainage!$A$5:$A$204&lt;&gt;"")*(B_Drainage!$A$5:$A$204&lt;=$B503)*(B_Drainage!$B$5:$B$204&gt;$B503)*(B_Drainage!$F$5:$F$204&lt;&gt;"")),IF(B_Drainage!$F$5:$F$204="-","",B_Drainage!$F$5:$F$204)),"")</f>
        <v/>
      </c>
      <c r="X503" s="181" t="str">
        <f>IFERROR(LOOKUP(2,1/((B_Drainage!$A$5:$A$204&lt;&gt;"")*(B_Drainage!$A$5:$A$204&lt;=$B503)*(B_Drainage!$B$5:$B$204&gt;$B503)*(B_Drainage!$G$5:$G$204&lt;&gt;"")),IF(UPPER(B_Drainage!$G$5:$G$204)="Y",1,"")),"")</f>
        <v/>
      </c>
      <c r="Y503" s="181" t="str">
        <f>IFERROR(LOOKUP(2,1/((B_Drainage!$A$5:$A$204&lt;&gt;"")*(B_Drainage!$A$5:$A$204&lt;=$B503)*(B_Drainage!$B$5:$B$204&gt;$B503)*(B_Drainage!$H$5:$H$204&lt;&gt;"")),IF(UPPER(B_Drainage!$H$5:$H$204)="Y",1,"")),"")</f>
        <v/>
      </c>
      <c r="Z503" s="181" t="str">
        <f>IFERROR(LOOKUP(2,1/((B_Drainage!$A$5:$A$204&lt;&gt;"")*(B_Drainage!$A$5:$A$204&lt;=$B503)*(B_Drainage!$B$5:$B$204&gt;$B503)*(B_Drainage!$I$5:$I$204&lt;&gt;"")),IF(UPPER(B_Drainage!$I$5:$I$204)="Y",1,"")),"")</f>
        <v/>
      </c>
      <c r="AA503" s="181" t="str">
        <f>IFERROR(LOOKUP(2,1/((B_Drainage!$A$5:$A$204&lt;&gt;"")*(B_Drainage!$A$5:$A$204&lt;=$B503)*(B_Drainage!$B$5:$B$204&gt;$B503)*(B_Drainage!$J$5:$J$204&lt;&gt;"")),IF(UPPER(B_Drainage!$J$5:$J$204)="Y",1,"")),"")</f>
        <v/>
      </c>
      <c r="AB503" s="182" t="str">
        <f>IFERROR(LOOKUP(2,1/((B_Drainage!$A$5:$A$204&lt;&gt;"")*(B_Drainage!$A$5:$A$204&lt;=$B503)*(B_Drainage!$B$5:$B$204&gt;$B503)*(B_Drainage!$K$5:$K$204&lt;&gt;"")),IF(B_Drainage!$K$5:$K$204="-","",B_Drainage!$K$5:$K$204)),"")</f>
        <v/>
      </c>
      <c r="AC503" s="182" t="str">
        <f>IFERROR(LOOKUP(2,1/((B_Drainage!$A$5:$A$204&lt;&gt;"")*(B_Drainage!$A$5:$A$204&lt;=$B503)*(B_Drainage!$B$5:$B$204&gt;$B503)*(B_Drainage!$L$5:$L$204&lt;&gt;"")),IF(B_Drainage!$L$5:$L$204="-","",B_Drainage!$L$5:$L$204)),"")</f>
        <v/>
      </c>
      <c r="AD503" s="182" t="str">
        <f>IFERROR(LOOKUP(2,1/((D_Points!$A$5:$A$204&lt;&gt;"")*(D_Points!$A$5:$A$204&gt;=$B503)*(D_Points!$A$5:$A$204&lt;$B503+P_Interval)*(UPPER(TRIM(D_Points!$B$5:$B$204))="TURNOUT_L")*(D_Points!$H$5:$H$204&lt;&gt;"")),D_Points!$H$5:$H$204),"")</f>
        <v/>
      </c>
      <c r="AE503" s="182" t="str">
        <f>IFERROR(LOOKUP(2,1/((D_Points!$A$5:$A$204&lt;&gt;"")*(D_Points!$A$5:$A$204&gt;=$B503)*(D_Points!$A$5:$A$204&lt;$B503+P_Interval)*(UPPER(TRIM(D_Points!$B$5:$B$204))="TURNOUT_R")*(D_Points!$H$5:$H$204&lt;&gt;"")),D_Points!$H$5:$H$204),"")</f>
        <v/>
      </c>
      <c r="AF503" s="181" t="str">
        <f>IFERROR(LOOKUP(2,1/((B_Drainage!$A$5:$A$204&lt;&gt;"")*(B_Drainage!$A$5:$A$204&lt;=$B503)*(B_Drainage!$B$5:$B$204&gt;$B503)*(B_Drainage!$M$5:$M$204&lt;&gt;"")),IF(UPPER(B_Drainage!$M$5:$M$204)="Y",1,"")),"")</f>
        <v/>
      </c>
      <c r="AG503" s="181" t="str">
        <f>IFERROR(LOOKUP(2,1/((B_Drainage!$A$5:$A$204&lt;&gt;"")*(B_Drainage!$A$5:$A$204&lt;=$B503)*(B_Drainage!$B$5:$B$204&gt;$B503)*(B_Drainage!$N$5:$N$204&lt;&gt;"")),IF(UPPER(B_Drainage!$N$5:$N$204)="Y",1,"")),"")</f>
        <v/>
      </c>
      <c r="AH503" s="181" t="str">
        <f t="shared" si="56"/>
        <v/>
      </c>
      <c r="AI503" s="181" t="str">
        <f t="shared" si="57"/>
        <v/>
      </c>
      <c r="AJ503" s="181" t="str">
        <f t="shared" si="58"/>
        <v/>
      </c>
      <c r="AK503" s="181" t="str">
        <f t="shared" si="59"/>
        <v/>
      </c>
      <c r="AL503" s="181" t="str">
        <f t="shared" si="60"/>
        <v/>
      </c>
      <c r="AM503" s="181" t="str">
        <f t="shared" si="61"/>
        <v/>
      </c>
      <c r="AN503" s="181" t="str">
        <f t="shared" si="62"/>
        <v/>
      </c>
      <c r="AO503" s="192" t="str">
        <f t="shared" si="63"/>
        <v/>
      </c>
      <c r="AQ503" t="str">
        <f>IFERROR(LOOKUP(2,1/((C_Pavement!$A$5:$A$204&lt;&gt;"")*(C_Pavement!$A$5:$A$204&lt;=$B503)*(C_Pavement!$B$5:$B$204&gt;$B503)*(C_Pavement!$C$5:$C$204&lt;&gt;"")),ROW(C_Pavement!$C$5:$C$204)-4),"")</f>
        <v/>
      </c>
      <c r="AR503" t="str">
        <f>IF($AQ503="","",UPPER(TRIM(INDEX(C_Pavement!$C$5:$C$204,$AQ503))))</f>
        <v/>
      </c>
      <c r="AS503" t="str">
        <f>IF($AR503="","",IFERROR(MATCH($AR503,E_Rules!$A$5:$A$9,0),""))</f>
        <v/>
      </c>
      <c r="AT503" t="str">
        <f>IF($AQ503="","",IF(INDEX(C_Pavement!$D$5:$D$204,$AQ503)&lt;&gt;"",UPPER(TRIM(INDEX(C_Pavement!$D$5:$D$204,$AQ503))),IF($AS503="","",INDEX(E_Rules!$C$5:$C$9,$AS503))))</f>
        <v/>
      </c>
      <c r="AU503" t="str">
        <f>IF($AQ503="","",IF(INDEX(C_Pavement!$E$5:$E$204,$AQ503)&lt;&gt;"",IF(INDEX(C_Pavement!$E$5:$E$204,$AQ503)="-","",INDEX(C_Pavement!$E$5:$E$204,$AQ503)),IF($AS503="","",INDEX(E_Rules!$D$5:$D$9,$AS503))))</f>
        <v/>
      </c>
      <c r="AV503" t="str">
        <f>IF($AQ503="","",IF(INDEX(C_Pavement!$F$5:$F$204,$AQ503)&lt;&gt;"",IF(INDEX(C_Pavement!$F$5:$F$204,$AQ503)="-","",INDEX(C_Pavement!$F$5:$F$204,$AQ503)),IF($AS503="","",INDEX(E_Rules!$E$5:$E$9,$AS503))))</f>
        <v/>
      </c>
      <c r="AW503" t="str">
        <f>IF($AQ503="","",IF(INDEX(C_Pavement!$G$5:$G$204,$AQ503)&lt;&gt;"",IF(INDEX(C_Pavement!$G$5:$G$204,$AQ503)="-","",INDEX(C_Pavement!$G$5:$G$204,$AQ503)),IF($AS503="","",INDEX(E_Rules!$F$5:$F$9,$AS503))))</f>
        <v/>
      </c>
      <c r="AX503" t="str">
        <f>IF($AQ503="","",IF(INDEX(C_Pavement!$H$5:$H$204,$AQ503)&lt;&gt;"",IF(INDEX(C_Pavement!$H$5:$H$204,$AQ503)="-","",INDEX(C_Pavement!$H$5:$H$204,$AQ503)),IF($AS503="","",INDEX(E_Rules!$G$5:$G$9,$AS503))))</f>
        <v/>
      </c>
      <c r="AY503" t="str">
        <f>IF($AQ503="","",IF(INDEX(C_Pavement!$I$5:$I$204,$AQ503)&lt;&gt;"",IF(INDEX(C_Pavement!$I$5:$I$204,$AQ503)="-","",INDEX(C_Pavement!$I$5:$I$204,$AQ503)),IF($AS503="","",INDEX(E_Rules!$H$5:$H$9,$AS503))))</f>
        <v/>
      </c>
    </row>
    <row r="504" spans="1:51" ht="15.75" customHeight="1" x14ac:dyDescent="0.3">
      <c r="A504" s="189">
        <v>499</v>
      </c>
      <c r="B504" s="180">
        <v>24900</v>
      </c>
      <c r="C504" s="180" t="s">
        <v>810</v>
      </c>
      <c r="D504" s="181" t="str">
        <f>IFERROR(LOOKUP(2,1/((A_Corridor!$A$5:$A$204&lt;&gt;"")*(A_Corridor!$A$5:$A$204&lt;=$B504)*(A_Corridor!$B$5:$B$204&gt;$B504)*(A_Corridor!$C$5:$C$204&lt;&gt;"")),IF(UPPER(A_Corridor!$C$5:$C$204)="Y",1,"")),"")</f>
        <v/>
      </c>
      <c r="E504" s="181" t="str">
        <f>IFERROR(LOOKUP(2,1/((A_Corridor!$A$5:$A$204&lt;&gt;"")*(A_Corridor!$A$5:$A$204&lt;=$B504)*(A_Corridor!$B$5:$B$204&gt;$B504)*(A_Corridor!$D$5:$D$204&lt;&gt;"")),IF(A_Corridor!$D$5:$D$204="-","",UPPER(A_Corridor!$D$5:$D$204))),"")</f>
        <v/>
      </c>
      <c r="F504" s="181" t="str">
        <f>IFERROR(LOOKUP(2,1/((A_Corridor!$A$5:$A$204&lt;&gt;"")*(A_Corridor!$A$5:$A$204&lt;=$B504)*(A_Corridor!$B$5:$B$204&gt;$B504)*(A_Corridor!$E$5:$E$204&lt;&gt;"")),IF(A_Corridor!$E$5:$E$204="-","",1)),"")</f>
        <v/>
      </c>
      <c r="G504" s="182" t="str">
        <f>IFERROR(LOOKUP(2,1/((A_Corridor!$A$5:$A$204&lt;&gt;"")*(A_Corridor!$A$5:$A$204&lt;=$B504)*(A_Corridor!$B$5:$B$204&gt;$B504)*(A_Corridor!$E$5:$E$204&lt;&gt;"")),IF(A_Corridor!$E$5:$E$204="-","",A_Corridor!$E$5:$E$204)),"")</f>
        <v/>
      </c>
      <c r="H504" s="182" t="str">
        <f>IFERROR(LOOKUP(2,1/((D_Points!$A$5:$A$204&lt;&gt;"")*(D_Points!$A$5:$A$204&gt;=$B504)*(D_Points!$A$5:$A$204&lt;$B504+P_Interval)*(UPPER(TRIM(D_Points!$B$5:$B$204))="GULLY")*(D_Points!$H$5:$H$204&lt;&gt;"")),D_Points!$H$5:$H$204),"")</f>
        <v/>
      </c>
      <c r="I504" s="181" t="str">
        <f>IFERROR(LOOKUP(2,1/((A_Corridor!$A$5:$A$204&lt;&gt;"")*(A_Corridor!$A$5:$A$204&lt;=$B504)*(A_Corridor!$B$5:$B$204&gt;$B504)*(A_Corridor!$F$5:$F$204&lt;&gt;"")),IF(A_Corridor!$F$5:$F$204="-","",1)),"")</f>
        <v/>
      </c>
      <c r="J504" s="182" t="str">
        <f>IFERROR(LOOKUP(2,1/((A_Corridor!$A$5:$A$204&lt;&gt;"")*(A_Corridor!$A$5:$A$204&lt;=$B504)*(A_Corridor!$B$5:$B$204&gt;$B504)*(A_Corridor!$F$5:$F$204&lt;&gt;"")),IF(A_Corridor!$F$5:$F$204="-","",A_Corridor!$F$5:$F$204)),"")</f>
        <v/>
      </c>
      <c r="K504" s="182" t="str">
        <f>IFERROR(LOOKUP(2,1/((A_Corridor!$A$5:$A$204&lt;&gt;"")*(A_Corridor!$A$5:$A$204&lt;=$B504)*(A_Corridor!$B$5:$B$204&gt;$B504)*(A_Corridor!$G$5:$G$204&lt;&gt;"")),IF(A_Corridor!$G$5:$G$204="-","",A_Corridor!$G$5:$G$204)),"")</f>
        <v/>
      </c>
      <c r="L504" s="181" t="str">
        <f>IFERROR(LOOKUP(2,1/((A_Corridor!$A$5:$A$204&lt;&gt;"")*(A_Corridor!$A$5:$A$204&lt;=$B504)*(A_Corridor!$B$5:$B$204&gt;$B504)*(A_Corridor!$H$5:$H$204&lt;&gt;"")),IF(A_Corridor!$H$5:$H$204="-","",1)),"")</f>
        <v/>
      </c>
      <c r="M504" s="182" t="str">
        <f>IFERROR(LOOKUP(2,1/((A_Corridor!$A$5:$A$204&lt;&gt;"")*(A_Corridor!$A$5:$A$204&lt;=$B504)*(A_Corridor!$B$5:$B$204&gt;$B504)*(A_Corridor!$H$5:$H$204&lt;&gt;"")),IF(A_Corridor!$H$5:$H$204="-","",A_Corridor!$H$5:$H$204)),"")</f>
        <v/>
      </c>
      <c r="N504" s="182" t="str">
        <f>IFERROR(LOOKUP(2,1/((A_Corridor!$A$5:$A$204&lt;&gt;"")*(A_Corridor!$A$5:$A$204&lt;=$B504)*(A_Corridor!$B$5:$B$204&gt;$B504)*(A_Corridor!$I$5:$I$204&lt;&gt;"")),IF(A_Corridor!$I$5:$I$204="-","",A_Corridor!$I$5:$I$204)),"")</f>
        <v/>
      </c>
      <c r="O504" s="182" t="str">
        <f>IFERROR(LOOKUP(2,1/((D_Points!$A$5:$A$204&lt;&gt;"")*(D_Points!$A$5:$A$204&gt;=$B504)*(D_Points!$A$5:$A$204&lt;$B504+P_Interval)*(UPPER(TRIM(D_Points!$B$5:$B$204))="PITCHING")*(D_Points!$H$5:$H$204&lt;&gt;"")),D_Points!$H$5:$H$204),"")</f>
        <v/>
      </c>
      <c r="P504" s="181" t="str">
        <f>IFERROR(LOOKUP(2,1/((B_Drainage!$A$5:$A$204&lt;&gt;"")*(B_Drainage!$A$5:$A$204&lt;=$B504)*(B_Drainage!$B$5:$B$204&gt;$B504)*(B_Drainage!$C$5:$C$204&lt;&gt;"")),IF(B_Drainage!$C$5:$C$204="-","",UPPER(B_Drainage!$C$5:$C$204))),"")</f>
        <v/>
      </c>
      <c r="Q504" s="181" t="str">
        <f>IFERROR(LOOKUP(2,1/((B_Drainage!$A$5:$A$204&lt;&gt;"")*(B_Drainage!$A$5:$A$204&lt;=$B504)*(B_Drainage!$B$5:$B$204&gt;$B504)*(B_Drainage!$D$5:$D$204&lt;&gt;"")),IF(B_Drainage!$D$5:$D$204="-","",UPPER(B_Drainage!$D$5:$D$204))),"")</f>
        <v/>
      </c>
      <c r="R504" s="182" t="str">
        <f>IFERROR(LOOKUP(2,1/((D_Points!$A$5:$A$204&lt;&gt;"")*(D_Points!$A$5:$A$204&gt;=$B504)*(D_Points!$A$5:$A$204&lt;$B504+P_Interval)*(RIGHT(UPPER(TRIM(D_Points!$B$5:$B$204)),8)="_CULVERT")),IF(LEFT(UPPER(TRIM(D_Points!$B$5:$B$204)),2)="EX",1,IF(LEFT(UPPER(TRIM(D_Points!$B$5:$B$204)),2)="PR",2,3))),"")</f>
        <v/>
      </c>
      <c r="S504" s="182" t="str">
        <f>IFERROR(LOOKUP(2,1/((D_Points!$A$5:$A$204&lt;&gt;"")*(D_Points!$A$5:$A$204&gt;=$B504)*(D_Points!$A$5:$A$204&lt;$B504+P_Interval)*(RIGHT(UPPER(TRIM(D_Points!$B$5:$B$204)),7)="_BRIDGE")),IF(LEFT(UPPER(TRIM(D_Points!$B$5:$B$204)),2)="EX",1,IF(LEFT(UPPER(TRIM(D_Points!$B$5:$B$204)),2)="PR",2,2))),"")</f>
        <v/>
      </c>
      <c r="T504" s="181" t="str">
        <f>IFERROR(LOOKUP(2,1/((B_Drainage!$A$5:$A$204&lt;&gt;"")*(B_Drainage!$A$5:$A$204&lt;=$B504)*(B_Drainage!$B$5:$B$204&gt;$B504)*(B_Drainage!$E$5:$E$204&lt;&gt;"")),IF(B_Drainage!$E$5:$E$204="-","",1)),"")</f>
        <v/>
      </c>
      <c r="U504" s="181" t="str">
        <f>IFERROR(LOOKUP(2,1/((B_Drainage!$A$5:$A$204&lt;&gt;"")*(B_Drainage!$A$5:$A$204&lt;=$B504)*(B_Drainage!$B$5:$B$204&gt;$B504)*(B_Drainage!$E$5:$E$204&lt;&gt;"")),IF(B_Drainage!$E$5:$E$204="-","",B_Drainage!$E$5:$E$204)),"")</f>
        <v/>
      </c>
      <c r="V504" s="181" t="str">
        <f>IFERROR(LOOKUP(2,1/((B_Drainage!$A$5:$A$204&lt;&gt;"")*(B_Drainage!$A$5:$A$204&lt;=$B504)*(B_Drainage!$B$5:$B$204&gt;$B504)*(B_Drainage!$F$5:$F$204&lt;&gt;"")),IF(B_Drainage!$F$5:$F$204="-","",1)),"")</f>
        <v/>
      </c>
      <c r="W504" s="181" t="str">
        <f>IFERROR(LOOKUP(2,1/((B_Drainage!$A$5:$A$204&lt;&gt;"")*(B_Drainage!$A$5:$A$204&lt;=$B504)*(B_Drainage!$B$5:$B$204&gt;$B504)*(B_Drainage!$F$5:$F$204&lt;&gt;"")),IF(B_Drainage!$F$5:$F$204="-","",B_Drainage!$F$5:$F$204)),"")</f>
        <v/>
      </c>
      <c r="X504" s="181" t="str">
        <f>IFERROR(LOOKUP(2,1/((B_Drainage!$A$5:$A$204&lt;&gt;"")*(B_Drainage!$A$5:$A$204&lt;=$B504)*(B_Drainage!$B$5:$B$204&gt;$B504)*(B_Drainage!$G$5:$G$204&lt;&gt;"")),IF(UPPER(B_Drainage!$G$5:$G$204)="Y",1,"")),"")</f>
        <v/>
      </c>
      <c r="Y504" s="181" t="str">
        <f>IFERROR(LOOKUP(2,1/((B_Drainage!$A$5:$A$204&lt;&gt;"")*(B_Drainage!$A$5:$A$204&lt;=$B504)*(B_Drainage!$B$5:$B$204&gt;$B504)*(B_Drainage!$H$5:$H$204&lt;&gt;"")),IF(UPPER(B_Drainage!$H$5:$H$204)="Y",1,"")),"")</f>
        <v/>
      </c>
      <c r="Z504" s="181" t="str">
        <f>IFERROR(LOOKUP(2,1/((B_Drainage!$A$5:$A$204&lt;&gt;"")*(B_Drainage!$A$5:$A$204&lt;=$B504)*(B_Drainage!$B$5:$B$204&gt;$B504)*(B_Drainage!$I$5:$I$204&lt;&gt;"")),IF(UPPER(B_Drainage!$I$5:$I$204)="Y",1,"")),"")</f>
        <v/>
      </c>
      <c r="AA504" s="181" t="str">
        <f>IFERROR(LOOKUP(2,1/((B_Drainage!$A$5:$A$204&lt;&gt;"")*(B_Drainage!$A$5:$A$204&lt;=$B504)*(B_Drainage!$B$5:$B$204&gt;$B504)*(B_Drainage!$J$5:$J$204&lt;&gt;"")),IF(UPPER(B_Drainage!$J$5:$J$204)="Y",1,"")),"")</f>
        <v/>
      </c>
      <c r="AB504" s="182" t="str">
        <f>IFERROR(LOOKUP(2,1/((B_Drainage!$A$5:$A$204&lt;&gt;"")*(B_Drainage!$A$5:$A$204&lt;=$B504)*(B_Drainage!$B$5:$B$204&gt;$B504)*(B_Drainage!$K$5:$K$204&lt;&gt;"")),IF(B_Drainage!$K$5:$K$204="-","",B_Drainage!$K$5:$K$204)),"")</f>
        <v/>
      </c>
      <c r="AC504" s="182" t="str">
        <f>IFERROR(LOOKUP(2,1/((B_Drainage!$A$5:$A$204&lt;&gt;"")*(B_Drainage!$A$5:$A$204&lt;=$B504)*(B_Drainage!$B$5:$B$204&gt;$B504)*(B_Drainage!$L$5:$L$204&lt;&gt;"")),IF(B_Drainage!$L$5:$L$204="-","",B_Drainage!$L$5:$L$204)),"")</f>
        <v/>
      </c>
      <c r="AD504" s="182" t="str">
        <f>IFERROR(LOOKUP(2,1/((D_Points!$A$5:$A$204&lt;&gt;"")*(D_Points!$A$5:$A$204&gt;=$B504)*(D_Points!$A$5:$A$204&lt;$B504+P_Interval)*(UPPER(TRIM(D_Points!$B$5:$B$204))="TURNOUT_L")*(D_Points!$H$5:$H$204&lt;&gt;"")),D_Points!$H$5:$H$204),"")</f>
        <v/>
      </c>
      <c r="AE504" s="182" t="str">
        <f>IFERROR(LOOKUP(2,1/((D_Points!$A$5:$A$204&lt;&gt;"")*(D_Points!$A$5:$A$204&gt;=$B504)*(D_Points!$A$5:$A$204&lt;$B504+P_Interval)*(UPPER(TRIM(D_Points!$B$5:$B$204))="TURNOUT_R")*(D_Points!$H$5:$H$204&lt;&gt;"")),D_Points!$H$5:$H$204),"")</f>
        <v/>
      </c>
      <c r="AF504" s="181" t="str">
        <f>IFERROR(LOOKUP(2,1/((B_Drainage!$A$5:$A$204&lt;&gt;"")*(B_Drainage!$A$5:$A$204&lt;=$B504)*(B_Drainage!$B$5:$B$204&gt;$B504)*(B_Drainage!$M$5:$M$204&lt;&gt;"")),IF(UPPER(B_Drainage!$M$5:$M$204)="Y",1,"")),"")</f>
        <v/>
      </c>
      <c r="AG504" s="181" t="str">
        <f>IFERROR(LOOKUP(2,1/((B_Drainage!$A$5:$A$204&lt;&gt;"")*(B_Drainage!$A$5:$A$204&lt;=$B504)*(B_Drainage!$B$5:$B$204&gt;$B504)*(B_Drainage!$N$5:$N$204&lt;&gt;"")),IF(UPPER(B_Drainage!$N$5:$N$204)="Y",1,"")),"")</f>
        <v/>
      </c>
      <c r="AH504" s="181" t="str">
        <f t="shared" si="56"/>
        <v/>
      </c>
      <c r="AI504" s="181" t="str">
        <f t="shared" si="57"/>
        <v/>
      </c>
      <c r="AJ504" s="181" t="str">
        <f t="shared" si="58"/>
        <v/>
      </c>
      <c r="AK504" s="181" t="str">
        <f t="shared" si="59"/>
        <v/>
      </c>
      <c r="AL504" s="181" t="str">
        <f t="shared" si="60"/>
        <v/>
      </c>
      <c r="AM504" s="181" t="str">
        <f t="shared" si="61"/>
        <v/>
      </c>
      <c r="AN504" s="181" t="str">
        <f t="shared" si="62"/>
        <v/>
      </c>
      <c r="AO504" s="192" t="str">
        <f t="shared" si="63"/>
        <v/>
      </c>
      <c r="AQ504" t="str">
        <f>IFERROR(LOOKUP(2,1/((C_Pavement!$A$5:$A$204&lt;&gt;"")*(C_Pavement!$A$5:$A$204&lt;=$B504)*(C_Pavement!$B$5:$B$204&gt;$B504)*(C_Pavement!$C$5:$C$204&lt;&gt;"")),ROW(C_Pavement!$C$5:$C$204)-4),"")</f>
        <v/>
      </c>
      <c r="AR504" t="str">
        <f>IF($AQ504="","",UPPER(TRIM(INDEX(C_Pavement!$C$5:$C$204,$AQ504))))</f>
        <v/>
      </c>
      <c r="AS504" t="str">
        <f>IF($AR504="","",IFERROR(MATCH($AR504,E_Rules!$A$5:$A$9,0),""))</f>
        <v/>
      </c>
      <c r="AT504" t="str">
        <f>IF($AQ504="","",IF(INDEX(C_Pavement!$D$5:$D$204,$AQ504)&lt;&gt;"",UPPER(TRIM(INDEX(C_Pavement!$D$5:$D$204,$AQ504))),IF($AS504="","",INDEX(E_Rules!$C$5:$C$9,$AS504))))</f>
        <v/>
      </c>
      <c r="AU504" t="str">
        <f>IF($AQ504="","",IF(INDEX(C_Pavement!$E$5:$E$204,$AQ504)&lt;&gt;"",IF(INDEX(C_Pavement!$E$5:$E$204,$AQ504)="-","",INDEX(C_Pavement!$E$5:$E$204,$AQ504)),IF($AS504="","",INDEX(E_Rules!$D$5:$D$9,$AS504))))</f>
        <v/>
      </c>
      <c r="AV504" t="str">
        <f>IF($AQ504="","",IF(INDEX(C_Pavement!$F$5:$F$204,$AQ504)&lt;&gt;"",IF(INDEX(C_Pavement!$F$5:$F$204,$AQ504)="-","",INDEX(C_Pavement!$F$5:$F$204,$AQ504)),IF($AS504="","",INDEX(E_Rules!$E$5:$E$9,$AS504))))</f>
        <v/>
      </c>
      <c r="AW504" t="str">
        <f>IF($AQ504="","",IF(INDEX(C_Pavement!$G$5:$G$204,$AQ504)&lt;&gt;"",IF(INDEX(C_Pavement!$G$5:$G$204,$AQ504)="-","",INDEX(C_Pavement!$G$5:$G$204,$AQ504)),IF($AS504="","",INDEX(E_Rules!$F$5:$F$9,$AS504))))</f>
        <v/>
      </c>
      <c r="AX504" t="str">
        <f>IF($AQ504="","",IF(INDEX(C_Pavement!$H$5:$H$204,$AQ504)&lt;&gt;"",IF(INDEX(C_Pavement!$H$5:$H$204,$AQ504)="-","",INDEX(C_Pavement!$H$5:$H$204,$AQ504)),IF($AS504="","",INDEX(E_Rules!$G$5:$G$9,$AS504))))</f>
        <v/>
      </c>
      <c r="AY504" t="str">
        <f>IF($AQ504="","",IF(INDEX(C_Pavement!$I$5:$I$204,$AQ504)&lt;&gt;"",IF(INDEX(C_Pavement!$I$5:$I$204,$AQ504)="-","",INDEX(C_Pavement!$I$5:$I$204,$AQ504)),IF($AS504="","",INDEX(E_Rules!$H$5:$H$9,$AS504))))</f>
        <v/>
      </c>
    </row>
    <row r="505" spans="1:51" ht="15.75" customHeight="1" x14ac:dyDescent="0.3">
      <c r="A505" s="189">
        <v>500</v>
      </c>
      <c r="B505" s="180">
        <v>24950</v>
      </c>
      <c r="C505" s="180" t="s">
        <v>811</v>
      </c>
      <c r="D505" s="181" t="str">
        <f>IFERROR(LOOKUP(2,1/((A_Corridor!$A$5:$A$204&lt;&gt;"")*(A_Corridor!$A$5:$A$204&lt;=$B505)*(A_Corridor!$B$5:$B$204&gt;$B505)*(A_Corridor!$C$5:$C$204&lt;&gt;"")),IF(UPPER(A_Corridor!$C$5:$C$204)="Y",1,"")),"")</f>
        <v/>
      </c>
      <c r="E505" s="181" t="str">
        <f>IFERROR(LOOKUP(2,1/((A_Corridor!$A$5:$A$204&lt;&gt;"")*(A_Corridor!$A$5:$A$204&lt;=$B505)*(A_Corridor!$B$5:$B$204&gt;$B505)*(A_Corridor!$D$5:$D$204&lt;&gt;"")),IF(A_Corridor!$D$5:$D$204="-","",UPPER(A_Corridor!$D$5:$D$204))),"")</f>
        <v/>
      </c>
      <c r="F505" s="181" t="str">
        <f>IFERROR(LOOKUP(2,1/((A_Corridor!$A$5:$A$204&lt;&gt;"")*(A_Corridor!$A$5:$A$204&lt;=$B505)*(A_Corridor!$B$5:$B$204&gt;$B505)*(A_Corridor!$E$5:$E$204&lt;&gt;"")),IF(A_Corridor!$E$5:$E$204="-","",1)),"")</f>
        <v/>
      </c>
      <c r="G505" s="182" t="str">
        <f>IFERROR(LOOKUP(2,1/((A_Corridor!$A$5:$A$204&lt;&gt;"")*(A_Corridor!$A$5:$A$204&lt;=$B505)*(A_Corridor!$B$5:$B$204&gt;$B505)*(A_Corridor!$E$5:$E$204&lt;&gt;"")),IF(A_Corridor!$E$5:$E$204="-","",A_Corridor!$E$5:$E$204)),"")</f>
        <v/>
      </c>
      <c r="H505" s="182" t="str">
        <f>IFERROR(LOOKUP(2,1/((D_Points!$A$5:$A$204&lt;&gt;"")*(D_Points!$A$5:$A$204&gt;=$B505)*(D_Points!$A$5:$A$204&lt;$B505+P_Interval)*(UPPER(TRIM(D_Points!$B$5:$B$204))="GULLY")*(D_Points!$H$5:$H$204&lt;&gt;"")),D_Points!$H$5:$H$204),"")</f>
        <v/>
      </c>
      <c r="I505" s="181" t="str">
        <f>IFERROR(LOOKUP(2,1/((A_Corridor!$A$5:$A$204&lt;&gt;"")*(A_Corridor!$A$5:$A$204&lt;=$B505)*(A_Corridor!$B$5:$B$204&gt;$B505)*(A_Corridor!$F$5:$F$204&lt;&gt;"")),IF(A_Corridor!$F$5:$F$204="-","",1)),"")</f>
        <v/>
      </c>
      <c r="J505" s="182" t="str">
        <f>IFERROR(LOOKUP(2,1/((A_Corridor!$A$5:$A$204&lt;&gt;"")*(A_Corridor!$A$5:$A$204&lt;=$B505)*(A_Corridor!$B$5:$B$204&gt;$B505)*(A_Corridor!$F$5:$F$204&lt;&gt;"")),IF(A_Corridor!$F$5:$F$204="-","",A_Corridor!$F$5:$F$204)),"")</f>
        <v/>
      </c>
      <c r="K505" s="182" t="str">
        <f>IFERROR(LOOKUP(2,1/((A_Corridor!$A$5:$A$204&lt;&gt;"")*(A_Corridor!$A$5:$A$204&lt;=$B505)*(A_Corridor!$B$5:$B$204&gt;$B505)*(A_Corridor!$G$5:$G$204&lt;&gt;"")),IF(A_Corridor!$G$5:$G$204="-","",A_Corridor!$G$5:$G$204)),"")</f>
        <v/>
      </c>
      <c r="L505" s="181" t="str">
        <f>IFERROR(LOOKUP(2,1/((A_Corridor!$A$5:$A$204&lt;&gt;"")*(A_Corridor!$A$5:$A$204&lt;=$B505)*(A_Corridor!$B$5:$B$204&gt;$B505)*(A_Corridor!$H$5:$H$204&lt;&gt;"")),IF(A_Corridor!$H$5:$H$204="-","",1)),"")</f>
        <v/>
      </c>
      <c r="M505" s="182" t="str">
        <f>IFERROR(LOOKUP(2,1/((A_Corridor!$A$5:$A$204&lt;&gt;"")*(A_Corridor!$A$5:$A$204&lt;=$B505)*(A_Corridor!$B$5:$B$204&gt;$B505)*(A_Corridor!$H$5:$H$204&lt;&gt;"")),IF(A_Corridor!$H$5:$H$204="-","",A_Corridor!$H$5:$H$204)),"")</f>
        <v/>
      </c>
      <c r="N505" s="182" t="str">
        <f>IFERROR(LOOKUP(2,1/((A_Corridor!$A$5:$A$204&lt;&gt;"")*(A_Corridor!$A$5:$A$204&lt;=$B505)*(A_Corridor!$B$5:$B$204&gt;$B505)*(A_Corridor!$I$5:$I$204&lt;&gt;"")),IF(A_Corridor!$I$5:$I$204="-","",A_Corridor!$I$5:$I$204)),"")</f>
        <v/>
      </c>
      <c r="O505" s="182" t="str">
        <f>IFERROR(LOOKUP(2,1/((D_Points!$A$5:$A$204&lt;&gt;"")*(D_Points!$A$5:$A$204&gt;=$B505)*(D_Points!$A$5:$A$204&lt;$B505+P_Interval)*(UPPER(TRIM(D_Points!$B$5:$B$204))="PITCHING")*(D_Points!$H$5:$H$204&lt;&gt;"")),D_Points!$H$5:$H$204),"")</f>
        <v/>
      </c>
      <c r="P505" s="181" t="str">
        <f>IFERROR(LOOKUP(2,1/((B_Drainage!$A$5:$A$204&lt;&gt;"")*(B_Drainage!$A$5:$A$204&lt;=$B505)*(B_Drainage!$B$5:$B$204&gt;$B505)*(B_Drainage!$C$5:$C$204&lt;&gt;"")),IF(B_Drainage!$C$5:$C$204="-","",UPPER(B_Drainage!$C$5:$C$204))),"")</f>
        <v/>
      </c>
      <c r="Q505" s="181" t="str">
        <f>IFERROR(LOOKUP(2,1/((B_Drainage!$A$5:$A$204&lt;&gt;"")*(B_Drainage!$A$5:$A$204&lt;=$B505)*(B_Drainage!$B$5:$B$204&gt;$B505)*(B_Drainage!$D$5:$D$204&lt;&gt;"")),IF(B_Drainage!$D$5:$D$204="-","",UPPER(B_Drainage!$D$5:$D$204))),"")</f>
        <v/>
      </c>
      <c r="R505" s="182" t="str">
        <f>IFERROR(LOOKUP(2,1/((D_Points!$A$5:$A$204&lt;&gt;"")*(D_Points!$A$5:$A$204&gt;=$B505)*(D_Points!$A$5:$A$204&lt;$B505+P_Interval)*(RIGHT(UPPER(TRIM(D_Points!$B$5:$B$204)),8)="_CULVERT")),IF(LEFT(UPPER(TRIM(D_Points!$B$5:$B$204)),2)="EX",1,IF(LEFT(UPPER(TRIM(D_Points!$B$5:$B$204)),2)="PR",2,3))),"")</f>
        <v/>
      </c>
      <c r="S505" s="182" t="str">
        <f>IFERROR(LOOKUP(2,1/((D_Points!$A$5:$A$204&lt;&gt;"")*(D_Points!$A$5:$A$204&gt;=$B505)*(D_Points!$A$5:$A$204&lt;$B505+P_Interval)*(RIGHT(UPPER(TRIM(D_Points!$B$5:$B$204)),7)="_BRIDGE")),IF(LEFT(UPPER(TRIM(D_Points!$B$5:$B$204)),2)="EX",1,IF(LEFT(UPPER(TRIM(D_Points!$B$5:$B$204)),2)="PR",2,2))),"")</f>
        <v/>
      </c>
      <c r="T505" s="181" t="str">
        <f>IFERROR(LOOKUP(2,1/((B_Drainage!$A$5:$A$204&lt;&gt;"")*(B_Drainage!$A$5:$A$204&lt;=$B505)*(B_Drainage!$B$5:$B$204&gt;$B505)*(B_Drainage!$E$5:$E$204&lt;&gt;"")),IF(B_Drainage!$E$5:$E$204="-","",1)),"")</f>
        <v/>
      </c>
      <c r="U505" s="181" t="str">
        <f>IFERROR(LOOKUP(2,1/((B_Drainage!$A$5:$A$204&lt;&gt;"")*(B_Drainage!$A$5:$A$204&lt;=$B505)*(B_Drainage!$B$5:$B$204&gt;$B505)*(B_Drainage!$E$5:$E$204&lt;&gt;"")),IF(B_Drainage!$E$5:$E$204="-","",B_Drainage!$E$5:$E$204)),"")</f>
        <v/>
      </c>
      <c r="V505" s="181" t="str">
        <f>IFERROR(LOOKUP(2,1/((B_Drainage!$A$5:$A$204&lt;&gt;"")*(B_Drainage!$A$5:$A$204&lt;=$B505)*(B_Drainage!$B$5:$B$204&gt;$B505)*(B_Drainage!$F$5:$F$204&lt;&gt;"")),IF(B_Drainage!$F$5:$F$204="-","",1)),"")</f>
        <v/>
      </c>
      <c r="W505" s="181" t="str">
        <f>IFERROR(LOOKUP(2,1/((B_Drainage!$A$5:$A$204&lt;&gt;"")*(B_Drainage!$A$5:$A$204&lt;=$B505)*(B_Drainage!$B$5:$B$204&gt;$B505)*(B_Drainage!$F$5:$F$204&lt;&gt;"")),IF(B_Drainage!$F$5:$F$204="-","",B_Drainage!$F$5:$F$204)),"")</f>
        <v/>
      </c>
      <c r="X505" s="181" t="str">
        <f>IFERROR(LOOKUP(2,1/((B_Drainage!$A$5:$A$204&lt;&gt;"")*(B_Drainage!$A$5:$A$204&lt;=$B505)*(B_Drainage!$B$5:$B$204&gt;$B505)*(B_Drainage!$G$5:$G$204&lt;&gt;"")),IF(UPPER(B_Drainage!$G$5:$G$204)="Y",1,"")),"")</f>
        <v/>
      </c>
      <c r="Y505" s="181" t="str">
        <f>IFERROR(LOOKUP(2,1/((B_Drainage!$A$5:$A$204&lt;&gt;"")*(B_Drainage!$A$5:$A$204&lt;=$B505)*(B_Drainage!$B$5:$B$204&gt;$B505)*(B_Drainage!$H$5:$H$204&lt;&gt;"")),IF(UPPER(B_Drainage!$H$5:$H$204)="Y",1,"")),"")</f>
        <v/>
      </c>
      <c r="Z505" s="181" t="str">
        <f>IFERROR(LOOKUP(2,1/((B_Drainage!$A$5:$A$204&lt;&gt;"")*(B_Drainage!$A$5:$A$204&lt;=$B505)*(B_Drainage!$B$5:$B$204&gt;$B505)*(B_Drainage!$I$5:$I$204&lt;&gt;"")),IF(UPPER(B_Drainage!$I$5:$I$204)="Y",1,"")),"")</f>
        <v/>
      </c>
      <c r="AA505" s="181" t="str">
        <f>IFERROR(LOOKUP(2,1/((B_Drainage!$A$5:$A$204&lt;&gt;"")*(B_Drainage!$A$5:$A$204&lt;=$B505)*(B_Drainage!$B$5:$B$204&gt;$B505)*(B_Drainage!$J$5:$J$204&lt;&gt;"")),IF(UPPER(B_Drainage!$J$5:$J$204)="Y",1,"")),"")</f>
        <v/>
      </c>
      <c r="AB505" s="182" t="str">
        <f>IFERROR(LOOKUP(2,1/((B_Drainage!$A$5:$A$204&lt;&gt;"")*(B_Drainage!$A$5:$A$204&lt;=$B505)*(B_Drainage!$B$5:$B$204&gt;$B505)*(B_Drainage!$K$5:$K$204&lt;&gt;"")),IF(B_Drainage!$K$5:$K$204="-","",B_Drainage!$K$5:$K$204)),"")</f>
        <v/>
      </c>
      <c r="AC505" s="182" t="str">
        <f>IFERROR(LOOKUP(2,1/((B_Drainage!$A$5:$A$204&lt;&gt;"")*(B_Drainage!$A$5:$A$204&lt;=$B505)*(B_Drainage!$B$5:$B$204&gt;$B505)*(B_Drainage!$L$5:$L$204&lt;&gt;"")),IF(B_Drainage!$L$5:$L$204="-","",B_Drainage!$L$5:$L$204)),"")</f>
        <v/>
      </c>
      <c r="AD505" s="182" t="str">
        <f>IFERROR(LOOKUP(2,1/((D_Points!$A$5:$A$204&lt;&gt;"")*(D_Points!$A$5:$A$204&gt;=$B505)*(D_Points!$A$5:$A$204&lt;$B505+P_Interval)*(UPPER(TRIM(D_Points!$B$5:$B$204))="TURNOUT_L")*(D_Points!$H$5:$H$204&lt;&gt;"")),D_Points!$H$5:$H$204),"")</f>
        <v/>
      </c>
      <c r="AE505" s="182" t="str">
        <f>IFERROR(LOOKUP(2,1/((D_Points!$A$5:$A$204&lt;&gt;"")*(D_Points!$A$5:$A$204&gt;=$B505)*(D_Points!$A$5:$A$204&lt;$B505+P_Interval)*(UPPER(TRIM(D_Points!$B$5:$B$204))="TURNOUT_R")*(D_Points!$H$5:$H$204&lt;&gt;"")),D_Points!$H$5:$H$204),"")</f>
        <v/>
      </c>
      <c r="AF505" s="181" t="str">
        <f>IFERROR(LOOKUP(2,1/((B_Drainage!$A$5:$A$204&lt;&gt;"")*(B_Drainage!$A$5:$A$204&lt;=$B505)*(B_Drainage!$B$5:$B$204&gt;$B505)*(B_Drainage!$M$5:$M$204&lt;&gt;"")),IF(UPPER(B_Drainage!$M$5:$M$204)="Y",1,"")),"")</f>
        <v/>
      </c>
      <c r="AG505" s="181" t="str">
        <f>IFERROR(LOOKUP(2,1/((B_Drainage!$A$5:$A$204&lt;&gt;"")*(B_Drainage!$A$5:$A$204&lt;=$B505)*(B_Drainage!$B$5:$B$204&gt;$B505)*(B_Drainage!$N$5:$N$204&lt;&gt;"")),IF(UPPER(B_Drainage!$N$5:$N$204)="Y",1,"")),"")</f>
        <v/>
      </c>
      <c r="AH505" s="181" t="str">
        <f t="shared" si="56"/>
        <v/>
      </c>
      <c r="AI505" s="181" t="str">
        <f t="shared" si="57"/>
        <v/>
      </c>
      <c r="AJ505" s="181" t="str">
        <f t="shared" si="58"/>
        <v/>
      </c>
      <c r="AK505" s="181" t="str">
        <f t="shared" si="59"/>
        <v/>
      </c>
      <c r="AL505" s="181" t="str">
        <f t="shared" si="60"/>
        <v/>
      </c>
      <c r="AM505" s="181" t="str">
        <f t="shared" si="61"/>
        <v/>
      </c>
      <c r="AN505" s="181" t="str">
        <f t="shared" si="62"/>
        <v/>
      </c>
      <c r="AO505" s="192" t="str">
        <f t="shared" si="63"/>
        <v/>
      </c>
      <c r="AQ505" t="str">
        <f>IFERROR(LOOKUP(2,1/((C_Pavement!$A$5:$A$204&lt;&gt;"")*(C_Pavement!$A$5:$A$204&lt;=$B505)*(C_Pavement!$B$5:$B$204&gt;$B505)*(C_Pavement!$C$5:$C$204&lt;&gt;"")),ROW(C_Pavement!$C$5:$C$204)-4),"")</f>
        <v/>
      </c>
      <c r="AR505" t="str">
        <f>IF($AQ505="","",UPPER(TRIM(INDEX(C_Pavement!$C$5:$C$204,$AQ505))))</f>
        <v/>
      </c>
      <c r="AS505" t="str">
        <f>IF($AR505="","",IFERROR(MATCH($AR505,E_Rules!$A$5:$A$9,0),""))</f>
        <v/>
      </c>
      <c r="AT505" t="str">
        <f>IF($AQ505="","",IF(INDEX(C_Pavement!$D$5:$D$204,$AQ505)&lt;&gt;"",UPPER(TRIM(INDEX(C_Pavement!$D$5:$D$204,$AQ505))),IF($AS505="","",INDEX(E_Rules!$C$5:$C$9,$AS505))))</f>
        <v/>
      </c>
      <c r="AU505" t="str">
        <f>IF($AQ505="","",IF(INDEX(C_Pavement!$E$5:$E$204,$AQ505)&lt;&gt;"",IF(INDEX(C_Pavement!$E$5:$E$204,$AQ505)="-","",INDEX(C_Pavement!$E$5:$E$204,$AQ505)),IF($AS505="","",INDEX(E_Rules!$D$5:$D$9,$AS505))))</f>
        <v/>
      </c>
      <c r="AV505" t="str">
        <f>IF($AQ505="","",IF(INDEX(C_Pavement!$F$5:$F$204,$AQ505)&lt;&gt;"",IF(INDEX(C_Pavement!$F$5:$F$204,$AQ505)="-","",INDEX(C_Pavement!$F$5:$F$204,$AQ505)),IF($AS505="","",INDEX(E_Rules!$E$5:$E$9,$AS505))))</f>
        <v/>
      </c>
      <c r="AW505" t="str">
        <f>IF($AQ505="","",IF(INDEX(C_Pavement!$G$5:$G$204,$AQ505)&lt;&gt;"",IF(INDEX(C_Pavement!$G$5:$G$204,$AQ505)="-","",INDEX(C_Pavement!$G$5:$G$204,$AQ505)),IF($AS505="","",INDEX(E_Rules!$F$5:$F$9,$AS505))))</f>
        <v/>
      </c>
      <c r="AX505" t="str">
        <f>IF($AQ505="","",IF(INDEX(C_Pavement!$H$5:$H$204,$AQ505)&lt;&gt;"",IF(INDEX(C_Pavement!$H$5:$H$204,$AQ505)="-","",INDEX(C_Pavement!$H$5:$H$204,$AQ505)),IF($AS505="","",INDEX(E_Rules!$G$5:$G$9,$AS505))))</f>
        <v/>
      </c>
      <c r="AY505" t="str">
        <f>IF($AQ505="","",IF(INDEX(C_Pavement!$I$5:$I$204,$AQ505)&lt;&gt;"",IF(INDEX(C_Pavement!$I$5:$I$204,$AQ505)="-","",INDEX(C_Pavement!$I$5:$I$204,$AQ505)),IF($AS505="","",INDEX(E_Rules!$H$5:$H$9,$AS505))))</f>
        <v/>
      </c>
    </row>
    <row r="506" spans="1:51" ht="15.75" customHeight="1" x14ac:dyDescent="0.3">
      <c r="A506" s="189">
        <v>501</v>
      </c>
      <c r="B506" s="180">
        <v>25000</v>
      </c>
      <c r="C506" s="180" t="s">
        <v>812</v>
      </c>
      <c r="D506" s="181" t="str">
        <f>IFERROR(LOOKUP(2,1/((A_Corridor!$A$5:$A$204&lt;&gt;"")*(A_Corridor!$A$5:$A$204&lt;=$B506)*(A_Corridor!$B$5:$B$204&gt;$B506)*(A_Corridor!$C$5:$C$204&lt;&gt;"")),IF(UPPER(A_Corridor!$C$5:$C$204)="Y",1,"")),"")</f>
        <v/>
      </c>
      <c r="E506" s="181" t="str">
        <f>IFERROR(LOOKUP(2,1/((A_Corridor!$A$5:$A$204&lt;&gt;"")*(A_Corridor!$A$5:$A$204&lt;=$B506)*(A_Corridor!$B$5:$B$204&gt;$B506)*(A_Corridor!$D$5:$D$204&lt;&gt;"")),IF(A_Corridor!$D$5:$D$204="-","",UPPER(A_Corridor!$D$5:$D$204))),"")</f>
        <v/>
      </c>
      <c r="F506" s="181" t="str">
        <f>IFERROR(LOOKUP(2,1/((A_Corridor!$A$5:$A$204&lt;&gt;"")*(A_Corridor!$A$5:$A$204&lt;=$B506)*(A_Corridor!$B$5:$B$204&gt;$B506)*(A_Corridor!$E$5:$E$204&lt;&gt;"")),IF(A_Corridor!$E$5:$E$204="-","",1)),"")</f>
        <v/>
      </c>
      <c r="G506" s="182" t="str">
        <f>IFERROR(LOOKUP(2,1/((A_Corridor!$A$5:$A$204&lt;&gt;"")*(A_Corridor!$A$5:$A$204&lt;=$B506)*(A_Corridor!$B$5:$B$204&gt;$B506)*(A_Corridor!$E$5:$E$204&lt;&gt;"")),IF(A_Corridor!$E$5:$E$204="-","",A_Corridor!$E$5:$E$204)),"")</f>
        <v/>
      </c>
      <c r="H506" s="182" t="str">
        <f>IFERROR(LOOKUP(2,1/((D_Points!$A$5:$A$204&lt;&gt;"")*(D_Points!$A$5:$A$204&gt;=$B506)*(D_Points!$A$5:$A$204&lt;$B506+P_Interval)*(UPPER(TRIM(D_Points!$B$5:$B$204))="GULLY")*(D_Points!$H$5:$H$204&lt;&gt;"")),D_Points!$H$5:$H$204),"")</f>
        <v/>
      </c>
      <c r="I506" s="181" t="str">
        <f>IFERROR(LOOKUP(2,1/((A_Corridor!$A$5:$A$204&lt;&gt;"")*(A_Corridor!$A$5:$A$204&lt;=$B506)*(A_Corridor!$B$5:$B$204&gt;$B506)*(A_Corridor!$F$5:$F$204&lt;&gt;"")),IF(A_Corridor!$F$5:$F$204="-","",1)),"")</f>
        <v/>
      </c>
      <c r="J506" s="182" t="str">
        <f>IFERROR(LOOKUP(2,1/((A_Corridor!$A$5:$A$204&lt;&gt;"")*(A_Corridor!$A$5:$A$204&lt;=$B506)*(A_Corridor!$B$5:$B$204&gt;$B506)*(A_Corridor!$F$5:$F$204&lt;&gt;"")),IF(A_Corridor!$F$5:$F$204="-","",A_Corridor!$F$5:$F$204)),"")</f>
        <v/>
      </c>
      <c r="K506" s="182" t="str">
        <f>IFERROR(LOOKUP(2,1/((A_Corridor!$A$5:$A$204&lt;&gt;"")*(A_Corridor!$A$5:$A$204&lt;=$B506)*(A_Corridor!$B$5:$B$204&gt;$B506)*(A_Corridor!$G$5:$G$204&lt;&gt;"")),IF(A_Corridor!$G$5:$G$204="-","",A_Corridor!$G$5:$G$204)),"")</f>
        <v/>
      </c>
      <c r="L506" s="181" t="str">
        <f>IFERROR(LOOKUP(2,1/((A_Corridor!$A$5:$A$204&lt;&gt;"")*(A_Corridor!$A$5:$A$204&lt;=$B506)*(A_Corridor!$B$5:$B$204&gt;$B506)*(A_Corridor!$H$5:$H$204&lt;&gt;"")),IF(A_Corridor!$H$5:$H$204="-","",1)),"")</f>
        <v/>
      </c>
      <c r="M506" s="182" t="str">
        <f>IFERROR(LOOKUP(2,1/((A_Corridor!$A$5:$A$204&lt;&gt;"")*(A_Corridor!$A$5:$A$204&lt;=$B506)*(A_Corridor!$B$5:$B$204&gt;$B506)*(A_Corridor!$H$5:$H$204&lt;&gt;"")),IF(A_Corridor!$H$5:$H$204="-","",A_Corridor!$H$5:$H$204)),"")</f>
        <v/>
      </c>
      <c r="N506" s="182" t="str">
        <f>IFERROR(LOOKUP(2,1/((A_Corridor!$A$5:$A$204&lt;&gt;"")*(A_Corridor!$A$5:$A$204&lt;=$B506)*(A_Corridor!$B$5:$B$204&gt;$B506)*(A_Corridor!$I$5:$I$204&lt;&gt;"")),IF(A_Corridor!$I$5:$I$204="-","",A_Corridor!$I$5:$I$204)),"")</f>
        <v/>
      </c>
      <c r="O506" s="182" t="str">
        <f>IFERROR(LOOKUP(2,1/((D_Points!$A$5:$A$204&lt;&gt;"")*(D_Points!$A$5:$A$204&gt;=$B506)*(D_Points!$A$5:$A$204&lt;$B506+P_Interval)*(UPPER(TRIM(D_Points!$B$5:$B$204))="PITCHING")*(D_Points!$H$5:$H$204&lt;&gt;"")),D_Points!$H$5:$H$204),"")</f>
        <v/>
      </c>
      <c r="P506" s="181" t="str">
        <f>IFERROR(LOOKUP(2,1/((B_Drainage!$A$5:$A$204&lt;&gt;"")*(B_Drainage!$A$5:$A$204&lt;=$B506)*(B_Drainage!$B$5:$B$204&gt;$B506)*(B_Drainage!$C$5:$C$204&lt;&gt;"")),IF(B_Drainage!$C$5:$C$204="-","",UPPER(B_Drainage!$C$5:$C$204))),"")</f>
        <v/>
      </c>
      <c r="Q506" s="181" t="str">
        <f>IFERROR(LOOKUP(2,1/((B_Drainage!$A$5:$A$204&lt;&gt;"")*(B_Drainage!$A$5:$A$204&lt;=$B506)*(B_Drainage!$B$5:$B$204&gt;$B506)*(B_Drainage!$D$5:$D$204&lt;&gt;"")),IF(B_Drainage!$D$5:$D$204="-","",UPPER(B_Drainage!$D$5:$D$204))),"")</f>
        <v/>
      </c>
      <c r="R506" s="182" t="str">
        <f>IFERROR(LOOKUP(2,1/((D_Points!$A$5:$A$204&lt;&gt;"")*(D_Points!$A$5:$A$204&gt;=$B506)*(D_Points!$A$5:$A$204&lt;$B506+P_Interval)*(RIGHT(UPPER(TRIM(D_Points!$B$5:$B$204)),8)="_CULVERT")),IF(LEFT(UPPER(TRIM(D_Points!$B$5:$B$204)),2)="EX",1,IF(LEFT(UPPER(TRIM(D_Points!$B$5:$B$204)),2)="PR",2,3))),"")</f>
        <v/>
      </c>
      <c r="S506" s="182" t="str">
        <f>IFERROR(LOOKUP(2,1/((D_Points!$A$5:$A$204&lt;&gt;"")*(D_Points!$A$5:$A$204&gt;=$B506)*(D_Points!$A$5:$A$204&lt;$B506+P_Interval)*(RIGHT(UPPER(TRIM(D_Points!$B$5:$B$204)),7)="_BRIDGE")),IF(LEFT(UPPER(TRIM(D_Points!$B$5:$B$204)),2)="EX",1,IF(LEFT(UPPER(TRIM(D_Points!$B$5:$B$204)),2)="PR",2,2))),"")</f>
        <v/>
      </c>
      <c r="T506" s="181" t="str">
        <f>IFERROR(LOOKUP(2,1/((B_Drainage!$A$5:$A$204&lt;&gt;"")*(B_Drainage!$A$5:$A$204&lt;=$B506)*(B_Drainage!$B$5:$B$204&gt;$B506)*(B_Drainage!$E$5:$E$204&lt;&gt;"")),IF(B_Drainage!$E$5:$E$204="-","",1)),"")</f>
        <v/>
      </c>
      <c r="U506" s="181" t="str">
        <f>IFERROR(LOOKUP(2,1/((B_Drainage!$A$5:$A$204&lt;&gt;"")*(B_Drainage!$A$5:$A$204&lt;=$B506)*(B_Drainage!$B$5:$B$204&gt;$B506)*(B_Drainage!$E$5:$E$204&lt;&gt;"")),IF(B_Drainage!$E$5:$E$204="-","",B_Drainage!$E$5:$E$204)),"")</f>
        <v/>
      </c>
      <c r="V506" s="181" t="str">
        <f>IFERROR(LOOKUP(2,1/((B_Drainage!$A$5:$A$204&lt;&gt;"")*(B_Drainage!$A$5:$A$204&lt;=$B506)*(B_Drainage!$B$5:$B$204&gt;$B506)*(B_Drainage!$F$5:$F$204&lt;&gt;"")),IF(B_Drainage!$F$5:$F$204="-","",1)),"")</f>
        <v/>
      </c>
      <c r="W506" s="181" t="str">
        <f>IFERROR(LOOKUP(2,1/((B_Drainage!$A$5:$A$204&lt;&gt;"")*(B_Drainage!$A$5:$A$204&lt;=$B506)*(B_Drainage!$B$5:$B$204&gt;$B506)*(B_Drainage!$F$5:$F$204&lt;&gt;"")),IF(B_Drainage!$F$5:$F$204="-","",B_Drainage!$F$5:$F$204)),"")</f>
        <v/>
      </c>
      <c r="X506" s="181" t="str">
        <f>IFERROR(LOOKUP(2,1/((B_Drainage!$A$5:$A$204&lt;&gt;"")*(B_Drainage!$A$5:$A$204&lt;=$B506)*(B_Drainage!$B$5:$B$204&gt;$B506)*(B_Drainage!$G$5:$G$204&lt;&gt;"")),IF(UPPER(B_Drainage!$G$5:$G$204)="Y",1,"")),"")</f>
        <v/>
      </c>
      <c r="Y506" s="181" t="str">
        <f>IFERROR(LOOKUP(2,1/((B_Drainage!$A$5:$A$204&lt;&gt;"")*(B_Drainage!$A$5:$A$204&lt;=$B506)*(B_Drainage!$B$5:$B$204&gt;$B506)*(B_Drainage!$H$5:$H$204&lt;&gt;"")),IF(UPPER(B_Drainage!$H$5:$H$204)="Y",1,"")),"")</f>
        <v/>
      </c>
      <c r="Z506" s="181" t="str">
        <f>IFERROR(LOOKUP(2,1/((B_Drainage!$A$5:$A$204&lt;&gt;"")*(B_Drainage!$A$5:$A$204&lt;=$B506)*(B_Drainage!$B$5:$B$204&gt;$B506)*(B_Drainage!$I$5:$I$204&lt;&gt;"")),IF(UPPER(B_Drainage!$I$5:$I$204)="Y",1,"")),"")</f>
        <v/>
      </c>
      <c r="AA506" s="181" t="str">
        <f>IFERROR(LOOKUP(2,1/((B_Drainage!$A$5:$A$204&lt;&gt;"")*(B_Drainage!$A$5:$A$204&lt;=$B506)*(B_Drainage!$B$5:$B$204&gt;$B506)*(B_Drainage!$J$5:$J$204&lt;&gt;"")),IF(UPPER(B_Drainage!$J$5:$J$204)="Y",1,"")),"")</f>
        <v/>
      </c>
      <c r="AB506" s="182" t="str">
        <f>IFERROR(LOOKUP(2,1/((B_Drainage!$A$5:$A$204&lt;&gt;"")*(B_Drainage!$A$5:$A$204&lt;=$B506)*(B_Drainage!$B$5:$B$204&gt;$B506)*(B_Drainage!$K$5:$K$204&lt;&gt;"")),IF(B_Drainage!$K$5:$K$204="-","",B_Drainage!$K$5:$K$204)),"")</f>
        <v/>
      </c>
      <c r="AC506" s="182" t="str">
        <f>IFERROR(LOOKUP(2,1/((B_Drainage!$A$5:$A$204&lt;&gt;"")*(B_Drainage!$A$5:$A$204&lt;=$B506)*(B_Drainage!$B$5:$B$204&gt;$B506)*(B_Drainage!$L$5:$L$204&lt;&gt;"")),IF(B_Drainage!$L$5:$L$204="-","",B_Drainage!$L$5:$L$204)),"")</f>
        <v/>
      </c>
      <c r="AD506" s="182" t="str">
        <f>IFERROR(LOOKUP(2,1/((D_Points!$A$5:$A$204&lt;&gt;"")*(D_Points!$A$5:$A$204&gt;=$B506)*(D_Points!$A$5:$A$204&lt;$B506+P_Interval)*(UPPER(TRIM(D_Points!$B$5:$B$204))="TURNOUT_L")*(D_Points!$H$5:$H$204&lt;&gt;"")),D_Points!$H$5:$H$204),"")</f>
        <v/>
      </c>
      <c r="AE506" s="182" t="str">
        <f>IFERROR(LOOKUP(2,1/((D_Points!$A$5:$A$204&lt;&gt;"")*(D_Points!$A$5:$A$204&gt;=$B506)*(D_Points!$A$5:$A$204&lt;$B506+P_Interval)*(UPPER(TRIM(D_Points!$B$5:$B$204))="TURNOUT_R")*(D_Points!$H$5:$H$204&lt;&gt;"")),D_Points!$H$5:$H$204),"")</f>
        <v/>
      </c>
      <c r="AF506" s="181" t="str">
        <f>IFERROR(LOOKUP(2,1/((B_Drainage!$A$5:$A$204&lt;&gt;"")*(B_Drainage!$A$5:$A$204&lt;=$B506)*(B_Drainage!$B$5:$B$204&gt;$B506)*(B_Drainage!$M$5:$M$204&lt;&gt;"")),IF(UPPER(B_Drainage!$M$5:$M$204)="Y",1,"")),"")</f>
        <v/>
      </c>
      <c r="AG506" s="181" t="str">
        <f>IFERROR(LOOKUP(2,1/((B_Drainage!$A$5:$A$204&lt;&gt;"")*(B_Drainage!$A$5:$A$204&lt;=$B506)*(B_Drainage!$B$5:$B$204&gt;$B506)*(B_Drainage!$N$5:$N$204&lt;&gt;"")),IF(UPPER(B_Drainage!$N$5:$N$204)="Y",1,"")),"")</f>
        <v/>
      </c>
      <c r="AH506" s="181" t="str">
        <f t="shared" si="56"/>
        <v/>
      </c>
      <c r="AI506" s="181" t="str">
        <f t="shared" si="57"/>
        <v/>
      </c>
      <c r="AJ506" s="181" t="str">
        <f t="shared" si="58"/>
        <v/>
      </c>
      <c r="AK506" s="181" t="str">
        <f t="shared" si="59"/>
        <v/>
      </c>
      <c r="AL506" s="181" t="str">
        <f t="shared" si="60"/>
        <v/>
      </c>
      <c r="AM506" s="181" t="str">
        <f t="shared" si="61"/>
        <v/>
      </c>
      <c r="AN506" s="181" t="str">
        <f t="shared" si="62"/>
        <v/>
      </c>
      <c r="AO506" s="192" t="str">
        <f t="shared" si="63"/>
        <v/>
      </c>
      <c r="AQ506" t="str">
        <f>IFERROR(LOOKUP(2,1/((C_Pavement!$A$5:$A$204&lt;&gt;"")*(C_Pavement!$A$5:$A$204&lt;=$B506)*(C_Pavement!$B$5:$B$204&gt;$B506)*(C_Pavement!$C$5:$C$204&lt;&gt;"")),ROW(C_Pavement!$C$5:$C$204)-4),"")</f>
        <v/>
      </c>
      <c r="AR506" t="str">
        <f>IF($AQ506="","",UPPER(TRIM(INDEX(C_Pavement!$C$5:$C$204,$AQ506))))</f>
        <v/>
      </c>
      <c r="AS506" t="str">
        <f>IF($AR506="","",IFERROR(MATCH($AR506,E_Rules!$A$5:$A$9,0),""))</f>
        <v/>
      </c>
      <c r="AT506" t="str">
        <f>IF($AQ506="","",IF(INDEX(C_Pavement!$D$5:$D$204,$AQ506)&lt;&gt;"",UPPER(TRIM(INDEX(C_Pavement!$D$5:$D$204,$AQ506))),IF($AS506="","",INDEX(E_Rules!$C$5:$C$9,$AS506))))</f>
        <v/>
      </c>
      <c r="AU506" t="str">
        <f>IF($AQ506="","",IF(INDEX(C_Pavement!$E$5:$E$204,$AQ506)&lt;&gt;"",IF(INDEX(C_Pavement!$E$5:$E$204,$AQ506)="-","",INDEX(C_Pavement!$E$5:$E$204,$AQ506)),IF($AS506="","",INDEX(E_Rules!$D$5:$D$9,$AS506))))</f>
        <v/>
      </c>
      <c r="AV506" t="str">
        <f>IF($AQ506="","",IF(INDEX(C_Pavement!$F$5:$F$204,$AQ506)&lt;&gt;"",IF(INDEX(C_Pavement!$F$5:$F$204,$AQ506)="-","",INDEX(C_Pavement!$F$5:$F$204,$AQ506)),IF($AS506="","",INDEX(E_Rules!$E$5:$E$9,$AS506))))</f>
        <v/>
      </c>
      <c r="AW506" t="str">
        <f>IF($AQ506="","",IF(INDEX(C_Pavement!$G$5:$G$204,$AQ506)&lt;&gt;"",IF(INDEX(C_Pavement!$G$5:$G$204,$AQ506)="-","",INDEX(C_Pavement!$G$5:$G$204,$AQ506)),IF($AS506="","",INDEX(E_Rules!$F$5:$F$9,$AS506))))</f>
        <v/>
      </c>
      <c r="AX506" t="str">
        <f>IF($AQ506="","",IF(INDEX(C_Pavement!$H$5:$H$204,$AQ506)&lt;&gt;"",IF(INDEX(C_Pavement!$H$5:$H$204,$AQ506)="-","",INDEX(C_Pavement!$H$5:$H$204,$AQ506)),IF($AS506="","",INDEX(E_Rules!$G$5:$G$9,$AS506))))</f>
        <v/>
      </c>
      <c r="AY506" t="str">
        <f>IF($AQ506="","",IF(INDEX(C_Pavement!$I$5:$I$204,$AQ506)&lt;&gt;"",IF(INDEX(C_Pavement!$I$5:$I$204,$AQ506)="-","",INDEX(C_Pavement!$I$5:$I$204,$AQ506)),IF($AS506="","",INDEX(E_Rules!$H$5:$H$9,$AS506))))</f>
        <v/>
      </c>
    </row>
    <row r="507" spans="1:51" ht="15.75" customHeight="1" x14ac:dyDescent="0.3">
      <c r="A507" s="189">
        <v>502</v>
      </c>
      <c r="B507" s="180">
        <v>25050</v>
      </c>
      <c r="C507" s="180" t="s">
        <v>813</v>
      </c>
      <c r="D507" s="181" t="str">
        <f>IFERROR(LOOKUP(2,1/((A_Corridor!$A$5:$A$204&lt;&gt;"")*(A_Corridor!$A$5:$A$204&lt;=$B507)*(A_Corridor!$B$5:$B$204&gt;$B507)*(A_Corridor!$C$5:$C$204&lt;&gt;"")),IF(UPPER(A_Corridor!$C$5:$C$204)="Y",1,"")),"")</f>
        <v/>
      </c>
      <c r="E507" s="181" t="str">
        <f>IFERROR(LOOKUP(2,1/((A_Corridor!$A$5:$A$204&lt;&gt;"")*(A_Corridor!$A$5:$A$204&lt;=$B507)*(A_Corridor!$B$5:$B$204&gt;$B507)*(A_Corridor!$D$5:$D$204&lt;&gt;"")),IF(A_Corridor!$D$5:$D$204="-","",UPPER(A_Corridor!$D$5:$D$204))),"")</f>
        <v/>
      </c>
      <c r="F507" s="181" t="str">
        <f>IFERROR(LOOKUP(2,1/((A_Corridor!$A$5:$A$204&lt;&gt;"")*(A_Corridor!$A$5:$A$204&lt;=$B507)*(A_Corridor!$B$5:$B$204&gt;$B507)*(A_Corridor!$E$5:$E$204&lt;&gt;"")),IF(A_Corridor!$E$5:$E$204="-","",1)),"")</f>
        <v/>
      </c>
      <c r="G507" s="182" t="str">
        <f>IFERROR(LOOKUP(2,1/((A_Corridor!$A$5:$A$204&lt;&gt;"")*(A_Corridor!$A$5:$A$204&lt;=$B507)*(A_Corridor!$B$5:$B$204&gt;$B507)*(A_Corridor!$E$5:$E$204&lt;&gt;"")),IF(A_Corridor!$E$5:$E$204="-","",A_Corridor!$E$5:$E$204)),"")</f>
        <v/>
      </c>
      <c r="H507" s="182" t="str">
        <f>IFERROR(LOOKUP(2,1/((D_Points!$A$5:$A$204&lt;&gt;"")*(D_Points!$A$5:$A$204&gt;=$B507)*(D_Points!$A$5:$A$204&lt;$B507+P_Interval)*(UPPER(TRIM(D_Points!$B$5:$B$204))="GULLY")*(D_Points!$H$5:$H$204&lt;&gt;"")),D_Points!$H$5:$H$204),"")</f>
        <v/>
      </c>
      <c r="I507" s="181" t="str">
        <f>IFERROR(LOOKUP(2,1/((A_Corridor!$A$5:$A$204&lt;&gt;"")*(A_Corridor!$A$5:$A$204&lt;=$B507)*(A_Corridor!$B$5:$B$204&gt;$B507)*(A_Corridor!$F$5:$F$204&lt;&gt;"")),IF(A_Corridor!$F$5:$F$204="-","",1)),"")</f>
        <v/>
      </c>
      <c r="J507" s="182" t="str">
        <f>IFERROR(LOOKUP(2,1/((A_Corridor!$A$5:$A$204&lt;&gt;"")*(A_Corridor!$A$5:$A$204&lt;=$B507)*(A_Corridor!$B$5:$B$204&gt;$B507)*(A_Corridor!$F$5:$F$204&lt;&gt;"")),IF(A_Corridor!$F$5:$F$204="-","",A_Corridor!$F$5:$F$204)),"")</f>
        <v/>
      </c>
      <c r="K507" s="182" t="str">
        <f>IFERROR(LOOKUP(2,1/((A_Corridor!$A$5:$A$204&lt;&gt;"")*(A_Corridor!$A$5:$A$204&lt;=$B507)*(A_Corridor!$B$5:$B$204&gt;$B507)*(A_Corridor!$G$5:$G$204&lt;&gt;"")),IF(A_Corridor!$G$5:$G$204="-","",A_Corridor!$G$5:$G$204)),"")</f>
        <v/>
      </c>
      <c r="L507" s="181" t="str">
        <f>IFERROR(LOOKUP(2,1/((A_Corridor!$A$5:$A$204&lt;&gt;"")*(A_Corridor!$A$5:$A$204&lt;=$B507)*(A_Corridor!$B$5:$B$204&gt;$B507)*(A_Corridor!$H$5:$H$204&lt;&gt;"")),IF(A_Corridor!$H$5:$H$204="-","",1)),"")</f>
        <v/>
      </c>
      <c r="M507" s="182" t="str">
        <f>IFERROR(LOOKUP(2,1/((A_Corridor!$A$5:$A$204&lt;&gt;"")*(A_Corridor!$A$5:$A$204&lt;=$B507)*(A_Corridor!$B$5:$B$204&gt;$B507)*(A_Corridor!$H$5:$H$204&lt;&gt;"")),IF(A_Corridor!$H$5:$H$204="-","",A_Corridor!$H$5:$H$204)),"")</f>
        <v/>
      </c>
      <c r="N507" s="182" t="str">
        <f>IFERROR(LOOKUP(2,1/((A_Corridor!$A$5:$A$204&lt;&gt;"")*(A_Corridor!$A$5:$A$204&lt;=$B507)*(A_Corridor!$B$5:$B$204&gt;$B507)*(A_Corridor!$I$5:$I$204&lt;&gt;"")),IF(A_Corridor!$I$5:$I$204="-","",A_Corridor!$I$5:$I$204)),"")</f>
        <v/>
      </c>
      <c r="O507" s="182" t="str">
        <f>IFERROR(LOOKUP(2,1/((D_Points!$A$5:$A$204&lt;&gt;"")*(D_Points!$A$5:$A$204&gt;=$B507)*(D_Points!$A$5:$A$204&lt;$B507+P_Interval)*(UPPER(TRIM(D_Points!$B$5:$B$204))="PITCHING")*(D_Points!$H$5:$H$204&lt;&gt;"")),D_Points!$H$5:$H$204),"")</f>
        <v/>
      </c>
      <c r="P507" s="181" t="str">
        <f>IFERROR(LOOKUP(2,1/((B_Drainage!$A$5:$A$204&lt;&gt;"")*(B_Drainage!$A$5:$A$204&lt;=$B507)*(B_Drainage!$B$5:$B$204&gt;$B507)*(B_Drainage!$C$5:$C$204&lt;&gt;"")),IF(B_Drainage!$C$5:$C$204="-","",UPPER(B_Drainage!$C$5:$C$204))),"")</f>
        <v/>
      </c>
      <c r="Q507" s="181" t="str">
        <f>IFERROR(LOOKUP(2,1/((B_Drainage!$A$5:$A$204&lt;&gt;"")*(B_Drainage!$A$5:$A$204&lt;=$B507)*(B_Drainage!$B$5:$B$204&gt;$B507)*(B_Drainage!$D$5:$D$204&lt;&gt;"")),IF(B_Drainage!$D$5:$D$204="-","",UPPER(B_Drainage!$D$5:$D$204))),"")</f>
        <v/>
      </c>
      <c r="R507" s="182" t="str">
        <f>IFERROR(LOOKUP(2,1/((D_Points!$A$5:$A$204&lt;&gt;"")*(D_Points!$A$5:$A$204&gt;=$B507)*(D_Points!$A$5:$A$204&lt;$B507+P_Interval)*(RIGHT(UPPER(TRIM(D_Points!$B$5:$B$204)),8)="_CULVERT")),IF(LEFT(UPPER(TRIM(D_Points!$B$5:$B$204)),2)="EX",1,IF(LEFT(UPPER(TRIM(D_Points!$B$5:$B$204)),2)="PR",2,3))),"")</f>
        <v/>
      </c>
      <c r="S507" s="182" t="str">
        <f>IFERROR(LOOKUP(2,1/((D_Points!$A$5:$A$204&lt;&gt;"")*(D_Points!$A$5:$A$204&gt;=$B507)*(D_Points!$A$5:$A$204&lt;$B507+P_Interval)*(RIGHT(UPPER(TRIM(D_Points!$B$5:$B$204)),7)="_BRIDGE")),IF(LEFT(UPPER(TRIM(D_Points!$B$5:$B$204)),2)="EX",1,IF(LEFT(UPPER(TRIM(D_Points!$B$5:$B$204)),2)="PR",2,2))),"")</f>
        <v/>
      </c>
      <c r="T507" s="181" t="str">
        <f>IFERROR(LOOKUP(2,1/((B_Drainage!$A$5:$A$204&lt;&gt;"")*(B_Drainage!$A$5:$A$204&lt;=$B507)*(B_Drainage!$B$5:$B$204&gt;$B507)*(B_Drainage!$E$5:$E$204&lt;&gt;"")),IF(B_Drainage!$E$5:$E$204="-","",1)),"")</f>
        <v/>
      </c>
      <c r="U507" s="181" t="str">
        <f>IFERROR(LOOKUP(2,1/((B_Drainage!$A$5:$A$204&lt;&gt;"")*(B_Drainage!$A$5:$A$204&lt;=$B507)*(B_Drainage!$B$5:$B$204&gt;$B507)*(B_Drainage!$E$5:$E$204&lt;&gt;"")),IF(B_Drainage!$E$5:$E$204="-","",B_Drainage!$E$5:$E$204)),"")</f>
        <v/>
      </c>
      <c r="V507" s="181" t="str">
        <f>IFERROR(LOOKUP(2,1/((B_Drainage!$A$5:$A$204&lt;&gt;"")*(B_Drainage!$A$5:$A$204&lt;=$B507)*(B_Drainage!$B$5:$B$204&gt;$B507)*(B_Drainage!$F$5:$F$204&lt;&gt;"")),IF(B_Drainage!$F$5:$F$204="-","",1)),"")</f>
        <v/>
      </c>
      <c r="W507" s="181" t="str">
        <f>IFERROR(LOOKUP(2,1/((B_Drainage!$A$5:$A$204&lt;&gt;"")*(B_Drainage!$A$5:$A$204&lt;=$B507)*(B_Drainage!$B$5:$B$204&gt;$B507)*(B_Drainage!$F$5:$F$204&lt;&gt;"")),IF(B_Drainage!$F$5:$F$204="-","",B_Drainage!$F$5:$F$204)),"")</f>
        <v/>
      </c>
      <c r="X507" s="181" t="str">
        <f>IFERROR(LOOKUP(2,1/((B_Drainage!$A$5:$A$204&lt;&gt;"")*(B_Drainage!$A$5:$A$204&lt;=$B507)*(B_Drainage!$B$5:$B$204&gt;$B507)*(B_Drainage!$G$5:$G$204&lt;&gt;"")),IF(UPPER(B_Drainage!$G$5:$G$204)="Y",1,"")),"")</f>
        <v/>
      </c>
      <c r="Y507" s="181" t="str">
        <f>IFERROR(LOOKUP(2,1/((B_Drainage!$A$5:$A$204&lt;&gt;"")*(B_Drainage!$A$5:$A$204&lt;=$B507)*(B_Drainage!$B$5:$B$204&gt;$B507)*(B_Drainage!$H$5:$H$204&lt;&gt;"")),IF(UPPER(B_Drainage!$H$5:$H$204)="Y",1,"")),"")</f>
        <v/>
      </c>
      <c r="Z507" s="181" t="str">
        <f>IFERROR(LOOKUP(2,1/((B_Drainage!$A$5:$A$204&lt;&gt;"")*(B_Drainage!$A$5:$A$204&lt;=$B507)*(B_Drainage!$B$5:$B$204&gt;$B507)*(B_Drainage!$I$5:$I$204&lt;&gt;"")),IF(UPPER(B_Drainage!$I$5:$I$204)="Y",1,"")),"")</f>
        <v/>
      </c>
      <c r="AA507" s="181" t="str">
        <f>IFERROR(LOOKUP(2,1/((B_Drainage!$A$5:$A$204&lt;&gt;"")*(B_Drainage!$A$5:$A$204&lt;=$B507)*(B_Drainage!$B$5:$B$204&gt;$B507)*(B_Drainage!$J$5:$J$204&lt;&gt;"")),IF(UPPER(B_Drainage!$J$5:$J$204)="Y",1,"")),"")</f>
        <v/>
      </c>
      <c r="AB507" s="182" t="str">
        <f>IFERROR(LOOKUP(2,1/((B_Drainage!$A$5:$A$204&lt;&gt;"")*(B_Drainage!$A$5:$A$204&lt;=$B507)*(B_Drainage!$B$5:$B$204&gt;$B507)*(B_Drainage!$K$5:$K$204&lt;&gt;"")),IF(B_Drainage!$K$5:$K$204="-","",B_Drainage!$K$5:$K$204)),"")</f>
        <v/>
      </c>
      <c r="AC507" s="182" t="str">
        <f>IFERROR(LOOKUP(2,1/((B_Drainage!$A$5:$A$204&lt;&gt;"")*(B_Drainage!$A$5:$A$204&lt;=$B507)*(B_Drainage!$B$5:$B$204&gt;$B507)*(B_Drainage!$L$5:$L$204&lt;&gt;"")),IF(B_Drainage!$L$5:$L$204="-","",B_Drainage!$L$5:$L$204)),"")</f>
        <v/>
      </c>
      <c r="AD507" s="182" t="str">
        <f>IFERROR(LOOKUP(2,1/((D_Points!$A$5:$A$204&lt;&gt;"")*(D_Points!$A$5:$A$204&gt;=$B507)*(D_Points!$A$5:$A$204&lt;$B507+P_Interval)*(UPPER(TRIM(D_Points!$B$5:$B$204))="TURNOUT_L")*(D_Points!$H$5:$H$204&lt;&gt;"")),D_Points!$H$5:$H$204),"")</f>
        <v/>
      </c>
      <c r="AE507" s="182" t="str">
        <f>IFERROR(LOOKUP(2,1/((D_Points!$A$5:$A$204&lt;&gt;"")*(D_Points!$A$5:$A$204&gt;=$B507)*(D_Points!$A$5:$A$204&lt;$B507+P_Interval)*(UPPER(TRIM(D_Points!$B$5:$B$204))="TURNOUT_R")*(D_Points!$H$5:$H$204&lt;&gt;"")),D_Points!$H$5:$H$204),"")</f>
        <v/>
      </c>
      <c r="AF507" s="181" t="str">
        <f>IFERROR(LOOKUP(2,1/((B_Drainage!$A$5:$A$204&lt;&gt;"")*(B_Drainage!$A$5:$A$204&lt;=$B507)*(B_Drainage!$B$5:$B$204&gt;$B507)*(B_Drainage!$M$5:$M$204&lt;&gt;"")),IF(UPPER(B_Drainage!$M$5:$M$204)="Y",1,"")),"")</f>
        <v/>
      </c>
      <c r="AG507" s="181" t="str">
        <f>IFERROR(LOOKUP(2,1/((B_Drainage!$A$5:$A$204&lt;&gt;"")*(B_Drainage!$A$5:$A$204&lt;=$B507)*(B_Drainage!$B$5:$B$204&gt;$B507)*(B_Drainage!$N$5:$N$204&lt;&gt;"")),IF(UPPER(B_Drainage!$N$5:$N$204)="Y",1,"")),"")</f>
        <v/>
      </c>
      <c r="AH507" s="181" t="str">
        <f t="shared" si="56"/>
        <v/>
      </c>
      <c r="AI507" s="181" t="str">
        <f t="shared" si="57"/>
        <v/>
      </c>
      <c r="AJ507" s="181" t="str">
        <f t="shared" si="58"/>
        <v/>
      </c>
      <c r="AK507" s="181" t="str">
        <f t="shared" si="59"/>
        <v/>
      </c>
      <c r="AL507" s="181" t="str">
        <f t="shared" si="60"/>
        <v/>
      </c>
      <c r="AM507" s="181" t="str">
        <f t="shared" si="61"/>
        <v/>
      </c>
      <c r="AN507" s="181" t="str">
        <f t="shared" si="62"/>
        <v/>
      </c>
      <c r="AO507" s="192" t="str">
        <f t="shared" si="63"/>
        <v/>
      </c>
      <c r="AQ507" t="str">
        <f>IFERROR(LOOKUP(2,1/((C_Pavement!$A$5:$A$204&lt;&gt;"")*(C_Pavement!$A$5:$A$204&lt;=$B507)*(C_Pavement!$B$5:$B$204&gt;$B507)*(C_Pavement!$C$5:$C$204&lt;&gt;"")),ROW(C_Pavement!$C$5:$C$204)-4),"")</f>
        <v/>
      </c>
      <c r="AR507" t="str">
        <f>IF($AQ507="","",UPPER(TRIM(INDEX(C_Pavement!$C$5:$C$204,$AQ507))))</f>
        <v/>
      </c>
      <c r="AS507" t="str">
        <f>IF($AR507="","",IFERROR(MATCH($AR507,E_Rules!$A$5:$A$9,0),""))</f>
        <v/>
      </c>
      <c r="AT507" t="str">
        <f>IF($AQ507="","",IF(INDEX(C_Pavement!$D$5:$D$204,$AQ507)&lt;&gt;"",UPPER(TRIM(INDEX(C_Pavement!$D$5:$D$204,$AQ507))),IF($AS507="","",INDEX(E_Rules!$C$5:$C$9,$AS507))))</f>
        <v/>
      </c>
      <c r="AU507" t="str">
        <f>IF($AQ507="","",IF(INDEX(C_Pavement!$E$5:$E$204,$AQ507)&lt;&gt;"",IF(INDEX(C_Pavement!$E$5:$E$204,$AQ507)="-","",INDEX(C_Pavement!$E$5:$E$204,$AQ507)),IF($AS507="","",INDEX(E_Rules!$D$5:$D$9,$AS507))))</f>
        <v/>
      </c>
      <c r="AV507" t="str">
        <f>IF($AQ507="","",IF(INDEX(C_Pavement!$F$5:$F$204,$AQ507)&lt;&gt;"",IF(INDEX(C_Pavement!$F$5:$F$204,$AQ507)="-","",INDEX(C_Pavement!$F$5:$F$204,$AQ507)),IF($AS507="","",INDEX(E_Rules!$E$5:$E$9,$AS507))))</f>
        <v/>
      </c>
      <c r="AW507" t="str">
        <f>IF($AQ507="","",IF(INDEX(C_Pavement!$G$5:$G$204,$AQ507)&lt;&gt;"",IF(INDEX(C_Pavement!$G$5:$G$204,$AQ507)="-","",INDEX(C_Pavement!$G$5:$G$204,$AQ507)),IF($AS507="","",INDEX(E_Rules!$F$5:$F$9,$AS507))))</f>
        <v/>
      </c>
      <c r="AX507" t="str">
        <f>IF($AQ507="","",IF(INDEX(C_Pavement!$H$5:$H$204,$AQ507)&lt;&gt;"",IF(INDEX(C_Pavement!$H$5:$H$204,$AQ507)="-","",INDEX(C_Pavement!$H$5:$H$204,$AQ507)),IF($AS507="","",INDEX(E_Rules!$G$5:$G$9,$AS507))))</f>
        <v/>
      </c>
      <c r="AY507" t="str">
        <f>IF($AQ507="","",IF(INDEX(C_Pavement!$I$5:$I$204,$AQ507)&lt;&gt;"",IF(INDEX(C_Pavement!$I$5:$I$204,$AQ507)="-","",INDEX(C_Pavement!$I$5:$I$204,$AQ507)),IF($AS507="","",INDEX(E_Rules!$H$5:$H$9,$AS507))))</f>
        <v/>
      </c>
    </row>
    <row r="508" spans="1:51" ht="15.75" customHeight="1" x14ac:dyDescent="0.3">
      <c r="A508" s="189">
        <v>503</v>
      </c>
      <c r="B508" s="180">
        <v>25100</v>
      </c>
      <c r="C508" s="180" t="s">
        <v>814</v>
      </c>
      <c r="D508" s="181" t="str">
        <f>IFERROR(LOOKUP(2,1/((A_Corridor!$A$5:$A$204&lt;&gt;"")*(A_Corridor!$A$5:$A$204&lt;=$B508)*(A_Corridor!$B$5:$B$204&gt;$B508)*(A_Corridor!$C$5:$C$204&lt;&gt;"")),IF(UPPER(A_Corridor!$C$5:$C$204)="Y",1,"")),"")</f>
        <v/>
      </c>
      <c r="E508" s="181" t="str">
        <f>IFERROR(LOOKUP(2,1/((A_Corridor!$A$5:$A$204&lt;&gt;"")*(A_Corridor!$A$5:$A$204&lt;=$B508)*(A_Corridor!$B$5:$B$204&gt;$B508)*(A_Corridor!$D$5:$D$204&lt;&gt;"")),IF(A_Corridor!$D$5:$D$204="-","",UPPER(A_Corridor!$D$5:$D$204))),"")</f>
        <v/>
      </c>
      <c r="F508" s="181" t="str">
        <f>IFERROR(LOOKUP(2,1/((A_Corridor!$A$5:$A$204&lt;&gt;"")*(A_Corridor!$A$5:$A$204&lt;=$B508)*(A_Corridor!$B$5:$B$204&gt;$B508)*(A_Corridor!$E$5:$E$204&lt;&gt;"")),IF(A_Corridor!$E$5:$E$204="-","",1)),"")</f>
        <v/>
      </c>
      <c r="G508" s="182" t="str">
        <f>IFERROR(LOOKUP(2,1/((A_Corridor!$A$5:$A$204&lt;&gt;"")*(A_Corridor!$A$5:$A$204&lt;=$B508)*(A_Corridor!$B$5:$B$204&gt;$B508)*(A_Corridor!$E$5:$E$204&lt;&gt;"")),IF(A_Corridor!$E$5:$E$204="-","",A_Corridor!$E$5:$E$204)),"")</f>
        <v/>
      </c>
      <c r="H508" s="182" t="str">
        <f>IFERROR(LOOKUP(2,1/((D_Points!$A$5:$A$204&lt;&gt;"")*(D_Points!$A$5:$A$204&gt;=$B508)*(D_Points!$A$5:$A$204&lt;$B508+P_Interval)*(UPPER(TRIM(D_Points!$B$5:$B$204))="GULLY")*(D_Points!$H$5:$H$204&lt;&gt;"")),D_Points!$H$5:$H$204),"")</f>
        <v/>
      </c>
      <c r="I508" s="181" t="str">
        <f>IFERROR(LOOKUP(2,1/((A_Corridor!$A$5:$A$204&lt;&gt;"")*(A_Corridor!$A$5:$A$204&lt;=$B508)*(A_Corridor!$B$5:$B$204&gt;$B508)*(A_Corridor!$F$5:$F$204&lt;&gt;"")),IF(A_Corridor!$F$5:$F$204="-","",1)),"")</f>
        <v/>
      </c>
      <c r="J508" s="182" t="str">
        <f>IFERROR(LOOKUP(2,1/((A_Corridor!$A$5:$A$204&lt;&gt;"")*(A_Corridor!$A$5:$A$204&lt;=$B508)*(A_Corridor!$B$5:$B$204&gt;$B508)*(A_Corridor!$F$5:$F$204&lt;&gt;"")),IF(A_Corridor!$F$5:$F$204="-","",A_Corridor!$F$5:$F$204)),"")</f>
        <v/>
      </c>
      <c r="K508" s="182" t="str">
        <f>IFERROR(LOOKUP(2,1/((A_Corridor!$A$5:$A$204&lt;&gt;"")*(A_Corridor!$A$5:$A$204&lt;=$B508)*(A_Corridor!$B$5:$B$204&gt;$B508)*(A_Corridor!$G$5:$G$204&lt;&gt;"")),IF(A_Corridor!$G$5:$G$204="-","",A_Corridor!$G$5:$G$204)),"")</f>
        <v/>
      </c>
      <c r="L508" s="181" t="str">
        <f>IFERROR(LOOKUP(2,1/((A_Corridor!$A$5:$A$204&lt;&gt;"")*(A_Corridor!$A$5:$A$204&lt;=$B508)*(A_Corridor!$B$5:$B$204&gt;$B508)*(A_Corridor!$H$5:$H$204&lt;&gt;"")),IF(A_Corridor!$H$5:$H$204="-","",1)),"")</f>
        <v/>
      </c>
      <c r="M508" s="182" t="str">
        <f>IFERROR(LOOKUP(2,1/((A_Corridor!$A$5:$A$204&lt;&gt;"")*(A_Corridor!$A$5:$A$204&lt;=$B508)*(A_Corridor!$B$5:$B$204&gt;$B508)*(A_Corridor!$H$5:$H$204&lt;&gt;"")),IF(A_Corridor!$H$5:$H$204="-","",A_Corridor!$H$5:$H$204)),"")</f>
        <v/>
      </c>
      <c r="N508" s="182" t="str">
        <f>IFERROR(LOOKUP(2,1/((A_Corridor!$A$5:$A$204&lt;&gt;"")*(A_Corridor!$A$5:$A$204&lt;=$B508)*(A_Corridor!$B$5:$B$204&gt;$B508)*(A_Corridor!$I$5:$I$204&lt;&gt;"")),IF(A_Corridor!$I$5:$I$204="-","",A_Corridor!$I$5:$I$204)),"")</f>
        <v/>
      </c>
      <c r="O508" s="182" t="str">
        <f>IFERROR(LOOKUP(2,1/((D_Points!$A$5:$A$204&lt;&gt;"")*(D_Points!$A$5:$A$204&gt;=$B508)*(D_Points!$A$5:$A$204&lt;$B508+P_Interval)*(UPPER(TRIM(D_Points!$B$5:$B$204))="PITCHING")*(D_Points!$H$5:$H$204&lt;&gt;"")),D_Points!$H$5:$H$204),"")</f>
        <v/>
      </c>
      <c r="P508" s="181" t="str">
        <f>IFERROR(LOOKUP(2,1/((B_Drainage!$A$5:$A$204&lt;&gt;"")*(B_Drainage!$A$5:$A$204&lt;=$B508)*(B_Drainage!$B$5:$B$204&gt;$B508)*(B_Drainage!$C$5:$C$204&lt;&gt;"")),IF(B_Drainage!$C$5:$C$204="-","",UPPER(B_Drainage!$C$5:$C$204))),"")</f>
        <v/>
      </c>
      <c r="Q508" s="181" t="str">
        <f>IFERROR(LOOKUP(2,1/((B_Drainage!$A$5:$A$204&lt;&gt;"")*(B_Drainage!$A$5:$A$204&lt;=$B508)*(B_Drainage!$B$5:$B$204&gt;$B508)*(B_Drainage!$D$5:$D$204&lt;&gt;"")),IF(B_Drainage!$D$5:$D$204="-","",UPPER(B_Drainage!$D$5:$D$204))),"")</f>
        <v/>
      </c>
      <c r="R508" s="182" t="str">
        <f>IFERROR(LOOKUP(2,1/((D_Points!$A$5:$A$204&lt;&gt;"")*(D_Points!$A$5:$A$204&gt;=$B508)*(D_Points!$A$5:$A$204&lt;$B508+P_Interval)*(RIGHT(UPPER(TRIM(D_Points!$B$5:$B$204)),8)="_CULVERT")),IF(LEFT(UPPER(TRIM(D_Points!$B$5:$B$204)),2)="EX",1,IF(LEFT(UPPER(TRIM(D_Points!$B$5:$B$204)),2)="PR",2,3))),"")</f>
        <v/>
      </c>
      <c r="S508" s="182" t="str">
        <f>IFERROR(LOOKUP(2,1/((D_Points!$A$5:$A$204&lt;&gt;"")*(D_Points!$A$5:$A$204&gt;=$B508)*(D_Points!$A$5:$A$204&lt;$B508+P_Interval)*(RIGHT(UPPER(TRIM(D_Points!$B$5:$B$204)),7)="_BRIDGE")),IF(LEFT(UPPER(TRIM(D_Points!$B$5:$B$204)),2)="EX",1,IF(LEFT(UPPER(TRIM(D_Points!$B$5:$B$204)),2)="PR",2,2))),"")</f>
        <v/>
      </c>
      <c r="T508" s="181" t="str">
        <f>IFERROR(LOOKUP(2,1/((B_Drainage!$A$5:$A$204&lt;&gt;"")*(B_Drainage!$A$5:$A$204&lt;=$B508)*(B_Drainage!$B$5:$B$204&gt;$B508)*(B_Drainage!$E$5:$E$204&lt;&gt;"")),IF(B_Drainage!$E$5:$E$204="-","",1)),"")</f>
        <v/>
      </c>
      <c r="U508" s="181" t="str">
        <f>IFERROR(LOOKUP(2,1/((B_Drainage!$A$5:$A$204&lt;&gt;"")*(B_Drainage!$A$5:$A$204&lt;=$B508)*(B_Drainage!$B$5:$B$204&gt;$B508)*(B_Drainage!$E$5:$E$204&lt;&gt;"")),IF(B_Drainage!$E$5:$E$204="-","",B_Drainage!$E$5:$E$204)),"")</f>
        <v/>
      </c>
      <c r="V508" s="181" t="str">
        <f>IFERROR(LOOKUP(2,1/((B_Drainage!$A$5:$A$204&lt;&gt;"")*(B_Drainage!$A$5:$A$204&lt;=$B508)*(B_Drainage!$B$5:$B$204&gt;$B508)*(B_Drainage!$F$5:$F$204&lt;&gt;"")),IF(B_Drainage!$F$5:$F$204="-","",1)),"")</f>
        <v/>
      </c>
      <c r="W508" s="181" t="str">
        <f>IFERROR(LOOKUP(2,1/((B_Drainage!$A$5:$A$204&lt;&gt;"")*(B_Drainage!$A$5:$A$204&lt;=$B508)*(B_Drainage!$B$5:$B$204&gt;$B508)*(B_Drainage!$F$5:$F$204&lt;&gt;"")),IF(B_Drainage!$F$5:$F$204="-","",B_Drainage!$F$5:$F$204)),"")</f>
        <v/>
      </c>
      <c r="X508" s="181" t="str">
        <f>IFERROR(LOOKUP(2,1/((B_Drainage!$A$5:$A$204&lt;&gt;"")*(B_Drainage!$A$5:$A$204&lt;=$B508)*(B_Drainage!$B$5:$B$204&gt;$B508)*(B_Drainage!$G$5:$G$204&lt;&gt;"")),IF(UPPER(B_Drainage!$G$5:$G$204)="Y",1,"")),"")</f>
        <v/>
      </c>
      <c r="Y508" s="181" t="str">
        <f>IFERROR(LOOKUP(2,1/((B_Drainage!$A$5:$A$204&lt;&gt;"")*(B_Drainage!$A$5:$A$204&lt;=$B508)*(B_Drainage!$B$5:$B$204&gt;$B508)*(B_Drainage!$H$5:$H$204&lt;&gt;"")),IF(UPPER(B_Drainage!$H$5:$H$204)="Y",1,"")),"")</f>
        <v/>
      </c>
      <c r="Z508" s="181" t="str">
        <f>IFERROR(LOOKUP(2,1/((B_Drainage!$A$5:$A$204&lt;&gt;"")*(B_Drainage!$A$5:$A$204&lt;=$B508)*(B_Drainage!$B$5:$B$204&gt;$B508)*(B_Drainage!$I$5:$I$204&lt;&gt;"")),IF(UPPER(B_Drainage!$I$5:$I$204)="Y",1,"")),"")</f>
        <v/>
      </c>
      <c r="AA508" s="181" t="str">
        <f>IFERROR(LOOKUP(2,1/((B_Drainage!$A$5:$A$204&lt;&gt;"")*(B_Drainage!$A$5:$A$204&lt;=$B508)*(B_Drainage!$B$5:$B$204&gt;$B508)*(B_Drainage!$J$5:$J$204&lt;&gt;"")),IF(UPPER(B_Drainage!$J$5:$J$204)="Y",1,"")),"")</f>
        <v/>
      </c>
      <c r="AB508" s="182" t="str">
        <f>IFERROR(LOOKUP(2,1/((B_Drainage!$A$5:$A$204&lt;&gt;"")*(B_Drainage!$A$5:$A$204&lt;=$B508)*(B_Drainage!$B$5:$B$204&gt;$B508)*(B_Drainage!$K$5:$K$204&lt;&gt;"")),IF(B_Drainage!$K$5:$K$204="-","",B_Drainage!$K$5:$K$204)),"")</f>
        <v/>
      </c>
      <c r="AC508" s="182" t="str">
        <f>IFERROR(LOOKUP(2,1/((B_Drainage!$A$5:$A$204&lt;&gt;"")*(B_Drainage!$A$5:$A$204&lt;=$B508)*(B_Drainage!$B$5:$B$204&gt;$B508)*(B_Drainage!$L$5:$L$204&lt;&gt;"")),IF(B_Drainage!$L$5:$L$204="-","",B_Drainage!$L$5:$L$204)),"")</f>
        <v/>
      </c>
      <c r="AD508" s="182" t="str">
        <f>IFERROR(LOOKUP(2,1/((D_Points!$A$5:$A$204&lt;&gt;"")*(D_Points!$A$5:$A$204&gt;=$B508)*(D_Points!$A$5:$A$204&lt;$B508+P_Interval)*(UPPER(TRIM(D_Points!$B$5:$B$204))="TURNOUT_L")*(D_Points!$H$5:$H$204&lt;&gt;"")),D_Points!$H$5:$H$204),"")</f>
        <v/>
      </c>
      <c r="AE508" s="182" t="str">
        <f>IFERROR(LOOKUP(2,1/((D_Points!$A$5:$A$204&lt;&gt;"")*(D_Points!$A$5:$A$204&gt;=$B508)*(D_Points!$A$5:$A$204&lt;$B508+P_Interval)*(UPPER(TRIM(D_Points!$B$5:$B$204))="TURNOUT_R")*(D_Points!$H$5:$H$204&lt;&gt;"")),D_Points!$H$5:$H$204),"")</f>
        <v/>
      </c>
      <c r="AF508" s="181" t="str">
        <f>IFERROR(LOOKUP(2,1/((B_Drainage!$A$5:$A$204&lt;&gt;"")*(B_Drainage!$A$5:$A$204&lt;=$B508)*(B_Drainage!$B$5:$B$204&gt;$B508)*(B_Drainage!$M$5:$M$204&lt;&gt;"")),IF(UPPER(B_Drainage!$M$5:$M$204)="Y",1,"")),"")</f>
        <v/>
      </c>
      <c r="AG508" s="181" t="str">
        <f>IFERROR(LOOKUP(2,1/((B_Drainage!$A$5:$A$204&lt;&gt;"")*(B_Drainage!$A$5:$A$204&lt;=$B508)*(B_Drainage!$B$5:$B$204&gt;$B508)*(B_Drainage!$N$5:$N$204&lt;&gt;"")),IF(UPPER(B_Drainage!$N$5:$N$204)="Y",1,"")),"")</f>
        <v/>
      </c>
      <c r="AH508" s="181" t="str">
        <f t="shared" si="56"/>
        <v/>
      </c>
      <c r="AI508" s="181" t="str">
        <f t="shared" si="57"/>
        <v/>
      </c>
      <c r="AJ508" s="181" t="str">
        <f t="shared" si="58"/>
        <v/>
      </c>
      <c r="AK508" s="181" t="str">
        <f t="shared" si="59"/>
        <v/>
      </c>
      <c r="AL508" s="181" t="str">
        <f t="shared" si="60"/>
        <v/>
      </c>
      <c r="AM508" s="181" t="str">
        <f t="shared" si="61"/>
        <v/>
      </c>
      <c r="AN508" s="181" t="str">
        <f t="shared" si="62"/>
        <v/>
      </c>
      <c r="AO508" s="192" t="str">
        <f t="shared" si="63"/>
        <v/>
      </c>
      <c r="AQ508" t="str">
        <f>IFERROR(LOOKUP(2,1/((C_Pavement!$A$5:$A$204&lt;&gt;"")*(C_Pavement!$A$5:$A$204&lt;=$B508)*(C_Pavement!$B$5:$B$204&gt;$B508)*(C_Pavement!$C$5:$C$204&lt;&gt;"")),ROW(C_Pavement!$C$5:$C$204)-4),"")</f>
        <v/>
      </c>
      <c r="AR508" t="str">
        <f>IF($AQ508="","",UPPER(TRIM(INDEX(C_Pavement!$C$5:$C$204,$AQ508))))</f>
        <v/>
      </c>
      <c r="AS508" t="str">
        <f>IF($AR508="","",IFERROR(MATCH($AR508,E_Rules!$A$5:$A$9,0),""))</f>
        <v/>
      </c>
      <c r="AT508" t="str">
        <f>IF($AQ508="","",IF(INDEX(C_Pavement!$D$5:$D$204,$AQ508)&lt;&gt;"",UPPER(TRIM(INDEX(C_Pavement!$D$5:$D$204,$AQ508))),IF($AS508="","",INDEX(E_Rules!$C$5:$C$9,$AS508))))</f>
        <v/>
      </c>
      <c r="AU508" t="str">
        <f>IF($AQ508="","",IF(INDEX(C_Pavement!$E$5:$E$204,$AQ508)&lt;&gt;"",IF(INDEX(C_Pavement!$E$5:$E$204,$AQ508)="-","",INDEX(C_Pavement!$E$5:$E$204,$AQ508)),IF($AS508="","",INDEX(E_Rules!$D$5:$D$9,$AS508))))</f>
        <v/>
      </c>
      <c r="AV508" t="str">
        <f>IF($AQ508="","",IF(INDEX(C_Pavement!$F$5:$F$204,$AQ508)&lt;&gt;"",IF(INDEX(C_Pavement!$F$5:$F$204,$AQ508)="-","",INDEX(C_Pavement!$F$5:$F$204,$AQ508)),IF($AS508="","",INDEX(E_Rules!$E$5:$E$9,$AS508))))</f>
        <v/>
      </c>
      <c r="AW508" t="str">
        <f>IF($AQ508="","",IF(INDEX(C_Pavement!$G$5:$G$204,$AQ508)&lt;&gt;"",IF(INDEX(C_Pavement!$G$5:$G$204,$AQ508)="-","",INDEX(C_Pavement!$G$5:$G$204,$AQ508)),IF($AS508="","",INDEX(E_Rules!$F$5:$F$9,$AS508))))</f>
        <v/>
      </c>
      <c r="AX508" t="str">
        <f>IF($AQ508="","",IF(INDEX(C_Pavement!$H$5:$H$204,$AQ508)&lt;&gt;"",IF(INDEX(C_Pavement!$H$5:$H$204,$AQ508)="-","",INDEX(C_Pavement!$H$5:$H$204,$AQ508)),IF($AS508="","",INDEX(E_Rules!$G$5:$G$9,$AS508))))</f>
        <v/>
      </c>
      <c r="AY508" t="str">
        <f>IF($AQ508="","",IF(INDEX(C_Pavement!$I$5:$I$204,$AQ508)&lt;&gt;"",IF(INDEX(C_Pavement!$I$5:$I$204,$AQ508)="-","",INDEX(C_Pavement!$I$5:$I$204,$AQ508)),IF($AS508="","",INDEX(E_Rules!$H$5:$H$9,$AS508))))</f>
        <v/>
      </c>
    </row>
    <row r="509" spans="1:51" ht="15.75" customHeight="1" x14ac:dyDescent="0.3">
      <c r="A509" s="189">
        <v>504</v>
      </c>
      <c r="B509" s="180">
        <v>25150</v>
      </c>
      <c r="C509" s="180" t="s">
        <v>815</v>
      </c>
      <c r="D509" s="181" t="str">
        <f>IFERROR(LOOKUP(2,1/((A_Corridor!$A$5:$A$204&lt;&gt;"")*(A_Corridor!$A$5:$A$204&lt;=$B509)*(A_Corridor!$B$5:$B$204&gt;$B509)*(A_Corridor!$C$5:$C$204&lt;&gt;"")),IF(UPPER(A_Corridor!$C$5:$C$204)="Y",1,"")),"")</f>
        <v/>
      </c>
      <c r="E509" s="181" t="str">
        <f>IFERROR(LOOKUP(2,1/((A_Corridor!$A$5:$A$204&lt;&gt;"")*(A_Corridor!$A$5:$A$204&lt;=$B509)*(A_Corridor!$B$5:$B$204&gt;$B509)*(A_Corridor!$D$5:$D$204&lt;&gt;"")),IF(A_Corridor!$D$5:$D$204="-","",UPPER(A_Corridor!$D$5:$D$204))),"")</f>
        <v/>
      </c>
      <c r="F509" s="181" t="str">
        <f>IFERROR(LOOKUP(2,1/((A_Corridor!$A$5:$A$204&lt;&gt;"")*(A_Corridor!$A$5:$A$204&lt;=$B509)*(A_Corridor!$B$5:$B$204&gt;$B509)*(A_Corridor!$E$5:$E$204&lt;&gt;"")),IF(A_Corridor!$E$5:$E$204="-","",1)),"")</f>
        <v/>
      </c>
      <c r="G509" s="182" t="str">
        <f>IFERROR(LOOKUP(2,1/((A_Corridor!$A$5:$A$204&lt;&gt;"")*(A_Corridor!$A$5:$A$204&lt;=$B509)*(A_Corridor!$B$5:$B$204&gt;$B509)*(A_Corridor!$E$5:$E$204&lt;&gt;"")),IF(A_Corridor!$E$5:$E$204="-","",A_Corridor!$E$5:$E$204)),"")</f>
        <v/>
      </c>
      <c r="H509" s="182" t="str">
        <f>IFERROR(LOOKUP(2,1/((D_Points!$A$5:$A$204&lt;&gt;"")*(D_Points!$A$5:$A$204&gt;=$B509)*(D_Points!$A$5:$A$204&lt;$B509+P_Interval)*(UPPER(TRIM(D_Points!$B$5:$B$204))="GULLY")*(D_Points!$H$5:$H$204&lt;&gt;"")),D_Points!$H$5:$H$204),"")</f>
        <v/>
      </c>
      <c r="I509" s="181" t="str">
        <f>IFERROR(LOOKUP(2,1/((A_Corridor!$A$5:$A$204&lt;&gt;"")*(A_Corridor!$A$5:$A$204&lt;=$B509)*(A_Corridor!$B$5:$B$204&gt;$B509)*(A_Corridor!$F$5:$F$204&lt;&gt;"")),IF(A_Corridor!$F$5:$F$204="-","",1)),"")</f>
        <v/>
      </c>
      <c r="J509" s="182" t="str">
        <f>IFERROR(LOOKUP(2,1/((A_Corridor!$A$5:$A$204&lt;&gt;"")*(A_Corridor!$A$5:$A$204&lt;=$B509)*(A_Corridor!$B$5:$B$204&gt;$B509)*(A_Corridor!$F$5:$F$204&lt;&gt;"")),IF(A_Corridor!$F$5:$F$204="-","",A_Corridor!$F$5:$F$204)),"")</f>
        <v/>
      </c>
      <c r="K509" s="182" t="str">
        <f>IFERROR(LOOKUP(2,1/((A_Corridor!$A$5:$A$204&lt;&gt;"")*(A_Corridor!$A$5:$A$204&lt;=$B509)*(A_Corridor!$B$5:$B$204&gt;$B509)*(A_Corridor!$G$5:$G$204&lt;&gt;"")),IF(A_Corridor!$G$5:$G$204="-","",A_Corridor!$G$5:$G$204)),"")</f>
        <v/>
      </c>
      <c r="L509" s="181" t="str">
        <f>IFERROR(LOOKUP(2,1/((A_Corridor!$A$5:$A$204&lt;&gt;"")*(A_Corridor!$A$5:$A$204&lt;=$B509)*(A_Corridor!$B$5:$B$204&gt;$B509)*(A_Corridor!$H$5:$H$204&lt;&gt;"")),IF(A_Corridor!$H$5:$H$204="-","",1)),"")</f>
        <v/>
      </c>
      <c r="M509" s="182" t="str">
        <f>IFERROR(LOOKUP(2,1/((A_Corridor!$A$5:$A$204&lt;&gt;"")*(A_Corridor!$A$5:$A$204&lt;=$B509)*(A_Corridor!$B$5:$B$204&gt;$B509)*(A_Corridor!$H$5:$H$204&lt;&gt;"")),IF(A_Corridor!$H$5:$H$204="-","",A_Corridor!$H$5:$H$204)),"")</f>
        <v/>
      </c>
      <c r="N509" s="182" t="str">
        <f>IFERROR(LOOKUP(2,1/((A_Corridor!$A$5:$A$204&lt;&gt;"")*(A_Corridor!$A$5:$A$204&lt;=$B509)*(A_Corridor!$B$5:$B$204&gt;$B509)*(A_Corridor!$I$5:$I$204&lt;&gt;"")),IF(A_Corridor!$I$5:$I$204="-","",A_Corridor!$I$5:$I$204)),"")</f>
        <v/>
      </c>
      <c r="O509" s="182" t="str">
        <f>IFERROR(LOOKUP(2,1/((D_Points!$A$5:$A$204&lt;&gt;"")*(D_Points!$A$5:$A$204&gt;=$B509)*(D_Points!$A$5:$A$204&lt;$B509+P_Interval)*(UPPER(TRIM(D_Points!$B$5:$B$204))="PITCHING")*(D_Points!$H$5:$H$204&lt;&gt;"")),D_Points!$H$5:$H$204),"")</f>
        <v/>
      </c>
      <c r="P509" s="181" t="str">
        <f>IFERROR(LOOKUP(2,1/((B_Drainage!$A$5:$A$204&lt;&gt;"")*(B_Drainage!$A$5:$A$204&lt;=$B509)*(B_Drainage!$B$5:$B$204&gt;$B509)*(B_Drainage!$C$5:$C$204&lt;&gt;"")),IF(B_Drainage!$C$5:$C$204="-","",UPPER(B_Drainage!$C$5:$C$204))),"")</f>
        <v/>
      </c>
      <c r="Q509" s="181" t="str">
        <f>IFERROR(LOOKUP(2,1/((B_Drainage!$A$5:$A$204&lt;&gt;"")*(B_Drainage!$A$5:$A$204&lt;=$B509)*(B_Drainage!$B$5:$B$204&gt;$B509)*(B_Drainage!$D$5:$D$204&lt;&gt;"")),IF(B_Drainage!$D$5:$D$204="-","",UPPER(B_Drainage!$D$5:$D$204))),"")</f>
        <v/>
      </c>
      <c r="R509" s="182" t="str">
        <f>IFERROR(LOOKUP(2,1/((D_Points!$A$5:$A$204&lt;&gt;"")*(D_Points!$A$5:$A$204&gt;=$B509)*(D_Points!$A$5:$A$204&lt;$B509+P_Interval)*(RIGHT(UPPER(TRIM(D_Points!$B$5:$B$204)),8)="_CULVERT")),IF(LEFT(UPPER(TRIM(D_Points!$B$5:$B$204)),2)="EX",1,IF(LEFT(UPPER(TRIM(D_Points!$B$5:$B$204)),2)="PR",2,3))),"")</f>
        <v/>
      </c>
      <c r="S509" s="182" t="str">
        <f>IFERROR(LOOKUP(2,1/((D_Points!$A$5:$A$204&lt;&gt;"")*(D_Points!$A$5:$A$204&gt;=$B509)*(D_Points!$A$5:$A$204&lt;$B509+P_Interval)*(RIGHT(UPPER(TRIM(D_Points!$B$5:$B$204)),7)="_BRIDGE")),IF(LEFT(UPPER(TRIM(D_Points!$B$5:$B$204)),2)="EX",1,IF(LEFT(UPPER(TRIM(D_Points!$B$5:$B$204)),2)="PR",2,2))),"")</f>
        <v/>
      </c>
      <c r="T509" s="181" t="str">
        <f>IFERROR(LOOKUP(2,1/((B_Drainage!$A$5:$A$204&lt;&gt;"")*(B_Drainage!$A$5:$A$204&lt;=$B509)*(B_Drainage!$B$5:$B$204&gt;$B509)*(B_Drainage!$E$5:$E$204&lt;&gt;"")),IF(B_Drainage!$E$5:$E$204="-","",1)),"")</f>
        <v/>
      </c>
      <c r="U509" s="181" t="str">
        <f>IFERROR(LOOKUP(2,1/((B_Drainage!$A$5:$A$204&lt;&gt;"")*(B_Drainage!$A$5:$A$204&lt;=$B509)*(B_Drainage!$B$5:$B$204&gt;$B509)*(B_Drainage!$E$5:$E$204&lt;&gt;"")),IF(B_Drainage!$E$5:$E$204="-","",B_Drainage!$E$5:$E$204)),"")</f>
        <v/>
      </c>
      <c r="V509" s="181" t="str">
        <f>IFERROR(LOOKUP(2,1/((B_Drainage!$A$5:$A$204&lt;&gt;"")*(B_Drainage!$A$5:$A$204&lt;=$B509)*(B_Drainage!$B$5:$B$204&gt;$B509)*(B_Drainage!$F$5:$F$204&lt;&gt;"")),IF(B_Drainage!$F$5:$F$204="-","",1)),"")</f>
        <v/>
      </c>
      <c r="W509" s="181" t="str">
        <f>IFERROR(LOOKUP(2,1/((B_Drainage!$A$5:$A$204&lt;&gt;"")*(B_Drainage!$A$5:$A$204&lt;=$B509)*(B_Drainage!$B$5:$B$204&gt;$B509)*(B_Drainage!$F$5:$F$204&lt;&gt;"")),IF(B_Drainage!$F$5:$F$204="-","",B_Drainage!$F$5:$F$204)),"")</f>
        <v/>
      </c>
      <c r="X509" s="181" t="str">
        <f>IFERROR(LOOKUP(2,1/((B_Drainage!$A$5:$A$204&lt;&gt;"")*(B_Drainage!$A$5:$A$204&lt;=$B509)*(B_Drainage!$B$5:$B$204&gt;$B509)*(B_Drainage!$G$5:$G$204&lt;&gt;"")),IF(UPPER(B_Drainage!$G$5:$G$204)="Y",1,"")),"")</f>
        <v/>
      </c>
      <c r="Y509" s="181" t="str">
        <f>IFERROR(LOOKUP(2,1/((B_Drainage!$A$5:$A$204&lt;&gt;"")*(B_Drainage!$A$5:$A$204&lt;=$B509)*(B_Drainage!$B$5:$B$204&gt;$B509)*(B_Drainage!$H$5:$H$204&lt;&gt;"")),IF(UPPER(B_Drainage!$H$5:$H$204)="Y",1,"")),"")</f>
        <v/>
      </c>
      <c r="Z509" s="181" t="str">
        <f>IFERROR(LOOKUP(2,1/((B_Drainage!$A$5:$A$204&lt;&gt;"")*(B_Drainage!$A$5:$A$204&lt;=$B509)*(B_Drainage!$B$5:$B$204&gt;$B509)*(B_Drainage!$I$5:$I$204&lt;&gt;"")),IF(UPPER(B_Drainage!$I$5:$I$204)="Y",1,"")),"")</f>
        <v/>
      </c>
      <c r="AA509" s="181" t="str">
        <f>IFERROR(LOOKUP(2,1/((B_Drainage!$A$5:$A$204&lt;&gt;"")*(B_Drainage!$A$5:$A$204&lt;=$B509)*(B_Drainage!$B$5:$B$204&gt;$B509)*(B_Drainage!$J$5:$J$204&lt;&gt;"")),IF(UPPER(B_Drainage!$J$5:$J$204)="Y",1,"")),"")</f>
        <v/>
      </c>
      <c r="AB509" s="182" t="str">
        <f>IFERROR(LOOKUP(2,1/((B_Drainage!$A$5:$A$204&lt;&gt;"")*(B_Drainage!$A$5:$A$204&lt;=$B509)*(B_Drainage!$B$5:$B$204&gt;$B509)*(B_Drainage!$K$5:$K$204&lt;&gt;"")),IF(B_Drainage!$K$5:$K$204="-","",B_Drainage!$K$5:$K$204)),"")</f>
        <v/>
      </c>
      <c r="AC509" s="182" t="str">
        <f>IFERROR(LOOKUP(2,1/((B_Drainage!$A$5:$A$204&lt;&gt;"")*(B_Drainage!$A$5:$A$204&lt;=$B509)*(B_Drainage!$B$5:$B$204&gt;$B509)*(B_Drainage!$L$5:$L$204&lt;&gt;"")),IF(B_Drainage!$L$5:$L$204="-","",B_Drainage!$L$5:$L$204)),"")</f>
        <v/>
      </c>
      <c r="AD509" s="182" t="str">
        <f>IFERROR(LOOKUP(2,1/((D_Points!$A$5:$A$204&lt;&gt;"")*(D_Points!$A$5:$A$204&gt;=$B509)*(D_Points!$A$5:$A$204&lt;$B509+P_Interval)*(UPPER(TRIM(D_Points!$B$5:$B$204))="TURNOUT_L")*(D_Points!$H$5:$H$204&lt;&gt;"")),D_Points!$H$5:$H$204),"")</f>
        <v/>
      </c>
      <c r="AE509" s="182" t="str">
        <f>IFERROR(LOOKUP(2,1/((D_Points!$A$5:$A$204&lt;&gt;"")*(D_Points!$A$5:$A$204&gt;=$B509)*(D_Points!$A$5:$A$204&lt;$B509+P_Interval)*(UPPER(TRIM(D_Points!$B$5:$B$204))="TURNOUT_R")*(D_Points!$H$5:$H$204&lt;&gt;"")),D_Points!$H$5:$H$204),"")</f>
        <v/>
      </c>
      <c r="AF509" s="181" t="str">
        <f>IFERROR(LOOKUP(2,1/((B_Drainage!$A$5:$A$204&lt;&gt;"")*(B_Drainage!$A$5:$A$204&lt;=$B509)*(B_Drainage!$B$5:$B$204&gt;$B509)*(B_Drainage!$M$5:$M$204&lt;&gt;"")),IF(UPPER(B_Drainage!$M$5:$M$204)="Y",1,"")),"")</f>
        <v/>
      </c>
      <c r="AG509" s="181" t="str">
        <f>IFERROR(LOOKUP(2,1/((B_Drainage!$A$5:$A$204&lt;&gt;"")*(B_Drainage!$A$5:$A$204&lt;=$B509)*(B_Drainage!$B$5:$B$204&gt;$B509)*(B_Drainage!$N$5:$N$204&lt;&gt;"")),IF(UPPER(B_Drainage!$N$5:$N$204)="Y",1,"")),"")</f>
        <v/>
      </c>
      <c r="AH509" s="181" t="str">
        <f t="shared" si="56"/>
        <v/>
      </c>
      <c r="AI509" s="181" t="str">
        <f t="shared" si="57"/>
        <v/>
      </c>
      <c r="AJ509" s="181" t="str">
        <f t="shared" si="58"/>
        <v/>
      </c>
      <c r="AK509" s="181" t="str">
        <f t="shared" si="59"/>
        <v/>
      </c>
      <c r="AL509" s="181" t="str">
        <f t="shared" si="60"/>
        <v/>
      </c>
      <c r="AM509" s="181" t="str">
        <f t="shared" si="61"/>
        <v/>
      </c>
      <c r="AN509" s="181" t="str">
        <f t="shared" si="62"/>
        <v/>
      </c>
      <c r="AO509" s="192" t="str">
        <f t="shared" si="63"/>
        <v/>
      </c>
      <c r="AQ509" t="str">
        <f>IFERROR(LOOKUP(2,1/((C_Pavement!$A$5:$A$204&lt;&gt;"")*(C_Pavement!$A$5:$A$204&lt;=$B509)*(C_Pavement!$B$5:$B$204&gt;$B509)*(C_Pavement!$C$5:$C$204&lt;&gt;"")),ROW(C_Pavement!$C$5:$C$204)-4),"")</f>
        <v/>
      </c>
      <c r="AR509" t="str">
        <f>IF($AQ509="","",UPPER(TRIM(INDEX(C_Pavement!$C$5:$C$204,$AQ509))))</f>
        <v/>
      </c>
      <c r="AS509" t="str">
        <f>IF($AR509="","",IFERROR(MATCH($AR509,E_Rules!$A$5:$A$9,0),""))</f>
        <v/>
      </c>
      <c r="AT509" t="str">
        <f>IF($AQ509="","",IF(INDEX(C_Pavement!$D$5:$D$204,$AQ509)&lt;&gt;"",UPPER(TRIM(INDEX(C_Pavement!$D$5:$D$204,$AQ509))),IF($AS509="","",INDEX(E_Rules!$C$5:$C$9,$AS509))))</f>
        <v/>
      </c>
      <c r="AU509" t="str">
        <f>IF($AQ509="","",IF(INDEX(C_Pavement!$E$5:$E$204,$AQ509)&lt;&gt;"",IF(INDEX(C_Pavement!$E$5:$E$204,$AQ509)="-","",INDEX(C_Pavement!$E$5:$E$204,$AQ509)),IF($AS509="","",INDEX(E_Rules!$D$5:$D$9,$AS509))))</f>
        <v/>
      </c>
      <c r="AV509" t="str">
        <f>IF($AQ509="","",IF(INDEX(C_Pavement!$F$5:$F$204,$AQ509)&lt;&gt;"",IF(INDEX(C_Pavement!$F$5:$F$204,$AQ509)="-","",INDEX(C_Pavement!$F$5:$F$204,$AQ509)),IF($AS509="","",INDEX(E_Rules!$E$5:$E$9,$AS509))))</f>
        <v/>
      </c>
      <c r="AW509" t="str">
        <f>IF($AQ509="","",IF(INDEX(C_Pavement!$G$5:$G$204,$AQ509)&lt;&gt;"",IF(INDEX(C_Pavement!$G$5:$G$204,$AQ509)="-","",INDEX(C_Pavement!$G$5:$G$204,$AQ509)),IF($AS509="","",INDEX(E_Rules!$F$5:$F$9,$AS509))))</f>
        <v/>
      </c>
      <c r="AX509" t="str">
        <f>IF($AQ509="","",IF(INDEX(C_Pavement!$H$5:$H$204,$AQ509)&lt;&gt;"",IF(INDEX(C_Pavement!$H$5:$H$204,$AQ509)="-","",INDEX(C_Pavement!$H$5:$H$204,$AQ509)),IF($AS509="","",INDEX(E_Rules!$G$5:$G$9,$AS509))))</f>
        <v/>
      </c>
      <c r="AY509" t="str">
        <f>IF($AQ509="","",IF(INDEX(C_Pavement!$I$5:$I$204,$AQ509)&lt;&gt;"",IF(INDEX(C_Pavement!$I$5:$I$204,$AQ509)="-","",INDEX(C_Pavement!$I$5:$I$204,$AQ509)),IF($AS509="","",INDEX(E_Rules!$H$5:$H$9,$AS509))))</f>
        <v/>
      </c>
    </row>
    <row r="510" spans="1:51" ht="15.75" customHeight="1" x14ac:dyDescent="0.3">
      <c r="A510" s="189">
        <v>505</v>
      </c>
      <c r="B510" s="180">
        <v>25200</v>
      </c>
      <c r="C510" s="180" t="s">
        <v>816</v>
      </c>
      <c r="D510" s="181" t="str">
        <f>IFERROR(LOOKUP(2,1/((A_Corridor!$A$5:$A$204&lt;&gt;"")*(A_Corridor!$A$5:$A$204&lt;=$B510)*(A_Corridor!$B$5:$B$204&gt;$B510)*(A_Corridor!$C$5:$C$204&lt;&gt;"")),IF(UPPER(A_Corridor!$C$5:$C$204)="Y",1,"")),"")</f>
        <v/>
      </c>
      <c r="E510" s="181" t="str">
        <f>IFERROR(LOOKUP(2,1/((A_Corridor!$A$5:$A$204&lt;&gt;"")*(A_Corridor!$A$5:$A$204&lt;=$B510)*(A_Corridor!$B$5:$B$204&gt;$B510)*(A_Corridor!$D$5:$D$204&lt;&gt;"")),IF(A_Corridor!$D$5:$D$204="-","",UPPER(A_Corridor!$D$5:$D$204))),"")</f>
        <v/>
      </c>
      <c r="F510" s="181" t="str">
        <f>IFERROR(LOOKUP(2,1/((A_Corridor!$A$5:$A$204&lt;&gt;"")*(A_Corridor!$A$5:$A$204&lt;=$B510)*(A_Corridor!$B$5:$B$204&gt;$B510)*(A_Corridor!$E$5:$E$204&lt;&gt;"")),IF(A_Corridor!$E$5:$E$204="-","",1)),"")</f>
        <v/>
      </c>
      <c r="G510" s="182" t="str">
        <f>IFERROR(LOOKUP(2,1/((A_Corridor!$A$5:$A$204&lt;&gt;"")*(A_Corridor!$A$5:$A$204&lt;=$B510)*(A_Corridor!$B$5:$B$204&gt;$B510)*(A_Corridor!$E$5:$E$204&lt;&gt;"")),IF(A_Corridor!$E$5:$E$204="-","",A_Corridor!$E$5:$E$204)),"")</f>
        <v/>
      </c>
      <c r="H510" s="182" t="str">
        <f>IFERROR(LOOKUP(2,1/((D_Points!$A$5:$A$204&lt;&gt;"")*(D_Points!$A$5:$A$204&gt;=$B510)*(D_Points!$A$5:$A$204&lt;$B510+P_Interval)*(UPPER(TRIM(D_Points!$B$5:$B$204))="GULLY")*(D_Points!$H$5:$H$204&lt;&gt;"")),D_Points!$H$5:$H$204),"")</f>
        <v/>
      </c>
      <c r="I510" s="181" t="str">
        <f>IFERROR(LOOKUP(2,1/((A_Corridor!$A$5:$A$204&lt;&gt;"")*(A_Corridor!$A$5:$A$204&lt;=$B510)*(A_Corridor!$B$5:$B$204&gt;$B510)*(A_Corridor!$F$5:$F$204&lt;&gt;"")),IF(A_Corridor!$F$5:$F$204="-","",1)),"")</f>
        <v/>
      </c>
      <c r="J510" s="182" t="str">
        <f>IFERROR(LOOKUP(2,1/((A_Corridor!$A$5:$A$204&lt;&gt;"")*(A_Corridor!$A$5:$A$204&lt;=$B510)*(A_Corridor!$B$5:$B$204&gt;$B510)*(A_Corridor!$F$5:$F$204&lt;&gt;"")),IF(A_Corridor!$F$5:$F$204="-","",A_Corridor!$F$5:$F$204)),"")</f>
        <v/>
      </c>
      <c r="K510" s="182" t="str">
        <f>IFERROR(LOOKUP(2,1/((A_Corridor!$A$5:$A$204&lt;&gt;"")*(A_Corridor!$A$5:$A$204&lt;=$B510)*(A_Corridor!$B$5:$B$204&gt;$B510)*(A_Corridor!$G$5:$G$204&lt;&gt;"")),IF(A_Corridor!$G$5:$G$204="-","",A_Corridor!$G$5:$G$204)),"")</f>
        <v/>
      </c>
      <c r="L510" s="181" t="str">
        <f>IFERROR(LOOKUP(2,1/((A_Corridor!$A$5:$A$204&lt;&gt;"")*(A_Corridor!$A$5:$A$204&lt;=$B510)*(A_Corridor!$B$5:$B$204&gt;$B510)*(A_Corridor!$H$5:$H$204&lt;&gt;"")),IF(A_Corridor!$H$5:$H$204="-","",1)),"")</f>
        <v/>
      </c>
      <c r="M510" s="182" t="str">
        <f>IFERROR(LOOKUP(2,1/((A_Corridor!$A$5:$A$204&lt;&gt;"")*(A_Corridor!$A$5:$A$204&lt;=$B510)*(A_Corridor!$B$5:$B$204&gt;$B510)*(A_Corridor!$H$5:$H$204&lt;&gt;"")),IF(A_Corridor!$H$5:$H$204="-","",A_Corridor!$H$5:$H$204)),"")</f>
        <v/>
      </c>
      <c r="N510" s="182" t="str">
        <f>IFERROR(LOOKUP(2,1/((A_Corridor!$A$5:$A$204&lt;&gt;"")*(A_Corridor!$A$5:$A$204&lt;=$B510)*(A_Corridor!$B$5:$B$204&gt;$B510)*(A_Corridor!$I$5:$I$204&lt;&gt;"")),IF(A_Corridor!$I$5:$I$204="-","",A_Corridor!$I$5:$I$204)),"")</f>
        <v/>
      </c>
      <c r="O510" s="182" t="str">
        <f>IFERROR(LOOKUP(2,1/((D_Points!$A$5:$A$204&lt;&gt;"")*(D_Points!$A$5:$A$204&gt;=$B510)*(D_Points!$A$5:$A$204&lt;$B510+P_Interval)*(UPPER(TRIM(D_Points!$B$5:$B$204))="PITCHING")*(D_Points!$H$5:$H$204&lt;&gt;"")),D_Points!$H$5:$H$204),"")</f>
        <v/>
      </c>
      <c r="P510" s="181" t="str">
        <f>IFERROR(LOOKUP(2,1/((B_Drainage!$A$5:$A$204&lt;&gt;"")*(B_Drainage!$A$5:$A$204&lt;=$B510)*(B_Drainage!$B$5:$B$204&gt;$B510)*(B_Drainage!$C$5:$C$204&lt;&gt;"")),IF(B_Drainage!$C$5:$C$204="-","",UPPER(B_Drainage!$C$5:$C$204))),"")</f>
        <v/>
      </c>
      <c r="Q510" s="181" t="str">
        <f>IFERROR(LOOKUP(2,1/((B_Drainage!$A$5:$A$204&lt;&gt;"")*(B_Drainage!$A$5:$A$204&lt;=$B510)*(B_Drainage!$B$5:$B$204&gt;$B510)*(B_Drainage!$D$5:$D$204&lt;&gt;"")),IF(B_Drainage!$D$5:$D$204="-","",UPPER(B_Drainage!$D$5:$D$204))),"")</f>
        <v/>
      </c>
      <c r="R510" s="182" t="str">
        <f>IFERROR(LOOKUP(2,1/((D_Points!$A$5:$A$204&lt;&gt;"")*(D_Points!$A$5:$A$204&gt;=$B510)*(D_Points!$A$5:$A$204&lt;$B510+P_Interval)*(RIGHT(UPPER(TRIM(D_Points!$B$5:$B$204)),8)="_CULVERT")),IF(LEFT(UPPER(TRIM(D_Points!$B$5:$B$204)),2)="EX",1,IF(LEFT(UPPER(TRIM(D_Points!$B$5:$B$204)),2)="PR",2,3))),"")</f>
        <v/>
      </c>
      <c r="S510" s="182" t="str">
        <f>IFERROR(LOOKUP(2,1/((D_Points!$A$5:$A$204&lt;&gt;"")*(D_Points!$A$5:$A$204&gt;=$B510)*(D_Points!$A$5:$A$204&lt;$B510+P_Interval)*(RIGHT(UPPER(TRIM(D_Points!$B$5:$B$204)),7)="_BRIDGE")),IF(LEFT(UPPER(TRIM(D_Points!$B$5:$B$204)),2)="EX",1,IF(LEFT(UPPER(TRIM(D_Points!$B$5:$B$204)),2)="PR",2,2))),"")</f>
        <v/>
      </c>
      <c r="T510" s="181" t="str">
        <f>IFERROR(LOOKUP(2,1/((B_Drainage!$A$5:$A$204&lt;&gt;"")*(B_Drainage!$A$5:$A$204&lt;=$B510)*(B_Drainage!$B$5:$B$204&gt;$B510)*(B_Drainage!$E$5:$E$204&lt;&gt;"")),IF(B_Drainage!$E$5:$E$204="-","",1)),"")</f>
        <v/>
      </c>
      <c r="U510" s="181" t="str">
        <f>IFERROR(LOOKUP(2,1/((B_Drainage!$A$5:$A$204&lt;&gt;"")*(B_Drainage!$A$5:$A$204&lt;=$B510)*(B_Drainage!$B$5:$B$204&gt;$B510)*(B_Drainage!$E$5:$E$204&lt;&gt;"")),IF(B_Drainage!$E$5:$E$204="-","",B_Drainage!$E$5:$E$204)),"")</f>
        <v/>
      </c>
      <c r="V510" s="181" t="str">
        <f>IFERROR(LOOKUP(2,1/((B_Drainage!$A$5:$A$204&lt;&gt;"")*(B_Drainage!$A$5:$A$204&lt;=$B510)*(B_Drainage!$B$5:$B$204&gt;$B510)*(B_Drainage!$F$5:$F$204&lt;&gt;"")),IF(B_Drainage!$F$5:$F$204="-","",1)),"")</f>
        <v/>
      </c>
      <c r="W510" s="181" t="str">
        <f>IFERROR(LOOKUP(2,1/((B_Drainage!$A$5:$A$204&lt;&gt;"")*(B_Drainage!$A$5:$A$204&lt;=$B510)*(B_Drainage!$B$5:$B$204&gt;$B510)*(B_Drainage!$F$5:$F$204&lt;&gt;"")),IF(B_Drainage!$F$5:$F$204="-","",B_Drainage!$F$5:$F$204)),"")</f>
        <v/>
      </c>
      <c r="X510" s="181" t="str">
        <f>IFERROR(LOOKUP(2,1/((B_Drainage!$A$5:$A$204&lt;&gt;"")*(B_Drainage!$A$5:$A$204&lt;=$B510)*(B_Drainage!$B$5:$B$204&gt;$B510)*(B_Drainage!$G$5:$G$204&lt;&gt;"")),IF(UPPER(B_Drainage!$G$5:$G$204)="Y",1,"")),"")</f>
        <v/>
      </c>
      <c r="Y510" s="181" t="str">
        <f>IFERROR(LOOKUP(2,1/((B_Drainage!$A$5:$A$204&lt;&gt;"")*(B_Drainage!$A$5:$A$204&lt;=$B510)*(B_Drainage!$B$5:$B$204&gt;$B510)*(B_Drainage!$H$5:$H$204&lt;&gt;"")),IF(UPPER(B_Drainage!$H$5:$H$204)="Y",1,"")),"")</f>
        <v/>
      </c>
      <c r="Z510" s="181" t="str">
        <f>IFERROR(LOOKUP(2,1/((B_Drainage!$A$5:$A$204&lt;&gt;"")*(B_Drainage!$A$5:$A$204&lt;=$B510)*(B_Drainage!$B$5:$B$204&gt;$B510)*(B_Drainage!$I$5:$I$204&lt;&gt;"")),IF(UPPER(B_Drainage!$I$5:$I$204)="Y",1,"")),"")</f>
        <v/>
      </c>
      <c r="AA510" s="181" t="str">
        <f>IFERROR(LOOKUP(2,1/((B_Drainage!$A$5:$A$204&lt;&gt;"")*(B_Drainage!$A$5:$A$204&lt;=$B510)*(B_Drainage!$B$5:$B$204&gt;$B510)*(B_Drainage!$J$5:$J$204&lt;&gt;"")),IF(UPPER(B_Drainage!$J$5:$J$204)="Y",1,"")),"")</f>
        <v/>
      </c>
      <c r="AB510" s="182" t="str">
        <f>IFERROR(LOOKUP(2,1/((B_Drainage!$A$5:$A$204&lt;&gt;"")*(B_Drainage!$A$5:$A$204&lt;=$B510)*(B_Drainage!$B$5:$B$204&gt;$B510)*(B_Drainage!$K$5:$K$204&lt;&gt;"")),IF(B_Drainage!$K$5:$K$204="-","",B_Drainage!$K$5:$K$204)),"")</f>
        <v/>
      </c>
      <c r="AC510" s="182" t="str">
        <f>IFERROR(LOOKUP(2,1/((B_Drainage!$A$5:$A$204&lt;&gt;"")*(B_Drainage!$A$5:$A$204&lt;=$B510)*(B_Drainage!$B$5:$B$204&gt;$B510)*(B_Drainage!$L$5:$L$204&lt;&gt;"")),IF(B_Drainage!$L$5:$L$204="-","",B_Drainage!$L$5:$L$204)),"")</f>
        <v/>
      </c>
      <c r="AD510" s="182" t="str">
        <f>IFERROR(LOOKUP(2,1/((D_Points!$A$5:$A$204&lt;&gt;"")*(D_Points!$A$5:$A$204&gt;=$B510)*(D_Points!$A$5:$A$204&lt;$B510+P_Interval)*(UPPER(TRIM(D_Points!$B$5:$B$204))="TURNOUT_L")*(D_Points!$H$5:$H$204&lt;&gt;"")),D_Points!$H$5:$H$204),"")</f>
        <v/>
      </c>
      <c r="AE510" s="182" t="str">
        <f>IFERROR(LOOKUP(2,1/((D_Points!$A$5:$A$204&lt;&gt;"")*(D_Points!$A$5:$A$204&gt;=$B510)*(D_Points!$A$5:$A$204&lt;$B510+P_Interval)*(UPPER(TRIM(D_Points!$B$5:$B$204))="TURNOUT_R")*(D_Points!$H$5:$H$204&lt;&gt;"")),D_Points!$H$5:$H$204),"")</f>
        <v/>
      </c>
      <c r="AF510" s="181" t="str">
        <f>IFERROR(LOOKUP(2,1/((B_Drainage!$A$5:$A$204&lt;&gt;"")*(B_Drainage!$A$5:$A$204&lt;=$B510)*(B_Drainage!$B$5:$B$204&gt;$B510)*(B_Drainage!$M$5:$M$204&lt;&gt;"")),IF(UPPER(B_Drainage!$M$5:$M$204)="Y",1,"")),"")</f>
        <v/>
      </c>
      <c r="AG510" s="181" t="str">
        <f>IFERROR(LOOKUP(2,1/((B_Drainage!$A$5:$A$204&lt;&gt;"")*(B_Drainage!$A$5:$A$204&lt;=$B510)*(B_Drainage!$B$5:$B$204&gt;$B510)*(B_Drainage!$N$5:$N$204&lt;&gt;"")),IF(UPPER(B_Drainage!$N$5:$N$204)="Y",1,"")),"")</f>
        <v/>
      </c>
      <c r="AH510" s="181" t="str">
        <f t="shared" si="56"/>
        <v/>
      </c>
      <c r="AI510" s="181" t="str">
        <f t="shared" si="57"/>
        <v/>
      </c>
      <c r="AJ510" s="181" t="str">
        <f t="shared" si="58"/>
        <v/>
      </c>
      <c r="AK510" s="181" t="str">
        <f t="shared" si="59"/>
        <v/>
      </c>
      <c r="AL510" s="181" t="str">
        <f t="shared" si="60"/>
        <v/>
      </c>
      <c r="AM510" s="181" t="str">
        <f t="shared" si="61"/>
        <v/>
      </c>
      <c r="AN510" s="181" t="str">
        <f t="shared" si="62"/>
        <v/>
      </c>
      <c r="AO510" s="192" t="str">
        <f t="shared" si="63"/>
        <v/>
      </c>
      <c r="AQ510" t="str">
        <f>IFERROR(LOOKUP(2,1/((C_Pavement!$A$5:$A$204&lt;&gt;"")*(C_Pavement!$A$5:$A$204&lt;=$B510)*(C_Pavement!$B$5:$B$204&gt;$B510)*(C_Pavement!$C$5:$C$204&lt;&gt;"")),ROW(C_Pavement!$C$5:$C$204)-4),"")</f>
        <v/>
      </c>
      <c r="AR510" t="str">
        <f>IF($AQ510="","",UPPER(TRIM(INDEX(C_Pavement!$C$5:$C$204,$AQ510))))</f>
        <v/>
      </c>
      <c r="AS510" t="str">
        <f>IF($AR510="","",IFERROR(MATCH($AR510,E_Rules!$A$5:$A$9,0),""))</f>
        <v/>
      </c>
      <c r="AT510" t="str">
        <f>IF($AQ510="","",IF(INDEX(C_Pavement!$D$5:$D$204,$AQ510)&lt;&gt;"",UPPER(TRIM(INDEX(C_Pavement!$D$5:$D$204,$AQ510))),IF($AS510="","",INDEX(E_Rules!$C$5:$C$9,$AS510))))</f>
        <v/>
      </c>
      <c r="AU510" t="str">
        <f>IF($AQ510="","",IF(INDEX(C_Pavement!$E$5:$E$204,$AQ510)&lt;&gt;"",IF(INDEX(C_Pavement!$E$5:$E$204,$AQ510)="-","",INDEX(C_Pavement!$E$5:$E$204,$AQ510)),IF($AS510="","",INDEX(E_Rules!$D$5:$D$9,$AS510))))</f>
        <v/>
      </c>
      <c r="AV510" t="str">
        <f>IF($AQ510="","",IF(INDEX(C_Pavement!$F$5:$F$204,$AQ510)&lt;&gt;"",IF(INDEX(C_Pavement!$F$5:$F$204,$AQ510)="-","",INDEX(C_Pavement!$F$5:$F$204,$AQ510)),IF($AS510="","",INDEX(E_Rules!$E$5:$E$9,$AS510))))</f>
        <v/>
      </c>
      <c r="AW510" t="str">
        <f>IF($AQ510="","",IF(INDEX(C_Pavement!$G$5:$G$204,$AQ510)&lt;&gt;"",IF(INDEX(C_Pavement!$G$5:$G$204,$AQ510)="-","",INDEX(C_Pavement!$G$5:$G$204,$AQ510)),IF($AS510="","",INDEX(E_Rules!$F$5:$F$9,$AS510))))</f>
        <v/>
      </c>
      <c r="AX510" t="str">
        <f>IF($AQ510="","",IF(INDEX(C_Pavement!$H$5:$H$204,$AQ510)&lt;&gt;"",IF(INDEX(C_Pavement!$H$5:$H$204,$AQ510)="-","",INDEX(C_Pavement!$H$5:$H$204,$AQ510)),IF($AS510="","",INDEX(E_Rules!$G$5:$G$9,$AS510))))</f>
        <v/>
      </c>
      <c r="AY510" t="str">
        <f>IF($AQ510="","",IF(INDEX(C_Pavement!$I$5:$I$204,$AQ510)&lt;&gt;"",IF(INDEX(C_Pavement!$I$5:$I$204,$AQ510)="-","",INDEX(C_Pavement!$I$5:$I$204,$AQ510)),IF($AS510="","",INDEX(E_Rules!$H$5:$H$9,$AS510))))</f>
        <v/>
      </c>
    </row>
    <row r="511" spans="1:51" ht="15.75" customHeight="1" x14ac:dyDescent="0.3">
      <c r="A511" s="189">
        <v>506</v>
      </c>
      <c r="B511" s="180">
        <v>25250</v>
      </c>
      <c r="C511" s="180" t="s">
        <v>817</v>
      </c>
      <c r="D511" s="181" t="str">
        <f>IFERROR(LOOKUP(2,1/((A_Corridor!$A$5:$A$204&lt;&gt;"")*(A_Corridor!$A$5:$A$204&lt;=$B511)*(A_Corridor!$B$5:$B$204&gt;$B511)*(A_Corridor!$C$5:$C$204&lt;&gt;"")),IF(UPPER(A_Corridor!$C$5:$C$204)="Y",1,"")),"")</f>
        <v/>
      </c>
      <c r="E511" s="181" t="str">
        <f>IFERROR(LOOKUP(2,1/((A_Corridor!$A$5:$A$204&lt;&gt;"")*(A_Corridor!$A$5:$A$204&lt;=$B511)*(A_Corridor!$B$5:$B$204&gt;$B511)*(A_Corridor!$D$5:$D$204&lt;&gt;"")),IF(A_Corridor!$D$5:$D$204="-","",UPPER(A_Corridor!$D$5:$D$204))),"")</f>
        <v/>
      </c>
      <c r="F511" s="181" t="str">
        <f>IFERROR(LOOKUP(2,1/((A_Corridor!$A$5:$A$204&lt;&gt;"")*(A_Corridor!$A$5:$A$204&lt;=$B511)*(A_Corridor!$B$5:$B$204&gt;$B511)*(A_Corridor!$E$5:$E$204&lt;&gt;"")),IF(A_Corridor!$E$5:$E$204="-","",1)),"")</f>
        <v/>
      </c>
      <c r="G511" s="182" t="str">
        <f>IFERROR(LOOKUP(2,1/((A_Corridor!$A$5:$A$204&lt;&gt;"")*(A_Corridor!$A$5:$A$204&lt;=$B511)*(A_Corridor!$B$5:$B$204&gt;$B511)*(A_Corridor!$E$5:$E$204&lt;&gt;"")),IF(A_Corridor!$E$5:$E$204="-","",A_Corridor!$E$5:$E$204)),"")</f>
        <v/>
      </c>
      <c r="H511" s="182" t="str">
        <f>IFERROR(LOOKUP(2,1/((D_Points!$A$5:$A$204&lt;&gt;"")*(D_Points!$A$5:$A$204&gt;=$B511)*(D_Points!$A$5:$A$204&lt;$B511+P_Interval)*(UPPER(TRIM(D_Points!$B$5:$B$204))="GULLY")*(D_Points!$H$5:$H$204&lt;&gt;"")),D_Points!$H$5:$H$204),"")</f>
        <v/>
      </c>
      <c r="I511" s="181" t="str">
        <f>IFERROR(LOOKUP(2,1/((A_Corridor!$A$5:$A$204&lt;&gt;"")*(A_Corridor!$A$5:$A$204&lt;=$B511)*(A_Corridor!$B$5:$B$204&gt;$B511)*(A_Corridor!$F$5:$F$204&lt;&gt;"")),IF(A_Corridor!$F$5:$F$204="-","",1)),"")</f>
        <v/>
      </c>
      <c r="J511" s="182" t="str">
        <f>IFERROR(LOOKUP(2,1/((A_Corridor!$A$5:$A$204&lt;&gt;"")*(A_Corridor!$A$5:$A$204&lt;=$B511)*(A_Corridor!$B$5:$B$204&gt;$B511)*(A_Corridor!$F$5:$F$204&lt;&gt;"")),IF(A_Corridor!$F$5:$F$204="-","",A_Corridor!$F$5:$F$204)),"")</f>
        <v/>
      </c>
      <c r="K511" s="182" t="str">
        <f>IFERROR(LOOKUP(2,1/((A_Corridor!$A$5:$A$204&lt;&gt;"")*(A_Corridor!$A$5:$A$204&lt;=$B511)*(A_Corridor!$B$5:$B$204&gt;$B511)*(A_Corridor!$G$5:$G$204&lt;&gt;"")),IF(A_Corridor!$G$5:$G$204="-","",A_Corridor!$G$5:$G$204)),"")</f>
        <v/>
      </c>
      <c r="L511" s="181" t="str">
        <f>IFERROR(LOOKUP(2,1/((A_Corridor!$A$5:$A$204&lt;&gt;"")*(A_Corridor!$A$5:$A$204&lt;=$B511)*(A_Corridor!$B$5:$B$204&gt;$B511)*(A_Corridor!$H$5:$H$204&lt;&gt;"")),IF(A_Corridor!$H$5:$H$204="-","",1)),"")</f>
        <v/>
      </c>
      <c r="M511" s="182" t="str">
        <f>IFERROR(LOOKUP(2,1/((A_Corridor!$A$5:$A$204&lt;&gt;"")*(A_Corridor!$A$5:$A$204&lt;=$B511)*(A_Corridor!$B$5:$B$204&gt;$B511)*(A_Corridor!$H$5:$H$204&lt;&gt;"")),IF(A_Corridor!$H$5:$H$204="-","",A_Corridor!$H$5:$H$204)),"")</f>
        <v/>
      </c>
      <c r="N511" s="182" t="str">
        <f>IFERROR(LOOKUP(2,1/((A_Corridor!$A$5:$A$204&lt;&gt;"")*(A_Corridor!$A$5:$A$204&lt;=$B511)*(A_Corridor!$B$5:$B$204&gt;$B511)*(A_Corridor!$I$5:$I$204&lt;&gt;"")),IF(A_Corridor!$I$5:$I$204="-","",A_Corridor!$I$5:$I$204)),"")</f>
        <v/>
      </c>
      <c r="O511" s="182" t="str">
        <f>IFERROR(LOOKUP(2,1/((D_Points!$A$5:$A$204&lt;&gt;"")*(D_Points!$A$5:$A$204&gt;=$B511)*(D_Points!$A$5:$A$204&lt;$B511+P_Interval)*(UPPER(TRIM(D_Points!$B$5:$B$204))="PITCHING")*(D_Points!$H$5:$H$204&lt;&gt;"")),D_Points!$H$5:$H$204),"")</f>
        <v/>
      </c>
      <c r="P511" s="181" t="str">
        <f>IFERROR(LOOKUP(2,1/((B_Drainage!$A$5:$A$204&lt;&gt;"")*(B_Drainage!$A$5:$A$204&lt;=$B511)*(B_Drainage!$B$5:$B$204&gt;$B511)*(B_Drainage!$C$5:$C$204&lt;&gt;"")),IF(B_Drainage!$C$5:$C$204="-","",UPPER(B_Drainage!$C$5:$C$204))),"")</f>
        <v/>
      </c>
      <c r="Q511" s="181" t="str">
        <f>IFERROR(LOOKUP(2,1/((B_Drainage!$A$5:$A$204&lt;&gt;"")*(B_Drainage!$A$5:$A$204&lt;=$B511)*(B_Drainage!$B$5:$B$204&gt;$B511)*(B_Drainage!$D$5:$D$204&lt;&gt;"")),IF(B_Drainage!$D$5:$D$204="-","",UPPER(B_Drainage!$D$5:$D$204))),"")</f>
        <v/>
      </c>
      <c r="R511" s="182" t="str">
        <f>IFERROR(LOOKUP(2,1/((D_Points!$A$5:$A$204&lt;&gt;"")*(D_Points!$A$5:$A$204&gt;=$B511)*(D_Points!$A$5:$A$204&lt;$B511+P_Interval)*(RIGHT(UPPER(TRIM(D_Points!$B$5:$B$204)),8)="_CULVERT")),IF(LEFT(UPPER(TRIM(D_Points!$B$5:$B$204)),2)="EX",1,IF(LEFT(UPPER(TRIM(D_Points!$B$5:$B$204)),2)="PR",2,3))),"")</f>
        <v/>
      </c>
      <c r="S511" s="182" t="str">
        <f>IFERROR(LOOKUP(2,1/((D_Points!$A$5:$A$204&lt;&gt;"")*(D_Points!$A$5:$A$204&gt;=$B511)*(D_Points!$A$5:$A$204&lt;$B511+P_Interval)*(RIGHT(UPPER(TRIM(D_Points!$B$5:$B$204)),7)="_BRIDGE")),IF(LEFT(UPPER(TRIM(D_Points!$B$5:$B$204)),2)="EX",1,IF(LEFT(UPPER(TRIM(D_Points!$B$5:$B$204)),2)="PR",2,2))),"")</f>
        <v/>
      </c>
      <c r="T511" s="181" t="str">
        <f>IFERROR(LOOKUP(2,1/((B_Drainage!$A$5:$A$204&lt;&gt;"")*(B_Drainage!$A$5:$A$204&lt;=$B511)*(B_Drainage!$B$5:$B$204&gt;$B511)*(B_Drainage!$E$5:$E$204&lt;&gt;"")),IF(B_Drainage!$E$5:$E$204="-","",1)),"")</f>
        <v/>
      </c>
      <c r="U511" s="181" t="str">
        <f>IFERROR(LOOKUP(2,1/((B_Drainage!$A$5:$A$204&lt;&gt;"")*(B_Drainage!$A$5:$A$204&lt;=$B511)*(B_Drainage!$B$5:$B$204&gt;$B511)*(B_Drainage!$E$5:$E$204&lt;&gt;"")),IF(B_Drainage!$E$5:$E$204="-","",B_Drainage!$E$5:$E$204)),"")</f>
        <v/>
      </c>
      <c r="V511" s="181" t="str">
        <f>IFERROR(LOOKUP(2,1/((B_Drainage!$A$5:$A$204&lt;&gt;"")*(B_Drainage!$A$5:$A$204&lt;=$B511)*(B_Drainage!$B$5:$B$204&gt;$B511)*(B_Drainage!$F$5:$F$204&lt;&gt;"")),IF(B_Drainage!$F$5:$F$204="-","",1)),"")</f>
        <v/>
      </c>
      <c r="W511" s="181" t="str">
        <f>IFERROR(LOOKUP(2,1/((B_Drainage!$A$5:$A$204&lt;&gt;"")*(B_Drainage!$A$5:$A$204&lt;=$B511)*(B_Drainage!$B$5:$B$204&gt;$B511)*(B_Drainage!$F$5:$F$204&lt;&gt;"")),IF(B_Drainage!$F$5:$F$204="-","",B_Drainage!$F$5:$F$204)),"")</f>
        <v/>
      </c>
      <c r="X511" s="181" t="str">
        <f>IFERROR(LOOKUP(2,1/((B_Drainage!$A$5:$A$204&lt;&gt;"")*(B_Drainage!$A$5:$A$204&lt;=$B511)*(B_Drainage!$B$5:$B$204&gt;$B511)*(B_Drainage!$G$5:$G$204&lt;&gt;"")),IF(UPPER(B_Drainage!$G$5:$G$204)="Y",1,"")),"")</f>
        <v/>
      </c>
      <c r="Y511" s="181" t="str">
        <f>IFERROR(LOOKUP(2,1/((B_Drainage!$A$5:$A$204&lt;&gt;"")*(B_Drainage!$A$5:$A$204&lt;=$B511)*(B_Drainage!$B$5:$B$204&gt;$B511)*(B_Drainage!$H$5:$H$204&lt;&gt;"")),IF(UPPER(B_Drainage!$H$5:$H$204)="Y",1,"")),"")</f>
        <v/>
      </c>
      <c r="Z511" s="181" t="str">
        <f>IFERROR(LOOKUP(2,1/((B_Drainage!$A$5:$A$204&lt;&gt;"")*(B_Drainage!$A$5:$A$204&lt;=$B511)*(B_Drainage!$B$5:$B$204&gt;$B511)*(B_Drainage!$I$5:$I$204&lt;&gt;"")),IF(UPPER(B_Drainage!$I$5:$I$204)="Y",1,"")),"")</f>
        <v/>
      </c>
      <c r="AA511" s="181" t="str">
        <f>IFERROR(LOOKUP(2,1/((B_Drainage!$A$5:$A$204&lt;&gt;"")*(B_Drainage!$A$5:$A$204&lt;=$B511)*(B_Drainage!$B$5:$B$204&gt;$B511)*(B_Drainage!$J$5:$J$204&lt;&gt;"")),IF(UPPER(B_Drainage!$J$5:$J$204)="Y",1,"")),"")</f>
        <v/>
      </c>
      <c r="AB511" s="182" t="str">
        <f>IFERROR(LOOKUP(2,1/((B_Drainage!$A$5:$A$204&lt;&gt;"")*(B_Drainage!$A$5:$A$204&lt;=$B511)*(B_Drainage!$B$5:$B$204&gt;$B511)*(B_Drainage!$K$5:$K$204&lt;&gt;"")),IF(B_Drainage!$K$5:$K$204="-","",B_Drainage!$K$5:$K$204)),"")</f>
        <v/>
      </c>
      <c r="AC511" s="182" t="str">
        <f>IFERROR(LOOKUP(2,1/((B_Drainage!$A$5:$A$204&lt;&gt;"")*(B_Drainage!$A$5:$A$204&lt;=$B511)*(B_Drainage!$B$5:$B$204&gt;$B511)*(B_Drainage!$L$5:$L$204&lt;&gt;"")),IF(B_Drainage!$L$5:$L$204="-","",B_Drainage!$L$5:$L$204)),"")</f>
        <v/>
      </c>
      <c r="AD511" s="182" t="str">
        <f>IFERROR(LOOKUP(2,1/((D_Points!$A$5:$A$204&lt;&gt;"")*(D_Points!$A$5:$A$204&gt;=$B511)*(D_Points!$A$5:$A$204&lt;$B511+P_Interval)*(UPPER(TRIM(D_Points!$B$5:$B$204))="TURNOUT_L")*(D_Points!$H$5:$H$204&lt;&gt;"")),D_Points!$H$5:$H$204),"")</f>
        <v/>
      </c>
      <c r="AE511" s="182" t="str">
        <f>IFERROR(LOOKUP(2,1/((D_Points!$A$5:$A$204&lt;&gt;"")*(D_Points!$A$5:$A$204&gt;=$B511)*(D_Points!$A$5:$A$204&lt;$B511+P_Interval)*(UPPER(TRIM(D_Points!$B$5:$B$204))="TURNOUT_R")*(D_Points!$H$5:$H$204&lt;&gt;"")),D_Points!$H$5:$H$204),"")</f>
        <v/>
      </c>
      <c r="AF511" s="181" t="str">
        <f>IFERROR(LOOKUP(2,1/((B_Drainage!$A$5:$A$204&lt;&gt;"")*(B_Drainage!$A$5:$A$204&lt;=$B511)*(B_Drainage!$B$5:$B$204&gt;$B511)*(B_Drainage!$M$5:$M$204&lt;&gt;"")),IF(UPPER(B_Drainage!$M$5:$M$204)="Y",1,"")),"")</f>
        <v/>
      </c>
      <c r="AG511" s="181" t="str">
        <f>IFERROR(LOOKUP(2,1/((B_Drainage!$A$5:$A$204&lt;&gt;"")*(B_Drainage!$A$5:$A$204&lt;=$B511)*(B_Drainage!$B$5:$B$204&gt;$B511)*(B_Drainage!$N$5:$N$204&lt;&gt;"")),IF(UPPER(B_Drainage!$N$5:$N$204)="Y",1,"")),"")</f>
        <v/>
      </c>
      <c r="AH511" s="181" t="str">
        <f t="shared" si="56"/>
        <v/>
      </c>
      <c r="AI511" s="181" t="str">
        <f t="shared" si="57"/>
        <v/>
      </c>
      <c r="AJ511" s="181" t="str">
        <f t="shared" si="58"/>
        <v/>
      </c>
      <c r="AK511" s="181" t="str">
        <f t="shared" si="59"/>
        <v/>
      </c>
      <c r="AL511" s="181" t="str">
        <f t="shared" si="60"/>
        <v/>
      </c>
      <c r="AM511" s="181" t="str">
        <f t="shared" si="61"/>
        <v/>
      </c>
      <c r="AN511" s="181" t="str">
        <f t="shared" si="62"/>
        <v/>
      </c>
      <c r="AO511" s="192" t="str">
        <f t="shared" si="63"/>
        <v/>
      </c>
      <c r="AQ511" t="str">
        <f>IFERROR(LOOKUP(2,1/((C_Pavement!$A$5:$A$204&lt;&gt;"")*(C_Pavement!$A$5:$A$204&lt;=$B511)*(C_Pavement!$B$5:$B$204&gt;$B511)*(C_Pavement!$C$5:$C$204&lt;&gt;"")),ROW(C_Pavement!$C$5:$C$204)-4),"")</f>
        <v/>
      </c>
      <c r="AR511" t="str">
        <f>IF($AQ511="","",UPPER(TRIM(INDEX(C_Pavement!$C$5:$C$204,$AQ511))))</f>
        <v/>
      </c>
      <c r="AS511" t="str">
        <f>IF($AR511="","",IFERROR(MATCH($AR511,E_Rules!$A$5:$A$9,0),""))</f>
        <v/>
      </c>
      <c r="AT511" t="str">
        <f>IF($AQ511="","",IF(INDEX(C_Pavement!$D$5:$D$204,$AQ511)&lt;&gt;"",UPPER(TRIM(INDEX(C_Pavement!$D$5:$D$204,$AQ511))),IF($AS511="","",INDEX(E_Rules!$C$5:$C$9,$AS511))))</f>
        <v/>
      </c>
      <c r="AU511" t="str">
        <f>IF($AQ511="","",IF(INDEX(C_Pavement!$E$5:$E$204,$AQ511)&lt;&gt;"",IF(INDEX(C_Pavement!$E$5:$E$204,$AQ511)="-","",INDEX(C_Pavement!$E$5:$E$204,$AQ511)),IF($AS511="","",INDEX(E_Rules!$D$5:$D$9,$AS511))))</f>
        <v/>
      </c>
      <c r="AV511" t="str">
        <f>IF($AQ511="","",IF(INDEX(C_Pavement!$F$5:$F$204,$AQ511)&lt;&gt;"",IF(INDEX(C_Pavement!$F$5:$F$204,$AQ511)="-","",INDEX(C_Pavement!$F$5:$F$204,$AQ511)),IF($AS511="","",INDEX(E_Rules!$E$5:$E$9,$AS511))))</f>
        <v/>
      </c>
      <c r="AW511" t="str">
        <f>IF($AQ511="","",IF(INDEX(C_Pavement!$G$5:$G$204,$AQ511)&lt;&gt;"",IF(INDEX(C_Pavement!$G$5:$G$204,$AQ511)="-","",INDEX(C_Pavement!$G$5:$G$204,$AQ511)),IF($AS511="","",INDEX(E_Rules!$F$5:$F$9,$AS511))))</f>
        <v/>
      </c>
      <c r="AX511" t="str">
        <f>IF($AQ511="","",IF(INDEX(C_Pavement!$H$5:$H$204,$AQ511)&lt;&gt;"",IF(INDEX(C_Pavement!$H$5:$H$204,$AQ511)="-","",INDEX(C_Pavement!$H$5:$H$204,$AQ511)),IF($AS511="","",INDEX(E_Rules!$G$5:$G$9,$AS511))))</f>
        <v/>
      </c>
      <c r="AY511" t="str">
        <f>IF($AQ511="","",IF(INDEX(C_Pavement!$I$5:$I$204,$AQ511)&lt;&gt;"",IF(INDEX(C_Pavement!$I$5:$I$204,$AQ511)="-","",INDEX(C_Pavement!$I$5:$I$204,$AQ511)),IF($AS511="","",INDEX(E_Rules!$H$5:$H$9,$AS511))))</f>
        <v/>
      </c>
    </row>
    <row r="512" spans="1:51" ht="15.75" customHeight="1" x14ac:dyDescent="0.3">
      <c r="A512" s="189">
        <v>507</v>
      </c>
      <c r="B512" s="180">
        <v>25300</v>
      </c>
      <c r="C512" s="180" t="s">
        <v>818</v>
      </c>
      <c r="D512" s="181" t="str">
        <f>IFERROR(LOOKUP(2,1/((A_Corridor!$A$5:$A$204&lt;&gt;"")*(A_Corridor!$A$5:$A$204&lt;=$B512)*(A_Corridor!$B$5:$B$204&gt;$B512)*(A_Corridor!$C$5:$C$204&lt;&gt;"")),IF(UPPER(A_Corridor!$C$5:$C$204)="Y",1,"")),"")</f>
        <v/>
      </c>
      <c r="E512" s="181" t="str">
        <f>IFERROR(LOOKUP(2,1/((A_Corridor!$A$5:$A$204&lt;&gt;"")*(A_Corridor!$A$5:$A$204&lt;=$B512)*(A_Corridor!$B$5:$B$204&gt;$B512)*(A_Corridor!$D$5:$D$204&lt;&gt;"")),IF(A_Corridor!$D$5:$D$204="-","",UPPER(A_Corridor!$D$5:$D$204))),"")</f>
        <v/>
      </c>
      <c r="F512" s="181" t="str">
        <f>IFERROR(LOOKUP(2,1/((A_Corridor!$A$5:$A$204&lt;&gt;"")*(A_Corridor!$A$5:$A$204&lt;=$B512)*(A_Corridor!$B$5:$B$204&gt;$B512)*(A_Corridor!$E$5:$E$204&lt;&gt;"")),IF(A_Corridor!$E$5:$E$204="-","",1)),"")</f>
        <v/>
      </c>
      <c r="G512" s="182" t="str">
        <f>IFERROR(LOOKUP(2,1/((A_Corridor!$A$5:$A$204&lt;&gt;"")*(A_Corridor!$A$5:$A$204&lt;=$B512)*(A_Corridor!$B$5:$B$204&gt;$B512)*(A_Corridor!$E$5:$E$204&lt;&gt;"")),IF(A_Corridor!$E$5:$E$204="-","",A_Corridor!$E$5:$E$204)),"")</f>
        <v/>
      </c>
      <c r="H512" s="182" t="str">
        <f>IFERROR(LOOKUP(2,1/((D_Points!$A$5:$A$204&lt;&gt;"")*(D_Points!$A$5:$A$204&gt;=$B512)*(D_Points!$A$5:$A$204&lt;$B512+P_Interval)*(UPPER(TRIM(D_Points!$B$5:$B$204))="GULLY")*(D_Points!$H$5:$H$204&lt;&gt;"")),D_Points!$H$5:$H$204),"")</f>
        <v/>
      </c>
      <c r="I512" s="181" t="str">
        <f>IFERROR(LOOKUP(2,1/((A_Corridor!$A$5:$A$204&lt;&gt;"")*(A_Corridor!$A$5:$A$204&lt;=$B512)*(A_Corridor!$B$5:$B$204&gt;$B512)*(A_Corridor!$F$5:$F$204&lt;&gt;"")),IF(A_Corridor!$F$5:$F$204="-","",1)),"")</f>
        <v/>
      </c>
      <c r="J512" s="182" t="str">
        <f>IFERROR(LOOKUP(2,1/((A_Corridor!$A$5:$A$204&lt;&gt;"")*(A_Corridor!$A$5:$A$204&lt;=$B512)*(A_Corridor!$B$5:$B$204&gt;$B512)*(A_Corridor!$F$5:$F$204&lt;&gt;"")),IF(A_Corridor!$F$5:$F$204="-","",A_Corridor!$F$5:$F$204)),"")</f>
        <v/>
      </c>
      <c r="K512" s="182" t="str">
        <f>IFERROR(LOOKUP(2,1/((A_Corridor!$A$5:$A$204&lt;&gt;"")*(A_Corridor!$A$5:$A$204&lt;=$B512)*(A_Corridor!$B$5:$B$204&gt;$B512)*(A_Corridor!$G$5:$G$204&lt;&gt;"")),IF(A_Corridor!$G$5:$G$204="-","",A_Corridor!$G$5:$G$204)),"")</f>
        <v/>
      </c>
      <c r="L512" s="181" t="str">
        <f>IFERROR(LOOKUP(2,1/((A_Corridor!$A$5:$A$204&lt;&gt;"")*(A_Corridor!$A$5:$A$204&lt;=$B512)*(A_Corridor!$B$5:$B$204&gt;$B512)*(A_Corridor!$H$5:$H$204&lt;&gt;"")),IF(A_Corridor!$H$5:$H$204="-","",1)),"")</f>
        <v/>
      </c>
      <c r="M512" s="182" t="str">
        <f>IFERROR(LOOKUP(2,1/((A_Corridor!$A$5:$A$204&lt;&gt;"")*(A_Corridor!$A$5:$A$204&lt;=$B512)*(A_Corridor!$B$5:$B$204&gt;$B512)*(A_Corridor!$H$5:$H$204&lt;&gt;"")),IF(A_Corridor!$H$5:$H$204="-","",A_Corridor!$H$5:$H$204)),"")</f>
        <v/>
      </c>
      <c r="N512" s="182" t="str">
        <f>IFERROR(LOOKUP(2,1/((A_Corridor!$A$5:$A$204&lt;&gt;"")*(A_Corridor!$A$5:$A$204&lt;=$B512)*(A_Corridor!$B$5:$B$204&gt;$B512)*(A_Corridor!$I$5:$I$204&lt;&gt;"")),IF(A_Corridor!$I$5:$I$204="-","",A_Corridor!$I$5:$I$204)),"")</f>
        <v/>
      </c>
      <c r="O512" s="182" t="str">
        <f>IFERROR(LOOKUP(2,1/((D_Points!$A$5:$A$204&lt;&gt;"")*(D_Points!$A$5:$A$204&gt;=$B512)*(D_Points!$A$5:$A$204&lt;$B512+P_Interval)*(UPPER(TRIM(D_Points!$B$5:$B$204))="PITCHING")*(D_Points!$H$5:$H$204&lt;&gt;"")),D_Points!$H$5:$H$204),"")</f>
        <v/>
      </c>
      <c r="P512" s="181" t="str">
        <f>IFERROR(LOOKUP(2,1/((B_Drainage!$A$5:$A$204&lt;&gt;"")*(B_Drainage!$A$5:$A$204&lt;=$B512)*(B_Drainage!$B$5:$B$204&gt;$B512)*(B_Drainage!$C$5:$C$204&lt;&gt;"")),IF(B_Drainage!$C$5:$C$204="-","",UPPER(B_Drainage!$C$5:$C$204))),"")</f>
        <v/>
      </c>
      <c r="Q512" s="181" t="str">
        <f>IFERROR(LOOKUP(2,1/((B_Drainage!$A$5:$A$204&lt;&gt;"")*(B_Drainage!$A$5:$A$204&lt;=$B512)*(B_Drainage!$B$5:$B$204&gt;$B512)*(B_Drainage!$D$5:$D$204&lt;&gt;"")),IF(B_Drainage!$D$5:$D$204="-","",UPPER(B_Drainage!$D$5:$D$204))),"")</f>
        <v/>
      </c>
      <c r="R512" s="182" t="str">
        <f>IFERROR(LOOKUP(2,1/((D_Points!$A$5:$A$204&lt;&gt;"")*(D_Points!$A$5:$A$204&gt;=$B512)*(D_Points!$A$5:$A$204&lt;$B512+P_Interval)*(RIGHT(UPPER(TRIM(D_Points!$B$5:$B$204)),8)="_CULVERT")),IF(LEFT(UPPER(TRIM(D_Points!$B$5:$B$204)),2)="EX",1,IF(LEFT(UPPER(TRIM(D_Points!$B$5:$B$204)),2)="PR",2,3))),"")</f>
        <v/>
      </c>
      <c r="S512" s="182" t="str">
        <f>IFERROR(LOOKUP(2,1/((D_Points!$A$5:$A$204&lt;&gt;"")*(D_Points!$A$5:$A$204&gt;=$B512)*(D_Points!$A$5:$A$204&lt;$B512+P_Interval)*(RIGHT(UPPER(TRIM(D_Points!$B$5:$B$204)),7)="_BRIDGE")),IF(LEFT(UPPER(TRIM(D_Points!$B$5:$B$204)),2)="EX",1,IF(LEFT(UPPER(TRIM(D_Points!$B$5:$B$204)),2)="PR",2,2))),"")</f>
        <v/>
      </c>
      <c r="T512" s="181" t="str">
        <f>IFERROR(LOOKUP(2,1/((B_Drainage!$A$5:$A$204&lt;&gt;"")*(B_Drainage!$A$5:$A$204&lt;=$B512)*(B_Drainage!$B$5:$B$204&gt;$B512)*(B_Drainage!$E$5:$E$204&lt;&gt;"")),IF(B_Drainage!$E$5:$E$204="-","",1)),"")</f>
        <v/>
      </c>
      <c r="U512" s="181" t="str">
        <f>IFERROR(LOOKUP(2,1/((B_Drainage!$A$5:$A$204&lt;&gt;"")*(B_Drainage!$A$5:$A$204&lt;=$B512)*(B_Drainage!$B$5:$B$204&gt;$B512)*(B_Drainage!$E$5:$E$204&lt;&gt;"")),IF(B_Drainage!$E$5:$E$204="-","",B_Drainage!$E$5:$E$204)),"")</f>
        <v/>
      </c>
      <c r="V512" s="181" t="str">
        <f>IFERROR(LOOKUP(2,1/((B_Drainage!$A$5:$A$204&lt;&gt;"")*(B_Drainage!$A$5:$A$204&lt;=$B512)*(B_Drainage!$B$5:$B$204&gt;$B512)*(B_Drainage!$F$5:$F$204&lt;&gt;"")),IF(B_Drainage!$F$5:$F$204="-","",1)),"")</f>
        <v/>
      </c>
      <c r="W512" s="181" t="str">
        <f>IFERROR(LOOKUP(2,1/((B_Drainage!$A$5:$A$204&lt;&gt;"")*(B_Drainage!$A$5:$A$204&lt;=$B512)*(B_Drainage!$B$5:$B$204&gt;$B512)*(B_Drainage!$F$5:$F$204&lt;&gt;"")),IF(B_Drainage!$F$5:$F$204="-","",B_Drainage!$F$5:$F$204)),"")</f>
        <v/>
      </c>
      <c r="X512" s="181" t="str">
        <f>IFERROR(LOOKUP(2,1/((B_Drainage!$A$5:$A$204&lt;&gt;"")*(B_Drainage!$A$5:$A$204&lt;=$B512)*(B_Drainage!$B$5:$B$204&gt;$B512)*(B_Drainage!$G$5:$G$204&lt;&gt;"")),IF(UPPER(B_Drainage!$G$5:$G$204)="Y",1,"")),"")</f>
        <v/>
      </c>
      <c r="Y512" s="181" t="str">
        <f>IFERROR(LOOKUP(2,1/((B_Drainage!$A$5:$A$204&lt;&gt;"")*(B_Drainage!$A$5:$A$204&lt;=$B512)*(B_Drainage!$B$5:$B$204&gt;$B512)*(B_Drainage!$H$5:$H$204&lt;&gt;"")),IF(UPPER(B_Drainage!$H$5:$H$204)="Y",1,"")),"")</f>
        <v/>
      </c>
      <c r="Z512" s="181" t="str">
        <f>IFERROR(LOOKUP(2,1/((B_Drainage!$A$5:$A$204&lt;&gt;"")*(B_Drainage!$A$5:$A$204&lt;=$B512)*(B_Drainage!$B$5:$B$204&gt;$B512)*(B_Drainage!$I$5:$I$204&lt;&gt;"")),IF(UPPER(B_Drainage!$I$5:$I$204)="Y",1,"")),"")</f>
        <v/>
      </c>
      <c r="AA512" s="181" t="str">
        <f>IFERROR(LOOKUP(2,1/((B_Drainage!$A$5:$A$204&lt;&gt;"")*(B_Drainage!$A$5:$A$204&lt;=$B512)*(B_Drainage!$B$5:$B$204&gt;$B512)*(B_Drainage!$J$5:$J$204&lt;&gt;"")),IF(UPPER(B_Drainage!$J$5:$J$204)="Y",1,"")),"")</f>
        <v/>
      </c>
      <c r="AB512" s="182" t="str">
        <f>IFERROR(LOOKUP(2,1/((B_Drainage!$A$5:$A$204&lt;&gt;"")*(B_Drainage!$A$5:$A$204&lt;=$B512)*(B_Drainage!$B$5:$B$204&gt;$B512)*(B_Drainage!$K$5:$K$204&lt;&gt;"")),IF(B_Drainage!$K$5:$K$204="-","",B_Drainage!$K$5:$K$204)),"")</f>
        <v/>
      </c>
      <c r="AC512" s="182" t="str">
        <f>IFERROR(LOOKUP(2,1/((B_Drainage!$A$5:$A$204&lt;&gt;"")*(B_Drainage!$A$5:$A$204&lt;=$B512)*(B_Drainage!$B$5:$B$204&gt;$B512)*(B_Drainage!$L$5:$L$204&lt;&gt;"")),IF(B_Drainage!$L$5:$L$204="-","",B_Drainage!$L$5:$L$204)),"")</f>
        <v/>
      </c>
      <c r="AD512" s="182" t="str">
        <f>IFERROR(LOOKUP(2,1/((D_Points!$A$5:$A$204&lt;&gt;"")*(D_Points!$A$5:$A$204&gt;=$B512)*(D_Points!$A$5:$A$204&lt;$B512+P_Interval)*(UPPER(TRIM(D_Points!$B$5:$B$204))="TURNOUT_L")*(D_Points!$H$5:$H$204&lt;&gt;"")),D_Points!$H$5:$H$204),"")</f>
        <v/>
      </c>
      <c r="AE512" s="182" t="str">
        <f>IFERROR(LOOKUP(2,1/((D_Points!$A$5:$A$204&lt;&gt;"")*(D_Points!$A$5:$A$204&gt;=$B512)*(D_Points!$A$5:$A$204&lt;$B512+P_Interval)*(UPPER(TRIM(D_Points!$B$5:$B$204))="TURNOUT_R")*(D_Points!$H$5:$H$204&lt;&gt;"")),D_Points!$H$5:$H$204),"")</f>
        <v/>
      </c>
      <c r="AF512" s="181" t="str">
        <f>IFERROR(LOOKUP(2,1/((B_Drainage!$A$5:$A$204&lt;&gt;"")*(B_Drainage!$A$5:$A$204&lt;=$B512)*(B_Drainage!$B$5:$B$204&gt;$B512)*(B_Drainage!$M$5:$M$204&lt;&gt;"")),IF(UPPER(B_Drainage!$M$5:$M$204)="Y",1,"")),"")</f>
        <v/>
      </c>
      <c r="AG512" s="181" t="str">
        <f>IFERROR(LOOKUP(2,1/((B_Drainage!$A$5:$A$204&lt;&gt;"")*(B_Drainage!$A$5:$A$204&lt;=$B512)*(B_Drainage!$B$5:$B$204&gt;$B512)*(B_Drainage!$N$5:$N$204&lt;&gt;"")),IF(UPPER(B_Drainage!$N$5:$N$204)="Y",1,"")),"")</f>
        <v/>
      </c>
      <c r="AH512" s="181" t="str">
        <f t="shared" si="56"/>
        <v/>
      </c>
      <c r="AI512" s="181" t="str">
        <f t="shared" si="57"/>
        <v/>
      </c>
      <c r="AJ512" s="181" t="str">
        <f t="shared" si="58"/>
        <v/>
      </c>
      <c r="AK512" s="181" t="str">
        <f t="shared" si="59"/>
        <v/>
      </c>
      <c r="AL512" s="181" t="str">
        <f t="shared" si="60"/>
        <v/>
      </c>
      <c r="AM512" s="181" t="str">
        <f t="shared" si="61"/>
        <v/>
      </c>
      <c r="AN512" s="181" t="str">
        <f t="shared" si="62"/>
        <v/>
      </c>
      <c r="AO512" s="192" t="str">
        <f t="shared" si="63"/>
        <v/>
      </c>
      <c r="AQ512" t="str">
        <f>IFERROR(LOOKUP(2,1/((C_Pavement!$A$5:$A$204&lt;&gt;"")*(C_Pavement!$A$5:$A$204&lt;=$B512)*(C_Pavement!$B$5:$B$204&gt;$B512)*(C_Pavement!$C$5:$C$204&lt;&gt;"")),ROW(C_Pavement!$C$5:$C$204)-4),"")</f>
        <v/>
      </c>
      <c r="AR512" t="str">
        <f>IF($AQ512="","",UPPER(TRIM(INDEX(C_Pavement!$C$5:$C$204,$AQ512))))</f>
        <v/>
      </c>
      <c r="AS512" t="str">
        <f>IF($AR512="","",IFERROR(MATCH($AR512,E_Rules!$A$5:$A$9,0),""))</f>
        <v/>
      </c>
      <c r="AT512" t="str">
        <f>IF($AQ512="","",IF(INDEX(C_Pavement!$D$5:$D$204,$AQ512)&lt;&gt;"",UPPER(TRIM(INDEX(C_Pavement!$D$5:$D$204,$AQ512))),IF($AS512="","",INDEX(E_Rules!$C$5:$C$9,$AS512))))</f>
        <v/>
      </c>
      <c r="AU512" t="str">
        <f>IF($AQ512="","",IF(INDEX(C_Pavement!$E$5:$E$204,$AQ512)&lt;&gt;"",IF(INDEX(C_Pavement!$E$5:$E$204,$AQ512)="-","",INDEX(C_Pavement!$E$5:$E$204,$AQ512)),IF($AS512="","",INDEX(E_Rules!$D$5:$D$9,$AS512))))</f>
        <v/>
      </c>
      <c r="AV512" t="str">
        <f>IF($AQ512="","",IF(INDEX(C_Pavement!$F$5:$F$204,$AQ512)&lt;&gt;"",IF(INDEX(C_Pavement!$F$5:$F$204,$AQ512)="-","",INDEX(C_Pavement!$F$5:$F$204,$AQ512)),IF($AS512="","",INDEX(E_Rules!$E$5:$E$9,$AS512))))</f>
        <v/>
      </c>
      <c r="AW512" t="str">
        <f>IF($AQ512="","",IF(INDEX(C_Pavement!$G$5:$G$204,$AQ512)&lt;&gt;"",IF(INDEX(C_Pavement!$G$5:$G$204,$AQ512)="-","",INDEX(C_Pavement!$G$5:$G$204,$AQ512)),IF($AS512="","",INDEX(E_Rules!$F$5:$F$9,$AS512))))</f>
        <v/>
      </c>
      <c r="AX512" t="str">
        <f>IF($AQ512="","",IF(INDEX(C_Pavement!$H$5:$H$204,$AQ512)&lt;&gt;"",IF(INDEX(C_Pavement!$H$5:$H$204,$AQ512)="-","",INDEX(C_Pavement!$H$5:$H$204,$AQ512)),IF($AS512="","",INDEX(E_Rules!$G$5:$G$9,$AS512))))</f>
        <v/>
      </c>
      <c r="AY512" t="str">
        <f>IF($AQ512="","",IF(INDEX(C_Pavement!$I$5:$I$204,$AQ512)&lt;&gt;"",IF(INDEX(C_Pavement!$I$5:$I$204,$AQ512)="-","",INDEX(C_Pavement!$I$5:$I$204,$AQ512)),IF($AS512="","",INDEX(E_Rules!$H$5:$H$9,$AS512))))</f>
        <v/>
      </c>
    </row>
    <row r="513" spans="1:51" ht="15.75" customHeight="1" x14ac:dyDescent="0.3">
      <c r="A513" s="189">
        <v>508</v>
      </c>
      <c r="B513" s="180">
        <v>25350</v>
      </c>
      <c r="C513" s="180" t="s">
        <v>819</v>
      </c>
      <c r="D513" s="181" t="str">
        <f>IFERROR(LOOKUP(2,1/((A_Corridor!$A$5:$A$204&lt;&gt;"")*(A_Corridor!$A$5:$A$204&lt;=$B513)*(A_Corridor!$B$5:$B$204&gt;$B513)*(A_Corridor!$C$5:$C$204&lt;&gt;"")),IF(UPPER(A_Corridor!$C$5:$C$204)="Y",1,"")),"")</f>
        <v/>
      </c>
      <c r="E513" s="181" t="str">
        <f>IFERROR(LOOKUP(2,1/((A_Corridor!$A$5:$A$204&lt;&gt;"")*(A_Corridor!$A$5:$A$204&lt;=$B513)*(A_Corridor!$B$5:$B$204&gt;$B513)*(A_Corridor!$D$5:$D$204&lt;&gt;"")),IF(A_Corridor!$D$5:$D$204="-","",UPPER(A_Corridor!$D$5:$D$204))),"")</f>
        <v/>
      </c>
      <c r="F513" s="181" t="str">
        <f>IFERROR(LOOKUP(2,1/((A_Corridor!$A$5:$A$204&lt;&gt;"")*(A_Corridor!$A$5:$A$204&lt;=$B513)*(A_Corridor!$B$5:$B$204&gt;$B513)*(A_Corridor!$E$5:$E$204&lt;&gt;"")),IF(A_Corridor!$E$5:$E$204="-","",1)),"")</f>
        <v/>
      </c>
      <c r="G513" s="182" t="str">
        <f>IFERROR(LOOKUP(2,1/((A_Corridor!$A$5:$A$204&lt;&gt;"")*(A_Corridor!$A$5:$A$204&lt;=$B513)*(A_Corridor!$B$5:$B$204&gt;$B513)*(A_Corridor!$E$5:$E$204&lt;&gt;"")),IF(A_Corridor!$E$5:$E$204="-","",A_Corridor!$E$5:$E$204)),"")</f>
        <v/>
      </c>
      <c r="H513" s="182" t="str">
        <f>IFERROR(LOOKUP(2,1/((D_Points!$A$5:$A$204&lt;&gt;"")*(D_Points!$A$5:$A$204&gt;=$B513)*(D_Points!$A$5:$A$204&lt;$B513+P_Interval)*(UPPER(TRIM(D_Points!$B$5:$B$204))="GULLY")*(D_Points!$H$5:$H$204&lt;&gt;"")),D_Points!$H$5:$H$204),"")</f>
        <v/>
      </c>
      <c r="I513" s="181" t="str">
        <f>IFERROR(LOOKUP(2,1/((A_Corridor!$A$5:$A$204&lt;&gt;"")*(A_Corridor!$A$5:$A$204&lt;=$B513)*(A_Corridor!$B$5:$B$204&gt;$B513)*(A_Corridor!$F$5:$F$204&lt;&gt;"")),IF(A_Corridor!$F$5:$F$204="-","",1)),"")</f>
        <v/>
      </c>
      <c r="J513" s="182" t="str">
        <f>IFERROR(LOOKUP(2,1/((A_Corridor!$A$5:$A$204&lt;&gt;"")*(A_Corridor!$A$5:$A$204&lt;=$B513)*(A_Corridor!$B$5:$B$204&gt;$B513)*(A_Corridor!$F$5:$F$204&lt;&gt;"")),IF(A_Corridor!$F$5:$F$204="-","",A_Corridor!$F$5:$F$204)),"")</f>
        <v/>
      </c>
      <c r="K513" s="182" t="str">
        <f>IFERROR(LOOKUP(2,1/((A_Corridor!$A$5:$A$204&lt;&gt;"")*(A_Corridor!$A$5:$A$204&lt;=$B513)*(A_Corridor!$B$5:$B$204&gt;$B513)*(A_Corridor!$G$5:$G$204&lt;&gt;"")),IF(A_Corridor!$G$5:$G$204="-","",A_Corridor!$G$5:$G$204)),"")</f>
        <v/>
      </c>
      <c r="L513" s="181" t="str">
        <f>IFERROR(LOOKUP(2,1/((A_Corridor!$A$5:$A$204&lt;&gt;"")*(A_Corridor!$A$5:$A$204&lt;=$B513)*(A_Corridor!$B$5:$B$204&gt;$B513)*(A_Corridor!$H$5:$H$204&lt;&gt;"")),IF(A_Corridor!$H$5:$H$204="-","",1)),"")</f>
        <v/>
      </c>
      <c r="M513" s="182" t="str">
        <f>IFERROR(LOOKUP(2,1/((A_Corridor!$A$5:$A$204&lt;&gt;"")*(A_Corridor!$A$5:$A$204&lt;=$B513)*(A_Corridor!$B$5:$B$204&gt;$B513)*(A_Corridor!$H$5:$H$204&lt;&gt;"")),IF(A_Corridor!$H$5:$H$204="-","",A_Corridor!$H$5:$H$204)),"")</f>
        <v/>
      </c>
      <c r="N513" s="182" t="str">
        <f>IFERROR(LOOKUP(2,1/((A_Corridor!$A$5:$A$204&lt;&gt;"")*(A_Corridor!$A$5:$A$204&lt;=$B513)*(A_Corridor!$B$5:$B$204&gt;$B513)*(A_Corridor!$I$5:$I$204&lt;&gt;"")),IF(A_Corridor!$I$5:$I$204="-","",A_Corridor!$I$5:$I$204)),"")</f>
        <v/>
      </c>
      <c r="O513" s="182" t="str">
        <f>IFERROR(LOOKUP(2,1/((D_Points!$A$5:$A$204&lt;&gt;"")*(D_Points!$A$5:$A$204&gt;=$B513)*(D_Points!$A$5:$A$204&lt;$B513+P_Interval)*(UPPER(TRIM(D_Points!$B$5:$B$204))="PITCHING")*(D_Points!$H$5:$H$204&lt;&gt;"")),D_Points!$H$5:$H$204),"")</f>
        <v/>
      </c>
      <c r="P513" s="181" t="str">
        <f>IFERROR(LOOKUP(2,1/((B_Drainage!$A$5:$A$204&lt;&gt;"")*(B_Drainage!$A$5:$A$204&lt;=$B513)*(B_Drainage!$B$5:$B$204&gt;$B513)*(B_Drainage!$C$5:$C$204&lt;&gt;"")),IF(B_Drainage!$C$5:$C$204="-","",UPPER(B_Drainage!$C$5:$C$204))),"")</f>
        <v/>
      </c>
      <c r="Q513" s="181" t="str">
        <f>IFERROR(LOOKUP(2,1/((B_Drainage!$A$5:$A$204&lt;&gt;"")*(B_Drainage!$A$5:$A$204&lt;=$B513)*(B_Drainage!$B$5:$B$204&gt;$B513)*(B_Drainage!$D$5:$D$204&lt;&gt;"")),IF(B_Drainage!$D$5:$D$204="-","",UPPER(B_Drainage!$D$5:$D$204))),"")</f>
        <v/>
      </c>
      <c r="R513" s="182" t="str">
        <f>IFERROR(LOOKUP(2,1/((D_Points!$A$5:$A$204&lt;&gt;"")*(D_Points!$A$5:$A$204&gt;=$B513)*(D_Points!$A$5:$A$204&lt;$B513+P_Interval)*(RIGHT(UPPER(TRIM(D_Points!$B$5:$B$204)),8)="_CULVERT")),IF(LEFT(UPPER(TRIM(D_Points!$B$5:$B$204)),2)="EX",1,IF(LEFT(UPPER(TRIM(D_Points!$B$5:$B$204)),2)="PR",2,3))),"")</f>
        <v/>
      </c>
      <c r="S513" s="182" t="str">
        <f>IFERROR(LOOKUP(2,1/((D_Points!$A$5:$A$204&lt;&gt;"")*(D_Points!$A$5:$A$204&gt;=$B513)*(D_Points!$A$5:$A$204&lt;$B513+P_Interval)*(RIGHT(UPPER(TRIM(D_Points!$B$5:$B$204)),7)="_BRIDGE")),IF(LEFT(UPPER(TRIM(D_Points!$B$5:$B$204)),2)="EX",1,IF(LEFT(UPPER(TRIM(D_Points!$B$5:$B$204)),2)="PR",2,2))),"")</f>
        <v/>
      </c>
      <c r="T513" s="181" t="str">
        <f>IFERROR(LOOKUP(2,1/((B_Drainage!$A$5:$A$204&lt;&gt;"")*(B_Drainage!$A$5:$A$204&lt;=$B513)*(B_Drainage!$B$5:$B$204&gt;$B513)*(B_Drainage!$E$5:$E$204&lt;&gt;"")),IF(B_Drainage!$E$5:$E$204="-","",1)),"")</f>
        <v/>
      </c>
      <c r="U513" s="181" t="str">
        <f>IFERROR(LOOKUP(2,1/((B_Drainage!$A$5:$A$204&lt;&gt;"")*(B_Drainage!$A$5:$A$204&lt;=$B513)*(B_Drainage!$B$5:$B$204&gt;$B513)*(B_Drainage!$E$5:$E$204&lt;&gt;"")),IF(B_Drainage!$E$5:$E$204="-","",B_Drainage!$E$5:$E$204)),"")</f>
        <v/>
      </c>
      <c r="V513" s="181" t="str">
        <f>IFERROR(LOOKUP(2,1/((B_Drainage!$A$5:$A$204&lt;&gt;"")*(B_Drainage!$A$5:$A$204&lt;=$B513)*(B_Drainage!$B$5:$B$204&gt;$B513)*(B_Drainage!$F$5:$F$204&lt;&gt;"")),IF(B_Drainage!$F$5:$F$204="-","",1)),"")</f>
        <v/>
      </c>
      <c r="W513" s="181" t="str">
        <f>IFERROR(LOOKUP(2,1/((B_Drainage!$A$5:$A$204&lt;&gt;"")*(B_Drainage!$A$5:$A$204&lt;=$B513)*(B_Drainage!$B$5:$B$204&gt;$B513)*(B_Drainage!$F$5:$F$204&lt;&gt;"")),IF(B_Drainage!$F$5:$F$204="-","",B_Drainage!$F$5:$F$204)),"")</f>
        <v/>
      </c>
      <c r="X513" s="181" t="str">
        <f>IFERROR(LOOKUP(2,1/((B_Drainage!$A$5:$A$204&lt;&gt;"")*(B_Drainage!$A$5:$A$204&lt;=$B513)*(B_Drainage!$B$5:$B$204&gt;$B513)*(B_Drainage!$G$5:$G$204&lt;&gt;"")),IF(UPPER(B_Drainage!$G$5:$G$204)="Y",1,"")),"")</f>
        <v/>
      </c>
      <c r="Y513" s="181" t="str">
        <f>IFERROR(LOOKUP(2,1/((B_Drainage!$A$5:$A$204&lt;&gt;"")*(B_Drainage!$A$5:$A$204&lt;=$B513)*(B_Drainage!$B$5:$B$204&gt;$B513)*(B_Drainage!$H$5:$H$204&lt;&gt;"")),IF(UPPER(B_Drainage!$H$5:$H$204)="Y",1,"")),"")</f>
        <v/>
      </c>
      <c r="Z513" s="181" t="str">
        <f>IFERROR(LOOKUP(2,1/((B_Drainage!$A$5:$A$204&lt;&gt;"")*(B_Drainage!$A$5:$A$204&lt;=$B513)*(B_Drainage!$B$5:$B$204&gt;$B513)*(B_Drainage!$I$5:$I$204&lt;&gt;"")),IF(UPPER(B_Drainage!$I$5:$I$204)="Y",1,"")),"")</f>
        <v/>
      </c>
      <c r="AA513" s="181" t="str">
        <f>IFERROR(LOOKUP(2,1/((B_Drainage!$A$5:$A$204&lt;&gt;"")*(B_Drainage!$A$5:$A$204&lt;=$B513)*(B_Drainage!$B$5:$B$204&gt;$B513)*(B_Drainage!$J$5:$J$204&lt;&gt;"")),IF(UPPER(B_Drainage!$J$5:$J$204)="Y",1,"")),"")</f>
        <v/>
      </c>
      <c r="AB513" s="182" t="str">
        <f>IFERROR(LOOKUP(2,1/((B_Drainage!$A$5:$A$204&lt;&gt;"")*(B_Drainage!$A$5:$A$204&lt;=$B513)*(B_Drainage!$B$5:$B$204&gt;$B513)*(B_Drainage!$K$5:$K$204&lt;&gt;"")),IF(B_Drainage!$K$5:$K$204="-","",B_Drainage!$K$5:$K$204)),"")</f>
        <v/>
      </c>
      <c r="AC513" s="182" t="str">
        <f>IFERROR(LOOKUP(2,1/((B_Drainage!$A$5:$A$204&lt;&gt;"")*(B_Drainage!$A$5:$A$204&lt;=$B513)*(B_Drainage!$B$5:$B$204&gt;$B513)*(B_Drainage!$L$5:$L$204&lt;&gt;"")),IF(B_Drainage!$L$5:$L$204="-","",B_Drainage!$L$5:$L$204)),"")</f>
        <v/>
      </c>
      <c r="AD513" s="182" t="str">
        <f>IFERROR(LOOKUP(2,1/((D_Points!$A$5:$A$204&lt;&gt;"")*(D_Points!$A$5:$A$204&gt;=$B513)*(D_Points!$A$5:$A$204&lt;$B513+P_Interval)*(UPPER(TRIM(D_Points!$B$5:$B$204))="TURNOUT_L")*(D_Points!$H$5:$H$204&lt;&gt;"")),D_Points!$H$5:$H$204),"")</f>
        <v/>
      </c>
      <c r="AE513" s="182" t="str">
        <f>IFERROR(LOOKUP(2,1/((D_Points!$A$5:$A$204&lt;&gt;"")*(D_Points!$A$5:$A$204&gt;=$B513)*(D_Points!$A$5:$A$204&lt;$B513+P_Interval)*(UPPER(TRIM(D_Points!$B$5:$B$204))="TURNOUT_R")*(D_Points!$H$5:$H$204&lt;&gt;"")),D_Points!$H$5:$H$204),"")</f>
        <v/>
      </c>
      <c r="AF513" s="181" t="str">
        <f>IFERROR(LOOKUP(2,1/((B_Drainage!$A$5:$A$204&lt;&gt;"")*(B_Drainage!$A$5:$A$204&lt;=$B513)*(B_Drainage!$B$5:$B$204&gt;$B513)*(B_Drainage!$M$5:$M$204&lt;&gt;"")),IF(UPPER(B_Drainage!$M$5:$M$204)="Y",1,"")),"")</f>
        <v/>
      </c>
      <c r="AG513" s="181" t="str">
        <f>IFERROR(LOOKUP(2,1/((B_Drainage!$A$5:$A$204&lt;&gt;"")*(B_Drainage!$A$5:$A$204&lt;=$B513)*(B_Drainage!$B$5:$B$204&gt;$B513)*(B_Drainage!$N$5:$N$204&lt;&gt;"")),IF(UPPER(B_Drainage!$N$5:$N$204)="Y",1,"")),"")</f>
        <v/>
      </c>
      <c r="AH513" s="181" t="str">
        <f t="shared" si="56"/>
        <v/>
      </c>
      <c r="AI513" s="181" t="str">
        <f t="shared" si="57"/>
        <v/>
      </c>
      <c r="AJ513" s="181" t="str">
        <f t="shared" si="58"/>
        <v/>
      </c>
      <c r="AK513" s="181" t="str">
        <f t="shared" si="59"/>
        <v/>
      </c>
      <c r="AL513" s="181" t="str">
        <f t="shared" si="60"/>
        <v/>
      </c>
      <c r="AM513" s="181" t="str">
        <f t="shared" si="61"/>
        <v/>
      </c>
      <c r="AN513" s="181" t="str">
        <f t="shared" si="62"/>
        <v/>
      </c>
      <c r="AO513" s="192" t="str">
        <f t="shared" si="63"/>
        <v/>
      </c>
      <c r="AQ513" t="str">
        <f>IFERROR(LOOKUP(2,1/((C_Pavement!$A$5:$A$204&lt;&gt;"")*(C_Pavement!$A$5:$A$204&lt;=$B513)*(C_Pavement!$B$5:$B$204&gt;$B513)*(C_Pavement!$C$5:$C$204&lt;&gt;"")),ROW(C_Pavement!$C$5:$C$204)-4),"")</f>
        <v/>
      </c>
      <c r="AR513" t="str">
        <f>IF($AQ513="","",UPPER(TRIM(INDEX(C_Pavement!$C$5:$C$204,$AQ513))))</f>
        <v/>
      </c>
      <c r="AS513" t="str">
        <f>IF($AR513="","",IFERROR(MATCH($AR513,E_Rules!$A$5:$A$9,0),""))</f>
        <v/>
      </c>
      <c r="AT513" t="str">
        <f>IF($AQ513="","",IF(INDEX(C_Pavement!$D$5:$D$204,$AQ513)&lt;&gt;"",UPPER(TRIM(INDEX(C_Pavement!$D$5:$D$204,$AQ513))),IF($AS513="","",INDEX(E_Rules!$C$5:$C$9,$AS513))))</f>
        <v/>
      </c>
      <c r="AU513" t="str">
        <f>IF($AQ513="","",IF(INDEX(C_Pavement!$E$5:$E$204,$AQ513)&lt;&gt;"",IF(INDEX(C_Pavement!$E$5:$E$204,$AQ513)="-","",INDEX(C_Pavement!$E$5:$E$204,$AQ513)),IF($AS513="","",INDEX(E_Rules!$D$5:$D$9,$AS513))))</f>
        <v/>
      </c>
      <c r="AV513" t="str">
        <f>IF($AQ513="","",IF(INDEX(C_Pavement!$F$5:$F$204,$AQ513)&lt;&gt;"",IF(INDEX(C_Pavement!$F$5:$F$204,$AQ513)="-","",INDEX(C_Pavement!$F$5:$F$204,$AQ513)),IF($AS513="","",INDEX(E_Rules!$E$5:$E$9,$AS513))))</f>
        <v/>
      </c>
      <c r="AW513" t="str">
        <f>IF($AQ513="","",IF(INDEX(C_Pavement!$G$5:$G$204,$AQ513)&lt;&gt;"",IF(INDEX(C_Pavement!$G$5:$G$204,$AQ513)="-","",INDEX(C_Pavement!$G$5:$G$204,$AQ513)),IF($AS513="","",INDEX(E_Rules!$F$5:$F$9,$AS513))))</f>
        <v/>
      </c>
      <c r="AX513" t="str">
        <f>IF($AQ513="","",IF(INDEX(C_Pavement!$H$5:$H$204,$AQ513)&lt;&gt;"",IF(INDEX(C_Pavement!$H$5:$H$204,$AQ513)="-","",INDEX(C_Pavement!$H$5:$H$204,$AQ513)),IF($AS513="","",INDEX(E_Rules!$G$5:$G$9,$AS513))))</f>
        <v/>
      </c>
      <c r="AY513" t="str">
        <f>IF($AQ513="","",IF(INDEX(C_Pavement!$I$5:$I$204,$AQ513)&lt;&gt;"",IF(INDEX(C_Pavement!$I$5:$I$204,$AQ513)="-","",INDEX(C_Pavement!$I$5:$I$204,$AQ513)),IF($AS513="","",INDEX(E_Rules!$H$5:$H$9,$AS513))))</f>
        <v/>
      </c>
    </row>
    <row r="514" spans="1:51" ht="15.75" customHeight="1" x14ac:dyDescent="0.3">
      <c r="A514" s="189">
        <v>509</v>
      </c>
      <c r="B514" s="180">
        <v>25400</v>
      </c>
      <c r="C514" s="180" t="s">
        <v>820</v>
      </c>
      <c r="D514" s="181" t="str">
        <f>IFERROR(LOOKUP(2,1/((A_Corridor!$A$5:$A$204&lt;&gt;"")*(A_Corridor!$A$5:$A$204&lt;=$B514)*(A_Corridor!$B$5:$B$204&gt;$B514)*(A_Corridor!$C$5:$C$204&lt;&gt;"")),IF(UPPER(A_Corridor!$C$5:$C$204)="Y",1,"")),"")</f>
        <v/>
      </c>
      <c r="E514" s="181" t="str">
        <f>IFERROR(LOOKUP(2,1/((A_Corridor!$A$5:$A$204&lt;&gt;"")*(A_Corridor!$A$5:$A$204&lt;=$B514)*(A_Corridor!$B$5:$B$204&gt;$B514)*(A_Corridor!$D$5:$D$204&lt;&gt;"")),IF(A_Corridor!$D$5:$D$204="-","",UPPER(A_Corridor!$D$5:$D$204))),"")</f>
        <v/>
      </c>
      <c r="F514" s="181" t="str">
        <f>IFERROR(LOOKUP(2,1/((A_Corridor!$A$5:$A$204&lt;&gt;"")*(A_Corridor!$A$5:$A$204&lt;=$B514)*(A_Corridor!$B$5:$B$204&gt;$B514)*(A_Corridor!$E$5:$E$204&lt;&gt;"")),IF(A_Corridor!$E$5:$E$204="-","",1)),"")</f>
        <v/>
      </c>
      <c r="G514" s="182" t="str">
        <f>IFERROR(LOOKUP(2,1/((A_Corridor!$A$5:$A$204&lt;&gt;"")*(A_Corridor!$A$5:$A$204&lt;=$B514)*(A_Corridor!$B$5:$B$204&gt;$B514)*(A_Corridor!$E$5:$E$204&lt;&gt;"")),IF(A_Corridor!$E$5:$E$204="-","",A_Corridor!$E$5:$E$204)),"")</f>
        <v/>
      </c>
      <c r="H514" s="182" t="str">
        <f>IFERROR(LOOKUP(2,1/((D_Points!$A$5:$A$204&lt;&gt;"")*(D_Points!$A$5:$A$204&gt;=$B514)*(D_Points!$A$5:$A$204&lt;$B514+P_Interval)*(UPPER(TRIM(D_Points!$B$5:$B$204))="GULLY")*(D_Points!$H$5:$H$204&lt;&gt;"")),D_Points!$H$5:$H$204),"")</f>
        <v/>
      </c>
      <c r="I514" s="181" t="str">
        <f>IFERROR(LOOKUP(2,1/((A_Corridor!$A$5:$A$204&lt;&gt;"")*(A_Corridor!$A$5:$A$204&lt;=$B514)*(A_Corridor!$B$5:$B$204&gt;$B514)*(A_Corridor!$F$5:$F$204&lt;&gt;"")),IF(A_Corridor!$F$5:$F$204="-","",1)),"")</f>
        <v/>
      </c>
      <c r="J514" s="182" t="str">
        <f>IFERROR(LOOKUP(2,1/((A_Corridor!$A$5:$A$204&lt;&gt;"")*(A_Corridor!$A$5:$A$204&lt;=$B514)*(A_Corridor!$B$5:$B$204&gt;$B514)*(A_Corridor!$F$5:$F$204&lt;&gt;"")),IF(A_Corridor!$F$5:$F$204="-","",A_Corridor!$F$5:$F$204)),"")</f>
        <v/>
      </c>
      <c r="K514" s="182" t="str">
        <f>IFERROR(LOOKUP(2,1/((A_Corridor!$A$5:$A$204&lt;&gt;"")*(A_Corridor!$A$5:$A$204&lt;=$B514)*(A_Corridor!$B$5:$B$204&gt;$B514)*(A_Corridor!$G$5:$G$204&lt;&gt;"")),IF(A_Corridor!$G$5:$G$204="-","",A_Corridor!$G$5:$G$204)),"")</f>
        <v/>
      </c>
      <c r="L514" s="181" t="str">
        <f>IFERROR(LOOKUP(2,1/((A_Corridor!$A$5:$A$204&lt;&gt;"")*(A_Corridor!$A$5:$A$204&lt;=$B514)*(A_Corridor!$B$5:$B$204&gt;$B514)*(A_Corridor!$H$5:$H$204&lt;&gt;"")),IF(A_Corridor!$H$5:$H$204="-","",1)),"")</f>
        <v/>
      </c>
      <c r="M514" s="182" t="str">
        <f>IFERROR(LOOKUP(2,1/((A_Corridor!$A$5:$A$204&lt;&gt;"")*(A_Corridor!$A$5:$A$204&lt;=$B514)*(A_Corridor!$B$5:$B$204&gt;$B514)*(A_Corridor!$H$5:$H$204&lt;&gt;"")),IF(A_Corridor!$H$5:$H$204="-","",A_Corridor!$H$5:$H$204)),"")</f>
        <v/>
      </c>
      <c r="N514" s="182" t="str">
        <f>IFERROR(LOOKUP(2,1/((A_Corridor!$A$5:$A$204&lt;&gt;"")*(A_Corridor!$A$5:$A$204&lt;=$B514)*(A_Corridor!$B$5:$B$204&gt;$B514)*(A_Corridor!$I$5:$I$204&lt;&gt;"")),IF(A_Corridor!$I$5:$I$204="-","",A_Corridor!$I$5:$I$204)),"")</f>
        <v/>
      </c>
      <c r="O514" s="182" t="str">
        <f>IFERROR(LOOKUP(2,1/((D_Points!$A$5:$A$204&lt;&gt;"")*(D_Points!$A$5:$A$204&gt;=$B514)*(D_Points!$A$5:$A$204&lt;$B514+P_Interval)*(UPPER(TRIM(D_Points!$B$5:$B$204))="PITCHING")*(D_Points!$H$5:$H$204&lt;&gt;"")),D_Points!$H$5:$H$204),"")</f>
        <v/>
      </c>
      <c r="P514" s="181" t="str">
        <f>IFERROR(LOOKUP(2,1/((B_Drainage!$A$5:$A$204&lt;&gt;"")*(B_Drainage!$A$5:$A$204&lt;=$B514)*(B_Drainage!$B$5:$B$204&gt;$B514)*(B_Drainage!$C$5:$C$204&lt;&gt;"")),IF(B_Drainage!$C$5:$C$204="-","",UPPER(B_Drainage!$C$5:$C$204))),"")</f>
        <v/>
      </c>
      <c r="Q514" s="181" t="str">
        <f>IFERROR(LOOKUP(2,1/((B_Drainage!$A$5:$A$204&lt;&gt;"")*(B_Drainage!$A$5:$A$204&lt;=$B514)*(B_Drainage!$B$5:$B$204&gt;$B514)*(B_Drainage!$D$5:$D$204&lt;&gt;"")),IF(B_Drainage!$D$5:$D$204="-","",UPPER(B_Drainage!$D$5:$D$204))),"")</f>
        <v/>
      </c>
      <c r="R514" s="182" t="str">
        <f>IFERROR(LOOKUP(2,1/((D_Points!$A$5:$A$204&lt;&gt;"")*(D_Points!$A$5:$A$204&gt;=$B514)*(D_Points!$A$5:$A$204&lt;$B514+P_Interval)*(RIGHT(UPPER(TRIM(D_Points!$B$5:$B$204)),8)="_CULVERT")),IF(LEFT(UPPER(TRIM(D_Points!$B$5:$B$204)),2)="EX",1,IF(LEFT(UPPER(TRIM(D_Points!$B$5:$B$204)),2)="PR",2,3))),"")</f>
        <v/>
      </c>
      <c r="S514" s="182" t="str">
        <f>IFERROR(LOOKUP(2,1/((D_Points!$A$5:$A$204&lt;&gt;"")*(D_Points!$A$5:$A$204&gt;=$B514)*(D_Points!$A$5:$A$204&lt;$B514+P_Interval)*(RIGHT(UPPER(TRIM(D_Points!$B$5:$B$204)),7)="_BRIDGE")),IF(LEFT(UPPER(TRIM(D_Points!$B$5:$B$204)),2)="EX",1,IF(LEFT(UPPER(TRIM(D_Points!$B$5:$B$204)),2)="PR",2,2))),"")</f>
        <v/>
      </c>
      <c r="T514" s="181" t="str">
        <f>IFERROR(LOOKUP(2,1/((B_Drainage!$A$5:$A$204&lt;&gt;"")*(B_Drainage!$A$5:$A$204&lt;=$B514)*(B_Drainage!$B$5:$B$204&gt;$B514)*(B_Drainage!$E$5:$E$204&lt;&gt;"")),IF(B_Drainage!$E$5:$E$204="-","",1)),"")</f>
        <v/>
      </c>
      <c r="U514" s="181" t="str">
        <f>IFERROR(LOOKUP(2,1/((B_Drainage!$A$5:$A$204&lt;&gt;"")*(B_Drainage!$A$5:$A$204&lt;=$B514)*(B_Drainage!$B$5:$B$204&gt;$B514)*(B_Drainage!$E$5:$E$204&lt;&gt;"")),IF(B_Drainage!$E$5:$E$204="-","",B_Drainage!$E$5:$E$204)),"")</f>
        <v/>
      </c>
      <c r="V514" s="181" t="str">
        <f>IFERROR(LOOKUP(2,1/((B_Drainage!$A$5:$A$204&lt;&gt;"")*(B_Drainage!$A$5:$A$204&lt;=$B514)*(B_Drainage!$B$5:$B$204&gt;$B514)*(B_Drainage!$F$5:$F$204&lt;&gt;"")),IF(B_Drainage!$F$5:$F$204="-","",1)),"")</f>
        <v/>
      </c>
      <c r="W514" s="181" t="str">
        <f>IFERROR(LOOKUP(2,1/((B_Drainage!$A$5:$A$204&lt;&gt;"")*(B_Drainage!$A$5:$A$204&lt;=$B514)*(B_Drainage!$B$5:$B$204&gt;$B514)*(B_Drainage!$F$5:$F$204&lt;&gt;"")),IF(B_Drainage!$F$5:$F$204="-","",B_Drainage!$F$5:$F$204)),"")</f>
        <v/>
      </c>
      <c r="X514" s="181" t="str">
        <f>IFERROR(LOOKUP(2,1/((B_Drainage!$A$5:$A$204&lt;&gt;"")*(B_Drainage!$A$5:$A$204&lt;=$B514)*(B_Drainage!$B$5:$B$204&gt;$B514)*(B_Drainage!$G$5:$G$204&lt;&gt;"")),IF(UPPER(B_Drainage!$G$5:$G$204)="Y",1,"")),"")</f>
        <v/>
      </c>
      <c r="Y514" s="181" t="str">
        <f>IFERROR(LOOKUP(2,1/((B_Drainage!$A$5:$A$204&lt;&gt;"")*(B_Drainage!$A$5:$A$204&lt;=$B514)*(B_Drainage!$B$5:$B$204&gt;$B514)*(B_Drainage!$H$5:$H$204&lt;&gt;"")),IF(UPPER(B_Drainage!$H$5:$H$204)="Y",1,"")),"")</f>
        <v/>
      </c>
      <c r="Z514" s="181" t="str">
        <f>IFERROR(LOOKUP(2,1/((B_Drainage!$A$5:$A$204&lt;&gt;"")*(B_Drainage!$A$5:$A$204&lt;=$B514)*(B_Drainage!$B$5:$B$204&gt;$B514)*(B_Drainage!$I$5:$I$204&lt;&gt;"")),IF(UPPER(B_Drainage!$I$5:$I$204)="Y",1,"")),"")</f>
        <v/>
      </c>
      <c r="AA514" s="181" t="str">
        <f>IFERROR(LOOKUP(2,1/((B_Drainage!$A$5:$A$204&lt;&gt;"")*(B_Drainage!$A$5:$A$204&lt;=$B514)*(B_Drainage!$B$5:$B$204&gt;$B514)*(B_Drainage!$J$5:$J$204&lt;&gt;"")),IF(UPPER(B_Drainage!$J$5:$J$204)="Y",1,"")),"")</f>
        <v/>
      </c>
      <c r="AB514" s="182" t="str">
        <f>IFERROR(LOOKUP(2,1/((B_Drainage!$A$5:$A$204&lt;&gt;"")*(B_Drainage!$A$5:$A$204&lt;=$B514)*(B_Drainage!$B$5:$B$204&gt;$B514)*(B_Drainage!$K$5:$K$204&lt;&gt;"")),IF(B_Drainage!$K$5:$K$204="-","",B_Drainage!$K$5:$K$204)),"")</f>
        <v/>
      </c>
      <c r="AC514" s="182" t="str">
        <f>IFERROR(LOOKUP(2,1/((B_Drainage!$A$5:$A$204&lt;&gt;"")*(B_Drainage!$A$5:$A$204&lt;=$B514)*(B_Drainage!$B$5:$B$204&gt;$B514)*(B_Drainage!$L$5:$L$204&lt;&gt;"")),IF(B_Drainage!$L$5:$L$204="-","",B_Drainage!$L$5:$L$204)),"")</f>
        <v/>
      </c>
      <c r="AD514" s="182" t="str">
        <f>IFERROR(LOOKUP(2,1/((D_Points!$A$5:$A$204&lt;&gt;"")*(D_Points!$A$5:$A$204&gt;=$B514)*(D_Points!$A$5:$A$204&lt;$B514+P_Interval)*(UPPER(TRIM(D_Points!$B$5:$B$204))="TURNOUT_L")*(D_Points!$H$5:$H$204&lt;&gt;"")),D_Points!$H$5:$H$204),"")</f>
        <v/>
      </c>
      <c r="AE514" s="182" t="str">
        <f>IFERROR(LOOKUP(2,1/((D_Points!$A$5:$A$204&lt;&gt;"")*(D_Points!$A$5:$A$204&gt;=$B514)*(D_Points!$A$5:$A$204&lt;$B514+P_Interval)*(UPPER(TRIM(D_Points!$B$5:$B$204))="TURNOUT_R")*(D_Points!$H$5:$H$204&lt;&gt;"")),D_Points!$H$5:$H$204),"")</f>
        <v/>
      </c>
      <c r="AF514" s="181" t="str">
        <f>IFERROR(LOOKUP(2,1/((B_Drainage!$A$5:$A$204&lt;&gt;"")*(B_Drainage!$A$5:$A$204&lt;=$B514)*(B_Drainage!$B$5:$B$204&gt;$B514)*(B_Drainage!$M$5:$M$204&lt;&gt;"")),IF(UPPER(B_Drainage!$M$5:$M$204)="Y",1,"")),"")</f>
        <v/>
      </c>
      <c r="AG514" s="181" t="str">
        <f>IFERROR(LOOKUP(2,1/((B_Drainage!$A$5:$A$204&lt;&gt;"")*(B_Drainage!$A$5:$A$204&lt;=$B514)*(B_Drainage!$B$5:$B$204&gt;$B514)*(B_Drainage!$N$5:$N$204&lt;&gt;"")),IF(UPPER(B_Drainage!$N$5:$N$204)="Y",1,"")),"")</f>
        <v/>
      </c>
      <c r="AH514" s="181" t="str">
        <f t="shared" si="56"/>
        <v/>
      </c>
      <c r="AI514" s="181" t="str">
        <f t="shared" si="57"/>
        <v/>
      </c>
      <c r="AJ514" s="181" t="str">
        <f t="shared" si="58"/>
        <v/>
      </c>
      <c r="AK514" s="181" t="str">
        <f t="shared" si="59"/>
        <v/>
      </c>
      <c r="AL514" s="181" t="str">
        <f t="shared" si="60"/>
        <v/>
      </c>
      <c r="AM514" s="181" t="str">
        <f t="shared" si="61"/>
        <v/>
      </c>
      <c r="AN514" s="181" t="str">
        <f t="shared" si="62"/>
        <v/>
      </c>
      <c r="AO514" s="192" t="str">
        <f t="shared" si="63"/>
        <v/>
      </c>
      <c r="AQ514" t="str">
        <f>IFERROR(LOOKUP(2,1/((C_Pavement!$A$5:$A$204&lt;&gt;"")*(C_Pavement!$A$5:$A$204&lt;=$B514)*(C_Pavement!$B$5:$B$204&gt;$B514)*(C_Pavement!$C$5:$C$204&lt;&gt;"")),ROW(C_Pavement!$C$5:$C$204)-4),"")</f>
        <v/>
      </c>
      <c r="AR514" t="str">
        <f>IF($AQ514="","",UPPER(TRIM(INDEX(C_Pavement!$C$5:$C$204,$AQ514))))</f>
        <v/>
      </c>
      <c r="AS514" t="str">
        <f>IF($AR514="","",IFERROR(MATCH($AR514,E_Rules!$A$5:$A$9,0),""))</f>
        <v/>
      </c>
      <c r="AT514" t="str">
        <f>IF($AQ514="","",IF(INDEX(C_Pavement!$D$5:$D$204,$AQ514)&lt;&gt;"",UPPER(TRIM(INDEX(C_Pavement!$D$5:$D$204,$AQ514))),IF($AS514="","",INDEX(E_Rules!$C$5:$C$9,$AS514))))</f>
        <v/>
      </c>
      <c r="AU514" t="str">
        <f>IF($AQ514="","",IF(INDEX(C_Pavement!$E$5:$E$204,$AQ514)&lt;&gt;"",IF(INDEX(C_Pavement!$E$5:$E$204,$AQ514)="-","",INDEX(C_Pavement!$E$5:$E$204,$AQ514)),IF($AS514="","",INDEX(E_Rules!$D$5:$D$9,$AS514))))</f>
        <v/>
      </c>
      <c r="AV514" t="str">
        <f>IF($AQ514="","",IF(INDEX(C_Pavement!$F$5:$F$204,$AQ514)&lt;&gt;"",IF(INDEX(C_Pavement!$F$5:$F$204,$AQ514)="-","",INDEX(C_Pavement!$F$5:$F$204,$AQ514)),IF($AS514="","",INDEX(E_Rules!$E$5:$E$9,$AS514))))</f>
        <v/>
      </c>
      <c r="AW514" t="str">
        <f>IF($AQ514="","",IF(INDEX(C_Pavement!$G$5:$G$204,$AQ514)&lt;&gt;"",IF(INDEX(C_Pavement!$G$5:$G$204,$AQ514)="-","",INDEX(C_Pavement!$G$5:$G$204,$AQ514)),IF($AS514="","",INDEX(E_Rules!$F$5:$F$9,$AS514))))</f>
        <v/>
      </c>
      <c r="AX514" t="str">
        <f>IF($AQ514="","",IF(INDEX(C_Pavement!$H$5:$H$204,$AQ514)&lt;&gt;"",IF(INDEX(C_Pavement!$H$5:$H$204,$AQ514)="-","",INDEX(C_Pavement!$H$5:$H$204,$AQ514)),IF($AS514="","",INDEX(E_Rules!$G$5:$G$9,$AS514))))</f>
        <v/>
      </c>
      <c r="AY514" t="str">
        <f>IF($AQ514="","",IF(INDEX(C_Pavement!$I$5:$I$204,$AQ514)&lt;&gt;"",IF(INDEX(C_Pavement!$I$5:$I$204,$AQ514)="-","",INDEX(C_Pavement!$I$5:$I$204,$AQ514)),IF($AS514="","",INDEX(E_Rules!$H$5:$H$9,$AS514))))</f>
        <v/>
      </c>
    </row>
    <row r="515" spans="1:51" ht="15.75" customHeight="1" x14ac:dyDescent="0.3">
      <c r="A515" s="189">
        <v>510</v>
      </c>
      <c r="B515" s="180">
        <v>25450</v>
      </c>
      <c r="C515" s="180" t="s">
        <v>821</v>
      </c>
      <c r="D515" s="181" t="str">
        <f>IFERROR(LOOKUP(2,1/((A_Corridor!$A$5:$A$204&lt;&gt;"")*(A_Corridor!$A$5:$A$204&lt;=$B515)*(A_Corridor!$B$5:$B$204&gt;$B515)*(A_Corridor!$C$5:$C$204&lt;&gt;"")),IF(UPPER(A_Corridor!$C$5:$C$204)="Y",1,"")),"")</f>
        <v/>
      </c>
      <c r="E515" s="181" t="str">
        <f>IFERROR(LOOKUP(2,1/((A_Corridor!$A$5:$A$204&lt;&gt;"")*(A_Corridor!$A$5:$A$204&lt;=$B515)*(A_Corridor!$B$5:$B$204&gt;$B515)*(A_Corridor!$D$5:$D$204&lt;&gt;"")),IF(A_Corridor!$D$5:$D$204="-","",UPPER(A_Corridor!$D$5:$D$204))),"")</f>
        <v/>
      </c>
      <c r="F515" s="181" t="str">
        <f>IFERROR(LOOKUP(2,1/((A_Corridor!$A$5:$A$204&lt;&gt;"")*(A_Corridor!$A$5:$A$204&lt;=$B515)*(A_Corridor!$B$5:$B$204&gt;$B515)*(A_Corridor!$E$5:$E$204&lt;&gt;"")),IF(A_Corridor!$E$5:$E$204="-","",1)),"")</f>
        <v/>
      </c>
      <c r="G515" s="182" t="str">
        <f>IFERROR(LOOKUP(2,1/((A_Corridor!$A$5:$A$204&lt;&gt;"")*(A_Corridor!$A$5:$A$204&lt;=$B515)*(A_Corridor!$B$5:$B$204&gt;$B515)*(A_Corridor!$E$5:$E$204&lt;&gt;"")),IF(A_Corridor!$E$5:$E$204="-","",A_Corridor!$E$5:$E$204)),"")</f>
        <v/>
      </c>
      <c r="H515" s="182" t="str">
        <f>IFERROR(LOOKUP(2,1/((D_Points!$A$5:$A$204&lt;&gt;"")*(D_Points!$A$5:$A$204&gt;=$B515)*(D_Points!$A$5:$A$204&lt;$B515+P_Interval)*(UPPER(TRIM(D_Points!$B$5:$B$204))="GULLY")*(D_Points!$H$5:$H$204&lt;&gt;"")),D_Points!$H$5:$H$204),"")</f>
        <v/>
      </c>
      <c r="I515" s="181" t="str">
        <f>IFERROR(LOOKUP(2,1/((A_Corridor!$A$5:$A$204&lt;&gt;"")*(A_Corridor!$A$5:$A$204&lt;=$B515)*(A_Corridor!$B$5:$B$204&gt;$B515)*(A_Corridor!$F$5:$F$204&lt;&gt;"")),IF(A_Corridor!$F$5:$F$204="-","",1)),"")</f>
        <v/>
      </c>
      <c r="J515" s="182" t="str">
        <f>IFERROR(LOOKUP(2,1/((A_Corridor!$A$5:$A$204&lt;&gt;"")*(A_Corridor!$A$5:$A$204&lt;=$B515)*(A_Corridor!$B$5:$B$204&gt;$B515)*(A_Corridor!$F$5:$F$204&lt;&gt;"")),IF(A_Corridor!$F$5:$F$204="-","",A_Corridor!$F$5:$F$204)),"")</f>
        <v/>
      </c>
      <c r="K515" s="182" t="str">
        <f>IFERROR(LOOKUP(2,1/((A_Corridor!$A$5:$A$204&lt;&gt;"")*(A_Corridor!$A$5:$A$204&lt;=$B515)*(A_Corridor!$B$5:$B$204&gt;$B515)*(A_Corridor!$G$5:$G$204&lt;&gt;"")),IF(A_Corridor!$G$5:$G$204="-","",A_Corridor!$G$5:$G$204)),"")</f>
        <v/>
      </c>
      <c r="L515" s="181" t="str">
        <f>IFERROR(LOOKUP(2,1/((A_Corridor!$A$5:$A$204&lt;&gt;"")*(A_Corridor!$A$5:$A$204&lt;=$B515)*(A_Corridor!$B$5:$B$204&gt;$B515)*(A_Corridor!$H$5:$H$204&lt;&gt;"")),IF(A_Corridor!$H$5:$H$204="-","",1)),"")</f>
        <v/>
      </c>
      <c r="M515" s="182" t="str">
        <f>IFERROR(LOOKUP(2,1/((A_Corridor!$A$5:$A$204&lt;&gt;"")*(A_Corridor!$A$5:$A$204&lt;=$B515)*(A_Corridor!$B$5:$B$204&gt;$B515)*(A_Corridor!$H$5:$H$204&lt;&gt;"")),IF(A_Corridor!$H$5:$H$204="-","",A_Corridor!$H$5:$H$204)),"")</f>
        <v/>
      </c>
      <c r="N515" s="182" t="str">
        <f>IFERROR(LOOKUP(2,1/((A_Corridor!$A$5:$A$204&lt;&gt;"")*(A_Corridor!$A$5:$A$204&lt;=$B515)*(A_Corridor!$B$5:$B$204&gt;$B515)*(A_Corridor!$I$5:$I$204&lt;&gt;"")),IF(A_Corridor!$I$5:$I$204="-","",A_Corridor!$I$5:$I$204)),"")</f>
        <v/>
      </c>
      <c r="O515" s="182" t="str">
        <f>IFERROR(LOOKUP(2,1/((D_Points!$A$5:$A$204&lt;&gt;"")*(D_Points!$A$5:$A$204&gt;=$B515)*(D_Points!$A$5:$A$204&lt;$B515+P_Interval)*(UPPER(TRIM(D_Points!$B$5:$B$204))="PITCHING")*(D_Points!$H$5:$H$204&lt;&gt;"")),D_Points!$H$5:$H$204),"")</f>
        <v/>
      </c>
      <c r="P515" s="181" t="str">
        <f>IFERROR(LOOKUP(2,1/((B_Drainage!$A$5:$A$204&lt;&gt;"")*(B_Drainage!$A$5:$A$204&lt;=$B515)*(B_Drainage!$B$5:$B$204&gt;$B515)*(B_Drainage!$C$5:$C$204&lt;&gt;"")),IF(B_Drainage!$C$5:$C$204="-","",UPPER(B_Drainage!$C$5:$C$204))),"")</f>
        <v/>
      </c>
      <c r="Q515" s="181" t="str">
        <f>IFERROR(LOOKUP(2,1/((B_Drainage!$A$5:$A$204&lt;&gt;"")*(B_Drainage!$A$5:$A$204&lt;=$B515)*(B_Drainage!$B$5:$B$204&gt;$B515)*(B_Drainage!$D$5:$D$204&lt;&gt;"")),IF(B_Drainage!$D$5:$D$204="-","",UPPER(B_Drainage!$D$5:$D$204))),"")</f>
        <v/>
      </c>
      <c r="R515" s="182" t="str">
        <f>IFERROR(LOOKUP(2,1/((D_Points!$A$5:$A$204&lt;&gt;"")*(D_Points!$A$5:$A$204&gt;=$B515)*(D_Points!$A$5:$A$204&lt;$B515+P_Interval)*(RIGHT(UPPER(TRIM(D_Points!$B$5:$B$204)),8)="_CULVERT")),IF(LEFT(UPPER(TRIM(D_Points!$B$5:$B$204)),2)="EX",1,IF(LEFT(UPPER(TRIM(D_Points!$B$5:$B$204)),2)="PR",2,3))),"")</f>
        <v/>
      </c>
      <c r="S515" s="182" t="str">
        <f>IFERROR(LOOKUP(2,1/((D_Points!$A$5:$A$204&lt;&gt;"")*(D_Points!$A$5:$A$204&gt;=$B515)*(D_Points!$A$5:$A$204&lt;$B515+P_Interval)*(RIGHT(UPPER(TRIM(D_Points!$B$5:$B$204)),7)="_BRIDGE")),IF(LEFT(UPPER(TRIM(D_Points!$B$5:$B$204)),2)="EX",1,IF(LEFT(UPPER(TRIM(D_Points!$B$5:$B$204)),2)="PR",2,2))),"")</f>
        <v/>
      </c>
      <c r="T515" s="181" t="str">
        <f>IFERROR(LOOKUP(2,1/((B_Drainage!$A$5:$A$204&lt;&gt;"")*(B_Drainage!$A$5:$A$204&lt;=$B515)*(B_Drainage!$B$5:$B$204&gt;$B515)*(B_Drainage!$E$5:$E$204&lt;&gt;"")),IF(B_Drainage!$E$5:$E$204="-","",1)),"")</f>
        <v/>
      </c>
      <c r="U515" s="181" t="str">
        <f>IFERROR(LOOKUP(2,1/((B_Drainage!$A$5:$A$204&lt;&gt;"")*(B_Drainage!$A$5:$A$204&lt;=$B515)*(B_Drainage!$B$5:$B$204&gt;$B515)*(B_Drainage!$E$5:$E$204&lt;&gt;"")),IF(B_Drainage!$E$5:$E$204="-","",B_Drainage!$E$5:$E$204)),"")</f>
        <v/>
      </c>
      <c r="V515" s="181" t="str">
        <f>IFERROR(LOOKUP(2,1/((B_Drainage!$A$5:$A$204&lt;&gt;"")*(B_Drainage!$A$5:$A$204&lt;=$B515)*(B_Drainage!$B$5:$B$204&gt;$B515)*(B_Drainage!$F$5:$F$204&lt;&gt;"")),IF(B_Drainage!$F$5:$F$204="-","",1)),"")</f>
        <v/>
      </c>
      <c r="W515" s="181" t="str">
        <f>IFERROR(LOOKUP(2,1/((B_Drainage!$A$5:$A$204&lt;&gt;"")*(B_Drainage!$A$5:$A$204&lt;=$B515)*(B_Drainage!$B$5:$B$204&gt;$B515)*(B_Drainage!$F$5:$F$204&lt;&gt;"")),IF(B_Drainage!$F$5:$F$204="-","",B_Drainage!$F$5:$F$204)),"")</f>
        <v/>
      </c>
      <c r="X515" s="181" t="str">
        <f>IFERROR(LOOKUP(2,1/((B_Drainage!$A$5:$A$204&lt;&gt;"")*(B_Drainage!$A$5:$A$204&lt;=$B515)*(B_Drainage!$B$5:$B$204&gt;$B515)*(B_Drainage!$G$5:$G$204&lt;&gt;"")),IF(UPPER(B_Drainage!$G$5:$G$204)="Y",1,"")),"")</f>
        <v/>
      </c>
      <c r="Y515" s="181" t="str">
        <f>IFERROR(LOOKUP(2,1/((B_Drainage!$A$5:$A$204&lt;&gt;"")*(B_Drainage!$A$5:$A$204&lt;=$B515)*(B_Drainage!$B$5:$B$204&gt;$B515)*(B_Drainage!$H$5:$H$204&lt;&gt;"")),IF(UPPER(B_Drainage!$H$5:$H$204)="Y",1,"")),"")</f>
        <v/>
      </c>
      <c r="Z515" s="181" t="str">
        <f>IFERROR(LOOKUP(2,1/((B_Drainage!$A$5:$A$204&lt;&gt;"")*(B_Drainage!$A$5:$A$204&lt;=$B515)*(B_Drainage!$B$5:$B$204&gt;$B515)*(B_Drainage!$I$5:$I$204&lt;&gt;"")),IF(UPPER(B_Drainage!$I$5:$I$204)="Y",1,"")),"")</f>
        <v/>
      </c>
      <c r="AA515" s="181" t="str">
        <f>IFERROR(LOOKUP(2,1/((B_Drainage!$A$5:$A$204&lt;&gt;"")*(B_Drainage!$A$5:$A$204&lt;=$B515)*(B_Drainage!$B$5:$B$204&gt;$B515)*(B_Drainage!$J$5:$J$204&lt;&gt;"")),IF(UPPER(B_Drainage!$J$5:$J$204)="Y",1,"")),"")</f>
        <v/>
      </c>
      <c r="AB515" s="182" t="str">
        <f>IFERROR(LOOKUP(2,1/((B_Drainage!$A$5:$A$204&lt;&gt;"")*(B_Drainage!$A$5:$A$204&lt;=$B515)*(B_Drainage!$B$5:$B$204&gt;$B515)*(B_Drainage!$K$5:$K$204&lt;&gt;"")),IF(B_Drainage!$K$5:$K$204="-","",B_Drainage!$K$5:$K$204)),"")</f>
        <v/>
      </c>
      <c r="AC515" s="182" t="str">
        <f>IFERROR(LOOKUP(2,1/((B_Drainage!$A$5:$A$204&lt;&gt;"")*(B_Drainage!$A$5:$A$204&lt;=$B515)*(B_Drainage!$B$5:$B$204&gt;$B515)*(B_Drainage!$L$5:$L$204&lt;&gt;"")),IF(B_Drainage!$L$5:$L$204="-","",B_Drainage!$L$5:$L$204)),"")</f>
        <v/>
      </c>
      <c r="AD515" s="182" t="str">
        <f>IFERROR(LOOKUP(2,1/((D_Points!$A$5:$A$204&lt;&gt;"")*(D_Points!$A$5:$A$204&gt;=$B515)*(D_Points!$A$5:$A$204&lt;$B515+P_Interval)*(UPPER(TRIM(D_Points!$B$5:$B$204))="TURNOUT_L")*(D_Points!$H$5:$H$204&lt;&gt;"")),D_Points!$H$5:$H$204),"")</f>
        <v/>
      </c>
      <c r="AE515" s="182" t="str">
        <f>IFERROR(LOOKUP(2,1/((D_Points!$A$5:$A$204&lt;&gt;"")*(D_Points!$A$5:$A$204&gt;=$B515)*(D_Points!$A$5:$A$204&lt;$B515+P_Interval)*(UPPER(TRIM(D_Points!$B$5:$B$204))="TURNOUT_R")*(D_Points!$H$5:$H$204&lt;&gt;"")),D_Points!$H$5:$H$204),"")</f>
        <v/>
      </c>
      <c r="AF515" s="181" t="str">
        <f>IFERROR(LOOKUP(2,1/((B_Drainage!$A$5:$A$204&lt;&gt;"")*(B_Drainage!$A$5:$A$204&lt;=$B515)*(B_Drainage!$B$5:$B$204&gt;$B515)*(B_Drainage!$M$5:$M$204&lt;&gt;"")),IF(UPPER(B_Drainage!$M$5:$M$204)="Y",1,"")),"")</f>
        <v/>
      </c>
      <c r="AG515" s="181" t="str">
        <f>IFERROR(LOOKUP(2,1/((B_Drainage!$A$5:$A$204&lt;&gt;"")*(B_Drainage!$A$5:$A$204&lt;=$B515)*(B_Drainage!$B$5:$B$204&gt;$B515)*(B_Drainage!$N$5:$N$204&lt;&gt;"")),IF(UPPER(B_Drainage!$N$5:$N$204)="Y",1,"")),"")</f>
        <v/>
      </c>
      <c r="AH515" s="181" t="str">
        <f t="shared" si="56"/>
        <v/>
      </c>
      <c r="AI515" s="181" t="str">
        <f t="shared" si="57"/>
        <v/>
      </c>
      <c r="AJ515" s="181" t="str">
        <f t="shared" si="58"/>
        <v/>
      </c>
      <c r="AK515" s="181" t="str">
        <f t="shared" si="59"/>
        <v/>
      </c>
      <c r="AL515" s="181" t="str">
        <f t="shared" si="60"/>
        <v/>
      </c>
      <c r="AM515" s="181" t="str">
        <f t="shared" si="61"/>
        <v/>
      </c>
      <c r="AN515" s="181" t="str">
        <f t="shared" si="62"/>
        <v/>
      </c>
      <c r="AO515" s="192" t="str">
        <f t="shared" si="63"/>
        <v/>
      </c>
      <c r="AQ515" t="str">
        <f>IFERROR(LOOKUP(2,1/((C_Pavement!$A$5:$A$204&lt;&gt;"")*(C_Pavement!$A$5:$A$204&lt;=$B515)*(C_Pavement!$B$5:$B$204&gt;$B515)*(C_Pavement!$C$5:$C$204&lt;&gt;"")),ROW(C_Pavement!$C$5:$C$204)-4),"")</f>
        <v/>
      </c>
      <c r="AR515" t="str">
        <f>IF($AQ515="","",UPPER(TRIM(INDEX(C_Pavement!$C$5:$C$204,$AQ515))))</f>
        <v/>
      </c>
      <c r="AS515" t="str">
        <f>IF($AR515="","",IFERROR(MATCH($AR515,E_Rules!$A$5:$A$9,0),""))</f>
        <v/>
      </c>
      <c r="AT515" t="str">
        <f>IF($AQ515="","",IF(INDEX(C_Pavement!$D$5:$D$204,$AQ515)&lt;&gt;"",UPPER(TRIM(INDEX(C_Pavement!$D$5:$D$204,$AQ515))),IF($AS515="","",INDEX(E_Rules!$C$5:$C$9,$AS515))))</f>
        <v/>
      </c>
      <c r="AU515" t="str">
        <f>IF($AQ515="","",IF(INDEX(C_Pavement!$E$5:$E$204,$AQ515)&lt;&gt;"",IF(INDEX(C_Pavement!$E$5:$E$204,$AQ515)="-","",INDEX(C_Pavement!$E$5:$E$204,$AQ515)),IF($AS515="","",INDEX(E_Rules!$D$5:$D$9,$AS515))))</f>
        <v/>
      </c>
      <c r="AV515" t="str">
        <f>IF($AQ515="","",IF(INDEX(C_Pavement!$F$5:$F$204,$AQ515)&lt;&gt;"",IF(INDEX(C_Pavement!$F$5:$F$204,$AQ515)="-","",INDEX(C_Pavement!$F$5:$F$204,$AQ515)),IF($AS515="","",INDEX(E_Rules!$E$5:$E$9,$AS515))))</f>
        <v/>
      </c>
      <c r="AW515" t="str">
        <f>IF($AQ515="","",IF(INDEX(C_Pavement!$G$5:$G$204,$AQ515)&lt;&gt;"",IF(INDEX(C_Pavement!$G$5:$G$204,$AQ515)="-","",INDEX(C_Pavement!$G$5:$G$204,$AQ515)),IF($AS515="","",INDEX(E_Rules!$F$5:$F$9,$AS515))))</f>
        <v/>
      </c>
      <c r="AX515" t="str">
        <f>IF($AQ515="","",IF(INDEX(C_Pavement!$H$5:$H$204,$AQ515)&lt;&gt;"",IF(INDEX(C_Pavement!$H$5:$H$204,$AQ515)="-","",INDEX(C_Pavement!$H$5:$H$204,$AQ515)),IF($AS515="","",INDEX(E_Rules!$G$5:$G$9,$AS515))))</f>
        <v/>
      </c>
      <c r="AY515" t="str">
        <f>IF($AQ515="","",IF(INDEX(C_Pavement!$I$5:$I$204,$AQ515)&lt;&gt;"",IF(INDEX(C_Pavement!$I$5:$I$204,$AQ515)="-","",INDEX(C_Pavement!$I$5:$I$204,$AQ515)),IF($AS515="","",INDEX(E_Rules!$H$5:$H$9,$AS515))))</f>
        <v/>
      </c>
    </row>
    <row r="516" spans="1:51" ht="15.75" customHeight="1" x14ac:dyDescent="0.3">
      <c r="A516" s="189">
        <v>511</v>
      </c>
      <c r="B516" s="180">
        <v>25500</v>
      </c>
      <c r="C516" s="180" t="s">
        <v>822</v>
      </c>
      <c r="D516" s="181" t="str">
        <f>IFERROR(LOOKUP(2,1/((A_Corridor!$A$5:$A$204&lt;&gt;"")*(A_Corridor!$A$5:$A$204&lt;=$B516)*(A_Corridor!$B$5:$B$204&gt;$B516)*(A_Corridor!$C$5:$C$204&lt;&gt;"")),IF(UPPER(A_Corridor!$C$5:$C$204)="Y",1,"")),"")</f>
        <v/>
      </c>
      <c r="E516" s="181" t="str">
        <f>IFERROR(LOOKUP(2,1/((A_Corridor!$A$5:$A$204&lt;&gt;"")*(A_Corridor!$A$5:$A$204&lt;=$B516)*(A_Corridor!$B$5:$B$204&gt;$B516)*(A_Corridor!$D$5:$D$204&lt;&gt;"")),IF(A_Corridor!$D$5:$D$204="-","",UPPER(A_Corridor!$D$5:$D$204))),"")</f>
        <v/>
      </c>
      <c r="F516" s="181" t="str">
        <f>IFERROR(LOOKUP(2,1/((A_Corridor!$A$5:$A$204&lt;&gt;"")*(A_Corridor!$A$5:$A$204&lt;=$B516)*(A_Corridor!$B$5:$B$204&gt;$B516)*(A_Corridor!$E$5:$E$204&lt;&gt;"")),IF(A_Corridor!$E$5:$E$204="-","",1)),"")</f>
        <v/>
      </c>
      <c r="G516" s="182" t="str">
        <f>IFERROR(LOOKUP(2,1/((A_Corridor!$A$5:$A$204&lt;&gt;"")*(A_Corridor!$A$5:$A$204&lt;=$B516)*(A_Corridor!$B$5:$B$204&gt;$B516)*(A_Corridor!$E$5:$E$204&lt;&gt;"")),IF(A_Corridor!$E$5:$E$204="-","",A_Corridor!$E$5:$E$204)),"")</f>
        <v/>
      </c>
      <c r="H516" s="182" t="str">
        <f>IFERROR(LOOKUP(2,1/((D_Points!$A$5:$A$204&lt;&gt;"")*(D_Points!$A$5:$A$204&gt;=$B516)*(D_Points!$A$5:$A$204&lt;$B516+P_Interval)*(UPPER(TRIM(D_Points!$B$5:$B$204))="GULLY")*(D_Points!$H$5:$H$204&lt;&gt;"")),D_Points!$H$5:$H$204),"")</f>
        <v/>
      </c>
      <c r="I516" s="181" t="str">
        <f>IFERROR(LOOKUP(2,1/((A_Corridor!$A$5:$A$204&lt;&gt;"")*(A_Corridor!$A$5:$A$204&lt;=$B516)*(A_Corridor!$B$5:$B$204&gt;$B516)*(A_Corridor!$F$5:$F$204&lt;&gt;"")),IF(A_Corridor!$F$5:$F$204="-","",1)),"")</f>
        <v/>
      </c>
      <c r="J516" s="182" t="str">
        <f>IFERROR(LOOKUP(2,1/((A_Corridor!$A$5:$A$204&lt;&gt;"")*(A_Corridor!$A$5:$A$204&lt;=$B516)*(A_Corridor!$B$5:$B$204&gt;$B516)*(A_Corridor!$F$5:$F$204&lt;&gt;"")),IF(A_Corridor!$F$5:$F$204="-","",A_Corridor!$F$5:$F$204)),"")</f>
        <v/>
      </c>
      <c r="K516" s="182" t="str">
        <f>IFERROR(LOOKUP(2,1/((A_Corridor!$A$5:$A$204&lt;&gt;"")*(A_Corridor!$A$5:$A$204&lt;=$B516)*(A_Corridor!$B$5:$B$204&gt;$B516)*(A_Corridor!$G$5:$G$204&lt;&gt;"")),IF(A_Corridor!$G$5:$G$204="-","",A_Corridor!$G$5:$G$204)),"")</f>
        <v/>
      </c>
      <c r="L516" s="181" t="str">
        <f>IFERROR(LOOKUP(2,1/((A_Corridor!$A$5:$A$204&lt;&gt;"")*(A_Corridor!$A$5:$A$204&lt;=$B516)*(A_Corridor!$B$5:$B$204&gt;$B516)*(A_Corridor!$H$5:$H$204&lt;&gt;"")),IF(A_Corridor!$H$5:$H$204="-","",1)),"")</f>
        <v/>
      </c>
      <c r="M516" s="182" t="str">
        <f>IFERROR(LOOKUP(2,1/((A_Corridor!$A$5:$A$204&lt;&gt;"")*(A_Corridor!$A$5:$A$204&lt;=$B516)*(A_Corridor!$B$5:$B$204&gt;$B516)*(A_Corridor!$H$5:$H$204&lt;&gt;"")),IF(A_Corridor!$H$5:$H$204="-","",A_Corridor!$H$5:$H$204)),"")</f>
        <v/>
      </c>
      <c r="N516" s="182" t="str">
        <f>IFERROR(LOOKUP(2,1/((A_Corridor!$A$5:$A$204&lt;&gt;"")*(A_Corridor!$A$5:$A$204&lt;=$B516)*(A_Corridor!$B$5:$B$204&gt;$B516)*(A_Corridor!$I$5:$I$204&lt;&gt;"")),IF(A_Corridor!$I$5:$I$204="-","",A_Corridor!$I$5:$I$204)),"")</f>
        <v/>
      </c>
      <c r="O516" s="182" t="str">
        <f>IFERROR(LOOKUP(2,1/((D_Points!$A$5:$A$204&lt;&gt;"")*(D_Points!$A$5:$A$204&gt;=$B516)*(D_Points!$A$5:$A$204&lt;$B516+P_Interval)*(UPPER(TRIM(D_Points!$B$5:$B$204))="PITCHING")*(D_Points!$H$5:$H$204&lt;&gt;"")),D_Points!$H$5:$H$204),"")</f>
        <v/>
      </c>
      <c r="P516" s="181" t="str">
        <f>IFERROR(LOOKUP(2,1/((B_Drainage!$A$5:$A$204&lt;&gt;"")*(B_Drainage!$A$5:$A$204&lt;=$B516)*(B_Drainage!$B$5:$B$204&gt;$B516)*(B_Drainage!$C$5:$C$204&lt;&gt;"")),IF(B_Drainage!$C$5:$C$204="-","",UPPER(B_Drainage!$C$5:$C$204))),"")</f>
        <v/>
      </c>
      <c r="Q516" s="181" t="str">
        <f>IFERROR(LOOKUP(2,1/((B_Drainage!$A$5:$A$204&lt;&gt;"")*(B_Drainage!$A$5:$A$204&lt;=$B516)*(B_Drainage!$B$5:$B$204&gt;$B516)*(B_Drainage!$D$5:$D$204&lt;&gt;"")),IF(B_Drainage!$D$5:$D$204="-","",UPPER(B_Drainage!$D$5:$D$204))),"")</f>
        <v/>
      </c>
      <c r="R516" s="182" t="str">
        <f>IFERROR(LOOKUP(2,1/((D_Points!$A$5:$A$204&lt;&gt;"")*(D_Points!$A$5:$A$204&gt;=$B516)*(D_Points!$A$5:$A$204&lt;$B516+P_Interval)*(RIGHT(UPPER(TRIM(D_Points!$B$5:$B$204)),8)="_CULVERT")),IF(LEFT(UPPER(TRIM(D_Points!$B$5:$B$204)),2)="EX",1,IF(LEFT(UPPER(TRIM(D_Points!$B$5:$B$204)),2)="PR",2,3))),"")</f>
        <v/>
      </c>
      <c r="S516" s="182" t="str">
        <f>IFERROR(LOOKUP(2,1/((D_Points!$A$5:$A$204&lt;&gt;"")*(D_Points!$A$5:$A$204&gt;=$B516)*(D_Points!$A$5:$A$204&lt;$B516+P_Interval)*(RIGHT(UPPER(TRIM(D_Points!$B$5:$B$204)),7)="_BRIDGE")),IF(LEFT(UPPER(TRIM(D_Points!$B$5:$B$204)),2)="EX",1,IF(LEFT(UPPER(TRIM(D_Points!$B$5:$B$204)),2)="PR",2,2))),"")</f>
        <v/>
      </c>
      <c r="T516" s="181" t="str">
        <f>IFERROR(LOOKUP(2,1/((B_Drainage!$A$5:$A$204&lt;&gt;"")*(B_Drainage!$A$5:$A$204&lt;=$B516)*(B_Drainage!$B$5:$B$204&gt;$B516)*(B_Drainage!$E$5:$E$204&lt;&gt;"")),IF(B_Drainage!$E$5:$E$204="-","",1)),"")</f>
        <v/>
      </c>
      <c r="U516" s="181" t="str">
        <f>IFERROR(LOOKUP(2,1/((B_Drainage!$A$5:$A$204&lt;&gt;"")*(B_Drainage!$A$5:$A$204&lt;=$B516)*(B_Drainage!$B$5:$B$204&gt;$B516)*(B_Drainage!$E$5:$E$204&lt;&gt;"")),IF(B_Drainage!$E$5:$E$204="-","",B_Drainage!$E$5:$E$204)),"")</f>
        <v/>
      </c>
      <c r="V516" s="181" t="str">
        <f>IFERROR(LOOKUP(2,1/((B_Drainage!$A$5:$A$204&lt;&gt;"")*(B_Drainage!$A$5:$A$204&lt;=$B516)*(B_Drainage!$B$5:$B$204&gt;$B516)*(B_Drainage!$F$5:$F$204&lt;&gt;"")),IF(B_Drainage!$F$5:$F$204="-","",1)),"")</f>
        <v/>
      </c>
      <c r="W516" s="181" t="str">
        <f>IFERROR(LOOKUP(2,1/((B_Drainage!$A$5:$A$204&lt;&gt;"")*(B_Drainage!$A$5:$A$204&lt;=$B516)*(B_Drainage!$B$5:$B$204&gt;$B516)*(B_Drainage!$F$5:$F$204&lt;&gt;"")),IF(B_Drainage!$F$5:$F$204="-","",B_Drainage!$F$5:$F$204)),"")</f>
        <v/>
      </c>
      <c r="X516" s="181" t="str">
        <f>IFERROR(LOOKUP(2,1/((B_Drainage!$A$5:$A$204&lt;&gt;"")*(B_Drainage!$A$5:$A$204&lt;=$B516)*(B_Drainage!$B$5:$B$204&gt;$B516)*(B_Drainage!$G$5:$G$204&lt;&gt;"")),IF(UPPER(B_Drainage!$G$5:$G$204)="Y",1,"")),"")</f>
        <v/>
      </c>
      <c r="Y516" s="181" t="str">
        <f>IFERROR(LOOKUP(2,1/((B_Drainage!$A$5:$A$204&lt;&gt;"")*(B_Drainage!$A$5:$A$204&lt;=$B516)*(B_Drainage!$B$5:$B$204&gt;$B516)*(B_Drainage!$H$5:$H$204&lt;&gt;"")),IF(UPPER(B_Drainage!$H$5:$H$204)="Y",1,"")),"")</f>
        <v/>
      </c>
      <c r="Z516" s="181" t="str">
        <f>IFERROR(LOOKUP(2,1/((B_Drainage!$A$5:$A$204&lt;&gt;"")*(B_Drainage!$A$5:$A$204&lt;=$B516)*(B_Drainage!$B$5:$B$204&gt;$B516)*(B_Drainage!$I$5:$I$204&lt;&gt;"")),IF(UPPER(B_Drainage!$I$5:$I$204)="Y",1,"")),"")</f>
        <v/>
      </c>
      <c r="AA516" s="181" t="str">
        <f>IFERROR(LOOKUP(2,1/((B_Drainage!$A$5:$A$204&lt;&gt;"")*(B_Drainage!$A$5:$A$204&lt;=$B516)*(B_Drainage!$B$5:$B$204&gt;$B516)*(B_Drainage!$J$5:$J$204&lt;&gt;"")),IF(UPPER(B_Drainage!$J$5:$J$204)="Y",1,"")),"")</f>
        <v/>
      </c>
      <c r="AB516" s="182" t="str">
        <f>IFERROR(LOOKUP(2,1/((B_Drainage!$A$5:$A$204&lt;&gt;"")*(B_Drainage!$A$5:$A$204&lt;=$B516)*(B_Drainage!$B$5:$B$204&gt;$B516)*(B_Drainage!$K$5:$K$204&lt;&gt;"")),IF(B_Drainage!$K$5:$K$204="-","",B_Drainage!$K$5:$K$204)),"")</f>
        <v/>
      </c>
      <c r="AC516" s="182" t="str">
        <f>IFERROR(LOOKUP(2,1/((B_Drainage!$A$5:$A$204&lt;&gt;"")*(B_Drainage!$A$5:$A$204&lt;=$B516)*(B_Drainage!$B$5:$B$204&gt;$B516)*(B_Drainage!$L$5:$L$204&lt;&gt;"")),IF(B_Drainage!$L$5:$L$204="-","",B_Drainage!$L$5:$L$204)),"")</f>
        <v/>
      </c>
      <c r="AD516" s="182" t="str">
        <f>IFERROR(LOOKUP(2,1/((D_Points!$A$5:$A$204&lt;&gt;"")*(D_Points!$A$5:$A$204&gt;=$B516)*(D_Points!$A$5:$A$204&lt;$B516+P_Interval)*(UPPER(TRIM(D_Points!$B$5:$B$204))="TURNOUT_L")*(D_Points!$H$5:$H$204&lt;&gt;"")),D_Points!$H$5:$H$204),"")</f>
        <v/>
      </c>
      <c r="AE516" s="182" t="str">
        <f>IFERROR(LOOKUP(2,1/((D_Points!$A$5:$A$204&lt;&gt;"")*(D_Points!$A$5:$A$204&gt;=$B516)*(D_Points!$A$5:$A$204&lt;$B516+P_Interval)*(UPPER(TRIM(D_Points!$B$5:$B$204))="TURNOUT_R")*(D_Points!$H$5:$H$204&lt;&gt;"")),D_Points!$H$5:$H$204),"")</f>
        <v/>
      </c>
      <c r="AF516" s="181" t="str">
        <f>IFERROR(LOOKUP(2,1/((B_Drainage!$A$5:$A$204&lt;&gt;"")*(B_Drainage!$A$5:$A$204&lt;=$B516)*(B_Drainage!$B$5:$B$204&gt;$B516)*(B_Drainage!$M$5:$M$204&lt;&gt;"")),IF(UPPER(B_Drainage!$M$5:$M$204)="Y",1,"")),"")</f>
        <v/>
      </c>
      <c r="AG516" s="181" t="str">
        <f>IFERROR(LOOKUP(2,1/((B_Drainage!$A$5:$A$204&lt;&gt;"")*(B_Drainage!$A$5:$A$204&lt;=$B516)*(B_Drainage!$B$5:$B$204&gt;$B516)*(B_Drainage!$N$5:$N$204&lt;&gt;"")),IF(UPPER(B_Drainage!$N$5:$N$204)="Y",1,"")),"")</f>
        <v/>
      </c>
      <c r="AH516" s="181" t="str">
        <f t="shared" si="56"/>
        <v/>
      </c>
      <c r="AI516" s="181" t="str">
        <f t="shared" si="57"/>
        <v/>
      </c>
      <c r="AJ516" s="181" t="str">
        <f t="shared" si="58"/>
        <v/>
      </c>
      <c r="AK516" s="181" t="str">
        <f t="shared" si="59"/>
        <v/>
      </c>
      <c r="AL516" s="181" t="str">
        <f t="shared" si="60"/>
        <v/>
      </c>
      <c r="AM516" s="181" t="str">
        <f t="shared" si="61"/>
        <v/>
      </c>
      <c r="AN516" s="181" t="str">
        <f t="shared" si="62"/>
        <v/>
      </c>
      <c r="AO516" s="192" t="str">
        <f t="shared" si="63"/>
        <v/>
      </c>
      <c r="AQ516" t="str">
        <f>IFERROR(LOOKUP(2,1/((C_Pavement!$A$5:$A$204&lt;&gt;"")*(C_Pavement!$A$5:$A$204&lt;=$B516)*(C_Pavement!$B$5:$B$204&gt;$B516)*(C_Pavement!$C$5:$C$204&lt;&gt;"")),ROW(C_Pavement!$C$5:$C$204)-4),"")</f>
        <v/>
      </c>
      <c r="AR516" t="str">
        <f>IF($AQ516="","",UPPER(TRIM(INDEX(C_Pavement!$C$5:$C$204,$AQ516))))</f>
        <v/>
      </c>
      <c r="AS516" t="str">
        <f>IF($AR516="","",IFERROR(MATCH($AR516,E_Rules!$A$5:$A$9,0),""))</f>
        <v/>
      </c>
      <c r="AT516" t="str">
        <f>IF($AQ516="","",IF(INDEX(C_Pavement!$D$5:$D$204,$AQ516)&lt;&gt;"",UPPER(TRIM(INDEX(C_Pavement!$D$5:$D$204,$AQ516))),IF($AS516="","",INDEX(E_Rules!$C$5:$C$9,$AS516))))</f>
        <v/>
      </c>
      <c r="AU516" t="str">
        <f>IF($AQ516="","",IF(INDEX(C_Pavement!$E$5:$E$204,$AQ516)&lt;&gt;"",IF(INDEX(C_Pavement!$E$5:$E$204,$AQ516)="-","",INDEX(C_Pavement!$E$5:$E$204,$AQ516)),IF($AS516="","",INDEX(E_Rules!$D$5:$D$9,$AS516))))</f>
        <v/>
      </c>
      <c r="AV516" t="str">
        <f>IF($AQ516="","",IF(INDEX(C_Pavement!$F$5:$F$204,$AQ516)&lt;&gt;"",IF(INDEX(C_Pavement!$F$5:$F$204,$AQ516)="-","",INDEX(C_Pavement!$F$5:$F$204,$AQ516)),IF($AS516="","",INDEX(E_Rules!$E$5:$E$9,$AS516))))</f>
        <v/>
      </c>
      <c r="AW516" t="str">
        <f>IF($AQ516="","",IF(INDEX(C_Pavement!$G$5:$G$204,$AQ516)&lt;&gt;"",IF(INDEX(C_Pavement!$G$5:$G$204,$AQ516)="-","",INDEX(C_Pavement!$G$5:$G$204,$AQ516)),IF($AS516="","",INDEX(E_Rules!$F$5:$F$9,$AS516))))</f>
        <v/>
      </c>
      <c r="AX516" t="str">
        <f>IF($AQ516="","",IF(INDEX(C_Pavement!$H$5:$H$204,$AQ516)&lt;&gt;"",IF(INDEX(C_Pavement!$H$5:$H$204,$AQ516)="-","",INDEX(C_Pavement!$H$5:$H$204,$AQ516)),IF($AS516="","",INDEX(E_Rules!$G$5:$G$9,$AS516))))</f>
        <v/>
      </c>
      <c r="AY516" t="str">
        <f>IF($AQ516="","",IF(INDEX(C_Pavement!$I$5:$I$204,$AQ516)&lt;&gt;"",IF(INDEX(C_Pavement!$I$5:$I$204,$AQ516)="-","",INDEX(C_Pavement!$I$5:$I$204,$AQ516)),IF($AS516="","",INDEX(E_Rules!$H$5:$H$9,$AS516))))</f>
        <v/>
      </c>
    </row>
    <row r="517" spans="1:51" ht="15.75" customHeight="1" x14ac:dyDescent="0.3">
      <c r="A517" s="189">
        <v>512</v>
      </c>
      <c r="B517" s="180">
        <v>25550</v>
      </c>
      <c r="C517" s="180" t="s">
        <v>823</v>
      </c>
      <c r="D517" s="181" t="str">
        <f>IFERROR(LOOKUP(2,1/((A_Corridor!$A$5:$A$204&lt;&gt;"")*(A_Corridor!$A$5:$A$204&lt;=$B517)*(A_Corridor!$B$5:$B$204&gt;$B517)*(A_Corridor!$C$5:$C$204&lt;&gt;"")),IF(UPPER(A_Corridor!$C$5:$C$204)="Y",1,"")),"")</f>
        <v/>
      </c>
      <c r="E517" s="181" t="str">
        <f>IFERROR(LOOKUP(2,1/((A_Corridor!$A$5:$A$204&lt;&gt;"")*(A_Corridor!$A$5:$A$204&lt;=$B517)*(A_Corridor!$B$5:$B$204&gt;$B517)*(A_Corridor!$D$5:$D$204&lt;&gt;"")),IF(A_Corridor!$D$5:$D$204="-","",UPPER(A_Corridor!$D$5:$D$204))),"")</f>
        <v/>
      </c>
      <c r="F517" s="181" t="str">
        <f>IFERROR(LOOKUP(2,1/((A_Corridor!$A$5:$A$204&lt;&gt;"")*(A_Corridor!$A$5:$A$204&lt;=$B517)*(A_Corridor!$B$5:$B$204&gt;$B517)*(A_Corridor!$E$5:$E$204&lt;&gt;"")),IF(A_Corridor!$E$5:$E$204="-","",1)),"")</f>
        <v/>
      </c>
      <c r="G517" s="182" t="str">
        <f>IFERROR(LOOKUP(2,1/((A_Corridor!$A$5:$A$204&lt;&gt;"")*(A_Corridor!$A$5:$A$204&lt;=$B517)*(A_Corridor!$B$5:$B$204&gt;$B517)*(A_Corridor!$E$5:$E$204&lt;&gt;"")),IF(A_Corridor!$E$5:$E$204="-","",A_Corridor!$E$5:$E$204)),"")</f>
        <v/>
      </c>
      <c r="H517" s="182" t="str">
        <f>IFERROR(LOOKUP(2,1/((D_Points!$A$5:$A$204&lt;&gt;"")*(D_Points!$A$5:$A$204&gt;=$B517)*(D_Points!$A$5:$A$204&lt;$B517+P_Interval)*(UPPER(TRIM(D_Points!$B$5:$B$204))="GULLY")*(D_Points!$H$5:$H$204&lt;&gt;"")),D_Points!$H$5:$H$204),"")</f>
        <v/>
      </c>
      <c r="I517" s="181" t="str">
        <f>IFERROR(LOOKUP(2,1/((A_Corridor!$A$5:$A$204&lt;&gt;"")*(A_Corridor!$A$5:$A$204&lt;=$B517)*(A_Corridor!$B$5:$B$204&gt;$B517)*(A_Corridor!$F$5:$F$204&lt;&gt;"")),IF(A_Corridor!$F$5:$F$204="-","",1)),"")</f>
        <v/>
      </c>
      <c r="J517" s="182" t="str">
        <f>IFERROR(LOOKUP(2,1/((A_Corridor!$A$5:$A$204&lt;&gt;"")*(A_Corridor!$A$5:$A$204&lt;=$B517)*(A_Corridor!$B$5:$B$204&gt;$B517)*(A_Corridor!$F$5:$F$204&lt;&gt;"")),IF(A_Corridor!$F$5:$F$204="-","",A_Corridor!$F$5:$F$204)),"")</f>
        <v/>
      </c>
      <c r="K517" s="182" t="str">
        <f>IFERROR(LOOKUP(2,1/((A_Corridor!$A$5:$A$204&lt;&gt;"")*(A_Corridor!$A$5:$A$204&lt;=$B517)*(A_Corridor!$B$5:$B$204&gt;$B517)*(A_Corridor!$G$5:$G$204&lt;&gt;"")),IF(A_Corridor!$G$5:$G$204="-","",A_Corridor!$G$5:$G$204)),"")</f>
        <v/>
      </c>
      <c r="L517" s="181" t="str">
        <f>IFERROR(LOOKUP(2,1/((A_Corridor!$A$5:$A$204&lt;&gt;"")*(A_Corridor!$A$5:$A$204&lt;=$B517)*(A_Corridor!$B$5:$B$204&gt;$B517)*(A_Corridor!$H$5:$H$204&lt;&gt;"")),IF(A_Corridor!$H$5:$H$204="-","",1)),"")</f>
        <v/>
      </c>
      <c r="M517" s="182" t="str">
        <f>IFERROR(LOOKUP(2,1/((A_Corridor!$A$5:$A$204&lt;&gt;"")*(A_Corridor!$A$5:$A$204&lt;=$B517)*(A_Corridor!$B$5:$B$204&gt;$B517)*(A_Corridor!$H$5:$H$204&lt;&gt;"")),IF(A_Corridor!$H$5:$H$204="-","",A_Corridor!$H$5:$H$204)),"")</f>
        <v/>
      </c>
      <c r="N517" s="182" t="str">
        <f>IFERROR(LOOKUP(2,1/((A_Corridor!$A$5:$A$204&lt;&gt;"")*(A_Corridor!$A$5:$A$204&lt;=$B517)*(A_Corridor!$B$5:$B$204&gt;$B517)*(A_Corridor!$I$5:$I$204&lt;&gt;"")),IF(A_Corridor!$I$5:$I$204="-","",A_Corridor!$I$5:$I$204)),"")</f>
        <v/>
      </c>
      <c r="O517" s="182" t="str">
        <f>IFERROR(LOOKUP(2,1/((D_Points!$A$5:$A$204&lt;&gt;"")*(D_Points!$A$5:$A$204&gt;=$B517)*(D_Points!$A$5:$A$204&lt;$B517+P_Interval)*(UPPER(TRIM(D_Points!$B$5:$B$204))="PITCHING")*(D_Points!$H$5:$H$204&lt;&gt;"")),D_Points!$H$5:$H$204),"")</f>
        <v/>
      </c>
      <c r="P517" s="181" t="str">
        <f>IFERROR(LOOKUP(2,1/((B_Drainage!$A$5:$A$204&lt;&gt;"")*(B_Drainage!$A$5:$A$204&lt;=$B517)*(B_Drainage!$B$5:$B$204&gt;$B517)*(B_Drainage!$C$5:$C$204&lt;&gt;"")),IF(B_Drainage!$C$5:$C$204="-","",UPPER(B_Drainage!$C$5:$C$204))),"")</f>
        <v/>
      </c>
      <c r="Q517" s="181" t="str">
        <f>IFERROR(LOOKUP(2,1/((B_Drainage!$A$5:$A$204&lt;&gt;"")*(B_Drainage!$A$5:$A$204&lt;=$B517)*(B_Drainage!$B$5:$B$204&gt;$B517)*(B_Drainage!$D$5:$D$204&lt;&gt;"")),IF(B_Drainage!$D$5:$D$204="-","",UPPER(B_Drainage!$D$5:$D$204))),"")</f>
        <v/>
      </c>
      <c r="R517" s="182" t="str">
        <f>IFERROR(LOOKUP(2,1/((D_Points!$A$5:$A$204&lt;&gt;"")*(D_Points!$A$5:$A$204&gt;=$B517)*(D_Points!$A$5:$A$204&lt;$B517+P_Interval)*(RIGHT(UPPER(TRIM(D_Points!$B$5:$B$204)),8)="_CULVERT")),IF(LEFT(UPPER(TRIM(D_Points!$B$5:$B$204)),2)="EX",1,IF(LEFT(UPPER(TRIM(D_Points!$B$5:$B$204)),2)="PR",2,3))),"")</f>
        <v/>
      </c>
      <c r="S517" s="182" t="str">
        <f>IFERROR(LOOKUP(2,1/((D_Points!$A$5:$A$204&lt;&gt;"")*(D_Points!$A$5:$A$204&gt;=$B517)*(D_Points!$A$5:$A$204&lt;$B517+P_Interval)*(RIGHT(UPPER(TRIM(D_Points!$B$5:$B$204)),7)="_BRIDGE")),IF(LEFT(UPPER(TRIM(D_Points!$B$5:$B$204)),2)="EX",1,IF(LEFT(UPPER(TRIM(D_Points!$B$5:$B$204)),2)="PR",2,2))),"")</f>
        <v/>
      </c>
      <c r="T517" s="181" t="str">
        <f>IFERROR(LOOKUP(2,1/((B_Drainage!$A$5:$A$204&lt;&gt;"")*(B_Drainage!$A$5:$A$204&lt;=$B517)*(B_Drainage!$B$5:$B$204&gt;$B517)*(B_Drainage!$E$5:$E$204&lt;&gt;"")),IF(B_Drainage!$E$5:$E$204="-","",1)),"")</f>
        <v/>
      </c>
      <c r="U517" s="181" t="str">
        <f>IFERROR(LOOKUP(2,1/((B_Drainage!$A$5:$A$204&lt;&gt;"")*(B_Drainage!$A$5:$A$204&lt;=$B517)*(B_Drainage!$B$5:$B$204&gt;$B517)*(B_Drainage!$E$5:$E$204&lt;&gt;"")),IF(B_Drainage!$E$5:$E$204="-","",B_Drainage!$E$5:$E$204)),"")</f>
        <v/>
      </c>
      <c r="V517" s="181" t="str">
        <f>IFERROR(LOOKUP(2,1/((B_Drainage!$A$5:$A$204&lt;&gt;"")*(B_Drainage!$A$5:$A$204&lt;=$B517)*(B_Drainage!$B$5:$B$204&gt;$B517)*(B_Drainage!$F$5:$F$204&lt;&gt;"")),IF(B_Drainage!$F$5:$F$204="-","",1)),"")</f>
        <v/>
      </c>
      <c r="W517" s="181" t="str">
        <f>IFERROR(LOOKUP(2,1/((B_Drainage!$A$5:$A$204&lt;&gt;"")*(B_Drainage!$A$5:$A$204&lt;=$B517)*(B_Drainage!$B$5:$B$204&gt;$B517)*(B_Drainage!$F$5:$F$204&lt;&gt;"")),IF(B_Drainage!$F$5:$F$204="-","",B_Drainage!$F$5:$F$204)),"")</f>
        <v/>
      </c>
      <c r="X517" s="181" t="str">
        <f>IFERROR(LOOKUP(2,1/((B_Drainage!$A$5:$A$204&lt;&gt;"")*(B_Drainage!$A$5:$A$204&lt;=$B517)*(B_Drainage!$B$5:$B$204&gt;$B517)*(B_Drainage!$G$5:$G$204&lt;&gt;"")),IF(UPPER(B_Drainage!$G$5:$G$204)="Y",1,"")),"")</f>
        <v/>
      </c>
      <c r="Y517" s="181" t="str">
        <f>IFERROR(LOOKUP(2,1/((B_Drainage!$A$5:$A$204&lt;&gt;"")*(B_Drainage!$A$5:$A$204&lt;=$B517)*(B_Drainage!$B$5:$B$204&gt;$B517)*(B_Drainage!$H$5:$H$204&lt;&gt;"")),IF(UPPER(B_Drainage!$H$5:$H$204)="Y",1,"")),"")</f>
        <v/>
      </c>
      <c r="Z517" s="181" t="str">
        <f>IFERROR(LOOKUP(2,1/((B_Drainage!$A$5:$A$204&lt;&gt;"")*(B_Drainage!$A$5:$A$204&lt;=$B517)*(B_Drainage!$B$5:$B$204&gt;$B517)*(B_Drainage!$I$5:$I$204&lt;&gt;"")),IF(UPPER(B_Drainage!$I$5:$I$204)="Y",1,"")),"")</f>
        <v/>
      </c>
      <c r="AA517" s="181" t="str">
        <f>IFERROR(LOOKUP(2,1/((B_Drainage!$A$5:$A$204&lt;&gt;"")*(B_Drainage!$A$5:$A$204&lt;=$B517)*(B_Drainage!$B$5:$B$204&gt;$B517)*(B_Drainage!$J$5:$J$204&lt;&gt;"")),IF(UPPER(B_Drainage!$J$5:$J$204)="Y",1,"")),"")</f>
        <v/>
      </c>
      <c r="AB517" s="182" t="str">
        <f>IFERROR(LOOKUP(2,1/((B_Drainage!$A$5:$A$204&lt;&gt;"")*(B_Drainage!$A$5:$A$204&lt;=$B517)*(B_Drainage!$B$5:$B$204&gt;$B517)*(B_Drainage!$K$5:$K$204&lt;&gt;"")),IF(B_Drainage!$K$5:$K$204="-","",B_Drainage!$K$5:$K$204)),"")</f>
        <v/>
      </c>
      <c r="AC517" s="182" t="str">
        <f>IFERROR(LOOKUP(2,1/((B_Drainage!$A$5:$A$204&lt;&gt;"")*(B_Drainage!$A$5:$A$204&lt;=$B517)*(B_Drainage!$B$5:$B$204&gt;$B517)*(B_Drainage!$L$5:$L$204&lt;&gt;"")),IF(B_Drainage!$L$5:$L$204="-","",B_Drainage!$L$5:$L$204)),"")</f>
        <v/>
      </c>
      <c r="AD517" s="182" t="str">
        <f>IFERROR(LOOKUP(2,1/((D_Points!$A$5:$A$204&lt;&gt;"")*(D_Points!$A$5:$A$204&gt;=$B517)*(D_Points!$A$5:$A$204&lt;$B517+P_Interval)*(UPPER(TRIM(D_Points!$B$5:$B$204))="TURNOUT_L")*(D_Points!$H$5:$H$204&lt;&gt;"")),D_Points!$H$5:$H$204),"")</f>
        <v/>
      </c>
      <c r="AE517" s="182" t="str">
        <f>IFERROR(LOOKUP(2,1/((D_Points!$A$5:$A$204&lt;&gt;"")*(D_Points!$A$5:$A$204&gt;=$B517)*(D_Points!$A$5:$A$204&lt;$B517+P_Interval)*(UPPER(TRIM(D_Points!$B$5:$B$204))="TURNOUT_R")*(D_Points!$H$5:$H$204&lt;&gt;"")),D_Points!$H$5:$H$204),"")</f>
        <v/>
      </c>
      <c r="AF517" s="181" t="str">
        <f>IFERROR(LOOKUP(2,1/((B_Drainage!$A$5:$A$204&lt;&gt;"")*(B_Drainage!$A$5:$A$204&lt;=$B517)*(B_Drainage!$B$5:$B$204&gt;$B517)*(B_Drainage!$M$5:$M$204&lt;&gt;"")),IF(UPPER(B_Drainage!$M$5:$M$204)="Y",1,"")),"")</f>
        <v/>
      </c>
      <c r="AG517" s="181" t="str">
        <f>IFERROR(LOOKUP(2,1/((B_Drainage!$A$5:$A$204&lt;&gt;"")*(B_Drainage!$A$5:$A$204&lt;=$B517)*(B_Drainage!$B$5:$B$204&gt;$B517)*(B_Drainage!$N$5:$N$204&lt;&gt;"")),IF(UPPER(B_Drainage!$N$5:$N$204)="Y",1,"")),"")</f>
        <v/>
      </c>
      <c r="AH517" s="181" t="str">
        <f t="shared" si="56"/>
        <v/>
      </c>
      <c r="AI517" s="181" t="str">
        <f t="shared" si="57"/>
        <v/>
      </c>
      <c r="AJ517" s="181" t="str">
        <f t="shared" si="58"/>
        <v/>
      </c>
      <c r="AK517" s="181" t="str">
        <f t="shared" si="59"/>
        <v/>
      </c>
      <c r="AL517" s="181" t="str">
        <f t="shared" si="60"/>
        <v/>
      </c>
      <c r="AM517" s="181" t="str">
        <f t="shared" si="61"/>
        <v/>
      </c>
      <c r="AN517" s="181" t="str">
        <f t="shared" si="62"/>
        <v/>
      </c>
      <c r="AO517" s="192" t="str">
        <f t="shared" si="63"/>
        <v/>
      </c>
      <c r="AQ517" t="str">
        <f>IFERROR(LOOKUP(2,1/((C_Pavement!$A$5:$A$204&lt;&gt;"")*(C_Pavement!$A$5:$A$204&lt;=$B517)*(C_Pavement!$B$5:$B$204&gt;$B517)*(C_Pavement!$C$5:$C$204&lt;&gt;"")),ROW(C_Pavement!$C$5:$C$204)-4),"")</f>
        <v/>
      </c>
      <c r="AR517" t="str">
        <f>IF($AQ517="","",UPPER(TRIM(INDEX(C_Pavement!$C$5:$C$204,$AQ517))))</f>
        <v/>
      </c>
      <c r="AS517" t="str">
        <f>IF($AR517="","",IFERROR(MATCH($AR517,E_Rules!$A$5:$A$9,0),""))</f>
        <v/>
      </c>
      <c r="AT517" t="str">
        <f>IF($AQ517="","",IF(INDEX(C_Pavement!$D$5:$D$204,$AQ517)&lt;&gt;"",UPPER(TRIM(INDEX(C_Pavement!$D$5:$D$204,$AQ517))),IF($AS517="","",INDEX(E_Rules!$C$5:$C$9,$AS517))))</f>
        <v/>
      </c>
      <c r="AU517" t="str">
        <f>IF($AQ517="","",IF(INDEX(C_Pavement!$E$5:$E$204,$AQ517)&lt;&gt;"",IF(INDEX(C_Pavement!$E$5:$E$204,$AQ517)="-","",INDEX(C_Pavement!$E$5:$E$204,$AQ517)),IF($AS517="","",INDEX(E_Rules!$D$5:$D$9,$AS517))))</f>
        <v/>
      </c>
      <c r="AV517" t="str">
        <f>IF($AQ517="","",IF(INDEX(C_Pavement!$F$5:$F$204,$AQ517)&lt;&gt;"",IF(INDEX(C_Pavement!$F$5:$F$204,$AQ517)="-","",INDEX(C_Pavement!$F$5:$F$204,$AQ517)),IF($AS517="","",INDEX(E_Rules!$E$5:$E$9,$AS517))))</f>
        <v/>
      </c>
      <c r="AW517" t="str">
        <f>IF($AQ517="","",IF(INDEX(C_Pavement!$G$5:$G$204,$AQ517)&lt;&gt;"",IF(INDEX(C_Pavement!$G$5:$G$204,$AQ517)="-","",INDEX(C_Pavement!$G$5:$G$204,$AQ517)),IF($AS517="","",INDEX(E_Rules!$F$5:$F$9,$AS517))))</f>
        <v/>
      </c>
      <c r="AX517" t="str">
        <f>IF($AQ517="","",IF(INDEX(C_Pavement!$H$5:$H$204,$AQ517)&lt;&gt;"",IF(INDEX(C_Pavement!$H$5:$H$204,$AQ517)="-","",INDEX(C_Pavement!$H$5:$H$204,$AQ517)),IF($AS517="","",INDEX(E_Rules!$G$5:$G$9,$AS517))))</f>
        <v/>
      </c>
      <c r="AY517" t="str">
        <f>IF($AQ517="","",IF(INDEX(C_Pavement!$I$5:$I$204,$AQ517)&lt;&gt;"",IF(INDEX(C_Pavement!$I$5:$I$204,$AQ517)="-","",INDEX(C_Pavement!$I$5:$I$204,$AQ517)),IF($AS517="","",INDEX(E_Rules!$H$5:$H$9,$AS517))))</f>
        <v/>
      </c>
    </row>
    <row r="518" spans="1:51" ht="15.75" customHeight="1" x14ac:dyDescent="0.3">
      <c r="A518" s="189">
        <v>513</v>
      </c>
      <c r="B518" s="180">
        <v>25600</v>
      </c>
      <c r="C518" s="180" t="s">
        <v>824</v>
      </c>
      <c r="D518" s="181" t="str">
        <f>IFERROR(LOOKUP(2,1/((A_Corridor!$A$5:$A$204&lt;&gt;"")*(A_Corridor!$A$5:$A$204&lt;=$B518)*(A_Corridor!$B$5:$B$204&gt;$B518)*(A_Corridor!$C$5:$C$204&lt;&gt;"")),IF(UPPER(A_Corridor!$C$5:$C$204)="Y",1,"")),"")</f>
        <v/>
      </c>
      <c r="E518" s="181" t="str">
        <f>IFERROR(LOOKUP(2,1/((A_Corridor!$A$5:$A$204&lt;&gt;"")*(A_Corridor!$A$5:$A$204&lt;=$B518)*(A_Corridor!$B$5:$B$204&gt;$B518)*(A_Corridor!$D$5:$D$204&lt;&gt;"")),IF(A_Corridor!$D$5:$D$204="-","",UPPER(A_Corridor!$D$5:$D$204))),"")</f>
        <v/>
      </c>
      <c r="F518" s="181" t="str">
        <f>IFERROR(LOOKUP(2,1/((A_Corridor!$A$5:$A$204&lt;&gt;"")*(A_Corridor!$A$5:$A$204&lt;=$B518)*(A_Corridor!$B$5:$B$204&gt;$B518)*(A_Corridor!$E$5:$E$204&lt;&gt;"")),IF(A_Corridor!$E$5:$E$204="-","",1)),"")</f>
        <v/>
      </c>
      <c r="G518" s="182" t="str">
        <f>IFERROR(LOOKUP(2,1/((A_Corridor!$A$5:$A$204&lt;&gt;"")*(A_Corridor!$A$5:$A$204&lt;=$B518)*(A_Corridor!$B$5:$B$204&gt;$B518)*(A_Corridor!$E$5:$E$204&lt;&gt;"")),IF(A_Corridor!$E$5:$E$204="-","",A_Corridor!$E$5:$E$204)),"")</f>
        <v/>
      </c>
      <c r="H518" s="182" t="str">
        <f>IFERROR(LOOKUP(2,1/((D_Points!$A$5:$A$204&lt;&gt;"")*(D_Points!$A$5:$A$204&gt;=$B518)*(D_Points!$A$5:$A$204&lt;$B518+P_Interval)*(UPPER(TRIM(D_Points!$B$5:$B$204))="GULLY")*(D_Points!$H$5:$H$204&lt;&gt;"")),D_Points!$H$5:$H$204),"")</f>
        <v/>
      </c>
      <c r="I518" s="181" t="str">
        <f>IFERROR(LOOKUP(2,1/((A_Corridor!$A$5:$A$204&lt;&gt;"")*(A_Corridor!$A$5:$A$204&lt;=$B518)*(A_Corridor!$B$5:$B$204&gt;$B518)*(A_Corridor!$F$5:$F$204&lt;&gt;"")),IF(A_Corridor!$F$5:$F$204="-","",1)),"")</f>
        <v/>
      </c>
      <c r="J518" s="182" t="str">
        <f>IFERROR(LOOKUP(2,1/((A_Corridor!$A$5:$A$204&lt;&gt;"")*(A_Corridor!$A$5:$A$204&lt;=$B518)*(A_Corridor!$B$5:$B$204&gt;$B518)*(A_Corridor!$F$5:$F$204&lt;&gt;"")),IF(A_Corridor!$F$5:$F$204="-","",A_Corridor!$F$5:$F$204)),"")</f>
        <v/>
      </c>
      <c r="K518" s="182" t="str">
        <f>IFERROR(LOOKUP(2,1/((A_Corridor!$A$5:$A$204&lt;&gt;"")*(A_Corridor!$A$5:$A$204&lt;=$B518)*(A_Corridor!$B$5:$B$204&gt;$B518)*(A_Corridor!$G$5:$G$204&lt;&gt;"")),IF(A_Corridor!$G$5:$G$204="-","",A_Corridor!$G$5:$G$204)),"")</f>
        <v/>
      </c>
      <c r="L518" s="181" t="str">
        <f>IFERROR(LOOKUP(2,1/((A_Corridor!$A$5:$A$204&lt;&gt;"")*(A_Corridor!$A$5:$A$204&lt;=$B518)*(A_Corridor!$B$5:$B$204&gt;$B518)*(A_Corridor!$H$5:$H$204&lt;&gt;"")),IF(A_Corridor!$H$5:$H$204="-","",1)),"")</f>
        <v/>
      </c>
      <c r="M518" s="182" t="str">
        <f>IFERROR(LOOKUP(2,1/((A_Corridor!$A$5:$A$204&lt;&gt;"")*(A_Corridor!$A$5:$A$204&lt;=$B518)*(A_Corridor!$B$5:$B$204&gt;$B518)*(A_Corridor!$H$5:$H$204&lt;&gt;"")),IF(A_Corridor!$H$5:$H$204="-","",A_Corridor!$H$5:$H$204)),"")</f>
        <v/>
      </c>
      <c r="N518" s="182" t="str">
        <f>IFERROR(LOOKUP(2,1/((A_Corridor!$A$5:$A$204&lt;&gt;"")*(A_Corridor!$A$5:$A$204&lt;=$B518)*(A_Corridor!$B$5:$B$204&gt;$B518)*(A_Corridor!$I$5:$I$204&lt;&gt;"")),IF(A_Corridor!$I$5:$I$204="-","",A_Corridor!$I$5:$I$204)),"")</f>
        <v/>
      </c>
      <c r="O518" s="182" t="str">
        <f>IFERROR(LOOKUP(2,1/((D_Points!$A$5:$A$204&lt;&gt;"")*(D_Points!$A$5:$A$204&gt;=$B518)*(D_Points!$A$5:$A$204&lt;$B518+P_Interval)*(UPPER(TRIM(D_Points!$B$5:$B$204))="PITCHING")*(D_Points!$H$5:$H$204&lt;&gt;"")),D_Points!$H$5:$H$204),"")</f>
        <v/>
      </c>
      <c r="P518" s="181" t="str">
        <f>IFERROR(LOOKUP(2,1/((B_Drainage!$A$5:$A$204&lt;&gt;"")*(B_Drainage!$A$5:$A$204&lt;=$B518)*(B_Drainage!$B$5:$B$204&gt;$B518)*(B_Drainage!$C$5:$C$204&lt;&gt;"")),IF(B_Drainage!$C$5:$C$204="-","",UPPER(B_Drainage!$C$5:$C$204))),"")</f>
        <v/>
      </c>
      <c r="Q518" s="181" t="str">
        <f>IFERROR(LOOKUP(2,1/((B_Drainage!$A$5:$A$204&lt;&gt;"")*(B_Drainage!$A$5:$A$204&lt;=$B518)*(B_Drainage!$B$5:$B$204&gt;$B518)*(B_Drainage!$D$5:$D$204&lt;&gt;"")),IF(B_Drainage!$D$5:$D$204="-","",UPPER(B_Drainage!$D$5:$D$204))),"")</f>
        <v/>
      </c>
      <c r="R518" s="182" t="str">
        <f>IFERROR(LOOKUP(2,1/((D_Points!$A$5:$A$204&lt;&gt;"")*(D_Points!$A$5:$A$204&gt;=$B518)*(D_Points!$A$5:$A$204&lt;$B518+P_Interval)*(RIGHT(UPPER(TRIM(D_Points!$B$5:$B$204)),8)="_CULVERT")),IF(LEFT(UPPER(TRIM(D_Points!$B$5:$B$204)),2)="EX",1,IF(LEFT(UPPER(TRIM(D_Points!$B$5:$B$204)),2)="PR",2,3))),"")</f>
        <v/>
      </c>
      <c r="S518" s="182" t="str">
        <f>IFERROR(LOOKUP(2,1/((D_Points!$A$5:$A$204&lt;&gt;"")*(D_Points!$A$5:$A$204&gt;=$B518)*(D_Points!$A$5:$A$204&lt;$B518+P_Interval)*(RIGHT(UPPER(TRIM(D_Points!$B$5:$B$204)),7)="_BRIDGE")),IF(LEFT(UPPER(TRIM(D_Points!$B$5:$B$204)),2)="EX",1,IF(LEFT(UPPER(TRIM(D_Points!$B$5:$B$204)),2)="PR",2,2))),"")</f>
        <v/>
      </c>
      <c r="T518" s="181" t="str">
        <f>IFERROR(LOOKUP(2,1/((B_Drainage!$A$5:$A$204&lt;&gt;"")*(B_Drainage!$A$5:$A$204&lt;=$B518)*(B_Drainage!$B$5:$B$204&gt;$B518)*(B_Drainage!$E$5:$E$204&lt;&gt;"")),IF(B_Drainage!$E$5:$E$204="-","",1)),"")</f>
        <v/>
      </c>
      <c r="U518" s="181" t="str">
        <f>IFERROR(LOOKUP(2,1/((B_Drainage!$A$5:$A$204&lt;&gt;"")*(B_Drainage!$A$5:$A$204&lt;=$B518)*(B_Drainage!$B$5:$B$204&gt;$B518)*(B_Drainage!$E$5:$E$204&lt;&gt;"")),IF(B_Drainage!$E$5:$E$204="-","",B_Drainage!$E$5:$E$204)),"")</f>
        <v/>
      </c>
      <c r="V518" s="181" t="str">
        <f>IFERROR(LOOKUP(2,1/((B_Drainage!$A$5:$A$204&lt;&gt;"")*(B_Drainage!$A$5:$A$204&lt;=$B518)*(B_Drainage!$B$5:$B$204&gt;$B518)*(B_Drainage!$F$5:$F$204&lt;&gt;"")),IF(B_Drainage!$F$5:$F$204="-","",1)),"")</f>
        <v/>
      </c>
      <c r="W518" s="181" t="str">
        <f>IFERROR(LOOKUP(2,1/((B_Drainage!$A$5:$A$204&lt;&gt;"")*(B_Drainage!$A$5:$A$204&lt;=$B518)*(B_Drainage!$B$5:$B$204&gt;$B518)*(B_Drainage!$F$5:$F$204&lt;&gt;"")),IF(B_Drainage!$F$5:$F$204="-","",B_Drainage!$F$5:$F$204)),"")</f>
        <v/>
      </c>
      <c r="X518" s="181" t="str">
        <f>IFERROR(LOOKUP(2,1/((B_Drainage!$A$5:$A$204&lt;&gt;"")*(B_Drainage!$A$5:$A$204&lt;=$B518)*(B_Drainage!$B$5:$B$204&gt;$B518)*(B_Drainage!$G$5:$G$204&lt;&gt;"")),IF(UPPER(B_Drainage!$G$5:$G$204)="Y",1,"")),"")</f>
        <v/>
      </c>
      <c r="Y518" s="181" t="str">
        <f>IFERROR(LOOKUP(2,1/((B_Drainage!$A$5:$A$204&lt;&gt;"")*(B_Drainage!$A$5:$A$204&lt;=$B518)*(B_Drainage!$B$5:$B$204&gt;$B518)*(B_Drainage!$H$5:$H$204&lt;&gt;"")),IF(UPPER(B_Drainage!$H$5:$H$204)="Y",1,"")),"")</f>
        <v/>
      </c>
      <c r="Z518" s="181" t="str">
        <f>IFERROR(LOOKUP(2,1/((B_Drainage!$A$5:$A$204&lt;&gt;"")*(B_Drainage!$A$5:$A$204&lt;=$B518)*(B_Drainage!$B$5:$B$204&gt;$B518)*(B_Drainage!$I$5:$I$204&lt;&gt;"")),IF(UPPER(B_Drainage!$I$5:$I$204)="Y",1,"")),"")</f>
        <v/>
      </c>
      <c r="AA518" s="181" t="str">
        <f>IFERROR(LOOKUP(2,1/((B_Drainage!$A$5:$A$204&lt;&gt;"")*(B_Drainage!$A$5:$A$204&lt;=$B518)*(B_Drainage!$B$5:$B$204&gt;$B518)*(B_Drainage!$J$5:$J$204&lt;&gt;"")),IF(UPPER(B_Drainage!$J$5:$J$204)="Y",1,"")),"")</f>
        <v/>
      </c>
      <c r="AB518" s="182" t="str">
        <f>IFERROR(LOOKUP(2,1/((B_Drainage!$A$5:$A$204&lt;&gt;"")*(B_Drainage!$A$5:$A$204&lt;=$B518)*(B_Drainage!$B$5:$B$204&gt;$B518)*(B_Drainage!$K$5:$K$204&lt;&gt;"")),IF(B_Drainage!$K$5:$K$204="-","",B_Drainage!$K$5:$K$204)),"")</f>
        <v/>
      </c>
      <c r="AC518" s="182" t="str">
        <f>IFERROR(LOOKUP(2,1/((B_Drainage!$A$5:$A$204&lt;&gt;"")*(B_Drainage!$A$5:$A$204&lt;=$B518)*(B_Drainage!$B$5:$B$204&gt;$B518)*(B_Drainage!$L$5:$L$204&lt;&gt;"")),IF(B_Drainage!$L$5:$L$204="-","",B_Drainage!$L$5:$L$204)),"")</f>
        <v/>
      </c>
      <c r="AD518" s="182" t="str">
        <f>IFERROR(LOOKUP(2,1/((D_Points!$A$5:$A$204&lt;&gt;"")*(D_Points!$A$5:$A$204&gt;=$B518)*(D_Points!$A$5:$A$204&lt;$B518+P_Interval)*(UPPER(TRIM(D_Points!$B$5:$B$204))="TURNOUT_L")*(D_Points!$H$5:$H$204&lt;&gt;"")),D_Points!$H$5:$H$204),"")</f>
        <v/>
      </c>
      <c r="AE518" s="182" t="str">
        <f>IFERROR(LOOKUP(2,1/((D_Points!$A$5:$A$204&lt;&gt;"")*(D_Points!$A$5:$A$204&gt;=$B518)*(D_Points!$A$5:$A$204&lt;$B518+P_Interval)*(UPPER(TRIM(D_Points!$B$5:$B$204))="TURNOUT_R")*(D_Points!$H$5:$H$204&lt;&gt;"")),D_Points!$H$5:$H$204),"")</f>
        <v/>
      </c>
      <c r="AF518" s="181" t="str">
        <f>IFERROR(LOOKUP(2,1/((B_Drainage!$A$5:$A$204&lt;&gt;"")*(B_Drainage!$A$5:$A$204&lt;=$B518)*(B_Drainage!$B$5:$B$204&gt;$B518)*(B_Drainage!$M$5:$M$204&lt;&gt;"")),IF(UPPER(B_Drainage!$M$5:$M$204)="Y",1,"")),"")</f>
        <v/>
      </c>
      <c r="AG518" s="181" t="str">
        <f>IFERROR(LOOKUP(2,1/((B_Drainage!$A$5:$A$204&lt;&gt;"")*(B_Drainage!$A$5:$A$204&lt;=$B518)*(B_Drainage!$B$5:$B$204&gt;$B518)*(B_Drainage!$N$5:$N$204&lt;&gt;"")),IF(UPPER(B_Drainage!$N$5:$N$204)="Y",1,"")),"")</f>
        <v/>
      </c>
      <c r="AH518" s="181" t="str">
        <f t="shared" ref="AH518:AH581" si="64">IF($AT518="BLADE",1,"")</f>
        <v/>
      </c>
      <c r="AI518" s="181" t="str">
        <f t="shared" ref="AI518:AI581" si="65">IF($AT518="RESHAPE",1,"")</f>
        <v/>
      </c>
      <c r="AJ518" s="181" t="str">
        <f t="shared" ref="AJ518:AJ581" si="66">IF($AT518="SCARIFY",1,"")</f>
        <v/>
      </c>
      <c r="AK518" s="181" t="str">
        <f t="shared" ref="AK518:AK581" si="67">$AU518</f>
        <v/>
      </c>
      <c r="AL518" s="181" t="str">
        <f t="shared" ref="AL518:AL581" si="68">$AV518</f>
        <v/>
      </c>
      <c r="AM518" s="181" t="str">
        <f t="shared" ref="AM518:AM581" si="69">IF(OR(UPPER($AW518)="Y",$AW518=1),1,"")</f>
        <v/>
      </c>
      <c r="AN518" s="181" t="str">
        <f t="shared" ref="AN518:AN581" si="70">IF(OR(UPPER($AX518)="Y",$AX518=1),1,"")</f>
        <v/>
      </c>
      <c r="AO518" s="192" t="str">
        <f t="shared" ref="AO518:AO581" si="71">IF(OR(UPPER($AY518)="Y",$AY518=1),1,"")</f>
        <v/>
      </c>
      <c r="AQ518" t="str">
        <f>IFERROR(LOOKUP(2,1/((C_Pavement!$A$5:$A$204&lt;&gt;"")*(C_Pavement!$A$5:$A$204&lt;=$B518)*(C_Pavement!$B$5:$B$204&gt;$B518)*(C_Pavement!$C$5:$C$204&lt;&gt;"")),ROW(C_Pavement!$C$5:$C$204)-4),"")</f>
        <v/>
      </c>
      <c r="AR518" t="str">
        <f>IF($AQ518="","",UPPER(TRIM(INDEX(C_Pavement!$C$5:$C$204,$AQ518))))</f>
        <v/>
      </c>
      <c r="AS518" t="str">
        <f>IF($AR518="","",IFERROR(MATCH($AR518,E_Rules!$A$5:$A$9,0),""))</f>
        <v/>
      </c>
      <c r="AT518" t="str">
        <f>IF($AQ518="","",IF(INDEX(C_Pavement!$D$5:$D$204,$AQ518)&lt;&gt;"",UPPER(TRIM(INDEX(C_Pavement!$D$5:$D$204,$AQ518))),IF($AS518="","",INDEX(E_Rules!$C$5:$C$9,$AS518))))</f>
        <v/>
      </c>
      <c r="AU518" t="str">
        <f>IF($AQ518="","",IF(INDEX(C_Pavement!$E$5:$E$204,$AQ518)&lt;&gt;"",IF(INDEX(C_Pavement!$E$5:$E$204,$AQ518)="-","",INDEX(C_Pavement!$E$5:$E$204,$AQ518)),IF($AS518="","",INDEX(E_Rules!$D$5:$D$9,$AS518))))</f>
        <v/>
      </c>
      <c r="AV518" t="str">
        <f>IF($AQ518="","",IF(INDEX(C_Pavement!$F$5:$F$204,$AQ518)&lt;&gt;"",IF(INDEX(C_Pavement!$F$5:$F$204,$AQ518)="-","",INDEX(C_Pavement!$F$5:$F$204,$AQ518)),IF($AS518="","",INDEX(E_Rules!$E$5:$E$9,$AS518))))</f>
        <v/>
      </c>
      <c r="AW518" t="str">
        <f>IF($AQ518="","",IF(INDEX(C_Pavement!$G$5:$G$204,$AQ518)&lt;&gt;"",IF(INDEX(C_Pavement!$G$5:$G$204,$AQ518)="-","",INDEX(C_Pavement!$G$5:$G$204,$AQ518)),IF($AS518="","",INDEX(E_Rules!$F$5:$F$9,$AS518))))</f>
        <v/>
      </c>
      <c r="AX518" t="str">
        <f>IF($AQ518="","",IF(INDEX(C_Pavement!$H$5:$H$204,$AQ518)&lt;&gt;"",IF(INDEX(C_Pavement!$H$5:$H$204,$AQ518)="-","",INDEX(C_Pavement!$H$5:$H$204,$AQ518)),IF($AS518="","",INDEX(E_Rules!$G$5:$G$9,$AS518))))</f>
        <v/>
      </c>
      <c r="AY518" t="str">
        <f>IF($AQ518="","",IF(INDEX(C_Pavement!$I$5:$I$204,$AQ518)&lt;&gt;"",IF(INDEX(C_Pavement!$I$5:$I$204,$AQ518)="-","",INDEX(C_Pavement!$I$5:$I$204,$AQ518)),IF($AS518="","",INDEX(E_Rules!$H$5:$H$9,$AS518))))</f>
        <v/>
      </c>
    </row>
    <row r="519" spans="1:51" ht="15.75" customHeight="1" x14ac:dyDescent="0.3">
      <c r="A519" s="189">
        <v>514</v>
      </c>
      <c r="B519" s="180">
        <v>25650</v>
      </c>
      <c r="C519" s="180" t="s">
        <v>825</v>
      </c>
      <c r="D519" s="181" t="str">
        <f>IFERROR(LOOKUP(2,1/((A_Corridor!$A$5:$A$204&lt;&gt;"")*(A_Corridor!$A$5:$A$204&lt;=$B519)*(A_Corridor!$B$5:$B$204&gt;$B519)*(A_Corridor!$C$5:$C$204&lt;&gt;"")),IF(UPPER(A_Corridor!$C$5:$C$204)="Y",1,"")),"")</f>
        <v/>
      </c>
      <c r="E519" s="181" t="str">
        <f>IFERROR(LOOKUP(2,1/((A_Corridor!$A$5:$A$204&lt;&gt;"")*(A_Corridor!$A$5:$A$204&lt;=$B519)*(A_Corridor!$B$5:$B$204&gt;$B519)*(A_Corridor!$D$5:$D$204&lt;&gt;"")),IF(A_Corridor!$D$5:$D$204="-","",UPPER(A_Corridor!$D$5:$D$204))),"")</f>
        <v/>
      </c>
      <c r="F519" s="181" t="str">
        <f>IFERROR(LOOKUP(2,1/((A_Corridor!$A$5:$A$204&lt;&gt;"")*(A_Corridor!$A$5:$A$204&lt;=$B519)*(A_Corridor!$B$5:$B$204&gt;$B519)*(A_Corridor!$E$5:$E$204&lt;&gt;"")),IF(A_Corridor!$E$5:$E$204="-","",1)),"")</f>
        <v/>
      </c>
      <c r="G519" s="182" t="str">
        <f>IFERROR(LOOKUP(2,1/((A_Corridor!$A$5:$A$204&lt;&gt;"")*(A_Corridor!$A$5:$A$204&lt;=$B519)*(A_Corridor!$B$5:$B$204&gt;$B519)*(A_Corridor!$E$5:$E$204&lt;&gt;"")),IF(A_Corridor!$E$5:$E$204="-","",A_Corridor!$E$5:$E$204)),"")</f>
        <v/>
      </c>
      <c r="H519" s="182" t="str">
        <f>IFERROR(LOOKUP(2,1/((D_Points!$A$5:$A$204&lt;&gt;"")*(D_Points!$A$5:$A$204&gt;=$B519)*(D_Points!$A$5:$A$204&lt;$B519+P_Interval)*(UPPER(TRIM(D_Points!$B$5:$B$204))="GULLY")*(D_Points!$H$5:$H$204&lt;&gt;"")),D_Points!$H$5:$H$204),"")</f>
        <v/>
      </c>
      <c r="I519" s="181" t="str">
        <f>IFERROR(LOOKUP(2,1/((A_Corridor!$A$5:$A$204&lt;&gt;"")*(A_Corridor!$A$5:$A$204&lt;=$B519)*(A_Corridor!$B$5:$B$204&gt;$B519)*(A_Corridor!$F$5:$F$204&lt;&gt;"")),IF(A_Corridor!$F$5:$F$204="-","",1)),"")</f>
        <v/>
      </c>
      <c r="J519" s="182" t="str">
        <f>IFERROR(LOOKUP(2,1/((A_Corridor!$A$5:$A$204&lt;&gt;"")*(A_Corridor!$A$5:$A$204&lt;=$B519)*(A_Corridor!$B$5:$B$204&gt;$B519)*(A_Corridor!$F$5:$F$204&lt;&gt;"")),IF(A_Corridor!$F$5:$F$204="-","",A_Corridor!$F$5:$F$204)),"")</f>
        <v/>
      </c>
      <c r="K519" s="182" t="str">
        <f>IFERROR(LOOKUP(2,1/((A_Corridor!$A$5:$A$204&lt;&gt;"")*(A_Corridor!$A$5:$A$204&lt;=$B519)*(A_Corridor!$B$5:$B$204&gt;$B519)*(A_Corridor!$G$5:$G$204&lt;&gt;"")),IF(A_Corridor!$G$5:$G$204="-","",A_Corridor!$G$5:$G$204)),"")</f>
        <v/>
      </c>
      <c r="L519" s="181" t="str">
        <f>IFERROR(LOOKUP(2,1/((A_Corridor!$A$5:$A$204&lt;&gt;"")*(A_Corridor!$A$5:$A$204&lt;=$B519)*(A_Corridor!$B$5:$B$204&gt;$B519)*(A_Corridor!$H$5:$H$204&lt;&gt;"")),IF(A_Corridor!$H$5:$H$204="-","",1)),"")</f>
        <v/>
      </c>
      <c r="M519" s="182" t="str">
        <f>IFERROR(LOOKUP(2,1/((A_Corridor!$A$5:$A$204&lt;&gt;"")*(A_Corridor!$A$5:$A$204&lt;=$B519)*(A_Corridor!$B$5:$B$204&gt;$B519)*(A_Corridor!$H$5:$H$204&lt;&gt;"")),IF(A_Corridor!$H$5:$H$204="-","",A_Corridor!$H$5:$H$204)),"")</f>
        <v/>
      </c>
      <c r="N519" s="182" t="str">
        <f>IFERROR(LOOKUP(2,1/((A_Corridor!$A$5:$A$204&lt;&gt;"")*(A_Corridor!$A$5:$A$204&lt;=$B519)*(A_Corridor!$B$5:$B$204&gt;$B519)*(A_Corridor!$I$5:$I$204&lt;&gt;"")),IF(A_Corridor!$I$5:$I$204="-","",A_Corridor!$I$5:$I$204)),"")</f>
        <v/>
      </c>
      <c r="O519" s="182" t="str">
        <f>IFERROR(LOOKUP(2,1/((D_Points!$A$5:$A$204&lt;&gt;"")*(D_Points!$A$5:$A$204&gt;=$B519)*(D_Points!$A$5:$A$204&lt;$B519+P_Interval)*(UPPER(TRIM(D_Points!$B$5:$B$204))="PITCHING")*(D_Points!$H$5:$H$204&lt;&gt;"")),D_Points!$H$5:$H$204),"")</f>
        <v/>
      </c>
      <c r="P519" s="181" t="str">
        <f>IFERROR(LOOKUP(2,1/((B_Drainage!$A$5:$A$204&lt;&gt;"")*(B_Drainage!$A$5:$A$204&lt;=$B519)*(B_Drainage!$B$5:$B$204&gt;$B519)*(B_Drainage!$C$5:$C$204&lt;&gt;"")),IF(B_Drainage!$C$5:$C$204="-","",UPPER(B_Drainage!$C$5:$C$204))),"")</f>
        <v/>
      </c>
      <c r="Q519" s="181" t="str">
        <f>IFERROR(LOOKUP(2,1/((B_Drainage!$A$5:$A$204&lt;&gt;"")*(B_Drainage!$A$5:$A$204&lt;=$B519)*(B_Drainage!$B$5:$B$204&gt;$B519)*(B_Drainage!$D$5:$D$204&lt;&gt;"")),IF(B_Drainage!$D$5:$D$204="-","",UPPER(B_Drainage!$D$5:$D$204))),"")</f>
        <v/>
      </c>
      <c r="R519" s="182" t="str">
        <f>IFERROR(LOOKUP(2,1/((D_Points!$A$5:$A$204&lt;&gt;"")*(D_Points!$A$5:$A$204&gt;=$B519)*(D_Points!$A$5:$A$204&lt;$B519+P_Interval)*(RIGHT(UPPER(TRIM(D_Points!$B$5:$B$204)),8)="_CULVERT")),IF(LEFT(UPPER(TRIM(D_Points!$B$5:$B$204)),2)="EX",1,IF(LEFT(UPPER(TRIM(D_Points!$B$5:$B$204)),2)="PR",2,3))),"")</f>
        <v/>
      </c>
      <c r="S519" s="182" t="str">
        <f>IFERROR(LOOKUP(2,1/((D_Points!$A$5:$A$204&lt;&gt;"")*(D_Points!$A$5:$A$204&gt;=$B519)*(D_Points!$A$5:$A$204&lt;$B519+P_Interval)*(RIGHT(UPPER(TRIM(D_Points!$B$5:$B$204)),7)="_BRIDGE")),IF(LEFT(UPPER(TRIM(D_Points!$B$5:$B$204)),2)="EX",1,IF(LEFT(UPPER(TRIM(D_Points!$B$5:$B$204)),2)="PR",2,2))),"")</f>
        <v/>
      </c>
      <c r="T519" s="181" t="str">
        <f>IFERROR(LOOKUP(2,1/((B_Drainage!$A$5:$A$204&lt;&gt;"")*(B_Drainage!$A$5:$A$204&lt;=$B519)*(B_Drainage!$B$5:$B$204&gt;$B519)*(B_Drainage!$E$5:$E$204&lt;&gt;"")),IF(B_Drainage!$E$5:$E$204="-","",1)),"")</f>
        <v/>
      </c>
      <c r="U519" s="181" t="str">
        <f>IFERROR(LOOKUP(2,1/((B_Drainage!$A$5:$A$204&lt;&gt;"")*(B_Drainage!$A$5:$A$204&lt;=$B519)*(B_Drainage!$B$5:$B$204&gt;$B519)*(B_Drainage!$E$5:$E$204&lt;&gt;"")),IF(B_Drainage!$E$5:$E$204="-","",B_Drainage!$E$5:$E$204)),"")</f>
        <v/>
      </c>
      <c r="V519" s="181" t="str">
        <f>IFERROR(LOOKUP(2,1/((B_Drainage!$A$5:$A$204&lt;&gt;"")*(B_Drainage!$A$5:$A$204&lt;=$B519)*(B_Drainage!$B$5:$B$204&gt;$B519)*(B_Drainage!$F$5:$F$204&lt;&gt;"")),IF(B_Drainage!$F$5:$F$204="-","",1)),"")</f>
        <v/>
      </c>
      <c r="W519" s="181" t="str">
        <f>IFERROR(LOOKUP(2,1/((B_Drainage!$A$5:$A$204&lt;&gt;"")*(B_Drainage!$A$5:$A$204&lt;=$B519)*(B_Drainage!$B$5:$B$204&gt;$B519)*(B_Drainage!$F$5:$F$204&lt;&gt;"")),IF(B_Drainage!$F$5:$F$204="-","",B_Drainage!$F$5:$F$204)),"")</f>
        <v/>
      </c>
      <c r="X519" s="181" t="str">
        <f>IFERROR(LOOKUP(2,1/((B_Drainage!$A$5:$A$204&lt;&gt;"")*(B_Drainage!$A$5:$A$204&lt;=$B519)*(B_Drainage!$B$5:$B$204&gt;$B519)*(B_Drainage!$G$5:$G$204&lt;&gt;"")),IF(UPPER(B_Drainage!$G$5:$G$204)="Y",1,"")),"")</f>
        <v/>
      </c>
      <c r="Y519" s="181" t="str">
        <f>IFERROR(LOOKUP(2,1/((B_Drainage!$A$5:$A$204&lt;&gt;"")*(B_Drainage!$A$5:$A$204&lt;=$B519)*(B_Drainage!$B$5:$B$204&gt;$B519)*(B_Drainage!$H$5:$H$204&lt;&gt;"")),IF(UPPER(B_Drainage!$H$5:$H$204)="Y",1,"")),"")</f>
        <v/>
      </c>
      <c r="Z519" s="181" t="str">
        <f>IFERROR(LOOKUP(2,1/((B_Drainage!$A$5:$A$204&lt;&gt;"")*(B_Drainage!$A$5:$A$204&lt;=$B519)*(B_Drainage!$B$5:$B$204&gt;$B519)*(B_Drainage!$I$5:$I$204&lt;&gt;"")),IF(UPPER(B_Drainage!$I$5:$I$204)="Y",1,"")),"")</f>
        <v/>
      </c>
      <c r="AA519" s="181" t="str">
        <f>IFERROR(LOOKUP(2,1/((B_Drainage!$A$5:$A$204&lt;&gt;"")*(B_Drainage!$A$5:$A$204&lt;=$B519)*(B_Drainage!$B$5:$B$204&gt;$B519)*(B_Drainage!$J$5:$J$204&lt;&gt;"")),IF(UPPER(B_Drainage!$J$5:$J$204)="Y",1,"")),"")</f>
        <v/>
      </c>
      <c r="AB519" s="182" t="str">
        <f>IFERROR(LOOKUP(2,1/((B_Drainage!$A$5:$A$204&lt;&gt;"")*(B_Drainage!$A$5:$A$204&lt;=$B519)*(B_Drainage!$B$5:$B$204&gt;$B519)*(B_Drainage!$K$5:$K$204&lt;&gt;"")),IF(B_Drainage!$K$5:$K$204="-","",B_Drainage!$K$5:$K$204)),"")</f>
        <v/>
      </c>
      <c r="AC519" s="182" t="str">
        <f>IFERROR(LOOKUP(2,1/((B_Drainage!$A$5:$A$204&lt;&gt;"")*(B_Drainage!$A$5:$A$204&lt;=$B519)*(B_Drainage!$B$5:$B$204&gt;$B519)*(B_Drainage!$L$5:$L$204&lt;&gt;"")),IF(B_Drainage!$L$5:$L$204="-","",B_Drainage!$L$5:$L$204)),"")</f>
        <v/>
      </c>
      <c r="AD519" s="182" t="str">
        <f>IFERROR(LOOKUP(2,1/((D_Points!$A$5:$A$204&lt;&gt;"")*(D_Points!$A$5:$A$204&gt;=$B519)*(D_Points!$A$5:$A$204&lt;$B519+P_Interval)*(UPPER(TRIM(D_Points!$B$5:$B$204))="TURNOUT_L")*(D_Points!$H$5:$H$204&lt;&gt;"")),D_Points!$H$5:$H$204),"")</f>
        <v/>
      </c>
      <c r="AE519" s="182" t="str">
        <f>IFERROR(LOOKUP(2,1/((D_Points!$A$5:$A$204&lt;&gt;"")*(D_Points!$A$5:$A$204&gt;=$B519)*(D_Points!$A$5:$A$204&lt;$B519+P_Interval)*(UPPER(TRIM(D_Points!$B$5:$B$204))="TURNOUT_R")*(D_Points!$H$5:$H$204&lt;&gt;"")),D_Points!$H$5:$H$204),"")</f>
        <v/>
      </c>
      <c r="AF519" s="181" t="str">
        <f>IFERROR(LOOKUP(2,1/((B_Drainage!$A$5:$A$204&lt;&gt;"")*(B_Drainage!$A$5:$A$204&lt;=$B519)*(B_Drainage!$B$5:$B$204&gt;$B519)*(B_Drainage!$M$5:$M$204&lt;&gt;"")),IF(UPPER(B_Drainage!$M$5:$M$204)="Y",1,"")),"")</f>
        <v/>
      </c>
      <c r="AG519" s="181" t="str">
        <f>IFERROR(LOOKUP(2,1/((B_Drainage!$A$5:$A$204&lt;&gt;"")*(B_Drainage!$A$5:$A$204&lt;=$B519)*(B_Drainage!$B$5:$B$204&gt;$B519)*(B_Drainage!$N$5:$N$204&lt;&gt;"")),IF(UPPER(B_Drainage!$N$5:$N$204)="Y",1,"")),"")</f>
        <v/>
      </c>
      <c r="AH519" s="181" t="str">
        <f t="shared" si="64"/>
        <v/>
      </c>
      <c r="AI519" s="181" t="str">
        <f t="shared" si="65"/>
        <v/>
      </c>
      <c r="AJ519" s="181" t="str">
        <f t="shared" si="66"/>
        <v/>
      </c>
      <c r="AK519" s="181" t="str">
        <f t="shared" si="67"/>
        <v/>
      </c>
      <c r="AL519" s="181" t="str">
        <f t="shared" si="68"/>
        <v/>
      </c>
      <c r="AM519" s="181" t="str">
        <f t="shared" si="69"/>
        <v/>
      </c>
      <c r="AN519" s="181" t="str">
        <f t="shared" si="70"/>
        <v/>
      </c>
      <c r="AO519" s="192" t="str">
        <f t="shared" si="71"/>
        <v/>
      </c>
      <c r="AQ519" t="str">
        <f>IFERROR(LOOKUP(2,1/((C_Pavement!$A$5:$A$204&lt;&gt;"")*(C_Pavement!$A$5:$A$204&lt;=$B519)*(C_Pavement!$B$5:$B$204&gt;$B519)*(C_Pavement!$C$5:$C$204&lt;&gt;"")),ROW(C_Pavement!$C$5:$C$204)-4),"")</f>
        <v/>
      </c>
      <c r="AR519" t="str">
        <f>IF($AQ519="","",UPPER(TRIM(INDEX(C_Pavement!$C$5:$C$204,$AQ519))))</f>
        <v/>
      </c>
      <c r="AS519" t="str">
        <f>IF($AR519="","",IFERROR(MATCH($AR519,E_Rules!$A$5:$A$9,0),""))</f>
        <v/>
      </c>
      <c r="AT519" t="str">
        <f>IF($AQ519="","",IF(INDEX(C_Pavement!$D$5:$D$204,$AQ519)&lt;&gt;"",UPPER(TRIM(INDEX(C_Pavement!$D$5:$D$204,$AQ519))),IF($AS519="","",INDEX(E_Rules!$C$5:$C$9,$AS519))))</f>
        <v/>
      </c>
      <c r="AU519" t="str">
        <f>IF($AQ519="","",IF(INDEX(C_Pavement!$E$5:$E$204,$AQ519)&lt;&gt;"",IF(INDEX(C_Pavement!$E$5:$E$204,$AQ519)="-","",INDEX(C_Pavement!$E$5:$E$204,$AQ519)),IF($AS519="","",INDEX(E_Rules!$D$5:$D$9,$AS519))))</f>
        <v/>
      </c>
      <c r="AV519" t="str">
        <f>IF($AQ519="","",IF(INDEX(C_Pavement!$F$5:$F$204,$AQ519)&lt;&gt;"",IF(INDEX(C_Pavement!$F$5:$F$204,$AQ519)="-","",INDEX(C_Pavement!$F$5:$F$204,$AQ519)),IF($AS519="","",INDEX(E_Rules!$E$5:$E$9,$AS519))))</f>
        <v/>
      </c>
      <c r="AW519" t="str">
        <f>IF($AQ519="","",IF(INDEX(C_Pavement!$G$5:$G$204,$AQ519)&lt;&gt;"",IF(INDEX(C_Pavement!$G$5:$G$204,$AQ519)="-","",INDEX(C_Pavement!$G$5:$G$204,$AQ519)),IF($AS519="","",INDEX(E_Rules!$F$5:$F$9,$AS519))))</f>
        <v/>
      </c>
      <c r="AX519" t="str">
        <f>IF($AQ519="","",IF(INDEX(C_Pavement!$H$5:$H$204,$AQ519)&lt;&gt;"",IF(INDEX(C_Pavement!$H$5:$H$204,$AQ519)="-","",INDEX(C_Pavement!$H$5:$H$204,$AQ519)),IF($AS519="","",INDEX(E_Rules!$G$5:$G$9,$AS519))))</f>
        <v/>
      </c>
      <c r="AY519" t="str">
        <f>IF($AQ519="","",IF(INDEX(C_Pavement!$I$5:$I$204,$AQ519)&lt;&gt;"",IF(INDEX(C_Pavement!$I$5:$I$204,$AQ519)="-","",INDEX(C_Pavement!$I$5:$I$204,$AQ519)),IF($AS519="","",INDEX(E_Rules!$H$5:$H$9,$AS519))))</f>
        <v/>
      </c>
    </row>
    <row r="520" spans="1:51" ht="15.75" customHeight="1" x14ac:dyDescent="0.3">
      <c r="A520" s="189">
        <v>515</v>
      </c>
      <c r="B520" s="180">
        <v>25700</v>
      </c>
      <c r="C520" s="180" t="s">
        <v>826</v>
      </c>
      <c r="D520" s="181" t="str">
        <f>IFERROR(LOOKUP(2,1/((A_Corridor!$A$5:$A$204&lt;&gt;"")*(A_Corridor!$A$5:$A$204&lt;=$B520)*(A_Corridor!$B$5:$B$204&gt;$B520)*(A_Corridor!$C$5:$C$204&lt;&gt;"")),IF(UPPER(A_Corridor!$C$5:$C$204)="Y",1,"")),"")</f>
        <v/>
      </c>
      <c r="E520" s="181" t="str">
        <f>IFERROR(LOOKUP(2,1/((A_Corridor!$A$5:$A$204&lt;&gt;"")*(A_Corridor!$A$5:$A$204&lt;=$B520)*(A_Corridor!$B$5:$B$204&gt;$B520)*(A_Corridor!$D$5:$D$204&lt;&gt;"")),IF(A_Corridor!$D$5:$D$204="-","",UPPER(A_Corridor!$D$5:$D$204))),"")</f>
        <v/>
      </c>
      <c r="F520" s="181" t="str">
        <f>IFERROR(LOOKUP(2,1/((A_Corridor!$A$5:$A$204&lt;&gt;"")*(A_Corridor!$A$5:$A$204&lt;=$B520)*(A_Corridor!$B$5:$B$204&gt;$B520)*(A_Corridor!$E$5:$E$204&lt;&gt;"")),IF(A_Corridor!$E$5:$E$204="-","",1)),"")</f>
        <v/>
      </c>
      <c r="G520" s="182" t="str">
        <f>IFERROR(LOOKUP(2,1/((A_Corridor!$A$5:$A$204&lt;&gt;"")*(A_Corridor!$A$5:$A$204&lt;=$B520)*(A_Corridor!$B$5:$B$204&gt;$B520)*(A_Corridor!$E$5:$E$204&lt;&gt;"")),IF(A_Corridor!$E$5:$E$204="-","",A_Corridor!$E$5:$E$204)),"")</f>
        <v/>
      </c>
      <c r="H520" s="182" t="str">
        <f>IFERROR(LOOKUP(2,1/((D_Points!$A$5:$A$204&lt;&gt;"")*(D_Points!$A$5:$A$204&gt;=$B520)*(D_Points!$A$5:$A$204&lt;$B520+P_Interval)*(UPPER(TRIM(D_Points!$B$5:$B$204))="GULLY")*(D_Points!$H$5:$H$204&lt;&gt;"")),D_Points!$H$5:$H$204),"")</f>
        <v/>
      </c>
      <c r="I520" s="181" t="str">
        <f>IFERROR(LOOKUP(2,1/((A_Corridor!$A$5:$A$204&lt;&gt;"")*(A_Corridor!$A$5:$A$204&lt;=$B520)*(A_Corridor!$B$5:$B$204&gt;$B520)*(A_Corridor!$F$5:$F$204&lt;&gt;"")),IF(A_Corridor!$F$5:$F$204="-","",1)),"")</f>
        <v/>
      </c>
      <c r="J520" s="182" t="str">
        <f>IFERROR(LOOKUP(2,1/((A_Corridor!$A$5:$A$204&lt;&gt;"")*(A_Corridor!$A$5:$A$204&lt;=$B520)*(A_Corridor!$B$5:$B$204&gt;$B520)*(A_Corridor!$F$5:$F$204&lt;&gt;"")),IF(A_Corridor!$F$5:$F$204="-","",A_Corridor!$F$5:$F$204)),"")</f>
        <v/>
      </c>
      <c r="K520" s="182" t="str">
        <f>IFERROR(LOOKUP(2,1/((A_Corridor!$A$5:$A$204&lt;&gt;"")*(A_Corridor!$A$5:$A$204&lt;=$B520)*(A_Corridor!$B$5:$B$204&gt;$B520)*(A_Corridor!$G$5:$G$204&lt;&gt;"")),IF(A_Corridor!$G$5:$G$204="-","",A_Corridor!$G$5:$G$204)),"")</f>
        <v/>
      </c>
      <c r="L520" s="181" t="str">
        <f>IFERROR(LOOKUP(2,1/((A_Corridor!$A$5:$A$204&lt;&gt;"")*(A_Corridor!$A$5:$A$204&lt;=$B520)*(A_Corridor!$B$5:$B$204&gt;$B520)*(A_Corridor!$H$5:$H$204&lt;&gt;"")),IF(A_Corridor!$H$5:$H$204="-","",1)),"")</f>
        <v/>
      </c>
      <c r="M520" s="182" t="str">
        <f>IFERROR(LOOKUP(2,1/((A_Corridor!$A$5:$A$204&lt;&gt;"")*(A_Corridor!$A$5:$A$204&lt;=$B520)*(A_Corridor!$B$5:$B$204&gt;$B520)*(A_Corridor!$H$5:$H$204&lt;&gt;"")),IF(A_Corridor!$H$5:$H$204="-","",A_Corridor!$H$5:$H$204)),"")</f>
        <v/>
      </c>
      <c r="N520" s="182" t="str">
        <f>IFERROR(LOOKUP(2,1/((A_Corridor!$A$5:$A$204&lt;&gt;"")*(A_Corridor!$A$5:$A$204&lt;=$B520)*(A_Corridor!$B$5:$B$204&gt;$B520)*(A_Corridor!$I$5:$I$204&lt;&gt;"")),IF(A_Corridor!$I$5:$I$204="-","",A_Corridor!$I$5:$I$204)),"")</f>
        <v/>
      </c>
      <c r="O520" s="182" t="str">
        <f>IFERROR(LOOKUP(2,1/((D_Points!$A$5:$A$204&lt;&gt;"")*(D_Points!$A$5:$A$204&gt;=$B520)*(D_Points!$A$5:$A$204&lt;$B520+P_Interval)*(UPPER(TRIM(D_Points!$B$5:$B$204))="PITCHING")*(D_Points!$H$5:$H$204&lt;&gt;"")),D_Points!$H$5:$H$204),"")</f>
        <v/>
      </c>
      <c r="P520" s="181" t="str">
        <f>IFERROR(LOOKUP(2,1/((B_Drainage!$A$5:$A$204&lt;&gt;"")*(B_Drainage!$A$5:$A$204&lt;=$B520)*(B_Drainage!$B$5:$B$204&gt;$B520)*(B_Drainage!$C$5:$C$204&lt;&gt;"")),IF(B_Drainage!$C$5:$C$204="-","",UPPER(B_Drainage!$C$5:$C$204))),"")</f>
        <v/>
      </c>
      <c r="Q520" s="181" t="str">
        <f>IFERROR(LOOKUP(2,1/((B_Drainage!$A$5:$A$204&lt;&gt;"")*(B_Drainage!$A$5:$A$204&lt;=$B520)*(B_Drainage!$B$5:$B$204&gt;$B520)*(B_Drainage!$D$5:$D$204&lt;&gt;"")),IF(B_Drainage!$D$5:$D$204="-","",UPPER(B_Drainage!$D$5:$D$204))),"")</f>
        <v/>
      </c>
      <c r="R520" s="182" t="str">
        <f>IFERROR(LOOKUP(2,1/((D_Points!$A$5:$A$204&lt;&gt;"")*(D_Points!$A$5:$A$204&gt;=$B520)*(D_Points!$A$5:$A$204&lt;$B520+P_Interval)*(RIGHT(UPPER(TRIM(D_Points!$B$5:$B$204)),8)="_CULVERT")),IF(LEFT(UPPER(TRIM(D_Points!$B$5:$B$204)),2)="EX",1,IF(LEFT(UPPER(TRIM(D_Points!$B$5:$B$204)),2)="PR",2,3))),"")</f>
        <v/>
      </c>
      <c r="S520" s="182" t="str">
        <f>IFERROR(LOOKUP(2,1/((D_Points!$A$5:$A$204&lt;&gt;"")*(D_Points!$A$5:$A$204&gt;=$B520)*(D_Points!$A$5:$A$204&lt;$B520+P_Interval)*(RIGHT(UPPER(TRIM(D_Points!$B$5:$B$204)),7)="_BRIDGE")),IF(LEFT(UPPER(TRIM(D_Points!$B$5:$B$204)),2)="EX",1,IF(LEFT(UPPER(TRIM(D_Points!$B$5:$B$204)),2)="PR",2,2))),"")</f>
        <v/>
      </c>
      <c r="T520" s="181" t="str">
        <f>IFERROR(LOOKUP(2,1/((B_Drainage!$A$5:$A$204&lt;&gt;"")*(B_Drainage!$A$5:$A$204&lt;=$B520)*(B_Drainage!$B$5:$B$204&gt;$B520)*(B_Drainage!$E$5:$E$204&lt;&gt;"")),IF(B_Drainage!$E$5:$E$204="-","",1)),"")</f>
        <v/>
      </c>
      <c r="U520" s="181" t="str">
        <f>IFERROR(LOOKUP(2,1/((B_Drainage!$A$5:$A$204&lt;&gt;"")*(B_Drainage!$A$5:$A$204&lt;=$B520)*(B_Drainage!$B$5:$B$204&gt;$B520)*(B_Drainage!$E$5:$E$204&lt;&gt;"")),IF(B_Drainage!$E$5:$E$204="-","",B_Drainage!$E$5:$E$204)),"")</f>
        <v/>
      </c>
      <c r="V520" s="181" t="str">
        <f>IFERROR(LOOKUP(2,1/((B_Drainage!$A$5:$A$204&lt;&gt;"")*(B_Drainage!$A$5:$A$204&lt;=$B520)*(B_Drainage!$B$5:$B$204&gt;$B520)*(B_Drainage!$F$5:$F$204&lt;&gt;"")),IF(B_Drainage!$F$5:$F$204="-","",1)),"")</f>
        <v/>
      </c>
      <c r="W520" s="181" t="str">
        <f>IFERROR(LOOKUP(2,1/((B_Drainage!$A$5:$A$204&lt;&gt;"")*(B_Drainage!$A$5:$A$204&lt;=$B520)*(B_Drainage!$B$5:$B$204&gt;$B520)*(B_Drainage!$F$5:$F$204&lt;&gt;"")),IF(B_Drainage!$F$5:$F$204="-","",B_Drainage!$F$5:$F$204)),"")</f>
        <v/>
      </c>
      <c r="X520" s="181" t="str">
        <f>IFERROR(LOOKUP(2,1/((B_Drainage!$A$5:$A$204&lt;&gt;"")*(B_Drainage!$A$5:$A$204&lt;=$B520)*(B_Drainage!$B$5:$B$204&gt;$B520)*(B_Drainage!$G$5:$G$204&lt;&gt;"")),IF(UPPER(B_Drainage!$G$5:$G$204)="Y",1,"")),"")</f>
        <v/>
      </c>
      <c r="Y520" s="181" t="str">
        <f>IFERROR(LOOKUP(2,1/((B_Drainage!$A$5:$A$204&lt;&gt;"")*(B_Drainage!$A$5:$A$204&lt;=$B520)*(B_Drainage!$B$5:$B$204&gt;$B520)*(B_Drainage!$H$5:$H$204&lt;&gt;"")),IF(UPPER(B_Drainage!$H$5:$H$204)="Y",1,"")),"")</f>
        <v/>
      </c>
      <c r="Z520" s="181" t="str">
        <f>IFERROR(LOOKUP(2,1/((B_Drainage!$A$5:$A$204&lt;&gt;"")*(B_Drainage!$A$5:$A$204&lt;=$B520)*(B_Drainage!$B$5:$B$204&gt;$B520)*(B_Drainage!$I$5:$I$204&lt;&gt;"")),IF(UPPER(B_Drainage!$I$5:$I$204)="Y",1,"")),"")</f>
        <v/>
      </c>
      <c r="AA520" s="181" t="str">
        <f>IFERROR(LOOKUP(2,1/((B_Drainage!$A$5:$A$204&lt;&gt;"")*(B_Drainage!$A$5:$A$204&lt;=$B520)*(B_Drainage!$B$5:$B$204&gt;$B520)*(B_Drainage!$J$5:$J$204&lt;&gt;"")),IF(UPPER(B_Drainage!$J$5:$J$204)="Y",1,"")),"")</f>
        <v/>
      </c>
      <c r="AB520" s="182" t="str">
        <f>IFERROR(LOOKUP(2,1/((B_Drainage!$A$5:$A$204&lt;&gt;"")*(B_Drainage!$A$5:$A$204&lt;=$B520)*(B_Drainage!$B$5:$B$204&gt;$B520)*(B_Drainage!$K$5:$K$204&lt;&gt;"")),IF(B_Drainage!$K$5:$K$204="-","",B_Drainage!$K$5:$K$204)),"")</f>
        <v/>
      </c>
      <c r="AC520" s="182" t="str">
        <f>IFERROR(LOOKUP(2,1/((B_Drainage!$A$5:$A$204&lt;&gt;"")*(B_Drainage!$A$5:$A$204&lt;=$B520)*(B_Drainage!$B$5:$B$204&gt;$B520)*(B_Drainage!$L$5:$L$204&lt;&gt;"")),IF(B_Drainage!$L$5:$L$204="-","",B_Drainage!$L$5:$L$204)),"")</f>
        <v/>
      </c>
      <c r="AD520" s="182" t="str">
        <f>IFERROR(LOOKUP(2,1/((D_Points!$A$5:$A$204&lt;&gt;"")*(D_Points!$A$5:$A$204&gt;=$B520)*(D_Points!$A$5:$A$204&lt;$B520+P_Interval)*(UPPER(TRIM(D_Points!$B$5:$B$204))="TURNOUT_L")*(D_Points!$H$5:$H$204&lt;&gt;"")),D_Points!$H$5:$H$204),"")</f>
        <v/>
      </c>
      <c r="AE520" s="182" t="str">
        <f>IFERROR(LOOKUP(2,1/((D_Points!$A$5:$A$204&lt;&gt;"")*(D_Points!$A$5:$A$204&gt;=$B520)*(D_Points!$A$5:$A$204&lt;$B520+P_Interval)*(UPPER(TRIM(D_Points!$B$5:$B$204))="TURNOUT_R")*(D_Points!$H$5:$H$204&lt;&gt;"")),D_Points!$H$5:$H$204),"")</f>
        <v/>
      </c>
      <c r="AF520" s="181" t="str">
        <f>IFERROR(LOOKUP(2,1/((B_Drainage!$A$5:$A$204&lt;&gt;"")*(B_Drainage!$A$5:$A$204&lt;=$B520)*(B_Drainage!$B$5:$B$204&gt;$B520)*(B_Drainage!$M$5:$M$204&lt;&gt;"")),IF(UPPER(B_Drainage!$M$5:$M$204)="Y",1,"")),"")</f>
        <v/>
      </c>
      <c r="AG520" s="181" t="str">
        <f>IFERROR(LOOKUP(2,1/((B_Drainage!$A$5:$A$204&lt;&gt;"")*(B_Drainage!$A$5:$A$204&lt;=$B520)*(B_Drainage!$B$5:$B$204&gt;$B520)*(B_Drainage!$N$5:$N$204&lt;&gt;"")),IF(UPPER(B_Drainage!$N$5:$N$204)="Y",1,"")),"")</f>
        <v/>
      </c>
      <c r="AH520" s="181" t="str">
        <f t="shared" si="64"/>
        <v/>
      </c>
      <c r="AI520" s="181" t="str">
        <f t="shared" si="65"/>
        <v/>
      </c>
      <c r="AJ520" s="181" t="str">
        <f t="shared" si="66"/>
        <v/>
      </c>
      <c r="AK520" s="181" t="str">
        <f t="shared" si="67"/>
        <v/>
      </c>
      <c r="AL520" s="181" t="str">
        <f t="shared" si="68"/>
        <v/>
      </c>
      <c r="AM520" s="181" t="str">
        <f t="shared" si="69"/>
        <v/>
      </c>
      <c r="AN520" s="181" t="str">
        <f t="shared" si="70"/>
        <v/>
      </c>
      <c r="AO520" s="192" t="str">
        <f t="shared" si="71"/>
        <v/>
      </c>
      <c r="AQ520" t="str">
        <f>IFERROR(LOOKUP(2,1/((C_Pavement!$A$5:$A$204&lt;&gt;"")*(C_Pavement!$A$5:$A$204&lt;=$B520)*(C_Pavement!$B$5:$B$204&gt;$B520)*(C_Pavement!$C$5:$C$204&lt;&gt;"")),ROW(C_Pavement!$C$5:$C$204)-4),"")</f>
        <v/>
      </c>
      <c r="AR520" t="str">
        <f>IF($AQ520="","",UPPER(TRIM(INDEX(C_Pavement!$C$5:$C$204,$AQ520))))</f>
        <v/>
      </c>
      <c r="AS520" t="str">
        <f>IF($AR520="","",IFERROR(MATCH($AR520,E_Rules!$A$5:$A$9,0),""))</f>
        <v/>
      </c>
      <c r="AT520" t="str">
        <f>IF($AQ520="","",IF(INDEX(C_Pavement!$D$5:$D$204,$AQ520)&lt;&gt;"",UPPER(TRIM(INDEX(C_Pavement!$D$5:$D$204,$AQ520))),IF($AS520="","",INDEX(E_Rules!$C$5:$C$9,$AS520))))</f>
        <v/>
      </c>
      <c r="AU520" t="str">
        <f>IF($AQ520="","",IF(INDEX(C_Pavement!$E$5:$E$204,$AQ520)&lt;&gt;"",IF(INDEX(C_Pavement!$E$5:$E$204,$AQ520)="-","",INDEX(C_Pavement!$E$5:$E$204,$AQ520)),IF($AS520="","",INDEX(E_Rules!$D$5:$D$9,$AS520))))</f>
        <v/>
      </c>
      <c r="AV520" t="str">
        <f>IF($AQ520="","",IF(INDEX(C_Pavement!$F$5:$F$204,$AQ520)&lt;&gt;"",IF(INDEX(C_Pavement!$F$5:$F$204,$AQ520)="-","",INDEX(C_Pavement!$F$5:$F$204,$AQ520)),IF($AS520="","",INDEX(E_Rules!$E$5:$E$9,$AS520))))</f>
        <v/>
      </c>
      <c r="AW520" t="str">
        <f>IF($AQ520="","",IF(INDEX(C_Pavement!$G$5:$G$204,$AQ520)&lt;&gt;"",IF(INDEX(C_Pavement!$G$5:$G$204,$AQ520)="-","",INDEX(C_Pavement!$G$5:$G$204,$AQ520)),IF($AS520="","",INDEX(E_Rules!$F$5:$F$9,$AS520))))</f>
        <v/>
      </c>
      <c r="AX520" t="str">
        <f>IF($AQ520="","",IF(INDEX(C_Pavement!$H$5:$H$204,$AQ520)&lt;&gt;"",IF(INDEX(C_Pavement!$H$5:$H$204,$AQ520)="-","",INDEX(C_Pavement!$H$5:$H$204,$AQ520)),IF($AS520="","",INDEX(E_Rules!$G$5:$G$9,$AS520))))</f>
        <v/>
      </c>
      <c r="AY520" t="str">
        <f>IF($AQ520="","",IF(INDEX(C_Pavement!$I$5:$I$204,$AQ520)&lt;&gt;"",IF(INDEX(C_Pavement!$I$5:$I$204,$AQ520)="-","",INDEX(C_Pavement!$I$5:$I$204,$AQ520)),IF($AS520="","",INDEX(E_Rules!$H$5:$H$9,$AS520))))</f>
        <v/>
      </c>
    </row>
    <row r="521" spans="1:51" ht="15.75" customHeight="1" x14ac:dyDescent="0.3">
      <c r="A521" s="189">
        <v>516</v>
      </c>
      <c r="B521" s="180">
        <v>25750</v>
      </c>
      <c r="C521" s="180" t="s">
        <v>827</v>
      </c>
      <c r="D521" s="181" t="str">
        <f>IFERROR(LOOKUP(2,1/((A_Corridor!$A$5:$A$204&lt;&gt;"")*(A_Corridor!$A$5:$A$204&lt;=$B521)*(A_Corridor!$B$5:$B$204&gt;$B521)*(A_Corridor!$C$5:$C$204&lt;&gt;"")),IF(UPPER(A_Corridor!$C$5:$C$204)="Y",1,"")),"")</f>
        <v/>
      </c>
      <c r="E521" s="181" t="str">
        <f>IFERROR(LOOKUP(2,1/((A_Corridor!$A$5:$A$204&lt;&gt;"")*(A_Corridor!$A$5:$A$204&lt;=$B521)*(A_Corridor!$B$5:$B$204&gt;$B521)*(A_Corridor!$D$5:$D$204&lt;&gt;"")),IF(A_Corridor!$D$5:$D$204="-","",UPPER(A_Corridor!$D$5:$D$204))),"")</f>
        <v/>
      </c>
      <c r="F521" s="181" t="str">
        <f>IFERROR(LOOKUP(2,1/((A_Corridor!$A$5:$A$204&lt;&gt;"")*(A_Corridor!$A$5:$A$204&lt;=$B521)*(A_Corridor!$B$5:$B$204&gt;$B521)*(A_Corridor!$E$5:$E$204&lt;&gt;"")),IF(A_Corridor!$E$5:$E$204="-","",1)),"")</f>
        <v/>
      </c>
      <c r="G521" s="182" t="str">
        <f>IFERROR(LOOKUP(2,1/((A_Corridor!$A$5:$A$204&lt;&gt;"")*(A_Corridor!$A$5:$A$204&lt;=$B521)*(A_Corridor!$B$5:$B$204&gt;$B521)*(A_Corridor!$E$5:$E$204&lt;&gt;"")),IF(A_Corridor!$E$5:$E$204="-","",A_Corridor!$E$5:$E$204)),"")</f>
        <v/>
      </c>
      <c r="H521" s="182" t="str">
        <f>IFERROR(LOOKUP(2,1/((D_Points!$A$5:$A$204&lt;&gt;"")*(D_Points!$A$5:$A$204&gt;=$B521)*(D_Points!$A$5:$A$204&lt;$B521+P_Interval)*(UPPER(TRIM(D_Points!$B$5:$B$204))="GULLY")*(D_Points!$H$5:$H$204&lt;&gt;"")),D_Points!$H$5:$H$204),"")</f>
        <v/>
      </c>
      <c r="I521" s="181" t="str">
        <f>IFERROR(LOOKUP(2,1/((A_Corridor!$A$5:$A$204&lt;&gt;"")*(A_Corridor!$A$5:$A$204&lt;=$B521)*(A_Corridor!$B$5:$B$204&gt;$B521)*(A_Corridor!$F$5:$F$204&lt;&gt;"")),IF(A_Corridor!$F$5:$F$204="-","",1)),"")</f>
        <v/>
      </c>
      <c r="J521" s="182" t="str">
        <f>IFERROR(LOOKUP(2,1/((A_Corridor!$A$5:$A$204&lt;&gt;"")*(A_Corridor!$A$5:$A$204&lt;=$B521)*(A_Corridor!$B$5:$B$204&gt;$B521)*(A_Corridor!$F$5:$F$204&lt;&gt;"")),IF(A_Corridor!$F$5:$F$204="-","",A_Corridor!$F$5:$F$204)),"")</f>
        <v/>
      </c>
      <c r="K521" s="182" t="str">
        <f>IFERROR(LOOKUP(2,1/((A_Corridor!$A$5:$A$204&lt;&gt;"")*(A_Corridor!$A$5:$A$204&lt;=$B521)*(A_Corridor!$B$5:$B$204&gt;$B521)*(A_Corridor!$G$5:$G$204&lt;&gt;"")),IF(A_Corridor!$G$5:$G$204="-","",A_Corridor!$G$5:$G$204)),"")</f>
        <v/>
      </c>
      <c r="L521" s="181" t="str">
        <f>IFERROR(LOOKUP(2,1/((A_Corridor!$A$5:$A$204&lt;&gt;"")*(A_Corridor!$A$5:$A$204&lt;=$B521)*(A_Corridor!$B$5:$B$204&gt;$B521)*(A_Corridor!$H$5:$H$204&lt;&gt;"")),IF(A_Corridor!$H$5:$H$204="-","",1)),"")</f>
        <v/>
      </c>
      <c r="M521" s="182" t="str">
        <f>IFERROR(LOOKUP(2,1/((A_Corridor!$A$5:$A$204&lt;&gt;"")*(A_Corridor!$A$5:$A$204&lt;=$B521)*(A_Corridor!$B$5:$B$204&gt;$B521)*(A_Corridor!$H$5:$H$204&lt;&gt;"")),IF(A_Corridor!$H$5:$H$204="-","",A_Corridor!$H$5:$H$204)),"")</f>
        <v/>
      </c>
      <c r="N521" s="182" t="str">
        <f>IFERROR(LOOKUP(2,1/((A_Corridor!$A$5:$A$204&lt;&gt;"")*(A_Corridor!$A$5:$A$204&lt;=$B521)*(A_Corridor!$B$5:$B$204&gt;$B521)*(A_Corridor!$I$5:$I$204&lt;&gt;"")),IF(A_Corridor!$I$5:$I$204="-","",A_Corridor!$I$5:$I$204)),"")</f>
        <v/>
      </c>
      <c r="O521" s="182" t="str">
        <f>IFERROR(LOOKUP(2,1/((D_Points!$A$5:$A$204&lt;&gt;"")*(D_Points!$A$5:$A$204&gt;=$B521)*(D_Points!$A$5:$A$204&lt;$B521+P_Interval)*(UPPER(TRIM(D_Points!$B$5:$B$204))="PITCHING")*(D_Points!$H$5:$H$204&lt;&gt;"")),D_Points!$H$5:$H$204),"")</f>
        <v/>
      </c>
      <c r="P521" s="181" t="str">
        <f>IFERROR(LOOKUP(2,1/((B_Drainage!$A$5:$A$204&lt;&gt;"")*(B_Drainage!$A$5:$A$204&lt;=$B521)*(B_Drainage!$B$5:$B$204&gt;$B521)*(B_Drainage!$C$5:$C$204&lt;&gt;"")),IF(B_Drainage!$C$5:$C$204="-","",UPPER(B_Drainage!$C$5:$C$204))),"")</f>
        <v/>
      </c>
      <c r="Q521" s="181" t="str">
        <f>IFERROR(LOOKUP(2,1/((B_Drainage!$A$5:$A$204&lt;&gt;"")*(B_Drainage!$A$5:$A$204&lt;=$B521)*(B_Drainage!$B$5:$B$204&gt;$B521)*(B_Drainage!$D$5:$D$204&lt;&gt;"")),IF(B_Drainage!$D$5:$D$204="-","",UPPER(B_Drainage!$D$5:$D$204))),"")</f>
        <v/>
      </c>
      <c r="R521" s="182" t="str">
        <f>IFERROR(LOOKUP(2,1/((D_Points!$A$5:$A$204&lt;&gt;"")*(D_Points!$A$5:$A$204&gt;=$B521)*(D_Points!$A$5:$A$204&lt;$B521+P_Interval)*(RIGHT(UPPER(TRIM(D_Points!$B$5:$B$204)),8)="_CULVERT")),IF(LEFT(UPPER(TRIM(D_Points!$B$5:$B$204)),2)="EX",1,IF(LEFT(UPPER(TRIM(D_Points!$B$5:$B$204)),2)="PR",2,3))),"")</f>
        <v/>
      </c>
      <c r="S521" s="182" t="str">
        <f>IFERROR(LOOKUP(2,1/((D_Points!$A$5:$A$204&lt;&gt;"")*(D_Points!$A$5:$A$204&gt;=$B521)*(D_Points!$A$5:$A$204&lt;$B521+P_Interval)*(RIGHT(UPPER(TRIM(D_Points!$B$5:$B$204)),7)="_BRIDGE")),IF(LEFT(UPPER(TRIM(D_Points!$B$5:$B$204)),2)="EX",1,IF(LEFT(UPPER(TRIM(D_Points!$B$5:$B$204)),2)="PR",2,2))),"")</f>
        <v/>
      </c>
      <c r="T521" s="181" t="str">
        <f>IFERROR(LOOKUP(2,1/((B_Drainage!$A$5:$A$204&lt;&gt;"")*(B_Drainage!$A$5:$A$204&lt;=$B521)*(B_Drainage!$B$5:$B$204&gt;$B521)*(B_Drainage!$E$5:$E$204&lt;&gt;"")),IF(B_Drainage!$E$5:$E$204="-","",1)),"")</f>
        <v/>
      </c>
      <c r="U521" s="181" t="str">
        <f>IFERROR(LOOKUP(2,1/((B_Drainage!$A$5:$A$204&lt;&gt;"")*(B_Drainage!$A$5:$A$204&lt;=$B521)*(B_Drainage!$B$5:$B$204&gt;$B521)*(B_Drainage!$E$5:$E$204&lt;&gt;"")),IF(B_Drainage!$E$5:$E$204="-","",B_Drainage!$E$5:$E$204)),"")</f>
        <v/>
      </c>
      <c r="V521" s="181" t="str">
        <f>IFERROR(LOOKUP(2,1/((B_Drainage!$A$5:$A$204&lt;&gt;"")*(B_Drainage!$A$5:$A$204&lt;=$B521)*(B_Drainage!$B$5:$B$204&gt;$B521)*(B_Drainage!$F$5:$F$204&lt;&gt;"")),IF(B_Drainage!$F$5:$F$204="-","",1)),"")</f>
        <v/>
      </c>
      <c r="W521" s="181" t="str">
        <f>IFERROR(LOOKUP(2,1/((B_Drainage!$A$5:$A$204&lt;&gt;"")*(B_Drainage!$A$5:$A$204&lt;=$B521)*(B_Drainage!$B$5:$B$204&gt;$B521)*(B_Drainage!$F$5:$F$204&lt;&gt;"")),IF(B_Drainage!$F$5:$F$204="-","",B_Drainage!$F$5:$F$204)),"")</f>
        <v/>
      </c>
      <c r="X521" s="181" t="str">
        <f>IFERROR(LOOKUP(2,1/((B_Drainage!$A$5:$A$204&lt;&gt;"")*(B_Drainage!$A$5:$A$204&lt;=$B521)*(B_Drainage!$B$5:$B$204&gt;$B521)*(B_Drainage!$G$5:$G$204&lt;&gt;"")),IF(UPPER(B_Drainage!$G$5:$G$204)="Y",1,"")),"")</f>
        <v/>
      </c>
      <c r="Y521" s="181" t="str">
        <f>IFERROR(LOOKUP(2,1/((B_Drainage!$A$5:$A$204&lt;&gt;"")*(B_Drainage!$A$5:$A$204&lt;=$B521)*(B_Drainage!$B$5:$B$204&gt;$B521)*(B_Drainage!$H$5:$H$204&lt;&gt;"")),IF(UPPER(B_Drainage!$H$5:$H$204)="Y",1,"")),"")</f>
        <v/>
      </c>
      <c r="Z521" s="181" t="str">
        <f>IFERROR(LOOKUP(2,1/((B_Drainage!$A$5:$A$204&lt;&gt;"")*(B_Drainage!$A$5:$A$204&lt;=$B521)*(B_Drainage!$B$5:$B$204&gt;$B521)*(B_Drainage!$I$5:$I$204&lt;&gt;"")),IF(UPPER(B_Drainage!$I$5:$I$204)="Y",1,"")),"")</f>
        <v/>
      </c>
      <c r="AA521" s="181" t="str">
        <f>IFERROR(LOOKUP(2,1/((B_Drainage!$A$5:$A$204&lt;&gt;"")*(B_Drainage!$A$5:$A$204&lt;=$B521)*(B_Drainage!$B$5:$B$204&gt;$B521)*(B_Drainage!$J$5:$J$204&lt;&gt;"")),IF(UPPER(B_Drainage!$J$5:$J$204)="Y",1,"")),"")</f>
        <v/>
      </c>
      <c r="AB521" s="182" t="str">
        <f>IFERROR(LOOKUP(2,1/((B_Drainage!$A$5:$A$204&lt;&gt;"")*(B_Drainage!$A$5:$A$204&lt;=$B521)*(B_Drainage!$B$5:$B$204&gt;$B521)*(B_Drainage!$K$5:$K$204&lt;&gt;"")),IF(B_Drainage!$K$5:$K$204="-","",B_Drainage!$K$5:$K$204)),"")</f>
        <v/>
      </c>
      <c r="AC521" s="182" t="str">
        <f>IFERROR(LOOKUP(2,1/((B_Drainage!$A$5:$A$204&lt;&gt;"")*(B_Drainage!$A$5:$A$204&lt;=$B521)*(B_Drainage!$B$5:$B$204&gt;$B521)*(B_Drainage!$L$5:$L$204&lt;&gt;"")),IF(B_Drainage!$L$5:$L$204="-","",B_Drainage!$L$5:$L$204)),"")</f>
        <v/>
      </c>
      <c r="AD521" s="182" t="str">
        <f>IFERROR(LOOKUP(2,1/((D_Points!$A$5:$A$204&lt;&gt;"")*(D_Points!$A$5:$A$204&gt;=$B521)*(D_Points!$A$5:$A$204&lt;$B521+P_Interval)*(UPPER(TRIM(D_Points!$B$5:$B$204))="TURNOUT_L")*(D_Points!$H$5:$H$204&lt;&gt;"")),D_Points!$H$5:$H$204),"")</f>
        <v/>
      </c>
      <c r="AE521" s="182" t="str">
        <f>IFERROR(LOOKUP(2,1/((D_Points!$A$5:$A$204&lt;&gt;"")*(D_Points!$A$5:$A$204&gt;=$B521)*(D_Points!$A$5:$A$204&lt;$B521+P_Interval)*(UPPER(TRIM(D_Points!$B$5:$B$204))="TURNOUT_R")*(D_Points!$H$5:$H$204&lt;&gt;"")),D_Points!$H$5:$H$204),"")</f>
        <v/>
      </c>
      <c r="AF521" s="181" t="str">
        <f>IFERROR(LOOKUP(2,1/((B_Drainage!$A$5:$A$204&lt;&gt;"")*(B_Drainage!$A$5:$A$204&lt;=$B521)*(B_Drainage!$B$5:$B$204&gt;$B521)*(B_Drainage!$M$5:$M$204&lt;&gt;"")),IF(UPPER(B_Drainage!$M$5:$M$204)="Y",1,"")),"")</f>
        <v/>
      </c>
      <c r="AG521" s="181" t="str">
        <f>IFERROR(LOOKUP(2,1/((B_Drainage!$A$5:$A$204&lt;&gt;"")*(B_Drainage!$A$5:$A$204&lt;=$B521)*(B_Drainage!$B$5:$B$204&gt;$B521)*(B_Drainage!$N$5:$N$204&lt;&gt;"")),IF(UPPER(B_Drainage!$N$5:$N$204)="Y",1,"")),"")</f>
        <v/>
      </c>
      <c r="AH521" s="181" t="str">
        <f t="shared" si="64"/>
        <v/>
      </c>
      <c r="AI521" s="181" t="str">
        <f t="shared" si="65"/>
        <v/>
      </c>
      <c r="AJ521" s="181" t="str">
        <f t="shared" si="66"/>
        <v/>
      </c>
      <c r="AK521" s="181" t="str">
        <f t="shared" si="67"/>
        <v/>
      </c>
      <c r="AL521" s="181" t="str">
        <f t="shared" si="68"/>
        <v/>
      </c>
      <c r="AM521" s="181" t="str">
        <f t="shared" si="69"/>
        <v/>
      </c>
      <c r="AN521" s="181" t="str">
        <f t="shared" si="70"/>
        <v/>
      </c>
      <c r="AO521" s="192" t="str">
        <f t="shared" si="71"/>
        <v/>
      </c>
      <c r="AQ521" t="str">
        <f>IFERROR(LOOKUP(2,1/((C_Pavement!$A$5:$A$204&lt;&gt;"")*(C_Pavement!$A$5:$A$204&lt;=$B521)*(C_Pavement!$B$5:$B$204&gt;$B521)*(C_Pavement!$C$5:$C$204&lt;&gt;"")),ROW(C_Pavement!$C$5:$C$204)-4),"")</f>
        <v/>
      </c>
      <c r="AR521" t="str">
        <f>IF($AQ521="","",UPPER(TRIM(INDEX(C_Pavement!$C$5:$C$204,$AQ521))))</f>
        <v/>
      </c>
      <c r="AS521" t="str">
        <f>IF($AR521="","",IFERROR(MATCH($AR521,E_Rules!$A$5:$A$9,0),""))</f>
        <v/>
      </c>
      <c r="AT521" t="str">
        <f>IF($AQ521="","",IF(INDEX(C_Pavement!$D$5:$D$204,$AQ521)&lt;&gt;"",UPPER(TRIM(INDEX(C_Pavement!$D$5:$D$204,$AQ521))),IF($AS521="","",INDEX(E_Rules!$C$5:$C$9,$AS521))))</f>
        <v/>
      </c>
      <c r="AU521" t="str">
        <f>IF($AQ521="","",IF(INDEX(C_Pavement!$E$5:$E$204,$AQ521)&lt;&gt;"",IF(INDEX(C_Pavement!$E$5:$E$204,$AQ521)="-","",INDEX(C_Pavement!$E$5:$E$204,$AQ521)),IF($AS521="","",INDEX(E_Rules!$D$5:$D$9,$AS521))))</f>
        <v/>
      </c>
      <c r="AV521" t="str">
        <f>IF($AQ521="","",IF(INDEX(C_Pavement!$F$5:$F$204,$AQ521)&lt;&gt;"",IF(INDEX(C_Pavement!$F$5:$F$204,$AQ521)="-","",INDEX(C_Pavement!$F$5:$F$204,$AQ521)),IF($AS521="","",INDEX(E_Rules!$E$5:$E$9,$AS521))))</f>
        <v/>
      </c>
      <c r="AW521" t="str">
        <f>IF($AQ521="","",IF(INDEX(C_Pavement!$G$5:$G$204,$AQ521)&lt;&gt;"",IF(INDEX(C_Pavement!$G$5:$G$204,$AQ521)="-","",INDEX(C_Pavement!$G$5:$G$204,$AQ521)),IF($AS521="","",INDEX(E_Rules!$F$5:$F$9,$AS521))))</f>
        <v/>
      </c>
      <c r="AX521" t="str">
        <f>IF($AQ521="","",IF(INDEX(C_Pavement!$H$5:$H$204,$AQ521)&lt;&gt;"",IF(INDEX(C_Pavement!$H$5:$H$204,$AQ521)="-","",INDEX(C_Pavement!$H$5:$H$204,$AQ521)),IF($AS521="","",INDEX(E_Rules!$G$5:$G$9,$AS521))))</f>
        <v/>
      </c>
      <c r="AY521" t="str">
        <f>IF($AQ521="","",IF(INDEX(C_Pavement!$I$5:$I$204,$AQ521)&lt;&gt;"",IF(INDEX(C_Pavement!$I$5:$I$204,$AQ521)="-","",INDEX(C_Pavement!$I$5:$I$204,$AQ521)),IF($AS521="","",INDEX(E_Rules!$H$5:$H$9,$AS521))))</f>
        <v/>
      </c>
    </row>
    <row r="522" spans="1:51" ht="15.75" customHeight="1" x14ac:dyDescent="0.3">
      <c r="A522" s="189">
        <v>517</v>
      </c>
      <c r="B522" s="180">
        <v>25800</v>
      </c>
      <c r="C522" s="180" t="s">
        <v>828</v>
      </c>
      <c r="D522" s="181" t="str">
        <f>IFERROR(LOOKUP(2,1/((A_Corridor!$A$5:$A$204&lt;&gt;"")*(A_Corridor!$A$5:$A$204&lt;=$B522)*(A_Corridor!$B$5:$B$204&gt;$B522)*(A_Corridor!$C$5:$C$204&lt;&gt;"")),IF(UPPER(A_Corridor!$C$5:$C$204)="Y",1,"")),"")</f>
        <v/>
      </c>
      <c r="E522" s="181" t="str">
        <f>IFERROR(LOOKUP(2,1/((A_Corridor!$A$5:$A$204&lt;&gt;"")*(A_Corridor!$A$5:$A$204&lt;=$B522)*(A_Corridor!$B$5:$B$204&gt;$B522)*(A_Corridor!$D$5:$D$204&lt;&gt;"")),IF(A_Corridor!$D$5:$D$204="-","",UPPER(A_Corridor!$D$5:$D$204))),"")</f>
        <v/>
      </c>
      <c r="F522" s="181" t="str">
        <f>IFERROR(LOOKUP(2,1/((A_Corridor!$A$5:$A$204&lt;&gt;"")*(A_Corridor!$A$5:$A$204&lt;=$B522)*(A_Corridor!$B$5:$B$204&gt;$B522)*(A_Corridor!$E$5:$E$204&lt;&gt;"")),IF(A_Corridor!$E$5:$E$204="-","",1)),"")</f>
        <v/>
      </c>
      <c r="G522" s="182" t="str">
        <f>IFERROR(LOOKUP(2,1/((A_Corridor!$A$5:$A$204&lt;&gt;"")*(A_Corridor!$A$5:$A$204&lt;=$B522)*(A_Corridor!$B$5:$B$204&gt;$B522)*(A_Corridor!$E$5:$E$204&lt;&gt;"")),IF(A_Corridor!$E$5:$E$204="-","",A_Corridor!$E$5:$E$204)),"")</f>
        <v/>
      </c>
      <c r="H522" s="182" t="str">
        <f>IFERROR(LOOKUP(2,1/((D_Points!$A$5:$A$204&lt;&gt;"")*(D_Points!$A$5:$A$204&gt;=$B522)*(D_Points!$A$5:$A$204&lt;$B522+P_Interval)*(UPPER(TRIM(D_Points!$B$5:$B$204))="GULLY")*(D_Points!$H$5:$H$204&lt;&gt;"")),D_Points!$H$5:$H$204),"")</f>
        <v/>
      </c>
      <c r="I522" s="181" t="str">
        <f>IFERROR(LOOKUP(2,1/((A_Corridor!$A$5:$A$204&lt;&gt;"")*(A_Corridor!$A$5:$A$204&lt;=$B522)*(A_Corridor!$B$5:$B$204&gt;$B522)*(A_Corridor!$F$5:$F$204&lt;&gt;"")),IF(A_Corridor!$F$5:$F$204="-","",1)),"")</f>
        <v/>
      </c>
      <c r="J522" s="182" t="str">
        <f>IFERROR(LOOKUP(2,1/((A_Corridor!$A$5:$A$204&lt;&gt;"")*(A_Corridor!$A$5:$A$204&lt;=$B522)*(A_Corridor!$B$5:$B$204&gt;$B522)*(A_Corridor!$F$5:$F$204&lt;&gt;"")),IF(A_Corridor!$F$5:$F$204="-","",A_Corridor!$F$5:$F$204)),"")</f>
        <v/>
      </c>
      <c r="K522" s="182" t="str">
        <f>IFERROR(LOOKUP(2,1/((A_Corridor!$A$5:$A$204&lt;&gt;"")*(A_Corridor!$A$5:$A$204&lt;=$B522)*(A_Corridor!$B$5:$B$204&gt;$B522)*(A_Corridor!$G$5:$G$204&lt;&gt;"")),IF(A_Corridor!$G$5:$G$204="-","",A_Corridor!$G$5:$G$204)),"")</f>
        <v/>
      </c>
      <c r="L522" s="181" t="str">
        <f>IFERROR(LOOKUP(2,1/((A_Corridor!$A$5:$A$204&lt;&gt;"")*(A_Corridor!$A$5:$A$204&lt;=$B522)*(A_Corridor!$B$5:$B$204&gt;$B522)*(A_Corridor!$H$5:$H$204&lt;&gt;"")),IF(A_Corridor!$H$5:$H$204="-","",1)),"")</f>
        <v/>
      </c>
      <c r="M522" s="182" t="str">
        <f>IFERROR(LOOKUP(2,1/((A_Corridor!$A$5:$A$204&lt;&gt;"")*(A_Corridor!$A$5:$A$204&lt;=$B522)*(A_Corridor!$B$5:$B$204&gt;$B522)*(A_Corridor!$H$5:$H$204&lt;&gt;"")),IF(A_Corridor!$H$5:$H$204="-","",A_Corridor!$H$5:$H$204)),"")</f>
        <v/>
      </c>
      <c r="N522" s="182" t="str">
        <f>IFERROR(LOOKUP(2,1/((A_Corridor!$A$5:$A$204&lt;&gt;"")*(A_Corridor!$A$5:$A$204&lt;=$B522)*(A_Corridor!$B$5:$B$204&gt;$B522)*(A_Corridor!$I$5:$I$204&lt;&gt;"")),IF(A_Corridor!$I$5:$I$204="-","",A_Corridor!$I$5:$I$204)),"")</f>
        <v/>
      </c>
      <c r="O522" s="182" t="str">
        <f>IFERROR(LOOKUP(2,1/((D_Points!$A$5:$A$204&lt;&gt;"")*(D_Points!$A$5:$A$204&gt;=$B522)*(D_Points!$A$5:$A$204&lt;$B522+P_Interval)*(UPPER(TRIM(D_Points!$B$5:$B$204))="PITCHING")*(D_Points!$H$5:$H$204&lt;&gt;"")),D_Points!$H$5:$H$204),"")</f>
        <v/>
      </c>
      <c r="P522" s="181" t="str">
        <f>IFERROR(LOOKUP(2,1/((B_Drainage!$A$5:$A$204&lt;&gt;"")*(B_Drainage!$A$5:$A$204&lt;=$B522)*(B_Drainage!$B$5:$B$204&gt;$B522)*(B_Drainage!$C$5:$C$204&lt;&gt;"")),IF(B_Drainage!$C$5:$C$204="-","",UPPER(B_Drainage!$C$5:$C$204))),"")</f>
        <v/>
      </c>
      <c r="Q522" s="181" t="str">
        <f>IFERROR(LOOKUP(2,1/((B_Drainage!$A$5:$A$204&lt;&gt;"")*(B_Drainage!$A$5:$A$204&lt;=$B522)*(B_Drainage!$B$5:$B$204&gt;$B522)*(B_Drainage!$D$5:$D$204&lt;&gt;"")),IF(B_Drainage!$D$5:$D$204="-","",UPPER(B_Drainage!$D$5:$D$204))),"")</f>
        <v/>
      </c>
      <c r="R522" s="182" t="str">
        <f>IFERROR(LOOKUP(2,1/((D_Points!$A$5:$A$204&lt;&gt;"")*(D_Points!$A$5:$A$204&gt;=$B522)*(D_Points!$A$5:$A$204&lt;$B522+P_Interval)*(RIGHT(UPPER(TRIM(D_Points!$B$5:$B$204)),8)="_CULVERT")),IF(LEFT(UPPER(TRIM(D_Points!$B$5:$B$204)),2)="EX",1,IF(LEFT(UPPER(TRIM(D_Points!$B$5:$B$204)),2)="PR",2,3))),"")</f>
        <v/>
      </c>
      <c r="S522" s="182" t="str">
        <f>IFERROR(LOOKUP(2,1/((D_Points!$A$5:$A$204&lt;&gt;"")*(D_Points!$A$5:$A$204&gt;=$B522)*(D_Points!$A$5:$A$204&lt;$B522+P_Interval)*(RIGHT(UPPER(TRIM(D_Points!$B$5:$B$204)),7)="_BRIDGE")),IF(LEFT(UPPER(TRIM(D_Points!$B$5:$B$204)),2)="EX",1,IF(LEFT(UPPER(TRIM(D_Points!$B$5:$B$204)),2)="PR",2,2))),"")</f>
        <v/>
      </c>
      <c r="T522" s="181" t="str">
        <f>IFERROR(LOOKUP(2,1/((B_Drainage!$A$5:$A$204&lt;&gt;"")*(B_Drainage!$A$5:$A$204&lt;=$B522)*(B_Drainage!$B$5:$B$204&gt;$B522)*(B_Drainage!$E$5:$E$204&lt;&gt;"")),IF(B_Drainage!$E$5:$E$204="-","",1)),"")</f>
        <v/>
      </c>
      <c r="U522" s="181" t="str">
        <f>IFERROR(LOOKUP(2,1/((B_Drainage!$A$5:$A$204&lt;&gt;"")*(B_Drainage!$A$5:$A$204&lt;=$B522)*(B_Drainage!$B$5:$B$204&gt;$B522)*(B_Drainage!$E$5:$E$204&lt;&gt;"")),IF(B_Drainage!$E$5:$E$204="-","",B_Drainage!$E$5:$E$204)),"")</f>
        <v/>
      </c>
      <c r="V522" s="181" t="str">
        <f>IFERROR(LOOKUP(2,1/((B_Drainage!$A$5:$A$204&lt;&gt;"")*(B_Drainage!$A$5:$A$204&lt;=$B522)*(B_Drainage!$B$5:$B$204&gt;$B522)*(B_Drainage!$F$5:$F$204&lt;&gt;"")),IF(B_Drainage!$F$5:$F$204="-","",1)),"")</f>
        <v/>
      </c>
      <c r="W522" s="181" t="str">
        <f>IFERROR(LOOKUP(2,1/((B_Drainage!$A$5:$A$204&lt;&gt;"")*(B_Drainage!$A$5:$A$204&lt;=$B522)*(B_Drainage!$B$5:$B$204&gt;$B522)*(B_Drainage!$F$5:$F$204&lt;&gt;"")),IF(B_Drainage!$F$5:$F$204="-","",B_Drainage!$F$5:$F$204)),"")</f>
        <v/>
      </c>
      <c r="X522" s="181" t="str">
        <f>IFERROR(LOOKUP(2,1/((B_Drainage!$A$5:$A$204&lt;&gt;"")*(B_Drainage!$A$5:$A$204&lt;=$B522)*(B_Drainage!$B$5:$B$204&gt;$B522)*(B_Drainage!$G$5:$G$204&lt;&gt;"")),IF(UPPER(B_Drainage!$G$5:$G$204)="Y",1,"")),"")</f>
        <v/>
      </c>
      <c r="Y522" s="181" t="str">
        <f>IFERROR(LOOKUP(2,1/((B_Drainage!$A$5:$A$204&lt;&gt;"")*(B_Drainage!$A$5:$A$204&lt;=$B522)*(B_Drainage!$B$5:$B$204&gt;$B522)*(B_Drainage!$H$5:$H$204&lt;&gt;"")),IF(UPPER(B_Drainage!$H$5:$H$204)="Y",1,"")),"")</f>
        <v/>
      </c>
      <c r="Z522" s="181" t="str">
        <f>IFERROR(LOOKUP(2,1/((B_Drainage!$A$5:$A$204&lt;&gt;"")*(B_Drainage!$A$5:$A$204&lt;=$B522)*(B_Drainage!$B$5:$B$204&gt;$B522)*(B_Drainage!$I$5:$I$204&lt;&gt;"")),IF(UPPER(B_Drainage!$I$5:$I$204)="Y",1,"")),"")</f>
        <v/>
      </c>
      <c r="AA522" s="181" t="str">
        <f>IFERROR(LOOKUP(2,1/((B_Drainage!$A$5:$A$204&lt;&gt;"")*(B_Drainage!$A$5:$A$204&lt;=$B522)*(B_Drainage!$B$5:$B$204&gt;$B522)*(B_Drainage!$J$5:$J$204&lt;&gt;"")),IF(UPPER(B_Drainage!$J$5:$J$204)="Y",1,"")),"")</f>
        <v/>
      </c>
      <c r="AB522" s="182" t="str">
        <f>IFERROR(LOOKUP(2,1/((B_Drainage!$A$5:$A$204&lt;&gt;"")*(B_Drainage!$A$5:$A$204&lt;=$B522)*(B_Drainage!$B$5:$B$204&gt;$B522)*(B_Drainage!$K$5:$K$204&lt;&gt;"")),IF(B_Drainage!$K$5:$K$204="-","",B_Drainage!$K$5:$K$204)),"")</f>
        <v/>
      </c>
      <c r="AC522" s="182" t="str">
        <f>IFERROR(LOOKUP(2,1/((B_Drainage!$A$5:$A$204&lt;&gt;"")*(B_Drainage!$A$5:$A$204&lt;=$B522)*(B_Drainage!$B$5:$B$204&gt;$B522)*(B_Drainage!$L$5:$L$204&lt;&gt;"")),IF(B_Drainage!$L$5:$L$204="-","",B_Drainage!$L$5:$L$204)),"")</f>
        <v/>
      </c>
      <c r="AD522" s="182" t="str">
        <f>IFERROR(LOOKUP(2,1/((D_Points!$A$5:$A$204&lt;&gt;"")*(D_Points!$A$5:$A$204&gt;=$B522)*(D_Points!$A$5:$A$204&lt;$B522+P_Interval)*(UPPER(TRIM(D_Points!$B$5:$B$204))="TURNOUT_L")*(D_Points!$H$5:$H$204&lt;&gt;"")),D_Points!$H$5:$H$204),"")</f>
        <v/>
      </c>
      <c r="AE522" s="182" t="str">
        <f>IFERROR(LOOKUP(2,1/((D_Points!$A$5:$A$204&lt;&gt;"")*(D_Points!$A$5:$A$204&gt;=$B522)*(D_Points!$A$5:$A$204&lt;$B522+P_Interval)*(UPPER(TRIM(D_Points!$B$5:$B$204))="TURNOUT_R")*(D_Points!$H$5:$H$204&lt;&gt;"")),D_Points!$H$5:$H$204),"")</f>
        <v/>
      </c>
      <c r="AF522" s="181" t="str">
        <f>IFERROR(LOOKUP(2,1/((B_Drainage!$A$5:$A$204&lt;&gt;"")*(B_Drainage!$A$5:$A$204&lt;=$B522)*(B_Drainage!$B$5:$B$204&gt;$B522)*(B_Drainage!$M$5:$M$204&lt;&gt;"")),IF(UPPER(B_Drainage!$M$5:$M$204)="Y",1,"")),"")</f>
        <v/>
      </c>
      <c r="AG522" s="181" t="str">
        <f>IFERROR(LOOKUP(2,1/((B_Drainage!$A$5:$A$204&lt;&gt;"")*(B_Drainage!$A$5:$A$204&lt;=$B522)*(B_Drainage!$B$5:$B$204&gt;$B522)*(B_Drainage!$N$5:$N$204&lt;&gt;"")),IF(UPPER(B_Drainage!$N$5:$N$204)="Y",1,"")),"")</f>
        <v/>
      </c>
      <c r="AH522" s="181" t="str">
        <f t="shared" si="64"/>
        <v/>
      </c>
      <c r="AI522" s="181" t="str">
        <f t="shared" si="65"/>
        <v/>
      </c>
      <c r="AJ522" s="181" t="str">
        <f t="shared" si="66"/>
        <v/>
      </c>
      <c r="AK522" s="181" t="str">
        <f t="shared" si="67"/>
        <v/>
      </c>
      <c r="AL522" s="181" t="str">
        <f t="shared" si="68"/>
        <v/>
      </c>
      <c r="AM522" s="181" t="str">
        <f t="shared" si="69"/>
        <v/>
      </c>
      <c r="AN522" s="181" t="str">
        <f t="shared" si="70"/>
        <v/>
      </c>
      <c r="AO522" s="192" t="str">
        <f t="shared" si="71"/>
        <v/>
      </c>
      <c r="AQ522" t="str">
        <f>IFERROR(LOOKUP(2,1/((C_Pavement!$A$5:$A$204&lt;&gt;"")*(C_Pavement!$A$5:$A$204&lt;=$B522)*(C_Pavement!$B$5:$B$204&gt;$B522)*(C_Pavement!$C$5:$C$204&lt;&gt;"")),ROW(C_Pavement!$C$5:$C$204)-4),"")</f>
        <v/>
      </c>
      <c r="AR522" t="str">
        <f>IF($AQ522="","",UPPER(TRIM(INDEX(C_Pavement!$C$5:$C$204,$AQ522))))</f>
        <v/>
      </c>
      <c r="AS522" t="str">
        <f>IF($AR522="","",IFERROR(MATCH($AR522,E_Rules!$A$5:$A$9,0),""))</f>
        <v/>
      </c>
      <c r="AT522" t="str">
        <f>IF($AQ522="","",IF(INDEX(C_Pavement!$D$5:$D$204,$AQ522)&lt;&gt;"",UPPER(TRIM(INDEX(C_Pavement!$D$5:$D$204,$AQ522))),IF($AS522="","",INDEX(E_Rules!$C$5:$C$9,$AS522))))</f>
        <v/>
      </c>
      <c r="AU522" t="str">
        <f>IF($AQ522="","",IF(INDEX(C_Pavement!$E$5:$E$204,$AQ522)&lt;&gt;"",IF(INDEX(C_Pavement!$E$5:$E$204,$AQ522)="-","",INDEX(C_Pavement!$E$5:$E$204,$AQ522)),IF($AS522="","",INDEX(E_Rules!$D$5:$D$9,$AS522))))</f>
        <v/>
      </c>
      <c r="AV522" t="str">
        <f>IF($AQ522="","",IF(INDEX(C_Pavement!$F$5:$F$204,$AQ522)&lt;&gt;"",IF(INDEX(C_Pavement!$F$5:$F$204,$AQ522)="-","",INDEX(C_Pavement!$F$5:$F$204,$AQ522)),IF($AS522="","",INDEX(E_Rules!$E$5:$E$9,$AS522))))</f>
        <v/>
      </c>
      <c r="AW522" t="str">
        <f>IF($AQ522="","",IF(INDEX(C_Pavement!$G$5:$G$204,$AQ522)&lt;&gt;"",IF(INDEX(C_Pavement!$G$5:$G$204,$AQ522)="-","",INDEX(C_Pavement!$G$5:$G$204,$AQ522)),IF($AS522="","",INDEX(E_Rules!$F$5:$F$9,$AS522))))</f>
        <v/>
      </c>
      <c r="AX522" t="str">
        <f>IF($AQ522="","",IF(INDEX(C_Pavement!$H$5:$H$204,$AQ522)&lt;&gt;"",IF(INDEX(C_Pavement!$H$5:$H$204,$AQ522)="-","",INDEX(C_Pavement!$H$5:$H$204,$AQ522)),IF($AS522="","",INDEX(E_Rules!$G$5:$G$9,$AS522))))</f>
        <v/>
      </c>
      <c r="AY522" t="str">
        <f>IF($AQ522="","",IF(INDEX(C_Pavement!$I$5:$I$204,$AQ522)&lt;&gt;"",IF(INDEX(C_Pavement!$I$5:$I$204,$AQ522)="-","",INDEX(C_Pavement!$I$5:$I$204,$AQ522)),IF($AS522="","",INDEX(E_Rules!$H$5:$H$9,$AS522))))</f>
        <v/>
      </c>
    </row>
    <row r="523" spans="1:51" ht="15.75" customHeight="1" x14ac:dyDescent="0.3">
      <c r="A523" s="189">
        <v>518</v>
      </c>
      <c r="B523" s="180">
        <v>25850</v>
      </c>
      <c r="C523" s="180" t="s">
        <v>829</v>
      </c>
      <c r="D523" s="181" t="str">
        <f>IFERROR(LOOKUP(2,1/((A_Corridor!$A$5:$A$204&lt;&gt;"")*(A_Corridor!$A$5:$A$204&lt;=$B523)*(A_Corridor!$B$5:$B$204&gt;$B523)*(A_Corridor!$C$5:$C$204&lt;&gt;"")),IF(UPPER(A_Corridor!$C$5:$C$204)="Y",1,"")),"")</f>
        <v/>
      </c>
      <c r="E523" s="181" t="str">
        <f>IFERROR(LOOKUP(2,1/((A_Corridor!$A$5:$A$204&lt;&gt;"")*(A_Corridor!$A$5:$A$204&lt;=$B523)*(A_Corridor!$B$5:$B$204&gt;$B523)*(A_Corridor!$D$5:$D$204&lt;&gt;"")),IF(A_Corridor!$D$5:$D$204="-","",UPPER(A_Corridor!$D$5:$D$204))),"")</f>
        <v/>
      </c>
      <c r="F523" s="181" t="str">
        <f>IFERROR(LOOKUP(2,1/((A_Corridor!$A$5:$A$204&lt;&gt;"")*(A_Corridor!$A$5:$A$204&lt;=$B523)*(A_Corridor!$B$5:$B$204&gt;$B523)*(A_Corridor!$E$5:$E$204&lt;&gt;"")),IF(A_Corridor!$E$5:$E$204="-","",1)),"")</f>
        <v/>
      </c>
      <c r="G523" s="182" t="str">
        <f>IFERROR(LOOKUP(2,1/((A_Corridor!$A$5:$A$204&lt;&gt;"")*(A_Corridor!$A$5:$A$204&lt;=$B523)*(A_Corridor!$B$5:$B$204&gt;$B523)*(A_Corridor!$E$5:$E$204&lt;&gt;"")),IF(A_Corridor!$E$5:$E$204="-","",A_Corridor!$E$5:$E$204)),"")</f>
        <v/>
      </c>
      <c r="H523" s="182" t="str">
        <f>IFERROR(LOOKUP(2,1/((D_Points!$A$5:$A$204&lt;&gt;"")*(D_Points!$A$5:$A$204&gt;=$B523)*(D_Points!$A$5:$A$204&lt;$B523+P_Interval)*(UPPER(TRIM(D_Points!$B$5:$B$204))="GULLY")*(D_Points!$H$5:$H$204&lt;&gt;"")),D_Points!$H$5:$H$204),"")</f>
        <v/>
      </c>
      <c r="I523" s="181" t="str">
        <f>IFERROR(LOOKUP(2,1/((A_Corridor!$A$5:$A$204&lt;&gt;"")*(A_Corridor!$A$5:$A$204&lt;=$B523)*(A_Corridor!$B$5:$B$204&gt;$B523)*(A_Corridor!$F$5:$F$204&lt;&gt;"")),IF(A_Corridor!$F$5:$F$204="-","",1)),"")</f>
        <v/>
      </c>
      <c r="J523" s="182" t="str">
        <f>IFERROR(LOOKUP(2,1/((A_Corridor!$A$5:$A$204&lt;&gt;"")*(A_Corridor!$A$5:$A$204&lt;=$B523)*(A_Corridor!$B$5:$B$204&gt;$B523)*(A_Corridor!$F$5:$F$204&lt;&gt;"")),IF(A_Corridor!$F$5:$F$204="-","",A_Corridor!$F$5:$F$204)),"")</f>
        <v/>
      </c>
      <c r="K523" s="182" t="str">
        <f>IFERROR(LOOKUP(2,1/((A_Corridor!$A$5:$A$204&lt;&gt;"")*(A_Corridor!$A$5:$A$204&lt;=$B523)*(A_Corridor!$B$5:$B$204&gt;$B523)*(A_Corridor!$G$5:$G$204&lt;&gt;"")),IF(A_Corridor!$G$5:$G$204="-","",A_Corridor!$G$5:$G$204)),"")</f>
        <v/>
      </c>
      <c r="L523" s="181" t="str">
        <f>IFERROR(LOOKUP(2,1/((A_Corridor!$A$5:$A$204&lt;&gt;"")*(A_Corridor!$A$5:$A$204&lt;=$B523)*(A_Corridor!$B$5:$B$204&gt;$B523)*(A_Corridor!$H$5:$H$204&lt;&gt;"")),IF(A_Corridor!$H$5:$H$204="-","",1)),"")</f>
        <v/>
      </c>
      <c r="M523" s="182" t="str">
        <f>IFERROR(LOOKUP(2,1/((A_Corridor!$A$5:$A$204&lt;&gt;"")*(A_Corridor!$A$5:$A$204&lt;=$B523)*(A_Corridor!$B$5:$B$204&gt;$B523)*(A_Corridor!$H$5:$H$204&lt;&gt;"")),IF(A_Corridor!$H$5:$H$204="-","",A_Corridor!$H$5:$H$204)),"")</f>
        <v/>
      </c>
      <c r="N523" s="182" t="str">
        <f>IFERROR(LOOKUP(2,1/((A_Corridor!$A$5:$A$204&lt;&gt;"")*(A_Corridor!$A$5:$A$204&lt;=$B523)*(A_Corridor!$B$5:$B$204&gt;$B523)*(A_Corridor!$I$5:$I$204&lt;&gt;"")),IF(A_Corridor!$I$5:$I$204="-","",A_Corridor!$I$5:$I$204)),"")</f>
        <v/>
      </c>
      <c r="O523" s="182" t="str">
        <f>IFERROR(LOOKUP(2,1/((D_Points!$A$5:$A$204&lt;&gt;"")*(D_Points!$A$5:$A$204&gt;=$B523)*(D_Points!$A$5:$A$204&lt;$B523+P_Interval)*(UPPER(TRIM(D_Points!$B$5:$B$204))="PITCHING")*(D_Points!$H$5:$H$204&lt;&gt;"")),D_Points!$H$5:$H$204),"")</f>
        <v/>
      </c>
      <c r="P523" s="181" t="str">
        <f>IFERROR(LOOKUP(2,1/((B_Drainage!$A$5:$A$204&lt;&gt;"")*(B_Drainage!$A$5:$A$204&lt;=$B523)*(B_Drainage!$B$5:$B$204&gt;$B523)*(B_Drainage!$C$5:$C$204&lt;&gt;"")),IF(B_Drainage!$C$5:$C$204="-","",UPPER(B_Drainage!$C$5:$C$204))),"")</f>
        <v/>
      </c>
      <c r="Q523" s="181" t="str">
        <f>IFERROR(LOOKUP(2,1/((B_Drainage!$A$5:$A$204&lt;&gt;"")*(B_Drainage!$A$5:$A$204&lt;=$B523)*(B_Drainage!$B$5:$B$204&gt;$B523)*(B_Drainage!$D$5:$D$204&lt;&gt;"")),IF(B_Drainage!$D$5:$D$204="-","",UPPER(B_Drainage!$D$5:$D$204))),"")</f>
        <v/>
      </c>
      <c r="R523" s="182" t="str">
        <f>IFERROR(LOOKUP(2,1/((D_Points!$A$5:$A$204&lt;&gt;"")*(D_Points!$A$5:$A$204&gt;=$B523)*(D_Points!$A$5:$A$204&lt;$B523+P_Interval)*(RIGHT(UPPER(TRIM(D_Points!$B$5:$B$204)),8)="_CULVERT")),IF(LEFT(UPPER(TRIM(D_Points!$B$5:$B$204)),2)="EX",1,IF(LEFT(UPPER(TRIM(D_Points!$B$5:$B$204)),2)="PR",2,3))),"")</f>
        <v/>
      </c>
      <c r="S523" s="182" t="str">
        <f>IFERROR(LOOKUP(2,1/((D_Points!$A$5:$A$204&lt;&gt;"")*(D_Points!$A$5:$A$204&gt;=$B523)*(D_Points!$A$5:$A$204&lt;$B523+P_Interval)*(RIGHT(UPPER(TRIM(D_Points!$B$5:$B$204)),7)="_BRIDGE")),IF(LEFT(UPPER(TRIM(D_Points!$B$5:$B$204)),2)="EX",1,IF(LEFT(UPPER(TRIM(D_Points!$B$5:$B$204)),2)="PR",2,2))),"")</f>
        <v/>
      </c>
      <c r="T523" s="181" t="str">
        <f>IFERROR(LOOKUP(2,1/((B_Drainage!$A$5:$A$204&lt;&gt;"")*(B_Drainage!$A$5:$A$204&lt;=$B523)*(B_Drainage!$B$5:$B$204&gt;$B523)*(B_Drainage!$E$5:$E$204&lt;&gt;"")),IF(B_Drainage!$E$5:$E$204="-","",1)),"")</f>
        <v/>
      </c>
      <c r="U523" s="181" t="str">
        <f>IFERROR(LOOKUP(2,1/((B_Drainage!$A$5:$A$204&lt;&gt;"")*(B_Drainage!$A$5:$A$204&lt;=$B523)*(B_Drainage!$B$5:$B$204&gt;$B523)*(B_Drainage!$E$5:$E$204&lt;&gt;"")),IF(B_Drainage!$E$5:$E$204="-","",B_Drainage!$E$5:$E$204)),"")</f>
        <v/>
      </c>
      <c r="V523" s="181" t="str">
        <f>IFERROR(LOOKUP(2,1/((B_Drainage!$A$5:$A$204&lt;&gt;"")*(B_Drainage!$A$5:$A$204&lt;=$B523)*(B_Drainage!$B$5:$B$204&gt;$B523)*(B_Drainage!$F$5:$F$204&lt;&gt;"")),IF(B_Drainage!$F$5:$F$204="-","",1)),"")</f>
        <v/>
      </c>
      <c r="W523" s="181" t="str">
        <f>IFERROR(LOOKUP(2,1/((B_Drainage!$A$5:$A$204&lt;&gt;"")*(B_Drainage!$A$5:$A$204&lt;=$B523)*(B_Drainage!$B$5:$B$204&gt;$B523)*(B_Drainage!$F$5:$F$204&lt;&gt;"")),IF(B_Drainage!$F$5:$F$204="-","",B_Drainage!$F$5:$F$204)),"")</f>
        <v/>
      </c>
      <c r="X523" s="181" t="str">
        <f>IFERROR(LOOKUP(2,1/((B_Drainage!$A$5:$A$204&lt;&gt;"")*(B_Drainage!$A$5:$A$204&lt;=$B523)*(B_Drainage!$B$5:$B$204&gt;$B523)*(B_Drainage!$G$5:$G$204&lt;&gt;"")),IF(UPPER(B_Drainage!$G$5:$G$204)="Y",1,"")),"")</f>
        <v/>
      </c>
      <c r="Y523" s="181" t="str">
        <f>IFERROR(LOOKUP(2,1/((B_Drainage!$A$5:$A$204&lt;&gt;"")*(B_Drainage!$A$5:$A$204&lt;=$B523)*(B_Drainage!$B$5:$B$204&gt;$B523)*(B_Drainage!$H$5:$H$204&lt;&gt;"")),IF(UPPER(B_Drainage!$H$5:$H$204)="Y",1,"")),"")</f>
        <v/>
      </c>
      <c r="Z523" s="181" t="str">
        <f>IFERROR(LOOKUP(2,1/((B_Drainage!$A$5:$A$204&lt;&gt;"")*(B_Drainage!$A$5:$A$204&lt;=$B523)*(B_Drainage!$B$5:$B$204&gt;$B523)*(B_Drainage!$I$5:$I$204&lt;&gt;"")),IF(UPPER(B_Drainage!$I$5:$I$204)="Y",1,"")),"")</f>
        <v/>
      </c>
      <c r="AA523" s="181" t="str">
        <f>IFERROR(LOOKUP(2,1/((B_Drainage!$A$5:$A$204&lt;&gt;"")*(B_Drainage!$A$5:$A$204&lt;=$B523)*(B_Drainage!$B$5:$B$204&gt;$B523)*(B_Drainage!$J$5:$J$204&lt;&gt;"")),IF(UPPER(B_Drainage!$J$5:$J$204)="Y",1,"")),"")</f>
        <v/>
      </c>
      <c r="AB523" s="182" t="str">
        <f>IFERROR(LOOKUP(2,1/((B_Drainage!$A$5:$A$204&lt;&gt;"")*(B_Drainage!$A$5:$A$204&lt;=$B523)*(B_Drainage!$B$5:$B$204&gt;$B523)*(B_Drainage!$K$5:$K$204&lt;&gt;"")),IF(B_Drainage!$K$5:$K$204="-","",B_Drainage!$K$5:$K$204)),"")</f>
        <v/>
      </c>
      <c r="AC523" s="182" t="str">
        <f>IFERROR(LOOKUP(2,1/((B_Drainage!$A$5:$A$204&lt;&gt;"")*(B_Drainage!$A$5:$A$204&lt;=$B523)*(B_Drainage!$B$5:$B$204&gt;$B523)*(B_Drainage!$L$5:$L$204&lt;&gt;"")),IF(B_Drainage!$L$5:$L$204="-","",B_Drainage!$L$5:$L$204)),"")</f>
        <v/>
      </c>
      <c r="AD523" s="182" t="str">
        <f>IFERROR(LOOKUP(2,1/((D_Points!$A$5:$A$204&lt;&gt;"")*(D_Points!$A$5:$A$204&gt;=$B523)*(D_Points!$A$5:$A$204&lt;$B523+P_Interval)*(UPPER(TRIM(D_Points!$B$5:$B$204))="TURNOUT_L")*(D_Points!$H$5:$H$204&lt;&gt;"")),D_Points!$H$5:$H$204),"")</f>
        <v/>
      </c>
      <c r="AE523" s="182" t="str">
        <f>IFERROR(LOOKUP(2,1/((D_Points!$A$5:$A$204&lt;&gt;"")*(D_Points!$A$5:$A$204&gt;=$B523)*(D_Points!$A$5:$A$204&lt;$B523+P_Interval)*(UPPER(TRIM(D_Points!$B$5:$B$204))="TURNOUT_R")*(D_Points!$H$5:$H$204&lt;&gt;"")),D_Points!$H$5:$H$204),"")</f>
        <v/>
      </c>
      <c r="AF523" s="181" t="str">
        <f>IFERROR(LOOKUP(2,1/((B_Drainage!$A$5:$A$204&lt;&gt;"")*(B_Drainage!$A$5:$A$204&lt;=$B523)*(B_Drainage!$B$5:$B$204&gt;$B523)*(B_Drainage!$M$5:$M$204&lt;&gt;"")),IF(UPPER(B_Drainage!$M$5:$M$204)="Y",1,"")),"")</f>
        <v/>
      </c>
      <c r="AG523" s="181" t="str">
        <f>IFERROR(LOOKUP(2,1/((B_Drainage!$A$5:$A$204&lt;&gt;"")*(B_Drainage!$A$5:$A$204&lt;=$B523)*(B_Drainage!$B$5:$B$204&gt;$B523)*(B_Drainage!$N$5:$N$204&lt;&gt;"")),IF(UPPER(B_Drainage!$N$5:$N$204)="Y",1,"")),"")</f>
        <v/>
      </c>
      <c r="AH523" s="181" t="str">
        <f t="shared" si="64"/>
        <v/>
      </c>
      <c r="AI523" s="181" t="str">
        <f t="shared" si="65"/>
        <v/>
      </c>
      <c r="AJ523" s="181" t="str">
        <f t="shared" si="66"/>
        <v/>
      </c>
      <c r="AK523" s="181" t="str">
        <f t="shared" si="67"/>
        <v/>
      </c>
      <c r="AL523" s="181" t="str">
        <f t="shared" si="68"/>
        <v/>
      </c>
      <c r="AM523" s="181" t="str">
        <f t="shared" si="69"/>
        <v/>
      </c>
      <c r="AN523" s="181" t="str">
        <f t="shared" si="70"/>
        <v/>
      </c>
      <c r="AO523" s="192" t="str">
        <f t="shared" si="71"/>
        <v/>
      </c>
      <c r="AQ523" t="str">
        <f>IFERROR(LOOKUP(2,1/((C_Pavement!$A$5:$A$204&lt;&gt;"")*(C_Pavement!$A$5:$A$204&lt;=$B523)*(C_Pavement!$B$5:$B$204&gt;$B523)*(C_Pavement!$C$5:$C$204&lt;&gt;"")),ROW(C_Pavement!$C$5:$C$204)-4),"")</f>
        <v/>
      </c>
      <c r="AR523" t="str">
        <f>IF($AQ523="","",UPPER(TRIM(INDEX(C_Pavement!$C$5:$C$204,$AQ523))))</f>
        <v/>
      </c>
      <c r="AS523" t="str">
        <f>IF($AR523="","",IFERROR(MATCH($AR523,E_Rules!$A$5:$A$9,0),""))</f>
        <v/>
      </c>
      <c r="AT523" t="str">
        <f>IF($AQ523="","",IF(INDEX(C_Pavement!$D$5:$D$204,$AQ523)&lt;&gt;"",UPPER(TRIM(INDEX(C_Pavement!$D$5:$D$204,$AQ523))),IF($AS523="","",INDEX(E_Rules!$C$5:$C$9,$AS523))))</f>
        <v/>
      </c>
      <c r="AU523" t="str">
        <f>IF($AQ523="","",IF(INDEX(C_Pavement!$E$5:$E$204,$AQ523)&lt;&gt;"",IF(INDEX(C_Pavement!$E$5:$E$204,$AQ523)="-","",INDEX(C_Pavement!$E$5:$E$204,$AQ523)),IF($AS523="","",INDEX(E_Rules!$D$5:$D$9,$AS523))))</f>
        <v/>
      </c>
      <c r="AV523" t="str">
        <f>IF($AQ523="","",IF(INDEX(C_Pavement!$F$5:$F$204,$AQ523)&lt;&gt;"",IF(INDEX(C_Pavement!$F$5:$F$204,$AQ523)="-","",INDEX(C_Pavement!$F$5:$F$204,$AQ523)),IF($AS523="","",INDEX(E_Rules!$E$5:$E$9,$AS523))))</f>
        <v/>
      </c>
      <c r="AW523" t="str">
        <f>IF($AQ523="","",IF(INDEX(C_Pavement!$G$5:$G$204,$AQ523)&lt;&gt;"",IF(INDEX(C_Pavement!$G$5:$G$204,$AQ523)="-","",INDEX(C_Pavement!$G$5:$G$204,$AQ523)),IF($AS523="","",INDEX(E_Rules!$F$5:$F$9,$AS523))))</f>
        <v/>
      </c>
      <c r="AX523" t="str">
        <f>IF($AQ523="","",IF(INDEX(C_Pavement!$H$5:$H$204,$AQ523)&lt;&gt;"",IF(INDEX(C_Pavement!$H$5:$H$204,$AQ523)="-","",INDEX(C_Pavement!$H$5:$H$204,$AQ523)),IF($AS523="","",INDEX(E_Rules!$G$5:$G$9,$AS523))))</f>
        <v/>
      </c>
      <c r="AY523" t="str">
        <f>IF($AQ523="","",IF(INDEX(C_Pavement!$I$5:$I$204,$AQ523)&lt;&gt;"",IF(INDEX(C_Pavement!$I$5:$I$204,$AQ523)="-","",INDEX(C_Pavement!$I$5:$I$204,$AQ523)),IF($AS523="","",INDEX(E_Rules!$H$5:$H$9,$AS523))))</f>
        <v/>
      </c>
    </row>
    <row r="524" spans="1:51" ht="15.75" customHeight="1" x14ac:dyDescent="0.3">
      <c r="A524" s="189">
        <v>519</v>
      </c>
      <c r="B524" s="180">
        <v>25900</v>
      </c>
      <c r="C524" s="180" t="s">
        <v>830</v>
      </c>
      <c r="D524" s="181" t="str">
        <f>IFERROR(LOOKUP(2,1/((A_Corridor!$A$5:$A$204&lt;&gt;"")*(A_Corridor!$A$5:$A$204&lt;=$B524)*(A_Corridor!$B$5:$B$204&gt;$B524)*(A_Corridor!$C$5:$C$204&lt;&gt;"")),IF(UPPER(A_Corridor!$C$5:$C$204)="Y",1,"")),"")</f>
        <v/>
      </c>
      <c r="E524" s="181" t="str">
        <f>IFERROR(LOOKUP(2,1/((A_Corridor!$A$5:$A$204&lt;&gt;"")*(A_Corridor!$A$5:$A$204&lt;=$B524)*(A_Corridor!$B$5:$B$204&gt;$B524)*(A_Corridor!$D$5:$D$204&lt;&gt;"")),IF(A_Corridor!$D$5:$D$204="-","",UPPER(A_Corridor!$D$5:$D$204))),"")</f>
        <v/>
      </c>
      <c r="F524" s="181" t="str">
        <f>IFERROR(LOOKUP(2,1/((A_Corridor!$A$5:$A$204&lt;&gt;"")*(A_Corridor!$A$5:$A$204&lt;=$B524)*(A_Corridor!$B$5:$B$204&gt;$B524)*(A_Corridor!$E$5:$E$204&lt;&gt;"")),IF(A_Corridor!$E$5:$E$204="-","",1)),"")</f>
        <v/>
      </c>
      <c r="G524" s="182" t="str">
        <f>IFERROR(LOOKUP(2,1/((A_Corridor!$A$5:$A$204&lt;&gt;"")*(A_Corridor!$A$5:$A$204&lt;=$B524)*(A_Corridor!$B$5:$B$204&gt;$B524)*(A_Corridor!$E$5:$E$204&lt;&gt;"")),IF(A_Corridor!$E$5:$E$204="-","",A_Corridor!$E$5:$E$204)),"")</f>
        <v/>
      </c>
      <c r="H524" s="182" t="str">
        <f>IFERROR(LOOKUP(2,1/((D_Points!$A$5:$A$204&lt;&gt;"")*(D_Points!$A$5:$A$204&gt;=$B524)*(D_Points!$A$5:$A$204&lt;$B524+P_Interval)*(UPPER(TRIM(D_Points!$B$5:$B$204))="GULLY")*(D_Points!$H$5:$H$204&lt;&gt;"")),D_Points!$H$5:$H$204),"")</f>
        <v/>
      </c>
      <c r="I524" s="181" t="str">
        <f>IFERROR(LOOKUP(2,1/((A_Corridor!$A$5:$A$204&lt;&gt;"")*(A_Corridor!$A$5:$A$204&lt;=$B524)*(A_Corridor!$B$5:$B$204&gt;$B524)*(A_Corridor!$F$5:$F$204&lt;&gt;"")),IF(A_Corridor!$F$5:$F$204="-","",1)),"")</f>
        <v/>
      </c>
      <c r="J524" s="182" t="str">
        <f>IFERROR(LOOKUP(2,1/((A_Corridor!$A$5:$A$204&lt;&gt;"")*(A_Corridor!$A$5:$A$204&lt;=$B524)*(A_Corridor!$B$5:$B$204&gt;$B524)*(A_Corridor!$F$5:$F$204&lt;&gt;"")),IF(A_Corridor!$F$5:$F$204="-","",A_Corridor!$F$5:$F$204)),"")</f>
        <v/>
      </c>
      <c r="K524" s="182" t="str">
        <f>IFERROR(LOOKUP(2,1/((A_Corridor!$A$5:$A$204&lt;&gt;"")*(A_Corridor!$A$5:$A$204&lt;=$B524)*(A_Corridor!$B$5:$B$204&gt;$B524)*(A_Corridor!$G$5:$G$204&lt;&gt;"")),IF(A_Corridor!$G$5:$G$204="-","",A_Corridor!$G$5:$G$204)),"")</f>
        <v/>
      </c>
      <c r="L524" s="181" t="str">
        <f>IFERROR(LOOKUP(2,1/((A_Corridor!$A$5:$A$204&lt;&gt;"")*(A_Corridor!$A$5:$A$204&lt;=$B524)*(A_Corridor!$B$5:$B$204&gt;$B524)*(A_Corridor!$H$5:$H$204&lt;&gt;"")),IF(A_Corridor!$H$5:$H$204="-","",1)),"")</f>
        <v/>
      </c>
      <c r="M524" s="182" t="str">
        <f>IFERROR(LOOKUP(2,1/((A_Corridor!$A$5:$A$204&lt;&gt;"")*(A_Corridor!$A$5:$A$204&lt;=$B524)*(A_Corridor!$B$5:$B$204&gt;$B524)*(A_Corridor!$H$5:$H$204&lt;&gt;"")),IF(A_Corridor!$H$5:$H$204="-","",A_Corridor!$H$5:$H$204)),"")</f>
        <v/>
      </c>
      <c r="N524" s="182" t="str">
        <f>IFERROR(LOOKUP(2,1/((A_Corridor!$A$5:$A$204&lt;&gt;"")*(A_Corridor!$A$5:$A$204&lt;=$B524)*(A_Corridor!$B$5:$B$204&gt;$B524)*(A_Corridor!$I$5:$I$204&lt;&gt;"")),IF(A_Corridor!$I$5:$I$204="-","",A_Corridor!$I$5:$I$204)),"")</f>
        <v/>
      </c>
      <c r="O524" s="182" t="str">
        <f>IFERROR(LOOKUP(2,1/((D_Points!$A$5:$A$204&lt;&gt;"")*(D_Points!$A$5:$A$204&gt;=$B524)*(D_Points!$A$5:$A$204&lt;$B524+P_Interval)*(UPPER(TRIM(D_Points!$B$5:$B$204))="PITCHING")*(D_Points!$H$5:$H$204&lt;&gt;"")),D_Points!$H$5:$H$204),"")</f>
        <v/>
      </c>
      <c r="P524" s="181" t="str">
        <f>IFERROR(LOOKUP(2,1/((B_Drainage!$A$5:$A$204&lt;&gt;"")*(B_Drainage!$A$5:$A$204&lt;=$B524)*(B_Drainage!$B$5:$B$204&gt;$B524)*(B_Drainage!$C$5:$C$204&lt;&gt;"")),IF(B_Drainage!$C$5:$C$204="-","",UPPER(B_Drainage!$C$5:$C$204))),"")</f>
        <v/>
      </c>
      <c r="Q524" s="181" t="str">
        <f>IFERROR(LOOKUP(2,1/((B_Drainage!$A$5:$A$204&lt;&gt;"")*(B_Drainage!$A$5:$A$204&lt;=$B524)*(B_Drainage!$B$5:$B$204&gt;$B524)*(B_Drainage!$D$5:$D$204&lt;&gt;"")),IF(B_Drainage!$D$5:$D$204="-","",UPPER(B_Drainage!$D$5:$D$204))),"")</f>
        <v/>
      </c>
      <c r="R524" s="182" t="str">
        <f>IFERROR(LOOKUP(2,1/((D_Points!$A$5:$A$204&lt;&gt;"")*(D_Points!$A$5:$A$204&gt;=$B524)*(D_Points!$A$5:$A$204&lt;$B524+P_Interval)*(RIGHT(UPPER(TRIM(D_Points!$B$5:$B$204)),8)="_CULVERT")),IF(LEFT(UPPER(TRIM(D_Points!$B$5:$B$204)),2)="EX",1,IF(LEFT(UPPER(TRIM(D_Points!$B$5:$B$204)),2)="PR",2,3))),"")</f>
        <v/>
      </c>
      <c r="S524" s="182" t="str">
        <f>IFERROR(LOOKUP(2,1/((D_Points!$A$5:$A$204&lt;&gt;"")*(D_Points!$A$5:$A$204&gt;=$B524)*(D_Points!$A$5:$A$204&lt;$B524+P_Interval)*(RIGHT(UPPER(TRIM(D_Points!$B$5:$B$204)),7)="_BRIDGE")),IF(LEFT(UPPER(TRIM(D_Points!$B$5:$B$204)),2)="EX",1,IF(LEFT(UPPER(TRIM(D_Points!$B$5:$B$204)),2)="PR",2,2))),"")</f>
        <v/>
      </c>
      <c r="T524" s="181" t="str">
        <f>IFERROR(LOOKUP(2,1/((B_Drainage!$A$5:$A$204&lt;&gt;"")*(B_Drainage!$A$5:$A$204&lt;=$B524)*(B_Drainage!$B$5:$B$204&gt;$B524)*(B_Drainage!$E$5:$E$204&lt;&gt;"")),IF(B_Drainage!$E$5:$E$204="-","",1)),"")</f>
        <v/>
      </c>
      <c r="U524" s="181" t="str">
        <f>IFERROR(LOOKUP(2,1/((B_Drainage!$A$5:$A$204&lt;&gt;"")*(B_Drainage!$A$5:$A$204&lt;=$B524)*(B_Drainage!$B$5:$B$204&gt;$B524)*(B_Drainage!$E$5:$E$204&lt;&gt;"")),IF(B_Drainage!$E$5:$E$204="-","",B_Drainage!$E$5:$E$204)),"")</f>
        <v/>
      </c>
      <c r="V524" s="181" t="str">
        <f>IFERROR(LOOKUP(2,1/((B_Drainage!$A$5:$A$204&lt;&gt;"")*(B_Drainage!$A$5:$A$204&lt;=$B524)*(B_Drainage!$B$5:$B$204&gt;$B524)*(B_Drainage!$F$5:$F$204&lt;&gt;"")),IF(B_Drainage!$F$5:$F$204="-","",1)),"")</f>
        <v/>
      </c>
      <c r="W524" s="181" t="str">
        <f>IFERROR(LOOKUP(2,1/((B_Drainage!$A$5:$A$204&lt;&gt;"")*(B_Drainage!$A$5:$A$204&lt;=$B524)*(B_Drainage!$B$5:$B$204&gt;$B524)*(B_Drainage!$F$5:$F$204&lt;&gt;"")),IF(B_Drainage!$F$5:$F$204="-","",B_Drainage!$F$5:$F$204)),"")</f>
        <v/>
      </c>
      <c r="X524" s="181" t="str">
        <f>IFERROR(LOOKUP(2,1/((B_Drainage!$A$5:$A$204&lt;&gt;"")*(B_Drainage!$A$5:$A$204&lt;=$B524)*(B_Drainage!$B$5:$B$204&gt;$B524)*(B_Drainage!$G$5:$G$204&lt;&gt;"")),IF(UPPER(B_Drainage!$G$5:$G$204)="Y",1,"")),"")</f>
        <v/>
      </c>
      <c r="Y524" s="181" t="str">
        <f>IFERROR(LOOKUP(2,1/((B_Drainage!$A$5:$A$204&lt;&gt;"")*(B_Drainage!$A$5:$A$204&lt;=$B524)*(B_Drainage!$B$5:$B$204&gt;$B524)*(B_Drainage!$H$5:$H$204&lt;&gt;"")),IF(UPPER(B_Drainage!$H$5:$H$204)="Y",1,"")),"")</f>
        <v/>
      </c>
      <c r="Z524" s="181" t="str">
        <f>IFERROR(LOOKUP(2,1/((B_Drainage!$A$5:$A$204&lt;&gt;"")*(B_Drainage!$A$5:$A$204&lt;=$B524)*(B_Drainage!$B$5:$B$204&gt;$B524)*(B_Drainage!$I$5:$I$204&lt;&gt;"")),IF(UPPER(B_Drainage!$I$5:$I$204)="Y",1,"")),"")</f>
        <v/>
      </c>
      <c r="AA524" s="181" t="str">
        <f>IFERROR(LOOKUP(2,1/((B_Drainage!$A$5:$A$204&lt;&gt;"")*(B_Drainage!$A$5:$A$204&lt;=$B524)*(B_Drainage!$B$5:$B$204&gt;$B524)*(B_Drainage!$J$5:$J$204&lt;&gt;"")),IF(UPPER(B_Drainage!$J$5:$J$204)="Y",1,"")),"")</f>
        <v/>
      </c>
      <c r="AB524" s="182" t="str">
        <f>IFERROR(LOOKUP(2,1/((B_Drainage!$A$5:$A$204&lt;&gt;"")*(B_Drainage!$A$5:$A$204&lt;=$B524)*(B_Drainage!$B$5:$B$204&gt;$B524)*(B_Drainage!$K$5:$K$204&lt;&gt;"")),IF(B_Drainage!$K$5:$K$204="-","",B_Drainage!$K$5:$K$204)),"")</f>
        <v/>
      </c>
      <c r="AC524" s="182" t="str">
        <f>IFERROR(LOOKUP(2,1/((B_Drainage!$A$5:$A$204&lt;&gt;"")*(B_Drainage!$A$5:$A$204&lt;=$B524)*(B_Drainage!$B$5:$B$204&gt;$B524)*(B_Drainage!$L$5:$L$204&lt;&gt;"")),IF(B_Drainage!$L$5:$L$204="-","",B_Drainage!$L$5:$L$204)),"")</f>
        <v/>
      </c>
      <c r="AD524" s="182" t="str">
        <f>IFERROR(LOOKUP(2,1/((D_Points!$A$5:$A$204&lt;&gt;"")*(D_Points!$A$5:$A$204&gt;=$B524)*(D_Points!$A$5:$A$204&lt;$B524+P_Interval)*(UPPER(TRIM(D_Points!$B$5:$B$204))="TURNOUT_L")*(D_Points!$H$5:$H$204&lt;&gt;"")),D_Points!$H$5:$H$204),"")</f>
        <v/>
      </c>
      <c r="AE524" s="182" t="str">
        <f>IFERROR(LOOKUP(2,1/((D_Points!$A$5:$A$204&lt;&gt;"")*(D_Points!$A$5:$A$204&gt;=$B524)*(D_Points!$A$5:$A$204&lt;$B524+P_Interval)*(UPPER(TRIM(D_Points!$B$5:$B$204))="TURNOUT_R")*(D_Points!$H$5:$H$204&lt;&gt;"")),D_Points!$H$5:$H$204),"")</f>
        <v/>
      </c>
      <c r="AF524" s="181" t="str">
        <f>IFERROR(LOOKUP(2,1/((B_Drainage!$A$5:$A$204&lt;&gt;"")*(B_Drainage!$A$5:$A$204&lt;=$B524)*(B_Drainage!$B$5:$B$204&gt;$B524)*(B_Drainage!$M$5:$M$204&lt;&gt;"")),IF(UPPER(B_Drainage!$M$5:$M$204)="Y",1,"")),"")</f>
        <v/>
      </c>
      <c r="AG524" s="181" t="str">
        <f>IFERROR(LOOKUP(2,1/((B_Drainage!$A$5:$A$204&lt;&gt;"")*(B_Drainage!$A$5:$A$204&lt;=$B524)*(B_Drainage!$B$5:$B$204&gt;$B524)*(B_Drainage!$N$5:$N$204&lt;&gt;"")),IF(UPPER(B_Drainage!$N$5:$N$204)="Y",1,"")),"")</f>
        <v/>
      </c>
      <c r="AH524" s="181" t="str">
        <f t="shared" si="64"/>
        <v/>
      </c>
      <c r="AI524" s="181" t="str">
        <f t="shared" si="65"/>
        <v/>
      </c>
      <c r="AJ524" s="181" t="str">
        <f t="shared" si="66"/>
        <v/>
      </c>
      <c r="AK524" s="181" t="str">
        <f t="shared" si="67"/>
        <v/>
      </c>
      <c r="AL524" s="181" t="str">
        <f t="shared" si="68"/>
        <v/>
      </c>
      <c r="AM524" s="181" t="str">
        <f t="shared" si="69"/>
        <v/>
      </c>
      <c r="AN524" s="181" t="str">
        <f t="shared" si="70"/>
        <v/>
      </c>
      <c r="AO524" s="192" t="str">
        <f t="shared" si="71"/>
        <v/>
      </c>
      <c r="AQ524" t="str">
        <f>IFERROR(LOOKUP(2,1/((C_Pavement!$A$5:$A$204&lt;&gt;"")*(C_Pavement!$A$5:$A$204&lt;=$B524)*(C_Pavement!$B$5:$B$204&gt;$B524)*(C_Pavement!$C$5:$C$204&lt;&gt;"")),ROW(C_Pavement!$C$5:$C$204)-4),"")</f>
        <v/>
      </c>
      <c r="AR524" t="str">
        <f>IF($AQ524="","",UPPER(TRIM(INDEX(C_Pavement!$C$5:$C$204,$AQ524))))</f>
        <v/>
      </c>
      <c r="AS524" t="str">
        <f>IF($AR524="","",IFERROR(MATCH($AR524,E_Rules!$A$5:$A$9,0),""))</f>
        <v/>
      </c>
      <c r="AT524" t="str">
        <f>IF($AQ524="","",IF(INDEX(C_Pavement!$D$5:$D$204,$AQ524)&lt;&gt;"",UPPER(TRIM(INDEX(C_Pavement!$D$5:$D$204,$AQ524))),IF($AS524="","",INDEX(E_Rules!$C$5:$C$9,$AS524))))</f>
        <v/>
      </c>
      <c r="AU524" t="str">
        <f>IF($AQ524="","",IF(INDEX(C_Pavement!$E$5:$E$204,$AQ524)&lt;&gt;"",IF(INDEX(C_Pavement!$E$5:$E$204,$AQ524)="-","",INDEX(C_Pavement!$E$5:$E$204,$AQ524)),IF($AS524="","",INDEX(E_Rules!$D$5:$D$9,$AS524))))</f>
        <v/>
      </c>
      <c r="AV524" t="str">
        <f>IF($AQ524="","",IF(INDEX(C_Pavement!$F$5:$F$204,$AQ524)&lt;&gt;"",IF(INDEX(C_Pavement!$F$5:$F$204,$AQ524)="-","",INDEX(C_Pavement!$F$5:$F$204,$AQ524)),IF($AS524="","",INDEX(E_Rules!$E$5:$E$9,$AS524))))</f>
        <v/>
      </c>
      <c r="AW524" t="str">
        <f>IF($AQ524="","",IF(INDEX(C_Pavement!$G$5:$G$204,$AQ524)&lt;&gt;"",IF(INDEX(C_Pavement!$G$5:$G$204,$AQ524)="-","",INDEX(C_Pavement!$G$5:$G$204,$AQ524)),IF($AS524="","",INDEX(E_Rules!$F$5:$F$9,$AS524))))</f>
        <v/>
      </c>
      <c r="AX524" t="str">
        <f>IF($AQ524="","",IF(INDEX(C_Pavement!$H$5:$H$204,$AQ524)&lt;&gt;"",IF(INDEX(C_Pavement!$H$5:$H$204,$AQ524)="-","",INDEX(C_Pavement!$H$5:$H$204,$AQ524)),IF($AS524="","",INDEX(E_Rules!$G$5:$G$9,$AS524))))</f>
        <v/>
      </c>
      <c r="AY524" t="str">
        <f>IF($AQ524="","",IF(INDEX(C_Pavement!$I$5:$I$204,$AQ524)&lt;&gt;"",IF(INDEX(C_Pavement!$I$5:$I$204,$AQ524)="-","",INDEX(C_Pavement!$I$5:$I$204,$AQ524)),IF($AS524="","",INDEX(E_Rules!$H$5:$H$9,$AS524))))</f>
        <v/>
      </c>
    </row>
    <row r="525" spans="1:51" ht="15.75" customHeight="1" x14ac:dyDescent="0.3">
      <c r="A525" s="189">
        <v>520</v>
      </c>
      <c r="B525" s="180">
        <v>25950</v>
      </c>
      <c r="C525" s="180" t="s">
        <v>831</v>
      </c>
      <c r="D525" s="181" t="str">
        <f>IFERROR(LOOKUP(2,1/((A_Corridor!$A$5:$A$204&lt;&gt;"")*(A_Corridor!$A$5:$A$204&lt;=$B525)*(A_Corridor!$B$5:$B$204&gt;$B525)*(A_Corridor!$C$5:$C$204&lt;&gt;"")),IF(UPPER(A_Corridor!$C$5:$C$204)="Y",1,"")),"")</f>
        <v/>
      </c>
      <c r="E525" s="181" t="str">
        <f>IFERROR(LOOKUP(2,1/((A_Corridor!$A$5:$A$204&lt;&gt;"")*(A_Corridor!$A$5:$A$204&lt;=$B525)*(A_Corridor!$B$5:$B$204&gt;$B525)*(A_Corridor!$D$5:$D$204&lt;&gt;"")),IF(A_Corridor!$D$5:$D$204="-","",UPPER(A_Corridor!$D$5:$D$204))),"")</f>
        <v/>
      </c>
      <c r="F525" s="181" t="str">
        <f>IFERROR(LOOKUP(2,1/((A_Corridor!$A$5:$A$204&lt;&gt;"")*(A_Corridor!$A$5:$A$204&lt;=$B525)*(A_Corridor!$B$5:$B$204&gt;$B525)*(A_Corridor!$E$5:$E$204&lt;&gt;"")),IF(A_Corridor!$E$5:$E$204="-","",1)),"")</f>
        <v/>
      </c>
      <c r="G525" s="182" t="str">
        <f>IFERROR(LOOKUP(2,1/((A_Corridor!$A$5:$A$204&lt;&gt;"")*(A_Corridor!$A$5:$A$204&lt;=$B525)*(A_Corridor!$B$5:$B$204&gt;$B525)*(A_Corridor!$E$5:$E$204&lt;&gt;"")),IF(A_Corridor!$E$5:$E$204="-","",A_Corridor!$E$5:$E$204)),"")</f>
        <v/>
      </c>
      <c r="H525" s="182" t="str">
        <f>IFERROR(LOOKUP(2,1/((D_Points!$A$5:$A$204&lt;&gt;"")*(D_Points!$A$5:$A$204&gt;=$B525)*(D_Points!$A$5:$A$204&lt;$B525+P_Interval)*(UPPER(TRIM(D_Points!$B$5:$B$204))="GULLY")*(D_Points!$H$5:$H$204&lt;&gt;"")),D_Points!$H$5:$H$204),"")</f>
        <v/>
      </c>
      <c r="I525" s="181" t="str">
        <f>IFERROR(LOOKUP(2,1/((A_Corridor!$A$5:$A$204&lt;&gt;"")*(A_Corridor!$A$5:$A$204&lt;=$B525)*(A_Corridor!$B$5:$B$204&gt;$B525)*(A_Corridor!$F$5:$F$204&lt;&gt;"")),IF(A_Corridor!$F$5:$F$204="-","",1)),"")</f>
        <v/>
      </c>
      <c r="J525" s="182" t="str">
        <f>IFERROR(LOOKUP(2,1/((A_Corridor!$A$5:$A$204&lt;&gt;"")*(A_Corridor!$A$5:$A$204&lt;=$B525)*(A_Corridor!$B$5:$B$204&gt;$B525)*(A_Corridor!$F$5:$F$204&lt;&gt;"")),IF(A_Corridor!$F$5:$F$204="-","",A_Corridor!$F$5:$F$204)),"")</f>
        <v/>
      </c>
      <c r="K525" s="182" t="str">
        <f>IFERROR(LOOKUP(2,1/((A_Corridor!$A$5:$A$204&lt;&gt;"")*(A_Corridor!$A$5:$A$204&lt;=$B525)*(A_Corridor!$B$5:$B$204&gt;$B525)*(A_Corridor!$G$5:$G$204&lt;&gt;"")),IF(A_Corridor!$G$5:$G$204="-","",A_Corridor!$G$5:$G$204)),"")</f>
        <v/>
      </c>
      <c r="L525" s="181" t="str">
        <f>IFERROR(LOOKUP(2,1/((A_Corridor!$A$5:$A$204&lt;&gt;"")*(A_Corridor!$A$5:$A$204&lt;=$B525)*(A_Corridor!$B$5:$B$204&gt;$B525)*(A_Corridor!$H$5:$H$204&lt;&gt;"")),IF(A_Corridor!$H$5:$H$204="-","",1)),"")</f>
        <v/>
      </c>
      <c r="M525" s="182" t="str">
        <f>IFERROR(LOOKUP(2,1/((A_Corridor!$A$5:$A$204&lt;&gt;"")*(A_Corridor!$A$5:$A$204&lt;=$B525)*(A_Corridor!$B$5:$B$204&gt;$B525)*(A_Corridor!$H$5:$H$204&lt;&gt;"")),IF(A_Corridor!$H$5:$H$204="-","",A_Corridor!$H$5:$H$204)),"")</f>
        <v/>
      </c>
      <c r="N525" s="182" t="str">
        <f>IFERROR(LOOKUP(2,1/((A_Corridor!$A$5:$A$204&lt;&gt;"")*(A_Corridor!$A$5:$A$204&lt;=$B525)*(A_Corridor!$B$5:$B$204&gt;$B525)*(A_Corridor!$I$5:$I$204&lt;&gt;"")),IF(A_Corridor!$I$5:$I$204="-","",A_Corridor!$I$5:$I$204)),"")</f>
        <v/>
      </c>
      <c r="O525" s="182" t="str">
        <f>IFERROR(LOOKUP(2,1/((D_Points!$A$5:$A$204&lt;&gt;"")*(D_Points!$A$5:$A$204&gt;=$B525)*(D_Points!$A$5:$A$204&lt;$B525+P_Interval)*(UPPER(TRIM(D_Points!$B$5:$B$204))="PITCHING")*(D_Points!$H$5:$H$204&lt;&gt;"")),D_Points!$H$5:$H$204),"")</f>
        <v/>
      </c>
      <c r="P525" s="181" t="str">
        <f>IFERROR(LOOKUP(2,1/((B_Drainage!$A$5:$A$204&lt;&gt;"")*(B_Drainage!$A$5:$A$204&lt;=$B525)*(B_Drainage!$B$5:$B$204&gt;$B525)*(B_Drainage!$C$5:$C$204&lt;&gt;"")),IF(B_Drainage!$C$5:$C$204="-","",UPPER(B_Drainage!$C$5:$C$204))),"")</f>
        <v/>
      </c>
      <c r="Q525" s="181" t="str">
        <f>IFERROR(LOOKUP(2,1/((B_Drainage!$A$5:$A$204&lt;&gt;"")*(B_Drainage!$A$5:$A$204&lt;=$B525)*(B_Drainage!$B$5:$B$204&gt;$B525)*(B_Drainage!$D$5:$D$204&lt;&gt;"")),IF(B_Drainage!$D$5:$D$204="-","",UPPER(B_Drainage!$D$5:$D$204))),"")</f>
        <v/>
      </c>
      <c r="R525" s="182" t="str">
        <f>IFERROR(LOOKUP(2,1/((D_Points!$A$5:$A$204&lt;&gt;"")*(D_Points!$A$5:$A$204&gt;=$B525)*(D_Points!$A$5:$A$204&lt;$B525+P_Interval)*(RIGHT(UPPER(TRIM(D_Points!$B$5:$B$204)),8)="_CULVERT")),IF(LEFT(UPPER(TRIM(D_Points!$B$5:$B$204)),2)="EX",1,IF(LEFT(UPPER(TRIM(D_Points!$B$5:$B$204)),2)="PR",2,3))),"")</f>
        <v/>
      </c>
      <c r="S525" s="182" t="str">
        <f>IFERROR(LOOKUP(2,1/((D_Points!$A$5:$A$204&lt;&gt;"")*(D_Points!$A$5:$A$204&gt;=$B525)*(D_Points!$A$5:$A$204&lt;$B525+P_Interval)*(RIGHT(UPPER(TRIM(D_Points!$B$5:$B$204)),7)="_BRIDGE")),IF(LEFT(UPPER(TRIM(D_Points!$B$5:$B$204)),2)="EX",1,IF(LEFT(UPPER(TRIM(D_Points!$B$5:$B$204)),2)="PR",2,2))),"")</f>
        <v/>
      </c>
      <c r="T525" s="181" t="str">
        <f>IFERROR(LOOKUP(2,1/((B_Drainage!$A$5:$A$204&lt;&gt;"")*(B_Drainage!$A$5:$A$204&lt;=$B525)*(B_Drainage!$B$5:$B$204&gt;$B525)*(B_Drainage!$E$5:$E$204&lt;&gt;"")),IF(B_Drainage!$E$5:$E$204="-","",1)),"")</f>
        <v/>
      </c>
      <c r="U525" s="181" t="str">
        <f>IFERROR(LOOKUP(2,1/((B_Drainage!$A$5:$A$204&lt;&gt;"")*(B_Drainage!$A$5:$A$204&lt;=$B525)*(B_Drainage!$B$5:$B$204&gt;$B525)*(B_Drainage!$E$5:$E$204&lt;&gt;"")),IF(B_Drainage!$E$5:$E$204="-","",B_Drainage!$E$5:$E$204)),"")</f>
        <v/>
      </c>
      <c r="V525" s="181" t="str">
        <f>IFERROR(LOOKUP(2,1/((B_Drainage!$A$5:$A$204&lt;&gt;"")*(B_Drainage!$A$5:$A$204&lt;=$B525)*(B_Drainage!$B$5:$B$204&gt;$B525)*(B_Drainage!$F$5:$F$204&lt;&gt;"")),IF(B_Drainage!$F$5:$F$204="-","",1)),"")</f>
        <v/>
      </c>
      <c r="W525" s="181" t="str">
        <f>IFERROR(LOOKUP(2,1/((B_Drainage!$A$5:$A$204&lt;&gt;"")*(B_Drainage!$A$5:$A$204&lt;=$B525)*(B_Drainage!$B$5:$B$204&gt;$B525)*(B_Drainage!$F$5:$F$204&lt;&gt;"")),IF(B_Drainage!$F$5:$F$204="-","",B_Drainage!$F$5:$F$204)),"")</f>
        <v/>
      </c>
      <c r="X525" s="181" t="str">
        <f>IFERROR(LOOKUP(2,1/((B_Drainage!$A$5:$A$204&lt;&gt;"")*(B_Drainage!$A$5:$A$204&lt;=$B525)*(B_Drainage!$B$5:$B$204&gt;$B525)*(B_Drainage!$G$5:$G$204&lt;&gt;"")),IF(UPPER(B_Drainage!$G$5:$G$204)="Y",1,"")),"")</f>
        <v/>
      </c>
      <c r="Y525" s="181" t="str">
        <f>IFERROR(LOOKUP(2,1/((B_Drainage!$A$5:$A$204&lt;&gt;"")*(B_Drainage!$A$5:$A$204&lt;=$B525)*(B_Drainage!$B$5:$B$204&gt;$B525)*(B_Drainage!$H$5:$H$204&lt;&gt;"")),IF(UPPER(B_Drainage!$H$5:$H$204)="Y",1,"")),"")</f>
        <v/>
      </c>
      <c r="Z525" s="181" t="str">
        <f>IFERROR(LOOKUP(2,1/((B_Drainage!$A$5:$A$204&lt;&gt;"")*(B_Drainage!$A$5:$A$204&lt;=$B525)*(B_Drainage!$B$5:$B$204&gt;$B525)*(B_Drainage!$I$5:$I$204&lt;&gt;"")),IF(UPPER(B_Drainage!$I$5:$I$204)="Y",1,"")),"")</f>
        <v/>
      </c>
      <c r="AA525" s="181" t="str">
        <f>IFERROR(LOOKUP(2,1/((B_Drainage!$A$5:$A$204&lt;&gt;"")*(B_Drainage!$A$5:$A$204&lt;=$B525)*(B_Drainage!$B$5:$B$204&gt;$B525)*(B_Drainage!$J$5:$J$204&lt;&gt;"")),IF(UPPER(B_Drainage!$J$5:$J$204)="Y",1,"")),"")</f>
        <v/>
      </c>
      <c r="AB525" s="182" t="str">
        <f>IFERROR(LOOKUP(2,1/((B_Drainage!$A$5:$A$204&lt;&gt;"")*(B_Drainage!$A$5:$A$204&lt;=$B525)*(B_Drainage!$B$5:$B$204&gt;$B525)*(B_Drainage!$K$5:$K$204&lt;&gt;"")),IF(B_Drainage!$K$5:$K$204="-","",B_Drainage!$K$5:$K$204)),"")</f>
        <v/>
      </c>
      <c r="AC525" s="182" t="str">
        <f>IFERROR(LOOKUP(2,1/((B_Drainage!$A$5:$A$204&lt;&gt;"")*(B_Drainage!$A$5:$A$204&lt;=$B525)*(B_Drainage!$B$5:$B$204&gt;$B525)*(B_Drainage!$L$5:$L$204&lt;&gt;"")),IF(B_Drainage!$L$5:$L$204="-","",B_Drainage!$L$5:$L$204)),"")</f>
        <v/>
      </c>
      <c r="AD525" s="182" t="str">
        <f>IFERROR(LOOKUP(2,1/((D_Points!$A$5:$A$204&lt;&gt;"")*(D_Points!$A$5:$A$204&gt;=$B525)*(D_Points!$A$5:$A$204&lt;$B525+P_Interval)*(UPPER(TRIM(D_Points!$B$5:$B$204))="TURNOUT_L")*(D_Points!$H$5:$H$204&lt;&gt;"")),D_Points!$H$5:$H$204),"")</f>
        <v/>
      </c>
      <c r="AE525" s="182" t="str">
        <f>IFERROR(LOOKUP(2,1/((D_Points!$A$5:$A$204&lt;&gt;"")*(D_Points!$A$5:$A$204&gt;=$B525)*(D_Points!$A$5:$A$204&lt;$B525+P_Interval)*(UPPER(TRIM(D_Points!$B$5:$B$204))="TURNOUT_R")*(D_Points!$H$5:$H$204&lt;&gt;"")),D_Points!$H$5:$H$204),"")</f>
        <v/>
      </c>
      <c r="AF525" s="181" t="str">
        <f>IFERROR(LOOKUP(2,1/((B_Drainage!$A$5:$A$204&lt;&gt;"")*(B_Drainage!$A$5:$A$204&lt;=$B525)*(B_Drainage!$B$5:$B$204&gt;$B525)*(B_Drainage!$M$5:$M$204&lt;&gt;"")),IF(UPPER(B_Drainage!$M$5:$M$204)="Y",1,"")),"")</f>
        <v/>
      </c>
      <c r="AG525" s="181" t="str">
        <f>IFERROR(LOOKUP(2,1/((B_Drainage!$A$5:$A$204&lt;&gt;"")*(B_Drainage!$A$5:$A$204&lt;=$B525)*(B_Drainage!$B$5:$B$204&gt;$B525)*(B_Drainage!$N$5:$N$204&lt;&gt;"")),IF(UPPER(B_Drainage!$N$5:$N$204)="Y",1,"")),"")</f>
        <v/>
      </c>
      <c r="AH525" s="181" t="str">
        <f t="shared" si="64"/>
        <v/>
      </c>
      <c r="AI525" s="181" t="str">
        <f t="shared" si="65"/>
        <v/>
      </c>
      <c r="AJ525" s="181" t="str">
        <f t="shared" si="66"/>
        <v/>
      </c>
      <c r="AK525" s="181" t="str">
        <f t="shared" si="67"/>
        <v/>
      </c>
      <c r="AL525" s="181" t="str">
        <f t="shared" si="68"/>
        <v/>
      </c>
      <c r="AM525" s="181" t="str">
        <f t="shared" si="69"/>
        <v/>
      </c>
      <c r="AN525" s="181" t="str">
        <f t="shared" si="70"/>
        <v/>
      </c>
      <c r="AO525" s="192" t="str">
        <f t="shared" si="71"/>
        <v/>
      </c>
      <c r="AQ525" t="str">
        <f>IFERROR(LOOKUP(2,1/((C_Pavement!$A$5:$A$204&lt;&gt;"")*(C_Pavement!$A$5:$A$204&lt;=$B525)*(C_Pavement!$B$5:$B$204&gt;$B525)*(C_Pavement!$C$5:$C$204&lt;&gt;"")),ROW(C_Pavement!$C$5:$C$204)-4),"")</f>
        <v/>
      </c>
      <c r="AR525" t="str">
        <f>IF($AQ525="","",UPPER(TRIM(INDEX(C_Pavement!$C$5:$C$204,$AQ525))))</f>
        <v/>
      </c>
      <c r="AS525" t="str">
        <f>IF($AR525="","",IFERROR(MATCH($AR525,E_Rules!$A$5:$A$9,0),""))</f>
        <v/>
      </c>
      <c r="AT525" t="str">
        <f>IF($AQ525="","",IF(INDEX(C_Pavement!$D$5:$D$204,$AQ525)&lt;&gt;"",UPPER(TRIM(INDEX(C_Pavement!$D$5:$D$204,$AQ525))),IF($AS525="","",INDEX(E_Rules!$C$5:$C$9,$AS525))))</f>
        <v/>
      </c>
      <c r="AU525" t="str">
        <f>IF($AQ525="","",IF(INDEX(C_Pavement!$E$5:$E$204,$AQ525)&lt;&gt;"",IF(INDEX(C_Pavement!$E$5:$E$204,$AQ525)="-","",INDEX(C_Pavement!$E$5:$E$204,$AQ525)),IF($AS525="","",INDEX(E_Rules!$D$5:$D$9,$AS525))))</f>
        <v/>
      </c>
      <c r="AV525" t="str">
        <f>IF($AQ525="","",IF(INDEX(C_Pavement!$F$5:$F$204,$AQ525)&lt;&gt;"",IF(INDEX(C_Pavement!$F$5:$F$204,$AQ525)="-","",INDEX(C_Pavement!$F$5:$F$204,$AQ525)),IF($AS525="","",INDEX(E_Rules!$E$5:$E$9,$AS525))))</f>
        <v/>
      </c>
      <c r="AW525" t="str">
        <f>IF($AQ525="","",IF(INDEX(C_Pavement!$G$5:$G$204,$AQ525)&lt;&gt;"",IF(INDEX(C_Pavement!$G$5:$G$204,$AQ525)="-","",INDEX(C_Pavement!$G$5:$G$204,$AQ525)),IF($AS525="","",INDEX(E_Rules!$F$5:$F$9,$AS525))))</f>
        <v/>
      </c>
      <c r="AX525" t="str">
        <f>IF($AQ525="","",IF(INDEX(C_Pavement!$H$5:$H$204,$AQ525)&lt;&gt;"",IF(INDEX(C_Pavement!$H$5:$H$204,$AQ525)="-","",INDEX(C_Pavement!$H$5:$H$204,$AQ525)),IF($AS525="","",INDEX(E_Rules!$G$5:$G$9,$AS525))))</f>
        <v/>
      </c>
      <c r="AY525" t="str">
        <f>IF($AQ525="","",IF(INDEX(C_Pavement!$I$5:$I$204,$AQ525)&lt;&gt;"",IF(INDEX(C_Pavement!$I$5:$I$204,$AQ525)="-","",INDEX(C_Pavement!$I$5:$I$204,$AQ525)),IF($AS525="","",INDEX(E_Rules!$H$5:$H$9,$AS525))))</f>
        <v/>
      </c>
    </row>
    <row r="526" spans="1:51" ht="15.75" customHeight="1" x14ac:dyDescent="0.3">
      <c r="A526" s="189">
        <v>521</v>
      </c>
      <c r="B526" s="180">
        <v>26000</v>
      </c>
      <c r="C526" s="180" t="s">
        <v>832</v>
      </c>
      <c r="D526" s="181" t="str">
        <f>IFERROR(LOOKUP(2,1/((A_Corridor!$A$5:$A$204&lt;&gt;"")*(A_Corridor!$A$5:$A$204&lt;=$B526)*(A_Corridor!$B$5:$B$204&gt;$B526)*(A_Corridor!$C$5:$C$204&lt;&gt;"")),IF(UPPER(A_Corridor!$C$5:$C$204)="Y",1,"")),"")</f>
        <v/>
      </c>
      <c r="E526" s="181" t="str">
        <f>IFERROR(LOOKUP(2,1/((A_Corridor!$A$5:$A$204&lt;&gt;"")*(A_Corridor!$A$5:$A$204&lt;=$B526)*(A_Corridor!$B$5:$B$204&gt;$B526)*(A_Corridor!$D$5:$D$204&lt;&gt;"")),IF(A_Corridor!$D$5:$D$204="-","",UPPER(A_Corridor!$D$5:$D$204))),"")</f>
        <v/>
      </c>
      <c r="F526" s="181" t="str">
        <f>IFERROR(LOOKUP(2,1/((A_Corridor!$A$5:$A$204&lt;&gt;"")*(A_Corridor!$A$5:$A$204&lt;=$B526)*(A_Corridor!$B$5:$B$204&gt;$B526)*(A_Corridor!$E$5:$E$204&lt;&gt;"")),IF(A_Corridor!$E$5:$E$204="-","",1)),"")</f>
        <v/>
      </c>
      <c r="G526" s="182" t="str">
        <f>IFERROR(LOOKUP(2,1/((A_Corridor!$A$5:$A$204&lt;&gt;"")*(A_Corridor!$A$5:$A$204&lt;=$B526)*(A_Corridor!$B$5:$B$204&gt;$B526)*(A_Corridor!$E$5:$E$204&lt;&gt;"")),IF(A_Corridor!$E$5:$E$204="-","",A_Corridor!$E$5:$E$204)),"")</f>
        <v/>
      </c>
      <c r="H526" s="182" t="str">
        <f>IFERROR(LOOKUP(2,1/((D_Points!$A$5:$A$204&lt;&gt;"")*(D_Points!$A$5:$A$204&gt;=$B526)*(D_Points!$A$5:$A$204&lt;$B526+P_Interval)*(UPPER(TRIM(D_Points!$B$5:$B$204))="GULLY")*(D_Points!$H$5:$H$204&lt;&gt;"")),D_Points!$H$5:$H$204),"")</f>
        <v/>
      </c>
      <c r="I526" s="181" t="str">
        <f>IFERROR(LOOKUP(2,1/((A_Corridor!$A$5:$A$204&lt;&gt;"")*(A_Corridor!$A$5:$A$204&lt;=$B526)*(A_Corridor!$B$5:$B$204&gt;$B526)*(A_Corridor!$F$5:$F$204&lt;&gt;"")),IF(A_Corridor!$F$5:$F$204="-","",1)),"")</f>
        <v/>
      </c>
      <c r="J526" s="182" t="str">
        <f>IFERROR(LOOKUP(2,1/((A_Corridor!$A$5:$A$204&lt;&gt;"")*(A_Corridor!$A$5:$A$204&lt;=$B526)*(A_Corridor!$B$5:$B$204&gt;$B526)*(A_Corridor!$F$5:$F$204&lt;&gt;"")),IF(A_Corridor!$F$5:$F$204="-","",A_Corridor!$F$5:$F$204)),"")</f>
        <v/>
      </c>
      <c r="K526" s="182" t="str">
        <f>IFERROR(LOOKUP(2,1/((A_Corridor!$A$5:$A$204&lt;&gt;"")*(A_Corridor!$A$5:$A$204&lt;=$B526)*(A_Corridor!$B$5:$B$204&gt;$B526)*(A_Corridor!$G$5:$G$204&lt;&gt;"")),IF(A_Corridor!$G$5:$G$204="-","",A_Corridor!$G$5:$G$204)),"")</f>
        <v/>
      </c>
      <c r="L526" s="181" t="str">
        <f>IFERROR(LOOKUP(2,1/((A_Corridor!$A$5:$A$204&lt;&gt;"")*(A_Corridor!$A$5:$A$204&lt;=$B526)*(A_Corridor!$B$5:$B$204&gt;$B526)*(A_Corridor!$H$5:$H$204&lt;&gt;"")),IF(A_Corridor!$H$5:$H$204="-","",1)),"")</f>
        <v/>
      </c>
      <c r="M526" s="182" t="str">
        <f>IFERROR(LOOKUP(2,1/((A_Corridor!$A$5:$A$204&lt;&gt;"")*(A_Corridor!$A$5:$A$204&lt;=$B526)*(A_Corridor!$B$5:$B$204&gt;$B526)*(A_Corridor!$H$5:$H$204&lt;&gt;"")),IF(A_Corridor!$H$5:$H$204="-","",A_Corridor!$H$5:$H$204)),"")</f>
        <v/>
      </c>
      <c r="N526" s="182" t="str">
        <f>IFERROR(LOOKUP(2,1/((A_Corridor!$A$5:$A$204&lt;&gt;"")*(A_Corridor!$A$5:$A$204&lt;=$B526)*(A_Corridor!$B$5:$B$204&gt;$B526)*(A_Corridor!$I$5:$I$204&lt;&gt;"")),IF(A_Corridor!$I$5:$I$204="-","",A_Corridor!$I$5:$I$204)),"")</f>
        <v/>
      </c>
      <c r="O526" s="182" t="str">
        <f>IFERROR(LOOKUP(2,1/((D_Points!$A$5:$A$204&lt;&gt;"")*(D_Points!$A$5:$A$204&gt;=$B526)*(D_Points!$A$5:$A$204&lt;$B526+P_Interval)*(UPPER(TRIM(D_Points!$B$5:$B$204))="PITCHING")*(D_Points!$H$5:$H$204&lt;&gt;"")),D_Points!$H$5:$H$204),"")</f>
        <v/>
      </c>
      <c r="P526" s="181" t="str">
        <f>IFERROR(LOOKUP(2,1/((B_Drainage!$A$5:$A$204&lt;&gt;"")*(B_Drainage!$A$5:$A$204&lt;=$B526)*(B_Drainage!$B$5:$B$204&gt;$B526)*(B_Drainage!$C$5:$C$204&lt;&gt;"")),IF(B_Drainage!$C$5:$C$204="-","",UPPER(B_Drainage!$C$5:$C$204))),"")</f>
        <v/>
      </c>
      <c r="Q526" s="181" t="str">
        <f>IFERROR(LOOKUP(2,1/((B_Drainage!$A$5:$A$204&lt;&gt;"")*(B_Drainage!$A$5:$A$204&lt;=$B526)*(B_Drainage!$B$5:$B$204&gt;$B526)*(B_Drainage!$D$5:$D$204&lt;&gt;"")),IF(B_Drainage!$D$5:$D$204="-","",UPPER(B_Drainage!$D$5:$D$204))),"")</f>
        <v/>
      </c>
      <c r="R526" s="182" t="str">
        <f>IFERROR(LOOKUP(2,1/((D_Points!$A$5:$A$204&lt;&gt;"")*(D_Points!$A$5:$A$204&gt;=$B526)*(D_Points!$A$5:$A$204&lt;$B526+P_Interval)*(RIGHT(UPPER(TRIM(D_Points!$B$5:$B$204)),8)="_CULVERT")),IF(LEFT(UPPER(TRIM(D_Points!$B$5:$B$204)),2)="EX",1,IF(LEFT(UPPER(TRIM(D_Points!$B$5:$B$204)),2)="PR",2,3))),"")</f>
        <v/>
      </c>
      <c r="S526" s="182" t="str">
        <f>IFERROR(LOOKUP(2,1/((D_Points!$A$5:$A$204&lt;&gt;"")*(D_Points!$A$5:$A$204&gt;=$B526)*(D_Points!$A$5:$A$204&lt;$B526+P_Interval)*(RIGHT(UPPER(TRIM(D_Points!$B$5:$B$204)),7)="_BRIDGE")),IF(LEFT(UPPER(TRIM(D_Points!$B$5:$B$204)),2)="EX",1,IF(LEFT(UPPER(TRIM(D_Points!$B$5:$B$204)),2)="PR",2,2))),"")</f>
        <v/>
      </c>
      <c r="T526" s="181" t="str">
        <f>IFERROR(LOOKUP(2,1/((B_Drainage!$A$5:$A$204&lt;&gt;"")*(B_Drainage!$A$5:$A$204&lt;=$B526)*(B_Drainage!$B$5:$B$204&gt;$B526)*(B_Drainage!$E$5:$E$204&lt;&gt;"")),IF(B_Drainage!$E$5:$E$204="-","",1)),"")</f>
        <v/>
      </c>
      <c r="U526" s="181" t="str">
        <f>IFERROR(LOOKUP(2,1/((B_Drainage!$A$5:$A$204&lt;&gt;"")*(B_Drainage!$A$5:$A$204&lt;=$B526)*(B_Drainage!$B$5:$B$204&gt;$B526)*(B_Drainage!$E$5:$E$204&lt;&gt;"")),IF(B_Drainage!$E$5:$E$204="-","",B_Drainage!$E$5:$E$204)),"")</f>
        <v/>
      </c>
      <c r="V526" s="181" t="str">
        <f>IFERROR(LOOKUP(2,1/((B_Drainage!$A$5:$A$204&lt;&gt;"")*(B_Drainage!$A$5:$A$204&lt;=$B526)*(B_Drainage!$B$5:$B$204&gt;$B526)*(B_Drainage!$F$5:$F$204&lt;&gt;"")),IF(B_Drainage!$F$5:$F$204="-","",1)),"")</f>
        <v/>
      </c>
      <c r="W526" s="181" t="str">
        <f>IFERROR(LOOKUP(2,1/((B_Drainage!$A$5:$A$204&lt;&gt;"")*(B_Drainage!$A$5:$A$204&lt;=$B526)*(B_Drainage!$B$5:$B$204&gt;$B526)*(B_Drainage!$F$5:$F$204&lt;&gt;"")),IF(B_Drainage!$F$5:$F$204="-","",B_Drainage!$F$5:$F$204)),"")</f>
        <v/>
      </c>
      <c r="X526" s="181" t="str">
        <f>IFERROR(LOOKUP(2,1/((B_Drainage!$A$5:$A$204&lt;&gt;"")*(B_Drainage!$A$5:$A$204&lt;=$B526)*(B_Drainage!$B$5:$B$204&gt;$B526)*(B_Drainage!$G$5:$G$204&lt;&gt;"")),IF(UPPER(B_Drainage!$G$5:$G$204)="Y",1,"")),"")</f>
        <v/>
      </c>
      <c r="Y526" s="181" t="str">
        <f>IFERROR(LOOKUP(2,1/((B_Drainage!$A$5:$A$204&lt;&gt;"")*(B_Drainage!$A$5:$A$204&lt;=$B526)*(B_Drainage!$B$5:$B$204&gt;$B526)*(B_Drainage!$H$5:$H$204&lt;&gt;"")),IF(UPPER(B_Drainage!$H$5:$H$204)="Y",1,"")),"")</f>
        <v/>
      </c>
      <c r="Z526" s="181" t="str">
        <f>IFERROR(LOOKUP(2,1/((B_Drainage!$A$5:$A$204&lt;&gt;"")*(B_Drainage!$A$5:$A$204&lt;=$B526)*(B_Drainage!$B$5:$B$204&gt;$B526)*(B_Drainage!$I$5:$I$204&lt;&gt;"")),IF(UPPER(B_Drainage!$I$5:$I$204)="Y",1,"")),"")</f>
        <v/>
      </c>
      <c r="AA526" s="181" t="str">
        <f>IFERROR(LOOKUP(2,1/((B_Drainage!$A$5:$A$204&lt;&gt;"")*(B_Drainage!$A$5:$A$204&lt;=$B526)*(B_Drainage!$B$5:$B$204&gt;$B526)*(B_Drainage!$J$5:$J$204&lt;&gt;"")),IF(UPPER(B_Drainage!$J$5:$J$204)="Y",1,"")),"")</f>
        <v/>
      </c>
      <c r="AB526" s="182" t="str">
        <f>IFERROR(LOOKUP(2,1/((B_Drainage!$A$5:$A$204&lt;&gt;"")*(B_Drainage!$A$5:$A$204&lt;=$B526)*(B_Drainage!$B$5:$B$204&gt;$B526)*(B_Drainage!$K$5:$K$204&lt;&gt;"")),IF(B_Drainage!$K$5:$K$204="-","",B_Drainage!$K$5:$K$204)),"")</f>
        <v/>
      </c>
      <c r="AC526" s="182" t="str">
        <f>IFERROR(LOOKUP(2,1/((B_Drainage!$A$5:$A$204&lt;&gt;"")*(B_Drainage!$A$5:$A$204&lt;=$B526)*(B_Drainage!$B$5:$B$204&gt;$B526)*(B_Drainage!$L$5:$L$204&lt;&gt;"")),IF(B_Drainage!$L$5:$L$204="-","",B_Drainage!$L$5:$L$204)),"")</f>
        <v/>
      </c>
      <c r="AD526" s="182" t="str">
        <f>IFERROR(LOOKUP(2,1/((D_Points!$A$5:$A$204&lt;&gt;"")*(D_Points!$A$5:$A$204&gt;=$B526)*(D_Points!$A$5:$A$204&lt;$B526+P_Interval)*(UPPER(TRIM(D_Points!$B$5:$B$204))="TURNOUT_L")*(D_Points!$H$5:$H$204&lt;&gt;"")),D_Points!$H$5:$H$204),"")</f>
        <v/>
      </c>
      <c r="AE526" s="182" t="str">
        <f>IFERROR(LOOKUP(2,1/((D_Points!$A$5:$A$204&lt;&gt;"")*(D_Points!$A$5:$A$204&gt;=$B526)*(D_Points!$A$5:$A$204&lt;$B526+P_Interval)*(UPPER(TRIM(D_Points!$B$5:$B$204))="TURNOUT_R")*(D_Points!$H$5:$H$204&lt;&gt;"")),D_Points!$H$5:$H$204),"")</f>
        <v/>
      </c>
      <c r="AF526" s="181" t="str">
        <f>IFERROR(LOOKUP(2,1/((B_Drainage!$A$5:$A$204&lt;&gt;"")*(B_Drainage!$A$5:$A$204&lt;=$B526)*(B_Drainage!$B$5:$B$204&gt;$B526)*(B_Drainage!$M$5:$M$204&lt;&gt;"")),IF(UPPER(B_Drainage!$M$5:$M$204)="Y",1,"")),"")</f>
        <v/>
      </c>
      <c r="AG526" s="181" t="str">
        <f>IFERROR(LOOKUP(2,1/((B_Drainage!$A$5:$A$204&lt;&gt;"")*(B_Drainage!$A$5:$A$204&lt;=$B526)*(B_Drainage!$B$5:$B$204&gt;$B526)*(B_Drainage!$N$5:$N$204&lt;&gt;"")),IF(UPPER(B_Drainage!$N$5:$N$204)="Y",1,"")),"")</f>
        <v/>
      </c>
      <c r="AH526" s="181" t="str">
        <f t="shared" si="64"/>
        <v/>
      </c>
      <c r="AI526" s="181" t="str">
        <f t="shared" si="65"/>
        <v/>
      </c>
      <c r="AJ526" s="181" t="str">
        <f t="shared" si="66"/>
        <v/>
      </c>
      <c r="AK526" s="181" t="str">
        <f t="shared" si="67"/>
        <v/>
      </c>
      <c r="AL526" s="181" t="str">
        <f t="shared" si="68"/>
        <v/>
      </c>
      <c r="AM526" s="181" t="str">
        <f t="shared" si="69"/>
        <v/>
      </c>
      <c r="AN526" s="181" t="str">
        <f t="shared" si="70"/>
        <v/>
      </c>
      <c r="AO526" s="192" t="str">
        <f t="shared" si="71"/>
        <v/>
      </c>
      <c r="AQ526" t="str">
        <f>IFERROR(LOOKUP(2,1/((C_Pavement!$A$5:$A$204&lt;&gt;"")*(C_Pavement!$A$5:$A$204&lt;=$B526)*(C_Pavement!$B$5:$B$204&gt;$B526)*(C_Pavement!$C$5:$C$204&lt;&gt;"")),ROW(C_Pavement!$C$5:$C$204)-4),"")</f>
        <v/>
      </c>
      <c r="AR526" t="str">
        <f>IF($AQ526="","",UPPER(TRIM(INDEX(C_Pavement!$C$5:$C$204,$AQ526))))</f>
        <v/>
      </c>
      <c r="AS526" t="str">
        <f>IF($AR526="","",IFERROR(MATCH($AR526,E_Rules!$A$5:$A$9,0),""))</f>
        <v/>
      </c>
      <c r="AT526" t="str">
        <f>IF($AQ526="","",IF(INDEX(C_Pavement!$D$5:$D$204,$AQ526)&lt;&gt;"",UPPER(TRIM(INDEX(C_Pavement!$D$5:$D$204,$AQ526))),IF($AS526="","",INDEX(E_Rules!$C$5:$C$9,$AS526))))</f>
        <v/>
      </c>
      <c r="AU526" t="str">
        <f>IF($AQ526="","",IF(INDEX(C_Pavement!$E$5:$E$204,$AQ526)&lt;&gt;"",IF(INDEX(C_Pavement!$E$5:$E$204,$AQ526)="-","",INDEX(C_Pavement!$E$5:$E$204,$AQ526)),IF($AS526="","",INDEX(E_Rules!$D$5:$D$9,$AS526))))</f>
        <v/>
      </c>
      <c r="AV526" t="str">
        <f>IF($AQ526="","",IF(INDEX(C_Pavement!$F$5:$F$204,$AQ526)&lt;&gt;"",IF(INDEX(C_Pavement!$F$5:$F$204,$AQ526)="-","",INDEX(C_Pavement!$F$5:$F$204,$AQ526)),IF($AS526="","",INDEX(E_Rules!$E$5:$E$9,$AS526))))</f>
        <v/>
      </c>
      <c r="AW526" t="str">
        <f>IF($AQ526="","",IF(INDEX(C_Pavement!$G$5:$G$204,$AQ526)&lt;&gt;"",IF(INDEX(C_Pavement!$G$5:$G$204,$AQ526)="-","",INDEX(C_Pavement!$G$5:$G$204,$AQ526)),IF($AS526="","",INDEX(E_Rules!$F$5:$F$9,$AS526))))</f>
        <v/>
      </c>
      <c r="AX526" t="str">
        <f>IF($AQ526="","",IF(INDEX(C_Pavement!$H$5:$H$204,$AQ526)&lt;&gt;"",IF(INDEX(C_Pavement!$H$5:$H$204,$AQ526)="-","",INDEX(C_Pavement!$H$5:$H$204,$AQ526)),IF($AS526="","",INDEX(E_Rules!$G$5:$G$9,$AS526))))</f>
        <v/>
      </c>
      <c r="AY526" t="str">
        <f>IF($AQ526="","",IF(INDEX(C_Pavement!$I$5:$I$204,$AQ526)&lt;&gt;"",IF(INDEX(C_Pavement!$I$5:$I$204,$AQ526)="-","",INDEX(C_Pavement!$I$5:$I$204,$AQ526)),IF($AS526="","",INDEX(E_Rules!$H$5:$H$9,$AS526))))</f>
        <v/>
      </c>
    </row>
    <row r="527" spans="1:51" ht="15.75" customHeight="1" x14ac:dyDescent="0.3">
      <c r="A527" s="189">
        <v>522</v>
      </c>
      <c r="B527" s="180">
        <v>26050</v>
      </c>
      <c r="C527" s="180" t="s">
        <v>833</v>
      </c>
      <c r="D527" s="181" t="str">
        <f>IFERROR(LOOKUP(2,1/((A_Corridor!$A$5:$A$204&lt;&gt;"")*(A_Corridor!$A$5:$A$204&lt;=$B527)*(A_Corridor!$B$5:$B$204&gt;$B527)*(A_Corridor!$C$5:$C$204&lt;&gt;"")),IF(UPPER(A_Corridor!$C$5:$C$204)="Y",1,"")),"")</f>
        <v/>
      </c>
      <c r="E527" s="181" t="str">
        <f>IFERROR(LOOKUP(2,1/((A_Corridor!$A$5:$A$204&lt;&gt;"")*(A_Corridor!$A$5:$A$204&lt;=$B527)*(A_Corridor!$B$5:$B$204&gt;$B527)*(A_Corridor!$D$5:$D$204&lt;&gt;"")),IF(A_Corridor!$D$5:$D$204="-","",UPPER(A_Corridor!$D$5:$D$204))),"")</f>
        <v/>
      </c>
      <c r="F527" s="181" t="str">
        <f>IFERROR(LOOKUP(2,1/((A_Corridor!$A$5:$A$204&lt;&gt;"")*(A_Corridor!$A$5:$A$204&lt;=$B527)*(A_Corridor!$B$5:$B$204&gt;$B527)*(A_Corridor!$E$5:$E$204&lt;&gt;"")),IF(A_Corridor!$E$5:$E$204="-","",1)),"")</f>
        <v/>
      </c>
      <c r="G527" s="182" t="str">
        <f>IFERROR(LOOKUP(2,1/((A_Corridor!$A$5:$A$204&lt;&gt;"")*(A_Corridor!$A$5:$A$204&lt;=$B527)*(A_Corridor!$B$5:$B$204&gt;$B527)*(A_Corridor!$E$5:$E$204&lt;&gt;"")),IF(A_Corridor!$E$5:$E$204="-","",A_Corridor!$E$5:$E$204)),"")</f>
        <v/>
      </c>
      <c r="H527" s="182" t="str">
        <f>IFERROR(LOOKUP(2,1/((D_Points!$A$5:$A$204&lt;&gt;"")*(D_Points!$A$5:$A$204&gt;=$B527)*(D_Points!$A$5:$A$204&lt;$B527+P_Interval)*(UPPER(TRIM(D_Points!$B$5:$B$204))="GULLY")*(D_Points!$H$5:$H$204&lt;&gt;"")),D_Points!$H$5:$H$204),"")</f>
        <v/>
      </c>
      <c r="I527" s="181" t="str">
        <f>IFERROR(LOOKUP(2,1/((A_Corridor!$A$5:$A$204&lt;&gt;"")*(A_Corridor!$A$5:$A$204&lt;=$B527)*(A_Corridor!$B$5:$B$204&gt;$B527)*(A_Corridor!$F$5:$F$204&lt;&gt;"")),IF(A_Corridor!$F$5:$F$204="-","",1)),"")</f>
        <v/>
      </c>
      <c r="J527" s="182" t="str">
        <f>IFERROR(LOOKUP(2,1/((A_Corridor!$A$5:$A$204&lt;&gt;"")*(A_Corridor!$A$5:$A$204&lt;=$B527)*(A_Corridor!$B$5:$B$204&gt;$B527)*(A_Corridor!$F$5:$F$204&lt;&gt;"")),IF(A_Corridor!$F$5:$F$204="-","",A_Corridor!$F$5:$F$204)),"")</f>
        <v/>
      </c>
      <c r="K527" s="182" t="str">
        <f>IFERROR(LOOKUP(2,1/((A_Corridor!$A$5:$A$204&lt;&gt;"")*(A_Corridor!$A$5:$A$204&lt;=$B527)*(A_Corridor!$B$5:$B$204&gt;$B527)*(A_Corridor!$G$5:$G$204&lt;&gt;"")),IF(A_Corridor!$G$5:$G$204="-","",A_Corridor!$G$5:$G$204)),"")</f>
        <v/>
      </c>
      <c r="L527" s="181" t="str">
        <f>IFERROR(LOOKUP(2,1/((A_Corridor!$A$5:$A$204&lt;&gt;"")*(A_Corridor!$A$5:$A$204&lt;=$B527)*(A_Corridor!$B$5:$B$204&gt;$B527)*(A_Corridor!$H$5:$H$204&lt;&gt;"")),IF(A_Corridor!$H$5:$H$204="-","",1)),"")</f>
        <v/>
      </c>
      <c r="M527" s="182" t="str">
        <f>IFERROR(LOOKUP(2,1/((A_Corridor!$A$5:$A$204&lt;&gt;"")*(A_Corridor!$A$5:$A$204&lt;=$B527)*(A_Corridor!$B$5:$B$204&gt;$B527)*(A_Corridor!$H$5:$H$204&lt;&gt;"")),IF(A_Corridor!$H$5:$H$204="-","",A_Corridor!$H$5:$H$204)),"")</f>
        <v/>
      </c>
      <c r="N527" s="182" t="str">
        <f>IFERROR(LOOKUP(2,1/((A_Corridor!$A$5:$A$204&lt;&gt;"")*(A_Corridor!$A$5:$A$204&lt;=$B527)*(A_Corridor!$B$5:$B$204&gt;$B527)*(A_Corridor!$I$5:$I$204&lt;&gt;"")),IF(A_Corridor!$I$5:$I$204="-","",A_Corridor!$I$5:$I$204)),"")</f>
        <v/>
      </c>
      <c r="O527" s="182" t="str">
        <f>IFERROR(LOOKUP(2,1/((D_Points!$A$5:$A$204&lt;&gt;"")*(D_Points!$A$5:$A$204&gt;=$B527)*(D_Points!$A$5:$A$204&lt;$B527+P_Interval)*(UPPER(TRIM(D_Points!$B$5:$B$204))="PITCHING")*(D_Points!$H$5:$H$204&lt;&gt;"")),D_Points!$H$5:$H$204),"")</f>
        <v/>
      </c>
      <c r="P527" s="181" t="str">
        <f>IFERROR(LOOKUP(2,1/((B_Drainage!$A$5:$A$204&lt;&gt;"")*(B_Drainage!$A$5:$A$204&lt;=$B527)*(B_Drainage!$B$5:$B$204&gt;$B527)*(B_Drainage!$C$5:$C$204&lt;&gt;"")),IF(B_Drainage!$C$5:$C$204="-","",UPPER(B_Drainage!$C$5:$C$204))),"")</f>
        <v/>
      </c>
      <c r="Q527" s="181" t="str">
        <f>IFERROR(LOOKUP(2,1/((B_Drainage!$A$5:$A$204&lt;&gt;"")*(B_Drainage!$A$5:$A$204&lt;=$B527)*(B_Drainage!$B$5:$B$204&gt;$B527)*(B_Drainage!$D$5:$D$204&lt;&gt;"")),IF(B_Drainage!$D$5:$D$204="-","",UPPER(B_Drainage!$D$5:$D$204))),"")</f>
        <v/>
      </c>
      <c r="R527" s="182" t="str">
        <f>IFERROR(LOOKUP(2,1/((D_Points!$A$5:$A$204&lt;&gt;"")*(D_Points!$A$5:$A$204&gt;=$B527)*(D_Points!$A$5:$A$204&lt;$B527+P_Interval)*(RIGHT(UPPER(TRIM(D_Points!$B$5:$B$204)),8)="_CULVERT")),IF(LEFT(UPPER(TRIM(D_Points!$B$5:$B$204)),2)="EX",1,IF(LEFT(UPPER(TRIM(D_Points!$B$5:$B$204)),2)="PR",2,3))),"")</f>
        <v/>
      </c>
      <c r="S527" s="182" t="str">
        <f>IFERROR(LOOKUP(2,1/((D_Points!$A$5:$A$204&lt;&gt;"")*(D_Points!$A$5:$A$204&gt;=$B527)*(D_Points!$A$5:$A$204&lt;$B527+P_Interval)*(RIGHT(UPPER(TRIM(D_Points!$B$5:$B$204)),7)="_BRIDGE")),IF(LEFT(UPPER(TRIM(D_Points!$B$5:$B$204)),2)="EX",1,IF(LEFT(UPPER(TRIM(D_Points!$B$5:$B$204)),2)="PR",2,2))),"")</f>
        <v/>
      </c>
      <c r="T527" s="181" t="str">
        <f>IFERROR(LOOKUP(2,1/((B_Drainage!$A$5:$A$204&lt;&gt;"")*(B_Drainage!$A$5:$A$204&lt;=$B527)*(B_Drainage!$B$5:$B$204&gt;$B527)*(B_Drainage!$E$5:$E$204&lt;&gt;"")),IF(B_Drainage!$E$5:$E$204="-","",1)),"")</f>
        <v/>
      </c>
      <c r="U527" s="181" t="str">
        <f>IFERROR(LOOKUP(2,1/((B_Drainage!$A$5:$A$204&lt;&gt;"")*(B_Drainage!$A$5:$A$204&lt;=$B527)*(B_Drainage!$B$5:$B$204&gt;$B527)*(B_Drainage!$E$5:$E$204&lt;&gt;"")),IF(B_Drainage!$E$5:$E$204="-","",B_Drainage!$E$5:$E$204)),"")</f>
        <v/>
      </c>
      <c r="V527" s="181" t="str">
        <f>IFERROR(LOOKUP(2,1/((B_Drainage!$A$5:$A$204&lt;&gt;"")*(B_Drainage!$A$5:$A$204&lt;=$B527)*(B_Drainage!$B$5:$B$204&gt;$B527)*(B_Drainage!$F$5:$F$204&lt;&gt;"")),IF(B_Drainage!$F$5:$F$204="-","",1)),"")</f>
        <v/>
      </c>
      <c r="W527" s="181" t="str">
        <f>IFERROR(LOOKUP(2,1/((B_Drainage!$A$5:$A$204&lt;&gt;"")*(B_Drainage!$A$5:$A$204&lt;=$B527)*(B_Drainage!$B$5:$B$204&gt;$B527)*(B_Drainage!$F$5:$F$204&lt;&gt;"")),IF(B_Drainage!$F$5:$F$204="-","",B_Drainage!$F$5:$F$204)),"")</f>
        <v/>
      </c>
      <c r="X527" s="181" t="str">
        <f>IFERROR(LOOKUP(2,1/((B_Drainage!$A$5:$A$204&lt;&gt;"")*(B_Drainage!$A$5:$A$204&lt;=$B527)*(B_Drainage!$B$5:$B$204&gt;$B527)*(B_Drainage!$G$5:$G$204&lt;&gt;"")),IF(UPPER(B_Drainage!$G$5:$G$204)="Y",1,"")),"")</f>
        <v/>
      </c>
      <c r="Y527" s="181" t="str">
        <f>IFERROR(LOOKUP(2,1/((B_Drainage!$A$5:$A$204&lt;&gt;"")*(B_Drainage!$A$5:$A$204&lt;=$B527)*(B_Drainage!$B$5:$B$204&gt;$B527)*(B_Drainage!$H$5:$H$204&lt;&gt;"")),IF(UPPER(B_Drainage!$H$5:$H$204)="Y",1,"")),"")</f>
        <v/>
      </c>
      <c r="Z527" s="181" t="str">
        <f>IFERROR(LOOKUP(2,1/((B_Drainage!$A$5:$A$204&lt;&gt;"")*(B_Drainage!$A$5:$A$204&lt;=$B527)*(B_Drainage!$B$5:$B$204&gt;$B527)*(B_Drainage!$I$5:$I$204&lt;&gt;"")),IF(UPPER(B_Drainage!$I$5:$I$204)="Y",1,"")),"")</f>
        <v/>
      </c>
      <c r="AA527" s="181" t="str">
        <f>IFERROR(LOOKUP(2,1/((B_Drainage!$A$5:$A$204&lt;&gt;"")*(B_Drainage!$A$5:$A$204&lt;=$B527)*(B_Drainage!$B$5:$B$204&gt;$B527)*(B_Drainage!$J$5:$J$204&lt;&gt;"")),IF(UPPER(B_Drainage!$J$5:$J$204)="Y",1,"")),"")</f>
        <v/>
      </c>
      <c r="AB527" s="182" t="str">
        <f>IFERROR(LOOKUP(2,1/((B_Drainage!$A$5:$A$204&lt;&gt;"")*(B_Drainage!$A$5:$A$204&lt;=$B527)*(B_Drainage!$B$5:$B$204&gt;$B527)*(B_Drainage!$K$5:$K$204&lt;&gt;"")),IF(B_Drainage!$K$5:$K$204="-","",B_Drainage!$K$5:$K$204)),"")</f>
        <v/>
      </c>
      <c r="AC527" s="182" t="str">
        <f>IFERROR(LOOKUP(2,1/((B_Drainage!$A$5:$A$204&lt;&gt;"")*(B_Drainage!$A$5:$A$204&lt;=$B527)*(B_Drainage!$B$5:$B$204&gt;$B527)*(B_Drainage!$L$5:$L$204&lt;&gt;"")),IF(B_Drainage!$L$5:$L$204="-","",B_Drainage!$L$5:$L$204)),"")</f>
        <v/>
      </c>
      <c r="AD527" s="182" t="str">
        <f>IFERROR(LOOKUP(2,1/((D_Points!$A$5:$A$204&lt;&gt;"")*(D_Points!$A$5:$A$204&gt;=$B527)*(D_Points!$A$5:$A$204&lt;$B527+P_Interval)*(UPPER(TRIM(D_Points!$B$5:$B$204))="TURNOUT_L")*(D_Points!$H$5:$H$204&lt;&gt;"")),D_Points!$H$5:$H$204),"")</f>
        <v/>
      </c>
      <c r="AE527" s="182" t="str">
        <f>IFERROR(LOOKUP(2,1/((D_Points!$A$5:$A$204&lt;&gt;"")*(D_Points!$A$5:$A$204&gt;=$B527)*(D_Points!$A$5:$A$204&lt;$B527+P_Interval)*(UPPER(TRIM(D_Points!$B$5:$B$204))="TURNOUT_R")*(D_Points!$H$5:$H$204&lt;&gt;"")),D_Points!$H$5:$H$204),"")</f>
        <v/>
      </c>
      <c r="AF527" s="181" t="str">
        <f>IFERROR(LOOKUP(2,1/((B_Drainage!$A$5:$A$204&lt;&gt;"")*(B_Drainage!$A$5:$A$204&lt;=$B527)*(B_Drainage!$B$5:$B$204&gt;$B527)*(B_Drainage!$M$5:$M$204&lt;&gt;"")),IF(UPPER(B_Drainage!$M$5:$M$204)="Y",1,"")),"")</f>
        <v/>
      </c>
      <c r="AG527" s="181" t="str">
        <f>IFERROR(LOOKUP(2,1/((B_Drainage!$A$5:$A$204&lt;&gt;"")*(B_Drainage!$A$5:$A$204&lt;=$B527)*(B_Drainage!$B$5:$B$204&gt;$B527)*(B_Drainage!$N$5:$N$204&lt;&gt;"")),IF(UPPER(B_Drainage!$N$5:$N$204)="Y",1,"")),"")</f>
        <v/>
      </c>
      <c r="AH527" s="181" t="str">
        <f t="shared" si="64"/>
        <v/>
      </c>
      <c r="AI527" s="181" t="str">
        <f t="shared" si="65"/>
        <v/>
      </c>
      <c r="AJ527" s="181" t="str">
        <f t="shared" si="66"/>
        <v/>
      </c>
      <c r="AK527" s="181" t="str">
        <f t="shared" si="67"/>
        <v/>
      </c>
      <c r="AL527" s="181" t="str">
        <f t="shared" si="68"/>
        <v/>
      </c>
      <c r="AM527" s="181" t="str">
        <f t="shared" si="69"/>
        <v/>
      </c>
      <c r="AN527" s="181" t="str">
        <f t="shared" si="70"/>
        <v/>
      </c>
      <c r="AO527" s="192" t="str">
        <f t="shared" si="71"/>
        <v/>
      </c>
      <c r="AQ527" t="str">
        <f>IFERROR(LOOKUP(2,1/((C_Pavement!$A$5:$A$204&lt;&gt;"")*(C_Pavement!$A$5:$A$204&lt;=$B527)*(C_Pavement!$B$5:$B$204&gt;$B527)*(C_Pavement!$C$5:$C$204&lt;&gt;"")),ROW(C_Pavement!$C$5:$C$204)-4),"")</f>
        <v/>
      </c>
      <c r="AR527" t="str">
        <f>IF($AQ527="","",UPPER(TRIM(INDEX(C_Pavement!$C$5:$C$204,$AQ527))))</f>
        <v/>
      </c>
      <c r="AS527" t="str">
        <f>IF($AR527="","",IFERROR(MATCH($AR527,E_Rules!$A$5:$A$9,0),""))</f>
        <v/>
      </c>
      <c r="AT527" t="str">
        <f>IF($AQ527="","",IF(INDEX(C_Pavement!$D$5:$D$204,$AQ527)&lt;&gt;"",UPPER(TRIM(INDEX(C_Pavement!$D$5:$D$204,$AQ527))),IF($AS527="","",INDEX(E_Rules!$C$5:$C$9,$AS527))))</f>
        <v/>
      </c>
      <c r="AU527" t="str">
        <f>IF($AQ527="","",IF(INDEX(C_Pavement!$E$5:$E$204,$AQ527)&lt;&gt;"",IF(INDEX(C_Pavement!$E$5:$E$204,$AQ527)="-","",INDEX(C_Pavement!$E$5:$E$204,$AQ527)),IF($AS527="","",INDEX(E_Rules!$D$5:$D$9,$AS527))))</f>
        <v/>
      </c>
      <c r="AV527" t="str">
        <f>IF($AQ527="","",IF(INDEX(C_Pavement!$F$5:$F$204,$AQ527)&lt;&gt;"",IF(INDEX(C_Pavement!$F$5:$F$204,$AQ527)="-","",INDEX(C_Pavement!$F$5:$F$204,$AQ527)),IF($AS527="","",INDEX(E_Rules!$E$5:$E$9,$AS527))))</f>
        <v/>
      </c>
      <c r="AW527" t="str">
        <f>IF($AQ527="","",IF(INDEX(C_Pavement!$G$5:$G$204,$AQ527)&lt;&gt;"",IF(INDEX(C_Pavement!$G$5:$G$204,$AQ527)="-","",INDEX(C_Pavement!$G$5:$G$204,$AQ527)),IF($AS527="","",INDEX(E_Rules!$F$5:$F$9,$AS527))))</f>
        <v/>
      </c>
      <c r="AX527" t="str">
        <f>IF($AQ527="","",IF(INDEX(C_Pavement!$H$5:$H$204,$AQ527)&lt;&gt;"",IF(INDEX(C_Pavement!$H$5:$H$204,$AQ527)="-","",INDEX(C_Pavement!$H$5:$H$204,$AQ527)),IF($AS527="","",INDEX(E_Rules!$G$5:$G$9,$AS527))))</f>
        <v/>
      </c>
      <c r="AY527" t="str">
        <f>IF($AQ527="","",IF(INDEX(C_Pavement!$I$5:$I$204,$AQ527)&lt;&gt;"",IF(INDEX(C_Pavement!$I$5:$I$204,$AQ527)="-","",INDEX(C_Pavement!$I$5:$I$204,$AQ527)),IF($AS527="","",INDEX(E_Rules!$H$5:$H$9,$AS527))))</f>
        <v/>
      </c>
    </row>
    <row r="528" spans="1:51" ht="15.75" customHeight="1" x14ac:dyDescent="0.3">
      <c r="A528" s="189">
        <v>523</v>
      </c>
      <c r="B528" s="180">
        <v>26100</v>
      </c>
      <c r="C528" s="180" t="s">
        <v>834</v>
      </c>
      <c r="D528" s="181" t="str">
        <f>IFERROR(LOOKUP(2,1/((A_Corridor!$A$5:$A$204&lt;&gt;"")*(A_Corridor!$A$5:$A$204&lt;=$B528)*(A_Corridor!$B$5:$B$204&gt;$B528)*(A_Corridor!$C$5:$C$204&lt;&gt;"")),IF(UPPER(A_Corridor!$C$5:$C$204)="Y",1,"")),"")</f>
        <v/>
      </c>
      <c r="E528" s="181" t="str">
        <f>IFERROR(LOOKUP(2,1/((A_Corridor!$A$5:$A$204&lt;&gt;"")*(A_Corridor!$A$5:$A$204&lt;=$B528)*(A_Corridor!$B$5:$B$204&gt;$B528)*(A_Corridor!$D$5:$D$204&lt;&gt;"")),IF(A_Corridor!$D$5:$D$204="-","",UPPER(A_Corridor!$D$5:$D$204))),"")</f>
        <v/>
      </c>
      <c r="F528" s="181" t="str">
        <f>IFERROR(LOOKUP(2,1/((A_Corridor!$A$5:$A$204&lt;&gt;"")*(A_Corridor!$A$5:$A$204&lt;=$B528)*(A_Corridor!$B$5:$B$204&gt;$B528)*(A_Corridor!$E$5:$E$204&lt;&gt;"")),IF(A_Corridor!$E$5:$E$204="-","",1)),"")</f>
        <v/>
      </c>
      <c r="G528" s="182" t="str">
        <f>IFERROR(LOOKUP(2,1/((A_Corridor!$A$5:$A$204&lt;&gt;"")*(A_Corridor!$A$5:$A$204&lt;=$B528)*(A_Corridor!$B$5:$B$204&gt;$B528)*(A_Corridor!$E$5:$E$204&lt;&gt;"")),IF(A_Corridor!$E$5:$E$204="-","",A_Corridor!$E$5:$E$204)),"")</f>
        <v/>
      </c>
      <c r="H528" s="182" t="str">
        <f>IFERROR(LOOKUP(2,1/((D_Points!$A$5:$A$204&lt;&gt;"")*(D_Points!$A$5:$A$204&gt;=$B528)*(D_Points!$A$5:$A$204&lt;$B528+P_Interval)*(UPPER(TRIM(D_Points!$B$5:$B$204))="GULLY")*(D_Points!$H$5:$H$204&lt;&gt;"")),D_Points!$H$5:$H$204),"")</f>
        <v/>
      </c>
      <c r="I528" s="181" t="str">
        <f>IFERROR(LOOKUP(2,1/((A_Corridor!$A$5:$A$204&lt;&gt;"")*(A_Corridor!$A$5:$A$204&lt;=$B528)*(A_Corridor!$B$5:$B$204&gt;$B528)*(A_Corridor!$F$5:$F$204&lt;&gt;"")),IF(A_Corridor!$F$5:$F$204="-","",1)),"")</f>
        <v/>
      </c>
      <c r="J528" s="182" t="str">
        <f>IFERROR(LOOKUP(2,1/((A_Corridor!$A$5:$A$204&lt;&gt;"")*(A_Corridor!$A$5:$A$204&lt;=$B528)*(A_Corridor!$B$5:$B$204&gt;$B528)*(A_Corridor!$F$5:$F$204&lt;&gt;"")),IF(A_Corridor!$F$5:$F$204="-","",A_Corridor!$F$5:$F$204)),"")</f>
        <v/>
      </c>
      <c r="K528" s="182" t="str">
        <f>IFERROR(LOOKUP(2,1/((A_Corridor!$A$5:$A$204&lt;&gt;"")*(A_Corridor!$A$5:$A$204&lt;=$B528)*(A_Corridor!$B$5:$B$204&gt;$B528)*(A_Corridor!$G$5:$G$204&lt;&gt;"")),IF(A_Corridor!$G$5:$G$204="-","",A_Corridor!$G$5:$G$204)),"")</f>
        <v/>
      </c>
      <c r="L528" s="181" t="str">
        <f>IFERROR(LOOKUP(2,1/((A_Corridor!$A$5:$A$204&lt;&gt;"")*(A_Corridor!$A$5:$A$204&lt;=$B528)*(A_Corridor!$B$5:$B$204&gt;$B528)*(A_Corridor!$H$5:$H$204&lt;&gt;"")),IF(A_Corridor!$H$5:$H$204="-","",1)),"")</f>
        <v/>
      </c>
      <c r="M528" s="182" t="str">
        <f>IFERROR(LOOKUP(2,1/((A_Corridor!$A$5:$A$204&lt;&gt;"")*(A_Corridor!$A$5:$A$204&lt;=$B528)*(A_Corridor!$B$5:$B$204&gt;$B528)*(A_Corridor!$H$5:$H$204&lt;&gt;"")),IF(A_Corridor!$H$5:$H$204="-","",A_Corridor!$H$5:$H$204)),"")</f>
        <v/>
      </c>
      <c r="N528" s="182" t="str">
        <f>IFERROR(LOOKUP(2,1/((A_Corridor!$A$5:$A$204&lt;&gt;"")*(A_Corridor!$A$5:$A$204&lt;=$B528)*(A_Corridor!$B$5:$B$204&gt;$B528)*(A_Corridor!$I$5:$I$204&lt;&gt;"")),IF(A_Corridor!$I$5:$I$204="-","",A_Corridor!$I$5:$I$204)),"")</f>
        <v/>
      </c>
      <c r="O528" s="182" t="str">
        <f>IFERROR(LOOKUP(2,1/((D_Points!$A$5:$A$204&lt;&gt;"")*(D_Points!$A$5:$A$204&gt;=$B528)*(D_Points!$A$5:$A$204&lt;$B528+P_Interval)*(UPPER(TRIM(D_Points!$B$5:$B$204))="PITCHING")*(D_Points!$H$5:$H$204&lt;&gt;"")),D_Points!$H$5:$H$204),"")</f>
        <v/>
      </c>
      <c r="P528" s="181" t="str">
        <f>IFERROR(LOOKUP(2,1/((B_Drainage!$A$5:$A$204&lt;&gt;"")*(B_Drainage!$A$5:$A$204&lt;=$B528)*(B_Drainage!$B$5:$B$204&gt;$B528)*(B_Drainage!$C$5:$C$204&lt;&gt;"")),IF(B_Drainage!$C$5:$C$204="-","",UPPER(B_Drainage!$C$5:$C$204))),"")</f>
        <v/>
      </c>
      <c r="Q528" s="181" t="str">
        <f>IFERROR(LOOKUP(2,1/((B_Drainage!$A$5:$A$204&lt;&gt;"")*(B_Drainage!$A$5:$A$204&lt;=$B528)*(B_Drainage!$B$5:$B$204&gt;$B528)*(B_Drainage!$D$5:$D$204&lt;&gt;"")),IF(B_Drainage!$D$5:$D$204="-","",UPPER(B_Drainage!$D$5:$D$204))),"")</f>
        <v/>
      </c>
      <c r="R528" s="182" t="str">
        <f>IFERROR(LOOKUP(2,1/((D_Points!$A$5:$A$204&lt;&gt;"")*(D_Points!$A$5:$A$204&gt;=$B528)*(D_Points!$A$5:$A$204&lt;$B528+P_Interval)*(RIGHT(UPPER(TRIM(D_Points!$B$5:$B$204)),8)="_CULVERT")),IF(LEFT(UPPER(TRIM(D_Points!$B$5:$B$204)),2)="EX",1,IF(LEFT(UPPER(TRIM(D_Points!$B$5:$B$204)),2)="PR",2,3))),"")</f>
        <v/>
      </c>
      <c r="S528" s="182" t="str">
        <f>IFERROR(LOOKUP(2,1/((D_Points!$A$5:$A$204&lt;&gt;"")*(D_Points!$A$5:$A$204&gt;=$B528)*(D_Points!$A$5:$A$204&lt;$B528+P_Interval)*(RIGHT(UPPER(TRIM(D_Points!$B$5:$B$204)),7)="_BRIDGE")),IF(LEFT(UPPER(TRIM(D_Points!$B$5:$B$204)),2)="EX",1,IF(LEFT(UPPER(TRIM(D_Points!$B$5:$B$204)),2)="PR",2,2))),"")</f>
        <v/>
      </c>
      <c r="T528" s="181" t="str">
        <f>IFERROR(LOOKUP(2,1/((B_Drainage!$A$5:$A$204&lt;&gt;"")*(B_Drainage!$A$5:$A$204&lt;=$B528)*(B_Drainage!$B$5:$B$204&gt;$B528)*(B_Drainage!$E$5:$E$204&lt;&gt;"")),IF(B_Drainage!$E$5:$E$204="-","",1)),"")</f>
        <v/>
      </c>
      <c r="U528" s="181" t="str">
        <f>IFERROR(LOOKUP(2,1/((B_Drainage!$A$5:$A$204&lt;&gt;"")*(B_Drainage!$A$5:$A$204&lt;=$B528)*(B_Drainage!$B$5:$B$204&gt;$B528)*(B_Drainage!$E$5:$E$204&lt;&gt;"")),IF(B_Drainage!$E$5:$E$204="-","",B_Drainage!$E$5:$E$204)),"")</f>
        <v/>
      </c>
      <c r="V528" s="181" t="str">
        <f>IFERROR(LOOKUP(2,1/((B_Drainage!$A$5:$A$204&lt;&gt;"")*(B_Drainage!$A$5:$A$204&lt;=$B528)*(B_Drainage!$B$5:$B$204&gt;$B528)*(B_Drainage!$F$5:$F$204&lt;&gt;"")),IF(B_Drainage!$F$5:$F$204="-","",1)),"")</f>
        <v/>
      </c>
      <c r="W528" s="181" t="str">
        <f>IFERROR(LOOKUP(2,1/((B_Drainage!$A$5:$A$204&lt;&gt;"")*(B_Drainage!$A$5:$A$204&lt;=$B528)*(B_Drainage!$B$5:$B$204&gt;$B528)*(B_Drainage!$F$5:$F$204&lt;&gt;"")),IF(B_Drainage!$F$5:$F$204="-","",B_Drainage!$F$5:$F$204)),"")</f>
        <v/>
      </c>
      <c r="X528" s="181" t="str">
        <f>IFERROR(LOOKUP(2,1/((B_Drainage!$A$5:$A$204&lt;&gt;"")*(B_Drainage!$A$5:$A$204&lt;=$B528)*(B_Drainage!$B$5:$B$204&gt;$B528)*(B_Drainage!$G$5:$G$204&lt;&gt;"")),IF(UPPER(B_Drainage!$G$5:$G$204)="Y",1,"")),"")</f>
        <v/>
      </c>
      <c r="Y528" s="181" t="str">
        <f>IFERROR(LOOKUP(2,1/((B_Drainage!$A$5:$A$204&lt;&gt;"")*(B_Drainage!$A$5:$A$204&lt;=$B528)*(B_Drainage!$B$5:$B$204&gt;$B528)*(B_Drainage!$H$5:$H$204&lt;&gt;"")),IF(UPPER(B_Drainage!$H$5:$H$204)="Y",1,"")),"")</f>
        <v/>
      </c>
      <c r="Z528" s="181" t="str">
        <f>IFERROR(LOOKUP(2,1/((B_Drainage!$A$5:$A$204&lt;&gt;"")*(B_Drainage!$A$5:$A$204&lt;=$B528)*(B_Drainage!$B$5:$B$204&gt;$B528)*(B_Drainage!$I$5:$I$204&lt;&gt;"")),IF(UPPER(B_Drainage!$I$5:$I$204)="Y",1,"")),"")</f>
        <v/>
      </c>
      <c r="AA528" s="181" t="str">
        <f>IFERROR(LOOKUP(2,1/((B_Drainage!$A$5:$A$204&lt;&gt;"")*(B_Drainage!$A$5:$A$204&lt;=$B528)*(B_Drainage!$B$5:$B$204&gt;$B528)*(B_Drainage!$J$5:$J$204&lt;&gt;"")),IF(UPPER(B_Drainage!$J$5:$J$204)="Y",1,"")),"")</f>
        <v/>
      </c>
      <c r="AB528" s="182" t="str">
        <f>IFERROR(LOOKUP(2,1/((B_Drainage!$A$5:$A$204&lt;&gt;"")*(B_Drainage!$A$5:$A$204&lt;=$B528)*(B_Drainage!$B$5:$B$204&gt;$B528)*(B_Drainage!$K$5:$K$204&lt;&gt;"")),IF(B_Drainage!$K$5:$K$204="-","",B_Drainage!$K$5:$K$204)),"")</f>
        <v/>
      </c>
      <c r="AC528" s="182" t="str">
        <f>IFERROR(LOOKUP(2,1/((B_Drainage!$A$5:$A$204&lt;&gt;"")*(B_Drainage!$A$5:$A$204&lt;=$B528)*(B_Drainage!$B$5:$B$204&gt;$B528)*(B_Drainage!$L$5:$L$204&lt;&gt;"")),IF(B_Drainage!$L$5:$L$204="-","",B_Drainage!$L$5:$L$204)),"")</f>
        <v/>
      </c>
      <c r="AD528" s="182" t="str">
        <f>IFERROR(LOOKUP(2,1/((D_Points!$A$5:$A$204&lt;&gt;"")*(D_Points!$A$5:$A$204&gt;=$B528)*(D_Points!$A$5:$A$204&lt;$B528+P_Interval)*(UPPER(TRIM(D_Points!$B$5:$B$204))="TURNOUT_L")*(D_Points!$H$5:$H$204&lt;&gt;"")),D_Points!$H$5:$H$204),"")</f>
        <v/>
      </c>
      <c r="AE528" s="182" t="str">
        <f>IFERROR(LOOKUP(2,1/((D_Points!$A$5:$A$204&lt;&gt;"")*(D_Points!$A$5:$A$204&gt;=$B528)*(D_Points!$A$5:$A$204&lt;$B528+P_Interval)*(UPPER(TRIM(D_Points!$B$5:$B$204))="TURNOUT_R")*(D_Points!$H$5:$H$204&lt;&gt;"")),D_Points!$H$5:$H$204),"")</f>
        <v/>
      </c>
      <c r="AF528" s="181" t="str">
        <f>IFERROR(LOOKUP(2,1/((B_Drainage!$A$5:$A$204&lt;&gt;"")*(B_Drainage!$A$5:$A$204&lt;=$B528)*(B_Drainage!$B$5:$B$204&gt;$B528)*(B_Drainage!$M$5:$M$204&lt;&gt;"")),IF(UPPER(B_Drainage!$M$5:$M$204)="Y",1,"")),"")</f>
        <v/>
      </c>
      <c r="AG528" s="181" t="str">
        <f>IFERROR(LOOKUP(2,1/((B_Drainage!$A$5:$A$204&lt;&gt;"")*(B_Drainage!$A$5:$A$204&lt;=$B528)*(B_Drainage!$B$5:$B$204&gt;$B528)*(B_Drainage!$N$5:$N$204&lt;&gt;"")),IF(UPPER(B_Drainage!$N$5:$N$204)="Y",1,"")),"")</f>
        <v/>
      </c>
      <c r="AH528" s="181" t="str">
        <f t="shared" si="64"/>
        <v/>
      </c>
      <c r="AI528" s="181" t="str">
        <f t="shared" si="65"/>
        <v/>
      </c>
      <c r="AJ528" s="181" t="str">
        <f t="shared" si="66"/>
        <v/>
      </c>
      <c r="AK528" s="181" t="str">
        <f t="shared" si="67"/>
        <v/>
      </c>
      <c r="AL528" s="181" t="str">
        <f t="shared" si="68"/>
        <v/>
      </c>
      <c r="AM528" s="181" t="str">
        <f t="shared" si="69"/>
        <v/>
      </c>
      <c r="AN528" s="181" t="str">
        <f t="shared" si="70"/>
        <v/>
      </c>
      <c r="AO528" s="192" t="str">
        <f t="shared" si="71"/>
        <v/>
      </c>
      <c r="AQ528" t="str">
        <f>IFERROR(LOOKUP(2,1/((C_Pavement!$A$5:$A$204&lt;&gt;"")*(C_Pavement!$A$5:$A$204&lt;=$B528)*(C_Pavement!$B$5:$B$204&gt;$B528)*(C_Pavement!$C$5:$C$204&lt;&gt;"")),ROW(C_Pavement!$C$5:$C$204)-4),"")</f>
        <v/>
      </c>
      <c r="AR528" t="str">
        <f>IF($AQ528="","",UPPER(TRIM(INDEX(C_Pavement!$C$5:$C$204,$AQ528))))</f>
        <v/>
      </c>
      <c r="AS528" t="str">
        <f>IF($AR528="","",IFERROR(MATCH($AR528,E_Rules!$A$5:$A$9,0),""))</f>
        <v/>
      </c>
      <c r="AT528" t="str">
        <f>IF($AQ528="","",IF(INDEX(C_Pavement!$D$5:$D$204,$AQ528)&lt;&gt;"",UPPER(TRIM(INDEX(C_Pavement!$D$5:$D$204,$AQ528))),IF($AS528="","",INDEX(E_Rules!$C$5:$C$9,$AS528))))</f>
        <v/>
      </c>
      <c r="AU528" t="str">
        <f>IF($AQ528="","",IF(INDEX(C_Pavement!$E$5:$E$204,$AQ528)&lt;&gt;"",IF(INDEX(C_Pavement!$E$5:$E$204,$AQ528)="-","",INDEX(C_Pavement!$E$5:$E$204,$AQ528)),IF($AS528="","",INDEX(E_Rules!$D$5:$D$9,$AS528))))</f>
        <v/>
      </c>
      <c r="AV528" t="str">
        <f>IF($AQ528="","",IF(INDEX(C_Pavement!$F$5:$F$204,$AQ528)&lt;&gt;"",IF(INDEX(C_Pavement!$F$5:$F$204,$AQ528)="-","",INDEX(C_Pavement!$F$5:$F$204,$AQ528)),IF($AS528="","",INDEX(E_Rules!$E$5:$E$9,$AS528))))</f>
        <v/>
      </c>
      <c r="AW528" t="str">
        <f>IF($AQ528="","",IF(INDEX(C_Pavement!$G$5:$G$204,$AQ528)&lt;&gt;"",IF(INDEX(C_Pavement!$G$5:$G$204,$AQ528)="-","",INDEX(C_Pavement!$G$5:$G$204,$AQ528)),IF($AS528="","",INDEX(E_Rules!$F$5:$F$9,$AS528))))</f>
        <v/>
      </c>
      <c r="AX528" t="str">
        <f>IF($AQ528="","",IF(INDEX(C_Pavement!$H$5:$H$204,$AQ528)&lt;&gt;"",IF(INDEX(C_Pavement!$H$5:$H$204,$AQ528)="-","",INDEX(C_Pavement!$H$5:$H$204,$AQ528)),IF($AS528="","",INDEX(E_Rules!$G$5:$G$9,$AS528))))</f>
        <v/>
      </c>
      <c r="AY528" t="str">
        <f>IF($AQ528="","",IF(INDEX(C_Pavement!$I$5:$I$204,$AQ528)&lt;&gt;"",IF(INDEX(C_Pavement!$I$5:$I$204,$AQ528)="-","",INDEX(C_Pavement!$I$5:$I$204,$AQ528)),IF($AS528="","",INDEX(E_Rules!$H$5:$H$9,$AS528))))</f>
        <v/>
      </c>
    </row>
    <row r="529" spans="1:51" ht="15.75" customHeight="1" x14ac:dyDescent="0.3">
      <c r="A529" s="189">
        <v>524</v>
      </c>
      <c r="B529" s="180">
        <v>26150</v>
      </c>
      <c r="C529" s="180" t="s">
        <v>835</v>
      </c>
      <c r="D529" s="181" t="str">
        <f>IFERROR(LOOKUP(2,1/((A_Corridor!$A$5:$A$204&lt;&gt;"")*(A_Corridor!$A$5:$A$204&lt;=$B529)*(A_Corridor!$B$5:$B$204&gt;$B529)*(A_Corridor!$C$5:$C$204&lt;&gt;"")),IF(UPPER(A_Corridor!$C$5:$C$204)="Y",1,"")),"")</f>
        <v/>
      </c>
      <c r="E529" s="181" t="str">
        <f>IFERROR(LOOKUP(2,1/((A_Corridor!$A$5:$A$204&lt;&gt;"")*(A_Corridor!$A$5:$A$204&lt;=$B529)*(A_Corridor!$B$5:$B$204&gt;$B529)*(A_Corridor!$D$5:$D$204&lt;&gt;"")),IF(A_Corridor!$D$5:$D$204="-","",UPPER(A_Corridor!$D$5:$D$204))),"")</f>
        <v/>
      </c>
      <c r="F529" s="181" t="str">
        <f>IFERROR(LOOKUP(2,1/((A_Corridor!$A$5:$A$204&lt;&gt;"")*(A_Corridor!$A$5:$A$204&lt;=$B529)*(A_Corridor!$B$5:$B$204&gt;$B529)*(A_Corridor!$E$5:$E$204&lt;&gt;"")),IF(A_Corridor!$E$5:$E$204="-","",1)),"")</f>
        <v/>
      </c>
      <c r="G529" s="182" t="str">
        <f>IFERROR(LOOKUP(2,1/((A_Corridor!$A$5:$A$204&lt;&gt;"")*(A_Corridor!$A$5:$A$204&lt;=$B529)*(A_Corridor!$B$5:$B$204&gt;$B529)*(A_Corridor!$E$5:$E$204&lt;&gt;"")),IF(A_Corridor!$E$5:$E$204="-","",A_Corridor!$E$5:$E$204)),"")</f>
        <v/>
      </c>
      <c r="H529" s="182" t="str">
        <f>IFERROR(LOOKUP(2,1/((D_Points!$A$5:$A$204&lt;&gt;"")*(D_Points!$A$5:$A$204&gt;=$B529)*(D_Points!$A$5:$A$204&lt;$B529+P_Interval)*(UPPER(TRIM(D_Points!$B$5:$B$204))="GULLY")*(D_Points!$H$5:$H$204&lt;&gt;"")),D_Points!$H$5:$H$204),"")</f>
        <v/>
      </c>
      <c r="I529" s="181" t="str">
        <f>IFERROR(LOOKUP(2,1/((A_Corridor!$A$5:$A$204&lt;&gt;"")*(A_Corridor!$A$5:$A$204&lt;=$B529)*(A_Corridor!$B$5:$B$204&gt;$B529)*(A_Corridor!$F$5:$F$204&lt;&gt;"")),IF(A_Corridor!$F$5:$F$204="-","",1)),"")</f>
        <v/>
      </c>
      <c r="J529" s="182" t="str">
        <f>IFERROR(LOOKUP(2,1/((A_Corridor!$A$5:$A$204&lt;&gt;"")*(A_Corridor!$A$5:$A$204&lt;=$B529)*(A_Corridor!$B$5:$B$204&gt;$B529)*(A_Corridor!$F$5:$F$204&lt;&gt;"")),IF(A_Corridor!$F$5:$F$204="-","",A_Corridor!$F$5:$F$204)),"")</f>
        <v/>
      </c>
      <c r="K529" s="182" t="str">
        <f>IFERROR(LOOKUP(2,1/((A_Corridor!$A$5:$A$204&lt;&gt;"")*(A_Corridor!$A$5:$A$204&lt;=$B529)*(A_Corridor!$B$5:$B$204&gt;$B529)*(A_Corridor!$G$5:$G$204&lt;&gt;"")),IF(A_Corridor!$G$5:$G$204="-","",A_Corridor!$G$5:$G$204)),"")</f>
        <v/>
      </c>
      <c r="L529" s="181" t="str">
        <f>IFERROR(LOOKUP(2,1/((A_Corridor!$A$5:$A$204&lt;&gt;"")*(A_Corridor!$A$5:$A$204&lt;=$B529)*(A_Corridor!$B$5:$B$204&gt;$B529)*(A_Corridor!$H$5:$H$204&lt;&gt;"")),IF(A_Corridor!$H$5:$H$204="-","",1)),"")</f>
        <v/>
      </c>
      <c r="M529" s="182" t="str">
        <f>IFERROR(LOOKUP(2,1/((A_Corridor!$A$5:$A$204&lt;&gt;"")*(A_Corridor!$A$5:$A$204&lt;=$B529)*(A_Corridor!$B$5:$B$204&gt;$B529)*(A_Corridor!$H$5:$H$204&lt;&gt;"")),IF(A_Corridor!$H$5:$H$204="-","",A_Corridor!$H$5:$H$204)),"")</f>
        <v/>
      </c>
      <c r="N529" s="182" t="str">
        <f>IFERROR(LOOKUP(2,1/((A_Corridor!$A$5:$A$204&lt;&gt;"")*(A_Corridor!$A$5:$A$204&lt;=$B529)*(A_Corridor!$B$5:$B$204&gt;$B529)*(A_Corridor!$I$5:$I$204&lt;&gt;"")),IF(A_Corridor!$I$5:$I$204="-","",A_Corridor!$I$5:$I$204)),"")</f>
        <v/>
      </c>
      <c r="O529" s="182" t="str">
        <f>IFERROR(LOOKUP(2,1/((D_Points!$A$5:$A$204&lt;&gt;"")*(D_Points!$A$5:$A$204&gt;=$B529)*(D_Points!$A$5:$A$204&lt;$B529+P_Interval)*(UPPER(TRIM(D_Points!$B$5:$B$204))="PITCHING")*(D_Points!$H$5:$H$204&lt;&gt;"")),D_Points!$H$5:$H$204),"")</f>
        <v/>
      </c>
      <c r="P529" s="181" t="str">
        <f>IFERROR(LOOKUP(2,1/((B_Drainage!$A$5:$A$204&lt;&gt;"")*(B_Drainage!$A$5:$A$204&lt;=$B529)*(B_Drainage!$B$5:$B$204&gt;$B529)*(B_Drainage!$C$5:$C$204&lt;&gt;"")),IF(B_Drainage!$C$5:$C$204="-","",UPPER(B_Drainage!$C$5:$C$204))),"")</f>
        <v/>
      </c>
      <c r="Q529" s="181" t="str">
        <f>IFERROR(LOOKUP(2,1/((B_Drainage!$A$5:$A$204&lt;&gt;"")*(B_Drainage!$A$5:$A$204&lt;=$B529)*(B_Drainage!$B$5:$B$204&gt;$B529)*(B_Drainage!$D$5:$D$204&lt;&gt;"")),IF(B_Drainage!$D$5:$D$204="-","",UPPER(B_Drainage!$D$5:$D$204))),"")</f>
        <v/>
      </c>
      <c r="R529" s="182" t="str">
        <f>IFERROR(LOOKUP(2,1/((D_Points!$A$5:$A$204&lt;&gt;"")*(D_Points!$A$5:$A$204&gt;=$B529)*(D_Points!$A$5:$A$204&lt;$B529+P_Interval)*(RIGHT(UPPER(TRIM(D_Points!$B$5:$B$204)),8)="_CULVERT")),IF(LEFT(UPPER(TRIM(D_Points!$B$5:$B$204)),2)="EX",1,IF(LEFT(UPPER(TRIM(D_Points!$B$5:$B$204)),2)="PR",2,3))),"")</f>
        <v/>
      </c>
      <c r="S529" s="182" t="str">
        <f>IFERROR(LOOKUP(2,1/((D_Points!$A$5:$A$204&lt;&gt;"")*(D_Points!$A$5:$A$204&gt;=$B529)*(D_Points!$A$5:$A$204&lt;$B529+P_Interval)*(RIGHT(UPPER(TRIM(D_Points!$B$5:$B$204)),7)="_BRIDGE")),IF(LEFT(UPPER(TRIM(D_Points!$B$5:$B$204)),2)="EX",1,IF(LEFT(UPPER(TRIM(D_Points!$B$5:$B$204)),2)="PR",2,2))),"")</f>
        <v/>
      </c>
      <c r="T529" s="181" t="str">
        <f>IFERROR(LOOKUP(2,1/((B_Drainage!$A$5:$A$204&lt;&gt;"")*(B_Drainage!$A$5:$A$204&lt;=$B529)*(B_Drainage!$B$5:$B$204&gt;$B529)*(B_Drainage!$E$5:$E$204&lt;&gt;"")),IF(B_Drainage!$E$5:$E$204="-","",1)),"")</f>
        <v/>
      </c>
      <c r="U529" s="181" t="str">
        <f>IFERROR(LOOKUP(2,1/((B_Drainage!$A$5:$A$204&lt;&gt;"")*(B_Drainage!$A$5:$A$204&lt;=$B529)*(B_Drainage!$B$5:$B$204&gt;$B529)*(B_Drainage!$E$5:$E$204&lt;&gt;"")),IF(B_Drainage!$E$5:$E$204="-","",B_Drainage!$E$5:$E$204)),"")</f>
        <v/>
      </c>
      <c r="V529" s="181" t="str">
        <f>IFERROR(LOOKUP(2,1/((B_Drainage!$A$5:$A$204&lt;&gt;"")*(B_Drainage!$A$5:$A$204&lt;=$B529)*(B_Drainage!$B$5:$B$204&gt;$B529)*(B_Drainage!$F$5:$F$204&lt;&gt;"")),IF(B_Drainage!$F$5:$F$204="-","",1)),"")</f>
        <v/>
      </c>
      <c r="W529" s="181" t="str">
        <f>IFERROR(LOOKUP(2,1/((B_Drainage!$A$5:$A$204&lt;&gt;"")*(B_Drainage!$A$5:$A$204&lt;=$B529)*(B_Drainage!$B$5:$B$204&gt;$B529)*(B_Drainage!$F$5:$F$204&lt;&gt;"")),IF(B_Drainage!$F$5:$F$204="-","",B_Drainage!$F$5:$F$204)),"")</f>
        <v/>
      </c>
      <c r="X529" s="181" t="str">
        <f>IFERROR(LOOKUP(2,1/((B_Drainage!$A$5:$A$204&lt;&gt;"")*(B_Drainage!$A$5:$A$204&lt;=$B529)*(B_Drainage!$B$5:$B$204&gt;$B529)*(B_Drainage!$G$5:$G$204&lt;&gt;"")),IF(UPPER(B_Drainage!$G$5:$G$204)="Y",1,"")),"")</f>
        <v/>
      </c>
      <c r="Y529" s="181" t="str">
        <f>IFERROR(LOOKUP(2,1/((B_Drainage!$A$5:$A$204&lt;&gt;"")*(B_Drainage!$A$5:$A$204&lt;=$B529)*(B_Drainage!$B$5:$B$204&gt;$B529)*(B_Drainage!$H$5:$H$204&lt;&gt;"")),IF(UPPER(B_Drainage!$H$5:$H$204)="Y",1,"")),"")</f>
        <v/>
      </c>
      <c r="Z529" s="181" t="str">
        <f>IFERROR(LOOKUP(2,1/((B_Drainage!$A$5:$A$204&lt;&gt;"")*(B_Drainage!$A$5:$A$204&lt;=$B529)*(B_Drainage!$B$5:$B$204&gt;$B529)*(B_Drainage!$I$5:$I$204&lt;&gt;"")),IF(UPPER(B_Drainage!$I$5:$I$204)="Y",1,"")),"")</f>
        <v/>
      </c>
      <c r="AA529" s="181" t="str">
        <f>IFERROR(LOOKUP(2,1/((B_Drainage!$A$5:$A$204&lt;&gt;"")*(B_Drainage!$A$5:$A$204&lt;=$B529)*(B_Drainage!$B$5:$B$204&gt;$B529)*(B_Drainage!$J$5:$J$204&lt;&gt;"")),IF(UPPER(B_Drainage!$J$5:$J$204)="Y",1,"")),"")</f>
        <v/>
      </c>
      <c r="AB529" s="182" t="str">
        <f>IFERROR(LOOKUP(2,1/((B_Drainage!$A$5:$A$204&lt;&gt;"")*(B_Drainage!$A$5:$A$204&lt;=$B529)*(B_Drainage!$B$5:$B$204&gt;$B529)*(B_Drainage!$K$5:$K$204&lt;&gt;"")),IF(B_Drainage!$K$5:$K$204="-","",B_Drainage!$K$5:$K$204)),"")</f>
        <v/>
      </c>
      <c r="AC529" s="182" t="str">
        <f>IFERROR(LOOKUP(2,1/((B_Drainage!$A$5:$A$204&lt;&gt;"")*(B_Drainage!$A$5:$A$204&lt;=$B529)*(B_Drainage!$B$5:$B$204&gt;$B529)*(B_Drainage!$L$5:$L$204&lt;&gt;"")),IF(B_Drainage!$L$5:$L$204="-","",B_Drainage!$L$5:$L$204)),"")</f>
        <v/>
      </c>
      <c r="AD529" s="182" t="str">
        <f>IFERROR(LOOKUP(2,1/((D_Points!$A$5:$A$204&lt;&gt;"")*(D_Points!$A$5:$A$204&gt;=$B529)*(D_Points!$A$5:$A$204&lt;$B529+P_Interval)*(UPPER(TRIM(D_Points!$B$5:$B$204))="TURNOUT_L")*(D_Points!$H$5:$H$204&lt;&gt;"")),D_Points!$H$5:$H$204),"")</f>
        <v/>
      </c>
      <c r="AE529" s="182" t="str">
        <f>IFERROR(LOOKUP(2,1/((D_Points!$A$5:$A$204&lt;&gt;"")*(D_Points!$A$5:$A$204&gt;=$B529)*(D_Points!$A$5:$A$204&lt;$B529+P_Interval)*(UPPER(TRIM(D_Points!$B$5:$B$204))="TURNOUT_R")*(D_Points!$H$5:$H$204&lt;&gt;"")),D_Points!$H$5:$H$204),"")</f>
        <v/>
      </c>
      <c r="AF529" s="181" t="str">
        <f>IFERROR(LOOKUP(2,1/((B_Drainage!$A$5:$A$204&lt;&gt;"")*(B_Drainage!$A$5:$A$204&lt;=$B529)*(B_Drainage!$B$5:$B$204&gt;$B529)*(B_Drainage!$M$5:$M$204&lt;&gt;"")),IF(UPPER(B_Drainage!$M$5:$M$204)="Y",1,"")),"")</f>
        <v/>
      </c>
      <c r="AG529" s="181" t="str">
        <f>IFERROR(LOOKUP(2,1/((B_Drainage!$A$5:$A$204&lt;&gt;"")*(B_Drainage!$A$5:$A$204&lt;=$B529)*(B_Drainage!$B$5:$B$204&gt;$B529)*(B_Drainage!$N$5:$N$204&lt;&gt;"")),IF(UPPER(B_Drainage!$N$5:$N$204)="Y",1,"")),"")</f>
        <v/>
      </c>
      <c r="AH529" s="181" t="str">
        <f t="shared" si="64"/>
        <v/>
      </c>
      <c r="AI529" s="181" t="str">
        <f t="shared" si="65"/>
        <v/>
      </c>
      <c r="AJ529" s="181" t="str">
        <f t="shared" si="66"/>
        <v/>
      </c>
      <c r="AK529" s="181" t="str">
        <f t="shared" si="67"/>
        <v/>
      </c>
      <c r="AL529" s="181" t="str">
        <f t="shared" si="68"/>
        <v/>
      </c>
      <c r="AM529" s="181" t="str">
        <f t="shared" si="69"/>
        <v/>
      </c>
      <c r="AN529" s="181" t="str">
        <f t="shared" si="70"/>
        <v/>
      </c>
      <c r="AO529" s="192" t="str">
        <f t="shared" si="71"/>
        <v/>
      </c>
      <c r="AQ529" t="str">
        <f>IFERROR(LOOKUP(2,1/((C_Pavement!$A$5:$A$204&lt;&gt;"")*(C_Pavement!$A$5:$A$204&lt;=$B529)*(C_Pavement!$B$5:$B$204&gt;$B529)*(C_Pavement!$C$5:$C$204&lt;&gt;"")),ROW(C_Pavement!$C$5:$C$204)-4),"")</f>
        <v/>
      </c>
      <c r="AR529" t="str">
        <f>IF($AQ529="","",UPPER(TRIM(INDEX(C_Pavement!$C$5:$C$204,$AQ529))))</f>
        <v/>
      </c>
      <c r="AS529" t="str">
        <f>IF($AR529="","",IFERROR(MATCH($AR529,E_Rules!$A$5:$A$9,0),""))</f>
        <v/>
      </c>
      <c r="AT529" t="str">
        <f>IF($AQ529="","",IF(INDEX(C_Pavement!$D$5:$D$204,$AQ529)&lt;&gt;"",UPPER(TRIM(INDEX(C_Pavement!$D$5:$D$204,$AQ529))),IF($AS529="","",INDEX(E_Rules!$C$5:$C$9,$AS529))))</f>
        <v/>
      </c>
      <c r="AU529" t="str">
        <f>IF($AQ529="","",IF(INDEX(C_Pavement!$E$5:$E$204,$AQ529)&lt;&gt;"",IF(INDEX(C_Pavement!$E$5:$E$204,$AQ529)="-","",INDEX(C_Pavement!$E$5:$E$204,$AQ529)),IF($AS529="","",INDEX(E_Rules!$D$5:$D$9,$AS529))))</f>
        <v/>
      </c>
      <c r="AV529" t="str">
        <f>IF($AQ529="","",IF(INDEX(C_Pavement!$F$5:$F$204,$AQ529)&lt;&gt;"",IF(INDEX(C_Pavement!$F$5:$F$204,$AQ529)="-","",INDEX(C_Pavement!$F$5:$F$204,$AQ529)),IF($AS529="","",INDEX(E_Rules!$E$5:$E$9,$AS529))))</f>
        <v/>
      </c>
      <c r="AW529" t="str">
        <f>IF($AQ529="","",IF(INDEX(C_Pavement!$G$5:$G$204,$AQ529)&lt;&gt;"",IF(INDEX(C_Pavement!$G$5:$G$204,$AQ529)="-","",INDEX(C_Pavement!$G$5:$G$204,$AQ529)),IF($AS529="","",INDEX(E_Rules!$F$5:$F$9,$AS529))))</f>
        <v/>
      </c>
      <c r="AX529" t="str">
        <f>IF($AQ529="","",IF(INDEX(C_Pavement!$H$5:$H$204,$AQ529)&lt;&gt;"",IF(INDEX(C_Pavement!$H$5:$H$204,$AQ529)="-","",INDEX(C_Pavement!$H$5:$H$204,$AQ529)),IF($AS529="","",INDEX(E_Rules!$G$5:$G$9,$AS529))))</f>
        <v/>
      </c>
      <c r="AY529" t="str">
        <f>IF($AQ529="","",IF(INDEX(C_Pavement!$I$5:$I$204,$AQ529)&lt;&gt;"",IF(INDEX(C_Pavement!$I$5:$I$204,$AQ529)="-","",INDEX(C_Pavement!$I$5:$I$204,$AQ529)),IF($AS529="","",INDEX(E_Rules!$H$5:$H$9,$AS529))))</f>
        <v/>
      </c>
    </row>
    <row r="530" spans="1:51" ht="15.75" customHeight="1" x14ac:dyDescent="0.3">
      <c r="A530" s="189">
        <v>525</v>
      </c>
      <c r="B530" s="180">
        <v>26200</v>
      </c>
      <c r="C530" s="180" t="s">
        <v>836</v>
      </c>
      <c r="D530" s="181" t="str">
        <f>IFERROR(LOOKUP(2,1/((A_Corridor!$A$5:$A$204&lt;&gt;"")*(A_Corridor!$A$5:$A$204&lt;=$B530)*(A_Corridor!$B$5:$B$204&gt;$B530)*(A_Corridor!$C$5:$C$204&lt;&gt;"")),IF(UPPER(A_Corridor!$C$5:$C$204)="Y",1,"")),"")</f>
        <v/>
      </c>
      <c r="E530" s="181" t="str">
        <f>IFERROR(LOOKUP(2,1/((A_Corridor!$A$5:$A$204&lt;&gt;"")*(A_Corridor!$A$5:$A$204&lt;=$B530)*(A_Corridor!$B$5:$B$204&gt;$B530)*(A_Corridor!$D$5:$D$204&lt;&gt;"")),IF(A_Corridor!$D$5:$D$204="-","",UPPER(A_Corridor!$D$5:$D$204))),"")</f>
        <v/>
      </c>
      <c r="F530" s="181" t="str">
        <f>IFERROR(LOOKUP(2,1/((A_Corridor!$A$5:$A$204&lt;&gt;"")*(A_Corridor!$A$5:$A$204&lt;=$B530)*(A_Corridor!$B$5:$B$204&gt;$B530)*(A_Corridor!$E$5:$E$204&lt;&gt;"")),IF(A_Corridor!$E$5:$E$204="-","",1)),"")</f>
        <v/>
      </c>
      <c r="G530" s="182" t="str">
        <f>IFERROR(LOOKUP(2,1/((A_Corridor!$A$5:$A$204&lt;&gt;"")*(A_Corridor!$A$5:$A$204&lt;=$B530)*(A_Corridor!$B$5:$B$204&gt;$B530)*(A_Corridor!$E$5:$E$204&lt;&gt;"")),IF(A_Corridor!$E$5:$E$204="-","",A_Corridor!$E$5:$E$204)),"")</f>
        <v/>
      </c>
      <c r="H530" s="182" t="str">
        <f>IFERROR(LOOKUP(2,1/((D_Points!$A$5:$A$204&lt;&gt;"")*(D_Points!$A$5:$A$204&gt;=$B530)*(D_Points!$A$5:$A$204&lt;$B530+P_Interval)*(UPPER(TRIM(D_Points!$B$5:$B$204))="GULLY")*(D_Points!$H$5:$H$204&lt;&gt;"")),D_Points!$H$5:$H$204),"")</f>
        <v/>
      </c>
      <c r="I530" s="181" t="str">
        <f>IFERROR(LOOKUP(2,1/((A_Corridor!$A$5:$A$204&lt;&gt;"")*(A_Corridor!$A$5:$A$204&lt;=$B530)*(A_Corridor!$B$5:$B$204&gt;$B530)*(A_Corridor!$F$5:$F$204&lt;&gt;"")),IF(A_Corridor!$F$5:$F$204="-","",1)),"")</f>
        <v/>
      </c>
      <c r="J530" s="182" t="str">
        <f>IFERROR(LOOKUP(2,1/((A_Corridor!$A$5:$A$204&lt;&gt;"")*(A_Corridor!$A$5:$A$204&lt;=$B530)*(A_Corridor!$B$5:$B$204&gt;$B530)*(A_Corridor!$F$5:$F$204&lt;&gt;"")),IF(A_Corridor!$F$5:$F$204="-","",A_Corridor!$F$5:$F$204)),"")</f>
        <v/>
      </c>
      <c r="K530" s="182" t="str">
        <f>IFERROR(LOOKUP(2,1/((A_Corridor!$A$5:$A$204&lt;&gt;"")*(A_Corridor!$A$5:$A$204&lt;=$B530)*(A_Corridor!$B$5:$B$204&gt;$B530)*(A_Corridor!$G$5:$G$204&lt;&gt;"")),IF(A_Corridor!$G$5:$G$204="-","",A_Corridor!$G$5:$G$204)),"")</f>
        <v/>
      </c>
      <c r="L530" s="181" t="str">
        <f>IFERROR(LOOKUP(2,1/((A_Corridor!$A$5:$A$204&lt;&gt;"")*(A_Corridor!$A$5:$A$204&lt;=$B530)*(A_Corridor!$B$5:$B$204&gt;$B530)*(A_Corridor!$H$5:$H$204&lt;&gt;"")),IF(A_Corridor!$H$5:$H$204="-","",1)),"")</f>
        <v/>
      </c>
      <c r="M530" s="182" t="str">
        <f>IFERROR(LOOKUP(2,1/((A_Corridor!$A$5:$A$204&lt;&gt;"")*(A_Corridor!$A$5:$A$204&lt;=$B530)*(A_Corridor!$B$5:$B$204&gt;$B530)*(A_Corridor!$H$5:$H$204&lt;&gt;"")),IF(A_Corridor!$H$5:$H$204="-","",A_Corridor!$H$5:$H$204)),"")</f>
        <v/>
      </c>
      <c r="N530" s="182" t="str">
        <f>IFERROR(LOOKUP(2,1/((A_Corridor!$A$5:$A$204&lt;&gt;"")*(A_Corridor!$A$5:$A$204&lt;=$B530)*(A_Corridor!$B$5:$B$204&gt;$B530)*(A_Corridor!$I$5:$I$204&lt;&gt;"")),IF(A_Corridor!$I$5:$I$204="-","",A_Corridor!$I$5:$I$204)),"")</f>
        <v/>
      </c>
      <c r="O530" s="182" t="str">
        <f>IFERROR(LOOKUP(2,1/((D_Points!$A$5:$A$204&lt;&gt;"")*(D_Points!$A$5:$A$204&gt;=$B530)*(D_Points!$A$5:$A$204&lt;$B530+P_Interval)*(UPPER(TRIM(D_Points!$B$5:$B$204))="PITCHING")*(D_Points!$H$5:$H$204&lt;&gt;"")),D_Points!$H$5:$H$204),"")</f>
        <v/>
      </c>
      <c r="P530" s="181" t="str">
        <f>IFERROR(LOOKUP(2,1/((B_Drainage!$A$5:$A$204&lt;&gt;"")*(B_Drainage!$A$5:$A$204&lt;=$B530)*(B_Drainage!$B$5:$B$204&gt;$B530)*(B_Drainage!$C$5:$C$204&lt;&gt;"")),IF(B_Drainage!$C$5:$C$204="-","",UPPER(B_Drainage!$C$5:$C$204))),"")</f>
        <v/>
      </c>
      <c r="Q530" s="181" t="str">
        <f>IFERROR(LOOKUP(2,1/((B_Drainage!$A$5:$A$204&lt;&gt;"")*(B_Drainage!$A$5:$A$204&lt;=$B530)*(B_Drainage!$B$5:$B$204&gt;$B530)*(B_Drainage!$D$5:$D$204&lt;&gt;"")),IF(B_Drainage!$D$5:$D$204="-","",UPPER(B_Drainage!$D$5:$D$204))),"")</f>
        <v/>
      </c>
      <c r="R530" s="182" t="str">
        <f>IFERROR(LOOKUP(2,1/((D_Points!$A$5:$A$204&lt;&gt;"")*(D_Points!$A$5:$A$204&gt;=$B530)*(D_Points!$A$5:$A$204&lt;$B530+P_Interval)*(RIGHT(UPPER(TRIM(D_Points!$B$5:$B$204)),8)="_CULVERT")),IF(LEFT(UPPER(TRIM(D_Points!$B$5:$B$204)),2)="EX",1,IF(LEFT(UPPER(TRIM(D_Points!$B$5:$B$204)),2)="PR",2,3))),"")</f>
        <v/>
      </c>
      <c r="S530" s="182" t="str">
        <f>IFERROR(LOOKUP(2,1/((D_Points!$A$5:$A$204&lt;&gt;"")*(D_Points!$A$5:$A$204&gt;=$B530)*(D_Points!$A$5:$A$204&lt;$B530+P_Interval)*(RIGHT(UPPER(TRIM(D_Points!$B$5:$B$204)),7)="_BRIDGE")),IF(LEFT(UPPER(TRIM(D_Points!$B$5:$B$204)),2)="EX",1,IF(LEFT(UPPER(TRIM(D_Points!$B$5:$B$204)),2)="PR",2,2))),"")</f>
        <v/>
      </c>
      <c r="T530" s="181" t="str">
        <f>IFERROR(LOOKUP(2,1/((B_Drainage!$A$5:$A$204&lt;&gt;"")*(B_Drainage!$A$5:$A$204&lt;=$B530)*(B_Drainage!$B$5:$B$204&gt;$B530)*(B_Drainage!$E$5:$E$204&lt;&gt;"")),IF(B_Drainage!$E$5:$E$204="-","",1)),"")</f>
        <v/>
      </c>
      <c r="U530" s="181" t="str">
        <f>IFERROR(LOOKUP(2,1/((B_Drainage!$A$5:$A$204&lt;&gt;"")*(B_Drainage!$A$5:$A$204&lt;=$B530)*(B_Drainage!$B$5:$B$204&gt;$B530)*(B_Drainage!$E$5:$E$204&lt;&gt;"")),IF(B_Drainage!$E$5:$E$204="-","",B_Drainage!$E$5:$E$204)),"")</f>
        <v/>
      </c>
      <c r="V530" s="181" t="str">
        <f>IFERROR(LOOKUP(2,1/((B_Drainage!$A$5:$A$204&lt;&gt;"")*(B_Drainage!$A$5:$A$204&lt;=$B530)*(B_Drainage!$B$5:$B$204&gt;$B530)*(B_Drainage!$F$5:$F$204&lt;&gt;"")),IF(B_Drainage!$F$5:$F$204="-","",1)),"")</f>
        <v/>
      </c>
      <c r="W530" s="181" t="str">
        <f>IFERROR(LOOKUP(2,1/((B_Drainage!$A$5:$A$204&lt;&gt;"")*(B_Drainage!$A$5:$A$204&lt;=$B530)*(B_Drainage!$B$5:$B$204&gt;$B530)*(B_Drainage!$F$5:$F$204&lt;&gt;"")),IF(B_Drainage!$F$5:$F$204="-","",B_Drainage!$F$5:$F$204)),"")</f>
        <v/>
      </c>
      <c r="X530" s="181" t="str">
        <f>IFERROR(LOOKUP(2,1/((B_Drainage!$A$5:$A$204&lt;&gt;"")*(B_Drainage!$A$5:$A$204&lt;=$B530)*(B_Drainage!$B$5:$B$204&gt;$B530)*(B_Drainage!$G$5:$G$204&lt;&gt;"")),IF(UPPER(B_Drainage!$G$5:$G$204)="Y",1,"")),"")</f>
        <v/>
      </c>
      <c r="Y530" s="181" t="str">
        <f>IFERROR(LOOKUP(2,1/((B_Drainage!$A$5:$A$204&lt;&gt;"")*(B_Drainage!$A$5:$A$204&lt;=$B530)*(B_Drainage!$B$5:$B$204&gt;$B530)*(B_Drainage!$H$5:$H$204&lt;&gt;"")),IF(UPPER(B_Drainage!$H$5:$H$204)="Y",1,"")),"")</f>
        <v/>
      </c>
      <c r="Z530" s="181" t="str">
        <f>IFERROR(LOOKUP(2,1/((B_Drainage!$A$5:$A$204&lt;&gt;"")*(B_Drainage!$A$5:$A$204&lt;=$B530)*(B_Drainage!$B$5:$B$204&gt;$B530)*(B_Drainage!$I$5:$I$204&lt;&gt;"")),IF(UPPER(B_Drainage!$I$5:$I$204)="Y",1,"")),"")</f>
        <v/>
      </c>
      <c r="AA530" s="181" t="str">
        <f>IFERROR(LOOKUP(2,1/((B_Drainage!$A$5:$A$204&lt;&gt;"")*(B_Drainage!$A$5:$A$204&lt;=$B530)*(B_Drainage!$B$5:$B$204&gt;$B530)*(B_Drainage!$J$5:$J$204&lt;&gt;"")),IF(UPPER(B_Drainage!$J$5:$J$204)="Y",1,"")),"")</f>
        <v/>
      </c>
      <c r="AB530" s="182" t="str">
        <f>IFERROR(LOOKUP(2,1/((B_Drainage!$A$5:$A$204&lt;&gt;"")*(B_Drainage!$A$5:$A$204&lt;=$B530)*(B_Drainage!$B$5:$B$204&gt;$B530)*(B_Drainage!$K$5:$K$204&lt;&gt;"")),IF(B_Drainage!$K$5:$K$204="-","",B_Drainage!$K$5:$K$204)),"")</f>
        <v/>
      </c>
      <c r="AC530" s="182" t="str">
        <f>IFERROR(LOOKUP(2,1/((B_Drainage!$A$5:$A$204&lt;&gt;"")*(B_Drainage!$A$5:$A$204&lt;=$B530)*(B_Drainage!$B$5:$B$204&gt;$B530)*(B_Drainage!$L$5:$L$204&lt;&gt;"")),IF(B_Drainage!$L$5:$L$204="-","",B_Drainage!$L$5:$L$204)),"")</f>
        <v/>
      </c>
      <c r="AD530" s="182" t="str">
        <f>IFERROR(LOOKUP(2,1/((D_Points!$A$5:$A$204&lt;&gt;"")*(D_Points!$A$5:$A$204&gt;=$B530)*(D_Points!$A$5:$A$204&lt;$B530+P_Interval)*(UPPER(TRIM(D_Points!$B$5:$B$204))="TURNOUT_L")*(D_Points!$H$5:$H$204&lt;&gt;"")),D_Points!$H$5:$H$204),"")</f>
        <v/>
      </c>
      <c r="AE530" s="182" t="str">
        <f>IFERROR(LOOKUP(2,1/((D_Points!$A$5:$A$204&lt;&gt;"")*(D_Points!$A$5:$A$204&gt;=$B530)*(D_Points!$A$5:$A$204&lt;$B530+P_Interval)*(UPPER(TRIM(D_Points!$B$5:$B$204))="TURNOUT_R")*(D_Points!$H$5:$H$204&lt;&gt;"")),D_Points!$H$5:$H$204),"")</f>
        <v/>
      </c>
      <c r="AF530" s="181" t="str">
        <f>IFERROR(LOOKUP(2,1/((B_Drainage!$A$5:$A$204&lt;&gt;"")*(B_Drainage!$A$5:$A$204&lt;=$B530)*(B_Drainage!$B$5:$B$204&gt;$B530)*(B_Drainage!$M$5:$M$204&lt;&gt;"")),IF(UPPER(B_Drainage!$M$5:$M$204)="Y",1,"")),"")</f>
        <v/>
      </c>
      <c r="AG530" s="181" t="str">
        <f>IFERROR(LOOKUP(2,1/((B_Drainage!$A$5:$A$204&lt;&gt;"")*(B_Drainage!$A$5:$A$204&lt;=$B530)*(B_Drainage!$B$5:$B$204&gt;$B530)*(B_Drainage!$N$5:$N$204&lt;&gt;"")),IF(UPPER(B_Drainage!$N$5:$N$204)="Y",1,"")),"")</f>
        <v/>
      </c>
      <c r="AH530" s="181" t="str">
        <f t="shared" si="64"/>
        <v/>
      </c>
      <c r="AI530" s="181" t="str">
        <f t="shared" si="65"/>
        <v/>
      </c>
      <c r="AJ530" s="181" t="str">
        <f t="shared" si="66"/>
        <v/>
      </c>
      <c r="AK530" s="181" t="str">
        <f t="shared" si="67"/>
        <v/>
      </c>
      <c r="AL530" s="181" t="str">
        <f t="shared" si="68"/>
        <v/>
      </c>
      <c r="AM530" s="181" t="str">
        <f t="shared" si="69"/>
        <v/>
      </c>
      <c r="AN530" s="181" t="str">
        <f t="shared" si="70"/>
        <v/>
      </c>
      <c r="AO530" s="192" t="str">
        <f t="shared" si="71"/>
        <v/>
      </c>
      <c r="AQ530" t="str">
        <f>IFERROR(LOOKUP(2,1/((C_Pavement!$A$5:$A$204&lt;&gt;"")*(C_Pavement!$A$5:$A$204&lt;=$B530)*(C_Pavement!$B$5:$B$204&gt;$B530)*(C_Pavement!$C$5:$C$204&lt;&gt;"")),ROW(C_Pavement!$C$5:$C$204)-4),"")</f>
        <v/>
      </c>
      <c r="AR530" t="str">
        <f>IF($AQ530="","",UPPER(TRIM(INDEX(C_Pavement!$C$5:$C$204,$AQ530))))</f>
        <v/>
      </c>
      <c r="AS530" t="str">
        <f>IF($AR530="","",IFERROR(MATCH($AR530,E_Rules!$A$5:$A$9,0),""))</f>
        <v/>
      </c>
      <c r="AT530" t="str">
        <f>IF($AQ530="","",IF(INDEX(C_Pavement!$D$5:$D$204,$AQ530)&lt;&gt;"",UPPER(TRIM(INDEX(C_Pavement!$D$5:$D$204,$AQ530))),IF($AS530="","",INDEX(E_Rules!$C$5:$C$9,$AS530))))</f>
        <v/>
      </c>
      <c r="AU530" t="str">
        <f>IF($AQ530="","",IF(INDEX(C_Pavement!$E$5:$E$204,$AQ530)&lt;&gt;"",IF(INDEX(C_Pavement!$E$5:$E$204,$AQ530)="-","",INDEX(C_Pavement!$E$5:$E$204,$AQ530)),IF($AS530="","",INDEX(E_Rules!$D$5:$D$9,$AS530))))</f>
        <v/>
      </c>
      <c r="AV530" t="str">
        <f>IF($AQ530="","",IF(INDEX(C_Pavement!$F$5:$F$204,$AQ530)&lt;&gt;"",IF(INDEX(C_Pavement!$F$5:$F$204,$AQ530)="-","",INDEX(C_Pavement!$F$5:$F$204,$AQ530)),IF($AS530="","",INDEX(E_Rules!$E$5:$E$9,$AS530))))</f>
        <v/>
      </c>
      <c r="AW530" t="str">
        <f>IF($AQ530="","",IF(INDEX(C_Pavement!$G$5:$G$204,$AQ530)&lt;&gt;"",IF(INDEX(C_Pavement!$G$5:$G$204,$AQ530)="-","",INDEX(C_Pavement!$G$5:$G$204,$AQ530)),IF($AS530="","",INDEX(E_Rules!$F$5:$F$9,$AS530))))</f>
        <v/>
      </c>
      <c r="AX530" t="str">
        <f>IF($AQ530="","",IF(INDEX(C_Pavement!$H$5:$H$204,$AQ530)&lt;&gt;"",IF(INDEX(C_Pavement!$H$5:$H$204,$AQ530)="-","",INDEX(C_Pavement!$H$5:$H$204,$AQ530)),IF($AS530="","",INDEX(E_Rules!$G$5:$G$9,$AS530))))</f>
        <v/>
      </c>
      <c r="AY530" t="str">
        <f>IF($AQ530="","",IF(INDEX(C_Pavement!$I$5:$I$204,$AQ530)&lt;&gt;"",IF(INDEX(C_Pavement!$I$5:$I$204,$AQ530)="-","",INDEX(C_Pavement!$I$5:$I$204,$AQ530)),IF($AS530="","",INDEX(E_Rules!$H$5:$H$9,$AS530))))</f>
        <v/>
      </c>
    </row>
    <row r="531" spans="1:51" ht="15.75" customHeight="1" x14ac:dyDescent="0.3">
      <c r="A531" s="189">
        <v>526</v>
      </c>
      <c r="B531" s="180">
        <v>26250</v>
      </c>
      <c r="C531" s="180" t="s">
        <v>837</v>
      </c>
      <c r="D531" s="181" t="str">
        <f>IFERROR(LOOKUP(2,1/((A_Corridor!$A$5:$A$204&lt;&gt;"")*(A_Corridor!$A$5:$A$204&lt;=$B531)*(A_Corridor!$B$5:$B$204&gt;$B531)*(A_Corridor!$C$5:$C$204&lt;&gt;"")),IF(UPPER(A_Corridor!$C$5:$C$204)="Y",1,"")),"")</f>
        <v/>
      </c>
      <c r="E531" s="181" t="str">
        <f>IFERROR(LOOKUP(2,1/((A_Corridor!$A$5:$A$204&lt;&gt;"")*(A_Corridor!$A$5:$A$204&lt;=$B531)*(A_Corridor!$B$5:$B$204&gt;$B531)*(A_Corridor!$D$5:$D$204&lt;&gt;"")),IF(A_Corridor!$D$5:$D$204="-","",UPPER(A_Corridor!$D$5:$D$204))),"")</f>
        <v/>
      </c>
      <c r="F531" s="181" t="str">
        <f>IFERROR(LOOKUP(2,1/((A_Corridor!$A$5:$A$204&lt;&gt;"")*(A_Corridor!$A$5:$A$204&lt;=$B531)*(A_Corridor!$B$5:$B$204&gt;$B531)*(A_Corridor!$E$5:$E$204&lt;&gt;"")),IF(A_Corridor!$E$5:$E$204="-","",1)),"")</f>
        <v/>
      </c>
      <c r="G531" s="182" t="str">
        <f>IFERROR(LOOKUP(2,1/((A_Corridor!$A$5:$A$204&lt;&gt;"")*(A_Corridor!$A$5:$A$204&lt;=$B531)*(A_Corridor!$B$5:$B$204&gt;$B531)*(A_Corridor!$E$5:$E$204&lt;&gt;"")),IF(A_Corridor!$E$5:$E$204="-","",A_Corridor!$E$5:$E$204)),"")</f>
        <v/>
      </c>
      <c r="H531" s="182" t="str">
        <f>IFERROR(LOOKUP(2,1/((D_Points!$A$5:$A$204&lt;&gt;"")*(D_Points!$A$5:$A$204&gt;=$B531)*(D_Points!$A$5:$A$204&lt;$B531+P_Interval)*(UPPER(TRIM(D_Points!$B$5:$B$204))="GULLY")*(D_Points!$H$5:$H$204&lt;&gt;"")),D_Points!$H$5:$H$204),"")</f>
        <v/>
      </c>
      <c r="I531" s="181" t="str">
        <f>IFERROR(LOOKUP(2,1/((A_Corridor!$A$5:$A$204&lt;&gt;"")*(A_Corridor!$A$5:$A$204&lt;=$B531)*(A_Corridor!$B$5:$B$204&gt;$B531)*(A_Corridor!$F$5:$F$204&lt;&gt;"")),IF(A_Corridor!$F$5:$F$204="-","",1)),"")</f>
        <v/>
      </c>
      <c r="J531" s="182" t="str">
        <f>IFERROR(LOOKUP(2,1/((A_Corridor!$A$5:$A$204&lt;&gt;"")*(A_Corridor!$A$5:$A$204&lt;=$B531)*(A_Corridor!$B$5:$B$204&gt;$B531)*(A_Corridor!$F$5:$F$204&lt;&gt;"")),IF(A_Corridor!$F$5:$F$204="-","",A_Corridor!$F$5:$F$204)),"")</f>
        <v/>
      </c>
      <c r="K531" s="182" t="str">
        <f>IFERROR(LOOKUP(2,1/((A_Corridor!$A$5:$A$204&lt;&gt;"")*(A_Corridor!$A$5:$A$204&lt;=$B531)*(A_Corridor!$B$5:$B$204&gt;$B531)*(A_Corridor!$G$5:$G$204&lt;&gt;"")),IF(A_Corridor!$G$5:$G$204="-","",A_Corridor!$G$5:$G$204)),"")</f>
        <v/>
      </c>
      <c r="L531" s="181" t="str">
        <f>IFERROR(LOOKUP(2,1/((A_Corridor!$A$5:$A$204&lt;&gt;"")*(A_Corridor!$A$5:$A$204&lt;=$B531)*(A_Corridor!$B$5:$B$204&gt;$B531)*(A_Corridor!$H$5:$H$204&lt;&gt;"")),IF(A_Corridor!$H$5:$H$204="-","",1)),"")</f>
        <v/>
      </c>
      <c r="M531" s="182" t="str">
        <f>IFERROR(LOOKUP(2,1/((A_Corridor!$A$5:$A$204&lt;&gt;"")*(A_Corridor!$A$5:$A$204&lt;=$B531)*(A_Corridor!$B$5:$B$204&gt;$B531)*(A_Corridor!$H$5:$H$204&lt;&gt;"")),IF(A_Corridor!$H$5:$H$204="-","",A_Corridor!$H$5:$H$204)),"")</f>
        <v/>
      </c>
      <c r="N531" s="182" t="str">
        <f>IFERROR(LOOKUP(2,1/((A_Corridor!$A$5:$A$204&lt;&gt;"")*(A_Corridor!$A$5:$A$204&lt;=$B531)*(A_Corridor!$B$5:$B$204&gt;$B531)*(A_Corridor!$I$5:$I$204&lt;&gt;"")),IF(A_Corridor!$I$5:$I$204="-","",A_Corridor!$I$5:$I$204)),"")</f>
        <v/>
      </c>
      <c r="O531" s="182" t="str">
        <f>IFERROR(LOOKUP(2,1/((D_Points!$A$5:$A$204&lt;&gt;"")*(D_Points!$A$5:$A$204&gt;=$B531)*(D_Points!$A$5:$A$204&lt;$B531+P_Interval)*(UPPER(TRIM(D_Points!$B$5:$B$204))="PITCHING")*(D_Points!$H$5:$H$204&lt;&gt;"")),D_Points!$H$5:$H$204),"")</f>
        <v/>
      </c>
      <c r="P531" s="181" t="str">
        <f>IFERROR(LOOKUP(2,1/((B_Drainage!$A$5:$A$204&lt;&gt;"")*(B_Drainage!$A$5:$A$204&lt;=$B531)*(B_Drainage!$B$5:$B$204&gt;$B531)*(B_Drainage!$C$5:$C$204&lt;&gt;"")),IF(B_Drainage!$C$5:$C$204="-","",UPPER(B_Drainage!$C$5:$C$204))),"")</f>
        <v/>
      </c>
      <c r="Q531" s="181" t="str">
        <f>IFERROR(LOOKUP(2,1/((B_Drainage!$A$5:$A$204&lt;&gt;"")*(B_Drainage!$A$5:$A$204&lt;=$B531)*(B_Drainage!$B$5:$B$204&gt;$B531)*(B_Drainage!$D$5:$D$204&lt;&gt;"")),IF(B_Drainage!$D$5:$D$204="-","",UPPER(B_Drainage!$D$5:$D$204))),"")</f>
        <v/>
      </c>
      <c r="R531" s="182" t="str">
        <f>IFERROR(LOOKUP(2,1/((D_Points!$A$5:$A$204&lt;&gt;"")*(D_Points!$A$5:$A$204&gt;=$B531)*(D_Points!$A$5:$A$204&lt;$B531+P_Interval)*(RIGHT(UPPER(TRIM(D_Points!$B$5:$B$204)),8)="_CULVERT")),IF(LEFT(UPPER(TRIM(D_Points!$B$5:$B$204)),2)="EX",1,IF(LEFT(UPPER(TRIM(D_Points!$B$5:$B$204)),2)="PR",2,3))),"")</f>
        <v/>
      </c>
      <c r="S531" s="182" t="str">
        <f>IFERROR(LOOKUP(2,1/((D_Points!$A$5:$A$204&lt;&gt;"")*(D_Points!$A$5:$A$204&gt;=$B531)*(D_Points!$A$5:$A$204&lt;$B531+P_Interval)*(RIGHT(UPPER(TRIM(D_Points!$B$5:$B$204)),7)="_BRIDGE")),IF(LEFT(UPPER(TRIM(D_Points!$B$5:$B$204)),2)="EX",1,IF(LEFT(UPPER(TRIM(D_Points!$B$5:$B$204)),2)="PR",2,2))),"")</f>
        <v/>
      </c>
      <c r="T531" s="181" t="str">
        <f>IFERROR(LOOKUP(2,1/((B_Drainage!$A$5:$A$204&lt;&gt;"")*(B_Drainage!$A$5:$A$204&lt;=$B531)*(B_Drainage!$B$5:$B$204&gt;$B531)*(B_Drainage!$E$5:$E$204&lt;&gt;"")),IF(B_Drainage!$E$5:$E$204="-","",1)),"")</f>
        <v/>
      </c>
      <c r="U531" s="181" t="str">
        <f>IFERROR(LOOKUP(2,1/((B_Drainage!$A$5:$A$204&lt;&gt;"")*(B_Drainage!$A$5:$A$204&lt;=$B531)*(B_Drainage!$B$5:$B$204&gt;$B531)*(B_Drainage!$E$5:$E$204&lt;&gt;"")),IF(B_Drainage!$E$5:$E$204="-","",B_Drainage!$E$5:$E$204)),"")</f>
        <v/>
      </c>
      <c r="V531" s="181" t="str">
        <f>IFERROR(LOOKUP(2,1/((B_Drainage!$A$5:$A$204&lt;&gt;"")*(B_Drainage!$A$5:$A$204&lt;=$B531)*(B_Drainage!$B$5:$B$204&gt;$B531)*(B_Drainage!$F$5:$F$204&lt;&gt;"")),IF(B_Drainage!$F$5:$F$204="-","",1)),"")</f>
        <v/>
      </c>
      <c r="W531" s="181" t="str">
        <f>IFERROR(LOOKUP(2,1/((B_Drainage!$A$5:$A$204&lt;&gt;"")*(B_Drainage!$A$5:$A$204&lt;=$B531)*(B_Drainage!$B$5:$B$204&gt;$B531)*(B_Drainage!$F$5:$F$204&lt;&gt;"")),IF(B_Drainage!$F$5:$F$204="-","",B_Drainage!$F$5:$F$204)),"")</f>
        <v/>
      </c>
      <c r="X531" s="181" t="str">
        <f>IFERROR(LOOKUP(2,1/((B_Drainage!$A$5:$A$204&lt;&gt;"")*(B_Drainage!$A$5:$A$204&lt;=$B531)*(B_Drainage!$B$5:$B$204&gt;$B531)*(B_Drainage!$G$5:$G$204&lt;&gt;"")),IF(UPPER(B_Drainage!$G$5:$G$204)="Y",1,"")),"")</f>
        <v/>
      </c>
      <c r="Y531" s="181" t="str">
        <f>IFERROR(LOOKUP(2,1/((B_Drainage!$A$5:$A$204&lt;&gt;"")*(B_Drainage!$A$5:$A$204&lt;=$B531)*(B_Drainage!$B$5:$B$204&gt;$B531)*(B_Drainage!$H$5:$H$204&lt;&gt;"")),IF(UPPER(B_Drainage!$H$5:$H$204)="Y",1,"")),"")</f>
        <v/>
      </c>
      <c r="Z531" s="181" t="str">
        <f>IFERROR(LOOKUP(2,1/((B_Drainage!$A$5:$A$204&lt;&gt;"")*(B_Drainage!$A$5:$A$204&lt;=$B531)*(B_Drainage!$B$5:$B$204&gt;$B531)*(B_Drainage!$I$5:$I$204&lt;&gt;"")),IF(UPPER(B_Drainage!$I$5:$I$204)="Y",1,"")),"")</f>
        <v/>
      </c>
      <c r="AA531" s="181" t="str">
        <f>IFERROR(LOOKUP(2,1/((B_Drainage!$A$5:$A$204&lt;&gt;"")*(B_Drainage!$A$5:$A$204&lt;=$B531)*(B_Drainage!$B$5:$B$204&gt;$B531)*(B_Drainage!$J$5:$J$204&lt;&gt;"")),IF(UPPER(B_Drainage!$J$5:$J$204)="Y",1,"")),"")</f>
        <v/>
      </c>
      <c r="AB531" s="182" t="str">
        <f>IFERROR(LOOKUP(2,1/((B_Drainage!$A$5:$A$204&lt;&gt;"")*(B_Drainage!$A$5:$A$204&lt;=$B531)*(B_Drainage!$B$5:$B$204&gt;$B531)*(B_Drainage!$K$5:$K$204&lt;&gt;"")),IF(B_Drainage!$K$5:$K$204="-","",B_Drainage!$K$5:$K$204)),"")</f>
        <v/>
      </c>
      <c r="AC531" s="182" t="str">
        <f>IFERROR(LOOKUP(2,1/((B_Drainage!$A$5:$A$204&lt;&gt;"")*(B_Drainage!$A$5:$A$204&lt;=$B531)*(B_Drainage!$B$5:$B$204&gt;$B531)*(B_Drainage!$L$5:$L$204&lt;&gt;"")),IF(B_Drainage!$L$5:$L$204="-","",B_Drainage!$L$5:$L$204)),"")</f>
        <v/>
      </c>
      <c r="AD531" s="182" t="str">
        <f>IFERROR(LOOKUP(2,1/((D_Points!$A$5:$A$204&lt;&gt;"")*(D_Points!$A$5:$A$204&gt;=$B531)*(D_Points!$A$5:$A$204&lt;$B531+P_Interval)*(UPPER(TRIM(D_Points!$B$5:$B$204))="TURNOUT_L")*(D_Points!$H$5:$H$204&lt;&gt;"")),D_Points!$H$5:$H$204),"")</f>
        <v/>
      </c>
      <c r="AE531" s="182" t="str">
        <f>IFERROR(LOOKUP(2,1/((D_Points!$A$5:$A$204&lt;&gt;"")*(D_Points!$A$5:$A$204&gt;=$B531)*(D_Points!$A$5:$A$204&lt;$B531+P_Interval)*(UPPER(TRIM(D_Points!$B$5:$B$204))="TURNOUT_R")*(D_Points!$H$5:$H$204&lt;&gt;"")),D_Points!$H$5:$H$204),"")</f>
        <v/>
      </c>
      <c r="AF531" s="181" t="str">
        <f>IFERROR(LOOKUP(2,1/((B_Drainage!$A$5:$A$204&lt;&gt;"")*(B_Drainage!$A$5:$A$204&lt;=$B531)*(B_Drainage!$B$5:$B$204&gt;$B531)*(B_Drainage!$M$5:$M$204&lt;&gt;"")),IF(UPPER(B_Drainage!$M$5:$M$204)="Y",1,"")),"")</f>
        <v/>
      </c>
      <c r="AG531" s="181" t="str">
        <f>IFERROR(LOOKUP(2,1/((B_Drainage!$A$5:$A$204&lt;&gt;"")*(B_Drainage!$A$5:$A$204&lt;=$B531)*(B_Drainage!$B$5:$B$204&gt;$B531)*(B_Drainage!$N$5:$N$204&lt;&gt;"")),IF(UPPER(B_Drainage!$N$5:$N$204)="Y",1,"")),"")</f>
        <v/>
      </c>
      <c r="AH531" s="181" t="str">
        <f t="shared" si="64"/>
        <v/>
      </c>
      <c r="AI531" s="181" t="str">
        <f t="shared" si="65"/>
        <v/>
      </c>
      <c r="AJ531" s="181" t="str">
        <f t="shared" si="66"/>
        <v/>
      </c>
      <c r="AK531" s="181" t="str">
        <f t="shared" si="67"/>
        <v/>
      </c>
      <c r="AL531" s="181" t="str">
        <f t="shared" si="68"/>
        <v/>
      </c>
      <c r="AM531" s="181" t="str">
        <f t="shared" si="69"/>
        <v/>
      </c>
      <c r="AN531" s="181" t="str">
        <f t="shared" si="70"/>
        <v/>
      </c>
      <c r="AO531" s="192" t="str">
        <f t="shared" si="71"/>
        <v/>
      </c>
      <c r="AQ531" t="str">
        <f>IFERROR(LOOKUP(2,1/((C_Pavement!$A$5:$A$204&lt;&gt;"")*(C_Pavement!$A$5:$A$204&lt;=$B531)*(C_Pavement!$B$5:$B$204&gt;$B531)*(C_Pavement!$C$5:$C$204&lt;&gt;"")),ROW(C_Pavement!$C$5:$C$204)-4),"")</f>
        <v/>
      </c>
      <c r="AR531" t="str">
        <f>IF($AQ531="","",UPPER(TRIM(INDEX(C_Pavement!$C$5:$C$204,$AQ531))))</f>
        <v/>
      </c>
      <c r="AS531" t="str">
        <f>IF($AR531="","",IFERROR(MATCH($AR531,E_Rules!$A$5:$A$9,0),""))</f>
        <v/>
      </c>
      <c r="AT531" t="str">
        <f>IF($AQ531="","",IF(INDEX(C_Pavement!$D$5:$D$204,$AQ531)&lt;&gt;"",UPPER(TRIM(INDEX(C_Pavement!$D$5:$D$204,$AQ531))),IF($AS531="","",INDEX(E_Rules!$C$5:$C$9,$AS531))))</f>
        <v/>
      </c>
      <c r="AU531" t="str">
        <f>IF($AQ531="","",IF(INDEX(C_Pavement!$E$5:$E$204,$AQ531)&lt;&gt;"",IF(INDEX(C_Pavement!$E$5:$E$204,$AQ531)="-","",INDEX(C_Pavement!$E$5:$E$204,$AQ531)),IF($AS531="","",INDEX(E_Rules!$D$5:$D$9,$AS531))))</f>
        <v/>
      </c>
      <c r="AV531" t="str">
        <f>IF($AQ531="","",IF(INDEX(C_Pavement!$F$5:$F$204,$AQ531)&lt;&gt;"",IF(INDEX(C_Pavement!$F$5:$F$204,$AQ531)="-","",INDEX(C_Pavement!$F$5:$F$204,$AQ531)),IF($AS531="","",INDEX(E_Rules!$E$5:$E$9,$AS531))))</f>
        <v/>
      </c>
      <c r="AW531" t="str">
        <f>IF($AQ531="","",IF(INDEX(C_Pavement!$G$5:$G$204,$AQ531)&lt;&gt;"",IF(INDEX(C_Pavement!$G$5:$G$204,$AQ531)="-","",INDEX(C_Pavement!$G$5:$G$204,$AQ531)),IF($AS531="","",INDEX(E_Rules!$F$5:$F$9,$AS531))))</f>
        <v/>
      </c>
      <c r="AX531" t="str">
        <f>IF($AQ531="","",IF(INDEX(C_Pavement!$H$5:$H$204,$AQ531)&lt;&gt;"",IF(INDEX(C_Pavement!$H$5:$H$204,$AQ531)="-","",INDEX(C_Pavement!$H$5:$H$204,$AQ531)),IF($AS531="","",INDEX(E_Rules!$G$5:$G$9,$AS531))))</f>
        <v/>
      </c>
      <c r="AY531" t="str">
        <f>IF($AQ531="","",IF(INDEX(C_Pavement!$I$5:$I$204,$AQ531)&lt;&gt;"",IF(INDEX(C_Pavement!$I$5:$I$204,$AQ531)="-","",INDEX(C_Pavement!$I$5:$I$204,$AQ531)),IF($AS531="","",INDEX(E_Rules!$H$5:$H$9,$AS531))))</f>
        <v/>
      </c>
    </row>
    <row r="532" spans="1:51" ht="15.75" customHeight="1" x14ac:dyDescent="0.3">
      <c r="A532" s="189">
        <v>527</v>
      </c>
      <c r="B532" s="180">
        <v>26300</v>
      </c>
      <c r="C532" s="180" t="s">
        <v>838</v>
      </c>
      <c r="D532" s="181" t="str">
        <f>IFERROR(LOOKUP(2,1/((A_Corridor!$A$5:$A$204&lt;&gt;"")*(A_Corridor!$A$5:$A$204&lt;=$B532)*(A_Corridor!$B$5:$B$204&gt;$B532)*(A_Corridor!$C$5:$C$204&lt;&gt;"")),IF(UPPER(A_Corridor!$C$5:$C$204)="Y",1,"")),"")</f>
        <v/>
      </c>
      <c r="E532" s="181" t="str">
        <f>IFERROR(LOOKUP(2,1/((A_Corridor!$A$5:$A$204&lt;&gt;"")*(A_Corridor!$A$5:$A$204&lt;=$B532)*(A_Corridor!$B$5:$B$204&gt;$B532)*(A_Corridor!$D$5:$D$204&lt;&gt;"")),IF(A_Corridor!$D$5:$D$204="-","",UPPER(A_Corridor!$D$5:$D$204))),"")</f>
        <v/>
      </c>
      <c r="F532" s="181" t="str">
        <f>IFERROR(LOOKUP(2,1/((A_Corridor!$A$5:$A$204&lt;&gt;"")*(A_Corridor!$A$5:$A$204&lt;=$B532)*(A_Corridor!$B$5:$B$204&gt;$B532)*(A_Corridor!$E$5:$E$204&lt;&gt;"")),IF(A_Corridor!$E$5:$E$204="-","",1)),"")</f>
        <v/>
      </c>
      <c r="G532" s="182" t="str">
        <f>IFERROR(LOOKUP(2,1/((A_Corridor!$A$5:$A$204&lt;&gt;"")*(A_Corridor!$A$5:$A$204&lt;=$B532)*(A_Corridor!$B$5:$B$204&gt;$B532)*(A_Corridor!$E$5:$E$204&lt;&gt;"")),IF(A_Corridor!$E$5:$E$204="-","",A_Corridor!$E$5:$E$204)),"")</f>
        <v/>
      </c>
      <c r="H532" s="182" t="str">
        <f>IFERROR(LOOKUP(2,1/((D_Points!$A$5:$A$204&lt;&gt;"")*(D_Points!$A$5:$A$204&gt;=$B532)*(D_Points!$A$5:$A$204&lt;$B532+P_Interval)*(UPPER(TRIM(D_Points!$B$5:$B$204))="GULLY")*(D_Points!$H$5:$H$204&lt;&gt;"")),D_Points!$H$5:$H$204),"")</f>
        <v/>
      </c>
      <c r="I532" s="181" t="str">
        <f>IFERROR(LOOKUP(2,1/((A_Corridor!$A$5:$A$204&lt;&gt;"")*(A_Corridor!$A$5:$A$204&lt;=$B532)*(A_Corridor!$B$5:$B$204&gt;$B532)*(A_Corridor!$F$5:$F$204&lt;&gt;"")),IF(A_Corridor!$F$5:$F$204="-","",1)),"")</f>
        <v/>
      </c>
      <c r="J532" s="182" t="str">
        <f>IFERROR(LOOKUP(2,1/((A_Corridor!$A$5:$A$204&lt;&gt;"")*(A_Corridor!$A$5:$A$204&lt;=$B532)*(A_Corridor!$B$5:$B$204&gt;$B532)*(A_Corridor!$F$5:$F$204&lt;&gt;"")),IF(A_Corridor!$F$5:$F$204="-","",A_Corridor!$F$5:$F$204)),"")</f>
        <v/>
      </c>
      <c r="K532" s="182" t="str">
        <f>IFERROR(LOOKUP(2,1/((A_Corridor!$A$5:$A$204&lt;&gt;"")*(A_Corridor!$A$5:$A$204&lt;=$B532)*(A_Corridor!$B$5:$B$204&gt;$B532)*(A_Corridor!$G$5:$G$204&lt;&gt;"")),IF(A_Corridor!$G$5:$G$204="-","",A_Corridor!$G$5:$G$204)),"")</f>
        <v/>
      </c>
      <c r="L532" s="181" t="str">
        <f>IFERROR(LOOKUP(2,1/((A_Corridor!$A$5:$A$204&lt;&gt;"")*(A_Corridor!$A$5:$A$204&lt;=$B532)*(A_Corridor!$B$5:$B$204&gt;$B532)*(A_Corridor!$H$5:$H$204&lt;&gt;"")),IF(A_Corridor!$H$5:$H$204="-","",1)),"")</f>
        <v/>
      </c>
      <c r="M532" s="182" t="str">
        <f>IFERROR(LOOKUP(2,1/((A_Corridor!$A$5:$A$204&lt;&gt;"")*(A_Corridor!$A$5:$A$204&lt;=$B532)*(A_Corridor!$B$5:$B$204&gt;$B532)*(A_Corridor!$H$5:$H$204&lt;&gt;"")),IF(A_Corridor!$H$5:$H$204="-","",A_Corridor!$H$5:$H$204)),"")</f>
        <v/>
      </c>
      <c r="N532" s="182" t="str">
        <f>IFERROR(LOOKUP(2,1/((A_Corridor!$A$5:$A$204&lt;&gt;"")*(A_Corridor!$A$5:$A$204&lt;=$B532)*(A_Corridor!$B$5:$B$204&gt;$B532)*(A_Corridor!$I$5:$I$204&lt;&gt;"")),IF(A_Corridor!$I$5:$I$204="-","",A_Corridor!$I$5:$I$204)),"")</f>
        <v/>
      </c>
      <c r="O532" s="182" t="str">
        <f>IFERROR(LOOKUP(2,1/((D_Points!$A$5:$A$204&lt;&gt;"")*(D_Points!$A$5:$A$204&gt;=$B532)*(D_Points!$A$5:$A$204&lt;$B532+P_Interval)*(UPPER(TRIM(D_Points!$B$5:$B$204))="PITCHING")*(D_Points!$H$5:$H$204&lt;&gt;"")),D_Points!$H$5:$H$204),"")</f>
        <v/>
      </c>
      <c r="P532" s="181" t="str">
        <f>IFERROR(LOOKUP(2,1/((B_Drainage!$A$5:$A$204&lt;&gt;"")*(B_Drainage!$A$5:$A$204&lt;=$B532)*(B_Drainage!$B$5:$B$204&gt;$B532)*(B_Drainage!$C$5:$C$204&lt;&gt;"")),IF(B_Drainage!$C$5:$C$204="-","",UPPER(B_Drainage!$C$5:$C$204))),"")</f>
        <v/>
      </c>
      <c r="Q532" s="181" t="str">
        <f>IFERROR(LOOKUP(2,1/((B_Drainage!$A$5:$A$204&lt;&gt;"")*(B_Drainage!$A$5:$A$204&lt;=$B532)*(B_Drainage!$B$5:$B$204&gt;$B532)*(B_Drainage!$D$5:$D$204&lt;&gt;"")),IF(B_Drainage!$D$5:$D$204="-","",UPPER(B_Drainage!$D$5:$D$204))),"")</f>
        <v/>
      </c>
      <c r="R532" s="182" t="str">
        <f>IFERROR(LOOKUP(2,1/((D_Points!$A$5:$A$204&lt;&gt;"")*(D_Points!$A$5:$A$204&gt;=$B532)*(D_Points!$A$5:$A$204&lt;$B532+P_Interval)*(RIGHT(UPPER(TRIM(D_Points!$B$5:$B$204)),8)="_CULVERT")),IF(LEFT(UPPER(TRIM(D_Points!$B$5:$B$204)),2)="EX",1,IF(LEFT(UPPER(TRIM(D_Points!$B$5:$B$204)),2)="PR",2,3))),"")</f>
        <v/>
      </c>
      <c r="S532" s="182" t="str">
        <f>IFERROR(LOOKUP(2,1/((D_Points!$A$5:$A$204&lt;&gt;"")*(D_Points!$A$5:$A$204&gt;=$B532)*(D_Points!$A$5:$A$204&lt;$B532+P_Interval)*(RIGHT(UPPER(TRIM(D_Points!$B$5:$B$204)),7)="_BRIDGE")),IF(LEFT(UPPER(TRIM(D_Points!$B$5:$B$204)),2)="EX",1,IF(LEFT(UPPER(TRIM(D_Points!$B$5:$B$204)),2)="PR",2,2))),"")</f>
        <v/>
      </c>
      <c r="T532" s="181" t="str">
        <f>IFERROR(LOOKUP(2,1/((B_Drainage!$A$5:$A$204&lt;&gt;"")*(B_Drainage!$A$5:$A$204&lt;=$B532)*(B_Drainage!$B$5:$B$204&gt;$B532)*(B_Drainage!$E$5:$E$204&lt;&gt;"")),IF(B_Drainage!$E$5:$E$204="-","",1)),"")</f>
        <v/>
      </c>
      <c r="U532" s="181" t="str">
        <f>IFERROR(LOOKUP(2,1/((B_Drainage!$A$5:$A$204&lt;&gt;"")*(B_Drainage!$A$5:$A$204&lt;=$B532)*(B_Drainage!$B$5:$B$204&gt;$B532)*(B_Drainage!$E$5:$E$204&lt;&gt;"")),IF(B_Drainage!$E$5:$E$204="-","",B_Drainage!$E$5:$E$204)),"")</f>
        <v/>
      </c>
      <c r="V532" s="181" t="str">
        <f>IFERROR(LOOKUP(2,1/((B_Drainage!$A$5:$A$204&lt;&gt;"")*(B_Drainage!$A$5:$A$204&lt;=$B532)*(B_Drainage!$B$5:$B$204&gt;$B532)*(B_Drainage!$F$5:$F$204&lt;&gt;"")),IF(B_Drainage!$F$5:$F$204="-","",1)),"")</f>
        <v/>
      </c>
      <c r="W532" s="181" t="str">
        <f>IFERROR(LOOKUP(2,1/((B_Drainage!$A$5:$A$204&lt;&gt;"")*(B_Drainage!$A$5:$A$204&lt;=$B532)*(B_Drainage!$B$5:$B$204&gt;$B532)*(B_Drainage!$F$5:$F$204&lt;&gt;"")),IF(B_Drainage!$F$5:$F$204="-","",B_Drainage!$F$5:$F$204)),"")</f>
        <v/>
      </c>
      <c r="X532" s="181" t="str">
        <f>IFERROR(LOOKUP(2,1/((B_Drainage!$A$5:$A$204&lt;&gt;"")*(B_Drainage!$A$5:$A$204&lt;=$B532)*(B_Drainage!$B$5:$B$204&gt;$B532)*(B_Drainage!$G$5:$G$204&lt;&gt;"")),IF(UPPER(B_Drainage!$G$5:$G$204)="Y",1,"")),"")</f>
        <v/>
      </c>
      <c r="Y532" s="181" t="str">
        <f>IFERROR(LOOKUP(2,1/((B_Drainage!$A$5:$A$204&lt;&gt;"")*(B_Drainage!$A$5:$A$204&lt;=$B532)*(B_Drainage!$B$5:$B$204&gt;$B532)*(B_Drainage!$H$5:$H$204&lt;&gt;"")),IF(UPPER(B_Drainage!$H$5:$H$204)="Y",1,"")),"")</f>
        <v/>
      </c>
      <c r="Z532" s="181" t="str">
        <f>IFERROR(LOOKUP(2,1/((B_Drainage!$A$5:$A$204&lt;&gt;"")*(B_Drainage!$A$5:$A$204&lt;=$B532)*(B_Drainage!$B$5:$B$204&gt;$B532)*(B_Drainage!$I$5:$I$204&lt;&gt;"")),IF(UPPER(B_Drainage!$I$5:$I$204)="Y",1,"")),"")</f>
        <v/>
      </c>
      <c r="AA532" s="181" t="str">
        <f>IFERROR(LOOKUP(2,1/((B_Drainage!$A$5:$A$204&lt;&gt;"")*(B_Drainage!$A$5:$A$204&lt;=$B532)*(B_Drainage!$B$5:$B$204&gt;$B532)*(B_Drainage!$J$5:$J$204&lt;&gt;"")),IF(UPPER(B_Drainage!$J$5:$J$204)="Y",1,"")),"")</f>
        <v/>
      </c>
      <c r="AB532" s="182" t="str">
        <f>IFERROR(LOOKUP(2,1/((B_Drainage!$A$5:$A$204&lt;&gt;"")*(B_Drainage!$A$5:$A$204&lt;=$B532)*(B_Drainage!$B$5:$B$204&gt;$B532)*(B_Drainage!$K$5:$K$204&lt;&gt;"")),IF(B_Drainage!$K$5:$K$204="-","",B_Drainage!$K$5:$K$204)),"")</f>
        <v/>
      </c>
      <c r="AC532" s="182" t="str">
        <f>IFERROR(LOOKUP(2,1/((B_Drainage!$A$5:$A$204&lt;&gt;"")*(B_Drainage!$A$5:$A$204&lt;=$B532)*(B_Drainage!$B$5:$B$204&gt;$B532)*(B_Drainage!$L$5:$L$204&lt;&gt;"")),IF(B_Drainage!$L$5:$L$204="-","",B_Drainage!$L$5:$L$204)),"")</f>
        <v/>
      </c>
      <c r="AD532" s="182" t="str">
        <f>IFERROR(LOOKUP(2,1/((D_Points!$A$5:$A$204&lt;&gt;"")*(D_Points!$A$5:$A$204&gt;=$B532)*(D_Points!$A$5:$A$204&lt;$B532+P_Interval)*(UPPER(TRIM(D_Points!$B$5:$B$204))="TURNOUT_L")*(D_Points!$H$5:$H$204&lt;&gt;"")),D_Points!$H$5:$H$204),"")</f>
        <v/>
      </c>
      <c r="AE532" s="182" t="str">
        <f>IFERROR(LOOKUP(2,1/((D_Points!$A$5:$A$204&lt;&gt;"")*(D_Points!$A$5:$A$204&gt;=$B532)*(D_Points!$A$5:$A$204&lt;$B532+P_Interval)*(UPPER(TRIM(D_Points!$B$5:$B$204))="TURNOUT_R")*(D_Points!$H$5:$H$204&lt;&gt;"")),D_Points!$H$5:$H$204),"")</f>
        <v/>
      </c>
      <c r="AF532" s="181" t="str">
        <f>IFERROR(LOOKUP(2,1/((B_Drainage!$A$5:$A$204&lt;&gt;"")*(B_Drainage!$A$5:$A$204&lt;=$B532)*(B_Drainage!$B$5:$B$204&gt;$B532)*(B_Drainage!$M$5:$M$204&lt;&gt;"")),IF(UPPER(B_Drainage!$M$5:$M$204)="Y",1,"")),"")</f>
        <v/>
      </c>
      <c r="AG532" s="181" t="str">
        <f>IFERROR(LOOKUP(2,1/((B_Drainage!$A$5:$A$204&lt;&gt;"")*(B_Drainage!$A$5:$A$204&lt;=$B532)*(B_Drainage!$B$5:$B$204&gt;$B532)*(B_Drainage!$N$5:$N$204&lt;&gt;"")),IF(UPPER(B_Drainage!$N$5:$N$204)="Y",1,"")),"")</f>
        <v/>
      </c>
      <c r="AH532" s="181" t="str">
        <f t="shared" si="64"/>
        <v/>
      </c>
      <c r="AI532" s="181" t="str">
        <f t="shared" si="65"/>
        <v/>
      </c>
      <c r="AJ532" s="181" t="str">
        <f t="shared" si="66"/>
        <v/>
      </c>
      <c r="AK532" s="181" t="str">
        <f t="shared" si="67"/>
        <v/>
      </c>
      <c r="AL532" s="181" t="str">
        <f t="shared" si="68"/>
        <v/>
      </c>
      <c r="AM532" s="181" t="str">
        <f t="shared" si="69"/>
        <v/>
      </c>
      <c r="AN532" s="181" t="str">
        <f t="shared" si="70"/>
        <v/>
      </c>
      <c r="AO532" s="192" t="str">
        <f t="shared" si="71"/>
        <v/>
      </c>
      <c r="AQ532" t="str">
        <f>IFERROR(LOOKUP(2,1/((C_Pavement!$A$5:$A$204&lt;&gt;"")*(C_Pavement!$A$5:$A$204&lt;=$B532)*(C_Pavement!$B$5:$B$204&gt;$B532)*(C_Pavement!$C$5:$C$204&lt;&gt;"")),ROW(C_Pavement!$C$5:$C$204)-4),"")</f>
        <v/>
      </c>
      <c r="AR532" t="str">
        <f>IF($AQ532="","",UPPER(TRIM(INDEX(C_Pavement!$C$5:$C$204,$AQ532))))</f>
        <v/>
      </c>
      <c r="AS532" t="str">
        <f>IF($AR532="","",IFERROR(MATCH($AR532,E_Rules!$A$5:$A$9,0),""))</f>
        <v/>
      </c>
      <c r="AT532" t="str">
        <f>IF($AQ532="","",IF(INDEX(C_Pavement!$D$5:$D$204,$AQ532)&lt;&gt;"",UPPER(TRIM(INDEX(C_Pavement!$D$5:$D$204,$AQ532))),IF($AS532="","",INDEX(E_Rules!$C$5:$C$9,$AS532))))</f>
        <v/>
      </c>
      <c r="AU532" t="str">
        <f>IF($AQ532="","",IF(INDEX(C_Pavement!$E$5:$E$204,$AQ532)&lt;&gt;"",IF(INDEX(C_Pavement!$E$5:$E$204,$AQ532)="-","",INDEX(C_Pavement!$E$5:$E$204,$AQ532)),IF($AS532="","",INDEX(E_Rules!$D$5:$D$9,$AS532))))</f>
        <v/>
      </c>
      <c r="AV532" t="str">
        <f>IF($AQ532="","",IF(INDEX(C_Pavement!$F$5:$F$204,$AQ532)&lt;&gt;"",IF(INDEX(C_Pavement!$F$5:$F$204,$AQ532)="-","",INDEX(C_Pavement!$F$5:$F$204,$AQ532)),IF($AS532="","",INDEX(E_Rules!$E$5:$E$9,$AS532))))</f>
        <v/>
      </c>
      <c r="AW532" t="str">
        <f>IF($AQ532="","",IF(INDEX(C_Pavement!$G$5:$G$204,$AQ532)&lt;&gt;"",IF(INDEX(C_Pavement!$G$5:$G$204,$AQ532)="-","",INDEX(C_Pavement!$G$5:$G$204,$AQ532)),IF($AS532="","",INDEX(E_Rules!$F$5:$F$9,$AS532))))</f>
        <v/>
      </c>
      <c r="AX532" t="str">
        <f>IF($AQ532="","",IF(INDEX(C_Pavement!$H$5:$H$204,$AQ532)&lt;&gt;"",IF(INDEX(C_Pavement!$H$5:$H$204,$AQ532)="-","",INDEX(C_Pavement!$H$5:$H$204,$AQ532)),IF($AS532="","",INDEX(E_Rules!$G$5:$G$9,$AS532))))</f>
        <v/>
      </c>
      <c r="AY532" t="str">
        <f>IF($AQ532="","",IF(INDEX(C_Pavement!$I$5:$I$204,$AQ532)&lt;&gt;"",IF(INDEX(C_Pavement!$I$5:$I$204,$AQ532)="-","",INDEX(C_Pavement!$I$5:$I$204,$AQ532)),IF($AS532="","",INDEX(E_Rules!$H$5:$H$9,$AS532))))</f>
        <v/>
      </c>
    </row>
    <row r="533" spans="1:51" ht="15.75" customHeight="1" x14ac:dyDescent="0.3">
      <c r="A533" s="189">
        <v>528</v>
      </c>
      <c r="B533" s="180">
        <v>26350</v>
      </c>
      <c r="C533" s="180" t="s">
        <v>839</v>
      </c>
      <c r="D533" s="181" t="str">
        <f>IFERROR(LOOKUP(2,1/((A_Corridor!$A$5:$A$204&lt;&gt;"")*(A_Corridor!$A$5:$A$204&lt;=$B533)*(A_Corridor!$B$5:$B$204&gt;$B533)*(A_Corridor!$C$5:$C$204&lt;&gt;"")),IF(UPPER(A_Corridor!$C$5:$C$204)="Y",1,"")),"")</f>
        <v/>
      </c>
      <c r="E533" s="181" t="str">
        <f>IFERROR(LOOKUP(2,1/((A_Corridor!$A$5:$A$204&lt;&gt;"")*(A_Corridor!$A$5:$A$204&lt;=$B533)*(A_Corridor!$B$5:$B$204&gt;$B533)*(A_Corridor!$D$5:$D$204&lt;&gt;"")),IF(A_Corridor!$D$5:$D$204="-","",UPPER(A_Corridor!$D$5:$D$204))),"")</f>
        <v/>
      </c>
      <c r="F533" s="181" t="str">
        <f>IFERROR(LOOKUP(2,1/((A_Corridor!$A$5:$A$204&lt;&gt;"")*(A_Corridor!$A$5:$A$204&lt;=$B533)*(A_Corridor!$B$5:$B$204&gt;$B533)*(A_Corridor!$E$5:$E$204&lt;&gt;"")),IF(A_Corridor!$E$5:$E$204="-","",1)),"")</f>
        <v/>
      </c>
      <c r="G533" s="182" t="str">
        <f>IFERROR(LOOKUP(2,1/((A_Corridor!$A$5:$A$204&lt;&gt;"")*(A_Corridor!$A$5:$A$204&lt;=$B533)*(A_Corridor!$B$5:$B$204&gt;$B533)*(A_Corridor!$E$5:$E$204&lt;&gt;"")),IF(A_Corridor!$E$5:$E$204="-","",A_Corridor!$E$5:$E$204)),"")</f>
        <v/>
      </c>
      <c r="H533" s="182" t="str">
        <f>IFERROR(LOOKUP(2,1/((D_Points!$A$5:$A$204&lt;&gt;"")*(D_Points!$A$5:$A$204&gt;=$B533)*(D_Points!$A$5:$A$204&lt;$B533+P_Interval)*(UPPER(TRIM(D_Points!$B$5:$B$204))="GULLY")*(D_Points!$H$5:$H$204&lt;&gt;"")),D_Points!$H$5:$H$204),"")</f>
        <v/>
      </c>
      <c r="I533" s="181" t="str">
        <f>IFERROR(LOOKUP(2,1/((A_Corridor!$A$5:$A$204&lt;&gt;"")*(A_Corridor!$A$5:$A$204&lt;=$B533)*(A_Corridor!$B$5:$B$204&gt;$B533)*(A_Corridor!$F$5:$F$204&lt;&gt;"")),IF(A_Corridor!$F$5:$F$204="-","",1)),"")</f>
        <v/>
      </c>
      <c r="J533" s="182" t="str">
        <f>IFERROR(LOOKUP(2,1/((A_Corridor!$A$5:$A$204&lt;&gt;"")*(A_Corridor!$A$5:$A$204&lt;=$B533)*(A_Corridor!$B$5:$B$204&gt;$B533)*(A_Corridor!$F$5:$F$204&lt;&gt;"")),IF(A_Corridor!$F$5:$F$204="-","",A_Corridor!$F$5:$F$204)),"")</f>
        <v/>
      </c>
      <c r="K533" s="182" t="str">
        <f>IFERROR(LOOKUP(2,1/((A_Corridor!$A$5:$A$204&lt;&gt;"")*(A_Corridor!$A$5:$A$204&lt;=$B533)*(A_Corridor!$B$5:$B$204&gt;$B533)*(A_Corridor!$G$5:$G$204&lt;&gt;"")),IF(A_Corridor!$G$5:$G$204="-","",A_Corridor!$G$5:$G$204)),"")</f>
        <v/>
      </c>
      <c r="L533" s="181" t="str">
        <f>IFERROR(LOOKUP(2,1/((A_Corridor!$A$5:$A$204&lt;&gt;"")*(A_Corridor!$A$5:$A$204&lt;=$B533)*(A_Corridor!$B$5:$B$204&gt;$B533)*(A_Corridor!$H$5:$H$204&lt;&gt;"")),IF(A_Corridor!$H$5:$H$204="-","",1)),"")</f>
        <v/>
      </c>
      <c r="M533" s="182" t="str">
        <f>IFERROR(LOOKUP(2,1/((A_Corridor!$A$5:$A$204&lt;&gt;"")*(A_Corridor!$A$5:$A$204&lt;=$B533)*(A_Corridor!$B$5:$B$204&gt;$B533)*(A_Corridor!$H$5:$H$204&lt;&gt;"")),IF(A_Corridor!$H$5:$H$204="-","",A_Corridor!$H$5:$H$204)),"")</f>
        <v/>
      </c>
      <c r="N533" s="182" t="str">
        <f>IFERROR(LOOKUP(2,1/((A_Corridor!$A$5:$A$204&lt;&gt;"")*(A_Corridor!$A$5:$A$204&lt;=$B533)*(A_Corridor!$B$5:$B$204&gt;$B533)*(A_Corridor!$I$5:$I$204&lt;&gt;"")),IF(A_Corridor!$I$5:$I$204="-","",A_Corridor!$I$5:$I$204)),"")</f>
        <v/>
      </c>
      <c r="O533" s="182" t="str">
        <f>IFERROR(LOOKUP(2,1/((D_Points!$A$5:$A$204&lt;&gt;"")*(D_Points!$A$5:$A$204&gt;=$B533)*(D_Points!$A$5:$A$204&lt;$B533+P_Interval)*(UPPER(TRIM(D_Points!$B$5:$B$204))="PITCHING")*(D_Points!$H$5:$H$204&lt;&gt;"")),D_Points!$H$5:$H$204),"")</f>
        <v/>
      </c>
      <c r="P533" s="181" t="str">
        <f>IFERROR(LOOKUP(2,1/((B_Drainage!$A$5:$A$204&lt;&gt;"")*(B_Drainage!$A$5:$A$204&lt;=$B533)*(B_Drainage!$B$5:$B$204&gt;$B533)*(B_Drainage!$C$5:$C$204&lt;&gt;"")),IF(B_Drainage!$C$5:$C$204="-","",UPPER(B_Drainage!$C$5:$C$204))),"")</f>
        <v/>
      </c>
      <c r="Q533" s="181" t="str">
        <f>IFERROR(LOOKUP(2,1/((B_Drainage!$A$5:$A$204&lt;&gt;"")*(B_Drainage!$A$5:$A$204&lt;=$B533)*(B_Drainage!$B$5:$B$204&gt;$B533)*(B_Drainage!$D$5:$D$204&lt;&gt;"")),IF(B_Drainage!$D$5:$D$204="-","",UPPER(B_Drainage!$D$5:$D$204))),"")</f>
        <v/>
      </c>
      <c r="R533" s="182" t="str">
        <f>IFERROR(LOOKUP(2,1/((D_Points!$A$5:$A$204&lt;&gt;"")*(D_Points!$A$5:$A$204&gt;=$B533)*(D_Points!$A$5:$A$204&lt;$B533+P_Interval)*(RIGHT(UPPER(TRIM(D_Points!$B$5:$B$204)),8)="_CULVERT")),IF(LEFT(UPPER(TRIM(D_Points!$B$5:$B$204)),2)="EX",1,IF(LEFT(UPPER(TRIM(D_Points!$B$5:$B$204)),2)="PR",2,3))),"")</f>
        <v/>
      </c>
      <c r="S533" s="182" t="str">
        <f>IFERROR(LOOKUP(2,1/((D_Points!$A$5:$A$204&lt;&gt;"")*(D_Points!$A$5:$A$204&gt;=$B533)*(D_Points!$A$5:$A$204&lt;$B533+P_Interval)*(RIGHT(UPPER(TRIM(D_Points!$B$5:$B$204)),7)="_BRIDGE")),IF(LEFT(UPPER(TRIM(D_Points!$B$5:$B$204)),2)="EX",1,IF(LEFT(UPPER(TRIM(D_Points!$B$5:$B$204)),2)="PR",2,2))),"")</f>
        <v/>
      </c>
      <c r="T533" s="181" t="str">
        <f>IFERROR(LOOKUP(2,1/((B_Drainage!$A$5:$A$204&lt;&gt;"")*(B_Drainage!$A$5:$A$204&lt;=$B533)*(B_Drainage!$B$5:$B$204&gt;$B533)*(B_Drainage!$E$5:$E$204&lt;&gt;"")),IF(B_Drainage!$E$5:$E$204="-","",1)),"")</f>
        <v/>
      </c>
      <c r="U533" s="181" t="str">
        <f>IFERROR(LOOKUP(2,1/((B_Drainage!$A$5:$A$204&lt;&gt;"")*(B_Drainage!$A$5:$A$204&lt;=$B533)*(B_Drainage!$B$5:$B$204&gt;$B533)*(B_Drainage!$E$5:$E$204&lt;&gt;"")),IF(B_Drainage!$E$5:$E$204="-","",B_Drainage!$E$5:$E$204)),"")</f>
        <v/>
      </c>
      <c r="V533" s="181" t="str">
        <f>IFERROR(LOOKUP(2,1/((B_Drainage!$A$5:$A$204&lt;&gt;"")*(B_Drainage!$A$5:$A$204&lt;=$B533)*(B_Drainage!$B$5:$B$204&gt;$B533)*(B_Drainage!$F$5:$F$204&lt;&gt;"")),IF(B_Drainage!$F$5:$F$204="-","",1)),"")</f>
        <v/>
      </c>
      <c r="W533" s="181" t="str">
        <f>IFERROR(LOOKUP(2,1/((B_Drainage!$A$5:$A$204&lt;&gt;"")*(B_Drainage!$A$5:$A$204&lt;=$B533)*(B_Drainage!$B$5:$B$204&gt;$B533)*(B_Drainage!$F$5:$F$204&lt;&gt;"")),IF(B_Drainage!$F$5:$F$204="-","",B_Drainage!$F$5:$F$204)),"")</f>
        <v/>
      </c>
      <c r="X533" s="181" t="str">
        <f>IFERROR(LOOKUP(2,1/((B_Drainage!$A$5:$A$204&lt;&gt;"")*(B_Drainage!$A$5:$A$204&lt;=$B533)*(B_Drainage!$B$5:$B$204&gt;$B533)*(B_Drainage!$G$5:$G$204&lt;&gt;"")),IF(UPPER(B_Drainage!$G$5:$G$204)="Y",1,"")),"")</f>
        <v/>
      </c>
      <c r="Y533" s="181" t="str">
        <f>IFERROR(LOOKUP(2,1/((B_Drainage!$A$5:$A$204&lt;&gt;"")*(B_Drainage!$A$5:$A$204&lt;=$B533)*(B_Drainage!$B$5:$B$204&gt;$B533)*(B_Drainage!$H$5:$H$204&lt;&gt;"")),IF(UPPER(B_Drainage!$H$5:$H$204)="Y",1,"")),"")</f>
        <v/>
      </c>
      <c r="Z533" s="181" t="str">
        <f>IFERROR(LOOKUP(2,1/((B_Drainage!$A$5:$A$204&lt;&gt;"")*(B_Drainage!$A$5:$A$204&lt;=$B533)*(B_Drainage!$B$5:$B$204&gt;$B533)*(B_Drainage!$I$5:$I$204&lt;&gt;"")),IF(UPPER(B_Drainage!$I$5:$I$204)="Y",1,"")),"")</f>
        <v/>
      </c>
      <c r="AA533" s="181" t="str">
        <f>IFERROR(LOOKUP(2,1/((B_Drainage!$A$5:$A$204&lt;&gt;"")*(B_Drainage!$A$5:$A$204&lt;=$B533)*(B_Drainage!$B$5:$B$204&gt;$B533)*(B_Drainage!$J$5:$J$204&lt;&gt;"")),IF(UPPER(B_Drainage!$J$5:$J$204)="Y",1,"")),"")</f>
        <v/>
      </c>
      <c r="AB533" s="182" t="str">
        <f>IFERROR(LOOKUP(2,1/((B_Drainage!$A$5:$A$204&lt;&gt;"")*(B_Drainage!$A$5:$A$204&lt;=$B533)*(B_Drainage!$B$5:$B$204&gt;$B533)*(B_Drainage!$K$5:$K$204&lt;&gt;"")),IF(B_Drainage!$K$5:$K$204="-","",B_Drainage!$K$5:$K$204)),"")</f>
        <v/>
      </c>
      <c r="AC533" s="182" t="str">
        <f>IFERROR(LOOKUP(2,1/((B_Drainage!$A$5:$A$204&lt;&gt;"")*(B_Drainage!$A$5:$A$204&lt;=$B533)*(B_Drainage!$B$5:$B$204&gt;$B533)*(B_Drainage!$L$5:$L$204&lt;&gt;"")),IF(B_Drainage!$L$5:$L$204="-","",B_Drainage!$L$5:$L$204)),"")</f>
        <v/>
      </c>
      <c r="AD533" s="182" t="str">
        <f>IFERROR(LOOKUP(2,1/((D_Points!$A$5:$A$204&lt;&gt;"")*(D_Points!$A$5:$A$204&gt;=$B533)*(D_Points!$A$5:$A$204&lt;$B533+P_Interval)*(UPPER(TRIM(D_Points!$B$5:$B$204))="TURNOUT_L")*(D_Points!$H$5:$H$204&lt;&gt;"")),D_Points!$H$5:$H$204),"")</f>
        <v/>
      </c>
      <c r="AE533" s="182" t="str">
        <f>IFERROR(LOOKUP(2,1/((D_Points!$A$5:$A$204&lt;&gt;"")*(D_Points!$A$5:$A$204&gt;=$B533)*(D_Points!$A$5:$A$204&lt;$B533+P_Interval)*(UPPER(TRIM(D_Points!$B$5:$B$204))="TURNOUT_R")*(D_Points!$H$5:$H$204&lt;&gt;"")),D_Points!$H$5:$H$204),"")</f>
        <v/>
      </c>
      <c r="AF533" s="181" t="str">
        <f>IFERROR(LOOKUP(2,1/((B_Drainage!$A$5:$A$204&lt;&gt;"")*(B_Drainage!$A$5:$A$204&lt;=$B533)*(B_Drainage!$B$5:$B$204&gt;$B533)*(B_Drainage!$M$5:$M$204&lt;&gt;"")),IF(UPPER(B_Drainage!$M$5:$M$204)="Y",1,"")),"")</f>
        <v/>
      </c>
      <c r="AG533" s="181" t="str">
        <f>IFERROR(LOOKUP(2,1/((B_Drainage!$A$5:$A$204&lt;&gt;"")*(B_Drainage!$A$5:$A$204&lt;=$B533)*(B_Drainage!$B$5:$B$204&gt;$B533)*(B_Drainage!$N$5:$N$204&lt;&gt;"")),IF(UPPER(B_Drainage!$N$5:$N$204)="Y",1,"")),"")</f>
        <v/>
      </c>
      <c r="AH533" s="181" t="str">
        <f t="shared" si="64"/>
        <v/>
      </c>
      <c r="AI533" s="181" t="str">
        <f t="shared" si="65"/>
        <v/>
      </c>
      <c r="AJ533" s="181" t="str">
        <f t="shared" si="66"/>
        <v/>
      </c>
      <c r="AK533" s="181" t="str">
        <f t="shared" si="67"/>
        <v/>
      </c>
      <c r="AL533" s="181" t="str">
        <f t="shared" si="68"/>
        <v/>
      </c>
      <c r="AM533" s="181" t="str">
        <f t="shared" si="69"/>
        <v/>
      </c>
      <c r="AN533" s="181" t="str">
        <f t="shared" si="70"/>
        <v/>
      </c>
      <c r="AO533" s="192" t="str">
        <f t="shared" si="71"/>
        <v/>
      </c>
      <c r="AQ533" t="str">
        <f>IFERROR(LOOKUP(2,1/((C_Pavement!$A$5:$A$204&lt;&gt;"")*(C_Pavement!$A$5:$A$204&lt;=$B533)*(C_Pavement!$B$5:$B$204&gt;$B533)*(C_Pavement!$C$5:$C$204&lt;&gt;"")),ROW(C_Pavement!$C$5:$C$204)-4),"")</f>
        <v/>
      </c>
      <c r="AR533" t="str">
        <f>IF($AQ533="","",UPPER(TRIM(INDEX(C_Pavement!$C$5:$C$204,$AQ533))))</f>
        <v/>
      </c>
      <c r="AS533" t="str">
        <f>IF($AR533="","",IFERROR(MATCH($AR533,E_Rules!$A$5:$A$9,0),""))</f>
        <v/>
      </c>
      <c r="AT533" t="str">
        <f>IF($AQ533="","",IF(INDEX(C_Pavement!$D$5:$D$204,$AQ533)&lt;&gt;"",UPPER(TRIM(INDEX(C_Pavement!$D$5:$D$204,$AQ533))),IF($AS533="","",INDEX(E_Rules!$C$5:$C$9,$AS533))))</f>
        <v/>
      </c>
      <c r="AU533" t="str">
        <f>IF($AQ533="","",IF(INDEX(C_Pavement!$E$5:$E$204,$AQ533)&lt;&gt;"",IF(INDEX(C_Pavement!$E$5:$E$204,$AQ533)="-","",INDEX(C_Pavement!$E$5:$E$204,$AQ533)),IF($AS533="","",INDEX(E_Rules!$D$5:$D$9,$AS533))))</f>
        <v/>
      </c>
      <c r="AV533" t="str">
        <f>IF($AQ533="","",IF(INDEX(C_Pavement!$F$5:$F$204,$AQ533)&lt;&gt;"",IF(INDEX(C_Pavement!$F$5:$F$204,$AQ533)="-","",INDEX(C_Pavement!$F$5:$F$204,$AQ533)),IF($AS533="","",INDEX(E_Rules!$E$5:$E$9,$AS533))))</f>
        <v/>
      </c>
      <c r="AW533" t="str">
        <f>IF($AQ533="","",IF(INDEX(C_Pavement!$G$5:$G$204,$AQ533)&lt;&gt;"",IF(INDEX(C_Pavement!$G$5:$G$204,$AQ533)="-","",INDEX(C_Pavement!$G$5:$G$204,$AQ533)),IF($AS533="","",INDEX(E_Rules!$F$5:$F$9,$AS533))))</f>
        <v/>
      </c>
      <c r="AX533" t="str">
        <f>IF($AQ533="","",IF(INDEX(C_Pavement!$H$5:$H$204,$AQ533)&lt;&gt;"",IF(INDEX(C_Pavement!$H$5:$H$204,$AQ533)="-","",INDEX(C_Pavement!$H$5:$H$204,$AQ533)),IF($AS533="","",INDEX(E_Rules!$G$5:$G$9,$AS533))))</f>
        <v/>
      </c>
      <c r="AY533" t="str">
        <f>IF($AQ533="","",IF(INDEX(C_Pavement!$I$5:$I$204,$AQ533)&lt;&gt;"",IF(INDEX(C_Pavement!$I$5:$I$204,$AQ533)="-","",INDEX(C_Pavement!$I$5:$I$204,$AQ533)),IF($AS533="","",INDEX(E_Rules!$H$5:$H$9,$AS533))))</f>
        <v/>
      </c>
    </row>
    <row r="534" spans="1:51" ht="15.75" customHeight="1" x14ac:dyDescent="0.3">
      <c r="A534" s="189">
        <v>529</v>
      </c>
      <c r="B534" s="180">
        <v>26400</v>
      </c>
      <c r="C534" s="180" t="s">
        <v>840</v>
      </c>
      <c r="D534" s="181" t="str">
        <f>IFERROR(LOOKUP(2,1/((A_Corridor!$A$5:$A$204&lt;&gt;"")*(A_Corridor!$A$5:$A$204&lt;=$B534)*(A_Corridor!$B$5:$B$204&gt;$B534)*(A_Corridor!$C$5:$C$204&lt;&gt;"")),IF(UPPER(A_Corridor!$C$5:$C$204)="Y",1,"")),"")</f>
        <v/>
      </c>
      <c r="E534" s="181" t="str">
        <f>IFERROR(LOOKUP(2,1/((A_Corridor!$A$5:$A$204&lt;&gt;"")*(A_Corridor!$A$5:$A$204&lt;=$B534)*(A_Corridor!$B$5:$B$204&gt;$B534)*(A_Corridor!$D$5:$D$204&lt;&gt;"")),IF(A_Corridor!$D$5:$D$204="-","",UPPER(A_Corridor!$D$5:$D$204))),"")</f>
        <v/>
      </c>
      <c r="F534" s="181" t="str">
        <f>IFERROR(LOOKUP(2,1/((A_Corridor!$A$5:$A$204&lt;&gt;"")*(A_Corridor!$A$5:$A$204&lt;=$B534)*(A_Corridor!$B$5:$B$204&gt;$B534)*(A_Corridor!$E$5:$E$204&lt;&gt;"")),IF(A_Corridor!$E$5:$E$204="-","",1)),"")</f>
        <v/>
      </c>
      <c r="G534" s="182" t="str">
        <f>IFERROR(LOOKUP(2,1/((A_Corridor!$A$5:$A$204&lt;&gt;"")*(A_Corridor!$A$5:$A$204&lt;=$B534)*(A_Corridor!$B$5:$B$204&gt;$B534)*(A_Corridor!$E$5:$E$204&lt;&gt;"")),IF(A_Corridor!$E$5:$E$204="-","",A_Corridor!$E$5:$E$204)),"")</f>
        <v/>
      </c>
      <c r="H534" s="182" t="str">
        <f>IFERROR(LOOKUP(2,1/((D_Points!$A$5:$A$204&lt;&gt;"")*(D_Points!$A$5:$A$204&gt;=$B534)*(D_Points!$A$5:$A$204&lt;$B534+P_Interval)*(UPPER(TRIM(D_Points!$B$5:$B$204))="GULLY")*(D_Points!$H$5:$H$204&lt;&gt;"")),D_Points!$H$5:$H$204),"")</f>
        <v/>
      </c>
      <c r="I534" s="181" t="str">
        <f>IFERROR(LOOKUP(2,1/((A_Corridor!$A$5:$A$204&lt;&gt;"")*(A_Corridor!$A$5:$A$204&lt;=$B534)*(A_Corridor!$B$5:$B$204&gt;$B534)*(A_Corridor!$F$5:$F$204&lt;&gt;"")),IF(A_Corridor!$F$5:$F$204="-","",1)),"")</f>
        <v/>
      </c>
      <c r="J534" s="182" t="str">
        <f>IFERROR(LOOKUP(2,1/((A_Corridor!$A$5:$A$204&lt;&gt;"")*(A_Corridor!$A$5:$A$204&lt;=$B534)*(A_Corridor!$B$5:$B$204&gt;$B534)*(A_Corridor!$F$5:$F$204&lt;&gt;"")),IF(A_Corridor!$F$5:$F$204="-","",A_Corridor!$F$5:$F$204)),"")</f>
        <v/>
      </c>
      <c r="K534" s="182" t="str">
        <f>IFERROR(LOOKUP(2,1/((A_Corridor!$A$5:$A$204&lt;&gt;"")*(A_Corridor!$A$5:$A$204&lt;=$B534)*(A_Corridor!$B$5:$B$204&gt;$B534)*(A_Corridor!$G$5:$G$204&lt;&gt;"")),IF(A_Corridor!$G$5:$G$204="-","",A_Corridor!$G$5:$G$204)),"")</f>
        <v/>
      </c>
      <c r="L534" s="181" t="str">
        <f>IFERROR(LOOKUP(2,1/((A_Corridor!$A$5:$A$204&lt;&gt;"")*(A_Corridor!$A$5:$A$204&lt;=$B534)*(A_Corridor!$B$5:$B$204&gt;$B534)*(A_Corridor!$H$5:$H$204&lt;&gt;"")),IF(A_Corridor!$H$5:$H$204="-","",1)),"")</f>
        <v/>
      </c>
      <c r="M534" s="182" t="str">
        <f>IFERROR(LOOKUP(2,1/((A_Corridor!$A$5:$A$204&lt;&gt;"")*(A_Corridor!$A$5:$A$204&lt;=$B534)*(A_Corridor!$B$5:$B$204&gt;$B534)*(A_Corridor!$H$5:$H$204&lt;&gt;"")),IF(A_Corridor!$H$5:$H$204="-","",A_Corridor!$H$5:$H$204)),"")</f>
        <v/>
      </c>
      <c r="N534" s="182" t="str">
        <f>IFERROR(LOOKUP(2,1/((A_Corridor!$A$5:$A$204&lt;&gt;"")*(A_Corridor!$A$5:$A$204&lt;=$B534)*(A_Corridor!$B$5:$B$204&gt;$B534)*(A_Corridor!$I$5:$I$204&lt;&gt;"")),IF(A_Corridor!$I$5:$I$204="-","",A_Corridor!$I$5:$I$204)),"")</f>
        <v/>
      </c>
      <c r="O534" s="182" t="str">
        <f>IFERROR(LOOKUP(2,1/((D_Points!$A$5:$A$204&lt;&gt;"")*(D_Points!$A$5:$A$204&gt;=$B534)*(D_Points!$A$5:$A$204&lt;$B534+P_Interval)*(UPPER(TRIM(D_Points!$B$5:$B$204))="PITCHING")*(D_Points!$H$5:$H$204&lt;&gt;"")),D_Points!$H$5:$H$204),"")</f>
        <v/>
      </c>
      <c r="P534" s="181" t="str">
        <f>IFERROR(LOOKUP(2,1/((B_Drainage!$A$5:$A$204&lt;&gt;"")*(B_Drainage!$A$5:$A$204&lt;=$B534)*(B_Drainage!$B$5:$B$204&gt;$B534)*(B_Drainage!$C$5:$C$204&lt;&gt;"")),IF(B_Drainage!$C$5:$C$204="-","",UPPER(B_Drainage!$C$5:$C$204))),"")</f>
        <v/>
      </c>
      <c r="Q534" s="181" t="str">
        <f>IFERROR(LOOKUP(2,1/((B_Drainage!$A$5:$A$204&lt;&gt;"")*(B_Drainage!$A$5:$A$204&lt;=$B534)*(B_Drainage!$B$5:$B$204&gt;$B534)*(B_Drainage!$D$5:$D$204&lt;&gt;"")),IF(B_Drainage!$D$5:$D$204="-","",UPPER(B_Drainage!$D$5:$D$204))),"")</f>
        <v/>
      </c>
      <c r="R534" s="182" t="str">
        <f>IFERROR(LOOKUP(2,1/((D_Points!$A$5:$A$204&lt;&gt;"")*(D_Points!$A$5:$A$204&gt;=$B534)*(D_Points!$A$5:$A$204&lt;$B534+P_Interval)*(RIGHT(UPPER(TRIM(D_Points!$B$5:$B$204)),8)="_CULVERT")),IF(LEFT(UPPER(TRIM(D_Points!$B$5:$B$204)),2)="EX",1,IF(LEFT(UPPER(TRIM(D_Points!$B$5:$B$204)),2)="PR",2,3))),"")</f>
        <v/>
      </c>
      <c r="S534" s="182" t="str">
        <f>IFERROR(LOOKUP(2,1/((D_Points!$A$5:$A$204&lt;&gt;"")*(D_Points!$A$5:$A$204&gt;=$B534)*(D_Points!$A$5:$A$204&lt;$B534+P_Interval)*(RIGHT(UPPER(TRIM(D_Points!$B$5:$B$204)),7)="_BRIDGE")),IF(LEFT(UPPER(TRIM(D_Points!$B$5:$B$204)),2)="EX",1,IF(LEFT(UPPER(TRIM(D_Points!$B$5:$B$204)),2)="PR",2,2))),"")</f>
        <v/>
      </c>
      <c r="T534" s="181" t="str">
        <f>IFERROR(LOOKUP(2,1/((B_Drainage!$A$5:$A$204&lt;&gt;"")*(B_Drainage!$A$5:$A$204&lt;=$B534)*(B_Drainage!$B$5:$B$204&gt;$B534)*(B_Drainage!$E$5:$E$204&lt;&gt;"")),IF(B_Drainage!$E$5:$E$204="-","",1)),"")</f>
        <v/>
      </c>
      <c r="U534" s="181" t="str">
        <f>IFERROR(LOOKUP(2,1/((B_Drainage!$A$5:$A$204&lt;&gt;"")*(B_Drainage!$A$5:$A$204&lt;=$B534)*(B_Drainage!$B$5:$B$204&gt;$B534)*(B_Drainage!$E$5:$E$204&lt;&gt;"")),IF(B_Drainage!$E$5:$E$204="-","",B_Drainage!$E$5:$E$204)),"")</f>
        <v/>
      </c>
      <c r="V534" s="181" t="str">
        <f>IFERROR(LOOKUP(2,1/((B_Drainage!$A$5:$A$204&lt;&gt;"")*(B_Drainage!$A$5:$A$204&lt;=$B534)*(B_Drainage!$B$5:$B$204&gt;$B534)*(B_Drainage!$F$5:$F$204&lt;&gt;"")),IF(B_Drainage!$F$5:$F$204="-","",1)),"")</f>
        <v/>
      </c>
      <c r="W534" s="181" t="str">
        <f>IFERROR(LOOKUP(2,1/((B_Drainage!$A$5:$A$204&lt;&gt;"")*(B_Drainage!$A$5:$A$204&lt;=$B534)*(B_Drainage!$B$5:$B$204&gt;$B534)*(B_Drainage!$F$5:$F$204&lt;&gt;"")),IF(B_Drainage!$F$5:$F$204="-","",B_Drainage!$F$5:$F$204)),"")</f>
        <v/>
      </c>
      <c r="X534" s="181" t="str">
        <f>IFERROR(LOOKUP(2,1/((B_Drainage!$A$5:$A$204&lt;&gt;"")*(B_Drainage!$A$5:$A$204&lt;=$B534)*(B_Drainage!$B$5:$B$204&gt;$B534)*(B_Drainage!$G$5:$G$204&lt;&gt;"")),IF(UPPER(B_Drainage!$G$5:$G$204)="Y",1,"")),"")</f>
        <v/>
      </c>
      <c r="Y534" s="181" t="str">
        <f>IFERROR(LOOKUP(2,1/((B_Drainage!$A$5:$A$204&lt;&gt;"")*(B_Drainage!$A$5:$A$204&lt;=$B534)*(B_Drainage!$B$5:$B$204&gt;$B534)*(B_Drainage!$H$5:$H$204&lt;&gt;"")),IF(UPPER(B_Drainage!$H$5:$H$204)="Y",1,"")),"")</f>
        <v/>
      </c>
      <c r="Z534" s="181" t="str">
        <f>IFERROR(LOOKUP(2,1/((B_Drainage!$A$5:$A$204&lt;&gt;"")*(B_Drainage!$A$5:$A$204&lt;=$B534)*(B_Drainage!$B$5:$B$204&gt;$B534)*(B_Drainage!$I$5:$I$204&lt;&gt;"")),IF(UPPER(B_Drainage!$I$5:$I$204)="Y",1,"")),"")</f>
        <v/>
      </c>
      <c r="AA534" s="181" t="str">
        <f>IFERROR(LOOKUP(2,1/((B_Drainage!$A$5:$A$204&lt;&gt;"")*(B_Drainage!$A$5:$A$204&lt;=$B534)*(B_Drainage!$B$5:$B$204&gt;$B534)*(B_Drainage!$J$5:$J$204&lt;&gt;"")),IF(UPPER(B_Drainage!$J$5:$J$204)="Y",1,"")),"")</f>
        <v/>
      </c>
      <c r="AB534" s="182" t="str">
        <f>IFERROR(LOOKUP(2,1/((B_Drainage!$A$5:$A$204&lt;&gt;"")*(B_Drainage!$A$5:$A$204&lt;=$B534)*(B_Drainage!$B$5:$B$204&gt;$B534)*(B_Drainage!$K$5:$K$204&lt;&gt;"")),IF(B_Drainage!$K$5:$K$204="-","",B_Drainage!$K$5:$K$204)),"")</f>
        <v/>
      </c>
      <c r="AC534" s="182" t="str">
        <f>IFERROR(LOOKUP(2,1/((B_Drainage!$A$5:$A$204&lt;&gt;"")*(B_Drainage!$A$5:$A$204&lt;=$B534)*(B_Drainage!$B$5:$B$204&gt;$B534)*(B_Drainage!$L$5:$L$204&lt;&gt;"")),IF(B_Drainage!$L$5:$L$204="-","",B_Drainage!$L$5:$L$204)),"")</f>
        <v/>
      </c>
      <c r="AD534" s="182" t="str">
        <f>IFERROR(LOOKUP(2,1/((D_Points!$A$5:$A$204&lt;&gt;"")*(D_Points!$A$5:$A$204&gt;=$B534)*(D_Points!$A$5:$A$204&lt;$B534+P_Interval)*(UPPER(TRIM(D_Points!$B$5:$B$204))="TURNOUT_L")*(D_Points!$H$5:$H$204&lt;&gt;"")),D_Points!$H$5:$H$204),"")</f>
        <v/>
      </c>
      <c r="AE534" s="182" t="str">
        <f>IFERROR(LOOKUP(2,1/((D_Points!$A$5:$A$204&lt;&gt;"")*(D_Points!$A$5:$A$204&gt;=$B534)*(D_Points!$A$5:$A$204&lt;$B534+P_Interval)*(UPPER(TRIM(D_Points!$B$5:$B$204))="TURNOUT_R")*(D_Points!$H$5:$H$204&lt;&gt;"")),D_Points!$H$5:$H$204),"")</f>
        <v/>
      </c>
      <c r="AF534" s="181" t="str">
        <f>IFERROR(LOOKUP(2,1/((B_Drainage!$A$5:$A$204&lt;&gt;"")*(B_Drainage!$A$5:$A$204&lt;=$B534)*(B_Drainage!$B$5:$B$204&gt;$B534)*(B_Drainage!$M$5:$M$204&lt;&gt;"")),IF(UPPER(B_Drainage!$M$5:$M$204)="Y",1,"")),"")</f>
        <v/>
      </c>
      <c r="AG534" s="181" t="str">
        <f>IFERROR(LOOKUP(2,1/((B_Drainage!$A$5:$A$204&lt;&gt;"")*(B_Drainage!$A$5:$A$204&lt;=$B534)*(B_Drainage!$B$5:$B$204&gt;$B534)*(B_Drainage!$N$5:$N$204&lt;&gt;"")),IF(UPPER(B_Drainage!$N$5:$N$204)="Y",1,"")),"")</f>
        <v/>
      </c>
      <c r="AH534" s="181" t="str">
        <f t="shared" si="64"/>
        <v/>
      </c>
      <c r="AI534" s="181" t="str">
        <f t="shared" si="65"/>
        <v/>
      </c>
      <c r="AJ534" s="181" t="str">
        <f t="shared" si="66"/>
        <v/>
      </c>
      <c r="AK534" s="181" t="str">
        <f t="shared" si="67"/>
        <v/>
      </c>
      <c r="AL534" s="181" t="str">
        <f t="shared" si="68"/>
        <v/>
      </c>
      <c r="AM534" s="181" t="str">
        <f t="shared" si="69"/>
        <v/>
      </c>
      <c r="AN534" s="181" t="str">
        <f t="shared" si="70"/>
        <v/>
      </c>
      <c r="AO534" s="192" t="str">
        <f t="shared" si="71"/>
        <v/>
      </c>
      <c r="AQ534" t="str">
        <f>IFERROR(LOOKUP(2,1/((C_Pavement!$A$5:$A$204&lt;&gt;"")*(C_Pavement!$A$5:$A$204&lt;=$B534)*(C_Pavement!$B$5:$B$204&gt;$B534)*(C_Pavement!$C$5:$C$204&lt;&gt;"")),ROW(C_Pavement!$C$5:$C$204)-4),"")</f>
        <v/>
      </c>
      <c r="AR534" t="str">
        <f>IF($AQ534="","",UPPER(TRIM(INDEX(C_Pavement!$C$5:$C$204,$AQ534))))</f>
        <v/>
      </c>
      <c r="AS534" t="str">
        <f>IF($AR534="","",IFERROR(MATCH($AR534,E_Rules!$A$5:$A$9,0),""))</f>
        <v/>
      </c>
      <c r="AT534" t="str">
        <f>IF($AQ534="","",IF(INDEX(C_Pavement!$D$5:$D$204,$AQ534)&lt;&gt;"",UPPER(TRIM(INDEX(C_Pavement!$D$5:$D$204,$AQ534))),IF($AS534="","",INDEX(E_Rules!$C$5:$C$9,$AS534))))</f>
        <v/>
      </c>
      <c r="AU534" t="str">
        <f>IF($AQ534="","",IF(INDEX(C_Pavement!$E$5:$E$204,$AQ534)&lt;&gt;"",IF(INDEX(C_Pavement!$E$5:$E$204,$AQ534)="-","",INDEX(C_Pavement!$E$5:$E$204,$AQ534)),IF($AS534="","",INDEX(E_Rules!$D$5:$D$9,$AS534))))</f>
        <v/>
      </c>
      <c r="AV534" t="str">
        <f>IF($AQ534="","",IF(INDEX(C_Pavement!$F$5:$F$204,$AQ534)&lt;&gt;"",IF(INDEX(C_Pavement!$F$5:$F$204,$AQ534)="-","",INDEX(C_Pavement!$F$5:$F$204,$AQ534)),IF($AS534="","",INDEX(E_Rules!$E$5:$E$9,$AS534))))</f>
        <v/>
      </c>
      <c r="AW534" t="str">
        <f>IF($AQ534="","",IF(INDEX(C_Pavement!$G$5:$G$204,$AQ534)&lt;&gt;"",IF(INDEX(C_Pavement!$G$5:$G$204,$AQ534)="-","",INDEX(C_Pavement!$G$5:$G$204,$AQ534)),IF($AS534="","",INDEX(E_Rules!$F$5:$F$9,$AS534))))</f>
        <v/>
      </c>
      <c r="AX534" t="str">
        <f>IF($AQ534="","",IF(INDEX(C_Pavement!$H$5:$H$204,$AQ534)&lt;&gt;"",IF(INDEX(C_Pavement!$H$5:$H$204,$AQ534)="-","",INDEX(C_Pavement!$H$5:$H$204,$AQ534)),IF($AS534="","",INDEX(E_Rules!$G$5:$G$9,$AS534))))</f>
        <v/>
      </c>
      <c r="AY534" t="str">
        <f>IF($AQ534="","",IF(INDEX(C_Pavement!$I$5:$I$204,$AQ534)&lt;&gt;"",IF(INDEX(C_Pavement!$I$5:$I$204,$AQ534)="-","",INDEX(C_Pavement!$I$5:$I$204,$AQ534)),IF($AS534="","",INDEX(E_Rules!$H$5:$H$9,$AS534))))</f>
        <v/>
      </c>
    </row>
    <row r="535" spans="1:51" ht="15.75" customHeight="1" x14ac:dyDescent="0.3">
      <c r="A535" s="189">
        <v>530</v>
      </c>
      <c r="B535" s="180">
        <v>26450</v>
      </c>
      <c r="C535" s="180" t="s">
        <v>841</v>
      </c>
      <c r="D535" s="181" t="str">
        <f>IFERROR(LOOKUP(2,1/((A_Corridor!$A$5:$A$204&lt;&gt;"")*(A_Corridor!$A$5:$A$204&lt;=$B535)*(A_Corridor!$B$5:$B$204&gt;$B535)*(A_Corridor!$C$5:$C$204&lt;&gt;"")),IF(UPPER(A_Corridor!$C$5:$C$204)="Y",1,"")),"")</f>
        <v/>
      </c>
      <c r="E535" s="181" t="str">
        <f>IFERROR(LOOKUP(2,1/((A_Corridor!$A$5:$A$204&lt;&gt;"")*(A_Corridor!$A$5:$A$204&lt;=$B535)*(A_Corridor!$B$5:$B$204&gt;$B535)*(A_Corridor!$D$5:$D$204&lt;&gt;"")),IF(A_Corridor!$D$5:$D$204="-","",UPPER(A_Corridor!$D$5:$D$204))),"")</f>
        <v/>
      </c>
      <c r="F535" s="181" t="str">
        <f>IFERROR(LOOKUP(2,1/((A_Corridor!$A$5:$A$204&lt;&gt;"")*(A_Corridor!$A$5:$A$204&lt;=$B535)*(A_Corridor!$B$5:$B$204&gt;$B535)*(A_Corridor!$E$5:$E$204&lt;&gt;"")),IF(A_Corridor!$E$5:$E$204="-","",1)),"")</f>
        <v/>
      </c>
      <c r="G535" s="182" t="str">
        <f>IFERROR(LOOKUP(2,1/((A_Corridor!$A$5:$A$204&lt;&gt;"")*(A_Corridor!$A$5:$A$204&lt;=$B535)*(A_Corridor!$B$5:$B$204&gt;$B535)*(A_Corridor!$E$5:$E$204&lt;&gt;"")),IF(A_Corridor!$E$5:$E$204="-","",A_Corridor!$E$5:$E$204)),"")</f>
        <v/>
      </c>
      <c r="H535" s="182" t="str">
        <f>IFERROR(LOOKUP(2,1/((D_Points!$A$5:$A$204&lt;&gt;"")*(D_Points!$A$5:$A$204&gt;=$B535)*(D_Points!$A$5:$A$204&lt;$B535+P_Interval)*(UPPER(TRIM(D_Points!$B$5:$B$204))="GULLY")*(D_Points!$H$5:$H$204&lt;&gt;"")),D_Points!$H$5:$H$204),"")</f>
        <v/>
      </c>
      <c r="I535" s="181" t="str">
        <f>IFERROR(LOOKUP(2,1/((A_Corridor!$A$5:$A$204&lt;&gt;"")*(A_Corridor!$A$5:$A$204&lt;=$B535)*(A_Corridor!$B$5:$B$204&gt;$B535)*(A_Corridor!$F$5:$F$204&lt;&gt;"")),IF(A_Corridor!$F$5:$F$204="-","",1)),"")</f>
        <v/>
      </c>
      <c r="J535" s="182" t="str">
        <f>IFERROR(LOOKUP(2,1/((A_Corridor!$A$5:$A$204&lt;&gt;"")*(A_Corridor!$A$5:$A$204&lt;=$B535)*(A_Corridor!$B$5:$B$204&gt;$B535)*(A_Corridor!$F$5:$F$204&lt;&gt;"")),IF(A_Corridor!$F$5:$F$204="-","",A_Corridor!$F$5:$F$204)),"")</f>
        <v/>
      </c>
      <c r="K535" s="182" t="str">
        <f>IFERROR(LOOKUP(2,1/((A_Corridor!$A$5:$A$204&lt;&gt;"")*(A_Corridor!$A$5:$A$204&lt;=$B535)*(A_Corridor!$B$5:$B$204&gt;$B535)*(A_Corridor!$G$5:$G$204&lt;&gt;"")),IF(A_Corridor!$G$5:$G$204="-","",A_Corridor!$G$5:$G$204)),"")</f>
        <v/>
      </c>
      <c r="L535" s="181" t="str">
        <f>IFERROR(LOOKUP(2,1/((A_Corridor!$A$5:$A$204&lt;&gt;"")*(A_Corridor!$A$5:$A$204&lt;=$B535)*(A_Corridor!$B$5:$B$204&gt;$B535)*(A_Corridor!$H$5:$H$204&lt;&gt;"")),IF(A_Corridor!$H$5:$H$204="-","",1)),"")</f>
        <v/>
      </c>
      <c r="M535" s="182" t="str">
        <f>IFERROR(LOOKUP(2,1/((A_Corridor!$A$5:$A$204&lt;&gt;"")*(A_Corridor!$A$5:$A$204&lt;=$B535)*(A_Corridor!$B$5:$B$204&gt;$B535)*(A_Corridor!$H$5:$H$204&lt;&gt;"")),IF(A_Corridor!$H$5:$H$204="-","",A_Corridor!$H$5:$H$204)),"")</f>
        <v/>
      </c>
      <c r="N535" s="182" t="str">
        <f>IFERROR(LOOKUP(2,1/((A_Corridor!$A$5:$A$204&lt;&gt;"")*(A_Corridor!$A$5:$A$204&lt;=$B535)*(A_Corridor!$B$5:$B$204&gt;$B535)*(A_Corridor!$I$5:$I$204&lt;&gt;"")),IF(A_Corridor!$I$5:$I$204="-","",A_Corridor!$I$5:$I$204)),"")</f>
        <v/>
      </c>
      <c r="O535" s="182" t="str">
        <f>IFERROR(LOOKUP(2,1/((D_Points!$A$5:$A$204&lt;&gt;"")*(D_Points!$A$5:$A$204&gt;=$B535)*(D_Points!$A$5:$A$204&lt;$B535+P_Interval)*(UPPER(TRIM(D_Points!$B$5:$B$204))="PITCHING")*(D_Points!$H$5:$H$204&lt;&gt;"")),D_Points!$H$5:$H$204),"")</f>
        <v/>
      </c>
      <c r="P535" s="181" t="str">
        <f>IFERROR(LOOKUP(2,1/((B_Drainage!$A$5:$A$204&lt;&gt;"")*(B_Drainage!$A$5:$A$204&lt;=$B535)*(B_Drainage!$B$5:$B$204&gt;$B535)*(B_Drainage!$C$5:$C$204&lt;&gt;"")),IF(B_Drainage!$C$5:$C$204="-","",UPPER(B_Drainage!$C$5:$C$204))),"")</f>
        <v/>
      </c>
      <c r="Q535" s="181" t="str">
        <f>IFERROR(LOOKUP(2,1/((B_Drainage!$A$5:$A$204&lt;&gt;"")*(B_Drainage!$A$5:$A$204&lt;=$B535)*(B_Drainage!$B$5:$B$204&gt;$B535)*(B_Drainage!$D$5:$D$204&lt;&gt;"")),IF(B_Drainage!$D$5:$D$204="-","",UPPER(B_Drainage!$D$5:$D$204))),"")</f>
        <v/>
      </c>
      <c r="R535" s="182" t="str">
        <f>IFERROR(LOOKUP(2,1/((D_Points!$A$5:$A$204&lt;&gt;"")*(D_Points!$A$5:$A$204&gt;=$B535)*(D_Points!$A$5:$A$204&lt;$B535+P_Interval)*(RIGHT(UPPER(TRIM(D_Points!$B$5:$B$204)),8)="_CULVERT")),IF(LEFT(UPPER(TRIM(D_Points!$B$5:$B$204)),2)="EX",1,IF(LEFT(UPPER(TRIM(D_Points!$B$5:$B$204)),2)="PR",2,3))),"")</f>
        <v/>
      </c>
      <c r="S535" s="182" t="str">
        <f>IFERROR(LOOKUP(2,1/((D_Points!$A$5:$A$204&lt;&gt;"")*(D_Points!$A$5:$A$204&gt;=$B535)*(D_Points!$A$5:$A$204&lt;$B535+P_Interval)*(RIGHT(UPPER(TRIM(D_Points!$B$5:$B$204)),7)="_BRIDGE")),IF(LEFT(UPPER(TRIM(D_Points!$B$5:$B$204)),2)="EX",1,IF(LEFT(UPPER(TRIM(D_Points!$B$5:$B$204)),2)="PR",2,2))),"")</f>
        <v/>
      </c>
      <c r="T535" s="181" t="str">
        <f>IFERROR(LOOKUP(2,1/((B_Drainage!$A$5:$A$204&lt;&gt;"")*(B_Drainage!$A$5:$A$204&lt;=$B535)*(B_Drainage!$B$5:$B$204&gt;$B535)*(B_Drainage!$E$5:$E$204&lt;&gt;"")),IF(B_Drainage!$E$5:$E$204="-","",1)),"")</f>
        <v/>
      </c>
      <c r="U535" s="181" t="str">
        <f>IFERROR(LOOKUP(2,1/((B_Drainage!$A$5:$A$204&lt;&gt;"")*(B_Drainage!$A$5:$A$204&lt;=$B535)*(B_Drainage!$B$5:$B$204&gt;$B535)*(B_Drainage!$E$5:$E$204&lt;&gt;"")),IF(B_Drainage!$E$5:$E$204="-","",B_Drainage!$E$5:$E$204)),"")</f>
        <v/>
      </c>
      <c r="V535" s="181" t="str">
        <f>IFERROR(LOOKUP(2,1/((B_Drainage!$A$5:$A$204&lt;&gt;"")*(B_Drainage!$A$5:$A$204&lt;=$B535)*(B_Drainage!$B$5:$B$204&gt;$B535)*(B_Drainage!$F$5:$F$204&lt;&gt;"")),IF(B_Drainage!$F$5:$F$204="-","",1)),"")</f>
        <v/>
      </c>
      <c r="W535" s="181" t="str">
        <f>IFERROR(LOOKUP(2,1/((B_Drainage!$A$5:$A$204&lt;&gt;"")*(B_Drainage!$A$5:$A$204&lt;=$B535)*(B_Drainage!$B$5:$B$204&gt;$B535)*(B_Drainage!$F$5:$F$204&lt;&gt;"")),IF(B_Drainage!$F$5:$F$204="-","",B_Drainage!$F$5:$F$204)),"")</f>
        <v/>
      </c>
      <c r="X535" s="181" t="str">
        <f>IFERROR(LOOKUP(2,1/((B_Drainage!$A$5:$A$204&lt;&gt;"")*(B_Drainage!$A$5:$A$204&lt;=$B535)*(B_Drainage!$B$5:$B$204&gt;$B535)*(B_Drainage!$G$5:$G$204&lt;&gt;"")),IF(UPPER(B_Drainage!$G$5:$G$204)="Y",1,"")),"")</f>
        <v/>
      </c>
      <c r="Y535" s="181" t="str">
        <f>IFERROR(LOOKUP(2,1/((B_Drainage!$A$5:$A$204&lt;&gt;"")*(B_Drainage!$A$5:$A$204&lt;=$B535)*(B_Drainage!$B$5:$B$204&gt;$B535)*(B_Drainage!$H$5:$H$204&lt;&gt;"")),IF(UPPER(B_Drainage!$H$5:$H$204)="Y",1,"")),"")</f>
        <v/>
      </c>
      <c r="Z535" s="181" t="str">
        <f>IFERROR(LOOKUP(2,1/((B_Drainage!$A$5:$A$204&lt;&gt;"")*(B_Drainage!$A$5:$A$204&lt;=$B535)*(B_Drainage!$B$5:$B$204&gt;$B535)*(B_Drainage!$I$5:$I$204&lt;&gt;"")),IF(UPPER(B_Drainage!$I$5:$I$204)="Y",1,"")),"")</f>
        <v/>
      </c>
      <c r="AA535" s="181" t="str">
        <f>IFERROR(LOOKUP(2,1/((B_Drainage!$A$5:$A$204&lt;&gt;"")*(B_Drainage!$A$5:$A$204&lt;=$B535)*(B_Drainage!$B$5:$B$204&gt;$B535)*(B_Drainage!$J$5:$J$204&lt;&gt;"")),IF(UPPER(B_Drainage!$J$5:$J$204)="Y",1,"")),"")</f>
        <v/>
      </c>
      <c r="AB535" s="182" t="str">
        <f>IFERROR(LOOKUP(2,1/((B_Drainage!$A$5:$A$204&lt;&gt;"")*(B_Drainage!$A$5:$A$204&lt;=$B535)*(B_Drainage!$B$5:$B$204&gt;$B535)*(B_Drainage!$K$5:$K$204&lt;&gt;"")),IF(B_Drainage!$K$5:$K$204="-","",B_Drainage!$K$5:$K$204)),"")</f>
        <v/>
      </c>
      <c r="AC535" s="182" t="str">
        <f>IFERROR(LOOKUP(2,1/((B_Drainage!$A$5:$A$204&lt;&gt;"")*(B_Drainage!$A$5:$A$204&lt;=$B535)*(B_Drainage!$B$5:$B$204&gt;$B535)*(B_Drainage!$L$5:$L$204&lt;&gt;"")),IF(B_Drainage!$L$5:$L$204="-","",B_Drainage!$L$5:$L$204)),"")</f>
        <v/>
      </c>
      <c r="AD535" s="182" t="str">
        <f>IFERROR(LOOKUP(2,1/((D_Points!$A$5:$A$204&lt;&gt;"")*(D_Points!$A$5:$A$204&gt;=$B535)*(D_Points!$A$5:$A$204&lt;$B535+P_Interval)*(UPPER(TRIM(D_Points!$B$5:$B$204))="TURNOUT_L")*(D_Points!$H$5:$H$204&lt;&gt;"")),D_Points!$H$5:$H$204),"")</f>
        <v/>
      </c>
      <c r="AE535" s="182" t="str">
        <f>IFERROR(LOOKUP(2,1/((D_Points!$A$5:$A$204&lt;&gt;"")*(D_Points!$A$5:$A$204&gt;=$B535)*(D_Points!$A$5:$A$204&lt;$B535+P_Interval)*(UPPER(TRIM(D_Points!$B$5:$B$204))="TURNOUT_R")*(D_Points!$H$5:$H$204&lt;&gt;"")),D_Points!$H$5:$H$204),"")</f>
        <v/>
      </c>
      <c r="AF535" s="181" t="str">
        <f>IFERROR(LOOKUP(2,1/((B_Drainage!$A$5:$A$204&lt;&gt;"")*(B_Drainage!$A$5:$A$204&lt;=$B535)*(B_Drainage!$B$5:$B$204&gt;$B535)*(B_Drainage!$M$5:$M$204&lt;&gt;"")),IF(UPPER(B_Drainage!$M$5:$M$204)="Y",1,"")),"")</f>
        <v/>
      </c>
      <c r="AG535" s="181" t="str">
        <f>IFERROR(LOOKUP(2,1/((B_Drainage!$A$5:$A$204&lt;&gt;"")*(B_Drainage!$A$5:$A$204&lt;=$B535)*(B_Drainage!$B$5:$B$204&gt;$B535)*(B_Drainage!$N$5:$N$204&lt;&gt;"")),IF(UPPER(B_Drainage!$N$5:$N$204)="Y",1,"")),"")</f>
        <v/>
      </c>
      <c r="AH535" s="181" t="str">
        <f t="shared" si="64"/>
        <v/>
      </c>
      <c r="AI535" s="181" t="str">
        <f t="shared" si="65"/>
        <v/>
      </c>
      <c r="AJ535" s="181" t="str">
        <f t="shared" si="66"/>
        <v/>
      </c>
      <c r="AK535" s="181" t="str">
        <f t="shared" si="67"/>
        <v/>
      </c>
      <c r="AL535" s="181" t="str">
        <f t="shared" si="68"/>
        <v/>
      </c>
      <c r="AM535" s="181" t="str">
        <f t="shared" si="69"/>
        <v/>
      </c>
      <c r="AN535" s="181" t="str">
        <f t="shared" si="70"/>
        <v/>
      </c>
      <c r="AO535" s="192" t="str">
        <f t="shared" si="71"/>
        <v/>
      </c>
      <c r="AQ535" t="str">
        <f>IFERROR(LOOKUP(2,1/((C_Pavement!$A$5:$A$204&lt;&gt;"")*(C_Pavement!$A$5:$A$204&lt;=$B535)*(C_Pavement!$B$5:$B$204&gt;$B535)*(C_Pavement!$C$5:$C$204&lt;&gt;"")),ROW(C_Pavement!$C$5:$C$204)-4),"")</f>
        <v/>
      </c>
      <c r="AR535" t="str">
        <f>IF($AQ535="","",UPPER(TRIM(INDEX(C_Pavement!$C$5:$C$204,$AQ535))))</f>
        <v/>
      </c>
      <c r="AS535" t="str">
        <f>IF($AR535="","",IFERROR(MATCH($AR535,E_Rules!$A$5:$A$9,0),""))</f>
        <v/>
      </c>
      <c r="AT535" t="str">
        <f>IF($AQ535="","",IF(INDEX(C_Pavement!$D$5:$D$204,$AQ535)&lt;&gt;"",UPPER(TRIM(INDEX(C_Pavement!$D$5:$D$204,$AQ535))),IF($AS535="","",INDEX(E_Rules!$C$5:$C$9,$AS535))))</f>
        <v/>
      </c>
      <c r="AU535" t="str">
        <f>IF($AQ535="","",IF(INDEX(C_Pavement!$E$5:$E$204,$AQ535)&lt;&gt;"",IF(INDEX(C_Pavement!$E$5:$E$204,$AQ535)="-","",INDEX(C_Pavement!$E$5:$E$204,$AQ535)),IF($AS535="","",INDEX(E_Rules!$D$5:$D$9,$AS535))))</f>
        <v/>
      </c>
      <c r="AV535" t="str">
        <f>IF($AQ535="","",IF(INDEX(C_Pavement!$F$5:$F$204,$AQ535)&lt;&gt;"",IF(INDEX(C_Pavement!$F$5:$F$204,$AQ535)="-","",INDEX(C_Pavement!$F$5:$F$204,$AQ535)),IF($AS535="","",INDEX(E_Rules!$E$5:$E$9,$AS535))))</f>
        <v/>
      </c>
      <c r="AW535" t="str">
        <f>IF($AQ535="","",IF(INDEX(C_Pavement!$G$5:$G$204,$AQ535)&lt;&gt;"",IF(INDEX(C_Pavement!$G$5:$G$204,$AQ535)="-","",INDEX(C_Pavement!$G$5:$G$204,$AQ535)),IF($AS535="","",INDEX(E_Rules!$F$5:$F$9,$AS535))))</f>
        <v/>
      </c>
      <c r="AX535" t="str">
        <f>IF($AQ535="","",IF(INDEX(C_Pavement!$H$5:$H$204,$AQ535)&lt;&gt;"",IF(INDEX(C_Pavement!$H$5:$H$204,$AQ535)="-","",INDEX(C_Pavement!$H$5:$H$204,$AQ535)),IF($AS535="","",INDEX(E_Rules!$G$5:$G$9,$AS535))))</f>
        <v/>
      </c>
      <c r="AY535" t="str">
        <f>IF($AQ535="","",IF(INDEX(C_Pavement!$I$5:$I$204,$AQ535)&lt;&gt;"",IF(INDEX(C_Pavement!$I$5:$I$204,$AQ535)="-","",INDEX(C_Pavement!$I$5:$I$204,$AQ535)),IF($AS535="","",INDEX(E_Rules!$H$5:$H$9,$AS535))))</f>
        <v/>
      </c>
    </row>
    <row r="536" spans="1:51" ht="15.75" customHeight="1" x14ac:dyDescent="0.3">
      <c r="A536" s="189">
        <v>531</v>
      </c>
      <c r="B536" s="180">
        <v>26500</v>
      </c>
      <c r="C536" s="180" t="s">
        <v>842</v>
      </c>
      <c r="D536" s="181" t="str">
        <f>IFERROR(LOOKUP(2,1/((A_Corridor!$A$5:$A$204&lt;&gt;"")*(A_Corridor!$A$5:$A$204&lt;=$B536)*(A_Corridor!$B$5:$B$204&gt;$B536)*(A_Corridor!$C$5:$C$204&lt;&gt;"")),IF(UPPER(A_Corridor!$C$5:$C$204)="Y",1,"")),"")</f>
        <v/>
      </c>
      <c r="E536" s="181" t="str">
        <f>IFERROR(LOOKUP(2,1/((A_Corridor!$A$5:$A$204&lt;&gt;"")*(A_Corridor!$A$5:$A$204&lt;=$B536)*(A_Corridor!$B$5:$B$204&gt;$B536)*(A_Corridor!$D$5:$D$204&lt;&gt;"")),IF(A_Corridor!$D$5:$D$204="-","",UPPER(A_Corridor!$D$5:$D$204))),"")</f>
        <v/>
      </c>
      <c r="F536" s="181" t="str">
        <f>IFERROR(LOOKUP(2,1/((A_Corridor!$A$5:$A$204&lt;&gt;"")*(A_Corridor!$A$5:$A$204&lt;=$B536)*(A_Corridor!$B$5:$B$204&gt;$B536)*(A_Corridor!$E$5:$E$204&lt;&gt;"")),IF(A_Corridor!$E$5:$E$204="-","",1)),"")</f>
        <v/>
      </c>
      <c r="G536" s="182" t="str">
        <f>IFERROR(LOOKUP(2,1/((A_Corridor!$A$5:$A$204&lt;&gt;"")*(A_Corridor!$A$5:$A$204&lt;=$B536)*(A_Corridor!$B$5:$B$204&gt;$B536)*(A_Corridor!$E$5:$E$204&lt;&gt;"")),IF(A_Corridor!$E$5:$E$204="-","",A_Corridor!$E$5:$E$204)),"")</f>
        <v/>
      </c>
      <c r="H536" s="182" t="str">
        <f>IFERROR(LOOKUP(2,1/((D_Points!$A$5:$A$204&lt;&gt;"")*(D_Points!$A$5:$A$204&gt;=$B536)*(D_Points!$A$5:$A$204&lt;$B536+P_Interval)*(UPPER(TRIM(D_Points!$B$5:$B$204))="GULLY")*(D_Points!$H$5:$H$204&lt;&gt;"")),D_Points!$H$5:$H$204),"")</f>
        <v/>
      </c>
      <c r="I536" s="181" t="str">
        <f>IFERROR(LOOKUP(2,1/((A_Corridor!$A$5:$A$204&lt;&gt;"")*(A_Corridor!$A$5:$A$204&lt;=$B536)*(A_Corridor!$B$5:$B$204&gt;$B536)*(A_Corridor!$F$5:$F$204&lt;&gt;"")),IF(A_Corridor!$F$5:$F$204="-","",1)),"")</f>
        <v/>
      </c>
      <c r="J536" s="182" t="str">
        <f>IFERROR(LOOKUP(2,1/((A_Corridor!$A$5:$A$204&lt;&gt;"")*(A_Corridor!$A$5:$A$204&lt;=$B536)*(A_Corridor!$B$5:$B$204&gt;$B536)*(A_Corridor!$F$5:$F$204&lt;&gt;"")),IF(A_Corridor!$F$5:$F$204="-","",A_Corridor!$F$5:$F$204)),"")</f>
        <v/>
      </c>
      <c r="K536" s="182" t="str">
        <f>IFERROR(LOOKUP(2,1/((A_Corridor!$A$5:$A$204&lt;&gt;"")*(A_Corridor!$A$5:$A$204&lt;=$B536)*(A_Corridor!$B$5:$B$204&gt;$B536)*(A_Corridor!$G$5:$G$204&lt;&gt;"")),IF(A_Corridor!$G$5:$G$204="-","",A_Corridor!$G$5:$G$204)),"")</f>
        <v/>
      </c>
      <c r="L536" s="181" t="str">
        <f>IFERROR(LOOKUP(2,1/((A_Corridor!$A$5:$A$204&lt;&gt;"")*(A_Corridor!$A$5:$A$204&lt;=$B536)*(A_Corridor!$B$5:$B$204&gt;$B536)*(A_Corridor!$H$5:$H$204&lt;&gt;"")),IF(A_Corridor!$H$5:$H$204="-","",1)),"")</f>
        <v/>
      </c>
      <c r="M536" s="182" t="str">
        <f>IFERROR(LOOKUP(2,1/((A_Corridor!$A$5:$A$204&lt;&gt;"")*(A_Corridor!$A$5:$A$204&lt;=$B536)*(A_Corridor!$B$5:$B$204&gt;$B536)*(A_Corridor!$H$5:$H$204&lt;&gt;"")),IF(A_Corridor!$H$5:$H$204="-","",A_Corridor!$H$5:$H$204)),"")</f>
        <v/>
      </c>
      <c r="N536" s="182" t="str">
        <f>IFERROR(LOOKUP(2,1/((A_Corridor!$A$5:$A$204&lt;&gt;"")*(A_Corridor!$A$5:$A$204&lt;=$B536)*(A_Corridor!$B$5:$B$204&gt;$B536)*(A_Corridor!$I$5:$I$204&lt;&gt;"")),IF(A_Corridor!$I$5:$I$204="-","",A_Corridor!$I$5:$I$204)),"")</f>
        <v/>
      </c>
      <c r="O536" s="182" t="str">
        <f>IFERROR(LOOKUP(2,1/((D_Points!$A$5:$A$204&lt;&gt;"")*(D_Points!$A$5:$A$204&gt;=$B536)*(D_Points!$A$5:$A$204&lt;$B536+P_Interval)*(UPPER(TRIM(D_Points!$B$5:$B$204))="PITCHING")*(D_Points!$H$5:$H$204&lt;&gt;"")),D_Points!$H$5:$H$204),"")</f>
        <v/>
      </c>
      <c r="P536" s="181" t="str">
        <f>IFERROR(LOOKUP(2,1/((B_Drainage!$A$5:$A$204&lt;&gt;"")*(B_Drainage!$A$5:$A$204&lt;=$B536)*(B_Drainage!$B$5:$B$204&gt;$B536)*(B_Drainage!$C$5:$C$204&lt;&gt;"")),IF(B_Drainage!$C$5:$C$204="-","",UPPER(B_Drainage!$C$5:$C$204))),"")</f>
        <v/>
      </c>
      <c r="Q536" s="181" t="str">
        <f>IFERROR(LOOKUP(2,1/((B_Drainage!$A$5:$A$204&lt;&gt;"")*(B_Drainage!$A$5:$A$204&lt;=$B536)*(B_Drainage!$B$5:$B$204&gt;$B536)*(B_Drainage!$D$5:$D$204&lt;&gt;"")),IF(B_Drainage!$D$5:$D$204="-","",UPPER(B_Drainage!$D$5:$D$204))),"")</f>
        <v/>
      </c>
      <c r="R536" s="182" t="str">
        <f>IFERROR(LOOKUP(2,1/((D_Points!$A$5:$A$204&lt;&gt;"")*(D_Points!$A$5:$A$204&gt;=$B536)*(D_Points!$A$5:$A$204&lt;$B536+P_Interval)*(RIGHT(UPPER(TRIM(D_Points!$B$5:$B$204)),8)="_CULVERT")),IF(LEFT(UPPER(TRIM(D_Points!$B$5:$B$204)),2)="EX",1,IF(LEFT(UPPER(TRIM(D_Points!$B$5:$B$204)),2)="PR",2,3))),"")</f>
        <v/>
      </c>
      <c r="S536" s="182" t="str">
        <f>IFERROR(LOOKUP(2,1/((D_Points!$A$5:$A$204&lt;&gt;"")*(D_Points!$A$5:$A$204&gt;=$B536)*(D_Points!$A$5:$A$204&lt;$B536+P_Interval)*(RIGHT(UPPER(TRIM(D_Points!$B$5:$B$204)),7)="_BRIDGE")),IF(LEFT(UPPER(TRIM(D_Points!$B$5:$B$204)),2)="EX",1,IF(LEFT(UPPER(TRIM(D_Points!$B$5:$B$204)),2)="PR",2,2))),"")</f>
        <v/>
      </c>
      <c r="T536" s="181" t="str">
        <f>IFERROR(LOOKUP(2,1/((B_Drainage!$A$5:$A$204&lt;&gt;"")*(B_Drainage!$A$5:$A$204&lt;=$B536)*(B_Drainage!$B$5:$B$204&gt;$B536)*(B_Drainage!$E$5:$E$204&lt;&gt;"")),IF(B_Drainage!$E$5:$E$204="-","",1)),"")</f>
        <v/>
      </c>
      <c r="U536" s="181" t="str">
        <f>IFERROR(LOOKUP(2,1/((B_Drainage!$A$5:$A$204&lt;&gt;"")*(B_Drainage!$A$5:$A$204&lt;=$B536)*(B_Drainage!$B$5:$B$204&gt;$B536)*(B_Drainage!$E$5:$E$204&lt;&gt;"")),IF(B_Drainage!$E$5:$E$204="-","",B_Drainage!$E$5:$E$204)),"")</f>
        <v/>
      </c>
      <c r="V536" s="181" t="str">
        <f>IFERROR(LOOKUP(2,1/((B_Drainage!$A$5:$A$204&lt;&gt;"")*(B_Drainage!$A$5:$A$204&lt;=$B536)*(B_Drainage!$B$5:$B$204&gt;$B536)*(B_Drainage!$F$5:$F$204&lt;&gt;"")),IF(B_Drainage!$F$5:$F$204="-","",1)),"")</f>
        <v/>
      </c>
      <c r="W536" s="181" t="str">
        <f>IFERROR(LOOKUP(2,1/((B_Drainage!$A$5:$A$204&lt;&gt;"")*(B_Drainage!$A$5:$A$204&lt;=$B536)*(B_Drainage!$B$5:$B$204&gt;$B536)*(B_Drainage!$F$5:$F$204&lt;&gt;"")),IF(B_Drainage!$F$5:$F$204="-","",B_Drainage!$F$5:$F$204)),"")</f>
        <v/>
      </c>
      <c r="X536" s="181" t="str">
        <f>IFERROR(LOOKUP(2,1/((B_Drainage!$A$5:$A$204&lt;&gt;"")*(B_Drainage!$A$5:$A$204&lt;=$B536)*(B_Drainage!$B$5:$B$204&gt;$B536)*(B_Drainage!$G$5:$G$204&lt;&gt;"")),IF(UPPER(B_Drainage!$G$5:$G$204)="Y",1,"")),"")</f>
        <v/>
      </c>
      <c r="Y536" s="181" t="str">
        <f>IFERROR(LOOKUP(2,1/((B_Drainage!$A$5:$A$204&lt;&gt;"")*(B_Drainage!$A$5:$A$204&lt;=$B536)*(B_Drainage!$B$5:$B$204&gt;$B536)*(B_Drainage!$H$5:$H$204&lt;&gt;"")),IF(UPPER(B_Drainage!$H$5:$H$204)="Y",1,"")),"")</f>
        <v/>
      </c>
      <c r="Z536" s="181" t="str">
        <f>IFERROR(LOOKUP(2,1/((B_Drainage!$A$5:$A$204&lt;&gt;"")*(B_Drainage!$A$5:$A$204&lt;=$B536)*(B_Drainage!$B$5:$B$204&gt;$B536)*(B_Drainage!$I$5:$I$204&lt;&gt;"")),IF(UPPER(B_Drainage!$I$5:$I$204)="Y",1,"")),"")</f>
        <v/>
      </c>
      <c r="AA536" s="181" t="str">
        <f>IFERROR(LOOKUP(2,1/((B_Drainage!$A$5:$A$204&lt;&gt;"")*(B_Drainage!$A$5:$A$204&lt;=$B536)*(B_Drainage!$B$5:$B$204&gt;$B536)*(B_Drainage!$J$5:$J$204&lt;&gt;"")),IF(UPPER(B_Drainage!$J$5:$J$204)="Y",1,"")),"")</f>
        <v/>
      </c>
      <c r="AB536" s="182" t="str">
        <f>IFERROR(LOOKUP(2,1/((B_Drainage!$A$5:$A$204&lt;&gt;"")*(B_Drainage!$A$5:$A$204&lt;=$B536)*(B_Drainage!$B$5:$B$204&gt;$B536)*(B_Drainage!$K$5:$K$204&lt;&gt;"")),IF(B_Drainage!$K$5:$K$204="-","",B_Drainage!$K$5:$K$204)),"")</f>
        <v/>
      </c>
      <c r="AC536" s="182" t="str">
        <f>IFERROR(LOOKUP(2,1/((B_Drainage!$A$5:$A$204&lt;&gt;"")*(B_Drainage!$A$5:$A$204&lt;=$B536)*(B_Drainage!$B$5:$B$204&gt;$B536)*(B_Drainage!$L$5:$L$204&lt;&gt;"")),IF(B_Drainage!$L$5:$L$204="-","",B_Drainage!$L$5:$L$204)),"")</f>
        <v/>
      </c>
      <c r="AD536" s="182" t="str">
        <f>IFERROR(LOOKUP(2,1/((D_Points!$A$5:$A$204&lt;&gt;"")*(D_Points!$A$5:$A$204&gt;=$B536)*(D_Points!$A$5:$A$204&lt;$B536+P_Interval)*(UPPER(TRIM(D_Points!$B$5:$B$204))="TURNOUT_L")*(D_Points!$H$5:$H$204&lt;&gt;"")),D_Points!$H$5:$H$204),"")</f>
        <v/>
      </c>
      <c r="AE536" s="182" t="str">
        <f>IFERROR(LOOKUP(2,1/((D_Points!$A$5:$A$204&lt;&gt;"")*(D_Points!$A$5:$A$204&gt;=$B536)*(D_Points!$A$5:$A$204&lt;$B536+P_Interval)*(UPPER(TRIM(D_Points!$B$5:$B$204))="TURNOUT_R")*(D_Points!$H$5:$H$204&lt;&gt;"")),D_Points!$H$5:$H$204),"")</f>
        <v/>
      </c>
      <c r="AF536" s="181" t="str">
        <f>IFERROR(LOOKUP(2,1/((B_Drainage!$A$5:$A$204&lt;&gt;"")*(B_Drainage!$A$5:$A$204&lt;=$B536)*(B_Drainage!$B$5:$B$204&gt;$B536)*(B_Drainage!$M$5:$M$204&lt;&gt;"")),IF(UPPER(B_Drainage!$M$5:$M$204)="Y",1,"")),"")</f>
        <v/>
      </c>
      <c r="AG536" s="181" t="str">
        <f>IFERROR(LOOKUP(2,1/((B_Drainage!$A$5:$A$204&lt;&gt;"")*(B_Drainage!$A$5:$A$204&lt;=$B536)*(B_Drainage!$B$5:$B$204&gt;$B536)*(B_Drainage!$N$5:$N$204&lt;&gt;"")),IF(UPPER(B_Drainage!$N$5:$N$204)="Y",1,"")),"")</f>
        <v/>
      </c>
      <c r="AH536" s="181" t="str">
        <f t="shared" si="64"/>
        <v/>
      </c>
      <c r="AI536" s="181" t="str">
        <f t="shared" si="65"/>
        <v/>
      </c>
      <c r="AJ536" s="181" t="str">
        <f t="shared" si="66"/>
        <v/>
      </c>
      <c r="AK536" s="181" t="str">
        <f t="shared" si="67"/>
        <v/>
      </c>
      <c r="AL536" s="181" t="str">
        <f t="shared" si="68"/>
        <v/>
      </c>
      <c r="AM536" s="181" t="str">
        <f t="shared" si="69"/>
        <v/>
      </c>
      <c r="AN536" s="181" t="str">
        <f t="shared" si="70"/>
        <v/>
      </c>
      <c r="AO536" s="192" t="str">
        <f t="shared" si="71"/>
        <v/>
      </c>
      <c r="AQ536" t="str">
        <f>IFERROR(LOOKUP(2,1/((C_Pavement!$A$5:$A$204&lt;&gt;"")*(C_Pavement!$A$5:$A$204&lt;=$B536)*(C_Pavement!$B$5:$B$204&gt;$B536)*(C_Pavement!$C$5:$C$204&lt;&gt;"")),ROW(C_Pavement!$C$5:$C$204)-4),"")</f>
        <v/>
      </c>
      <c r="AR536" t="str">
        <f>IF($AQ536="","",UPPER(TRIM(INDEX(C_Pavement!$C$5:$C$204,$AQ536))))</f>
        <v/>
      </c>
      <c r="AS536" t="str">
        <f>IF($AR536="","",IFERROR(MATCH($AR536,E_Rules!$A$5:$A$9,0),""))</f>
        <v/>
      </c>
      <c r="AT536" t="str">
        <f>IF($AQ536="","",IF(INDEX(C_Pavement!$D$5:$D$204,$AQ536)&lt;&gt;"",UPPER(TRIM(INDEX(C_Pavement!$D$5:$D$204,$AQ536))),IF($AS536="","",INDEX(E_Rules!$C$5:$C$9,$AS536))))</f>
        <v/>
      </c>
      <c r="AU536" t="str">
        <f>IF($AQ536="","",IF(INDEX(C_Pavement!$E$5:$E$204,$AQ536)&lt;&gt;"",IF(INDEX(C_Pavement!$E$5:$E$204,$AQ536)="-","",INDEX(C_Pavement!$E$5:$E$204,$AQ536)),IF($AS536="","",INDEX(E_Rules!$D$5:$D$9,$AS536))))</f>
        <v/>
      </c>
      <c r="AV536" t="str">
        <f>IF($AQ536="","",IF(INDEX(C_Pavement!$F$5:$F$204,$AQ536)&lt;&gt;"",IF(INDEX(C_Pavement!$F$5:$F$204,$AQ536)="-","",INDEX(C_Pavement!$F$5:$F$204,$AQ536)),IF($AS536="","",INDEX(E_Rules!$E$5:$E$9,$AS536))))</f>
        <v/>
      </c>
      <c r="AW536" t="str">
        <f>IF($AQ536="","",IF(INDEX(C_Pavement!$G$5:$G$204,$AQ536)&lt;&gt;"",IF(INDEX(C_Pavement!$G$5:$G$204,$AQ536)="-","",INDEX(C_Pavement!$G$5:$G$204,$AQ536)),IF($AS536="","",INDEX(E_Rules!$F$5:$F$9,$AS536))))</f>
        <v/>
      </c>
      <c r="AX536" t="str">
        <f>IF($AQ536="","",IF(INDEX(C_Pavement!$H$5:$H$204,$AQ536)&lt;&gt;"",IF(INDEX(C_Pavement!$H$5:$H$204,$AQ536)="-","",INDEX(C_Pavement!$H$5:$H$204,$AQ536)),IF($AS536="","",INDEX(E_Rules!$G$5:$G$9,$AS536))))</f>
        <v/>
      </c>
      <c r="AY536" t="str">
        <f>IF($AQ536="","",IF(INDEX(C_Pavement!$I$5:$I$204,$AQ536)&lt;&gt;"",IF(INDEX(C_Pavement!$I$5:$I$204,$AQ536)="-","",INDEX(C_Pavement!$I$5:$I$204,$AQ536)),IF($AS536="","",INDEX(E_Rules!$H$5:$H$9,$AS536))))</f>
        <v/>
      </c>
    </row>
    <row r="537" spans="1:51" ht="15.75" customHeight="1" x14ac:dyDescent="0.3">
      <c r="A537" s="189">
        <v>532</v>
      </c>
      <c r="B537" s="180">
        <v>26550</v>
      </c>
      <c r="C537" s="180" t="s">
        <v>843</v>
      </c>
      <c r="D537" s="181" t="str">
        <f>IFERROR(LOOKUP(2,1/((A_Corridor!$A$5:$A$204&lt;&gt;"")*(A_Corridor!$A$5:$A$204&lt;=$B537)*(A_Corridor!$B$5:$B$204&gt;$B537)*(A_Corridor!$C$5:$C$204&lt;&gt;"")),IF(UPPER(A_Corridor!$C$5:$C$204)="Y",1,"")),"")</f>
        <v/>
      </c>
      <c r="E537" s="181" t="str">
        <f>IFERROR(LOOKUP(2,1/((A_Corridor!$A$5:$A$204&lt;&gt;"")*(A_Corridor!$A$5:$A$204&lt;=$B537)*(A_Corridor!$B$5:$B$204&gt;$B537)*(A_Corridor!$D$5:$D$204&lt;&gt;"")),IF(A_Corridor!$D$5:$D$204="-","",UPPER(A_Corridor!$D$5:$D$204))),"")</f>
        <v/>
      </c>
      <c r="F537" s="181" t="str">
        <f>IFERROR(LOOKUP(2,1/((A_Corridor!$A$5:$A$204&lt;&gt;"")*(A_Corridor!$A$5:$A$204&lt;=$B537)*(A_Corridor!$B$5:$B$204&gt;$B537)*(A_Corridor!$E$5:$E$204&lt;&gt;"")),IF(A_Corridor!$E$5:$E$204="-","",1)),"")</f>
        <v/>
      </c>
      <c r="G537" s="182" t="str">
        <f>IFERROR(LOOKUP(2,1/((A_Corridor!$A$5:$A$204&lt;&gt;"")*(A_Corridor!$A$5:$A$204&lt;=$B537)*(A_Corridor!$B$5:$B$204&gt;$B537)*(A_Corridor!$E$5:$E$204&lt;&gt;"")),IF(A_Corridor!$E$5:$E$204="-","",A_Corridor!$E$5:$E$204)),"")</f>
        <v/>
      </c>
      <c r="H537" s="182" t="str">
        <f>IFERROR(LOOKUP(2,1/((D_Points!$A$5:$A$204&lt;&gt;"")*(D_Points!$A$5:$A$204&gt;=$B537)*(D_Points!$A$5:$A$204&lt;$B537+P_Interval)*(UPPER(TRIM(D_Points!$B$5:$B$204))="GULLY")*(D_Points!$H$5:$H$204&lt;&gt;"")),D_Points!$H$5:$H$204),"")</f>
        <v/>
      </c>
      <c r="I537" s="181" t="str">
        <f>IFERROR(LOOKUP(2,1/((A_Corridor!$A$5:$A$204&lt;&gt;"")*(A_Corridor!$A$5:$A$204&lt;=$B537)*(A_Corridor!$B$5:$B$204&gt;$B537)*(A_Corridor!$F$5:$F$204&lt;&gt;"")),IF(A_Corridor!$F$5:$F$204="-","",1)),"")</f>
        <v/>
      </c>
      <c r="J537" s="182" t="str">
        <f>IFERROR(LOOKUP(2,1/((A_Corridor!$A$5:$A$204&lt;&gt;"")*(A_Corridor!$A$5:$A$204&lt;=$B537)*(A_Corridor!$B$5:$B$204&gt;$B537)*(A_Corridor!$F$5:$F$204&lt;&gt;"")),IF(A_Corridor!$F$5:$F$204="-","",A_Corridor!$F$5:$F$204)),"")</f>
        <v/>
      </c>
      <c r="K537" s="182" t="str">
        <f>IFERROR(LOOKUP(2,1/((A_Corridor!$A$5:$A$204&lt;&gt;"")*(A_Corridor!$A$5:$A$204&lt;=$B537)*(A_Corridor!$B$5:$B$204&gt;$B537)*(A_Corridor!$G$5:$G$204&lt;&gt;"")),IF(A_Corridor!$G$5:$G$204="-","",A_Corridor!$G$5:$G$204)),"")</f>
        <v/>
      </c>
      <c r="L537" s="181" t="str">
        <f>IFERROR(LOOKUP(2,1/((A_Corridor!$A$5:$A$204&lt;&gt;"")*(A_Corridor!$A$5:$A$204&lt;=$B537)*(A_Corridor!$B$5:$B$204&gt;$B537)*(A_Corridor!$H$5:$H$204&lt;&gt;"")),IF(A_Corridor!$H$5:$H$204="-","",1)),"")</f>
        <v/>
      </c>
      <c r="M537" s="182" t="str">
        <f>IFERROR(LOOKUP(2,1/((A_Corridor!$A$5:$A$204&lt;&gt;"")*(A_Corridor!$A$5:$A$204&lt;=$B537)*(A_Corridor!$B$5:$B$204&gt;$B537)*(A_Corridor!$H$5:$H$204&lt;&gt;"")),IF(A_Corridor!$H$5:$H$204="-","",A_Corridor!$H$5:$H$204)),"")</f>
        <v/>
      </c>
      <c r="N537" s="182" t="str">
        <f>IFERROR(LOOKUP(2,1/((A_Corridor!$A$5:$A$204&lt;&gt;"")*(A_Corridor!$A$5:$A$204&lt;=$B537)*(A_Corridor!$B$5:$B$204&gt;$B537)*(A_Corridor!$I$5:$I$204&lt;&gt;"")),IF(A_Corridor!$I$5:$I$204="-","",A_Corridor!$I$5:$I$204)),"")</f>
        <v/>
      </c>
      <c r="O537" s="182" t="str">
        <f>IFERROR(LOOKUP(2,1/((D_Points!$A$5:$A$204&lt;&gt;"")*(D_Points!$A$5:$A$204&gt;=$B537)*(D_Points!$A$5:$A$204&lt;$B537+P_Interval)*(UPPER(TRIM(D_Points!$B$5:$B$204))="PITCHING")*(D_Points!$H$5:$H$204&lt;&gt;"")),D_Points!$H$5:$H$204),"")</f>
        <v/>
      </c>
      <c r="P537" s="181" t="str">
        <f>IFERROR(LOOKUP(2,1/((B_Drainage!$A$5:$A$204&lt;&gt;"")*(B_Drainage!$A$5:$A$204&lt;=$B537)*(B_Drainage!$B$5:$B$204&gt;$B537)*(B_Drainage!$C$5:$C$204&lt;&gt;"")),IF(B_Drainage!$C$5:$C$204="-","",UPPER(B_Drainage!$C$5:$C$204))),"")</f>
        <v/>
      </c>
      <c r="Q537" s="181" t="str">
        <f>IFERROR(LOOKUP(2,1/((B_Drainage!$A$5:$A$204&lt;&gt;"")*(B_Drainage!$A$5:$A$204&lt;=$B537)*(B_Drainage!$B$5:$B$204&gt;$B537)*(B_Drainage!$D$5:$D$204&lt;&gt;"")),IF(B_Drainage!$D$5:$D$204="-","",UPPER(B_Drainage!$D$5:$D$204))),"")</f>
        <v/>
      </c>
      <c r="R537" s="182" t="str">
        <f>IFERROR(LOOKUP(2,1/((D_Points!$A$5:$A$204&lt;&gt;"")*(D_Points!$A$5:$A$204&gt;=$B537)*(D_Points!$A$5:$A$204&lt;$B537+P_Interval)*(RIGHT(UPPER(TRIM(D_Points!$B$5:$B$204)),8)="_CULVERT")),IF(LEFT(UPPER(TRIM(D_Points!$B$5:$B$204)),2)="EX",1,IF(LEFT(UPPER(TRIM(D_Points!$B$5:$B$204)),2)="PR",2,3))),"")</f>
        <v/>
      </c>
      <c r="S537" s="182" t="str">
        <f>IFERROR(LOOKUP(2,1/((D_Points!$A$5:$A$204&lt;&gt;"")*(D_Points!$A$5:$A$204&gt;=$B537)*(D_Points!$A$5:$A$204&lt;$B537+P_Interval)*(RIGHT(UPPER(TRIM(D_Points!$B$5:$B$204)),7)="_BRIDGE")),IF(LEFT(UPPER(TRIM(D_Points!$B$5:$B$204)),2)="EX",1,IF(LEFT(UPPER(TRIM(D_Points!$B$5:$B$204)),2)="PR",2,2))),"")</f>
        <v/>
      </c>
      <c r="T537" s="181" t="str">
        <f>IFERROR(LOOKUP(2,1/((B_Drainage!$A$5:$A$204&lt;&gt;"")*(B_Drainage!$A$5:$A$204&lt;=$B537)*(B_Drainage!$B$5:$B$204&gt;$B537)*(B_Drainage!$E$5:$E$204&lt;&gt;"")),IF(B_Drainage!$E$5:$E$204="-","",1)),"")</f>
        <v/>
      </c>
      <c r="U537" s="181" t="str">
        <f>IFERROR(LOOKUP(2,1/((B_Drainage!$A$5:$A$204&lt;&gt;"")*(B_Drainage!$A$5:$A$204&lt;=$B537)*(B_Drainage!$B$5:$B$204&gt;$B537)*(B_Drainage!$E$5:$E$204&lt;&gt;"")),IF(B_Drainage!$E$5:$E$204="-","",B_Drainage!$E$5:$E$204)),"")</f>
        <v/>
      </c>
      <c r="V537" s="181" t="str">
        <f>IFERROR(LOOKUP(2,1/((B_Drainage!$A$5:$A$204&lt;&gt;"")*(B_Drainage!$A$5:$A$204&lt;=$B537)*(B_Drainage!$B$5:$B$204&gt;$B537)*(B_Drainage!$F$5:$F$204&lt;&gt;"")),IF(B_Drainage!$F$5:$F$204="-","",1)),"")</f>
        <v/>
      </c>
      <c r="W537" s="181" t="str">
        <f>IFERROR(LOOKUP(2,1/((B_Drainage!$A$5:$A$204&lt;&gt;"")*(B_Drainage!$A$5:$A$204&lt;=$B537)*(B_Drainage!$B$5:$B$204&gt;$B537)*(B_Drainage!$F$5:$F$204&lt;&gt;"")),IF(B_Drainage!$F$5:$F$204="-","",B_Drainage!$F$5:$F$204)),"")</f>
        <v/>
      </c>
      <c r="X537" s="181" t="str">
        <f>IFERROR(LOOKUP(2,1/((B_Drainage!$A$5:$A$204&lt;&gt;"")*(B_Drainage!$A$5:$A$204&lt;=$B537)*(B_Drainage!$B$5:$B$204&gt;$B537)*(B_Drainage!$G$5:$G$204&lt;&gt;"")),IF(UPPER(B_Drainage!$G$5:$G$204)="Y",1,"")),"")</f>
        <v/>
      </c>
      <c r="Y537" s="181" t="str">
        <f>IFERROR(LOOKUP(2,1/((B_Drainage!$A$5:$A$204&lt;&gt;"")*(B_Drainage!$A$5:$A$204&lt;=$B537)*(B_Drainage!$B$5:$B$204&gt;$B537)*(B_Drainage!$H$5:$H$204&lt;&gt;"")),IF(UPPER(B_Drainage!$H$5:$H$204)="Y",1,"")),"")</f>
        <v/>
      </c>
      <c r="Z537" s="181" t="str">
        <f>IFERROR(LOOKUP(2,1/((B_Drainage!$A$5:$A$204&lt;&gt;"")*(B_Drainage!$A$5:$A$204&lt;=$B537)*(B_Drainage!$B$5:$B$204&gt;$B537)*(B_Drainage!$I$5:$I$204&lt;&gt;"")),IF(UPPER(B_Drainage!$I$5:$I$204)="Y",1,"")),"")</f>
        <v/>
      </c>
      <c r="AA537" s="181" t="str">
        <f>IFERROR(LOOKUP(2,1/((B_Drainage!$A$5:$A$204&lt;&gt;"")*(B_Drainage!$A$5:$A$204&lt;=$B537)*(B_Drainage!$B$5:$B$204&gt;$B537)*(B_Drainage!$J$5:$J$204&lt;&gt;"")),IF(UPPER(B_Drainage!$J$5:$J$204)="Y",1,"")),"")</f>
        <v/>
      </c>
      <c r="AB537" s="182" t="str">
        <f>IFERROR(LOOKUP(2,1/((B_Drainage!$A$5:$A$204&lt;&gt;"")*(B_Drainage!$A$5:$A$204&lt;=$B537)*(B_Drainage!$B$5:$B$204&gt;$B537)*(B_Drainage!$K$5:$K$204&lt;&gt;"")),IF(B_Drainage!$K$5:$K$204="-","",B_Drainage!$K$5:$K$204)),"")</f>
        <v/>
      </c>
      <c r="AC537" s="182" t="str">
        <f>IFERROR(LOOKUP(2,1/((B_Drainage!$A$5:$A$204&lt;&gt;"")*(B_Drainage!$A$5:$A$204&lt;=$B537)*(B_Drainage!$B$5:$B$204&gt;$B537)*(B_Drainage!$L$5:$L$204&lt;&gt;"")),IF(B_Drainage!$L$5:$L$204="-","",B_Drainage!$L$5:$L$204)),"")</f>
        <v/>
      </c>
      <c r="AD537" s="182" t="str">
        <f>IFERROR(LOOKUP(2,1/((D_Points!$A$5:$A$204&lt;&gt;"")*(D_Points!$A$5:$A$204&gt;=$B537)*(D_Points!$A$5:$A$204&lt;$B537+P_Interval)*(UPPER(TRIM(D_Points!$B$5:$B$204))="TURNOUT_L")*(D_Points!$H$5:$H$204&lt;&gt;"")),D_Points!$H$5:$H$204),"")</f>
        <v/>
      </c>
      <c r="AE537" s="182" t="str">
        <f>IFERROR(LOOKUP(2,1/((D_Points!$A$5:$A$204&lt;&gt;"")*(D_Points!$A$5:$A$204&gt;=$B537)*(D_Points!$A$5:$A$204&lt;$B537+P_Interval)*(UPPER(TRIM(D_Points!$B$5:$B$204))="TURNOUT_R")*(D_Points!$H$5:$H$204&lt;&gt;"")),D_Points!$H$5:$H$204),"")</f>
        <v/>
      </c>
      <c r="AF537" s="181" t="str">
        <f>IFERROR(LOOKUP(2,1/((B_Drainage!$A$5:$A$204&lt;&gt;"")*(B_Drainage!$A$5:$A$204&lt;=$B537)*(B_Drainage!$B$5:$B$204&gt;$B537)*(B_Drainage!$M$5:$M$204&lt;&gt;"")),IF(UPPER(B_Drainage!$M$5:$M$204)="Y",1,"")),"")</f>
        <v/>
      </c>
      <c r="AG537" s="181" t="str">
        <f>IFERROR(LOOKUP(2,1/((B_Drainage!$A$5:$A$204&lt;&gt;"")*(B_Drainage!$A$5:$A$204&lt;=$B537)*(B_Drainage!$B$5:$B$204&gt;$B537)*(B_Drainage!$N$5:$N$204&lt;&gt;"")),IF(UPPER(B_Drainage!$N$5:$N$204)="Y",1,"")),"")</f>
        <v/>
      </c>
      <c r="AH537" s="181" t="str">
        <f t="shared" si="64"/>
        <v/>
      </c>
      <c r="AI537" s="181" t="str">
        <f t="shared" si="65"/>
        <v/>
      </c>
      <c r="AJ537" s="181" t="str">
        <f t="shared" si="66"/>
        <v/>
      </c>
      <c r="AK537" s="181" t="str">
        <f t="shared" si="67"/>
        <v/>
      </c>
      <c r="AL537" s="181" t="str">
        <f t="shared" si="68"/>
        <v/>
      </c>
      <c r="AM537" s="181" t="str">
        <f t="shared" si="69"/>
        <v/>
      </c>
      <c r="AN537" s="181" t="str">
        <f t="shared" si="70"/>
        <v/>
      </c>
      <c r="AO537" s="192" t="str">
        <f t="shared" si="71"/>
        <v/>
      </c>
      <c r="AQ537" t="str">
        <f>IFERROR(LOOKUP(2,1/((C_Pavement!$A$5:$A$204&lt;&gt;"")*(C_Pavement!$A$5:$A$204&lt;=$B537)*(C_Pavement!$B$5:$B$204&gt;$B537)*(C_Pavement!$C$5:$C$204&lt;&gt;"")),ROW(C_Pavement!$C$5:$C$204)-4),"")</f>
        <v/>
      </c>
      <c r="AR537" t="str">
        <f>IF($AQ537="","",UPPER(TRIM(INDEX(C_Pavement!$C$5:$C$204,$AQ537))))</f>
        <v/>
      </c>
      <c r="AS537" t="str">
        <f>IF($AR537="","",IFERROR(MATCH($AR537,E_Rules!$A$5:$A$9,0),""))</f>
        <v/>
      </c>
      <c r="AT537" t="str">
        <f>IF($AQ537="","",IF(INDEX(C_Pavement!$D$5:$D$204,$AQ537)&lt;&gt;"",UPPER(TRIM(INDEX(C_Pavement!$D$5:$D$204,$AQ537))),IF($AS537="","",INDEX(E_Rules!$C$5:$C$9,$AS537))))</f>
        <v/>
      </c>
      <c r="AU537" t="str">
        <f>IF($AQ537="","",IF(INDEX(C_Pavement!$E$5:$E$204,$AQ537)&lt;&gt;"",IF(INDEX(C_Pavement!$E$5:$E$204,$AQ537)="-","",INDEX(C_Pavement!$E$5:$E$204,$AQ537)),IF($AS537="","",INDEX(E_Rules!$D$5:$D$9,$AS537))))</f>
        <v/>
      </c>
      <c r="AV537" t="str">
        <f>IF($AQ537="","",IF(INDEX(C_Pavement!$F$5:$F$204,$AQ537)&lt;&gt;"",IF(INDEX(C_Pavement!$F$5:$F$204,$AQ537)="-","",INDEX(C_Pavement!$F$5:$F$204,$AQ537)),IF($AS537="","",INDEX(E_Rules!$E$5:$E$9,$AS537))))</f>
        <v/>
      </c>
      <c r="AW537" t="str">
        <f>IF($AQ537="","",IF(INDEX(C_Pavement!$G$5:$G$204,$AQ537)&lt;&gt;"",IF(INDEX(C_Pavement!$G$5:$G$204,$AQ537)="-","",INDEX(C_Pavement!$G$5:$G$204,$AQ537)),IF($AS537="","",INDEX(E_Rules!$F$5:$F$9,$AS537))))</f>
        <v/>
      </c>
      <c r="AX537" t="str">
        <f>IF($AQ537="","",IF(INDEX(C_Pavement!$H$5:$H$204,$AQ537)&lt;&gt;"",IF(INDEX(C_Pavement!$H$5:$H$204,$AQ537)="-","",INDEX(C_Pavement!$H$5:$H$204,$AQ537)),IF($AS537="","",INDEX(E_Rules!$G$5:$G$9,$AS537))))</f>
        <v/>
      </c>
      <c r="AY537" t="str">
        <f>IF($AQ537="","",IF(INDEX(C_Pavement!$I$5:$I$204,$AQ537)&lt;&gt;"",IF(INDEX(C_Pavement!$I$5:$I$204,$AQ537)="-","",INDEX(C_Pavement!$I$5:$I$204,$AQ537)),IF($AS537="","",INDEX(E_Rules!$H$5:$H$9,$AS537))))</f>
        <v/>
      </c>
    </row>
    <row r="538" spans="1:51" ht="15.75" customHeight="1" x14ac:dyDescent="0.3">
      <c r="A538" s="189">
        <v>533</v>
      </c>
      <c r="B538" s="180">
        <v>26600</v>
      </c>
      <c r="C538" s="180" t="s">
        <v>844</v>
      </c>
      <c r="D538" s="181" t="str">
        <f>IFERROR(LOOKUP(2,1/((A_Corridor!$A$5:$A$204&lt;&gt;"")*(A_Corridor!$A$5:$A$204&lt;=$B538)*(A_Corridor!$B$5:$B$204&gt;$B538)*(A_Corridor!$C$5:$C$204&lt;&gt;"")),IF(UPPER(A_Corridor!$C$5:$C$204)="Y",1,"")),"")</f>
        <v/>
      </c>
      <c r="E538" s="181" t="str">
        <f>IFERROR(LOOKUP(2,1/((A_Corridor!$A$5:$A$204&lt;&gt;"")*(A_Corridor!$A$5:$A$204&lt;=$B538)*(A_Corridor!$B$5:$B$204&gt;$B538)*(A_Corridor!$D$5:$D$204&lt;&gt;"")),IF(A_Corridor!$D$5:$D$204="-","",UPPER(A_Corridor!$D$5:$D$204))),"")</f>
        <v/>
      </c>
      <c r="F538" s="181" t="str">
        <f>IFERROR(LOOKUP(2,1/((A_Corridor!$A$5:$A$204&lt;&gt;"")*(A_Corridor!$A$5:$A$204&lt;=$B538)*(A_Corridor!$B$5:$B$204&gt;$B538)*(A_Corridor!$E$5:$E$204&lt;&gt;"")),IF(A_Corridor!$E$5:$E$204="-","",1)),"")</f>
        <v/>
      </c>
      <c r="G538" s="182" t="str">
        <f>IFERROR(LOOKUP(2,1/((A_Corridor!$A$5:$A$204&lt;&gt;"")*(A_Corridor!$A$5:$A$204&lt;=$B538)*(A_Corridor!$B$5:$B$204&gt;$B538)*(A_Corridor!$E$5:$E$204&lt;&gt;"")),IF(A_Corridor!$E$5:$E$204="-","",A_Corridor!$E$5:$E$204)),"")</f>
        <v/>
      </c>
      <c r="H538" s="182" t="str">
        <f>IFERROR(LOOKUP(2,1/((D_Points!$A$5:$A$204&lt;&gt;"")*(D_Points!$A$5:$A$204&gt;=$B538)*(D_Points!$A$5:$A$204&lt;$B538+P_Interval)*(UPPER(TRIM(D_Points!$B$5:$B$204))="GULLY")*(D_Points!$H$5:$H$204&lt;&gt;"")),D_Points!$H$5:$H$204),"")</f>
        <v/>
      </c>
      <c r="I538" s="181" t="str">
        <f>IFERROR(LOOKUP(2,1/((A_Corridor!$A$5:$A$204&lt;&gt;"")*(A_Corridor!$A$5:$A$204&lt;=$B538)*(A_Corridor!$B$5:$B$204&gt;$B538)*(A_Corridor!$F$5:$F$204&lt;&gt;"")),IF(A_Corridor!$F$5:$F$204="-","",1)),"")</f>
        <v/>
      </c>
      <c r="J538" s="182" t="str">
        <f>IFERROR(LOOKUP(2,1/((A_Corridor!$A$5:$A$204&lt;&gt;"")*(A_Corridor!$A$5:$A$204&lt;=$B538)*(A_Corridor!$B$5:$B$204&gt;$B538)*(A_Corridor!$F$5:$F$204&lt;&gt;"")),IF(A_Corridor!$F$5:$F$204="-","",A_Corridor!$F$5:$F$204)),"")</f>
        <v/>
      </c>
      <c r="K538" s="182" t="str">
        <f>IFERROR(LOOKUP(2,1/((A_Corridor!$A$5:$A$204&lt;&gt;"")*(A_Corridor!$A$5:$A$204&lt;=$B538)*(A_Corridor!$B$5:$B$204&gt;$B538)*(A_Corridor!$G$5:$G$204&lt;&gt;"")),IF(A_Corridor!$G$5:$G$204="-","",A_Corridor!$G$5:$G$204)),"")</f>
        <v/>
      </c>
      <c r="L538" s="181" t="str">
        <f>IFERROR(LOOKUP(2,1/((A_Corridor!$A$5:$A$204&lt;&gt;"")*(A_Corridor!$A$5:$A$204&lt;=$B538)*(A_Corridor!$B$5:$B$204&gt;$B538)*(A_Corridor!$H$5:$H$204&lt;&gt;"")),IF(A_Corridor!$H$5:$H$204="-","",1)),"")</f>
        <v/>
      </c>
      <c r="M538" s="182" t="str">
        <f>IFERROR(LOOKUP(2,1/((A_Corridor!$A$5:$A$204&lt;&gt;"")*(A_Corridor!$A$5:$A$204&lt;=$B538)*(A_Corridor!$B$5:$B$204&gt;$B538)*(A_Corridor!$H$5:$H$204&lt;&gt;"")),IF(A_Corridor!$H$5:$H$204="-","",A_Corridor!$H$5:$H$204)),"")</f>
        <v/>
      </c>
      <c r="N538" s="182" t="str">
        <f>IFERROR(LOOKUP(2,1/((A_Corridor!$A$5:$A$204&lt;&gt;"")*(A_Corridor!$A$5:$A$204&lt;=$B538)*(A_Corridor!$B$5:$B$204&gt;$B538)*(A_Corridor!$I$5:$I$204&lt;&gt;"")),IF(A_Corridor!$I$5:$I$204="-","",A_Corridor!$I$5:$I$204)),"")</f>
        <v/>
      </c>
      <c r="O538" s="182" t="str">
        <f>IFERROR(LOOKUP(2,1/((D_Points!$A$5:$A$204&lt;&gt;"")*(D_Points!$A$5:$A$204&gt;=$B538)*(D_Points!$A$5:$A$204&lt;$B538+P_Interval)*(UPPER(TRIM(D_Points!$B$5:$B$204))="PITCHING")*(D_Points!$H$5:$H$204&lt;&gt;"")),D_Points!$H$5:$H$204),"")</f>
        <v/>
      </c>
      <c r="P538" s="181" t="str">
        <f>IFERROR(LOOKUP(2,1/((B_Drainage!$A$5:$A$204&lt;&gt;"")*(B_Drainage!$A$5:$A$204&lt;=$B538)*(B_Drainage!$B$5:$B$204&gt;$B538)*(B_Drainage!$C$5:$C$204&lt;&gt;"")),IF(B_Drainage!$C$5:$C$204="-","",UPPER(B_Drainage!$C$5:$C$204))),"")</f>
        <v/>
      </c>
      <c r="Q538" s="181" t="str">
        <f>IFERROR(LOOKUP(2,1/((B_Drainage!$A$5:$A$204&lt;&gt;"")*(B_Drainage!$A$5:$A$204&lt;=$B538)*(B_Drainage!$B$5:$B$204&gt;$B538)*(B_Drainage!$D$5:$D$204&lt;&gt;"")),IF(B_Drainage!$D$5:$D$204="-","",UPPER(B_Drainage!$D$5:$D$204))),"")</f>
        <v/>
      </c>
      <c r="R538" s="182" t="str">
        <f>IFERROR(LOOKUP(2,1/((D_Points!$A$5:$A$204&lt;&gt;"")*(D_Points!$A$5:$A$204&gt;=$B538)*(D_Points!$A$5:$A$204&lt;$B538+P_Interval)*(RIGHT(UPPER(TRIM(D_Points!$B$5:$B$204)),8)="_CULVERT")),IF(LEFT(UPPER(TRIM(D_Points!$B$5:$B$204)),2)="EX",1,IF(LEFT(UPPER(TRIM(D_Points!$B$5:$B$204)),2)="PR",2,3))),"")</f>
        <v/>
      </c>
      <c r="S538" s="182" t="str">
        <f>IFERROR(LOOKUP(2,1/((D_Points!$A$5:$A$204&lt;&gt;"")*(D_Points!$A$5:$A$204&gt;=$B538)*(D_Points!$A$5:$A$204&lt;$B538+P_Interval)*(RIGHT(UPPER(TRIM(D_Points!$B$5:$B$204)),7)="_BRIDGE")),IF(LEFT(UPPER(TRIM(D_Points!$B$5:$B$204)),2)="EX",1,IF(LEFT(UPPER(TRIM(D_Points!$B$5:$B$204)),2)="PR",2,2))),"")</f>
        <v/>
      </c>
      <c r="T538" s="181" t="str">
        <f>IFERROR(LOOKUP(2,1/((B_Drainage!$A$5:$A$204&lt;&gt;"")*(B_Drainage!$A$5:$A$204&lt;=$B538)*(B_Drainage!$B$5:$B$204&gt;$B538)*(B_Drainage!$E$5:$E$204&lt;&gt;"")),IF(B_Drainage!$E$5:$E$204="-","",1)),"")</f>
        <v/>
      </c>
      <c r="U538" s="181" t="str">
        <f>IFERROR(LOOKUP(2,1/((B_Drainage!$A$5:$A$204&lt;&gt;"")*(B_Drainage!$A$5:$A$204&lt;=$B538)*(B_Drainage!$B$5:$B$204&gt;$B538)*(B_Drainage!$E$5:$E$204&lt;&gt;"")),IF(B_Drainage!$E$5:$E$204="-","",B_Drainage!$E$5:$E$204)),"")</f>
        <v/>
      </c>
      <c r="V538" s="181" t="str">
        <f>IFERROR(LOOKUP(2,1/((B_Drainage!$A$5:$A$204&lt;&gt;"")*(B_Drainage!$A$5:$A$204&lt;=$B538)*(B_Drainage!$B$5:$B$204&gt;$B538)*(B_Drainage!$F$5:$F$204&lt;&gt;"")),IF(B_Drainage!$F$5:$F$204="-","",1)),"")</f>
        <v/>
      </c>
      <c r="W538" s="181" t="str">
        <f>IFERROR(LOOKUP(2,1/((B_Drainage!$A$5:$A$204&lt;&gt;"")*(B_Drainage!$A$5:$A$204&lt;=$B538)*(B_Drainage!$B$5:$B$204&gt;$B538)*(B_Drainage!$F$5:$F$204&lt;&gt;"")),IF(B_Drainage!$F$5:$F$204="-","",B_Drainage!$F$5:$F$204)),"")</f>
        <v/>
      </c>
      <c r="X538" s="181" t="str">
        <f>IFERROR(LOOKUP(2,1/((B_Drainage!$A$5:$A$204&lt;&gt;"")*(B_Drainage!$A$5:$A$204&lt;=$B538)*(B_Drainage!$B$5:$B$204&gt;$B538)*(B_Drainage!$G$5:$G$204&lt;&gt;"")),IF(UPPER(B_Drainage!$G$5:$G$204)="Y",1,"")),"")</f>
        <v/>
      </c>
      <c r="Y538" s="181" t="str">
        <f>IFERROR(LOOKUP(2,1/((B_Drainage!$A$5:$A$204&lt;&gt;"")*(B_Drainage!$A$5:$A$204&lt;=$B538)*(B_Drainage!$B$5:$B$204&gt;$B538)*(B_Drainage!$H$5:$H$204&lt;&gt;"")),IF(UPPER(B_Drainage!$H$5:$H$204)="Y",1,"")),"")</f>
        <v/>
      </c>
      <c r="Z538" s="181" t="str">
        <f>IFERROR(LOOKUP(2,1/((B_Drainage!$A$5:$A$204&lt;&gt;"")*(B_Drainage!$A$5:$A$204&lt;=$B538)*(B_Drainage!$B$5:$B$204&gt;$B538)*(B_Drainage!$I$5:$I$204&lt;&gt;"")),IF(UPPER(B_Drainage!$I$5:$I$204)="Y",1,"")),"")</f>
        <v/>
      </c>
      <c r="AA538" s="181" t="str">
        <f>IFERROR(LOOKUP(2,1/((B_Drainage!$A$5:$A$204&lt;&gt;"")*(B_Drainage!$A$5:$A$204&lt;=$B538)*(B_Drainage!$B$5:$B$204&gt;$B538)*(B_Drainage!$J$5:$J$204&lt;&gt;"")),IF(UPPER(B_Drainage!$J$5:$J$204)="Y",1,"")),"")</f>
        <v/>
      </c>
      <c r="AB538" s="182" t="str">
        <f>IFERROR(LOOKUP(2,1/((B_Drainage!$A$5:$A$204&lt;&gt;"")*(B_Drainage!$A$5:$A$204&lt;=$B538)*(B_Drainage!$B$5:$B$204&gt;$B538)*(B_Drainage!$K$5:$K$204&lt;&gt;"")),IF(B_Drainage!$K$5:$K$204="-","",B_Drainage!$K$5:$K$204)),"")</f>
        <v/>
      </c>
      <c r="AC538" s="182" t="str">
        <f>IFERROR(LOOKUP(2,1/((B_Drainage!$A$5:$A$204&lt;&gt;"")*(B_Drainage!$A$5:$A$204&lt;=$B538)*(B_Drainage!$B$5:$B$204&gt;$B538)*(B_Drainage!$L$5:$L$204&lt;&gt;"")),IF(B_Drainage!$L$5:$L$204="-","",B_Drainage!$L$5:$L$204)),"")</f>
        <v/>
      </c>
      <c r="AD538" s="182" t="str">
        <f>IFERROR(LOOKUP(2,1/((D_Points!$A$5:$A$204&lt;&gt;"")*(D_Points!$A$5:$A$204&gt;=$B538)*(D_Points!$A$5:$A$204&lt;$B538+P_Interval)*(UPPER(TRIM(D_Points!$B$5:$B$204))="TURNOUT_L")*(D_Points!$H$5:$H$204&lt;&gt;"")),D_Points!$H$5:$H$204),"")</f>
        <v/>
      </c>
      <c r="AE538" s="182" t="str">
        <f>IFERROR(LOOKUP(2,1/((D_Points!$A$5:$A$204&lt;&gt;"")*(D_Points!$A$5:$A$204&gt;=$B538)*(D_Points!$A$5:$A$204&lt;$B538+P_Interval)*(UPPER(TRIM(D_Points!$B$5:$B$204))="TURNOUT_R")*(D_Points!$H$5:$H$204&lt;&gt;"")),D_Points!$H$5:$H$204),"")</f>
        <v/>
      </c>
      <c r="AF538" s="181" t="str">
        <f>IFERROR(LOOKUP(2,1/((B_Drainage!$A$5:$A$204&lt;&gt;"")*(B_Drainage!$A$5:$A$204&lt;=$B538)*(B_Drainage!$B$5:$B$204&gt;$B538)*(B_Drainage!$M$5:$M$204&lt;&gt;"")),IF(UPPER(B_Drainage!$M$5:$M$204)="Y",1,"")),"")</f>
        <v/>
      </c>
      <c r="AG538" s="181" t="str">
        <f>IFERROR(LOOKUP(2,1/((B_Drainage!$A$5:$A$204&lt;&gt;"")*(B_Drainage!$A$5:$A$204&lt;=$B538)*(B_Drainage!$B$5:$B$204&gt;$B538)*(B_Drainage!$N$5:$N$204&lt;&gt;"")),IF(UPPER(B_Drainage!$N$5:$N$204)="Y",1,"")),"")</f>
        <v/>
      </c>
      <c r="AH538" s="181" t="str">
        <f t="shared" si="64"/>
        <v/>
      </c>
      <c r="AI538" s="181" t="str">
        <f t="shared" si="65"/>
        <v/>
      </c>
      <c r="AJ538" s="181" t="str">
        <f t="shared" si="66"/>
        <v/>
      </c>
      <c r="AK538" s="181" t="str">
        <f t="shared" si="67"/>
        <v/>
      </c>
      <c r="AL538" s="181" t="str">
        <f t="shared" si="68"/>
        <v/>
      </c>
      <c r="AM538" s="181" t="str">
        <f t="shared" si="69"/>
        <v/>
      </c>
      <c r="AN538" s="181" t="str">
        <f t="shared" si="70"/>
        <v/>
      </c>
      <c r="AO538" s="192" t="str">
        <f t="shared" si="71"/>
        <v/>
      </c>
      <c r="AQ538" t="str">
        <f>IFERROR(LOOKUP(2,1/((C_Pavement!$A$5:$A$204&lt;&gt;"")*(C_Pavement!$A$5:$A$204&lt;=$B538)*(C_Pavement!$B$5:$B$204&gt;$B538)*(C_Pavement!$C$5:$C$204&lt;&gt;"")),ROW(C_Pavement!$C$5:$C$204)-4),"")</f>
        <v/>
      </c>
      <c r="AR538" t="str">
        <f>IF($AQ538="","",UPPER(TRIM(INDEX(C_Pavement!$C$5:$C$204,$AQ538))))</f>
        <v/>
      </c>
      <c r="AS538" t="str">
        <f>IF($AR538="","",IFERROR(MATCH($AR538,E_Rules!$A$5:$A$9,0),""))</f>
        <v/>
      </c>
      <c r="AT538" t="str">
        <f>IF($AQ538="","",IF(INDEX(C_Pavement!$D$5:$D$204,$AQ538)&lt;&gt;"",UPPER(TRIM(INDEX(C_Pavement!$D$5:$D$204,$AQ538))),IF($AS538="","",INDEX(E_Rules!$C$5:$C$9,$AS538))))</f>
        <v/>
      </c>
      <c r="AU538" t="str">
        <f>IF($AQ538="","",IF(INDEX(C_Pavement!$E$5:$E$204,$AQ538)&lt;&gt;"",IF(INDEX(C_Pavement!$E$5:$E$204,$AQ538)="-","",INDEX(C_Pavement!$E$5:$E$204,$AQ538)),IF($AS538="","",INDEX(E_Rules!$D$5:$D$9,$AS538))))</f>
        <v/>
      </c>
      <c r="AV538" t="str">
        <f>IF($AQ538="","",IF(INDEX(C_Pavement!$F$5:$F$204,$AQ538)&lt;&gt;"",IF(INDEX(C_Pavement!$F$5:$F$204,$AQ538)="-","",INDEX(C_Pavement!$F$5:$F$204,$AQ538)),IF($AS538="","",INDEX(E_Rules!$E$5:$E$9,$AS538))))</f>
        <v/>
      </c>
      <c r="AW538" t="str">
        <f>IF($AQ538="","",IF(INDEX(C_Pavement!$G$5:$G$204,$AQ538)&lt;&gt;"",IF(INDEX(C_Pavement!$G$5:$G$204,$AQ538)="-","",INDEX(C_Pavement!$G$5:$G$204,$AQ538)),IF($AS538="","",INDEX(E_Rules!$F$5:$F$9,$AS538))))</f>
        <v/>
      </c>
      <c r="AX538" t="str">
        <f>IF($AQ538="","",IF(INDEX(C_Pavement!$H$5:$H$204,$AQ538)&lt;&gt;"",IF(INDEX(C_Pavement!$H$5:$H$204,$AQ538)="-","",INDEX(C_Pavement!$H$5:$H$204,$AQ538)),IF($AS538="","",INDEX(E_Rules!$G$5:$G$9,$AS538))))</f>
        <v/>
      </c>
      <c r="AY538" t="str">
        <f>IF($AQ538="","",IF(INDEX(C_Pavement!$I$5:$I$204,$AQ538)&lt;&gt;"",IF(INDEX(C_Pavement!$I$5:$I$204,$AQ538)="-","",INDEX(C_Pavement!$I$5:$I$204,$AQ538)),IF($AS538="","",INDEX(E_Rules!$H$5:$H$9,$AS538))))</f>
        <v/>
      </c>
    </row>
    <row r="539" spans="1:51" ht="15.75" customHeight="1" x14ac:dyDescent="0.3">
      <c r="A539" s="189">
        <v>534</v>
      </c>
      <c r="B539" s="180">
        <v>26650</v>
      </c>
      <c r="C539" s="180" t="s">
        <v>845</v>
      </c>
      <c r="D539" s="181" t="str">
        <f>IFERROR(LOOKUP(2,1/((A_Corridor!$A$5:$A$204&lt;&gt;"")*(A_Corridor!$A$5:$A$204&lt;=$B539)*(A_Corridor!$B$5:$B$204&gt;$B539)*(A_Corridor!$C$5:$C$204&lt;&gt;"")),IF(UPPER(A_Corridor!$C$5:$C$204)="Y",1,"")),"")</f>
        <v/>
      </c>
      <c r="E539" s="181" t="str">
        <f>IFERROR(LOOKUP(2,1/((A_Corridor!$A$5:$A$204&lt;&gt;"")*(A_Corridor!$A$5:$A$204&lt;=$B539)*(A_Corridor!$B$5:$B$204&gt;$B539)*(A_Corridor!$D$5:$D$204&lt;&gt;"")),IF(A_Corridor!$D$5:$D$204="-","",UPPER(A_Corridor!$D$5:$D$204))),"")</f>
        <v/>
      </c>
      <c r="F539" s="181" t="str">
        <f>IFERROR(LOOKUP(2,1/((A_Corridor!$A$5:$A$204&lt;&gt;"")*(A_Corridor!$A$5:$A$204&lt;=$B539)*(A_Corridor!$B$5:$B$204&gt;$B539)*(A_Corridor!$E$5:$E$204&lt;&gt;"")),IF(A_Corridor!$E$5:$E$204="-","",1)),"")</f>
        <v/>
      </c>
      <c r="G539" s="182" t="str">
        <f>IFERROR(LOOKUP(2,1/((A_Corridor!$A$5:$A$204&lt;&gt;"")*(A_Corridor!$A$5:$A$204&lt;=$B539)*(A_Corridor!$B$5:$B$204&gt;$B539)*(A_Corridor!$E$5:$E$204&lt;&gt;"")),IF(A_Corridor!$E$5:$E$204="-","",A_Corridor!$E$5:$E$204)),"")</f>
        <v/>
      </c>
      <c r="H539" s="182" t="str">
        <f>IFERROR(LOOKUP(2,1/((D_Points!$A$5:$A$204&lt;&gt;"")*(D_Points!$A$5:$A$204&gt;=$B539)*(D_Points!$A$5:$A$204&lt;$B539+P_Interval)*(UPPER(TRIM(D_Points!$B$5:$B$204))="GULLY")*(D_Points!$H$5:$H$204&lt;&gt;"")),D_Points!$H$5:$H$204),"")</f>
        <v/>
      </c>
      <c r="I539" s="181" t="str">
        <f>IFERROR(LOOKUP(2,1/((A_Corridor!$A$5:$A$204&lt;&gt;"")*(A_Corridor!$A$5:$A$204&lt;=$B539)*(A_Corridor!$B$5:$B$204&gt;$B539)*(A_Corridor!$F$5:$F$204&lt;&gt;"")),IF(A_Corridor!$F$5:$F$204="-","",1)),"")</f>
        <v/>
      </c>
      <c r="J539" s="182" t="str">
        <f>IFERROR(LOOKUP(2,1/((A_Corridor!$A$5:$A$204&lt;&gt;"")*(A_Corridor!$A$5:$A$204&lt;=$B539)*(A_Corridor!$B$5:$B$204&gt;$B539)*(A_Corridor!$F$5:$F$204&lt;&gt;"")),IF(A_Corridor!$F$5:$F$204="-","",A_Corridor!$F$5:$F$204)),"")</f>
        <v/>
      </c>
      <c r="K539" s="182" t="str">
        <f>IFERROR(LOOKUP(2,1/((A_Corridor!$A$5:$A$204&lt;&gt;"")*(A_Corridor!$A$5:$A$204&lt;=$B539)*(A_Corridor!$B$5:$B$204&gt;$B539)*(A_Corridor!$G$5:$G$204&lt;&gt;"")),IF(A_Corridor!$G$5:$G$204="-","",A_Corridor!$G$5:$G$204)),"")</f>
        <v/>
      </c>
      <c r="L539" s="181" t="str">
        <f>IFERROR(LOOKUP(2,1/((A_Corridor!$A$5:$A$204&lt;&gt;"")*(A_Corridor!$A$5:$A$204&lt;=$B539)*(A_Corridor!$B$5:$B$204&gt;$B539)*(A_Corridor!$H$5:$H$204&lt;&gt;"")),IF(A_Corridor!$H$5:$H$204="-","",1)),"")</f>
        <v/>
      </c>
      <c r="M539" s="182" t="str">
        <f>IFERROR(LOOKUP(2,1/((A_Corridor!$A$5:$A$204&lt;&gt;"")*(A_Corridor!$A$5:$A$204&lt;=$B539)*(A_Corridor!$B$5:$B$204&gt;$B539)*(A_Corridor!$H$5:$H$204&lt;&gt;"")),IF(A_Corridor!$H$5:$H$204="-","",A_Corridor!$H$5:$H$204)),"")</f>
        <v/>
      </c>
      <c r="N539" s="182" t="str">
        <f>IFERROR(LOOKUP(2,1/((A_Corridor!$A$5:$A$204&lt;&gt;"")*(A_Corridor!$A$5:$A$204&lt;=$B539)*(A_Corridor!$B$5:$B$204&gt;$B539)*(A_Corridor!$I$5:$I$204&lt;&gt;"")),IF(A_Corridor!$I$5:$I$204="-","",A_Corridor!$I$5:$I$204)),"")</f>
        <v/>
      </c>
      <c r="O539" s="182" t="str">
        <f>IFERROR(LOOKUP(2,1/((D_Points!$A$5:$A$204&lt;&gt;"")*(D_Points!$A$5:$A$204&gt;=$B539)*(D_Points!$A$5:$A$204&lt;$B539+P_Interval)*(UPPER(TRIM(D_Points!$B$5:$B$204))="PITCHING")*(D_Points!$H$5:$H$204&lt;&gt;"")),D_Points!$H$5:$H$204),"")</f>
        <v/>
      </c>
      <c r="P539" s="181" t="str">
        <f>IFERROR(LOOKUP(2,1/((B_Drainage!$A$5:$A$204&lt;&gt;"")*(B_Drainage!$A$5:$A$204&lt;=$B539)*(B_Drainage!$B$5:$B$204&gt;$B539)*(B_Drainage!$C$5:$C$204&lt;&gt;"")),IF(B_Drainage!$C$5:$C$204="-","",UPPER(B_Drainage!$C$5:$C$204))),"")</f>
        <v/>
      </c>
      <c r="Q539" s="181" t="str">
        <f>IFERROR(LOOKUP(2,1/((B_Drainage!$A$5:$A$204&lt;&gt;"")*(B_Drainage!$A$5:$A$204&lt;=$B539)*(B_Drainage!$B$5:$B$204&gt;$B539)*(B_Drainage!$D$5:$D$204&lt;&gt;"")),IF(B_Drainage!$D$5:$D$204="-","",UPPER(B_Drainage!$D$5:$D$204))),"")</f>
        <v/>
      </c>
      <c r="R539" s="182" t="str">
        <f>IFERROR(LOOKUP(2,1/((D_Points!$A$5:$A$204&lt;&gt;"")*(D_Points!$A$5:$A$204&gt;=$B539)*(D_Points!$A$5:$A$204&lt;$B539+P_Interval)*(RIGHT(UPPER(TRIM(D_Points!$B$5:$B$204)),8)="_CULVERT")),IF(LEFT(UPPER(TRIM(D_Points!$B$5:$B$204)),2)="EX",1,IF(LEFT(UPPER(TRIM(D_Points!$B$5:$B$204)),2)="PR",2,3))),"")</f>
        <v/>
      </c>
      <c r="S539" s="182" t="str">
        <f>IFERROR(LOOKUP(2,1/((D_Points!$A$5:$A$204&lt;&gt;"")*(D_Points!$A$5:$A$204&gt;=$B539)*(D_Points!$A$5:$A$204&lt;$B539+P_Interval)*(RIGHT(UPPER(TRIM(D_Points!$B$5:$B$204)),7)="_BRIDGE")),IF(LEFT(UPPER(TRIM(D_Points!$B$5:$B$204)),2)="EX",1,IF(LEFT(UPPER(TRIM(D_Points!$B$5:$B$204)),2)="PR",2,2))),"")</f>
        <v/>
      </c>
      <c r="T539" s="181" t="str">
        <f>IFERROR(LOOKUP(2,1/((B_Drainage!$A$5:$A$204&lt;&gt;"")*(B_Drainage!$A$5:$A$204&lt;=$B539)*(B_Drainage!$B$5:$B$204&gt;$B539)*(B_Drainage!$E$5:$E$204&lt;&gt;"")),IF(B_Drainage!$E$5:$E$204="-","",1)),"")</f>
        <v/>
      </c>
      <c r="U539" s="181" t="str">
        <f>IFERROR(LOOKUP(2,1/((B_Drainage!$A$5:$A$204&lt;&gt;"")*(B_Drainage!$A$5:$A$204&lt;=$B539)*(B_Drainage!$B$5:$B$204&gt;$B539)*(B_Drainage!$E$5:$E$204&lt;&gt;"")),IF(B_Drainage!$E$5:$E$204="-","",B_Drainage!$E$5:$E$204)),"")</f>
        <v/>
      </c>
      <c r="V539" s="181" t="str">
        <f>IFERROR(LOOKUP(2,1/((B_Drainage!$A$5:$A$204&lt;&gt;"")*(B_Drainage!$A$5:$A$204&lt;=$B539)*(B_Drainage!$B$5:$B$204&gt;$B539)*(B_Drainage!$F$5:$F$204&lt;&gt;"")),IF(B_Drainage!$F$5:$F$204="-","",1)),"")</f>
        <v/>
      </c>
      <c r="W539" s="181" t="str">
        <f>IFERROR(LOOKUP(2,1/((B_Drainage!$A$5:$A$204&lt;&gt;"")*(B_Drainage!$A$5:$A$204&lt;=$B539)*(B_Drainage!$B$5:$B$204&gt;$B539)*(B_Drainage!$F$5:$F$204&lt;&gt;"")),IF(B_Drainage!$F$5:$F$204="-","",B_Drainage!$F$5:$F$204)),"")</f>
        <v/>
      </c>
      <c r="X539" s="181" t="str">
        <f>IFERROR(LOOKUP(2,1/((B_Drainage!$A$5:$A$204&lt;&gt;"")*(B_Drainage!$A$5:$A$204&lt;=$B539)*(B_Drainage!$B$5:$B$204&gt;$B539)*(B_Drainage!$G$5:$G$204&lt;&gt;"")),IF(UPPER(B_Drainage!$G$5:$G$204)="Y",1,"")),"")</f>
        <v/>
      </c>
      <c r="Y539" s="181" t="str">
        <f>IFERROR(LOOKUP(2,1/((B_Drainage!$A$5:$A$204&lt;&gt;"")*(B_Drainage!$A$5:$A$204&lt;=$B539)*(B_Drainage!$B$5:$B$204&gt;$B539)*(B_Drainage!$H$5:$H$204&lt;&gt;"")),IF(UPPER(B_Drainage!$H$5:$H$204)="Y",1,"")),"")</f>
        <v/>
      </c>
      <c r="Z539" s="181" t="str">
        <f>IFERROR(LOOKUP(2,1/((B_Drainage!$A$5:$A$204&lt;&gt;"")*(B_Drainage!$A$5:$A$204&lt;=$B539)*(B_Drainage!$B$5:$B$204&gt;$B539)*(B_Drainage!$I$5:$I$204&lt;&gt;"")),IF(UPPER(B_Drainage!$I$5:$I$204)="Y",1,"")),"")</f>
        <v/>
      </c>
      <c r="AA539" s="181" t="str">
        <f>IFERROR(LOOKUP(2,1/((B_Drainage!$A$5:$A$204&lt;&gt;"")*(B_Drainage!$A$5:$A$204&lt;=$B539)*(B_Drainage!$B$5:$B$204&gt;$B539)*(B_Drainage!$J$5:$J$204&lt;&gt;"")),IF(UPPER(B_Drainage!$J$5:$J$204)="Y",1,"")),"")</f>
        <v/>
      </c>
      <c r="AB539" s="182" t="str">
        <f>IFERROR(LOOKUP(2,1/((B_Drainage!$A$5:$A$204&lt;&gt;"")*(B_Drainage!$A$5:$A$204&lt;=$B539)*(B_Drainage!$B$5:$B$204&gt;$B539)*(B_Drainage!$K$5:$K$204&lt;&gt;"")),IF(B_Drainage!$K$5:$K$204="-","",B_Drainage!$K$5:$K$204)),"")</f>
        <v/>
      </c>
      <c r="AC539" s="182" t="str">
        <f>IFERROR(LOOKUP(2,1/((B_Drainage!$A$5:$A$204&lt;&gt;"")*(B_Drainage!$A$5:$A$204&lt;=$B539)*(B_Drainage!$B$5:$B$204&gt;$B539)*(B_Drainage!$L$5:$L$204&lt;&gt;"")),IF(B_Drainage!$L$5:$L$204="-","",B_Drainage!$L$5:$L$204)),"")</f>
        <v/>
      </c>
      <c r="AD539" s="182" t="str">
        <f>IFERROR(LOOKUP(2,1/((D_Points!$A$5:$A$204&lt;&gt;"")*(D_Points!$A$5:$A$204&gt;=$B539)*(D_Points!$A$5:$A$204&lt;$B539+P_Interval)*(UPPER(TRIM(D_Points!$B$5:$B$204))="TURNOUT_L")*(D_Points!$H$5:$H$204&lt;&gt;"")),D_Points!$H$5:$H$204),"")</f>
        <v/>
      </c>
      <c r="AE539" s="182" t="str">
        <f>IFERROR(LOOKUP(2,1/((D_Points!$A$5:$A$204&lt;&gt;"")*(D_Points!$A$5:$A$204&gt;=$B539)*(D_Points!$A$5:$A$204&lt;$B539+P_Interval)*(UPPER(TRIM(D_Points!$B$5:$B$204))="TURNOUT_R")*(D_Points!$H$5:$H$204&lt;&gt;"")),D_Points!$H$5:$H$204),"")</f>
        <v/>
      </c>
      <c r="AF539" s="181" t="str">
        <f>IFERROR(LOOKUP(2,1/((B_Drainage!$A$5:$A$204&lt;&gt;"")*(B_Drainage!$A$5:$A$204&lt;=$B539)*(B_Drainage!$B$5:$B$204&gt;$B539)*(B_Drainage!$M$5:$M$204&lt;&gt;"")),IF(UPPER(B_Drainage!$M$5:$M$204)="Y",1,"")),"")</f>
        <v/>
      </c>
      <c r="AG539" s="181" t="str">
        <f>IFERROR(LOOKUP(2,1/((B_Drainage!$A$5:$A$204&lt;&gt;"")*(B_Drainage!$A$5:$A$204&lt;=$B539)*(B_Drainage!$B$5:$B$204&gt;$B539)*(B_Drainage!$N$5:$N$204&lt;&gt;"")),IF(UPPER(B_Drainage!$N$5:$N$204)="Y",1,"")),"")</f>
        <v/>
      </c>
      <c r="AH539" s="181" t="str">
        <f t="shared" si="64"/>
        <v/>
      </c>
      <c r="AI539" s="181" t="str">
        <f t="shared" si="65"/>
        <v/>
      </c>
      <c r="AJ539" s="181" t="str">
        <f t="shared" si="66"/>
        <v/>
      </c>
      <c r="AK539" s="181" t="str">
        <f t="shared" si="67"/>
        <v/>
      </c>
      <c r="AL539" s="181" t="str">
        <f t="shared" si="68"/>
        <v/>
      </c>
      <c r="AM539" s="181" t="str">
        <f t="shared" si="69"/>
        <v/>
      </c>
      <c r="AN539" s="181" t="str">
        <f t="shared" si="70"/>
        <v/>
      </c>
      <c r="AO539" s="192" t="str">
        <f t="shared" si="71"/>
        <v/>
      </c>
      <c r="AQ539" t="str">
        <f>IFERROR(LOOKUP(2,1/((C_Pavement!$A$5:$A$204&lt;&gt;"")*(C_Pavement!$A$5:$A$204&lt;=$B539)*(C_Pavement!$B$5:$B$204&gt;$B539)*(C_Pavement!$C$5:$C$204&lt;&gt;"")),ROW(C_Pavement!$C$5:$C$204)-4),"")</f>
        <v/>
      </c>
      <c r="AR539" t="str">
        <f>IF($AQ539="","",UPPER(TRIM(INDEX(C_Pavement!$C$5:$C$204,$AQ539))))</f>
        <v/>
      </c>
      <c r="AS539" t="str">
        <f>IF($AR539="","",IFERROR(MATCH($AR539,E_Rules!$A$5:$A$9,0),""))</f>
        <v/>
      </c>
      <c r="AT539" t="str">
        <f>IF($AQ539="","",IF(INDEX(C_Pavement!$D$5:$D$204,$AQ539)&lt;&gt;"",UPPER(TRIM(INDEX(C_Pavement!$D$5:$D$204,$AQ539))),IF($AS539="","",INDEX(E_Rules!$C$5:$C$9,$AS539))))</f>
        <v/>
      </c>
      <c r="AU539" t="str">
        <f>IF($AQ539="","",IF(INDEX(C_Pavement!$E$5:$E$204,$AQ539)&lt;&gt;"",IF(INDEX(C_Pavement!$E$5:$E$204,$AQ539)="-","",INDEX(C_Pavement!$E$5:$E$204,$AQ539)),IF($AS539="","",INDEX(E_Rules!$D$5:$D$9,$AS539))))</f>
        <v/>
      </c>
      <c r="AV539" t="str">
        <f>IF($AQ539="","",IF(INDEX(C_Pavement!$F$5:$F$204,$AQ539)&lt;&gt;"",IF(INDEX(C_Pavement!$F$5:$F$204,$AQ539)="-","",INDEX(C_Pavement!$F$5:$F$204,$AQ539)),IF($AS539="","",INDEX(E_Rules!$E$5:$E$9,$AS539))))</f>
        <v/>
      </c>
      <c r="AW539" t="str">
        <f>IF($AQ539="","",IF(INDEX(C_Pavement!$G$5:$G$204,$AQ539)&lt;&gt;"",IF(INDEX(C_Pavement!$G$5:$G$204,$AQ539)="-","",INDEX(C_Pavement!$G$5:$G$204,$AQ539)),IF($AS539="","",INDEX(E_Rules!$F$5:$F$9,$AS539))))</f>
        <v/>
      </c>
      <c r="AX539" t="str">
        <f>IF($AQ539="","",IF(INDEX(C_Pavement!$H$5:$H$204,$AQ539)&lt;&gt;"",IF(INDEX(C_Pavement!$H$5:$H$204,$AQ539)="-","",INDEX(C_Pavement!$H$5:$H$204,$AQ539)),IF($AS539="","",INDEX(E_Rules!$G$5:$G$9,$AS539))))</f>
        <v/>
      </c>
      <c r="AY539" t="str">
        <f>IF($AQ539="","",IF(INDEX(C_Pavement!$I$5:$I$204,$AQ539)&lt;&gt;"",IF(INDEX(C_Pavement!$I$5:$I$204,$AQ539)="-","",INDEX(C_Pavement!$I$5:$I$204,$AQ539)),IF($AS539="","",INDEX(E_Rules!$H$5:$H$9,$AS539))))</f>
        <v/>
      </c>
    </row>
    <row r="540" spans="1:51" ht="15.75" customHeight="1" x14ac:dyDescent="0.3">
      <c r="A540" s="189">
        <v>535</v>
      </c>
      <c r="B540" s="180">
        <v>26700</v>
      </c>
      <c r="C540" s="180" t="s">
        <v>846</v>
      </c>
      <c r="D540" s="181" t="str">
        <f>IFERROR(LOOKUP(2,1/((A_Corridor!$A$5:$A$204&lt;&gt;"")*(A_Corridor!$A$5:$A$204&lt;=$B540)*(A_Corridor!$B$5:$B$204&gt;$B540)*(A_Corridor!$C$5:$C$204&lt;&gt;"")),IF(UPPER(A_Corridor!$C$5:$C$204)="Y",1,"")),"")</f>
        <v/>
      </c>
      <c r="E540" s="181" t="str">
        <f>IFERROR(LOOKUP(2,1/((A_Corridor!$A$5:$A$204&lt;&gt;"")*(A_Corridor!$A$5:$A$204&lt;=$B540)*(A_Corridor!$B$5:$B$204&gt;$B540)*(A_Corridor!$D$5:$D$204&lt;&gt;"")),IF(A_Corridor!$D$5:$D$204="-","",UPPER(A_Corridor!$D$5:$D$204))),"")</f>
        <v/>
      </c>
      <c r="F540" s="181" t="str">
        <f>IFERROR(LOOKUP(2,1/((A_Corridor!$A$5:$A$204&lt;&gt;"")*(A_Corridor!$A$5:$A$204&lt;=$B540)*(A_Corridor!$B$5:$B$204&gt;$B540)*(A_Corridor!$E$5:$E$204&lt;&gt;"")),IF(A_Corridor!$E$5:$E$204="-","",1)),"")</f>
        <v/>
      </c>
      <c r="G540" s="182" t="str">
        <f>IFERROR(LOOKUP(2,1/((A_Corridor!$A$5:$A$204&lt;&gt;"")*(A_Corridor!$A$5:$A$204&lt;=$B540)*(A_Corridor!$B$5:$B$204&gt;$B540)*(A_Corridor!$E$5:$E$204&lt;&gt;"")),IF(A_Corridor!$E$5:$E$204="-","",A_Corridor!$E$5:$E$204)),"")</f>
        <v/>
      </c>
      <c r="H540" s="182" t="str">
        <f>IFERROR(LOOKUP(2,1/((D_Points!$A$5:$A$204&lt;&gt;"")*(D_Points!$A$5:$A$204&gt;=$B540)*(D_Points!$A$5:$A$204&lt;$B540+P_Interval)*(UPPER(TRIM(D_Points!$B$5:$B$204))="GULLY")*(D_Points!$H$5:$H$204&lt;&gt;"")),D_Points!$H$5:$H$204),"")</f>
        <v/>
      </c>
      <c r="I540" s="181" t="str">
        <f>IFERROR(LOOKUP(2,1/((A_Corridor!$A$5:$A$204&lt;&gt;"")*(A_Corridor!$A$5:$A$204&lt;=$B540)*(A_Corridor!$B$5:$B$204&gt;$B540)*(A_Corridor!$F$5:$F$204&lt;&gt;"")),IF(A_Corridor!$F$5:$F$204="-","",1)),"")</f>
        <v/>
      </c>
      <c r="J540" s="182" t="str">
        <f>IFERROR(LOOKUP(2,1/((A_Corridor!$A$5:$A$204&lt;&gt;"")*(A_Corridor!$A$5:$A$204&lt;=$B540)*(A_Corridor!$B$5:$B$204&gt;$B540)*(A_Corridor!$F$5:$F$204&lt;&gt;"")),IF(A_Corridor!$F$5:$F$204="-","",A_Corridor!$F$5:$F$204)),"")</f>
        <v/>
      </c>
      <c r="K540" s="182" t="str">
        <f>IFERROR(LOOKUP(2,1/((A_Corridor!$A$5:$A$204&lt;&gt;"")*(A_Corridor!$A$5:$A$204&lt;=$B540)*(A_Corridor!$B$5:$B$204&gt;$B540)*(A_Corridor!$G$5:$G$204&lt;&gt;"")),IF(A_Corridor!$G$5:$G$204="-","",A_Corridor!$G$5:$G$204)),"")</f>
        <v/>
      </c>
      <c r="L540" s="181" t="str">
        <f>IFERROR(LOOKUP(2,1/((A_Corridor!$A$5:$A$204&lt;&gt;"")*(A_Corridor!$A$5:$A$204&lt;=$B540)*(A_Corridor!$B$5:$B$204&gt;$B540)*(A_Corridor!$H$5:$H$204&lt;&gt;"")),IF(A_Corridor!$H$5:$H$204="-","",1)),"")</f>
        <v/>
      </c>
      <c r="M540" s="182" t="str">
        <f>IFERROR(LOOKUP(2,1/((A_Corridor!$A$5:$A$204&lt;&gt;"")*(A_Corridor!$A$5:$A$204&lt;=$B540)*(A_Corridor!$B$5:$B$204&gt;$B540)*(A_Corridor!$H$5:$H$204&lt;&gt;"")),IF(A_Corridor!$H$5:$H$204="-","",A_Corridor!$H$5:$H$204)),"")</f>
        <v/>
      </c>
      <c r="N540" s="182" t="str">
        <f>IFERROR(LOOKUP(2,1/((A_Corridor!$A$5:$A$204&lt;&gt;"")*(A_Corridor!$A$5:$A$204&lt;=$B540)*(A_Corridor!$B$5:$B$204&gt;$B540)*(A_Corridor!$I$5:$I$204&lt;&gt;"")),IF(A_Corridor!$I$5:$I$204="-","",A_Corridor!$I$5:$I$204)),"")</f>
        <v/>
      </c>
      <c r="O540" s="182" t="str">
        <f>IFERROR(LOOKUP(2,1/((D_Points!$A$5:$A$204&lt;&gt;"")*(D_Points!$A$5:$A$204&gt;=$B540)*(D_Points!$A$5:$A$204&lt;$B540+P_Interval)*(UPPER(TRIM(D_Points!$B$5:$B$204))="PITCHING")*(D_Points!$H$5:$H$204&lt;&gt;"")),D_Points!$H$5:$H$204),"")</f>
        <v/>
      </c>
      <c r="P540" s="181" t="str">
        <f>IFERROR(LOOKUP(2,1/((B_Drainage!$A$5:$A$204&lt;&gt;"")*(B_Drainage!$A$5:$A$204&lt;=$B540)*(B_Drainage!$B$5:$B$204&gt;$B540)*(B_Drainage!$C$5:$C$204&lt;&gt;"")),IF(B_Drainage!$C$5:$C$204="-","",UPPER(B_Drainage!$C$5:$C$204))),"")</f>
        <v/>
      </c>
      <c r="Q540" s="181" t="str">
        <f>IFERROR(LOOKUP(2,1/((B_Drainage!$A$5:$A$204&lt;&gt;"")*(B_Drainage!$A$5:$A$204&lt;=$B540)*(B_Drainage!$B$5:$B$204&gt;$B540)*(B_Drainage!$D$5:$D$204&lt;&gt;"")),IF(B_Drainage!$D$5:$D$204="-","",UPPER(B_Drainage!$D$5:$D$204))),"")</f>
        <v/>
      </c>
      <c r="R540" s="182" t="str">
        <f>IFERROR(LOOKUP(2,1/((D_Points!$A$5:$A$204&lt;&gt;"")*(D_Points!$A$5:$A$204&gt;=$B540)*(D_Points!$A$5:$A$204&lt;$B540+P_Interval)*(RIGHT(UPPER(TRIM(D_Points!$B$5:$B$204)),8)="_CULVERT")),IF(LEFT(UPPER(TRIM(D_Points!$B$5:$B$204)),2)="EX",1,IF(LEFT(UPPER(TRIM(D_Points!$B$5:$B$204)),2)="PR",2,3))),"")</f>
        <v/>
      </c>
      <c r="S540" s="182" t="str">
        <f>IFERROR(LOOKUP(2,1/((D_Points!$A$5:$A$204&lt;&gt;"")*(D_Points!$A$5:$A$204&gt;=$B540)*(D_Points!$A$5:$A$204&lt;$B540+P_Interval)*(RIGHT(UPPER(TRIM(D_Points!$B$5:$B$204)),7)="_BRIDGE")),IF(LEFT(UPPER(TRIM(D_Points!$B$5:$B$204)),2)="EX",1,IF(LEFT(UPPER(TRIM(D_Points!$B$5:$B$204)),2)="PR",2,2))),"")</f>
        <v/>
      </c>
      <c r="T540" s="181" t="str">
        <f>IFERROR(LOOKUP(2,1/((B_Drainage!$A$5:$A$204&lt;&gt;"")*(B_Drainage!$A$5:$A$204&lt;=$B540)*(B_Drainage!$B$5:$B$204&gt;$B540)*(B_Drainage!$E$5:$E$204&lt;&gt;"")),IF(B_Drainage!$E$5:$E$204="-","",1)),"")</f>
        <v/>
      </c>
      <c r="U540" s="181" t="str">
        <f>IFERROR(LOOKUP(2,1/((B_Drainage!$A$5:$A$204&lt;&gt;"")*(B_Drainage!$A$5:$A$204&lt;=$B540)*(B_Drainage!$B$5:$B$204&gt;$B540)*(B_Drainage!$E$5:$E$204&lt;&gt;"")),IF(B_Drainage!$E$5:$E$204="-","",B_Drainage!$E$5:$E$204)),"")</f>
        <v/>
      </c>
      <c r="V540" s="181" t="str">
        <f>IFERROR(LOOKUP(2,1/((B_Drainage!$A$5:$A$204&lt;&gt;"")*(B_Drainage!$A$5:$A$204&lt;=$B540)*(B_Drainage!$B$5:$B$204&gt;$B540)*(B_Drainage!$F$5:$F$204&lt;&gt;"")),IF(B_Drainage!$F$5:$F$204="-","",1)),"")</f>
        <v/>
      </c>
      <c r="W540" s="181" t="str">
        <f>IFERROR(LOOKUP(2,1/((B_Drainage!$A$5:$A$204&lt;&gt;"")*(B_Drainage!$A$5:$A$204&lt;=$B540)*(B_Drainage!$B$5:$B$204&gt;$B540)*(B_Drainage!$F$5:$F$204&lt;&gt;"")),IF(B_Drainage!$F$5:$F$204="-","",B_Drainage!$F$5:$F$204)),"")</f>
        <v/>
      </c>
      <c r="X540" s="181" t="str">
        <f>IFERROR(LOOKUP(2,1/((B_Drainage!$A$5:$A$204&lt;&gt;"")*(B_Drainage!$A$5:$A$204&lt;=$B540)*(B_Drainage!$B$5:$B$204&gt;$B540)*(B_Drainage!$G$5:$G$204&lt;&gt;"")),IF(UPPER(B_Drainage!$G$5:$G$204)="Y",1,"")),"")</f>
        <v/>
      </c>
      <c r="Y540" s="181" t="str">
        <f>IFERROR(LOOKUP(2,1/((B_Drainage!$A$5:$A$204&lt;&gt;"")*(B_Drainage!$A$5:$A$204&lt;=$B540)*(B_Drainage!$B$5:$B$204&gt;$B540)*(B_Drainage!$H$5:$H$204&lt;&gt;"")),IF(UPPER(B_Drainage!$H$5:$H$204)="Y",1,"")),"")</f>
        <v/>
      </c>
      <c r="Z540" s="181" t="str">
        <f>IFERROR(LOOKUP(2,1/((B_Drainage!$A$5:$A$204&lt;&gt;"")*(B_Drainage!$A$5:$A$204&lt;=$B540)*(B_Drainage!$B$5:$B$204&gt;$B540)*(B_Drainage!$I$5:$I$204&lt;&gt;"")),IF(UPPER(B_Drainage!$I$5:$I$204)="Y",1,"")),"")</f>
        <v/>
      </c>
      <c r="AA540" s="181" t="str">
        <f>IFERROR(LOOKUP(2,1/((B_Drainage!$A$5:$A$204&lt;&gt;"")*(B_Drainage!$A$5:$A$204&lt;=$B540)*(B_Drainage!$B$5:$B$204&gt;$B540)*(B_Drainage!$J$5:$J$204&lt;&gt;"")),IF(UPPER(B_Drainage!$J$5:$J$204)="Y",1,"")),"")</f>
        <v/>
      </c>
      <c r="AB540" s="182" t="str">
        <f>IFERROR(LOOKUP(2,1/((B_Drainage!$A$5:$A$204&lt;&gt;"")*(B_Drainage!$A$5:$A$204&lt;=$B540)*(B_Drainage!$B$5:$B$204&gt;$B540)*(B_Drainage!$K$5:$K$204&lt;&gt;"")),IF(B_Drainage!$K$5:$K$204="-","",B_Drainage!$K$5:$K$204)),"")</f>
        <v/>
      </c>
      <c r="AC540" s="182" t="str">
        <f>IFERROR(LOOKUP(2,1/((B_Drainage!$A$5:$A$204&lt;&gt;"")*(B_Drainage!$A$5:$A$204&lt;=$B540)*(B_Drainage!$B$5:$B$204&gt;$B540)*(B_Drainage!$L$5:$L$204&lt;&gt;"")),IF(B_Drainage!$L$5:$L$204="-","",B_Drainage!$L$5:$L$204)),"")</f>
        <v/>
      </c>
      <c r="AD540" s="182" t="str">
        <f>IFERROR(LOOKUP(2,1/((D_Points!$A$5:$A$204&lt;&gt;"")*(D_Points!$A$5:$A$204&gt;=$B540)*(D_Points!$A$5:$A$204&lt;$B540+P_Interval)*(UPPER(TRIM(D_Points!$B$5:$B$204))="TURNOUT_L")*(D_Points!$H$5:$H$204&lt;&gt;"")),D_Points!$H$5:$H$204),"")</f>
        <v/>
      </c>
      <c r="AE540" s="182" t="str">
        <f>IFERROR(LOOKUP(2,1/((D_Points!$A$5:$A$204&lt;&gt;"")*(D_Points!$A$5:$A$204&gt;=$B540)*(D_Points!$A$5:$A$204&lt;$B540+P_Interval)*(UPPER(TRIM(D_Points!$B$5:$B$204))="TURNOUT_R")*(D_Points!$H$5:$H$204&lt;&gt;"")),D_Points!$H$5:$H$204),"")</f>
        <v/>
      </c>
      <c r="AF540" s="181" t="str">
        <f>IFERROR(LOOKUP(2,1/((B_Drainage!$A$5:$A$204&lt;&gt;"")*(B_Drainage!$A$5:$A$204&lt;=$B540)*(B_Drainage!$B$5:$B$204&gt;$B540)*(B_Drainage!$M$5:$M$204&lt;&gt;"")),IF(UPPER(B_Drainage!$M$5:$M$204)="Y",1,"")),"")</f>
        <v/>
      </c>
      <c r="AG540" s="181" t="str">
        <f>IFERROR(LOOKUP(2,1/((B_Drainage!$A$5:$A$204&lt;&gt;"")*(B_Drainage!$A$5:$A$204&lt;=$B540)*(B_Drainage!$B$5:$B$204&gt;$B540)*(B_Drainage!$N$5:$N$204&lt;&gt;"")),IF(UPPER(B_Drainage!$N$5:$N$204)="Y",1,"")),"")</f>
        <v/>
      </c>
      <c r="AH540" s="181" t="str">
        <f t="shared" si="64"/>
        <v/>
      </c>
      <c r="AI540" s="181" t="str">
        <f t="shared" si="65"/>
        <v/>
      </c>
      <c r="AJ540" s="181" t="str">
        <f t="shared" si="66"/>
        <v/>
      </c>
      <c r="AK540" s="181" t="str">
        <f t="shared" si="67"/>
        <v/>
      </c>
      <c r="AL540" s="181" t="str">
        <f t="shared" si="68"/>
        <v/>
      </c>
      <c r="AM540" s="181" t="str">
        <f t="shared" si="69"/>
        <v/>
      </c>
      <c r="AN540" s="181" t="str">
        <f t="shared" si="70"/>
        <v/>
      </c>
      <c r="AO540" s="192" t="str">
        <f t="shared" si="71"/>
        <v/>
      </c>
      <c r="AQ540" t="str">
        <f>IFERROR(LOOKUP(2,1/((C_Pavement!$A$5:$A$204&lt;&gt;"")*(C_Pavement!$A$5:$A$204&lt;=$B540)*(C_Pavement!$B$5:$B$204&gt;$B540)*(C_Pavement!$C$5:$C$204&lt;&gt;"")),ROW(C_Pavement!$C$5:$C$204)-4),"")</f>
        <v/>
      </c>
      <c r="AR540" t="str">
        <f>IF($AQ540="","",UPPER(TRIM(INDEX(C_Pavement!$C$5:$C$204,$AQ540))))</f>
        <v/>
      </c>
      <c r="AS540" t="str">
        <f>IF($AR540="","",IFERROR(MATCH($AR540,E_Rules!$A$5:$A$9,0),""))</f>
        <v/>
      </c>
      <c r="AT540" t="str">
        <f>IF($AQ540="","",IF(INDEX(C_Pavement!$D$5:$D$204,$AQ540)&lt;&gt;"",UPPER(TRIM(INDEX(C_Pavement!$D$5:$D$204,$AQ540))),IF($AS540="","",INDEX(E_Rules!$C$5:$C$9,$AS540))))</f>
        <v/>
      </c>
      <c r="AU540" t="str">
        <f>IF($AQ540="","",IF(INDEX(C_Pavement!$E$5:$E$204,$AQ540)&lt;&gt;"",IF(INDEX(C_Pavement!$E$5:$E$204,$AQ540)="-","",INDEX(C_Pavement!$E$5:$E$204,$AQ540)),IF($AS540="","",INDEX(E_Rules!$D$5:$D$9,$AS540))))</f>
        <v/>
      </c>
      <c r="AV540" t="str">
        <f>IF($AQ540="","",IF(INDEX(C_Pavement!$F$5:$F$204,$AQ540)&lt;&gt;"",IF(INDEX(C_Pavement!$F$5:$F$204,$AQ540)="-","",INDEX(C_Pavement!$F$5:$F$204,$AQ540)),IF($AS540="","",INDEX(E_Rules!$E$5:$E$9,$AS540))))</f>
        <v/>
      </c>
      <c r="AW540" t="str">
        <f>IF($AQ540="","",IF(INDEX(C_Pavement!$G$5:$G$204,$AQ540)&lt;&gt;"",IF(INDEX(C_Pavement!$G$5:$G$204,$AQ540)="-","",INDEX(C_Pavement!$G$5:$G$204,$AQ540)),IF($AS540="","",INDEX(E_Rules!$F$5:$F$9,$AS540))))</f>
        <v/>
      </c>
      <c r="AX540" t="str">
        <f>IF($AQ540="","",IF(INDEX(C_Pavement!$H$5:$H$204,$AQ540)&lt;&gt;"",IF(INDEX(C_Pavement!$H$5:$H$204,$AQ540)="-","",INDEX(C_Pavement!$H$5:$H$204,$AQ540)),IF($AS540="","",INDEX(E_Rules!$G$5:$G$9,$AS540))))</f>
        <v/>
      </c>
      <c r="AY540" t="str">
        <f>IF($AQ540="","",IF(INDEX(C_Pavement!$I$5:$I$204,$AQ540)&lt;&gt;"",IF(INDEX(C_Pavement!$I$5:$I$204,$AQ540)="-","",INDEX(C_Pavement!$I$5:$I$204,$AQ540)),IF($AS540="","",INDEX(E_Rules!$H$5:$H$9,$AS540))))</f>
        <v/>
      </c>
    </row>
    <row r="541" spans="1:51" ht="15.75" customHeight="1" x14ac:dyDescent="0.3">
      <c r="A541" s="189">
        <v>536</v>
      </c>
      <c r="B541" s="180">
        <v>26750</v>
      </c>
      <c r="C541" s="180" t="s">
        <v>847</v>
      </c>
      <c r="D541" s="181" t="str">
        <f>IFERROR(LOOKUP(2,1/((A_Corridor!$A$5:$A$204&lt;&gt;"")*(A_Corridor!$A$5:$A$204&lt;=$B541)*(A_Corridor!$B$5:$B$204&gt;$B541)*(A_Corridor!$C$5:$C$204&lt;&gt;"")),IF(UPPER(A_Corridor!$C$5:$C$204)="Y",1,"")),"")</f>
        <v/>
      </c>
      <c r="E541" s="181" t="str">
        <f>IFERROR(LOOKUP(2,1/((A_Corridor!$A$5:$A$204&lt;&gt;"")*(A_Corridor!$A$5:$A$204&lt;=$B541)*(A_Corridor!$B$5:$B$204&gt;$B541)*(A_Corridor!$D$5:$D$204&lt;&gt;"")),IF(A_Corridor!$D$5:$D$204="-","",UPPER(A_Corridor!$D$5:$D$204))),"")</f>
        <v/>
      </c>
      <c r="F541" s="181" t="str">
        <f>IFERROR(LOOKUP(2,1/((A_Corridor!$A$5:$A$204&lt;&gt;"")*(A_Corridor!$A$5:$A$204&lt;=$B541)*(A_Corridor!$B$5:$B$204&gt;$B541)*(A_Corridor!$E$5:$E$204&lt;&gt;"")),IF(A_Corridor!$E$5:$E$204="-","",1)),"")</f>
        <v/>
      </c>
      <c r="G541" s="182" t="str">
        <f>IFERROR(LOOKUP(2,1/((A_Corridor!$A$5:$A$204&lt;&gt;"")*(A_Corridor!$A$5:$A$204&lt;=$B541)*(A_Corridor!$B$5:$B$204&gt;$B541)*(A_Corridor!$E$5:$E$204&lt;&gt;"")),IF(A_Corridor!$E$5:$E$204="-","",A_Corridor!$E$5:$E$204)),"")</f>
        <v/>
      </c>
      <c r="H541" s="182" t="str">
        <f>IFERROR(LOOKUP(2,1/((D_Points!$A$5:$A$204&lt;&gt;"")*(D_Points!$A$5:$A$204&gt;=$B541)*(D_Points!$A$5:$A$204&lt;$B541+P_Interval)*(UPPER(TRIM(D_Points!$B$5:$B$204))="GULLY")*(D_Points!$H$5:$H$204&lt;&gt;"")),D_Points!$H$5:$H$204),"")</f>
        <v/>
      </c>
      <c r="I541" s="181" t="str">
        <f>IFERROR(LOOKUP(2,1/((A_Corridor!$A$5:$A$204&lt;&gt;"")*(A_Corridor!$A$5:$A$204&lt;=$B541)*(A_Corridor!$B$5:$B$204&gt;$B541)*(A_Corridor!$F$5:$F$204&lt;&gt;"")),IF(A_Corridor!$F$5:$F$204="-","",1)),"")</f>
        <v/>
      </c>
      <c r="J541" s="182" t="str">
        <f>IFERROR(LOOKUP(2,1/((A_Corridor!$A$5:$A$204&lt;&gt;"")*(A_Corridor!$A$5:$A$204&lt;=$B541)*(A_Corridor!$B$5:$B$204&gt;$B541)*(A_Corridor!$F$5:$F$204&lt;&gt;"")),IF(A_Corridor!$F$5:$F$204="-","",A_Corridor!$F$5:$F$204)),"")</f>
        <v/>
      </c>
      <c r="K541" s="182" t="str">
        <f>IFERROR(LOOKUP(2,1/((A_Corridor!$A$5:$A$204&lt;&gt;"")*(A_Corridor!$A$5:$A$204&lt;=$B541)*(A_Corridor!$B$5:$B$204&gt;$B541)*(A_Corridor!$G$5:$G$204&lt;&gt;"")),IF(A_Corridor!$G$5:$G$204="-","",A_Corridor!$G$5:$G$204)),"")</f>
        <v/>
      </c>
      <c r="L541" s="181" t="str">
        <f>IFERROR(LOOKUP(2,1/((A_Corridor!$A$5:$A$204&lt;&gt;"")*(A_Corridor!$A$5:$A$204&lt;=$B541)*(A_Corridor!$B$5:$B$204&gt;$B541)*(A_Corridor!$H$5:$H$204&lt;&gt;"")),IF(A_Corridor!$H$5:$H$204="-","",1)),"")</f>
        <v/>
      </c>
      <c r="M541" s="182" t="str">
        <f>IFERROR(LOOKUP(2,1/((A_Corridor!$A$5:$A$204&lt;&gt;"")*(A_Corridor!$A$5:$A$204&lt;=$B541)*(A_Corridor!$B$5:$B$204&gt;$B541)*(A_Corridor!$H$5:$H$204&lt;&gt;"")),IF(A_Corridor!$H$5:$H$204="-","",A_Corridor!$H$5:$H$204)),"")</f>
        <v/>
      </c>
      <c r="N541" s="182" t="str">
        <f>IFERROR(LOOKUP(2,1/((A_Corridor!$A$5:$A$204&lt;&gt;"")*(A_Corridor!$A$5:$A$204&lt;=$B541)*(A_Corridor!$B$5:$B$204&gt;$B541)*(A_Corridor!$I$5:$I$204&lt;&gt;"")),IF(A_Corridor!$I$5:$I$204="-","",A_Corridor!$I$5:$I$204)),"")</f>
        <v/>
      </c>
      <c r="O541" s="182" t="str">
        <f>IFERROR(LOOKUP(2,1/((D_Points!$A$5:$A$204&lt;&gt;"")*(D_Points!$A$5:$A$204&gt;=$B541)*(D_Points!$A$5:$A$204&lt;$B541+P_Interval)*(UPPER(TRIM(D_Points!$B$5:$B$204))="PITCHING")*(D_Points!$H$5:$H$204&lt;&gt;"")),D_Points!$H$5:$H$204),"")</f>
        <v/>
      </c>
      <c r="P541" s="181" t="str">
        <f>IFERROR(LOOKUP(2,1/((B_Drainage!$A$5:$A$204&lt;&gt;"")*(B_Drainage!$A$5:$A$204&lt;=$B541)*(B_Drainage!$B$5:$B$204&gt;$B541)*(B_Drainage!$C$5:$C$204&lt;&gt;"")),IF(B_Drainage!$C$5:$C$204="-","",UPPER(B_Drainage!$C$5:$C$204))),"")</f>
        <v/>
      </c>
      <c r="Q541" s="181" t="str">
        <f>IFERROR(LOOKUP(2,1/((B_Drainage!$A$5:$A$204&lt;&gt;"")*(B_Drainage!$A$5:$A$204&lt;=$B541)*(B_Drainage!$B$5:$B$204&gt;$B541)*(B_Drainage!$D$5:$D$204&lt;&gt;"")),IF(B_Drainage!$D$5:$D$204="-","",UPPER(B_Drainage!$D$5:$D$204))),"")</f>
        <v/>
      </c>
      <c r="R541" s="182" t="str">
        <f>IFERROR(LOOKUP(2,1/((D_Points!$A$5:$A$204&lt;&gt;"")*(D_Points!$A$5:$A$204&gt;=$B541)*(D_Points!$A$5:$A$204&lt;$B541+P_Interval)*(RIGHT(UPPER(TRIM(D_Points!$B$5:$B$204)),8)="_CULVERT")),IF(LEFT(UPPER(TRIM(D_Points!$B$5:$B$204)),2)="EX",1,IF(LEFT(UPPER(TRIM(D_Points!$B$5:$B$204)),2)="PR",2,3))),"")</f>
        <v/>
      </c>
      <c r="S541" s="182" t="str">
        <f>IFERROR(LOOKUP(2,1/((D_Points!$A$5:$A$204&lt;&gt;"")*(D_Points!$A$5:$A$204&gt;=$B541)*(D_Points!$A$5:$A$204&lt;$B541+P_Interval)*(RIGHT(UPPER(TRIM(D_Points!$B$5:$B$204)),7)="_BRIDGE")),IF(LEFT(UPPER(TRIM(D_Points!$B$5:$B$204)),2)="EX",1,IF(LEFT(UPPER(TRIM(D_Points!$B$5:$B$204)),2)="PR",2,2))),"")</f>
        <v/>
      </c>
      <c r="T541" s="181" t="str">
        <f>IFERROR(LOOKUP(2,1/((B_Drainage!$A$5:$A$204&lt;&gt;"")*(B_Drainage!$A$5:$A$204&lt;=$B541)*(B_Drainage!$B$5:$B$204&gt;$B541)*(B_Drainage!$E$5:$E$204&lt;&gt;"")),IF(B_Drainage!$E$5:$E$204="-","",1)),"")</f>
        <v/>
      </c>
      <c r="U541" s="181" t="str">
        <f>IFERROR(LOOKUP(2,1/((B_Drainage!$A$5:$A$204&lt;&gt;"")*(B_Drainage!$A$5:$A$204&lt;=$B541)*(B_Drainage!$B$5:$B$204&gt;$B541)*(B_Drainage!$E$5:$E$204&lt;&gt;"")),IF(B_Drainage!$E$5:$E$204="-","",B_Drainage!$E$5:$E$204)),"")</f>
        <v/>
      </c>
      <c r="V541" s="181" t="str">
        <f>IFERROR(LOOKUP(2,1/((B_Drainage!$A$5:$A$204&lt;&gt;"")*(B_Drainage!$A$5:$A$204&lt;=$B541)*(B_Drainage!$B$5:$B$204&gt;$B541)*(B_Drainage!$F$5:$F$204&lt;&gt;"")),IF(B_Drainage!$F$5:$F$204="-","",1)),"")</f>
        <v/>
      </c>
      <c r="W541" s="181" t="str">
        <f>IFERROR(LOOKUP(2,1/((B_Drainage!$A$5:$A$204&lt;&gt;"")*(B_Drainage!$A$5:$A$204&lt;=$B541)*(B_Drainage!$B$5:$B$204&gt;$B541)*(B_Drainage!$F$5:$F$204&lt;&gt;"")),IF(B_Drainage!$F$5:$F$204="-","",B_Drainage!$F$5:$F$204)),"")</f>
        <v/>
      </c>
      <c r="X541" s="181" t="str">
        <f>IFERROR(LOOKUP(2,1/((B_Drainage!$A$5:$A$204&lt;&gt;"")*(B_Drainage!$A$5:$A$204&lt;=$B541)*(B_Drainage!$B$5:$B$204&gt;$B541)*(B_Drainage!$G$5:$G$204&lt;&gt;"")),IF(UPPER(B_Drainage!$G$5:$G$204)="Y",1,"")),"")</f>
        <v/>
      </c>
      <c r="Y541" s="181" t="str">
        <f>IFERROR(LOOKUP(2,1/((B_Drainage!$A$5:$A$204&lt;&gt;"")*(B_Drainage!$A$5:$A$204&lt;=$B541)*(B_Drainage!$B$5:$B$204&gt;$B541)*(B_Drainage!$H$5:$H$204&lt;&gt;"")),IF(UPPER(B_Drainage!$H$5:$H$204)="Y",1,"")),"")</f>
        <v/>
      </c>
      <c r="Z541" s="181" t="str">
        <f>IFERROR(LOOKUP(2,1/((B_Drainage!$A$5:$A$204&lt;&gt;"")*(B_Drainage!$A$5:$A$204&lt;=$B541)*(B_Drainage!$B$5:$B$204&gt;$B541)*(B_Drainage!$I$5:$I$204&lt;&gt;"")),IF(UPPER(B_Drainage!$I$5:$I$204)="Y",1,"")),"")</f>
        <v/>
      </c>
      <c r="AA541" s="181" t="str">
        <f>IFERROR(LOOKUP(2,1/((B_Drainage!$A$5:$A$204&lt;&gt;"")*(B_Drainage!$A$5:$A$204&lt;=$B541)*(B_Drainage!$B$5:$B$204&gt;$B541)*(B_Drainage!$J$5:$J$204&lt;&gt;"")),IF(UPPER(B_Drainage!$J$5:$J$204)="Y",1,"")),"")</f>
        <v/>
      </c>
      <c r="AB541" s="182" t="str">
        <f>IFERROR(LOOKUP(2,1/((B_Drainage!$A$5:$A$204&lt;&gt;"")*(B_Drainage!$A$5:$A$204&lt;=$B541)*(B_Drainage!$B$5:$B$204&gt;$B541)*(B_Drainage!$K$5:$K$204&lt;&gt;"")),IF(B_Drainage!$K$5:$K$204="-","",B_Drainage!$K$5:$K$204)),"")</f>
        <v/>
      </c>
      <c r="AC541" s="182" t="str">
        <f>IFERROR(LOOKUP(2,1/((B_Drainage!$A$5:$A$204&lt;&gt;"")*(B_Drainage!$A$5:$A$204&lt;=$B541)*(B_Drainage!$B$5:$B$204&gt;$B541)*(B_Drainage!$L$5:$L$204&lt;&gt;"")),IF(B_Drainage!$L$5:$L$204="-","",B_Drainage!$L$5:$L$204)),"")</f>
        <v/>
      </c>
      <c r="AD541" s="182" t="str">
        <f>IFERROR(LOOKUP(2,1/((D_Points!$A$5:$A$204&lt;&gt;"")*(D_Points!$A$5:$A$204&gt;=$B541)*(D_Points!$A$5:$A$204&lt;$B541+P_Interval)*(UPPER(TRIM(D_Points!$B$5:$B$204))="TURNOUT_L")*(D_Points!$H$5:$H$204&lt;&gt;"")),D_Points!$H$5:$H$204),"")</f>
        <v/>
      </c>
      <c r="AE541" s="182" t="str">
        <f>IFERROR(LOOKUP(2,1/((D_Points!$A$5:$A$204&lt;&gt;"")*(D_Points!$A$5:$A$204&gt;=$B541)*(D_Points!$A$5:$A$204&lt;$B541+P_Interval)*(UPPER(TRIM(D_Points!$B$5:$B$204))="TURNOUT_R")*(D_Points!$H$5:$H$204&lt;&gt;"")),D_Points!$H$5:$H$204),"")</f>
        <v/>
      </c>
      <c r="AF541" s="181" t="str">
        <f>IFERROR(LOOKUP(2,1/((B_Drainage!$A$5:$A$204&lt;&gt;"")*(B_Drainage!$A$5:$A$204&lt;=$B541)*(B_Drainage!$B$5:$B$204&gt;$B541)*(B_Drainage!$M$5:$M$204&lt;&gt;"")),IF(UPPER(B_Drainage!$M$5:$M$204)="Y",1,"")),"")</f>
        <v/>
      </c>
      <c r="AG541" s="181" t="str">
        <f>IFERROR(LOOKUP(2,1/((B_Drainage!$A$5:$A$204&lt;&gt;"")*(B_Drainage!$A$5:$A$204&lt;=$B541)*(B_Drainage!$B$5:$B$204&gt;$B541)*(B_Drainage!$N$5:$N$204&lt;&gt;"")),IF(UPPER(B_Drainage!$N$5:$N$204)="Y",1,"")),"")</f>
        <v/>
      </c>
      <c r="AH541" s="181" t="str">
        <f t="shared" si="64"/>
        <v/>
      </c>
      <c r="AI541" s="181" t="str">
        <f t="shared" si="65"/>
        <v/>
      </c>
      <c r="AJ541" s="181" t="str">
        <f t="shared" si="66"/>
        <v/>
      </c>
      <c r="AK541" s="181" t="str">
        <f t="shared" si="67"/>
        <v/>
      </c>
      <c r="AL541" s="181" t="str">
        <f t="shared" si="68"/>
        <v/>
      </c>
      <c r="AM541" s="181" t="str">
        <f t="shared" si="69"/>
        <v/>
      </c>
      <c r="AN541" s="181" t="str">
        <f t="shared" si="70"/>
        <v/>
      </c>
      <c r="AO541" s="192" t="str">
        <f t="shared" si="71"/>
        <v/>
      </c>
      <c r="AQ541" t="str">
        <f>IFERROR(LOOKUP(2,1/((C_Pavement!$A$5:$A$204&lt;&gt;"")*(C_Pavement!$A$5:$A$204&lt;=$B541)*(C_Pavement!$B$5:$B$204&gt;$B541)*(C_Pavement!$C$5:$C$204&lt;&gt;"")),ROW(C_Pavement!$C$5:$C$204)-4),"")</f>
        <v/>
      </c>
      <c r="AR541" t="str">
        <f>IF($AQ541="","",UPPER(TRIM(INDEX(C_Pavement!$C$5:$C$204,$AQ541))))</f>
        <v/>
      </c>
      <c r="AS541" t="str">
        <f>IF($AR541="","",IFERROR(MATCH($AR541,E_Rules!$A$5:$A$9,0),""))</f>
        <v/>
      </c>
      <c r="AT541" t="str">
        <f>IF($AQ541="","",IF(INDEX(C_Pavement!$D$5:$D$204,$AQ541)&lt;&gt;"",UPPER(TRIM(INDEX(C_Pavement!$D$5:$D$204,$AQ541))),IF($AS541="","",INDEX(E_Rules!$C$5:$C$9,$AS541))))</f>
        <v/>
      </c>
      <c r="AU541" t="str">
        <f>IF($AQ541="","",IF(INDEX(C_Pavement!$E$5:$E$204,$AQ541)&lt;&gt;"",IF(INDEX(C_Pavement!$E$5:$E$204,$AQ541)="-","",INDEX(C_Pavement!$E$5:$E$204,$AQ541)),IF($AS541="","",INDEX(E_Rules!$D$5:$D$9,$AS541))))</f>
        <v/>
      </c>
      <c r="AV541" t="str">
        <f>IF($AQ541="","",IF(INDEX(C_Pavement!$F$5:$F$204,$AQ541)&lt;&gt;"",IF(INDEX(C_Pavement!$F$5:$F$204,$AQ541)="-","",INDEX(C_Pavement!$F$5:$F$204,$AQ541)),IF($AS541="","",INDEX(E_Rules!$E$5:$E$9,$AS541))))</f>
        <v/>
      </c>
      <c r="AW541" t="str">
        <f>IF($AQ541="","",IF(INDEX(C_Pavement!$G$5:$G$204,$AQ541)&lt;&gt;"",IF(INDEX(C_Pavement!$G$5:$G$204,$AQ541)="-","",INDEX(C_Pavement!$G$5:$G$204,$AQ541)),IF($AS541="","",INDEX(E_Rules!$F$5:$F$9,$AS541))))</f>
        <v/>
      </c>
      <c r="AX541" t="str">
        <f>IF($AQ541="","",IF(INDEX(C_Pavement!$H$5:$H$204,$AQ541)&lt;&gt;"",IF(INDEX(C_Pavement!$H$5:$H$204,$AQ541)="-","",INDEX(C_Pavement!$H$5:$H$204,$AQ541)),IF($AS541="","",INDEX(E_Rules!$G$5:$G$9,$AS541))))</f>
        <v/>
      </c>
      <c r="AY541" t="str">
        <f>IF($AQ541="","",IF(INDEX(C_Pavement!$I$5:$I$204,$AQ541)&lt;&gt;"",IF(INDEX(C_Pavement!$I$5:$I$204,$AQ541)="-","",INDEX(C_Pavement!$I$5:$I$204,$AQ541)),IF($AS541="","",INDEX(E_Rules!$H$5:$H$9,$AS541))))</f>
        <v/>
      </c>
    </row>
    <row r="542" spans="1:51" ht="15.75" customHeight="1" x14ac:dyDescent="0.3">
      <c r="A542" s="189">
        <v>537</v>
      </c>
      <c r="B542" s="180">
        <v>26800</v>
      </c>
      <c r="C542" s="180" t="s">
        <v>848</v>
      </c>
      <c r="D542" s="181" t="str">
        <f>IFERROR(LOOKUP(2,1/((A_Corridor!$A$5:$A$204&lt;&gt;"")*(A_Corridor!$A$5:$A$204&lt;=$B542)*(A_Corridor!$B$5:$B$204&gt;$B542)*(A_Corridor!$C$5:$C$204&lt;&gt;"")),IF(UPPER(A_Corridor!$C$5:$C$204)="Y",1,"")),"")</f>
        <v/>
      </c>
      <c r="E542" s="181" t="str">
        <f>IFERROR(LOOKUP(2,1/((A_Corridor!$A$5:$A$204&lt;&gt;"")*(A_Corridor!$A$5:$A$204&lt;=$B542)*(A_Corridor!$B$5:$B$204&gt;$B542)*(A_Corridor!$D$5:$D$204&lt;&gt;"")),IF(A_Corridor!$D$5:$D$204="-","",UPPER(A_Corridor!$D$5:$D$204))),"")</f>
        <v/>
      </c>
      <c r="F542" s="181" t="str">
        <f>IFERROR(LOOKUP(2,1/((A_Corridor!$A$5:$A$204&lt;&gt;"")*(A_Corridor!$A$5:$A$204&lt;=$B542)*(A_Corridor!$B$5:$B$204&gt;$B542)*(A_Corridor!$E$5:$E$204&lt;&gt;"")),IF(A_Corridor!$E$5:$E$204="-","",1)),"")</f>
        <v/>
      </c>
      <c r="G542" s="182" t="str">
        <f>IFERROR(LOOKUP(2,1/((A_Corridor!$A$5:$A$204&lt;&gt;"")*(A_Corridor!$A$5:$A$204&lt;=$B542)*(A_Corridor!$B$5:$B$204&gt;$B542)*(A_Corridor!$E$5:$E$204&lt;&gt;"")),IF(A_Corridor!$E$5:$E$204="-","",A_Corridor!$E$5:$E$204)),"")</f>
        <v/>
      </c>
      <c r="H542" s="182" t="str">
        <f>IFERROR(LOOKUP(2,1/((D_Points!$A$5:$A$204&lt;&gt;"")*(D_Points!$A$5:$A$204&gt;=$B542)*(D_Points!$A$5:$A$204&lt;$B542+P_Interval)*(UPPER(TRIM(D_Points!$B$5:$B$204))="GULLY")*(D_Points!$H$5:$H$204&lt;&gt;"")),D_Points!$H$5:$H$204),"")</f>
        <v/>
      </c>
      <c r="I542" s="181" t="str">
        <f>IFERROR(LOOKUP(2,1/((A_Corridor!$A$5:$A$204&lt;&gt;"")*(A_Corridor!$A$5:$A$204&lt;=$B542)*(A_Corridor!$B$5:$B$204&gt;$B542)*(A_Corridor!$F$5:$F$204&lt;&gt;"")),IF(A_Corridor!$F$5:$F$204="-","",1)),"")</f>
        <v/>
      </c>
      <c r="J542" s="182" t="str">
        <f>IFERROR(LOOKUP(2,1/((A_Corridor!$A$5:$A$204&lt;&gt;"")*(A_Corridor!$A$5:$A$204&lt;=$B542)*(A_Corridor!$B$5:$B$204&gt;$B542)*(A_Corridor!$F$5:$F$204&lt;&gt;"")),IF(A_Corridor!$F$5:$F$204="-","",A_Corridor!$F$5:$F$204)),"")</f>
        <v/>
      </c>
      <c r="K542" s="182" t="str">
        <f>IFERROR(LOOKUP(2,1/((A_Corridor!$A$5:$A$204&lt;&gt;"")*(A_Corridor!$A$5:$A$204&lt;=$B542)*(A_Corridor!$B$5:$B$204&gt;$B542)*(A_Corridor!$G$5:$G$204&lt;&gt;"")),IF(A_Corridor!$G$5:$G$204="-","",A_Corridor!$G$5:$G$204)),"")</f>
        <v/>
      </c>
      <c r="L542" s="181" t="str">
        <f>IFERROR(LOOKUP(2,1/((A_Corridor!$A$5:$A$204&lt;&gt;"")*(A_Corridor!$A$5:$A$204&lt;=$B542)*(A_Corridor!$B$5:$B$204&gt;$B542)*(A_Corridor!$H$5:$H$204&lt;&gt;"")),IF(A_Corridor!$H$5:$H$204="-","",1)),"")</f>
        <v/>
      </c>
      <c r="M542" s="182" t="str">
        <f>IFERROR(LOOKUP(2,1/((A_Corridor!$A$5:$A$204&lt;&gt;"")*(A_Corridor!$A$5:$A$204&lt;=$B542)*(A_Corridor!$B$5:$B$204&gt;$B542)*(A_Corridor!$H$5:$H$204&lt;&gt;"")),IF(A_Corridor!$H$5:$H$204="-","",A_Corridor!$H$5:$H$204)),"")</f>
        <v/>
      </c>
      <c r="N542" s="182" t="str">
        <f>IFERROR(LOOKUP(2,1/((A_Corridor!$A$5:$A$204&lt;&gt;"")*(A_Corridor!$A$5:$A$204&lt;=$B542)*(A_Corridor!$B$5:$B$204&gt;$B542)*(A_Corridor!$I$5:$I$204&lt;&gt;"")),IF(A_Corridor!$I$5:$I$204="-","",A_Corridor!$I$5:$I$204)),"")</f>
        <v/>
      </c>
      <c r="O542" s="182" t="str">
        <f>IFERROR(LOOKUP(2,1/((D_Points!$A$5:$A$204&lt;&gt;"")*(D_Points!$A$5:$A$204&gt;=$B542)*(D_Points!$A$5:$A$204&lt;$B542+P_Interval)*(UPPER(TRIM(D_Points!$B$5:$B$204))="PITCHING")*(D_Points!$H$5:$H$204&lt;&gt;"")),D_Points!$H$5:$H$204),"")</f>
        <v/>
      </c>
      <c r="P542" s="181" t="str">
        <f>IFERROR(LOOKUP(2,1/((B_Drainage!$A$5:$A$204&lt;&gt;"")*(B_Drainage!$A$5:$A$204&lt;=$B542)*(B_Drainage!$B$5:$B$204&gt;$B542)*(B_Drainage!$C$5:$C$204&lt;&gt;"")),IF(B_Drainage!$C$5:$C$204="-","",UPPER(B_Drainage!$C$5:$C$204))),"")</f>
        <v/>
      </c>
      <c r="Q542" s="181" t="str">
        <f>IFERROR(LOOKUP(2,1/((B_Drainage!$A$5:$A$204&lt;&gt;"")*(B_Drainage!$A$5:$A$204&lt;=$B542)*(B_Drainage!$B$5:$B$204&gt;$B542)*(B_Drainage!$D$5:$D$204&lt;&gt;"")),IF(B_Drainage!$D$5:$D$204="-","",UPPER(B_Drainage!$D$5:$D$204))),"")</f>
        <v/>
      </c>
      <c r="R542" s="182" t="str">
        <f>IFERROR(LOOKUP(2,1/((D_Points!$A$5:$A$204&lt;&gt;"")*(D_Points!$A$5:$A$204&gt;=$B542)*(D_Points!$A$5:$A$204&lt;$B542+P_Interval)*(RIGHT(UPPER(TRIM(D_Points!$B$5:$B$204)),8)="_CULVERT")),IF(LEFT(UPPER(TRIM(D_Points!$B$5:$B$204)),2)="EX",1,IF(LEFT(UPPER(TRIM(D_Points!$B$5:$B$204)),2)="PR",2,3))),"")</f>
        <v/>
      </c>
      <c r="S542" s="182" t="str">
        <f>IFERROR(LOOKUP(2,1/((D_Points!$A$5:$A$204&lt;&gt;"")*(D_Points!$A$5:$A$204&gt;=$B542)*(D_Points!$A$5:$A$204&lt;$B542+P_Interval)*(RIGHT(UPPER(TRIM(D_Points!$B$5:$B$204)),7)="_BRIDGE")),IF(LEFT(UPPER(TRIM(D_Points!$B$5:$B$204)),2)="EX",1,IF(LEFT(UPPER(TRIM(D_Points!$B$5:$B$204)),2)="PR",2,2))),"")</f>
        <v/>
      </c>
      <c r="T542" s="181" t="str">
        <f>IFERROR(LOOKUP(2,1/((B_Drainage!$A$5:$A$204&lt;&gt;"")*(B_Drainage!$A$5:$A$204&lt;=$B542)*(B_Drainage!$B$5:$B$204&gt;$B542)*(B_Drainage!$E$5:$E$204&lt;&gt;"")),IF(B_Drainage!$E$5:$E$204="-","",1)),"")</f>
        <v/>
      </c>
      <c r="U542" s="181" t="str">
        <f>IFERROR(LOOKUP(2,1/((B_Drainage!$A$5:$A$204&lt;&gt;"")*(B_Drainage!$A$5:$A$204&lt;=$B542)*(B_Drainage!$B$5:$B$204&gt;$B542)*(B_Drainage!$E$5:$E$204&lt;&gt;"")),IF(B_Drainage!$E$5:$E$204="-","",B_Drainage!$E$5:$E$204)),"")</f>
        <v/>
      </c>
      <c r="V542" s="181" t="str">
        <f>IFERROR(LOOKUP(2,1/((B_Drainage!$A$5:$A$204&lt;&gt;"")*(B_Drainage!$A$5:$A$204&lt;=$B542)*(B_Drainage!$B$5:$B$204&gt;$B542)*(B_Drainage!$F$5:$F$204&lt;&gt;"")),IF(B_Drainage!$F$5:$F$204="-","",1)),"")</f>
        <v/>
      </c>
      <c r="W542" s="181" t="str">
        <f>IFERROR(LOOKUP(2,1/((B_Drainage!$A$5:$A$204&lt;&gt;"")*(B_Drainage!$A$5:$A$204&lt;=$B542)*(B_Drainage!$B$5:$B$204&gt;$B542)*(B_Drainage!$F$5:$F$204&lt;&gt;"")),IF(B_Drainage!$F$5:$F$204="-","",B_Drainage!$F$5:$F$204)),"")</f>
        <v/>
      </c>
      <c r="X542" s="181" t="str">
        <f>IFERROR(LOOKUP(2,1/((B_Drainage!$A$5:$A$204&lt;&gt;"")*(B_Drainage!$A$5:$A$204&lt;=$B542)*(B_Drainage!$B$5:$B$204&gt;$B542)*(B_Drainage!$G$5:$G$204&lt;&gt;"")),IF(UPPER(B_Drainage!$G$5:$G$204)="Y",1,"")),"")</f>
        <v/>
      </c>
      <c r="Y542" s="181" t="str">
        <f>IFERROR(LOOKUP(2,1/((B_Drainage!$A$5:$A$204&lt;&gt;"")*(B_Drainage!$A$5:$A$204&lt;=$B542)*(B_Drainage!$B$5:$B$204&gt;$B542)*(B_Drainage!$H$5:$H$204&lt;&gt;"")),IF(UPPER(B_Drainage!$H$5:$H$204)="Y",1,"")),"")</f>
        <v/>
      </c>
      <c r="Z542" s="181" t="str">
        <f>IFERROR(LOOKUP(2,1/((B_Drainage!$A$5:$A$204&lt;&gt;"")*(B_Drainage!$A$5:$A$204&lt;=$B542)*(B_Drainage!$B$5:$B$204&gt;$B542)*(B_Drainage!$I$5:$I$204&lt;&gt;"")),IF(UPPER(B_Drainage!$I$5:$I$204)="Y",1,"")),"")</f>
        <v/>
      </c>
      <c r="AA542" s="181" t="str">
        <f>IFERROR(LOOKUP(2,1/((B_Drainage!$A$5:$A$204&lt;&gt;"")*(B_Drainage!$A$5:$A$204&lt;=$B542)*(B_Drainage!$B$5:$B$204&gt;$B542)*(B_Drainage!$J$5:$J$204&lt;&gt;"")),IF(UPPER(B_Drainage!$J$5:$J$204)="Y",1,"")),"")</f>
        <v/>
      </c>
      <c r="AB542" s="182" t="str">
        <f>IFERROR(LOOKUP(2,1/((B_Drainage!$A$5:$A$204&lt;&gt;"")*(B_Drainage!$A$5:$A$204&lt;=$B542)*(B_Drainage!$B$5:$B$204&gt;$B542)*(B_Drainage!$K$5:$K$204&lt;&gt;"")),IF(B_Drainage!$K$5:$K$204="-","",B_Drainage!$K$5:$K$204)),"")</f>
        <v/>
      </c>
      <c r="AC542" s="182" t="str">
        <f>IFERROR(LOOKUP(2,1/((B_Drainage!$A$5:$A$204&lt;&gt;"")*(B_Drainage!$A$5:$A$204&lt;=$B542)*(B_Drainage!$B$5:$B$204&gt;$B542)*(B_Drainage!$L$5:$L$204&lt;&gt;"")),IF(B_Drainage!$L$5:$L$204="-","",B_Drainage!$L$5:$L$204)),"")</f>
        <v/>
      </c>
      <c r="AD542" s="182" t="str">
        <f>IFERROR(LOOKUP(2,1/((D_Points!$A$5:$A$204&lt;&gt;"")*(D_Points!$A$5:$A$204&gt;=$B542)*(D_Points!$A$5:$A$204&lt;$B542+P_Interval)*(UPPER(TRIM(D_Points!$B$5:$B$204))="TURNOUT_L")*(D_Points!$H$5:$H$204&lt;&gt;"")),D_Points!$H$5:$H$204),"")</f>
        <v/>
      </c>
      <c r="AE542" s="182" t="str">
        <f>IFERROR(LOOKUP(2,1/((D_Points!$A$5:$A$204&lt;&gt;"")*(D_Points!$A$5:$A$204&gt;=$B542)*(D_Points!$A$5:$A$204&lt;$B542+P_Interval)*(UPPER(TRIM(D_Points!$B$5:$B$204))="TURNOUT_R")*(D_Points!$H$5:$H$204&lt;&gt;"")),D_Points!$H$5:$H$204),"")</f>
        <v/>
      </c>
      <c r="AF542" s="181" t="str">
        <f>IFERROR(LOOKUP(2,1/((B_Drainage!$A$5:$A$204&lt;&gt;"")*(B_Drainage!$A$5:$A$204&lt;=$B542)*(B_Drainage!$B$5:$B$204&gt;$B542)*(B_Drainage!$M$5:$M$204&lt;&gt;"")),IF(UPPER(B_Drainage!$M$5:$M$204)="Y",1,"")),"")</f>
        <v/>
      </c>
      <c r="AG542" s="181" t="str">
        <f>IFERROR(LOOKUP(2,1/((B_Drainage!$A$5:$A$204&lt;&gt;"")*(B_Drainage!$A$5:$A$204&lt;=$B542)*(B_Drainage!$B$5:$B$204&gt;$B542)*(B_Drainage!$N$5:$N$204&lt;&gt;"")),IF(UPPER(B_Drainage!$N$5:$N$204)="Y",1,"")),"")</f>
        <v/>
      </c>
      <c r="AH542" s="181" t="str">
        <f t="shared" si="64"/>
        <v/>
      </c>
      <c r="AI542" s="181" t="str">
        <f t="shared" si="65"/>
        <v/>
      </c>
      <c r="AJ542" s="181" t="str">
        <f t="shared" si="66"/>
        <v/>
      </c>
      <c r="AK542" s="181" t="str">
        <f t="shared" si="67"/>
        <v/>
      </c>
      <c r="AL542" s="181" t="str">
        <f t="shared" si="68"/>
        <v/>
      </c>
      <c r="AM542" s="181" t="str">
        <f t="shared" si="69"/>
        <v/>
      </c>
      <c r="AN542" s="181" t="str">
        <f t="shared" si="70"/>
        <v/>
      </c>
      <c r="AO542" s="192" t="str">
        <f t="shared" si="71"/>
        <v/>
      </c>
      <c r="AQ542" t="str">
        <f>IFERROR(LOOKUP(2,1/((C_Pavement!$A$5:$A$204&lt;&gt;"")*(C_Pavement!$A$5:$A$204&lt;=$B542)*(C_Pavement!$B$5:$B$204&gt;$B542)*(C_Pavement!$C$5:$C$204&lt;&gt;"")),ROW(C_Pavement!$C$5:$C$204)-4),"")</f>
        <v/>
      </c>
      <c r="AR542" t="str">
        <f>IF($AQ542="","",UPPER(TRIM(INDEX(C_Pavement!$C$5:$C$204,$AQ542))))</f>
        <v/>
      </c>
      <c r="AS542" t="str">
        <f>IF($AR542="","",IFERROR(MATCH($AR542,E_Rules!$A$5:$A$9,0),""))</f>
        <v/>
      </c>
      <c r="AT542" t="str">
        <f>IF($AQ542="","",IF(INDEX(C_Pavement!$D$5:$D$204,$AQ542)&lt;&gt;"",UPPER(TRIM(INDEX(C_Pavement!$D$5:$D$204,$AQ542))),IF($AS542="","",INDEX(E_Rules!$C$5:$C$9,$AS542))))</f>
        <v/>
      </c>
      <c r="AU542" t="str">
        <f>IF($AQ542="","",IF(INDEX(C_Pavement!$E$5:$E$204,$AQ542)&lt;&gt;"",IF(INDEX(C_Pavement!$E$5:$E$204,$AQ542)="-","",INDEX(C_Pavement!$E$5:$E$204,$AQ542)),IF($AS542="","",INDEX(E_Rules!$D$5:$D$9,$AS542))))</f>
        <v/>
      </c>
      <c r="AV542" t="str">
        <f>IF($AQ542="","",IF(INDEX(C_Pavement!$F$5:$F$204,$AQ542)&lt;&gt;"",IF(INDEX(C_Pavement!$F$5:$F$204,$AQ542)="-","",INDEX(C_Pavement!$F$5:$F$204,$AQ542)),IF($AS542="","",INDEX(E_Rules!$E$5:$E$9,$AS542))))</f>
        <v/>
      </c>
      <c r="AW542" t="str">
        <f>IF($AQ542="","",IF(INDEX(C_Pavement!$G$5:$G$204,$AQ542)&lt;&gt;"",IF(INDEX(C_Pavement!$G$5:$G$204,$AQ542)="-","",INDEX(C_Pavement!$G$5:$G$204,$AQ542)),IF($AS542="","",INDEX(E_Rules!$F$5:$F$9,$AS542))))</f>
        <v/>
      </c>
      <c r="AX542" t="str">
        <f>IF($AQ542="","",IF(INDEX(C_Pavement!$H$5:$H$204,$AQ542)&lt;&gt;"",IF(INDEX(C_Pavement!$H$5:$H$204,$AQ542)="-","",INDEX(C_Pavement!$H$5:$H$204,$AQ542)),IF($AS542="","",INDEX(E_Rules!$G$5:$G$9,$AS542))))</f>
        <v/>
      </c>
      <c r="AY542" t="str">
        <f>IF($AQ542="","",IF(INDEX(C_Pavement!$I$5:$I$204,$AQ542)&lt;&gt;"",IF(INDEX(C_Pavement!$I$5:$I$204,$AQ542)="-","",INDEX(C_Pavement!$I$5:$I$204,$AQ542)),IF($AS542="","",INDEX(E_Rules!$H$5:$H$9,$AS542))))</f>
        <v/>
      </c>
    </row>
    <row r="543" spans="1:51" ht="15.75" customHeight="1" x14ac:dyDescent="0.3">
      <c r="A543" s="189">
        <v>538</v>
      </c>
      <c r="B543" s="180">
        <v>26850</v>
      </c>
      <c r="C543" s="180" t="s">
        <v>849</v>
      </c>
      <c r="D543" s="181" t="str">
        <f>IFERROR(LOOKUP(2,1/((A_Corridor!$A$5:$A$204&lt;&gt;"")*(A_Corridor!$A$5:$A$204&lt;=$B543)*(A_Corridor!$B$5:$B$204&gt;$B543)*(A_Corridor!$C$5:$C$204&lt;&gt;"")),IF(UPPER(A_Corridor!$C$5:$C$204)="Y",1,"")),"")</f>
        <v/>
      </c>
      <c r="E543" s="181" t="str">
        <f>IFERROR(LOOKUP(2,1/((A_Corridor!$A$5:$A$204&lt;&gt;"")*(A_Corridor!$A$5:$A$204&lt;=$B543)*(A_Corridor!$B$5:$B$204&gt;$B543)*(A_Corridor!$D$5:$D$204&lt;&gt;"")),IF(A_Corridor!$D$5:$D$204="-","",UPPER(A_Corridor!$D$5:$D$204))),"")</f>
        <v/>
      </c>
      <c r="F543" s="181" t="str">
        <f>IFERROR(LOOKUP(2,1/((A_Corridor!$A$5:$A$204&lt;&gt;"")*(A_Corridor!$A$5:$A$204&lt;=$B543)*(A_Corridor!$B$5:$B$204&gt;$B543)*(A_Corridor!$E$5:$E$204&lt;&gt;"")),IF(A_Corridor!$E$5:$E$204="-","",1)),"")</f>
        <v/>
      </c>
      <c r="G543" s="182" t="str">
        <f>IFERROR(LOOKUP(2,1/((A_Corridor!$A$5:$A$204&lt;&gt;"")*(A_Corridor!$A$5:$A$204&lt;=$B543)*(A_Corridor!$B$5:$B$204&gt;$B543)*(A_Corridor!$E$5:$E$204&lt;&gt;"")),IF(A_Corridor!$E$5:$E$204="-","",A_Corridor!$E$5:$E$204)),"")</f>
        <v/>
      </c>
      <c r="H543" s="182" t="str">
        <f>IFERROR(LOOKUP(2,1/((D_Points!$A$5:$A$204&lt;&gt;"")*(D_Points!$A$5:$A$204&gt;=$B543)*(D_Points!$A$5:$A$204&lt;$B543+P_Interval)*(UPPER(TRIM(D_Points!$B$5:$B$204))="GULLY")*(D_Points!$H$5:$H$204&lt;&gt;"")),D_Points!$H$5:$H$204),"")</f>
        <v/>
      </c>
      <c r="I543" s="181" t="str">
        <f>IFERROR(LOOKUP(2,1/((A_Corridor!$A$5:$A$204&lt;&gt;"")*(A_Corridor!$A$5:$A$204&lt;=$B543)*(A_Corridor!$B$5:$B$204&gt;$B543)*(A_Corridor!$F$5:$F$204&lt;&gt;"")),IF(A_Corridor!$F$5:$F$204="-","",1)),"")</f>
        <v/>
      </c>
      <c r="J543" s="182" t="str">
        <f>IFERROR(LOOKUP(2,1/((A_Corridor!$A$5:$A$204&lt;&gt;"")*(A_Corridor!$A$5:$A$204&lt;=$B543)*(A_Corridor!$B$5:$B$204&gt;$B543)*(A_Corridor!$F$5:$F$204&lt;&gt;"")),IF(A_Corridor!$F$5:$F$204="-","",A_Corridor!$F$5:$F$204)),"")</f>
        <v/>
      </c>
      <c r="K543" s="182" t="str">
        <f>IFERROR(LOOKUP(2,1/((A_Corridor!$A$5:$A$204&lt;&gt;"")*(A_Corridor!$A$5:$A$204&lt;=$B543)*(A_Corridor!$B$5:$B$204&gt;$B543)*(A_Corridor!$G$5:$G$204&lt;&gt;"")),IF(A_Corridor!$G$5:$G$204="-","",A_Corridor!$G$5:$G$204)),"")</f>
        <v/>
      </c>
      <c r="L543" s="181" t="str">
        <f>IFERROR(LOOKUP(2,1/((A_Corridor!$A$5:$A$204&lt;&gt;"")*(A_Corridor!$A$5:$A$204&lt;=$B543)*(A_Corridor!$B$5:$B$204&gt;$B543)*(A_Corridor!$H$5:$H$204&lt;&gt;"")),IF(A_Corridor!$H$5:$H$204="-","",1)),"")</f>
        <v/>
      </c>
      <c r="M543" s="182" t="str">
        <f>IFERROR(LOOKUP(2,1/((A_Corridor!$A$5:$A$204&lt;&gt;"")*(A_Corridor!$A$5:$A$204&lt;=$B543)*(A_Corridor!$B$5:$B$204&gt;$B543)*(A_Corridor!$H$5:$H$204&lt;&gt;"")),IF(A_Corridor!$H$5:$H$204="-","",A_Corridor!$H$5:$H$204)),"")</f>
        <v/>
      </c>
      <c r="N543" s="182" t="str">
        <f>IFERROR(LOOKUP(2,1/((A_Corridor!$A$5:$A$204&lt;&gt;"")*(A_Corridor!$A$5:$A$204&lt;=$B543)*(A_Corridor!$B$5:$B$204&gt;$B543)*(A_Corridor!$I$5:$I$204&lt;&gt;"")),IF(A_Corridor!$I$5:$I$204="-","",A_Corridor!$I$5:$I$204)),"")</f>
        <v/>
      </c>
      <c r="O543" s="182" t="str">
        <f>IFERROR(LOOKUP(2,1/((D_Points!$A$5:$A$204&lt;&gt;"")*(D_Points!$A$5:$A$204&gt;=$B543)*(D_Points!$A$5:$A$204&lt;$B543+P_Interval)*(UPPER(TRIM(D_Points!$B$5:$B$204))="PITCHING")*(D_Points!$H$5:$H$204&lt;&gt;"")),D_Points!$H$5:$H$204),"")</f>
        <v/>
      </c>
      <c r="P543" s="181" t="str">
        <f>IFERROR(LOOKUP(2,1/((B_Drainage!$A$5:$A$204&lt;&gt;"")*(B_Drainage!$A$5:$A$204&lt;=$B543)*(B_Drainage!$B$5:$B$204&gt;$B543)*(B_Drainage!$C$5:$C$204&lt;&gt;"")),IF(B_Drainage!$C$5:$C$204="-","",UPPER(B_Drainage!$C$5:$C$204))),"")</f>
        <v/>
      </c>
      <c r="Q543" s="181" t="str">
        <f>IFERROR(LOOKUP(2,1/((B_Drainage!$A$5:$A$204&lt;&gt;"")*(B_Drainage!$A$5:$A$204&lt;=$B543)*(B_Drainage!$B$5:$B$204&gt;$B543)*(B_Drainage!$D$5:$D$204&lt;&gt;"")),IF(B_Drainage!$D$5:$D$204="-","",UPPER(B_Drainage!$D$5:$D$204))),"")</f>
        <v/>
      </c>
      <c r="R543" s="182" t="str">
        <f>IFERROR(LOOKUP(2,1/((D_Points!$A$5:$A$204&lt;&gt;"")*(D_Points!$A$5:$A$204&gt;=$B543)*(D_Points!$A$5:$A$204&lt;$B543+P_Interval)*(RIGHT(UPPER(TRIM(D_Points!$B$5:$B$204)),8)="_CULVERT")),IF(LEFT(UPPER(TRIM(D_Points!$B$5:$B$204)),2)="EX",1,IF(LEFT(UPPER(TRIM(D_Points!$B$5:$B$204)),2)="PR",2,3))),"")</f>
        <v/>
      </c>
      <c r="S543" s="182" t="str">
        <f>IFERROR(LOOKUP(2,1/((D_Points!$A$5:$A$204&lt;&gt;"")*(D_Points!$A$5:$A$204&gt;=$B543)*(D_Points!$A$5:$A$204&lt;$B543+P_Interval)*(RIGHT(UPPER(TRIM(D_Points!$B$5:$B$204)),7)="_BRIDGE")),IF(LEFT(UPPER(TRIM(D_Points!$B$5:$B$204)),2)="EX",1,IF(LEFT(UPPER(TRIM(D_Points!$B$5:$B$204)),2)="PR",2,2))),"")</f>
        <v/>
      </c>
      <c r="T543" s="181" t="str">
        <f>IFERROR(LOOKUP(2,1/((B_Drainage!$A$5:$A$204&lt;&gt;"")*(B_Drainage!$A$5:$A$204&lt;=$B543)*(B_Drainage!$B$5:$B$204&gt;$B543)*(B_Drainage!$E$5:$E$204&lt;&gt;"")),IF(B_Drainage!$E$5:$E$204="-","",1)),"")</f>
        <v/>
      </c>
      <c r="U543" s="181" t="str">
        <f>IFERROR(LOOKUP(2,1/((B_Drainage!$A$5:$A$204&lt;&gt;"")*(B_Drainage!$A$5:$A$204&lt;=$B543)*(B_Drainage!$B$5:$B$204&gt;$B543)*(B_Drainage!$E$5:$E$204&lt;&gt;"")),IF(B_Drainage!$E$5:$E$204="-","",B_Drainage!$E$5:$E$204)),"")</f>
        <v/>
      </c>
      <c r="V543" s="181" t="str">
        <f>IFERROR(LOOKUP(2,1/((B_Drainage!$A$5:$A$204&lt;&gt;"")*(B_Drainage!$A$5:$A$204&lt;=$B543)*(B_Drainage!$B$5:$B$204&gt;$B543)*(B_Drainage!$F$5:$F$204&lt;&gt;"")),IF(B_Drainage!$F$5:$F$204="-","",1)),"")</f>
        <v/>
      </c>
      <c r="W543" s="181" t="str">
        <f>IFERROR(LOOKUP(2,1/((B_Drainage!$A$5:$A$204&lt;&gt;"")*(B_Drainage!$A$5:$A$204&lt;=$B543)*(B_Drainage!$B$5:$B$204&gt;$B543)*(B_Drainage!$F$5:$F$204&lt;&gt;"")),IF(B_Drainage!$F$5:$F$204="-","",B_Drainage!$F$5:$F$204)),"")</f>
        <v/>
      </c>
      <c r="X543" s="181" t="str">
        <f>IFERROR(LOOKUP(2,1/((B_Drainage!$A$5:$A$204&lt;&gt;"")*(B_Drainage!$A$5:$A$204&lt;=$B543)*(B_Drainage!$B$5:$B$204&gt;$B543)*(B_Drainage!$G$5:$G$204&lt;&gt;"")),IF(UPPER(B_Drainage!$G$5:$G$204)="Y",1,"")),"")</f>
        <v/>
      </c>
      <c r="Y543" s="181" t="str">
        <f>IFERROR(LOOKUP(2,1/((B_Drainage!$A$5:$A$204&lt;&gt;"")*(B_Drainage!$A$5:$A$204&lt;=$B543)*(B_Drainage!$B$5:$B$204&gt;$B543)*(B_Drainage!$H$5:$H$204&lt;&gt;"")),IF(UPPER(B_Drainage!$H$5:$H$204)="Y",1,"")),"")</f>
        <v/>
      </c>
      <c r="Z543" s="181" t="str">
        <f>IFERROR(LOOKUP(2,1/((B_Drainage!$A$5:$A$204&lt;&gt;"")*(B_Drainage!$A$5:$A$204&lt;=$B543)*(B_Drainage!$B$5:$B$204&gt;$B543)*(B_Drainage!$I$5:$I$204&lt;&gt;"")),IF(UPPER(B_Drainage!$I$5:$I$204)="Y",1,"")),"")</f>
        <v/>
      </c>
      <c r="AA543" s="181" t="str">
        <f>IFERROR(LOOKUP(2,1/((B_Drainage!$A$5:$A$204&lt;&gt;"")*(B_Drainage!$A$5:$A$204&lt;=$B543)*(B_Drainage!$B$5:$B$204&gt;$B543)*(B_Drainage!$J$5:$J$204&lt;&gt;"")),IF(UPPER(B_Drainage!$J$5:$J$204)="Y",1,"")),"")</f>
        <v/>
      </c>
      <c r="AB543" s="182" t="str">
        <f>IFERROR(LOOKUP(2,1/((B_Drainage!$A$5:$A$204&lt;&gt;"")*(B_Drainage!$A$5:$A$204&lt;=$B543)*(B_Drainage!$B$5:$B$204&gt;$B543)*(B_Drainage!$K$5:$K$204&lt;&gt;"")),IF(B_Drainage!$K$5:$K$204="-","",B_Drainage!$K$5:$K$204)),"")</f>
        <v/>
      </c>
      <c r="AC543" s="182" t="str">
        <f>IFERROR(LOOKUP(2,1/((B_Drainage!$A$5:$A$204&lt;&gt;"")*(B_Drainage!$A$5:$A$204&lt;=$B543)*(B_Drainage!$B$5:$B$204&gt;$B543)*(B_Drainage!$L$5:$L$204&lt;&gt;"")),IF(B_Drainage!$L$5:$L$204="-","",B_Drainage!$L$5:$L$204)),"")</f>
        <v/>
      </c>
      <c r="AD543" s="182" t="str">
        <f>IFERROR(LOOKUP(2,1/((D_Points!$A$5:$A$204&lt;&gt;"")*(D_Points!$A$5:$A$204&gt;=$B543)*(D_Points!$A$5:$A$204&lt;$B543+P_Interval)*(UPPER(TRIM(D_Points!$B$5:$B$204))="TURNOUT_L")*(D_Points!$H$5:$H$204&lt;&gt;"")),D_Points!$H$5:$H$204),"")</f>
        <v/>
      </c>
      <c r="AE543" s="182" t="str">
        <f>IFERROR(LOOKUP(2,1/((D_Points!$A$5:$A$204&lt;&gt;"")*(D_Points!$A$5:$A$204&gt;=$B543)*(D_Points!$A$5:$A$204&lt;$B543+P_Interval)*(UPPER(TRIM(D_Points!$B$5:$B$204))="TURNOUT_R")*(D_Points!$H$5:$H$204&lt;&gt;"")),D_Points!$H$5:$H$204),"")</f>
        <v/>
      </c>
      <c r="AF543" s="181" t="str">
        <f>IFERROR(LOOKUP(2,1/((B_Drainage!$A$5:$A$204&lt;&gt;"")*(B_Drainage!$A$5:$A$204&lt;=$B543)*(B_Drainage!$B$5:$B$204&gt;$B543)*(B_Drainage!$M$5:$M$204&lt;&gt;"")),IF(UPPER(B_Drainage!$M$5:$M$204)="Y",1,"")),"")</f>
        <v/>
      </c>
      <c r="AG543" s="181" t="str">
        <f>IFERROR(LOOKUP(2,1/((B_Drainage!$A$5:$A$204&lt;&gt;"")*(B_Drainage!$A$5:$A$204&lt;=$B543)*(B_Drainage!$B$5:$B$204&gt;$B543)*(B_Drainage!$N$5:$N$204&lt;&gt;"")),IF(UPPER(B_Drainage!$N$5:$N$204)="Y",1,"")),"")</f>
        <v/>
      </c>
      <c r="AH543" s="181" t="str">
        <f t="shared" si="64"/>
        <v/>
      </c>
      <c r="AI543" s="181" t="str">
        <f t="shared" si="65"/>
        <v/>
      </c>
      <c r="AJ543" s="181" t="str">
        <f t="shared" si="66"/>
        <v/>
      </c>
      <c r="AK543" s="181" t="str">
        <f t="shared" si="67"/>
        <v/>
      </c>
      <c r="AL543" s="181" t="str">
        <f t="shared" si="68"/>
        <v/>
      </c>
      <c r="AM543" s="181" t="str">
        <f t="shared" si="69"/>
        <v/>
      </c>
      <c r="AN543" s="181" t="str">
        <f t="shared" si="70"/>
        <v/>
      </c>
      <c r="AO543" s="192" t="str">
        <f t="shared" si="71"/>
        <v/>
      </c>
      <c r="AQ543" t="str">
        <f>IFERROR(LOOKUP(2,1/((C_Pavement!$A$5:$A$204&lt;&gt;"")*(C_Pavement!$A$5:$A$204&lt;=$B543)*(C_Pavement!$B$5:$B$204&gt;$B543)*(C_Pavement!$C$5:$C$204&lt;&gt;"")),ROW(C_Pavement!$C$5:$C$204)-4),"")</f>
        <v/>
      </c>
      <c r="AR543" t="str">
        <f>IF($AQ543="","",UPPER(TRIM(INDEX(C_Pavement!$C$5:$C$204,$AQ543))))</f>
        <v/>
      </c>
      <c r="AS543" t="str">
        <f>IF($AR543="","",IFERROR(MATCH($AR543,E_Rules!$A$5:$A$9,0),""))</f>
        <v/>
      </c>
      <c r="AT543" t="str">
        <f>IF($AQ543="","",IF(INDEX(C_Pavement!$D$5:$D$204,$AQ543)&lt;&gt;"",UPPER(TRIM(INDEX(C_Pavement!$D$5:$D$204,$AQ543))),IF($AS543="","",INDEX(E_Rules!$C$5:$C$9,$AS543))))</f>
        <v/>
      </c>
      <c r="AU543" t="str">
        <f>IF($AQ543="","",IF(INDEX(C_Pavement!$E$5:$E$204,$AQ543)&lt;&gt;"",IF(INDEX(C_Pavement!$E$5:$E$204,$AQ543)="-","",INDEX(C_Pavement!$E$5:$E$204,$AQ543)),IF($AS543="","",INDEX(E_Rules!$D$5:$D$9,$AS543))))</f>
        <v/>
      </c>
      <c r="AV543" t="str">
        <f>IF($AQ543="","",IF(INDEX(C_Pavement!$F$5:$F$204,$AQ543)&lt;&gt;"",IF(INDEX(C_Pavement!$F$5:$F$204,$AQ543)="-","",INDEX(C_Pavement!$F$5:$F$204,$AQ543)),IF($AS543="","",INDEX(E_Rules!$E$5:$E$9,$AS543))))</f>
        <v/>
      </c>
      <c r="AW543" t="str">
        <f>IF($AQ543="","",IF(INDEX(C_Pavement!$G$5:$G$204,$AQ543)&lt;&gt;"",IF(INDEX(C_Pavement!$G$5:$G$204,$AQ543)="-","",INDEX(C_Pavement!$G$5:$G$204,$AQ543)),IF($AS543="","",INDEX(E_Rules!$F$5:$F$9,$AS543))))</f>
        <v/>
      </c>
      <c r="AX543" t="str">
        <f>IF($AQ543="","",IF(INDEX(C_Pavement!$H$5:$H$204,$AQ543)&lt;&gt;"",IF(INDEX(C_Pavement!$H$5:$H$204,$AQ543)="-","",INDEX(C_Pavement!$H$5:$H$204,$AQ543)),IF($AS543="","",INDEX(E_Rules!$G$5:$G$9,$AS543))))</f>
        <v/>
      </c>
      <c r="AY543" t="str">
        <f>IF($AQ543="","",IF(INDEX(C_Pavement!$I$5:$I$204,$AQ543)&lt;&gt;"",IF(INDEX(C_Pavement!$I$5:$I$204,$AQ543)="-","",INDEX(C_Pavement!$I$5:$I$204,$AQ543)),IF($AS543="","",INDEX(E_Rules!$H$5:$H$9,$AS543))))</f>
        <v/>
      </c>
    </row>
    <row r="544" spans="1:51" ht="15.75" customHeight="1" x14ac:dyDescent="0.3">
      <c r="A544" s="189">
        <v>539</v>
      </c>
      <c r="B544" s="180">
        <v>26900</v>
      </c>
      <c r="C544" s="180" t="s">
        <v>850</v>
      </c>
      <c r="D544" s="181" t="str">
        <f>IFERROR(LOOKUP(2,1/((A_Corridor!$A$5:$A$204&lt;&gt;"")*(A_Corridor!$A$5:$A$204&lt;=$B544)*(A_Corridor!$B$5:$B$204&gt;$B544)*(A_Corridor!$C$5:$C$204&lt;&gt;"")),IF(UPPER(A_Corridor!$C$5:$C$204)="Y",1,"")),"")</f>
        <v/>
      </c>
      <c r="E544" s="181" t="str">
        <f>IFERROR(LOOKUP(2,1/((A_Corridor!$A$5:$A$204&lt;&gt;"")*(A_Corridor!$A$5:$A$204&lt;=$B544)*(A_Corridor!$B$5:$B$204&gt;$B544)*(A_Corridor!$D$5:$D$204&lt;&gt;"")),IF(A_Corridor!$D$5:$D$204="-","",UPPER(A_Corridor!$D$5:$D$204))),"")</f>
        <v/>
      </c>
      <c r="F544" s="181" t="str">
        <f>IFERROR(LOOKUP(2,1/((A_Corridor!$A$5:$A$204&lt;&gt;"")*(A_Corridor!$A$5:$A$204&lt;=$B544)*(A_Corridor!$B$5:$B$204&gt;$B544)*(A_Corridor!$E$5:$E$204&lt;&gt;"")),IF(A_Corridor!$E$5:$E$204="-","",1)),"")</f>
        <v/>
      </c>
      <c r="G544" s="182" t="str">
        <f>IFERROR(LOOKUP(2,1/((A_Corridor!$A$5:$A$204&lt;&gt;"")*(A_Corridor!$A$5:$A$204&lt;=$B544)*(A_Corridor!$B$5:$B$204&gt;$B544)*(A_Corridor!$E$5:$E$204&lt;&gt;"")),IF(A_Corridor!$E$5:$E$204="-","",A_Corridor!$E$5:$E$204)),"")</f>
        <v/>
      </c>
      <c r="H544" s="182" t="str">
        <f>IFERROR(LOOKUP(2,1/((D_Points!$A$5:$A$204&lt;&gt;"")*(D_Points!$A$5:$A$204&gt;=$B544)*(D_Points!$A$5:$A$204&lt;$B544+P_Interval)*(UPPER(TRIM(D_Points!$B$5:$B$204))="GULLY")*(D_Points!$H$5:$H$204&lt;&gt;"")),D_Points!$H$5:$H$204),"")</f>
        <v/>
      </c>
      <c r="I544" s="181" t="str">
        <f>IFERROR(LOOKUP(2,1/((A_Corridor!$A$5:$A$204&lt;&gt;"")*(A_Corridor!$A$5:$A$204&lt;=$B544)*(A_Corridor!$B$5:$B$204&gt;$B544)*(A_Corridor!$F$5:$F$204&lt;&gt;"")),IF(A_Corridor!$F$5:$F$204="-","",1)),"")</f>
        <v/>
      </c>
      <c r="J544" s="182" t="str">
        <f>IFERROR(LOOKUP(2,1/((A_Corridor!$A$5:$A$204&lt;&gt;"")*(A_Corridor!$A$5:$A$204&lt;=$B544)*(A_Corridor!$B$5:$B$204&gt;$B544)*(A_Corridor!$F$5:$F$204&lt;&gt;"")),IF(A_Corridor!$F$5:$F$204="-","",A_Corridor!$F$5:$F$204)),"")</f>
        <v/>
      </c>
      <c r="K544" s="182" t="str">
        <f>IFERROR(LOOKUP(2,1/((A_Corridor!$A$5:$A$204&lt;&gt;"")*(A_Corridor!$A$5:$A$204&lt;=$B544)*(A_Corridor!$B$5:$B$204&gt;$B544)*(A_Corridor!$G$5:$G$204&lt;&gt;"")),IF(A_Corridor!$G$5:$G$204="-","",A_Corridor!$G$5:$G$204)),"")</f>
        <v/>
      </c>
      <c r="L544" s="181" t="str">
        <f>IFERROR(LOOKUP(2,1/((A_Corridor!$A$5:$A$204&lt;&gt;"")*(A_Corridor!$A$5:$A$204&lt;=$B544)*(A_Corridor!$B$5:$B$204&gt;$B544)*(A_Corridor!$H$5:$H$204&lt;&gt;"")),IF(A_Corridor!$H$5:$H$204="-","",1)),"")</f>
        <v/>
      </c>
      <c r="M544" s="182" t="str">
        <f>IFERROR(LOOKUP(2,1/((A_Corridor!$A$5:$A$204&lt;&gt;"")*(A_Corridor!$A$5:$A$204&lt;=$B544)*(A_Corridor!$B$5:$B$204&gt;$B544)*(A_Corridor!$H$5:$H$204&lt;&gt;"")),IF(A_Corridor!$H$5:$H$204="-","",A_Corridor!$H$5:$H$204)),"")</f>
        <v/>
      </c>
      <c r="N544" s="182" t="str">
        <f>IFERROR(LOOKUP(2,1/((A_Corridor!$A$5:$A$204&lt;&gt;"")*(A_Corridor!$A$5:$A$204&lt;=$B544)*(A_Corridor!$B$5:$B$204&gt;$B544)*(A_Corridor!$I$5:$I$204&lt;&gt;"")),IF(A_Corridor!$I$5:$I$204="-","",A_Corridor!$I$5:$I$204)),"")</f>
        <v/>
      </c>
      <c r="O544" s="182" t="str">
        <f>IFERROR(LOOKUP(2,1/((D_Points!$A$5:$A$204&lt;&gt;"")*(D_Points!$A$5:$A$204&gt;=$B544)*(D_Points!$A$5:$A$204&lt;$B544+P_Interval)*(UPPER(TRIM(D_Points!$B$5:$B$204))="PITCHING")*(D_Points!$H$5:$H$204&lt;&gt;"")),D_Points!$H$5:$H$204),"")</f>
        <v/>
      </c>
      <c r="P544" s="181" t="str">
        <f>IFERROR(LOOKUP(2,1/((B_Drainage!$A$5:$A$204&lt;&gt;"")*(B_Drainage!$A$5:$A$204&lt;=$B544)*(B_Drainage!$B$5:$B$204&gt;$B544)*(B_Drainage!$C$5:$C$204&lt;&gt;"")),IF(B_Drainage!$C$5:$C$204="-","",UPPER(B_Drainage!$C$5:$C$204))),"")</f>
        <v/>
      </c>
      <c r="Q544" s="181" t="str">
        <f>IFERROR(LOOKUP(2,1/((B_Drainage!$A$5:$A$204&lt;&gt;"")*(B_Drainage!$A$5:$A$204&lt;=$B544)*(B_Drainage!$B$5:$B$204&gt;$B544)*(B_Drainage!$D$5:$D$204&lt;&gt;"")),IF(B_Drainage!$D$5:$D$204="-","",UPPER(B_Drainage!$D$5:$D$204))),"")</f>
        <v/>
      </c>
      <c r="R544" s="182" t="str">
        <f>IFERROR(LOOKUP(2,1/((D_Points!$A$5:$A$204&lt;&gt;"")*(D_Points!$A$5:$A$204&gt;=$B544)*(D_Points!$A$5:$A$204&lt;$B544+P_Interval)*(RIGHT(UPPER(TRIM(D_Points!$B$5:$B$204)),8)="_CULVERT")),IF(LEFT(UPPER(TRIM(D_Points!$B$5:$B$204)),2)="EX",1,IF(LEFT(UPPER(TRIM(D_Points!$B$5:$B$204)),2)="PR",2,3))),"")</f>
        <v/>
      </c>
      <c r="S544" s="182" t="str">
        <f>IFERROR(LOOKUP(2,1/((D_Points!$A$5:$A$204&lt;&gt;"")*(D_Points!$A$5:$A$204&gt;=$B544)*(D_Points!$A$5:$A$204&lt;$B544+P_Interval)*(RIGHT(UPPER(TRIM(D_Points!$B$5:$B$204)),7)="_BRIDGE")),IF(LEFT(UPPER(TRIM(D_Points!$B$5:$B$204)),2)="EX",1,IF(LEFT(UPPER(TRIM(D_Points!$B$5:$B$204)),2)="PR",2,2))),"")</f>
        <v/>
      </c>
      <c r="T544" s="181" t="str">
        <f>IFERROR(LOOKUP(2,1/((B_Drainage!$A$5:$A$204&lt;&gt;"")*(B_Drainage!$A$5:$A$204&lt;=$B544)*(B_Drainage!$B$5:$B$204&gt;$B544)*(B_Drainage!$E$5:$E$204&lt;&gt;"")),IF(B_Drainage!$E$5:$E$204="-","",1)),"")</f>
        <v/>
      </c>
      <c r="U544" s="181" t="str">
        <f>IFERROR(LOOKUP(2,1/((B_Drainage!$A$5:$A$204&lt;&gt;"")*(B_Drainage!$A$5:$A$204&lt;=$B544)*(B_Drainage!$B$5:$B$204&gt;$B544)*(B_Drainage!$E$5:$E$204&lt;&gt;"")),IF(B_Drainage!$E$5:$E$204="-","",B_Drainage!$E$5:$E$204)),"")</f>
        <v/>
      </c>
      <c r="V544" s="181" t="str">
        <f>IFERROR(LOOKUP(2,1/((B_Drainage!$A$5:$A$204&lt;&gt;"")*(B_Drainage!$A$5:$A$204&lt;=$B544)*(B_Drainage!$B$5:$B$204&gt;$B544)*(B_Drainage!$F$5:$F$204&lt;&gt;"")),IF(B_Drainage!$F$5:$F$204="-","",1)),"")</f>
        <v/>
      </c>
      <c r="W544" s="181" t="str">
        <f>IFERROR(LOOKUP(2,1/((B_Drainage!$A$5:$A$204&lt;&gt;"")*(B_Drainage!$A$5:$A$204&lt;=$B544)*(B_Drainage!$B$5:$B$204&gt;$B544)*(B_Drainage!$F$5:$F$204&lt;&gt;"")),IF(B_Drainage!$F$5:$F$204="-","",B_Drainage!$F$5:$F$204)),"")</f>
        <v/>
      </c>
      <c r="X544" s="181" t="str">
        <f>IFERROR(LOOKUP(2,1/((B_Drainage!$A$5:$A$204&lt;&gt;"")*(B_Drainage!$A$5:$A$204&lt;=$B544)*(B_Drainage!$B$5:$B$204&gt;$B544)*(B_Drainage!$G$5:$G$204&lt;&gt;"")),IF(UPPER(B_Drainage!$G$5:$G$204)="Y",1,"")),"")</f>
        <v/>
      </c>
      <c r="Y544" s="181" t="str">
        <f>IFERROR(LOOKUP(2,1/((B_Drainage!$A$5:$A$204&lt;&gt;"")*(B_Drainage!$A$5:$A$204&lt;=$B544)*(B_Drainage!$B$5:$B$204&gt;$B544)*(B_Drainage!$H$5:$H$204&lt;&gt;"")),IF(UPPER(B_Drainage!$H$5:$H$204)="Y",1,"")),"")</f>
        <v/>
      </c>
      <c r="Z544" s="181" t="str">
        <f>IFERROR(LOOKUP(2,1/((B_Drainage!$A$5:$A$204&lt;&gt;"")*(B_Drainage!$A$5:$A$204&lt;=$B544)*(B_Drainage!$B$5:$B$204&gt;$B544)*(B_Drainage!$I$5:$I$204&lt;&gt;"")),IF(UPPER(B_Drainage!$I$5:$I$204)="Y",1,"")),"")</f>
        <v/>
      </c>
      <c r="AA544" s="181" t="str">
        <f>IFERROR(LOOKUP(2,1/((B_Drainage!$A$5:$A$204&lt;&gt;"")*(B_Drainage!$A$5:$A$204&lt;=$B544)*(B_Drainage!$B$5:$B$204&gt;$B544)*(B_Drainage!$J$5:$J$204&lt;&gt;"")),IF(UPPER(B_Drainage!$J$5:$J$204)="Y",1,"")),"")</f>
        <v/>
      </c>
      <c r="AB544" s="182" t="str">
        <f>IFERROR(LOOKUP(2,1/((B_Drainage!$A$5:$A$204&lt;&gt;"")*(B_Drainage!$A$5:$A$204&lt;=$B544)*(B_Drainage!$B$5:$B$204&gt;$B544)*(B_Drainage!$K$5:$K$204&lt;&gt;"")),IF(B_Drainage!$K$5:$K$204="-","",B_Drainage!$K$5:$K$204)),"")</f>
        <v/>
      </c>
      <c r="AC544" s="182" t="str">
        <f>IFERROR(LOOKUP(2,1/((B_Drainage!$A$5:$A$204&lt;&gt;"")*(B_Drainage!$A$5:$A$204&lt;=$B544)*(B_Drainage!$B$5:$B$204&gt;$B544)*(B_Drainage!$L$5:$L$204&lt;&gt;"")),IF(B_Drainage!$L$5:$L$204="-","",B_Drainage!$L$5:$L$204)),"")</f>
        <v/>
      </c>
      <c r="AD544" s="182" t="str">
        <f>IFERROR(LOOKUP(2,1/((D_Points!$A$5:$A$204&lt;&gt;"")*(D_Points!$A$5:$A$204&gt;=$B544)*(D_Points!$A$5:$A$204&lt;$B544+P_Interval)*(UPPER(TRIM(D_Points!$B$5:$B$204))="TURNOUT_L")*(D_Points!$H$5:$H$204&lt;&gt;"")),D_Points!$H$5:$H$204),"")</f>
        <v/>
      </c>
      <c r="AE544" s="182" t="str">
        <f>IFERROR(LOOKUP(2,1/((D_Points!$A$5:$A$204&lt;&gt;"")*(D_Points!$A$5:$A$204&gt;=$B544)*(D_Points!$A$5:$A$204&lt;$B544+P_Interval)*(UPPER(TRIM(D_Points!$B$5:$B$204))="TURNOUT_R")*(D_Points!$H$5:$H$204&lt;&gt;"")),D_Points!$H$5:$H$204),"")</f>
        <v/>
      </c>
      <c r="AF544" s="181" t="str">
        <f>IFERROR(LOOKUP(2,1/((B_Drainage!$A$5:$A$204&lt;&gt;"")*(B_Drainage!$A$5:$A$204&lt;=$B544)*(B_Drainage!$B$5:$B$204&gt;$B544)*(B_Drainage!$M$5:$M$204&lt;&gt;"")),IF(UPPER(B_Drainage!$M$5:$M$204)="Y",1,"")),"")</f>
        <v/>
      </c>
      <c r="AG544" s="181" t="str">
        <f>IFERROR(LOOKUP(2,1/((B_Drainage!$A$5:$A$204&lt;&gt;"")*(B_Drainage!$A$5:$A$204&lt;=$B544)*(B_Drainage!$B$5:$B$204&gt;$B544)*(B_Drainage!$N$5:$N$204&lt;&gt;"")),IF(UPPER(B_Drainage!$N$5:$N$204)="Y",1,"")),"")</f>
        <v/>
      </c>
      <c r="AH544" s="181" t="str">
        <f t="shared" si="64"/>
        <v/>
      </c>
      <c r="AI544" s="181" t="str">
        <f t="shared" si="65"/>
        <v/>
      </c>
      <c r="AJ544" s="181" t="str">
        <f t="shared" si="66"/>
        <v/>
      </c>
      <c r="AK544" s="181" t="str">
        <f t="shared" si="67"/>
        <v/>
      </c>
      <c r="AL544" s="181" t="str">
        <f t="shared" si="68"/>
        <v/>
      </c>
      <c r="AM544" s="181" t="str">
        <f t="shared" si="69"/>
        <v/>
      </c>
      <c r="AN544" s="181" t="str">
        <f t="shared" si="70"/>
        <v/>
      </c>
      <c r="AO544" s="192" t="str">
        <f t="shared" si="71"/>
        <v/>
      </c>
      <c r="AQ544" t="str">
        <f>IFERROR(LOOKUP(2,1/((C_Pavement!$A$5:$A$204&lt;&gt;"")*(C_Pavement!$A$5:$A$204&lt;=$B544)*(C_Pavement!$B$5:$B$204&gt;$B544)*(C_Pavement!$C$5:$C$204&lt;&gt;"")),ROW(C_Pavement!$C$5:$C$204)-4),"")</f>
        <v/>
      </c>
      <c r="AR544" t="str">
        <f>IF($AQ544="","",UPPER(TRIM(INDEX(C_Pavement!$C$5:$C$204,$AQ544))))</f>
        <v/>
      </c>
      <c r="AS544" t="str">
        <f>IF($AR544="","",IFERROR(MATCH($AR544,E_Rules!$A$5:$A$9,0),""))</f>
        <v/>
      </c>
      <c r="AT544" t="str">
        <f>IF($AQ544="","",IF(INDEX(C_Pavement!$D$5:$D$204,$AQ544)&lt;&gt;"",UPPER(TRIM(INDEX(C_Pavement!$D$5:$D$204,$AQ544))),IF($AS544="","",INDEX(E_Rules!$C$5:$C$9,$AS544))))</f>
        <v/>
      </c>
      <c r="AU544" t="str">
        <f>IF($AQ544="","",IF(INDEX(C_Pavement!$E$5:$E$204,$AQ544)&lt;&gt;"",IF(INDEX(C_Pavement!$E$5:$E$204,$AQ544)="-","",INDEX(C_Pavement!$E$5:$E$204,$AQ544)),IF($AS544="","",INDEX(E_Rules!$D$5:$D$9,$AS544))))</f>
        <v/>
      </c>
      <c r="AV544" t="str">
        <f>IF($AQ544="","",IF(INDEX(C_Pavement!$F$5:$F$204,$AQ544)&lt;&gt;"",IF(INDEX(C_Pavement!$F$5:$F$204,$AQ544)="-","",INDEX(C_Pavement!$F$5:$F$204,$AQ544)),IF($AS544="","",INDEX(E_Rules!$E$5:$E$9,$AS544))))</f>
        <v/>
      </c>
      <c r="AW544" t="str">
        <f>IF($AQ544="","",IF(INDEX(C_Pavement!$G$5:$G$204,$AQ544)&lt;&gt;"",IF(INDEX(C_Pavement!$G$5:$G$204,$AQ544)="-","",INDEX(C_Pavement!$G$5:$G$204,$AQ544)),IF($AS544="","",INDEX(E_Rules!$F$5:$F$9,$AS544))))</f>
        <v/>
      </c>
      <c r="AX544" t="str">
        <f>IF($AQ544="","",IF(INDEX(C_Pavement!$H$5:$H$204,$AQ544)&lt;&gt;"",IF(INDEX(C_Pavement!$H$5:$H$204,$AQ544)="-","",INDEX(C_Pavement!$H$5:$H$204,$AQ544)),IF($AS544="","",INDEX(E_Rules!$G$5:$G$9,$AS544))))</f>
        <v/>
      </c>
      <c r="AY544" t="str">
        <f>IF($AQ544="","",IF(INDEX(C_Pavement!$I$5:$I$204,$AQ544)&lt;&gt;"",IF(INDEX(C_Pavement!$I$5:$I$204,$AQ544)="-","",INDEX(C_Pavement!$I$5:$I$204,$AQ544)),IF($AS544="","",INDEX(E_Rules!$H$5:$H$9,$AS544))))</f>
        <v/>
      </c>
    </row>
    <row r="545" spans="1:51" ht="15.75" customHeight="1" x14ac:dyDescent="0.3">
      <c r="A545" s="189">
        <v>540</v>
      </c>
      <c r="B545" s="180">
        <v>26950</v>
      </c>
      <c r="C545" s="180" t="s">
        <v>851</v>
      </c>
      <c r="D545" s="181" t="str">
        <f>IFERROR(LOOKUP(2,1/((A_Corridor!$A$5:$A$204&lt;&gt;"")*(A_Corridor!$A$5:$A$204&lt;=$B545)*(A_Corridor!$B$5:$B$204&gt;$B545)*(A_Corridor!$C$5:$C$204&lt;&gt;"")),IF(UPPER(A_Corridor!$C$5:$C$204)="Y",1,"")),"")</f>
        <v/>
      </c>
      <c r="E545" s="181" t="str">
        <f>IFERROR(LOOKUP(2,1/((A_Corridor!$A$5:$A$204&lt;&gt;"")*(A_Corridor!$A$5:$A$204&lt;=$B545)*(A_Corridor!$B$5:$B$204&gt;$B545)*(A_Corridor!$D$5:$D$204&lt;&gt;"")),IF(A_Corridor!$D$5:$D$204="-","",UPPER(A_Corridor!$D$5:$D$204))),"")</f>
        <v/>
      </c>
      <c r="F545" s="181" t="str">
        <f>IFERROR(LOOKUP(2,1/((A_Corridor!$A$5:$A$204&lt;&gt;"")*(A_Corridor!$A$5:$A$204&lt;=$B545)*(A_Corridor!$B$5:$B$204&gt;$B545)*(A_Corridor!$E$5:$E$204&lt;&gt;"")),IF(A_Corridor!$E$5:$E$204="-","",1)),"")</f>
        <v/>
      </c>
      <c r="G545" s="182" t="str">
        <f>IFERROR(LOOKUP(2,1/((A_Corridor!$A$5:$A$204&lt;&gt;"")*(A_Corridor!$A$5:$A$204&lt;=$B545)*(A_Corridor!$B$5:$B$204&gt;$B545)*(A_Corridor!$E$5:$E$204&lt;&gt;"")),IF(A_Corridor!$E$5:$E$204="-","",A_Corridor!$E$5:$E$204)),"")</f>
        <v/>
      </c>
      <c r="H545" s="182" t="str">
        <f>IFERROR(LOOKUP(2,1/((D_Points!$A$5:$A$204&lt;&gt;"")*(D_Points!$A$5:$A$204&gt;=$B545)*(D_Points!$A$5:$A$204&lt;$B545+P_Interval)*(UPPER(TRIM(D_Points!$B$5:$B$204))="GULLY")*(D_Points!$H$5:$H$204&lt;&gt;"")),D_Points!$H$5:$H$204),"")</f>
        <v/>
      </c>
      <c r="I545" s="181" t="str">
        <f>IFERROR(LOOKUP(2,1/((A_Corridor!$A$5:$A$204&lt;&gt;"")*(A_Corridor!$A$5:$A$204&lt;=$B545)*(A_Corridor!$B$5:$B$204&gt;$B545)*(A_Corridor!$F$5:$F$204&lt;&gt;"")),IF(A_Corridor!$F$5:$F$204="-","",1)),"")</f>
        <v/>
      </c>
      <c r="J545" s="182" t="str">
        <f>IFERROR(LOOKUP(2,1/((A_Corridor!$A$5:$A$204&lt;&gt;"")*(A_Corridor!$A$5:$A$204&lt;=$B545)*(A_Corridor!$B$5:$B$204&gt;$B545)*(A_Corridor!$F$5:$F$204&lt;&gt;"")),IF(A_Corridor!$F$5:$F$204="-","",A_Corridor!$F$5:$F$204)),"")</f>
        <v/>
      </c>
      <c r="K545" s="182" t="str">
        <f>IFERROR(LOOKUP(2,1/((A_Corridor!$A$5:$A$204&lt;&gt;"")*(A_Corridor!$A$5:$A$204&lt;=$B545)*(A_Corridor!$B$5:$B$204&gt;$B545)*(A_Corridor!$G$5:$G$204&lt;&gt;"")),IF(A_Corridor!$G$5:$G$204="-","",A_Corridor!$G$5:$G$204)),"")</f>
        <v/>
      </c>
      <c r="L545" s="181" t="str">
        <f>IFERROR(LOOKUP(2,1/((A_Corridor!$A$5:$A$204&lt;&gt;"")*(A_Corridor!$A$5:$A$204&lt;=$B545)*(A_Corridor!$B$5:$B$204&gt;$B545)*(A_Corridor!$H$5:$H$204&lt;&gt;"")),IF(A_Corridor!$H$5:$H$204="-","",1)),"")</f>
        <v/>
      </c>
      <c r="M545" s="182" t="str">
        <f>IFERROR(LOOKUP(2,1/((A_Corridor!$A$5:$A$204&lt;&gt;"")*(A_Corridor!$A$5:$A$204&lt;=$B545)*(A_Corridor!$B$5:$B$204&gt;$B545)*(A_Corridor!$H$5:$H$204&lt;&gt;"")),IF(A_Corridor!$H$5:$H$204="-","",A_Corridor!$H$5:$H$204)),"")</f>
        <v/>
      </c>
      <c r="N545" s="182" t="str">
        <f>IFERROR(LOOKUP(2,1/((A_Corridor!$A$5:$A$204&lt;&gt;"")*(A_Corridor!$A$5:$A$204&lt;=$B545)*(A_Corridor!$B$5:$B$204&gt;$B545)*(A_Corridor!$I$5:$I$204&lt;&gt;"")),IF(A_Corridor!$I$5:$I$204="-","",A_Corridor!$I$5:$I$204)),"")</f>
        <v/>
      </c>
      <c r="O545" s="182" t="str">
        <f>IFERROR(LOOKUP(2,1/((D_Points!$A$5:$A$204&lt;&gt;"")*(D_Points!$A$5:$A$204&gt;=$B545)*(D_Points!$A$5:$A$204&lt;$B545+P_Interval)*(UPPER(TRIM(D_Points!$B$5:$B$204))="PITCHING")*(D_Points!$H$5:$H$204&lt;&gt;"")),D_Points!$H$5:$H$204),"")</f>
        <v/>
      </c>
      <c r="P545" s="181" t="str">
        <f>IFERROR(LOOKUP(2,1/((B_Drainage!$A$5:$A$204&lt;&gt;"")*(B_Drainage!$A$5:$A$204&lt;=$B545)*(B_Drainage!$B$5:$B$204&gt;$B545)*(B_Drainage!$C$5:$C$204&lt;&gt;"")),IF(B_Drainage!$C$5:$C$204="-","",UPPER(B_Drainage!$C$5:$C$204))),"")</f>
        <v/>
      </c>
      <c r="Q545" s="181" t="str">
        <f>IFERROR(LOOKUP(2,1/((B_Drainage!$A$5:$A$204&lt;&gt;"")*(B_Drainage!$A$5:$A$204&lt;=$B545)*(B_Drainage!$B$5:$B$204&gt;$B545)*(B_Drainage!$D$5:$D$204&lt;&gt;"")),IF(B_Drainage!$D$5:$D$204="-","",UPPER(B_Drainage!$D$5:$D$204))),"")</f>
        <v/>
      </c>
      <c r="R545" s="182" t="str">
        <f>IFERROR(LOOKUP(2,1/((D_Points!$A$5:$A$204&lt;&gt;"")*(D_Points!$A$5:$A$204&gt;=$B545)*(D_Points!$A$5:$A$204&lt;$B545+P_Interval)*(RIGHT(UPPER(TRIM(D_Points!$B$5:$B$204)),8)="_CULVERT")),IF(LEFT(UPPER(TRIM(D_Points!$B$5:$B$204)),2)="EX",1,IF(LEFT(UPPER(TRIM(D_Points!$B$5:$B$204)),2)="PR",2,3))),"")</f>
        <v/>
      </c>
      <c r="S545" s="182" t="str">
        <f>IFERROR(LOOKUP(2,1/((D_Points!$A$5:$A$204&lt;&gt;"")*(D_Points!$A$5:$A$204&gt;=$B545)*(D_Points!$A$5:$A$204&lt;$B545+P_Interval)*(RIGHT(UPPER(TRIM(D_Points!$B$5:$B$204)),7)="_BRIDGE")),IF(LEFT(UPPER(TRIM(D_Points!$B$5:$B$204)),2)="EX",1,IF(LEFT(UPPER(TRIM(D_Points!$B$5:$B$204)),2)="PR",2,2))),"")</f>
        <v/>
      </c>
      <c r="T545" s="181" t="str">
        <f>IFERROR(LOOKUP(2,1/((B_Drainage!$A$5:$A$204&lt;&gt;"")*(B_Drainage!$A$5:$A$204&lt;=$B545)*(B_Drainage!$B$5:$B$204&gt;$B545)*(B_Drainage!$E$5:$E$204&lt;&gt;"")),IF(B_Drainage!$E$5:$E$204="-","",1)),"")</f>
        <v/>
      </c>
      <c r="U545" s="181" t="str">
        <f>IFERROR(LOOKUP(2,1/((B_Drainage!$A$5:$A$204&lt;&gt;"")*(B_Drainage!$A$5:$A$204&lt;=$B545)*(B_Drainage!$B$5:$B$204&gt;$B545)*(B_Drainage!$E$5:$E$204&lt;&gt;"")),IF(B_Drainage!$E$5:$E$204="-","",B_Drainage!$E$5:$E$204)),"")</f>
        <v/>
      </c>
      <c r="V545" s="181" t="str">
        <f>IFERROR(LOOKUP(2,1/((B_Drainage!$A$5:$A$204&lt;&gt;"")*(B_Drainage!$A$5:$A$204&lt;=$B545)*(B_Drainage!$B$5:$B$204&gt;$B545)*(B_Drainage!$F$5:$F$204&lt;&gt;"")),IF(B_Drainage!$F$5:$F$204="-","",1)),"")</f>
        <v/>
      </c>
      <c r="W545" s="181" t="str">
        <f>IFERROR(LOOKUP(2,1/((B_Drainage!$A$5:$A$204&lt;&gt;"")*(B_Drainage!$A$5:$A$204&lt;=$B545)*(B_Drainage!$B$5:$B$204&gt;$B545)*(B_Drainage!$F$5:$F$204&lt;&gt;"")),IF(B_Drainage!$F$5:$F$204="-","",B_Drainage!$F$5:$F$204)),"")</f>
        <v/>
      </c>
      <c r="X545" s="181" t="str">
        <f>IFERROR(LOOKUP(2,1/((B_Drainage!$A$5:$A$204&lt;&gt;"")*(B_Drainage!$A$5:$A$204&lt;=$B545)*(B_Drainage!$B$5:$B$204&gt;$B545)*(B_Drainage!$G$5:$G$204&lt;&gt;"")),IF(UPPER(B_Drainage!$G$5:$G$204)="Y",1,"")),"")</f>
        <v/>
      </c>
      <c r="Y545" s="181" t="str">
        <f>IFERROR(LOOKUP(2,1/((B_Drainage!$A$5:$A$204&lt;&gt;"")*(B_Drainage!$A$5:$A$204&lt;=$B545)*(B_Drainage!$B$5:$B$204&gt;$B545)*(B_Drainage!$H$5:$H$204&lt;&gt;"")),IF(UPPER(B_Drainage!$H$5:$H$204)="Y",1,"")),"")</f>
        <v/>
      </c>
      <c r="Z545" s="181" t="str">
        <f>IFERROR(LOOKUP(2,1/((B_Drainage!$A$5:$A$204&lt;&gt;"")*(B_Drainage!$A$5:$A$204&lt;=$B545)*(B_Drainage!$B$5:$B$204&gt;$B545)*(B_Drainage!$I$5:$I$204&lt;&gt;"")),IF(UPPER(B_Drainage!$I$5:$I$204)="Y",1,"")),"")</f>
        <v/>
      </c>
      <c r="AA545" s="181" t="str">
        <f>IFERROR(LOOKUP(2,1/((B_Drainage!$A$5:$A$204&lt;&gt;"")*(B_Drainage!$A$5:$A$204&lt;=$B545)*(B_Drainage!$B$5:$B$204&gt;$B545)*(B_Drainage!$J$5:$J$204&lt;&gt;"")),IF(UPPER(B_Drainage!$J$5:$J$204)="Y",1,"")),"")</f>
        <v/>
      </c>
      <c r="AB545" s="182" t="str">
        <f>IFERROR(LOOKUP(2,1/((B_Drainage!$A$5:$A$204&lt;&gt;"")*(B_Drainage!$A$5:$A$204&lt;=$B545)*(B_Drainage!$B$5:$B$204&gt;$B545)*(B_Drainage!$K$5:$K$204&lt;&gt;"")),IF(B_Drainage!$K$5:$K$204="-","",B_Drainage!$K$5:$K$204)),"")</f>
        <v/>
      </c>
      <c r="AC545" s="182" t="str">
        <f>IFERROR(LOOKUP(2,1/((B_Drainage!$A$5:$A$204&lt;&gt;"")*(B_Drainage!$A$5:$A$204&lt;=$B545)*(B_Drainage!$B$5:$B$204&gt;$B545)*(B_Drainage!$L$5:$L$204&lt;&gt;"")),IF(B_Drainage!$L$5:$L$204="-","",B_Drainage!$L$5:$L$204)),"")</f>
        <v/>
      </c>
      <c r="AD545" s="182" t="str">
        <f>IFERROR(LOOKUP(2,1/((D_Points!$A$5:$A$204&lt;&gt;"")*(D_Points!$A$5:$A$204&gt;=$B545)*(D_Points!$A$5:$A$204&lt;$B545+P_Interval)*(UPPER(TRIM(D_Points!$B$5:$B$204))="TURNOUT_L")*(D_Points!$H$5:$H$204&lt;&gt;"")),D_Points!$H$5:$H$204),"")</f>
        <v/>
      </c>
      <c r="AE545" s="182" t="str">
        <f>IFERROR(LOOKUP(2,1/((D_Points!$A$5:$A$204&lt;&gt;"")*(D_Points!$A$5:$A$204&gt;=$B545)*(D_Points!$A$5:$A$204&lt;$B545+P_Interval)*(UPPER(TRIM(D_Points!$B$5:$B$204))="TURNOUT_R")*(D_Points!$H$5:$H$204&lt;&gt;"")),D_Points!$H$5:$H$204),"")</f>
        <v/>
      </c>
      <c r="AF545" s="181" t="str">
        <f>IFERROR(LOOKUP(2,1/((B_Drainage!$A$5:$A$204&lt;&gt;"")*(B_Drainage!$A$5:$A$204&lt;=$B545)*(B_Drainage!$B$5:$B$204&gt;$B545)*(B_Drainage!$M$5:$M$204&lt;&gt;"")),IF(UPPER(B_Drainage!$M$5:$M$204)="Y",1,"")),"")</f>
        <v/>
      </c>
      <c r="AG545" s="181" t="str">
        <f>IFERROR(LOOKUP(2,1/((B_Drainage!$A$5:$A$204&lt;&gt;"")*(B_Drainage!$A$5:$A$204&lt;=$B545)*(B_Drainage!$B$5:$B$204&gt;$B545)*(B_Drainage!$N$5:$N$204&lt;&gt;"")),IF(UPPER(B_Drainage!$N$5:$N$204)="Y",1,"")),"")</f>
        <v/>
      </c>
      <c r="AH545" s="181" t="str">
        <f t="shared" si="64"/>
        <v/>
      </c>
      <c r="AI545" s="181" t="str">
        <f t="shared" si="65"/>
        <v/>
      </c>
      <c r="AJ545" s="181" t="str">
        <f t="shared" si="66"/>
        <v/>
      </c>
      <c r="AK545" s="181" t="str">
        <f t="shared" si="67"/>
        <v/>
      </c>
      <c r="AL545" s="181" t="str">
        <f t="shared" si="68"/>
        <v/>
      </c>
      <c r="AM545" s="181" t="str">
        <f t="shared" si="69"/>
        <v/>
      </c>
      <c r="AN545" s="181" t="str">
        <f t="shared" si="70"/>
        <v/>
      </c>
      <c r="AO545" s="192" t="str">
        <f t="shared" si="71"/>
        <v/>
      </c>
      <c r="AQ545" t="str">
        <f>IFERROR(LOOKUP(2,1/((C_Pavement!$A$5:$A$204&lt;&gt;"")*(C_Pavement!$A$5:$A$204&lt;=$B545)*(C_Pavement!$B$5:$B$204&gt;$B545)*(C_Pavement!$C$5:$C$204&lt;&gt;"")),ROW(C_Pavement!$C$5:$C$204)-4),"")</f>
        <v/>
      </c>
      <c r="AR545" t="str">
        <f>IF($AQ545="","",UPPER(TRIM(INDEX(C_Pavement!$C$5:$C$204,$AQ545))))</f>
        <v/>
      </c>
      <c r="AS545" t="str">
        <f>IF($AR545="","",IFERROR(MATCH($AR545,E_Rules!$A$5:$A$9,0),""))</f>
        <v/>
      </c>
      <c r="AT545" t="str">
        <f>IF($AQ545="","",IF(INDEX(C_Pavement!$D$5:$D$204,$AQ545)&lt;&gt;"",UPPER(TRIM(INDEX(C_Pavement!$D$5:$D$204,$AQ545))),IF($AS545="","",INDEX(E_Rules!$C$5:$C$9,$AS545))))</f>
        <v/>
      </c>
      <c r="AU545" t="str">
        <f>IF($AQ545="","",IF(INDEX(C_Pavement!$E$5:$E$204,$AQ545)&lt;&gt;"",IF(INDEX(C_Pavement!$E$5:$E$204,$AQ545)="-","",INDEX(C_Pavement!$E$5:$E$204,$AQ545)),IF($AS545="","",INDEX(E_Rules!$D$5:$D$9,$AS545))))</f>
        <v/>
      </c>
      <c r="AV545" t="str">
        <f>IF($AQ545="","",IF(INDEX(C_Pavement!$F$5:$F$204,$AQ545)&lt;&gt;"",IF(INDEX(C_Pavement!$F$5:$F$204,$AQ545)="-","",INDEX(C_Pavement!$F$5:$F$204,$AQ545)),IF($AS545="","",INDEX(E_Rules!$E$5:$E$9,$AS545))))</f>
        <v/>
      </c>
      <c r="AW545" t="str">
        <f>IF($AQ545="","",IF(INDEX(C_Pavement!$G$5:$G$204,$AQ545)&lt;&gt;"",IF(INDEX(C_Pavement!$G$5:$G$204,$AQ545)="-","",INDEX(C_Pavement!$G$5:$G$204,$AQ545)),IF($AS545="","",INDEX(E_Rules!$F$5:$F$9,$AS545))))</f>
        <v/>
      </c>
      <c r="AX545" t="str">
        <f>IF($AQ545="","",IF(INDEX(C_Pavement!$H$5:$H$204,$AQ545)&lt;&gt;"",IF(INDEX(C_Pavement!$H$5:$H$204,$AQ545)="-","",INDEX(C_Pavement!$H$5:$H$204,$AQ545)),IF($AS545="","",INDEX(E_Rules!$G$5:$G$9,$AS545))))</f>
        <v/>
      </c>
      <c r="AY545" t="str">
        <f>IF($AQ545="","",IF(INDEX(C_Pavement!$I$5:$I$204,$AQ545)&lt;&gt;"",IF(INDEX(C_Pavement!$I$5:$I$204,$AQ545)="-","",INDEX(C_Pavement!$I$5:$I$204,$AQ545)),IF($AS545="","",INDEX(E_Rules!$H$5:$H$9,$AS545))))</f>
        <v/>
      </c>
    </row>
    <row r="546" spans="1:51" ht="15.75" customHeight="1" x14ac:dyDescent="0.3">
      <c r="A546" s="189">
        <v>541</v>
      </c>
      <c r="B546" s="180">
        <v>27000</v>
      </c>
      <c r="C546" s="180" t="s">
        <v>852</v>
      </c>
      <c r="D546" s="181" t="str">
        <f>IFERROR(LOOKUP(2,1/((A_Corridor!$A$5:$A$204&lt;&gt;"")*(A_Corridor!$A$5:$A$204&lt;=$B546)*(A_Corridor!$B$5:$B$204&gt;$B546)*(A_Corridor!$C$5:$C$204&lt;&gt;"")),IF(UPPER(A_Corridor!$C$5:$C$204)="Y",1,"")),"")</f>
        <v/>
      </c>
      <c r="E546" s="181" t="str">
        <f>IFERROR(LOOKUP(2,1/((A_Corridor!$A$5:$A$204&lt;&gt;"")*(A_Corridor!$A$5:$A$204&lt;=$B546)*(A_Corridor!$B$5:$B$204&gt;$B546)*(A_Corridor!$D$5:$D$204&lt;&gt;"")),IF(A_Corridor!$D$5:$D$204="-","",UPPER(A_Corridor!$D$5:$D$204))),"")</f>
        <v/>
      </c>
      <c r="F546" s="181" t="str">
        <f>IFERROR(LOOKUP(2,1/((A_Corridor!$A$5:$A$204&lt;&gt;"")*(A_Corridor!$A$5:$A$204&lt;=$B546)*(A_Corridor!$B$5:$B$204&gt;$B546)*(A_Corridor!$E$5:$E$204&lt;&gt;"")),IF(A_Corridor!$E$5:$E$204="-","",1)),"")</f>
        <v/>
      </c>
      <c r="G546" s="182" t="str">
        <f>IFERROR(LOOKUP(2,1/((A_Corridor!$A$5:$A$204&lt;&gt;"")*(A_Corridor!$A$5:$A$204&lt;=$B546)*(A_Corridor!$B$5:$B$204&gt;$B546)*(A_Corridor!$E$5:$E$204&lt;&gt;"")),IF(A_Corridor!$E$5:$E$204="-","",A_Corridor!$E$5:$E$204)),"")</f>
        <v/>
      </c>
      <c r="H546" s="182" t="str">
        <f>IFERROR(LOOKUP(2,1/((D_Points!$A$5:$A$204&lt;&gt;"")*(D_Points!$A$5:$A$204&gt;=$B546)*(D_Points!$A$5:$A$204&lt;$B546+P_Interval)*(UPPER(TRIM(D_Points!$B$5:$B$204))="GULLY")*(D_Points!$H$5:$H$204&lt;&gt;"")),D_Points!$H$5:$H$204),"")</f>
        <v/>
      </c>
      <c r="I546" s="181" t="str">
        <f>IFERROR(LOOKUP(2,1/((A_Corridor!$A$5:$A$204&lt;&gt;"")*(A_Corridor!$A$5:$A$204&lt;=$B546)*(A_Corridor!$B$5:$B$204&gt;$B546)*(A_Corridor!$F$5:$F$204&lt;&gt;"")),IF(A_Corridor!$F$5:$F$204="-","",1)),"")</f>
        <v/>
      </c>
      <c r="J546" s="182" t="str">
        <f>IFERROR(LOOKUP(2,1/((A_Corridor!$A$5:$A$204&lt;&gt;"")*(A_Corridor!$A$5:$A$204&lt;=$B546)*(A_Corridor!$B$5:$B$204&gt;$B546)*(A_Corridor!$F$5:$F$204&lt;&gt;"")),IF(A_Corridor!$F$5:$F$204="-","",A_Corridor!$F$5:$F$204)),"")</f>
        <v/>
      </c>
      <c r="K546" s="182" t="str">
        <f>IFERROR(LOOKUP(2,1/((A_Corridor!$A$5:$A$204&lt;&gt;"")*(A_Corridor!$A$5:$A$204&lt;=$B546)*(A_Corridor!$B$5:$B$204&gt;$B546)*(A_Corridor!$G$5:$G$204&lt;&gt;"")),IF(A_Corridor!$G$5:$G$204="-","",A_Corridor!$G$5:$G$204)),"")</f>
        <v/>
      </c>
      <c r="L546" s="181" t="str">
        <f>IFERROR(LOOKUP(2,1/((A_Corridor!$A$5:$A$204&lt;&gt;"")*(A_Corridor!$A$5:$A$204&lt;=$B546)*(A_Corridor!$B$5:$B$204&gt;$B546)*(A_Corridor!$H$5:$H$204&lt;&gt;"")),IF(A_Corridor!$H$5:$H$204="-","",1)),"")</f>
        <v/>
      </c>
      <c r="M546" s="182" t="str">
        <f>IFERROR(LOOKUP(2,1/((A_Corridor!$A$5:$A$204&lt;&gt;"")*(A_Corridor!$A$5:$A$204&lt;=$B546)*(A_Corridor!$B$5:$B$204&gt;$B546)*(A_Corridor!$H$5:$H$204&lt;&gt;"")),IF(A_Corridor!$H$5:$H$204="-","",A_Corridor!$H$5:$H$204)),"")</f>
        <v/>
      </c>
      <c r="N546" s="182" t="str">
        <f>IFERROR(LOOKUP(2,1/((A_Corridor!$A$5:$A$204&lt;&gt;"")*(A_Corridor!$A$5:$A$204&lt;=$B546)*(A_Corridor!$B$5:$B$204&gt;$B546)*(A_Corridor!$I$5:$I$204&lt;&gt;"")),IF(A_Corridor!$I$5:$I$204="-","",A_Corridor!$I$5:$I$204)),"")</f>
        <v/>
      </c>
      <c r="O546" s="182" t="str">
        <f>IFERROR(LOOKUP(2,1/((D_Points!$A$5:$A$204&lt;&gt;"")*(D_Points!$A$5:$A$204&gt;=$B546)*(D_Points!$A$5:$A$204&lt;$B546+P_Interval)*(UPPER(TRIM(D_Points!$B$5:$B$204))="PITCHING")*(D_Points!$H$5:$H$204&lt;&gt;"")),D_Points!$H$5:$H$204),"")</f>
        <v/>
      </c>
      <c r="P546" s="181" t="str">
        <f>IFERROR(LOOKUP(2,1/((B_Drainage!$A$5:$A$204&lt;&gt;"")*(B_Drainage!$A$5:$A$204&lt;=$B546)*(B_Drainage!$B$5:$B$204&gt;$B546)*(B_Drainage!$C$5:$C$204&lt;&gt;"")),IF(B_Drainage!$C$5:$C$204="-","",UPPER(B_Drainage!$C$5:$C$204))),"")</f>
        <v/>
      </c>
      <c r="Q546" s="181" t="str">
        <f>IFERROR(LOOKUP(2,1/((B_Drainage!$A$5:$A$204&lt;&gt;"")*(B_Drainage!$A$5:$A$204&lt;=$B546)*(B_Drainage!$B$5:$B$204&gt;$B546)*(B_Drainage!$D$5:$D$204&lt;&gt;"")),IF(B_Drainage!$D$5:$D$204="-","",UPPER(B_Drainage!$D$5:$D$204))),"")</f>
        <v/>
      </c>
      <c r="R546" s="182" t="str">
        <f>IFERROR(LOOKUP(2,1/((D_Points!$A$5:$A$204&lt;&gt;"")*(D_Points!$A$5:$A$204&gt;=$B546)*(D_Points!$A$5:$A$204&lt;$B546+P_Interval)*(RIGHT(UPPER(TRIM(D_Points!$B$5:$B$204)),8)="_CULVERT")),IF(LEFT(UPPER(TRIM(D_Points!$B$5:$B$204)),2)="EX",1,IF(LEFT(UPPER(TRIM(D_Points!$B$5:$B$204)),2)="PR",2,3))),"")</f>
        <v/>
      </c>
      <c r="S546" s="182" t="str">
        <f>IFERROR(LOOKUP(2,1/((D_Points!$A$5:$A$204&lt;&gt;"")*(D_Points!$A$5:$A$204&gt;=$B546)*(D_Points!$A$5:$A$204&lt;$B546+P_Interval)*(RIGHT(UPPER(TRIM(D_Points!$B$5:$B$204)),7)="_BRIDGE")),IF(LEFT(UPPER(TRIM(D_Points!$B$5:$B$204)),2)="EX",1,IF(LEFT(UPPER(TRIM(D_Points!$B$5:$B$204)),2)="PR",2,2))),"")</f>
        <v/>
      </c>
      <c r="T546" s="181" t="str">
        <f>IFERROR(LOOKUP(2,1/((B_Drainage!$A$5:$A$204&lt;&gt;"")*(B_Drainage!$A$5:$A$204&lt;=$B546)*(B_Drainage!$B$5:$B$204&gt;$B546)*(B_Drainage!$E$5:$E$204&lt;&gt;"")),IF(B_Drainage!$E$5:$E$204="-","",1)),"")</f>
        <v/>
      </c>
      <c r="U546" s="181" t="str">
        <f>IFERROR(LOOKUP(2,1/((B_Drainage!$A$5:$A$204&lt;&gt;"")*(B_Drainage!$A$5:$A$204&lt;=$B546)*(B_Drainage!$B$5:$B$204&gt;$B546)*(B_Drainage!$E$5:$E$204&lt;&gt;"")),IF(B_Drainage!$E$5:$E$204="-","",B_Drainage!$E$5:$E$204)),"")</f>
        <v/>
      </c>
      <c r="V546" s="181" t="str">
        <f>IFERROR(LOOKUP(2,1/((B_Drainage!$A$5:$A$204&lt;&gt;"")*(B_Drainage!$A$5:$A$204&lt;=$B546)*(B_Drainage!$B$5:$B$204&gt;$B546)*(B_Drainage!$F$5:$F$204&lt;&gt;"")),IF(B_Drainage!$F$5:$F$204="-","",1)),"")</f>
        <v/>
      </c>
      <c r="W546" s="181" t="str">
        <f>IFERROR(LOOKUP(2,1/((B_Drainage!$A$5:$A$204&lt;&gt;"")*(B_Drainage!$A$5:$A$204&lt;=$B546)*(B_Drainage!$B$5:$B$204&gt;$B546)*(B_Drainage!$F$5:$F$204&lt;&gt;"")),IF(B_Drainage!$F$5:$F$204="-","",B_Drainage!$F$5:$F$204)),"")</f>
        <v/>
      </c>
      <c r="X546" s="181" t="str">
        <f>IFERROR(LOOKUP(2,1/((B_Drainage!$A$5:$A$204&lt;&gt;"")*(B_Drainage!$A$5:$A$204&lt;=$B546)*(B_Drainage!$B$5:$B$204&gt;$B546)*(B_Drainage!$G$5:$G$204&lt;&gt;"")),IF(UPPER(B_Drainage!$G$5:$G$204)="Y",1,"")),"")</f>
        <v/>
      </c>
      <c r="Y546" s="181" t="str">
        <f>IFERROR(LOOKUP(2,1/((B_Drainage!$A$5:$A$204&lt;&gt;"")*(B_Drainage!$A$5:$A$204&lt;=$B546)*(B_Drainage!$B$5:$B$204&gt;$B546)*(B_Drainage!$H$5:$H$204&lt;&gt;"")),IF(UPPER(B_Drainage!$H$5:$H$204)="Y",1,"")),"")</f>
        <v/>
      </c>
      <c r="Z546" s="181" t="str">
        <f>IFERROR(LOOKUP(2,1/((B_Drainage!$A$5:$A$204&lt;&gt;"")*(B_Drainage!$A$5:$A$204&lt;=$B546)*(B_Drainage!$B$5:$B$204&gt;$B546)*(B_Drainage!$I$5:$I$204&lt;&gt;"")),IF(UPPER(B_Drainage!$I$5:$I$204)="Y",1,"")),"")</f>
        <v/>
      </c>
      <c r="AA546" s="181" t="str">
        <f>IFERROR(LOOKUP(2,1/((B_Drainage!$A$5:$A$204&lt;&gt;"")*(B_Drainage!$A$5:$A$204&lt;=$B546)*(B_Drainage!$B$5:$B$204&gt;$B546)*(B_Drainage!$J$5:$J$204&lt;&gt;"")),IF(UPPER(B_Drainage!$J$5:$J$204)="Y",1,"")),"")</f>
        <v/>
      </c>
      <c r="AB546" s="182" t="str">
        <f>IFERROR(LOOKUP(2,1/((B_Drainage!$A$5:$A$204&lt;&gt;"")*(B_Drainage!$A$5:$A$204&lt;=$B546)*(B_Drainage!$B$5:$B$204&gt;$B546)*(B_Drainage!$K$5:$K$204&lt;&gt;"")),IF(B_Drainage!$K$5:$K$204="-","",B_Drainage!$K$5:$K$204)),"")</f>
        <v/>
      </c>
      <c r="AC546" s="182" t="str">
        <f>IFERROR(LOOKUP(2,1/((B_Drainage!$A$5:$A$204&lt;&gt;"")*(B_Drainage!$A$5:$A$204&lt;=$B546)*(B_Drainage!$B$5:$B$204&gt;$B546)*(B_Drainage!$L$5:$L$204&lt;&gt;"")),IF(B_Drainage!$L$5:$L$204="-","",B_Drainage!$L$5:$L$204)),"")</f>
        <v/>
      </c>
      <c r="AD546" s="182" t="str">
        <f>IFERROR(LOOKUP(2,1/((D_Points!$A$5:$A$204&lt;&gt;"")*(D_Points!$A$5:$A$204&gt;=$B546)*(D_Points!$A$5:$A$204&lt;$B546+P_Interval)*(UPPER(TRIM(D_Points!$B$5:$B$204))="TURNOUT_L")*(D_Points!$H$5:$H$204&lt;&gt;"")),D_Points!$H$5:$H$204),"")</f>
        <v/>
      </c>
      <c r="AE546" s="182" t="str">
        <f>IFERROR(LOOKUP(2,1/((D_Points!$A$5:$A$204&lt;&gt;"")*(D_Points!$A$5:$A$204&gt;=$B546)*(D_Points!$A$5:$A$204&lt;$B546+P_Interval)*(UPPER(TRIM(D_Points!$B$5:$B$204))="TURNOUT_R")*(D_Points!$H$5:$H$204&lt;&gt;"")),D_Points!$H$5:$H$204),"")</f>
        <v/>
      </c>
      <c r="AF546" s="181" t="str">
        <f>IFERROR(LOOKUP(2,1/((B_Drainage!$A$5:$A$204&lt;&gt;"")*(B_Drainage!$A$5:$A$204&lt;=$B546)*(B_Drainage!$B$5:$B$204&gt;$B546)*(B_Drainage!$M$5:$M$204&lt;&gt;"")),IF(UPPER(B_Drainage!$M$5:$M$204)="Y",1,"")),"")</f>
        <v/>
      </c>
      <c r="AG546" s="181" t="str">
        <f>IFERROR(LOOKUP(2,1/((B_Drainage!$A$5:$A$204&lt;&gt;"")*(B_Drainage!$A$5:$A$204&lt;=$B546)*(B_Drainage!$B$5:$B$204&gt;$B546)*(B_Drainage!$N$5:$N$204&lt;&gt;"")),IF(UPPER(B_Drainage!$N$5:$N$204)="Y",1,"")),"")</f>
        <v/>
      </c>
      <c r="AH546" s="181" t="str">
        <f t="shared" si="64"/>
        <v/>
      </c>
      <c r="AI546" s="181" t="str">
        <f t="shared" si="65"/>
        <v/>
      </c>
      <c r="AJ546" s="181" t="str">
        <f t="shared" si="66"/>
        <v/>
      </c>
      <c r="AK546" s="181" t="str">
        <f t="shared" si="67"/>
        <v/>
      </c>
      <c r="AL546" s="181" t="str">
        <f t="shared" si="68"/>
        <v/>
      </c>
      <c r="AM546" s="181" t="str">
        <f t="shared" si="69"/>
        <v/>
      </c>
      <c r="AN546" s="181" t="str">
        <f t="shared" si="70"/>
        <v/>
      </c>
      <c r="AO546" s="192" t="str">
        <f t="shared" si="71"/>
        <v/>
      </c>
      <c r="AQ546" t="str">
        <f>IFERROR(LOOKUP(2,1/((C_Pavement!$A$5:$A$204&lt;&gt;"")*(C_Pavement!$A$5:$A$204&lt;=$B546)*(C_Pavement!$B$5:$B$204&gt;$B546)*(C_Pavement!$C$5:$C$204&lt;&gt;"")),ROW(C_Pavement!$C$5:$C$204)-4),"")</f>
        <v/>
      </c>
      <c r="AR546" t="str">
        <f>IF($AQ546="","",UPPER(TRIM(INDEX(C_Pavement!$C$5:$C$204,$AQ546))))</f>
        <v/>
      </c>
      <c r="AS546" t="str">
        <f>IF($AR546="","",IFERROR(MATCH($AR546,E_Rules!$A$5:$A$9,0),""))</f>
        <v/>
      </c>
      <c r="AT546" t="str">
        <f>IF($AQ546="","",IF(INDEX(C_Pavement!$D$5:$D$204,$AQ546)&lt;&gt;"",UPPER(TRIM(INDEX(C_Pavement!$D$5:$D$204,$AQ546))),IF($AS546="","",INDEX(E_Rules!$C$5:$C$9,$AS546))))</f>
        <v/>
      </c>
      <c r="AU546" t="str">
        <f>IF($AQ546="","",IF(INDEX(C_Pavement!$E$5:$E$204,$AQ546)&lt;&gt;"",IF(INDEX(C_Pavement!$E$5:$E$204,$AQ546)="-","",INDEX(C_Pavement!$E$5:$E$204,$AQ546)),IF($AS546="","",INDEX(E_Rules!$D$5:$D$9,$AS546))))</f>
        <v/>
      </c>
      <c r="AV546" t="str">
        <f>IF($AQ546="","",IF(INDEX(C_Pavement!$F$5:$F$204,$AQ546)&lt;&gt;"",IF(INDEX(C_Pavement!$F$5:$F$204,$AQ546)="-","",INDEX(C_Pavement!$F$5:$F$204,$AQ546)),IF($AS546="","",INDEX(E_Rules!$E$5:$E$9,$AS546))))</f>
        <v/>
      </c>
      <c r="AW546" t="str">
        <f>IF($AQ546="","",IF(INDEX(C_Pavement!$G$5:$G$204,$AQ546)&lt;&gt;"",IF(INDEX(C_Pavement!$G$5:$G$204,$AQ546)="-","",INDEX(C_Pavement!$G$5:$G$204,$AQ546)),IF($AS546="","",INDEX(E_Rules!$F$5:$F$9,$AS546))))</f>
        <v/>
      </c>
      <c r="AX546" t="str">
        <f>IF($AQ546="","",IF(INDEX(C_Pavement!$H$5:$H$204,$AQ546)&lt;&gt;"",IF(INDEX(C_Pavement!$H$5:$H$204,$AQ546)="-","",INDEX(C_Pavement!$H$5:$H$204,$AQ546)),IF($AS546="","",INDEX(E_Rules!$G$5:$G$9,$AS546))))</f>
        <v/>
      </c>
      <c r="AY546" t="str">
        <f>IF($AQ546="","",IF(INDEX(C_Pavement!$I$5:$I$204,$AQ546)&lt;&gt;"",IF(INDEX(C_Pavement!$I$5:$I$204,$AQ546)="-","",INDEX(C_Pavement!$I$5:$I$204,$AQ546)),IF($AS546="","",INDEX(E_Rules!$H$5:$H$9,$AS546))))</f>
        <v/>
      </c>
    </row>
    <row r="547" spans="1:51" ht="15.75" customHeight="1" x14ac:dyDescent="0.3">
      <c r="A547" s="189">
        <v>542</v>
      </c>
      <c r="B547" s="180">
        <v>27050</v>
      </c>
      <c r="C547" s="180" t="s">
        <v>853</v>
      </c>
      <c r="D547" s="181" t="str">
        <f>IFERROR(LOOKUP(2,1/((A_Corridor!$A$5:$A$204&lt;&gt;"")*(A_Corridor!$A$5:$A$204&lt;=$B547)*(A_Corridor!$B$5:$B$204&gt;$B547)*(A_Corridor!$C$5:$C$204&lt;&gt;"")),IF(UPPER(A_Corridor!$C$5:$C$204)="Y",1,"")),"")</f>
        <v/>
      </c>
      <c r="E547" s="181" t="str">
        <f>IFERROR(LOOKUP(2,1/((A_Corridor!$A$5:$A$204&lt;&gt;"")*(A_Corridor!$A$5:$A$204&lt;=$B547)*(A_Corridor!$B$5:$B$204&gt;$B547)*(A_Corridor!$D$5:$D$204&lt;&gt;"")),IF(A_Corridor!$D$5:$D$204="-","",UPPER(A_Corridor!$D$5:$D$204))),"")</f>
        <v/>
      </c>
      <c r="F547" s="181" t="str">
        <f>IFERROR(LOOKUP(2,1/((A_Corridor!$A$5:$A$204&lt;&gt;"")*(A_Corridor!$A$5:$A$204&lt;=$B547)*(A_Corridor!$B$5:$B$204&gt;$B547)*(A_Corridor!$E$5:$E$204&lt;&gt;"")),IF(A_Corridor!$E$5:$E$204="-","",1)),"")</f>
        <v/>
      </c>
      <c r="G547" s="182" t="str">
        <f>IFERROR(LOOKUP(2,1/((A_Corridor!$A$5:$A$204&lt;&gt;"")*(A_Corridor!$A$5:$A$204&lt;=$B547)*(A_Corridor!$B$5:$B$204&gt;$B547)*(A_Corridor!$E$5:$E$204&lt;&gt;"")),IF(A_Corridor!$E$5:$E$204="-","",A_Corridor!$E$5:$E$204)),"")</f>
        <v/>
      </c>
      <c r="H547" s="182" t="str">
        <f>IFERROR(LOOKUP(2,1/((D_Points!$A$5:$A$204&lt;&gt;"")*(D_Points!$A$5:$A$204&gt;=$B547)*(D_Points!$A$5:$A$204&lt;$B547+P_Interval)*(UPPER(TRIM(D_Points!$B$5:$B$204))="GULLY")*(D_Points!$H$5:$H$204&lt;&gt;"")),D_Points!$H$5:$H$204),"")</f>
        <v/>
      </c>
      <c r="I547" s="181" t="str">
        <f>IFERROR(LOOKUP(2,1/((A_Corridor!$A$5:$A$204&lt;&gt;"")*(A_Corridor!$A$5:$A$204&lt;=$B547)*(A_Corridor!$B$5:$B$204&gt;$B547)*(A_Corridor!$F$5:$F$204&lt;&gt;"")),IF(A_Corridor!$F$5:$F$204="-","",1)),"")</f>
        <v/>
      </c>
      <c r="J547" s="182" t="str">
        <f>IFERROR(LOOKUP(2,1/((A_Corridor!$A$5:$A$204&lt;&gt;"")*(A_Corridor!$A$5:$A$204&lt;=$B547)*(A_Corridor!$B$5:$B$204&gt;$B547)*(A_Corridor!$F$5:$F$204&lt;&gt;"")),IF(A_Corridor!$F$5:$F$204="-","",A_Corridor!$F$5:$F$204)),"")</f>
        <v/>
      </c>
      <c r="K547" s="182" t="str">
        <f>IFERROR(LOOKUP(2,1/((A_Corridor!$A$5:$A$204&lt;&gt;"")*(A_Corridor!$A$5:$A$204&lt;=$B547)*(A_Corridor!$B$5:$B$204&gt;$B547)*(A_Corridor!$G$5:$G$204&lt;&gt;"")),IF(A_Corridor!$G$5:$G$204="-","",A_Corridor!$G$5:$G$204)),"")</f>
        <v/>
      </c>
      <c r="L547" s="181" t="str">
        <f>IFERROR(LOOKUP(2,1/((A_Corridor!$A$5:$A$204&lt;&gt;"")*(A_Corridor!$A$5:$A$204&lt;=$B547)*(A_Corridor!$B$5:$B$204&gt;$B547)*(A_Corridor!$H$5:$H$204&lt;&gt;"")),IF(A_Corridor!$H$5:$H$204="-","",1)),"")</f>
        <v/>
      </c>
      <c r="M547" s="182" t="str">
        <f>IFERROR(LOOKUP(2,1/((A_Corridor!$A$5:$A$204&lt;&gt;"")*(A_Corridor!$A$5:$A$204&lt;=$B547)*(A_Corridor!$B$5:$B$204&gt;$B547)*(A_Corridor!$H$5:$H$204&lt;&gt;"")),IF(A_Corridor!$H$5:$H$204="-","",A_Corridor!$H$5:$H$204)),"")</f>
        <v/>
      </c>
      <c r="N547" s="182" t="str">
        <f>IFERROR(LOOKUP(2,1/((A_Corridor!$A$5:$A$204&lt;&gt;"")*(A_Corridor!$A$5:$A$204&lt;=$B547)*(A_Corridor!$B$5:$B$204&gt;$B547)*(A_Corridor!$I$5:$I$204&lt;&gt;"")),IF(A_Corridor!$I$5:$I$204="-","",A_Corridor!$I$5:$I$204)),"")</f>
        <v/>
      </c>
      <c r="O547" s="182" t="str">
        <f>IFERROR(LOOKUP(2,1/((D_Points!$A$5:$A$204&lt;&gt;"")*(D_Points!$A$5:$A$204&gt;=$B547)*(D_Points!$A$5:$A$204&lt;$B547+P_Interval)*(UPPER(TRIM(D_Points!$B$5:$B$204))="PITCHING")*(D_Points!$H$5:$H$204&lt;&gt;"")),D_Points!$H$5:$H$204),"")</f>
        <v/>
      </c>
      <c r="P547" s="181" t="str">
        <f>IFERROR(LOOKUP(2,1/((B_Drainage!$A$5:$A$204&lt;&gt;"")*(B_Drainage!$A$5:$A$204&lt;=$B547)*(B_Drainage!$B$5:$B$204&gt;$B547)*(B_Drainage!$C$5:$C$204&lt;&gt;"")),IF(B_Drainage!$C$5:$C$204="-","",UPPER(B_Drainage!$C$5:$C$204))),"")</f>
        <v/>
      </c>
      <c r="Q547" s="181" t="str">
        <f>IFERROR(LOOKUP(2,1/((B_Drainage!$A$5:$A$204&lt;&gt;"")*(B_Drainage!$A$5:$A$204&lt;=$B547)*(B_Drainage!$B$5:$B$204&gt;$B547)*(B_Drainage!$D$5:$D$204&lt;&gt;"")),IF(B_Drainage!$D$5:$D$204="-","",UPPER(B_Drainage!$D$5:$D$204))),"")</f>
        <v/>
      </c>
      <c r="R547" s="182" t="str">
        <f>IFERROR(LOOKUP(2,1/((D_Points!$A$5:$A$204&lt;&gt;"")*(D_Points!$A$5:$A$204&gt;=$B547)*(D_Points!$A$5:$A$204&lt;$B547+P_Interval)*(RIGHT(UPPER(TRIM(D_Points!$B$5:$B$204)),8)="_CULVERT")),IF(LEFT(UPPER(TRIM(D_Points!$B$5:$B$204)),2)="EX",1,IF(LEFT(UPPER(TRIM(D_Points!$B$5:$B$204)),2)="PR",2,3))),"")</f>
        <v/>
      </c>
      <c r="S547" s="182" t="str">
        <f>IFERROR(LOOKUP(2,1/((D_Points!$A$5:$A$204&lt;&gt;"")*(D_Points!$A$5:$A$204&gt;=$B547)*(D_Points!$A$5:$A$204&lt;$B547+P_Interval)*(RIGHT(UPPER(TRIM(D_Points!$B$5:$B$204)),7)="_BRIDGE")),IF(LEFT(UPPER(TRIM(D_Points!$B$5:$B$204)),2)="EX",1,IF(LEFT(UPPER(TRIM(D_Points!$B$5:$B$204)),2)="PR",2,2))),"")</f>
        <v/>
      </c>
      <c r="T547" s="181" t="str">
        <f>IFERROR(LOOKUP(2,1/((B_Drainage!$A$5:$A$204&lt;&gt;"")*(B_Drainage!$A$5:$A$204&lt;=$B547)*(B_Drainage!$B$5:$B$204&gt;$B547)*(B_Drainage!$E$5:$E$204&lt;&gt;"")),IF(B_Drainage!$E$5:$E$204="-","",1)),"")</f>
        <v/>
      </c>
      <c r="U547" s="181" t="str">
        <f>IFERROR(LOOKUP(2,1/((B_Drainage!$A$5:$A$204&lt;&gt;"")*(B_Drainage!$A$5:$A$204&lt;=$B547)*(B_Drainage!$B$5:$B$204&gt;$B547)*(B_Drainage!$E$5:$E$204&lt;&gt;"")),IF(B_Drainage!$E$5:$E$204="-","",B_Drainage!$E$5:$E$204)),"")</f>
        <v/>
      </c>
      <c r="V547" s="181" t="str">
        <f>IFERROR(LOOKUP(2,1/((B_Drainage!$A$5:$A$204&lt;&gt;"")*(B_Drainage!$A$5:$A$204&lt;=$B547)*(B_Drainage!$B$5:$B$204&gt;$B547)*(B_Drainage!$F$5:$F$204&lt;&gt;"")),IF(B_Drainage!$F$5:$F$204="-","",1)),"")</f>
        <v/>
      </c>
      <c r="W547" s="181" t="str">
        <f>IFERROR(LOOKUP(2,1/((B_Drainage!$A$5:$A$204&lt;&gt;"")*(B_Drainage!$A$5:$A$204&lt;=$B547)*(B_Drainage!$B$5:$B$204&gt;$B547)*(B_Drainage!$F$5:$F$204&lt;&gt;"")),IF(B_Drainage!$F$5:$F$204="-","",B_Drainage!$F$5:$F$204)),"")</f>
        <v/>
      </c>
      <c r="X547" s="181" t="str">
        <f>IFERROR(LOOKUP(2,1/((B_Drainage!$A$5:$A$204&lt;&gt;"")*(B_Drainage!$A$5:$A$204&lt;=$B547)*(B_Drainage!$B$5:$B$204&gt;$B547)*(B_Drainage!$G$5:$G$204&lt;&gt;"")),IF(UPPER(B_Drainage!$G$5:$G$204)="Y",1,"")),"")</f>
        <v/>
      </c>
      <c r="Y547" s="181" t="str">
        <f>IFERROR(LOOKUP(2,1/((B_Drainage!$A$5:$A$204&lt;&gt;"")*(B_Drainage!$A$5:$A$204&lt;=$B547)*(B_Drainage!$B$5:$B$204&gt;$B547)*(B_Drainage!$H$5:$H$204&lt;&gt;"")),IF(UPPER(B_Drainage!$H$5:$H$204)="Y",1,"")),"")</f>
        <v/>
      </c>
      <c r="Z547" s="181" t="str">
        <f>IFERROR(LOOKUP(2,1/((B_Drainage!$A$5:$A$204&lt;&gt;"")*(B_Drainage!$A$5:$A$204&lt;=$B547)*(B_Drainage!$B$5:$B$204&gt;$B547)*(B_Drainage!$I$5:$I$204&lt;&gt;"")),IF(UPPER(B_Drainage!$I$5:$I$204)="Y",1,"")),"")</f>
        <v/>
      </c>
      <c r="AA547" s="181" t="str">
        <f>IFERROR(LOOKUP(2,1/((B_Drainage!$A$5:$A$204&lt;&gt;"")*(B_Drainage!$A$5:$A$204&lt;=$B547)*(B_Drainage!$B$5:$B$204&gt;$B547)*(B_Drainage!$J$5:$J$204&lt;&gt;"")),IF(UPPER(B_Drainage!$J$5:$J$204)="Y",1,"")),"")</f>
        <v/>
      </c>
      <c r="AB547" s="182" t="str">
        <f>IFERROR(LOOKUP(2,1/((B_Drainage!$A$5:$A$204&lt;&gt;"")*(B_Drainage!$A$5:$A$204&lt;=$B547)*(B_Drainage!$B$5:$B$204&gt;$B547)*(B_Drainage!$K$5:$K$204&lt;&gt;"")),IF(B_Drainage!$K$5:$K$204="-","",B_Drainage!$K$5:$K$204)),"")</f>
        <v/>
      </c>
      <c r="AC547" s="182" t="str">
        <f>IFERROR(LOOKUP(2,1/((B_Drainage!$A$5:$A$204&lt;&gt;"")*(B_Drainage!$A$5:$A$204&lt;=$B547)*(B_Drainage!$B$5:$B$204&gt;$B547)*(B_Drainage!$L$5:$L$204&lt;&gt;"")),IF(B_Drainage!$L$5:$L$204="-","",B_Drainage!$L$5:$L$204)),"")</f>
        <v/>
      </c>
      <c r="AD547" s="182" t="str">
        <f>IFERROR(LOOKUP(2,1/((D_Points!$A$5:$A$204&lt;&gt;"")*(D_Points!$A$5:$A$204&gt;=$B547)*(D_Points!$A$5:$A$204&lt;$B547+P_Interval)*(UPPER(TRIM(D_Points!$B$5:$B$204))="TURNOUT_L")*(D_Points!$H$5:$H$204&lt;&gt;"")),D_Points!$H$5:$H$204),"")</f>
        <v/>
      </c>
      <c r="AE547" s="182" t="str">
        <f>IFERROR(LOOKUP(2,1/((D_Points!$A$5:$A$204&lt;&gt;"")*(D_Points!$A$5:$A$204&gt;=$B547)*(D_Points!$A$5:$A$204&lt;$B547+P_Interval)*(UPPER(TRIM(D_Points!$B$5:$B$204))="TURNOUT_R")*(D_Points!$H$5:$H$204&lt;&gt;"")),D_Points!$H$5:$H$204),"")</f>
        <v/>
      </c>
      <c r="AF547" s="181" t="str">
        <f>IFERROR(LOOKUP(2,1/((B_Drainage!$A$5:$A$204&lt;&gt;"")*(B_Drainage!$A$5:$A$204&lt;=$B547)*(B_Drainage!$B$5:$B$204&gt;$B547)*(B_Drainage!$M$5:$M$204&lt;&gt;"")),IF(UPPER(B_Drainage!$M$5:$M$204)="Y",1,"")),"")</f>
        <v/>
      </c>
      <c r="AG547" s="181" t="str">
        <f>IFERROR(LOOKUP(2,1/((B_Drainage!$A$5:$A$204&lt;&gt;"")*(B_Drainage!$A$5:$A$204&lt;=$B547)*(B_Drainage!$B$5:$B$204&gt;$B547)*(B_Drainage!$N$5:$N$204&lt;&gt;"")),IF(UPPER(B_Drainage!$N$5:$N$204)="Y",1,"")),"")</f>
        <v/>
      </c>
      <c r="AH547" s="181" t="str">
        <f t="shared" si="64"/>
        <v/>
      </c>
      <c r="AI547" s="181" t="str">
        <f t="shared" si="65"/>
        <v/>
      </c>
      <c r="AJ547" s="181" t="str">
        <f t="shared" si="66"/>
        <v/>
      </c>
      <c r="AK547" s="181" t="str">
        <f t="shared" si="67"/>
        <v/>
      </c>
      <c r="AL547" s="181" t="str">
        <f t="shared" si="68"/>
        <v/>
      </c>
      <c r="AM547" s="181" t="str">
        <f t="shared" si="69"/>
        <v/>
      </c>
      <c r="AN547" s="181" t="str">
        <f t="shared" si="70"/>
        <v/>
      </c>
      <c r="AO547" s="192" t="str">
        <f t="shared" si="71"/>
        <v/>
      </c>
      <c r="AQ547" t="str">
        <f>IFERROR(LOOKUP(2,1/((C_Pavement!$A$5:$A$204&lt;&gt;"")*(C_Pavement!$A$5:$A$204&lt;=$B547)*(C_Pavement!$B$5:$B$204&gt;$B547)*(C_Pavement!$C$5:$C$204&lt;&gt;"")),ROW(C_Pavement!$C$5:$C$204)-4),"")</f>
        <v/>
      </c>
      <c r="AR547" t="str">
        <f>IF($AQ547="","",UPPER(TRIM(INDEX(C_Pavement!$C$5:$C$204,$AQ547))))</f>
        <v/>
      </c>
      <c r="AS547" t="str">
        <f>IF($AR547="","",IFERROR(MATCH($AR547,E_Rules!$A$5:$A$9,0),""))</f>
        <v/>
      </c>
      <c r="AT547" t="str">
        <f>IF($AQ547="","",IF(INDEX(C_Pavement!$D$5:$D$204,$AQ547)&lt;&gt;"",UPPER(TRIM(INDEX(C_Pavement!$D$5:$D$204,$AQ547))),IF($AS547="","",INDEX(E_Rules!$C$5:$C$9,$AS547))))</f>
        <v/>
      </c>
      <c r="AU547" t="str">
        <f>IF($AQ547="","",IF(INDEX(C_Pavement!$E$5:$E$204,$AQ547)&lt;&gt;"",IF(INDEX(C_Pavement!$E$5:$E$204,$AQ547)="-","",INDEX(C_Pavement!$E$5:$E$204,$AQ547)),IF($AS547="","",INDEX(E_Rules!$D$5:$D$9,$AS547))))</f>
        <v/>
      </c>
      <c r="AV547" t="str">
        <f>IF($AQ547="","",IF(INDEX(C_Pavement!$F$5:$F$204,$AQ547)&lt;&gt;"",IF(INDEX(C_Pavement!$F$5:$F$204,$AQ547)="-","",INDEX(C_Pavement!$F$5:$F$204,$AQ547)),IF($AS547="","",INDEX(E_Rules!$E$5:$E$9,$AS547))))</f>
        <v/>
      </c>
      <c r="AW547" t="str">
        <f>IF($AQ547="","",IF(INDEX(C_Pavement!$G$5:$G$204,$AQ547)&lt;&gt;"",IF(INDEX(C_Pavement!$G$5:$G$204,$AQ547)="-","",INDEX(C_Pavement!$G$5:$G$204,$AQ547)),IF($AS547="","",INDEX(E_Rules!$F$5:$F$9,$AS547))))</f>
        <v/>
      </c>
      <c r="AX547" t="str">
        <f>IF($AQ547="","",IF(INDEX(C_Pavement!$H$5:$H$204,$AQ547)&lt;&gt;"",IF(INDEX(C_Pavement!$H$5:$H$204,$AQ547)="-","",INDEX(C_Pavement!$H$5:$H$204,$AQ547)),IF($AS547="","",INDEX(E_Rules!$G$5:$G$9,$AS547))))</f>
        <v/>
      </c>
      <c r="AY547" t="str">
        <f>IF($AQ547="","",IF(INDEX(C_Pavement!$I$5:$I$204,$AQ547)&lt;&gt;"",IF(INDEX(C_Pavement!$I$5:$I$204,$AQ547)="-","",INDEX(C_Pavement!$I$5:$I$204,$AQ547)),IF($AS547="","",INDEX(E_Rules!$H$5:$H$9,$AS547))))</f>
        <v/>
      </c>
    </row>
    <row r="548" spans="1:51" ht="15.75" customHeight="1" x14ac:dyDescent="0.3">
      <c r="A548" s="189">
        <v>543</v>
      </c>
      <c r="B548" s="180">
        <v>27100</v>
      </c>
      <c r="C548" s="180" t="s">
        <v>854</v>
      </c>
      <c r="D548" s="181" t="str">
        <f>IFERROR(LOOKUP(2,1/((A_Corridor!$A$5:$A$204&lt;&gt;"")*(A_Corridor!$A$5:$A$204&lt;=$B548)*(A_Corridor!$B$5:$B$204&gt;$B548)*(A_Corridor!$C$5:$C$204&lt;&gt;"")),IF(UPPER(A_Corridor!$C$5:$C$204)="Y",1,"")),"")</f>
        <v/>
      </c>
      <c r="E548" s="181" t="str">
        <f>IFERROR(LOOKUP(2,1/((A_Corridor!$A$5:$A$204&lt;&gt;"")*(A_Corridor!$A$5:$A$204&lt;=$B548)*(A_Corridor!$B$5:$B$204&gt;$B548)*(A_Corridor!$D$5:$D$204&lt;&gt;"")),IF(A_Corridor!$D$5:$D$204="-","",UPPER(A_Corridor!$D$5:$D$204))),"")</f>
        <v/>
      </c>
      <c r="F548" s="181" t="str">
        <f>IFERROR(LOOKUP(2,1/((A_Corridor!$A$5:$A$204&lt;&gt;"")*(A_Corridor!$A$5:$A$204&lt;=$B548)*(A_Corridor!$B$5:$B$204&gt;$B548)*(A_Corridor!$E$5:$E$204&lt;&gt;"")),IF(A_Corridor!$E$5:$E$204="-","",1)),"")</f>
        <v/>
      </c>
      <c r="G548" s="182" t="str">
        <f>IFERROR(LOOKUP(2,1/((A_Corridor!$A$5:$A$204&lt;&gt;"")*(A_Corridor!$A$5:$A$204&lt;=$B548)*(A_Corridor!$B$5:$B$204&gt;$B548)*(A_Corridor!$E$5:$E$204&lt;&gt;"")),IF(A_Corridor!$E$5:$E$204="-","",A_Corridor!$E$5:$E$204)),"")</f>
        <v/>
      </c>
      <c r="H548" s="182" t="str">
        <f>IFERROR(LOOKUP(2,1/((D_Points!$A$5:$A$204&lt;&gt;"")*(D_Points!$A$5:$A$204&gt;=$B548)*(D_Points!$A$5:$A$204&lt;$B548+P_Interval)*(UPPER(TRIM(D_Points!$B$5:$B$204))="GULLY")*(D_Points!$H$5:$H$204&lt;&gt;"")),D_Points!$H$5:$H$204),"")</f>
        <v/>
      </c>
      <c r="I548" s="181" t="str">
        <f>IFERROR(LOOKUP(2,1/((A_Corridor!$A$5:$A$204&lt;&gt;"")*(A_Corridor!$A$5:$A$204&lt;=$B548)*(A_Corridor!$B$5:$B$204&gt;$B548)*(A_Corridor!$F$5:$F$204&lt;&gt;"")),IF(A_Corridor!$F$5:$F$204="-","",1)),"")</f>
        <v/>
      </c>
      <c r="J548" s="182" t="str">
        <f>IFERROR(LOOKUP(2,1/((A_Corridor!$A$5:$A$204&lt;&gt;"")*(A_Corridor!$A$5:$A$204&lt;=$B548)*(A_Corridor!$B$5:$B$204&gt;$B548)*(A_Corridor!$F$5:$F$204&lt;&gt;"")),IF(A_Corridor!$F$5:$F$204="-","",A_Corridor!$F$5:$F$204)),"")</f>
        <v/>
      </c>
      <c r="K548" s="182" t="str">
        <f>IFERROR(LOOKUP(2,1/((A_Corridor!$A$5:$A$204&lt;&gt;"")*(A_Corridor!$A$5:$A$204&lt;=$B548)*(A_Corridor!$B$5:$B$204&gt;$B548)*(A_Corridor!$G$5:$G$204&lt;&gt;"")),IF(A_Corridor!$G$5:$G$204="-","",A_Corridor!$G$5:$G$204)),"")</f>
        <v/>
      </c>
      <c r="L548" s="181" t="str">
        <f>IFERROR(LOOKUP(2,1/((A_Corridor!$A$5:$A$204&lt;&gt;"")*(A_Corridor!$A$5:$A$204&lt;=$B548)*(A_Corridor!$B$5:$B$204&gt;$B548)*(A_Corridor!$H$5:$H$204&lt;&gt;"")),IF(A_Corridor!$H$5:$H$204="-","",1)),"")</f>
        <v/>
      </c>
      <c r="M548" s="182" t="str">
        <f>IFERROR(LOOKUP(2,1/((A_Corridor!$A$5:$A$204&lt;&gt;"")*(A_Corridor!$A$5:$A$204&lt;=$B548)*(A_Corridor!$B$5:$B$204&gt;$B548)*(A_Corridor!$H$5:$H$204&lt;&gt;"")),IF(A_Corridor!$H$5:$H$204="-","",A_Corridor!$H$5:$H$204)),"")</f>
        <v/>
      </c>
      <c r="N548" s="182" t="str">
        <f>IFERROR(LOOKUP(2,1/((A_Corridor!$A$5:$A$204&lt;&gt;"")*(A_Corridor!$A$5:$A$204&lt;=$B548)*(A_Corridor!$B$5:$B$204&gt;$B548)*(A_Corridor!$I$5:$I$204&lt;&gt;"")),IF(A_Corridor!$I$5:$I$204="-","",A_Corridor!$I$5:$I$204)),"")</f>
        <v/>
      </c>
      <c r="O548" s="182" t="str">
        <f>IFERROR(LOOKUP(2,1/((D_Points!$A$5:$A$204&lt;&gt;"")*(D_Points!$A$5:$A$204&gt;=$B548)*(D_Points!$A$5:$A$204&lt;$B548+P_Interval)*(UPPER(TRIM(D_Points!$B$5:$B$204))="PITCHING")*(D_Points!$H$5:$H$204&lt;&gt;"")),D_Points!$H$5:$H$204),"")</f>
        <v/>
      </c>
      <c r="P548" s="181" t="str">
        <f>IFERROR(LOOKUP(2,1/((B_Drainage!$A$5:$A$204&lt;&gt;"")*(B_Drainage!$A$5:$A$204&lt;=$B548)*(B_Drainage!$B$5:$B$204&gt;$B548)*(B_Drainage!$C$5:$C$204&lt;&gt;"")),IF(B_Drainage!$C$5:$C$204="-","",UPPER(B_Drainage!$C$5:$C$204))),"")</f>
        <v/>
      </c>
      <c r="Q548" s="181" t="str">
        <f>IFERROR(LOOKUP(2,1/((B_Drainage!$A$5:$A$204&lt;&gt;"")*(B_Drainage!$A$5:$A$204&lt;=$B548)*(B_Drainage!$B$5:$B$204&gt;$B548)*(B_Drainage!$D$5:$D$204&lt;&gt;"")),IF(B_Drainage!$D$5:$D$204="-","",UPPER(B_Drainage!$D$5:$D$204))),"")</f>
        <v/>
      </c>
      <c r="R548" s="182" t="str">
        <f>IFERROR(LOOKUP(2,1/((D_Points!$A$5:$A$204&lt;&gt;"")*(D_Points!$A$5:$A$204&gt;=$B548)*(D_Points!$A$5:$A$204&lt;$B548+P_Interval)*(RIGHT(UPPER(TRIM(D_Points!$B$5:$B$204)),8)="_CULVERT")),IF(LEFT(UPPER(TRIM(D_Points!$B$5:$B$204)),2)="EX",1,IF(LEFT(UPPER(TRIM(D_Points!$B$5:$B$204)),2)="PR",2,3))),"")</f>
        <v/>
      </c>
      <c r="S548" s="182" t="str">
        <f>IFERROR(LOOKUP(2,1/((D_Points!$A$5:$A$204&lt;&gt;"")*(D_Points!$A$5:$A$204&gt;=$B548)*(D_Points!$A$5:$A$204&lt;$B548+P_Interval)*(RIGHT(UPPER(TRIM(D_Points!$B$5:$B$204)),7)="_BRIDGE")),IF(LEFT(UPPER(TRIM(D_Points!$B$5:$B$204)),2)="EX",1,IF(LEFT(UPPER(TRIM(D_Points!$B$5:$B$204)),2)="PR",2,2))),"")</f>
        <v/>
      </c>
      <c r="T548" s="181" t="str">
        <f>IFERROR(LOOKUP(2,1/((B_Drainage!$A$5:$A$204&lt;&gt;"")*(B_Drainage!$A$5:$A$204&lt;=$B548)*(B_Drainage!$B$5:$B$204&gt;$B548)*(B_Drainage!$E$5:$E$204&lt;&gt;"")),IF(B_Drainage!$E$5:$E$204="-","",1)),"")</f>
        <v/>
      </c>
      <c r="U548" s="181" t="str">
        <f>IFERROR(LOOKUP(2,1/((B_Drainage!$A$5:$A$204&lt;&gt;"")*(B_Drainage!$A$5:$A$204&lt;=$B548)*(B_Drainage!$B$5:$B$204&gt;$B548)*(B_Drainage!$E$5:$E$204&lt;&gt;"")),IF(B_Drainage!$E$5:$E$204="-","",B_Drainage!$E$5:$E$204)),"")</f>
        <v/>
      </c>
      <c r="V548" s="181" t="str">
        <f>IFERROR(LOOKUP(2,1/((B_Drainage!$A$5:$A$204&lt;&gt;"")*(B_Drainage!$A$5:$A$204&lt;=$B548)*(B_Drainage!$B$5:$B$204&gt;$B548)*(B_Drainage!$F$5:$F$204&lt;&gt;"")),IF(B_Drainage!$F$5:$F$204="-","",1)),"")</f>
        <v/>
      </c>
      <c r="W548" s="181" t="str">
        <f>IFERROR(LOOKUP(2,1/((B_Drainage!$A$5:$A$204&lt;&gt;"")*(B_Drainage!$A$5:$A$204&lt;=$B548)*(B_Drainage!$B$5:$B$204&gt;$B548)*(B_Drainage!$F$5:$F$204&lt;&gt;"")),IF(B_Drainage!$F$5:$F$204="-","",B_Drainage!$F$5:$F$204)),"")</f>
        <v/>
      </c>
      <c r="X548" s="181" t="str">
        <f>IFERROR(LOOKUP(2,1/((B_Drainage!$A$5:$A$204&lt;&gt;"")*(B_Drainage!$A$5:$A$204&lt;=$B548)*(B_Drainage!$B$5:$B$204&gt;$B548)*(B_Drainage!$G$5:$G$204&lt;&gt;"")),IF(UPPER(B_Drainage!$G$5:$G$204)="Y",1,"")),"")</f>
        <v/>
      </c>
      <c r="Y548" s="181" t="str">
        <f>IFERROR(LOOKUP(2,1/((B_Drainage!$A$5:$A$204&lt;&gt;"")*(B_Drainage!$A$5:$A$204&lt;=$B548)*(B_Drainage!$B$5:$B$204&gt;$B548)*(B_Drainage!$H$5:$H$204&lt;&gt;"")),IF(UPPER(B_Drainage!$H$5:$H$204)="Y",1,"")),"")</f>
        <v/>
      </c>
      <c r="Z548" s="181" t="str">
        <f>IFERROR(LOOKUP(2,1/((B_Drainage!$A$5:$A$204&lt;&gt;"")*(B_Drainage!$A$5:$A$204&lt;=$B548)*(B_Drainage!$B$5:$B$204&gt;$B548)*(B_Drainage!$I$5:$I$204&lt;&gt;"")),IF(UPPER(B_Drainage!$I$5:$I$204)="Y",1,"")),"")</f>
        <v/>
      </c>
      <c r="AA548" s="181" t="str">
        <f>IFERROR(LOOKUP(2,1/((B_Drainage!$A$5:$A$204&lt;&gt;"")*(B_Drainage!$A$5:$A$204&lt;=$B548)*(B_Drainage!$B$5:$B$204&gt;$B548)*(B_Drainage!$J$5:$J$204&lt;&gt;"")),IF(UPPER(B_Drainage!$J$5:$J$204)="Y",1,"")),"")</f>
        <v/>
      </c>
      <c r="AB548" s="182" t="str">
        <f>IFERROR(LOOKUP(2,1/((B_Drainage!$A$5:$A$204&lt;&gt;"")*(B_Drainage!$A$5:$A$204&lt;=$B548)*(B_Drainage!$B$5:$B$204&gt;$B548)*(B_Drainage!$K$5:$K$204&lt;&gt;"")),IF(B_Drainage!$K$5:$K$204="-","",B_Drainage!$K$5:$K$204)),"")</f>
        <v/>
      </c>
      <c r="AC548" s="182" t="str">
        <f>IFERROR(LOOKUP(2,1/((B_Drainage!$A$5:$A$204&lt;&gt;"")*(B_Drainage!$A$5:$A$204&lt;=$B548)*(B_Drainage!$B$5:$B$204&gt;$B548)*(B_Drainage!$L$5:$L$204&lt;&gt;"")),IF(B_Drainage!$L$5:$L$204="-","",B_Drainage!$L$5:$L$204)),"")</f>
        <v/>
      </c>
      <c r="AD548" s="182" t="str">
        <f>IFERROR(LOOKUP(2,1/((D_Points!$A$5:$A$204&lt;&gt;"")*(D_Points!$A$5:$A$204&gt;=$B548)*(D_Points!$A$5:$A$204&lt;$B548+P_Interval)*(UPPER(TRIM(D_Points!$B$5:$B$204))="TURNOUT_L")*(D_Points!$H$5:$H$204&lt;&gt;"")),D_Points!$H$5:$H$204),"")</f>
        <v/>
      </c>
      <c r="AE548" s="182" t="str">
        <f>IFERROR(LOOKUP(2,1/((D_Points!$A$5:$A$204&lt;&gt;"")*(D_Points!$A$5:$A$204&gt;=$B548)*(D_Points!$A$5:$A$204&lt;$B548+P_Interval)*(UPPER(TRIM(D_Points!$B$5:$B$204))="TURNOUT_R")*(D_Points!$H$5:$H$204&lt;&gt;"")),D_Points!$H$5:$H$204),"")</f>
        <v/>
      </c>
      <c r="AF548" s="181" t="str">
        <f>IFERROR(LOOKUP(2,1/((B_Drainage!$A$5:$A$204&lt;&gt;"")*(B_Drainage!$A$5:$A$204&lt;=$B548)*(B_Drainage!$B$5:$B$204&gt;$B548)*(B_Drainage!$M$5:$M$204&lt;&gt;"")),IF(UPPER(B_Drainage!$M$5:$M$204)="Y",1,"")),"")</f>
        <v/>
      </c>
      <c r="AG548" s="181" t="str">
        <f>IFERROR(LOOKUP(2,1/((B_Drainage!$A$5:$A$204&lt;&gt;"")*(B_Drainage!$A$5:$A$204&lt;=$B548)*(B_Drainage!$B$5:$B$204&gt;$B548)*(B_Drainage!$N$5:$N$204&lt;&gt;"")),IF(UPPER(B_Drainage!$N$5:$N$204)="Y",1,"")),"")</f>
        <v/>
      </c>
      <c r="AH548" s="181" t="str">
        <f t="shared" si="64"/>
        <v/>
      </c>
      <c r="AI548" s="181" t="str">
        <f t="shared" si="65"/>
        <v/>
      </c>
      <c r="AJ548" s="181" t="str">
        <f t="shared" si="66"/>
        <v/>
      </c>
      <c r="AK548" s="181" t="str">
        <f t="shared" si="67"/>
        <v/>
      </c>
      <c r="AL548" s="181" t="str">
        <f t="shared" si="68"/>
        <v/>
      </c>
      <c r="AM548" s="181" t="str">
        <f t="shared" si="69"/>
        <v/>
      </c>
      <c r="AN548" s="181" t="str">
        <f t="shared" si="70"/>
        <v/>
      </c>
      <c r="AO548" s="192" t="str">
        <f t="shared" si="71"/>
        <v/>
      </c>
      <c r="AQ548" t="str">
        <f>IFERROR(LOOKUP(2,1/((C_Pavement!$A$5:$A$204&lt;&gt;"")*(C_Pavement!$A$5:$A$204&lt;=$B548)*(C_Pavement!$B$5:$B$204&gt;$B548)*(C_Pavement!$C$5:$C$204&lt;&gt;"")),ROW(C_Pavement!$C$5:$C$204)-4),"")</f>
        <v/>
      </c>
      <c r="AR548" t="str">
        <f>IF($AQ548="","",UPPER(TRIM(INDEX(C_Pavement!$C$5:$C$204,$AQ548))))</f>
        <v/>
      </c>
      <c r="AS548" t="str">
        <f>IF($AR548="","",IFERROR(MATCH($AR548,E_Rules!$A$5:$A$9,0),""))</f>
        <v/>
      </c>
      <c r="AT548" t="str">
        <f>IF($AQ548="","",IF(INDEX(C_Pavement!$D$5:$D$204,$AQ548)&lt;&gt;"",UPPER(TRIM(INDEX(C_Pavement!$D$5:$D$204,$AQ548))),IF($AS548="","",INDEX(E_Rules!$C$5:$C$9,$AS548))))</f>
        <v/>
      </c>
      <c r="AU548" t="str">
        <f>IF($AQ548="","",IF(INDEX(C_Pavement!$E$5:$E$204,$AQ548)&lt;&gt;"",IF(INDEX(C_Pavement!$E$5:$E$204,$AQ548)="-","",INDEX(C_Pavement!$E$5:$E$204,$AQ548)),IF($AS548="","",INDEX(E_Rules!$D$5:$D$9,$AS548))))</f>
        <v/>
      </c>
      <c r="AV548" t="str">
        <f>IF($AQ548="","",IF(INDEX(C_Pavement!$F$5:$F$204,$AQ548)&lt;&gt;"",IF(INDEX(C_Pavement!$F$5:$F$204,$AQ548)="-","",INDEX(C_Pavement!$F$5:$F$204,$AQ548)),IF($AS548="","",INDEX(E_Rules!$E$5:$E$9,$AS548))))</f>
        <v/>
      </c>
      <c r="AW548" t="str">
        <f>IF($AQ548="","",IF(INDEX(C_Pavement!$G$5:$G$204,$AQ548)&lt;&gt;"",IF(INDEX(C_Pavement!$G$5:$G$204,$AQ548)="-","",INDEX(C_Pavement!$G$5:$G$204,$AQ548)),IF($AS548="","",INDEX(E_Rules!$F$5:$F$9,$AS548))))</f>
        <v/>
      </c>
      <c r="AX548" t="str">
        <f>IF($AQ548="","",IF(INDEX(C_Pavement!$H$5:$H$204,$AQ548)&lt;&gt;"",IF(INDEX(C_Pavement!$H$5:$H$204,$AQ548)="-","",INDEX(C_Pavement!$H$5:$H$204,$AQ548)),IF($AS548="","",INDEX(E_Rules!$G$5:$G$9,$AS548))))</f>
        <v/>
      </c>
      <c r="AY548" t="str">
        <f>IF($AQ548="","",IF(INDEX(C_Pavement!$I$5:$I$204,$AQ548)&lt;&gt;"",IF(INDEX(C_Pavement!$I$5:$I$204,$AQ548)="-","",INDEX(C_Pavement!$I$5:$I$204,$AQ548)),IF($AS548="","",INDEX(E_Rules!$H$5:$H$9,$AS548))))</f>
        <v/>
      </c>
    </row>
    <row r="549" spans="1:51" ht="15.75" customHeight="1" x14ac:dyDescent="0.3">
      <c r="A549" s="189">
        <v>544</v>
      </c>
      <c r="B549" s="180">
        <v>27150</v>
      </c>
      <c r="C549" s="180" t="s">
        <v>855</v>
      </c>
      <c r="D549" s="181" t="str">
        <f>IFERROR(LOOKUP(2,1/((A_Corridor!$A$5:$A$204&lt;&gt;"")*(A_Corridor!$A$5:$A$204&lt;=$B549)*(A_Corridor!$B$5:$B$204&gt;$B549)*(A_Corridor!$C$5:$C$204&lt;&gt;"")),IF(UPPER(A_Corridor!$C$5:$C$204)="Y",1,"")),"")</f>
        <v/>
      </c>
      <c r="E549" s="181" t="str">
        <f>IFERROR(LOOKUP(2,1/((A_Corridor!$A$5:$A$204&lt;&gt;"")*(A_Corridor!$A$5:$A$204&lt;=$B549)*(A_Corridor!$B$5:$B$204&gt;$B549)*(A_Corridor!$D$5:$D$204&lt;&gt;"")),IF(A_Corridor!$D$5:$D$204="-","",UPPER(A_Corridor!$D$5:$D$204))),"")</f>
        <v/>
      </c>
      <c r="F549" s="181" t="str">
        <f>IFERROR(LOOKUP(2,1/((A_Corridor!$A$5:$A$204&lt;&gt;"")*(A_Corridor!$A$5:$A$204&lt;=$B549)*(A_Corridor!$B$5:$B$204&gt;$B549)*(A_Corridor!$E$5:$E$204&lt;&gt;"")),IF(A_Corridor!$E$5:$E$204="-","",1)),"")</f>
        <v/>
      </c>
      <c r="G549" s="182" t="str">
        <f>IFERROR(LOOKUP(2,1/((A_Corridor!$A$5:$A$204&lt;&gt;"")*(A_Corridor!$A$5:$A$204&lt;=$B549)*(A_Corridor!$B$5:$B$204&gt;$B549)*(A_Corridor!$E$5:$E$204&lt;&gt;"")),IF(A_Corridor!$E$5:$E$204="-","",A_Corridor!$E$5:$E$204)),"")</f>
        <v/>
      </c>
      <c r="H549" s="182" t="str">
        <f>IFERROR(LOOKUP(2,1/((D_Points!$A$5:$A$204&lt;&gt;"")*(D_Points!$A$5:$A$204&gt;=$B549)*(D_Points!$A$5:$A$204&lt;$B549+P_Interval)*(UPPER(TRIM(D_Points!$B$5:$B$204))="GULLY")*(D_Points!$H$5:$H$204&lt;&gt;"")),D_Points!$H$5:$H$204),"")</f>
        <v/>
      </c>
      <c r="I549" s="181" t="str">
        <f>IFERROR(LOOKUP(2,1/((A_Corridor!$A$5:$A$204&lt;&gt;"")*(A_Corridor!$A$5:$A$204&lt;=$B549)*(A_Corridor!$B$5:$B$204&gt;$B549)*(A_Corridor!$F$5:$F$204&lt;&gt;"")),IF(A_Corridor!$F$5:$F$204="-","",1)),"")</f>
        <v/>
      </c>
      <c r="J549" s="182" t="str">
        <f>IFERROR(LOOKUP(2,1/((A_Corridor!$A$5:$A$204&lt;&gt;"")*(A_Corridor!$A$5:$A$204&lt;=$B549)*(A_Corridor!$B$5:$B$204&gt;$B549)*(A_Corridor!$F$5:$F$204&lt;&gt;"")),IF(A_Corridor!$F$5:$F$204="-","",A_Corridor!$F$5:$F$204)),"")</f>
        <v/>
      </c>
      <c r="K549" s="182" t="str">
        <f>IFERROR(LOOKUP(2,1/((A_Corridor!$A$5:$A$204&lt;&gt;"")*(A_Corridor!$A$5:$A$204&lt;=$B549)*(A_Corridor!$B$5:$B$204&gt;$B549)*(A_Corridor!$G$5:$G$204&lt;&gt;"")),IF(A_Corridor!$G$5:$G$204="-","",A_Corridor!$G$5:$G$204)),"")</f>
        <v/>
      </c>
      <c r="L549" s="181" t="str">
        <f>IFERROR(LOOKUP(2,1/((A_Corridor!$A$5:$A$204&lt;&gt;"")*(A_Corridor!$A$5:$A$204&lt;=$B549)*(A_Corridor!$B$5:$B$204&gt;$B549)*(A_Corridor!$H$5:$H$204&lt;&gt;"")),IF(A_Corridor!$H$5:$H$204="-","",1)),"")</f>
        <v/>
      </c>
      <c r="M549" s="182" t="str">
        <f>IFERROR(LOOKUP(2,1/((A_Corridor!$A$5:$A$204&lt;&gt;"")*(A_Corridor!$A$5:$A$204&lt;=$B549)*(A_Corridor!$B$5:$B$204&gt;$B549)*(A_Corridor!$H$5:$H$204&lt;&gt;"")),IF(A_Corridor!$H$5:$H$204="-","",A_Corridor!$H$5:$H$204)),"")</f>
        <v/>
      </c>
      <c r="N549" s="182" t="str">
        <f>IFERROR(LOOKUP(2,1/((A_Corridor!$A$5:$A$204&lt;&gt;"")*(A_Corridor!$A$5:$A$204&lt;=$B549)*(A_Corridor!$B$5:$B$204&gt;$B549)*(A_Corridor!$I$5:$I$204&lt;&gt;"")),IF(A_Corridor!$I$5:$I$204="-","",A_Corridor!$I$5:$I$204)),"")</f>
        <v/>
      </c>
      <c r="O549" s="182" t="str">
        <f>IFERROR(LOOKUP(2,1/((D_Points!$A$5:$A$204&lt;&gt;"")*(D_Points!$A$5:$A$204&gt;=$B549)*(D_Points!$A$5:$A$204&lt;$B549+P_Interval)*(UPPER(TRIM(D_Points!$B$5:$B$204))="PITCHING")*(D_Points!$H$5:$H$204&lt;&gt;"")),D_Points!$H$5:$H$204),"")</f>
        <v/>
      </c>
      <c r="P549" s="181" t="str">
        <f>IFERROR(LOOKUP(2,1/((B_Drainage!$A$5:$A$204&lt;&gt;"")*(B_Drainage!$A$5:$A$204&lt;=$B549)*(B_Drainage!$B$5:$B$204&gt;$B549)*(B_Drainage!$C$5:$C$204&lt;&gt;"")),IF(B_Drainage!$C$5:$C$204="-","",UPPER(B_Drainage!$C$5:$C$204))),"")</f>
        <v/>
      </c>
      <c r="Q549" s="181" t="str">
        <f>IFERROR(LOOKUP(2,1/((B_Drainage!$A$5:$A$204&lt;&gt;"")*(B_Drainage!$A$5:$A$204&lt;=$B549)*(B_Drainage!$B$5:$B$204&gt;$B549)*(B_Drainage!$D$5:$D$204&lt;&gt;"")),IF(B_Drainage!$D$5:$D$204="-","",UPPER(B_Drainage!$D$5:$D$204))),"")</f>
        <v/>
      </c>
      <c r="R549" s="182" t="str">
        <f>IFERROR(LOOKUP(2,1/((D_Points!$A$5:$A$204&lt;&gt;"")*(D_Points!$A$5:$A$204&gt;=$B549)*(D_Points!$A$5:$A$204&lt;$B549+P_Interval)*(RIGHT(UPPER(TRIM(D_Points!$B$5:$B$204)),8)="_CULVERT")),IF(LEFT(UPPER(TRIM(D_Points!$B$5:$B$204)),2)="EX",1,IF(LEFT(UPPER(TRIM(D_Points!$B$5:$B$204)),2)="PR",2,3))),"")</f>
        <v/>
      </c>
      <c r="S549" s="182" t="str">
        <f>IFERROR(LOOKUP(2,1/((D_Points!$A$5:$A$204&lt;&gt;"")*(D_Points!$A$5:$A$204&gt;=$B549)*(D_Points!$A$5:$A$204&lt;$B549+P_Interval)*(RIGHT(UPPER(TRIM(D_Points!$B$5:$B$204)),7)="_BRIDGE")),IF(LEFT(UPPER(TRIM(D_Points!$B$5:$B$204)),2)="EX",1,IF(LEFT(UPPER(TRIM(D_Points!$B$5:$B$204)),2)="PR",2,2))),"")</f>
        <v/>
      </c>
      <c r="T549" s="181" t="str">
        <f>IFERROR(LOOKUP(2,1/((B_Drainage!$A$5:$A$204&lt;&gt;"")*(B_Drainage!$A$5:$A$204&lt;=$B549)*(B_Drainage!$B$5:$B$204&gt;$B549)*(B_Drainage!$E$5:$E$204&lt;&gt;"")),IF(B_Drainage!$E$5:$E$204="-","",1)),"")</f>
        <v/>
      </c>
      <c r="U549" s="181" t="str">
        <f>IFERROR(LOOKUP(2,1/((B_Drainage!$A$5:$A$204&lt;&gt;"")*(B_Drainage!$A$5:$A$204&lt;=$B549)*(B_Drainage!$B$5:$B$204&gt;$B549)*(B_Drainage!$E$5:$E$204&lt;&gt;"")),IF(B_Drainage!$E$5:$E$204="-","",B_Drainage!$E$5:$E$204)),"")</f>
        <v/>
      </c>
      <c r="V549" s="181" t="str">
        <f>IFERROR(LOOKUP(2,1/((B_Drainage!$A$5:$A$204&lt;&gt;"")*(B_Drainage!$A$5:$A$204&lt;=$B549)*(B_Drainage!$B$5:$B$204&gt;$B549)*(B_Drainage!$F$5:$F$204&lt;&gt;"")),IF(B_Drainage!$F$5:$F$204="-","",1)),"")</f>
        <v/>
      </c>
      <c r="W549" s="181" t="str">
        <f>IFERROR(LOOKUP(2,1/((B_Drainage!$A$5:$A$204&lt;&gt;"")*(B_Drainage!$A$5:$A$204&lt;=$B549)*(B_Drainage!$B$5:$B$204&gt;$B549)*(B_Drainage!$F$5:$F$204&lt;&gt;"")),IF(B_Drainage!$F$5:$F$204="-","",B_Drainage!$F$5:$F$204)),"")</f>
        <v/>
      </c>
      <c r="X549" s="181" t="str">
        <f>IFERROR(LOOKUP(2,1/((B_Drainage!$A$5:$A$204&lt;&gt;"")*(B_Drainage!$A$5:$A$204&lt;=$B549)*(B_Drainage!$B$5:$B$204&gt;$B549)*(B_Drainage!$G$5:$G$204&lt;&gt;"")),IF(UPPER(B_Drainage!$G$5:$G$204)="Y",1,"")),"")</f>
        <v/>
      </c>
      <c r="Y549" s="181" t="str">
        <f>IFERROR(LOOKUP(2,1/((B_Drainage!$A$5:$A$204&lt;&gt;"")*(B_Drainage!$A$5:$A$204&lt;=$B549)*(B_Drainage!$B$5:$B$204&gt;$B549)*(B_Drainage!$H$5:$H$204&lt;&gt;"")),IF(UPPER(B_Drainage!$H$5:$H$204)="Y",1,"")),"")</f>
        <v/>
      </c>
      <c r="Z549" s="181" t="str">
        <f>IFERROR(LOOKUP(2,1/((B_Drainage!$A$5:$A$204&lt;&gt;"")*(B_Drainage!$A$5:$A$204&lt;=$B549)*(B_Drainage!$B$5:$B$204&gt;$B549)*(B_Drainage!$I$5:$I$204&lt;&gt;"")),IF(UPPER(B_Drainage!$I$5:$I$204)="Y",1,"")),"")</f>
        <v/>
      </c>
      <c r="AA549" s="181" t="str">
        <f>IFERROR(LOOKUP(2,1/((B_Drainage!$A$5:$A$204&lt;&gt;"")*(B_Drainage!$A$5:$A$204&lt;=$B549)*(B_Drainage!$B$5:$B$204&gt;$B549)*(B_Drainage!$J$5:$J$204&lt;&gt;"")),IF(UPPER(B_Drainage!$J$5:$J$204)="Y",1,"")),"")</f>
        <v/>
      </c>
      <c r="AB549" s="182" t="str">
        <f>IFERROR(LOOKUP(2,1/((B_Drainage!$A$5:$A$204&lt;&gt;"")*(B_Drainage!$A$5:$A$204&lt;=$B549)*(B_Drainage!$B$5:$B$204&gt;$B549)*(B_Drainage!$K$5:$K$204&lt;&gt;"")),IF(B_Drainage!$K$5:$K$204="-","",B_Drainage!$K$5:$K$204)),"")</f>
        <v/>
      </c>
      <c r="AC549" s="182" t="str">
        <f>IFERROR(LOOKUP(2,1/((B_Drainage!$A$5:$A$204&lt;&gt;"")*(B_Drainage!$A$5:$A$204&lt;=$B549)*(B_Drainage!$B$5:$B$204&gt;$B549)*(B_Drainage!$L$5:$L$204&lt;&gt;"")),IF(B_Drainage!$L$5:$L$204="-","",B_Drainage!$L$5:$L$204)),"")</f>
        <v/>
      </c>
      <c r="AD549" s="182" t="str">
        <f>IFERROR(LOOKUP(2,1/((D_Points!$A$5:$A$204&lt;&gt;"")*(D_Points!$A$5:$A$204&gt;=$B549)*(D_Points!$A$5:$A$204&lt;$B549+P_Interval)*(UPPER(TRIM(D_Points!$B$5:$B$204))="TURNOUT_L")*(D_Points!$H$5:$H$204&lt;&gt;"")),D_Points!$H$5:$H$204),"")</f>
        <v/>
      </c>
      <c r="AE549" s="182" t="str">
        <f>IFERROR(LOOKUP(2,1/((D_Points!$A$5:$A$204&lt;&gt;"")*(D_Points!$A$5:$A$204&gt;=$B549)*(D_Points!$A$5:$A$204&lt;$B549+P_Interval)*(UPPER(TRIM(D_Points!$B$5:$B$204))="TURNOUT_R")*(D_Points!$H$5:$H$204&lt;&gt;"")),D_Points!$H$5:$H$204),"")</f>
        <v/>
      </c>
      <c r="AF549" s="181" t="str">
        <f>IFERROR(LOOKUP(2,1/((B_Drainage!$A$5:$A$204&lt;&gt;"")*(B_Drainage!$A$5:$A$204&lt;=$B549)*(B_Drainage!$B$5:$B$204&gt;$B549)*(B_Drainage!$M$5:$M$204&lt;&gt;"")),IF(UPPER(B_Drainage!$M$5:$M$204)="Y",1,"")),"")</f>
        <v/>
      </c>
      <c r="AG549" s="181" t="str">
        <f>IFERROR(LOOKUP(2,1/((B_Drainage!$A$5:$A$204&lt;&gt;"")*(B_Drainage!$A$5:$A$204&lt;=$B549)*(B_Drainage!$B$5:$B$204&gt;$B549)*(B_Drainage!$N$5:$N$204&lt;&gt;"")),IF(UPPER(B_Drainage!$N$5:$N$204)="Y",1,"")),"")</f>
        <v/>
      </c>
      <c r="AH549" s="181" t="str">
        <f t="shared" si="64"/>
        <v/>
      </c>
      <c r="AI549" s="181" t="str">
        <f t="shared" si="65"/>
        <v/>
      </c>
      <c r="AJ549" s="181" t="str">
        <f t="shared" si="66"/>
        <v/>
      </c>
      <c r="AK549" s="181" t="str">
        <f t="shared" si="67"/>
        <v/>
      </c>
      <c r="AL549" s="181" t="str">
        <f t="shared" si="68"/>
        <v/>
      </c>
      <c r="AM549" s="181" t="str">
        <f t="shared" si="69"/>
        <v/>
      </c>
      <c r="AN549" s="181" t="str">
        <f t="shared" si="70"/>
        <v/>
      </c>
      <c r="AO549" s="192" t="str">
        <f t="shared" si="71"/>
        <v/>
      </c>
      <c r="AQ549" t="str">
        <f>IFERROR(LOOKUP(2,1/((C_Pavement!$A$5:$A$204&lt;&gt;"")*(C_Pavement!$A$5:$A$204&lt;=$B549)*(C_Pavement!$B$5:$B$204&gt;$B549)*(C_Pavement!$C$5:$C$204&lt;&gt;"")),ROW(C_Pavement!$C$5:$C$204)-4),"")</f>
        <v/>
      </c>
      <c r="AR549" t="str">
        <f>IF($AQ549="","",UPPER(TRIM(INDEX(C_Pavement!$C$5:$C$204,$AQ549))))</f>
        <v/>
      </c>
      <c r="AS549" t="str">
        <f>IF($AR549="","",IFERROR(MATCH($AR549,E_Rules!$A$5:$A$9,0),""))</f>
        <v/>
      </c>
      <c r="AT549" t="str">
        <f>IF($AQ549="","",IF(INDEX(C_Pavement!$D$5:$D$204,$AQ549)&lt;&gt;"",UPPER(TRIM(INDEX(C_Pavement!$D$5:$D$204,$AQ549))),IF($AS549="","",INDEX(E_Rules!$C$5:$C$9,$AS549))))</f>
        <v/>
      </c>
      <c r="AU549" t="str">
        <f>IF($AQ549="","",IF(INDEX(C_Pavement!$E$5:$E$204,$AQ549)&lt;&gt;"",IF(INDEX(C_Pavement!$E$5:$E$204,$AQ549)="-","",INDEX(C_Pavement!$E$5:$E$204,$AQ549)),IF($AS549="","",INDEX(E_Rules!$D$5:$D$9,$AS549))))</f>
        <v/>
      </c>
      <c r="AV549" t="str">
        <f>IF($AQ549="","",IF(INDEX(C_Pavement!$F$5:$F$204,$AQ549)&lt;&gt;"",IF(INDEX(C_Pavement!$F$5:$F$204,$AQ549)="-","",INDEX(C_Pavement!$F$5:$F$204,$AQ549)),IF($AS549="","",INDEX(E_Rules!$E$5:$E$9,$AS549))))</f>
        <v/>
      </c>
      <c r="AW549" t="str">
        <f>IF($AQ549="","",IF(INDEX(C_Pavement!$G$5:$G$204,$AQ549)&lt;&gt;"",IF(INDEX(C_Pavement!$G$5:$G$204,$AQ549)="-","",INDEX(C_Pavement!$G$5:$G$204,$AQ549)),IF($AS549="","",INDEX(E_Rules!$F$5:$F$9,$AS549))))</f>
        <v/>
      </c>
      <c r="AX549" t="str">
        <f>IF($AQ549="","",IF(INDEX(C_Pavement!$H$5:$H$204,$AQ549)&lt;&gt;"",IF(INDEX(C_Pavement!$H$5:$H$204,$AQ549)="-","",INDEX(C_Pavement!$H$5:$H$204,$AQ549)),IF($AS549="","",INDEX(E_Rules!$G$5:$G$9,$AS549))))</f>
        <v/>
      </c>
      <c r="AY549" t="str">
        <f>IF($AQ549="","",IF(INDEX(C_Pavement!$I$5:$I$204,$AQ549)&lt;&gt;"",IF(INDEX(C_Pavement!$I$5:$I$204,$AQ549)="-","",INDEX(C_Pavement!$I$5:$I$204,$AQ549)),IF($AS549="","",INDEX(E_Rules!$H$5:$H$9,$AS549))))</f>
        <v/>
      </c>
    </row>
    <row r="550" spans="1:51" ht="15.75" customHeight="1" x14ac:dyDescent="0.3">
      <c r="A550" s="189">
        <v>545</v>
      </c>
      <c r="B550" s="180">
        <v>27200</v>
      </c>
      <c r="C550" s="180" t="s">
        <v>856</v>
      </c>
      <c r="D550" s="181" t="str">
        <f>IFERROR(LOOKUP(2,1/((A_Corridor!$A$5:$A$204&lt;&gt;"")*(A_Corridor!$A$5:$A$204&lt;=$B550)*(A_Corridor!$B$5:$B$204&gt;$B550)*(A_Corridor!$C$5:$C$204&lt;&gt;"")),IF(UPPER(A_Corridor!$C$5:$C$204)="Y",1,"")),"")</f>
        <v/>
      </c>
      <c r="E550" s="181" t="str">
        <f>IFERROR(LOOKUP(2,1/((A_Corridor!$A$5:$A$204&lt;&gt;"")*(A_Corridor!$A$5:$A$204&lt;=$B550)*(A_Corridor!$B$5:$B$204&gt;$B550)*(A_Corridor!$D$5:$D$204&lt;&gt;"")),IF(A_Corridor!$D$5:$D$204="-","",UPPER(A_Corridor!$D$5:$D$204))),"")</f>
        <v/>
      </c>
      <c r="F550" s="181" t="str">
        <f>IFERROR(LOOKUP(2,1/((A_Corridor!$A$5:$A$204&lt;&gt;"")*(A_Corridor!$A$5:$A$204&lt;=$B550)*(A_Corridor!$B$5:$B$204&gt;$B550)*(A_Corridor!$E$5:$E$204&lt;&gt;"")),IF(A_Corridor!$E$5:$E$204="-","",1)),"")</f>
        <v/>
      </c>
      <c r="G550" s="182" t="str">
        <f>IFERROR(LOOKUP(2,1/((A_Corridor!$A$5:$A$204&lt;&gt;"")*(A_Corridor!$A$5:$A$204&lt;=$B550)*(A_Corridor!$B$5:$B$204&gt;$B550)*(A_Corridor!$E$5:$E$204&lt;&gt;"")),IF(A_Corridor!$E$5:$E$204="-","",A_Corridor!$E$5:$E$204)),"")</f>
        <v/>
      </c>
      <c r="H550" s="182" t="str">
        <f>IFERROR(LOOKUP(2,1/((D_Points!$A$5:$A$204&lt;&gt;"")*(D_Points!$A$5:$A$204&gt;=$B550)*(D_Points!$A$5:$A$204&lt;$B550+P_Interval)*(UPPER(TRIM(D_Points!$B$5:$B$204))="GULLY")*(D_Points!$H$5:$H$204&lt;&gt;"")),D_Points!$H$5:$H$204),"")</f>
        <v/>
      </c>
      <c r="I550" s="181" t="str">
        <f>IFERROR(LOOKUP(2,1/((A_Corridor!$A$5:$A$204&lt;&gt;"")*(A_Corridor!$A$5:$A$204&lt;=$B550)*(A_Corridor!$B$5:$B$204&gt;$B550)*(A_Corridor!$F$5:$F$204&lt;&gt;"")),IF(A_Corridor!$F$5:$F$204="-","",1)),"")</f>
        <v/>
      </c>
      <c r="J550" s="182" t="str">
        <f>IFERROR(LOOKUP(2,1/((A_Corridor!$A$5:$A$204&lt;&gt;"")*(A_Corridor!$A$5:$A$204&lt;=$B550)*(A_Corridor!$B$5:$B$204&gt;$B550)*(A_Corridor!$F$5:$F$204&lt;&gt;"")),IF(A_Corridor!$F$5:$F$204="-","",A_Corridor!$F$5:$F$204)),"")</f>
        <v/>
      </c>
      <c r="K550" s="182" t="str">
        <f>IFERROR(LOOKUP(2,1/((A_Corridor!$A$5:$A$204&lt;&gt;"")*(A_Corridor!$A$5:$A$204&lt;=$B550)*(A_Corridor!$B$5:$B$204&gt;$B550)*(A_Corridor!$G$5:$G$204&lt;&gt;"")),IF(A_Corridor!$G$5:$G$204="-","",A_Corridor!$G$5:$G$204)),"")</f>
        <v/>
      </c>
      <c r="L550" s="181" t="str">
        <f>IFERROR(LOOKUP(2,1/((A_Corridor!$A$5:$A$204&lt;&gt;"")*(A_Corridor!$A$5:$A$204&lt;=$B550)*(A_Corridor!$B$5:$B$204&gt;$B550)*(A_Corridor!$H$5:$H$204&lt;&gt;"")),IF(A_Corridor!$H$5:$H$204="-","",1)),"")</f>
        <v/>
      </c>
      <c r="M550" s="182" t="str">
        <f>IFERROR(LOOKUP(2,1/((A_Corridor!$A$5:$A$204&lt;&gt;"")*(A_Corridor!$A$5:$A$204&lt;=$B550)*(A_Corridor!$B$5:$B$204&gt;$B550)*(A_Corridor!$H$5:$H$204&lt;&gt;"")),IF(A_Corridor!$H$5:$H$204="-","",A_Corridor!$H$5:$H$204)),"")</f>
        <v/>
      </c>
      <c r="N550" s="182" t="str">
        <f>IFERROR(LOOKUP(2,1/((A_Corridor!$A$5:$A$204&lt;&gt;"")*(A_Corridor!$A$5:$A$204&lt;=$B550)*(A_Corridor!$B$5:$B$204&gt;$B550)*(A_Corridor!$I$5:$I$204&lt;&gt;"")),IF(A_Corridor!$I$5:$I$204="-","",A_Corridor!$I$5:$I$204)),"")</f>
        <v/>
      </c>
      <c r="O550" s="182" t="str">
        <f>IFERROR(LOOKUP(2,1/((D_Points!$A$5:$A$204&lt;&gt;"")*(D_Points!$A$5:$A$204&gt;=$B550)*(D_Points!$A$5:$A$204&lt;$B550+P_Interval)*(UPPER(TRIM(D_Points!$B$5:$B$204))="PITCHING")*(D_Points!$H$5:$H$204&lt;&gt;"")),D_Points!$H$5:$H$204),"")</f>
        <v/>
      </c>
      <c r="P550" s="181" t="str">
        <f>IFERROR(LOOKUP(2,1/((B_Drainage!$A$5:$A$204&lt;&gt;"")*(B_Drainage!$A$5:$A$204&lt;=$B550)*(B_Drainage!$B$5:$B$204&gt;$B550)*(B_Drainage!$C$5:$C$204&lt;&gt;"")),IF(B_Drainage!$C$5:$C$204="-","",UPPER(B_Drainage!$C$5:$C$204))),"")</f>
        <v/>
      </c>
      <c r="Q550" s="181" t="str">
        <f>IFERROR(LOOKUP(2,1/((B_Drainage!$A$5:$A$204&lt;&gt;"")*(B_Drainage!$A$5:$A$204&lt;=$B550)*(B_Drainage!$B$5:$B$204&gt;$B550)*(B_Drainage!$D$5:$D$204&lt;&gt;"")),IF(B_Drainage!$D$5:$D$204="-","",UPPER(B_Drainage!$D$5:$D$204))),"")</f>
        <v/>
      </c>
      <c r="R550" s="182" t="str">
        <f>IFERROR(LOOKUP(2,1/((D_Points!$A$5:$A$204&lt;&gt;"")*(D_Points!$A$5:$A$204&gt;=$B550)*(D_Points!$A$5:$A$204&lt;$B550+P_Interval)*(RIGHT(UPPER(TRIM(D_Points!$B$5:$B$204)),8)="_CULVERT")),IF(LEFT(UPPER(TRIM(D_Points!$B$5:$B$204)),2)="EX",1,IF(LEFT(UPPER(TRIM(D_Points!$B$5:$B$204)),2)="PR",2,3))),"")</f>
        <v/>
      </c>
      <c r="S550" s="182" t="str">
        <f>IFERROR(LOOKUP(2,1/((D_Points!$A$5:$A$204&lt;&gt;"")*(D_Points!$A$5:$A$204&gt;=$B550)*(D_Points!$A$5:$A$204&lt;$B550+P_Interval)*(RIGHT(UPPER(TRIM(D_Points!$B$5:$B$204)),7)="_BRIDGE")),IF(LEFT(UPPER(TRIM(D_Points!$B$5:$B$204)),2)="EX",1,IF(LEFT(UPPER(TRIM(D_Points!$B$5:$B$204)),2)="PR",2,2))),"")</f>
        <v/>
      </c>
      <c r="T550" s="181" t="str">
        <f>IFERROR(LOOKUP(2,1/((B_Drainage!$A$5:$A$204&lt;&gt;"")*(B_Drainage!$A$5:$A$204&lt;=$B550)*(B_Drainage!$B$5:$B$204&gt;$B550)*(B_Drainage!$E$5:$E$204&lt;&gt;"")),IF(B_Drainage!$E$5:$E$204="-","",1)),"")</f>
        <v/>
      </c>
      <c r="U550" s="181" t="str">
        <f>IFERROR(LOOKUP(2,1/((B_Drainage!$A$5:$A$204&lt;&gt;"")*(B_Drainage!$A$5:$A$204&lt;=$B550)*(B_Drainage!$B$5:$B$204&gt;$B550)*(B_Drainage!$E$5:$E$204&lt;&gt;"")),IF(B_Drainage!$E$5:$E$204="-","",B_Drainage!$E$5:$E$204)),"")</f>
        <v/>
      </c>
      <c r="V550" s="181" t="str">
        <f>IFERROR(LOOKUP(2,1/((B_Drainage!$A$5:$A$204&lt;&gt;"")*(B_Drainage!$A$5:$A$204&lt;=$B550)*(B_Drainage!$B$5:$B$204&gt;$B550)*(B_Drainage!$F$5:$F$204&lt;&gt;"")),IF(B_Drainage!$F$5:$F$204="-","",1)),"")</f>
        <v/>
      </c>
      <c r="W550" s="181" t="str">
        <f>IFERROR(LOOKUP(2,1/((B_Drainage!$A$5:$A$204&lt;&gt;"")*(B_Drainage!$A$5:$A$204&lt;=$B550)*(B_Drainage!$B$5:$B$204&gt;$B550)*(B_Drainage!$F$5:$F$204&lt;&gt;"")),IF(B_Drainage!$F$5:$F$204="-","",B_Drainage!$F$5:$F$204)),"")</f>
        <v/>
      </c>
      <c r="X550" s="181" t="str">
        <f>IFERROR(LOOKUP(2,1/((B_Drainage!$A$5:$A$204&lt;&gt;"")*(B_Drainage!$A$5:$A$204&lt;=$B550)*(B_Drainage!$B$5:$B$204&gt;$B550)*(B_Drainage!$G$5:$G$204&lt;&gt;"")),IF(UPPER(B_Drainage!$G$5:$G$204)="Y",1,"")),"")</f>
        <v/>
      </c>
      <c r="Y550" s="181" t="str">
        <f>IFERROR(LOOKUP(2,1/((B_Drainage!$A$5:$A$204&lt;&gt;"")*(B_Drainage!$A$5:$A$204&lt;=$B550)*(B_Drainage!$B$5:$B$204&gt;$B550)*(B_Drainage!$H$5:$H$204&lt;&gt;"")),IF(UPPER(B_Drainage!$H$5:$H$204)="Y",1,"")),"")</f>
        <v/>
      </c>
      <c r="Z550" s="181" t="str">
        <f>IFERROR(LOOKUP(2,1/((B_Drainage!$A$5:$A$204&lt;&gt;"")*(B_Drainage!$A$5:$A$204&lt;=$B550)*(B_Drainage!$B$5:$B$204&gt;$B550)*(B_Drainage!$I$5:$I$204&lt;&gt;"")),IF(UPPER(B_Drainage!$I$5:$I$204)="Y",1,"")),"")</f>
        <v/>
      </c>
      <c r="AA550" s="181" t="str">
        <f>IFERROR(LOOKUP(2,1/((B_Drainage!$A$5:$A$204&lt;&gt;"")*(B_Drainage!$A$5:$A$204&lt;=$B550)*(B_Drainage!$B$5:$B$204&gt;$B550)*(B_Drainage!$J$5:$J$204&lt;&gt;"")),IF(UPPER(B_Drainage!$J$5:$J$204)="Y",1,"")),"")</f>
        <v/>
      </c>
      <c r="AB550" s="182" t="str">
        <f>IFERROR(LOOKUP(2,1/((B_Drainage!$A$5:$A$204&lt;&gt;"")*(B_Drainage!$A$5:$A$204&lt;=$B550)*(B_Drainage!$B$5:$B$204&gt;$B550)*(B_Drainage!$K$5:$K$204&lt;&gt;"")),IF(B_Drainage!$K$5:$K$204="-","",B_Drainage!$K$5:$K$204)),"")</f>
        <v/>
      </c>
      <c r="AC550" s="182" t="str">
        <f>IFERROR(LOOKUP(2,1/((B_Drainage!$A$5:$A$204&lt;&gt;"")*(B_Drainage!$A$5:$A$204&lt;=$B550)*(B_Drainage!$B$5:$B$204&gt;$B550)*(B_Drainage!$L$5:$L$204&lt;&gt;"")),IF(B_Drainage!$L$5:$L$204="-","",B_Drainage!$L$5:$L$204)),"")</f>
        <v/>
      </c>
      <c r="AD550" s="182" t="str">
        <f>IFERROR(LOOKUP(2,1/((D_Points!$A$5:$A$204&lt;&gt;"")*(D_Points!$A$5:$A$204&gt;=$B550)*(D_Points!$A$5:$A$204&lt;$B550+P_Interval)*(UPPER(TRIM(D_Points!$B$5:$B$204))="TURNOUT_L")*(D_Points!$H$5:$H$204&lt;&gt;"")),D_Points!$H$5:$H$204),"")</f>
        <v/>
      </c>
      <c r="AE550" s="182" t="str">
        <f>IFERROR(LOOKUP(2,1/((D_Points!$A$5:$A$204&lt;&gt;"")*(D_Points!$A$5:$A$204&gt;=$B550)*(D_Points!$A$5:$A$204&lt;$B550+P_Interval)*(UPPER(TRIM(D_Points!$B$5:$B$204))="TURNOUT_R")*(D_Points!$H$5:$H$204&lt;&gt;"")),D_Points!$H$5:$H$204),"")</f>
        <v/>
      </c>
      <c r="AF550" s="181" t="str">
        <f>IFERROR(LOOKUP(2,1/((B_Drainage!$A$5:$A$204&lt;&gt;"")*(B_Drainage!$A$5:$A$204&lt;=$B550)*(B_Drainage!$B$5:$B$204&gt;$B550)*(B_Drainage!$M$5:$M$204&lt;&gt;"")),IF(UPPER(B_Drainage!$M$5:$M$204)="Y",1,"")),"")</f>
        <v/>
      </c>
      <c r="AG550" s="181" t="str">
        <f>IFERROR(LOOKUP(2,1/((B_Drainage!$A$5:$A$204&lt;&gt;"")*(B_Drainage!$A$5:$A$204&lt;=$B550)*(B_Drainage!$B$5:$B$204&gt;$B550)*(B_Drainage!$N$5:$N$204&lt;&gt;"")),IF(UPPER(B_Drainage!$N$5:$N$204)="Y",1,"")),"")</f>
        <v/>
      </c>
      <c r="AH550" s="181" t="str">
        <f t="shared" si="64"/>
        <v/>
      </c>
      <c r="AI550" s="181" t="str">
        <f t="shared" si="65"/>
        <v/>
      </c>
      <c r="AJ550" s="181" t="str">
        <f t="shared" si="66"/>
        <v/>
      </c>
      <c r="AK550" s="181" t="str">
        <f t="shared" si="67"/>
        <v/>
      </c>
      <c r="AL550" s="181" t="str">
        <f t="shared" si="68"/>
        <v/>
      </c>
      <c r="AM550" s="181" t="str">
        <f t="shared" si="69"/>
        <v/>
      </c>
      <c r="AN550" s="181" t="str">
        <f t="shared" si="70"/>
        <v/>
      </c>
      <c r="AO550" s="192" t="str">
        <f t="shared" si="71"/>
        <v/>
      </c>
      <c r="AQ550" t="str">
        <f>IFERROR(LOOKUP(2,1/((C_Pavement!$A$5:$A$204&lt;&gt;"")*(C_Pavement!$A$5:$A$204&lt;=$B550)*(C_Pavement!$B$5:$B$204&gt;$B550)*(C_Pavement!$C$5:$C$204&lt;&gt;"")),ROW(C_Pavement!$C$5:$C$204)-4),"")</f>
        <v/>
      </c>
      <c r="AR550" t="str">
        <f>IF($AQ550="","",UPPER(TRIM(INDEX(C_Pavement!$C$5:$C$204,$AQ550))))</f>
        <v/>
      </c>
      <c r="AS550" t="str">
        <f>IF($AR550="","",IFERROR(MATCH($AR550,E_Rules!$A$5:$A$9,0),""))</f>
        <v/>
      </c>
      <c r="AT550" t="str">
        <f>IF($AQ550="","",IF(INDEX(C_Pavement!$D$5:$D$204,$AQ550)&lt;&gt;"",UPPER(TRIM(INDEX(C_Pavement!$D$5:$D$204,$AQ550))),IF($AS550="","",INDEX(E_Rules!$C$5:$C$9,$AS550))))</f>
        <v/>
      </c>
      <c r="AU550" t="str">
        <f>IF($AQ550="","",IF(INDEX(C_Pavement!$E$5:$E$204,$AQ550)&lt;&gt;"",IF(INDEX(C_Pavement!$E$5:$E$204,$AQ550)="-","",INDEX(C_Pavement!$E$5:$E$204,$AQ550)),IF($AS550="","",INDEX(E_Rules!$D$5:$D$9,$AS550))))</f>
        <v/>
      </c>
      <c r="AV550" t="str">
        <f>IF($AQ550="","",IF(INDEX(C_Pavement!$F$5:$F$204,$AQ550)&lt;&gt;"",IF(INDEX(C_Pavement!$F$5:$F$204,$AQ550)="-","",INDEX(C_Pavement!$F$5:$F$204,$AQ550)),IF($AS550="","",INDEX(E_Rules!$E$5:$E$9,$AS550))))</f>
        <v/>
      </c>
      <c r="AW550" t="str">
        <f>IF($AQ550="","",IF(INDEX(C_Pavement!$G$5:$G$204,$AQ550)&lt;&gt;"",IF(INDEX(C_Pavement!$G$5:$G$204,$AQ550)="-","",INDEX(C_Pavement!$G$5:$G$204,$AQ550)),IF($AS550="","",INDEX(E_Rules!$F$5:$F$9,$AS550))))</f>
        <v/>
      </c>
      <c r="AX550" t="str">
        <f>IF($AQ550="","",IF(INDEX(C_Pavement!$H$5:$H$204,$AQ550)&lt;&gt;"",IF(INDEX(C_Pavement!$H$5:$H$204,$AQ550)="-","",INDEX(C_Pavement!$H$5:$H$204,$AQ550)),IF($AS550="","",INDEX(E_Rules!$G$5:$G$9,$AS550))))</f>
        <v/>
      </c>
      <c r="AY550" t="str">
        <f>IF($AQ550="","",IF(INDEX(C_Pavement!$I$5:$I$204,$AQ550)&lt;&gt;"",IF(INDEX(C_Pavement!$I$5:$I$204,$AQ550)="-","",INDEX(C_Pavement!$I$5:$I$204,$AQ550)),IF($AS550="","",INDEX(E_Rules!$H$5:$H$9,$AS550))))</f>
        <v/>
      </c>
    </row>
    <row r="551" spans="1:51" ht="15.75" customHeight="1" x14ac:dyDescent="0.3">
      <c r="A551" s="189">
        <v>546</v>
      </c>
      <c r="B551" s="180">
        <v>27250</v>
      </c>
      <c r="C551" s="180" t="s">
        <v>857</v>
      </c>
      <c r="D551" s="181" t="str">
        <f>IFERROR(LOOKUP(2,1/((A_Corridor!$A$5:$A$204&lt;&gt;"")*(A_Corridor!$A$5:$A$204&lt;=$B551)*(A_Corridor!$B$5:$B$204&gt;$B551)*(A_Corridor!$C$5:$C$204&lt;&gt;"")),IF(UPPER(A_Corridor!$C$5:$C$204)="Y",1,"")),"")</f>
        <v/>
      </c>
      <c r="E551" s="181" t="str">
        <f>IFERROR(LOOKUP(2,1/((A_Corridor!$A$5:$A$204&lt;&gt;"")*(A_Corridor!$A$5:$A$204&lt;=$B551)*(A_Corridor!$B$5:$B$204&gt;$B551)*(A_Corridor!$D$5:$D$204&lt;&gt;"")),IF(A_Corridor!$D$5:$D$204="-","",UPPER(A_Corridor!$D$5:$D$204))),"")</f>
        <v/>
      </c>
      <c r="F551" s="181" t="str">
        <f>IFERROR(LOOKUP(2,1/((A_Corridor!$A$5:$A$204&lt;&gt;"")*(A_Corridor!$A$5:$A$204&lt;=$B551)*(A_Corridor!$B$5:$B$204&gt;$B551)*(A_Corridor!$E$5:$E$204&lt;&gt;"")),IF(A_Corridor!$E$5:$E$204="-","",1)),"")</f>
        <v/>
      </c>
      <c r="G551" s="182" t="str">
        <f>IFERROR(LOOKUP(2,1/((A_Corridor!$A$5:$A$204&lt;&gt;"")*(A_Corridor!$A$5:$A$204&lt;=$B551)*(A_Corridor!$B$5:$B$204&gt;$B551)*(A_Corridor!$E$5:$E$204&lt;&gt;"")),IF(A_Corridor!$E$5:$E$204="-","",A_Corridor!$E$5:$E$204)),"")</f>
        <v/>
      </c>
      <c r="H551" s="182" t="str">
        <f>IFERROR(LOOKUP(2,1/((D_Points!$A$5:$A$204&lt;&gt;"")*(D_Points!$A$5:$A$204&gt;=$B551)*(D_Points!$A$5:$A$204&lt;$B551+P_Interval)*(UPPER(TRIM(D_Points!$B$5:$B$204))="GULLY")*(D_Points!$H$5:$H$204&lt;&gt;"")),D_Points!$H$5:$H$204),"")</f>
        <v/>
      </c>
      <c r="I551" s="181" t="str">
        <f>IFERROR(LOOKUP(2,1/((A_Corridor!$A$5:$A$204&lt;&gt;"")*(A_Corridor!$A$5:$A$204&lt;=$B551)*(A_Corridor!$B$5:$B$204&gt;$B551)*(A_Corridor!$F$5:$F$204&lt;&gt;"")),IF(A_Corridor!$F$5:$F$204="-","",1)),"")</f>
        <v/>
      </c>
      <c r="J551" s="182" t="str">
        <f>IFERROR(LOOKUP(2,1/((A_Corridor!$A$5:$A$204&lt;&gt;"")*(A_Corridor!$A$5:$A$204&lt;=$B551)*(A_Corridor!$B$5:$B$204&gt;$B551)*(A_Corridor!$F$5:$F$204&lt;&gt;"")),IF(A_Corridor!$F$5:$F$204="-","",A_Corridor!$F$5:$F$204)),"")</f>
        <v/>
      </c>
      <c r="K551" s="182" t="str">
        <f>IFERROR(LOOKUP(2,1/((A_Corridor!$A$5:$A$204&lt;&gt;"")*(A_Corridor!$A$5:$A$204&lt;=$B551)*(A_Corridor!$B$5:$B$204&gt;$B551)*(A_Corridor!$G$5:$G$204&lt;&gt;"")),IF(A_Corridor!$G$5:$G$204="-","",A_Corridor!$G$5:$G$204)),"")</f>
        <v/>
      </c>
      <c r="L551" s="181" t="str">
        <f>IFERROR(LOOKUP(2,1/((A_Corridor!$A$5:$A$204&lt;&gt;"")*(A_Corridor!$A$5:$A$204&lt;=$B551)*(A_Corridor!$B$5:$B$204&gt;$B551)*(A_Corridor!$H$5:$H$204&lt;&gt;"")),IF(A_Corridor!$H$5:$H$204="-","",1)),"")</f>
        <v/>
      </c>
      <c r="M551" s="182" t="str">
        <f>IFERROR(LOOKUP(2,1/((A_Corridor!$A$5:$A$204&lt;&gt;"")*(A_Corridor!$A$5:$A$204&lt;=$B551)*(A_Corridor!$B$5:$B$204&gt;$B551)*(A_Corridor!$H$5:$H$204&lt;&gt;"")),IF(A_Corridor!$H$5:$H$204="-","",A_Corridor!$H$5:$H$204)),"")</f>
        <v/>
      </c>
      <c r="N551" s="182" t="str">
        <f>IFERROR(LOOKUP(2,1/((A_Corridor!$A$5:$A$204&lt;&gt;"")*(A_Corridor!$A$5:$A$204&lt;=$B551)*(A_Corridor!$B$5:$B$204&gt;$B551)*(A_Corridor!$I$5:$I$204&lt;&gt;"")),IF(A_Corridor!$I$5:$I$204="-","",A_Corridor!$I$5:$I$204)),"")</f>
        <v/>
      </c>
      <c r="O551" s="182" t="str">
        <f>IFERROR(LOOKUP(2,1/((D_Points!$A$5:$A$204&lt;&gt;"")*(D_Points!$A$5:$A$204&gt;=$B551)*(D_Points!$A$5:$A$204&lt;$B551+P_Interval)*(UPPER(TRIM(D_Points!$B$5:$B$204))="PITCHING")*(D_Points!$H$5:$H$204&lt;&gt;"")),D_Points!$H$5:$H$204),"")</f>
        <v/>
      </c>
      <c r="P551" s="181" t="str">
        <f>IFERROR(LOOKUP(2,1/((B_Drainage!$A$5:$A$204&lt;&gt;"")*(B_Drainage!$A$5:$A$204&lt;=$B551)*(B_Drainage!$B$5:$B$204&gt;$B551)*(B_Drainage!$C$5:$C$204&lt;&gt;"")),IF(B_Drainage!$C$5:$C$204="-","",UPPER(B_Drainage!$C$5:$C$204))),"")</f>
        <v/>
      </c>
      <c r="Q551" s="181" t="str">
        <f>IFERROR(LOOKUP(2,1/((B_Drainage!$A$5:$A$204&lt;&gt;"")*(B_Drainage!$A$5:$A$204&lt;=$B551)*(B_Drainage!$B$5:$B$204&gt;$B551)*(B_Drainage!$D$5:$D$204&lt;&gt;"")),IF(B_Drainage!$D$5:$D$204="-","",UPPER(B_Drainage!$D$5:$D$204))),"")</f>
        <v/>
      </c>
      <c r="R551" s="182" t="str">
        <f>IFERROR(LOOKUP(2,1/((D_Points!$A$5:$A$204&lt;&gt;"")*(D_Points!$A$5:$A$204&gt;=$B551)*(D_Points!$A$5:$A$204&lt;$B551+P_Interval)*(RIGHT(UPPER(TRIM(D_Points!$B$5:$B$204)),8)="_CULVERT")),IF(LEFT(UPPER(TRIM(D_Points!$B$5:$B$204)),2)="EX",1,IF(LEFT(UPPER(TRIM(D_Points!$B$5:$B$204)),2)="PR",2,3))),"")</f>
        <v/>
      </c>
      <c r="S551" s="182" t="str">
        <f>IFERROR(LOOKUP(2,1/((D_Points!$A$5:$A$204&lt;&gt;"")*(D_Points!$A$5:$A$204&gt;=$B551)*(D_Points!$A$5:$A$204&lt;$B551+P_Interval)*(RIGHT(UPPER(TRIM(D_Points!$B$5:$B$204)),7)="_BRIDGE")),IF(LEFT(UPPER(TRIM(D_Points!$B$5:$B$204)),2)="EX",1,IF(LEFT(UPPER(TRIM(D_Points!$B$5:$B$204)),2)="PR",2,2))),"")</f>
        <v/>
      </c>
      <c r="T551" s="181" t="str">
        <f>IFERROR(LOOKUP(2,1/((B_Drainage!$A$5:$A$204&lt;&gt;"")*(B_Drainage!$A$5:$A$204&lt;=$B551)*(B_Drainage!$B$5:$B$204&gt;$B551)*(B_Drainage!$E$5:$E$204&lt;&gt;"")),IF(B_Drainage!$E$5:$E$204="-","",1)),"")</f>
        <v/>
      </c>
      <c r="U551" s="181" t="str">
        <f>IFERROR(LOOKUP(2,1/((B_Drainage!$A$5:$A$204&lt;&gt;"")*(B_Drainage!$A$5:$A$204&lt;=$B551)*(B_Drainage!$B$5:$B$204&gt;$B551)*(B_Drainage!$E$5:$E$204&lt;&gt;"")),IF(B_Drainage!$E$5:$E$204="-","",B_Drainage!$E$5:$E$204)),"")</f>
        <v/>
      </c>
      <c r="V551" s="181" t="str">
        <f>IFERROR(LOOKUP(2,1/((B_Drainage!$A$5:$A$204&lt;&gt;"")*(B_Drainage!$A$5:$A$204&lt;=$B551)*(B_Drainage!$B$5:$B$204&gt;$B551)*(B_Drainage!$F$5:$F$204&lt;&gt;"")),IF(B_Drainage!$F$5:$F$204="-","",1)),"")</f>
        <v/>
      </c>
      <c r="W551" s="181" t="str">
        <f>IFERROR(LOOKUP(2,1/((B_Drainage!$A$5:$A$204&lt;&gt;"")*(B_Drainage!$A$5:$A$204&lt;=$B551)*(B_Drainage!$B$5:$B$204&gt;$B551)*(B_Drainage!$F$5:$F$204&lt;&gt;"")),IF(B_Drainage!$F$5:$F$204="-","",B_Drainage!$F$5:$F$204)),"")</f>
        <v/>
      </c>
      <c r="X551" s="181" t="str">
        <f>IFERROR(LOOKUP(2,1/((B_Drainage!$A$5:$A$204&lt;&gt;"")*(B_Drainage!$A$5:$A$204&lt;=$B551)*(B_Drainage!$B$5:$B$204&gt;$B551)*(B_Drainage!$G$5:$G$204&lt;&gt;"")),IF(UPPER(B_Drainage!$G$5:$G$204)="Y",1,"")),"")</f>
        <v/>
      </c>
      <c r="Y551" s="181" t="str">
        <f>IFERROR(LOOKUP(2,1/((B_Drainage!$A$5:$A$204&lt;&gt;"")*(B_Drainage!$A$5:$A$204&lt;=$B551)*(B_Drainage!$B$5:$B$204&gt;$B551)*(B_Drainage!$H$5:$H$204&lt;&gt;"")),IF(UPPER(B_Drainage!$H$5:$H$204)="Y",1,"")),"")</f>
        <v/>
      </c>
      <c r="Z551" s="181" t="str">
        <f>IFERROR(LOOKUP(2,1/((B_Drainage!$A$5:$A$204&lt;&gt;"")*(B_Drainage!$A$5:$A$204&lt;=$B551)*(B_Drainage!$B$5:$B$204&gt;$B551)*(B_Drainage!$I$5:$I$204&lt;&gt;"")),IF(UPPER(B_Drainage!$I$5:$I$204)="Y",1,"")),"")</f>
        <v/>
      </c>
      <c r="AA551" s="181" t="str">
        <f>IFERROR(LOOKUP(2,1/((B_Drainage!$A$5:$A$204&lt;&gt;"")*(B_Drainage!$A$5:$A$204&lt;=$B551)*(B_Drainage!$B$5:$B$204&gt;$B551)*(B_Drainage!$J$5:$J$204&lt;&gt;"")),IF(UPPER(B_Drainage!$J$5:$J$204)="Y",1,"")),"")</f>
        <v/>
      </c>
      <c r="AB551" s="182" t="str">
        <f>IFERROR(LOOKUP(2,1/((B_Drainage!$A$5:$A$204&lt;&gt;"")*(B_Drainage!$A$5:$A$204&lt;=$B551)*(B_Drainage!$B$5:$B$204&gt;$B551)*(B_Drainage!$K$5:$K$204&lt;&gt;"")),IF(B_Drainage!$K$5:$K$204="-","",B_Drainage!$K$5:$K$204)),"")</f>
        <v/>
      </c>
      <c r="AC551" s="182" t="str">
        <f>IFERROR(LOOKUP(2,1/((B_Drainage!$A$5:$A$204&lt;&gt;"")*(B_Drainage!$A$5:$A$204&lt;=$B551)*(B_Drainage!$B$5:$B$204&gt;$B551)*(B_Drainage!$L$5:$L$204&lt;&gt;"")),IF(B_Drainage!$L$5:$L$204="-","",B_Drainage!$L$5:$L$204)),"")</f>
        <v/>
      </c>
      <c r="AD551" s="182" t="str">
        <f>IFERROR(LOOKUP(2,1/((D_Points!$A$5:$A$204&lt;&gt;"")*(D_Points!$A$5:$A$204&gt;=$B551)*(D_Points!$A$5:$A$204&lt;$B551+P_Interval)*(UPPER(TRIM(D_Points!$B$5:$B$204))="TURNOUT_L")*(D_Points!$H$5:$H$204&lt;&gt;"")),D_Points!$H$5:$H$204),"")</f>
        <v/>
      </c>
      <c r="AE551" s="182" t="str">
        <f>IFERROR(LOOKUP(2,1/((D_Points!$A$5:$A$204&lt;&gt;"")*(D_Points!$A$5:$A$204&gt;=$B551)*(D_Points!$A$5:$A$204&lt;$B551+P_Interval)*(UPPER(TRIM(D_Points!$B$5:$B$204))="TURNOUT_R")*(D_Points!$H$5:$H$204&lt;&gt;"")),D_Points!$H$5:$H$204),"")</f>
        <v/>
      </c>
      <c r="AF551" s="181" t="str">
        <f>IFERROR(LOOKUP(2,1/((B_Drainage!$A$5:$A$204&lt;&gt;"")*(B_Drainage!$A$5:$A$204&lt;=$B551)*(B_Drainage!$B$5:$B$204&gt;$B551)*(B_Drainage!$M$5:$M$204&lt;&gt;"")),IF(UPPER(B_Drainage!$M$5:$M$204)="Y",1,"")),"")</f>
        <v/>
      </c>
      <c r="AG551" s="181" t="str">
        <f>IFERROR(LOOKUP(2,1/((B_Drainage!$A$5:$A$204&lt;&gt;"")*(B_Drainage!$A$5:$A$204&lt;=$B551)*(B_Drainage!$B$5:$B$204&gt;$B551)*(B_Drainage!$N$5:$N$204&lt;&gt;"")),IF(UPPER(B_Drainage!$N$5:$N$204)="Y",1,"")),"")</f>
        <v/>
      </c>
      <c r="AH551" s="181" t="str">
        <f t="shared" si="64"/>
        <v/>
      </c>
      <c r="AI551" s="181" t="str">
        <f t="shared" si="65"/>
        <v/>
      </c>
      <c r="AJ551" s="181" t="str">
        <f t="shared" si="66"/>
        <v/>
      </c>
      <c r="AK551" s="181" t="str">
        <f t="shared" si="67"/>
        <v/>
      </c>
      <c r="AL551" s="181" t="str">
        <f t="shared" si="68"/>
        <v/>
      </c>
      <c r="AM551" s="181" t="str">
        <f t="shared" si="69"/>
        <v/>
      </c>
      <c r="AN551" s="181" t="str">
        <f t="shared" si="70"/>
        <v/>
      </c>
      <c r="AO551" s="192" t="str">
        <f t="shared" si="71"/>
        <v/>
      </c>
      <c r="AQ551" t="str">
        <f>IFERROR(LOOKUP(2,1/((C_Pavement!$A$5:$A$204&lt;&gt;"")*(C_Pavement!$A$5:$A$204&lt;=$B551)*(C_Pavement!$B$5:$B$204&gt;$B551)*(C_Pavement!$C$5:$C$204&lt;&gt;"")),ROW(C_Pavement!$C$5:$C$204)-4),"")</f>
        <v/>
      </c>
      <c r="AR551" t="str">
        <f>IF($AQ551="","",UPPER(TRIM(INDEX(C_Pavement!$C$5:$C$204,$AQ551))))</f>
        <v/>
      </c>
      <c r="AS551" t="str">
        <f>IF($AR551="","",IFERROR(MATCH($AR551,E_Rules!$A$5:$A$9,0),""))</f>
        <v/>
      </c>
      <c r="AT551" t="str">
        <f>IF($AQ551="","",IF(INDEX(C_Pavement!$D$5:$D$204,$AQ551)&lt;&gt;"",UPPER(TRIM(INDEX(C_Pavement!$D$5:$D$204,$AQ551))),IF($AS551="","",INDEX(E_Rules!$C$5:$C$9,$AS551))))</f>
        <v/>
      </c>
      <c r="AU551" t="str">
        <f>IF($AQ551="","",IF(INDEX(C_Pavement!$E$5:$E$204,$AQ551)&lt;&gt;"",IF(INDEX(C_Pavement!$E$5:$E$204,$AQ551)="-","",INDEX(C_Pavement!$E$5:$E$204,$AQ551)),IF($AS551="","",INDEX(E_Rules!$D$5:$D$9,$AS551))))</f>
        <v/>
      </c>
      <c r="AV551" t="str">
        <f>IF($AQ551="","",IF(INDEX(C_Pavement!$F$5:$F$204,$AQ551)&lt;&gt;"",IF(INDEX(C_Pavement!$F$5:$F$204,$AQ551)="-","",INDEX(C_Pavement!$F$5:$F$204,$AQ551)),IF($AS551="","",INDEX(E_Rules!$E$5:$E$9,$AS551))))</f>
        <v/>
      </c>
      <c r="AW551" t="str">
        <f>IF($AQ551="","",IF(INDEX(C_Pavement!$G$5:$G$204,$AQ551)&lt;&gt;"",IF(INDEX(C_Pavement!$G$5:$G$204,$AQ551)="-","",INDEX(C_Pavement!$G$5:$G$204,$AQ551)),IF($AS551="","",INDEX(E_Rules!$F$5:$F$9,$AS551))))</f>
        <v/>
      </c>
      <c r="AX551" t="str">
        <f>IF($AQ551="","",IF(INDEX(C_Pavement!$H$5:$H$204,$AQ551)&lt;&gt;"",IF(INDEX(C_Pavement!$H$5:$H$204,$AQ551)="-","",INDEX(C_Pavement!$H$5:$H$204,$AQ551)),IF($AS551="","",INDEX(E_Rules!$G$5:$G$9,$AS551))))</f>
        <v/>
      </c>
      <c r="AY551" t="str">
        <f>IF($AQ551="","",IF(INDEX(C_Pavement!$I$5:$I$204,$AQ551)&lt;&gt;"",IF(INDEX(C_Pavement!$I$5:$I$204,$AQ551)="-","",INDEX(C_Pavement!$I$5:$I$204,$AQ551)),IF($AS551="","",INDEX(E_Rules!$H$5:$H$9,$AS551))))</f>
        <v/>
      </c>
    </row>
    <row r="552" spans="1:51" ht="15.75" customHeight="1" x14ac:dyDescent="0.3">
      <c r="A552" s="189">
        <v>547</v>
      </c>
      <c r="B552" s="180">
        <v>27300</v>
      </c>
      <c r="C552" s="180" t="s">
        <v>858</v>
      </c>
      <c r="D552" s="181" t="str">
        <f>IFERROR(LOOKUP(2,1/((A_Corridor!$A$5:$A$204&lt;&gt;"")*(A_Corridor!$A$5:$A$204&lt;=$B552)*(A_Corridor!$B$5:$B$204&gt;$B552)*(A_Corridor!$C$5:$C$204&lt;&gt;"")),IF(UPPER(A_Corridor!$C$5:$C$204)="Y",1,"")),"")</f>
        <v/>
      </c>
      <c r="E552" s="181" t="str">
        <f>IFERROR(LOOKUP(2,1/((A_Corridor!$A$5:$A$204&lt;&gt;"")*(A_Corridor!$A$5:$A$204&lt;=$B552)*(A_Corridor!$B$5:$B$204&gt;$B552)*(A_Corridor!$D$5:$D$204&lt;&gt;"")),IF(A_Corridor!$D$5:$D$204="-","",UPPER(A_Corridor!$D$5:$D$204))),"")</f>
        <v/>
      </c>
      <c r="F552" s="181" t="str">
        <f>IFERROR(LOOKUP(2,1/((A_Corridor!$A$5:$A$204&lt;&gt;"")*(A_Corridor!$A$5:$A$204&lt;=$B552)*(A_Corridor!$B$5:$B$204&gt;$B552)*(A_Corridor!$E$5:$E$204&lt;&gt;"")),IF(A_Corridor!$E$5:$E$204="-","",1)),"")</f>
        <v/>
      </c>
      <c r="G552" s="182" t="str">
        <f>IFERROR(LOOKUP(2,1/((A_Corridor!$A$5:$A$204&lt;&gt;"")*(A_Corridor!$A$5:$A$204&lt;=$B552)*(A_Corridor!$B$5:$B$204&gt;$B552)*(A_Corridor!$E$5:$E$204&lt;&gt;"")),IF(A_Corridor!$E$5:$E$204="-","",A_Corridor!$E$5:$E$204)),"")</f>
        <v/>
      </c>
      <c r="H552" s="182" t="str">
        <f>IFERROR(LOOKUP(2,1/((D_Points!$A$5:$A$204&lt;&gt;"")*(D_Points!$A$5:$A$204&gt;=$B552)*(D_Points!$A$5:$A$204&lt;$B552+P_Interval)*(UPPER(TRIM(D_Points!$B$5:$B$204))="GULLY")*(D_Points!$H$5:$H$204&lt;&gt;"")),D_Points!$H$5:$H$204),"")</f>
        <v/>
      </c>
      <c r="I552" s="181" t="str">
        <f>IFERROR(LOOKUP(2,1/((A_Corridor!$A$5:$A$204&lt;&gt;"")*(A_Corridor!$A$5:$A$204&lt;=$B552)*(A_Corridor!$B$5:$B$204&gt;$B552)*(A_Corridor!$F$5:$F$204&lt;&gt;"")),IF(A_Corridor!$F$5:$F$204="-","",1)),"")</f>
        <v/>
      </c>
      <c r="J552" s="182" t="str">
        <f>IFERROR(LOOKUP(2,1/((A_Corridor!$A$5:$A$204&lt;&gt;"")*(A_Corridor!$A$5:$A$204&lt;=$B552)*(A_Corridor!$B$5:$B$204&gt;$B552)*(A_Corridor!$F$5:$F$204&lt;&gt;"")),IF(A_Corridor!$F$5:$F$204="-","",A_Corridor!$F$5:$F$204)),"")</f>
        <v/>
      </c>
      <c r="K552" s="182" t="str">
        <f>IFERROR(LOOKUP(2,1/((A_Corridor!$A$5:$A$204&lt;&gt;"")*(A_Corridor!$A$5:$A$204&lt;=$B552)*(A_Corridor!$B$5:$B$204&gt;$B552)*(A_Corridor!$G$5:$G$204&lt;&gt;"")),IF(A_Corridor!$G$5:$G$204="-","",A_Corridor!$G$5:$G$204)),"")</f>
        <v/>
      </c>
      <c r="L552" s="181" t="str">
        <f>IFERROR(LOOKUP(2,1/((A_Corridor!$A$5:$A$204&lt;&gt;"")*(A_Corridor!$A$5:$A$204&lt;=$B552)*(A_Corridor!$B$5:$B$204&gt;$B552)*(A_Corridor!$H$5:$H$204&lt;&gt;"")),IF(A_Corridor!$H$5:$H$204="-","",1)),"")</f>
        <v/>
      </c>
      <c r="M552" s="182" t="str">
        <f>IFERROR(LOOKUP(2,1/((A_Corridor!$A$5:$A$204&lt;&gt;"")*(A_Corridor!$A$5:$A$204&lt;=$B552)*(A_Corridor!$B$5:$B$204&gt;$B552)*(A_Corridor!$H$5:$H$204&lt;&gt;"")),IF(A_Corridor!$H$5:$H$204="-","",A_Corridor!$H$5:$H$204)),"")</f>
        <v/>
      </c>
      <c r="N552" s="182" t="str">
        <f>IFERROR(LOOKUP(2,1/((A_Corridor!$A$5:$A$204&lt;&gt;"")*(A_Corridor!$A$5:$A$204&lt;=$B552)*(A_Corridor!$B$5:$B$204&gt;$B552)*(A_Corridor!$I$5:$I$204&lt;&gt;"")),IF(A_Corridor!$I$5:$I$204="-","",A_Corridor!$I$5:$I$204)),"")</f>
        <v/>
      </c>
      <c r="O552" s="182" t="str">
        <f>IFERROR(LOOKUP(2,1/((D_Points!$A$5:$A$204&lt;&gt;"")*(D_Points!$A$5:$A$204&gt;=$B552)*(D_Points!$A$5:$A$204&lt;$B552+P_Interval)*(UPPER(TRIM(D_Points!$B$5:$B$204))="PITCHING")*(D_Points!$H$5:$H$204&lt;&gt;"")),D_Points!$H$5:$H$204),"")</f>
        <v/>
      </c>
      <c r="P552" s="181" t="str">
        <f>IFERROR(LOOKUP(2,1/((B_Drainage!$A$5:$A$204&lt;&gt;"")*(B_Drainage!$A$5:$A$204&lt;=$B552)*(B_Drainage!$B$5:$B$204&gt;$B552)*(B_Drainage!$C$5:$C$204&lt;&gt;"")),IF(B_Drainage!$C$5:$C$204="-","",UPPER(B_Drainage!$C$5:$C$204))),"")</f>
        <v/>
      </c>
      <c r="Q552" s="181" t="str">
        <f>IFERROR(LOOKUP(2,1/((B_Drainage!$A$5:$A$204&lt;&gt;"")*(B_Drainage!$A$5:$A$204&lt;=$B552)*(B_Drainage!$B$5:$B$204&gt;$B552)*(B_Drainage!$D$5:$D$204&lt;&gt;"")),IF(B_Drainage!$D$5:$D$204="-","",UPPER(B_Drainage!$D$5:$D$204))),"")</f>
        <v/>
      </c>
      <c r="R552" s="182" t="str">
        <f>IFERROR(LOOKUP(2,1/((D_Points!$A$5:$A$204&lt;&gt;"")*(D_Points!$A$5:$A$204&gt;=$B552)*(D_Points!$A$5:$A$204&lt;$B552+P_Interval)*(RIGHT(UPPER(TRIM(D_Points!$B$5:$B$204)),8)="_CULVERT")),IF(LEFT(UPPER(TRIM(D_Points!$B$5:$B$204)),2)="EX",1,IF(LEFT(UPPER(TRIM(D_Points!$B$5:$B$204)),2)="PR",2,3))),"")</f>
        <v/>
      </c>
      <c r="S552" s="182" t="str">
        <f>IFERROR(LOOKUP(2,1/((D_Points!$A$5:$A$204&lt;&gt;"")*(D_Points!$A$5:$A$204&gt;=$B552)*(D_Points!$A$5:$A$204&lt;$B552+P_Interval)*(RIGHT(UPPER(TRIM(D_Points!$B$5:$B$204)),7)="_BRIDGE")),IF(LEFT(UPPER(TRIM(D_Points!$B$5:$B$204)),2)="EX",1,IF(LEFT(UPPER(TRIM(D_Points!$B$5:$B$204)),2)="PR",2,2))),"")</f>
        <v/>
      </c>
      <c r="T552" s="181" t="str">
        <f>IFERROR(LOOKUP(2,1/((B_Drainage!$A$5:$A$204&lt;&gt;"")*(B_Drainage!$A$5:$A$204&lt;=$B552)*(B_Drainage!$B$5:$B$204&gt;$B552)*(B_Drainage!$E$5:$E$204&lt;&gt;"")),IF(B_Drainage!$E$5:$E$204="-","",1)),"")</f>
        <v/>
      </c>
      <c r="U552" s="181" t="str">
        <f>IFERROR(LOOKUP(2,1/((B_Drainage!$A$5:$A$204&lt;&gt;"")*(B_Drainage!$A$5:$A$204&lt;=$B552)*(B_Drainage!$B$5:$B$204&gt;$B552)*(B_Drainage!$E$5:$E$204&lt;&gt;"")),IF(B_Drainage!$E$5:$E$204="-","",B_Drainage!$E$5:$E$204)),"")</f>
        <v/>
      </c>
      <c r="V552" s="181" t="str">
        <f>IFERROR(LOOKUP(2,1/((B_Drainage!$A$5:$A$204&lt;&gt;"")*(B_Drainage!$A$5:$A$204&lt;=$B552)*(B_Drainage!$B$5:$B$204&gt;$B552)*(B_Drainage!$F$5:$F$204&lt;&gt;"")),IF(B_Drainage!$F$5:$F$204="-","",1)),"")</f>
        <v/>
      </c>
      <c r="W552" s="181" t="str">
        <f>IFERROR(LOOKUP(2,1/((B_Drainage!$A$5:$A$204&lt;&gt;"")*(B_Drainage!$A$5:$A$204&lt;=$B552)*(B_Drainage!$B$5:$B$204&gt;$B552)*(B_Drainage!$F$5:$F$204&lt;&gt;"")),IF(B_Drainage!$F$5:$F$204="-","",B_Drainage!$F$5:$F$204)),"")</f>
        <v/>
      </c>
      <c r="X552" s="181" t="str">
        <f>IFERROR(LOOKUP(2,1/((B_Drainage!$A$5:$A$204&lt;&gt;"")*(B_Drainage!$A$5:$A$204&lt;=$B552)*(B_Drainage!$B$5:$B$204&gt;$B552)*(B_Drainage!$G$5:$G$204&lt;&gt;"")),IF(UPPER(B_Drainage!$G$5:$G$204)="Y",1,"")),"")</f>
        <v/>
      </c>
      <c r="Y552" s="181" t="str">
        <f>IFERROR(LOOKUP(2,1/((B_Drainage!$A$5:$A$204&lt;&gt;"")*(B_Drainage!$A$5:$A$204&lt;=$B552)*(B_Drainage!$B$5:$B$204&gt;$B552)*(B_Drainage!$H$5:$H$204&lt;&gt;"")),IF(UPPER(B_Drainage!$H$5:$H$204)="Y",1,"")),"")</f>
        <v/>
      </c>
      <c r="Z552" s="181" t="str">
        <f>IFERROR(LOOKUP(2,1/((B_Drainage!$A$5:$A$204&lt;&gt;"")*(B_Drainage!$A$5:$A$204&lt;=$B552)*(B_Drainage!$B$5:$B$204&gt;$B552)*(B_Drainage!$I$5:$I$204&lt;&gt;"")),IF(UPPER(B_Drainage!$I$5:$I$204)="Y",1,"")),"")</f>
        <v/>
      </c>
      <c r="AA552" s="181" t="str">
        <f>IFERROR(LOOKUP(2,1/((B_Drainage!$A$5:$A$204&lt;&gt;"")*(B_Drainage!$A$5:$A$204&lt;=$B552)*(B_Drainage!$B$5:$B$204&gt;$B552)*(B_Drainage!$J$5:$J$204&lt;&gt;"")),IF(UPPER(B_Drainage!$J$5:$J$204)="Y",1,"")),"")</f>
        <v/>
      </c>
      <c r="AB552" s="182" t="str">
        <f>IFERROR(LOOKUP(2,1/((B_Drainage!$A$5:$A$204&lt;&gt;"")*(B_Drainage!$A$5:$A$204&lt;=$B552)*(B_Drainage!$B$5:$B$204&gt;$B552)*(B_Drainage!$K$5:$K$204&lt;&gt;"")),IF(B_Drainage!$K$5:$K$204="-","",B_Drainage!$K$5:$K$204)),"")</f>
        <v/>
      </c>
      <c r="AC552" s="182" t="str">
        <f>IFERROR(LOOKUP(2,1/((B_Drainage!$A$5:$A$204&lt;&gt;"")*(B_Drainage!$A$5:$A$204&lt;=$B552)*(B_Drainage!$B$5:$B$204&gt;$B552)*(B_Drainage!$L$5:$L$204&lt;&gt;"")),IF(B_Drainage!$L$5:$L$204="-","",B_Drainage!$L$5:$L$204)),"")</f>
        <v/>
      </c>
      <c r="AD552" s="182" t="str">
        <f>IFERROR(LOOKUP(2,1/((D_Points!$A$5:$A$204&lt;&gt;"")*(D_Points!$A$5:$A$204&gt;=$B552)*(D_Points!$A$5:$A$204&lt;$B552+P_Interval)*(UPPER(TRIM(D_Points!$B$5:$B$204))="TURNOUT_L")*(D_Points!$H$5:$H$204&lt;&gt;"")),D_Points!$H$5:$H$204),"")</f>
        <v/>
      </c>
      <c r="AE552" s="182" t="str">
        <f>IFERROR(LOOKUP(2,1/((D_Points!$A$5:$A$204&lt;&gt;"")*(D_Points!$A$5:$A$204&gt;=$B552)*(D_Points!$A$5:$A$204&lt;$B552+P_Interval)*(UPPER(TRIM(D_Points!$B$5:$B$204))="TURNOUT_R")*(D_Points!$H$5:$H$204&lt;&gt;"")),D_Points!$H$5:$H$204),"")</f>
        <v/>
      </c>
      <c r="AF552" s="181" t="str">
        <f>IFERROR(LOOKUP(2,1/((B_Drainage!$A$5:$A$204&lt;&gt;"")*(B_Drainage!$A$5:$A$204&lt;=$B552)*(B_Drainage!$B$5:$B$204&gt;$B552)*(B_Drainage!$M$5:$M$204&lt;&gt;"")),IF(UPPER(B_Drainage!$M$5:$M$204)="Y",1,"")),"")</f>
        <v/>
      </c>
      <c r="AG552" s="181" t="str">
        <f>IFERROR(LOOKUP(2,1/((B_Drainage!$A$5:$A$204&lt;&gt;"")*(B_Drainage!$A$5:$A$204&lt;=$B552)*(B_Drainage!$B$5:$B$204&gt;$B552)*(B_Drainage!$N$5:$N$204&lt;&gt;"")),IF(UPPER(B_Drainage!$N$5:$N$204)="Y",1,"")),"")</f>
        <v/>
      </c>
      <c r="AH552" s="181" t="str">
        <f t="shared" si="64"/>
        <v/>
      </c>
      <c r="AI552" s="181" t="str">
        <f t="shared" si="65"/>
        <v/>
      </c>
      <c r="AJ552" s="181" t="str">
        <f t="shared" si="66"/>
        <v/>
      </c>
      <c r="AK552" s="181" t="str">
        <f t="shared" si="67"/>
        <v/>
      </c>
      <c r="AL552" s="181" t="str">
        <f t="shared" si="68"/>
        <v/>
      </c>
      <c r="AM552" s="181" t="str">
        <f t="shared" si="69"/>
        <v/>
      </c>
      <c r="AN552" s="181" t="str">
        <f t="shared" si="70"/>
        <v/>
      </c>
      <c r="AO552" s="192" t="str">
        <f t="shared" si="71"/>
        <v/>
      </c>
      <c r="AQ552" t="str">
        <f>IFERROR(LOOKUP(2,1/((C_Pavement!$A$5:$A$204&lt;&gt;"")*(C_Pavement!$A$5:$A$204&lt;=$B552)*(C_Pavement!$B$5:$B$204&gt;$B552)*(C_Pavement!$C$5:$C$204&lt;&gt;"")),ROW(C_Pavement!$C$5:$C$204)-4),"")</f>
        <v/>
      </c>
      <c r="AR552" t="str">
        <f>IF($AQ552="","",UPPER(TRIM(INDEX(C_Pavement!$C$5:$C$204,$AQ552))))</f>
        <v/>
      </c>
      <c r="AS552" t="str">
        <f>IF($AR552="","",IFERROR(MATCH($AR552,E_Rules!$A$5:$A$9,0),""))</f>
        <v/>
      </c>
      <c r="AT552" t="str">
        <f>IF($AQ552="","",IF(INDEX(C_Pavement!$D$5:$D$204,$AQ552)&lt;&gt;"",UPPER(TRIM(INDEX(C_Pavement!$D$5:$D$204,$AQ552))),IF($AS552="","",INDEX(E_Rules!$C$5:$C$9,$AS552))))</f>
        <v/>
      </c>
      <c r="AU552" t="str">
        <f>IF($AQ552="","",IF(INDEX(C_Pavement!$E$5:$E$204,$AQ552)&lt;&gt;"",IF(INDEX(C_Pavement!$E$5:$E$204,$AQ552)="-","",INDEX(C_Pavement!$E$5:$E$204,$AQ552)),IF($AS552="","",INDEX(E_Rules!$D$5:$D$9,$AS552))))</f>
        <v/>
      </c>
      <c r="AV552" t="str">
        <f>IF($AQ552="","",IF(INDEX(C_Pavement!$F$5:$F$204,$AQ552)&lt;&gt;"",IF(INDEX(C_Pavement!$F$5:$F$204,$AQ552)="-","",INDEX(C_Pavement!$F$5:$F$204,$AQ552)),IF($AS552="","",INDEX(E_Rules!$E$5:$E$9,$AS552))))</f>
        <v/>
      </c>
      <c r="AW552" t="str">
        <f>IF($AQ552="","",IF(INDEX(C_Pavement!$G$5:$G$204,$AQ552)&lt;&gt;"",IF(INDEX(C_Pavement!$G$5:$G$204,$AQ552)="-","",INDEX(C_Pavement!$G$5:$G$204,$AQ552)),IF($AS552="","",INDEX(E_Rules!$F$5:$F$9,$AS552))))</f>
        <v/>
      </c>
      <c r="AX552" t="str">
        <f>IF($AQ552="","",IF(INDEX(C_Pavement!$H$5:$H$204,$AQ552)&lt;&gt;"",IF(INDEX(C_Pavement!$H$5:$H$204,$AQ552)="-","",INDEX(C_Pavement!$H$5:$H$204,$AQ552)),IF($AS552="","",INDEX(E_Rules!$G$5:$G$9,$AS552))))</f>
        <v/>
      </c>
      <c r="AY552" t="str">
        <f>IF($AQ552="","",IF(INDEX(C_Pavement!$I$5:$I$204,$AQ552)&lt;&gt;"",IF(INDEX(C_Pavement!$I$5:$I$204,$AQ552)="-","",INDEX(C_Pavement!$I$5:$I$204,$AQ552)),IF($AS552="","",INDEX(E_Rules!$H$5:$H$9,$AS552))))</f>
        <v/>
      </c>
    </row>
    <row r="553" spans="1:51" ht="15.75" customHeight="1" x14ac:dyDescent="0.3">
      <c r="A553" s="189">
        <v>548</v>
      </c>
      <c r="B553" s="180">
        <v>27350</v>
      </c>
      <c r="C553" s="180" t="s">
        <v>859</v>
      </c>
      <c r="D553" s="181" t="str">
        <f>IFERROR(LOOKUP(2,1/((A_Corridor!$A$5:$A$204&lt;&gt;"")*(A_Corridor!$A$5:$A$204&lt;=$B553)*(A_Corridor!$B$5:$B$204&gt;$B553)*(A_Corridor!$C$5:$C$204&lt;&gt;"")),IF(UPPER(A_Corridor!$C$5:$C$204)="Y",1,"")),"")</f>
        <v/>
      </c>
      <c r="E553" s="181" t="str">
        <f>IFERROR(LOOKUP(2,1/((A_Corridor!$A$5:$A$204&lt;&gt;"")*(A_Corridor!$A$5:$A$204&lt;=$B553)*(A_Corridor!$B$5:$B$204&gt;$B553)*(A_Corridor!$D$5:$D$204&lt;&gt;"")),IF(A_Corridor!$D$5:$D$204="-","",UPPER(A_Corridor!$D$5:$D$204))),"")</f>
        <v/>
      </c>
      <c r="F553" s="181" t="str">
        <f>IFERROR(LOOKUP(2,1/((A_Corridor!$A$5:$A$204&lt;&gt;"")*(A_Corridor!$A$5:$A$204&lt;=$B553)*(A_Corridor!$B$5:$B$204&gt;$B553)*(A_Corridor!$E$5:$E$204&lt;&gt;"")),IF(A_Corridor!$E$5:$E$204="-","",1)),"")</f>
        <v/>
      </c>
      <c r="G553" s="182" t="str">
        <f>IFERROR(LOOKUP(2,1/((A_Corridor!$A$5:$A$204&lt;&gt;"")*(A_Corridor!$A$5:$A$204&lt;=$B553)*(A_Corridor!$B$5:$B$204&gt;$B553)*(A_Corridor!$E$5:$E$204&lt;&gt;"")),IF(A_Corridor!$E$5:$E$204="-","",A_Corridor!$E$5:$E$204)),"")</f>
        <v/>
      </c>
      <c r="H553" s="182" t="str">
        <f>IFERROR(LOOKUP(2,1/((D_Points!$A$5:$A$204&lt;&gt;"")*(D_Points!$A$5:$A$204&gt;=$B553)*(D_Points!$A$5:$A$204&lt;$B553+P_Interval)*(UPPER(TRIM(D_Points!$B$5:$B$204))="GULLY")*(D_Points!$H$5:$H$204&lt;&gt;"")),D_Points!$H$5:$H$204),"")</f>
        <v/>
      </c>
      <c r="I553" s="181" t="str">
        <f>IFERROR(LOOKUP(2,1/((A_Corridor!$A$5:$A$204&lt;&gt;"")*(A_Corridor!$A$5:$A$204&lt;=$B553)*(A_Corridor!$B$5:$B$204&gt;$B553)*(A_Corridor!$F$5:$F$204&lt;&gt;"")),IF(A_Corridor!$F$5:$F$204="-","",1)),"")</f>
        <v/>
      </c>
      <c r="J553" s="182" t="str">
        <f>IFERROR(LOOKUP(2,1/((A_Corridor!$A$5:$A$204&lt;&gt;"")*(A_Corridor!$A$5:$A$204&lt;=$B553)*(A_Corridor!$B$5:$B$204&gt;$B553)*(A_Corridor!$F$5:$F$204&lt;&gt;"")),IF(A_Corridor!$F$5:$F$204="-","",A_Corridor!$F$5:$F$204)),"")</f>
        <v/>
      </c>
      <c r="K553" s="182" t="str">
        <f>IFERROR(LOOKUP(2,1/((A_Corridor!$A$5:$A$204&lt;&gt;"")*(A_Corridor!$A$5:$A$204&lt;=$B553)*(A_Corridor!$B$5:$B$204&gt;$B553)*(A_Corridor!$G$5:$G$204&lt;&gt;"")),IF(A_Corridor!$G$5:$G$204="-","",A_Corridor!$G$5:$G$204)),"")</f>
        <v/>
      </c>
      <c r="L553" s="181" t="str">
        <f>IFERROR(LOOKUP(2,1/((A_Corridor!$A$5:$A$204&lt;&gt;"")*(A_Corridor!$A$5:$A$204&lt;=$B553)*(A_Corridor!$B$5:$B$204&gt;$B553)*(A_Corridor!$H$5:$H$204&lt;&gt;"")),IF(A_Corridor!$H$5:$H$204="-","",1)),"")</f>
        <v/>
      </c>
      <c r="M553" s="182" t="str">
        <f>IFERROR(LOOKUP(2,1/((A_Corridor!$A$5:$A$204&lt;&gt;"")*(A_Corridor!$A$5:$A$204&lt;=$B553)*(A_Corridor!$B$5:$B$204&gt;$B553)*(A_Corridor!$H$5:$H$204&lt;&gt;"")),IF(A_Corridor!$H$5:$H$204="-","",A_Corridor!$H$5:$H$204)),"")</f>
        <v/>
      </c>
      <c r="N553" s="182" t="str">
        <f>IFERROR(LOOKUP(2,1/((A_Corridor!$A$5:$A$204&lt;&gt;"")*(A_Corridor!$A$5:$A$204&lt;=$B553)*(A_Corridor!$B$5:$B$204&gt;$B553)*(A_Corridor!$I$5:$I$204&lt;&gt;"")),IF(A_Corridor!$I$5:$I$204="-","",A_Corridor!$I$5:$I$204)),"")</f>
        <v/>
      </c>
      <c r="O553" s="182" t="str">
        <f>IFERROR(LOOKUP(2,1/((D_Points!$A$5:$A$204&lt;&gt;"")*(D_Points!$A$5:$A$204&gt;=$B553)*(D_Points!$A$5:$A$204&lt;$B553+P_Interval)*(UPPER(TRIM(D_Points!$B$5:$B$204))="PITCHING")*(D_Points!$H$5:$H$204&lt;&gt;"")),D_Points!$H$5:$H$204),"")</f>
        <v/>
      </c>
      <c r="P553" s="181" t="str">
        <f>IFERROR(LOOKUP(2,1/((B_Drainage!$A$5:$A$204&lt;&gt;"")*(B_Drainage!$A$5:$A$204&lt;=$B553)*(B_Drainage!$B$5:$B$204&gt;$B553)*(B_Drainage!$C$5:$C$204&lt;&gt;"")),IF(B_Drainage!$C$5:$C$204="-","",UPPER(B_Drainage!$C$5:$C$204))),"")</f>
        <v/>
      </c>
      <c r="Q553" s="181" t="str">
        <f>IFERROR(LOOKUP(2,1/((B_Drainage!$A$5:$A$204&lt;&gt;"")*(B_Drainage!$A$5:$A$204&lt;=$B553)*(B_Drainage!$B$5:$B$204&gt;$B553)*(B_Drainage!$D$5:$D$204&lt;&gt;"")),IF(B_Drainage!$D$5:$D$204="-","",UPPER(B_Drainage!$D$5:$D$204))),"")</f>
        <v/>
      </c>
      <c r="R553" s="182" t="str">
        <f>IFERROR(LOOKUP(2,1/((D_Points!$A$5:$A$204&lt;&gt;"")*(D_Points!$A$5:$A$204&gt;=$B553)*(D_Points!$A$5:$A$204&lt;$B553+P_Interval)*(RIGHT(UPPER(TRIM(D_Points!$B$5:$B$204)),8)="_CULVERT")),IF(LEFT(UPPER(TRIM(D_Points!$B$5:$B$204)),2)="EX",1,IF(LEFT(UPPER(TRIM(D_Points!$B$5:$B$204)),2)="PR",2,3))),"")</f>
        <v/>
      </c>
      <c r="S553" s="182" t="str">
        <f>IFERROR(LOOKUP(2,1/((D_Points!$A$5:$A$204&lt;&gt;"")*(D_Points!$A$5:$A$204&gt;=$B553)*(D_Points!$A$5:$A$204&lt;$B553+P_Interval)*(RIGHT(UPPER(TRIM(D_Points!$B$5:$B$204)),7)="_BRIDGE")),IF(LEFT(UPPER(TRIM(D_Points!$B$5:$B$204)),2)="EX",1,IF(LEFT(UPPER(TRIM(D_Points!$B$5:$B$204)),2)="PR",2,2))),"")</f>
        <v/>
      </c>
      <c r="T553" s="181" t="str">
        <f>IFERROR(LOOKUP(2,1/((B_Drainage!$A$5:$A$204&lt;&gt;"")*(B_Drainage!$A$5:$A$204&lt;=$B553)*(B_Drainage!$B$5:$B$204&gt;$B553)*(B_Drainage!$E$5:$E$204&lt;&gt;"")),IF(B_Drainage!$E$5:$E$204="-","",1)),"")</f>
        <v/>
      </c>
      <c r="U553" s="181" t="str">
        <f>IFERROR(LOOKUP(2,1/((B_Drainage!$A$5:$A$204&lt;&gt;"")*(B_Drainage!$A$5:$A$204&lt;=$B553)*(B_Drainage!$B$5:$B$204&gt;$B553)*(B_Drainage!$E$5:$E$204&lt;&gt;"")),IF(B_Drainage!$E$5:$E$204="-","",B_Drainage!$E$5:$E$204)),"")</f>
        <v/>
      </c>
      <c r="V553" s="181" t="str">
        <f>IFERROR(LOOKUP(2,1/((B_Drainage!$A$5:$A$204&lt;&gt;"")*(B_Drainage!$A$5:$A$204&lt;=$B553)*(B_Drainage!$B$5:$B$204&gt;$B553)*(B_Drainage!$F$5:$F$204&lt;&gt;"")),IF(B_Drainage!$F$5:$F$204="-","",1)),"")</f>
        <v/>
      </c>
      <c r="W553" s="181" t="str">
        <f>IFERROR(LOOKUP(2,1/((B_Drainage!$A$5:$A$204&lt;&gt;"")*(B_Drainage!$A$5:$A$204&lt;=$B553)*(B_Drainage!$B$5:$B$204&gt;$B553)*(B_Drainage!$F$5:$F$204&lt;&gt;"")),IF(B_Drainage!$F$5:$F$204="-","",B_Drainage!$F$5:$F$204)),"")</f>
        <v/>
      </c>
      <c r="X553" s="181" t="str">
        <f>IFERROR(LOOKUP(2,1/((B_Drainage!$A$5:$A$204&lt;&gt;"")*(B_Drainage!$A$5:$A$204&lt;=$B553)*(B_Drainage!$B$5:$B$204&gt;$B553)*(B_Drainage!$G$5:$G$204&lt;&gt;"")),IF(UPPER(B_Drainage!$G$5:$G$204)="Y",1,"")),"")</f>
        <v/>
      </c>
      <c r="Y553" s="181" t="str">
        <f>IFERROR(LOOKUP(2,1/((B_Drainage!$A$5:$A$204&lt;&gt;"")*(B_Drainage!$A$5:$A$204&lt;=$B553)*(B_Drainage!$B$5:$B$204&gt;$B553)*(B_Drainage!$H$5:$H$204&lt;&gt;"")),IF(UPPER(B_Drainage!$H$5:$H$204)="Y",1,"")),"")</f>
        <v/>
      </c>
      <c r="Z553" s="181" t="str">
        <f>IFERROR(LOOKUP(2,1/((B_Drainage!$A$5:$A$204&lt;&gt;"")*(B_Drainage!$A$5:$A$204&lt;=$B553)*(B_Drainage!$B$5:$B$204&gt;$B553)*(B_Drainage!$I$5:$I$204&lt;&gt;"")),IF(UPPER(B_Drainage!$I$5:$I$204)="Y",1,"")),"")</f>
        <v/>
      </c>
      <c r="AA553" s="181" t="str">
        <f>IFERROR(LOOKUP(2,1/((B_Drainage!$A$5:$A$204&lt;&gt;"")*(B_Drainage!$A$5:$A$204&lt;=$B553)*(B_Drainage!$B$5:$B$204&gt;$B553)*(B_Drainage!$J$5:$J$204&lt;&gt;"")),IF(UPPER(B_Drainage!$J$5:$J$204)="Y",1,"")),"")</f>
        <v/>
      </c>
      <c r="AB553" s="182" t="str">
        <f>IFERROR(LOOKUP(2,1/((B_Drainage!$A$5:$A$204&lt;&gt;"")*(B_Drainage!$A$5:$A$204&lt;=$B553)*(B_Drainage!$B$5:$B$204&gt;$B553)*(B_Drainage!$K$5:$K$204&lt;&gt;"")),IF(B_Drainage!$K$5:$K$204="-","",B_Drainage!$K$5:$K$204)),"")</f>
        <v/>
      </c>
      <c r="AC553" s="182" t="str">
        <f>IFERROR(LOOKUP(2,1/((B_Drainage!$A$5:$A$204&lt;&gt;"")*(B_Drainage!$A$5:$A$204&lt;=$B553)*(B_Drainage!$B$5:$B$204&gt;$B553)*(B_Drainage!$L$5:$L$204&lt;&gt;"")),IF(B_Drainage!$L$5:$L$204="-","",B_Drainage!$L$5:$L$204)),"")</f>
        <v/>
      </c>
      <c r="AD553" s="182" t="str">
        <f>IFERROR(LOOKUP(2,1/((D_Points!$A$5:$A$204&lt;&gt;"")*(D_Points!$A$5:$A$204&gt;=$B553)*(D_Points!$A$5:$A$204&lt;$B553+P_Interval)*(UPPER(TRIM(D_Points!$B$5:$B$204))="TURNOUT_L")*(D_Points!$H$5:$H$204&lt;&gt;"")),D_Points!$H$5:$H$204),"")</f>
        <v/>
      </c>
      <c r="AE553" s="182" t="str">
        <f>IFERROR(LOOKUP(2,1/((D_Points!$A$5:$A$204&lt;&gt;"")*(D_Points!$A$5:$A$204&gt;=$B553)*(D_Points!$A$5:$A$204&lt;$B553+P_Interval)*(UPPER(TRIM(D_Points!$B$5:$B$204))="TURNOUT_R")*(D_Points!$H$5:$H$204&lt;&gt;"")),D_Points!$H$5:$H$204),"")</f>
        <v/>
      </c>
      <c r="AF553" s="181" t="str">
        <f>IFERROR(LOOKUP(2,1/((B_Drainage!$A$5:$A$204&lt;&gt;"")*(B_Drainage!$A$5:$A$204&lt;=$B553)*(B_Drainage!$B$5:$B$204&gt;$B553)*(B_Drainage!$M$5:$M$204&lt;&gt;"")),IF(UPPER(B_Drainage!$M$5:$M$204)="Y",1,"")),"")</f>
        <v/>
      </c>
      <c r="AG553" s="181" t="str">
        <f>IFERROR(LOOKUP(2,1/((B_Drainage!$A$5:$A$204&lt;&gt;"")*(B_Drainage!$A$5:$A$204&lt;=$B553)*(B_Drainage!$B$5:$B$204&gt;$B553)*(B_Drainage!$N$5:$N$204&lt;&gt;"")),IF(UPPER(B_Drainage!$N$5:$N$204)="Y",1,"")),"")</f>
        <v/>
      </c>
      <c r="AH553" s="181" t="str">
        <f t="shared" si="64"/>
        <v/>
      </c>
      <c r="AI553" s="181" t="str">
        <f t="shared" si="65"/>
        <v/>
      </c>
      <c r="AJ553" s="181" t="str">
        <f t="shared" si="66"/>
        <v/>
      </c>
      <c r="AK553" s="181" t="str">
        <f t="shared" si="67"/>
        <v/>
      </c>
      <c r="AL553" s="181" t="str">
        <f t="shared" si="68"/>
        <v/>
      </c>
      <c r="AM553" s="181" t="str">
        <f t="shared" si="69"/>
        <v/>
      </c>
      <c r="AN553" s="181" t="str">
        <f t="shared" si="70"/>
        <v/>
      </c>
      <c r="AO553" s="192" t="str">
        <f t="shared" si="71"/>
        <v/>
      </c>
      <c r="AQ553" t="str">
        <f>IFERROR(LOOKUP(2,1/((C_Pavement!$A$5:$A$204&lt;&gt;"")*(C_Pavement!$A$5:$A$204&lt;=$B553)*(C_Pavement!$B$5:$B$204&gt;$B553)*(C_Pavement!$C$5:$C$204&lt;&gt;"")),ROW(C_Pavement!$C$5:$C$204)-4),"")</f>
        <v/>
      </c>
      <c r="AR553" t="str">
        <f>IF($AQ553="","",UPPER(TRIM(INDEX(C_Pavement!$C$5:$C$204,$AQ553))))</f>
        <v/>
      </c>
      <c r="AS553" t="str">
        <f>IF($AR553="","",IFERROR(MATCH($AR553,E_Rules!$A$5:$A$9,0),""))</f>
        <v/>
      </c>
      <c r="AT553" t="str">
        <f>IF($AQ553="","",IF(INDEX(C_Pavement!$D$5:$D$204,$AQ553)&lt;&gt;"",UPPER(TRIM(INDEX(C_Pavement!$D$5:$D$204,$AQ553))),IF($AS553="","",INDEX(E_Rules!$C$5:$C$9,$AS553))))</f>
        <v/>
      </c>
      <c r="AU553" t="str">
        <f>IF($AQ553="","",IF(INDEX(C_Pavement!$E$5:$E$204,$AQ553)&lt;&gt;"",IF(INDEX(C_Pavement!$E$5:$E$204,$AQ553)="-","",INDEX(C_Pavement!$E$5:$E$204,$AQ553)),IF($AS553="","",INDEX(E_Rules!$D$5:$D$9,$AS553))))</f>
        <v/>
      </c>
      <c r="AV553" t="str">
        <f>IF($AQ553="","",IF(INDEX(C_Pavement!$F$5:$F$204,$AQ553)&lt;&gt;"",IF(INDEX(C_Pavement!$F$5:$F$204,$AQ553)="-","",INDEX(C_Pavement!$F$5:$F$204,$AQ553)),IF($AS553="","",INDEX(E_Rules!$E$5:$E$9,$AS553))))</f>
        <v/>
      </c>
      <c r="AW553" t="str">
        <f>IF($AQ553="","",IF(INDEX(C_Pavement!$G$5:$G$204,$AQ553)&lt;&gt;"",IF(INDEX(C_Pavement!$G$5:$G$204,$AQ553)="-","",INDEX(C_Pavement!$G$5:$G$204,$AQ553)),IF($AS553="","",INDEX(E_Rules!$F$5:$F$9,$AS553))))</f>
        <v/>
      </c>
      <c r="AX553" t="str">
        <f>IF($AQ553="","",IF(INDEX(C_Pavement!$H$5:$H$204,$AQ553)&lt;&gt;"",IF(INDEX(C_Pavement!$H$5:$H$204,$AQ553)="-","",INDEX(C_Pavement!$H$5:$H$204,$AQ553)),IF($AS553="","",INDEX(E_Rules!$G$5:$G$9,$AS553))))</f>
        <v/>
      </c>
      <c r="AY553" t="str">
        <f>IF($AQ553="","",IF(INDEX(C_Pavement!$I$5:$I$204,$AQ553)&lt;&gt;"",IF(INDEX(C_Pavement!$I$5:$I$204,$AQ553)="-","",INDEX(C_Pavement!$I$5:$I$204,$AQ553)),IF($AS553="","",INDEX(E_Rules!$H$5:$H$9,$AS553))))</f>
        <v/>
      </c>
    </row>
    <row r="554" spans="1:51" ht="15.75" customHeight="1" x14ac:dyDescent="0.3">
      <c r="A554" s="189">
        <v>549</v>
      </c>
      <c r="B554" s="180">
        <v>27400</v>
      </c>
      <c r="C554" s="180" t="s">
        <v>860</v>
      </c>
      <c r="D554" s="181" t="str">
        <f>IFERROR(LOOKUP(2,1/((A_Corridor!$A$5:$A$204&lt;&gt;"")*(A_Corridor!$A$5:$A$204&lt;=$B554)*(A_Corridor!$B$5:$B$204&gt;$B554)*(A_Corridor!$C$5:$C$204&lt;&gt;"")),IF(UPPER(A_Corridor!$C$5:$C$204)="Y",1,"")),"")</f>
        <v/>
      </c>
      <c r="E554" s="181" t="str">
        <f>IFERROR(LOOKUP(2,1/((A_Corridor!$A$5:$A$204&lt;&gt;"")*(A_Corridor!$A$5:$A$204&lt;=$B554)*(A_Corridor!$B$5:$B$204&gt;$B554)*(A_Corridor!$D$5:$D$204&lt;&gt;"")),IF(A_Corridor!$D$5:$D$204="-","",UPPER(A_Corridor!$D$5:$D$204))),"")</f>
        <v/>
      </c>
      <c r="F554" s="181" t="str">
        <f>IFERROR(LOOKUP(2,1/((A_Corridor!$A$5:$A$204&lt;&gt;"")*(A_Corridor!$A$5:$A$204&lt;=$B554)*(A_Corridor!$B$5:$B$204&gt;$B554)*(A_Corridor!$E$5:$E$204&lt;&gt;"")),IF(A_Corridor!$E$5:$E$204="-","",1)),"")</f>
        <v/>
      </c>
      <c r="G554" s="182" t="str">
        <f>IFERROR(LOOKUP(2,1/((A_Corridor!$A$5:$A$204&lt;&gt;"")*(A_Corridor!$A$5:$A$204&lt;=$B554)*(A_Corridor!$B$5:$B$204&gt;$B554)*(A_Corridor!$E$5:$E$204&lt;&gt;"")),IF(A_Corridor!$E$5:$E$204="-","",A_Corridor!$E$5:$E$204)),"")</f>
        <v/>
      </c>
      <c r="H554" s="182" t="str">
        <f>IFERROR(LOOKUP(2,1/((D_Points!$A$5:$A$204&lt;&gt;"")*(D_Points!$A$5:$A$204&gt;=$B554)*(D_Points!$A$5:$A$204&lt;$B554+P_Interval)*(UPPER(TRIM(D_Points!$B$5:$B$204))="GULLY")*(D_Points!$H$5:$H$204&lt;&gt;"")),D_Points!$H$5:$H$204),"")</f>
        <v/>
      </c>
      <c r="I554" s="181" t="str">
        <f>IFERROR(LOOKUP(2,1/((A_Corridor!$A$5:$A$204&lt;&gt;"")*(A_Corridor!$A$5:$A$204&lt;=$B554)*(A_Corridor!$B$5:$B$204&gt;$B554)*(A_Corridor!$F$5:$F$204&lt;&gt;"")),IF(A_Corridor!$F$5:$F$204="-","",1)),"")</f>
        <v/>
      </c>
      <c r="J554" s="182" t="str">
        <f>IFERROR(LOOKUP(2,1/((A_Corridor!$A$5:$A$204&lt;&gt;"")*(A_Corridor!$A$5:$A$204&lt;=$B554)*(A_Corridor!$B$5:$B$204&gt;$B554)*(A_Corridor!$F$5:$F$204&lt;&gt;"")),IF(A_Corridor!$F$5:$F$204="-","",A_Corridor!$F$5:$F$204)),"")</f>
        <v/>
      </c>
      <c r="K554" s="182" t="str">
        <f>IFERROR(LOOKUP(2,1/((A_Corridor!$A$5:$A$204&lt;&gt;"")*(A_Corridor!$A$5:$A$204&lt;=$B554)*(A_Corridor!$B$5:$B$204&gt;$B554)*(A_Corridor!$G$5:$G$204&lt;&gt;"")),IF(A_Corridor!$G$5:$G$204="-","",A_Corridor!$G$5:$G$204)),"")</f>
        <v/>
      </c>
      <c r="L554" s="181" t="str">
        <f>IFERROR(LOOKUP(2,1/((A_Corridor!$A$5:$A$204&lt;&gt;"")*(A_Corridor!$A$5:$A$204&lt;=$B554)*(A_Corridor!$B$5:$B$204&gt;$B554)*(A_Corridor!$H$5:$H$204&lt;&gt;"")),IF(A_Corridor!$H$5:$H$204="-","",1)),"")</f>
        <v/>
      </c>
      <c r="M554" s="182" t="str">
        <f>IFERROR(LOOKUP(2,1/((A_Corridor!$A$5:$A$204&lt;&gt;"")*(A_Corridor!$A$5:$A$204&lt;=$B554)*(A_Corridor!$B$5:$B$204&gt;$B554)*(A_Corridor!$H$5:$H$204&lt;&gt;"")),IF(A_Corridor!$H$5:$H$204="-","",A_Corridor!$H$5:$H$204)),"")</f>
        <v/>
      </c>
      <c r="N554" s="182" t="str">
        <f>IFERROR(LOOKUP(2,1/((A_Corridor!$A$5:$A$204&lt;&gt;"")*(A_Corridor!$A$5:$A$204&lt;=$B554)*(A_Corridor!$B$5:$B$204&gt;$B554)*(A_Corridor!$I$5:$I$204&lt;&gt;"")),IF(A_Corridor!$I$5:$I$204="-","",A_Corridor!$I$5:$I$204)),"")</f>
        <v/>
      </c>
      <c r="O554" s="182" t="str">
        <f>IFERROR(LOOKUP(2,1/((D_Points!$A$5:$A$204&lt;&gt;"")*(D_Points!$A$5:$A$204&gt;=$B554)*(D_Points!$A$5:$A$204&lt;$B554+P_Interval)*(UPPER(TRIM(D_Points!$B$5:$B$204))="PITCHING")*(D_Points!$H$5:$H$204&lt;&gt;"")),D_Points!$H$5:$H$204),"")</f>
        <v/>
      </c>
      <c r="P554" s="181" t="str">
        <f>IFERROR(LOOKUP(2,1/((B_Drainage!$A$5:$A$204&lt;&gt;"")*(B_Drainage!$A$5:$A$204&lt;=$B554)*(B_Drainage!$B$5:$B$204&gt;$B554)*(B_Drainage!$C$5:$C$204&lt;&gt;"")),IF(B_Drainage!$C$5:$C$204="-","",UPPER(B_Drainage!$C$5:$C$204))),"")</f>
        <v/>
      </c>
      <c r="Q554" s="181" t="str">
        <f>IFERROR(LOOKUP(2,1/((B_Drainage!$A$5:$A$204&lt;&gt;"")*(B_Drainage!$A$5:$A$204&lt;=$B554)*(B_Drainage!$B$5:$B$204&gt;$B554)*(B_Drainage!$D$5:$D$204&lt;&gt;"")),IF(B_Drainage!$D$5:$D$204="-","",UPPER(B_Drainage!$D$5:$D$204))),"")</f>
        <v/>
      </c>
      <c r="R554" s="182" t="str">
        <f>IFERROR(LOOKUP(2,1/((D_Points!$A$5:$A$204&lt;&gt;"")*(D_Points!$A$5:$A$204&gt;=$B554)*(D_Points!$A$5:$A$204&lt;$B554+P_Interval)*(RIGHT(UPPER(TRIM(D_Points!$B$5:$B$204)),8)="_CULVERT")),IF(LEFT(UPPER(TRIM(D_Points!$B$5:$B$204)),2)="EX",1,IF(LEFT(UPPER(TRIM(D_Points!$B$5:$B$204)),2)="PR",2,3))),"")</f>
        <v/>
      </c>
      <c r="S554" s="182" t="str">
        <f>IFERROR(LOOKUP(2,1/((D_Points!$A$5:$A$204&lt;&gt;"")*(D_Points!$A$5:$A$204&gt;=$B554)*(D_Points!$A$5:$A$204&lt;$B554+P_Interval)*(RIGHT(UPPER(TRIM(D_Points!$B$5:$B$204)),7)="_BRIDGE")),IF(LEFT(UPPER(TRIM(D_Points!$B$5:$B$204)),2)="EX",1,IF(LEFT(UPPER(TRIM(D_Points!$B$5:$B$204)),2)="PR",2,2))),"")</f>
        <v/>
      </c>
      <c r="T554" s="181" t="str">
        <f>IFERROR(LOOKUP(2,1/((B_Drainage!$A$5:$A$204&lt;&gt;"")*(B_Drainage!$A$5:$A$204&lt;=$B554)*(B_Drainage!$B$5:$B$204&gt;$B554)*(B_Drainage!$E$5:$E$204&lt;&gt;"")),IF(B_Drainage!$E$5:$E$204="-","",1)),"")</f>
        <v/>
      </c>
      <c r="U554" s="181" t="str">
        <f>IFERROR(LOOKUP(2,1/((B_Drainage!$A$5:$A$204&lt;&gt;"")*(B_Drainage!$A$5:$A$204&lt;=$B554)*(B_Drainage!$B$5:$B$204&gt;$B554)*(B_Drainage!$E$5:$E$204&lt;&gt;"")),IF(B_Drainage!$E$5:$E$204="-","",B_Drainage!$E$5:$E$204)),"")</f>
        <v/>
      </c>
      <c r="V554" s="181" t="str">
        <f>IFERROR(LOOKUP(2,1/((B_Drainage!$A$5:$A$204&lt;&gt;"")*(B_Drainage!$A$5:$A$204&lt;=$B554)*(B_Drainage!$B$5:$B$204&gt;$B554)*(B_Drainage!$F$5:$F$204&lt;&gt;"")),IF(B_Drainage!$F$5:$F$204="-","",1)),"")</f>
        <v/>
      </c>
      <c r="W554" s="181" t="str">
        <f>IFERROR(LOOKUP(2,1/((B_Drainage!$A$5:$A$204&lt;&gt;"")*(B_Drainage!$A$5:$A$204&lt;=$B554)*(B_Drainage!$B$5:$B$204&gt;$B554)*(B_Drainage!$F$5:$F$204&lt;&gt;"")),IF(B_Drainage!$F$5:$F$204="-","",B_Drainage!$F$5:$F$204)),"")</f>
        <v/>
      </c>
      <c r="X554" s="181" t="str">
        <f>IFERROR(LOOKUP(2,1/((B_Drainage!$A$5:$A$204&lt;&gt;"")*(B_Drainage!$A$5:$A$204&lt;=$B554)*(B_Drainage!$B$5:$B$204&gt;$B554)*(B_Drainage!$G$5:$G$204&lt;&gt;"")),IF(UPPER(B_Drainage!$G$5:$G$204)="Y",1,"")),"")</f>
        <v/>
      </c>
      <c r="Y554" s="181" t="str">
        <f>IFERROR(LOOKUP(2,1/((B_Drainage!$A$5:$A$204&lt;&gt;"")*(B_Drainage!$A$5:$A$204&lt;=$B554)*(B_Drainage!$B$5:$B$204&gt;$B554)*(B_Drainage!$H$5:$H$204&lt;&gt;"")),IF(UPPER(B_Drainage!$H$5:$H$204)="Y",1,"")),"")</f>
        <v/>
      </c>
      <c r="Z554" s="181" t="str">
        <f>IFERROR(LOOKUP(2,1/((B_Drainage!$A$5:$A$204&lt;&gt;"")*(B_Drainage!$A$5:$A$204&lt;=$B554)*(B_Drainage!$B$5:$B$204&gt;$B554)*(B_Drainage!$I$5:$I$204&lt;&gt;"")),IF(UPPER(B_Drainage!$I$5:$I$204)="Y",1,"")),"")</f>
        <v/>
      </c>
      <c r="AA554" s="181" t="str">
        <f>IFERROR(LOOKUP(2,1/((B_Drainage!$A$5:$A$204&lt;&gt;"")*(B_Drainage!$A$5:$A$204&lt;=$B554)*(B_Drainage!$B$5:$B$204&gt;$B554)*(B_Drainage!$J$5:$J$204&lt;&gt;"")),IF(UPPER(B_Drainage!$J$5:$J$204)="Y",1,"")),"")</f>
        <v/>
      </c>
      <c r="AB554" s="182" t="str">
        <f>IFERROR(LOOKUP(2,1/((B_Drainage!$A$5:$A$204&lt;&gt;"")*(B_Drainage!$A$5:$A$204&lt;=$B554)*(B_Drainage!$B$5:$B$204&gt;$B554)*(B_Drainage!$K$5:$K$204&lt;&gt;"")),IF(B_Drainage!$K$5:$K$204="-","",B_Drainage!$K$5:$K$204)),"")</f>
        <v/>
      </c>
      <c r="AC554" s="182" t="str">
        <f>IFERROR(LOOKUP(2,1/((B_Drainage!$A$5:$A$204&lt;&gt;"")*(B_Drainage!$A$5:$A$204&lt;=$B554)*(B_Drainage!$B$5:$B$204&gt;$B554)*(B_Drainage!$L$5:$L$204&lt;&gt;"")),IF(B_Drainage!$L$5:$L$204="-","",B_Drainage!$L$5:$L$204)),"")</f>
        <v/>
      </c>
      <c r="AD554" s="182" t="str">
        <f>IFERROR(LOOKUP(2,1/((D_Points!$A$5:$A$204&lt;&gt;"")*(D_Points!$A$5:$A$204&gt;=$B554)*(D_Points!$A$5:$A$204&lt;$B554+P_Interval)*(UPPER(TRIM(D_Points!$B$5:$B$204))="TURNOUT_L")*(D_Points!$H$5:$H$204&lt;&gt;"")),D_Points!$H$5:$H$204),"")</f>
        <v/>
      </c>
      <c r="AE554" s="182" t="str">
        <f>IFERROR(LOOKUP(2,1/((D_Points!$A$5:$A$204&lt;&gt;"")*(D_Points!$A$5:$A$204&gt;=$B554)*(D_Points!$A$5:$A$204&lt;$B554+P_Interval)*(UPPER(TRIM(D_Points!$B$5:$B$204))="TURNOUT_R")*(D_Points!$H$5:$H$204&lt;&gt;"")),D_Points!$H$5:$H$204),"")</f>
        <v/>
      </c>
      <c r="AF554" s="181" t="str">
        <f>IFERROR(LOOKUP(2,1/((B_Drainage!$A$5:$A$204&lt;&gt;"")*(B_Drainage!$A$5:$A$204&lt;=$B554)*(B_Drainage!$B$5:$B$204&gt;$B554)*(B_Drainage!$M$5:$M$204&lt;&gt;"")),IF(UPPER(B_Drainage!$M$5:$M$204)="Y",1,"")),"")</f>
        <v/>
      </c>
      <c r="AG554" s="181" t="str">
        <f>IFERROR(LOOKUP(2,1/((B_Drainage!$A$5:$A$204&lt;&gt;"")*(B_Drainage!$A$5:$A$204&lt;=$B554)*(B_Drainage!$B$5:$B$204&gt;$B554)*(B_Drainage!$N$5:$N$204&lt;&gt;"")),IF(UPPER(B_Drainage!$N$5:$N$204)="Y",1,"")),"")</f>
        <v/>
      </c>
      <c r="AH554" s="181" t="str">
        <f t="shared" si="64"/>
        <v/>
      </c>
      <c r="AI554" s="181" t="str">
        <f t="shared" si="65"/>
        <v/>
      </c>
      <c r="AJ554" s="181" t="str">
        <f t="shared" si="66"/>
        <v/>
      </c>
      <c r="AK554" s="181" t="str">
        <f t="shared" si="67"/>
        <v/>
      </c>
      <c r="AL554" s="181" t="str">
        <f t="shared" si="68"/>
        <v/>
      </c>
      <c r="AM554" s="181" t="str">
        <f t="shared" si="69"/>
        <v/>
      </c>
      <c r="AN554" s="181" t="str">
        <f t="shared" si="70"/>
        <v/>
      </c>
      <c r="AO554" s="192" t="str">
        <f t="shared" si="71"/>
        <v/>
      </c>
      <c r="AQ554" t="str">
        <f>IFERROR(LOOKUP(2,1/((C_Pavement!$A$5:$A$204&lt;&gt;"")*(C_Pavement!$A$5:$A$204&lt;=$B554)*(C_Pavement!$B$5:$B$204&gt;$B554)*(C_Pavement!$C$5:$C$204&lt;&gt;"")),ROW(C_Pavement!$C$5:$C$204)-4),"")</f>
        <v/>
      </c>
      <c r="AR554" t="str">
        <f>IF($AQ554="","",UPPER(TRIM(INDEX(C_Pavement!$C$5:$C$204,$AQ554))))</f>
        <v/>
      </c>
      <c r="AS554" t="str">
        <f>IF($AR554="","",IFERROR(MATCH($AR554,E_Rules!$A$5:$A$9,0),""))</f>
        <v/>
      </c>
      <c r="AT554" t="str">
        <f>IF($AQ554="","",IF(INDEX(C_Pavement!$D$5:$D$204,$AQ554)&lt;&gt;"",UPPER(TRIM(INDEX(C_Pavement!$D$5:$D$204,$AQ554))),IF($AS554="","",INDEX(E_Rules!$C$5:$C$9,$AS554))))</f>
        <v/>
      </c>
      <c r="AU554" t="str">
        <f>IF($AQ554="","",IF(INDEX(C_Pavement!$E$5:$E$204,$AQ554)&lt;&gt;"",IF(INDEX(C_Pavement!$E$5:$E$204,$AQ554)="-","",INDEX(C_Pavement!$E$5:$E$204,$AQ554)),IF($AS554="","",INDEX(E_Rules!$D$5:$D$9,$AS554))))</f>
        <v/>
      </c>
      <c r="AV554" t="str">
        <f>IF($AQ554="","",IF(INDEX(C_Pavement!$F$5:$F$204,$AQ554)&lt;&gt;"",IF(INDEX(C_Pavement!$F$5:$F$204,$AQ554)="-","",INDEX(C_Pavement!$F$5:$F$204,$AQ554)),IF($AS554="","",INDEX(E_Rules!$E$5:$E$9,$AS554))))</f>
        <v/>
      </c>
      <c r="AW554" t="str">
        <f>IF($AQ554="","",IF(INDEX(C_Pavement!$G$5:$G$204,$AQ554)&lt;&gt;"",IF(INDEX(C_Pavement!$G$5:$G$204,$AQ554)="-","",INDEX(C_Pavement!$G$5:$G$204,$AQ554)),IF($AS554="","",INDEX(E_Rules!$F$5:$F$9,$AS554))))</f>
        <v/>
      </c>
      <c r="AX554" t="str">
        <f>IF($AQ554="","",IF(INDEX(C_Pavement!$H$5:$H$204,$AQ554)&lt;&gt;"",IF(INDEX(C_Pavement!$H$5:$H$204,$AQ554)="-","",INDEX(C_Pavement!$H$5:$H$204,$AQ554)),IF($AS554="","",INDEX(E_Rules!$G$5:$G$9,$AS554))))</f>
        <v/>
      </c>
      <c r="AY554" t="str">
        <f>IF($AQ554="","",IF(INDEX(C_Pavement!$I$5:$I$204,$AQ554)&lt;&gt;"",IF(INDEX(C_Pavement!$I$5:$I$204,$AQ554)="-","",INDEX(C_Pavement!$I$5:$I$204,$AQ554)),IF($AS554="","",INDEX(E_Rules!$H$5:$H$9,$AS554))))</f>
        <v/>
      </c>
    </row>
    <row r="555" spans="1:51" ht="15.75" customHeight="1" x14ac:dyDescent="0.3">
      <c r="A555" s="189">
        <v>550</v>
      </c>
      <c r="B555" s="180">
        <v>27450</v>
      </c>
      <c r="C555" s="180" t="s">
        <v>861</v>
      </c>
      <c r="D555" s="181" t="str">
        <f>IFERROR(LOOKUP(2,1/((A_Corridor!$A$5:$A$204&lt;&gt;"")*(A_Corridor!$A$5:$A$204&lt;=$B555)*(A_Corridor!$B$5:$B$204&gt;$B555)*(A_Corridor!$C$5:$C$204&lt;&gt;"")),IF(UPPER(A_Corridor!$C$5:$C$204)="Y",1,"")),"")</f>
        <v/>
      </c>
      <c r="E555" s="181" t="str">
        <f>IFERROR(LOOKUP(2,1/((A_Corridor!$A$5:$A$204&lt;&gt;"")*(A_Corridor!$A$5:$A$204&lt;=$B555)*(A_Corridor!$B$5:$B$204&gt;$B555)*(A_Corridor!$D$5:$D$204&lt;&gt;"")),IF(A_Corridor!$D$5:$D$204="-","",UPPER(A_Corridor!$D$5:$D$204))),"")</f>
        <v/>
      </c>
      <c r="F555" s="181" t="str">
        <f>IFERROR(LOOKUP(2,1/((A_Corridor!$A$5:$A$204&lt;&gt;"")*(A_Corridor!$A$5:$A$204&lt;=$B555)*(A_Corridor!$B$5:$B$204&gt;$B555)*(A_Corridor!$E$5:$E$204&lt;&gt;"")),IF(A_Corridor!$E$5:$E$204="-","",1)),"")</f>
        <v/>
      </c>
      <c r="G555" s="182" t="str">
        <f>IFERROR(LOOKUP(2,1/((A_Corridor!$A$5:$A$204&lt;&gt;"")*(A_Corridor!$A$5:$A$204&lt;=$B555)*(A_Corridor!$B$5:$B$204&gt;$B555)*(A_Corridor!$E$5:$E$204&lt;&gt;"")),IF(A_Corridor!$E$5:$E$204="-","",A_Corridor!$E$5:$E$204)),"")</f>
        <v/>
      </c>
      <c r="H555" s="182" t="str">
        <f>IFERROR(LOOKUP(2,1/((D_Points!$A$5:$A$204&lt;&gt;"")*(D_Points!$A$5:$A$204&gt;=$B555)*(D_Points!$A$5:$A$204&lt;$B555+P_Interval)*(UPPER(TRIM(D_Points!$B$5:$B$204))="GULLY")*(D_Points!$H$5:$H$204&lt;&gt;"")),D_Points!$H$5:$H$204),"")</f>
        <v/>
      </c>
      <c r="I555" s="181" t="str">
        <f>IFERROR(LOOKUP(2,1/((A_Corridor!$A$5:$A$204&lt;&gt;"")*(A_Corridor!$A$5:$A$204&lt;=$B555)*(A_Corridor!$B$5:$B$204&gt;$B555)*(A_Corridor!$F$5:$F$204&lt;&gt;"")),IF(A_Corridor!$F$5:$F$204="-","",1)),"")</f>
        <v/>
      </c>
      <c r="J555" s="182" t="str">
        <f>IFERROR(LOOKUP(2,1/((A_Corridor!$A$5:$A$204&lt;&gt;"")*(A_Corridor!$A$5:$A$204&lt;=$B555)*(A_Corridor!$B$5:$B$204&gt;$B555)*(A_Corridor!$F$5:$F$204&lt;&gt;"")),IF(A_Corridor!$F$5:$F$204="-","",A_Corridor!$F$5:$F$204)),"")</f>
        <v/>
      </c>
      <c r="K555" s="182" t="str">
        <f>IFERROR(LOOKUP(2,1/((A_Corridor!$A$5:$A$204&lt;&gt;"")*(A_Corridor!$A$5:$A$204&lt;=$B555)*(A_Corridor!$B$5:$B$204&gt;$B555)*(A_Corridor!$G$5:$G$204&lt;&gt;"")),IF(A_Corridor!$G$5:$G$204="-","",A_Corridor!$G$5:$G$204)),"")</f>
        <v/>
      </c>
      <c r="L555" s="181" t="str">
        <f>IFERROR(LOOKUP(2,1/((A_Corridor!$A$5:$A$204&lt;&gt;"")*(A_Corridor!$A$5:$A$204&lt;=$B555)*(A_Corridor!$B$5:$B$204&gt;$B555)*(A_Corridor!$H$5:$H$204&lt;&gt;"")),IF(A_Corridor!$H$5:$H$204="-","",1)),"")</f>
        <v/>
      </c>
      <c r="M555" s="182" t="str">
        <f>IFERROR(LOOKUP(2,1/((A_Corridor!$A$5:$A$204&lt;&gt;"")*(A_Corridor!$A$5:$A$204&lt;=$B555)*(A_Corridor!$B$5:$B$204&gt;$B555)*(A_Corridor!$H$5:$H$204&lt;&gt;"")),IF(A_Corridor!$H$5:$H$204="-","",A_Corridor!$H$5:$H$204)),"")</f>
        <v/>
      </c>
      <c r="N555" s="182" t="str">
        <f>IFERROR(LOOKUP(2,1/((A_Corridor!$A$5:$A$204&lt;&gt;"")*(A_Corridor!$A$5:$A$204&lt;=$B555)*(A_Corridor!$B$5:$B$204&gt;$B555)*(A_Corridor!$I$5:$I$204&lt;&gt;"")),IF(A_Corridor!$I$5:$I$204="-","",A_Corridor!$I$5:$I$204)),"")</f>
        <v/>
      </c>
      <c r="O555" s="182" t="str">
        <f>IFERROR(LOOKUP(2,1/((D_Points!$A$5:$A$204&lt;&gt;"")*(D_Points!$A$5:$A$204&gt;=$B555)*(D_Points!$A$5:$A$204&lt;$B555+P_Interval)*(UPPER(TRIM(D_Points!$B$5:$B$204))="PITCHING")*(D_Points!$H$5:$H$204&lt;&gt;"")),D_Points!$H$5:$H$204),"")</f>
        <v/>
      </c>
      <c r="P555" s="181" t="str">
        <f>IFERROR(LOOKUP(2,1/((B_Drainage!$A$5:$A$204&lt;&gt;"")*(B_Drainage!$A$5:$A$204&lt;=$B555)*(B_Drainage!$B$5:$B$204&gt;$B555)*(B_Drainage!$C$5:$C$204&lt;&gt;"")),IF(B_Drainage!$C$5:$C$204="-","",UPPER(B_Drainage!$C$5:$C$204))),"")</f>
        <v/>
      </c>
      <c r="Q555" s="181" t="str">
        <f>IFERROR(LOOKUP(2,1/((B_Drainage!$A$5:$A$204&lt;&gt;"")*(B_Drainage!$A$5:$A$204&lt;=$B555)*(B_Drainage!$B$5:$B$204&gt;$B555)*(B_Drainage!$D$5:$D$204&lt;&gt;"")),IF(B_Drainage!$D$5:$D$204="-","",UPPER(B_Drainage!$D$5:$D$204))),"")</f>
        <v/>
      </c>
      <c r="R555" s="182" t="str">
        <f>IFERROR(LOOKUP(2,1/((D_Points!$A$5:$A$204&lt;&gt;"")*(D_Points!$A$5:$A$204&gt;=$B555)*(D_Points!$A$5:$A$204&lt;$B555+P_Interval)*(RIGHT(UPPER(TRIM(D_Points!$B$5:$B$204)),8)="_CULVERT")),IF(LEFT(UPPER(TRIM(D_Points!$B$5:$B$204)),2)="EX",1,IF(LEFT(UPPER(TRIM(D_Points!$B$5:$B$204)),2)="PR",2,3))),"")</f>
        <v/>
      </c>
      <c r="S555" s="182" t="str">
        <f>IFERROR(LOOKUP(2,1/((D_Points!$A$5:$A$204&lt;&gt;"")*(D_Points!$A$5:$A$204&gt;=$B555)*(D_Points!$A$5:$A$204&lt;$B555+P_Interval)*(RIGHT(UPPER(TRIM(D_Points!$B$5:$B$204)),7)="_BRIDGE")),IF(LEFT(UPPER(TRIM(D_Points!$B$5:$B$204)),2)="EX",1,IF(LEFT(UPPER(TRIM(D_Points!$B$5:$B$204)),2)="PR",2,2))),"")</f>
        <v/>
      </c>
      <c r="T555" s="181" t="str">
        <f>IFERROR(LOOKUP(2,1/((B_Drainage!$A$5:$A$204&lt;&gt;"")*(B_Drainage!$A$5:$A$204&lt;=$B555)*(B_Drainage!$B$5:$B$204&gt;$B555)*(B_Drainage!$E$5:$E$204&lt;&gt;"")),IF(B_Drainage!$E$5:$E$204="-","",1)),"")</f>
        <v/>
      </c>
      <c r="U555" s="181" t="str">
        <f>IFERROR(LOOKUP(2,1/((B_Drainage!$A$5:$A$204&lt;&gt;"")*(B_Drainage!$A$5:$A$204&lt;=$B555)*(B_Drainage!$B$5:$B$204&gt;$B555)*(B_Drainage!$E$5:$E$204&lt;&gt;"")),IF(B_Drainage!$E$5:$E$204="-","",B_Drainage!$E$5:$E$204)),"")</f>
        <v/>
      </c>
      <c r="V555" s="181" t="str">
        <f>IFERROR(LOOKUP(2,1/((B_Drainage!$A$5:$A$204&lt;&gt;"")*(B_Drainage!$A$5:$A$204&lt;=$B555)*(B_Drainage!$B$5:$B$204&gt;$B555)*(B_Drainage!$F$5:$F$204&lt;&gt;"")),IF(B_Drainage!$F$5:$F$204="-","",1)),"")</f>
        <v/>
      </c>
      <c r="W555" s="181" t="str">
        <f>IFERROR(LOOKUP(2,1/((B_Drainage!$A$5:$A$204&lt;&gt;"")*(B_Drainage!$A$5:$A$204&lt;=$B555)*(B_Drainage!$B$5:$B$204&gt;$B555)*(B_Drainage!$F$5:$F$204&lt;&gt;"")),IF(B_Drainage!$F$5:$F$204="-","",B_Drainage!$F$5:$F$204)),"")</f>
        <v/>
      </c>
      <c r="X555" s="181" t="str">
        <f>IFERROR(LOOKUP(2,1/((B_Drainage!$A$5:$A$204&lt;&gt;"")*(B_Drainage!$A$5:$A$204&lt;=$B555)*(B_Drainage!$B$5:$B$204&gt;$B555)*(B_Drainage!$G$5:$G$204&lt;&gt;"")),IF(UPPER(B_Drainage!$G$5:$G$204)="Y",1,"")),"")</f>
        <v/>
      </c>
      <c r="Y555" s="181" t="str">
        <f>IFERROR(LOOKUP(2,1/((B_Drainage!$A$5:$A$204&lt;&gt;"")*(B_Drainage!$A$5:$A$204&lt;=$B555)*(B_Drainage!$B$5:$B$204&gt;$B555)*(B_Drainage!$H$5:$H$204&lt;&gt;"")),IF(UPPER(B_Drainage!$H$5:$H$204)="Y",1,"")),"")</f>
        <v/>
      </c>
      <c r="Z555" s="181" t="str">
        <f>IFERROR(LOOKUP(2,1/((B_Drainage!$A$5:$A$204&lt;&gt;"")*(B_Drainage!$A$5:$A$204&lt;=$B555)*(B_Drainage!$B$5:$B$204&gt;$B555)*(B_Drainage!$I$5:$I$204&lt;&gt;"")),IF(UPPER(B_Drainage!$I$5:$I$204)="Y",1,"")),"")</f>
        <v/>
      </c>
      <c r="AA555" s="181" t="str">
        <f>IFERROR(LOOKUP(2,1/((B_Drainage!$A$5:$A$204&lt;&gt;"")*(B_Drainage!$A$5:$A$204&lt;=$B555)*(B_Drainage!$B$5:$B$204&gt;$B555)*(B_Drainage!$J$5:$J$204&lt;&gt;"")),IF(UPPER(B_Drainage!$J$5:$J$204)="Y",1,"")),"")</f>
        <v/>
      </c>
      <c r="AB555" s="182" t="str">
        <f>IFERROR(LOOKUP(2,1/((B_Drainage!$A$5:$A$204&lt;&gt;"")*(B_Drainage!$A$5:$A$204&lt;=$B555)*(B_Drainage!$B$5:$B$204&gt;$B555)*(B_Drainage!$K$5:$K$204&lt;&gt;"")),IF(B_Drainage!$K$5:$K$204="-","",B_Drainage!$K$5:$K$204)),"")</f>
        <v/>
      </c>
      <c r="AC555" s="182" t="str">
        <f>IFERROR(LOOKUP(2,1/((B_Drainage!$A$5:$A$204&lt;&gt;"")*(B_Drainage!$A$5:$A$204&lt;=$B555)*(B_Drainage!$B$5:$B$204&gt;$B555)*(B_Drainage!$L$5:$L$204&lt;&gt;"")),IF(B_Drainage!$L$5:$L$204="-","",B_Drainage!$L$5:$L$204)),"")</f>
        <v/>
      </c>
      <c r="AD555" s="182" t="str">
        <f>IFERROR(LOOKUP(2,1/((D_Points!$A$5:$A$204&lt;&gt;"")*(D_Points!$A$5:$A$204&gt;=$B555)*(D_Points!$A$5:$A$204&lt;$B555+P_Interval)*(UPPER(TRIM(D_Points!$B$5:$B$204))="TURNOUT_L")*(D_Points!$H$5:$H$204&lt;&gt;"")),D_Points!$H$5:$H$204),"")</f>
        <v/>
      </c>
      <c r="AE555" s="182" t="str">
        <f>IFERROR(LOOKUP(2,1/((D_Points!$A$5:$A$204&lt;&gt;"")*(D_Points!$A$5:$A$204&gt;=$B555)*(D_Points!$A$5:$A$204&lt;$B555+P_Interval)*(UPPER(TRIM(D_Points!$B$5:$B$204))="TURNOUT_R")*(D_Points!$H$5:$H$204&lt;&gt;"")),D_Points!$H$5:$H$204),"")</f>
        <v/>
      </c>
      <c r="AF555" s="181" t="str">
        <f>IFERROR(LOOKUP(2,1/((B_Drainage!$A$5:$A$204&lt;&gt;"")*(B_Drainage!$A$5:$A$204&lt;=$B555)*(B_Drainage!$B$5:$B$204&gt;$B555)*(B_Drainage!$M$5:$M$204&lt;&gt;"")),IF(UPPER(B_Drainage!$M$5:$M$204)="Y",1,"")),"")</f>
        <v/>
      </c>
      <c r="AG555" s="181" t="str">
        <f>IFERROR(LOOKUP(2,1/((B_Drainage!$A$5:$A$204&lt;&gt;"")*(B_Drainage!$A$5:$A$204&lt;=$B555)*(B_Drainage!$B$5:$B$204&gt;$B555)*(B_Drainage!$N$5:$N$204&lt;&gt;"")),IF(UPPER(B_Drainage!$N$5:$N$204)="Y",1,"")),"")</f>
        <v/>
      </c>
      <c r="AH555" s="181" t="str">
        <f t="shared" si="64"/>
        <v/>
      </c>
      <c r="AI555" s="181" t="str">
        <f t="shared" si="65"/>
        <v/>
      </c>
      <c r="AJ555" s="181" t="str">
        <f t="shared" si="66"/>
        <v/>
      </c>
      <c r="AK555" s="181" t="str">
        <f t="shared" si="67"/>
        <v/>
      </c>
      <c r="AL555" s="181" t="str">
        <f t="shared" si="68"/>
        <v/>
      </c>
      <c r="AM555" s="181" t="str">
        <f t="shared" si="69"/>
        <v/>
      </c>
      <c r="AN555" s="181" t="str">
        <f t="shared" si="70"/>
        <v/>
      </c>
      <c r="AO555" s="192" t="str">
        <f t="shared" si="71"/>
        <v/>
      </c>
      <c r="AQ555" t="str">
        <f>IFERROR(LOOKUP(2,1/((C_Pavement!$A$5:$A$204&lt;&gt;"")*(C_Pavement!$A$5:$A$204&lt;=$B555)*(C_Pavement!$B$5:$B$204&gt;$B555)*(C_Pavement!$C$5:$C$204&lt;&gt;"")),ROW(C_Pavement!$C$5:$C$204)-4),"")</f>
        <v/>
      </c>
      <c r="AR555" t="str">
        <f>IF($AQ555="","",UPPER(TRIM(INDEX(C_Pavement!$C$5:$C$204,$AQ555))))</f>
        <v/>
      </c>
      <c r="AS555" t="str">
        <f>IF($AR555="","",IFERROR(MATCH($AR555,E_Rules!$A$5:$A$9,0),""))</f>
        <v/>
      </c>
      <c r="AT555" t="str">
        <f>IF($AQ555="","",IF(INDEX(C_Pavement!$D$5:$D$204,$AQ555)&lt;&gt;"",UPPER(TRIM(INDEX(C_Pavement!$D$5:$D$204,$AQ555))),IF($AS555="","",INDEX(E_Rules!$C$5:$C$9,$AS555))))</f>
        <v/>
      </c>
      <c r="AU555" t="str">
        <f>IF($AQ555="","",IF(INDEX(C_Pavement!$E$5:$E$204,$AQ555)&lt;&gt;"",IF(INDEX(C_Pavement!$E$5:$E$204,$AQ555)="-","",INDEX(C_Pavement!$E$5:$E$204,$AQ555)),IF($AS555="","",INDEX(E_Rules!$D$5:$D$9,$AS555))))</f>
        <v/>
      </c>
      <c r="AV555" t="str">
        <f>IF($AQ555="","",IF(INDEX(C_Pavement!$F$5:$F$204,$AQ555)&lt;&gt;"",IF(INDEX(C_Pavement!$F$5:$F$204,$AQ555)="-","",INDEX(C_Pavement!$F$5:$F$204,$AQ555)),IF($AS555="","",INDEX(E_Rules!$E$5:$E$9,$AS555))))</f>
        <v/>
      </c>
      <c r="AW555" t="str">
        <f>IF($AQ555="","",IF(INDEX(C_Pavement!$G$5:$G$204,$AQ555)&lt;&gt;"",IF(INDEX(C_Pavement!$G$5:$G$204,$AQ555)="-","",INDEX(C_Pavement!$G$5:$G$204,$AQ555)),IF($AS555="","",INDEX(E_Rules!$F$5:$F$9,$AS555))))</f>
        <v/>
      </c>
      <c r="AX555" t="str">
        <f>IF($AQ555="","",IF(INDEX(C_Pavement!$H$5:$H$204,$AQ555)&lt;&gt;"",IF(INDEX(C_Pavement!$H$5:$H$204,$AQ555)="-","",INDEX(C_Pavement!$H$5:$H$204,$AQ555)),IF($AS555="","",INDEX(E_Rules!$G$5:$G$9,$AS555))))</f>
        <v/>
      </c>
      <c r="AY555" t="str">
        <f>IF($AQ555="","",IF(INDEX(C_Pavement!$I$5:$I$204,$AQ555)&lt;&gt;"",IF(INDEX(C_Pavement!$I$5:$I$204,$AQ555)="-","",INDEX(C_Pavement!$I$5:$I$204,$AQ555)),IF($AS555="","",INDEX(E_Rules!$H$5:$H$9,$AS555))))</f>
        <v/>
      </c>
    </row>
    <row r="556" spans="1:51" ht="15.75" customHeight="1" x14ac:dyDescent="0.3">
      <c r="A556" s="189">
        <v>551</v>
      </c>
      <c r="B556" s="180">
        <v>27500</v>
      </c>
      <c r="C556" s="180" t="s">
        <v>862</v>
      </c>
      <c r="D556" s="181" t="str">
        <f>IFERROR(LOOKUP(2,1/((A_Corridor!$A$5:$A$204&lt;&gt;"")*(A_Corridor!$A$5:$A$204&lt;=$B556)*(A_Corridor!$B$5:$B$204&gt;$B556)*(A_Corridor!$C$5:$C$204&lt;&gt;"")),IF(UPPER(A_Corridor!$C$5:$C$204)="Y",1,"")),"")</f>
        <v/>
      </c>
      <c r="E556" s="181" t="str">
        <f>IFERROR(LOOKUP(2,1/((A_Corridor!$A$5:$A$204&lt;&gt;"")*(A_Corridor!$A$5:$A$204&lt;=$B556)*(A_Corridor!$B$5:$B$204&gt;$B556)*(A_Corridor!$D$5:$D$204&lt;&gt;"")),IF(A_Corridor!$D$5:$D$204="-","",UPPER(A_Corridor!$D$5:$D$204))),"")</f>
        <v/>
      </c>
      <c r="F556" s="181" t="str">
        <f>IFERROR(LOOKUP(2,1/((A_Corridor!$A$5:$A$204&lt;&gt;"")*(A_Corridor!$A$5:$A$204&lt;=$B556)*(A_Corridor!$B$5:$B$204&gt;$B556)*(A_Corridor!$E$5:$E$204&lt;&gt;"")),IF(A_Corridor!$E$5:$E$204="-","",1)),"")</f>
        <v/>
      </c>
      <c r="G556" s="182" t="str">
        <f>IFERROR(LOOKUP(2,1/((A_Corridor!$A$5:$A$204&lt;&gt;"")*(A_Corridor!$A$5:$A$204&lt;=$B556)*(A_Corridor!$B$5:$B$204&gt;$B556)*(A_Corridor!$E$5:$E$204&lt;&gt;"")),IF(A_Corridor!$E$5:$E$204="-","",A_Corridor!$E$5:$E$204)),"")</f>
        <v/>
      </c>
      <c r="H556" s="182" t="str">
        <f>IFERROR(LOOKUP(2,1/((D_Points!$A$5:$A$204&lt;&gt;"")*(D_Points!$A$5:$A$204&gt;=$B556)*(D_Points!$A$5:$A$204&lt;$B556+P_Interval)*(UPPER(TRIM(D_Points!$B$5:$B$204))="GULLY")*(D_Points!$H$5:$H$204&lt;&gt;"")),D_Points!$H$5:$H$204),"")</f>
        <v/>
      </c>
      <c r="I556" s="181" t="str">
        <f>IFERROR(LOOKUP(2,1/((A_Corridor!$A$5:$A$204&lt;&gt;"")*(A_Corridor!$A$5:$A$204&lt;=$B556)*(A_Corridor!$B$5:$B$204&gt;$B556)*(A_Corridor!$F$5:$F$204&lt;&gt;"")),IF(A_Corridor!$F$5:$F$204="-","",1)),"")</f>
        <v/>
      </c>
      <c r="J556" s="182" t="str">
        <f>IFERROR(LOOKUP(2,1/((A_Corridor!$A$5:$A$204&lt;&gt;"")*(A_Corridor!$A$5:$A$204&lt;=$B556)*(A_Corridor!$B$5:$B$204&gt;$B556)*(A_Corridor!$F$5:$F$204&lt;&gt;"")),IF(A_Corridor!$F$5:$F$204="-","",A_Corridor!$F$5:$F$204)),"")</f>
        <v/>
      </c>
      <c r="K556" s="182" t="str">
        <f>IFERROR(LOOKUP(2,1/((A_Corridor!$A$5:$A$204&lt;&gt;"")*(A_Corridor!$A$5:$A$204&lt;=$B556)*(A_Corridor!$B$5:$B$204&gt;$B556)*(A_Corridor!$G$5:$G$204&lt;&gt;"")),IF(A_Corridor!$G$5:$G$204="-","",A_Corridor!$G$5:$G$204)),"")</f>
        <v/>
      </c>
      <c r="L556" s="181" t="str">
        <f>IFERROR(LOOKUP(2,1/((A_Corridor!$A$5:$A$204&lt;&gt;"")*(A_Corridor!$A$5:$A$204&lt;=$B556)*(A_Corridor!$B$5:$B$204&gt;$B556)*(A_Corridor!$H$5:$H$204&lt;&gt;"")),IF(A_Corridor!$H$5:$H$204="-","",1)),"")</f>
        <v/>
      </c>
      <c r="M556" s="182" t="str">
        <f>IFERROR(LOOKUP(2,1/((A_Corridor!$A$5:$A$204&lt;&gt;"")*(A_Corridor!$A$5:$A$204&lt;=$B556)*(A_Corridor!$B$5:$B$204&gt;$B556)*(A_Corridor!$H$5:$H$204&lt;&gt;"")),IF(A_Corridor!$H$5:$H$204="-","",A_Corridor!$H$5:$H$204)),"")</f>
        <v/>
      </c>
      <c r="N556" s="182" t="str">
        <f>IFERROR(LOOKUP(2,1/((A_Corridor!$A$5:$A$204&lt;&gt;"")*(A_Corridor!$A$5:$A$204&lt;=$B556)*(A_Corridor!$B$5:$B$204&gt;$B556)*(A_Corridor!$I$5:$I$204&lt;&gt;"")),IF(A_Corridor!$I$5:$I$204="-","",A_Corridor!$I$5:$I$204)),"")</f>
        <v/>
      </c>
      <c r="O556" s="182" t="str">
        <f>IFERROR(LOOKUP(2,1/((D_Points!$A$5:$A$204&lt;&gt;"")*(D_Points!$A$5:$A$204&gt;=$B556)*(D_Points!$A$5:$A$204&lt;$B556+P_Interval)*(UPPER(TRIM(D_Points!$B$5:$B$204))="PITCHING")*(D_Points!$H$5:$H$204&lt;&gt;"")),D_Points!$H$5:$H$204),"")</f>
        <v/>
      </c>
      <c r="P556" s="181" t="str">
        <f>IFERROR(LOOKUP(2,1/((B_Drainage!$A$5:$A$204&lt;&gt;"")*(B_Drainage!$A$5:$A$204&lt;=$B556)*(B_Drainage!$B$5:$B$204&gt;$B556)*(B_Drainage!$C$5:$C$204&lt;&gt;"")),IF(B_Drainage!$C$5:$C$204="-","",UPPER(B_Drainage!$C$5:$C$204))),"")</f>
        <v/>
      </c>
      <c r="Q556" s="181" t="str">
        <f>IFERROR(LOOKUP(2,1/((B_Drainage!$A$5:$A$204&lt;&gt;"")*(B_Drainage!$A$5:$A$204&lt;=$B556)*(B_Drainage!$B$5:$B$204&gt;$B556)*(B_Drainage!$D$5:$D$204&lt;&gt;"")),IF(B_Drainage!$D$5:$D$204="-","",UPPER(B_Drainage!$D$5:$D$204))),"")</f>
        <v/>
      </c>
      <c r="R556" s="182" t="str">
        <f>IFERROR(LOOKUP(2,1/((D_Points!$A$5:$A$204&lt;&gt;"")*(D_Points!$A$5:$A$204&gt;=$B556)*(D_Points!$A$5:$A$204&lt;$B556+P_Interval)*(RIGHT(UPPER(TRIM(D_Points!$B$5:$B$204)),8)="_CULVERT")),IF(LEFT(UPPER(TRIM(D_Points!$B$5:$B$204)),2)="EX",1,IF(LEFT(UPPER(TRIM(D_Points!$B$5:$B$204)),2)="PR",2,3))),"")</f>
        <v/>
      </c>
      <c r="S556" s="182" t="str">
        <f>IFERROR(LOOKUP(2,1/((D_Points!$A$5:$A$204&lt;&gt;"")*(D_Points!$A$5:$A$204&gt;=$B556)*(D_Points!$A$5:$A$204&lt;$B556+P_Interval)*(RIGHT(UPPER(TRIM(D_Points!$B$5:$B$204)),7)="_BRIDGE")),IF(LEFT(UPPER(TRIM(D_Points!$B$5:$B$204)),2)="EX",1,IF(LEFT(UPPER(TRIM(D_Points!$B$5:$B$204)),2)="PR",2,2))),"")</f>
        <v/>
      </c>
      <c r="T556" s="181" t="str">
        <f>IFERROR(LOOKUP(2,1/((B_Drainage!$A$5:$A$204&lt;&gt;"")*(B_Drainage!$A$5:$A$204&lt;=$B556)*(B_Drainage!$B$5:$B$204&gt;$B556)*(B_Drainage!$E$5:$E$204&lt;&gt;"")),IF(B_Drainage!$E$5:$E$204="-","",1)),"")</f>
        <v/>
      </c>
      <c r="U556" s="181" t="str">
        <f>IFERROR(LOOKUP(2,1/((B_Drainage!$A$5:$A$204&lt;&gt;"")*(B_Drainage!$A$5:$A$204&lt;=$B556)*(B_Drainage!$B$5:$B$204&gt;$B556)*(B_Drainage!$E$5:$E$204&lt;&gt;"")),IF(B_Drainage!$E$5:$E$204="-","",B_Drainage!$E$5:$E$204)),"")</f>
        <v/>
      </c>
      <c r="V556" s="181" t="str">
        <f>IFERROR(LOOKUP(2,1/((B_Drainage!$A$5:$A$204&lt;&gt;"")*(B_Drainage!$A$5:$A$204&lt;=$B556)*(B_Drainage!$B$5:$B$204&gt;$B556)*(B_Drainage!$F$5:$F$204&lt;&gt;"")),IF(B_Drainage!$F$5:$F$204="-","",1)),"")</f>
        <v/>
      </c>
      <c r="W556" s="181" t="str">
        <f>IFERROR(LOOKUP(2,1/((B_Drainage!$A$5:$A$204&lt;&gt;"")*(B_Drainage!$A$5:$A$204&lt;=$B556)*(B_Drainage!$B$5:$B$204&gt;$B556)*(B_Drainage!$F$5:$F$204&lt;&gt;"")),IF(B_Drainage!$F$5:$F$204="-","",B_Drainage!$F$5:$F$204)),"")</f>
        <v/>
      </c>
      <c r="X556" s="181" t="str">
        <f>IFERROR(LOOKUP(2,1/((B_Drainage!$A$5:$A$204&lt;&gt;"")*(B_Drainage!$A$5:$A$204&lt;=$B556)*(B_Drainage!$B$5:$B$204&gt;$B556)*(B_Drainage!$G$5:$G$204&lt;&gt;"")),IF(UPPER(B_Drainage!$G$5:$G$204)="Y",1,"")),"")</f>
        <v/>
      </c>
      <c r="Y556" s="181" t="str">
        <f>IFERROR(LOOKUP(2,1/((B_Drainage!$A$5:$A$204&lt;&gt;"")*(B_Drainage!$A$5:$A$204&lt;=$B556)*(B_Drainage!$B$5:$B$204&gt;$B556)*(B_Drainage!$H$5:$H$204&lt;&gt;"")),IF(UPPER(B_Drainage!$H$5:$H$204)="Y",1,"")),"")</f>
        <v/>
      </c>
      <c r="Z556" s="181" t="str">
        <f>IFERROR(LOOKUP(2,1/((B_Drainage!$A$5:$A$204&lt;&gt;"")*(B_Drainage!$A$5:$A$204&lt;=$B556)*(B_Drainage!$B$5:$B$204&gt;$B556)*(B_Drainage!$I$5:$I$204&lt;&gt;"")),IF(UPPER(B_Drainage!$I$5:$I$204)="Y",1,"")),"")</f>
        <v/>
      </c>
      <c r="AA556" s="181" t="str">
        <f>IFERROR(LOOKUP(2,1/((B_Drainage!$A$5:$A$204&lt;&gt;"")*(B_Drainage!$A$5:$A$204&lt;=$B556)*(B_Drainage!$B$5:$B$204&gt;$B556)*(B_Drainage!$J$5:$J$204&lt;&gt;"")),IF(UPPER(B_Drainage!$J$5:$J$204)="Y",1,"")),"")</f>
        <v/>
      </c>
      <c r="AB556" s="182" t="str">
        <f>IFERROR(LOOKUP(2,1/((B_Drainage!$A$5:$A$204&lt;&gt;"")*(B_Drainage!$A$5:$A$204&lt;=$B556)*(B_Drainage!$B$5:$B$204&gt;$B556)*(B_Drainage!$K$5:$K$204&lt;&gt;"")),IF(B_Drainage!$K$5:$K$204="-","",B_Drainage!$K$5:$K$204)),"")</f>
        <v/>
      </c>
      <c r="AC556" s="182" t="str">
        <f>IFERROR(LOOKUP(2,1/((B_Drainage!$A$5:$A$204&lt;&gt;"")*(B_Drainage!$A$5:$A$204&lt;=$B556)*(B_Drainage!$B$5:$B$204&gt;$B556)*(B_Drainage!$L$5:$L$204&lt;&gt;"")),IF(B_Drainage!$L$5:$L$204="-","",B_Drainage!$L$5:$L$204)),"")</f>
        <v/>
      </c>
      <c r="AD556" s="182" t="str">
        <f>IFERROR(LOOKUP(2,1/((D_Points!$A$5:$A$204&lt;&gt;"")*(D_Points!$A$5:$A$204&gt;=$B556)*(D_Points!$A$5:$A$204&lt;$B556+P_Interval)*(UPPER(TRIM(D_Points!$B$5:$B$204))="TURNOUT_L")*(D_Points!$H$5:$H$204&lt;&gt;"")),D_Points!$H$5:$H$204),"")</f>
        <v/>
      </c>
      <c r="AE556" s="182" t="str">
        <f>IFERROR(LOOKUP(2,1/((D_Points!$A$5:$A$204&lt;&gt;"")*(D_Points!$A$5:$A$204&gt;=$B556)*(D_Points!$A$5:$A$204&lt;$B556+P_Interval)*(UPPER(TRIM(D_Points!$B$5:$B$204))="TURNOUT_R")*(D_Points!$H$5:$H$204&lt;&gt;"")),D_Points!$H$5:$H$204),"")</f>
        <v/>
      </c>
      <c r="AF556" s="181" t="str">
        <f>IFERROR(LOOKUP(2,1/((B_Drainage!$A$5:$A$204&lt;&gt;"")*(B_Drainage!$A$5:$A$204&lt;=$B556)*(B_Drainage!$B$5:$B$204&gt;$B556)*(B_Drainage!$M$5:$M$204&lt;&gt;"")),IF(UPPER(B_Drainage!$M$5:$M$204)="Y",1,"")),"")</f>
        <v/>
      </c>
      <c r="AG556" s="181" t="str">
        <f>IFERROR(LOOKUP(2,1/((B_Drainage!$A$5:$A$204&lt;&gt;"")*(B_Drainage!$A$5:$A$204&lt;=$B556)*(B_Drainage!$B$5:$B$204&gt;$B556)*(B_Drainage!$N$5:$N$204&lt;&gt;"")),IF(UPPER(B_Drainage!$N$5:$N$204)="Y",1,"")),"")</f>
        <v/>
      </c>
      <c r="AH556" s="181" t="str">
        <f t="shared" si="64"/>
        <v/>
      </c>
      <c r="AI556" s="181" t="str">
        <f t="shared" si="65"/>
        <v/>
      </c>
      <c r="AJ556" s="181" t="str">
        <f t="shared" si="66"/>
        <v/>
      </c>
      <c r="AK556" s="181" t="str">
        <f t="shared" si="67"/>
        <v/>
      </c>
      <c r="AL556" s="181" t="str">
        <f t="shared" si="68"/>
        <v/>
      </c>
      <c r="AM556" s="181" t="str">
        <f t="shared" si="69"/>
        <v/>
      </c>
      <c r="AN556" s="181" t="str">
        <f t="shared" si="70"/>
        <v/>
      </c>
      <c r="AO556" s="192" t="str">
        <f t="shared" si="71"/>
        <v/>
      </c>
      <c r="AQ556" t="str">
        <f>IFERROR(LOOKUP(2,1/((C_Pavement!$A$5:$A$204&lt;&gt;"")*(C_Pavement!$A$5:$A$204&lt;=$B556)*(C_Pavement!$B$5:$B$204&gt;$B556)*(C_Pavement!$C$5:$C$204&lt;&gt;"")),ROW(C_Pavement!$C$5:$C$204)-4),"")</f>
        <v/>
      </c>
      <c r="AR556" t="str">
        <f>IF($AQ556="","",UPPER(TRIM(INDEX(C_Pavement!$C$5:$C$204,$AQ556))))</f>
        <v/>
      </c>
      <c r="AS556" t="str">
        <f>IF($AR556="","",IFERROR(MATCH($AR556,E_Rules!$A$5:$A$9,0),""))</f>
        <v/>
      </c>
      <c r="AT556" t="str">
        <f>IF($AQ556="","",IF(INDEX(C_Pavement!$D$5:$D$204,$AQ556)&lt;&gt;"",UPPER(TRIM(INDEX(C_Pavement!$D$5:$D$204,$AQ556))),IF($AS556="","",INDEX(E_Rules!$C$5:$C$9,$AS556))))</f>
        <v/>
      </c>
      <c r="AU556" t="str">
        <f>IF($AQ556="","",IF(INDEX(C_Pavement!$E$5:$E$204,$AQ556)&lt;&gt;"",IF(INDEX(C_Pavement!$E$5:$E$204,$AQ556)="-","",INDEX(C_Pavement!$E$5:$E$204,$AQ556)),IF($AS556="","",INDEX(E_Rules!$D$5:$D$9,$AS556))))</f>
        <v/>
      </c>
      <c r="AV556" t="str">
        <f>IF($AQ556="","",IF(INDEX(C_Pavement!$F$5:$F$204,$AQ556)&lt;&gt;"",IF(INDEX(C_Pavement!$F$5:$F$204,$AQ556)="-","",INDEX(C_Pavement!$F$5:$F$204,$AQ556)),IF($AS556="","",INDEX(E_Rules!$E$5:$E$9,$AS556))))</f>
        <v/>
      </c>
      <c r="AW556" t="str">
        <f>IF($AQ556="","",IF(INDEX(C_Pavement!$G$5:$G$204,$AQ556)&lt;&gt;"",IF(INDEX(C_Pavement!$G$5:$G$204,$AQ556)="-","",INDEX(C_Pavement!$G$5:$G$204,$AQ556)),IF($AS556="","",INDEX(E_Rules!$F$5:$F$9,$AS556))))</f>
        <v/>
      </c>
      <c r="AX556" t="str">
        <f>IF($AQ556="","",IF(INDEX(C_Pavement!$H$5:$H$204,$AQ556)&lt;&gt;"",IF(INDEX(C_Pavement!$H$5:$H$204,$AQ556)="-","",INDEX(C_Pavement!$H$5:$H$204,$AQ556)),IF($AS556="","",INDEX(E_Rules!$G$5:$G$9,$AS556))))</f>
        <v/>
      </c>
      <c r="AY556" t="str">
        <f>IF($AQ556="","",IF(INDEX(C_Pavement!$I$5:$I$204,$AQ556)&lt;&gt;"",IF(INDEX(C_Pavement!$I$5:$I$204,$AQ556)="-","",INDEX(C_Pavement!$I$5:$I$204,$AQ556)),IF($AS556="","",INDEX(E_Rules!$H$5:$H$9,$AS556))))</f>
        <v/>
      </c>
    </row>
    <row r="557" spans="1:51" ht="15.75" customHeight="1" x14ac:dyDescent="0.3">
      <c r="A557" s="189">
        <v>552</v>
      </c>
      <c r="B557" s="180">
        <v>27550</v>
      </c>
      <c r="C557" s="180" t="s">
        <v>863</v>
      </c>
      <c r="D557" s="181" t="str">
        <f>IFERROR(LOOKUP(2,1/((A_Corridor!$A$5:$A$204&lt;&gt;"")*(A_Corridor!$A$5:$A$204&lt;=$B557)*(A_Corridor!$B$5:$B$204&gt;$B557)*(A_Corridor!$C$5:$C$204&lt;&gt;"")),IF(UPPER(A_Corridor!$C$5:$C$204)="Y",1,"")),"")</f>
        <v/>
      </c>
      <c r="E557" s="181" t="str">
        <f>IFERROR(LOOKUP(2,1/((A_Corridor!$A$5:$A$204&lt;&gt;"")*(A_Corridor!$A$5:$A$204&lt;=$B557)*(A_Corridor!$B$5:$B$204&gt;$B557)*(A_Corridor!$D$5:$D$204&lt;&gt;"")),IF(A_Corridor!$D$5:$D$204="-","",UPPER(A_Corridor!$D$5:$D$204))),"")</f>
        <v/>
      </c>
      <c r="F557" s="181" t="str">
        <f>IFERROR(LOOKUP(2,1/((A_Corridor!$A$5:$A$204&lt;&gt;"")*(A_Corridor!$A$5:$A$204&lt;=$B557)*(A_Corridor!$B$5:$B$204&gt;$B557)*(A_Corridor!$E$5:$E$204&lt;&gt;"")),IF(A_Corridor!$E$5:$E$204="-","",1)),"")</f>
        <v/>
      </c>
      <c r="G557" s="182" t="str">
        <f>IFERROR(LOOKUP(2,1/((A_Corridor!$A$5:$A$204&lt;&gt;"")*(A_Corridor!$A$5:$A$204&lt;=$B557)*(A_Corridor!$B$5:$B$204&gt;$B557)*(A_Corridor!$E$5:$E$204&lt;&gt;"")),IF(A_Corridor!$E$5:$E$204="-","",A_Corridor!$E$5:$E$204)),"")</f>
        <v/>
      </c>
      <c r="H557" s="182" t="str">
        <f>IFERROR(LOOKUP(2,1/((D_Points!$A$5:$A$204&lt;&gt;"")*(D_Points!$A$5:$A$204&gt;=$B557)*(D_Points!$A$5:$A$204&lt;$B557+P_Interval)*(UPPER(TRIM(D_Points!$B$5:$B$204))="GULLY")*(D_Points!$H$5:$H$204&lt;&gt;"")),D_Points!$H$5:$H$204),"")</f>
        <v/>
      </c>
      <c r="I557" s="181" t="str">
        <f>IFERROR(LOOKUP(2,1/((A_Corridor!$A$5:$A$204&lt;&gt;"")*(A_Corridor!$A$5:$A$204&lt;=$B557)*(A_Corridor!$B$5:$B$204&gt;$B557)*(A_Corridor!$F$5:$F$204&lt;&gt;"")),IF(A_Corridor!$F$5:$F$204="-","",1)),"")</f>
        <v/>
      </c>
      <c r="J557" s="182" t="str">
        <f>IFERROR(LOOKUP(2,1/((A_Corridor!$A$5:$A$204&lt;&gt;"")*(A_Corridor!$A$5:$A$204&lt;=$B557)*(A_Corridor!$B$5:$B$204&gt;$B557)*(A_Corridor!$F$5:$F$204&lt;&gt;"")),IF(A_Corridor!$F$5:$F$204="-","",A_Corridor!$F$5:$F$204)),"")</f>
        <v/>
      </c>
      <c r="K557" s="182" t="str">
        <f>IFERROR(LOOKUP(2,1/((A_Corridor!$A$5:$A$204&lt;&gt;"")*(A_Corridor!$A$5:$A$204&lt;=$B557)*(A_Corridor!$B$5:$B$204&gt;$B557)*(A_Corridor!$G$5:$G$204&lt;&gt;"")),IF(A_Corridor!$G$5:$G$204="-","",A_Corridor!$G$5:$G$204)),"")</f>
        <v/>
      </c>
      <c r="L557" s="181" t="str">
        <f>IFERROR(LOOKUP(2,1/((A_Corridor!$A$5:$A$204&lt;&gt;"")*(A_Corridor!$A$5:$A$204&lt;=$B557)*(A_Corridor!$B$5:$B$204&gt;$B557)*(A_Corridor!$H$5:$H$204&lt;&gt;"")),IF(A_Corridor!$H$5:$H$204="-","",1)),"")</f>
        <v/>
      </c>
      <c r="M557" s="182" t="str">
        <f>IFERROR(LOOKUP(2,1/((A_Corridor!$A$5:$A$204&lt;&gt;"")*(A_Corridor!$A$5:$A$204&lt;=$B557)*(A_Corridor!$B$5:$B$204&gt;$B557)*(A_Corridor!$H$5:$H$204&lt;&gt;"")),IF(A_Corridor!$H$5:$H$204="-","",A_Corridor!$H$5:$H$204)),"")</f>
        <v/>
      </c>
      <c r="N557" s="182" t="str">
        <f>IFERROR(LOOKUP(2,1/((A_Corridor!$A$5:$A$204&lt;&gt;"")*(A_Corridor!$A$5:$A$204&lt;=$B557)*(A_Corridor!$B$5:$B$204&gt;$B557)*(A_Corridor!$I$5:$I$204&lt;&gt;"")),IF(A_Corridor!$I$5:$I$204="-","",A_Corridor!$I$5:$I$204)),"")</f>
        <v/>
      </c>
      <c r="O557" s="182" t="str">
        <f>IFERROR(LOOKUP(2,1/((D_Points!$A$5:$A$204&lt;&gt;"")*(D_Points!$A$5:$A$204&gt;=$B557)*(D_Points!$A$5:$A$204&lt;$B557+P_Interval)*(UPPER(TRIM(D_Points!$B$5:$B$204))="PITCHING")*(D_Points!$H$5:$H$204&lt;&gt;"")),D_Points!$H$5:$H$204),"")</f>
        <v/>
      </c>
      <c r="P557" s="181" t="str">
        <f>IFERROR(LOOKUP(2,1/((B_Drainage!$A$5:$A$204&lt;&gt;"")*(B_Drainage!$A$5:$A$204&lt;=$B557)*(B_Drainage!$B$5:$B$204&gt;$B557)*(B_Drainage!$C$5:$C$204&lt;&gt;"")),IF(B_Drainage!$C$5:$C$204="-","",UPPER(B_Drainage!$C$5:$C$204))),"")</f>
        <v/>
      </c>
      <c r="Q557" s="181" t="str">
        <f>IFERROR(LOOKUP(2,1/((B_Drainage!$A$5:$A$204&lt;&gt;"")*(B_Drainage!$A$5:$A$204&lt;=$B557)*(B_Drainage!$B$5:$B$204&gt;$B557)*(B_Drainage!$D$5:$D$204&lt;&gt;"")),IF(B_Drainage!$D$5:$D$204="-","",UPPER(B_Drainage!$D$5:$D$204))),"")</f>
        <v/>
      </c>
      <c r="R557" s="182" t="str">
        <f>IFERROR(LOOKUP(2,1/((D_Points!$A$5:$A$204&lt;&gt;"")*(D_Points!$A$5:$A$204&gt;=$B557)*(D_Points!$A$5:$A$204&lt;$B557+P_Interval)*(RIGHT(UPPER(TRIM(D_Points!$B$5:$B$204)),8)="_CULVERT")),IF(LEFT(UPPER(TRIM(D_Points!$B$5:$B$204)),2)="EX",1,IF(LEFT(UPPER(TRIM(D_Points!$B$5:$B$204)),2)="PR",2,3))),"")</f>
        <v/>
      </c>
      <c r="S557" s="182" t="str">
        <f>IFERROR(LOOKUP(2,1/((D_Points!$A$5:$A$204&lt;&gt;"")*(D_Points!$A$5:$A$204&gt;=$B557)*(D_Points!$A$5:$A$204&lt;$B557+P_Interval)*(RIGHT(UPPER(TRIM(D_Points!$B$5:$B$204)),7)="_BRIDGE")),IF(LEFT(UPPER(TRIM(D_Points!$B$5:$B$204)),2)="EX",1,IF(LEFT(UPPER(TRIM(D_Points!$B$5:$B$204)),2)="PR",2,2))),"")</f>
        <v/>
      </c>
      <c r="T557" s="181" t="str">
        <f>IFERROR(LOOKUP(2,1/((B_Drainage!$A$5:$A$204&lt;&gt;"")*(B_Drainage!$A$5:$A$204&lt;=$B557)*(B_Drainage!$B$5:$B$204&gt;$B557)*(B_Drainage!$E$5:$E$204&lt;&gt;"")),IF(B_Drainage!$E$5:$E$204="-","",1)),"")</f>
        <v/>
      </c>
      <c r="U557" s="181" t="str">
        <f>IFERROR(LOOKUP(2,1/((B_Drainage!$A$5:$A$204&lt;&gt;"")*(B_Drainage!$A$5:$A$204&lt;=$B557)*(B_Drainage!$B$5:$B$204&gt;$B557)*(B_Drainage!$E$5:$E$204&lt;&gt;"")),IF(B_Drainage!$E$5:$E$204="-","",B_Drainage!$E$5:$E$204)),"")</f>
        <v/>
      </c>
      <c r="V557" s="181" t="str">
        <f>IFERROR(LOOKUP(2,1/((B_Drainage!$A$5:$A$204&lt;&gt;"")*(B_Drainage!$A$5:$A$204&lt;=$B557)*(B_Drainage!$B$5:$B$204&gt;$B557)*(B_Drainage!$F$5:$F$204&lt;&gt;"")),IF(B_Drainage!$F$5:$F$204="-","",1)),"")</f>
        <v/>
      </c>
      <c r="W557" s="181" t="str">
        <f>IFERROR(LOOKUP(2,1/((B_Drainage!$A$5:$A$204&lt;&gt;"")*(B_Drainage!$A$5:$A$204&lt;=$B557)*(B_Drainage!$B$5:$B$204&gt;$B557)*(B_Drainage!$F$5:$F$204&lt;&gt;"")),IF(B_Drainage!$F$5:$F$204="-","",B_Drainage!$F$5:$F$204)),"")</f>
        <v/>
      </c>
      <c r="X557" s="181" t="str">
        <f>IFERROR(LOOKUP(2,1/((B_Drainage!$A$5:$A$204&lt;&gt;"")*(B_Drainage!$A$5:$A$204&lt;=$B557)*(B_Drainage!$B$5:$B$204&gt;$B557)*(B_Drainage!$G$5:$G$204&lt;&gt;"")),IF(UPPER(B_Drainage!$G$5:$G$204)="Y",1,"")),"")</f>
        <v/>
      </c>
      <c r="Y557" s="181" t="str">
        <f>IFERROR(LOOKUP(2,1/((B_Drainage!$A$5:$A$204&lt;&gt;"")*(B_Drainage!$A$5:$A$204&lt;=$B557)*(B_Drainage!$B$5:$B$204&gt;$B557)*(B_Drainage!$H$5:$H$204&lt;&gt;"")),IF(UPPER(B_Drainage!$H$5:$H$204)="Y",1,"")),"")</f>
        <v/>
      </c>
      <c r="Z557" s="181" t="str">
        <f>IFERROR(LOOKUP(2,1/((B_Drainage!$A$5:$A$204&lt;&gt;"")*(B_Drainage!$A$5:$A$204&lt;=$B557)*(B_Drainage!$B$5:$B$204&gt;$B557)*(B_Drainage!$I$5:$I$204&lt;&gt;"")),IF(UPPER(B_Drainage!$I$5:$I$204)="Y",1,"")),"")</f>
        <v/>
      </c>
      <c r="AA557" s="181" t="str">
        <f>IFERROR(LOOKUP(2,1/((B_Drainage!$A$5:$A$204&lt;&gt;"")*(B_Drainage!$A$5:$A$204&lt;=$B557)*(B_Drainage!$B$5:$B$204&gt;$B557)*(B_Drainage!$J$5:$J$204&lt;&gt;"")),IF(UPPER(B_Drainage!$J$5:$J$204)="Y",1,"")),"")</f>
        <v/>
      </c>
      <c r="AB557" s="182" t="str">
        <f>IFERROR(LOOKUP(2,1/((B_Drainage!$A$5:$A$204&lt;&gt;"")*(B_Drainage!$A$5:$A$204&lt;=$B557)*(B_Drainage!$B$5:$B$204&gt;$B557)*(B_Drainage!$K$5:$K$204&lt;&gt;"")),IF(B_Drainage!$K$5:$K$204="-","",B_Drainage!$K$5:$K$204)),"")</f>
        <v/>
      </c>
      <c r="AC557" s="182" t="str">
        <f>IFERROR(LOOKUP(2,1/((B_Drainage!$A$5:$A$204&lt;&gt;"")*(B_Drainage!$A$5:$A$204&lt;=$B557)*(B_Drainage!$B$5:$B$204&gt;$B557)*(B_Drainage!$L$5:$L$204&lt;&gt;"")),IF(B_Drainage!$L$5:$L$204="-","",B_Drainage!$L$5:$L$204)),"")</f>
        <v/>
      </c>
      <c r="AD557" s="182" t="str">
        <f>IFERROR(LOOKUP(2,1/((D_Points!$A$5:$A$204&lt;&gt;"")*(D_Points!$A$5:$A$204&gt;=$B557)*(D_Points!$A$5:$A$204&lt;$B557+P_Interval)*(UPPER(TRIM(D_Points!$B$5:$B$204))="TURNOUT_L")*(D_Points!$H$5:$H$204&lt;&gt;"")),D_Points!$H$5:$H$204),"")</f>
        <v/>
      </c>
      <c r="AE557" s="182" t="str">
        <f>IFERROR(LOOKUP(2,1/((D_Points!$A$5:$A$204&lt;&gt;"")*(D_Points!$A$5:$A$204&gt;=$B557)*(D_Points!$A$5:$A$204&lt;$B557+P_Interval)*(UPPER(TRIM(D_Points!$B$5:$B$204))="TURNOUT_R")*(D_Points!$H$5:$H$204&lt;&gt;"")),D_Points!$H$5:$H$204),"")</f>
        <v/>
      </c>
      <c r="AF557" s="181" t="str">
        <f>IFERROR(LOOKUP(2,1/((B_Drainage!$A$5:$A$204&lt;&gt;"")*(B_Drainage!$A$5:$A$204&lt;=$B557)*(B_Drainage!$B$5:$B$204&gt;$B557)*(B_Drainage!$M$5:$M$204&lt;&gt;"")),IF(UPPER(B_Drainage!$M$5:$M$204)="Y",1,"")),"")</f>
        <v/>
      </c>
      <c r="AG557" s="181" t="str">
        <f>IFERROR(LOOKUP(2,1/((B_Drainage!$A$5:$A$204&lt;&gt;"")*(B_Drainage!$A$5:$A$204&lt;=$B557)*(B_Drainage!$B$5:$B$204&gt;$B557)*(B_Drainage!$N$5:$N$204&lt;&gt;"")),IF(UPPER(B_Drainage!$N$5:$N$204)="Y",1,"")),"")</f>
        <v/>
      </c>
      <c r="AH557" s="181" t="str">
        <f t="shared" si="64"/>
        <v/>
      </c>
      <c r="AI557" s="181" t="str">
        <f t="shared" si="65"/>
        <v/>
      </c>
      <c r="AJ557" s="181" t="str">
        <f t="shared" si="66"/>
        <v/>
      </c>
      <c r="AK557" s="181" t="str">
        <f t="shared" si="67"/>
        <v/>
      </c>
      <c r="AL557" s="181" t="str">
        <f t="shared" si="68"/>
        <v/>
      </c>
      <c r="AM557" s="181" t="str">
        <f t="shared" si="69"/>
        <v/>
      </c>
      <c r="AN557" s="181" t="str">
        <f t="shared" si="70"/>
        <v/>
      </c>
      <c r="AO557" s="192" t="str">
        <f t="shared" si="71"/>
        <v/>
      </c>
      <c r="AQ557" t="str">
        <f>IFERROR(LOOKUP(2,1/((C_Pavement!$A$5:$A$204&lt;&gt;"")*(C_Pavement!$A$5:$A$204&lt;=$B557)*(C_Pavement!$B$5:$B$204&gt;$B557)*(C_Pavement!$C$5:$C$204&lt;&gt;"")),ROW(C_Pavement!$C$5:$C$204)-4),"")</f>
        <v/>
      </c>
      <c r="AR557" t="str">
        <f>IF($AQ557="","",UPPER(TRIM(INDEX(C_Pavement!$C$5:$C$204,$AQ557))))</f>
        <v/>
      </c>
      <c r="AS557" t="str">
        <f>IF($AR557="","",IFERROR(MATCH($AR557,E_Rules!$A$5:$A$9,0),""))</f>
        <v/>
      </c>
      <c r="AT557" t="str">
        <f>IF($AQ557="","",IF(INDEX(C_Pavement!$D$5:$D$204,$AQ557)&lt;&gt;"",UPPER(TRIM(INDEX(C_Pavement!$D$5:$D$204,$AQ557))),IF($AS557="","",INDEX(E_Rules!$C$5:$C$9,$AS557))))</f>
        <v/>
      </c>
      <c r="AU557" t="str">
        <f>IF($AQ557="","",IF(INDEX(C_Pavement!$E$5:$E$204,$AQ557)&lt;&gt;"",IF(INDEX(C_Pavement!$E$5:$E$204,$AQ557)="-","",INDEX(C_Pavement!$E$5:$E$204,$AQ557)),IF($AS557="","",INDEX(E_Rules!$D$5:$D$9,$AS557))))</f>
        <v/>
      </c>
      <c r="AV557" t="str">
        <f>IF($AQ557="","",IF(INDEX(C_Pavement!$F$5:$F$204,$AQ557)&lt;&gt;"",IF(INDEX(C_Pavement!$F$5:$F$204,$AQ557)="-","",INDEX(C_Pavement!$F$5:$F$204,$AQ557)),IF($AS557="","",INDEX(E_Rules!$E$5:$E$9,$AS557))))</f>
        <v/>
      </c>
      <c r="AW557" t="str">
        <f>IF($AQ557="","",IF(INDEX(C_Pavement!$G$5:$G$204,$AQ557)&lt;&gt;"",IF(INDEX(C_Pavement!$G$5:$G$204,$AQ557)="-","",INDEX(C_Pavement!$G$5:$G$204,$AQ557)),IF($AS557="","",INDEX(E_Rules!$F$5:$F$9,$AS557))))</f>
        <v/>
      </c>
      <c r="AX557" t="str">
        <f>IF($AQ557="","",IF(INDEX(C_Pavement!$H$5:$H$204,$AQ557)&lt;&gt;"",IF(INDEX(C_Pavement!$H$5:$H$204,$AQ557)="-","",INDEX(C_Pavement!$H$5:$H$204,$AQ557)),IF($AS557="","",INDEX(E_Rules!$G$5:$G$9,$AS557))))</f>
        <v/>
      </c>
      <c r="AY557" t="str">
        <f>IF($AQ557="","",IF(INDEX(C_Pavement!$I$5:$I$204,$AQ557)&lt;&gt;"",IF(INDEX(C_Pavement!$I$5:$I$204,$AQ557)="-","",INDEX(C_Pavement!$I$5:$I$204,$AQ557)),IF($AS557="","",INDEX(E_Rules!$H$5:$H$9,$AS557))))</f>
        <v/>
      </c>
    </row>
    <row r="558" spans="1:51" ht="15.75" customHeight="1" x14ac:dyDescent="0.3">
      <c r="A558" s="189">
        <v>553</v>
      </c>
      <c r="B558" s="180">
        <v>27600</v>
      </c>
      <c r="C558" s="180" t="s">
        <v>864</v>
      </c>
      <c r="D558" s="181" t="str">
        <f>IFERROR(LOOKUP(2,1/((A_Corridor!$A$5:$A$204&lt;&gt;"")*(A_Corridor!$A$5:$A$204&lt;=$B558)*(A_Corridor!$B$5:$B$204&gt;$B558)*(A_Corridor!$C$5:$C$204&lt;&gt;"")),IF(UPPER(A_Corridor!$C$5:$C$204)="Y",1,"")),"")</f>
        <v/>
      </c>
      <c r="E558" s="181" t="str">
        <f>IFERROR(LOOKUP(2,1/((A_Corridor!$A$5:$A$204&lt;&gt;"")*(A_Corridor!$A$5:$A$204&lt;=$B558)*(A_Corridor!$B$5:$B$204&gt;$B558)*(A_Corridor!$D$5:$D$204&lt;&gt;"")),IF(A_Corridor!$D$5:$D$204="-","",UPPER(A_Corridor!$D$5:$D$204))),"")</f>
        <v/>
      </c>
      <c r="F558" s="181" t="str">
        <f>IFERROR(LOOKUP(2,1/((A_Corridor!$A$5:$A$204&lt;&gt;"")*(A_Corridor!$A$5:$A$204&lt;=$B558)*(A_Corridor!$B$5:$B$204&gt;$B558)*(A_Corridor!$E$5:$E$204&lt;&gt;"")),IF(A_Corridor!$E$5:$E$204="-","",1)),"")</f>
        <v/>
      </c>
      <c r="G558" s="182" t="str">
        <f>IFERROR(LOOKUP(2,1/((A_Corridor!$A$5:$A$204&lt;&gt;"")*(A_Corridor!$A$5:$A$204&lt;=$B558)*(A_Corridor!$B$5:$B$204&gt;$B558)*(A_Corridor!$E$5:$E$204&lt;&gt;"")),IF(A_Corridor!$E$5:$E$204="-","",A_Corridor!$E$5:$E$204)),"")</f>
        <v/>
      </c>
      <c r="H558" s="182" t="str">
        <f>IFERROR(LOOKUP(2,1/((D_Points!$A$5:$A$204&lt;&gt;"")*(D_Points!$A$5:$A$204&gt;=$B558)*(D_Points!$A$5:$A$204&lt;$B558+P_Interval)*(UPPER(TRIM(D_Points!$B$5:$B$204))="GULLY")*(D_Points!$H$5:$H$204&lt;&gt;"")),D_Points!$H$5:$H$204),"")</f>
        <v/>
      </c>
      <c r="I558" s="181" t="str">
        <f>IFERROR(LOOKUP(2,1/((A_Corridor!$A$5:$A$204&lt;&gt;"")*(A_Corridor!$A$5:$A$204&lt;=$B558)*(A_Corridor!$B$5:$B$204&gt;$B558)*(A_Corridor!$F$5:$F$204&lt;&gt;"")),IF(A_Corridor!$F$5:$F$204="-","",1)),"")</f>
        <v/>
      </c>
      <c r="J558" s="182" t="str">
        <f>IFERROR(LOOKUP(2,1/((A_Corridor!$A$5:$A$204&lt;&gt;"")*(A_Corridor!$A$5:$A$204&lt;=$B558)*(A_Corridor!$B$5:$B$204&gt;$B558)*(A_Corridor!$F$5:$F$204&lt;&gt;"")),IF(A_Corridor!$F$5:$F$204="-","",A_Corridor!$F$5:$F$204)),"")</f>
        <v/>
      </c>
      <c r="K558" s="182" t="str">
        <f>IFERROR(LOOKUP(2,1/((A_Corridor!$A$5:$A$204&lt;&gt;"")*(A_Corridor!$A$5:$A$204&lt;=$B558)*(A_Corridor!$B$5:$B$204&gt;$B558)*(A_Corridor!$G$5:$G$204&lt;&gt;"")),IF(A_Corridor!$G$5:$G$204="-","",A_Corridor!$G$5:$G$204)),"")</f>
        <v/>
      </c>
      <c r="L558" s="181" t="str">
        <f>IFERROR(LOOKUP(2,1/((A_Corridor!$A$5:$A$204&lt;&gt;"")*(A_Corridor!$A$5:$A$204&lt;=$B558)*(A_Corridor!$B$5:$B$204&gt;$B558)*(A_Corridor!$H$5:$H$204&lt;&gt;"")),IF(A_Corridor!$H$5:$H$204="-","",1)),"")</f>
        <v/>
      </c>
      <c r="M558" s="182" t="str">
        <f>IFERROR(LOOKUP(2,1/((A_Corridor!$A$5:$A$204&lt;&gt;"")*(A_Corridor!$A$5:$A$204&lt;=$B558)*(A_Corridor!$B$5:$B$204&gt;$B558)*(A_Corridor!$H$5:$H$204&lt;&gt;"")),IF(A_Corridor!$H$5:$H$204="-","",A_Corridor!$H$5:$H$204)),"")</f>
        <v/>
      </c>
      <c r="N558" s="182" t="str">
        <f>IFERROR(LOOKUP(2,1/((A_Corridor!$A$5:$A$204&lt;&gt;"")*(A_Corridor!$A$5:$A$204&lt;=$B558)*(A_Corridor!$B$5:$B$204&gt;$B558)*(A_Corridor!$I$5:$I$204&lt;&gt;"")),IF(A_Corridor!$I$5:$I$204="-","",A_Corridor!$I$5:$I$204)),"")</f>
        <v/>
      </c>
      <c r="O558" s="182" t="str">
        <f>IFERROR(LOOKUP(2,1/((D_Points!$A$5:$A$204&lt;&gt;"")*(D_Points!$A$5:$A$204&gt;=$B558)*(D_Points!$A$5:$A$204&lt;$B558+P_Interval)*(UPPER(TRIM(D_Points!$B$5:$B$204))="PITCHING")*(D_Points!$H$5:$H$204&lt;&gt;"")),D_Points!$H$5:$H$204),"")</f>
        <v/>
      </c>
      <c r="P558" s="181" t="str">
        <f>IFERROR(LOOKUP(2,1/((B_Drainage!$A$5:$A$204&lt;&gt;"")*(B_Drainage!$A$5:$A$204&lt;=$B558)*(B_Drainage!$B$5:$B$204&gt;$B558)*(B_Drainage!$C$5:$C$204&lt;&gt;"")),IF(B_Drainage!$C$5:$C$204="-","",UPPER(B_Drainage!$C$5:$C$204))),"")</f>
        <v/>
      </c>
      <c r="Q558" s="181" t="str">
        <f>IFERROR(LOOKUP(2,1/((B_Drainage!$A$5:$A$204&lt;&gt;"")*(B_Drainage!$A$5:$A$204&lt;=$B558)*(B_Drainage!$B$5:$B$204&gt;$B558)*(B_Drainage!$D$5:$D$204&lt;&gt;"")),IF(B_Drainage!$D$5:$D$204="-","",UPPER(B_Drainage!$D$5:$D$204))),"")</f>
        <v/>
      </c>
      <c r="R558" s="182" t="str">
        <f>IFERROR(LOOKUP(2,1/((D_Points!$A$5:$A$204&lt;&gt;"")*(D_Points!$A$5:$A$204&gt;=$B558)*(D_Points!$A$5:$A$204&lt;$B558+P_Interval)*(RIGHT(UPPER(TRIM(D_Points!$B$5:$B$204)),8)="_CULVERT")),IF(LEFT(UPPER(TRIM(D_Points!$B$5:$B$204)),2)="EX",1,IF(LEFT(UPPER(TRIM(D_Points!$B$5:$B$204)),2)="PR",2,3))),"")</f>
        <v/>
      </c>
      <c r="S558" s="182" t="str">
        <f>IFERROR(LOOKUP(2,1/((D_Points!$A$5:$A$204&lt;&gt;"")*(D_Points!$A$5:$A$204&gt;=$B558)*(D_Points!$A$5:$A$204&lt;$B558+P_Interval)*(RIGHT(UPPER(TRIM(D_Points!$B$5:$B$204)),7)="_BRIDGE")),IF(LEFT(UPPER(TRIM(D_Points!$B$5:$B$204)),2)="EX",1,IF(LEFT(UPPER(TRIM(D_Points!$B$5:$B$204)),2)="PR",2,2))),"")</f>
        <v/>
      </c>
      <c r="T558" s="181" t="str">
        <f>IFERROR(LOOKUP(2,1/((B_Drainage!$A$5:$A$204&lt;&gt;"")*(B_Drainage!$A$5:$A$204&lt;=$B558)*(B_Drainage!$B$5:$B$204&gt;$B558)*(B_Drainage!$E$5:$E$204&lt;&gt;"")),IF(B_Drainage!$E$5:$E$204="-","",1)),"")</f>
        <v/>
      </c>
      <c r="U558" s="181" t="str">
        <f>IFERROR(LOOKUP(2,1/((B_Drainage!$A$5:$A$204&lt;&gt;"")*(B_Drainage!$A$5:$A$204&lt;=$B558)*(B_Drainage!$B$5:$B$204&gt;$B558)*(B_Drainage!$E$5:$E$204&lt;&gt;"")),IF(B_Drainage!$E$5:$E$204="-","",B_Drainage!$E$5:$E$204)),"")</f>
        <v/>
      </c>
      <c r="V558" s="181" t="str">
        <f>IFERROR(LOOKUP(2,1/((B_Drainage!$A$5:$A$204&lt;&gt;"")*(B_Drainage!$A$5:$A$204&lt;=$B558)*(B_Drainage!$B$5:$B$204&gt;$B558)*(B_Drainage!$F$5:$F$204&lt;&gt;"")),IF(B_Drainage!$F$5:$F$204="-","",1)),"")</f>
        <v/>
      </c>
      <c r="W558" s="181" t="str">
        <f>IFERROR(LOOKUP(2,1/((B_Drainage!$A$5:$A$204&lt;&gt;"")*(B_Drainage!$A$5:$A$204&lt;=$B558)*(B_Drainage!$B$5:$B$204&gt;$B558)*(B_Drainage!$F$5:$F$204&lt;&gt;"")),IF(B_Drainage!$F$5:$F$204="-","",B_Drainage!$F$5:$F$204)),"")</f>
        <v/>
      </c>
      <c r="X558" s="181" t="str">
        <f>IFERROR(LOOKUP(2,1/((B_Drainage!$A$5:$A$204&lt;&gt;"")*(B_Drainage!$A$5:$A$204&lt;=$B558)*(B_Drainage!$B$5:$B$204&gt;$B558)*(B_Drainage!$G$5:$G$204&lt;&gt;"")),IF(UPPER(B_Drainage!$G$5:$G$204)="Y",1,"")),"")</f>
        <v/>
      </c>
      <c r="Y558" s="181" t="str">
        <f>IFERROR(LOOKUP(2,1/((B_Drainage!$A$5:$A$204&lt;&gt;"")*(B_Drainage!$A$5:$A$204&lt;=$B558)*(B_Drainage!$B$5:$B$204&gt;$B558)*(B_Drainage!$H$5:$H$204&lt;&gt;"")),IF(UPPER(B_Drainage!$H$5:$H$204)="Y",1,"")),"")</f>
        <v/>
      </c>
      <c r="Z558" s="181" t="str">
        <f>IFERROR(LOOKUP(2,1/((B_Drainage!$A$5:$A$204&lt;&gt;"")*(B_Drainage!$A$5:$A$204&lt;=$B558)*(B_Drainage!$B$5:$B$204&gt;$B558)*(B_Drainage!$I$5:$I$204&lt;&gt;"")),IF(UPPER(B_Drainage!$I$5:$I$204)="Y",1,"")),"")</f>
        <v/>
      </c>
      <c r="AA558" s="181" t="str">
        <f>IFERROR(LOOKUP(2,1/((B_Drainage!$A$5:$A$204&lt;&gt;"")*(B_Drainage!$A$5:$A$204&lt;=$B558)*(B_Drainage!$B$5:$B$204&gt;$B558)*(B_Drainage!$J$5:$J$204&lt;&gt;"")),IF(UPPER(B_Drainage!$J$5:$J$204)="Y",1,"")),"")</f>
        <v/>
      </c>
      <c r="AB558" s="182" t="str">
        <f>IFERROR(LOOKUP(2,1/((B_Drainage!$A$5:$A$204&lt;&gt;"")*(B_Drainage!$A$5:$A$204&lt;=$B558)*(B_Drainage!$B$5:$B$204&gt;$B558)*(B_Drainage!$K$5:$K$204&lt;&gt;"")),IF(B_Drainage!$K$5:$K$204="-","",B_Drainage!$K$5:$K$204)),"")</f>
        <v/>
      </c>
      <c r="AC558" s="182" t="str">
        <f>IFERROR(LOOKUP(2,1/((B_Drainage!$A$5:$A$204&lt;&gt;"")*(B_Drainage!$A$5:$A$204&lt;=$B558)*(B_Drainage!$B$5:$B$204&gt;$B558)*(B_Drainage!$L$5:$L$204&lt;&gt;"")),IF(B_Drainage!$L$5:$L$204="-","",B_Drainage!$L$5:$L$204)),"")</f>
        <v/>
      </c>
      <c r="AD558" s="182" t="str">
        <f>IFERROR(LOOKUP(2,1/((D_Points!$A$5:$A$204&lt;&gt;"")*(D_Points!$A$5:$A$204&gt;=$B558)*(D_Points!$A$5:$A$204&lt;$B558+P_Interval)*(UPPER(TRIM(D_Points!$B$5:$B$204))="TURNOUT_L")*(D_Points!$H$5:$H$204&lt;&gt;"")),D_Points!$H$5:$H$204),"")</f>
        <v/>
      </c>
      <c r="AE558" s="182" t="str">
        <f>IFERROR(LOOKUP(2,1/((D_Points!$A$5:$A$204&lt;&gt;"")*(D_Points!$A$5:$A$204&gt;=$B558)*(D_Points!$A$5:$A$204&lt;$B558+P_Interval)*(UPPER(TRIM(D_Points!$B$5:$B$204))="TURNOUT_R")*(D_Points!$H$5:$H$204&lt;&gt;"")),D_Points!$H$5:$H$204),"")</f>
        <v/>
      </c>
      <c r="AF558" s="181" t="str">
        <f>IFERROR(LOOKUP(2,1/((B_Drainage!$A$5:$A$204&lt;&gt;"")*(B_Drainage!$A$5:$A$204&lt;=$B558)*(B_Drainage!$B$5:$B$204&gt;$B558)*(B_Drainage!$M$5:$M$204&lt;&gt;"")),IF(UPPER(B_Drainage!$M$5:$M$204)="Y",1,"")),"")</f>
        <v/>
      </c>
      <c r="AG558" s="181" t="str">
        <f>IFERROR(LOOKUP(2,1/((B_Drainage!$A$5:$A$204&lt;&gt;"")*(B_Drainage!$A$5:$A$204&lt;=$B558)*(B_Drainage!$B$5:$B$204&gt;$B558)*(B_Drainage!$N$5:$N$204&lt;&gt;"")),IF(UPPER(B_Drainage!$N$5:$N$204)="Y",1,"")),"")</f>
        <v/>
      </c>
      <c r="AH558" s="181" t="str">
        <f t="shared" si="64"/>
        <v/>
      </c>
      <c r="AI558" s="181" t="str">
        <f t="shared" si="65"/>
        <v/>
      </c>
      <c r="AJ558" s="181" t="str">
        <f t="shared" si="66"/>
        <v/>
      </c>
      <c r="AK558" s="181" t="str">
        <f t="shared" si="67"/>
        <v/>
      </c>
      <c r="AL558" s="181" t="str">
        <f t="shared" si="68"/>
        <v/>
      </c>
      <c r="AM558" s="181" t="str">
        <f t="shared" si="69"/>
        <v/>
      </c>
      <c r="AN558" s="181" t="str">
        <f t="shared" si="70"/>
        <v/>
      </c>
      <c r="AO558" s="192" t="str">
        <f t="shared" si="71"/>
        <v/>
      </c>
      <c r="AQ558" t="str">
        <f>IFERROR(LOOKUP(2,1/((C_Pavement!$A$5:$A$204&lt;&gt;"")*(C_Pavement!$A$5:$A$204&lt;=$B558)*(C_Pavement!$B$5:$B$204&gt;$B558)*(C_Pavement!$C$5:$C$204&lt;&gt;"")),ROW(C_Pavement!$C$5:$C$204)-4),"")</f>
        <v/>
      </c>
      <c r="AR558" t="str">
        <f>IF($AQ558="","",UPPER(TRIM(INDEX(C_Pavement!$C$5:$C$204,$AQ558))))</f>
        <v/>
      </c>
      <c r="AS558" t="str">
        <f>IF($AR558="","",IFERROR(MATCH($AR558,E_Rules!$A$5:$A$9,0),""))</f>
        <v/>
      </c>
      <c r="AT558" t="str">
        <f>IF($AQ558="","",IF(INDEX(C_Pavement!$D$5:$D$204,$AQ558)&lt;&gt;"",UPPER(TRIM(INDEX(C_Pavement!$D$5:$D$204,$AQ558))),IF($AS558="","",INDEX(E_Rules!$C$5:$C$9,$AS558))))</f>
        <v/>
      </c>
      <c r="AU558" t="str">
        <f>IF($AQ558="","",IF(INDEX(C_Pavement!$E$5:$E$204,$AQ558)&lt;&gt;"",IF(INDEX(C_Pavement!$E$5:$E$204,$AQ558)="-","",INDEX(C_Pavement!$E$5:$E$204,$AQ558)),IF($AS558="","",INDEX(E_Rules!$D$5:$D$9,$AS558))))</f>
        <v/>
      </c>
      <c r="AV558" t="str">
        <f>IF($AQ558="","",IF(INDEX(C_Pavement!$F$5:$F$204,$AQ558)&lt;&gt;"",IF(INDEX(C_Pavement!$F$5:$F$204,$AQ558)="-","",INDEX(C_Pavement!$F$5:$F$204,$AQ558)),IF($AS558="","",INDEX(E_Rules!$E$5:$E$9,$AS558))))</f>
        <v/>
      </c>
      <c r="AW558" t="str">
        <f>IF($AQ558="","",IF(INDEX(C_Pavement!$G$5:$G$204,$AQ558)&lt;&gt;"",IF(INDEX(C_Pavement!$G$5:$G$204,$AQ558)="-","",INDEX(C_Pavement!$G$5:$G$204,$AQ558)),IF($AS558="","",INDEX(E_Rules!$F$5:$F$9,$AS558))))</f>
        <v/>
      </c>
      <c r="AX558" t="str">
        <f>IF($AQ558="","",IF(INDEX(C_Pavement!$H$5:$H$204,$AQ558)&lt;&gt;"",IF(INDEX(C_Pavement!$H$5:$H$204,$AQ558)="-","",INDEX(C_Pavement!$H$5:$H$204,$AQ558)),IF($AS558="","",INDEX(E_Rules!$G$5:$G$9,$AS558))))</f>
        <v/>
      </c>
      <c r="AY558" t="str">
        <f>IF($AQ558="","",IF(INDEX(C_Pavement!$I$5:$I$204,$AQ558)&lt;&gt;"",IF(INDEX(C_Pavement!$I$5:$I$204,$AQ558)="-","",INDEX(C_Pavement!$I$5:$I$204,$AQ558)),IF($AS558="","",INDEX(E_Rules!$H$5:$H$9,$AS558))))</f>
        <v/>
      </c>
    </row>
    <row r="559" spans="1:51" ht="15.75" customHeight="1" x14ac:dyDescent="0.3">
      <c r="A559" s="189">
        <v>554</v>
      </c>
      <c r="B559" s="180">
        <v>27650</v>
      </c>
      <c r="C559" s="180" t="s">
        <v>865</v>
      </c>
      <c r="D559" s="181" t="str">
        <f>IFERROR(LOOKUP(2,1/((A_Corridor!$A$5:$A$204&lt;&gt;"")*(A_Corridor!$A$5:$A$204&lt;=$B559)*(A_Corridor!$B$5:$B$204&gt;$B559)*(A_Corridor!$C$5:$C$204&lt;&gt;"")),IF(UPPER(A_Corridor!$C$5:$C$204)="Y",1,"")),"")</f>
        <v/>
      </c>
      <c r="E559" s="181" t="str">
        <f>IFERROR(LOOKUP(2,1/((A_Corridor!$A$5:$A$204&lt;&gt;"")*(A_Corridor!$A$5:$A$204&lt;=$B559)*(A_Corridor!$B$5:$B$204&gt;$B559)*(A_Corridor!$D$5:$D$204&lt;&gt;"")),IF(A_Corridor!$D$5:$D$204="-","",UPPER(A_Corridor!$D$5:$D$204))),"")</f>
        <v/>
      </c>
      <c r="F559" s="181" t="str">
        <f>IFERROR(LOOKUP(2,1/((A_Corridor!$A$5:$A$204&lt;&gt;"")*(A_Corridor!$A$5:$A$204&lt;=$B559)*(A_Corridor!$B$5:$B$204&gt;$B559)*(A_Corridor!$E$5:$E$204&lt;&gt;"")),IF(A_Corridor!$E$5:$E$204="-","",1)),"")</f>
        <v/>
      </c>
      <c r="G559" s="182" t="str">
        <f>IFERROR(LOOKUP(2,1/((A_Corridor!$A$5:$A$204&lt;&gt;"")*(A_Corridor!$A$5:$A$204&lt;=$B559)*(A_Corridor!$B$5:$B$204&gt;$B559)*(A_Corridor!$E$5:$E$204&lt;&gt;"")),IF(A_Corridor!$E$5:$E$204="-","",A_Corridor!$E$5:$E$204)),"")</f>
        <v/>
      </c>
      <c r="H559" s="182" t="str">
        <f>IFERROR(LOOKUP(2,1/((D_Points!$A$5:$A$204&lt;&gt;"")*(D_Points!$A$5:$A$204&gt;=$B559)*(D_Points!$A$5:$A$204&lt;$B559+P_Interval)*(UPPER(TRIM(D_Points!$B$5:$B$204))="GULLY")*(D_Points!$H$5:$H$204&lt;&gt;"")),D_Points!$H$5:$H$204),"")</f>
        <v/>
      </c>
      <c r="I559" s="181" t="str">
        <f>IFERROR(LOOKUP(2,1/((A_Corridor!$A$5:$A$204&lt;&gt;"")*(A_Corridor!$A$5:$A$204&lt;=$B559)*(A_Corridor!$B$5:$B$204&gt;$B559)*(A_Corridor!$F$5:$F$204&lt;&gt;"")),IF(A_Corridor!$F$5:$F$204="-","",1)),"")</f>
        <v/>
      </c>
      <c r="J559" s="182" t="str">
        <f>IFERROR(LOOKUP(2,1/((A_Corridor!$A$5:$A$204&lt;&gt;"")*(A_Corridor!$A$5:$A$204&lt;=$B559)*(A_Corridor!$B$5:$B$204&gt;$B559)*(A_Corridor!$F$5:$F$204&lt;&gt;"")),IF(A_Corridor!$F$5:$F$204="-","",A_Corridor!$F$5:$F$204)),"")</f>
        <v/>
      </c>
      <c r="K559" s="182" t="str">
        <f>IFERROR(LOOKUP(2,1/((A_Corridor!$A$5:$A$204&lt;&gt;"")*(A_Corridor!$A$5:$A$204&lt;=$B559)*(A_Corridor!$B$5:$B$204&gt;$B559)*(A_Corridor!$G$5:$G$204&lt;&gt;"")),IF(A_Corridor!$G$5:$G$204="-","",A_Corridor!$G$5:$G$204)),"")</f>
        <v/>
      </c>
      <c r="L559" s="181" t="str">
        <f>IFERROR(LOOKUP(2,1/((A_Corridor!$A$5:$A$204&lt;&gt;"")*(A_Corridor!$A$5:$A$204&lt;=$B559)*(A_Corridor!$B$5:$B$204&gt;$B559)*(A_Corridor!$H$5:$H$204&lt;&gt;"")),IF(A_Corridor!$H$5:$H$204="-","",1)),"")</f>
        <v/>
      </c>
      <c r="M559" s="182" t="str">
        <f>IFERROR(LOOKUP(2,1/((A_Corridor!$A$5:$A$204&lt;&gt;"")*(A_Corridor!$A$5:$A$204&lt;=$B559)*(A_Corridor!$B$5:$B$204&gt;$B559)*(A_Corridor!$H$5:$H$204&lt;&gt;"")),IF(A_Corridor!$H$5:$H$204="-","",A_Corridor!$H$5:$H$204)),"")</f>
        <v/>
      </c>
      <c r="N559" s="182" t="str">
        <f>IFERROR(LOOKUP(2,1/((A_Corridor!$A$5:$A$204&lt;&gt;"")*(A_Corridor!$A$5:$A$204&lt;=$B559)*(A_Corridor!$B$5:$B$204&gt;$B559)*(A_Corridor!$I$5:$I$204&lt;&gt;"")),IF(A_Corridor!$I$5:$I$204="-","",A_Corridor!$I$5:$I$204)),"")</f>
        <v/>
      </c>
      <c r="O559" s="182" t="str">
        <f>IFERROR(LOOKUP(2,1/((D_Points!$A$5:$A$204&lt;&gt;"")*(D_Points!$A$5:$A$204&gt;=$B559)*(D_Points!$A$5:$A$204&lt;$B559+P_Interval)*(UPPER(TRIM(D_Points!$B$5:$B$204))="PITCHING")*(D_Points!$H$5:$H$204&lt;&gt;"")),D_Points!$H$5:$H$204),"")</f>
        <v/>
      </c>
      <c r="P559" s="181" t="str">
        <f>IFERROR(LOOKUP(2,1/((B_Drainage!$A$5:$A$204&lt;&gt;"")*(B_Drainage!$A$5:$A$204&lt;=$B559)*(B_Drainage!$B$5:$B$204&gt;$B559)*(B_Drainage!$C$5:$C$204&lt;&gt;"")),IF(B_Drainage!$C$5:$C$204="-","",UPPER(B_Drainage!$C$5:$C$204))),"")</f>
        <v/>
      </c>
      <c r="Q559" s="181" t="str">
        <f>IFERROR(LOOKUP(2,1/((B_Drainage!$A$5:$A$204&lt;&gt;"")*(B_Drainage!$A$5:$A$204&lt;=$B559)*(B_Drainage!$B$5:$B$204&gt;$B559)*(B_Drainage!$D$5:$D$204&lt;&gt;"")),IF(B_Drainage!$D$5:$D$204="-","",UPPER(B_Drainage!$D$5:$D$204))),"")</f>
        <v/>
      </c>
      <c r="R559" s="182" t="str">
        <f>IFERROR(LOOKUP(2,1/((D_Points!$A$5:$A$204&lt;&gt;"")*(D_Points!$A$5:$A$204&gt;=$B559)*(D_Points!$A$5:$A$204&lt;$B559+P_Interval)*(RIGHT(UPPER(TRIM(D_Points!$B$5:$B$204)),8)="_CULVERT")),IF(LEFT(UPPER(TRIM(D_Points!$B$5:$B$204)),2)="EX",1,IF(LEFT(UPPER(TRIM(D_Points!$B$5:$B$204)),2)="PR",2,3))),"")</f>
        <v/>
      </c>
      <c r="S559" s="182" t="str">
        <f>IFERROR(LOOKUP(2,1/((D_Points!$A$5:$A$204&lt;&gt;"")*(D_Points!$A$5:$A$204&gt;=$B559)*(D_Points!$A$5:$A$204&lt;$B559+P_Interval)*(RIGHT(UPPER(TRIM(D_Points!$B$5:$B$204)),7)="_BRIDGE")),IF(LEFT(UPPER(TRIM(D_Points!$B$5:$B$204)),2)="EX",1,IF(LEFT(UPPER(TRIM(D_Points!$B$5:$B$204)),2)="PR",2,2))),"")</f>
        <v/>
      </c>
      <c r="T559" s="181" t="str">
        <f>IFERROR(LOOKUP(2,1/((B_Drainage!$A$5:$A$204&lt;&gt;"")*(B_Drainage!$A$5:$A$204&lt;=$B559)*(B_Drainage!$B$5:$B$204&gt;$B559)*(B_Drainage!$E$5:$E$204&lt;&gt;"")),IF(B_Drainage!$E$5:$E$204="-","",1)),"")</f>
        <v/>
      </c>
      <c r="U559" s="181" t="str">
        <f>IFERROR(LOOKUP(2,1/((B_Drainage!$A$5:$A$204&lt;&gt;"")*(B_Drainage!$A$5:$A$204&lt;=$B559)*(B_Drainage!$B$5:$B$204&gt;$B559)*(B_Drainage!$E$5:$E$204&lt;&gt;"")),IF(B_Drainage!$E$5:$E$204="-","",B_Drainage!$E$5:$E$204)),"")</f>
        <v/>
      </c>
      <c r="V559" s="181" t="str">
        <f>IFERROR(LOOKUP(2,1/((B_Drainage!$A$5:$A$204&lt;&gt;"")*(B_Drainage!$A$5:$A$204&lt;=$B559)*(B_Drainage!$B$5:$B$204&gt;$B559)*(B_Drainage!$F$5:$F$204&lt;&gt;"")),IF(B_Drainage!$F$5:$F$204="-","",1)),"")</f>
        <v/>
      </c>
      <c r="W559" s="181" t="str">
        <f>IFERROR(LOOKUP(2,1/((B_Drainage!$A$5:$A$204&lt;&gt;"")*(B_Drainage!$A$5:$A$204&lt;=$B559)*(B_Drainage!$B$5:$B$204&gt;$B559)*(B_Drainage!$F$5:$F$204&lt;&gt;"")),IF(B_Drainage!$F$5:$F$204="-","",B_Drainage!$F$5:$F$204)),"")</f>
        <v/>
      </c>
      <c r="X559" s="181" t="str">
        <f>IFERROR(LOOKUP(2,1/((B_Drainage!$A$5:$A$204&lt;&gt;"")*(B_Drainage!$A$5:$A$204&lt;=$B559)*(B_Drainage!$B$5:$B$204&gt;$B559)*(B_Drainage!$G$5:$G$204&lt;&gt;"")),IF(UPPER(B_Drainage!$G$5:$G$204)="Y",1,"")),"")</f>
        <v/>
      </c>
      <c r="Y559" s="181" t="str">
        <f>IFERROR(LOOKUP(2,1/((B_Drainage!$A$5:$A$204&lt;&gt;"")*(B_Drainage!$A$5:$A$204&lt;=$B559)*(B_Drainage!$B$5:$B$204&gt;$B559)*(B_Drainage!$H$5:$H$204&lt;&gt;"")),IF(UPPER(B_Drainage!$H$5:$H$204)="Y",1,"")),"")</f>
        <v/>
      </c>
      <c r="Z559" s="181" t="str">
        <f>IFERROR(LOOKUP(2,1/((B_Drainage!$A$5:$A$204&lt;&gt;"")*(B_Drainage!$A$5:$A$204&lt;=$B559)*(B_Drainage!$B$5:$B$204&gt;$B559)*(B_Drainage!$I$5:$I$204&lt;&gt;"")),IF(UPPER(B_Drainage!$I$5:$I$204)="Y",1,"")),"")</f>
        <v/>
      </c>
      <c r="AA559" s="181" t="str">
        <f>IFERROR(LOOKUP(2,1/((B_Drainage!$A$5:$A$204&lt;&gt;"")*(B_Drainage!$A$5:$A$204&lt;=$B559)*(B_Drainage!$B$5:$B$204&gt;$B559)*(B_Drainage!$J$5:$J$204&lt;&gt;"")),IF(UPPER(B_Drainage!$J$5:$J$204)="Y",1,"")),"")</f>
        <v/>
      </c>
      <c r="AB559" s="182" t="str">
        <f>IFERROR(LOOKUP(2,1/((B_Drainage!$A$5:$A$204&lt;&gt;"")*(B_Drainage!$A$5:$A$204&lt;=$B559)*(B_Drainage!$B$5:$B$204&gt;$B559)*(B_Drainage!$K$5:$K$204&lt;&gt;"")),IF(B_Drainage!$K$5:$K$204="-","",B_Drainage!$K$5:$K$204)),"")</f>
        <v/>
      </c>
      <c r="AC559" s="182" t="str">
        <f>IFERROR(LOOKUP(2,1/((B_Drainage!$A$5:$A$204&lt;&gt;"")*(B_Drainage!$A$5:$A$204&lt;=$B559)*(B_Drainage!$B$5:$B$204&gt;$B559)*(B_Drainage!$L$5:$L$204&lt;&gt;"")),IF(B_Drainage!$L$5:$L$204="-","",B_Drainage!$L$5:$L$204)),"")</f>
        <v/>
      </c>
      <c r="AD559" s="182" t="str">
        <f>IFERROR(LOOKUP(2,1/((D_Points!$A$5:$A$204&lt;&gt;"")*(D_Points!$A$5:$A$204&gt;=$B559)*(D_Points!$A$5:$A$204&lt;$B559+P_Interval)*(UPPER(TRIM(D_Points!$B$5:$B$204))="TURNOUT_L")*(D_Points!$H$5:$H$204&lt;&gt;"")),D_Points!$H$5:$H$204),"")</f>
        <v/>
      </c>
      <c r="AE559" s="182" t="str">
        <f>IFERROR(LOOKUP(2,1/((D_Points!$A$5:$A$204&lt;&gt;"")*(D_Points!$A$5:$A$204&gt;=$B559)*(D_Points!$A$5:$A$204&lt;$B559+P_Interval)*(UPPER(TRIM(D_Points!$B$5:$B$204))="TURNOUT_R")*(D_Points!$H$5:$H$204&lt;&gt;"")),D_Points!$H$5:$H$204),"")</f>
        <v/>
      </c>
      <c r="AF559" s="181" t="str">
        <f>IFERROR(LOOKUP(2,1/((B_Drainage!$A$5:$A$204&lt;&gt;"")*(B_Drainage!$A$5:$A$204&lt;=$B559)*(B_Drainage!$B$5:$B$204&gt;$B559)*(B_Drainage!$M$5:$M$204&lt;&gt;"")),IF(UPPER(B_Drainage!$M$5:$M$204)="Y",1,"")),"")</f>
        <v/>
      </c>
      <c r="AG559" s="181" t="str">
        <f>IFERROR(LOOKUP(2,1/((B_Drainage!$A$5:$A$204&lt;&gt;"")*(B_Drainage!$A$5:$A$204&lt;=$B559)*(B_Drainage!$B$5:$B$204&gt;$B559)*(B_Drainage!$N$5:$N$204&lt;&gt;"")),IF(UPPER(B_Drainage!$N$5:$N$204)="Y",1,"")),"")</f>
        <v/>
      </c>
      <c r="AH559" s="181" t="str">
        <f t="shared" si="64"/>
        <v/>
      </c>
      <c r="AI559" s="181" t="str">
        <f t="shared" si="65"/>
        <v/>
      </c>
      <c r="AJ559" s="181" t="str">
        <f t="shared" si="66"/>
        <v/>
      </c>
      <c r="AK559" s="181" t="str">
        <f t="shared" si="67"/>
        <v/>
      </c>
      <c r="AL559" s="181" t="str">
        <f t="shared" si="68"/>
        <v/>
      </c>
      <c r="AM559" s="181" t="str">
        <f t="shared" si="69"/>
        <v/>
      </c>
      <c r="AN559" s="181" t="str">
        <f t="shared" si="70"/>
        <v/>
      </c>
      <c r="AO559" s="192" t="str">
        <f t="shared" si="71"/>
        <v/>
      </c>
      <c r="AQ559" t="str">
        <f>IFERROR(LOOKUP(2,1/((C_Pavement!$A$5:$A$204&lt;&gt;"")*(C_Pavement!$A$5:$A$204&lt;=$B559)*(C_Pavement!$B$5:$B$204&gt;$B559)*(C_Pavement!$C$5:$C$204&lt;&gt;"")),ROW(C_Pavement!$C$5:$C$204)-4),"")</f>
        <v/>
      </c>
      <c r="AR559" t="str">
        <f>IF($AQ559="","",UPPER(TRIM(INDEX(C_Pavement!$C$5:$C$204,$AQ559))))</f>
        <v/>
      </c>
      <c r="AS559" t="str">
        <f>IF($AR559="","",IFERROR(MATCH($AR559,E_Rules!$A$5:$A$9,0),""))</f>
        <v/>
      </c>
      <c r="AT559" t="str">
        <f>IF($AQ559="","",IF(INDEX(C_Pavement!$D$5:$D$204,$AQ559)&lt;&gt;"",UPPER(TRIM(INDEX(C_Pavement!$D$5:$D$204,$AQ559))),IF($AS559="","",INDEX(E_Rules!$C$5:$C$9,$AS559))))</f>
        <v/>
      </c>
      <c r="AU559" t="str">
        <f>IF($AQ559="","",IF(INDEX(C_Pavement!$E$5:$E$204,$AQ559)&lt;&gt;"",IF(INDEX(C_Pavement!$E$5:$E$204,$AQ559)="-","",INDEX(C_Pavement!$E$5:$E$204,$AQ559)),IF($AS559="","",INDEX(E_Rules!$D$5:$D$9,$AS559))))</f>
        <v/>
      </c>
      <c r="AV559" t="str">
        <f>IF($AQ559="","",IF(INDEX(C_Pavement!$F$5:$F$204,$AQ559)&lt;&gt;"",IF(INDEX(C_Pavement!$F$5:$F$204,$AQ559)="-","",INDEX(C_Pavement!$F$5:$F$204,$AQ559)),IF($AS559="","",INDEX(E_Rules!$E$5:$E$9,$AS559))))</f>
        <v/>
      </c>
      <c r="AW559" t="str">
        <f>IF($AQ559="","",IF(INDEX(C_Pavement!$G$5:$G$204,$AQ559)&lt;&gt;"",IF(INDEX(C_Pavement!$G$5:$G$204,$AQ559)="-","",INDEX(C_Pavement!$G$5:$G$204,$AQ559)),IF($AS559="","",INDEX(E_Rules!$F$5:$F$9,$AS559))))</f>
        <v/>
      </c>
      <c r="AX559" t="str">
        <f>IF($AQ559="","",IF(INDEX(C_Pavement!$H$5:$H$204,$AQ559)&lt;&gt;"",IF(INDEX(C_Pavement!$H$5:$H$204,$AQ559)="-","",INDEX(C_Pavement!$H$5:$H$204,$AQ559)),IF($AS559="","",INDEX(E_Rules!$G$5:$G$9,$AS559))))</f>
        <v/>
      </c>
      <c r="AY559" t="str">
        <f>IF($AQ559="","",IF(INDEX(C_Pavement!$I$5:$I$204,$AQ559)&lt;&gt;"",IF(INDEX(C_Pavement!$I$5:$I$204,$AQ559)="-","",INDEX(C_Pavement!$I$5:$I$204,$AQ559)),IF($AS559="","",INDEX(E_Rules!$H$5:$H$9,$AS559))))</f>
        <v/>
      </c>
    </row>
    <row r="560" spans="1:51" ht="15.75" customHeight="1" x14ac:dyDescent="0.3">
      <c r="A560" s="189">
        <v>555</v>
      </c>
      <c r="B560" s="180">
        <v>27700</v>
      </c>
      <c r="C560" s="180" t="s">
        <v>866</v>
      </c>
      <c r="D560" s="181" t="str">
        <f>IFERROR(LOOKUP(2,1/((A_Corridor!$A$5:$A$204&lt;&gt;"")*(A_Corridor!$A$5:$A$204&lt;=$B560)*(A_Corridor!$B$5:$B$204&gt;$B560)*(A_Corridor!$C$5:$C$204&lt;&gt;"")),IF(UPPER(A_Corridor!$C$5:$C$204)="Y",1,"")),"")</f>
        <v/>
      </c>
      <c r="E560" s="181" t="str">
        <f>IFERROR(LOOKUP(2,1/((A_Corridor!$A$5:$A$204&lt;&gt;"")*(A_Corridor!$A$5:$A$204&lt;=$B560)*(A_Corridor!$B$5:$B$204&gt;$B560)*(A_Corridor!$D$5:$D$204&lt;&gt;"")),IF(A_Corridor!$D$5:$D$204="-","",UPPER(A_Corridor!$D$5:$D$204))),"")</f>
        <v/>
      </c>
      <c r="F560" s="181" t="str">
        <f>IFERROR(LOOKUP(2,1/((A_Corridor!$A$5:$A$204&lt;&gt;"")*(A_Corridor!$A$5:$A$204&lt;=$B560)*(A_Corridor!$B$5:$B$204&gt;$B560)*(A_Corridor!$E$5:$E$204&lt;&gt;"")),IF(A_Corridor!$E$5:$E$204="-","",1)),"")</f>
        <v/>
      </c>
      <c r="G560" s="182" t="str">
        <f>IFERROR(LOOKUP(2,1/((A_Corridor!$A$5:$A$204&lt;&gt;"")*(A_Corridor!$A$5:$A$204&lt;=$B560)*(A_Corridor!$B$5:$B$204&gt;$B560)*(A_Corridor!$E$5:$E$204&lt;&gt;"")),IF(A_Corridor!$E$5:$E$204="-","",A_Corridor!$E$5:$E$204)),"")</f>
        <v/>
      </c>
      <c r="H560" s="182" t="str">
        <f>IFERROR(LOOKUP(2,1/((D_Points!$A$5:$A$204&lt;&gt;"")*(D_Points!$A$5:$A$204&gt;=$B560)*(D_Points!$A$5:$A$204&lt;$B560+P_Interval)*(UPPER(TRIM(D_Points!$B$5:$B$204))="GULLY")*(D_Points!$H$5:$H$204&lt;&gt;"")),D_Points!$H$5:$H$204),"")</f>
        <v/>
      </c>
      <c r="I560" s="181" t="str">
        <f>IFERROR(LOOKUP(2,1/((A_Corridor!$A$5:$A$204&lt;&gt;"")*(A_Corridor!$A$5:$A$204&lt;=$B560)*(A_Corridor!$B$5:$B$204&gt;$B560)*(A_Corridor!$F$5:$F$204&lt;&gt;"")),IF(A_Corridor!$F$5:$F$204="-","",1)),"")</f>
        <v/>
      </c>
      <c r="J560" s="182" t="str">
        <f>IFERROR(LOOKUP(2,1/((A_Corridor!$A$5:$A$204&lt;&gt;"")*(A_Corridor!$A$5:$A$204&lt;=$B560)*(A_Corridor!$B$5:$B$204&gt;$B560)*(A_Corridor!$F$5:$F$204&lt;&gt;"")),IF(A_Corridor!$F$5:$F$204="-","",A_Corridor!$F$5:$F$204)),"")</f>
        <v/>
      </c>
      <c r="K560" s="182" t="str">
        <f>IFERROR(LOOKUP(2,1/((A_Corridor!$A$5:$A$204&lt;&gt;"")*(A_Corridor!$A$5:$A$204&lt;=$B560)*(A_Corridor!$B$5:$B$204&gt;$B560)*(A_Corridor!$G$5:$G$204&lt;&gt;"")),IF(A_Corridor!$G$5:$G$204="-","",A_Corridor!$G$5:$G$204)),"")</f>
        <v/>
      </c>
      <c r="L560" s="181" t="str">
        <f>IFERROR(LOOKUP(2,1/((A_Corridor!$A$5:$A$204&lt;&gt;"")*(A_Corridor!$A$5:$A$204&lt;=$B560)*(A_Corridor!$B$5:$B$204&gt;$B560)*(A_Corridor!$H$5:$H$204&lt;&gt;"")),IF(A_Corridor!$H$5:$H$204="-","",1)),"")</f>
        <v/>
      </c>
      <c r="M560" s="182" t="str">
        <f>IFERROR(LOOKUP(2,1/((A_Corridor!$A$5:$A$204&lt;&gt;"")*(A_Corridor!$A$5:$A$204&lt;=$B560)*(A_Corridor!$B$5:$B$204&gt;$B560)*(A_Corridor!$H$5:$H$204&lt;&gt;"")),IF(A_Corridor!$H$5:$H$204="-","",A_Corridor!$H$5:$H$204)),"")</f>
        <v/>
      </c>
      <c r="N560" s="182" t="str">
        <f>IFERROR(LOOKUP(2,1/((A_Corridor!$A$5:$A$204&lt;&gt;"")*(A_Corridor!$A$5:$A$204&lt;=$B560)*(A_Corridor!$B$5:$B$204&gt;$B560)*(A_Corridor!$I$5:$I$204&lt;&gt;"")),IF(A_Corridor!$I$5:$I$204="-","",A_Corridor!$I$5:$I$204)),"")</f>
        <v/>
      </c>
      <c r="O560" s="182" t="str">
        <f>IFERROR(LOOKUP(2,1/((D_Points!$A$5:$A$204&lt;&gt;"")*(D_Points!$A$5:$A$204&gt;=$B560)*(D_Points!$A$5:$A$204&lt;$B560+P_Interval)*(UPPER(TRIM(D_Points!$B$5:$B$204))="PITCHING")*(D_Points!$H$5:$H$204&lt;&gt;"")),D_Points!$H$5:$H$204),"")</f>
        <v/>
      </c>
      <c r="P560" s="181" t="str">
        <f>IFERROR(LOOKUP(2,1/((B_Drainage!$A$5:$A$204&lt;&gt;"")*(B_Drainage!$A$5:$A$204&lt;=$B560)*(B_Drainage!$B$5:$B$204&gt;$B560)*(B_Drainage!$C$5:$C$204&lt;&gt;"")),IF(B_Drainage!$C$5:$C$204="-","",UPPER(B_Drainage!$C$5:$C$204))),"")</f>
        <v/>
      </c>
      <c r="Q560" s="181" t="str">
        <f>IFERROR(LOOKUP(2,1/((B_Drainage!$A$5:$A$204&lt;&gt;"")*(B_Drainage!$A$5:$A$204&lt;=$B560)*(B_Drainage!$B$5:$B$204&gt;$B560)*(B_Drainage!$D$5:$D$204&lt;&gt;"")),IF(B_Drainage!$D$5:$D$204="-","",UPPER(B_Drainage!$D$5:$D$204))),"")</f>
        <v/>
      </c>
      <c r="R560" s="182" t="str">
        <f>IFERROR(LOOKUP(2,1/((D_Points!$A$5:$A$204&lt;&gt;"")*(D_Points!$A$5:$A$204&gt;=$B560)*(D_Points!$A$5:$A$204&lt;$B560+P_Interval)*(RIGHT(UPPER(TRIM(D_Points!$B$5:$B$204)),8)="_CULVERT")),IF(LEFT(UPPER(TRIM(D_Points!$B$5:$B$204)),2)="EX",1,IF(LEFT(UPPER(TRIM(D_Points!$B$5:$B$204)),2)="PR",2,3))),"")</f>
        <v/>
      </c>
      <c r="S560" s="182" t="str">
        <f>IFERROR(LOOKUP(2,1/((D_Points!$A$5:$A$204&lt;&gt;"")*(D_Points!$A$5:$A$204&gt;=$B560)*(D_Points!$A$5:$A$204&lt;$B560+P_Interval)*(RIGHT(UPPER(TRIM(D_Points!$B$5:$B$204)),7)="_BRIDGE")),IF(LEFT(UPPER(TRIM(D_Points!$B$5:$B$204)),2)="EX",1,IF(LEFT(UPPER(TRIM(D_Points!$B$5:$B$204)),2)="PR",2,2))),"")</f>
        <v/>
      </c>
      <c r="T560" s="181" t="str">
        <f>IFERROR(LOOKUP(2,1/((B_Drainage!$A$5:$A$204&lt;&gt;"")*(B_Drainage!$A$5:$A$204&lt;=$B560)*(B_Drainage!$B$5:$B$204&gt;$B560)*(B_Drainage!$E$5:$E$204&lt;&gt;"")),IF(B_Drainage!$E$5:$E$204="-","",1)),"")</f>
        <v/>
      </c>
      <c r="U560" s="181" t="str">
        <f>IFERROR(LOOKUP(2,1/((B_Drainage!$A$5:$A$204&lt;&gt;"")*(B_Drainage!$A$5:$A$204&lt;=$B560)*(B_Drainage!$B$5:$B$204&gt;$B560)*(B_Drainage!$E$5:$E$204&lt;&gt;"")),IF(B_Drainage!$E$5:$E$204="-","",B_Drainage!$E$5:$E$204)),"")</f>
        <v/>
      </c>
      <c r="V560" s="181" t="str">
        <f>IFERROR(LOOKUP(2,1/((B_Drainage!$A$5:$A$204&lt;&gt;"")*(B_Drainage!$A$5:$A$204&lt;=$B560)*(B_Drainage!$B$5:$B$204&gt;$B560)*(B_Drainage!$F$5:$F$204&lt;&gt;"")),IF(B_Drainage!$F$5:$F$204="-","",1)),"")</f>
        <v/>
      </c>
      <c r="W560" s="181" t="str">
        <f>IFERROR(LOOKUP(2,1/((B_Drainage!$A$5:$A$204&lt;&gt;"")*(B_Drainage!$A$5:$A$204&lt;=$B560)*(B_Drainage!$B$5:$B$204&gt;$B560)*(B_Drainage!$F$5:$F$204&lt;&gt;"")),IF(B_Drainage!$F$5:$F$204="-","",B_Drainage!$F$5:$F$204)),"")</f>
        <v/>
      </c>
      <c r="X560" s="181" t="str">
        <f>IFERROR(LOOKUP(2,1/((B_Drainage!$A$5:$A$204&lt;&gt;"")*(B_Drainage!$A$5:$A$204&lt;=$B560)*(B_Drainage!$B$5:$B$204&gt;$B560)*(B_Drainage!$G$5:$G$204&lt;&gt;"")),IF(UPPER(B_Drainage!$G$5:$G$204)="Y",1,"")),"")</f>
        <v/>
      </c>
      <c r="Y560" s="181" t="str">
        <f>IFERROR(LOOKUP(2,1/((B_Drainage!$A$5:$A$204&lt;&gt;"")*(B_Drainage!$A$5:$A$204&lt;=$B560)*(B_Drainage!$B$5:$B$204&gt;$B560)*(B_Drainage!$H$5:$H$204&lt;&gt;"")),IF(UPPER(B_Drainage!$H$5:$H$204)="Y",1,"")),"")</f>
        <v/>
      </c>
      <c r="Z560" s="181" t="str">
        <f>IFERROR(LOOKUP(2,1/((B_Drainage!$A$5:$A$204&lt;&gt;"")*(B_Drainage!$A$5:$A$204&lt;=$B560)*(B_Drainage!$B$5:$B$204&gt;$B560)*(B_Drainage!$I$5:$I$204&lt;&gt;"")),IF(UPPER(B_Drainage!$I$5:$I$204)="Y",1,"")),"")</f>
        <v/>
      </c>
      <c r="AA560" s="181" t="str">
        <f>IFERROR(LOOKUP(2,1/((B_Drainage!$A$5:$A$204&lt;&gt;"")*(B_Drainage!$A$5:$A$204&lt;=$B560)*(B_Drainage!$B$5:$B$204&gt;$B560)*(B_Drainage!$J$5:$J$204&lt;&gt;"")),IF(UPPER(B_Drainage!$J$5:$J$204)="Y",1,"")),"")</f>
        <v/>
      </c>
      <c r="AB560" s="182" t="str">
        <f>IFERROR(LOOKUP(2,1/((B_Drainage!$A$5:$A$204&lt;&gt;"")*(B_Drainage!$A$5:$A$204&lt;=$B560)*(B_Drainage!$B$5:$B$204&gt;$B560)*(B_Drainage!$K$5:$K$204&lt;&gt;"")),IF(B_Drainage!$K$5:$K$204="-","",B_Drainage!$K$5:$K$204)),"")</f>
        <v/>
      </c>
      <c r="AC560" s="182" t="str">
        <f>IFERROR(LOOKUP(2,1/((B_Drainage!$A$5:$A$204&lt;&gt;"")*(B_Drainage!$A$5:$A$204&lt;=$B560)*(B_Drainage!$B$5:$B$204&gt;$B560)*(B_Drainage!$L$5:$L$204&lt;&gt;"")),IF(B_Drainage!$L$5:$L$204="-","",B_Drainage!$L$5:$L$204)),"")</f>
        <v/>
      </c>
      <c r="AD560" s="182" t="str">
        <f>IFERROR(LOOKUP(2,1/((D_Points!$A$5:$A$204&lt;&gt;"")*(D_Points!$A$5:$A$204&gt;=$B560)*(D_Points!$A$5:$A$204&lt;$B560+P_Interval)*(UPPER(TRIM(D_Points!$B$5:$B$204))="TURNOUT_L")*(D_Points!$H$5:$H$204&lt;&gt;"")),D_Points!$H$5:$H$204),"")</f>
        <v/>
      </c>
      <c r="AE560" s="182" t="str">
        <f>IFERROR(LOOKUP(2,1/((D_Points!$A$5:$A$204&lt;&gt;"")*(D_Points!$A$5:$A$204&gt;=$B560)*(D_Points!$A$5:$A$204&lt;$B560+P_Interval)*(UPPER(TRIM(D_Points!$B$5:$B$204))="TURNOUT_R")*(D_Points!$H$5:$H$204&lt;&gt;"")),D_Points!$H$5:$H$204),"")</f>
        <v/>
      </c>
      <c r="AF560" s="181" t="str">
        <f>IFERROR(LOOKUP(2,1/((B_Drainage!$A$5:$A$204&lt;&gt;"")*(B_Drainage!$A$5:$A$204&lt;=$B560)*(B_Drainage!$B$5:$B$204&gt;$B560)*(B_Drainage!$M$5:$M$204&lt;&gt;"")),IF(UPPER(B_Drainage!$M$5:$M$204)="Y",1,"")),"")</f>
        <v/>
      </c>
      <c r="AG560" s="181" t="str">
        <f>IFERROR(LOOKUP(2,1/((B_Drainage!$A$5:$A$204&lt;&gt;"")*(B_Drainage!$A$5:$A$204&lt;=$B560)*(B_Drainage!$B$5:$B$204&gt;$B560)*(B_Drainage!$N$5:$N$204&lt;&gt;"")),IF(UPPER(B_Drainage!$N$5:$N$204)="Y",1,"")),"")</f>
        <v/>
      </c>
      <c r="AH560" s="181" t="str">
        <f t="shared" si="64"/>
        <v/>
      </c>
      <c r="AI560" s="181" t="str">
        <f t="shared" si="65"/>
        <v/>
      </c>
      <c r="AJ560" s="181" t="str">
        <f t="shared" si="66"/>
        <v/>
      </c>
      <c r="AK560" s="181" t="str">
        <f t="shared" si="67"/>
        <v/>
      </c>
      <c r="AL560" s="181" t="str">
        <f t="shared" si="68"/>
        <v/>
      </c>
      <c r="AM560" s="181" t="str">
        <f t="shared" si="69"/>
        <v/>
      </c>
      <c r="AN560" s="181" t="str">
        <f t="shared" si="70"/>
        <v/>
      </c>
      <c r="AO560" s="192" t="str">
        <f t="shared" si="71"/>
        <v/>
      </c>
      <c r="AQ560" t="str">
        <f>IFERROR(LOOKUP(2,1/((C_Pavement!$A$5:$A$204&lt;&gt;"")*(C_Pavement!$A$5:$A$204&lt;=$B560)*(C_Pavement!$B$5:$B$204&gt;$B560)*(C_Pavement!$C$5:$C$204&lt;&gt;"")),ROW(C_Pavement!$C$5:$C$204)-4),"")</f>
        <v/>
      </c>
      <c r="AR560" t="str">
        <f>IF($AQ560="","",UPPER(TRIM(INDEX(C_Pavement!$C$5:$C$204,$AQ560))))</f>
        <v/>
      </c>
      <c r="AS560" t="str">
        <f>IF($AR560="","",IFERROR(MATCH($AR560,E_Rules!$A$5:$A$9,0),""))</f>
        <v/>
      </c>
      <c r="AT560" t="str">
        <f>IF($AQ560="","",IF(INDEX(C_Pavement!$D$5:$D$204,$AQ560)&lt;&gt;"",UPPER(TRIM(INDEX(C_Pavement!$D$5:$D$204,$AQ560))),IF($AS560="","",INDEX(E_Rules!$C$5:$C$9,$AS560))))</f>
        <v/>
      </c>
      <c r="AU560" t="str">
        <f>IF($AQ560="","",IF(INDEX(C_Pavement!$E$5:$E$204,$AQ560)&lt;&gt;"",IF(INDEX(C_Pavement!$E$5:$E$204,$AQ560)="-","",INDEX(C_Pavement!$E$5:$E$204,$AQ560)),IF($AS560="","",INDEX(E_Rules!$D$5:$D$9,$AS560))))</f>
        <v/>
      </c>
      <c r="AV560" t="str">
        <f>IF($AQ560="","",IF(INDEX(C_Pavement!$F$5:$F$204,$AQ560)&lt;&gt;"",IF(INDEX(C_Pavement!$F$5:$F$204,$AQ560)="-","",INDEX(C_Pavement!$F$5:$F$204,$AQ560)),IF($AS560="","",INDEX(E_Rules!$E$5:$E$9,$AS560))))</f>
        <v/>
      </c>
      <c r="AW560" t="str">
        <f>IF($AQ560="","",IF(INDEX(C_Pavement!$G$5:$G$204,$AQ560)&lt;&gt;"",IF(INDEX(C_Pavement!$G$5:$G$204,$AQ560)="-","",INDEX(C_Pavement!$G$5:$G$204,$AQ560)),IF($AS560="","",INDEX(E_Rules!$F$5:$F$9,$AS560))))</f>
        <v/>
      </c>
      <c r="AX560" t="str">
        <f>IF($AQ560="","",IF(INDEX(C_Pavement!$H$5:$H$204,$AQ560)&lt;&gt;"",IF(INDEX(C_Pavement!$H$5:$H$204,$AQ560)="-","",INDEX(C_Pavement!$H$5:$H$204,$AQ560)),IF($AS560="","",INDEX(E_Rules!$G$5:$G$9,$AS560))))</f>
        <v/>
      </c>
      <c r="AY560" t="str">
        <f>IF($AQ560="","",IF(INDEX(C_Pavement!$I$5:$I$204,$AQ560)&lt;&gt;"",IF(INDEX(C_Pavement!$I$5:$I$204,$AQ560)="-","",INDEX(C_Pavement!$I$5:$I$204,$AQ560)),IF($AS560="","",INDEX(E_Rules!$H$5:$H$9,$AS560))))</f>
        <v/>
      </c>
    </row>
    <row r="561" spans="1:51" ht="15.75" customHeight="1" x14ac:dyDescent="0.3">
      <c r="A561" s="189">
        <v>556</v>
      </c>
      <c r="B561" s="180">
        <v>27750</v>
      </c>
      <c r="C561" s="180" t="s">
        <v>867</v>
      </c>
      <c r="D561" s="181" t="str">
        <f>IFERROR(LOOKUP(2,1/((A_Corridor!$A$5:$A$204&lt;&gt;"")*(A_Corridor!$A$5:$A$204&lt;=$B561)*(A_Corridor!$B$5:$B$204&gt;$B561)*(A_Corridor!$C$5:$C$204&lt;&gt;"")),IF(UPPER(A_Corridor!$C$5:$C$204)="Y",1,"")),"")</f>
        <v/>
      </c>
      <c r="E561" s="181" t="str">
        <f>IFERROR(LOOKUP(2,1/((A_Corridor!$A$5:$A$204&lt;&gt;"")*(A_Corridor!$A$5:$A$204&lt;=$B561)*(A_Corridor!$B$5:$B$204&gt;$B561)*(A_Corridor!$D$5:$D$204&lt;&gt;"")),IF(A_Corridor!$D$5:$D$204="-","",UPPER(A_Corridor!$D$5:$D$204))),"")</f>
        <v/>
      </c>
      <c r="F561" s="181" t="str">
        <f>IFERROR(LOOKUP(2,1/((A_Corridor!$A$5:$A$204&lt;&gt;"")*(A_Corridor!$A$5:$A$204&lt;=$B561)*(A_Corridor!$B$5:$B$204&gt;$B561)*(A_Corridor!$E$5:$E$204&lt;&gt;"")),IF(A_Corridor!$E$5:$E$204="-","",1)),"")</f>
        <v/>
      </c>
      <c r="G561" s="182" t="str">
        <f>IFERROR(LOOKUP(2,1/((A_Corridor!$A$5:$A$204&lt;&gt;"")*(A_Corridor!$A$5:$A$204&lt;=$B561)*(A_Corridor!$B$5:$B$204&gt;$B561)*(A_Corridor!$E$5:$E$204&lt;&gt;"")),IF(A_Corridor!$E$5:$E$204="-","",A_Corridor!$E$5:$E$204)),"")</f>
        <v/>
      </c>
      <c r="H561" s="182" t="str">
        <f>IFERROR(LOOKUP(2,1/((D_Points!$A$5:$A$204&lt;&gt;"")*(D_Points!$A$5:$A$204&gt;=$B561)*(D_Points!$A$5:$A$204&lt;$B561+P_Interval)*(UPPER(TRIM(D_Points!$B$5:$B$204))="GULLY")*(D_Points!$H$5:$H$204&lt;&gt;"")),D_Points!$H$5:$H$204),"")</f>
        <v/>
      </c>
      <c r="I561" s="181" t="str">
        <f>IFERROR(LOOKUP(2,1/((A_Corridor!$A$5:$A$204&lt;&gt;"")*(A_Corridor!$A$5:$A$204&lt;=$B561)*(A_Corridor!$B$5:$B$204&gt;$B561)*(A_Corridor!$F$5:$F$204&lt;&gt;"")),IF(A_Corridor!$F$5:$F$204="-","",1)),"")</f>
        <v/>
      </c>
      <c r="J561" s="182" t="str">
        <f>IFERROR(LOOKUP(2,1/((A_Corridor!$A$5:$A$204&lt;&gt;"")*(A_Corridor!$A$5:$A$204&lt;=$B561)*(A_Corridor!$B$5:$B$204&gt;$B561)*(A_Corridor!$F$5:$F$204&lt;&gt;"")),IF(A_Corridor!$F$5:$F$204="-","",A_Corridor!$F$5:$F$204)),"")</f>
        <v/>
      </c>
      <c r="K561" s="182" t="str">
        <f>IFERROR(LOOKUP(2,1/((A_Corridor!$A$5:$A$204&lt;&gt;"")*(A_Corridor!$A$5:$A$204&lt;=$B561)*(A_Corridor!$B$5:$B$204&gt;$B561)*(A_Corridor!$G$5:$G$204&lt;&gt;"")),IF(A_Corridor!$G$5:$G$204="-","",A_Corridor!$G$5:$G$204)),"")</f>
        <v/>
      </c>
      <c r="L561" s="181" t="str">
        <f>IFERROR(LOOKUP(2,1/((A_Corridor!$A$5:$A$204&lt;&gt;"")*(A_Corridor!$A$5:$A$204&lt;=$B561)*(A_Corridor!$B$5:$B$204&gt;$B561)*(A_Corridor!$H$5:$H$204&lt;&gt;"")),IF(A_Corridor!$H$5:$H$204="-","",1)),"")</f>
        <v/>
      </c>
      <c r="M561" s="182" t="str">
        <f>IFERROR(LOOKUP(2,1/((A_Corridor!$A$5:$A$204&lt;&gt;"")*(A_Corridor!$A$5:$A$204&lt;=$B561)*(A_Corridor!$B$5:$B$204&gt;$B561)*(A_Corridor!$H$5:$H$204&lt;&gt;"")),IF(A_Corridor!$H$5:$H$204="-","",A_Corridor!$H$5:$H$204)),"")</f>
        <v/>
      </c>
      <c r="N561" s="182" t="str">
        <f>IFERROR(LOOKUP(2,1/((A_Corridor!$A$5:$A$204&lt;&gt;"")*(A_Corridor!$A$5:$A$204&lt;=$B561)*(A_Corridor!$B$5:$B$204&gt;$B561)*(A_Corridor!$I$5:$I$204&lt;&gt;"")),IF(A_Corridor!$I$5:$I$204="-","",A_Corridor!$I$5:$I$204)),"")</f>
        <v/>
      </c>
      <c r="O561" s="182" t="str">
        <f>IFERROR(LOOKUP(2,1/((D_Points!$A$5:$A$204&lt;&gt;"")*(D_Points!$A$5:$A$204&gt;=$B561)*(D_Points!$A$5:$A$204&lt;$B561+P_Interval)*(UPPER(TRIM(D_Points!$B$5:$B$204))="PITCHING")*(D_Points!$H$5:$H$204&lt;&gt;"")),D_Points!$H$5:$H$204),"")</f>
        <v/>
      </c>
      <c r="P561" s="181" t="str">
        <f>IFERROR(LOOKUP(2,1/((B_Drainage!$A$5:$A$204&lt;&gt;"")*(B_Drainage!$A$5:$A$204&lt;=$B561)*(B_Drainage!$B$5:$B$204&gt;$B561)*(B_Drainage!$C$5:$C$204&lt;&gt;"")),IF(B_Drainage!$C$5:$C$204="-","",UPPER(B_Drainage!$C$5:$C$204))),"")</f>
        <v/>
      </c>
      <c r="Q561" s="181" t="str">
        <f>IFERROR(LOOKUP(2,1/((B_Drainage!$A$5:$A$204&lt;&gt;"")*(B_Drainage!$A$5:$A$204&lt;=$B561)*(B_Drainage!$B$5:$B$204&gt;$B561)*(B_Drainage!$D$5:$D$204&lt;&gt;"")),IF(B_Drainage!$D$5:$D$204="-","",UPPER(B_Drainage!$D$5:$D$204))),"")</f>
        <v/>
      </c>
      <c r="R561" s="182" t="str">
        <f>IFERROR(LOOKUP(2,1/((D_Points!$A$5:$A$204&lt;&gt;"")*(D_Points!$A$5:$A$204&gt;=$B561)*(D_Points!$A$5:$A$204&lt;$B561+P_Interval)*(RIGHT(UPPER(TRIM(D_Points!$B$5:$B$204)),8)="_CULVERT")),IF(LEFT(UPPER(TRIM(D_Points!$B$5:$B$204)),2)="EX",1,IF(LEFT(UPPER(TRIM(D_Points!$B$5:$B$204)),2)="PR",2,3))),"")</f>
        <v/>
      </c>
      <c r="S561" s="182" t="str">
        <f>IFERROR(LOOKUP(2,1/((D_Points!$A$5:$A$204&lt;&gt;"")*(D_Points!$A$5:$A$204&gt;=$B561)*(D_Points!$A$5:$A$204&lt;$B561+P_Interval)*(RIGHT(UPPER(TRIM(D_Points!$B$5:$B$204)),7)="_BRIDGE")),IF(LEFT(UPPER(TRIM(D_Points!$B$5:$B$204)),2)="EX",1,IF(LEFT(UPPER(TRIM(D_Points!$B$5:$B$204)),2)="PR",2,2))),"")</f>
        <v/>
      </c>
      <c r="T561" s="181" t="str">
        <f>IFERROR(LOOKUP(2,1/((B_Drainage!$A$5:$A$204&lt;&gt;"")*(B_Drainage!$A$5:$A$204&lt;=$B561)*(B_Drainage!$B$5:$B$204&gt;$B561)*(B_Drainage!$E$5:$E$204&lt;&gt;"")),IF(B_Drainage!$E$5:$E$204="-","",1)),"")</f>
        <v/>
      </c>
      <c r="U561" s="181" t="str">
        <f>IFERROR(LOOKUP(2,1/((B_Drainage!$A$5:$A$204&lt;&gt;"")*(B_Drainage!$A$5:$A$204&lt;=$B561)*(B_Drainage!$B$5:$B$204&gt;$B561)*(B_Drainage!$E$5:$E$204&lt;&gt;"")),IF(B_Drainage!$E$5:$E$204="-","",B_Drainage!$E$5:$E$204)),"")</f>
        <v/>
      </c>
      <c r="V561" s="181" t="str">
        <f>IFERROR(LOOKUP(2,1/((B_Drainage!$A$5:$A$204&lt;&gt;"")*(B_Drainage!$A$5:$A$204&lt;=$B561)*(B_Drainage!$B$5:$B$204&gt;$B561)*(B_Drainage!$F$5:$F$204&lt;&gt;"")),IF(B_Drainage!$F$5:$F$204="-","",1)),"")</f>
        <v/>
      </c>
      <c r="W561" s="181" t="str">
        <f>IFERROR(LOOKUP(2,1/((B_Drainage!$A$5:$A$204&lt;&gt;"")*(B_Drainage!$A$5:$A$204&lt;=$B561)*(B_Drainage!$B$5:$B$204&gt;$B561)*(B_Drainage!$F$5:$F$204&lt;&gt;"")),IF(B_Drainage!$F$5:$F$204="-","",B_Drainage!$F$5:$F$204)),"")</f>
        <v/>
      </c>
      <c r="X561" s="181" t="str">
        <f>IFERROR(LOOKUP(2,1/((B_Drainage!$A$5:$A$204&lt;&gt;"")*(B_Drainage!$A$5:$A$204&lt;=$B561)*(B_Drainage!$B$5:$B$204&gt;$B561)*(B_Drainage!$G$5:$G$204&lt;&gt;"")),IF(UPPER(B_Drainage!$G$5:$G$204)="Y",1,"")),"")</f>
        <v/>
      </c>
      <c r="Y561" s="181" t="str">
        <f>IFERROR(LOOKUP(2,1/((B_Drainage!$A$5:$A$204&lt;&gt;"")*(B_Drainage!$A$5:$A$204&lt;=$B561)*(B_Drainage!$B$5:$B$204&gt;$B561)*(B_Drainage!$H$5:$H$204&lt;&gt;"")),IF(UPPER(B_Drainage!$H$5:$H$204)="Y",1,"")),"")</f>
        <v/>
      </c>
      <c r="Z561" s="181" t="str">
        <f>IFERROR(LOOKUP(2,1/((B_Drainage!$A$5:$A$204&lt;&gt;"")*(B_Drainage!$A$5:$A$204&lt;=$B561)*(B_Drainage!$B$5:$B$204&gt;$B561)*(B_Drainage!$I$5:$I$204&lt;&gt;"")),IF(UPPER(B_Drainage!$I$5:$I$204)="Y",1,"")),"")</f>
        <v/>
      </c>
      <c r="AA561" s="181" t="str">
        <f>IFERROR(LOOKUP(2,1/((B_Drainage!$A$5:$A$204&lt;&gt;"")*(B_Drainage!$A$5:$A$204&lt;=$B561)*(B_Drainage!$B$5:$B$204&gt;$B561)*(B_Drainage!$J$5:$J$204&lt;&gt;"")),IF(UPPER(B_Drainage!$J$5:$J$204)="Y",1,"")),"")</f>
        <v/>
      </c>
      <c r="AB561" s="182" t="str">
        <f>IFERROR(LOOKUP(2,1/((B_Drainage!$A$5:$A$204&lt;&gt;"")*(B_Drainage!$A$5:$A$204&lt;=$B561)*(B_Drainage!$B$5:$B$204&gt;$B561)*(B_Drainage!$K$5:$K$204&lt;&gt;"")),IF(B_Drainage!$K$5:$K$204="-","",B_Drainage!$K$5:$K$204)),"")</f>
        <v/>
      </c>
      <c r="AC561" s="182" t="str">
        <f>IFERROR(LOOKUP(2,1/((B_Drainage!$A$5:$A$204&lt;&gt;"")*(B_Drainage!$A$5:$A$204&lt;=$B561)*(B_Drainage!$B$5:$B$204&gt;$B561)*(B_Drainage!$L$5:$L$204&lt;&gt;"")),IF(B_Drainage!$L$5:$L$204="-","",B_Drainage!$L$5:$L$204)),"")</f>
        <v/>
      </c>
      <c r="AD561" s="182" t="str">
        <f>IFERROR(LOOKUP(2,1/((D_Points!$A$5:$A$204&lt;&gt;"")*(D_Points!$A$5:$A$204&gt;=$B561)*(D_Points!$A$5:$A$204&lt;$B561+P_Interval)*(UPPER(TRIM(D_Points!$B$5:$B$204))="TURNOUT_L")*(D_Points!$H$5:$H$204&lt;&gt;"")),D_Points!$H$5:$H$204),"")</f>
        <v/>
      </c>
      <c r="AE561" s="182" t="str">
        <f>IFERROR(LOOKUP(2,1/((D_Points!$A$5:$A$204&lt;&gt;"")*(D_Points!$A$5:$A$204&gt;=$B561)*(D_Points!$A$5:$A$204&lt;$B561+P_Interval)*(UPPER(TRIM(D_Points!$B$5:$B$204))="TURNOUT_R")*(D_Points!$H$5:$H$204&lt;&gt;"")),D_Points!$H$5:$H$204),"")</f>
        <v/>
      </c>
      <c r="AF561" s="181" t="str">
        <f>IFERROR(LOOKUP(2,1/((B_Drainage!$A$5:$A$204&lt;&gt;"")*(B_Drainage!$A$5:$A$204&lt;=$B561)*(B_Drainage!$B$5:$B$204&gt;$B561)*(B_Drainage!$M$5:$M$204&lt;&gt;"")),IF(UPPER(B_Drainage!$M$5:$M$204)="Y",1,"")),"")</f>
        <v/>
      </c>
      <c r="AG561" s="181" t="str">
        <f>IFERROR(LOOKUP(2,1/((B_Drainage!$A$5:$A$204&lt;&gt;"")*(B_Drainage!$A$5:$A$204&lt;=$B561)*(B_Drainage!$B$5:$B$204&gt;$B561)*(B_Drainage!$N$5:$N$204&lt;&gt;"")),IF(UPPER(B_Drainage!$N$5:$N$204)="Y",1,"")),"")</f>
        <v/>
      </c>
      <c r="AH561" s="181" t="str">
        <f t="shared" si="64"/>
        <v/>
      </c>
      <c r="AI561" s="181" t="str">
        <f t="shared" si="65"/>
        <v/>
      </c>
      <c r="AJ561" s="181" t="str">
        <f t="shared" si="66"/>
        <v/>
      </c>
      <c r="AK561" s="181" t="str">
        <f t="shared" si="67"/>
        <v/>
      </c>
      <c r="AL561" s="181" t="str">
        <f t="shared" si="68"/>
        <v/>
      </c>
      <c r="AM561" s="181" t="str">
        <f t="shared" si="69"/>
        <v/>
      </c>
      <c r="AN561" s="181" t="str">
        <f t="shared" si="70"/>
        <v/>
      </c>
      <c r="AO561" s="192" t="str">
        <f t="shared" si="71"/>
        <v/>
      </c>
      <c r="AQ561" t="str">
        <f>IFERROR(LOOKUP(2,1/((C_Pavement!$A$5:$A$204&lt;&gt;"")*(C_Pavement!$A$5:$A$204&lt;=$B561)*(C_Pavement!$B$5:$B$204&gt;$B561)*(C_Pavement!$C$5:$C$204&lt;&gt;"")),ROW(C_Pavement!$C$5:$C$204)-4),"")</f>
        <v/>
      </c>
      <c r="AR561" t="str">
        <f>IF($AQ561="","",UPPER(TRIM(INDEX(C_Pavement!$C$5:$C$204,$AQ561))))</f>
        <v/>
      </c>
      <c r="AS561" t="str">
        <f>IF($AR561="","",IFERROR(MATCH($AR561,E_Rules!$A$5:$A$9,0),""))</f>
        <v/>
      </c>
      <c r="AT561" t="str">
        <f>IF($AQ561="","",IF(INDEX(C_Pavement!$D$5:$D$204,$AQ561)&lt;&gt;"",UPPER(TRIM(INDEX(C_Pavement!$D$5:$D$204,$AQ561))),IF($AS561="","",INDEX(E_Rules!$C$5:$C$9,$AS561))))</f>
        <v/>
      </c>
      <c r="AU561" t="str">
        <f>IF($AQ561="","",IF(INDEX(C_Pavement!$E$5:$E$204,$AQ561)&lt;&gt;"",IF(INDEX(C_Pavement!$E$5:$E$204,$AQ561)="-","",INDEX(C_Pavement!$E$5:$E$204,$AQ561)),IF($AS561="","",INDEX(E_Rules!$D$5:$D$9,$AS561))))</f>
        <v/>
      </c>
      <c r="AV561" t="str">
        <f>IF($AQ561="","",IF(INDEX(C_Pavement!$F$5:$F$204,$AQ561)&lt;&gt;"",IF(INDEX(C_Pavement!$F$5:$F$204,$AQ561)="-","",INDEX(C_Pavement!$F$5:$F$204,$AQ561)),IF($AS561="","",INDEX(E_Rules!$E$5:$E$9,$AS561))))</f>
        <v/>
      </c>
      <c r="AW561" t="str">
        <f>IF($AQ561="","",IF(INDEX(C_Pavement!$G$5:$G$204,$AQ561)&lt;&gt;"",IF(INDEX(C_Pavement!$G$5:$G$204,$AQ561)="-","",INDEX(C_Pavement!$G$5:$G$204,$AQ561)),IF($AS561="","",INDEX(E_Rules!$F$5:$F$9,$AS561))))</f>
        <v/>
      </c>
      <c r="AX561" t="str">
        <f>IF($AQ561="","",IF(INDEX(C_Pavement!$H$5:$H$204,$AQ561)&lt;&gt;"",IF(INDEX(C_Pavement!$H$5:$H$204,$AQ561)="-","",INDEX(C_Pavement!$H$5:$H$204,$AQ561)),IF($AS561="","",INDEX(E_Rules!$G$5:$G$9,$AS561))))</f>
        <v/>
      </c>
      <c r="AY561" t="str">
        <f>IF($AQ561="","",IF(INDEX(C_Pavement!$I$5:$I$204,$AQ561)&lt;&gt;"",IF(INDEX(C_Pavement!$I$5:$I$204,$AQ561)="-","",INDEX(C_Pavement!$I$5:$I$204,$AQ561)),IF($AS561="","",INDEX(E_Rules!$H$5:$H$9,$AS561))))</f>
        <v/>
      </c>
    </row>
    <row r="562" spans="1:51" ht="15.75" customHeight="1" x14ac:dyDescent="0.3">
      <c r="A562" s="189">
        <v>557</v>
      </c>
      <c r="B562" s="180">
        <v>27800</v>
      </c>
      <c r="C562" s="180" t="s">
        <v>868</v>
      </c>
      <c r="D562" s="181" t="str">
        <f>IFERROR(LOOKUP(2,1/((A_Corridor!$A$5:$A$204&lt;&gt;"")*(A_Corridor!$A$5:$A$204&lt;=$B562)*(A_Corridor!$B$5:$B$204&gt;$B562)*(A_Corridor!$C$5:$C$204&lt;&gt;"")),IF(UPPER(A_Corridor!$C$5:$C$204)="Y",1,"")),"")</f>
        <v/>
      </c>
      <c r="E562" s="181" t="str">
        <f>IFERROR(LOOKUP(2,1/((A_Corridor!$A$5:$A$204&lt;&gt;"")*(A_Corridor!$A$5:$A$204&lt;=$B562)*(A_Corridor!$B$5:$B$204&gt;$B562)*(A_Corridor!$D$5:$D$204&lt;&gt;"")),IF(A_Corridor!$D$5:$D$204="-","",UPPER(A_Corridor!$D$5:$D$204))),"")</f>
        <v/>
      </c>
      <c r="F562" s="181" t="str">
        <f>IFERROR(LOOKUP(2,1/((A_Corridor!$A$5:$A$204&lt;&gt;"")*(A_Corridor!$A$5:$A$204&lt;=$B562)*(A_Corridor!$B$5:$B$204&gt;$B562)*(A_Corridor!$E$5:$E$204&lt;&gt;"")),IF(A_Corridor!$E$5:$E$204="-","",1)),"")</f>
        <v/>
      </c>
      <c r="G562" s="182" t="str">
        <f>IFERROR(LOOKUP(2,1/((A_Corridor!$A$5:$A$204&lt;&gt;"")*(A_Corridor!$A$5:$A$204&lt;=$B562)*(A_Corridor!$B$5:$B$204&gt;$B562)*(A_Corridor!$E$5:$E$204&lt;&gt;"")),IF(A_Corridor!$E$5:$E$204="-","",A_Corridor!$E$5:$E$204)),"")</f>
        <v/>
      </c>
      <c r="H562" s="182" t="str">
        <f>IFERROR(LOOKUP(2,1/((D_Points!$A$5:$A$204&lt;&gt;"")*(D_Points!$A$5:$A$204&gt;=$B562)*(D_Points!$A$5:$A$204&lt;$B562+P_Interval)*(UPPER(TRIM(D_Points!$B$5:$B$204))="GULLY")*(D_Points!$H$5:$H$204&lt;&gt;"")),D_Points!$H$5:$H$204),"")</f>
        <v/>
      </c>
      <c r="I562" s="181" t="str">
        <f>IFERROR(LOOKUP(2,1/((A_Corridor!$A$5:$A$204&lt;&gt;"")*(A_Corridor!$A$5:$A$204&lt;=$B562)*(A_Corridor!$B$5:$B$204&gt;$B562)*(A_Corridor!$F$5:$F$204&lt;&gt;"")),IF(A_Corridor!$F$5:$F$204="-","",1)),"")</f>
        <v/>
      </c>
      <c r="J562" s="182" t="str">
        <f>IFERROR(LOOKUP(2,1/((A_Corridor!$A$5:$A$204&lt;&gt;"")*(A_Corridor!$A$5:$A$204&lt;=$B562)*(A_Corridor!$B$5:$B$204&gt;$B562)*(A_Corridor!$F$5:$F$204&lt;&gt;"")),IF(A_Corridor!$F$5:$F$204="-","",A_Corridor!$F$5:$F$204)),"")</f>
        <v/>
      </c>
      <c r="K562" s="182" t="str">
        <f>IFERROR(LOOKUP(2,1/((A_Corridor!$A$5:$A$204&lt;&gt;"")*(A_Corridor!$A$5:$A$204&lt;=$B562)*(A_Corridor!$B$5:$B$204&gt;$B562)*(A_Corridor!$G$5:$G$204&lt;&gt;"")),IF(A_Corridor!$G$5:$G$204="-","",A_Corridor!$G$5:$G$204)),"")</f>
        <v/>
      </c>
      <c r="L562" s="181" t="str">
        <f>IFERROR(LOOKUP(2,1/((A_Corridor!$A$5:$A$204&lt;&gt;"")*(A_Corridor!$A$5:$A$204&lt;=$B562)*(A_Corridor!$B$5:$B$204&gt;$B562)*(A_Corridor!$H$5:$H$204&lt;&gt;"")),IF(A_Corridor!$H$5:$H$204="-","",1)),"")</f>
        <v/>
      </c>
      <c r="M562" s="182" t="str">
        <f>IFERROR(LOOKUP(2,1/((A_Corridor!$A$5:$A$204&lt;&gt;"")*(A_Corridor!$A$5:$A$204&lt;=$B562)*(A_Corridor!$B$5:$B$204&gt;$B562)*(A_Corridor!$H$5:$H$204&lt;&gt;"")),IF(A_Corridor!$H$5:$H$204="-","",A_Corridor!$H$5:$H$204)),"")</f>
        <v/>
      </c>
      <c r="N562" s="182" t="str">
        <f>IFERROR(LOOKUP(2,1/((A_Corridor!$A$5:$A$204&lt;&gt;"")*(A_Corridor!$A$5:$A$204&lt;=$B562)*(A_Corridor!$B$5:$B$204&gt;$B562)*(A_Corridor!$I$5:$I$204&lt;&gt;"")),IF(A_Corridor!$I$5:$I$204="-","",A_Corridor!$I$5:$I$204)),"")</f>
        <v/>
      </c>
      <c r="O562" s="182" t="str">
        <f>IFERROR(LOOKUP(2,1/((D_Points!$A$5:$A$204&lt;&gt;"")*(D_Points!$A$5:$A$204&gt;=$B562)*(D_Points!$A$5:$A$204&lt;$B562+P_Interval)*(UPPER(TRIM(D_Points!$B$5:$B$204))="PITCHING")*(D_Points!$H$5:$H$204&lt;&gt;"")),D_Points!$H$5:$H$204),"")</f>
        <v/>
      </c>
      <c r="P562" s="181" t="str">
        <f>IFERROR(LOOKUP(2,1/((B_Drainage!$A$5:$A$204&lt;&gt;"")*(B_Drainage!$A$5:$A$204&lt;=$B562)*(B_Drainage!$B$5:$B$204&gt;$B562)*(B_Drainage!$C$5:$C$204&lt;&gt;"")),IF(B_Drainage!$C$5:$C$204="-","",UPPER(B_Drainage!$C$5:$C$204))),"")</f>
        <v/>
      </c>
      <c r="Q562" s="181" t="str">
        <f>IFERROR(LOOKUP(2,1/((B_Drainage!$A$5:$A$204&lt;&gt;"")*(B_Drainage!$A$5:$A$204&lt;=$B562)*(B_Drainage!$B$5:$B$204&gt;$B562)*(B_Drainage!$D$5:$D$204&lt;&gt;"")),IF(B_Drainage!$D$5:$D$204="-","",UPPER(B_Drainage!$D$5:$D$204))),"")</f>
        <v/>
      </c>
      <c r="R562" s="182" t="str">
        <f>IFERROR(LOOKUP(2,1/((D_Points!$A$5:$A$204&lt;&gt;"")*(D_Points!$A$5:$A$204&gt;=$B562)*(D_Points!$A$5:$A$204&lt;$B562+P_Interval)*(RIGHT(UPPER(TRIM(D_Points!$B$5:$B$204)),8)="_CULVERT")),IF(LEFT(UPPER(TRIM(D_Points!$B$5:$B$204)),2)="EX",1,IF(LEFT(UPPER(TRIM(D_Points!$B$5:$B$204)),2)="PR",2,3))),"")</f>
        <v/>
      </c>
      <c r="S562" s="182" t="str">
        <f>IFERROR(LOOKUP(2,1/((D_Points!$A$5:$A$204&lt;&gt;"")*(D_Points!$A$5:$A$204&gt;=$B562)*(D_Points!$A$5:$A$204&lt;$B562+P_Interval)*(RIGHT(UPPER(TRIM(D_Points!$B$5:$B$204)),7)="_BRIDGE")),IF(LEFT(UPPER(TRIM(D_Points!$B$5:$B$204)),2)="EX",1,IF(LEFT(UPPER(TRIM(D_Points!$B$5:$B$204)),2)="PR",2,2))),"")</f>
        <v/>
      </c>
      <c r="T562" s="181" t="str">
        <f>IFERROR(LOOKUP(2,1/((B_Drainage!$A$5:$A$204&lt;&gt;"")*(B_Drainage!$A$5:$A$204&lt;=$B562)*(B_Drainage!$B$5:$B$204&gt;$B562)*(B_Drainage!$E$5:$E$204&lt;&gt;"")),IF(B_Drainage!$E$5:$E$204="-","",1)),"")</f>
        <v/>
      </c>
      <c r="U562" s="181" t="str">
        <f>IFERROR(LOOKUP(2,1/((B_Drainage!$A$5:$A$204&lt;&gt;"")*(B_Drainage!$A$5:$A$204&lt;=$B562)*(B_Drainage!$B$5:$B$204&gt;$B562)*(B_Drainage!$E$5:$E$204&lt;&gt;"")),IF(B_Drainage!$E$5:$E$204="-","",B_Drainage!$E$5:$E$204)),"")</f>
        <v/>
      </c>
      <c r="V562" s="181" t="str">
        <f>IFERROR(LOOKUP(2,1/((B_Drainage!$A$5:$A$204&lt;&gt;"")*(B_Drainage!$A$5:$A$204&lt;=$B562)*(B_Drainage!$B$5:$B$204&gt;$B562)*(B_Drainage!$F$5:$F$204&lt;&gt;"")),IF(B_Drainage!$F$5:$F$204="-","",1)),"")</f>
        <v/>
      </c>
      <c r="W562" s="181" t="str">
        <f>IFERROR(LOOKUP(2,1/((B_Drainage!$A$5:$A$204&lt;&gt;"")*(B_Drainage!$A$5:$A$204&lt;=$B562)*(B_Drainage!$B$5:$B$204&gt;$B562)*(B_Drainage!$F$5:$F$204&lt;&gt;"")),IF(B_Drainage!$F$5:$F$204="-","",B_Drainage!$F$5:$F$204)),"")</f>
        <v/>
      </c>
      <c r="X562" s="181" t="str">
        <f>IFERROR(LOOKUP(2,1/((B_Drainage!$A$5:$A$204&lt;&gt;"")*(B_Drainage!$A$5:$A$204&lt;=$B562)*(B_Drainage!$B$5:$B$204&gt;$B562)*(B_Drainage!$G$5:$G$204&lt;&gt;"")),IF(UPPER(B_Drainage!$G$5:$G$204)="Y",1,"")),"")</f>
        <v/>
      </c>
      <c r="Y562" s="181" t="str">
        <f>IFERROR(LOOKUP(2,1/((B_Drainage!$A$5:$A$204&lt;&gt;"")*(B_Drainage!$A$5:$A$204&lt;=$B562)*(B_Drainage!$B$5:$B$204&gt;$B562)*(B_Drainage!$H$5:$H$204&lt;&gt;"")),IF(UPPER(B_Drainage!$H$5:$H$204)="Y",1,"")),"")</f>
        <v/>
      </c>
      <c r="Z562" s="181" t="str">
        <f>IFERROR(LOOKUP(2,1/((B_Drainage!$A$5:$A$204&lt;&gt;"")*(B_Drainage!$A$5:$A$204&lt;=$B562)*(B_Drainage!$B$5:$B$204&gt;$B562)*(B_Drainage!$I$5:$I$204&lt;&gt;"")),IF(UPPER(B_Drainage!$I$5:$I$204)="Y",1,"")),"")</f>
        <v/>
      </c>
      <c r="AA562" s="181" t="str">
        <f>IFERROR(LOOKUP(2,1/((B_Drainage!$A$5:$A$204&lt;&gt;"")*(B_Drainage!$A$5:$A$204&lt;=$B562)*(B_Drainage!$B$5:$B$204&gt;$B562)*(B_Drainage!$J$5:$J$204&lt;&gt;"")),IF(UPPER(B_Drainage!$J$5:$J$204)="Y",1,"")),"")</f>
        <v/>
      </c>
      <c r="AB562" s="182" t="str">
        <f>IFERROR(LOOKUP(2,1/((B_Drainage!$A$5:$A$204&lt;&gt;"")*(B_Drainage!$A$5:$A$204&lt;=$B562)*(B_Drainage!$B$5:$B$204&gt;$B562)*(B_Drainage!$K$5:$K$204&lt;&gt;"")),IF(B_Drainage!$K$5:$K$204="-","",B_Drainage!$K$5:$K$204)),"")</f>
        <v/>
      </c>
      <c r="AC562" s="182" t="str">
        <f>IFERROR(LOOKUP(2,1/((B_Drainage!$A$5:$A$204&lt;&gt;"")*(B_Drainage!$A$5:$A$204&lt;=$B562)*(B_Drainage!$B$5:$B$204&gt;$B562)*(B_Drainage!$L$5:$L$204&lt;&gt;"")),IF(B_Drainage!$L$5:$L$204="-","",B_Drainage!$L$5:$L$204)),"")</f>
        <v/>
      </c>
      <c r="AD562" s="182" t="str">
        <f>IFERROR(LOOKUP(2,1/((D_Points!$A$5:$A$204&lt;&gt;"")*(D_Points!$A$5:$A$204&gt;=$B562)*(D_Points!$A$5:$A$204&lt;$B562+P_Interval)*(UPPER(TRIM(D_Points!$B$5:$B$204))="TURNOUT_L")*(D_Points!$H$5:$H$204&lt;&gt;"")),D_Points!$H$5:$H$204),"")</f>
        <v/>
      </c>
      <c r="AE562" s="182" t="str">
        <f>IFERROR(LOOKUP(2,1/((D_Points!$A$5:$A$204&lt;&gt;"")*(D_Points!$A$5:$A$204&gt;=$B562)*(D_Points!$A$5:$A$204&lt;$B562+P_Interval)*(UPPER(TRIM(D_Points!$B$5:$B$204))="TURNOUT_R")*(D_Points!$H$5:$H$204&lt;&gt;"")),D_Points!$H$5:$H$204),"")</f>
        <v/>
      </c>
      <c r="AF562" s="181" t="str">
        <f>IFERROR(LOOKUP(2,1/((B_Drainage!$A$5:$A$204&lt;&gt;"")*(B_Drainage!$A$5:$A$204&lt;=$B562)*(B_Drainage!$B$5:$B$204&gt;$B562)*(B_Drainage!$M$5:$M$204&lt;&gt;"")),IF(UPPER(B_Drainage!$M$5:$M$204)="Y",1,"")),"")</f>
        <v/>
      </c>
      <c r="AG562" s="181" t="str">
        <f>IFERROR(LOOKUP(2,1/((B_Drainage!$A$5:$A$204&lt;&gt;"")*(B_Drainage!$A$5:$A$204&lt;=$B562)*(B_Drainage!$B$5:$B$204&gt;$B562)*(B_Drainage!$N$5:$N$204&lt;&gt;"")),IF(UPPER(B_Drainage!$N$5:$N$204)="Y",1,"")),"")</f>
        <v/>
      </c>
      <c r="AH562" s="181" t="str">
        <f t="shared" si="64"/>
        <v/>
      </c>
      <c r="AI562" s="181" t="str">
        <f t="shared" si="65"/>
        <v/>
      </c>
      <c r="AJ562" s="181" t="str">
        <f t="shared" si="66"/>
        <v/>
      </c>
      <c r="AK562" s="181" t="str">
        <f t="shared" si="67"/>
        <v/>
      </c>
      <c r="AL562" s="181" t="str">
        <f t="shared" si="68"/>
        <v/>
      </c>
      <c r="AM562" s="181" t="str">
        <f t="shared" si="69"/>
        <v/>
      </c>
      <c r="AN562" s="181" t="str">
        <f t="shared" si="70"/>
        <v/>
      </c>
      <c r="AO562" s="192" t="str">
        <f t="shared" si="71"/>
        <v/>
      </c>
      <c r="AQ562" t="str">
        <f>IFERROR(LOOKUP(2,1/((C_Pavement!$A$5:$A$204&lt;&gt;"")*(C_Pavement!$A$5:$A$204&lt;=$B562)*(C_Pavement!$B$5:$B$204&gt;$B562)*(C_Pavement!$C$5:$C$204&lt;&gt;"")),ROW(C_Pavement!$C$5:$C$204)-4),"")</f>
        <v/>
      </c>
      <c r="AR562" t="str">
        <f>IF($AQ562="","",UPPER(TRIM(INDEX(C_Pavement!$C$5:$C$204,$AQ562))))</f>
        <v/>
      </c>
      <c r="AS562" t="str">
        <f>IF($AR562="","",IFERROR(MATCH($AR562,E_Rules!$A$5:$A$9,0),""))</f>
        <v/>
      </c>
      <c r="AT562" t="str">
        <f>IF($AQ562="","",IF(INDEX(C_Pavement!$D$5:$D$204,$AQ562)&lt;&gt;"",UPPER(TRIM(INDEX(C_Pavement!$D$5:$D$204,$AQ562))),IF($AS562="","",INDEX(E_Rules!$C$5:$C$9,$AS562))))</f>
        <v/>
      </c>
      <c r="AU562" t="str">
        <f>IF($AQ562="","",IF(INDEX(C_Pavement!$E$5:$E$204,$AQ562)&lt;&gt;"",IF(INDEX(C_Pavement!$E$5:$E$204,$AQ562)="-","",INDEX(C_Pavement!$E$5:$E$204,$AQ562)),IF($AS562="","",INDEX(E_Rules!$D$5:$D$9,$AS562))))</f>
        <v/>
      </c>
      <c r="AV562" t="str">
        <f>IF($AQ562="","",IF(INDEX(C_Pavement!$F$5:$F$204,$AQ562)&lt;&gt;"",IF(INDEX(C_Pavement!$F$5:$F$204,$AQ562)="-","",INDEX(C_Pavement!$F$5:$F$204,$AQ562)),IF($AS562="","",INDEX(E_Rules!$E$5:$E$9,$AS562))))</f>
        <v/>
      </c>
      <c r="AW562" t="str">
        <f>IF($AQ562="","",IF(INDEX(C_Pavement!$G$5:$G$204,$AQ562)&lt;&gt;"",IF(INDEX(C_Pavement!$G$5:$G$204,$AQ562)="-","",INDEX(C_Pavement!$G$5:$G$204,$AQ562)),IF($AS562="","",INDEX(E_Rules!$F$5:$F$9,$AS562))))</f>
        <v/>
      </c>
      <c r="AX562" t="str">
        <f>IF($AQ562="","",IF(INDEX(C_Pavement!$H$5:$H$204,$AQ562)&lt;&gt;"",IF(INDEX(C_Pavement!$H$5:$H$204,$AQ562)="-","",INDEX(C_Pavement!$H$5:$H$204,$AQ562)),IF($AS562="","",INDEX(E_Rules!$G$5:$G$9,$AS562))))</f>
        <v/>
      </c>
      <c r="AY562" t="str">
        <f>IF($AQ562="","",IF(INDEX(C_Pavement!$I$5:$I$204,$AQ562)&lt;&gt;"",IF(INDEX(C_Pavement!$I$5:$I$204,$AQ562)="-","",INDEX(C_Pavement!$I$5:$I$204,$AQ562)),IF($AS562="","",INDEX(E_Rules!$H$5:$H$9,$AS562))))</f>
        <v/>
      </c>
    </row>
    <row r="563" spans="1:51" ht="15.75" customHeight="1" x14ac:dyDescent="0.3">
      <c r="A563" s="189">
        <v>558</v>
      </c>
      <c r="B563" s="180">
        <v>27850</v>
      </c>
      <c r="C563" s="180" t="s">
        <v>869</v>
      </c>
      <c r="D563" s="181" t="str">
        <f>IFERROR(LOOKUP(2,1/((A_Corridor!$A$5:$A$204&lt;&gt;"")*(A_Corridor!$A$5:$A$204&lt;=$B563)*(A_Corridor!$B$5:$B$204&gt;$B563)*(A_Corridor!$C$5:$C$204&lt;&gt;"")),IF(UPPER(A_Corridor!$C$5:$C$204)="Y",1,"")),"")</f>
        <v/>
      </c>
      <c r="E563" s="181" t="str">
        <f>IFERROR(LOOKUP(2,1/((A_Corridor!$A$5:$A$204&lt;&gt;"")*(A_Corridor!$A$5:$A$204&lt;=$B563)*(A_Corridor!$B$5:$B$204&gt;$B563)*(A_Corridor!$D$5:$D$204&lt;&gt;"")),IF(A_Corridor!$D$5:$D$204="-","",UPPER(A_Corridor!$D$5:$D$204))),"")</f>
        <v/>
      </c>
      <c r="F563" s="181" t="str">
        <f>IFERROR(LOOKUP(2,1/((A_Corridor!$A$5:$A$204&lt;&gt;"")*(A_Corridor!$A$5:$A$204&lt;=$B563)*(A_Corridor!$B$5:$B$204&gt;$B563)*(A_Corridor!$E$5:$E$204&lt;&gt;"")),IF(A_Corridor!$E$5:$E$204="-","",1)),"")</f>
        <v/>
      </c>
      <c r="G563" s="182" t="str">
        <f>IFERROR(LOOKUP(2,1/((A_Corridor!$A$5:$A$204&lt;&gt;"")*(A_Corridor!$A$5:$A$204&lt;=$B563)*(A_Corridor!$B$5:$B$204&gt;$B563)*(A_Corridor!$E$5:$E$204&lt;&gt;"")),IF(A_Corridor!$E$5:$E$204="-","",A_Corridor!$E$5:$E$204)),"")</f>
        <v/>
      </c>
      <c r="H563" s="182" t="str">
        <f>IFERROR(LOOKUP(2,1/((D_Points!$A$5:$A$204&lt;&gt;"")*(D_Points!$A$5:$A$204&gt;=$B563)*(D_Points!$A$5:$A$204&lt;$B563+P_Interval)*(UPPER(TRIM(D_Points!$B$5:$B$204))="GULLY")*(D_Points!$H$5:$H$204&lt;&gt;"")),D_Points!$H$5:$H$204),"")</f>
        <v/>
      </c>
      <c r="I563" s="181" t="str">
        <f>IFERROR(LOOKUP(2,1/((A_Corridor!$A$5:$A$204&lt;&gt;"")*(A_Corridor!$A$5:$A$204&lt;=$B563)*(A_Corridor!$B$5:$B$204&gt;$B563)*(A_Corridor!$F$5:$F$204&lt;&gt;"")),IF(A_Corridor!$F$5:$F$204="-","",1)),"")</f>
        <v/>
      </c>
      <c r="J563" s="182" t="str">
        <f>IFERROR(LOOKUP(2,1/((A_Corridor!$A$5:$A$204&lt;&gt;"")*(A_Corridor!$A$5:$A$204&lt;=$B563)*(A_Corridor!$B$5:$B$204&gt;$B563)*(A_Corridor!$F$5:$F$204&lt;&gt;"")),IF(A_Corridor!$F$5:$F$204="-","",A_Corridor!$F$5:$F$204)),"")</f>
        <v/>
      </c>
      <c r="K563" s="182" t="str">
        <f>IFERROR(LOOKUP(2,1/((A_Corridor!$A$5:$A$204&lt;&gt;"")*(A_Corridor!$A$5:$A$204&lt;=$B563)*(A_Corridor!$B$5:$B$204&gt;$B563)*(A_Corridor!$G$5:$G$204&lt;&gt;"")),IF(A_Corridor!$G$5:$G$204="-","",A_Corridor!$G$5:$G$204)),"")</f>
        <v/>
      </c>
      <c r="L563" s="181" t="str">
        <f>IFERROR(LOOKUP(2,1/((A_Corridor!$A$5:$A$204&lt;&gt;"")*(A_Corridor!$A$5:$A$204&lt;=$B563)*(A_Corridor!$B$5:$B$204&gt;$B563)*(A_Corridor!$H$5:$H$204&lt;&gt;"")),IF(A_Corridor!$H$5:$H$204="-","",1)),"")</f>
        <v/>
      </c>
      <c r="M563" s="182" t="str">
        <f>IFERROR(LOOKUP(2,1/((A_Corridor!$A$5:$A$204&lt;&gt;"")*(A_Corridor!$A$5:$A$204&lt;=$B563)*(A_Corridor!$B$5:$B$204&gt;$B563)*(A_Corridor!$H$5:$H$204&lt;&gt;"")),IF(A_Corridor!$H$5:$H$204="-","",A_Corridor!$H$5:$H$204)),"")</f>
        <v/>
      </c>
      <c r="N563" s="182" t="str">
        <f>IFERROR(LOOKUP(2,1/((A_Corridor!$A$5:$A$204&lt;&gt;"")*(A_Corridor!$A$5:$A$204&lt;=$B563)*(A_Corridor!$B$5:$B$204&gt;$B563)*(A_Corridor!$I$5:$I$204&lt;&gt;"")),IF(A_Corridor!$I$5:$I$204="-","",A_Corridor!$I$5:$I$204)),"")</f>
        <v/>
      </c>
      <c r="O563" s="182" t="str">
        <f>IFERROR(LOOKUP(2,1/((D_Points!$A$5:$A$204&lt;&gt;"")*(D_Points!$A$5:$A$204&gt;=$B563)*(D_Points!$A$5:$A$204&lt;$B563+P_Interval)*(UPPER(TRIM(D_Points!$B$5:$B$204))="PITCHING")*(D_Points!$H$5:$H$204&lt;&gt;"")),D_Points!$H$5:$H$204),"")</f>
        <v/>
      </c>
      <c r="P563" s="181" t="str">
        <f>IFERROR(LOOKUP(2,1/((B_Drainage!$A$5:$A$204&lt;&gt;"")*(B_Drainage!$A$5:$A$204&lt;=$B563)*(B_Drainage!$B$5:$B$204&gt;$B563)*(B_Drainage!$C$5:$C$204&lt;&gt;"")),IF(B_Drainage!$C$5:$C$204="-","",UPPER(B_Drainage!$C$5:$C$204))),"")</f>
        <v/>
      </c>
      <c r="Q563" s="181" t="str">
        <f>IFERROR(LOOKUP(2,1/((B_Drainage!$A$5:$A$204&lt;&gt;"")*(B_Drainage!$A$5:$A$204&lt;=$B563)*(B_Drainage!$B$5:$B$204&gt;$B563)*(B_Drainage!$D$5:$D$204&lt;&gt;"")),IF(B_Drainage!$D$5:$D$204="-","",UPPER(B_Drainage!$D$5:$D$204))),"")</f>
        <v/>
      </c>
      <c r="R563" s="182" t="str">
        <f>IFERROR(LOOKUP(2,1/((D_Points!$A$5:$A$204&lt;&gt;"")*(D_Points!$A$5:$A$204&gt;=$B563)*(D_Points!$A$5:$A$204&lt;$B563+P_Interval)*(RIGHT(UPPER(TRIM(D_Points!$B$5:$B$204)),8)="_CULVERT")),IF(LEFT(UPPER(TRIM(D_Points!$B$5:$B$204)),2)="EX",1,IF(LEFT(UPPER(TRIM(D_Points!$B$5:$B$204)),2)="PR",2,3))),"")</f>
        <v/>
      </c>
      <c r="S563" s="182" t="str">
        <f>IFERROR(LOOKUP(2,1/((D_Points!$A$5:$A$204&lt;&gt;"")*(D_Points!$A$5:$A$204&gt;=$B563)*(D_Points!$A$5:$A$204&lt;$B563+P_Interval)*(RIGHT(UPPER(TRIM(D_Points!$B$5:$B$204)),7)="_BRIDGE")),IF(LEFT(UPPER(TRIM(D_Points!$B$5:$B$204)),2)="EX",1,IF(LEFT(UPPER(TRIM(D_Points!$B$5:$B$204)),2)="PR",2,2))),"")</f>
        <v/>
      </c>
      <c r="T563" s="181" t="str">
        <f>IFERROR(LOOKUP(2,1/((B_Drainage!$A$5:$A$204&lt;&gt;"")*(B_Drainage!$A$5:$A$204&lt;=$B563)*(B_Drainage!$B$5:$B$204&gt;$B563)*(B_Drainage!$E$5:$E$204&lt;&gt;"")),IF(B_Drainage!$E$5:$E$204="-","",1)),"")</f>
        <v/>
      </c>
      <c r="U563" s="181" t="str">
        <f>IFERROR(LOOKUP(2,1/((B_Drainage!$A$5:$A$204&lt;&gt;"")*(B_Drainage!$A$5:$A$204&lt;=$B563)*(B_Drainage!$B$5:$B$204&gt;$B563)*(B_Drainage!$E$5:$E$204&lt;&gt;"")),IF(B_Drainage!$E$5:$E$204="-","",B_Drainage!$E$5:$E$204)),"")</f>
        <v/>
      </c>
      <c r="V563" s="181" t="str">
        <f>IFERROR(LOOKUP(2,1/((B_Drainage!$A$5:$A$204&lt;&gt;"")*(B_Drainage!$A$5:$A$204&lt;=$B563)*(B_Drainage!$B$5:$B$204&gt;$B563)*(B_Drainage!$F$5:$F$204&lt;&gt;"")),IF(B_Drainage!$F$5:$F$204="-","",1)),"")</f>
        <v/>
      </c>
      <c r="W563" s="181" t="str">
        <f>IFERROR(LOOKUP(2,1/((B_Drainage!$A$5:$A$204&lt;&gt;"")*(B_Drainage!$A$5:$A$204&lt;=$B563)*(B_Drainage!$B$5:$B$204&gt;$B563)*(B_Drainage!$F$5:$F$204&lt;&gt;"")),IF(B_Drainage!$F$5:$F$204="-","",B_Drainage!$F$5:$F$204)),"")</f>
        <v/>
      </c>
      <c r="X563" s="181" t="str">
        <f>IFERROR(LOOKUP(2,1/((B_Drainage!$A$5:$A$204&lt;&gt;"")*(B_Drainage!$A$5:$A$204&lt;=$B563)*(B_Drainage!$B$5:$B$204&gt;$B563)*(B_Drainage!$G$5:$G$204&lt;&gt;"")),IF(UPPER(B_Drainage!$G$5:$G$204)="Y",1,"")),"")</f>
        <v/>
      </c>
      <c r="Y563" s="181" t="str">
        <f>IFERROR(LOOKUP(2,1/((B_Drainage!$A$5:$A$204&lt;&gt;"")*(B_Drainage!$A$5:$A$204&lt;=$B563)*(B_Drainage!$B$5:$B$204&gt;$B563)*(B_Drainage!$H$5:$H$204&lt;&gt;"")),IF(UPPER(B_Drainage!$H$5:$H$204)="Y",1,"")),"")</f>
        <v/>
      </c>
      <c r="Z563" s="181" t="str">
        <f>IFERROR(LOOKUP(2,1/((B_Drainage!$A$5:$A$204&lt;&gt;"")*(B_Drainage!$A$5:$A$204&lt;=$B563)*(B_Drainage!$B$5:$B$204&gt;$B563)*(B_Drainage!$I$5:$I$204&lt;&gt;"")),IF(UPPER(B_Drainage!$I$5:$I$204)="Y",1,"")),"")</f>
        <v/>
      </c>
      <c r="AA563" s="181" t="str">
        <f>IFERROR(LOOKUP(2,1/((B_Drainage!$A$5:$A$204&lt;&gt;"")*(B_Drainage!$A$5:$A$204&lt;=$B563)*(B_Drainage!$B$5:$B$204&gt;$B563)*(B_Drainage!$J$5:$J$204&lt;&gt;"")),IF(UPPER(B_Drainage!$J$5:$J$204)="Y",1,"")),"")</f>
        <v/>
      </c>
      <c r="AB563" s="182" t="str">
        <f>IFERROR(LOOKUP(2,1/((B_Drainage!$A$5:$A$204&lt;&gt;"")*(B_Drainage!$A$5:$A$204&lt;=$B563)*(B_Drainage!$B$5:$B$204&gt;$B563)*(B_Drainage!$K$5:$K$204&lt;&gt;"")),IF(B_Drainage!$K$5:$K$204="-","",B_Drainage!$K$5:$K$204)),"")</f>
        <v/>
      </c>
      <c r="AC563" s="182" t="str">
        <f>IFERROR(LOOKUP(2,1/((B_Drainage!$A$5:$A$204&lt;&gt;"")*(B_Drainage!$A$5:$A$204&lt;=$B563)*(B_Drainage!$B$5:$B$204&gt;$B563)*(B_Drainage!$L$5:$L$204&lt;&gt;"")),IF(B_Drainage!$L$5:$L$204="-","",B_Drainage!$L$5:$L$204)),"")</f>
        <v/>
      </c>
      <c r="AD563" s="182" t="str">
        <f>IFERROR(LOOKUP(2,1/((D_Points!$A$5:$A$204&lt;&gt;"")*(D_Points!$A$5:$A$204&gt;=$B563)*(D_Points!$A$5:$A$204&lt;$B563+P_Interval)*(UPPER(TRIM(D_Points!$B$5:$B$204))="TURNOUT_L")*(D_Points!$H$5:$H$204&lt;&gt;"")),D_Points!$H$5:$H$204),"")</f>
        <v/>
      </c>
      <c r="AE563" s="182" t="str">
        <f>IFERROR(LOOKUP(2,1/((D_Points!$A$5:$A$204&lt;&gt;"")*(D_Points!$A$5:$A$204&gt;=$B563)*(D_Points!$A$5:$A$204&lt;$B563+P_Interval)*(UPPER(TRIM(D_Points!$B$5:$B$204))="TURNOUT_R")*(D_Points!$H$5:$H$204&lt;&gt;"")),D_Points!$H$5:$H$204),"")</f>
        <v/>
      </c>
      <c r="AF563" s="181" t="str">
        <f>IFERROR(LOOKUP(2,1/((B_Drainage!$A$5:$A$204&lt;&gt;"")*(B_Drainage!$A$5:$A$204&lt;=$B563)*(B_Drainage!$B$5:$B$204&gt;$B563)*(B_Drainage!$M$5:$M$204&lt;&gt;"")),IF(UPPER(B_Drainage!$M$5:$M$204)="Y",1,"")),"")</f>
        <v/>
      </c>
      <c r="AG563" s="181" t="str">
        <f>IFERROR(LOOKUP(2,1/((B_Drainage!$A$5:$A$204&lt;&gt;"")*(B_Drainage!$A$5:$A$204&lt;=$B563)*(B_Drainage!$B$5:$B$204&gt;$B563)*(B_Drainage!$N$5:$N$204&lt;&gt;"")),IF(UPPER(B_Drainage!$N$5:$N$204)="Y",1,"")),"")</f>
        <v/>
      </c>
      <c r="AH563" s="181" t="str">
        <f t="shared" si="64"/>
        <v/>
      </c>
      <c r="AI563" s="181" t="str">
        <f t="shared" si="65"/>
        <v/>
      </c>
      <c r="AJ563" s="181" t="str">
        <f t="shared" si="66"/>
        <v/>
      </c>
      <c r="AK563" s="181" t="str">
        <f t="shared" si="67"/>
        <v/>
      </c>
      <c r="AL563" s="181" t="str">
        <f t="shared" si="68"/>
        <v/>
      </c>
      <c r="AM563" s="181" t="str">
        <f t="shared" si="69"/>
        <v/>
      </c>
      <c r="AN563" s="181" t="str">
        <f t="shared" si="70"/>
        <v/>
      </c>
      <c r="AO563" s="192" t="str">
        <f t="shared" si="71"/>
        <v/>
      </c>
      <c r="AQ563" t="str">
        <f>IFERROR(LOOKUP(2,1/((C_Pavement!$A$5:$A$204&lt;&gt;"")*(C_Pavement!$A$5:$A$204&lt;=$B563)*(C_Pavement!$B$5:$B$204&gt;$B563)*(C_Pavement!$C$5:$C$204&lt;&gt;"")),ROW(C_Pavement!$C$5:$C$204)-4),"")</f>
        <v/>
      </c>
      <c r="AR563" t="str">
        <f>IF($AQ563="","",UPPER(TRIM(INDEX(C_Pavement!$C$5:$C$204,$AQ563))))</f>
        <v/>
      </c>
      <c r="AS563" t="str">
        <f>IF($AR563="","",IFERROR(MATCH($AR563,E_Rules!$A$5:$A$9,0),""))</f>
        <v/>
      </c>
      <c r="AT563" t="str">
        <f>IF($AQ563="","",IF(INDEX(C_Pavement!$D$5:$D$204,$AQ563)&lt;&gt;"",UPPER(TRIM(INDEX(C_Pavement!$D$5:$D$204,$AQ563))),IF($AS563="","",INDEX(E_Rules!$C$5:$C$9,$AS563))))</f>
        <v/>
      </c>
      <c r="AU563" t="str">
        <f>IF($AQ563="","",IF(INDEX(C_Pavement!$E$5:$E$204,$AQ563)&lt;&gt;"",IF(INDEX(C_Pavement!$E$5:$E$204,$AQ563)="-","",INDEX(C_Pavement!$E$5:$E$204,$AQ563)),IF($AS563="","",INDEX(E_Rules!$D$5:$D$9,$AS563))))</f>
        <v/>
      </c>
      <c r="AV563" t="str">
        <f>IF($AQ563="","",IF(INDEX(C_Pavement!$F$5:$F$204,$AQ563)&lt;&gt;"",IF(INDEX(C_Pavement!$F$5:$F$204,$AQ563)="-","",INDEX(C_Pavement!$F$5:$F$204,$AQ563)),IF($AS563="","",INDEX(E_Rules!$E$5:$E$9,$AS563))))</f>
        <v/>
      </c>
      <c r="AW563" t="str">
        <f>IF($AQ563="","",IF(INDEX(C_Pavement!$G$5:$G$204,$AQ563)&lt;&gt;"",IF(INDEX(C_Pavement!$G$5:$G$204,$AQ563)="-","",INDEX(C_Pavement!$G$5:$G$204,$AQ563)),IF($AS563="","",INDEX(E_Rules!$F$5:$F$9,$AS563))))</f>
        <v/>
      </c>
      <c r="AX563" t="str">
        <f>IF($AQ563="","",IF(INDEX(C_Pavement!$H$5:$H$204,$AQ563)&lt;&gt;"",IF(INDEX(C_Pavement!$H$5:$H$204,$AQ563)="-","",INDEX(C_Pavement!$H$5:$H$204,$AQ563)),IF($AS563="","",INDEX(E_Rules!$G$5:$G$9,$AS563))))</f>
        <v/>
      </c>
      <c r="AY563" t="str">
        <f>IF($AQ563="","",IF(INDEX(C_Pavement!$I$5:$I$204,$AQ563)&lt;&gt;"",IF(INDEX(C_Pavement!$I$5:$I$204,$AQ563)="-","",INDEX(C_Pavement!$I$5:$I$204,$AQ563)),IF($AS563="","",INDEX(E_Rules!$H$5:$H$9,$AS563))))</f>
        <v/>
      </c>
    </row>
    <row r="564" spans="1:51" ht="15.75" customHeight="1" x14ac:dyDescent="0.3">
      <c r="A564" s="189">
        <v>559</v>
      </c>
      <c r="B564" s="180">
        <v>27900</v>
      </c>
      <c r="C564" s="180" t="s">
        <v>870</v>
      </c>
      <c r="D564" s="181" t="str">
        <f>IFERROR(LOOKUP(2,1/((A_Corridor!$A$5:$A$204&lt;&gt;"")*(A_Corridor!$A$5:$A$204&lt;=$B564)*(A_Corridor!$B$5:$B$204&gt;$B564)*(A_Corridor!$C$5:$C$204&lt;&gt;"")),IF(UPPER(A_Corridor!$C$5:$C$204)="Y",1,"")),"")</f>
        <v/>
      </c>
      <c r="E564" s="181" t="str">
        <f>IFERROR(LOOKUP(2,1/((A_Corridor!$A$5:$A$204&lt;&gt;"")*(A_Corridor!$A$5:$A$204&lt;=$B564)*(A_Corridor!$B$5:$B$204&gt;$B564)*(A_Corridor!$D$5:$D$204&lt;&gt;"")),IF(A_Corridor!$D$5:$D$204="-","",UPPER(A_Corridor!$D$5:$D$204))),"")</f>
        <v/>
      </c>
      <c r="F564" s="181" t="str">
        <f>IFERROR(LOOKUP(2,1/((A_Corridor!$A$5:$A$204&lt;&gt;"")*(A_Corridor!$A$5:$A$204&lt;=$B564)*(A_Corridor!$B$5:$B$204&gt;$B564)*(A_Corridor!$E$5:$E$204&lt;&gt;"")),IF(A_Corridor!$E$5:$E$204="-","",1)),"")</f>
        <v/>
      </c>
      <c r="G564" s="182" t="str">
        <f>IFERROR(LOOKUP(2,1/((A_Corridor!$A$5:$A$204&lt;&gt;"")*(A_Corridor!$A$5:$A$204&lt;=$B564)*(A_Corridor!$B$5:$B$204&gt;$B564)*(A_Corridor!$E$5:$E$204&lt;&gt;"")),IF(A_Corridor!$E$5:$E$204="-","",A_Corridor!$E$5:$E$204)),"")</f>
        <v/>
      </c>
      <c r="H564" s="182" t="str">
        <f>IFERROR(LOOKUP(2,1/((D_Points!$A$5:$A$204&lt;&gt;"")*(D_Points!$A$5:$A$204&gt;=$B564)*(D_Points!$A$5:$A$204&lt;$B564+P_Interval)*(UPPER(TRIM(D_Points!$B$5:$B$204))="GULLY")*(D_Points!$H$5:$H$204&lt;&gt;"")),D_Points!$H$5:$H$204),"")</f>
        <v/>
      </c>
      <c r="I564" s="181" t="str">
        <f>IFERROR(LOOKUP(2,1/((A_Corridor!$A$5:$A$204&lt;&gt;"")*(A_Corridor!$A$5:$A$204&lt;=$B564)*(A_Corridor!$B$5:$B$204&gt;$B564)*(A_Corridor!$F$5:$F$204&lt;&gt;"")),IF(A_Corridor!$F$5:$F$204="-","",1)),"")</f>
        <v/>
      </c>
      <c r="J564" s="182" t="str">
        <f>IFERROR(LOOKUP(2,1/((A_Corridor!$A$5:$A$204&lt;&gt;"")*(A_Corridor!$A$5:$A$204&lt;=$B564)*(A_Corridor!$B$5:$B$204&gt;$B564)*(A_Corridor!$F$5:$F$204&lt;&gt;"")),IF(A_Corridor!$F$5:$F$204="-","",A_Corridor!$F$5:$F$204)),"")</f>
        <v/>
      </c>
      <c r="K564" s="182" t="str">
        <f>IFERROR(LOOKUP(2,1/((A_Corridor!$A$5:$A$204&lt;&gt;"")*(A_Corridor!$A$5:$A$204&lt;=$B564)*(A_Corridor!$B$5:$B$204&gt;$B564)*(A_Corridor!$G$5:$G$204&lt;&gt;"")),IF(A_Corridor!$G$5:$G$204="-","",A_Corridor!$G$5:$G$204)),"")</f>
        <v/>
      </c>
      <c r="L564" s="181" t="str">
        <f>IFERROR(LOOKUP(2,1/((A_Corridor!$A$5:$A$204&lt;&gt;"")*(A_Corridor!$A$5:$A$204&lt;=$B564)*(A_Corridor!$B$5:$B$204&gt;$B564)*(A_Corridor!$H$5:$H$204&lt;&gt;"")),IF(A_Corridor!$H$5:$H$204="-","",1)),"")</f>
        <v/>
      </c>
      <c r="M564" s="182" t="str">
        <f>IFERROR(LOOKUP(2,1/((A_Corridor!$A$5:$A$204&lt;&gt;"")*(A_Corridor!$A$5:$A$204&lt;=$B564)*(A_Corridor!$B$5:$B$204&gt;$B564)*(A_Corridor!$H$5:$H$204&lt;&gt;"")),IF(A_Corridor!$H$5:$H$204="-","",A_Corridor!$H$5:$H$204)),"")</f>
        <v/>
      </c>
      <c r="N564" s="182" t="str">
        <f>IFERROR(LOOKUP(2,1/((A_Corridor!$A$5:$A$204&lt;&gt;"")*(A_Corridor!$A$5:$A$204&lt;=$B564)*(A_Corridor!$B$5:$B$204&gt;$B564)*(A_Corridor!$I$5:$I$204&lt;&gt;"")),IF(A_Corridor!$I$5:$I$204="-","",A_Corridor!$I$5:$I$204)),"")</f>
        <v/>
      </c>
      <c r="O564" s="182" t="str">
        <f>IFERROR(LOOKUP(2,1/((D_Points!$A$5:$A$204&lt;&gt;"")*(D_Points!$A$5:$A$204&gt;=$B564)*(D_Points!$A$5:$A$204&lt;$B564+P_Interval)*(UPPER(TRIM(D_Points!$B$5:$B$204))="PITCHING")*(D_Points!$H$5:$H$204&lt;&gt;"")),D_Points!$H$5:$H$204),"")</f>
        <v/>
      </c>
      <c r="P564" s="181" t="str">
        <f>IFERROR(LOOKUP(2,1/((B_Drainage!$A$5:$A$204&lt;&gt;"")*(B_Drainage!$A$5:$A$204&lt;=$B564)*(B_Drainage!$B$5:$B$204&gt;$B564)*(B_Drainage!$C$5:$C$204&lt;&gt;"")),IF(B_Drainage!$C$5:$C$204="-","",UPPER(B_Drainage!$C$5:$C$204))),"")</f>
        <v/>
      </c>
      <c r="Q564" s="181" t="str">
        <f>IFERROR(LOOKUP(2,1/((B_Drainage!$A$5:$A$204&lt;&gt;"")*(B_Drainage!$A$5:$A$204&lt;=$B564)*(B_Drainage!$B$5:$B$204&gt;$B564)*(B_Drainage!$D$5:$D$204&lt;&gt;"")),IF(B_Drainage!$D$5:$D$204="-","",UPPER(B_Drainage!$D$5:$D$204))),"")</f>
        <v/>
      </c>
      <c r="R564" s="182" t="str">
        <f>IFERROR(LOOKUP(2,1/((D_Points!$A$5:$A$204&lt;&gt;"")*(D_Points!$A$5:$A$204&gt;=$B564)*(D_Points!$A$5:$A$204&lt;$B564+P_Interval)*(RIGHT(UPPER(TRIM(D_Points!$B$5:$B$204)),8)="_CULVERT")),IF(LEFT(UPPER(TRIM(D_Points!$B$5:$B$204)),2)="EX",1,IF(LEFT(UPPER(TRIM(D_Points!$B$5:$B$204)),2)="PR",2,3))),"")</f>
        <v/>
      </c>
      <c r="S564" s="182" t="str">
        <f>IFERROR(LOOKUP(2,1/((D_Points!$A$5:$A$204&lt;&gt;"")*(D_Points!$A$5:$A$204&gt;=$B564)*(D_Points!$A$5:$A$204&lt;$B564+P_Interval)*(RIGHT(UPPER(TRIM(D_Points!$B$5:$B$204)),7)="_BRIDGE")),IF(LEFT(UPPER(TRIM(D_Points!$B$5:$B$204)),2)="EX",1,IF(LEFT(UPPER(TRIM(D_Points!$B$5:$B$204)),2)="PR",2,2))),"")</f>
        <v/>
      </c>
      <c r="T564" s="181" t="str">
        <f>IFERROR(LOOKUP(2,1/((B_Drainage!$A$5:$A$204&lt;&gt;"")*(B_Drainage!$A$5:$A$204&lt;=$B564)*(B_Drainage!$B$5:$B$204&gt;$B564)*(B_Drainage!$E$5:$E$204&lt;&gt;"")),IF(B_Drainage!$E$5:$E$204="-","",1)),"")</f>
        <v/>
      </c>
      <c r="U564" s="181" t="str">
        <f>IFERROR(LOOKUP(2,1/((B_Drainage!$A$5:$A$204&lt;&gt;"")*(B_Drainage!$A$5:$A$204&lt;=$B564)*(B_Drainage!$B$5:$B$204&gt;$B564)*(B_Drainage!$E$5:$E$204&lt;&gt;"")),IF(B_Drainage!$E$5:$E$204="-","",B_Drainage!$E$5:$E$204)),"")</f>
        <v/>
      </c>
      <c r="V564" s="181" t="str">
        <f>IFERROR(LOOKUP(2,1/((B_Drainage!$A$5:$A$204&lt;&gt;"")*(B_Drainage!$A$5:$A$204&lt;=$B564)*(B_Drainage!$B$5:$B$204&gt;$B564)*(B_Drainage!$F$5:$F$204&lt;&gt;"")),IF(B_Drainage!$F$5:$F$204="-","",1)),"")</f>
        <v/>
      </c>
      <c r="W564" s="181" t="str">
        <f>IFERROR(LOOKUP(2,1/((B_Drainage!$A$5:$A$204&lt;&gt;"")*(B_Drainage!$A$5:$A$204&lt;=$B564)*(B_Drainage!$B$5:$B$204&gt;$B564)*(B_Drainage!$F$5:$F$204&lt;&gt;"")),IF(B_Drainage!$F$5:$F$204="-","",B_Drainage!$F$5:$F$204)),"")</f>
        <v/>
      </c>
      <c r="X564" s="181" t="str">
        <f>IFERROR(LOOKUP(2,1/((B_Drainage!$A$5:$A$204&lt;&gt;"")*(B_Drainage!$A$5:$A$204&lt;=$B564)*(B_Drainage!$B$5:$B$204&gt;$B564)*(B_Drainage!$G$5:$G$204&lt;&gt;"")),IF(UPPER(B_Drainage!$G$5:$G$204)="Y",1,"")),"")</f>
        <v/>
      </c>
      <c r="Y564" s="181" t="str">
        <f>IFERROR(LOOKUP(2,1/((B_Drainage!$A$5:$A$204&lt;&gt;"")*(B_Drainage!$A$5:$A$204&lt;=$B564)*(B_Drainage!$B$5:$B$204&gt;$B564)*(B_Drainage!$H$5:$H$204&lt;&gt;"")),IF(UPPER(B_Drainage!$H$5:$H$204)="Y",1,"")),"")</f>
        <v/>
      </c>
      <c r="Z564" s="181" t="str">
        <f>IFERROR(LOOKUP(2,1/((B_Drainage!$A$5:$A$204&lt;&gt;"")*(B_Drainage!$A$5:$A$204&lt;=$B564)*(B_Drainage!$B$5:$B$204&gt;$B564)*(B_Drainage!$I$5:$I$204&lt;&gt;"")),IF(UPPER(B_Drainage!$I$5:$I$204)="Y",1,"")),"")</f>
        <v/>
      </c>
      <c r="AA564" s="181" t="str">
        <f>IFERROR(LOOKUP(2,1/((B_Drainage!$A$5:$A$204&lt;&gt;"")*(B_Drainage!$A$5:$A$204&lt;=$B564)*(B_Drainage!$B$5:$B$204&gt;$B564)*(B_Drainage!$J$5:$J$204&lt;&gt;"")),IF(UPPER(B_Drainage!$J$5:$J$204)="Y",1,"")),"")</f>
        <v/>
      </c>
      <c r="AB564" s="182" t="str">
        <f>IFERROR(LOOKUP(2,1/((B_Drainage!$A$5:$A$204&lt;&gt;"")*(B_Drainage!$A$5:$A$204&lt;=$B564)*(B_Drainage!$B$5:$B$204&gt;$B564)*(B_Drainage!$K$5:$K$204&lt;&gt;"")),IF(B_Drainage!$K$5:$K$204="-","",B_Drainage!$K$5:$K$204)),"")</f>
        <v/>
      </c>
      <c r="AC564" s="182" t="str">
        <f>IFERROR(LOOKUP(2,1/((B_Drainage!$A$5:$A$204&lt;&gt;"")*(B_Drainage!$A$5:$A$204&lt;=$B564)*(B_Drainage!$B$5:$B$204&gt;$B564)*(B_Drainage!$L$5:$L$204&lt;&gt;"")),IF(B_Drainage!$L$5:$L$204="-","",B_Drainage!$L$5:$L$204)),"")</f>
        <v/>
      </c>
      <c r="AD564" s="182" t="str">
        <f>IFERROR(LOOKUP(2,1/((D_Points!$A$5:$A$204&lt;&gt;"")*(D_Points!$A$5:$A$204&gt;=$B564)*(D_Points!$A$5:$A$204&lt;$B564+P_Interval)*(UPPER(TRIM(D_Points!$B$5:$B$204))="TURNOUT_L")*(D_Points!$H$5:$H$204&lt;&gt;"")),D_Points!$H$5:$H$204),"")</f>
        <v/>
      </c>
      <c r="AE564" s="182" t="str">
        <f>IFERROR(LOOKUP(2,1/((D_Points!$A$5:$A$204&lt;&gt;"")*(D_Points!$A$5:$A$204&gt;=$B564)*(D_Points!$A$5:$A$204&lt;$B564+P_Interval)*(UPPER(TRIM(D_Points!$B$5:$B$204))="TURNOUT_R")*(D_Points!$H$5:$H$204&lt;&gt;"")),D_Points!$H$5:$H$204),"")</f>
        <v/>
      </c>
      <c r="AF564" s="181" t="str">
        <f>IFERROR(LOOKUP(2,1/((B_Drainage!$A$5:$A$204&lt;&gt;"")*(B_Drainage!$A$5:$A$204&lt;=$B564)*(B_Drainage!$B$5:$B$204&gt;$B564)*(B_Drainage!$M$5:$M$204&lt;&gt;"")),IF(UPPER(B_Drainage!$M$5:$M$204)="Y",1,"")),"")</f>
        <v/>
      </c>
      <c r="AG564" s="181" t="str">
        <f>IFERROR(LOOKUP(2,1/((B_Drainage!$A$5:$A$204&lt;&gt;"")*(B_Drainage!$A$5:$A$204&lt;=$B564)*(B_Drainage!$B$5:$B$204&gt;$B564)*(B_Drainage!$N$5:$N$204&lt;&gt;"")),IF(UPPER(B_Drainage!$N$5:$N$204)="Y",1,"")),"")</f>
        <v/>
      </c>
      <c r="AH564" s="181" t="str">
        <f t="shared" si="64"/>
        <v/>
      </c>
      <c r="AI564" s="181" t="str">
        <f t="shared" si="65"/>
        <v/>
      </c>
      <c r="AJ564" s="181" t="str">
        <f t="shared" si="66"/>
        <v/>
      </c>
      <c r="AK564" s="181" t="str">
        <f t="shared" si="67"/>
        <v/>
      </c>
      <c r="AL564" s="181" t="str">
        <f t="shared" si="68"/>
        <v/>
      </c>
      <c r="AM564" s="181" t="str">
        <f t="shared" si="69"/>
        <v/>
      </c>
      <c r="AN564" s="181" t="str">
        <f t="shared" si="70"/>
        <v/>
      </c>
      <c r="AO564" s="192" t="str">
        <f t="shared" si="71"/>
        <v/>
      </c>
      <c r="AQ564" t="str">
        <f>IFERROR(LOOKUP(2,1/((C_Pavement!$A$5:$A$204&lt;&gt;"")*(C_Pavement!$A$5:$A$204&lt;=$B564)*(C_Pavement!$B$5:$B$204&gt;$B564)*(C_Pavement!$C$5:$C$204&lt;&gt;"")),ROW(C_Pavement!$C$5:$C$204)-4),"")</f>
        <v/>
      </c>
      <c r="AR564" t="str">
        <f>IF($AQ564="","",UPPER(TRIM(INDEX(C_Pavement!$C$5:$C$204,$AQ564))))</f>
        <v/>
      </c>
      <c r="AS564" t="str">
        <f>IF($AR564="","",IFERROR(MATCH($AR564,E_Rules!$A$5:$A$9,0),""))</f>
        <v/>
      </c>
      <c r="AT564" t="str">
        <f>IF($AQ564="","",IF(INDEX(C_Pavement!$D$5:$D$204,$AQ564)&lt;&gt;"",UPPER(TRIM(INDEX(C_Pavement!$D$5:$D$204,$AQ564))),IF($AS564="","",INDEX(E_Rules!$C$5:$C$9,$AS564))))</f>
        <v/>
      </c>
      <c r="AU564" t="str">
        <f>IF($AQ564="","",IF(INDEX(C_Pavement!$E$5:$E$204,$AQ564)&lt;&gt;"",IF(INDEX(C_Pavement!$E$5:$E$204,$AQ564)="-","",INDEX(C_Pavement!$E$5:$E$204,$AQ564)),IF($AS564="","",INDEX(E_Rules!$D$5:$D$9,$AS564))))</f>
        <v/>
      </c>
      <c r="AV564" t="str">
        <f>IF($AQ564="","",IF(INDEX(C_Pavement!$F$5:$F$204,$AQ564)&lt;&gt;"",IF(INDEX(C_Pavement!$F$5:$F$204,$AQ564)="-","",INDEX(C_Pavement!$F$5:$F$204,$AQ564)),IF($AS564="","",INDEX(E_Rules!$E$5:$E$9,$AS564))))</f>
        <v/>
      </c>
      <c r="AW564" t="str">
        <f>IF($AQ564="","",IF(INDEX(C_Pavement!$G$5:$G$204,$AQ564)&lt;&gt;"",IF(INDEX(C_Pavement!$G$5:$G$204,$AQ564)="-","",INDEX(C_Pavement!$G$5:$G$204,$AQ564)),IF($AS564="","",INDEX(E_Rules!$F$5:$F$9,$AS564))))</f>
        <v/>
      </c>
      <c r="AX564" t="str">
        <f>IF($AQ564="","",IF(INDEX(C_Pavement!$H$5:$H$204,$AQ564)&lt;&gt;"",IF(INDEX(C_Pavement!$H$5:$H$204,$AQ564)="-","",INDEX(C_Pavement!$H$5:$H$204,$AQ564)),IF($AS564="","",INDEX(E_Rules!$G$5:$G$9,$AS564))))</f>
        <v/>
      </c>
      <c r="AY564" t="str">
        <f>IF($AQ564="","",IF(INDEX(C_Pavement!$I$5:$I$204,$AQ564)&lt;&gt;"",IF(INDEX(C_Pavement!$I$5:$I$204,$AQ564)="-","",INDEX(C_Pavement!$I$5:$I$204,$AQ564)),IF($AS564="","",INDEX(E_Rules!$H$5:$H$9,$AS564))))</f>
        <v/>
      </c>
    </row>
    <row r="565" spans="1:51" ht="15.75" customHeight="1" x14ac:dyDescent="0.3">
      <c r="A565" s="189">
        <v>560</v>
      </c>
      <c r="B565" s="180">
        <v>27950</v>
      </c>
      <c r="C565" s="180" t="s">
        <v>871</v>
      </c>
      <c r="D565" s="181" t="str">
        <f>IFERROR(LOOKUP(2,1/((A_Corridor!$A$5:$A$204&lt;&gt;"")*(A_Corridor!$A$5:$A$204&lt;=$B565)*(A_Corridor!$B$5:$B$204&gt;$B565)*(A_Corridor!$C$5:$C$204&lt;&gt;"")),IF(UPPER(A_Corridor!$C$5:$C$204)="Y",1,"")),"")</f>
        <v/>
      </c>
      <c r="E565" s="181" t="str">
        <f>IFERROR(LOOKUP(2,1/((A_Corridor!$A$5:$A$204&lt;&gt;"")*(A_Corridor!$A$5:$A$204&lt;=$B565)*(A_Corridor!$B$5:$B$204&gt;$B565)*(A_Corridor!$D$5:$D$204&lt;&gt;"")),IF(A_Corridor!$D$5:$D$204="-","",UPPER(A_Corridor!$D$5:$D$204))),"")</f>
        <v/>
      </c>
      <c r="F565" s="181" t="str">
        <f>IFERROR(LOOKUP(2,1/((A_Corridor!$A$5:$A$204&lt;&gt;"")*(A_Corridor!$A$5:$A$204&lt;=$B565)*(A_Corridor!$B$5:$B$204&gt;$B565)*(A_Corridor!$E$5:$E$204&lt;&gt;"")),IF(A_Corridor!$E$5:$E$204="-","",1)),"")</f>
        <v/>
      </c>
      <c r="G565" s="182" t="str">
        <f>IFERROR(LOOKUP(2,1/((A_Corridor!$A$5:$A$204&lt;&gt;"")*(A_Corridor!$A$5:$A$204&lt;=$B565)*(A_Corridor!$B$5:$B$204&gt;$B565)*(A_Corridor!$E$5:$E$204&lt;&gt;"")),IF(A_Corridor!$E$5:$E$204="-","",A_Corridor!$E$5:$E$204)),"")</f>
        <v/>
      </c>
      <c r="H565" s="182" t="str">
        <f>IFERROR(LOOKUP(2,1/((D_Points!$A$5:$A$204&lt;&gt;"")*(D_Points!$A$5:$A$204&gt;=$B565)*(D_Points!$A$5:$A$204&lt;$B565+P_Interval)*(UPPER(TRIM(D_Points!$B$5:$B$204))="GULLY")*(D_Points!$H$5:$H$204&lt;&gt;"")),D_Points!$H$5:$H$204),"")</f>
        <v/>
      </c>
      <c r="I565" s="181" t="str">
        <f>IFERROR(LOOKUP(2,1/((A_Corridor!$A$5:$A$204&lt;&gt;"")*(A_Corridor!$A$5:$A$204&lt;=$B565)*(A_Corridor!$B$5:$B$204&gt;$B565)*(A_Corridor!$F$5:$F$204&lt;&gt;"")),IF(A_Corridor!$F$5:$F$204="-","",1)),"")</f>
        <v/>
      </c>
      <c r="J565" s="182" t="str">
        <f>IFERROR(LOOKUP(2,1/((A_Corridor!$A$5:$A$204&lt;&gt;"")*(A_Corridor!$A$5:$A$204&lt;=$B565)*(A_Corridor!$B$5:$B$204&gt;$B565)*(A_Corridor!$F$5:$F$204&lt;&gt;"")),IF(A_Corridor!$F$5:$F$204="-","",A_Corridor!$F$5:$F$204)),"")</f>
        <v/>
      </c>
      <c r="K565" s="182" t="str">
        <f>IFERROR(LOOKUP(2,1/((A_Corridor!$A$5:$A$204&lt;&gt;"")*(A_Corridor!$A$5:$A$204&lt;=$B565)*(A_Corridor!$B$5:$B$204&gt;$B565)*(A_Corridor!$G$5:$G$204&lt;&gt;"")),IF(A_Corridor!$G$5:$G$204="-","",A_Corridor!$G$5:$G$204)),"")</f>
        <v/>
      </c>
      <c r="L565" s="181" t="str">
        <f>IFERROR(LOOKUP(2,1/((A_Corridor!$A$5:$A$204&lt;&gt;"")*(A_Corridor!$A$5:$A$204&lt;=$B565)*(A_Corridor!$B$5:$B$204&gt;$B565)*(A_Corridor!$H$5:$H$204&lt;&gt;"")),IF(A_Corridor!$H$5:$H$204="-","",1)),"")</f>
        <v/>
      </c>
      <c r="M565" s="182" t="str">
        <f>IFERROR(LOOKUP(2,1/((A_Corridor!$A$5:$A$204&lt;&gt;"")*(A_Corridor!$A$5:$A$204&lt;=$B565)*(A_Corridor!$B$5:$B$204&gt;$B565)*(A_Corridor!$H$5:$H$204&lt;&gt;"")),IF(A_Corridor!$H$5:$H$204="-","",A_Corridor!$H$5:$H$204)),"")</f>
        <v/>
      </c>
      <c r="N565" s="182" t="str">
        <f>IFERROR(LOOKUP(2,1/((A_Corridor!$A$5:$A$204&lt;&gt;"")*(A_Corridor!$A$5:$A$204&lt;=$B565)*(A_Corridor!$B$5:$B$204&gt;$B565)*(A_Corridor!$I$5:$I$204&lt;&gt;"")),IF(A_Corridor!$I$5:$I$204="-","",A_Corridor!$I$5:$I$204)),"")</f>
        <v/>
      </c>
      <c r="O565" s="182" t="str">
        <f>IFERROR(LOOKUP(2,1/((D_Points!$A$5:$A$204&lt;&gt;"")*(D_Points!$A$5:$A$204&gt;=$B565)*(D_Points!$A$5:$A$204&lt;$B565+P_Interval)*(UPPER(TRIM(D_Points!$B$5:$B$204))="PITCHING")*(D_Points!$H$5:$H$204&lt;&gt;"")),D_Points!$H$5:$H$204),"")</f>
        <v/>
      </c>
      <c r="P565" s="181" t="str">
        <f>IFERROR(LOOKUP(2,1/((B_Drainage!$A$5:$A$204&lt;&gt;"")*(B_Drainage!$A$5:$A$204&lt;=$B565)*(B_Drainage!$B$5:$B$204&gt;$B565)*(B_Drainage!$C$5:$C$204&lt;&gt;"")),IF(B_Drainage!$C$5:$C$204="-","",UPPER(B_Drainage!$C$5:$C$204))),"")</f>
        <v/>
      </c>
      <c r="Q565" s="181" t="str">
        <f>IFERROR(LOOKUP(2,1/((B_Drainage!$A$5:$A$204&lt;&gt;"")*(B_Drainage!$A$5:$A$204&lt;=$B565)*(B_Drainage!$B$5:$B$204&gt;$B565)*(B_Drainage!$D$5:$D$204&lt;&gt;"")),IF(B_Drainage!$D$5:$D$204="-","",UPPER(B_Drainage!$D$5:$D$204))),"")</f>
        <v/>
      </c>
      <c r="R565" s="182" t="str">
        <f>IFERROR(LOOKUP(2,1/((D_Points!$A$5:$A$204&lt;&gt;"")*(D_Points!$A$5:$A$204&gt;=$B565)*(D_Points!$A$5:$A$204&lt;$B565+P_Interval)*(RIGHT(UPPER(TRIM(D_Points!$B$5:$B$204)),8)="_CULVERT")),IF(LEFT(UPPER(TRIM(D_Points!$B$5:$B$204)),2)="EX",1,IF(LEFT(UPPER(TRIM(D_Points!$B$5:$B$204)),2)="PR",2,3))),"")</f>
        <v/>
      </c>
      <c r="S565" s="182" t="str">
        <f>IFERROR(LOOKUP(2,1/((D_Points!$A$5:$A$204&lt;&gt;"")*(D_Points!$A$5:$A$204&gt;=$B565)*(D_Points!$A$5:$A$204&lt;$B565+P_Interval)*(RIGHT(UPPER(TRIM(D_Points!$B$5:$B$204)),7)="_BRIDGE")),IF(LEFT(UPPER(TRIM(D_Points!$B$5:$B$204)),2)="EX",1,IF(LEFT(UPPER(TRIM(D_Points!$B$5:$B$204)),2)="PR",2,2))),"")</f>
        <v/>
      </c>
      <c r="T565" s="181" t="str">
        <f>IFERROR(LOOKUP(2,1/((B_Drainage!$A$5:$A$204&lt;&gt;"")*(B_Drainage!$A$5:$A$204&lt;=$B565)*(B_Drainage!$B$5:$B$204&gt;$B565)*(B_Drainage!$E$5:$E$204&lt;&gt;"")),IF(B_Drainage!$E$5:$E$204="-","",1)),"")</f>
        <v/>
      </c>
      <c r="U565" s="181" t="str">
        <f>IFERROR(LOOKUP(2,1/((B_Drainage!$A$5:$A$204&lt;&gt;"")*(B_Drainage!$A$5:$A$204&lt;=$B565)*(B_Drainage!$B$5:$B$204&gt;$B565)*(B_Drainage!$E$5:$E$204&lt;&gt;"")),IF(B_Drainage!$E$5:$E$204="-","",B_Drainage!$E$5:$E$204)),"")</f>
        <v/>
      </c>
      <c r="V565" s="181" t="str">
        <f>IFERROR(LOOKUP(2,1/((B_Drainage!$A$5:$A$204&lt;&gt;"")*(B_Drainage!$A$5:$A$204&lt;=$B565)*(B_Drainage!$B$5:$B$204&gt;$B565)*(B_Drainage!$F$5:$F$204&lt;&gt;"")),IF(B_Drainage!$F$5:$F$204="-","",1)),"")</f>
        <v/>
      </c>
      <c r="W565" s="181" t="str">
        <f>IFERROR(LOOKUP(2,1/((B_Drainage!$A$5:$A$204&lt;&gt;"")*(B_Drainage!$A$5:$A$204&lt;=$B565)*(B_Drainage!$B$5:$B$204&gt;$B565)*(B_Drainage!$F$5:$F$204&lt;&gt;"")),IF(B_Drainage!$F$5:$F$204="-","",B_Drainage!$F$5:$F$204)),"")</f>
        <v/>
      </c>
      <c r="X565" s="181" t="str">
        <f>IFERROR(LOOKUP(2,1/((B_Drainage!$A$5:$A$204&lt;&gt;"")*(B_Drainage!$A$5:$A$204&lt;=$B565)*(B_Drainage!$B$5:$B$204&gt;$B565)*(B_Drainage!$G$5:$G$204&lt;&gt;"")),IF(UPPER(B_Drainage!$G$5:$G$204)="Y",1,"")),"")</f>
        <v/>
      </c>
      <c r="Y565" s="181" t="str">
        <f>IFERROR(LOOKUP(2,1/((B_Drainage!$A$5:$A$204&lt;&gt;"")*(B_Drainage!$A$5:$A$204&lt;=$B565)*(B_Drainage!$B$5:$B$204&gt;$B565)*(B_Drainage!$H$5:$H$204&lt;&gt;"")),IF(UPPER(B_Drainage!$H$5:$H$204)="Y",1,"")),"")</f>
        <v/>
      </c>
      <c r="Z565" s="181" t="str">
        <f>IFERROR(LOOKUP(2,1/((B_Drainage!$A$5:$A$204&lt;&gt;"")*(B_Drainage!$A$5:$A$204&lt;=$B565)*(B_Drainage!$B$5:$B$204&gt;$B565)*(B_Drainage!$I$5:$I$204&lt;&gt;"")),IF(UPPER(B_Drainage!$I$5:$I$204)="Y",1,"")),"")</f>
        <v/>
      </c>
      <c r="AA565" s="181" t="str">
        <f>IFERROR(LOOKUP(2,1/((B_Drainage!$A$5:$A$204&lt;&gt;"")*(B_Drainage!$A$5:$A$204&lt;=$B565)*(B_Drainage!$B$5:$B$204&gt;$B565)*(B_Drainage!$J$5:$J$204&lt;&gt;"")),IF(UPPER(B_Drainage!$J$5:$J$204)="Y",1,"")),"")</f>
        <v/>
      </c>
      <c r="AB565" s="182" t="str">
        <f>IFERROR(LOOKUP(2,1/((B_Drainage!$A$5:$A$204&lt;&gt;"")*(B_Drainage!$A$5:$A$204&lt;=$B565)*(B_Drainage!$B$5:$B$204&gt;$B565)*(B_Drainage!$K$5:$K$204&lt;&gt;"")),IF(B_Drainage!$K$5:$K$204="-","",B_Drainage!$K$5:$K$204)),"")</f>
        <v/>
      </c>
      <c r="AC565" s="182" t="str">
        <f>IFERROR(LOOKUP(2,1/((B_Drainage!$A$5:$A$204&lt;&gt;"")*(B_Drainage!$A$5:$A$204&lt;=$B565)*(B_Drainage!$B$5:$B$204&gt;$B565)*(B_Drainage!$L$5:$L$204&lt;&gt;"")),IF(B_Drainage!$L$5:$L$204="-","",B_Drainage!$L$5:$L$204)),"")</f>
        <v/>
      </c>
      <c r="AD565" s="182" t="str">
        <f>IFERROR(LOOKUP(2,1/((D_Points!$A$5:$A$204&lt;&gt;"")*(D_Points!$A$5:$A$204&gt;=$B565)*(D_Points!$A$5:$A$204&lt;$B565+P_Interval)*(UPPER(TRIM(D_Points!$B$5:$B$204))="TURNOUT_L")*(D_Points!$H$5:$H$204&lt;&gt;"")),D_Points!$H$5:$H$204),"")</f>
        <v/>
      </c>
      <c r="AE565" s="182" t="str">
        <f>IFERROR(LOOKUP(2,1/((D_Points!$A$5:$A$204&lt;&gt;"")*(D_Points!$A$5:$A$204&gt;=$B565)*(D_Points!$A$5:$A$204&lt;$B565+P_Interval)*(UPPER(TRIM(D_Points!$B$5:$B$204))="TURNOUT_R")*(D_Points!$H$5:$H$204&lt;&gt;"")),D_Points!$H$5:$H$204),"")</f>
        <v/>
      </c>
      <c r="AF565" s="181" t="str">
        <f>IFERROR(LOOKUP(2,1/((B_Drainage!$A$5:$A$204&lt;&gt;"")*(B_Drainage!$A$5:$A$204&lt;=$B565)*(B_Drainage!$B$5:$B$204&gt;$B565)*(B_Drainage!$M$5:$M$204&lt;&gt;"")),IF(UPPER(B_Drainage!$M$5:$M$204)="Y",1,"")),"")</f>
        <v/>
      </c>
      <c r="AG565" s="181" t="str">
        <f>IFERROR(LOOKUP(2,1/((B_Drainage!$A$5:$A$204&lt;&gt;"")*(B_Drainage!$A$5:$A$204&lt;=$B565)*(B_Drainage!$B$5:$B$204&gt;$B565)*(B_Drainage!$N$5:$N$204&lt;&gt;"")),IF(UPPER(B_Drainage!$N$5:$N$204)="Y",1,"")),"")</f>
        <v/>
      </c>
      <c r="AH565" s="181" t="str">
        <f t="shared" si="64"/>
        <v/>
      </c>
      <c r="AI565" s="181" t="str">
        <f t="shared" si="65"/>
        <v/>
      </c>
      <c r="AJ565" s="181" t="str">
        <f t="shared" si="66"/>
        <v/>
      </c>
      <c r="AK565" s="181" t="str">
        <f t="shared" si="67"/>
        <v/>
      </c>
      <c r="AL565" s="181" t="str">
        <f t="shared" si="68"/>
        <v/>
      </c>
      <c r="AM565" s="181" t="str">
        <f t="shared" si="69"/>
        <v/>
      </c>
      <c r="AN565" s="181" t="str">
        <f t="shared" si="70"/>
        <v/>
      </c>
      <c r="AO565" s="192" t="str">
        <f t="shared" si="71"/>
        <v/>
      </c>
      <c r="AQ565" t="str">
        <f>IFERROR(LOOKUP(2,1/((C_Pavement!$A$5:$A$204&lt;&gt;"")*(C_Pavement!$A$5:$A$204&lt;=$B565)*(C_Pavement!$B$5:$B$204&gt;$B565)*(C_Pavement!$C$5:$C$204&lt;&gt;"")),ROW(C_Pavement!$C$5:$C$204)-4),"")</f>
        <v/>
      </c>
      <c r="AR565" t="str">
        <f>IF($AQ565="","",UPPER(TRIM(INDEX(C_Pavement!$C$5:$C$204,$AQ565))))</f>
        <v/>
      </c>
      <c r="AS565" t="str">
        <f>IF($AR565="","",IFERROR(MATCH($AR565,E_Rules!$A$5:$A$9,0),""))</f>
        <v/>
      </c>
      <c r="AT565" t="str">
        <f>IF($AQ565="","",IF(INDEX(C_Pavement!$D$5:$D$204,$AQ565)&lt;&gt;"",UPPER(TRIM(INDEX(C_Pavement!$D$5:$D$204,$AQ565))),IF($AS565="","",INDEX(E_Rules!$C$5:$C$9,$AS565))))</f>
        <v/>
      </c>
      <c r="AU565" t="str">
        <f>IF($AQ565="","",IF(INDEX(C_Pavement!$E$5:$E$204,$AQ565)&lt;&gt;"",IF(INDEX(C_Pavement!$E$5:$E$204,$AQ565)="-","",INDEX(C_Pavement!$E$5:$E$204,$AQ565)),IF($AS565="","",INDEX(E_Rules!$D$5:$D$9,$AS565))))</f>
        <v/>
      </c>
      <c r="AV565" t="str">
        <f>IF($AQ565="","",IF(INDEX(C_Pavement!$F$5:$F$204,$AQ565)&lt;&gt;"",IF(INDEX(C_Pavement!$F$5:$F$204,$AQ565)="-","",INDEX(C_Pavement!$F$5:$F$204,$AQ565)),IF($AS565="","",INDEX(E_Rules!$E$5:$E$9,$AS565))))</f>
        <v/>
      </c>
      <c r="AW565" t="str">
        <f>IF($AQ565="","",IF(INDEX(C_Pavement!$G$5:$G$204,$AQ565)&lt;&gt;"",IF(INDEX(C_Pavement!$G$5:$G$204,$AQ565)="-","",INDEX(C_Pavement!$G$5:$G$204,$AQ565)),IF($AS565="","",INDEX(E_Rules!$F$5:$F$9,$AS565))))</f>
        <v/>
      </c>
      <c r="AX565" t="str">
        <f>IF($AQ565="","",IF(INDEX(C_Pavement!$H$5:$H$204,$AQ565)&lt;&gt;"",IF(INDEX(C_Pavement!$H$5:$H$204,$AQ565)="-","",INDEX(C_Pavement!$H$5:$H$204,$AQ565)),IF($AS565="","",INDEX(E_Rules!$G$5:$G$9,$AS565))))</f>
        <v/>
      </c>
      <c r="AY565" t="str">
        <f>IF($AQ565="","",IF(INDEX(C_Pavement!$I$5:$I$204,$AQ565)&lt;&gt;"",IF(INDEX(C_Pavement!$I$5:$I$204,$AQ565)="-","",INDEX(C_Pavement!$I$5:$I$204,$AQ565)),IF($AS565="","",INDEX(E_Rules!$H$5:$H$9,$AS565))))</f>
        <v/>
      </c>
    </row>
    <row r="566" spans="1:51" ht="15.75" customHeight="1" x14ac:dyDescent="0.3">
      <c r="A566" s="189">
        <v>561</v>
      </c>
      <c r="B566" s="180">
        <v>28000</v>
      </c>
      <c r="C566" s="180" t="s">
        <v>872</v>
      </c>
      <c r="D566" s="181" t="str">
        <f>IFERROR(LOOKUP(2,1/((A_Corridor!$A$5:$A$204&lt;&gt;"")*(A_Corridor!$A$5:$A$204&lt;=$B566)*(A_Corridor!$B$5:$B$204&gt;$B566)*(A_Corridor!$C$5:$C$204&lt;&gt;"")),IF(UPPER(A_Corridor!$C$5:$C$204)="Y",1,"")),"")</f>
        <v/>
      </c>
      <c r="E566" s="181" t="str">
        <f>IFERROR(LOOKUP(2,1/((A_Corridor!$A$5:$A$204&lt;&gt;"")*(A_Corridor!$A$5:$A$204&lt;=$B566)*(A_Corridor!$B$5:$B$204&gt;$B566)*(A_Corridor!$D$5:$D$204&lt;&gt;"")),IF(A_Corridor!$D$5:$D$204="-","",UPPER(A_Corridor!$D$5:$D$204))),"")</f>
        <v/>
      </c>
      <c r="F566" s="181" t="str">
        <f>IFERROR(LOOKUP(2,1/((A_Corridor!$A$5:$A$204&lt;&gt;"")*(A_Corridor!$A$5:$A$204&lt;=$B566)*(A_Corridor!$B$5:$B$204&gt;$B566)*(A_Corridor!$E$5:$E$204&lt;&gt;"")),IF(A_Corridor!$E$5:$E$204="-","",1)),"")</f>
        <v/>
      </c>
      <c r="G566" s="182" t="str">
        <f>IFERROR(LOOKUP(2,1/((A_Corridor!$A$5:$A$204&lt;&gt;"")*(A_Corridor!$A$5:$A$204&lt;=$B566)*(A_Corridor!$B$5:$B$204&gt;$B566)*(A_Corridor!$E$5:$E$204&lt;&gt;"")),IF(A_Corridor!$E$5:$E$204="-","",A_Corridor!$E$5:$E$204)),"")</f>
        <v/>
      </c>
      <c r="H566" s="182" t="str">
        <f>IFERROR(LOOKUP(2,1/((D_Points!$A$5:$A$204&lt;&gt;"")*(D_Points!$A$5:$A$204&gt;=$B566)*(D_Points!$A$5:$A$204&lt;$B566+P_Interval)*(UPPER(TRIM(D_Points!$B$5:$B$204))="GULLY")*(D_Points!$H$5:$H$204&lt;&gt;"")),D_Points!$H$5:$H$204),"")</f>
        <v/>
      </c>
      <c r="I566" s="181" t="str">
        <f>IFERROR(LOOKUP(2,1/((A_Corridor!$A$5:$A$204&lt;&gt;"")*(A_Corridor!$A$5:$A$204&lt;=$B566)*(A_Corridor!$B$5:$B$204&gt;$B566)*(A_Corridor!$F$5:$F$204&lt;&gt;"")),IF(A_Corridor!$F$5:$F$204="-","",1)),"")</f>
        <v/>
      </c>
      <c r="J566" s="182" t="str">
        <f>IFERROR(LOOKUP(2,1/((A_Corridor!$A$5:$A$204&lt;&gt;"")*(A_Corridor!$A$5:$A$204&lt;=$B566)*(A_Corridor!$B$5:$B$204&gt;$B566)*(A_Corridor!$F$5:$F$204&lt;&gt;"")),IF(A_Corridor!$F$5:$F$204="-","",A_Corridor!$F$5:$F$204)),"")</f>
        <v/>
      </c>
      <c r="K566" s="182" t="str">
        <f>IFERROR(LOOKUP(2,1/((A_Corridor!$A$5:$A$204&lt;&gt;"")*(A_Corridor!$A$5:$A$204&lt;=$B566)*(A_Corridor!$B$5:$B$204&gt;$B566)*(A_Corridor!$G$5:$G$204&lt;&gt;"")),IF(A_Corridor!$G$5:$G$204="-","",A_Corridor!$G$5:$G$204)),"")</f>
        <v/>
      </c>
      <c r="L566" s="181" t="str">
        <f>IFERROR(LOOKUP(2,1/((A_Corridor!$A$5:$A$204&lt;&gt;"")*(A_Corridor!$A$5:$A$204&lt;=$B566)*(A_Corridor!$B$5:$B$204&gt;$B566)*(A_Corridor!$H$5:$H$204&lt;&gt;"")),IF(A_Corridor!$H$5:$H$204="-","",1)),"")</f>
        <v/>
      </c>
      <c r="M566" s="182" t="str">
        <f>IFERROR(LOOKUP(2,1/((A_Corridor!$A$5:$A$204&lt;&gt;"")*(A_Corridor!$A$5:$A$204&lt;=$B566)*(A_Corridor!$B$5:$B$204&gt;$B566)*(A_Corridor!$H$5:$H$204&lt;&gt;"")),IF(A_Corridor!$H$5:$H$204="-","",A_Corridor!$H$5:$H$204)),"")</f>
        <v/>
      </c>
      <c r="N566" s="182" t="str">
        <f>IFERROR(LOOKUP(2,1/((A_Corridor!$A$5:$A$204&lt;&gt;"")*(A_Corridor!$A$5:$A$204&lt;=$B566)*(A_Corridor!$B$5:$B$204&gt;$B566)*(A_Corridor!$I$5:$I$204&lt;&gt;"")),IF(A_Corridor!$I$5:$I$204="-","",A_Corridor!$I$5:$I$204)),"")</f>
        <v/>
      </c>
      <c r="O566" s="182" t="str">
        <f>IFERROR(LOOKUP(2,1/((D_Points!$A$5:$A$204&lt;&gt;"")*(D_Points!$A$5:$A$204&gt;=$B566)*(D_Points!$A$5:$A$204&lt;$B566+P_Interval)*(UPPER(TRIM(D_Points!$B$5:$B$204))="PITCHING")*(D_Points!$H$5:$H$204&lt;&gt;"")),D_Points!$H$5:$H$204),"")</f>
        <v/>
      </c>
      <c r="P566" s="181" t="str">
        <f>IFERROR(LOOKUP(2,1/((B_Drainage!$A$5:$A$204&lt;&gt;"")*(B_Drainage!$A$5:$A$204&lt;=$B566)*(B_Drainage!$B$5:$B$204&gt;$B566)*(B_Drainage!$C$5:$C$204&lt;&gt;"")),IF(B_Drainage!$C$5:$C$204="-","",UPPER(B_Drainage!$C$5:$C$204))),"")</f>
        <v/>
      </c>
      <c r="Q566" s="181" t="str">
        <f>IFERROR(LOOKUP(2,1/((B_Drainage!$A$5:$A$204&lt;&gt;"")*(B_Drainage!$A$5:$A$204&lt;=$B566)*(B_Drainage!$B$5:$B$204&gt;$B566)*(B_Drainage!$D$5:$D$204&lt;&gt;"")),IF(B_Drainage!$D$5:$D$204="-","",UPPER(B_Drainage!$D$5:$D$204))),"")</f>
        <v/>
      </c>
      <c r="R566" s="182" t="str">
        <f>IFERROR(LOOKUP(2,1/((D_Points!$A$5:$A$204&lt;&gt;"")*(D_Points!$A$5:$A$204&gt;=$B566)*(D_Points!$A$5:$A$204&lt;$B566+P_Interval)*(RIGHT(UPPER(TRIM(D_Points!$B$5:$B$204)),8)="_CULVERT")),IF(LEFT(UPPER(TRIM(D_Points!$B$5:$B$204)),2)="EX",1,IF(LEFT(UPPER(TRIM(D_Points!$B$5:$B$204)),2)="PR",2,3))),"")</f>
        <v/>
      </c>
      <c r="S566" s="182" t="str">
        <f>IFERROR(LOOKUP(2,1/((D_Points!$A$5:$A$204&lt;&gt;"")*(D_Points!$A$5:$A$204&gt;=$B566)*(D_Points!$A$5:$A$204&lt;$B566+P_Interval)*(RIGHT(UPPER(TRIM(D_Points!$B$5:$B$204)),7)="_BRIDGE")),IF(LEFT(UPPER(TRIM(D_Points!$B$5:$B$204)),2)="EX",1,IF(LEFT(UPPER(TRIM(D_Points!$B$5:$B$204)),2)="PR",2,2))),"")</f>
        <v/>
      </c>
      <c r="T566" s="181" t="str">
        <f>IFERROR(LOOKUP(2,1/((B_Drainage!$A$5:$A$204&lt;&gt;"")*(B_Drainage!$A$5:$A$204&lt;=$B566)*(B_Drainage!$B$5:$B$204&gt;$B566)*(B_Drainage!$E$5:$E$204&lt;&gt;"")),IF(B_Drainage!$E$5:$E$204="-","",1)),"")</f>
        <v/>
      </c>
      <c r="U566" s="181" t="str">
        <f>IFERROR(LOOKUP(2,1/((B_Drainage!$A$5:$A$204&lt;&gt;"")*(B_Drainage!$A$5:$A$204&lt;=$B566)*(B_Drainage!$B$5:$B$204&gt;$B566)*(B_Drainage!$E$5:$E$204&lt;&gt;"")),IF(B_Drainage!$E$5:$E$204="-","",B_Drainage!$E$5:$E$204)),"")</f>
        <v/>
      </c>
      <c r="V566" s="181" t="str">
        <f>IFERROR(LOOKUP(2,1/((B_Drainage!$A$5:$A$204&lt;&gt;"")*(B_Drainage!$A$5:$A$204&lt;=$B566)*(B_Drainage!$B$5:$B$204&gt;$B566)*(B_Drainage!$F$5:$F$204&lt;&gt;"")),IF(B_Drainage!$F$5:$F$204="-","",1)),"")</f>
        <v/>
      </c>
      <c r="W566" s="181" t="str">
        <f>IFERROR(LOOKUP(2,1/((B_Drainage!$A$5:$A$204&lt;&gt;"")*(B_Drainage!$A$5:$A$204&lt;=$B566)*(B_Drainage!$B$5:$B$204&gt;$B566)*(B_Drainage!$F$5:$F$204&lt;&gt;"")),IF(B_Drainage!$F$5:$F$204="-","",B_Drainage!$F$5:$F$204)),"")</f>
        <v/>
      </c>
      <c r="X566" s="181" t="str">
        <f>IFERROR(LOOKUP(2,1/((B_Drainage!$A$5:$A$204&lt;&gt;"")*(B_Drainage!$A$5:$A$204&lt;=$B566)*(B_Drainage!$B$5:$B$204&gt;$B566)*(B_Drainage!$G$5:$G$204&lt;&gt;"")),IF(UPPER(B_Drainage!$G$5:$G$204)="Y",1,"")),"")</f>
        <v/>
      </c>
      <c r="Y566" s="181" t="str">
        <f>IFERROR(LOOKUP(2,1/((B_Drainage!$A$5:$A$204&lt;&gt;"")*(B_Drainage!$A$5:$A$204&lt;=$B566)*(B_Drainage!$B$5:$B$204&gt;$B566)*(B_Drainage!$H$5:$H$204&lt;&gt;"")),IF(UPPER(B_Drainage!$H$5:$H$204)="Y",1,"")),"")</f>
        <v/>
      </c>
      <c r="Z566" s="181" t="str">
        <f>IFERROR(LOOKUP(2,1/((B_Drainage!$A$5:$A$204&lt;&gt;"")*(B_Drainage!$A$5:$A$204&lt;=$B566)*(B_Drainage!$B$5:$B$204&gt;$B566)*(B_Drainage!$I$5:$I$204&lt;&gt;"")),IF(UPPER(B_Drainage!$I$5:$I$204)="Y",1,"")),"")</f>
        <v/>
      </c>
      <c r="AA566" s="181" t="str">
        <f>IFERROR(LOOKUP(2,1/((B_Drainage!$A$5:$A$204&lt;&gt;"")*(B_Drainage!$A$5:$A$204&lt;=$B566)*(B_Drainage!$B$5:$B$204&gt;$B566)*(B_Drainage!$J$5:$J$204&lt;&gt;"")),IF(UPPER(B_Drainage!$J$5:$J$204)="Y",1,"")),"")</f>
        <v/>
      </c>
      <c r="AB566" s="182" t="str">
        <f>IFERROR(LOOKUP(2,1/((B_Drainage!$A$5:$A$204&lt;&gt;"")*(B_Drainage!$A$5:$A$204&lt;=$B566)*(B_Drainage!$B$5:$B$204&gt;$B566)*(B_Drainage!$K$5:$K$204&lt;&gt;"")),IF(B_Drainage!$K$5:$K$204="-","",B_Drainage!$K$5:$K$204)),"")</f>
        <v/>
      </c>
      <c r="AC566" s="182" t="str">
        <f>IFERROR(LOOKUP(2,1/((B_Drainage!$A$5:$A$204&lt;&gt;"")*(B_Drainage!$A$5:$A$204&lt;=$B566)*(B_Drainage!$B$5:$B$204&gt;$B566)*(B_Drainage!$L$5:$L$204&lt;&gt;"")),IF(B_Drainage!$L$5:$L$204="-","",B_Drainage!$L$5:$L$204)),"")</f>
        <v/>
      </c>
      <c r="AD566" s="182" t="str">
        <f>IFERROR(LOOKUP(2,1/((D_Points!$A$5:$A$204&lt;&gt;"")*(D_Points!$A$5:$A$204&gt;=$B566)*(D_Points!$A$5:$A$204&lt;$B566+P_Interval)*(UPPER(TRIM(D_Points!$B$5:$B$204))="TURNOUT_L")*(D_Points!$H$5:$H$204&lt;&gt;"")),D_Points!$H$5:$H$204),"")</f>
        <v/>
      </c>
      <c r="AE566" s="182" t="str">
        <f>IFERROR(LOOKUP(2,1/((D_Points!$A$5:$A$204&lt;&gt;"")*(D_Points!$A$5:$A$204&gt;=$B566)*(D_Points!$A$5:$A$204&lt;$B566+P_Interval)*(UPPER(TRIM(D_Points!$B$5:$B$204))="TURNOUT_R")*(D_Points!$H$5:$H$204&lt;&gt;"")),D_Points!$H$5:$H$204),"")</f>
        <v/>
      </c>
      <c r="AF566" s="181" t="str">
        <f>IFERROR(LOOKUP(2,1/((B_Drainage!$A$5:$A$204&lt;&gt;"")*(B_Drainage!$A$5:$A$204&lt;=$B566)*(B_Drainage!$B$5:$B$204&gt;$B566)*(B_Drainage!$M$5:$M$204&lt;&gt;"")),IF(UPPER(B_Drainage!$M$5:$M$204)="Y",1,"")),"")</f>
        <v/>
      </c>
      <c r="AG566" s="181" t="str">
        <f>IFERROR(LOOKUP(2,1/((B_Drainage!$A$5:$A$204&lt;&gt;"")*(B_Drainage!$A$5:$A$204&lt;=$B566)*(B_Drainage!$B$5:$B$204&gt;$B566)*(B_Drainage!$N$5:$N$204&lt;&gt;"")),IF(UPPER(B_Drainage!$N$5:$N$204)="Y",1,"")),"")</f>
        <v/>
      </c>
      <c r="AH566" s="181" t="str">
        <f t="shared" si="64"/>
        <v/>
      </c>
      <c r="AI566" s="181" t="str">
        <f t="shared" si="65"/>
        <v/>
      </c>
      <c r="AJ566" s="181" t="str">
        <f t="shared" si="66"/>
        <v/>
      </c>
      <c r="AK566" s="181" t="str">
        <f t="shared" si="67"/>
        <v/>
      </c>
      <c r="AL566" s="181" t="str">
        <f t="shared" si="68"/>
        <v/>
      </c>
      <c r="AM566" s="181" t="str">
        <f t="shared" si="69"/>
        <v/>
      </c>
      <c r="AN566" s="181" t="str">
        <f t="shared" si="70"/>
        <v/>
      </c>
      <c r="AO566" s="192" t="str">
        <f t="shared" si="71"/>
        <v/>
      </c>
      <c r="AQ566" t="str">
        <f>IFERROR(LOOKUP(2,1/((C_Pavement!$A$5:$A$204&lt;&gt;"")*(C_Pavement!$A$5:$A$204&lt;=$B566)*(C_Pavement!$B$5:$B$204&gt;$B566)*(C_Pavement!$C$5:$C$204&lt;&gt;"")),ROW(C_Pavement!$C$5:$C$204)-4),"")</f>
        <v/>
      </c>
      <c r="AR566" t="str">
        <f>IF($AQ566="","",UPPER(TRIM(INDEX(C_Pavement!$C$5:$C$204,$AQ566))))</f>
        <v/>
      </c>
      <c r="AS566" t="str">
        <f>IF($AR566="","",IFERROR(MATCH($AR566,E_Rules!$A$5:$A$9,0),""))</f>
        <v/>
      </c>
      <c r="AT566" t="str">
        <f>IF($AQ566="","",IF(INDEX(C_Pavement!$D$5:$D$204,$AQ566)&lt;&gt;"",UPPER(TRIM(INDEX(C_Pavement!$D$5:$D$204,$AQ566))),IF($AS566="","",INDEX(E_Rules!$C$5:$C$9,$AS566))))</f>
        <v/>
      </c>
      <c r="AU566" t="str">
        <f>IF($AQ566="","",IF(INDEX(C_Pavement!$E$5:$E$204,$AQ566)&lt;&gt;"",IF(INDEX(C_Pavement!$E$5:$E$204,$AQ566)="-","",INDEX(C_Pavement!$E$5:$E$204,$AQ566)),IF($AS566="","",INDEX(E_Rules!$D$5:$D$9,$AS566))))</f>
        <v/>
      </c>
      <c r="AV566" t="str">
        <f>IF($AQ566="","",IF(INDEX(C_Pavement!$F$5:$F$204,$AQ566)&lt;&gt;"",IF(INDEX(C_Pavement!$F$5:$F$204,$AQ566)="-","",INDEX(C_Pavement!$F$5:$F$204,$AQ566)),IF($AS566="","",INDEX(E_Rules!$E$5:$E$9,$AS566))))</f>
        <v/>
      </c>
      <c r="AW566" t="str">
        <f>IF($AQ566="","",IF(INDEX(C_Pavement!$G$5:$G$204,$AQ566)&lt;&gt;"",IF(INDEX(C_Pavement!$G$5:$G$204,$AQ566)="-","",INDEX(C_Pavement!$G$5:$G$204,$AQ566)),IF($AS566="","",INDEX(E_Rules!$F$5:$F$9,$AS566))))</f>
        <v/>
      </c>
      <c r="AX566" t="str">
        <f>IF($AQ566="","",IF(INDEX(C_Pavement!$H$5:$H$204,$AQ566)&lt;&gt;"",IF(INDEX(C_Pavement!$H$5:$H$204,$AQ566)="-","",INDEX(C_Pavement!$H$5:$H$204,$AQ566)),IF($AS566="","",INDEX(E_Rules!$G$5:$G$9,$AS566))))</f>
        <v/>
      </c>
      <c r="AY566" t="str">
        <f>IF($AQ566="","",IF(INDEX(C_Pavement!$I$5:$I$204,$AQ566)&lt;&gt;"",IF(INDEX(C_Pavement!$I$5:$I$204,$AQ566)="-","",INDEX(C_Pavement!$I$5:$I$204,$AQ566)),IF($AS566="","",INDEX(E_Rules!$H$5:$H$9,$AS566))))</f>
        <v/>
      </c>
    </row>
    <row r="567" spans="1:51" ht="15.75" customHeight="1" x14ac:dyDescent="0.3">
      <c r="A567" s="189">
        <v>562</v>
      </c>
      <c r="B567" s="180">
        <v>28050</v>
      </c>
      <c r="C567" s="180" t="s">
        <v>873</v>
      </c>
      <c r="D567" s="181" t="str">
        <f>IFERROR(LOOKUP(2,1/((A_Corridor!$A$5:$A$204&lt;&gt;"")*(A_Corridor!$A$5:$A$204&lt;=$B567)*(A_Corridor!$B$5:$B$204&gt;$B567)*(A_Corridor!$C$5:$C$204&lt;&gt;"")),IF(UPPER(A_Corridor!$C$5:$C$204)="Y",1,"")),"")</f>
        <v/>
      </c>
      <c r="E567" s="181" t="str">
        <f>IFERROR(LOOKUP(2,1/((A_Corridor!$A$5:$A$204&lt;&gt;"")*(A_Corridor!$A$5:$A$204&lt;=$B567)*(A_Corridor!$B$5:$B$204&gt;$B567)*(A_Corridor!$D$5:$D$204&lt;&gt;"")),IF(A_Corridor!$D$5:$D$204="-","",UPPER(A_Corridor!$D$5:$D$204))),"")</f>
        <v/>
      </c>
      <c r="F567" s="181" t="str">
        <f>IFERROR(LOOKUP(2,1/((A_Corridor!$A$5:$A$204&lt;&gt;"")*(A_Corridor!$A$5:$A$204&lt;=$B567)*(A_Corridor!$B$5:$B$204&gt;$B567)*(A_Corridor!$E$5:$E$204&lt;&gt;"")),IF(A_Corridor!$E$5:$E$204="-","",1)),"")</f>
        <v/>
      </c>
      <c r="G567" s="182" t="str">
        <f>IFERROR(LOOKUP(2,1/((A_Corridor!$A$5:$A$204&lt;&gt;"")*(A_Corridor!$A$5:$A$204&lt;=$B567)*(A_Corridor!$B$5:$B$204&gt;$B567)*(A_Corridor!$E$5:$E$204&lt;&gt;"")),IF(A_Corridor!$E$5:$E$204="-","",A_Corridor!$E$5:$E$204)),"")</f>
        <v/>
      </c>
      <c r="H567" s="182" t="str">
        <f>IFERROR(LOOKUP(2,1/((D_Points!$A$5:$A$204&lt;&gt;"")*(D_Points!$A$5:$A$204&gt;=$B567)*(D_Points!$A$5:$A$204&lt;$B567+P_Interval)*(UPPER(TRIM(D_Points!$B$5:$B$204))="GULLY")*(D_Points!$H$5:$H$204&lt;&gt;"")),D_Points!$H$5:$H$204),"")</f>
        <v/>
      </c>
      <c r="I567" s="181" t="str">
        <f>IFERROR(LOOKUP(2,1/((A_Corridor!$A$5:$A$204&lt;&gt;"")*(A_Corridor!$A$5:$A$204&lt;=$B567)*(A_Corridor!$B$5:$B$204&gt;$B567)*(A_Corridor!$F$5:$F$204&lt;&gt;"")),IF(A_Corridor!$F$5:$F$204="-","",1)),"")</f>
        <v/>
      </c>
      <c r="J567" s="182" t="str">
        <f>IFERROR(LOOKUP(2,1/((A_Corridor!$A$5:$A$204&lt;&gt;"")*(A_Corridor!$A$5:$A$204&lt;=$B567)*(A_Corridor!$B$5:$B$204&gt;$B567)*(A_Corridor!$F$5:$F$204&lt;&gt;"")),IF(A_Corridor!$F$5:$F$204="-","",A_Corridor!$F$5:$F$204)),"")</f>
        <v/>
      </c>
      <c r="K567" s="182" t="str">
        <f>IFERROR(LOOKUP(2,1/((A_Corridor!$A$5:$A$204&lt;&gt;"")*(A_Corridor!$A$5:$A$204&lt;=$B567)*(A_Corridor!$B$5:$B$204&gt;$B567)*(A_Corridor!$G$5:$G$204&lt;&gt;"")),IF(A_Corridor!$G$5:$G$204="-","",A_Corridor!$G$5:$G$204)),"")</f>
        <v/>
      </c>
      <c r="L567" s="181" t="str">
        <f>IFERROR(LOOKUP(2,1/((A_Corridor!$A$5:$A$204&lt;&gt;"")*(A_Corridor!$A$5:$A$204&lt;=$B567)*(A_Corridor!$B$5:$B$204&gt;$B567)*(A_Corridor!$H$5:$H$204&lt;&gt;"")),IF(A_Corridor!$H$5:$H$204="-","",1)),"")</f>
        <v/>
      </c>
      <c r="M567" s="182" t="str">
        <f>IFERROR(LOOKUP(2,1/((A_Corridor!$A$5:$A$204&lt;&gt;"")*(A_Corridor!$A$5:$A$204&lt;=$B567)*(A_Corridor!$B$5:$B$204&gt;$B567)*(A_Corridor!$H$5:$H$204&lt;&gt;"")),IF(A_Corridor!$H$5:$H$204="-","",A_Corridor!$H$5:$H$204)),"")</f>
        <v/>
      </c>
      <c r="N567" s="182" t="str">
        <f>IFERROR(LOOKUP(2,1/((A_Corridor!$A$5:$A$204&lt;&gt;"")*(A_Corridor!$A$5:$A$204&lt;=$B567)*(A_Corridor!$B$5:$B$204&gt;$B567)*(A_Corridor!$I$5:$I$204&lt;&gt;"")),IF(A_Corridor!$I$5:$I$204="-","",A_Corridor!$I$5:$I$204)),"")</f>
        <v/>
      </c>
      <c r="O567" s="182" t="str">
        <f>IFERROR(LOOKUP(2,1/((D_Points!$A$5:$A$204&lt;&gt;"")*(D_Points!$A$5:$A$204&gt;=$B567)*(D_Points!$A$5:$A$204&lt;$B567+P_Interval)*(UPPER(TRIM(D_Points!$B$5:$B$204))="PITCHING")*(D_Points!$H$5:$H$204&lt;&gt;"")),D_Points!$H$5:$H$204),"")</f>
        <v/>
      </c>
      <c r="P567" s="181" t="str">
        <f>IFERROR(LOOKUP(2,1/((B_Drainage!$A$5:$A$204&lt;&gt;"")*(B_Drainage!$A$5:$A$204&lt;=$B567)*(B_Drainage!$B$5:$B$204&gt;$B567)*(B_Drainage!$C$5:$C$204&lt;&gt;"")),IF(B_Drainage!$C$5:$C$204="-","",UPPER(B_Drainage!$C$5:$C$204))),"")</f>
        <v/>
      </c>
      <c r="Q567" s="181" t="str">
        <f>IFERROR(LOOKUP(2,1/((B_Drainage!$A$5:$A$204&lt;&gt;"")*(B_Drainage!$A$5:$A$204&lt;=$B567)*(B_Drainage!$B$5:$B$204&gt;$B567)*(B_Drainage!$D$5:$D$204&lt;&gt;"")),IF(B_Drainage!$D$5:$D$204="-","",UPPER(B_Drainage!$D$5:$D$204))),"")</f>
        <v/>
      </c>
      <c r="R567" s="182" t="str">
        <f>IFERROR(LOOKUP(2,1/((D_Points!$A$5:$A$204&lt;&gt;"")*(D_Points!$A$5:$A$204&gt;=$B567)*(D_Points!$A$5:$A$204&lt;$B567+P_Interval)*(RIGHT(UPPER(TRIM(D_Points!$B$5:$B$204)),8)="_CULVERT")),IF(LEFT(UPPER(TRIM(D_Points!$B$5:$B$204)),2)="EX",1,IF(LEFT(UPPER(TRIM(D_Points!$B$5:$B$204)),2)="PR",2,3))),"")</f>
        <v/>
      </c>
      <c r="S567" s="182" t="str">
        <f>IFERROR(LOOKUP(2,1/((D_Points!$A$5:$A$204&lt;&gt;"")*(D_Points!$A$5:$A$204&gt;=$B567)*(D_Points!$A$5:$A$204&lt;$B567+P_Interval)*(RIGHT(UPPER(TRIM(D_Points!$B$5:$B$204)),7)="_BRIDGE")),IF(LEFT(UPPER(TRIM(D_Points!$B$5:$B$204)),2)="EX",1,IF(LEFT(UPPER(TRIM(D_Points!$B$5:$B$204)),2)="PR",2,2))),"")</f>
        <v/>
      </c>
      <c r="T567" s="181" t="str">
        <f>IFERROR(LOOKUP(2,1/((B_Drainage!$A$5:$A$204&lt;&gt;"")*(B_Drainage!$A$5:$A$204&lt;=$B567)*(B_Drainage!$B$5:$B$204&gt;$B567)*(B_Drainage!$E$5:$E$204&lt;&gt;"")),IF(B_Drainage!$E$5:$E$204="-","",1)),"")</f>
        <v/>
      </c>
      <c r="U567" s="181" t="str">
        <f>IFERROR(LOOKUP(2,1/((B_Drainage!$A$5:$A$204&lt;&gt;"")*(B_Drainage!$A$5:$A$204&lt;=$B567)*(B_Drainage!$B$5:$B$204&gt;$B567)*(B_Drainage!$E$5:$E$204&lt;&gt;"")),IF(B_Drainage!$E$5:$E$204="-","",B_Drainage!$E$5:$E$204)),"")</f>
        <v/>
      </c>
      <c r="V567" s="181" t="str">
        <f>IFERROR(LOOKUP(2,1/((B_Drainage!$A$5:$A$204&lt;&gt;"")*(B_Drainage!$A$5:$A$204&lt;=$B567)*(B_Drainage!$B$5:$B$204&gt;$B567)*(B_Drainage!$F$5:$F$204&lt;&gt;"")),IF(B_Drainage!$F$5:$F$204="-","",1)),"")</f>
        <v/>
      </c>
      <c r="W567" s="181" t="str">
        <f>IFERROR(LOOKUP(2,1/((B_Drainage!$A$5:$A$204&lt;&gt;"")*(B_Drainage!$A$5:$A$204&lt;=$B567)*(B_Drainage!$B$5:$B$204&gt;$B567)*(B_Drainage!$F$5:$F$204&lt;&gt;"")),IF(B_Drainage!$F$5:$F$204="-","",B_Drainage!$F$5:$F$204)),"")</f>
        <v/>
      </c>
      <c r="X567" s="181" t="str">
        <f>IFERROR(LOOKUP(2,1/((B_Drainage!$A$5:$A$204&lt;&gt;"")*(B_Drainage!$A$5:$A$204&lt;=$B567)*(B_Drainage!$B$5:$B$204&gt;$B567)*(B_Drainage!$G$5:$G$204&lt;&gt;"")),IF(UPPER(B_Drainage!$G$5:$G$204)="Y",1,"")),"")</f>
        <v/>
      </c>
      <c r="Y567" s="181" t="str">
        <f>IFERROR(LOOKUP(2,1/((B_Drainage!$A$5:$A$204&lt;&gt;"")*(B_Drainage!$A$5:$A$204&lt;=$B567)*(B_Drainage!$B$5:$B$204&gt;$B567)*(B_Drainage!$H$5:$H$204&lt;&gt;"")),IF(UPPER(B_Drainage!$H$5:$H$204)="Y",1,"")),"")</f>
        <v/>
      </c>
      <c r="Z567" s="181" t="str">
        <f>IFERROR(LOOKUP(2,1/((B_Drainage!$A$5:$A$204&lt;&gt;"")*(B_Drainage!$A$5:$A$204&lt;=$B567)*(B_Drainage!$B$5:$B$204&gt;$B567)*(B_Drainage!$I$5:$I$204&lt;&gt;"")),IF(UPPER(B_Drainage!$I$5:$I$204)="Y",1,"")),"")</f>
        <v/>
      </c>
      <c r="AA567" s="181" t="str">
        <f>IFERROR(LOOKUP(2,1/((B_Drainage!$A$5:$A$204&lt;&gt;"")*(B_Drainage!$A$5:$A$204&lt;=$B567)*(B_Drainage!$B$5:$B$204&gt;$B567)*(B_Drainage!$J$5:$J$204&lt;&gt;"")),IF(UPPER(B_Drainage!$J$5:$J$204)="Y",1,"")),"")</f>
        <v/>
      </c>
      <c r="AB567" s="182" t="str">
        <f>IFERROR(LOOKUP(2,1/((B_Drainage!$A$5:$A$204&lt;&gt;"")*(B_Drainage!$A$5:$A$204&lt;=$B567)*(B_Drainage!$B$5:$B$204&gt;$B567)*(B_Drainage!$K$5:$K$204&lt;&gt;"")),IF(B_Drainage!$K$5:$K$204="-","",B_Drainage!$K$5:$K$204)),"")</f>
        <v/>
      </c>
      <c r="AC567" s="182" t="str">
        <f>IFERROR(LOOKUP(2,1/((B_Drainage!$A$5:$A$204&lt;&gt;"")*(B_Drainage!$A$5:$A$204&lt;=$B567)*(B_Drainage!$B$5:$B$204&gt;$B567)*(B_Drainage!$L$5:$L$204&lt;&gt;"")),IF(B_Drainage!$L$5:$L$204="-","",B_Drainage!$L$5:$L$204)),"")</f>
        <v/>
      </c>
      <c r="AD567" s="182" t="str">
        <f>IFERROR(LOOKUP(2,1/((D_Points!$A$5:$A$204&lt;&gt;"")*(D_Points!$A$5:$A$204&gt;=$B567)*(D_Points!$A$5:$A$204&lt;$B567+P_Interval)*(UPPER(TRIM(D_Points!$B$5:$B$204))="TURNOUT_L")*(D_Points!$H$5:$H$204&lt;&gt;"")),D_Points!$H$5:$H$204),"")</f>
        <v/>
      </c>
      <c r="AE567" s="182" t="str">
        <f>IFERROR(LOOKUP(2,1/((D_Points!$A$5:$A$204&lt;&gt;"")*(D_Points!$A$5:$A$204&gt;=$B567)*(D_Points!$A$5:$A$204&lt;$B567+P_Interval)*(UPPER(TRIM(D_Points!$B$5:$B$204))="TURNOUT_R")*(D_Points!$H$5:$H$204&lt;&gt;"")),D_Points!$H$5:$H$204),"")</f>
        <v/>
      </c>
      <c r="AF567" s="181" t="str">
        <f>IFERROR(LOOKUP(2,1/((B_Drainage!$A$5:$A$204&lt;&gt;"")*(B_Drainage!$A$5:$A$204&lt;=$B567)*(B_Drainage!$B$5:$B$204&gt;$B567)*(B_Drainage!$M$5:$M$204&lt;&gt;"")),IF(UPPER(B_Drainage!$M$5:$M$204)="Y",1,"")),"")</f>
        <v/>
      </c>
      <c r="AG567" s="181" t="str">
        <f>IFERROR(LOOKUP(2,1/((B_Drainage!$A$5:$A$204&lt;&gt;"")*(B_Drainage!$A$5:$A$204&lt;=$B567)*(B_Drainage!$B$5:$B$204&gt;$B567)*(B_Drainage!$N$5:$N$204&lt;&gt;"")),IF(UPPER(B_Drainage!$N$5:$N$204)="Y",1,"")),"")</f>
        <v/>
      </c>
      <c r="AH567" s="181" t="str">
        <f t="shared" si="64"/>
        <v/>
      </c>
      <c r="AI567" s="181" t="str">
        <f t="shared" si="65"/>
        <v/>
      </c>
      <c r="AJ567" s="181" t="str">
        <f t="shared" si="66"/>
        <v/>
      </c>
      <c r="AK567" s="181" t="str">
        <f t="shared" si="67"/>
        <v/>
      </c>
      <c r="AL567" s="181" t="str">
        <f t="shared" si="68"/>
        <v/>
      </c>
      <c r="AM567" s="181" t="str">
        <f t="shared" si="69"/>
        <v/>
      </c>
      <c r="AN567" s="181" t="str">
        <f t="shared" si="70"/>
        <v/>
      </c>
      <c r="AO567" s="192" t="str">
        <f t="shared" si="71"/>
        <v/>
      </c>
      <c r="AQ567" t="str">
        <f>IFERROR(LOOKUP(2,1/((C_Pavement!$A$5:$A$204&lt;&gt;"")*(C_Pavement!$A$5:$A$204&lt;=$B567)*(C_Pavement!$B$5:$B$204&gt;$B567)*(C_Pavement!$C$5:$C$204&lt;&gt;"")),ROW(C_Pavement!$C$5:$C$204)-4),"")</f>
        <v/>
      </c>
      <c r="AR567" t="str">
        <f>IF($AQ567="","",UPPER(TRIM(INDEX(C_Pavement!$C$5:$C$204,$AQ567))))</f>
        <v/>
      </c>
      <c r="AS567" t="str">
        <f>IF($AR567="","",IFERROR(MATCH($AR567,E_Rules!$A$5:$A$9,0),""))</f>
        <v/>
      </c>
      <c r="AT567" t="str">
        <f>IF($AQ567="","",IF(INDEX(C_Pavement!$D$5:$D$204,$AQ567)&lt;&gt;"",UPPER(TRIM(INDEX(C_Pavement!$D$5:$D$204,$AQ567))),IF($AS567="","",INDEX(E_Rules!$C$5:$C$9,$AS567))))</f>
        <v/>
      </c>
      <c r="AU567" t="str">
        <f>IF($AQ567="","",IF(INDEX(C_Pavement!$E$5:$E$204,$AQ567)&lt;&gt;"",IF(INDEX(C_Pavement!$E$5:$E$204,$AQ567)="-","",INDEX(C_Pavement!$E$5:$E$204,$AQ567)),IF($AS567="","",INDEX(E_Rules!$D$5:$D$9,$AS567))))</f>
        <v/>
      </c>
      <c r="AV567" t="str">
        <f>IF($AQ567="","",IF(INDEX(C_Pavement!$F$5:$F$204,$AQ567)&lt;&gt;"",IF(INDEX(C_Pavement!$F$5:$F$204,$AQ567)="-","",INDEX(C_Pavement!$F$5:$F$204,$AQ567)),IF($AS567="","",INDEX(E_Rules!$E$5:$E$9,$AS567))))</f>
        <v/>
      </c>
      <c r="AW567" t="str">
        <f>IF($AQ567="","",IF(INDEX(C_Pavement!$G$5:$G$204,$AQ567)&lt;&gt;"",IF(INDEX(C_Pavement!$G$5:$G$204,$AQ567)="-","",INDEX(C_Pavement!$G$5:$G$204,$AQ567)),IF($AS567="","",INDEX(E_Rules!$F$5:$F$9,$AS567))))</f>
        <v/>
      </c>
      <c r="AX567" t="str">
        <f>IF($AQ567="","",IF(INDEX(C_Pavement!$H$5:$H$204,$AQ567)&lt;&gt;"",IF(INDEX(C_Pavement!$H$5:$H$204,$AQ567)="-","",INDEX(C_Pavement!$H$5:$H$204,$AQ567)),IF($AS567="","",INDEX(E_Rules!$G$5:$G$9,$AS567))))</f>
        <v/>
      </c>
      <c r="AY567" t="str">
        <f>IF($AQ567="","",IF(INDEX(C_Pavement!$I$5:$I$204,$AQ567)&lt;&gt;"",IF(INDEX(C_Pavement!$I$5:$I$204,$AQ567)="-","",INDEX(C_Pavement!$I$5:$I$204,$AQ567)),IF($AS567="","",INDEX(E_Rules!$H$5:$H$9,$AS567))))</f>
        <v/>
      </c>
    </row>
    <row r="568" spans="1:51" ht="15.75" customHeight="1" x14ac:dyDescent="0.3">
      <c r="A568" s="189">
        <v>563</v>
      </c>
      <c r="B568" s="180">
        <v>28100</v>
      </c>
      <c r="C568" s="180" t="s">
        <v>874</v>
      </c>
      <c r="D568" s="181" t="str">
        <f>IFERROR(LOOKUP(2,1/((A_Corridor!$A$5:$A$204&lt;&gt;"")*(A_Corridor!$A$5:$A$204&lt;=$B568)*(A_Corridor!$B$5:$B$204&gt;$B568)*(A_Corridor!$C$5:$C$204&lt;&gt;"")),IF(UPPER(A_Corridor!$C$5:$C$204)="Y",1,"")),"")</f>
        <v/>
      </c>
      <c r="E568" s="181" t="str">
        <f>IFERROR(LOOKUP(2,1/((A_Corridor!$A$5:$A$204&lt;&gt;"")*(A_Corridor!$A$5:$A$204&lt;=$B568)*(A_Corridor!$B$5:$B$204&gt;$B568)*(A_Corridor!$D$5:$D$204&lt;&gt;"")),IF(A_Corridor!$D$5:$D$204="-","",UPPER(A_Corridor!$D$5:$D$204))),"")</f>
        <v/>
      </c>
      <c r="F568" s="181" t="str">
        <f>IFERROR(LOOKUP(2,1/((A_Corridor!$A$5:$A$204&lt;&gt;"")*(A_Corridor!$A$5:$A$204&lt;=$B568)*(A_Corridor!$B$5:$B$204&gt;$B568)*(A_Corridor!$E$5:$E$204&lt;&gt;"")),IF(A_Corridor!$E$5:$E$204="-","",1)),"")</f>
        <v/>
      </c>
      <c r="G568" s="182" t="str">
        <f>IFERROR(LOOKUP(2,1/((A_Corridor!$A$5:$A$204&lt;&gt;"")*(A_Corridor!$A$5:$A$204&lt;=$B568)*(A_Corridor!$B$5:$B$204&gt;$B568)*(A_Corridor!$E$5:$E$204&lt;&gt;"")),IF(A_Corridor!$E$5:$E$204="-","",A_Corridor!$E$5:$E$204)),"")</f>
        <v/>
      </c>
      <c r="H568" s="182" t="str">
        <f>IFERROR(LOOKUP(2,1/((D_Points!$A$5:$A$204&lt;&gt;"")*(D_Points!$A$5:$A$204&gt;=$B568)*(D_Points!$A$5:$A$204&lt;$B568+P_Interval)*(UPPER(TRIM(D_Points!$B$5:$B$204))="GULLY")*(D_Points!$H$5:$H$204&lt;&gt;"")),D_Points!$H$5:$H$204),"")</f>
        <v/>
      </c>
      <c r="I568" s="181" t="str">
        <f>IFERROR(LOOKUP(2,1/((A_Corridor!$A$5:$A$204&lt;&gt;"")*(A_Corridor!$A$5:$A$204&lt;=$B568)*(A_Corridor!$B$5:$B$204&gt;$B568)*(A_Corridor!$F$5:$F$204&lt;&gt;"")),IF(A_Corridor!$F$5:$F$204="-","",1)),"")</f>
        <v/>
      </c>
      <c r="J568" s="182" t="str">
        <f>IFERROR(LOOKUP(2,1/((A_Corridor!$A$5:$A$204&lt;&gt;"")*(A_Corridor!$A$5:$A$204&lt;=$B568)*(A_Corridor!$B$5:$B$204&gt;$B568)*(A_Corridor!$F$5:$F$204&lt;&gt;"")),IF(A_Corridor!$F$5:$F$204="-","",A_Corridor!$F$5:$F$204)),"")</f>
        <v/>
      </c>
      <c r="K568" s="182" t="str">
        <f>IFERROR(LOOKUP(2,1/((A_Corridor!$A$5:$A$204&lt;&gt;"")*(A_Corridor!$A$5:$A$204&lt;=$B568)*(A_Corridor!$B$5:$B$204&gt;$B568)*(A_Corridor!$G$5:$G$204&lt;&gt;"")),IF(A_Corridor!$G$5:$G$204="-","",A_Corridor!$G$5:$G$204)),"")</f>
        <v/>
      </c>
      <c r="L568" s="181" t="str">
        <f>IFERROR(LOOKUP(2,1/((A_Corridor!$A$5:$A$204&lt;&gt;"")*(A_Corridor!$A$5:$A$204&lt;=$B568)*(A_Corridor!$B$5:$B$204&gt;$B568)*(A_Corridor!$H$5:$H$204&lt;&gt;"")),IF(A_Corridor!$H$5:$H$204="-","",1)),"")</f>
        <v/>
      </c>
      <c r="M568" s="182" t="str">
        <f>IFERROR(LOOKUP(2,1/((A_Corridor!$A$5:$A$204&lt;&gt;"")*(A_Corridor!$A$5:$A$204&lt;=$B568)*(A_Corridor!$B$5:$B$204&gt;$B568)*(A_Corridor!$H$5:$H$204&lt;&gt;"")),IF(A_Corridor!$H$5:$H$204="-","",A_Corridor!$H$5:$H$204)),"")</f>
        <v/>
      </c>
      <c r="N568" s="182" t="str">
        <f>IFERROR(LOOKUP(2,1/((A_Corridor!$A$5:$A$204&lt;&gt;"")*(A_Corridor!$A$5:$A$204&lt;=$B568)*(A_Corridor!$B$5:$B$204&gt;$B568)*(A_Corridor!$I$5:$I$204&lt;&gt;"")),IF(A_Corridor!$I$5:$I$204="-","",A_Corridor!$I$5:$I$204)),"")</f>
        <v/>
      </c>
      <c r="O568" s="182" t="str">
        <f>IFERROR(LOOKUP(2,1/((D_Points!$A$5:$A$204&lt;&gt;"")*(D_Points!$A$5:$A$204&gt;=$B568)*(D_Points!$A$5:$A$204&lt;$B568+P_Interval)*(UPPER(TRIM(D_Points!$B$5:$B$204))="PITCHING")*(D_Points!$H$5:$H$204&lt;&gt;"")),D_Points!$H$5:$H$204),"")</f>
        <v/>
      </c>
      <c r="P568" s="181" t="str">
        <f>IFERROR(LOOKUP(2,1/((B_Drainage!$A$5:$A$204&lt;&gt;"")*(B_Drainage!$A$5:$A$204&lt;=$B568)*(B_Drainage!$B$5:$B$204&gt;$B568)*(B_Drainage!$C$5:$C$204&lt;&gt;"")),IF(B_Drainage!$C$5:$C$204="-","",UPPER(B_Drainage!$C$5:$C$204))),"")</f>
        <v/>
      </c>
      <c r="Q568" s="181" t="str">
        <f>IFERROR(LOOKUP(2,1/((B_Drainage!$A$5:$A$204&lt;&gt;"")*(B_Drainage!$A$5:$A$204&lt;=$B568)*(B_Drainage!$B$5:$B$204&gt;$B568)*(B_Drainage!$D$5:$D$204&lt;&gt;"")),IF(B_Drainage!$D$5:$D$204="-","",UPPER(B_Drainage!$D$5:$D$204))),"")</f>
        <v/>
      </c>
      <c r="R568" s="182" t="str">
        <f>IFERROR(LOOKUP(2,1/((D_Points!$A$5:$A$204&lt;&gt;"")*(D_Points!$A$5:$A$204&gt;=$B568)*(D_Points!$A$5:$A$204&lt;$B568+P_Interval)*(RIGHT(UPPER(TRIM(D_Points!$B$5:$B$204)),8)="_CULVERT")),IF(LEFT(UPPER(TRIM(D_Points!$B$5:$B$204)),2)="EX",1,IF(LEFT(UPPER(TRIM(D_Points!$B$5:$B$204)),2)="PR",2,3))),"")</f>
        <v/>
      </c>
      <c r="S568" s="182" t="str">
        <f>IFERROR(LOOKUP(2,1/((D_Points!$A$5:$A$204&lt;&gt;"")*(D_Points!$A$5:$A$204&gt;=$B568)*(D_Points!$A$5:$A$204&lt;$B568+P_Interval)*(RIGHT(UPPER(TRIM(D_Points!$B$5:$B$204)),7)="_BRIDGE")),IF(LEFT(UPPER(TRIM(D_Points!$B$5:$B$204)),2)="EX",1,IF(LEFT(UPPER(TRIM(D_Points!$B$5:$B$204)),2)="PR",2,2))),"")</f>
        <v/>
      </c>
      <c r="T568" s="181" t="str">
        <f>IFERROR(LOOKUP(2,1/((B_Drainage!$A$5:$A$204&lt;&gt;"")*(B_Drainage!$A$5:$A$204&lt;=$B568)*(B_Drainage!$B$5:$B$204&gt;$B568)*(B_Drainage!$E$5:$E$204&lt;&gt;"")),IF(B_Drainage!$E$5:$E$204="-","",1)),"")</f>
        <v/>
      </c>
      <c r="U568" s="181" t="str">
        <f>IFERROR(LOOKUP(2,1/((B_Drainage!$A$5:$A$204&lt;&gt;"")*(B_Drainage!$A$5:$A$204&lt;=$B568)*(B_Drainage!$B$5:$B$204&gt;$B568)*(B_Drainage!$E$5:$E$204&lt;&gt;"")),IF(B_Drainage!$E$5:$E$204="-","",B_Drainage!$E$5:$E$204)),"")</f>
        <v/>
      </c>
      <c r="V568" s="181" t="str">
        <f>IFERROR(LOOKUP(2,1/((B_Drainage!$A$5:$A$204&lt;&gt;"")*(B_Drainage!$A$5:$A$204&lt;=$B568)*(B_Drainage!$B$5:$B$204&gt;$B568)*(B_Drainage!$F$5:$F$204&lt;&gt;"")),IF(B_Drainage!$F$5:$F$204="-","",1)),"")</f>
        <v/>
      </c>
      <c r="W568" s="181" t="str">
        <f>IFERROR(LOOKUP(2,1/((B_Drainage!$A$5:$A$204&lt;&gt;"")*(B_Drainage!$A$5:$A$204&lt;=$B568)*(B_Drainage!$B$5:$B$204&gt;$B568)*(B_Drainage!$F$5:$F$204&lt;&gt;"")),IF(B_Drainage!$F$5:$F$204="-","",B_Drainage!$F$5:$F$204)),"")</f>
        <v/>
      </c>
      <c r="X568" s="181" t="str">
        <f>IFERROR(LOOKUP(2,1/((B_Drainage!$A$5:$A$204&lt;&gt;"")*(B_Drainage!$A$5:$A$204&lt;=$B568)*(B_Drainage!$B$5:$B$204&gt;$B568)*(B_Drainage!$G$5:$G$204&lt;&gt;"")),IF(UPPER(B_Drainage!$G$5:$G$204)="Y",1,"")),"")</f>
        <v/>
      </c>
      <c r="Y568" s="181" t="str">
        <f>IFERROR(LOOKUP(2,1/((B_Drainage!$A$5:$A$204&lt;&gt;"")*(B_Drainage!$A$5:$A$204&lt;=$B568)*(B_Drainage!$B$5:$B$204&gt;$B568)*(B_Drainage!$H$5:$H$204&lt;&gt;"")),IF(UPPER(B_Drainage!$H$5:$H$204)="Y",1,"")),"")</f>
        <v/>
      </c>
      <c r="Z568" s="181" t="str">
        <f>IFERROR(LOOKUP(2,1/((B_Drainage!$A$5:$A$204&lt;&gt;"")*(B_Drainage!$A$5:$A$204&lt;=$B568)*(B_Drainage!$B$5:$B$204&gt;$B568)*(B_Drainage!$I$5:$I$204&lt;&gt;"")),IF(UPPER(B_Drainage!$I$5:$I$204)="Y",1,"")),"")</f>
        <v/>
      </c>
      <c r="AA568" s="181" t="str">
        <f>IFERROR(LOOKUP(2,1/((B_Drainage!$A$5:$A$204&lt;&gt;"")*(B_Drainage!$A$5:$A$204&lt;=$B568)*(B_Drainage!$B$5:$B$204&gt;$B568)*(B_Drainage!$J$5:$J$204&lt;&gt;"")),IF(UPPER(B_Drainage!$J$5:$J$204)="Y",1,"")),"")</f>
        <v/>
      </c>
      <c r="AB568" s="182" t="str">
        <f>IFERROR(LOOKUP(2,1/((B_Drainage!$A$5:$A$204&lt;&gt;"")*(B_Drainage!$A$5:$A$204&lt;=$B568)*(B_Drainage!$B$5:$B$204&gt;$B568)*(B_Drainage!$K$5:$K$204&lt;&gt;"")),IF(B_Drainage!$K$5:$K$204="-","",B_Drainage!$K$5:$K$204)),"")</f>
        <v/>
      </c>
      <c r="AC568" s="182" t="str">
        <f>IFERROR(LOOKUP(2,1/((B_Drainage!$A$5:$A$204&lt;&gt;"")*(B_Drainage!$A$5:$A$204&lt;=$B568)*(B_Drainage!$B$5:$B$204&gt;$B568)*(B_Drainage!$L$5:$L$204&lt;&gt;"")),IF(B_Drainage!$L$5:$L$204="-","",B_Drainage!$L$5:$L$204)),"")</f>
        <v/>
      </c>
      <c r="AD568" s="182" t="str">
        <f>IFERROR(LOOKUP(2,1/((D_Points!$A$5:$A$204&lt;&gt;"")*(D_Points!$A$5:$A$204&gt;=$B568)*(D_Points!$A$5:$A$204&lt;$B568+P_Interval)*(UPPER(TRIM(D_Points!$B$5:$B$204))="TURNOUT_L")*(D_Points!$H$5:$H$204&lt;&gt;"")),D_Points!$H$5:$H$204),"")</f>
        <v/>
      </c>
      <c r="AE568" s="182" t="str">
        <f>IFERROR(LOOKUP(2,1/((D_Points!$A$5:$A$204&lt;&gt;"")*(D_Points!$A$5:$A$204&gt;=$B568)*(D_Points!$A$5:$A$204&lt;$B568+P_Interval)*(UPPER(TRIM(D_Points!$B$5:$B$204))="TURNOUT_R")*(D_Points!$H$5:$H$204&lt;&gt;"")),D_Points!$H$5:$H$204),"")</f>
        <v/>
      </c>
      <c r="AF568" s="181" t="str">
        <f>IFERROR(LOOKUP(2,1/((B_Drainage!$A$5:$A$204&lt;&gt;"")*(B_Drainage!$A$5:$A$204&lt;=$B568)*(B_Drainage!$B$5:$B$204&gt;$B568)*(B_Drainage!$M$5:$M$204&lt;&gt;"")),IF(UPPER(B_Drainage!$M$5:$M$204)="Y",1,"")),"")</f>
        <v/>
      </c>
      <c r="AG568" s="181" t="str">
        <f>IFERROR(LOOKUP(2,1/((B_Drainage!$A$5:$A$204&lt;&gt;"")*(B_Drainage!$A$5:$A$204&lt;=$B568)*(B_Drainage!$B$5:$B$204&gt;$B568)*(B_Drainage!$N$5:$N$204&lt;&gt;"")),IF(UPPER(B_Drainage!$N$5:$N$204)="Y",1,"")),"")</f>
        <v/>
      </c>
      <c r="AH568" s="181" t="str">
        <f t="shared" si="64"/>
        <v/>
      </c>
      <c r="AI568" s="181" t="str">
        <f t="shared" si="65"/>
        <v/>
      </c>
      <c r="AJ568" s="181" t="str">
        <f t="shared" si="66"/>
        <v/>
      </c>
      <c r="AK568" s="181" t="str">
        <f t="shared" si="67"/>
        <v/>
      </c>
      <c r="AL568" s="181" t="str">
        <f t="shared" si="68"/>
        <v/>
      </c>
      <c r="AM568" s="181" t="str">
        <f t="shared" si="69"/>
        <v/>
      </c>
      <c r="AN568" s="181" t="str">
        <f t="shared" si="70"/>
        <v/>
      </c>
      <c r="AO568" s="192" t="str">
        <f t="shared" si="71"/>
        <v/>
      </c>
      <c r="AQ568" t="str">
        <f>IFERROR(LOOKUP(2,1/((C_Pavement!$A$5:$A$204&lt;&gt;"")*(C_Pavement!$A$5:$A$204&lt;=$B568)*(C_Pavement!$B$5:$B$204&gt;$B568)*(C_Pavement!$C$5:$C$204&lt;&gt;"")),ROW(C_Pavement!$C$5:$C$204)-4),"")</f>
        <v/>
      </c>
      <c r="AR568" t="str">
        <f>IF($AQ568="","",UPPER(TRIM(INDEX(C_Pavement!$C$5:$C$204,$AQ568))))</f>
        <v/>
      </c>
      <c r="AS568" t="str">
        <f>IF($AR568="","",IFERROR(MATCH($AR568,E_Rules!$A$5:$A$9,0),""))</f>
        <v/>
      </c>
      <c r="AT568" t="str">
        <f>IF($AQ568="","",IF(INDEX(C_Pavement!$D$5:$D$204,$AQ568)&lt;&gt;"",UPPER(TRIM(INDEX(C_Pavement!$D$5:$D$204,$AQ568))),IF($AS568="","",INDEX(E_Rules!$C$5:$C$9,$AS568))))</f>
        <v/>
      </c>
      <c r="AU568" t="str">
        <f>IF($AQ568="","",IF(INDEX(C_Pavement!$E$5:$E$204,$AQ568)&lt;&gt;"",IF(INDEX(C_Pavement!$E$5:$E$204,$AQ568)="-","",INDEX(C_Pavement!$E$5:$E$204,$AQ568)),IF($AS568="","",INDEX(E_Rules!$D$5:$D$9,$AS568))))</f>
        <v/>
      </c>
      <c r="AV568" t="str">
        <f>IF($AQ568="","",IF(INDEX(C_Pavement!$F$5:$F$204,$AQ568)&lt;&gt;"",IF(INDEX(C_Pavement!$F$5:$F$204,$AQ568)="-","",INDEX(C_Pavement!$F$5:$F$204,$AQ568)),IF($AS568="","",INDEX(E_Rules!$E$5:$E$9,$AS568))))</f>
        <v/>
      </c>
      <c r="AW568" t="str">
        <f>IF($AQ568="","",IF(INDEX(C_Pavement!$G$5:$G$204,$AQ568)&lt;&gt;"",IF(INDEX(C_Pavement!$G$5:$G$204,$AQ568)="-","",INDEX(C_Pavement!$G$5:$G$204,$AQ568)),IF($AS568="","",INDEX(E_Rules!$F$5:$F$9,$AS568))))</f>
        <v/>
      </c>
      <c r="AX568" t="str">
        <f>IF($AQ568="","",IF(INDEX(C_Pavement!$H$5:$H$204,$AQ568)&lt;&gt;"",IF(INDEX(C_Pavement!$H$5:$H$204,$AQ568)="-","",INDEX(C_Pavement!$H$5:$H$204,$AQ568)),IF($AS568="","",INDEX(E_Rules!$G$5:$G$9,$AS568))))</f>
        <v/>
      </c>
      <c r="AY568" t="str">
        <f>IF($AQ568="","",IF(INDEX(C_Pavement!$I$5:$I$204,$AQ568)&lt;&gt;"",IF(INDEX(C_Pavement!$I$5:$I$204,$AQ568)="-","",INDEX(C_Pavement!$I$5:$I$204,$AQ568)),IF($AS568="","",INDEX(E_Rules!$H$5:$H$9,$AS568))))</f>
        <v/>
      </c>
    </row>
    <row r="569" spans="1:51" ht="15.75" customHeight="1" x14ac:dyDescent="0.3">
      <c r="A569" s="189">
        <v>564</v>
      </c>
      <c r="B569" s="180">
        <v>28150</v>
      </c>
      <c r="C569" s="180" t="s">
        <v>875</v>
      </c>
      <c r="D569" s="181" t="str">
        <f>IFERROR(LOOKUP(2,1/((A_Corridor!$A$5:$A$204&lt;&gt;"")*(A_Corridor!$A$5:$A$204&lt;=$B569)*(A_Corridor!$B$5:$B$204&gt;$B569)*(A_Corridor!$C$5:$C$204&lt;&gt;"")),IF(UPPER(A_Corridor!$C$5:$C$204)="Y",1,"")),"")</f>
        <v/>
      </c>
      <c r="E569" s="181" t="str">
        <f>IFERROR(LOOKUP(2,1/((A_Corridor!$A$5:$A$204&lt;&gt;"")*(A_Corridor!$A$5:$A$204&lt;=$B569)*(A_Corridor!$B$5:$B$204&gt;$B569)*(A_Corridor!$D$5:$D$204&lt;&gt;"")),IF(A_Corridor!$D$5:$D$204="-","",UPPER(A_Corridor!$D$5:$D$204))),"")</f>
        <v/>
      </c>
      <c r="F569" s="181" t="str">
        <f>IFERROR(LOOKUP(2,1/((A_Corridor!$A$5:$A$204&lt;&gt;"")*(A_Corridor!$A$5:$A$204&lt;=$B569)*(A_Corridor!$B$5:$B$204&gt;$B569)*(A_Corridor!$E$5:$E$204&lt;&gt;"")),IF(A_Corridor!$E$5:$E$204="-","",1)),"")</f>
        <v/>
      </c>
      <c r="G569" s="182" t="str">
        <f>IFERROR(LOOKUP(2,1/((A_Corridor!$A$5:$A$204&lt;&gt;"")*(A_Corridor!$A$5:$A$204&lt;=$B569)*(A_Corridor!$B$5:$B$204&gt;$B569)*(A_Corridor!$E$5:$E$204&lt;&gt;"")),IF(A_Corridor!$E$5:$E$204="-","",A_Corridor!$E$5:$E$204)),"")</f>
        <v/>
      </c>
      <c r="H569" s="182" t="str">
        <f>IFERROR(LOOKUP(2,1/((D_Points!$A$5:$A$204&lt;&gt;"")*(D_Points!$A$5:$A$204&gt;=$B569)*(D_Points!$A$5:$A$204&lt;$B569+P_Interval)*(UPPER(TRIM(D_Points!$B$5:$B$204))="GULLY")*(D_Points!$H$5:$H$204&lt;&gt;"")),D_Points!$H$5:$H$204),"")</f>
        <v/>
      </c>
      <c r="I569" s="181" t="str">
        <f>IFERROR(LOOKUP(2,1/((A_Corridor!$A$5:$A$204&lt;&gt;"")*(A_Corridor!$A$5:$A$204&lt;=$B569)*(A_Corridor!$B$5:$B$204&gt;$B569)*(A_Corridor!$F$5:$F$204&lt;&gt;"")),IF(A_Corridor!$F$5:$F$204="-","",1)),"")</f>
        <v/>
      </c>
      <c r="J569" s="182" t="str">
        <f>IFERROR(LOOKUP(2,1/((A_Corridor!$A$5:$A$204&lt;&gt;"")*(A_Corridor!$A$5:$A$204&lt;=$B569)*(A_Corridor!$B$5:$B$204&gt;$B569)*(A_Corridor!$F$5:$F$204&lt;&gt;"")),IF(A_Corridor!$F$5:$F$204="-","",A_Corridor!$F$5:$F$204)),"")</f>
        <v/>
      </c>
      <c r="K569" s="182" t="str">
        <f>IFERROR(LOOKUP(2,1/((A_Corridor!$A$5:$A$204&lt;&gt;"")*(A_Corridor!$A$5:$A$204&lt;=$B569)*(A_Corridor!$B$5:$B$204&gt;$B569)*(A_Corridor!$G$5:$G$204&lt;&gt;"")),IF(A_Corridor!$G$5:$G$204="-","",A_Corridor!$G$5:$G$204)),"")</f>
        <v/>
      </c>
      <c r="L569" s="181" t="str">
        <f>IFERROR(LOOKUP(2,1/((A_Corridor!$A$5:$A$204&lt;&gt;"")*(A_Corridor!$A$5:$A$204&lt;=$B569)*(A_Corridor!$B$5:$B$204&gt;$B569)*(A_Corridor!$H$5:$H$204&lt;&gt;"")),IF(A_Corridor!$H$5:$H$204="-","",1)),"")</f>
        <v/>
      </c>
      <c r="M569" s="182" t="str">
        <f>IFERROR(LOOKUP(2,1/((A_Corridor!$A$5:$A$204&lt;&gt;"")*(A_Corridor!$A$5:$A$204&lt;=$B569)*(A_Corridor!$B$5:$B$204&gt;$B569)*(A_Corridor!$H$5:$H$204&lt;&gt;"")),IF(A_Corridor!$H$5:$H$204="-","",A_Corridor!$H$5:$H$204)),"")</f>
        <v/>
      </c>
      <c r="N569" s="182" t="str">
        <f>IFERROR(LOOKUP(2,1/((A_Corridor!$A$5:$A$204&lt;&gt;"")*(A_Corridor!$A$5:$A$204&lt;=$B569)*(A_Corridor!$B$5:$B$204&gt;$B569)*(A_Corridor!$I$5:$I$204&lt;&gt;"")),IF(A_Corridor!$I$5:$I$204="-","",A_Corridor!$I$5:$I$204)),"")</f>
        <v/>
      </c>
      <c r="O569" s="182" t="str">
        <f>IFERROR(LOOKUP(2,1/((D_Points!$A$5:$A$204&lt;&gt;"")*(D_Points!$A$5:$A$204&gt;=$B569)*(D_Points!$A$5:$A$204&lt;$B569+P_Interval)*(UPPER(TRIM(D_Points!$B$5:$B$204))="PITCHING")*(D_Points!$H$5:$H$204&lt;&gt;"")),D_Points!$H$5:$H$204),"")</f>
        <v/>
      </c>
      <c r="P569" s="181" t="str">
        <f>IFERROR(LOOKUP(2,1/((B_Drainage!$A$5:$A$204&lt;&gt;"")*(B_Drainage!$A$5:$A$204&lt;=$B569)*(B_Drainage!$B$5:$B$204&gt;$B569)*(B_Drainage!$C$5:$C$204&lt;&gt;"")),IF(B_Drainage!$C$5:$C$204="-","",UPPER(B_Drainage!$C$5:$C$204))),"")</f>
        <v/>
      </c>
      <c r="Q569" s="181" t="str">
        <f>IFERROR(LOOKUP(2,1/((B_Drainage!$A$5:$A$204&lt;&gt;"")*(B_Drainage!$A$5:$A$204&lt;=$B569)*(B_Drainage!$B$5:$B$204&gt;$B569)*(B_Drainage!$D$5:$D$204&lt;&gt;"")),IF(B_Drainage!$D$5:$D$204="-","",UPPER(B_Drainage!$D$5:$D$204))),"")</f>
        <v/>
      </c>
      <c r="R569" s="182" t="str">
        <f>IFERROR(LOOKUP(2,1/((D_Points!$A$5:$A$204&lt;&gt;"")*(D_Points!$A$5:$A$204&gt;=$B569)*(D_Points!$A$5:$A$204&lt;$B569+P_Interval)*(RIGHT(UPPER(TRIM(D_Points!$B$5:$B$204)),8)="_CULVERT")),IF(LEFT(UPPER(TRIM(D_Points!$B$5:$B$204)),2)="EX",1,IF(LEFT(UPPER(TRIM(D_Points!$B$5:$B$204)),2)="PR",2,3))),"")</f>
        <v/>
      </c>
      <c r="S569" s="182" t="str">
        <f>IFERROR(LOOKUP(2,1/((D_Points!$A$5:$A$204&lt;&gt;"")*(D_Points!$A$5:$A$204&gt;=$B569)*(D_Points!$A$5:$A$204&lt;$B569+P_Interval)*(RIGHT(UPPER(TRIM(D_Points!$B$5:$B$204)),7)="_BRIDGE")),IF(LEFT(UPPER(TRIM(D_Points!$B$5:$B$204)),2)="EX",1,IF(LEFT(UPPER(TRIM(D_Points!$B$5:$B$204)),2)="PR",2,2))),"")</f>
        <v/>
      </c>
      <c r="T569" s="181" t="str">
        <f>IFERROR(LOOKUP(2,1/((B_Drainage!$A$5:$A$204&lt;&gt;"")*(B_Drainage!$A$5:$A$204&lt;=$B569)*(B_Drainage!$B$5:$B$204&gt;$B569)*(B_Drainage!$E$5:$E$204&lt;&gt;"")),IF(B_Drainage!$E$5:$E$204="-","",1)),"")</f>
        <v/>
      </c>
      <c r="U569" s="181" t="str">
        <f>IFERROR(LOOKUP(2,1/((B_Drainage!$A$5:$A$204&lt;&gt;"")*(B_Drainage!$A$5:$A$204&lt;=$B569)*(B_Drainage!$B$5:$B$204&gt;$B569)*(B_Drainage!$E$5:$E$204&lt;&gt;"")),IF(B_Drainage!$E$5:$E$204="-","",B_Drainage!$E$5:$E$204)),"")</f>
        <v/>
      </c>
      <c r="V569" s="181" t="str">
        <f>IFERROR(LOOKUP(2,1/((B_Drainage!$A$5:$A$204&lt;&gt;"")*(B_Drainage!$A$5:$A$204&lt;=$B569)*(B_Drainage!$B$5:$B$204&gt;$B569)*(B_Drainage!$F$5:$F$204&lt;&gt;"")),IF(B_Drainage!$F$5:$F$204="-","",1)),"")</f>
        <v/>
      </c>
      <c r="W569" s="181" t="str">
        <f>IFERROR(LOOKUP(2,1/((B_Drainage!$A$5:$A$204&lt;&gt;"")*(B_Drainage!$A$5:$A$204&lt;=$B569)*(B_Drainage!$B$5:$B$204&gt;$B569)*(B_Drainage!$F$5:$F$204&lt;&gt;"")),IF(B_Drainage!$F$5:$F$204="-","",B_Drainage!$F$5:$F$204)),"")</f>
        <v/>
      </c>
      <c r="X569" s="181" t="str">
        <f>IFERROR(LOOKUP(2,1/((B_Drainage!$A$5:$A$204&lt;&gt;"")*(B_Drainage!$A$5:$A$204&lt;=$B569)*(B_Drainage!$B$5:$B$204&gt;$B569)*(B_Drainage!$G$5:$G$204&lt;&gt;"")),IF(UPPER(B_Drainage!$G$5:$G$204)="Y",1,"")),"")</f>
        <v/>
      </c>
      <c r="Y569" s="181" t="str">
        <f>IFERROR(LOOKUP(2,1/((B_Drainage!$A$5:$A$204&lt;&gt;"")*(B_Drainage!$A$5:$A$204&lt;=$B569)*(B_Drainage!$B$5:$B$204&gt;$B569)*(B_Drainage!$H$5:$H$204&lt;&gt;"")),IF(UPPER(B_Drainage!$H$5:$H$204)="Y",1,"")),"")</f>
        <v/>
      </c>
      <c r="Z569" s="181" t="str">
        <f>IFERROR(LOOKUP(2,1/((B_Drainage!$A$5:$A$204&lt;&gt;"")*(B_Drainage!$A$5:$A$204&lt;=$B569)*(B_Drainage!$B$5:$B$204&gt;$B569)*(B_Drainage!$I$5:$I$204&lt;&gt;"")),IF(UPPER(B_Drainage!$I$5:$I$204)="Y",1,"")),"")</f>
        <v/>
      </c>
      <c r="AA569" s="181" t="str">
        <f>IFERROR(LOOKUP(2,1/((B_Drainage!$A$5:$A$204&lt;&gt;"")*(B_Drainage!$A$5:$A$204&lt;=$B569)*(B_Drainage!$B$5:$B$204&gt;$B569)*(B_Drainage!$J$5:$J$204&lt;&gt;"")),IF(UPPER(B_Drainage!$J$5:$J$204)="Y",1,"")),"")</f>
        <v/>
      </c>
      <c r="AB569" s="182" t="str">
        <f>IFERROR(LOOKUP(2,1/((B_Drainage!$A$5:$A$204&lt;&gt;"")*(B_Drainage!$A$5:$A$204&lt;=$B569)*(B_Drainage!$B$5:$B$204&gt;$B569)*(B_Drainage!$K$5:$K$204&lt;&gt;"")),IF(B_Drainage!$K$5:$K$204="-","",B_Drainage!$K$5:$K$204)),"")</f>
        <v/>
      </c>
      <c r="AC569" s="182" t="str">
        <f>IFERROR(LOOKUP(2,1/((B_Drainage!$A$5:$A$204&lt;&gt;"")*(B_Drainage!$A$5:$A$204&lt;=$B569)*(B_Drainage!$B$5:$B$204&gt;$B569)*(B_Drainage!$L$5:$L$204&lt;&gt;"")),IF(B_Drainage!$L$5:$L$204="-","",B_Drainage!$L$5:$L$204)),"")</f>
        <v/>
      </c>
      <c r="AD569" s="182" t="str">
        <f>IFERROR(LOOKUP(2,1/((D_Points!$A$5:$A$204&lt;&gt;"")*(D_Points!$A$5:$A$204&gt;=$B569)*(D_Points!$A$5:$A$204&lt;$B569+P_Interval)*(UPPER(TRIM(D_Points!$B$5:$B$204))="TURNOUT_L")*(D_Points!$H$5:$H$204&lt;&gt;"")),D_Points!$H$5:$H$204),"")</f>
        <v/>
      </c>
      <c r="AE569" s="182" t="str">
        <f>IFERROR(LOOKUP(2,1/((D_Points!$A$5:$A$204&lt;&gt;"")*(D_Points!$A$5:$A$204&gt;=$B569)*(D_Points!$A$5:$A$204&lt;$B569+P_Interval)*(UPPER(TRIM(D_Points!$B$5:$B$204))="TURNOUT_R")*(D_Points!$H$5:$H$204&lt;&gt;"")),D_Points!$H$5:$H$204),"")</f>
        <v/>
      </c>
      <c r="AF569" s="181" t="str">
        <f>IFERROR(LOOKUP(2,1/((B_Drainage!$A$5:$A$204&lt;&gt;"")*(B_Drainage!$A$5:$A$204&lt;=$B569)*(B_Drainage!$B$5:$B$204&gt;$B569)*(B_Drainage!$M$5:$M$204&lt;&gt;"")),IF(UPPER(B_Drainage!$M$5:$M$204)="Y",1,"")),"")</f>
        <v/>
      </c>
      <c r="AG569" s="181" t="str">
        <f>IFERROR(LOOKUP(2,1/((B_Drainage!$A$5:$A$204&lt;&gt;"")*(B_Drainage!$A$5:$A$204&lt;=$B569)*(B_Drainage!$B$5:$B$204&gt;$B569)*(B_Drainage!$N$5:$N$204&lt;&gt;"")),IF(UPPER(B_Drainage!$N$5:$N$204)="Y",1,"")),"")</f>
        <v/>
      </c>
      <c r="AH569" s="181" t="str">
        <f t="shared" si="64"/>
        <v/>
      </c>
      <c r="AI569" s="181" t="str">
        <f t="shared" si="65"/>
        <v/>
      </c>
      <c r="AJ569" s="181" t="str">
        <f t="shared" si="66"/>
        <v/>
      </c>
      <c r="AK569" s="181" t="str">
        <f t="shared" si="67"/>
        <v/>
      </c>
      <c r="AL569" s="181" t="str">
        <f t="shared" si="68"/>
        <v/>
      </c>
      <c r="AM569" s="181" t="str">
        <f t="shared" si="69"/>
        <v/>
      </c>
      <c r="AN569" s="181" t="str">
        <f t="shared" si="70"/>
        <v/>
      </c>
      <c r="AO569" s="192" t="str">
        <f t="shared" si="71"/>
        <v/>
      </c>
      <c r="AQ569" t="str">
        <f>IFERROR(LOOKUP(2,1/((C_Pavement!$A$5:$A$204&lt;&gt;"")*(C_Pavement!$A$5:$A$204&lt;=$B569)*(C_Pavement!$B$5:$B$204&gt;$B569)*(C_Pavement!$C$5:$C$204&lt;&gt;"")),ROW(C_Pavement!$C$5:$C$204)-4),"")</f>
        <v/>
      </c>
      <c r="AR569" t="str">
        <f>IF($AQ569="","",UPPER(TRIM(INDEX(C_Pavement!$C$5:$C$204,$AQ569))))</f>
        <v/>
      </c>
      <c r="AS569" t="str">
        <f>IF($AR569="","",IFERROR(MATCH($AR569,E_Rules!$A$5:$A$9,0),""))</f>
        <v/>
      </c>
      <c r="AT569" t="str">
        <f>IF($AQ569="","",IF(INDEX(C_Pavement!$D$5:$D$204,$AQ569)&lt;&gt;"",UPPER(TRIM(INDEX(C_Pavement!$D$5:$D$204,$AQ569))),IF($AS569="","",INDEX(E_Rules!$C$5:$C$9,$AS569))))</f>
        <v/>
      </c>
      <c r="AU569" t="str">
        <f>IF($AQ569="","",IF(INDEX(C_Pavement!$E$5:$E$204,$AQ569)&lt;&gt;"",IF(INDEX(C_Pavement!$E$5:$E$204,$AQ569)="-","",INDEX(C_Pavement!$E$5:$E$204,$AQ569)),IF($AS569="","",INDEX(E_Rules!$D$5:$D$9,$AS569))))</f>
        <v/>
      </c>
      <c r="AV569" t="str">
        <f>IF($AQ569="","",IF(INDEX(C_Pavement!$F$5:$F$204,$AQ569)&lt;&gt;"",IF(INDEX(C_Pavement!$F$5:$F$204,$AQ569)="-","",INDEX(C_Pavement!$F$5:$F$204,$AQ569)),IF($AS569="","",INDEX(E_Rules!$E$5:$E$9,$AS569))))</f>
        <v/>
      </c>
      <c r="AW569" t="str">
        <f>IF($AQ569="","",IF(INDEX(C_Pavement!$G$5:$G$204,$AQ569)&lt;&gt;"",IF(INDEX(C_Pavement!$G$5:$G$204,$AQ569)="-","",INDEX(C_Pavement!$G$5:$G$204,$AQ569)),IF($AS569="","",INDEX(E_Rules!$F$5:$F$9,$AS569))))</f>
        <v/>
      </c>
      <c r="AX569" t="str">
        <f>IF($AQ569="","",IF(INDEX(C_Pavement!$H$5:$H$204,$AQ569)&lt;&gt;"",IF(INDEX(C_Pavement!$H$5:$H$204,$AQ569)="-","",INDEX(C_Pavement!$H$5:$H$204,$AQ569)),IF($AS569="","",INDEX(E_Rules!$G$5:$G$9,$AS569))))</f>
        <v/>
      </c>
      <c r="AY569" t="str">
        <f>IF($AQ569="","",IF(INDEX(C_Pavement!$I$5:$I$204,$AQ569)&lt;&gt;"",IF(INDEX(C_Pavement!$I$5:$I$204,$AQ569)="-","",INDEX(C_Pavement!$I$5:$I$204,$AQ569)),IF($AS569="","",INDEX(E_Rules!$H$5:$H$9,$AS569))))</f>
        <v/>
      </c>
    </row>
    <row r="570" spans="1:51" ht="15.75" customHeight="1" x14ac:dyDescent="0.3">
      <c r="A570" s="189">
        <v>565</v>
      </c>
      <c r="B570" s="180">
        <v>28200</v>
      </c>
      <c r="C570" s="180" t="s">
        <v>876</v>
      </c>
      <c r="D570" s="181" t="str">
        <f>IFERROR(LOOKUP(2,1/((A_Corridor!$A$5:$A$204&lt;&gt;"")*(A_Corridor!$A$5:$A$204&lt;=$B570)*(A_Corridor!$B$5:$B$204&gt;$B570)*(A_Corridor!$C$5:$C$204&lt;&gt;"")),IF(UPPER(A_Corridor!$C$5:$C$204)="Y",1,"")),"")</f>
        <v/>
      </c>
      <c r="E570" s="181" t="str">
        <f>IFERROR(LOOKUP(2,1/((A_Corridor!$A$5:$A$204&lt;&gt;"")*(A_Corridor!$A$5:$A$204&lt;=$B570)*(A_Corridor!$B$5:$B$204&gt;$B570)*(A_Corridor!$D$5:$D$204&lt;&gt;"")),IF(A_Corridor!$D$5:$D$204="-","",UPPER(A_Corridor!$D$5:$D$204))),"")</f>
        <v/>
      </c>
      <c r="F570" s="181" t="str">
        <f>IFERROR(LOOKUP(2,1/((A_Corridor!$A$5:$A$204&lt;&gt;"")*(A_Corridor!$A$5:$A$204&lt;=$B570)*(A_Corridor!$B$5:$B$204&gt;$B570)*(A_Corridor!$E$5:$E$204&lt;&gt;"")),IF(A_Corridor!$E$5:$E$204="-","",1)),"")</f>
        <v/>
      </c>
      <c r="G570" s="182" t="str">
        <f>IFERROR(LOOKUP(2,1/((A_Corridor!$A$5:$A$204&lt;&gt;"")*(A_Corridor!$A$5:$A$204&lt;=$B570)*(A_Corridor!$B$5:$B$204&gt;$B570)*(A_Corridor!$E$5:$E$204&lt;&gt;"")),IF(A_Corridor!$E$5:$E$204="-","",A_Corridor!$E$5:$E$204)),"")</f>
        <v/>
      </c>
      <c r="H570" s="182" t="str">
        <f>IFERROR(LOOKUP(2,1/((D_Points!$A$5:$A$204&lt;&gt;"")*(D_Points!$A$5:$A$204&gt;=$B570)*(D_Points!$A$5:$A$204&lt;$B570+P_Interval)*(UPPER(TRIM(D_Points!$B$5:$B$204))="GULLY")*(D_Points!$H$5:$H$204&lt;&gt;"")),D_Points!$H$5:$H$204),"")</f>
        <v/>
      </c>
      <c r="I570" s="181" t="str">
        <f>IFERROR(LOOKUP(2,1/((A_Corridor!$A$5:$A$204&lt;&gt;"")*(A_Corridor!$A$5:$A$204&lt;=$B570)*(A_Corridor!$B$5:$B$204&gt;$B570)*(A_Corridor!$F$5:$F$204&lt;&gt;"")),IF(A_Corridor!$F$5:$F$204="-","",1)),"")</f>
        <v/>
      </c>
      <c r="J570" s="182" t="str">
        <f>IFERROR(LOOKUP(2,1/((A_Corridor!$A$5:$A$204&lt;&gt;"")*(A_Corridor!$A$5:$A$204&lt;=$B570)*(A_Corridor!$B$5:$B$204&gt;$B570)*(A_Corridor!$F$5:$F$204&lt;&gt;"")),IF(A_Corridor!$F$5:$F$204="-","",A_Corridor!$F$5:$F$204)),"")</f>
        <v/>
      </c>
      <c r="K570" s="182" t="str">
        <f>IFERROR(LOOKUP(2,1/((A_Corridor!$A$5:$A$204&lt;&gt;"")*(A_Corridor!$A$5:$A$204&lt;=$B570)*(A_Corridor!$B$5:$B$204&gt;$B570)*(A_Corridor!$G$5:$G$204&lt;&gt;"")),IF(A_Corridor!$G$5:$G$204="-","",A_Corridor!$G$5:$G$204)),"")</f>
        <v/>
      </c>
      <c r="L570" s="181" t="str">
        <f>IFERROR(LOOKUP(2,1/((A_Corridor!$A$5:$A$204&lt;&gt;"")*(A_Corridor!$A$5:$A$204&lt;=$B570)*(A_Corridor!$B$5:$B$204&gt;$B570)*(A_Corridor!$H$5:$H$204&lt;&gt;"")),IF(A_Corridor!$H$5:$H$204="-","",1)),"")</f>
        <v/>
      </c>
      <c r="M570" s="182" t="str">
        <f>IFERROR(LOOKUP(2,1/((A_Corridor!$A$5:$A$204&lt;&gt;"")*(A_Corridor!$A$5:$A$204&lt;=$B570)*(A_Corridor!$B$5:$B$204&gt;$B570)*(A_Corridor!$H$5:$H$204&lt;&gt;"")),IF(A_Corridor!$H$5:$H$204="-","",A_Corridor!$H$5:$H$204)),"")</f>
        <v/>
      </c>
      <c r="N570" s="182" t="str">
        <f>IFERROR(LOOKUP(2,1/((A_Corridor!$A$5:$A$204&lt;&gt;"")*(A_Corridor!$A$5:$A$204&lt;=$B570)*(A_Corridor!$B$5:$B$204&gt;$B570)*(A_Corridor!$I$5:$I$204&lt;&gt;"")),IF(A_Corridor!$I$5:$I$204="-","",A_Corridor!$I$5:$I$204)),"")</f>
        <v/>
      </c>
      <c r="O570" s="182" t="str">
        <f>IFERROR(LOOKUP(2,1/((D_Points!$A$5:$A$204&lt;&gt;"")*(D_Points!$A$5:$A$204&gt;=$B570)*(D_Points!$A$5:$A$204&lt;$B570+P_Interval)*(UPPER(TRIM(D_Points!$B$5:$B$204))="PITCHING")*(D_Points!$H$5:$H$204&lt;&gt;"")),D_Points!$H$5:$H$204),"")</f>
        <v/>
      </c>
      <c r="P570" s="181" t="str">
        <f>IFERROR(LOOKUP(2,1/((B_Drainage!$A$5:$A$204&lt;&gt;"")*(B_Drainage!$A$5:$A$204&lt;=$B570)*(B_Drainage!$B$5:$B$204&gt;$B570)*(B_Drainage!$C$5:$C$204&lt;&gt;"")),IF(B_Drainage!$C$5:$C$204="-","",UPPER(B_Drainage!$C$5:$C$204))),"")</f>
        <v/>
      </c>
      <c r="Q570" s="181" t="str">
        <f>IFERROR(LOOKUP(2,1/((B_Drainage!$A$5:$A$204&lt;&gt;"")*(B_Drainage!$A$5:$A$204&lt;=$B570)*(B_Drainage!$B$5:$B$204&gt;$B570)*(B_Drainage!$D$5:$D$204&lt;&gt;"")),IF(B_Drainage!$D$5:$D$204="-","",UPPER(B_Drainage!$D$5:$D$204))),"")</f>
        <v/>
      </c>
      <c r="R570" s="182" t="str">
        <f>IFERROR(LOOKUP(2,1/((D_Points!$A$5:$A$204&lt;&gt;"")*(D_Points!$A$5:$A$204&gt;=$B570)*(D_Points!$A$5:$A$204&lt;$B570+P_Interval)*(RIGHT(UPPER(TRIM(D_Points!$B$5:$B$204)),8)="_CULVERT")),IF(LEFT(UPPER(TRIM(D_Points!$B$5:$B$204)),2)="EX",1,IF(LEFT(UPPER(TRIM(D_Points!$B$5:$B$204)),2)="PR",2,3))),"")</f>
        <v/>
      </c>
      <c r="S570" s="182" t="str">
        <f>IFERROR(LOOKUP(2,1/((D_Points!$A$5:$A$204&lt;&gt;"")*(D_Points!$A$5:$A$204&gt;=$B570)*(D_Points!$A$5:$A$204&lt;$B570+P_Interval)*(RIGHT(UPPER(TRIM(D_Points!$B$5:$B$204)),7)="_BRIDGE")),IF(LEFT(UPPER(TRIM(D_Points!$B$5:$B$204)),2)="EX",1,IF(LEFT(UPPER(TRIM(D_Points!$B$5:$B$204)),2)="PR",2,2))),"")</f>
        <v/>
      </c>
      <c r="T570" s="181" t="str">
        <f>IFERROR(LOOKUP(2,1/((B_Drainage!$A$5:$A$204&lt;&gt;"")*(B_Drainage!$A$5:$A$204&lt;=$B570)*(B_Drainage!$B$5:$B$204&gt;$B570)*(B_Drainage!$E$5:$E$204&lt;&gt;"")),IF(B_Drainage!$E$5:$E$204="-","",1)),"")</f>
        <v/>
      </c>
      <c r="U570" s="181" t="str">
        <f>IFERROR(LOOKUP(2,1/((B_Drainage!$A$5:$A$204&lt;&gt;"")*(B_Drainage!$A$5:$A$204&lt;=$B570)*(B_Drainage!$B$5:$B$204&gt;$B570)*(B_Drainage!$E$5:$E$204&lt;&gt;"")),IF(B_Drainage!$E$5:$E$204="-","",B_Drainage!$E$5:$E$204)),"")</f>
        <v/>
      </c>
      <c r="V570" s="181" t="str">
        <f>IFERROR(LOOKUP(2,1/((B_Drainage!$A$5:$A$204&lt;&gt;"")*(B_Drainage!$A$5:$A$204&lt;=$B570)*(B_Drainage!$B$5:$B$204&gt;$B570)*(B_Drainage!$F$5:$F$204&lt;&gt;"")),IF(B_Drainage!$F$5:$F$204="-","",1)),"")</f>
        <v/>
      </c>
      <c r="W570" s="181" t="str">
        <f>IFERROR(LOOKUP(2,1/((B_Drainage!$A$5:$A$204&lt;&gt;"")*(B_Drainage!$A$5:$A$204&lt;=$B570)*(B_Drainage!$B$5:$B$204&gt;$B570)*(B_Drainage!$F$5:$F$204&lt;&gt;"")),IF(B_Drainage!$F$5:$F$204="-","",B_Drainage!$F$5:$F$204)),"")</f>
        <v/>
      </c>
      <c r="X570" s="181" t="str">
        <f>IFERROR(LOOKUP(2,1/((B_Drainage!$A$5:$A$204&lt;&gt;"")*(B_Drainage!$A$5:$A$204&lt;=$B570)*(B_Drainage!$B$5:$B$204&gt;$B570)*(B_Drainage!$G$5:$G$204&lt;&gt;"")),IF(UPPER(B_Drainage!$G$5:$G$204)="Y",1,"")),"")</f>
        <v/>
      </c>
      <c r="Y570" s="181" t="str">
        <f>IFERROR(LOOKUP(2,1/((B_Drainage!$A$5:$A$204&lt;&gt;"")*(B_Drainage!$A$5:$A$204&lt;=$B570)*(B_Drainage!$B$5:$B$204&gt;$B570)*(B_Drainage!$H$5:$H$204&lt;&gt;"")),IF(UPPER(B_Drainage!$H$5:$H$204)="Y",1,"")),"")</f>
        <v/>
      </c>
      <c r="Z570" s="181" t="str">
        <f>IFERROR(LOOKUP(2,1/((B_Drainage!$A$5:$A$204&lt;&gt;"")*(B_Drainage!$A$5:$A$204&lt;=$B570)*(B_Drainage!$B$5:$B$204&gt;$B570)*(B_Drainage!$I$5:$I$204&lt;&gt;"")),IF(UPPER(B_Drainage!$I$5:$I$204)="Y",1,"")),"")</f>
        <v/>
      </c>
      <c r="AA570" s="181" t="str">
        <f>IFERROR(LOOKUP(2,1/((B_Drainage!$A$5:$A$204&lt;&gt;"")*(B_Drainage!$A$5:$A$204&lt;=$B570)*(B_Drainage!$B$5:$B$204&gt;$B570)*(B_Drainage!$J$5:$J$204&lt;&gt;"")),IF(UPPER(B_Drainage!$J$5:$J$204)="Y",1,"")),"")</f>
        <v/>
      </c>
      <c r="AB570" s="182" t="str">
        <f>IFERROR(LOOKUP(2,1/((B_Drainage!$A$5:$A$204&lt;&gt;"")*(B_Drainage!$A$5:$A$204&lt;=$B570)*(B_Drainage!$B$5:$B$204&gt;$B570)*(B_Drainage!$K$5:$K$204&lt;&gt;"")),IF(B_Drainage!$K$5:$K$204="-","",B_Drainage!$K$5:$K$204)),"")</f>
        <v/>
      </c>
      <c r="AC570" s="182" t="str">
        <f>IFERROR(LOOKUP(2,1/((B_Drainage!$A$5:$A$204&lt;&gt;"")*(B_Drainage!$A$5:$A$204&lt;=$B570)*(B_Drainage!$B$5:$B$204&gt;$B570)*(B_Drainage!$L$5:$L$204&lt;&gt;"")),IF(B_Drainage!$L$5:$L$204="-","",B_Drainage!$L$5:$L$204)),"")</f>
        <v/>
      </c>
      <c r="AD570" s="182" t="str">
        <f>IFERROR(LOOKUP(2,1/((D_Points!$A$5:$A$204&lt;&gt;"")*(D_Points!$A$5:$A$204&gt;=$B570)*(D_Points!$A$5:$A$204&lt;$B570+P_Interval)*(UPPER(TRIM(D_Points!$B$5:$B$204))="TURNOUT_L")*(D_Points!$H$5:$H$204&lt;&gt;"")),D_Points!$H$5:$H$204),"")</f>
        <v/>
      </c>
      <c r="AE570" s="182" t="str">
        <f>IFERROR(LOOKUP(2,1/((D_Points!$A$5:$A$204&lt;&gt;"")*(D_Points!$A$5:$A$204&gt;=$B570)*(D_Points!$A$5:$A$204&lt;$B570+P_Interval)*(UPPER(TRIM(D_Points!$B$5:$B$204))="TURNOUT_R")*(D_Points!$H$5:$H$204&lt;&gt;"")),D_Points!$H$5:$H$204),"")</f>
        <v/>
      </c>
      <c r="AF570" s="181" t="str">
        <f>IFERROR(LOOKUP(2,1/((B_Drainage!$A$5:$A$204&lt;&gt;"")*(B_Drainage!$A$5:$A$204&lt;=$B570)*(B_Drainage!$B$5:$B$204&gt;$B570)*(B_Drainage!$M$5:$M$204&lt;&gt;"")),IF(UPPER(B_Drainage!$M$5:$M$204)="Y",1,"")),"")</f>
        <v/>
      </c>
      <c r="AG570" s="181" t="str">
        <f>IFERROR(LOOKUP(2,1/((B_Drainage!$A$5:$A$204&lt;&gt;"")*(B_Drainage!$A$5:$A$204&lt;=$B570)*(B_Drainage!$B$5:$B$204&gt;$B570)*(B_Drainage!$N$5:$N$204&lt;&gt;"")),IF(UPPER(B_Drainage!$N$5:$N$204)="Y",1,"")),"")</f>
        <v/>
      </c>
      <c r="AH570" s="181" t="str">
        <f t="shared" si="64"/>
        <v/>
      </c>
      <c r="AI570" s="181" t="str">
        <f t="shared" si="65"/>
        <v/>
      </c>
      <c r="AJ570" s="181" t="str">
        <f t="shared" si="66"/>
        <v/>
      </c>
      <c r="AK570" s="181" t="str">
        <f t="shared" si="67"/>
        <v/>
      </c>
      <c r="AL570" s="181" t="str">
        <f t="shared" si="68"/>
        <v/>
      </c>
      <c r="AM570" s="181" t="str">
        <f t="shared" si="69"/>
        <v/>
      </c>
      <c r="AN570" s="181" t="str">
        <f t="shared" si="70"/>
        <v/>
      </c>
      <c r="AO570" s="192" t="str">
        <f t="shared" si="71"/>
        <v/>
      </c>
      <c r="AQ570" t="str">
        <f>IFERROR(LOOKUP(2,1/((C_Pavement!$A$5:$A$204&lt;&gt;"")*(C_Pavement!$A$5:$A$204&lt;=$B570)*(C_Pavement!$B$5:$B$204&gt;$B570)*(C_Pavement!$C$5:$C$204&lt;&gt;"")),ROW(C_Pavement!$C$5:$C$204)-4),"")</f>
        <v/>
      </c>
      <c r="AR570" t="str">
        <f>IF($AQ570="","",UPPER(TRIM(INDEX(C_Pavement!$C$5:$C$204,$AQ570))))</f>
        <v/>
      </c>
      <c r="AS570" t="str">
        <f>IF($AR570="","",IFERROR(MATCH($AR570,E_Rules!$A$5:$A$9,0),""))</f>
        <v/>
      </c>
      <c r="AT570" t="str">
        <f>IF($AQ570="","",IF(INDEX(C_Pavement!$D$5:$D$204,$AQ570)&lt;&gt;"",UPPER(TRIM(INDEX(C_Pavement!$D$5:$D$204,$AQ570))),IF($AS570="","",INDEX(E_Rules!$C$5:$C$9,$AS570))))</f>
        <v/>
      </c>
      <c r="AU570" t="str">
        <f>IF($AQ570="","",IF(INDEX(C_Pavement!$E$5:$E$204,$AQ570)&lt;&gt;"",IF(INDEX(C_Pavement!$E$5:$E$204,$AQ570)="-","",INDEX(C_Pavement!$E$5:$E$204,$AQ570)),IF($AS570="","",INDEX(E_Rules!$D$5:$D$9,$AS570))))</f>
        <v/>
      </c>
      <c r="AV570" t="str">
        <f>IF($AQ570="","",IF(INDEX(C_Pavement!$F$5:$F$204,$AQ570)&lt;&gt;"",IF(INDEX(C_Pavement!$F$5:$F$204,$AQ570)="-","",INDEX(C_Pavement!$F$5:$F$204,$AQ570)),IF($AS570="","",INDEX(E_Rules!$E$5:$E$9,$AS570))))</f>
        <v/>
      </c>
      <c r="AW570" t="str">
        <f>IF($AQ570="","",IF(INDEX(C_Pavement!$G$5:$G$204,$AQ570)&lt;&gt;"",IF(INDEX(C_Pavement!$G$5:$G$204,$AQ570)="-","",INDEX(C_Pavement!$G$5:$G$204,$AQ570)),IF($AS570="","",INDEX(E_Rules!$F$5:$F$9,$AS570))))</f>
        <v/>
      </c>
      <c r="AX570" t="str">
        <f>IF($AQ570="","",IF(INDEX(C_Pavement!$H$5:$H$204,$AQ570)&lt;&gt;"",IF(INDEX(C_Pavement!$H$5:$H$204,$AQ570)="-","",INDEX(C_Pavement!$H$5:$H$204,$AQ570)),IF($AS570="","",INDEX(E_Rules!$G$5:$G$9,$AS570))))</f>
        <v/>
      </c>
      <c r="AY570" t="str">
        <f>IF($AQ570="","",IF(INDEX(C_Pavement!$I$5:$I$204,$AQ570)&lt;&gt;"",IF(INDEX(C_Pavement!$I$5:$I$204,$AQ570)="-","",INDEX(C_Pavement!$I$5:$I$204,$AQ570)),IF($AS570="","",INDEX(E_Rules!$H$5:$H$9,$AS570))))</f>
        <v/>
      </c>
    </row>
    <row r="571" spans="1:51" ht="15.75" customHeight="1" x14ac:dyDescent="0.3">
      <c r="A571" s="189">
        <v>566</v>
      </c>
      <c r="B571" s="180">
        <v>28250</v>
      </c>
      <c r="C571" s="180" t="s">
        <v>877</v>
      </c>
      <c r="D571" s="181" t="str">
        <f>IFERROR(LOOKUP(2,1/((A_Corridor!$A$5:$A$204&lt;&gt;"")*(A_Corridor!$A$5:$A$204&lt;=$B571)*(A_Corridor!$B$5:$B$204&gt;$B571)*(A_Corridor!$C$5:$C$204&lt;&gt;"")),IF(UPPER(A_Corridor!$C$5:$C$204)="Y",1,"")),"")</f>
        <v/>
      </c>
      <c r="E571" s="181" t="str">
        <f>IFERROR(LOOKUP(2,1/((A_Corridor!$A$5:$A$204&lt;&gt;"")*(A_Corridor!$A$5:$A$204&lt;=$B571)*(A_Corridor!$B$5:$B$204&gt;$B571)*(A_Corridor!$D$5:$D$204&lt;&gt;"")),IF(A_Corridor!$D$5:$D$204="-","",UPPER(A_Corridor!$D$5:$D$204))),"")</f>
        <v/>
      </c>
      <c r="F571" s="181" t="str">
        <f>IFERROR(LOOKUP(2,1/((A_Corridor!$A$5:$A$204&lt;&gt;"")*(A_Corridor!$A$5:$A$204&lt;=$B571)*(A_Corridor!$B$5:$B$204&gt;$B571)*(A_Corridor!$E$5:$E$204&lt;&gt;"")),IF(A_Corridor!$E$5:$E$204="-","",1)),"")</f>
        <v/>
      </c>
      <c r="G571" s="182" t="str">
        <f>IFERROR(LOOKUP(2,1/((A_Corridor!$A$5:$A$204&lt;&gt;"")*(A_Corridor!$A$5:$A$204&lt;=$B571)*(A_Corridor!$B$5:$B$204&gt;$B571)*(A_Corridor!$E$5:$E$204&lt;&gt;"")),IF(A_Corridor!$E$5:$E$204="-","",A_Corridor!$E$5:$E$204)),"")</f>
        <v/>
      </c>
      <c r="H571" s="182" t="str">
        <f>IFERROR(LOOKUP(2,1/((D_Points!$A$5:$A$204&lt;&gt;"")*(D_Points!$A$5:$A$204&gt;=$B571)*(D_Points!$A$5:$A$204&lt;$B571+P_Interval)*(UPPER(TRIM(D_Points!$B$5:$B$204))="GULLY")*(D_Points!$H$5:$H$204&lt;&gt;"")),D_Points!$H$5:$H$204),"")</f>
        <v/>
      </c>
      <c r="I571" s="181" t="str">
        <f>IFERROR(LOOKUP(2,1/((A_Corridor!$A$5:$A$204&lt;&gt;"")*(A_Corridor!$A$5:$A$204&lt;=$B571)*(A_Corridor!$B$5:$B$204&gt;$B571)*(A_Corridor!$F$5:$F$204&lt;&gt;"")),IF(A_Corridor!$F$5:$F$204="-","",1)),"")</f>
        <v/>
      </c>
      <c r="J571" s="182" t="str">
        <f>IFERROR(LOOKUP(2,1/((A_Corridor!$A$5:$A$204&lt;&gt;"")*(A_Corridor!$A$5:$A$204&lt;=$B571)*(A_Corridor!$B$5:$B$204&gt;$B571)*(A_Corridor!$F$5:$F$204&lt;&gt;"")),IF(A_Corridor!$F$5:$F$204="-","",A_Corridor!$F$5:$F$204)),"")</f>
        <v/>
      </c>
      <c r="K571" s="182" t="str">
        <f>IFERROR(LOOKUP(2,1/((A_Corridor!$A$5:$A$204&lt;&gt;"")*(A_Corridor!$A$5:$A$204&lt;=$B571)*(A_Corridor!$B$5:$B$204&gt;$B571)*(A_Corridor!$G$5:$G$204&lt;&gt;"")),IF(A_Corridor!$G$5:$G$204="-","",A_Corridor!$G$5:$G$204)),"")</f>
        <v/>
      </c>
      <c r="L571" s="181" t="str">
        <f>IFERROR(LOOKUP(2,1/((A_Corridor!$A$5:$A$204&lt;&gt;"")*(A_Corridor!$A$5:$A$204&lt;=$B571)*(A_Corridor!$B$5:$B$204&gt;$B571)*(A_Corridor!$H$5:$H$204&lt;&gt;"")),IF(A_Corridor!$H$5:$H$204="-","",1)),"")</f>
        <v/>
      </c>
      <c r="M571" s="182" t="str">
        <f>IFERROR(LOOKUP(2,1/((A_Corridor!$A$5:$A$204&lt;&gt;"")*(A_Corridor!$A$5:$A$204&lt;=$B571)*(A_Corridor!$B$5:$B$204&gt;$B571)*(A_Corridor!$H$5:$H$204&lt;&gt;"")),IF(A_Corridor!$H$5:$H$204="-","",A_Corridor!$H$5:$H$204)),"")</f>
        <v/>
      </c>
      <c r="N571" s="182" t="str">
        <f>IFERROR(LOOKUP(2,1/((A_Corridor!$A$5:$A$204&lt;&gt;"")*(A_Corridor!$A$5:$A$204&lt;=$B571)*(A_Corridor!$B$5:$B$204&gt;$B571)*(A_Corridor!$I$5:$I$204&lt;&gt;"")),IF(A_Corridor!$I$5:$I$204="-","",A_Corridor!$I$5:$I$204)),"")</f>
        <v/>
      </c>
      <c r="O571" s="182" t="str">
        <f>IFERROR(LOOKUP(2,1/((D_Points!$A$5:$A$204&lt;&gt;"")*(D_Points!$A$5:$A$204&gt;=$B571)*(D_Points!$A$5:$A$204&lt;$B571+P_Interval)*(UPPER(TRIM(D_Points!$B$5:$B$204))="PITCHING")*(D_Points!$H$5:$H$204&lt;&gt;"")),D_Points!$H$5:$H$204),"")</f>
        <v/>
      </c>
      <c r="P571" s="181" t="str">
        <f>IFERROR(LOOKUP(2,1/((B_Drainage!$A$5:$A$204&lt;&gt;"")*(B_Drainage!$A$5:$A$204&lt;=$B571)*(B_Drainage!$B$5:$B$204&gt;$B571)*(B_Drainage!$C$5:$C$204&lt;&gt;"")),IF(B_Drainage!$C$5:$C$204="-","",UPPER(B_Drainage!$C$5:$C$204))),"")</f>
        <v/>
      </c>
      <c r="Q571" s="181" t="str">
        <f>IFERROR(LOOKUP(2,1/((B_Drainage!$A$5:$A$204&lt;&gt;"")*(B_Drainage!$A$5:$A$204&lt;=$B571)*(B_Drainage!$B$5:$B$204&gt;$B571)*(B_Drainage!$D$5:$D$204&lt;&gt;"")),IF(B_Drainage!$D$5:$D$204="-","",UPPER(B_Drainage!$D$5:$D$204))),"")</f>
        <v/>
      </c>
      <c r="R571" s="182" t="str">
        <f>IFERROR(LOOKUP(2,1/((D_Points!$A$5:$A$204&lt;&gt;"")*(D_Points!$A$5:$A$204&gt;=$B571)*(D_Points!$A$5:$A$204&lt;$B571+P_Interval)*(RIGHT(UPPER(TRIM(D_Points!$B$5:$B$204)),8)="_CULVERT")),IF(LEFT(UPPER(TRIM(D_Points!$B$5:$B$204)),2)="EX",1,IF(LEFT(UPPER(TRIM(D_Points!$B$5:$B$204)),2)="PR",2,3))),"")</f>
        <v/>
      </c>
      <c r="S571" s="182" t="str">
        <f>IFERROR(LOOKUP(2,1/((D_Points!$A$5:$A$204&lt;&gt;"")*(D_Points!$A$5:$A$204&gt;=$B571)*(D_Points!$A$5:$A$204&lt;$B571+P_Interval)*(RIGHT(UPPER(TRIM(D_Points!$B$5:$B$204)),7)="_BRIDGE")),IF(LEFT(UPPER(TRIM(D_Points!$B$5:$B$204)),2)="EX",1,IF(LEFT(UPPER(TRIM(D_Points!$B$5:$B$204)),2)="PR",2,2))),"")</f>
        <v/>
      </c>
      <c r="T571" s="181" t="str">
        <f>IFERROR(LOOKUP(2,1/((B_Drainage!$A$5:$A$204&lt;&gt;"")*(B_Drainage!$A$5:$A$204&lt;=$B571)*(B_Drainage!$B$5:$B$204&gt;$B571)*(B_Drainage!$E$5:$E$204&lt;&gt;"")),IF(B_Drainage!$E$5:$E$204="-","",1)),"")</f>
        <v/>
      </c>
      <c r="U571" s="181" t="str">
        <f>IFERROR(LOOKUP(2,1/((B_Drainage!$A$5:$A$204&lt;&gt;"")*(B_Drainage!$A$5:$A$204&lt;=$B571)*(B_Drainage!$B$5:$B$204&gt;$B571)*(B_Drainage!$E$5:$E$204&lt;&gt;"")),IF(B_Drainage!$E$5:$E$204="-","",B_Drainage!$E$5:$E$204)),"")</f>
        <v/>
      </c>
      <c r="V571" s="181" t="str">
        <f>IFERROR(LOOKUP(2,1/((B_Drainage!$A$5:$A$204&lt;&gt;"")*(B_Drainage!$A$5:$A$204&lt;=$B571)*(B_Drainage!$B$5:$B$204&gt;$B571)*(B_Drainage!$F$5:$F$204&lt;&gt;"")),IF(B_Drainage!$F$5:$F$204="-","",1)),"")</f>
        <v/>
      </c>
      <c r="W571" s="181" t="str">
        <f>IFERROR(LOOKUP(2,1/((B_Drainage!$A$5:$A$204&lt;&gt;"")*(B_Drainage!$A$5:$A$204&lt;=$B571)*(B_Drainage!$B$5:$B$204&gt;$B571)*(B_Drainage!$F$5:$F$204&lt;&gt;"")),IF(B_Drainage!$F$5:$F$204="-","",B_Drainage!$F$5:$F$204)),"")</f>
        <v/>
      </c>
      <c r="X571" s="181" t="str">
        <f>IFERROR(LOOKUP(2,1/((B_Drainage!$A$5:$A$204&lt;&gt;"")*(B_Drainage!$A$5:$A$204&lt;=$B571)*(B_Drainage!$B$5:$B$204&gt;$B571)*(B_Drainage!$G$5:$G$204&lt;&gt;"")),IF(UPPER(B_Drainage!$G$5:$G$204)="Y",1,"")),"")</f>
        <v/>
      </c>
      <c r="Y571" s="181" t="str">
        <f>IFERROR(LOOKUP(2,1/((B_Drainage!$A$5:$A$204&lt;&gt;"")*(B_Drainage!$A$5:$A$204&lt;=$B571)*(B_Drainage!$B$5:$B$204&gt;$B571)*(B_Drainage!$H$5:$H$204&lt;&gt;"")),IF(UPPER(B_Drainage!$H$5:$H$204)="Y",1,"")),"")</f>
        <v/>
      </c>
      <c r="Z571" s="181" t="str">
        <f>IFERROR(LOOKUP(2,1/((B_Drainage!$A$5:$A$204&lt;&gt;"")*(B_Drainage!$A$5:$A$204&lt;=$B571)*(B_Drainage!$B$5:$B$204&gt;$B571)*(B_Drainage!$I$5:$I$204&lt;&gt;"")),IF(UPPER(B_Drainage!$I$5:$I$204)="Y",1,"")),"")</f>
        <v/>
      </c>
      <c r="AA571" s="181" t="str">
        <f>IFERROR(LOOKUP(2,1/((B_Drainage!$A$5:$A$204&lt;&gt;"")*(B_Drainage!$A$5:$A$204&lt;=$B571)*(B_Drainage!$B$5:$B$204&gt;$B571)*(B_Drainage!$J$5:$J$204&lt;&gt;"")),IF(UPPER(B_Drainage!$J$5:$J$204)="Y",1,"")),"")</f>
        <v/>
      </c>
      <c r="AB571" s="182" t="str">
        <f>IFERROR(LOOKUP(2,1/((B_Drainage!$A$5:$A$204&lt;&gt;"")*(B_Drainage!$A$5:$A$204&lt;=$B571)*(B_Drainage!$B$5:$B$204&gt;$B571)*(B_Drainage!$K$5:$K$204&lt;&gt;"")),IF(B_Drainage!$K$5:$K$204="-","",B_Drainage!$K$5:$K$204)),"")</f>
        <v/>
      </c>
      <c r="AC571" s="182" t="str">
        <f>IFERROR(LOOKUP(2,1/((B_Drainage!$A$5:$A$204&lt;&gt;"")*(B_Drainage!$A$5:$A$204&lt;=$B571)*(B_Drainage!$B$5:$B$204&gt;$B571)*(B_Drainage!$L$5:$L$204&lt;&gt;"")),IF(B_Drainage!$L$5:$L$204="-","",B_Drainage!$L$5:$L$204)),"")</f>
        <v/>
      </c>
      <c r="AD571" s="182" t="str">
        <f>IFERROR(LOOKUP(2,1/((D_Points!$A$5:$A$204&lt;&gt;"")*(D_Points!$A$5:$A$204&gt;=$B571)*(D_Points!$A$5:$A$204&lt;$B571+P_Interval)*(UPPER(TRIM(D_Points!$B$5:$B$204))="TURNOUT_L")*(D_Points!$H$5:$H$204&lt;&gt;"")),D_Points!$H$5:$H$204),"")</f>
        <v/>
      </c>
      <c r="AE571" s="182" t="str">
        <f>IFERROR(LOOKUP(2,1/((D_Points!$A$5:$A$204&lt;&gt;"")*(D_Points!$A$5:$A$204&gt;=$B571)*(D_Points!$A$5:$A$204&lt;$B571+P_Interval)*(UPPER(TRIM(D_Points!$B$5:$B$204))="TURNOUT_R")*(D_Points!$H$5:$H$204&lt;&gt;"")),D_Points!$H$5:$H$204),"")</f>
        <v/>
      </c>
      <c r="AF571" s="181" t="str">
        <f>IFERROR(LOOKUP(2,1/((B_Drainage!$A$5:$A$204&lt;&gt;"")*(B_Drainage!$A$5:$A$204&lt;=$B571)*(B_Drainage!$B$5:$B$204&gt;$B571)*(B_Drainage!$M$5:$M$204&lt;&gt;"")),IF(UPPER(B_Drainage!$M$5:$M$204)="Y",1,"")),"")</f>
        <v/>
      </c>
      <c r="AG571" s="181" t="str">
        <f>IFERROR(LOOKUP(2,1/((B_Drainage!$A$5:$A$204&lt;&gt;"")*(B_Drainage!$A$5:$A$204&lt;=$B571)*(B_Drainage!$B$5:$B$204&gt;$B571)*(B_Drainage!$N$5:$N$204&lt;&gt;"")),IF(UPPER(B_Drainage!$N$5:$N$204)="Y",1,"")),"")</f>
        <v/>
      </c>
      <c r="AH571" s="181" t="str">
        <f t="shared" si="64"/>
        <v/>
      </c>
      <c r="AI571" s="181" t="str">
        <f t="shared" si="65"/>
        <v/>
      </c>
      <c r="AJ571" s="181" t="str">
        <f t="shared" si="66"/>
        <v/>
      </c>
      <c r="AK571" s="181" t="str">
        <f t="shared" si="67"/>
        <v/>
      </c>
      <c r="AL571" s="181" t="str">
        <f t="shared" si="68"/>
        <v/>
      </c>
      <c r="AM571" s="181" t="str">
        <f t="shared" si="69"/>
        <v/>
      </c>
      <c r="AN571" s="181" t="str">
        <f t="shared" si="70"/>
        <v/>
      </c>
      <c r="AO571" s="192" t="str">
        <f t="shared" si="71"/>
        <v/>
      </c>
      <c r="AQ571" t="str">
        <f>IFERROR(LOOKUP(2,1/((C_Pavement!$A$5:$A$204&lt;&gt;"")*(C_Pavement!$A$5:$A$204&lt;=$B571)*(C_Pavement!$B$5:$B$204&gt;$B571)*(C_Pavement!$C$5:$C$204&lt;&gt;"")),ROW(C_Pavement!$C$5:$C$204)-4),"")</f>
        <v/>
      </c>
      <c r="AR571" t="str">
        <f>IF($AQ571="","",UPPER(TRIM(INDEX(C_Pavement!$C$5:$C$204,$AQ571))))</f>
        <v/>
      </c>
      <c r="AS571" t="str">
        <f>IF($AR571="","",IFERROR(MATCH($AR571,E_Rules!$A$5:$A$9,0),""))</f>
        <v/>
      </c>
      <c r="AT571" t="str">
        <f>IF($AQ571="","",IF(INDEX(C_Pavement!$D$5:$D$204,$AQ571)&lt;&gt;"",UPPER(TRIM(INDEX(C_Pavement!$D$5:$D$204,$AQ571))),IF($AS571="","",INDEX(E_Rules!$C$5:$C$9,$AS571))))</f>
        <v/>
      </c>
      <c r="AU571" t="str">
        <f>IF($AQ571="","",IF(INDEX(C_Pavement!$E$5:$E$204,$AQ571)&lt;&gt;"",IF(INDEX(C_Pavement!$E$5:$E$204,$AQ571)="-","",INDEX(C_Pavement!$E$5:$E$204,$AQ571)),IF($AS571="","",INDEX(E_Rules!$D$5:$D$9,$AS571))))</f>
        <v/>
      </c>
      <c r="AV571" t="str">
        <f>IF($AQ571="","",IF(INDEX(C_Pavement!$F$5:$F$204,$AQ571)&lt;&gt;"",IF(INDEX(C_Pavement!$F$5:$F$204,$AQ571)="-","",INDEX(C_Pavement!$F$5:$F$204,$AQ571)),IF($AS571="","",INDEX(E_Rules!$E$5:$E$9,$AS571))))</f>
        <v/>
      </c>
      <c r="AW571" t="str">
        <f>IF($AQ571="","",IF(INDEX(C_Pavement!$G$5:$G$204,$AQ571)&lt;&gt;"",IF(INDEX(C_Pavement!$G$5:$G$204,$AQ571)="-","",INDEX(C_Pavement!$G$5:$G$204,$AQ571)),IF($AS571="","",INDEX(E_Rules!$F$5:$F$9,$AS571))))</f>
        <v/>
      </c>
      <c r="AX571" t="str">
        <f>IF($AQ571="","",IF(INDEX(C_Pavement!$H$5:$H$204,$AQ571)&lt;&gt;"",IF(INDEX(C_Pavement!$H$5:$H$204,$AQ571)="-","",INDEX(C_Pavement!$H$5:$H$204,$AQ571)),IF($AS571="","",INDEX(E_Rules!$G$5:$G$9,$AS571))))</f>
        <v/>
      </c>
      <c r="AY571" t="str">
        <f>IF($AQ571="","",IF(INDEX(C_Pavement!$I$5:$I$204,$AQ571)&lt;&gt;"",IF(INDEX(C_Pavement!$I$5:$I$204,$AQ571)="-","",INDEX(C_Pavement!$I$5:$I$204,$AQ571)),IF($AS571="","",INDEX(E_Rules!$H$5:$H$9,$AS571))))</f>
        <v/>
      </c>
    </row>
    <row r="572" spans="1:51" ht="15.75" customHeight="1" x14ac:dyDescent="0.3">
      <c r="A572" s="189">
        <v>567</v>
      </c>
      <c r="B572" s="180">
        <v>28300</v>
      </c>
      <c r="C572" s="180" t="s">
        <v>878</v>
      </c>
      <c r="D572" s="181" t="str">
        <f>IFERROR(LOOKUP(2,1/((A_Corridor!$A$5:$A$204&lt;&gt;"")*(A_Corridor!$A$5:$A$204&lt;=$B572)*(A_Corridor!$B$5:$B$204&gt;$B572)*(A_Corridor!$C$5:$C$204&lt;&gt;"")),IF(UPPER(A_Corridor!$C$5:$C$204)="Y",1,"")),"")</f>
        <v/>
      </c>
      <c r="E572" s="181" t="str">
        <f>IFERROR(LOOKUP(2,1/((A_Corridor!$A$5:$A$204&lt;&gt;"")*(A_Corridor!$A$5:$A$204&lt;=$B572)*(A_Corridor!$B$5:$B$204&gt;$B572)*(A_Corridor!$D$5:$D$204&lt;&gt;"")),IF(A_Corridor!$D$5:$D$204="-","",UPPER(A_Corridor!$D$5:$D$204))),"")</f>
        <v/>
      </c>
      <c r="F572" s="181" t="str">
        <f>IFERROR(LOOKUP(2,1/((A_Corridor!$A$5:$A$204&lt;&gt;"")*(A_Corridor!$A$5:$A$204&lt;=$B572)*(A_Corridor!$B$5:$B$204&gt;$B572)*(A_Corridor!$E$5:$E$204&lt;&gt;"")),IF(A_Corridor!$E$5:$E$204="-","",1)),"")</f>
        <v/>
      </c>
      <c r="G572" s="182" t="str">
        <f>IFERROR(LOOKUP(2,1/((A_Corridor!$A$5:$A$204&lt;&gt;"")*(A_Corridor!$A$5:$A$204&lt;=$B572)*(A_Corridor!$B$5:$B$204&gt;$B572)*(A_Corridor!$E$5:$E$204&lt;&gt;"")),IF(A_Corridor!$E$5:$E$204="-","",A_Corridor!$E$5:$E$204)),"")</f>
        <v/>
      </c>
      <c r="H572" s="182" t="str">
        <f>IFERROR(LOOKUP(2,1/((D_Points!$A$5:$A$204&lt;&gt;"")*(D_Points!$A$5:$A$204&gt;=$B572)*(D_Points!$A$5:$A$204&lt;$B572+P_Interval)*(UPPER(TRIM(D_Points!$B$5:$B$204))="GULLY")*(D_Points!$H$5:$H$204&lt;&gt;"")),D_Points!$H$5:$H$204),"")</f>
        <v/>
      </c>
      <c r="I572" s="181" t="str">
        <f>IFERROR(LOOKUP(2,1/((A_Corridor!$A$5:$A$204&lt;&gt;"")*(A_Corridor!$A$5:$A$204&lt;=$B572)*(A_Corridor!$B$5:$B$204&gt;$B572)*(A_Corridor!$F$5:$F$204&lt;&gt;"")),IF(A_Corridor!$F$5:$F$204="-","",1)),"")</f>
        <v/>
      </c>
      <c r="J572" s="182" t="str">
        <f>IFERROR(LOOKUP(2,1/((A_Corridor!$A$5:$A$204&lt;&gt;"")*(A_Corridor!$A$5:$A$204&lt;=$B572)*(A_Corridor!$B$5:$B$204&gt;$B572)*(A_Corridor!$F$5:$F$204&lt;&gt;"")),IF(A_Corridor!$F$5:$F$204="-","",A_Corridor!$F$5:$F$204)),"")</f>
        <v/>
      </c>
      <c r="K572" s="182" t="str">
        <f>IFERROR(LOOKUP(2,1/((A_Corridor!$A$5:$A$204&lt;&gt;"")*(A_Corridor!$A$5:$A$204&lt;=$B572)*(A_Corridor!$B$5:$B$204&gt;$B572)*(A_Corridor!$G$5:$G$204&lt;&gt;"")),IF(A_Corridor!$G$5:$G$204="-","",A_Corridor!$G$5:$G$204)),"")</f>
        <v/>
      </c>
      <c r="L572" s="181" t="str">
        <f>IFERROR(LOOKUP(2,1/((A_Corridor!$A$5:$A$204&lt;&gt;"")*(A_Corridor!$A$5:$A$204&lt;=$B572)*(A_Corridor!$B$5:$B$204&gt;$B572)*(A_Corridor!$H$5:$H$204&lt;&gt;"")),IF(A_Corridor!$H$5:$H$204="-","",1)),"")</f>
        <v/>
      </c>
      <c r="M572" s="182" t="str">
        <f>IFERROR(LOOKUP(2,1/((A_Corridor!$A$5:$A$204&lt;&gt;"")*(A_Corridor!$A$5:$A$204&lt;=$B572)*(A_Corridor!$B$5:$B$204&gt;$B572)*(A_Corridor!$H$5:$H$204&lt;&gt;"")),IF(A_Corridor!$H$5:$H$204="-","",A_Corridor!$H$5:$H$204)),"")</f>
        <v/>
      </c>
      <c r="N572" s="182" t="str">
        <f>IFERROR(LOOKUP(2,1/((A_Corridor!$A$5:$A$204&lt;&gt;"")*(A_Corridor!$A$5:$A$204&lt;=$B572)*(A_Corridor!$B$5:$B$204&gt;$B572)*(A_Corridor!$I$5:$I$204&lt;&gt;"")),IF(A_Corridor!$I$5:$I$204="-","",A_Corridor!$I$5:$I$204)),"")</f>
        <v/>
      </c>
      <c r="O572" s="182" t="str">
        <f>IFERROR(LOOKUP(2,1/((D_Points!$A$5:$A$204&lt;&gt;"")*(D_Points!$A$5:$A$204&gt;=$B572)*(D_Points!$A$5:$A$204&lt;$B572+P_Interval)*(UPPER(TRIM(D_Points!$B$5:$B$204))="PITCHING")*(D_Points!$H$5:$H$204&lt;&gt;"")),D_Points!$H$5:$H$204),"")</f>
        <v/>
      </c>
      <c r="P572" s="181" t="str">
        <f>IFERROR(LOOKUP(2,1/((B_Drainage!$A$5:$A$204&lt;&gt;"")*(B_Drainage!$A$5:$A$204&lt;=$B572)*(B_Drainage!$B$5:$B$204&gt;$B572)*(B_Drainage!$C$5:$C$204&lt;&gt;"")),IF(B_Drainage!$C$5:$C$204="-","",UPPER(B_Drainage!$C$5:$C$204))),"")</f>
        <v/>
      </c>
      <c r="Q572" s="181" t="str">
        <f>IFERROR(LOOKUP(2,1/((B_Drainage!$A$5:$A$204&lt;&gt;"")*(B_Drainage!$A$5:$A$204&lt;=$B572)*(B_Drainage!$B$5:$B$204&gt;$B572)*(B_Drainage!$D$5:$D$204&lt;&gt;"")),IF(B_Drainage!$D$5:$D$204="-","",UPPER(B_Drainage!$D$5:$D$204))),"")</f>
        <v/>
      </c>
      <c r="R572" s="182" t="str">
        <f>IFERROR(LOOKUP(2,1/((D_Points!$A$5:$A$204&lt;&gt;"")*(D_Points!$A$5:$A$204&gt;=$B572)*(D_Points!$A$5:$A$204&lt;$B572+P_Interval)*(RIGHT(UPPER(TRIM(D_Points!$B$5:$B$204)),8)="_CULVERT")),IF(LEFT(UPPER(TRIM(D_Points!$B$5:$B$204)),2)="EX",1,IF(LEFT(UPPER(TRIM(D_Points!$B$5:$B$204)),2)="PR",2,3))),"")</f>
        <v/>
      </c>
      <c r="S572" s="182" t="str">
        <f>IFERROR(LOOKUP(2,1/((D_Points!$A$5:$A$204&lt;&gt;"")*(D_Points!$A$5:$A$204&gt;=$B572)*(D_Points!$A$5:$A$204&lt;$B572+P_Interval)*(RIGHT(UPPER(TRIM(D_Points!$B$5:$B$204)),7)="_BRIDGE")),IF(LEFT(UPPER(TRIM(D_Points!$B$5:$B$204)),2)="EX",1,IF(LEFT(UPPER(TRIM(D_Points!$B$5:$B$204)),2)="PR",2,2))),"")</f>
        <v/>
      </c>
      <c r="T572" s="181" t="str">
        <f>IFERROR(LOOKUP(2,1/((B_Drainage!$A$5:$A$204&lt;&gt;"")*(B_Drainage!$A$5:$A$204&lt;=$B572)*(B_Drainage!$B$5:$B$204&gt;$B572)*(B_Drainage!$E$5:$E$204&lt;&gt;"")),IF(B_Drainage!$E$5:$E$204="-","",1)),"")</f>
        <v/>
      </c>
      <c r="U572" s="181" t="str">
        <f>IFERROR(LOOKUP(2,1/((B_Drainage!$A$5:$A$204&lt;&gt;"")*(B_Drainage!$A$5:$A$204&lt;=$B572)*(B_Drainage!$B$5:$B$204&gt;$B572)*(B_Drainage!$E$5:$E$204&lt;&gt;"")),IF(B_Drainage!$E$5:$E$204="-","",B_Drainage!$E$5:$E$204)),"")</f>
        <v/>
      </c>
      <c r="V572" s="181" t="str">
        <f>IFERROR(LOOKUP(2,1/((B_Drainage!$A$5:$A$204&lt;&gt;"")*(B_Drainage!$A$5:$A$204&lt;=$B572)*(B_Drainage!$B$5:$B$204&gt;$B572)*(B_Drainage!$F$5:$F$204&lt;&gt;"")),IF(B_Drainage!$F$5:$F$204="-","",1)),"")</f>
        <v/>
      </c>
      <c r="W572" s="181" t="str">
        <f>IFERROR(LOOKUP(2,1/((B_Drainage!$A$5:$A$204&lt;&gt;"")*(B_Drainage!$A$5:$A$204&lt;=$B572)*(B_Drainage!$B$5:$B$204&gt;$B572)*(B_Drainage!$F$5:$F$204&lt;&gt;"")),IF(B_Drainage!$F$5:$F$204="-","",B_Drainage!$F$5:$F$204)),"")</f>
        <v/>
      </c>
      <c r="X572" s="181" t="str">
        <f>IFERROR(LOOKUP(2,1/((B_Drainage!$A$5:$A$204&lt;&gt;"")*(B_Drainage!$A$5:$A$204&lt;=$B572)*(B_Drainage!$B$5:$B$204&gt;$B572)*(B_Drainage!$G$5:$G$204&lt;&gt;"")),IF(UPPER(B_Drainage!$G$5:$G$204)="Y",1,"")),"")</f>
        <v/>
      </c>
      <c r="Y572" s="181" t="str">
        <f>IFERROR(LOOKUP(2,1/((B_Drainage!$A$5:$A$204&lt;&gt;"")*(B_Drainage!$A$5:$A$204&lt;=$B572)*(B_Drainage!$B$5:$B$204&gt;$B572)*(B_Drainage!$H$5:$H$204&lt;&gt;"")),IF(UPPER(B_Drainage!$H$5:$H$204)="Y",1,"")),"")</f>
        <v/>
      </c>
      <c r="Z572" s="181" t="str">
        <f>IFERROR(LOOKUP(2,1/((B_Drainage!$A$5:$A$204&lt;&gt;"")*(B_Drainage!$A$5:$A$204&lt;=$B572)*(B_Drainage!$B$5:$B$204&gt;$B572)*(B_Drainage!$I$5:$I$204&lt;&gt;"")),IF(UPPER(B_Drainage!$I$5:$I$204)="Y",1,"")),"")</f>
        <v/>
      </c>
      <c r="AA572" s="181" t="str">
        <f>IFERROR(LOOKUP(2,1/((B_Drainage!$A$5:$A$204&lt;&gt;"")*(B_Drainage!$A$5:$A$204&lt;=$B572)*(B_Drainage!$B$5:$B$204&gt;$B572)*(B_Drainage!$J$5:$J$204&lt;&gt;"")),IF(UPPER(B_Drainage!$J$5:$J$204)="Y",1,"")),"")</f>
        <v/>
      </c>
      <c r="AB572" s="182" t="str">
        <f>IFERROR(LOOKUP(2,1/((B_Drainage!$A$5:$A$204&lt;&gt;"")*(B_Drainage!$A$5:$A$204&lt;=$B572)*(B_Drainage!$B$5:$B$204&gt;$B572)*(B_Drainage!$K$5:$K$204&lt;&gt;"")),IF(B_Drainage!$K$5:$K$204="-","",B_Drainage!$K$5:$K$204)),"")</f>
        <v/>
      </c>
      <c r="AC572" s="182" t="str">
        <f>IFERROR(LOOKUP(2,1/((B_Drainage!$A$5:$A$204&lt;&gt;"")*(B_Drainage!$A$5:$A$204&lt;=$B572)*(B_Drainage!$B$5:$B$204&gt;$B572)*(B_Drainage!$L$5:$L$204&lt;&gt;"")),IF(B_Drainage!$L$5:$L$204="-","",B_Drainage!$L$5:$L$204)),"")</f>
        <v/>
      </c>
      <c r="AD572" s="182" t="str">
        <f>IFERROR(LOOKUP(2,1/((D_Points!$A$5:$A$204&lt;&gt;"")*(D_Points!$A$5:$A$204&gt;=$B572)*(D_Points!$A$5:$A$204&lt;$B572+P_Interval)*(UPPER(TRIM(D_Points!$B$5:$B$204))="TURNOUT_L")*(D_Points!$H$5:$H$204&lt;&gt;"")),D_Points!$H$5:$H$204),"")</f>
        <v/>
      </c>
      <c r="AE572" s="182" t="str">
        <f>IFERROR(LOOKUP(2,1/((D_Points!$A$5:$A$204&lt;&gt;"")*(D_Points!$A$5:$A$204&gt;=$B572)*(D_Points!$A$5:$A$204&lt;$B572+P_Interval)*(UPPER(TRIM(D_Points!$B$5:$B$204))="TURNOUT_R")*(D_Points!$H$5:$H$204&lt;&gt;"")),D_Points!$H$5:$H$204),"")</f>
        <v/>
      </c>
      <c r="AF572" s="181" t="str">
        <f>IFERROR(LOOKUP(2,1/((B_Drainage!$A$5:$A$204&lt;&gt;"")*(B_Drainage!$A$5:$A$204&lt;=$B572)*(B_Drainage!$B$5:$B$204&gt;$B572)*(B_Drainage!$M$5:$M$204&lt;&gt;"")),IF(UPPER(B_Drainage!$M$5:$M$204)="Y",1,"")),"")</f>
        <v/>
      </c>
      <c r="AG572" s="181" t="str">
        <f>IFERROR(LOOKUP(2,1/((B_Drainage!$A$5:$A$204&lt;&gt;"")*(B_Drainage!$A$5:$A$204&lt;=$B572)*(B_Drainage!$B$5:$B$204&gt;$B572)*(B_Drainage!$N$5:$N$204&lt;&gt;"")),IF(UPPER(B_Drainage!$N$5:$N$204)="Y",1,"")),"")</f>
        <v/>
      </c>
      <c r="AH572" s="181" t="str">
        <f t="shared" si="64"/>
        <v/>
      </c>
      <c r="AI572" s="181" t="str">
        <f t="shared" si="65"/>
        <v/>
      </c>
      <c r="AJ572" s="181" t="str">
        <f t="shared" si="66"/>
        <v/>
      </c>
      <c r="AK572" s="181" t="str">
        <f t="shared" si="67"/>
        <v/>
      </c>
      <c r="AL572" s="181" t="str">
        <f t="shared" si="68"/>
        <v/>
      </c>
      <c r="AM572" s="181" t="str">
        <f t="shared" si="69"/>
        <v/>
      </c>
      <c r="AN572" s="181" t="str">
        <f t="shared" si="70"/>
        <v/>
      </c>
      <c r="AO572" s="192" t="str">
        <f t="shared" si="71"/>
        <v/>
      </c>
      <c r="AQ572" t="str">
        <f>IFERROR(LOOKUP(2,1/((C_Pavement!$A$5:$A$204&lt;&gt;"")*(C_Pavement!$A$5:$A$204&lt;=$B572)*(C_Pavement!$B$5:$B$204&gt;$B572)*(C_Pavement!$C$5:$C$204&lt;&gt;"")),ROW(C_Pavement!$C$5:$C$204)-4),"")</f>
        <v/>
      </c>
      <c r="AR572" t="str">
        <f>IF($AQ572="","",UPPER(TRIM(INDEX(C_Pavement!$C$5:$C$204,$AQ572))))</f>
        <v/>
      </c>
      <c r="AS572" t="str">
        <f>IF($AR572="","",IFERROR(MATCH($AR572,E_Rules!$A$5:$A$9,0),""))</f>
        <v/>
      </c>
      <c r="AT572" t="str">
        <f>IF($AQ572="","",IF(INDEX(C_Pavement!$D$5:$D$204,$AQ572)&lt;&gt;"",UPPER(TRIM(INDEX(C_Pavement!$D$5:$D$204,$AQ572))),IF($AS572="","",INDEX(E_Rules!$C$5:$C$9,$AS572))))</f>
        <v/>
      </c>
      <c r="AU572" t="str">
        <f>IF($AQ572="","",IF(INDEX(C_Pavement!$E$5:$E$204,$AQ572)&lt;&gt;"",IF(INDEX(C_Pavement!$E$5:$E$204,$AQ572)="-","",INDEX(C_Pavement!$E$5:$E$204,$AQ572)),IF($AS572="","",INDEX(E_Rules!$D$5:$D$9,$AS572))))</f>
        <v/>
      </c>
      <c r="AV572" t="str">
        <f>IF($AQ572="","",IF(INDEX(C_Pavement!$F$5:$F$204,$AQ572)&lt;&gt;"",IF(INDEX(C_Pavement!$F$5:$F$204,$AQ572)="-","",INDEX(C_Pavement!$F$5:$F$204,$AQ572)),IF($AS572="","",INDEX(E_Rules!$E$5:$E$9,$AS572))))</f>
        <v/>
      </c>
      <c r="AW572" t="str">
        <f>IF($AQ572="","",IF(INDEX(C_Pavement!$G$5:$G$204,$AQ572)&lt;&gt;"",IF(INDEX(C_Pavement!$G$5:$G$204,$AQ572)="-","",INDEX(C_Pavement!$G$5:$G$204,$AQ572)),IF($AS572="","",INDEX(E_Rules!$F$5:$F$9,$AS572))))</f>
        <v/>
      </c>
      <c r="AX572" t="str">
        <f>IF($AQ572="","",IF(INDEX(C_Pavement!$H$5:$H$204,$AQ572)&lt;&gt;"",IF(INDEX(C_Pavement!$H$5:$H$204,$AQ572)="-","",INDEX(C_Pavement!$H$5:$H$204,$AQ572)),IF($AS572="","",INDEX(E_Rules!$G$5:$G$9,$AS572))))</f>
        <v/>
      </c>
      <c r="AY572" t="str">
        <f>IF($AQ572="","",IF(INDEX(C_Pavement!$I$5:$I$204,$AQ572)&lt;&gt;"",IF(INDEX(C_Pavement!$I$5:$I$204,$AQ572)="-","",INDEX(C_Pavement!$I$5:$I$204,$AQ572)),IF($AS572="","",INDEX(E_Rules!$H$5:$H$9,$AS572))))</f>
        <v/>
      </c>
    </row>
    <row r="573" spans="1:51" ht="15.75" customHeight="1" x14ac:dyDescent="0.3">
      <c r="A573" s="189">
        <v>568</v>
      </c>
      <c r="B573" s="180">
        <v>28350</v>
      </c>
      <c r="C573" s="180" t="s">
        <v>879</v>
      </c>
      <c r="D573" s="181" t="str">
        <f>IFERROR(LOOKUP(2,1/((A_Corridor!$A$5:$A$204&lt;&gt;"")*(A_Corridor!$A$5:$A$204&lt;=$B573)*(A_Corridor!$B$5:$B$204&gt;$B573)*(A_Corridor!$C$5:$C$204&lt;&gt;"")),IF(UPPER(A_Corridor!$C$5:$C$204)="Y",1,"")),"")</f>
        <v/>
      </c>
      <c r="E573" s="181" t="str">
        <f>IFERROR(LOOKUP(2,1/((A_Corridor!$A$5:$A$204&lt;&gt;"")*(A_Corridor!$A$5:$A$204&lt;=$B573)*(A_Corridor!$B$5:$B$204&gt;$B573)*(A_Corridor!$D$5:$D$204&lt;&gt;"")),IF(A_Corridor!$D$5:$D$204="-","",UPPER(A_Corridor!$D$5:$D$204))),"")</f>
        <v/>
      </c>
      <c r="F573" s="181" t="str">
        <f>IFERROR(LOOKUP(2,1/((A_Corridor!$A$5:$A$204&lt;&gt;"")*(A_Corridor!$A$5:$A$204&lt;=$B573)*(A_Corridor!$B$5:$B$204&gt;$B573)*(A_Corridor!$E$5:$E$204&lt;&gt;"")),IF(A_Corridor!$E$5:$E$204="-","",1)),"")</f>
        <v/>
      </c>
      <c r="G573" s="182" t="str">
        <f>IFERROR(LOOKUP(2,1/((A_Corridor!$A$5:$A$204&lt;&gt;"")*(A_Corridor!$A$5:$A$204&lt;=$B573)*(A_Corridor!$B$5:$B$204&gt;$B573)*(A_Corridor!$E$5:$E$204&lt;&gt;"")),IF(A_Corridor!$E$5:$E$204="-","",A_Corridor!$E$5:$E$204)),"")</f>
        <v/>
      </c>
      <c r="H573" s="182" t="str">
        <f>IFERROR(LOOKUP(2,1/((D_Points!$A$5:$A$204&lt;&gt;"")*(D_Points!$A$5:$A$204&gt;=$B573)*(D_Points!$A$5:$A$204&lt;$B573+P_Interval)*(UPPER(TRIM(D_Points!$B$5:$B$204))="GULLY")*(D_Points!$H$5:$H$204&lt;&gt;"")),D_Points!$H$5:$H$204),"")</f>
        <v/>
      </c>
      <c r="I573" s="181" t="str">
        <f>IFERROR(LOOKUP(2,1/((A_Corridor!$A$5:$A$204&lt;&gt;"")*(A_Corridor!$A$5:$A$204&lt;=$B573)*(A_Corridor!$B$5:$B$204&gt;$B573)*(A_Corridor!$F$5:$F$204&lt;&gt;"")),IF(A_Corridor!$F$5:$F$204="-","",1)),"")</f>
        <v/>
      </c>
      <c r="J573" s="182" t="str">
        <f>IFERROR(LOOKUP(2,1/((A_Corridor!$A$5:$A$204&lt;&gt;"")*(A_Corridor!$A$5:$A$204&lt;=$B573)*(A_Corridor!$B$5:$B$204&gt;$B573)*(A_Corridor!$F$5:$F$204&lt;&gt;"")),IF(A_Corridor!$F$5:$F$204="-","",A_Corridor!$F$5:$F$204)),"")</f>
        <v/>
      </c>
      <c r="K573" s="182" t="str">
        <f>IFERROR(LOOKUP(2,1/((A_Corridor!$A$5:$A$204&lt;&gt;"")*(A_Corridor!$A$5:$A$204&lt;=$B573)*(A_Corridor!$B$5:$B$204&gt;$B573)*(A_Corridor!$G$5:$G$204&lt;&gt;"")),IF(A_Corridor!$G$5:$G$204="-","",A_Corridor!$G$5:$G$204)),"")</f>
        <v/>
      </c>
      <c r="L573" s="181" t="str">
        <f>IFERROR(LOOKUP(2,1/((A_Corridor!$A$5:$A$204&lt;&gt;"")*(A_Corridor!$A$5:$A$204&lt;=$B573)*(A_Corridor!$B$5:$B$204&gt;$B573)*(A_Corridor!$H$5:$H$204&lt;&gt;"")),IF(A_Corridor!$H$5:$H$204="-","",1)),"")</f>
        <v/>
      </c>
      <c r="M573" s="182" t="str">
        <f>IFERROR(LOOKUP(2,1/((A_Corridor!$A$5:$A$204&lt;&gt;"")*(A_Corridor!$A$5:$A$204&lt;=$B573)*(A_Corridor!$B$5:$B$204&gt;$B573)*(A_Corridor!$H$5:$H$204&lt;&gt;"")),IF(A_Corridor!$H$5:$H$204="-","",A_Corridor!$H$5:$H$204)),"")</f>
        <v/>
      </c>
      <c r="N573" s="182" t="str">
        <f>IFERROR(LOOKUP(2,1/((A_Corridor!$A$5:$A$204&lt;&gt;"")*(A_Corridor!$A$5:$A$204&lt;=$B573)*(A_Corridor!$B$5:$B$204&gt;$B573)*(A_Corridor!$I$5:$I$204&lt;&gt;"")),IF(A_Corridor!$I$5:$I$204="-","",A_Corridor!$I$5:$I$204)),"")</f>
        <v/>
      </c>
      <c r="O573" s="182" t="str">
        <f>IFERROR(LOOKUP(2,1/((D_Points!$A$5:$A$204&lt;&gt;"")*(D_Points!$A$5:$A$204&gt;=$B573)*(D_Points!$A$5:$A$204&lt;$B573+P_Interval)*(UPPER(TRIM(D_Points!$B$5:$B$204))="PITCHING")*(D_Points!$H$5:$H$204&lt;&gt;"")),D_Points!$H$5:$H$204),"")</f>
        <v/>
      </c>
      <c r="P573" s="181" t="str">
        <f>IFERROR(LOOKUP(2,1/((B_Drainage!$A$5:$A$204&lt;&gt;"")*(B_Drainage!$A$5:$A$204&lt;=$B573)*(B_Drainage!$B$5:$B$204&gt;$B573)*(B_Drainage!$C$5:$C$204&lt;&gt;"")),IF(B_Drainage!$C$5:$C$204="-","",UPPER(B_Drainage!$C$5:$C$204))),"")</f>
        <v/>
      </c>
      <c r="Q573" s="181" t="str">
        <f>IFERROR(LOOKUP(2,1/((B_Drainage!$A$5:$A$204&lt;&gt;"")*(B_Drainage!$A$5:$A$204&lt;=$B573)*(B_Drainage!$B$5:$B$204&gt;$B573)*(B_Drainage!$D$5:$D$204&lt;&gt;"")),IF(B_Drainage!$D$5:$D$204="-","",UPPER(B_Drainage!$D$5:$D$204))),"")</f>
        <v/>
      </c>
      <c r="R573" s="182" t="str">
        <f>IFERROR(LOOKUP(2,1/((D_Points!$A$5:$A$204&lt;&gt;"")*(D_Points!$A$5:$A$204&gt;=$B573)*(D_Points!$A$5:$A$204&lt;$B573+P_Interval)*(RIGHT(UPPER(TRIM(D_Points!$B$5:$B$204)),8)="_CULVERT")),IF(LEFT(UPPER(TRIM(D_Points!$B$5:$B$204)),2)="EX",1,IF(LEFT(UPPER(TRIM(D_Points!$B$5:$B$204)),2)="PR",2,3))),"")</f>
        <v/>
      </c>
      <c r="S573" s="182" t="str">
        <f>IFERROR(LOOKUP(2,1/((D_Points!$A$5:$A$204&lt;&gt;"")*(D_Points!$A$5:$A$204&gt;=$B573)*(D_Points!$A$5:$A$204&lt;$B573+P_Interval)*(RIGHT(UPPER(TRIM(D_Points!$B$5:$B$204)),7)="_BRIDGE")),IF(LEFT(UPPER(TRIM(D_Points!$B$5:$B$204)),2)="EX",1,IF(LEFT(UPPER(TRIM(D_Points!$B$5:$B$204)),2)="PR",2,2))),"")</f>
        <v/>
      </c>
      <c r="T573" s="181" t="str">
        <f>IFERROR(LOOKUP(2,1/((B_Drainage!$A$5:$A$204&lt;&gt;"")*(B_Drainage!$A$5:$A$204&lt;=$B573)*(B_Drainage!$B$5:$B$204&gt;$B573)*(B_Drainage!$E$5:$E$204&lt;&gt;"")),IF(B_Drainage!$E$5:$E$204="-","",1)),"")</f>
        <v/>
      </c>
      <c r="U573" s="181" t="str">
        <f>IFERROR(LOOKUP(2,1/((B_Drainage!$A$5:$A$204&lt;&gt;"")*(B_Drainage!$A$5:$A$204&lt;=$B573)*(B_Drainage!$B$5:$B$204&gt;$B573)*(B_Drainage!$E$5:$E$204&lt;&gt;"")),IF(B_Drainage!$E$5:$E$204="-","",B_Drainage!$E$5:$E$204)),"")</f>
        <v/>
      </c>
      <c r="V573" s="181" t="str">
        <f>IFERROR(LOOKUP(2,1/((B_Drainage!$A$5:$A$204&lt;&gt;"")*(B_Drainage!$A$5:$A$204&lt;=$B573)*(B_Drainage!$B$5:$B$204&gt;$B573)*(B_Drainage!$F$5:$F$204&lt;&gt;"")),IF(B_Drainage!$F$5:$F$204="-","",1)),"")</f>
        <v/>
      </c>
      <c r="W573" s="181" t="str">
        <f>IFERROR(LOOKUP(2,1/((B_Drainage!$A$5:$A$204&lt;&gt;"")*(B_Drainage!$A$5:$A$204&lt;=$B573)*(B_Drainage!$B$5:$B$204&gt;$B573)*(B_Drainage!$F$5:$F$204&lt;&gt;"")),IF(B_Drainage!$F$5:$F$204="-","",B_Drainage!$F$5:$F$204)),"")</f>
        <v/>
      </c>
      <c r="X573" s="181" t="str">
        <f>IFERROR(LOOKUP(2,1/((B_Drainage!$A$5:$A$204&lt;&gt;"")*(B_Drainage!$A$5:$A$204&lt;=$B573)*(B_Drainage!$B$5:$B$204&gt;$B573)*(B_Drainage!$G$5:$G$204&lt;&gt;"")),IF(UPPER(B_Drainage!$G$5:$G$204)="Y",1,"")),"")</f>
        <v/>
      </c>
      <c r="Y573" s="181" t="str">
        <f>IFERROR(LOOKUP(2,1/((B_Drainage!$A$5:$A$204&lt;&gt;"")*(B_Drainage!$A$5:$A$204&lt;=$B573)*(B_Drainage!$B$5:$B$204&gt;$B573)*(B_Drainage!$H$5:$H$204&lt;&gt;"")),IF(UPPER(B_Drainage!$H$5:$H$204)="Y",1,"")),"")</f>
        <v/>
      </c>
      <c r="Z573" s="181" t="str">
        <f>IFERROR(LOOKUP(2,1/((B_Drainage!$A$5:$A$204&lt;&gt;"")*(B_Drainage!$A$5:$A$204&lt;=$B573)*(B_Drainage!$B$5:$B$204&gt;$B573)*(B_Drainage!$I$5:$I$204&lt;&gt;"")),IF(UPPER(B_Drainage!$I$5:$I$204)="Y",1,"")),"")</f>
        <v/>
      </c>
      <c r="AA573" s="181" t="str">
        <f>IFERROR(LOOKUP(2,1/((B_Drainage!$A$5:$A$204&lt;&gt;"")*(B_Drainage!$A$5:$A$204&lt;=$B573)*(B_Drainage!$B$5:$B$204&gt;$B573)*(B_Drainage!$J$5:$J$204&lt;&gt;"")),IF(UPPER(B_Drainage!$J$5:$J$204)="Y",1,"")),"")</f>
        <v/>
      </c>
      <c r="AB573" s="182" t="str">
        <f>IFERROR(LOOKUP(2,1/((B_Drainage!$A$5:$A$204&lt;&gt;"")*(B_Drainage!$A$5:$A$204&lt;=$B573)*(B_Drainage!$B$5:$B$204&gt;$B573)*(B_Drainage!$K$5:$K$204&lt;&gt;"")),IF(B_Drainage!$K$5:$K$204="-","",B_Drainage!$K$5:$K$204)),"")</f>
        <v/>
      </c>
      <c r="AC573" s="182" t="str">
        <f>IFERROR(LOOKUP(2,1/((B_Drainage!$A$5:$A$204&lt;&gt;"")*(B_Drainage!$A$5:$A$204&lt;=$B573)*(B_Drainage!$B$5:$B$204&gt;$B573)*(B_Drainage!$L$5:$L$204&lt;&gt;"")),IF(B_Drainage!$L$5:$L$204="-","",B_Drainage!$L$5:$L$204)),"")</f>
        <v/>
      </c>
      <c r="AD573" s="182" t="str">
        <f>IFERROR(LOOKUP(2,1/((D_Points!$A$5:$A$204&lt;&gt;"")*(D_Points!$A$5:$A$204&gt;=$B573)*(D_Points!$A$5:$A$204&lt;$B573+P_Interval)*(UPPER(TRIM(D_Points!$B$5:$B$204))="TURNOUT_L")*(D_Points!$H$5:$H$204&lt;&gt;"")),D_Points!$H$5:$H$204),"")</f>
        <v/>
      </c>
      <c r="AE573" s="182" t="str">
        <f>IFERROR(LOOKUP(2,1/((D_Points!$A$5:$A$204&lt;&gt;"")*(D_Points!$A$5:$A$204&gt;=$B573)*(D_Points!$A$5:$A$204&lt;$B573+P_Interval)*(UPPER(TRIM(D_Points!$B$5:$B$204))="TURNOUT_R")*(D_Points!$H$5:$H$204&lt;&gt;"")),D_Points!$H$5:$H$204),"")</f>
        <v/>
      </c>
      <c r="AF573" s="181" t="str">
        <f>IFERROR(LOOKUP(2,1/((B_Drainage!$A$5:$A$204&lt;&gt;"")*(B_Drainage!$A$5:$A$204&lt;=$B573)*(B_Drainage!$B$5:$B$204&gt;$B573)*(B_Drainage!$M$5:$M$204&lt;&gt;"")),IF(UPPER(B_Drainage!$M$5:$M$204)="Y",1,"")),"")</f>
        <v/>
      </c>
      <c r="AG573" s="181" t="str">
        <f>IFERROR(LOOKUP(2,1/((B_Drainage!$A$5:$A$204&lt;&gt;"")*(B_Drainage!$A$5:$A$204&lt;=$B573)*(B_Drainage!$B$5:$B$204&gt;$B573)*(B_Drainage!$N$5:$N$204&lt;&gt;"")),IF(UPPER(B_Drainage!$N$5:$N$204)="Y",1,"")),"")</f>
        <v/>
      </c>
      <c r="AH573" s="181" t="str">
        <f t="shared" si="64"/>
        <v/>
      </c>
      <c r="AI573" s="181" t="str">
        <f t="shared" si="65"/>
        <v/>
      </c>
      <c r="AJ573" s="181" t="str">
        <f t="shared" si="66"/>
        <v/>
      </c>
      <c r="AK573" s="181" t="str">
        <f t="shared" si="67"/>
        <v/>
      </c>
      <c r="AL573" s="181" t="str">
        <f t="shared" si="68"/>
        <v/>
      </c>
      <c r="AM573" s="181" t="str">
        <f t="shared" si="69"/>
        <v/>
      </c>
      <c r="AN573" s="181" t="str">
        <f t="shared" si="70"/>
        <v/>
      </c>
      <c r="AO573" s="192" t="str">
        <f t="shared" si="71"/>
        <v/>
      </c>
      <c r="AQ573" t="str">
        <f>IFERROR(LOOKUP(2,1/((C_Pavement!$A$5:$A$204&lt;&gt;"")*(C_Pavement!$A$5:$A$204&lt;=$B573)*(C_Pavement!$B$5:$B$204&gt;$B573)*(C_Pavement!$C$5:$C$204&lt;&gt;"")),ROW(C_Pavement!$C$5:$C$204)-4),"")</f>
        <v/>
      </c>
      <c r="AR573" t="str">
        <f>IF($AQ573="","",UPPER(TRIM(INDEX(C_Pavement!$C$5:$C$204,$AQ573))))</f>
        <v/>
      </c>
      <c r="AS573" t="str">
        <f>IF($AR573="","",IFERROR(MATCH($AR573,E_Rules!$A$5:$A$9,0),""))</f>
        <v/>
      </c>
      <c r="AT573" t="str">
        <f>IF($AQ573="","",IF(INDEX(C_Pavement!$D$5:$D$204,$AQ573)&lt;&gt;"",UPPER(TRIM(INDEX(C_Pavement!$D$5:$D$204,$AQ573))),IF($AS573="","",INDEX(E_Rules!$C$5:$C$9,$AS573))))</f>
        <v/>
      </c>
      <c r="AU573" t="str">
        <f>IF($AQ573="","",IF(INDEX(C_Pavement!$E$5:$E$204,$AQ573)&lt;&gt;"",IF(INDEX(C_Pavement!$E$5:$E$204,$AQ573)="-","",INDEX(C_Pavement!$E$5:$E$204,$AQ573)),IF($AS573="","",INDEX(E_Rules!$D$5:$D$9,$AS573))))</f>
        <v/>
      </c>
      <c r="AV573" t="str">
        <f>IF($AQ573="","",IF(INDEX(C_Pavement!$F$5:$F$204,$AQ573)&lt;&gt;"",IF(INDEX(C_Pavement!$F$5:$F$204,$AQ573)="-","",INDEX(C_Pavement!$F$5:$F$204,$AQ573)),IF($AS573="","",INDEX(E_Rules!$E$5:$E$9,$AS573))))</f>
        <v/>
      </c>
      <c r="AW573" t="str">
        <f>IF($AQ573="","",IF(INDEX(C_Pavement!$G$5:$G$204,$AQ573)&lt;&gt;"",IF(INDEX(C_Pavement!$G$5:$G$204,$AQ573)="-","",INDEX(C_Pavement!$G$5:$G$204,$AQ573)),IF($AS573="","",INDEX(E_Rules!$F$5:$F$9,$AS573))))</f>
        <v/>
      </c>
      <c r="AX573" t="str">
        <f>IF($AQ573="","",IF(INDEX(C_Pavement!$H$5:$H$204,$AQ573)&lt;&gt;"",IF(INDEX(C_Pavement!$H$5:$H$204,$AQ573)="-","",INDEX(C_Pavement!$H$5:$H$204,$AQ573)),IF($AS573="","",INDEX(E_Rules!$G$5:$G$9,$AS573))))</f>
        <v/>
      </c>
      <c r="AY573" t="str">
        <f>IF($AQ573="","",IF(INDEX(C_Pavement!$I$5:$I$204,$AQ573)&lt;&gt;"",IF(INDEX(C_Pavement!$I$5:$I$204,$AQ573)="-","",INDEX(C_Pavement!$I$5:$I$204,$AQ573)),IF($AS573="","",INDEX(E_Rules!$H$5:$H$9,$AS573))))</f>
        <v/>
      </c>
    </row>
    <row r="574" spans="1:51" ht="15.75" customHeight="1" x14ac:dyDescent="0.3">
      <c r="A574" s="189">
        <v>569</v>
      </c>
      <c r="B574" s="180">
        <v>28400</v>
      </c>
      <c r="C574" s="180" t="s">
        <v>880</v>
      </c>
      <c r="D574" s="181" t="str">
        <f>IFERROR(LOOKUP(2,1/((A_Corridor!$A$5:$A$204&lt;&gt;"")*(A_Corridor!$A$5:$A$204&lt;=$B574)*(A_Corridor!$B$5:$B$204&gt;$B574)*(A_Corridor!$C$5:$C$204&lt;&gt;"")),IF(UPPER(A_Corridor!$C$5:$C$204)="Y",1,"")),"")</f>
        <v/>
      </c>
      <c r="E574" s="181" t="str">
        <f>IFERROR(LOOKUP(2,1/((A_Corridor!$A$5:$A$204&lt;&gt;"")*(A_Corridor!$A$5:$A$204&lt;=$B574)*(A_Corridor!$B$5:$B$204&gt;$B574)*(A_Corridor!$D$5:$D$204&lt;&gt;"")),IF(A_Corridor!$D$5:$D$204="-","",UPPER(A_Corridor!$D$5:$D$204))),"")</f>
        <v/>
      </c>
      <c r="F574" s="181" t="str">
        <f>IFERROR(LOOKUP(2,1/((A_Corridor!$A$5:$A$204&lt;&gt;"")*(A_Corridor!$A$5:$A$204&lt;=$B574)*(A_Corridor!$B$5:$B$204&gt;$B574)*(A_Corridor!$E$5:$E$204&lt;&gt;"")),IF(A_Corridor!$E$5:$E$204="-","",1)),"")</f>
        <v/>
      </c>
      <c r="G574" s="182" t="str">
        <f>IFERROR(LOOKUP(2,1/((A_Corridor!$A$5:$A$204&lt;&gt;"")*(A_Corridor!$A$5:$A$204&lt;=$B574)*(A_Corridor!$B$5:$B$204&gt;$B574)*(A_Corridor!$E$5:$E$204&lt;&gt;"")),IF(A_Corridor!$E$5:$E$204="-","",A_Corridor!$E$5:$E$204)),"")</f>
        <v/>
      </c>
      <c r="H574" s="182" t="str">
        <f>IFERROR(LOOKUP(2,1/((D_Points!$A$5:$A$204&lt;&gt;"")*(D_Points!$A$5:$A$204&gt;=$B574)*(D_Points!$A$5:$A$204&lt;$B574+P_Interval)*(UPPER(TRIM(D_Points!$B$5:$B$204))="GULLY")*(D_Points!$H$5:$H$204&lt;&gt;"")),D_Points!$H$5:$H$204),"")</f>
        <v/>
      </c>
      <c r="I574" s="181" t="str">
        <f>IFERROR(LOOKUP(2,1/((A_Corridor!$A$5:$A$204&lt;&gt;"")*(A_Corridor!$A$5:$A$204&lt;=$B574)*(A_Corridor!$B$5:$B$204&gt;$B574)*(A_Corridor!$F$5:$F$204&lt;&gt;"")),IF(A_Corridor!$F$5:$F$204="-","",1)),"")</f>
        <v/>
      </c>
      <c r="J574" s="182" t="str">
        <f>IFERROR(LOOKUP(2,1/((A_Corridor!$A$5:$A$204&lt;&gt;"")*(A_Corridor!$A$5:$A$204&lt;=$B574)*(A_Corridor!$B$5:$B$204&gt;$B574)*(A_Corridor!$F$5:$F$204&lt;&gt;"")),IF(A_Corridor!$F$5:$F$204="-","",A_Corridor!$F$5:$F$204)),"")</f>
        <v/>
      </c>
      <c r="K574" s="182" t="str">
        <f>IFERROR(LOOKUP(2,1/((A_Corridor!$A$5:$A$204&lt;&gt;"")*(A_Corridor!$A$5:$A$204&lt;=$B574)*(A_Corridor!$B$5:$B$204&gt;$B574)*(A_Corridor!$G$5:$G$204&lt;&gt;"")),IF(A_Corridor!$G$5:$G$204="-","",A_Corridor!$G$5:$G$204)),"")</f>
        <v/>
      </c>
      <c r="L574" s="181" t="str">
        <f>IFERROR(LOOKUP(2,1/((A_Corridor!$A$5:$A$204&lt;&gt;"")*(A_Corridor!$A$5:$A$204&lt;=$B574)*(A_Corridor!$B$5:$B$204&gt;$B574)*(A_Corridor!$H$5:$H$204&lt;&gt;"")),IF(A_Corridor!$H$5:$H$204="-","",1)),"")</f>
        <v/>
      </c>
      <c r="M574" s="182" t="str">
        <f>IFERROR(LOOKUP(2,1/((A_Corridor!$A$5:$A$204&lt;&gt;"")*(A_Corridor!$A$5:$A$204&lt;=$B574)*(A_Corridor!$B$5:$B$204&gt;$B574)*(A_Corridor!$H$5:$H$204&lt;&gt;"")),IF(A_Corridor!$H$5:$H$204="-","",A_Corridor!$H$5:$H$204)),"")</f>
        <v/>
      </c>
      <c r="N574" s="182" t="str">
        <f>IFERROR(LOOKUP(2,1/((A_Corridor!$A$5:$A$204&lt;&gt;"")*(A_Corridor!$A$5:$A$204&lt;=$B574)*(A_Corridor!$B$5:$B$204&gt;$B574)*(A_Corridor!$I$5:$I$204&lt;&gt;"")),IF(A_Corridor!$I$5:$I$204="-","",A_Corridor!$I$5:$I$204)),"")</f>
        <v/>
      </c>
      <c r="O574" s="182" t="str">
        <f>IFERROR(LOOKUP(2,1/((D_Points!$A$5:$A$204&lt;&gt;"")*(D_Points!$A$5:$A$204&gt;=$B574)*(D_Points!$A$5:$A$204&lt;$B574+P_Interval)*(UPPER(TRIM(D_Points!$B$5:$B$204))="PITCHING")*(D_Points!$H$5:$H$204&lt;&gt;"")),D_Points!$H$5:$H$204),"")</f>
        <v/>
      </c>
      <c r="P574" s="181" t="str">
        <f>IFERROR(LOOKUP(2,1/((B_Drainage!$A$5:$A$204&lt;&gt;"")*(B_Drainage!$A$5:$A$204&lt;=$B574)*(B_Drainage!$B$5:$B$204&gt;$B574)*(B_Drainage!$C$5:$C$204&lt;&gt;"")),IF(B_Drainage!$C$5:$C$204="-","",UPPER(B_Drainage!$C$5:$C$204))),"")</f>
        <v/>
      </c>
      <c r="Q574" s="181" t="str">
        <f>IFERROR(LOOKUP(2,1/((B_Drainage!$A$5:$A$204&lt;&gt;"")*(B_Drainage!$A$5:$A$204&lt;=$B574)*(B_Drainage!$B$5:$B$204&gt;$B574)*(B_Drainage!$D$5:$D$204&lt;&gt;"")),IF(B_Drainage!$D$5:$D$204="-","",UPPER(B_Drainage!$D$5:$D$204))),"")</f>
        <v/>
      </c>
      <c r="R574" s="182" t="str">
        <f>IFERROR(LOOKUP(2,1/((D_Points!$A$5:$A$204&lt;&gt;"")*(D_Points!$A$5:$A$204&gt;=$B574)*(D_Points!$A$5:$A$204&lt;$B574+P_Interval)*(RIGHT(UPPER(TRIM(D_Points!$B$5:$B$204)),8)="_CULVERT")),IF(LEFT(UPPER(TRIM(D_Points!$B$5:$B$204)),2)="EX",1,IF(LEFT(UPPER(TRIM(D_Points!$B$5:$B$204)),2)="PR",2,3))),"")</f>
        <v/>
      </c>
      <c r="S574" s="182" t="str">
        <f>IFERROR(LOOKUP(2,1/((D_Points!$A$5:$A$204&lt;&gt;"")*(D_Points!$A$5:$A$204&gt;=$B574)*(D_Points!$A$5:$A$204&lt;$B574+P_Interval)*(RIGHT(UPPER(TRIM(D_Points!$B$5:$B$204)),7)="_BRIDGE")),IF(LEFT(UPPER(TRIM(D_Points!$B$5:$B$204)),2)="EX",1,IF(LEFT(UPPER(TRIM(D_Points!$B$5:$B$204)),2)="PR",2,2))),"")</f>
        <v/>
      </c>
      <c r="T574" s="181" t="str">
        <f>IFERROR(LOOKUP(2,1/((B_Drainage!$A$5:$A$204&lt;&gt;"")*(B_Drainage!$A$5:$A$204&lt;=$B574)*(B_Drainage!$B$5:$B$204&gt;$B574)*(B_Drainage!$E$5:$E$204&lt;&gt;"")),IF(B_Drainage!$E$5:$E$204="-","",1)),"")</f>
        <v/>
      </c>
      <c r="U574" s="181" t="str">
        <f>IFERROR(LOOKUP(2,1/((B_Drainage!$A$5:$A$204&lt;&gt;"")*(B_Drainage!$A$5:$A$204&lt;=$B574)*(B_Drainage!$B$5:$B$204&gt;$B574)*(B_Drainage!$E$5:$E$204&lt;&gt;"")),IF(B_Drainage!$E$5:$E$204="-","",B_Drainage!$E$5:$E$204)),"")</f>
        <v/>
      </c>
      <c r="V574" s="181" t="str">
        <f>IFERROR(LOOKUP(2,1/((B_Drainage!$A$5:$A$204&lt;&gt;"")*(B_Drainage!$A$5:$A$204&lt;=$B574)*(B_Drainage!$B$5:$B$204&gt;$B574)*(B_Drainage!$F$5:$F$204&lt;&gt;"")),IF(B_Drainage!$F$5:$F$204="-","",1)),"")</f>
        <v/>
      </c>
      <c r="W574" s="181" t="str">
        <f>IFERROR(LOOKUP(2,1/((B_Drainage!$A$5:$A$204&lt;&gt;"")*(B_Drainage!$A$5:$A$204&lt;=$B574)*(B_Drainage!$B$5:$B$204&gt;$B574)*(B_Drainage!$F$5:$F$204&lt;&gt;"")),IF(B_Drainage!$F$5:$F$204="-","",B_Drainage!$F$5:$F$204)),"")</f>
        <v/>
      </c>
      <c r="X574" s="181" t="str">
        <f>IFERROR(LOOKUP(2,1/((B_Drainage!$A$5:$A$204&lt;&gt;"")*(B_Drainage!$A$5:$A$204&lt;=$B574)*(B_Drainage!$B$5:$B$204&gt;$B574)*(B_Drainage!$G$5:$G$204&lt;&gt;"")),IF(UPPER(B_Drainage!$G$5:$G$204)="Y",1,"")),"")</f>
        <v/>
      </c>
      <c r="Y574" s="181" t="str">
        <f>IFERROR(LOOKUP(2,1/((B_Drainage!$A$5:$A$204&lt;&gt;"")*(B_Drainage!$A$5:$A$204&lt;=$B574)*(B_Drainage!$B$5:$B$204&gt;$B574)*(B_Drainage!$H$5:$H$204&lt;&gt;"")),IF(UPPER(B_Drainage!$H$5:$H$204)="Y",1,"")),"")</f>
        <v/>
      </c>
      <c r="Z574" s="181" t="str">
        <f>IFERROR(LOOKUP(2,1/((B_Drainage!$A$5:$A$204&lt;&gt;"")*(B_Drainage!$A$5:$A$204&lt;=$B574)*(B_Drainage!$B$5:$B$204&gt;$B574)*(B_Drainage!$I$5:$I$204&lt;&gt;"")),IF(UPPER(B_Drainage!$I$5:$I$204)="Y",1,"")),"")</f>
        <v/>
      </c>
      <c r="AA574" s="181" t="str">
        <f>IFERROR(LOOKUP(2,1/((B_Drainage!$A$5:$A$204&lt;&gt;"")*(B_Drainage!$A$5:$A$204&lt;=$B574)*(B_Drainage!$B$5:$B$204&gt;$B574)*(B_Drainage!$J$5:$J$204&lt;&gt;"")),IF(UPPER(B_Drainage!$J$5:$J$204)="Y",1,"")),"")</f>
        <v/>
      </c>
      <c r="AB574" s="182" t="str">
        <f>IFERROR(LOOKUP(2,1/((B_Drainage!$A$5:$A$204&lt;&gt;"")*(B_Drainage!$A$5:$A$204&lt;=$B574)*(B_Drainage!$B$5:$B$204&gt;$B574)*(B_Drainage!$K$5:$K$204&lt;&gt;"")),IF(B_Drainage!$K$5:$K$204="-","",B_Drainage!$K$5:$K$204)),"")</f>
        <v/>
      </c>
      <c r="AC574" s="182" t="str">
        <f>IFERROR(LOOKUP(2,1/((B_Drainage!$A$5:$A$204&lt;&gt;"")*(B_Drainage!$A$5:$A$204&lt;=$B574)*(B_Drainage!$B$5:$B$204&gt;$B574)*(B_Drainage!$L$5:$L$204&lt;&gt;"")),IF(B_Drainage!$L$5:$L$204="-","",B_Drainage!$L$5:$L$204)),"")</f>
        <v/>
      </c>
      <c r="AD574" s="182" t="str">
        <f>IFERROR(LOOKUP(2,1/((D_Points!$A$5:$A$204&lt;&gt;"")*(D_Points!$A$5:$A$204&gt;=$B574)*(D_Points!$A$5:$A$204&lt;$B574+P_Interval)*(UPPER(TRIM(D_Points!$B$5:$B$204))="TURNOUT_L")*(D_Points!$H$5:$H$204&lt;&gt;"")),D_Points!$H$5:$H$204),"")</f>
        <v/>
      </c>
      <c r="AE574" s="182" t="str">
        <f>IFERROR(LOOKUP(2,1/((D_Points!$A$5:$A$204&lt;&gt;"")*(D_Points!$A$5:$A$204&gt;=$B574)*(D_Points!$A$5:$A$204&lt;$B574+P_Interval)*(UPPER(TRIM(D_Points!$B$5:$B$204))="TURNOUT_R")*(D_Points!$H$5:$H$204&lt;&gt;"")),D_Points!$H$5:$H$204),"")</f>
        <v/>
      </c>
      <c r="AF574" s="181" t="str">
        <f>IFERROR(LOOKUP(2,1/((B_Drainage!$A$5:$A$204&lt;&gt;"")*(B_Drainage!$A$5:$A$204&lt;=$B574)*(B_Drainage!$B$5:$B$204&gt;$B574)*(B_Drainage!$M$5:$M$204&lt;&gt;"")),IF(UPPER(B_Drainage!$M$5:$M$204)="Y",1,"")),"")</f>
        <v/>
      </c>
      <c r="AG574" s="181" t="str">
        <f>IFERROR(LOOKUP(2,1/((B_Drainage!$A$5:$A$204&lt;&gt;"")*(B_Drainage!$A$5:$A$204&lt;=$B574)*(B_Drainage!$B$5:$B$204&gt;$B574)*(B_Drainage!$N$5:$N$204&lt;&gt;"")),IF(UPPER(B_Drainage!$N$5:$N$204)="Y",1,"")),"")</f>
        <v/>
      </c>
      <c r="AH574" s="181" t="str">
        <f t="shared" si="64"/>
        <v/>
      </c>
      <c r="AI574" s="181" t="str">
        <f t="shared" si="65"/>
        <v/>
      </c>
      <c r="AJ574" s="181" t="str">
        <f t="shared" si="66"/>
        <v/>
      </c>
      <c r="AK574" s="181" t="str">
        <f t="shared" si="67"/>
        <v/>
      </c>
      <c r="AL574" s="181" t="str">
        <f t="shared" si="68"/>
        <v/>
      </c>
      <c r="AM574" s="181" t="str">
        <f t="shared" si="69"/>
        <v/>
      </c>
      <c r="AN574" s="181" t="str">
        <f t="shared" si="70"/>
        <v/>
      </c>
      <c r="AO574" s="192" t="str">
        <f t="shared" si="71"/>
        <v/>
      </c>
      <c r="AQ574" t="str">
        <f>IFERROR(LOOKUP(2,1/((C_Pavement!$A$5:$A$204&lt;&gt;"")*(C_Pavement!$A$5:$A$204&lt;=$B574)*(C_Pavement!$B$5:$B$204&gt;$B574)*(C_Pavement!$C$5:$C$204&lt;&gt;"")),ROW(C_Pavement!$C$5:$C$204)-4),"")</f>
        <v/>
      </c>
      <c r="AR574" t="str">
        <f>IF($AQ574="","",UPPER(TRIM(INDEX(C_Pavement!$C$5:$C$204,$AQ574))))</f>
        <v/>
      </c>
      <c r="AS574" t="str">
        <f>IF($AR574="","",IFERROR(MATCH($AR574,E_Rules!$A$5:$A$9,0),""))</f>
        <v/>
      </c>
      <c r="AT574" t="str">
        <f>IF($AQ574="","",IF(INDEX(C_Pavement!$D$5:$D$204,$AQ574)&lt;&gt;"",UPPER(TRIM(INDEX(C_Pavement!$D$5:$D$204,$AQ574))),IF($AS574="","",INDEX(E_Rules!$C$5:$C$9,$AS574))))</f>
        <v/>
      </c>
      <c r="AU574" t="str">
        <f>IF($AQ574="","",IF(INDEX(C_Pavement!$E$5:$E$204,$AQ574)&lt;&gt;"",IF(INDEX(C_Pavement!$E$5:$E$204,$AQ574)="-","",INDEX(C_Pavement!$E$5:$E$204,$AQ574)),IF($AS574="","",INDEX(E_Rules!$D$5:$D$9,$AS574))))</f>
        <v/>
      </c>
      <c r="AV574" t="str">
        <f>IF($AQ574="","",IF(INDEX(C_Pavement!$F$5:$F$204,$AQ574)&lt;&gt;"",IF(INDEX(C_Pavement!$F$5:$F$204,$AQ574)="-","",INDEX(C_Pavement!$F$5:$F$204,$AQ574)),IF($AS574="","",INDEX(E_Rules!$E$5:$E$9,$AS574))))</f>
        <v/>
      </c>
      <c r="AW574" t="str">
        <f>IF($AQ574="","",IF(INDEX(C_Pavement!$G$5:$G$204,$AQ574)&lt;&gt;"",IF(INDEX(C_Pavement!$G$5:$G$204,$AQ574)="-","",INDEX(C_Pavement!$G$5:$G$204,$AQ574)),IF($AS574="","",INDEX(E_Rules!$F$5:$F$9,$AS574))))</f>
        <v/>
      </c>
      <c r="AX574" t="str">
        <f>IF($AQ574="","",IF(INDEX(C_Pavement!$H$5:$H$204,$AQ574)&lt;&gt;"",IF(INDEX(C_Pavement!$H$5:$H$204,$AQ574)="-","",INDEX(C_Pavement!$H$5:$H$204,$AQ574)),IF($AS574="","",INDEX(E_Rules!$G$5:$G$9,$AS574))))</f>
        <v/>
      </c>
      <c r="AY574" t="str">
        <f>IF($AQ574="","",IF(INDEX(C_Pavement!$I$5:$I$204,$AQ574)&lt;&gt;"",IF(INDEX(C_Pavement!$I$5:$I$204,$AQ574)="-","",INDEX(C_Pavement!$I$5:$I$204,$AQ574)),IF($AS574="","",INDEX(E_Rules!$H$5:$H$9,$AS574))))</f>
        <v/>
      </c>
    </row>
    <row r="575" spans="1:51" ht="15.75" customHeight="1" x14ac:dyDescent="0.3">
      <c r="A575" s="189">
        <v>570</v>
      </c>
      <c r="B575" s="180">
        <v>28450</v>
      </c>
      <c r="C575" s="180" t="s">
        <v>881</v>
      </c>
      <c r="D575" s="181" t="str">
        <f>IFERROR(LOOKUP(2,1/((A_Corridor!$A$5:$A$204&lt;&gt;"")*(A_Corridor!$A$5:$A$204&lt;=$B575)*(A_Corridor!$B$5:$B$204&gt;$B575)*(A_Corridor!$C$5:$C$204&lt;&gt;"")),IF(UPPER(A_Corridor!$C$5:$C$204)="Y",1,"")),"")</f>
        <v/>
      </c>
      <c r="E575" s="181" t="str">
        <f>IFERROR(LOOKUP(2,1/((A_Corridor!$A$5:$A$204&lt;&gt;"")*(A_Corridor!$A$5:$A$204&lt;=$B575)*(A_Corridor!$B$5:$B$204&gt;$B575)*(A_Corridor!$D$5:$D$204&lt;&gt;"")),IF(A_Corridor!$D$5:$D$204="-","",UPPER(A_Corridor!$D$5:$D$204))),"")</f>
        <v/>
      </c>
      <c r="F575" s="181" t="str">
        <f>IFERROR(LOOKUP(2,1/((A_Corridor!$A$5:$A$204&lt;&gt;"")*(A_Corridor!$A$5:$A$204&lt;=$B575)*(A_Corridor!$B$5:$B$204&gt;$B575)*(A_Corridor!$E$5:$E$204&lt;&gt;"")),IF(A_Corridor!$E$5:$E$204="-","",1)),"")</f>
        <v/>
      </c>
      <c r="G575" s="182" t="str">
        <f>IFERROR(LOOKUP(2,1/((A_Corridor!$A$5:$A$204&lt;&gt;"")*(A_Corridor!$A$5:$A$204&lt;=$B575)*(A_Corridor!$B$5:$B$204&gt;$B575)*(A_Corridor!$E$5:$E$204&lt;&gt;"")),IF(A_Corridor!$E$5:$E$204="-","",A_Corridor!$E$5:$E$204)),"")</f>
        <v/>
      </c>
      <c r="H575" s="182" t="str">
        <f>IFERROR(LOOKUP(2,1/((D_Points!$A$5:$A$204&lt;&gt;"")*(D_Points!$A$5:$A$204&gt;=$B575)*(D_Points!$A$5:$A$204&lt;$B575+P_Interval)*(UPPER(TRIM(D_Points!$B$5:$B$204))="GULLY")*(D_Points!$H$5:$H$204&lt;&gt;"")),D_Points!$H$5:$H$204),"")</f>
        <v/>
      </c>
      <c r="I575" s="181" t="str">
        <f>IFERROR(LOOKUP(2,1/((A_Corridor!$A$5:$A$204&lt;&gt;"")*(A_Corridor!$A$5:$A$204&lt;=$B575)*(A_Corridor!$B$5:$B$204&gt;$B575)*(A_Corridor!$F$5:$F$204&lt;&gt;"")),IF(A_Corridor!$F$5:$F$204="-","",1)),"")</f>
        <v/>
      </c>
      <c r="J575" s="182" t="str">
        <f>IFERROR(LOOKUP(2,1/((A_Corridor!$A$5:$A$204&lt;&gt;"")*(A_Corridor!$A$5:$A$204&lt;=$B575)*(A_Corridor!$B$5:$B$204&gt;$B575)*(A_Corridor!$F$5:$F$204&lt;&gt;"")),IF(A_Corridor!$F$5:$F$204="-","",A_Corridor!$F$5:$F$204)),"")</f>
        <v/>
      </c>
      <c r="K575" s="182" t="str">
        <f>IFERROR(LOOKUP(2,1/((A_Corridor!$A$5:$A$204&lt;&gt;"")*(A_Corridor!$A$5:$A$204&lt;=$B575)*(A_Corridor!$B$5:$B$204&gt;$B575)*(A_Corridor!$G$5:$G$204&lt;&gt;"")),IF(A_Corridor!$G$5:$G$204="-","",A_Corridor!$G$5:$G$204)),"")</f>
        <v/>
      </c>
      <c r="L575" s="181" t="str">
        <f>IFERROR(LOOKUP(2,1/((A_Corridor!$A$5:$A$204&lt;&gt;"")*(A_Corridor!$A$5:$A$204&lt;=$B575)*(A_Corridor!$B$5:$B$204&gt;$B575)*(A_Corridor!$H$5:$H$204&lt;&gt;"")),IF(A_Corridor!$H$5:$H$204="-","",1)),"")</f>
        <v/>
      </c>
      <c r="M575" s="182" t="str">
        <f>IFERROR(LOOKUP(2,1/((A_Corridor!$A$5:$A$204&lt;&gt;"")*(A_Corridor!$A$5:$A$204&lt;=$B575)*(A_Corridor!$B$5:$B$204&gt;$B575)*(A_Corridor!$H$5:$H$204&lt;&gt;"")),IF(A_Corridor!$H$5:$H$204="-","",A_Corridor!$H$5:$H$204)),"")</f>
        <v/>
      </c>
      <c r="N575" s="182" t="str">
        <f>IFERROR(LOOKUP(2,1/((A_Corridor!$A$5:$A$204&lt;&gt;"")*(A_Corridor!$A$5:$A$204&lt;=$B575)*(A_Corridor!$B$5:$B$204&gt;$B575)*(A_Corridor!$I$5:$I$204&lt;&gt;"")),IF(A_Corridor!$I$5:$I$204="-","",A_Corridor!$I$5:$I$204)),"")</f>
        <v/>
      </c>
      <c r="O575" s="182" t="str">
        <f>IFERROR(LOOKUP(2,1/((D_Points!$A$5:$A$204&lt;&gt;"")*(D_Points!$A$5:$A$204&gt;=$B575)*(D_Points!$A$5:$A$204&lt;$B575+P_Interval)*(UPPER(TRIM(D_Points!$B$5:$B$204))="PITCHING")*(D_Points!$H$5:$H$204&lt;&gt;"")),D_Points!$H$5:$H$204),"")</f>
        <v/>
      </c>
      <c r="P575" s="181" t="str">
        <f>IFERROR(LOOKUP(2,1/((B_Drainage!$A$5:$A$204&lt;&gt;"")*(B_Drainage!$A$5:$A$204&lt;=$B575)*(B_Drainage!$B$5:$B$204&gt;$B575)*(B_Drainage!$C$5:$C$204&lt;&gt;"")),IF(B_Drainage!$C$5:$C$204="-","",UPPER(B_Drainage!$C$5:$C$204))),"")</f>
        <v/>
      </c>
      <c r="Q575" s="181" t="str">
        <f>IFERROR(LOOKUP(2,1/((B_Drainage!$A$5:$A$204&lt;&gt;"")*(B_Drainage!$A$5:$A$204&lt;=$B575)*(B_Drainage!$B$5:$B$204&gt;$B575)*(B_Drainage!$D$5:$D$204&lt;&gt;"")),IF(B_Drainage!$D$5:$D$204="-","",UPPER(B_Drainage!$D$5:$D$204))),"")</f>
        <v/>
      </c>
      <c r="R575" s="182" t="str">
        <f>IFERROR(LOOKUP(2,1/((D_Points!$A$5:$A$204&lt;&gt;"")*(D_Points!$A$5:$A$204&gt;=$B575)*(D_Points!$A$5:$A$204&lt;$B575+P_Interval)*(RIGHT(UPPER(TRIM(D_Points!$B$5:$B$204)),8)="_CULVERT")),IF(LEFT(UPPER(TRIM(D_Points!$B$5:$B$204)),2)="EX",1,IF(LEFT(UPPER(TRIM(D_Points!$B$5:$B$204)),2)="PR",2,3))),"")</f>
        <v/>
      </c>
      <c r="S575" s="182" t="str">
        <f>IFERROR(LOOKUP(2,1/((D_Points!$A$5:$A$204&lt;&gt;"")*(D_Points!$A$5:$A$204&gt;=$B575)*(D_Points!$A$5:$A$204&lt;$B575+P_Interval)*(RIGHT(UPPER(TRIM(D_Points!$B$5:$B$204)),7)="_BRIDGE")),IF(LEFT(UPPER(TRIM(D_Points!$B$5:$B$204)),2)="EX",1,IF(LEFT(UPPER(TRIM(D_Points!$B$5:$B$204)),2)="PR",2,2))),"")</f>
        <v/>
      </c>
      <c r="T575" s="181" t="str">
        <f>IFERROR(LOOKUP(2,1/((B_Drainage!$A$5:$A$204&lt;&gt;"")*(B_Drainage!$A$5:$A$204&lt;=$B575)*(B_Drainage!$B$5:$B$204&gt;$B575)*(B_Drainage!$E$5:$E$204&lt;&gt;"")),IF(B_Drainage!$E$5:$E$204="-","",1)),"")</f>
        <v/>
      </c>
      <c r="U575" s="181" t="str">
        <f>IFERROR(LOOKUP(2,1/((B_Drainage!$A$5:$A$204&lt;&gt;"")*(B_Drainage!$A$5:$A$204&lt;=$B575)*(B_Drainage!$B$5:$B$204&gt;$B575)*(B_Drainage!$E$5:$E$204&lt;&gt;"")),IF(B_Drainage!$E$5:$E$204="-","",B_Drainage!$E$5:$E$204)),"")</f>
        <v/>
      </c>
      <c r="V575" s="181" t="str">
        <f>IFERROR(LOOKUP(2,1/((B_Drainage!$A$5:$A$204&lt;&gt;"")*(B_Drainage!$A$5:$A$204&lt;=$B575)*(B_Drainage!$B$5:$B$204&gt;$B575)*(B_Drainage!$F$5:$F$204&lt;&gt;"")),IF(B_Drainage!$F$5:$F$204="-","",1)),"")</f>
        <v/>
      </c>
      <c r="W575" s="181" t="str">
        <f>IFERROR(LOOKUP(2,1/((B_Drainage!$A$5:$A$204&lt;&gt;"")*(B_Drainage!$A$5:$A$204&lt;=$B575)*(B_Drainage!$B$5:$B$204&gt;$B575)*(B_Drainage!$F$5:$F$204&lt;&gt;"")),IF(B_Drainage!$F$5:$F$204="-","",B_Drainage!$F$5:$F$204)),"")</f>
        <v/>
      </c>
      <c r="X575" s="181" t="str">
        <f>IFERROR(LOOKUP(2,1/((B_Drainage!$A$5:$A$204&lt;&gt;"")*(B_Drainage!$A$5:$A$204&lt;=$B575)*(B_Drainage!$B$5:$B$204&gt;$B575)*(B_Drainage!$G$5:$G$204&lt;&gt;"")),IF(UPPER(B_Drainage!$G$5:$G$204)="Y",1,"")),"")</f>
        <v/>
      </c>
      <c r="Y575" s="181" t="str">
        <f>IFERROR(LOOKUP(2,1/((B_Drainage!$A$5:$A$204&lt;&gt;"")*(B_Drainage!$A$5:$A$204&lt;=$B575)*(B_Drainage!$B$5:$B$204&gt;$B575)*(B_Drainage!$H$5:$H$204&lt;&gt;"")),IF(UPPER(B_Drainage!$H$5:$H$204)="Y",1,"")),"")</f>
        <v/>
      </c>
      <c r="Z575" s="181" t="str">
        <f>IFERROR(LOOKUP(2,1/((B_Drainage!$A$5:$A$204&lt;&gt;"")*(B_Drainage!$A$5:$A$204&lt;=$B575)*(B_Drainage!$B$5:$B$204&gt;$B575)*(B_Drainage!$I$5:$I$204&lt;&gt;"")),IF(UPPER(B_Drainage!$I$5:$I$204)="Y",1,"")),"")</f>
        <v/>
      </c>
      <c r="AA575" s="181" t="str">
        <f>IFERROR(LOOKUP(2,1/((B_Drainage!$A$5:$A$204&lt;&gt;"")*(B_Drainage!$A$5:$A$204&lt;=$B575)*(B_Drainage!$B$5:$B$204&gt;$B575)*(B_Drainage!$J$5:$J$204&lt;&gt;"")),IF(UPPER(B_Drainage!$J$5:$J$204)="Y",1,"")),"")</f>
        <v/>
      </c>
      <c r="AB575" s="182" t="str">
        <f>IFERROR(LOOKUP(2,1/((B_Drainage!$A$5:$A$204&lt;&gt;"")*(B_Drainage!$A$5:$A$204&lt;=$B575)*(B_Drainage!$B$5:$B$204&gt;$B575)*(B_Drainage!$K$5:$K$204&lt;&gt;"")),IF(B_Drainage!$K$5:$K$204="-","",B_Drainage!$K$5:$K$204)),"")</f>
        <v/>
      </c>
      <c r="AC575" s="182" t="str">
        <f>IFERROR(LOOKUP(2,1/((B_Drainage!$A$5:$A$204&lt;&gt;"")*(B_Drainage!$A$5:$A$204&lt;=$B575)*(B_Drainage!$B$5:$B$204&gt;$B575)*(B_Drainage!$L$5:$L$204&lt;&gt;"")),IF(B_Drainage!$L$5:$L$204="-","",B_Drainage!$L$5:$L$204)),"")</f>
        <v/>
      </c>
      <c r="AD575" s="182" t="str">
        <f>IFERROR(LOOKUP(2,1/((D_Points!$A$5:$A$204&lt;&gt;"")*(D_Points!$A$5:$A$204&gt;=$B575)*(D_Points!$A$5:$A$204&lt;$B575+P_Interval)*(UPPER(TRIM(D_Points!$B$5:$B$204))="TURNOUT_L")*(D_Points!$H$5:$H$204&lt;&gt;"")),D_Points!$H$5:$H$204),"")</f>
        <v/>
      </c>
      <c r="AE575" s="182" t="str">
        <f>IFERROR(LOOKUP(2,1/((D_Points!$A$5:$A$204&lt;&gt;"")*(D_Points!$A$5:$A$204&gt;=$B575)*(D_Points!$A$5:$A$204&lt;$B575+P_Interval)*(UPPER(TRIM(D_Points!$B$5:$B$204))="TURNOUT_R")*(D_Points!$H$5:$H$204&lt;&gt;"")),D_Points!$H$5:$H$204),"")</f>
        <v/>
      </c>
      <c r="AF575" s="181" t="str">
        <f>IFERROR(LOOKUP(2,1/((B_Drainage!$A$5:$A$204&lt;&gt;"")*(B_Drainage!$A$5:$A$204&lt;=$B575)*(B_Drainage!$B$5:$B$204&gt;$B575)*(B_Drainage!$M$5:$M$204&lt;&gt;"")),IF(UPPER(B_Drainage!$M$5:$M$204)="Y",1,"")),"")</f>
        <v/>
      </c>
      <c r="AG575" s="181" t="str">
        <f>IFERROR(LOOKUP(2,1/((B_Drainage!$A$5:$A$204&lt;&gt;"")*(B_Drainage!$A$5:$A$204&lt;=$B575)*(B_Drainage!$B$5:$B$204&gt;$B575)*(B_Drainage!$N$5:$N$204&lt;&gt;"")),IF(UPPER(B_Drainage!$N$5:$N$204)="Y",1,"")),"")</f>
        <v/>
      </c>
      <c r="AH575" s="181" t="str">
        <f t="shared" si="64"/>
        <v/>
      </c>
      <c r="AI575" s="181" t="str">
        <f t="shared" si="65"/>
        <v/>
      </c>
      <c r="AJ575" s="181" t="str">
        <f t="shared" si="66"/>
        <v/>
      </c>
      <c r="AK575" s="181" t="str">
        <f t="shared" si="67"/>
        <v/>
      </c>
      <c r="AL575" s="181" t="str">
        <f t="shared" si="68"/>
        <v/>
      </c>
      <c r="AM575" s="181" t="str">
        <f t="shared" si="69"/>
        <v/>
      </c>
      <c r="AN575" s="181" t="str">
        <f t="shared" si="70"/>
        <v/>
      </c>
      <c r="AO575" s="192" t="str">
        <f t="shared" si="71"/>
        <v/>
      </c>
      <c r="AQ575" t="str">
        <f>IFERROR(LOOKUP(2,1/((C_Pavement!$A$5:$A$204&lt;&gt;"")*(C_Pavement!$A$5:$A$204&lt;=$B575)*(C_Pavement!$B$5:$B$204&gt;$B575)*(C_Pavement!$C$5:$C$204&lt;&gt;"")),ROW(C_Pavement!$C$5:$C$204)-4),"")</f>
        <v/>
      </c>
      <c r="AR575" t="str">
        <f>IF($AQ575="","",UPPER(TRIM(INDEX(C_Pavement!$C$5:$C$204,$AQ575))))</f>
        <v/>
      </c>
      <c r="AS575" t="str">
        <f>IF($AR575="","",IFERROR(MATCH($AR575,E_Rules!$A$5:$A$9,0),""))</f>
        <v/>
      </c>
      <c r="AT575" t="str">
        <f>IF($AQ575="","",IF(INDEX(C_Pavement!$D$5:$D$204,$AQ575)&lt;&gt;"",UPPER(TRIM(INDEX(C_Pavement!$D$5:$D$204,$AQ575))),IF($AS575="","",INDEX(E_Rules!$C$5:$C$9,$AS575))))</f>
        <v/>
      </c>
      <c r="AU575" t="str">
        <f>IF($AQ575="","",IF(INDEX(C_Pavement!$E$5:$E$204,$AQ575)&lt;&gt;"",IF(INDEX(C_Pavement!$E$5:$E$204,$AQ575)="-","",INDEX(C_Pavement!$E$5:$E$204,$AQ575)),IF($AS575="","",INDEX(E_Rules!$D$5:$D$9,$AS575))))</f>
        <v/>
      </c>
      <c r="AV575" t="str">
        <f>IF($AQ575="","",IF(INDEX(C_Pavement!$F$5:$F$204,$AQ575)&lt;&gt;"",IF(INDEX(C_Pavement!$F$5:$F$204,$AQ575)="-","",INDEX(C_Pavement!$F$5:$F$204,$AQ575)),IF($AS575="","",INDEX(E_Rules!$E$5:$E$9,$AS575))))</f>
        <v/>
      </c>
      <c r="AW575" t="str">
        <f>IF($AQ575="","",IF(INDEX(C_Pavement!$G$5:$G$204,$AQ575)&lt;&gt;"",IF(INDEX(C_Pavement!$G$5:$G$204,$AQ575)="-","",INDEX(C_Pavement!$G$5:$G$204,$AQ575)),IF($AS575="","",INDEX(E_Rules!$F$5:$F$9,$AS575))))</f>
        <v/>
      </c>
      <c r="AX575" t="str">
        <f>IF($AQ575="","",IF(INDEX(C_Pavement!$H$5:$H$204,$AQ575)&lt;&gt;"",IF(INDEX(C_Pavement!$H$5:$H$204,$AQ575)="-","",INDEX(C_Pavement!$H$5:$H$204,$AQ575)),IF($AS575="","",INDEX(E_Rules!$G$5:$G$9,$AS575))))</f>
        <v/>
      </c>
      <c r="AY575" t="str">
        <f>IF($AQ575="","",IF(INDEX(C_Pavement!$I$5:$I$204,$AQ575)&lt;&gt;"",IF(INDEX(C_Pavement!$I$5:$I$204,$AQ575)="-","",INDEX(C_Pavement!$I$5:$I$204,$AQ575)),IF($AS575="","",INDEX(E_Rules!$H$5:$H$9,$AS575))))</f>
        <v/>
      </c>
    </row>
    <row r="576" spans="1:51" ht="15.75" customHeight="1" x14ac:dyDescent="0.3">
      <c r="A576" s="189">
        <v>571</v>
      </c>
      <c r="B576" s="180">
        <v>28500</v>
      </c>
      <c r="C576" s="180" t="s">
        <v>882</v>
      </c>
      <c r="D576" s="181" t="str">
        <f>IFERROR(LOOKUP(2,1/((A_Corridor!$A$5:$A$204&lt;&gt;"")*(A_Corridor!$A$5:$A$204&lt;=$B576)*(A_Corridor!$B$5:$B$204&gt;$B576)*(A_Corridor!$C$5:$C$204&lt;&gt;"")),IF(UPPER(A_Corridor!$C$5:$C$204)="Y",1,"")),"")</f>
        <v/>
      </c>
      <c r="E576" s="181" t="str">
        <f>IFERROR(LOOKUP(2,1/((A_Corridor!$A$5:$A$204&lt;&gt;"")*(A_Corridor!$A$5:$A$204&lt;=$B576)*(A_Corridor!$B$5:$B$204&gt;$B576)*(A_Corridor!$D$5:$D$204&lt;&gt;"")),IF(A_Corridor!$D$5:$D$204="-","",UPPER(A_Corridor!$D$5:$D$204))),"")</f>
        <v/>
      </c>
      <c r="F576" s="181" t="str">
        <f>IFERROR(LOOKUP(2,1/((A_Corridor!$A$5:$A$204&lt;&gt;"")*(A_Corridor!$A$5:$A$204&lt;=$B576)*(A_Corridor!$B$5:$B$204&gt;$B576)*(A_Corridor!$E$5:$E$204&lt;&gt;"")),IF(A_Corridor!$E$5:$E$204="-","",1)),"")</f>
        <v/>
      </c>
      <c r="G576" s="182" t="str">
        <f>IFERROR(LOOKUP(2,1/((A_Corridor!$A$5:$A$204&lt;&gt;"")*(A_Corridor!$A$5:$A$204&lt;=$B576)*(A_Corridor!$B$5:$B$204&gt;$B576)*(A_Corridor!$E$5:$E$204&lt;&gt;"")),IF(A_Corridor!$E$5:$E$204="-","",A_Corridor!$E$5:$E$204)),"")</f>
        <v/>
      </c>
      <c r="H576" s="182" t="str">
        <f>IFERROR(LOOKUP(2,1/((D_Points!$A$5:$A$204&lt;&gt;"")*(D_Points!$A$5:$A$204&gt;=$B576)*(D_Points!$A$5:$A$204&lt;$B576+P_Interval)*(UPPER(TRIM(D_Points!$B$5:$B$204))="GULLY")*(D_Points!$H$5:$H$204&lt;&gt;"")),D_Points!$H$5:$H$204),"")</f>
        <v/>
      </c>
      <c r="I576" s="181" t="str">
        <f>IFERROR(LOOKUP(2,1/((A_Corridor!$A$5:$A$204&lt;&gt;"")*(A_Corridor!$A$5:$A$204&lt;=$B576)*(A_Corridor!$B$5:$B$204&gt;$B576)*(A_Corridor!$F$5:$F$204&lt;&gt;"")),IF(A_Corridor!$F$5:$F$204="-","",1)),"")</f>
        <v/>
      </c>
      <c r="J576" s="182" t="str">
        <f>IFERROR(LOOKUP(2,1/((A_Corridor!$A$5:$A$204&lt;&gt;"")*(A_Corridor!$A$5:$A$204&lt;=$B576)*(A_Corridor!$B$5:$B$204&gt;$B576)*(A_Corridor!$F$5:$F$204&lt;&gt;"")),IF(A_Corridor!$F$5:$F$204="-","",A_Corridor!$F$5:$F$204)),"")</f>
        <v/>
      </c>
      <c r="K576" s="182" t="str">
        <f>IFERROR(LOOKUP(2,1/((A_Corridor!$A$5:$A$204&lt;&gt;"")*(A_Corridor!$A$5:$A$204&lt;=$B576)*(A_Corridor!$B$5:$B$204&gt;$B576)*(A_Corridor!$G$5:$G$204&lt;&gt;"")),IF(A_Corridor!$G$5:$G$204="-","",A_Corridor!$G$5:$G$204)),"")</f>
        <v/>
      </c>
      <c r="L576" s="181" t="str">
        <f>IFERROR(LOOKUP(2,1/((A_Corridor!$A$5:$A$204&lt;&gt;"")*(A_Corridor!$A$5:$A$204&lt;=$B576)*(A_Corridor!$B$5:$B$204&gt;$B576)*(A_Corridor!$H$5:$H$204&lt;&gt;"")),IF(A_Corridor!$H$5:$H$204="-","",1)),"")</f>
        <v/>
      </c>
      <c r="M576" s="182" t="str">
        <f>IFERROR(LOOKUP(2,1/((A_Corridor!$A$5:$A$204&lt;&gt;"")*(A_Corridor!$A$5:$A$204&lt;=$B576)*(A_Corridor!$B$5:$B$204&gt;$B576)*(A_Corridor!$H$5:$H$204&lt;&gt;"")),IF(A_Corridor!$H$5:$H$204="-","",A_Corridor!$H$5:$H$204)),"")</f>
        <v/>
      </c>
      <c r="N576" s="182" t="str">
        <f>IFERROR(LOOKUP(2,1/((A_Corridor!$A$5:$A$204&lt;&gt;"")*(A_Corridor!$A$5:$A$204&lt;=$B576)*(A_Corridor!$B$5:$B$204&gt;$B576)*(A_Corridor!$I$5:$I$204&lt;&gt;"")),IF(A_Corridor!$I$5:$I$204="-","",A_Corridor!$I$5:$I$204)),"")</f>
        <v/>
      </c>
      <c r="O576" s="182" t="str">
        <f>IFERROR(LOOKUP(2,1/((D_Points!$A$5:$A$204&lt;&gt;"")*(D_Points!$A$5:$A$204&gt;=$B576)*(D_Points!$A$5:$A$204&lt;$B576+P_Interval)*(UPPER(TRIM(D_Points!$B$5:$B$204))="PITCHING")*(D_Points!$H$5:$H$204&lt;&gt;"")),D_Points!$H$5:$H$204),"")</f>
        <v/>
      </c>
      <c r="P576" s="181" t="str">
        <f>IFERROR(LOOKUP(2,1/((B_Drainage!$A$5:$A$204&lt;&gt;"")*(B_Drainage!$A$5:$A$204&lt;=$B576)*(B_Drainage!$B$5:$B$204&gt;$B576)*(B_Drainage!$C$5:$C$204&lt;&gt;"")),IF(B_Drainage!$C$5:$C$204="-","",UPPER(B_Drainage!$C$5:$C$204))),"")</f>
        <v/>
      </c>
      <c r="Q576" s="181" t="str">
        <f>IFERROR(LOOKUP(2,1/((B_Drainage!$A$5:$A$204&lt;&gt;"")*(B_Drainage!$A$5:$A$204&lt;=$B576)*(B_Drainage!$B$5:$B$204&gt;$B576)*(B_Drainage!$D$5:$D$204&lt;&gt;"")),IF(B_Drainage!$D$5:$D$204="-","",UPPER(B_Drainage!$D$5:$D$204))),"")</f>
        <v/>
      </c>
      <c r="R576" s="182" t="str">
        <f>IFERROR(LOOKUP(2,1/((D_Points!$A$5:$A$204&lt;&gt;"")*(D_Points!$A$5:$A$204&gt;=$B576)*(D_Points!$A$5:$A$204&lt;$B576+P_Interval)*(RIGHT(UPPER(TRIM(D_Points!$B$5:$B$204)),8)="_CULVERT")),IF(LEFT(UPPER(TRIM(D_Points!$B$5:$B$204)),2)="EX",1,IF(LEFT(UPPER(TRIM(D_Points!$B$5:$B$204)),2)="PR",2,3))),"")</f>
        <v/>
      </c>
      <c r="S576" s="182" t="str">
        <f>IFERROR(LOOKUP(2,1/((D_Points!$A$5:$A$204&lt;&gt;"")*(D_Points!$A$5:$A$204&gt;=$B576)*(D_Points!$A$5:$A$204&lt;$B576+P_Interval)*(RIGHT(UPPER(TRIM(D_Points!$B$5:$B$204)),7)="_BRIDGE")),IF(LEFT(UPPER(TRIM(D_Points!$B$5:$B$204)),2)="EX",1,IF(LEFT(UPPER(TRIM(D_Points!$B$5:$B$204)),2)="PR",2,2))),"")</f>
        <v/>
      </c>
      <c r="T576" s="181" t="str">
        <f>IFERROR(LOOKUP(2,1/((B_Drainage!$A$5:$A$204&lt;&gt;"")*(B_Drainage!$A$5:$A$204&lt;=$B576)*(B_Drainage!$B$5:$B$204&gt;$B576)*(B_Drainage!$E$5:$E$204&lt;&gt;"")),IF(B_Drainage!$E$5:$E$204="-","",1)),"")</f>
        <v/>
      </c>
      <c r="U576" s="181" t="str">
        <f>IFERROR(LOOKUP(2,1/((B_Drainage!$A$5:$A$204&lt;&gt;"")*(B_Drainage!$A$5:$A$204&lt;=$B576)*(B_Drainage!$B$5:$B$204&gt;$B576)*(B_Drainage!$E$5:$E$204&lt;&gt;"")),IF(B_Drainage!$E$5:$E$204="-","",B_Drainage!$E$5:$E$204)),"")</f>
        <v/>
      </c>
      <c r="V576" s="181" t="str">
        <f>IFERROR(LOOKUP(2,1/((B_Drainage!$A$5:$A$204&lt;&gt;"")*(B_Drainage!$A$5:$A$204&lt;=$B576)*(B_Drainage!$B$5:$B$204&gt;$B576)*(B_Drainage!$F$5:$F$204&lt;&gt;"")),IF(B_Drainage!$F$5:$F$204="-","",1)),"")</f>
        <v/>
      </c>
      <c r="W576" s="181" t="str">
        <f>IFERROR(LOOKUP(2,1/((B_Drainage!$A$5:$A$204&lt;&gt;"")*(B_Drainage!$A$5:$A$204&lt;=$B576)*(B_Drainage!$B$5:$B$204&gt;$B576)*(B_Drainage!$F$5:$F$204&lt;&gt;"")),IF(B_Drainage!$F$5:$F$204="-","",B_Drainage!$F$5:$F$204)),"")</f>
        <v/>
      </c>
      <c r="X576" s="181" t="str">
        <f>IFERROR(LOOKUP(2,1/((B_Drainage!$A$5:$A$204&lt;&gt;"")*(B_Drainage!$A$5:$A$204&lt;=$B576)*(B_Drainage!$B$5:$B$204&gt;$B576)*(B_Drainage!$G$5:$G$204&lt;&gt;"")),IF(UPPER(B_Drainage!$G$5:$G$204)="Y",1,"")),"")</f>
        <v/>
      </c>
      <c r="Y576" s="181" t="str">
        <f>IFERROR(LOOKUP(2,1/((B_Drainage!$A$5:$A$204&lt;&gt;"")*(B_Drainage!$A$5:$A$204&lt;=$B576)*(B_Drainage!$B$5:$B$204&gt;$B576)*(B_Drainage!$H$5:$H$204&lt;&gt;"")),IF(UPPER(B_Drainage!$H$5:$H$204)="Y",1,"")),"")</f>
        <v/>
      </c>
      <c r="Z576" s="181" t="str">
        <f>IFERROR(LOOKUP(2,1/((B_Drainage!$A$5:$A$204&lt;&gt;"")*(B_Drainage!$A$5:$A$204&lt;=$B576)*(B_Drainage!$B$5:$B$204&gt;$B576)*(B_Drainage!$I$5:$I$204&lt;&gt;"")),IF(UPPER(B_Drainage!$I$5:$I$204)="Y",1,"")),"")</f>
        <v/>
      </c>
      <c r="AA576" s="181" t="str">
        <f>IFERROR(LOOKUP(2,1/((B_Drainage!$A$5:$A$204&lt;&gt;"")*(B_Drainage!$A$5:$A$204&lt;=$B576)*(B_Drainage!$B$5:$B$204&gt;$B576)*(B_Drainage!$J$5:$J$204&lt;&gt;"")),IF(UPPER(B_Drainage!$J$5:$J$204)="Y",1,"")),"")</f>
        <v/>
      </c>
      <c r="AB576" s="182" t="str">
        <f>IFERROR(LOOKUP(2,1/((B_Drainage!$A$5:$A$204&lt;&gt;"")*(B_Drainage!$A$5:$A$204&lt;=$B576)*(B_Drainage!$B$5:$B$204&gt;$B576)*(B_Drainage!$K$5:$K$204&lt;&gt;"")),IF(B_Drainage!$K$5:$K$204="-","",B_Drainage!$K$5:$K$204)),"")</f>
        <v/>
      </c>
      <c r="AC576" s="182" t="str">
        <f>IFERROR(LOOKUP(2,1/((B_Drainage!$A$5:$A$204&lt;&gt;"")*(B_Drainage!$A$5:$A$204&lt;=$B576)*(B_Drainage!$B$5:$B$204&gt;$B576)*(B_Drainage!$L$5:$L$204&lt;&gt;"")),IF(B_Drainage!$L$5:$L$204="-","",B_Drainage!$L$5:$L$204)),"")</f>
        <v/>
      </c>
      <c r="AD576" s="182" t="str">
        <f>IFERROR(LOOKUP(2,1/((D_Points!$A$5:$A$204&lt;&gt;"")*(D_Points!$A$5:$A$204&gt;=$B576)*(D_Points!$A$5:$A$204&lt;$B576+P_Interval)*(UPPER(TRIM(D_Points!$B$5:$B$204))="TURNOUT_L")*(D_Points!$H$5:$H$204&lt;&gt;"")),D_Points!$H$5:$H$204),"")</f>
        <v/>
      </c>
      <c r="AE576" s="182" t="str">
        <f>IFERROR(LOOKUP(2,1/((D_Points!$A$5:$A$204&lt;&gt;"")*(D_Points!$A$5:$A$204&gt;=$B576)*(D_Points!$A$5:$A$204&lt;$B576+P_Interval)*(UPPER(TRIM(D_Points!$B$5:$B$204))="TURNOUT_R")*(D_Points!$H$5:$H$204&lt;&gt;"")),D_Points!$H$5:$H$204),"")</f>
        <v/>
      </c>
      <c r="AF576" s="181" t="str">
        <f>IFERROR(LOOKUP(2,1/((B_Drainage!$A$5:$A$204&lt;&gt;"")*(B_Drainage!$A$5:$A$204&lt;=$B576)*(B_Drainage!$B$5:$B$204&gt;$B576)*(B_Drainage!$M$5:$M$204&lt;&gt;"")),IF(UPPER(B_Drainage!$M$5:$M$204)="Y",1,"")),"")</f>
        <v/>
      </c>
      <c r="AG576" s="181" t="str">
        <f>IFERROR(LOOKUP(2,1/((B_Drainage!$A$5:$A$204&lt;&gt;"")*(B_Drainage!$A$5:$A$204&lt;=$B576)*(B_Drainage!$B$5:$B$204&gt;$B576)*(B_Drainage!$N$5:$N$204&lt;&gt;"")),IF(UPPER(B_Drainage!$N$5:$N$204)="Y",1,"")),"")</f>
        <v/>
      </c>
      <c r="AH576" s="181" t="str">
        <f t="shared" si="64"/>
        <v/>
      </c>
      <c r="AI576" s="181" t="str">
        <f t="shared" si="65"/>
        <v/>
      </c>
      <c r="AJ576" s="181" t="str">
        <f t="shared" si="66"/>
        <v/>
      </c>
      <c r="AK576" s="181" t="str">
        <f t="shared" si="67"/>
        <v/>
      </c>
      <c r="AL576" s="181" t="str">
        <f t="shared" si="68"/>
        <v/>
      </c>
      <c r="AM576" s="181" t="str">
        <f t="shared" si="69"/>
        <v/>
      </c>
      <c r="AN576" s="181" t="str">
        <f t="shared" si="70"/>
        <v/>
      </c>
      <c r="AO576" s="192" t="str">
        <f t="shared" si="71"/>
        <v/>
      </c>
      <c r="AQ576" t="str">
        <f>IFERROR(LOOKUP(2,1/((C_Pavement!$A$5:$A$204&lt;&gt;"")*(C_Pavement!$A$5:$A$204&lt;=$B576)*(C_Pavement!$B$5:$B$204&gt;$B576)*(C_Pavement!$C$5:$C$204&lt;&gt;"")),ROW(C_Pavement!$C$5:$C$204)-4),"")</f>
        <v/>
      </c>
      <c r="AR576" t="str">
        <f>IF($AQ576="","",UPPER(TRIM(INDEX(C_Pavement!$C$5:$C$204,$AQ576))))</f>
        <v/>
      </c>
      <c r="AS576" t="str">
        <f>IF($AR576="","",IFERROR(MATCH($AR576,E_Rules!$A$5:$A$9,0),""))</f>
        <v/>
      </c>
      <c r="AT576" t="str">
        <f>IF($AQ576="","",IF(INDEX(C_Pavement!$D$5:$D$204,$AQ576)&lt;&gt;"",UPPER(TRIM(INDEX(C_Pavement!$D$5:$D$204,$AQ576))),IF($AS576="","",INDEX(E_Rules!$C$5:$C$9,$AS576))))</f>
        <v/>
      </c>
      <c r="AU576" t="str">
        <f>IF($AQ576="","",IF(INDEX(C_Pavement!$E$5:$E$204,$AQ576)&lt;&gt;"",IF(INDEX(C_Pavement!$E$5:$E$204,$AQ576)="-","",INDEX(C_Pavement!$E$5:$E$204,$AQ576)),IF($AS576="","",INDEX(E_Rules!$D$5:$D$9,$AS576))))</f>
        <v/>
      </c>
      <c r="AV576" t="str">
        <f>IF($AQ576="","",IF(INDEX(C_Pavement!$F$5:$F$204,$AQ576)&lt;&gt;"",IF(INDEX(C_Pavement!$F$5:$F$204,$AQ576)="-","",INDEX(C_Pavement!$F$5:$F$204,$AQ576)),IF($AS576="","",INDEX(E_Rules!$E$5:$E$9,$AS576))))</f>
        <v/>
      </c>
      <c r="AW576" t="str">
        <f>IF($AQ576="","",IF(INDEX(C_Pavement!$G$5:$G$204,$AQ576)&lt;&gt;"",IF(INDEX(C_Pavement!$G$5:$G$204,$AQ576)="-","",INDEX(C_Pavement!$G$5:$G$204,$AQ576)),IF($AS576="","",INDEX(E_Rules!$F$5:$F$9,$AS576))))</f>
        <v/>
      </c>
      <c r="AX576" t="str">
        <f>IF($AQ576="","",IF(INDEX(C_Pavement!$H$5:$H$204,$AQ576)&lt;&gt;"",IF(INDEX(C_Pavement!$H$5:$H$204,$AQ576)="-","",INDEX(C_Pavement!$H$5:$H$204,$AQ576)),IF($AS576="","",INDEX(E_Rules!$G$5:$G$9,$AS576))))</f>
        <v/>
      </c>
      <c r="AY576" t="str">
        <f>IF($AQ576="","",IF(INDEX(C_Pavement!$I$5:$I$204,$AQ576)&lt;&gt;"",IF(INDEX(C_Pavement!$I$5:$I$204,$AQ576)="-","",INDEX(C_Pavement!$I$5:$I$204,$AQ576)),IF($AS576="","",INDEX(E_Rules!$H$5:$H$9,$AS576))))</f>
        <v/>
      </c>
    </row>
    <row r="577" spans="1:51" ht="15.75" customHeight="1" x14ac:dyDescent="0.3">
      <c r="A577" s="189">
        <v>572</v>
      </c>
      <c r="B577" s="180">
        <v>28550</v>
      </c>
      <c r="C577" s="180" t="s">
        <v>883</v>
      </c>
      <c r="D577" s="181" t="str">
        <f>IFERROR(LOOKUP(2,1/((A_Corridor!$A$5:$A$204&lt;&gt;"")*(A_Corridor!$A$5:$A$204&lt;=$B577)*(A_Corridor!$B$5:$B$204&gt;$B577)*(A_Corridor!$C$5:$C$204&lt;&gt;"")),IF(UPPER(A_Corridor!$C$5:$C$204)="Y",1,"")),"")</f>
        <v/>
      </c>
      <c r="E577" s="181" t="str">
        <f>IFERROR(LOOKUP(2,1/((A_Corridor!$A$5:$A$204&lt;&gt;"")*(A_Corridor!$A$5:$A$204&lt;=$B577)*(A_Corridor!$B$5:$B$204&gt;$B577)*(A_Corridor!$D$5:$D$204&lt;&gt;"")),IF(A_Corridor!$D$5:$D$204="-","",UPPER(A_Corridor!$D$5:$D$204))),"")</f>
        <v/>
      </c>
      <c r="F577" s="181" t="str">
        <f>IFERROR(LOOKUP(2,1/((A_Corridor!$A$5:$A$204&lt;&gt;"")*(A_Corridor!$A$5:$A$204&lt;=$B577)*(A_Corridor!$B$5:$B$204&gt;$B577)*(A_Corridor!$E$5:$E$204&lt;&gt;"")),IF(A_Corridor!$E$5:$E$204="-","",1)),"")</f>
        <v/>
      </c>
      <c r="G577" s="182" t="str">
        <f>IFERROR(LOOKUP(2,1/((A_Corridor!$A$5:$A$204&lt;&gt;"")*(A_Corridor!$A$5:$A$204&lt;=$B577)*(A_Corridor!$B$5:$B$204&gt;$B577)*(A_Corridor!$E$5:$E$204&lt;&gt;"")),IF(A_Corridor!$E$5:$E$204="-","",A_Corridor!$E$5:$E$204)),"")</f>
        <v/>
      </c>
      <c r="H577" s="182" t="str">
        <f>IFERROR(LOOKUP(2,1/((D_Points!$A$5:$A$204&lt;&gt;"")*(D_Points!$A$5:$A$204&gt;=$B577)*(D_Points!$A$5:$A$204&lt;$B577+P_Interval)*(UPPER(TRIM(D_Points!$B$5:$B$204))="GULLY")*(D_Points!$H$5:$H$204&lt;&gt;"")),D_Points!$H$5:$H$204),"")</f>
        <v/>
      </c>
      <c r="I577" s="181" t="str">
        <f>IFERROR(LOOKUP(2,1/((A_Corridor!$A$5:$A$204&lt;&gt;"")*(A_Corridor!$A$5:$A$204&lt;=$B577)*(A_Corridor!$B$5:$B$204&gt;$B577)*(A_Corridor!$F$5:$F$204&lt;&gt;"")),IF(A_Corridor!$F$5:$F$204="-","",1)),"")</f>
        <v/>
      </c>
      <c r="J577" s="182" t="str">
        <f>IFERROR(LOOKUP(2,1/((A_Corridor!$A$5:$A$204&lt;&gt;"")*(A_Corridor!$A$5:$A$204&lt;=$B577)*(A_Corridor!$B$5:$B$204&gt;$B577)*(A_Corridor!$F$5:$F$204&lt;&gt;"")),IF(A_Corridor!$F$5:$F$204="-","",A_Corridor!$F$5:$F$204)),"")</f>
        <v/>
      </c>
      <c r="K577" s="182" t="str">
        <f>IFERROR(LOOKUP(2,1/((A_Corridor!$A$5:$A$204&lt;&gt;"")*(A_Corridor!$A$5:$A$204&lt;=$B577)*(A_Corridor!$B$5:$B$204&gt;$B577)*(A_Corridor!$G$5:$G$204&lt;&gt;"")),IF(A_Corridor!$G$5:$G$204="-","",A_Corridor!$G$5:$G$204)),"")</f>
        <v/>
      </c>
      <c r="L577" s="181" t="str">
        <f>IFERROR(LOOKUP(2,1/((A_Corridor!$A$5:$A$204&lt;&gt;"")*(A_Corridor!$A$5:$A$204&lt;=$B577)*(A_Corridor!$B$5:$B$204&gt;$B577)*(A_Corridor!$H$5:$H$204&lt;&gt;"")),IF(A_Corridor!$H$5:$H$204="-","",1)),"")</f>
        <v/>
      </c>
      <c r="M577" s="182" t="str">
        <f>IFERROR(LOOKUP(2,1/((A_Corridor!$A$5:$A$204&lt;&gt;"")*(A_Corridor!$A$5:$A$204&lt;=$B577)*(A_Corridor!$B$5:$B$204&gt;$B577)*(A_Corridor!$H$5:$H$204&lt;&gt;"")),IF(A_Corridor!$H$5:$H$204="-","",A_Corridor!$H$5:$H$204)),"")</f>
        <v/>
      </c>
      <c r="N577" s="182" t="str">
        <f>IFERROR(LOOKUP(2,1/((A_Corridor!$A$5:$A$204&lt;&gt;"")*(A_Corridor!$A$5:$A$204&lt;=$B577)*(A_Corridor!$B$5:$B$204&gt;$B577)*(A_Corridor!$I$5:$I$204&lt;&gt;"")),IF(A_Corridor!$I$5:$I$204="-","",A_Corridor!$I$5:$I$204)),"")</f>
        <v/>
      </c>
      <c r="O577" s="182" t="str">
        <f>IFERROR(LOOKUP(2,1/((D_Points!$A$5:$A$204&lt;&gt;"")*(D_Points!$A$5:$A$204&gt;=$B577)*(D_Points!$A$5:$A$204&lt;$B577+P_Interval)*(UPPER(TRIM(D_Points!$B$5:$B$204))="PITCHING")*(D_Points!$H$5:$H$204&lt;&gt;"")),D_Points!$H$5:$H$204),"")</f>
        <v/>
      </c>
      <c r="P577" s="181" t="str">
        <f>IFERROR(LOOKUP(2,1/((B_Drainage!$A$5:$A$204&lt;&gt;"")*(B_Drainage!$A$5:$A$204&lt;=$B577)*(B_Drainage!$B$5:$B$204&gt;$B577)*(B_Drainage!$C$5:$C$204&lt;&gt;"")),IF(B_Drainage!$C$5:$C$204="-","",UPPER(B_Drainage!$C$5:$C$204))),"")</f>
        <v/>
      </c>
      <c r="Q577" s="181" t="str">
        <f>IFERROR(LOOKUP(2,1/((B_Drainage!$A$5:$A$204&lt;&gt;"")*(B_Drainage!$A$5:$A$204&lt;=$B577)*(B_Drainage!$B$5:$B$204&gt;$B577)*(B_Drainage!$D$5:$D$204&lt;&gt;"")),IF(B_Drainage!$D$5:$D$204="-","",UPPER(B_Drainage!$D$5:$D$204))),"")</f>
        <v/>
      </c>
      <c r="R577" s="182" t="str">
        <f>IFERROR(LOOKUP(2,1/((D_Points!$A$5:$A$204&lt;&gt;"")*(D_Points!$A$5:$A$204&gt;=$B577)*(D_Points!$A$5:$A$204&lt;$B577+P_Interval)*(RIGHT(UPPER(TRIM(D_Points!$B$5:$B$204)),8)="_CULVERT")),IF(LEFT(UPPER(TRIM(D_Points!$B$5:$B$204)),2)="EX",1,IF(LEFT(UPPER(TRIM(D_Points!$B$5:$B$204)),2)="PR",2,3))),"")</f>
        <v/>
      </c>
      <c r="S577" s="182" t="str">
        <f>IFERROR(LOOKUP(2,1/((D_Points!$A$5:$A$204&lt;&gt;"")*(D_Points!$A$5:$A$204&gt;=$B577)*(D_Points!$A$5:$A$204&lt;$B577+P_Interval)*(RIGHT(UPPER(TRIM(D_Points!$B$5:$B$204)),7)="_BRIDGE")),IF(LEFT(UPPER(TRIM(D_Points!$B$5:$B$204)),2)="EX",1,IF(LEFT(UPPER(TRIM(D_Points!$B$5:$B$204)),2)="PR",2,2))),"")</f>
        <v/>
      </c>
      <c r="T577" s="181" t="str">
        <f>IFERROR(LOOKUP(2,1/((B_Drainage!$A$5:$A$204&lt;&gt;"")*(B_Drainage!$A$5:$A$204&lt;=$B577)*(B_Drainage!$B$5:$B$204&gt;$B577)*(B_Drainage!$E$5:$E$204&lt;&gt;"")),IF(B_Drainage!$E$5:$E$204="-","",1)),"")</f>
        <v/>
      </c>
      <c r="U577" s="181" t="str">
        <f>IFERROR(LOOKUP(2,1/((B_Drainage!$A$5:$A$204&lt;&gt;"")*(B_Drainage!$A$5:$A$204&lt;=$B577)*(B_Drainage!$B$5:$B$204&gt;$B577)*(B_Drainage!$E$5:$E$204&lt;&gt;"")),IF(B_Drainage!$E$5:$E$204="-","",B_Drainage!$E$5:$E$204)),"")</f>
        <v/>
      </c>
      <c r="V577" s="181" t="str">
        <f>IFERROR(LOOKUP(2,1/((B_Drainage!$A$5:$A$204&lt;&gt;"")*(B_Drainage!$A$5:$A$204&lt;=$B577)*(B_Drainage!$B$5:$B$204&gt;$B577)*(B_Drainage!$F$5:$F$204&lt;&gt;"")),IF(B_Drainage!$F$5:$F$204="-","",1)),"")</f>
        <v/>
      </c>
      <c r="W577" s="181" t="str">
        <f>IFERROR(LOOKUP(2,1/((B_Drainage!$A$5:$A$204&lt;&gt;"")*(B_Drainage!$A$5:$A$204&lt;=$B577)*(B_Drainage!$B$5:$B$204&gt;$B577)*(B_Drainage!$F$5:$F$204&lt;&gt;"")),IF(B_Drainage!$F$5:$F$204="-","",B_Drainage!$F$5:$F$204)),"")</f>
        <v/>
      </c>
      <c r="X577" s="181" t="str">
        <f>IFERROR(LOOKUP(2,1/((B_Drainage!$A$5:$A$204&lt;&gt;"")*(B_Drainage!$A$5:$A$204&lt;=$B577)*(B_Drainage!$B$5:$B$204&gt;$B577)*(B_Drainage!$G$5:$G$204&lt;&gt;"")),IF(UPPER(B_Drainage!$G$5:$G$204)="Y",1,"")),"")</f>
        <v/>
      </c>
      <c r="Y577" s="181" t="str">
        <f>IFERROR(LOOKUP(2,1/((B_Drainage!$A$5:$A$204&lt;&gt;"")*(B_Drainage!$A$5:$A$204&lt;=$B577)*(B_Drainage!$B$5:$B$204&gt;$B577)*(B_Drainage!$H$5:$H$204&lt;&gt;"")),IF(UPPER(B_Drainage!$H$5:$H$204)="Y",1,"")),"")</f>
        <v/>
      </c>
      <c r="Z577" s="181" t="str">
        <f>IFERROR(LOOKUP(2,1/((B_Drainage!$A$5:$A$204&lt;&gt;"")*(B_Drainage!$A$5:$A$204&lt;=$B577)*(B_Drainage!$B$5:$B$204&gt;$B577)*(B_Drainage!$I$5:$I$204&lt;&gt;"")),IF(UPPER(B_Drainage!$I$5:$I$204)="Y",1,"")),"")</f>
        <v/>
      </c>
      <c r="AA577" s="181" t="str">
        <f>IFERROR(LOOKUP(2,1/((B_Drainage!$A$5:$A$204&lt;&gt;"")*(B_Drainage!$A$5:$A$204&lt;=$B577)*(B_Drainage!$B$5:$B$204&gt;$B577)*(B_Drainage!$J$5:$J$204&lt;&gt;"")),IF(UPPER(B_Drainage!$J$5:$J$204)="Y",1,"")),"")</f>
        <v/>
      </c>
      <c r="AB577" s="182" t="str">
        <f>IFERROR(LOOKUP(2,1/((B_Drainage!$A$5:$A$204&lt;&gt;"")*(B_Drainage!$A$5:$A$204&lt;=$B577)*(B_Drainage!$B$5:$B$204&gt;$B577)*(B_Drainage!$K$5:$K$204&lt;&gt;"")),IF(B_Drainage!$K$5:$K$204="-","",B_Drainage!$K$5:$K$204)),"")</f>
        <v/>
      </c>
      <c r="AC577" s="182" t="str">
        <f>IFERROR(LOOKUP(2,1/((B_Drainage!$A$5:$A$204&lt;&gt;"")*(B_Drainage!$A$5:$A$204&lt;=$B577)*(B_Drainage!$B$5:$B$204&gt;$B577)*(B_Drainage!$L$5:$L$204&lt;&gt;"")),IF(B_Drainage!$L$5:$L$204="-","",B_Drainage!$L$5:$L$204)),"")</f>
        <v/>
      </c>
      <c r="AD577" s="182" t="str">
        <f>IFERROR(LOOKUP(2,1/((D_Points!$A$5:$A$204&lt;&gt;"")*(D_Points!$A$5:$A$204&gt;=$B577)*(D_Points!$A$5:$A$204&lt;$B577+P_Interval)*(UPPER(TRIM(D_Points!$B$5:$B$204))="TURNOUT_L")*(D_Points!$H$5:$H$204&lt;&gt;"")),D_Points!$H$5:$H$204),"")</f>
        <v/>
      </c>
      <c r="AE577" s="182" t="str">
        <f>IFERROR(LOOKUP(2,1/((D_Points!$A$5:$A$204&lt;&gt;"")*(D_Points!$A$5:$A$204&gt;=$B577)*(D_Points!$A$5:$A$204&lt;$B577+P_Interval)*(UPPER(TRIM(D_Points!$B$5:$B$204))="TURNOUT_R")*(D_Points!$H$5:$H$204&lt;&gt;"")),D_Points!$H$5:$H$204),"")</f>
        <v/>
      </c>
      <c r="AF577" s="181" t="str">
        <f>IFERROR(LOOKUP(2,1/((B_Drainage!$A$5:$A$204&lt;&gt;"")*(B_Drainage!$A$5:$A$204&lt;=$B577)*(B_Drainage!$B$5:$B$204&gt;$B577)*(B_Drainage!$M$5:$M$204&lt;&gt;"")),IF(UPPER(B_Drainage!$M$5:$M$204)="Y",1,"")),"")</f>
        <v/>
      </c>
      <c r="AG577" s="181" t="str">
        <f>IFERROR(LOOKUP(2,1/((B_Drainage!$A$5:$A$204&lt;&gt;"")*(B_Drainage!$A$5:$A$204&lt;=$B577)*(B_Drainage!$B$5:$B$204&gt;$B577)*(B_Drainage!$N$5:$N$204&lt;&gt;"")),IF(UPPER(B_Drainage!$N$5:$N$204)="Y",1,"")),"")</f>
        <v/>
      </c>
      <c r="AH577" s="181" t="str">
        <f t="shared" si="64"/>
        <v/>
      </c>
      <c r="AI577" s="181" t="str">
        <f t="shared" si="65"/>
        <v/>
      </c>
      <c r="AJ577" s="181" t="str">
        <f t="shared" si="66"/>
        <v/>
      </c>
      <c r="AK577" s="181" t="str">
        <f t="shared" si="67"/>
        <v/>
      </c>
      <c r="AL577" s="181" t="str">
        <f t="shared" si="68"/>
        <v/>
      </c>
      <c r="AM577" s="181" t="str">
        <f t="shared" si="69"/>
        <v/>
      </c>
      <c r="AN577" s="181" t="str">
        <f t="shared" si="70"/>
        <v/>
      </c>
      <c r="AO577" s="192" t="str">
        <f t="shared" si="71"/>
        <v/>
      </c>
      <c r="AQ577" t="str">
        <f>IFERROR(LOOKUP(2,1/((C_Pavement!$A$5:$A$204&lt;&gt;"")*(C_Pavement!$A$5:$A$204&lt;=$B577)*(C_Pavement!$B$5:$B$204&gt;$B577)*(C_Pavement!$C$5:$C$204&lt;&gt;"")),ROW(C_Pavement!$C$5:$C$204)-4),"")</f>
        <v/>
      </c>
      <c r="AR577" t="str">
        <f>IF($AQ577="","",UPPER(TRIM(INDEX(C_Pavement!$C$5:$C$204,$AQ577))))</f>
        <v/>
      </c>
      <c r="AS577" t="str">
        <f>IF($AR577="","",IFERROR(MATCH($AR577,E_Rules!$A$5:$A$9,0),""))</f>
        <v/>
      </c>
      <c r="AT577" t="str">
        <f>IF($AQ577="","",IF(INDEX(C_Pavement!$D$5:$D$204,$AQ577)&lt;&gt;"",UPPER(TRIM(INDEX(C_Pavement!$D$5:$D$204,$AQ577))),IF($AS577="","",INDEX(E_Rules!$C$5:$C$9,$AS577))))</f>
        <v/>
      </c>
      <c r="AU577" t="str">
        <f>IF($AQ577="","",IF(INDEX(C_Pavement!$E$5:$E$204,$AQ577)&lt;&gt;"",IF(INDEX(C_Pavement!$E$5:$E$204,$AQ577)="-","",INDEX(C_Pavement!$E$5:$E$204,$AQ577)),IF($AS577="","",INDEX(E_Rules!$D$5:$D$9,$AS577))))</f>
        <v/>
      </c>
      <c r="AV577" t="str">
        <f>IF($AQ577="","",IF(INDEX(C_Pavement!$F$5:$F$204,$AQ577)&lt;&gt;"",IF(INDEX(C_Pavement!$F$5:$F$204,$AQ577)="-","",INDEX(C_Pavement!$F$5:$F$204,$AQ577)),IF($AS577="","",INDEX(E_Rules!$E$5:$E$9,$AS577))))</f>
        <v/>
      </c>
      <c r="AW577" t="str">
        <f>IF($AQ577="","",IF(INDEX(C_Pavement!$G$5:$G$204,$AQ577)&lt;&gt;"",IF(INDEX(C_Pavement!$G$5:$G$204,$AQ577)="-","",INDEX(C_Pavement!$G$5:$G$204,$AQ577)),IF($AS577="","",INDEX(E_Rules!$F$5:$F$9,$AS577))))</f>
        <v/>
      </c>
      <c r="AX577" t="str">
        <f>IF($AQ577="","",IF(INDEX(C_Pavement!$H$5:$H$204,$AQ577)&lt;&gt;"",IF(INDEX(C_Pavement!$H$5:$H$204,$AQ577)="-","",INDEX(C_Pavement!$H$5:$H$204,$AQ577)),IF($AS577="","",INDEX(E_Rules!$G$5:$G$9,$AS577))))</f>
        <v/>
      </c>
      <c r="AY577" t="str">
        <f>IF($AQ577="","",IF(INDEX(C_Pavement!$I$5:$I$204,$AQ577)&lt;&gt;"",IF(INDEX(C_Pavement!$I$5:$I$204,$AQ577)="-","",INDEX(C_Pavement!$I$5:$I$204,$AQ577)),IF($AS577="","",INDEX(E_Rules!$H$5:$H$9,$AS577))))</f>
        <v/>
      </c>
    </row>
    <row r="578" spans="1:51" ht="15.75" customHeight="1" x14ac:dyDescent="0.3">
      <c r="A578" s="189">
        <v>573</v>
      </c>
      <c r="B578" s="180">
        <v>28600</v>
      </c>
      <c r="C578" s="180" t="s">
        <v>884</v>
      </c>
      <c r="D578" s="181" t="str">
        <f>IFERROR(LOOKUP(2,1/((A_Corridor!$A$5:$A$204&lt;&gt;"")*(A_Corridor!$A$5:$A$204&lt;=$B578)*(A_Corridor!$B$5:$B$204&gt;$B578)*(A_Corridor!$C$5:$C$204&lt;&gt;"")),IF(UPPER(A_Corridor!$C$5:$C$204)="Y",1,"")),"")</f>
        <v/>
      </c>
      <c r="E578" s="181" t="str">
        <f>IFERROR(LOOKUP(2,1/((A_Corridor!$A$5:$A$204&lt;&gt;"")*(A_Corridor!$A$5:$A$204&lt;=$B578)*(A_Corridor!$B$5:$B$204&gt;$B578)*(A_Corridor!$D$5:$D$204&lt;&gt;"")),IF(A_Corridor!$D$5:$D$204="-","",UPPER(A_Corridor!$D$5:$D$204))),"")</f>
        <v/>
      </c>
      <c r="F578" s="181" t="str">
        <f>IFERROR(LOOKUP(2,1/((A_Corridor!$A$5:$A$204&lt;&gt;"")*(A_Corridor!$A$5:$A$204&lt;=$B578)*(A_Corridor!$B$5:$B$204&gt;$B578)*(A_Corridor!$E$5:$E$204&lt;&gt;"")),IF(A_Corridor!$E$5:$E$204="-","",1)),"")</f>
        <v/>
      </c>
      <c r="G578" s="182" t="str">
        <f>IFERROR(LOOKUP(2,1/((A_Corridor!$A$5:$A$204&lt;&gt;"")*(A_Corridor!$A$5:$A$204&lt;=$B578)*(A_Corridor!$B$5:$B$204&gt;$B578)*(A_Corridor!$E$5:$E$204&lt;&gt;"")),IF(A_Corridor!$E$5:$E$204="-","",A_Corridor!$E$5:$E$204)),"")</f>
        <v/>
      </c>
      <c r="H578" s="182" t="str">
        <f>IFERROR(LOOKUP(2,1/((D_Points!$A$5:$A$204&lt;&gt;"")*(D_Points!$A$5:$A$204&gt;=$B578)*(D_Points!$A$5:$A$204&lt;$B578+P_Interval)*(UPPER(TRIM(D_Points!$B$5:$B$204))="GULLY")*(D_Points!$H$5:$H$204&lt;&gt;"")),D_Points!$H$5:$H$204),"")</f>
        <v/>
      </c>
      <c r="I578" s="181" t="str">
        <f>IFERROR(LOOKUP(2,1/((A_Corridor!$A$5:$A$204&lt;&gt;"")*(A_Corridor!$A$5:$A$204&lt;=$B578)*(A_Corridor!$B$5:$B$204&gt;$B578)*(A_Corridor!$F$5:$F$204&lt;&gt;"")),IF(A_Corridor!$F$5:$F$204="-","",1)),"")</f>
        <v/>
      </c>
      <c r="J578" s="182" t="str">
        <f>IFERROR(LOOKUP(2,1/((A_Corridor!$A$5:$A$204&lt;&gt;"")*(A_Corridor!$A$5:$A$204&lt;=$B578)*(A_Corridor!$B$5:$B$204&gt;$B578)*(A_Corridor!$F$5:$F$204&lt;&gt;"")),IF(A_Corridor!$F$5:$F$204="-","",A_Corridor!$F$5:$F$204)),"")</f>
        <v/>
      </c>
      <c r="K578" s="182" t="str">
        <f>IFERROR(LOOKUP(2,1/((A_Corridor!$A$5:$A$204&lt;&gt;"")*(A_Corridor!$A$5:$A$204&lt;=$B578)*(A_Corridor!$B$5:$B$204&gt;$B578)*(A_Corridor!$G$5:$G$204&lt;&gt;"")),IF(A_Corridor!$G$5:$G$204="-","",A_Corridor!$G$5:$G$204)),"")</f>
        <v/>
      </c>
      <c r="L578" s="181" t="str">
        <f>IFERROR(LOOKUP(2,1/((A_Corridor!$A$5:$A$204&lt;&gt;"")*(A_Corridor!$A$5:$A$204&lt;=$B578)*(A_Corridor!$B$5:$B$204&gt;$B578)*(A_Corridor!$H$5:$H$204&lt;&gt;"")),IF(A_Corridor!$H$5:$H$204="-","",1)),"")</f>
        <v/>
      </c>
      <c r="M578" s="182" t="str">
        <f>IFERROR(LOOKUP(2,1/((A_Corridor!$A$5:$A$204&lt;&gt;"")*(A_Corridor!$A$5:$A$204&lt;=$B578)*(A_Corridor!$B$5:$B$204&gt;$B578)*(A_Corridor!$H$5:$H$204&lt;&gt;"")),IF(A_Corridor!$H$5:$H$204="-","",A_Corridor!$H$5:$H$204)),"")</f>
        <v/>
      </c>
      <c r="N578" s="182" t="str">
        <f>IFERROR(LOOKUP(2,1/((A_Corridor!$A$5:$A$204&lt;&gt;"")*(A_Corridor!$A$5:$A$204&lt;=$B578)*(A_Corridor!$B$5:$B$204&gt;$B578)*(A_Corridor!$I$5:$I$204&lt;&gt;"")),IF(A_Corridor!$I$5:$I$204="-","",A_Corridor!$I$5:$I$204)),"")</f>
        <v/>
      </c>
      <c r="O578" s="182" t="str">
        <f>IFERROR(LOOKUP(2,1/((D_Points!$A$5:$A$204&lt;&gt;"")*(D_Points!$A$5:$A$204&gt;=$B578)*(D_Points!$A$5:$A$204&lt;$B578+P_Interval)*(UPPER(TRIM(D_Points!$B$5:$B$204))="PITCHING")*(D_Points!$H$5:$H$204&lt;&gt;"")),D_Points!$H$5:$H$204),"")</f>
        <v/>
      </c>
      <c r="P578" s="181" t="str">
        <f>IFERROR(LOOKUP(2,1/((B_Drainage!$A$5:$A$204&lt;&gt;"")*(B_Drainage!$A$5:$A$204&lt;=$B578)*(B_Drainage!$B$5:$B$204&gt;$B578)*(B_Drainage!$C$5:$C$204&lt;&gt;"")),IF(B_Drainage!$C$5:$C$204="-","",UPPER(B_Drainage!$C$5:$C$204))),"")</f>
        <v/>
      </c>
      <c r="Q578" s="181" t="str">
        <f>IFERROR(LOOKUP(2,1/((B_Drainage!$A$5:$A$204&lt;&gt;"")*(B_Drainage!$A$5:$A$204&lt;=$B578)*(B_Drainage!$B$5:$B$204&gt;$B578)*(B_Drainage!$D$5:$D$204&lt;&gt;"")),IF(B_Drainage!$D$5:$D$204="-","",UPPER(B_Drainage!$D$5:$D$204))),"")</f>
        <v/>
      </c>
      <c r="R578" s="182" t="str">
        <f>IFERROR(LOOKUP(2,1/((D_Points!$A$5:$A$204&lt;&gt;"")*(D_Points!$A$5:$A$204&gt;=$B578)*(D_Points!$A$5:$A$204&lt;$B578+P_Interval)*(RIGHT(UPPER(TRIM(D_Points!$B$5:$B$204)),8)="_CULVERT")),IF(LEFT(UPPER(TRIM(D_Points!$B$5:$B$204)),2)="EX",1,IF(LEFT(UPPER(TRIM(D_Points!$B$5:$B$204)),2)="PR",2,3))),"")</f>
        <v/>
      </c>
      <c r="S578" s="182" t="str">
        <f>IFERROR(LOOKUP(2,1/((D_Points!$A$5:$A$204&lt;&gt;"")*(D_Points!$A$5:$A$204&gt;=$B578)*(D_Points!$A$5:$A$204&lt;$B578+P_Interval)*(RIGHT(UPPER(TRIM(D_Points!$B$5:$B$204)),7)="_BRIDGE")),IF(LEFT(UPPER(TRIM(D_Points!$B$5:$B$204)),2)="EX",1,IF(LEFT(UPPER(TRIM(D_Points!$B$5:$B$204)),2)="PR",2,2))),"")</f>
        <v/>
      </c>
      <c r="T578" s="181" t="str">
        <f>IFERROR(LOOKUP(2,1/((B_Drainage!$A$5:$A$204&lt;&gt;"")*(B_Drainage!$A$5:$A$204&lt;=$B578)*(B_Drainage!$B$5:$B$204&gt;$B578)*(B_Drainage!$E$5:$E$204&lt;&gt;"")),IF(B_Drainage!$E$5:$E$204="-","",1)),"")</f>
        <v/>
      </c>
      <c r="U578" s="181" t="str">
        <f>IFERROR(LOOKUP(2,1/((B_Drainage!$A$5:$A$204&lt;&gt;"")*(B_Drainage!$A$5:$A$204&lt;=$B578)*(B_Drainage!$B$5:$B$204&gt;$B578)*(B_Drainage!$E$5:$E$204&lt;&gt;"")),IF(B_Drainage!$E$5:$E$204="-","",B_Drainage!$E$5:$E$204)),"")</f>
        <v/>
      </c>
      <c r="V578" s="181" t="str">
        <f>IFERROR(LOOKUP(2,1/((B_Drainage!$A$5:$A$204&lt;&gt;"")*(B_Drainage!$A$5:$A$204&lt;=$B578)*(B_Drainage!$B$5:$B$204&gt;$B578)*(B_Drainage!$F$5:$F$204&lt;&gt;"")),IF(B_Drainage!$F$5:$F$204="-","",1)),"")</f>
        <v/>
      </c>
      <c r="W578" s="181" t="str">
        <f>IFERROR(LOOKUP(2,1/((B_Drainage!$A$5:$A$204&lt;&gt;"")*(B_Drainage!$A$5:$A$204&lt;=$B578)*(B_Drainage!$B$5:$B$204&gt;$B578)*(B_Drainage!$F$5:$F$204&lt;&gt;"")),IF(B_Drainage!$F$5:$F$204="-","",B_Drainage!$F$5:$F$204)),"")</f>
        <v/>
      </c>
      <c r="X578" s="181" t="str">
        <f>IFERROR(LOOKUP(2,1/((B_Drainage!$A$5:$A$204&lt;&gt;"")*(B_Drainage!$A$5:$A$204&lt;=$B578)*(B_Drainage!$B$5:$B$204&gt;$B578)*(B_Drainage!$G$5:$G$204&lt;&gt;"")),IF(UPPER(B_Drainage!$G$5:$G$204)="Y",1,"")),"")</f>
        <v/>
      </c>
      <c r="Y578" s="181" t="str">
        <f>IFERROR(LOOKUP(2,1/((B_Drainage!$A$5:$A$204&lt;&gt;"")*(B_Drainage!$A$5:$A$204&lt;=$B578)*(B_Drainage!$B$5:$B$204&gt;$B578)*(B_Drainage!$H$5:$H$204&lt;&gt;"")),IF(UPPER(B_Drainage!$H$5:$H$204)="Y",1,"")),"")</f>
        <v/>
      </c>
      <c r="Z578" s="181" t="str">
        <f>IFERROR(LOOKUP(2,1/((B_Drainage!$A$5:$A$204&lt;&gt;"")*(B_Drainage!$A$5:$A$204&lt;=$B578)*(B_Drainage!$B$5:$B$204&gt;$B578)*(B_Drainage!$I$5:$I$204&lt;&gt;"")),IF(UPPER(B_Drainage!$I$5:$I$204)="Y",1,"")),"")</f>
        <v/>
      </c>
      <c r="AA578" s="181" t="str">
        <f>IFERROR(LOOKUP(2,1/((B_Drainage!$A$5:$A$204&lt;&gt;"")*(B_Drainage!$A$5:$A$204&lt;=$B578)*(B_Drainage!$B$5:$B$204&gt;$B578)*(B_Drainage!$J$5:$J$204&lt;&gt;"")),IF(UPPER(B_Drainage!$J$5:$J$204)="Y",1,"")),"")</f>
        <v/>
      </c>
      <c r="AB578" s="182" t="str">
        <f>IFERROR(LOOKUP(2,1/((B_Drainage!$A$5:$A$204&lt;&gt;"")*(B_Drainage!$A$5:$A$204&lt;=$B578)*(B_Drainage!$B$5:$B$204&gt;$B578)*(B_Drainage!$K$5:$K$204&lt;&gt;"")),IF(B_Drainage!$K$5:$K$204="-","",B_Drainage!$K$5:$K$204)),"")</f>
        <v/>
      </c>
      <c r="AC578" s="182" t="str">
        <f>IFERROR(LOOKUP(2,1/((B_Drainage!$A$5:$A$204&lt;&gt;"")*(B_Drainage!$A$5:$A$204&lt;=$B578)*(B_Drainage!$B$5:$B$204&gt;$B578)*(B_Drainage!$L$5:$L$204&lt;&gt;"")),IF(B_Drainage!$L$5:$L$204="-","",B_Drainage!$L$5:$L$204)),"")</f>
        <v/>
      </c>
      <c r="AD578" s="182" t="str">
        <f>IFERROR(LOOKUP(2,1/((D_Points!$A$5:$A$204&lt;&gt;"")*(D_Points!$A$5:$A$204&gt;=$B578)*(D_Points!$A$5:$A$204&lt;$B578+P_Interval)*(UPPER(TRIM(D_Points!$B$5:$B$204))="TURNOUT_L")*(D_Points!$H$5:$H$204&lt;&gt;"")),D_Points!$H$5:$H$204),"")</f>
        <v/>
      </c>
      <c r="AE578" s="182" t="str">
        <f>IFERROR(LOOKUP(2,1/((D_Points!$A$5:$A$204&lt;&gt;"")*(D_Points!$A$5:$A$204&gt;=$B578)*(D_Points!$A$5:$A$204&lt;$B578+P_Interval)*(UPPER(TRIM(D_Points!$B$5:$B$204))="TURNOUT_R")*(D_Points!$H$5:$H$204&lt;&gt;"")),D_Points!$H$5:$H$204),"")</f>
        <v/>
      </c>
      <c r="AF578" s="181" t="str">
        <f>IFERROR(LOOKUP(2,1/((B_Drainage!$A$5:$A$204&lt;&gt;"")*(B_Drainage!$A$5:$A$204&lt;=$B578)*(B_Drainage!$B$5:$B$204&gt;$B578)*(B_Drainage!$M$5:$M$204&lt;&gt;"")),IF(UPPER(B_Drainage!$M$5:$M$204)="Y",1,"")),"")</f>
        <v/>
      </c>
      <c r="AG578" s="181" t="str">
        <f>IFERROR(LOOKUP(2,1/((B_Drainage!$A$5:$A$204&lt;&gt;"")*(B_Drainage!$A$5:$A$204&lt;=$B578)*(B_Drainage!$B$5:$B$204&gt;$B578)*(B_Drainage!$N$5:$N$204&lt;&gt;"")),IF(UPPER(B_Drainage!$N$5:$N$204)="Y",1,"")),"")</f>
        <v/>
      </c>
      <c r="AH578" s="181" t="str">
        <f t="shared" si="64"/>
        <v/>
      </c>
      <c r="AI578" s="181" t="str">
        <f t="shared" si="65"/>
        <v/>
      </c>
      <c r="AJ578" s="181" t="str">
        <f t="shared" si="66"/>
        <v/>
      </c>
      <c r="AK578" s="181" t="str">
        <f t="shared" si="67"/>
        <v/>
      </c>
      <c r="AL578" s="181" t="str">
        <f t="shared" si="68"/>
        <v/>
      </c>
      <c r="AM578" s="181" t="str">
        <f t="shared" si="69"/>
        <v/>
      </c>
      <c r="AN578" s="181" t="str">
        <f t="shared" si="70"/>
        <v/>
      </c>
      <c r="AO578" s="192" t="str">
        <f t="shared" si="71"/>
        <v/>
      </c>
      <c r="AQ578" t="str">
        <f>IFERROR(LOOKUP(2,1/((C_Pavement!$A$5:$A$204&lt;&gt;"")*(C_Pavement!$A$5:$A$204&lt;=$B578)*(C_Pavement!$B$5:$B$204&gt;$B578)*(C_Pavement!$C$5:$C$204&lt;&gt;"")),ROW(C_Pavement!$C$5:$C$204)-4),"")</f>
        <v/>
      </c>
      <c r="AR578" t="str">
        <f>IF($AQ578="","",UPPER(TRIM(INDEX(C_Pavement!$C$5:$C$204,$AQ578))))</f>
        <v/>
      </c>
      <c r="AS578" t="str">
        <f>IF($AR578="","",IFERROR(MATCH($AR578,E_Rules!$A$5:$A$9,0),""))</f>
        <v/>
      </c>
      <c r="AT578" t="str">
        <f>IF($AQ578="","",IF(INDEX(C_Pavement!$D$5:$D$204,$AQ578)&lt;&gt;"",UPPER(TRIM(INDEX(C_Pavement!$D$5:$D$204,$AQ578))),IF($AS578="","",INDEX(E_Rules!$C$5:$C$9,$AS578))))</f>
        <v/>
      </c>
      <c r="AU578" t="str">
        <f>IF($AQ578="","",IF(INDEX(C_Pavement!$E$5:$E$204,$AQ578)&lt;&gt;"",IF(INDEX(C_Pavement!$E$5:$E$204,$AQ578)="-","",INDEX(C_Pavement!$E$5:$E$204,$AQ578)),IF($AS578="","",INDEX(E_Rules!$D$5:$D$9,$AS578))))</f>
        <v/>
      </c>
      <c r="AV578" t="str">
        <f>IF($AQ578="","",IF(INDEX(C_Pavement!$F$5:$F$204,$AQ578)&lt;&gt;"",IF(INDEX(C_Pavement!$F$5:$F$204,$AQ578)="-","",INDEX(C_Pavement!$F$5:$F$204,$AQ578)),IF($AS578="","",INDEX(E_Rules!$E$5:$E$9,$AS578))))</f>
        <v/>
      </c>
      <c r="AW578" t="str">
        <f>IF($AQ578="","",IF(INDEX(C_Pavement!$G$5:$G$204,$AQ578)&lt;&gt;"",IF(INDEX(C_Pavement!$G$5:$G$204,$AQ578)="-","",INDEX(C_Pavement!$G$5:$G$204,$AQ578)),IF($AS578="","",INDEX(E_Rules!$F$5:$F$9,$AS578))))</f>
        <v/>
      </c>
      <c r="AX578" t="str">
        <f>IF($AQ578="","",IF(INDEX(C_Pavement!$H$5:$H$204,$AQ578)&lt;&gt;"",IF(INDEX(C_Pavement!$H$5:$H$204,$AQ578)="-","",INDEX(C_Pavement!$H$5:$H$204,$AQ578)),IF($AS578="","",INDEX(E_Rules!$G$5:$G$9,$AS578))))</f>
        <v/>
      </c>
      <c r="AY578" t="str">
        <f>IF($AQ578="","",IF(INDEX(C_Pavement!$I$5:$I$204,$AQ578)&lt;&gt;"",IF(INDEX(C_Pavement!$I$5:$I$204,$AQ578)="-","",INDEX(C_Pavement!$I$5:$I$204,$AQ578)),IF($AS578="","",INDEX(E_Rules!$H$5:$H$9,$AS578))))</f>
        <v/>
      </c>
    </row>
    <row r="579" spans="1:51" ht="15.75" customHeight="1" x14ac:dyDescent="0.3">
      <c r="A579" s="189">
        <v>574</v>
      </c>
      <c r="B579" s="180">
        <v>28650</v>
      </c>
      <c r="C579" s="180" t="s">
        <v>885</v>
      </c>
      <c r="D579" s="181" t="str">
        <f>IFERROR(LOOKUP(2,1/((A_Corridor!$A$5:$A$204&lt;&gt;"")*(A_Corridor!$A$5:$A$204&lt;=$B579)*(A_Corridor!$B$5:$B$204&gt;$B579)*(A_Corridor!$C$5:$C$204&lt;&gt;"")),IF(UPPER(A_Corridor!$C$5:$C$204)="Y",1,"")),"")</f>
        <v/>
      </c>
      <c r="E579" s="181" t="str">
        <f>IFERROR(LOOKUP(2,1/((A_Corridor!$A$5:$A$204&lt;&gt;"")*(A_Corridor!$A$5:$A$204&lt;=$B579)*(A_Corridor!$B$5:$B$204&gt;$B579)*(A_Corridor!$D$5:$D$204&lt;&gt;"")),IF(A_Corridor!$D$5:$D$204="-","",UPPER(A_Corridor!$D$5:$D$204))),"")</f>
        <v/>
      </c>
      <c r="F579" s="181" t="str">
        <f>IFERROR(LOOKUP(2,1/((A_Corridor!$A$5:$A$204&lt;&gt;"")*(A_Corridor!$A$5:$A$204&lt;=$B579)*(A_Corridor!$B$5:$B$204&gt;$B579)*(A_Corridor!$E$5:$E$204&lt;&gt;"")),IF(A_Corridor!$E$5:$E$204="-","",1)),"")</f>
        <v/>
      </c>
      <c r="G579" s="182" t="str">
        <f>IFERROR(LOOKUP(2,1/((A_Corridor!$A$5:$A$204&lt;&gt;"")*(A_Corridor!$A$5:$A$204&lt;=$B579)*(A_Corridor!$B$5:$B$204&gt;$B579)*(A_Corridor!$E$5:$E$204&lt;&gt;"")),IF(A_Corridor!$E$5:$E$204="-","",A_Corridor!$E$5:$E$204)),"")</f>
        <v/>
      </c>
      <c r="H579" s="182" t="str">
        <f>IFERROR(LOOKUP(2,1/((D_Points!$A$5:$A$204&lt;&gt;"")*(D_Points!$A$5:$A$204&gt;=$B579)*(D_Points!$A$5:$A$204&lt;$B579+P_Interval)*(UPPER(TRIM(D_Points!$B$5:$B$204))="GULLY")*(D_Points!$H$5:$H$204&lt;&gt;"")),D_Points!$H$5:$H$204),"")</f>
        <v/>
      </c>
      <c r="I579" s="181" t="str">
        <f>IFERROR(LOOKUP(2,1/((A_Corridor!$A$5:$A$204&lt;&gt;"")*(A_Corridor!$A$5:$A$204&lt;=$B579)*(A_Corridor!$B$5:$B$204&gt;$B579)*(A_Corridor!$F$5:$F$204&lt;&gt;"")),IF(A_Corridor!$F$5:$F$204="-","",1)),"")</f>
        <v/>
      </c>
      <c r="J579" s="182" t="str">
        <f>IFERROR(LOOKUP(2,1/((A_Corridor!$A$5:$A$204&lt;&gt;"")*(A_Corridor!$A$5:$A$204&lt;=$B579)*(A_Corridor!$B$5:$B$204&gt;$B579)*(A_Corridor!$F$5:$F$204&lt;&gt;"")),IF(A_Corridor!$F$5:$F$204="-","",A_Corridor!$F$5:$F$204)),"")</f>
        <v/>
      </c>
      <c r="K579" s="182" t="str">
        <f>IFERROR(LOOKUP(2,1/((A_Corridor!$A$5:$A$204&lt;&gt;"")*(A_Corridor!$A$5:$A$204&lt;=$B579)*(A_Corridor!$B$5:$B$204&gt;$B579)*(A_Corridor!$G$5:$G$204&lt;&gt;"")),IF(A_Corridor!$G$5:$G$204="-","",A_Corridor!$G$5:$G$204)),"")</f>
        <v/>
      </c>
      <c r="L579" s="181" t="str">
        <f>IFERROR(LOOKUP(2,1/((A_Corridor!$A$5:$A$204&lt;&gt;"")*(A_Corridor!$A$5:$A$204&lt;=$B579)*(A_Corridor!$B$5:$B$204&gt;$B579)*(A_Corridor!$H$5:$H$204&lt;&gt;"")),IF(A_Corridor!$H$5:$H$204="-","",1)),"")</f>
        <v/>
      </c>
      <c r="M579" s="182" t="str">
        <f>IFERROR(LOOKUP(2,1/((A_Corridor!$A$5:$A$204&lt;&gt;"")*(A_Corridor!$A$5:$A$204&lt;=$B579)*(A_Corridor!$B$5:$B$204&gt;$B579)*(A_Corridor!$H$5:$H$204&lt;&gt;"")),IF(A_Corridor!$H$5:$H$204="-","",A_Corridor!$H$5:$H$204)),"")</f>
        <v/>
      </c>
      <c r="N579" s="182" t="str">
        <f>IFERROR(LOOKUP(2,1/((A_Corridor!$A$5:$A$204&lt;&gt;"")*(A_Corridor!$A$5:$A$204&lt;=$B579)*(A_Corridor!$B$5:$B$204&gt;$B579)*(A_Corridor!$I$5:$I$204&lt;&gt;"")),IF(A_Corridor!$I$5:$I$204="-","",A_Corridor!$I$5:$I$204)),"")</f>
        <v/>
      </c>
      <c r="O579" s="182" t="str">
        <f>IFERROR(LOOKUP(2,1/((D_Points!$A$5:$A$204&lt;&gt;"")*(D_Points!$A$5:$A$204&gt;=$B579)*(D_Points!$A$5:$A$204&lt;$B579+P_Interval)*(UPPER(TRIM(D_Points!$B$5:$B$204))="PITCHING")*(D_Points!$H$5:$H$204&lt;&gt;"")),D_Points!$H$5:$H$204),"")</f>
        <v/>
      </c>
      <c r="P579" s="181" t="str">
        <f>IFERROR(LOOKUP(2,1/((B_Drainage!$A$5:$A$204&lt;&gt;"")*(B_Drainage!$A$5:$A$204&lt;=$B579)*(B_Drainage!$B$5:$B$204&gt;$B579)*(B_Drainage!$C$5:$C$204&lt;&gt;"")),IF(B_Drainage!$C$5:$C$204="-","",UPPER(B_Drainage!$C$5:$C$204))),"")</f>
        <v/>
      </c>
      <c r="Q579" s="181" t="str">
        <f>IFERROR(LOOKUP(2,1/((B_Drainage!$A$5:$A$204&lt;&gt;"")*(B_Drainage!$A$5:$A$204&lt;=$B579)*(B_Drainage!$B$5:$B$204&gt;$B579)*(B_Drainage!$D$5:$D$204&lt;&gt;"")),IF(B_Drainage!$D$5:$D$204="-","",UPPER(B_Drainage!$D$5:$D$204))),"")</f>
        <v/>
      </c>
      <c r="R579" s="182" t="str">
        <f>IFERROR(LOOKUP(2,1/((D_Points!$A$5:$A$204&lt;&gt;"")*(D_Points!$A$5:$A$204&gt;=$B579)*(D_Points!$A$5:$A$204&lt;$B579+P_Interval)*(RIGHT(UPPER(TRIM(D_Points!$B$5:$B$204)),8)="_CULVERT")),IF(LEFT(UPPER(TRIM(D_Points!$B$5:$B$204)),2)="EX",1,IF(LEFT(UPPER(TRIM(D_Points!$B$5:$B$204)),2)="PR",2,3))),"")</f>
        <v/>
      </c>
      <c r="S579" s="182" t="str">
        <f>IFERROR(LOOKUP(2,1/((D_Points!$A$5:$A$204&lt;&gt;"")*(D_Points!$A$5:$A$204&gt;=$B579)*(D_Points!$A$5:$A$204&lt;$B579+P_Interval)*(RIGHT(UPPER(TRIM(D_Points!$B$5:$B$204)),7)="_BRIDGE")),IF(LEFT(UPPER(TRIM(D_Points!$B$5:$B$204)),2)="EX",1,IF(LEFT(UPPER(TRIM(D_Points!$B$5:$B$204)),2)="PR",2,2))),"")</f>
        <v/>
      </c>
      <c r="T579" s="181" t="str">
        <f>IFERROR(LOOKUP(2,1/((B_Drainage!$A$5:$A$204&lt;&gt;"")*(B_Drainage!$A$5:$A$204&lt;=$B579)*(B_Drainage!$B$5:$B$204&gt;$B579)*(B_Drainage!$E$5:$E$204&lt;&gt;"")),IF(B_Drainage!$E$5:$E$204="-","",1)),"")</f>
        <v/>
      </c>
      <c r="U579" s="181" t="str">
        <f>IFERROR(LOOKUP(2,1/((B_Drainage!$A$5:$A$204&lt;&gt;"")*(B_Drainage!$A$5:$A$204&lt;=$B579)*(B_Drainage!$B$5:$B$204&gt;$B579)*(B_Drainage!$E$5:$E$204&lt;&gt;"")),IF(B_Drainage!$E$5:$E$204="-","",B_Drainage!$E$5:$E$204)),"")</f>
        <v/>
      </c>
      <c r="V579" s="181" t="str">
        <f>IFERROR(LOOKUP(2,1/((B_Drainage!$A$5:$A$204&lt;&gt;"")*(B_Drainage!$A$5:$A$204&lt;=$B579)*(B_Drainage!$B$5:$B$204&gt;$B579)*(B_Drainage!$F$5:$F$204&lt;&gt;"")),IF(B_Drainage!$F$5:$F$204="-","",1)),"")</f>
        <v/>
      </c>
      <c r="W579" s="181" t="str">
        <f>IFERROR(LOOKUP(2,1/((B_Drainage!$A$5:$A$204&lt;&gt;"")*(B_Drainage!$A$5:$A$204&lt;=$B579)*(B_Drainage!$B$5:$B$204&gt;$B579)*(B_Drainage!$F$5:$F$204&lt;&gt;"")),IF(B_Drainage!$F$5:$F$204="-","",B_Drainage!$F$5:$F$204)),"")</f>
        <v/>
      </c>
      <c r="X579" s="181" t="str">
        <f>IFERROR(LOOKUP(2,1/((B_Drainage!$A$5:$A$204&lt;&gt;"")*(B_Drainage!$A$5:$A$204&lt;=$B579)*(B_Drainage!$B$5:$B$204&gt;$B579)*(B_Drainage!$G$5:$G$204&lt;&gt;"")),IF(UPPER(B_Drainage!$G$5:$G$204)="Y",1,"")),"")</f>
        <v/>
      </c>
      <c r="Y579" s="181" t="str">
        <f>IFERROR(LOOKUP(2,1/((B_Drainage!$A$5:$A$204&lt;&gt;"")*(B_Drainage!$A$5:$A$204&lt;=$B579)*(B_Drainage!$B$5:$B$204&gt;$B579)*(B_Drainage!$H$5:$H$204&lt;&gt;"")),IF(UPPER(B_Drainage!$H$5:$H$204)="Y",1,"")),"")</f>
        <v/>
      </c>
      <c r="Z579" s="181" t="str">
        <f>IFERROR(LOOKUP(2,1/((B_Drainage!$A$5:$A$204&lt;&gt;"")*(B_Drainage!$A$5:$A$204&lt;=$B579)*(B_Drainage!$B$5:$B$204&gt;$B579)*(B_Drainage!$I$5:$I$204&lt;&gt;"")),IF(UPPER(B_Drainage!$I$5:$I$204)="Y",1,"")),"")</f>
        <v/>
      </c>
      <c r="AA579" s="181" t="str">
        <f>IFERROR(LOOKUP(2,1/((B_Drainage!$A$5:$A$204&lt;&gt;"")*(B_Drainage!$A$5:$A$204&lt;=$B579)*(B_Drainage!$B$5:$B$204&gt;$B579)*(B_Drainage!$J$5:$J$204&lt;&gt;"")),IF(UPPER(B_Drainage!$J$5:$J$204)="Y",1,"")),"")</f>
        <v/>
      </c>
      <c r="AB579" s="182" t="str">
        <f>IFERROR(LOOKUP(2,1/((B_Drainage!$A$5:$A$204&lt;&gt;"")*(B_Drainage!$A$5:$A$204&lt;=$B579)*(B_Drainage!$B$5:$B$204&gt;$B579)*(B_Drainage!$K$5:$K$204&lt;&gt;"")),IF(B_Drainage!$K$5:$K$204="-","",B_Drainage!$K$5:$K$204)),"")</f>
        <v/>
      </c>
      <c r="AC579" s="182" t="str">
        <f>IFERROR(LOOKUP(2,1/((B_Drainage!$A$5:$A$204&lt;&gt;"")*(B_Drainage!$A$5:$A$204&lt;=$B579)*(B_Drainage!$B$5:$B$204&gt;$B579)*(B_Drainage!$L$5:$L$204&lt;&gt;"")),IF(B_Drainage!$L$5:$L$204="-","",B_Drainage!$L$5:$L$204)),"")</f>
        <v/>
      </c>
      <c r="AD579" s="182" t="str">
        <f>IFERROR(LOOKUP(2,1/((D_Points!$A$5:$A$204&lt;&gt;"")*(D_Points!$A$5:$A$204&gt;=$B579)*(D_Points!$A$5:$A$204&lt;$B579+P_Interval)*(UPPER(TRIM(D_Points!$B$5:$B$204))="TURNOUT_L")*(D_Points!$H$5:$H$204&lt;&gt;"")),D_Points!$H$5:$H$204),"")</f>
        <v/>
      </c>
      <c r="AE579" s="182" t="str">
        <f>IFERROR(LOOKUP(2,1/((D_Points!$A$5:$A$204&lt;&gt;"")*(D_Points!$A$5:$A$204&gt;=$B579)*(D_Points!$A$5:$A$204&lt;$B579+P_Interval)*(UPPER(TRIM(D_Points!$B$5:$B$204))="TURNOUT_R")*(D_Points!$H$5:$H$204&lt;&gt;"")),D_Points!$H$5:$H$204),"")</f>
        <v/>
      </c>
      <c r="AF579" s="181" t="str">
        <f>IFERROR(LOOKUP(2,1/((B_Drainage!$A$5:$A$204&lt;&gt;"")*(B_Drainage!$A$5:$A$204&lt;=$B579)*(B_Drainage!$B$5:$B$204&gt;$B579)*(B_Drainage!$M$5:$M$204&lt;&gt;"")),IF(UPPER(B_Drainage!$M$5:$M$204)="Y",1,"")),"")</f>
        <v/>
      </c>
      <c r="AG579" s="181" t="str">
        <f>IFERROR(LOOKUP(2,1/((B_Drainage!$A$5:$A$204&lt;&gt;"")*(B_Drainage!$A$5:$A$204&lt;=$B579)*(B_Drainage!$B$5:$B$204&gt;$B579)*(B_Drainage!$N$5:$N$204&lt;&gt;"")),IF(UPPER(B_Drainage!$N$5:$N$204)="Y",1,"")),"")</f>
        <v/>
      </c>
      <c r="AH579" s="181" t="str">
        <f t="shared" si="64"/>
        <v/>
      </c>
      <c r="AI579" s="181" t="str">
        <f t="shared" si="65"/>
        <v/>
      </c>
      <c r="AJ579" s="181" t="str">
        <f t="shared" si="66"/>
        <v/>
      </c>
      <c r="AK579" s="181" t="str">
        <f t="shared" si="67"/>
        <v/>
      </c>
      <c r="AL579" s="181" t="str">
        <f t="shared" si="68"/>
        <v/>
      </c>
      <c r="AM579" s="181" t="str">
        <f t="shared" si="69"/>
        <v/>
      </c>
      <c r="AN579" s="181" t="str">
        <f t="shared" si="70"/>
        <v/>
      </c>
      <c r="AO579" s="192" t="str">
        <f t="shared" si="71"/>
        <v/>
      </c>
      <c r="AQ579" t="str">
        <f>IFERROR(LOOKUP(2,1/((C_Pavement!$A$5:$A$204&lt;&gt;"")*(C_Pavement!$A$5:$A$204&lt;=$B579)*(C_Pavement!$B$5:$B$204&gt;$B579)*(C_Pavement!$C$5:$C$204&lt;&gt;"")),ROW(C_Pavement!$C$5:$C$204)-4),"")</f>
        <v/>
      </c>
      <c r="AR579" t="str">
        <f>IF($AQ579="","",UPPER(TRIM(INDEX(C_Pavement!$C$5:$C$204,$AQ579))))</f>
        <v/>
      </c>
      <c r="AS579" t="str">
        <f>IF($AR579="","",IFERROR(MATCH($AR579,E_Rules!$A$5:$A$9,0),""))</f>
        <v/>
      </c>
      <c r="AT579" t="str">
        <f>IF($AQ579="","",IF(INDEX(C_Pavement!$D$5:$D$204,$AQ579)&lt;&gt;"",UPPER(TRIM(INDEX(C_Pavement!$D$5:$D$204,$AQ579))),IF($AS579="","",INDEX(E_Rules!$C$5:$C$9,$AS579))))</f>
        <v/>
      </c>
      <c r="AU579" t="str">
        <f>IF($AQ579="","",IF(INDEX(C_Pavement!$E$5:$E$204,$AQ579)&lt;&gt;"",IF(INDEX(C_Pavement!$E$5:$E$204,$AQ579)="-","",INDEX(C_Pavement!$E$5:$E$204,$AQ579)),IF($AS579="","",INDEX(E_Rules!$D$5:$D$9,$AS579))))</f>
        <v/>
      </c>
      <c r="AV579" t="str">
        <f>IF($AQ579="","",IF(INDEX(C_Pavement!$F$5:$F$204,$AQ579)&lt;&gt;"",IF(INDEX(C_Pavement!$F$5:$F$204,$AQ579)="-","",INDEX(C_Pavement!$F$5:$F$204,$AQ579)),IF($AS579="","",INDEX(E_Rules!$E$5:$E$9,$AS579))))</f>
        <v/>
      </c>
      <c r="AW579" t="str">
        <f>IF($AQ579="","",IF(INDEX(C_Pavement!$G$5:$G$204,$AQ579)&lt;&gt;"",IF(INDEX(C_Pavement!$G$5:$G$204,$AQ579)="-","",INDEX(C_Pavement!$G$5:$G$204,$AQ579)),IF($AS579="","",INDEX(E_Rules!$F$5:$F$9,$AS579))))</f>
        <v/>
      </c>
      <c r="AX579" t="str">
        <f>IF($AQ579="","",IF(INDEX(C_Pavement!$H$5:$H$204,$AQ579)&lt;&gt;"",IF(INDEX(C_Pavement!$H$5:$H$204,$AQ579)="-","",INDEX(C_Pavement!$H$5:$H$204,$AQ579)),IF($AS579="","",INDEX(E_Rules!$G$5:$G$9,$AS579))))</f>
        <v/>
      </c>
      <c r="AY579" t="str">
        <f>IF($AQ579="","",IF(INDEX(C_Pavement!$I$5:$I$204,$AQ579)&lt;&gt;"",IF(INDEX(C_Pavement!$I$5:$I$204,$AQ579)="-","",INDEX(C_Pavement!$I$5:$I$204,$AQ579)),IF($AS579="","",INDEX(E_Rules!$H$5:$H$9,$AS579))))</f>
        <v/>
      </c>
    </row>
    <row r="580" spans="1:51" ht="15.75" customHeight="1" x14ac:dyDescent="0.3">
      <c r="A580" s="189">
        <v>575</v>
      </c>
      <c r="B580" s="180">
        <v>28700</v>
      </c>
      <c r="C580" s="180" t="s">
        <v>886</v>
      </c>
      <c r="D580" s="181" t="str">
        <f>IFERROR(LOOKUP(2,1/((A_Corridor!$A$5:$A$204&lt;&gt;"")*(A_Corridor!$A$5:$A$204&lt;=$B580)*(A_Corridor!$B$5:$B$204&gt;$B580)*(A_Corridor!$C$5:$C$204&lt;&gt;"")),IF(UPPER(A_Corridor!$C$5:$C$204)="Y",1,"")),"")</f>
        <v/>
      </c>
      <c r="E580" s="181" t="str">
        <f>IFERROR(LOOKUP(2,1/((A_Corridor!$A$5:$A$204&lt;&gt;"")*(A_Corridor!$A$5:$A$204&lt;=$B580)*(A_Corridor!$B$5:$B$204&gt;$B580)*(A_Corridor!$D$5:$D$204&lt;&gt;"")),IF(A_Corridor!$D$5:$D$204="-","",UPPER(A_Corridor!$D$5:$D$204))),"")</f>
        <v/>
      </c>
      <c r="F580" s="181" t="str">
        <f>IFERROR(LOOKUP(2,1/((A_Corridor!$A$5:$A$204&lt;&gt;"")*(A_Corridor!$A$5:$A$204&lt;=$B580)*(A_Corridor!$B$5:$B$204&gt;$B580)*(A_Corridor!$E$5:$E$204&lt;&gt;"")),IF(A_Corridor!$E$5:$E$204="-","",1)),"")</f>
        <v/>
      </c>
      <c r="G580" s="182" t="str">
        <f>IFERROR(LOOKUP(2,1/((A_Corridor!$A$5:$A$204&lt;&gt;"")*(A_Corridor!$A$5:$A$204&lt;=$B580)*(A_Corridor!$B$5:$B$204&gt;$B580)*(A_Corridor!$E$5:$E$204&lt;&gt;"")),IF(A_Corridor!$E$5:$E$204="-","",A_Corridor!$E$5:$E$204)),"")</f>
        <v/>
      </c>
      <c r="H580" s="182" t="str">
        <f>IFERROR(LOOKUP(2,1/((D_Points!$A$5:$A$204&lt;&gt;"")*(D_Points!$A$5:$A$204&gt;=$B580)*(D_Points!$A$5:$A$204&lt;$B580+P_Interval)*(UPPER(TRIM(D_Points!$B$5:$B$204))="GULLY")*(D_Points!$H$5:$H$204&lt;&gt;"")),D_Points!$H$5:$H$204),"")</f>
        <v/>
      </c>
      <c r="I580" s="181" t="str">
        <f>IFERROR(LOOKUP(2,1/((A_Corridor!$A$5:$A$204&lt;&gt;"")*(A_Corridor!$A$5:$A$204&lt;=$B580)*(A_Corridor!$B$5:$B$204&gt;$B580)*(A_Corridor!$F$5:$F$204&lt;&gt;"")),IF(A_Corridor!$F$5:$F$204="-","",1)),"")</f>
        <v/>
      </c>
      <c r="J580" s="182" t="str">
        <f>IFERROR(LOOKUP(2,1/((A_Corridor!$A$5:$A$204&lt;&gt;"")*(A_Corridor!$A$5:$A$204&lt;=$B580)*(A_Corridor!$B$5:$B$204&gt;$B580)*(A_Corridor!$F$5:$F$204&lt;&gt;"")),IF(A_Corridor!$F$5:$F$204="-","",A_Corridor!$F$5:$F$204)),"")</f>
        <v/>
      </c>
      <c r="K580" s="182" t="str">
        <f>IFERROR(LOOKUP(2,1/((A_Corridor!$A$5:$A$204&lt;&gt;"")*(A_Corridor!$A$5:$A$204&lt;=$B580)*(A_Corridor!$B$5:$B$204&gt;$B580)*(A_Corridor!$G$5:$G$204&lt;&gt;"")),IF(A_Corridor!$G$5:$G$204="-","",A_Corridor!$G$5:$G$204)),"")</f>
        <v/>
      </c>
      <c r="L580" s="181" t="str">
        <f>IFERROR(LOOKUP(2,1/((A_Corridor!$A$5:$A$204&lt;&gt;"")*(A_Corridor!$A$5:$A$204&lt;=$B580)*(A_Corridor!$B$5:$B$204&gt;$B580)*(A_Corridor!$H$5:$H$204&lt;&gt;"")),IF(A_Corridor!$H$5:$H$204="-","",1)),"")</f>
        <v/>
      </c>
      <c r="M580" s="182" t="str">
        <f>IFERROR(LOOKUP(2,1/((A_Corridor!$A$5:$A$204&lt;&gt;"")*(A_Corridor!$A$5:$A$204&lt;=$B580)*(A_Corridor!$B$5:$B$204&gt;$B580)*(A_Corridor!$H$5:$H$204&lt;&gt;"")),IF(A_Corridor!$H$5:$H$204="-","",A_Corridor!$H$5:$H$204)),"")</f>
        <v/>
      </c>
      <c r="N580" s="182" t="str">
        <f>IFERROR(LOOKUP(2,1/((A_Corridor!$A$5:$A$204&lt;&gt;"")*(A_Corridor!$A$5:$A$204&lt;=$B580)*(A_Corridor!$B$5:$B$204&gt;$B580)*(A_Corridor!$I$5:$I$204&lt;&gt;"")),IF(A_Corridor!$I$5:$I$204="-","",A_Corridor!$I$5:$I$204)),"")</f>
        <v/>
      </c>
      <c r="O580" s="182" t="str">
        <f>IFERROR(LOOKUP(2,1/((D_Points!$A$5:$A$204&lt;&gt;"")*(D_Points!$A$5:$A$204&gt;=$B580)*(D_Points!$A$5:$A$204&lt;$B580+P_Interval)*(UPPER(TRIM(D_Points!$B$5:$B$204))="PITCHING")*(D_Points!$H$5:$H$204&lt;&gt;"")),D_Points!$H$5:$H$204),"")</f>
        <v/>
      </c>
      <c r="P580" s="181" t="str">
        <f>IFERROR(LOOKUP(2,1/((B_Drainage!$A$5:$A$204&lt;&gt;"")*(B_Drainage!$A$5:$A$204&lt;=$B580)*(B_Drainage!$B$5:$B$204&gt;$B580)*(B_Drainage!$C$5:$C$204&lt;&gt;"")),IF(B_Drainage!$C$5:$C$204="-","",UPPER(B_Drainage!$C$5:$C$204))),"")</f>
        <v/>
      </c>
      <c r="Q580" s="181" t="str">
        <f>IFERROR(LOOKUP(2,1/((B_Drainage!$A$5:$A$204&lt;&gt;"")*(B_Drainage!$A$5:$A$204&lt;=$B580)*(B_Drainage!$B$5:$B$204&gt;$B580)*(B_Drainage!$D$5:$D$204&lt;&gt;"")),IF(B_Drainage!$D$5:$D$204="-","",UPPER(B_Drainage!$D$5:$D$204))),"")</f>
        <v/>
      </c>
      <c r="R580" s="182" t="str">
        <f>IFERROR(LOOKUP(2,1/((D_Points!$A$5:$A$204&lt;&gt;"")*(D_Points!$A$5:$A$204&gt;=$B580)*(D_Points!$A$5:$A$204&lt;$B580+P_Interval)*(RIGHT(UPPER(TRIM(D_Points!$B$5:$B$204)),8)="_CULVERT")),IF(LEFT(UPPER(TRIM(D_Points!$B$5:$B$204)),2)="EX",1,IF(LEFT(UPPER(TRIM(D_Points!$B$5:$B$204)),2)="PR",2,3))),"")</f>
        <v/>
      </c>
      <c r="S580" s="182" t="str">
        <f>IFERROR(LOOKUP(2,1/((D_Points!$A$5:$A$204&lt;&gt;"")*(D_Points!$A$5:$A$204&gt;=$B580)*(D_Points!$A$5:$A$204&lt;$B580+P_Interval)*(RIGHT(UPPER(TRIM(D_Points!$B$5:$B$204)),7)="_BRIDGE")),IF(LEFT(UPPER(TRIM(D_Points!$B$5:$B$204)),2)="EX",1,IF(LEFT(UPPER(TRIM(D_Points!$B$5:$B$204)),2)="PR",2,2))),"")</f>
        <v/>
      </c>
      <c r="T580" s="181" t="str">
        <f>IFERROR(LOOKUP(2,1/((B_Drainage!$A$5:$A$204&lt;&gt;"")*(B_Drainage!$A$5:$A$204&lt;=$B580)*(B_Drainage!$B$5:$B$204&gt;$B580)*(B_Drainage!$E$5:$E$204&lt;&gt;"")),IF(B_Drainage!$E$5:$E$204="-","",1)),"")</f>
        <v/>
      </c>
      <c r="U580" s="181" t="str">
        <f>IFERROR(LOOKUP(2,1/((B_Drainage!$A$5:$A$204&lt;&gt;"")*(B_Drainage!$A$5:$A$204&lt;=$B580)*(B_Drainage!$B$5:$B$204&gt;$B580)*(B_Drainage!$E$5:$E$204&lt;&gt;"")),IF(B_Drainage!$E$5:$E$204="-","",B_Drainage!$E$5:$E$204)),"")</f>
        <v/>
      </c>
      <c r="V580" s="181" t="str">
        <f>IFERROR(LOOKUP(2,1/((B_Drainage!$A$5:$A$204&lt;&gt;"")*(B_Drainage!$A$5:$A$204&lt;=$B580)*(B_Drainage!$B$5:$B$204&gt;$B580)*(B_Drainage!$F$5:$F$204&lt;&gt;"")),IF(B_Drainage!$F$5:$F$204="-","",1)),"")</f>
        <v/>
      </c>
      <c r="W580" s="181" t="str">
        <f>IFERROR(LOOKUP(2,1/((B_Drainage!$A$5:$A$204&lt;&gt;"")*(B_Drainage!$A$5:$A$204&lt;=$B580)*(B_Drainage!$B$5:$B$204&gt;$B580)*(B_Drainage!$F$5:$F$204&lt;&gt;"")),IF(B_Drainage!$F$5:$F$204="-","",B_Drainage!$F$5:$F$204)),"")</f>
        <v/>
      </c>
      <c r="X580" s="181" t="str">
        <f>IFERROR(LOOKUP(2,1/((B_Drainage!$A$5:$A$204&lt;&gt;"")*(B_Drainage!$A$5:$A$204&lt;=$B580)*(B_Drainage!$B$5:$B$204&gt;$B580)*(B_Drainage!$G$5:$G$204&lt;&gt;"")),IF(UPPER(B_Drainage!$G$5:$G$204)="Y",1,"")),"")</f>
        <v/>
      </c>
      <c r="Y580" s="181" t="str">
        <f>IFERROR(LOOKUP(2,1/((B_Drainage!$A$5:$A$204&lt;&gt;"")*(B_Drainage!$A$5:$A$204&lt;=$B580)*(B_Drainage!$B$5:$B$204&gt;$B580)*(B_Drainage!$H$5:$H$204&lt;&gt;"")),IF(UPPER(B_Drainage!$H$5:$H$204)="Y",1,"")),"")</f>
        <v/>
      </c>
      <c r="Z580" s="181" t="str">
        <f>IFERROR(LOOKUP(2,1/((B_Drainage!$A$5:$A$204&lt;&gt;"")*(B_Drainage!$A$5:$A$204&lt;=$B580)*(B_Drainage!$B$5:$B$204&gt;$B580)*(B_Drainage!$I$5:$I$204&lt;&gt;"")),IF(UPPER(B_Drainage!$I$5:$I$204)="Y",1,"")),"")</f>
        <v/>
      </c>
      <c r="AA580" s="181" t="str">
        <f>IFERROR(LOOKUP(2,1/((B_Drainage!$A$5:$A$204&lt;&gt;"")*(B_Drainage!$A$5:$A$204&lt;=$B580)*(B_Drainage!$B$5:$B$204&gt;$B580)*(B_Drainage!$J$5:$J$204&lt;&gt;"")),IF(UPPER(B_Drainage!$J$5:$J$204)="Y",1,"")),"")</f>
        <v/>
      </c>
      <c r="AB580" s="182" t="str">
        <f>IFERROR(LOOKUP(2,1/((B_Drainage!$A$5:$A$204&lt;&gt;"")*(B_Drainage!$A$5:$A$204&lt;=$B580)*(B_Drainage!$B$5:$B$204&gt;$B580)*(B_Drainage!$K$5:$K$204&lt;&gt;"")),IF(B_Drainage!$K$5:$K$204="-","",B_Drainage!$K$5:$K$204)),"")</f>
        <v/>
      </c>
      <c r="AC580" s="182" t="str">
        <f>IFERROR(LOOKUP(2,1/((B_Drainage!$A$5:$A$204&lt;&gt;"")*(B_Drainage!$A$5:$A$204&lt;=$B580)*(B_Drainage!$B$5:$B$204&gt;$B580)*(B_Drainage!$L$5:$L$204&lt;&gt;"")),IF(B_Drainage!$L$5:$L$204="-","",B_Drainage!$L$5:$L$204)),"")</f>
        <v/>
      </c>
      <c r="AD580" s="182" t="str">
        <f>IFERROR(LOOKUP(2,1/((D_Points!$A$5:$A$204&lt;&gt;"")*(D_Points!$A$5:$A$204&gt;=$B580)*(D_Points!$A$5:$A$204&lt;$B580+P_Interval)*(UPPER(TRIM(D_Points!$B$5:$B$204))="TURNOUT_L")*(D_Points!$H$5:$H$204&lt;&gt;"")),D_Points!$H$5:$H$204),"")</f>
        <v/>
      </c>
      <c r="AE580" s="182" t="str">
        <f>IFERROR(LOOKUP(2,1/((D_Points!$A$5:$A$204&lt;&gt;"")*(D_Points!$A$5:$A$204&gt;=$B580)*(D_Points!$A$5:$A$204&lt;$B580+P_Interval)*(UPPER(TRIM(D_Points!$B$5:$B$204))="TURNOUT_R")*(D_Points!$H$5:$H$204&lt;&gt;"")),D_Points!$H$5:$H$204),"")</f>
        <v/>
      </c>
      <c r="AF580" s="181" t="str">
        <f>IFERROR(LOOKUP(2,1/((B_Drainage!$A$5:$A$204&lt;&gt;"")*(B_Drainage!$A$5:$A$204&lt;=$B580)*(B_Drainage!$B$5:$B$204&gt;$B580)*(B_Drainage!$M$5:$M$204&lt;&gt;"")),IF(UPPER(B_Drainage!$M$5:$M$204)="Y",1,"")),"")</f>
        <v/>
      </c>
      <c r="AG580" s="181" t="str">
        <f>IFERROR(LOOKUP(2,1/((B_Drainage!$A$5:$A$204&lt;&gt;"")*(B_Drainage!$A$5:$A$204&lt;=$B580)*(B_Drainage!$B$5:$B$204&gt;$B580)*(B_Drainage!$N$5:$N$204&lt;&gt;"")),IF(UPPER(B_Drainage!$N$5:$N$204)="Y",1,"")),"")</f>
        <v/>
      </c>
      <c r="AH580" s="181" t="str">
        <f t="shared" si="64"/>
        <v/>
      </c>
      <c r="AI580" s="181" t="str">
        <f t="shared" si="65"/>
        <v/>
      </c>
      <c r="AJ580" s="181" t="str">
        <f t="shared" si="66"/>
        <v/>
      </c>
      <c r="AK580" s="181" t="str">
        <f t="shared" si="67"/>
        <v/>
      </c>
      <c r="AL580" s="181" t="str">
        <f t="shared" si="68"/>
        <v/>
      </c>
      <c r="AM580" s="181" t="str">
        <f t="shared" si="69"/>
        <v/>
      </c>
      <c r="AN580" s="181" t="str">
        <f t="shared" si="70"/>
        <v/>
      </c>
      <c r="AO580" s="192" t="str">
        <f t="shared" si="71"/>
        <v/>
      </c>
      <c r="AQ580" t="str">
        <f>IFERROR(LOOKUP(2,1/((C_Pavement!$A$5:$A$204&lt;&gt;"")*(C_Pavement!$A$5:$A$204&lt;=$B580)*(C_Pavement!$B$5:$B$204&gt;$B580)*(C_Pavement!$C$5:$C$204&lt;&gt;"")),ROW(C_Pavement!$C$5:$C$204)-4),"")</f>
        <v/>
      </c>
      <c r="AR580" t="str">
        <f>IF($AQ580="","",UPPER(TRIM(INDEX(C_Pavement!$C$5:$C$204,$AQ580))))</f>
        <v/>
      </c>
      <c r="AS580" t="str">
        <f>IF($AR580="","",IFERROR(MATCH($AR580,E_Rules!$A$5:$A$9,0),""))</f>
        <v/>
      </c>
      <c r="AT580" t="str">
        <f>IF($AQ580="","",IF(INDEX(C_Pavement!$D$5:$D$204,$AQ580)&lt;&gt;"",UPPER(TRIM(INDEX(C_Pavement!$D$5:$D$204,$AQ580))),IF($AS580="","",INDEX(E_Rules!$C$5:$C$9,$AS580))))</f>
        <v/>
      </c>
      <c r="AU580" t="str">
        <f>IF($AQ580="","",IF(INDEX(C_Pavement!$E$5:$E$204,$AQ580)&lt;&gt;"",IF(INDEX(C_Pavement!$E$5:$E$204,$AQ580)="-","",INDEX(C_Pavement!$E$5:$E$204,$AQ580)),IF($AS580="","",INDEX(E_Rules!$D$5:$D$9,$AS580))))</f>
        <v/>
      </c>
      <c r="AV580" t="str">
        <f>IF($AQ580="","",IF(INDEX(C_Pavement!$F$5:$F$204,$AQ580)&lt;&gt;"",IF(INDEX(C_Pavement!$F$5:$F$204,$AQ580)="-","",INDEX(C_Pavement!$F$5:$F$204,$AQ580)),IF($AS580="","",INDEX(E_Rules!$E$5:$E$9,$AS580))))</f>
        <v/>
      </c>
      <c r="AW580" t="str">
        <f>IF($AQ580="","",IF(INDEX(C_Pavement!$G$5:$G$204,$AQ580)&lt;&gt;"",IF(INDEX(C_Pavement!$G$5:$G$204,$AQ580)="-","",INDEX(C_Pavement!$G$5:$G$204,$AQ580)),IF($AS580="","",INDEX(E_Rules!$F$5:$F$9,$AS580))))</f>
        <v/>
      </c>
      <c r="AX580" t="str">
        <f>IF($AQ580="","",IF(INDEX(C_Pavement!$H$5:$H$204,$AQ580)&lt;&gt;"",IF(INDEX(C_Pavement!$H$5:$H$204,$AQ580)="-","",INDEX(C_Pavement!$H$5:$H$204,$AQ580)),IF($AS580="","",INDEX(E_Rules!$G$5:$G$9,$AS580))))</f>
        <v/>
      </c>
      <c r="AY580" t="str">
        <f>IF($AQ580="","",IF(INDEX(C_Pavement!$I$5:$I$204,$AQ580)&lt;&gt;"",IF(INDEX(C_Pavement!$I$5:$I$204,$AQ580)="-","",INDEX(C_Pavement!$I$5:$I$204,$AQ580)),IF($AS580="","",INDEX(E_Rules!$H$5:$H$9,$AS580))))</f>
        <v/>
      </c>
    </row>
    <row r="581" spans="1:51" ht="15.75" customHeight="1" x14ac:dyDescent="0.3">
      <c r="A581" s="189">
        <v>576</v>
      </c>
      <c r="B581" s="180">
        <v>28750</v>
      </c>
      <c r="C581" s="180" t="s">
        <v>887</v>
      </c>
      <c r="D581" s="181" t="str">
        <f>IFERROR(LOOKUP(2,1/((A_Corridor!$A$5:$A$204&lt;&gt;"")*(A_Corridor!$A$5:$A$204&lt;=$B581)*(A_Corridor!$B$5:$B$204&gt;$B581)*(A_Corridor!$C$5:$C$204&lt;&gt;"")),IF(UPPER(A_Corridor!$C$5:$C$204)="Y",1,"")),"")</f>
        <v/>
      </c>
      <c r="E581" s="181" t="str">
        <f>IFERROR(LOOKUP(2,1/((A_Corridor!$A$5:$A$204&lt;&gt;"")*(A_Corridor!$A$5:$A$204&lt;=$B581)*(A_Corridor!$B$5:$B$204&gt;$B581)*(A_Corridor!$D$5:$D$204&lt;&gt;"")),IF(A_Corridor!$D$5:$D$204="-","",UPPER(A_Corridor!$D$5:$D$204))),"")</f>
        <v/>
      </c>
      <c r="F581" s="181" t="str">
        <f>IFERROR(LOOKUP(2,1/((A_Corridor!$A$5:$A$204&lt;&gt;"")*(A_Corridor!$A$5:$A$204&lt;=$B581)*(A_Corridor!$B$5:$B$204&gt;$B581)*(A_Corridor!$E$5:$E$204&lt;&gt;"")),IF(A_Corridor!$E$5:$E$204="-","",1)),"")</f>
        <v/>
      </c>
      <c r="G581" s="182" t="str">
        <f>IFERROR(LOOKUP(2,1/((A_Corridor!$A$5:$A$204&lt;&gt;"")*(A_Corridor!$A$5:$A$204&lt;=$B581)*(A_Corridor!$B$5:$B$204&gt;$B581)*(A_Corridor!$E$5:$E$204&lt;&gt;"")),IF(A_Corridor!$E$5:$E$204="-","",A_Corridor!$E$5:$E$204)),"")</f>
        <v/>
      </c>
      <c r="H581" s="182" t="str">
        <f>IFERROR(LOOKUP(2,1/((D_Points!$A$5:$A$204&lt;&gt;"")*(D_Points!$A$5:$A$204&gt;=$B581)*(D_Points!$A$5:$A$204&lt;$B581+P_Interval)*(UPPER(TRIM(D_Points!$B$5:$B$204))="GULLY")*(D_Points!$H$5:$H$204&lt;&gt;"")),D_Points!$H$5:$H$204),"")</f>
        <v/>
      </c>
      <c r="I581" s="181" t="str">
        <f>IFERROR(LOOKUP(2,1/((A_Corridor!$A$5:$A$204&lt;&gt;"")*(A_Corridor!$A$5:$A$204&lt;=$B581)*(A_Corridor!$B$5:$B$204&gt;$B581)*(A_Corridor!$F$5:$F$204&lt;&gt;"")),IF(A_Corridor!$F$5:$F$204="-","",1)),"")</f>
        <v/>
      </c>
      <c r="J581" s="182" t="str">
        <f>IFERROR(LOOKUP(2,1/((A_Corridor!$A$5:$A$204&lt;&gt;"")*(A_Corridor!$A$5:$A$204&lt;=$B581)*(A_Corridor!$B$5:$B$204&gt;$B581)*(A_Corridor!$F$5:$F$204&lt;&gt;"")),IF(A_Corridor!$F$5:$F$204="-","",A_Corridor!$F$5:$F$204)),"")</f>
        <v/>
      </c>
      <c r="K581" s="182" t="str">
        <f>IFERROR(LOOKUP(2,1/((A_Corridor!$A$5:$A$204&lt;&gt;"")*(A_Corridor!$A$5:$A$204&lt;=$B581)*(A_Corridor!$B$5:$B$204&gt;$B581)*(A_Corridor!$G$5:$G$204&lt;&gt;"")),IF(A_Corridor!$G$5:$G$204="-","",A_Corridor!$G$5:$G$204)),"")</f>
        <v/>
      </c>
      <c r="L581" s="181" t="str">
        <f>IFERROR(LOOKUP(2,1/((A_Corridor!$A$5:$A$204&lt;&gt;"")*(A_Corridor!$A$5:$A$204&lt;=$B581)*(A_Corridor!$B$5:$B$204&gt;$B581)*(A_Corridor!$H$5:$H$204&lt;&gt;"")),IF(A_Corridor!$H$5:$H$204="-","",1)),"")</f>
        <v/>
      </c>
      <c r="M581" s="182" t="str">
        <f>IFERROR(LOOKUP(2,1/((A_Corridor!$A$5:$A$204&lt;&gt;"")*(A_Corridor!$A$5:$A$204&lt;=$B581)*(A_Corridor!$B$5:$B$204&gt;$B581)*(A_Corridor!$H$5:$H$204&lt;&gt;"")),IF(A_Corridor!$H$5:$H$204="-","",A_Corridor!$H$5:$H$204)),"")</f>
        <v/>
      </c>
      <c r="N581" s="182" t="str">
        <f>IFERROR(LOOKUP(2,1/((A_Corridor!$A$5:$A$204&lt;&gt;"")*(A_Corridor!$A$5:$A$204&lt;=$B581)*(A_Corridor!$B$5:$B$204&gt;$B581)*(A_Corridor!$I$5:$I$204&lt;&gt;"")),IF(A_Corridor!$I$5:$I$204="-","",A_Corridor!$I$5:$I$204)),"")</f>
        <v/>
      </c>
      <c r="O581" s="182" t="str">
        <f>IFERROR(LOOKUP(2,1/((D_Points!$A$5:$A$204&lt;&gt;"")*(D_Points!$A$5:$A$204&gt;=$B581)*(D_Points!$A$5:$A$204&lt;$B581+P_Interval)*(UPPER(TRIM(D_Points!$B$5:$B$204))="PITCHING")*(D_Points!$H$5:$H$204&lt;&gt;"")),D_Points!$H$5:$H$204),"")</f>
        <v/>
      </c>
      <c r="P581" s="181" t="str">
        <f>IFERROR(LOOKUP(2,1/((B_Drainage!$A$5:$A$204&lt;&gt;"")*(B_Drainage!$A$5:$A$204&lt;=$B581)*(B_Drainage!$B$5:$B$204&gt;$B581)*(B_Drainage!$C$5:$C$204&lt;&gt;"")),IF(B_Drainage!$C$5:$C$204="-","",UPPER(B_Drainage!$C$5:$C$204))),"")</f>
        <v/>
      </c>
      <c r="Q581" s="181" t="str">
        <f>IFERROR(LOOKUP(2,1/((B_Drainage!$A$5:$A$204&lt;&gt;"")*(B_Drainage!$A$5:$A$204&lt;=$B581)*(B_Drainage!$B$5:$B$204&gt;$B581)*(B_Drainage!$D$5:$D$204&lt;&gt;"")),IF(B_Drainage!$D$5:$D$204="-","",UPPER(B_Drainage!$D$5:$D$204))),"")</f>
        <v/>
      </c>
      <c r="R581" s="182" t="str">
        <f>IFERROR(LOOKUP(2,1/((D_Points!$A$5:$A$204&lt;&gt;"")*(D_Points!$A$5:$A$204&gt;=$B581)*(D_Points!$A$5:$A$204&lt;$B581+P_Interval)*(RIGHT(UPPER(TRIM(D_Points!$B$5:$B$204)),8)="_CULVERT")),IF(LEFT(UPPER(TRIM(D_Points!$B$5:$B$204)),2)="EX",1,IF(LEFT(UPPER(TRIM(D_Points!$B$5:$B$204)),2)="PR",2,3))),"")</f>
        <v/>
      </c>
      <c r="S581" s="182" t="str">
        <f>IFERROR(LOOKUP(2,1/((D_Points!$A$5:$A$204&lt;&gt;"")*(D_Points!$A$5:$A$204&gt;=$B581)*(D_Points!$A$5:$A$204&lt;$B581+P_Interval)*(RIGHT(UPPER(TRIM(D_Points!$B$5:$B$204)),7)="_BRIDGE")),IF(LEFT(UPPER(TRIM(D_Points!$B$5:$B$204)),2)="EX",1,IF(LEFT(UPPER(TRIM(D_Points!$B$5:$B$204)),2)="PR",2,2))),"")</f>
        <v/>
      </c>
      <c r="T581" s="181" t="str">
        <f>IFERROR(LOOKUP(2,1/((B_Drainage!$A$5:$A$204&lt;&gt;"")*(B_Drainage!$A$5:$A$204&lt;=$B581)*(B_Drainage!$B$5:$B$204&gt;$B581)*(B_Drainage!$E$5:$E$204&lt;&gt;"")),IF(B_Drainage!$E$5:$E$204="-","",1)),"")</f>
        <v/>
      </c>
      <c r="U581" s="181" t="str">
        <f>IFERROR(LOOKUP(2,1/((B_Drainage!$A$5:$A$204&lt;&gt;"")*(B_Drainage!$A$5:$A$204&lt;=$B581)*(B_Drainage!$B$5:$B$204&gt;$B581)*(B_Drainage!$E$5:$E$204&lt;&gt;"")),IF(B_Drainage!$E$5:$E$204="-","",B_Drainage!$E$5:$E$204)),"")</f>
        <v/>
      </c>
      <c r="V581" s="181" t="str">
        <f>IFERROR(LOOKUP(2,1/((B_Drainage!$A$5:$A$204&lt;&gt;"")*(B_Drainage!$A$5:$A$204&lt;=$B581)*(B_Drainage!$B$5:$B$204&gt;$B581)*(B_Drainage!$F$5:$F$204&lt;&gt;"")),IF(B_Drainage!$F$5:$F$204="-","",1)),"")</f>
        <v/>
      </c>
      <c r="W581" s="181" t="str">
        <f>IFERROR(LOOKUP(2,1/((B_Drainage!$A$5:$A$204&lt;&gt;"")*(B_Drainage!$A$5:$A$204&lt;=$B581)*(B_Drainage!$B$5:$B$204&gt;$B581)*(B_Drainage!$F$5:$F$204&lt;&gt;"")),IF(B_Drainage!$F$5:$F$204="-","",B_Drainage!$F$5:$F$204)),"")</f>
        <v/>
      </c>
      <c r="X581" s="181" t="str">
        <f>IFERROR(LOOKUP(2,1/((B_Drainage!$A$5:$A$204&lt;&gt;"")*(B_Drainage!$A$5:$A$204&lt;=$B581)*(B_Drainage!$B$5:$B$204&gt;$B581)*(B_Drainage!$G$5:$G$204&lt;&gt;"")),IF(UPPER(B_Drainage!$G$5:$G$204)="Y",1,"")),"")</f>
        <v/>
      </c>
      <c r="Y581" s="181" t="str">
        <f>IFERROR(LOOKUP(2,1/((B_Drainage!$A$5:$A$204&lt;&gt;"")*(B_Drainage!$A$5:$A$204&lt;=$B581)*(B_Drainage!$B$5:$B$204&gt;$B581)*(B_Drainage!$H$5:$H$204&lt;&gt;"")),IF(UPPER(B_Drainage!$H$5:$H$204)="Y",1,"")),"")</f>
        <v/>
      </c>
      <c r="Z581" s="181" t="str">
        <f>IFERROR(LOOKUP(2,1/((B_Drainage!$A$5:$A$204&lt;&gt;"")*(B_Drainage!$A$5:$A$204&lt;=$B581)*(B_Drainage!$B$5:$B$204&gt;$B581)*(B_Drainage!$I$5:$I$204&lt;&gt;"")),IF(UPPER(B_Drainage!$I$5:$I$204)="Y",1,"")),"")</f>
        <v/>
      </c>
      <c r="AA581" s="181" t="str">
        <f>IFERROR(LOOKUP(2,1/((B_Drainage!$A$5:$A$204&lt;&gt;"")*(B_Drainage!$A$5:$A$204&lt;=$B581)*(B_Drainage!$B$5:$B$204&gt;$B581)*(B_Drainage!$J$5:$J$204&lt;&gt;"")),IF(UPPER(B_Drainage!$J$5:$J$204)="Y",1,"")),"")</f>
        <v/>
      </c>
      <c r="AB581" s="182" t="str">
        <f>IFERROR(LOOKUP(2,1/((B_Drainage!$A$5:$A$204&lt;&gt;"")*(B_Drainage!$A$5:$A$204&lt;=$B581)*(B_Drainage!$B$5:$B$204&gt;$B581)*(B_Drainage!$K$5:$K$204&lt;&gt;"")),IF(B_Drainage!$K$5:$K$204="-","",B_Drainage!$K$5:$K$204)),"")</f>
        <v/>
      </c>
      <c r="AC581" s="182" t="str">
        <f>IFERROR(LOOKUP(2,1/((B_Drainage!$A$5:$A$204&lt;&gt;"")*(B_Drainage!$A$5:$A$204&lt;=$B581)*(B_Drainage!$B$5:$B$204&gt;$B581)*(B_Drainage!$L$5:$L$204&lt;&gt;"")),IF(B_Drainage!$L$5:$L$204="-","",B_Drainage!$L$5:$L$204)),"")</f>
        <v/>
      </c>
      <c r="AD581" s="182" t="str">
        <f>IFERROR(LOOKUP(2,1/((D_Points!$A$5:$A$204&lt;&gt;"")*(D_Points!$A$5:$A$204&gt;=$B581)*(D_Points!$A$5:$A$204&lt;$B581+P_Interval)*(UPPER(TRIM(D_Points!$B$5:$B$204))="TURNOUT_L")*(D_Points!$H$5:$H$204&lt;&gt;"")),D_Points!$H$5:$H$204),"")</f>
        <v/>
      </c>
      <c r="AE581" s="182" t="str">
        <f>IFERROR(LOOKUP(2,1/((D_Points!$A$5:$A$204&lt;&gt;"")*(D_Points!$A$5:$A$204&gt;=$B581)*(D_Points!$A$5:$A$204&lt;$B581+P_Interval)*(UPPER(TRIM(D_Points!$B$5:$B$204))="TURNOUT_R")*(D_Points!$H$5:$H$204&lt;&gt;"")),D_Points!$H$5:$H$204),"")</f>
        <v/>
      </c>
      <c r="AF581" s="181" t="str">
        <f>IFERROR(LOOKUP(2,1/((B_Drainage!$A$5:$A$204&lt;&gt;"")*(B_Drainage!$A$5:$A$204&lt;=$B581)*(B_Drainage!$B$5:$B$204&gt;$B581)*(B_Drainage!$M$5:$M$204&lt;&gt;"")),IF(UPPER(B_Drainage!$M$5:$M$204)="Y",1,"")),"")</f>
        <v/>
      </c>
      <c r="AG581" s="181" t="str">
        <f>IFERROR(LOOKUP(2,1/((B_Drainage!$A$5:$A$204&lt;&gt;"")*(B_Drainage!$A$5:$A$204&lt;=$B581)*(B_Drainage!$B$5:$B$204&gt;$B581)*(B_Drainage!$N$5:$N$204&lt;&gt;"")),IF(UPPER(B_Drainage!$N$5:$N$204)="Y",1,"")),"")</f>
        <v/>
      </c>
      <c r="AH581" s="181" t="str">
        <f t="shared" si="64"/>
        <v/>
      </c>
      <c r="AI581" s="181" t="str">
        <f t="shared" si="65"/>
        <v/>
      </c>
      <c r="AJ581" s="181" t="str">
        <f t="shared" si="66"/>
        <v/>
      </c>
      <c r="AK581" s="181" t="str">
        <f t="shared" si="67"/>
        <v/>
      </c>
      <c r="AL581" s="181" t="str">
        <f t="shared" si="68"/>
        <v/>
      </c>
      <c r="AM581" s="181" t="str">
        <f t="shared" si="69"/>
        <v/>
      </c>
      <c r="AN581" s="181" t="str">
        <f t="shared" si="70"/>
        <v/>
      </c>
      <c r="AO581" s="192" t="str">
        <f t="shared" si="71"/>
        <v/>
      </c>
      <c r="AQ581" t="str">
        <f>IFERROR(LOOKUP(2,1/((C_Pavement!$A$5:$A$204&lt;&gt;"")*(C_Pavement!$A$5:$A$204&lt;=$B581)*(C_Pavement!$B$5:$B$204&gt;$B581)*(C_Pavement!$C$5:$C$204&lt;&gt;"")),ROW(C_Pavement!$C$5:$C$204)-4),"")</f>
        <v/>
      </c>
      <c r="AR581" t="str">
        <f>IF($AQ581="","",UPPER(TRIM(INDEX(C_Pavement!$C$5:$C$204,$AQ581))))</f>
        <v/>
      </c>
      <c r="AS581" t="str">
        <f>IF($AR581="","",IFERROR(MATCH($AR581,E_Rules!$A$5:$A$9,0),""))</f>
        <v/>
      </c>
      <c r="AT581" t="str">
        <f>IF($AQ581="","",IF(INDEX(C_Pavement!$D$5:$D$204,$AQ581)&lt;&gt;"",UPPER(TRIM(INDEX(C_Pavement!$D$5:$D$204,$AQ581))),IF($AS581="","",INDEX(E_Rules!$C$5:$C$9,$AS581))))</f>
        <v/>
      </c>
      <c r="AU581" t="str">
        <f>IF($AQ581="","",IF(INDEX(C_Pavement!$E$5:$E$204,$AQ581)&lt;&gt;"",IF(INDEX(C_Pavement!$E$5:$E$204,$AQ581)="-","",INDEX(C_Pavement!$E$5:$E$204,$AQ581)),IF($AS581="","",INDEX(E_Rules!$D$5:$D$9,$AS581))))</f>
        <v/>
      </c>
      <c r="AV581" t="str">
        <f>IF($AQ581="","",IF(INDEX(C_Pavement!$F$5:$F$204,$AQ581)&lt;&gt;"",IF(INDEX(C_Pavement!$F$5:$F$204,$AQ581)="-","",INDEX(C_Pavement!$F$5:$F$204,$AQ581)),IF($AS581="","",INDEX(E_Rules!$E$5:$E$9,$AS581))))</f>
        <v/>
      </c>
      <c r="AW581" t="str">
        <f>IF($AQ581="","",IF(INDEX(C_Pavement!$G$5:$G$204,$AQ581)&lt;&gt;"",IF(INDEX(C_Pavement!$G$5:$G$204,$AQ581)="-","",INDEX(C_Pavement!$G$5:$G$204,$AQ581)),IF($AS581="","",INDEX(E_Rules!$F$5:$F$9,$AS581))))</f>
        <v/>
      </c>
      <c r="AX581" t="str">
        <f>IF($AQ581="","",IF(INDEX(C_Pavement!$H$5:$H$204,$AQ581)&lt;&gt;"",IF(INDEX(C_Pavement!$H$5:$H$204,$AQ581)="-","",INDEX(C_Pavement!$H$5:$H$204,$AQ581)),IF($AS581="","",INDEX(E_Rules!$G$5:$G$9,$AS581))))</f>
        <v/>
      </c>
      <c r="AY581" t="str">
        <f>IF($AQ581="","",IF(INDEX(C_Pavement!$I$5:$I$204,$AQ581)&lt;&gt;"",IF(INDEX(C_Pavement!$I$5:$I$204,$AQ581)="-","",INDEX(C_Pavement!$I$5:$I$204,$AQ581)),IF($AS581="","",INDEX(E_Rules!$H$5:$H$9,$AS581))))</f>
        <v/>
      </c>
    </row>
    <row r="582" spans="1:51" ht="15.75" customHeight="1" x14ac:dyDescent="0.3">
      <c r="A582" s="189">
        <v>577</v>
      </c>
      <c r="B582" s="180">
        <v>28800</v>
      </c>
      <c r="C582" s="180" t="s">
        <v>888</v>
      </c>
      <c r="D582" s="181" t="str">
        <f>IFERROR(LOOKUP(2,1/((A_Corridor!$A$5:$A$204&lt;&gt;"")*(A_Corridor!$A$5:$A$204&lt;=$B582)*(A_Corridor!$B$5:$B$204&gt;$B582)*(A_Corridor!$C$5:$C$204&lt;&gt;"")),IF(UPPER(A_Corridor!$C$5:$C$204)="Y",1,"")),"")</f>
        <v/>
      </c>
      <c r="E582" s="181" t="str">
        <f>IFERROR(LOOKUP(2,1/((A_Corridor!$A$5:$A$204&lt;&gt;"")*(A_Corridor!$A$5:$A$204&lt;=$B582)*(A_Corridor!$B$5:$B$204&gt;$B582)*(A_Corridor!$D$5:$D$204&lt;&gt;"")),IF(A_Corridor!$D$5:$D$204="-","",UPPER(A_Corridor!$D$5:$D$204))),"")</f>
        <v/>
      </c>
      <c r="F582" s="181" t="str">
        <f>IFERROR(LOOKUP(2,1/((A_Corridor!$A$5:$A$204&lt;&gt;"")*(A_Corridor!$A$5:$A$204&lt;=$B582)*(A_Corridor!$B$5:$B$204&gt;$B582)*(A_Corridor!$E$5:$E$204&lt;&gt;"")),IF(A_Corridor!$E$5:$E$204="-","",1)),"")</f>
        <v/>
      </c>
      <c r="G582" s="182" t="str">
        <f>IFERROR(LOOKUP(2,1/((A_Corridor!$A$5:$A$204&lt;&gt;"")*(A_Corridor!$A$5:$A$204&lt;=$B582)*(A_Corridor!$B$5:$B$204&gt;$B582)*(A_Corridor!$E$5:$E$204&lt;&gt;"")),IF(A_Corridor!$E$5:$E$204="-","",A_Corridor!$E$5:$E$204)),"")</f>
        <v/>
      </c>
      <c r="H582" s="182" t="str">
        <f>IFERROR(LOOKUP(2,1/((D_Points!$A$5:$A$204&lt;&gt;"")*(D_Points!$A$5:$A$204&gt;=$B582)*(D_Points!$A$5:$A$204&lt;$B582+P_Interval)*(UPPER(TRIM(D_Points!$B$5:$B$204))="GULLY")*(D_Points!$H$5:$H$204&lt;&gt;"")),D_Points!$H$5:$H$204),"")</f>
        <v/>
      </c>
      <c r="I582" s="181" t="str">
        <f>IFERROR(LOOKUP(2,1/((A_Corridor!$A$5:$A$204&lt;&gt;"")*(A_Corridor!$A$5:$A$204&lt;=$B582)*(A_Corridor!$B$5:$B$204&gt;$B582)*(A_Corridor!$F$5:$F$204&lt;&gt;"")),IF(A_Corridor!$F$5:$F$204="-","",1)),"")</f>
        <v/>
      </c>
      <c r="J582" s="182" t="str">
        <f>IFERROR(LOOKUP(2,1/((A_Corridor!$A$5:$A$204&lt;&gt;"")*(A_Corridor!$A$5:$A$204&lt;=$B582)*(A_Corridor!$B$5:$B$204&gt;$B582)*(A_Corridor!$F$5:$F$204&lt;&gt;"")),IF(A_Corridor!$F$5:$F$204="-","",A_Corridor!$F$5:$F$204)),"")</f>
        <v/>
      </c>
      <c r="K582" s="182" t="str">
        <f>IFERROR(LOOKUP(2,1/((A_Corridor!$A$5:$A$204&lt;&gt;"")*(A_Corridor!$A$5:$A$204&lt;=$B582)*(A_Corridor!$B$5:$B$204&gt;$B582)*(A_Corridor!$G$5:$G$204&lt;&gt;"")),IF(A_Corridor!$G$5:$G$204="-","",A_Corridor!$G$5:$G$204)),"")</f>
        <v/>
      </c>
      <c r="L582" s="181" t="str">
        <f>IFERROR(LOOKUP(2,1/((A_Corridor!$A$5:$A$204&lt;&gt;"")*(A_Corridor!$A$5:$A$204&lt;=$B582)*(A_Corridor!$B$5:$B$204&gt;$B582)*(A_Corridor!$H$5:$H$204&lt;&gt;"")),IF(A_Corridor!$H$5:$H$204="-","",1)),"")</f>
        <v/>
      </c>
      <c r="M582" s="182" t="str">
        <f>IFERROR(LOOKUP(2,1/((A_Corridor!$A$5:$A$204&lt;&gt;"")*(A_Corridor!$A$5:$A$204&lt;=$B582)*(A_Corridor!$B$5:$B$204&gt;$B582)*(A_Corridor!$H$5:$H$204&lt;&gt;"")),IF(A_Corridor!$H$5:$H$204="-","",A_Corridor!$H$5:$H$204)),"")</f>
        <v/>
      </c>
      <c r="N582" s="182" t="str">
        <f>IFERROR(LOOKUP(2,1/((A_Corridor!$A$5:$A$204&lt;&gt;"")*(A_Corridor!$A$5:$A$204&lt;=$B582)*(A_Corridor!$B$5:$B$204&gt;$B582)*(A_Corridor!$I$5:$I$204&lt;&gt;"")),IF(A_Corridor!$I$5:$I$204="-","",A_Corridor!$I$5:$I$204)),"")</f>
        <v/>
      </c>
      <c r="O582" s="182" t="str">
        <f>IFERROR(LOOKUP(2,1/((D_Points!$A$5:$A$204&lt;&gt;"")*(D_Points!$A$5:$A$204&gt;=$B582)*(D_Points!$A$5:$A$204&lt;$B582+P_Interval)*(UPPER(TRIM(D_Points!$B$5:$B$204))="PITCHING")*(D_Points!$H$5:$H$204&lt;&gt;"")),D_Points!$H$5:$H$204),"")</f>
        <v/>
      </c>
      <c r="P582" s="181" t="str">
        <f>IFERROR(LOOKUP(2,1/((B_Drainage!$A$5:$A$204&lt;&gt;"")*(B_Drainage!$A$5:$A$204&lt;=$B582)*(B_Drainage!$B$5:$B$204&gt;$B582)*(B_Drainage!$C$5:$C$204&lt;&gt;"")),IF(B_Drainage!$C$5:$C$204="-","",UPPER(B_Drainage!$C$5:$C$204))),"")</f>
        <v/>
      </c>
      <c r="Q582" s="181" t="str">
        <f>IFERROR(LOOKUP(2,1/((B_Drainage!$A$5:$A$204&lt;&gt;"")*(B_Drainage!$A$5:$A$204&lt;=$B582)*(B_Drainage!$B$5:$B$204&gt;$B582)*(B_Drainage!$D$5:$D$204&lt;&gt;"")),IF(B_Drainage!$D$5:$D$204="-","",UPPER(B_Drainage!$D$5:$D$204))),"")</f>
        <v/>
      </c>
      <c r="R582" s="182" t="str">
        <f>IFERROR(LOOKUP(2,1/((D_Points!$A$5:$A$204&lt;&gt;"")*(D_Points!$A$5:$A$204&gt;=$B582)*(D_Points!$A$5:$A$204&lt;$B582+P_Interval)*(RIGHT(UPPER(TRIM(D_Points!$B$5:$B$204)),8)="_CULVERT")),IF(LEFT(UPPER(TRIM(D_Points!$B$5:$B$204)),2)="EX",1,IF(LEFT(UPPER(TRIM(D_Points!$B$5:$B$204)),2)="PR",2,3))),"")</f>
        <v/>
      </c>
      <c r="S582" s="182" t="str">
        <f>IFERROR(LOOKUP(2,1/((D_Points!$A$5:$A$204&lt;&gt;"")*(D_Points!$A$5:$A$204&gt;=$B582)*(D_Points!$A$5:$A$204&lt;$B582+P_Interval)*(RIGHT(UPPER(TRIM(D_Points!$B$5:$B$204)),7)="_BRIDGE")),IF(LEFT(UPPER(TRIM(D_Points!$B$5:$B$204)),2)="EX",1,IF(LEFT(UPPER(TRIM(D_Points!$B$5:$B$204)),2)="PR",2,2))),"")</f>
        <v/>
      </c>
      <c r="T582" s="181" t="str">
        <f>IFERROR(LOOKUP(2,1/((B_Drainage!$A$5:$A$204&lt;&gt;"")*(B_Drainage!$A$5:$A$204&lt;=$B582)*(B_Drainage!$B$5:$B$204&gt;$B582)*(B_Drainage!$E$5:$E$204&lt;&gt;"")),IF(B_Drainage!$E$5:$E$204="-","",1)),"")</f>
        <v/>
      </c>
      <c r="U582" s="181" t="str">
        <f>IFERROR(LOOKUP(2,1/((B_Drainage!$A$5:$A$204&lt;&gt;"")*(B_Drainage!$A$5:$A$204&lt;=$B582)*(B_Drainage!$B$5:$B$204&gt;$B582)*(B_Drainage!$E$5:$E$204&lt;&gt;"")),IF(B_Drainage!$E$5:$E$204="-","",B_Drainage!$E$5:$E$204)),"")</f>
        <v/>
      </c>
      <c r="V582" s="181" t="str">
        <f>IFERROR(LOOKUP(2,1/((B_Drainage!$A$5:$A$204&lt;&gt;"")*(B_Drainage!$A$5:$A$204&lt;=$B582)*(B_Drainage!$B$5:$B$204&gt;$B582)*(B_Drainage!$F$5:$F$204&lt;&gt;"")),IF(B_Drainage!$F$5:$F$204="-","",1)),"")</f>
        <v/>
      </c>
      <c r="W582" s="181" t="str">
        <f>IFERROR(LOOKUP(2,1/((B_Drainage!$A$5:$A$204&lt;&gt;"")*(B_Drainage!$A$5:$A$204&lt;=$B582)*(B_Drainage!$B$5:$B$204&gt;$B582)*(B_Drainage!$F$5:$F$204&lt;&gt;"")),IF(B_Drainage!$F$5:$F$204="-","",B_Drainage!$F$5:$F$204)),"")</f>
        <v/>
      </c>
      <c r="X582" s="181" t="str">
        <f>IFERROR(LOOKUP(2,1/((B_Drainage!$A$5:$A$204&lt;&gt;"")*(B_Drainage!$A$5:$A$204&lt;=$B582)*(B_Drainage!$B$5:$B$204&gt;$B582)*(B_Drainage!$G$5:$G$204&lt;&gt;"")),IF(UPPER(B_Drainage!$G$5:$G$204)="Y",1,"")),"")</f>
        <v/>
      </c>
      <c r="Y582" s="181" t="str">
        <f>IFERROR(LOOKUP(2,1/((B_Drainage!$A$5:$A$204&lt;&gt;"")*(B_Drainage!$A$5:$A$204&lt;=$B582)*(B_Drainage!$B$5:$B$204&gt;$B582)*(B_Drainage!$H$5:$H$204&lt;&gt;"")),IF(UPPER(B_Drainage!$H$5:$H$204)="Y",1,"")),"")</f>
        <v/>
      </c>
      <c r="Z582" s="181" t="str">
        <f>IFERROR(LOOKUP(2,1/((B_Drainage!$A$5:$A$204&lt;&gt;"")*(B_Drainage!$A$5:$A$204&lt;=$B582)*(B_Drainage!$B$5:$B$204&gt;$B582)*(B_Drainage!$I$5:$I$204&lt;&gt;"")),IF(UPPER(B_Drainage!$I$5:$I$204)="Y",1,"")),"")</f>
        <v/>
      </c>
      <c r="AA582" s="181" t="str">
        <f>IFERROR(LOOKUP(2,1/((B_Drainage!$A$5:$A$204&lt;&gt;"")*(B_Drainage!$A$5:$A$204&lt;=$B582)*(B_Drainage!$B$5:$B$204&gt;$B582)*(B_Drainage!$J$5:$J$204&lt;&gt;"")),IF(UPPER(B_Drainage!$J$5:$J$204)="Y",1,"")),"")</f>
        <v/>
      </c>
      <c r="AB582" s="182" t="str">
        <f>IFERROR(LOOKUP(2,1/((B_Drainage!$A$5:$A$204&lt;&gt;"")*(B_Drainage!$A$5:$A$204&lt;=$B582)*(B_Drainage!$B$5:$B$204&gt;$B582)*(B_Drainage!$K$5:$K$204&lt;&gt;"")),IF(B_Drainage!$K$5:$K$204="-","",B_Drainage!$K$5:$K$204)),"")</f>
        <v/>
      </c>
      <c r="AC582" s="182" t="str">
        <f>IFERROR(LOOKUP(2,1/((B_Drainage!$A$5:$A$204&lt;&gt;"")*(B_Drainage!$A$5:$A$204&lt;=$B582)*(B_Drainage!$B$5:$B$204&gt;$B582)*(B_Drainage!$L$5:$L$204&lt;&gt;"")),IF(B_Drainage!$L$5:$L$204="-","",B_Drainage!$L$5:$L$204)),"")</f>
        <v/>
      </c>
      <c r="AD582" s="182" t="str">
        <f>IFERROR(LOOKUP(2,1/((D_Points!$A$5:$A$204&lt;&gt;"")*(D_Points!$A$5:$A$204&gt;=$B582)*(D_Points!$A$5:$A$204&lt;$B582+P_Interval)*(UPPER(TRIM(D_Points!$B$5:$B$204))="TURNOUT_L")*(D_Points!$H$5:$H$204&lt;&gt;"")),D_Points!$H$5:$H$204),"")</f>
        <v/>
      </c>
      <c r="AE582" s="182" t="str">
        <f>IFERROR(LOOKUP(2,1/((D_Points!$A$5:$A$204&lt;&gt;"")*(D_Points!$A$5:$A$204&gt;=$B582)*(D_Points!$A$5:$A$204&lt;$B582+P_Interval)*(UPPER(TRIM(D_Points!$B$5:$B$204))="TURNOUT_R")*(D_Points!$H$5:$H$204&lt;&gt;"")),D_Points!$H$5:$H$204),"")</f>
        <v/>
      </c>
      <c r="AF582" s="181" t="str">
        <f>IFERROR(LOOKUP(2,1/((B_Drainage!$A$5:$A$204&lt;&gt;"")*(B_Drainage!$A$5:$A$204&lt;=$B582)*(B_Drainage!$B$5:$B$204&gt;$B582)*(B_Drainage!$M$5:$M$204&lt;&gt;"")),IF(UPPER(B_Drainage!$M$5:$M$204)="Y",1,"")),"")</f>
        <v/>
      </c>
      <c r="AG582" s="181" t="str">
        <f>IFERROR(LOOKUP(2,1/((B_Drainage!$A$5:$A$204&lt;&gt;"")*(B_Drainage!$A$5:$A$204&lt;=$B582)*(B_Drainage!$B$5:$B$204&gt;$B582)*(B_Drainage!$N$5:$N$204&lt;&gt;"")),IF(UPPER(B_Drainage!$N$5:$N$204)="Y",1,"")),"")</f>
        <v/>
      </c>
      <c r="AH582" s="181" t="str">
        <f t="shared" ref="AH582:AH645" si="72">IF($AT582="BLADE",1,"")</f>
        <v/>
      </c>
      <c r="AI582" s="181" t="str">
        <f t="shared" ref="AI582:AI645" si="73">IF($AT582="RESHAPE",1,"")</f>
        <v/>
      </c>
      <c r="AJ582" s="181" t="str">
        <f t="shared" ref="AJ582:AJ645" si="74">IF($AT582="SCARIFY",1,"")</f>
        <v/>
      </c>
      <c r="AK582" s="181" t="str">
        <f t="shared" ref="AK582:AK645" si="75">$AU582</f>
        <v/>
      </c>
      <c r="AL582" s="181" t="str">
        <f t="shared" ref="AL582:AL645" si="76">$AV582</f>
        <v/>
      </c>
      <c r="AM582" s="181" t="str">
        <f t="shared" ref="AM582:AM645" si="77">IF(OR(UPPER($AW582)="Y",$AW582=1),1,"")</f>
        <v/>
      </c>
      <c r="AN582" s="181" t="str">
        <f t="shared" ref="AN582:AN645" si="78">IF(OR(UPPER($AX582)="Y",$AX582=1),1,"")</f>
        <v/>
      </c>
      <c r="AO582" s="192" t="str">
        <f t="shared" ref="AO582:AO645" si="79">IF(OR(UPPER($AY582)="Y",$AY582=1),1,"")</f>
        <v/>
      </c>
      <c r="AQ582" t="str">
        <f>IFERROR(LOOKUP(2,1/((C_Pavement!$A$5:$A$204&lt;&gt;"")*(C_Pavement!$A$5:$A$204&lt;=$B582)*(C_Pavement!$B$5:$B$204&gt;$B582)*(C_Pavement!$C$5:$C$204&lt;&gt;"")),ROW(C_Pavement!$C$5:$C$204)-4),"")</f>
        <v/>
      </c>
      <c r="AR582" t="str">
        <f>IF($AQ582="","",UPPER(TRIM(INDEX(C_Pavement!$C$5:$C$204,$AQ582))))</f>
        <v/>
      </c>
      <c r="AS582" t="str">
        <f>IF($AR582="","",IFERROR(MATCH($AR582,E_Rules!$A$5:$A$9,0),""))</f>
        <v/>
      </c>
      <c r="AT582" t="str">
        <f>IF($AQ582="","",IF(INDEX(C_Pavement!$D$5:$D$204,$AQ582)&lt;&gt;"",UPPER(TRIM(INDEX(C_Pavement!$D$5:$D$204,$AQ582))),IF($AS582="","",INDEX(E_Rules!$C$5:$C$9,$AS582))))</f>
        <v/>
      </c>
      <c r="AU582" t="str">
        <f>IF($AQ582="","",IF(INDEX(C_Pavement!$E$5:$E$204,$AQ582)&lt;&gt;"",IF(INDEX(C_Pavement!$E$5:$E$204,$AQ582)="-","",INDEX(C_Pavement!$E$5:$E$204,$AQ582)),IF($AS582="","",INDEX(E_Rules!$D$5:$D$9,$AS582))))</f>
        <v/>
      </c>
      <c r="AV582" t="str">
        <f>IF($AQ582="","",IF(INDEX(C_Pavement!$F$5:$F$204,$AQ582)&lt;&gt;"",IF(INDEX(C_Pavement!$F$5:$F$204,$AQ582)="-","",INDEX(C_Pavement!$F$5:$F$204,$AQ582)),IF($AS582="","",INDEX(E_Rules!$E$5:$E$9,$AS582))))</f>
        <v/>
      </c>
      <c r="AW582" t="str">
        <f>IF($AQ582="","",IF(INDEX(C_Pavement!$G$5:$G$204,$AQ582)&lt;&gt;"",IF(INDEX(C_Pavement!$G$5:$G$204,$AQ582)="-","",INDEX(C_Pavement!$G$5:$G$204,$AQ582)),IF($AS582="","",INDEX(E_Rules!$F$5:$F$9,$AS582))))</f>
        <v/>
      </c>
      <c r="AX582" t="str">
        <f>IF($AQ582="","",IF(INDEX(C_Pavement!$H$5:$H$204,$AQ582)&lt;&gt;"",IF(INDEX(C_Pavement!$H$5:$H$204,$AQ582)="-","",INDEX(C_Pavement!$H$5:$H$204,$AQ582)),IF($AS582="","",INDEX(E_Rules!$G$5:$G$9,$AS582))))</f>
        <v/>
      </c>
      <c r="AY582" t="str">
        <f>IF($AQ582="","",IF(INDEX(C_Pavement!$I$5:$I$204,$AQ582)&lt;&gt;"",IF(INDEX(C_Pavement!$I$5:$I$204,$AQ582)="-","",INDEX(C_Pavement!$I$5:$I$204,$AQ582)),IF($AS582="","",INDEX(E_Rules!$H$5:$H$9,$AS582))))</f>
        <v/>
      </c>
    </row>
    <row r="583" spans="1:51" ht="15.75" customHeight="1" x14ac:dyDescent="0.3">
      <c r="A583" s="189">
        <v>578</v>
      </c>
      <c r="B583" s="180">
        <v>28850</v>
      </c>
      <c r="C583" s="180" t="s">
        <v>889</v>
      </c>
      <c r="D583" s="181" t="str">
        <f>IFERROR(LOOKUP(2,1/((A_Corridor!$A$5:$A$204&lt;&gt;"")*(A_Corridor!$A$5:$A$204&lt;=$B583)*(A_Corridor!$B$5:$B$204&gt;$B583)*(A_Corridor!$C$5:$C$204&lt;&gt;"")),IF(UPPER(A_Corridor!$C$5:$C$204)="Y",1,"")),"")</f>
        <v/>
      </c>
      <c r="E583" s="181" t="str">
        <f>IFERROR(LOOKUP(2,1/((A_Corridor!$A$5:$A$204&lt;&gt;"")*(A_Corridor!$A$5:$A$204&lt;=$B583)*(A_Corridor!$B$5:$B$204&gt;$B583)*(A_Corridor!$D$5:$D$204&lt;&gt;"")),IF(A_Corridor!$D$5:$D$204="-","",UPPER(A_Corridor!$D$5:$D$204))),"")</f>
        <v/>
      </c>
      <c r="F583" s="181" t="str">
        <f>IFERROR(LOOKUP(2,1/((A_Corridor!$A$5:$A$204&lt;&gt;"")*(A_Corridor!$A$5:$A$204&lt;=$B583)*(A_Corridor!$B$5:$B$204&gt;$B583)*(A_Corridor!$E$5:$E$204&lt;&gt;"")),IF(A_Corridor!$E$5:$E$204="-","",1)),"")</f>
        <v/>
      </c>
      <c r="G583" s="182" t="str">
        <f>IFERROR(LOOKUP(2,1/((A_Corridor!$A$5:$A$204&lt;&gt;"")*(A_Corridor!$A$5:$A$204&lt;=$B583)*(A_Corridor!$B$5:$B$204&gt;$B583)*(A_Corridor!$E$5:$E$204&lt;&gt;"")),IF(A_Corridor!$E$5:$E$204="-","",A_Corridor!$E$5:$E$204)),"")</f>
        <v/>
      </c>
      <c r="H583" s="182" t="str">
        <f>IFERROR(LOOKUP(2,1/((D_Points!$A$5:$A$204&lt;&gt;"")*(D_Points!$A$5:$A$204&gt;=$B583)*(D_Points!$A$5:$A$204&lt;$B583+P_Interval)*(UPPER(TRIM(D_Points!$B$5:$B$204))="GULLY")*(D_Points!$H$5:$H$204&lt;&gt;"")),D_Points!$H$5:$H$204),"")</f>
        <v/>
      </c>
      <c r="I583" s="181" t="str">
        <f>IFERROR(LOOKUP(2,1/((A_Corridor!$A$5:$A$204&lt;&gt;"")*(A_Corridor!$A$5:$A$204&lt;=$B583)*(A_Corridor!$B$5:$B$204&gt;$B583)*(A_Corridor!$F$5:$F$204&lt;&gt;"")),IF(A_Corridor!$F$5:$F$204="-","",1)),"")</f>
        <v/>
      </c>
      <c r="J583" s="182" t="str">
        <f>IFERROR(LOOKUP(2,1/((A_Corridor!$A$5:$A$204&lt;&gt;"")*(A_Corridor!$A$5:$A$204&lt;=$B583)*(A_Corridor!$B$5:$B$204&gt;$B583)*(A_Corridor!$F$5:$F$204&lt;&gt;"")),IF(A_Corridor!$F$5:$F$204="-","",A_Corridor!$F$5:$F$204)),"")</f>
        <v/>
      </c>
      <c r="K583" s="182" t="str">
        <f>IFERROR(LOOKUP(2,1/((A_Corridor!$A$5:$A$204&lt;&gt;"")*(A_Corridor!$A$5:$A$204&lt;=$B583)*(A_Corridor!$B$5:$B$204&gt;$B583)*(A_Corridor!$G$5:$G$204&lt;&gt;"")),IF(A_Corridor!$G$5:$G$204="-","",A_Corridor!$G$5:$G$204)),"")</f>
        <v/>
      </c>
      <c r="L583" s="181" t="str">
        <f>IFERROR(LOOKUP(2,1/((A_Corridor!$A$5:$A$204&lt;&gt;"")*(A_Corridor!$A$5:$A$204&lt;=$B583)*(A_Corridor!$B$5:$B$204&gt;$B583)*(A_Corridor!$H$5:$H$204&lt;&gt;"")),IF(A_Corridor!$H$5:$H$204="-","",1)),"")</f>
        <v/>
      </c>
      <c r="M583" s="182" t="str">
        <f>IFERROR(LOOKUP(2,1/((A_Corridor!$A$5:$A$204&lt;&gt;"")*(A_Corridor!$A$5:$A$204&lt;=$B583)*(A_Corridor!$B$5:$B$204&gt;$B583)*(A_Corridor!$H$5:$H$204&lt;&gt;"")),IF(A_Corridor!$H$5:$H$204="-","",A_Corridor!$H$5:$H$204)),"")</f>
        <v/>
      </c>
      <c r="N583" s="182" t="str">
        <f>IFERROR(LOOKUP(2,1/((A_Corridor!$A$5:$A$204&lt;&gt;"")*(A_Corridor!$A$5:$A$204&lt;=$B583)*(A_Corridor!$B$5:$B$204&gt;$B583)*(A_Corridor!$I$5:$I$204&lt;&gt;"")),IF(A_Corridor!$I$5:$I$204="-","",A_Corridor!$I$5:$I$204)),"")</f>
        <v/>
      </c>
      <c r="O583" s="182" t="str">
        <f>IFERROR(LOOKUP(2,1/((D_Points!$A$5:$A$204&lt;&gt;"")*(D_Points!$A$5:$A$204&gt;=$B583)*(D_Points!$A$5:$A$204&lt;$B583+P_Interval)*(UPPER(TRIM(D_Points!$B$5:$B$204))="PITCHING")*(D_Points!$H$5:$H$204&lt;&gt;"")),D_Points!$H$5:$H$204),"")</f>
        <v/>
      </c>
      <c r="P583" s="181" t="str">
        <f>IFERROR(LOOKUP(2,1/((B_Drainage!$A$5:$A$204&lt;&gt;"")*(B_Drainage!$A$5:$A$204&lt;=$B583)*(B_Drainage!$B$5:$B$204&gt;$B583)*(B_Drainage!$C$5:$C$204&lt;&gt;"")),IF(B_Drainage!$C$5:$C$204="-","",UPPER(B_Drainage!$C$5:$C$204))),"")</f>
        <v/>
      </c>
      <c r="Q583" s="181" t="str">
        <f>IFERROR(LOOKUP(2,1/((B_Drainage!$A$5:$A$204&lt;&gt;"")*(B_Drainage!$A$5:$A$204&lt;=$B583)*(B_Drainage!$B$5:$B$204&gt;$B583)*(B_Drainage!$D$5:$D$204&lt;&gt;"")),IF(B_Drainage!$D$5:$D$204="-","",UPPER(B_Drainage!$D$5:$D$204))),"")</f>
        <v/>
      </c>
      <c r="R583" s="182" t="str">
        <f>IFERROR(LOOKUP(2,1/((D_Points!$A$5:$A$204&lt;&gt;"")*(D_Points!$A$5:$A$204&gt;=$B583)*(D_Points!$A$5:$A$204&lt;$B583+P_Interval)*(RIGHT(UPPER(TRIM(D_Points!$B$5:$B$204)),8)="_CULVERT")),IF(LEFT(UPPER(TRIM(D_Points!$B$5:$B$204)),2)="EX",1,IF(LEFT(UPPER(TRIM(D_Points!$B$5:$B$204)),2)="PR",2,3))),"")</f>
        <v/>
      </c>
      <c r="S583" s="182" t="str">
        <f>IFERROR(LOOKUP(2,1/((D_Points!$A$5:$A$204&lt;&gt;"")*(D_Points!$A$5:$A$204&gt;=$B583)*(D_Points!$A$5:$A$204&lt;$B583+P_Interval)*(RIGHT(UPPER(TRIM(D_Points!$B$5:$B$204)),7)="_BRIDGE")),IF(LEFT(UPPER(TRIM(D_Points!$B$5:$B$204)),2)="EX",1,IF(LEFT(UPPER(TRIM(D_Points!$B$5:$B$204)),2)="PR",2,2))),"")</f>
        <v/>
      </c>
      <c r="T583" s="181" t="str">
        <f>IFERROR(LOOKUP(2,1/((B_Drainage!$A$5:$A$204&lt;&gt;"")*(B_Drainage!$A$5:$A$204&lt;=$B583)*(B_Drainage!$B$5:$B$204&gt;$B583)*(B_Drainage!$E$5:$E$204&lt;&gt;"")),IF(B_Drainage!$E$5:$E$204="-","",1)),"")</f>
        <v/>
      </c>
      <c r="U583" s="181" t="str">
        <f>IFERROR(LOOKUP(2,1/((B_Drainage!$A$5:$A$204&lt;&gt;"")*(B_Drainage!$A$5:$A$204&lt;=$B583)*(B_Drainage!$B$5:$B$204&gt;$B583)*(B_Drainage!$E$5:$E$204&lt;&gt;"")),IF(B_Drainage!$E$5:$E$204="-","",B_Drainage!$E$5:$E$204)),"")</f>
        <v/>
      </c>
      <c r="V583" s="181" t="str">
        <f>IFERROR(LOOKUP(2,1/((B_Drainage!$A$5:$A$204&lt;&gt;"")*(B_Drainage!$A$5:$A$204&lt;=$B583)*(B_Drainage!$B$5:$B$204&gt;$B583)*(B_Drainage!$F$5:$F$204&lt;&gt;"")),IF(B_Drainage!$F$5:$F$204="-","",1)),"")</f>
        <v/>
      </c>
      <c r="W583" s="181" t="str">
        <f>IFERROR(LOOKUP(2,1/((B_Drainage!$A$5:$A$204&lt;&gt;"")*(B_Drainage!$A$5:$A$204&lt;=$B583)*(B_Drainage!$B$5:$B$204&gt;$B583)*(B_Drainage!$F$5:$F$204&lt;&gt;"")),IF(B_Drainage!$F$5:$F$204="-","",B_Drainage!$F$5:$F$204)),"")</f>
        <v/>
      </c>
      <c r="X583" s="181" t="str">
        <f>IFERROR(LOOKUP(2,1/((B_Drainage!$A$5:$A$204&lt;&gt;"")*(B_Drainage!$A$5:$A$204&lt;=$B583)*(B_Drainage!$B$5:$B$204&gt;$B583)*(B_Drainage!$G$5:$G$204&lt;&gt;"")),IF(UPPER(B_Drainage!$G$5:$G$204)="Y",1,"")),"")</f>
        <v/>
      </c>
      <c r="Y583" s="181" t="str">
        <f>IFERROR(LOOKUP(2,1/((B_Drainage!$A$5:$A$204&lt;&gt;"")*(B_Drainage!$A$5:$A$204&lt;=$B583)*(B_Drainage!$B$5:$B$204&gt;$B583)*(B_Drainage!$H$5:$H$204&lt;&gt;"")),IF(UPPER(B_Drainage!$H$5:$H$204)="Y",1,"")),"")</f>
        <v/>
      </c>
      <c r="Z583" s="181" t="str">
        <f>IFERROR(LOOKUP(2,1/((B_Drainage!$A$5:$A$204&lt;&gt;"")*(B_Drainage!$A$5:$A$204&lt;=$B583)*(B_Drainage!$B$5:$B$204&gt;$B583)*(B_Drainage!$I$5:$I$204&lt;&gt;"")),IF(UPPER(B_Drainage!$I$5:$I$204)="Y",1,"")),"")</f>
        <v/>
      </c>
      <c r="AA583" s="181" t="str">
        <f>IFERROR(LOOKUP(2,1/((B_Drainage!$A$5:$A$204&lt;&gt;"")*(B_Drainage!$A$5:$A$204&lt;=$B583)*(B_Drainage!$B$5:$B$204&gt;$B583)*(B_Drainage!$J$5:$J$204&lt;&gt;"")),IF(UPPER(B_Drainage!$J$5:$J$204)="Y",1,"")),"")</f>
        <v/>
      </c>
      <c r="AB583" s="182" t="str">
        <f>IFERROR(LOOKUP(2,1/((B_Drainage!$A$5:$A$204&lt;&gt;"")*(B_Drainage!$A$5:$A$204&lt;=$B583)*(B_Drainage!$B$5:$B$204&gt;$B583)*(B_Drainage!$K$5:$K$204&lt;&gt;"")),IF(B_Drainage!$K$5:$K$204="-","",B_Drainage!$K$5:$K$204)),"")</f>
        <v/>
      </c>
      <c r="AC583" s="182" t="str">
        <f>IFERROR(LOOKUP(2,1/((B_Drainage!$A$5:$A$204&lt;&gt;"")*(B_Drainage!$A$5:$A$204&lt;=$B583)*(B_Drainage!$B$5:$B$204&gt;$B583)*(B_Drainage!$L$5:$L$204&lt;&gt;"")),IF(B_Drainage!$L$5:$L$204="-","",B_Drainage!$L$5:$L$204)),"")</f>
        <v/>
      </c>
      <c r="AD583" s="182" t="str">
        <f>IFERROR(LOOKUP(2,1/((D_Points!$A$5:$A$204&lt;&gt;"")*(D_Points!$A$5:$A$204&gt;=$B583)*(D_Points!$A$5:$A$204&lt;$B583+P_Interval)*(UPPER(TRIM(D_Points!$B$5:$B$204))="TURNOUT_L")*(D_Points!$H$5:$H$204&lt;&gt;"")),D_Points!$H$5:$H$204),"")</f>
        <v/>
      </c>
      <c r="AE583" s="182" t="str">
        <f>IFERROR(LOOKUP(2,1/((D_Points!$A$5:$A$204&lt;&gt;"")*(D_Points!$A$5:$A$204&gt;=$B583)*(D_Points!$A$5:$A$204&lt;$B583+P_Interval)*(UPPER(TRIM(D_Points!$B$5:$B$204))="TURNOUT_R")*(D_Points!$H$5:$H$204&lt;&gt;"")),D_Points!$H$5:$H$204),"")</f>
        <v/>
      </c>
      <c r="AF583" s="181" t="str">
        <f>IFERROR(LOOKUP(2,1/((B_Drainage!$A$5:$A$204&lt;&gt;"")*(B_Drainage!$A$5:$A$204&lt;=$B583)*(B_Drainage!$B$5:$B$204&gt;$B583)*(B_Drainage!$M$5:$M$204&lt;&gt;"")),IF(UPPER(B_Drainage!$M$5:$M$204)="Y",1,"")),"")</f>
        <v/>
      </c>
      <c r="AG583" s="181" t="str">
        <f>IFERROR(LOOKUP(2,1/((B_Drainage!$A$5:$A$204&lt;&gt;"")*(B_Drainage!$A$5:$A$204&lt;=$B583)*(B_Drainage!$B$5:$B$204&gt;$B583)*(B_Drainage!$N$5:$N$204&lt;&gt;"")),IF(UPPER(B_Drainage!$N$5:$N$204)="Y",1,"")),"")</f>
        <v/>
      </c>
      <c r="AH583" s="181" t="str">
        <f t="shared" si="72"/>
        <v/>
      </c>
      <c r="AI583" s="181" t="str">
        <f t="shared" si="73"/>
        <v/>
      </c>
      <c r="AJ583" s="181" t="str">
        <f t="shared" si="74"/>
        <v/>
      </c>
      <c r="AK583" s="181" t="str">
        <f t="shared" si="75"/>
        <v/>
      </c>
      <c r="AL583" s="181" t="str">
        <f t="shared" si="76"/>
        <v/>
      </c>
      <c r="AM583" s="181" t="str">
        <f t="shared" si="77"/>
        <v/>
      </c>
      <c r="AN583" s="181" t="str">
        <f t="shared" si="78"/>
        <v/>
      </c>
      <c r="AO583" s="192" t="str">
        <f t="shared" si="79"/>
        <v/>
      </c>
      <c r="AQ583" t="str">
        <f>IFERROR(LOOKUP(2,1/((C_Pavement!$A$5:$A$204&lt;&gt;"")*(C_Pavement!$A$5:$A$204&lt;=$B583)*(C_Pavement!$B$5:$B$204&gt;$B583)*(C_Pavement!$C$5:$C$204&lt;&gt;"")),ROW(C_Pavement!$C$5:$C$204)-4),"")</f>
        <v/>
      </c>
      <c r="AR583" t="str">
        <f>IF($AQ583="","",UPPER(TRIM(INDEX(C_Pavement!$C$5:$C$204,$AQ583))))</f>
        <v/>
      </c>
      <c r="AS583" t="str">
        <f>IF($AR583="","",IFERROR(MATCH($AR583,E_Rules!$A$5:$A$9,0),""))</f>
        <v/>
      </c>
      <c r="AT583" t="str">
        <f>IF($AQ583="","",IF(INDEX(C_Pavement!$D$5:$D$204,$AQ583)&lt;&gt;"",UPPER(TRIM(INDEX(C_Pavement!$D$5:$D$204,$AQ583))),IF($AS583="","",INDEX(E_Rules!$C$5:$C$9,$AS583))))</f>
        <v/>
      </c>
      <c r="AU583" t="str">
        <f>IF($AQ583="","",IF(INDEX(C_Pavement!$E$5:$E$204,$AQ583)&lt;&gt;"",IF(INDEX(C_Pavement!$E$5:$E$204,$AQ583)="-","",INDEX(C_Pavement!$E$5:$E$204,$AQ583)),IF($AS583="","",INDEX(E_Rules!$D$5:$D$9,$AS583))))</f>
        <v/>
      </c>
      <c r="AV583" t="str">
        <f>IF($AQ583="","",IF(INDEX(C_Pavement!$F$5:$F$204,$AQ583)&lt;&gt;"",IF(INDEX(C_Pavement!$F$5:$F$204,$AQ583)="-","",INDEX(C_Pavement!$F$5:$F$204,$AQ583)),IF($AS583="","",INDEX(E_Rules!$E$5:$E$9,$AS583))))</f>
        <v/>
      </c>
      <c r="AW583" t="str">
        <f>IF($AQ583="","",IF(INDEX(C_Pavement!$G$5:$G$204,$AQ583)&lt;&gt;"",IF(INDEX(C_Pavement!$G$5:$G$204,$AQ583)="-","",INDEX(C_Pavement!$G$5:$G$204,$AQ583)),IF($AS583="","",INDEX(E_Rules!$F$5:$F$9,$AS583))))</f>
        <v/>
      </c>
      <c r="AX583" t="str">
        <f>IF($AQ583="","",IF(INDEX(C_Pavement!$H$5:$H$204,$AQ583)&lt;&gt;"",IF(INDEX(C_Pavement!$H$5:$H$204,$AQ583)="-","",INDEX(C_Pavement!$H$5:$H$204,$AQ583)),IF($AS583="","",INDEX(E_Rules!$G$5:$G$9,$AS583))))</f>
        <v/>
      </c>
      <c r="AY583" t="str">
        <f>IF($AQ583="","",IF(INDEX(C_Pavement!$I$5:$I$204,$AQ583)&lt;&gt;"",IF(INDEX(C_Pavement!$I$5:$I$204,$AQ583)="-","",INDEX(C_Pavement!$I$5:$I$204,$AQ583)),IF($AS583="","",INDEX(E_Rules!$H$5:$H$9,$AS583))))</f>
        <v/>
      </c>
    </row>
    <row r="584" spans="1:51" ht="15.75" customHeight="1" x14ac:dyDescent="0.3">
      <c r="A584" s="189">
        <v>579</v>
      </c>
      <c r="B584" s="180">
        <v>28900</v>
      </c>
      <c r="C584" s="180" t="s">
        <v>890</v>
      </c>
      <c r="D584" s="181" t="str">
        <f>IFERROR(LOOKUP(2,1/((A_Corridor!$A$5:$A$204&lt;&gt;"")*(A_Corridor!$A$5:$A$204&lt;=$B584)*(A_Corridor!$B$5:$B$204&gt;$B584)*(A_Corridor!$C$5:$C$204&lt;&gt;"")),IF(UPPER(A_Corridor!$C$5:$C$204)="Y",1,"")),"")</f>
        <v/>
      </c>
      <c r="E584" s="181" t="str">
        <f>IFERROR(LOOKUP(2,1/((A_Corridor!$A$5:$A$204&lt;&gt;"")*(A_Corridor!$A$5:$A$204&lt;=$B584)*(A_Corridor!$B$5:$B$204&gt;$B584)*(A_Corridor!$D$5:$D$204&lt;&gt;"")),IF(A_Corridor!$D$5:$D$204="-","",UPPER(A_Corridor!$D$5:$D$204))),"")</f>
        <v/>
      </c>
      <c r="F584" s="181" t="str">
        <f>IFERROR(LOOKUP(2,1/((A_Corridor!$A$5:$A$204&lt;&gt;"")*(A_Corridor!$A$5:$A$204&lt;=$B584)*(A_Corridor!$B$5:$B$204&gt;$B584)*(A_Corridor!$E$5:$E$204&lt;&gt;"")),IF(A_Corridor!$E$5:$E$204="-","",1)),"")</f>
        <v/>
      </c>
      <c r="G584" s="182" t="str">
        <f>IFERROR(LOOKUP(2,1/((A_Corridor!$A$5:$A$204&lt;&gt;"")*(A_Corridor!$A$5:$A$204&lt;=$B584)*(A_Corridor!$B$5:$B$204&gt;$B584)*(A_Corridor!$E$5:$E$204&lt;&gt;"")),IF(A_Corridor!$E$5:$E$204="-","",A_Corridor!$E$5:$E$204)),"")</f>
        <v/>
      </c>
      <c r="H584" s="182" t="str">
        <f>IFERROR(LOOKUP(2,1/((D_Points!$A$5:$A$204&lt;&gt;"")*(D_Points!$A$5:$A$204&gt;=$B584)*(D_Points!$A$5:$A$204&lt;$B584+P_Interval)*(UPPER(TRIM(D_Points!$B$5:$B$204))="GULLY")*(D_Points!$H$5:$H$204&lt;&gt;"")),D_Points!$H$5:$H$204),"")</f>
        <v/>
      </c>
      <c r="I584" s="181" t="str">
        <f>IFERROR(LOOKUP(2,1/((A_Corridor!$A$5:$A$204&lt;&gt;"")*(A_Corridor!$A$5:$A$204&lt;=$B584)*(A_Corridor!$B$5:$B$204&gt;$B584)*(A_Corridor!$F$5:$F$204&lt;&gt;"")),IF(A_Corridor!$F$5:$F$204="-","",1)),"")</f>
        <v/>
      </c>
      <c r="J584" s="182" t="str">
        <f>IFERROR(LOOKUP(2,1/((A_Corridor!$A$5:$A$204&lt;&gt;"")*(A_Corridor!$A$5:$A$204&lt;=$B584)*(A_Corridor!$B$5:$B$204&gt;$B584)*(A_Corridor!$F$5:$F$204&lt;&gt;"")),IF(A_Corridor!$F$5:$F$204="-","",A_Corridor!$F$5:$F$204)),"")</f>
        <v/>
      </c>
      <c r="K584" s="182" t="str">
        <f>IFERROR(LOOKUP(2,1/((A_Corridor!$A$5:$A$204&lt;&gt;"")*(A_Corridor!$A$5:$A$204&lt;=$B584)*(A_Corridor!$B$5:$B$204&gt;$B584)*(A_Corridor!$G$5:$G$204&lt;&gt;"")),IF(A_Corridor!$G$5:$G$204="-","",A_Corridor!$G$5:$G$204)),"")</f>
        <v/>
      </c>
      <c r="L584" s="181" t="str">
        <f>IFERROR(LOOKUP(2,1/((A_Corridor!$A$5:$A$204&lt;&gt;"")*(A_Corridor!$A$5:$A$204&lt;=$B584)*(A_Corridor!$B$5:$B$204&gt;$B584)*(A_Corridor!$H$5:$H$204&lt;&gt;"")),IF(A_Corridor!$H$5:$H$204="-","",1)),"")</f>
        <v/>
      </c>
      <c r="M584" s="182" t="str">
        <f>IFERROR(LOOKUP(2,1/((A_Corridor!$A$5:$A$204&lt;&gt;"")*(A_Corridor!$A$5:$A$204&lt;=$B584)*(A_Corridor!$B$5:$B$204&gt;$B584)*(A_Corridor!$H$5:$H$204&lt;&gt;"")),IF(A_Corridor!$H$5:$H$204="-","",A_Corridor!$H$5:$H$204)),"")</f>
        <v/>
      </c>
      <c r="N584" s="182" t="str">
        <f>IFERROR(LOOKUP(2,1/((A_Corridor!$A$5:$A$204&lt;&gt;"")*(A_Corridor!$A$5:$A$204&lt;=$B584)*(A_Corridor!$B$5:$B$204&gt;$B584)*(A_Corridor!$I$5:$I$204&lt;&gt;"")),IF(A_Corridor!$I$5:$I$204="-","",A_Corridor!$I$5:$I$204)),"")</f>
        <v/>
      </c>
      <c r="O584" s="182" t="str">
        <f>IFERROR(LOOKUP(2,1/((D_Points!$A$5:$A$204&lt;&gt;"")*(D_Points!$A$5:$A$204&gt;=$B584)*(D_Points!$A$5:$A$204&lt;$B584+P_Interval)*(UPPER(TRIM(D_Points!$B$5:$B$204))="PITCHING")*(D_Points!$H$5:$H$204&lt;&gt;"")),D_Points!$H$5:$H$204),"")</f>
        <v/>
      </c>
      <c r="P584" s="181" t="str">
        <f>IFERROR(LOOKUP(2,1/((B_Drainage!$A$5:$A$204&lt;&gt;"")*(B_Drainage!$A$5:$A$204&lt;=$B584)*(B_Drainage!$B$5:$B$204&gt;$B584)*(B_Drainage!$C$5:$C$204&lt;&gt;"")),IF(B_Drainage!$C$5:$C$204="-","",UPPER(B_Drainage!$C$5:$C$204))),"")</f>
        <v/>
      </c>
      <c r="Q584" s="181" t="str">
        <f>IFERROR(LOOKUP(2,1/((B_Drainage!$A$5:$A$204&lt;&gt;"")*(B_Drainage!$A$5:$A$204&lt;=$B584)*(B_Drainage!$B$5:$B$204&gt;$B584)*(B_Drainage!$D$5:$D$204&lt;&gt;"")),IF(B_Drainage!$D$5:$D$204="-","",UPPER(B_Drainage!$D$5:$D$204))),"")</f>
        <v/>
      </c>
      <c r="R584" s="182" t="str">
        <f>IFERROR(LOOKUP(2,1/((D_Points!$A$5:$A$204&lt;&gt;"")*(D_Points!$A$5:$A$204&gt;=$B584)*(D_Points!$A$5:$A$204&lt;$B584+P_Interval)*(RIGHT(UPPER(TRIM(D_Points!$B$5:$B$204)),8)="_CULVERT")),IF(LEFT(UPPER(TRIM(D_Points!$B$5:$B$204)),2)="EX",1,IF(LEFT(UPPER(TRIM(D_Points!$B$5:$B$204)),2)="PR",2,3))),"")</f>
        <v/>
      </c>
      <c r="S584" s="182" t="str">
        <f>IFERROR(LOOKUP(2,1/((D_Points!$A$5:$A$204&lt;&gt;"")*(D_Points!$A$5:$A$204&gt;=$B584)*(D_Points!$A$5:$A$204&lt;$B584+P_Interval)*(RIGHT(UPPER(TRIM(D_Points!$B$5:$B$204)),7)="_BRIDGE")),IF(LEFT(UPPER(TRIM(D_Points!$B$5:$B$204)),2)="EX",1,IF(LEFT(UPPER(TRIM(D_Points!$B$5:$B$204)),2)="PR",2,2))),"")</f>
        <v/>
      </c>
      <c r="T584" s="181" t="str">
        <f>IFERROR(LOOKUP(2,1/((B_Drainage!$A$5:$A$204&lt;&gt;"")*(B_Drainage!$A$5:$A$204&lt;=$B584)*(B_Drainage!$B$5:$B$204&gt;$B584)*(B_Drainage!$E$5:$E$204&lt;&gt;"")),IF(B_Drainage!$E$5:$E$204="-","",1)),"")</f>
        <v/>
      </c>
      <c r="U584" s="181" t="str">
        <f>IFERROR(LOOKUP(2,1/((B_Drainage!$A$5:$A$204&lt;&gt;"")*(B_Drainage!$A$5:$A$204&lt;=$B584)*(B_Drainage!$B$5:$B$204&gt;$B584)*(B_Drainage!$E$5:$E$204&lt;&gt;"")),IF(B_Drainage!$E$5:$E$204="-","",B_Drainage!$E$5:$E$204)),"")</f>
        <v/>
      </c>
      <c r="V584" s="181" t="str">
        <f>IFERROR(LOOKUP(2,1/((B_Drainage!$A$5:$A$204&lt;&gt;"")*(B_Drainage!$A$5:$A$204&lt;=$B584)*(B_Drainage!$B$5:$B$204&gt;$B584)*(B_Drainage!$F$5:$F$204&lt;&gt;"")),IF(B_Drainage!$F$5:$F$204="-","",1)),"")</f>
        <v/>
      </c>
      <c r="W584" s="181" t="str">
        <f>IFERROR(LOOKUP(2,1/((B_Drainage!$A$5:$A$204&lt;&gt;"")*(B_Drainage!$A$5:$A$204&lt;=$B584)*(B_Drainage!$B$5:$B$204&gt;$B584)*(B_Drainage!$F$5:$F$204&lt;&gt;"")),IF(B_Drainage!$F$5:$F$204="-","",B_Drainage!$F$5:$F$204)),"")</f>
        <v/>
      </c>
      <c r="X584" s="181" t="str">
        <f>IFERROR(LOOKUP(2,1/((B_Drainage!$A$5:$A$204&lt;&gt;"")*(B_Drainage!$A$5:$A$204&lt;=$B584)*(B_Drainage!$B$5:$B$204&gt;$B584)*(B_Drainage!$G$5:$G$204&lt;&gt;"")),IF(UPPER(B_Drainage!$G$5:$G$204)="Y",1,"")),"")</f>
        <v/>
      </c>
      <c r="Y584" s="181" t="str">
        <f>IFERROR(LOOKUP(2,1/((B_Drainage!$A$5:$A$204&lt;&gt;"")*(B_Drainage!$A$5:$A$204&lt;=$B584)*(B_Drainage!$B$5:$B$204&gt;$B584)*(B_Drainage!$H$5:$H$204&lt;&gt;"")),IF(UPPER(B_Drainage!$H$5:$H$204)="Y",1,"")),"")</f>
        <v/>
      </c>
      <c r="Z584" s="181" t="str">
        <f>IFERROR(LOOKUP(2,1/((B_Drainage!$A$5:$A$204&lt;&gt;"")*(B_Drainage!$A$5:$A$204&lt;=$B584)*(B_Drainage!$B$5:$B$204&gt;$B584)*(B_Drainage!$I$5:$I$204&lt;&gt;"")),IF(UPPER(B_Drainage!$I$5:$I$204)="Y",1,"")),"")</f>
        <v/>
      </c>
      <c r="AA584" s="181" t="str">
        <f>IFERROR(LOOKUP(2,1/((B_Drainage!$A$5:$A$204&lt;&gt;"")*(B_Drainage!$A$5:$A$204&lt;=$B584)*(B_Drainage!$B$5:$B$204&gt;$B584)*(B_Drainage!$J$5:$J$204&lt;&gt;"")),IF(UPPER(B_Drainage!$J$5:$J$204)="Y",1,"")),"")</f>
        <v/>
      </c>
      <c r="AB584" s="182" t="str">
        <f>IFERROR(LOOKUP(2,1/((B_Drainage!$A$5:$A$204&lt;&gt;"")*(B_Drainage!$A$5:$A$204&lt;=$B584)*(B_Drainage!$B$5:$B$204&gt;$B584)*(B_Drainage!$K$5:$K$204&lt;&gt;"")),IF(B_Drainage!$K$5:$K$204="-","",B_Drainage!$K$5:$K$204)),"")</f>
        <v/>
      </c>
      <c r="AC584" s="182" t="str">
        <f>IFERROR(LOOKUP(2,1/((B_Drainage!$A$5:$A$204&lt;&gt;"")*(B_Drainage!$A$5:$A$204&lt;=$B584)*(B_Drainage!$B$5:$B$204&gt;$B584)*(B_Drainage!$L$5:$L$204&lt;&gt;"")),IF(B_Drainage!$L$5:$L$204="-","",B_Drainage!$L$5:$L$204)),"")</f>
        <v/>
      </c>
      <c r="AD584" s="182" t="str">
        <f>IFERROR(LOOKUP(2,1/((D_Points!$A$5:$A$204&lt;&gt;"")*(D_Points!$A$5:$A$204&gt;=$B584)*(D_Points!$A$5:$A$204&lt;$B584+P_Interval)*(UPPER(TRIM(D_Points!$B$5:$B$204))="TURNOUT_L")*(D_Points!$H$5:$H$204&lt;&gt;"")),D_Points!$H$5:$H$204),"")</f>
        <v/>
      </c>
      <c r="AE584" s="182" t="str">
        <f>IFERROR(LOOKUP(2,1/((D_Points!$A$5:$A$204&lt;&gt;"")*(D_Points!$A$5:$A$204&gt;=$B584)*(D_Points!$A$5:$A$204&lt;$B584+P_Interval)*(UPPER(TRIM(D_Points!$B$5:$B$204))="TURNOUT_R")*(D_Points!$H$5:$H$204&lt;&gt;"")),D_Points!$H$5:$H$204),"")</f>
        <v/>
      </c>
      <c r="AF584" s="181" t="str">
        <f>IFERROR(LOOKUP(2,1/((B_Drainage!$A$5:$A$204&lt;&gt;"")*(B_Drainage!$A$5:$A$204&lt;=$B584)*(B_Drainage!$B$5:$B$204&gt;$B584)*(B_Drainage!$M$5:$M$204&lt;&gt;"")),IF(UPPER(B_Drainage!$M$5:$M$204)="Y",1,"")),"")</f>
        <v/>
      </c>
      <c r="AG584" s="181" t="str">
        <f>IFERROR(LOOKUP(2,1/((B_Drainage!$A$5:$A$204&lt;&gt;"")*(B_Drainage!$A$5:$A$204&lt;=$B584)*(B_Drainage!$B$5:$B$204&gt;$B584)*(B_Drainage!$N$5:$N$204&lt;&gt;"")),IF(UPPER(B_Drainage!$N$5:$N$204)="Y",1,"")),"")</f>
        <v/>
      </c>
      <c r="AH584" s="181" t="str">
        <f t="shared" si="72"/>
        <v/>
      </c>
      <c r="AI584" s="181" t="str">
        <f t="shared" si="73"/>
        <v/>
      </c>
      <c r="AJ584" s="181" t="str">
        <f t="shared" si="74"/>
        <v/>
      </c>
      <c r="AK584" s="181" t="str">
        <f t="shared" si="75"/>
        <v/>
      </c>
      <c r="AL584" s="181" t="str">
        <f t="shared" si="76"/>
        <v/>
      </c>
      <c r="AM584" s="181" t="str">
        <f t="shared" si="77"/>
        <v/>
      </c>
      <c r="AN584" s="181" t="str">
        <f t="shared" si="78"/>
        <v/>
      </c>
      <c r="AO584" s="192" t="str">
        <f t="shared" si="79"/>
        <v/>
      </c>
      <c r="AQ584" t="str">
        <f>IFERROR(LOOKUP(2,1/((C_Pavement!$A$5:$A$204&lt;&gt;"")*(C_Pavement!$A$5:$A$204&lt;=$B584)*(C_Pavement!$B$5:$B$204&gt;$B584)*(C_Pavement!$C$5:$C$204&lt;&gt;"")),ROW(C_Pavement!$C$5:$C$204)-4),"")</f>
        <v/>
      </c>
      <c r="AR584" t="str">
        <f>IF($AQ584="","",UPPER(TRIM(INDEX(C_Pavement!$C$5:$C$204,$AQ584))))</f>
        <v/>
      </c>
      <c r="AS584" t="str">
        <f>IF($AR584="","",IFERROR(MATCH($AR584,E_Rules!$A$5:$A$9,0),""))</f>
        <v/>
      </c>
      <c r="AT584" t="str">
        <f>IF($AQ584="","",IF(INDEX(C_Pavement!$D$5:$D$204,$AQ584)&lt;&gt;"",UPPER(TRIM(INDEX(C_Pavement!$D$5:$D$204,$AQ584))),IF($AS584="","",INDEX(E_Rules!$C$5:$C$9,$AS584))))</f>
        <v/>
      </c>
      <c r="AU584" t="str">
        <f>IF($AQ584="","",IF(INDEX(C_Pavement!$E$5:$E$204,$AQ584)&lt;&gt;"",IF(INDEX(C_Pavement!$E$5:$E$204,$AQ584)="-","",INDEX(C_Pavement!$E$5:$E$204,$AQ584)),IF($AS584="","",INDEX(E_Rules!$D$5:$D$9,$AS584))))</f>
        <v/>
      </c>
      <c r="AV584" t="str">
        <f>IF($AQ584="","",IF(INDEX(C_Pavement!$F$5:$F$204,$AQ584)&lt;&gt;"",IF(INDEX(C_Pavement!$F$5:$F$204,$AQ584)="-","",INDEX(C_Pavement!$F$5:$F$204,$AQ584)),IF($AS584="","",INDEX(E_Rules!$E$5:$E$9,$AS584))))</f>
        <v/>
      </c>
      <c r="AW584" t="str">
        <f>IF($AQ584="","",IF(INDEX(C_Pavement!$G$5:$G$204,$AQ584)&lt;&gt;"",IF(INDEX(C_Pavement!$G$5:$G$204,$AQ584)="-","",INDEX(C_Pavement!$G$5:$G$204,$AQ584)),IF($AS584="","",INDEX(E_Rules!$F$5:$F$9,$AS584))))</f>
        <v/>
      </c>
      <c r="AX584" t="str">
        <f>IF($AQ584="","",IF(INDEX(C_Pavement!$H$5:$H$204,$AQ584)&lt;&gt;"",IF(INDEX(C_Pavement!$H$5:$H$204,$AQ584)="-","",INDEX(C_Pavement!$H$5:$H$204,$AQ584)),IF($AS584="","",INDEX(E_Rules!$G$5:$G$9,$AS584))))</f>
        <v/>
      </c>
      <c r="AY584" t="str">
        <f>IF($AQ584="","",IF(INDEX(C_Pavement!$I$5:$I$204,$AQ584)&lt;&gt;"",IF(INDEX(C_Pavement!$I$5:$I$204,$AQ584)="-","",INDEX(C_Pavement!$I$5:$I$204,$AQ584)),IF($AS584="","",INDEX(E_Rules!$H$5:$H$9,$AS584))))</f>
        <v/>
      </c>
    </row>
    <row r="585" spans="1:51" ht="15.75" customHeight="1" x14ac:dyDescent="0.3">
      <c r="A585" s="189">
        <v>580</v>
      </c>
      <c r="B585" s="180">
        <v>28950</v>
      </c>
      <c r="C585" s="180" t="s">
        <v>891</v>
      </c>
      <c r="D585" s="181" t="str">
        <f>IFERROR(LOOKUP(2,1/((A_Corridor!$A$5:$A$204&lt;&gt;"")*(A_Corridor!$A$5:$A$204&lt;=$B585)*(A_Corridor!$B$5:$B$204&gt;$B585)*(A_Corridor!$C$5:$C$204&lt;&gt;"")),IF(UPPER(A_Corridor!$C$5:$C$204)="Y",1,"")),"")</f>
        <v/>
      </c>
      <c r="E585" s="181" t="str">
        <f>IFERROR(LOOKUP(2,1/((A_Corridor!$A$5:$A$204&lt;&gt;"")*(A_Corridor!$A$5:$A$204&lt;=$B585)*(A_Corridor!$B$5:$B$204&gt;$B585)*(A_Corridor!$D$5:$D$204&lt;&gt;"")),IF(A_Corridor!$D$5:$D$204="-","",UPPER(A_Corridor!$D$5:$D$204))),"")</f>
        <v/>
      </c>
      <c r="F585" s="181" t="str">
        <f>IFERROR(LOOKUP(2,1/((A_Corridor!$A$5:$A$204&lt;&gt;"")*(A_Corridor!$A$5:$A$204&lt;=$B585)*(A_Corridor!$B$5:$B$204&gt;$B585)*(A_Corridor!$E$5:$E$204&lt;&gt;"")),IF(A_Corridor!$E$5:$E$204="-","",1)),"")</f>
        <v/>
      </c>
      <c r="G585" s="182" t="str">
        <f>IFERROR(LOOKUP(2,1/((A_Corridor!$A$5:$A$204&lt;&gt;"")*(A_Corridor!$A$5:$A$204&lt;=$B585)*(A_Corridor!$B$5:$B$204&gt;$B585)*(A_Corridor!$E$5:$E$204&lt;&gt;"")),IF(A_Corridor!$E$5:$E$204="-","",A_Corridor!$E$5:$E$204)),"")</f>
        <v/>
      </c>
      <c r="H585" s="182" t="str">
        <f>IFERROR(LOOKUP(2,1/((D_Points!$A$5:$A$204&lt;&gt;"")*(D_Points!$A$5:$A$204&gt;=$B585)*(D_Points!$A$5:$A$204&lt;$B585+P_Interval)*(UPPER(TRIM(D_Points!$B$5:$B$204))="GULLY")*(D_Points!$H$5:$H$204&lt;&gt;"")),D_Points!$H$5:$H$204),"")</f>
        <v/>
      </c>
      <c r="I585" s="181" t="str">
        <f>IFERROR(LOOKUP(2,1/((A_Corridor!$A$5:$A$204&lt;&gt;"")*(A_Corridor!$A$5:$A$204&lt;=$B585)*(A_Corridor!$B$5:$B$204&gt;$B585)*(A_Corridor!$F$5:$F$204&lt;&gt;"")),IF(A_Corridor!$F$5:$F$204="-","",1)),"")</f>
        <v/>
      </c>
      <c r="J585" s="182" t="str">
        <f>IFERROR(LOOKUP(2,1/((A_Corridor!$A$5:$A$204&lt;&gt;"")*(A_Corridor!$A$5:$A$204&lt;=$B585)*(A_Corridor!$B$5:$B$204&gt;$B585)*(A_Corridor!$F$5:$F$204&lt;&gt;"")),IF(A_Corridor!$F$5:$F$204="-","",A_Corridor!$F$5:$F$204)),"")</f>
        <v/>
      </c>
      <c r="K585" s="182" t="str">
        <f>IFERROR(LOOKUP(2,1/((A_Corridor!$A$5:$A$204&lt;&gt;"")*(A_Corridor!$A$5:$A$204&lt;=$B585)*(A_Corridor!$B$5:$B$204&gt;$B585)*(A_Corridor!$G$5:$G$204&lt;&gt;"")),IF(A_Corridor!$G$5:$G$204="-","",A_Corridor!$G$5:$G$204)),"")</f>
        <v/>
      </c>
      <c r="L585" s="181" t="str">
        <f>IFERROR(LOOKUP(2,1/((A_Corridor!$A$5:$A$204&lt;&gt;"")*(A_Corridor!$A$5:$A$204&lt;=$B585)*(A_Corridor!$B$5:$B$204&gt;$B585)*(A_Corridor!$H$5:$H$204&lt;&gt;"")),IF(A_Corridor!$H$5:$H$204="-","",1)),"")</f>
        <v/>
      </c>
      <c r="M585" s="182" t="str">
        <f>IFERROR(LOOKUP(2,1/((A_Corridor!$A$5:$A$204&lt;&gt;"")*(A_Corridor!$A$5:$A$204&lt;=$B585)*(A_Corridor!$B$5:$B$204&gt;$B585)*(A_Corridor!$H$5:$H$204&lt;&gt;"")),IF(A_Corridor!$H$5:$H$204="-","",A_Corridor!$H$5:$H$204)),"")</f>
        <v/>
      </c>
      <c r="N585" s="182" t="str">
        <f>IFERROR(LOOKUP(2,1/((A_Corridor!$A$5:$A$204&lt;&gt;"")*(A_Corridor!$A$5:$A$204&lt;=$B585)*(A_Corridor!$B$5:$B$204&gt;$B585)*(A_Corridor!$I$5:$I$204&lt;&gt;"")),IF(A_Corridor!$I$5:$I$204="-","",A_Corridor!$I$5:$I$204)),"")</f>
        <v/>
      </c>
      <c r="O585" s="182" t="str">
        <f>IFERROR(LOOKUP(2,1/((D_Points!$A$5:$A$204&lt;&gt;"")*(D_Points!$A$5:$A$204&gt;=$B585)*(D_Points!$A$5:$A$204&lt;$B585+P_Interval)*(UPPER(TRIM(D_Points!$B$5:$B$204))="PITCHING")*(D_Points!$H$5:$H$204&lt;&gt;"")),D_Points!$H$5:$H$204),"")</f>
        <v/>
      </c>
      <c r="P585" s="181" t="str">
        <f>IFERROR(LOOKUP(2,1/((B_Drainage!$A$5:$A$204&lt;&gt;"")*(B_Drainage!$A$5:$A$204&lt;=$B585)*(B_Drainage!$B$5:$B$204&gt;$B585)*(B_Drainage!$C$5:$C$204&lt;&gt;"")),IF(B_Drainage!$C$5:$C$204="-","",UPPER(B_Drainage!$C$5:$C$204))),"")</f>
        <v/>
      </c>
      <c r="Q585" s="181" t="str">
        <f>IFERROR(LOOKUP(2,1/((B_Drainage!$A$5:$A$204&lt;&gt;"")*(B_Drainage!$A$5:$A$204&lt;=$B585)*(B_Drainage!$B$5:$B$204&gt;$B585)*(B_Drainage!$D$5:$D$204&lt;&gt;"")),IF(B_Drainage!$D$5:$D$204="-","",UPPER(B_Drainage!$D$5:$D$204))),"")</f>
        <v/>
      </c>
      <c r="R585" s="182" t="str">
        <f>IFERROR(LOOKUP(2,1/((D_Points!$A$5:$A$204&lt;&gt;"")*(D_Points!$A$5:$A$204&gt;=$B585)*(D_Points!$A$5:$A$204&lt;$B585+P_Interval)*(RIGHT(UPPER(TRIM(D_Points!$B$5:$B$204)),8)="_CULVERT")),IF(LEFT(UPPER(TRIM(D_Points!$B$5:$B$204)),2)="EX",1,IF(LEFT(UPPER(TRIM(D_Points!$B$5:$B$204)),2)="PR",2,3))),"")</f>
        <v/>
      </c>
      <c r="S585" s="182" t="str">
        <f>IFERROR(LOOKUP(2,1/((D_Points!$A$5:$A$204&lt;&gt;"")*(D_Points!$A$5:$A$204&gt;=$B585)*(D_Points!$A$5:$A$204&lt;$B585+P_Interval)*(RIGHT(UPPER(TRIM(D_Points!$B$5:$B$204)),7)="_BRIDGE")),IF(LEFT(UPPER(TRIM(D_Points!$B$5:$B$204)),2)="EX",1,IF(LEFT(UPPER(TRIM(D_Points!$B$5:$B$204)),2)="PR",2,2))),"")</f>
        <v/>
      </c>
      <c r="T585" s="181" t="str">
        <f>IFERROR(LOOKUP(2,1/((B_Drainage!$A$5:$A$204&lt;&gt;"")*(B_Drainage!$A$5:$A$204&lt;=$B585)*(B_Drainage!$B$5:$B$204&gt;$B585)*(B_Drainage!$E$5:$E$204&lt;&gt;"")),IF(B_Drainage!$E$5:$E$204="-","",1)),"")</f>
        <v/>
      </c>
      <c r="U585" s="181" t="str">
        <f>IFERROR(LOOKUP(2,1/((B_Drainage!$A$5:$A$204&lt;&gt;"")*(B_Drainage!$A$5:$A$204&lt;=$B585)*(B_Drainage!$B$5:$B$204&gt;$B585)*(B_Drainage!$E$5:$E$204&lt;&gt;"")),IF(B_Drainage!$E$5:$E$204="-","",B_Drainage!$E$5:$E$204)),"")</f>
        <v/>
      </c>
      <c r="V585" s="181" t="str">
        <f>IFERROR(LOOKUP(2,1/((B_Drainage!$A$5:$A$204&lt;&gt;"")*(B_Drainage!$A$5:$A$204&lt;=$B585)*(B_Drainage!$B$5:$B$204&gt;$B585)*(B_Drainage!$F$5:$F$204&lt;&gt;"")),IF(B_Drainage!$F$5:$F$204="-","",1)),"")</f>
        <v/>
      </c>
      <c r="W585" s="181" t="str">
        <f>IFERROR(LOOKUP(2,1/((B_Drainage!$A$5:$A$204&lt;&gt;"")*(B_Drainage!$A$5:$A$204&lt;=$B585)*(B_Drainage!$B$5:$B$204&gt;$B585)*(B_Drainage!$F$5:$F$204&lt;&gt;"")),IF(B_Drainage!$F$5:$F$204="-","",B_Drainage!$F$5:$F$204)),"")</f>
        <v/>
      </c>
      <c r="X585" s="181" t="str">
        <f>IFERROR(LOOKUP(2,1/((B_Drainage!$A$5:$A$204&lt;&gt;"")*(B_Drainage!$A$5:$A$204&lt;=$B585)*(B_Drainage!$B$5:$B$204&gt;$B585)*(B_Drainage!$G$5:$G$204&lt;&gt;"")),IF(UPPER(B_Drainage!$G$5:$G$204)="Y",1,"")),"")</f>
        <v/>
      </c>
      <c r="Y585" s="181" t="str">
        <f>IFERROR(LOOKUP(2,1/((B_Drainage!$A$5:$A$204&lt;&gt;"")*(B_Drainage!$A$5:$A$204&lt;=$B585)*(B_Drainage!$B$5:$B$204&gt;$B585)*(B_Drainage!$H$5:$H$204&lt;&gt;"")),IF(UPPER(B_Drainage!$H$5:$H$204)="Y",1,"")),"")</f>
        <v/>
      </c>
      <c r="Z585" s="181" t="str">
        <f>IFERROR(LOOKUP(2,1/((B_Drainage!$A$5:$A$204&lt;&gt;"")*(B_Drainage!$A$5:$A$204&lt;=$B585)*(B_Drainage!$B$5:$B$204&gt;$B585)*(B_Drainage!$I$5:$I$204&lt;&gt;"")),IF(UPPER(B_Drainage!$I$5:$I$204)="Y",1,"")),"")</f>
        <v/>
      </c>
      <c r="AA585" s="181" t="str">
        <f>IFERROR(LOOKUP(2,1/((B_Drainage!$A$5:$A$204&lt;&gt;"")*(B_Drainage!$A$5:$A$204&lt;=$B585)*(B_Drainage!$B$5:$B$204&gt;$B585)*(B_Drainage!$J$5:$J$204&lt;&gt;"")),IF(UPPER(B_Drainage!$J$5:$J$204)="Y",1,"")),"")</f>
        <v/>
      </c>
      <c r="AB585" s="182" t="str">
        <f>IFERROR(LOOKUP(2,1/((B_Drainage!$A$5:$A$204&lt;&gt;"")*(B_Drainage!$A$5:$A$204&lt;=$B585)*(B_Drainage!$B$5:$B$204&gt;$B585)*(B_Drainage!$K$5:$K$204&lt;&gt;"")),IF(B_Drainage!$K$5:$K$204="-","",B_Drainage!$K$5:$K$204)),"")</f>
        <v/>
      </c>
      <c r="AC585" s="182" t="str">
        <f>IFERROR(LOOKUP(2,1/((B_Drainage!$A$5:$A$204&lt;&gt;"")*(B_Drainage!$A$5:$A$204&lt;=$B585)*(B_Drainage!$B$5:$B$204&gt;$B585)*(B_Drainage!$L$5:$L$204&lt;&gt;"")),IF(B_Drainage!$L$5:$L$204="-","",B_Drainage!$L$5:$L$204)),"")</f>
        <v/>
      </c>
      <c r="AD585" s="182" t="str">
        <f>IFERROR(LOOKUP(2,1/((D_Points!$A$5:$A$204&lt;&gt;"")*(D_Points!$A$5:$A$204&gt;=$B585)*(D_Points!$A$5:$A$204&lt;$B585+P_Interval)*(UPPER(TRIM(D_Points!$B$5:$B$204))="TURNOUT_L")*(D_Points!$H$5:$H$204&lt;&gt;"")),D_Points!$H$5:$H$204),"")</f>
        <v/>
      </c>
      <c r="AE585" s="182" t="str">
        <f>IFERROR(LOOKUP(2,1/((D_Points!$A$5:$A$204&lt;&gt;"")*(D_Points!$A$5:$A$204&gt;=$B585)*(D_Points!$A$5:$A$204&lt;$B585+P_Interval)*(UPPER(TRIM(D_Points!$B$5:$B$204))="TURNOUT_R")*(D_Points!$H$5:$H$204&lt;&gt;"")),D_Points!$H$5:$H$204),"")</f>
        <v/>
      </c>
      <c r="AF585" s="181" t="str">
        <f>IFERROR(LOOKUP(2,1/((B_Drainage!$A$5:$A$204&lt;&gt;"")*(B_Drainage!$A$5:$A$204&lt;=$B585)*(B_Drainage!$B$5:$B$204&gt;$B585)*(B_Drainage!$M$5:$M$204&lt;&gt;"")),IF(UPPER(B_Drainage!$M$5:$M$204)="Y",1,"")),"")</f>
        <v/>
      </c>
      <c r="AG585" s="181" t="str">
        <f>IFERROR(LOOKUP(2,1/((B_Drainage!$A$5:$A$204&lt;&gt;"")*(B_Drainage!$A$5:$A$204&lt;=$B585)*(B_Drainage!$B$5:$B$204&gt;$B585)*(B_Drainage!$N$5:$N$204&lt;&gt;"")),IF(UPPER(B_Drainage!$N$5:$N$204)="Y",1,"")),"")</f>
        <v/>
      </c>
      <c r="AH585" s="181" t="str">
        <f t="shared" si="72"/>
        <v/>
      </c>
      <c r="AI585" s="181" t="str">
        <f t="shared" si="73"/>
        <v/>
      </c>
      <c r="AJ585" s="181" t="str">
        <f t="shared" si="74"/>
        <v/>
      </c>
      <c r="AK585" s="181" t="str">
        <f t="shared" si="75"/>
        <v/>
      </c>
      <c r="AL585" s="181" t="str">
        <f t="shared" si="76"/>
        <v/>
      </c>
      <c r="AM585" s="181" t="str">
        <f t="shared" si="77"/>
        <v/>
      </c>
      <c r="AN585" s="181" t="str">
        <f t="shared" si="78"/>
        <v/>
      </c>
      <c r="AO585" s="192" t="str">
        <f t="shared" si="79"/>
        <v/>
      </c>
      <c r="AQ585" t="str">
        <f>IFERROR(LOOKUP(2,1/((C_Pavement!$A$5:$A$204&lt;&gt;"")*(C_Pavement!$A$5:$A$204&lt;=$B585)*(C_Pavement!$B$5:$B$204&gt;$B585)*(C_Pavement!$C$5:$C$204&lt;&gt;"")),ROW(C_Pavement!$C$5:$C$204)-4),"")</f>
        <v/>
      </c>
      <c r="AR585" t="str">
        <f>IF($AQ585="","",UPPER(TRIM(INDEX(C_Pavement!$C$5:$C$204,$AQ585))))</f>
        <v/>
      </c>
      <c r="AS585" t="str">
        <f>IF($AR585="","",IFERROR(MATCH($AR585,E_Rules!$A$5:$A$9,0),""))</f>
        <v/>
      </c>
      <c r="AT585" t="str">
        <f>IF($AQ585="","",IF(INDEX(C_Pavement!$D$5:$D$204,$AQ585)&lt;&gt;"",UPPER(TRIM(INDEX(C_Pavement!$D$5:$D$204,$AQ585))),IF($AS585="","",INDEX(E_Rules!$C$5:$C$9,$AS585))))</f>
        <v/>
      </c>
      <c r="AU585" t="str">
        <f>IF($AQ585="","",IF(INDEX(C_Pavement!$E$5:$E$204,$AQ585)&lt;&gt;"",IF(INDEX(C_Pavement!$E$5:$E$204,$AQ585)="-","",INDEX(C_Pavement!$E$5:$E$204,$AQ585)),IF($AS585="","",INDEX(E_Rules!$D$5:$D$9,$AS585))))</f>
        <v/>
      </c>
      <c r="AV585" t="str">
        <f>IF($AQ585="","",IF(INDEX(C_Pavement!$F$5:$F$204,$AQ585)&lt;&gt;"",IF(INDEX(C_Pavement!$F$5:$F$204,$AQ585)="-","",INDEX(C_Pavement!$F$5:$F$204,$AQ585)),IF($AS585="","",INDEX(E_Rules!$E$5:$E$9,$AS585))))</f>
        <v/>
      </c>
      <c r="AW585" t="str">
        <f>IF($AQ585="","",IF(INDEX(C_Pavement!$G$5:$G$204,$AQ585)&lt;&gt;"",IF(INDEX(C_Pavement!$G$5:$G$204,$AQ585)="-","",INDEX(C_Pavement!$G$5:$G$204,$AQ585)),IF($AS585="","",INDEX(E_Rules!$F$5:$F$9,$AS585))))</f>
        <v/>
      </c>
      <c r="AX585" t="str">
        <f>IF($AQ585="","",IF(INDEX(C_Pavement!$H$5:$H$204,$AQ585)&lt;&gt;"",IF(INDEX(C_Pavement!$H$5:$H$204,$AQ585)="-","",INDEX(C_Pavement!$H$5:$H$204,$AQ585)),IF($AS585="","",INDEX(E_Rules!$G$5:$G$9,$AS585))))</f>
        <v/>
      </c>
      <c r="AY585" t="str">
        <f>IF($AQ585="","",IF(INDEX(C_Pavement!$I$5:$I$204,$AQ585)&lt;&gt;"",IF(INDEX(C_Pavement!$I$5:$I$204,$AQ585)="-","",INDEX(C_Pavement!$I$5:$I$204,$AQ585)),IF($AS585="","",INDEX(E_Rules!$H$5:$H$9,$AS585))))</f>
        <v/>
      </c>
    </row>
    <row r="586" spans="1:51" ht="15.75" customHeight="1" x14ac:dyDescent="0.3">
      <c r="A586" s="189">
        <v>581</v>
      </c>
      <c r="B586" s="180">
        <v>29000</v>
      </c>
      <c r="C586" s="180" t="s">
        <v>892</v>
      </c>
      <c r="D586" s="181" t="str">
        <f>IFERROR(LOOKUP(2,1/((A_Corridor!$A$5:$A$204&lt;&gt;"")*(A_Corridor!$A$5:$A$204&lt;=$B586)*(A_Corridor!$B$5:$B$204&gt;$B586)*(A_Corridor!$C$5:$C$204&lt;&gt;"")),IF(UPPER(A_Corridor!$C$5:$C$204)="Y",1,"")),"")</f>
        <v/>
      </c>
      <c r="E586" s="181" t="str">
        <f>IFERROR(LOOKUP(2,1/((A_Corridor!$A$5:$A$204&lt;&gt;"")*(A_Corridor!$A$5:$A$204&lt;=$B586)*(A_Corridor!$B$5:$B$204&gt;$B586)*(A_Corridor!$D$5:$D$204&lt;&gt;"")),IF(A_Corridor!$D$5:$D$204="-","",UPPER(A_Corridor!$D$5:$D$204))),"")</f>
        <v/>
      </c>
      <c r="F586" s="181" t="str">
        <f>IFERROR(LOOKUP(2,1/((A_Corridor!$A$5:$A$204&lt;&gt;"")*(A_Corridor!$A$5:$A$204&lt;=$B586)*(A_Corridor!$B$5:$B$204&gt;$B586)*(A_Corridor!$E$5:$E$204&lt;&gt;"")),IF(A_Corridor!$E$5:$E$204="-","",1)),"")</f>
        <v/>
      </c>
      <c r="G586" s="182" t="str">
        <f>IFERROR(LOOKUP(2,1/((A_Corridor!$A$5:$A$204&lt;&gt;"")*(A_Corridor!$A$5:$A$204&lt;=$B586)*(A_Corridor!$B$5:$B$204&gt;$B586)*(A_Corridor!$E$5:$E$204&lt;&gt;"")),IF(A_Corridor!$E$5:$E$204="-","",A_Corridor!$E$5:$E$204)),"")</f>
        <v/>
      </c>
      <c r="H586" s="182" t="str">
        <f>IFERROR(LOOKUP(2,1/((D_Points!$A$5:$A$204&lt;&gt;"")*(D_Points!$A$5:$A$204&gt;=$B586)*(D_Points!$A$5:$A$204&lt;$B586+P_Interval)*(UPPER(TRIM(D_Points!$B$5:$B$204))="GULLY")*(D_Points!$H$5:$H$204&lt;&gt;"")),D_Points!$H$5:$H$204),"")</f>
        <v/>
      </c>
      <c r="I586" s="181" t="str">
        <f>IFERROR(LOOKUP(2,1/((A_Corridor!$A$5:$A$204&lt;&gt;"")*(A_Corridor!$A$5:$A$204&lt;=$B586)*(A_Corridor!$B$5:$B$204&gt;$B586)*(A_Corridor!$F$5:$F$204&lt;&gt;"")),IF(A_Corridor!$F$5:$F$204="-","",1)),"")</f>
        <v/>
      </c>
      <c r="J586" s="182" t="str">
        <f>IFERROR(LOOKUP(2,1/((A_Corridor!$A$5:$A$204&lt;&gt;"")*(A_Corridor!$A$5:$A$204&lt;=$B586)*(A_Corridor!$B$5:$B$204&gt;$B586)*(A_Corridor!$F$5:$F$204&lt;&gt;"")),IF(A_Corridor!$F$5:$F$204="-","",A_Corridor!$F$5:$F$204)),"")</f>
        <v/>
      </c>
      <c r="K586" s="182" t="str">
        <f>IFERROR(LOOKUP(2,1/((A_Corridor!$A$5:$A$204&lt;&gt;"")*(A_Corridor!$A$5:$A$204&lt;=$B586)*(A_Corridor!$B$5:$B$204&gt;$B586)*(A_Corridor!$G$5:$G$204&lt;&gt;"")),IF(A_Corridor!$G$5:$G$204="-","",A_Corridor!$G$5:$G$204)),"")</f>
        <v/>
      </c>
      <c r="L586" s="181" t="str">
        <f>IFERROR(LOOKUP(2,1/((A_Corridor!$A$5:$A$204&lt;&gt;"")*(A_Corridor!$A$5:$A$204&lt;=$B586)*(A_Corridor!$B$5:$B$204&gt;$B586)*(A_Corridor!$H$5:$H$204&lt;&gt;"")),IF(A_Corridor!$H$5:$H$204="-","",1)),"")</f>
        <v/>
      </c>
      <c r="M586" s="182" t="str">
        <f>IFERROR(LOOKUP(2,1/((A_Corridor!$A$5:$A$204&lt;&gt;"")*(A_Corridor!$A$5:$A$204&lt;=$B586)*(A_Corridor!$B$5:$B$204&gt;$B586)*(A_Corridor!$H$5:$H$204&lt;&gt;"")),IF(A_Corridor!$H$5:$H$204="-","",A_Corridor!$H$5:$H$204)),"")</f>
        <v/>
      </c>
      <c r="N586" s="182" t="str">
        <f>IFERROR(LOOKUP(2,1/((A_Corridor!$A$5:$A$204&lt;&gt;"")*(A_Corridor!$A$5:$A$204&lt;=$B586)*(A_Corridor!$B$5:$B$204&gt;$B586)*(A_Corridor!$I$5:$I$204&lt;&gt;"")),IF(A_Corridor!$I$5:$I$204="-","",A_Corridor!$I$5:$I$204)),"")</f>
        <v/>
      </c>
      <c r="O586" s="182" t="str">
        <f>IFERROR(LOOKUP(2,1/((D_Points!$A$5:$A$204&lt;&gt;"")*(D_Points!$A$5:$A$204&gt;=$B586)*(D_Points!$A$5:$A$204&lt;$B586+P_Interval)*(UPPER(TRIM(D_Points!$B$5:$B$204))="PITCHING")*(D_Points!$H$5:$H$204&lt;&gt;"")),D_Points!$H$5:$H$204),"")</f>
        <v/>
      </c>
      <c r="P586" s="181" t="str">
        <f>IFERROR(LOOKUP(2,1/((B_Drainage!$A$5:$A$204&lt;&gt;"")*(B_Drainage!$A$5:$A$204&lt;=$B586)*(B_Drainage!$B$5:$B$204&gt;$B586)*(B_Drainage!$C$5:$C$204&lt;&gt;"")),IF(B_Drainage!$C$5:$C$204="-","",UPPER(B_Drainage!$C$5:$C$204))),"")</f>
        <v/>
      </c>
      <c r="Q586" s="181" t="str">
        <f>IFERROR(LOOKUP(2,1/((B_Drainage!$A$5:$A$204&lt;&gt;"")*(B_Drainage!$A$5:$A$204&lt;=$B586)*(B_Drainage!$B$5:$B$204&gt;$B586)*(B_Drainage!$D$5:$D$204&lt;&gt;"")),IF(B_Drainage!$D$5:$D$204="-","",UPPER(B_Drainage!$D$5:$D$204))),"")</f>
        <v/>
      </c>
      <c r="R586" s="182" t="str">
        <f>IFERROR(LOOKUP(2,1/((D_Points!$A$5:$A$204&lt;&gt;"")*(D_Points!$A$5:$A$204&gt;=$B586)*(D_Points!$A$5:$A$204&lt;$B586+P_Interval)*(RIGHT(UPPER(TRIM(D_Points!$B$5:$B$204)),8)="_CULVERT")),IF(LEFT(UPPER(TRIM(D_Points!$B$5:$B$204)),2)="EX",1,IF(LEFT(UPPER(TRIM(D_Points!$B$5:$B$204)),2)="PR",2,3))),"")</f>
        <v/>
      </c>
      <c r="S586" s="182" t="str">
        <f>IFERROR(LOOKUP(2,1/((D_Points!$A$5:$A$204&lt;&gt;"")*(D_Points!$A$5:$A$204&gt;=$B586)*(D_Points!$A$5:$A$204&lt;$B586+P_Interval)*(RIGHT(UPPER(TRIM(D_Points!$B$5:$B$204)),7)="_BRIDGE")),IF(LEFT(UPPER(TRIM(D_Points!$B$5:$B$204)),2)="EX",1,IF(LEFT(UPPER(TRIM(D_Points!$B$5:$B$204)),2)="PR",2,2))),"")</f>
        <v/>
      </c>
      <c r="T586" s="181" t="str">
        <f>IFERROR(LOOKUP(2,1/((B_Drainage!$A$5:$A$204&lt;&gt;"")*(B_Drainage!$A$5:$A$204&lt;=$B586)*(B_Drainage!$B$5:$B$204&gt;$B586)*(B_Drainage!$E$5:$E$204&lt;&gt;"")),IF(B_Drainage!$E$5:$E$204="-","",1)),"")</f>
        <v/>
      </c>
      <c r="U586" s="181" t="str">
        <f>IFERROR(LOOKUP(2,1/((B_Drainage!$A$5:$A$204&lt;&gt;"")*(B_Drainage!$A$5:$A$204&lt;=$B586)*(B_Drainage!$B$5:$B$204&gt;$B586)*(B_Drainage!$E$5:$E$204&lt;&gt;"")),IF(B_Drainage!$E$5:$E$204="-","",B_Drainage!$E$5:$E$204)),"")</f>
        <v/>
      </c>
      <c r="V586" s="181" t="str">
        <f>IFERROR(LOOKUP(2,1/((B_Drainage!$A$5:$A$204&lt;&gt;"")*(B_Drainage!$A$5:$A$204&lt;=$B586)*(B_Drainage!$B$5:$B$204&gt;$B586)*(B_Drainage!$F$5:$F$204&lt;&gt;"")),IF(B_Drainage!$F$5:$F$204="-","",1)),"")</f>
        <v/>
      </c>
      <c r="W586" s="181" t="str">
        <f>IFERROR(LOOKUP(2,1/((B_Drainage!$A$5:$A$204&lt;&gt;"")*(B_Drainage!$A$5:$A$204&lt;=$B586)*(B_Drainage!$B$5:$B$204&gt;$B586)*(B_Drainage!$F$5:$F$204&lt;&gt;"")),IF(B_Drainage!$F$5:$F$204="-","",B_Drainage!$F$5:$F$204)),"")</f>
        <v/>
      </c>
      <c r="X586" s="181" t="str">
        <f>IFERROR(LOOKUP(2,1/((B_Drainage!$A$5:$A$204&lt;&gt;"")*(B_Drainage!$A$5:$A$204&lt;=$B586)*(B_Drainage!$B$5:$B$204&gt;$B586)*(B_Drainage!$G$5:$G$204&lt;&gt;"")),IF(UPPER(B_Drainage!$G$5:$G$204)="Y",1,"")),"")</f>
        <v/>
      </c>
      <c r="Y586" s="181" t="str">
        <f>IFERROR(LOOKUP(2,1/((B_Drainage!$A$5:$A$204&lt;&gt;"")*(B_Drainage!$A$5:$A$204&lt;=$B586)*(B_Drainage!$B$5:$B$204&gt;$B586)*(B_Drainage!$H$5:$H$204&lt;&gt;"")),IF(UPPER(B_Drainage!$H$5:$H$204)="Y",1,"")),"")</f>
        <v/>
      </c>
      <c r="Z586" s="181" t="str">
        <f>IFERROR(LOOKUP(2,1/((B_Drainage!$A$5:$A$204&lt;&gt;"")*(B_Drainage!$A$5:$A$204&lt;=$B586)*(B_Drainage!$B$5:$B$204&gt;$B586)*(B_Drainage!$I$5:$I$204&lt;&gt;"")),IF(UPPER(B_Drainage!$I$5:$I$204)="Y",1,"")),"")</f>
        <v/>
      </c>
      <c r="AA586" s="181" t="str">
        <f>IFERROR(LOOKUP(2,1/((B_Drainage!$A$5:$A$204&lt;&gt;"")*(B_Drainage!$A$5:$A$204&lt;=$B586)*(B_Drainage!$B$5:$B$204&gt;$B586)*(B_Drainage!$J$5:$J$204&lt;&gt;"")),IF(UPPER(B_Drainage!$J$5:$J$204)="Y",1,"")),"")</f>
        <v/>
      </c>
      <c r="AB586" s="182" t="str">
        <f>IFERROR(LOOKUP(2,1/((B_Drainage!$A$5:$A$204&lt;&gt;"")*(B_Drainage!$A$5:$A$204&lt;=$B586)*(B_Drainage!$B$5:$B$204&gt;$B586)*(B_Drainage!$K$5:$K$204&lt;&gt;"")),IF(B_Drainage!$K$5:$K$204="-","",B_Drainage!$K$5:$K$204)),"")</f>
        <v/>
      </c>
      <c r="AC586" s="182" t="str">
        <f>IFERROR(LOOKUP(2,1/((B_Drainage!$A$5:$A$204&lt;&gt;"")*(B_Drainage!$A$5:$A$204&lt;=$B586)*(B_Drainage!$B$5:$B$204&gt;$B586)*(B_Drainage!$L$5:$L$204&lt;&gt;"")),IF(B_Drainage!$L$5:$L$204="-","",B_Drainage!$L$5:$L$204)),"")</f>
        <v/>
      </c>
      <c r="AD586" s="182" t="str">
        <f>IFERROR(LOOKUP(2,1/((D_Points!$A$5:$A$204&lt;&gt;"")*(D_Points!$A$5:$A$204&gt;=$B586)*(D_Points!$A$5:$A$204&lt;$B586+P_Interval)*(UPPER(TRIM(D_Points!$B$5:$B$204))="TURNOUT_L")*(D_Points!$H$5:$H$204&lt;&gt;"")),D_Points!$H$5:$H$204),"")</f>
        <v/>
      </c>
      <c r="AE586" s="182" t="str">
        <f>IFERROR(LOOKUP(2,1/((D_Points!$A$5:$A$204&lt;&gt;"")*(D_Points!$A$5:$A$204&gt;=$B586)*(D_Points!$A$5:$A$204&lt;$B586+P_Interval)*(UPPER(TRIM(D_Points!$B$5:$B$204))="TURNOUT_R")*(D_Points!$H$5:$H$204&lt;&gt;"")),D_Points!$H$5:$H$204),"")</f>
        <v/>
      </c>
      <c r="AF586" s="181" t="str">
        <f>IFERROR(LOOKUP(2,1/((B_Drainage!$A$5:$A$204&lt;&gt;"")*(B_Drainage!$A$5:$A$204&lt;=$B586)*(B_Drainage!$B$5:$B$204&gt;$B586)*(B_Drainage!$M$5:$M$204&lt;&gt;"")),IF(UPPER(B_Drainage!$M$5:$M$204)="Y",1,"")),"")</f>
        <v/>
      </c>
      <c r="AG586" s="181" t="str">
        <f>IFERROR(LOOKUP(2,1/((B_Drainage!$A$5:$A$204&lt;&gt;"")*(B_Drainage!$A$5:$A$204&lt;=$B586)*(B_Drainage!$B$5:$B$204&gt;$B586)*(B_Drainage!$N$5:$N$204&lt;&gt;"")),IF(UPPER(B_Drainage!$N$5:$N$204)="Y",1,"")),"")</f>
        <v/>
      </c>
      <c r="AH586" s="181" t="str">
        <f t="shared" si="72"/>
        <v/>
      </c>
      <c r="AI586" s="181" t="str">
        <f t="shared" si="73"/>
        <v/>
      </c>
      <c r="AJ586" s="181" t="str">
        <f t="shared" si="74"/>
        <v/>
      </c>
      <c r="AK586" s="181" t="str">
        <f t="shared" si="75"/>
        <v/>
      </c>
      <c r="AL586" s="181" t="str">
        <f t="shared" si="76"/>
        <v/>
      </c>
      <c r="AM586" s="181" t="str">
        <f t="shared" si="77"/>
        <v/>
      </c>
      <c r="AN586" s="181" t="str">
        <f t="shared" si="78"/>
        <v/>
      </c>
      <c r="AO586" s="192" t="str">
        <f t="shared" si="79"/>
        <v/>
      </c>
      <c r="AQ586" t="str">
        <f>IFERROR(LOOKUP(2,1/((C_Pavement!$A$5:$A$204&lt;&gt;"")*(C_Pavement!$A$5:$A$204&lt;=$B586)*(C_Pavement!$B$5:$B$204&gt;$B586)*(C_Pavement!$C$5:$C$204&lt;&gt;"")),ROW(C_Pavement!$C$5:$C$204)-4),"")</f>
        <v/>
      </c>
      <c r="AR586" t="str">
        <f>IF($AQ586="","",UPPER(TRIM(INDEX(C_Pavement!$C$5:$C$204,$AQ586))))</f>
        <v/>
      </c>
      <c r="AS586" t="str">
        <f>IF($AR586="","",IFERROR(MATCH($AR586,E_Rules!$A$5:$A$9,0),""))</f>
        <v/>
      </c>
      <c r="AT586" t="str">
        <f>IF($AQ586="","",IF(INDEX(C_Pavement!$D$5:$D$204,$AQ586)&lt;&gt;"",UPPER(TRIM(INDEX(C_Pavement!$D$5:$D$204,$AQ586))),IF($AS586="","",INDEX(E_Rules!$C$5:$C$9,$AS586))))</f>
        <v/>
      </c>
      <c r="AU586" t="str">
        <f>IF($AQ586="","",IF(INDEX(C_Pavement!$E$5:$E$204,$AQ586)&lt;&gt;"",IF(INDEX(C_Pavement!$E$5:$E$204,$AQ586)="-","",INDEX(C_Pavement!$E$5:$E$204,$AQ586)),IF($AS586="","",INDEX(E_Rules!$D$5:$D$9,$AS586))))</f>
        <v/>
      </c>
      <c r="AV586" t="str">
        <f>IF($AQ586="","",IF(INDEX(C_Pavement!$F$5:$F$204,$AQ586)&lt;&gt;"",IF(INDEX(C_Pavement!$F$5:$F$204,$AQ586)="-","",INDEX(C_Pavement!$F$5:$F$204,$AQ586)),IF($AS586="","",INDEX(E_Rules!$E$5:$E$9,$AS586))))</f>
        <v/>
      </c>
      <c r="AW586" t="str">
        <f>IF($AQ586="","",IF(INDEX(C_Pavement!$G$5:$G$204,$AQ586)&lt;&gt;"",IF(INDEX(C_Pavement!$G$5:$G$204,$AQ586)="-","",INDEX(C_Pavement!$G$5:$G$204,$AQ586)),IF($AS586="","",INDEX(E_Rules!$F$5:$F$9,$AS586))))</f>
        <v/>
      </c>
      <c r="AX586" t="str">
        <f>IF($AQ586="","",IF(INDEX(C_Pavement!$H$5:$H$204,$AQ586)&lt;&gt;"",IF(INDEX(C_Pavement!$H$5:$H$204,$AQ586)="-","",INDEX(C_Pavement!$H$5:$H$204,$AQ586)),IF($AS586="","",INDEX(E_Rules!$G$5:$G$9,$AS586))))</f>
        <v/>
      </c>
      <c r="AY586" t="str">
        <f>IF($AQ586="","",IF(INDEX(C_Pavement!$I$5:$I$204,$AQ586)&lt;&gt;"",IF(INDEX(C_Pavement!$I$5:$I$204,$AQ586)="-","",INDEX(C_Pavement!$I$5:$I$204,$AQ586)),IF($AS586="","",INDEX(E_Rules!$H$5:$H$9,$AS586))))</f>
        <v/>
      </c>
    </row>
    <row r="587" spans="1:51" ht="15.75" customHeight="1" x14ac:dyDescent="0.3">
      <c r="A587" s="189">
        <v>582</v>
      </c>
      <c r="B587" s="180">
        <v>29050</v>
      </c>
      <c r="C587" s="180" t="s">
        <v>893</v>
      </c>
      <c r="D587" s="181" t="str">
        <f>IFERROR(LOOKUP(2,1/((A_Corridor!$A$5:$A$204&lt;&gt;"")*(A_Corridor!$A$5:$A$204&lt;=$B587)*(A_Corridor!$B$5:$B$204&gt;$B587)*(A_Corridor!$C$5:$C$204&lt;&gt;"")),IF(UPPER(A_Corridor!$C$5:$C$204)="Y",1,"")),"")</f>
        <v/>
      </c>
      <c r="E587" s="181" t="str">
        <f>IFERROR(LOOKUP(2,1/((A_Corridor!$A$5:$A$204&lt;&gt;"")*(A_Corridor!$A$5:$A$204&lt;=$B587)*(A_Corridor!$B$5:$B$204&gt;$B587)*(A_Corridor!$D$5:$D$204&lt;&gt;"")),IF(A_Corridor!$D$5:$D$204="-","",UPPER(A_Corridor!$D$5:$D$204))),"")</f>
        <v/>
      </c>
      <c r="F587" s="181" t="str">
        <f>IFERROR(LOOKUP(2,1/((A_Corridor!$A$5:$A$204&lt;&gt;"")*(A_Corridor!$A$5:$A$204&lt;=$B587)*(A_Corridor!$B$5:$B$204&gt;$B587)*(A_Corridor!$E$5:$E$204&lt;&gt;"")),IF(A_Corridor!$E$5:$E$204="-","",1)),"")</f>
        <v/>
      </c>
      <c r="G587" s="182" t="str">
        <f>IFERROR(LOOKUP(2,1/((A_Corridor!$A$5:$A$204&lt;&gt;"")*(A_Corridor!$A$5:$A$204&lt;=$B587)*(A_Corridor!$B$5:$B$204&gt;$B587)*(A_Corridor!$E$5:$E$204&lt;&gt;"")),IF(A_Corridor!$E$5:$E$204="-","",A_Corridor!$E$5:$E$204)),"")</f>
        <v/>
      </c>
      <c r="H587" s="182" t="str">
        <f>IFERROR(LOOKUP(2,1/((D_Points!$A$5:$A$204&lt;&gt;"")*(D_Points!$A$5:$A$204&gt;=$B587)*(D_Points!$A$5:$A$204&lt;$B587+P_Interval)*(UPPER(TRIM(D_Points!$B$5:$B$204))="GULLY")*(D_Points!$H$5:$H$204&lt;&gt;"")),D_Points!$H$5:$H$204),"")</f>
        <v/>
      </c>
      <c r="I587" s="181" t="str">
        <f>IFERROR(LOOKUP(2,1/((A_Corridor!$A$5:$A$204&lt;&gt;"")*(A_Corridor!$A$5:$A$204&lt;=$B587)*(A_Corridor!$B$5:$B$204&gt;$B587)*(A_Corridor!$F$5:$F$204&lt;&gt;"")),IF(A_Corridor!$F$5:$F$204="-","",1)),"")</f>
        <v/>
      </c>
      <c r="J587" s="182" t="str">
        <f>IFERROR(LOOKUP(2,1/((A_Corridor!$A$5:$A$204&lt;&gt;"")*(A_Corridor!$A$5:$A$204&lt;=$B587)*(A_Corridor!$B$5:$B$204&gt;$B587)*(A_Corridor!$F$5:$F$204&lt;&gt;"")),IF(A_Corridor!$F$5:$F$204="-","",A_Corridor!$F$5:$F$204)),"")</f>
        <v/>
      </c>
      <c r="K587" s="182" t="str">
        <f>IFERROR(LOOKUP(2,1/((A_Corridor!$A$5:$A$204&lt;&gt;"")*(A_Corridor!$A$5:$A$204&lt;=$B587)*(A_Corridor!$B$5:$B$204&gt;$B587)*(A_Corridor!$G$5:$G$204&lt;&gt;"")),IF(A_Corridor!$G$5:$G$204="-","",A_Corridor!$G$5:$G$204)),"")</f>
        <v/>
      </c>
      <c r="L587" s="181" t="str">
        <f>IFERROR(LOOKUP(2,1/((A_Corridor!$A$5:$A$204&lt;&gt;"")*(A_Corridor!$A$5:$A$204&lt;=$B587)*(A_Corridor!$B$5:$B$204&gt;$B587)*(A_Corridor!$H$5:$H$204&lt;&gt;"")),IF(A_Corridor!$H$5:$H$204="-","",1)),"")</f>
        <v/>
      </c>
      <c r="M587" s="182" t="str">
        <f>IFERROR(LOOKUP(2,1/((A_Corridor!$A$5:$A$204&lt;&gt;"")*(A_Corridor!$A$5:$A$204&lt;=$B587)*(A_Corridor!$B$5:$B$204&gt;$B587)*(A_Corridor!$H$5:$H$204&lt;&gt;"")),IF(A_Corridor!$H$5:$H$204="-","",A_Corridor!$H$5:$H$204)),"")</f>
        <v/>
      </c>
      <c r="N587" s="182" t="str">
        <f>IFERROR(LOOKUP(2,1/((A_Corridor!$A$5:$A$204&lt;&gt;"")*(A_Corridor!$A$5:$A$204&lt;=$B587)*(A_Corridor!$B$5:$B$204&gt;$B587)*(A_Corridor!$I$5:$I$204&lt;&gt;"")),IF(A_Corridor!$I$5:$I$204="-","",A_Corridor!$I$5:$I$204)),"")</f>
        <v/>
      </c>
      <c r="O587" s="182" t="str">
        <f>IFERROR(LOOKUP(2,1/((D_Points!$A$5:$A$204&lt;&gt;"")*(D_Points!$A$5:$A$204&gt;=$B587)*(D_Points!$A$5:$A$204&lt;$B587+P_Interval)*(UPPER(TRIM(D_Points!$B$5:$B$204))="PITCHING")*(D_Points!$H$5:$H$204&lt;&gt;"")),D_Points!$H$5:$H$204),"")</f>
        <v/>
      </c>
      <c r="P587" s="181" t="str">
        <f>IFERROR(LOOKUP(2,1/((B_Drainage!$A$5:$A$204&lt;&gt;"")*(B_Drainage!$A$5:$A$204&lt;=$B587)*(B_Drainage!$B$5:$B$204&gt;$B587)*(B_Drainage!$C$5:$C$204&lt;&gt;"")),IF(B_Drainage!$C$5:$C$204="-","",UPPER(B_Drainage!$C$5:$C$204))),"")</f>
        <v/>
      </c>
      <c r="Q587" s="181" t="str">
        <f>IFERROR(LOOKUP(2,1/((B_Drainage!$A$5:$A$204&lt;&gt;"")*(B_Drainage!$A$5:$A$204&lt;=$B587)*(B_Drainage!$B$5:$B$204&gt;$B587)*(B_Drainage!$D$5:$D$204&lt;&gt;"")),IF(B_Drainage!$D$5:$D$204="-","",UPPER(B_Drainage!$D$5:$D$204))),"")</f>
        <v/>
      </c>
      <c r="R587" s="182" t="str">
        <f>IFERROR(LOOKUP(2,1/((D_Points!$A$5:$A$204&lt;&gt;"")*(D_Points!$A$5:$A$204&gt;=$B587)*(D_Points!$A$5:$A$204&lt;$B587+P_Interval)*(RIGHT(UPPER(TRIM(D_Points!$B$5:$B$204)),8)="_CULVERT")),IF(LEFT(UPPER(TRIM(D_Points!$B$5:$B$204)),2)="EX",1,IF(LEFT(UPPER(TRIM(D_Points!$B$5:$B$204)),2)="PR",2,3))),"")</f>
        <v/>
      </c>
      <c r="S587" s="182" t="str">
        <f>IFERROR(LOOKUP(2,1/((D_Points!$A$5:$A$204&lt;&gt;"")*(D_Points!$A$5:$A$204&gt;=$B587)*(D_Points!$A$5:$A$204&lt;$B587+P_Interval)*(RIGHT(UPPER(TRIM(D_Points!$B$5:$B$204)),7)="_BRIDGE")),IF(LEFT(UPPER(TRIM(D_Points!$B$5:$B$204)),2)="EX",1,IF(LEFT(UPPER(TRIM(D_Points!$B$5:$B$204)),2)="PR",2,2))),"")</f>
        <v/>
      </c>
      <c r="T587" s="181" t="str">
        <f>IFERROR(LOOKUP(2,1/((B_Drainage!$A$5:$A$204&lt;&gt;"")*(B_Drainage!$A$5:$A$204&lt;=$B587)*(B_Drainage!$B$5:$B$204&gt;$B587)*(B_Drainage!$E$5:$E$204&lt;&gt;"")),IF(B_Drainage!$E$5:$E$204="-","",1)),"")</f>
        <v/>
      </c>
      <c r="U587" s="181" t="str">
        <f>IFERROR(LOOKUP(2,1/((B_Drainage!$A$5:$A$204&lt;&gt;"")*(B_Drainage!$A$5:$A$204&lt;=$B587)*(B_Drainage!$B$5:$B$204&gt;$B587)*(B_Drainage!$E$5:$E$204&lt;&gt;"")),IF(B_Drainage!$E$5:$E$204="-","",B_Drainage!$E$5:$E$204)),"")</f>
        <v/>
      </c>
      <c r="V587" s="181" t="str">
        <f>IFERROR(LOOKUP(2,1/((B_Drainage!$A$5:$A$204&lt;&gt;"")*(B_Drainage!$A$5:$A$204&lt;=$B587)*(B_Drainage!$B$5:$B$204&gt;$B587)*(B_Drainage!$F$5:$F$204&lt;&gt;"")),IF(B_Drainage!$F$5:$F$204="-","",1)),"")</f>
        <v/>
      </c>
      <c r="W587" s="181" t="str">
        <f>IFERROR(LOOKUP(2,1/((B_Drainage!$A$5:$A$204&lt;&gt;"")*(B_Drainage!$A$5:$A$204&lt;=$B587)*(B_Drainage!$B$5:$B$204&gt;$B587)*(B_Drainage!$F$5:$F$204&lt;&gt;"")),IF(B_Drainage!$F$5:$F$204="-","",B_Drainage!$F$5:$F$204)),"")</f>
        <v/>
      </c>
      <c r="X587" s="181" t="str">
        <f>IFERROR(LOOKUP(2,1/((B_Drainage!$A$5:$A$204&lt;&gt;"")*(B_Drainage!$A$5:$A$204&lt;=$B587)*(B_Drainage!$B$5:$B$204&gt;$B587)*(B_Drainage!$G$5:$G$204&lt;&gt;"")),IF(UPPER(B_Drainage!$G$5:$G$204)="Y",1,"")),"")</f>
        <v/>
      </c>
      <c r="Y587" s="181" t="str">
        <f>IFERROR(LOOKUP(2,1/((B_Drainage!$A$5:$A$204&lt;&gt;"")*(B_Drainage!$A$5:$A$204&lt;=$B587)*(B_Drainage!$B$5:$B$204&gt;$B587)*(B_Drainage!$H$5:$H$204&lt;&gt;"")),IF(UPPER(B_Drainage!$H$5:$H$204)="Y",1,"")),"")</f>
        <v/>
      </c>
      <c r="Z587" s="181" t="str">
        <f>IFERROR(LOOKUP(2,1/((B_Drainage!$A$5:$A$204&lt;&gt;"")*(B_Drainage!$A$5:$A$204&lt;=$B587)*(B_Drainage!$B$5:$B$204&gt;$B587)*(B_Drainage!$I$5:$I$204&lt;&gt;"")),IF(UPPER(B_Drainage!$I$5:$I$204)="Y",1,"")),"")</f>
        <v/>
      </c>
      <c r="AA587" s="181" t="str">
        <f>IFERROR(LOOKUP(2,1/((B_Drainage!$A$5:$A$204&lt;&gt;"")*(B_Drainage!$A$5:$A$204&lt;=$B587)*(B_Drainage!$B$5:$B$204&gt;$B587)*(B_Drainage!$J$5:$J$204&lt;&gt;"")),IF(UPPER(B_Drainage!$J$5:$J$204)="Y",1,"")),"")</f>
        <v/>
      </c>
      <c r="AB587" s="182" t="str">
        <f>IFERROR(LOOKUP(2,1/((B_Drainage!$A$5:$A$204&lt;&gt;"")*(B_Drainage!$A$5:$A$204&lt;=$B587)*(B_Drainage!$B$5:$B$204&gt;$B587)*(B_Drainage!$K$5:$K$204&lt;&gt;"")),IF(B_Drainage!$K$5:$K$204="-","",B_Drainage!$K$5:$K$204)),"")</f>
        <v/>
      </c>
      <c r="AC587" s="182" t="str">
        <f>IFERROR(LOOKUP(2,1/((B_Drainage!$A$5:$A$204&lt;&gt;"")*(B_Drainage!$A$5:$A$204&lt;=$B587)*(B_Drainage!$B$5:$B$204&gt;$B587)*(B_Drainage!$L$5:$L$204&lt;&gt;"")),IF(B_Drainage!$L$5:$L$204="-","",B_Drainage!$L$5:$L$204)),"")</f>
        <v/>
      </c>
      <c r="AD587" s="182" t="str">
        <f>IFERROR(LOOKUP(2,1/((D_Points!$A$5:$A$204&lt;&gt;"")*(D_Points!$A$5:$A$204&gt;=$B587)*(D_Points!$A$5:$A$204&lt;$B587+P_Interval)*(UPPER(TRIM(D_Points!$B$5:$B$204))="TURNOUT_L")*(D_Points!$H$5:$H$204&lt;&gt;"")),D_Points!$H$5:$H$204),"")</f>
        <v/>
      </c>
      <c r="AE587" s="182" t="str">
        <f>IFERROR(LOOKUP(2,1/((D_Points!$A$5:$A$204&lt;&gt;"")*(D_Points!$A$5:$A$204&gt;=$B587)*(D_Points!$A$5:$A$204&lt;$B587+P_Interval)*(UPPER(TRIM(D_Points!$B$5:$B$204))="TURNOUT_R")*(D_Points!$H$5:$H$204&lt;&gt;"")),D_Points!$H$5:$H$204),"")</f>
        <v/>
      </c>
      <c r="AF587" s="181" t="str">
        <f>IFERROR(LOOKUP(2,1/((B_Drainage!$A$5:$A$204&lt;&gt;"")*(B_Drainage!$A$5:$A$204&lt;=$B587)*(B_Drainage!$B$5:$B$204&gt;$B587)*(B_Drainage!$M$5:$M$204&lt;&gt;"")),IF(UPPER(B_Drainage!$M$5:$M$204)="Y",1,"")),"")</f>
        <v/>
      </c>
      <c r="AG587" s="181" t="str">
        <f>IFERROR(LOOKUP(2,1/((B_Drainage!$A$5:$A$204&lt;&gt;"")*(B_Drainage!$A$5:$A$204&lt;=$B587)*(B_Drainage!$B$5:$B$204&gt;$B587)*(B_Drainage!$N$5:$N$204&lt;&gt;"")),IF(UPPER(B_Drainage!$N$5:$N$204)="Y",1,"")),"")</f>
        <v/>
      </c>
      <c r="AH587" s="181" t="str">
        <f t="shared" si="72"/>
        <v/>
      </c>
      <c r="AI587" s="181" t="str">
        <f t="shared" si="73"/>
        <v/>
      </c>
      <c r="AJ587" s="181" t="str">
        <f t="shared" si="74"/>
        <v/>
      </c>
      <c r="AK587" s="181" t="str">
        <f t="shared" si="75"/>
        <v/>
      </c>
      <c r="AL587" s="181" t="str">
        <f t="shared" si="76"/>
        <v/>
      </c>
      <c r="AM587" s="181" t="str">
        <f t="shared" si="77"/>
        <v/>
      </c>
      <c r="AN587" s="181" t="str">
        <f t="shared" si="78"/>
        <v/>
      </c>
      <c r="AO587" s="192" t="str">
        <f t="shared" si="79"/>
        <v/>
      </c>
      <c r="AQ587" t="str">
        <f>IFERROR(LOOKUP(2,1/((C_Pavement!$A$5:$A$204&lt;&gt;"")*(C_Pavement!$A$5:$A$204&lt;=$B587)*(C_Pavement!$B$5:$B$204&gt;$B587)*(C_Pavement!$C$5:$C$204&lt;&gt;"")),ROW(C_Pavement!$C$5:$C$204)-4),"")</f>
        <v/>
      </c>
      <c r="AR587" t="str">
        <f>IF($AQ587="","",UPPER(TRIM(INDEX(C_Pavement!$C$5:$C$204,$AQ587))))</f>
        <v/>
      </c>
      <c r="AS587" t="str">
        <f>IF($AR587="","",IFERROR(MATCH($AR587,E_Rules!$A$5:$A$9,0),""))</f>
        <v/>
      </c>
      <c r="AT587" t="str">
        <f>IF($AQ587="","",IF(INDEX(C_Pavement!$D$5:$D$204,$AQ587)&lt;&gt;"",UPPER(TRIM(INDEX(C_Pavement!$D$5:$D$204,$AQ587))),IF($AS587="","",INDEX(E_Rules!$C$5:$C$9,$AS587))))</f>
        <v/>
      </c>
      <c r="AU587" t="str">
        <f>IF($AQ587="","",IF(INDEX(C_Pavement!$E$5:$E$204,$AQ587)&lt;&gt;"",IF(INDEX(C_Pavement!$E$5:$E$204,$AQ587)="-","",INDEX(C_Pavement!$E$5:$E$204,$AQ587)),IF($AS587="","",INDEX(E_Rules!$D$5:$D$9,$AS587))))</f>
        <v/>
      </c>
      <c r="AV587" t="str">
        <f>IF($AQ587="","",IF(INDEX(C_Pavement!$F$5:$F$204,$AQ587)&lt;&gt;"",IF(INDEX(C_Pavement!$F$5:$F$204,$AQ587)="-","",INDEX(C_Pavement!$F$5:$F$204,$AQ587)),IF($AS587="","",INDEX(E_Rules!$E$5:$E$9,$AS587))))</f>
        <v/>
      </c>
      <c r="AW587" t="str">
        <f>IF($AQ587="","",IF(INDEX(C_Pavement!$G$5:$G$204,$AQ587)&lt;&gt;"",IF(INDEX(C_Pavement!$G$5:$G$204,$AQ587)="-","",INDEX(C_Pavement!$G$5:$G$204,$AQ587)),IF($AS587="","",INDEX(E_Rules!$F$5:$F$9,$AS587))))</f>
        <v/>
      </c>
      <c r="AX587" t="str">
        <f>IF($AQ587="","",IF(INDEX(C_Pavement!$H$5:$H$204,$AQ587)&lt;&gt;"",IF(INDEX(C_Pavement!$H$5:$H$204,$AQ587)="-","",INDEX(C_Pavement!$H$5:$H$204,$AQ587)),IF($AS587="","",INDEX(E_Rules!$G$5:$G$9,$AS587))))</f>
        <v/>
      </c>
      <c r="AY587" t="str">
        <f>IF($AQ587="","",IF(INDEX(C_Pavement!$I$5:$I$204,$AQ587)&lt;&gt;"",IF(INDEX(C_Pavement!$I$5:$I$204,$AQ587)="-","",INDEX(C_Pavement!$I$5:$I$204,$AQ587)),IF($AS587="","",INDEX(E_Rules!$H$5:$H$9,$AS587))))</f>
        <v/>
      </c>
    </row>
    <row r="588" spans="1:51" ht="15.75" customHeight="1" x14ac:dyDescent="0.3">
      <c r="A588" s="189">
        <v>583</v>
      </c>
      <c r="B588" s="180">
        <v>29100</v>
      </c>
      <c r="C588" s="180" t="s">
        <v>894</v>
      </c>
      <c r="D588" s="181" t="str">
        <f>IFERROR(LOOKUP(2,1/((A_Corridor!$A$5:$A$204&lt;&gt;"")*(A_Corridor!$A$5:$A$204&lt;=$B588)*(A_Corridor!$B$5:$B$204&gt;$B588)*(A_Corridor!$C$5:$C$204&lt;&gt;"")),IF(UPPER(A_Corridor!$C$5:$C$204)="Y",1,"")),"")</f>
        <v/>
      </c>
      <c r="E588" s="181" t="str">
        <f>IFERROR(LOOKUP(2,1/((A_Corridor!$A$5:$A$204&lt;&gt;"")*(A_Corridor!$A$5:$A$204&lt;=$B588)*(A_Corridor!$B$5:$B$204&gt;$B588)*(A_Corridor!$D$5:$D$204&lt;&gt;"")),IF(A_Corridor!$D$5:$D$204="-","",UPPER(A_Corridor!$D$5:$D$204))),"")</f>
        <v/>
      </c>
      <c r="F588" s="181" t="str">
        <f>IFERROR(LOOKUP(2,1/((A_Corridor!$A$5:$A$204&lt;&gt;"")*(A_Corridor!$A$5:$A$204&lt;=$B588)*(A_Corridor!$B$5:$B$204&gt;$B588)*(A_Corridor!$E$5:$E$204&lt;&gt;"")),IF(A_Corridor!$E$5:$E$204="-","",1)),"")</f>
        <v/>
      </c>
      <c r="G588" s="182" t="str">
        <f>IFERROR(LOOKUP(2,1/((A_Corridor!$A$5:$A$204&lt;&gt;"")*(A_Corridor!$A$5:$A$204&lt;=$B588)*(A_Corridor!$B$5:$B$204&gt;$B588)*(A_Corridor!$E$5:$E$204&lt;&gt;"")),IF(A_Corridor!$E$5:$E$204="-","",A_Corridor!$E$5:$E$204)),"")</f>
        <v/>
      </c>
      <c r="H588" s="182" t="str">
        <f>IFERROR(LOOKUP(2,1/((D_Points!$A$5:$A$204&lt;&gt;"")*(D_Points!$A$5:$A$204&gt;=$B588)*(D_Points!$A$5:$A$204&lt;$B588+P_Interval)*(UPPER(TRIM(D_Points!$B$5:$B$204))="GULLY")*(D_Points!$H$5:$H$204&lt;&gt;"")),D_Points!$H$5:$H$204),"")</f>
        <v/>
      </c>
      <c r="I588" s="181" t="str">
        <f>IFERROR(LOOKUP(2,1/((A_Corridor!$A$5:$A$204&lt;&gt;"")*(A_Corridor!$A$5:$A$204&lt;=$B588)*(A_Corridor!$B$5:$B$204&gt;$B588)*(A_Corridor!$F$5:$F$204&lt;&gt;"")),IF(A_Corridor!$F$5:$F$204="-","",1)),"")</f>
        <v/>
      </c>
      <c r="J588" s="182" t="str">
        <f>IFERROR(LOOKUP(2,1/((A_Corridor!$A$5:$A$204&lt;&gt;"")*(A_Corridor!$A$5:$A$204&lt;=$B588)*(A_Corridor!$B$5:$B$204&gt;$B588)*(A_Corridor!$F$5:$F$204&lt;&gt;"")),IF(A_Corridor!$F$5:$F$204="-","",A_Corridor!$F$5:$F$204)),"")</f>
        <v/>
      </c>
      <c r="K588" s="182" t="str">
        <f>IFERROR(LOOKUP(2,1/((A_Corridor!$A$5:$A$204&lt;&gt;"")*(A_Corridor!$A$5:$A$204&lt;=$B588)*(A_Corridor!$B$5:$B$204&gt;$B588)*(A_Corridor!$G$5:$G$204&lt;&gt;"")),IF(A_Corridor!$G$5:$G$204="-","",A_Corridor!$G$5:$G$204)),"")</f>
        <v/>
      </c>
      <c r="L588" s="181" t="str">
        <f>IFERROR(LOOKUP(2,1/((A_Corridor!$A$5:$A$204&lt;&gt;"")*(A_Corridor!$A$5:$A$204&lt;=$B588)*(A_Corridor!$B$5:$B$204&gt;$B588)*(A_Corridor!$H$5:$H$204&lt;&gt;"")),IF(A_Corridor!$H$5:$H$204="-","",1)),"")</f>
        <v/>
      </c>
      <c r="M588" s="182" t="str">
        <f>IFERROR(LOOKUP(2,1/((A_Corridor!$A$5:$A$204&lt;&gt;"")*(A_Corridor!$A$5:$A$204&lt;=$B588)*(A_Corridor!$B$5:$B$204&gt;$B588)*(A_Corridor!$H$5:$H$204&lt;&gt;"")),IF(A_Corridor!$H$5:$H$204="-","",A_Corridor!$H$5:$H$204)),"")</f>
        <v/>
      </c>
      <c r="N588" s="182" t="str">
        <f>IFERROR(LOOKUP(2,1/((A_Corridor!$A$5:$A$204&lt;&gt;"")*(A_Corridor!$A$5:$A$204&lt;=$B588)*(A_Corridor!$B$5:$B$204&gt;$B588)*(A_Corridor!$I$5:$I$204&lt;&gt;"")),IF(A_Corridor!$I$5:$I$204="-","",A_Corridor!$I$5:$I$204)),"")</f>
        <v/>
      </c>
      <c r="O588" s="182" t="str">
        <f>IFERROR(LOOKUP(2,1/((D_Points!$A$5:$A$204&lt;&gt;"")*(D_Points!$A$5:$A$204&gt;=$B588)*(D_Points!$A$5:$A$204&lt;$B588+P_Interval)*(UPPER(TRIM(D_Points!$B$5:$B$204))="PITCHING")*(D_Points!$H$5:$H$204&lt;&gt;"")),D_Points!$H$5:$H$204),"")</f>
        <v/>
      </c>
      <c r="P588" s="181" t="str">
        <f>IFERROR(LOOKUP(2,1/((B_Drainage!$A$5:$A$204&lt;&gt;"")*(B_Drainage!$A$5:$A$204&lt;=$B588)*(B_Drainage!$B$5:$B$204&gt;$B588)*(B_Drainage!$C$5:$C$204&lt;&gt;"")),IF(B_Drainage!$C$5:$C$204="-","",UPPER(B_Drainage!$C$5:$C$204))),"")</f>
        <v/>
      </c>
      <c r="Q588" s="181" t="str">
        <f>IFERROR(LOOKUP(2,1/((B_Drainage!$A$5:$A$204&lt;&gt;"")*(B_Drainage!$A$5:$A$204&lt;=$B588)*(B_Drainage!$B$5:$B$204&gt;$B588)*(B_Drainage!$D$5:$D$204&lt;&gt;"")),IF(B_Drainage!$D$5:$D$204="-","",UPPER(B_Drainage!$D$5:$D$204))),"")</f>
        <v/>
      </c>
      <c r="R588" s="182" t="str">
        <f>IFERROR(LOOKUP(2,1/((D_Points!$A$5:$A$204&lt;&gt;"")*(D_Points!$A$5:$A$204&gt;=$B588)*(D_Points!$A$5:$A$204&lt;$B588+P_Interval)*(RIGHT(UPPER(TRIM(D_Points!$B$5:$B$204)),8)="_CULVERT")),IF(LEFT(UPPER(TRIM(D_Points!$B$5:$B$204)),2)="EX",1,IF(LEFT(UPPER(TRIM(D_Points!$B$5:$B$204)),2)="PR",2,3))),"")</f>
        <v/>
      </c>
      <c r="S588" s="182" t="str">
        <f>IFERROR(LOOKUP(2,1/((D_Points!$A$5:$A$204&lt;&gt;"")*(D_Points!$A$5:$A$204&gt;=$B588)*(D_Points!$A$5:$A$204&lt;$B588+P_Interval)*(RIGHT(UPPER(TRIM(D_Points!$B$5:$B$204)),7)="_BRIDGE")),IF(LEFT(UPPER(TRIM(D_Points!$B$5:$B$204)),2)="EX",1,IF(LEFT(UPPER(TRIM(D_Points!$B$5:$B$204)),2)="PR",2,2))),"")</f>
        <v/>
      </c>
      <c r="T588" s="181" t="str">
        <f>IFERROR(LOOKUP(2,1/((B_Drainage!$A$5:$A$204&lt;&gt;"")*(B_Drainage!$A$5:$A$204&lt;=$B588)*(B_Drainage!$B$5:$B$204&gt;$B588)*(B_Drainage!$E$5:$E$204&lt;&gt;"")),IF(B_Drainage!$E$5:$E$204="-","",1)),"")</f>
        <v/>
      </c>
      <c r="U588" s="181" t="str">
        <f>IFERROR(LOOKUP(2,1/((B_Drainage!$A$5:$A$204&lt;&gt;"")*(B_Drainage!$A$5:$A$204&lt;=$B588)*(B_Drainage!$B$5:$B$204&gt;$B588)*(B_Drainage!$E$5:$E$204&lt;&gt;"")),IF(B_Drainage!$E$5:$E$204="-","",B_Drainage!$E$5:$E$204)),"")</f>
        <v/>
      </c>
      <c r="V588" s="181" t="str">
        <f>IFERROR(LOOKUP(2,1/((B_Drainage!$A$5:$A$204&lt;&gt;"")*(B_Drainage!$A$5:$A$204&lt;=$B588)*(B_Drainage!$B$5:$B$204&gt;$B588)*(B_Drainage!$F$5:$F$204&lt;&gt;"")),IF(B_Drainage!$F$5:$F$204="-","",1)),"")</f>
        <v/>
      </c>
      <c r="W588" s="181" t="str">
        <f>IFERROR(LOOKUP(2,1/((B_Drainage!$A$5:$A$204&lt;&gt;"")*(B_Drainage!$A$5:$A$204&lt;=$B588)*(B_Drainage!$B$5:$B$204&gt;$B588)*(B_Drainage!$F$5:$F$204&lt;&gt;"")),IF(B_Drainage!$F$5:$F$204="-","",B_Drainage!$F$5:$F$204)),"")</f>
        <v/>
      </c>
      <c r="X588" s="181" t="str">
        <f>IFERROR(LOOKUP(2,1/((B_Drainage!$A$5:$A$204&lt;&gt;"")*(B_Drainage!$A$5:$A$204&lt;=$B588)*(B_Drainage!$B$5:$B$204&gt;$B588)*(B_Drainage!$G$5:$G$204&lt;&gt;"")),IF(UPPER(B_Drainage!$G$5:$G$204)="Y",1,"")),"")</f>
        <v/>
      </c>
      <c r="Y588" s="181" t="str">
        <f>IFERROR(LOOKUP(2,1/((B_Drainage!$A$5:$A$204&lt;&gt;"")*(B_Drainage!$A$5:$A$204&lt;=$B588)*(B_Drainage!$B$5:$B$204&gt;$B588)*(B_Drainage!$H$5:$H$204&lt;&gt;"")),IF(UPPER(B_Drainage!$H$5:$H$204)="Y",1,"")),"")</f>
        <v/>
      </c>
      <c r="Z588" s="181" t="str">
        <f>IFERROR(LOOKUP(2,1/((B_Drainage!$A$5:$A$204&lt;&gt;"")*(B_Drainage!$A$5:$A$204&lt;=$B588)*(B_Drainage!$B$5:$B$204&gt;$B588)*(B_Drainage!$I$5:$I$204&lt;&gt;"")),IF(UPPER(B_Drainage!$I$5:$I$204)="Y",1,"")),"")</f>
        <v/>
      </c>
      <c r="AA588" s="181" t="str">
        <f>IFERROR(LOOKUP(2,1/((B_Drainage!$A$5:$A$204&lt;&gt;"")*(B_Drainage!$A$5:$A$204&lt;=$B588)*(B_Drainage!$B$5:$B$204&gt;$B588)*(B_Drainage!$J$5:$J$204&lt;&gt;"")),IF(UPPER(B_Drainage!$J$5:$J$204)="Y",1,"")),"")</f>
        <v/>
      </c>
      <c r="AB588" s="182" t="str">
        <f>IFERROR(LOOKUP(2,1/((B_Drainage!$A$5:$A$204&lt;&gt;"")*(B_Drainage!$A$5:$A$204&lt;=$B588)*(B_Drainage!$B$5:$B$204&gt;$B588)*(B_Drainage!$K$5:$K$204&lt;&gt;"")),IF(B_Drainage!$K$5:$K$204="-","",B_Drainage!$K$5:$K$204)),"")</f>
        <v/>
      </c>
      <c r="AC588" s="182" t="str">
        <f>IFERROR(LOOKUP(2,1/((B_Drainage!$A$5:$A$204&lt;&gt;"")*(B_Drainage!$A$5:$A$204&lt;=$B588)*(B_Drainage!$B$5:$B$204&gt;$B588)*(B_Drainage!$L$5:$L$204&lt;&gt;"")),IF(B_Drainage!$L$5:$L$204="-","",B_Drainage!$L$5:$L$204)),"")</f>
        <v/>
      </c>
      <c r="AD588" s="182" t="str">
        <f>IFERROR(LOOKUP(2,1/((D_Points!$A$5:$A$204&lt;&gt;"")*(D_Points!$A$5:$A$204&gt;=$B588)*(D_Points!$A$5:$A$204&lt;$B588+P_Interval)*(UPPER(TRIM(D_Points!$B$5:$B$204))="TURNOUT_L")*(D_Points!$H$5:$H$204&lt;&gt;"")),D_Points!$H$5:$H$204),"")</f>
        <v/>
      </c>
      <c r="AE588" s="182" t="str">
        <f>IFERROR(LOOKUP(2,1/((D_Points!$A$5:$A$204&lt;&gt;"")*(D_Points!$A$5:$A$204&gt;=$B588)*(D_Points!$A$5:$A$204&lt;$B588+P_Interval)*(UPPER(TRIM(D_Points!$B$5:$B$204))="TURNOUT_R")*(D_Points!$H$5:$H$204&lt;&gt;"")),D_Points!$H$5:$H$204),"")</f>
        <v/>
      </c>
      <c r="AF588" s="181" t="str">
        <f>IFERROR(LOOKUP(2,1/((B_Drainage!$A$5:$A$204&lt;&gt;"")*(B_Drainage!$A$5:$A$204&lt;=$B588)*(B_Drainage!$B$5:$B$204&gt;$B588)*(B_Drainage!$M$5:$M$204&lt;&gt;"")),IF(UPPER(B_Drainage!$M$5:$M$204)="Y",1,"")),"")</f>
        <v/>
      </c>
      <c r="AG588" s="181" t="str">
        <f>IFERROR(LOOKUP(2,1/((B_Drainage!$A$5:$A$204&lt;&gt;"")*(B_Drainage!$A$5:$A$204&lt;=$B588)*(B_Drainage!$B$5:$B$204&gt;$B588)*(B_Drainage!$N$5:$N$204&lt;&gt;"")),IF(UPPER(B_Drainage!$N$5:$N$204)="Y",1,"")),"")</f>
        <v/>
      </c>
      <c r="AH588" s="181" t="str">
        <f t="shared" si="72"/>
        <v/>
      </c>
      <c r="AI588" s="181" t="str">
        <f t="shared" si="73"/>
        <v/>
      </c>
      <c r="AJ588" s="181" t="str">
        <f t="shared" si="74"/>
        <v/>
      </c>
      <c r="AK588" s="181" t="str">
        <f t="shared" si="75"/>
        <v/>
      </c>
      <c r="AL588" s="181" t="str">
        <f t="shared" si="76"/>
        <v/>
      </c>
      <c r="AM588" s="181" t="str">
        <f t="shared" si="77"/>
        <v/>
      </c>
      <c r="AN588" s="181" t="str">
        <f t="shared" si="78"/>
        <v/>
      </c>
      <c r="AO588" s="192" t="str">
        <f t="shared" si="79"/>
        <v/>
      </c>
      <c r="AQ588" t="str">
        <f>IFERROR(LOOKUP(2,1/((C_Pavement!$A$5:$A$204&lt;&gt;"")*(C_Pavement!$A$5:$A$204&lt;=$B588)*(C_Pavement!$B$5:$B$204&gt;$B588)*(C_Pavement!$C$5:$C$204&lt;&gt;"")),ROW(C_Pavement!$C$5:$C$204)-4),"")</f>
        <v/>
      </c>
      <c r="AR588" t="str">
        <f>IF($AQ588="","",UPPER(TRIM(INDEX(C_Pavement!$C$5:$C$204,$AQ588))))</f>
        <v/>
      </c>
      <c r="AS588" t="str">
        <f>IF($AR588="","",IFERROR(MATCH($AR588,E_Rules!$A$5:$A$9,0),""))</f>
        <v/>
      </c>
      <c r="AT588" t="str">
        <f>IF($AQ588="","",IF(INDEX(C_Pavement!$D$5:$D$204,$AQ588)&lt;&gt;"",UPPER(TRIM(INDEX(C_Pavement!$D$5:$D$204,$AQ588))),IF($AS588="","",INDEX(E_Rules!$C$5:$C$9,$AS588))))</f>
        <v/>
      </c>
      <c r="AU588" t="str">
        <f>IF($AQ588="","",IF(INDEX(C_Pavement!$E$5:$E$204,$AQ588)&lt;&gt;"",IF(INDEX(C_Pavement!$E$5:$E$204,$AQ588)="-","",INDEX(C_Pavement!$E$5:$E$204,$AQ588)),IF($AS588="","",INDEX(E_Rules!$D$5:$D$9,$AS588))))</f>
        <v/>
      </c>
      <c r="AV588" t="str">
        <f>IF($AQ588="","",IF(INDEX(C_Pavement!$F$5:$F$204,$AQ588)&lt;&gt;"",IF(INDEX(C_Pavement!$F$5:$F$204,$AQ588)="-","",INDEX(C_Pavement!$F$5:$F$204,$AQ588)),IF($AS588="","",INDEX(E_Rules!$E$5:$E$9,$AS588))))</f>
        <v/>
      </c>
      <c r="AW588" t="str">
        <f>IF($AQ588="","",IF(INDEX(C_Pavement!$G$5:$G$204,$AQ588)&lt;&gt;"",IF(INDEX(C_Pavement!$G$5:$G$204,$AQ588)="-","",INDEX(C_Pavement!$G$5:$G$204,$AQ588)),IF($AS588="","",INDEX(E_Rules!$F$5:$F$9,$AS588))))</f>
        <v/>
      </c>
      <c r="AX588" t="str">
        <f>IF($AQ588="","",IF(INDEX(C_Pavement!$H$5:$H$204,$AQ588)&lt;&gt;"",IF(INDEX(C_Pavement!$H$5:$H$204,$AQ588)="-","",INDEX(C_Pavement!$H$5:$H$204,$AQ588)),IF($AS588="","",INDEX(E_Rules!$G$5:$G$9,$AS588))))</f>
        <v/>
      </c>
      <c r="AY588" t="str">
        <f>IF($AQ588="","",IF(INDEX(C_Pavement!$I$5:$I$204,$AQ588)&lt;&gt;"",IF(INDEX(C_Pavement!$I$5:$I$204,$AQ588)="-","",INDEX(C_Pavement!$I$5:$I$204,$AQ588)),IF($AS588="","",INDEX(E_Rules!$H$5:$H$9,$AS588))))</f>
        <v/>
      </c>
    </row>
    <row r="589" spans="1:51" ht="15.75" customHeight="1" x14ac:dyDescent="0.3">
      <c r="A589" s="189">
        <v>584</v>
      </c>
      <c r="B589" s="180">
        <v>29150</v>
      </c>
      <c r="C589" s="180" t="s">
        <v>895</v>
      </c>
      <c r="D589" s="181" t="str">
        <f>IFERROR(LOOKUP(2,1/((A_Corridor!$A$5:$A$204&lt;&gt;"")*(A_Corridor!$A$5:$A$204&lt;=$B589)*(A_Corridor!$B$5:$B$204&gt;$B589)*(A_Corridor!$C$5:$C$204&lt;&gt;"")),IF(UPPER(A_Corridor!$C$5:$C$204)="Y",1,"")),"")</f>
        <v/>
      </c>
      <c r="E589" s="181" t="str">
        <f>IFERROR(LOOKUP(2,1/((A_Corridor!$A$5:$A$204&lt;&gt;"")*(A_Corridor!$A$5:$A$204&lt;=$B589)*(A_Corridor!$B$5:$B$204&gt;$B589)*(A_Corridor!$D$5:$D$204&lt;&gt;"")),IF(A_Corridor!$D$5:$D$204="-","",UPPER(A_Corridor!$D$5:$D$204))),"")</f>
        <v/>
      </c>
      <c r="F589" s="181" t="str">
        <f>IFERROR(LOOKUP(2,1/((A_Corridor!$A$5:$A$204&lt;&gt;"")*(A_Corridor!$A$5:$A$204&lt;=$B589)*(A_Corridor!$B$5:$B$204&gt;$B589)*(A_Corridor!$E$5:$E$204&lt;&gt;"")),IF(A_Corridor!$E$5:$E$204="-","",1)),"")</f>
        <v/>
      </c>
      <c r="G589" s="182" t="str">
        <f>IFERROR(LOOKUP(2,1/((A_Corridor!$A$5:$A$204&lt;&gt;"")*(A_Corridor!$A$5:$A$204&lt;=$B589)*(A_Corridor!$B$5:$B$204&gt;$B589)*(A_Corridor!$E$5:$E$204&lt;&gt;"")),IF(A_Corridor!$E$5:$E$204="-","",A_Corridor!$E$5:$E$204)),"")</f>
        <v/>
      </c>
      <c r="H589" s="182" t="str">
        <f>IFERROR(LOOKUP(2,1/((D_Points!$A$5:$A$204&lt;&gt;"")*(D_Points!$A$5:$A$204&gt;=$B589)*(D_Points!$A$5:$A$204&lt;$B589+P_Interval)*(UPPER(TRIM(D_Points!$B$5:$B$204))="GULLY")*(D_Points!$H$5:$H$204&lt;&gt;"")),D_Points!$H$5:$H$204),"")</f>
        <v/>
      </c>
      <c r="I589" s="181" t="str">
        <f>IFERROR(LOOKUP(2,1/((A_Corridor!$A$5:$A$204&lt;&gt;"")*(A_Corridor!$A$5:$A$204&lt;=$B589)*(A_Corridor!$B$5:$B$204&gt;$B589)*(A_Corridor!$F$5:$F$204&lt;&gt;"")),IF(A_Corridor!$F$5:$F$204="-","",1)),"")</f>
        <v/>
      </c>
      <c r="J589" s="182" t="str">
        <f>IFERROR(LOOKUP(2,1/((A_Corridor!$A$5:$A$204&lt;&gt;"")*(A_Corridor!$A$5:$A$204&lt;=$B589)*(A_Corridor!$B$5:$B$204&gt;$B589)*(A_Corridor!$F$5:$F$204&lt;&gt;"")),IF(A_Corridor!$F$5:$F$204="-","",A_Corridor!$F$5:$F$204)),"")</f>
        <v/>
      </c>
      <c r="K589" s="182" t="str">
        <f>IFERROR(LOOKUP(2,1/((A_Corridor!$A$5:$A$204&lt;&gt;"")*(A_Corridor!$A$5:$A$204&lt;=$B589)*(A_Corridor!$B$5:$B$204&gt;$B589)*(A_Corridor!$G$5:$G$204&lt;&gt;"")),IF(A_Corridor!$G$5:$G$204="-","",A_Corridor!$G$5:$G$204)),"")</f>
        <v/>
      </c>
      <c r="L589" s="181" t="str">
        <f>IFERROR(LOOKUP(2,1/((A_Corridor!$A$5:$A$204&lt;&gt;"")*(A_Corridor!$A$5:$A$204&lt;=$B589)*(A_Corridor!$B$5:$B$204&gt;$B589)*(A_Corridor!$H$5:$H$204&lt;&gt;"")),IF(A_Corridor!$H$5:$H$204="-","",1)),"")</f>
        <v/>
      </c>
      <c r="M589" s="182" t="str">
        <f>IFERROR(LOOKUP(2,1/((A_Corridor!$A$5:$A$204&lt;&gt;"")*(A_Corridor!$A$5:$A$204&lt;=$B589)*(A_Corridor!$B$5:$B$204&gt;$B589)*(A_Corridor!$H$5:$H$204&lt;&gt;"")),IF(A_Corridor!$H$5:$H$204="-","",A_Corridor!$H$5:$H$204)),"")</f>
        <v/>
      </c>
      <c r="N589" s="182" t="str">
        <f>IFERROR(LOOKUP(2,1/((A_Corridor!$A$5:$A$204&lt;&gt;"")*(A_Corridor!$A$5:$A$204&lt;=$B589)*(A_Corridor!$B$5:$B$204&gt;$B589)*(A_Corridor!$I$5:$I$204&lt;&gt;"")),IF(A_Corridor!$I$5:$I$204="-","",A_Corridor!$I$5:$I$204)),"")</f>
        <v/>
      </c>
      <c r="O589" s="182" t="str">
        <f>IFERROR(LOOKUP(2,1/((D_Points!$A$5:$A$204&lt;&gt;"")*(D_Points!$A$5:$A$204&gt;=$B589)*(D_Points!$A$5:$A$204&lt;$B589+P_Interval)*(UPPER(TRIM(D_Points!$B$5:$B$204))="PITCHING")*(D_Points!$H$5:$H$204&lt;&gt;"")),D_Points!$H$5:$H$204),"")</f>
        <v/>
      </c>
      <c r="P589" s="181" t="str">
        <f>IFERROR(LOOKUP(2,1/((B_Drainage!$A$5:$A$204&lt;&gt;"")*(B_Drainage!$A$5:$A$204&lt;=$B589)*(B_Drainage!$B$5:$B$204&gt;$B589)*(B_Drainage!$C$5:$C$204&lt;&gt;"")),IF(B_Drainage!$C$5:$C$204="-","",UPPER(B_Drainage!$C$5:$C$204))),"")</f>
        <v/>
      </c>
      <c r="Q589" s="181" t="str">
        <f>IFERROR(LOOKUP(2,1/((B_Drainage!$A$5:$A$204&lt;&gt;"")*(B_Drainage!$A$5:$A$204&lt;=$B589)*(B_Drainage!$B$5:$B$204&gt;$B589)*(B_Drainage!$D$5:$D$204&lt;&gt;"")),IF(B_Drainage!$D$5:$D$204="-","",UPPER(B_Drainage!$D$5:$D$204))),"")</f>
        <v/>
      </c>
      <c r="R589" s="182" t="str">
        <f>IFERROR(LOOKUP(2,1/((D_Points!$A$5:$A$204&lt;&gt;"")*(D_Points!$A$5:$A$204&gt;=$B589)*(D_Points!$A$5:$A$204&lt;$B589+P_Interval)*(RIGHT(UPPER(TRIM(D_Points!$B$5:$B$204)),8)="_CULVERT")),IF(LEFT(UPPER(TRIM(D_Points!$B$5:$B$204)),2)="EX",1,IF(LEFT(UPPER(TRIM(D_Points!$B$5:$B$204)),2)="PR",2,3))),"")</f>
        <v/>
      </c>
      <c r="S589" s="182" t="str">
        <f>IFERROR(LOOKUP(2,1/((D_Points!$A$5:$A$204&lt;&gt;"")*(D_Points!$A$5:$A$204&gt;=$B589)*(D_Points!$A$5:$A$204&lt;$B589+P_Interval)*(RIGHT(UPPER(TRIM(D_Points!$B$5:$B$204)),7)="_BRIDGE")),IF(LEFT(UPPER(TRIM(D_Points!$B$5:$B$204)),2)="EX",1,IF(LEFT(UPPER(TRIM(D_Points!$B$5:$B$204)),2)="PR",2,2))),"")</f>
        <v/>
      </c>
      <c r="T589" s="181" t="str">
        <f>IFERROR(LOOKUP(2,1/((B_Drainage!$A$5:$A$204&lt;&gt;"")*(B_Drainage!$A$5:$A$204&lt;=$B589)*(B_Drainage!$B$5:$B$204&gt;$B589)*(B_Drainage!$E$5:$E$204&lt;&gt;"")),IF(B_Drainage!$E$5:$E$204="-","",1)),"")</f>
        <v/>
      </c>
      <c r="U589" s="181" t="str">
        <f>IFERROR(LOOKUP(2,1/((B_Drainage!$A$5:$A$204&lt;&gt;"")*(B_Drainage!$A$5:$A$204&lt;=$B589)*(B_Drainage!$B$5:$B$204&gt;$B589)*(B_Drainage!$E$5:$E$204&lt;&gt;"")),IF(B_Drainage!$E$5:$E$204="-","",B_Drainage!$E$5:$E$204)),"")</f>
        <v/>
      </c>
      <c r="V589" s="181" t="str">
        <f>IFERROR(LOOKUP(2,1/((B_Drainage!$A$5:$A$204&lt;&gt;"")*(B_Drainage!$A$5:$A$204&lt;=$B589)*(B_Drainage!$B$5:$B$204&gt;$B589)*(B_Drainage!$F$5:$F$204&lt;&gt;"")),IF(B_Drainage!$F$5:$F$204="-","",1)),"")</f>
        <v/>
      </c>
      <c r="W589" s="181" t="str">
        <f>IFERROR(LOOKUP(2,1/((B_Drainage!$A$5:$A$204&lt;&gt;"")*(B_Drainage!$A$5:$A$204&lt;=$B589)*(B_Drainage!$B$5:$B$204&gt;$B589)*(B_Drainage!$F$5:$F$204&lt;&gt;"")),IF(B_Drainage!$F$5:$F$204="-","",B_Drainage!$F$5:$F$204)),"")</f>
        <v/>
      </c>
      <c r="X589" s="181" t="str">
        <f>IFERROR(LOOKUP(2,1/((B_Drainage!$A$5:$A$204&lt;&gt;"")*(B_Drainage!$A$5:$A$204&lt;=$B589)*(B_Drainage!$B$5:$B$204&gt;$B589)*(B_Drainage!$G$5:$G$204&lt;&gt;"")),IF(UPPER(B_Drainage!$G$5:$G$204)="Y",1,"")),"")</f>
        <v/>
      </c>
      <c r="Y589" s="181" t="str">
        <f>IFERROR(LOOKUP(2,1/((B_Drainage!$A$5:$A$204&lt;&gt;"")*(B_Drainage!$A$5:$A$204&lt;=$B589)*(B_Drainage!$B$5:$B$204&gt;$B589)*(B_Drainage!$H$5:$H$204&lt;&gt;"")),IF(UPPER(B_Drainage!$H$5:$H$204)="Y",1,"")),"")</f>
        <v/>
      </c>
      <c r="Z589" s="181" t="str">
        <f>IFERROR(LOOKUP(2,1/((B_Drainage!$A$5:$A$204&lt;&gt;"")*(B_Drainage!$A$5:$A$204&lt;=$B589)*(B_Drainage!$B$5:$B$204&gt;$B589)*(B_Drainage!$I$5:$I$204&lt;&gt;"")),IF(UPPER(B_Drainage!$I$5:$I$204)="Y",1,"")),"")</f>
        <v/>
      </c>
      <c r="AA589" s="181" t="str">
        <f>IFERROR(LOOKUP(2,1/((B_Drainage!$A$5:$A$204&lt;&gt;"")*(B_Drainage!$A$5:$A$204&lt;=$B589)*(B_Drainage!$B$5:$B$204&gt;$B589)*(B_Drainage!$J$5:$J$204&lt;&gt;"")),IF(UPPER(B_Drainage!$J$5:$J$204)="Y",1,"")),"")</f>
        <v/>
      </c>
      <c r="AB589" s="182" t="str">
        <f>IFERROR(LOOKUP(2,1/((B_Drainage!$A$5:$A$204&lt;&gt;"")*(B_Drainage!$A$5:$A$204&lt;=$B589)*(B_Drainage!$B$5:$B$204&gt;$B589)*(B_Drainage!$K$5:$K$204&lt;&gt;"")),IF(B_Drainage!$K$5:$K$204="-","",B_Drainage!$K$5:$K$204)),"")</f>
        <v/>
      </c>
      <c r="AC589" s="182" t="str">
        <f>IFERROR(LOOKUP(2,1/((B_Drainage!$A$5:$A$204&lt;&gt;"")*(B_Drainage!$A$5:$A$204&lt;=$B589)*(B_Drainage!$B$5:$B$204&gt;$B589)*(B_Drainage!$L$5:$L$204&lt;&gt;"")),IF(B_Drainage!$L$5:$L$204="-","",B_Drainage!$L$5:$L$204)),"")</f>
        <v/>
      </c>
      <c r="AD589" s="182" t="str">
        <f>IFERROR(LOOKUP(2,1/((D_Points!$A$5:$A$204&lt;&gt;"")*(D_Points!$A$5:$A$204&gt;=$B589)*(D_Points!$A$5:$A$204&lt;$B589+P_Interval)*(UPPER(TRIM(D_Points!$B$5:$B$204))="TURNOUT_L")*(D_Points!$H$5:$H$204&lt;&gt;"")),D_Points!$H$5:$H$204),"")</f>
        <v/>
      </c>
      <c r="AE589" s="182" t="str">
        <f>IFERROR(LOOKUP(2,1/((D_Points!$A$5:$A$204&lt;&gt;"")*(D_Points!$A$5:$A$204&gt;=$B589)*(D_Points!$A$5:$A$204&lt;$B589+P_Interval)*(UPPER(TRIM(D_Points!$B$5:$B$204))="TURNOUT_R")*(D_Points!$H$5:$H$204&lt;&gt;"")),D_Points!$H$5:$H$204),"")</f>
        <v/>
      </c>
      <c r="AF589" s="181" t="str">
        <f>IFERROR(LOOKUP(2,1/((B_Drainage!$A$5:$A$204&lt;&gt;"")*(B_Drainage!$A$5:$A$204&lt;=$B589)*(B_Drainage!$B$5:$B$204&gt;$B589)*(B_Drainage!$M$5:$M$204&lt;&gt;"")),IF(UPPER(B_Drainage!$M$5:$M$204)="Y",1,"")),"")</f>
        <v/>
      </c>
      <c r="AG589" s="181" t="str">
        <f>IFERROR(LOOKUP(2,1/((B_Drainage!$A$5:$A$204&lt;&gt;"")*(B_Drainage!$A$5:$A$204&lt;=$B589)*(B_Drainage!$B$5:$B$204&gt;$B589)*(B_Drainage!$N$5:$N$204&lt;&gt;"")),IF(UPPER(B_Drainage!$N$5:$N$204)="Y",1,"")),"")</f>
        <v/>
      </c>
      <c r="AH589" s="181" t="str">
        <f t="shared" si="72"/>
        <v/>
      </c>
      <c r="AI589" s="181" t="str">
        <f t="shared" si="73"/>
        <v/>
      </c>
      <c r="AJ589" s="181" t="str">
        <f t="shared" si="74"/>
        <v/>
      </c>
      <c r="AK589" s="181" t="str">
        <f t="shared" si="75"/>
        <v/>
      </c>
      <c r="AL589" s="181" t="str">
        <f t="shared" si="76"/>
        <v/>
      </c>
      <c r="AM589" s="181" t="str">
        <f t="shared" si="77"/>
        <v/>
      </c>
      <c r="AN589" s="181" t="str">
        <f t="shared" si="78"/>
        <v/>
      </c>
      <c r="AO589" s="192" t="str">
        <f t="shared" si="79"/>
        <v/>
      </c>
      <c r="AQ589" t="str">
        <f>IFERROR(LOOKUP(2,1/((C_Pavement!$A$5:$A$204&lt;&gt;"")*(C_Pavement!$A$5:$A$204&lt;=$B589)*(C_Pavement!$B$5:$B$204&gt;$B589)*(C_Pavement!$C$5:$C$204&lt;&gt;"")),ROW(C_Pavement!$C$5:$C$204)-4),"")</f>
        <v/>
      </c>
      <c r="AR589" t="str">
        <f>IF($AQ589="","",UPPER(TRIM(INDEX(C_Pavement!$C$5:$C$204,$AQ589))))</f>
        <v/>
      </c>
      <c r="AS589" t="str">
        <f>IF($AR589="","",IFERROR(MATCH($AR589,E_Rules!$A$5:$A$9,0),""))</f>
        <v/>
      </c>
      <c r="AT589" t="str">
        <f>IF($AQ589="","",IF(INDEX(C_Pavement!$D$5:$D$204,$AQ589)&lt;&gt;"",UPPER(TRIM(INDEX(C_Pavement!$D$5:$D$204,$AQ589))),IF($AS589="","",INDEX(E_Rules!$C$5:$C$9,$AS589))))</f>
        <v/>
      </c>
      <c r="AU589" t="str">
        <f>IF($AQ589="","",IF(INDEX(C_Pavement!$E$5:$E$204,$AQ589)&lt;&gt;"",IF(INDEX(C_Pavement!$E$5:$E$204,$AQ589)="-","",INDEX(C_Pavement!$E$5:$E$204,$AQ589)),IF($AS589="","",INDEX(E_Rules!$D$5:$D$9,$AS589))))</f>
        <v/>
      </c>
      <c r="AV589" t="str">
        <f>IF($AQ589="","",IF(INDEX(C_Pavement!$F$5:$F$204,$AQ589)&lt;&gt;"",IF(INDEX(C_Pavement!$F$5:$F$204,$AQ589)="-","",INDEX(C_Pavement!$F$5:$F$204,$AQ589)),IF($AS589="","",INDEX(E_Rules!$E$5:$E$9,$AS589))))</f>
        <v/>
      </c>
      <c r="AW589" t="str">
        <f>IF($AQ589="","",IF(INDEX(C_Pavement!$G$5:$G$204,$AQ589)&lt;&gt;"",IF(INDEX(C_Pavement!$G$5:$G$204,$AQ589)="-","",INDEX(C_Pavement!$G$5:$G$204,$AQ589)),IF($AS589="","",INDEX(E_Rules!$F$5:$F$9,$AS589))))</f>
        <v/>
      </c>
      <c r="AX589" t="str">
        <f>IF($AQ589="","",IF(INDEX(C_Pavement!$H$5:$H$204,$AQ589)&lt;&gt;"",IF(INDEX(C_Pavement!$H$5:$H$204,$AQ589)="-","",INDEX(C_Pavement!$H$5:$H$204,$AQ589)),IF($AS589="","",INDEX(E_Rules!$G$5:$G$9,$AS589))))</f>
        <v/>
      </c>
      <c r="AY589" t="str">
        <f>IF($AQ589="","",IF(INDEX(C_Pavement!$I$5:$I$204,$AQ589)&lt;&gt;"",IF(INDEX(C_Pavement!$I$5:$I$204,$AQ589)="-","",INDEX(C_Pavement!$I$5:$I$204,$AQ589)),IF($AS589="","",INDEX(E_Rules!$H$5:$H$9,$AS589))))</f>
        <v/>
      </c>
    </row>
    <row r="590" spans="1:51" ht="15.75" customHeight="1" x14ac:dyDescent="0.3">
      <c r="A590" s="189">
        <v>585</v>
      </c>
      <c r="B590" s="180">
        <v>29200</v>
      </c>
      <c r="C590" s="180" t="s">
        <v>896</v>
      </c>
      <c r="D590" s="181" t="str">
        <f>IFERROR(LOOKUP(2,1/((A_Corridor!$A$5:$A$204&lt;&gt;"")*(A_Corridor!$A$5:$A$204&lt;=$B590)*(A_Corridor!$B$5:$B$204&gt;$B590)*(A_Corridor!$C$5:$C$204&lt;&gt;"")),IF(UPPER(A_Corridor!$C$5:$C$204)="Y",1,"")),"")</f>
        <v/>
      </c>
      <c r="E590" s="181" t="str">
        <f>IFERROR(LOOKUP(2,1/((A_Corridor!$A$5:$A$204&lt;&gt;"")*(A_Corridor!$A$5:$A$204&lt;=$B590)*(A_Corridor!$B$5:$B$204&gt;$B590)*(A_Corridor!$D$5:$D$204&lt;&gt;"")),IF(A_Corridor!$D$5:$D$204="-","",UPPER(A_Corridor!$D$5:$D$204))),"")</f>
        <v/>
      </c>
      <c r="F590" s="181" t="str">
        <f>IFERROR(LOOKUP(2,1/((A_Corridor!$A$5:$A$204&lt;&gt;"")*(A_Corridor!$A$5:$A$204&lt;=$B590)*(A_Corridor!$B$5:$B$204&gt;$B590)*(A_Corridor!$E$5:$E$204&lt;&gt;"")),IF(A_Corridor!$E$5:$E$204="-","",1)),"")</f>
        <v/>
      </c>
      <c r="G590" s="182" t="str">
        <f>IFERROR(LOOKUP(2,1/((A_Corridor!$A$5:$A$204&lt;&gt;"")*(A_Corridor!$A$5:$A$204&lt;=$B590)*(A_Corridor!$B$5:$B$204&gt;$B590)*(A_Corridor!$E$5:$E$204&lt;&gt;"")),IF(A_Corridor!$E$5:$E$204="-","",A_Corridor!$E$5:$E$204)),"")</f>
        <v/>
      </c>
      <c r="H590" s="182" t="str">
        <f>IFERROR(LOOKUP(2,1/((D_Points!$A$5:$A$204&lt;&gt;"")*(D_Points!$A$5:$A$204&gt;=$B590)*(D_Points!$A$5:$A$204&lt;$B590+P_Interval)*(UPPER(TRIM(D_Points!$B$5:$B$204))="GULLY")*(D_Points!$H$5:$H$204&lt;&gt;"")),D_Points!$H$5:$H$204),"")</f>
        <v/>
      </c>
      <c r="I590" s="181" t="str">
        <f>IFERROR(LOOKUP(2,1/((A_Corridor!$A$5:$A$204&lt;&gt;"")*(A_Corridor!$A$5:$A$204&lt;=$B590)*(A_Corridor!$B$5:$B$204&gt;$B590)*(A_Corridor!$F$5:$F$204&lt;&gt;"")),IF(A_Corridor!$F$5:$F$204="-","",1)),"")</f>
        <v/>
      </c>
      <c r="J590" s="182" t="str">
        <f>IFERROR(LOOKUP(2,1/((A_Corridor!$A$5:$A$204&lt;&gt;"")*(A_Corridor!$A$5:$A$204&lt;=$B590)*(A_Corridor!$B$5:$B$204&gt;$B590)*(A_Corridor!$F$5:$F$204&lt;&gt;"")),IF(A_Corridor!$F$5:$F$204="-","",A_Corridor!$F$5:$F$204)),"")</f>
        <v/>
      </c>
      <c r="K590" s="182" t="str">
        <f>IFERROR(LOOKUP(2,1/((A_Corridor!$A$5:$A$204&lt;&gt;"")*(A_Corridor!$A$5:$A$204&lt;=$B590)*(A_Corridor!$B$5:$B$204&gt;$B590)*(A_Corridor!$G$5:$G$204&lt;&gt;"")),IF(A_Corridor!$G$5:$G$204="-","",A_Corridor!$G$5:$G$204)),"")</f>
        <v/>
      </c>
      <c r="L590" s="181" t="str">
        <f>IFERROR(LOOKUP(2,1/((A_Corridor!$A$5:$A$204&lt;&gt;"")*(A_Corridor!$A$5:$A$204&lt;=$B590)*(A_Corridor!$B$5:$B$204&gt;$B590)*(A_Corridor!$H$5:$H$204&lt;&gt;"")),IF(A_Corridor!$H$5:$H$204="-","",1)),"")</f>
        <v/>
      </c>
      <c r="M590" s="182" t="str">
        <f>IFERROR(LOOKUP(2,1/((A_Corridor!$A$5:$A$204&lt;&gt;"")*(A_Corridor!$A$5:$A$204&lt;=$B590)*(A_Corridor!$B$5:$B$204&gt;$B590)*(A_Corridor!$H$5:$H$204&lt;&gt;"")),IF(A_Corridor!$H$5:$H$204="-","",A_Corridor!$H$5:$H$204)),"")</f>
        <v/>
      </c>
      <c r="N590" s="182" t="str">
        <f>IFERROR(LOOKUP(2,1/((A_Corridor!$A$5:$A$204&lt;&gt;"")*(A_Corridor!$A$5:$A$204&lt;=$B590)*(A_Corridor!$B$5:$B$204&gt;$B590)*(A_Corridor!$I$5:$I$204&lt;&gt;"")),IF(A_Corridor!$I$5:$I$204="-","",A_Corridor!$I$5:$I$204)),"")</f>
        <v/>
      </c>
      <c r="O590" s="182" t="str">
        <f>IFERROR(LOOKUP(2,1/((D_Points!$A$5:$A$204&lt;&gt;"")*(D_Points!$A$5:$A$204&gt;=$B590)*(D_Points!$A$5:$A$204&lt;$B590+P_Interval)*(UPPER(TRIM(D_Points!$B$5:$B$204))="PITCHING")*(D_Points!$H$5:$H$204&lt;&gt;"")),D_Points!$H$5:$H$204),"")</f>
        <v/>
      </c>
      <c r="P590" s="181" t="str">
        <f>IFERROR(LOOKUP(2,1/((B_Drainage!$A$5:$A$204&lt;&gt;"")*(B_Drainage!$A$5:$A$204&lt;=$B590)*(B_Drainage!$B$5:$B$204&gt;$B590)*(B_Drainage!$C$5:$C$204&lt;&gt;"")),IF(B_Drainage!$C$5:$C$204="-","",UPPER(B_Drainage!$C$5:$C$204))),"")</f>
        <v/>
      </c>
      <c r="Q590" s="181" t="str">
        <f>IFERROR(LOOKUP(2,1/((B_Drainage!$A$5:$A$204&lt;&gt;"")*(B_Drainage!$A$5:$A$204&lt;=$B590)*(B_Drainage!$B$5:$B$204&gt;$B590)*(B_Drainage!$D$5:$D$204&lt;&gt;"")),IF(B_Drainage!$D$5:$D$204="-","",UPPER(B_Drainage!$D$5:$D$204))),"")</f>
        <v/>
      </c>
      <c r="R590" s="182" t="str">
        <f>IFERROR(LOOKUP(2,1/((D_Points!$A$5:$A$204&lt;&gt;"")*(D_Points!$A$5:$A$204&gt;=$B590)*(D_Points!$A$5:$A$204&lt;$B590+P_Interval)*(RIGHT(UPPER(TRIM(D_Points!$B$5:$B$204)),8)="_CULVERT")),IF(LEFT(UPPER(TRIM(D_Points!$B$5:$B$204)),2)="EX",1,IF(LEFT(UPPER(TRIM(D_Points!$B$5:$B$204)),2)="PR",2,3))),"")</f>
        <v/>
      </c>
      <c r="S590" s="182" t="str">
        <f>IFERROR(LOOKUP(2,1/((D_Points!$A$5:$A$204&lt;&gt;"")*(D_Points!$A$5:$A$204&gt;=$B590)*(D_Points!$A$5:$A$204&lt;$B590+P_Interval)*(RIGHT(UPPER(TRIM(D_Points!$B$5:$B$204)),7)="_BRIDGE")),IF(LEFT(UPPER(TRIM(D_Points!$B$5:$B$204)),2)="EX",1,IF(LEFT(UPPER(TRIM(D_Points!$B$5:$B$204)),2)="PR",2,2))),"")</f>
        <v/>
      </c>
      <c r="T590" s="181" t="str">
        <f>IFERROR(LOOKUP(2,1/((B_Drainage!$A$5:$A$204&lt;&gt;"")*(B_Drainage!$A$5:$A$204&lt;=$B590)*(B_Drainage!$B$5:$B$204&gt;$B590)*(B_Drainage!$E$5:$E$204&lt;&gt;"")),IF(B_Drainage!$E$5:$E$204="-","",1)),"")</f>
        <v/>
      </c>
      <c r="U590" s="181" t="str">
        <f>IFERROR(LOOKUP(2,1/((B_Drainage!$A$5:$A$204&lt;&gt;"")*(B_Drainage!$A$5:$A$204&lt;=$B590)*(B_Drainage!$B$5:$B$204&gt;$B590)*(B_Drainage!$E$5:$E$204&lt;&gt;"")),IF(B_Drainage!$E$5:$E$204="-","",B_Drainage!$E$5:$E$204)),"")</f>
        <v/>
      </c>
      <c r="V590" s="181" t="str">
        <f>IFERROR(LOOKUP(2,1/((B_Drainage!$A$5:$A$204&lt;&gt;"")*(B_Drainage!$A$5:$A$204&lt;=$B590)*(B_Drainage!$B$5:$B$204&gt;$B590)*(B_Drainage!$F$5:$F$204&lt;&gt;"")),IF(B_Drainage!$F$5:$F$204="-","",1)),"")</f>
        <v/>
      </c>
      <c r="W590" s="181" t="str">
        <f>IFERROR(LOOKUP(2,1/((B_Drainage!$A$5:$A$204&lt;&gt;"")*(B_Drainage!$A$5:$A$204&lt;=$B590)*(B_Drainage!$B$5:$B$204&gt;$B590)*(B_Drainage!$F$5:$F$204&lt;&gt;"")),IF(B_Drainage!$F$5:$F$204="-","",B_Drainage!$F$5:$F$204)),"")</f>
        <v/>
      </c>
      <c r="X590" s="181" t="str">
        <f>IFERROR(LOOKUP(2,1/((B_Drainage!$A$5:$A$204&lt;&gt;"")*(B_Drainage!$A$5:$A$204&lt;=$B590)*(B_Drainage!$B$5:$B$204&gt;$B590)*(B_Drainage!$G$5:$G$204&lt;&gt;"")),IF(UPPER(B_Drainage!$G$5:$G$204)="Y",1,"")),"")</f>
        <v/>
      </c>
      <c r="Y590" s="181" t="str">
        <f>IFERROR(LOOKUP(2,1/((B_Drainage!$A$5:$A$204&lt;&gt;"")*(B_Drainage!$A$5:$A$204&lt;=$B590)*(B_Drainage!$B$5:$B$204&gt;$B590)*(B_Drainage!$H$5:$H$204&lt;&gt;"")),IF(UPPER(B_Drainage!$H$5:$H$204)="Y",1,"")),"")</f>
        <v/>
      </c>
      <c r="Z590" s="181" t="str">
        <f>IFERROR(LOOKUP(2,1/((B_Drainage!$A$5:$A$204&lt;&gt;"")*(B_Drainage!$A$5:$A$204&lt;=$B590)*(B_Drainage!$B$5:$B$204&gt;$B590)*(B_Drainage!$I$5:$I$204&lt;&gt;"")),IF(UPPER(B_Drainage!$I$5:$I$204)="Y",1,"")),"")</f>
        <v/>
      </c>
      <c r="AA590" s="181" t="str">
        <f>IFERROR(LOOKUP(2,1/((B_Drainage!$A$5:$A$204&lt;&gt;"")*(B_Drainage!$A$5:$A$204&lt;=$B590)*(B_Drainage!$B$5:$B$204&gt;$B590)*(B_Drainage!$J$5:$J$204&lt;&gt;"")),IF(UPPER(B_Drainage!$J$5:$J$204)="Y",1,"")),"")</f>
        <v/>
      </c>
      <c r="AB590" s="182" t="str">
        <f>IFERROR(LOOKUP(2,1/((B_Drainage!$A$5:$A$204&lt;&gt;"")*(B_Drainage!$A$5:$A$204&lt;=$B590)*(B_Drainage!$B$5:$B$204&gt;$B590)*(B_Drainage!$K$5:$K$204&lt;&gt;"")),IF(B_Drainage!$K$5:$K$204="-","",B_Drainage!$K$5:$K$204)),"")</f>
        <v/>
      </c>
      <c r="AC590" s="182" t="str">
        <f>IFERROR(LOOKUP(2,1/((B_Drainage!$A$5:$A$204&lt;&gt;"")*(B_Drainage!$A$5:$A$204&lt;=$B590)*(B_Drainage!$B$5:$B$204&gt;$B590)*(B_Drainage!$L$5:$L$204&lt;&gt;"")),IF(B_Drainage!$L$5:$L$204="-","",B_Drainage!$L$5:$L$204)),"")</f>
        <v/>
      </c>
      <c r="AD590" s="182" t="str">
        <f>IFERROR(LOOKUP(2,1/((D_Points!$A$5:$A$204&lt;&gt;"")*(D_Points!$A$5:$A$204&gt;=$B590)*(D_Points!$A$5:$A$204&lt;$B590+P_Interval)*(UPPER(TRIM(D_Points!$B$5:$B$204))="TURNOUT_L")*(D_Points!$H$5:$H$204&lt;&gt;"")),D_Points!$H$5:$H$204),"")</f>
        <v/>
      </c>
      <c r="AE590" s="182" t="str">
        <f>IFERROR(LOOKUP(2,1/((D_Points!$A$5:$A$204&lt;&gt;"")*(D_Points!$A$5:$A$204&gt;=$B590)*(D_Points!$A$5:$A$204&lt;$B590+P_Interval)*(UPPER(TRIM(D_Points!$B$5:$B$204))="TURNOUT_R")*(D_Points!$H$5:$H$204&lt;&gt;"")),D_Points!$H$5:$H$204),"")</f>
        <v/>
      </c>
      <c r="AF590" s="181" t="str">
        <f>IFERROR(LOOKUP(2,1/((B_Drainage!$A$5:$A$204&lt;&gt;"")*(B_Drainage!$A$5:$A$204&lt;=$B590)*(B_Drainage!$B$5:$B$204&gt;$B590)*(B_Drainage!$M$5:$M$204&lt;&gt;"")),IF(UPPER(B_Drainage!$M$5:$M$204)="Y",1,"")),"")</f>
        <v/>
      </c>
      <c r="AG590" s="181" t="str">
        <f>IFERROR(LOOKUP(2,1/((B_Drainage!$A$5:$A$204&lt;&gt;"")*(B_Drainage!$A$5:$A$204&lt;=$B590)*(B_Drainage!$B$5:$B$204&gt;$B590)*(B_Drainage!$N$5:$N$204&lt;&gt;"")),IF(UPPER(B_Drainage!$N$5:$N$204)="Y",1,"")),"")</f>
        <v/>
      </c>
      <c r="AH590" s="181" t="str">
        <f t="shared" si="72"/>
        <v/>
      </c>
      <c r="AI590" s="181" t="str">
        <f t="shared" si="73"/>
        <v/>
      </c>
      <c r="AJ590" s="181" t="str">
        <f t="shared" si="74"/>
        <v/>
      </c>
      <c r="AK590" s="181" t="str">
        <f t="shared" si="75"/>
        <v/>
      </c>
      <c r="AL590" s="181" t="str">
        <f t="shared" si="76"/>
        <v/>
      </c>
      <c r="AM590" s="181" t="str">
        <f t="shared" si="77"/>
        <v/>
      </c>
      <c r="AN590" s="181" t="str">
        <f t="shared" si="78"/>
        <v/>
      </c>
      <c r="AO590" s="192" t="str">
        <f t="shared" si="79"/>
        <v/>
      </c>
      <c r="AQ590" t="str">
        <f>IFERROR(LOOKUP(2,1/((C_Pavement!$A$5:$A$204&lt;&gt;"")*(C_Pavement!$A$5:$A$204&lt;=$B590)*(C_Pavement!$B$5:$B$204&gt;$B590)*(C_Pavement!$C$5:$C$204&lt;&gt;"")),ROW(C_Pavement!$C$5:$C$204)-4),"")</f>
        <v/>
      </c>
      <c r="AR590" t="str">
        <f>IF($AQ590="","",UPPER(TRIM(INDEX(C_Pavement!$C$5:$C$204,$AQ590))))</f>
        <v/>
      </c>
      <c r="AS590" t="str">
        <f>IF($AR590="","",IFERROR(MATCH($AR590,E_Rules!$A$5:$A$9,0),""))</f>
        <v/>
      </c>
      <c r="AT590" t="str">
        <f>IF($AQ590="","",IF(INDEX(C_Pavement!$D$5:$D$204,$AQ590)&lt;&gt;"",UPPER(TRIM(INDEX(C_Pavement!$D$5:$D$204,$AQ590))),IF($AS590="","",INDEX(E_Rules!$C$5:$C$9,$AS590))))</f>
        <v/>
      </c>
      <c r="AU590" t="str">
        <f>IF($AQ590="","",IF(INDEX(C_Pavement!$E$5:$E$204,$AQ590)&lt;&gt;"",IF(INDEX(C_Pavement!$E$5:$E$204,$AQ590)="-","",INDEX(C_Pavement!$E$5:$E$204,$AQ590)),IF($AS590="","",INDEX(E_Rules!$D$5:$D$9,$AS590))))</f>
        <v/>
      </c>
      <c r="AV590" t="str">
        <f>IF($AQ590="","",IF(INDEX(C_Pavement!$F$5:$F$204,$AQ590)&lt;&gt;"",IF(INDEX(C_Pavement!$F$5:$F$204,$AQ590)="-","",INDEX(C_Pavement!$F$5:$F$204,$AQ590)),IF($AS590="","",INDEX(E_Rules!$E$5:$E$9,$AS590))))</f>
        <v/>
      </c>
      <c r="AW590" t="str">
        <f>IF($AQ590="","",IF(INDEX(C_Pavement!$G$5:$G$204,$AQ590)&lt;&gt;"",IF(INDEX(C_Pavement!$G$5:$G$204,$AQ590)="-","",INDEX(C_Pavement!$G$5:$G$204,$AQ590)),IF($AS590="","",INDEX(E_Rules!$F$5:$F$9,$AS590))))</f>
        <v/>
      </c>
      <c r="AX590" t="str">
        <f>IF($AQ590="","",IF(INDEX(C_Pavement!$H$5:$H$204,$AQ590)&lt;&gt;"",IF(INDEX(C_Pavement!$H$5:$H$204,$AQ590)="-","",INDEX(C_Pavement!$H$5:$H$204,$AQ590)),IF($AS590="","",INDEX(E_Rules!$G$5:$G$9,$AS590))))</f>
        <v/>
      </c>
      <c r="AY590" t="str">
        <f>IF($AQ590="","",IF(INDEX(C_Pavement!$I$5:$I$204,$AQ590)&lt;&gt;"",IF(INDEX(C_Pavement!$I$5:$I$204,$AQ590)="-","",INDEX(C_Pavement!$I$5:$I$204,$AQ590)),IF($AS590="","",INDEX(E_Rules!$H$5:$H$9,$AS590))))</f>
        <v/>
      </c>
    </row>
    <row r="591" spans="1:51" ht="15.75" customHeight="1" x14ac:dyDescent="0.3">
      <c r="A591" s="189">
        <v>586</v>
      </c>
      <c r="B591" s="180">
        <v>29250</v>
      </c>
      <c r="C591" s="180" t="s">
        <v>897</v>
      </c>
      <c r="D591" s="181" t="str">
        <f>IFERROR(LOOKUP(2,1/((A_Corridor!$A$5:$A$204&lt;&gt;"")*(A_Corridor!$A$5:$A$204&lt;=$B591)*(A_Corridor!$B$5:$B$204&gt;$B591)*(A_Corridor!$C$5:$C$204&lt;&gt;"")),IF(UPPER(A_Corridor!$C$5:$C$204)="Y",1,"")),"")</f>
        <v/>
      </c>
      <c r="E591" s="181" t="str">
        <f>IFERROR(LOOKUP(2,1/((A_Corridor!$A$5:$A$204&lt;&gt;"")*(A_Corridor!$A$5:$A$204&lt;=$B591)*(A_Corridor!$B$5:$B$204&gt;$B591)*(A_Corridor!$D$5:$D$204&lt;&gt;"")),IF(A_Corridor!$D$5:$D$204="-","",UPPER(A_Corridor!$D$5:$D$204))),"")</f>
        <v/>
      </c>
      <c r="F591" s="181" t="str">
        <f>IFERROR(LOOKUP(2,1/((A_Corridor!$A$5:$A$204&lt;&gt;"")*(A_Corridor!$A$5:$A$204&lt;=$B591)*(A_Corridor!$B$5:$B$204&gt;$B591)*(A_Corridor!$E$5:$E$204&lt;&gt;"")),IF(A_Corridor!$E$5:$E$204="-","",1)),"")</f>
        <v/>
      </c>
      <c r="G591" s="182" t="str">
        <f>IFERROR(LOOKUP(2,1/((A_Corridor!$A$5:$A$204&lt;&gt;"")*(A_Corridor!$A$5:$A$204&lt;=$B591)*(A_Corridor!$B$5:$B$204&gt;$B591)*(A_Corridor!$E$5:$E$204&lt;&gt;"")),IF(A_Corridor!$E$5:$E$204="-","",A_Corridor!$E$5:$E$204)),"")</f>
        <v/>
      </c>
      <c r="H591" s="182" t="str">
        <f>IFERROR(LOOKUP(2,1/((D_Points!$A$5:$A$204&lt;&gt;"")*(D_Points!$A$5:$A$204&gt;=$B591)*(D_Points!$A$5:$A$204&lt;$B591+P_Interval)*(UPPER(TRIM(D_Points!$B$5:$B$204))="GULLY")*(D_Points!$H$5:$H$204&lt;&gt;"")),D_Points!$H$5:$H$204),"")</f>
        <v/>
      </c>
      <c r="I591" s="181" t="str">
        <f>IFERROR(LOOKUP(2,1/((A_Corridor!$A$5:$A$204&lt;&gt;"")*(A_Corridor!$A$5:$A$204&lt;=$B591)*(A_Corridor!$B$5:$B$204&gt;$B591)*(A_Corridor!$F$5:$F$204&lt;&gt;"")),IF(A_Corridor!$F$5:$F$204="-","",1)),"")</f>
        <v/>
      </c>
      <c r="J591" s="182" t="str">
        <f>IFERROR(LOOKUP(2,1/((A_Corridor!$A$5:$A$204&lt;&gt;"")*(A_Corridor!$A$5:$A$204&lt;=$B591)*(A_Corridor!$B$5:$B$204&gt;$B591)*(A_Corridor!$F$5:$F$204&lt;&gt;"")),IF(A_Corridor!$F$5:$F$204="-","",A_Corridor!$F$5:$F$204)),"")</f>
        <v/>
      </c>
      <c r="K591" s="182" t="str">
        <f>IFERROR(LOOKUP(2,1/((A_Corridor!$A$5:$A$204&lt;&gt;"")*(A_Corridor!$A$5:$A$204&lt;=$B591)*(A_Corridor!$B$5:$B$204&gt;$B591)*(A_Corridor!$G$5:$G$204&lt;&gt;"")),IF(A_Corridor!$G$5:$G$204="-","",A_Corridor!$G$5:$G$204)),"")</f>
        <v/>
      </c>
      <c r="L591" s="181" t="str">
        <f>IFERROR(LOOKUP(2,1/((A_Corridor!$A$5:$A$204&lt;&gt;"")*(A_Corridor!$A$5:$A$204&lt;=$B591)*(A_Corridor!$B$5:$B$204&gt;$B591)*(A_Corridor!$H$5:$H$204&lt;&gt;"")),IF(A_Corridor!$H$5:$H$204="-","",1)),"")</f>
        <v/>
      </c>
      <c r="M591" s="182" t="str">
        <f>IFERROR(LOOKUP(2,1/((A_Corridor!$A$5:$A$204&lt;&gt;"")*(A_Corridor!$A$5:$A$204&lt;=$B591)*(A_Corridor!$B$5:$B$204&gt;$B591)*(A_Corridor!$H$5:$H$204&lt;&gt;"")),IF(A_Corridor!$H$5:$H$204="-","",A_Corridor!$H$5:$H$204)),"")</f>
        <v/>
      </c>
      <c r="N591" s="182" t="str">
        <f>IFERROR(LOOKUP(2,1/((A_Corridor!$A$5:$A$204&lt;&gt;"")*(A_Corridor!$A$5:$A$204&lt;=$B591)*(A_Corridor!$B$5:$B$204&gt;$B591)*(A_Corridor!$I$5:$I$204&lt;&gt;"")),IF(A_Corridor!$I$5:$I$204="-","",A_Corridor!$I$5:$I$204)),"")</f>
        <v/>
      </c>
      <c r="O591" s="182" t="str">
        <f>IFERROR(LOOKUP(2,1/((D_Points!$A$5:$A$204&lt;&gt;"")*(D_Points!$A$5:$A$204&gt;=$B591)*(D_Points!$A$5:$A$204&lt;$B591+P_Interval)*(UPPER(TRIM(D_Points!$B$5:$B$204))="PITCHING")*(D_Points!$H$5:$H$204&lt;&gt;"")),D_Points!$H$5:$H$204),"")</f>
        <v/>
      </c>
      <c r="P591" s="181" t="str">
        <f>IFERROR(LOOKUP(2,1/((B_Drainage!$A$5:$A$204&lt;&gt;"")*(B_Drainage!$A$5:$A$204&lt;=$B591)*(B_Drainage!$B$5:$B$204&gt;$B591)*(B_Drainage!$C$5:$C$204&lt;&gt;"")),IF(B_Drainage!$C$5:$C$204="-","",UPPER(B_Drainage!$C$5:$C$204))),"")</f>
        <v/>
      </c>
      <c r="Q591" s="181" t="str">
        <f>IFERROR(LOOKUP(2,1/((B_Drainage!$A$5:$A$204&lt;&gt;"")*(B_Drainage!$A$5:$A$204&lt;=$B591)*(B_Drainage!$B$5:$B$204&gt;$B591)*(B_Drainage!$D$5:$D$204&lt;&gt;"")),IF(B_Drainage!$D$5:$D$204="-","",UPPER(B_Drainage!$D$5:$D$204))),"")</f>
        <v/>
      </c>
      <c r="R591" s="182" t="str">
        <f>IFERROR(LOOKUP(2,1/((D_Points!$A$5:$A$204&lt;&gt;"")*(D_Points!$A$5:$A$204&gt;=$B591)*(D_Points!$A$5:$A$204&lt;$B591+P_Interval)*(RIGHT(UPPER(TRIM(D_Points!$B$5:$B$204)),8)="_CULVERT")),IF(LEFT(UPPER(TRIM(D_Points!$B$5:$B$204)),2)="EX",1,IF(LEFT(UPPER(TRIM(D_Points!$B$5:$B$204)),2)="PR",2,3))),"")</f>
        <v/>
      </c>
      <c r="S591" s="182" t="str">
        <f>IFERROR(LOOKUP(2,1/((D_Points!$A$5:$A$204&lt;&gt;"")*(D_Points!$A$5:$A$204&gt;=$B591)*(D_Points!$A$5:$A$204&lt;$B591+P_Interval)*(RIGHT(UPPER(TRIM(D_Points!$B$5:$B$204)),7)="_BRIDGE")),IF(LEFT(UPPER(TRIM(D_Points!$B$5:$B$204)),2)="EX",1,IF(LEFT(UPPER(TRIM(D_Points!$B$5:$B$204)),2)="PR",2,2))),"")</f>
        <v/>
      </c>
      <c r="T591" s="181" t="str">
        <f>IFERROR(LOOKUP(2,1/((B_Drainage!$A$5:$A$204&lt;&gt;"")*(B_Drainage!$A$5:$A$204&lt;=$B591)*(B_Drainage!$B$5:$B$204&gt;$B591)*(B_Drainage!$E$5:$E$204&lt;&gt;"")),IF(B_Drainage!$E$5:$E$204="-","",1)),"")</f>
        <v/>
      </c>
      <c r="U591" s="181" t="str">
        <f>IFERROR(LOOKUP(2,1/((B_Drainage!$A$5:$A$204&lt;&gt;"")*(B_Drainage!$A$5:$A$204&lt;=$B591)*(B_Drainage!$B$5:$B$204&gt;$B591)*(B_Drainage!$E$5:$E$204&lt;&gt;"")),IF(B_Drainage!$E$5:$E$204="-","",B_Drainage!$E$5:$E$204)),"")</f>
        <v/>
      </c>
      <c r="V591" s="181" t="str">
        <f>IFERROR(LOOKUP(2,1/((B_Drainage!$A$5:$A$204&lt;&gt;"")*(B_Drainage!$A$5:$A$204&lt;=$B591)*(B_Drainage!$B$5:$B$204&gt;$B591)*(B_Drainage!$F$5:$F$204&lt;&gt;"")),IF(B_Drainage!$F$5:$F$204="-","",1)),"")</f>
        <v/>
      </c>
      <c r="W591" s="181" t="str">
        <f>IFERROR(LOOKUP(2,1/((B_Drainage!$A$5:$A$204&lt;&gt;"")*(B_Drainage!$A$5:$A$204&lt;=$B591)*(B_Drainage!$B$5:$B$204&gt;$B591)*(B_Drainage!$F$5:$F$204&lt;&gt;"")),IF(B_Drainage!$F$5:$F$204="-","",B_Drainage!$F$5:$F$204)),"")</f>
        <v/>
      </c>
      <c r="X591" s="181" t="str">
        <f>IFERROR(LOOKUP(2,1/((B_Drainage!$A$5:$A$204&lt;&gt;"")*(B_Drainage!$A$5:$A$204&lt;=$B591)*(B_Drainage!$B$5:$B$204&gt;$B591)*(B_Drainage!$G$5:$G$204&lt;&gt;"")),IF(UPPER(B_Drainage!$G$5:$G$204)="Y",1,"")),"")</f>
        <v/>
      </c>
      <c r="Y591" s="181" t="str">
        <f>IFERROR(LOOKUP(2,1/((B_Drainage!$A$5:$A$204&lt;&gt;"")*(B_Drainage!$A$5:$A$204&lt;=$B591)*(B_Drainage!$B$5:$B$204&gt;$B591)*(B_Drainage!$H$5:$H$204&lt;&gt;"")),IF(UPPER(B_Drainage!$H$5:$H$204)="Y",1,"")),"")</f>
        <v/>
      </c>
      <c r="Z591" s="181" t="str">
        <f>IFERROR(LOOKUP(2,1/((B_Drainage!$A$5:$A$204&lt;&gt;"")*(B_Drainage!$A$5:$A$204&lt;=$B591)*(B_Drainage!$B$5:$B$204&gt;$B591)*(B_Drainage!$I$5:$I$204&lt;&gt;"")),IF(UPPER(B_Drainage!$I$5:$I$204)="Y",1,"")),"")</f>
        <v/>
      </c>
      <c r="AA591" s="181" t="str">
        <f>IFERROR(LOOKUP(2,1/((B_Drainage!$A$5:$A$204&lt;&gt;"")*(B_Drainage!$A$5:$A$204&lt;=$B591)*(B_Drainage!$B$5:$B$204&gt;$B591)*(B_Drainage!$J$5:$J$204&lt;&gt;"")),IF(UPPER(B_Drainage!$J$5:$J$204)="Y",1,"")),"")</f>
        <v/>
      </c>
      <c r="AB591" s="182" t="str">
        <f>IFERROR(LOOKUP(2,1/((B_Drainage!$A$5:$A$204&lt;&gt;"")*(B_Drainage!$A$5:$A$204&lt;=$B591)*(B_Drainage!$B$5:$B$204&gt;$B591)*(B_Drainage!$K$5:$K$204&lt;&gt;"")),IF(B_Drainage!$K$5:$K$204="-","",B_Drainage!$K$5:$K$204)),"")</f>
        <v/>
      </c>
      <c r="AC591" s="182" t="str">
        <f>IFERROR(LOOKUP(2,1/((B_Drainage!$A$5:$A$204&lt;&gt;"")*(B_Drainage!$A$5:$A$204&lt;=$B591)*(B_Drainage!$B$5:$B$204&gt;$B591)*(B_Drainage!$L$5:$L$204&lt;&gt;"")),IF(B_Drainage!$L$5:$L$204="-","",B_Drainage!$L$5:$L$204)),"")</f>
        <v/>
      </c>
      <c r="AD591" s="182" t="str">
        <f>IFERROR(LOOKUP(2,1/((D_Points!$A$5:$A$204&lt;&gt;"")*(D_Points!$A$5:$A$204&gt;=$B591)*(D_Points!$A$5:$A$204&lt;$B591+P_Interval)*(UPPER(TRIM(D_Points!$B$5:$B$204))="TURNOUT_L")*(D_Points!$H$5:$H$204&lt;&gt;"")),D_Points!$H$5:$H$204),"")</f>
        <v/>
      </c>
      <c r="AE591" s="182" t="str">
        <f>IFERROR(LOOKUP(2,1/((D_Points!$A$5:$A$204&lt;&gt;"")*(D_Points!$A$5:$A$204&gt;=$B591)*(D_Points!$A$5:$A$204&lt;$B591+P_Interval)*(UPPER(TRIM(D_Points!$B$5:$B$204))="TURNOUT_R")*(D_Points!$H$5:$H$204&lt;&gt;"")),D_Points!$H$5:$H$204),"")</f>
        <v/>
      </c>
      <c r="AF591" s="181" t="str">
        <f>IFERROR(LOOKUP(2,1/((B_Drainage!$A$5:$A$204&lt;&gt;"")*(B_Drainage!$A$5:$A$204&lt;=$B591)*(B_Drainage!$B$5:$B$204&gt;$B591)*(B_Drainage!$M$5:$M$204&lt;&gt;"")),IF(UPPER(B_Drainage!$M$5:$M$204)="Y",1,"")),"")</f>
        <v/>
      </c>
      <c r="AG591" s="181" t="str">
        <f>IFERROR(LOOKUP(2,1/((B_Drainage!$A$5:$A$204&lt;&gt;"")*(B_Drainage!$A$5:$A$204&lt;=$B591)*(B_Drainage!$B$5:$B$204&gt;$B591)*(B_Drainage!$N$5:$N$204&lt;&gt;"")),IF(UPPER(B_Drainage!$N$5:$N$204)="Y",1,"")),"")</f>
        <v/>
      </c>
      <c r="AH591" s="181" t="str">
        <f t="shared" si="72"/>
        <v/>
      </c>
      <c r="AI591" s="181" t="str">
        <f t="shared" si="73"/>
        <v/>
      </c>
      <c r="AJ591" s="181" t="str">
        <f t="shared" si="74"/>
        <v/>
      </c>
      <c r="AK591" s="181" t="str">
        <f t="shared" si="75"/>
        <v/>
      </c>
      <c r="AL591" s="181" t="str">
        <f t="shared" si="76"/>
        <v/>
      </c>
      <c r="AM591" s="181" t="str">
        <f t="shared" si="77"/>
        <v/>
      </c>
      <c r="AN591" s="181" t="str">
        <f t="shared" si="78"/>
        <v/>
      </c>
      <c r="AO591" s="192" t="str">
        <f t="shared" si="79"/>
        <v/>
      </c>
      <c r="AQ591" t="str">
        <f>IFERROR(LOOKUP(2,1/((C_Pavement!$A$5:$A$204&lt;&gt;"")*(C_Pavement!$A$5:$A$204&lt;=$B591)*(C_Pavement!$B$5:$B$204&gt;$B591)*(C_Pavement!$C$5:$C$204&lt;&gt;"")),ROW(C_Pavement!$C$5:$C$204)-4),"")</f>
        <v/>
      </c>
      <c r="AR591" t="str">
        <f>IF($AQ591="","",UPPER(TRIM(INDEX(C_Pavement!$C$5:$C$204,$AQ591))))</f>
        <v/>
      </c>
      <c r="AS591" t="str">
        <f>IF($AR591="","",IFERROR(MATCH($AR591,E_Rules!$A$5:$A$9,0),""))</f>
        <v/>
      </c>
      <c r="AT591" t="str">
        <f>IF($AQ591="","",IF(INDEX(C_Pavement!$D$5:$D$204,$AQ591)&lt;&gt;"",UPPER(TRIM(INDEX(C_Pavement!$D$5:$D$204,$AQ591))),IF($AS591="","",INDEX(E_Rules!$C$5:$C$9,$AS591))))</f>
        <v/>
      </c>
      <c r="AU591" t="str">
        <f>IF($AQ591="","",IF(INDEX(C_Pavement!$E$5:$E$204,$AQ591)&lt;&gt;"",IF(INDEX(C_Pavement!$E$5:$E$204,$AQ591)="-","",INDEX(C_Pavement!$E$5:$E$204,$AQ591)),IF($AS591="","",INDEX(E_Rules!$D$5:$D$9,$AS591))))</f>
        <v/>
      </c>
      <c r="AV591" t="str">
        <f>IF($AQ591="","",IF(INDEX(C_Pavement!$F$5:$F$204,$AQ591)&lt;&gt;"",IF(INDEX(C_Pavement!$F$5:$F$204,$AQ591)="-","",INDEX(C_Pavement!$F$5:$F$204,$AQ591)),IF($AS591="","",INDEX(E_Rules!$E$5:$E$9,$AS591))))</f>
        <v/>
      </c>
      <c r="AW591" t="str">
        <f>IF($AQ591="","",IF(INDEX(C_Pavement!$G$5:$G$204,$AQ591)&lt;&gt;"",IF(INDEX(C_Pavement!$G$5:$G$204,$AQ591)="-","",INDEX(C_Pavement!$G$5:$G$204,$AQ591)),IF($AS591="","",INDEX(E_Rules!$F$5:$F$9,$AS591))))</f>
        <v/>
      </c>
      <c r="AX591" t="str">
        <f>IF($AQ591="","",IF(INDEX(C_Pavement!$H$5:$H$204,$AQ591)&lt;&gt;"",IF(INDEX(C_Pavement!$H$5:$H$204,$AQ591)="-","",INDEX(C_Pavement!$H$5:$H$204,$AQ591)),IF($AS591="","",INDEX(E_Rules!$G$5:$G$9,$AS591))))</f>
        <v/>
      </c>
      <c r="AY591" t="str">
        <f>IF($AQ591="","",IF(INDEX(C_Pavement!$I$5:$I$204,$AQ591)&lt;&gt;"",IF(INDEX(C_Pavement!$I$5:$I$204,$AQ591)="-","",INDEX(C_Pavement!$I$5:$I$204,$AQ591)),IF($AS591="","",INDEX(E_Rules!$H$5:$H$9,$AS591))))</f>
        <v/>
      </c>
    </row>
    <row r="592" spans="1:51" ht="15.75" customHeight="1" x14ac:dyDescent="0.3">
      <c r="A592" s="189">
        <v>587</v>
      </c>
      <c r="B592" s="180">
        <v>29300</v>
      </c>
      <c r="C592" s="180" t="s">
        <v>898</v>
      </c>
      <c r="D592" s="181" t="str">
        <f>IFERROR(LOOKUP(2,1/((A_Corridor!$A$5:$A$204&lt;&gt;"")*(A_Corridor!$A$5:$A$204&lt;=$B592)*(A_Corridor!$B$5:$B$204&gt;$B592)*(A_Corridor!$C$5:$C$204&lt;&gt;"")),IF(UPPER(A_Corridor!$C$5:$C$204)="Y",1,"")),"")</f>
        <v/>
      </c>
      <c r="E592" s="181" t="str">
        <f>IFERROR(LOOKUP(2,1/((A_Corridor!$A$5:$A$204&lt;&gt;"")*(A_Corridor!$A$5:$A$204&lt;=$B592)*(A_Corridor!$B$5:$B$204&gt;$B592)*(A_Corridor!$D$5:$D$204&lt;&gt;"")),IF(A_Corridor!$D$5:$D$204="-","",UPPER(A_Corridor!$D$5:$D$204))),"")</f>
        <v/>
      </c>
      <c r="F592" s="181" t="str">
        <f>IFERROR(LOOKUP(2,1/((A_Corridor!$A$5:$A$204&lt;&gt;"")*(A_Corridor!$A$5:$A$204&lt;=$B592)*(A_Corridor!$B$5:$B$204&gt;$B592)*(A_Corridor!$E$5:$E$204&lt;&gt;"")),IF(A_Corridor!$E$5:$E$204="-","",1)),"")</f>
        <v/>
      </c>
      <c r="G592" s="182" t="str">
        <f>IFERROR(LOOKUP(2,1/((A_Corridor!$A$5:$A$204&lt;&gt;"")*(A_Corridor!$A$5:$A$204&lt;=$B592)*(A_Corridor!$B$5:$B$204&gt;$B592)*(A_Corridor!$E$5:$E$204&lt;&gt;"")),IF(A_Corridor!$E$5:$E$204="-","",A_Corridor!$E$5:$E$204)),"")</f>
        <v/>
      </c>
      <c r="H592" s="182" t="str">
        <f>IFERROR(LOOKUP(2,1/((D_Points!$A$5:$A$204&lt;&gt;"")*(D_Points!$A$5:$A$204&gt;=$B592)*(D_Points!$A$5:$A$204&lt;$B592+P_Interval)*(UPPER(TRIM(D_Points!$B$5:$B$204))="GULLY")*(D_Points!$H$5:$H$204&lt;&gt;"")),D_Points!$H$5:$H$204),"")</f>
        <v/>
      </c>
      <c r="I592" s="181" t="str">
        <f>IFERROR(LOOKUP(2,1/((A_Corridor!$A$5:$A$204&lt;&gt;"")*(A_Corridor!$A$5:$A$204&lt;=$B592)*(A_Corridor!$B$5:$B$204&gt;$B592)*(A_Corridor!$F$5:$F$204&lt;&gt;"")),IF(A_Corridor!$F$5:$F$204="-","",1)),"")</f>
        <v/>
      </c>
      <c r="J592" s="182" t="str">
        <f>IFERROR(LOOKUP(2,1/((A_Corridor!$A$5:$A$204&lt;&gt;"")*(A_Corridor!$A$5:$A$204&lt;=$B592)*(A_Corridor!$B$5:$B$204&gt;$B592)*(A_Corridor!$F$5:$F$204&lt;&gt;"")),IF(A_Corridor!$F$5:$F$204="-","",A_Corridor!$F$5:$F$204)),"")</f>
        <v/>
      </c>
      <c r="K592" s="182" t="str">
        <f>IFERROR(LOOKUP(2,1/((A_Corridor!$A$5:$A$204&lt;&gt;"")*(A_Corridor!$A$5:$A$204&lt;=$B592)*(A_Corridor!$B$5:$B$204&gt;$B592)*(A_Corridor!$G$5:$G$204&lt;&gt;"")),IF(A_Corridor!$G$5:$G$204="-","",A_Corridor!$G$5:$G$204)),"")</f>
        <v/>
      </c>
      <c r="L592" s="181" t="str">
        <f>IFERROR(LOOKUP(2,1/((A_Corridor!$A$5:$A$204&lt;&gt;"")*(A_Corridor!$A$5:$A$204&lt;=$B592)*(A_Corridor!$B$5:$B$204&gt;$B592)*(A_Corridor!$H$5:$H$204&lt;&gt;"")),IF(A_Corridor!$H$5:$H$204="-","",1)),"")</f>
        <v/>
      </c>
      <c r="M592" s="182" t="str">
        <f>IFERROR(LOOKUP(2,1/((A_Corridor!$A$5:$A$204&lt;&gt;"")*(A_Corridor!$A$5:$A$204&lt;=$B592)*(A_Corridor!$B$5:$B$204&gt;$B592)*(A_Corridor!$H$5:$H$204&lt;&gt;"")),IF(A_Corridor!$H$5:$H$204="-","",A_Corridor!$H$5:$H$204)),"")</f>
        <v/>
      </c>
      <c r="N592" s="182" t="str">
        <f>IFERROR(LOOKUP(2,1/((A_Corridor!$A$5:$A$204&lt;&gt;"")*(A_Corridor!$A$5:$A$204&lt;=$B592)*(A_Corridor!$B$5:$B$204&gt;$B592)*(A_Corridor!$I$5:$I$204&lt;&gt;"")),IF(A_Corridor!$I$5:$I$204="-","",A_Corridor!$I$5:$I$204)),"")</f>
        <v/>
      </c>
      <c r="O592" s="182" t="str">
        <f>IFERROR(LOOKUP(2,1/((D_Points!$A$5:$A$204&lt;&gt;"")*(D_Points!$A$5:$A$204&gt;=$B592)*(D_Points!$A$5:$A$204&lt;$B592+P_Interval)*(UPPER(TRIM(D_Points!$B$5:$B$204))="PITCHING")*(D_Points!$H$5:$H$204&lt;&gt;"")),D_Points!$H$5:$H$204),"")</f>
        <v/>
      </c>
      <c r="P592" s="181" t="str">
        <f>IFERROR(LOOKUP(2,1/((B_Drainage!$A$5:$A$204&lt;&gt;"")*(B_Drainage!$A$5:$A$204&lt;=$B592)*(B_Drainage!$B$5:$B$204&gt;$B592)*(B_Drainage!$C$5:$C$204&lt;&gt;"")),IF(B_Drainage!$C$5:$C$204="-","",UPPER(B_Drainage!$C$5:$C$204))),"")</f>
        <v/>
      </c>
      <c r="Q592" s="181" t="str">
        <f>IFERROR(LOOKUP(2,1/((B_Drainage!$A$5:$A$204&lt;&gt;"")*(B_Drainage!$A$5:$A$204&lt;=$B592)*(B_Drainage!$B$5:$B$204&gt;$B592)*(B_Drainage!$D$5:$D$204&lt;&gt;"")),IF(B_Drainage!$D$5:$D$204="-","",UPPER(B_Drainage!$D$5:$D$204))),"")</f>
        <v/>
      </c>
      <c r="R592" s="182" t="str">
        <f>IFERROR(LOOKUP(2,1/((D_Points!$A$5:$A$204&lt;&gt;"")*(D_Points!$A$5:$A$204&gt;=$B592)*(D_Points!$A$5:$A$204&lt;$B592+P_Interval)*(RIGHT(UPPER(TRIM(D_Points!$B$5:$B$204)),8)="_CULVERT")),IF(LEFT(UPPER(TRIM(D_Points!$B$5:$B$204)),2)="EX",1,IF(LEFT(UPPER(TRIM(D_Points!$B$5:$B$204)),2)="PR",2,3))),"")</f>
        <v/>
      </c>
      <c r="S592" s="182" t="str">
        <f>IFERROR(LOOKUP(2,1/((D_Points!$A$5:$A$204&lt;&gt;"")*(D_Points!$A$5:$A$204&gt;=$B592)*(D_Points!$A$5:$A$204&lt;$B592+P_Interval)*(RIGHT(UPPER(TRIM(D_Points!$B$5:$B$204)),7)="_BRIDGE")),IF(LEFT(UPPER(TRIM(D_Points!$B$5:$B$204)),2)="EX",1,IF(LEFT(UPPER(TRIM(D_Points!$B$5:$B$204)),2)="PR",2,2))),"")</f>
        <v/>
      </c>
      <c r="T592" s="181" t="str">
        <f>IFERROR(LOOKUP(2,1/((B_Drainage!$A$5:$A$204&lt;&gt;"")*(B_Drainage!$A$5:$A$204&lt;=$B592)*(B_Drainage!$B$5:$B$204&gt;$B592)*(B_Drainage!$E$5:$E$204&lt;&gt;"")),IF(B_Drainage!$E$5:$E$204="-","",1)),"")</f>
        <v/>
      </c>
      <c r="U592" s="181" t="str">
        <f>IFERROR(LOOKUP(2,1/((B_Drainage!$A$5:$A$204&lt;&gt;"")*(B_Drainage!$A$5:$A$204&lt;=$B592)*(B_Drainage!$B$5:$B$204&gt;$B592)*(B_Drainage!$E$5:$E$204&lt;&gt;"")),IF(B_Drainage!$E$5:$E$204="-","",B_Drainage!$E$5:$E$204)),"")</f>
        <v/>
      </c>
      <c r="V592" s="181" t="str">
        <f>IFERROR(LOOKUP(2,1/((B_Drainage!$A$5:$A$204&lt;&gt;"")*(B_Drainage!$A$5:$A$204&lt;=$B592)*(B_Drainage!$B$5:$B$204&gt;$B592)*(B_Drainage!$F$5:$F$204&lt;&gt;"")),IF(B_Drainage!$F$5:$F$204="-","",1)),"")</f>
        <v/>
      </c>
      <c r="W592" s="181" t="str">
        <f>IFERROR(LOOKUP(2,1/((B_Drainage!$A$5:$A$204&lt;&gt;"")*(B_Drainage!$A$5:$A$204&lt;=$B592)*(B_Drainage!$B$5:$B$204&gt;$B592)*(B_Drainage!$F$5:$F$204&lt;&gt;"")),IF(B_Drainage!$F$5:$F$204="-","",B_Drainage!$F$5:$F$204)),"")</f>
        <v/>
      </c>
      <c r="X592" s="181" t="str">
        <f>IFERROR(LOOKUP(2,1/((B_Drainage!$A$5:$A$204&lt;&gt;"")*(B_Drainage!$A$5:$A$204&lt;=$B592)*(B_Drainage!$B$5:$B$204&gt;$B592)*(B_Drainage!$G$5:$G$204&lt;&gt;"")),IF(UPPER(B_Drainage!$G$5:$G$204)="Y",1,"")),"")</f>
        <v/>
      </c>
      <c r="Y592" s="181" t="str">
        <f>IFERROR(LOOKUP(2,1/((B_Drainage!$A$5:$A$204&lt;&gt;"")*(B_Drainage!$A$5:$A$204&lt;=$B592)*(B_Drainage!$B$5:$B$204&gt;$B592)*(B_Drainage!$H$5:$H$204&lt;&gt;"")),IF(UPPER(B_Drainage!$H$5:$H$204)="Y",1,"")),"")</f>
        <v/>
      </c>
      <c r="Z592" s="181" t="str">
        <f>IFERROR(LOOKUP(2,1/((B_Drainage!$A$5:$A$204&lt;&gt;"")*(B_Drainage!$A$5:$A$204&lt;=$B592)*(B_Drainage!$B$5:$B$204&gt;$B592)*(B_Drainage!$I$5:$I$204&lt;&gt;"")),IF(UPPER(B_Drainage!$I$5:$I$204)="Y",1,"")),"")</f>
        <v/>
      </c>
      <c r="AA592" s="181" t="str">
        <f>IFERROR(LOOKUP(2,1/((B_Drainage!$A$5:$A$204&lt;&gt;"")*(B_Drainage!$A$5:$A$204&lt;=$B592)*(B_Drainage!$B$5:$B$204&gt;$B592)*(B_Drainage!$J$5:$J$204&lt;&gt;"")),IF(UPPER(B_Drainage!$J$5:$J$204)="Y",1,"")),"")</f>
        <v/>
      </c>
      <c r="AB592" s="182" t="str">
        <f>IFERROR(LOOKUP(2,1/((B_Drainage!$A$5:$A$204&lt;&gt;"")*(B_Drainage!$A$5:$A$204&lt;=$B592)*(B_Drainage!$B$5:$B$204&gt;$B592)*(B_Drainage!$K$5:$K$204&lt;&gt;"")),IF(B_Drainage!$K$5:$K$204="-","",B_Drainage!$K$5:$K$204)),"")</f>
        <v/>
      </c>
      <c r="AC592" s="182" t="str">
        <f>IFERROR(LOOKUP(2,1/((B_Drainage!$A$5:$A$204&lt;&gt;"")*(B_Drainage!$A$5:$A$204&lt;=$B592)*(B_Drainage!$B$5:$B$204&gt;$B592)*(B_Drainage!$L$5:$L$204&lt;&gt;"")),IF(B_Drainage!$L$5:$L$204="-","",B_Drainage!$L$5:$L$204)),"")</f>
        <v/>
      </c>
      <c r="AD592" s="182" t="str">
        <f>IFERROR(LOOKUP(2,1/((D_Points!$A$5:$A$204&lt;&gt;"")*(D_Points!$A$5:$A$204&gt;=$B592)*(D_Points!$A$5:$A$204&lt;$B592+P_Interval)*(UPPER(TRIM(D_Points!$B$5:$B$204))="TURNOUT_L")*(D_Points!$H$5:$H$204&lt;&gt;"")),D_Points!$H$5:$H$204),"")</f>
        <v/>
      </c>
      <c r="AE592" s="182" t="str">
        <f>IFERROR(LOOKUP(2,1/((D_Points!$A$5:$A$204&lt;&gt;"")*(D_Points!$A$5:$A$204&gt;=$B592)*(D_Points!$A$5:$A$204&lt;$B592+P_Interval)*(UPPER(TRIM(D_Points!$B$5:$B$204))="TURNOUT_R")*(D_Points!$H$5:$H$204&lt;&gt;"")),D_Points!$H$5:$H$204),"")</f>
        <v/>
      </c>
      <c r="AF592" s="181" t="str">
        <f>IFERROR(LOOKUP(2,1/((B_Drainage!$A$5:$A$204&lt;&gt;"")*(B_Drainage!$A$5:$A$204&lt;=$B592)*(B_Drainage!$B$5:$B$204&gt;$B592)*(B_Drainage!$M$5:$M$204&lt;&gt;"")),IF(UPPER(B_Drainage!$M$5:$M$204)="Y",1,"")),"")</f>
        <v/>
      </c>
      <c r="AG592" s="181" t="str">
        <f>IFERROR(LOOKUP(2,1/((B_Drainage!$A$5:$A$204&lt;&gt;"")*(B_Drainage!$A$5:$A$204&lt;=$B592)*(B_Drainage!$B$5:$B$204&gt;$B592)*(B_Drainage!$N$5:$N$204&lt;&gt;"")),IF(UPPER(B_Drainage!$N$5:$N$204)="Y",1,"")),"")</f>
        <v/>
      </c>
      <c r="AH592" s="181" t="str">
        <f t="shared" si="72"/>
        <v/>
      </c>
      <c r="AI592" s="181" t="str">
        <f t="shared" si="73"/>
        <v/>
      </c>
      <c r="AJ592" s="181" t="str">
        <f t="shared" si="74"/>
        <v/>
      </c>
      <c r="AK592" s="181" t="str">
        <f t="shared" si="75"/>
        <v/>
      </c>
      <c r="AL592" s="181" t="str">
        <f t="shared" si="76"/>
        <v/>
      </c>
      <c r="AM592" s="181" t="str">
        <f t="shared" si="77"/>
        <v/>
      </c>
      <c r="AN592" s="181" t="str">
        <f t="shared" si="78"/>
        <v/>
      </c>
      <c r="AO592" s="192" t="str">
        <f t="shared" si="79"/>
        <v/>
      </c>
      <c r="AQ592" t="str">
        <f>IFERROR(LOOKUP(2,1/((C_Pavement!$A$5:$A$204&lt;&gt;"")*(C_Pavement!$A$5:$A$204&lt;=$B592)*(C_Pavement!$B$5:$B$204&gt;$B592)*(C_Pavement!$C$5:$C$204&lt;&gt;"")),ROW(C_Pavement!$C$5:$C$204)-4),"")</f>
        <v/>
      </c>
      <c r="AR592" t="str">
        <f>IF($AQ592="","",UPPER(TRIM(INDEX(C_Pavement!$C$5:$C$204,$AQ592))))</f>
        <v/>
      </c>
      <c r="AS592" t="str">
        <f>IF($AR592="","",IFERROR(MATCH($AR592,E_Rules!$A$5:$A$9,0),""))</f>
        <v/>
      </c>
      <c r="AT592" t="str">
        <f>IF($AQ592="","",IF(INDEX(C_Pavement!$D$5:$D$204,$AQ592)&lt;&gt;"",UPPER(TRIM(INDEX(C_Pavement!$D$5:$D$204,$AQ592))),IF($AS592="","",INDEX(E_Rules!$C$5:$C$9,$AS592))))</f>
        <v/>
      </c>
      <c r="AU592" t="str">
        <f>IF($AQ592="","",IF(INDEX(C_Pavement!$E$5:$E$204,$AQ592)&lt;&gt;"",IF(INDEX(C_Pavement!$E$5:$E$204,$AQ592)="-","",INDEX(C_Pavement!$E$5:$E$204,$AQ592)),IF($AS592="","",INDEX(E_Rules!$D$5:$D$9,$AS592))))</f>
        <v/>
      </c>
      <c r="AV592" t="str">
        <f>IF($AQ592="","",IF(INDEX(C_Pavement!$F$5:$F$204,$AQ592)&lt;&gt;"",IF(INDEX(C_Pavement!$F$5:$F$204,$AQ592)="-","",INDEX(C_Pavement!$F$5:$F$204,$AQ592)),IF($AS592="","",INDEX(E_Rules!$E$5:$E$9,$AS592))))</f>
        <v/>
      </c>
      <c r="AW592" t="str">
        <f>IF($AQ592="","",IF(INDEX(C_Pavement!$G$5:$G$204,$AQ592)&lt;&gt;"",IF(INDEX(C_Pavement!$G$5:$G$204,$AQ592)="-","",INDEX(C_Pavement!$G$5:$G$204,$AQ592)),IF($AS592="","",INDEX(E_Rules!$F$5:$F$9,$AS592))))</f>
        <v/>
      </c>
      <c r="AX592" t="str">
        <f>IF($AQ592="","",IF(INDEX(C_Pavement!$H$5:$H$204,$AQ592)&lt;&gt;"",IF(INDEX(C_Pavement!$H$5:$H$204,$AQ592)="-","",INDEX(C_Pavement!$H$5:$H$204,$AQ592)),IF($AS592="","",INDEX(E_Rules!$G$5:$G$9,$AS592))))</f>
        <v/>
      </c>
      <c r="AY592" t="str">
        <f>IF($AQ592="","",IF(INDEX(C_Pavement!$I$5:$I$204,$AQ592)&lt;&gt;"",IF(INDEX(C_Pavement!$I$5:$I$204,$AQ592)="-","",INDEX(C_Pavement!$I$5:$I$204,$AQ592)),IF($AS592="","",INDEX(E_Rules!$H$5:$H$9,$AS592))))</f>
        <v/>
      </c>
    </row>
    <row r="593" spans="1:51" ht="15.75" customHeight="1" x14ac:dyDescent="0.3">
      <c r="A593" s="189">
        <v>588</v>
      </c>
      <c r="B593" s="180">
        <v>29350</v>
      </c>
      <c r="C593" s="180" t="s">
        <v>899</v>
      </c>
      <c r="D593" s="181" t="str">
        <f>IFERROR(LOOKUP(2,1/((A_Corridor!$A$5:$A$204&lt;&gt;"")*(A_Corridor!$A$5:$A$204&lt;=$B593)*(A_Corridor!$B$5:$B$204&gt;$B593)*(A_Corridor!$C$5:$C$204&lt;&gt;"")),IF(UPPER(A_Corridor!$C$5:$C$204)="Y",1,"")),"")</f>
        <v/>
      </c>
      <c r="E593" s="181" t="str">
        <f>IFERROR(LOOKUP(2,1/((A_Corridor!$A$5:$A$204&lt;&gt;"")*(A_Corridor!$A$5:$A$204&lt;=$B593)*(A_Corridor!$B$5:$B$204&gt;$B593)*(A_Corridor!$D$5:$D$204&lt;&gt;"")),IF(A_Corridor!$D$5:$D$204="-","",UPPER(A_Corridor!$D$5:$D$204))),"")</f>
        <v/>
      </c>
      <c r="F593" s="181" t="str">
        <f>IFERROR(LOOKUP(2,1/((A_Corridor!$A$5:$A$204&lt;&gt;"")*(A_Corridor!$A$5:$A$204&lt;=$B593)*(A_Corridor!$B$5:$B$204&gt;$B593)*(A_Corridor!$E$5:$E$204&lt;&gt;"")),IF(A_Corridor!$E$5:$E$204="-","",1)),"")</f>
        <v/>
      </c>
      <c r="G593" s="182" t="str">
        <f>IFERROR(LOOKUP(2,1/((A_Corridor!$A$5:$A$204&lt;&gt;"")*(A_Corridor!$A$5:$A$204&lt;=$B593)*(A_Corridor!$B$5:$B$204&gt;$B593)*(A_Corridor!$E$5:$E$204&lt;&gt;"")),IF(A_Corridor!$E$5:$E$204="-","",A_Corridor!$E$5:$E$204)),"")</f>
        <v/>
      </c>
      <c r="H593" s="182" t="str">
        <f>IFERROR(LOOKUP(2,1/((D_Points!$A$5:$A$204&lt;&gt;"")*(D_Points!$A$5:$A$204&gt;=$B593)*(D_Points!$A$5:$A$204&lt;$B593+P_Interval)*(UPPER(TRIM(D_Points!$B$5:$B$204))="GULLY")*(D_Points!$H$5:$H$204&lt;&gt;"")),D_Points!$H$5:$H$204),"")</f>
        <v/>
      </c>
      <c r="I593" s="181" t="str">
        <f>IFERROR(LOOKUP(2,1/((A_Corridor!$A$5:$A$204&lt;&gt;"")*(A_Corridor!$A$5:$A$204&lt;=$B593)*(A_Corridor!$B$5:$B$204&gt;$B593)*(A_Corridor!$F$5:$F$204&lt;&gt;"")),IF(A_Corridor!$F$5:$F$204="-","",1)),"")</f>
        <v/>
      </c>
      <c r="J593" s="182" t="str">
        <f>IFERROR(LOOKUP(2,1/((A_Corridor!$A$5:$A$204&lt;&gt;"")*(A_Corridor!$A$5:$A$204&lt;=$B593)*(A_Corridor!$B$5:$B$204&gt;$B593)*(A_Corridor!$F$5:$F$204&lt;&gt;"")),IF(A_Corridor!$F$5:$F$204="-","",A_Corridor!$F$5:$F$204)),"")</f>
        <v/>
      </c>
      <c r="K593" s="182" t="str">
        <f>IFERROR(LOOKUP(2,1/((A_Corridor!$A$5:$A$204&lt;&gt;"")*(A_Corridor!$A$5:$A$204&lt;=$B593)*(A_Corridor!$B$5:$B$204&gt;$B593)*(A_Corridor!$G$5:$G$204&lt;&gt;"")),IF(A_Corridor!$G$5:$G$204="-","",A_Corridor!$G$5:$G$204)),"")</f>
        <v/>
      </c>
      <c r="L593" s="181" t="str">
        <f>IFERROR(LOOKUP(2,1/((A_Corridor!$A$5:$A$204&lt;&gt;"")*(A_Corridor!$A$5:$A$204&lt;=$B593)*(A_Corridor!$B$5:$B$204&gt;$B593)*(A_Corridor!$H$5:$H$204&lt;&gt;"")),IF(A_Corridor!$H$5:$H$204="-","",1)),"")</f>
        <v/>
      </c>
      <c r="M593" s="182" t="str">
        <f>IFERROR(LOOKUP(2,1/((A_Corridor!$A$5:$A$204&lt;&gt;"")*(A_Corridor!$A$5:$A$204&lt;=$B593)*(A_Corridor!$B$5:$B$204&gt;$B593)*(A_Corridor!$H$5:$H$204&lt;&gt;"")),IF(A_Corridor!$H$5:$H$204="-","",A_Corridor!$H$5:$H$204)),"")</f>
        <v/>
      </c>
      <c r="N593" s="182" t="str">
        <f>IFERROR(LOOKUP(2,1/((A_Corridor!$A$5:$A$204&lt;&gt;"")*(A_Corridor!$A$5:$A$204&lt;=$B593)*(A_Corridor!$B$5:$B$204&gt;$B593)*(A_Corridor!$I$5:$I$204&lt;&gt;"")),IF(A_Corridor!$I$5:$I$204="-","",A_Corridor!$I$5:$I$204)),"")</f>
        <v/>
      </c>
      <c r="O593" s="182" t="str">
        <f>IFERROR(LOOKUP(2,1/((D_Points!$A$5:$A$204&lt;&gt;"")*(D_Points!$A$5:$A$204&gt;=$B593)*(D_Points!$A$5:$A$204&lt;$B593+P_Interval)*(UPPER(TRIM(D_Points!$B$5:$B$204))="PITCHING")*(D_Points!$H$5:$H$204&lt;&gt;"")),D_Points!$H$5:$H$204),"")</f>
        <v/>
      </c>
      <c r="P593" s="181" t="str">
        <f>IFERROR(LOOKUP(2,1/((B_Drainage!$A$5:$A$204&lt;&gt;"")*(B_Drainage!$A$5:$A$204&lt;=$B593)*(B_Drainage!$B$5:$B$204&gt;$B593)*(B_Drainage!$C$5:$C$204&lt;&gt;"")),IF(B_Drainage!$C$5:$C$204="-","",UPPER(B_Drainage!$C$5:$C$204))),"")</f>
        <v/>
      </c>
      <c r="Q593" s="181" t="str">
        <f>IFERROR(LOOKUP(2,1/((B_Drainage!$A$5:$A$204&lt;&gt;"")*(B_Drainage!$A$5:$A$204&lt;=$B593)*(B_Drainage!$B$5:$B$204&gt;$B593)*(B_Drainage!$D$5:$D$204&lt;&gt;"")),IF(B_Drainage!$D$5:$D$204="-","",UPPER(B_Drainage!$D$5:$D$204))),"")</f>
        <v/>
      </c>
      <c r="R593" s="182" t="str">
        <f>IFERROR(LOOKUP(2,1/((D_Points!$A$5:$A$204&lt;&gt;"")*(D_Points!$A$5:$A$204&gt;=$B593)*(D_Points!$A$5:$A$204&lt;$B593+P_Interval)*(RIGHT(UPPER(TRIM(D_Points!$B$5:$B$204)),8)="_CULVERT")),IF(LEFT(UPPER(TRIM(D_Points!$B$5:$B$204)),2)="EX",1,IF(LEFT(UPPER(TRIM(D_Points!$B$5:$B$204)),2)="PR",2,3))),"")</f>
        <v/>
      </c>
      <c r="S593" s="182" t="str">
        <f>IFERROR(LOOKUP(2,1/((D_Points!$A$5:$A$204&lt;&gt;"")*(D_Points!$A$5:$A$204&gt;=$B593)*(D_Points!$A$5:$A$204&lt;$B593+P_Interval)*(RIGHT(UPPER(TRIM(D_Points!$B$5:$B$204)),7)="_BRIDGE")),IF(LEFT(UPPER(TRIM(D_Points!$B$5:$B$204)),2)="EX",1,IF(LEFT(UPPER(TRIM(D_Points!$B$5:$B$204)),2)="PR",2,2))),"")</f>
        <v/>
      </c>
      <c r="T593" s="181" t="str">
        <f>IFERROR(LOOKUP(2,1/((B_Drainage!$A$5:$A$204&lt;&gt;"")*(B_Drainage!$A$5:$A$204&lt;=$B593)*(B_Drainage!$B$5:$B$204&gt;$B593)*(B_Drainage!$E$5:$E$204&lt;&gt;"")),IF(B_Drainage!$E$5:$E$204="-","",1)),"")</f>
        <v/>
      </c>
      <c r="U593" s="181" t="str">
        <f>IFERROR(LOOKUP(2,1/((B_Drainage!$A$5:$A$204&lt;&gt;"")*(B_Drainage!$A$5:$A$204&lt;=$B593)*(B_Drainage!$B$5:$B$204&gt;$B593)*(B_Drainage!$E$5:$E$204&lt;&gt;"")),IF(B_Drainage!$E$5:$E$204="-","",B_Drainage!$E$5:$E$204)),"")</f>
        <v/>
      </c>
      <c r="V593" s="181" t="str">
        <f>IFERROR(LOOKUP(2,1/((B_Drainage!$A$5:$A$204&lt;&gt;"")*(B_Drainage!$A$5:$A$204&lt;=$B593)*(B_Drainage!$B$5:$B$204&gt;$B593)*(B_Drainage!$F$5:$F$204&lt;&gt;"")),IF(B_Drainage!$F$5:$F$204="-","",1)),"")</f>
        <v/>
      </c>
      <c r="W593" s="181" t="str">
        <f>IFERROR(LOOKUP(2,1/((B_Drainage!$A$5:$A$204&lt;&gt;"")*(B_Drainage!$A$5:$A$204&lt;=$B593)*(B_Drainage!$B$5:$B$204&gt;$B593)*(B_Drainage!$F$5:$F$204&lt;&gt;"")),IF(B_Drainage!$F$5:$F$204="-","",B_Drainage!$F$5:$F$204)),"")</f>
        <v/>
      </c>
      <c r="X593" s="181" t="str">
        <f>IFERROR(LOOKUP(2,1/((B_Drainage!$A$5:$A$204&lt;&gt;"")*(B_Drainage!$A$5:$A$204&lt;=$B593)*(B_Drainage!$B$5:$B$204&gt;$B593)*(B_Drainage!$G$5:$G$204&lt;&gt;"")),IF(UPPER(B_Drainage!$G$5:$G$204)="Y",1,"")),"")</f>
        <v/>
      </c>
      <c r="Y593" s="181" t="str">
        <f>IFERROR(LOOKUP(2,1/((B_Drainage!$A$5:$A$204&lt;&gt;"")*(B_Drainage!$A$5:$A$204&lt;=$B593)*(B_Drainage!$B$5:$B$204&gt;$B593)*(B_Drainage!$H$5:$H$204&lt;&gt;"")),IF(UPPER(B_Drainage!$H$5:$H$204)="Y",1,"")),"")</f>
        <v/>
      </c>
      <c r="Z593" s="181" t="str">
        <f>IFERROR(LOOKUP(2,1/((B_Drainage!$A$5:$A$204&lt;&gt;"")*(B_Drainage!$A$5:$A$204&lt;=$B593)*(B_Drainage!$B$5:$B$204&gt;$B593)*(B_Drainage!$I$5:$I$204&lt;&gt;"")),IF(UPPER(B_Drainage!$I$5:$I$204)="Y",1,"")),"")</f>
        <v/>
      </c>
      <c r="AA593" s="181" t="str">
        <f>IFERROR(LOOKUP(2,1/((B_Drainage!$A$5:$A$204&lt;&gt;"")*(B_Drainage!$A$5:$A$204&lt;=$B593)*(B_Drainage!$B$5:$B$204&gt;$B593)*(B_Drainage!$J$5:$J$204&lt;&gt;"")),IF(UPPER(B_Drainage!$J$5:$J$204)="Y",1,"")),"")</f>
        <v/>
      </c>
      <c r="AB593" s="182" t="str">
        <f>IFERROR(LOOKUP(2,1/((B_Drainage!$A$5:$A$204&lt;&gt;"")*(B_Drainage!$A$5:$A$204&lt;=$B593)*(B_Drainage!$B$5:$B$204&gt;$B593)*(B_Drainage!$K$5:$K$204&lt;&gt;"")),IF(B_Drainage!$K$5:$K$204="-","",B_Drainage!$K$5:$K$204)),"")</f>
        <v/>
      </c>
      <c r="AC593" s="182" t="str">
        <f>IFERROR(LOOKUP(2,1/((B_Drainage!$A$5:$A$204&lt;&gt;"")*(B_Drainage!$A$5:$A$204&lt;=$B593)*(B_Drainage!$B$5:$B$204&gt;$B593)*(B_Drainage!$L$5:$L$204&lt;&gt;"")),IF(B_Drainage!$L$5:$L$204="-","",B_Drainage!$L$5:$L$204)),"")</f>
        <v/>
      </c>
      <c r="AD593" s="182" t="str">
        <f>IFERROR(LOOKUP(2,1/((D_Points!$A$5:$A$204&lt;&gt;"")*(D_Points!$A$5:$A$204&gt;=$B593)*(D_Points!$A$5:$A$204&lt;$B593+P_Interval)*(UPPER(TRIM(D_Points!$B$5:$B$204))="TURNOUT_L")*(D_Points!$H$5:$H$204&lt;&gt;"")),D_Points!$H$5:$H$204),"")</f>
        <v/>
      </c>
      <c r="AE593" s="182" t="str">
        <f>IFERROR(LOOKUP(2,1/((D_Points!$A$5:$A$204&lt;&gt;"")*(D_Points!$A$5:$A$204&gt;=$B593)*(D_Points!$A$5:$A$204&lt;$B593+P_Interval)*(UPPER(TRIM(D_Points!$B$5:$B$204))="TURNOUT_R")*(D_Points!$H$5:$H$204&lt;&gt;"")),D_Points!$H$5:$H$204),"")</f>
        <v/>
      </c>
      <c r="AF593" s="181" t="str">
        <f>IFERROR(LOOKUP(2,1/((B_Drainage!$A$5:$A$204&lt;&gt;"")*(B_Drainage!$A$5:$A$204&lt;=$B593)*(B_Drainage!$B$5:$B$204&gt;$B593)*(B_Drainage!$M$5:$M$204&lt;&gt;"")),IF(UPPER(B_Drainage!$M$5:$M$204)="Y",1,"")),"")</f>
        <v/>
      </c>
      <c r="AG593" s="181" t="str">
        <f>IFERROR(LOOKUP(2,1/((B_Drainage!$A$5:$A$204&lt;&gt;"")*(B_Drainage!$A$5:$A$204&lt;=$B593)*(B_Drainage!$B$5:$B$204&gt;$B593)*(B_Drainage!$N$5:$N$204&lt;&gt;"")),IF(UPPER(B_Drainage!$N$5:$N$204)="Y",1,"")),"")</f>
        <v/>
      </c>
      <c r="AH593" s="181" t="str">
        <f t="shared" si="72"/>
        <v/>
      </c>
      <c r="AI593" s="181" t="str">
        <f t="shared" si="73"/>
        <v/>
      </c>
      <c r="AJ593" s="181" t="str">
        <f t="shared" si="74"/>
        <v/>
      </c>
      <c r="AK593" s="181" t="str">
        <f t="shared" si="75"/>
        <v/>
      </c>
      <c r="AL593" s="181" t="str">
        <f t="shared" si="76"/>
        <v/>
      </c>
      <c r="AM593" s="181" t="str">
        <f t="shared" si="77"/>
        <v/>
      </c>
      <c r="AN593" s="181" t="str">
        <f t="shared" si="78"/>
        <v/>
      </c>
      <c r="AO593" s="192" t="str">
        <f t="shared" si="79"/>
        <v/>
      </c>
      <c r="AQ593" t="str">
        <f>IFERROR(LOOKUP(2,1/((C_Pavement!$A$5:$A$204&lt;&gt;"")*(C_Pavement!$A$5:$A$204&lt;=$B593)*(C_Pavement!$B$5:$B$204&gt;$B593)*(C_Pavement!$C$5:$C$204&lt;&gt;"")),ROW(C_Pavement!$C$5:$C$204)-4),"")</f>
        <v/>
      </c>
      <c r="AR593" t="str">
        <f>IF($AQ593="","",UPPER(TRIM(INDEX(C_Pavement!$C$5:$C$204,$AQ593))))</f>
        <v/>
      </c>
      <c r="AS593" t="str">
        <f>IF($AR593="","",IFERROR(MATCH($AR593,E_Rules!$A$5:$A$9,0),""))</f>
        <v/>
      </c>
      <c r="AT593" t="str">
        <f>IF($AQ593="","",IF(INDEX(C_Pavement!$D$5:$D$204,$AQ593)&lt;&gt;"",UPPER(TRIM(INDEX(C_Pavement!$D$5:$D$204,$AQ593))),IF($AS593="","",INDEX(E_Rules!$C$5:$C$9,$AS593))))</f>
        <v/>
      </c>
      <c r="AU593" t="str">
        <f>IF($AQ593="","",IF(INDEX(C_Pavement!$E$5:$E$204,$AQ593)&lt;&gt;"",IF(INDEX(C_Pavement!$E$5:$E$204,$AQ593)="-","",INDEX(C_Pavement!$E$5:$E$204,$AQ593)),IF($AS593="","",INDEX(E_Rules!$D$5:$D$9,$AS593))))</f>
        <v/>
      </c>
      <c r="AV593" t="str">
        <f>IF($AQ593="","",IF(INDEX(C_Pavement!$F$5:$F$204,$AQ593)&lt;&gt;"",IF(INDEX(C_Pavement!$F$5:$F$204,$AQ593)="-","",INDEX(C_Pavement!$F$5:$F$204,$AQ593)),IF($AS593="","",INDEX(E_Rules!$E$5:$E$9,$AS593))))</f>
        <v/>
      </c>
      <c r="AW593" t="str">
        <f>IF($AQ593="","",IF(INDEX(C_Pavement!$G$5:$G$204,$AQ593)&lt;&gt;"",IF(INDEX(C_Pavement!$G$5:$G$204,$AQ593)="-","",INDEX(C_Pavement!$G$5:$G$204,$AQ593)),IF($AS593="","",INDEX(E_Rules!$F$5:$F$9,$AS593))))</f>
        <v/>
      </c>
      <c r="AX593" t="str">
        <f>IF($AQ593="","",IF(INDEX(C_Pavement!$H$5:$H$204,$AQ593)&lt;&gt;"",IF(INDEX(C_Pavement!$H$5:$H$204,$AQ593)="-","",INDEX(C_Pavement!$H$5:$H$204,$AQ593)),IF($AS593="","",INDEX(E_Rules!$G$5:$G$9,$AS593))))</f>
        <v/>
      </c>
      <c r="AY593" t="str">
        <f>IF($AQ593="","",IF(INDEX(C_Pavement!$I$5:$I$204,$AQ593)&lt;&gt;"",IF(INDEX(C_Pavement!$I$5:$I$204,$AQ593)="-","",INDEX(C_Pavement!$I$5:$I$204,$AQ593)),IF($AS593="","",INDEX(E_Rules!$H$5:$H$9,$AS593))))</f>
        <v/>
      </c>
    </row>
    <row r="594" spans="1:51" ht="15.75" customHeight="1" x14ac:dyDescent="0.3">
      <c r="A594" s="189">
        <v>589</v>
      </c>
      <c r="B594" s="180">
        <v>29400</v>
      </c>
      <c r="C594" s="180" t="s">
        <v>900</v>
      </c>
      <c r="D594" s="181" t="str">
        <f>IFERROR(LOOKUP(2,1/((A_Corridor!$A$5:$A$204&lt;&gt;"")*(A_Corridor!$A$5:$A$204&lt;=$B594)*(A_Corridor!$B$5:$B$204&gt;$B594)*(A_Corridor!$C$5:$C$204&lt;&gt;"")),IF(UPPER(A_Corridor!$C$5:$C$204)="Y",1,"")),"")</f>
        <v/>
      </c>
      <c r="E594" s="181" t="str">
        <f>IFERROR(LOOKUP(2,1/((A_Corridor!$A$5:$A$204&lt;&gt;"")*(A_Corridor!$A$5:$A$204&lt;=$B594)*(A_Corridor!$B$5:$B$204&gt;$B594)*(A_Corridor!$D$5:$D$204&lt;&gt;"")),IF(A_Corridor!$D$5:$D$204="-","",UPPER(A_Corridor!$D$5:$D$204))),"")</f>
        <v/>
      </c>
      <c r="F594" s="181" t="str">
        <f>IFERROR(LOOKUP(2,1/((A_Corridor!$A$5:$A$204&lt;&gt;"")*(A_Corridor!$A$5:$A$204&lt;=$B594)*(A_Corridor!$B$5:$B$204&gt;$B594)*(A_Corridor!$E$5:$E$204&lt;&gt;"")),IF(A_Corridor!$E$5:$E$204="-","",1)),"")</f>
        <v/>
      </c>
      <c r="G594" s="182" t="str">
        <f>IFERROR(LOOKUP(2,1/((A_Corridor!$A$5:$A$204&lt;&gt;"")*(A_Corridor!$A$5:$A$204&lt;=$B594)*(A_Corridor!$B$5:$B$204&gt;$B594)*(A_Corridor!$E$5:$E$204&lt;&gt;"")),IF(A_Corridor!$E$5:$E$204="-","",A_Corridor!$E$5:$E$204)),"")</f>
        <v/>
      </c>
      <c r="H594" s="182" t="str">
        <f>IFERROR(LOOKUP(2,1/((D_Points!$A$5:$A$204&lt;&gt;"")*(D_Points!$A$5:$A$204&gt;=$B594)*(D_Points!$A$5:$A$204&lt;$B594+P_Interval)*(UPPER(TRIM(D_Points!$B$5:$B$204))="GULLY")*(D_Points!$H$5:$H$204&lt;&gt;"")),D_Points!$H$5:$H$204),"")</f>
        <v/>
      </c>
      <c r="I594" s="181" t="str">
        <f>IFERROR(LOOKUP(2,1/((A_Corridor!$A$5:$A$204&lt;&gt;"")*(A_Corridor!$A$5:$A$204&lt;=$B594)*(A_Corridor!$B$5:$B$204&gt;$B594)*(A_Corridor!$F$5:$F$204&lt;&gt;"")),IF(A_Corridor!$F$5:$F$204="-","",1)),"")</f>
        <v/>
      </c>
      <c r="J594" s="182" t="str">
        <f>IFERROR(LOOKUP(2,1/((A_Corridor!$A$5:$A$204&lt;&gt;"")*(A_Corridor!$A$5:$A$204&lt;=$B594)*(A_Corridor!$B$5:$B$204&gt;$B594)*(A_Corridor!$F$5:$F$204&lt;&gt;"")),IF(A_Corridor!$F$5:$F$204="-","",A_Corridor!$F$5:$F$204)),"")</f>
        <v/>
      </c>
      <c r="K594" s="182" t="str">
        <f>IFERROR(LOOKUP(2,1/((A_Corridor!$A$5:$A$204&lt;&gt;"")*(A_Corridor!$A$5:$A$204&lt;=$B594)*(A_Corridor!$B$5:$B$204&gt;$B594)*(A_Corridor!$G$5:$G$204&lt;&gt;"")),IF(A_Corridor!$G$5:$G$204="-","",A_Corridor!$G$5:$G$204)),"")</f>
        <v/>
      </c>
      <c r="L594" s="181" t="str">
        <f>IFERROR(LOOKUP(2,1/((A_Corridor!$A$5:$A$204&lt;&gt;"")*(A_Corridor!$A$5:$A$204&lt;=$B594)*(A_Corridor!$B$5:$B$204&gt;$B594)*(A_Corridor!$H$5:$H$204&lt;&gt;"")),IF(A_Corridor!$H$5:$H$204="-","",1)),"")</f>
        <v/>
      </c>
      <c r="M594" s="182" t="str">
        <f>IFERROR(LOOKUP(2,1/((A_Corridor!$A$5:$A$204&lt;&gt;"")*(A_Corridor!$A$5:$A$204&lt;=$B594)*(A_Corridor!$B$5:$B$204&gt;$B594)*(A_Corridor!$H$5:$H$204&lt;&gt;"")),IF(A_Corridor!$H$5:$H$204="-","",A_Corridor!$H$5:$H$204)),"")</f>
        <v/>
      </c>
      <c r="N594" s="182" t="str">
        <f>IFERROR(LOOKUP(2,1/((A_Corridor!$A$5:$A$204&lt;&gt;"")*(A_Corridor!$A$5:$A$204&lt;=$B594)*(A_Corridor!$B$5:$B$204&gt;$B594)*(A_Corridor!$I$5:$I$204&lt;&gt;"")),IF(A_Corridor!$I$5:$I$204="-","",A_Corridor!$I$5:$I$204)),"")</f>
        <v/>
      </c>
      <c r="O594" s="182" t="str">
        <f>IFERROR(LOOKUP(2,1/((D_Points!$A$5:$A$204&lt;&gt;"")*(D_Points!$A$5:$A$204&gt;=$B594)*(D_Points!$A$5:$A$204&lt;$B594+P_Interval)*(UPPER(TRIM(D_Points!$B$5:$B$204))="PITCHING")*(D_Points!$H$5:$H$204&lt;&gt;"")),D_Points!$H$5:$H$204),"")</f>
        <v/>
      </c>
      <c r="P594" s="181" t="str">
        <f>IFERROR(LOOKUP(2,1/((B_Drainage!$A$5:$A$204&lt;&gt;"")*(B_Drainage!$A$5:$A$204&lt;=$B594)*(B_Drainage!$B$5:$B$204&gt;$B594)*(B_Drainage!$C$5:$C$204&lt;&gt;"")),IF(B_Drainage!$C$5:$C$204="-","",UPPER(B_Drainage!$C$5:$C$204))),"")</f>
        <v/>
      </c>
      <c r="Q594" s="181" t="str">
        <f>IFERROR(LOOKUP(2,1/((B_Drainage!$A$5:$A$204&lt;&gt;"")*(B_Drainage!$A$5:$A$204&lt;=$B594)*(B_Drainage!$B$5:$B$204&gt;$B594)*(B_Drainage!$D$5:$D$204&lt;&gt;"")),IF(B_Drainage!$D$5:$D$204="-","",UPPER(B_Drainage!$D$5:$D$204))),"")</f>
        <v/>
      </c>
      <c r="R594" s="182" t="str">
        <f>IFERROR(LOOKUP(2,1/((D_Points!$A$5:$A$204&lt;&gt;"")*(D_Points!$A$5:$A$204&gt;=$B594)*(D_Points!$A$5:$A$204&lt;$B594+P_Interval)*(RIGHT(UPPER(TRIM(D_Points!$B$5:$B$204)),8)="_CULVERT")),IF(LEFT(UPPER(TRIM(D_Points!$B$5:$B$204)),2)="EX",1,IF(LEFT(UPPER(TRIM(D_Points!$B$5:$B$204)),2)="PR",2,3))),"")</f>
        <v/>
      </c>
      <c r="S594" s="182" t="str">
        <f>IFERROR(LOOKUP(2,1/((D_Points!$A$5:$A$204&lt;&gt;"")*(D_Points!$A$5:$A$204&gt;=$B594)*(D_Points!$A$5:$A$204&lt;$B594+P_Interval)*(RIGHT(UPPER(TRIM(D_Points!$B$5:$B$204)),7)="_BRIDGE")),IF(LEFT(UPPER(TRIM(D_Points!$B$5:$B$204)),2)="EX",1,IF(LEFT(UPPER(TRIM(D_Points!$B$5:$B$204)),2)="PR",2,2))),"")</f>
        <v/>
      </c>
      <c r="T594" s="181" t="str">
        <f>IFERROR(LOOKUP(2,1/((B_Drainage!$A$5:$A$204&lt;&gt;"")*(B_Drainage!$A$5:$A$204&lt;=$B594)*(B_Drainage!$B$5:$B$204&gt;$B594)*(B_Drainage!$E$5:$E$204&lt;&gt;"")),IF(B_Drainage!$E$5:$E$204="-","",1)),"")</f>
        <v/>
      </c>
      <c r="U594" s="181" t="str">
        <f>IFERROR(LOOKUP(2,1/((B_Drainage!$A$5:$A$204&lt;&gt;"")*(B_Drainage!$A$5:$A$204&lt;=$B594)*(B_Drainage!$B$5:$B$204&gt;$B594)*(B_Drainage!$E$5:$E$204&lt;&gt;"")),IF(B_Drainage!$E$5:$E$204="-","",B_Drainage!$E$5:$E$204)),"")</f>
        <v/>
      </c>
      <c r="V594" s="181" t="str">
        <f>IFERROR(LOOKUP(2,1/((B_Drainage!$A$5:$A$204&lt;&gt;"")*(B_Drainage!$A$5:$A$204&lt;=$B594)*(B_Drainage!$B$5:$B$204&gt;$B594)*(B_Drainage!$F$5:$F$204&lt;&gt;"")),IF(B_Drainage!$F$5:$F$204="-","",1)),"")</f>
        <v/>
      </c>
      <c r="W594" s="181" t="str">
        <f>IFERROR(LOOKUP(2,1/((B_Drainage!$A$5:$A$204&lt;&gt;"")*(B_Drainage!$A$5:$A$204&lt;=$B594)*(B_Drainage!$B$5:$B$204&gt;$B594)*(B_Drainage!$F$5:$F$204&lt;&gt;"")),IF(B_Drainage!$F$5:$F$204="-","",B_Drainage!$F$5:$F$204)),"")</f>
        <v/>
      </c>
      <c r="X594" s="181" t="str">
        <f>IFERROR(LOOKUP(2,1/((B_Drainage!$A$5:$A$204&lt;&gt;"")*(B_Drainage!$A$5:$A$204&lt;=$B594)*(B_Drainage!$B$5:$B$204&gt;$B594)*(B_Drainage!$G$5:$G$204&lt;&gt;"")),IF(UPPER(B_Drainage!$G$5:$G$204)="Y",1,"")),"")</f>
        <v/>
      </c>
      <c r="Y594" s="181" t="str">
        <f>IFERROR(LOOKUP(2,1/((B_Drainage!$A$5:$A$204&lt;&gt;"")*(B_Drainage!$A$5:$A$204&lt;=$B594)*(B_Drainage!$B$5:$B$204&gt;$B594)*(B_Drainage!$H$5:$H$204&lt;&gt;"")),IF(UPPER(B_Drainage!$H$5:$H$204)="Y",1,"")),"")</f>
        <v/>
      </c>
      <c r="Z594" s="181" t="str">
        <f>IFERROR(LOOKUP(2,1/((B_Drainage!$A$5:$A$204&lt;&gt;"")*(B_Drainage!$A$5:$A$204&lt;=$B594)*(B_Drainage!$B$5:$B$204&gt;$B594)*(B_Drainage!$I$5:$I$204&lt;&gt;"")),IF(UPPER(B_Drainage!$I$5:$I$204)="Y",1,"")),"")</f>
        <v/>
      </c>
      <c r="AA594" s="181" t="str">
        <f>IFERROR(LOOKUP(2,1/((B_Drainage!$A$5:$A$204&lt;&gt;"")*(B_Drainage!$A$5:$A$204&lt;=$B594)*(B_Drainage!$B$5:$B$204&gt;$B594)*(B_Drainage!$J$5:$J$204&lt;&gt;"")),IF(UPPER(B_Drainage!$J$5:$J$204)="Y",1,"")),"")</f>
        <v/>
      </c>
      <c r="AB594" s="182" t="str">
        <f>IFERROR(LOOKUP(2,1/((B_Drainage!$A$5:$A$204&lt;&gt;"")*(B_Drainage!$A$5:$A$204&lt;=$B594)*(B_Drainage!$B$5:$B$204&gt;$B594)*(B_Drainage!$K$5:$K$204&lt;&gt;"")),IF(B_Drainage!$K$5:$K$204="-","",B_Drainage!$K$5:$K$204)),"")</f>
        <v/>
      </c>
      <c r="AC594" s="182" t="str">
        <f>IFERROR(LOOKUP(2,1/((B_Drainage!$A$5:$A$204&lt;&gt;"")*(B_Drainage!$A$5:$A$204&lt;=$B594)*(B_Drainage!$B$5:$B$204&gt;$B594)*(B_Drainage!$L$5:$L$204&lt;&gt;"")),IF(B_Drainage!$L$5:$L$204="-","",B_Drainage!$L$5:$L$204)),"")</f>
        <v/>
      </c>
      <c r="AD594" s="182" t="str">
        <f>IFERROR(LOOKUP(2,1/((D_Points!$A$5:$A$204&lt;&gt;"")*(D_Points!$A$5:$A$204&gt;=$B594)*(D_Points!$A$5:$A$204&lt;$B594+P_Interval)*(UPPER(TRIM(D_Points!$B$5:$B$204))="TURNOUT_L")*(D_Points!$H$5:$H$204&lt;&gt;"")),D_Points!$H$5:$H$204),"")</f>
        <v/>
      </c>
      <c r="AE594" s="182" t="str">
        <f>IFERROR(LOOKUP(2,1/((D_Points!$A$5:$A$204&lt;&gt;"")*(D_Points!$A$5:$A$204&gt;=$B594)*(D_Points!$A$5:$A$204&lt;$B594+P_Interval)*(UPPER(TRIM(D_Points!$B$5:$B$204))="TURNOUT_R")*(D_Points!$H$5:$H$204&lt;&gt;"")),D_Points!$H$5:$H$204),"")</f>
        <v/>
      </c>
      <c r="AF594" s="181" t="str">
        <f>IFERROR(LOOKUP(2,1/((B_Drainage!$A$5:$A$204&lt;&gt;"")*(B_Drainage!$A$5:$A$204&lt;=$B594)*(B_Drainage!$B$5:$B$204&gt;$B594)*(B_Drainage!$M$5:$M$204&lt;&gt;"")),IF(UPPER(B_Drainage!$M$5:$M$204)="Y",1,"")),"")</f>
        <v/>
      </c>
      <c r="AG594" s="181" t="str">
        <f>IFERROR(LOOKUP(2,1/((B_Drainage!$A$5:$A$204&lt;&gt;"")*(B_Drainage!$A$5:$A$204&lt;=$B594)*(B_Drainage!$B$5:$B$204&gt;$B594)*(B_Drainage!$N$5:$N$204&lt;&gt;"")),IF(UPPER(B_Drainage!$N$5:$N$204)="Y",1,"")),"")</f>
        <v/>
      </c>
      <c r="AH594" s="181" t="str">
        <f t="shared" si="72"/>
        <v/>
      </c>
      <c r="AI594" s="181" t="str">
        <f t="shared" si="73"/>
        <v/>
      </c>
      <c r="AJ594" s="181" t="str">
        <f t="shared" si="74"/>
        <v/>
      </c>
      <c r="AK594" s="181" t="str">
        <f t="shared" si="75"/>
        <v/>
      </c>
      <c r="AL594" s="181" t="str">
        <f t="shared" si="76"/>
        <v/>
      </c>
      <c r="AM594" s="181" t="str">
        <f t="shared" si="77"/>
        <v/>
      </c>
      <c r="AN594" s="181" t="str">
        <f t="shared" si="78"/>
        <v/>
      </c>
      <c r="AO594" s="192" t="str">
        <f t="shared" si="79"/>
        <v/>
      </c>
      <c r="AQ594" t="str">
        <f>IFERROR(LOOKUP(2,1/((C_Pavement!$A$5:$A$204&lt;&gt;"")*(C_Pavement!$A$5:$A$204&lt;=$B594)*(C_Pavement!$B$5:$B$204&gt;$B594)*(C_Pavement!$C$5:$C$204&lt;&gt;"")),ROW(C_Pavement!$C$5:$C$204)-4),"")</f>
        <v/>
      </c>
      <c r="AR594" t="str">
        <f>IF($AQ594="","",UPPER(TRIM(INDEX(C_Pavement!$C$5:$C$204,$AQ594))))</f>
        <v/>
      </c>
      <c r="AS594" t="str">
        <f>IF($AR594="","",IFERROR(MATCH($AR594,E_Rules!$A$5:$A$9,0),""))</f>
        <v/>
      </c>
      <c r="AT594" t="str">
        <f>IF($AQ594="","",IF(INDEX(C_Pavement!$D$5:$D$204,$AQ594)&lt;&gt;"",UPPER(TRIM(INDEX(C_Pavement!$D$5:$D$204,$AQ594))),IF($AS594="","",INDEX(E_Rules!$C$5:$C$9,$AS594))))</f>
        <v/>
      </c>
      <c r="AU594" t="str">
        <f>IF($AQ594="","",IF(INDEX(C_Pavement!$E$5:$E$204,$AQ594)&lt;&gt;"",IF(INDEX(C_Pavement!$E$5:$E$204,$AQ594)="-","",INDEX(C_Pavement!$E$5:$E$204,$AQ594)),IF($AS594="","",INDEX(E_Rules!$D$5:$D$9,$AS594))))</f>
        <v/>
      </c>
      <c r="AV594" t="str">
        <f>IF($AQ594="","",IF(INDEX(C_Pavement!$F$5:$F$204,$AQ594)&lt;&gt;"",IF(INDEX(C_Pavement!$F$5:$F$204,$AQ594)="-","",INDEX(C_Pavement!$F$5:$F$204,$AQ594)),IF($AS594="","",INDEX(E_Rules!$E$5:$E$9,$AS594))))</f>
        <v/>
      </c>
      <c r="AW594" t="str">
        <f>IF($AQ594="","",IF(INDEX(C_Pavement!$G$5:$G$204,$AQ594)&lt;&gt;"",IF(INDEX(C_Pavement!$G$5:$G$204,$AQ594)="-","",INDEX(C_Pavement!$G$5:$G$204,$AQ594)),IF($AS594="","",INDEX(E_Rules!$F$5:$F$9,$AS594))))</f>
        <v/>
      </c>
      <c r="AX594" t="str">
        <f>IF($AQ594="","",IF(INDEX(C_Pavement!$H$5:$H$204,$AQ594)&lt;&gt;"",IF(INDEX(C_Pavement!$H$5:$H$204,$AQ594)="-","",INDEX(C_Pavement!$H$5:$H$204,$AQ594)),IF($AS594="","",INDEX(E_Rules!$G$5:$G$9,$AS594))))</f>
        <v/>
      </c>
      <c r="AY594" t="str">
        <f>IF($AQ594="","",IF(INDEX(C_Pavement!$I$5:$I$204,$AQ594)&lt;&gt;"",IF(INDEX(C_Pavement!$I$5:$I$204,$AQ594)="-","",INDEX(C_Pavement!$I$5:$I$204,$AQ594)),IF($AS594="","",INDEX(E_Rules!$H$5:$H$9,$AS594))))</f>
        <v/>
      </c>
    </row>
    <row r="595" spans="1:51" ht="15.75" customHeight="1" x14ac:dyDescent="0.3">
      <c r="A595" s="189">
        <v>590</v>
      </c>
      <c r="B595" s="180">
        <v>29450</v>
      </c>
      <c r="C595" s="180" t="s">
        <v>901</v>
      </c>
      <c r="D595" s="181" t="str">
        <f>IFERROR(LOOKUP(2,1/((A_Corridor!$A$5:$A$204&lt;&gt;"")*(A_Corridor!$A$5:$A$204&lt;=$B595)*(A_Corridor!$B$5:$B$204&gt;$B595)*(A_Corridor!$C$5:$C$204&lt;&gt;"")),IF(UPPER(A_Corridor!$C$5:$C$204)="Y",1,"")),"")</f>
        <v/>
      </c>
      <c r="E595" s="181" t="str">
        <f>IFERROR(LOOKUP(2,1/((A_Corridor!$A$5:$A$204&lt;&gt;"")*(A_Corridor!$A$5:$A$204&lt;=$B595)*(A_Corridor!$B$5:$B$204&gt;$B595)*(A_Corridor!$D$5:$D$204&lt;&gt;"")),IF(A_Corridor!$D$5:$D$204="-","",UPPER(A_Corridor!$D$5:$D$204))),"")</f>
        <v/>
      </c>
      <c r="F595" s="181" t="str">
        <f>IFERROR(LOOKUP(2,1/((A_Corridor!$A$5:$A$204&lt;&gt;"")*(A_Corridor!$A$5:$A$204&lt;=$B595)*(A_Corridor!$B$5:$B$204&gt;$B595)*(A_Corridor!$E$5:$E$204&lt;&gt;"")),IF(A_Corridor!$E$5:$E$204="-","",1)),"")</f>
        <v/>
      </c>
      <c r="G595" s="182" t="str">
        <f>IFERROR(LOOKUP(2,1/((A_Corridor!$A$5:$A$204&lt;&gt;"")*(A_Corridor!$A$5:$A$204&lt;=$B595)*(A_Corridor!$B$5:$B$204&gt;$B595)*(A_Corridor!$E$5:$E$204&lt;&gt;"")),IF(A_Corridor!$E$5:$E$204="-","",A_Corridor!$E$5:$E$204)),"")</f>
        <v/>
      </c>
      <c r="H595" s="182" t="str">
        <f>IFERROR(LOOKUP(2,1/((D_Points!$A$5:$A$204&lt;&gt;"")*(D_Points!$A$5:$A$204&gt;=$B595)*(D_Points!$A$5:$A$204&lt;$B595+P_Interval)*(UPPER(TRIM(D_Points!$B$5:$B$204))="GULLY")*(D_Points!$H$5:$H$204&lt;&gt;"")),D_Points!$H$5:$H$204),"")</f>
        <v/>
      </c>
      <c r="I595" s="181" t="str">
        <f>IFERROR(LOOKUP(2,1/((A_Corridor!$A$5:$A$204&lt;&gt;"")*(A_Corridor!$A$5:$A$204&lt;=$B595)*(A_Corridor!$B$5:$B$204&gt;$B595)*(A_Corridor!$F$5:$F$204&lt;&gt;"")),IF(A_Corridor!$F$5:$F$204="-","",1)),"")</f>
        <v/>
      </c>
      <c r="J595" s="182" t="str">
        <f>IFERROR(LOOKUP(2,1/((A_Corridor!$A$5:$A$204&lt;&gt;"")*(A_Corridor!$A$5:$A$204&lt;=$B595)*(A_Corridor!$B$5:$B$204&gt;$B595)*(A_Corridor!$F$5:$F$204&lt;&gt;"")),IF(A_Corridor!$F$5:$F$204="-","",A_Corridor!$F$5:$F$204)),"")</f>
        <v/>
      </c>
      <c r="K595" s="182" t="str">
        <f>IFERROR(LOOKUP(2,1/((A_Corridor!$A$5:$A$204&lt;&gt;"")*(A_Corridor!$A$5:$A$204&lt;=$B595)*(A_Corridor!$B$5:$B$204&gt;$B595)*(A_Corridor!$G$5:$G$204&lt;&gt;"")),IF(A_Corridor!$G$5:$G$204="-","",A_Corridor!$G$5:$G$204)),"")</f>
        <v/>
      </c>
      <c r="L595" s="181" t="str">
        <f>IFERROR(LOOKUP(2,1/((A_Corridor!$A$5:$A$204&lt;&gt;"")*(A_Corridor!$A$5:$A$204&lt;=$B595)*(A_Corridor!$B$5:$B$204&gt;$B595)*(A_Corridor!$H$5:$H$204&lt;&gt;"")),IF(A_Corridor!$H$5:$H$204="-","",1)),"")</f>
        <v/>
      </c>
      <c r="M595" s="182" t="str">
        <f>IFERROR(LOOKUP(2,1/((A_Corridor!$A$5:$A$204&lt;&gt;"")*(A_Corridor!$A$5:$A$204&lt;=$B595)*(A_Corridor!$B$5:$B$204&gt;$B595)*(A_Corridor!$H$5:$H$204&lt;&gt;"")),IF(A_Corridor!$H$5:$H$204="-","",A_Corridor!$H$5:$H$204)),"")</f>
        <v/>
      </c>
      <c r="N595" s="182" t="str">
        <f>IFERROR(LOOKUP(2,1/((A_Corridor!$A$5:$A$204&lt;&gt;"")*(A_Corridor!$A$5:$A$204&lt;=$B595)*(A_Corridor!$B$5:$B$204&gt;$B595)*(A_Corridor!$I$5:$I$204&lt;&gt;"")),IF(A_Corridor!$I$5:$I$204="-","",A_Corridor!$I$5:$I$204)),"")</f>
        <v/>
      </c>
      <c r="O595" s="182" t="str">
        <f>IFERROR(LOOKUP(2,1/((D_Points!$A$5:$A$204&lt;&gt;"")*(D_Points!$A$5:$A$204&gt;=$B595)*(D_Points!$A$5:$A$204&lt;$B595+P_Interval)*(UPPER(TRIM(D_Points!$B$5:$B$204))="PITCHING")*(D_Points!$H$5:$H$204&lt;&gt;"")),D_Points!$H$5:$H$204),"")</f>
        <v/>
      </c>
      <c r="P595" s="181" t="str">
        <f>IFERROR(LOOKUP(2,1/((B_Drainage!$A$5:$A$204&lt;&gt;"")*(B_Drainage!$A$5:$A$204&lt;=$B595)*(B_Drainage!$B$5:$B$204&gt;$B595)*(B_Drainage!$C$5:$C$204&lt;&gt;"")),IF(B_Drainage!$C$5:$C$204="-","",UPPER(B_Drainage!$C$5:$C$204))),"")</f>
        <v/>
      </c>
      <c r="Q595" s="181" t="str">
        <f>IFERROR(LOOKUP(2,1/((B_Drainage!$A$5:$A$204&lt;&gt;"")*(B_Drainage!$A$5:$A$204&lt;=$B595)*(B_Drainage!$B$5:$B$204&gt;$B595)*(B_Drainage!$D$5:$D$204&lt;&gt;"")),IF(B_Drainage!$D$5:$D$204="-","",UPPER(B_Drainage!$D$5:$D$204))),"")</f>
        <v/>
      </c>
      <c r="R595" s="182" t="str">
        <f>IFERROR(LOOKUP(2,1/((D_Points!$A$5:$A$204&lt;&gt;"")*(D_Points!$A$5:$A$204&gt;=$B595)*(D_Points!$A$5:$A$204&lt;$B595+P_Interval)*(RIGHT(UPPER(TRIM(D_Points!$B$5:$B$204)),8)="_CULVERT")),IF(LEFT(UPPER(TRIM(D_Points!$B$5:$B$204)),2)="EX",1,IF(LEFT(UPPER(TRIM(D_Points!$B$5:$B$204)),2)="PR",2,3))),"")</f>
        <v/>
      </c>
      <c r="S595" s="182" t="str">
        <f>IFERROR(LOOKUP(2,1/((D_Points!$A$5:$A$204&lt;&gt;"")*(D_Points!$A$5:$A$204&gt;=$B595)*(D_Points!$A$5:$A$204&lt;$B595+P_Interval)*(RIGHT(UPPER(TRIM(D_Points!$B$5:$B$204)),7)="_BRIDGE")),IF(LEFT(UPPER(TRIM(D_Points!$B$5:$B$204)),2)="EX",1,IF(LEFT(UPPER(TRIM(D_Points!$B$5:$B$204)),2)="PR",2,2))),"")</f>
        <v/>
      </c>
      <c r="T595" s="181" t="str">
        <f>IFERROR(LOOKUP(2,1/((B_Drainage!$A$5:$A$204&lt;&gt;"")*(B_Drainage!$A$5:$A$204&lt;=$B595)*(B_Drainage!$B$5:$B$204&gt;$B595)*(B_Drainage!$E$5:$E$204&lt;&gt;"")),IF(B_Drainage!$E$5:$E$204="-","",1)),"")</f>
        <v/>
      </c>
      <c r="U595" s="181" t="str">
        <f>IFERROR(LOOKUP(2,1/((B_Drainage!$A$5:$A$204&lt;&gt;"")*(B_Drainage!$A$5:$A$204&lt;=$B595)*(B_Drainage!$B$5:$B$204&gt;$B595)*(B_Drainage!$E$5:$E$204&lt;&gt;"")),IF(B_Drainage!$E$5:$E$204="-","",B_Drainage!$E$5:$E$204)),"")</f>
        <v/>
      </c>
      <c r="V595" s="181" t="str">
        <f>IFERROR(LOOKUP(2,1/((B_Drainage!$A$5:$A$204&lt;&gt;"")*(B_Drainage!$A$5:$A$204&lt;=$B595)*(B_Drainage!$B$5:$B$204&gt;$B595)*(B_Drainage!$F$5:$F$204&lt;&gt;"")),IF(B_Drainage!$F$5:$F$204="-","",1)),"")</f>
        <v/>
      </c>
      <c r="W595" s="181" t="str">
        <f>IFERROR(LOOKUP(2,1/((B_Drainage!$A$5:$A$204&lt;&gt;"")*(B_Drainage!$A$5:$A$204&lt;=$B595)*(B_Drainage!$B$5:$B$204&gt;$B595)*(B_Drainage!$F$5:$F$204&lt;&gt;"")),IF(B_Drainage!$F$5:$F$204="-","",B_Drainage!$F$5:$F$204)),"")</f>
        <v/>
      </c>
      <c r="X595" s="181" t="str">
        <f>IFERROR(LOOKUP(2,1/((B_Drainage!$A$5:$A$204&lt;&gt;"")*(B_Drainage!$A$5:$A$204&lt;=$B595)*(B_Drainage!$B$5:$B$204&gt;$B595)*(B_Drainage!$G$5:$G$204&lt;&gt;"")),IF(UPPER(B_Drainage!$G$5:$G$204)="Y",1,"")),"")</f>
        <v/>
      </c>
      <c r="Y595" s="181" t="str">
        <f>IFERROR(LOOKUP(2,1/((B_Drainage!$A$5:$A$204&lt;&gt;"")*(B_Drainage!$A$5:$A$204&lt;=$B595)*(B_Drainage!$B$5:$B$204&gt;$B595)*(B_Drainage!$H$5:$H$204&lt;&gt;"")),IF(UPPER(B_Drainage!$H$5:$H$204)="Y",1,"")),"")</f>
        <v/>
      </c>
      <c r="Z595" s="181" t="str">
        <f>IFERROR(LOOKUP(2,1/((B_Drainage!$A$5:$A$204&lt;&gt;"")*(B_Drainage!$A$5:$A$204&lt;=$B595)*(B_Drainage!$B$5:$B$204&gt;$B595)*(B_Drainage!$I$5:$I$204&lt;&gt;"")),IF(UPPER(B_Drainage!$I$5:$I$204)="Y",1,"")),"")</f>
        <v/>
      </c>
      <c r="AA595" s="181" t="str">
        <f>IFERROR(LOOKUP(2,1/((B_Drainage!$A$5:$A$204&lt;&gt;"")*(B_Drainage!$A$5:$A$204&lt;=$B595)*(B_Drainage!$B$5:$B$204&gt;$B595)*(B_Drainage!$J$5:$J$204&lt;&gt;"")),IF(UPPER(B_Drainage!$J$5:$J$204)="Y",1,"")),"")</f>
        <v/>
      </c>
      <c r="AB595" s="182" t="str">
        <f>IFERROR(LOOKUP(2,1/((B_Drainage!$A$5:$A$204&lt;&gt;"")*(B_Drainage!$A$5:$A$204&lt;=$B595)*(B_Drainage!$B$5:$B$204&gt;$B595)*(B_Drainage!$K$5:$K$204&lt;&gt;"")),IF(B_Drainage!$K$5:$K$204="-","",B_Drainage!$K$5:$K$204)),"")</f>
        <v/>
      </c>
      <c r="AC595" s="182" t="str">
        <f>IFERROR(LOOKUP(2,1/((B_Drainage!$A$5:$A$204&lt;&gt;"")*(B_Drainage!$A$5:$A$204&lt;=$B595)*(B_Drainage!$B$5:$B$204&gt;$B595)*(B_Drainage!$L$5:$L$204&lt;&gt;"")),IF(B_Drainage!$L$5:$L$204="-","",B_Drainage!$L$5:$L$204)),"")</f>
        <v/>
      </c>
      <c r="AD595" s="182" t="str">
        <f>IFERROR(LOOKUP(2,1/((D_Points!$A$5:$A$204&lt;&gt;"")*(D_Points!$A$5:$A$204&gt;=$B595)*(D_Points!$A$5:$A$204&lt;$B595+P_Interval)*(UPPER(TRIM(D_Points!$B$5:$B$204))="TURNOUT_L")*(D_Points!$H$5:$H$204&lt;&gt;"")),D_Points!$H$5:$H$204),"")</f>
        <v/>
      </c>
      <c r="AE595" s="182" t="str">
        <f>IFERROR(LOOKUP(2,1/((D_Points!$A$5:$A$204&lt;&gt;"")*(D_Points!$A$5:$A$204&gt;=$B595)*(D_Points!$A$5:$A$204&lt;$B595+P_Interval)*(UPPER(TRIM(D_Points!$B$5:$B$204))="TURNOUT_R")*(D_Points!$H$5:$H$204&lt;&gt;"")),D_Points!$H$5:$H$204),"")</f>
        <v/>
      </c>
      <c r="AF595" s="181" t="str">
        <f>IFERROR(LOOKUP(2,1/((B_Drainage!$A$5:$A$204&lt;&gt;"")*(B_Drainage!$A$5:$A$204&lt;=$B595)*(B_Drainage!$B$5:$B$204&gt;$B595)*(B_Drainage!$M$5:$M$204&lt;&gt;"")),IF(UPPER(B_Drainage!$M$5:$M$204)="Y",1,"")),"")</f>
        <v/>
      </c>
      <c r="AG595" s="181" t="str">
        <f>IFERROR(LOOKUP(2,1/((B_Drainage!$A$5:$A$204&lt;&gt;"")*(B_Drainage!$A$5:$A$204&lt;=$B595)*(B_Drainage!$B$5:$B$204&gt;$B595)*(B_Drainage!$N$5:$N$204&lt;&gt;"")),IF(UPPER(B_Drainage!$N$5:$N$204)="Y",1,"")),"")</f>
        <v/>
      </c>
      <c r="AH595" s="181" t="str">
        <f t="shared" si="72"/>
        <v/>
      </c>
      <c r="AI595" s="181" t="str">
        <f t="shared" si="73"/>
        <v/>
      </c>
      <c r="AJ595" s="181" t="str">
        <f t="shared" si="74"/>
        <v/>
      </c>
      <c r="AK595" s="181" t="str">
        <f t="shared" si="75"/>
        <v/>
      </c>
      <c r="AL595" s="181" t="str">
        <f t="shared" si="76"/>
        <v/>
      </c>
      <c r="AM595" s="181" t="str">
        <f t="shared" si="77"/>
        <v/>
      </c>
      <c r="AN595" s="181" t="str">
        <f t="shared" si="78"/>
        <v/>
      </c>
      <c r="AO595" s="192" t="str">
        <f t="shared" si="79"/>
        <v/>
      </c>
      <c r="AQ595" t="str">
        <f>IFERROR(LOOKUP(2,1/((C_Pavement!$A$5:$A$204&lt;&gt;"")*(C_Pavement!$A$5:$A$204&lt;=$B595)*(C_Pavement!$B$5:$B$204&gt;$B595)*(C_Pavement!$C$5:$C$204&lt;&gt;"")),ROW(C_Pavement!$C$5:$C$204)-4),"")</f>
        <v/>
      </c>
      <c r="AR595" t="str">
        <f>IF($AQ595="","",UPPER(TRIM(INDEX(C_Pavement!$C$5:$C$204,$AQ595))))</f>
        <v/>
      </c>
      <c r="AS595" t="str">
        <f>IF($AR595="","",IFERROR(MATCH($AR595,E_Rules!$A$5:$A$9,0),""))</f>
        <v/>
      </c>
      <c r="AT595" t="str">
        <f>IF($AQ595="","",IF(INDEX(C_Pavement!$D$5:$D$204,$AQ595)&lt;&gt;"",UPPER(TRIM(INDEX(C_Pavement!$D$5:$D$204,$AQ595))),IF($AS595="","",INDEX(E_Rules!$C$5:$C$9,$AS595))))</f>
        <v/>
      </c>
      <c r="AU595" t="str">
        <f>IF($AQ595="","",IF(INDEX(C_Pavement!$E$5:$E$204,$AQ595)&lt;&gt;"",IF(INDEX(C_Pavement!$E$5:$E$204,$AQ595)="-","",INDEX(C_Pavement!$E$5:$E$204,$AQ595)),IF($AS595="","",INDEX(E_Rules!$D$5:$D$9,$AS595))))</f>
        <v/>
      </c>
      <c r="AV595" t="str">
        <f>IF($AQ595="","",IF(INDEX(C_Pavement!$F$5:$F$204,$AQ595)&lt;&gt;"",IF(INDEX(C_Pavement!$F$5:$F$204,$AQ595)="-","",INDEX(C_Pavement!$F$5:$F$204,$AQ595)),IF($AS595="","",INDEX(E_Rules!$E$5:$E$9,$AS595))))</f>
        <v/>
      </c>
      <c r="AW595" t="str">
        <f>IF($AQ595="","",IF(INDEX(C_Pavement!$G$5:$G$204,$AQ595)&lt;&gt;"",IF(INDEX(C_Pavement!$G$5:$G$204,$AQ595)="-","",INDEX(C_Pavement!$G$5:$G$204,$AQ595)),IF($AS595="","",INDEX(E_Rules!$F$5:$F$9,$AS595))))</f>
        <v/>
      </c>
      <c r="AX595" t="str">
        <f>IF($AQ595="","",IF(INDEX(C_Pavement!$H$5:$H$204,$AQ595)&lt;&gt;"",IF(INDEX(C_Pavement!$H$5:$H$204,$AQ595)="-","",INDEX(C_Pavement!$H$5:$H$204,$AQ595)),IF($AS595="","",INDEX(E_Rules!$G$5:$G$9,$AS595))))</f>
        <v/>
      </c>
      <c r="AY595" t="str">
        <f>IF($AQ595="","",IF(INDEX(C_Pavement!$I$5:$I$204,$AQ595)&lt;&gt;"",IF(INDEX(C_Pavement!$I$5:$I$204,$AQ595)="-","",INDEX(C_Pavement!$I$5:$I$204,$AQ595)),IF($AS595="","",INDEX(E_Rules!$H$5:$H$9,$AS595))))</f>
        <v/>
      </c>
    </row>
    <row r="596" spans="1:51" ht="15.75" customHeight="1" x14ac:dyDescent="0.3">
      <c r="A596" s="189">
        <v>591</v>
      </c>
      <c r="B596" s="180">
        <v>29500</v>
      </c>
      <c r="C596" s="180" t="s">
        <v>902</v>
      </c>
      <c r="D596" s="181" t="str">
        <f>IFERROR(LOOKUP(2,1/((A_Corridor!$A$5:$A$204&lt;&gt;"")*(A_Corridor!$A$5:$A$204&lt;=$B596)*(A_Corridor!$B$5:$B$204&gt;$B596)*(A_Corridor!$C$5:$C$204&lt;&gt;"")),IF(UPPER(A_Corridor!$C$5:$C$204)="Y",1,"")),"")</f>
        <v/>
      </c>
      <c r="E596" s="181" t="str">
        <f>IFERROR(LOOKUP(2,1/((A_Corridor!$A$5:$A$204&lt;&gt;"")*(A_Corridor!$A$5:$A$204&lt;=$B596)*(A_Corridor!$B$5:$B$204&gt;$B596)*(A_Corridor!$D$5:$D$204&lt;&gt;"")),IF(A_Corridor!$D$5:$D$204="-","",UPPER(A_Corridor!$D$5:$D$204))),"")</f>
        <v/>
      </c>
      <c r="F596" s="181" t="str">
        <f>IFERROR(LOOKUP(2,1/((A_Corridor!$A$5:$A$204&lt;&gt;"")*(A_Corridor!$A$5:$A$204&lt;=$B596)*(A_Corridor!$B$5:$B$204&gt;$B596)*(A_Corridor!$E$5:$E$204&lt;&gt;"")),IF(A_Corridor!$E$5:$E$204="-","",1)),"")</f>
        <v/>
      </c>
      <c r="G596" s="182" t="str">
        <f>IFERROR(LOOKUP(2,1/((A_Corridor!$A$5:$A$204&lt;&gt;"")*(A_Corridor!$A$5:$A$204&lt;=$B596)*(A_Corridor!$B$5:$B$204&gt;$B596)*(A_Corridor!$E$5:$E$204&lt;&gt;"")),IF(A_Corridor!$E$5:$E$204="-","",A_Corridor!$E$5:$E$204)),"")</f>
        <v/>
      </c>
      <c r="H596" s="182" t="str">
        <f>IFERROR(LOOKUP(2,1/((D_Points!$A$5:$A$204&lt;&gt;"")*(D_Points!$A$5:$A$204&gt;=$B596)*(D_Points!$A$5:$A$204&lt;$B596+P_Interval)*(UPPER(TRIM(D_Points!$B$5:$B$204))="GULLY")*(D_Points!$H$5:$H$204&lt;&gt;"")),D_Points!$H$5:$H$204),"")</f>
        <v/>
      </c>
      <c r="I596" s="181" t="str">
        <f>IFERROR(LOOKUP(2,1/((A_Corridor!$A$5:$A$204&lt;&gt;"")*(A_Corridor!$A$5:$A$204&lt;=$B596)*(A_Corridor!$B$5:$B$204&gt;$B596)*(A_Corridor!$F$5:$F$204&lt;&gt;"")),IF(A_Corridor!$F$5:$F$204="-","",1)),"")</f>
        <v/>
      </c>
      <c r="J596" s="182" t="str">
        <f>IFERROR(LOOKUP(2,1/((A_Corridor!$A$5:$A$204&lt;&gt;"")*(A_Corridor!$A$5:$A$204&lt;=$B596)*(A_Corridor!$B$5:$B$204&gt;$B596)*(A_Corridor!$F$5:$F$204&lt;&gt;"")),IF(A_Corridor!$F$5:$F$204="-","",A_Corridor!$F$5:$F$204)),"")</f>
        <v/>
      </c>
      <c r="K596" s="182" t="str">
        <f>IFERROR(LOOKUP(2,1/((A_Corridor!$A$5:$A$204&lt;&gt;"")*(A_Corridor!$A$5:$A$204&lt;=$B596)*(A_Corridor!$B$5:$B$204&gt;$B596)*(A_Corridor!$G$5:$G$204&lt;&gt;"")),IF(A_Corridor!$G$5:$G$204="-","",A_Corridor!$G$5:$G$204)),"")</f>
        <v/>
      </c>
      <c r="L596" s="181" t="str">
        <f>IFERROR(LOOKUP(2,1/((A_Corridor!$A$5:$A$204&lt;&gt;"")*(A_Corridor!$A$5:$A$204&lt;=$B596)*(A_Corridor!$B$5:$B$204&gt;$B596)*(A_Corridor!$H$5:$H$204&lt;&gt;"")),IF(A_Corridor!$H$5:$H$204="-","",1)),"")</f>
        <v/>
      </c>
      <c r="M596" s="182" t="str">
        <f>IFERROR(LOOKUP(2,1/((A_Corridor!$A$5:$A$204&lt;&gt;"")*(A_Corridor!$A$5:$A$204&lt;=$B596)*(A_Corridor!$B$5:$B$204&gt;$B596)*(A_Corridor!$H$5:$H$204&lt;&gt;"")),IF(A_Corridor!$H$5:$H$204="-","",A_Corridor!$H$5:$H$204)),"")</f>
        <v/>
      </c>
      <c r="N596" s="182" t="str">
        <f>IFERROR(LOOKUP(2,1/((A_Corridor!$A$5:$A$204&lt;&gt;"")*(A_Corridor!$A$5:$A$204&lt;=$B596)*(A_Corridor!$B$5:$B$204&gt;$B596)*(A_Corridor!$I$5:$I$204&lt;&gt;"")),IF(A_Corridor!$I$5:$I$204="-","",A_Corridor!$I$5:$I$204)),"")</f>
        <v/>
      </c>
      <c r="O596" s="182" t="str">
        <f>IFERROR(LOOKUP(2,1/((D_Points!$A$5:$A$204&lt;&gt;"")*(D_Points!$A$5:$A$204&gt;=$B596)*(D_Points!$A$5:$A$204&lt;$B596+P_Interval)*(UPPER(TRIM(D_Points!$B$5:$B$204))="PITCHING")*(D_Points!$H$5:$H$204&lt;&gt;"")),D_Points!$H$5:$H$204),"")</f>
        <v/>
      </c>
      <c r="P596" s="181" t="str">
        <f>IFERROR(LOOKUP(2,1/((B_Drainage!$A$5:$A$204&lt;&gt;"")*(B_Drainage!$A$5:$A$204&lt;=$B596)*(B_Drainage!$B$5:$B$204&gt;$B596)*(B_Drainage!$C$5:$C$204&lt;&gt;"")),IF(B_Drainage!$C$5:$C$204="-","",UPPER(B_Drainage!$C$5:$C$204))),"")</f>
        <v/>
      </c>
      <c r="Q596" s="181" t="str">
        <f>IFERROR(LOOKUP(2,1/((B_Drainage!$A$5:$A$204&lt;&gt;"")*(B_Drainage!$A$5:$A$204&lt;=$B596)*(B_Drainage!$B$5:$B$204&gt;$B596)*(B_Drainage!$D$5:$D$204&lt;&gt;"")),IF(B_Drainage!$D$5:$D$204="-","",UPPER(B_Drainage!$D$5:$D$204))),"")</f>
        <v/>
      </c>
      <c r="R596" s="182" t="str">
        <f>IFERROR(LOOKUP(2,1/((D_Points!$A$5:$A$204&lt;&gt;"")*(D_Points!$A$5:$A$204&gt;=$B596)*(D_Points!$A$5:$A$204&lt;$B596+P_Interval)*(RIGHT(UPPER(TRIM(D_Points!$B$5:$B$204)),8)="_CULVERT")),IF(LEFT(UPPER(TRIM(D_Points!$B$5:$B$204)),2)="EX",1,IF(LEFT(UPPER(TRIM(D_Points!$B$5:$B$204)),2)="PR",2,3))),"")</f>
        <v/>
      </c>
      <c r="S596" s="182" t="str">
        <f>IFERROR(LOOKUP(2,1/((D_Points!$A$5:$A$204&lt;&gt;"")*(D_Points!$A$5:$A$204&gt;=$B596)*(D_Points!$A$5:$A$204&lt;$B596+P_Interval)*(RIGHT(UPPER(TRIM(D_Points!$B$5:$B$204)),7)="_BRIDGE")),IF(LEFT(UPPER(TRIM(D_Points!$B$5:$B$204)),2)="EX",1,IF(LEFT(UPPER(TRIM(D_Points!$B$5:$B$204)),2)="PR",2,2))),"")</f>
        <v/>
      </c>
      <c r="T596" s="181" t="str">
        <f>IFERROR(LOOKUP(2,1/((B_Drainage!$A$5:$A$204&lt;&gt;"")*(B_Drainage!$A$5:$A$204&lt;=$B596)*(B_Drainage!$B$5:$B$204&gt;$B596)*(B_Drainage!$E$5:$E$204&lt;&gt;"")),IF(B_Drainage!$E$5:$E$204="-","",1)),"")</f>
        <v/>
      </c>
      <c r="U596" s="181" t="str">
        <f>IFERROR(LOOKUP(2,1/((B_Drainage!$A$5:$A$204&lt;&gt;"")*(B_Drainage!$A$5:$A$204&lt;=$B596)*(B_Drainage!$B$5:$B$204&gt;$B596)*(B_Drainage!$E$5:$E$204&lt;&gt;"")),IF(B_Drainage!$E$5:$E$204="-","",B_Drainage!$E$5:$E$204)),"")</f>
        <v/>
      </c>
      <c r="V596" s="181" t="str">
        <f>IFERROR(LOOKUP(2,1/((B_Drainage!$A$5:$A$204&lt;&gt;"")*(B_Drainage!$A$5:$A$204&lt;=$B596)*(B_Drainage!$B$5:$B$204&gt;$B596)*(B_Drainage!$F$5:$F$204&lt;&gt;"")),IF(B_Drainage!$F$5:$F$204="-","",1)),"")</f>
        <v/>
      </c>
      <c r="W596" s="181" t="str">
        <f>IFERROR(LOOKUP(2,1/((B_Drainage!$A$5:$A$204&lt;&gt;"")*(B_Drainage!$A$5:$A$204&lt;=$B596)*(B_Drainage!$B$5:$B$204&gt;$B596)*(B_Drainage!$F$5:$F$204&lt;&gt;"")),IF(B_Drainage!$F$5:$F$204="-","",B_Drainage!$F$5:$F$204)),"")</f>
        <v/>
      </c>
      <c r="X596" s="181" t="str">
        <f>IFERROR(LOOKUP(2,1/((B_Drainage!$A$5:$A$204&lt;&gt;"")*(B_Drainage!$A$5:$A$204&lt;=$B596)*(B_Drainage!$B$5:$B$204&gt;$B596)*(B_Drainage!$G$5:$G$204&lt;&gt;"")),IF(UPPER(B_Drainage!$G$5:$G$204)="Y",1,"")),"")</f>
        <v/>
      </c>
      <c r="Y596" s="181" t="str">
        <f>IFERROR(LOOKUP(2,1/((B_Drainage!$A$5:$A$204&lt;&gt;"")*(B_Drainage!$A$5:$A$204&lt;=$B596)*(B_Drainage!$B$5:$B$204&gt;$B596)*(B_Drainage!$H$5:$H$204&lt;&gt;"")),IF(UPPER(B_Drainage!$H$5:$H$204)="Y",1,"")),"")</f>
        <v/>
      </c>
      <c r="Z596" s="181" t="str">
        <f>IFERROR(LOOKUP(2,1/((B_Drainage!$A$5:$A$204&lt;&gt;"")*(B_Drainage!$A$5:$A$204&lt;=$B596)*(B_Drainage!$B$5:$B$204&gt;$B596)*(B_Drainage!$I$5:$I$204&lt;&gt;"")),IF(UPPER(B_Drainage!$I$5:$I$204)="Y",1,"")),"")</f>
        <v/>
      </c>
      <c r="AA596" s="181" t="str">
        <f>IFERROR(LOOKUP(2,1/((B_Drainage!$A$5:$A$204&lt;&gt;"")*(B_Drainage!$A$5:$A$204&lt;=$B596)*(B_Drainage!$B$5:$B$204&gt;$B596)*(B_Drainage!$J$5:$J$204&lt;&gt;"")),IF(UPPER(B_Drainage!$J$5:$J$204)="Y",1,"")),"")</f>
        <v/>
      </c>
      <c r="AB596" s="182" t="str">
        <f>IFERROR(LOOKUP(2,1/((B_Drainage!$A$5:$A$204&lt;&gt;"")*(B_Drainage!$A$5:$A$204&lt;=$B596)*(B_Drainage!$B$5:$B$204&gt;$B596)*(B_Drainage!$K$5:$K$204&lt;&gt;"")),IF(B_Drainage!$K$5:$K$204="-","",B_Drainage!$K$5:$K$204)),"")</f>
        <v/>
      </c>
      <c r="AC596" s="182" t="str">
        <f>IFERROR(LOOKUP(2,1/((B_Drainage!$A$5:$A$204&lt;&gt;"")*(B_Drainage!$A$5:$A$204&lt;=$B596)*(B_Drainage!$B$5:$B$204&gt;$B596)*(B_Drainage!$L$5:$L$204&lt;&gt;"")),IF(B_Drainage!$L$5:$L$204="-","",B_Drainage!$L$5:$L$204)),"")</f>
        <v/>
      </c>
      <c r="AD596" s="182" t="str">
        <f>IFERROR(LOOKUP(2,1/((D_Points!$A$5:$A$204&lt;&gt;"")*(D_Points!$A$5:$A$204&gt;=$B596)*(D_Points!$A$5:$A$204&lt;$B596+P_Interval)*(UPPER(TRIM(D_Points!$B$5:$B$204))="TURNOUT_L")*(D_Points!$H$5:$H$204&lt;&gt;"")),D_Points!$H$5:$H$204),"")</f>
        <v/>
      </c>
      <c r="AE596" s="182" t="str">
        <f>IFERROR(LOOKUP(2,1/((D_Points!$A$5:$A$204&lt;&gt;"")*(D_Points!$A$5:$A$204&gt;=$B596)*(D_Points!$A$5:$A$204&lt;$B596+P_Interval)*(UPPER(TRIM(D_Points!$B$5:$B$204))="TURNOUT_R")*(D_Points!$H$5:$H$204&lt;&gt;"")),D_Points!$H$5:$H$204),"")</f>
        <v/>
      </c>
      <c r="AF596" s="181" t="str">
        <f>IFERROR(LOOKUP(2,1/((B_Drainage!$A$5:$A$204&lt;&gt;"")*(B_Drainage!$A$5:$A$204&lt;=$B596)*(B_Drainage!$B$5:$B$204&gt;$B596)*(B_Drainage!$M$5:$M$204&lt;&gt;"")),IF(UPPER(B_Drainage!$M$5:$M$204)="Y",1,"")),"")</f>
        <v/>
      </c>
      <c r="AG596" s="181" t="str">
        <f>IFERROR(LOOKUP(2,1/((B_Drainage!$A$5:$A$204&lt;&gt;"")*(B_Drainage!$A$5:$A$204&lt;=$B596)*(B_Drainage!$B$5:$B$204&gt;$B596)*(B_Drainage!$N$5:$N$204&lt;&gt;"")),IF(UPPER(B_Drainage!$N$5:$N$204)="Y",1,"")),"")</f>
        <v/>
      </c>
      <c r="AH596" s="181" t="str">
        <f t="shared" si="72"/>
        <v/>
      </c>
      <c r="AI596" s="181" t="str">
        <f t="shared" si="73"/>
        <v/>
      </c>
      <c r="AJ596" s="181" t="str">
        <f t="shared" si="74"/>
        <v/>
      </c>
      <c r="AK596" s="181" t="str">
        <f t="shared" si="75"/>
        <v/>
      </c>
      <c r="AL596" s="181" t="str">
        <f t="shared" si="76"/>
        <v/>
      </c>
      <c r="AM596" s="181" t="str">
        <f t="shared" si="77"/>
        <v/>
      </c>
      <c r="AN596" s="181" t="str">
        <f t="shared" si="78"/>
        <v/>
      </c>
      <c r="AO596" s="192" t="str">
        <f t="shared" si="79"/>
        <v/>
      </c>
      <c r="AQ596" t="str">
        <f>IFERROR(LOOKUP(2,1/((C_Pavement!$A$5:$A$204&lt;&gt;"")*(C_Pavement!$A$5:$A$204&lt;=$B596)*(C_Pavement!$B$5:$B$204&gt;$B596)*(C_Pavement!$C$5:$C$204&lt;&gt;"")),ROW(C_Pavement!$C$5:$C$204)-4),"")</f>
        <v/>
      </c>
      <c r="AR596" t="str">
        <f>IF($AQ596="","",UPPER(TRIM(INDEX(C_Pavement!$C$5:$C$204,$AQ596))))</f>
        <v/>
      </c>
      <c r="AS596" t="str">
        <f>IF($AR596="","",IFERROR(MATCH($AR596,E_Rules!$A$5:$A$9,0),""))</f>
        <v/>
      </c>
      <c r="AT596" t="str">
        <f>IF($AQ596="","",IF(INDEX(C_Pavement!$D$5:$D$204,$AQ596)&lt;&gt;"",UPPER(TRIM(INDEX(C_Pavement!$D$5:$D$204,$AQ596))),IF($AS596="","",INDEX(E_Rules!$C$5:$C$9,$AS596))))</f>
        <v/>
      </c>
      <c r="AU596" t="str">
        <f>IF($AQ596="","",IF(INDEX(C_Pavement!$E$5:$E$204,$AQ596)&lt;&gt;"",IF(INDEX(C_Pavement!$E$5:$E$204,$AQ596)="-","",INDEX(C_Pavement!$E$5:$E$204,$AQ596)),IF($AS596="","",INDEX(E_Rules!$D$5:$D$9,$AS596))))</f>
        <v/>
      </c>
      <c r="AV596" t="str">
        <f>IF($AQ596="","",IF(INDEX(C_Pavement!$F$5:$F$204,$AQ596)&lt;&gt;"",IF(INDEX(C_Pavement!$F$5:$F$204,$AQ596)="-","",INDEX(C_Pavement!$F$5:$F$204,$AQ596)),IF($AS596="","",INDEX(E_Rules!$E$5:$E$9,$AS596))))</f>
        <v/>
      </c>
      <c r="AW596" t="str">
        <f>IF($AQ596="","",IF(INDEX(C_Pavement!$G$5:$G$204,$AQ596)&lt;&gt;"",IF(INDEX(C_Pavement!$G$5:$G$204,$AQ596)="-","",INDEX(C_Pavement!$G$5:$G$204,$AQ596)),IF($AS596="","",INDEX(E_Rules!$F$5:$F$9,$AS596))))</f>
        <v/>
      </c>
      <c r="AX596" t="str">
        <f>IF($AQ596="","",IF(INDEX(C_Pavement!$H$5:$H$204,$AQ596)&lt;&gt;"",IF(INDEX(C_Pavement!$H$5:$H$204,$AQ596)="-","",INDEX(C_Pavement!$H$5:$H$204,$AQ596)),IF($AS596="","",INDEX(E_Rules!$G$5:$G$9,$AS596))))</f>
        <v/>
      </c>
      <c r="AY596" t="str">
        <f>IF($AQ596="","",IF(INDEX(C_Pavement!$I$5:$I$204,$AQ596)&lt;&gt;"",IF(INDEX(C_Pavement!$I$5:$I$204,$AQ596)="-","",INDEX(C_Pavement!$I$5:$I$204,$AQ596)),IF($AS596="","",INDEX(E_Rules!$H$5:$H$9,$AS596))))</f>
        <v/>
      </c>
    </row>
    <row r="597" spans="1:51" ht="15.75" customHeight="1" x14ac:dyDescent="0.3">
      <c r="A597" s="189">
        <v>592</v>
      </c>
      <c r="B597" s="180">
        <v>29550</v>
      </c>
      <c r="C597" s="180" t="s">
        <v>903</v>
      </c>
      <c r="D597" s="181" t="str">
        <f>IFERROR(LOOKUP(2,1/((A_Corridor!$A$5:$A$204&lt;&gt;"")*(A_Corridor!$A$5:$A$204&lt;=$B597)*(A_Corridor!$B$5:$B$204&gt;$B597)*(A_Corridor!$C$5:$C$204&lt;&gt;"")),IF(UPPER(A_Corridor!$C$5:$C$204)="Y",1,"")),"")</f>
        <v/>
      </c>
      <c r="E597" s="181" t="str">
        <f>IFERROR(LOOKUP(2,1/((A_Corridor!$A$5:$A$204&lt;&gt;"")*(A_Corridor!$A$5:$A$204&lt;=$B597)*(A_Corridor!$B$5:$B$204&gt;$B597)*(A_Corridor!$D$5:$D$204&lt;&gt;"")),IF(A_Corridor!$D$5:$D$204="-","",UPPER(A_Corridor!$D$5:$D$204))),"")</f>
        <v/>
      </c>
      <c r="F597" s="181" t="str">
        <f>IFERROR(LOOKUP(2,1/((A_Corridor!$A$5:$A$204&lt;&gt;"")*(A_Corridor!$A$5:$A$204&lt;=$B597)*(A_Corridor!$B$5:$B$204&gt;$B597)*(A_Corridor!$E$5:$E$204&lt;&gt;"")),IF(A_Corridor!$E$5:$E$204="-","",1)),"")</f>
        <v/>
      </c>
      <c r="G597" s="182" t="str">
        <f>IFERROR(LOOKUP(2,1/((A_Corridor!$A$5:$A$204&lt;&gt;"")*(A_Corridor!$A$5:$A$204&lt;=$B597)*(A_Corridor!$B$5:$B$204&gt;$B597)*(A_Corridor!$E$5:$E$204&lt;&gt;"")),IF(A_Corridor!$E$5:$E$204="-","",A_Corridor!$E$5:$E$204)),"")</f>
        <v/>
      </c>
      <c r="H597" s="182" t="str">
        <f>IFERROR(LOOKUP(2,1/((D_Points!$A$5:$A$204&lt;&gt;"")*(D_Points!$A$5:$A$204&gt;=$B597)*(D_Points!$A$5:$A$204&lt;$B597+P_Interval)*(UPPER(TRIM(D_Points!$B$5:$B$204))="GULLY")*(D_Points!$H$5:$H$204&lt;&gt;"")),D_Points!$H$5:$H$204),"")</f>
        <v/>
      </c>
      <c r="I597" s="181" t="str">
        <f>IFERROR(LOOKUP(2,1/((A_Corridor!$A$5:$A$204&lt;&gt;"")*(A_Corridor!$A$5:$A$204&lt;=$B597)*(A_Corridor!$B$5:$B$204&gt;$B597)*(A_Corridor!$F$5:$F$204&lt;&gt;"")),IF(A_Corridor!$F$5:$F$204="-","",1)),"")</f>
        <v/>
      </c>
      <c r="J597" s="182" t="str">
        <f>IFERROR(LOOKUP(2,1/((A_Corridor!$A$5:$A$204&lt;&gt;"")*(A_Corridor!$A$5:$A$204&lt;=$B597)*(A_Corridor!$B$5:$B$204&gt;$B597)*(A_Corridor!$F$5:$F$204&lt;&gt;"")),IF(A_Corridor!$F$5:$F$204="-","",A_Corridor!$F$5:$F$204)),"")</f>
        <v/>
      </c>
      <c r="K597" s="182" t="str">
        <f>IFERROR(LOOKUP(2,1/((A_Corridor!$A$5:$A$204&lt;&gt;"")*(A_Corridor!$A$5:$A$204&lt;=$B597)*(A_Corridor!$B$5:$B$204&gt;$B597)*(A_Corridor!$G$5:$G$204&lt;&gt;"")),IF(A_Corridor!$G$5:$G$204="-","",A_Corridor!$G$5:$G$204)),"")</f>
        <v/>
      </c>
      <c r="L597" s="181" t="str">
        <f>IFERROR(LOOKUP(2,1/((A_Corridor!$A$5:$A$204&lt;&gt;"")*(A_Corridor!$A$5:$A$204&lt;=$B597)*(A_Corridor!$B$5:$B$204&gt;$B597)*(A_Corridor!$H$5:$H$204&lt;&gt;"")),IF(A_Corridor!$H$5:$H$204="-","",1)),"")</f>
        <v/>
      </c>
      <c r="M597" s="182" t="str">
        <f>IFERROR(LOOKUP(2,1/((A_Corridor!$A$5:$A$204&lt;&gt;"")*(A_Corridor!$A$5:$A$204&lt;=$B597)*(A_Corridor!$B$5:$B$204&gt;$B597)*(A_Corridor!$H$5:$H$204&lt;&gt;"")),IF(A_Corridor!$H$5:$H$204="-","",A_Corridor!$H$5:$H$204)),"")</f>
        <v/>
      </c>
      <c r="N597" s="182" t="str">
        <f>IFERROR(LOOKUP(2,1/((A_Corridor!$A$5:$A$204&lt;&gt;"")*(A_Corridor!$A$5:$A$204&lt;=$B597)*(A_Corridor!$B$5:$B$204&gt;$B597)*(A_Corridor!$I$5:$I$204&lt;&gt;"")),IF(A_Corridor!$I$5:$I$204="-","",A_Corridor!$I$5:$I$204)),"")</f>
        <v/>
      </c>
      <c r="O597" s="182" t="str">
        <f>IFERROR(LOOKUP(2,1/((D_Points!$A$5:$A$204&lt;&gt;"")*(D_Points!$A$5:$A$204&gt;=$B597)*(D_Points!$A$5:$A$204&lt;$B597+P_Interval)*(UPPER(TRIM(D_Points!$B$5:$B$204))="PITCHING")*(D_Points!$H$5:$H$204&lt;&gt;"")),D_Points!$H$5:$H$204),"")</f>
        <v/>
      </c>
      <c r="P597" s="181" t="str">
        <f>IFERROR(LOOKUP(2,1/((B_Drainage!$A$5:$A$204&lt;&gt;"")*(B_Drainage!$A$5:$A$204&lt;=$B597)*(B_Drainage!$B$5:$B$204&gt;$B597)*(B_Drainage!$C$5:$C$204&lt;&gt;"")),IF(B_Drainage!$C$5:$C$204="-","",UPPER(B_Drainage!$C$5:$C$204))),"")</f>
        <v/>
      </c>
      <c r="Q597" s="181" t="str">
        <f>IFERROR(LOOKUP(2,1/((B_Drainage!$A$5:$A$204&lt;&gt;"")*(B_Drainage!$A$5:$A$204&lt;=$B597)*(B_Drainage!$B$5:$B$204&gt;$B597)*(B_Drainage!$D$5:$D$204&lt;&gt;"")),IF(B_Drainage!$D$5:$D$204="-","",UPPER(B_Drainage!$D$5:$D$204))),"")</f>
        <v/>
      </c>
      <c r="R597" s="182" t="str">
        <f>IFERROR(LOOKUP(2,1/((D_Points!$A$5:$A$204&lt;&gt;"")*(D_Points!$A$5:$A$204&gt;=$B597)*(D_Points!$A$5:$A$204&lt;$B597+P_Interval)*(RIGHT(UPPER(TRIM(D_Points!$B$5:$B$204)),8)="_CULVERT")),IF(LEFT(UPPER(TRIM(D_Points!$B$5:$B$204)),2)="EX",1,IF(LEFT(UPPER(TRIM(D_Points!$B$5:$B$204)),2)="PR",2,3))),"")</f>
        <v/>
      </c>
      <c r="S597" s="182" t="str">
        <f>IFERROR(LOOKUP(2,1/((D_Points!$A$5:$A$204&lt;&gt;"")*(D_Points!$A$5:$A$204&gt;=$B597)*(D_Points!$A$5:$A$204&lt;$B597+P_Interval)*(RIGHT(UPPER(TRIM(D_Points!$B$5:$B$204)),7)="_BRIDGE")),IF(LEFT(UPPER(TRIM(D_Points!$B$5:$B$204)),2)="EX",1,IF(LEFT(UPPER(TRIM(D_Points!$B$5:$B$204)),2)="PR",2,2))),"")</f>
        <v/>
      </c>
      <c r="T597" s="181" t="str">
        <f>IFERROR(LOOKUP(2,1/((B_Drainage!$A$5:$A$204&lt;&gt;"")*(B_Drainage!$A$5:$A$204&lt;=$B597)*(B_Drainage!$B$5:$B$204&gt;$B597)*(B_Drainage!$E$5:$E$204&lt;&gt;"")),IF(B_Drainage!$E$5:$E$204="-","",1)),"")</f>
        <v/>
      </c>
      <c r="U597" s="181" t="str">
        <f>IFERROR(LOOKUP(2,1/((B_Drainage!$A$5:$A$204&lt;&gt;"")*(B_Drainage!$A$5:$A$204&lt;=$B597)*(B_Drainage!$B$5:$B$204&gt;$B597)*(B_Drainage!$E$5:$E$204&lt;&gt;"")),IF(B_Drainage!$E$5:$E$204="-","",B_Drainage!$E$5:$E$204)),"")</f>
        <v/>
      </c>
      <c r="V597" s="181" t="str">
        <f>IFERROR(LOOKUP(2,1/((B_Drainage!$A$5:$A$204&lt;&gt;"")*(B_Drainage!$A$5:$A$204&lt;=$B597)*(B_Drainage!$B$5:$B$204&gt;$B597)*(B_Drainage!$F$5:$F$204&lt;&gt;"")),IF(B_Drainage!$F$5:$F$204="-","",1)),"")</f>
        <v/>
      </c>
      <c r="W597" s="181" t="str">
        <f>IFERROR(LOOKUP(2,1/((B_Drainage!$A$5:$A$204&lt;&gt;"")*(B_Drainage!$A$5:$A$204&lt;=$B597)*(B_Drainage!$B$5:$B$204&gt;$B597)*(B_Drainage!$F$5:$F$204&lt;&gt;"")),IF(B_Drainage!$F$5:$F$204="-","",B_Drainage!$F$5:$F$204)),"")</f>
        <v/>
      </c>
      <c r="X597" s="181" t="str">
        <f>IFERROR(LOOKUP(2,1/((B_Drainage!$A$5:$A$204&lt;&gt;"")*(B_Drainage!$A$5:$A$204&lt;=$B597)*(B_Drainage!$B$5:$B$204&gt;$B597)*(B_Drainage!$G$5:$G$204&lt;&gt;"")),IF(UPPER(B_Drainage!$G$5:$G$204)="Y",1,"")),"")</f>
        <v/>
      </c>
      <c r="Y597" s="181" t="str">
        <f>IFERROR(LOOKUP(2,1/((B_Drainage!$A$5:$A$204&lt;&gt;"")*(B_Drainage!$A$5:$A$204&lt;=$B597)*(B_Drainage!$B$5:$B$204&gt;$B597)*(B_Drainage!$H$5:$H$204&lt;&gt;"")),IF(UPPER(B_Drainage!$H$5:$H$204)="Y",1,"")),"")</f>
        <v/>
      </c>
      <c r="Z597" s="181" t="str">
        <f>IFERROR(LOOKUP(2,1/((B_Drainage!$A$5:$A$204&lt;&gt;"")*(B_Drainage!$A$5:$A$204&lt;=$B597)*(B_Drainage!$B$5:$B$204&gt;$B597)*(B_Drainage!$I$5:$I$204&lt;&gt;"")),IF(UPPER(B_Drainage!$I$5:$I$204)="Y",1,"")),"")</f>
        <v/>
      </c>
      <c r="AA597" s="181" t="str">
        <f>IFERROR(LOOKUP(2,1/((B_Drainage!$A$5:$A$204&lt;&gt;"")*(B_Drainage!$A$5:$A$204&lt;=$B597)*(B_Drainage!$B$5:$B$204&gt;$B597)*(B_Drainage!$J$5:$J$204&lt;&gt;"")),IF(UPPER(B_Drainage!$J$5:$J$204)="Y",1,"")),"")</f>
        <v/>
      </c>
      <c r="AB597" s="182" t="str">
        <f>IFERROR(LOOKUP(2,1/((B_Drainage!$A$5:$A$204&lt;&gt;"")*(B_Drainage!$A$5:$A$204&lt;=$B597)*(B_Drainage!$B$5:$B$204&gt;$B597)*(B_Drainage!$K$5:$K$204&lt;&gt;"")),IF(B_Drainage!$K$5:$K$204="-","",B_Drainage!$K$5:$K$204)),"")</f>
        <v/>
      </c>
      <c r="AC597" s="182" t="str">
        <f>IFERROR(LOOKUP(2,1/((B_Drainage!$A$5:$A$204&lt;&gt;"")*(B_Drainage!$A$5:$A$204&lt;=$B597)*(B_Drainage!$B$5:$B$204&gt;$B597)*(B_Drainage!$L$5:$L$204&lt;&gt;"")),IF(B_Drainage!$L$5:$L$204="-","",B_Drainage!$L$5:$L$204)),"")</f>
        <v/>
      </c>
      <c r="AD597" s="182" t="str">
        <f>IFERROR(LOOKUP(2,1/((D_Points!$A$5:$A$204&lt;&gt;"")*(D_Points!$A$5:$A$204&gt;=$B597)*(D_Points!$A$5:$A$204&lt;$B597+P_Interval)*(UPPER(TRIM(D_Points!$B$5:$B$204))="TURNOUT_L")*(D_Points!$H$5:$H$204&lt;&gt;"")),D_Points!$H$5:$H$204),"")</f>
        <v/>
      </c>
      <c r="AE597" s="182" t="str">
        <f>IFERROR(LOOKUP(2,1/((D_Points!$A$5:$A$204&lt;&gt;"")*(D_Points!$A$5:$A$204&gt;=$B597)*(D_Points!$A$5:$A$204&lt;$B597+P_Interval)*(UPPER(TRIM(D_Points!$B$5:$B$204))="TURNOUT_R")*(D_Points!$H$5:$H$204&lt;&gt;"")),D_Points!$H$5:$H$204),"")</f>
        <v/>
      </c>
      <c r="AF597" s="181" t="str">
        <f>IFERROR(LOOKUP(2,1/((B_Drainage!$A$5:$A$204&lt;&gt;"")*(B_Drainage!$A$5:$A$204&lt;=$B597)*(B_Drainage!$B$5:$B$204&gt;$B597)*(B_Drainage!$M$5:$M$204&lt;&gt;"")),IF(UPPER(B_Drainage!$M$5:$M$204)="Y",1,"")),"")</f>
        <v/>
      </c>
      <c r="AG597" s="181" t="str">
        <f>IFERROR(LOOKUP(2,1/((B_Drainage!$A$5:$A$204&lt;&gt;"")*(B_Drainage!$A$5:$A$204&lt;=$B597)*(B_Drainage!$B$5:$B$204&gt;$B597)*(B_Drainage!$N$5:$N$204&lt;&gt;"")),IF(UPPER(B_Drainage!$N$5:$N$204)="Y",1,"")),"")</f>
        <v/>
      </c>
      <c r="AH597" s="181" t="str">
        <f t="shared" si="72"/>
        <v/>
      </c>
      <c r="AI597" s="181" t="str">
        <f t="shared" si="73"/>
        <v/>
      </c>
      <c r="AJ597" s="181" t="str">
        <f t="shared" si="74"/>
        <v/>
      </c>
      <c r="AK597" s="181" t="str">
        <f t="shared" si="75"/>
        <v/>
      </c>
      <c r="AL597" s="181" t="str">
        <f t="shared" si="76"/>
        <v/>
      </c>
      <c r="AM597" s="181" t="str">
        <f t="shared" si="77"/>
        <v/>
      </c>
      <c r="AN597" s="181" t="str">
        <f t="shared" si="78"/>
        <v/>
      </c>
      <c r="AO597" s="192" t="str">
        <f t="shared" si="79"/>
        <v/>
      </c>
      <c r="AQ597" t="str">
        <f>IFERROR(LOOKUP(2,1/((C_Pavement!$A$5:$A$204&lt;&gt;"")*(C_Pavement!$A$5:$A$204&lt;=$B597)*(C_Pavement!$B$5:$B$204&gt;$B597)*(C_Pavement!$C$5:$C$204&lt;&gt;"")),ROW(C_Pavement!$C$5:$C$204)-4),"")</f>
        <v/>
      </c>
      <c r="AR597" t="str">
        <f>IF($AQ597="","",UPPER(TRIM(INDEX(C_Pavement!$C$5:$C$204,$AQ597))))</f>
        <v/>
      </c>
      <c r="AS597" t="str">
        <f>IF($AR597="","",IFERROR(MATCH($AR597,E_Rules!$A$5:$A$9,0),""))</f>
        <v/>
      </c>
      <c r="AT597" t="str">
        <f>IF($AQ597="","",IF(INDEX(C_Pavement!$D$5:$D$204,$AQ597)&lt;&gt;"",UPPER(TRIM(INDEX(C_Pavement!$D$5:$D$204,$AQ597))),IF($AS597="","",INDEX(E_Rules!$C$5:$C$9,$AS597))))</f>
        <v/>
      </c>
      <c r="AU597" t="str">
        <f>IF($AQ597="","",IF(INDEX(C_Pavement!$E$5:$E$204,$AQ597)&lt;&gt;"",IF(INDEX(C_Pavement!$E$5:$E$204,$AQ597)="-","",INDEX(C_Pavement!$E$5:$E$204,$AQ597)),IF($AS597="","",INDEX(E_Rules!$D$5:$D$9,$AS597))))</f>
        <v/>
      </c>
      <c r="AV597" t="str">
        <f>IF($AQ597="","",IF(INDEX(C_Pavement!$F$5:$F$204,$AQ597)&lt;&gt;"",IF(INDEX(C_Pavement!$F$5:$F$204,$AQ597)="-","",INDEX(C_Pavement!$F$5:$F$204,$AQ597)),IF($AS597="","",INDEX(E_Rules!$E$5:$E$9,$AS597))))</f>
        <v/>
      </c>
      <c r="AW597" t="str">
        <f>IF($AQ597="","",IF(INDEX(C_Pavement!$G$5:$G$204,$AQ597)&lt;&gt;"",IF(INDEX(C_Pavement!$G$5:$G$204,$AQ597)="-","",INDEX(C_Pavement!$G$5:$G$204,$AQ597)),IF($AS597="","",INDEX(E_Rules!$F$5:$F$9,$AS597))))</f>
        <v/>
      </c>
      <c r="AX597" t="str">
        <f>IF($AQ597="","",IF(INDEX(C_Pavement!$H$5:$H$204,$AQ597)&lt;&gt;"",IF(INDEX(C_Pavement!$H$5:$H$204,$AQ597)="-","",INDEX(C_Pavement!$H$5:$H$204,$AQ597)),IF($AS597="","",INDEX(E_Rules!$G$5:$G$9,$AS597))))</f>
        <v/>
      </c>
      <c r="AY597" t="str">
        <f>IF($AQ597="","",IF(INDEX(C_Pavement!$I$5:$I$204,$AQ597)&lt;&gt;"",IF(INDEX(C_Pavement!$I$5:$I$204,$AQ597)="-","",INDEX(C_Pavement!$I$5:$I$204,$AQ597)),IF($AS597="","",INDEX(E_Rules!$H$5:$H$9,$AS597))))</f>
        <v/>
      </c>
    </row>
    <row r="598" spans="1:51" ht="15.75" customHeight="1" x14ac:dyDescent="0.3">
      <c r="A598" s="189">
        <v>593</v>
      </c>
      <c r="B598" s="180">
        <v>29600</v>
      </c>
      <c r="C598" s="180" t="s">
        <v>904</v>
      </c>
      <c r="D598" s="181" t="str">
        <f>IFERROR(LOOKUP(2,1/((A_Corridor!$A$5:$A$204&lt;&gt;"")*(A_Corridor!$A$5:$A$204&lt;=$B598)*(A_Corridor!$B$5:$B$204&gt;$B598)*(A_Corridor!$C$5:$C$204&lt;&gt;"")),IF(UPPER(A_Corridor!$C$5:$C$204)="Y",1,"")),"")</f>
        <v/>
      </c>
      <c r="E598" s="181" t="str">
        <f>IFERROR(LOOKUP(2,1/((A_Corridor!$A$5:$A$204&lt;&gt;"")*(A_Corridor!$A$5:$A$204&lt;=$B598)*(A_Corridor!$B$5:$B$204&gt;$B598)*(A_Corridor!$D$5:$D$204&lt;&gt;"")),IF(A_Corridor!$D$5:$D$204="-","",UPPER(A_Corridor!$D$5:$D$204))),"")</f>
        <v/>
      </c>
      <c r="F598" s="181" t="str">
        <f>IFERROR(LOOKUP(2,1/((A_Corridor!$A$5:$A$204&lt;&gt;"")*(A_Corridor!$A$5:$A$204&lt;=$B598)*(A_Corridor!$B$5:$B$204&gt;$B598)*(A_Corridor!$E$5:$E$204&lt;&gt;"")),IF(A_Corridor!$E$5:$E$204="-","",1)),"")</f>
        <v/>
      </c>
      <c r="G598" s="182" t="str">
        <f>IFERROR(LOOKUP(2,1/((A_Corridor!$A$5:$A$204&lt;&gt;"")*(A_Corridor!$A$5:$A$204&lt;=$B598)*(A_Corridor!$B$5:$B$204&gt;$B598)*(A_Corridor!$E$5:$E$204&lt;&gt;"")),IF(A_Corridor!$E$5:$E$204="-","",A_Corridor!$E$5:$E$204)),"")</f>
        <v/>
      </c>
      <c r="H598" s="182" t="str">
        <f>IFERROR(LOOKUP(2,1/((D_Points!$A$5:$A$204&lt;&gt;"")*(D_Points!$A$5:$A$204&gt;=$B598)*(D_Points!$A$5:$A$204&lt;$B598+P_Interval)*(UPPER(TRIM(D_Points!$B$5:$B$204))="GULLY")*(D_Points!$H$5:$H$204&lt;&gt;"")),D_Points!$H$5:$H$204),"")</f>
        <v/>
      </c>
      <c r="I598" s="181" t="str">
        <f>IFERROR(LOOKUP(2,1/((A_Corridor!$A$5:$A$204&lt;&gt;"")*(A_Corridor!$A$5:$A$204&lt;=$B598)*(A_Corridor!$B$5:$B$204&gt;$B598)*(A_Corridor!$F$5:$F$204&lt;&gt;"")),IF(A_Corridor!$F$5:$F$204="-","",1)),"")</f>
        <v/>
      </c>
      <c r="J598" s="182" t="str">
        <f>IFERROR(LOOKUP(2,1/((A_Corridor!$A$5:$A$204&lt;&gt;"")*(A_Corridor!$A$5:$A$204&lt;=$B598)*(A_Corridor!$B$5:$B$204&gt;$B598)*(A_Corridor!$F$5:$F$204&lt;&gt;"")),IF(A_Corridor!$F$5:$F$204="-","",A_Corridor!$F$5:$F$204)),"")</f>
        <v/>
      </c>
      <c r="K598" s="182" t="str">
        <f>IFERROR(LOOKUP(2,1/((A_Corridor!$A$5:$A$204&lt;&gt;"")*(A_Corridor!$A$5:$A$204&lt;=$B598)*(A_Corridor!$B$5:$B$204&gt;$B598)*(A_Corridor!$G$5:$G$204&lt;&gt;"")),IF(A_Corridor!$G$5:$G$204="-","",A_Corridor!$G$5:$G$204)),"")</f>
        <v/>
      </c>
      <c r="L598" s="181" t="str">
        <f>IFERROR(LOOKUP(2,1/((A_Corridor!$A$5:$A$204&lt;&gt;"")*(A_Corridor!$A$5:$A$204&lt;=$B598)*(A_Corridor!$B$5:$B$204&gt;$B598)*(A_Corridor!$H$5:$H$204&lt;&gt;"")),IF(A_Corridor!$H$5:$H$204="-","",1)),"")</f>
        <v/>
      </c>
      <c r="M598" s="182" t="str">
        <f>IFERROR(LOOKUP(2,1/((A_Corridor!$A$5:$A$204&lt;&gt;"")*(A_Corridor!$A$5:$A$204&lt;=$B598)*(A_Corridor!$B$5:$B$204&gt;$B598)*(A_Corridor!$H$5:$H$204&lt;&gt;"")),IF(A_Corridor!$H$5:$H$204="-","",A_Corridor!$H$5:$H$204)),"")</f>
        <v/>
      </c>
      <c r="N598" s="182" t="str">
        <f>IFERROR(LOOKUP(2,1/((A_Corridor!$A$5:$A$204&lt;&gt;"")*(A_Corridor!$A$5:$A$204&lt;=$B598)*(A_Corridor!$B$5:$B$204&gt;$B598)*(A_Corridor!$I$5:$I$204&lt;&gt;"")),IF(A_Corridor!$I$5:$I$204="-","",A_Corridor!$I$5:$I$204)),"")</f>
        <v/>
      </c>
      <c r="O598" s="182" t="str">
        <f>IFERROR(LOOKUP(2,1/((D_Points!$A$5:$A$204&lt;&gt;"")*(D_Points!$A$5:$A$204&gt;=$B598)*(D_Points!$A$5:$A$204&lt;$B598+P_Interval)*(UPPER(TRIM(D_Points!$B$5:$B$204))="PITCHING")*(D_Points!$H$5:$H$204&lt;&gt;"")),D_Points!$H$5:$H$204),"")</f>
        <v/>
      </c>
      <c r="P598" s="181" t="str">
        <f>IFERROR(LOOKUP(2,1/((B_Drainage!$A$5:$A$204&lt;&gt;"")*(B_Drainage!$A$5:$A$204&lt;=$B598)*(B_Drainage!$B$5:$B$204&gt;$B598)*(B_Drainage!$C$5:$C$204&lt;&gt;"")),IF(B_Drainage!$C$5:$C$204="-","",UPPER(B_Drainage!$C$5:$C$204))),"")</f>
        <v/>
      </c>
      <c r="Q598" s="181" t="str">
        <f>IFERROR(LOOKUP(2,1/((B_Drainage!$A$5:$A$204&lt;&gt;"")*(B_Drainage!$A$5:$A$204&lt;=$B598)*(B_Drainage!$B$5:$B$204&gt;$B598)*(B_Drainage!$D$5:$D$204&lt;&gt;"")),IF(B_Drainage!$D$5:$D$204="-","",UPPER(B_Drainage!$D$5:$D$204))),"")</f>
        <v/>
      </c>
      <c r="R598" s="182" t="str">
        <f>IFERROR(LOOKUP(2,1/((D_Points!$A$5:$A$204&lt;&gt;"")*(D_Points!$A$5:$A$204&gt;=$B598)*(D_Points!$A$5:$A$204&lt;$B598+P_Interval)*(RIGHT(UPPER(TRIM(D_Points!$B$5:$B$204)),8)="_CULVERT")),IF(LEFT(UPPER(TRIM(D_Points!$B$5:$B$204)),2)="EX",1,IF(LEFT(UPPER(TRIM(D_Points!$B$5:$B$204)),2)="PR",2,3))),"")</f>
        <v/>
      </c>
      <c r="S598" s="182" t="str">
        <f>IFERROR(LOOKUP(2,1/((D_Points!$A$5:$A$204&lt;&gt;"")*(D_Points!$A$5:$A$204&gt;=$B598)*(D_Points!$A$5:$A$204&lt;$B598+P_Interval)*(RIGHT(UPPER(TRIM(D_Points!$B$5:$B$204)),7)="_BRIDGE")),IF(LEFT(UPPER(TRIM(D_Points!$B$5:$B$204)),2)="EX",1,IF(LEFT(UPPER(TRIM(D_Points!$B$5:$B$204)),2)="PR",2,2))),"")</f>
        <v/>
      </c>
      <c r="T598" s="181" t="str">
        <f>IFERROR(LOOKUP(2,1/((B_Drainage!$A$5:$A$204&lt;&gt;"")*(B_Drainage!$A$5:$A$204&lt;=$B598)*(B_Drainage!$B$5:$B$204&gt;$B598)*(B_Drainage!$E$5:$E$204&lt;&gt;"")),IF(B_Drainage!$E$5:$E$204="-","",1)),"")</f>
        <v/>
      </c>
      <c r="U598" s="181" t="str">
        <f>IFERROR(LOOKUP(2,1/((B_Drainage!$A$5:$A$204&lt;&gt;"")*(B_Drainage!$A$5:$A$204&lt;=$B598)*(B_Drainage!$B$5:$B$204&gt;$B598)*(B_Drainage!$E$5:$E$204&lt;&gt;"")),IF(B_Drainage!$E$5:$E$204="-","",B_Drainage!$E$5:$E$204)),"")</f>
        <v/>
      </c>
      <c r="V598" s="181" t="str">
        <f>IFERROR(LOOKUP(2,1/((B_Drainage!$A$5:$A$204&lt;&gt;"")*(B_Drainage!$A$5:$A$204&lt;=$B598)*(B_Drainage!$B$5:$B$204&gt;$B598)*(B_Drainage!$F$5:$F$204&lt;&gt;"")),IF(B_Drainage!$F$5:$F$204="-","",1)),"")</f>
        <v/>
      </c>
      <c r="W598" s="181" t="str">
        <f>IFERROR(LOOKUP(2,1/((B_Drainage!$A$5:$A$204&lt;&gt;"")*(B_Drainage!$A$5:$A$204&lt;=$B598)*(B_Drainage!$B$5:$B$204&gt;$B598)*(B_Drainage!$F$5:$F$204&lt;&gt;"")),IF(B_Drainage!$F$5:$F$204="-","",B_Drainage!$F$5:$F$204)),"")</f>
        <v/>
      </c>
      <c r="X598" s="181" t="str">
        <f>IFERROR(LOOKUP(2,1/((B_Drainage!$A$5:$A$204&lt;&gt;"")*(B_Drainage!$A$5:$A$204&lt;=$B598)*(B_Drainage!$B$5:$B$204&gt;$B598)*(B_Drainage!$G$5:$G$204&lt;&gt;"")),IF(UPPER(B_Drainage!$G$5:$G$204)="Y",1,"")),"")</f>
        <v/>
      </c>
      <c r="Y598" s="181" t="str">
        <f>IFERROR(LOOKUP(2,1/((B_Drainage!$A$5:$A$204&lt;&gt;"")*(B_Drainage!$A$5:$A$204&lt;=$B598)*(B_Drainage!$B$5:$B$204&gt;$B598)*(B_Drainage!$H$5:$H$204&lt;&gt;"")),IF(UPPER(B_Drainage!$H$5:$H$204)="Y",1,"")),"")</f>
        <v/>
      </c>
      <c r="Z598" s="181" t="str">
        <f>IFERROR(LOOKUP(2,1/((B_Drainage!$A$5:$A$204&lt;&gt;"")*(B_Drainage!$A$5:$A$204&lt;=$B598)*(B_Drainage!$B$5:$B$204&gt;$B598)*(B_Drainage!$I$5:$I$204&lt;&gt;"")),IF(UPPER(B_Drainage!$I$5:$I$204)="Y",1,"")),"")</f>
        <v/>
      </c>
      <c r="AA598" s="181" t="str">
        <f>IFERROR(LOOKUP(2,1/((B_Drainage!$A$5:$A$204&lt;&gt;"")*(B_Drainage!$A$5:$A$204&lt;=$B598)*(B_Drainage!$B$5:$B$204&gt;$B598)*(B_Drainage!$J$5:$J$204&lt;&gt;"")),IF(UPPER(B_Drainage!$J$5:$J$204)="Y",1,"")),"")</f>
        <v/>
      </c>
      <c r="AB598" s="182" t="str">
        <f>IFERROR(LOOKUP(2,1/((B_Drainage!$A$5:$A$204&lt;&gt;"")*(B_Drainage!$A$5:$A$204&lt;=$B598)*(B_Drainage!$B$5:$B$204&gt;$B598)*(B_Drainage!$K$5:$K$204&lt;&gt;"")),IF(B_Drainage!$K$5:$K$204="-","",B_Drainage!$K$5:$K$204)),"")</f>
        <v/>
      </c>
      <c r="AC598" s="182" t="str">
        <f>IFERROR(LOOKUP(2,1/((B_Drainage!$A$5:$A$204&lt;&gt;"")*(B_Drainage!$A$5:$A$204&lt;=$B598)*(B_Drainage!$B$5:$B$204&gt;$B598)*(B_Drainage!$L$5:$L$204&lt;&gt;"")),IF(B_Drainage!$L$5:$L$204="-","",B_Drainage!$L$5:$L$204)),"")</f>
        <v/>
      </c>
      <c r="AD598" s="182" t="str">
        <f>IFERROR(LOOKUP(2,1/((D_Points!$A$5:$A$204&lt;&gt;"")*(D_Points!$A$5:$A$204&gt;=$B598)*(D_Points!$A$5:$A$204&lt;$B598+P_Interval)*(UPPER(TRIM(D_Points!$B$5:$B$204))="TURNOUT_L")*(D_Points!$H$5:$H$204&lt;&gt;"")),D_Points!$H$5:$H$204),"")</f>
        <v/>
      </c>
      <c r="AE598" s="182" t="str">
        <f>IFERROR(LOOKUP(2,1/((D_Points!$A$5:$A$204&lt;&gt;"")*(D_Points!$A$5:$A$204&gt;=$B598)*(D_Points!$A$5:$A$204&lt;$B598+P_Interval)*(UPPER(TRIM(D_Points!$B$5:$B$204))="TURNOUT_R")*(D_Points!$H$5:$H$204&lt;&gt;"")),D_Points!$H$5:$H$204),"")</f>
        <v/>
      </c>
      <c r="AF598" s="181" t="str">
        <f>IFERROR(LOOKUP(2,1/((B_Drainage!$A$5:$A$204&lt;&gt;"")*(B_Drainage!$A$5:$A$204&lt;=$B598)*(B_Drainage!$B$5:$B$204&gt;$B598)*(B_Drainage!$M$5:$M$204&lt;&gt;"")),IF(UPPER(B_Drainage!$M$5:$M$204)="Y",1,"")),"")</f>
        <v/>
      </c>
      <c r="AG598" s="181" t="str">
        <f>IFERROR(LOOKUP(2,1/((B_Drainage!$A$5:$A$204&lt;&gt;"")*(B_Drainage!$A$5:$A$204&lt;=$B598)*(B_Drainage!$B$5:$B$204&gt;$B598)*(B_Drainage!$N$5:$N$204&lt;&gt;"")),IF(UPPER(B_Drainage!$N$5:$N$204)="Y",1,"")),"")</f>
        <v/>
      </c>
      <c r="AH598" s="181" t="str">
        <f t="shared" si="72"/>
        <v/>
      </c>
      <c r="AI598" s="181" t="str">
        <f t="shared" si="73"/>
        <v/>
      </c>
      <c r="AJ598" s="181" t="str">
        <f t="shared" si="74"/>
        <v/>
      </c>
      <c r="AK598" s="181" t="str">
        <f t="shared" si="75"/>
        <v/>
      </c>
      <c r="AL598" s="181" t="str">
        <f t="shared" si="76"/>
        <v/>
      </c>
      <c r="AM598" s="181" t="str">
        <f t="shared" si="77"/>
        <v/>
      </c>
      <c r="AN598" s="181" t="str">
        <f t="shared" si="78"/>
        <v/>
      </c>
      <c r="AO598" s="192" t="str">
        <f t="shared" si="79"/>
        <v/>
      </c>
      <c r="AQ598" t="str">
        <f>IFERROR(LOOKUP(2,1/((C_Pavement!$A$5:$A$204&lt;&gt;"")*(C_Pavement!$A$5:$A$204&lt;=$B598)*(C_Pavement!$B$5:$B$204&gt;$B598)*(C_Pavement!$C$5:$C$204&lt;&gt;"")),ROW(C_Pavement!$C$5:$C$204)-4),"")</f>
        <v/>
      </c>
      <c r="AR598" t="str">
        <f>IF($AQ598="","",UPPER(TRIM(INDEX(C_Pavement!$C$5:$C$204,$AQ598))))</f>
        <v/>
      </c>
      <c r="AS598" t="str">
        <f>IF($AR598="","",IFERROR(MATCH($AR598,E_Rules!$A$5:$A$9,0),""))</f>
        <v/>
      </c>
      <c r="AT598" t="str">
        <f>IF($AQ598="","",IF(INDEX(C_Pavement!$D$5:$D$204,$AQ598)&lt;&gt;"",UPPER(TRIM(INDEX(C_Pavement!$D$5:$D$204,$AQ598))),IF($AS598="","",INDEX(E_Rules!$C$5:$C$9,$AS598))))</f>
        <v/>
      </c>
      <c r="AU598" t="str">
        <f>IF($AQ598="","",IF(INDEX(C_Pavement!$E$5:$E$204,$AQ598)&lt;&gt;"",IF(INDEX(C_Pavement!$E$5:$E$204,$AQ598)="-","",INDEX(C_Pavement!$E$5:$E$204,$AQ598)),IF($AS598="","",INDEX(E_Rules!$D$5:$D$9,$AS598))))</f>
        <v/>
      </c>
      <c r="AV598" t="str">
        <f>IF($AQ598="","",IF(INDEX(C_Pavement!$F$5:$F$204,$AQ598)&lt;&gt;"",IF(INDEX(C_Pavement!$F$5:$F$204,$AQ598)="-","",INDEX(C_Pavement!$F$5:$F$204,$AQ598)),IF($AS598="","",INDEX(E_Rules!$E$5:$E$9,$AS598))))</f>
        <v/>
      </c>
      <c r="AW598" t="str">
        <f>IF($AQ598="","",IF(INDEX(C_Pavement!$G$5:$G$204,$AQ598)&lt;&gt;"",IF(INDEX(C_Pavement!$G$5:$G$204,$AQ598)="-","",INDEX(C_Pavement!$G$5:$G$204,$AQ598)),IF($AS598="","",INDEX(E_Rules!$F$5:$F$9,$AS598))))</f>
        <v/>
      </c>
      <c r="AX598" t="str">
        <f>IF($AQ598="","",IF(INDEX(C_Pavement!$H$5:$H$204,$AQ598)&lt;&gt;"",IF(INDEX(C_Pavement!$H$5:$H$204,$AQ598)="-","",INDEX(C_Pavement!$H$5:$H$204,$AQ598)),IF($AS598="","",INDEX(E_Rules!$G$5:$G$9,$AS598))))</f>
        <v/>
      </c>
      <c r="AY598" t="str">
        <f>IF($AQ598="","",IF(INDEX(C_Pavement!$I$5:$I$204,$AQ598)&lt;&gt;"",IF(INDEX(C_Pavement!$I$5:$I$204,$AQ598)="-","",INDEX(C_Pavement!$I$5:$I$204,$AQ598)),IF($AS598="","",INDEX(E_Rules!$H$5:$H$9,$AS598))))</f>
        <v/>
      </c>
    </row>
    <row r="599" spans="1:51" ht="15.75" customHeight="1" x14ac:dyDescent="0.3">
      <c r="A599" s="189">
        <v>594</v>
      </c>
      <c r="B599" s="180">
        <v>29650</v>
      </c>
      <c r="C599" s="180" t="s">
        <v>905</v>
      </c>
      <c r="D599" s="181" t="str">
        <f>IFERROR(LOOKUP(2,1/((A_Corridor!$A$5:$A$204&lt;&gt;"")*(A_Corridor!$A$5:$A$204&lt;=$B599)*(A_Corridor!$B$5:$B$204&gt;$B599)*(A_Corridor!$C$5:$C$204&lt;&gt;"")),IF(UPPER(A_Corridor!$C$5:$C$204)="Y",1,"")),"")</f>
        <v/>
      </c>
      <c r="E599" s="181" t="str">
        <f>IFERROR(LOOKUP(2,1/((A_Corridor!$A$5:$A$204&lt;&gt;"")*(A_Corridor!$A$5:$A$204&lt;=$B599)*(A_Corridor!$B$5:$B$204&gt;$B599)*(A_Corridor!$D$5:$D$204&lt;&gt;"")),IF(A_Corridor!$D$5:$D$204="-","",UPPER(A_Corridor!$D$5:$D$204))),"")</f>
        <v/>
      </c>
      <c r="F599" s="181" t="str">
        <f>IFERROR(LOOKUP(2,1/((A_Corridor!$A$5:$A$204&lt;&gt;"")*(A_Corridor!$A$5:$A$204&lt;=$B599)*(A_Corridor!$B$5:$B$204&gt;$B599)*(A_Corridor!$E$5:$E$204&lt;&gt;"")),IF(A_Corridor!$E$5:$E$204="-","",1)),"")</f>
        <v/>
      </c>
      <c r="G599" s="182" t="str">
        <f>IFERROR(LOOKUP(2,1/((A_Corridor!$A$5:$A$204&lt;&gt;"")*(A_Corridor!$A$5:$A$204&lt;=$B599)*(A_Corridor!$B$5:$B$204&gt;$B599)*(A_Corridor!$E$5:$E$204&lt;&gt;"")),IF(A_Corridor!$E$5:$E$204="-","",A_Corridor!$E$5:$E$204)),"")</f>
        <v/>
      </c>
      <c r="H599" s="182" t="str">
        <f>IFERROR(LOOKUP(2,1/((D_Points!$A$5:$A$204&lt;&gt;"")*(D_Points!$A$5:$A$204&gt;=$B599)*(D_Points!$A$5:$A$204&lt;$B599+P_Interval)*(UPPER(TRIM(D_Points!$B$5:$B$204))="GULLY")*(D_Points!$H$5:$H$204&lt;&gt;"")),D_Points!$H$5:$H$204),"")</f>
        <v/>
      </c>
      <c r="I599" s="181" t="str">
        <f>IFERROR(LOOKUP(2,1/((A_Corridor!$A$5:$A$204&lt;&gt;"")*(A_Corridor!$A$5:$A$204&lt;=$B599)*(A_Corridor!$B$5:$B$204&gt;$B599)*(A_Corridor!$F$5:$F$204&lt;&gt;"")),IF(A_Corridor!$F$5:$F$204="-","",1)),"")</f>
        <v/>
      </c>
      <c r="J599" s="182" t="str">
        <f>IFERROR(LOOKUP(2,1/((A_Corridor!$A$5:$A$204&lt;&gt;"")*(A_Corridor!$A$5:$A$204&lt;=$B599)*(A_Corridor!$B$5:$B$204&gt;$B599)*(A_Corridor!$F$5:$F$204&lt;&gt;"")),IF(A_Corridor!$F$5:$F$204="-","",A_Corridor!$F$5:$F$204)),"")</f>
        <v/>
      </c>
      <c r="K599" s="182" t="str">
        <f>IFERROR(LOOKUP(2,1/((A_Corridor!$A$5:$A$204&lt;&gt;"")*(A_Corridor!$A$5:$A$204&lt;=$B599)*(A_Corridor!$B$5:$B$204&gt;$B599)*(A_Corridor!$G$5:$G$204&lt;&gt;"")),IF(A_Corridor!$G$5:$G$204="-","",A_Corridor!$G$5:$G$204)),"")</f>
        <v/>
      </c>
      <c r="L599" s="181" t="str">
        <f>IFERROR(LOOKUP(2,1/((A_Corridor!$A$5:$A$204&lt;&gt;"")*(A_Corridor!$A$5:$A$204&lt;=$B599)*(A_Corridor!$B$5:$B$204&gt;$B599)*(A_Corridor!$H$5:$H$204&lt;&gt;"")),IF(A_Corridor!$H$5:$H$204="-","",1)),"")</f>
        <v/>
      </c>
      <c r="M599" s="182" t="str">
        <f>IFERROR(LOOKUP(2,1/((A_Corridor!$A$5:$A$204&lt;&gt;"")*(A_Corridor!$A$5:$A$204&lt;=$B599)*(A_Corridor!$B$5:$B$204&gt;$B599)*(A_Corridor!$H$5:$H$204&lt;&gt;"")),IF(A_Corridor!$H$5:$H$204="-","",A_Corridor!$H$5:$H$204)),"")</f>
        <v/>
      </c>
      <c r="N599" s="182" t="str">
        <f>IFERROR(LOOKUP(2,1/((A_Corridor!$A$5:$A$204&lt;&gt;"")*(A_Corridor!$A$5:$A$204&lt;=$B599)*(A_Corridor!$B$5:$B$204&gt;$B599)*(A_Corridor!$I$5:$I$204&lt;&gt;"")),IF(A_Corridor!$I$5:$I$204="-","",A_Corridor!$I$5:$I$204)),"")</f>
        <v/>
      </c>
      <c r="O599" s="182" t="str">
        <f>IFERROR(LOOKUP(2,1/((D_Points!$A$5:$A$204&lt;&gt;"")*(D_Points!$A$5:$A$204&gt;=$B599)*(D_Points!$A$5:$A$204&lt;$B599+P_Interval)*(UPPER(TRIM(D_Points!$B$5:$B$204))="PITCHING")*(D_Points!$H$5:$H$204&lt;&gt;"")),D_Points!$H$5:$H$204),"")</f>
        <v/>
      </c>
      <c r="P599" s="181" t="str">
        <f>IFERROR(LOOKUP(2,1/((B_Drainage!$A$5:$A$204&lt;&gt;"")*(B_Drainage!$A$5:$A$204&lt;=$B599)*(B_Drainage!$B$5:$B$204&gt;$B599)*(B_Drainage!$C$5:$C$204&lt;&gt;"")),IF(B_Drainage!$C$5:$C$204="-","",UPPER(B_Drainage!$C$5:$C$204))),"")</f>
        <v/>
      </c>
      <c r="Q599" s="181" t="str">
        <f>IFERROR(LOOKUP(2,1/((B_Drainage!$A$5:$A$204&lt;&gt;"")*(B_Drainage!$A$5:$A$204&lt;=$B599)*(B_Drainage!$B$5:$B$204&gt;$B599)*(B_Drainage!$D$5:$D$204&lt;&gt;"")),IF(B_Drainage!$D$5:$D$204="-","",UPPER(B_Drainage!$D$5:$D$204))),"")</f>
        <v/>
      </c>
      <c r="R599" s="182" t="str">
        <f>IFERROR(LOOKUP(2,1/((D_Points!$A$5:$A$204&lt;&gt;"")*(D_Points!$A$5:$A$204&gt;=$B599)*(D_Points!$A$5:$A$204&lt;$B599+P_Interval)*(RIGHT(UPPER(TRIM(D_Points!$B$5:$B$204)),8)="_CULVERT")),IF(LEFT(UPPER(TRIM(D_Points!$B$5:$B$204)),2)="EX",1,IF(LEFT(UPPER(TRIM(D_Points!$B$5:$B$204)),2)="PR",2,3))),"")</f>
        <v/>
      </c>
      <c r="S599" s="182" t="str">
        <f>IFERROR(LOOKUP(2,1/((D_Points!$A$5:$A$204&lt;&gt;"")*(D_Points!$A$5:$A$204&gt;=$B599)*(D_Points!$A$5:$A$204&lt;$B599+P_Interval)*(RIGHT(UPPER(TRIM(D_Points!$B$5:$B$204)),7)="_BRIDGE")),IF(LEFT(UPPER(TRIM(D_Points!$B$5:$B$204)),2)="EX",1,IF(LEFT(UPPER(TRIM(D_Points!$B$5:$B$204)),2)="PR",2,2))),"")</f>
        <v/>
      </c>
      <c r="T599" s="181" t="str">
        <f>IFERROR(LOOKUP(2,1/((B_Drainage!$A$5:$A$204&lt;&gt;"")*(B_Drainage!$A$5:$A$204&lt;=$B599)*(B_Drainage!$B$5:$B$204&gt;$B599)*(B_Drainage!$E$5:$E$204&lt;&gt;"")),IF(B_Drainage!$E$5:$E$204="-","",1)),"")</f>
        <v/>
      </c>
      <c r="U599" s="181" t="str">
        <f>IFERROR(LOOKUP(2,1/((B_Drainage!$A$5:$A$204&lt;&gt;"")*(B_Drainage!$A$5:$A$204&lt;=$B599)*(B_Drainage!$B$5:$B$204&gt;$B599)*(B_Drainage!$E$5:$E$204&lt;&gt;"")),IF(B_Drainage!$E$5:$E$204="-","",B_Drainage!$E$5:$E$204)),"")</f>
        <v/>
      </c>
      <c r="V599" s="181" t="str">
        <f>IFERROR(LOOKUP(2,1/((B_Drainage!$A$5:$A$204&lt;&gt;"")*(B_Drainage!$A$5:$A$204&lt;=$B599)*(B_Drainage!$B$5:$B$204&gt;$B599)*(B_Drainage!$F$5:$F$204&lt;&gt;"")),IF(B_Drainage!$F$5:$F$204="-","",1)),"")</f>
        <v/>
      </c>
      <c r="W599" s="181" t="str">
        <f>IFERROR(LOOKUP(2,1/((B_Drainage!$A$5:$A$204&lt;&gt;"")*(B_Drainage!$A$5:$A$204&lt;=$B599)*(B_Drainage!$B$5:$B$204&gt;$B599)*(B_Drainage!$F$5:$F$204&lt;&gt;"")),IF(B_Drainage!$F$5:$F$204="-","",B_Drainage!$F$5:$F$204)),"")</f>
        <v/>
      </c>
      <c r="X599" s="181" t="str">
        <f>IFERROR(LOOKUP(2,1/((B_Drainage!$A$5:$A$204&lt;&gt;"")*(B_Drainage!$A$5:$A$204&lt;=$B599)*(B_Drainage!$B$5:$B$204&gt;$B599)*(B_Drainage!$G$5:$G$204&lt;&gt;"")),IF(UPPER(B_Drainage!$G$5:$G$204)="Y",1,"")),"")</f>
        <v/>
      </c>
      <c r="Y599" s="181" t="str">
        <f>IFERROR(LOOKUP(2,1/((B_Drainage!$A$5:$A$204&lt;&gt;"")*(B_Drainage!$A$5:$A$204&lt;=$B599)*(B_Drainage!$B$5:$B$204&gt;$B599)*(B_Drainage!$H$5:$H$204&lt;&gt;"")),IF(UPPER(B_Drainage!$H$5:$H$204)="Y",1,"")),"")</f>
        <v/>
      </c>
      <c r="Z599" s="181" t="str">
        <f>IFERROR(LOOKUP(2,1/((B_Drainage!$A$5:$A$204&lt;&gt;"")*(B_Drainage!$A$5:$A$204&lt;=$B599)*(B_Drainage!$B$5:$B$204&gt;$B599)*(B_Drainage!$I$5:$I$204&lt;&gt;"")),IF(UPPER(B_Drainage!$I$5:$I$204)="Y",1,"")),"")</f>
        <v/>
      </c>
      <c r="AA599" s="181" t="str">
        <f>IFERROR(LOOKUP(2,1/((B_Drainage!$A$5:$A$204&lt;&gt;"")*(B_Drainage!$A$5:$A$204&lt;=$B599)*(B_Drainage!$B$5:$B$204&gt;$B599)*(B_Drainage!$J$5:$J$204&lt;&gt;"")),IF(UPPER(B_Drainage!$J$5:$J$204)="Y",1,"")),"")</f>
        <v/>
      </c>
      <c r="AB599" s="182" t="str">
        <f>IFERROR(LOOKUP(2,1/((B_Drainage!$A$5:$A$204&lt;&gt;"")*(B_Drainage!$A$5:$A$204&lt;=$B599)*(B_Drainage!$B$5:$B$204&gt;$B599)*(B_Drainage!$K$5:$K$204&lt;&gt;"")),IF(B_Drainage!$K$5:$K$204="-","",B_Drainage!$K$5:$K$204)),"")</f>
        <v/>
      </c>
      <c r="AC599" s="182" t="str">
        <f>IFERROR(LOOKUP(2,1/((B_Drainage!$A$5:$A$204&lt;&gt;"")*(B_Drainage!$A$5:$A$204&lt;=$B599)*(B_Drainage!$B$5:$B$204&gt;$B599)*(B_Drainage!$L$5:$L$204&lt;&gt;"")),IF(B_Drainage!$L$5:$L$204="-","",B_Drainage!$L$5:$L$204)),"")</f>
        <v/>
      </c>
      <c r="AD599" s="182" t="str">
        <f>IFERROR(LOOKUP(2,1/((D_Points!$A$5:$A$204&lt;&gt;"")*(D_Points!$A$5:$A$204&gt;=$B599)*(D_Points!$A$5:$A$204&lt;$B599+P_Interval)*(UPPER(TRIM(D_Points!$B$5:$B$204))="TURNOUT_L")*(D_Points!$H$5:$H$204&lt;&gt;"")),D_Points!$H$5:$H$204),"")</f>
        <v/>
      </c>
      <c r="AE599" s="182" t="str">
        <f>IFERROR(LOOKUP(2,1/((D_Points!$A$5:$A$204&lt;&gt;"")*(D_Points!$A$5:$A$204&gt;=$B599)*(D_Points!$A$5:$A$204&lt;$B599+P_Interval)*(UPPER(TRIM(D_Points!$B$5:$B$204))="TURNOUT_R")*(D_Points!$H$5:$H$204&lt;&gt;"")),D_Points!$H$5:$H$204),"")</f>
        <v/>
      </c>
      <c r="AF599" s="181" t="str">
        <f>IFERROR(LOOKUP(2,1/((B_Drainage!$A$5:$A$204&lt;&gt;"")*(B_Drainage!$A$5:$A$204&lt;=$B599)*(B_Drainage!$B$5:$B$204&gt;$B599)*(B_Drainage!$M$5:$M$204&lt;&gt;"")),IF(UPPER(B_Drainage!$M$5:$M$204)="Y",1,"")),"")</f>
        <v/>
      </c>
      <c r="AG599" s="181" t="str">
        <f>IFERROR(LOOKUP(2,1/((B_Drainage!$A$5:$A$204&lt;&gt;"")*(B_Drainage!$A$5:$A$204&lt;=$B599)*(B_Drainage!$B$5:$B$204&gt;$B599)*(B_Drainage!$N$5:$N$204&lt;&gt;"")),IF(UPPER(B_Drainage!$N$5:$N$204)="Y",1,"")),"")</f>
        <v/>
      </c>
      <c r="AH599" s="181" t="str">
        <f t="shared" si="72"/>
        <v/>
      </c>
      <c r="AI599" s="181" t="str">
        <f t="shared" si="73"/>
        <v/>
      </c>
      <c r="AJ599" s="181" t="str">
        <f t="shared" si="74"/>
        <v/>
      </c>
      <c r="AK599" s="181" t="str">
        <f t="shared" si="75"/>
        <v/>
      </c>
      <c r="AL599" s="181" t="str">
        <f t="shared" si="76"/>
        <v/>
      </c>
      <c r="AM599" s="181" t="str">
        <f t="shared" si="77"/>
        <v/>
      </c>
      <c r="AN599" s="181" t="str">
        <f t="shared" si="78"/>
        <v/>
      </c>
      <c r="AO599" s="192" t="str">
        <f t="shared" si="79"/>
        <v/>
      </c>
      <c r="AQ599" t="str">
        <f>IFERROR(LOOKUP(2,1/((C_Pavement!$A$5:$A$204&lt;&gt;"")*(C_Pavement!$A$5:$A$204&lt;=$B599)*(C_Pavement!$B$5:$B$204&gt;$B599)*(C_Pavement!$C$5:$C$204&lt;&gt;"")),ROW(C_Pavement!$C$5:$C$204)-4),"")</f>
        <v/>
      </c>
      <c r="AR599" t="str">
        <f>IF($AQ599="","",UPPER(TRIM(INDEX(C_Pavement!$C$5:$C$204,$AQ599))))</f>
        <v/>
      </c>
      <c r="AS599" t="str">
        <f>IF($AR599="","",IFERROR(MATCH($AR599,E_Rules!$A$5:$A$9,0),""))</f>
        <v/>
      </c>
      <c r="AT599" t="str">
        <f>IF($AQ599="","",IF(INDEX(C_Pavement!$D$5:$D$204,$AQ599)&lt;&gt;"",UPPER(TRIM(INDEX(C_Pavement!$D$5:$D$204,$AQ599))),IF($AS599="","",INDEX(E_Rules!$C$5:$C$9,$AS599))))</f>
        <v/>
      </c>
      <c r="AU599" t="str">
        <f>IF($AQ599="","",IF(INDEX(C_Pavement!$E$5:$E$204,$AQ599)&lt;&gt;"",IF(INDEX(C_Pavement!$E$5:$E$204,$AQ599)="-","",INDEX(C_Pavement!$E$5:$E$204,$AQ599)),IF($AS599="","",INDEX(E_Rules!$D$5:$D$9,$AS599))))</f>
        <v/>
      </c>
      <c r="AV599" t="str">
        <f>IF($AQ599="","",IF(INDEX(C_Pavement!$F$5:$F$204,$AQ599)&lt;&gt;"",IF(INDEX(C_Pavement!$F$5:$F$204,$AQ599)="-","",INDEX(C_Pavement!$F$5:$F$204,$AQ599)),IF($AS599="","",INDEX(E_Rules!$E$5:$E$9,$AS599))))</f>
        <v/>
      </c>
      <c r="AW599" t="str">
        <f>IF($AQ599="","",IF(INDEX(C_Pavement!$G$5:$G$204,$AQ599)&lt;&gt;"",IF(INDEX(C_Pavement!$G$5:$G$204,$AQ599)="-","",INDEX(C_Pavement!$G$5:$G$204,$AQ599)),IF($AS599="","",INDEX(E_Rules!$F$5:$F$9,$AS599))))</f>
        <v/>
      </c>
      <c r="AX599" t="str">
        <f>IF($AQ599="","",IF(INDEX(C_Pavement!$H$5:$H$204,$AQ599)&lt;&gt;"",IF(INDEX(C_Pavement!$H$5:$H$204,$AQ599)="-","",INDEX(C_Pavement!$H$5:$H$204,$AQ599)),IF($AS599="","",INDEX(E_Rules!$G$5:$G$9,$AS599))))</f>
        <v/>
      </c>
      <c r="AY599" t="str">
        <f>IF($AQ599="","",IF(INDEX(C_Pavement!$I$5:$I$204,$AQ599)&lt;&gt;"",IF(INDEX(C_Pavement!$I$5:$I$204,$AQ599)="-","",INDEX(C_Pavement!$I$5:$I$204,$AQ599)),IF($AS599="","",INDEX(E_Rules!$H$5:$H$9,$AS599))))</f>
        <v/>
      </c>
    </row>
    <row r="600" spans="1:51" ht="15.75" customHeight="1" x14ac:dyDescent="0.3">
      <c r="A600" s="189">
        <v>595</v>
      </c>
      <c r="B600" s="180">
        <v>29700</v>
      </c>
      <c r="C600" s="180" t="s">
        <v>906</v>
      </c>
      <c r="D600" s="181" t="str">
        <f>IFERROR(LOOKUP(2,1/((A_Corridor!$A$5:$A$204&lt;&gt;"")*(A_Corridor!$A$5:$A$204&lt;=$B600)*(A_Corridor!$B$5:$B$204&gt;$B600)*(A_Corridor!$C$5:$C$204&lt;&gt;"")),IF(UPPER(A_Corridor!$C$5:$C$204)="Y",1,"")),"")</f>
        <v/>
      </c>
      <c r="E600" s="181" t="str">
        <f>IFERROR(LOOKUP(2,1/((A_Corridor!$A$5:$A$204&lt;&gt;"")*(A_Corridor!$A$5:$A$204&lt;=$B600)*(A_Corridor!$B$5:$B$204&gt;$B600)*(A_Corridor!$D$5:$D$204&lt;&gt;"")),IF(A_Corridor!$D$5:$D$204="-","",UPPER(A_Corridor!$D$5:$D$204))),"")</f>
        <v/>
      </c>
      <c r="F600" s="181" t="str">
        <f>IFERROR(LOOKUP(2,1/((A_Corridor!$A$5:$A$204&lt;&gt;"")*(A_Corridor!$A$5:$A$204&lt;=$B600)*(A_Corridor!$B$5:$B$204&gt;$B600)*(A_Corridor!$E$5:$E$204&lt;&gt;"")),IF(A_Corridor!$E$5:$E$204="-","",1)),"")</f>
        <v/>
      </c>
      <c r="G600" s="182" t="str">
        <f>IFERROR(LOOKUP(2,1/((A_Corridor!$A$5:$A$204&lt;&gt;"")*(A_Corridor!$A$5:$A$204&lt;=$B600)*(A_Corridor!$B$5:$B$204&gt;$B600)*(A_Corridor!$E$5:$E$204&lt;&gt;"")),IF(A_Corridor!$E$5:$E$204="-","",A_Corridor!$E$5:$E$204)),"")</f>
        <v/>
      </c>
      <c r="H600" s="182" t="str">
        <f>IFERROR(LOOKUP(2,1/((D_Points!$A$5:$A$204&lt;&gt;"")*(D_Points!$A$5:$A$204&gt;=$B600)*(D_Points!$A$5:$A$204&lt;$B600+P_Interval)*(UPPER(TRIM(D_Points!$B$5:$B$204))="GULLY")*(D_Points!$H$5:$H$204&lt;&gt;"")),D_Points!$H$5:$H$204),"")</f>
        <v/>
      </c>
      <c r="I600" s="181" t="str">
        <f>IFERROR(LOOKUP(2,1/((A_Corridor!$A$5:$A$204&lt;&gt;"")*(A_Corridor!$A$5:$A$204&lt;=$B600)*(A_Corridor!$B$5:$B$204&gt;$B600)*(A_Corridor!$F$5:$F$204&lt;&gt;"")),IF(A_Corridor!$F$5:$F$204="-","",1)),"")</f>
        <v/>
      </c>
      <c r="J600" s="182" t="str">
        <f>IFERROR(LOOKUP(2,1/((A_Corridor!$A$5:$A$204&lt;&gt;"")*(A_Corridor!$A$5:$A$204&lt;=$B600)*(A_Corridor!$B$5:$B$204&gt;$B600)*(A_Corridor!$F$5:$F$204&lt;&gt;"")),IF(A_Corridor!$F$5:$F$204="-","",A_Corridor!$F$5:$F$204)),"")</f>
        <v/>
      </c>
      <c r="K600" s="182" t="str">
        <f>IFERROR(LOOKUP(2,1/((A_Corridor!$A$5:$A$204&lt;&gt;"")*(A_Corridor!$A$5:$A$204&lt;=$B600)*(A_Corridor!$B$5:$B$204&gt;$B600)*(A_Corridor!$G$5:$G$204&lt;&gt;"")),IF(A_Corridor!$G$5:$G$204="-","",A_Corridor!$G$5:$G$204)),"")</f>
        <v/>
      </c>
      <c r="L600" s="181" t="str">
        <f>IFERROR(LOOKUP(2,1/((A_Corridor!$A$5:$A$204&lt;&gt;"")*(A_Corridor!$A$5:$A$204&lt;=$B600)*(A_Corridor!$B$5:$B$204&gt;$B600)*(A_Corridor!$H$5:$H$204&lt;&gt;"")),IF(A_Corridor!$H$5:$H$204="-","",1)),"")</f>
        <v/>
      </c>
      <c r="M600" s="182" t="str">
        <f>IFERROR(LOOKUP(2,1/((A_Corridor!$A$5:$A$204&lt;&gt;"")*(A_Corridor!$A$5:$A$204&lt;=$B600)*(A_Corridor!$B$5:$B$204&gt;$B600)*(A_Corridor!$H$5:$H$204&lt;&gt;"")),IF(A_Corridor!$H$5:$H$204="-","",A_Corridor!$H$5:$H$204)),"")</f>
        <v/>
      </c>
      <c r="N600" s="182" t="str">
        <f>IFERROR(LOOKUP(2,1/((A_Corridor!$A$5:$A$204&lt;&gt;"")*(A_Corridor!$A$5:$A$204&lt;=$B600)*(A_Corridor!$B$5:$B$204&gt;$B600)*(A_Corridor!$I$5:$I$204&lt;&gt;"")),IF(A_Corridor!$I$5:$I$204="-","",A_Corridor!$I$5:$I$204)),"")</f>
        <v/>
      </c>
      <c r="O600" s="182" t="str">
        <f>IFERROR(LOOKUP(2,1/((D_Points!$A$5:$A$204&lt;&gt;"")*(D_Points!$A$5:$A$204&gt;=$B600)*(D_Points!$A$5:$A$204&lt;$B600+P_Interval)*(UPPER(TRIM(D_Points!$B$5:$B$204))="PITCHING")*(D_Points!$H$5:$H$204&lt;&gt;"")),D_Points!$H$5:$H$204),"")</f>
        <v/>
      </c>
      <c r="P600" s="181" t="str">
        <f>IFERROR(LOOKUP(2,1/((B_Drainage!$A$5:$A$204&lt;&gt;"")*(B_Drainage!$A$5:$A$204&lt;=$B600)*(B_Drainage!$B$5:$B$204&gt;$B600)*(B_Drainage!$C$5:$C$204&lt;&gt;"")),IF(B_Drainage!$C$5:$C$204="-","",UPPER(B_Drainage!$C$5:$C$204))),"")</f>
        <v/>
      </c>
      <c r="Q600" s="181" t="str">
        <f>IFERROR(LOOKUP(2,1/((B_Drainage!$A$5:$A$204&lt;&gt;"")*(B_Drainage!$A$5:$A$204&lt;=$B600)*(B_Drainage!$B$5:$B$204&gt;$B600)*(B_Drainage!$D$5:$D$204&lt;&gt;"")),IF(B_Drainage!$D$5:$D$204="-","",UPPER(B_Drainage!$D$5:$D$204))),"")</f>
        <v/>
      </c>
      <c r="R600" s="182" t="str">
        <f>IFERROR(LOOKUP(2,1/((D_Points!$A$5:$A$204&lt;&gt;"")*(D_Points!$A$5:$A$204&gt;=$B600)*(D_Points!$A$5:$A$204&lt;$B600+P_Interval)*(RIGHT(UPPER(TRIM(D_Points!$B$5:$B$204)),8)="_CULVERT")),IF(LEFT(UPPER(TRIM(D_Points!$B$5:$B$204)),2)="EX",1,IF(LEFT(UPPER(TRIM(D_Points!$B$5:$B$204)),2)="PR",2,3))),"")</f>
        <v/>
      </c>
      <c r="S600" s="182" t="str">
        <f>IFERROR(LOOKUP(2,1/((D_Points!$A$5:$A$204&lt;&gt;"")*(D_Points!$A$5:$A$204&gt;=$B600)*(D_Points!$A$5:$A$204&lt;$B600+P_Interval)*(RIGHT(UPPER(TRIM(D_Points!$B$5:$B$204)),7)="_BRIDGE")),IF(LEFT(UPPER(TRIM(D_Points!$B$5:$B$204)),2)="EX",1,IF(LEFT(UPPER(TRIM(D_Points!$B$5:$B$204)),2)="PR",2,2))),"")</f>
        <v/>
      </c>
      <c r="T600" s="181" t="str">
        <f>IFERROR(LOOKUP(2,1/((B_Drainage!$A$5:$A$204&lt;&gt;"")*(B_Drainage!$A$5:$A$204&lt;=$B600)*(B_Drainage!$B$5:$B$204&gt;$B600)*(B_Drainage!$E$5:$E$204&lt;&gt;"")),IF(B_Drainage!$E$5:$E$204="-","",1)),"")</f>
        <v/>
      </c>
      <c r="U600" s="181" t="str">
        <f>IFERROR(LOOKUP(2,1/((B_Drainage!$A$5:$A$204&lt;&gt;"")*(B_Drainage!$A$5:$A$204&lt;=$B600)*(B_Drainage!$B$5:$B$204&gt;$B600)*(B_Drainage!$E$5:$E$204&lt;&gt;"")),IF(B_Drainage!$E$5:$E$204="-","",B_Drainage!$E$5:$E$204)),"")</f>
        <v/>
      </c>
      <c r="V600" s="181" t="str">
        <f>IFERROR(LOOKUP(2,1/((B_Drainage!$A$5:$A$204&lt;&gt;"")*(B_Drainage!$A$5:$A$204&lt;=$B600)*(B_Drainage!$B$5:$B$204&gt;$B600)*(B_Drainage!$F$5:$F$204&lt;&gt;"")),IF(B_Drainage!$F$5:$F$204="-","",1)),"")</f>
        <v/>
      </c>
      <c r="W600" s="181" t="str">
        <f>IFERROR(LOOKUP(2,1/((B_Drainage!$A$5:$A$204&lt;&gt;"")*(B_Drainage!$A$5:$A$204&lt;=$B600)*(B_Drainage!$B$5:$B$204&gt;$B600)*(B_Drainage!$F$5:$F$204&lt;&gt;"")),IF(B_Drainage!$F$5:$F$204="-","",B_Drainage!$F$5:$F$204)),"")</f>
        <v/>
      </c>
      <c r="X600" s="181" t="str">
        <f>IFERROR(LOOKUP(2,1/((B_Drainage!$A$5:$A$204&lt;&gt;"")*(B_Drainage!$A$5:$A$204&lt;=$B600)*(B_Drainage!$B$5:$B$204&gt;$B600)*(B_Drainage!$G$5:$G$204&lt;&gt;"")),IF(UPPER(B_Drainage!$G$5:$G$204)="Y",1,"")),"")</f>
        <v/>
      </c>
      <c r="Y600" s="181" t="str">
        <f>IFERROR(LOOKUP(2,1/((B_Drainage!$A$5:$A$204&lt;&gt;"")*(B_Drainage!$A$5:$A$204&lt;=$B600)*(B_Drainage!$B$5:$B$204&gt;$B600)*(B_Drainage!$H$5:$H$204&lt;&gt;"")),IF(UPPER(B_Drainage!$H$5:$H$204)="Y",1,"")),"")</f>
        <v/>
      </c>
      <c r="Z600" s="181" t="str">
        <f>IFERROR(LOOKUP(2,1/((B_Drainage!$A$5:$A$204&lt;&gt;"")*(B_Drainage!$A$5:$A$204&lt;=$B600)*(B_Drainage!$B$5:$B$204&gt;$B600)*(B_Drainage!$I$5:$I$204&lt;&gt;"")),IF(UPPER(B_Drainage!$I$5:$I$204)="Y",1,"")),"")</f>
        <v/>
      </c>
      <c r="AA600" s="181" t="str">
        <f>IFERROR(LOOKUP(2,1/((B_Drainage!$A$5:$A$204&lt;&gt;"")*(B_Drainage!$A$5:$A$204&lt;=$B600)*(B_Drainage!$B$5:$B$204&gt;$B600)*(B_Drainage!$J$5:$J$204&lt;&gt;"")),IF(UPPER(B_Drainage!$J$5:$J$204)="Y",1,"")),"")</f>
        <v/>
      </c>
      <c r="AB600" s="182" t="str">
        <f>IFERROR(LOOKUP(2,1/((B_Drainage!$A$5:$A$204&lt;&gt;"")*(B_Drainage!$A$5:$A$204&lt;=$B600)*(B_Drainage!$B$5:$B$204&gt;$B600)*(B_Drainage!$K$5:$K$204&lt;&gt;"")),IF(B_Drainage!$K$5:$K$204="-","",B_Drainage!$K$5:$K$204)),"")</f>
        <v/>
      </c>
      <c r="AC600" s="182" t="str">
        <f>IFERROR(LOOKUP(2,1/((B_Drainage!$A$5:$A$204&lt;&gt;"")*(B_Drainage!$A$5:$A$204&lt;=$B600)*(B_Drainage!$B$5:$B$204&gt;$B600)*(B_Drainage!$L$5:$L$204&lt;&gt;"")),IF(B_Drainage!$L$5:$L$204="-","",B_Drainage!$L$5:$L$204)),"")</f>
        <v/>
      </c>
      <c r="AD600" s="182" t="str">
        <f>IFERROR(LOOKUP(2,1/((D_Points!$A$5:$A$204&lt;&gt;"")*(D_Points!$A$5:$A$204&gt;=$B600)*(D_Points!$A$5:$A$204&lt;$B600+P_Interval)*(UPPER(TRIM(D_Points!$B$5:$B$204))="TURNOUT_L")*(D_Points!$H$5:$H$204&lt;&gt;"")),D_Points!$H$5:$H$204),"")</f>
        <v/>
      </c>
      <c r="AE600" s="182" t="str">
        <f>IFERROR(LOOKUP(2,1/((D_Points!$A$5:$A$204&lt;&gt;"")*(D_Points!$A$5:$A$204&gt;=$B600)*(D_Points!$A$5:$A$204&lt;$B600+P_Interval)*(UPPER(TRIM(D_Points!$B$5:$B$204))="TURNOUT_R")*(D_Points!$H$5:$H$204&lt;&gt;"")),D_Points!$H$5:$H$204),"")</f>
        <v/>
      </c>
      <c r="AF600" s="181" t="str">
        <f>IFERROR(LOOKUP(2,1/((B_Drainage!$A$5:$A$204&lt;&gt;"")*(B_Drainage!$A$5:$A$204&lt;=$B600)*(B_Drainage!$B$5:$B$204&gt;$B600)*(B_Drainage!$M$5:$M$204&lt;&gt;"")),IF(UPPER(B_Drainage!$M$5:$M$204)="Y",1,"")),"")</f>
        <v/>
      </c>
      <c r="AG600" s="181" t="str">
        <f>IFERROR(LOOKUP(2,1/((B_Drainage!$A$5:$A$204&lt;&gt;"")*(B_Drainage!$A$5:$A$204&lt;=$B600)*(B_Drainage!$B$5:$B$204&gt;$B600)*(B_Drainage!$N$5:$N$204&lt;&gt;"")),IF(UPPER(B_Drainage!$N$5:$N$204)="Y",1,"")),"")</f>
        <v/>
      </c>
      <c r="AH600" s="181" t="str">
        <f t="shared" si="72"/>
        <v/>
      </c>
      <c r="AI600" s="181" t="str">
        <f t="shared" si="73"/>
        <v/>
      </c>
      <c r="AJ600" s="181" t="str">
        <f t="shared" si="74"/>
        <v/>
      </c>
      <c r="AK600" s="181" t="str">
        <f t="shared" si="75"/>
        <v/>
      </c>
      <c r="AL600" s="181" t="str">
        <f t="shared" si="76"/>
        <v/>
      </c>
      <c r="AM600" s="181" t="str">
        <f t="shared" si="77"/>
        <v/>
      </c>
      <c r="AN600" s="181" t="str">
        <f t="shared" si="78"/>
        <v/>
      </c>
      <c r="AO600" s="192" t="str">
        <f t="shared" si="79"/>
        <v/>
      </c>
      <c r="AQ600" t="str">
        <f>IFERROR(LOOKUP(2,1/((C_Pavement!$A$5:$A$204&lt;&gt;"")*(C_Pavement!$A$5:$A$204&lt;=$B600)*(C_Pavement!$B$5:$B$204&gt;$B600)*(C_Pavement!$C$5:$C$204&lt;&gt;"")),ROW(C_Pavement!$C$5:$C$204)-4),"")</f>
        <v/>
      </c>
      <c r="AR600" t="str">
        <f>IF($AQ600="","",UPPER(TRIM(INDEX(C_Pavement!$C$5:$C$204,$AQ600))))</f>
        <v/>
      </c>
      <c r="AS600" t="str">
        <f>IF($AR600="","",IFERROR(MATCH($AR600,E_Rules!$A$5:$A$9,0),""))</f>
        <v/>
      </c>
      <c r="AT600" t="str">
        <f>IF($AQ600="","",IF(INDEX(C_Pavement!$D$5:$D$204,$AQ600)&lt;&gt;"",UPPER(TRIM(INDEX(C_Pavement!$D$5:$D$204,$AQ600))),IF($AS600="","",INDEX(E_Rules!$C$5:$C$9,$AS600))))</f>
        <v/>
      </c>
      <c r="AU600" t="str">
        <f>IF($AQ600="","",IF(INDEX(C_Pavement!$E$5:$E$204,$AQ600)&lt;&gt;"",IF(INDEX(C_Pavement!$E$5:$E$204,$AQ600)="-","",INDEX(C_Pavement!$E$5:$E$204,$AQ600)),IF($AS600="","",INDEX(E_Rules!$D$5:$D$9,$AS600))))</f>
        <v/>
      </c>
      <c r="AV600" t="str">
        <f>IF($AQ600="","",IF(INDEX(C_Pavement!$F$5:$F$204,$AQ600)&lt;&gt;"",IF(INDEX(C_Pavement!$F$5:$F$204,$AQ600)="-","",INDEX(C_Pavement!$F$5:$F$204,$AQ600)),IF($AS600="","",INDEX(E_Rules!$E$5:$E$9,$AS600))))</f>
        <v/>
      </c>
      <c r="AW600" t="str">
        <f>IF($AQ600="","",IF(INDEX(C_Pavement!$G$5:$G$204,$AQ600)&lt;&gt;"",IF(INDEX(C_Pavement!$G$5:$G$204,$AQ600)="-","",INDEX(C_Pavement!$G$5:$G$204,$AQ600)),IF($AS600="","",INDEX(E_Rules!$F$5:$F$9,$AS600))))</f>
        <v/>
      </c>
      <c r="AX600" t="str">
        <f>IF($AQ600="","",IF(INDEX(C_Pavement!$H$5:$H$204,$AQ600)&lt;&gt;"",IF(INDEX(C_Pavement!$H$5:$H$204,$AQ600)="-","",INDEX(C_Pavement!$H$5:$H$204,$AQ600)),IF($AS600="","",INDEX(E_Rules!$G$5:$G$9,$AS600))))</f>
        <v/>
      </c>
      <c r="AY600" t="str">
        <f>IF($AQ600="","",IF(INDEX(C_Pavement!$I$5:$I$204,$AQ600)&lt;&gt;"",IF(INDEX(C_Pavement!$I$5:$I$204,$AQ600)="-","",INDEX(C_Pavement!$I$5:$I$204,$AQ600)),IF($AS600="","",INDEX(E_Rules!$H$5:$H$9,$AS600))))</f>
        <v/>
      </c>
    </row>
    <row r="601" spans="1:51" ht="15.75" customHeight="1" x14ac:dyDescent="0.3">
      <c r="A601" s="189">
        <v>596</v>
      </c>
      <c r="B601" s="180">
        <v>29750</v>
      </c>
      <c r="C601" s="180" t="s">
        <v>907</v>
      </c>
      <c r="D601" s="181" t="str">
        <f>IFERROR(LOOKUP(2,1/((A_Corridor!$A$5:$A$204&lt;&gt;"")*(A_Corridor!$A$5:$A$204&lt;=$B601)*(A_Corridor!$B$5:$B$204&gt;$B601)*(A_Corridor!$C$5:$C$204&lt;&gt;"")),IF(UPPER(A_Corridor!$C$5:$C$204)="Y",1,"")),"")</f>
        <v/>
      </c>
      <c r="E601" s="181" t="str">
        <f>IFERROR(LOOKUP(2,1/((A_Corridor!$A$5:$A$204&lt;&gt;"")*(A_Corridor!$A$5:$A$204&lt;=$B601)*(A_Corridor!$B$5:$B$204&gt;$B601)*(A_Corridor!$D$5:$D$204&lt;&gt;"")),IF(A_Corridor!$D$5:$D$204="-","",UPPER(A_Corridor!$D$5:$D$204))),"")</f>
        <v/>
      </c>
      <c r="F601" s="181" t="str">
        <f>IFERROR(LOOKUP(2,1/((A_Corridor!$A$5:$A$204&lt;&gt;"")*(A_Corridor!$A$5:$A$204&lt;=$B601)*(A_Corridor!$B$5:$B$204&gt;$B601)*(A_Corridor!$E$5:$E$204&lt;&gt;"")),IF(A_Corridor!$E$5:$E$204="-","",1)),"")</f>
        <v/>
      </c>
      <c r="G601" s="182" t="str">
        <f>IFERROR(LOOKUP(2,1/((A_Corridor!$A$5:$A$204&lt;&gt;"")*(A_Corridor!$A$5:$A$204&lt;=$B601)*(A_Corridor!$B$5:$B$204&gt;$B601)*(A_Corridor!$E$5:$E$204&lt;&gt;"")),IF(A_Corridor!$E$5:$E$204="-","",A_Corridor!$E$5:$E$204)),"")</f>
        <v/>
      </c>
      <c r="H601" s="182" t="str">
        <f>IFERROR(LOOKUP(2,1/((D_Points!$A$5:$A$204&lt;&gt;"")*(D_Points!$A$5:$A$204&gt;=$B601)*(D_Points!$A$5:$A$204&lt;$B601+P_Interval)*(UPPER(TRIM(D_Points!$B$5:$B$204))="GULLY")*(D_Points!$H$5:$H$204&lt;&gt;"")),D_Points!$H$5:$H$204),"")</f>
        <v/>
      </c>
      <c r="I601" s="181" t="str">
        <f>IFERROR(LOOKUP(2,1/((A_Corridor!$A$5:$A$204&lt;&gt;"")*(A_Corridor!$A$5:$A$204&lt;=$B601)*(A_Corridor!$B$5:$B$204&gt;$B601)*(A_Corridor!$F$5:$F$204&lt;&gt;"")),IF(A_Corridor!$F$5:$F$204="-","",1)),"")</f>
        <v/>
      </c>
      <c r="J601" s="182" t="str">
        <f>IFERROR(LOOKUP(2,1/((A_Corridor!$A$5:$A$204&lt;&gt;"")*(A_Corridor!$A$5:$A$204&lt;=$B601)*(A_Corridor!$B$5:$B$204&gt;$B601)*(A_Corridor!$F$5:$F$204&lt;&gt;"")),IF(A_Corridor!$F$5:$F$204="-","",A_Corridor!$F$5:$F$204)),"")</f>
        <v/>
      </c>
      <c r="K601" s="182" t="str">
        <f>IFERROR(LOOKUP(2,1/((A_Corridor!$A$5:$A$204&lt;&gt;"")*(A_Corridor!$A$5:$A$204&lt;=$B601)*(A_Corridor!$B$5:$B$204&gt;$B601)*(A_Corridor!$G$5:$G$204&lt;&gt;"")),IF(A_Corridor!$G$5:$G$204="-","",A_Corridor!$G$5:$G$204)),"")</f>
        <v/>
      </c>
      <c r="L601" s="181" t="str">
        <f>IFERROR(LOOKUP(2,1/((A_Corridor!$A$5:$A$204&lt;&gt;"")*(A_Corridor!$A$5:$A$204&lt;=$B601)*(A_Corridor!$B$5:$B$204&gt;$B601)*(A_Corridor!$H$5:$H$204&lt;&gt;"")),IF(A_Corridor!$H$5:$H$204="-","",1)),"")</f>
        <v/>
      </c>
      <c r="M601" s="182" t="str">
        <f>IFERROR(LOOKUP(2,1/((A_Corridor!$A$5:$A$204&lt;&gt;"")*(A_Corridor!$A$5:$A$204&lt;=$B601)*(A_Corridor!$B$5:$B$204&gt;$B601)*(A_Corridor!$H$5:$H$204&lt;&gt;"")),IF(A_Corridor!$H$5:$H$204="-","",A_Corridor!$H$5:$H$204)),"")</f>
        <v/>
      </c>
      <c r="N601" s="182" t="str">
        <f>IFERROR(LOOKUP(2,1/((A_Corridor!$A$5:$A$204&lt;&gt;"")*(A_Corridor!$A$5:$A$204&lt;=$B601)*(A_Corridor!$B$5:$B$204&gt;$B601)*(A_Corridor!$I$5:$I$204&lt;&gt;"")),IF(A_Corridor!$I$5:$I$204="-","",A_Corridor!$I$5:$I$204)),"")</f>
        <v/>
      </c>
      <c r="O601" s="182" t="str">
        <f>IFERROR(LOOKUP(2,1/((D_Points!$A$5:$A$204&lt;&gt;"")*(D_Points!$A$5:$A$204&gt;=$B601)*(D_Points!$A$5:$A$204&lt;$B601+P_Interval)*(UPPER(TRIM(D_Points!$B$5:$B$204))="PITCHING")*(D_Points!$H$5:$H$204&lt;&gt;"")),D_Points!$H$5:$H$204),"")</f>
        <v/>
      </c>
      <c r="P601" s="181" t="str">
        <f>IFERROR(LOOKUP(2,1/((B_Drainage!$A$5:$A$204&lt;&gt;"")*(B_Drainage!$A$5:$A$204&lt;=$B601)*(B_Drainage!$B$5:$B$204&gt;$B601)*(B_Drainage!$C$5:$C$204&lt;&gt;"")),IF(B_Drainage!$C$5:$C$204="-","",UPPER(B_Drainage!$C$5:$C$204))),"")</f>
        <v/>
      </c>
      <c r="Q601" s="181" t="str">
        <f>IFERROR(LOOKUP(2,1/((B_Drainage!$A$5:$A$204&lt;&gt;"")*(B_Drainage!$A$5:$A$204&lt;=$B601)*(B_Drainage!$B$5:$B$204&gt;$B601)*(B_Drainage!$D$5:$D$204&lt;&gt;"")),IF(B_Drainage!$D$5:$D$204="-","",UPPER(B_Drainage!$D$5:$D$204))),"")</f>
        <v/>
      </c>
      <c r="R601" s="182" t="str">
        <f>IFERROR(LOOKUP(2,1/((D_Points!$A$5:$A$204&lt;&gt;"")*(D_Points!$A$5:$A$204&gt;=$B601)*(D_Points!$A$5:$A$204&lt;$B601+P_Interval)*(RIGHT(UPPER(TRIM(D_Points!$B$5:$B$204)),8)="_CULVERT")),IF(LEFT(UPPER(TRIM(D_Points!$B$5:$B$204)),2)="EX",1,IF(LEFT(UPPER(TRIM(D_Points!$B$5:$B$204)),2)="PR",2,3))),"")</f>
        <v/>
      </c>
      <c r="S601" s="182" t="str">
        <f>IFERROR(LOOKUP(2,1/((D_Points!$A$5:$A$204&lt;&gt;"")*(D_Points!$A$5:$A$204&gt;=$B601)*(D_Points!$A$5:$A$204&lt;$B601+P_Interval)*(RIGHT(UPPER(TRIM(D_Points!$B$5:$B$204)),7)="_BRIDGE")),IF(LEFT(UPPER(TRIM(D_Points!$B$5:$B$204)),2)="EX",1,IF(LEFT(UPPER(TRIM(D_Points!$B$5:$B$204)),2)="PR",2,2))),"")</f>
        <v/>
      </c>
      <c r="T601" s="181" t="str">
        <f>IFERROR(LOOKUP(2,1/((B_Drainage!$A$5:$A$204&lt;&gt;"")*(B_Drainage!$A$5:$A$204&lt;=$B601)*(B_Drainage!$B$5:$B$204&gt;$B601)*(B_Drainage!$E$5:$E$204&lt;&gt;"")),IF(B_Drainage!$E$5:$E$204="-","",1)),"")</f>
        <v/>
      </c>
      <c r="U601" s="181" t="str">
        <f>IFERROR(LOOKUP(2,1/((B_Drainage!$A$5:$A$204&lt;&gt;"")*(B_Drainage!$A$5:$A$204&lt;=$B601)*(B_Drainage!$B$5:$B$204&gt;$B601)*(B_Drainage!$E$5:$E$204&lt;&gt;"")),IF(B_Drainage!$E$5:$E$204="-","",B_Drainage!$E$5:$E$204)),"")</f>
        <v/>
      </c>
      <c r="V601" s="181" t="str">
        <f>IFERROR(LOOKUP(2,1/((B_Drainage!$A$5:$A$204&lt;&gt;"")*(B_Drainage!$A$5:$A$204&lt;=$B601)*(B_Drainage!$B$5:$B$204&gt;$B601)*(B_Drainage!$F$5:$F$204&lt;&gt;"")),IF(B_Drainage!$F$5:$F$204="-","",1)),"")</f>
        <v/>
      </c>
      <c r="W601" s="181" t="str">
        <f>IFERROR(LOOKUP(2,1/((B_Drainage!$A$5:$A$204&lt;&gt;"")*(B_Drainage!$A$5:$A$204&lt;=$B601)*(B_Drainage!$B$5:$B$204&gt;$B601)*(B_Drainage!$F$5:$F$204&lt;&gt;"")),IF(B_Drainage!$F$5:$F$204="-","",B_Drainage!$F$5:$F$204)),"")</f>
        <v/>
      </c>
      <c r="X601" s="181" t="str">
        <f>IFERROR(LOOKUP(2,1/((B_Drainage!$A$5:$A$204&lt;&gt;"")*(B_Drainage!$A$5:$A$204&lt;=$B601)*(B_Drainage!$B$5:$B$204&gt;$B601)*(B_Drainage!$G$5:$G$204&lt;&gt;"")),IF(UPPER(B_Drainage!$G$5:$G$204)="Y",1,"")),"")</f>
        <v/>
      </c>
      <c r="Y601" s="181" t="str">
        <f>IFERROR(LOOKUP(2,1/((B_Drainage!$A$5:$A$204&lt;&gt;"")*(B_Drainage!$A$5:$A$204&lt;=$B601)*(B_Drainage!$B$5:$B$204&gt;$B601)*(B_Drainage!$H$5:$H$204&lt;&gt;"")),IF(UPPER(B_Drainage!$H$5:$H$204)="Y",1,"")),"")</f>
        <v/>
      </c>
      <c r="Z601" s="181" t="str">
        <f>IFERROR(LOOKUP(2,1/((B_Drainage!$A$5:$A$204&lt;&gt;"")*(B_Drainage!$A$5:$A$204&lt;=$B601)*(B_Drainage!$B$5:$B$204&gt;$B601)*(B_Drainage!$I$5:$I$204&lt;&gt;"")),IF(UPPER(B_Drainage!$I$5:$I$204)="Y",1,"")),"")</f>
        <v/>
      </c>
      <c r="AA601" s="181" t="str">
        <f>IFERROR(LOOKUP(2,1/((B_Drainage!$A$5:$A$204&lt;&gt;"")*(B_Drainage!$A$5:$A$204&lt;=$B601)*(B_Drainage!$B$5:$B$204&gt;$B601)*(B_Drainage!$J$5:$J$204&lt;&gt;"")),IF(UPPER(B_Drainage!$J$5:$J$204)="Y",1,"")),"")</f>
        <v/>
      </c>
      <c r="AB601" s="182" t="str">
        <f>IFERROR(LOOKUP(2,1/((B_Drainage!$A$5:$A$204&lt;&gt;"")*(B_Drainage!$A$5:$A$204&lt;=$B601)*(B_Drainage!$B$5:$B$204&gt;$B601)*(B_Drainage!$K$5:$K$204&lt;&gt;"")),IF(B_Drainage!$K$5:$K$204="-","",B_Drainage!$K$5:$K$204)),"")</f>
        <v/>
      </c>
      <c r="AC601" s="182" t="str">
        <f>IFERROR(LOOKUP(2,1/((B_Drainage!$A$5:$A$204&lt;&gt;"")*(B_Drainage!$A$5:$A$204&lt;=$B601)*(B_Drainage!$B$5:$B$204&gt;$B601)*(B_Drainage!$L$5:$L$204&lt;&gt;"")),IF(B_Drainage!$L$5:$L$204="-","",B_Drainage!$L$5:$L$204)),"")</f>
        <v/>
      </c>
      <c r="AD601" s="182" t="str">
        <f>IFERROR(LOOKUP(2,1/((D_Points!$A$5:$A$204&lt;&gt;"")*(D_Points!$A$5:$A$204&gt;=$B601)*(D_Points!$A$5:$A$204&lt;$B601+P_Interval)*(UPPER(TRIM(D_Points!$B$5:$B$204))="TURNOUT_L")*(D_Points!$H$5:$H$204&lt;&gt;"")),D_Points!$H$5:$H$204),"")</f>
        <v/>
      </c>
      <c r="AE601" s="182" t="str">
        <f>IFERROR(LOOKUP(2,1/((D_Points!$A$5:$A$204&lt;&gt;"")*(D_Points!$A$5:$A$204&gt;=$B601)*(D_Points!$A$5:$A$204&lt;$B601+P_Interval)*(UPPER(TRIM(D_Points!$B$5:$B$204))="TURNOUT_R")*(D_Points!$H$5:$H$204&lt;&gt;"")),D_Points!$H$5:$H$204),"")</f>
        <v/>
      </c>
      <c r="AF601" s="181" t="str">
        <f>IFERROR(LOOKUP(2,1/((B_Drainage!$A$5:$A$204&lt;&gt;"")*(B_Drainage!$A$5:$A$204&lt;=$B601)*(B_Drainage!$B$5:$B$204&gt;$B601)*(B_Drainage!$M$5:$M$204&lt;&gt;"")),IF(UPPER(B_Drainage!$M$5:$M$204)="Y",1,"")),"")</f>
        <v/>
      </c>
      <c r="AG601" s="181" t="str">
        <f>IFERROR(LOOKUP(2,1/((B_Drainage!$A$5:$A$204&lt;&gt;"")*(B_Drainage!$A$5:$A$204&lt;=$B601)*(B_Drainage!$B$5:$B$204&gt;$B601)*(B_Drainage!$N$5:$N$204&lt;&gt;"")),IF(UPPER(B_Drainage!$N$5:$N$204)="Y",1,"")),"")</f>
        <v/>
      </c>
      <c r="AH601" s="181" t="str">
        <f t="shared" si="72"/>
        <v/>
      </c>
      <c r="AI601" s="181" t="str">
        <f t="shared" si="73"/>
        <v/>
      </c>
      <c r="AJ601" s="181" t="str">
        <f t="shared" si="74"/>
        <v/>
      </c>
      <c r="AK601" s="181" t="str">
        <f t="shared" si="75"/>
        <v/>
      </c>
      <c r="AL601" s="181" t="str">
        <f t="shared" si="76"/>
        <v/>
      </c>
      <c r="AM601" s="181" t="str">
        <f t="shared" si="77"/>
        <v/>
      </c>
      <c r="AN601" s="181" t="str">
        <f t="shared" si="78"/>
        <v/>
      </c>
      <c r="AO601" s="192" t="str">
        <f t="shared" si="79"/>
        <v/>
      </c>
      <c r="AQ601" t="str">
        <f>IFERROR(LOOKUP(2,1/((C_Pavement!$A$5:$A$204&lt;&gt;"")*(C_Pavement!$A$5:$A$204&lt;=$B601)*(C_Pavement!$B$5:$B$204&gt;$B601)*(C_Pavement!$C$5:$C$204&lt;&gt;"")),ROW(C_Pavement!$C$5:$C$204)-4),"")</f>
        <v/>
      </c>
      <c r="AR601" t="str">
        <f>IF($AQ601="","",UPPER(TRIM(INDEX(C_Pavement!$C$5:$C$204,$AQ601))))</f>
        <v/>
      </c>
      <c r="AS601" t="str">
        <f>IF($AR601="","",IFERROR(MATCH($AR601,E_Rules!$A$5:$A$9,0),""))</f>
        <v/>
      </c>
      <c r="AT601" t="str">
        <f>IF($AQ601="","",IF(INDEX(C_Pavement!$D$5:$D$204,$AQ601)&lt;&gt;"",UPPER(TRIM(INDEX(C_Pavement!$D$5:$D$204,$AQ601))),IF($AS601="","",INDEX(E_Rules!$C$5:$C$9,$AS601))))</f>
        <v/>
      </c>
      <c r="AU601" t="str">
        <f>IF($AQ601="","",IF(INDEX(C_Pavement!$E$5:$E$204,$AQ601)&lt;&gt;"",IF(INDEX(C_Pavement!$E$5:$E$204,$AQ601)="-","",INDEX(C_Pavement!$E$5:$E$204,$AQ601)),IF($AS601="","",INDEX(E_Rules!$D$5:$D$9,$AS601))))</f>
        <v/>
      </c>
      <c r="AV601" t="str">
        <f>IF($AQ601="","",IF(INDEX(C_Pavement!$F$5:$F$204,$AQ601)&lt;&gt;"",IF(INDEX(C_Pavement!$F$5:$F$204,$AQ601)="-","",INDEX(C_Pavement!$F$5:$F$204,$AQ601)),IF($AS601="","",INDEX(E_Rules!$E$5:$E$9,$AS601))))</f>
        <v/>
      </c>
      <c r="AW601" t="str">
        <f>IF($AQ601="","",IF(INDEX(C_Pavement!$G$5:$G$204,$AQ601)&lt;&gt;"",IF(INDEX(C_Pavement!$G$5:$G$204,$AQ601)="-","",INDEX(C_Pavement!$G$5:$G$204,$AQ601)),IF($AS601="","",INDEX(E_Rules!$F$5:$F$9,$AS601))))</f>
        <v/>
      </c>
      <c r="AX601" t="str">
        <f>IF($AQ601="","",IF(INDEX(C_Pavement!$H$5:$H$204,$AQ601)&lt;&gt;"",IF(INDEX(C_Pavement!$H$5:$H$204,$AQ601)="-","",INDEX(C_Pavement!$H$5:$H$204,$AQ601)),IF($AS601="","",INDEX(E_Rules!$G$5:$G$9,$AS601))))</f>
        <v/>
      </c>
      <c r="AY601" t="str">
        <f>IF($AQ601="","",IF(INDEX(C_Pavement!$I$5:$I$204,$AQ601)&lt;&gt;"",IF(INDEX(C_Pavement!$I$5:$I$204,$AQ601)="-","",INDEX(C_Pavement!$I$5:$I$204,$AQ601)),IF($AS601="","",INDEX(E_Rules!$H$5:$H$9,$AS601))))</f>
        <v/>
      </c>
    </row>
    <row r="602" spans="1:51" ht="15.75" customHeight="1" x14ac:dyDescent="0.3">
      <c r="A602" s="189">
        <v>597</v>
      </c>
      <c r="B602" s="180">
        <v>29800</v>
      </c>
      <c r="C602" s="180" t="s">
        <v>908</v>
      </c>
      <c r="D602" s="181" t="str">
        <f>IFERROR(LOOKUP(2,1/((A_Corridor!$A$5:$A$204&lt;&gt;"")*(A_Corridor!$A$5:$A$204&lt;=$B602)*(A_Corridor!$B$5:$B$204&gt;$B602)*(A_Corridor!$C$5:$C$204&lt;&gt;"")),IF(UPPER(A_Corridor!$C$5:$C$204)="Y",1,"")),"")</f>
        <v/>
      </c>
      <c r="E602" s="181" t="str">
        <f>IFERROR(LOOKUP(2,1/((A_Corridor!$A$5:$A$204&lt;&gt;"")*(A_Corridor!$A$5:$A$204&lt;=$B602)*(A_Corridor!$B$5:$B$204&gt;$B602)*(A_Corridor!$D$5:$D$204&lt;&gt;"")),IF(A_Corridor!$D$5:$D$204="-","",UPPER(A_Corridor!$D$5:$D$204))),"")</f>
        <v/>
      </c>
      <c r="F602" s="181" t="str">
        <f>IFERROR(LOOKUP(2,1/((A_Corridor!$A$5:$A$204&lt;&gt;"")*(A_Corridor!$A$5:$A$204&lt;=$B602)*(A_Corridor!$B$5:$B$204&gt;$B602)*(A_Corridor!$E$5:$E$204&lt;&gt;"")),IF(A_Corridor!$E$5:$E$204="-","",1)),"")</f>
        <v/>
      </c>
      <c r="G602" s="182" t="str">
        <f>IFERROR(LOOKUP(2,1/((A_Corridor!$A$5:$A$204&lt;&gt;"")*(A_Corridor!$A$5:$A$204&lt;=$B602)*(A_Corridor!$B$5:$B$204&gt;$B602)*(A_Corridor!$E$5:$E$204&lt;&gt;"")),IF(A_Corridor!$E$5:$E$204="-","",A_Corridor!$E$5:$E$204)),"")</f>
        <v/>
      </c>
      <c r="H602" s="182" t="str">
        <f>IFERROR(LOOKUP(2,1/((D_Points!$A$5:$A$204&lt;&gt;"")*(D_Points!$A$5:$A$204&gt;=$B602)*(D_Points!$A$5:$A$204&lt;$B602+P_Interval)*(UPPER(TRIM(D_Points!$B$5:$B$204))="GULLY")*(D_Points!$H$5:$H$204&lt;&gt;"")),D_Points!$H$5:$H$204),"")</f>
        <v/>
      </c>
      <c r="I602" s="181" t="str">
        <f>IFERROR(LOOKUP(2,1/((A_Corridor!$A$5:$A$204&lt;&gt;"")*(A_Corridor!$A$5:$A$204&lt;=$B602)*(A_Corridor!$B$5:$B$204&gt;$B602)*(A_Corridor!$F$5:$F$204&lt;&gt;"")),IF(A_Corridor!$F$5:$F$204="-","",1)),"")</f>
        <v/>
      </c>
      <c r="J602" s="182" t="str">
        <f>IFERROR(LOOKUP(2,1/((A_Corridor!$A$5:$A$204&lt;&gt;"")*(A_Corridor!$A$5:$A$204&lt;=$B602)*(A_Corridor!$B$5:$B$204&gt;$B602)*(A_Corridor!$F$5:$F$204&lt;&gt;"")),IF(A_Corridor!$F$5:$F$204="-","",A_Corridor!$F$5:$F$204)),"")</f>
        <v/>
      </c>
      <c r="K602" s="182" t="str">
        <f>IFERROR(LOOKUP(2,1/((A_Corridor!$A$5:$A$204&lt;&gt;"")*(A_Corridor!$A$5:$A$204&lt;=$B602)*(A_Corridor!$B$5:$B$204&gt;$B602)*(A_Corridor!$G$5:$G$204&lt;&gt;"")),IF(A_Corridor!$G$5:$G$204="-","",A_Corridor!$G$5:$G$204)),"")</f>
        <v/>
      </c>
      <c r="L602" s="181" t="str">
        <f>IFERROR(LOOKUP(2,1/((A_Corridor!$A$5:$A$204&lt;&gt;"")*(A_Corridor!$A$5:$A$204&lt;=$B602)*(A_Corridor!$B$5:$B$204&gt;$B602)*(A_Corridor!$H$5:$H$204&lt;&gt;"")),IF(A_Corridor!$H$5:$H$204="-","",1)),"")</f>
        <v/>
      </c>
      <c r="M602" s="182" t="str">
        <f>IFERROR(LOOKUP(2,1/((A_Corridor!$A$5:$A$204&lt;&gt;"")*(A_Corridor!$A$5:$A$204&lt;=$B602)*(A_Corridor!$B$5:$B$204&gt;$B602)*(A_Corridor!$H$5:$H$204&lt;&gt;"")),IF(A_Corridor!$H$5:$H$204="-","",A_Corridor!$H$5:$H$204)),"")</f>
        <v/>
      </c>
      <c r="N602" s="182" t="str">
        <f>IFERROR(LOOKUP(2,1/((A_Corridor!$A$5:$A$204&lt;&gt;"")*(A_Corridor!$A$5:$A$204&lt;=$B602)*(A_Corridor!$B$5:$B$204&gt;$B602)*(A_Corridor!$I$5:$I$204&lt;&gt;"")),IF(A_Corridor!$I$5:$I$204="-","",A_Corridor!$I$5:$I$204)),"")</f>
        <v/>
      </c>
      <c r="O602" s="182" t="str">
        <f>IFERROR(LOOKUP(2,1/((D_Points!$A$5:$A$204&lt;&gt;"")*(D_Points!$A$5:$A$204&gt;=$B602)*(D_Points!$A$5:$A$204&lt;$B602+P_Interval)*(UPPER(TRIM(D_Points!$B$5:$B$204))="PITCHING")*(D_Points!$H$5:$H$204&lt;&gt;"")),D_Points!$H$5:$H$204),"")</f>
        <v/>
      </c>
      <c r="P602" s="181" t="str">
        <f>IFERROR(LOOKUP(2,1/((B_Drainage!$A$5:$A$204&lt;&gt;"")*(B_Drainage!$A$5:$A$204&lt;=$B602)*(B_Drainage!$B$5:$B$204&gt;$B602)*(B_Drainage!$C$5:$C$204&lt;&gt;"")),IF(B_Drainage!$C$5:$C$204="-","",UPPER(B_Drainage!$C$5:$C$204))),"")</f>
        <v/>
      </c>
      <c r="Q602" s="181" t="str">
        <f>IFERROR(LOOKUP(2,1/((B_Drainage!$A$5:$A$204&lt;&gt;"")*(B_Drainage!$A$5:$A$204&lt;=$B602)*(B_Drainage!$B$5:$B$204&gt;$B602)*(B_Drainage!$D$5:$D$204&lt;&gt;"")),IF(B_Drainage!$D$5:$D$204="-","",UPPER(B_Drainage!$D$5:$D$204))),"")</f>
        <v/>
      </c>
      <c r="R602" s="182" t="str">
        <f>IFERROR(LOOKUP(2,1/((D_Points!$A$5:$A$204&lt;&gt;"")*(D_Points!$A$5:$A$204&gt;=$B602)*(D_Points!$A$5:$A$204&lt;$B602+P_Interval)*(RIGHT(UPPER(TRIM(D_Points!$B$5:$B$204)),8)="_CULVERT")),IF(LEFT(UPPER(TRIM(D_Points!$B$5:$B$204)),2)="EX",1,IF(LEFT(UPPER(TRIM(D_Points!$B$5:$B$204)),2)="PR",2,3))),"")</f>
        <v/>
      </c>
      <c r="S602" s="182" t="str">
        <f>IFERROR(LOOKUP(2,1/((D_Points!$A$5:$A$204&lt;&gt;"")*(D_Points!$A$5:$A$204&gt;=$B602)*(D_Points!$A$5:$A$204&lt;$B602+P_Interval)*(RIGHT(UPPER(TRIM(D_Points!$B$5:$B$204)),7)="_BRIDGE")),IF(LEFT(UPPER(TRIM(D_Points!$B$5:$B$204)),2)="EX",1,IF(LEFT(UPPER(TRIM(D_Points!$B$5:$B$204)),2)="PR",2,2))),"")</f>
        <v/>
      </c>
      <c r="T602" s="181" t="str">
        <f>IFERROR(LOOKUP(2,1/((B_Drainage!$A$5:$A$204&lt;&gt;"")*(B_Drainage!$A$5:$A$204&lt;=$B602)*(B_Drainage!$B$5:$B$204&gt;$B602)*(B_Drainage!$E$5:$E$204&lt;&gt;"")),IF(B_Drainage!$E$5:$E$204="-","",1)),"")</f>
        <v/>
      </c>
      <c r="U602" s="181" t="str">
        <f>IFERROR(LOOKUP(2,1/((B_Drainage!$A$5:$A$204&lt;&gt;"")*(B_Drainage!$A$5:$A$204&lt;=$B602)*(B_Drainage!$B$5:$B$204&gt;$B602)*(B_Drainage!$E$5:$E$204&lt;&gt;"")),IF(B_Drainage!$E$5:$E$204="-","",B_Drainage!$E$5:$E$204)),"")</f>
        <v/>
      </c>
      <c r="V602" s="181" t="str">
        <f>IFERROR(LOOKUP(2,1/((B_Drainage!$A$5:$A$204&lt;&gt;"")*(B_Drainage!$A$5:$A$204&lt;=$B602)*(B_Drainage!$B$5:$B$204&gt;$B602)*(B_Drainage!$F$5:$F$204&lt;&gt;"")),IF(B_Drainage!$F$5:$F$204="-","",1)),"")</f>
        <v/>
      </c>
      <c r="W602" s="181" t="str">
        <f>IFERROR(LOOKUP(2,1/((B_Drainage!$A$5:$A$204&lt;&gt;"")*(B_Drainage!$A$5:$A$204&lt;=$B602)*(B_Drainage!$B$5:$B$204&gt;$B602)*(B_Drainage!$F$5:$F$204&lt;&gt;"")),IF(B_Drainage!$F$5:$F$204="-","",B_Drainage!$F$5:$F$204)),"")</f>
        <v/>
      </c>
      <c r="X602" s="181" t="str">
        <f>IFERROR(LOOKUP(2,1/((B_Drainage!$A$5:$A$204&lt;&gt;"")*(B_Drainage!$A$5:$A$204&lt;=$B602)*(B_Drainage!$B$5:$B$204&gt;$B602)*(B_Drainage!$G$5:$G$204&lt;&gt;"")),IF(UPPER(B_Drainage!$G$5:$G$204)="Y",1,"")),"")</f>
        <v/>
      </c>
      <c r="Y602" s="181" t="str">
        <f>IFERROR(LOOKUP(2,1/((B_Drainage!$A$5:$A$204&lt;&gt;"")*(B_Drainage!$A$5:$A$204&lt;=$B602)*(B_Drainage!$B$5:$B$204&gt;$B602)*(B_Drainage!$H$5:$H$204&lt;&gt;"")),IF(UPPER(B_Drainage!$H$5:$H$204)="Y",1,"")),"")</f>
        <v/>
      </c>
      <c r="Z602" s="181" t="str">
        <f>IFERROR(LOOKUP(2,1/((B_Drainage!$A$5:$A$204&lt;&gt;"")*(B_Drainage!$A$5:$A$204&lt;=$B602)*(B_Drainage!$B$5:$B$204&gt;$B602)*(B_Drainage!$I$5:$I$204&lt;&gt;"")),IF(UPPER(B_Drainage!$I$5:$I$204)="Y",1,"")),"")</f>
        <v/>
      </c>
      <c r="AA602" s="181" t="str">
        <f>IFERROR(LOOKUP(2,1/((B_Drainage!$A$5:$A$204&lt;&gt;"")*(B_Drainage!$A$5:$A$204&lt;=$B602)*(B_Drainage!$B$5:$B$204&gt;$B602)*(B_Drainage!$J$5:$J$204&lt;&gt;"")),IF(UPPER(B_Drainage!$J$5:$J$204)="Y",1,"")),"")</f>
        <v/>
      </c>
      <c r="AB602" s="182" t="str">
        <f>IFERROR(LOOKUP(2,1/((B_Drainage!$A$5:$A$204&lt;&gt;"")*(B_Drainage!$A$5:$A$204&lt;=$B602)*(B_Drainage!$B$5:$B$204&gt;$B602)*(B_Drainage!$K$5:$K$204&lt;&gt;"")),IF(B_Drainage!$K$5:$K$204="-","",B_Drainage!$K$5:$K$204)),"")</f>
        <v/>
      </c>
      <c r="AC602" s="182" t="str">
        <f>IFERROR(LOOKUP(2,1/((B_Drainage!$A$5:$A$204&lt;&gt;"")*(B_Drainage!$A$5:$A$204&lt;=$B602)*(B_Drainage!$B$5:$B$204&gt;$B602)*(B_Drainage!$L$5:$L$204&lt;&gt;"")),IF(B_Drainage!$L$5:$L$204="-","",B_Drainage!$L$5:$L$204)),"")</f>
        <v/>
      </c>
      <c r="AD602" s="182" t="str">
        <f>IFERROR(LOOKUP(2,1/((D_Points!$A$5:$A$204&lt;&gt;"")*(D_Points!$A$5:$A$204&gt;=$B602)*(D_Points!$A$5:$A$204&lt;$B602+P_Interval)*(UPPER(TRIM(D_Points!$B$5:$B$204))="TURNOUT_L")*(D_Points!$H$5:$H$204&lt;&gt;"")),D_Points!$H$5:$H$204),"")</f>
        <v/>
      </c>
      <c r="AE602" s="182" t="str">
        <f>IFERROR(LOOKUP(2,1/((D_Points!$A$5:$A$204&lt;&gt;"")*(D_Points!$A$5:$A$204&gt;=$B602)*(D_Points!$A$5:$A$204&lt;$B602+P_Interval)*(UPPER(TRIM(D_Points!$B$5:$B$204))="TURNOUT_R")*(D_Points!$H$5:$H$204&lt;&gt;"")),D_Points!$H$5:$H$204),"")</f>
        <v/>
      </c>
      <c r="AF602" s="181" t="str">
        <f>IFERROR(LOOKUP(2,1/((B_Drainage!$A$5:$A$204&lt;&gt;"")*(B_Drainage!$A$5:$A$204&lt;=$B602)*(B_Drainage!$B$5:$B$204&gt;$B602)*(B_Drainage!$M$5:$M$204&lt;&gt;"")),IF(UPPER(B_Drainage!$M$5:$M$204)="Y",1,"")),"")</f>
        <v/>
      </c>
      <c r="AG602" s="181" t="str">
        <f>IFERROR(LOOKUP(2,1/((B_Drainage!$A$5:$A$204&lt;&gt;"")*(B_Drainage!$A$5:$A$204&lt;=$B602)*(B_Drainage!$B$5:$B$204&gt;$B602)*(B_Drainage!$N$5:$N$204&lt;&gt;"")),IF(UPPER(B_Drainage!$N$5:$N$204)="Y",1,"")),"")</f>
        <v/>
      </c>
      <c r="AH602" s="181" t="str">
        <f t="shared" si="72"/>
        <v/>
      </c>
      <c r="AI602" s="181" t="str">
        <f t="shared" si="73"/>
        <v/>
      </c>
      <c r="AJ602" s="181" t="str">
        <f t="shared" si="74"/>
        <v/>
      </c>
      <c r="AK602" s="181" t="str">
        <f t="shared" si="75"/>
        <v/>
      </c>
      <c r="AL602" s="181" t="str">
        <f t="shared" si="76"/>
        <v/>
      </c>
      <c r="AM602" s="181" t="str">
        <f t="shared" si="77"/>
        <v/>
      </c>
      <c r="AN602" s="181" t="str">
        <f t="shared" si="78"/>
        <v/>
      </c>
      <c r="AO602" s="192" t="str">
        <f t="shared" si="79"/>
        <v/>
      </c>
      <c r="AQ602" t="str">
        <f>IFERROR(LOOKUP(2,1/((C_Pavement!$A$5:$A$204&lt;&gt;"")*(C_Pavement!$A$5:$A$204&lt;=$B602)*(C_Pavement!$B$5:$B$204&gt;$B602)*(C_Pavement!$C$5:$C$204&lt;&gt;"")),ROW(C_Pavement!$C$5:$C$204)-4),"")</f>
        <v/>
      </c>
      <c r="AR602" t="str">
        <f>IF($AQ602="","",UPPER(TRIM(INDEX(C_Pavement!$C$5:$C$204,$AQ602))))</f>
        <v/>
      </c>
      <c r="AS602" t="str">
        <f>IF($AR602="","",IFERROR(MATCH($AR602,E_Rules!$A$5:$A$9,0),""))</f>
        <v/>
      </c>
      <c r="AT602" t="str">
        <f>IF($AQ602="","",IF(INDEX(C_Pavement!$D$5:$D$204,$AQ602)&lt;&gt;"",UPPER(TRIM(INDEX(C_Pavement!$D$5:$D$204,$AQ602))),IF($AS602="","",INDEX(E_Rules!$C$5:$C$9,$AS602))))</f>
        <v/>
      </c>
      <c r="AU602" t="str">
        <f>IF($AQ602="","",IF(INDEX(C_Pavement!$E$5:$E$204,$AQ602)&lt;&gt;"",IF(INDEX(C_Pavement!$E$5:$E$204,$AQ602)="-","",INDEX(C_Pavement!$E$5:$E$204,$AQ602)),IF($AS602="","",INDEX(E_Rules!$D$5:$D$9,$AS602))))</f>
        <v/>
      </c>
      <c r="AV602" t="str">
        <f>IF($AQ602="","",IF(INDEX(C_Pavement!$F$5:$F$204,$AQ602)&lt;&gt;"",IF(INDEX(C_Pavement!$F$5:$F$204,$AQ602)="-","",INDEX(C_Pavement!$F$5:$F$204,$AQ602)),IF($AS602="","",INDEX(E_Rules!$E$5:$E$9,$AS602))))</f>
        <v/>
      </c>
      <c r="AW602" t="str">
        <f>IF($AQ602="","",IF(INDEX(C_Pavement!$G$5:$G$204,$AQ602)&lt;&gt;"",IF(INDEX(C_Pavement!$G$5:$G$204,$AQ602)="-","",INDEX(C_Pavement!$G$5:$G$204,$AQ602)),IF($AS602="","",INDEX(E_Rules!$F$5:$F$9,$AS602))))</f>
        <v/>
      </c>
      <c r="AX602" t="str">
        <f>IF($AQ602="","",IF(INDEX(C_Pavement!$H$5:$H$204,$AQ602)&lt;&gt;"",IF(INDEX(C_Pavement!$H$5:$H$204,$AQ602)="-","",INDEX(C_Pavement!$H$5:$H$204,$AQ602)),IF($AS602="","",INDEX(E_Rules!$G$5:$G$9,$AS602))))</f>
        <v/>
      </c>
      <c r="AY602" t="str">
        <f>IF($AQ602="","",IF(INDEX(C_Pavement!$I$5:$I$204,$AQ602)&lt;&gt;"",IF(INDEX(C_Pavement!$I$5:$I$204,$AQ602)="-","",INDEX(C_Pavement!$I$5:$I$204,$AQ602)),IF($AS602="","",INDEX(E_Rules!$H$5:$H$9,$AS602))))</f>
        <v/>
      </c>
    </row>
    <row r="603" spans="1:51" ht="15.75" customHeight="1" x14ac:dyDescent="0.3">
      <c r="A603" s="189">
        <v>598</v>
      </c>
      <c r="B603" s="180">
        <v>29850</v>
      </c>
      <c r="C603" s="180" t="s">
        <v>909</v>
      </c>
      <c r="D603" s="181" t="str">
        <f>IFERROR(LOOKUP(2,1/((A_Corridor!$A$5:$A$204&lt;&gt;"")*(A_Corridor!$A$5:$A$204&lt;=$B603)*(A_Corridor!$B$5:$B$204&gt;$B603)*(A_Corridor!$C$5:$C$204&lt;&gt;"")),IF(UPPER(A_Corridor!$C$5:$C$204)="Y",1,"")),"")</f>
        <v/>
      </c>
      <c r="E603" s="181" t="str">
        <f>IFERROR(LOOKUP(2,1/((A_Corridor!$A$5:$A$204&lt;&gt;"")*(A_Corridor!$A$5:$A$204&lt;=$B603)*(A_Corridor!$B$5:$B$204&gt;$B603)*(A_Corridor!$D$5:$D$204&lt;&gt;"")),IF(A_Corridor!$D$5:$D$204="-","",UPPER(A_Corridor!$D$5:$D$204))),"")</f>
        <v/>
      </c>
      <c r="F603" s="181" t="str">
        <f>IFERROR(LOOKUP(2,1/((A_Corridor!$A$5:$A$204&lt;&gt;"")*(A_Corridor!$A$5:$A$204&lt;=$B603)*(A_Corridor!$B$5:$B$204&gt;$B603)*(A_Corridor!$E$5:$E$204&lt;&gt;"")),IF(A_Corridor!$E$5:$E$204="-","",1)),"")</f>
        <v/>
      </c>
      <c r="G603" s="182" t="str">
        <f>IFERROR(LOOKUP(2,1/((A_Corridor!$A$5:$A$204&lt;&gt;"")*(A_Corridor!$A$5:$A$204&lt;=$B603)*(A_Corridor!$B$5:$B$204&gt;$B603)*(A_Corridor!$E$5:$E$204&lt;&gt;"")),IF(A_Corridor!$E$5:$E$204="-","",A_Corridor!$E$5:$E$204)),"")</f>
        <v/>
      </c>
      <c r="H603" s="182" t="str">
        <f>IFERROR(LOOKUP(2,1/((D_Points!$A$5:$A$204&lt;&gt;"")*(D_Points!$A$5:$A$204&gt;=$B603)*(D_Points!$A$5:$A$204&lt;$B603+P_Interval)*(UPPER(TRIM(D_Points!$B$5:$B$204))="GULLY")*(D_Points!$H$5:$H$204&lt;&gt;"")),D_Points!$H$5:$H$204),"")</f>
        <v/>
      </c>
      <c r="I603" s="181" t="str">
        <f>IFERROR(LOOKUP(2,1/((A_Corridor!$A$5:$A$204&lt;&gt;"")*(A_Corridor!$A$5:$A$204&lt;=$B603)*(A_Corridor!$B$5:$B$204&gt;$B603)*(A_Corridor!$F$5:$F$204&lt;&gt;"")),IF(A_Corridor!$F$5:$F$204="-","",1)),"")</f>
        <v/>
      </c>
      <c r="J603" s="182" t="str">
        <f>IFERROR(LOOKUP(2,1/((A_Corridor!$A$5:$A$204&lt;&gt;"")*(A_Corridor!$A$5:$A$204&lt;=$B603)*(A_Corridor!$B$5:$B$204&gt;$B603)*(A_Corridor!$F$5:$F$204&lt;&gt;"")),IF(A_Corridor!$F$5:$F$204="-","",A_Corridor!$F$5:$F$204)),"")</f>
        <v/>
      </c>
      <c r="K603" s="182" t="str">
        <f>IFERROR(LOOKUP(2,1/((A_Corridor!$A$5:$A$204&lt;&gt;"")*(A_Corridor!$A$5:$A$204&lt;=$B603)*(A_Corridor!$B$5:$B$204&gt;$B603)*(A_Corridor!$G$5:$G$204&lt;&gt;"")),IF(A_Corridor!$G$5:$G$204="-","",A_Corridor!$G$5:$G$204)),"")</f>
        <v/>
      </c>
      <c r="L603" s="181" t="str">
        <f>IFERROR(LOOKUP(2,1/((A_Corridor!$A$5:$A$204&lt;&gt;"")*(A_Corridor!$A$5:$A$204&lt;=$B603)*(A_Corridor!$B$5:$B$204&gt;$B603)*(A_Corridor!$H$5:$H$204&lt;&gt;"")),IF(A_Corridor!$H$5:$H$204="-","",1)),"")</f>
        <v/>
      </c>
      <c r="M603" s="182" t="str">
        <f>IFERROR(LOOKUP(2,1/((A_Corridor!$A$5:$A$204&lt;&gt;"")*(A_Corridor!$A$5:$A$204&lt;=$B603)*(A_Corridor!$B$5:$B$204&gt;$B603)*(A_Corridor!$H$5:$H$204&lt;&gt;"")),IF(A_Corridor!$H$5:$H$204="-","",A_Corridor!$H$5:$H$204)),"")</f>
        <v/>
      </c>
      <c r="N603" s="182" t="str">
        <f>IFERROR(LOOKUP(2,1/((A_Corridor!$A$5:$A$204&lt;&gt;"")*(A_Corridor!$A$5:$A$204&lt;=$B603)*(A_Corridor!$B$5:$B$204&gt;$B603)*(A_Corridor!$I$5:$I$204&lt;&gt;"")),IF(A_Corridor!$I$5:$I$204="-","",A_Corridor!$I$5:$I$204)),"")</f>
        <v/>
      </c>
      <c r="O603" s="182" t="str">
        <f>IFERROR(LOOKUP(2,1/((D_Points!$A$5:$A$204&lt;&gt;"")*(D_Points!$A$5:$A$204&gt;=$B603)*(D_Points!$A$5:$A$204&lt;$B603+P_Interval)*(UPPER(TRIM(D_Points!$B$5:$B$204))="PITCHING")*(D_Points!$H$5:$H$204&lt;&gt;"")),D_Points!$H$5:$H$204),"")</f>
        <v/>
      </c>
      <c r="P603" s="181" t="str">
        <f>IFERROR(LOOKUP(2,1/((B_Drainage!$A$5:$A$204&lt;&gt;"")*(B_Drainage!$A$5:$A$204&lt;=$B603)*(B_Drainage!$B$5:$B$204&gt;$B603)*(B_Drainage!$C$5:$C$204&lt;&gt;"")),IF(B_Drainage!$C$5:$C$204="-","",UPPER(B_Drainage!$C$5:$C$204))),"")</f>
        <v/>
      </c>
      <c r="Q603" s="181" t="str">
        <f>IFERROR(LOOKUP(2,1/((B_Drainage!$A$5:$A$204&lt;&gt;"")*(B_Drainage!$A$5:$A$204&lt;=$B603)*(B_Drainage!$B$5:$B$204&gt;$B603)*(B_Drainage!$D$5:$D$204&lt;&gt;"")),IF(B_Drainage!$D$5:$D$204="-","",UPPER(B_Drainage!$D$5:$D$204))),"")</f>
        <v/>
      </c>
      <c r="R603" s="182" t="str">
        <f>IFERROR(LOOKUP(2,1/((D_Points!$A$5:$A$204&lt;&gt;"")*(D_Points!$A$5:$A$204&gt;=$B603)*(D_Points!$A$5:$A$204&lt;$B603+P_Interval)*(RIGHT(UPPER(TRIM(D_Points!$B$5:$B$204)),8)="_CULVERT")),IF(LEFT(UPPER(TRIM(D_Points!$B$5:$B$204)),2)="EX",1,IF(LEFT(UPPER(TRIM(D_Points!$B$5:$B$204)),2)="PR",2,3))),"")</f>
        <v/>
      </c>
      <c r="S603" s="182" t="str">
        <f>IFERROR(LOOKUP(2,1/((D_Points!$A$5:$A$204&lt;&gt;"")*(D_Points!$A$5:$A$204&gt;=$B603)*(D_Points!$A$5:$A$204&lt;$B603+P_Interval)*(RIGHT(UPPER(TRIM(D_Points!$B$5:$B$204)),7)="_BRIDGE")),IF(LEFT(UPPER(TRIM(D_Points!$B$5:$B$204)),2)="EX",1,IF(LEFT(UPPER(TRIM(D_Points!$B$5:$B$204)),2)="PR",2,2))),"")</f>
        <v/>
      </c>
      <c r="T603" s="181" t="str">
        <f>IFERROR(LOOKUP(2,1/((B_Drainage!$A$5:$A$204&lt;&gt;"")*(B_Drainage!$A$5:$A$204&lt;=$B603)*(B_Drainage!$B$5:$B$204&gt;$B603)*(B_Drainage!$E$5:$E$204&lt;&gt;"")),IF(B_Drainage!$E$5:$E$204="-","",1)),"")</f>
        <v/>
      </c>
      <c r="U603" s="181" t="str">
        <f>IFERROR(LOOKUP(2,1/((B_Drainage!$A$5:$A$204&lt;&gt;"")*(B_Drainage!$A$5:$A$204&lt;=$B603)*(B_Drainage!$B$5:$B$204&gt;$B603)*(B_Drainage!$E$5:$E$204&lt;&gt;"")),IF(B_Drainage!$E$5:$E$204="-","",B_Drainage!$E$5:$E$204)),"")</f>
        <v/>
      </c>
      <c r="V603" s="181" t="str">
        <f>IFERROR(LOOKUP(2,1/((B_Drainage!$A$5:$A$204&lt;&gt;"")*(B_Drainage!$A$5:$A$204&lt;=$B603)*(B_Drainage!$B$5:$B$204&gt;$B603)*(B_Drainage!$F$5:$F$204&lt;&gt;"")),IF(B_Drainage!$F$5:$F$204="-","",1)),"")</f>
        <v/>
      </c>
      <c r="W603" s="181" t="str">
        <f>IFERROR(LOOKUP(2,1/((B_Drainage!$A$5:$A$204&lt;&gt;"")*(B_Drainage!$A$5:$A$204&lt;=$B603)*(B_Drainage!$B$5:$B$204&gt;$B603)*(B_Drainage!$F$5:$F$204&lt;&gt;"")),IF(B_Drainage!$F$5:$F$204="-","",B_Drainage!$F$5:$F$204)),"")</f>
        <v/>
      </c>
      <c r="X603" s="181" t="str">
        <f>IFERROR(LOOKUP(2,1/((B_Drainage!$A$5:$A$204&lt;&gt;"")*(B_Drainage!$A$5:$A$204&lt;=$B603)*(B_Drainage!$B$5:$B$204&gt;$B603)*(B_Drainage!$G$5:$G$204&lt;&gt;"")),IF(UPPER(B_Drainage!$G$5:$G$204)="Y",1,"")),"")</f>
        <v/>
      </c>
      <c r="Y603" s="181" t="str">
        <f>IFERROR(LOOKUP(2,1/((B_Drainage!$A$5:$A$204&lt;&gt;"")*(B_Drainage!$A$5:$A$204&lt;=$B603)*(B_Drainage!$B$5:$B$204&gt;$B603)*(B_Drainage!$H$5:$H$204&lt;&gt;"")),IF(UPPER(B_Drainage!$H$5:$H$204)="Y",1,"")),"")</f>
        <v/>
      </c>
      <c r="Z603" s="181" t="str">
        <f>IFERROR(LOOKUP(2,1/((B_Drainage!$A$5:$A$204&lt;&gt;"")*(B_Drainage!$A$5:$A$204&lt;=$B603)*(B_Drainage!$B$5:$B$204&gt;$B603)*(B_Drainage!$I$5:$I$204&lt;&gt;"")),IF(UPPER(B_Drainage!$I$5:$I$204)="Y",1,"")),"")</f>
        <v/>
      </c>
      <c r="AA603" s="181" t="str">
        <f>IFERROR(LOOKUP(2,1/((B_Drainage!$A$5:$A$204&lt;&gt;"")*(B_Drainage!$A$5:$A$204&lt;=$B603)*(B_Drainage!$B$5:$B$204&gt;$B603)*(B_Drainage!$J$5:$J$204&lt;&gt;"")),IF(UPPER(B_Drainage!$J$5:$J$204)="Y",1,"")),"")</f>
        <v/>
      </c>
      <c r="AB603" s="182" t="str">
        <f>IFERROR(LOOKUP(2,1/((B_Drainage!$A$5:$A$204&lt;&gt;"")*(B_Drainage!$A$5:$A$204&lt;=$B603)*(B_Drainage!$B$5:$B$204&gt;$B603)*(B_Drainage!$K$5:$K$204&lt;&gt;"")),IF(B_Drainage!$K$5:$K$204="-","",B_Drainage!$K$5:$K$204)),"")</f>
        <v/>
      </c>
      <c r="AC603" s="182" t="str">
        <f>IFERROR(LOOKUP(2,1/((B_Drainage!$A$5:$A$204&lt;&gt;"")*(B_Drainage!$A$5:$A$204&lt;=$B603)*(B_Drainage!$B$5:$B$204&gt;$B603)*(B_Drainage!$L$5:$L$204&lt;&gt;"")),IF(B_Drainage!$L$5:$L$204="-","",B_Drainage!$L$5:$L$204)),"")</f>
        <v/>
      </c>
      <c r="AD603" s="182" t="str">
        <f>IFERROR(LOOKUP(2,1/((D_Points!$A$5:$A$204&lt;&gt;"")*(D_Points!$A$5:$A$204&gt;=$B603)*(D_Points!$A$5:$A$204&lt;$B603+P_Interval)*(UPPER(TRIM(D_Points!$B$5:$B$204))="TURNOUT_L")*(D_Points!$H$5:$H$204&lt;&gt;"")),D_Points!$H$5:$H$204),"")</f>
        <v/>
      </c>
      <c r="AE603" s="182" t="str">
        <f>IFERROR(LOOKUP(2,1/((D_Points!$A$5:$A$204&lt;&gt;"")*(D_Points!$A$5:$A$204&gt;=$B603)*(D_Points!$A$5:$A$204&lt;$B603+P_Interval)*(UPPER(TRIM(D_Points!$B$5:$B$204))="TURNOUT_R")*(D_Points!$H$5:$H$204&lt;&gt;"")),D_Points!$H$5:$H$204),"")</f>
        <v/>
      </c>
      <c r="AF603" s="181" t="str">
        <f>IFERROR(LOOKUP(2,1/((B_Drainage!$A$5:$A$204&lt;&gt;"")*(B_Drainage!$A$5:$A$204&lt;=$B603)*(B_Drainage!$B$5:$B$204&gt;$B603)*(B_Drainage!$M$5:$M$204&lt;&gt;"")),IF(UPPER(B_Drainage!$M$5:$M$204)="Y",1,"")),"")</f>
        <v/>
      </c>
      <c r="AG603" s="181" t="str">
        <f>IFERROR(LOOKUP(2,1/((B_Drainage!$A$5:$A$204&lt;&gt;"")*(B_Drainage!$A$5:$A$204&lt;=$B603)*(B_Drainage!$B$5:$B$204&gt;$B603)*(B_Drainage!$N$5:$N$204&lt;&gt;"")),IF(UPPER(B_Drainage!$N$5:$N$204)="Y",1,"")),"")</f>
        <v/>
      </c>
      <c r="AH603" s="181" t="str">
        <f t="shared" si="72"/>
        <v/>
      </c>
      <c r="AI603" s="181" t="str">
        <f t="shared" si="73"/>
        <v/>
      </c>
      <c r="AJ603" s="181" t="str">
        <f t="shared" si="74"/>
        <v/>
      </c>
      <c r="AK603" s="181" t="str">
        <f t="shared" si="75"/>
        <v/>
      </c>
      <c r="AL603" s="181" t="str">
        <f t="shared" si="76"/>
        <v/>
      </c>
      <c r="AM603" s="181" t="str">
        <f t="shared" si="77"/>
        <v/>
      </c>
      <c r="AN603" s="181" t="str">
        <f t="shared" si="78"/>
        <v/>
      </c>
      <c r="AO603" s="192" t="str">
        <f t="shared" si="79"/>
        <v/>
      </c>
      <c r="AQ603" t="str">
        <f>IFERROR(LOOKUP(2,1/((C_Pavement!$A$5:$A$204&lt;&gt;"")*(C_Pavement!$A$5:$A$204&lt;=$B603)*(C_Pavement!$B$5:$B$204&gt;$B603)*(C_Pavement!$C$5:$C$204&lt;&gt;"")),ROW(C_Pavement!$C$5:$C$204)-4),"")</f>
        <v/>
      </c>
      <c r="AR603" t="str">
        <f>IF($AQ603="","",UPPER(TRIM(INDEX(C_Pavement!$C$5:$C$204,$AQ603))))</f>
        <v/>
      </c>
      <c r="AS603" t="str">
        <f>IF($AR603="","",IFERROR(MATCH($AR603,E_Rules!$A$5:$A$9,0),""))</f>
        <v/>
      </c>
      <c r="AT603" t="str">
        <f>IF($AQ603="","",IF(INDEX(C_Pavement!$D$5:$D$204,$AQ603)&lt;&gt;"",UPPER(TRIM(INDEX(C_Pavement!$D$5:$D$204,$AQ603))),IF($AS603="","",INDEX(E_Rules!$C$5:$C$9,$AS603))))</f>
        <v/>
      </c>
      <c r="AU603" t="str">
        <f>IF($AQ603="","",IF(INDEX(C_Pavement!$E$5:$E$204,$AQ603)&lt;&gt;"",IF(INDEX(C_Pavement!$E$5:$E$204,$AQ603)="-","",INDEX(C_Pavement!$E$5:$E$204,$AQ603)),IF($AS603="","",INDEX(E_Rules!$D$5:$D$9,$AS603))))</f>
        <v/>
      </c>
      <c r="AV603" t="str">
        <f>IF($AQ603="","",IF(INDEX(C_Pavement!$F$5:$F$204,$AQ603)&lt;&gt;"",IF(INDEX(C_Pavement!$F$5:$F$204,$AQ603)="-","",INDEX(C_Pavement!$F$5:$F$204,$AQ603)),IF($AS603="","",INDEX(E_Rules!$E$5:$E$9,$AS603))))</f>
        <v/>
      </c>
      <c r="AW603" t="str">
        <f>IF($AQ603="","",IF(INDEX(C_Pavement!$G$5:$G$204,$AQ603)&lt;&gt;"",IF(INDEX(C_Pavement!$G$5:$G$204,$AQ603)="-","",INDEX(C_Pavement!$G$5:$G$204,$AQ603)),IF($AS603="","",INDEX(E_Rules!$F$5:$F$9,$AS603))))</f>
        <v/>
      </c>
      <c r="AX603" t="str">
        <f>IF($AQ603="","",IF(INDEX(C_Pavement!$H$5:$H$204,$AQ603)&lt;&gt;"",IF(INDEX(C_Pavement!$H$5:$H$204,$AQ603)="-","",INDEX(C_Pavement!$H$5:$H$204,$AQ603)),IF($AS603="","",INDEX(E_Rules!$G$5:$G$9,$AS603))))</f>
        <v/>
      </c>
      <c r="AY603" t="str">
        <f>IF($AQ603="","",IF(INDEX(C_Pavement!$I$5:$I$204,$AQ603)&lt;&gt;"",IF(INDEX(C_Pavement!$I$5:$I$204,$AQ603)="-","",INDEX(C_Pavement!$I$5:$I$204,$AQ603)),IF($AS603="","",INDEX(E_Rules!$H$5:$H$9,$AS603))))</f>
        <v/>
      </c>
    </row>
    <row r="604" spans="1:51" ht="15.75" customHeight="1" x14ac:dyDescent="0.3">
      <c r="A604" s="189">
        <v>599</v>
      </c>
      <c r="B604" s="180">
        <v>29900</v>
      </c>
      <c r="C604" s="180" t="s">
        <v>910</v>
      </c>
      <c r="D604" s="181" t="str">
        <f>IFERROR(LOOKUP(2,1/((A_Corridor!$A$5:$A$204&lt;&gt;"")*(A_Corridor!$A$5:$A$204&lt;=$B604)*(A_Corridor!$B$5:$B$204&gt;$B604)*(A_Corridor!$C$5:$C$204&lt;&gt;"")),IF(UPPER(A_Corridor!$C$5:$C$204)="Y",1,"")),"")</f>
        <v/>
      </c>
      <c r="E604" s="181" t="str">
        <f>IFERROR(LOOKUP(2,1/((A_Corridor!$A$5:$A$204&lt;&gt;"")*(A_Corridor!$A$5:$A$204&lt;=$B604)*(A_Corridor!$B$5:$B$204&gt;$B604)*(A_Corridor!$D$5:$D$204&lt;&gt;"")),IF(A_Corridor!$D$5:$D$204="-","",UPPER(A_Corridor!$D$5:$D$204))),"")</f>
        <v/>
      </c>
      <c r="F604" s="181" t="str">
        <f>IFERROR(LOOKUP(2,1/((A_Corridor!$A$5:$A$204&lt;&gt;"")*(A_Corridor!$A$5:$A$204&lt;=$B604)*(A_Corridor!$B$5:$B$204&gt;$B604)*(A_Corridor!$E$5:$E$204&lt;&gt;"")),IF(A_Corridor!$E$5:$E$204="-","",1)),"")</f>
        <v/>
      </c>
      <c r="G604" s="182" t="str">
        <f>IFERROR(LOOKUP(2,1/((A_Corridor!$A$5:$A$204&lt;&gt;"")*(A_Corridor!$A$5:$A$204&lt;=$B604)*(A_Corridor!$B$5:$B$204&gt;$B604)*(A_Corridor!$E$5:$E$204&lt;&gt;"")),IF(A_Corridor!$E$5:$E$204="-","",A_Corridor!$E$5:$E$204)),"")</f>
        <v/>
      </c>
      <c r="H604" s="182" t="str">
        <f>IFERROR(LOOKUP(2,1/((D_Points!$A$5:$A$204&lt;&gt;"")*(D_Points!$A$5:$A$204&gt;=$B604)*(D_Points!$A$5:$A$204&lt;$B604+P_Interval)*(UPPER(TRIM(D_Points!$B$5:$B$204))="GULLY")*(D_Points!$H$5:$H$204&lt;&gt;"")),D_Points!$H$5:$H$204),"")</f>
        <v/>
      </c>
      <c r="I604" s="181" t="str">
        <f>IFERROR(LOOKUP(2,1/((A_Corridor!$A$5:$A$204&lt;&gt;"")*(A_Corridor!$A$5:$A$204&lt;=$B604)*(A_Corridor!$B$5:$B$204&gt;$B604)*(A_Corridor!$F$5:$F$204&lt;&gt;"")),IF(A_Corridor!$F$5:$F$204="-","",1)),"")</f>
        <v/>
      </c>
      <c r="J604" s="182" t="str">
        <f>IFERROR(LOOKUP(2,1/((A_Corridor!$A$5:$A$204&lt;&gt;"")*(A_Corridor!$A$5:$A$204&lt;=$B604)*(A_Corridor!$B$5:$B$204&gt;$B604)*(A_Corridor!$F$5:$F$204&lt;&gt;"")),IF(A_Corridor!$F$5:$F$204="-","",A_Corridor!$F$5:$F$204)),"")</f>
        <v/>
      </c>
      <c r="K604" s="182" t="str">
        <f>IFERROR(LOOKUP(2,1/((A_Corridor!$A$5:$A$204&lt;&gt;"")*(A_Corridor!$A$5:$A$204&lt;=$B604)*(A_Corridor!$B$5:$B$204&gt;$B604)*(A_Corridor!$G$5:$G$204&lt;&gt;"")),IF(A_Corridor!$G$5:$G$204="-","",A_Corridor!$G$5:$G$204)),"")</f>
        <v/>
      </c>
      <c r="L604" s="181" t="str">
        <f>IFERROR(LOOKUP(2,1/((A_Corridor!$A$5:$A$204&lt;&gt;"")*(A_Corridor!$A$5:$A$204&lt;=$B604)*(A_Corridor!$B$5:$B$204&gt;$B604)*(A_Corridor!$H$5:$H$204&lt;&gt;"")),IF(A_Corridor!$H$5:$H$204="-","",1)),"")</f>
        <v/>
      </c>
      <c r="M604" s="182" t="str">
        <f>IFERROR(LOOKUP(2,1/((A_Corridor!$A$5:$A$204&lt;&gt;"")*(A_Corridor!$A$5:$A$204&lt;=$B604)*(A_Corridor!$B$5:$B$204&gt;$B604)*(A_Corridor!$H$5:$H$204&lt;&gt;"")),IF(A_Corridor!$H$5:$H$204="-","",A_Corridor!$H$5:$H$204)),"")</f>
        <v/>
      </c>
      <c r="N604" s="182" t="str">
        <f>IFERROR(LOOKUP(2,1/((A_Corridor!$A$5:$A$204&lt;&gt;"")*(A_Corridor!$A$5:$A$204&lt;=$B604)*(A_Corridor!$B$5:$B$204&gt;$B604)*(A_Corridor!$I$5:$I$204&lt;&gt;"")),IF(A_Corridor!$I$5:$I$204="-","",A_Corridor!$I$5:$I$204)),"")</f>
        <v/>
      </c>
      <c r="O604" s="182" t="str">
        <f>IFERROR(LOOKUP(2,1/((D_Points!$A$5:$A$204&lt;&gt;"")*(D_Points!$A$5:$A$204&gt;=$B604)*(D_Points!$A$5:$A$204&lt;$B604+P_Interval)*(UPPER(TRIM(D_Points!$B$5:$B$204))="PITCHING")*(D_Points!$H$5:$H$204&lt;&gt;"")),D_Points!$H$5:$H$204),"")</f>
        <v/>
      </c>
      <c r="P604" s="181" t="str">
        <f>IFERROR(LOOKUP(2,1/((B_Drainage!$A$5:$A$204&lt;&gt;"")*(B_Drainage!$A$5:$A$204&lt;=$B604)*(B_Drainage!$B$5:$B$204&gt;$B604)*(B_Drainage!$C$5:$C$204&lt;&gt;"")),IF(B_Drainage!$C$5:$C$204="-","",UPPER(B_Drainage!$C$5:$C$204))),"")</f>
        <v/>
      </c>
      <c r="Q604" s="181" t="str">
        <f>IFERROR(LOOKUP(2,1/((B_Drainage!$A$5:$A$204&lt;&gt;"")*(B_Drainage!$A$5:$A$204&lt;=$B604)*(B_Drainage!$B$5:$B$204&gt;$B604)*(B_Drainage!$D$5:$D$204&lt;&gt;"")),IF(B_Drainage!$D$5:$D$204="-","",UPPER(B_Drainage!$D$5:$D$204))),"")</f>
        <v/>
      </c>
      <c r="R604" s="182" t="str">
        <f>IFERROR(LOOKUP(2,1/((D_Points!$A$5:$A$204&lt;&gt;"")*(D_Points!$A$5:$A$204&gt;=$B604)*(D_Points!$A$5:$A$204&lt;$B604+P_Interval)*(RIGHT(UPPER(TRIM(D_Points!$B$5:$B$204)),8)="_CULVERT")),IF(LEFT(UPPER(TRIM(D_Points!$B$5:$B$204)),2)="EX",1,IF(LEFT(UPPER(TRIM(D_Points!$B$5:$B$204)),2)="PR",2,3))),"")</f>
        <v/>
      </c>
      <c r="S604" s="182" t="str">
        <f>IFERROR(LOOKUP(2,1/((D_Points!$A$5:$A$204&lt;&gt;"")*(D_Points!$A$5:$A$204&gt;=$B604)*(D_Points!$A$5:$A$204&lt;$B604+P_Interval)*(RIGHT(UPPER(TRIM(D_Points!$B$5:$B$204)),7)="_BRIDGE")),IF(LEFT(UPPER(TRIM(D_Points!$B$5:$B$204)),2)="EX",1,IF(LEFT(UPPER(TRIM(D_Points!$B$5:$B$204)),2)="PR",2,2))),"")</f>
        <v/>
      </c>
      <c r="T604" s="181" t="str">
        <f>IFERROR(LOOKUP(2,1/((B_Drainage!$A$5:$A$204&lt;&gt;"")*(B_Drainage!$A$5:$A$204&lt;=$B604)*(B_Drainage!$B$5:$B$204&gt;$B604)*(B_Drainage!$E$5:$E$204&lt;&gt;"")),IF(B_Drainage!$E$5:$E$204="-","",1)),"")</f>
        <v/>
      </c>
      <c r="U604" s="181" t="str">
        <f>IFERROR(LOOKUP(2,1/((B_Drainage!$A$5:$A$204&lt;&gt;"")*(B_Drainage!$A$5:$A$204&lt;=$B604)*(B_Drainage!$B$5:$B$204&gt;$B604)*(B_Drainage!$E$5:$E$204&lt;&gt;"")),IF(B_Drainage!$E$5:$E$204="-","",B_Drainage!$E$5:$E$204)),"")</f>
        <v/>
      </c>
      <c r="V604" s="181" t="str">
        <f>IFERROR(LOOKUP(2,1/((B_Drainage!$A$5:$A$204&lt;&gt;"")*(B_Drainage!$A$5:$A$204&lt;=$B604)*(B_Drainage!$B$5:$B$204&gt;$B604)*(B_Drainage!$F$5:$F$204&lt;&gt;"")),IF(B_Drainage!$F$5:$F$204="-","",1)),"")</f>
        <v/>
      </c>
      <c r="W604" s="181" t="str">
        <f>IFERROR(LOOKUP(2,1/((B_Drainage!$A$5:$A$204&lt;&gt;"")*(B_Drainage!$A$5:$A$204&lt;=$B604)*(B_Drainage!$B$5:$B$204&gt;$B604)*(B_Drainage!$F$5:$F$204&lt;&gt;"")),IF(B_Drainage!$F$5:$F$204="-","",B_Drainage!$F$5:$F$204)),"")</f>
        <v/>
      </c>
      <c r="X604" s="181" t="str">
        <f>IFERROR(LOOKUP(2,1/((B_Drainage!$A$5:$A$204&lt;&gt;"")*(B_Drainage!$A$5:$A$204&lt;=$B604)*(B_Drainage!$B$5:$B$204&gt;$B604)*(B_Drainage!$G$5:$G$204&lt;&gt;"")),IF(UPPER(B_Drainage!$G$5:$G$204)="Y",1,"")),"")</f>
        <v/>
      </c>
      <c r="Y604" s="181" t="str">
        <f>IFERROR(LOOKUP(2,1/((B_Drainage!$A$5:$A$204&lt;&gt;"")*(B_Drainage!$A$5:$A$204&lt;=$B604)*(B_Drainage!$B$5:$B$204&gt;$B604)*(B_Drainage!$H$5:$H$204&lt;&gt;"")),IF(UPPER(B_Drainage!$H$5:$H$204)="Y",1,"")),"")</f>
        <v/>
      </c>
      <c r="Z604" s="181" t="str">
        <f>IFERROR(LOOKUP(2,1/((B_Drainage!$A$5:$A$204&lt;&gt;"")*(B_Drainage!$A$5:$A$204&lt;=$B604)*(B_Drainage!$B$5:$B$204&gt;$B604)*(B_Drainage!$I$5:$I$204&lt;&gt;"")),IF(UPPER(B_Drainage!$I$5:$I$204)="Y",1,"")),"")</f>
        <v/>
      </c>
      <c r="AA604" s="181" t="str">
        <f>IFERROR(LOOKUP(2,1/((B_Drainage!$A$5:$A$204&lt;&gt;"")*(B_Drainage!$A$5:$A$204&lt;=$B604)*(B_Drainage!$B$5:$B$204&gt;$B604)*(B_Drainage!$J$5:$J$204&lt;&gt;"")),IF(UPPER(B_Drainage!$J$5:$J$204)="Y",1,"")),"")</f>
        <v/>
      </c>
      <c r="AB604" s="182" t="str">
        <f>IFERROR(LOOKUP(2,1/((B_Drainage!$A$5:$A$204&lt;&gt;"")*(B_Drainage!$A$5:$A$204&lt;=$B604)*(B_Drainage!$B$5:$B$204&gt;$B604)*(B_Drainage!$K$5:$K$204&lt;&gt;"")),IF(B_Drainage!$K$5:$K$204="-","",B_Drainage!$K$5:$K$204)),"")</f>
        <v/>
      </c>
      <c r="AC604" s="182" t="str">
        <f>IFERROR(LOOKUP(2,1/((B_Drainage!$A$5:$A$204&lt;&gt;"")*(B_Drainage!$A$5:$A$204&lt;=$B604)*(B_Drainage!$B$5:$B$204&gt;$B604)*(B_Drainage!$L$5:$L$204&lt;&gt;"")),IF(B_Drainage!$L$5:$L$204="-","",B_Drainage!$L$5:$L$204)),"")</f>
        <v/>
      </c>
      <c r="AD604" s="182" t="str">
        <f>IFERROR(LOOKUP(2,1/((D_Points!$A$5:$A$204&lt;&gt;"")*(D_Points!$A$5:$A$204&gt;=$B604)*(D_Points!$A$5:$A$204&lt;$B604+P_Interval)*(UPPER(TRIM(D_Points!$B$5:$B$204))="TURNOUT_L")*(D_Points!$H$5:$H$204&lt;&gt;"")),D_Points!$H$5:$H$204),"")</f>
        <v/>
      </c>
      <c r="AE604" s="182" t="str">
        <f>IFERROR(LOOKUP(2,1/((D_Points!$A$5:$A$204&lt;&gt;"")*(D_Points!$A$5:$A$204&gt;=$B604)*(D_Points!$A$5:$A$204&lt;$B604+P_Interval)*(UPPER(TRIM(D_Points!$B$5:$B$204))="TURNOUT_R")*(D_Points!$H$5:$H$204&lt;&gt;"")),D_Points!$H$5:$H$204),"")</f>
        <v/>
      </c>
      <c r="AF604" s="181" t="str">
        <f>IFERROR(LOOKUP(2,1/((B_Drainage!$A$5:$A$204&lt;&gt;"")*(B_Drainage!$A$5:$A$204&lt;=$B604)*(B_Drainage!$B$5:$B$204&gt;$B604)*(B_Drainage!$M$5:$M$204&lt;&gt;"")),IF(UPPER(B_Drainage!$M$5:$M$204)="Y",1,"")),"")</f>
        <v/>
      </c>
      <c r="AG604" s="181" t="str">
        <f>IFERROR(LOOKUP(2,1/((B_Drainage!$A$5:$A$204&lt;&gt;"")*(B_Drainage!$A$5:$A$204&lt;=$B604)*(B_Drainage!$B$5:$B$204&gt;$B604)*(B_Drainage!$N$5:$N$204&lt;&gt;"")),IF(UPPER(B_Drainage!$N$5:$N$204)="Y",1,"")),"")</f>
        <v/>
      </c>
      <c r="AH604" s="181" t="str">
        <f t="shared" si="72"/>
        <v/>
      </c>
      <c r="AI604" s="181" t="str">
        <f t="shared" si="73"/>
        <v/>
      </c>
      <c r="AJ604" s="181" t="str">
        <f t="shared" si="74"/>
        <v/>
      </c>
      <c r="AK604" s="181" t="str">
        <f t="shared" si="75"/>
        <v/>
      </c>
      <c r="AL604" s="181" t="str">
        <f t="shared" si="76"/>
        <v/>
      </c>
      <c r="AM604" s="181" t="str">
        <f t="shared" si="77"/>
        <v/>
      </c>
      <c r="AN604" s="181" t="str">
        <f t="shared" si="78"/>
        <v/>
      </c>
      <c r="AO604" s="192" t="str">
        <f t="shared" si="79"/>
        <v/>
      </c>
      <c r="AQ604" t="str">
        <f>IFERROR(LOOKUP(2,1/((C_Pavement!$A$5:$A$204&lt;&gt;"")*(C_Pavement!$A$5:$A$204&lt;=$B604)*(C_Pavement!$B$5:$B$204&gt;$B604)*(C_Pavement!$C$5:$C$204&lt;&gt;"")),ROW(C_Pavement!$C$5:$C$204)-4),"")</f>
        <v/>
      </c>
      <c r="AR604" t="str">
        <f>IF($AQ604="","",UPPER(TRIM(INDEX(C_Pavement!$C$5:$C$204,$AQ604))))</f>
        <v/>
      </c>
      <c r="AS604" t="str">
        <f>IF($AR604="","",IFERROR(MATCH($AR604,E_Rules!$A$5:$A$9,0),""))</f>
        <v/>
      </c>
      <c r="AT604" t="str">
        <f>IF($AQ604="","",IF(INDEX(C_Pavement!$D$5:$D$204,$AQ604)&lt;&gt;"",UPPER(TRIM(INDEX(C_Pavement!$D$5:$D$204,$AQ604))),IF($AS604="","",INDEX(E_Rules!$C$5:$C$9,$AS604))))</f>
        <v/>
      </c>
      <c r="AU604" t="str">
        <f>IF($AQ604="","",IF(INDEX(C_Pavement!$E$5:$E$204,$AQ604)&lt;&gt;"",IF(INDEX(C_Pavement!$E$5:$E$204,$AQ604)="-","",INDEX(C_Pavement!$E$5:$E$204,$AQ604)),IF($AS604="","",INDEX(E_Rules!$D$5:$D$9,$AS604))))</f>
        <v/>
      </c>
      <c r="AV604" t="str">
        <f>IF($AQ604="","",IF(INDEX(C_Pavement!$F$5:$F$204,$AQ604)&lt;&gt;"",IF(INDEX(C_Pavement!$F$5:$F$204,$AQ604)="-","",INDEX(C_Pavement!$F$5:$F$204,$AQ604)),IF($AS604="","",INDEX(E_Rules!$E$5:$E$9,$AS604))))</f>
        <v/>
      </c>
      <c r="AW604" t="str">
        <f>IF($AQ604="","",IF(INDEX(C_Pavement!$G$5:$G$204,$AQ604)&lt;&gt;"",IF(INDEX(C_Pavement!$G$5:$G$204,$AQ604)="-","",INDEX(C_Pavement!$G$5:$G$204,$AQ604)),IF($AS604="","",INDEX(E_Rules!$F$5:$F$9,$AS604))))</f>
        <v/>
      </c>
      <c r="AX604" t="str">
        <f>IF($AQ604="","",IF(INDEX(C_Pavement!$H$5:$H$204,$AQ604)&lt;&gt;"",IF(INDEX(C_Pavement!$H$5:$H$204,$AQ604)="-","",INDEX(C_Pavement!$H$5:$H$204,$AQ604)),IF($AS604="","",INDEX(E_Rules!$G$5:$G$9,$AS604))))</f>
        <v/>
      </c>
      <c r="AY604" t="str">
        <f>IF($AQ604="","",IF(INDEX(C_Pavement!$I$5:$I$204,$AQ604)&lt;&gt;"",IF(INDEX(C_Pavement!$I$5:$I$204,$AQ604)="-","",INDEX(C_Pavement!$I$5:$I$204,$AQ604)),IF($AS604="","",INDEX(E_Rules!$H$5:$H$9,$AS604))))</f>
        <v/>
      </c>
    </row>
    <row r="605" spans="1:51" ht="15.75" customHeight="1" x14ac:dyDescent="0.3">
      <c r="A605" s="189">
        <v>600</v>
      </c>
      <c r="B605" s="180">
        <v>29950</v>
      </c>
      <c r="C605" s="180" t="s">
        <v>911</v>
      </c>
      <c r="D605" s="181" t="str">
        <f>IFERROR(LOOKUP(2,1/((A_Corridor!$A$5:$A$204&lt;&gt;"")*(A_Corridor!$A$5:$A$204&lt;=$B605)*(A_Corridor!$B$5:$B$204&gt;$B605)*(A_Corridor!$C$5:$C$204&lt;&gt;"")),IF(UPPER(A_Corridor!$C$5:$C$204)="Y",1,"")),"")</f>
        <v/>
      </c>
      <c r="E605" s="181" t="str">
        <f>IFERROR(LOOKUP(2,1/((A_Corridor!$A$5:$A$204&lt;&gt;"")*(A_Corridor!$A$5:$A$204&lt;=$B605)*(A_Corridor!$B$5:$B$204&gt;$B605)*(A_Corridor!$D$5:$D$204&lt;&gt;"")),IF(A_Corridor!$D$5:$D$204="-","",UPPER(A_Corridor!$D$5:$D$204))),"")</f>
        <v/>
      </c>
      <c r="F605" s="181" t="str">
        <f>IFERROR(LOOKUP(2,1/((A_Corridor!$A$5:$A$204&lt;&gt;"")*(A_Corridor!$A$5:$A$204&lt;=$B605)*(A_Corridor!$B$5:$B$204&gt;$B605)*(A_Corridor!$E$5:$E$204&lt;&gt;"")),IF(A_Corridor!$E$5:$E$204="-","",1)),"")</f>
        <v/>
      </c>
      <c r="G605" s="182" t="str">
        <f>IFERROR(LOOKUP(2,1/((A_Corridor!$A$5:$A$204&lt;&gt;"")*(A_Corridor!$A$5:$A$204&lt;=$B605)*(A_Corridor!$B$5:$B$204&gt;$B605)*(A_Corridor!$E$5:$E$204&lt;&gt;"")),IF(A_Corridor!$E$5:$E$204="-","",A_Corridor!$E$5:$E$204)),"")</f>
        <v/>
      </c>
      <c r="H605" s="182" t="str">
        <f>IFERROR(LOOKUP(2,1/((D_Points!$A$5:$A$204&lt;&gt;"")*(D_Points!$A$5:$A$204&gt;=$B605)*(D_Points!$A$5:$A$204&lt;$B605+P_Interval)*(UPPER(TRIM(D_Points!$B$5:$B$204))="GULLY")*(D_Points!$H$5:$H$204&lt;&gt;"")),D_Points!$H$5:$H$204),"")</f>
        <v/>
      </c>
      <c r="I605" s="181" t="str">
        <f>IFERROR(LOOKUP(2,1/((A_Corridor!$A$5:$A$204&lt;&gt;"")*(A_Corridor!$A$5:$A$204&lt;=$B605)*(A_Corridor!$B$5:$B$204&gt;$B605)*(A_Corridor!$F$5:$F$204&lt;&gt;"")),IF(A_Corridor!$F$5:$F$204="-","",1)),"")</f>
        <v/>
      </c>
      <c r="J605" s="182" t="str">
        <f>IFERROR(LOOKUP(2,1/((A_Corridor!$A$5:$A$204&lt;&gt;"")*(A_Corridor!$A$5:$A$204&lt;=$B605)*(A_Corridor!$B$5:$B$204&gt;$B605)*(A_Corridor!$F$5:$F$204&lt;&gt;"")),IF(A_Corridor!$F$5:$F$204="-","",A_Corridor!$F$5:$F$204)),"")</f>
        <v/>
      </c>
      <c r="K605" s="182" t="str">
        <f>IFERROR(LOOKUP(2,1/((A_Corridor!$A$5:$A$204&lt;&gt;"")*(A_Corridor!$A$5:$A$204&lt;=$B605)*(A_Corridor!$B$5:$B$204&gt;$B605)*(A_Corridor!$G$5:$G$204&lt;&gt;"")),IF(A_Corridor!$G$5:$G$204="-","",A_Corridor!$G$5:$G$204)),"")</f>
        <v/>
      </c>
      <c r="L605" s="181" t="str">
        <f>IFERROR(LOOKUP(2,1/((A_Corridor!$A$5:$A$204&lt;&gt;"")*(A_Corridor!$A$5:$A$204&lt;=$B605)*(A_Corridor!$B$5:$B$204&gt;$B605)*(A_Corridor!$H$5:$H$204&lt;&gt;"")),IF(A_Corridor!$H$5:$H$204="-","",1)),"")</f>
        <v/>
      </c>
      <c r="M605" s="182" t="str">
        <f>IFERROR(LOOKUP(2,1/((A_Corridor!$A$5:$A$204&lt;&gt;"")*(A_Corridor!$A$5:$A$204&lt;=$B605)*(A_Corridor!$B$5:$B$204&gt;$B605)*(A_Corridor!$H$5:$H$204&lt;&gt;"")),IF(A_Corridor!$H$5:$H$204="-","",A_Corridor!$H$5:$H$204)),"")</f>
        <v/>
      </c>
      <c r="N605" s="182" t="str">
        <f>IFERROR(LOOKUP(2,1/((A_Corridor!$A$5:$A$204&lt;&gt;"")*(A_Corridor!$A$5:$A$204&lt;=$B605)*(A_Corridor!$B$5:$B$204&gt;$B605)*(A_Corridor!$I$5:$I$204&lt;&gt;"")),IF(A_Corridor!$I$5:$I$204="-","",A_Corridor!$I$5:$I$204)),"")</f>
        <v/>
      </c>
      <c r="O605" s="182" t="str">
        <f>IFERROR(LOOKUP(2,1/((D_Points!$A$5:$A$204&lt;&gt;"")*(D_Points!$A$5:$A$204&gt;=$B605)*(D_Points!$A$5:$A$204&lt;$B605+P_Interval)*(UPPER(TRIM(D_Points!$B$5:$B$204))="PITCHING")*(D_Points!$H$5:$H$204&lt;&gt;"")),D_Points!$H$5:$H$204),"")</f>
        <v/>
      </c>
      <c r="P605" s="181" t="str">
        <f>IFERROR(LOOKUP(2,1/((B_Drainage!$A$5:$A$204&lt;&gt;"")*(B_Drainage!$A$5:$A$204&lt;=$B605)*(B_Drainage!$B$5:$B$204&gt;$B605)*(B_Drainage!$C$5:$C$204&lt;&gt;"")),IF(B_Drainage!$C$5:$C$204="-","",UPPER(B_Drainage!$C$5:$C$204))),"")</f>
        <v/>
      </c>
      <c r="Q605" s="181" t="str">
        <f>IFERROR(LOOKUP(2,1/((B_Drainage!$A$5:$A$204&lt;&gt;"")*(B_Drainage!$A$5:$A$204&lt;=$B605)*(B_Drainage!$B$5:$B$204&gt;$B605)*(B_Drainage!$D$5:$D$204&lt;&gt;"")),IF(B_Drainage!$D$5:$D$204="-","",UPPER(B_Drainage!$D$5:$D$204))),"")</f>
        <v/>
      </c>
      <c r="R605" s="182" t="str">
        <f>IFERROR(LOOKUP(2,1/((D_Points!$A$5:$A$204&lt;&gt;"")*(D_Points!$A$5:$A$204&gt;=$B605)*(D_Points!$A$5:$A$204&lt;$B605+P_Interval)*(RIGHT(UPPER(TRIM(D_Points!$B$5:$B$204)),8)="_CULVERT")),IF(LEFT(UPPER(TRIM(D_Points!$B$5:$B$204)),2)="EX",1,IF(LEFT(UPPER(TRIM(D_Points!$B$5:$B$204)),2)="PR",2,3))),"")</f>
        <v/>
      </c>
      <c r="S605" s="182" t="str">
        <f>IFERROR(LOOKUP(2,1/((D_Points!$A$5:$A$204&lt;&gt;"")*(D_Points!$A$5:$A$204&gt;=$B605)*(D_Points!$A$5:$A$204&lt;$B605+P_Interval)*(RIGHT(UPPER(TRIM(D_Points!$B$5:$B$204)),7)="_BRIDGE")),IF(LEFT(UPPER(TRIM(D_Points!$B$5:$B$204)),2)="EX",1,IF(LEFT(UPPER(TRIM(D_Points!$B$5:$B$204)),2)="PR",2,2))),"")</f>
        <v/>
      </c>
      <c r="T605" s="181" t="str">
        <f>IFERROR(LOOKUP(2,1/((B_Drainage!$A$5:$A$204&lt;&gt;"")*(B_Drainage!$A$5:$A$204&lt;=$B605)*(B_Drainage!$B$5:$B$204&gt;$B605)*(B_Drainage!$E$5:$E$204&lt;&gt;"")),IF(B_Drainage!$E$5:$E$204="-","",1)),"")</f>
        <v/>
      </c>
      <c r="U605" s="181" t="str">
        <f>IFERROR(LOOKUP(2,1/((B_Drainage!$A$5:$A$204&lt;&gt;"")*(B_Drainage!$A$5:$A$204&lt;=$B605)*(B_Drainage!$B$5:$B$204&gt;$B605)*(B_Drainage!$E$5:$E$204&lt;&gt;"")),IF(B_Drainage!$E$5:$E$204="-","",B_Drainage!$E$5:$E$204)),"")</f>
        <v/>
      </c>
      <c r="V605" s="181" t="str">
        <f>IFERROR(LOOKUP(2,1/((B_Drainage!$A$5:$A$204&lt;&gt;"")*(B_Drainage!$A$5:$A$204&lt;=$B605)*(B_Drainage!$B$5:$B$204&gt;$B605)*(B_Drainage!$F$5:$F$204&lt;&gt;"")),IF(B_Drainage!$F$5:$F$204="-","",1)),"")</f>
        <v/>
      </c>
      <c r="W605" s="181" t="str">
        <f>IFERROR(LOOKUP(2,1/((B_Drainage!$A$5:$A$204&lt;&gt;"")*(B_Drainage!$A$5:$A$204&lt;=$B605)*(B_Drainage!$B$5:$B$204&gt;$B605)*(B_Drainage!$F$5:$F$204&lt;&gt;"")),IF(B_Drainage!$F$5:$F$204="-","",B_Drainage!$F$5:$F$204)),"")</f>
        <v/>
      </c>
      <c r="X605" s="181" t="str">
        <f>IFERROR(LOOKUP(2,1/((B_Drainage!$A$5:$A$204&lt;&gt;"")*(B_Drainage!$A$5:$A$204&lt;=$B605)*(B_Drainage!$B$5:$B$204&gt;$B605)*(B_Drainage!$G$5:$G$204&lt;&gt;"")),IF(UPPER(B_Drainage!$G$5:$G$204)="Y",1,"")),"")</f>
        <v/>
      </c>
      <c r="Y605" s="181" t="str">
        <f>IFERROR(LOOKUP(2,1/((B_Drainage!$A$5:$A$204&lt;&gt;"")*(B_Drainage!$A$5:$A$204&lt;=$B605)*(B_Drainage!$B$5:$B$204&gt;$B605)*(B_Drainage!$H$5:$H$204&lt;&gt;"")),IF(UPPER(B_Drainage!$H$5:$H$204)="Y",1,"")),"")</f>
        <v/>
      </c>
      <c r="Z605" s="181" t="str">
        <f>IFERROR(LOOKUP(2,1/((B_Drainage!$A$5:$A$204&lt;&gt;"")*(B_Drainage!$A$5:$A$204&lt;=$B605)*(B_Drainage!$B$5:$B$204&gt;$B605)*(B_Drainage!$I$5:$I$204&lt;&gt;"")),IF(UPPER(B_Drainage!$I$5:$I$204)="Y",1,"")),"")</f>
        <v/>
      </c>
      <c r="AA605" s="181" t="str">
        <f>IFERROR(LOOKUP(2,1/((B_Drainage!$A$5:$A$204&lt;&gt;"")*(B_Drainage!$A$5:$A$204&lt;=$B605)*(B_Drainage!$B$5:$B$204&gt;$B605)*(B_Drainage!$J$5:$J$204&lt;&gt;"")),IF(UPPER(B_Drainage!$J$5:$J$204)="Y",1,"")),"")</f>
        <v/>
      </c>
      <c r="AB605" s="182" t="str">
        <f>IFERROR(LOOKUP(2,1/((B_Drainage!$A$5:$A$204&lt;&gt;"")*(B_Drainage!$A$5:$A$204&lt;=$B605)*(B_Drainage!$B$5:$B$204&gt;$B605)*(B_Drainage!$K$5:$K$204&lt;&gt;"")),IF(B_Drainage!$K$5:$K$204="-","",B_Drainage!$K$5:$K$204)),"")</f>
        <v/>
      </c>
      <c r="AC605" s="182" t="str">
        <f>IFERROR(LOOKUP(2,1/((B_Drainage!$A$5:$A$204&lt;&gt;"")*(B_Drainage!$A$5:$A$204&lt;=$B605)*(B_Drainage!$B$5:$B$204&gt;$B605)*(B_Drainage!$L$5:$L$204&lt;&gt;"")),IF(B_Drainage!$L$5:$L$204="-","",B_Drainage!$L$5:$L$204)),"")</f>
        <v/>
      </c>
      <c r="AD605" s="182" t="str">
        <f>IFERROR(LOOKUP(2,1/((D_Points!$A$5:$A$204&lt;&gt;"")*(D_Points!$A$5:$A$204&gt;=$B605)*(D_Points!$A$5:$A$204&lt;$B605+P_Interval)*(UPPER(TRIM(D_Points!$B$5:$B$204))="TURNOUT_L")*(D_Points!$H$5:$H$204&lt;&gt;"")),D_Points!$H$5:$H$204),"")</f>
        <v/>
      </c>
      <c r="AE605" s="182" t="str">
        <f>IFERROR(LOOKUP(2,1/((D_Points!$A$5:$A$204&lt;&gt;"")*(D_Points!$A$5:$A$204&gt;=$B605)*(D_Points!$A$5:$A$204&lt;$B605+P_Interval)*(UPPER(TRIM(D_Points!$B$5:$B$204))="TURNOUT_R")*(D_Points!$H$5:$H$204&lt;&gt;"")),D_Points!$H$5:$H$204),"")</f>
        <v/>
      </c>
      <c r="AF605" s="181" t="str">
        <f>IFERROR(LOOKUP(2,1/((B_Drainage!$A$5:$A$204&lt;&gt;"")*(B_Drainage!$A$5:$A$204&lt;=$B605)*(B_Drainage!$B$5:$B$204&gt;$B605)*(B_Drainage!$M$5:$M$204&lt;&gt;"")),IF(UPPER(B_Drainage!$M$5:$M$204)="Y",1,"")),"")</f>
        <v/>
      </c>
      <c r="AG605" s="181" t="str">
        <f>IFERROR(LOOKUP(2,1/((B_Drainage!$A$5:$A$204&lt;&gt;"")*(B_Drainage!$A$5:$A$204&lt;=$B605)*(B_Drainage!$B$5:$B$204&gt;$B605)*(B_Drainage!$N$5:$N$204&lt;&gt;"")),IF(UPPER(B_Drainage!$N$5:$N$204)="Y",1,"")),"")</f>
        <v/>
      </c>
      <c r="AH605" s="181" t="str">
        <f t="shared" si="72"/>
        <v/>
      </c>
      <c r="AI605" s="181" t="str">
        <f t="shared" si="73"/>
        <v/>
      </c>
      <c r="AJ605" s="181" t="str">
        <f t="shared" si="74"/>
        <v/>
      </c>
      <c r="AK605" s="181" t="str">
        <f t="shared" si="75"/>
        <v/>
      </c>
      <c r="AL605" s="181" t="str">
        <f t="shared" si="76"/>
        <v/>
      </c>
      <c r="AM605" s="181" t="str">
        <f t="shared" si="77"/>
        <v/>
      </c>
      <c r="AN605" s="181" t="str">
        <f t="shared" si="78"/>
        <v/>
      </c>
      <c r="AO605" s="192" t="str">
        <f t="shared" si="79"/>
        <v/>
      </c>
      <c r="AQ605" t="str">
        <f>IFERROR(LOOKUP(2,1/((C_Pavement!$A$5:$A$204&lt;&gt;"")*(C_Pavement!$A$5:$A$204&lt;=$B605)*(C_Pavement!$B$5:$B$204&gt;$B605)*(C_Pavement!$C$5:$C$204&lt;&gt;"")),ROW(C_Pavement!$C$5:$C$204)-4),"")</f>
        <v/>
      </c>
      <c r="AR605" t="str">
        <f>IF($AQ605="","",UPPER(TRIM(INDEX(C_Pavement!$C$5:$C$204,$AQ605))))</f>
        <v/>
      </c>
      <c r="AS605" t="str">
        <f>IF($AR605="","",IFERROR(MATCH($AR605,E_Rules!$A$5:$A$9,0),""))</f>
        <v/>
      </c>
      <c r="AT605" t="str">
        <f>IF($AQ605="","",IF(INDEX(C_Pavement!$D$5:$D$204,$AQ605)&lt;&gt;"",UPPER(TRIM(INDEX(C_Pavement!$D$5:$D$204,$AQ605))),IF($AS605="","",INDEX(E_Rules!$C$5:$C$9,$AS605))))</f>
        <v/>
      </c>
      <c r="AU605" t="str">
        <f>IF($AQ605="","",IF(INDEX(C_Pavement!$E$5:$E$204,$AQ605)&lt;&gt;"",IF(INDEX(C_Pavement!$E$5:$E$204,$AQ605)="-","",INDEX(C_Pavement!$E$5:$E$204,$AQ605)),IF($AS605="","",INDEX(E_Rules!$D$5:$D$9,$AS605))))</f>
        <v/>
      </c>
      <c r="AV605" t="str">
        <f>IF($AQ605="","",IF(INDEX(C_Pavement!$F$5:$F$204,$AQ605)&lt;&gt;"",IF(INDEX(C_Pavement!$F$5:$F$204,$AQ605)="-","",INDEX(C_Pavement!$F$5:$F$204,$AQ605)),IF($AS605="","",INDEX(E_Rules!$E$5:$E$9,$AS605))))</f>
        <v/>
      </c>
      <c r="AW605" t="str">
        <f>IF($AQ605="","",IF(INDEX(C_Pavement!$G$5:$G$204,$AQ605)&lt;&gt;"",IF(INDEX(C_Pavement!$G$5:$G$204,$AQ605)="-","",INDEX(C_Pavement!$G$5:$G$204,$AQ605)),IF($AS605="","",INDEX(E_Rules!$F$5:$F$9,$AS605))))</f>
        <v/>
      </c>
      <c r="AX605" t="str">
        <f>IF($AQ605="","",IF(INDEX(C_Pavement!$H$5:$H$204,$AQ605)&lt;&gt;"",IF(INDEX(C_Pavement!$H$5:$H$204,$AQ605)="-","",INDEX(C_Pavement!$H$5:$H$204,$AQ605)),IF($AS605="","",INDEX(E_Rules!$G$5:$G$9,$AS605))))</f>
        <v/>
      </c>
      <c r="AY605" t="str">
        <f>IF($AQ605="","",IF(INDEX(C_Pavement!$I$5:$I$204,$AQ605)&lt;&gt;"",IF(INDEX(C_Pavement!$I$5:$I$204,$AQ605)="-","",INDEX(C_Pavement!$I$5:$I$204,$AQ605)),IF($AS605="","",INDEX(E_Rules!$H$5:$H$9,$AS605))))</f>
        <v/>
      </c>
    </row>
    <row r="606" spans="1:51" ht="15.75" customHeight="1" x14ac:dyDescent="0.3">
      <c r="A606" s="189">
        <v>601</v>
      </c>
      <c r="B606" s="180">
        <v>30000</v>
      </c>
      <c r="C606" s="180" t="s">
        <v>912</v>
      </c>
      <c r="D606" s="181" t="str">
        <f>IFERROR(LOOKUP(2,1/((A_Corridor!$A$5:$A$204&lt;&gt;"")*(A_Corridor!$A$5:$A$204&lt;=$B606)*(A_Corridor!$B$5:$B$204&gt;$B606)*(A_Corridor!$C$5:$C$204&lt;&gt;"")),IF(UPPER(A_Corridor!$C$5:$C$204)="Y",1,"")),"")</f>
        <v/>
      </c>
      <c r="E606" s="181" t="str">
        <f>IFERROR(LOOKUP(2,1/((A_Corridor!$A$5:$A$204&lt;&gt;"")*(A_Corridor!$A$5:$A$204&lt;=$B606)*(A_Corridor!$B$5:$B$204&gt;$B606)*(A_Corridor!$D$5:$D$204&lt;&gt;"")),IF(A_Corridor!$D$5:$D$204="-","",UPPER(A_Corridor!$D$5:$D$204))),"")</f>
        <v/>
      </c>
      <c r="F606" s="181" t="str">
        <f>IFERROR(LOOKUP(2,1/((A_Corridor!$A$5:$A$204&lt;&gt;"")*(A_Corridor!$A$5:$A$204&lt;=$B606)*(A_Corridor!$B$5:$B$204&gt;$B606)*(A_Corridor!$E$5:$E$204&lt;&gt;"")),IF(A_Corridor!$E$5:$E$204="-","",1)),"")</f>
        <v/>
      </c>
      <c r="G606" s="182" t="str">
        <f>IFERROR(LOOKUP(2,1/((A_Corridor!$A$5:$A$204&lt;&gt;"")*(A_Corridor!$A$5:$A$204&lt;=$B606)*(A_Corridor!$B$5:$B$204&gt;$B606)*(A_Corridor!$E$5:$E$204&lt;&gt;"")),IF(A_Corridor!$E$5:$E$204="-","",A_Corridor!$E$5:$E$204)),"")</f>
        <v/>
      </c>
      <c r="H606" s="182" t="str">
        <f>IFERROR(LOOKUP(2,1/((D_Points!$A$5:$A$204&lt;&gt;"")*(D_Points!$A$5:$A$204&gt;=$B606)*(D_Points!$A$5:$A$204&lt;$B606+P_Interval)*(UPPER(TRIM(D_Points!$B$5:$B$204))="GULLY")*(D_Points!$H$5:$H$204&lt;&gt;"")),D_Points!$H$5:$H$204),"")</f>
        <v/>
      </c>
      <c r="I606" s="181" t="str">
        <f>IFERROR(LOOKUP(2,1/((A_Corridor!$A$5:$A$204&lt;&gt;"")*(A_Corridor!$A$5:$A$204&lt;=$B606)*(A_Corridor!$B$5:$B$204&gt;$B606)*(A_Corridor!$F$5:$F$204&lt;&gt;"")),IF(A_Corridor!$F$5:$F$204="-","",1)),"")</f>
        <v/>
      </c>
      <c r="J606" s="182" t="str">
        <f>IFERROR(LOOKUP(2,1/((A_Corridor!$A$5:$A$204&lt;&gt;"")*(A_Corridor!$A$5:$A$204&lt;=$B606)*(A_Corridor!$B$5:$B$204&gt;$B606)*(A_Corridor!$F$5:$F$204&lt;&gt;"")),IF(A_Corridor!$F$5:$F$204="-","",A_Corridor!$F$5:$F$204)),"")</f>
        <v/>
      </c>
      <c r="K606" s="182" t="str">
        <f>IFERROR(LOOKUP(2,1/((A_Corridor!$A$5:$A$204&lt;&gt;"")*(A_Corridor!$A$5:$A$204&lt;=$B606)*(A_Corridor!$B$5:$B$204&gt;$B606)*(A_Corridor!$G$5:$G$204&lt;&gt;"")),IF(A_Corridor!$G$5:$G$204="-","",A_Corridor!$G$5:$G$204)),"")</f>
        <v/>
      </c>
      <c r="L606" s="181" t="str">
        <f>IFERROR(LOOKUP(2,1/((A_Corridor!$A$5:$A$204&lt;&gt;"")*(A_Corridor!$A$5:$A$204&lt;=$B606)*(A_Corridor!$B$5:$B$204&gt;$B606)*(A_Corridor!$H$5:$H$204&lt;&gt;"")),IF(A_Corridor!$H$5:$H$204="-","",1)),"")</f>
        <v/>
      </c>
      <c r="M606" s="182" t="str">
        <f>IFERROR(LOOKUP(2,1/((A_Corridor!$A$5:$A$204&lt;&gt;"")*(A_Corridor!$A$5:$A$204&lt;=$B606)*(A_Corridor!$B$5:$B$204&gt;$B606)*(A_Corridor!$H$5:$H$204&lt;&gt;"")),IF(A_Corridor!$H$5:$H$204="-","",A_Corridor!$H$5:$H$204)),"")</f>
        <v/>
      </c>
      <c r="N606" s="182" t="str">
        <f>IFERROR(LOOKUP(2,1/((A_Corridor!$A$5:$A$204&lt;&gt;"")*(A_Corridor!$A$5:$A$204&lt;=$B606)*(A_Corridor!$B$5:$B$204&gt;$B606)*(A_Corridor!$I$5:$I$204&lt;&gt;"")),IF(A_Corridor!$I$5:$I$204="-","",A_Corridor!$I$5:$I$204)),"")</f>
        <v/>
      </c>
      <c r="O606" s="182" t="str">
        <f>IFERROR(LOOKUP(2,1/((D_Points!$A$5:$A$204&lt;&gt;"")*(D_Points!$A$5:$A$204&gt;=$B606)*(D_Points!$A$5:$A$204&lt;$B606+P_Interval)*(UPPER(TRIM(D_Points!$B$5:$B$204))="PITCHING")*(D_Points!$H$5:$H$204&lt;&gt;"")),D_Points!$H$5:$H$204),"")</f>
        <v/>
      </c>
      <c r="P606" s="181" t="str">
        <f>IFERROR(LOOKUP(2,1/((B_Drainage!$A$5:$A$204&lt;&gt;"")*(B_Drainage!$A$5:$A$204&lt;=$B606)*(B_Drainage!$B$5:$B$204&gt;$B606)*(B_Drainage!$C$5:$C$204&lt;&gt;"")),IF(B_Drainage!$C$5:$C$204="-","",UPPER(B_Drainage!$C$5:$C$204))),"")</f>
        <v/>
      </c>
      <c r="Q606" s="181" t="str">
        <f>IFERROR(LOOKUP(2,1/((B_Drainage!$A$5:$A$204&lt;&gt;"")*(B_Drainage!$A$5:$A$204&lt;=$B606)*(B_Drainage!$B$5:$B$204&gt;$B606)*(B_Drainage!$D$5:$D$204&lt;&gt;"")),IF(B_Drainage!$D$5:$D$204="-","",UPPER(B_Drainage!$D$5:$D$204))),"")</f>
        <v/>
      </c>
      <c r="R606" s="182" t="str">
        <f>IFERROR(LOOKUP(2,1/((D_Points!$A$5:$A$204&lt;&gt;"")*(D_Points!$A$5:$A$204&gt;=$B606)*(D_Points!$A$5:$A$204&lt;$B606+P_Interval)*(RIGHT(UPPER(TRIM(D_Points!$B$5:$B$204)),8)="_CULVERT")),IF(LEFT(UPPER(TRIM(D_Points!$B$5:$B$204)),2)="EX",1,IF(LEFT(UPPER(TRIM(D_Points!$B$5:$B$204)),2)="PR",2,3))),"")</f>
        <v/>
      </c>
      <c r="S606" s="182" t="str">
        <f>IFERROR(LOOKUP(2,1/((D_Points!$A$5:$A$204&lt;&gt;"")*(D_Points!$A$5:$A$204&gt;=$B606)*(D_Points!$A$5:$A$204&lt;$B606+P_Interval)*(RIGHT(UPPER(TRIM(D_Points!$B$5:$B$204)),7)="_BRIDGE")),IF(LEFT(UPPER(TRIM(D_Points!$B$5:$B$204)),2)="EX",1,IF(LEFT(UPPER(TRIM(D_Points!$B$5:$B$204)),2)="PR",2,2))),"")</f>
        <v/>
      </c>
      <c r="T606" s="181" t="str">
        <f>IFERROR(LOOKUP(2,1/((B_Drainage!$A$5:$A$204&lt;&gt;"")*(B_Drainage!$A$5:$A$204&lt;=$B606)*(B_Drainage!$B$5:$B$204&gt;$B606)*(B_Drainage!$E$5:$E$204&lt;&gt;"")),IF(B_Drainage!$E$5:$E$204="-","",1)),"")</f>
        <v/>
      </c>
      <c r="U606" s="181" t="str">
        <f>IFERROR(LOOKUP(2,1/((B_Drainage!$A$5:$A$204&lt;&gt;"")*(B_Drainage!$A$5:$A$204&lt;=$B606)*(B_Drainage!$B$5:$B$204&gt;$B606)*(B_Drainage!$E$5:$E$204&lt;&gt;"")),IF(B_Drainage!$E$5:$E$204="-","",B_Drainage!$E$5:$E$204)),"")</f>
        <v/>
      </c>
      <c r="V606" s="181" t="str">
        <f>IFERROR(LOOKUP(2,1/((B_Drainage!$A$5:$A$204&lt;&gt;"")*(B_Drainage!$A$5:$A$204&lt;=$B606)*(B_Drainage!$B$5:$B$204&gt;$B606)*(B_Drainage!$F$5:$F$204&lt;&gt;"")),IF(B_Drainage!$F$5:$F$204="-","",1)),"")</f>
        <v/>
      </c>
      <c r="W606" s="181" t="str">
        <f>IFERROR(LOOKUP(2,1/((B_Drainage!$A$5:$A$204&lt;&gt;"")*(B_Drainage!$A$5:$A$204&lt;=$B606)*(B_Drainage!$B$5:$B$204&gt;$B606)*(B_Drainage!$F$5:$F$204&lt;&gt;"")),IF(B_Drainage!$F$5:$F$204="-","",B_Drainage!$F$5:$F$204)),"")</f>
        <v/>
      </c>
      <c r="X606" s="181" t="str">
        <f>IFERROR(LOOKUP(2,1/((B_Drainage!$A$5:$A$204&lt;&gt;"")*(B_Drainage!$A$5:$A$204&lt;=$B606)*(B_Drainage!$B$5:$B$204&gt;$B606)*(B_Drainage!$G$5:$G$204&lt;&gt;"")),IF(UPPER(B_Drainage!$G$5:$G$204)="Y",1,"")),"")</f>
        <v/>
      </c>
      <c r="Y606" s="181" t="str">
        <f>IFERROR(LOOKUP(2,1/((B_Drainage!$A$5:$A$204&lt;&gt;"")*(B_Drainage!$A$5:$A$204&lt;=$B606)*(B_Drainage!$B$5:$B$204&gt;$B606)*(B_Drainage!$H$5:$H$204&lt;&gt;"")),IF(UPPER(B_Drainage!$H$5:$H$204)="Y",1,"")),"")</f>
        <v/>
      </c>
      <c r="Z606" s="181" t="str">
        <f>IFERROR(LOOKUP(2,1/((B_Drainage!$A$5:$A$204&lt;&gt;"")*(B_Drainage!$A$5:$A$204&lt;=$B606)*(B_Drainage!$B$5:$B$204&gt;$B606)*(B_Drainage!$I$5:$I$204&lt;&gt;"")),IF(UPPER(B_Drainage!$I$5:$I$204)="Y",1,"")),"")</f>
        <v/>
      </c>
      <c r="AA606" s="181" t="str">
        <f>IFERROR(LOOKUP(2,1/((B_Drainage!$A$5:$A$204&lt;&gt;"")*(B_Drainage!$A$5:$A$204&lt;=$B606)*(B_Drainage!$B$5:$B$204&gt;$B606)*(B_Drainage!$J$5:$J$204&lt;&gt;"")),IF(UPPER(B_Drainage!$J$5:$J$204)="Y",1,"")),"")</f>
        <v/>
      </c>
      <c r="AB606" s="182" t="str">
        <f>IFERROR(LOOKUP(2,1/((B_Drainage!$A$5:$A$204&lt;&gt;"")*(B_Drainage!$A$5:$A$204&lt;=$B606)*(B_Drainage!$B$5:$B$204&gt;$B606)*(B_Drainage!$K$5:$K$204&lt;&gt;"")),IF(B_Drainage!$K$5:$K$204="-","",B_Drainage!$K$5:$K$204)),"")</f>
        <v/>
      </c>
      <c r="AC606" s="182" t="str">
        <f>IFERROR(LOOKUP(2,1/((B_Drainage!$A$5:$A$204&lt;&gt;"")*(B_Drainage!$A$5:$A$204&lt;=$B606)*(B_Drainage!$B$5:$B$204&gt;$B606)*(B_Drainage!$L$5:$L$204&lt;&gt;"")),IF(B_Drainage!$L$5:$L$204="-","",B_Drainage!$L$5:$L$204)),"")</f>
        <v/>
      </c>
      <c r="AD606" s="182" t="str">
        <f>IFERROR(LOOKUP(2,1/((D_Points!$A$5:$A$204&lt;&gt;"")*(D_Points!$A$5:$A$204&gt;=$B606)*(D_Points!$A$5:$A$204&lt;$B606+P_Interval)*(UPPER(TRIM(D_Points!$B$5:$B$204))="TURNOUT_L")*(D_Points!$H$5:$H$204&lt;&gt;"")),D_Points!$H$5:$H$204),"")</f>
        <v/>
      </c>
      <c r="AE606" s="182" t="str">
        <f>IFERROR(LOOKUP(2,1/((D_Points!$A$5:$A$204&lt;&gt;"")*(D_Points!$A$5:$A$204&gt;=$B606)*(D_Points!$A$5:$A$204&lt;$B606+P_Interval)*(UPPER(TRIM(D_Points!$B$5:$B$204))="TURNOUT_R")*(D_Points!$H$5:$H$204&lt;&gt;"")),D_Points!$H$5:$H$204),"")</f>
        <v/>
      </c>
      <c r="AF606" s="181" t="str">
        <f>IFERROR(LOOKUP(2,1/((B_Drainage!$A$5:$A$204&lt;&gt;"")*(B_Drainage!$A$5:$A$204&lt;=$B606)*(B_Drainage!$B$5:$B$204&gt;$B606)*(B_Drainage!$M$5:$M$204&lt;&gt;"")),IF(UPPER(B_Drainage!$M$5:$M$204)="Y",1,"")),"")</f>
        <v/>
      </c>
      <c r="AG606" s="181" t="str">
        <f>IFERROR(LOOKUP(2,1/((B_Drainage!$A$5:$A$204&lt;&gt;"")*(B_Drainage!$A$5:$A$204&lt;=$B606)*(B_Drainage!$B$5:$B$204&gt;$B606)*(B_Drainage!$N$5:$N$204&lt;&gt;"")),IF(UPPER(B_Drainage!$N$5:$N$204)="Y",1,"")),"")</f>
        <v/>
      </c>
      <c r="AH606" s="181" t="str">
        <f t="shared" si="72"/>
        <v/>
      </c>
      <c r="AI606" s="181" t="str">
        <f t="shared" si="73"/>
        <v/>
      </c>
      <c r="AJ606" s="181" t="str">
        <f t="shared" si="74"/>
        <v/>
      </c>
      <c r="AK606" s="181" t="str">
        <f t="shared" si="75"/>
        <v/>
      </c>
      <c r="AL606" s="181" t="str">
        <f t="shared" si="76"/>
        <v/>
      </c>
      <c r="AM606" s="181" t="str">
        <f t="shared" si="77"/>
        <v/>
      </c>
      <c r="AN606" s="181" t="str">
        <f t="shared" si="78"/>
        <v/>
      </c>
      <c r="AO606" s="192" t="str">
        <f t="shared" si="79"/>
        <v/>
      </c>
      <c r="AQ606" t="str">
        <f>IFERROR(LOOKUP(2,1/((C_Pavement!$A$5:$A$204&lt;&gt;"")*(C_Pavement!$A$5:$A$204&lt;=$B606)*(C_Pavement!$B$5:$B$204&gt;$B606)*(C_Pavement!$C$5:$C$204&lt;&gt;"")),ROW(C_Pavement!$C$5:$C$204)-4),"")</f>
        <v/>
      </c>
      <c r="AR606" t="str">
        <f>IF($AQ606="","",UPPER(TRIM(INDEX(C_Pavement!$C$5:$C$204,$AQ606))))</f>
        <v/>
      </c>
      <c r="AS606" t="str">
        <f>IF($AR606="","",IFERROR(MATCH($AR606,E_Rules!$A$5:$A$9,0),""))</f>
        <v/>
      </c>
      <c r="AT606" t="str">
        <f>IF($AQ606="","",IF(INDEX(C_Pavement!$D$5:$D$204,$AQ606)&lt;&gt;"",UPPER(TRIM(INDEX(C_Pavement!$D$5:$D$204,$AQ606))),IF($AS606="","",INDEX(E_Rules!$C$5:$C$9,$AS606))))</f>
        <v/>
      </c>
      <c r="AU606" t="str">
        <f>IF($AQ606="","",IF(INDEX(C_Pavement!$E$5:$E$204,$AQ606)&lt;&gt;"",IF(INDEX(C_Pavement!$E$5:$E$204,$AQ606)="-","",INDEX(C_Pavement!$E$5:$E$204,$AQ606)),IF($AS606="","",INDEX(E_Rules!$D$5:$D$9,$AS606))))</f>
        <v/>
      </c>
      <c r="AV606" t="str">
        <f>IF($AQ606="","",IF(INDEX(C_Pavement!$F$5:$F$204,$AQ606)&lt;&gt;"",IF(INDEX(C_Pavement!$F$5:$F$204,$AQ606)="-","",INDEX(C_Pavement!$F$5:$F$204,$AQ606)),IF($AS606="","",INDEX(E_Rules!$E$5:$E$9,$AS606))))</f>
        <v/>
      </c>
      <c r="AW606" t="str">
        <f>IF($AQ606="","",IF(INDEX(C_Pavement!$G$5:$G$204,$AQ606)&lt;&gt;"",IF(INDEX(C_Pavement!$G$5:$G$204,$AQ606)="-","",INDEX(C_Pavement!$G$5:$G$204,$AQ606)),IF($AS606="","",INDEX(E_Rules!$F$5:$F$9,$AS606))))</f>
        <v/>
      </c>
      <c r="AX606" t="str">
        <f>IF($AQ606="","",IF(INDEX(C_Pavement!$H$5:$H$204,$AQ606)&lt;&gt;"",IF(INDEX(C_Pavement!$H$5:$H$204,$AQ606)="-","",INDEX(C_Pavement!$H$5:$H$204,$AQ606)),IF($AS606="","",INDEX(E_Rules!$G$5:$G$9,$AS606))))</f>
        <v/>
      </c>
      <c r="AY606" t="str">
        <f>IF($AQ606="","",IF(INDEX(C_Pavement!$I$5:$I$204,$AQ606)&lt;&gt;"",IF(INDEX(C_Pavement!$I$5:$I$204,$AQ606)="-","",INDEX(C_Pavement!$I$5:$I$204,$AQ606)),IF($AS606="","",INDEX(E_Rules!$H$5:$H$9,$AS606))))</f>
        <v/>
      </c>
    </row>
    <row r="607" spans="1:51" ht="15.75" customHeight="1" x14ac:dyDescent="0.3">
      <c r="A607" s="189">
        <v>602</v>
      </c>
      <c r="B607" s="180">
        <v>30050</v>
      </c>
      <c r="C607" s="180" t="s">
        <v>913</v>
      </c>
      <c r="D607" s="181" t="str">
        <f>IFERROR(LOOKUP(2,1/((A_Corridor!$A$5:$A$204&lt;&gt;"")*(A_Corridor!$A$5:$A$204&lt;=$B607)*(A_Corridor!$B$5:$B$204&gt;$B607)*(A_Corridor!$C$5:$C$204&lt;&gt;"")),IF(UPPER(A_Corridor!$C$5:$C$204)="Y",1,"")),"")</f>
        <v/>
      </c>
      <c r="E607" s="181" t="str">
        <f>IFERROR(LOOKUP(2,1/((A_Corridor!$A$5:$A$204&lt;&gt;"")*(A_Corridor!$A$5:$A$204&lt;=$B607)*(A_Corridor!$B$5:$B$204&gt;$B607)*(A_Corridor!$D$5:$D$204&lt;&gt;"")),IF(A_Corridor!$D$5:$D$204="-","",UPPER(A_Corridor!$D$5:$D$204))),"")</f>
        <v/>
      </c>
      <c r="F607" s="181" t="str">
        <f>IFERROR(LOOKUP(2,1/((A_Corridor!$A$5:$A$204&lt;&gt;"")*(A_Corridor!$A$5:$A$204&lt;=$B607)*(A_Corridor!$B$5:$B$204&gt;$B607)*(A_Corridor!$E$5:$E$204&lt;&gt;"")),IF(A_Corridor!$E$5:$E$204="-","",1)),"")</f>
        <v/>
      </c>
      <c r="G607" s="182" t="str">
        <f>IFERROR(LOOKUP(2,1/((A_Corridor!$A$5:$A$204&lt;&gt;"")*(A_Corridor!$A$5:$A$204&lt;=$B607)*(A_Corridor!$B$5:$B$204&gt;$B607)*(A_Corridor!$E$5:$E$204&lt;&gt;"")),IF(A_Corridor!$E$5:$E$204="-","",A_Corridor!$E$5:$E$204)),"")</f>
        <v/>
      </c>
      <c r="H607" s="182" t="str">
        <f>IFERROR(LOOKUP(2,1/((D_Points!$A$5:$A$204&lt;&gt;"")*(D_Points!$A$5:$A$204&gt;=$B607)*(D_Points!$A$5:$A$204&lt;$B607+P_Interval)*(UPPER(TRIM(D_Points!$B$5:$B$204))="GULLY")*(D_Points!$H$5:$H$204&lt;&gt;"")),D_Points!$H$5:$H$204),"")</f>
        <v/>
      </c>
      <c r="I607" s="181" t="str">
        <f>IFERROR(LOOKUP(2,1/((A_Corridor!$A$5:$A$204&lt;&gt;"")*(A_Corridor!$A$5:$A$204&lt;=$B607)*(A_Corridor!$B$5:$B$204&gt;$B607)*(A_Corridor!$F$5:$F$204&lt;&gt;"")),IF(A_Corridor!$F$5:$F$204="-","",1)),"")</f>
        <v/>
      </c>
      <c r="J607" s="182" t="str">
        <f>IFERROR(LOOKUP(2,1/((A_Corridor!$A$5:$A$204&lt;&gt;"")*(A_Corridor!$A$5:$A$204&lt;=$B607)*(A_Corridor!$B$5:$B$204&gt;$B607)*(A_Corridor!$F$5:$F$204&lt;&gt;"")),IF(A_Corridor!$F$5:$F$204="-","",A_Corridor!$F$5:$F$204)),"")</f>
        <v/>
      </c>
      <c r="K607" s="182" t="str">
        <f>IFERROR(LOOKUP(2,1/((A_Corridor!$A$5:$A$204&lt;&gt;"")*(A_Corridor!$A$5:$A$204&lt;=$B607)*(A_Corridor!$B$5:$B$204&gt;$B607)*(A_Corridor!$G$5:$G$204&lt;&gt;"")),IF(A_Corridor!$G$5:$G$204="-","",A_Corridor!$G$5:$G$204)),"")</f>
        <v/>
      </c>
      <c r="L607" s="181" t="str">
        <f>IFERROR(LOOKUP(2,1/((A_Corridor!$A$5:$A$204&lt;&gt;"")*(A_Corridor!$A$5:$A$204&lt;=$B607)*(A_Corridor!$B$5:$B$204&gt;$B607)*(A_Corridor!$H$5:$H$204&lt;&gt;"")),IF(A_Corridor!$H$5:$H$204="-","",1)),"")</f>
        <v/>
      </c>
      <c r="M607" s="182" t="str">
        <f>IFERROR(LOOKUP(2,1/((A_Corridor!$A$5:$A$204&lt;&gt;"")*(A_Corridor!$A$5:$A$204&lt;=$B607)*(A_Corridor!$B$5:$B$204&gt;$B607)*(A_Corridor!$H$5:$H$204&lt;&gt;"")),IF(A_Corridor!$H$5:$H$204="-","",A_Corridor!$H$5:$H$204)),"")</f>
        <v/>
      </c>
      <c r="N607" s="182" t="str">
        <f>IFERROR(LOOKUP(2,1/((A_Corridor!$A$5:$A$204&lt;&gt;"")*(A_Corridor!$A$5:$A$204&lt;=$B607)*(A_Corridor!$B$5:$B$204&gt;$B607)*(A_Corridor!$I$5:$I$204&lt;&gt;"")),IF(A_Corridor!$I$5:$I$204="-","",A_Corridor!$I$5:$I$204)),"")</f>
        <v/>
      </c>
      <c r="O607" s="182" t="str">
        <f>IFERROR(LOOKUP(2,1/((D_Points!$A$5:$A$204&lt;&gt;"")*(D_Points!$A$5:$A$204&gt;=$B607)*(D_Points!$A$5:$A$204&lt;$B607+P_Interval)*(UPPER(TRIM(D_Points!$B$5:$B$204))="PITCHING")*(D_Points!$H$5:$H$204&lt;&gt;"")),D_Points!$H$5:$H$204),"")</f>
        <v/>
      </c>
      <c r="P607" s="181" t="str">
        <f>IFERROR(LOOKUP(2,1/((B_Drainage!$A$5:$A$204&lt;&gt;"")*(B_Drainage!$A$5:$A$204&lt;=$B607)*(B_Drainage!$B$5:$B$204&gt;$B607)*(B_Drainage!$C$5:$C$204&lt;&gt;"")),IF(B_Drainage!$C$5:$C$204="-","",UPPER(B_Drainage!$C$5:$C$204))),"")</f>
        <v/>
      </c>
      <c r="Q607" s="181" t="str">
        <f>IFERROR(LOOKUP(2,1/((B_Drainage!$A$5:$A$204&lt;&gt;"")*(B_Drainage!$A$5:$A$204&lt;=$B607)*(B_Drainage!$B$5:$B$204&gt;$B607)*(B_Drainage!$D$5:$D$204&lt;&gt;"")),IF(B_Drainage!$D$5:$D$204="-","",UPPER(B_Drainage!$D$5:$D$204))),"")</f>
        <v/>
      </c>
      <c r="R607" s="182" t="str">
        <f>IFERROR(LOOKUP(2,1/((D_Points!$A$5:$A$204&lt;&gt;"")*(D_Points!$A$5:$A$204&gt;=$B607)*(D_Points!$A$5:$A$204&lt;$B607+P_Interval)*(RIGHT(UPPER(TRIM(D_Points!$B$5:$B$204)),8)="_CULVERT")),IF(LEFT(UPPER(TRIM(D_Points!$B$5:$B$204)),2)="EX",1,IF(LEFT(UPPER(TRIM(D_Points!$B$5:$B$204)),2)="PR",2,3))),"")</f>
        <v/>
      </c>
      <c r="S607" s="182" t="str">
        <f>IFERROR(LOOKUP(2,1/((D_Points!$A$5:$A$204&lt;&gt;"")*(D_Points!$A$5:$A$204&gt;=$B607)*(D_Points!$A$5:$A$204&lt;$B607+P_Interval)*(RIGHT(UPPER(TRIM(D_Points!$B$5:$B$204)),7)="_BRIDGE")),IF(LEFT(UPPER(TRIM(D_Points!$B$5:$B$204)),2)="EX",1,IF(LEFT(UPPER(TRIM(D_Points!$B$5:$B$204)),2)="PR",2,2))),"")</f>
        <v/>
      </c>
      <c r="T607" s="181" t="str">
        <f>IFERROR(LOOKUP(2,1/((B_Drainage!$A$5:$A$204&lt;&gt;"")*(B_Drainage!$A$5:$A$204&lt;=$B607)*(B_Drainage!$B$5:$B$204&gt;$B607)*(B_Drainage!$E$5:$E$204&lt;&gt;"")),IF(B_Drainage!$E$5:$E$204="-","",1)),"")</f>
        <v/>
      </c>
      <c r="U607" s="181" t="str">
        <f>IFERROR(LOOKUP(2,1/((B_Drainage!$A$5:$A$204&lt;&gt;"")*(B_Drainage!$A$5:$A$204&lt;=$B607)*(B_Drainage!$B$5:$B$204&gt;$B607)*(B_Drainage!$E$5:$E$204&lt;&gt;"")),IF(B_Drainage!$E$5:$E$204="-","",B_Drainage!$E$5:$E$204)),"")</f>
        <v/>
      </c>
      <c r="V607" s="181" t="str">
        <f>IFERROR(LOOKUP(2,1/((B_Drainage!$A$5:$A$204&lt;&gt;"")*(B_Drainage!$A$5:$A$204&lt;=$B607)*(B_Drainage!$B$5:$B$204&gt;$B607)*(B_Drainage!$F$5:$F$204&lt;&gt;"")),IF(B_Drainage!$F$5:$F$204="-","",1)),"")</f>
        <v/>
      </c>
      <c r="W607" s="181" t="str">
        <f>IFERROR(LOOKUP(2,1/((B_Drainage!$A$5:$A$204&lt;&gt;"")*(B_Drainage!$A$5:$A$204&lt;=$B607)*(B_Drainage!$B$5:$B$204&gt;$B607)*(B_Drainage!$F$5:$F$204&lt;&gt;"")),IF(B_Drainage!$F$5:$F$204="-","",B_Drainage!$F$5:$F$204)),"")</f>
        <v/>
      </c>
      <c r="X607" s="181" t="str">
        <f>IFERROR(LOOKUP(2,1/((B_Drainage!$A$5:$A$204&lt;&gt;"")*(B_Drainage!$A$5:$A$204&lt;=$B607)*(B_Drainage!$B$5:$B$204&gt;$B607)*(B_Drainage!$G$5:$G$204&lt;&gt;"")),IF(UPPER(B_Drainage!$G$5:$G$204)="Y",1,"")),"")</f>
        <v/>
      </c>
      <c r="Y607" s="181" t="str">
        <f>IFERROR(LOOKUP(2,1/((B_Drainage!$A$5:$A$204&lt;&gt;"")*(B_Drainage!$A$5:$A$204&lt;=$B607)*(B_Drainage!$B$5:$B$204&gt;$B607)*(B_Drainage!$H$5:$H$204&lt;&gt;"")),IF(UPPER(B_Drainage!$H$5:$H$204)="Y",1,"")),"")</f>
        <v/>
      </c>
      <c r="Z607" s="181" t="str">
        <f>IFERROR(LOOKUP(2,1/((B_Drainage!$A$5:$A$204&lt;&gt;"")*(B_Drainage!$A$5:$A$204&lt;=$B607)*(B_Drainage!$B$5:$B$204&gt;$B607)*(B_Drainage!$I$5:$I$204&lt;&gt;"")),IF(UPPER(B_Drainage!$I$5:$I$204)="Y",1,"")),"")</f>
        <v/>
      </c>
      <c r="AA607" s="181" t="str">
        <f>IFERROR(LOOKUP(2,1/((B_Drainage!$A$5:$A$204&lt;&gt;"")*(B_Drainage!$A$5:$A$204&lt;=$B607)*(B_Drainage!$B$5:$B$204&gt;$B607)*(B_Drainage!$J$5:$J$204&lt;&gt;"")),IF(UPPER(B_Drainage!$J$5:$J$204)="Y",1,"")),"")</f>
        <v/>
      </c>
      <c r="AB607" s="182" t="str">
        <f>IFERROR(LOOKUP(2,1/((B_Drainage!$A$5:$A$204&lt;&gt;"")*(B_Drainage!$A$5:$A$204&lt;=$B607)*(B_Drainage!$B$5:$B$204&gt;$B607)*(B_Drainage!$K$5:$K$204&lt;&gt;"")),IF(B_Drainage!$K$5:$K$204="-","",B_Drainage!$K$5:$K$204)),"")</f>
        <v/>
      </c>
      <c r="AC607" s="182" t="str">
        <f>IFERROR(LOOKUP(2,1/((B_Drainage!$A$5:$A$204&lt;&gt;"")*(B_Drainage!$A$5:$A$204&lt;=$B607)*(B_Drainage!$B$5:$B$204&gt;$B607)*(B_Drainage!$L$5:$L$204&lt;&gt;"")),IF(B_Drainage!$L$5:$L$204="-","",B_Drainage!$L$5:$L$204)),"")</f>
        <v/>
      </c>
      <c r="AD607" s="182" t="str">
        <f>IFERROR(LOOKUP(2,1/((D_Points!$A$5:$A$204&lt;&gt;"")*(D_Points!$A$5:$A$204&gt;=$B607)*(D_Points!$A$5:$A$204&lt;$B607+P_Interval)*(UPPER(TRIM(D_Points!$B$5:$B$204))="TURNOUT_L")*(D_Points!$H$5:$H$204&lt;&gt;"")),D_Points!$H$5:$H$204),"")</f>
        <v/>
      </c>
      <c r="AE607" s="182" t="str">
        <f>IFERROR(LOOKUP(2,1/((D_Points!$A$5:$A$204&lt;&gt;"")*(D_Points!$A$5:$A$204&gt;=$B607)*(D_Points!$A$5:$A$204&lt;$B607+P_Interval)*(UPPER(TRIM(D_Points!$B$5:$B$204))="TURNOUT_R")*(D_Points!$H$5:$H$204&lt;&gt;"")),D_Points!$H$5:$H$204),"")</f>
        <v/>
      </c>
      <c r="AF607" s="181" t="str">
        <f>IFERROR(LOOKUP(2,1/((B_Drainage!$A$5:$A$204&lt;&gt;"")*(B_Drainage!$A$5:$A$204&lt;=$B607)*(B_Drainage!$B$5:$B$204&gt;$B607)*(B_Drainage!$M$5:$M$204&lt;&gt;"")),IF(UPPER(B_Drainage!$M$5:$M$204)="Y",1,"")),"")</f>
        <v/>
      </c>
      <c r="AG607" s="181" t="str">
        <f>IFERROR(LOOKUP(2,1/((B_Drainage!$A$5:$A$204&lt;&gt;"")*(B_Drainage!$A$5:$A$204&lt;=$B607)*(B_Drainage!$B$5:$B$204&gt;$B607)*(B_Drainage!$N$5:$N$204&lt;&gt;"")),IF(UPPER(B_Drainage!$N$5:$N$204)="Y",1,"")),"")</f>
        <v/>
      </c>
      <c r="AH607" s="181" t="str">
        <f t="shared" si="72"/>
        <v/>
      </c>
      <c r="AI607" s="181" t="str">
        <f t="shared" si="73"/>
        <v/>
      </c>
      <c r="AJ607" s="181" t="str">
        <f t="shared" si="74"/>
        <v/>
      </c>
      <c r="AK607" s="181" t="str">
        <f t="shared" si="75"/>
        <v/>
      </c>
      <c r="AL607" s="181" t="str">
        <f t="shared" si="76"/>
        <v/>
      </c>
      <c r="AM607" s="181" t="str">
        <f t="shared" si="77"/>
        <v/>
      </c>
      <c r="AN607" s="181" t="str">
        <f t="shared" si="78"/>
        <v/>
      </c>
      <c r="AO607" s="192" t="str">
        <f t="shared" si="79"/>
        <v/>
      </c>
      <c r="AQ607" t="str">
        <f>IFERROR(LOOKUP(2,1/((C_Pavement!$A$5:$A$204&lt;&gt;"")*(C_Pavement!$A$5:$A$204&lt;=$B607)*(C_Pavement!$B$5:$B$204&gt;$B607)*(C_Pavement!$C$5:$C$204&lt;&gt;"")),ROW(C_Pavement!$C$5:$C$204)-4),"")</f>
        <v/>
      </c>
      <c r="AR607" t="str">
        <f>IF($AQ607="","",UPPER(TRIM(INDEX(C_Pavement!$C$5:$C$204,$AQ607))))</f>
        <v/>
      </c>
      <c r="AS607" t="str">
        <f>IF($AR607="","",IFERROR(MATCH($AR607,E_Rules!$A$5:$A$9,0),""))</f>
        <v/>
      </c>
      <c r="AT607" t="str">
        <f>IF($AQ607="","",IF(INDEX(C_Pavement!$D$5:$D$204,$AQ607)&lt;&gt;"",UPPER(TRIM(INDEX(C_Pavement!$D$5:$D$204,$AQ607))),IF($AS607="","",INDEX(E_Rules!$C$5:$C$9,$AS607))))</f>
        <v/>
      </c>
      <c r="AU607" t="str">
        <f>IF($AQ607="","",IF(INDEX(C_Pavement!$E$5:$E$204,$AQ607)&lt;&gt;"",IF(INDEX(C_Pavement!$E$5:$E$204,$AQ607)="-","",INDEX(C_Pavement!$E$5:$E$204,$AQ607)),IF($AS607="","",INDEX(E_Rules!$D$5:$D$9,$AS607))))</f>
        <v/>
      </c>
      <c r="AV607" t="str">
        <f>IF($AQ607="","",IF(INDEX(C_Pavement!$F$5:$F$204,$AQ607)&lt;&gt;"",IF(INDEX(C_Pavement!$F$5:$F$204,$AQ607)="-","",INDEX(C_Pavement!$F$5:$F$204,$AQ607)),IF($AS607="","",INDEX(E_Rules!$E$5:$E$9,$AS607))))</f>
        <v/>
      </c>
      <c r="AW607" t="str">
        <f>IF($AQ607="","",IF(INDEX(C_Pavement!$G$5:$G$204,$AQ607)&lt;&gt;"",IF(INDEX(C_Pavement!$G$5:$G$204,$AQ607)="-","",INDEX(C_Pavement!$G$5:$G$204,$AQ607)),IF($AS607="","",INDEX(E_Rules!$F$5:$F$9,$AS607))))</f>
        <v/>
      </c>
      <c r="AX607" t="str">
        <f>IF($AQ607="","",IF(INDEX(C_Pavement!$H$5:$H$204,$AQ607)&lt;&gt;"",IF(INDEX(C_Pavement!$H$5:$H$204,$AQ607)="-","",INDEX(C_Pavement!$H$5:$H$204,$AQ607)),IF($AS607="","",INDEX(E_Rules!$G$5:$G$9,$AS607))))</f>
        <v/>
      </c>
      <c r="AY607" t="str">
        <f>IF($AQ607="","",IF(INDEX(C_Pavement!$I$5:$I$204,$AQ607)&lt;&gt;"",IF(INDEX(C_Pavement!$I$5:$I$204,$AQ607)="-","",INDEX(C_Pavement!$I$5:$I$204,$AQ607)),IF($AS607="","",INDEX(E_Rules!$H$5:$H$9,$AS607))))</f>
        <v/>
      </c>
    </row>
    <row r="608" spans="1:51" ht="15.75" customHeight="1" x14ac:dyDescent="0.3">
      <c r="A608" s="189">
        <v>603</v>
      </c>
      <c r="B608" s="180">
        <v>30100</v>
      </c>
      <c r="C608" s="180" t="s">
        <v>914</v>
      </c>
      <c r="D608" s="181" t="str">
        <f>IFERROR(LOOKUP(2,1/((A_Corridor!$A$5:$A$204&lt;&gt;"")*(A_Corridor!$A$5:$A$204&lt;=$B608)*(A_Corridor!$B$5:$B$204&gt;$B608)*(A_Corridor!$C$5:$C$204&lt;&gt;"")),IF(UPPER(A_Corridor!$C$5:$C$204)="Y",1,"")),"")</f>
        <v/>
      </c>
      <c r="E608" s="181" t="str">
        <f>IFERROR(LOOKUP(2,1/((A_Corridor!$A$5:$A$204&lt;&gt;"")*(A_Corridor!$A$5:$A$204&lt;=$B608)*(A_Corridor!$B$5:$B$204&gt;$B608)*(A_Corridor!$D$5:$D$204&lt;&gt;"")),IF(A_Corridor!$D$5:$D$204="-","",UPPER(A_Corridor!$D$5:$D$204))),"")</f>
        <v/>
      </c>
      <c r="F608" s="181" t="str">
        <f>IFERROR(LOOKUP(2,1/((A_Corridor!$A$5:$A$204&lt;&gt;"")*(A_Corridor!$A$5:$A$204&lt;=$B608)*(A_Corridor!$B$5:$B$204&gt;$B608)*(A_Corridor!$E$5:$E$204&lt;&gt;"")),IF(A_Corridor!$E$5:$E$204="-","",1)),"")</f>
        <v/>
      </c>
      <c r="G608" s="182" t="str">
        <f>IFERROR(LOOKUP(2,1/((A_Corridor!$A$5:$A$204&lt;&gt;"")*(A_Corridor!$A$5:$A$204&lt;=$B608)*(A_Corridor!$B$5:$B$204&gt;$B608)*(A_Corridor!$E$5:$E$204&lt;&gt;"")),IF(A_Corridor!$E$5:$E$204="-","",A_Corridor!$E$5:$E$204)),"")</f>
        <v/>
      </c>
      <c r="H608" s="182" t="str">
        <f>IFERROR(LOOKUP(2,1/((D_Points!$A$5:$A$204&lt;&gt;"")*(D_Points!$A$5:$A$204&gt;=$B608)*(D_Points!$A$5:$A$204&lt;$B608+P_Interval)*(UPPER(TRIM(D_Points!$B$5:$B$204))="GULLY")*(D_Points!$H$5:$H$204&lt;&gt;"")),D_Points!$H$5:$H$204),"")</f>
        <v/>
      </c>
      <c r="I608" s="181" t="str">
        <f>IFERROR(LOOKUP(2,1/((A_Corridor!$A$5:$A$204&lt;&gt;"")*(A_Corridor!$A$5:$A$204&lt;=$B608)*(A_Corridor!$B$5:$B$204&gt;$B608)*(A_Corridor!$F$5:$F$204&lt;&gt;"")),IF(A_Corridor!$F$5:$F$204="-","",1)),"")</f>
        <v/>
      </c>
      <c r="J608" s="182" t="str">
        <f>IFERROR(LOOKUP(2,1/((A_Corridor!$A$5:$A$204&lt;&gt;"")*(A_Corridor!$A$5:$A$204&lt;=$B608)*(A_Corridor!$B$5:$B$204&gt;$B608)*(A_Corridor!$F$5:$F$204&lt;&gt;"")),IF(A_Corridor!$F$5:$F$204="-","",A_Corridor!$F$5:$F$204)),"")</f>
        <v/>
      </c>
      <c r="K608" s="182" t="str">
        <f>IFERROR(LOOKUP(2,1/((A_Corridor!$A$5:$A$204&lt;&gt;"")*(A_Corridor!$A$5:$A$204&lt;=$B608)*(A_Corridor!$B$5:$B$204&gt;$B608)*(A_Corridor!$G$5:$G$204&lt;&gt;"")),IF(A_Corridor!$G$5:$G$204="-","",A_Corridor!$G$5:$G$204)),"")</f>
        <v/>
      </c>
      <c r="L608" s="181" t="str">
        <f>IFERROR(LOOKUP(2,1/((A_Corridor!$A$5:$A$204&lt;&gt;"")*(A_Corridor!$A$5:$A$204&lt;=$B608)*(A_Corridor!$B$5:$B$204&gt;$B608)*(A_Corridor!$H$5:$H$204&lt;&gt;"")),IF(A_Corridor!$H$5:$H$204="-","",1)),"")</f>
        <v/>
      </c>
      <c r="M608" s="182" t="str">
        <f>IFERROR(LOOKUP(2,1/((A_Corridor!$A$5:$A$204&lt;&gt;"")*(A_Corridor!$A$5:$A$204&lt;=$B608)*(A_Corridor!$B$5:$B$204&gt;$B608)*(A_Corridor!$H$5:$H$204&lt;&gt;"")),IF(A_Corridor!$H$5:$H$204="-","",A_Corridor!$H$5:$H$204)),"")</f>
        <v/>
      </c>
      <c r="N608" s="182" t="str">
        <f>IFERROR(LOOKUP(2,1/((A_Corridor!$A$5:$A$204&lt;&gt;"")*(A_Corridor!$A$5:$A$204&lt;=$B608)*(A_Corridor!$B$5:$B$204&gt;$B608)*(A_Corridor!$I$5:$I$204&lt;&gt;"")),IF(A_Corridor!$I$5:$I$204="-","",A_Corridor!$I$5:$I$204)),"")</f>
        <v/>
      </c>
      <c r="O608" s="182" t="str">
        <f>IFERROR(LOOKUP(2,1/((D_Points!$A$5:$A$204&lt;&gt;"")*(D_Points!$A$5:$A$204&gt;=$B608)*(D_Points!$A$5:$A$204&lt;$B608+P_Interval)*(UPPER(TRIM(D_Points!$B$5:$B$204))="PITCHING")*(D_Points!$H$5:$H$204&lt;&gt;"")),D_Points!$H$5:$H$204),"")</f>
        <v/>
      </c>
      <c r="P608" s="181" t="str">
        <f>IFERROR(LOOKUP(2,1/((B_Drainage!$A$5:$A$204&lt;&gt;"")*(B_Drainage!$A$5:$A$204&lt;=$B608)*(B_Drainage!$B$5:$B$204&gt;$B608)*(B_Drainage!$C$5:$C$204&lt;&gt;"")),IF(B_Drainage!$C$5:$C$204="-","",UPPER(B_Drainage!$C$5:$C$204))),"")</f>
        <v/>
      </c>
      <c r="Q608" s="181" t="str">
        <f>IFERROR(LOOKUP(2,1/((B_Drainage!$A$5:$A$204&lt;&gt;"")*(B_Drainage!$A$5:$A$204&lt;=$B608)*(B_Drainage!$B$5:$B$204&gt;$B608)*(B_Drainage!$D$5:$D$204&lt;&gt;"")),IF(B_Drainage!$D$5:$D$204="-","",UPPER(B_Drainage!$D$5:$D$204))),"")</f>
        <v/>
      </c>
      <c r="R608" s="182" t="str">
        <f>IFERROR(LOOKUP(2,1/((D_Points!$A$5:$A$204&lt;&gt;"")*(D_Points!$A$5:$A$204&gt;=$B608)*(D_Points!$A$5:$A$204&lt;$B608+P_Interval)*(RIGHT(UPPER(TRIM(D_Points!$B$5:$B$204)),8)="_CULVERT")),IF(LEFT(UPPER(TRIM(D_Points!$B$5:$B$204)),2)="EX",1,IF(LEFT(UPPER(TRIM(D_Points!$B$5:$B$204)),2)="PR",2,3))),"")</f>
        <v/>
      </c>
      <c r="S608" s="182" t="str">
        <f>IFERROR(LOOKUP(2,1/((D_Points!$A$5:$A$204&lt;&gt;"")*(D_Points!$A$5:$A$204&gt;=$B608)*(D_Points!$A$5:$A$204&lt;$B608+P_Interval)*(RIGHT(UPPER(TRIM(D_Points!$B$5:$B$204)),7)="_BRIDGE")),IF(LEFT(UPPER(TRIM(D_Points!$B$5:$B$204)),2)="EX",1,IF(LEFT(UPPER(TRIM(D_Points!$B$5:$B$204)),2)="PR",2,2))),"")</f>
        <v/>
      </c>
      <c r="T608" s="181" t="str">
        <f>IFERROR(LOOKUP(2,1/((B_Drainage!$A$5:$A$204&lt;&gt;"")*(B_Drainage!$A$5:$A$204&lt;=$B608)*(B_Drainage!$B$5:$B$204&gt;$B608)*(B_Drainage!$E$5:$E$204&lt;&gt;"")),IF(B_Drainage!$E$5:$E$204="-","",1)),"")</f>
        <v/>
      </c>
      <c r="U608" s="181" t="str">
        <f>IFERROR(LOOKUP(2,1/((B_Drainage!$A$5:$A$204&lt;&gt;"")*(B_Drainage!$A$5:$A$204&lt;=$B608)*(B_Drainage!$B$5:$B$204&gt;$B608)*(B_Drainage!$E$5:$E$204&lt;&gt;"")),IF(B_Drainage!$E$5:$E$204="-","",B_Drainage!$E$5:$E$204)),"")</f>
        <v/>
      </c>
      <c r="V608" s="181" t="str">
        <f>IFERROR(LOOKUP(2,1/((B_Drainage!$A$5:$A$204&lt;&gt;"")*(B_Drainage!$A$5:$A$204&lt;=$B608)*(B_Drainage!$B$5:$B$204&gt;$B608)*(B_Drainage!$F$5:$F$204&lt;&gt;"")),IF(B_Drainage!$F$5:$F$204="-","",1)),"")</f>
        <v/>
      </c>
      <c r="W608" s="181" t="str">
        <f>IFERROR(LOOKUP(2,1/((B_Drainage!$A$5:$A$204&lt;&gt;"")*(B_Drainage!$A$5:$A$204&lt;=$B608)*(B_Drainage!$B$5:$B$204&gt;$B608)*(B_Drainage!$F$5:$F$204&lt;&gt;"")),IF(B_Drainage!$F$5:$F$204="-","",B_Drainage!$F$5:$F$204)),"")</f>
        <v/>
      </c>
      <c r="X608" s="181" t="str">
        <f>IFERROR(LOOKUP(2,1/((B_Drainage!$A$5:$A$204&lt;&gt;"")*(B_Drainage!$A$5:$A$204&lt;=$B608)*(B_Drainage!$B$5:$B$204&gt;$B608)*(B_Drainage!$G$5:$G$204&lt;&gt;"")),IF(UPPER(B_Drainage!$G$5:$G$204)="Y",1,"")),"")</f>
        <v/>
      </c>
      <c r="Y608" s="181" t="str">
        <f>IFERROR(LOOKUP(2,1/((B_Drainage!$A$5:$A$204&lt;&gt;"")*(B_Drainage!$A$5:$A$204&lt;=$B608)*(B_Drainage!$B$5:$B$204&gt;$B608)*(B_Drainage!$H$5:$H$204&lt;&gt;"")),IF(UPPER(B_Drainage!$H$5:$H$204)="Y",1,"")),"")</f>
        <v/>
      </c>
      <c r="Z608" s="181" t="str">
        <f>IFERROR(LOOKUP(2,1/((B_Drainage!$A$5:$A$204&lt;&gt;"")*(B_Drainage!$A$5:$A$204&lt;=$B608)*(B_Drainage!$B$5:$B$204&gt;$B608)*(B_Drainage!$I$5:$I$204&lt;&gt;"")),IF(UPPER(B_Drainage!$I$5:$I$204)="Y",1,"")),"")</f>
        <v/>
      </c>
      <c r="AA608" s="181" t="str">
        <f>IFERROR(LOOKUP(2,1/((B_Drainage!$A$5:$A$204&lt;&gt;"")*(B_Drainage!$A$5:$A$204&lt;=$B608)*(B_Drainage!$B$5:$B$204&gt;$B608)*(B_Drainage!$J$5:$J$204&lt;&gt;"")),IF(UPPER(B_Drainage!$J$5:$J$204)="Y",1,"")),"")</f>
        <v/>
      </c>
      <c r="AB608" s="182" t="str">
        <f>IFERROR(LOOKUP(2,1/((B_Drainage!$A$5:$A$204&lt;&gt;"")*(B_Drainage!$A$5:$A$204&lt;=$B608)*(B_Drainage!$B$5:$B$204&gt;$B608)*(B_Drainage!$K$5:$K$204&lt;&gt;"")),IF(B_Drainage!$K$5:$K$204="-","",B_Drainage!$K$5:$K$204)),"")</f>
        <v/>
      </c>
      <c r="AC608" s="182" t="str">
        <f>IFERROR(LOOKUP(2,1/((B_Drainage!$A$5:$A$204&lt;&gt;"")*(B_Drainage!$A$5:$A$204&lt;=$B608)*(B_Drainage!$B$5:$B$204&gt;$B608)*(B_Drainage!$L$5:$L$204&lt;&gt;"")),IF(B_Drainage!$L$5:$L$204="-","",B_Drainage!$L$5:$L$204)),"")</f>
        <v/>
      </c>
      <c r="AD608" s="182" t="str">
        <f>IFERROR(LOOKUP(2,1/((D_Points!$A$5:$A$204&lt;&gt;"")*(D_Points!$A$5:$A$204&gt;=$B608)*(D_Points!$A$5:$A$204&lt;$B608+P_Interval)*(UPPER(TRIM(D_Points!$B$5:$B$204))="TURNOUT_L")*(D_Points!$H$5:$H$204&lt;&gt;"")),D_Points!$H$5:$H$204),"")</f>
        <v/>
      </c>
      <c r="AE608" s="182" t="str">
        <f>IFERROR(LOOKUP(2,1/((D_Points!$A$5:$A$204&lt;&gt;"")*(D_Points!$A$5:$A$204&gt;=$B608)*(D_Points!$A$5:$A$204&lt;$B608+P_Interval)*(UPPER(TRIM(D_Points!$B$5:$B$204))="TURNOUT_R")*(D_Points!$H$5:$H$204&lt;&gt;"")),D_Points!$H$5:$H$204),"")</f>
        <v/>
      </c>
      <c r="AF608" s="181" t="str">
        <f>IFERROR(LOOKUP(2,1/((B_Drainage!$A$5:$A$204&lt;&gt;"")*(B_Drainage!$A$5:$A$204&lt;=$B608)*(B_Drainage!$B$5:$B$204&gt;$B608)*(B_Drainage!$M$5:$M$204&lt;&gt;"")),IF(UPPER(B_Drainage!$M$5:$M$204)="Y",1,"")),"")</f>
        <v/>
      </c>
      <c r="AG608" s="181" t="str">
        <f>IFERROR(LOOKUP(2,1/((B_Drainage!$A$5:$A$204&lt;&gt;"")*(B_Drainage!$A$5:$A$204&lt;=$B608)*(B_Drainage!$B$5:$B$204&gt;$B608)*(B_Drainage!$N$5:$N$204&lt;&gt;"")),IF(UPPER(B_Drainage!$N$5:$N$204)="Y",1,"")),"")</f>
        <v/>
      </c>
      <c r="AH608" s="181" t="str">
        <f t="shared" si="72"/>
        <v/>
      </c>
      <c r="AI608" s="181" t="str">
        <f t="shared" si="73"/>
        <v/>
      </c>
      <c r="AJ608" s="181" t="str">
        <f t="shared" si="74"/>
        <v/>
      </c>
      <c r="AK608" s="181" t="str">
        <f t="shared" si="75"/>
        <v/>
      </c>
      <c r="AL608" s="181" t="str">
        <f t="shared" si="76"/>
        <v/>
      </c>
      <c r="AM608" s="181" t="str">
        <f t="shared" si="77"/>
        <v/>
      </c>
      <c r="AN608" s="181" t="str">
        <f t="shared" si="78"/>
        <v/>
      </c>
      <c r="AO608" s="192" t="str">
        <f t="shared" si="79"/>
        <v/>
      </c>
      <c r="AQ608" t="str">
        <f>IFERROR(LOOKUP(2,1/((C_Pavement!$A$5:$A$204&lt;&gt;"")*(C_Pavement!$A$5:$A$204&lt;=$B608)*(C_Pavement!$B$5:$B$204&gt;$B608)*(C_Pavement!$C$5:$C$204&lt;&gt;"")),ROW(C_Pavement!$C$5:$C$204)-4),"")</f>
        <v/>
      </c>
      <c r="AR608" t="str">
        <f>IF($AQ608="","",UPPER(TRIM(INDEX(C_Pavement!$C$5:$C$204,$AQ608))))</f>
        <v/>
      </c>
      <c r="AS608" t="str">
        <f>IF($AR608="","",IFERROR(MATCH($AR608,E_Rules!$A$5:$A$9,0),""))</f>
        <v/>
      </c>
      <c r="AT608" t="str">
        <f>IF($AQ608="","",IF(INDEX(C_Pavement!$D$5:$D$204,$AQ608)&lt;&gt;"",UPPER(TRIM(INDEX(C_Pavement!$D$5:$D$204,$AQ608))),IF($AS608="","",INDEX(E_Rules!$C$5:$C$9,$AS608))))</f>
        <v/>
      </c>
      <c r="AU608" t="str">
        <f>IF($AQ608="","",IF(INDEX(C_Pavement!$E$5:$E$204,$AQ608)&lt;&gt;"",IF(INDEX(C_Pavement!$E$5:$E$204,$AQ608)="-","",INDEX(C_Pavement!$E$5:$E$204,$AQ608)),IF($AS608="","",INDEX(E_Rules!$D$5:$D$9,$AS608))))</f>
        <v/>
      </c>
      <c r="AV608" t="str">
        <f>IF($AQ608="","",IF(INDEX(C_Pavement!$F$5:$F$204,$AQ608)&lt;&gt;"",IF(INDEX(C_Pavement!$F$5:$F$204,$AQ608)="-","",INDEX(C_Pavement!$F$5:$F$204,$AQ608)),IF($AS608="","",INDEX(E_Rules!$E$5:$E$9,$AS608))))</f>
        <v/>
      </c>
      <c r="AW608" t="str">
        <f>IF($AQ608="","",IF(INDEX(C_Pavement!$G$5:$G$204,$AQ608)&lt;&gt;"",IF(INDEX(C_Pavement!$G$5:$G$204,$AQ608)="-","",INDEX(C_Pavement!$G$5:$G$204,$AQ608)),IF($AS608="","",INDEX(E_Rules!$F$5:$F$9,$AS608))))</f>
        <v/>
      </c>
      <c r="AX608" t="str">
        <f>IF($AQ608="","",IF(INDEX(C_Pavement!$H$5:$H$204,$AQ608)&lt;&gt;"",IF(INDEX(C_Pavement!$H$5:$H$204,$AQ608)="-","",INDEX(C_Pavement!$H$5:$H$204,$AQ608)),IF($AS608="","",INDEX(E_Rules!$G$5:$G$9,$AS608))))</f>
        <v/>
      </c>
      <c r="AY608" t="str">
        <f>IF($AQ608="","",IF(INDEX(C_Pavement!$I$5:$I$204,$AQ608)&lt;&gt;"",IF(INDEX(C_Pavement!$I$5:$I$204,$AQ608)="-","",INDEX(C_Pavement!$I$5:$I$204,$AQ608)),IF($AS608="","",INDEX(E_Rules!$H$5:$H$9,$AS608))))</f>
        <v/>
      </c>
    </row>
    <row r="609" spans="1:51" ht="15.75" customHeight="1" x14ac:dyDescent="0.3">
      <c r="A609" s="189">
        <v>604</v>
      </c>
      <c r="B609" s="180">
        <v>30150</v>
      </c>
      <c r="C609" s="180" t="s">
        <v>915</v>
      </c>
      <c r="D609" s="181" t="str">
        <f>IFERROR(LOOKUP(2,1/((A_Corridor!$A$5:$A$204&lt;&gt;"")*(A_Corridor!$A$5:$A$204&lt;=$B609)*(A_Corridor!$B$5:$B$204&gt;$B609)*(A_Corridor!$C$5:$C$204&lt;&gt;"")),IF(UPPER(A_Corridor!$C$5:$C$204)="Y",1,"")),"")</f>
        <v/>
      </c>
      <c r="E609" s="181" t="str">
        <f>IFERROR(LOOKUP(2,1/((A_Corridor!$A$5:$A$204&lt;&gt;"")*(A_Corridor!$A$5:$A$204&lt;=$B609)*(A_Corridor!$B$5:$B$204&gt;$B609)*(A_Corridor!$D$5:$D$204&lt;&gt;"")),IF(A_Corridor!$D$5:$D$204="-","",UPPER(A_Corridor!$D$5:$D$204))),"")</f>
        <v/>
      </c>
      <c r="F609" s="181" t="str">
        <f>IFERROR(LOOKUP(2,1/((A_Corridor!$A$5:$A$204&lt;&gt;"")*(A_Corridor!$A$5:$A$204&lt;=$B609)*(A_Corridor!$B$5:$B$204&gt;$B609)*(A_Corridor!$E$5:$E$204&lt;&gt;"")),IF(A_Corridor!$E$5:$E$204="-","",1)),"")</f>
        <v/>
      </c>
      <c r="G609" s="182" t="str">
        <f>IFERROR(LOOKUP(2,1/((A_Corridor!$A$5:$A$204&lt;&gt;"")*(A_Corridor!$A$5:$A$204&lt;=$B609)*(A_Corridor!$B$5:$B$204&gt;$B609)*(A_Corridor!$E$5:$E$204&lt;&gt;"")),IF(A_Corridor!$E$5:$E$204="-","",A_Corridor!$E$5:$E$204)),"")</f>
        <v/>
      </c>
      <c r="H609" s="182" t="str">
        <f>IFERROR(LOOKUP(2,1/((D_Points!$A$5:$A$204&lt;&gt;"")*(D_Points!$A$5:$A$204&gt;=$B609)*(D_Points!$A$5:$A$204&lt;$B609+P_Interval)*(UPPER(TRIM(D_Points!$B$5:$B$204))="GULLY")*(D_Points!$H$5:$H$204&lt;&gt;"")),D_Points!$H$5:$H$204),"")</f>
        <v/>
      </c>
      <c r="I609" s="181" t="str">
        <f>IFERROR(LOOKUP(2,1/((A_Corridor!$A$5:$A$204&lt;&gt;"")*(A_Corridor!$A$5:$A$204&lt;=$B609)*(A_Corridor!$B$5:$B$204&gt;$B609)*(A_Corridor!$F$5:$F$204&lt;&gt;"")),IF(A_Corridor!$F$5:$F$204="-","",1)),"")</f>
        <v/>
      </c>
      <c r="J609" s="182" t="str">
        <f>IFERROR(LOOKUP(2,1/((A_Corridor!$A$5:$A$204&lt;&gt;"")*(A_Corridor!$A$5:$A$204&lt;=$B609)*(A_Corridor!$B$5:$B$204&gt;$B609)*(A_Corridor!$F$5:$F$204&lt;&gt;"")),IF(A_Corridor!$F$5:$F$204="-","",A_Corridor!$F$5:$F$204)),"")</f>
        <v/>
      </c>
      <c r="K609" s="182" t="str">
        <f>IFERROR(LOOKUP(2,1/((A_Corridor!$A$5:$A$204&lt;&gt;"")*(A_Corridor!$A$5:$A$204&lt;=$B609)*(A_Corridor!$B$5:$B$204&gt;$B609)*(A_Corridor!$G$5:$G$204&lt;&gt;"")),IF(A_Corridor!$G$5:$G$204="-","",A_Corridor!$G$5:$G$204)),"")</f>
        <v/>
      </c>
      <c r="L609" s="181" t="str">
        <f>IFERROR(LOOKUP(2,1/((A_Corridor!$A$5:$A$204&lt;&gt;"")*(A_Corridor!$A$5:$A$204&lt;=$B609)*(A_Corridor!$B$5:$B$204&gt;$B609)*(A_Corridor!$H$5:$H$204&lt;&gt;"")),IF(A_Corridor!$H$5:$H$204="-","",1)),"")</f>
        <v/>
      </c>
      <c r="M609" s="182" t="str">
        <f>IFERROR(LOOKUP(2,1/((A_Corridor!$A$5:$A$204&lt;&gt;"")*(A_Corridor!$A$5:$A$204&lt;=$B609)*(A_Corridor!$B$5:$B$204&gt;$B609)*(A_Corridor!$H$5:$H$204&lt;&gt;"")),IF(A_Corridor!$H$5:$H$204="-","",A_Corridor!$H$5:$H$204)),"")</f>
        <v/>
      </c>
      <c r="N609" s="182" t="str">
        <f>IFERROR(LOOKUP(2,1/((A_Corridor!$A$5:$A$204&lt;&gt;"")*(A_Corridor!$A$5:$A$204&lt;=$B609)*(A_Corridor!$B$5:$B$204&gt;$B609)*(A_Corridor!$I$5:$I$204&lt;&gt;"")),IF(A_Corridor!$I$5:$I$204="-","",A_Corridor!$I$5:$I$204)),"")</f>
        <v/>
      </c>
      <c r="O609" s="182" t="str">
        <f>IFERROR(LOOKUP(2,1/((D_Points!$A$5:$A$204&lt;&gt;"")*(D_Points!$A$5:$A$204&gt;=$B609)*(D_Points!$A$5:$A$204&lt;$B609+P_Interval)*(UPPER(TRIM(D_Points!$B$5:$B$204))="PITCHING")*(D_Points!$H$5:$H$204&lt;&gt;"")),D_Points!$H$5:$H$204),"")</f>
        <v/>
      </c>
      <c r="P609" s="181" t="str">
        <f>IFERROR(LOOKUP(2,1/((B_Drainage!$A$5:$A$204&lt;&gt;"")*(B_Drainage!$A$5:$A$204&lt;=$B609)*(B_Drainage!$B$5:$B$204&gt;$B609)*(B_Drainage!$C$5:$C$204&lt;&gt;"")),IF(B_Drainage!$C$5:$C$204="-","",UPPER(B_Drainage!$C$5:$C$204))),"")</f>
        <v/>
      </c>
      <c r="Q609" s="181" t="str">
        <f>IFERROR(LOOKUP(2,1/((B_Drainage!$A$5:$A$204&lt;&gt;"")*(B_Drainage!$A$5:$A$204&lt;=$B609)*(B_Drainage!$B$5:$B$204&gt;$B609)*(B_Drainage!$D$5:$D$204&lt;&gt;"")),IF(B_Drainage!$D$5:$D$204="-","",UPPER(B_Drainage!$D$5:$D$204))),"")</f>
        <v/>
      </c>
      <c r="R609" s="182" t="str">
        <f>IFERROR(LOOKUP(2,1/((D_Points!$A$5:$A$204&lt;&gt;"")*(D_Points!$A$5:$A$204&gt;=$B609)*(D_Points!$A$5:$A$204&lt;$B609+P_Interval)*(RIGHT(UPPER(TRIM(D_Points!$B$5:$B$204)),8)="_CULVERT")),IF(LEFT(UPPER(TRIM(D_Points!$B$5:$B$204)),2)="EX",1,IF(LEFT(UPPER(TRIM(D_Points!$B$5:$B$204)),2)="PR",2,3))),"")</f>
        <v/>
      </c>
      <c r="S609" s="182" t="str">
        <f>IFERROR(LOOKUP(2,1/((D_Points!$A$5:$A$204&lt;&gt;"")*(D_Points!$A$5:$A$204&gt;=$B609)*(D_Points!$A$5:$A$204&lt;$B609+P_Interval)*(RIGHT(UPPER(TRIM(D_Points!$B$5:$B$204)),7)="_BRIDGE")),IF(LEFT(UPPER(TRIM(D_Points!$B$5:$B$204)),2)="EX",1,IF(LEFT(UPPER(TRIM(D_Points!$B$5:$B$204)),2)="PR",2,2))),"")</f>
        <v/>
      </c>
      <c r="T609" s="181" t="str">
        <f>IFERROR(LOOKUP(2,1/((B_Drainage!$A$5:$A$204&lt;&gt;"")*(B_Drainage!$A$5:$A$204&lt;=$B609)*(B_Drainage!$B$5:$B$204&gt;$B609)*(B_Drainage!$E$5:$E$204&lt;&gt;"")),IF(B_Drainage!$E$5:$E$204="-","",1)),"")</f>
        <v/>
      </c>
      <c r="U609" s="181" t="str">
        <f>IFERROR(LOOKUP(2,1/((B_Drainage!$A$5:$A$204&lt;&gt;"")*(B_Drainage!$A$5:$A$204&lt;=$B609)*(B_Drainage!$B$5:$B$204&gt;$B609)*(B_Drainage!$E$5:$E$204&lt;&gt;"")),IF(B_Drainage!$E$5:$E$204="-","",B_Drainage!$E$5:$E$204)),"")</f>
        <v/>
      </c>
      <c r="V609" s="181" t="str">
        <f>IFERROR(LOOKUP(2,1/((B_Drainage!$A$5:$A$204&lt;&gt;"")*(B_Drainage!$A$5:$A$204&lt;=$B609)*(B_Drainage!$B$5:$B$204&gt;$B609)*(B_Drainage!$F$5:$F$204&lt;&gt;"")),IF(B_Drainage!$F$5:$F$204="-","",1)),"")</f>
        <v/>
      </c>
      <c r="W609" s="181" t="str">
        <f>IFERROR(LOOKUP(2,1/((B_Drainage!$A$5:$A$204&lt;&gt;"")*(B_Drainage!$A$5:$A$204&lt;=$B609)*(B_Drainage!$B$5:$B$204&gt;$B609)*(B_Drainage!$F$5:$F$204&lt;&gt;"")),IF(B_Drainage!$F$5:$F$204="-","",B_Drainage!$F$5:$F$204)),"")</f>
        <v/>
      </c>
      <c r="X609" s="181" t="str">
        <f>IFERROR(LOOKUP(2,1/((B_Drainage!$A$5:$A$204&lt;&gt;"")*(B_Drainage!$A$5:$A$204&lt;=$B609)*(B_Drainage!$B$5:$B$204&gt;$B609)*(B_Drainage!$G$5:$G$204&lt;&gt;"")),IF(UPPER(B_Drainage!$G$5:$G$204)="Y",1,"")),"")</f>
        <v/>
      </c>
      <c r="Y609" s="181" t="str">
        <f>IFERROR(LOOKUP(2,1/((B_Drainage!$A$5:$A$204&lt;&gt;"")*(B_Drainage!$A$5:$A$204&lt;=$B609)*(B_Drainage!$B$5:$B$204&gt;$B609)*(B_Drainage!$H$5:$H$204&lt;&gt;"")),IF(UPPER(B_Drainage!$H$5:$H$204)="Y",1,"")),"")</f>
        <v/>
      </c>
      <c r="Z609" s="181" t="str">
        <f>IFERROR(LOOKUP(2,1/((B_Drainage!$A$5:$A$204&lt;&gt;"")*(B_Drainage!$A$5:$A$204&lt;=$B609)*(B_Drainage!$B$5:$B$204&gt;$B609)*(B_Drainage!$I$5:$I$204&lt;&gt;"")),IF(UPPER(B_Drainage!$I$5:$I$204)="Y",1,"")),"")</f>
        <v/>
      </c>
      <c r="AA609" s="181" t="str">
        <f>IFERROR(LOOKUP(2,1/((B_Drainage!$A$5:$A$204&lt;&gt;"")*(B_Drainage!$A$5:$A$204&lt;=$B609)*(B_Drainage!$B$5:$B$204&gt;$B609)*(B_Drainage!$J$5:$J$204&lt;&gt;"")),IF(UPPER(B_Drainage!$J$5:$J$204)="Y",1,"")),"")</f>
        <v/>
      </c>
      <c r="AB609" s="182" t="str">
        <f>IFERROR(LOOKUP(2,1/((B_Drainage!$A$5:$A$204&lt;&gt;"")*(B_Drainage!$A$5:$A$204&lt;=$B609)*(B_Drainage!$B$5:$B$204&gt;$B609)*(B_Drainage!$K$5:$K$204&lt;&gt;"")),IF(B_Drainage!$K$5:$K$204="-","",B_Drainage!$K$5:$K$204)),"")</f>
        <v/>
      </c>
      <c r="AC609" s="182" t="str">
        <f>IFERROR(LOOKUP(2,1/((B_Drainage!$A$5:$A$204&lt;&gt;"")*(B_Drainage!$A$5:$A$204&lt;=$B609)*(B_Drainage!$B$5:$B$204&gt;$B609)*(B_Drainage!$L$5:$L$204&lt;&gt;"")),IF(B_Drainage!$L$5:$L$204="-","",B_Drainage!$L$5:$L$204)),"")</f>
        <v/>
      </c>
      <c r="AD609" s="182" t="str">
        <f>IFERROR(LOOKUP(2,1/((D_Points!$A$5:$A$204&lt;&gt;"")*(D_Points!$A$5:$A$204&gt;=$B609)*(D_Points!$A$5:$A$204&lt;$B609+P_Interval)*(UPPER(TRIM(D_Points!$B$5:$B$204))="TURNOUT_L")*(D_Points!$H$5:$H$204&lt;&gt;"")),D_Points!$H$5:$H$204),"")</f>
        <v/>
      </c>
      <c r="AE609" s="182" t="str">
        <f>IFERROR(LOOKUP(2,1/((D_Points!$A$5:$A$204&lt;&gt;"")*(D_Points!$A$5:$A$204&gt;=$B609)*(D_Points!$A$5:$A$204&lt;$B609+P_Interval)*(UPPER(TRIM(D_Points!$B$5:$B$204))="TURNOUT_R")*(D_Points!$H$5:$H$204&lt;&gt;"")),D_Points!$H$5:$H$204),"")</f>
        <v/>
      </c>
      <c r="AF609" s="181" t="str">
        <f>IFERROR(LOOKUP(2,1/((B_Drainage!$A$5:$A$204&lt;&gt;"")*(B_Drainage!$A$5:$A$204&lt;=$B609)*(B_Drainage!$B$5:$B$204&gt;$B609)*(B_Drainage!$M$5:$M$204&lt;&gt;"")),IF(UPPER(B_Drainage!$M$5:$M$204)="Y",1,"")),"")</f>
        <v/>
      </c>
      <c r="AG609" s="181" t="str">
        <f>IFERROR(LOOKUP(2,1/((B_Drainage!$A$5:$A$204&lt;&gt;"")*(B_Drainage!$A$5:$A$204&lt;=$B609)*(B_Drainage!$B$5:$B$204&gt;$B609)*(B_Drainage!$N$5:$N$204&lt;&gt;"")),IF(UPPER(B_Drainage!$N$5:$N$204)="Y",1,"")),"")</f>
        <v/>
      </c>
      <c r="AH609" s="181" t="str">
        <f t="shared" si="72"/>
        <v/>
      </c>
      <c r="AI609" s="181" t="str">
        <f t="shared" si="73"/>
        <v/>
      </c>
      <c r="AJ609" s="181" t="str">
        <f t="shared" si="74"/>
        <v/>
      </c>
      <c r="AK609" s="181" t="str">
        <f t="shared" si="75"/>
        <v/>
      </c>
      <c r="AL609" s="181" t="str">
        <f t="shared" si="76"/>
        <v/>
      </c>
      <c r="AM609" s="181" t="str">
        <f t="shared" si="77"/>
        <v/>
      </c>
      <c r="AN609" s="181" t="str">
        <f t="shared" si="78"/>
        <v/>
      </c>
      <c r="AO609" s="192" t="str">
        <f t="shared" si="79"/>
        <v/>
      </c>
      <c r="AQ609" t="str">
        <f>IFERROR(LOOKUP(2,1/((C_Pavement!$A$5:$A$204&lt;&gt;"")*(C_Pavement!$A$5:$A$204&lt;=$B609)*(C_Pavement!$B$5:$B$204&gt;$B609)*(C_Pavement!$C$5:$C$204&lt;&gt;"")),ROW(C_Pavement!$C$5:$C$204)-4),"")</f>
        <v/>
      </c>
      <c r="AR609" t="str">
        <f>IF($AQ609="","",UPPER(TRIM(INDEX(C_Pavement!$C$5:$C$204,$AQ609))))</f>
        <v/>
      </c>
      <c r="AS609" t="str">
        <f>IF($AR609="","",IFERROR(MATCH($AR609,E_Rules!$A$5:$A$9,0),""))</f>
        <v/>
      </c>
      <c r="AT609" t="str">
        <f>IF($AQ609="","",IF(INDEX(C_Pavement!$D$5:$D$204,$AQ609)&lt;&gt;"",UPPER(TRIM(INDEX(C_Pavement!$D$5:$D$204,$AQ609))),IF($AS609="","",INDEX(E_Rules!$C$5:$C$9,$AS609))))</f>
        <v/>
      </c>
      <c r="AU609" t="str">
        <f>IF($AQ609="","",IF(INDEX(C_Pavement!$E$5:$E$204,$AQ609)&lt;&gt;"",IF(INDEX(C_Pavement!$E$5:$E$204,$AQ609)="-","",INDEX(C_Pavement!$E$5:$E$204,$AQ609)),IF($AS609="","",INDEX(E_Rules!$D$5:$D$9,$AS609))))</f>
        <v/>
      </c>
      <c r="AV609" t="str">
        <f>IF($AQ609="","",IF(INDEX(C_Pavement!$F$5:$F$204,$AQ609)&lt;&gt;"",IF(INDEX(C_Pavement!$F$5:$F$204,$AQ609)="-","",INDEX(C_Pavement!$F$5:$F$204,$AQ609)),IF($AS609="","",INDEX(E_Rules!$E$5:$E$9,$AS609))))</f>
        <v/>
      </c>
      <c r="AW609" t="str">
        <f>IF($AQ609="","",IF(INDEX(C_Pavement!$G$5:$G$204,$AQ609)&lt;&gt;"",IF(INDEX(C_Pavement!$G$5:$G$204,$AQ609)="-","",INDEX(C_Pavement!$G$5:$G$204,$AQ609)),IF($AS609="","",INDEX(E_Rules!$F$5:$F$9,$AS609))))</f>
        <v/>
      </c>
      <c r="AX609" t="str">
        <f>IF($AQ609="","",IF(INDEX(C_Pavement!$H$5:$H$204,$AQ609)&lt;&gt;"",IF(INDEX(C_Pavement!$H$5:$H$204,$AQ609)="-","",INDEX(C_Pavement!$H$5:$H$204,$AQ609)),IF($AS609="","",INDEX(E_Rules!$G$5:$G$9,$AS609))))</f>
        <v/>
      </c>
      <c r="AY609" t="str">
        <f>IF($AQ609="","",IF(INDEX(C_Pavement!$I$5:$I$204,$AQ609)&lt;&gt;"",IF(INDEX(C_Pavement!$I$5:$I$204,$AQ609)="-","",INDEX(C_Pavement!$I$5:$I$204,$AQ609)),IF($AS609="","",INDEX(E_Rules!$H$5:$H$9,$AS609))))</f>
        <v/>
      </c>
    </row>
    <row r="610" spans="1:51" ht="15.75" customHeight="1" x14ac:dyDescent="0.3">
      <c r="A610" s="189">
        <v>605</v>
      </c>
      <c r="B610" s="180">
        <v>30200</v>
      </c>
      <c r="C610" s="180" t="s">
        <v>916</v>
      </c>
      <c r="D610" s="181" t="str">
        <f>IFERROR(LOOKUP(2,1/((A_Corridor!$A$5:$A$204&lt;&gt;"")*(A_Corridor!$A$5:$A$204&lt;=$B610)*(A_Corridor!$B$5:$B$204&gt;$B610)*(A_Corridor!$C$5:$C$204&lt;&gt;"")),IF(UPPER(A_Corridor!$C$5:$C$204)="Y",1,"")),"")</f>
        <v/>
      </c>
      <c r="E610" s="181" t="str">
        <f>IFERROR(LOOKUP(2,1/((A_Corridor!$A$5:$A$204&lt;&gt;"")*(A_Corridor!$A$5:$A$204&lt;=$B610)*(A_Corridor!$B$5:$B$204&gt;$B610)*(A_Corridor!$D$5:$D$204&lt;&gt;"")),IF(A_Corridor!$D$5:$D$204="-","",UPPER(A_Corridor!$D$5:$D$204))),"")</f>
        <v/>
      </c>
      <c r="F610" s="181" t="str">
        <f>IFERROR(LOOKUP(2,1/((A_Corridor!$A$5:$A$204&lt;&gt;"")*(A_Corridor!$A$5:$A$204&lt;=$B610)*(A_Corridor!$B$5:$B$204&gt;$B610)*(A_Corridor!$E$5:$E$204&lt;&gt;"")),IF(A_Corridor!$E$5:$E$204="-","",1)),"")</f>
        <v/>
      </c>
      <c r="G610" s="182" t="str">
        <f>IFERROR(LOOKUP(2,1/((A_Corridor!$A$5:$A$204&lt;&gt;"")*(A_Corridor!$A$5:$A$204&lt;=$B610)*(A_Corridor!$B$5:$B$204&gt;$B610)*(A_Corridor!$E$5:$E$204&lt;&gt;"")),IF(A_Corridor!$E$5:$E$204="-","",A_Corridor!$E$5:$E$204)),"")</f>
        <v/>
      </c>
      <c r="H610" s="182" t="str">
        <f>IFERROR(LOOKUP(2,1/((D_Points!$A$5:$A$204&lt;&gt;"")*(D_Points!$A$5:$A$204&gt;=$B610)*(D_Points!$A$5:$A$204&lt;$B610+P_Interval)*(UPPER(TRIM(D_Points!$B$5:$B$204))="GULLY")*(D_Points!$H$5:$H$204&lt;&gt;"")),D_Points!$H$5:$H$204),"")</f>
        <v/>
      </c>
      <c r="I610" s="181" t="str">
        <f>IFERROR(LOOKUP(2,1/((A_Corridor!$A$5:$A$204&lt;&gt;"")*(A_Corridor!$A$5:$A$204&lt;=$B610)*(A_Corridor!$B$5:$B$204&gt;$B610)*(A_Corridor!$F$5:$F$204&lt;&gt;"")),IF(A_Corridor!$F$5:$F$204="-","",1)),"")</f>
        <v/>
      </c>
      <c r="J610" s="182" t="str">
        <f>IFERROR(LOOKUP(2,1/((A_Corridor!$A$5:$A$204&lt;&gt;"")*(A_Corridor!$A$5:$A$204&lt;=$B610)*(A_Corridor!$B$5:$B$204&gt;$B610)*(A_Corridor!$F$5:$F$204&lt;&gt;"")),IF(A_Corridor!$F$5:$F$204="-","",A_Corridor!$F$5:$F$204)),"")</f>
        <v/>
      </c>
      <c r="K610" s="182" t="str">
        <f>IFERROR(LOOKUP(2,1/((A_Corridor!$A$5:$A$204&lt;&gt;"")*(A_Corridor!$A$5:$A$204&lt;=$B610)*(A_Corridor!$B$5:$B$204&gt;$B610)*(A_Corridor!$G$5:$G$204&lt;&gt;"")),IF(A_Corridor!$G$5:$G$204="-","",A_Corridor!$G$5:$G$204)),"")</f>
        <v/>
      </c>
      <c r="L610" s="181" t="str">
        <f>IFERROR(LOOKUP(2,1/((A_Corridor!$A$5:$A$204&lt;&gt;"")*(A_Corridor!$A$5:$A$204&lt;=$B610)*(A_Corridor!$B$5:$B$204&gt;$B610)*(A_Corridor!$H$5:$H$204&lt;&gt;"")),IF(A_Corridor!$H$5:$H$204="-","",1)),"")</f>
        <v/>
      </c>
      <c r="M610" s="182" t="str">
        <f>IFERROR(LOOKUP(2,1/((A_Corridor!$A$5:$A$204&lt;&gt;"")*(A_Corridor!$A$5:$A$204&lt;=$B610)*(A_Corridor!$B$5:$B$204&gt;$B610)*(A_Corridor!$H$5:$H$204&lt;&gt;"")),IF(A_Corridor!$H$5:$H$204="-","",A_Corridor!$H$5:$H$204)),"")</f>
        <v/>
      </c>
      <c r="N610" s="182" t="str">
        <f>IFERROR(LOOKUP(2,1/((A_Corridor!$A$5:$A$204&lt;&gt;"")*(A_Corridor!$A$5:$A$204&lt;=$B610)*(A_Corridor!$B$5:$B$204&gt;$B610)*(A_Corridor!$I$5:$I$204&lt;&gt;"")),IF(A_Corridor!$I$5:$I$204="-","",A_Corridor!$I$5:$I$204)),"")</f>
        <v/>
      </c>
      <c r="O610" s="182" t="str">
        <f>IFERROR(LOOKUP(2,1/((D_Points!$A$5:$A$204&lt;&gt;"")*(D_Points!$A$5:$A$204&gt;=$B610)*(D_Points!$A$5:$A$204&lt;$B610+P_Interval)*(UPPER(TRIM(D_Points!$B$5:$B$204))="PITCHING")*(D_Points!$H$5:$H$204&lt;&gt;"")),D_Points!$H$5:$H$204),"")</f>
        <v/>
      </c>
      <c r="P610" s="181" t="str">
        <f>IFERROR(LOOKUP(2,1/((B_Drainage!$A$5:$A$204&lt;&gt;"")*(B_Drainage!$A$5:$A$204&lt;=$B610)*(B_Drainage!$B$5:$B$204&gt;$B610)*(B_Drainage!$C$5:$C$204&lt;&gt;"")),IF(B_Drainage!$C$5:$C$204="-","",UPPER(B_Drainage!$C$5:$C$204))),"")</f>
        <v/>
      </c>
      <c r="Q610" s="181" t="str">
        <f>IFERROR(LOOKUP(2,1/((B_Drainage!$A$5:$A$204&lt;&gt;"")*(B_Drainage!$A$5:$A$204&lt;=$B610)*(B_Drainage!$B$5:$B$204&gt;$B610)*(B_Drainage!$D$5:$D$204&lt;&gt;"")),IF(B_Drainage!$D$5:$D$204="-","",UPPER(B_Drainage!$D$5:$D$204))),"")</f>
        <v/>
      </c>
      <c r="R610" s="182" t="str">
        <f>IFERROR(LOOKUP(2,1/((D_Points!$A$5:$A$204&lt;&gt;"")*(D_Points!$A$5:$A$204&gt;=$B610)*(D_Points!$A$5:$A$204&lt;$B610+P_Interval)*(RIGHT(UPPER(TRIM(D_Points!$B$5:$B$204)),8)="_CULVERT")),IF(LEFT(UPPER(TRIM(D_Points!$B$5:$B$204)),2)="EX",1,IF(LEFT(UPPER(TRIM(D_Points!$B$5:$B$204)),2)="PR",2,3))),"")</f>
        <v/>
      </c>
      <c r="S610" s="182" t="str">
        <f>IFERROR(LOOKUP(2,1/((D_Points!$A$5:$A$204&lt;&gt;"")*(D_Points!$A$5:$A$204&gt;=$B610)*(D_Points!$A$5:$A$204&lt;$B610+P_Interval)*(RIGHT(UPPER(TRIM(D_Points!$B$5:$B$204)),7)="_BRIDGE")),IF(LEFT(UPPER(TRIM(D_Points!$B$5:$B$204)),2)="EX",1,IF(LEFT(UPPER(TRIM(D_Points!$B$5:$B$204)),2)="PR",2,2))),"")</f>
        <v/>
      </c>
      <c r="T610" s="181" t="str">
        <f>IFERROR(LOOKUP(2,1/((B_Drainage!$A$5:$A$204&lt;&gt;"")*(B_Drainage!$A$5:$A$204&lt;=$B610)*(B_Drainage!$B$5:$B$204&gt;$B610)*(B_Drainage!$E$5:$E$204&lt;&gt;"")),IF(B_Drainage!$E$5:$E$204="-","",1)),"")</f>
        <v/>
      </c>
      <c r="U610" s="181" t="str">
        <f>IFERROR(LOOKUP(2,1/((B_Drainage!$A$5:$A$204&lt;&gt;"")*(B_Drainage!$A$5:$A$204&lt;=$B610)*(B_Drainage!$B$5:$B$204&gt;$B610)*(B_Drainage!$E$5:$E$204&lt;&gt;"")),IF(B_Drainage!$E$5:$E$204="-","",B_Drainage!$E$5:$E$204)),"")</f>
        <v/>
      </c>
      <c r="V610" s="181" t="str">
        <f>IFERROR(LOOKUP(2,1/((B_Drainage!$A$5:$A$204&lt;&gt;"")*(B_Drainage!$A$5:$A$204&lt;=$B610)*(B_Drainage!$B$5:$B$204&gt;$B610)*(B_Drainage!$F$5:$F$204&lt;&gt;"")),IF(B_Drainage!$F$5:$F$204="-","",1)),"")</f>
        <v/>
      </c>
      <c r="W610" s="181" t="str">
        <f>IFERROR(LOOKUP(2,1/((B_Drainage!$A$5:$A$204&lt;&gt;"")*(B_Drainage!$A$5:$A$204&lt;=$B610)*(B_Drainage!$B$5:$B$204&gt;$B610)*(B_Drainage!$F$5:$F$204&lt;&gt;"")),IF(B_Drainage!$F$5:$F$204="-","",B_Drainage!$F$5:$F$204)),"")</f>
        <v/>
      </c>
      <c r="X610" s="181" t="str">
        <f>IFERROR(LOOKUP(2,1/((B_Drainage!$A$5:$A$204&lt;&gt;"")*(B_Drainage!$A$5:$A$204&lt;=$B610)*(B_Drainage!$B$5:$B$204&gt;$B610)*(B_Drainage!$G$5:$G$204&lt;&gt;"")),IF(UPPER(B_Drainage!$G$5:$G$204)="Y",1,"")),"")</f>
        <v/>
      </c>
      <c r="Y610" s="181" t="str">
        <f>IFERROR(LOOKUP(2,1/((B_Drainage!$A$5:$A$204&lt;&gt;"")*(B_Drainage!$A$5:$A$204&lt;=$B610)*(B_Drainage!$B$5:$B$204&gt;$B610)*(B_Drainage!$H$5:$H$204&lt;&gt;"")),IF(UPPER(B_Drainage!$H$5:$H$204)="Y",1,"")),"")</f>
        <v/>
      </c>
      <c r="Z610" s="181" t="str">
        <f>IFERROR(LOOKUP(2,1/((B_Drainage!$A$5:$A$204&lt;&gt;"")*(B_Drainage!$A$5:$A$204&lt;=$B610)*(B_Drainage!$B$5:$B$204&gt;$B610)*(B_Drainage!$I$5:$I$204&lt;&gt;"")),IF(UPPER(B_Drainage!$I$5:$I$204)="Y",1,"")),"")</f>
        <v/>
      </c>
      <c r="AA610" s="181" t="str">
        <f>IFERROR(LOOKUP(2,1/((B_Drainage!$A$5:$A$204&lt;&gt;"")*(B_Drainage!$A$5:$A$204&lt;=$B610)*(B_Drainage!$B$5:$B$204&gt;$B610)*(B_Drainage!$J$5:$J$204&lt;&gt;"")),IF(UPPER(B_Drainage!$J$5:$J$204)="Y",1,"")),"")</f>
        <v/>
      </c>
      <c r="AB610" s="182" t="str">
        <f>IFERROR(LOOKUP(2,1/((B_Drainage!$A$5:$A$204&lt;&gt;"")*(B_Drainage!$A$5:$A$204&lt;=$B610)*(B_Drainage!$B$5:$B$204&gt;$B610)*(B_Drainage!$K$5:$K$204&lt;&gt;"")),IF(B_Drainage!$K$5:$K$204="-","",B_Drainage!$K$5:$K$204)),"")</f>
        <v/>
      </c>
      <c r="AC610" s="182" t="str">
        <f>IFERROR(LOOKUP(2,1/((B_Drainage!$A$5:$A$204&lt;&gt;"")*(B_Drainage!$A$5:$A$204&lt;=$B610)*(B_Drainage!$B$5:$B$204&gt;$B610)*(B_Drainage!$L$5:$L$204&lt;&gt;"")),IF(B_Drainage!$L$5:$L$204="-","",B_Drainage!$L$5:$L$204)),"")</f>
        <v/>
      </c>
      <c r="AD610" s="182" t="str">
        <f>IFERROR(LOOKUP(2,1/((D_Points!$A$5:$A$204&lt;&gt;"")*(D_Points!$A$5:$A$204&gt;=$B610)*(D_Points!$A$5:$A$204&lt;$B610+P_Interval)*(UPPER(TRIM(D_Points!$B$5:$B$204))="TURNOUT_L")*(D_Points!$H$5:$H$204&lt;&gt;"")),D_Points!$H$5:$H$204),"")</f>
        <v/>
      </c>
      <c r="AE610" s="182" t="str">
        <f>IFERROR(LOOKUP(2,1/((D_Points!$A$5:$A$204&lt;&gt;"")*(D_Points!$A$5:$A$204&gt;=$B610)*(D_Points!$A$5:$A$204&lt;$B610+P_Interval)*(UPPER(TRIM(D_Points!$B$5:$B$204))="TURNOUT_R")*(D_Points!$H$5:$H$204&lt;&gt;"")),D_Points!$H$5:$H$204),"")</f>
        <v/>
      </c>
      <c r="AF610" s="181" t="str">
        <f>IFERROR(LOOKUP(2,1/((B_Drainage!$A$5:$A$204&lt;&gt;"")*(B_Drainage!$A$5:$A$204&lt;=$B610)*(B_Drainage!$B$5:$B$204&gt;$B610)*(B_Drainage!$M$5:$M$204&lt;&gt;"")),IF(UPPER(B_Drainage!$M$5:$M$204)="Y",1,"")),"")</f>
        <v/>
      </c>
      <c r="AG610" s="181" t="str">
        <f>IFERROR(LOOKUP(2,1/((B_Drainage!$A$5:$A$204&lt;&gt;"")*(B_Drainage!$A$5:$A$204&lt;=$B610)*(B_Drainage!$B$5:$B$204&gt;$B610)*(B_Drainage!$N$5:$N$204&lt;&gt;"")),IF(UPPER(B_Drainage!$N$5:$N$204)="Y",1,"")),"")</f>
        <v/>
      </c>
      <c r="AH610" s="181" t="str">
        <f t="shared" si="72"/>
        <v/>
      </c>
      <c r="AI610" s="181" t="str">
        <f t="shared" si="73"/>
        <v/>
      </c>
      <c r="AJ610" s="181" t="str">
        <f t="shared" si="74"/>
        <v/>
      </c>
      <c r="AK610" s="181" t="str">
        <f t="shared" si="75"/>
        <v/>
      </c>
      <c r="AL610" s="181" t="str">
        <f t="shared" si="76"/>
        <v/>
      </c>
      <c r="AM610" s="181" t="str">
        <f t="shared" si="77"/>
        <v/>
      </c>
      <c r="AN610" s="181" t="str">
        <f t="shared" si="78"/>
        <v/>
      </c>
      <c r="AO610" s="192" t="str">
        <f t="shared" si="79"/>
        <v/>
      </c>
      <c r="AQ610" t="str">
        <f>IFERROR(LOOKUP(2,1/((C_Pavement!$A$5:$A$204&lt;&gt;"")*(C_Pavement!$A$5:$A$204&lt;=$B610)*(C_Pavement!$B$5:$B$204&gt;$B610)*(C_Pavement!$C$5:$C$204&lt;&gt;"")),ROW(C_Pavement!$C$5:$C$204)-4),"")</f>
        <v/>
      </c>
      <c r="AR610" t="str">
        <f>IF($AQ610="","",UPPER(TRIM(INDEX(C_Pavement!$C$5:$C$204,$AQ610))))</f>
        <v/>
      </c>
      <c r="AS610" t="str">
        <f>IF($AR610="","",IFERROR(MATCH($AR610,E_Rules!$A$5:$A$9,0),""))</f>
        <v/>
      </c>
      <c r="AT610" t="str">
        <f>IF($AQ610="","",IF(INDEX(C_Pavement!$D$5:$D$204,$AQ610)&lt;&gt;"",UPPER(TRIM(INDEX(C_Pavement!$D$5:$D$204,$AQ610))),IF($AS610="","",INDEX(E_Rules!$C$5:$C$9,$AS610))))</f>
        <v/>
      </c>
      <c r="AU610" t="str">
        <f>IF($AQ610="","",IF(INDEX(C_Pavement!$E$5:$E$204,$AQ610)&lt;&gt;"",IF(INDEX(C_Pavement!$E$5:$E$204,$AQ610)="-","",INDEX(C_Pavement!$E$5:$E$204,$AQ610)),IF($AS610="","",INDEX(E_Rules!$D$5:$D$9,$AS610))))</f>
        <v/>
      </c>
      <c r="AV610" t="str">
        <f>IF($AQ610="","",IF(INDEX(C_Pavement!$F$5:$F$204,$AQ610)&lt;&gt;"",IF(INDEX(C_Pavement!$F$5:$F$204,$AQ610)="-","",INDEX(C_Pavement!$F$5:$F$204,$AQ610)),IF($AS610="","",INDEX(E_Rules!$E$5:$E$9,$AS610))))</f>
        <v/>
      </c>
      <c r="AW610" t="str">
        <f>IF($AQ610="","",IF(INDEX(C_Pavement!$G$5:$G$204,$AQ610)&lt;&gt;"",IF(INDEX(C_Pavement!$G$5:$G$204,$AQ610)="-","",INDEX(C_Pavement!$G$5:$G$204,$AQ610)),IF($AS610="","",INDEX(E_Rules!$F$5:$F$9,$AS610))))</f>
        <v/>
      </c>
      <c r="AX610" t="str">
        <f>IF($AQ610="","",IF(INDEX(C_Pavement!$H$5:$H$204,$AQ610)&lt;&gt;"",IF(INDEX(C_Pavement!$H$5:$H$204,$AQ610)="-","",INDEX(C_Pavement!$H$5:$H$204,$AQ610)),IF($AS610="","",INDEX(E_Rules!$G$5:$G$9,$AS610))))</f>
        <v/>
      </c>
      <c r="AY610" t="str">
        <f>IF($AQ610="","",IF(INDEX(C_Pavement!$I$5:$I$204,$AQ610)&lt;&gt;"",IF(INDEX(C_Pavement!$I$5:$I$204,$AQ610)="-","",INDEX(C_Pavement!$I$5:$I$204,$AQ610)),IF($AS610="","",INDEX(E_Rules!$H$5:$H$9,$AS610))))</f>
        <v/>
      </c>
    </row>
    <row r="611" spans="1:51" ht="15.75" customHeight="1" x14ac:dyDescent="0.3">
      <c r="A611" s="189">
        <v>606</v>
      </c>
      <c r="B611" s="180">
        <v>30250</v>
      </c>
      <c r="C611" s="180" t="s">
        <v>917</v>
      </c>
      <c r="D611" s="181" t="str">
        <f>IFERROR(LOOKUP(2,1/((A_Corridor!$A$5:$A$204&lt;&gt;"")*(A_Corridor!$A$5:$A$204&lt;=$B611)*(A_Corridor!$B$5:$B$204&gt;$B611)*(A_Corridor!$C$5:$C$204&lt;&gt;"")),IF(UPPER(A_Corridor!$C$5:$C$204)="Y",1,"")),"")</f>
        <v/>
      </c>
      <c r="E611" s="181" t="str">
        <f>IFERROR(LOOKUP(2,1/((A_Corridor!$A$5:$A$204&lt;&gt;"")*(A_Corridor!$A$5:$A$204&lt;=$B611)*(A_Corridor!$B$5:$B$204&gt;$B611)*(A_Corridor!$D$5:$D$204&lt;&gt;"")),IF(A_Corridor!$D$5:$D$204="-","",UPPER(A_Corridor!$D$5:$D$204))),"")</f>
        <v/>
      </c>
      <c r="F611" s="181" t="str">
        <f>IFERROR(LOOKUP(2,1/((A_Corridor!$A$5:$A$204&lt;&gt;"")*(A_Corridor!$A$5:$A$204&lt;=$B611)*(A_Corridor!$B$5:$B$204&gt;$B611)*(A_Corridor!$E$5:$E$204&lt;&gt;"")),IF(A_Corridor!$E$5:$E$204="-","",1)),"")</f>
        <v/>
      </c>
      <c r="G611" s="182" t="str">
        <f>IFERROR(LOOKUP(2,1/((A_Corridor!$A$5:$A$204&lt;&gt;"")*(A_Corridor!$A$5:$A$204&lt;=$B611)*(A_Corridor!$B$5:$B$204&gt;$B611)*(A_Corridor!$E$5:$E$204&lt;&gt;"")),IF(A_Corridor!$E$5:$E$204="-","",A_Corridor!$E$5:$E$204)),"")</f>
        <v/>
      </c>
      <c r="H611" s="182" t="str">
        <f>IFERROR(LOOKUP(2,1/((D_Points!$A$5:$A$204&lt;&gt;"")*(D_Points!$A$5:$A$204&gt;=$B611)*(D_Points!$A$5:$A$204&lt;$B611+P_Interval)*(UPPER(TRIM(D_Points!$B$5:$B$204))="GULLY")*(D_Points!$H$5:$H$204&lt;&gt;"")),D_Points!$H$5:$H$204),"")</f>
        <v/>
      </c>
      <c r="I611" s="181" t="str">
        <f>IFERROR(LOOKUP(2,1/((A_Corridor!$A$5:$A$204&lt;&gt;"")*(A_Corridor!$A$5:$A$204&lt;=$B611)*(A_Corridor!$B$5:$B$204&gt;$B611)*(A_Corridor!$F$5:$F$204&lt;&gt;"")),IF(A_Corridor!$F$5:$F$204="-","",1)),"")</f>
        <v/>
      </c>
      <c r="J611" s="182" t="str">
        <f>IFERROR(LOOKUP(2,1/((A_Corridor!$A$5:$A$204&lt;&gt;"")*(A_Corridor!$A$5:$A$204&lt;=$B611)*(A_Corridor!$B$5:$B$204&gt;$B611)*(A_Corridor!$F$5:$F$204&lt;&gt;"")),IF(A_Corridor!$F$5:$F$204="-","",A_Corridor!$F$5:$F$204)),"")</f>
        <v/>
      </c>
      <c r="K611" s="182" t="str">
        <f>IFERROR(LOOKUP(2,1/((A_Corridor!$A$5:$A$204&lt;&gt;"")*(A_Corridor!$A$5:$A$204&lt;=$B611)*(A_Corridor!$B$5:$B$204&gt;$B611)*(A_Corridor!$G$5:$G$204&lt;&gt;"")),IF(A_Corridor!$G$5:$G$204="-","",A_Corridor!$G$5:$G$204)),"")</f>
        <v/>
      </c>
      <c r="L611" s="181" t="str">
        <f>IFERROR(LOOKUP(2,1/((A_Corridor!$A$5:$A$204&lt;&gt;"")*(A_Corridor!$A$5:$A$204&lt;=$B611)*(A_Corridor!$B$5:$B$204&gt;$B611)*(A_Corridor!$H$5:$H$204&lt;&gt;"")),IF(A_Corridor!$H$5:$H$204="-","",1)),"")</f>
        <v/>
      </c>
      <c r="M611" s="182" t="str">
        <f>IFERROR(LOOKUP(2,1/((A_Corridor!$A$5:$A$204&lt;&gt;"")*(A_Corridor!$A$5:$A$204&lt;=$B611)*(A_Corridor!$B$5:$B$204&gt;$B611)*(A_Corridor!$H$5:$H$204&lt;&gt;"")),IF(A_Corridor!$H$5:$H$204="-","",A_Corridor!$H$5:$H$204)),"")</f>
        <v/>
      </c>
      <c r="N611" s="182" t="str">
        <f>IFERROR(LOOKUP(2,1/((A_Corridor!$A$5:$A$204&lt;&gt;"")*(A_Corridor!$A$5:$A$204&lt;=$B611)*(A_Corridor!$B$5:$B$204&gt;$B611)*(A_Corridor!$I$5:$I$204&lt;&gt;"")),IF(A_Corridor!$I$5:$I$204="-","",A_Corridor!$I$5:$I$204)),"")</f>
        <v/>
      </c>
      <c r="O611" s="182" t="str">
        <f>IFERROR(LOOKUP(2,1/((D_Points!$A$5:$A$204&lt;&gt;"")*(D_Points!$A$5:$A$204&gt;=$B611)*(D_Points!$A$5:$A$204&lt;$B611+P_Interval)*(UPPER(TRIM(D_Points!$B$5:$B$204))="PITCHING")*(D_Points!$H$5:$H$204&lt;&gt;"")),D_Points!$H$5:$H$204),"")</f>
        <v/>
      </c>
      <c r="P611" s="181" t="str">
        <f>IFERROR(LOOKUP(2,1/((B_Drainage!$A$5:$A$204&lt;&gt;"")*(B_Drainage!$A$5:$A$204&lt;=$B611)*(B_Drainage!$B$5:$B$204&gt;$B611)*(B_Drainage!$C$5:$C$204&lt;&gt;"")),IF(B_Drainage!$C$5:$C$204="-","",UPPER(B_Drainage!$C$5:$C$204))),"")</f>
        <v/>
      </c>
      <c r="Q611" s="181" t="str">
        <f>IFERROR(LOOKUP(2,1/((B_Drainage!$A$5:$A$204&lt;&gt;"")*(B_Drainage!$A$5:$A$204&lt;=$B611)*(B_Drainage!$B$5:$B$204&gt;$B611)*(B_Drainage!$D$5:$D$204&lt;&gt;"")),IF(B_Drainage!$D$5:$D$204="-","",UPPER(B_Drainage!$D$5:$D$204))),"")</f>
        <v/>
      </c>
      <c r="R611" s="182" t="str">
        <f>IFERROR(LOOKUP(2,1/((D_Points!$A$5:$A$204&lt;&gt;"")*(D_Points!$A$5:$A$204&gt;=$B611)*(D_Points!$A$5:$A$204&lt;$B611+P_Interval)*(RIGHT(UPPER(TRIM(D_Points!$B$5:$B$204)),8)="_CULVERT")),IF(LEFT(UPPER(TRIM(D_Points!$B$5:$B$204)),2)="EX",1,IF(LEFT(UPPER(TRIM(D_Points!$B$5:$B$204)),2)="PR",2,3))),"")</f>
        <v/>
      </c>
      <c r="S611" s="182" t="str">
        <f>IFERROR(LOOKUP(2,1/((D_Points!$A$5:$A$204&lt;&gt;"")*(D_Points!$A$5:$A$204&gt;=$B611)*(D_Points!$A$5:$A$204&lt;$B611+P_Interval)*(RIGHT(UPPER(TRIM(D_Points!$B$5:$B$204)),7)="_BRIDGE")),IF(LEFT(UPPER(TRIM(D_Points!$B$5:$B$204)),2)="EX",1,IF(LEFT(UPPER(TRIM(D_Points!$B$5:$B$204)),2)="PR",2,2))),"")</f>
        <v/>
      </c>
      <c r="T611" s="181" t="str">
        <f>IFERROR(LOOKUP(2,1/((B_Drainage!$A$5:$A$204&lt;&gt;"")*(B_Drainage!$A$5:$A$204&lt;=$B611)*(B_Drainage!$B$5:$B$204&gt;$B611)*(B_Drainage!$E$5:$E$204&lt;&gt;"")),IF(B_Drainage!$E$5:$E$204="-","",1)),"")</f>
        <v/>
      </c>
      <c r="U611" s="181" t="str">
        <f>IFERROR(LOOKUP(2,1/((B_Drainage!$A$5:$A$204&lt;&gt;"")*(B_Drainage!$A$5:$A$204&lt;=$B611)*(B_Drainage!$B$5:$B$204&gt;$B611)*(B_Drainage!$E$5:$E$204&lt;&gt;"")),IF(B_Drainage!$E$5:$E$204="-","",B_Drainage!$E$5:$E$204)),"")</f>
        <v/>
      </c>
      <c r="V611" s="181" t="str">
        <f>IFERROR(LOOKUP(2,1/((B_Drainage!$A$5:$A$204&lt;&gt;"")*(B_Drainage!$A$5:$A$204&lt;=$B611)*(B_Drainage!$B$5:$B$204&gt;$B611)*(B_Drainage!$F$5:$F$204&lt;&gt;"")),IF(B_Drainage!$F$5:$F$204="-","",1)),"")</f>
        <v/>
      </c>
      <c r="W611" s="181" t="str">
        <f>IFERROR(LOOKUP(2,1/((B_Drainage!$A$5:$A$204&lt;&gt;"")*(B_Drainage!$A$5:$A$204&lt;=$B611)*(B_Drainage!$B$5:$B$204&gt;$B611)*(B_Drainage!$F$5:$F$204&lt;&gt;"")),IF(B_Drainage!$F$5:$F$204="-","",B_Drainage!$F$5:$F$204)),"")</f>
        <v/>
      </c>
      <c r="X611" s="181" t="str">
        <f>IFERROR(LOOKUP(2,1/((B_Drainage!$A$5:$A$204&lt;&gt;"")*(B_Drainage!$A$5:$A$204&lt;=$B611)*(B_Drainage!$B$5:$B$204&gt;$B611)*(B_Drainage!$G$5:$G$204&lt;&gt;"")),IF(UPPER(B_Drainage!$G$5:$G$204)="Y",1,"")),"")</f>
        <v/>
      </c>
      <c r="Y611" s="181" t="str">
        <f>IFERROR(LOOKUP(2,1/((B_Drainage!$A$5:$A$204&lt;&gt;"")*(B_Drainage!$A$5:$A$204&lt;=$B611)*(B_Drainage!$B$5:$B$204&gt;$B611)*(B_Drainage!$H$5:$H$204&lt;&gt;"")),IF(UPPER(B_Drainage!$H$5:$H$204)="Y",1,"")),"")</f>
        <v/>
      </c>
      <c r="Z611" s="181" t="str">
        <f>IFERROR(LOOKUP(2,1/((B_Drainage!$A$5:$A$204&lt;&gt;"")*(B_Drainage!$A$5:$A$204&lt;=$B611)*(B_Drainage!$B$5:$B$204&gt;$B611)*(B_Drainage!$I$5:$I$204&lt;&gt;"")),IF(UPPER(B_Drainage!$I$5:$I$204)="Y",1,"")),"")</f>
        <v/>
      </c>
      <c r="AA611" s="181" t="str">
        <f>IFERROR(LOOKUP(2,1/((B_Drainage!$A$5:$A$204&lt;&gt;"")*(B_Drainage!$A$5:$A$204&lt;=$B611)*(B_Drainage!$B$5:$B$204&gt;$B611)*(B_Drainage!$J$5:$J$204&lt;&gt;"")),IF(UPPER(B_Drainage!$J$5:$J$204)="Y",1,"")),"")</f>
        <v/>
      </c>
      <c r="AB611" s="182" t="str">
        <f>IFERROR(LOOKUP(2,1/((B_Drainage!$A$5:$A$204&lt;&gt;"")*(B_Drainage!$A$5:$A$204&lt;=$B611)*(B_Drainage!$B$5:$B$204&gt;$B611)*(B_Drainage!$K$5:$K$204&lt;&gt;"")),IF(B_Drainage!$K$5:$K$204="-","",B_Drainage!$K$5:$K$204)),"")</f>
        <v/>
      </c>
      <c r="AC611" s="182" t="str">
        <f>IFERROR(LOOKUP(2,1/((B_Drainage!$A$5:$A$204&lt;&gt;"")*(B_Drainage!$A$5:$A$204&lt;=$B611)*(B_Drainage!$B$5:$B$204&gt;$B611)*(B_Drainage!$L$5:$L$204&lt;&gt;"")),IF(B_Drainage!$L$5:$L$204="-","",B_Drainage!$L$5:$L$204)),"")</f>
        <v/>
      </c>
      <c r="AD611" s="182" t="str">
        <f>IFERROR(LOOKUP(2,1/((D_Points!$A$5:$A$204&lt;&gt;"")*(D_Points!$A$5:$A$204&gt;=$B611)*(D_Points!$A$5:$A$204&lt;$B611+P_Interval)*(UPPER(TRIM(D_Points!$B$5:$B$204))="TURNOUT_L")*(D_Points!$H$5:$H$204&lt;&gt;"")),D_Points!$H$5:$H$204),"")</f>
        <v/>
      </c>
      <c r="AE611" s="182" t="str">
        <f>IFERROR(LOOKUP(2,1/((D_Points!$A$5:$A$204&lt;&gt;"")*(D_Points!$A$5:$A$204&gt;=$B611)*(D_Points!$A$5:$A$204&lt;$B611+P_Interval)*(UPPER(TRIM(D_Points!$B$5:$B$204))="TURNOUT_R")*(D_Points!$H$5:$H$204&lt;&gt;"")),D_Points!$H$5:$H$204),"")</f>
        <v/>
      </c>
      <c r="AF611" s="181" t="str">
        <f>IFERROR(LOOKUP(2,1/((B_Drainage!$A$5:$A$204&lt;&gt;"")*(B_Drainage!$A$5:$A$204&lt;=$B611)*(B_Drainage!$B$5:$B$204&gt;$B611)*(B_Drainage!$M$5:$M$204&lt;&gt;"")),IF(UPPER(B_Drainage!$M$5:$M$204)="Y",1,"")),"")</f>
        <v/>
      </c>
      <c r="AG611" s="181" t="str">
        <f>IFERROR(LOOKUP(2,1/((B_Drainage!$A$5:$A$204&lt;&gt;"")*(B_Drainage!$A$5:$A$204&lt;=$B611)*(B_Drainage!$B$5:$B$204&gt;$B611)*(B_Drainage!$N$5:$N$204&lt;&gt;"")),IF(UPPER(B_Drainage!$N$5:$N$204)="Y",1,"")),"")</f>
        <v/>
      </c>
      <c r="AH611" s="181" t="str">
        <f t="shared" si="72"/>
        <v/>
      </c>
      <c r="AI611" s="181" t="str">
        <f t="shared" si="73"/>
        <v/>
      </c>
      <c r="AJ611" s="181" t="str">
        <f t="shared" si="74"/>
        <v/>
      </c>
      <c r="AK611" s="181" t="str">
        <f t="shared" si="75"/>
        <v/>
      </c>
      <c r="AL611" s="181" t="str">
        <f t="shared" si="76"/>
        <v/>
      </c>
      <c r="AM611" s="181" t="str">
        <f t="shared" si="77"/>
        <v/>
      </c>
      <c r="AN611" s="181" t="str">
        <f t="shared" si="78"/>
        <v/>
      </c>
      <c r="AO611" s="192" t="str">
        <f t="shared" si="79"/>
        <v/>
      </c>
      <c r="AQ611" t="str">
        <f>IFERROR(LOOKUP(2,1/((C_Pavement!$A$5:$A$204&lt;&gt;"")*(C_Pavement!$A$5:$A$204&lt;=$B611)*(C_Pavement!$B$5:$B$204&gt;$B611)*(C_Pavement!$C$5:$C$204&lt;&gt;"")),ROW(C_Pavement!$C$5:$C$204)-4),"")</f>
        <v/>
      </c>
      <c r="AR611" t="str">
        <f>IF($AQ611="","",UPPER(TRIM(INDEX(C_Pavement!$C$5:$C$204,$AQ611))))</f>
        <v/>
      </c>
      <c r="AS611" t="str">
        <f>IF($AR611="","",IFERROR(MATCH($AR611,E_Rules!$A$5:$A$9,0),""))</f>
        <v/>
      </c>
      <c r="AT611" t="str">
        <f>IF($AQ611="","",IF(INDEX(C_Pavement!$D$5:$D$204,$AQ611)&lt;&gt;"",UPPER(TRIM(INDEX(C_Pavement!$D$5:$D$204,$AQ611))),IF($AS611="","",INDEX(E_Rules!$C$5:$C$9,$AS611))))</f>
        <v/>
      </c>
      <c r="AU611" t="str">
        <f>IF($AQ611="","",IF(INDEX(C_Pavement!$E$5:$E$204,$AQ611)&lt;&gt;"",IF(INDEX(C_Pavement!$E$5:$E$204,$AQ611)="-","",INDEX(C_Pavement!$E$5:$E$204,$AQ611)),IF($AS611="","",INDEX(E_Rules!$D$5:$D$9,$AS611))))</f>
        <v/>
      </c>
      <c r="AV611" t="str">
        <f>IF($AQ611="","",IF(INDEX(C_Pavement!$F$5:$F$204,$AQ611)&lt;&gt;"",IF(INDEX(C_Pavement!$F$5:$F$204,$AQ611)="-","",INDEX(C_Pavement!$F$5:$F$204,$AQ611)),IF($AS611="","",INDEX(E_Rules!$E$5:$E$9,$AS611))))</f>
        <v/>
      </c>
      <c r="AW611" t="str">
        <f>IF($AQ611="","",IF(INDEX(C_Pavement!$G$5:$G$204,$AQ611)&lt;&gt;"",IF(INDEX(C_Pavement!$G$5:$G$204,$AQ611)="-","",INDEX(C_Pavement!$G$5:$G$204,$AQ611)),IF($AS611="","",INDEX(E_Rules!$F$5:$F$9,$AS611))))</f>
        <v/>
      </c>
      <c r="AX611" t="str">
        <f>IF($AQ611="","",IF(INDEX(C_Pavement!$H$5:$H$204,$AQ611)&lt;&gt;"",IF(INDEX(C_Pavement!$H$5:$H$204,$AQ611)="-","",INDEX(C_Pavement!$H$5:$H$204,$AQ611)),IF($AS611="","",INDEX(E_Rules!$G$5:$G$9,$AS611))))</f>
        <v/>
      </c>
      <c r="AY611" t="str">
        <f>IF($AQ611="","",IF(INDEX(C_Pavement!$I$5:$I$204,$AQ611)&lt;&gt;"",IF(INDEX(C_Pavement!$I$5:$I$204,$AQ611)="-","",INDEX(C_Pavement!$I$5:$I$204,$AQ611)),IF($AS611="","",INDEX(E_Rules!$H$5:$H$9,$AS611))))</f>
        <v/>
      </c>
    </row>
    <row r="612" spans="1:51" ht="15.75" customHeight="1" x14ac:dyDescent="0.3">
      <c r="A612" s="189">
        <v>607</v>
      </c>
      <c r="B612" s="180">
        <v>30300</v>
      </c>
      <c r="C612" s="180" t="s">
        <v>918</v>
      </c>
      <c r="D612" s="181" t="str">
        <f>IFERROR(LOOKUP(2,1/((A_Corridor!$A$5:$A$204&lt;&gt;"")*(A_Corridor!$A$5:$A$204&lt;=$B612)*(A_Corridor!$B$5:$B$204&gt;$B612)*(A_Corridor!$C$5:$C$204&lt;&gt;"")),IF(UPPER(A_Corridor!$C$5:$C$204)="Y",1,"")),"")</f>
        <v/>
      </c>
      <c r="E612" s="181" t="str">
        <f>IFERROR(LOOKUP(2,1/((A_Corridor!$A$5:$A$204&lt;&gt;"")*(A_Corridor!$A$5:$A$204&lt;=$B612)*(A_Corridor!$B$5:$B$204&gt;$B612)*(A_Corridor!$D$5:$D$204&lt;&gt;"")),IF(A_Corridor!$D$5:$D$204="-","",UPPER(A_Corridor!$D$5:$D$204))),"")</f>
        <v/>
      </c>
      <c r="F612" s="181" t="str">
        <f>IFERROR(LOOKUP(2,1/((A_Corridor!$A$5:$A$204&lt;&gt;"")*(A_Corridor!$A$5:$A$204&lt;=$B612)*(A_Corridor!$B$5:$B$204&gt;$B612)*(A_Corridor!$E$5:$E$204&lt;&gt;"")),IF(A_Corridor!$E$5:$E$204="-","",1)),"")</f>
        <v/>
      </c>
      <c r="G612" s="182" t="str">
        <f>IFERROR(LOOKUP(2,1/((A_Corridor!$A$5:$A$204&lt;&gt;"")*(A_Corridor!$A$5:$A$204&lt;=$B612)*(A_Corridor!$B$5:$B$204&gt;$B612)*(A_Corridor!$E$5:$E$204&lt;&gt;"")),IF(A_Corridor!$E$5:$E$204="-","",A_Corridor!$E$5:$E$204)),"")</f>
        <v/>
      </c>
      <c r="H612" s="182" t="str">
        <f>IFERROR(LOOKUP(2,1/((D_Points!$A$5:$A$204&lt;&gt;"")*(D_Points!$A$5:$A$204&gt;=$B612)*(D_Points!$A$5:$A$204&lt;$B612+P_Interval)*(UPPER(TRIM(D_Points!$B$5:$B$204))="GULLY")*(D_Points!$H$5:$H$204&lt;&gt;"")),D_Points!$H$5:$H$204),"")</f>
        <v/>
      </c>
      <c r="I612" s="181" t="str">
        <f>IFERROR(LOOKUP(2,1/((A_Corridor!$A$5:$A$204&lt;&gt;"")*(A_Corridor!$A$5:$A$204&lt;=$B612)*(A_Corridor!$B$5:$B$204&gt;$B612)*(A_Corridor!$F$5:$F$204&lt;&gt;"")),IF(A_Corridor!$F$5:$F$204="-","",1)),"")</f>
        <v/>
      </c>
      <c r="J612" s="182" t="str">
        <f>IFERROR(LOOKUP(2,1/((A_Corridor!$A$5:$A$204&lt;&gt;"")*(A_Corridor!$A$5:$A$204&lt;=$B612)*(A_Corridor!$B$5:$B$204&gt;$B612)*(A_Corridor!$F$5:$F$204&lt;&gt;"")),IF(A_Corridor!$F$5:$F$204="-","",A_Corridor!$F$5:$F$204)),"")</f>
        <v/>
      </c>
      <c r="K612" s="182" t="str">
        <f>IFERROR(LOOKUP(2,1/((A_Corridor!$A$5:$A$204&lt;&gt;"")*(A_Corridor!$A$5:$A$204&lt;=$B612)*(A_Corridor!$B$5:$B$204&gt;$B612)*(A_Corridor!$G$5:$G$204&lt;&gt;"")),IF(A_Corridor!$G$5:$G$204="-","",A_Corridor!$G$5:$G$204)),"")</f>
        <v/>
      </c>
      <c r="L612" s="181" t="str">
        <f>IFERROR(LOOKUP(2,1/((A_Corridor!$A$5:$A$204&lt;&gt;"")*(A_Corridor!$A$5:$A$204&lt;=$B612)*(A_Corridor!$B$5:$B$204&gt;$B612)*(A_Corridor!$H$5:$H$204&lt;&gt;"")),IF(A_Corridor!$H$5:$H$204="-","",1)),"")</f>
        <v/>
      </c>
      <c r="M612" s="182" t="str">
        <f>IFERROR(LOOKUP(2,1/((A_Corridor!$A$5:$A$204&lt;&gt;"")*(A_Corridor!$A$5:$A$204&lt;=$B612)*(A_Corridor!$B$5:$B$204&gt;$B612)*(A_Corridor!$H$5:$H$204&lt;&gt;"")),IF(A_Corridor!$H$5:$H$204="-","",A_Corridor!$H$5:$H$204)),"")</f>
        <v/>
      </c>
      <c r="N612" s="182" t="str">
        <f>IFERROR(LOOKUP(2,1/((A_Corridor!$A$5:$A$204&lt;&gt;"")*(A_Corridor!$A$5:$A$204&lt;=$B612)*(A_Corridor!$B$5:$B$204&gt;$B612)*(A_Corridor!$I$5:$I$204&lt;&gt;"")),IF(A_Corridor!$I$5:$I$204="-","",A_Corridor!$I$5:$I$204)),"")</f>
        <v/>
      </c>
      <c r="O612" s="182" t="str">
        <f>IFERROR(LOOKUP(2,1/((D_Points!$A$5:$A$204&lt;&gt;"")*(D_Points!$A$5:$A$204&gt;=$B612)*(D_Points!$A$5:$A$204&lt;$B612+P_Interval)*(UPPER(TRIM(D_Points!$B$5:$B$204))="PITCHING")*(D_Points!$H$5:$H$204&lt;&gt;"")),D_Points!$H$5:$H$204),"")</f>
        <v/>
      </c>
      <c r="P612" s="181" t="str">
        <f>IFERROR(LOOKUP(2,1/((B_Drainage!$A$5:$A$204&lt;&gt;"")*(B_Drainage!$A$5:$A$204&lt;=$B612)*(B_Drainage!$B$5:$B$204&gt;$B612)*(B_Drainage!$C$5:$C$204&lt;&gt;"")),IF(B_Drainage!$C$5:$C$204="-","",UPPER(B_Drainage!$C$5:$C$204))),"")</f>
        <v/>
      </c>
      <c r="Q612" s="181" t="str">
        <f>IFERROR(LOOKUP(2,1/((B_Drainage!$A$5:$A$204&lt;&gt;"")*(B_Drainage!$A$5:$A$204&lt;=$B612)*(B_Drainage!$B$5:$B$204&gt;$B612)*(B_Drainage!$D$5:$D$204&lt;&gt;"")),IF(B_Drainage!$D$5:$D$204="-","",UPPER(B_Drainage!$D$5:$D$204))),"")</f>
        <v/>
      </c>
      <c r="R612" s="182" t="str">
        <f>IFERROR(LOOKUP(2,1/((D_Points!$A$5:$A$204&lt;&gt;"")*(D_Points!$A$5:$A$204&gt;=$B612)*(D_Points!$A$5:$A$204&lt;$B612+P_Interval)*(RIGHT(UPPER(TRIM(D_Points!$B$5:$B$204)),8)="_CULVERT")),IF(LEFT(UPPER(TRIM(D_Points!$B$5:$B$204)),2)="EX",1,IF(LEFT(UPPER(TRIM(D_Points!$B$5:$B$204)),2)="PR",2,3))),"")</f>
        <v/>
      </c>
      <c r="S612" s="182" t="str">
        <f>IFERROR(LOOKUP(2,1/((D_Points!$A$5:$A$204&lt;&gt;"")*(D_Points!$A$5:$A$204&gt;=$B612)*(D_Points!$A$5:$A$204&lt;$B612+P_Interval)*(RIGHT(UPPER(TRIM(D_Points!$B$5:$B$204)),7)="_BRIDGE")),IF(LEFT(UPPER(TRIM(D_Points!$B$5:$B$204)),2)="EX",1,IF(LEFT(UPPER(TRIM(D_Points!$B$5:$B$204)),2)="PR",2,2))),"")</f>
        <v/>
      </c>
      <c r="T612" s="181" t="str">
        <f>IFERROR(LOOKUP(2,1/((B_Drainage!$A$5:$A$204&lt;&gt;"")*(B_Drainage!$A$5:$A$204&lt;=$B612)*(B_Drainage!$B$5:$B$204&gt;$B612)*(B_Drainage!$E$5:$E$204&lt;&gt;"")),IF(B_Drainage!$E$5:$E$204="-","",1)),"")</f>
        <v/>
      </c>
      <c r="U612" s="181" t="str">
        <f>IFERROR(LOOKUP(2,1/((B_Drainage!$A$5:$A$204&lt;&gt;"")*(B_Drainage!$A$5:$A$204&lt;=$B612)*(B_Drainage!$B$5:$B$204&gt;$B612)*(B_Drainage!$E$5:$E$204&lt;&gt;"")),IF(B_Drainage!$E$5:$E$204="-","",B_Drainage!$E$5:$E$204)),"")</f>
        <v/>
      </c>
      <c r="V612" s="181" t="str">
        <f>IFERROR(LOOKUP(2,1/((B_Drainage!$A$5:$A$204&lt;&gt;"")*(B_Drainage!$A$5:$A$204&lt;=$B612)*(B_Drainage!$B$5:$B$204&gt;$B612)*(B_Drainage!$F$5:$F$204&lt;&gt;"")),IF(B_Drainage!$F$5:$F$204="-","",1)),"")</f>
        <v/>
      </c>
      <c r="W612" s="181" t="str">
        <f>IFERROR(LOOKUP(2,1/((B_Drainage!$A$5:$A$204&lt;&gt;"")*(B_Drainage!$A$5:$A$204&lt;=$B612)*(B_Drainage!$B$5:$B$204&gt;$B612)*(B_Drainage!$F$5:$F$204&lt;&gt;"")),IF(B_Drainage!$F$5:$F$204="-","",B_Drainage!$F$5:$F$204)),"")</f>
        <v/>
      </c>
      <c r="X612" s="181" t="str">
        <f>IFERROR(LOOKUP(2,1/((B_Drainage!$A$5:$A$204&lt;&gt;"")*(B_Drainage!$A$5:$A$204&lt;=$B612)*(B_Drainage!$B$5:$B$204&gt;$B612)*(B_Drainage!$G$5:$G$204&lt;&gt;"")),IF(UPPER(B_Drainage!$G$5:$G$204)="Y",1,"")),"")</f>
        <v/>
      </c>
      <c r="Y612" s="181" t="str">
        <f>IFERROR(LOOKUP(2,1/((B_Drainage!$A$5:$A$204&lt;&gt;"")*(B_Drainage!$A$5:$A$204&lt;=$B612)*(B_Drainage!$B$5:$B$204&gt;$B612)*(B_Drainage!$H$5:$H$204&lt;&gt;"")),IF(UPPER(B_Drainage!$H$5:$H$204)="Y",1,"")),"")</f>
        <v/>
      </c>
      <c r="Z612" s="181" t="str">
        <f>IFERROR(LOOKUP(2,1/((B_Drainage!$A$5:$A$204&lt;&gt;"")*(B_Drainage!$A$5:$A$204&lt;=$B612)*(B_Drainage!$B$5:$B$204&gt;$B612)*(B_Drainage!$I$5:$I$204&lt;&gt;"")),IF(UPPER(B_Drainage!$I$5:$I$204)="Y",1,"")),"")</f>
        <v/>
      </c>
      <c r="AA612" s="181" t="str">
        <f>IFERROR(LOOKUP(2,1/((B_Drainage!$A$5:$A$204&lt;&gt;"")*(B_Drainage!$A$5:$A$204&lt;=$B612)*(B_Drainage!$B$5:$B$204&gt;$B612)*(B_Drainage!$J$5:$J$204&lt;&gt;"")),IF(UPPER(B_Drainage!$J$5:$J$204)="Y",1,"")),"")</f>
        <v/>
      </c>
      <c r="AB612" s="182" t="str">
        <f>IFERROR(LOOKUP(2,1/((B_Drainage!$A$5:$A$204&lt;&gt;"")*(B_Drainage!$A$5:$A$204&lt;=$B612)*(B_Drainage!$B$5:$B$204&gt;$B612)*(B_Drainage!$K$5:$K$204&lt;&gt;"")),IF(B_Drainage!$K$5:$K$204="-","",B_Drainage!$K$5:$K$204)),"")</f>
        <v/>
      </c>
      <c r="AC612" s="182" t="str">
        <f>IFERROR(LOOKUP(2,1/((B_Drainage!$A$5:$A$204&lt;&gt;"")*(B_Drainage!$A$5:$A$204&lt;=$B612)*(B_Drainage!$B$5:$B$204&gt;$B612)*(B_Drainage!$L$5:$L$204&lt;&gt;"")),IF(B_Drainage!$L$5:$L$204="-","",B_Drainage!$L$5:$L$204)),"")</f>
        <v/>
      </c>
      <c r="AD612" s="182" t="str">
        <f>IFERROR(LOOKUP(2,1/((D_Points!$A$5:$A$204&lt;&gt;"")*(D_Points!$A$5:$A$204&gt;=$B612)*(D_Points!$A$5:$A$204&lt;$B612+P_Interval)*(UPPER(TRIM(D_Points!$B$5:$B$204))="TURNOUT_L")*(D_Points!$H$5:$H$204&lt;&gt;"")),D_Points!$H$5:$H$204),"")</f>
        <v/>
      </c>
      <c r="AE612" s="182" t="str">
        <f>IFERROR(LOOKUP(2,1/((D_Points!$A$5:$A$204&lt;&gt;"")*(D_Points!$A$5:$A$204&gt;=$B612)*(D_Points!$A$5:$A$204&lt;$B612+P_Interval)*(UPPER(TRIM(D_Points!$B$5:$B$204))="TURNOUT_R")*(D_Points!$H$5:$H$204&lt;&gt;"")),D_Points!$H$5:$H$204),"")</f>
        <v/>
      </c>
      <c r="AF612" s="181" t="str">
        <f>IFERROR(LOOKUP(2,1/((B_Drainage!$A$5:$A$204&lt;&gt;"")*(B_Drainage!$A$5:$A$204&lt;=$B612)*(B_Drainage!$B$5:$B$204&gt;$B612)*(B_Drainage!$M$5:$M$204&lt;&gt;"")),IF(UPPER(B_Drainage!$M$5:$M$204)="Y",1,"")),"")</f>
        <v/>
      </c>
      <c r="AG612" s="181" t="str">
        <f>IFERROR(LOOKUP(2,1/((B_Drainage!$A$5:$A$204&lt;&gt;"")*(B_Drainage!$A$5:$A$204&lt;=$B612)*(B_Drainage!$B$5:$B$204&gt;$B612)*(B_Drainage!$N$5:$N$204&lt;&gt;"")),IF(UPPER(B_Drainage!$N$5:$N$204)="Y",1,"")),"")</f>
        <v/>
      </c>
      <c r="AH612" s="181" t="str">
        <f t="shared" si="72"/>
        <v/>
      </c>
      <c r="AI612" s="181" t="str">
        <f t="shared" si="73"/>
        <v/>
      </c>
      <c r="AJ612" s="181" t="str">
        <f t="shared" si="74"/>
        <v/>
      </c>
      <c r="AK612" s="181" t="str">
        <f t="shared" si="75"/>
        <v/>
      </c>
      <c r="AL612" s="181" t="str">
        <f t="shared" si="76"/>
        <v/>
      </c>
      <c r="AM612" s="181" t="str">
        <f t="shared" si="77"/>
        <v/>
      </c>
      <c r="AN612" s="181" t="str">
        <f t="shared" si="78"/>
        <v/>
      </c>
      <c r="AO612" s="192" t="str">
        <f t="shared" si="79"/>
        <v/>
      </c>
      <c r="AQ612" t="str">
        <f>IFERROR(LOOKUP(2,1/((C_Pavement!$A$5:$A$204&lt;&gt;"")*(C_Pavement!$A$5:$A$204&lt;=$B612)*(C_Pavement!$B$5:$B$204&gt;$B612)*(C_Pavement!$C$5:$C$204&lt;&gt;"")),ROW(C_Pavement!$C$5:$C$204)-4),"")</f>
        <v/>
      </c>
      <c r="AR612" t="str">
        <f>IF($AQ612="","",UPPER(TRIM(INDEX(C_Pavement!$C$5:$C$204,$AQ612))))</f>
        <v/>
      </c>
      <c r="AS612" t="str">
        <f>IF($AR612="","",IFERROR(MATCH($AR612,E_Rules!$A$5:$A$9,0),""))</f>
        <v/>
      </c>
      <c r="AT612" t="str">
        <f>IF($AQ612="","",IF(INDEX(C_Pavement!$D$5:$D$204,$AQ612)&lt;&gt;"",UPPER(TRIM(INDEX(C_Pavement!$D$5:$D$204,$AQ612))),IF($AS612="","",INDEX(E_Rules!$C$5:$C$9,$AS612))))</f>
        <v/>
      </c>
      <c r="AU612" t="str">
        <f>IF($AQ612="","",IF(INDEX(C_Pavement!$E$5:$E$204,$AQ612)&lt;&gt;"",IF(INDEX(C_Pavement!$E$5:$E$204,$AQ612)="-","",INDEX(C_Pavement!$E$5:$E$204,$AQ612)),IF($AS612="","",INDEX(E_Rules!$D$5:$D$9,$AS612))))</f>
        <v/>
      </c>
      <c r="AV612" t="str">
        <f>IF($AQ612="","",IF(INDEX(C_Pavement!$F$5:$F$204,$AQ612)&lt;&gt;"",IF(INDEX(C_Pavement!$F$5:$F$204,$AQ612)="-","",INDEX(C_Pavement!$F$5:$F$204,$AQ612)),IF($AS612="","",INDEX(E_Rules!$E$5:$E$9,$AS612))))</f>
        <v/>
      </c>
      <c r="AW612" t="str">
        <f>IF($AQ612="","",IF(INDEX(C_Pavement!$G$5:$G$204,$AQ612)&lt;&gt;"",IF(INDEX(C_Pavement!$G$5:$G$204,$AQ612)="-","",INDEX(C_Pavement!$G$5:$G$204,$AQ612)),IF($AS612="","",INDEX(E_Rules!$F$5:$F$9,$AS612))))</f>
        <v/>
      </c>
      <c r="AX612" t="str">
        <f>IF($AQ612="","",IF(INDEX(C_Pavement!$H$5:$H$204,$AQ612)&lt;&gt;"",IF(INDEX(C_Pavement!$H$5:$H$204,$AQ612)="-","",INDEX(C_Pavement!$H$5:$H$204,$AQ612)),IF($AS612="","",INDEX(E_Rules!$G$5:$G$9,$AS612))))</f>
        <v/>
      </c>
      <c r="AY612" t="str">
        <f>IF($AQ612="","",IF(INDEX(C_Pavement!$I$5:$I$204,$AQ612)&lt;&gt;"",IF(INDEX(C_Pavement!$I$5:$I$204,$AQ612)="-","",INDEX(C_Pavement!$I$5:$I$204,$AQ612)),IF($AS612="","",INDEX(E_Rules!$H$5:$H$9,$AS612))))</f>
        <v/>
      </c>
    </row>
    <row r="613" spans="1:51" ht="15.75" customHeight="1" x14ac:dyDescent="0.3">
      <c r="A613" s="189">
        <v>608</v>
      </c>
      <c r="B613" s="180">
        <v>30350</v>
      </c>
      <c r="C613" s="180" t="s">
        <v>919</v>
      </c>
      <c r="D613" s="181" t="str">
        <f>IFERROR(LOOKUP(2,1/((A_Corridor!$A$5:$A$204&lt;&gt;"")*(A_Corridor!$A$5:$A$204&lt;=$B613)*(A_Corridor!$B$5:$B$204&gt;$B613)*(A_Corridor!$C$5:$C$204&lt;&gt;"")),IF(UPPER(A_Corridor!$C$5:$C$204)="Y",1,"")),"")</f>
        <v/>
      </c>
      <c r="E613" s="181" t="str">
        <f>IFERROR(LOOKUP(2,1/((A_Corridor!$A$5:$A$204&lt;&gt;"")*(A_Corridor!$A$5:$A$204&lt;=$B613)*(A_Corridor!$B$5:$B$204&gt;$B613)*(A_Corridor!$D$5:$D$204&lt;&gt;"")),IF(A_Corridor!$D$5:$D$204="-","",UPPER(A_Corridor!$D$5:$D$204))),"")</f>
        <v/>
      </c>
      <c r="F613" s="181" t="str">
        <f>IFERROR(LOOKUP(2,1/((A_Corridor!$A$5:$A$204&lt;&gt;"")*(A_Corridor!$A$5:$A$204&lt;=$B613)*(A_Corridor!$B$5:$B$204&gt;$B613)*(A_Corridor!$E$5:$E$204&lt;&gt;"")),IF(A_Corridor!$E$5:$E$204="-","",1)),"")</f>
        <v/>
      </c>
      <c r="G613" s="182" t="str">
        <f>IFERROR(LOOKUP(2,1/((A_Corridor!$A$5:$A$204&lt;&gt;"")*(A_Corridor!$A$5:$A$204&lt;=$B613)*(A_Corridor!$B$5:$B$204&gt;$B613)*(A_Corridor!$E$5:$E$204&lt;&gt;"")),IF(A_Corridor!$E$5:$E$204="-","",A_Corridor!$E$5:$E$204)),"")</f>
        <v/>
      </c>
      <c r="H613" s="182" t="str">
        <f>IFERROR(LOOKUP(2,1/((D_Points!$A$5:$A$204&lt;&gt;"")*(D_Points!$A$5:$A$204&gt;=$B613)*(D_Points!$A$5:$A$204&lt;$B613+P_Interval)*(UPPER(TRIM(D_Points!$B$5:$B$204))="GULLY")*(D_Points!$H$5:$H$204&lt;&gt;"")),D_Points!$H$5:$H$204),"")</f>
        <v/>
      </c>
      <c r="I613" s="181" t="str">
        <f>IFERROR(LOOKUP(2,1/((A_Corridor!$A$5:$A$204&lt;&gt;"")*(A_Corridor!$A$5:$A$204&lt;=$B613)*(A_Corridor!$B$5:$B$204&gt;$B613)*(A_Corridor!$F$5:$F$204&lt;&gt;"")),IF(A_Corridor!$F$5:$F$204="-","",1)),"")</f>
        <v/>
      </c>
      <c r="J613" s="182" t="str">
        <f>IFERROR(LOOKUP(2,1/((A_Corridor!$A$5:$A$204&lt;&gt;"")*(A_Corridor!$A$5:$A$204&lt;=$B613)*(A_Corridor!$B$5:$B$204&gt;$B613)*(A_Corridor!$F$5:$F$204&lt;&gt;"")),IF(A_Corridor!$F$5:$F$204="-","",A_Corridor!$F$5:$F$204)),"")</f>
        <v/>
      </c>
      <c r="K613" s="182" t="str">
        <f>IFERROR(LOOKUP(2,1/((A_Corridor!$A$5:$A$204&lt;&gt;"")*(A_Corridor!$A$5:$A$204&lt;=$B613)*(A_Corridor!$B$5:$B$204&gt;$B613)*(A_Corridor!$G$5:$G$204&lt;&gt;"")),IF(A_Corridor!$G$5:$G$204="-","",A_Corridor!$G$5:$G$204)),"")</f>
        <v/>
      </c>
      <c r="L613" s="181" t="str">
        <f>IFERROR(LOOKUP(2,1/((A_Corridor!$A$5:$A$204&lt;&gt;"")*(A_Corridor!$A$5:$A$204&lt;=$B613)*(A_Corridor!$B$5:$B$204&gt;$B613)*(A_Corridor!$H$5:$H$204&lt;&gt;"")),IF(A_Corridor!$H$5:$H$204="-","",1)),"")</f>
        <v/>
      </c>
      <c r="M613" s="182" t="str">
        <f>IFERROR(LOOKUP(2,1/((A_Corridor!$A$5:$A$204&lt;&gt;"")*(A_Corridor!$A$5:$A$204&lt;=$B613)*(A_Corridor!$B$5:$B$204&gt;$B613)*(A_Corridor!$H$5:$H$204&lt;&gt;"")),IF(A_Corridor!$H$5:$H$204="-","",A_Corridor!$H$5:$H$204)),"")</f>
        <v/>
      </c>
      <c r="N613" s="182" t="str">
        <f>IFERROR(LOOKUP(2,1/((A_Corridor!$A$5:$A$204&lt;&gt;"")*(A_Corridor!$A$5:$A$204&lt;=$B613)*(A_Corridor!$B$5:$B$204&gt;$B613)*(A_Corridor!$I$5:$I$204&lt;&gt;"")),IF(A_Corridor!$I$5:$I$204="-","",A_Corridor!$I$5:$I$204)),"")</f>
        <v/>
      </c>
      <c r="O613" s="182" t="str">
        <f>IFERROR(LOOKUP(2,1/((D_Points!$A$5:$A$204&lt;&gt;"")*(D_Points!$A$5:$A$204&gt;=$B613)*(D_Points!$A$5:$A$204&lt;$B613+P_Interval)*(UPPER(TRIM(D_Points!$B$5:$B$204))="PITCHING")*(D_Points!$H$5:$H$204&lt;&gt;"")),D_Points!$H$5:$H$204),"")</f>
        <v/>
      </c>
      <c r="P613" s="181" t="str">
        <f>IFERROR(LOOKUP(2,1/((B_Drainage!$A$5:$A$204&lt;&gt;"")*(B_Drainage!$A$5:$A$204&lt;=$B613)*(B_Drainage!$B$5:$B$204&gt;$B613)*(B_Drainage!$C$5:$C$204&lt;&gt;"")),IF(B_Drainage!$C$5:$C$204="-","",UPPER(B_Drainage!$C$5:$C$204))),"")</f>
        <v/>
      </c>
      <c r="Q613" s="181" t="str">
        <f>IFERROR(LOOKUP(2,1/((B_Drainage!$A$5:$A$204&lt;&gt;"")*(B_Drainage!$A$5:$A$204&lt;=$B613)*(B_Drainage!$B$5:$B$204&gt;$B613)*(B_Drainage!$D$5:$D$204&lt;&gt;"")),IF(B_Drainage!$D$5:$D$204="-","",UPPER(B_Drainage!$D$5:$D$204))),"")</f>
        <v/>
      </c>
      <c r="R613" s="182" t="str">
        <f>IFERROR(LOOKUP(2,1/((D_Points!$A$5:$A$204&lt;&gt;"")*(D_Points!$A$5:$A$204&gt;=$B613)*(D_Points!$A$5:$A$204&lt;$B613+P_Interval)*(RIGHT(UPPER(TRIM(D_Points!$B$5:$B$204)),8)="_CULVERT")),IF(LEFT(UPPER(TRIM(D_Points!$B$5:$B$204)),2)="EX",1,IF(LEFT(UPPER(TRIM(D_Points!$B$5:$B$204)),2)="PR",2,3))),"")</f>
        <v/>
      </c>
      <c r="S613" s="182" t="str">
        <f>IFERROR(LOOKUP(2,1/((D_Points!$A$5:$A$204&lt;&gt;"")*(D_Points!$A$5:$A$204&gt;=$B613)*(D_Points!$A$5:$A$204&lt;$B613+P_Interval)*(RIGHT(UPPER(TRIM(D_Points!$B$5:$B$204)),7)="_BRIDGE")),IF(LEFT(UPPER(TRIM(D_Points!$B$5:$B$204)),2)="EX",1,IF(LEFT(UPPER(TRIM(D_Points!$B$5:$B$204)),2)="PR",2,2))),"")</f>
        <v/>
      </c>
      <c r="T613" s="181" t="str">
        <f>IFERROR(LOOKUP(2,1/((B_Drainage!$A$5:$A$204&lt;&gt;"")*(B_Drainage!$A$5:$A$204&lt;=$B613)*(B_Drainage!$B$5:$B$204&gt;$B613)*(B_Drainage!$E$5:$E$204&lt;&gt;"")),IF(B_Drainage!$E$5:$E$204="-","",1)),"")</f>
        <v/>
      </c>
      <c r="U613" s="181" t="str">
        <f>IFERROR(LOOKUP(2,1/((B_Drainage!$A$5:$A$204&lt;&gt;"")*(B_Drainage!$A$5:$A$204&lt;=$B613)*(B_Drainage!$B$5:$B$204&gt;$B613)*(B_Drainage!$E$5:$E$204&lt;&gt;"")),IF(B_Drainage!$E$5:$E$204="-","",B_Drainage!$E$5:$E$204)),"")</f>
        <v/>
      </c>
      <c r="V613" s="181" t="str">
        <f>IFERROR(LOOKUP(2,1/((B_Drainage!$A$5:$A$204&lt;&gt;"")*(B_Drainage!$A$5:$A$204&lt;=$B613)*(B_Drainage!$B$5:$B$204&gt;$B613)*(B_Drainage!$F$5:$F$204&lt;&gt;"")),IF(B_Drainage!$F$5:$F$204="-","",1)),"")</f>
        <v/>
      </c>
      <c r="W613" s="181" t="str">
        <f>IFERROR(LOOKUP(2,1/((B_Drainage!$A$5:$A$204&lt;&gt;"")*(B_Drainage!$A$5:$A$204&lt;=$B613)*(B_Drainage!$B$5:$B$204&gt;$B613)*(B_Drainage!$F$5:$F$204&lt;&gt;"")),IF(B_Drainage!$F$5:$F$204="-","",B_Drainage!$F$5:$F$204)),"")</f>
        <v/>
      </c>
      <c r="X613" s="181" t="str">
        <f>IFERROR(LOOKUP(2,1/((B_Drainage!$A$5:$A$204&lt;&gt;"")*(B_Drainage!$A$5:$A$204&lt;=$B613)*(B_Drainage!$B$5:$B$204&gt;$B613)*(B_Drainage!$G$5:$G$204&lt;&gt;"")),IF(UPPER(B_Drainage!$G$5:$G$204)="Y",1,"")),"")</f>
        <v/>
      </c>
      <c r="Y613" s="181" t="str">
        <f>IFERROR(LOOKUP(2,1/((B_Drainage!$A$5:$A$204&lt;&gt;"")*(B_Drainage!$A$5:$A$204&lt;=$B613)*(B_Drainage!$B$5:$B$204&gt;$B613)*(B_Drainage!$H$5:$H$204&lt;&gt;"")),IF(UPPER(B_Drainage!$H$5:$H$204)="Y",1,"")),"")</f>
        <v/>
      </c>
      <c r="Z613" s="181" t="str">
        <f>IFERROR(LOOKUP(2,1/((B_Drainage!$A$5:$A$204&lt;&gt;"")*(B_Drainage!$A$5:$A$204&lt;=$B613)*(B_Drainage!$B$5:$B$204&gt;$B613)*(B_Drainage!$I$5:$I$204&lt;&gt;"")),IF(UPPER(B_Drainage!$I$5:$I$204)="Y",1,"")),"")</f>
        <v/>
      </c>
      <c r="AA613" s="181" t="str">
        <f>IFERROR(LOOKUP(2,1/((B_Drainage!$A$5:$A$204&lt;&gt;"")*(B_Drainage!$A$5:$A$204&lt;=$B613)*(B_Drainage!$B$5:$B$204&gt;$B613)*(B_Drainage!$J$5:$J$204&lt;&gt;"")),IF(UPPER(B_Drainage!$J$5:$J$204)="Y",1,"")),"")</f>
        <v/>
      </c>
      <c r="AB613" s="182" t="str">
        <f>IFERROR(LOOKUP(2,1/((B_Drainage!$A$5:$A$204&lt;&gt;"")*(B_Drainage!$A$5:$A$204&lt;=$B613)*(B_Drainage!$B$5:$B$204&gt;$B613)*(B_Drainage!$K$5:$K$204&lt;&gt;"")),IF(B_Drainage!$K$5:$K$204="-","",B_Drainage!$K$5:$K$204)),"")</f>
        <v/>
      </c>
      <c r="AC613" s="182" t="str">
        <f>IFERROR(LOOKUP(2,1/((B_Drainage!$A$5:$A$204&lt;&gt;"")*(B_Drainage!$A$5:$A$204&lt;=$B613)*(B_Drainage!$B$5:$B$204&gt;$B613)*(B_Drainage!$L$5:$L$204&lt;&gt;"")),IF(B_Drainage!$L$5:$L$204="-","",B_Drainage!$L$5:$L$204)),"")</f>
        <v/>
      </c>
      <c r="AD613" s="182" t="str">
        <f>IFERROR(LOOKUP(2,1/((D_Points!$A$5:$A$204&lt;&gt;"")*(D_Points!$A$5:$A$204&gt;=$B613)*(D_Points!$A$5:$A$204&lt;$B613+P_Interval)*(UPPER(TRIM(D_Points!$B$5:$B$204))="TURNOUT_L")*(D_Points!$H$5:$H$204&lt;&gt;"")),D_Points!$H$5:$H$204),"")</f>
        <v/>
      </c>
      <c r="AE613" s="182" t="str">
        <f>IFERROR(LOOKUP(2,1/((D_Points!$A$5:$A$204&lt;&gt;"")*(D_Points!$A$5:$A$204&gt;=$B613)*(D_Points!$A$5:$A$204&lt;$B613+P_Interval)*(UPPER(TRIM(D_Points!$B$5:$B$204))="TURNOUT_R")*(D_Points!$H$5:$H$204&lt;&gt;"")),D_Points!$H$5:$H$204),"")</f>
        <v/>
      </c>
      <c r="AF613" s="181" t="str">
        <f>IFERROR(LOOKUP(2,1/((B_Drainage!$A$5:$A$204&lt;&gt;"")*(B_Drainage!$A$5:$A$204&lt;=$B613)*(B_Drainage!$B$5:$B$204&gt;$B613)*(B_Drainage!$M$5:$M$204&lt;&gt;"")),IF(UPPER(B_Drainage!$M$5:$M$204)="Y",1,"")),"")</f>
        <v/>
      </c>
      <c r="AG613" s="181" t="str">
        <f>IFERROR(LOOKUP(2,1/((B_Drainage!$A$5:$A$204&lt;&gt;"")*(B_Drainage!$A$5:$A$204&lt;=$B613)*(B_Drainage!$B$5:$B$204&gt;$B613)*(B_Drainage!$N$5:$N$204&lt;&gt;"")),IF(UPPER(B_Drainage!$N$5:$N$204)="Y",1,"")),"")</f>
        <v/>
      </c>
      <c r="AH613" s="181" t="str">
        <f t="shared" si="72"/>
        <v/>
      </c>
      <c r="AI613" s="181" t="str">
        <f t="shared" si="73"/>
        <v/>
      </c>
      <c r="AJ613" s="181" t="str">
        <f t="shared" si="74"/>
        <v/>
      </c>
      <c r="AK613" s="181" t="str">
        <f t="shared" si="75"/>
        <v/>
      </c>
      <c r="AL613" s="181" t="str">
        <f t="shared" si="76"/>
        <v/>
      </c>
      <c r="AM613" s="181" t="str">
        <f t="shared" si="77"/>
        <v/>
      </c>
      <c r="AN613" s="181" t="str">
        <f t="shared" si="78"/>
        <v/>
      </c>
      <c r="AO613" s="192" t="str">
        <f t="shared" si="79"/>
        <v/>
      </c>
      <c r="AQ613" t="str">
        <f>IFERROR(LOOKUP(2,1/((C_Pavement!$A$5:$A$204&lt;&gt;"")*(C_Pavement!$A$5:$A$204&lt;=$B613)*(C_Pavement!$B$5:$B$204&gt;$B613)*(C_Pavement!$C$5:$C$204&lt;&gt;"")),ROW(C_Pavement!$C$5:$C$204)-4),"")</f>
        <v/>
      </c>
      <c r="AR613" t="str">
        <f>IF($AQ613="","",UPPER(TRIM(INDEX(C_Pavement!$C$5:$C$204,$AQ613))))</f>
        <v/>
      </c>
      <c r="AS613" t="str">
        <f>IF($AR613="","",IFERROR(MATCH($AR613,E_Rules!$A$5:$A$9,0),""))</f>
        <v/>
      </c>
      <c r="AT613" t="str">
        <f>IF($AQ613="","",IF(INDEX(C_Pavement!$D$5:$D$204,$AQ613)&lt;&gt;"",UPPER(TRIM(INDEX(C_Pavement!$D$5:$D$204,$AQ613))),IF($AS613="","",INDEX(E_Rules!$C$5:$C$9,$AS613))))</f>
        <v/>
      </c>
      <c r="AU613" t="str">
        <f>IF($AQ613="","",IF(INDEX(C_Pavement!$E$5:$E$204,$AQ613)&lt;&gt;"",IF(INDEX(C_Pavement!$E$5:$E$204,$AQ613)="-","",INDEX(C_Pavement!$E$5:$E$204,$AQ613)),IF($AS613="","",INDEX(E_Rules!$D$5:$D$9,$AS613))))</f>
        <v/>
      </c>
      <c r="AV613" t="str">
        <f>IF($AQ613="","",IF(INDEX(C_Pavement!$F$5:$F$204,$AQ613)&lt;&gt;"",IF(INDEX(C_Pavement!$F$5:$F$204,$AQ613)="-","",INDEX(C_Pavement!$F$5:$F$204,$AQ613)),IF($AS613="","",INDEX(E_Rules!$E$5:$E$9,$AS613))))</f>
        <v/>
      </c>
      <c r="AW613" t="str">
        <f>IF($AQ613="","",IF(INDEX(C_Pavement!$G$5:$G$204,$AQ613)&lt;&gt;"",IF(INDEX(C_Pavement!$G$5:$G$204,$AQ613)="-","",INDEX(C_Pavement!$G$5:$G$204,$AQ613)),IF($AS613="","",INDEX(E_Rules!$F$5:$F$9,$AS613))))</f>
        <v/>
      </c>
      <c r="AX613" t="str">
        <f>IF($AQ613="","",IF(INDEX(C_Pavement!$H$5:$H$204,$AQ613)&lt;&gt;"",IF(INDEX(C_Pavement!$H$5:$H$204,$AQ613)="-","",INDEX(C_Pavement!$H$5:$H$204,$AQ613)),IF($AS613="","",INDEX(E_Rules!$G$5:$G$9,$AS613))))</f>
        <v/>
      </c>
      <c r="AY613" t="str">
        <f>IF($AQ613="","",IF(INDEX(C_Pavement!$I$5:$I$204,$AQ613)&lt;&gt;"",IF(INDEX(C_Pavement!$I$5:$I$204,$AQ613)="-","",INDEX(C_Pavement!$I$5:$I$204,$AQ613)),IF($AS613="","",INDEX(E_Rules!$H$5:$H$9,$AS613))))</f>
        <v/>
      </c>
    </row>
    <row r="614" spans="1:51" ht="15.75" customHeight="1" x14ac:dyDescent="0.3">
      <c r="A614" s="189">
        <v>609</v>
      </c>
      <c r="B614" s="180">
        <v>30400</v>
      </c>
      <c r="C614" s="180" t="s">
        <v>920</v>
      </c>
      <c r="D614" s="181" t="str">
        <f>IFERROR(LOOKUP(2,1/((A_Corridor!$A$5:$A$204&lt;&gt;"")*(A_Corridor!$A$5:$A$204&lt;=$B614)*(A_Corridor!$B$5:$B$204&gt;$B614)*(A_Corridor!$C$5:$C$204&lt;&gt;"")),IF(UPPER(A_Corridor!$C$5:$C$204)="Y",1,"")),"")</f>
        <v/>
      </c>
      <c r="E614" s="181" t="str">
        <f>IFERROR(LOOKUP(2,1/((A_Corridor!$A$5:$A$204&lt;&gt;"")*(A_Corridor!$A$5:$A$204&lt;=$B614)*(A_Corridor!$B$5:$B$204&gt;$B614)*(A_Corridor!$D$5:$D$204&lt;&gt;"")),IF(A_Corridor!$D$5:$D$204="-","",UPPER(A_Corridor!$D$5:$D$204))),"")</f>
        <v/>
      </c>
      <c r="F614" s="181" t="str">
        <f>IFERROR(LOOKUP(2,1/((A_Corridor!$A$5:$A$204&lt;&gt;"")*(A_Corridor!$A$5:$A$204&lt;=$B614)*(A_Corridor!$B$5:$B$204&gt;$B614)*(A_Corridor!$E$5:$E$204&lt;&gt;"")),IF(A_Corridor!$E$5:$E$204="-","",1)),"")</f>
        <v/>
      </c>
      <c r="G614" s="182" t="str">
        <f>IFERROR(LOOKUP(2,1/((A_Corridor!$A$5:$A$204&lt;&gt;"")*(A_Corridor!$A$5:$A$204&lt;=$B614)*(A_Corridor!$B$5:$B$204&gt;$B614)*(A_Corridor!$E$5:$E$204&lt;&gt;"")),IF(A_Corridor!$E$5:$E$204="-","",A_Corridor!$E$5:$E$204)),"")</f>
        <v/>
      </c>
      <c r="H614" s="182" t="str">
        <f>IFERROR(LOOKUP(2,1/((D_Points!$A$5:$A$204&lt;&gt;"")*(D_Points!$A$5:$A$204&gt;=$B614)*(D_Points!$A$5:$A$204&lt;$B614+P_Interval)*(UPPER(TRIM(D_Points!$B$5:$B$204))="GULLY")*(D_Points!$H$5:$H$204&lt;&gt;"")),D_Points!$H$5:$H$204),"")</f>
        <v/>
      </c>
      <c r="I614" s="181" t="str">
        <f>IFERROR(LOOKUP(2,1/((A_Corridor!$A$5:$A$204&lt;&gt;"")*(A_Corridor!$A$5:$A$204&lt;=$B614)*(A_Corridor!$B$5:$B$204&gt;$B614)*(A_Corridor!$F$5:$F$204&lt;&gt;"")),IF(A_Corridor!$F$5:$F$204="-","",1)),"")</f>
        <v/>
      </c>
      <c r="J614" s="182" t="str">
        <f>IFERROR(LOOKUP(2,1/((A_Corridor!$A$5:$A$204&lt;&gt;"")*(A_Corridor!$A$5:$A$204&lt;=$B614)*(A_Corridor!$B$5:$B$204&gt;$B614)*(A_Corridor!$F$5:$F$204&lt;&gt;"")),IF(A_Corridor!$F$5:$F$204="-","",A_Corridor!$F$5:$F$204)),"")</f>
        <v/>
      </c>
      <c r="K614" s="182" t="str">
        <f>IFERROR(LOOKUP(2,1/((A_Corridor!$A$5:$A$204&lt;&gt;"")*(A_Corridor!$A$5:$A$204&lt;=$B614)*(A_Corridor!$B$5:$B$204&gt;$B614)*(A_Corridor!$G$5:$G$204&lt;&gt;"")),IF(A_Corridor!$G$5:$G$204="-","",A_Corridor!$G$5:$G$204)),"")</f>
        <v/>
      </c>
      <c r="L614" s="181" t="str">
        <f>IFERROR(LOOKUP(2,1/((A_Corridor!$A$5:$A$204&lt;&gt;"")*(A_Corridor!$A$5:$A$204&lt;=$B614)*(A_Corridor!$B$5:$B$204&gt;$B614)*(A_Corridor!$H$5:$H$204&lt;&gt;"")),IF(A_Corridor!$H$5:$H$204="-","",1)),"")</f>
        <v/>
      </c>
      <c r="M614" s="182" t="str">
        <f>IFERROR(LOOKUP(2,1/((A_Corridor!$A$5:$A$204&lt;&gt;"")*(A_Corridor!$A$5:$A$204&lt;=$B614)*(A_Corridor!$B$5:$B$204&gt;$B614)*(A_Corridor!$H$5:$H$204&lt;&gt;"")),IF(A_Corridor!$H$5:$H$204="-","",A_Corridor!$H$5:$H$204)),"")</f>
        <v/>
      </c>
      <c r="N614" s="182" t="str">
        <f>IFERROR(LOOKUP(2,1/((A_Corridor!$A$5:$A$204&lt;&gt;"")*(A_Corridor!$A$5:$A$204&lt;=$B614)*(A_Corridor!$B$5:$B$204&gt;$B614)*(A_Corridor!$I$5:$I$204&lt;&gt;"")),IF(A_Corridor!$I$5:$I$204="-","",A_Corridor!$I$5:$I$204)),"")</f>
        <v/>
      </c>
      <c r="O614" s="182" t="str">
        <f>IFERROR(LOOKUP(2,1/((D_Points!$A$5:$A$204&lt;&gt;"")*(D_Points!$A$5:$A$204&gt;=$B614)*(D_Points!$A$5:$A$204&lt;$B614+P_Interval)*(UPPER(TRIM(D_Points!$B$5:$B$204))="PITCHING")*(D_Points!$H$5:$H$204&lt;&gt;"")),D_Points!$H$5:$H$204),"")</f>
        <v/>
      </c>
      <c r="P614" s="181" t="str">
        <f>IFERROR(LOOKUP(2,1/((B_Drainage!$A$5:$A$204&lt;&gt;"")*(B_Drainage!$A$5:$A$204&lt;=$B614)*(B_Drainage!$B$5:$B$204&gt;$B614)*(B_Drainage!$C$5:$C$204&lt;&gt;"")),IF(B_Drainage!$C$5:$C$204="-","",UPPER(B_Drainage!$C$5:$C$204))),"")</f>
        <v/>
      </c>
      <c r="Q614" s="181" t="str">
        <f>IFERROR(LOOKUP(2,1/((B_Drainage!$A$5:$A$204&lt;&gt;"")*(B_Drainage!$A$5:$A$204&lt;=$B614)*(B_Drainage!$B$5:$B$204&gt;$B614)*(B_Drainage!$D$5:$D$204&lt;&gt;"")),IF(B_Drainage!$D$5:$D$204="-","",UPPER(B_Drainage!$D$5:$D$204))),"")</f>
        <v/>
      </c>
      <c r="R614" s="182" t="str">
        <f>IFERROR(LOOKUP(2,1/((D_Points!$A$5:$A$204&lt;&gt;"")*(D_Points!$A$5:$A$204&gt;=$B614)*(D_Points!$A$5:$A$204&lt;$B614+P_Interval)*(RIGHT(UPPER(TRIM(D_Points!$B$5:$B$204)),8)="_CULVERT")),IF(LEFT(UPPER(TRIM(D_Points!$B$5:$B$204)),2)="EX",1,IF(LEFT(UPPER(TRIM(D_Points!$B$5:$B$204)),2)="PR",2,3))),"")</f>
        <v/>
      </c>
      <c r="S614" s="182" t="str">
        <f>IFERROR(LOOKUP(2,1/((D_Points!$A$5:$A$204&lt;&gt;"")*(D_Points!$A$5:$A$204&gt;=$B614)*(D_Points!$A$5:$A$204&lt;$B614+P_Interval)*(RIGHT(UPPER(TRIM(D_Points!$B$5:$B$204)),7)="_BRIDGE")),IF(LEFT(UPPER(TRIM(D_Points!$B$5:$B$204)),2)="EX",1,IF(LEFT(UPPER(TRIM(D_Points!$B$5:$B$204)),2)="PR",2,2))),"")</f>
        <v/>
      </c>
      <c r="T614" s="181" t="str">
        <f>IFERROR(LOOKUP(2,1/((B_Drainage!$A$5:$A$204&lt;&gt;"")*(B_Drainage!$A$5:$A$204&lt;=$B614)*(B_Drainage!$B$5:$B$204&gt;$B614)*(B_Drainage!$E$5:$E$204&lt;&gt;"")),IF(B_Drainage!$E$5:$E$204="-","",1)),"")</f>
        <v/>
      </c>
      <c r="U614" s="181" t="str">
        <f>IFERROR(LOOKUP(2,1/((B_Drainage!$A$5:$A$204&lt;&gt;"")*(B_Drainage!$A$5:$A$204&lt;=$B614)*(B_Drainage!$B$5:$B$204&gt;$B614)*(B_Drainage!$E$5:$E$204&lt;&gt;"")),IF(B_Drainage!$E$5:$E$204="-","",B_Drainage!$E$5:$E$204)),"")</f>
        <v/>
      </c>
      <c r="V614" s="181" t="str">
        <f>IFERROR(LOOKUP(2,1/((B_Drainage!$A$5:$A$204&lt;&gt;"")*(B_Drainage!$A$5:$A$204&lt;=$B614)*(B_Drainage!$B$5:$B$204&gt;$B614)*(B_Drainage!$F$5:$F$204&lt;&gt;"")),IF(B_Drainage!$F$5:$F$204="-","",1)),"")</f>
        <v/>
      </c>
      <c r="W614" s="181" t="str">
        <f>IFERROR(LOOKUP(2,1/((B_Drainage!$A$5:$A$204&lt;&gt;"")*(B_Drainage!$A$5:$A$204&lt;=$B614)*(B_Drainage!$B$5:$B$204&gt;$B614)*(B_Drainage!$F$5:$F$204&lt;&gt;"")),IF(B_Drainage!$F$5:$F$204="-","",B_Drainage!$F$5:$F$204)),"")</f>
        <v/>
      </c>
      <c r="X614" s="181" t="str">
        <f>IFERROR(LOOKUP(2,1/((B_Drainage!$A$5:$A$204&lt;&gt;"")*(B_Drainage!$A$5:$A$204&lt;=$B614)*(B_Drainage!$B$5:$B$204&gt;$B614)*(B_Drainage!$G$5:$G$204&lt;&gt;"")),IF(UPPER(B_Drainage!$G$5:$G$204)="Y",1,"")),"")</f>
        <v/>
      </c>
      <c r="Y614" s="181" t="str">
        <f>IFERROR(LOOKUP(2,1/((B_Drainage!$A$5:$A$204&lt;&gt;"")*(B_Drainage!$A$5:$A$204&lt;=$B614)*(B_Drainage!$B$5:$B$204&gt;$B614)*(B_Drainage!$H$5:$H$204&lt;&gt;"")),IF(UPPER(B_Drainage!$H$5:$H$204)="Y",1,"")),"")</f>
        <v/>
      </c>
      <c r="Z614" s="181" t="str">
        <f>IFERROR(LOOKUP(2,1/((B_Drainage!$A$5:$A$204&lt;&gt;"")*(B_Drainage!$A$5:$A$204&lt;=$B614)*(B_Drainage!$B$5:$B$204&gt;$B614)*(B_Drainage!$I$5:$I$204&lt;&gt;"")),IF(UPPER(B_Drainage!$I$5:$I$204)="Y",1,"")),"")</f>
        <v/>
      </c>
      <c r="AA614" s="181" t="str">
        <f>IFERROR(LOOKUP(2,1/((B_Drainage!$A$5:$A$204&lt;&gt;"")*(B_Drainage!$A$5:$A$204&lt;=$B614)*(B_Drainage!$B$5:$B$204&gt;$B614)*(B_Drainage!$J$5:$J$204&lt;&gt;"")),IF(UPPER(B_Drainage!$J$5:$J$204)="Y",1,"")),"")</f>
        <v/>
      </c>
      <c r="AB614" s="182" t="str">
        <f>IFERROR(LOOKUP(2,1/((B_Drainage!$A$5:$A$204&lt;&gt;"")*(B_Drainage!$A$5:$A$204&lt;=$B614)*(B_Drainage!$B$5:$B$204&gt;$B614)*(B_Drainage!$K$5:$K$204&lt;&gt;"")),IF(B_Drainage!$K$5:$K$204="-","",B_Drainage!$K$5:$K$204)),"")</f>
        <v/>
      </c>
      <c r="AC614" s="182" t="str">
        <f>IFERROR(LOOKUP(2,1/((B_Drainage!$A$5:$A$204&lt;&gt;"")*(B_Drainage!$A$5:$A$204&lt;=$B614)*(B_Drainage!$B$5:$B$204&gt;$B614)*(B_Drainage!$L$5:$L$204&lt;&gt;"")),IF(B_Drainage!$L$5:$L$204="-","",B_Drainage!$L$5:$L$204)),"")</f>
        <v/>
      </c>
      <c r="AD614" s="182" t="str">
        <f>IFERROR(LOOKUP(2,1/((D_Points!$A$5:$A$204&lt;&gt;"")*(D_Points!$A$5:$A$204&gt;=$B614)*(D_Points!$A$5:$A$204&lt;$B614+P_Interval)*(UPPER(TRIM(D_Points!$B$5:$B$204))="TURNOUT_L")*(D_Points!$H$5:$H$204&lt;&gt;"")),D_Points!$H$5:$H$204),"")</f>
        <v/>
      </c>
      <c r="AE614" s="182" t="str">
        <f>IFERROR(LOOKUP(2,1/((D_Points!$A$5:$A$204&lt;&gt;"")*(D_Points!$A$5:$A$204&gt;=$B614)*(D_Points!$A$5:$A$204&lt;$B614+P_Interval)*(UPPER(TRIM(D_Points!$B$5:$B$204))="TURNOUT_R")*(D_Points!$H$5:$H$204&lt;&gt;"")),D_Points!$H$5:$H$204),"")</f>
        <v/>
      </c>
      <c r="AF614" s="181" t="str">
        <f>IFERROR(LOOKUP(2,1/((B_Drainage!$A$5:$A$204&lt;&gt;"")*(B_Drainage!$A$5:$A$204&lt;=$B614)*(B_Drainage!$B$5:$B$204&gt;$B614)*(B_Drainage!$M$5:$M$204&lt;&gt;"")),IF(UPPER(B_Drainage!$M$5:$M$204)="Y",1,"")),"")</f>
        <v/>
      </c>
      <c r="AG614" s="181" t="str">
        <f>IFERROR(LOOKUP(2,1/((B_Drainage!$A$5:$A$204&lt;&gt;"")*(B_Drainage!$A$5:$A$204&lt;=$B614)*(B_Drainage!$B$5:$B$204&gt;$B614)*(B_Drainage!$N$5:$N$204&lt;&gt;"")),IF(UPPER(B_Drainage!$N$5:$N$204)="Y",1,"")),"")</f>
        <v/>
      </c>
      <c r="AH614" s="181" t="str">
        <f t="shared" si="72"/>
        <v/>
      </c>
      <c r="AI614" s="181" t="str">
        <f t="shared" si="73"/>
        <v/>
      </c>
      <c r="AJ614" s="181" t="str">
        <f t="shared" si="74"/>
        <v/>
      </c>
      <c r="AK614" s="181" t="str">
        <f t="shared" si="75"/>
        <v/>
      </c>
      <c r="AL614" s="181" t="str">
        <f t="shared" si="76"/>
        <v/>
      </c>
      <c r="AM614" s="181" t="str">
        <f t="shared" si="77"/>
        <v/>
      </c>
      <c r="AN614" s="181" t="str">
        <f t="shared" si="78"/>
        <v/>
      </c>
      <c r="AO614" s="192" t="str">
        <f t="shared" si="79"/>
        <v/>
      </c>
      <c r="AQ614" t="str">
        <f>IFERROR(LOOKUP(2,1/((C_Pavement!$A$5:$A$204&lt;&gt;"")*(C_Pavement!$A$5:$A$204&lt;=$B614)*(C_Pavement!$B$5:$B$204&gt;$B614)*(C_Pavement!$C$5:$C$204&lt;&gt;"")),ROW(C_Pavement!$C$5:$C$204)-4),"")</f>
        <v/>
      </c>
      <c r="AR614" t="str">
        <f>IF($AQ614="","",UPPER(TRIM(INDEX(C_Pavement!$C$5:$C$204,$AQ614))))</f>
        <v/>
      </c>
      <c r="AS614" t="str">
        <f>IF($AR614="","",IFERROR(MATCH($AR614,E_Rules!$A$5:$A$9,0),""))</f>
        <v/>
      </c>
      <c r="AT614" t="str">
        <f>IF($AQ614="","",IF(INDEX(C_Pavement!$D$5:$D$204,$AQ614)&lt;&gt;"",UPPER(TRIM(INDEX(C_Pavement!$D$5:$D$204,$AQ614))),IF($AS614="","",INDEX(E_Rules!$C$5:$C$9,$AS614))))</f>
        <v/>
      </c>
      <c r="AU614" t="str">
        <f>IF($AQ614="","",IF(INDEX(C_Pavement!$E$5:$E$204,$AQ614)&lt;&gt;"",IF(INDEX(C_Pavement!$E$5:$E$204,$AQ614)="-","",INDEX(C_Pavement!$E$5:$E$204,$AQ614)),IF($AS614="","",INDEX(E_Rules!$D$5:$D$9,$AS614))))</f>
        <v/>
      </c>
      <c r="AV614" t="str">
        <f>IF($AQ614="","",IF(INDEX(C_Pavement!$F$5:$F$204,$AQ614)&lt;&gt;"",IF(INDEX(C_Pavement!$F$5:$F$204,$AQ614)="-","",INDEX(C_Pavement!$F$5:$F$204,$AQ614)),IF($AS614="","",INDEX(E_Rules!$E$5:$E$9,$AS614))))</f>
        <v/>
      </c>
      <c r="AW614" t="str">
        <f>IF($AQ614="","",IF(INDEX(C_Pavement!$G$5:$G$204,$AQ614)&lt;&gt;"",IF(INDEX(C_Pavement!$G$5:$G$204,$AQ614)="-","",INDEX(C_Pavement!$G$5:$G$204,$AQ614)),IF($AS614="","",INDEX(E_Rules!$F$5:$F$9,$AS614))))</f>
        <v/>
      </c>
      <c r="AX614" t="str">
        <f>IF($AQ614="","",IF(INDEX(C_Pavement!$H$5:$H$204,$AQ614)&lt;&gt;"",IF(INDEX(C_Pavement!$H$5:$H$204,$AQ614)="-","",INDEX(C_Pavement!$H$5:$H$204,$AQ614)),IF($AS614="","",INDEX(E_Rules!$G$5:$G$9,$AS614))))</f>
        <v/>
      </c>
      <c r="AY614" t="str">
        <f>IF($AQ614="","",IF(INDEX(C_Pavement!$I$5:$I$204,$AQ614)&lt;&gt;"",IF(INDEX(C_Pavement!$I$5:$I$204,$AQ614)="-","",INDEX(C_Pavement!$I$5:$I$204,$AQ614)),IF($AS614="","",INDEX(E_Rules!$H$5:$H$9,$AS614))))</f>
        <v/>
      </c>
    </row>
    <row r="615" spans="1:51" ht="15.75" customHeight="1" x14ac:dyDescent="0.3">
      <c r="A615" s="189">
        <v>610</v>
      </c>
      <c r="B615" s="180">
        <v>30450</v>
      </c>
      <c r="C615" s="180" t="s">
        <v>921</v>
      </c>
      <c r="D615" s="181" t="str">
        <f>IFERROR(LOOKUP(2,1/((A_Corridor!$A$5:$A$204&lt;&gt;"")*(A_Corridor!$A$5:$A$204&lt;=$B615)*(A_Corridor!$B$5:$B$204&gt;$B615)*(A_Corridor!$C$5:$C$204&lt;&gt;"")),IF(UPPER(A_Corridor!$C$5:$C$204)="Y",1,"")),"")</f>
        <v/>
      </c>
      <c r="E615" s="181" t="str">
        <f>IFERROR(LOOKUP(2,1/((A_Corridor!$A$5:$A$204&lt;&gt;"")*(A_Corridor!$A$5:$A$204&lt;=$B615)*(A_Corridor!$B$5:$B$204&gt;$B615)*(A_Corridor!$D$5:$D$204&lt;&gt;"")),IF(A_Corridor!$D$5:$D$204="-","",UPPER(A_Corridor!$D$5:$D$204))),"")</f>
        <v/>
      </c>
      <c r="F615" s="181" t="str">
        <f>IFERROR(LOOKUP(2,1/((A_Corridor!$A$5:$A$204&lt;&gt;"")*(A_Corridor!$A$5:$A$204&lt;=$B615)*(A_Corridor!$B$5:$B$204&gt;$B615)*(A_Corridor!$E$5:$E$204&lt;&gt;"")),IF(A_Corridor!$E$5:$E$204="-","",1)),"")</f>
        <v/>
      </c>
      <c r="G615" s="182" t="str">
        <f>IFERROR(LOOKUP(2,1/((A_Corridor!$A$5:$A$204&lt;&gt;"")*(A_Corridor!$A$5:$A$204&lt;=$B615)*(A_Corridor!$B$5:$B$204&gt;$B615)*(A_Corridor!$E$5:$E$204&lt;&gt;"")),IF(A_Corridor!$E$5:$E$204="-","",A_Corridor!$E$5:$E$204)),"")</f>
        <v/>
      </c>
      <c r="H615" s="182" t="str">
        <f>IFERROR(LOOKUP(2,1/((D_Points!$A$5:$A$204&lt;&gt;"")*(D_Points!$A$5:$A$204&gt;=$B615)*(D_Points!$A$5:$A$204&lt;$B615+P_Interval)*(UPPER(TRIM(D_Points!$B$5:$B$204))="GULLY")*(D_Points!$H$5:$H$204&lt;&gt;"")),D_Points!$H$5:$H$204),"")</f>
        <v/>
      </c>
      <c r="I615" s="181" t="str">
        <f>IFERROR(LOOKUP(2,1/((A_Corridor!$A$5:$A$204&lt;&gt;"")*(A_Corridor!$A$5:$A$204&lt;=$B615)*(A_Corridor!$B$5:$B$204&gt;$B615)*(A_Corridor!$F$5:$F$204&lt;&gt;"")),IF(A_Corridor!$F$5:$F$204="-","",1)),"")</f>
        <v/>
      </c>
      <c r="J615" s="182" t="str">
        <f>IFERROR(LOOKUP(2,1/((A_Corridor!$A$5:$A$204&lt;&gt;"")*(A_Corridor!$A$5:$A$204&lt;=$B615)*(A_Corridor!$B$5:$B$204&gt;$B615)*(A_Corridor!$F$5:$F$204&lt;&gt;"")),IF(A_Corridor!$F$5:$F$204="-","",A_Corridor!$F$5:$F$204)),"")</f>
        <v/>
      </c>
      <c r="K615" s="182" t="str">
        <f>IFERROR(LOOKUP(2,1/((A_Corridor!$A$5:$A$204&lt;&gt;"")*(A_Corridor!$A$5:$A$204&lt;=$B615)*(A_Corridor!$B$5:$B$204&gt;$B615)*(A_Corridor!$G$5:$G$204&lt;&gt;"")),IF(A_Corridor!$G$5:$G$204="-","",A_Corridor!$G$5:$G$204)),"")</f>
        <v/>
      </c>
      <c r="L615" s="181" t="str">
        <f>IFERROR(LOOKUP(2,1/((A_Corridor!$A$5:$A$204&lt;&gt;"")*(A_Corridor!$A$5:$A$204&lt;=$B615)*(A_Corridor!$B$5:$B$204&gt;$B615)*(A_Corridor!$H$5:$H$204&lt;&gt;"")),IF(A_Corridor!$H$5:$H$204="-","",1)),"")</f>
        <v/>
      </c>
      <c r="M615" s="182" t="str">
        <f>IFERROR(LOOKUP(2,1/((A_Corridor!$A$5:$A$204&lt;&gt;"")*(A_Corridor!$A$5:$A$204&lt;=$B615)*(A_Corridor!$B$5:$B$204&gt;$B615)*(A_Corridor!$H$5:$H$204&lt;&gt;"")),IF(A_Corridor!$H$5:$H$204="-","",A_Corridor!$H$5:$H$204)),"")</f>
        <v/>
      </c>
      <c r="N615" s="182" t="str">
        <f>IFERROR(LOOKUP(2,1/((A_Corridor!$A$5:$A$204&lt;&gt;"")*(A_Corridor!$A$5:$A$204&lt;=$B615)*(A_Corridor!$B$5:$B$204&gt;$B615)*(A_Corridor!$I$5:$I$204&lt;&gt;"")),IF(A_Corridor!$I$5:$I$204="-","",A_Corridor!$I$5:$I$204)),"")</f>
        <v/>
      </c>
      <c r="O615" s="182" t="str">
        <f>IFERROR(LOOKUP(2,1/((D_Points!$A$5:$A$204&lt;&gt;"")*(D_Points!$A$5:$A$204&gt;=$B615)*(D_Points!$A$5:$A$204&lt;$B615+P_Interval)*(UPPER(TRIM(D_Points!$B$5:$B$204))="PITCHING")*(D_Points!$H$5:$H$204&lt;&gt;"")),D_Points!$H$5:$H$204),"")</f>
        <v/>
      </c>
      <c r="P615" s="181" t="str">
        <f>IFERROR(LOOKUP(2,1/((B_Drainage!$A$5:$A$204&lt;&gt;"")*(B_Drainage!$A$5:$A$204&lt;=$B615)*(B_Drainage!$B$5:$B$204&gt;$B615)*(B_Drainage!$C$5:$C$204&lt;&gt;"")),IF(B_Drainage!$C$5:$C$204="-","",UPPER(B_Drainage!$C$5:$C$204))),"")</f>
        <v/>
      </c>
      <c r="Q615" s="181" t="str">
        <f>IFERROR(LOOKUP(2,1/((B_Drainage!$A$5:$A$204&lt;&gt;"")*(B_Drainage!$A$5:$A$204&lt;=$B615)*(B_Drainage!$B$5:$B$204&gt;$B615)*(B_Drainage!$D$5:$D$204&lt;&gt;"")),IF(B_Drainage!$D$5:$D$204="-","",UPPER(B_Drainage!$D$5:$D$204))),"")</f>
        <v/>
      </c>
      <c r="R615" s="182" t="str">
        <f>IFERROR(LOOKUP(2,1/((D_Points!$A$5:$A$204&lt;&gt;"")*(D_Points!$A$5:$A$204&gt;=$B615)*(D_Points!$A$5:$A$204&lt;$B615+P_Interval)*(RIGHT(UPPER(TRIM(D_Points!$B$5:$B$204)),8)="_CULVERT")),IF(LEFT(UPPER(TRIM(D_Points!$B$5:$B$204)),2)="EX",1,IF(LEFT(UPPER(TRIM(D_Points!$B$5:$B$204)),2)="PR",2,3))),"")</f>
        <v/>
      </c>
      <c r="S615" s="182" t="str">
        <f>IFERROR(LOOKUP(2,1/((D_Points!$A$5:$A$204&lt;&gt;"")*(D_Points!$A$5:$A$204&gt;=$B615)*(D_Points!$A$5:$A$204&lt;$B615+P_Interval)*(RIGHT(UPPER(TRIM(D_Points!$B$5:$B$204)),7)="_BRIDGE")),IF(LEFT(UPPER(TRIM(D_Points!$B$5:$B$204)),2)="EX",1,IF(LEFT(UPPER(TRIM(D_Points!$B$5:$B$204)),2)="PR",2,2))),"")</f>
        <v/>
      </c>
      <c r="T615" s="181" t="str">
        <f>IFERROR(LOOKUP(2,1/((B_Drainage!$A$5:$A$204&lt;&gt;"")*(B_Drainage!$A$5:$A$204&lt;=$B615)*(B_Drainage!$B$5:$B$204&gt;$B615)*(B_Drainage!$E$5:$E$204&lt;&gt;"")),IF(B_Drainage!$E$5:$E$204="-","",1)),"")</f>
        <v/>
      </c>
      <c r="U615" s="181" t="str">
        <f>IFERROR(LOOKUP(2,1/((B_Drainage!$A$5:$A$204&lt;&gt;"")*(B_Drainage!$A$5:$A$204&lt;=$B615)*(B_Drainage!$B$5:$B$204&gt;$B615)*(B_Drainage!$E$5:$E$204&lt;&gt;"")),IF(B_Drainage!$E$5:$E$204="-","",B_Drainage!$E$5:$E$204)),"")</f>
        <v/>
      </c>
      <c r="V615" s="181" t="str">
        <f>IFERROR(LOOKUP(2,1/((B_Drainage!$A$5:$A$204&lt;&gt;"")*(B_Drainage!$A$5:$A$204&lt;=$B615)*(B_Drainage!$B$5:$B$204&gt;$B615)*(B_Drainage!$F$5:$F$204&lt;&gt;"")),IF(B_Drainage!$F$5:$F$204="-","",1)),"")</f>
        <v/>
      </c>
      <c r="W615" s="181" t="str">
        <f>IFERROR(LOOKUP(2,1/((B_Drainage!$A$5:$A$204&lt;&gt;"")*(B_Drainage!$A$5:$A$204&lt;=$B615)*(B_Drainage!$B$5:$B$204&gt;$B615)*(B_Drainage!$F$5:$F$204&lt;&gt;"")),IF(B_Drainage!$F$5:$F$204="-","",B_Drainage!$F$5:$F$204)),"")</f>
        <v/>
      </c>
      <c r="X615" s="181" t="str">
        <f>IFERROR(LOOKUP(2,1/((B_Drainage!$A$5:$A$204&lt;&gt;"")*(B_Drainage!$A$5:$A$204&lt;=$B615)*(B_Drainage!$B$5:$B$204&gt;$B615)*(B_Drainage!$G$5:$G$204&lt;&gt;"")),IF(UPPER(B_Drainage!$G$5:$G$204)="Y",1,"")),"")</f>
        <v/>
      </c>
      <c r="Y615" s="181" t="str">
        <f>IFERROR(LOOKUP(2,1/((B_Drainage!$A$5:$A$204&lt;&gt;"")*(B_Drainage!$A$5:$A$204&lt;=$B615)*(B_Drainage!$B$5:$B$204&gt;$B615)*(B_Drainage!$H$5:$H$204&lt;&gt;"")),IF(UPPER(B_Drainage!$H$5:$H$204)="Y",1,"")),"")</f>
        <v/>
      </c>
      <c r="Z615" s="181" t="str">
        <f>IFERROR(LOOKUP(2,1/((B_Drainage!$A$5:$A$204&lt;&gt;"")*(B_Drainage!$A$5:$A$204&lt;=$B615)*(B_Drainage!$B$5:$B$204&gt;$B615)*(B_Drainage!$I$5:$I$204&lt;&gt;"")),IF(UPPER(B_Drainage!$I$5:$I$204)="Y",1,"")),"")</f>
        <v/>
      </c>
      <c r="AA615" s="181" t="str">
        <f>IFERROR(LOOKUP(2,1/((B_Drainage!$A$5:$A$204&lt;&gt;"")*(B_Drainage!$A$5:$A$204&lt;=$B615)*(B_Drainage!$B$5:$B$204&gt;$B615)*(B_Drainage!$J$5:$J$204&lt;&gt;"")),IF(UPPER(B_Drainage!$J$5:$J$204)="Y",1,"")),"")</f>
        <v/>
      </c>
      <c r="AB615" s="182" t="str">
        <f>IFERROR(LOOKUP(2,1/((B_Drainage!$A$5:$A$204&lt;&gt;"")*(B_Drainage!$A$5:$A$204&lt;=$B615)*(B_Drainage!$B$5:$B$204&gt;$B615)*(B_Drainage!$K$5:$K$204&lt;&gt;"")),IF(B_Drainage!$K$5:$K$204="-","",B_Drainage!$K$5:$K$204)),"")</f>
        <v/>
      </c>
      <c r="AC615" s="182" t="str">
        <f>IFERROR(LOOKUP(2,1/((B_Drainage!$A$5:$A$204&lt;&gt;"")*(B_Drainage!$A$5:$A$204&lt;=$B615)*(B_Drainage!$B$5:$B$204&gt;$B615)*(B_Drainage!$L$5:$L$204&lt;&gt;"")),IF(B_Drainage!$L$5:$L$204="-","",B_Drainage!$L$5:$L$204)),"")</f>
        <v/>
      </c>
      <c r="AD615" s="182" t="str">
        <f>IFERROR(LOOKUP(2,1/((D_Points!$A$5:$A$204&lt;&gt;"")*(D_Points!$A$5:$A$204&gt;=$B615)*(D_Points!$A$5:$A$204&lt;$B615+P_Interval)*(UPPER(TRIM(D_Points!$B$5:$B$204))="TURNOUT_L")*(D_Points!$H$5:$H$204&lt;&gt;"")),D_Points!$H$5:$H$204),"")</f>
        <v/>
      </c>
      <c r="AE615" s="182" t="str">
        <f>IFERROR(LOOKUP(2,1/((D_Points!$A$5:$A$204&lt;&gt;"")*(D_Points!$A$5:$A$204&gt;=$B615)*(D_Points!$A$5:$A$204&lt;$B615+P_Interval)*(UPPER(TRIM(D_Points!$B$5:$B$204))="TURNOUT_R")*(D_Points!$H$5:$H$204&lt;&gt;"")),D_Points!$H$5:$H$204),"")</f>
        <v/>
      </c>
      <c r="AF615" s="181" t="str">
        <f>IFERROR(LOOKUP(2,1/((B_Drainage!$A$5:$A$204&lt;&gt;"")*(B_Drainage!$A$5:$A$204&lt;=$B615)*(B_Drainage!$B$5:$B$204&gt;$B615)*(B_Drainage!$M$5:$M$204&lt;&gt;"")),IF(UPPER(B_Drainage!$M$5:$M$204)="Y",1,"")),"")</f>
        <v/>
      </c>
      <c r="AG615" s="181" t="str">
        <f>IFERROR(LOOKUP(2,1/((B_Drainage!$A$5:$A$204&lt;&gt;"")*(B_Drainage!$A$5:$A$204&lt;=$B615)*(B_Drainage!$B$5:$B$204&gt;$B615)*(B_Drainage!$N$5:$N$204&lt;&gt;"")),IF(UPPER(B_Drainage!$N$5:$N$204)="Y",1,"")),"")</f>
        <v/>
      </c>
      <c r="AH615" s="181" t="str">
        <f t="shared" si="72"/>
        <v/>
      </c>
      <c r="AI615" s="181" t="str">
        <f t="shared" si="73"/>
        <v/>
      </c>
      <c r="AJ615" s="181" t="str">
        <f t="shared" si="74"/>
        <v/>
      </c>
      <c r="AK615" s="181" t="str">
        <f t="shared" si="75"/>
        <v/>
      </c>
      <c r="AL615" s="181" t="str">
        <f t="shared" si="76"/>
        <v/>
      </c>
      <c r="AM615" s="181" t="str">
        <f t="shared" si="77"/>
        <v/>
      </c>
      <c r="AN615" s="181" t="str">
        <f t="shared" si="78"/>
        <v/>
      </c>
      <c r="AO615" s="192" t="str">
        <f t="shared" si="79"/>
        <v/>
      </c>
      <c r="AQ615" t="str">
        <f>IFERROR(LOOKUP(2,1/((C_Pavement!$A$5:$A$204&lt;&gt;"")*(C_Pavement!$A$5:$A$204&lt;=$B615)*(C_Pavement!$B$5:$B$204&gt;$B615)*(C_Pavement!$C$5:$C$204&lt;&gt;"")),ROW(C_Pavement!$C$5:$C$204)-4),"")</f>
        <v/>
      </c>
      <c r="AR615" t="str">
        <f>IF($AQ615="","",UPPER(TRIM(INDEX(C_Pavement!$C$5:$C$204,$AQ615))))</f>
        <v/>
      </c>
      <c r="AS615" t="str">
        <f>IF($AR615="","",IFERROR(MATCH($AR615,E_Rules!$A$5:$A$9,0),""))</f>
        <v/>
      </c>
      <c r="AT615" t="str">
        <f>IF($AQ615="","",IF(INDEX(C_Pavement!$D$5:$D$204,$AQ615)&lt;&gt;"",UPPER(TRIM(INDEX(C_Pavement!$D$5:$D$204,$AQ615))),IF($AS615="","",INDEX(E_Rules!$C$5:$C$9,$AS615))))</f>
        <v/>
      </c>
      <c r="AU615" t="str">
        <f>IF($AQ615="","",IF(INDEX(C_Pavement!$E$5:$E$204,$AQ615)&lt;&gt;"",IF(INDEX(C_Pavement!$E$5:$E$204,$AQ615)="-","",INDEX(C_Pavement!$E$5:$E$204,$AQ615)),IF($AS615="","",INDEX(E_Rules!$D$5:$D$9,$AS615))))</f>
        <v/>
      </c>
      <c r="AV615" t="str">
        <f>IF($AQ615="","",IF(INDEX(C_Pavement!$F$5:$F$204,$AQ615)&lt;&gt;"",IF(INDEX(C_Pavement!$F$5:$F$204,$AQ615)="-","",INDEX(C_Pavement!$F$5:$F$204,$AQ615)),IF($AS615="","",INDEX(E_Rules!$E$5:$E$9,$AS615))))</f>
        <v/>
      </c>
      <c r="AW615" t="str">
        <f>IF($AQ615="","",IF(INDEX(C_Pavement!$G$5:$G$204,$AQ615)&lt;&gt;"",IF(INDEX(C_Pavement!$G$5:$G$204,$AQ615)="-","",INDEX(C_Pavement!$G$5:$G$204,$AQ615)),IF($AS615="","",INDEX(E_Rules!$F$5:$F$9,$AS615))))</f>
        <v/>
      </c>
      <c r="AX615" t="str">
        <f>IF($AQ615="","",IF(INDEX(C_Pavement!$H$5:$H$204,$AQ615)&lt;&gt;"",IF(INDEX(C_Pavement!$H$5:$H$204,$AQ615)="-","",INDEX(C_Pavement!$H$5:$H$204,$AQ615)),IF($AS615="","",INDEX(E_Rules!$G$5:$G$9,$AS615))))</f>
        <v/>
      </c>
      <c r="AY615" t="str">
        <f>IF($AQ615="","",IF(INDEX(C_Pavement!$I$5:$I$204,$AQ615)&lt;&gt;"",IF(INDEX(C_Pavement!$I$5:$I$204,$AQ615)="-","",INDEX(C_Pavement!$I$5:$I$204,$AQ615)),IF($AS615="","",INDEX(E_Rules!$H$5:$H$9,$AS615))))</f>
        <v/>
      </c>
    </row>
    <row r="616" spans="1:51" ht="15.75" customHeight="1" x14ac:dyDescent="0.3">
      <c r="A616" s="189">
        <v>611</v>
      </c>
      <c r="B616" s="180">
        <v>30500</v>
      </c>
      <c r="C616" s="180" t="s">
        <v>922</v>
      </c>
      <c r="D616" s="181" t="str">
        <f>IFERROR(LOOKUP(2,1/((A_Corridor!$A$5:$A$204&lt;&gt;"")*(A_Corridor!$A$5:$A$204&lt;=$B616)*(A_Corridor!$B$5:$B$204&gt;$B616)*(A_Corridor!$C$5:$C$204&lt;&gt;"")),IF(UPPER(A_Corridor!$C$5:$C$204)="Y",1,"")),"")</f>
        <v/>
      </c>
      <c r="E616" s="181" t="str">
        <f>IFERROR(LOOKUP(2,1/((A_Corridor!$A$5:$A$204&lt;&gt;"")*(A_Corridor!$A$5:$A$204&lt;=$B616)*(A_Corridor!$B$5:$B$204&gt;$B616)*(A_Corridor!$D$5:$D$204&lt;&gt;"")),IF(A_Corridor!$D$5:$D$204="-","",UPPER(A_Corridor!$D$5:$D$204))),"")</f>
        <v/>
      </c>
      <c r="F616" s="181" t="str">
        <f>IFERROR(LOOKUP(2,1/((A_Corridor!$A$5:$A$204&lt;&gt;"")*(A_Corridor!$A$5:$A$204&lt;=$B616)*(A_Corridor!$B$5:$B$204&gt;$B616)*(A_Corridor!$E$5:$E$204&lt;&gt;"")),IF(A_Corridor!$E$5:$E$204="-","",1)),"")</f>
        <v/>
      </c>
      <c r="G616" s="182" t="str">
        <f>IFERROR(LOOKUP(2,1/((A_Corridor!$A$5:$A$204&lt;&gt;"")*(A_Corridor!$A$5:$A$204&lt;=$B616)*(A_Corridor!$B$5:$B$204&gt;$B616)*(A_Corridor!$E$5:$E$204&lt;&gt;"")),IF(A_Corridor!$E$5:$E$204="-","",A_Corridor!$E$5:$E$204)),"")</f>
        <v/>
      </c>
      <c r="H616" s="182" t="str">
        <f>IFERROR(LOOKUP(2,1/((D_Points!$A$5:$A$204&lt;&gt;"")*(D_Points!$A$5:$A$204&gt;=$B616)*(D_Points!$A$5:$A$204&lt;$B616+P_Interval)*(UPPER(TRIM(D_Points!$B$5:$B$204))="GULLY")*(D_Points!$H$5:$H$204&lt;&gt;"")),D_Points!$H$5:$H$204),"")</f>
        <v/>
      </c>
      <c r="I616" s="181" t="str">
        <f>IFERROR(LOOKUP(2,1/((A_Corridor!$A$5:$A$204&lt;&gt;"")*(A_Corridor!$A$5:$A$204&lt;=$B616)*(A_Corridor!$B$5:$B$204&gt;$B616)*(A_Corridor!$F$5:$F$204&lt;&gt;"")),IF(A_Corridor!$F$5:$F$204="-","",1)),"")</f>
        <v/>
      </c>
      <c r="J616" s="182" t="str">
        <f>IFERROR(LOOKUP(2,1/((A_Corridor!$A$5:$A$204&lt;&gt;"")*(A_Corridor!$A$5:$A$204&lt;=$B616)*(A_Corridor!$B$5:$B$204&gt;$B616)*(A_Corridor!$F$5:$F$204&lt;&gt;"")),IF(A_Corridor!$F$5:$F$204="-","",A_Corridor!$F$5:$F$204)),"")</f>
        <v/>
      </c>
      <c r="K616" s="182" t="str">
        <f>IFERROR(LOOKUP(2,1/((A_Corridor!$A$5:$A$204&lt;&gt;"")*(A_Corridor!$A$5:$A$204&lt;=$B616)*(A_Corridor!$B$5:$B$204&gt;$B616)*(A_Corridor!$G$5:$G$204&lt;&gt;"")),IF(A_Corridor!$G$5:$G$204="-","",A_Corridor!$G$5:$G$204)),"")</f>
        <v/>
      </c>
      <c r="L616" s="181" t="str">
        <f>IFERROR(LOOKUP(2,1/((A_Corridor!$A$5:$A$204&lt;&gt;"")*(A_Corridor!$A$5:$A$204&lt;=$B616)*(A_Corridor!$B$5:$B$204&gt;$B616)*(A_Corridor!$H$5:$H$204&lt;&gt;"")),IF(A_Corridor!$H$5:$H$204="-","",1)),"")</f>
        <v/>
      </c>
      <c r="M616" s="182" t="str">
        <f>IFERROR(LOOKUP(2,1/((A_Corridor!$A$5:$A$204&lt;&gt;"")*(A_Corridor!$A$5:$A$204&lt;=$B616)*(A_Corridor!$B$5:$B$204&gt;$B616)*(A_Corridor!$H$5:$H$204&lt;&gt;"")),IF(A_Corridor!$H$5:$H$204="-","",A_Corridor!$H$5:$H$204)),"")</f>
        <v/>
      </c>
      <c r="N616" s="182" t="str">
        <f>IFERROR(LOOKUP(2,1/((A_Corridor!$A$5:$A$204&lt;&gt;"")*(A_Corridor!$A$5:$A$204&lt;=$B616)*(A_Corridor!$B$5:$B$204&gt;$B616)*(A_Corridor!$I$5:$I$204&lt;&gt;"")),IF(A_Corridor!$I$5:$I$204="-","",A_Corridor!$I$5:$I$204)),"")</f>
        <v/>
      </c>
      <c r="O616" s="182" t="str">
        <f>IFERROR(LOOKUP(2,1/((D_Points!$A$5:$A$204&lt;&gt;"")*(D_Points!$A$5:$A$204&gt;=$B616)*(D_Points!$A$5:$A$204&lt;$B616+P_Interval)*(UPPER(TRIM(D_Points!$B$5:$B$204))="PITCHING")*(D_Points!$H$5:$H$204&lt;&gt;"")),D_Points!$H$5:$H$204),"")</f>
        <v/>
      </c>
      <c r="P616" s="181" t="str">
        <f>IFERROR(LOOKUP(2,1/((B_Drainage!$A$5:$A$204&lt;&gt;"")*(B_Drainage!$A$5:$A$204&lt;=$B616)*(B_Drainage!$B$5:$B$204&gt;$B616)*(B_Drainage!$C$5:$C$204&lt;&gt;"")),IF(B_Drainage!$C$5:$C$204="-","",UPPER(B_Drainage!$C$5:$C$204))),"")</f>
        <v/>
      </c>
      <c r="Q616" s="181" t="str">
        <f>IFERROR(LOOKUP(2,1/((B_Drainage!$A$5:$A$204&lt;&gt;"")*(B_Drainage!$A$5:$A$204&lt;=$B616)*(B_Drainage!$B$5:$B$204&gt;$B616)*(B_Drainage!$D$5:$D$204&lt;&gt;"")),IF(B_Drainage!$D$5:$D$204="-","",UPPER(B_Drainage!$D$5:$D$204))),"")</f>
        <v/>
      </c>
      <c r="R616" s="182" t="str">
        <f>IFERROR(LOOKUP(2,1/((D_Points!$A$5:$A$204&lt;&gt;"")*(D_Points!$A$5:$A$204&gt;=$B616)*(D_Points!$A$5:$A$204&lt;$B616+P_Interval)*(RIGHT(UPPER(TRIM(D_Points!$B$5:$B$204)),8)="_CULVERT")),IF(LEFT(UPPER(TRIM(D_Points!$B$5:$B$204)),2)="EX",1,IF(LEFT(UPPER(TRIM(D_Points!$B$5:$B$204)),2)="PR",2,3))),"")</f>
        <v/>
      </c>
      <c r="S616" s="182" t="str">
        <f>IFERROR(LOOKUP(2,1/((D_Points!$A$5:$A$204&lt;&gt;"")*(D_Points!$A$5:$A$204&gt;=$B616)*(D_Points!$A$5:$A$204&lt;$B616+P_Interval)*(RIGHT(UPPER(TRIM(D_Points!$B$5:$B$204)),7)="_BRIDGE")),IF(LEFT(UPPER(TRIM(D_Points!$B$5:$B$204)),2)="EX",1,IF(LEFT(UPPER(TRIM(D_Points!$B$5:$B$204)),2)="PR",2,2))),"")</f>
        <v/>
      </c>
      <c r="T616" s="181" t="str">
        <f>IFERROR(LOOKUP(2,1/((B_Drainage!$A$5:$A$204&lt;&gt;"")*(B_Drainage!$A$5:$A$204&lt;=$B616)*(B_Drainage!$B$5:$B$204&gt;$B616)*(B_Drainage!$E$5:$E$204&lt;&gt;"")),IF(B_Drainage!$E$5:$E$204="-","",1)),"")</f>
        <v/>
      </c>
      <c r="U616" s="181" t="str">
        <f>IFERROR(LOOKUP(2,1/((B_Drainage!$A$5:$A$204&lt;&gt;"")*(B_Drainage!$A$5:$A$204&lt;=$B616)*(B_Drainage!$B$5:$B$204&gt;$B616)*(B_Drainage!$E$5:$E$204&lt;&gt;"")),IF(B_Drainage!$E$5:$E$204="-","",B_Drainage!$E$5:$E$204)),"")</f>
        <v/>
      </c>
      <c r="V616" s="181" t="str">
        <f>IFERROR(LOOKUP(2,1/((B_Drainage!$A$5:$A$204&lt;&gt;"")*(B_Drainage!$A$5:$A$204&lt;=$B616)*(B_Drainage!$B$5:$B$204&gt;$B616)*(B_Drainage!$F$5:$F$204&lt;&gt;"")),IF(B_Drainage!$F$5:$F$204="-","",1)),"")</f>
        <v/>
      </c>
      <c r="W616" s="181" t="str">
        <f>IFERROR(LOOKUP(2,1/((B_Drainage!$A$5:$A$204&lt;&gt;"")*(B_Drainage!$A$5:$A$204&lt;=$B616)*(B_Drainage!$B$5:$B$204&gt;$B616)*(B_Drainage!$F$5:$F$204&lt;&gt;"")),IF(B_Drainage!$F$5:$F$204="-","",B_Drainage!$F$5:$F$204)),"")</f>
        <v/>
      </c>
      <c r="X616" s="181" t="str">
        <f>IFERROR(LOOKUP(2,1/((B_Drainage!$A$5:$A$204&lt;&gt;"")*(B_Drainage!$A$5:$A$204&lt;=$B616)*(B_Drainage!$B$5:$B$204&gt;$B616)*(B_Drainage!$G$5:$G$204&lt;&gt;"")),IF(UPPER(B_Drainage!$G$5:$G$204)="Y",1,"")),"")</f>
        <v/>
      </c>
      <c r="Y616" s="181" t="str">
        <f>IFERROR(LOOKUP(2,1/((B_Drainage!$A$5:$A$204&lt;&gt;"")*(B_Drainage!$A$5:$A$204&lt;=$B616)*(B_Drainage!$B$5:$B$204&gt;$B616)*(B_Drainage!$H$5:$H$204&lt;&gt;"")),IF(UPPER(B_Drainage!$H$5:$H$204)="Y",1,"")),"")</f>
        <v/>
      </c>
      <c r="Z616" s="181" t="str">
        <f>IFERROR(LOOKUP(2,1/((B_Drainage!$A$5:$A$204&lt;&gt;"")*(B_Drainage!$A$5:$A$204&lt;=$B616)*(B_Drainage!$B$5:$B$204&gt;$B616)*(B_Drainage!$I$5:$I$204&lt;&gt;"")),IF(UPPER(B_Drainage!$I$5:$I$204)="Y",1,"")),"")</f>
        <v/>
      </c>
      <c r="AA616" s="181" t="str">
        <f>IFERROR(LOOKUP(2,1/((B_Drainage!$A$5:$A$204&lt;&gt;"")*(B_Drainage!$A$5:$A$204&lt;=$B616)*(B_Drainage!$B$5:$B$204&gt;$B616)*(B_Drainage!$J$5:$J$204&lt;&gt;"")),IF(UPPER(B_Drainage!$J$5:$J$204)="Y",1,"")),"")</f>
        <v/>
      </c>
      <c r="AB616" s="182" t="str">
        <f>IFERROR(LOOKUP(2,1/((B_Drainage!$A$5:$A$204&lt;&gt;"")*(B_Drainage!$A$5:$A$204&lt;=$B616)*(B_Drainage!$B$5:$B$204&gt;$B616)*(B_Drainage!$K$5:$K$204&lt;&gt;"")),IF(B_Drainage!$K$5:$K$204="-","",B_Drainage!$K$5:$K$204)),"")</f>
        <v/>
      </c>
      <c r="AC616" s="182" t="str">
        <f>IFERROR(LOOKUP(2,1/((B_Drainage!$A$5:$A$204&lt;&gt;"")*(B_Drainage!$A$5:$A$204&lt;=$B616)*(B_Drainage!$B$5:$B$204&gt;$B616)*(B_Drainage!$L$5:$L$204&lt;&gt;"")),IF(B_Drainage!$L$5:$L$204="-","",B_Drainage!$L$5:$L$204)),"")</f>
        <v/>
      </c>
      <c r="AD616" s="182" t="str">
        <f>IFERROR(LOOKUP(2,1/((D_Points!$A$5:$A$204&lt;&gt;"")*(D_Points!$A$5:$A$204&gt;=$B616)*(D_Points!$A$5:$A$204&lt;$B616+P_Interval)*(UPPER(TRIM(D_Points!$B$5:$B$204))="TURNOUT_L")*(D_Points!$H$5:$H$204&lt;&gt;"")),D_Points!$H$5:$H$204),"")</f>
        <v/>
      </c>
      <c r="AE616" s="182" t="str">
        <f>IFERROR(LOOKUP(2,1/((D_Points!$A$5:$A$204&lt;&gt;"")*(D_Points!$A$5:$A$204&gt;=$B616)*(D_Points!$A$5:$A$204&lt;$B616+P_Interval)*(UPPER(TRIM(D_Points!$B$5:$B$204))="TURNOUT_R")*(D_Points!$H$5:$H$204&lt;&gt;"")),D_Points!$H$5:$H$204),"")</f>
        <v/>
      </c>
      <c r="AF616" s="181" t="str">
        <f>IFERROR(LOOKUP(2,1/((B_Drainage!$A$5:$A$204&lt;&gt;"")*(B_Drainage!$A$5:$A$204&lt;=$B616)*(B_Drainage!$B$5:$B$204&gt;$B616)*(B_Drainage!$M$5:$M$204&lt;&gt;"")),IF(UPPER(B_Drainage!$M$5:$M$204)="Y",1,"")),"")</f>
        <v/>
      </c>
      <c r="AG616" s="181" t="str">
        <f>IFERROR(LOOKUP(2,1/((B_Drainage!$A$5:$A$204&lt;&gt;"")*(B_Drainage!$A$5:$A$204&lt;=$B616)*(B_Drainage!$B$5:$B$204&gt;$B616)*(B_Drainage!$N$5:$N$204&lt;&gt;"")),IF(UPPER(B_Drainage!$N$5:$N$204)="Y",1,"")),"")</f>
        <v/>
      </c>
      <c r="AH616" s="181" t="str">
        <f t="shared" si="72"/>
        <v/>
      </c>
      <c r="AI616" s="181" t="str">
        <f t="shared" si="73"/>
        <v/>
      </c>
      <c r="AJ616" s="181" t="str">
        <f t="shared" si="74"/>
        <v/>
      </c>
      <c r="AK616" s="181" t="str">
        <f t="shared" si="75"/>
        <v/>
      </c>
      <c r="AL616" s="181" t="str">
        <f t="shared" si="76"/>
        <v/>
      </c>
      <c r="AM616" s="181" t="str">
        <f t="shared" si="77"/>
        <v/>
      </c>
      <c r="AN616" s="181" t="str">
        <f t="shared" si="78"/>
        <v/>
      </c>
      <c r="AO616" s="192" t="str">
        <f t="shared" si="79"/>
        <v/>
      </c>
      <c r="AQ616" t="str">
        <f>IFERROR(LOOKUP(2,1/((C_Pavement!$A$5:$A$204&lt;&gt;"")*(C_Pavement!$A$5:$A$204&lt;=$B616)*(C_Pavement!$B$5:$B$204&gt;$B616)*(C_Pavement!$C$5:$C$204&lt;&gt;"")),ROW(C_Pavement!$C$5:$C$204)-4),"")</f>
        <v/>
      </c>
      <c r="AR616" t="str">
        <f>IF($AQ616="","",UPPER(TRIM(INDEX(C_Pavement!$C$5:$C$204,$AQ616))))</f>
        <v/>
      </c>
      <c r="AS616" t="str">
        <f>IF($AR616="","",IFERROR(MATCH($AR616,E_Rules!$A$5:$A$9,0),""))</f>
        <v/>
      </c>
      <c r="AT616" t="str">
        <f>IF($AQ616="","",IF(INDEX(C_Pavement!$D$5:$D$204,$AQ616)&lt;&gt;"",UPPER(TRIM(INDEX(C_Pavement!$D$5:$D$204,$AQ616))),IF($AS616="","",INDEX(E_Rules!$C$5:$C$9,$AS616))))</f>
        <v/>
      </c>
      <c r="AU616" t="str">
        <f>IF($AQ616="","",IF(INDEX(C_Pavement!$E$5:$E$204,$AQ616)&lt;&gt;"",IF(INDEX(C_Pavement!$E$5:$E$204,$AQ616)="-","",INDEX(C_Pavement!$E$5:$E$204,$AQ616)),IF($AS616="","",INDEX(E_Rules!$D$5:$D$9,$AS616))))</f>
        <v/>
      </c>
      <c r="AV616" t="str">
        <f>IF($AQ616="","",IF(INDEX(C_Pavement!$F$5:$F$204,$AQ616)&lt;&gt;"",IF(INDEX(C_Pavement!$F$5:$F$204,$AQ616)="-","",INDEX(C_Pavement!$F$5:$F$204,$AQ616)),IF($AS616="","",INDEX(E_Rules!$E$5:$E$9,$AS616))))</f>
        <v/>
      </c>
      <c r="AW616" t="str">
        <f>IF($AQ616="","",IF(INDEX(C_Pavement!$G$5:$G$204,$AQ616)&lt;&gt;"",IF(INDEX(C_Pavement!$G$5:$G$204,$AQ616)="-","",INDEX(C_Pavement!$G$5:$G$204,$AQ616)),IF($AS616="","",INDEX(E_Rules!$F$5:$F$9,$AS616))))</f>
        <v/>
      </c>
      <c r="AX616" t="str">
        <f>IF($AQ616="","",IF(INDEX(C_Pavement!$H$5:$H$204,$AQ616)&lt;&gt;"",IF(INDEX(C_Pavement!$H$5:$H$204,$AQ616)="-","",INDEX(C_Pavement!$H$5:$H$204,$AQ616)),IF($AS616="","",INDEX(E_Rules!$G$5:$G$9,$AS616))))</f>
        <v/>
      </c>
      <c r="AY616" t="str">
        <f>IF($AQ616="","",IF(INDEX(C_Pavement!$I$5:$I$204,$AQ616)&lt;&gt;"",IF(INDEX(C_Pavement!$I$5:$I$204,$AQ616)="-","",INDEX(C_Pavement!$I$5:$I$204,$AQ616)),IF($AS616="","",INDEX(E_Rules!$H$5:$H$9,$AS616))))</f>
        <v/>
      </c>
    </row>
    <row r="617" spans="1:51" ht="15.75" customHeight="1" x14ac:dyDescent="0.3">
      <c r="A617" s="189">
        <v>612</v>
      </c>
      <c r="B617" s="180">
        <v>30550</v>
      </c>
      <c r="C617" s="180" t="s">
        <v>923</v>
      </c>
      <c r="D617" s="181" t="str">
        <f>IFERROR(LOOKUP(2,1/((A_Corridor!$A$5:$A$204&lt;&gt;"")*(A_Corridor!$A$5:$A$204&lt;=$B617)*(A_Corridor!$B$5:$B$204&gt;$B617)*(A_Corridor!$C$5:$C$204&lt;&gt;"")),IF(UPPER(A_Corridor!$C$5:$C$204)="Y",1,"")),"")</f>
        <v/>
      </c>
      <c r="E617" s="181" t="str">
        <f>IFERROR(LOOKUP(2,1/((A_Corridor!$A$5:$A$204&lt;&gt;"")*(A_Corridor!$A$5:$A$204&lt;=$B617)*(A_Corridor!$B$5:$B$204&gt;$B617)*(A_Corridor!$D$5:$D$204&lt;&gt;"")),IF(A_Corridor!$D$5:$D$204="-","",UPPER(A_Corridor!$D$5:$D$204))),"")</f>
        <v/>
      </c>
      <c r="F617" s="181" t="str">
        <f>IFERROR(LOOKUP(2,1/((A_Corridor!$A$5:$A$204&lt;&gt;"")*(A_Corridor!$A$5:$A$204&lt;=$B617)*(A_Corridor!$B$5:$B$204&gt;$B617)*(A_Corridor!$E$5:$E$204&lt;&gt;"")),IF(A_Corridor!$E$5:$E$204="-","",1)),"")</f>
        <v/>
      </c>
      <c r="G617" s="182" t="str">
        <f>IFERROR(LOOKUP(2,1/((A_Corridor!$A$5:$A$204&lt;&gt;"")*(A_Corridor!$A$5:$A$204&lt;=$B617)*(A_Corridor!$B$5:$B$204&gt;$B617)*(A_Corridor!$E$5:$E$204&lt;&gt;"")),IF(A_Corridor!$E$5:$E$204="-","",A_Corridor!$E$5:$E$204)),"")</f>
        <v/>
      </c>
      <c r="H617" s="182" t="str">
        <f>IFERROR(LOOKUP(2,1/((D_Points!$A$5:$A$204&lt;&gt;"")*(D_Points!$A$5:$A$204&gt;=$B617)*(D_Points!$A$5:$A$204&lt;$B617+P_Interval)*(UPPER(TRIM(D_Points!$B$5:$B$204))="GULLY")*(D_Points!$H$5:$H$204&lt;&gt;"")),D_Points!$H$5:$H$204),"")</f>
        <v/>
      </c>
      <c r="I617" s="181" t="str">
        <f>IFERROR(LOOKUP(2,1/((A_Corridor!$A$5:$A$204&lt;&gt;"")*(A_Corridor!$A$5:$A$204&lt;=$B617)*(A_Corridor!$B$5:$B$204&gt;$B617)*(A_Corridor!$F$5:$F$204&lt;&gt;"")),IF(A_Corridor!$F$5:$F$204="-","",1)),"")</f>
        <v/>
      </c>
      <c r="J617" s="182" t="str">
        <f>IFERROR(LOOKUP(2,1/((A_Corridor!$A$5:$A$204&lt;&gt;"")*(A_Corridor!$A$5:$A$204&lt;=$B617)*(A_Corridor!$B$5:$B$204&gt;$B617)*(A_Corridor!$F$5:$F$204&lt;&gt;"")),IF(A_Corridor!$F$5:$F$204="-","",A_Corridor!$F$5:$F$204)),"")</f>
        <v/>
      </c>
      <c r="K617" s="182" t="str">
        <f>IFERROR(LOOKUP(2,1/((A_Corridor!$A$5:$A$204&lt;&gt;"")*(A_Corridor!$A$5:$A$204&lt;=$B617)*(A_Corridor!$B$5:$B$204&gt;$B617)*(A_Corridor!$G$5:$G$204&lt;&gt;"")),IF(A_Corridor!$G$5:$G$204="-","",A_Corridor!$G$5:$G$204)),"")</f>
        <v/>
      </c>
      <c r="L617" s="181" t="str">
        <f>IFERROR(LOOKUP(2,1/((A_Corridor!$A$5:$A$204&lt;&gt;"")*(A_Corridor!$A$5:$A$204&lt;=$B617)*(A_Corridor!$B$5:$B$204&gt;$B617)*(A_Corridor!$H$5:$H$204&lt;&gt;"")),IF(A_Corridor!$H$5:$H$204="-","",1)),"")</f>
        <v/>
      </c>
      <c r="M617" s="182" t="str">
        <f>IFERROR(LOOKUP(2,1/((A_Corridor!$A$5:$A$204&lt;&gt;"")*(A_Corridor!$A$5:$A$204&lt;=$B617)*(A_Corridor!$B$5:$B$204&gt;$B617)*(A_Corridor!$H$5:$H$204&lt;&gt;"")),IF(A_Corridor!$H$5:$H$204="-","",A_Corridor!$H$5:$H$204)),"")</f>
        <v/>
      </c>
      <c r="N617" s="182" t="str">
        <f>IFERROR(LOOKUP(2,1/((A_Corridor!$A$5:$A$204&lt;&gt;"")*(A_Corridor!$A$5:$A$204&lt;=$B617)*(A_Corridor!$B$5:$B$204&gt;$B617)*(A_Corridor!$I$5:$I$204&lt;&gt;"")),IF(A_Corridor!$I$5:$I$204="-","",A_Corridor!$I$5:$I$204)),"")</f>
        <v/>
      </c>
      <c r="O617" s="182" t="str">
        <f>IFERROR(LOOKUP(2,1/((D_Points!$A$5:$A$204&lt;&gt;"")*(D_Points!$A$5:$A$204&gt;=$B617)*(D_Points!$A$5:$A$204&lt;$B617+P_Interval)*(UPPER(TRIM(D_Points!$B$5:$B$204))="PITCHING")*(D_Points!$H$5:$H$204&lt;&gt;"")),D_Points!$H$5:$H$204),"")</f>
        <v/>
      </c>
      <c r="P617" s="181" t="str">
        <f>IFERROR(LOOKUP(2,1/((B_Drainage!$A$5:$A$204&lt;&gt;"")*(B_Drainage!$A$5:$A$204&lt;=$B617)*(B_Drainage!$B$5:$B$204&gt;$B617)*(B_Drainage!$C$5:$C$204&lt;&gt;"")),IF(B_Drainage!$C$5:$C$204="-","",UPPER(B_Drainage!$C$5:$C$204))),"")</f>
        <v/>
      </c>
      <c r="Q617" s="181" t="str">
        <f>IFERROR(LOOKUP(2,1/((B_Drainage!$A$5:$A$204&lt;&gt;"")*(B_Drainage!$A$5:$A$204&lt;=$B617)*(B_Drainage!$B$5:$B$204&gt;$B617)*(B_Drainage!$D$5:$D$204&lt;&gt;"")),IF(B_Drainage!$D$5:$D$204="-","",UPPER(B_Drainage!$D$5:$D$204))),"")</f>
        <v/>
      </c>
      <c r="R617" s="182" t="str">
        <f>IFERROR(LOOKUP(2,1/((D_Points!$A$5:$A$204&lt;&gt;"")*(D_Points!$A$5:$A$204&gt;=$B617)*(D_Points!$A$5:$A$204&lt;$B617+P_Interval)*(RIGHT(UPPER(TRIM(D_Points!$B$5:$B$204)),8)="_CULVERT")),IF(LEFT(UPPER(TRIM(D_Points!$B$5:$B$204)),2)="EX",1,IF(LEFT(UPPER(TRIM(D_Points!$B$5:$B$204)),2)="PR",2,3))),"")</f>
        <v/>
      </c>
      <c r="S617" s="182" t="str">
        <f>IFERROR(LOOKUP(2,1/((D_Points!$A$5:$A$204&lt;&gt;"")*(D_Points!$A$5:$A$204&gt;=$B617)*(D_Points!$A$5:$A$204&lt;$B617+P_Interval)*(RIGHT(UPPER(TRIM(D_Points!$B$5:$B$204)),7)="_BRIDGE")),IF(LEFT(UPPER(TRIM(D_Points!$B$5:$B$204)),2)="EX",1,IF(LEFT(UPPER(TRIM(D_Points!$B$5:$B$204)),2)="PR",2,2))),"")</f>
        <v/>
      </c>
      <c r="T617" s="181" t="str">
        <f>IFERROR(LOOKUP(2,1/((B_Drainage!$A$5:$A$204&lt;&gt;"")*(B_Drainage!$A$5:$A$204&lt;=$B617)*(B_Drainage!$B$5:$B$204&gt;$B617)*(B_Drainage!$E$5:$E$204&lt;&gt;"")),IF(B_Drainage!$E$5:$E$204="-","",1)),"")</f>
        <v/>
      </c>
      <c r="U617" s="181" t="str">
        <f>IFERROR(LOOKUP(2,1/((B_Drainage!$A$5:$A$204&lt;&gt;"")*(B_Drainage!$A$5:$A$204&lt;=$B617)*(B_Drainage!$B$5:$B$204&gt;$B617)*(B_Drainage!$E$5:$E$204&lt;&gt;"")),IF(B_Drainage!$E$5:$E$204="-","",B_Drainage!$E$5:$E$204)),"")</f>
        <v/>
      </c>
      <c r="V617" s="181" t="str">
        <f>IFERROR(LOOKUP(2,1/((B_Drainage!$A$5:$A$204&lt;&gt;"")*(B_Drainage!$A$5:$A$204&lt;=$B617)*(B_Drainage!$B$5:$B$204&gt;$B617)*(B_Drainage!$F$5:$F$204&lt;&gt;"")),IF(B_Drainage!$F$5:$F$204="-","",1)),"")</f>
        <v/>
      </c>
      <c r="W617" s="181" t="str">
        <f>IFERROR(LOOKUP(2,1/((B_Drainage!$A$5:$A$204&lt;&gt;"")*(B_Drainage!$A$5:$A$204&lt;=$B617)*(B_Drainage!$B$5:$B$204&gt;$B617)*(B_Drainage!$F$5:$F$204&lt;&gt;"")),IF(B_Drainage!$F$5:$F$204="-","",B_Drainage!$F$5:$F$204)),"")</f>
        <v/>
      </c>
      <c r="X617" s="181" t="str">
        <f>IFERROR(LOOKUP(2,1/((B_Drainage!$A$5:$A$204&lt;&gt;"")*(B_Drainage!$A$5:$A$204&lt;=$B617)*(B_Drainage!$B$5:$B$204&gt;$B617)*(B_Drainage!$G$5:$G$204&lt;&gt;"")),IF(UPPER(B_Drainage!$G$5:$G$204)="Y",1,"")),"")</f>
        <v/>
      </c>
      <c r="Y617" s="181" t="str">
        <f>IFERROR(LOOKUP(2,1/((B_Drainage!$A$5:$A$204&lt;&gt;"")*(B_Drainage!$A$5:$A$204&lt;=$B617)*(B_Drainage!$B$5:$B$204&gt;$B617)*(B_Drainage!$H$5:$H$204&lt;&gt;"")),IF(UPPER(B_Drainage!$H$5:$H$204)="Y",1,"")),"")</f>
        <v/>
      </c>
      <c r="Z617" s="181" t="str">
        <f>IFERROR(LOOKUP(2,1/((B_Drainage!$A$5:$A$204&lt;&gt;"")*(B_Drainage!$A$5:$A$204&lt;=$B617)*(B_Drainage!$B$5:$B$204&gt;$B617)*(B_Drainage!$I$5:$I$204&lt;&gt;"")),IF(UPPER(B_Drainage!$I$5:$I$204)="Y",1,"")),"")</f>
        <v/>
      </c>
      <c r="AA617" s="181" t="str">
        <f>IFERROR(LOOKUP(2,1/((B_Drainage!$A$5:$A$204&lt;&gt;"")*(B_Drainage!$A$5:$A$204&lt;=$B617)*(B_Drainage!$B$5:$B$204&gt;$B617)*(B_Drainage!$J$5:$J$204&lt;&gt;"")),IF(UPPER(B_Drainage!$J$5:$J$204)="Y",1,"")),"")</f>
        <v/>
      </c>
      <c r="AB617" s="182" t="str">
        <f>IFERROR(LOOKUP(2,1/((B_Drainage!$A$5:$A$204&lt;&gt;"")*(B_Drainage!$A$5:$A$204&lt;=$B617)*(B_Drainage!$B$5:$B$204&gt;$B617)*(B_Drainage!$K$5:$K$204&lt;&gt;"")),IF(B_Drainage!$K$5:$K$204="-","",B_Drainage!$K$5:$K$204)),"")</f>
        <v/>
      </c>
      <c r="AC617" s="182" t="str">
        <f>IFERROR(LOOKUP(2,1/((B_Drainage!$A$5:$A$204&lt;&gt;"")*(B_Drainage!$A$5:$A$204&lt;=$B617)*(B_Drainage!$B$5:$B$204&gt;$B617)*(B_Drainage!$L$5:$L$204&lt;&gt;"")),IF(B_Drainage!$L$5:$L$204="-","",B_Drainage!$L$5:$L$204)),"")</f>
        <v/>
      </c>
      <c r="AD617" s="182" t="str">
        <f>IFERROR(LOOKUP(2,1/((D_Points!$A$5:$A$204&lt;&gt;"")*(D_Points!$A$5:$A$204&gt;=$B617)*(D_Points!$A$5:$A$204&lt;$B617+P_Interval)*(UPPER(TRIM(D_Points!$B$5:$B$204))="TURNOUT_L")*(D_Points!$H$5:$H$204&lt;&gt;"")),D_Points!$H$5:$H$204),"")</f>
        <v/>
      </c>
      <c r="AE617" s="182" t="str">
        <f>IFERROR(LOOKUP(2,1/((D_Points!$A$5:$A$204&lt;&gt;"")*(D_Points!$A$5:$A$204&gt;=$B617)*(D_Points!$A$5:$A$204&lt;$B617+P_Interval)*(UPPER(TRIM(D_Points!$B$5:$B$204))="TURNOUT_R")*(D_Points!$H$5:$H$204&lt;&gt;"")),D_Points!$H$5:$H$204),"")</f>
        <v/>
      </c>
      <c r="AF617" s="181" t="str">
        <f>IFERROR(LOOKUP(2,1/((B_Drainage!$A$5:$A$204&lt;&gt;"")*(B_Drainage!$A$5:$A$204&lt;=$B617)*(B_Drainage!$B$5:$B$204&gt;$B617)*(B_Drainage!$M$5:$M$204&lt;&gt;"")),IF(UPPER(B_Drainage!$M$5:$M$204)="Y",1,"")),"")</f>
        <v/>
      </c>
      <c r="AG617" s="181" t="str">
        <f>IFERROR(LOOKUP(2,1/((B_Drainage!$A$5:$A$204&lt;&gt;"")*(B_Drainage!$A$5:$A$204&lt;=$B617)*(B_Drainage!$B$5:$B$204&gt;$B617)*(B_Drainage!$N$5:$N$204&lt;&gt;"")),IF(UPPER(B_Drainage!$N$5:$N$204)="Y",1,"")),"")</f>
        <v/>
      </c>
      <c r="AH617" s="181" t="str">
        <f t="shared" si="72"/>
        <v/>
      </c>
      <c r="AI617" s="181" t="str">
        <f t="shared" si="73"/>
        <v/>
      </c>
      <c r="AJ617" s="181" t="str">
        <f t="shared" si="74"/>
        <v/>
      </c>
      <c r="AK617" s="181" t="str">
        <f t="shared" si="75"/>
        <v/>
      </c>
      <c r="AL617" s="181" t="str">
        <f t="shared" si="76"/>
        <v/>
      </c>
      <c r="AM617" s="181" t="str">
        <f t="shared" si="77"/>
        <v/>
      </c>
      <c r="AN617" s="181" t="str">
        <f t="shared" si="78"/>
        <v/>
      </c>
      <c r="AO617" s="192" t="str">
        <f t="shared" si="79"/>
        <v/>
      </c>
      <c r="AQ617" t="str">
        <f>IFERROR(LOOKUP(2,1/((C_Pavement!$A$5:$A$204&lt;&gt;"")*(C_Pavement!$A$5:$A$204&lt;=$B617)*(C_Pavement!$B$5:$B$204&gt;$B617)*(C_Pavement!$C$5:$C$204&lt;&gt;"")),ROW(C_Pavement!$C$5:$C$204)-4),"")</f>
        <v/>
      </c>
      <c r="AR617" t="str">
        <f>IF($AQ617="","",UPPER(TRIM(INDEX(C_Pavement!$C$5:$C$204,$AQ617))))</f>
        <v/>
      </c>
      <c r="AS617" t="str">
        <f>IF($AR617="","",IFERROR(MATCH($AR617,E_Rules!$A$5:$A$9,0),""))</f>
        <v/>
      </c>
      <c r="AT617" t="str">
        <f>IF($AQ617="","",IF(INDEX(C_Pavement!$D$5:$D$204,$AQ617)&lt;&gt;"",UPPER(TRIM(INDEX(C_Pavement!$D$5:$D$204,$AQ617))),IF($AS617="","",INDEX(E_Rules!$C$5:$C$9,$AS617))))</f>
        <v/>
      </c>
      <c r="AU617" t="str">
        <f>IF($AQ617="","",IF(INDEX(C_Pavement!$E$5:$E$204,$AQ617)&lt;&gt;"",IF(INDEX(C_Pavement!$E$5:$E$204,$AQ617)="-","",INDEX(C_Pavement!$E$5:$E$204,$AQ617)),IF($AS617="","",INDEX(E_Rules!$D$5:$D$9,$AS617))))</f>
        <v/>
      </c>
      <c r="AV617" t="str">
        <f>IF($AQ617="","",IF(INDEX(C_Pavement!$F$5:$F$204,$AQ617)&lt;&gt;"",IF(INDEX(C_Pavement!$F$5:$F$204,$AQ617)="-","",INDEX(C_Pavement!$F$5:$F$204,$AQ617)),IF($AS617="","",INDEX(E_Rules!$E$5:$E$9,$AS617))))</f>
        <v/>
      </c>
      <c r="AW617" t="str">
        <f>IF($AQ617="","",IF(INDEX(C_Pavement!$G$5:$G$204,$AQ617)&lt;&gt;"",IF(INDEX(C_Pavement!$G$5:$G$204,$AQ617)="-","",INDEX(C_Pavement!$G$5:$G$204,$AQ617)),IF($AS617="","",INDEX(E_Rules!$F$5:$F$9,$AS617))))</f>
        <v/>
      </c>
      <c r="AX617" t="str">
        <f>IF($AQ617="","",IF(INDEX(C_Pavement!$H$5:$H$204,$AQ617)&lt;&gt;"",IF(INDEX(C_Pavement!$H$5:$H$204,$AQ617)="-","",INDEX(C_Pavement!$H$5:$H$204,$AQ617)),IF($AS617="","",INDEX(E_Rules!$G$5:$G$9,$AS617))))</f>
        <v/>
      </c>
      <c r="AY617" t="str">
        <f>IF($AQ617="","",IF(INDEX(C_Pavement!$I$5:$I$204,$AQ617)&lt;&gt;"",IF(INDEX(C_Pavement!$I$5:$I$204,$AQ617)="-","",INDEX(C_Pavement!$I$5:$I$204,$AQ617)),IF($AS617="","",INDEX(E_Rules!$H$5:$H$9,$AS617))))</f>
        <v/>
      </c>
    </row>
    <row r="618" spans="1:51" ht="15.75" customHeight="1" x14ac:dyDescent="0.3">
      <c r="A618" s="189">
        <v>613</v>
      </c>
      <c r="B618" s="180">
        <v>30600</v>
      </c>
      <c r="C618" s="180" t="s">
        <v>924</v>
      </c>
      <c r="D618" s="181" t="str">
        <f>IFERROR(LOOKUP(2,1/((A_Corridor!$A$5:$A$204&lt;&gt;"")*(A_Corridor!$A$5:$A$204&lt;=$B618)*(A_Corridor!$B$5:$B$204&gt;$B618)*(A_Corridor!$C$5:$C$204&lt;&gt;"")),IF(UPPER(A_Corridor!$C$5:$C$204)="Y",1,"")),"")</f>
        <v/>
      </c>
      <c r="E618" s="181" t="str">
        <f>IFERROR(LOOKUP(2,1/((A_Corridor!$A$5:$A$204&lt;&gt;"")*(A_Corridor!$A$5:$A$204&lt;=$B618)*(A_Corridor!$B$5:$B$204&gt;$B618)*(A_Corridor!$D$5:$D$204&lt;&gt;"")),IF(A_Corridor!$D$5:$D$204="-","",UPPER(A_Corridor!$D$5:$D$204))),"")</f>
        <v/>
      </c>
      <c r="F618" s="181" t="str">
        <f>IFERROR(LOOKUP(2,1/((A_Corridor!$A$5:$A$204&lt;&gt;"")*(A_Corridor!$A$5:$A$204&lt;=$B618)*(A_Corridor!$B$5:$B$204&gt;$B618)*(A_Corridor!$E$5:$E$204&lt;&gt;"")),IF(A_Corridor!$E$5:$E$204="-","",1)),"")</f>
        <v/>
      </c>
      <c r="G618" s="182" t="str">
        <f>IFERROR(LOOKUP(2,1/((A_Corridor!$A$5:$A$204&lt;&gt;"")*(A_Corridor!$A$5:$A$204&lt;=$B618)*(A_Corridor!$B$5:$B$204&gt;$B618)*(A_Corridor!$E$5:$E$204&lt;&gt;"")),IF(A_Corridor!$E$5:$E$204="-","",A_Corridor!$E$5:$E$204)),"")</f>
        <v/>
      </c>
      <c r="H618" s="182" t="str">
        <f>IFERROR(LOOKUP(2,1/((D_Points!$A$5:$A$204&lt;&gt;"")*(D_Points!$A$5:$A$204&gt;=$B618)*(D_Points!$A$5:$A$204&lt;$B618+P_Interval)*(UPPER(TRIM(D_Points!$B$5:$B$204))="GULLY")*(D_Points!$H$5:$H$204&lt;&gt;"")),D_Points!$H$5:$H$204),"")</f>
        <v/>
      </c>
      <c r="I618" s="181" t="str">
        <f>IFERROR(LOOKUP(2,1/((A_Corridor!$A$5:$A$204&lt;&gt;"")*(A_Corridor!$A$5:$A$204&lt;=$B618)*(A_Corridor!$B$5:$B$204&gt;$B618)*(A_Corridor!$F$5:$F$204&lt;&gt;"")),IF(A_Corridor!$F$5:$F$204="-","",1)),"")</f>
        <v/>
      </c>
      <c r="J618" s="182" t="str">
        <f>IFERROR(LOOKUP(2,1/((A_Corridor!$A$5:$A$204&lt;&gt;"")*(A_Corridor!$A$5:$A$204&lt;=$B618)*(A_Corridor!$B$5:$B$204&gt;$B618)*(A_Corridor!$F$5:$F$204&lt;&gt;"")),IF(A_Corridor!$F$5:$F$204="-","",A_Corridor!$F$5:$F$204)),"")</f>
        <v/>
      </c>
      <c r="K618" s="182" t="str">
        <f>IFERROR(LOOKUP(2,1/((A_Corridor!$A$5:$A$204&lt;&gt;"")*(A_Corridor!$A$5:$A$204&lt;=$B618)*(A_Corridor!$B$5:$B$204&gt;$B618)*(A_Corridor!$G$5:$G$204&lt;&gt;"")),IF(A_Corridor!$G$5:$G$204="-","",A_Corridor!$G$5:$G$204)),"")</f>
        <v/>
      </c>
      <c r="L618" s="181" t="str">
        <f>IFERROR(LOOKUP(2,1/((A_Corridor!$A$5:$A$204&lt;&gt;"")*(A_Corridor!$A$5:$A$204&lt;=$B618)*(A_Corridor!$B$5:$B$204&gt;$B618)*(A_Corridor!$H$5:$H$204&lt;&gt;"")),IF(A_Corridor!$H$5:$H$204="-","",1)),"")</f>
        <v/>
      </c>
      <c r="M618" s="182" t="str">
        <f>IFERROR(LOOKUP(2,1/((A_Corridor!$A$5:$A$204&lt;&gt;"")*(A_Corridor!$A$5:$A$204&lt;=$B618)*(A_Corridor!$B$5:$B$204&gt;$B618)*(A_Corridor!$H$5:$H$204&lt;&gt;"")),IF(A_Corridor!$H$5:$H$204="-","",A_Corridor!$H$5:$H$204)),"")</f>
        <v/>
      </c>
      <c r="N618" s="182" t="str">
        <f>IFERROR(LOOKUP(2,1/((A_Corridor!$A$5:$A$204&lt;&gt;"")*(A_Corridor!$A$5:$A$204&lt;=$B618)*(A_Corridor!$B$5:$B$204&gt;$B618)*(A_Corridor!$I$5:$I$204&lt;&gt;"")),IF(A_Corridor!$I$5:$I$204="-","",A_Corridor!$I$5:$I$204)),"")</f>
        <v/>
      </c>
      <c r="O618" s="182" t="str">
        <f>IFERROR(LOOKUP(2,1/((D_Points!$A$5:$A$204&lt;&gt;"")*(D_Points!$A$5:$A$204&gt;=$B618)*(D_Points!$A$5:$A$204&lt;$B618+P_Interval)*(UPPER(TRIM(D_Points!$B$5:$B$204))="PITCHING")*(D_Points!$H$5:$H$204&lt;&gt;"")),D_Points!$H$5:$H$204),"")</f>
        <v/>
      </c>
      <c r="P618" s="181" t="str">
        <f>IFERROR(LOOKUP(2,1/((B_Drainage!$A$5:$A$204&lt;&gt;"")*(B_Drainage!$A$5:$A$204&lt;=$B618)*(B_Drainage!$B$5:$B$204&gt;$B618)*(B_Drainage!$C$5:$C$204&lt;&gt;"")),IF(B_Drainage!$C$5:$C$204="-","",UPPER(B_Drainage!$C$5:$C$204))),"")</f>
        <v/>
      </c>
      <c r="Q618" s="181" t="str">
        <f>IFERROR(LOOKUP(2,1/((B_Drainage!$A$5:$A$204&lt;&gt;"")*(B_Drainage!$A$5:$A$204&lt;=$B618)*(B_Drainage!$B$5:$B$204&gt;$B618)*(B_Drainage!$D$5:$D$204&lt;&gt;"")),IF(B_Drainage!$D$5:$D$204="-","",UPPER(B_Drainage!$D$5:$D$204))),"")</f>
        <v/>
      </c>
      <c r="R618" s="182" t="str">
        <f>IFERROR(LOOKUP(2,1/((D_Points!$A$5:$A$204&lt;&gt;"")*(D_Points!$A$5:$A$204&gt;=$B618)*(D_Points!$A$5:$A$204&lt;$B618+P_Interval)*(RIGHT(UPPER(TRIM(D_Points!$B$5:$B$204)),8)="_CULVERT")),IF(LEFT(UPPER(TRIM(D_Points!$B$5:$B$204)),2)="EX",1,IF(LEFT(UPPER(TRIM(D_Points!$B$5:$B$204)),2)="PR",2,3))),"")</f>
        <v/>
      </c>
      <c r="S618" s="182" t="str">
        <f>IFERROR(LOOKUP(2,1/((D_Points!$A$5:$A$204&lt;&gt;"")*(D_Points!$A$5:$A$204&gt;=$B618)*(D_Points!$A$5:$A$204&lt;$B618+P_Interval)*(RIGHT(UPPER(TRIM(D_Points!$B$5:$B$204)),7)="_BRIDGE")),IF(LEFT(UPPER(TRIM(D_Points!$B$5:$B$204)),2)="EX",1,IF(LEFT(UPPER(TRIM(D_Points!$B$5:$B$204)),2)="PR",2,2))),"")</f>
        <v/>
      </c>
      <c r="T618" s="181" t="str">
        <f>IFERROR(LOOKUP(2,1/((B_Drainage!$A$5:$A$204&lt;&gt;"")*(B_Drainage!$A$5:$A$204&lt;=$B618)*(B_Drainage!$B$5:$B$204&gt;$B618)*(B_Drainage!$E$5:$E$204&lt;&gt;"")),IF(B_Drainage!$E$5:$E$204="-","",1)),"")</f>
        <v/>
      </c>
      <c r="U618" s="181" t="str">
        <f>IFERROR(LOOKUP(2,1/((B_Drainage!$A$5:$A$204&lt;&gt;"")*(B_Drainage!$A$5:$A$204&lt;=$B618)*(B_Drainage!$B$5:$B$204&gt;$B618)*(B_Drainage!$E$5:$E$204&lt;&gt;"")),IF(B_Drainage!$E$5:$E$204="-","",B_Drainage!$E$5:$E$204)),"")</f>
        <v/>
      </c>
      <c r="V618" s="181" t="str">
        <f>IFERROR(LOOKUP(2,1/((B_Drainage!$A$5:$A$204&lt;&gt;"")*(B_Drainage!$A$5:$A$204&lt;=$B618)*(B_Drainage!$B$5:$B$204&gt;$B618)*(B_Drainage!$F$5:$F$204&lt;&gt;"")),IF(B_Drainage!$F$5:$F$204="-","",1)),"")</f>
        <v/>
      </c>
      <c r="W618" s="181" t="str">
        <f>IFERROR(LOOKUP(2,1/((B_Drainage!$A$5:$A$204&lt;&gt;"")*(B_Drainage!$A$5:$A$204&lt;=$B618)*(B_Drainage!$B$5:$B$204&gt;$B618)*(B_Drainage!$F$5:$F$204&lt;&gt;"")),IF(B_Drainage!$F$5:$F$204="-","",B_Drainage!$F$5:$F$204)),"")</f>
        <v/>
      </c>
      <c r="X618" s="181" t="str">
        <f>IFERROR(LOOKUP(2,1/((B_Drainage!$A$5:$A$204&lt;&gt;"")*(B_Drainage!$A$5:$A$204&lt;=$B618)*(B_Drainage!$B$5:$B$204&gt;$B618)*(B_Drainage!$G$5:$G$204&lt;&gt;"")),IF(UPPER(B_Drainage!$G$5:$G$204)="Y",1,"")),"")</f>
        <v/>
      </c>
      <c r="Y618" s="181" t="str">
        <f>IFERROR(LOOKUP(2,1/((B_Drainage!$A$5:$A$204&lt;&gt;"")*(B_Drainage!$A$5:$A$204&lt;=$B618)*(B_Drainage!$B$5:$B$204&gt;$B618)*(B_Drainage!$H$5:$H$204&lt;&gt;"")),IF(UPPER(B_Drainage!$H$5:$H$204)="Y",1,"")),"")</f>
        <v/>
      </c>
      <c r="Z618" s="181" t="str">
        <f>IFERROR(LOOKUP(2,1/((B_Drainage!$A$5:$A$204&lt;&gt;"")*(B_Drainage!$A$5:$A$204&lt;=$B618)*(B_Drainage!$B$5:$B$204&gt;$B618)*(B_Drainage!$I$5:$I$204&lt;&gt;"")),IF(UPPER(B_Drainage!$I$5:$I$204)="Y",1,"")),"")</f>
        <v/>
      </c>
      <c r="AA618" s="181" t="str">
        <f>IFERROR(LOOKUP(2,1/((B_Drainage!$A$5:$A$204&lt;&gt;"")*(B_Drainage!$A$5:$A$204&lt;=$B618)*(B_Drainage!$B$5:$B$204&gt;$B618)*(B_Drainage!$J$5:$J$204&lt;&gt;"")),IF(UPPER(B_Drainage!$J$5:$J$204)="Y",1,"")),"")</f>
        <v/>
      </c>
      <c r="AB618" s="182" t="str">
        <f>IFERROR(LOOKUP(2,1/((B_Drainage!$A$5:$A$204&lt;&gt;"")*(B_Drainage!$A$5:$A$204&lt;=$B618)*(B_Drainage!$B$5:$B$204&gt;$B618)*(B_Drainage!$K$5:$K$204&lt;&gt;"")),IF(B_Drainage!$K$5:$K$204="-","",B_Drainage!$K$5:$K$204)),"")</f>
        <v/>
      </c>
      <c r="AC618" s="182" t="str">
        <f>IFERROR(LOOKUP(2,1/((B_Drainage!$A$5:$A$204&lt;&gt;"")*(B_Drainage!$A$5:$A$204&lt;=$B618)*(B_Drainage!$B$5:$B$204&gt;$B618)*(B_Drainage!$L$5:$L$204&lt;&gt;"")),IF(B_Drainage!$L$5:$L$204="-","",B_Drainage!$L$5:$L$204)),"")</f>
        <v/>
      </c>
      <c r="AD618" s="182" t="str">
        <f>IFERROR(LOOKUP(2,1/((D_Points!$A$5:$A$204&lt;&gt;"")*(D_Points!$A$5:$A$204&gt;=$B618)*(D_Points!$A$5:$A$204&lt;$B618+P_Interval)*(UPPER(TRIM(D_Points!$B$5:$B$204))="TURNOUT_L")*(D_Points!$H$5:$H$204&lt;&gt;"")),D_Points!$H$5:$H$204),"")</f>
        <v/>
      </c>
      <c r="AE618" s="182" t="str">
        <f>IFERROR(LOOKUP(2,1/((D_Points!$A$5:$A$204&lt;&gt;"")*(D_Points!$A$5:$A$204&gt;=$B618)*(D_Points!$A$5:$A$204&lt;$B618+P_Interval)*(UPPER(TRIM(D_Points!$B$5:$B$204))="TURNOUT_R")*(D_Points!$H$5:$H$204&lt;&gt;"")),D_Points!$H$5:$H$204),"")</f>
        <v/>
      </c>
      <c r="AF618" s="181" t="str">
        <f>IFERROR(LOOKUP(2,1/((B_Drainage!$A$5:$A$204&lt;&gt;"")*(B_Drainage!$A$5:$A$204&lt;=$B618)*(B_Drainage!$B$5:$B$204&gt;$B618)*(B_Drainage!$M$5:$M$204&lt;&gt;"")),IF(UPPER(B_Drainage!$M$5:$M$204)="Y",1,"")),"")</f>
        <v/>
      </c>
      <c r="AG618" s="181" t="str">
        <f>IFERROR(LOOKUP(2,1/((B_Drainage!$A$5:$A$204&lt;&gt;"")*(B_Drainage!$A$5:$A$204&lt;=$B618)*(B_Drainage!$B$5:$B$204&gt;$B618)*(B_Drainage!$N$5:$N$204&lt;&gt;"")),IF(UPPER(B_Drainage!$N$5:$N$204)="Y",1,"")),"")</f>
        <v/>
      </c>
      <c r="AH618" s="181" t="str">
        <f t="shared" si="72"/>
        <v/>
      </c>
      <c r="AI618" s="181" t="str">
        <f t="shared" si="73"/>
        <v/>
      </c>
      <c r="AJ618" s="181" t="str">
        <f t="shared" si="74"/>
        <v/>
      </c>
      <c r="AK618" s="181" t="str">
        <f t="shared" si="75"/>
        <v/>
      </c>
      <c r="AL618" s="181" t="str">
        <f t="shared" si="76"/>
        <v/>
      </c>
      <c r="AM618" s="181" t="str">
        <f t="shared" si="77"/>
        <v/>
      </c>
      <c r="AN618" s="181" t="str">
        <f t="shared" si="78"/>
        <v/>
      </c>
      <c r="AO618" s="192" t="str">
        <f t="shared" si="79"/>
        <v/>
      </c>
      <c r="AQ618" t="str">
        <f>IFERROR(LOOKUP(2,1/((C_Pavement!$A$5:$A$204&lt;&gt;"")*(C_Pavement!$A$5:$A$204&lt;=$B618)*(C_Pavement!$B$5:$B$204&gt;$B618)*(C_Pavement!$C$5:$C$204&lt;&gt;"")),ROW(C_Pavement!$C$5:$C$204)-4),"")</f>
        <v/>
      </c>
      <c r="AR618" t="str">
        <f>IF($AQ618="","",UPPER(TRIM(INDEX(C_Pavement!$C$5:$C$204,$AQ618))))</f>
        <v/>
      </c>
      <c r="AS618" t="str">
        <f>IF($AR618="","",IFERROR(MATCH($AR618,E_Rules!$A$5:$A$9,0),""))</f>
        <v/>
      </c>
      <c r="AT618" t="str">
        <f>IF($AQ618="","",IF(INDEX(C_Pavement!$D$5:$D$204,$AQ618)&lt;&gt;"",UPPER(TRIM(INDEX(C_Pavement!$D$5:$D$204,$AQ618))),IF($AS618="","",INDEX(E_Rules!$C$5:$C$9,$AS618))))</f>
        <v/>
      </c>
      <c r="AU618" t="str">
        <f>IF($AQ618="","",IF(INDEX(C_Pavement!$E$5:$E$204,$AQ618)&lt;&gt;"",IF(INDEX(C_Pavement!$E$5:$E$204,$AQ618)="-","",INDEX(C_Pavement!$E$5:$E$204,$AQ618)),IF($AS618="","",INDEX(E_Rules!$D$5:$D$9,$AS618))))</f>
        <v/>
      </c>
      <c r="AV618" t="str">
        <f>IF($AQ618="","",IF(INDEX(C_Pavement!$F$5:$F$204,$AQ618)&lt;&gt;"",IF(INDEX(C_Pavement!$F$5:$F$204,$AQ618)="-","",INDEX(C_Pavement!$F$5:$F$204,$AQ618)),IF($AS618="","",INDEX(E_Rules!$E$5:$E$9,$AS618))))</f>
        <v/>
      </c>
      <c r="AW618" t="str">
        <f>IF($AQ618="","",IF(INDEX(C_Pavement!$G$5:$G$204,$AQ618)&lt;&gt;"",IF(INDEX(C_Pavement!$G$5:$G$204,$AQ618)="-","",INDEX(C_Pavement!$G$5:$G$204,$AQ618)),IF($AS618="","",INDEX(E_Rules!$F$5:$F$9,$AS618))))</f>
        <v/>
      </c>
      <c r="AX618" t="str">
        <f>IF($AQ618="","",IF(INDEX(C_Pavement!$H$5:$H$204,$AQ618)&lt;&gt;"",IF(INDEX(C_Pavement!$H$5:$H$204,$AQ618)="-","",INDEX(C_Pavement!$H$5:$H$204,$AQ618)),IF($AS618="","",INDEX(E_Rules!$G$5:$G$9,$AS618))))</f>
        <v/>
      </c>
      <c r="AY618" t="str">
        <f>IF($AQ618="","",IF(INDEX(C_Pavement!$I$5:$I$204,$AQ618)&lt;&gt;"",IF(INDEX(C_Pavement!$I$5:$I$204,$AQ618)="-","",INDEX(C_Pavement!$I$5:$I$204,$AQ618)),IF($AS618="","",INDEX(E_Rules!$H$5:$H$9,$AS618))))</f>
        <v/>
      </c>
    </row>
    <row r="619" spans="1:51" ht="15.75" customHeight="1" x14ac:dyDescent="0.3">
      <c r="A619" s="189">
        <v>614</v>
      </c>
      <c r="B619" s="180">
        <v>30650</v>
      </c>
      <c r="C619" s="180" t="s">
        <v>925</v>
      </c>
      <c r="D619" s="181" t="str">
        <f>IFERROR(LOOKUP(2,1/((A_Corridor!$A$5:$A$204&lt;&gt;"")*(A_Corridor!$A$5:$A$204&lt;=$B619)*(A_Corridor!$B$5:$B$204&gt;$B619)*(A_Corridor!$C$5:$C$204&lt;&gt;"")),IF(UPPER(A_Corridor!$C$5:$C$204)="Y",1,"")),"")</f>
        <v/>
      </c>
      <c r="E619" s="181" t="str">
        <f>IFERROR(LOOKUP(2,1/((A_Corridor!$A$5:$A$204&lt;&gt;"")*(A_Corridor!$A$5:$A$204&lt;=$B619)*(A_Corridor!$B$5:$B$204&gt;$B619)*(A_Corridor!$D$5:$D$204&lt;&gt;"")),IF(A_Corridor!$D$5:$D$204="-","",UPPER(A_Corridor!$D$5:$D$204))),"")</f>
        <v/>
      </c>
      <c r="F619" s="181" t="str">
        <f>IFERROR(LOOKUP(2,1/((A_Corridor!$A$5:$A$204&lt;&gt;"")*(A_Corridor!$A$5:$A$204&lt;=$B619)*(A_Corridor!$B$5:$B$204&gt;$B619)*(A_Corridor!$E$5:$E$204&lt;&gt;"")),IF(A_Corridor!$E$5:$E$204="-","",1)),"")</f>
        <v/>
      </c>
      <c r="G619" s="182" t="str">
        <f>IFERROR(LOOKUP(2,1/((A_Corridor!$A$5:$A$204&lt;&gt;"")*(A_Corridor!$A$5:$A$204&lt;=$B619)*(A_Corridor!$B$5:$B$204&gt;$B619)*(A_Corridor!$E$5:$E$204&lt;&gt;"")),IF(A_Corridor!$E$5:$E$204="-","",A_Corridor!$E$5:$E$204)),"")</f>
        <v/>
      </c>
      <c r="H619" s="182" t="str">
        <f>IFERROR(LOOKUP(2,1/((D_Points!$A$5:$A$204&lt;&gt;"")*(D_Points!$A$5:$A$204&gt;=$B619)*(D_Points!$A$5:$A$204&lt;$B619+P_Interval)*(UPPER(TRIM(D_Points!$B$5:$B$204))="GULLY")*(D_Points!$H$5:$H$204&lt;&gt;"")),D_Points!$H$5:$H$204),"")</f>
        <v/>
      </c>
      <c r="I619" s="181" t="str">
        <f>IFERROR(LOOKUP(2,1/((A_Corridor!$A$5:$A$204&lt;&gt;"")*(A_Corridor!$A$5:$A$204&lt;=$B619)*(A_Corridor!$B$5:$B$204&gt;$B619)*(A_Corridor!$F$5:$F$204&lt;&gt;"")),IF(A_Corridor!$F$5:$F$204="-","",1)),"")</f>
        <v/>
      </c>
      <c r="J619" s="182" t="str">
        <f>IFERROR(LOOKUP(2,1/((A_Corridor!$A$5:$A$204&lt;&gt;"")*(A_Corridor!$A$5:$A$204&lt;=$B619)*(A_Corridor!$B$5:$B$204&gt;$B619)*(A_Corridor!$F$5:$F$204&lt;&gt;"")),IF(A_Corridor!$F$5:$F$204="-","",A_Corridor!$F$5:$F$204)),"")</f>
        <v/>
      </c>
      <c r="K619" s="182" t="str">
        <f>IFERROR(LOOKUP(2,1/((A_Corridor!$A$5:$A$204&lt;&gt;"")*(A_Corridor!$A$5:$A$204&lt;=$B619)*(A_Corridor!$B$5:$B$204&gt;$B619)*(A_Corridor!$G$5:$G$204&lt;&gt;"")),IF(A_Corridor!$G$5:$G$204="-","",A_Corridor!$G$5:$G$204)),"")</f>
        <v/>
      </c>
      <c r="L619" s="181" t="str">
        <f>IFERROR(LOOKUP(2,1/((A_Corridor!$A$5:$A$204&lt;&gt;"")*(A_Corridor!$A$5:$A$204&lt;=$B619)*(A_Corridor!$B$5:$B$204&gt;$B619)*(A_Corridor!$H$5:$H$204&lt;&gt;"")),IF(A_Corridor!$H$5:$H$204="-","",1)),"")</f>
        <v/>
      </c>
      <c r="M619" s="182" t="str">
        <f>IFERROR(LOOKUP(2,1/((A_Corridor!$A$5:$A$204&lt;&gt;"")*(A_Corridor!$A$5:$A$204&lt;=$B619)*(A_Corridor!$B$5:$B$204&gt;$B619)*(A_Corridor!$H$5:$H$204&lt;&gt;"")),IF(A_Corridor!$H$5:$H$204="-","",A_Corridor!$H$5:$H$204)),"")</f>
        <v/>
      </c>
      <c r="N619" s="182" t="str">
        <f>IFERROR(LOOKUP(2,1/((A_Corridor!$A$5:$A$204&lt;&gt;"")*(A_Corridor!$A$5:$A$204&lt;=$B619)*(A_Corridor!$B$5:$B$204&gt;$B619)*(A_Corridor!$I$5:$I$204&lt;&gt;"")),IF(A_Corridor!$I$5:$I$204="-","",A_Corridor!$I$5:$I$204)),"")</f>
        <v/>
      </c>
      <c r="O619" s="182" t="str">
        <f>IFERROR(LOOKUP(2,1/((D_Points!$A$5:$A$204&lt;&gt;"")*(D_Points!$A$5:$A$204&gt;=$B619)*(D_Points!$A$5:$A$204&lt;$B619+P_Interval)*(UPPER(TRIM(D_Points!$B$5:$B$204))="PITCHING")*(D_Points!$H$5:$H$204&lt;&gt;"")),D_Points!$H$5:$H$204),"")</f>
        <v/>
      </c>
      <c r="P619" s="181" t="str">
        <f>IFERROR(LOOKUP(2,1/((B_Drainage!$A$5:$A$204&lt;&gt;"")*(B_Drainage!$A$5:$A$204&lt;=$B619)*(B_Drainage!$B$5:$B$204&gt;$B619)*(B_Drainage!$C$5:$C$204&lt;&gt;"")),IF(B_Drainage!$C$5:$C$204="-","",UPPER(B_Drainage!$C$5:$C$204))),"")</f>
        <v/>
      </c>
      <c r="Q619" s="181" t="str">
        <f>IFERROR(LOOKUP(2,1/((B_Drainage!$A$5:$A$204&lt;&gt;"")*(B_Drainage!$A$5:$A$204&lt;=$B619)*(B_Drainage!$B$5:$B$204&gt;$B619)*(B_Drainage!$D$5:$D$204&lt;&gt;"")),IF(B_Drainage!$D$5:$D$204="-","",UPPER(B_Drainage!$D$5:$D$204))),"")</f>
        <v/>
      </c>
      <c r="R619" s="182" t="str">
        <f>IFERROR(LOOKUP(2,1/((D_Points!$A$5:$A$204&lt;&gt;"")*(D_Points!$A$5:$A$204&gt;=$B619)*(D_Points!$A$5:$A$204&lt;$B619+P_Interval)*(RIGHT(UPPER(TRIM(D_Points!$B$5:$B$204)),8)="_CULVERT")),IF(LEFT(UPPER(TRIM(D_Points!$B$5:$B$204)),2)="EX",1,IF(LEFT(UPPER(TRIM(D_Points!$B$5:$B$204)),2)="PR",2,3))),"")</f>
        <v/>
      </c>
      <c r="S619" s="182" t="str">
        <f>IFERROR(LOOKUP(2,1/((D_Points!$A$5:$A$204&lt;&gt;"")*(D_Points!$A$5:$A$204&gt;=$B619)*(D_Points!$A$5:$A$204&lt;$B619+P_Interval)*(RIGHT(UPPER(TRIM(D_Points!$B$5:$B$204)),7)="_BRIDGE")),IF(LEFT(UPPER(TRIM(D_Points!$B$5:$B$204)),2)="EX",1,IF(LEFT(UPPER(TRIM(D_Points!$B$5:$B$204)),2)="PR",2,2))),"")</f>
        <v/>
      </c>
      <c r="T619" s="181" t="str">
        <f>IFERROR(LOOKUP(2,1/((B_Drainage!$A$5:$A$204&lt;&gt;"")*(B_Drainage!$A$5:$A$204&lt;=$B619)*(B_Drainage!$B$5:$B$204&gt;$B619)*(B_Drainage!$E$5:$E$204&lt;&gt;"")),IF(B_Drainage!$E$5:$E$204="-","",1)),"")</f>
        <v/>
      </c>
      <c r="U619" s="181" t="str">
        <f>IFERROR(LOOKUP(2,1/((B_Drainage!$A$5:$A$204&lt;&gt;"")*(B_Drainage!$A$5:$A$204&lt;=$B619)*(B_Drainage!$B$5:$B$204&gt;$B619)*(B_Drainage!$E$5:$E$204&lt;&gt;"")),IF(B_Drainage!$E$5:$E$204="-","",B_Drainage!$E$5:$E$204)),"")</f>
        <v/>
      </c>
      <c r="V619" s="181" t="str">
        <f>IFERROR(LOOKUP(2,1/((B_Drainage!$A$5:$A$204&lt;&gt;"")*(B_Drainage!$A$5:$A$204&lt;=$B619)*(B_Drainage!$B$5:$B$204&gt;$B619)*(B_Drainage!$F$5:$F$204&lt;&gt;"")),IF(B_Drainage!$F$5:$F$204="-","",1)),"")</f>
        <v/>
      </c>
      <c r="W619" s="181" t="str">
        <f>IFERROR(LOOKUP(2,1/((B_Drainage!$A$5:$A$204&lt;&gt;"")*(B_Drainage!$A$5:$A$204&lt;=$B619)*(B_Drainage!$B$5:$B$204&gt;$B619)*(B_Drainage!$F$5:$F$204&lt;&gt;"")),IF(B_Drainage!$F$5:$F$204="-","",B_Drainage!$F$5:$F$204)),"")</f>
        <v/>
      </c>
      <c r="X619" s="181" t="str">
        <f>IFERROR(LOOKUP(2,1/((B_Drainage!$A$5:$A$204&lt;&gt;"")*(B_Drainage!$A$5:$A$204&lt;=$B619)*(B_Drainage!$B$5:$B$204&gt;$B619)*(B_Drainage!$G$5:$G$204&lt;&gt;"")),IF(UPPER(B_Drainage!$G$5:$G$204)="Y",1,"")),"")</f>
        <v/>
      </c>
      <c r="Y619" s="181" t="str">
        <f>IFERROR(LOOKUP(2,1/((B_Drainage!$A$5:$A$204&lt;&gt;"")*(B_Drainage!$A$5:$A$204&lt;=$B619)*(B_Drainage!$B$5:$B$204&gt;$B619)*(B_Drainage!$H$5:$H$204&lt;&gt;"")),IF(UPPER(B_Drainage!$H$5:$H$204)="Y",1,"")),"")</f>
        <v/>
      </c>
      <c r="Z619" s="181" t="str">
        <f>IFERROR(LOOKUP(2,1/((B_Drainage!$A$5:$A$204&lt;&gt;"")*(B_Drainage!$A$5:$A$204&lt;=$B619)*(B_Drainage!$B$5:$B$204&gt;$B619)*(B_Drainage!$I$5:$I$204&lt;&gt;"")),IF(UPPER(B_Drainage!$I$5:$I$204)="Y",1,"")),"")</f>
        <v/>
      </c>
      <c r="AA619" s="181" t="str">
        <f>IFERROR(LOOKUP(2,1/((B_Drainage!$A$5:$A$204&lt;&gt;"")*(B_Drainage!$A$5:$A$204&lt;=$B619)*(B_Drainage!$B$5:$B$204&gt;$B619)*(B_Drainage!$J$5:$J$204&lt;&gt;"")),IF(UPPER(B_Drainage!$J$5:$J$204)="Y",1,"")),"")</f>
        <v/>
      </c>
      <c r="AB619" s="182" t="str">
        <f>IFERROR(LOOKUP(2,1/((B_Drainage!$A$5:$A$204&lt;&gt;"")*(B_Drainage!$A$5:$A$204&lt;=$B619)*(B_Drainage!$B$5:$B$204&gt;$B619)*(B_Drainage!$K$5:$K$204&lt;&gt;"")),IF(B_Drainage!$K$5:$K$204="-","",B_Drainage!$K$5:$K$204)),"")</f>
        <v/>
      </c>
      <c r="AC619" s="182" t="str">
        <f>IFERROR(LOOKUP(2,1/((B_Drainage!$A$5:$A$204&lt;&gt;"")*(B_Drainage!$A$5:$A$204&lt;=$B619)*(B_Drainage!$B$5:$B$204&gt;$B619)*(B_Drainage!$L$5:$L$204&lt;&gt;"")),IF(B_Drainage!$L$5:$L$204="-","",B_Drainage!$L$5:$L$204)),"")</f>
        <v/>
      </c>
      <c r="AD619" s="182" t="str">
        <f>IFERROR(LOOKUP(2,1/((D_Points!$A$5:$A$204&lt;&gt;"")*(D_Points!$A$5:$A$204&gt;=$B619)*(D_Points!$A$5:$A$204&lt;$B619+P_Interval)*(UPPER(TRIM(D_Points!$B$5:$B$204))="TURNOUT_L")*(D_Points!$H$5:$H$204&lt;&gt;"")),D_Points!$H$5:$H$204),"")</f>
        <v/>
      </c>
      <c r="AE619" s="182" t="str">
        <f>IFERROR(LOOKUP(2,1/((D_Points!$A$5:$A$204&lt;&gt;"")*(D_Points!$A$5:$A$204&gt;=$B619)*(D_Points!$A$5:$A$204&lt;$B619+P_Interval)*(UPPER(TRIM(D_Points!$B$5:$B$204))="TURNOUT_R")*(D_Points!$H$5:$H$204&lt;&gt;"")),D_Points!$H$5:$H$204),"")</f>
        <v/>
      </c>
      <c r="AF619" s="181" t="str">
        <f>IFERROR(LOOKUP(2,1/((B_Drainage!$A$5:$A$204&lt;&gt;"")*(B_Drainage!$A$5:$A$204&lt;=$B619)*(B_Drainage!$B$5:$B$204&gt;$B619)*(B_Drainage!$M$5:$M$204&lt;&gt;"")),IF(UPPER(B_Drainage!$M$5:$M$204)="Y",1,"")),"")</f>
        <v/>
      </c>
      <c r="AG619" s="181" t="str">
        <f>IFERROR(LOOKUP(2,1/((B_Drainage!$A$5:$A$204&lt;&gt;"")*(B_Drainage!$A$5:$A$204&lt;=$B619)*(B_Drainage!$B$5:$B$204&gt;$B619)*(B_Drainage!$N$5:$N$204&lt;&gt;"")),IF(UPPER(B_Drainage!$N$5:$N$204)="Y",1,"")),"")</f>
        <v/>
      </c>
      <c r="AH619" s="181" t="str">
        <f t="shared" si="72"/>
        <v/>
      </c>
      <c r="AI619" s="181" t="str">
        <f t="shared" si="73"/>
        <v/>
      </c>
      <c r="AJ619" s="181" t="str">
        <f t="shared" si="74"/>
        <v/>
      </c>
      <c r="AK619" s="181" t="str">
        <f t="shared" si="75"/>
        <v/>
      </c>
      <c r="AL619" s="181" t="str">
        <f t="shared" si="76"/>
        <v/>
      </c>
      <c r="AM619" s="181" t="str">
        <f t="shared" si="77"/>
        <v/>
      </c>
      <c r="AN619" s="181" t="str">
        <f t="shared" si="78"/>
        <v/>
      </c>
      <c r="AO619" s="192" t="str">
        <f t="shared" si="79"/>
        <v/>
      </c>
      <c r="AQ619" t="str">
        <f>IFERROR(LOOKUP(2,1/((C_Pavement!$A$5:$A$204&lt;&gt;"")*(C_Pavement!$A$5:$A$204&lt;=$B619)*(C_Pavement!$B$5:$B$204&gt;$B619)*(C_Pavement!$C$5:$C$204&lt;&gt;"")),ROW(C_Pavement!$C$5:$C$204)-4),"")</f>
        <v/>
      </c>
      <c r="AR619" t="str">
        <f>IF($AQ619="","",UPPER(TRIM(INDEX(C_Pavement!$C$5:$C$204,$AQ619))))</f>
        <v/>
      </c>
      <c r="AS619" t="str">
        <f>IF($AR619="","",IFERROR(MATCH($AR619,E_Rules!$A$5:$A$9,0),""))</f>
        <v/>
      </c>
      <c r="AT619" t="str">
        <f>IF($AQ619="","",IF(INDEX(C_Pavement!$D$5:$D$204,$AQ619)&lt;&gt;"",UPPER(TRIM(INDEX(C_Pavement!$D$5:$D$204,$AQ619))),IF($AS619="","",INDEX(E_Rules!$C$5:$C$9,$AS619))))</f>
        <v/>
      </c>
      <c r="AU619" t="str">
        <f>IF($AQ619="","",IF(INDEX(C_Pavement!$E$5:$E$204,$AQ619)&lt;&gt;"",IF(INDEX(C_Pavement!$E$5:$E$204,$AQ619)="-","",INDEX(C_Pavement!$E$5:$E$204,$AQ619)),IF($AS619="","",INDEX(E_Rules!$D$5:$D$9,$AS619))))</f>
        <v/>
      </c>
      <c r="AV619" t="str">
        <f>IF($AQ619="","",IF(INDEX(C_Pavement!$F$5:$F$204,$AQ619)&lt;&gt;"",IF(INDEX(C_Pavement!$F$5:$F$204,$AQ619)="-","",INDEX(C_Pavement!$F$5:$F$204,$AQ619)),IF($AS619="","",INDEX(E_Rules!$E$5:$E$9,$AS619))))</f>
        <v/>
      </c>
      <c r="AW619" t="str">
        <f>IF($AQ619="","",IF(INDEX(C_Pavement!$G$5:$G$204,$AQ619)&lt;&gt;"",IF(INDEX(C_Pavement!$G$5:$G$204,$AQ619)="-","",INDEX(C_Pavement!$G$5:$G$204,$AQ619)),IF($AS619="","",INDEX(E_Rules!$F$5:$F$9,$AS619))))</f>
        <v/>
      </c>
      <c r="AX619" t="str">
        <f>IF($AQ619="","",IF(INDEX(C_Pavement!$H$5:$H$204,$AQ619)&lt;&gt;"",IF(INDEX(C_Pavement!$H$5:$H$204,$AQ619)="-","",INDEX(C_Pavement!$H$5:$H$204,$AQ619)),IF($AS619="","",INDEX(E_Rules!$G$5:$G$9,$AS619))))</f>
        <v/>
      </c>
      <c r="AY619" t="str">
        <f>IF($AQ619="","",IF(INDEX(C_Pavement!$I$5:$I$204,$AQ619)&lt;&gt;"",IF(INDEX(C_Pavement!$I$5:$I$204,$AQ619)="-","",INDEX(C_Pavement!$I$5:$I$204,$AQ619)),IF($AS619="","",INDEX(E_Rules!$H$5:$H$9,$AS619))))</f>
        <v/>
      </c>
    </row>
    <row r="620" spans="1:51" ht="15.75" customHeight="1" x14ac:dyDescent="0.3">
      <c r="A620" s="189">
        <v>615</v>
      </c>
      <c r="B620" s="180">
        <v>30700</v>
      </c>
      <c r="C620" s="180" t="s">
        <v>926</v>
      </c>
      <c r="D620" s="181" t="str">
        <f>IFERROR(LOOKUP(2,1/((A_Corridor!$A$5:$A$204&lt;&gt;"")*(A_Corridor!$A$5:$A$204&lt;=$B620)*(A_Corridor!$B$5:$B$204&gt;$B620)*(A_Corridor!$C$5:$C$204&lt;&gt;"")),IF(UPPER(A_Corridor!$C$5:$C$204)="Y",1,"")),"")</f>
        <v/>
      </c>
      <c r="E620" s="181" t="str">
        <f>IFERROR(LOOKUP(2,1/((A_Corridor!$A$5:$A$204&lt;&gt;"")*(A_Corridor!$A$5:$A$204&lt;=$B620)*(A_Corridor!$B$5:$B$204&gt;$B620)*(A_Corridor!$D$5:$D$204&lt;&gt;"")),IF(A_Corridor!$D$5:$D$204="-","",UPPER(A_Corridor!$D$5:$D$204))),"")</f>
        <v/>
      </c>
      <c r="F620" s="181" t="str">
        <f>IFERROR(LOOKUP(2,1/((A_Corridor!$A$5:$A$204&lt;&gt;"")*(A_Corridor!$A$5:$A$204&lt;=$B620)*(A_Corridor!$B$5:$B$204&gt;$B620)*(A_Corridor!$E$5:$E$204&lt;&gt;"")),IF(A_Corridor!$E$5:$E$204="-","",1)),"")</f>
        <v/>
      </c>
      <c r="G620" s="182" t="str">
        <f>IFERROR(LOOKUP(2,1/((A_Corridor!$A$5:$A$204&lt;&gt;"")*(A_Corridor!$A$5:$A$204&lt;=$B620)*(A_Corridor!$B$5:$B$204&gt;$B620)*(A_Corridor!$E$5:$E$204&lt;&gt;"")),IF(A_Corridor!$E$5:$E$204="-","",A_Corridor!$E$5:$E$204)),"")</f>
        <v/>
      </c>
      <c r="H620" s="182" t="str">
        <f>IFERROR(LOOKUP(2,1/((D_Points!$A$5:$A$204&lt;&gt;"")*(D_Points!$A$5:$A$204&gt;=$B620)*(D_Points!$A$5:$A$204&lt;$B620+P_Interval)*(UPPER(TRIM(D_Points!$B$5:$B$204))="GULLY")*(D_Points!$H$5:$H$204&lt;&gt;"")),D_Points!$H$5:$H$204),"")</f>
        <v/>
      </c>
      <c r="I620" s="181" t="str">
        <f>IFERROR(LOOKUP(2,1/((A_Corridor!$A$5:$A$204&lt;&gt;"")*(A_Corridor!$A$5:$A$204&lt;=$B620)*(A_Corridor!$B$5:$B$204&gt;$B620)*(A_Corridor!$F$5:$F$204&lt;&gt;"")),IF(A_Corridor!$F$5:$F$204="-","",1)),"")</f>
        <v/>
      </c>
      <c r="J620" s="182" t="str">
        <f>IFERROR(LOOKUP(2,1/((A_Corridor!$A$5:$A$204&lt;&gt;"")*(A_Corridor!$A$5:$A$204&lt;=$B620)*(A_Corridor!$B$5:$B$204&gt;$B620)*(A_Corridor!$F$5:$F$204&lt;&gt;"")),IF(A_Corridor!$F$5:$F$204="-","",A_Corridor!$F$5:$F$204)),"")</f>
        <v/>
      </c>
      <c r="K620" s="182" t="str">
        <f>IFERROR(LOOKUP(2,1/((A_Corridor!$A$5:$A$204&lt;&gt;"")*(A_Corridor!$A$5:$A$204&lt;=$B620)*(A_Corridor!$B$5:$B$204&gt;$B620)*(A_Corridor!$G$5:$G$204&lt;&gt;"")),IF(A_Corridor!$G$5:$G$204="-","",A_Corridor!$G$5:$G$204)),"")</f>
        <v/>
      </c>
      <c r="L620" s="181" t="str">
        <f>IFERROR(LOOKUP(2,1/((A_Corridor!$A$5:$A$204&lt;&gt;"")*(A_Corridor!$A$5:$A$204&lt;=$B620)*(A_Corridor!$B$5:$B$204&gt;$B620)*(A_Corridor!$H$5:$H$204&lt;&gt;"")),IF(A_Corridor!$H$5:$H$204="-","",1)),"")</f>
        <v/>
      </c>
      <c r="M620" s="182" t="str">
        <f>IFERROR(LOOKUP(2,1/((A_Corridor!$A$5:$A$204&lt;&gt;"")*(A_Corridor!$A$5:$A$204&lt;=$B620)*(A_Corridor!$B$5:$B$204&gt;$B620)*(A_Corridor!$H$5:$H$204&lt;&gt;"")),IF(A_Corridor!$H$5:$H$204="-","",A_Corridor!$H$5:$H$204)),"")</f>
        <v/>
      </c>
      <c r="N620" s="182" t="str">
        <f>IFERROR(LOOKUP(2,1/((A_Corridor!$A$5:$A$204&lt;&gt;"")*(A_Corridor!$A$5:$A$204&lt;=$B620)*(A_Corridor!$B$5:$B$204&gt;$B620)*(A_Corridor!$I$5:$I$204&lt;&gt;"")),IF(A_Corridor!$I$5:$I$204="-","",A_Corridor!$I$5:$I$204)),"")</f>
        <v/>
      </c>
      <c r="O620" s="182" t="str">
        <f>IFERROR(LOOKUP(2,1/((D_Points!$A$5:$A$204&lt;&gt;"")*(D_Points!$A$5:$A$204&gt;=$B620)*(D_Points!$A$5:$A$204&lt;$B620+P_Interval)*(UPPER(TRIM(D_Points!$B$5:$B$204))="PITCHING")*(D_Points!$H$5:$H$204&lt;&gt;"")),D_Points!$H$5:$H$204),"")</f>
        <v/>
      </c>
      <c r="P620" s="181" t="str">
        <f>IFERROR(LOOKUP(2,1/((B_Drainage!$A$5:$A$204&lt;&gt;"")*(B_Drainage!$A$5:$A$204&lt;=$B620)*(B_Drainage!$B$5:$B$204&gt;$B620)*(B_Drainage!$C$5:$C$204&lt;&gt;"")),IF(B_Drainage!$C$5:$C$204="-","",UPPER(B_Drainage!$C$5:$C$204))),"")</f>
        <v/>
      </c>
      <c r="Q620" s="181" t="str">
        <f>IFERROR(LOOKUP(2,1/((B_Drainage!$A$5:$A$204&lt;&gt;"")*(B_Drainage!$A$5:$A$204&lt;=$B620)*(B_Drainage!$B$5:$B$204&gt;$B620)*(B_Drainage!$D$5:$D$204&lt;&gt;"")),IF(B_Drainage!$D$5:$D$204="-","",UPPER(B_Drainage!$D$5:$D$204))),"")</f>
        <v/>
      </c>
      <c r="R620" s="182" t="str">
        <f>IFERROR(LOOKUP(2,1/((D_Points!$A$5:$A$204&lt;&gt;"")*(D_Points!$A$5:$A$204&gt;=$B620)*(D_Points!$A$5:$A$204&lt;$B620+P_Interval)*(RIGHT(UPPER(TRIM(D_Points!$B$5:$B$204)),8)="_CULVERT")),IF(LEFT(UPPER(TRIM(D_Points!$B$5:$B$204)),2)="EX",1,IF(LEFT(UPPER(TRIM(D_Points!$B$5:$B$204)),2)="PR",2,3))),"")</f>
        <v/>
      </c>
      <c r="S620" s="182" t="str">
        <f>IFERROR(LOOKUP(2,1/((D_Points!$A$5:$A$204&lt;&gt;"")*(D_Points!$A$5:$A$204&gt;=$B620)*(D_Points!$A$5:$A$204&lt;$B620+P_Interval)*(RIGHT(UPPER(TRIM(D_Points!$B$5:$B$204)),7)="_BRIDGE")),IF(LEFT(UPPER(TRIM(D_Points!$B$5:$B$204)),2)="EX",1,IF(LEFT(UPPER(TRIM(D_Points!$B$5:$B$204)),2)="PR",2,2))),"")</f>
        <v/>
      </c>
      <c r="T620" s="181" t="str">
        <f>IFERROR(LOOKUP(2,1/((B_Drainage!$A$5:$A$204&lt;&gt;"")*(B_Drainage!$A$5:$A$204&lt;=$B620)*(B_Drainage!$B$5:$B$204&gt;$B620)*(B_Drainage!$E$5:$E$204&lt;&gt;"")),IF(B_Drainage!$E$5:$E$204="-","",1)),"")</f>
        <v/>
      </c>
      <c r="U620" s="181" t="str">
        <f>IFERROR(LOOKUP(2,1/((B_Drainage!$A$5:$A$204&lt;&gt;"")*(B_Drainage!$A$5:$A$204&lt;=$B620)*(B_Drainage!$B$5:$B$204&gt;$B620)*(B_Drainage!$E$5:$E$204&lt;&gt;"")),IF(B_Drainage!$E$5:$E$204="-","",B_Drainage!$E$5:$E$204)),"")</f>
        <v/>
      </c>
      <c r="V620" s="181" t="str">
        <f>IFERROR(LOOKUP(2,1/((B_Drainage!$A$5:$A$204&lt;&gt;"")*(B_Drainage!$A$5:$A$204&lt;=$B620)*(B_Drainage!$B$5:$B$204&gt;$B620)*(B_Drainage!$F$5:$F$204&lt;&gt;"")),IF(B_Drainage!$F$5:$F$204="-","",1)),"")</f>
        <v/>
      </c>
      <c r="W620" s="181" t="str">
        <f>IFERROR(LOOKUP(2,1/((B_Drainage!$A$5:$A$204&lt;&gt;"")*(B_Drainage!$A$5:$A$204&lt;=$B620)*(B_Drainage!$B$5:$B$204&gt;$B620)*(B_Drainage!$F$5:$F$204&lt;&gt;"")),IF(B_Drainage!$F$5:$F$204="-","",B_Drainage!$F$5:$F$204)),"")</f>
        <v/>
      </c>
      <c r="X620" s="181" t="str">
        <f>IFERROR(LOOKUP(2,1/((B_Drainage!$A$5:$A$204&lt;&gt;"")*(B_Drainage!$A$5:$A$204&lt;=$B620)*(B_Drainage!$B$5:$B$204&gt;$B620)*(B_Drainage!$G$5:$G$204&lt;&gt;"")),IF(UPPER(B_Drainage!$G$5:$G$204)="Y",1,"")),"")</f>
        <v/>
      </c>
      <c r="Y620" s="181" t="str">
        <f>IFERROR(LOOKUP(2,1/((B_Drainage!$A$5:$A$204&lt;&gt;"")*(B_Drainage!$A$5:$A$204&lt;=$B620)*(B_Drainage!$B$5:$B$204&gt;$B620)*(B_Drainage!$H$5:$H$204&lt;&gt;"")),IF(UPPER(B_Drainage!$H$5:$H$204)="Y",1,"")),"")</f>
        <v/>
      </c>
      <c r="Z620" s="181" t="str">
        <f>IFERROR(LOOKUP(2,1/((B_Drainage!$A$5:$A$204&lt;&gt;"")*(B_Drainage!$A$5:$A$204&lt;=$B620)*(B_Drainage!$B$5:$B$204&gt;$B620)*(B_Drainage!$I$5:$I$204&lt;&gt;"")),IF(UPPER(B_Drainage!$I$5:$I$204)="Y",1,"")),"")</f>
        <v/>
      </c>
      <c r="AA620" s="181" t="str">
        <f>IFERROR(LOOKUP(2,1/((B_Drainage!$A$5:$A$204&lt;&gt;"")*(B_Drainage!$A$5:$A$204&lt;=$B620)*(B_Drainage!$B$5:$B$204&gt;$B620)*(B_Drainage!$J$5:$J$204&lt;&gt;"")),IF(UPPER(B_Drainage!$J$5:$J$204)="Y",1,"")),"")</f>
        <v/>
      </c>
      <c r="AB620" s="182" t="str">
        <f>IFERROR(LOOKUP(2,1/((B_Drainage!$A$5:$A$204&lt;&gt;"")*(B_Drainage!$A$5:$A$204&lt;=$B620)*(B_Drainage!$B$5:$B$204&gt;$B620)*(B_Drainage!$K$5:$K$204&lt;&gt;"")),IF(B_Drainage!$K$5:$K$204="-","",B_Drainage!$K$5:$K$204)),"")</f>
        <v/>
      </c>
      <c r="AC620" s="182" t="str">
        <f>IFERROR(LOOKUP(2,1/((B_Drainage!$A$5:$A$204&lt;&gt;"")*(B_Drainage!$A$5:$A$204&lt;=$B620)*(B_Drainage!$B$5:$B$204&gt;$B620)*(B_Drainage!$L$5:$L$204&lt;&gt;"")),IF(B_Drainage!$L$5:$L$204="-","",B_Drainage!$L$5:$L$204)),"")</f>
        <v/>
      </c>
      <c r="AD620" s="182" t="str">
        <f>IFERROR(LOOKUP(2,1/((D_Points!$A$5:$A$204&lt;&gt;"")*(D_Points!$A$5:$A$204&gt;=$B620)*(D_Points!$A$5:$A$204&lt;$B620+P_Interval)*(UPPER(TRIM(D_Points!$B$5:$B$204))="TURNOUT_L")*(D_Points!$H$5:$H$204&lt;&gt;"")),D_Points!$H$5:$H$204),"")</f>
        <v/>
      </c>
      <c r="AE620" s="182" t="str">
        <f>IFERROR(LOOKUP(2,1/((D_Points!$A$5:$A$204&lt;&gt;"")*(D_Points!$A$5:$A$204&gt;=$B620)*(D_Points!$A$5:$A$204&lt;$B620+P_Interval)*(UPPER(TRIM(D_Points!$B$5:$B$204))="TURNOUT_R")*(D_Points!$H$5:$H$204&lt;&gt;"")),D_Points!$H$5:$H$204),"")</f>
        <v/>
      </c>
      <c r="AF620" s="181" t="str">
        <f>IFERROR(LOOKUP(2,1/((B_Drainage!$A$5:$A$204&lt;&gt;"")*(B_Drainage!$A$5:$A$204&lt;=$B620)*(B_Drainage!$B$5:$B$204&gt;$B620)*(B_Drainage!$M$5:$M$204&lt;&gt;"")),IF(UPPER(B_Drainage!$M$5:$M$204)="Y",1,"")),"")</f>
        <v/>
      </c>
      <c r="AG620" s="181" t="str">
        <f>IFERROR(LOOKUP(2,1/((B_Drainage!$A$5:$A$204&lt;&gt;"")*(B_Drainage!$A$5:$A$204&lt;=$B620)*(B_Drainage!$B$5:$B$204&gt;$B620)*(B_Drainage!$N$5:$N$204&lt;&gt;"")),IF(UPPER(B_Drainage!$N$5:$N$204)="Y",1,"")),"")</f>
        <v/>
      </c>
      <c r="AH620" s="181" t="str">
        <f t="shared" si="72"/>
        <v/>
      </c>
      <c r="AI620" s="181" t="str">
        <f t="shared" si="73"/>
        <v/>
      </c>
      <c r="AJ620" s="181" t="str">
        <f t="shared" si="74"/>
        <v/>
      </c>
      <c r="AK620" s="181" t="str">
        <f t="shared" si="75"/>
        <v/>
      </c>
      <c r="AL620" s="181" t="str">
        <f t="shared" si="76"/>
        <v/>
      </c>
      <c r="AM620" s="181" t="str">
        <f t="shared" si="77"/>
        <v/>
      </c>
      <c r="AN620" s="181" t="str">
        <f t="shared" si="78"/>
        <v/>
      </c>
      <c r="AO620" s="192" t="str">
        <f t="shared" si="79"/>
        <v/>
      </c>
      <c r="AQ620" t="str">
        <f>IFERROR(LOOKUP(2,1/((C_Pavement!$A$5:$A$204&lt;&gt;"")*(C_Pavement!$A$5:$A$204&lt;=$B620)*(C_Pavement!$B$5:$B$204&gt;$B620)*(C_Pavement!$C$5:$C$204&lt;&gt;"")),ROW(C_Pavement!$C$5:$C$204)-4),"")</f>
        <v/>
      </c>
      <c r="AR620" t="str">
        <f>IF($AQ620="","",UPPER(TRIM(INDEX(C_Pavement!$C$5:$C$204,$AQ620))))</f>
        <v/>
      </c>
      <c r="AS620" t="str">
        <f>IF($AR620="","",IFERROR(MATCH($AR620,E_Rules!$A$5:$A$9,0),""))</f>
        <v/>
      </c>
      <c r="AT620" t="str">
        <f>IF($AQ620="","",IF(INDEX(C_Pavement!$D$5:$D$204,$AQ620)&lt;&gt;"",UPPER(TRIM(INDEX(C_Pavement!$D$5:$D$204,$AQ620))),IF($AS620="","",INDEX(E_Rules!$C$5:$C$9,$AS620))))</f>
        <v/>
      </c>
      <c r="AU620" t="str">
        <f>IF($AQ620="","",IF(INDEX(C_Pavement!$E$5:$E$204,$AQ620)&lt;&gt;"",IF(INDEX(C_Pavement!$E$5:$E$204,$AQ620)="-","",INDEX(C_Pavement!$E$5:$E$204,$AQ620)),IF($AS620="","",INDEX(E_Rules!$D$5:$D$9,$AS620))))</f>
        <v/>
      </c>
      <c r="AV620" t="str">
        <f>IF($AQ620="","",IF(INDEX(C_Pavement!$F$5:$F$204,$AQ620)&lt;&gt;"",IF(INDEX(C_Pavement!$F$5:$F$204,$AQ620)="-","",INDEX(C_Pavement!$F$5:$F$204,$AQ620)),IF($AS620="","",INDEX(E_Rules!$E$5:$E$9,$AS620))))</f>
        <v/>
      </c>
      <c r="AW620" t="str">
        <f>IF($AQ620="","",IF(INDEX(C_Pavement!$G$5:$G$204,$AQ620)&lt;&gt;"",IF(INDEX(C_Pavement!$G$5:$G$204,$AQ620)="-","",INDEX(C_Pavement!$G$5:$G$204,$AQ620)),IF($AS620="","",INDEX(E_Rules!$F$5:$F$9,$AS620))))</f>
        <v/>
      </c>
      <c r="AX620" t="str">
        <f>IF($AQ620="","",IF(INDEX(C_Pavement!$H$5:$H$204,$AQ620)&lt;&gt;"",IF(INDEX(C_Pavement!$H$5:$H$204,$AQ620)="-","",INDEX(C_Pavement!$H$5:$H$204,$AQ620)),IF($AS620="","",INDEX(E_Rules!$G$5:$G$9,$AS620))))</f>
        <v/>
      </c>
      <c r="AY620" t="str">
        <f>IF($AQ620="","",IF(INDEX(C_Pavement!$I$5:$I$204,$AQ620)&lt;&gt;"",IF(INDEX(C_Pavement!$I$5:$I$204,$AQ620)="-","",INDEX(C_Pavement!$I$5:$I$204,$AQ620)),IF($AS620="","",INDEX(E_Rules!$H$5:$H$9,$AS620))))</f>
        <v/>
      </c>
    </row>
    <row r="621" spans="1:51" ht="15.75" customHeight="1" x14ac:dyDescent="0.3">
      <c r="A621" s="189">
        <v>616</v>
      </c>
      <c r="B621" s="180">
        <v>30750</v>
      </c>
      <c r="C621" s="180" t="s">
        <v>927</v>
      </c>
      <c r="D621" s="181" t="str">
        <f>IFERROR(LOOKUP(2,1/((A_Corridor!$A$5:$A$204&lt;&gt;"")*(A_Corridor!$A$5:$A$204&lt;=$B621)*(A_Corridor!$B$5:$B$204&gt;$B621)*(A_Corridor!$C$5:$C$204&lt;&gt;"")),IF(UPPER(A_Corridor!$C$5:$C$204)="Y",1,"")),"")</f>
        <v/>
      </c>
      <c r="E621" s="181" t="str">
        <f>IFERROR(LOOKUP(2,1/((A_Corridor!$A$5:$A$204&lt;&gt;"")*(A_Corridor!$A$5:$A$204&lt;=$B621)*(A_Corridor!$B$5:$B$204&gt;$B621)*(A_Corridor!$D$5:$D$204&lt;&gt;"")),IF(A_Corridor!$D$5:$D$204="-","",UPPER(A_Corridor!$D$5:$D$204))),"")</f>
        <v/>
      </c>
      <c r="F621" s="181" t="str">
        <f>IFERROR(LOOKUP(2,1/((A_Corridor!$A$5:$A$204&lt;&gt;"")*(A_Corridor!$A$5:$A$204&lt;=$B621)*(A_Corridor!$B$5:$B$204&gt;$B621)*(A_Corridor!$E$5:$E$204&lt;&gt;"")),IF(A_Corridor!$E$5:$E$204="-","",1)),"")</f>
        <v/>
      </c>
      <c r="G621" s="182" t="str">
        <f>IFERROR(LOOKUP(2,1/((A_Corridor!$A$5:$A$204&lt;&gt;"")*(A_Corridor!$A$5:$A$204&lt;=$B621)*(A_Corridor!$B$5:$B$204&gt;$B621)*(A_Corridor!$E$5:$E$204&lt;&gt;"")),IF(A_Corridor!$E$5:$E$204="-","",A_Corridor!$E$5:$E$204)),"")</f>
        <v/>
      </c>
      <c r="H621" s="182" t="str">
        <f>IFERROR(LOOKUP(2,1/((D_Points!$A$5:$A$204&lt;&gt;"")*(D_Points!$A$5:$A$204&gt;=$B621)*(D_Points!$A$5:$A$204&lt;$B621+P_Interval)*(UPPER(TRIM(D_Points!$B$5:$B$204))="GULLY")*(D_Points!$H$5:$H$204&lt;&gt;"")),D_Points!$H$5:$H$204),"")</f>
        <v/>
      </c>
      <c r="I621" s="181" t="str">
        <f>IFERROR(LOOKUP(2,1/((A_Corridor!$A$5:$A$204&lt;&gt;"")*(A_Corridor!$A$5:$A$204&lt;=$B621)*(A_Corridor!$B$5:$B$204&gt;$B621)*(A_Corridor!$F$5:$F$204&lt;&gt;"")),IF(A_Corridor!$F$5:$F$204="-","",1)),"")</f>
        <v/>
      </c>
      <c r="J621" s="182" t="str">
        <f>IFERROR(LOOKUP(2,1/((A_Corridor!$A$5:$A$204&lt;&gt;"")*(A_Corridor!$A$5:$A$204&lt;=$B621)*(A_Corridor!$B$5:$B$204&gt;$B621)*(A_Corridor!$F$5:$F$204&lt;&gt;"")),IF(A_Corridor!$F$5:$F$204="-","",A_Corridor!$F$5:$F$204)),"")</f>
        <v/>
      </c>
      <c r="K621" s="182" t="str">
        <f>IFERROR(LOOKUP(2,1/((A_Corridor!$A$5:$A$204&lt;&gt;"")*(A_Corridor!$A$5:$A$204&lt;=$B621)*(A_Corridor!$B$5:$B$204&gt;$B621)*(A_Corridor!$G$5:$G$204&lt;&gt;"")),IF(A_Corridor!$G$5:$G$204="-","",A_Corridor!$G$5:$G$204)),"")</f>
        <v/>
      </c>
      <c r="L621" s="181" t="str">
        <f>IFERROR(LOOKUP(2,1/((A_Corridor!$A$5:$A$204&lt;&gt;"")*(A_Corridor!$A$5:$A$204&lt;=$B621)*(A_Corridor!$B$5:$B$204&gt;$B621)*(A_Corridor!$H$5:$H$204&lt;&gt;"")),IF(A_Corridor!$H$5:$H$204="-","",1)),"")</f>
        <v/>
      </c>
      <c r="M621" s="182" t="str">
        <f>IFERROR(LOOKUP(2,1/((A_Corridor!$A$5:$A$204&lt;&gt;"")*(A_Corridor!$A$5:$A$204&lt;=$B621)*(A_Corridor!$B$5:$B$204&gt;$B621)*(A_Corridor!$H$5:$H$204&lt;&gt;"")),IF(A_Corridor!$H$5:$H$204="-","",A_Corridor!$H$5:$H$204)),"")</f>
        <v/>
      </c>
      <c r="N621" s="182" t="str">
        <f>IFERROR(LOOKUP(2,1/((A_Corridor!$A$5:$A$204&lt;&gt;"")*(A_Corridor!$A$5:$A$204&lt;=$B621)*(A_Corridor!$B$5:$B$204&gt;$B621)*(A_Corridor!$I$5:$I$204&lt;&gt;"")),IF(A_Corridor!$I$5:$I$204="-","",A_Corridor!$I$5:$I$204)),"")</f>
        <v/>
      </c>
      <c r="O621" s="182" t="str">
        <f>IFERROR(LOOKUP(2,1/((D_Points!$A$5:$A$204&lt;&gt;"")*(D_Points!$A$5:$A$204&gt;=$B621)*(D_Points!$A$5:$A$204&lt;$B621+P_Interval)*(UPPER(TRIM(D_Points!$B$5:$B$204))="PITCHING")*(D_Points!$H$5:$H$204&lt;&gt;"")),D_Points!$H$5:$H$204),"")</f>
        <v/>
      </c>
      <c r="P621" s="181" t="str">
        <f>IFERROR(LOOKUP(2,1/((B_Drainage!$A$5:$A$204&lt;&gt;"")*(B_Drainage!$A$5:$A$204&lt;=$B621)*(B_Drainage!$B$5:$B$204&gt;$B621)*(B_Drainage!$C$5:$C$204&lt;&gt;"")),IF(B_Drainage!$C$5:$C$204="-","",UPPER(B_Drainage!$C$5:$C$204))),"")</f>
        <v/>
      </c>
      <c r="Q621" s="181" t="str">
        <f>IFERROR(LOOKUP(2,1/((B_Drainage!$A$5:$A$204&lt;&gt;"")*(B_Drainage!$A$5:$A$204&lt;=$B621)*(B_Drainage!$B$5:$B$204&gt;$B621)*(B_Drainage!$D$5:$D$204&lt;&gt;"")),IF(B_Drainage!$D$5:$D$204="-","",UPPER(B_Drainage!$D$5:$D$204))),"")</f>
        <v/>
      </c>
      <c r="R621" s="182" t="str">
        <f>IFERROR(LOOKUP(2,1/((D_Points!$A$5:$A$204&lt;&gt;"")*(D_Points!$A$5:$A$204&gt;=$B621)*(D_Points!$A$5:$A$204&lt;$B621+P_Interval)*(RIGHT(UPPER(TRIM(D_Points!$B$5:$B$204)),8)="_CULVERT")),IF(LEFT(UPPER(TRIM(D_Points!$B$5:$B$204)),2)="EX",1,IF(LEFT(UPPER(TRIM(D_Points!$B$5:$B$204)),2)="PR",2,3))),"")</f>
        <v/>
      </c>
      <c r="S621" s="182" t="str">
        <f>IFERROR(LOOKUP(2,1/((D_Points!$A$5:$A$204&lt;&gt;"")*(D_Points!$A$5:$A$204&gt;=$B621)*(D_Points!$A$5:$A$204&lt;$B621+P_Interval)*(RIGHT(UPPER(TRIM(D_Points!$B$5:$B$204)),7)="_BRIDGE")),IF(LEFT(UPPER(TRIM(D_Points!$B$5:$B$204)),2)="EX",1,IF(LEFT(UPPER(TRIM(D_Points!$B$5:$B$204)),2)="PR",2,2))),"")</f>
        <v/>
      </c>
      <c r="T621" s="181" t="str">
        <f>IFERROR(LOOKUP(2,1/((B_Drainage!$A$5:$A$204&lt;&gt;"")*(B_Drainage!$A$5:$A$204&lt;=$B621)*(B_Drainage!$B$5:$B$204&gt;$B621)*(B_Drainage!$E$5:$E$204&lt;&gt;"")),IF(B_Drainage!$E$5:$E$204="-","",1)),"")</f>
        <v/>
      </c>
      <c r="U621" s="181" t="str">
        <f>IFERROR(LOOKUP(2,1/((B_Drainage!$A$5:$A$204&lt;&gt;"")*(B_Drainage!$A$5:$A$204&lt;=$B621)*(B_Drainage!$B$5:$B$204&gt;$B621)*(B_Drainage!$E$5:$E$204&lt;&gt;"")),IF(B_Drainage!$E$5:$E$204="-","",B_Drainage!$E$5:$E$204)),"")</f>
        <v/>
      </c>
      <c r="V621" s="181" t="str">
        <f>IFERROR(LOOKUP(2,1/((B_Drainage!$A$5:$A$204&lt;&gt;"")*(B_Drainage!$A$5:$A$204&lt;=$B621)*(B_Drainage!$B$5:$B$204&gt;$B621)*(B_Drainage!$F$5:$F$204&lt;&gt;"")),IF(B_Drainage!$F$5:$F$204="-","",1)),"")</f>
        <v/>
      </c>
      <c r="W621" s="181" t="str">
        <f>IFERROR(LOOKUP(2,1/((B_Drainage!$A$5:$A$204&lt;&gt;"")*(B_Drainage!$A$5:$A$204&lt;=$B621)*(B_Drainage!$B$5:$B$204&gt;$B621)*(B_Drainage!$F$5:$F$204&lt;&gt;"")),IF(B_Drainage!$F$5:$F$204="-","",B_Drainage!$F$5:$F$204)),"")</f>
        <v/>
      </c>
      <c r="X621" s="181" t="str">
        <f>IFERROR(LOOKUP(2,1/((B_Drainage!$A$5:$A$204&lt;&gt;"")*(B_Drainage!$A$5:$A$204&lt;=$B621)*(B_Drainage!$B$5:$B$204&gt;$B621)*(B_Drainage!$G$5:$G$204&lt;&gt;"")),IF(UPPER(B_Drainage!$G$5:$G$204)="Y",1,"")),"")</f>
        <v/>
      </c>
      <c r="Y621" s="181" t="str">
        <f>IFERROR(LOOKUP(2,1/((B_Drainage!$A$5:$A$204&lt;&gt;"")*(B_Drainage!$A$5:$A$204&lt;=$B621)*(B_Drainage!$B$5:$B$204&gt;$B621)*(B_Drainage!$H$5:$H$204&lt;&gt;"")),IF(UPPER(B_Drainage!$H$5:$H$204)="Y",1,"")),"")</f>
        <v/>
      </c>
      <c r="Z621" s="181" t="str">
        <f>IFERROR(LOOKUP(2,1/((B_Drainage!$A$5:$A$204&lt;&gt;"")*(B_Drainage!$A$5:$A$204&lt;=$B621)*(B_Drainage!$B$5:$B$204&gt;$B621)*(B_Drainage!$I$5:$I$204&lt;&gt;"")),IF(UPPER(B_Drainage!$I$5:$I$204)="Y",1,"")),"")</f>
        <v/>
      </c>
      <c r="AA621" s="181" t="str">
        <f>IFERROR(LOOKUP(2,1/((B_Drainage!$A$5:$A$204&lt;&gt;"")*(B_Drainage!$A$5:$A$204&lt;=$B621)*(B_Drainage!$B$5:$B$204&gt;$B621)*(B_Drainage!$J$5:$J$204&lt;&gt;"")),IF(UPPER(B_Drainage!$J$5:$J$204)="Y",1,"")),"")</f>
        <v/>
      </c>
      <c r="AB621" s="182" t="str">
        <f>IFERROR(LOOKUP(2,1/((B_Drainage!$A$5:$A$204&lt;&gt;"")*(B_Drainage!$A$5:$A$204&lt;=$B621)*(B_Drainage!$B$5:$B$204&gt;$B621)*(B_Drainage!$K$5:$K$204&lt;&gt;"")),IF(B_Drainage!$K$5:$K$204="-","",B_Drainage!$K$5:$K$204)),"")</f>
        <v/>
      </c>
      <c r="AC621" s="182" t="str">
        <f>IFERROR(LOOKUP(2,1/((B_Drainage!$A$5:$A$204&lt;&gt;"")*(B_Drainage!$A$5:$A$204&lt;=$B621)*(B_Drainage!$B$5:$B$204&gt;$B621)*(B_Drainage!$L$5:$L$204&lt;&gt;"")),IF(B_Drainage!$L$5:$L$204="-","",B_Drainage!$L$5:$L$204)),"")</f>
        <v/>
      </c>
      <c r="AD621" s="182" t="str">
        <f>IFERROR(LOOKUP(2,1/((D_Points!$A$5:$A$204&lt;&gt;"")*(D_Points!$A$5:$A$204&gt;=$B621)*(D_Points!$A$5:$A$204&lt;$B621+P_Interval)*(UPPER(TRIM(D_Points!$B$5:$B$204))="TURNOUT_L")*(D_Points!$H$5:$H$204&lt;&gt;"")),D_Points!$H$5:$H$204),"")</f>
        <v/>
      </c>
      <c r="AE621" s="182" t="str">
        <f>IFERROR(LOOKUP(2,1/((D_Points!$A$5:$A$204&lt;&gt;"")*(D_Points!$A$5:$A$204&gt;=$B621)*(D_Points!$A$5:$A$204&lt;$B621+P_Interval)*(UPPER(TRIM(D_Points!$B$5:$B$204))="TURNOUT_R")*(D_Points!$H$5:$H$204&lt;&gt;"")),D_Points!$H$5:$H$204),"")</f>
        <v/>
      </c>
      <c r="AF621" s="181" t="str">
        <f>IFERROR(LOOKUP(2,1/((B_Drainage!$A$5:$A$204&lt;&gt;"")*(B_Drainage!$A$5:$A$204&lt;=$B621)*(B_Drainage!$B$5:$B$204&gt;$B621)*(B_Drainage!$M$5:$M$204&lt;&gt;"")),IF(UPPER(B_Drainage!$M$5:$M$204)="Y",1,"")),"")</f>
        <v/>
      </c>
      <c r="AG621" s="181" t="str">
        <f>IFERROR(LOOKUP(2,1/((B_Drainage!$A$5:$A$204&lt;&gt;"")*(B_Drainage!$A$5:$A$204&lt;=$B621)*(B_Drainage!$B$5:$B$204&gt;$B621)*(B_Drainage!$N$5:$N$204&lt;&gt;"")),IF(UPPER(B_Drainage!$N$5:$N$204)="Y",1,"")),"")</f>
        <v/>
      </c>
      <c r="AH621" s="181" t="str">
        <f t="shared" si="72"/>
        <v/>
      </c>
      <c r="AI621" s="181" t="str">
        <f t="shared" si="73"/>
        <v/>
      </c>
      <c r="AJ621" s="181" t="str">
        <f t="shared" si="74"/>
        <v/>
      </c>
      <c r="AK621" s="181" t="str">
        <f t="shared" si="75"/>
        <v/>
      </c>
      <c r="AL621" s="181" t="str">
        <f t="shared" si="76"/>
        <v/>
      </c>
      <c r="AM621" s="181" t="str">
        <f t="shared" si="77"/>
        <v/>
      </c>
      <c r="AN621" s="181" t="str">
        <f t="shared" si="78"/>
        <v/>
      </c>
      <c r="AO621" s="192" t="str">
        <f t="shared" si="79"/>
        <v/>
      </c>
      <c r="AQ621" t="str">
        <f>IFERROR(LOOKUP(2,1/((C_Pavement!$A$5:$A$204&lt;&gt;"")*(C_Pavement!$A$5:$A$204&lt;=$B621)*(C_Pavement!$B$5:$B$204&gt;$B621)*(C_Pavement!$C$5:$C$204&lt;&gt;"")),ROW(C_Pavement!$C$5:$C$204)-4),"")</f>
        <v/>
      </c>
      <c r="AR621" t="str">
        <f>IF($AQ621="","",UPPER(TRIM(INDEX(C_Pavement!$C$5:$C$204,$AQ621))))</f>
        <v/>
      </c>
      <c r="AS621" t="str">
        <f>IF($AR621="","",IFERROR(MATCH($AR621,E_Rules!$A$5:$A$9,0),""))</f>
        <v/>
      </c>
      <c r="AT621" t="str">
        <f>IF($AQ621="","",IF(INDEX(C_Pavement!$D$5:$D$204,$AQ621)&lt;&gt;"",UPPER(TRIM(INDEX(C_Pavement!$D$5:$D$204,$AQ621))),IF($AS621="","",INDEX(E_Rules!$C$5:$C$9,$AS621))))</f>
        <v/>
      </c>
      <c r="AU621" t="str">
        <f>IF($AQ621="","",IF(INDEX(C_Pavement!$E$5:$E$204,$AQ621)&lt;&gt;"",IF(INDEX(C_Pavement!$E$5:$E$204,$AQ621)="-","",INDEX(C_Pavement!$E$5:$E$204,$AQ621)),IF($AS621="","",INDEX(E_Rules!$D$5:$D$9,$AS621))))</f>
        <v/>
      </c>
      <c r="AV621" t="str">
        <f>IF($AQ621="","",IF(INDEX(C_Pavement!$F$5:$F$204,$AQ621)&lt;&gt;"",IF(INDEX(C_Pavement!$F$5:$F$204,$AQ621)="-","",INDEX(C_Pavement!$F$5:$F$204,$AQ621)),IF($AS621="","",INDEX(E_Rules!$E$5:$E$9,$AS621))))</f>
        <v/>
      </c>
      <c r="AW621" t="str">
        <f>IF($AQ621="","",IF(INDEX(C_Pavement!$G$5:$G$204,$AQ621)&lt;&gt;"",IF(INDEX(C_Pavement!$G$5:$G$204,$AQ621)="-","",INDEX(C_Pavement!$G$5:$G$204,$AQ621)),IF($AS621="","",INDEX(E_Rules!$F$5:$F$9,$AS621))))</f>
        <v/>
      </c>
      <c r="AX621" t="str">
        <f>IF($AQ621="","",IF(INDEX(C_Pavement!$H$5:$H$204,$AQ621)&lt;&gt;"",IF(INDEX(C_Pavement!$H$5:$H$204,$AQ621)="-","",INDEX(C_Pavement!$H$5:$H$204,$AQ621)),IF($AS621="","",INDEX(E_Rules!$G$5:$G$9,$AS621))))</f>
        <v/>
      </c>
      <c r="AY621" t="str">
        <f>IF($AQ621="","",IF(INDEX(C_Pavement!$I$5:$I$204,$AQ621)&lt;&gt;"",IF(INDEX(C_Pavement!$I$5:$I$204,$AQ621)="-","",INDEX(C_Pavement!$I$5:$I$204,$AQ621)),IF($AS621="","",INDEX(E_Rules!$H$5:$H$9,$AS621))))</f>
        <v/>
      </c>
    </row>
    <row r="622" spans="1:51" ht="15.75" customHeight="1" x14ac:dyDescent="0.3">
      <c r="A622" s="189">
        <v>617</v>
      </c>
      <c r="B622" s="180">
        <v>30800</v>
      </c>
      <c r="C622" s="180" t="s">
        <v>928</v>
      </c>
      <c r="D622" s="181" t="str">
        <f>IFERROR(LOOKUP(2,1/((A_Corridor!$A$5:$A$204&lt;&gt;"")*(A_Corridor!$A$5:$A$204&lt;=$B622)*(A_Corridor!$B$5:$B$204&gt;$B622)*(A_Corridor!$C$5:$C$204&lt;&gt;"")),IF(UPPER(A_Corridor!$C$5:$C$204)="Y",1,"")),"")</f>
        <v/>
      </c>
      <c r="E622" s="181" t="str">
        <f>IFERROR(LOOKUP(2,1/((A_Corridor!$A$5:$A$204&lt;&gt;"")*(A_Corridor!$A$5:$A$204&lt;=$B622)*(A_Corridor!$B$5:$B$204&gt;$B622)*(A_Corridor!$D$5:$D$204&lt;&gt;"")),IF(A_Corridor!$D$5:$D$204="-","",UPPER(A_Corridor!$D$5:$D$204))),"")</f>
        <v/>
      </c>
      <c r="F622" s="181" t="str">
        <f>IFERROR(LOOKUP(2,1/((A_Corridor!$A$5:$A$204&lt;&gt;"")*(A_Corridor!$A$5:$A$204&lt;=$B622)*(A_Corridor!$B$5:$B$204&gt;$B622)*(A_Corridor!$E$5:$E$204&lt;&gt;"")),IF(A_Corridor!$E$5:$E$204="-","",1)),"")</f>
        <v/>
      </c>
      <c r="G622" s="182" t="str">
        <f>IFERROR(LOOKUP(2,1/((A_Corridor!$A$5:$A$204&lt;&gt;"")*(A_Corridor!$A$5:$A$204&lt;=$B622)*(A_Corridor!$B$5:$B$204&gt;$B622)*(A_Corridor!$E$5:$E$204&lt;&gt;"")),IF(A_Corridor!$E$5:$E$204="-","",A_Corridor!$E$5:$E$204)),"")</f>
        <v/>
      </c>
      <c r="H622" s="182" t="str">
        <f>IFERROR(LOOKUP(2,1/((D_Points!$A$5:$A$204&lt;&gt;"")*(D_Points!$A$5:$A$204&gt;=$B622)*(D_Points!$A$5:$A$204&lt;$B622+P_Interval)*(UPPER(TRIM(D_Points!$B$5:$B$204))="GULLY")*(D_Points!$H$5:$H$204&lt;&gt;"")),D_Points!$H$5:$H$204),"")</f>
        <v/>
      </c>
      <c r="I622" s="181" t="str">
        <f>IFERROR(LOOKUP(2,1/((A_Corridor!$A$5:$A$204&lt;&gt;"")*(A_Corridor!$A$5:$A$204&lt;=$B622)*(A_Corridor!$B$5:$B$204&gt;$B622)*(A_Corridor!$F$5:$F$204&lt;&gt;"")),IF(A_Corridor!$F$5:$F$204="-","",1)),"")</f>
        <v/>
      </c>
      <c r="J622" s="182" t="str">
        <f>IFERROR(LOOKUP(2,1/((A_Corridor!$A$5:$A$204&lt;&gt;"")*(A_Corridor!$A$5:$A$204&lt;=$B622)*(A_Corridor!$B$5:$B$204&gt;$B622)*(A_Corridor!$F$5:$F$204&lt;&gt;"")),IF(A_Corridor!$F$5:$F$204="-","",A_Corridor!$F$5:$F$204)),"")</f>
        <v/>
      </c>
      <c r="K622" s="182" t="str">
        <f>IFERROR(LOOKUP(2,1/((A_Corridor!$A$5:$A$204&lt;&gt;"")*(A_Corridor!$A$5:$A$204&lt;=$B622)*(A_Corridor!$B$5:$B$204&gt;$B622)*(A_Corridor!$G$5:$G$204&lt;&gt;"")),IF(A_Corridor!$G$5:$G$204="-","",A_Corridor!$G$5:$G$204)),"")</f>
        <v/>
      </c>
      <c r="L622" s="181" t="str">
        <f>IFERROR(LOOKUP(2,1/((A_Corridor!$A$5:$A$204&lt;&gt;"")*(A_Corridor!$A$5:$A$204&lt;=$B622)*(A_Corridor!$B$5:$B$204&gt;$B622)*(A_Corridor!$H$5:$H$204&lt;&gt;"")),IF(A_Corridor!$H$5:$H$204="-","",1)),"")</f>
        <v/>
      </c>
      <c r="M622" s="182" t="str">
        <f>IFERROR(LOOKUP(2,1/((A_Corridor!$A$5:$A$204&lt;&gt;"")*(A_Corridor!$A$5:$A$204&lt;=$B622)*(A_Corridor!$B$5:$B$204&gt;$B622)*(A_Corridor!$H$5:$H$204&lt;&gt;"")),IF(A_Corridor!$H$5:$H$204="-","",A_Corridor!$H$5:$H$204)),"")</f>
        <v/>
      </c>
      <c r="N622" s="182" t="str">
        <f>IFERROR(LOOKUP(2,1/((A_Corridor!$A$5:$A$204&lt;&gt;"")*(A_Corridor!$A$5:$A$204&lt;=$B622)*(A_Corridor!$B$5:$B$204&gt;$B622)*(A_Corridor!$I$5:$I$204&lt;&gt;"")),IF(A_Corridor!$I$5:$I$204="-","",A_Corridor!$I$5:$I$204)),"")</f>
        <v/>
      </c>
      <c r="O622" s="182" t="str">
        <f>IFERROR(LOOKUP(2,1/((D_Points!$A$5:$A$204&lt;&gt;"")*(D_Points!$A$5:$A$204&gt;=$B622)*(D_Points!$A$5:$A$204&lt;$B622+P_Interval)*(UPPER(TRIM(D_Points!$B$5:$B$204))="PITCHING")*(D_Points!$H$5:$H$204&lt;&gt;"")),D_Points!$H$5:$H$204),"")</f>
        <v/>
      </c>
      <c r="P622" s="181" t="str">
        <f>IFERROR(LOOKUP(2,1/((B_Drainage!$A$5:$A$204&lt;&gt;"")*(B_Drainage!$A$5:$A$204&lt;=$B622)*(B_Drainage!$B$5:$B$204&gt;$B622)*(B_Drainage!$C$5:$C$204&lt;&gt;"")),IF(B_Drainage!$C$5:$C$204="-","",UPPER(B_Drainage!$C$5:$C$204))),"")</f>
        <v/>
      </c>
      <c r="Q622" s="181" t="str">
        <f>IFERROR(LOOKUP(2,1/((B_Drainage!$A$5:$A$204&lt;&gt;"")*(B_Drainage!$A$5:$A$204&lt;=$B622)*(B_Drainage!$B$5:$B$204&gt;$B622)*(B_Drainage!$D$5:$D$204&lt;&gt;"")),IF(B_Drainage!$D$5:$D$204="-","",UPPER(B_Drainage!$D$5:$D$204))),"")</f>
        <v/>
      </c>
      <c r="R622" s="182" t="str">
        <f>IFERROR(LOOKUP(2,1/((D_Points!$A$5:$A$204&lt;&gt;"")*(D_Points!$A$5:$A$204&gt;=$B622)*(D_Points!$A$5:$A$204&lt;$B622+P_Interval)*(RIGHT(UPPER(TRIM(D_Points!$B$5:$B$204)),8)="_CULVERT")),IF(LEFT(UPPER(TRIM(D_Points!$B$5:$B$204)),2)="EX",1,IF(LEFT(UPPER(TRIM(D_Points!$B$5:$B$204)),2)="PR",2,3))),"")</f>
        <v/>
      </c>
      <c r="S622" s="182" t="str">
        <f>IFERROR(LOOKUP(2,1/((D_Points!$A$5:$A$204&lt;&gt;"")*(D_Points!$A$5:$A$204&gt;=$B622)*(D_Points!$A$5:$A$204&lt;$B622+P_Interval)*(RIGHT(UPPER(TRIM(D_Points!$B$5:$B$204)),7)="_BRIDGE")),IF(LEFT(UPPER(TRIM(D_Points!$B$5:$B$204)),2)="EX",1,IF(LEFT(UPPER(TRIM(D_Points!$B$5:$B$204)),2)="PR",2,2))),"")</f>
        <v/>
      </c>
      <c r="T622" s="181" t="str">
        <f>IFERROR(LOOKUP(2,1/((B_Drainage!$A$5:$A$204&lt;&gt;"")*(B_Drainage!$A$5:$A$204&lt;=$B622)*(B_Drainage!$B$5:$B$204&gt;$B622)*(B_Drainage!$E$5:$E$204&lt;&gt;"")),IF(B_Drainage!$E$5:$E$204="-","",1)),"")</f>
        <v/>
      </c>
      <c r="U622" s="181" t="str">
        <f>IFERROR(LOOKUP(2,1/((B_Drainage!$A$5:$A$204&lt;&gt;"")*(B_Drainage!$A$5:$A$204&lt;=$B622)*(B_Drainage!$B$5:$B$204&gt;$B622)*(B_Drainage!$E$5:$E$204&lt;&gt;"")),IF(B_Drainage!$E$5:$E$204="-","",B_Drainage!$E$5:$E$204)),"")</f>
        <v/>
      </c>
      <c r="V622" s="181" t="str">
        <f>IFERROR(LOOKUP(2,1/((B_Drainage!$A$5:$A$204&lt;&gt;"")*(B_Drainage!$A$5:$A$204&lt;=$B622)*(B_Drainage!$B$5:$B$204&gt;$B622)*(B_Drainage!$F$5:$F$204&lt;&gt;"")),IF(B_Drainage!$F$5:$F$204="-","",1)),"")</f>
        <v/>
      </c>
      <c r="W622" s="181" t="str">
        <f>IFERROR(LOOKUP(2,1/((B_Drainage!$A$5:$A$204&lt;&gt;"")*(B_Drainage!$A$5:$A$204&lt;=$B622)*(B_Drainage!$B$5:$B$204&gt;$B622)*(B_Drainage!$F$5:$F$204&lt;&gt;"")),IF(B_Drainage!$F$5:$F$204="-","",B_Drainage!$F$5:$F$204)),"")</f>
        <v/>
      </c>
      <c r="X622" s="181" t="str">
        <f>IFERROR(LOOKUP(2,1/((B_Drainage!$A$5:$A$204&lt;&gt;"")*(B_Drainage!$A$5:$A$204&lt;=$B622)*(B_Drainage!$B$5:$B$204&gt;$B622)*(B_Drainage!$G$5:$G$204&lt;&gt;"")),IF(UPPER(B_Drainage!$G$5:$G$204)="Y",1,"")),"")</f>
        <v/>
      </c>
      <c r="Y622" s="181" t="str">
        <f>IFERROR(LOOKUP(2,1/((B_Drainage!$A$5:$A$204&lt;&gt;"")*(B_Drainage!$A$5:$A$204&lt;=$B622)*(B_Drainage!$B$5:$B$204&gt;$B622)*(B_Drainage!$H$5:$H$204&lt;&gt;"")),IF(UPPER(B_Drainage!$H$5:$H$204)="Y",1,"")),"")</f>
        <v/>
      </c>
      <c r="Z622" s="181" t="str">
        <f>IFERROR(LOOKUP(2,1/((B_Drainage!$A$5:$A$204&lt;&gt;"")*(B_Drainage!$A$5:$A$204&lt;=$B622)*(B_Drainage!$B$5:$B$204&gt;$B622)*(B_Drainage!$I$5:$I$204&lt;&gt;"")),IF(UPPER(B_Drainage!$I$5:$I$204)="Y",1,"")),"")</f>
        <v/>
      </c>
      <c r="AA622" s="181" t="str">
        <f>IFERROR(LOOKUP(2,1/((B_Drainage!$A$5:$A$204&lt;&gt;"")*(B_Drainage!$A$5:$A$204&lt;=$B622)*(B_Drainage!$B$5:$B$204&gt;$B622)*(B_Drainage!$J$5:$J$204&lt;&gt;"")),IF(UPPER(B_Drainage!$J$5:$J$204)="Y",1,"")),"")</f>
        <v/>
      </c>
      <c r="AB622" s="182" t="str">
        <f>IFERROR(LOOKUP(2,1/((B_Drainage!$A$5:$A$204&lt;&gt;"")*(B_Drainage!$A$5:$A$204&lt;=$B622)*(B_Drainage!$B$5:$B$204&gt;$B622)*(B_Drainage!$K$5:$K$204&lt;&gt;"")),IF(B_Drainage!$K$5:$K$204="-","",B_Drainage!$K$5:$K$204)),"")</f>
        <v/>
      </c>
      <c r="AC622" s="182" t="str">
        <f>IFERROR(LOOKUP(2,1/((B_Drainage!$A$5:$A$204&lt;&gt;"")*(B_Drainage!$A$5:$A$204&lt;=$B622)*(B_Drainage!$B$5:$B$204&gt;$B622)*(B_Drainage!$L$5:$L$204&lt;&gt;"")),IF(B_Drainage!$L$5:$L$204="-","",B_Drainage!$L$5:$L$204)),"")</f>
        <v/>
      </c>
      <c r="AD622" s="182" t="str">
        <f>IFERROR(LOOKUP(2,1/((D_Points!$A$5:$A$204&lt;&gt;"")*(D_Points!$A$5:$A$204&gt;=$B622)*(D_Points!$A$5:$A$204&lt;$B622+P_Interval)*(UPPER(TRIM(D_Points!$B$5:$B$204))="TURNOUT_L")*(D_Points!$H$5:$H$204&lt;&gt;"")),D_Points!$H$5:$H$204),"")</f>
        <v/>
      </c>
      <c r="AE622" s="182" t="str">
        <f>IFERROR(LOOKUP(2,1/((D_Points!$A$5:$A$204&lt;&gt;"")*(D_Points!$A$5:$A$204&gt;=$B622)*(D_Points!$A$5:$A$204&lt;$B622+P_Interval)*(UPPER(TRIM(D_Points!$B$5:$B$204))="TURNOUT_R")*(D_Points!$H$5:$H$204&lt;&gt;"")),D_Points!$H$5:$H$204),"")</f>
        <v/>
      </c>
      <c r="AF622" s="181" t="str">
        <f>IFERROR(LOOKUP(2,1/((B_Drainage!$A$5:$A$204&lt;&gt;"")*(B_Drainage!$A$5:$A$204&lt;=$B622)*(B_Drainage!$B$5:$B$204&gt;$B622)*(B_Drainage!$M$5:$M$204&lt;&gt;"")),IF(UPPER(B_Drainage!$M$5:$M$204)="Y",1,"")),"")</f>
        <v/>
      </c>
      <c r="AG622" s="181" t="str">
        <f>IFERROR(LOOKUP(2,1/((B_Drainage!$A$5:$A$204&lt;&gt;"")*(B_Drainage!$A$5:$A$204&lt;=$B622)*(B_Drainage!$B$5:$B$204&gt;$B622)*(B_Drainage!$N$5:$N$204&lt;&gt;"")),IF(UPPER(B_Drainage!$N$5:$N$204)="Y",1,"")),"")</f>
        <v/>
      </c>
      <c r="AH622" s="181" t="str">
        <f t="shared" si="72"/>
        <v/>
      </c>
      <c r="AI622" s="181" t="str">
        <f t="shared" si="73"/>
        <v/>
      </c>
      <c r="AJ622" s="181" t="str">
        <f t="shared" si="74"/>
        <v/>
      </c>
      <c r="AK622" s="181" t="str">
        <f t="shared" si="75"/>
        <v/>
      </c>
      <c r="AL622" s="181" t="str">
        <f t="shared" si="76"/>
        <v/>
      </c>
      <c r="AM622" s="181" t="str">
        <f t="shared" si="77"/>
        <v/>
      </c>
      <c r="AN622" s="181" t="str">
        <f t="shared" si="78"/>
        <v/>
      </c>
      <c r="AO622" s="192" t="str">
        <f t="shared" si="79"/>
        <v/>
      </c>
      <c r="AQ622" t="str">
        <f>IFERROR(LOOKUP(2,1/((C_Pavement!$A$5:$A$204&lt;&gt;"")*(C_Pavement!$A$5:$A$204&lt;=$B622)*(C_Pavement!$B$5:$B$204&gt;$B622)*(C_Pavement!$C$5:$C$204&lt;&gt;"")),ROW(C_Pavement!$C$5:$C$204)-4),"")</f>
        <v/>
      </c>
      <c r="AR622" t="str">
        <f>IF($AQ622="","",UPPER(TRIM(INDEX(C_Pavement!$C$5:$C$204,$AQ622))))</f>
        <v/>
      </c>
      <c r="AS622" t="str">
        <f>IF($AR622="","",IFERROR(MATCH($AR622,E_Rules!$A$5:$A$9,0),""))</f>
        <v/>
      </c>
      <c r="AT622" t="str">
        <f>IF($AQ622="","",IF(INDEX(C_Pavement!$D$5:$D$204,$AQ622)&lt;&gt;"",UPPER(TRIM(INDEX(C_Pavement!$D$5:$D$204,$AQ622))),IF($AS622="","",INDEX(E_Rules!$C$5:$C$9,$AS622))))</f>
        <v/>
      </c>
      <c r="AU622" t="str">
        <f>IF($AQ622="","",IF(INDEX(C_Pavement!$E$5:$E$204,$AQ622)&lt;&gt;"",IF(INDEX(C_Pavement!$E$5:$E$204,$AQ622)="-","",INDEX(C_Pavement!$E$5:$E$204,$AQ622)),IF($AS622="","",INDEX(E_Rules!$D$5:$D$9,$AS622))))</f>
        <v/>
      </c>
      <c r="AV622" t="str">
        <f>IF($AQ622="","",IF(INDEX(C_Pavement!$F$5:$F$204,$AQ622)&lt;&gt;"",IF(INDEX(C_Pavement!$F$5:$F$204,$AQ622)="-","",INDEX(C_Pavement!$F$5:$F$204,$AQ622)),IF($AS622="","",INDEX(E_Rules!$E$5:$E$9,$AS622))))</f>
        <v/>
      </c>
      <c r="AW622" t="str">
        <f>IF($AQ622="","",IF(INDEX(C_Pavement!$G$5:$G$204,$AQ622)&lt;&gt;"",IF(INDEX(C_Pavement!$G$5:$G$204,$AQ622)="-","",INDEX(C_Pavement!$G$5:$G$204,$AQ622)),IF($AS622="","",INDEX(E_Rules!$F$5:$F$9,$AS622))))</f>
        <v/>
      </c>
      <c r="AX622" t="str">
        <f>IF($AQ622="","",IF(INDEX(C_Pavement!$H$5:$H$204,$AQ622)&lt;&gt;"",IF(INDEX(C_Pavement!$H$5:$H$204,$AQ622)="-","",INDEX(C_Pavement!$H$5:$H$204,$AQ622)),IF($AS622="","",INDEX(E_Rules!$G$5:$G$9,$AS622))))</f>
        <v/>
      </c>
      <c r="AY622" t="str">
        <f>IF($AQ622="","",IF(INDEX(C_Pavement!$I$5:$I$204,$AQ622)&lt;&gt;"",IF(INDEX(C_Pavement!$I$5:$I$204,$AQ622)="-","",INDEX(C_Pavement!$I$5:$I$204,$AQ622)),IF($AS622="","",INDEX(E_Rules!$H$5:$H$9,$AS622))))</f>
        <v/>
      </c>
    </row>
    <row r="623" spans="1:51" ht="15.75" customHeight="1" x14ac:dyDescent="0.3">
      <c r="A623" s="189">
        <v>618</v>
      </c>
      <c r="B623" s="180">
        <v>30850</v>
      </c>
      <c r="C623" s="180" t="s">
        <v>929</v>
      </c>
      <c r="D623" s="181" t="str">
        <f>IFERROR(LOOKUP(2,1/((A_Corridor!$A$5:$A$204&lt;&gt;"")*(A_Corridor!$A$5:$A$204&lt;=$B623)*(A_Corridor!$B$5:$B$204&gt;$B623)*(A_Corridor!$C$5:$C$204&lt;&gt;"")),IF(UPPER(A_Corridor!$C$5:$C$204)="Y",1,"")),"")</f>
        <v/>
      </c>
      <c r="E623" s="181" t="str">
        <f>IFERROR(LOOKUP(2,1/((A_Corridor!$A$5:$A$204&lt;&gt;"")*(A_Corridor!$A$5:$A$204&lt;=$B623)*(A_Corridor!$B$5:$B$204&gt;$B623)*(A_Corridor!$D$5:$D$204&lt;&gt;"")),IF(A_Corridor!$D$5:$D$204="-","",UPPER(A_Corridor!$D$5:$D$204))),"")</f>
        <v/>
      </c>
      <c r="F623" s="181" t="str">
        <f>IFERROR(LOOKUP(2,1/((A_Corridor!$A$5:$A$204&lt;&gt;"")*(A_Corridor!$A$5:$A$204&lt;=$B623)*(A_Corridor!$B$5:$B$204&gt;$B623)*(A_Corridor!$E$5:$E$204&lt;&gt;"")),IF(A_Corridor!$E$5:$E$204="-","",1)),"")</f>
        <v/>
      </c>
      <c r="G623" s="182" t="str">
        <f>IFERROR(LOOKUP(2,1/((A_Corridor!$A$5:$A$204&lt;&gt;"")*(A_Corridor!$A$5:$A$204&lt;=$B623)*(A_Corridor!$B$5:$B$204&gt;$B623)*(A_Corridor!$E$5:$E$204&lt;&gt;"")),IF(A_Corridor!$E$5:$E$204="-","",A_Corridor!$E$5:$E$204)),"")</f>
        <v/>
      </c>
      <c r="H623" s="182" t="str">
        <f>IFERROR(LOOKUP(2,1/((D_Points!$A$5:$A$204&lt;&gt;"")*(D_Points!$A$5:$A$204&gt;=$B623)*(D_Points!$A$5:$A$204&lt;$B623+P_Interval)*(UPPER(TRIM(D_Points!$B$5:$B$204))="GULLY")*(D_Points!$H$5:$H$204&lt;&gt;"")),D_Points!$H$5:$H$204),"")</f>
        <v/>
      </c>
      <c r="I623" s="181" t="str">
        <f>IFERROR(LOOKUP(2,1/((A_Corridor!$A$5:$A$204&lt;&gt;"")*(A_Corridor!$A$5:$A$204&lt;=$B623)*(A_Corridor!$B$5:$B$204&gt;$B623)*(A_Corridor!$F$5:$F$204&lt;&gt;"")),IF(A_Corridor!$F$5:$F$204="-","",1)),"")</f>
        <v/>
      </c>
      <c r="J623" s="182" t="str">
        <f>IFERROR(LOOKUP(2,1/((A_Corridor!$A$5:$A$204&lt;&gt;"")*(A_Corridor!$A$5:$A$204&lt;=$B623)*(A_Corridor!$B$5:$B$204&gt;$B623)*(A_Corridor!$F$5:$F$204&lt;&gt;"")),IF(A_Corridor!$F$5:$F$204="-","",A_Corridor!$F$5:$F$204)),"")</f>
        <v/>
      </c>
      <c r="K623" s="182" t="str">
        <f>IFERROR(LOOKUP(2,1/((A_Corridor!$A$5:$A$204&lt;&gt;"")*(A_Corridor!$A$5:$A$204&lt;=$B623)*(A_Corridor!$B$5:$B$204&gt;$B623)*(A_Corridor!$G$5:$G$204&lt;&gt;"")),IF(A_Corridor!$G$5:$G$204="-","",A_Corridor!$G$5:$G$204)),"")</f>
        <v/>
      </c>
      <c r="L623" s="181" t="str">
        <f>IFERROR(LOOKUP(2,1/((A_Corridor!$A$5:$A$204&lt;&gt;"")*(A_Corridor!$A$5:$A$204&lt;=$B623)*(A_Corridor!$B$5:$B$204&gt;$B623)*(A_Corridor!$H$5:$H$204&lt;&gt;"")),IF(A_Corridor!$H$5:$H$204="-","",1)),"")</f>
        <v/>
      </c>
      <c r="M623" s="182" t="str">
        <f>IFERROR(LOOKUP(2,1/((A_Corridor!$A$5:$A$204&lt;&gt;"")*(A_Corridor!$A$5:$A$204&lt;=$B623)*(A_Corridor!$B$5:$B$204&gt;$B623)*(A_Corridor!$H$5:$H$204&lt;&gt;"")),IF(A_Corridor!$H$5:$H$204="-","",A_Corridor!$H$5:$H$204)),"")</f>
        <v/>
      </c>
      <c r="N623" s="182" t="str">
        <f>IFERROR(LOOKUP(2,1/((A_Corridor!$A$5:$A$204&lt;&gt;"")*(A_Corridor!$A$5:$A$204&lt;=$B623)*(A_Corridor!$B$5:$B$204&gt;$B623)*(A_Corridor!$I$5:$I$204&lt;&gt;"")),IF(A_Corridor!$I$5:$I$204="-","",A_Corridor!$I$5:$I$204)),"")</f>
        <v/>
      </c>
      <c r="O623" s="182" t="str">
        <f>IFERROR(LOOKUP(2,1/((D_Points!$A$5:$A$204&lt;&gt;"")*(D_Points!$A$5:$A$204&gt;=$B623)*(D_Points!$A$5:$A$204&lt;$B623+P_Interval)*(UPPER(TRIM(D_Points!$B$5:$B$204))="PITCHING")*(D_Points!$H$5:$H$204&lt;&gt;"")),D_Points!$H$5:$H$204),"")</f>
        <v/>
      </c>
      <c r="P623" s="181" t="str">
        <f>IFERROR(LOOKUP(2,1/((B_Drainage!$A$5:$A$204&lt;&gt;"")*(B_Drainage!$A$5:$A$204&lt;=$B623)*(B_Drainage!$B$5:$B$204&gt;$B623)*(B_Drainage!$C$5:$C$204&lt;&gt;"")),IF(B_Drainage!$C$5:$C$204="-","",UPPER(B_Drainage!$C$5:$C$204))),"")</f>
        <v/>
      </c>
      <c r="Q623" s="181" t="str">
        <f>IFERROR(LOOKUP(2,1/((B_Drainage!$A$5:$A$204&lt;&gt;"")*(B_Drainage!$A$5:$A$204&lt;=$B623)*(B_Drainage!$B$5:$B$204&gt;$B623)*(B_Drainage!$D$5:$D$204&lt;&gt;"")),IF(B_Drainage!$D$5:$D$204="-","",UPPER(B_Drainage!$D$5:$D$204))),"")</f>
        <v/>
      </c>
      <c r="R623" s="182" t="str">
        <f>IFERROR(LOOKUP(2,1/((D_Points!$A$5:$A$204&lt;&gt;"")*(D_Points!$A$5:$A$204&gt;=$B623)*(D_Points!$A$5:$A$204&lt;$B623+P_Interval)*(RIGHT(UPPER(TRIM(D_Points!$B$5:$B$204)),8)="_CULVERT")),IF(LEFT(UPPER(TRIM(D_Points!$B$5:$B$204)),2)="EX",1,IF(LEFT(UPPER(TRIM(D_Points!$B$5:$B$204)),2)="PR",2,3))),"")</f>
        <v/>
      </c>
      <c r="S623" s="182" t="str">
        <f>IFERROR(LOOKUP(2,1/((D_Points!$A$5:$A$204&lt;&gt;"")*(D_Points!$A$5:$A$204&gt;=$B623)*(D_Points!$A$5:$A$204&lt;$B623+P_Interval)*(RIGHT(UPPER(TRIM(D_Points!$B$5:$B$204)),7)="_BRIDGE")),IF(LEFT(UPPER(TRIM(D_Points!$B$5:$B$204)),2)="EX",1,IF(LEFT(UPPER(TRIM(D_Points!$B$5:$B$204)),2)="PR",2,2))),"")</f>
        <v/>
      </c>
      <c r="T623" s="181" t="str">
        <f>IFERROR(LOOKUP(2,1/((B_Drainage!$A$5:$A$204&lt;&gt;"")*(B_Drainage!$A$5:$A$204&lt;=$B623)*(B_Drainage!$B$5:$B$204&gt;$B623)*(B_Drainage!$E$5:$E$204&lt;&gt;"")),IF(B_Drainage!$E$5:$E$204="-","",1)),"")</f>
        <v/>
      </c>
      <c r="U623" s="181" t="str">
        <f>IFERROR(LOOKUP(2,1/((B_Drainage!$A$5:$A$204&lt;&gt;"")*(B_Drainage!$A$5:$A$204&lt;=$B623)*(B_Drainage!$B$5:$B$204&gt;$B623)*(B_Drainage!$E$5:$E$204&lt;&gt;"")),IF(B_Drainage!$E$5:$E$204="-","",B_Drainage!$E$5:$E$204)),"")</f>
        <v/>
      </c>
      <c r="V623" s="181" t="str">
        <f>IFERROR(LOOKUP(2,1/((B_Drainage!$A$5:$A$204&lt;&gt;"")*(B_Drainage!$A$5:$A$204&lt;=$B623)*(B_Drainage!$B$5:$B$204&gt;$B623)*(B_Drainage!$F$5:$F$204&lt;&gt;"")),IF(B_Drainage!$F$5:$F$204="-","",1)),"")</f>
        <v/>
      </c>
      <c r="W623" s="181" t="str">
        <f>IFERROR(LOOKUP(2,1/((B_Drainage!$A$5:$A$204&lt;&gt;"")*(B_Drainage!$A$5:$A$204&lt;=$B623)*(B_Drainage!$B$5:$B$204&gt;$B623)*(B_Drainage!$F$5:$F$204&lt;&gt;"")),IF(B_Drainage!$F$5:$F$204="-","",B_Drainage!$F$5:$F$204)),"")</f>
        <v/>
      </c>
      <c r="X623" s="181" t="str">
        <f>IFERROR(LOOKUP(2,1/((B_Drainage!$A$5:$A$204&lt;&gt;"")*(B_Drainage!$A$5:$A$204&lt;=$B623)*(B_Drainage!$B$5:$B$204&gt;$B623)*(B_Drainage!$G$5:$G$204&lt;&gt;"")),IF(UPPER(B_Drainage!$G$5:$G$204)="Y",1,"")),"")</f>
        <v/>
      </c>
      <c r="Y623" s="181" t="str">
        <f>IFERROR(LOOKUP(2,1/((B_Drainage!$A$5:$A$204&lt;&gt;"")*(B_Drainage!$A$5:$A$204&lt;=$B623)*(B_Drainage!$B$5:$B$204&gt;$B623)*(B_Drainage!$H$5:$H$204&lt;&gt;"")),IF(UPPER(B_Drainage!$H$5:$H$204)="Y",1,"")),"")</f>
        <v/>
      </c>
      <c r="Z623" s="181" t="str">
        <f>IFERROR(LOOKUP(2,1/((B_Drainage!$A$5:$A$204&lt;&gt;"")*(B_Drainage!$A$5:$A$204&lt;=$B623)*(B_Drainage!$B$5:$B$204&gt;$B623)*(B_Drainage!$I$5:$I$204&lt;&gt;"")),IF(UPPER(B_Drainage!$I$5:$I$204)="Y",1,"")),"")</f>
        <v/>
      </c>
      <c r="AA623" s="181" t="str">
        <f>IFERROR(LOOKUP(2,1/((B_Drainage!$A$5:$A$204&lt;&gt;"")*(B_Drainage!$A$5:$A$204&lt;=$B623)*(B_Drainage!$B$5:$B$204&gt;$B623)*(B_Drainage!$J$5:$J$204&lt;&gt;"")),IF(UPPER(B_Drainage!$J$5:$J$204)="Y",1,"")),"")</f>
        <v/>
      </c>
      <c r="AB623" s="182" t="str">
        <f>IFERROR(LOOKUP(2,1/((B_Drainage!$A$5:$A$204&lt;&gt;"")*(B_Drainage!$A$5:$A$204&lt;=$B623)*(B_Drainage!$B$5:$B$204&gt;$B623)*(B_Drainage!$K$5:$K$204&lt;&gt;"")),IF(B_Drainage!$K$5:$K$204="-","",B_Drainage!$K$5:$K$204)),"")</f>
        <v/>
      </c>
      <c r="AC623" s="182" t="str">
        <f>IFERROR(LOOKUP(2,1/((B_Drainage!$A$5:$A$204&lt;&gt;"")*(B_Drainage!$A$5:$A$204&lt;=$B623)*(B_Drainage!$B$5:$B$204&gt;$B623)*(B_Drainage!$L$5:$L$204&lt;&gt;"")),IF(B_Drainage!$L$5:$L$204="-","",B_Drainage!$L$5:$L$204)),"")</f>
        <v/>
      </c>
      <c r="AD623" s="182" t="str">
        <f>IFERROR(LOOKUP(2,1/((D_Points!$A$5:$A$204&lt;&gt;"")*(D_Points!$A$5:$A$204&gt;=$B623)*(D_Points!$A$5:$A$204&lt;$B623+P_Interval)*(UPPER(TRIM(D_Points!$B$5:$B$204))="TURNOUT_L")*(D_Points!$H$5:$H$204&lt;&gt;"")),D_Points!$H$5:$H$204),"")</f>
        <v/>
      </c>
      <c r="AE623" s="182" t="str">
        <f>IFERROR(LOOKUP(2,1/((D_Points!$A$5:$A$204&lt;&gt;"")*(D_Points!$A$5:$A$204&gt;=$B623)*(D_Points!$A$5:$A$204&lt;$B623+P_Interval)*(UPPER(TRIM(D_Points!$B$5:$B$204))="TURNOUT_R")*(D_Points!$H$5:$H$204&lt;&gt;"")),D_Points!$H$5:$H$204),"")</f>
        <v/>
      </c>
      <c r="AF623" s="181" t="str">
        <f>IFERROR(LOOKUP(2,1/((B_Drainage!$A$5:$A$204&lt;&gt;"")*(B_Drainage!$A$5:$A$204&lt;=$B623)*(B_Drainage!$B$5:$B$204&gt;$B623)*(B_Drainage!$M$5:$M$204&lt;&gt;"")),IF(UPPER(B_Drainage!$M$5:$M$204)="Y",1,"")),"")</f>
        <v/>
      </c>
      <c r="AG623" s="181" t="str">
        <f>IFERROR(LOOKUP(2,1/((B_Drainage!$A$5:$A$204&lt;&gt;"")*(B_Drainage!$A$5:$A$204&lt;=$B623)*(B_Drainage!$B$5:$B$204&gt;$B623)*(B_Drainage!$N$5:$N$204&lt;&gt;"")),IF(UPPER(B_Drainage!$N$5:$N$204)="Y",1,"")),"")</f>
        <v/>
      </c>
      <c r="AH623" s="181" t="str">
        <f t="shared" si="72"/>
        <v/>
      </c>
      <c r="AI623" s="181" t="str">
        <f t="shared" si="73"/>
        <v/>
      </c>
      <c r="AJ623" s="181" t="str">
        <f t="shared" si="74"/>
        <v/>
      </c>
      <c r="AK623" s="181" t="str">
        <f t="shared" si="75"/>
        <v/>
      </c>
      <c r="AL623" s="181" t="str">
        <f t="shared" si="76"/>
        <v/>
      </c>
      <c r="AM623" s="181" t="str">
        <f t="shared" si="77"/>
        <v/>
      </c>
      <c r="AN623" s="181" t="str">
        <f t="shared" si="78"/>
        <v/>
      </c>
      <c r="AO623" s="192" t="str">
        <f t="shared" si="79"/>
        <v/>
      </c>
      <c r="AQ623" t="str">
        <f>IFERROR(LOOKUP(2,1/((C_Pavement!$A$5:$A$204&lt;&gt;"")*(C_Pavement!$A$5:$A$204&lt;=$B623)*(C_Pavement!$B$5:$B$204&gt;$B623)*(C_Pavement!$C$5:$C$204&lt;&gt;"")),ROW(C_Pavement!$C$5:$C$204)-4),"")</f>
        <v/>
      </c>
      <c r="AR623" t="str">
        <f>IF($AQ623="","",UPPER(TRIM(INDEX(C_Pavement!$C$5:$C$204,$AQ623))))</f>
        <v/>
      </c>
      <c r="AS623" t="str">
        <f>IF($AR623="","",IFERROR(MATCH($AR623,E_Rules!$A$5:$A$9,0),""))</f>
        <v/>
      </c>
      <c r="AT623" t="str">
        <f>IF($AQ623="","",IF(INDEX(C_Pavement!$D$5:$D$204,$AQ623)&lt;&gt;"",UPPER(TRIM(INDEX(C_Pavement!$D$5:$D$204,$AQ623))),IF($AS623="","",INDEX(E_Rules!$C$5:$C$9,$AS623))))</f>
        <v/>
      </c>
      <c r="AU623" t="str">
        <f>IF($AQ623="","",IF(INDEX(C_Pavement!$E$5:$E$204,$AQ623)&lt;&gt;"",IF(INDEX(C_Pavement!$E$5:$E$204,$AQ623)="-","",INDEX(C_Pavement!$E$5:$E$204,$AQ623)),IF($AS623="","",INDEX(E_Rules!$D$5:$D$9,$AS623))))</f>
        <v/>
      </c>
      <c r="AV623" t="str">
        <f>IF($AQ623="","",IF(INDEX(C_Pavement!$F$5:$F$204,$AQ623)&lt;&gt;"",IF(INDEX(C_Pavement!$F$5:$F$204,$AQ623)="-","",INDEX(C_Pavement!$F$5:$F$204,$AQ623)),IF($AS623="","",INDEX(E_Rules!$E$5:$E$9,$AS623))))</f>
        <v/>
      </c>
      <c r="AW623" t="str">
        <f>IF($AQ623="","",IF(INDEX(C_Pavement!$G$5:$G$204,$AQ623)&lt;&gt;"",IF(INDEX(C_Pavement!$G$5:$G$204,$AQ623)="-","",INDEX(C_Pavement!$G$5:$G$204,$AQ623)),IF($AS623="","",INDEX(E_Rules!$F$5:$F$9,$AS623))))</f>
        <v/>
      </c>
      <c r="AX623" t="str">
        <f>IF($AQ623="","",IF(INDEX(C_Pavement!$H$5:$H$204,$AQ623)&lt;&gt;"",IF(INDEX(C_Pavement!$H$5:$H$204,$AQ623)="-","",INDEX(C_Pavement!$H$5:$H$204,$AQ623)),IF($AS623="","",INDEX(E_Rules!$G$5:$G$9,$AS623))))</f>
        <v/>
      </c>
      <c r="AY623" t="str">
        <f>IF($AQ623="","",IF(INDEX(C_Pavement!$I$5:$I$204,$AQ623)&lt;&gt;"",IF(INDEX(C_Pavement!$I$5:$I$204,$AQ623)="-","",INDEX(C_Pavement!$I$5:$I$204,$AQ623)),IF($AS623="","",INDEX(E_Rules!$H$5:$H$9,$AS623))))</f>
        <v/>
      </c>
    </row>
    <row r="624" spans="1:51" ht="15.75" customHeight="1" x14ac:dyDescent="0.3">
      <c r="A624" s="189">
        <v>619</v>
      </c>
      <c r="B624" s="180">
        <v>30900</v>
      </c>
      <c r="C624" s="180" t="s">
        <v>930</v>
      </c>
      <c r="D624" s="181" t="str">
        <f>IFERROR(LOOKUP(2,1/((A_Corridor!$A$5:$A$204&lt;&gt;"")*(A_Corridor!$A$5:$A$204&lt;=$B624)*(A_Corridor!$B$5:$B$204&gt;$B624)*(A_Corridor!$C$5:$C$204&lt;&gt;"")),IF(UPPER(A_Corridor!$C$5:$C$204)="Y",1,"")),"")</f>
        <v/>
      </c>
      <c r="E624" s="181" t="str">
        <f>IFERROR(LOOKUP(2,1/((A_Corridor!$A$5:$A$204&lt;&gt;"")*(A_Corridor!$A$5:$A$204&lt;=$B624)*(A_Corridor!$B$5:$B$204&gt;$B624)*(A_Corridor!$D$5:$D$204&lt;&gt;"")),IF(A_Corridor!$D$5:$D$204="-","",UPPER(A_Corridor!$D$5:$D$204))),"")</f>
        <v/>
      </c>
      <c r="F624" s="181" t="str">
        <f>IFERROR(LOOKUP(2,1/((A_Corridor!$A$5:$A$204&lt;&gt;"")*(A_Corridor!$A$5:$A$204&lt;=$B624)*(A_Corridor!$B$5:$B$204&gt;$B624)*(A_Corridor!$E$5:$E$204&lt;&gt;"")),IF(A_Corridor!$E$5:$E$204="-","",1)),"")</f>
        <v/>
      </c>
      <c r="G624" s="182" t="str">
        <f>IFERROR(LOOKUP(2,1/((A_Corridor!$A$5:$A$204&lt;&gt;"")*(A_Corridor!$A$5:$A$204&lt;=$B624)*(A_Corridor!$B$5:$B$204&gt;$B624)*(A_Corridor!$E$5:$E$204&lt;&gt;"")),IF(A_Corridor!$E$5:$E$204="-","",A_Corridor!$E$5:$E$204)),"")</f>
        <v/>
      </c>
      <c r="H624" s="182" t="str">
        <f>IFERROR(LOOKUP(2,1/((D_Points!$A$5:$A$204&lt;&gt;"")*(D_Points!$A$5:$A$204&gt;=$B624)*(D_Points!$A$5:$A$204&lt;$B624+P_Interval)*(UPPER(TRIM(D_Points!$B$5:$B$204))="GULLY")*(D_Points!$H$5:$H$204&lt;&gt;"")),D_Points!$H$5:$H$204),"")</f>
        <v/>
      </c>
      <c r="I624" s="181" t="str">
        <f>IFERROR(LOOKUP(2,1/((A_Corridor!$A$5:$A$204&lt;&gt;"")*(A_Corridor!$A$5:$A$204&lt;=$B624)*(A_Corridor!$B$5:$B$204&gt;$B624)*(A_Corridor!$F$5:$F$204&lt;&gt;"")),IF(A_Corridor!$F$5:$F$204="-","",1)),"")</f>
        <v/>
      </c>
      <c r="J624" s="182" t="str">
        <f>IFERROR(LOOKUP(2,1/((A_Corridor!$A$5:$A$204&lt;&gt;"")*(A_Corridor!$A$5:$A$204&lt;=$B624)*(A_Corridor!$B$5:$B$204&gt;$B624)*(A_Corridor!$F$5:$F$204&lt;&gt;"")),IF(A_Corridor!$F$5:$F$204="-","",A_Corridor!$F$5:$F$204)),"")</f>
        <v/>
      </c>
      <c r="K624" s="182" t="str">
        <f>IFERROR(LOOKUP(2,1/((A_Corridor!$A$5:$A$204&lt;&gt;"")*(A_Corridor!$A$5:$A$204&lt;=$B624)*(A_Corridor!$B$5:$B$204&gt;$B624)*(A_Corridor!$G$5:$G$204&lt;&gt;"")),IF(A_Corridor!$G$5:$G$204="-","",A_Corridor!$G$5:$G$204)),"")</f>
        <v/>
      </c>
      <c r="L624" s="181" t="str">
        <f>IFERROR(LOOKUP(2,1/((A_Corridor!$A$5:$A$204&lt;&gt;"")*(A_Corridor!$A$5:$A$204&lt;=$B624)*(A_Corridor!$B$5:$B$204&gt;$B624)*(A_Corridor!$H$5:$H$204&lt;&gt;"")),IF(A_Corridor!$H$5:$H$204="-","",1)),"")</f>
        <v/>
      </c>
      <c r="M624" s="182" t="str">
        <f>IFERROR(LOOKUP(2,1/((A_Corridor!$A$5:$A$204&lt;&gt;"")*(A_Corridor!$A$5:$A$204&lt;=$B624)*(A_Corridor!$B$5:$B$204&gt;$B624)*(A_Corridor!$H$5:$H$204&lt;&gt;"")),IF(A_Corridor!$H$5:$H$204="-","",A_Corridor!$H$5:$H$204)),"")</f>
        <v/>
      </c>
      <c r="N624" s="182" t="str">
        <f>IFERROR(LOOKUP(2,1/((A_Corridor!$A$5:$A$204&lt;&gt;"")*(A_Corridor!$A$5:$A$204&lt;=$B624)*(A_Corridor!$B$5:$B$204&gt;$B624)*(A_Corridor!$I$5:$I$204&lt;&gt;"")),IF(A_Corridor!$I$5:$I$204="-","",A_Corridor!$I$5:$I$204)),"")</f>
        <v/>
      </c>
      <c r="O624" s="182" t="str">
        <f>IFERROR(LOOKUP(2,1/((D_Points!$A$5:$A$204&lt;&gt;"")*(D_Points!$A$5:$A$204&gt;=$B624)*(D_Points!$A$5:$A$204&lt;$B624+P_Interval)*(UPPER(TRIM(D_Points!$B$5:$B$204))="PITCHING")*(D_Points!$H$5:$H$204&lt;&gt;"")),D_Points!$H$5:$H$204),"")</f>
        <v/>
      </c>
      <c r="P624" s="181" t="str">
        <f>IFERROR(LOOKUP(2,1/((B_Drainage!$A$5:$A$204&lt;&gt;"")*(B_Drainage!$A$5:$A$204&lt;=$B624)*(B_Drainage!$B$5:$B$204&gt;$B624)*(B_Drainage!$C$5:$C$204&lt;&gt;"")),IF(B_Drainage!$C$5:$C$204="-","",UPPER(B_Drainage!$C$5:$C$204))),"")</f>
        <v/>
      </c>
      <c r="Q624" s="181" t="str">
        <f>IFERROR(LOOKUP(2,1/((B_Drainage!$A$5:$A$204&lt;&gt;"")*(B_Drainage!$A$5:$A$204&lt;=$B624)*(B_Drainage!$B$5:$B$204&gt;$B624)*(B_Drainage!$D$5:$D$204&lt;&gt;"")),IF(B_Drainage!$D$5:$D$204="-","",UPPER(B_Drainage!$D$5:$D$204))),"")</f>
        <v/>
      </c>
      <c r="R624" s="182" t="str">
        <f>IFERROR(LOOKUP(2,1/((D_Points!$A$5:$A$204&lt;&gt;"")*(D_Points!$A$5:$A$204&gt;=$B624)*(D_Points!$A$5:$A$204&lt;$B624+P_Interval)*(RIGHT(UPPER(TRIM(D_Points!$B$5:$B$204)),8)="_CULVERT")),IF(LEFT(UPPER(TRIM(D_Points!$B$5:$B$204)),2)="EX",1,IF(LEFT(UPPER(TRIM(D_Points!$B$5:$B$204)),2)="PR",2,3))),"")</f>
        <v/>
      </c>
      <c r="S624" s="182" t="str">
        <f>IFERROR(LOOKUP(2,1/((D_Points!$A$5:$A$204&lt;&gt;"")*(D_Points!$A$5:$A$204&gt;=$B624)*(D_Points!$A$5:$A$204&lt;$B624+P_Interval)*(RIGHT(UPPER(TRIM(D_Points!$B$5:$B$204)),7)="_BRIDGE")),IF(LEFT(UPPER(TRIM(D_Points!$B$5:$B$204)),2)="EX",1,IF(LEFT(UPPER(TRIM(D_Points!$B$5:$B$204)),2)="PR",2,2))),"")</f>
        <v/>
      </c>
      <c r="T624" s="181" t="str">
        <f>IFERROR(LOOKUP(2,1/((B_Drainage!$A$5:$A$204&lt;&gt;"")*(B_Drainage!$A$5:$A$204&lt;=$B624)*(B_Drainage!$B$5:$B$204&gt;$B624)*(B_Drainage!$E$5:$E$204&lt;&gt;"")),IF(B_Drainage!$E$5:$E$204="-","",1)),"")</f>
        <v/>
      </c>
      <c r="U624" s="181" t="str">
        <f>IFERROR(LOOKUP(2,1/((B_Drainage!$A$5:$A$204&lt;&gt;"")*(B_Drainage!$A$5:$A$204&lt;=$B624)*(B_Drainage!$B$5:$B$204&gt;$B624)*(B_Drainage!$E$5:$E$204&lt;&gt;"")),IF(B_Drainage!$E$5:$E$204="-","",B_Drainage!$E$5:$E$204)),"")</f>
        <v/>
      </c>
      <c r="V624" s="181" t="str">
        <f>IFERROR(LOOKUP(2,1/((B_Drainage!$A$5:$A$204&lt;&gt;"")*(B_Drainage!$A$5:$A$204&lt;=$B624)*(B_Drainage!$B$5:$B$204&gt;$B624)*(B_Drainage!$F$5:$F$204&lt;&gt;"")),IF(B_Drainage!$F$5:$F$204="-","",1)),"")</f>
        <v/>
      </c>
      <c r="W624" s="181" t="str">
        <f>IFERROR(LOOKUP(2,1/((B_Drainage!$A$5:$A$204&lt;&gt;"")*(B_Drainage!$A$5:$A$204&lt;=$B624)*(B_Drainage!$B$5:$B$204&gt;$B624)*(B_Drainage!$F$5:$F$204&lt;&gt;"")),IF(B_Drainage!$F$5:$F$204="-","",B_Drainage!$F$5:$F$204)),"")</f>
        <v/>
      </c>
      <c r="X624" s="181" t="str">
        <f>IFERROR(LOOKUP(2,1/((B_Drainage!$A$5:$A$204&lt;&gt;"")*(B_Drainage!$A$5:$A$204&lt;=$B624)*(B_Drainage!$B$5:$B$204&gt;$B624)*(B_Drainage!$G$5:$G$204&lt;&gt;"")),IF(UPPER(B_Drainage!$G$5:$G$204)="Y",1,"")),"")</f>
        <v/>
      </c>
      <c r="Y624" s="181" t="str">
        <f>IFERROR(LOOKUP(2,1/((B_Drainage!$A$5:$A$204&lt;&gt;"")*(B_Drainage!$A$5:$A$204&lt;=$B624)*(B_Drainage!$B$5:$B$204&gt;$B624)*(B_Drainage!$H$5:$H$204&lt;&gt;"")),IF(UPPER(B_Drainage!$H$5:$H$204)="Y",1,"")),"")</f>
        <v/>
      </c>
      <c r="Z624" s="181" t="str">
        <f>IFERROR(LOOKUP(2,1/((B_Drainage!$A$5:$A$204&lt;&gt;"")*(B_Drainage!$A$5:$A$204&lt;=$B624)*(B_Drainage!$B$5:$B$204&gt;$B624)*(B_Drainage!$I$5:$I$204&lt;&gt;"")),IF(UPPER(B_Drainage!$I$5:$I$204)="Y",1,"")),"")</f>
        <v/>
      </c>
      <c r="AA624" s="181" t="str">
        <f>IFERROR(LOOKUP(2,1/((B_Drainage!$A$5:$A$204&lt;&gt;"")*(B_Drainage!$A$5:$A$204&lt;=$B624)*(B_Drainage!$B$5:$B$204&gt;$B624)*(B_Drainage!$J$5:$J$204&lt;&gt;"")),IF(UPPER(B_Drainage!$J$5:$J$204)="Y",1,"")),"")</f>
        <v/>
      </c>
      <c r="AB624" s="182" t="str">
        <f>IFERROR(LOOKUP(2,1/((B_Drainage!$A$5:$A$204&lt;&gt;"")*(B_Drainage!$A$5:$A$204&lt;=$B624)*(B_Drainage!$B$5:$B$204&gt;$B624)*(B_Drainage!$K$5:$K$204&lt;&gt;"")),IF(B_Drainage!$K$5:$K$204="-","",B_Drainage!$K$5:$K$204)),"")</f>
        <v/>
      </c>
      <c r="AC624" s="182" t="str">
        <f>IFERROR(LOOKUP(2,1/((B_Drainage!$A$5:$A$204&lt;&gt;"")*(B_Drainage!$A$5:$A$204&lt;=$B624)*(B_Drainage!$B$5:$B$204&gt;$B624)*(B_Drainage!$L$5:$L$204&lt;&gt;"")),IF(B_Drainage!$L$5:$L$204="-","",B_Drainage!$L$5:$L$204)),"")</f>
        <v/>
      </c>
      <c r="AD624" s="182" t="str">
        <f>IFERROR(LOOKUP(2,1/((D_Points!$A$5:$A$204&lt;&gt;"")*(D_Points!$A$5:$A$204&gt;=$B624)*(D_Points!$A$5:$A$204&lt;$B624+P_Interval)*(UPPER(TRIM(D_Points!$B$5:$B$204))="TURNOUT_L")*(D_Points!$H$5:$H$204&lt;&gt;"")),D_Points!$H$5:$H$204),"")</f>
        <v/>
      </c>
      <c r="AE624" s="182" t="str">
        <f>IFERROR(LOOKUP(2,1/((D_Points!$A$5:$A$204&lt;&gt;"")*(D_Points!$A$5:$A$204&gt;=$B624)*(D_Points!$A$5:$A$204&lt;$B624+P_Interval)*(UPPER(TRIM(D_Points!$B$5:$B$204))="TURNOUT_R")*(D_Points!$H$5:$H$204&lt;&gt;"")),D_Points!$H$5:$H$204),"")</f>
        <v/>
      </c>
      <c r="AF624" s="181" t="str">
        <f>IFERROR(LOOKUP(2,1/((B_Drainage!$A$5:$A$204&lt;&gt;"")*(B_Drainage!$A$5:$A$204&lt;=$B624)*(B_Drainage!$B$5:$B$204&gt;$B624)*(B_Drainage!$M$5:$M$204&lt;&gt;"")),IF(UPPER(B_Drainage!$M$5:$M$204)="Y",1,"")),"")</f>
        <v/>
      </c>
      <c r="AG624" s="181" t="str">
        <f>IFERROR(LOOKUP(2,1/((B_Drainage!$A$5:$A$204&lt;&gt;"")*(B_Drainage!$A$5:$A$204&lt;=$B624)*(B_Drainage!$B$5:$B$204&gt;$B624)*(B_Drainage!$N$5:$N$204&lt;&gt;"")),IF(UPPER(B_Drainage!$N$5:$N$204)="Y",1,"")),"")</f>
        <v/>
      </c>
      <c r="AH624" s="181" t="str">
        <f t="shared" si="72"/>
        <v/>
      </c>
      <c r="AI624" s="181" t="str">
        <f t="shared" si="73"/>
        <v/>
      </c>
      <c r="AJ624" s="181" t="str">
        <f t="shared" si="74"/>
        <v/>
      </c>
      <c r="AK624" s="181" t="str">
        <f t="shared" si="75"/>
        <v/>
      </c>
      <c r="AL624" s="181" t="str">
        <f t="shared" si="76"/>
        <v/>
      </c>
      <c r="AM624" s="181" t="str">
        <f t="shared" si="77"/>
        <v/>
      </c>
      <c r="AN624" s="181" t="str">
        <f t="shared" si="78"/>
        <v/>
      </c>
      <c r="AO624" s="192" t="str">
        <f t="shared" si="79"/>
        <v/>
      </c>
      <c r="AQ624" t="str">
        <f>IFERROR(LOOKUP(2,1/((C_Pavement!$A$5:$A$204&lt;&gt;"")*(C_Pavement!$A$5:$A$204&lt;=$B624)*(C_Pavement!$B$5:$B$204&gt;$B624)*(C_Pavement!$C$5:$C$204&lt;&gt;"")),ROW(C_Pavement!$C$5:$C$204)-4),"")</f>
        <v/>
      </c>
      <c r="AR624" t="str">
        <f>IF($AQ624="","",UPPER(TRIM(INDEX(C_Pavement!$C$5:$C$204,$AQ624))))</f>
        <v/>
      </c>
      <c r="AS624" t="str">
        <f>IF($AR624="","",IFERROR(MATCH($AR624,E_Rules!$A$5:$A$9,0),""))</f>
        <v/>
      </c>
      <c r="AT624" t="str">
        <f>IF($AQ624="","",IF(INDEX(C_Pavement!$D$5:$D$204,$AQ624)&lt;&gt;"",UPPER(TRIM(INDEX(C_Pavement!$D$5:$D$204,$AQ624))),IF($AS624="","",INDEX(E_Rules!$C$5:$C$9,$AS624))))</f>
        <v/>
      </c>
      <c r="AU624" t="str">
        <f>IF($AQ624="","",IF(INDEX(C_Pavement!$E$5:$E$204,$AQ624)&lt;&gt;"",IF(INDEX(C_Pavement!$E$5:$E$204,$AQ624)="-","",INDEX(C_Pavement!$E$5:$E$204,$AQ624)),IF($AS624="","",INDEX(E_Rules!$D$5:$D$9,$AS624))))</f>
        <v/>
      </c>
      <c r="AV624" t="str">
        <f>IF($AQ624="","",IF(INDEX(C_Pavement!$F$5:$F$204,$AQ624)&lt;&gt;"",IF(INDEX(C_Pavement!$F$5:$F$204,$AQ624)="-","",INDEX(C_Pavement!$F$5:$F$204,$AQ624)),IF($AS624="","",INDEX(E_Rules!$E$5:$E$9,$AS624))))</f>
        <v/>
      </c>
      <c r="AW624" t="str">
        <f>IF($AQ624="","",IF(INDEX(C_Pavement!$G$5:$G$204,$AQ624)&lt;&gt;"",IF(INDEX(C_Pavement!$G$5:$G$204,$AQ624)="-","",INDEX(C_Pavement!$G$5:$G$204,$AQ624)),IF($AS624="","",INDEX(E_Rules!$F$5:$F$9,$AS624))))</f>
        <v/>
      </c>
      <c r="AX624" t="str">
        <f>IF($AQ624="","",IF(INDEX(C_Pavement!$H$5:$H$204,$AQ624)&lt;&gt;"",IF(INDEX(C_Pavement!$H$5:$H$204,$AQ624)="-","",INDEX(C_Pavement!$H$5:$H$204,$AQ624)),IF($AS624="","",INDEX(E_Rules!$G$5:$G$9,$AS624))))</f>
        <v/>
      </c>
      <c r="AY624" t="str">
        <f>IF($AQ624="","",IF(INDEX(C_Pavement!$I$5:$I$204,$AQ624)&lt;&gt;"",IF(INDEX(C_Pavement!$I$5:$I$204,$AQ624)="-","",INDEX(C_Pavement!$I$5:$I$204,$AQ624)),IF($AS624="","",INDEX(E_Rules!$H$5:$H$9,$AS624))))</f>
        <v/>
      </c>
    </row>
    <row r="625" spans="1:51" ht="15.75" customHeight="1" x14ac:dyDescent="0.3">
      <c r="A625" s="189">
        <v>620</v>
      </c>
      <c r="B625" s="180">
        <v>30950</v>
      </c>
      <c r="C625" s="180" t="s">
        <v>931</v>
      </c>
      <c r="D625" s="181" t="str">
        <f>IFERROR(LOOKUP(2,1/((A_Corridor!$A$5:$A$204&lt;&gt;"")*(A_Corridor!$A$5:$A$204&lt;=$B625)*(A_Corridor!$B$5:$B$204&gt;$B625)*(A_Corridor!$C$5:$C$204&lt;&gt;"")),IF(UPPER(A_Corridor!$C$5:$C$204)="Y",1,"")),"")</f>
        <v/>
      </c>
      <c r="E625" s="181" t="str">
        <f>IFERROR(LOOKUP(2,1/((A_Corridor!$A$5:$A$204&lt;&gt;"")*(A_Corridor!$A$5:$A$204&lt;=$B625)*(A_Corridor!$B$5:$B$204&gt;$B625)*(A_Corridor!$D$5:$D$204&lt;&gt;"")),IF(A_Corridor!$D$5:$D$204="-","",UPPER(A_Corridor!$D$5:$D$204))),"")</f>
        <v/>
      </c>
      <c r="F625" s="181" t="str">
        <f>IFERROR(LOOKUP(2,1/((A_Corridor!$A$5:$A$204&lt;&gt;"")*(A_Corridor!$A$5:$A$204&lt;=$B625)*(A_Corridor!$B$5:$B$204&gt;$B625)*(A_Corridor!$E$5:$E$204&lt;&gt;"")),IF(A_Corridor!$E$5:$E$204="-","",1)),"")</f>
        <v/>
      </c>
      <c r="G625" s="182" t="str">
        <f>IFERROR(LOOKUP(2,1/((A_Corridor!$A$5:$A$204&lt;&gt;"")*(A_Corridor!$A$5:$A$204&lt;=$B625)*(A_Corridor!$B$5:$B$204&gt;$B625)*(A_Corridor!$E$5:$E$204&lt;&gt;"")),IF(A_Corridor!$E$5:$E$204="-","",A_Corridor!$E$5:$E$204)),"")</f>
        <v/>
      </c>
      <c r="H625" s="182" t="str">
        <f>IFERROR(LOOKUP(2,1/((D_Points!$A$5:$A$204&lt;&gt;"")*(D_Points!$A$5:$A$204&gt;=$B625)*(D_Points!$A$5:$A$204&lt;$B625+P_Interval)*(UPPER(TRIM(D_Points!$B$5:$B$204))="GULLY")*(D_Points!$H$5:$H$204&lt;&gt;"")),D_Points!$H$5:$H$204),"")</f>
        <v/>
      </c>
      <c r="I625" s="181" t="str">
        <f>IFERROR(LOOKUP(2,1/((A_Corridor!$A$5:$A$204&lt;&gt;"")*(A_Corridor!$A$5:$A$204&lt;=$B625)*(A_Corridor!$B$5:$B$204&gt;$B625)*(A_Corridor!$F$5:$F$204&lt;&gt;"")),IF(A_Corridor!$F$5:$F$204="-","",1)),"")</f>
        <v/>
      </c>
      <c r="J625" s="182" t="str">
        <f>IFERROR(LOOKUP(2,1/((A_Corridor!$A$5:$A$204&lt;&gt;"")*(A_Corridor!$A$5:$A$204&lt;=$B625)*(A_Corridor!$B$5:$B$204&gt;$B625)*(A_Corridor!$F$5:$F$204&lt;&gt;"")),IF(A_Corridor!$F$5:$F$204="-","",A_Corridor!$F$5:$F$204)),"")</f>
        <v/>
      </c>
      <c r="K625" s="182" t="str">
        <f>IFERROR(LOOKUP(2,1/((A_Corridor!$A$5:$A$204&lt;&gt;"")*(A_Corridor!$A$5:$A$204&lt;=$B625)*(A_Corridor!$B$5:$B$204&gt;$B625)*(A_Corridor!$G$5:$G$204&lt;&gt;"")),IF(A_Corridor!$G$5:$G$204="-","",A_Corridor!$G$5:$G$204)),"")</f>
        <v/>
      </c>
      <c r="L625" s="181" t="str">
        <f>IFERROR(LOOKUP(2,1/((A_Corridor!$A$5:$A$204&lt;&gt;"")*(A_Corridor!$A$5:$A$204&lt;=$B625)*(A_Corridor!$B$5:$B$204&gt;$B625)*(A_Corridor!$H$5:$H$204&lt;&gt;"")),IF(A_Corridor!$H$5:$H$204="-","",1)),"")</f>
        <v/>
      </c>
      <c r="M625" s="182" t="str">
        <f>IFERROR(LOOKUP(2,1/((A_Corridor!$A$5:$A$204&lt;&gt;"")*(A_Corridor!$A$5:$A$204&lt;=$B625)*(A_Corridor!$B$5:$B$204&gt;$B625)*(A_Corridor!$H$5:$H$204&lt;&gt;"")),IF(A_Corridor!$H$5:$H$204="-","",A_Corridor!$H$5:$H$204)),"")</f>
        <v/>
      </c>
      <c r="N625" s="182" t="str">
        <f>IFERROR(LOOKUP(2,1/((A_Corridor!$A$5:$A$204&lt;&gt;"")*(A_Corridor!$A$5:$A$204&lt;=$B625)*(A_Corridor!$B$5:$B$204&gt;$B625)*(A_Corridor!$I$5:$I$204&lt;&gt;"")),IF(A_Corridor!$I$5:$I$204="-","",A_Corridor!$I$5:$I$204)),"")</f>
        <v/>
      </c>
      <c r="O625" s="182" t="str">
        <f>IFERROR(LOOKUP(2,1/((D_Points!$A$5:$A$204&lt;&gt;"")*(D_Points!$A$5:$A$204&gt;=$B625)*(D_Points!$A$5:$A$204&lt;$B625+P_Interval)*(UPPER(TRIM(D_Points!$B$5:$B$204))="PITCHING")*(D_Points!$H$5:$H$204&lt;&gt;"")),D_Points!$H$5:$H$204),"")</f>
        <v/>
      </c>
      <c r="P625" s="181" t="str">
        <f>IFERROR(LOOKUP(2,1/((B_Drainage!$A$5:$A$204&lt;&gt;"")*(B_Drainage!$A$5:$A$204&lt;=$B625)*(B_Drainage!$B$5:$B$204&gt;$B625)*(B_Drainage!$C$5:$C$204&lt;&gt;"")),IF(B_Drainage!$C$5:$C$204="-","",UPPER(B_Drainage!$C$5:$C$204))),"")</f>
        <v/>
      </c>
      <c r="Q625" s="181" t="str">
        <f>IFERROR(LOOKUP(2,1/((B_Drainage!$A$5:$A$204&lt;&gt;"")*(B_Drainage!$A$5:$A$204&lt;=$B625)*(B_Drainage!$B$5:$B$204&gt;$B625)*(B_Drainage!$D$5:$D$204&lt;&gt;"")),IF(B_Drainage!$D$5:$D$204="-","",UPPER(B_Drainage!$D$5:$D$204))),"")</f>
        <v/>
      </c>
      <c r="R625" s="182" t="str">
        <f>IFERROR(LOOKUP(2,1/((D_Points!$A$5:$A$204&lt;&gt;"")*(D_Points!$A$5:$A$204&gt;=$B625)*(D_Points!$A$5:$A$204&lt;$B625+P_Interval)*(RIGHT(UPPER(TRIM(D_Points!$B$5:$B$204)),8)="_CULVERT")),IF(LEFT(UPPER(TRIM(D_Points!$B$5:$B$204)),2)="EX",1,IF(LEFT(UPPER(TRIM(D_Points!$B$5:$B$204)),2)="PR",2,3))),"")</f>
        <v/>
      </c>
      <c r="S625" s="182" t="str">
        <f>IFERROR(LOOKUP(2,1/((D_Points!$A$5:$A$204&lt;&gt;"")*(D_Points!$A$5:$A$204&gt;=$B625)*(D_Points!$A$5:$A$204&lt;$B625+P_Interval)*(RIGHT(UPPER(TRIM(D_Points!$B$5:$B$204)),7)="_BRIDGE")),IF(LEFT(UPPER(TRIM(D_Points!$B$5:$B$204)),2)="EX",1,IF(LEFT(UPPER(TRIM(D_Points!$B$5:$B$204)),2)="PR",2,2))),"")</f>
        <v/>
      </c>
      <c r="T625" s="181" t="str">
        <f>IFERROR(LOOKUP(2,1/((B_Drainage!$A$5:$A$204&lt;&gt;"")*(B_Drainage!$A$5:$A$204&lt;=$B625)*(B_Drainage!$B$5:$B$204&gt;$B625)*(B_Drainage!$E$5:$E$204&lt;&gt;"")),IF(B_Drainage!$E$5:$E$204="-","",1)),"")</f>
        <v/>
      </c>
      <c r="U625" s="181" t="str">
        <f>IFERROR(LOOKUP(2,1/((B_Drainage!$A$5:$A$204&lt;&gt;"")*(B_Drainage!$A$5:$A$204&lt;=$B625)*(B_Drainage!$B$5:$B$204&gt;$B625)*(B_Drainage!$E$5:$E$204&lt;&gt;"")),IF(B_Drainage!$E$5:$E$204="-","",B_Drainage!$E$5:$E$204)),"")</f>
        <v/>
      </c>
      <c r="V625" s="181" t="str">
        <f>IFERROR(LOOKUP(2,1/((B_Drainage!$A$5:$A$204&lt;&gt;"")*(B_Drainage!$A$5:$A$204&lt;=$B625)*(B_Drainage!$B$5:$B$204&gt;$B625)*(B_Drainage!$F$5:$F$204&lt;&gt;"")),IF(B_Drainage!$F$5:$F$204="-","",1)),"")</f>
        <v/>
      </c>
      <c r="W625" s="181" t="str">
        <f>IFERROR(LOOKUP(2,1/((B_Drainage!$A$5:$A$204&lt;&gt;"")*(B_Drainage!$A$5:$A$204&lt;=$B625)*(B_Drainage!$B$5:$B$204&gt;$B625)*(B_Drainage!$F$5:$F$204&lt;&gt;"")),IF(B_Drainage!$F$5:$F$204="-","",B_Drainage!$F$5:$F$204)),"")</f>
        <v/>
      </c>
      <c r="X625" s="181" t="str">
        <f>IFERROR(LOOKUP(2,1/((B_Drainage!$A$5:$A$204&lt;&gt;"")*(B_Drainage!$A$5:$A$204&lt;=$B625)*(B_Drainage!$B$5:$B$204&gt;$B625)*(B_Drainage!$G$5:$G$204&lt;&gt;"")),IF(UPPER(B_Drainage!$G$5:$G$204)="Y",1,"")),"")</f>
        <v/>
      </c>
      <c r="Y625" s="181" t="str">
        <f>IFERROR(LOOKUP(2,1/((B_Drainage!$A$5:$A$204&lt;&gt;"")*(B_Drainage!$A$5:$A$204&lt;=$B625)*(B_Drainage!$B$5:$B$204&gt;$B625)*(B_Drainage!$H$5:$H$204&lt;&gt;"")),IF(UPPER(B_Drainage!$H$5:$H$204)="Y",1,"")),"")</f>
        <v/>
      </c>
      <c r="Z625" s="181" t="str">
        <f>IFERROR(LOOKUP(2,1/((B_Drainage!$A$5:$A$204&lt;&gt;"")*(B_Drainage!$A$5:$A$204&lt;=$B625)*(B_Drainage!$B$5:$B$204&gt;$B625)*(B_Drainage!$I$5:$I$204&lt;&gt;"")),IF(UPPER(B_Drainage!$I$5:$I$204)="Y",1,"")),"")</f>
        <v/>
      </c>
      <c r="AA625" s="181" t="str">
        <f>IFERROR(LOOKUP(2,1/((B_Drainage!$A$5:$A$204&lt;&gt;"")*(B_Drainage!$A$5:$A$204&lt;=$B625)*(B_Drainage!$B$5:$B$204&gt;$B625)*(B_Drainage!$J$5:$J$204&lt;&gt;"")),IF(UPPER(B_Drainage!$J$5:$J$204)="Y",1,"")),"")</f>
        <v/>
      </c>
      <c r="AB625" s="182" t="str">
        <f>IFERROR(LOOKUP(2,1/((B_Drainage!$A$5:$A$204&lt;&gt;"")*(B_Drainage!$A$5:$A$204&lt;=$B625)*(B_Drainage!$B$5:$B$204&gt;$B625)*(B_Drainage!$K$5:$K$204&lt;&gt;"")),IF(B_Drainage!$K$5:$K$204="-","",B_Drainage!$K$5:$K$204)),"")</f>
        <v/>
      </c>
      <c r="AC625" s="182" t="str">
        <f>IFERROR(LOOKUP(2,1/((B_Drainage!$A$5:$A$204&lt;&gt;"")*(B_Drainage!$A$5:$A$204&lt;=$B625)*(B_Drainage!$B$5:$B$204&gt;$B625)*(B_Drainage!$L$5:$L$204&lt;&gt;"")),IF(B_Drainage!$L$5:$L$204="-","",B_Drainage!$L$5:$L$204)),"")</f>
        <v/>
      </c>
      <c r="AD625" s="182" t="str">
        <f>IFERROR(LOOKUP(2,1/((D_Points!$A$5:$A$204&lt;&gt;"")*(D_Points!$A$5:$A$204&gt;=$B625)*(D_Points!$A$5:$A$204&lt;$B625+P_Interval)*(UPPER(TRIM(D_Points!$B$5:$B$204))="TURNOUT_L")*(D_Points!$H$5:$H$204&lt;&gt;"")),D_Points!$H$5:$H$204),"")</f>
        <v/>
      </c>
      <c r="AE625" s="182" t="str">
        <f>IFERROR(LOOKUP(2,1/((D_Points!$A$5:$A$204&lt;&gt;"")*(D_Points!$A$5:$A$204&gt;=$B625)*(D_Points!$A$5:$A$204&lt;$B625+P_Interval)*(UPPER(TRIM(D_Points!$B$5:$B$204))="TURNOUT_R")*(D_Points!$H$5:$H$204&lt;&gt;"")),D_Points!$H$5:$H$204),"")</f>
        <v/>
      </c>
      <c r="AF625" s="181" t="str">
        <f>IFERROR(LOOKUP(2,1/((B_Drainage!$A$5:$A$204&lt;&gt;"")*(B_Drainage!$A$5:$A$204&lt;=$B625)*(B_Drainage!$B$5:$B$204&gt;$B625)*(B_Drainage!$M$5:$M$204&lt;&gt;"")),IF(UPPER(B_Drainage!$M$5:$M$204)="Y",1,"")),"")</f>
        <v/>
      </c>
      <c r="AG625" s="181" t="str">
        <f>IFERROR(LOOKUP(2,1/((B_Drainage!$A$5:$A$204&lt;&gt;"")*(B_Drainage!$A$5:$A$204&lt;=$B625)*(B_Drainage!$B$5:$B$204&gt;$B625)*(B_Drainage!$N$5:$N$204&lt;&gt;"")),IF(UPPER(B_Drainage!$N$5:$N$204)="Y",1,"")),"")</f>
        <v/>
      </c>
      <c r="AH625" s="181" t="str">
        <f t="shared" si="72"/>
        <v/>
      </c>
      <c r="AI625" s="181" t="str">
        <f t="shared" si="73"/>
        <v/>
      </c>
      <c r="AJ625" s="181" t="str">
        <f t="shared" si="74"/>
        <v/>
      </c>
      <c r="AK625" s="181" t="str">
        <f t="shared" si="75"/>
        <v/>
      </c>
      <c r="AL625" s="181" t="str">
        <f t="shared" si="76"/>
        <v/>
      </c>
      <c r="AM625" s="181" t="str">
        <f t="shared" si="77"/>
        <v/>
      </c>
      <c r="AN625" s="181" t="str">
        <f t="shared" si="78"/>
        <v/>
      </c>
      <c r="AO625" s="192" t="str">
        <f t="shared" si="79"/>
        <v/>
      </c>
      <c r="AQ625" t="str">
        <f>IFERROR(LOOKUP(2,1/((C_Pavement!$A$5:$A$204&lt;&gt;"")*(C_Pavement!$A$5:$A$204&lt;=$B625)*(C_Pavement!$B$5:$B$204&gt;$B625)*(C_Pavement!$C$5:$C$204&lt;&gt;"")),ROW(C_Pavement!$C$5:$C$204)-4),"")</f>
        <v/>
      </c>
      <c r="AR625" t="str">
        <f>IF($AQ625="","",UPPER(TRIM(INDEX(C_Pavement!$C$5:$C$204,$AQ625))))</f>
        <v/>
      </c>
      <c r="AS625" t="str">
        <f>IF($AR625="","",IFERROR(MATCH($AR625,E_Rules!$A$5:$A$9,0),""))</f>
        <v/>
      </c>
      <c r="AT625" t="str">
        <f>IF($AQ625="","",IF(INDEX(C_Pavement!$D$5:$D$204,$AQ625)&lt;&gt;"",UPPER(TRIM(INDEX(C_Pavement!$D$5:$D$204,$AQ625))),IF($AS625="","",INDEX(E_Rules!$C$5:$C$9,$AS625))))</f>
        <v/>
      </c>
      <c r="AU625" t="str">
        <f>IF($AQ625="","",IF(INDEX(C_Pavement!$E$5:$E$204,$AQ625)&lt;&gt;"",IF(INDEX(C_Pavement!$E$5:$E$204,$AQ625)="-","",INDEX(C_Pavement!$E$5:$E$204,$AQ625)),IF($AS625="","",INDEX(E_Rules!$D$5:$D$9,$AS625))))</f>
        <v/>
      </c>
      <c r="AV625" t="str">
        <f>IF($AQ625="","",IF(INDEX(C_Pavement!$F$5:$F$204,$AQ625)&lt;&gt;"",IF(INDEX(C_Pavement!$F$5:$F$204,$AQ625)="-","",INDEX(C_Pavement!$F$5:$F$204,$AQ625)),IF($AS625="","",INDEX(E_Rules!$E$5:$E$9,$AS625))))</f>
        <v/>
      </c>
      <c r="AW625" t="str">
        <f>IF($AQ625="","",IF(INDEX(C_Pavement!$G$5:$G$204,$AQ625)&lt;&gt;"",IF(INDEX(C_Pavement!$G$5:$G$204,$AQ625)="-","",INDEX(C_Pavement!$G$5:$G$204,$AQ625)),IF($AS625="","",INDEX(E_Rules!$F$5:$F$9,$AS625))))</f>
        <v/>
      </c>
      <c r="AX625" t="str">
        <f>IF($AQ625="","",IF(INDEX(C_Pavement!$H$5:$H$204,$AQ625)&lt;&gt;"",IF(INDEX(C_Pavement!$H$5:$H$204,$AQ625)="-","",INDEX(C_Pavement!$H$5:$H$204,$AQ625)),IF($AS625="","",INDEX(E_Rules!$G$5:$G$9,$AS625))))</f>
        <v/>
      </c>
      <c r="AY625" t="str">
        <f>IF($AQ625="","",IF(INDEX(C_Pavement!$I$5:$I$204,$AQ625)&lt;&gt;"",IF(INDEX(C_Pavement!$I$5:$I$204,$AQ625)="-","",INDEX(C_Pavement!$I$5:$I$204,$AQ625)),IF($AS625="","",INDEX(E_Rules!$H$5:$H$9,$AS625))))</f>
        <v/>
      </c>
    </row>
    <row r="626" spans="1:51" ht="15.75" customHeight="1" x14ac:dyDescent="0.3">
      <c r="A626" s="189">
        <v>621</v>
      </c>
      <c r="B626" s="180">
        <v>31000</v>
      </c>
      <c r="C626" s="180" t="s">
        <v>932</v>
      </c>
      <c r="D626" s="181" t="str">
        <f>IFERROR(LOOKUP(2,1/((A_Corridor!$A$5:$A$204&lt;&gt;"")*(A_Corridor!$A$5:$A$204&lt;=$B626)*(A_Corridor!$B$5:$B$204&gt;$B626)*(A_Corridor!$C$5:$C$204&lt;&gt;"")),IF(UPPER(A_Corridor!$C$5:$C$204)="Y",1,"")),"")</f>
        <v/>
      </c>
      <c r="E626" s="181" t="str">
        <f>IFERROR(LOOKUP(2,1/((A_Corridor!$A$5:$A$204&lt;&gt;"")*(A_Corridor!$A$5:$A$204&lt;=$B626)*(A_Corridor!$B$5:$B$204&gt;$B626)*(A_Corridor!$D$5:$D$204&lt;&gt;"")),IF(A_Corridor!$D$5:$D$204="-","",UPPER(A_Corridor!$D$5:$D$204))),"")</f>
        <v/>
      </c>
      <c r="F626" s="181" t="str">
        <f>IFERROR(LOOKUP(2,1/((A_Corridor!$A$5:$A$204&lt;&gt;"")*(A_Corridor!$A$5:$A$204&lt;=$B626)*(A_Corridor!$B$5:$B$204&gt;$B626)*(A_Corridor!$E$5:$E$204&lt;&gt;"")),IF(A_Corridor!$E$5:$E$204="-","",1)),"")</f>
        <v/>
      </c>
      <c r="G626" s="182" t="str">
        <f>IFERROR(LOOKUP(2,1/((A_Corridor!$A$5:$A$204&lt;&gt;"")*(A_Corridor!$A$5:$A$204&lt;=$B626)*(A_Corridor!$B$5:$B$204&gt;$B626)*(A_Corridor!$E$5:$E$204&lt;&gt;"")),IF(A_Corridor!$E$5:$E$204="-","",A_Corridor!$E$5:$E$204)),"")</f>
        <v/>
      </c>
      <c r="H626" s="182" t="str">
        <f>IFERROR(LOOKUP(2,1/((D_Points!$A$5:$A$204&lt;&gt;"")*(D_Points!$A$5:$A$204&gt;=$B626)*(D_Points!$A$5:$A$204&lt;$B626+P_Interval)*(UPPER(TRIM(D_Points!$B$5:$B$204))="GULLY")*(D_Points!$H$5:$H$204&lt;&gt;"")),D_Points!$H$5:$H$204),"")</f>
        <v/>
      </c>
      <c r="I626" s="181" t="str">
        <f>IFERROR(LOOKUP(2,1/((A_Corridor!$A$5:$A$204&lt;&gt;"")*(A_Corridor!$A$5:$A$204&lt;=$B626)*(A_Corridor!$B$5:$B$204&gt;$B626)*(A_Corridor!$F$5:$F$204&lt;&gt;"")),IF(A_Corridor!$F$5:$F$204="-","",1)),"")</f>
        <v/>
      </c>
      <c r="J626" s="182" t="str">
        <f>IFERROR(LOOKUP(2,1/((A_Corridor!$A$5:$A$204&lt;&gt;"")*(A_Corridor!$A$5:$A$204&lt;=$B626)*(A_Corridor!$B$5:$B$204&gt;$B626)*(A_Corridor!$F$5:$F$204&lt;&gt;"")),IF(A_Corridor!$F$5:$F$204="-","",A_Corridor!$F$5:$F$204)),"")</f>
        <v/>
      </c>
      <c r="K626" s="182" t="str">
        <f>IFERROR(LOOKUP(2,1/((A_Corridor!$A$5:$A$204&lt;&gt;"")*(A_Corridor!$A$5:$A$204&lt;=$B626)*(A_Corridor!$B$5:$B$204&gt;$B626)*(A_Corridor!$G$5:$G$204&lt;&gt;"")),IF(A_Corridor!$G$5:$G$204="-","",A_Corridor!$G$5:$G$204)),"")</f>
        <v/>
      </c>
      <c r="L626" s="181" t="str">
        <f>IFERROR(LOOKUP(2,1/((A_Corridor!$A$5:$A$204&lt;&gt;"")*(A_Corridor!$A$5:$A$204&lt;=$B626)*(A_Corridor!$B$5:$B$204&gt;$B626)*(A_Corridor!$H$5:$H$204&lt;&gt;"")),IF(A_Corridor!$H$5:$H$204="-","",1)),"")</f>
        <v/>
      </c>
      <c r="M626" s="182" t="str">
        <f>IFERROR(LOOKUP(2,1/((A_Corridor!$A$5:$A$204&lt;&gt;"")*(A_Corridor!$A$5:$A$204&lt;=$B626)*(A_Corridor!$B$5:$B$204&gt;$B626)*(A_Corridor!$H$5:$H$204&lt;&gt;"")),IF(A_Corridor!$H$5:$H$204="-","",A_Corridor!$H$5:$H$204)),"")</f>
        <v/>
      </c>
      <c r="N626" s="182" t="str">
        <f>IFERROR(LOOKUP(2,1/((A_Corridor!$A$5:$A$204&lt;&gt;"")*(A_Corridor!$A$5:$A$204&lt;=$B626)*(A_Corridor!$B$5:$B$204&gt;$B626)*(A_Corridor!$I$5:$I$204&lt;&gt;"")),IF(A_Corridor!$I$5:$I$204="-","",A_Corridor!$I$5:$I$204)),"")</f>
        <v/>
      </c>
      <c r="O626" s="182" t="str">
        <f>IFERROR(LOOKUP(2,1/((D_Points!$A$5:$A$204&lt;&gt;"")*(D_Points!$A$5:$A$204&gt;=$B626)*(D_Points!$A$5:$A$204&lt;$B626+P_Interval)*(UPPER(TRIM(D_Points!$B$5:$B$204))="PITCHING")*(D_Points!$H$5:$H$204&lt;&gt;"")),D_Points!$H$5:$H$204),"")</f>
        <v/>
      </c>
      <c r="P626" s="181" t="str">
        <f>IFERROR(LOOKUP(2,1/((B_Drainage!$A$5:$A$204&lt;&gt;"")*(B_Drainage!$A$5:$A$204&lt;=$B626)*(B_Drainage!$B$5:$B$204&gt;$B626)*(B_Drainage!$C$5:$C$204&lt;&gt;"")),IF(B_Drainage!$C$5:$C$204="-","",UPPER(B_Drainage!$C$5:$C$204))),"")</f>
        <v/>
      </c>
      <c r="Q626" s="181" t="str">
        <f>IFERROR(LOOKUP(2,1/((B_Drainage!$A$5:$A$204&lt;&gt;"")*(B_Drainage!$A$5:$A$204&lt;=$B626)*(B_Drainage!$B$5:$B$204&gt;$B626)*(B_Drainage!$D$5:$D$204&lt;&gt;"")),IF(B_Drainage!$D$5:$D$204="-","",UPPER(B_Drainage!$D$5:$D$204))),"")</f>
        <v/>
      </c>
      <c r="R626" s="182" t="str">
        <f>IFERROR(LOOKUP(2,1/((D_Points!$A$5:$A$204&lt;&gt;"")*(D_Points!$A$5:$A$204&gt;=$B626)*(D_Points!$A$5:$A$204&lt;$B626+P_Interval)*(RIGHT(UPPER(TRIM(D_Points!$B$5:$B$204)),8)="_CULVERT")),IF(LEFT(UPPER(TRIM(D_Points!$B$5:$B$204)),2)="EX",1,IF(LEFT(UPPER(TRIM(D_Points!$B$5:$B$204)),2)="PR",2,3))),"")</f>
        <v/>
      </c>
      <c r="S626" s="182" t="str">
        <f>IFERROR(LOOKUP(2,1/((D_Points!$A$5:$A$204&lt;&gt;"")*(D_Points!$A$5:$A$204&gt;=$B626)*(D_Points!$A$5:$A$204&lt;$B626+P_Interval)*(RIGHT(UPPER(TRIM(D_Points!$B$5:$B$204)),7)="_BRIDGE")),IF(LEFT(UPPER(TRIM(D_Points!$B$5:$B$204)),2)="EX",1,IF(LEFT(UPPER(TRIM(D_Points!$B$5:$B$204)),2)="PR",2,2))),"")</f>
        <v/>
      </c>
      <c r="T626" s="181" t="str">
        <f>IFERROR(LOOKUP(2,1/((B_Drainage!$A$5:$A$204&lt;&gt;"")*(B_Drainage!$A$5:$A$204&lt;=$B626)*(B_Drainage!$B$5:$B$204&gt;$B626)*(B_Drainage!$E$5:$E$204&lt;&gt;"")),IF(B_Drainage!$E$5:$E$204="-","",1)),"")</f>
        <v/>
      </c>
      <c r="U626" s="181" t="str">
        <f>IFERROR(LOOKUP(2,1/((B_Drainage!$A$5:$A$204&lt;&gt;"")*(B_Drainage!$A$5:$A$204&lt;=$B626)*(B_Drainage!$B$5:$B$204&gt;$B626)*(B_Drainage!$E$5:$E$204&lt;&gt;"")),IF(B_Drainage!$E$5:$E$204="-","",B_Drainage!$E$5:$E$204)),"")</f>
        <v/>
      </c>
      <c r="V626" s="181" t="str">
        <f>IFERROR(LOOKUP(2,1/((B_Drainage!$A$5:$A$204&lt;&gt;"")*(B_Drainage!$A$5:$A$204&lt;=$B626)*(B_Drainage!$B$5:$B$204&gt;$B626)*(B_Drainage!$F$5:$F$204&lt;&gt;"")),IF(B_Drainage!$F$5:$F$204="-","",1)),"")</f>
        <v/>
      </c>
      <c r="W626" s="181" t="str">
        <f>IFERROR(LOOKUP(2,1/((B_Drainage!$A$5:$A$204&lt;&gt;"")*(B_Drainage!$A$5:$A$204&lt;=$B626)*(B_Drainage!$B$5:$B$204&gt;$B626)*(B_Drainage!$F$5:$F$204&lt;&gt;"")),IF(B_Drainage!$F$5:$F$204="-","",B_Drainage!$F$5:$F$204)),"")</f>
        <v/>
      </c>
      <c r="X626" s="181" t="str">
        <f>IFERROR(LOOKUP(2,1/((B_Drainage!$A$5:$A$204&lt;&gt;"")*(B_Drainage!$A$5:$A$204&lt;=$B626)*(B_Drainage!$B$5:$B$204&gt;$B626)*(B_Drainage!$G$5:$G$204&lt;&gt;"")),IF(UPPER(B_Drainage!$G$5:$G$204)="Y",1,"")),"")</f>
        <v/>
      </c>
      <c r="Y626" s="181" t="str">
        <f>IFERROR(LOOKUP(2,1/((B_Drainage!$A$5:$A$204&lt;&gt;"")*(B_Drainage!$A$5:$A$204&lt;=$B626)*(B_Drainage!$B$5:$B$204&gt;$B626)*(B_Drainage!$H$5:$H$204&lt;&gt;"")),IF(UPPER(B_Drainage!$H$5:$H$204)="Y",1,"")),"")</f>
        <v/>
      </c>
      <c r="Z626" s="181" t="str">
        <f>IFERROR(LOOKUP(2,1/((B_Drainage!$A$5:$A$204&lt;&gt;"")*(B_Drainage!$A$5:$A$204&lt;=$B626)*(B_Drainage!$B$5:$B$204&gt;$B626)*(B_Drainage!$I$5:$I$204&lt;&gt;"")),IF(UPPER(B_Drainage!$I$5:$I$204)="Y",1,"")),"")</f>
        <v/>
      </c>
      <c r="AA626" s="181" t="str">
        <f>IFERROR(LOOKUP(2,1/((B_Drainage!$A$5:$A$204&lt;&gt;"")*(B_Drainage!$A$5:$A$204&lt;=$B626)*(B_Drainage!$B$5:$B$204&gt;$B626)*(B_Drainage!$J$5:$J$204&lt;&gt;"")),IF(UPPER(B_Drainage!$J$5:$J$204)="Y",1,"")),"")</f>
        <v/>
      </c>
      <c r="AB626" s="182" t="str">
        <f>IFERROR(LOOKUP(2,1/((B_Drainage!$A$5:$A$204&lt;&gt;"")*(B_Drainage!$A$5:$A$204&lt;=$B626)*(B_Drainage!$B$5:$B$204&gt;$B626)*(B_Drainage!$K$5:$K$204&lt;&gt;"")),IF(B_Drainage!$K$5:$K$204="-","",B_Drainage!$K$5:$K$204)),"")</f>
        <v/>
      </c>
      <c r="AC626" s="182" t="str">
        <f>IFERROR(LOOKUP(2,1/((B_Drainage!$A$5:$A$204&lt;&gt;"")*(B_Drainage!$A$5:$A$204&lt;=$B626)*(B_Drainage!$B$5:$B$204&gt;$B626)*(B_Drainage!$L$5:$L$204&lt;&gt;"")),IF(B_Drainage!$L$5:$L$204="-","",B_Drainage!$L$5:$L$204)),"")</f>
        <v/>
      </c>
      <c r="AD626" s="182" t="str">
        <f>IFERROR(LOOKUP(2,1/((D_Points!$A$5:$A$204&lt;&gt;"")*(D_Points!$A$5:$A$204&gt;=$B626)*(D_Points!$A$5:$A$204&lt;$B626+P_Interval)*(UPPER(TRIM(D_Points!$B$5:$B$204))="TURNOUT_L")*(D_Points!$H$5:$H$204&lt;&gt;"")),D_Points!$H$5:$H$204),"")</f>
        <v/>
      </c>
      <c r="AE626" s="182" t="str">
        <f>IFERROR(LOOKUP(2,1/((D_Points!$A$5:$A$204&lt;&gt;"")*(D_Points!$A$5:$A$204&gt;=$B626)*(D_Points!$A$5:$A$204&lt;$B626+P_Interval)*(UPPER(TRIM(D_Points!$B$5:$B$204))="TURNOUT_R")*(D_Points!$H$5:$H$204&lt;&gt;"")),D_Points!$H$5:$H$204),"")</f>
        <v/>
      </c>
      <c r="AF626" s="181" t="str">
        <f>IFERROR(LOOKUP(2,1/((B_Drainage!$A$5:$A$204&lt;&gt;"")*(B_Drainage!$A$5:$A$204&lt;=$B626)*(B_Drainage!$B$5:$B$204&gt;$B626)*(B_Drainage!$M$5:$M$204&lt;&gt;"")),IF(UPPER(B_Drainage!$M$5:$M$204)="Y",1,"")),"")</f>
        <v/>
      </c>
      <c r="AG626" s="181" t="str">
        <f>IFERROR(LOOKUP(2,1/((B_Drainage!$A$5:$A$204&lt;&gt;"")*(B_Drainage!$A$5:$A$204&lt;=$B626)*(B_Drainage!$B$5:$B$204&gt;$B626)*(B_Drainage!$N$5:$N$204&lt;&gt;"")),IF(UPPER(B_Drainage!$N$5:$N$204)="Y",1,"")),"")</f>
        <v/>
      </c>
      <c r="AH626" s="181" t="str">
        <f t="shared" si="72"/>
        <v/>
      </c>
      <c r="AI626" s="181" t="str">
        <f t="shared" si="73"/>
        <v/>
      </c>
      <c r="AJ626" s="181" t="str">
        <f t="shared" si="74"/>
        <v/>
      </c>
      <c r="AK626" s="181" t="str">
        <f t="shared" si="75"/>
        <v/>
      </c>
      <c r="AL626" s="181" t="str">
        <f t="shared" si="76"/>
        <v/>
      </c>
      <c r="AM626" s="181" t="str">
        <f t="shared" si="77"/>
        <v/>
      </c>
      <c r="AN626" s="181" t="str">
        <f t="shared" si="78"/>
        <v/>
      </c>
      <c r="AO626" s="192" t="str">
        <f t="shared" si="79"/>
        <v/>
      </c>
      <c r="AQ626" t="str">
        <f>IFERROR(LOOKUP(2,1/((C_Pavement!$A$5:$A$204&lt;&gt;"")*(C_Pavement!$A$5:$A$204&lt;=$B626)*(C_Pavement!$B$5:$B$204&gt;$B626)*(C_Pavement!$C$5:$C$204&lt;&gt;"")),ROW(C_Pavement!$C$5:$C$204)-4),"")</f>
        <v/>
      </c>
      <c r="AR626" t="str">
        <f>IF($AQ626="","",UPPER(TRIM(INDEX(C_Pavement!$C$5:$C$204,$AQ626))))</f>
        <v/>
      </c>
      <c r="AS626" t="str">
        <f>IF($AR626="","",IFERROR(MATCH($AR626,E_Rules!$A$5:$A$9,0),""))</f>
        <v/>
      </c>
      <c r="AT626" t="str">
        <f>IF($AQ626="","",IF(INDEX(C_Pavement!$D$5:$D$204,$AQ626)&lt;&gt;"",UPPER(TRIM(INDEX(C_Pavement!$D$5:$D$204,$AQ626))),IF($AS626="","",INDEX(E_Rules!$C$5:$C$9,$AS626))))</f>
        <v/>
      </c>
      <c r="AU626" t="str">
        <f>IF($AQ626="","",IF(INDEX(C_Pavement!$E$5:$E$204,$AQ626)&lt;&gt;"",IF(INDEX(C_Pavement!$E$5:$E$204,$AQ626)="-","",INDEX(C_Pavement!$E$5:$E$204,$AQ626)),IF($AS626="","",INDEX(E_Rules!$D$5:$D$9,$AS626))))</f>
        <v/>
      </c>
      <c r="AV626" t="str">
        <f>IF($AQ626="","",IF(INDEX(C_Pavement!$F$5:$F$204,$AQ626)&lt;&gt;"",IF(INDEX(C_Pavement!$F$5:$F$204,$AQ626)="-","",INDEX(C_Pavement!$F$5:$F$204,$AQ626)),IF($AS626="","",INDEX(E_Rules!$E$5:$E$9,$AS626))))</f>
        <v/>
      </c>
      <c r="AW626" t="str">
        <f>IF($AQ626="","",IF(INDEX(C_Pavement!$G$5:$G$204,$AQ626)&lt;&gt;"",IF(INDEX(C_Pavement!$G$5:$G$204,$AQ626)="-","",INDEX(C_Pavement!$G$5:$G$204,$AQ626)),IF($AS626="","",INDEX(E_Rules!$F$5:$F$9,$AS626))))</f>
        <v/>
      </c>
      <c r="AX626" t="str">
        <f>IF($AQ626="","",IF(INDEX(C_Pavement!$H$5:$H$204,$AQ626)&lt;&gt;"",IF(INDEX(C_Pavement!$H$5:$H$204,$AQ626)="-","",INDEX(C_Pavement!$H$5:$H$204,$AQ626)),IF($AS626="","",INDEX(E_Rules!$G$5:$G$9,$AS626))))</f>
        <v/>
      </c>
      <c r="AY626" t="str">
        <f>IF($AQ626="","",IF(INDEX(C_Pavement!$I$5:$I$204,$AQ626)&lt;&gt;"",IF(INDEX(C_Pavement!$I$5:$I$204,$AQ626)="-","",INDEX(C_Pavement!$I$5:$I$204,$AQ626)),IF($AS626="","",INDEX(E_Rules!$H$5:$H$9,$AS626))))</f>
        <v/>
      </c>
    </row>
    <row r="627" spans="1:51" ht="15.75" customHeight="1" x14ac:dyDescent="0.3">
      <c r="A627" s="189">
        <v>622</v>
      </c>
      <c r="B627" s="180">
        <v>31050</v>
      </c>
      <c r="C627" s="180" t="s">
        <v>933</v>
      </c>
      <c r="D627" s="181" t="str">
        <f>IFERROR(LOOKUP(2,1/((A_Corridor!$A$5:$A$204&lt;&gt;"")*(A_Corridor!$A$5:$A$204&lt;=$B627)*(A_Corridor!$B$5:$B$204&gt;$B627)*(A_Corridor!$C$5:$C$204&lt;&gt;"")),IF(UPPER(A_Corridor!$C$5:$C$204)="Y",1,"")),"")</f>
        <v/>
      </c>
      <c r="E627" s="181" t="str">
        <f>IFERROR(LOOKUP(2,1/((A_Corridor!$A$5:$A$204&lt;&gt;"")*(A_Corridor!$A$5:$A$204&lt;=$B627)*(A_Corridor!$B$5:$B$204&gt;$B627)*(A_Corridor!$D$5:$D$204&lt;&gt;"")),IF(A_Corridor!$D$5:$D$204="-","",UPPER(A_Corridor!$D$5:$D$204))),"")</f>
        <v/>
      </c>
      <c r="F627" s="181" t="str">
        <f>IFERROR(LOOKUP(2,1/((A_Corridor!$A$5:$A$204&lt;&gt;"")*(A_Corridor!$A$5:$A$204&lt;=$B627)*(A_Corridor!$B$5:$B$204&gt;$B627)*(A_Corridor!$E$5:$E$204&lt;&gt;"")),IF(A_Corridor!$E$5:$E$204="-","",1)),"")</f>
        <v/>
      </c>
      <c r="G627" s="182" t="str">
        <f>IFERROR(LOOKUP(2,1/((A_Corridor!$A$5:$A$204&lt;&gt;"")*(A_Corridor!$A$5:$A$204&lt;=$B627)*(A_Corridor!$B$5:$B$204&gt;$B627)*(A_Corridor!$E$5:$E$204&lt;&gt;"")),IF(A_Corridor!$E$5:$E$204="-","",A_Corridor!$E$5:$E$204)),"")</f>
        <v/>
      </c>
      <c r="H627" s="182" t="str">
        <f>IFERROR(LOOKUP(2,1/((D_Points!$A$5:$A$204&lt;&gt;"")*(D_Points!$A$5:$A$204&gt;=$B627)*(D_Points!$A$5:$A$204&lt;$B627+P_Interval)*(UPPER(TRIM(D_Points!$B$5:$B$204))="GULLY")*(D_Points!$H$5:$H$204&lt;&gt;"")),D_Points!$H$5:$H$204),"")</f>
        <v/>
      </c>
      <c r="I627" s="181" t="str">
        <f>IFERROR(LOOKUP(2,1/((A_Corridor!$A$5:$A$204&lt;&gt;"")*(A_Corridor!$A$5:$A$204&lt;=$B627)*(A_Corridor!$B$5:$B$204&gt;$B627)*(A_Corridor!$F$5:$F$204&lt;&gt;"")),IF(A_Corridor!$F$5:$F$204="-","",1)),"")</f>
        <v/>
      </c>
      <c r="J627" s="182" t="str">
        <f>IFERROR(LOOKUP(2,1/((A_Corridor!$A$5:$A$204&lt;&gt;"")*(A_Corridor!$A$5:$A$204&lt;=$B627)*(A_Corridor!$B$5:$B$204&gt;$B627)*(A_Corridor!$F$5:$F$204&lt;&gt;"")),IF(A_Corridor!$F$5:$F$204="-","",A_Corridor!$F$5:$F$204)),"")</f>
        <v/>
      </c>
      <c r="K627" s="182" t="str">
        <f>IFERROR(LOOKUP(2,1/((A_Corridor!$A$5:$A$204&lt;&gt;"")*(A_Corridor!$A$5:$A$204&lt;=$B627)*(A_Corridor!$B$5:$B$204&gt;$B627)*(A_Corridor!$G$5:$G$204&lt;&gt;"")),IF(A_Corridor!$G$5:$G$204="-","",A_Corridor!$G$5:$G$204)),"")</f>
        <v/>
      </c>
      <c r="L627" s="181" t="str">
        <f>IFERROR(LOOKUP(2,1/((A_Corridor!$A$5:$A$204&lt;&gt;"")*(A_Corridor!$A$5:$A$204&lt;=$B627)*(A_Corridor!$B$5:$B$204&gt;$B627)*(A_Corridor!$H$5:$H$204&lt;&gt;"")),IF(A_Corridor!$H$5:$H$204="-","",1)),"")</f>
        <v/>
      </c>
      <c r="M627" s="182" t="str">
        <f>IFERROR(LOOKUP(2,1/((A_Corridor!$A$5:$A$204&lt;&gt;"")*(A_Corridor!$A$5:$A$204&lt;=$B627)*(A_Corridor!$B$5:$B$204&gt;$B627)*(A_Corridor!$H$5:$H$204&lt;&gt;"")),IF(A_Corridor!$H$5:$H$204="-","",A_Corridor!$H$5:$H$204)),"")</f>
        <v/>
      </c>
      <c r="N627" s="182" t="str">
        <f>IFERROR(LOOKUP(2,1/((A_Corridor!$A$5:$A$204&lt;&gt;"")*(A_Corridor!$A$5:$A$204&lt;=$B627)*(A_Corridor!$B$5:$B$204&gt;$B627)*(A_Corridor!$I$5:$I$204&lt;&gt;"")),IF(A_Corridor!$I$5:$I$204="-","",A_Corridor!$I$5:$I$204)),"")</f>
        <v/>
      </c>
      <c r="O627" s="182" t="str">
        <f>IFERROR(LOOKUP(2,1/((D_Points!$A$5:$A$204&lt;&gt;"")*(D_Points!$A$5:$A$204&gt;=$B627)*(D_Points!$A$5:$A$204&lt;$B627+P_Interval)*(UPPER(TRIM(D_Points!$B$5:$B$204))="PITCHING")*(D_Points!$H$5:$H$204&lt;&gt;"")),D_Points!$H$5:$H$204),"")</f>
        <v/>
      </c>
      <c r="P627" s="181" t="str">
        <f>IFERROR(LOOKUP(2,1/((B_Drainage!$A$5:$A$204&lt;&gt;"")*(B_Drainage!$A$5:$A$204&lt;=$B627)*(B_Drainage!$B$5:$B$204&gt;$B627)*(B_Drainage!$C$5:$C$204&lt;&gt;"")),IF(B_Drainage!$C$5:$C$204="-","",UPPER(B_Drainage!$C$5:$C$204))),"")</f>
        <v/>
      </c>
      <c r="Q627" s="181" t="str">
        <f>IFERROR(LOOKUP(2,1/((B_Drainage!$A$5:$A$204&lt;&gt;"")*(B_Drainage!$A$5:$A$204&lt;=$B627)*(B_Drainage!$B$5:$B$204&gt;$B627)*(B_Drainage!$D$5:$D$204&lt;&gt;"")),IF(B_Drainage!$D$5:$D$204="-","",UPPER(B_Drainage!$D$5:$D$204))),"")</f>
        <v/>
      </c>
      <c r="R627" s="182" t="str">
        <f>IFERROR(LOOKUP(2,1/((D_Points!$A$5:$A$204&lt;&gt;"")*(D_Points!$A$5:$A$204&gt;=$B627)*(D_Points!$A$5:$A$204&lt;$B627+P_Interval)*(RIGHT(UPPER(TRIM(D_Points!$B$5:$B$204)),8)="_CULVERT")),IF(LEFT(UPPER(TRIM(D_Points!$B$5:$B$204)),2)="EX",1,IF(LEFT(UPPER(TRIM(D_Points!$B$5:$B$204)),2)="PR",2,3))),"")</f>
        <v/>
      </c>
      <c r="S627" s="182" t="str">
        <f>IFERROR(LOOKUP(2,1/((D_Points!$A$5:$A$204&lt;&gt;"")*(D_Points!$A$5:$A$204&gt;=$B627)*(D_Points!$A$5:$A$204&lt;$B627+P_Interval)*(RIGHT(UPPER(TRIM(D_Points!$B$5:$B$204)),7)="_BRIDGE")),IF(LEFT(UPPER(TRIM(D_Points!$B$5:$B$204)),2)="EX",1,IF(LEFT(UPPER(TRIM(D_Points!$B$5:$B$204)),2)="PR",2,2))),"")</f>
        <v/>
      </c>
      <c r="T627" s="181" t="str">
        <f>IFERROR(LOOKUP(2,1/((B_Drainage!$A$5:$A$204&lt;&gt;"")*(B_Drainage!$A$5:$A$204&lt;=$B627)*(B_Drainage!$B$5:$B$204&gt;$B627)*(B_Drainage!$E$5:$E$204&lt;&gt;"")),IF(B_Drainage!$E$5:$E$204="-","",1)),"")</f>
        <v/>
      </c>
      <c r="U627" s="181" t="str">
        <f>IFERROR(LOOKUP(2,1/((B_Drainage!$A$5:$A$204&lt;&gt;"")*(B_Drainage!$A$5:$A$204&lt;=$B627)*(B_Drainage!$B$5:$B$204&gt;$B627)*(B_Drainage!$E$5:$E$204&lt;&gt;"")),IF(B_Drainage!$E$5:$E$204="-","",B_Drainage!$E$5:$E$204)),"")</f>
        <v/>
      </c>
      <c r="V627" s="181" t="str">
        <f>IFERROR(LOOKUP(2,1/((B_Drainage!$A$5:$A$204&lt;&gt;"")*(B_Drainage!$A$5:$A$204&lt;=$B627)*(B_Drainage!$B$5:$B$204&gt;$B627)*(B_Drainage!$F$5:$F$204&lt;&gt;"")),IF(B_Drainage!$F$5:$F$204="-","",1)),"")</f>
        <v/>
      </c>
      <c r="W627" s="181" t="str">
        <f>IFERROR(LOOKUP(2,1/((B_Drainage!$A$5:$A$204&lt;&gt;"")*(B_Drainage!$A$5:$A$204&lt;=$B627)*(B_Drainage!$B$5:$B$204&gt;$B627)*(B_Drainage!$F$5:$F$204&lt;&gt;"")),IF(B_Drainage!$F$5:$F$204="-","",B_Drainage!$F$5:$F$204)),"")</f>
        <v/>
      </c>
      <c r="X627" s="181" t="str">
        <f>IFERROR(LOOKUP(2,1/((B_Drainage!$A$5:$A$204&lt;&gt;"")*(B_Drainage!$A$5:$A$204&lt;=$B627)*(B_Drainage!$B$5:$B$204&gt;$B627)*(B_Drainage!$G$5:$G$204&lt;&gt;"")),IF(UPPER(B_Drainage!$G$5:$G$204)="Y",1,"")),"")</f>
        <v/>
      </c>
      <c r="Y627" s="181" t="str">
        <f>IFERROR(LOOKUP(2,1/((B_Drainage!$A$5:$A$204&lt;&gt;"")*(B_Drainage!$A$5:$A$204&lt;=$B627)*(B_Drainage!$B$5:$B$204&gt;$B627)*(B_Drainage!$H$5:$H$204&lt;&gt;"")),IF(UPPER(B_Drainage!$H$5:$H$204)="Y",1,"")),"")</f>
        <v/>
      </c>
      <c r="Z627" s="181" t="str">
        <f>IFERROR(LOOKUP(2,1/((B_Drainage!$A$5:$A$204&lt;&gt;"")*(B_Drainage!$A$5:$A$204&lt;=$B627)*(B_Drainage!$B$5:$B$204&gt;$B627)*(B_Drainage!$I$5:$I$204&lt;&gt;"")),IF(UPPER(B_Drainage!$I$5:$I$204)="Y",1,"")),"")</f>
        <v/>
      </c>
      <c r="AA627" s="181" t="str">
        <f>IFERROR(LOOKUP(2,1/((B_Drainage!$A$5:$A$204&lt;&gt;"")*(B_Drainage!$A$5:$A$204&lt;=$B627)*(B_Drainage!$B$5:$B$204&gt;$B627)*(B_Drainage!$J$5:$J$204&lt;&gt;"")),IF(UPPER(B_Drainage!$J$5:$J$204)="Y",1,"")),"")</f>
        <v/>
      </c>
      <c r="AB627" s="182" t="str">
        <f>IFERROR(LOOKUP(2,1/((B_Drainage!$A$5:$A$204&lt;&gt;"")*(B_Drainage!$A$5:$A$204&lt;=$B627)*(B_Drainage!$B$5:$B$204&gt;$B627)*(B_Drainage!$K$5:$K$204&lt;&gt;"")),IF(B_Drainage!$K$5:$K$204="-","",B_Drainage!$K$5:$K$204)),"")</f>
        <v/>
      </c>
      <c r="AC627" s="182" t="str">
        <f>IFERROR(LOOKUP(2,1/((B_Drainage!$A$5:$A$204&lt;&gt;"")*(B_Drainage!$A$5:$A$204&lt;=$B627)*(B_Drainage!$B$5:$B$204&gt;$B627)*(B_Drainage!$L$5:$L$204&lt;&gt;"")),IF(B_Drainage!$L$5:$L$204="-","",B_Drainage!$L$5:$L$204)),"")</f>
        <v/>
      </c>
      <c r="AD627" s="182" t="str">
        <f>IFERROR(LOOKUP(2,1/((D_Points!$A$5:$A$204&lt;&gt;"")*(D_Points!$A$5:$A$204&gt;=$B627)*(D_Points!$A$5:$A$204&lt;$B627+P_Interval)*(UPPER(TRIM(D_Points!$B$5:$B$204))="TURNOUT_L")*(D_Points!$H$5:$H$204&lt;&gt;"")),D_Points!$H$5:$H$204),"")</f>
        <v/>
      </c>
      <c r="AE627" s="182" t="str">
        <f>IFERROR(LOOKUP(2,1/((D_Points!$A$5:$A$204&lt;&gt;"")*(D_Points!$A$5:$A$204&gt;=$B627)*(D_Points!$A$5:$A$204&lt;$B627+P_Interval)*(UPPER(TRIM(D_Points!$B$5:$B$204))="TURNOUT_R")*(D_Points!$H$5:$H$204&lt;&gt;"")),D_Points!$H$5:$H$204),"")</f>
        <v/>
      </c>
      <c r="AF627" s="181" t="str">
        <f>IFERROR(LOOKUP(2,1/((B_Drainage!$A$5:$A$204&lt;&gt;"")*(B_Drainage!$A$5:$A$204&lt;=$B627)*(B_Drainage!$B$5:$B$204&gt;$B627)*(B_Drainage!$M$5:$M$204&lt;&gt;"")),IF(UPPER(B_Drainage!$M$5:$M$204)="Y",1,"")),"")</f>
        <v/>
      </c>
      <c r="AG627" s="181" t="str">
        <f>IFERROR(LOOKUP(2,1/((B_Drainage!$A$5:$A$204&lt;&gt;"")*(B_Drainage!$A$5:$A$204&lt;=$B627)*(B_Drainage!$B$5:$B$204&gt;$B627)*(B_Drainage!$N$5:$N$204&lt;&gt;"")),IF(UPPER(B_Drainage!$N$5:$N$204)="Y",1,"")),"")</f>
        <v/>
      </c>
      <c r="AH627" s="181" t="str">
        <f t="shared" si="72"/>
        <v/>
      </c>
      <c r="AI627" s="181" t="str">
        <f t="shared" si="73"/>
        <v/>
      </c>
      <c r="AJ627" s="181" t="str">
        <f t="shared" si="74"/>
        <v/>
      </c>
      <c r="AK627" s="181" t="str">
        <f t="shared" si="75"/>
        <v/>
      </c>
      <c r="AL627" s="181" t="str">
        <f t="shared" si="76"/>
        <v/>
      </c>
      <c r="AM627" s="181" t="str">
        <f t="shared" si="77"/>
        <v/>
      </c>
      <c r="AN627" s="181" t="str">
        <f t="shared" si="78"/>
        <v/>
      </c>
      <c r="AO627" s="192" t="str">
        <f t="shared" si="79"/>
        <v/>
      </c>
      <c r="AQ627" t="str">
        <f>IFERROR(LOOKUP(2,1/((C_Pavement!$A$5:$A$204&lt;&gt;"")*(C_Pavement!$A$5:$A$204&lt;=$B627)*(C_Pavement!$B$5:$B$204&gt;$B627)*(C_Pavement!$C$5:$C$204&lt;&gt;"")),ROW(C_Pavement!$C$5:$C$204)-4),"")</f>
        <v/>
      </c>
      <c r="AR627" t="str">
        <f>IF($AQ627="","",UPPER(TRIM(INDEX(C_Pavement!$C$5:$C$204,$AQ627))))</f>
        <v/>
      </c>
      <c r="AS627" t="str">
        <f>IF($AR627="","",IFERROR(MATCH($AR627,E_Rules!$A$5:$A$9,0),""))</f>
        <v/>
      </c>
      <c r="AT627" t="str">
        <f>IF($AQ627="","",IF(INDEX(C_Pavement!$D$5:$D$204,$AQ627)&lt;&gt;"",UPPER(TRIM(INDEX(C_Pavement!$D$5:$D$204,$AQ627))),IF($AS627="","",INDEX(E_Rules!$C$5:$C$9,$AS627))))</f>
        <v/>
      </c>
      <c r="AU627" t="str">
        <f>IF($AQ627="","",IF(INDEX(C_Pavement!$E$5:$E$204,$AQ627)&lt;&gt;"",IF(INDEX(C_Pavement!$E$5:$E$204,$AQ627)="-","",INDEX(C_Pavement!$E$5:$E$204,$AQ627)),IF($AS627="","",INDEX(E_Rules!$D$5:$D$9,$AS627))))</f>
        <v/>
      </c>
      <c r="AV627" t="str">
        <f>IF($AQ627="","",IF(INDEX(C_Pavement!$F$5:$F$204,$AQ627)&lt;&gt;"",IF(INDEX(C_Pavement!$F$5:$F$204,$AQ627)="-","",INDEX(C_Pavement!$F$5:$F$204,$AQ627)),IF($AS627="","",INDEX(E_Rules!$E$5:$E$9,$AS627))))</f>
        <v/>
      </c>
      <c r="AW627" t="str">
        <f>IF($AQ627="","",IF(INDEX(C_Pavement!$G$5:$G$204,$AQ627)&lt;&gt;"",IF(INDEX(C_Pavement!$G$5:$G$204,$AQ627)="-","",INDEX(C_Pavement!$G$5:$G$204,$AQ627)),IF($AS627="","",INDEX(E_Rules!$F$5:$F$9,$AS627))))</f>
        <v/>
      </c>
      <c r="AX627" t="str">
        <f>IF($AQ627="","",IF(INDEX(C_Pavement!$H$5:$H$204,$AQ627)&lt;&gt;"",IF(INDEX(C_Pavement!$H$5:$H$204,$AQ627)="-","",INDEX(C_Pavement!$H$5:$H$204,$AQ627)),IF($AS627="","",INDEX(E_Rules!$G$5:$G$9,$AS627))))</f>
        <v/>
      </c>
      <c r="AY627" t="str">
        <f>IF($AQ627="","",IF(INDEX(C_Pavement!$I$5:$I$204,$AQ627)&lt;&gt;"",IF(INDEX(C_Pavement!$I$5:$I$204,$AQ627)="-","",INDEX(C_Pavement!$I$5:$I$204,$AQ627)),IF($AS627="","",INDEX(E_Rules!$H$5:$H$9,$AS627))))</f>
        <v/>
      </c>
    </row>
    <row r="628" spans="1:51" ht="15.75" customHeight="1" x14ac:dyDescent="0.3">
      <c r="A628" s="189">
        <v>623</v>
      </c>
      <c r="B628" s="180">
        <v>31100</v>
      </c>
      <c r="C628" s="180" t="s">
        <v>934</v>
      </c>
      <c r="D628" s="181" t="str">
        <f>IFERROR(LOOKUP(2,1/((A_Corridor!$A$5:$A$204&lt;&gt;"")*(A_Corridor!$A$5:$A$204&lt;=$B628)*(A_Corridor!$B$5:$B$204&gt;$B628)*(A_Corridor!$C$5:$C$204&lt;&gt;"")),IF(UPPER(A_Corridor!$C$5:$C$204)="Y",1,"")),"")</f>
        <v/>
      </c>
      <c r="E628" s="181" t="str">
        <f>IFERROR(LOOKUP(2,1/((A_Corridor!$A$5:$A$204&lt;&gt;"")*(A_Corridor!$A$5:$A$204&lt;=$B628)*(A_Corridor!$B$5:$B$204&gt;$B628)*(A_Corridor!$D$5:$D$204&lt;&gt;"")),IF(A_Corridor!$D$5:$D$204="-","",UPPER(A_Corridor!$D$5:$D$204))),"")</f>
        <v/>
      </c>
      <c r="F628" s="181" t="str">
        <f>IFERROR(LOOKUP(2,1/((A_Corridor!$A$5:$A$204&lt;&gt;"")*(A_Corridor!$A$5:$A$204&lt;=$B628)*(A_Corridor!$B$5:$B$204&gt;$B628)*(A_Corridor!$E$5:$E$204&lt;&gt;"")),IF(A_Corridor!$E$5:$E$204="-","",1)),"")</f>
        <v/>
      </c>
      <c r="G628" s="182" t="str">
        <f>IFERROR(LOOKUP(2,1/((A_Corridor!$A$5:$A$204&lt;&gt;"")*(A_Corridor!$A$5:$A$204&lt;=$B628)*(A_Corridor!$B$5:$B$204&gt;$B628)*(A_Corridor!$E$5:$E$204&lt;&gt;"")),IF(A_Corridor!$E$5:$E$204="-","",A_Corridor!$E$5:$E$204)),"")</f>
        <v/>
      </c>
      <c r="H628" s="182" t="str">
        <f>IFERROR(LOOKUP(2,1/((D_Points!$A$5:$A$204&lt;&gt;"")*(D_Points!$A$5:$A$204&gt;=$B628)*(D_Points!$A$5:$A$204&lt;$B628+P_Interval)*(UPPER(TRIM(D_Points!$B$5:$B$204))="GULLY")*(D_Points!$H$5:$H$204&lt;&gt;"")),D_Points!$H$5:$H$204),"")</f>
        <v/>
      </c>
      <c r="I628" s="181" t="str">
        <f>IFERROR(LOOKUP(2,1/((A_Corridor!$A$5:$A$204&lt;&gt;"")*(A_Corridor!$A$5:$A$204&lt;=$B628)*(A_Corridor!$B$5:$B$204&gt;$B628)*(A_Corridor!$F$5:$F$204&lt;&gt;"")),IF(A_Corridor!$F$5:$F$204="-","",1)),"")</f>
        <v/>
      </c>
      <c r="J628" s="182" t="str">
        <f>IFERROR(LOOKUP(2,1/((A_Corridor!$A$5:$A$204&lt;&gt;"")*(A_Corridor!$A$5:$A$204&lt;=$B628)*(A_Corridor!$B$5:$B$204&gt;$B628)*(A_Corridor!$F$5:$F$204&lt;&gt;"")),IF(A_Corridor!$F$5:$F$204="-","",A_Corridor!$F$5:$F$204)),"")</f>
        <v/>
      </c>
      <c r="K628" s="182" t="str">
        <f>IFERROR(LOOKUP(2,1/((A_Corridor!$A$5:$A$204&lt;&gt;"")*(A_Corridor!$A$5:$A$204&lt;=$B628)*(A_Corridor!$B$5:$B$204&gt;$B628)*(A_Corridor!$G$5:$G$204&lt;&gt;"")),IF(A_Corridor!$G$5:$G$204="-","",A_Corridor!$G$5:$G$204)),"")</f>
        <v/>
      </c>
      <c r="L628" s="181" t="str">
        <f>IFERROR(LOOKUP(2,1/((A_Corridor!$A$5:$A$204&lt;&gt;"")*(A_Corridor!$A$5:$A$204&lt;=$B628)*(A_Corridor!$B$5:$B$204&gt;$B628)*(A_Corridor!$H$5:$H$204&lt;&gt;"")),IF(A_Corridor!$H$5:$H$204="-","",1)),"")</f>
        <v/>
      </c>
      <c r="M628" s="182" t="str">
        <f>IFERROR(LOOKUP(2,1/((A_Corridor!$A$5:$A$204&lt;&gt;"")*(A_Corridor!$A$5:$A$204&lt;=$B628)*(A_Corridor!$B$5:$B$204&gt;$B628)*(A_Corridor!$H$5:$H$204&lt;&gt;"")),IF(A_Corridor!$H$5:$H$204="-","",A_Corridor!$H$5:$H$204)),"")</f>
        <v/>
      </c>
      <c r="N628" s="182" t="str">
        <f>IFERROR(LOOKUP(2,1/((A_Corridor!$A$5:$A$204&lt;&gt;"")*(A_Corridor!$A$5:$A$204&lt;=$B628)*(A_Corridor!$B$5:$B$204&gt;$B628)*(A_Corridor!$I$5:$I$204&lt;&gt;"")),IF(A_Corridor!$I$5:$I$204="-","",A_Corridor!$I$5:$I$204)),"")</f>
        <v/>
      </c>
      <c r="O628" s="182" t="str">
        <f>IFERROR(LOOKUP(2,1/((D_Points!$A$5:$A$204&lt;&gt;"")*(D_Points!$A$5:$A$204&gt;=$B628)*(D_Points!$A$5:$A$204&lt;$B628+P_Interval)*(UPPER(TRIM(D_Points!$B$5:$B$204))="PITCHING")*(D_Points!$H$5:$H$204&lt;&gt;"")),D_Points!$H$5:$H$204),"")</f>
        <v/>
      </c>
      <c r="P628" s="181" t="str">
        <f>IFERROR(LOOKUP(2,1/((B_Drainage!$A$5:$A$204&lt;&gt;"")*(B_Drainage!$A$5:$A$204&lt;=$B628)*(B_Drainage!$B$5:$B$204&gt;$B628)*(B_Drainage!$C$5:$C$204&lt;&gt;"")),IF(B_Drainage!$C$5:$C$204="-","",UPPER(B_Drainage!$C$5:$C$204))),"")</f>
        <v/>
      </c>
      <c r="Q628" s="181" t="str">
        <f>IFERROR(LOOKUP(2,1/((B_Drainage!$A$5:$A$204&lt;&gt;"")*(B_Drainage!$A$5:$A$204&lt;=$B628)*(B_Drainage!$B$5:$B$204&gt;$B628)*(B_Drainage!$D$5:$D$204&lt;&gt;"")),IF(B_Drainage!$D$5:$D$204="-","",UPPER(B_Drainage!$D$5:$D$204))),"")</f>
        <v/>
      </c>
      <c r="R628" s="182" t="str">
        <f>IFERROR(LOOKUP(2,1/((D_Points!$A$5:$A$204&lt;&gt;"")*(D_Points!$A$5:$A$204&gt;=$B628)*(D_Points!$A$5:$A$204&lt;$B628+P_Interval)*(RIGHT(UPPER(TRIM(D_Points!$B$5:$B$204)),8)="_CULVERT")),IF(LEFT(UPPER(TRIM(D_Points!$B$5:$B$204)),2)="EX",1,IF(LEFT(UPPER(TRIM(D_Points!$B$5:$B$204)),2)="PR",2,3))),"")</f>
        <v/>
      </c>
      <c r="S628" s="182" t="str">
        <f>IFERROR(LOOKUP(2,1/((D_Points!$A$5:$A$204&lt;&gt;"")*(D_Points!$A$5:$A$204&gt;=$B628)*(D_Points!$A$5:$A$204&lt;$B628+P_Interval)*(RIGHT(UPPER(TRIM(D_Points!$B$5:$B$204)),7)="_BRIDGE")),IF(LEFT(UPPER(TRIM(D_Points!$B$5:$B$204)),2)="EX",1,IF(LEFT(UPPER(TRIM(D_Points!$B$5:$B$204)),2)="PR",2,2))),"")</f>
        <v/>
      </c>
      <c r="T628" s="181" t="str">
        <f>IFERROR(LOOKUP(2,1/((B_Drainage!$A$5:$A$204&lt;&gt;"")*(B_Drainage!$A$5:$A$204&lt;=$B628)*(B_Drainage!$B$5:$B$204&gt;$B628)*(B_Drainage!$E$5:$E$204&lt;&gt;"")),IF(B_Drainage!$E$5:$E$204="-","",1)),"")</f>
        <v/>
      </c>
      <c r="U628" s="181" t="str">
        <f>IFERROR(LOOKUP(2,1/((B_Drainage!$A$5:$A$204&lt;&gt;"")*(B_Drainage!$A$5:$A$204&lt;=$B628)*(B_Drainage!$B$5:$B$204&gt;$B628)*(B_Drainage!$E$5:$E$204&lt;&gt;"")),IF(B_Drainage!$E$5:$E$204="-","",B_Drainage!$E$5:$E$204)),"")</f>
        <v/>
      </c>
      <c r="V628" s="181" t="str">
        <f>IFERROR(LOOKUP(2,1/((B_Drainage!$A$5:$A$204&lt;&gt;"")*(B_Drainage!$A$5:$A$204&lt;=$B628)*(B_Drainage!$B$5:$B$204&gt;$B628)*(B_Drainage!$F$5:$F$204&lt;&gt;"")),IF(B_Drainage!$F$5:$F$204="-","",1)),"")</f>
        <v/>
      </c>
      <c r="W628" s="181" t="str">
        <f>IFERROR(LOOKUP(2,1/((B_Drainage!$A$5:$A$204&lt;&gt;"")*(B_Drainage!$A$5:$A$204&lt;=$B628)*(B_Drainage!$B$5:$B$204&gt;$B628)*(B_Drainage!$F$5:$F$204&lt;&gt;"")),IF(B_Drainage!$F$5:$F$204="-","",B_Drainage!$F$5:$F$204)),"")</f>
        <v/>
      </c>
      <c r="X628" s="181" t="str">
        <f>IFERROR(LOOKUP(2,1/((B_Drainage!$A$5:$A$204&lt;&gt;"")*(B_Drainage!$A$5:$A$204&lt;=$B628)*(B_Drainage!$B$5:$B$204&gt;$B628)*(B_Drainage!$G$5:$G$204&lt;&gt;"")),IF(UPPER(B_Drainage!$G$5:$G$204)="Y",1,"")),"")</f>
        <v/>
      </c>
      <c r="Y628" s="181" t="str">
        <f>IFERROR(LOOKUP(2,1/((B_Drainage!$A$5:$A$204&lt;&gt;"")*(B_Drainage!$A$5:$A$204&lt;=$B628)*(B_Drainage!$B$5:$B$204&gt;$B628)*(B_Drainage!$H$5:$H$204&lt;&gt;"")),IF(UPPER(B_Drainage!$H$5:$H$204)="Y",1,"")),"")</f>
        <v/>
      </c>
      <c r="Z628" s="181" t="str">
        <f>IFERROR(LOOKUP(2,1/((B_Drainage!$A$5:$A$204&lt;&gt;"")*(B_Drainage!$A$5:$A$204&lt;=$B628)*(B_Drainage!$B$5:$B$204&gt;$B628)*(B_Drainage!$I$5:$I$204&lt;&gt;"")),IF(UPPER(B_Drainage!$I$5:$I$204)="Y",1,"")),"")</f>
        <v/>
      </c>
      <c r="AA628" s="181" t="str">
        <f>IFERROR(LOOKUP(2,1/((B_Drainage!$A$5:$A$204&lt;&gt;"")*(B_Drainage!$A$5:$A$204&lt;=$B628)*(B_Drainage!$B$5:$B$204&gt;$B628)*(B_Drainage!$J$5:$J$204&lt;&gt;"")),IF(UPPER(B_Drainage!$J$5:$J$204)="Y",1,"")),"")</f>
        <v/>
      </c>
      <c r="AB628" s="182" t="str">
        <f>IFERROR(LOOKUP(2,1/((B_Drainage!$A$5:$A$204&lt;&gt;"")*(B_Drainage!$A$5:$A$204&lt;=$B628)*(B_Drainage!$B$5:$B$204&gt;$B628)*(B_Drainage!$K$5:$K$204&lt;&gt;"")),IF(B_Drainage!$K$5:$K$204="-","",B_Drainage!$K$5:$K$204)),"")</f>
        <v/>
      </c>
      <c r="AC628" s="182" t="str">
        <f>IFERROR(LOOKUP(2,1/((B_Drainage!$A$5:$A$204&lt;&gt;"")*(B_Drainage!$A$5:$A$204&lt;=$B628)*(B_Drainage!$B$5:$B$204&gt;$B628)*(B_Drainage!$L$5:$L$204&lt;&gt;"")),IF(B_Drainage!$L$5:$L$204="-","",B_Drainage!$L$5:$L$204)),"")</f>
        <v/>
      </c>
      <c r="AD628" s="182" t="str">
        <f>IFERROR(LOOKUP(2,1/((D_Points!$A$5:$A$204&lt;&gt;"")*(D_Points!$A$5:$A$204&gt;=$B628)*(D_Points!$A$5:$A$204&lt;$B628+P_Interval)*(UPPER(TRIM(D_Points!$B$5:$B$204))="TURNOUT_L")*(D_Points!$H$5:$H$204&lt;&gt;"")),D_Points!$H$5:$H$204),"")</f>
        <v/>
      </c>
      <c r="AE628" s="182" t="str">
        <f>IFERROR(LOOKUP(2,1/((D_Points!$A$5:$A$204&lt;&gt;"")*(D_Points!$A$5:$A$204&gt;=$B628)*(D_Points!$A$5:$A$204&lt;$B628+P_Interval)*(UPPER(TRIM(D_Points!$B$5:$B$204))="TURNOUT_R")*(D_Points!$H$5:$H$204&lt;&gt;"")),D_Points!$H$5:$H$204),"")</f>
        <v/>
      </c>
      <c r="AF628" s="181" t="str">
        <f>IFERROR(LOOKUP(2,1/((B_Drainage!$A$5:$A$204&lt;&gt;"")*(B_Drainage!$A$5:$A$204&lt;=$B628)*(B_Drainage!$B$5:$B$204&gt;$B628)*(B_Drainage!$M$5:$M$204&lt;&gt;"")),IF(UPPER(B_Drainage!$M$5:$M$204)="Y",1,"")),"")</f>
        <v/>
      </c>
      <c r="AG628" s="181" t="str">
        <f>IFERROR(LOOKUP(2,1/((B_Drainage!$A$5:$A$204&lt;&gt;"")*(B_Drainage!$A$5:$A$204&lt;=$B628)*(B_Drainage!$B$5:$B$204&gt;$B628)*(B_Drainage!$N$5:$N$204&lt;&gt;"")),IF(UPPER(B_Drainage!$N$5:$N$204)="Y",1,"")),"")</f>
        <v/>
      </c>
      <c r="AH628" s="181" t="str">
        <f t="shared" si="72"/>
        <v/>
      </c>
      <c r="AI628" s="181" t="str">
        <f t="shared" si="73"/>
        <v/>
      </c>
      <c r="AJ628" s="181" t="str">
        <f t="shared" si="74"/>
        <v/>
      </c>
      <c r="AK628" s="181" t="str">
        <f t="shared" si="75"/>
        <v/>
      </c>
      <c r="AL628" s="181" t="str">
        <f t="shared" si="76"/>
        <v/>
      </c>
      <c r="AM628" s="181" t="str">
        <f t="shared" si="77"/>
        <v/>
      </c>
      <c r="AN628" s="181" t="str">
        <f t="shared" si="78"/>
        <v/>
      </c>
      <c r="AO628" s="192" t="str">
        <f t="shared" si="79"/>
        <v/>
      </c>
      <c r="AQ628" t="str">
        <f>IFERROR(LOOKUP(2,1/((C_Pavement!$A$5:$A$204&lt;&gt;"")*(C_Pavement!$A$5:$A$204&lt;=$B628)*(C_Pavement!$B$5:$B$204&gt;$B628)*(C_Pavement!$C$5:$C$204&lt;&gt;"")),ROW(C_Pavement!$C$5:$C$204)-4),"")</f>
        <v/>
      </c>
      <c r="AR628" t="str">
        <f>IF($AQ628="","",UPPER(TRIM(INDEX(C_Pavement!$C$5:$C$204,$AQ628))))</f>
        <v/>
      </c>
      <c r="AS628" t="str">
        <f>IF($AR628="","",IFERROR(MATCH($AR628,E_Rules!$A$5:$A$9,0),""))</f>
        <v/>
      </c>
      <c r="AT628" t="str">
        <f>IF($AQ628="","",IF(INDEX(C_Pavement!$D$5:$D$204,$AQ628)&lt;&gt;"",UPPER(TRIM(INDEX(C_Pavement!$D$5:$D$204,$AQ628))),IF($AS628="","",INDEX(E_Rules!$C$5:$C$9,$AS628))))</f>
        <v/>
      </c>
      <c r="AU628" t="str">
        <f>IF($AQ628="","",IF(INDEX(C_Pavement!$E$5:$E$204,$AQ628)&lt;&gt;"",IF(INDEX(C_Pavement!$E$5:$E$204,$AQ628)="-","",INDEX(C_Pavement!$E$5:$E$204,$AQ628)),IF($AS628="","",INDEX(E_Rules!$D$5:$D$9,$AS628))))</f>
        <v/>
      </c>
      <c r="AV628" t="str">
        <f>IF($AQ628="","",IF(INDEX(C_Pavement!$F$5:$F$204,$AQ628)&lt;&gt;"",IF(INDEX(C_Pavement!$F$5:$F$204,$AQ628)="-","",INDEX(C_Pavement!$F$5:$F$204,$AQ628)),IF($AS628="","",INDEX(E_Rules!$E$5:$E$9,$AS628))))</f>
        <v/>
      </c>
      <c r="AW628" t="str">
        <f>IF($AQ628="","",IF(INDEX(C_Pavement!$G$5:$G$204,$AQ628)&lt;&gt;"",IF(INDEX(C_Pavement!$G$5:$G$204,$AQ628)="-","",INDEX(C_Pavement!$G$5:$G$204,$AQ628)),IF($AS628="","",INDEX(E_Rules!$F$5:$F$9,$AS628))))</f>
        <v/>
      </c>
      <c r="AX628" t="str">
        <f>IF($AQ628="","",IF(INDEX(C_Pavement!$H$5:$H$204,$AQ628)&lt;&gt;"",IF(INDEX(C_Pavement!$H$5:$H$204,$AQ628)="-","",INDEX(C_Pavement!$H$5:$H$204,$AQ628)),IF($AS628="","",INDEX(E_Rules!$G$5:$G$9,$AS628))))</f>
        <v/>
      </c>
      <c r="AY628" t="str">
        <f>IF($AQ628="","",IF(INDEX(C_Pavement!$I$5:$I$204,$AQ628)&lt;&gt;"",IF(INDEX(C_Pavement!$I$5:$I$204,$AQ628)="-","",INDEX(C_Pavement!$I$5:$I$204,$AQ628)),IF($AS628="","",INDEX(E_Rules!$H$5:$H$9,$AS628))))</f>
        <v/>
      </c>
    </row>
    <row r="629" spans="1:51" ht="15.75" customHeight="1" x14ac:dyDescent="0.3">
      <c r="A629" s="189">
        <v>624</v>
      </c>
      <c r="B629" s="180">
        <v>31150</v>
      </c>
      <c r="C629" s="180" t="s">
        <v>935</v>
      </c>
      <c r="D629" s="181" t="str">
        <f>IFERROR(LOOKUP(2,1/((A_Corridor!$A$5:$A$204&lt;&gt;"")*(A_Corridor!$A$5:$A$204&lt;=$B629)*(A_Corridor!$B$5:$B$204&gt;$B629)*(A_Corridor!$C$5:$C$204&lt;&gt;"")),IF(UPPER(A_Corridor!$C$5:$C$204)="Y",1,"")),"")</f>
        <v/>
      </c>
      <c r="E629" s="181" t="str">
        <f>IFERROR(LOOKUP(2,1/((A_Corridor!$A$5:$A$204&lt;&gt;"")*(A_Corridor!$A$5:$A$204&lt;=$B629)*(A_Corridor!$B$5:$B$204&gt;$B629)*(A_Corridor!$D$5:$D$204&lt;&gt;"")),IF(A_Corridor!$D$5:$D$204="-","",UPPER(A_Corridor!$D$5:$D$204))),"")</f>
        <v/>
      </c>
      <c r="F629" s="181" t="str">
        <f>IFERROR(LOOKUP(2,1/((A_Corridor!$A$5:$A$204&lt;&gt;"")*(A_Corridor!$A$5:$A$204&lt;=$B629)*(A_Corridor!$B$5:$B$204&gt;$B629)*(A_Corridor!$E$5:$E$204&lt;&gt;"")),IF(A_Corridor!$E$5:$E$204="-","",1)),"")</f>
        <v/>
      </c>
      <c r="G629" s="182" t="str">
        <f>IFERROR(LOOKUP(2,1/((A_Corridor!$A$5:$A$204&lt;&gt;"")*(A_Corridor!$A$5:$A$204&lt;=$B629)*(A_Corridor!$B$5:$B$204&gt;$B629)*(A_Corridor!$E$5:$E$204&lt;&gt;"")),IF(A_Corridor!$E$5:$E$204="-","",A_Corridor!$E$5:$E$204)),"")</f>
        <v/>
      </c>
      <c r="H629" s="182" t="str">
        <f>IFERROR(LOOKUP(2,1/((D_Points!$A$5:$A$204&lt;&gt;"")*(D_Points!$A$5:$A$204&gt;=$B629)*(D_Points!$A$5:$A$204&lt;$B629+P_Interval)*(UPPER(TRIM(D_Points!$B$5:$B$204))="GULLY")*(D_Points!$H$5:$H$204&lt;&gt;"")),D_Points!$H$5:$H$204),"")</f>
        <v/>
      </c>
      <c r="I629" s="181" t="str">
        <f>IFERROR(LOOKUP(2,1/((A_Corridor!$A$5:$A$204&lt;&gt;"")*(A_Corridor!$A$5:$A$204&lt;=$B629)*(A_Corridor!$B$5:$B$204&gt;$B629)*(A_Corridor!$F$5:$F$204&lt;&gt;"")),IF(A_Corridor!$F$5:$F$204="-","",1)),"")</f>
        <v/>
      </c>
      <c r="J629" s="182" t="str">
        <f>IFERROR(LOOKUP(2,1/((A_Corridor!$A$5:$A$204&lt;&gt;"")*(A_Corridor!$A$5:$A$204&lt;=$B629)*(A_Corridor!$B$5:$B$204&gt;$B629)*(A_Corridor!$F$5:$F$204&lt;&gt;"")),IF(A_Corridor!$F$5:$F$204="-","",A_Corridor!$F$5:$F$204)),"")</f>
        <v/>
      </c>
      <c r="K629" s="182" t="str">
        <f>IFERROR(LOOKUP(2,1/((A_Corridor!$A$5:$A$204&lt;&gt;"")*(A_Corridor!$A$5:$A$204&lt;=$B629)*(A_Corridor!$B$5:$B$204&gt;$B629)*(A_Corridor!$G$5:$G$204&lt;&gt;"")),IF(A_Corridor!$G$5:$G$204="-","",A_Corridor!$G$5:$G$204)),"")</f>
        <v/>
      </c>
      <c r="L629" s="181" t="str">
        <f>IFERROR(LOOKUP(2,1/((A_Corridor!$A$5:$A$204&lt;&gt;"")*(A_Corridor!$A$5:$A$204&lt;=$B629)*(A_Corridor!$B$5:$B$204&gt;$B629)*(A_Corridor!$H$5:$H$204&lt;&gt;"")),IF(A_Corridor!$H$5:$H$204="-","",1)),"")</f>
        <v/>
      </c>
      <c r="M629" s="182" t="str">
        <f>IFERROR(LOOKUP(2,1/((A_Corridor!$A$5:$A$204&lt;&gt;"")*(A_Corridor!$A$5:$A$204&lt;=$B629)*(A_Corridor!$B$5:$B$204&gt;$B629)*(A_Corridor!$H$5:$H$204&lt;&gt;"")),IF(A_Corridor!$H$5:$H$204="-","",A_Corridor!$H$5:$H$204)),"")</f>
        <v/>
      </c>
      <c r="N629" s="182" t="str">
        <f>IFERROR(LOOKUP(2,1/((A_Corridor!$A$5:$A$204&lt;&gt;"")*(A_Corridor!$A$5:$A$204&lt;=$B629)*(A_Corridor!$B$5:$B$204&gt;$B629)*(A_Corridor!$I$5:$I$204&lt;&gt;"")),IF(A_Corridor!$I$5:$I$204="-","",A_Corridor!$I$5:$I$204)),"")</f>
        <v/>
      </c>
      <c r="O629" s="182" t="str">
        <f>IFERROR(LOOKUP(2,1/((D_Points!$A$5:$A$204&lt;&gt;"")*(D_Points!$A$5:$A$204&gt;=$B629)*(D_Points!$A$5:$A$204&lt;$B629+P_Interval)*(UPPER(TRIM(D_Points!$B$5:$B$204))="PITCHING")*(D_Points!$H$5:$H$204&lt;&gt;"")),D_Points!$H$5:$H$204),"")</f>
        <v/>
      </c>
      <c r="P629" s="181" t="str">
        <f>IFERROR(LOOKUP(2,1/((B_Drainage!$A$5:$A$204&lt;&gt;"")*(B_Drainage!$A$5:$A$204&lt;=$B629)*(B_Drainage!$B$5:$B$204&gt;$B629)*(B_Drainage!$C$5:$C$204&lt;&gt;"")),IF(B_Drainage!$C$5:$C$204="-","",UPPER(B_Drainage!$C$5:$C$204))),"")</f>
        <v/>
      </c>
      <c r="Q629" s="181" t="str">
        <f>IFERROR(LOOKUP(2,1/((B_Drainage!$A$5:$A$204&lt;&gt;"")*(B_Drainage!$A$5:$A$204&lt;=$B629)*(B_Drainage!$B$5:$B$204&gt;$B629)*(B_Drainage!$D$5:$D$204&lt;&gt;"")),IF(B_Drainage!$D$5:$D$204="-","",UPPER(B_Drainage!$D$5:$D$204))),"")</f>
        <v/>
      </c>
      <c r="R629" s="182" t="str">
        <f>IFERROR(LOOKUP(2,1/((D_Points!$A$5:$A$204&lt;&gt;"")*(D_Points!$A$5:$A$204&gt;=$B629)*(D_Points!$A$5:$A$204&lt;$B629+P_Interval)*(RIGHT(UPPER(TRIM(D_Points!$B$5:$B$204)),8)="_CULVERT")),IF(LEFT(UPPER(TRIM(D_Points!$B$5:$B$204)),2)="EX",1,IF(LEFT(UPPER(TRIM(D_Points!$B$5:$B$204)),2)="PR",2,3))),"")</f>
        <v/>
      </c>
      <c r="S629" s="182" t="str">
        <f>IFERROR(LOOKUP(2,1/((D_Points!$A$5:$A$204&lt;&gt;"")*(D_Points!$A$5:$A$204&gt;=$B629)*(D_Points!$A$5:$A$204&lt;$B629+P_Interval)*(RIGHT(UPPER(TRIM(D_Points!$B$5:$B$204)),7)="_BRIDGE")),IF(LEFT(UPPER(TRIM(D_Points!$B$5:$B$204)),2)="EX",1,IF(LEFT(UPPER(TRIM(D_Points!$B$5:$B$204)),2)="PR",2,2))),"")</f>
        <v/>
      </c>
      <c r="T629" s="181" t="str">
        <f>IFERROR(LOOKUP(2,1/((B_Drainage!$A$5:$A$204&lt;&gt;"")*(B_Drainage!$A$5:$A$204&lt;=$B629)*(B_Drainage!$B$5:$B$204&gt;$B629)*(B_Drainage!$E$5:$E$204&lt;&gt;"")),IF(B_Drainage!$E$5:$E$204="-","",1)),"")</f>
        <v/>
      </c>
      <c r="U629" s="181" t="str">
        <f>IFERROR(LOOKUP(2,1/((B_Drainage!$A$5:$A$204&lt;&gt;"")*(B_Drainage!$A$5:$A$204&lt;=$B629)*(B_Drainage!$B$5:$B$204&gt;$B629)*(B_Drainage!$E$5:$E$204&lt;&gt;"")),IF(B_Drainage!$E$5:$E$204="-","",B_Drainage!$E$5:$E$204)),"")</f>
        <v/>
      </c>
      <c r="V629" s="181" t="str">
        <f>IFERROR(LOOKUP(2,1/((B_Drainage!$A$5:$A$204&lt;&gt;"")*(B_Drainage!$A$5:$A$204&lt;=$B629)*(B_Drainage!$B$5:$B$204&gt;$B629)*(B_Drainage!$F$5:$F$204&lt;&gt;"")),IF(B_Drainage!$F$5:$F$204="-","",1)),"")</f>
        <v/>
      </c>
      <c r="W629" s="181" t="str">
        <f>IFERROR(LOOKUP(2,1/((B_Drainage!$A$5:$A$204&lt;&gt;"")*(B_Drainage!$A$5:$A$204&lt;=$B629)*(B_Drainage!$B$5:$B$204&gt;$B629)*(B_Drainage!$F$5:$F$204&lt;&gt;"")),IF(B_Drainage!$F$5:$F$204="-","",B_Drainage!$F$5:$F$204)),"")</f>
        <v/>
      </c>
      <c r="X629" s="181" t="str">
        <f>IFERROR(LOOKUP(2,1/((B_Drainage!$A$5:$A$204&lt;&gt;"")*(B_Drainage!$A$5:$A$204&lt;=$B629)*(B_Drainage!$B$5:$B$204&gt;$B629)*(B_Drainage!$G$5:$G$204&lt;&gt;"")),IF(UPPER(B_Drainage!$G$5:$G$204)="Y",1,"")),"")</f>
        <v/>
      </c>
      <c r="Y629" s="181" t="str">
        <f>IFERROR(LOOKUP(2,1/((B_Drainage!$A$5:$A$204&lt;&gt;"")*(B_Drainage!$A$5:$A$204&lt;=$B629)*(B_Drainage!$B$5:$B$204&gt;$B629)*(B_Drainage!$H$5:$H$204&lt;&gt;"")),IF(UPPER(B_Drainage!$H$5:$H$204)="Y",1,"")),"")</f>
        <v/>
      </c>
      <c r="Z629" s="181" t="str">
        <f>IFERROR(LOOKUP(2,1/((B_Drainage!$A$5:$A$204&lt;&gt;"")*(B_Drainage!$A$5:$A$204&lt;=$B629)*(B_Drainage!$B$5:$B$204&gt;$B629)*(B_Drainage!$I$5:$I$204&lt;&gt;"")),IF(UPPER(B_Drainage!$I$5:$I$204)="Y",1,"")),"")</f>
        <v/>
      </c>
      <c r="AA629" s="181" t="str">
        <f>IFERROR(LOOKUP(2,1/((B_Drainage!$A$5:$A$204&lt;&gt;"")*(B_Drainage!$A$5:$A$204&lt;=$B629)*(B_Drainage!$B$5:$B$204&gt;$B629)*(B_Drainage!$J$5:$J$204&lt;&gt;"")),IF(UPPER(B_Drainage!$J$5:$J$204)="Y",1,"")),"")</f>
        <v/>
      </c>
      <c r="AB629" s="182" t="str">
        <f>IFERROR(LOOKUP(2,1/((B_Drainage!$A$5:$A$204&lt;&gt;"")*(B_Drainage!$A$5:$A$204&lt;=$B629)*(B_Drainage!$B$5:$B$204&gt;$B629)*(B_Drainage!$K$5:$K$204&lt;&gt;"")),IF(B_Drainage!$K$5:$K$204="-","",B_Drainage!$K$5:$K$204)),"")</f>
        <v/>
      </c>
      <c r="AC629" s="182" t="str">
        <f>IFERROR(LOOKUP(2,1/((B_Drainage!$A$5:$A$204&lt;&gt;"")*(B_Drainage!$A$5:$A$204&lt;=$B629)*(B_Drainage!$B$5:$B$204&gt;$B629)*(B_Drainage!$L$5:$L$204&lt;&gt;"")),IF(B_Drainage!$L$5:$L$204="-","",B_Drainage!$L$5:$L$204)),"")</f>
        <v/>
      </c>
      <c r="AD629" s="182" t="str">
        <f>IFERROR(LOOKUP(2,1/((D_Points!$A$5:$A$204&lt;&gt;"")*(D_Points!$A$5:$A$204&gt;=$B629)*(D_Points!$A$5:$A$204&lt;$B629+P_Interval)*(UPPER(TRIM(D_Points!$B$5:$B$204))="TURNOUT_L")*(D_Points!$H$5:$H$204&lt;&gt;"")),D_Points!$H$5:$H$204),"")</f>
        <v/>
      </c>
      <c r="AE629" s="182" t="str">
        <f>IFERROR(LOOKUP(2,1/((D_Points!$A$5:$A$204&lt;&gt;"")*(D_Points!$A$5:$A$204&gt;=$B629)*(D_Points!$A$5:$A$204&lt;$B629+P_Interval)*(UPPER(TRIM(D_Points!$B$5:$B$204))="TURNOUT_R")*(D_Points!$H$5:$H$204&lt;&gt;"")),D_Points!$H$5:$H$204),"")</f>
        <v/>
      </c>
      <c r="AF629" s="181" t="str">
        <f>IFERROR(LOOKUP(2,1/((B_Drainage!$A$5:$A$204&lt;&gt;"")*(B_Drainage!$A$5:$A$204&lt;=$B629)*(B_Drainage!$B$5:$B$204&gt;$B629)*(B_Drainage!$M$5:$M$204&lt;&gt;"")),IF(UPPER(B_Drainage!$M$5:$M$204)="Y",1,"")),"")</f>
        <v/>
      </c>
      <c r="AG629" s="181" t="str">
        <f>IFERROR(LOOKUP(2,1/((B_Drainage!$A$5:$A$204&lt;&gt;"")*(B_Drainage!$A$5:$A$204&lt;=$B629)*(B_Drainage!$B$5:$B$204&gt;$B629)*(B_Drainage!$N$5:$N$204&lt;&gt;"")),IF(UPPER(B_Drainage!$N$5:$N$204)="Y",1,"")),"")</f>
        <v/>
      </c>
      <c r="AH629" s="181" t="str">
        <f t="shared" si="72"/>
        <v/>
      </c>
      <c r="AI629" s="181" t="str">
        <f t="shared" si="73"/>
        <v/>
      </c>
      <c r="AJ629" s="181" t="str">
        <f t="shared" si="74"/>
        <v/>
      </c>
      <c r="AK629" s="181" t="str">
        <f t="shared" si="75"/>
        <v/>
      </c>
      <c r="AL629" s="181" t="str">
        <f t="shared" si="76"/>
        <v/>
      </c>
      <c r="AM629" s="181" t="str">
        <f t="shared" si="77"/>
        <v/>
      </c>
      <c r="AN629" s="181" t="str">
        <f t="shared" si="78"/>
        <v/>
      </c>
      <c r="AO629" s="192" t="str">
        <f t="shared" si="79"/>
        <v/>
      </c>
      <c r="AQ629" t="str">
        <f>IFERROR(LOOKUP(2,1/((C_Pavement!$A$5:$A$204&lt;&gt;"")*(C_Pavement!$A$5:$A$204&lt;=$B629)*(C_Pavement!$B$5:$B$204&gt;$B629)*(C_Pavement!$C$5:$C$204&lt;&gt;"")),ROW(C_Pavement!$C$5:$C$204)-4),"")</f>
        <v/>
      </c>
      <c r="AR629" t="str">
        <f>IF($AQ629="","",UPPER(TRIM(INDEX(C_Pavement!$C$5:$C$204,$AQ629))))</f>
        <v/>
      </c>
      <c r="AS629" t="str">
        <f>IF($AR629="","",IFERROR(MATCH($AR629,E_Rules!$A$5:$A$9,0),""))</f>
        <v/>
      </c>
      <c r="AT629" t="str">
        <f>IF($AQ629="","",IF(INDEX(C_Pavement!$D$5:$D$204,$AQ629)&lt;&gt;"",UPPER(TRIM(INDEX(C_Pavement!$D$5:$D$204,$AQ629))),IF($AS629="","",INDEX(E_Rules!$C$5:$C$9,$AS629))))</f>
        <v/>
      </c>
      <c r="AU629" t="str">
        <f>IF($AQ629="","",IF(INDEX(C_Pavement!$E$5:$E$204,$AQ629)&lt;&gt;"",IF(INDEX(C_Pavement!$E$5:$E$204,$AQ629)="-","",INDEX(C_Pavement!$E$5:$E$204,$AQ629)),IF($AS629="","",INDEX(E_Rules!$D$5:$D$9,$AS629))))</f>
        <v/>
      </c>
      <c r="AV629" t="str">
        <f>IF($AQ629="","",IF(INDEX(C_Pavement!$F$5:$F$204,$AQ629)&lt;&gt;"",IF(INDEX(C_Pavement!$F$5:$F$204,$AQ629)="-","",INDEX(C_Pavement!$F$5:$F$204,$AQ629)),IF($AS629="","",INDEX(E_Rules!$E$5:$E$9,$AS629))))</f>
        <v/>
      </c>
      <c r="AW629" t="str">
        <f>IF($AQ629="","",IF(INDEX(C_Pavement!$G$5:$G$204,$AQ629)&lt;&gt;"",IF(INDEX(C_Pavement!$G$5:$G$204,$AQ629)="-","",INDEX(C_Pavement!$G$5:$G$204,$AQ629)),IF($AS629="","",INDEX(E_Rules!$F$5:$F$9,$AS629))))</f>
        <v/>
      </c>
      <c r="AX629" t="str">
        <f>IF($AQ629="","",IF(INDEX(C_Pavement!$H$5:$H$204,$AQ629)&lt;&gt;"",IF(INDEX(C_Pavement!$H$5:$H$204,$AQ629)="-","",INDEX(C_Pavement!$H$5:$H$204,$AQ629)),IF($AS629="","",INDEX(E_Rules!$G$5:$G$9,$AS629))))</f>
        <v/>
      </c>
      <c r="AY629" t="str">
        <f>IF($AQ629="","",IF(INDEX(C_Pavement!$I$5:$I$204,$AQ629)&lt;&gt;"",IF(INDEX(C_Pavement!$I$5:$I$204,$AQ629)="-","",INDEX(C_Pavement!$I$5:$I$204,$AQ629)),IF($AS629="","",INDEX(E_Rules!$H$5:$H$9,$AS629))))</f>
        <v/>
      </c>
    </row>
    <row r="630" spans="1:51" ht="15.75" customHeight="1" x14ac:dyDescent="0.3">
      <c r="A630" s="189">
        <v>625</v>
      </c>
      <c r="B630" s="180">
        <v>31200</v>
      </c>
      <c r="C630" s="180" t="s">
        <v>936</v>
      </c>
      <c r="D630" s="181" t="str">
        <f>IFERROR(LOOKUP(2,1/((A_Corridor!$A$5:$A$204&lt;&gt;"")*(A_Corridor!$A$5:$A$204&lt;=$B630)*(A_Corridor!$B$5:$B$204&gt;$B630)*(A_Corridor!$C$5:$C$204&lt;&gt;"")),IF(UPPER(A_Corridor!$C$5:$C$204)="Y",1,"")),"")</f>
        <v/>
      </c>
      <c r="E630" s="181" t="str">
        <f>IFERROR(LOOKUP(2,1/((A_Corridor!$A$5:$A$204&lt;&gt;"")*(A_Corridor!$A$5:$A$204&lt;=$B630)*(A_Corridor!$B$5:$B$204&gt;$B630)*(A_Corridor!$D$5:$D$204&lt;&gt;"")),IF(A_Corridor!$D$5:$D$204="-","",UPPER(A_Corridor!$D$5:$D$204))),"")</f>
        <v/>
      </c>
      <c r="F630" s="181" t="str">
        <f>IFERROR(LOOKUP(2,1/((A_Corridor!$A$5:$A$204&lt;&gt;"")*(A_Corridor!$A$5:$A$204&lt;=$B630)*(A_Corridor!$B$5:$B$204&gt;$B630)*(A_Corridor!$E$5:$E$204&lt;&gt;"")),IF(A_Corridor!$E$5:$E$204="-","",1)),"")</f>
        <v/>
      </c>
      <c r="G630" s="182" t="str">
        <f>IFERROR(LOOKUP(2,1/((A_Corridor!$A$5:$A$204&lt;&gt;"")*(A_Corridor!$A$5:$A$204&lt;=$B630)*(A_Corridor!$B$5:$B$204&gt;$B630)*(A_Corridor!$E$5:$E$204&lt;&gt;"")),IF(A_Corridor!$E$5:$E$204="-","",A_Corridor!$E$5:$E$204)),"")</f>
        <v/>
      </c>
      <c r="H630" s="182" t="str">
        <f>IFERROR(LOOKUP(2,1/((D_Points!$A$5:$A$204&lt;&gt;"")*(D_Points!$A$5:$A$204&gt;=$B630)*(D_Points!$A$5:$A$204&lt;$B630+P_Interval)*(UPPER(TRIM(D_Points!$B$5:$B$204))="GULLY")*(D_Points!$H$5:$H$204&lt;&gt;"")),D_Points!$H$5:$H$204),"")</f>
        <v/>
      </c>
      <c r="I630" s="181" t="str">
        <f>IFERROR(LOOKUP(2,1/((A_Corridor!$A$5:$A$204&lt;&gt;"")*(A_Corridor!$A$5:$A$204&lt;=$B630)*(A_Corridor!$B$5:$B$204&gt;$B630)*(A_Corridor!$F$5:$F$204&lt;&gt;"")),IF(A_Corridor!$F$5:$F$204="-","",1)),"")</f>
        <v/>
      </c>
      <c r="J630" s="182" t="str">
        <f>IFERROR(LOOKUP(2,1/((A_Corridor!$A$5:$A$204&lt;&gt;"")*(A_Corridor!$A$5:$A$204&lt;=$B630)*(A_Corridor!$B$5:$B$204&gt;$B630)*(A_Corridor!$F$5:$F$204&lt;&gt;"")),IF(A_Corridor!$F$5:$F$204="-","",A_Corridor!$F$5:$F$204)),"")</f>
        <v/>
      </c>
      <c r="K630" s="182" t="str">
        <f>IFERROR(LOOKUP(2,1/((A_Corridor!$A$5:$A$204&lt;&gt;"")*(A_Corridor!$A$5:$A$204&lt;=$B630)*(A_Corridor!$B$5:$B$204&gt;$B630)*(A_Corridor!$G$5:$G$204&lt;&gt;"")),IF(A_Corridor!$G$5:$G$204="-","",A_Corridor!$G$5:$G$204)),"")</f>
        <v/>
      </c>
      <c r="L630" s="181" t="str">
        <f>IFERROR(LOOKUP(2,1/((A_Corridor!$A$5:$A$204&lt;&gt;"")*(A_Corridor!$A$5:$A$204&lt;=$B630)*(A_Corridor!$B$5:$B$204&gt;$B630)*(A_Corridor!$H$5:$H$204&lt;&gt;"")),IF(A_Corridor!$H$5:$H$204="-","",1)),"")</f>
        <v/>
      </c>
      <c r="M630" s="182" t="str">
        <f>IFERROR(LOOKUP(2,1/((A_Corridor!$A$5:$A$204&lt;&gt;"")*(A_Corridor!$A$5:$A$204&lt;=$B630)*(A_Corridor!$B$5:$B$204&gt;$B630)*(A_Corridor!$H$5:$H$204&lt;&gt;"")),IF(A_Corridor!$H$5:$H$204="-","",A_Corridor!$H$5:$H$204)),"")</f>
        <v/>
      </c>
      <c r="N630" s="182" t="str">
        <f>IFERROR(LOOKUP(2,1/((A_Corridor!$A$5:$A$204&lt;&gt;"")*(A_Corridor!$A$5:$A$204&lt;=$B630)*(A_Corridor!$B$5:$B$204&gt;$B630)*(A_Corridor!$I$5:$I$204&lt;&gt;"")),IF(A_Corridor!$I$5:$I$204="-","",A_Corridor!$I$5:$I$204)),"")</f>
        <v/>
      </c>
      <c r="O630" s="182" t="str">
        <f>IFERROR(LOOKUP(2,1/((D_Points!$A$5:$A$204&lt;&gt;"")*(D_Points!$A$5:$A$204&gt;=$B630)*(D_Points!$A$5:$A$204&lt;$B630+P_Interval)*(UPPER(TRIM(D_Points!$B$5:$B$204))="PITCHING")*(D_Points!$H$5:$H$204&lt;&gt;"")),D_Points!$H$5:$H$204),"")</f>
        <v/>
      </c>
      <c r="P630" s="181" t="str">
        <f>IFERROR(LOOKUP(2,1/((B_Drainage!$A$5:$A$204&lt;&gt;"")*(B_Drainage!$A$5:$A$204&lt;=$B630)*(B_Drainage!$B$5:$B$204&gt;$B630)*(B_Drainage!$C$5:$C$204&lt;&gt;"")),IF(B_Drainage!$C$5:$C$204="-","",UPPER(B_Drainage!$C$5:$C$204))),"")</f>
        <v/>
      </c>
      <c r="Q630" s="181" t="str">
        <f>IFERROR(LOOKUP(2,1/((B_Drainage!$A$5:$A$204&lt;&gt;"")*(B_Drainage!$A$5:$A$204&lt;=$B630)*(B_Drainage!$B$5:$B$204&gt;$B630)*(B_Drainage!$D$5:$D$204&lt;&gt;"")),IF(B_Drainage!$D$5:$D$204="-","",UPPER(B_Drainage!$D$5:$D$204))),"")</f>
        <v/>
      </c>
      <c r="R630" s="182" t="str">
        <f>IFERROR(LOOKUP(2,1/((D_Points!$A$5:$A$204&lt;&gt;"")*(D_Points!$A$5:$A$204&gt;=$B630)*(D_Points!$A$5:$A$204&lt;$B630+P_Interval)*(RIGHT(UPPER(TRIM(D_Points!$B$5:$B$204)),8)="_CULVERT")),IF(LEFT(UPPER(TRIM(D_Points!$B$5:$B$204)),2)="EX",1,IF(LEFT(UPPER(TRIM(D_Points!$B$5:$B$204)),2)="PR",2,3))),"")</f>
        <v/>
      </c>
      <c r="S630" s="182" t="str">
        <f>IFERROR(LOOKUP(2,1/((D_Points!$A$5:$A$204&lt;&gt;"")*(D_Points!$A$5:$A$204&gt;=$B630)*(D_Points!$A$5:$A$204&lt;$B630+P_Interval)*(RIGHT(UPPER(TRIM(D_Points!$B$5:$B$204)),7)="_BRIDGE")),IF(LEFT(UPPER(TRIM(D_Points!$B$5:$B$204)),2)="EX",1,IF(LEFT(UPPER(TRIM(D_Points!$B$5:$B$204)),2)="PR",2,2))),"")</f>
        <v/>
      </c>
      <c r="T630" s="181" t="str">
        <f>IFERROR(LOOKUP(2,1/((B_Drainage!$A$5:$A$204&lt;&gt;"")*(B_Drainage!$A$5:$A$204&lt;=$B630)*(B_Drainage!$B$5:$B$204&gt;$B630)*(B_Drainage!$E$5:$E$204&lt;&gt;"")),IF(B_Drainage!$E$5:$E$204="-","",1)),"")</f>
        <v/>
      </c>
      <c r="U630" s="181" t="str">
        <f>IFERROR(LOOKUP(2,1/((B_Drainage!$A$5:$A$204&lt;&gt;"")*(B_Drainage!$A$5:$A$204&lt;=$B630)*(B_Drainage!$B$5:$B$204&gt;$B630)*(B_Drainage!$E$5:$E$204&lt;&gt;"")),IF(B_Drainage!$E$5:$E$204="-","",B_Drainage!$E$5:$E$204)),"")</f>
        <v/>
      </c>
      <c r="V630" s="181" t="str">
        <f>IFERROR(LOOKUP(2,1/((B_Drainage!$A$5:$A$204&lt;&gt;"")*(B_Drainage!$A$5:$A$204&lt;=$B630)*(B_Drainage!$B$5:$B$204&gt;$B630)*(B_Drainage!$F$5:$F$204&lt;&gt;"")),IF(B_Drainage!$F$5:$F$204="-","",1)),"")</f>
        <v/>
      </c>
      <c r="W630" s="181" t="str">
        <f>IFERROR(LOOKUP(2,1/((B_Drainage!$A$5:$A$204&lt;&gt;"")*(B_Drainage!$A$5:$A$204&lt;=$B630)*(B_Drainage!$B$5:$B$204&gt;$B630)*(B_Drainage!$F$5:$F$204&lt;&gt;"")),IF(B_Drainage!$F$5:$F$204="-","",B_Drainage!$F$5:$F$204)),"")</f>
        <v/>
      </c>
      <c r="X630" s="181" t="str">
        <f>IFERROR(LOOKUP(2,1/((B_Drainage!$A$5:$A$204&lt;&gt;"")*(B_Drainage!$A$5:$A$204&lt;=$B630)*(B_Drainage!$B$5:$B$204&gt;$B630)*(B_Drainage!$G$5:$G$204&lt;&gt;"")),IF(UPPER(B_Drainage!$G$5:$G$204)="Y",1,"")),"")</f>
        <v/>
      </c>
      <c r="Y630" s="181" t="str">
        <f>IFERROR(LOOKUP(2,1/((B_Drainage!$A$5:$A$204&lt;&gt;"")*(B_Drainage!$A$5:$A$204&lt;=$B630)*(B_Drainage!$B$5:$B$204&gt;$B630)*(B_Drainage!$H$5:$H$204&lt;&gt;"")),IF(UPPER(B_Drainage!$H$5:$H$204)="Y",1,"")),"")</f>
        <v/>
      </c>
      <c r="Z630" s="181" t="str">
        <f>IFERROR(LOOKUP(2,1/((B_Drainage!$A$5:$A$204&lt;&gt;"")*(B_Drainage!$A$5:$A$204&lt;=$B630)*(B_Drainage!$B$5:$B$204&gt;$B630)*(B_Drainage!$I$5:$I$204&lt;&gt;"")),IF(UPPER(B_Drainage!$I$5:$I$204)="Y",1,"")),"")</f>
        <v/>
      </c>
      <c r="AA630" s="181" t="str">
        <f>IFERROR(LOOKUP(2,1/((B_Drainage!$A$5:$A$204&lt;&gt;"")*(B_Drainage!$A$5:$A$204&lt;=$B630)*(B_Drainage!$B$5:$B$204&gt;$B630)*(B_Drainage!$J$5:$J$204&lt;&gt;"")),IF(UPPER(B_Drainage!$J$5:$J$204)="Y",1,"")),"")</f>
        <v/>
      </c>
      <c r="AB630" s="182" t="str">
        <f>IFERROR(LOOKUP(2,1/((B_Drainage!$A$5:$A$204&lt;&gt;"")*(B_Drainage!$A$5:$A$204&lt;=$B630)*(B_Drainage!$B$5:$B$204&gt;$B630)*(B_Drainage!$K$5:$K$204&lt;&gt;"")),IF(B_Drainage!$K$5:$K$204="-","",B_Drainage!$K$5:$K$204)),"")</f>
        <v/>
      </c>
      <c r="AC630" s="182" t="str">
        <f>IFERROR(LOOKUP(2,1/((B_Drainage!$A$5:$A$204&lt;&gt;"")*(B_Drainage!$A$5:$A$204&lt;=$B630)*(B_Drainage!$B$5:$B$204&gt;$B630)*(B_Drainage!$L$5:$L$204&lt;&gt;"")),IF(B_Drainage!$L$5:$L$204="-","",B_Drainage!$L$5:$L$204)),"")</f>
        <v/>
      </c>
      <c r="AD630" s="182" t="str">
        <f>IFERROR(LOOKUP(2,1/((D_Points!$A$5:$A$204&lt;&gt;"")*(D_Points!$A$5:$A$204&gt;=$B630)*(D_Points!$A$5:$A$204&lt;$B630+P_Interval)*(UPPER(TRIM(D_Points!$B$5:$B$204))="TURNOUT_L")*(D_Points!$H$5:$H$204&lt;&gt;"")),D_Points!$H$5:$H$204),"")</f>
        <v/>
      </c>
      <c r="AE630" s="182" t="str">
        <f>IFERROR(LOOKUP(2,1/((D_Points!$A$5:$A$204&lt;&gt;"")*(D_Points!$A$5:$A$204&gt;=$B630)*(D_Points!$A$5:$A$204&lt;$B630+P_Interval)*(UPPER(TRIM(D_Points!$B$5:$B$204))="TURNOUT_R")*(D_Points!$H$5:$H$204&lt;&gt;"")),D_Points!$H$5:$H$204),"")</f>
        <v/>
      </c>
      <c r="AF630" s="181" t="str">
        <f>IFERROR(LOOKUP(2,1/((B_Drainage!$A$5:$A$204&lt;&gt;"")*(B_Drainage!$A$5:$A$204&lt;=$B630)*(B_Drainage!$B$5:$B$204&gt;$B630)*(B_Drainage!$M$5:$M$204&lt;&gt;"")),IF(UPPER(B_Drainage!$M$5:$M$204)="Y",1,"")),"")</f>
        <v/>
      </c>
      <c r="AG630" s="181" t="str">
        <f>IFERROR(LOOKUP(2,1/((B_Drainage!$A$5:$A$204&lt;&gt;"")*(B_Drainage!$A$5:$A$204&lt;=$B630)*(B_Drainage!$B$5:$B$204&gt;$B630)*(B_Drainage!$N$5:$N$204&lt;&gt;"")),IF(UPPER(B_Drainage!$N$5:$N$204)="Y",1,"")),"")</f>
        <v/>
      </c>
      <c r="AH630" s="181" t="str">
        <f t="shared" si="72"/>
        <v/>
      </c>
      <c r="AI630" s="181" t="str">
        <f t="shared" si="73"/>
        <v/>
      </c>
      <c r="AJ630" s="181" t="str">
        <f t="shared" si="74"/>
        <v/>
      </c>
      <c r="AK630" s="181" t="str">
        <f t="shared" si="75"/>
        <v/>
      </c>
      <c r="AL630" s="181" t="str">
        <f t="shared" si="76"/>
        <v/>
      </c>
      <c r="AM630" s="181" t="str">
        <f t="shared" si="77"/>
        <v/>
      </c>
      <c r="AN630" s="181" t="str">
        <f t="shared" si="78"/>
        <v/>
      </c>
      <c r="AO630" s="192" t="str">
        <f t="shared" si="79"/>
        <v/>
      </c>
      <c r="AQ630" t="str">
        <f>IFERROR(LOOKUP(2,1/((C_Pavement!$A$5:$A$204&lt;&gt;"")*(C_Pavement!$A$5:$A$204&lt;=$B630)*(C_Pavement!$B$5:$B$204&gt;$B630)*(C_Pavement!$C$5:$C$204&lt;&gt;"")),ROW(C_Pavement!$C$5:$C$204)-4),"")</f>
        <v/>
      </c>
      <c r="AR630" t="str">
        <f>IF($AQ630="","",UPPER(TRIM(INDEX(C_Pavement!$C$5:$C$204,$AQ630))))</f>
        <v/>
      </c>
      <c r="AS630" t="str">
        <f>IF($AR630="","",IFERROR(MATCH($AR630,E_Rules!$A$5:$A$9,0),""))</f>
        <v/>
      </c>
      <c r="AT630" t="str">
        <f>IF($AQ630="","",IF(INDEX(C_Pavement!$D$5:$D$204,$AQ630)&lt;&gt;"",UPPER(TRIM(INDEX(C_Pavement!$D$5:$D$204,$AQ630))),IF($AS630="","",INDEX(E_Rules!$C$5:$C$9,$AS630))))</f>
        <v/>
      </c>
      <c r="AU630" t="str">
        <f>IF($AQ630="","",IF(INDEX(C_Pavement!$E$5:$E$204,$AQ630)&lt;&gt;"",IF(INDEX(C_Pavement!$E$5:$E$204,$AQ630)="-","",INDEX(C_Pavement!$E$5:$E$204,$AQ630)),IF($AS630="","",INDEX(E_Rules!$D$5:$D$9,$AS630))))</f>
        <v/>
      </c>
      <c r="AV630" t="str">
        <f>IF($AQ630="","",IF(INDEX(C_Pavement!$F$5:$F$204,$AQ630)&lt;&gt;"",IF(INDEX(C_Pavement!$F$5:$F$204,$AQ630)="-","",INDEX(C_Pavement!$F$5:$F$204,$AQ630)),IF($AS630="","",INDEX(E_Rules!$E$5:$E$9,$AS630))))</f>
        <v/>
      </c>
      <c r="AW630" t="str">
        <f>IF($AQ630="","",IF(INDEX(C_Pavement!$G$5:$G$204,$AQ630)&lt;&gt;"",IF(INDEX(C_Pavement!$G$5:$G$204,$AQ630)="-","",INDEX(C_Pavement!$G$5:$G$204,$AQ630)),IF($AS630="","",INDEX(E_Rules!$F$5:$F$9,$AS630))))</f>
        <v/>
      </c>
      <c r="AX630" t="str">
        <f>IF($AQ630="","",IF(INDEX(C_Pavement!$H$5:$H$204,$AQ630)&lt;&gt;"",IF(INDEX(C_Pavement!$H$5:$H$204,$AQ630)="-","",INDEX(C_Pavement!$H$5:$H$204,$AQ630)),IF($AS630="","",INDEX(E_Rules!$G$5:$G$9,$AS630))))</f>
        <v/>
      </c>
      <c r="AY630" t="str">
        <f>IF($AQ630="","",IF(INDEX(C_Pavement!$I$5:$I$204,$AQ630)&lt;&gt;"",IF(INDEX(C_Pavement!$I$5:$I$204,$AQ630)="-","",INDEX(C_Pavement!$I$5:$I$204,$AQ630)),IF($AS630="","",INDEX(E_Rules!$H$5:$H$9,$AS630))))</f>
        <v/>
      </c>
    </row>
    <row r="631" spans="1:51" ht="15.75" customHeight="1" x14ac:dyDescent="0.3">
      <c r="A631" s="189">
        <v>626</v>
      </c>
      <c r="B631" s="180">
        <v>31250</v>
      </c>
      <c r="C631" s="180" t="s">
        <v>937</v>
      </c>
      <c r="D631" s="181" t="str">
        <f>IFERROR(LOOKUP(2,1/((A_Corridor!$A$5:$A$204&lt;&gt;"")*(A_Corridor!$A$5:$A$204&lt;=$B631)*(A_Corridor!$B$5:$B$204&gt;$B631)*(A_Corridor!$C$5:$C$204&lt;&gt;"")),IF(UPPER(A_Corridor!$C$5:$C$204)="Y",1,"")),"")</f>
        <v/>
      </c>
      <c r="E631" s="181" t="str">
        <f>IFERROR(LOOKUP(2,1/((A_Corridor!$A$5:$A$204&lt;&gt;"")*(A_Corridor!$A$5:$A$204&lt;=$B631)*(A_Corridor!$B$5:$B$204&gt;$B631)*(A_Corridor!$D$5:$D$204&lt;&gt;"")),IF(A_Corridor!$D$5:$D$204="-","",UPPER(A_Corridor!$D$5:$D$204))),"")</f>
        <v/>
      </c>
      <c r="F631" s="181" t="str">
        <f>IFERROR(LOOKUP(2,1/((A_Corridor!$A$5:$A$204&lt;&gt;"")*(A_Corridor!$A$5:$A$204&lt;=$B631)*(A_Corridor!$B$5:$B$204&gt;$B631)*(A_Corridor!$E$5:$E$204&lt;&gt;"")),IF(A_Corridor!$E$5:$E$204="-","",1)),"")</f>
        <v/>
      </c>
      <c r="G631" s="182" t="str">
        <f>IFERROR(LOOKUP(2,1/((A_Corridor!$A$5:$A$204&lt;&gt;"")*(A_Corridor!$A$5:$A$204&lt;=$B631)*(A_Corridor!$B$5:$B$204&gt;$B631)*(A_Corridor!$E$5:$E$204&lt;&gt;"")),IF(A_Corridor!$E$5:$E$204="-","",A_Corridor!$E$5:$E$204)),"")</f>
        <v/>
      </c>
      <c r="H631" s="182" t="str">
        <f>IFERROR(LOOKUP(2,1/((D_Points!$A$5:$A$204&lt;&gt;"")*(D_Points!$A$5:$A$204&gt;=$B631)*(D_Points!$A$5:$A$204&lt;$B631+P_Interval)*(UPPER(TRIM(D_Points!$B$5:$B$204))="GULLY")*(D_Points!$H$5:$H$204&lt;&gt;"")),D_Points!$H$5:$H$204),"")</f>
        <v/>
      </c>
      <c r="I631" s="181" t="str">
        <f>IFERROR(LOOKUP(2,1/((A_Corridor!$A$5:$A$204&lt;&gt;"")*(A_Corridor!$A$5:$A$204&lt;=$B631)*(A_Corridor!$B$5:$B$204&gt;$B631)*(A_Corridor!$F$5:$F$204&lt;&gt;"")),IF(A_Corridor!$F$5:$F$204="-","",1)),"")</f>
        <v/>
      </c>
      <c r="J631" s="182" t="str">
        <f>IFERROR(LOOKUP(2,1/((A_Corridor!$A$5:$A$204&lt;&gt;"")*(A_Corridor!$A$5:$A$204&lt;=$B631)*(A_Corridor!$B$5:$B$204&gt;$B631)*(A_Corridor!$F$5:$F$204&lt;&gt;"")),IF(A_Corridor!$F$5:$F$204="-","",A_Corridor!$F$5:$F$204)),"")</f>
        <v/>
      </c>
      <c r="K631" s="182" t="str">
        <f>IFERROR(LOOKUP(2,1/((A_Corridor!$A$5:$A$204&lt;&gt;"")*(A_Corridor!$A$5:$A$204&lt;=$B631)*(A_Corridor!$B$5:$B$204&gt;$B631)*(A_Corridor!$G$5:$G$204&lt;&gt;"")),IF(A_Corridor!$G$5:$G$204="-","",A_Corridor!$G$5:$G$204)),"")</f>
        <v/>
      </c>
      <c r="L631" s="181" t="str">
        <f>IFERROR(LOOKUP(2,1/((A_Corridor!$A$5:$A$204&lt;&gt;"")*(A_Corridor!$A$5:$A$204&lt;=$B631)*(A_Corridor!$B$5:$B$204&gt;$B631)*(A_Corridor!$H$5:$H$204&lt;&gt;"")),IF(A_Corridor!$H$5:$H$204="-","",1)),"")</f>
        <v/>
      </c>
      <c r="M631" s="182" t="str">
        <f>IFERROR(LOOKUP(2,1/((A_Corridor!$A$5:$A$204&lt;&gt;"")*(A_Corridor!$A$5:$A$204&lt;=$B631)*(A_Corridor!$B$5:$B$204&gt;$B631)*(A_Corridor!$H$5:$H$204&lt;&gt;"")),IF(A_Corridor!$H$5:$H$204="-","",A_Corridor!$H$5:$H$204)),"")</f>
        <v/>
      </c>
      <c r="N631" s="182" t="str">
        <f>IFERROR(LOOKUP(2,1/((A_Corridor!$A$5:$A$204&lt;&gt;"")*(A_Corridor!$A$5:$A$204&lt;=$B631)*(A_Corridor!$B$5:$B$204&gt;$B631)*(A_Corridor!$I$5:$I$204&lt;&gt;"")),IF(A_Corridor!$I$5:$I$204="-","",A_Corridor!$I$5:$I$204)),"")</f>
        <v/>
      </c>
      <c r="O631" s="182" t="str">
        <f>IFERROR(LOOKUP(2,1/((D_Points!$A$5:$A$204&lt;&gt;"")*(D_Points!$A$5:$A$204&gt;=$B631)*(D_Points!$A$5:$A$204&lt;$B631+P_Interval)*(UPPER(TRIM(D_Points!$B$5:$B$204))="PITCHING")*(D_Points!$H$5:$H$204&lt;&gt;"")),D_Points!$H$5:$H$204),"")</f>
        <v/>
      </c>
      <c r="P631" s="181" t="str">
        <f>IFERROR(LOOKUP(2,1/((B_Drainage!$A$5:$A$204&lt;&gt;"")*(B_Drainage!$A$5:$A$204&lt;=$B631)*(B_Drainage!$B$5:$B$204&gt;$B631)*(B_Drainage!$C$5:$C$204&lt;&gt;"")),IF(B_Drainage!$C$5:$C$204="-","",UPPER(B_Drainage!$C$5:$C$204))),"")</f>
        <v/>
      </c>
      <c r="Q631" s="181" t="str">
        <f>IFERROR(LOOKUP(2,1/((B_Drainage!$A$5:$A$204&lt;&gt;"")*(B_Drainage!$A$5:$A$204&lt;=$B631)*(B_Drainage!$B$5:$B$204&gt;$B631)*(B_Drainage!$D$5:$D$204&lt;&gt;"")),IF(B_Drainage!$D$5:$D$204="-","",UPPER(B_Drainage!$D$5:$D$204))),"")</f>
        <v/>
      </c>
      <c r="R631" s="182" t="str">
        <f>IFERROR(LOOKUP(2,1/((D_Points!$A$5:$A$204&lt;&gt;"")*(D_Points!$A$5:$A$204&gt;=$B631)*(D_Points!$A$5:$A$204&lt;$B631+P_Interval)*(RIGHT(UPPER(TRIM(D_Points!$B$5:$B$204)),8)="_CULVERT")),IF(LEFT(UPPER(TRIM(D_Points!$B$5:$B$204)),2)="EX",1,IF(LEFT(UPPER(TRIM(D_Points!$B$5:$B$204)),2)="PR",2,3))),"")</f>
        <v/>
      </c>
      <c r="S631" s="182" t="str">
        <f>IFERROR(LOOKUP(2,1/((D_Points!$A$5:$A$204&lt;&gt;"")*(D_Points!$A$5:$A$204&gt;=$B631)*(D_Points!$A$5:$A$204&lt;$B631+P_Interval)*(RIGHT(UPPER(TRIM(D_Points!$B$5:$B$204)),7)="_BRIDGE")),IF(LEFT(UPPER(TRIM(D_Points!$B$5:$B$204)),2)="EX",1,IF(LEFT(UPPER(TRIM(D_Points!$B$5:$B$204)),2)="PR",2,2))),"")</f>
        <v/>
      </c>
      <c r="T631" s="181" t="str">
        <f>IFERROR(LOOKUP(2,1/((B_Drainage!$A$5:$A$204&lt;&gt;"")*(B_Drainage!$A$5:$A$204&lt;=$B631)*(B_Drainage!$B$5:$B$204&gt;$B631)*(B_Drainage!$E$5:$E$204&lt;&gt;"")),IF(B_Drainage!$E$5:$E$204="-","",1)),"")</f>
        <v/>
      </c>
      <c r="U631" s="181" t="str">
        <f>IFERROR(LOOKUP(2,1/((B_Drainage!$A$5:$A$204&lt;&gt;"")*(B_Drainage!$A$5:$A$204&lt;=$B631)*(B_Drainage!$B$5:$B$204&gt;$B631)*(B_Drainage!$E$5:$E$204&lt;&gt;"")),IF(B_Drainage!$E$5:$E$204="-","",B_Drainage!$E$5:$E$204)),"")</f>
        <v/>
      </c>
      <c r="V631" s="181" t="str">
        <f>IFERROR(LOOKUP(2,1/((B_Drainage!$A$5:$A$204&lt;&gt;"")*(B_Drainage!$A$5:$A$204&lt;=$B631)*(B_Drainage!$B$5:$B$204&gt;$B631)*(B_Drainage!$F$5:$F$204&lt;&gt;"")),IF(B_Drainage!$F$5:$F$204="-","",1)),"")</f>
        <v/>
      </c>
      <c r="W631" s="181" t="str">
        <f>IFERROR(LOOKUP(2,1/((B_Drainage!$A$5:$A$204&lt;&gt;"")*(B_Drainage!$A$5:$A$204&lt;=$B631)*(B_Drainage!$B$5:$B$204&gt;$B631)*(B_Drainage!$F$5:$F$204&lt;&gt;"")),IF(B_Drainage!$F$5:$F$204="-","",B_Drainage!$F$5:$F$204)),"")</f>
        <v/>
      </c>
      <c r="X631" s="181" t="str">
        <f>IFERROR(LOOKUP(2,1/((B_Drainage!$A$5:$A$204&lt;&gt;"")*(B_Drainage!$A$5:$A$204&lt;=$B631)*(B_Drainage!$B$5:$B$204&gt;$B631)*(B_Drainage!$G$5:$G$204&lt;&gt;"")),IF(UPPER(B_Drainage!$G$5:$G$204)="Y",1,"")),"")</f>
        <v/>
      </c>
      <c r="Y631" s="181" t="str">
        <f>IFERROR(LOOKUP(2,1/((B_Drainage!$A$5:$A$204&lt;&gt;"")*(B_Drainage!$A$5:$A$204&lt;=$B631)*(B_Drainage!$B$5:$B$204&gt;$B631)*(B_Drainage!$H$5:$H$204&lt;&gt;"")),IF(UPPER(B_Drainage!$H$5:$H$204)="Y",1,"")),"")</f>
        <v/>
      </c>
      <c r="Z631" s="181" t="str">
        <f>IFERROR(LOOKUP(2,1/((B_Drainage!$A$5:$A$204&lt;&gt;"")*(B_Drainage!$A$5:$A$204&lt;=$B631)*(B_Drainage!$B$5:$B$204&gt;$B631)*(B_Drainage!$I$5:$I$204&lt;&gt;"")),IF(UPPER(B_Drainage!$I$5:$I$204)="Y",1,"")),"")</f>
        <v/>
      </c>
      <c r="AA631" s="181" t="str">
        <f>IFERROR(LOOKUP(2,1/((B_Drainage!$A$5:$A$204&lt;&gt;"")*(B_Drainage!$A$5:$A$204&lt;=$B631)*(B_Drainage!$B$5:$B$204&gt;$B631)*(B_Drainage!$J$5:$J$204&lt;&gt;"")),IF(UPPER(B_Drainage!$J$5:$J$204)="Y",1,"")),"")</f>
        <v/>
      </c>
      <c r="AB631" s="182" t="str">
        <f>IFERROR(LOOKUP(2,1/((B_Drainage!$A$5:$A$204&lt;&gt;"")*(B_Drainage!$A$5:$A$204&lt;=$B631)*(B_Drainage!$B$5:$B$204&gt;$B631)*(B_Drainage!$K$5:$K$204&lt;&gt;"")),IF(B_Drainage!$K$5:$K$204="-","",B_Drainage!$K$5:$K$204)),"")</f>
        <v/>
      </c>
      <c r="AC631" s="182" t="str">
        <f>IFERROR(LOOKUP(2,1/((B_Drainage!$A$5:$A$204&lt;&gt;"")*(B_Drainage!$A$5:$A$204&lt;=$B631)*(B_Drainage!$B$5:$B$204&gt;$B631)*(B_Drainage!$L$5:$L$204&lt;&gt;"")),IF(B_Drainage!$L$5:$L$204="-","",B_Drainage!$L$5:$L$204)),"")</f>
        <v/>
      </c>
      <c r="AD631" s="182" t="str">
        <f>IFERROR(LOOKUP(2,1/((D_Points!$A$5:$A$204&lt;&gt;"")*(D_Points!$A$5:$A$204&gt;=$B631)*(D_Points!$A$5:$A$204&lt;$B631+P_Interval)*(UPPER(TRIM(D_Points!$B$5:$B$204))="TURNOUT_L")*(D_Points!$H$5:$H$204&lt;&gt;"")),D_Points!$H$5:$H$204),"")</f>
        <v/>
      </c>
      <c r="AE631" s="182" t="str">
        <f>IFERROR(LOOKUP(2,1/((D_Points!$A$5:$A$204&lt;&gt;"")*(D_Points!$A$5:$A$204&gt;=$B631)*(D_Points!$A$5:$A$204&lt;$B631+P_Interval)*(UPPER(TRIM(D_Points!$B$5:$B$204))="TURNOUT_R")*(D_Points!$H$5:$H$204&lt;&gt;"")),D_Points!$H$5:$H$204),"")</f>
        <v/>
      </c>
      <c r="AF631" s="181" t="str">
        <f>IFERROR(LOOKUP(2,1/((B_Drainage!$A$5:$A$204&lt;&gt;"")*(B_Drainage!$A$5:$A$204&lt;=$B631)*(B_Drainage!$B$5:$B$204&gt;$B631)*(B_Drainage!$M$5:$M$204&lt;&gt;"")),IF(UPPER(B_Drainage!$M$5:$M$204)="Y",1,"")),"")</f>
        <v/>
      </c>
      <c r="AG631" s="181" t="str">
        <f>IFERROR(LOOKUP(2,1/((B_Drainage!$A$5:$A$204&lt;&gt;"")*(B_Drainage!$A$5:$A$204&lt;=$B631)*(B_Drainage!$B$5:$B$204&gt;$B631)*(B_Drainage!$N$5:$N$204&lt;&gt;"")),IF(UPPER(B_Drainage!$N$5:$N$204)="Y",1,"")),"")</f>
        <v/>
      </c>
      <c r="AH631" s="181" t="str">
        <f t="shared" si="72"/>
        <v/>
      </c>
      <c r="AI631" s="181" t="str">
        <f t="shared" si="73"/>
        <v/>
      </c>
      <c r="AJ631" s="181" t="str">
        <f t="shared" si="74"/>
        <v/>
      </c>
      <c r="AK631" s="181" t="str">
        <f t="shared" si="75"/>
        <v/>
      </c>
      <c r="AL631" s="181" t="str">
        <f t="shared" si="76"/>
        <v/>
      </c>
      <c r="AM631" s="181" t="str">
        <f t="shared" si="77"/>
        <v/>
      </c>
      <c r="AN631" s="181" t="str">
        <f t="shared" si="78"/>
        <v/>
      </c>
      <c r="AO631" s="192" t="str">
        <f t="shared" si="79"/>
        <v/>
      </c>
      <c r="AQ631" t="str">
        <f>IFERROR(LOOKUP(2,1/((C_Pavement!$A$5:$A$204&lt;&gt;"")*(C_Pavement!$A$5:$A$204&lt;=$B631)*(C_Pavement!$B$5:$B$204&gt;$B631)*(C_Pavement!$C$5:$C$204&lt;&gt;"")),ROW(C_Pavement!$C$5:$C$204)-4),"")</f>
        <v/>
      </c>
      <c r="AR631" t="str">
        <f>IF($AQ631="","",UPPER(TRIM(INDEX(C_Pavement!$C$5:$C$204,$AQ631))))</f>
        <v/>
      </c>
      <c r="AS631" t="str">
        <f>IF($AR631="","",IFERROR(MATCH($AR631,E_Rules!$A$5:$A$9,0),""))</f>
        <v/>
      </c>
      <c r="AT631" t="str">
        <f>IF($AQ631="","",IF(INDEX(C_Pavement!$D$5:$D$204,$AQ631)&lt;&gt;"",UPPER(TRIM(INDEX(C_Pavement!$D$5:$D$204,$AQ631))),IF($AS631="","",INDEX(E_Rules!$C$5:$C$9,$AS631))))</f>
        <v/>
      </c>
      <c r="AU631" t="str">
        <f>IF($AQ631="","",IF(INDEX(C_Pavement!$E$5:$E$204,$AQ631)&lt;&gt;"",IF(INDEX(C_Pavement!$E$5:$E$204,$AQ631)="-","",INDEX(C_Pavement!$E$5:$E$204,$AQ631)),IF($AS631="","",INDEX(E_Rules!$D$5:$D$9,$AS631))))</f>
        <v/>
      </c>
      <c r="AV631" t="str">
        <f>IF($AQ631="","",IF(INDEX(C_Pavement!$F$5:$F$204,$AQ631)&lt;&gt;"",IF(INDEX(C_Pavement!$F$5:$F$204,$AQ631)="-","",INDEX(C_Pavement!$F$5:$F$204,$AQ631)),IF($AS631="","",INDEX(E_Rules!$E$5:$E$9,$AS631))))</f>
        <v/>
      </c>
      <c r="AW631" t="str">
        <f>IF($AQ631="","",IF(INDEX(C_Pavement!$G$5:$G$204,$AQ631)&lt;&gt;"",IF(INDEX(C_Pavement!$G$5:$G$204,$AQ631)="-","",INDEX(C_Pavement!$G$5:$G$204,$AQ631)),IF($AS631="","",INDEX(E_Rules!$F$5:$F$9,$AS631))))</f>
        <v/>
      </c>
      <c r="AX631" t="str">
        <f>IF($AQ631="","",IF(INDEX(C_Pavement!$H$5:$H$204,$AQ631)&lt;&gt;"",IF(INDEX(C_Pavement!$H$5:$H$204,$AQ631)="-","",INDEX(C_Pavement!$H$5:$H$204,$AQ631)),IF($AS631="","",INDEX(E_Rules!$G$5:$G$9,$AS631))))</f>
        <v/>
      </c>
      <c r="AY631" t="str">
        <f>IF($AQ631="","",IF(INDEX(C_Pavement!$I$5:$I$204,$AQ631)&lt;&gt;"",IF(INDEX(C_Pavement!$I$5:$I$204,$AQ631)="-","",INDEX(C_Pavement!$I$5:$I$204,$AQ631)),IF($AS631="","",INDEX(E_Rules!$H$5:$H$9,$AS631))))</f>
        <v/>
      </c>
    </row>
    <row r="632" spans="1:51" ht="15.75" customHeight="1" x14ac:dyDescent="0.3">
      <c r="A632" s="189">
        <v>627</v>
      </c>
      <c r="B632" s="180">
        <v>31300</v>
      </c>
      <c r="C632" s="180" t="s">
        <v>938</v>
      </c>
      <c r="D632" s="181" t="str">
        <f>IFERROR(LOOKUP(2,1/((A_Corridor!$A$5:$A$204&lt;&gt;"")*(A_Corridor!$A$5:$A$204&lt;=$B632)*(A_Corridor!$B$5:$B$204&gt;$B632)*(A_Corridor!$C$5:$C$204&lt;&gt;"")),IF(UPPER(A_Corridor!$C$5:$C$204)="Y",1,"")),"")</f>
        <v/>
      </c>
      <c r="E632" s="181" t="str">
        <f>IFERROR(LOOKUP(2,1/((A_Corridor!$A$5:$A$204&lt;&gt;"")*(A_Corridor!$A$5:$A$204&lt;=$B632)*(A_Corridor!$B$5:$B$204&gt;$B632)*(A_Corridor!$D$5:$D$204&lt;&gt;"")),IF(A_Corridor!$D$5:$D$204="-","",UPPER(A_Corridor!$D$5:$D$204))),"")</f>
        <v/>
      </c>
      <c r="F632" s="181" t="str">
        <f>IFERROR(LOOKUP(2,1/((A_Corridor!$A$5:$A$204&lt;&gt;"")*(A_Corridor!$A$5:$A$204&lt;=$B632)*(A_Corridor!$B$5:$B$204&gt;$B632)*(A_Corridor!$E$5:$E$204&lt;&gt;"")),IF(A_Corridor!$E$5:$E$204="-","",1)),"")</f>
        <v/>
      </c>
      <c r="G632" s="182" t="str">
        <f>IFERROR(LOOKUP(2,1/((A_Corridor!$A$5:$A$204&lt;&gt;"")*(A_Corridor!$A$5:$A$204&lt;=$B632)*(A_Corridor!$B$5:$B$204&gt;$B632)*(A_Corridor!$E$5:$E$204&lt;&gt;"")),IF(A_Corridor!$E$5:$E$204="-","",A_Corridor!$E$5:$E$204)),"")</f>
        <v/>
      </c>
      <c r="H632" s="182" t="str">
        <f>IFERROR(LOOKUP(2,1/((D_Points!$A$5:$A$204&lt;&gt;"")*(D_Points!$A$5:$A$204&gt;=$B632)*(D_Points!$A$5:$A$204&lt;$B632+P_Interval)*(UPPER(TRIM(D_Points!$B$5:$B$204))="GULLY")*(D_Points!$H$5:$H$204&lt;&gt;"")),D_Points!$H$5:$H$204),"")</f>
        <v/>
      </c>
      <c r="I632" s="181" t="str">
        <f>IFERROR(LOOKUP(2,1/((A_Corridor!$A$5:$A$204&lt;&gt;"")*(A_Corridor!$A$5:$A$204&lt;=$B632)*(A_Corridor!$B$5:$B$204&gt;$B632)*(A_Corridor!$F$5:$F$204&lt;&gt;"")),IF(A_Corridor!$F$5:$F$204="-","",1)),"")</f>
        <v/>
      </c>
      <c r="J632" s="182" t="str">
        <f>IFERROR(LOOKUP(2,1/((A_Corridor!$A$5:$A$204&lt;&gt;"")*(A_Corridor!$A$5:$A$204&lt;=$B632)*(A_Corridor!$B$5:$B$204&gt;$B632)*(A_Corridor!$F$5:$F$204&lt;&gt;"")),IF(A_Corridor!$F$5:$F$204="-","",A_Corridor!$F$5:$F$204)),"")</f>
        <v/>
      </c>
      <c r="K632" s="182" t="str">
        <f>IFERROR(LOOKUP(2,1/((A_Corridor!$A$5:$A$204&lt;&gt;"")*(A_Corridor!$A$5:$A$204&lt;=$B632)*(A_Corridor!$B$5:$B$204&gt;$B632)*(A_Corridor!$G$5:$G$204&lt;&gt;"")),IF(A_Corridor!$G$5:$G$204="-","",A_Corridor!$G$5:$G$204)),"")</f>
        <v/>
      </c>
      <c r="L632" s="181" t="str">
        <f>IFERROR(LOOKUP(2,1/((A_Corridor!$A$5:$A$204&lt;&gt;"")*(A_Corridor!$A$5:$A$204&lt;=$B632)*(A_Corridor!$B$5:$B$204&gt;$B632)*(A_Corridor!$H$5:$H$204&lt;&gt;"")),IF(A_Corridor!$H$5:$H$204="-","",1)),"")</f>
        <v/>
      </c>
      <c r="M632" s="182" t="str">
        <f>IFERROR(LOOKUP(2,1/((A_Corridor!$A$5:$A$204&lt;&gt;"")*(A_Corridor!$A$5:$A$204&lt;=$B632)*(A_Corridor!$B$5:$B$204&gt;$B632)*(A_Corridor!$H$5:$H$204&lt;&gt;"")),IF(A_Corridor!$H$5:$H$204="-","",A_Corridor!$H$5:$H$204)),"")</f>
        <v/>
      </c>
      <c r="N632" s="182" t="str">
        <f>IFERROR(LOOKUP(2,1/((A_Corridor!$A$5:$A$204&lt;&gt;"")*(A_Corridor!$A$5:$A$204&lt;=$B632)*(A_Corridor!$B$5:$B$204&gt;$B632)*(A_Corridor!$I$5:$I$204&lt;&gt;"")),IF(A_Corridor!$I$5:$I$204="-","",A_Corridor!$I$5:$I$204)),"")</f>
        <v/>
      </c>
      <c r="O632" s="182" t="str">
        <f>IFERROR(LOOKUP(2,1/((D_Points!$A$5:$A$204&lt;&gt;"")*(D_Points!$A$5:$A$204&gt;=$B632)*(D_Points!$A$5:$A$204&lt;$B632+P_Interval)*(UPPER(TRIM(D_Points!$B$5:$B$204))="PITCHING")*(D_Points!$H$5:$H$204&lt;&gt;"")),D_Points!$H$5:$H$204),"")</f>
        <v/>
      </c>
      <c r="P632" s="181" t="str">
        <f>IFERROR(LOOKUP(2,1/((B_Drainage!$A$5:$A$204&lt;&gt;"")*(B_Drainage!$A$5:$A$204&lt;=$B632)*(B_Drainage!$B$5:$B$204&gt;$B632)*(B_Drainage!$C$5:$C$204&lt;&gt;"")),IF(B_Drainage!$C$5:$C$204="-","",UPPER(B_Drainage!$C$5:$C$204))),"")</f>
        <v/>
      </c>
      <c r="Q632" s="181" t="str">
        <f>IFERROR(LOOKUP(2,1/((B_Drainage!$A$5:$A$204&lt;&gt;"")*(B_Drainage!$A$5:$A$204&lt;=$B632)*(B_Drainage!$B$5:$B$204&gt;$B632)*(B_Drainage!$D$5:$D$204&lt;&gt;"")),IF(B_Drainage!$D$5:$D$204="-","",UPPER(B_Drainage!$D$5:$D$204))),"")</f>
        <v/>
      </c>
      <c r="R632" s="182" t="str">
        <f>IFERROR(LOOKUP(2,1/((D_Points!$A$5:$A$204&lt;&gt;"")*(D_Points!$A$5:$A$204&gt;=$B632)*(D_Points!$A$5:$A$204&lt;$B632+P_Interval)*(RIGHT(UPPER(TRIM(D_Points!$B$5:$B$204)),8)="_CULVERT")),IF(LEFT(UPPER(TRIM(D_Points!$B$5:$B$204)),2)="EX",1,IF(LEFT(UPPER(TRIM(D_Points!$B$5:$B$204)),2)="PR",2,3))),"")</f>
        <v/>
      </c>
      <c r="S632" s="182" t="str">
        <f>IFERROR(LOOKUP(2,1/((D_Points!$A$5:$A$204&lt;&gt;"")*(D_Points!$A$5:$A$204&gt;=$B632)*(D_Points!$A$5:$A$204&lt;$B632+P_Interval)*(RIGHT(UPPER(TRIM(D_Points!$B$5:$B$204)),7)="_BRIDGE")),IF(LEFT(UPPER(TRIM(D_Points!$B$5:$B$204)),2)="EX",1,IF(LEFT(UPPER(TRIM(D_Points!$B$5:$B$204)),2)="PR",2,2))),"")</f>
        <v/>
      </c>
      <c r="T632" s="181" t="str">
        <f>IFERROR(LOOKUP(2,1/((B_Drainage!$A$5:$A$204&lt;&gt;"")*(B_Drainage!$A$5:$A$204&lt;=$B632)*(B_Drainage!$B$5:$B$204&gt;$B632)*(B_Drainage!$E$5:$E$204&lt;&gt;"")),IF(B_Drainage!$E$5:$E$204="-","",1)),"")</f>
        <v/>
      </c>
      <c r="U632" s="181" t="str">
        <f>IFERROR(LOOKUP(2,1/((B_Drainage!$A$5:$A$204&lt;&gt;"")*(B_Drainage!$A$5:$A$204&lt;=$B632)*(B_Drainage!$B$5:$B$204&gt;$B632)*(B_Drainage!$E$5:$E$204&lt;&gt;"")),IF(B_Drainage!$E$5:$E$204="-","",B_Drainage!$E$5:$E$204)),"")</f>
        <v/>
      </c>
      <c r="V632" s="181" t="str">
        <f>IFERROR(LOOKUP(2,1/((B_Drainage!$A$5:$A$204&lt;&gt;"")*(B_Drainage!$A$5:$A$204&lt;=$B632)*(B_Drainage!$B$5:$B$204&gt;$B632)*(B_Drainage!$F$5:$F$204&lt;&gt;"")),IF(B_Drainage!$F$5:$F$204="-","",1)),"")</f>
        <v/>
      </c>
      <c r="W632" s="181" t="str">
        <f>IFERROR(LOOKUP(2,1/((B_Drainage!$A$5:$A$204&lt;&gt;"")*(B_Drainage!$A$5:$A$204&lt;=$B632)*(B_Drainage!$B$5:$B$204&gt;$B632)*(B_Drainage!$F$5:$F$204&lt;&gt;"")),IF(B_Drainage!$F$5:$F$204="-","",B_Drainage!$F$5:$F$204)),"")</f>
        <v/>
      </c>
      <c r="X632" s="181" t="str">
        <f>IFERROR(LOOKUP(2,1/((B_Drainage!$A$5:$A$204&lt;&gt;"")*(B_Drainage!$A$5:$A$204&lt;=$B632)*(B_Drainage!$B$5:$B$204&gt;$B632)*(B_Drainage!$G$5:$G$204&lt;&gt;"")),IF(UPPER(B_Drainage!$G$5:$G$204)="Y",1,"")),"")</f>
        <v/>
      </c>
      <c r="Y632" s="181" t="str">
        <f>IFERROR(LOOKUP(2,1/((B_Drainage!$A$5:$A$204&lt;&gt;"")*(B_Drainage!$A$5:$A$204&lt;=$B632)*(B_Drainage!$B$5:$B$204&gt;$B632)*(B_Drainage!$H$5:$H$204&lt;&gt;"")),IF(UPPER(B_Drainage!$H$5:$H$204)="Y",1,"")),"")</f>
        <v/>
      </c>
      <c r="Z632" s="181" t="str">
        <f>IFERROR(LOOKUP(2,1/((B_Drainage!$A$5:$A$204&lt;&gt;"")*(B_Drainage!$A$5:$A$204&lt;=$B632)*(B_Drainage!$B$5:$B$204&gt;$B632)*(B_Drainage!$I$5:$I$204&lt;&gt;"")),IF(UPPER(B_Drainage!$I$5:$I$204)="Y",1,"")),"")</f>
        <v/>
      </c>
      <c r="AA632" s="181" t="str">
        <f>IFERROR(LOOKUP(2,1/((B_Drainage!$A$5:$A$204&lt;&gt;"")*(B_Drainage!$A$5:$A$204&lt;=$B632)*(B_Drainage!$B$5:$B$204&gt;$B632)*(B_Drainage!$J$5:$J$204&lt;&gt;"")),IF(UPPER(B_Drainage!$J$5:$J$204)="Y",1,"")),"")</f>
        <v/>
      </c>
      <c r="AB632" s="182" t="str">
        <f>IFERROR(LOOKUP(2,1/((B_Drainage!$A$5:$A$204&lt;&gt;"")*(B_Drainage!$A$5:$A$204&lt;=$B632)*(B_Drainage!$B$5:$B$204&gt;$B632)*(B_Drainage!$K$5:$K$204&lt;&gt;"")),IF(B_Drainage!$K$5:$K$204="-","",B_Drainage!$K$5:$K$204)),"")</f>
        <v/>
      </c>
      <c r="AC632" s="182" t="str">
        <f>IFERROR(LOOKUP(2,1/((B_Drainage!$A$5:$A$204&lt;&gt;"")*(B_Drainage!$A$5:$A$204&lt;=$B632)*(B_Drainage!$B$5:$B$204&gt;$B632)*(B_Drainage!$L$5:$L$204&lt;&gt;"")),IF(B_Drainage!$L$5:$L$204="-","",B_Drainage!$L$5:$L$204)),"")</f>
        <v/>
      </c>
      <c r="AD632" s="182" t="str">
        <f>IFERROR(LOOKUP(2,1/((D_Points!$A$5:$A$204&lt;&gt;"")*(D_Points!$A$5:$A$204&gt;=$B632)*(D_Points!$A$5:$A$204&lt;$B632+P_Interval)*(UPPER(TRIM(D_Points!$B$5:$B$204))="TURNOUT_L")*(D_Points!$H$5:$H$204&lt;&gt;"")),D_Points!$H$5:$H$204),"")</f>
        <v/>
      </c>
      <c r="AE632" s="182" t="str">
        <f>IFERROR(LOOKUP(2,1/((D_Points!$A$5:$A$204&lt;&gt;"")*(D_Points!$A$5:$A$204&gt;=$B632)*(D_Points!$A$5:$A$204&lt;$B632+P_Interval)*(UPPER(TRIM(D_Points!$B$5:$B$204))="TURNOUT_R")*(D_Points!$H$5:$H$204&lt;&gt;"")),D_Points!$H$5:$H$204),"")</f>
        <v/>
      </c>
      <c r="AF632" s="181" t="str">
        <f>IFERROR(LOOKUP(2,1/((B_Drainage!$A$5:$A$204&lt;&gt;"")*(B_Drainage!$A$5:$A$204&lt;=$B632)*(B_Drainage!$B$5:$B$204&gt;$B632)*(B_Drainage!$M$5:$M$204&lt;&gt;"")),IF(UPPER(B_Drainage!$M$5:$M$204)="Y",1,"")),"")</f>
        <v/>
      </c>
      <c r="AG632" s="181" t="str">
        <f>IFERROR(LOOKUP(2,1/((B_Drainage!$A$5:$A$204&lt;&gt;"")*(B_Drainage!$A$5:$A$204&lt;=$B632)*(B_Drainage!$B$5:$B$204&gt;$B632)*(B_Drainage!$N$5:$N$204&lt;&gt;"")),IF(UPPER(B_Drainage!$N$5:$N$204)="Y",1,"")),"")</f>
        <v/>
      </c>
      <c r="AH632" s="181" t="str">
        <f t="shared" si="72"/>
        <v/>
      </c>
      <c r="AI632" s="181" t="str">
        <f t="shared" si="73"/>
        <v/>
      </c>
      <c r="AJ632" s="181" t="str">
        <f t="shared" si="74"/>
        <v/>
      </c>
      <c r="AK632" s="181" t="str">
        <f t="shared" si="75"/>
        <v/>
      </c>
      <c r="AL632" s="181" t="str">
        <f t="shared" si="76"/>
        <v/>
      </c>
      <c r="AM632" s="181" t="str">
        <f t="shared" si="77"/>
        <v/>
      </c>
      <c r="AN632" s="181" t="str">
        <f t="shared" si="78"/>
        <v/>
      </c>
      <c r="AO632" s="192" t="str">
        <f t="shared" si="79"/>
        <v/>
      </c>
      <c r="AQ632" t="str">
        <f>IFERROR(LOOKUP(2,1/((C_Pavement!$A$5:$A$204&lt;&gt;"")*(C_Pavement!$A$5:$A$204&lt;=$B632)*(C_Pavement!$B$5:$B$204&gt;$B632)*(C_Pavement!$C$5:$C$204&lt;&gt;"")),ROW(C_Pavement!$C$5:$C$204)-4),"")</f>
        <v/>
      </c>
      <c r="AR632" t="str">
        <f>IF($AQ632="","",UPPER(TRIM(INDEX(C_Pavement!$C$5:$C$204,$AQ632))))</f>
        <v/>
      </c>
      <c r="AS632" t="str">
        <f>IF($AR632="","",IFERROR(MATCH($AR632,E_Rules!$A$5:$A$9,0),""))</f>
        <v/>
      </c>
      <c r="AT632" t="str">
        <f>IF($AQ632="","",IF(INDEX(C_Pavement!$D$5:$D$204,$AQ632)&lt;&gt;"",UPPER(TRIM(INDEX(C_Pavement!$D$5:$D$204,$AQ632))),IF($AS632="","",INDEX(E_Rules!$C$5:$C$9,$AS632))))</f>
        <v/>
      </c>
      <c r="AU632" t="str">
        <f>IF($AQ632="","",IF(INDEX(C_Pavement!$E$5:$E$204,$AQ632)&lt;&gt;"",IF(INDEX(C_Pavement!$E$5:$E$204,$AQ632)="-","",INDEX(C_Pavement!$E$5:$E$204,$AQ632)),IF($AS632="","",INDEX(E_Rules!$D$5:$D$9,$AS632))))</f>
        <v/>
      </c>
      <c r="AV632" t="str">
        <f>IF($AQ632="","",IF(INDEX(C_Pavement!$F$5:$F$204,$AQ632)&lt;&gt;"",IF(INDEX(C_Pavement!$F$5:$F$204,$AQ632)="-","",INDEX(C_Pavement!$F$5:$F$204,$AQ632)),IF($AS632="","",INDEX(E_Rules!$E$5:$E$9,$AS632))))</f>
        <v/>
      </c>
      <c r="AW632" t="str">
        <f>IF($AQ632="","",IF(INDEX(C_Pavement!$G$5:$G$204,$AQ632)&lt;&gt;"",IF(INDEX(C_Pavement!$G$5:$G$204,$AQ632)="-","",INDEX(C_Pavement!$G$5:$G$204,$AQ632)),IF($AS632="","",INDEX(E_Rules!$F$5:$F$9,$AS632))))</f>
        <v/>
      </c>
      <c r="AX632" t="str">
        <f>IF($AQ632="","",IF(INDEX(C_Pavement!$H$5:$H$204,$AQ632)&lt;&gt;"",IF(INDEX(C_Pavement!$H$5:$H$204,$AQ632)="-","",INDEX(C_Pavement!$H$5:$H$204,$AQ632)),IF($AS632="","",INDEX(E_Rules!$G$5:$G$9,$AS632))))</f>
        <v/>
      </c>
      <c r="AY632" t="str">
        <f>IF($AQ632="","",IF(INDEX(C_Pavement!$I$5:$I$204,$AQ632)&lt;&gt;"",IF(INDEX(C_Pavement!$I$5:$I$204,$AQ632)="-","",INDEX(C_Pavement!$I$5:$I$204,$AQ632)),IF($AS632="","",INDEX(E_Rules!$H$5:$H$9,$AS632))))</f>
        <v/>
      </c>
    </row>
    <row r="633" spans="1:51" ht="15.75" customHeight="1" x14ac:dyDescent="0.3">
      <c r="A633" s="189">
        <v>628</v>
      </c>
      <c r="B633" s="180">
        <v>31350</v>
      </c>
      <c r="C633" s="180" t="s">
        <v>939</v>
      </c>
      <c r="D633" s="181" t="str">
        <f>IFERROR(LOOKUP(2,1/((A_Corridor!$A$5:$A$204&lt;&gt;"")*(A_Corridor!$A$5:$A$204&lt;=$B633)*(A_Corridor!$B$5:$B$204&gt;$B633)*(A_Corridor!$C$5:$C$204&lt;&gt;"")),IF(UPPER(A_Corridor!$C$5:$C$204)="Y",1,"")),"")</f>
        <v/>
      </c>
      <c r="E633" s="181" t="str">
        <f>IFERROR(LOOKUP(2,1/((A_Corridor!$A$5:$A$204&lt;&gt;"")*(A_Corridor!$A$5:$A$204&lt;=$B633)*(A_Corridor!$B$5:$B$204&gt;$B633)*(A_Corridor!$D$5:$D$204&lt;&gt;"")),IF(A_Corridor!$D$5:$D$204="-","",UPPER(A_Corridor!$D$5:$D$204))),"")</f>
        <v/>
      </c>
      <c r="F633" s="181" t="str">
        <f>IFERROR(LOOKUP(2,1/((A_Corridor!$A$5:$A$204&lt;&gt;"")*(A_Corridor!$A$5:$A$204&lt;=$B633)*(A_Corridor!$B$5:$B$204&gt;$B633)*(A_Corridor!$E$5:$E$204&lt;&gt;"")),IF(A_Corridor!$E$5:$E$204="-","",1)),"")</f>
        <v/>
      </c>
      <c r="G633" s="182" t="str">
        <f>IFERROR(LOOKUP(2,1/((A_Corridor!$A$5:$A$204&lt;&gt;"")*(A_Corridor!$A$5:$A$204&lt;=$B633)*(A_Corridor!$B$5:$B$204&gt;$B633)*(A_Corridor!$E$5:$E$204&lt;&gt;"")),IF(A_Corridor!$E$5:$E$204="-","",A_Corridor!$E$5:$E$204)),"")</f>
        <v/>
      </c>
      <c r="H633" s="182" t="str">
        <f>IFERROR(LOOKUP(2,1/((D_Points!$A$5:$A$204&lt;&gt;"")*(D_Points!$A$5:$A$204&gt;=$B633)*(D_Points!$A$5:$A$204&lt;$B633+P_Interval)*(UPPER(TRIM(D_Points!$B$5:$B$204))="GULLY")*(D_Points!$H$5:$H$204&lt;&gt;"")),D_Points!$H$5:$H$204),"")</f>
        <v/>
      </c>
      <c r="I633" s="181" t="str">
        <f>IFERROR(LOOKUP(2,1/((A_Corridor!$A$5:$A$204&lt;&gt;"")*(A_Corridor!$A$5:$A$204&lt;=$B633)*(A_Corridor!$B$5:$B$204&gt;$B633)*(A_Corridor!$F$5:$F$204&lt;&gt;"")),IF(A_Corridor!$F$5:$F$204="-","",1)),"")</f>
        <v/>
      </c>
      <c r="J633" s="182" t="str">
        <f>IFERROR(LOOKUP(2,1/((A_Corridor!$A$5:$A$204&lt;&gt;"")*(A_Corridor!$A$5:$A$204&lt;=$B633)*(A_Corridor!$B$5:$B$204&gt;$B633)*(A_Corridor!$F$5:$F$204&lt;&gt;"")),IF(A_Corridor!$F$5:$F$204="-","",A_Corridor!$F$5:$F$204)),"")</f>
        <v/>
      </c>
      <c r="K633" s="182" t="str">
        <f>IFERROR(LOOKUP(2,1/((A_Corridor!$A$5:$A$204&lt;&gt;"")*(A_Corridor!$A$5:$A$204&lt;=$B633)*(A_Corridor!$B$5:$B$204&gt;$B633)*(A_Corridor!$G$5:$G$204&lt;&gt;"")),IF(A_Corridor!$G$5:$G$204="-","",A_Corridor!$G$5:$G$204)),"")</f>
        <v/>
      </c>
      <c r="L633" s="181" t="str">
        <f>IFERROR(LOOKUP(2,1/((A_Corridor!$A$5:$A$204&lt;&gt;"")*(A_Corridor!$A$5:$A$204&lt;=$B633)*(A_Corridor!$B$5:$B$204&gt;$B633)*(A_Corridor!$H$5:$H$204&lt;&gt;"")),IF(A_Corridor!$H$5:$H$204="-","",1)),"")</f>
        <v/>
      </c>
      <c r="M633" s="182" t="str">
        <f>IFERROR(LOOKUP(2,1/((A_Corridor!$A$5:$A$204&lt;&gt;"")*(A_Corridor!$A$5:$A$204&lt;=$B633)*(A_Corridor!$B$5:$B$204&gt;$B633)*(A_Corridor!$H$5:$H$204&lt;&gt;"")),IF(A_Corridor!$H$5:$H$204="-","",A_Corridor!$H$5:$H$204)),"")</f>
        <v/>
      </c>
      <c r="N633" s="182" t="str">
        <f>IFERROR(LOOKUP(2,1/((A_Corridor!$A$5:$A$204&lt;&gt;"")*(A_Corridor!$A$5:$A$204&lt;=$B633)*(A_Corridor!$B$5:$B$204&gt;$B633)*(A_Corridor!$I$5:$I$204&lt;&gt;"")),IF(A_Corridor!$I$5:$I$204="-","",A_Corridor!$I$5:$I$204)),"")</f>
        <v/>
      </c>
      <c r="O633" s="182" t="str">
        <f>IFERROR(LOOKUP(2,1/((D_Points!$A$5:$A$204&lt;&gt;"")*(D_Points!$A$5:$A$204&gt;=$B633)*(D_Points!$A$5:$A$204&lt;$B633+P_Interval)*(UPPER(TRIM(D_Points!$B$5:$B$204))="PITCHING")*(D_Points!$H$5:$H$204&lt;&gt;"")),D_Points!$H$5:$H$204),"")</f>
        <v/>
      </c>
      <c r="P633" s="181" t="str">
        <f>IFERROR(LOOKUP(2,1/((B_Drainage!$A$5:$A$204&lt;&gt;"")*(B_Drainage!$A$5:$A$204&lt;=$B633)*(B_Drainage!$B$5:$B$204&gt;$B633)*(B_Drainage!$C$5:$C$204&lt;&gt;"")),IF(B_Drainage!$C$5:$C$204="-","",UPPER(B_Drainage!$C$5:$C$204))),"")</f>
        <v/>
      </c>
      <c r="Q633" s="181" t="str">
        <f>IFERROR(LOOKUP(2,1/((B_Drainage!$A$5:$A$204&lt;&gt;"")*(B_Drainage!$A$5:$A$204&lt;=$B633)*(B_Drainage!$B$5:$B$204&gt;$B633)*(B_Drainage!$D$5:$D$204&lt;&gt;"")),IF(B_Drainage!$D$5:$D$204="-","",UPPER(B_Drainage!$D$5:$D$204))),"")</f>
        <v/>
      </c>
      <c r="R633" s="182" t="str">
        <f>IFERROR(LOOKUP(2,1/((D_Points!$A$5:$A$204&lt;&gt;"")*(D_Points!$A$5:$A$204&gt;=$B633)*(D_Points!$A$5:$A$204&lt;$B633+P_Interval)*(RIGHT(UPPER(TRIM(D_Points!$B$5:$B$204)),8)="_CULVERT")),IF(LEFT(UPPER(TRIM(D_Points!$B$5:$B$204)),2)="EX",1,IF(LEFT(UPPER(TRIM(D_Points!$B$5:$B$204)),2)="PR",2,3))),"")</f>
        <v/>
      </c>
      <c r="S633" s="182" t="str">
        <f>IFERROR(LOOKUP(2,1/((D_Points!$A$5:$A$204&lt;&gt;"")*(D_Points!$A$5:$A$204&gt;=$B633)*(D_Points!$A$5:$A$204&lt;$B633+P_Interval)*(RIGHT(UPPER(TRIM(D_Points!$B$5:$B$204)),7)="_BRIDGE")),IF(LEFT(UPPER(TRIM(D_Points!$B$5:$B$204)),2)="EX",1,IF(LEFT(UPPER(TRIM(D_Points!$B$5:$B$204)),2)="PR",2,2))),"")</f>
        <v/>
      </c>
      <c r="T633" s="181" t="str">
        <f>IFERROR(LOOKUP(2,1/((B_Drainage!$A$5:$A$204&lt;&gt;"")*(B_Drainage!$A$5:$A$204&lt;=$B633)*(B_Drainage!$B$5:$B$204&gt;$B633)*(B_Drainage!$E$5:$E$204&lt;&gt;"")),IF(B_Drainage!$E$5:$E$204="-","",1)),"")</f>
        <v/>
      </c>
      <c r="U633" s="181" t="str">
        <f>IFERROR(LOOKUP(2,1/((B_Drainage!$A$5:$A$204&lt;&gt;"")*(B_Drainage!$A$5:$A$204&lt;=$B633)*(B_Drainage!$B$5:$B$204&gt;$B633)*(B_Drainage!$E$5:$E$204&lt;&gt;"")),IF(B_Drainage!$E$5:$E$204="-","",B_Drainage!$E$5:$E$204)),"")</f>
        <v/>
      </c>
      <c r="V633" s="181" t="str">
        <f>IFERROR(LOOKUP(2,1/((B_Drainage!$A$5:$A$204&lt;&gt;"")*(B_Drainage!$A$5:$A$204&lt;=$B633)*(B_Drainage!$B$5:$B$204&gt;$B633)*(B_Drainage!$F$5:$F$204&lt;&gt;"")),IF(B_Drainage!$F$5:$F$204="-","",1)),"")</f>
        <v/>
      </c>
      <c r="W633" s="181" t="str">
        <f>IFERROR(LOOKUP(2,1/((B_Drainage!$A$5:$A$204&lt;&gt;"")*(B_Drainage!$A$5:$A$204&lt;=$B633)*(B_Drainage!$B$5:$B$204&gt;$B633)*(B_Drainage!$F$5:$F$204&lt;&gt;"")),IF(B_Drainage!$F$5:$F$204="-","",B_Drainage!$F$5:$F$204)),"")</f>
        <v/>
      </c>
      <c r="X633" s="181" t="str">
        <f>IFERROR(LOOKUP(2,1/((B_Drainage!$A$5:$A$204&lt;&gt;"")*(B_Drainage!$A$5:$A$204&lt;=$B633)*(B_Drainage!$B$5:$B$204&gt;$B633)*(B_Drainage!$G$5:$G$204&lt;&gt;"")),IF(UPPER(B_Drainage!$G$5:$G$204)="Y",1,"")),"")</f>
        <v/>
      </c>
      <c r="Y633" s="181" t="str">
        <f>IFERROR(LOOKUP(2,1/((B_Drainage!$A$5:$A$204&lt;&gt;"")*(B_Drainage!$A$5:$A$204&lt;=$B633)*(B_Drainage!$B$5:$B$204&gt;$B633)*(B_Drainage!$H$5:$H$204&lt;&gt;"")),IF(UPPER(B_Drainage!$H$5:$H$204)="Y",1,"")),"")</f>
        <v/>
      </c>
      <c r="Z633" s="181" t="str">
        <f>IFERROR(LOOKUP(2,1/((B_Drainage!$A$5:$A$204&lt;&gt;"")*(B_Drainage!$A$5:$A$204&lt;=$B633)*(B_Drainage!$B$5:$B$204&gt;$B633)*(B_Drainage!$I$5:$I$204&lt;&gt;"")),IF(UPPER(B_Drainage!$I$5:$I$204)="Y",1,"")),"")</f>
        <v/>
      </c>
      <c r="AA633" s="181" t="str">
        <f>IFERROR(LOOKUP(2,1/((B_Drainage!$A$5:$A$204&lt;&gt;"")*(B_Drainage!$A$5:$A$204&lt;=$B633)*(B_Drainage!$B$5:$B$204&gt;$B633)*(B_Drainage!$J$5:$J$204&lt;&gt;"")),IF(UPPER(B_Drainage!$J$5:$J$204)="Y",1,"")),"")</f>
        <v/>
      </c>
      <c r="AB633" s="182" t="str">
        <f>IFERROR(LOOKUP(2,1/((B_Drainage!$A$5:$A$204&lt;&gt;"")*(B_Drainage!$A$5:$A$204&lt;=$B633)*(B_Drainage!$B$5:$B$204&gt;$B633)*(B_Drainage!$K$5:$K$204&lt;&gt;"")),IF(B_Drainage!$K$5:$K$204="-","",B_Drainage!$K$5:$K$204)),"")</f>
        <v/>
      </c>
      <c r="AC633" s="182" t="str">
        <f>IFERROR(LOOKUP(2,1/((B_Drainage!$A$5:$A$204&lt;&gt;"")*(B_Drainage!$A$5:$A$204&lt;=$B633)*(B_Drainage!$B$5:$B$204&gt;$B633)*(B_Drainage!$L$5:$L$204&lt;&gt;"")),IF(B_Drainage!$L$5:$L$204="-","",B_Drainage!$L$5:$L$204)),"")</f>
        <v/>
      </c>
      <c r="AD633" s="182" t="str">
        <f>IFERROR(LOOKUP(2,1/((D_Points!$A$5:$A$204&lt;&gt;"")*(D_Points!$A$5:$A$204&gt;=$B633)*(D_Points!$A$5:$A$204&lt;$B633+P_Interval)*(UPPER(TRIM(D_Points!$B$5:$B$204))="TURNOUT_L")*(D_Points!$H$5:$H$204&lt;&gt;"")),D_Points!$H$5:$H$204),"")</f>
        <v/>
      </c>
      <c r="AE633" s="182" t="str">
        <f>IFERROR(LOOKUP(2,1/((D_Points!$A$5:$A$204&lt;&gt;"")*(D_Points!$A$5:$A$204&gt;=$B633)*(D_Points!$A$5:$A$204&lt;$B633+P_Interval)*(UPPER(TRIM(D_Points!$B$5:$B$204))="TURNOUT_R")*(D_Points!$H$5:$H$204&lt;&gt;"")),D_Points!$H$5:$H$204),"")</f>
        <v/>
      </c>
      <c r="AF633" s="181" t="str">
        <f>IFERROR(LOOKUP(2,1/((B_Drainage!$A$5:$A$204&lt;&gt;"")*(B_Drainage!$A$5:$A$204&lt;=$B633)*(B_Drainage!$B$5:$B$204&gt;$B633)*(B_Drainage!$M$5:$M$204&lt;&gt;"")),IF(UPPER(B_Drainage!$M$5:$M$204)="Y",1,"")),"")</f>
        <v/>
      </c>
      <c r="AG633" s="181" t="str">
        <f>IFERROR(LOOKUP(2,1/((B_Drainage!$A$5:$A$204&lt;&gt;"")*(B_Drainage!$A$5:$A$204&lt;=$B633)*(B_Drainage!$B$5:$B$204&gt;$B633)*(B_Drainage!$N$5:$N$204&lt;&gt;"")),IF(UPPER(B_Drainage!$N$5:$N$204)="Y",1,"")),"")</f>
        <v/>
      </c>
      <c r="AH633" s="181" t="str">
        <f t="shared" si="72"/>
        <v/>
      </c>
      <c r="AI633" s="181" t="str">
        <f t="shared" si="73"/>
        <v/>
      </c>
      <c r="AJ633" s="181" t="str">
        <f t="shared" si="74"/>
        <v/>
      </c>
      <c r="AK633" s="181" t="str">
        <f t="shared" si="75"/>
        <v/>
      </c>
      <c r="AL633" s="181" t="str">
        <f t="shared" si="76"/>
        <v/>
      </c>
      <c r="AM633" s="181" t="str">
        <f t="shared" si="77"/>
        <v/>
      </c>
      <c r="AN633" s="181" t="str">
        <f t="shared" si="78"/>
        <v/>
      </c>
      <c r="AO633" s="192" t="str">
        <f t="shared" si="79"/>
        <v/>
      </c>
      <c r="AQ633" t="str">
        <f>IFERROR(LOOKUP(2,1/((C_Pavement!$A$5:$A$204&lt;&gt;"")*(C_Pavement!$A$5:$A$204&lt;=$B633)*(C_Pavement!$B$5:$B$204&gt;$B633)*(C_Pavement!$C$5:$C$204&lt;&gt;"")),ROW(C_Pavement!$C$5:$C$204)-4),"")</f>
        <v/>
      </c>
      <c r="AR633" t="str">
        <f>IF($AQ633="","",UPPER(TRIM(INDEX(C_Pavement!$C$5:$C$204,$AQ633))))</f>
        <v/>
      </c>
      <c r="AS633" t="str">
        <f>IF($AR633="","",IFERROR(MATCH($AR633,E_Rules!$A$5:$A$9,0),""))</f>
        <v/>
      </c>
      <c r="AT633" t="str">
        <f>IF($AQ633="","",IF(INDEX(C_Pavement!$D$5:$D$204,$AQ633)&lt;&gt;"",UPPER(TRIM(INDEX(C_Pavement!$D$5:$D$204,$AQ633))),IF($AS633="","",INDEX(E_Rules!$C$5:$C$9,$AS633))))</f>
        <v/>
      </c>
      <c r="AU633" t="str">
        <f>IF($AQ633="","",IF(INDEX(C_Pavement!$E$5:$E$204,$AQ633)&lt;&gt;"",IF(INDEX(C_Pavement!$E$5:$E$204,$AQ633)="-","",INDEX(C_Pavement!$E$5:$E$204,$AQ633)),IF($AS633="","",INDEX(E_Rules!$D$5:$D$9,$AS633))))</f>
        <v/>
      </c>
      <c r="AV633" t="str">
        <f>IF($AQ633="","",IF(INDEX(C_Pavement!$F$5:$F$204,$AQ633)&lt;&gt;"",IF(INDEX(C_Pavement!$F$5:$F$204,$AQ633)="-","",INDEX(C_Pavement!$F$5:$F$204,$AQ633)),IF($AS633="","",INDEX(E_Rules!$E$5:$E$9,$AS633))))</f>
        <v/>
      </c>
      <c r="AW633" t="str">
        <f>IF($AQ633="","",IF(INDEX(C_Pavement!$G$5:$G$204,$AQ633)&lt;&gt;"",IF(INDEX(C_Pavement!$G$5:$G$204,$AQ633)="-","",INDEX(C_Pavement!$G$5:$G$204,$AQ633)),IF($AS633="","",INDEX(E_Rules!$F$5:$F$9,$AS633))))</f>
        <v/>
      </c>
      <c r="AX633" t="str">
        <f>IF($AQ633="","",IF(INDEX(C_Pavement!$H$5:$H$204,$AQ633)&lt;&gt;"",IF(INDEX(C_Pavement!$H$5:$H$204,$AQ633)="-","",INDEX(C_Pavement!$H$5:$H$204,$AQ633)),IF($AS633="","",INDEX(E_Rules!$G$5:$G$9,$AS633))))</f>
        <v/>
      </c>
      <c r="AY633" t="str">
        <f>IF($AQ633="","",IF(INDEX(C_Pavement!$I$5:$I$204,$AQ633)&lt;&gt;"",IF(INDEX(C_Pavement!$I$5:$I$204,$AQ633)="-","",INDEX(C_Pavement!$I$5:$I$204,$AQ633)),IF($AS633="","",INDEX(E_Rules!$H$5:$H$9,$AS633))))</f>
        <v/>
      </c>
    </row>
    <row r="634" spans="1:51" ht="15.75" customHeight="1" x14ac:dyDescent="0.3">
      <c r="A634" s="189">
        <v>629</v>
      </c>
      <c r="B634" s="180">
        <v>31400</v>
      </c>
      <c r="C634" s="180" t="s">
        <v>940</v>
      </c>
      <c r="D634" s="181" t="str">
        <f>IFERROR(LOOKUP(2,1/((A_Corridor!$A$5:$A$204&lt;&gt;"")*(A_Corridor!$A$5:$A$204&lt;=$B634)*(A_Corridor!$B$5:$B$204&gt;$B634)*(A_Corridor!$C$5:$C$204&lt;&gt;"")),IF(UPPER(A_Corridor!$C$5:$C$204)="Y",1,"")),"")</f>
        <v/>
      </c>
      <c r="E634" s="181" t="str">
        <f>IFERROR(LOOKUP(2,1/((A_Corridor!$A$5:$A$204&lt;&gt;"")*(A_Corridor!$A$5:$A$204&lt;=$B634)*(A_Corridor!$B$5:$B$204&gt;$B634)*(A_Corridor!$D$5:$D$204&lt;&gt;"")),IF(A_Corridor!$D$5:$D$204="-","",UPPER(A_Corridor!$D$5:$D$204))),"")</f>
        <v/>
      </c>
      <c r="F634" s="181" t="str">
        <f>IFERROR(LOOKUP(2,1/((A_Corridor!$A$5:$A$204&lt;&gt;"")*(A_Corridor!$A$5:$A$204&lt;=$B634)*(A_Corridor!$B$5:$B$204&gt;$B634)*(A_Corridor!$E$5:$E$204&lt;&gt;"")),IF(A_Corridor!$E$5:$E$204="-","",1)),"")</f>
        <v/>
      </c>
      <c r="G634" s="182" t="str">
        <f>IFERROR(LOOKUP(2,1/((A_Corridor!$A$5:$A$204&lt;&gt;"")*(A_Corridor!$A$5:$A$204&lt;=$B634)*(A_Corridor!$B$5:$B$204&gt;$B634)*(A_Corridor!$E$5:$E$204&lt;&gt;"")),IF(A_Corridor!$E$5:$E$204="-","",A_Corridor!$E$5:$E$204)),"")</f>
        <v/>
      </c>
      <c r="H634" s="182" t="str">
        <f>IFERROR(LOOKUP(2,1/((D_Points!$A$5:$A$204&lt;&gt;"")*(D_Points!$A$5:$A$204&gt;=$B634)*(D_Points!$A$5:$A$204&lt;$B634+P_Interval)*(UPPER(TRIM(D_Points!$B$5:$B$204))="GULLY")*(D_Points!$H$5:$H$204&lt;&gt;"")),D_Points!$H$5:$H$204),"")</f>
        <v/>
      </c>
      <c r="I634" s="181" t="str">
        <f>IFERROR(LOOKUP(2,1/((A_Corridor!$A$5:$A$204&lt;&gt;"")*(A_Corridor!$A$5:$A$204&lt;=$B634)*(A_Corridor!$B$5:$B$204&gt;$B634)*(A_Corridor!$F$5:$F$204&lt;&gt;"")),IF(A_Corridor!$F$5:$F$204="-","",1)),"")</f>
        <v/>
      </c>
      <c r="J634" s="182" t="str">
        <f>IFERROR(LOOKUP(2,1/((A_Corridor!$A$5:$A$204&lt;&gt;"")*(A_Corridor!$A$5:$A$204&lt;=$B634)*(A_Corridor!$B$5:$B$204&gt;$B634)*(A_Corridor!$F$5:$F$204&lt;&gt;"")),IF(A_Corridor!$F$5:$F$204="-","",A_Corridor!$F$5:$F$204)),"")</f>
        <v/>
      </c>
      <c r="K634" s="182" t="str">
        <f>IFERROR(LOOKUP(2,1/((A_Corridor!$A$5:$A$204&lt;&gt;"")*(A_Corridor!$A$5:$A$204&lt;=$B634)*(A_Corridor!$B$5:$B$204&gt;$B634)*(A_Corridor!$G$5:$G$204&lt;&gt;"")),IF(A_Corridor!$G$5:$G$204="-","",A_Corridor!$G$5:$G$204)),"")</f>
        <v/>
      </c>
      <c r="L634" s="181" t="str">
        <f>IFERROR(LOOKUP(2,1/((A_Corridor!$A$5:$A$204&lt;&gt;"")*(A_Corridor!$A$5:$A$204&lt;=$B634)*(A_Corridor!$B$5:$B$204&gt;$B634)*(A_Corridor!$H$5:$H$204&lt;&gt;"")),IF(A_Corridor!$H$5:$H$204="-","",1)),"")</f>
        <v/>
      </c>
      <c r="M634" s="182" t="str">
        <f>IFERROR(LOOKUP(2,1/((A_Corridor!$A$5:$A$204&lt;&gt;"")*(A_Corridor!$A$5:$A$204&lt;=$B634)*(A_Corridor!$B$5:$B$204&gt;$B634)*(A_Corridor!$H$5:$H$204&lt;&gt;"")),IF(A_Corridor!$H$5:$H$204="-","",A_Corridor!$H$5:$H$204)),"")</f>
        <v/>
      </c>
      <c r="N634" s="182" t="str">
        <f>IFERROR(LOOKUP(2,1/((A_Corridor!$A$5:$A$204&lt;&gt;"")*(A_Corridor!$A$5:$A$204&lt;=$B634)*(A_Corridor!$B$5:$B$204&gt;$B634)*(A_Corridor!$I$5:$I$204&lt;&gt;"")),IF(A_Corridor!$I$5:$I$204="-","",A_Corridor!$I$5:$I$204)),"")</f>
        <v/>
      </c>
      <c r="O634" s="182" t="str">
        <f>IFERROR(LOOKUP(2,1/((D_Points!$A$5:$A$204&lt;&gt;"")*(D_Points!$A$5:$A$204&gt;=$B634)*(D_Points!$A$5:$A$204&lt;$B634+P_Interval)*(UPPER(TRIM(D_Points!$B$5:$B$204))="PITCHING")*(D_Points!$H$5:$H$204&lt;&gt;"")),D_Points!$H$5:$H$204),"")</f>
        <v/>
      </c>
      <c r="P634" s="181" t="str">
        <f>IFERROR(LOOKUP(2,1/((B_Drainage!$A$5:$A$204&lt;&gt;"")*(B_Drainage!$A$5:$A$204&lt;=$B634)*(B_Drainage!$B$5:$B$204&gt;$B634)*(B_Drainage!$C$5:$C$204&lt;&gt;"")),IF(B_Drainage!$C$5:$C$204="-","",UPPER(B_Drainage!$C$5:$C$204))),"")</f>
        <v/>
      </c>
      <c r="Q634" s="181" t="str">
        <f>IFERROR(LOOKUP(2,1/((B_Drainage!$A$5:$A$204&lt;&gt;"")*(B_Drainage!$A$5:$A$204&lt;=$B634)*(B_Drainage!$B$5:$B$204&gt;$B634)*(B_Drainage!$D$5:$D$204&lt;&gt;"")),IF(B_Drainage!$D$5:$D$204="-","",UPPER(B_Drainage!$D$5:$D$204))),"")</f>
        <v/>
      </c>
      <c r="R634" s="182" t="str">
        <f>IFERROR(LOOKUP(2,1/((D_Points!$A$5:$A$204&lt;&gt;"")*(D_Points!$A$5:$A$204&gt;=$B634)*(D_Points!$A$5:$A$204&lt;$B634+P_Interval)*(RIGHT(UPPER(TRIM(D_Points!$B$5:$B$204)),8)="_CULVERT")),IF(LEFT(UPPER(TRIM(D_Points!$B$5:$B$204)),2)="EX",1,IF(LEFT(UPPER(TRIM(D_Points!$B$5:$B$204)),2)="PR",2,3))),"")</f>
        <v/>
      </c>
      <c r="S634" s="182" t="str">
        <f>IFERROR(LOOKUP(2,1/((D_Points!$A$5:$A$204&lt;&gt;"")*(D_Points!$A$5:$A$204&gt;=$B634)*(D_Points!$A$5:$A$204&lt;$B634+P_Interval)*(RIGHT(UPPER(TRIM(D_Points!$B$5:$B$204)),7)="_BRIDGE")),IF(LEFT(UPPER(TRIM(D_Points!$B$5:$B$204)),2)="EX",1,IF(LEFT(UPPER(TRIM(D_Points!$B$5:$B$204)),2)="PR",2,2))),"")</f>
        <v/>
      </c>
      <c r="T634" s="181" t="str">
        <f>IFERROR(LOOKUP(2,1/((B_Drainage!$A$5:$A$204&lt;&gt;"")*(B_Drainage!$A$5:$A$204&lt;=$B634)*(B_Drainage!$B$5:$B$204&gt;$B634)*(B_Drainage!$E$5:$E$204&lt;&gt;"")),IF(B_Drainage!$E$5:$E$204="-","",1)),"")</f>
        <v/>
      </c>
      <c r="U634" s="181" t="str">
        <f>IFERROR(LOOKUP(2,1/((B_Drainage!$A$5:$A$204&lt;&gt;"")*(B_Drainage!$A$5:$A$204&lt;=$B634)*(B_Drainage!$B$5:$B$204&gt;$B634)*(B_Drainage!$E$5:$E$204&lt;&gt;"")),IF(B_Drainage!$E$5:$E$204="-","",B_Drainage!$E$5:$E$204)),"")</f>
        <v/>
      </c>
      <c r="V634" s="181" t="str">
        <f>IFERROR(LOOKUP(2,1/((B_Drainage!$A$5:$A$204&lt;&gt;"")*(B_Drainage!$A$5:$A$204&lt;=$B634)*(B_Drainage!$B$5:$B$204&gt;$B634)*(B_Drainage!$F$5:$F$204&lt;&gt;"")),IF(B_Drainage!$F$5:$F$204="-","",1)),"")</f>
        <v/>
      </c>
      <c r="W634" s="181" t="str">
        <f>IFERROR(LOOKUP(2,1/((B_Drainage!$A$5:$A$204&lt;&gt;"")*(B_Drainage!$A$5:$A$204&lt;=$B634)*(B_Drainage!$B$5:$B$204&gt;$B634)*(B_Drainage!$F$5:$F$204&lt;&gt;"")),IF(B_Drainage!$F$5:$F$204="-","",B_Drainage!$F$5:$F$204)),"")</f>
        <v/>
      </c>
      <c r="X634" s="181" t="str">
        <f>IFERROR(LOOKUP(2,1/((B_Drainage!$A$5:$A$204&lt;&gt;"")*(B_Drainage!$A$5:$A$204&lt;=$B634)*(B_Drainage!$B$5:$B$204&gt;$B634)*(B_Drainage!$G$5:$G$204&lt;&gt;"")),IF(UPPER(B_Drainage!$G$5:$G$204)="Y",1,"")),"")</f>
        <v/>
      </c>
      <c r="Y634" s="181" t="str">
        <f>IFERROR(LOOKUP(2,1/((B_Drainage!$A$5:$A$204&lt;&gt;"")*(B_Drainage!$A$5:$A$204&lt;=$B634)*(B_Drainage!$B$5:$B$204&gt;$B634)*(B_Drainage!$H$5:$H$204&lt;&gt;"")),IF(UPPER(B_Drainage!$H$5:$H$204)="Y",1,"")),"")</f>
        <v/>
      </c>
      <c r="Z634" s="181" t="str">
        <f>IFERROR(LOOKUP(2,1/((B_Drainage!$A$5:$A$204&lt;&gt;"")*(B_Drainage!$A$5:$A$204&lt;=$B634)*(B_Drainage!$B$5:$B$204&gt;$B634)*(B_Drainage!$I$5:$I$204&lt;&gt;"")),IF(UPPER(B_Drainage!$I$5:$I$204)="Y",1,"")),"")</f>
        <v/>
      </c>
      <c r="AA634" s="181" t="str">
        <f>IFERROR(LOOKUP(2,1/((B_Drainage!$A$5:$A$204&lt;&gt;"")*(B_Drainage!$A$5:$A$204&lt;=$B634)*(B_Drainage!$B$5:$B$204&gt;$B634)*(B_Drainage!$J$5:$J$204&lt;&gt;"")),IF(UPPER(B_Drainage!$J$5:$J$204)="Y",1,"")),"")</f>
        <v/>
      </c>
      <c r="AB634" s="182" t="str">
        <f>IFERROR(LOOKUP(2,1/((B_Drainage!$A$5:$A$204&lt;&gt;"")*(B_Drainage!$A$5:$A$204&lt;=$B634)*(B_Drainage!$B$5:$B$204&gt;$B634)*(B_Drainage!$K$5:$K$204&lt;&gt;"")),IF(B_Drainage!$K$5:$K$204="-","",B_Drainage!$K$5:$K$204)),"")</f>
        <v/>
      </c>
      <c r="AC634" s="182" t="str">
        <f>IFERROR(LOOKUP(2,1/((B_Drainage!$A$5:$A$204&lt;&gt;"")*(B_Drainage!$A$5:$A$204&lt;=$B634)*(B_Drainage!$B$5:$B$204&gt;$B634)*(B_Drainage!$L$5:$L$204&lt;&gt;"")),IF(B_Drainage!$L$5:$L$204="-","",B_Drainage!$L$5:$L$204)),"")</f>
        <v/>
      </c>
      <c r="AD634" s="182" t="str">
        <f>IFERROR(LOOKUP(2,1/((D_Points!$A$5:$A$204&lt;&gt;"")*(D_Points!$A$5:$A$204&gt;=$B634)*(D_Points!$A$5:$A$204&lt;$B634+P_Interval)*(UPPER(TRIM(D_Points!$B$5:$B$204))="TURNOUT_L")*(D_Points!$H$5:$H$204&lt;&gt;"")),D_Points!$H$5:$H$204),"")</f>
        <v/>
      </c>
      <c r="AE634" s="182" t="str">
        <f>IFERROR(LOOKUP(2,1/((D_Points!$A$5:$A$204&lt;&gt;"")*(D_Points!$A$5:$A$204&gt;=$B634)*(D_Points!$A$5:$A$204&lt;$B634+P_Interval)*(UPPER(TRIM(D_Points!$B$5:$B$204))="TURNOUT_R")*(D_Points!$H$5:$H$204&lt;&gt;"")),D_Points!$H$5:$H$204),"")</f>
        <v/>
      </c>
      <c r="AF634" s="181" t="str">
        <f>IFERROR(LOOKUP(2,1/((B_Drainage!$A$5:$A$204&lt;&gt;"")*(B_Drainage!$A$5:$A$204&lt;=$B634)*(B_Drainage!$B$5:$B$204&gt;$B634)*(B_Drainage!$M$5:$M$204&lt;&gt;"")),IF(UPPER(B_Drainage!$M$5:$M$204)="Y",1,"")),"")</f>
        <v/>
      </c>
      <c r="AG634" s="181" t="str">
        <f>IFERROR(LOOKUP(2,1/((B_Drainage!$A$5:$A$204&lt;&gt;"")*(B_Drainage!$A$5:$A$204&lt;=$B634)*(B_Drainage!$B$5:$B$204&gt;$B634)*(B_Drainage!$N$5:$N$204&lt;&gt;"")),IF(UPPER(B_Drainage!$N$5:$N$204)="Y",1,"")),"")</f>
        <v/>
      </c>
      <c r="AH634" s="181" t="str">
        <f t="shared" si="72"/>
        <v/>
      </c>
      <c r="AI634" s="181" t="str">
        <f t="shared" si="73"/>
        <v/>
      </c>
      <c r="AJ634" s="181" t="str">
        <f t="shared" si="74"/>
        <v/>
      </c>
      <c r="AK634" s="181" t="str">
        <f t="shared" si="75"/>
        <v/>
      </c>
      <c r="AL634" s="181" t="str">
        <f t="shared" si="76"/>
        <v/>
      </c>
      <c r="AM634" s="181" t="str">
        <f t="shared" si="77"/>
        <v/>
      </c>
      <c r="AN634" s="181" t="str">
        <f t="shared" si="78"/>
        <v/>
      </c>
      <c r="AO634" s="192" t="str">
        <f t="shared" si="79"/>
        <v/>
      </c>
      <c r="AQ634" t="str">
        <f>IFERROR(LOOKUP(2,1/((C_Pavement!$A$5:$A$204&lt;&gt;"")*(C_Pavement!$A$5:$A$204&lt;=$B634)*(C_Pavement!$B$5:$B$204&gt;$B634)*(C_Pavement!$C$5:$C$204&lt;&gt;"")),ROW(C_Pavement!$C$5:$C$204)-4),"")</f>
        <v/>
      </c>
      <c r="AR634" t="str">
        <f>IF($AQ634="","",UPPER(TRIM(INDEX(C_Pavement!$C$5:$C$204,$AQ634))))</f>
        <v/>
      </c>
      <c r="AS634" t="str">
        <f>IF($AR634="","",IFERROR(MATCH($AR634,E_Rules!$A$5:$A$9,0),""))</f>
        <v/>
      </c>
      <c r="AT634" t="str">
        <f>IF($AQ634="","",IF(INDEX(C_Pavement!$D$5:$D$204,$AQ634)&lt;&gt;"",UPPER(TRIM(INDEX(C_Pavement!$D$5:$D$204,$AQ634))),IF($AS634="","",INDEX(E_Rules!$C$5:$C$9,$AS634))))</f>
        <v/>
      </c>
      <c r="AU634" t="str">
        <f>IF($AQ634="","",IF(INDEX(C_Pavement!$E$5:$E$204,$AQ634)&lt;&gt;"",IF(INDEX(C_Pavement!$E$5:$E$204,$AQ634)="-","",INDEX(C_Pavement!$E$5:$E$204,$AQ634)),IF($AS634="","",INDEX(E_Rules!$D$5:$D$9,$AS634))))</f>
        <v/>
      </c>
      <c r="AV634" t="str">
        <f>IF($AQ634="","",IF(INDEX(C_Pavement!$F$5:$F$204,$AQ634)&lt;&gt;"",IF(INDEX(C_Pavement!$F$5:$F$204,$AQ634)="-","",INDEX(C_Pavement!$F$5:$F$204,$AQ634)),IF($AS634="","",INDEX(E_Rules!$E$5:$E$9,$AS634))))</f>
        <v/>
      </c>
      <c r="AW634" t="str">
        <f>IF($AQ634="","",IF(INDEX(C_Pavement!$G$5:$G$204,$AQ634)&lt;&gt;"",IF(INDEX(C_Pavement!$G$5:$G$204,$AQ634)="-","",INDEX(C_Pavement!$G$5:$G$204,$AQ634)),IF($AS634="","",INDEX(E_Rules!$F$5:$F$9,$AS634))))</f>
        <v/>
      </c>
      <c r="AX634" t="str">
        <f>IF($AQ634="","",IF(INDEX(C_Pavement!$H$5:$H$204,$AQ634)&lt;&gt;"",IF(INDEX(C_Pavement!$H$5:$H$204,$AQ634)="-","",INDEX(C_Pavement!$H$5:$H$204,$AQ634)),IF($AS634="","",INDEX(E_Rules!$G$5:$G$9,$AS634))))</f>
        <v/>
      </c>
      <c r="AY634" t="str">
        <f>IF($AQ634="","",IF(INDEX(C_Pavement!$I$5:$I$204,$AQ634)&lt;&gt;"",IF(INDEX(C_Pavement!$I$5:$I$204,$AQ634)="-","",INDEX(C_Pavement!$I$5:$I$204,$AQ634)),IF($AS634="","",INDEX(E_Rules!$H$5:$H$9,$AS634))))</f>
        <v/>
      </c>
    </row>
    <row r="635" spans="1:51" ht="15.75" customHeight="1" x14ac:dyDescent="0.3">
      <c r="A635" s="189">
        <v>630</v>
      </c>
      <c r="B635" s="180">
        <v>31450</v>
      </c>
      <c r="C635" s="180" t="s">
        <v>941</v>
      </c>
      <c r="D635" s="181" t="str">
        <f>IFERROR(LOOKUP(2,1/((A_Corridor!$A$5:$A$204&lt;&gt;"")*(A_Corridor!$A$5:$A$204&lt;=$B635)*(A_Corridor!$B$5:$B$204&gt;$B635)*(A_Corridor!$C$5:$C$204&lt;&gt;"")),IF(UPPER(A_Corridor!$C$5:$C$204)="Y",1,"")),"")</f>
        <v/>
      </c>
      <c r="E635" s="181" t="str">
        <f>IFERROR(LOOKUP(2,1/((A_Corridor!$A$5:$A$204&lt;&gt;"")*(A_Corridor!$A$5:$A$204&lt;=$B635)*(A_Corridor!$B$5:$B$204&gt;$B635)*(A_Corridor!$D$5:$D$204&lt;&gt;"")),IF(A_Corridor!$D$5:$D$204="-","",UPPER(A_Corridor!$D$5:$D$204))),"")</f>
        <v/>
      </c>
      <c r="F635" s="181" t="str">
        <f>IFERROR(LOOKUP(2,1/((A_Corridor!$A$5:$A$204&lt;&gt;"")*(A_Corridor!$A$5:$A$204&lt;=$B635)*(A_Corridor!$B$5:$B$204&gt;$B635)*(A_Corridor!$E$5:$E$204&lt;&gt;"")),IF(A_Corridor!$E$5:$E$204="-","",1)),"")</f>
        <v/>
      </c>
      <c r="G635" s="182" t="str">
        <f>IFERROR(LOOKUP(2,1/((A_Corridor!$A$5:$A$204&lt;&gt;"")*(A_Corridor!$A$5:$A$204&lt;=$B635)*(A_Corridor!$B$5:$B$204&gt;$B635)*(A_Corridor!$E$5:$E$204&lt;&gt;"")),IF(A_Corridor!$E$5:$E$204="-","",A_Corridor!$E$5:$E$204)),"")</f>
        <v/>
      </c>
      <c r="H635" s="182" t="str">
        <f>IFERROR(LOOKUP(2,1/((D_Points!$A$5:$A$204&lt;&gt;"")*(D_Points!$A$5:$A$204&gt;=$B635)*(D_Points!$A$5:$A$204&lt;$B635+P_Interval)*(UPPER(TRIM(D_Points!$B$5:$B$204))="GULLY")*(D_Points!$H$5:$H$204&lt;&gt;"")),D_Points!$H$5:$H$204),"")</f>
        <v/>
      </c>
      <c r="I635" s="181" t="str">
        <f>IFERROR(LOOKUP(2,1/((A_Corridor!$A$5:$A$204&lt;&gt;"")*(A_Corridor!$A$5:$A$204&lt;=$B635)*(A_Corridor!$B$5:$B$204&gt;$B635)*(A_Corridor!$F$5:$F$204&lt;&gt;"")),IF(A_Corridor!$F$5:$F$204="-","",1)),"")</f>
        <v/>
      </c>
      <c r="J635" s="182" t="str">
        <f>IFERROR(LOOKUP(2,1/((A_Corridor!$A$5:$A$204&lt;&gt;"")*(A_Corridor!$A$5:$A$204&lt;=$B635)*(A_Corridor!$B$5:$B$204&gt;$B635)*(A_Corridor!$F$5:$F$204&lt;&gt;"")),IF(A_Corridor!$F$5:$F$204="-","",A_Corridor!$F$5:$F$204)),"")</f>
        <v/>
      </c>
      <c r="K635" s="182" t="str">
        <f>IFERROR(LOOKUP(2,1/((A_Corridor!$A$5:$A$204&lt;&gt;"")*(A_Corridor!$A$5:$A$204&lt;=$B635)*(A_Corridor!$B$5:$B$204&gt;$B635)*(A_Corridor!$G$5:$G$204&lt;&gt;"")),IF(A_Corridor!$G$5:$G$204="-","",A_Corridor!$G$5:$G$204)),"")</f>
        <v/>
      </c>
      <c r="L635" s="181" t="str">
        <f>IFERROR(LOOKUP(2,1/((A_Corridor!$A$5:$A$204&lt;&gt;"")*(A_Corridor!$A$5:$A$204&lt;=$B635)*(A_Corridor!$B$5:$B$204&gt;$B635)*(A_Corridor!$H$5:$H$204&lt;&gt;"")),IF(A_Corridor!$H$5:$H$204="-","",1)),"")</f>
        <v/>
      </c>
      <c r="M635" s="182" t="str">
        <f>IFERROR(LOOKUP(2,1/((A_Corridor!$A$5:$A$204&lt;&gt;"")*(A_Corridor!$A$5:$A$204&lt;=$B635)*(A_Corridor!$B$5:$B$204&gt;$B635)*(A_Corridor!$H$5:$H$204&lt;&gt;"")),IF(A_Corridor!$H$5:$H$204="-","",A_Corridor!$H$5:$H$204)),"")</f>
        <v/>
      </c>
      <c r="N635" s="182" t="str">
        <f>IFERROR(LOOKUP(2,1/((A_Corridor!$A$5:$A$204&lt;&gt;"")*(A_Corridor!$A$5:$A$204&lt;=$B635)*(A_Corridor!$B$5:$B$204&gt;$B635)*(A_Corridor!$I$5:$I$204&lt;&gt;"")),IF(A_Corridor!$I$5:$I$204="-","",A_Corridor!$I$5:$I$204)),"")</f>
        <v/>
      </c>
      <c r="O635" s="182" t="str">
        <f>IFERROR(LOOKUP(2,1/((D_Points!$A$5:$A$204&lt;&gt;"")*(D_Points!$A$5:$A$204&gt;=$B635)*(D_Points!$A$5:$A$204&lt;$B635+P_Interval)*(UPPER(TRIM(D_Points!$B$5:$B$204))="PITCHING")*(D_Points!$H$5:$H$204&lt;&gt;"")),D_Points!$H$5:$H$204),"")</f>
        <v/>
      </c>
      <c r="P635" s="181" t="str">
        <f>IFERROR(LOOKUP(2,1/((B_Drainage!$A$5:$A$204&lt;&gt;"")*(B_Drainage!$A$5:$A$204&lt;=$B635)*(B_Drainage!$B$5:$B$204&gt;$B635)*(B_Drainage!$C$5:$C$204&lt;&gt;"")),IF(B_Drainage!$C$5:$C$204="-","",UPPER(B_Drainage!$C$5:$C$204))),"")</f>
        <v/>
      </c>
      <c r="Q635" s="181" t="str">
        <f>IFERROR(LOOKUP(2,1/((B_Drainage!$A$5:$A$204&lt;&gt;"")*(B_Drainage!$A$5:$A$204&lt;=$B635)*(B_Drainage!$B$5:$B$204&gt;$B635)*(B_Drainage!$D$5:$D$204&lt;&gt;"")),IF(B_Drainage!$D$5:$D$204="-","",UPPER(B_Drainage!$D$5:$D$204))),"")</f>
        <v/>
      </c>
      <c r="R635" s="182" t="str">
        <f>IFERROR(LOOKUP(2,1/((D_Points!$A$5:$A$204&lt;&gt;"")*(D_Points!$A$5:$A$204&gt;=$B635)*(D_Points!$A$5:$A$204&lt;$B635+P_Interval)*(RIGHT(UPPER(TRIM(D_Points!$B$5:$B$204)),8)="_CULVERT")),IF(LEFT(UPPER(TRIM(D_Points!$B$5:$B$204)),2)="EX",1,IF(LEFT(UPPER(TRIM(D_Points!$B$5:$B$204)),2)="PR",2,3))),"")</f>
        <v/>
      </c>
      <c r="S635" s="182" t="str">
        <f>IFERROR(LOOKUP(2,1/((D_Points!$A$5:$A$204&lt;&gt;"")*(D_Points!$A$5:$A$204&gt;=$B635)*(D_Points!$A$5:$A$204&lt;$B635+P_Interval)*(RIGHT(UPPER(TRIM(D_Points!$B$5:$B$204)),7)="_BRIDGE")),IF(LEFT(UPPER(TRIM(D_Points!$B$5:$B$204)),2)="EX",1,IF(LEFT(UPPER(TRIM(D_Points!$B$5:$B$204)),2)="PR",2,2))),"")</f>
        <v/>
      </c>
      <c r="T635" s="181" t="str">
        <f>IFERROR(LOOKUP(2,1/((B_Drainage!$A$5:$A$204&lt;&gt;"")*(B_Drainage!$A$5:$A$204&lt;=$B635)*(B_Drainage!$B$5:$B$204&gt;$B635)*(B_Drainage!$E$5:$E$204&lt;&gt;"")),IF(B_Drainage!$E$5:$E$204="-","",1)),"")</f>
        <v/>
      </c>
      <c r="U635" s="181" t="str">
        <f>IFERROR(LOOKUP(2,1/((B_Drainage!$A$5:$A$204&lt;&gt;"")*(B_Drainage!$A$5:$A$204&lt;=$B635)*(B_Drainage!$B$5:$B$204&gt;$B635)*(B_Drainage!$E$5:$E$204&lt;&gt;"")),IF(B_Drainage!$E$5:$E$204="-","",B_Drainage!$E$5:$E$204)),"")</f>
        <v/>
      </c>
      <c r="V635" s="181" t="str">
        <f>IFERROR(LOOKUP(2,1/((B_Drainage!$A$5:$A$204&lt;&gt;"")*(B_Drainage!$A$5:$A$204&lt;=$B635)*(B_Drainage!$B$5:$B$204&gt;$B635)*(B_Drainage!$F$5:$F$204&lt;&gt;"")),IF(B_Drainage!$F$5:$F$204="-","",1)),"")</f>
        <v/>
      </c>
      <c r="W635" s="181" t="str">
        <f>IFERROR(LOOKUP(2,1/((B_Drainage!$A$5:$A$204&lt;&gt;"")*(B_Drainage!$A$5:$A$204&lt;=$B635)*(B_Drainage!$B$5:$B$204&gt;$B635)*(B_Drainage!$F$5:$F$204&lt;&gt;"")),IF(B_Drainage!$F$5:$F$204="-","",B_Drainage!$F$5:$F$204)),"")</f>
        <v/>
      </c>
      <c r="X635" s="181" t="str">
        <f>IFERROR(LOOKUP(2,1/((B_Drainage!$A$5:$A$204&lt;&gt;"")*(B_Drainage!$A$5:$A$204&lt;=$B635)*(B_Drainage!$B$5:$B$204&gt;$B635)*(B_Drainage!$G$5:$G$204&lt;&gt;"")),IF(UPPER(B_Drainage!$G$5:$G$204)="Y",1,"")),"")</f>
        <v/>
      </c>
      <c r="Y635" s="181" t="str">
        <f>IFERROR(LOOKUP(2,1/((B_Drainage!$A$5:$A$204&lt;&gt;"")*(B_Drainage!$A$5:$A$204&lt;=$B635)*(B_Drainage!$B$5:$B$204&gt;$B635)*(B_Drainage!$H$5:$H$204&lt;&gt;"")),IF(UPPER(B_Drainage!$H$5:$H$204)="Y",1,"")),"")</f>
        <v/>
      </c>
      <c r="Z635" s="181" t="str">
        <f>IFERROR(LOOKUP(2,1/((B_Drainage!$A$5:$A$204&lt;&gt;"")*(B_Drainage!$A$5:$A$204&lt;=$B635)*(B_Drainage!$B$5:$B$204&gt;$B635)*(B_Drainage!$I$5:$I$204&lt;&gt;"")),IF(UPPER(B_Drainage!$I$5:$I$204)="Y",1,"")),"")</f>
        <v/>
      </c>
      <c r="AA635" s="181" t="str">
        <f>IFERROR(LOOKUP(2,1/((B_Drainage!$A$5:$A$204&lt;&gt;"")*(B_Drainage!$A$5:$A$204&lt;=$B635)*(B_Drainage!$B$5:$B$204&gt;$B635)*(B_Drainage!$J$5:$J$204&lt;&gt;"")),IF(UPPER(B_Drainage!$J$5:$J$204)="Y",1,"")),"")</f>
        <v/>
      </c>
      <c r="AB635" s="182" t="str">
        <f>IFERROR(LOOKUP(2,1/((B_Drainage!$A$5:$A$204&lt;&gt;"")*(B_Drainage!$A$5:$A$204&lt;=$B635)*(B_Drainage!$B$5:$B$204&gt;$B635)*(B_Drainage!$K$5:$K$204&lt;&gt;"")),IF(B_Drainage!$K$5:$K$204="-","",B_Drainage!$K$5:$K$204)),"")</f>
        <v/>
      </c>
      <c r="AC635" s="182" t="str">
        <f>IFERROR(LOOKUP(2,1/((B_Drainage!$A$5:$A$204&lt;&gt;"")*(B_Drainage!$A$5:$A$204&lt;=$B635)*(B_Drainage!$B$5:$B$204&gt;$B635)*(B_Drainage!$L$5:$L$204&lt;&gt;"")),IF(B_Drainage!$L$5:$L$204="-","",B_Drainage!$L$5:$L$204)),"")</f>
        <v/>
      </c>
      <c r="AD635" s="182" t="str">
        <f>IFERROR(LOOKUP(2,1/((D_Points!$A$5:$A$204&lt;&gt;"")*(D_Points!$A$5:$A$204&gt;=$B635)*(D_Points!$A$5:$A$204&lt;$B635+P_Interval)*(UPPER(TRIM(D_Points!$B$5:$B$204))="TURNOUT_L")*(D_Points!$H$5:$H$204&lt;&gt;"")),D_Points!$H$5:$H$204),"")</f>
        <v/>
      </c>
      <c r="AE635" s="182" t="str">
        <f>IFERROR(LOOKUP(2,1/((D_Points!$A$5:$A$204&lt;&gt;"")*(D_Points!$A$5:$A$204&gt;=$B635)*(D_Points!$A$5:$A$204&lt;$B635+P_Interval)*(UPPER(TRIM(D_Points!$B$5:$B$204))="TURNOUT_R")*(D_Points!$H$5:$H$204&lt;&gt;"")),D_Points!$H$5:$H$204),"")</f>
        <v/>
      </c>
      <c r="AF635" s="181" t="str">
        <f>IFERROR(LOOKUP(2,1/((B_Drainage!$A$5:$A$204&lt;&gt;"")*(B_Drainage!$A$5:$A$204&lt;=$B635)*(B_Drainage!$B$5:$B$204&gt;$B635)*(B_Drainage!$M$5:$M$204&lt;&gt;"")),IF(UPPER(B_Drainage!$M$5:$M$204)="Y",1,"")),"")</f>
        <v/>
      </c>
      <c r="AG635" s="181" t="str">
        <f>IFERROR(LOOKUP(2,1/((B_Drainage!$A$5:$A$204&lt;&gt;"")*(B_Drainage!$A$5:$A$204&lt;=$B635)*(B_Drainage!$B$5:$B$204&gt;$B635)*(B_Drainage!$N$5:$N$204&lt;&gt;"")),IF(UPPER(B_Drainage!$N$5:$N$204)="Y",1,"")),"")</f>
        <v/>
      </c>
      <c r="AH635" s="181" t="str">
        <f t="shared" si="72"/>
        <v/>
      </c>
      <c r="AI635" s="181" t="str">
        <f t="shared" si="73"/>
        <v/>
      </c>
      <c r="AJ635" s="181" t="str">
        <f t="shared" si="74"/>
        <v/>
      </c>
      <c r="AK635" s="181" t="str">
        <f t="shared" si="75"/>
        <v/>
      </c>
      <c r="AL635" s="181" t="str">
        <f t="shared" si="76"/>
        <v/>
      </c>
      <c r="AM635" s="181" t="str">
        <f t="shared" si="77"/>
        <v/>
      </c>
      <c r="AN635" s="181" t="str">
        <f t="shared" si="78"/>
        <v/>
      </c>
      <c r="AO635" s="192" t="str">
        <f t="shared" si="79"/>
        <v/>
      </c>
      <c r="AQ635" t="str">
        <f>IFERROR(LOOKUP(2,1/((C_Pavement!$A$5:$A$204&lt;&gt;"")*(C_Pavement!$A$5:$A$204&lt;=$B635)*(C_Pavement!$B$5:$B$204&gt;$B635)*(C_Pavement!$C$5:$C$204&lt;&gt;"")),ROW(C_Pavement!$C$5:$C$204)-4),"")</f>
        <v/>
      </c>
      <c r="AR635" t="str">
        <f>IF($AQ635="","",UPPER(TRIM(INDEX(C_Pavement!$C$5:$C$204,$AQ635))))</f>
        <v/>
      </c>
      <c r="AS635" t="str">
        <f>IF($AR635="","",IFERROR(MATCH($AR635,E_Rules!$A$5:$A$9,0),""))</f>
        <v/>
      </c>
      <c r="AT635" t="str">
        <f>IF($AQ635="","",IF(INDEX(C_Pavement!$D$5:$D$204,$AQ635)&lt;&gt;"",UPPER(TRIM(INDEX(C_Pavement!$D$5:$D$204,$AQ635))),IF($AS635="","",INDEX(E_Rules!$C$5:$C$9,$AS635))))</f>
        <v/>
      </c>
      <c r="AU635" t="str">
        <f>IF($AQ635="","",IF(INDEX(C_Pavement!$E$5:$E$204,$AQ635)&lt;&gt;"",IF(INDEX(C_Pavement!$E$5:$E$204,$AQ635)="-","",INDEX(C_Pavement!$E$5:$E$204,$AQ635)),IF($AS635="","",INDEX(E_Rules!$D$5:$D$9,$AS635))))</f>
        <v/>
      </c>
      <c r="AV635" t="str">
        <f>IF($AQ635="","",IF(INDEX(C_Pavement!$F$5:$F$204,$AQ635)&lt;&gt;"",IF(INDEX(C_Pavement!$F$5:$F$204,$AQ635)="-","",INDEX(C_Pavement!$F$5:$F$204,$AQ635)),IF($AS635="","",INDEX(E_Rules!$E$5:$E$9,$AS635))))</f>
        <v/>
      </c>
      <c r="AW635" t="str">
        <f>IF($AQ635="","",IF(INDEX(C_Pavement!$G$5:$G$204,$AQ635)&lt;&gt;"",IF(INDEX(C_Pavement!$G$5:$G$204,$AQ635)="-","",INDEX(C_Pavement!$G$5:$G$204,$AQ635)),IF($AS635="","",INDEX(E_Rules!$F$5:$F$9,$AS635))))</f>
        <v/>
      </c>
      <c r="AX635" t="str">
        <f>IF($AQ635="","",IF(INDEX(C_Pavement!$H$5:$H$204,$AQ635)&lt;&gt;"",IF(INDEX(C_Pavement!$H$5:$H$204,$AQ635)="-","",INDEX(C_Pavement!$H$5:$H$204,$AQ635)),IF($AS635="","",INDEX(E_Rules!$G$5:$G$9,$AS635))))</f>
        <v/>
      </c>
      <c r="AY635" t="str">
        <f>IF($AQ635="","",IF(INDEX(C_Pavement!$I$5:$I$204,$AQ635)&lt;&gt;"",IF(INDEX(C_Pavement!$I$5:$I$204,$AQ635)="-","",INDEX(C_Pavement!$I$5:$I$204,$AQ635)),IF($AS635="","",INDEX(E_Rules!$H$5:$H$9,$AS635))))</f>
        <v/>
      </c>
    </row>
    <row r="636" spans="1:51" ht="15.75" customHeight="1" x14ac:dyDescent="0.3">
      <c r="A636" s="189">
        <v>631</v>
      </c>
      <c r="B636" s="180">
        <v>31500</v>
      </c>
      <c r="C636" s="180" t="s">
        <v>942</v>
      </c>
      <c r="D636" s="181" t="str">
        <f>IFERROR(LOOKUP(2,1/((A_Corridor!$A$5:$A$204&lt;&gt;"")*(A_Corridor!$A$5:$A$204&lt;=$B636)*(A_Corridor!$B$5:$B$204&gt;$B636)*(A_Corridor!$C$5:$C$204&lt;&gt;"")),IF(UPPER(A_Corridor!$C$5:$C$204)="Y",1,"")),"")</f>
        <v/>
      </c>
      <c r="E636" s="181" t="str">
        <f>IFERROR(LOOKUP(2,1/((A_Corridor!$A$5:$A$204&lt;&gt;"")*(A_Corridor!$A$5:$A$204&lt;=$B636)*(A_Corridor!$B$5:$B$204&gt;$B636)*(A_Corridor!$D$5:$D$204&lt;&gt;"")),IF(A_Corridor!$D$5:$D$204="-","",UPPER(A_Corridor!$D$5:$D$204))),"")</f>
        <v/>
      </c>
      <c r="F636" s="181" t="str">
        <f>IFERROR(LOOKUP(2,1/((A_Corridor!$A$5:$A$204&lt;&gt;"")*(A_Corridor!$A$5:$A$204&lt;=$B636)*(A_Corridor!$B$5:$B$204&gt;$B636)*(A_Corridor!$E$5:$E$204&lt;&gt;"")),IF(A_Corridor!$E$5:$E$204="-","",1)),"")</f>
        <v/>
      </c>
      <c r="G636" s="182" t="str">
        <f>IFERROR(LOOKUP(2,1/((A_Corridor!$A$5:$A$204&lt;&gt;"")*(A_Corridor!$A$5:$A$204&lt;=$B636)*(A_Corridor!$B$5:$B$204&gt;$B636)*(A_Corridor!$E$5:$E$204&lt;&gt;"")),IF(A_Corridor!$E$5:$E$204="-","",A_Corridor!$E$5:$E$204)),"")</f>
        <v/>
      </c>
      <c r="H636" s="182" t="str">
        <f>IFERROR(LOOKUP(2,1/((D_Points!$A$5:$A$204&lt;&gt;"")*(D_Points!$A$5:$A$204&gt;=$B636)*(D_Points!$A$5:$A$204&lt;$B636+P_Interval)*(UPPER(TRIM(D_Points!$B$5:$B$204))="GULLY")*(D_Points!$H$5:$H$204&lt;&gt;"")),D_Points!$H$5:$H$204),"")</f>
        <v/>
      </c>
      <c r="I636" s="181" t="str">
        <f>IFERROR(LOOKUP(2,1/((A_Corridor!$A$5:$A$204&lt;&gt;"")*(A_Corridor!$A$5:$A$204&lt;=$B636)*(A_Corridor!$B$5:$B$204&gt;$B636)*(A_Corridor!$F$5:$F$204&lt;&gt;"")),IF(A_Corridor!$F$5:$F$204="-","",1)),"")</f>
        <v/>
      </c>
      <c r="J636" s="182" t="str">
        <f>IFERROR(LOOKUP(2,1/((A_Corridor!$A$5:$A$204&lt;&gt;"")*(A_Corridor!$A$5:$A$204&lt;=$B636)*(A_Corridor!$B$5:$B$204&gt;$B636)*(A_Corridor!$F$5:$F$204&lt;&gt;"")),IF(A_Corridor!$F$5:$F$204="-","",A_Corridor!$F$5:$F$204)),"")</f>
        <v/>
      </c>
      <c r="K636" s="182" t="str">
        <f>IFERROR(LOOKUP(2,1/((A_Corridor!$A$5:$A$204&lt;&gt;"")*(A_Corridor!$A$5:$A$204&lt;=$B636)*(A_Corridor!$B$5:$B$204&gt;$B636)*(A_Corridor!$G$5:$G$204&lt;&gt;"")),IF(A_Corridor!$G$5:$G$204="-","",A_Corridor!$G$5:$G$204)),"")</f>
        <v/>
      </c>
      <c r="L636" s="181" t="str">
        <f>IFERROR(LOOKUP(2,1/((A_Corridor!$A$5:$A$204&lt;&gt;"")*(A_Corridor!$A$5:$A$204&lt;=$B636)*(A_Corridor!$B$5:$B$204&gt;$B636)*(A_Corridor!$H$5:$H$204&lt;&gt;"")),IF(A_Corridor!$H$5:$H$204="-","",1)),"")</f>
        <v/>
      </c>
      <c r="M636" s="182" t="str">
        <f>IFERROR(LOOKUP(2,1/((A_Corridor!$A$5:$A$204&lt;&gt;"")*(A_Corridor!$A$5:$A$204&lt;=$B636)*(A_Corridor!$B$5:$B$204&gt;$B636)*(A_Corridor!$H$5:$H$204&lt;&gt;"")),IF(A_Corridor!$H$5:$H$204="-","",A_Corridor!$H$5:$H$204)),"")</f>
        <v/>
      </c>
      <c r="N636" s="182" t="str">
        <f>IFERROR(LOOKUP(2,1/((A_Corridor!$A$5:$A$204&lt;&gt;"")*(A_Corridor!$A$5:$A$204&lt;=$B636)*(A_Corridor!$B$5:$B$204&gt;$B636)*(A_Corridor!$I$5:$I$204&lt;&gt;"")),IF(A_Corridor!$I$5:$I$204="-","",A_Corridor!$I$5:$I$204)),"")</f>
        <v/>
      </c>
      <c r="O636" s="182" t="str">
        <f>IFERROR(LOOKUP(2,1/((D_Points!$A$5:$A$204&lt;&gt;"")*(D_Points!$A$5:$A$204&gt;=$B636)*(D_Points!$A$5:$A$204&lt;$B636+P_Interval)*(UPPER(TRIM(D_Points!$B$5:$B$204))="PITCHING")*(D_Points!$H$5:$H$204&lt;&gt;"")),D_Points!$H$5:$H$204),"")</f>
        <v/>
      </c>
      <c r="P636" s="181" t="str">
        <f>IFERROR(LOOKUP(2,1/((B_Drainage!$A$5:$A$204&lt;&gt;"")*(B_Drainage!$A$5:$A$204&lt;=$B636)*(B_Drainage!$B$5:$B$204&gt;$B636)*(B_Drainage!$C$5:$C$204&lt;&gt;"")),IF(B_Drainage!$C$5:$C$204="-","",UPPER(B_Drainage!$C$5:$C$204))),"")</f>
        <v/>
      </c>
      <c r="Q636" s="181" t="str">
        <f>IFERROR(LOOKUP(2,1/((B_Drainage!$A$5:$A$204&lt;&gt;"")*(B_Drainage!$A$5:$A$204&lt;=$B636)*(B_Drainage!$B$5:$B$204&gt;$B636)*(B_Drainage!$D$5:$D$204&lt;&gt;"")),IF(B_Drainage!$D$5:$D$204="-","",UPPER(B_Drainage!$D$5:$D$204))),"")</f>
        <v/>
      </c>
      <c r="R636" s="182" t="str">
        <f>IFERROR(LOOKUP(2,1/((D_Points!$A$5:$A$204&lt;&gt;"")*(D_Points!$A$5:$A$204&gt;=$B636)*(D_Points!$A$5:$A$204&lt;$B636+P_Interval)*(RIGHT(UPPER(TRIM(D_Points!$B$5:$B$204)),8)="_CULVERT")),IF(LEFT(UPPER(TRIM(D_Points!$B$5:$B$204)),2)="EX",1,IF(LEFT(UPPER(TRIM(D_Points!$B$5:$B$204)),2)="PR",2,3))),"")</f>
        <v/>
      </c>
      <c r="S636" s="182" t="str">
        <f>IFERROR(LOOKUP(2,1/((D_Points!$A$5:$A$204&lt;&gt;"")*(D_Points!$A$5:$A$204&gt;=$B636)*(D_Points!$A$5:$A$204&lt;$B636+P_Interval)*(RIGHT(UPPER(TRIM(D_Points!$B$5:$B$204)),7)="_BRIDGE")),IF(LEFT(UPPER(TRIM(D_Points!$B$5:$B$204)),2)="EX",1,IF(LEFT(UPPER(TRIM(D_Points!$B$5:$B$204)),2)="PR",2,2))),"")</f>
        <v/>
      </c>
      <c r="T636" s="181" t="str">
        <f>IFERROR(LOOKUP(2,1/((B_Drainage!$A$5:$A$204&lt;&gt;"")*(B_Drainage!$A$5:$A$204&lt;=$B636)*(B_Drainage!$B$5:$B$204&gt;$B636)*(B_Drainage!$E$5:$E$204&lt;&gt;"")),IF(B_Drainage!$E$5:$E$204="-","",1)),"")</f>
        <v/>
      </c>
      <c r="U636" s="181" t="str">
        <f>IFERROR(LOOKUP(2,1/((B_Drainage!$A$5:$A$204&lt;&gt;"")*(B_Drainage!$A$5:$A$204&lt;=$B636)*(B_Drainage!$B$5:$B$204&gt;$B636)*(B_Drainage!$E$5:$E$204&lt;&gt;"")),IF(B_Drainage!$E$5:$E$204="-","",B_Drainage!$E$5:$E$204)),"")</f>
        <v/>
      </c>
      <c r="V636" s="181" t="str">
        <f>IFERROR(LOOKUP(2,1/((B_Drainage!$A$5:$A$204&lt;&gt;"")*(B_Drainage!$A$5:$A$204&lt;=$B636)*(B_Drainage!$B$5:$B$204&gt;$B636)*(B_Drainage!$F$5:$F$204&lt;&gt;"")),IF(B_Drainage!$F$5:$F$204="-","",1)),"")</f>
        <v/>
      </c>
      <c r="W636" s="181" t="str">
        <f>IFERROR(LOOKUP(2,1/((B_Drainage!$A$5:$A$204&lt;&gt;"")*(B_Drainage!$A$5:$A$204&lt;=$B636)*(B_Drainage!$B$5:$B$204&gt;$B636)*(B_Drainage!$F$5:$F$204&lt;&gt;"")),IF(B_Drainage!$F$5:$F$204="-","",B_Drainage!$F$5:$F$204)),"")</f>
        <v/>
      </c>
      <c r="X636" s="181" t="str">
        <f>IFERROR(LOOKUP(2,1/((B_Drainage!$A$5:$A$204&lt;&gt;"")*(B_Drainage!$A$5:$A$204&lt;=$B636)*(B_Drainage!$B$5:$B$204&gt;$B636)*(B_Drainage!$G$5:$G$204&lt;&gt;"")),IF(UPPER(B_Drainage!$G$5:$G$204)="Y",1,"")),"")</f>
        <v/>
      </c>
      <c r="Y636" s="181" t="str">
        <f>IFERROR(LOOKUP(2,1/((B_Drainage!$A$5:$A$204&lt;&gt;"")*(B_Drainage!$A$5:$A$204&lt;=$B636)*(B_Drainage!$B$5:$B$204&gt;$B636)*(B_Drainage!$H$5:$H$204&lt;&gt;"")),IF(UPPER(B_Drainage!$H$5:$H$204)="Y",1,"")),"")</f>
        <v/>
      </c>
      <c r="Z636" s="181" t="str">
        <f>IFERROR(LOOKUP(2,1/((B_Drainage!$A$5:$A$204&lt;&gt;"")*(B_Drainage!$A$5:$A$204&lt;=$B636)*(B_Drainage!$B$5:$B$204&gt;$B636)*(B_Drainage!$I$5:$I$204&lt;&gt;"")),IF(UPPER(B_Drainage!$I$5:$I$204)="Y",1,"")),"")</f>
        <v/>
      </c>
      <c r="AA636" s="181" t="str">
        <f>IFERROR(LOOKUP(2,1/((B_Drainage!$A$5:$A$204&lt;&gt;"")*(B_Drainage!$A$5:$A$204&lt;=$B636)*(B_Drainage!$B$5:$B$204&gt;$B636)*(B_Drainage!$J$5:$J$204&lt;&gt;"")),IF(UPPER(B_Drainage!$J$5:$J$204)="Y",1,"")),"")</f>
        <v/>
      </c>
      <c r="AB636" s="182" t="str">
        <f>IFERROR(LOOKUP(2,1/((B_Drainage!$A$5:$A$204&lt;&gt;"")*(B_Drainage!$A$5:$A$204&lt;=$B636)*(B_Drainage!$B$5:$B$204&gt;$B636)*(B_Drainage!$K$5:$K$204&lt;&gt;"")),IF(B_Drainage!$K$5:$K$204="-","",B_Drainage!$K$5:$K$204)),"")</f>
        <v/>
      </c>
      <c r="AC636" s="182" t="str">
        <f>IFERROR(LOOKUP(2,1/((B_Drainage!$A$5:$A$204&lt;&gt;"")*(B_Drainage!$A$5:$A$204&lt;=$B636)*(B_Drainage!$B$5:$B$204&gt;$B636)*(B_Drainage!$L$5:$L$204&lt;&gt;"")),IF(B_Drainage!$L$5:$L$204="-","",B_Drainage!$L$5:$L$204)),"")</f>
        <v/>
      </c>
      <c r="AD636" s="182" t="str">
        <f>IFERROR(LOOKUP(2,1/((D_Points!$A$5:$A$204&lt;&gt;"")*(D_Points!$A$5:$A$204&gt;=$B636)*(D_Points!$A$5:$A$204&lt;$B636+P_Interval)*(UPPER(TRIM(D_Points!$B$5:$B$204))="TURNOUT_L")*(D_Points!$H$5:$H$204&lt;&gt;"")),D_Points!$H$5:$H$204),"")</f>
        <v/>
      </c>
      <c r="AE636" s="182" t="str">
        <f>IFERROR(LOOKUP(2,1/((D_Points!$A$5:$A$204&lt;&gt;"")*(D_Points!$A$5:$A$204&gt;=$B636)*(D_Points!$A$5:$A$204&lt;$B636+P_Interval)*(UPPER(TRIM(D_Points!$B$5:$B$204))="TURNOUT_R")*(D_Points!$H$5:$H$204&lt;&gt;"")),D_Points!$H$5:$H$204),"")</f>
        <v/>
      </c>
      <c r="AF636" s="181" t="str">
        <f>IFERROR(LOOKUP(2,1/((B_Drainage!$A$5:$A$204&lt;&gt;"")*(B_Drainage!$A$5:$A$204&lt;=$B636)*(B_Drainage!$B$5:$B$204&gt;$B636)*(B_Drainage!$M$5:$M$204&lt;&gt;"")),IF(UPPER(B_Drainage!$M$5:$M$204)="Y",1,"")),"")</f>
        <v/>
      </c>
      <c r="AG636" s="181" t="str">
        <f>IFERROR(LOOKUP(2,1/((B_Drainage!$A$5:$A$204&lt;&gt;"")*(B_Drainage!$A$5:$A$204&lt;=$B636)*(B_Drainage!$B$5:$B$204&gt;$B636)*(B_Drainage!$N$5:$N$204&lt;&gt;"")),IF(UPPER(B_Drainage!$N$5:$N$204)="Y",1,"")),"")</f>
        <v/>
      </c>
      <c r="AH636" s="181" t="str">
        <f t="shared" si="72"/>
        <v/>
      </c>
      <c r="AI636" s="181" t="str">
        <f t="shared" si="73"/>
        <v/>
      </c>
      <c r="AJ636" s="181" t="str">
        <f t="shared" si="74"/>
        <v/>
      </c>
      <c r="AK636" s="181" t="str">
        <f t="shared" si="75"/>
        <v/>
      </c>
      <c r="AL636" s="181" t="str">
        <f t="shared" si="76"/>
        <v/>
      </c>
      <c r="AM636" s="181" t="str">
        <f t="shared" si="77"/>
        <v/>
      </c>
      <c r="AN636" s="181" t="str">
        <f t="shared" si="78"/>
        <v/>
      </c>
      <c r="AO636" s="192" t="str">
        <f t="shared" si="79"/>
        <v/>
      </c>
      <c r="AQ636" t="str">
        <f>IFERROR(LOOKUP(2,1/((C_Pavement!$A$5:$A$204&lt;&gt;"")*(C_Pavement!$A$5:$A$204&lt;=$B636)*(C_Pavement!$B$5:$B$204&gt;$B636)*(C_Pavement!$C$5:$C$204&lt;&gt;"")),ROW(C_Pavement!$C$5:$C$204)-4),"")</f>
        <v/>
      </c>
      <c r="AR636" t="str">
        <f>IF($AQ636="","",UPPER(TRIM(INDEX(C_Pavement!$C$5:$C$204,$AQ636))))</f>
        <v/>
      </c>
      <c r="AS636" t="str">
        <f>IF($AR636="","",IFERROR(MATCH($AR636,E_Rules!$A$5:$A$9,0),""))</f>
        <v/>
      </c>
      <c r="AT636" t="str">
        <f>IF($AQ636="","",IF(INDEX(C_Pavement!$D$5:$D$204,$AQ636)&lt;&gt;"",UPPER(TRIM(INDEX(C_Pavement!$D$5:$D$204,$AQ636))),IF($AS636="","",INDEX(E_Rules!$C$5:$C$9,$AS636))))</f>
        <v/>
      </c>
      <c r="AU636" t="str">
        <f>IF($AQ636="","",IF(INDEX(C_Pavement!$E$5:$E$204,$AQ636)&lt;&gt;"",IF(INDEX(C_Pavement!$E$5:$E$204,$AQ636)="-","",INDEX(C_Pavement!$E$5:$E$204,$AQ636)),IF($AS636="","",INDEX(E_Rules!$D$5:$D$9,$AS636))))</f>
        <v/>
      </c>
      <c r="AV636" t="str">
        <f>IF($AQ636="","",IF(INDEX(C_Pavement!$F$5:$F$204,$AQ636)&lt;&gt;"",IF(INDEX(C_Pavement!$F$5:$F$204,$AQ636)="-","",INDEX(C_Pavement!$F$5:$F$204,$AQ636)),IF($AS636="","",INDEX(E_Rules!$E$5:$E$9,$AS636))))</f>
        <v/>
      </c>
      <c r="AW636" t="str">
        <f>IF($AQ636="","",IF(INDEX(C_Pavement!$G$5:$G$204,$AQ636)&lt;&gt;"",IF(INDEX(C_Pavement!$G$5:$G$204,$AQ636)="-","",INDEX(C_Pavement!$G$5:$G$204,$AQ636)),IF($AS636="","",INDEX(E_Rules!$F$5:$F$9,$AS636))))</f>
        <v/>
      </c>
      <c r="AX636" t="str">
        <f>IF($AQ636="","",IF(INDEX(C_Pavement!$H$5:$H$204,$AQ636)&lt;&gt;"",IF(INDEX(C_Pavement!$H$5:$H$204,$AQ636)="-","",INDEX(C_Pavement!$H$5:$H$204,$AQ636)),IF($AS636="","",INDEX(E_Rules!$G$5:$G$9,$AS636))))</f>
        <v/>
      </c>
      <c r="AY636" t="str">
        <f>IF($AQ636="","",IF(INDEX(C_Pavement!$I$5:$I$204,$AQ636)&lt;&gt;"",IF(INDEX(C_Pavement!$I$5:$I$204,$AQ636)="-","",INDEX(C_Pavement!$I$5:$I$204,$AQ636)),IF($AS636="","",INDEX(E_Rules!$H$5:$H$9,$AS636))))</f>
        <v/>
      </c>
    </row>
    <row r="637" spans="1:51" ht="15.75" customHeight="1" x14ac:dyDescent="0.3">
      <c r="A637" s="189">
        <v>632</v>
      </c>
      <c r="B637" s="180">
        <v>31550</v>
      </c>
      <c r="C637" s="180" t="s">
        <v>943</v>
      </c>
      <c r="D637" s="181" t="str">
        <f>IFERROR(LOOKUP(2,1/((A_Corridor!$A$5:$A$204&lt;&gt;"")*(A_Corridor!$A$5:$A$204&lt;=$B637)*(A_Corridor!$B$5:$B$204&gt;$B637)*(A_Corridor!$C$5:$C$204&lt;&gt;"")),IF(UPPER(A_Corridor!$C$5:$C$204)="Y",1,"")),"")</f>
        <v/>
      </c>
      <c r="E637" s="181" t="str">
        <f>IFERROR(LOOKUP(2,1/((A_Corridor!$A$5:$A$204&lt;&gt;"")*(A_Corridor!$A$5:$A$204&lt;=$B637)*(A_Corridor!$B$5:$B$204&gt;$B637)*(A_Corridor!$D$5:$D$204&lt;&gt;"")),IF(A_Corridor!$D$5:$D$204="-","",UPPER(A_Corridor!$D$5:$D$204))),"")</f>
        <v/>
      </c>
      <c r="F637" s="181" t="str">
        <f>IFERROR(LOOKUP(2,1/((A_Corridor!$A$5:$A$204&lt;&gt;"")*(A_Corridor!$A$5:$A$204&lt;=$B637)*(A_Corridor!$B$5:$B$204&gt;$B637)*(A_Corridor!$E$5:$E$204&lt;&gt;"")),IF(A_Corridor!$E$5:$E$204="-","",1)),"")</f>
        <v/>
      </c>
      <c r="G637" s="182" t="str">
        <f>IFERROR(LOOKUP(2,1/((A_Corridor!$A$5:$A$204&lt;&gt;"")*(A_Corridor!$A$5:$A$204&lt;=$B637)*(A_Corridor!$B$5:$B$204&gt;$B637)*(A_Corridor!$E$5:$E$204&lt;&gt;"")),IF(A_Corridor!$E$5:$E$204="-","",A_Corridor!$E$5:$E$204)),"")</f>
        <v/>
      </c>
      <c r="H637" s="182" t="str">
        <f>IFERROR(LOOKUP(2,1/((D_Points!$A$5:$A$204&lt;&gt;"")*(D_Points!$A$5:$A$204&gt;=$B637)*(D_Points!$A$5:$A$204&lt;$B637+P_Interval)*(UPPER(TRIM(D_Points!$B$5:$B$204))="GULLY")*(D_Points!$H$5:$H$204&lt;&gt;"")),D_Points!$H$5:$H$204),"")</f>
        <v/>
      </c>
      <c r="I637" s="181" t="str">
        <f>IFERROR(LOOKUP(2,1/((A_Corridor!$A$5:$A$204&lt;&gt;"")*(A_Corridor!$A$5:$A$204&lt;=$B637)*(A_Corridor!$B$5:$B$204&gt;$B637)*(A_Corridor!$F$5:$F$204&lt;&gt;"")),IF(A_Corridor!$F$5:$F$204="-","",1)),"")</f>
        <v/>
      </c>
      <c r="J637" s="182" t="str">
        <f>IFERROR(LOOKUP(2,1/((A_Corridor!$A$5:$A$204&lt;&gt;"")*(A_Corridor!$A$5:$A$204&lt;=$B637)*(A_Corridor!$B$5:$B$204&gt;$B637)*(A_Corridor!$F$5:$F$204&lt;&gt;"")),IF(A_Corridor!$F$5:$F$204="-","",A_Corridor!$F$5:$F$204)),"")</f>
        <v/>
      </c>
      <c r="K637" s="182" t="str">
        <f>IFERROR(LOOKUP(2,1/((A_Corridor!$A$5:$A$204&lt;&gt;"")*(A_Corridor!$A$5:$A$204&lt;=$B637)*(A_Corridor!$B$5:$B$204&gt;$B637)*(A_Corridor!$G$5:$G$204&lt;&gt;"")),IF(A_Corridor!$G$5:$G$204="-","",A_Corridor!$G$5:$G$204)),"")</f>
        <v/>
      </c>
      <c r="L637" s="181" t="str">
        <f>IFERROR(LOOKUP(2,1/((A_Corridor!$A$5:$A$204&lt;&gt;"")*(A_Corridor!$A$5:$A$204&lt;=$B637)*(A_Corridor!$B$5:$B$204&gt;$B637)*(A_Corridor!$H$5:$H$204&lt;&gt;"")),IF(A_Corridor!$H$5:$H$204="-","",1)),"")</f>
        <v/>
      </c>
      <c r="M637" s="182" t="str">
        <f>IFERROR(LOOKUP(2,1/((A_Corridor!$A$5:$A$204&lt;&gt;"")*(A_Corridor!$A$5:$A$204&lt;=$B637)*(A_Corridor!$B$5:$B$204&gt;$B637)*(A_Corridor!$H$5:$H$204&lt;&gt;"")),IF(A_Corridor!$H$5:$H$204="-","",A_Corridor!$H$5:$H$204)),"")</f>
        <v/>
      </c>
      <c r="N637" s="182" t="str">
        <f>IFERROR(LOOKUP(2,1/((A_Corridor!$A$5:$A$204&lt;&gt;"")*(A_Corridor!$A$5:$A$204&lt;=$B637)*(A_Corridor!$B$5:$B$204&gt;$B637)*(A_Corridor!$I$5:$I$204&lt;&gt;"")),IF(A_Corridor!$I$5:$I$204="-","",A_Corridor!$I$5:$I$204)),"")</f>
        <v/>
      </c>
      <c r="O637" s="182" t="str">
        <f>IFERROR(LOOKUP(2,1/((D_Points!$A$5:$A$204&lt;&gt;"")*(D_Points!$A$5:$A$204&gt;=$B637)*(D_Points!$A$5:$A$204&lt;$B637+P_Interval)*(UPPER(TRIM(D_Points!$B$5:$B$204))="PITCHING")*(D_Points!$H$5:$H$204&lt;&gt;"")),D_Points!$H$5:$H$204),"")</f>
        <v/>
      </c>
      <c r="P637" s="181" t="str">
        <f>IFERROR(LOOKUP(2,1/((B_Drainage!$A$5:$A$204&lt;&gt;"")*(B_Drainage!$A$5:$A$204&lt;=$B637)*(B_Drainage!$B$5:$B$204&gt;$B637)*(B_Drainage!$C$5:$C$204&lt;&gt;"")),IF(B_Drainage!$C$5:$C$204="-","",UPPER(B_Drainage!$C$5:$C$204))),"")</f>
        <v/>
      </c>
      <c r="Q637" s="181" t="str">
        <f>IFERROR(LOOKUP(2,1/((B_Drainage!$A$5:$A$204&lt;&gt;"")*(B_Drainage!$A$5:$A$204&lt;=$B637)*(B_Drainage!$B$5:$B$204&gt;$B637)*(B_Drainage!$D$5:$D$204&lt;&gt;"")),IF(B_Drainage!$D$5:$D$204="-","",UPPER(B_Drainage!$D$5:$D$204))),"")</f>
        <v/>
      </c>
      <c r="R637" s="182" t="str">
        <f>IFERROR(LOOKUP(2,1/((D_Points!$A$5:$A$204&lt;&gt;"")*(D_Points!$A$5:$A$204&gt;=$B637)*(D_Points!$A$5:$A$204&lt;$B637+P_Interval)*(RIGHT(UPPER(TRIM(D_Points!$B$5:$B$204)),8)="_CULVERT")),IF(LEFT(UPPER(TRIM(D_Points!$B$5:$B$204)),2)="EX",1,IF(LEFT(UPPER(TRIM(D_Points!$B$5:$B$204)),2)="PR",2,3))),"")</f>
        <v/>
      </c>
      <c r="S637" s="182" t="str">
        <f>IFERROR(LOOKUP(2,1/((D_Points!$A$5:$A$204&lt;&gt;"")*(D_Points!$A$5:$A$204&gt;=$B637)*(D_Points!$A$5:$A$204&lt;$B637+P_Interval)*(RIGHT(UPPER(TRIM(D_Points!$B$5:$B$204)),7)="_BRIDGE")),IF(LEFT(UPPER(TRIM(D_Points!$B$5:$B$204)),2)="EX",1,IF(LEFT(UPPER(TRIM(D_Points!$B$5:$B$204)),2)="PR",2,2))),"")</f>
        <v/>
      </c>
      <c r="T637" s="181" t="str">
        <f>IFERROR(LOOKUP(2,1/((B_Drainage!$A$5:$A$204&lt;&gt;"")*(B_Drainage!$A$5:$A$204&lt;=$B637)*(B_Drainage!$B$5:$B$204&gt;$B637)*(B_Drainage!$E$5:$E$204&lt;&gt;"")),IF(B_Drainage!$E$5:$E$204="-","",1)),"")</f>
        <v/>
      </c>
      <c r="U637" s="181" t="str">
        <f>IFERROR(LOOKUP(2,1/((B_Drainage!$A$5:$A$204&lt;&gt;"")*(B_Drainage!$A$5:$A$204&lt;=$B637)*(B_Drainage!$B$5:$B$204&gt;$B637)*(B_Drainage!$E$5:$E$204&lt;&gt;"")),IF(B_Drainage!$E$5:$E$204="-","",B_Drainage!$E$5:$E$204)),"")</f>
        <v/>
      </c>
      <c r="V637" s="181" t="str">
        <f>IFERROR(LOOKUP(2,1/((B_Drainage!$A$5:$A$204&lt;&gt;"")*(B_Drainage!$A$5:$A$204&lt;=$B637)*(B_Drainage!$B$5:$B$204&gt;$B637)*(B_Drainage!$F$5:$F$204&lt;&gt;"")),IF(B_Drainage!$F$5:$F$204="-","",1)),"")</f>
        <v/>
      </c>
      <c r="W637" s="181" t="str">
        <f>IFERROR(LOOKUP(2,1/((B_Drainage!$A$5:$A$204&lt;&gt;"")*(B_Drainage!$A$5:$A$204&lt;=$B637)*(B_Drainage!$B$5:$B$204&gt;$B637)*(B_Drainage!$F$5:$F$204&lt;&gt;"")),IF(B_Drainage!$F$5:$F$204="-","",B_Drainage!$F$5:$F$204)),"")</f>
        <v/>
      </c>
      <c r="X637" s="181" t="str">
        <f>IFERROR(LOOKUP(2,1/((B_Drainage!$A$5:$A$204&lt;&gt;"")*(B_Drainage!$A$5:$A$204&lt;=$B637)*(B_Drainage!$B$5:$B$204&gt;$B637)*(B_Drainage!$G$5:$G$204&lt;&gt;"")),IF(UPPER(B_Drainage!$G$5:$G$204)="Y",1,"")),"")</f>
        <v/>
      </c>
      <c r="Y637" s="181" t="str">
        <f>IFERROR(LOOKUP(2,1/((B_Drainage!$A$5:$A$204&lt;&gt;"")*(B_Drainage!$A$5:$A$204&lt;=$B637)*(B_Drainage!$B$5:$B$204&gt;$B637)*(B_Drainage!$H$5:$H$204&lt;&gt;"")),IF(UPPER(B_Drainage!$H$5:$H$204)="Y",1,"")),"")</f>
        <v/>
      </c>
      <c r="Z637" s="181" t="str">
        <f>IFERROR(LOOKUP(2,1/((B_Drainage!$A$5:$A$204&lt;&gt;"")*(B_Drainage!$A$5:$A$204&lt;=$B637)*(B_Drainage!$B$5:$B$204&gt;$B637)*(B_Drainage!$I$5:$I$204&lt;&gt;"")),IF(UPPER(B_Drainage!$I$5:$I$204)="Y",1,"")),"")</f>
        <v/>
      </c>
      <c r="AA637" s="181" t="str">
        <f>IFERROR(LOOKUP(2,1/((B_Drainage!$A$5:$A$204&lt;&gt;"")*(B_Drainage!$A$5:$A$204&lt;=$B637)*(B_Drainage!$B$5:$B$204&gt;$B637)*(B_Drainage!$J$5:$J$204&lt;&gt;"")),IF(UPPER(B_Drainage!$J$5:$J$204)="Y",1,"")),"")</f>
        <v/>
      </c>
      <c r="AB637" s="182" t="str">
        <f>IFERROR(LOOKUP(2,1/((B_Drainage!$A$5:$A$204&lt;&gt;"")*(B_Drainage!$A$5:$A$204&lt;=$B637)*(B_Drainage!$B$5:$B$204&gt;$B637)*(B_Drainage!$K$5:$K$204&lt;&gt;"")),IF(B_Drainage!$K$5:$K$204="-","",B_Drainage!$K$5:$K$204)),"")</f>
        <v/>
      </c>
      <c r="AC637" s="182" t="str">
        <f>IFERROR(LOOKUP(2,1/((B_Drainage!$A$5:$A$204&lt;&gt;"")*(B_Drainage!$A$5:$A$204&lt;=$B637)*(B_Drainage!$B$5:$B$204&gt;$B637)*(B_Drainage!$L$5:$L$204&lt;&gt;"")),IF(B_Drainage!$L$5:$L$204="-","",B_Drainage!$L$5:$L$204)),"")</f>
        <v/>
      </c>
      <c r="AD637" s="182" t="str">
        <f>IFERROR(LOOKUP(2,1/((D_Points!$A$5:$A$204&lt;&gt;"")*(D_Points!$A$5:$A$204&gt;=$B637)*(D_Points!$A$5:$A$204&lt;$B637+P_Interval)*(UPPER(TRIM(D_Points!$B$5:$B$204))="TURNOUT_L")*(D_Points!$H$5:$H$204&lt;&gt;"")),D_Points!$H$5:$H$204),"")</f>
        <v/>
      </c>
      <c r="AE637" s="182" t="str">
        <f>IFERROR(LOOKUP(2,1/((D_Points!$A$5:$A$204&lt;&gt;"")*(D_Points!$A$5:$A$204&gt;=$B637)*(D_Points!$A$5:$A$204&lt;$B637+P_Interval)*(UPPER(TRIM(D_Points!$B$5:$B$204))="TURNOUT_R")*(D_Points!$H$5:$H$204&lt;&gt;"")),D_Points!$H$5:$H$204),"")</f>
        <v/>
      </c>
      <c r="AF637" s="181" t="str">
        <f>IFERROR(LOOKUP(2,1/((B_Drainage!$A$5:$A$204&lt;&gt;"")*(B_Drainage!$A$5:$A$204&lt;=$B637)*(B_Drainage!$B$5:$B$204&gt;$B637)*(B_Drainage!$M$5:$M$204&lt;&gt;"")),IF(UPPER(B_Drainage!$M$5:$M$204)="Y",1,"")),"")</f>
        <v/>
      </c>
      <c r="AG637" s="181" t="str">
        <f>IFERROR(LOOKUP(2,1/((B_Drainage!$A$5:$A$204&lt;&gt;"")*(B_Drainage!$A$5:$A$204&lt;=$B637)*(B_Drainage!$B$5:$B$204&gt;$B637)*(B_Drainage!$N$5:$N$204&lt;&gt;"")),IF(UPPER(B_Drainage!$N$5:$N$204)="Y",1,"")),"")</f>
        <v/>
      </c>
      <c r="AH637" s="181" t="str">
        <f t="shared" si="72"/>
        <v/>
      </c>
      <c r="AI637" s="181" t="str">
        <f t="shared" si="73"/>
        <v/>
      </c>
      <c r="AJ637" s="181" t="str">
        <f t="shared" si="74"/>
        <v/>
      </c>
      <c r="AK637" s="181" t="str">
        <f t="shared" si="75"/>
        <v/>
      </c>
      <c r="AL637" s="181" t="str">
        <f t="shared" si="76"/>
        <v/>
      </c>
      <c r="AM637" s="181" t="str">
        <f t="shared" si="77"/>
        <v/>
      </c>
      <c r="AN637" s="181" t="str">
        <f t="shared" si="78"/>
        <v/>
      </c>
      <c r="AO637" s="192" t="str">
        <f t="shared" si="79"/>
        <v/>
      </c>
      <c r="AQ637" t="str">
        <f>IFERROR(LOOKUP(2,1/((C_Pavement!$A$5:$A$204&lt;&gt;"")*(C_Pavement!$A$5:$A$204&lt;=$B637)*(C_Pavement!$B$5:$B$204&gt;$B637)*(C_Pavement!$C$5:$C$204&lt;&gt;"")),ROW(C_Pavement!$C$5:$C$204)-4),"")</f>
        <v/>
      </c>
      <c r="AR637" t="str">
        <f>IF($AQ637="","",UPPER(TRIM(INDEX(C_Pavement!$C$5:$C$204,$AQ637))))</f>
        <v/>
      </c>
      <c r="AS637" t="str">
        <f>IF($AR637="","",IFERROR(MATCH($AR637,E_Rules!$A$5:$A$9,0),""))</f>
        <v/>
      </c>
      <c r="AT637" t="str">
        <f>IF($AQ637="","",IF(INDEX(C_Pavement!$D$5:$D$204,$AQ637)&lt;&gt;"",UPPER(TRIM(INDEX(C_Pavement!$D$5:$D$204,$AQ637))),IF($AS637="","",INDEX(E_Rules!$C$5:$C$9,$AS637))))</f>
        <v/>
      </c>
      <c r="AU637" t="str">
        <f>IF($AQ637="","",IF(INDEX(C_Pavement!$E$5:$E$204,$AQ637)&lt;&gt;"",IF(INDEX(C_Pavement!$E$5:$E$204,$AQ637)="-","",INDEX(C_Pavement!$E$5:$E$204,$AQ637)),IF($AS637="","",INDEX(E_Rules!$D$5:$D$9,$AS637))))</f>
        <v/>
      </c>
      <c r="AV637" t="str">
        <f>IF($AQ637="","",IF(INDEX(C_Pavement!$F$5:$F$204,$AQ637)&lt;&gt;"",IF(INDEX(C_Pavement!$F$5:$F$204,$AQ637)="-","",INDEX(C_Pavement!$F$5:$F$204,$AQ637)),IF($AS637="","",INDEX(E_Rules!$E$5:$E$9,$AS637))))</f>
        <v/>
      </c>
      <c r="AW637" t="str">
        <f>IF($AQ637="","",IF(INDEX(C_Pavement!$G$5:$G$204,$AQ637)&lt;&gt;"",IF(INDEX(C_Pavement!$G$5:$G$204,$AQ637)="-","",INDEX(C_Pavement!$G$5:$G$204,$AQ637)),IF($AS637="","",INDEX(E_Rules!$F$5:$F$9,$AS637))))</f>
        <v/>
      </c>
      <c r="AX637" t="str">
        <f>IF($AQ637="","",IF(INDEX(C_Pavement!$H$5:$H$204,$AQ637)&lt;&gt;"",IF(INDEX(C_Pavement!$H$5:$H$204,$AQ637)="-","",INDEX(C_Pavement!$H$5:$H$204,$AQ637)),IF($AS637="","",INDEX(E_Rules!$G$5:$G$9,$AS637))))</f>
        <v/>
      </c>
      <c r="AY637" t="str">
        <f>IF($AQ637="","",IF(INDEX(C_Pavement!$I$5:$I$204,$AQ637)&lt;&gt;"",IF(INDEX(C_Pavement!$I$5:$I$204,$AQ637)="-","",INDEX(C_Pavement!$I$5:$I$204,$AQ637)),IF($AS637="","",INDEX(E_Rules!$H$5:$H$9,$AS637))))</f>
        <v/>
      </c>
    </row>
    <row r="638" spans="1:51" ht="15.75" customHeight="1" x14ac:dyDescent="0.3">
      <c r="A638" s="189">
        <v>633</v>
      </c>
      <c r="B638" s="180">
        <v>31600</v>
      </c>
      <c r="C638" s="180" t="s">
        <v>944</v>
      </c>
      <c r="D638" s="181" t="str">
        <f>IFERROR(LOOKUP(2,1/((A_Corridor!$A$5:$A$204&lt;&gt;"")*(A_Corridor!$A$5:$A$204&lt;=$B638)*(A_Corridor!$B$5:$B$204&gt;$B638)*(A_Corridor!$C$5:$C$204&lt;&gt;"")),IF(UPPER(A_Corridor!$C$5:$C$204)="Y",1,"")),"")</f>
        <v/>
      </c>
      <c r="E638" s="181" t="str">
        <f>IFERROR(LOOKUP(2,1/((A_Corridor!$A$5:$A$204&lt;&gt;"")*(A_Corridor!$A$5:$A$204&lt;=$B638)*(A_Corridor!$B$5:$B$204&gt;$B638)*(A_Corridor!$D$5:$D$204&lt;&gt;"")),IF(A_Corridor!$D$5:$D$204="-","",UPPER(A_Corridor!$D$5:$D$204))),"")</f>
        <v/>
      </c>
      <c r="F638" s="181" t="str">
        <f>IFERROR(LOOKUP(2,1/((A_Corridor!$A$5:$A$204&lt;&gt;"")*(A_Corridor!$A$5:$A$204&lt;=$B638)*(A_Corridor!$B$5:$B$204&gt;$B638)*(A_Corridor!$E$5:$E$204&lt;&gt;"")),IF(A_Corridor!$E$5:$E$204="-","",1)),"")</f>
        <v/>
      </c>
      <c r="G638" s="182" t="str">
        <f>IFERROR(LOOKUP(2,1/((A_Corridor!$A$5:$A$204&lt;&gt;"")*(A_Corridor!$A$5:$A$204&lt;=$B638)*(A_Corridor!$B$5:$B$204&gt;$B638)*(A_Corridor!$E$5:$E$204&lt;&gt;"")),IF(A_Corridor!$E$5:$E$204="-","",A_Corridor!$E$5:$E$204)),"")</f>
        <v/>
      </c>
      <c r="H638" s="182" t="str">
        <f>IFERROR(LOOKUP(2,1/((D_Points!$A$5:$A$204&lt;&gt;"")*(D_Points!$A$5:$A$204&gt;=$B638)*(D_Points!$A$5:$A$204&lt;$B638+P_Interval)*(UPPER(TRIM(D_Points!$B$5:$B$204))="GULLY")*(D_Points!$H$5:$H$204&lt;&gt;"")),D_Points!$H$5:$H$204),"")</f>
        <v/>
      </c>
      <c r="I638" s="181" t="str">
        <f>IFERROR(LOOKUP(2,1/((A_Corridor!$A$5:$A$204&lt;&gt;"")*(A_Corridor!$A$5:$A$204&lt;=$B638)*(A_Corridor!$B$5:$B$204&gt;$B638)*(A_Corridor!$F$5:$F$204&lt;&gt;"")),IF(A_Corridor!$F$5:$F$204="-","",1)),"")</f>
        <v/>
      </c>
      <c r="J638" s="182" t="str">
        <f>IFERROR(LOOKUP(2,1/((A_Corridor!$A$5:$A$204&lt;&gt;"")*(A_Corridor!$A$5:$A$204&lt;=$B638)*(A_Corridor!$B$5:$B$204&gt;$B638)*(A_Corridor!$F$5:$F$204&lt;&gt;"")),IF(A_Corridor!$F$5:$F$204="-","",A_Corridor!$F$5:$F$204)),"")</f>
        <v/>
      </c>
      <c r="K638" s="182" t="str">
        <f>IFERROR(LOOKUP(2,1/((A_Corridor!$A$5:$A$204&lt;&gt;"")*(A_Corridor!$A$5:$A$204&lt;=$B638)*(A_Corridor!$B$5:$B$204&gt;$B638)*(A_Corridor!$G$5:$G$204&lt;&gt;"")),IF(A_Corridor!$G$5:$G$204="-","",A_Corridor!$G$5:$G$204)),"")</f>
        <v/>
      </c>
      <c r="L638" s="181" t="str">
        <f>IFERROR(LOOKUP(2,1/((A_Corridor!$A$5:$A$204&lt;&gt;"")*(A_Corridor!$A$5:$A$204&lt;=$B638)*(A_Corridor!$B$5:$B$204&gt;$B638)*(A_Corridor!$H$5:$H$204&lt;&gt;"")),IF(A_Corridor!$H$5:$H$204="-","",1)),"")</f>
        <v/>
      </c>
      <c r="M638" s="182" t="str">
        <f>IFERROR(LOOKUP(2,1/((A_Corridor!$A$5:$A$204&lt;&gt;"")*(A_Corridor!$A$5:$A$204&lt;=$B638)*(A_Corridor!$B$5:$B$204&gt;$B638)*(A_Corridor!$H$5:$H$204&lt;&gt;"")),IF(A_Corridor!$H$5:$H$204="-","",A_Corridor!$H$5:$H$204)),"")</f>
        <v/>
      </c>
      <c r="N638" s="182" t="str">
        <f>IFERROR(LOOKUP(2,1/((A_Corridor!$A$5:$A$204&lt;&gt;"")*(A_Corridor!$A$5:$A$204&lt;=$B638)*(A_Corridor!$B$5:$B$204&gt;$B638)*(A_Corridor!$I$5:$I$204&lt;&gt;"")),IF(A_Corridor!$I$5:$I$204="-","",A_Corridor!$I$5:$I$204)),"")</f>
        <v/>
      </c>
      <c r="O638" s="182" t="str">
        <f>IFERROR(LOOKUP(2,1/((D_Points!$A$5:$A$204&lt;&gt;"")*(D_Points!$A$5:$A$204&gt;=$B638)*(D_Points!$A$5:$A$204&lt;$B638+P_Interval)*(UPPER(TRIM(D_Points!$B$5:$B$204))="PITCHING")*(D_Points!$H$5:$H$204&lt;&gt;"")),D_Points!$H$5:$H$204),"")</f>
        <v/>
      </c>
      <c r="P638" s="181" t="str">
        <f>IFERROR(LOOKUP(2,1/((B_Drainage!$A$5:$A$204&lt;&gt;"")*(B_Drainage!$A$5:$A$204&lt;=$B638)*(B_Drainage!$B$5:$B$204&gt;$B638)*(B_Drainage!$C$5:$C$204&lt;&gt;"")),IF(B_Drainage!$C$5:$C$204="-","",UPPER(B_Drainage!$C$5:$C$204))),"")</f>
        <v/>
      </c>
      <c r="Q638" s="181" t="str">
        <f>IFERROR(LOOKUP(2,1/((B_Drainage!$A$5:$A$204&lt;&gt;"")*(B_Drainage!$A$5:$A$204&lt;=$B638)*(B_Drainage!$B$5:$B$204&gt;$B638)*(B_Drainage!$D$5:$D$204&lt;&gt;"")),IF(B_Drainage!$D$5:$D$204="-","",UPPER(B_Drainage!$D$5:$D$204))),"")</f>
        <v/>
      </c>
      <c r="R638" s="182" t="str">
        <f>IFERROR(LOOKUP(2,1/((D_Points!$A$5:$A$204&lt;&gt;"")*(D_Points!$A$5:$A$204&gt;=$B638)*(D_Points!$A$5:$A$204&lt;$B638+P_Interval)*(RIGHT(UPPER(TRIM(D_Points!$B$5:$B$204)),8)="_CULVERT")),IF(LEFT(UPPER(TRIM(D_Points!$B$5:$B$204)),2)="EX",1,IF(LEFT(UPPER(TRIM(D_Points!$B$5:$B$204)),2)="PR",2,3))),"")</f>
        <v/>
      </c>
      <c r="S638" s="182" t="str">
        <f>IFERROR(LOOKUP(2,1/((D_Points!$A$5:$A$204&lt;&gt;"")*(D_Points!$A$5:$A$204&gt;=$B638)*(D_Points!$A$5:$A$204&lt;$B638+P_Interval)*(RIGHT(UPPER(TRIM(D_Points!$B$5:$B$204)),7)="_BRIDGE")),IF(LEFT(UPPER(TRIM(D_Points!$B$5:$B$204)),2)="EX",1,IF(LEFT(UPPER(TRIM(D_Points!$B$5:$B$204)),2)="PR",2,2))),"")</f>
        <v/>
      </c>
      <c r="T638" s="181" t="str">
        <f>IFERROR(LOOKUP(2,1/((B_Drainage!$A$5:$A$204&lt;&gt;"")*(B_Drainage!$A$5:$A$204&lt;=$B638)*(B_Drainage!$B$5:$B$204&gt;$B638)*(B_Drainage!$E$5:$E$204&lt;&gt;"")),IF(B_Drainage!$E$5:$E$204="-","",1)),"")</f>
        <v/>
      </c>
      <c r="U638" s="181" t="str">
        <f>IFERROR(LOOKUP(2,1/((B_Drainage!$A$5:$A$204&lt;&gt;"")*(B_Drainage!$A$5:$A$204&lt;=$B638)*(B_Drainage!$B$5:$B$204&gt;$B638)*(B_Drainage!$E$5:$E$204&lt;&gt;"")),IF(B_Drainage!$E$5:$E$204="-","",B_Drainage!$E$5:$E$204)),"")</f>
        <v/>
      </c>
      <c r="V638" s="181" t="str">
        <f>IFERROR(LOOKUP(2,1/((B_Drainage!$A$5:$A$204&lt;&gt;"")*(B_Drainage!$A$5:$A$204&lt;=$B638)*(B_Drainage!$B$5:$B$204&gt;$B638)*(B_Drainage!$F$5:$F$204&lt;&gt;"")),IF(B_Drainage!$F$5:$F$204="-","",1)),"")</f>
        <v/>
      </c>
      <c r="W638" s="181" t="str">
        <f>IFERROR(LOOKUP(2,1/((B_Drainage!$A$5:$A$204&lt;&gt;"")*(B_Drainage!$A$5:$A$204&lt;=$B638)*(B_Drainage!$B$5:$B$204&gt;$B638)*(B_Drainage!$F$5:$F$204&lt;&gt;"")),IF(B_Drainage!$F$5:$F$204="-","",B_Drainage!$F$5:$F$204)),"")</f>
        <v/>
      </c>
      <c r="X638" s="181" t="str">
        <f>IFERROR(LOOKUP(2,1/((B_Drainage!$A$5:$A$204&lt;&gt;"")*(B_Drainage!$A$5:$A$204&lt;=$B638)*(B_Drainage!$B$5:$B$204&gt;$B638)*(B_Drainage!$G$5:$G$204&lt;&gt;"")),IF(UPPER(B_Drainage!$G$5:$G$204)="Y",1,"")),"")</f>
        <v/>
      </c>
      <c r="Y638" s="181" t="str">
        <f>IFERROR(LOOKUP(2,1/((B_Drainage!$A$5:$A$204&lt;&gt;"")*(B_Drainage!$A$5:$A$204&lt;=$B638)*(B_Drainage!$B$5:$B$204&gt;$B638)*(B_Drainage!$H$5:$H$204&lt;&gt;"")),IF(UPPER(B_Drainage!$H$5:$H$204)="Y",1,"")),"")</f>
        <v/>
      </c>
      <c r="Z638" s="181" t="str">
        <f>IFERROR(LOOKUP(2,1/((B_Drainage!$A$5:$A$204&lt;&gt;"")*(B_Drainage!$A$5:$A$204&lt;=$B638)*(B_Drainage!$B$5:$B$204&gt;$B638)*(B_Drainage!$I$5:$I$204&lt;&gt;"")),IF(UPPER(B_Drainage!$I$5:$I$204)="Y",1,"")),"")</f>
        <v/>
      </c>
      <c r="AA638" s="181" t="str">
        <f>IFERROR(LOOKUP(2,1/((B_Drainage!$A$5:$A$204&lt;&gt;"")*(B_Drainage!$A$5:$A$204&lt;=$B638)*(B_Drainage!$B$5:$B$204&gt;$B638)*(B_Drainage!$J$5:$J$204&lt;&gt;"")),IF(UPPER(B_Drainage!$J$5:$J$204)="Y",1,"")),"")</f>
        <v/>
      </c>
      <c r="AB638" s="182" t="str">
        <f>IFERROR(LOOKUP(2,1/((B_Drainage!$A$5:$A$204&lt;&gt;"")*(B_Drainage!$A$5:$A$204&lt;=$B638)*(B_Drainage!$B$5:$B$204&gt;$B638)*(B_Drainage!$K$5:$K$204&lt;&gt;"")),IF(B_Drainage!$K$5:$K$204="-","",B_Drainage!$K$5:$K$204)),"")</f>
        <v/>
      </c>
      <c r="AC638" s="182" t="str">
        <f>IFERROR(LOOKUP(2,1/((B_Drainage!$A$5:$A$204&lt;&gt;"")*(B_Drainage!$A$5:$A$204&lt;=$B638)*(B_Drainage!$B$5:$B$204&gt;$B638)*(B_Drainage!$L$5:$L$204&lt;&gt;"")),IF(B_Drainage!$L$5:$L$204="-","",B_Drainage!$L$5:$L$204)),"")</f>
        <v/>
      </c>
      <c r="AD638" s="182" t="str">
        <f>IFERROR(LOOKUP(2,1/((D_Points!$A$5:$A$204&lt;&gt;"")*(D_Points!$A$5:$A$204&gt;=$B638)*(D_Points!$A$5:$A$204&lt;$B638+P_Interval)*(UPPER(TRIM(D_Points!$B$5:$B$204))="TURNOUT_L")*(D_Points!$H$5:$H$204&lt;&gt;"")),D_Points!$H$5:$H$204),"")</f>
        <v/>
      </c>
      <c r="AE638" s="182" t="str">
        <f>IFERROR(LOOKUP(2,1/((D_Points!$A$5:$A$204&lt;&gt;"")*(D_Points!$A$5:$A$204&gt;=$B638)*(D_Points!$A$5:$A$204&lt;$B638+P_Interval)*(UPPER(TRIM(D_Points!$B$5:$B$204))="TURNOUT_R")*(D_Points!$H$5:$H$204&lt;&gt;"")),D_Points!$H$5:$H$204),"")</f>
        <v/>
      </c>
      <c r="AF638" s="181" t="str">
        <f>IFERROR(LOOKUP(2,1/((B_Drainage!$A$5:$A$204&lt;&gt;"")*(B_Drainage!$A$5:$A$204&lt;=$B638)*(B_Drainage!$B$5:$B$204&gt;$B638)*(B_Drainage!$M$5:$M$204&lt;&gt;"")),IF(UPPER(B_Drainage!$M$5:$M$204)="Y",1,"")),"")</f>
        <v/>
      </c>
      <c r="AG638" s="181" t="str">
        <f>IFERROR(LOOKUP(2,1/((B_Drainage!$A$5:$A$204&lt;&gt;"")*(B_Drainage!$A$5:$A$204&lt;=$B638)*(B_Drainage!$B$5:$B$204&gt;$B638)*(B_Drainage!$N$5:$N$204&lt;&gt;"")),IF(UPPER(B_Drainage!$N$5:$N$204)="Y",1,"")),"")</f>
        <v/>
      </c>
      <c r="AH638" s="181" t="str">
        <f t="shared" si="72"/>
        <v/>
      </c>
      <c r="AI638" s="181" t="str">
        <f t="shared" si="73"/>
        <v/>
      </c>
      <c r="AJ638" s="181" t="str">
        <f t="shared" si="74"/>
        <v/>
      </c>
      <c r="AK638" s="181" t="str">
        <f t="shared" si="75"/>
        <v/>
      </c>
      <c r="AL638" s="181" t="str">
        <f t="shared" si="76"/>
        <v/>
      </c>
      <c r="AM638" s="181" t="str">
        <f t="shared" si="77"/>
        <v/>
      </c>
      <c r="AN638" s="181" t="str">
        <f t="shared" si="78"/>
        <v/>
      </c>
      <c r="AO638" s="192" t="str">
        <f t="shared" si="79"/>
        <v/>
      </c>
      <c r="AQ638" t="str">
        <f>IFERROR(LOOKUP(2,1/((C_Pavement!$A$5:$A$204&lt;&gt;"")*(C_Pavement!$A$5:$A$204&lt;=$B638)*(C_Pavement!$B$5:$B$204&gt;$B638)*(C_Pavement!$C$5:$C$204&lt;&gt;"")),ROW(C_Pavement!$C$5:$C$204)-4),"")</f>
        <v/>
      </c>
      <c r="AR638" t="str">
        <f>IF($AQ638="","",UPPER(TRIM(INDEX(C_Pavement!$C$5:$C$204,$AQ638))))</f>
        <v/>
      </c>
      <c r="AS638" t="str">
        <f>IF($AR638="","",IFERROR(MATCH($AR638,E_Rules!$A$5:$A$9,0),""))</f>
        <v/>
      </c>
      <c r="AT638" t="str">
        <f>IF($AQ638="","",IF(INDEX(C_Pavement!$D$5:$D$204,$AQ638)&lt;&gt;"",UPPER(TRIM(INDEX(C_Pavement!$D$5:$D$204,$AQ638))),IF($AS638="","",INDEX(E_Rules!$C$5:$C$9,$AS638))))</f>
        <v/>
      </c>
      <c r="AU638" t="str">
        <f>IF($AQ638="","",IF(INDEX(C_Pavement!$E$5:$E$204,$AQ638)&lt;&gt;"",IF(INDEX(C_Pavement!$E$5:$E$204,$AQ638)="-","",INDEX(C_Pavement!$E$5:$E$204,$AQ638)),IF($AS638="","",INDEX(E_Rules!$D$5:$D$9,$AS638))))</f>
        <v/>
      </c>
      <c r="AV638" t="str">
        <f>IF($AQ638="","",IF(INDEX(C_Pavement!$F$5:$F$204,$AQ638)&lt;&gt;"",IF(INDEX(C_Pavement!$F$5:$F$204,$AQ638)="-","",INDEX(C_Pavement!$F$5:$F$204,$AQ638)),IF($AS638="","",INDEX(E_Rules!$E$5:$E$9,$AS638))))</f>
        <v/>
      </c>
      <c r="AW638" t="str">
        <f>IF($AQ638="","",IF(INDEX(C_Pavement!$G$5:$G$204,$AQ638)&lt;&gt;"",IF(INDEX(C_Pavement!$G$5:$G$204,$AQ638)="-","",INDEX(C_Pavement!$G$5:$G$204,$AQ638)),IF($AS638="","",INDEX(E_Rules!$F$5:$F$9,$AS638))))</f>
        <v/>
      </c>
      <c r="AX638" t="str">
        <f>IF($AQ638="","",IF(INDEX(C_Pavement!$H$5:$H$204,$AQ638)&lt;&gt;"",IF(INDEX(C_Pavement!$H$5:$H$204,$AQ638)="-","",INDEX(C_Pavement!$H$5:$H$204,$AQ638)),IF($AS638="","",INDEX(E_Rules!$G$5:$G$9,$AS638))))</f>
        <v/>
      </c>
      <c r="AY638" t="str">
        <f>IF($AQ638="","",IF(INDEX(C_Pavement!$I$5:$I$204,$AQ638)&lt;&gt;"",IF(INDEX(C_Pavement!$I$5:$I$204,$AQ638)="-","",INDEX(C_Pavement!$I$5:$I$204,$AQ638)),IF($AS638="","",INDEX(E_Rules!$H$5:$H$9,$AS638))))</f>
        <v/>
      </c>
    </row>
    <row r="639" spans="1:51" ht="15.75" customHeight="1" x14ac:dyDescent="0.3">
      <c r="A639" s="189">
        <v>634</v>
      </c>
      <c r="B639" s="180">
        <v>31650</v>
      </c>
      <c r="C639" s="180" t="s">
        <v>945</v>
      </c>
      <c r="D639" s="181" t="str">
        <f>IFERROR(LOOKUP(2,1/((A_Corridor!$A$5:$A$204&lt;&gt;"")*(A_Corridor!$A$5:$A$204&lt;=$B639)*(A_Corridor!$B$5:$B$204&gt;$B639)*(A_Corridor!$C$5:$C$204&lt;&gt;"")),IF(UPPER(A_Corridor!$C$5:$C$204)="Y",1,"")),"")</f>
        <v/>
      </c>
      <c r="E639" s="181" t="str">
        <f>IFERROR(LOOKUP(2,1/((A_Corridor!$A$5:$A$204&lt;&gt;"")*(A_Corridor!$A$5:$A$204&lt;=$B639)*(A_Corridor!$B$5:$B$204&gt;$B639)*(A_Corridor!$D$5:$D$204&lt;&gt;"")),IF(A_Corridor!$D$5:$D$204="-","",UPPER(A_Corridor!$D$5:$D$204))),"")</f>
        <v/>
      </c>
      <c r="F639" s="181" t="str">
        <f>IFERROR(LOOKUP(2,1/((A_Corridor!$A$5:$A$204&lt;&gt;"")*(A_Corridor!$A$5:$A$204&lt;=$B639)*(A_Corridor!$B$5:$B$204&gt;$B639)*(A_Corridor!$E$5:$E$204&lt;&gt;"")),IF(A_Corridor!$E$5:$E$204="-","",1)),"")</f>
        <v/>
      </c>
      <c r="G639" s="182" t="str">
        <f>IFERROR(LOOKUP(2,1/((A_Corridor!$A$5:$A$204&lt;&gt;"")*(A_Corridor!$A$5:$A$204&lt;=$B639)*(A_Corridor!$B$5:$B$204&gt;$B639)*(A_Corridor!$E$5:$E$204&lt;&gt;"")),IF(A_Corridor!$E$5:$E$204="-","",A_Corridor!$E$5:$E$204)),"")</f>
        <v/>
      </c>
      <c r="H639" s="182" t="str">
        <f>IFERROR(LOOKUP(2,1/((D_Points!$A$5:$A$204&lt;&gt;"")*(D_Points!$A$5:$A$204&gt;=$B639)*(D_Points!$A$5:$A$204&lt;$B639+P_Interval)*(UPPER(TRIM(D_Points!$B$5:$B$204))="GULLY")*(D_Points!$H$5:$H$204&lt;&gt;"")),D_Points!$H$5:$H$204),"")</f>
        <v/>
      </c>
      <c r="I639" s="181" t="str">
        <f>IFERROR(LOOKUP(2,1/((A_Corridor!$A$5:$A$204&lt;&gt;"")*(A_Corridor!$A$5:$A$204&lt;=$B639)*(A_Corridor!$B$5:$B$204&gt;$B639)*(A_Corridor!$F$5:$F$204&lt;&gt;"")),IF(A_Corridor!$F$5:$F$204="-","",1)),"")</f>
        <v/>
      </c>
      <c r="J639" s="182" t="str">
        <f>IFERROR(LOOKUP(2,1/((A_Corridor!$A$5:$A$204&lt;&gt;"")*(A_Corridor!$A$5:$A$204&lt;=$B639)*(A_Corridor!$B$5:$B$204&gt;$B639)*(A_Corridor!$F$5:$F$204&lt;&gt;"")),IF(A_Corridor!$F$5:$F$204="-","",A_Corridor!$F$5:$F$204)),"")</f>
        <v/>
      </c>
      <c r="K639" s="182" t="str">
        <f>IFERROR(LOOKUP(2,1/((A_Corridor!$A$5:$A$204&lt;&gt;"")*(A_Corridor!$A$5:$A$204&lt;=$B639)*(A_Corridor!$B$5:$B$204&gt;$B639)*(A_Corridor!$G$5:$G$204&lt;&gt;"")),IF(A_Corridor!$G$5:$G$204="-","",A_Corridor!$G$5:$G$204)),"")</f>
        <v/>
      </c>
      <c r="L639" s="181" t="str">
        <f>IFERROR(LOOKUP(2,1/((A_Corridor!$A$5:$A$204&lt;&gt;"")*(A_Corridor!$A$5:$A$204&lt;=$B639)*(A_Corridor!$B$5:$B$204&gt;$B639)*(A_Corridor!$H$5:$H$204&lt;&gt;"")),IF(A_Corridor!$H$5:$H$204="-","",1)),"")</f>
        <v/>
      </c>
      <c r="M639" s="182" t="str">
        <f>IFERROR(LOOKUP(2,1/((A_Corridor!$A$5:$A$204&lt;&gt;"")*(A_Corridor!$A$5:$A$204&lt;=$B639)*(A_Corridor!$B$5:$B$204&gt;$B639)*(A_Corridor!$H$5:$H$204&lt;&gt;"")),IF(A_Corridor!$H$5:$H$204="-","",A_Corridor!$H$5:$H$204)),"")</f>
        <v/>
      </c>
      <c r="N639" s="182" t="str">
        <f>IFERROR(LOOKUP(2,1/((A_Corridor!$A$5:$A$204&lt;&gt;"")*(A_Corridor!$A$5:$A$204&lt;=$B639)*(A_Corridor!$B$5:$B$204&gt;$B639)*(A_Corridor!$I$5:$I$204&lt;&gt;"")),IF(A_Corridor!$I$5:$I$204="-","",A_Corridor!$I$5:$I$204)),"")</f>
        <v/>
      </c>
      <c r="O639" s="182" t="str">
        <f>IFERROR(LOOKUP(2,1/((D_Points!$A$5:$A$204&lt;&gt;"")*(D_Points!$A$5:$A$204&gt;=$B639)*(D_Points!$A$5:$A$204&lt;$B639+P_Interval)*(UPPER(TRIM(D_Points!$B$5:$B$204))="PITCHING")*(D_Points!$H$5:$H$204&lt;&gt;"")),D_Points!$H$5:$H$204),"")</f>
        <v/>
      </c>
      <c r="P639" s="181" t="str">
        <f>IFERROR(LOOKUP(2,1/((B_Drainage!$A$5:$A$204&lt;&gt;"")*(B_Drainage!$A$5:$A$204&lt;=$B639)*(B_Drainage!$B$5:$B$204&gt;$B639)*(B_Drainage!$C$5:$C$204&lt;&gt;"")),IF(B_Drainage!$C$5:$C$204="-","",UPPER(B_Drainage!$C$5:$C$204))),"")</f>
        <v/>
      </c>
      <c r="Q639" s="181" t="str">
        <f>IFERROR(LOOKUP(2,1/((B_Drainage!$A$5:$A$204&lt;&gt;"")*(B_Drainage!$A$5:$A$204&lt;=$B639)*(B_Drainage!$B$5:$B$204&gt;$B639)*(B_Drainage!$D$5:$D$204&lt;&gt;"")),IF(B_Drainage!$D$5:$D$204="-","",UPPER(B_Drainage!$D$5:$D$204))),"")</f>
        <v/>
      </c>
      <c r="R639" s="182" t="str">
        <f>IFERROR(LOOKUP(2,1/((D_Points!$A$5:$A$204&lt;&gt;"")*(D_Points!$A$5:$A$204&gt;=$B639)*(D_Points!$A$5:$A$204&lt;$B639+P_Interval)*(RIGHT(UPPER(TRIM(D_Points!$B$5:$B$204)),8)="_CULVERT")),IF(LEFT(UPPER(TRIM(D_Points!$B$5:$B$204)),2)="EX",1,IF(LEFT(UPPER(TRIM(D_Points!$B$5:$B$204)),2)="PR",2,3))),"")</f>
        <v/>
      </c>
      <c r="S639" s="182" t="str">
        <f>IFERROR(LOOKUP(2,1/((D_Points!$A$5:$A$204&lt;&gt;"")*(D_Points!$A$5:$A$204&gt;=$B639)*(D_Points!$A$5:$A$204&lt;$B639+P_Interval)*(RIGHT(UPPER(TRIM(D_Points!$B$5:$B$204)),7)="_BRIDGE")),IF(LEFT(UPPER(TRIM(D_Points!$B$5:$B$204)),2)="EX",1,IF(LEFT(UPPER(TRIM(D_Points!$B$5:$B$204)),2)="PR",2,2))),"")</f>
        <v/>
      </c>
      <c r="T639" s="181" t="str">
        <f>IFERROR(LOOKUP(2,1/((B_Drainage!$A$5:$A$204&lt;&gt;"")*(B_Drainage!$A$5:$A$204&lt;=$B639)*(B_Drainage!$B$5:$B$204&gt;$B639)*(B_Drainage!$E$5:$E$204&lt;&gt;"")),IF(B_Drainage!$E$5:$E$204="-","",1)),"")</f>
        <v/>
      </c>
      <c r="U639" s="181" t="str">
        <f>IFERROR(LOOKUP(2,1/((B_Drainage!$A$5:$A$204&lt;&gt;"")*(B_Drainage!$A$5:$A$204&lt;=$B639)*(B_Drainage!$B$5:$B$204&gt;$B639)*(B_Drainage!$E$5:$E$204&lt;&gt;"")),IF(B_Drainage!$E$5:$E$204="-","",B_Drainage!$E$5:$E$204)),"")</f>
        <v/>
      </c>
      <c r="V639" s="181" t="str">
        <f>IFERROR(LOOKUP(2,1/((B_Drainage!$A$5:$A$204&lt;&gt;"")*(B_Drainage!$A$5:$A$204&lt;=$B639)*(B_Drainage!$B$5:$B$204&gt;$B639)*(B_Drainage!$F$5:$F$204&lt;&gt;"")),IF(B_Drainage!$F$5:$F$204="-","",1)),"")</f>
        <v/>
      </c>
      <c r="W639" s="181" t="str">
        <f>IFERROR(LOOKUP(2,1/((B_Drainage!$A$5:$A$204&lt;&gt;"")*(B_Drainage!$A$5:$A$204&lt;=$B639)*(B_Drainage!$B$5:$B$204&gt;$B639)*(B_Drainage!$F$5:$F$204&lt;&gt;"")),IF(B_Drainage!$F$5:$F$204="-","",B_Drainage!$F$5:$F$204)),"")</f>
        <v/>
      </c>
      <c r="X639" s="181" t="str">
        <f>IFERROR(LOOKUP(2,1/((B_Drainage!$A$5:$A$204&lt;&gt;"")*(B_Drainage!$A$5:$A$204&lt;=$B639)*(B_Drainage!$B$5:$B$204&gt;$B639)*(B_Drainage!$G$5:$G$204&lt;&gt;"")),IF(UPPER(B_Drainage!$G$5:$G$204)="Y",1,"")),"")</f>
        <v/>
      </c>
      <c r="Y639" s="181" t="str">
        <f>IFERROR(LOOKUP(2,1/((B_Drainage!$A$5:$A$204&lt;&gt;"")*(B_Drainage!$A$5:$A$204&lt;=$B639)*(B_Drainage!$B$5:$B$204&gt;$B639)*(B_Drainage!$H$5:$H$204&lt;&gt;"")),IF(UPPER(B_Drainage!$H$5:$H$204)="Y",1,"")),"")</f>
        <v/>
      </c>
      <c r="Z639" s="181" t="str">
        <f>IFERROR(LOOKUP(2,1/((B_Drainage!$A$5:$A$204&lt;&gt;"")*(B_Drainage!$A$5:$A$204&lt;=$B639)*(B_Drainage!$B$5:$B$204&gt;$B639)*(B_Drainage!$I$5:$I$204&lt;&gt;"")),IF(UPPER(B_Drainage!$I$5:$I$204)="Y",1,"")),"")</f>
        <v/>
      </c>
      <c r="AA639" s="181" t="str">
        <f>IFERROR(LOOKUP(2,1/((B_Drainage!$A$5:$A$204&lt;&gt;"")*(B_Drainage!$A$5:$A$204&lt;=$B639)*(B_Drainage!$B$5:$B$204&gt;$B639)*(B_Drainage!$J$5:$J$204&lt;&gt;"")),IF(UPPER(B_Drainage!$J$5:$J$204)="Y",1,"")),"")</f>
        <v/>
      </c>
      <c r="AB639" s="182" t="str">
        <f>IFERROR(LOOKUP(2,1/((B_Drainage!$A$5:$A$204&lt;&gt;"")*(B_Drainage!$A$5:$A$204&lt;=$B639)*(B_Drainage!$B$5:$B$204&gt;$B639)*(B_Drainage!$K$5:$K$204&lt;&gt;"")),IF(B_Drainage!$K$5:$K$204="-","",B_Drainage!$K$5:$K$204)),"")</f>
        <v/>
      </c>
      <c r="AC639" s="182" t="str">
        <f>IFERROR(LOOKUP(2,1/((B_Drainage!$A$5:$A$204&lt;&gt;"")*(B_Drainage!$A$5:$A$204&lt;=$B639)*(B_Drainage!$B$5:$B$204&gt;$B639)*(B_Drainage!$L$5:$L$204&lt;&gt;"")),IF(B_Drainage!$L$5:$L$204="-","",B_Drainage!$L$5:$L$204)),"")</f>
        <v/>
      </c>
      <c r="AD639" s="182" t="str">
        <f>IFERROR(LOOKUP(2,1/((D_Points!$A$5:$A$204&lt;&gt;"")*(D_Points!$A$5:$A$204&gt;=$B639)*(D_Points!$A$5:$A$204&lt;$B639+P_Interval)*(UPPER(TRIM(D_Points!$B$5:$B$204))="TURNOUT_L")*(D_Points!$H$5:$H$204&lt;&gt;"")),D_Points!$H$5:$H$204),"")</f>
        <v/>
      </c>
      <c r="AE639" s="182" t="str">
        <f>IFERROR(LOOKUP(2,1/((D_Points!$A$5:$A$204&lt;&gt;"")*(D_Points!$A$5:$A$204&gt;=$B639)*(D_Points!$A$5:$A$204&lt;$B639+P_Interval)*(UPPER(TRIM(D_Points!$B$5:$B$204))="TURNOUT_R")*(D_Points!$H$5:$H$204&lt;&gt;"")),D_Points!$H$5:$H$204),"")</f>
        <v/>
      </c>
      <c r="AF639" s="181" t="str">
        <f>IFERROR(LOOKUP(2,1/((B_Drainage!$A$5:$A$204&lt;&gt;"")*(B_Drainage!$A$5:$A$204&lt;=$B639)*(B_Drainage!$B$5:$B$204&gt;$B639)*(B_Drainage!$M$5:$M$204&lt;&gt;"")),IF(UPPER(B_Drainage!$M$5:$M$204)="Y",1,"")),"")</f>
        <v/>
      </c>
      <c r="AG639" s="181" t="str">
        <f>IFERROR(LOOKUP(2,1/((B_Drainage!$A$5:$A$204&lt;&gt;"")*(B_Drainage!$A$5:$A$204&lt;=$B639)*(B_Drainage!$B$5:$B$204&gt;$B639)*(B_Drainage!$N$5:$N$204&lt;&gt;"")),IF(UPPER(B_Drainage!$N$5:$N$204)="Y",1,"")),"")</f>
        <v/>
      </c>
      <c r="AH639" s="181" t="str">
        <f t="shared" si="72"/>
        <v/>
      </c>
      <c r="AI639" s="181" t="str">
        <f t="shared" si="73"/>
        <v/>
      </c>
      <c r="AJ639" s="181" t="str">
        <f t="shared" si="74"/>
        <v/>
      </c>
      <c r="AK639" s="181" t="str">
        <f t="shared" si="75"/>
        <v/>
      </c>
      <c r="AL639" s="181" t="str">
        <f t="shared" si="76"/>
        <v/>
      </c>
      <c r="AM639" s="181" t="str">
        <f t="shared" si="77"/>
        <v/>
      </c>
      <c r="AN639" s="181" t="str">
        <f t="shared" si="78"/>
        <v/>
      </c>
      <c r="AO639" s="192" t="str">
        <f t="shared" si="79"/>
        <v/>
      </c>
      <c r="AQ639" t="str">
        <f>IFERROR(LOOKUP(2,1/((C_Pavement!$A$5:$A$204&lt;&gt;"")*(C_Pavement!$A$5:$A$204&lt;=$B639)*(C_Pavement!$B$5:$B$204&gt;$B639)*(C_Pavement!$C$5:$C$204&lt;&gt;"")),ROW(C_Pavement!$C$5:$C$204)-4),"")</f>
        <v/>
      </c>
      <c r="AR639" t="str">
        <f>IF($AQ639="","",UPPER(TRIM(INDEX(C_Pavement!$C$5:$C$204,$AQ639))))</f>
        <v/>
      </c>
      <c r="AS639" t="str">
        <f>IF($AR639="","",IFERROR(MATCH($AR639,E_Rules!$A$5:$A$9,0),""))</f>
        <v/>
      </c>
      <c r="AT639" t="str">
        <f>IF($AQ639="","",IF(INDEX(C_Pavement!$D$5:$D$204,$AQ639)&lt;&gt;"",UPPER(TRIM(INDEX(C_Pavement!$D$5:$D$204,$AQ639))),IF($AS639="","",INDEX(E_Rules!$C$5:$C$9,$AS639))))</f>
        <v/>
      </c>
      <c r="AU639" t="str">
        <f>IF($AQ639="","",IF(INDEX(C_Pavement!$E$5:$E$204,$AQ639)&lt;&gt;"",IF(INDEX(C_Pavement!$E$5:$E$204,$AQ639)="-","",INDEX(C_Pavement!$E$5:$E$204,$AQ639)),IF($AS639="","",INDEX(E_Rules!$D$5:$D$9,$AS639))))</f>
        <v/>
      </c>
      <c r="AV639" t="str">
        <f>IF($AQ639="","",IF(INDEX(C_Pavement!$F$5:$F$204,$AQ639)&lt;&gt;"",IF(INDEX(C_Pavement!$F$5:$F$204,$AQ639)="-","",INDEX(C_Pavement!$F$5:$F$204,$AQ639)),IF($AS639="","",INDEX(E_Rules!$E$5:$E$9,$AS639))))</f>
        <v/>
      </c>
      <c r="AW639" t="str">
        <f>IF($AQ639="","",IF(INDEX(C_Pavement!$G$5:$G$204,$AQ639)&lt;&gt;"",IF(INDEX(C_Pavement!$G$5:$G$204,$AQ639)="-","",INDEX(C_Pavement!$G$5:$G$204,$AQ639)),IF($AS639="","",INDEX(E_Rules!$F$5:$F$9,$AS639))))</f>
        <v/>
      </c>
      <c r="AX639" t="str">
        <f>IF($AQ639="","",IF(INDEX(C_Pavement!$H$5:$H$204,$AQ639)&lt;&gt;"",IF(INDEX(C_Pavement!$H$5:$H$204,$AQ639)="-","",INDEX(C_Pavement!$H$5:$H$204,$AQ639)),IF($AS639="","",INDEX(E_Rules!$G$5:$G$9,$AS639))))</f>
        <v/>
      </c>
      <c r="AY639" t="str">
        <f>IF($AQ639="","",IF(INDEX(C_Pavement!$I$5:$I$204,$AQ639)&lt;&gt;"",IF(INDEX(C_Pavement!$I$5:$I$204,$AQ639)="-","",INDEX(C_Pavement!$I$5:$I$204,$AQ639)),IF($AS639="","",INDEX(E_Rules!$H$5:$H$9,$AS639))))</f>
        <v/>
      </c>
    </row>
    <row r="640" spans="1:51" ht="15.75" customHeight="1" x14ac:dyDescent="0.3">
      <c r="A640" s="189">
        <v>635</v>
      </c>
      <c r="B640" s="180">
        <v>31700</v>
      </c>
      <c r="C640" s="180" t="s">
        <v>946</v>
      </c>
      <c r="D640" s="181" t="str">
        <f>IFERROR(LOOKUP(2,1/((A_Corridor!$A$5:$A$204&lt;&gt;"")*(A_Corridor!$A$5:$A$204&lt;=$B640)*(A_Corridor!$B$5:$B$204&gt;$B640)*(A_Corridor!$C$5:$C$204&lt;&gt;"")),IF(UPPER(A_Corridor!$C$5:$C$204)="Y",1,"")),"")</f>
        <v/>
      </c>
      <c r="E640" s="181" t="str">
        <f>IFERROR(LOOKUP(2,1/((A_Corridor!$A$5:$A$204&lt;&gt;"")*(A_Corridor!$A$5:$A$204&lt;=$B640)*(A_Corridor!$B$5:$B$204&gt;$B640)*(A_Corridor!$D$5:$D$204&lt;&gt;"")),IF(A_Corridor!$D$5:$D$204="-","",UPPER(A_Corridor!$D$5:$D$204))),"")</f>
        <v/>
      </c>
      <c r="F640" s="181" t="str">
        <f>IFERROR(LOOKUP(2,1/((A_Corridor!$A$5:$A$204&lt;&gt;"")*(A_Corridor!$A$5:$A$204&lt;=$B640)*(A_Corridor!$B$5:$B$204&gt;$B640)*(A_Corridor!$E$5:$E$204&lt;&gt;"")),IF(A_Corridor!$E$5:$E$204="-","",1)),"")</f>
        <v/>
      </c>
      <c r="G640" s="182" t="str">
        <f>IFERROR(LOOKUP(2,1/((A_Corridor!$A$5:$A$204&lt;&gt;"")*(A_Corridor!$A$5:$A$204&lt;=$B640)*(A_Corridor!$B$5:$B$204&gt;$B640)*(A_Corridor!$E$5:$E$204&lt;&gt;"")),IF(A_Corridor!$E$5:$E$204="-","",A_Corridor!$E$5:$E$204)),"")</f>
        <v/>
      </c>
      <c r="H640" s="182" t="str">
        <f>IFERROR(LOOKUP(2,1/((D_Points!$A$5:$A$204&lt;&gt;"")*(D_Points!$A$5:$A$204&gt;=$B640)*(D_Points!$A$5:$A$204&lt;$B640+P_Interval)*(UPPER(TRIM(D_Points!$B$5:$B$204))="GULLY")*(D_Points!$H$5:$H$204&lt;&gt;"")),D_Points!$H$5:$H$204),"")</f>
        <v/>
      </c>
      <c r="I640" s="181" t="str">
        <f>IFERROR(LOOKUP(2,1/((A_Corridor!$A$5:$A$204&lt;&gt;"")*(A_Corridor!$A$5:$A$204&lt;=$B640)*(A_Corridor!$B$5:$B$204&gt;$B640)*(A_Corridor!$F$5:$F$204&lt;&gt;"")),IF(A_Corridor!$F$5:$F$204="-","",1)),"")</f>
        <v/>
      </c>
      <c r="J640" s="182" t="str">
        <f>IFERROR(LOOKUP(2,1/((A_Corridor!$A$5:$A$204&lt;&gt;"")*(A_Corridor!$A$5:$A$204&lt;=$B640)*(A_Corridor!$B$5:$B$204&gt;$B640)*(A_Corridor!$F$5:$F$204&lt;&gt;"")),IF(A_Corridor!$F$5:$F$204="-","",A_Corridor!$F$5:$F$204)),"")</f>
        <v/>
      </c>
      <c r="K640" s="182" t="str">
        <f>IFERROR(LOOKUP(2,1/((A_Corridor!$A$5:$A$204&lt;&gt;"")*(A_Corridor!$A$5:$A$204&lt;=$B640)*(A_Corridor!$B$5:$B$204&gt;$B640)*(A_Corridor!$G$5:$G$204&lt;&gt;"")),IF(A_Corridor!$G$5:$G$204="-","",A_Corridor!$G$5:$G$204)),"")</f>
        <v/>
      </c>
      <c r="L640" s="181" t="str">
        <f>IFERROR(LOOKUP(2,1/((A_Corridor!$A$5:$A$204&lt;&gt;"")*(A_Corridor!$A$5:$A$204&lt;=$B640)*(A_Corridor!$B$5:$B$204&gt;$B640)*(A_Corridor!$H$5:$H$204&lt;&gt;"")),IF(A_Corridor!$H$5:$H$204="-","",1)),"")</f>
        <v/>
      </c>
      <c r="M640" s="182" t="str">
        <f>IFERROR(LOOKUP(2,1/((A_Corridor!$A$5:$A$204&lt;&gt;"")*(A_Corridor!$A$5:$A$204&lt;=$B640)*(A_Corridor!$B$5:$B$204&gt;$B640)*(A_Corridor!$H$5:$H$204&lt;&gt;"")),IF(A_Corridor!$H$5:$H$204="-","",A_Corridor!$H$5:$H$204)),"")</f>
        <v/>
      </c>
      <c r="N640" s="182" t="str">
        <f>IFERROR(LOOKUP(2,1/((A_Corridor!$A$5:$A$204&lt;&gt;"")*(A_Corridor!$A$5:$A$204&lt;=$B640)*(A_Corridor!$B$5:$B$204&gt;$B640)*(A_Corridor!$I$5:$I$204&lt;&gt;"")),IF(A_Corridor!$I$5:$I$204="-","",A_Corridor!$I$5:$I$204)),"")</f>
        <v/>
      </c>
      <c r="O640" s="182" t="str">
        <f>IFERROR(LOOKUP(2,1/((D_Points!$A$5:$A$204&lt;&gt;"")*(D_Points!$A$5:$A$204&gt;=$B640)*(D_Points!$A$5:$A$204&lt;$B640+P_Interval)*(UPPER(TRIM(D_Points!$B$5:$B$204))="PITCHING")*(D_Points!$H$5:$H$204&lt;&gt;"")),D_Points!$H$5:$H$204),"")</f>
        <v/>
      </c>
      <c r="P640" s="181" t="str">
        <f>IFERROR(LOOKUP(2,1/((B_Drainage!$A$5:$A$204&lt;&gt;"")*(B_Drainage!$A$5:$A$204&lt;=$B640)*(B_Drainage!$B$5:$B$204&gt;$B640)*(B_Drainage!$C$5:$C$204&lt;&gt;"")),IF(B_Drainage!$C$5:$C$204="-","",UPPER(B_Drainage!$C$5:$C$204))),"")</f>
        <v/>
      </c>
      <c r="Q640" s="181" t="str">
        <f>IFERROR(LOOKUP(2,1/((B_Drainage!$A$5:$A$204&lt;&gt;"")*(B_Drainage!$A$5:$A$204&lt;=$B640)*(B_Drainage!$B$5:$B$204&gt;$B640)*(B_Drainage!$D$5:$D$204&lt;&gt;"")),IF(B_Drainage!$D$5:$D$204="-","",UPPER(B_Drainage!$D$5:$D$204))),"")</f>
        <v/>
      </c>
      <c r="R640" s="182" t="str">
        <f>IFERROR(LOOKUP(2,1/((D_Points!$A$5:$A$204&lt;&gt;"")*(D_Points!$A$5:$A$204&gt;=$B640)*(D_Points!$A$5:$A$204&lt;$B640+P_Interval)*(RIGHT(UPPER(TRIM(D_Points!$B$5:$B$204)),8)="_CULVERT")),IF(LEFT(UPPER(TRIM(D_Points!$B$5:$B$204)),2)="EX",1,IF(LEFT(UPPER(TRIM(D_Points!$B$5:$B$204)),2)="PR",2,3))),"")</f>
        <v/>
      </c>
      <c r="S640" s="182" t="str">
        <f>IFERROR(LOOKUP(2,1/((D_Points!$A$5:$A$204&lt;&gt;"")*(D_Points!$A$5:$A$204&gt;=$B640)*(D_Points!$A$5:$A$204&lt;$B640+P_Interval)*(RIGHT(UPPER(TRIM(D_Points!$B$5:$B$204)),7)="_BRIDGE")),IF(LEFT(UPPER(TRIM(D_Points!$B$5:$B$204)),2)="EX",1,IF(LEFT(UPPER(TRIM(D_Points!$B$5:$B$204)),2)="PR",2,2))),"")</f>
        <v/>
      </c>
      <c r="T640" s="181" t="str">
        <f>IFERROR(LOOKUP(2,1/((B_Drainage!$A$5:$A$204&lt;&gt;"")*(B_Drainage!$A$5:$A$204&lt;=$B640)*(B_Drainage!$B$5:$B$204&gt;$B640)*(B_Drainage!$E$5:$E$204&lt;&gt;"")),IF(B_Drainage!$E$5:$E$204="-","",1)),"")</f>
        <v/>
      </c>
      <c r="U640" s="181" t="str">
        <f>IFERROR(LOOKUP(2,1/((B_Drainage!$A$5:$A$204&lt;&gt;"")*(B_Drainage!$A$5:$A$204&lt;=$B640)*(B_Drainage!$B$5:$B$204&gt;$B640)*(B_Drainage!$E$5:$E$204&lt;&gt;"")),IF(B_Drainage!$E$5:$E$204="-","",B_Drainage!$E$5:$E$204)),"")</f>
        <v/>
      </c>
      <c r="V640" s="181" t="str">
        <f>IFERROR(LOOKUP(2,1/((B_Drainage!$A$5:$A$204&lt;&gt;"")*(B_Drainage!$A$5:$A$204&lt;=$B640)*(B_Drainage!$B$5:$B$204&gt;$B640)*(B_Drainage!$F$5:$F$204&lt;&gt;"")),IF(B_Drainage!$F$5:$F$204="-","",1)),"")</f>
        <v/>
      </c>
      <c r="W640" s="181" t="str">
        <f>IFERROR(LOOKUP(2,1/((B_Drainage!$A$5:$A$204&lt;&gt;"")*(B_Drainage!$A$5:$A$204&lt;=$B640)*(B_Drainage!$B$5:$B$204&gt;$B640)*(B_Drainage!$F$5:$F$204&lt;&gt;"")),IF(B_Drainage!$F$5:$F$204="-","",B_Drainage!$F$5:$F$204)),"")</f>
        <v/>
      </c>
      <c r="X640" s="181" t="str">
        <f>IFERROR(LOOKUP(2,1/((B_Drainage!$A$5:$A$204&lt;&gt;"")*(B_Drainage!$A$5:$A$204&lt;=$B640)*(B_Drainage!$B$5:$B$204&gt;$B640)*(B_Drainage!$G$5:$G$204&lt;&gt;"")),IF(UPPER(B_Drainage!$G$5:$G$204)="Y",1,"")),"")</f>
        <v/>
      </c>
      <c r="Y640" s="181" t="str">
        <f>IFERROR(LOOKUP(2,1/((B_Drainage!$A$5:$A$204&lt;&gt;"")*(B_Drainage!$A$5:$A$204&lt;=$B640)*(B_Drainage!$B$5:$B$204&gt;$B640)*(B_Drainage!$H$5:$H$204&lt;&gt;"")),IF(UPPER(B_Drainage!$H$5:$H$204)="Y",1,"")),"")</f>
        <v/>
      </c>
      <c r="Z640" s="181" t="str">
        <f>IFERROR(LOOKUP(2,1/((B_Drainage!$A$5:$A$204&lt;&gt;"")*(B_Drainage!$A$5:$A$204&lt;=$B640)*(B_Drainage!$B$5:$B$204&gt;$B640)*(B_Drainage!$I$5:$I$204&lt;&gt;"")),IF(UPPER(B_Drainage!$I$5:$I$204)="Y",1,"")),"")</f>
        <v/>
      </c>
      <c r="AA640" s="181" t="str">
        <f>IFERROR(LOOKUP(2,1/((B_Drainage!$A$5:$A$204&lt;&gt;"")*(B_Drainage!$A$5:$A$204&lt;=$B640)*(B_Drainage!$B$5:$B$204&gt;$B640)*(B_Drainage!$J$5:$J$204&lt;&gt;"")),IF(UPPER(B_Drainage!$J$5:$J$204)="Y",1,"")),"")</f>
        <v/>
      </c>
      <c r="AB640" s="182" t="str">
        <f>IFERROR(LOOKUP(2,1/((B_Drainage!$A$5:$A$204&lt;&gt;"")*(B_Drainage!$A$5:$A$204&lt;=$B640)*(B_Drainage!$B$5:$B$204&gt;$B640)*(B_Drainage!$K$5:$K$204&lt;&gt;"")),IF(B_Drainage!$K$5:$K$204="-","",B_Drainage!$K$5:$K$204)),"")</f>
        <v/>
      </c>
      <c r="AC640" s="182" t="str">
        <f>IFERROR(LOOKUP(2,1/((B_Drainage!$A$5:$A$204&lt;&gt;"")*(B_Drainage!$A$5:$A$204&lt;=$B640)*(B_Drainage!$B$5:$B$204&gt;$B640)*(B_Drainage!$L$5:$L$204&lt;&gt;"")),IF(B_Drainage!$L$5:$L$204="-","",B_Drainage!$L$5:$L$204)),"")</f>
        <v/>
      </c>
      <c r="AD640" s="182" t="str">
        <f>IFERROR(LOOKUP(2,1/((D_Points!$A$5:$A$204&lt;&gt;"")*(D_Points!$A$5:$A$204&gt;=$B640)*(D_Points!$A$5:$A$204&lt;$B640+P_Interval)*(UPPER(TRIM(D_Points!$B$5:$B$204))="TURNOUT_L")*(D_Points!$H$5:$H$204&lt;&gt;"")),D_Points!$H$5:$H$204),"")</f>
        <v/>
      </c>
      <c r="AE640" s="182" t="str">
        <f>IFERROR(LOOKUP(2,1/((D_Points!$A$5:$A$204&lt;&gt;"")*(D_Points!$A$5:$A$204&gt;=$B640)*(D_Points!$A$5:$A$204&lt;$B640+P_Interval)*(UPPER(TRIM(D_Points!$B$5:$B$204))="TURNOUT_R")*(D_Points!$H$5:$H$204&lt;&gt;"")),D_Points!$H$5:$H$204),"")</f>
        <v/>
      </c>
      <c r="AF640" s="181" t="str">
        <f>IFERROR(LOOKUP(2,1/((B_Drainage!$A$5:$A$204&lt;&gt;"")*(B_Drainage!$A$5:$A$204&lt;=$B640)*(B_Drainage!$B$5:$B$204&gt;$B640)*(B_Drainage!$M$5:$M$204&lt;&gt;"")),IF(UPPER(B_Drainage!$M$5:$M$204)="Y",1,"")),"")</f>
        <v/>
      </c>
      <c r="AG640" s="181" t="str">
        <f>IFERROR(LOOKUP(2,1/((B_Drainage!$A$5:$A$204&lt;&gt;"")*(B_Drainage!$A$5:$A$204&lt;=$B640)*(B_Drainage!$B$5:$B$204&gt;$B640)*(B_Drainage!$N$5:$N$204&lt;&gt;"")),IF(UPPER(B_Drainage!$N$5:$N$204)="Y",1,"")),"")</f>
        <v/>
      </c>
      <c r="AH640" s="181" t="str">
        <f t="shared" si="72"/>
        <v/>
      </c>
      <c r="AI640" s="181" t="str">
        <f t="shared" si="73"/>
        <v/>
      </c>
      <c r="AJ640" s="181" t="str">
        <f t="shared" si="74"/>
        <v/>
      </c>
      <c r="AK640" s="181" t="str">
        <f t="shared" si="75"/>
        <v/>
      </c>
      <c r="AL640" s="181" t="str">
        <f t="shared" si="76"/>
        <v/>
      </c>
      <c r="AM640" s="181" t="str">
        <f t="shared" si="77"/>
        <v/>
      </c>
      <c r="AN640" s="181" t="str">
        <f t="shared" si="78"/>
        <v/>
      </c>
      <c r="AO640" s="192" t="str">
        <f t="shared" si="79"/>
        <v/>
      </c>
      <c r="AQ640" t="str">
        <f>IFERROR(LOOKUP(2,1/((C_Pavement!$A$5:$A$204&lt;&gt;"")*(C_Pavement!$A$5:$A$204&lt;=$B640)*(C_Pavement!$B$5:$B$204&gt;$B640)*(C_Pavement!$C$5:$C$204&lt;&gt;"")),ROW(C_Pavement!$C$5:$C$204)-4),"")</f>
        <v/>
      </c>
      <c r="AR640" t="str">
        <f>IF($AQ640="","",UPPER(TRIM(INDEX(C_Pavement!$C$5:$C$204,$AQ640))))</f>
        <v/>
      </c>
      <c r="AS640" t="str">
        <f>IF($AR640="","",IFERROR(MATCH($AR640,E_Rules!$A$5:$A$9,0),""))</f>
        <v/>
      </c>
      <c r="AT640" t="str">
        <f>IF($AQ640="","",IF(INDEX(C_Pavement!$D$5:$D$204,$AQ640)&lt;&gt;"",UPPER(TRIM(INDEX(C_Pavement!$D$5:$D$204,$AQ640))),IF($AS640="","",INDEX(E_Rules!$C$5:$C$9,$AS640))))</f>
        <v/>
      </c>
      <c r="AU640" t="str">
        <f>IF($AQ640="","",IF(INDEX(C_Pavement!$E$5:$E$204,$AQ640)&lt;&gt;"",IF(INDEX(C_Pavement!$E$5:$E$204,$AQ640)="-","",INDEX(C_Pavement!$E$5:$E$204,$AQ640)),IF($AS640="","",INDEX(E_Rules!$D$5:$D$9,$AS640))))</f>
        <v/>
      </c>
      <c r="AV640" t="str">
        <f>IF($AQ640="","",IF(INDEX(C_Pavement!$F$5:$F$204,$AQ640)&lt;&gt;"",IF(INDEX(C_Pavement!$F$5:$F$204,$AQ640)="-","",INDEX(C_Pavement!$F$5:$F$204,$AQ640)),IF($AS640="","",INDEX(E_Rules!$E$5:$E$9,$AS640))))</f>
        <v/>
      </c>
      <c r="AW640" t="str">
        <f>IF($AQ640="","",IF(INDEX(C_Pavement!$G$5:$G$204,$AQ640)&lt;&gt;"",IF(INDEX(C_Pavement!$G$5:$G$204,$AQ640)="-","",INDEX(C_Pavement!$G$5:$G$204,$AQ640)),IF($AS640="","",INDEX(E_Rules!$F$5:$F$9,$AS640))))</f>
        <v/>
      </c>
      <c r="AX640" t="str">
        <f>IF($AQ640="","",IF(INDEX(C_Pavement!$H$5:$H$204,$AQ640)&lt;&gt;"",IF(INDEX(C_Pavement!$H$5:$H$204,$AQ640)="-","",INDEX(C_Pavement!$H$5:$H$204,$AQ640)),IF($AS640="","",INDEX(E_Rules!$G$5:$G$9,$AS640))))</f>
        <v/>
      </c>
      <c r="AY640" t="str">
        <f>IF($AQ640="","",IF(INDEX(C_Pavement!$I$5:$I$204,$AQ640)&lt;&gt;"",IF(INDEX(C_Pavement!$I$5:$I$204,$AQ640)="-","",INDEX(C_Pavement!$I$5:$I$204,$AQ640)),IF($AS640="","",INDEX(E_Rules!$H$5:$H$9,$AS640))))</f>
        <v/>
      </c>
    </row>
    <row r="641" spans="1:51" ht="15.75" customHeight="1" x14ac:dyDescent="0.3">
      <c r="A641" s="189">
        <v>636</v>
      </c>
      <c r="B641" s="180">
        <v>31750</v>
      </c>
      <c r="C641" s="180" t="s">
        <v>947</v>
      </c>
      <c r="D641" s="181" t="str">
        <f>IFERROR(LOOKUP(2,1/((A_Corridor!$A$5:$A$204&lt;&gt;"")*(A_Corridor!$A$5:$A$204&lt;=$B641)*(A_Corridor!$B$5:$B$204&gt;$B641)*(A_Corridor!$C$5:$C$204&lt;&gt;"")),IF(UPPER(A_Corridor!$C$5:$C$204)="Y",1,"")),"")</f>
        <v/>
      </c>
      <c r="E641" s="181" t="str">
        <f>IFERROR(LOOKUP(2,1/((A_Corridor!$A$5:$A$204&lt;&gt;"")*(A_Corridor!$A$5:$A$204&lt;=$B641)*(A_Corridor!$B$5:$B$204&gt;$B641)*(A_Corridor!$D$5:$D$204&lt;&gt;"")),IF(A_Corridor!$D$5:$D$204="-","",UPPER(A_Corridor!$D$5:$D$204))),"")</f>
        <v/>
      </c>
      <c r="F641" s="181" t="str">
        <f>IFERROR(LOOKUP(2,1/((A_Corridor!$A$5:$A$204&lt;&gt;"")*(A_Corridor!$A$5:$A$204&lt;=$B641)*(A_Corridor!$B$5:$B$204&gt;$B641)*(A_Corridor!$E$5:$E$204&lt;&gt;"")),IF(A_Corridor!$E$5:$E$204="-","",1)),"")</f>
        <v/>
      </c>
      <c r="G641" s="182" t="str">
        <f>IFERROR(LOOKUP(2,1/((A_Corridor!$A$5:$A$204&lt;&gt;"")*(A_Corridor!$A$5:$A$204&lt;=$B641)*(A_Corridor!$B$5:$B$204&gt;$B641)*(A_Corridor!$E$5:$E$204&lt;&gt;"")),IF(A_Corridor!$E$5:$E$204="-","",A_Corridor!$E$5:$E$204)),"")</f>
        <v/>
      </c>
      <c r="H641" s="182" t="str">
        <f>IFERROR(LOOKUP(2,1/((D_Points!$A$5:$A$204&lt;&gt;"")*(D_Points!$A$5:$A$204&gt;=$B641)*(D_Points!$A$5:$A$204&lt;$B641+P_Interval)*(UPPER(TRIM(D_Points!$B$5:$B$204))="GULLY")*(D_Points!$H$5:$H$204&lt;&gt;"")),D_Points!$H$5:$H$204),"")</f>
        <v/>
      </c>
      <c r="I641" s="181" t="str">
        <f>IFERROR(LOOKUP(2,1/((A_Corridor!$A$5:$A$204&lt;&gt;"")*(A_Corridor!$A$5:$A$204&lt;=$B641)*(A_Corridor!$B$5:$B$204&gt;$B641)*(A_Corridor!$F$5:$F$204&lt;&gt;"")),IF(A_Corridor!$F$5:$F$204="-","",1)),"")</f>
        <v/>
      </c>
      <c r="J641" s="182" t="str">
        <f>IFERROR(LOOKUP(2,1/((A_Corridor!$A$5:$A$204&lt;&gt;"")*(A_Corridor!$A$5:$A$204&lt;=$B641)*(A_Corridor!$B$5:$B$204&gt;$B641)*(A_Corridor!$F$5:$F$204&lt;&gt;"")),IF(A_Corridor!$F$5:$F$204="-","",A_Corridor!$F$5:$F$204)),"")</f>
        <v/>
      </c>
      <c r="K641" s="182" t="str">
        <f>IFERROR(LOOKUP(2,1/((A_Corridor!$A$5:$A$204&lt;&gt;"")*(A_Corridor!$A$5:$A$204&lt;=$B641)*(A_Corridor!$B$5:$B$204&gt;$B641)*(A_Corridor!$G$5:$G$204&lt;&gt;"")),IF(A_Corridor!$G$5:$G$204="-","",A_Corridor!$G$5:$G$204)),"")</f>
        <v/>
      </c>
      <c r="L641" s="181" t="str">
        <f>IFERROR(LOOKUP(2,1/((A_Corridor!$A$5:$A$204&lt;&gt;"")*(A_Corridor!$A$5:$A$204&lt;=$B641)*(A_Corridor!$B$5:$B$204&gt;$B641)*(A_Corridor!$H$5:$H$204&lt;&gt;"")),IF(A_Corridor!$H$5:$H$204="-","",1)),"")</f>
        <v/>
      </c>
      <c r="M641" s="182" t="str">
        <f>IFERROR(LOOKUP(2,1/((A_Corridor!$A$5:$A$204&lt;&gt;"")*(A_Corridor!$A$5:$A$204&lt;=$B641)*(A_Corridor!$B$5:$B$204&gt;$B641)*(A_Corridor!$H$5:$H$204&lt;&gt;"")),IF(A_Corridor!$H$5:$H$204="-","",A_Corridor!$H$5:$H$204)),"")</f>
        <v/>
      </c>
      <c r="N641" s="182" t="str">
        <f>IFERROR(LOOKUP(2,1/((A_Corridor!$A$5:$A$204&lt;&gt;"")*(A_Corridor!$A$5:$A$204&lt;=$B641)*(A_Corridor!$B$5:$B$204&gt;$B641)*(A_Corridor!$I$5:$I$204&lt;&gt;"")),IF(A_Corridor!$I$5:$I$204="-","",A_Corridor!$I$5:$I$204)),"")</f>
        <v/>
      </c>
      <c r="O641" s="182" t="str">
        <f>IFERROR(LOOKUP(2,1/((D_Points!$A$5:$A$204&lt;&gt;"")*(D_Points!$A$5:$A$204&gt;=$B641)*(D_Points!$A$5:$A$204&lt;$B641+P_Interval)*(UPPER(TRIM(D_Points!$B$5:$B$204))="PITCHING")*(D_Points!$H$5:$H$204&lt;&gt;"")),D_Points!$H$5:$H$204),"")</f>
        <v/>
      </c>
      <c r="P641" s="181" t="str">
        <f>IFERROR(LOOKUP(2,1/((B_Drainage!$A$5:$A$204&lt;&gt;"")*(B_Drainage!$A$5:$A$204&lt;=$B641)*(B_Drainage!$B$5:$B$204&gt;$B641)*(B_Drainage!$C$5:$C$204&lt;&gt;"")),IF(B_Drainage!$C$5:$C$204="-","",UPPER(B_Drainage!$C$5:$C$204))),"")</f>
        <v/>
      </c>
      <c r="Q641" s="181" t="str">
        <f>IFERROR(LOOKUP(2,1/((B_Drainage!$A$5:$A$204&lt;&gt;"")*(B_Drainage!$A$5:$A$204&lt;=$B641)*(B_Drainage!$B$5:$B$204&gt;$B641)*(B_Drainage!$D$5:$D$204&lt;&gt;"")),IF(B_Drainage!$D$5:$D$204="-","",UPPER(B_Drainage!$D$5:$D$204))),"")</f>
        <v/>
      </c>
      <c r="R641" s="182" t="str">
        <f>IFERROR(LOOKUP(2,1/((D_Points!$A$5:$A$204&lt;&gt;"")*(D_Points!$A$5:$A$204&gt;=$B641)*(D_Points!$A$5:$A$204&lt;$B641+P_Interval)*(RIGHT(UPPER(TRIM(D_Points!$B$5:$B$204)),8)="_CULVERT")),IF(LEFT(UPPER(TRIM(D_Points!$B$5:$B$204)),2)="EX",1,IF(LEFT(UPPER(TRIM(D_Points!$B$5:$B$204)),2)="PR",2,3))),"")</f>
        <v/>
      </c>
      <c r="S641" s="182" t="str">
        <f>IFERROR(LOOKUP(2,1/((D_Points!$A$5:$A$204&lt;&gt;"")*(D_Points!$A$5:$A$204&gt;=$B641)*(D_Points!$A$5:$A$204&lt;$B641+P_Interval)*(RIGHT(UPPER(TRIM(D_Points!$B$5:$B$204)),7)="_BRIDGE")),IF(LEFT(UPPER(TRIM(D_Points!$B$5:$B$204)),2)="EX",1,IF(LEFT(UPPER(TRIM(D_Points!$B$5:$B$204)),2)="PR",2,2))),"")</f>
        <v/>
      </c>
      <c r="T641" s="181" t="str">
        <f>IFERROR(LOOKUP(2,1/((B_Drainage!$A$5:$A$204&lt;&gt;"")*(B_Drainage!$A$5:$A$204&lt;=$B641)*(B_Drainage!$B$5:$B$204&gt;$B641)*(B_Drainage!$E$5:$E$204&lt;&gt;"")),IF(B_Drainage!$E$5:$E$204="-","",1)),"")</f>
        <v/>
      </c>
      <c r="U641" s="181" t="str">
        <f>IFERROR(LOOKUP(2,1/((B_Drainage!$A$5:$A$204&lt;&gt;"")*(B_Drainage!$A$5:$A$204&lt;=$B641)*(B_Drainage!$B$5:$B$204&gt;$B641)*(B_Drainage!$E$5:$E$204&lt;&gt;"")),IF(B_Drainage!$E$5:$E$204="-","",B_Drainage!$E$5:$E$204)),"")</f>
        <v/>
      </c>
      <c r="V641" s="181" t="str">
        <f>IFERROR(LOOKUP(2,1/((B_Drainage!$A$5:$A$204&lt;&gt;"")*(B_Drainage!$A$5:$A$204&lt;=$B641)*(B_Drainage!$B$5:$B$204&gt;$B641)*(B_Drainage!$F$5:$F$204&lt;&gt;"")),IF(B_Drainage!$F$5:$F$204="-","",1)),"")</f>
        <v/>
      </c>
      <c r="W641" s="181" t="str">
        <f>IFERROR(LOOKUP(2,1/((B_Drainage!$A$5:$A$204&lt;&gt;"")*(B_Drainage!$A$5:$A$204&lt;=$B641)*(B_Drainage!$B$5:$B$204&gt;$B641)*(B_Drainage!$F$5:$F$204&lt;&gt;"")),IF(B_Drainage!$F$5:$F$204="-","",B_Drainage!$F$5:$F$204)),"")</f>
        <v/>
      </c>
      <c r="X641" s="181" t="str">
        <f>IFERROR(LOOKUP(2,1/((B_Drainage!$A$5:$A$204&lt;&gt;"")*(B_Drainage!$A$5:$A$204&lt;=$B641)*(B_Drainage!$B$5:$B$204&gt;$B641)*(B_Drainage!$G$5:$G$204&lt;&gt;"")),IF(UPPER(B_Drainage!$G$5:$G$204)="Y",1,"")),"")</f>
        <v/>
      </c>
      <c r="Y641" s="181" t="str">
        <f>IFERROR(LOOKUP(2,1/((B_Drainage!$A$5:$A$204&lt;&gt;"")*(B_Drainage!$A$5:$A$204&lt;=$B641)*(B_Drainage!$B$5:$B$204&gt;$B641)*(B_Drainage!$H$5:$H$204&lt;&gt;"")),IF(UPPER(B_Drainage!$H$5:$H$204)="Y",1,"")),"")</f>
        <v/>
      </c>
      <c r="Z641" s="181" t="str">
        <f>IFERROR(LOOKUP(2,1/((B_Drainage!$A$5:$A$204&lt;&gt;"")*(B_Drainage!$A$5:$A$204&lt;=$B641)*(B_Drainage!$B$5:$B$204&gt;$B641)*(B_Drainage!$I$5:$I$204&lt;&gt;"")),IF(UPPER(B_Drainage!$I$5:$I$204)="Y",1,"")),"")</f>
        <v/>
      </c>
      <c r="AA641" s="181" t="str">
        <f>IFERROR(LOOKUP(2,1/((B_Drainage!$A$5:$A$204&lt;&gt;"")*(B_Drainage!$A$5:$A$204&lt;=$B641)*(B_Drainage!$B$5:$B$204&gt;$B641)*(B_Drainage!$J$5:$J$204&lt;&gt;"")),IF(UPPER(B_Drainage!$J$5:$J$204)="Y",1,"")),"")</f>
        <v/>
      </c>
      <c r="AB641" s="182" t="str">
        <f>IFERROR(LOOKUP(2,1/((B_Drainage!$A$5:$A$204&lt;&gt;"")*(B_Drainage!$A$5:$A$204&lt;=$B641)*(B_Drainage!$B$5:$B$204&gt;$B641)*(B_Drainage!$K$5:$K$204&lt;&gt;"")),IF(B_Drainage!$K$5:$K$204="-","",B_Drainage!$K$5:$K$204)),"")</f>
        <v/>
      </c>
      <c r="AC641" s="182" t="str">
        <f>IFERROR(LOOKUP(2,1/((B_Drainage!$A$5:$A$204&lt;&gt;"")*(B_Drainage!$A$5:$A$204&lt;=$B641)*(B_Drainage!$B$5:$B$204&gt;$B641)*(B_Drainage!$L$5:$L$204&lt;&gt;"")),IF(B_Drainage!$L$5:$L$204="-","",B_Drainage!$L$5:$L$204)),"")</f>
        <v/>
      </c>
      <c r="AD641" s="182" t="str">
        <f>IFERROR(LOOKUP(2,1/((D_Points!$A$5:$A$204&lt;&gt;"")*(D_Points!$A$5:$A$204&gt;=$B641)*(D_Points!$A$5:$A$204&lt;$B641+P_Interval)*(UPPER(TRIM(D_Points!$B$5:$B$204))="TURNOUT_L")*(D_Points!$H$5:$H$204&lt;&gt;"")),D_Points!$H$5:$H$204),"")</f>
        <v/>
      </c>
      <c r="AE641" s="182" t="str">
        <f>IFERROR(LOOKUP(2,1/((D_Points!$A$5:$A$204&lt;&gt;"")*(D_Points!$A$5:$A$204&gt;=$B641)*(D_Points!$A$5:$A$204&lt;$B641+P_Interval)*(UPPER(TRIM(D_Points!$B$5:$B$204))="TURNOUT_R")*(D_Points!$H$5:$H$204&lt;&gt;"")),D_Points!$H$5:$H$204),"")</f>
        <v/>
      </c>
      <c r="AF641" s="181" t="str">
        <f>IFERROR(LOOKUP(2,1/((B_Drainage!$A$5:$A$204&lt;&gt;"")*(B_Drainage!$A$5:$A$204&lt;=$B641)*(B_Drainage!$B$5:$B$204&gt;$B641)*(B_Drainage!$M$5:$M$204&lt;&gt;"")),IF(UPPER(B_Drainage!$M$5:$M$204)="Y",1,"")),"")</f>
        <v/>
      </c>
      <c r="AG641" s="181" t="str">
        <f>IFERROR(LOOKUP(2,1/((B_Drainage!$A$5:$A$204&lt;&gt;"")*(B_Drainage!$A$5:$A$204&lt;=$B641)*(B_Drainage!$B$5:$B$204&gt;$B641)*(B_Drainage!$N$5:$N$204&lt;&gt;"")),IF(UPPER(B_Drainage!$N$5:$N$204)="Y",1,"")),"")</f>
        <v/>
      </c>
      <c r="AH641" s="181" t="str">
        <f t="shared" si="72"/>
        <v/>
      </c>
      <c r="AI641" s="181" t="str">
        <f t="shared" si="73"/>
        <v/>
      </c>
      <c r="AJ641" s="181" t="str">
        <f t="shared" si="74"/>
        <v/>
      </c>
      <c r="AK641" s="181" t="str">
        <f t="shared" si="75"/>
        <v/>
      </c>
      <c r="AL641" s="181" t="str">
        <f t="shared" si="76"/>
        <v/>
      </c>
      <c r="AM641" s="181" t="str">
        <f t="shared" si="77"/>
        <v/>
      </c>
      <c r="AN641" s="181" t="str">
        <f t="shared" si="78"/>
        <v/>
      </c>
      <c r="AO641" s="192" t="str">
        <f t="shared" si="79"/>
        <v/>
      </c>
      <c r="AQ641" t="str">
        <f>IFERROR(LOOKUP(2,1/((C_Pavement!$A$5:$A$204&lt;&gt;"")*(C_Pavement!$A$5:$A$204&lt;=$B641)*(C_Pavement!$B$5:$B$204&gt;$B641)*(C_Pavement!$C$5:$C$204&lt;&gt;"")),ROW(C_Pavement!$C$5:$C$204)-4),"")</f>
        <v/>
      </c>
      <c r="AR641" t="str">
        <f>IF($AQ641="","",UPPER(TRIM(INDEX(C_Pavement!$C$5:$C$204,$AQ641))))</f>
        <v/>
      </c>
      <c r="AS641" t="str">
        <f>IF($AR641="","",IFERROR(MATCH($AR641,E_Rules!$A$5:$A$9,0),""))</f>
        <v/>
      </c>
      <c r="AT641" t="str">
        <f>IF($AQ641="","",IF(INDEX(C_Pavement!$D$5:$D$204,$AQ641)&lt;&gt;"",UPPER(TRIM(INDEX(C_Pavement!$D$5:$D$204,$AQ641))),IF($AS641="","",INDEX(E_Rules!$C$5:$C$9,$AS641))))</f>
        <v/>
      </c>
      <c r="AU641" t="str">
        <f>IF($AQ641="","",IF(INDEX(C_Pavement!$E$5:$E$204,$AQ641)&lt;&gt;"",IF(INDEX(C_Pavement!$E$5:$E$204,$AQ641)="-","",INDEX(C_Pavement!$E$5:$E$204,$AQ641)),IF($AS641="","",INDEX(E_Rules!$D$5:$D$9,$AS641))))</f>
        <v/>
      </c>
      <c r="AV641" t="str">
        <f>IF($AQ641="","",IF(INDEX(C_Pavement!$F$5:$F$204,$AQ641)&lt;&gt;"",IF(INDEX(C_Pavement!$F$5:$F$204,$AQ641)="-","",INDEX(C_Pavement!$F$5:$F$204,$AQ641)),IF($AS641="","",INDEX(E_Rules!$E$5:$E$9,$AS641))))</f>
        <v/>
      </c>
      <c r="AW641" t="str">
        <f>IF($AQ641="","",IF(INDEX(C_Pavement!$G$5:$G$204,$AQ641)&lt;&gt;"",IF(INDEX(C_Pavement!$G$5:$G$204,$AQ641)="-","",INDEX(C_Pavement!$G$5:$G$204,$AQ641)),IF($AS641="","",INDEX(E_Rules!$F$5:$F$9,$AS641))))</f>
        <v/>
      </c>
      <c r="AX641" t="str">
        <f>IF($AQ641="","",IF(INDEX(C_Pavement!$H$5:$H$204,$AQ641)&lt;&gt;"",IF(INDEX(C_Pavement!$H$5:$H$204,$AQ641)="-","",INDEX(C_Pavement!$H$5:$H$204,$AQ641)),IF($AS641="","",INDEX(E_Rules!$G$5:$G$9,$AS641))))</f>
        <v/>
      </c>
      <c r="AY641" t="str">
        <f>IF($AQ641="","",IF(INDEX(C_Pavement!$I$5:$I$204,$AQ641)&lt;&gt;"",IF(INDEX(C_Pavement!$I$5:$I$204,$AQ641)="-","",INDEX(C_Pavement!$I$5:$I$204,$AQ641)),IF($AS641="","",INDEX(E_Rules!$H$5:$H$9,$AS641))))</f>
        <v/>
      </c>
    </row>
    <row r="642" spans="1:51" ht="15.75" customHeight="1" x14ac:dyDescent="0.3">
      <c r="A642" s="189">
        <v>637</v>
      </c>
      <c r="B642" s="180">
        <v>31800</v>
      </c>
      <c r="C642" s="180" t="s">
        <v>948</v>
      </c>
      <c r="D642" s="181" t="str">
        <f>IFERROR(LOOKUP(2,1/((A_Corridor!$A$5:$A$204&lt;&gt;"")*(A_Corridor!$A$5:$A$204&lt;=$B642)*(A_Corridor!$B$5:$B$204&gt;$B642)*(A_Corridor!$C$5:$C$204&lt;&gt;"")),IF(UPPER(A_Corridor!$C$5:$C$204)="Y",1,"")),"")</f>
        <v/>
      </c>
      <c r="E642" s="181" t="str">
        <f>IFERROR(LOOKUP(2,1/((A_Corridor!$A$5:$A$204&lt;&gt;"")*(A_Corridor!$A$5:$A$204&lt;=$B642)*(A_Corridor!$B$5:$B$204&gt;$B642)*(A_Corridor!$D$5:$D$204&lt;&gt;"")),IF(A_Corridor!$D$5:$D$204="-","",UPPER(A_Corridor!$D$5:$D$204))),"")</f>
        <v/>
      </c>
      <c r="F642" s="181" t="str">
        <f>IFERROR(LOOKUP(2,1/((A_Corridor!$A$5:$A$204&lt;&gt;"")*(A_Corridor!$A$5:$A$204&lt;=$B642)*(A_Corridor!$B$5:$B$204&gt;$B642)*(A_Corridor!$E$5:$E$204&lt;&gt;"")),IF(A_Corridor!$E$5:$E$204="-","",1)),"")</f>
        <v/>
      </c>
      <c r="G642" s="182" t="str">
        <f>IFERROR(LOOKUP(2,1/((A_Corridor!$A$5:$A$204&lt;&gt;"")*(A_Corridor!$A$5:$A$204&lt;=$B642)*(A_Corridor!$B$5:$B$204&gt;$B642)*(A_Corridor!$E$5:$E$204&lt;&gt;"")),IF(A_Corridor!$E$5:$E$204="-","",A_Corridor!$E$5:$E$204)),"")</f>
        <v/>
      </c>
      <c r="H642" s="182" t="str">
        <f>IFERROR(LOOKUP(2,1/((D_Points!$A$5:$A$204&lt;&gt;"")*(D_Points!$A$5:$A$204&gt;=$B642)*(D_Points!$A$5:$A$204&lt;$B642+P_Interval)*(UPPER(TRIM(D_Points!$B$5:$B$204))="GULLY")*(D_Points!$H$5:$H$204&lt;&gt;"")),D_Points!$H$5:$H$204),"")</f>
        <v/>
      </c>
      <c r="I642" s="181" t="str">
        <f>IFERROR(LOOKUP(2,1/((A_Corridor!$A$5:$A$204&lt;&gt;"")*(A_Corridor!$A$5:$A$204&lt;=$B642)*(A_Corridor!$B$5:$B$204&gt;$B642)*(A_Corridor!$F$5:$F$204&lt;&gt;"")),IF(A_Corridor!$F$5:$F$204="-","",1)),"")</f>
        <v/>
      </c>
      <c r="J642" s="182" t="str">
        <f>IFERROR(LOOKUP(2,1/((A_Corridor!$A$5:$A$204&lt;&gt;"")*(A_Corridor!$A$5:$A$204&lt;=$B642)*(A_Corridor!$B$5:$B$204&gt;$B642)*(A_Corridor!$F$5:$F$204&lt;&gt;"")),IF(A_Corridor!$F$5:$F$204="-","",A_Corridor!$F$5:$F$204)),"")</f>
        <v/>
      </c>
      <c r="K642" s="182" t="str">
        <f>IFERROR(LOOKUP(2,1/((A_Corridor!$A$5:$A$204&lt;&gt;"")*(A_Corridor!$A$5:$A$204&lt;=$B642)*(A_Corridor!$B$5:$B$204&gt;$B642)*(A_Corridor!$G$5:$G$204&lt;&gt;"")),IF(A_Corridor!$G$5:$G$204="-","",A_Corridor!$G$5:$G$204)),"")</f>
        <v/>
      </c>
      <c r="L642" s="181" t="str">
        <f>IFERROR(LOOKUP(2,1/((A_Corridor!$A$5:$A$204&lt;&gt;"")*(A_Corridor!$A$5:$A$204&lt;=$B642)*(A_Corridor!$B$5:$B$204&gt;$B642)*(A_Corridor!$H$5:$H$204&lt;&gt;"")),IF(A_Corridor!$H$5:$H$204="-","",1)),"")</f>
        <v/>
      </c>
      <c r="M642" s="182" t="str">
        <f>IFERROR(LOOKUP(2,1/((A_Corridor!$A$5:$A$204&lt;&gt;"")*(A_Corridor!$A$5:$A$204&lt;=$B642)*(A_Corridor!$B$5:$B$204&gt;$B642)*(A_Corridor!$H$5:$H$204&lt;&gt;"")),IF(A_Corridor!$H$5:$H$204="-","",A_Corridor!$H$5:$H$204)),"")</f>
        <v/>
      </c>
      <c r="N642" s="182" t="str">
        <f>IFERROR(LOOKUP(2,1/((A_Corridor!$A$5:$A$204&lt;&gt;"")*(A_Corridor!$A$5:$A$204&lt;=$B642)*(A_Corridor!$B$5:$B$204&gt;$B642)*(A_Corridor!$I$5:$I$204&lt;&gt;"")),IF(A_Corridor!$I$5:$I$204="-","",A_Corridor!$I$5:$I$204)),"")</f>
        <v/>
      </c>
      <c r="O642" s="182" t="str">
        <f>IFERROR(LOOKUP(2,1/((D_Points!$A$5:$A$204&lt;&gt;"")*(D_Points!$A$5:$A$204&gt;=$B642)*(D_Points!$A$5:$A$204&lt;$B642+P_Interval)*(UPPER(TRIM(D_Points!$B$5:$B$204))="PITCHING")*(D_Points!$H$5:$H$204&lt;&gt;"")),D_Points!$H$5:$H$204),"")</f>
        <v/>
      </c>
      <c r="P642" s="181" t="str">
        <f>IFERROR(LOOKUP(2,1/((B_Drainage!$A$5:$A$204&lt;&gt;"")*(B_Drainage!$A$5:$A$204&lt;=$B642)*(B_Drainage!$B$5:$B$204&gt;$B642)*(B_Drainage!$C$5:$C$204&lt;&gt;"")),IF(B_Drainage!$C$5:$C$204="-","",UPPER(B_Drainage!$C$5:$C$204))),"")</f>
        <v/>
      </c>
      <c r="Q642" s="181" t="str">
        <f>IFERROR(LOOKUP(2,1/((B_Drainage!$A$5:$A$204&lt;&gt;"")*(B_Drainage!$A$5:$A$204&lt;=$B642)*(B_Drainage!$B$5:$B$204&gt;$B642)*(B_Drainage!$D$5:$D$204&lt;&gt;"")),IF(B_Drainage!$D$5:$D$204="-","",UPPER(B_Drainage!$D$5:$D$204))),"")</f>
        <v/>
      </c>
      <c r="R642" s="182" t="str">
        <f>IFERROR(LOOKUP(2,1/((D_Points!$A$5:$A$204&lt;&gt;"")*(D_Points!$A$5:$A$204&gt;=$B642)*(D_Points!$A$5:$A$204&lt;$B642+P_Interval)*(RIGHT(UPPER(TRIM(D_Points!$B$5:$B$204)),8)="_CULVERT")),IF(LEFT(UPPER(TRIM(D_Points!$B$5:$B$204)),2)="EX",1,IF(LEFT(UPPER(TRIM(D_Points!$B$5:$B$204)),2)="PR",2,3))),"")</f>
        <v/>
      </c>
      <c r="S642" s="182" t="str">
        <f>IFERROR(LOOKUP(2,1/((D_Points!$A$5:$A$204&lt;&gt;"")*(D_Points!$A$5:$A$204&gt;=$B642)*(D_Points!$A$5:$A$204&lt;$B642+P_Interval)*(RIGHT(UPPER(TRIM(D_Points!$B$5:$B$204)),7)="_BRIDGE")),IF(LEFT(UPPER(TRIM(D_Points!$B$5:$B$204)),2)="EX",1,IF(LEFT(UPPER(TRIM(D_Points!$B$5:$B$204)),2)="PR",2,2))),"")</f>
        <v/>
      </c>
      <c r="T642" s="181" t="str">
        <f>IFERROR(LOOKUP(2,1/((B_Drainage!$A$5:$A$204&lt;&gt;"")*(B_Drainage!$A$5:$A$204&lt;=$B642)*(B_Drainage!$B$5:$B$204&gt;$B642)*(B_Drainage!$E$5:$E$204&lt;&gt;"")),IF(B_Drainage!$E$5:$E$204="-","",1)),"")</f>
        <v/>
      </c>
      <c r="U642" s="181" t="str">
        <f>IFERROR(LOOKUP(2,1/((B_Drainage!$A$5:$A$204&lt;&gt;"")*(B_Drainage!$A$5:$A$204&lt;=$B642)*(B_Drainage!$B$5:$B$204&gt;$B642)*(B_Drainage!$E$5:$E$204&lt;&gt;"")),IF(B_Drainage!$E$5:$E$204="-","",B_Drainage!$E$5:$E$204)),"")</f>
        <v/>
      </c>
      <c r="V642" s="181" t="str">
        <f>IFERROR(LOOKUP(2,1/((B_Drainage!$A$5:$A$204&lt;&gt;"")*(B_Drainage!$A$5:$A$204&lt;=$B642)*(B_Drainage!$B$5:$B$204&gt;$B642)*(B_Drainage!$F$5:$F$204&lt;&gt;"")),IF(B_Drainage!$F$5:$F$204="-","",1)),"")</f>
        <v/>
      </c>
      <c r="W642" s="181" t="str">
        <f>IFERROR(LOOKUP(2,1/((B_Drainage!$A$5:$A$204&lt;&gt;"")*(B_Drainage!$A$5:$A$204&lt;=$B642)*(B_Drainage!$B$5:$B$204&gt;$B642)*(B_Drainage!$F$5:$F$204&lt;&gt;"")),IF(B_Drainage!$F$5:$F$204="-","",B_Drainage!$F$5:$F$204)),"")</f>
        <v/>
      </c>
      <c r="X642" s="181" t="str">
        <f>IFERROR(LOOKUP(2,1/((B_Drainage!$A$5:$A$204&lt;&gt;"")*(B_Drainage!$A$5:$A$204&lt;=$B642)*(B_Drainage!$B$5:$B$204&gt;$B642)*(B_Drainage!$G$5:$G$204&lt;&gt;"")),IF(UPPER(B_Drainage!$G$5:$G$204)="Y",1,"")),"")</f>
        <v/>
      </c>
      <c r="Y642" s="181" t="str">
        <f>IFERROR(LOOKUP(2,1/((B_Drainage!$A$5:$A$204&lt;&gt;"")*(B_Drainage!$A$5:$A$204&lt;=$B642)*(B_Drainage!$B$5:$B$204&gt;$B642)*(B_Drainage!$H$5:$H$204&lt;&gt;"")),IF(UPPER(B_Drainage!$H$5:$H$204)="Y",1,"")),"")</f>
        <v/>
      </c>
      <c r="Z642" s="181" t="str">
        <f>IFERROR(LOOKUP(2,1/((B_Drainage!$A$5:$A$204&lt;&gt;"")*(B_Drainage!$A$5:$A$204&lt;=$B642)*(B_Drainage!$B$5:$B$204&gt;$B642)*(B_Drainage!$I$5:$I$204&lt;&gt;"")),IF(UPPER(B_Drainage!$I$5:$I$204)="Y",1,"")),"")</f>
        <v/>
      </c>
      <c r="AA642" s="181" t="str">
        <f>IFERROR(LOOKUP(2,1/((B_Drainage!$A$5:$A$204&lt;&gt;"")*(B_Drainage!$A$5:$A$204&lt;=$B642)*(B_Drainage!$B$5:$B$204&gt;$B642)*(B_Drainage!$J$5:$J$204&lt;&gt;"")),IF(UPPER(B_Drainage!$J$5:$J$204)="Y",1,"")),"")</f>
        <v/>
      </c>
      <c r="AB642" s="182" t="str">
        <f>IFERROR(LOOKUP(2,1/((B_Drainage!$A$5:$A$204&lt;&gt;"")*(B_Drainage!$A$5:$A$204&lt;=$B642)*(B_Drainage!$B$5:$B$204&gt;$B642)*(B_Drainage!$K$5:$K$204&lt;&gt;"")),IF(B_Drainage!$K$5:$K$204="-","",B_Drainage!$K$5:$K$204)),"")</f>
        <v/>
      </c>
      <c r="AC642" s="182" t="str">
        <f>IFERROR(LOOKUP(2,1/((B_Drainage!$A$5:$A$204&lt;&gt;"")*(B_Drainage!$A$5:$A$204&lt;=$B642)*(B_Drainage!$B$5:$B$204&gt;$B642)*(B_Drainage!$L$5:$L$204&lt;&gt;"")),IF(B_Drainage!$L$5:$L$204="-","",B_Drainage!$L$5:$L$204)),"")</f>
        <v/>
      </c>
      <c r="AD642" s="182" t="str">
        <f>IFERROR(LOOKUP(2,1/((D_Points!$A$5:$A$204&lt;&gt;"")*(D_Points!$A$5:$A$204&gt;=$B642)*(D_Points!$A$5:$A$204&lt;$B642+P_Interval)*(UPPER(TRIM(D_Points!$B$5:$B$204))="TURNOUT_L")*(D_Points!$H$5:$H$204&lt;&gt;"")),D_Points!$H$5:$H$204),"")</f>
        <v/>
      </c>
      <c r="AE642" s="182" t="str">
        <f>IFERROR(LOOKUP(2,1/((D_Points!$A$5:$A$204&lt;&gt;"")*(D_Points!$A$5:$A$204&gt;=$B642)*(D_Points!$A$5:$A$204&lt;$B642+P_Interval)*(UPPER(TRIM(D_Points!$B$5:$B$204))="TURNOUT_R")*(D_Points!$H$5:$H$204&lt;&gt;"")),D_Points!$H$5:$H$204),"")</f>
        <v/>
      </c>
      <c r="AF642" s="181" t="str">
        <f>IFERROR(LOOKUP(2,1/((B_Drainage!$A$5:$A$204&lt;&gt;"")*(B_Drainage!$A$5:$A$204&lt;=$B642)*(B_Drainage!$B$5:$B$204&gt;$B642)*(B_Drainage!$M$5:$M$204&lt;&gt;"")),IF(UPPER(B_Drainage!$M$5:$M$204)="Y",1,"")),"")</f>
        <v/>
      </c>
      <c r="AG642" s="181" t="str">
        <f>IFERROR(LOOKUP(2,1/((B_Drainage!$A$5:$A$204&lt;&gt;"")*(B_Drainage!$A$5:$A$204&lt;=$B642)*(B_Drainage!$B$5:$B$204&gt;$B642)*(B_Drainage!$N$5:$N$204&lt;&gt;"")),IF(UPPER(B_Drainage!$N$5:$N$204)="Y",1,"")),"")</f>
        <v/>
      </c>
      <c r="AH642" s="181" t="str">
        <f t="shared" si="72"/>
        <v/>
      </c>
      <c r="AI642" s="181" t="str">
        <f t="shared" si="73"/>
        <v/>
      </c>
      <c r="AJ642" s="181" t="str">
        <f t="shared" si="74"/>
        <v/>
      </c>
      <c r="AK642" s="181" t="str">
        <f t="shared" si="75"/>
        <v/>
      </c>
      <c r="AL642" s="181" t="str">
        <f t="shared" si="76"/>
        <v/>
      </c>
      <c r="AM642" s="181" t="str">
        <f t="shared" si="77"/>
        <v/>
      </c>
      <c r="AN642" s="181" t="str">
        <f t="shared" si="78"/>
        <v/>
      </c>
      <c r="AO642" s="192" t="str">
        <f t="shared" si="79"/>
        <v/>
      </c>
      <c r="AQ642" t="str">
        <f>IFERROR(LOOKUP(2,1/((C_Pavement!$A$5:$A$204&lt;&gt;"")*(C_Pavement!$A$5:$A$204&lt;=$B642)*(C_Pavement!$B$5:$B$204&gt;$B642)*(C_Pavement!$C$5:$C$204&lt;&gt;"")),ROW(C_Pavement!$C$5:$C$204)-4),"")</f>
        <v/>
      </c>
      <c r="AR642" t="str">
        <f>IF($AQ642="","",UPPER(TRIM(INDEX(C_Pavement!$C$5:$C$204,$AQ642))))</f>
        <v/>
      </c>
      <c r="AS642" t="str">
        <f>IF($AR642="","",IFERROR(MATCH($AR642,E_Rules!$A$5:$A$9,0),""))</f>
        <v/>
      </c>
      <c r="AT642" t="str">
        <f>IF($AQ642="","",IF(INDEX(C_Pavement!$D$5:$D$204,$AQ642)&lt;&gt;"",UPPER(TRIM(INDEX(C_Pavement!$D$5:$D$204,$AQ642))),IF($AS642="","",INDEX(E_Rules!$C$5:$C$9,$AS642))))</f>
        <v/>
      </c>
      <c r="AU642" t="str">
        <f>IF($AQ642="","",IF(INDEX(C_Pavement!$E$5:$E$204,$AQ642)&lt;&gt;"",IF(INDEX(C_Pavement!$E$5:$E$204,$AQ642)="-","",INDEX(C_Pavement!$E$5:$E$204,$AQ642)),IF($AS642="","",INDEX(E_Rules!$D$5:$D$9,$AS642))))</f>
        <v/>
      </c>
      <c r="AV642" t="str">
        <f>IF($AQ642="","",IF(INDEX(C_Pavement!$F$5:$F$204,$AQ642)&lt;&gt;"",IF(INDEX(C_Pavement!$F$5:$F$204,$AQ642)="-","",INDEX(C_Pavement!$F$5:$F$204,$AQ642)),IF($AS642="","",INDEX(E_Rules!$E$5:$E$9,$AS642))))</f>
        <v/>
      </c>
      <c r="AW642" t="str">
        <f>IF($AQ642="","",IF(INDEX(C_Pavement!$G$5:$G$204,$AQ642)&lt;&gt;"",IF(INDEX(C_Pavement!$G$5:$G$204,$AQ642)="-","",INDEX(C_Pavement!$G$5:$G$204,$AQ642)),IF($AS642="","",INDEX(E_Rules!$F$5:$F$9,$AS642))))</f>
        <v/>
      </c>
      <c r="AX642" t="str">
        <f>IF($AQ642="","",IF(INDEX(C_Pavement!$H$5:$H$204,$AQ642)&lt;&gt;"",IF(INDEX(C_Pavement!$H$5:$H$204,$AQ642)="-","",INDEX(C_Pavement!$H$5:$H$204,$AQ642)),IF($AS642="","",INDEX(E_Rules!$G$5:$G$9,$AS642))))</f>
        <v/>
      </c>
      <c r="AY642" t="str">
        <f>IF($AQ642="","",IF(INDEX(C_Pavement!$I$5:$I$204,$AQ642)&lt;&gt;"",IF(INDEX(C_Pavement!$I$5:$I$204,$AQ642)="-","",INDEX(C_Pavement!$I$5:$I$204,$AQ642)),IF($AS642="","",INDEX(E_Rules!$H$5:$H$9,$AS642))))</f>
        <v/>
      </c>
    </row>
    <row r="643" spans="1:51" ht="15.75" customHeight="1" x14ac:dyDescent="0.3">
      <c r="A643" s="189">
        <v>638</v>
      </c>
      <c r="B643" s="180">
        <v>31850</v>
      </c>
      <c r="C643" s="180" t="s">
        <v>949</v>
      </c>
      <c r="D643" s="181" t="str">
        <f>IFERROR(LOOKUP(2,1/((A_Corridor!$A$5:$A$204&lt;&gt;"")*(A_Corridor!$A$5:$A$204&lt;=$B643)*(A_Corridor!$B$5:$B$204&gt;$B643)*(A_Corridor!$C$5:$C$204&lt;&gt;"")),IF(UPPER(A_Corridor!$C$5:$C$204)="Y",1,"")),"")</f>
        <v/>
      </c>
      <c r="E643" s="181" t="str">
        <f>IFERROR(LOOKUP(2,1/((A_Corridor!$A$5:$A$204&lt;&gt;"")*(A_Corridor!$A$5:$A$204&lt;=$B643)*(A_Corridor!$B$5:$B$204&gt;$B643)*(A_Corridor!$D$5:$D$204&lt;&gt;"")),IF(A_Corridor!$D$5:$D$204="-","",UPPER(A_Corridor!$D$5:$D$204))),"")</f>
        <v/>
      </c>
      <c r="F643" s="181" t="str">
        <f>IFERROR(LOOKUP(2,1/((A_Corridor!$A$5:$A$204&lt;&gt;"")*(A_Corridor!$A$5:$A$204&lt;=$B643)*(A_Corridor!$B$5:$B$204&gt;$B643)*(A_Corridor!$E$5:$E$204&lt;&gt;"")),IF(A_Corridor!$E$5:$E$204="-","",1)),"")</f>
        <v/>
      </c>
      <c r="G643" s="182" t="str">
        <f>IFERROR(LOOKUP(2,1/((A_Corridor!$A$5:$A$204&lt;&gt;"")*(A_Corridor!$A$5:$A$204&lt;=$B643)*(A_Corridor!$B$5:$B$204&gt;$B643)*(A_Corridor!$E$5:$E$204&lt;&gt;"")),IF(A_Corridor!$E$5:$E$204="-","",A_Corridor!$E$5:$E$204)),"")</f>
        <v/>
      </c>
      <c r="H643" s="182" t="str">
        <f>IFERROR(LOOKUP(2,1/((D_Points!$A$5:$A$204&lt;&gt;"")*(D_Points!$A$5:$A$204&gt;=$B643)*(D_Points!$A$5:$A$204&lt;$B643+P_Interval)*(UPPER(TRIM(D_Points!$B$5:$B$204))="GULLY")*(D_Points!$H$5:$H$204&lt;&gt;"")),D_Points!$H$5:$H$204),"")</f>
        <v/>
      </c>
      <c r="I643" s="181" t="str">
        <f>IFERROR(LOOKUP(2,1/((A_Corridor!$A$5:$A$204&lt;&gt;"")*(A_Corridor!$A$5:$A$204&lt;=$B643)*(A_Corridor!$B$5:$B$204&gt;$B643)*(A_Corridor!$F$5:$F$204&lt;&gt;"")),IF(A_Corridor!$F$5:$F$204="-","",1)),"")</f>
        <v/>
      </c>
      <c r="J643" s="182" t="str">
        <f>IFERROR(LOOKUP(2,1/((A_Corridor!$A$5:$A$204&lt;&gt;"")*(A_Corridor!$A$5:$A$204&lt;=$B643)*(A_Corridor!$B$5:$B$204&gt;$B643)*(A_Corridor!$F$5:$F$204&lt;&gt;"")),IF(A_Corridor!$F$5:$F$204="-","",A_Corridor!$F$5:$F$204)),"")</f>
        <v/>
      </c>
      <c r="K643" s="182" t="str">
        <f>IFERROR(LOOKUP(2,1/((A_Corridor!$A$5:$A$204&lt;&gt;"")*(A_Corridor!$A$5:$A$204&lt;=$B643)*(A_Corridor!$B$5:$B$204&gt;$B643)*(A_Corridor!$G$5:$G$204&lt;&gt;"")),IF(A_Corridor!$G$5:$G$204="-","",A_Corridor!$G$5:$G$204)),"")</f>
        <v/>
      </c>
      <c r="L643" s="181" t="str">
        <f>IFERROR(LOOKUP(2,1/((A_Corridor!$A$5:$A$204&lt;&gt;"")*(A_Corridor!$A$5:$A$204&lt;=$B643)*(A_Corridor!$B$5:$B$204&gt;$B643)*(A_Corridor!$H$5:$H$204&lt;&gt;"")),IF(A_Corridor!$H$5:$H$204="-","",1)),"")</f>
        <v/>
      </c>
      <c r="M643" s="182" t="str">
        <f>IFERROR(LOOKUP(2,1/((A_Corridor!$A$5:$A$204&lt;&gt;"")*(A_Corridor!$A$5:$A$204&lt;=$B643)*(A_Corridor!$B$5:$B$204&gt;$B643)*(A_Corridor!$H$5:$H$204&lt;&gt;"")),IF(A_Corridor!$H$5:$H$204="-","",A_Corridor!$H$5:$H$204)),"")</f>
        <v/>
      </c>
      <c r="N643" s="182" t="str">
        <f>IFERROR(LOOKUP(2,1/((A_Corridor!$A$5:$A$204&lt;&gt;"")*(A_Corridor!$A$5:$A$204&lt;=$B643)*(A_Corridor!$B$5:$B$204&gt;$B643)*(A_Corridor!$I$5:$I$204&lt;&gt;"")),IF(A_Corridor!$I$5:$I$204="-","",A_Corridor!$I$5:$I$204)),"")</f>
        <v/>
      </c>
      <c r="O643" s="182" t="str">
        <f>IFERROR(LOOKUP(2,1/((D_Points!$A$5:$A$204&lt;&gt;"")*(D_Points!$A$5:$A$204&gt;=$B643)*(D_Points!$A$5:$A$204&lt;$B643+P_Interval)*(UPPER(TRIM(D_Points!$B$5:$B$204))="PITCHING")*(D_Points!$H$5:$H$204&lt;&gt;"")),D_Points!$H$5:$H$204),"")</f>
        <v/>
      </c>
      <c r="P643" s="181" t="str">
        <f>IFERROR(LOOKUP(2,1/((B_Drainage!$A$5:$A$204&lt;&gt;"")*(B_Drainage!$A$5:$A$204&lt;=$B643)*(B_Drainage!$B$5:$B$204&gt;$B643)*(B_Drainage!$C$5:$C$204&lt;&gt;"")),IF(B_Drainage!$C$5:$C$204="-","",UPPER(B_Drainage!$C$5:$C$204))),"")</f>
        <v/>
      </c>
      <c r="Q643" s="181" t="str">
        <f>IFERROR(LOOKUP(2,1/((B_Drainage!$A$5:$A$204&lt;&gt;"")*(B_Drainage!$A$5:$A$204&lt;=$B643)*(B_Drainage!$B$5:$B$204&gt;$B643)*(B_Drainage!$D$5:$D$204&lt;&gt;"")),IF(B_Drainage!$D$5:$D$204="-","",UPPER(B_Drainage!$D$5:$D$204))),"")</f>
        <v/>
      </c>
      <c r="R643" s="182" t="str">
        <f>IFERROR(LOOKUP(2,1/((D_Points!$A$5:$A$204&lt;&gt;"")*(D_Points!$A$5:$A$204&gt;=$B643)*(D_Points!$A$5:$A$204&lt;$B643+P_Interval)*(RIGHT(UPPER(TRIM(D_Points!$B$5:$B$204)),8)="_CULVERT")),IF(LEFT(UPPER(TRIM(D_Points!$B$5:$B$204)),2)="EX",1,IF(LEFT(UPPER(TRIM(D_Points!$B$5:$B$204)),2)="PR",2,3))),"")</f>
        <v/>
      </c>
      <c r="S643" s="182" t="str">
        <f>IFERROR(LOOKUP(2,1/((D_Points!$A$5:$A$204&lt;&gt;"")*(D_Points!$A$5:$A$204&gt;=$B643)*(D_Points!$A$5:$A$204&lt;$B643+P_Interval)*(RIGHT(UPPER(TRIM(D_Points!$B$5:$B$204)),7)="_BRIDGE")),IF(LEFT(UPPER(TRIM(D_Points!$B$5:$B$204)),2)="EX",1,IF(LEFT(UPPER(TRIM(D_Points!$B$5:$B$204)),2)="PR",2,2))),"")</f>
        <v/>
      </c>
      <c r="T643" s="181" t="str">
        <f>IFERROR(LOOKUP(2,1/((B_Drainage!$A$5:$A$204&lt;&gt;"")*(B_Drainage!$A$5:$A$204&lt;=$B643)*(B_Drainage!$B$5:$B$204&gt;$B643)*(B_Drainage!$E$5:$E$204&lt;&gt;"")),IF(B_Drainage!$E$5:$E$204="-","",1)),"")</f>
        <v/>
      </c>
      <c r="U643" s="181" t="str">
        <f>IFERROR(LOOKUP(2,1/((B_Drainage!$A$5:$A$204&lt;&gt;"")*(B_Drainage!$A$5:$A$204&lt;=$B643)*(B_Drainage!$B$5:$B$204&gt;$B643)*(B_Drainage!$E$5:$E$204&lt;&gt;"")),IF(B_Drainage!$E$5:$E$204="-","",B_Drainage!$E$5:$E$204)),"")</f>
        <v/>
      </c>
      <c r="V643" s="181" t="str">
        <f>IFERROR(LOOKUP(2,1/((B_Drainage!$A$5:$A$204&lt;&gt;"")*(B_Drainage!$A$5:$A$204&lt;=$B643)*(B_Drainage!$B$5:$B$204&gt;$B643)*(B_Drainage!$F$5:$F$204&lt;&gt;"")),IF(B_Drainage!$F$5:$F$204="-","",1)),"")</f>
        <v/>
      </c>
      <c r="W643" s="181" t="str">
        <f>IFERROR(LOOKUP(2,1/((B_Drainage!$A$5:$A$204&lt;&gt;"")*(B_Drainage!$A$5:$A$204&lt;=$B643)*(B_Drainage!$B$5:$B$204&gt;$B643)*(B_Drainage!$F$5:$F$204&lt;&gt;"")),IF(B_Drainage!$F$5:$F$204="-","",B_Drainage!$F$5:$F$204)),"")</f>
        <v/>
      </c>
      <c r="X643" s="181" t="str">
        <f>IFERROR(LOOKUP(2,1/((B_Drainage!$A$5:$A$204&lt;&gt;"")*(B_Drainage!$A$5:$A$204&lt;=$B643)*(B_Drainage!$B$5:$B$204&gt;$B643)*(B_Drainage!$G$5:$G$204&lt;&gt;"")),IF(UPPER(B_Drainage!$G$5:$G$204)="Y",1,"")),"")</f>
        <v/>
      </c>
      <c r="Y643" s="181" t="str">
        <f>IFERROR(LOOKUP(2,1/((B_Drainage!$A$5:$A$204&lt;&gt;"")*(B_Drainage!$A$5:$A$204&lt;=$B643)*(B_Drainage!$B$5:$B$204&gt;$B643)*(B_Drainage!$H$5:$H$204&lt;&gt;"")),IF(UPPER(B_Drainage!$H$5:$H$204)="Y",1,"")),"")</f>
        <v/>
      </c>
      <c r="Z643" s="181" t="str">
        <f>IFERROR(LOOKUP(2,1/((B_Drainage!$A$5:$A$204&lt;&gt;"")*(B_Drainage!$A$5:$A$204&lt;=$B643)*(B_Drainage!$B$5:$B$204&gt;$B643)*(B_Drainage!$I$5:$I$204&lt;&gt;"")),IF(UPPER(B_Drainage!$I$5:$I$204)="Y",1,"")),"")</f>
        <v/>
      </c>
      <c r="AA643" s="181" t="str">
        <f>IFERROR(LOOKUP(2,1/((B_Drainage!$A$5:$A$204&lt;&gt;"")*(B_Drainage!$A$5:$A$204&lt;=$B643)*(B_Drainage!$B$5:$B$204&gt;$B643)*(B_Drainage!$J$5:$J$204&lt;&gt;"")),IF(UPPER(B_Drainage!$J$5:$J$204)="Y",1,"")),"")</f>
        <v/>
      </c>
      <c r="AB643" s="182" t="str">
        <f>IFERROR(LOOKUP(2,1/((B_Drainage!$A$5:$A$204&lt;&gt;"")*(B_Drainage!$A$5:$A$204&lt;=$B643)*(B_Drainage!$B$5:$B$204&gt;$B643)*(B_Drainage!$K$5:$K$204&lt;&gt;"")),IF(B_Drainage!$K$5:$K$204="-","",B_Drainage!$K$5:$K$204)),"")</f>
        <v/>
      </c>
      <c r="AC643" s="182" t="str">
        <f>IFERROR(LOOKUP(2,1/((B_Drainage!$A$5:$A$204&lt;&gt;"")*(B_Drainage!$A$5:$A$204&lt;=$B643)*(B_Drainage!$B$5:$B$204&gt;$B643)*(B_Drainage!$L$5:$L$204&lt;&gt;"")),IF(B_Drainage!$L$5:$L$204="-","",B_Drainage!$L$5:$L$204)),"")</f>
        <v/>
      </c>
      <c r="AD643" s="182" t="str">
        <f>IFERROR(LOOKUP(2,1/((D_Points!$A$5:$A$204&lt;&gt;"")*(D_Points!$A$5:$A$204&gt;=$B643)*(D_Points!$A$5:$A$204&lt;$B643+P_Interval)*(UPPER(TRIM(D_Points!$B$5:$B$204))="TURNOUT_L")*(D_Points!$H$5:$H$204&lt;&gt;"")),D_Points!$H$5:$H$204),"")</f>
        <v/>
      </c>
      <c r="AE643" s="182" t="str">
        <f>IFERROR(LOOKUP(2,1/((D_Points!$A$5:$A$204&lt;&gt;"")*(D_Points!$A$5:$A$204&gt;=$B643)*(D_Points!$A$5:$A$204&lt;$B643+P_Interval)*(UPPER(TRIM(D_Points!$B$5:$B$204))="TURNOUT_R")*(D_Points!$H$5:$H$204&lt;&gt;"")),D_Points!$H$5:$H$204),"")</f>
        <v/>
      </c>
      <c r="AF643" s="181" t="str">
        <f>IFERROR(LOOKUP(2,1/((B_Drainage!$A$5:$A$204&lt;&gt;"")*(B_Drainage!$A$5:$A$204&lt;=$B643)*(B_Drainage!$B$5:$B$204&gt;$B643)*(B_Drainage!$M$5:$M$204&lt;&gt;"")),IF(UPPER(B_Drainage!$M$5:$M$204)="Y",1,"")),"")</f>
        <v/>
      </c>
      <c r="AG643" s="181" t="str">
        <f>IFERROR(LOOKUP(2,1/((B_Drainage!$A$5:$A$204&lt;&gt;"")*(B_Drainage!$A$5:$A$204&lt;=$B643)*(B_Drainage!$B$5:$B$204&gt;$B643)*(B_Drainage!$N$5:$N$204&lt;&gt;"")),IF(UPPER(B_Drainage!$N$5:$N$204)="Y",1,"")),"")</f>
        <v/>
      </c>
      <c r="AH643" s="181" t="str">
        <f t="shared" si="72"/>
        <v/>
      </c>
      <c r="AI643" s="181" t="str">
        <f t="shared" si="73"/>
        <v/>
      </c>
      <c r="AJ643" s="181" t="str">
        <f t="shared" si="74"/>
        <v/>
      </c>
      <c r="AK643" s="181" t="str">
        <f t="shared" si="75"/>
        <v/>
      </c>
      <c r="AL643" s="181" t="str">
        <f t="shared" si="76"/>
        <v/>
      </c>
      <c r="AM643" s="181" t="str">
        <f t="shared" si="77"/>
        <v/>
      </c>
      <c r="AN643" s="181" t="str">
        <f t="shared" si="78"/>
        <v/>
      </c>
      <c r="AO643" s="192" t="str">
        <f t="shared" si="79"/>
        <v/>
      </c>
      <c r="AQ643" t="str">
        <f>IFERROR(LOOKUP(2,1/((C_Pavement!$A$5:$A$204&lt;&gt;"")*(C_Pavement!$A$5:$A$204&lt;=$B643)*(C_Pavement!$B$5:$B$204&gt;$B643)*(C_Pavement!$C$5:$C$204&lt;&gt;"")),ROW(C_Pavement!$C$5:$C$204)-4),"")</f>
        <v/>
      </c>
      <c r="AR643" t="str">
        <f>IF($AQ643="","",UPPER(TRIM(INDEX(C_Pavement!$C$5:$C$204,$AQ643))))</f>
        <v/>
      </c>
      <c r="AS643" t="str">
        <f>IF($AR643="","",IFERROR(MATCH($AR643,E_Rules!$A$5:$A$9,0),""))</f>
        <v/>
      </c>
      <c r="AT643" t="str">
        <f>IF($AQ643="","",IF(INDEX(C_Pavement!$D$5:$D$204,$AQ643)&lt;&gt;"",UPPER(TRIM(INDEX(C_Pavement!$D$5:$D$204,$AQ643))),IF($AS643="","",INDEX(E_Rules!$C$5:$C$9,$AS643))))</f>
        <v/>
      </c>
      <c r="AU643" t="str">
        <f>IF($AQ643="","",IF(INDEX(C_Pavement!$E$5:$E$204,$AQ643)&lt;&gt;"",IF(INDEX(C_Pavement!$E$5:$E$204,$AQ643)="-","",INDEX(C_Pavement!$E$5:$E$204,$AQ643)),IF($AS643="","",INDEX(E_Rules!$D$5:$D$9,$AS643))))</f>
        <v/>
      </c>
      <c r="AV643" t="str">
        <f>IF($AQ643="","",IF(INDEX(C_Pavement!$F$5:$F$204,$AQ643)&lt;&gt;"",IF(INDEX(C_Pavement!$F$5:$F$204,$AQ643)="-","",INDEX(C_Pavement!$F$5:$F$204,$AQ643)),IF($AS643="","",INDEX(E_Rules!$E$5:$E$9,$AS643))))</f>
        <v/>
      </c>
      <c r="AW643" t="str">
        <f>IF($AQ643="","",IF(INDEX(C_Pavement!$G$5:$G$204,$AQ643)&lt;&gt;"",IF(INDEX(C_Pavement!$G$5:$G$204,$AQ643)="-","",INDEX(C_Pavement!$G$5:$G$204,$AQ643)),IF($AS643="","",INDEX(E_Rules!$F$5:$F$9,$AS643))))</f>
        <v/>
      </c>
      <c r="AX643" t="str">
        <f>IF($AQ643="","",IF(INDEX(C_Pavement!$H$5:$H$204,$AQ643)&lt;&gt;"",IF(INDEX(C_Pavement!$H$5:$H$204,$AQ643)="-","",INDEX(C_Pavement!$H$5:$H$204,$AQ643)),IF($AS643="","",INDEX(E_Rules!$G$5:$G$9,$AS643))))</f>
        <v/>
      </c>
      <c r="AY643" t="str">
        <f>IF($AQ643="","",IF(INDEX(C_Pavement!$I$5:$I$204,$AQ643)&lt;&gt;"",IF(INDEX(C_Pavement!$I$5:$I$204,$AQ643)="-","",INDEX(C_Pavement!$I$5:$I$204,$AQ643)),IF($AS643="","",INDEX(E_Rules!$H$5:$H$9,$AS643))))</f>
        <v/>
      </c>
    </row>
    <row r="644" spans="1:51" ht="15.75" customHeight="1" x14ac:dyDescent="0.3">
      <c r="A644" s="189">
        <v>639</v>
      </c>
      <c r="B644" s="180">
        <v>31900</v>
      </c>
      <c r="C644" s="180" t="s">
        <v>950</v>
      </c>
      <c r="D644" s="181" t="str">
        <f>IFERROR(LOOKUP(2,1/((A_Corridor!$A$5:$A$204&lt;&gt;"")*(A_Corridor!$A$5:$A$204&lt;=$B644)*(A_Corridor!$B$5:$B$204&gt;$B644)*(A_Corridor!$C$5:$C$204&lt;&gt;"")),IF(UPPER(A_Corridor!$C$5:$C$204)="Y",1,"")),"")</f>
        <v/>
      </c>
      <c r="E644" s="181" t="str">
        <f>IFERROR(LOOKUP(2,1/((A_Corridor!$A$5:$A$204&lt;&gt;"")*(A_Corridor!$A$5:$A$204&lt;=$B644)*(A_Corridor!$B$5:$B$204&gt;$B644)*(A_Corridor!$D$5:$D$204&lt;&gt;"")),IF(A_Corridor!$D$5:$D$204="-","",UPPER(A_Corridor!$D$5:$D$204))),"")</f>
        <v/>
      </c>
      <c r="F644" s="181" t="str">
        <f>IFERROR(LOOKUP(2,1/((A_Corridor!$A$5:$A$204&lt;&gt;"")*(A_Corridor!$A$5:$A$204&lt;=$B644)*(A_Corridor!$B$5:$B$204&gt;$B644)*(A_Corridor!$E$5:$E$204&lt;&gt;"")),IF(A_Corridor!$E$5:$E$204="-","",1)),"")</f>
        <v/>
      </c>
      <c r="G644" s="182" t="str">
        <f>IFERROR(LOOKUP(2,1/((A_Corridor!$A$5:$A$204&lt;&gt;"")*(A_Corridor!$A$5:$A$204&lt;=$B644)*(A_Corridor!$B$5:$B$204&gt;$B644)*(A_Corridor!$E$5:$E$204&lt;&gt;"")),IF(A_Corridor!$E$5:$E$204="-","",A_Corridor!$E$5:$E$204)),"")</f>
        <v/>
      </c>
      <c r="H644" s="182" t="str">
        <f>IFERROR(LOOKUP(2,1/((D_Points!$A$5:$A$204&lt;&gt;"")*(D_Points!$A$5:$A$204&gt;=$B644)*(D_Points!$A$5:$A$204&lt;$B644+P_Interval)*(UPPER(TRIM(D_Points!$B$5:$B$204))="GULLY")*(D_Points!$H$5:$H$204&lt;&gt;"")),D_Points!$H$5:$H$204),"")</f>
        <v/>
      </c>
      <c r="I644" s="181" t="str">
        <f>IFERROR(LOOKUP(2,1/((A_Corridor!$A$5:$A$204&lt;&gt;"")*(A_Corridor!$A$5:$A$204&lt;=$B644)*(A_Corridor!$B$5:$B$204&gt;$B644)*(A_Corridor!$F$5:$F$204&lt;&gt;"")),IF(A_Corridor!$F$5:$F$204="-","",1)),"")</f>
        <v/>
      </c>
      <c r="J644" s="182" t="str">
        <f>IFERROR(LOOKUP(2,1/((A_Corridor!$A$5:$A$204&lt;&gt;"")*(A_Corridor!$A$5:$A$204&lt;=$B644)*(A_Corridor!$B$5:$B$204&gt;$B644)*(A_Corridor!$F$5:$F$204&lt;&gt;"")),IF(A_Corridor!$F$5:$F$204="-","",A_Corridor!$F$5:$F$204)),"")</f>
        <v/>
      </c>
      <c r="K644" s="182" t="str">
        <f>IFERROR(LOOKUP(2,1/((A_Corridor!$A$5:$A$204&lt;&gt;"")*(A_Corridor!$A$5:$A$204&lt;=$B644)*(A_Corridor!$B$5:$B$204&gt;$B644)*(A_Corridor!$G$5:$G$204&lt;&gt;"")),IF(A_Corridor!$G$5:$G$204="-","",A_Corridor!$G$5:$G$204)),"")</f>
        <v/>
      </c>
      <c r="L644" s="181" t="str">
        <f>IFERROR(LOOKUP(2,1/((A_Corridor!$A$5:$A$204&lt;&gt;"")*(A_Corridor!$A$5:$A$204&lt;=$B644)*(A_Corridor!$B$5:$B$204&gt;$B644)*(A_Corridor!$H$5:$H$204&lt;&gt;"")),IF(A_Corridor!$H$5:$H$204="-","",1)),"")</f>
        <v/>
      </c>
      <c r="M644" s="182" t="str">
        <f>IFERROR(LOOKUP(2,1/((A_Corridor!$A$5:$A$204&lt;&gt;"")*(A_Corridor!$A$5:$A$204&lt;=$B644)*(A_Corridor!$B$5:$B$204&gt;$B644)*(A_Corridor!$H$5:$H$204&lt;&gt;"")),IF(A_Corridor!$H$5:$H$204="-","",A_Corridor!$H$5:$H$204)),"")</f>
        <v/>
      </c>
      <c r="N644" s="182" t="str">
        <f>IFERROR(LOOKUP(2,1/((A_Corridor!$A$5:$A$204&lt;&gt;"")*(A_Corridor!$A$5:$A$204&lt;=$B644)*(A_Corridor!$B$5:$B$204&gt;$B644)*(A_Corridor!$I$5:$I$204&lt;&gt;"")),IF(A_Corridor!$I$5:$I$204="-","",A_Corridor!$I$5:$I$204)),"")</f>
        <v/>
      </c>
      <c r="O644" s="182" t="str">
        <f>IFERROR(LOOKUP(2,1/((D_Points!$A$5:$A$204&lt;&gt;"")*(D_Points!$A$5:$A$204&gt;=$B644)*(D_Points!$A$5:$A$204&lt;$B644+P_Interval)*(UPPER(TRIM(D_Points!$B$5:$B$204))="PITCHING")*(D_Points!$H$5:$H$204&lt;&gt;"")),D_Points!$H$5:$H$204),"")</f>
        <v/>
      </c>
      <c r="P644" s="181" t="str">
        <f>IFERROR(LOOKUP(2,1/((B_Drainage!$A$5:$A$204&lt;&gt;"")*(B_Drainage!$A$5:$A$204&lt;=$B644)*(B_Drainage!$B$5:$B$204&gt;$B644)*(B_Drainage!$C$5:$C$204&lt;&gt;"")),IF(B_Drainage!$C$5:$C$204="-","",UPPER(B_Drainage!$C$5:$C$204))),"")</f>
        <v/>
      </c>
      <c r="Q644" s="181" t="str">
        <f>IFERROR(LOOKUP(2,1/((B_Drainage!$A$5:$A$204&lt;&gt;"")*(B_Drainage!$A$5:$A$204&lt;=$B644)*(B_Drainage!$B$5:$B$204&gt;$B644)*(B_Drainage!$D$5:$D$204&lt;&gt;"")),IF(B_Drainage!$D$5:$D$204="-","",UPPER(B_Drainage!$D$5:$D$204))),"")</f>
        <v/>
      </c>
      <c r="R644" s="182" t="str">
        <f>IFERROR(LOOKUP(2,1/((D_Points!$A$5:$A$204&lt;&gt;"")*(D_Points!$A$5:$A$204&gt;=$B644)*(D_Points!$A$5:$A$204&lt;$B644+P_Interval)*(RIGHT(UPPER(TRIM(D_Points!$B$5:$B$204)),8)="_CULVERT")),IF(LEFT(UPPER(TRIM(D_Points!$B$5:$B$204)),2)="EX",1,IF(LEFT(UPPER(TRIM(D_Points!$B$5:$B$204)),2)="PR",2,3))),"")</f>
        <v/>
      </c>
      <c r="S644" s="182" t="str">
        <f>IFERROR(LOOKUP(2,1/((D_Points!$A$5:$A$204&lt;&gt;"")*(D_Points!$A$5:$A$204&gt;=$B644)*(D_Points!$A$5:$A$204&lt;$B644+P_Interval)*(RIGHT(UPPER(TRIM(D_Points!$B$5:$B$204)),7)="_BRIDGE")),IF(LEFT(UPPER(TRIM(D_Points!$B$5:$B$204)),2)="EX",1,IF(LEFT(UPPER(TRIM(D_Points!$B$5:$B$204)),2)="PR",2,2))),"")</f>
        <v/>
      </c>
      <c r="T644" s="181" t="str">
        <f>IFERROR(LOOKUP(2,1/((B_Drainage!$A$5:$A$204&lt;&gt;"")*(B_Drainage!$A$5:$A$204&lt;=$B644)*(B_Drainage!$B$5:$B$204&gt;$B644)*(B_Drainage!$E$5:$E$204&lt;&gt;"")),IF(B_Drainage!$E$5:$E$204="-","",1)),"")</f>
        <v/>
      </c>
      <c r="U644" s="181" t="str">
        <f>IFERROR(LOOKUP(2,1/((B_Drainage!$A$5:$A$204&lt;&gt;"")*(B_Drainage!$A$5:$A$204&lt;=$B644)*(B_Drainage!$B$5:$B$204&gt;$B644)*(B_Drainage!$E$5:$E$204&lt;&gt;"")),IF(B_Drainage!$E$5:$E$204="-","",B_Drainage!$E$5:$E$204)),"")</f>
        <v/>
      </c>
      <c r="V644" s="181" t="str">
        <f>IFERROR(LOOKUP(2,1/((B_Drainage!$A$5:$A$204&lt;&gt;"")*(B_Drainage!$A$5:$A$204&lt;=$B644)*(B_Drainage!$B$5:$B$204&gt;$B644)*(B_Drainage!$F$5:$F$204&lt;&gt;"")),IF(B_Drainage!$F$5:$F$204="-","",1)),"")</f>
        <v/>
      </c>
      <c r="W644" s="181" t="str">
        <f>IFERROR(LOOKUP(2,1/((B_Drainage!$A$5:$A$204&lt;&gt;"")*(B_Drainage!$A$5:$A$204&lt;=$B644)*(B_Drainage!$B$5:$B$204&gt;$B644)*(B_Drainage!$F$5:$F$204&lt;&gt;"")),IF(B_Drainage!$F$5:$F$204="-","",B_Drainage!$F$5:$F$204)),"")</f>
        <v/>
      </c>
      <c r="X644" s="181" t="str">
        <f>IFERROR(LOOKUP(2,1/((B_Drainage!$A$5:$A$204&lt;&gt;"")*(B_Drainage!$A$5:$A$204&lt;=$B644)*(B_Drainage!$B$5:$B$204&gt;$B644)*(B_Drainage!$G$5:$G$204&lt;&gt;"")),IF(UPPER(B_Drainage!$G$5:$G$204)="Y",1,"")),"")</f>
        <v/>
      </c>
      <c r="Y644" s="181" t="str">
        <f>IFERROR(LOOKUP(2,1/((B_Drainage!$A$5:$A$204&lt;&gt;"")*(B_Drainage!$A$5:$A$204&lt;=$B644)*(B_Drainage!$B$5:$B$204&gt;$B644)*(B_Drainage!$H$5:$H$204&lt;&gt;"")),IF(UPPER(B_Drainage!$H$5:$H$204)="Y",1,"")),"")</f>
        <v/>
      </c>
      <c r="Z644" s="181" t="str">
        <f>IFERROR(LOOKUP(2,1/((B_Drainage!$A$5:$A$204&lt;&gt;"")*(B_Drainage!$A$5:$A$204&lt;=$B644)*(B_Drainage!$B$5:$B$204&gt;$B644)*(B_Drainage!$I$5:$I$204&lt;&gt;"")),IF(UPPER(B_Drainage!$I$5:$I$204)="Y",1,"")),"")</f>
        <v/>
      </c>
      <c r="AA644" s="181" t="str">
        <f>IFERROR(LOOKUP(2,1/((B_Drainage!$A$5:$A$204&lt;&gt;"")*(B_Drainage!$A$5:$A$204&lt;=$B644)*(B_Drainage!$B$5:$B$204&gt;$B644)*(B_Drainage!$J$5:$J$204&lt;&gt;"")),IF(UPPER(B_Drainage!$J$5:$J$204)="Y",1,"")),"")</f>
        <v/>
      </c>
      <c r="AB644" s="182" t="str">
        <f>IFERROR(LOOKUP(2,1/((B_Drainage!$A$5:$A$204&lt;&gt;"")*(B_Drainage!$A$5:$A$204&lt;=$B644)*(B_Drainage!$B$5:$B$204&gt;$B644)*(B_Drainage!$K$5:$K$204&lt;&gt;"")),IF(B_Drainage!$K$5:$K$204="-","",B_Drainage!$K$5:$K$204)),"")</f>
        <v/>
      </c>
      <c r="AC644" s="182" t="str">
        <f>IFERROR(LOOKUP(2,1/((B_Drainage!$A$5:$A$204&lt;&gt;"")*(B_Drainage!$A$5:$A$204&lt;=$B644)*(B_Drainage!$B$5:$B$204&gt;$B644)*(B_Drainage!$L$5:$L$204&lt;&gt;"")),IF(B_Drainage!$L$5:$L$204="-","",B_Drainage!$L$5:$L$204)),"")</f>
        <v/>
      </c>
      <c r="AD644" s="182" t="str">
        <f>IFERROR(LOOKUP(2,1/((D_Points!$A$5:$A$204&lt;&gt;"")*(D_Points!$A$5:$A$204&gt;=$B644)*(D_Points!$A$5:$A$204&lt;$B644+P_Interval)*(UPPER(TRIM(D_Points!$B$5:$B$204))="TURNOUT_L")*(D_Points!$H$5:$H$204&lt;&gt;"")),D_Points!$H$5:$H$204),"")</f>
        <v/>
      </c>
      <c r="AE644" s="182" t="str">
        <f>IFERROR(LOOKUP(2,1/((D_Points!$A$5:$A$204&lt;&gt;"")*(D_Points!$A$5:$A$204&gt;=$B644)*(D_Points!$A$5:$A$204&lt;$B644+P_Interval)*(UPPER(TRIM(D_Points!$B$5:$B$204))="TURNOUT_R")*(D_Points!$H$5:$H$204&lt;&gt;"")),D_Points!$H$5:$H$204),"")</f>
        <v/>
      </c>
      <c r="AF644" s="181" t="str">
        <f>IFERROR(LOOKUP(2,1/((B_Drainage!$A$5:$A$204&lt;&gt;"")*(B_Drainage!$A$5:$A$204&lt;=$B644)*(B_Drainage!$B$5:$B$204&gt;$B644)*(B_Drainage!$M$5:$M$204&lt;&gt;"")),IF(UPPER(B_Drainage!$M$5:$M$204)="Y",1,"")),"")</f>
        <v/>
      </c>
      <c r="AG644" s="181" t="str">
        <f>IFERROR(LOOKUP(2,1/((B_Drainage!$A$5:$A$204&lt;&gt;"")*(B_Drainage!$A$5:$A$204&lt;=$B644)*(B_Drainage!$B$5:$B$204&gt;$B644)*(B_Drainage!$N$5:$N$204&lt;&gt;"")),IF(UPPER(B_Drainage!$N$5:$N$204)="Y",1,"")),"")</f>
        <v/>
      </c>
      <c r="AH644" s="181" t="str">
        <f t="shared" si="72"/>
        <v/>
      </c>
      <c r="AI644" s="181" t="str">
        <f t="shared" si="73"/>
        <v/>
      </c>
      <c r="AJ644" s="181" t="str">
        <f t="shared" si="74"/>
        <v/>
      </c>
      <c r="AK644" s="181" t="str">
        <f t="shared" si="75"/>
        <v/>
      </c>
      <c r="AL644" s="181" t="str">
        <f t="shared" si="76"/>
        <v/>
      </c>
      <c r="AM644" s="181" t="str">
        <f t="shared" si="77"/>
        <v/>
      </c>
      <c r="AN644" s="181" t="str">
        <f t="shared" si="78"/>
        <v/>
      </c>
      <c r="AO644" s="192" t="str">
        <f t="shared" si="79"/>
        <v/>
      </c>
      <c r="AQ644" t="str">
        <f>IFERROR(LOOKUP(2,1/((C_Pavement!$A$5:$A$204&lt;&gt;"")*(C_Pavement!$A$5:$A$204&lt;=$B644)*(C_Pavement!$B$5:$B$204&gt;$B644)*(C_Pavement!$C$5:$C$204&lt;&gt;"")),ROW(C_Pavement!$C$5:$C$204)-4),"")</f>
        <v/>
      </c>
      <c r="AR644" t="str">
        <f>IF($AQ644="","",UPPER(TRIM(INDEX(C_Pavement!$C$5:$C$204,$AQ644))))</f>
        <v/>
      </c>
      <c r="AS644" t="str">
        <f>IF($AR644="","",IFERROR(MATCH($AR644,E_Rules!$A$5:$A$9,0),""))</f>
        <v/>
      </c>
      <c r="AT644" t="str">
        <f>IF($AQ644="","",IF(INDEX(C_Pavement!$D$5:$D$204,$AQ644)&lt;&gt;"",UPPER(TRIM(INDEX(C_Pavement!$D$5:$D$204,$AQ644))),IF($AS644="","",INDEX(E_Rules!$C$5:$C$9,$AS644))))</f>
        <v/>
      </c>
      <c r="AU644" t="str">
        <f>IF($AQ644="","",IF(INDEX(C_Pavement!$E$5:$E$204,$AQ644)&lt;&gt;"",IF(INDEX(C_Pavement!$E$5:$E$204,$AQ644)="-","",INDEX(C_Pavement!$E$5:$E$204,$AQ644)),IF($AS644="","",INDEX(E_Rules!$D$5:$D$9,$AS644))))</f>
        <v/>
      </c>
      <c r="AV644" t="str">
        <f>IF($AQ644="","",IF(INDEX(C_Pavement!$F$5:$F$204,$AQ644)&lt;&gt;"",IF(INDEX(C_Pavement!$F$5:$F$204,$AQ644)="-","",INDEX(C_Pavement!$F$5:$F$204,$AQ644)),IF($AS644="","",INDEX(E_Rules!$E$5:$E$9,$AS644))))</f>
        <v/>
      </c>
      <c r="AW644" t="str">
        <f>IF($AQ644="","",IF(INDEX(C_Pavement!$G$5:$G$204,$AQ644)&lt;&gt;"",IF(INDEX(C_Pavement!$G$5:$G$204,$AQ644)="-","",INDEX(C_Pavement!$G$5:$G$204,$AQ644)),IF($AS644="","",INDEX(E_Rules!$F$5:$F$9,$AS644))))</f>
        <v/>
      </c>
      <c r="AX644" t="str">
        <f>IF($AQ644="","",IF(INDEX(C_Pavement!$H$5:$H$204,$AQ644)&lt;&gt;"",IF(INDEX(C_Pavement!$H$5:$H$204,$AQ644)="-","",INDEX(C_Pavement!$H$5:$H$204,$AQ644)),IF($AS644="","",INDEX(E_Rules!$G$5:$G$9,$AS644))))</f>
        <v/>
      </c>
      <c r="AY644" t="str">
        <f>IF($AQ644="","",IF(INDEX(C_Pavement!$I$5:$I$204,$AQ644)&lt;&gt;"",IF(INDEX(C_Pavement!$I$5:$I$204,$AQ644)="-","",INDEX(C_Pavement!$I$5:$I$204,$AQ644)),IF($AS644="","",INDEX(E_Rules!$H$5:$H$9,$AS644))))</f>
        <v/>
      </c>
    </row>
    <row r="645" spans="1:51" ht="15.75" customHeight="1" x14ac:dyDescent="0.3">
      <c r="A645" s="189">
        <v>640</v>
      </c>
      <c r="B645" s="180">
        <v>31950</v>
      </c>
      <c r="C645" s="180" t="s">
        <v>951</v>
      </c>
      <c r="D645" s="181" t="str">
        <f>IFERROR(LOOKUP(2,1/((A_Corridor!$A$5:$A$204&lt;&gt;"")*(A_Corridor!$A$5:$A$204&lt;=$B645)*(A_Corridor!$B$5:$B$204&gt;$B645)*(A_Corridor!$C$5:$C$204&lt;&gt;"")),IF(UPPER(A_Corridor!$C$5:$C$204)="Y",1,"")),"")</f>
        <v/>
      </c>
      <c r="E645" s="181" t="str">
        <f>IFERROR(LOOKUP(2,1/((A_Corridor!$A$5:$A$204&lt;&gt;"")*(A_Corridor!$A$5:$A$204&lt;=$B645)*(A_Corridor!$B$5:$B$204&gt;$B645)*(A_Corridor!$D$5:$D$204&lt;&gt;"")),IF(A_Corridor!$D$5:$D$204="-","",UPPER(A_Corridor!$D$5:$D$204))),"")</f>
        <v/>
      </c>
      <c r="F645" s="181" t="str">
        <f>IFERROR(LOOKUP(2,1/((A_Corridor!$A$5:$A$204&lt;&gt;"")*(A_Corridor!$A$5:$A$204&lt;=$B645)*(A_Corridor!$B$5:$B$204&gt;$B645)*(A_Corridor!$E$5:$E$204&lt;&gt;"")),IF(A_Corridor!$E$5:$E$204="-","",1)),"")</f>
        <v/>
      </c>
      <c r="G645" s="182" t="str">
        <f>IFERROR(LOOKUP(2,1/((A_Corridor!$A$5:$A$204&lt;&gt;"")*(A_Corridor!$A$5:$A$204&lt;=$B645)*(A_Corridor!$B$5:$B$204&gt;$B645)*(A_Corridor!$E$5:$E$204&lt;&gt;"")),IF(A_Corridor!$E$5:$E$204="-","",A_Corridor!$E$5:$E$204)),"")</f>
        <v/>
      </c>
      <c r="H645" s="182" t="str">
        <f>IFERROR(LOOKUP(2,1/((D_Points!$A$5:$A$204&lt;&gt;"")*(D_Points!$A$5:$A$204&gt;=$B645)*(D_Points!$A$5:$A$204&lt;$B645+P_Interval)*(UPPER(TRIM(D_Points!$B$5:$B$204))="GULLY")*(D_Points!$H$5:$H$204&lt;&gt;"")),D_Points!$H$5:$H$204),"")</f>
        <v/>
      </c>
      <c r="I645" s="181" t="str">
        <f>IFERROR(LOOKUP(2,1/((A_Corridor!$A$5:$A$204&lt;&gt;"")*(A_Corridor!$A$5:$A$204&lt;=$B645)*(A_Corridor!$B$5:$B$204&gt;$B645)*(A_Corridor!$F$5:$F$204&lt;&gt;"")),IF(A_Corridor!$F$5:$F$204="-","",1)),"")</f>
        <v/>
      </c>
      <c r="J645" s="182" t="str">
        <f>IFERROR(LOOKUP(2,1/((A_Corridor!$A$5:$A$204&lt;&gt;"")*(A_Corridor!$A$5:$A$204&lt;=$B645)*(A_Corridor!$B$5:$B$204&gt;$B645)*(A_Corridor!$F$5:$F$204&lt;&gt;"")),IF(A_Corridor!$F$5:$F$204="-","",A_Corridor!$F$5:$F$204)),"")</f>
        <v/>
      </c>
      <c r="K645" s="182" t="str">
        <f>IFERROR(LOOKUP(2,1/((A_Corridor!$A$5:$A$204&lt;&gt;"")*(A_Corridor!$A$5:$A$204&lt;=$B645)*(A_Corridor!$B$5:$B$204&gt;$B645)*(A_Corridor!$G$5:$G$204&lt;&gt;"")),IF(A_Corridor!$G$5:$G$204="-","",A_Corridor!$G$5:$G$204)),"")</f>
        <v/>
      </c>
      <c r="L645" s="181" t="str">
        <f>IFERROR(LOOKUP(2,1/((A_Corridor!$A$5:$A$204&lt;&gt;"")*(A_Corridor!$A$5:$A$204&lt;=$B645)*(A_Corridor!$B$5:$B$204&gt;$B645)*(A_Corridor!$H$5:$H$204&lt;&gt;"")),IF(A_Corridor!$H$5:$H$204="-","",1)),"")</f>
        <v/>
      </c>
      <c r="M645" s="182" t="str">
        <f>IFERROR(LOOKUP(2,1/((A_Corridor!$A$5:$A$204&lt;&gt;"")*(A_Corridor!$A$5:$A$204&lt;=$B645)*(A_Corridor!$B$5:$B$204&gt;$B645)*(A_Corridor!$H$5:$H$204&lt;&gt;"")),IF(A_Corridor!$H$5:$H$204="-","",A_Corridor!$H$5:$H$204)),"")</f>
        <v/>
      </c>
      <c r="N645" s="182" t="str">
        <f>IFERROR(LOOKUP(2,1/((A_Corridor!$A$5:$A$204&lt;&gt;"")*(A_Corridor!$A$5:$A$204&lt;=$B645)*(A_Corridor!$B$5:$B$204&gt;$B645)*(A_Corridor!$I$5:$I$204&lt;&gt;"")),IF(A_Corridor!$I$5:$I$204="-","",A_Corridor!$I$5:$I$204)),"")</f>
        <v/>
      </c>
      <c r="O645" s="182" t="str">
        <f>IFERROR(LOOKUP(2,1/((D_Points!$A$5:$A$204&lt;&gt;"")*(D_Points!$A$5:$A$204&gt;=$B645)*(D_Points!$A$5:$A$204&lt;$B645+P_Interval)*(UPPER(TRIM(D_Points!$B$5:$B$204))="PITCHING")*(D_Points!$H$5:$H$204&lt;&gt;"")),D_Points!$H$5:$H$204),"")</f>
        <v/>
      </c>
      <c r="P645" s="181" t="str">
        <f>IFERROR(LOOKUP(2,1/((B_Drainage!$A$5:$A$204&lt;&gt;"")*(B_Drainage!$A$5:$A$204&lt;=$B645)*(B_Drainage!$B$5:$B$204&gt;$B645)*(B_Drainage!$C$5:$C$204&lt;&gt;"")),IF(B_Drainage!$C$5:$C$204="-","",UPPER(B_Drainage!$C$5:$C$204))),"")</f>
        <v/>
      </c>
      <c r="Q645" s="181" t="str">
        <f>IFERROR(LOOKUP(2,1/((B_Drainage!$A$5:$A$204&lt;&gt;"")*(B_Drainage!$A$5:$A$204&lt;=$B645)*(B_Drainage!$B$5:$B$204&gt;$B645)*(B_Drainage!$D$5:$D$204&lt;&gt;"")),IF(B_Drainage!$D$5:$D$204="-","",UPPER(B_Drainage!$D$5:$D$204))),"")</f>
        <v/>
      </c>
      <c r="R645" s="182" t="str">
        <f>IFERROR(LOOKUP(2,1/((D_Points!$A$5:$A$204&lt;&gt;"")*(D_Points!$A$5:$A$204&gt;=$B645)*(D_Points!$A$5:$A$204&lt;$B645+P_Interval)*(RIGHT(UPPER(TRIM(D_Points!$B$5:$B$204)),8)="_CULVERT")),IF(LEFT(UPPER(TRIM(D_Points!$B$5:$B$204)),2)="EX",1,IF(LEFT(UPPER(TRIM(D_Points!$B$5:$B$204)),2)="PR",2,3))),"")</f>
        <v/>
      </c>
      <c r="S645" s="182" t="str">
        <f>IFERROR(LOOKUP(2,1/((D_Points!$A$5:$A$204&lt;&gt;"")*(D_Points!$A$5:$A$204&gt;=$B645)*(D_Points!$A$5:$A$204&lt;$B645+P_Interval)*(RIGHT(UPPER(TRIM(D_Points!$B$5:$B$204)),7)="_BRIDGE")),IF(LEFT(UPPER(TRIM(D_Points!$B$5:$B$204)),2)="EX",1,IF(LEFT(UPPER(TRIM(D_Points!$B$5:$B$204)),2)="PR",2,2))),"")</f>
        <v/>
      </c>
      <c r="T645" s="181" t="str">
        <f>IFERROR(LOOKUP(2,1/((B_Drainage!$A$5:$A$204&lt;&gt;"")*(B_Drainage!$A$5:$A$204&lt;=$B645)*(B_Drainage!$B$5:$B$204&gt;$B645)*(B_Drainage!$E$5:$E$204&lt;&gt;"")),IF(B_Drainage!$E$5:$E$204="-","",1)),"")</f>
        <v/>
      </c>
      <c r="U645" s="181" t="str">
        <f>IFERROR(LOOKUP(2,1/((B_Drainage!$A$5:$A$204&lt;&gt;"")*(B_Drainage!$A$5:$A$204&lt;=$B645)*(B_Drainage!$B$5:$B$204&gt;$B645)*(B_Drainage!$E$5:$E$204&lt;&gt;"")),IF(B_Drainage!$E$5:$E$204="-","",B_Drainage!$E$5:$E$204)),"")</f>
        <v/>
      </c>
      <c r="V645" s="181" t="str">
        <f>IFERROR(LOOKUP(2,1/((B_Drainage!$A$5:$A$204&lt;&gt;"")*(B_Drainage!$A$5:$A$204&lt;=$B645)*(B_Drainage!$B$5:$B$204&gt;$B645)*(B_Drainage!$F$5:$F$204&lt;&gt;"")),IF(B_Drainage!$F$5:$F$204="-","",1)),"")</f>
        <v/>
      </c>
      <c r="W645" s="181" t="str">
        <f>IFERROR(LOOKUP(2,1/((B_Drainage!$A$5:$A$204&lt;&gt;"")*(B_Drainage!$A$5:$A$204&lt;=$B645)*(B_Drainage!$B$5:$B$204&gt;$B645)*(B_Drainage!$F$5:$F$204&lt;&gt;"")),IF(B_Drainage!$F$5:$F$204="-","",B_Drainage!$F$5:$F$204)),"")</f>
        <v/>
      </c>
      <c r="X645" s="181" t="str">
        <f>IFERROR(LOOKUP(2,1/((B_Drainage!$A$5:$A$204&lt;&gt;"")*(B_Drainage!$A$5:$A$204&lt;=$B645)*(B_Drainage!$B$5:$B$204&gt;$B645)*(B_Drainage!$G$5:$G$204&lt;&gt;"")),IF(UPPER(B_Drainage!$G$5:$G$204)="Y",1,"")),"")</f>
        <v/>
      </c>
      <c r="Y645" s="181" t="str">
        <f>IFERROR(LOOKUP(2,1/((B_Drainage!$A$5:$A$204&lt;&gt;"")*(B_Drainage!$A$5:$A$204&lt;=$B645)*(B_Drainage!$B$5:$B$204&gt;$B645)*(B_Drainage!$H$5:$H$204&lt;&gt;"")),IF(UPPER(B_Drainage!$H$5:$H$204)="Y",1,"")),"")</f>
        <v/>
      </c>
      <c r="Z645" s="181" t="str">
        <f>IFERROR(LOOKUP(2,1/((B_Drainage!$A$5:$A$204&lt;&gt;"")*(B_Drainage!$A$5:$A$204&lt;=$B645)*(B_Drainage!$B$5:$B$204&gt;$B645)*(B_Drainage!$I$5:$I$204&lt;&gt;"")),IF(UPPER(B_Drainage!$I$5:$I$204)="Y",1,"")),"")</f>
        <v/>
      </c>
      <c r="AA645" s="181" t="str">
        <f>IFERROR(LOOKUP(2,1/((B_Drainage!$A$5:$A$204&lt;&gt;"")*(B_Drainage!$A$5:$A$204&lt;=$B645)*(B_Drainage!$B$5:$B$204&gt;$B645)*(B_Drainage!$J$5:$J$204&lt;&gt;"")),IF(UPPER(B_Drainage!$J$5:$J$204)="Y",1,"")),"")</f>
        <v/>
      </c>
      <c r="AB645" s="182" t="str">
        <f>IFERROR(LOOKUP(2,1/((B_Drainage!$A$5:$A$204&lt;&gt;"")*(B_Drainage!$A$5:$A$204&lt;=$B645)*(B_Drainage!$B$5:$B$204&gt;$B645)*(B_Drainage!$K$5:$K$204&lt;&gt;"")),IF(B_Drainage!$K$5:$K$204="-","",B_Drainage!$K$5:$K$204)),"")</f>
        <v/>
      </c>
      <c r="AC645" s="182" t="str">
        <f>IFERROR(LOOKUP(2,1/((B_Drainage!$A$5:$A$204&lt;&gt;"")*(B_Drainage!$A$5:$A$204&lt;=$B645)*(B_Drainage!$B$5:$B$204&gt;$B645)*(B_Drainage!$L$5:$L$204&lt;&gt;"")),IF(B_Drainage!$L$5:$L$204="-","",B_Drainage!$L$5:$L$204)),"")</f>
        <v/>
      </c>
      <c r="AD645" s="182" t="str">
        <f>IFERROR(LOOKUP(2,1/((D_Points!$A$5:$A$204&lt;&gt;"")*(D_Points!$A$5:$A$204&gt;=$B645)*(D_Points!$A$5:$A$204&lt;$B645+P_Interval)*(UPPER(TRIM(D_Points!$B$5:$B$204))="TURNOUT_L")*(D_Points!$H$5:$H$204&lt;&gt;"")),D_Points!$H$5:$H$204),"")</f>
        <v/>
      </c>
      <c r="AE645" s="182" t="str">
        <f>IFERROR(LOOKUP(2,1/((D_Points!$A$5:$A$204&lt;&gt;"")*(D_Points!$A$5:$A$204&gt;=$B645)*(D_Points!$A$5:$A$204&lt;$B645+P_Interval)*(UPPER(TRIM(D_Points!$B$5:$B$204))="TURNOUT_R")*(D_Points!$H$5:$H$204&lt;&gt;"")),D_Points!$H$5:$H$204),"")</f>
        <v/>
      </c>
      <c r="AF645" s="181" t="str">
        <f>IFERROR(LOOKUP(2,1/((B_Drainage!$A$5:$A$204&lt;&gt;"")*(B_Drainage!$A$5:$A$204&lt;=$B645)*(B_Drainage!$B$5:$B$204&gt;$B645)*(B_Drainage!$M$5:$M$204&lt;&gt;"")),IF(UPPER(B_Drainage!$M$5:$M$204)="Y",1,"")),"")</f>
        <v/>
      </c>
      <c r="AG645" s="181" t="str">
        <f>IFERROR(LOOKUP(2,1/((B_Drainage!$A$5:$A$204&lt;&gt;"")*(B_Drainage!$A$5:$A$204&lt;=$B645)*(B_Drainage!$B$5:$B$204&gt;$B645)*(B_Drainage!$N$5:$N$204&lt;&gt;"")),IF(UPPER(B_Drainage!$N$5:$N$204)="Y",1,"")),"")</f>
        <v/>
      </c>
      <c r="AH645" s="181" t="str">
        <f t="shared" si="72"/>
        <v/>
      </c>
      <c r="AI645" s="181" t="str">
        <f t="shared" si="73"/>
        <v/>
      </c>
      <c r="AJ645" s="181" t="str">
        <f t="shared" si="74"/>
        <v/>
      </c>
      <c r="AK645" s="181" t="str">
        <f t="shared" si="75"/>
        <v/>
      </c>
      <c r="AL645" s="181" t="str">
        <f t="shared" si="76"/>
        <v/>
      </c>
      <c r="AM645" s="181" t="str">
        <f t="shared" si="77"/>
        <v/>
      </c>
      <c r="AN645" s="181" t="str">
        <f t="shared" si="78"/>
        <v/>
      </c>
      <c r="AO645" s="192" t="str">
        <f t="shared" si="79"/>
        <v/>
      </c>
      <c r="AQ645" t="str">
        <f>IFERROR(LOOKUP(2,1/((C_Pavement!$A$5:$A$204&lt;&gt;"")*(C_Pavement!$A$5:$A$204&lt;=$B645)*(C_Pavement!$B$5:$B$204&gt;$B645)*(C_Pavement!$C$5:$C$204&lt;&gt;"")),ROW(C_Pavement!$C$5:$C$204)-4),"")</f>
        <v/>
      </c>
      <c r="AR645" t="str">
        <f>IF($AQ645="","",UPPER(TRIM(INDEX(C_Pavement!$C$5:$C$204,$AQ645))))</f>
        <v/>
      </c>
      <c r="AS645" t="str">
        <f>IF($AR645="","",IFERROR(MATCH($AR645,E_Rules!$A$5:$A$9,0),""))</f>
        <v/>
      </c>
      <c r="AT645" t="str">
        <f>IF($AQ645="","",IF(INDEX(C_Pavement!$D$5:$D$204,$AQ645)&lt;&gt;"",UPPER(TRIM(INDEX(C_Pavement!$D$5:$D$204,$AQ645))),IF($AS645="","",INDEX(E_Rules!$C$5:$C$9,$AS645))))</f>
        <v/>
      </c>
      <c r="AU645" t="str">
        <f>IF($AQ645="","",IF(INDEX(C_Pavement!$E$5:$E$204,$AQ645)&lt;&gt;"",IF(INDEX(C_Pavement!$E$5:$E$204,$AQ645)="-","",INDEX(C_Pavement!$E$5:$E$204,$AQ645)),IF($AS645="","",INDEX(E_Rules!$D$5:$D$9,$AS645))))</f>
        <v/>
      </c>
      <c r="AV645" t="str">
        <f>IF($AQ645="","",IF(INDEX(C_Pavement!$F$5:$F$204,$AQ645)&lt;&gt;"",IF(INDEX(C_Pavement!$F$5:$F$204,$AQ645)="-","",INDEX(C_Pavement!$F$5:$F$204,$AQ645)),IF($AS645="","",INDEX(E_Rules!$E$5:$E$9,$AS645))))</f>
        <v/>
      </c>
      <c r="AW645" t="str">
        <f>IF($AQ645="","",IF(INDEX(C_Pavement!$G$5:$G$204,$AQ645)&lt;&gt;"",IF(INDEX(C_Pavement!$G$5:$G$204,$AQ645)="-","",INDEX(C_Pavement!$G$5:$G$204,$AQ645)),IF($AS645="","",INDEX(E_Rules!$F$5:$F$9,$AS645))))</f>
        <v/>
      </c>
      <c r="AX645" t="str">
        <f>IF($AQ645="","",IF(INDEX(C_Pavement!$H$5:$H$204,$AQ645)&lt;&gt;"",IF(INDEX(C_Pavement!$H$5:$H$204,$AQ645)="-","",INDEX(C_Pavement!$H$5:$H$204,$AQ645)),IF($AS645="","",INDEX(E_Rules!$G$5:$G$9,$AS645))))</f>
        <v/>
      </c>
      <c r="AY645" t="str">
        <f>IF($AQ645="","",IF(INDEX(C_Pavement!$I$5:$I$204,$AQ645)&lt;&gt;"",IF(INDEX(C_Pavement!$I$5:$I$204,$AQ645)="-","",INDEX(C_Pavement!$I$5:$I$204,$AQ645)),IF($AS645="","",INDEX(E_Rules!$H$5:$H$9,$AS645))))</f>
        <v/>
      </c>
    </row>
    <row r="646" spans="1:51" ht="15.75" customHeight="1" x14ac:dyDescent="0.3">
      <c r="A646" s="189">
        <v>641</v>
      </c>
      <c r="B646" s="180">
        <v>32000</v>
      </c>
      <c r="C646" s="180" t="s">
        <v>952</v>
      </c>
      <c r="D646" s="181" t="str">
        <f>IFERROR(LOOKUP(2,1/((A_Corridor!$A$5:$A$204&lt;&gt;"")*(A_Corridor!$A$5:$A$204&lt;=$B646)*(A_Corridor!$B$5:$B$204&gt;$B646)*(A_Corridor!$C$5:$C$204&lt;&gt;"")),IF(UPPER(A_Corridor!$C$5:$C$204)="Y",1,"")),"")</f>
        <v/>
      </c>
      <c r="E646" s="181" t="str">
        <f>IFERROR(LOOKUP(2,1/((A_Corridor!$A$5:$A$204&lt;&gt;"")*(A_Corridor!$A$5:$A$204&lt;=$B646)*(A_Corridor!$B$5:$B$204&gt;$B646)*(A_Corridor!$D$5:$D$204&lt;&gt;"")),IF(A_Corridor!$D$5:$D$204="-","",UPPER(A_Corridor!$D$5:$D$204))),"")</f>
        <v/>
      </c>
      <c r="F646" s="181" t="str">
        <f>IFERROR(LOOKUP(2,1/((A_Corridor!$A$5:$A$204&lt;&gt;"")*(A_Corridor!$A$5:$A$204&lt;=$B646)*(A_Corridor!$B$5:$B$204&gt;$B646)*(A_Corridor!$E$5:$E$204&lt;&gt;"")),IF(A_Corridor!$E$5:$E$204="-","",1)),"")</f>
        <v/>
      </c>
      <c r="G646" s="182" t="str">
        <f>IFERROR(LOOKUP(2,1/((A_Corridor!$A$5:$A$204&lt;&gt;"")*(A_Corridor!$A$5:$A$204&lt;=$B646)*(A_Corridor!$B$5:$B$204&gt;$B646)*(A_Corridor!$E$5:$E$204&lt;&gt;"")),IF(A_Corridor!$E$5:$E$204="-","",A_Corridor!$E$5:$E$204)),"")</f>
        <v/>
      </c>
      <c r="H646" s="182" t="str">
        <f>IFERROR(LOOKUP(2,1/((D_Points!$A$5:$A$204&lt;&gt;"")*(D_Points!$A$5:$A$204&gt;=$B646)*(D_Points!$A$5:$A$204&lt;$B646+P_Interval)*(UPPER(TRIM(D_Points!$B$5:$B$204))="GULLY")*(D_Points!$H$5:$H$204&lt;&gt;"")),D_Points!$H$5:$H$204),"")</f>
        <v/>
      </c>
      <c r="I646" s="181" t="str">
        <f>IFERROR(LOOKUP(2,1/((A_Corridor!$A$5:$A$204&lt;&gt;"")*(A_Corridor!$A$5:$A$204&lt;=$B646)*(A_Corridor!$B$5:$B$204&gt;$B646)*(A_Corridor!$F$5:$F$204&lt;&gt;"")),IF(A_Corridor!$F$5:$F$204="-","",1)),"")</f>
        <v/>
      </c>
      <c r="J646" s="182" t="str">
        <f>IFERROR(LOOKUP(2,1/((A_Corridor!$A$5:$A$204&lt;&gt;"")*(A_Corridor!$A$5:$A$204&lt;=$B646)*(A_Corridor!$B$5:$B$204&gt;$B646)*(A_Corridor!$F$5:$F$204&lt;&gt;"")),IF(A_Corridor!$F$5:$F$204="-","",A_Corridor!$F$5:$F$204)),"")</f>
        <v/>
      </c>
      <c r="K646" s="182" t="str">
        <f>IFERROR(LOOKUP(2,1/((A_Corridor!$A$5:$A$204&lt;&gt;"")*(A_Corridor!$A$5:$A$204&lt;=$B646)*(A_Corridor!$B$5:$B$204&gt;$B646)*(A_Corridor!$G$5:$G$204&lt;&gt;"")),IF(A_Corridor!$G$5:$G$204="-","",A_Corridor!$G$5:$G$204)),"")</f>
        <v/>
      </c>
      <c r="L646" s="181" t="str">
        <f>IFERROR(LOOKUP(2,1/((A_Corridor!$A$5:$A$204&lt;&gt;"")*(A_Corridor!$A$5:$A$204&lt;=$B646)*(A_Corridor!$B$5:$B$204&gt;$B646)*(A_Corridor!$H$5:$H$204&lt;&gt;"")),IF(A_Corridor!$H$5:$H$204="-","",1)),"")</f>
        <v/>
      </c>
      <c r="M646" s="182" t="str">
        <f>IFERROR(LOOKUP(2,1/((A_Corridor!$A$5:$A$204&lt;&gt;"")*(A_Corridor!$A$5:$A$204&lt;=$B646)*(A_Corridor!$B$5:$B$204&gt;$B646)*(A_Corridor!$H$5:$H$204&lt;&gt;"")),IF(A_Corridor!$H$5:$H$204="-","",A_Corridor!$H$5:$H$204)),"")</f>
        <v/>
      </c>
      <c r="N646" s="182" t="str">
        <f>IFERROR(LOOKUP(2,1/((A_Corridor!$A$5:$A$204&lt;&gt;"")*(A_Corridor!$A$5:$A$204&lt;=$B646)*(A_Corridor!$B$5:$B$204&gt;$B646)*(A_Corridor!$I$5:$I$204&lt;&gt;"")),IF(A_Corridor!$I$5:$I$204="-","",A_Corridor!$I$5:$I$204)),"")</f>
        <v/>
      </c>
      <c r="O646" s="182" t="str">
        <f>IFERROR(LOOKUP(2,1/((D_Points!$A$5:$A$204&lt;&gt;"")*(D_Points!$A$5:$A$204&gt;=$B646)*(D_Points!$A$5:$A$204&lt;$B646+P_Interval)*(UPPER(TRIM(D_Points!$B$5:$B$204))="PITCHING")*(D_Points!$H$5:$H$204&lt;&gt;"")),D_Points!$H$5:$H$204),"")</f>
        <v/>
      </c>
      <c r="P646" s="181" t="str">
        <f>IFERROR(LOOKUP(2,1/((B_Drainage!$A$5:$A$204&lt;&gt;"")*(B_Drainage!$A$5:$A$204&lt;=$B646)*(B_Drainage!$B$5:$B$204&gt;$B646)*(B_Drainage!$C$5:$C$204&lt;&gt;"")),IF(B_Drainage!$C$5:$C$204="-","",UPPER(B_Drainage!$C$5:$C$204))),"")</f>
        <v/>
      </c>
      <c r="Q646" s="181" t="str">
        <f>IFERROR(LOOKUP(2,1/((B_Drainage!$A$5:$A$204&lt;&gt;"")*(B_Drainage!$A$5:$A$204&lt;=$B646)*(B_Drainage!$B$5:$B$204&gt;$B646)*(B_Drainage!$D$5:$D$204&lt;&gt;"")),IF(B_Drainage!$D$5:$D$204="-","",UPPER(B_Drainage!$D$5:$D$204))),"")</f>
        <v/>
      </c>
      <c r="R646" s="182" t="str">
        <f>IFERROR(LOOKUP(2,1/((D_Points!$A$5:$A$204&lt;&gt;"")*(D_Points!$A$5:$A$204&gt;=$B646)*(D_Points!$A$5:$A$204&lt;$B646+P_Interval)*(RIGHT(UPPER(TRIM(D_Points!$B$5:$B$204)),8)="_CULVERT")),IF(LEFT(UPPER(TRIM(D_Points!$B$5:$B$204)),2)="EX",1,IF(LEFT(UPPER(TRIM(D_Points!$B$5:$B$204)),2)="PR",2,3))),"")</f>
        <v/>
      </c>
      <c r="S646" s="182" t="str">
        <f>IFERROR(LOOKUP(2,1/((D_Points!$A$5:$A$204&lt;&gt;"")*(D_Points!$A$5:$A$204&gt;=$B646)*(D_Points!$A$5:$A$204&lt;$B646+P_Interval)*(RIGHT(UPPER(TRIM(D_Points!$B$5:$B$204)),7)="_BRIDGE")),IF(LEFT(UPPER(TRIM(D_Points!$B$5:$B$204)),2)="EX",1,IF(LEFT(UPPER(TRIM(D_Points!$B$5:$B$204)),2)="PR",2,2))),"")</f>
        <v/>
      </c>
      <c r="T646" s="181" t="str">
        <f>IFERROR(LOOKUP(2,1/((B_Drainage!$A$5:$A$204&lt;&gt;"")*(B_Drainage!$A$5:$A$204&lt;=$B646)*(B_Drainage!$B$5:$B$204&gt;$B646)*(B_Drainage!$E$5:$E$204&lt;&gt;"")),IF(B_Drainage!$E$5:$E$204="-","",1)),"")</f>
        <v/>
      </c>
      <c r="U646" s="181" t="str">
        <f>IFERROR(LOOKUP(2,1/((B_Drainage!$A$5:$A$204&lt;&gt;"")*(B_Drainage!$A$5:$A$204&lt;=$B646)*(B_Drainage!$B$5:$B$204&gt;$B646)*(B_Drainage!$E$5:$E$204&lt;&gt;"")),IF(B_Drainage!$E$5:$E$204="-","",B_Drainage!$E$5:$E$204)),"")</f>
        <v/>
      </c>
      <c r="V646" s="181" t="str">
        <f>IFERROR(LOOKUP(2,1/((B_Drainage!$A$5:$A$204&lt;&gt;"")*(B_Drainage!$A$5:$A$204&lt;=$B646)*(B_Drainage!$B$5:$B$204&gt;$B646)*(B_Drainage!$F$5:$F$204&lt;&gt;"")),IF(B_Drainage!$F$5:$F$204="-","",1)),"")</f>
        <v/>
      </c>
      <c r="W646" s="181" t="str">
        <f>IFERROR(LOOKUP(2,1/((B_Drainage!$A$5:$A$204&lt;&gt;"")*(B_Drainage!$A$5:$A$204&lt;=$B646)*(B_Drainage!$B$5:$B$204&gt;$B646)*(B_Drainage!$F$5:$F$204&lt;&gt;"")),IF(B_Drainage!$F$5:$F$204="-","",B_Drainage!$F$5:$F$204)),"")</f>
        <v/>
      </c>
      <c r="X646" s="181" t="str">
        <f>IFERROR(LOOKUP(2,1/((B_Drainage!$A$5:$A$204&lt;&gt;"")*(B_Drainage!$A$5:$A$204&lt;=$B646)*(B_Drainage!$B$5:$B$204&gt;$B646)*(B_Drainage!$G$5:$G$204&lt;&gt;"")),IF(UPPER(B_Drainage!$G$5:$G$204)="Y",1,"")),"")</f>
        <v/>
      </c>
      <c r="Y646" s="181" t="str">
        <f>IFERROR(LOOKUP(2,1/((B_Drainage!$A$5:$A$204&lt;&gt;"")*(B_Drainage!$A$5:$A$204&lt;=$B646)*(B_Drainage!$B$5:$B$204&gt;$B646)*(B_Drainage!$H$5:$H$204&lt;&gt;"")),IF(UPPER(B_Drainage!$H$5:$H$204)="Y",1,"")),"")</f>
        <v/>
      </c>
      <c r="Z646" s="181" t="str">
        <f>IFERROR(LOOKUP(2,1/((B_Drainage!$A$5:$A$204&lt;&gt;"")*(B_Drainage!$A$5:$A$204&lt;=$B646)*(B_Drainage!$B$5:$B$204&gt;$B646)*(B_Drainage!$I$5:$I$204&lt;&gt;"")),IF(UPPER(B_Drainage!$I$5:$I$204)="Y",1,"")),"")</f>
        <v/>
      </c>
      <c r="AA646" s="181" t="str">
        <f>IFERROR(LOOKUP(2,1/((B_Drainage!$A$5:$A$204&lt;&gt;"")*(B_Drainage!$A$5:$A$204&lt;=$B646)*(B_Drainage!$B$5:$B$204&gt;$B646)*(B_Drainage!$J$5:$J$204&lt;&gt;"")),IF(UPPER(B_Drainage!$J$5:$J$204)="Y",1,"")),"")</f>
        <v/>
      </c>
      <c r="AB646" s="182" t="str">
        <f>IFERROR(LOOKUP(2,1/((B_Drainage!$A$5:$A$204&lt;&gt;"")*(B_Drainage!$A$5:$A$204&lt;=$B646)*(B_Drainage!$B$5:$B$204&gt;$B646)*(B_Drainage!$K$5:$K$204&lt;&gt;"")),IF(B_Drainage!$K$5:$K$204="-","",B_Drainage!$K$5:$K$204)),"")</f>
        <v/>
      </c>
      <c r="AC646" s="182" t="str">
        <f>IFERROR(LOOKUP(2,1/((B_Drainage!$A$5:$A$204&lt;&gt;"")*(B_Drainage!$A$5:$A$204&lt;=$B646)*(B_Drainage!$B$5:$B$204&gt;$B646)*(B_Drainage!$L$5:$L$204&lt;&gt;"")),IF(B_Drainage!$L$5:$L$204="-","",B_Drainage!$L$5:$L$204)),"")</f>
        <v/>
      </c>
      <c r="AD646" s="182" t="str">
        <f>IFERROR(LOOKUP(2,1/((D_Points!$A$5:$A$204&lt;&gt;"")*(D_Points!$A$5:$A$204&gt;=$B646)*(D_Points!$A$5:$A$204&lt;$B646+P_Interval)*(UPPER(TRIM(D_Points!$B$5:$B$204))="TURNOUT_L")*(D_Points!$H$5:$H$204&lt;&gt;"")),D_Points!$H$5:$H$204),"")</f>
        <v/>
      </c>
      <c r="AE646" s="182" t="str">
        <f>IFERROR(LOOKUP(2,1/((D_Points!$A$5:$A$204&lt;&gt;"")*(D_Points!$A$5:$A$204&gt;=$B646)*(D_Points!$A$5:$A$204&lt;$B646+P_Interval)*(UPPER(TRIM(D_Points!$B$5:$B$204))="TURNOUT_R")*(D_Points!$H$5:$H$204&lt;&gt;"")),D_Points!$H$5:$H$204),"")</f>
        <v/>
      </c>
      <c r="AF646" s="181" t="str">
        <f>IFERROR(LOOKUP(2,1/((B_Drainage!$A$5:$A$204&lt;&gt;"")*(B_Drainage!$A$5:$A$204&lt;=$B646)*(B_Drainage!$B$5:$B$204&gt;$B646)*(B_Drainage!$M$5:$M$204&lt;&gt;"")),IF(UPPER(B_Drainage!$M$5:$M$204)="Y",1,"")),"")</f>
        <v/>
      </c>
      <c r="AG646" s="181" t="str">
        <f>IFERROR(LOOKUP(2,1/((B_Drainage!$A$5:$A$204&lt;&gt;"")*(B_Drainage!$A$5:$A$204&lt;=$B646)*(B_Drainage!$B$5:$B$204&gt;$B646)*(B_Drainage!$N$5:$N$204&lt;&gt;"")),IF(UPPER(B_Drainage!$N$5:$N$204)="Y",1,"")),"")</f>
        <v/>
      </c>
      <c r="AH646" s="181" t="str">
        <f t="shared" ref="AH646:AH709" si="80">IF($AT646="BLADE",1,"")</f>
        <v/>
      </c>
      <c r="AI646" s="181" t="str">
        <f t="shared" ref="AI646:AI709" si="81">IF($AT646="RESHAPE",1,"")</f>
        <v/>
      </c>
      <c r="AJ646" s="181" t="str">
        <f t="shared" ref="AJ646:AJ709" si="82">IF($AT646="SCARIFY",1,"")</f>
        <v/>
      </c>
      <c r="AK646" s="181" t="str">
        <f t="shared" ref="AK646:AK709" si="83">$AU646</f>
        <v/>
      </c>
      <c r="AL646" s="181" t="str">
        <f t="shared" ref="AL646:AL709" si="84">$AV646</f>
        <v/>
      </c>
      <c r="AM646" s="181" t="str">
        <f t="shared" ref="AM646:AM709" si="85">IF(OR(UPPER($AW646)="Y",$AW646=1),1,"")</f>
        <v/>
      </c>
      <c r="AN646" s="181" t="str">
        <f t="shared" ref="AN646:AN709" si="86">IF(OR(UPPER($AX646)="Y",$AX646=1),1,"")</f>
        <v/>
      </c>
      <c r="AO646" s="192" t="str">
        <f t="shared" ref="AO646:AO709" si="87">IF(OR(UPPER($AY646)="Y",$AY646=1),1,"")</f>
        <v/>
      </c>
      <c r="AQ646" t="str">
        <f>IFERROR(LOOKUP(2,1/((C_Pavement!$A$5:$A$204&lt;&gt;"")*(C_Pavement!$A$5:$A$204&lt;=$B646)*(C_Pavement!$B$5:$B$204&gt;$B646)*(C_Pavement!$C$5:$C$204&lt;&gt;"")),ROW(C_Pavement!$C$5:$C$204)-4),"")</f>
        <v/>
      </c>
      <c r="AR646" t="str">
        <f>IF($AQ646="","",UPPER(TRIM(INDEX(C_Pavement!$C$5:$C$204,$AQ646))))</f>
        <v/>
      </c>
      <c r="AS646" t="str">
        <f>IF($AR646="","",IFERROR(MATCH($AR646,E_Rules!$A$5:$A$9,0),""))</f>
        <v/>
      </c>
      <c r="AT646" t="str">
        <f>IF($AQ646="","",IF(INDEX(C_Pavement!$D$5:$D$204,$AQ646)&lt;&gt;"",UPPER(TRIM(INDEX(C_Pavement!$D$5:$D$204,$AQ646))),IF($AS646="","",INDEX(E_Rules!$C$5:$C$9,$AS646))))</f>
        <v/>
      </c>
      <c r="AU646" t="str">
        <f>IF($AQ646="","",IF(INDEX(C_Pavement!$E$5:$E$204,$AQ646)&lt;&gt;"",IF(INDEX(C_Pavement!$E$5:$E$204,$AQ646)="-","",INDEX(C_Pavement!$E$5:$E$204,$AQ646)),IF($AS646="","",INDEX(E_Rules!$D$5:$D$9,$AS646))))</f>
        <v/>
      </c>
      <c r="AV646" t="str">
        <f>IF($AQ646="","",IF(INDEX(C_Pavement!$F$5:$F$204,$AQ646)&lt;&gt;"",IF(INDEX(C_Pavement!$F$5:$F$204,$AQ646)="-","",INDEX(C_Pavement!$F$5:$F$204,$AQ646)),IF($AS646="","",INDEX(E_Rules!$E$5:$E$9,$AS646))))</f>
        <v/>
      </c>
      <c r="AW646" t="str">
        <f>IF($AQ646="","",IF(INDEX(C_Pavement!$G$5:$G$204,$AQ646)&lt;&gt;"",IF(INDEX(C_Pavement!$G$5:$G$204,$AQ646)="-","",INDEX(C_Pavement!$G$5:$G$204,$AQ646)),IF($AS646="","",INDEX(E_Rules!$F$5:$F$9,$AS646))))</f>
        <v/>
      </c>
      <c r="AX646" t="str">
        <f>IF($AQ646="","",IF(INDEX(C_Pavement!$H$5:$H$204,$AQ646)&lt;&gt;"",IF(INDEX(C_Pavement!$H$5:$H$204,$AQ646)="-","",INDEX(C_Pavement!$H$5:$H$204,$AQ646)),IF($AS646="","",INDEX(E_Rules!$G$5:$G$9,$AS646))))</f>
        <v/>
      </c>
      <c r="AY646" t="str">
        <f>IF($AQ646="","",IF(INDEX(C_Pavement!$I$5:$I$204,$AQ646)&lt;&gt;"",IF(INDEX(C_Pavement!$I$5:$I$204,$AQ646)="-","",INDEX(C_Pavement!$I$5:$I$204,$AQ646)),IF($AS646="","",INDEX(E_Rules!$H$5:$H$9,$AS646))))</f>
        <v/>
      </c>
    </row>
    <row r="647" spans="1:51" ht="15.75" customHeight="1" x14ac:dyDescent="0.3">
      <c r="A647" s="189">
        <v>642</v>
      </c>
      <c r="B647" s="180">
        <v>32050</v>
      </c>
      <c r="C647" s="180" t="s">
        <v>953</v>
      </c>
      <c r="D647" s="181" t="str">
        <f>IFERROR(LOOKUP(2,1/((A_Corridor!$A$5:$A$204&lt;&gt;"")*(A_Corridor!$A$5:$A$204&lt;=$B647)*(A_Corridor!$B$5:$B$204&gt;$B647)*(A_Corridor!$C$5:$C$204&lt;&gt;"")),IF(UPPER(A_Corridor!$C$5:$C$204)="Y",1,"")),"")</f>
        <v/>
      </c>
      <c r="E647" s="181" t="str">
        <f>IFERROR(LOOKUP(2,1/((A_Corridor!$A$5:$A$204&lt;&gt;"")*(A_Corridor!$A$5:$A$204&lt;=$B647)*(A_Corridor!$B$5:$B$204&gt;$B647)*(A_Corridor!$D$5:$D$204&lt;&gt;"")),IF(A_Corridor!$D$5:$D$204="-","",UPPER(A_Corridor!$D$5:$D$204))),"")</f>
        <v/>
      </c>
      <c r="F647" s="181" t="str">
        <f>IFERROR(LOOKUP(2,1/((A_Corridor!$A$5:$A$204&lt;&gt;"")*(A_Corridor!$A$5:$A$204&lt;=$B647)*(A_Corridor!$B$5:$B$204&gt;$B647)*(A_Corridor!$E$5:$E$204&lt;&gt;"")),IF(A_Corridor!$E$5:$E$204="-","",1)),"")</f>
        <v/>
      </c>
      <c r="G647" s="182" t="str">
        <f>IFERROR(LOOKUP(2,1/((A_Corridor!$A$5:$A$204&lt;&gt;"")*(A_Corridor!$A$5:$A$204&lt;=$B647)*(A_Corridor!$B$5:$B$204&gt;$B647)*(A_Corridor!$E$5:$E$204&lt;&gt;"")),IF(A_Corridor!$E$5:$E$204="-","",A_Corridor!$E$5:$E$204)),"")</f>
        <v/>
      </c>
      <c r="H647" s="182" t="str">
        <f>IFERROR(LOOKUP(2,1/((D_Points!$A$5:$A$204&lt;&gt;"")*(D_Points!$A$5:$A$204&gt;=$B647)*(D_Points!$A$5:$A$204&lt;$B647+P_Interval)*(UPPER(TRIM(D_Points!$B$5:$B$204))="GULLY")*(D_Points!$H$5:$H$204&lt;&gt;"")),D_Points!$H$5:$H$204),"")</f>
        <v/>
      </c>
      <c r="I647" s="181" t="str">
        <f>IFERROR(LOOKUP(2,1/((A_Corridor!$A$5:$A$204&lt;&gt;"")*(A_Corridor!$A$5:$A$204&lt;=$B647)*(A_Corridor!$B$5:$B$204&gt;$B647)*(A_Corridor!$F$5:$F$204&lt;&gt;"")),IF(A_Corridor!$F$5:$F$204="-","",1)),"")</f>
        <v/>
      </c>
      <c r="J647" s="182" t="str">
        <f>IFERROR(LOOKUP(2,1/((A_Corridor!$A$5:$A$204&lt;&gt;"")*(A_Corridor!$A$5:$A$204&lt;=$B647)*(A_Corridor!$B$5:$B$204&gt;$B647)*(A_Corridor!$F$5:$F$204&lt;&gt;"")),IF(A_Corridor!$F$5:$F$204="-","",A_Corridor!$F$5:$F$204)),"")</f>
        <v/>
      </c>
      <c r="K647" s="182" t="str">
        <f>IFERROR(LOOKUP(2,1/((A_Corridor!$A$5:$A$204&lt;&gt;"")*(A_Corridor!$A$5:$A$204&lt;=$B647)*(A_Corridor!$B$5:$B$204&gt;$B647)*(A_Corridor!$G$5:$G$204&lt;&gt;"")),IF(A_Corridor!$G$5:$G$204="-","",A_Corridor!$G$5:$G$204)),"")</f>
        <v/>
      </c>
      <c r="L647" s="181" t="str">
        <f>IFERROR(LOOKUP(2,1/((A_Corridor!$A$5:$A$204&lt;&gt;"")*(A_Corridor!$A$5:$A$204&lt;=$B647)*(A_Corridor!$B$5:$B$204&gt;$B647)*(A_Corridor!$H$5:$H$204&lt;&gt;"")),IF(A_Corridor!$H$5:$H$204="-","",1)),"")</f>
        <v/>
      </c>
      <c r="M647" s="182" t="str">
        <f>IFERROR(LOOKUP(2,1/((A_Corridor!$A$5:$A$204&lt;&gt;"")*(A_Corridor!$A$5:$A$204&lt;=$B647)*(A_Corridor!$B$5:$B$204&gt;$B647)*(A_Corridor!$H$5:$H$204&lt;&gt;"")),IF(A_Corridor!$H$5:$H$204="-","",A_Corridor!$H$5:$H$204)),"")</f>
        <v/>
      </c>
      <c r="N647" s="182" t="str">
        <f>IFERROR(LOOKUP(2,1/((A_Corridor!$A$5:$A$204&lt;&gt;"")*(A_Corridor!$A$5:$A$204&lt;=$B647)*(A_Corridor!$B$5:$B$204&gt;$B647)*(A_Corridor!$I$5:$I$204&lt;&gt;"")),IF(A_Corridor!$I$5:$I$204="-","",A_Corridor!$I$5:$I$204)),"")</f>
        <v/>
      </c>
      <c r="O647" s="182" t="str">
        <f>IFERROR(LOOKUP(2,1/((D_Points!$A$5:$A$204&lt;&gt;"")*(D_Points!$A$5:$A$204&gt;=$B647)*(D_Points!$A$5:$A$204&lt;$B647+P_Interval)*(UPPER(TRIM(D_Points!$B$5:$B$204))="PITCHING")*(D_Points!$H$5:$H$204&lt;&gt;"")),D_Points!$H$5:$H$204),"")</f>
        <v/>
      </c>
      <c r="P647" s="181" t="str">
        <f>IFERROR(LOOKUP(2,1/((B_Drainage!$A$5:$A$204&lt;&gt;"")*(B_Drainage!$A$5:$A$204&lt;=$B647)*(B_Drainage!$B$5:$B$204&gt;$B647)*(B_Drainage!$C$5:$C$204&lt;&gt;"")),IF(B_Drainage!$C$5:$C$204="-","",UPPER(B_Drainage!$C$5:$C$204))),"")</f>
        <v/>
      </c>
      <c r="Q647" s="181" t="str">
        <f>IFERROR(LOOKUP(2,1/((B_Drainage!$A$5:$A$204&lt;&gt;"")*(B_Drainage!$A$5:$A$204&lt;=$B647)*(B_Drainage!$B$5:$B$204&gt;$B647)*(B_Drainage!$D$5:$D$204&lt;&gt;"")),IF(B_Drainage!$D$5:$D$204="-","",UPPER(B_Drainage!$D$5:$D$204))),"")</f>
        <v/>
      </c>
      <c r="R647" s="182" t="str">
        <f>IFERROR(LOOKUP(2,1/((D_Points!$A$5:$A$204&lt;&gt;"")*(D_Points!$A$5:$A$204&gt;=$B647)*(D_Points!$A$5:$A$204&lt;$B647+P_Interval)*(RIGHT(UPPER(TRIM(D_Points!$B$5:$B$204)),8)="_CULVERT")),IF(LEFT(UPPER(TRIM(D_Points!$B$5:$B$204)),2)="EX",1,IF(LEFT(UPPER(TRIM(D_Points!$B$5:$B$204)),2)="PR",2,3))),"")</f>
        <v/>
      </c>
      <c r="S647" s="182" t="str">
        <f>IFERROR(LOOKUP(2,1/((D_Points!$A$5:$A$204&lt;&gt;"")*(D_Points!$A$5:$A$204&gt;=$B647)*(D_Points!$A$5:$A$204&lt;$B647+P_Interval)*(RIGHT(UPPER(TRIM(D_Points!$B$5:$B$204)),7)="_BRIDGE")),IF(LEFT(UPPER(TRIM(D_Points!$B$5:$B$204)),2)="EX",1,IF(LEFT(UPPER(TRIM(D_Points!$B$5:$B$204)),2)="PR",2,2))),"")</f>
        <v/>
      </c>
      <c r="T647" s="181" t="str">
        <f>IFERROR(LOOKUP(2,1/((B_Drainage!$A$5:$A$204&lt;&gt;"")*(B_Drainage!$A$5:$A$204&lt;=$B647)*(B_Drainage!$B$5:$B$204&gt;$B647)*(B_Drainage!$E$5:$E$204&lt;&gt;"")),IF(B_Drainage!$E$5:$E$204="-","",1)),"")</f>
        <v/>
      </c>
      <c r="U647" s="181" t="str">
        <f>IFERROR(LOOKUP(2,1/((B_Drainage!$A$5:$A$204&lt;&gt;"")*(B_Drainage!$A$5:$A$204&lt;=$B647)*(B_Drainage!$B$5:$B$204&gt;$B647)*(B_Drainage!$E$5:$E$204&lt;&gt;"")),IF(B_Drainage!$E$5:$E$204="-","",B_Drainage!$E$5:$E$204)),"")</f>
        <v/>
      </c>
      <c r="V647" s="181" t="str">
        <f>IFERROR(LOOKUP(2,1/((B_Drainage!$A$5:$A$204&lt;&gt;"")*(B_Drainage!$A$5:$A$204&lt;=$B647)*(B_Drainage!$B$5:$B$204&gt;$B647)*(B_Drainage!$F$5:$F$204&lt;&gt;"")),IF(B_Drainage!$F$5:$F$204="-","",1)),"")</f>
        <v/>
      </c>
      <c r="W647" s="181" t="str">
        <f>IFERROR(LOOKUP(2,1/((B_Drainage!$A$5:$A$204&lt;&gt;"")*(B_Drainage!$A$5:$A$204&lt;=$B647)*(B_Drainage!$B$5:$B$204&gt;$B647)*(B_Drainage!$F$5:$F$204&lt;&gt;"")),IF(B_Drainage!$F$5:$F$204="-","",B_Drainage!$F$5:$F$204)),"")</f>
        <v/>
      </c>
      <c r="X647" s="181" t="str">
        <f>IFERROR(LOOKUP(2,1/((B_Drainage!$A$5:$A$204&lt;&gt;"")*(B_Drainage!$A$5:$A$204&lt;=$B647)*(B_Drainage!$B$5:$B$204&gt;$B647)*(B_Drainage!$G$5:$G$204&lt;&gt;"")),IF(UPPER(B_Drainage!$G$5:$G$204)="Y",1,"")),"")</f>
        <v/>
      </c>
      <c r="Y647" s="181" t="str">
        <f>IFERROR(LOOKUP(2,1/((B_Drainage!$A$5:$A$204&lt;&gt;"")*(B_Drainage!$A$5:$A$204&lt;=$B647)*(B_Drainage!$B$5:$B$204&gt;$B647)*(B_Drainage!$H$5:$H$204&lt;&gt;"")),IF(UPPER(B_Drainage!$H$5:$H$204)="Y",1,"")),"")</f>
        <v/>
      </c>
      <c r="Z647" s="181" t="str">
        <f>IFERROR(LOOKUP(2,1/((B_Drainage!$A$5:$A$204&lt;&gt;"")*(B_Drainage!$A$5:$A$204&lt;=$B647)*(B_Drainage!$B$5:$B$204&gt;$B647)*(B_Drainage!$I$5:$I$204&lt;&gt;"")),IF(UPPER(B_Drainage!$I$5:$I$204)="Y",1,"")),"")</f>
        <v/>
      </c>
      <c r="AA647" s="181" t="str">
        <f>IFERROR(LOOKUP(2,1/((B_Drainage!$A$5:$A$204&lt;&gt;"")*(B_Drainage!$A$5:$A$204&lt;=$B647)*(B_Drainage!$B$5:$B$204&gt;$B647)*(B_Drainage!$J$5:$J$204&lt;&gt;"")),IF(UPPER(B_Drainage!$J$5:$J$204)="Y",1,"")),"")</f>
        <v/>
      </c>
      <c r="AB647" s="182" t="str">
        <f>IFERROR(LOOKUP(2,1/((B_Drainage!$A$5:$A$204&lt;&gt;"")*(B_Drainage!$A$5:$A$204&lt;=$B647)*(B_Drainage!$B$5:$B$204&gt;$B647)*(B_Drainage!$K$5:$K$204&lt;&gt;"")),IF(B_Drainage!$K$5:$K$204="-","",B_Drainage!$K$5:$K$204)),"")</f>
        <v/>
      </c>
      <c r="AC647" s="182" t="str">
        <f>IFERROR(LOOKUP(2,1/((B_Drainage!$A$5:$A$204&lt;&gt;"")*(B_Drainage!$A$5:$A$204&lt;=$B647)*(B_Drainage!$B$5:$B$204&gt;$B647)*(B_Drainage!$L$5:$L$204&lt;&gt;"")),IF(B_Drainage!$L$5:$L$204="-","",B_Drainage!$L$5:$L$204)),"")</f>
        <v/>
      </c>
      <c r="AD647" s="182" t="str">
        <f>IFERROR(LOOKUP(2,1/((D_Points!$A$5:$A$204&lt;&gt;"")*(D_Points!$A$5:$A$204&gt;=$B647)*(D_Points!$A$5:$A$204&lt;$B647+P_Interval)*(UPPER(TRIM(D_Points!$B$5:$B$204))="TURNOUT_L")*(D_Points!$H$5:$H$204&lt;&gt;"")),D_Points!$H$5:$H$204),"")</f>
        <v/>
      </c>
      <c r="AE647" s="182" t="str">
        <f>IFERROR(LOOKUP(2,1/((D_Points!$A$5:$A$204&lt;&gt;"")*(D_Points!$A$5:$A$204&gt;=$B647)*(D_Points!$A$5:$A$204&lt;$B647+P_Interval)*(UPPER(TRIM(D_Points!$B$5:$B$204))="TURNOUT_R")*(D_Points!$H$5:$H$204&lt;&gt;"")),D_Points!$H$5:$H$204),"")</f>
        <v/>
      </c>
      <c r="AF647" s="181" t="str">
        <f>IFERROR(LOOKUP(2,1/((B_Drainage!$A$5:$A$204&lt;&gt;"")*(B_Drainage!$A$5:$A$204&lt;=$B647)*(B_Drainage!$B$5:$B$204&gt;$B647)*(B_Drainage!$M$5:$M$204&lt;&gt;"")),IF(UPPER(B_Drainage!$M$5:$M$204)="Y",1,"")),"")</f>
        <v/>
      </c>
      <c r="AG647" s="181" t="str">
        <f>IFERROR(LOOKUP(2,1/((B_Drainage!$A$5:$A$204&lt;&gt;"")*(B_Drainage!$A$5:$A$204&lt;=$B647)*(B_Drainage!$B$5:$B$204&gt;$B647)*(B_Drainage!$N$5:$N$204&lt;&gt;"")),IF(UPPER(B_Drainage!$N$5:$N$204)="Y",1,"")),"")</f>
        <v/>
      </c>
      <c r="AH647" s="181" t="str">
        <f t="shared" si="80"/>
        <v/>
      </c>
      <c r="AI647" s="181" t="str">
        <f t="shared" si="81"/>
        <v/>
      </c>
      <c r="AJ647" s="181" t="str">
        <f t="shared" si="82"/>
        <v/>
      </c>
      <c r="AK647" s="181" t="str">
        <f t="shared" si="83"/>
        <v/>
      </c>
      <c r="AL647" s="181" t="str">
        <f t="shared" si="84"/>
        <v/>
      </c>
      <c r="AM647" s="181" t="str">
        <f t="shared" si="85"/>
        <v/>
      </c>
      <c r="AN647" s="181" t="str">
        <f t="shared" si="86"/>
        <v/>
      </c>
      <c r="AO647" s="192" t="str">
        <f t="shared" si="87"/>
        <v/>
      </c>
      <c r="AQ647" t="str">
        <f>IFERROR(LOOKUP(2,1/((C_Pavement!$A$5:$A$204&lt;&gt;"")*(C_Pavement!$A$5:$A$204&lt;=$B647)*(C_Pavement!$B$5:$B$204&gt;$B647)*(C_Pavement!$C$5:$C$204&lt;&gt;"")),ROW(C_Pavement!$C$5:$C$204)-4),"")</f>
        <v/>
      </c>
      <c r="AR647" t="str">
        <f>IF($AQ647="","",UPPER(TRIM(INDEX(C_Pavement!$C$5:$C$204,$AQ647))))</f>
        <v/>
      </c>
      <c r="AS647" t="str">
        <f>IF($AR647="","",IFERROR(MATCH($AR647,E_Rules!$A$5:$A$9,0),""))</f>
        <v/>
      </c>
      <c r="AT647" t="str">
        <f>IF($AQ647="","",IF(INDEX(C_Pavement!$D$5:$D$204,$AQ647)&lt;&gt;"",UPPER(TRIM(INDEX(C_Pavement!$D$5:$D$204,$AQ647))),IF($AS647="","",INDEX(E_Rules!$C$5:$C$9,$AS647))))</f>
        <v/>
      </c>
      <c r="AU647" t="str">
        <f>IF($AQ647="","",IF(INDEX(C_Pavement!$E$5:$E$204,$AQ647)&lt;&gt;"",IF(INDEX(C_Pavement!$E$5:$E$204,$AQ647)="-","",INDEX(C_Pavement!$E$5:$E$204,$AQ647)),IF($AS647="","",INDEX(E_Rules!$D$5:$D$9,$AS647))))</f>
        <v/>
      </c>
      <c r="AV647" t="str">
        <f>IF($AQ647="","",IF(INDEX(C_Pavement!$F$5:$F$204,$AQ647)&lt;&gt;"",IF(INDEX(C_Pavement!$F$5:$F$204,$AQ647)="-","",INDEX(C_Pavement!$F$5:$F$204,$AQ647)),IF($AS647="","",INDEX(E_Rules!$E$5:$E$9,$AS647))))</f>
        <v/>
      </c>
      <c r="AW647" t="str">
        <f>IF($AQ647="","",IF(INDEX(C_Pavement!$G$5:$G$204,$AQ647)&lt;&gt;"",IF(INDEX(C_Pavement!$G$5:$G$204,$AQ647)="-","",INDEX(C_Pavement!$G$5:$G$204,$AQ647)),IF($AS647="","",INDEX(E_Rules!$F$5:$F$9,$AS647))))</f>
        <v/>
      </c>
      <c r="AX647" t="str">
        <f>IF($AQ647="","",IF(INDEX(C_Pavement!$H$5:$H$204,$AQ647)&lt;&gt;"",IF(INDEX(C_Pavement!$H$5:$H$204,$AQ647)="-","",INDEX(C_Pavement!$H$5:$H$204,$AQ647)),IF($AS647="","",INDEX(E_Rules!$G$5:$G$9,$AS647))))</f>
        <v/>
      </c>
      <c r="AY647" t="str">
        <f>IF($AQ647="","",IF(INDEX(C_Pavement!$I$5:$I$204,$AQ647)&lt;&gt;"",IF(INDEX(C_Pavement!$I$5:$I$204,$AQ647)="-","",INDEX(C_Pavement!$I$5:$I$204,$AQ647)),IF($AS647="","",INDEX(E_Rules!$H$5:$H$9,$AS647))))</f>
        <v/>
      </c>
    </row>
    <row r="648" spans="1:51" ht="15.75" customHeight="1" x14ac:dyDescent="0.3">
      <c r="A648" s="189">
        <v>643</v>
      </c>
      <c r="B648" s="180">
        <v>32100</v>
      </c>
      <c r="C648" s="180" t="s">
        <v>954</v>
      </c>
      <c r="D648" s="181" t="str">
        <f>IFERROR(LOOKUP(2,1/((A_Corridor!$A$5:$A$204&lt;&gt;"")*(A_Corridor!$A$5:$A$204&lt;=$B648)*(A_Corridor!$B$5:$B$204&gt;$B648)*(A_Corridor!$C$5:$C$204&lt;&gt;"")),IF(UPPER(A_Corridor!$C$5:$C$204)="Y",1,"")),"")</f>
        <v/>
      </c>
      <c r="E648" s="181" t="str">
        <f>IFERROR(LOOKUP(2,1/((A_Corridor!$A$5:$A$204&lt;&gt;"")*(A_Corridor!$A$5:$A$204&lt;=$B648)*(A_Corridor!$B$5:$B$204&gt;$B648)*(A_Corridor!$D$5:$D$204&lt;&gt;"")),IF(A_Corridor!$D$5:$D$204="-","",UPPER(A_Corridor!$D$5:$D$204))),"")</f>
        <v/>
      </c>
      <c r="F648" s="181" t="str">
        <f>IFERROR(LOOKUP(2,1/((A_Corridor!$A$5:$A$204&lt;&gt;"")*(A_Corridor!$A$5:$A$204&lt;=$B648)*(A_Corridor!$B$5:$B$204&gt;$B648)*(A_Corridor!$E$5:$E$204&lt;&gt;"")),IF(A_Corridor!$E$5:$E$204="-","",1)),"")</f>
        <v/>
      </c>
      <c r="G648" s="182" t="str">
        <f>IFERROR(LOOKUP(2,1/((A_Corridor!$A$5:$A$204&lt;&gt;"")*(A_Corridor!$A$5:$A$204&lt;=$B648)*(A_Corridor!$B$5:$B$204&gt;$B648)*(A_Corridor!$E$5:$E$204&lt;&gt;"")),IF(A_Corridor!$E$5:$E$204="-","",A_Corridor!$E$5:$E$204)),"")</f>
        <v/>
      </c>
      <c r="H648" s="182" t="str">
        <f>IFERROR(LOOKUP(2,1/((D_Points!$A$5:$A$204&lt;&gt;"")*(D_Points!$A$5:$A$204&gt;=$B648)*(D_Points!$A$5:$A$204&lt;$B648+P_Interval)*(UPPER(TRIM(D_Points!$B$5:$B$204))="GULLY")*(D_Points!$H$5:$H$204&lt;&gt;"")),D_Points!$H$5:$H$204),"")</f>
        <v/>
      </c>
      <c r="I648" s="181" t="str">
        <f>IFERROR(LOOKUP(2,1/((A_Corridor!$A$5:$A$204&lt;&gt;"")*(A_Corridor!$A$5:$A$204&lt;=$B648)*(A_Corridor!$B$5:$B$204&gt;$B648)*(A_Corridor!$F$5:$F$204&lt;&gt;"")),IF(A_Corridor!$F$5:$F$204="-","",1)),"")</f>
        <v/>
      </c>
      <c r="J648" s="182" t="str">
        <f>IFERROR(LOOKUP(2,1/((A_Corridor!$A$5:$A$204&lt;&gt;"")*(A_Corridor!$A$5:$A$204&lt;=$B648)*(A_Corridor!$B$5:$B$204&gt;$B648)*(A_Corridor!$F$5:$F$204&lt;&gt;"")),IF(A_Corridor!$F$5:$F$204="-","",A_Corridor!$F$5:$F$204)),"")</f>
        <v/>
      </c>
      <c r="K648" s="182" t="str">
        <f>IFERROR(LOOKUP(2,1/((A_Corridor!$A$5:$A$204&lt;&gt;"")*(A_Corridor!$A$5:$A$204&lt;=$B648)*(A_Corridor!$B$5:$B$204&gt;$B648)*(A_Corridor!$G$5:$G$204&lt;&gt;"")),IF(A_Corridor!$G$5:$G$204="-","",A_Corridor!$G$5:$G$204)),"")</f>
        <v/>
      </c>
      <c r="L648" s="181" t="str">
        <f>IFERROR(LOOKUP(2,1/((A_Corridor!$A$5:$A$204&lt;&gt;"")*(A_Corridor!$A$5:$A$204&lt;=$B648)*(A_Corridor!$B$5:$B$204&gt;$B648)*(A_Corridor!$H$5:$H$204&lt;&gt;"")),IF(A_Corridor!$H$5:$H$204="-","",1)),"")</f>
        <v/>
      </c>
      <c r="M648" s="182" t="str">
        <f>IFERROR(LOOKUP(2,1/((A_Corridor!$A$5:$A$204&lt;&gt;"")*(A_Corridor!$A$5:$A$204&lt;=$B648)*(A_Corridor!$B$5:$B$204&gt;$B648)*(A_Corridor!$H$5:$H$204&lt;&gt;"")),IF(A_Corridor!$H$5:$H$204="-","",A_Corridor!$H$5:$H$204)),"")</f>
        <v/>
      </c>
      <c r="N648" s="182" t="str">
        <f>IFERROR(LOOKUP(2,1/((A_Corridor!$A$5:$A$204&lt;&gt;"")*(A_Corridor!$A$5:$A$204&lt;=$B648)*(A_Corridor!$B$5:$B$204&gt;$B648)*(A_Corridor!$I$5:$I$204&lt;&gt;"")),IF(A_Corridor!$I$5:$I$204="-","",A_Corridor!$I$5:$I$204)),"")</f>
        <v/>
      </c>
      <c r="O648" s="182" t="str">
        <f>IFERROR(LOOKUP(2,1/((D_Points!$A$5:$A$204&lt;&gt;"")*(D_Points!$A$5:$A$204&gt;=$B648)*(D_Points!$A$5:$A$204&lt;$B648+P_Interval)*(UPPER(TRIM(D_Points!$B$5:$B$204))="PITCHING")*(D_Points!$H$5:$H$204&lt;&gt;"")),D_Points!$H$5:$H$204),"")</f>
        <v/>
      </c>
      <c r="P648" s="181" t="str">
        <f>IFERROR(LOOKUP(2,1/((B_Drainage!$A$5:$A$204&lt;&gt;"")*(B_Drainage!$A$5:$A$204&lt;=$B648)*(B_Drainage!$B$5:$B$204&gt;$B648)*(B_Drainage!$C$5:$C$204&lt;&gt;"")),IF(B_Drainage!$C$5:$C$204="-","",UPPER(B_Drainage!$C$5:$C$204))),"")</f>
        <v/>
      </c>
      <c r="Q648" s="181" t="str">
        <f>IFERROR(LOOKUP(2,1/((B_Drainage!$A$5:$A$204&lt;&gt;"")*(B_Drainage!$A$5:$A$204&lt;=$B648)*(B_Drainage!$B$5:$B$204&gt;$B648)*(B_Drainage!$D$5:$D$204&lt;&gt;"")),IF(B_Drainage!$D$5:$D$204="-","",UPPER(B_Drainage!$D$5:$D$204))),"")</f>
        <v/>
      </c>
      <c r="R648" s="182" t="str">
        <f>IFERROR(LOOKUP(2,1/((D_Points!$A$5:$A$204&lt;&gt;"")*(D_Points!$A$5:$A$204&gt;=$B648)*(D_Points!$A$5:$A$204&lt;$B648+P_Interval)*(RIGHT(UPPER(TRIM(D_Points!$B$5:$B$204)),8)="_CULVERT")),IF(LEFT(UPPER(TRIM(D_Points!$B$5:$B$204)),2)="EX",1,IF(LEFT(UPPER(TRIM(D_Points!$B$5:$B$204)),2)="PR",2,3))),"")</f>
        <v/>
      </c>
      <c r="S648" s="182" t="str">
        <f>IFERROR(LOOKUP(2,1/((D_Points!$A$5:$A$204&lt;&gt;"")*(D_Points!$A$5:$A$204&gt;=$B648)*(D_Points!$A$5:$A$204&lt;$B648+P_Interval)*(RIGHT(UPPER(TRIM(D_Points!$B$5:$B$204)),7)="_BRIDGE")),IF(LEFT(UPPER(TRIM(D_Points!$B$5:$B$204)),2)="EX",1,IF(LEFT(UPPER(TRIM(D_Points!$B$5:$B$204)),2)="PR",2,2))),"")</f>
        <v/>
      </c>
      <c r="T648" s="181" t="str">
        <f>IFERROR(LOOKUP(2,1/((B_Drainage!$A$5:$A$204&lt;&gt;"")*(B_Drainage!$A$5:$A$204&lt;=$B648)*(B_Drainage!$B$5:$B$204&gt;$B648)*(B_Drainage!$E$5:$E$204&lt;&gt;"")),IF(B_Drainage!$E$5:$E$204="-","",1)),"")</f>
        <v/>
      </c>
      <c r="U648" s="181" t="str">
        <f>IFERROR(LOOKUP(2,1/((B_Drainage!$A$5:$A$204&lt;&gt;"")*(B_Drainage!$A$5:$A$204&lt;=$B648)*(B_Drainage!$B$5:$B$204&gt;$B648)*(B_Drainage!$E$5:$E$204&lt;&gt;"")),IF(B_Drainage!$E$5:$E$204="-","",B_Drainage!$E$5:$E$204)),"")</f>
        <v/>
      </c>
      <c r="V648" s="181" t="str">
        <f>IFERROR(LOOKUP(2,1/((B_Drainage!$A$5:$A$204&lt;&gt;"")*(B_Drainage!$A$5:$A$204&lt;=$B648)*(B_Drainage!$B$5:$B$204&gt;$B648)*(B_Drainage!$F$5:$F$204&lt;&gt;"")),IF(B_Drainage!$F$5:$F$204="-","",1)),"")</f>
        <v/>
      </c>
      <c r="W648" s="181" t="str">
        <f>IFERROR(LOOKUP(2,1/((B_Drainage!$A$5:$A$204&lt;&gt;"")*(B_Drainage!$A$5:$A$204&lt;=$B648)*(B_Drainage!$B$5:$B$204&gt;$B648)*(B_Drainage!$F$5:$F$204&lt;&gt;"")),IF(B_Drainage!$F$5:$F$204="-","",B_Drainage!$F$5:$F$204)),"")</f>
        <v/>
      </c>
      <c r="X648" s="181" t="str">
        <f>IFERROR(LOOKUP(2,1/((B_Drainage!$A$5:$A$204&lt;&gt;"")*(B_Drainage!$A$5:$A$204&lt;=$B648)*(B_Drainage!$B$5:$B$204&gt;$B648)*(B_Drainage!$G$5:$G$204&lt;&gt;"")),IF(UPPER(B_Drainage!$G$5:$G$204)="Y",1,"")),"")</f>
        <v/>
      </c>
      <c r="Y648" s="181" t="str">
        <f>IFERROR(LOOKUP(2,1/((B_Drainage!$A$5:$A$204&lt;&gt;"")*(B_Drainage!$A$5:$A$204&lt;=$B648)*(B_Drainage!$B$5:$B$204&gt;$B648)*(B_Drainage!$H$5:$H$204&lt;&gt;"")),IF(UPPER(B_Drainage!$H$5:$H$204)="Y",1,"")),"")</f>
        <v/>
      </c>
      <c r="Z648" s="181" t="str">
        <f>IFERROR(LOOKUP(2,1/((B_Drainage!$A$5:$A$204&lt;&gt;"")*(B_Drainage!$A$5:$A$204&lt;=$B648)*(B_Drainage!$B$5:$B$204&gt;$B648)*(B_Drainage!$I$5:$I$204&lt;&gt;"")),IF(UPPER(B_Drainage!$I$5:$I$204)="Y",1,"")),"")</f>
        <v/>
      </c>
      <c r="AA648" s="181" t="str">
        <f>IFERROR(LOOKUP(2,1/((B_Drainage!$A$5:$A$204&lt;&gt;"")*(B_Drainage!$A$5:$A$204&lt;=$B648)*(B_Drainage!$B$5:$B$204&gt;$B648)*(B_Drainage!$J$5:$J$204&lt;&gt;"")),IF(UPPER(B_Drainage!$J$5:$J$204)="Y",1,"")),"")</f>
        <v/>
      </c>
      <c r="AB648" s="182" t="str">
        <f>IFERROR(LOOKUP(2,1/((B_Drainage!$A$5:$A$204&lt;&gt;"")*(B_Drainage!$A$5:$A$204&lt;=$B648)*(B_Drainage!$B$5:$B$204&gt;$B648)*(B_Drainage!$K$5:$K$204&lt;&gt;"")),IF(B_Drainage!$K$5:$K$204="-","",B_Drainage!$K$5:$K$204)),"")</f>
        <v/>
      </c>
      <c r="AC648" s="182" t="str">
        <f>IFERROR(LOOKUP(2,1/((B_Drainage!$A$5:$A$204&lt;&gt;"")*(B_Drainage!$A$5:$A$204&lt;=$B648)*(B_Drainage!$B$5:$B$204&gt;$B648)*(B_Drainage!$L$5:$L$204&lt;&gt;"")),IF(B_Drainage!$L$5:$L$204="-","",B_Drainage!$L$5:$L$204)),"")</f>
        <v/>
      </c>
      <c r="AD648" s="182" t="str">
        <f>IFERROR(LOOKUP(2,1/((D_Points!$A$5:$A$204&lt;&gt;"")*(D_Points!$A$5:$A$204&gt;=$B648)*(D_Points!$A$5:$A$204&lt;$B648+P_Interval)*(UPPER(TRIM(D_Points!$B$5:$B$204))="TURNOUT_L")*(D_Points!$H$5:$H$204&lt;&gt;"")),D_Points!$H$5:$H$204),"")</f>
        <v/>
      </c>
      <c r="AE648" s="182" t="str">
        <f>IFERROR(LOOKUP(2,1/((D_Points!$A$5:$A$204&lt;&gt;"")*(D_Points!$A$5:$A$204&gt;=$B648)*(D_Points!$A$5:$A$204&lt;$B648+P_Interval)*(UPPER(TRIM(D_Points!$B$5:$B$204))="TURNOUT_R")*(D_Points!$H$5:$H$204&lt;&gt;"")),D_Points!$H$5:$H$204),"")</f>
        <v/>
      </c>
      <c r="AF648" s="181" t="str">
        <f>IFERROR(LOOKUP(2,1/((B_Drainage!$A$5:$A$204&lt;&gt;"")*(B_Drainage!$A$5:$A$204&lt;=$B648)*(B_Drainage!$B$5:$B$204&gt;$B648)*(B_Drainage!$M$5:$M$204&lt;&gt;"")),IF(UPPER(B_Drainage!$M$5:$M$204)="Y",1,"")),"")</f>
        <v/>
      </c>
      <c r="AG648" s="181" t="str">
        <f>IFERROR(LOOKUP(2,1/((B_Drainage!$A$5:$A$204&lt;&gt;"")*(B_Drainage!$A$5:$A$204&lt;=$B648)*(B_Drainage!$B$5:$B$204&gt;$B648)*(B_Drainage!$N$5:$N$204&lt;&gt;"")),IF(UPPER(B_Drainage!$N$5:$N$204)="Y",1,"")),"")</f>
        <v/>
      </c>
      <c r="AH648" s="181" t="str">
        <f t="shared" si="80"/>
        <v/>
      </c>
      <c r="AI648" s="181" t="str">
        <f t="shared" si="81"/>
        <v/>
      </c>
      <c r="AJ648" s="181" t="str">
        <f t="shared" si="82"/>
        <v/>
      </c>
      <c r="AK648" s="181" t="str">
        <f t="shared" si="83"/>
        <v/>
      </c>
      <c r="AL648" s="181" t="str">
        <f t="shared" si="84"/>
        <v/>
      </c>
      <c r="AM648" s="181" t="str">
        <f t="shared" si="85"/>
        <v/>
      </c>
      <c r="AN648" s="181" t="str">
        <f t="shared" si="86"/>
        <v/>
      </c>
      <c r="AO648" s="192" t="str">
        <f t="shared" si="87"/>
        <v/>
      </c>
      <c r="AQ648" t="str">
        <f>IFERROR(LOOKUP(2,1/((C_Pavement!$A$5:$A$204&lt;&gt;"")*(C_Pavement!$A$5:$A$204&lt;=$B648)*(C_Pavement!$B$5:$B$204&gt;$B648)*(C_Pavement!$C$5:$C$204&lt;&gt;"")),ROW(C_Pavement!$C$5:$C$204)-4),"")</f>
        <v/>
      </c>
      <c r="AR648" t="str">
        <f>IF($AQ648="","",UPPER(TRIM(INDEX(C_Pavement!$C$5:$C$204,$AQ648))))</f>
        <v/>
      </c>
      <c r="AS648" t="str">
        <f>IF($AR648="","",IFERROR(MATCH($AR648,E_Rules!$A$5:$A$9,0),""))</f>
        <v/>
      </c>
      <c r="AT648" t="str">
        <f>IF($AQ648="","",IF(INDEX(C_Pavement!$D$5:$D$204,$AQ648)&lt;&gt;"",UPPER(TRIM(INDEX(C_Pavement!$D$5:$D$204,$AQ648))),IF($AS648="","",INDEX(E_Rules!$C$5:$C$9,$AS648))))</f>
        <v/>
      </c>
      <c r="AU648" t="str">
        <f>IF($AQ648="","",IF(INDEX(C_Pavement!$E$5:$E$204,$AQ648)&lt;&gt;"",IF(INDEX(C_Pavement!$E$5:$E$204,$AQ648)="-","",INDEX(C_Pavement!$E$5:$E$204,$AQ648)),IF($AS648="","",INDEX(E_Rules!$D$5:$D$9,$AS648))))</f>
        <v/>
      </c>
      <c r="AV648" t="str">
        <f>IF($AQ648="","",IF(INDEX(C_Pavement!$F$5:$F$204,$AQ648)&lt;&gt;"",IF(INDEX(C_Pavement!$F$5:$F$204,$AQ648)="-","",INDEX(C_Pavement!$F$5:$F$204,$AQ648)),IF($AS648="","",INDEX(E_Rules!$E$5:$E$9,$AS648))))</f>
        <v/>
      </c>
      <c r="AW648" t="str">
        <f>IF($AQ648="","",IF(INDEX(C_Pavement!$G$5:$G$204,$AQ648)&lt;&gt;"",IF(INDEX(C_Pavement!$G$5:$G$204,$AQ648)="-","",INDEX(C_Pavement!$G$5:$G$204,$AQ648)),IF($AS648="","",INDEX(E_Rules!$F$5:$F$9,$AS648))))</f>
        <v/>
      </c>
      <c r="AX648" t="str">
        <f>IF($AQ648="","",IF(INDEX(C_Pavement!$H$5:$H$204,$AQ648)&lt;&gt;"",IF(INDEX(C_Pavement!$H$5:$H$204,$AQ648)="-","",INDEX(C_Pavement!$H$5:$H$204,$AQ648)),IF($AS648="","",INDEX(E_Rules!$G$5:$G$9,$AS648))))</f>
        <v/>
      </c>
      <c r="AY648" t="str">
        <f>IF($AQ648="","",IF(INDEX(C_Pavement!$I$5:$I$204,$AQ648)&lt;&gt;"",IF(INDEX(C_Pavement!$I$5:$I$204,$AQ648)="-","",INDEX(C_Pavement!$I$5:$I$204,$AQ648)),IF($AS648="","",INDEX(E_Rules!$H$5:$H$9,$AS648))))</f>
        <v/>
      </c>
    </row>
    <row r="649" spans="1:51" ht="15.75" customHeight="1" x14ac:dyDescent="0.3">
      <c r="A649" s="189">
        <v>644</v>
      </c>
      <c r="B649" s="180">
        <v>32150</v>
      </c>
      <c r="C649" s="180" t="s">
        <v>955</v>
      </c>
      <c r="D649" s="181" t="str">
        <f>IFERROR(LOOKUP(2,1/((A_Corridor!$A$5:$A$204&lt;&gt;"")*(A_Corridor!$A$5:$A$204&lt;=$B649)*(A_Corridor!$B$5:$B$204&gt;$B649)*(A_Corridor!$C$5:$C$204&lt;&gt;"")),IF(UPPER(A_Corridor!$C$5:$C$204)="Y",1,"")),"")</f>
        <v/>
      </c>
      <c r="E649" s="181" t="str">
        <f>IFERROR(LOOKUP(2,1/((A_Corridor!$A$5:$A$204&lt;&gt;"")*(A_Corridor!$A$5:$A$204&lt;=$B649)*(A_Corridor!$B$5:$B$204&gt;$B649)*(A_Corridor!$D$5:$D$204&lt;&gt;"")),IF(A_Corridor!$D$5:$D$204="-","",UPPER(A_Corridor!$D$5:$D$204))),"")</f>
        <v/>
      </c>
      <c r="F649" s="181" t="str">
        <f>IFERROR(LOOKUP(2,1/((A_Corridor!$A$5:$A$204&lt;&gt;"")*(A_Corridor!$A$5:$A$204&lt;=$B649)*(A_Corridor!$B$5:$B$204&gt;$B649)*(A_Corridor!$E$5:$E$204&lt;&gt;"")),IF(A_Corridor!$E$5:$E$204="-","",1)),"")</f>
        <v/>
      </c>
      <c r="G649" s="182" t="str">
        <f>IFERROR(LOOKUP(2,1/((A_Corridor!$A$5:$A$204&lt;&gt;"")*(A_Corridor!$A$5:$A$204&lt;=$B649)*(A_Corridor!$B$5:$B$204&gt;$B649)*(A_Corridor!$E$5:$E$204&lt;&gt;"")),IF(A_Corridor!$E$5:$E$204="-","",A_Corridor!$E$5:$E$204)),"")</f>
        <v/>
      </c>
      <c r="H649" s="182" t="str">
        <f>IFERROR(LOOKUP(2,1/((D_Points!$A$5:$A$204&lt;&gt;"")*(D_Points!$A$5:$A$204&gt;=$B649)*(D_Points!$A$5:$A$204&lt;$B649+P_Interval)*(UPPER(TRIM(D_Points!$B$5:$B$204))="GULLY")*(D_Points!$H$5:$H$204&lt;&gt;"")),D_Points!$H$5:$H$204),"")</f>
        <v/>
      </c>
      <c r="I649" s="181" t="str">
        <f>IFERROR(LOOKUP(2,1/((A_Corridor!$A$5:$A$204&lt;&gt;"")*(A_Corridor!$A$5:$A$204&lt;=$B649)*(A_Corridor!$B$5:$B$204&gt;$B649)*(A_Corridor!$F$5:$F$204&lt;&gt;"")),IF(A_Corridor!$F$5:$F$204="-","",1)),"")</f>
        <v/>
      </c>
      <c r="J649" s="182" t="str">
        <f>IFERROR(LOOKUP(2,1/((A_Corridor!$A$5:$A$204&lt;&gt;"")*(A_Corridor!$A$5:$A$204&lt;=$B649)*(A_Corridor!$B$5:$B$204&gt;$B649)*(A_Corridor!$F$5:$F$204&lt;&gt;"")),IF(A_Corridor!$F$5:$F$204="-","",A_Corridor!$F$5:$F$204)),"")</f>
        <v/>
      </c>
      <c r="K649" s="182" t="str">
        <f>IFERROR(LOOKUP(2,1/((A_Corridor!$A$5:$A$204&lt;&gt;"")*(A_Corridor!$A$5:$A$204&lt;=$B649)*(A_Corridor!$B$5:$B$204&gt;$B649)*(A_Corridor!$G$5:$G$204&lt;&gt;"")),IF(A_Corridor!$G$5:$G$204="-","",A_Corridor!$G$5:$G$204)),"")</f>
        <v/>
      </c>
      <c r="L649" s="181" t="str">
        <f>IFERROR(LOOKUP(2,1/((A_Corridor!$A$5:$A$204&lt;&gt;"")*(A_Corridor!$A$5:$A$204&lt;=$B649)*(A_Corridor!$B$5:$B$204&gt;$B649)*(A_Corridor!$H$5:$H$204&lt;&gt;"")),IF(A_Corridor!$H$5:$H$204="-","",1)),"")</f>
        <v/>
      </c>
      <c r="M649" s="182" t="str">
        <f>IFERROR(LOOKUP(2,1/((A_Corridor!$A$5:$A$204&lt;&gt;"")*(A_Corridor!$A$5:$A$204&lt;=$B649)*(A_Corridor!$B$5:$B$204&gt;$B649)*(A_Corridor!$H$5:$H$204&lt;&gt;"")),IF(A_Corridor!$H$5:$H$204="-","",A_Corridor!$H$5:$H$204)),"")</f>
        <v/>
      </c>
      <c r="N649" s="182" t="str">
        <f>IFERROR(LOOKUP(2,1/((A_Corridor!$A$5:$A$204&lt;&gt;"")*(A_Corridor!$A$5:$A$204&lt;=$B649)*(A_Corridor!$B$5:$B$204&gt;$B649)*(A_Corridor!$I$5:$I$204&lt;&gt;"")),IF(A_Corridor!$I$5:$I$204="-","",A_Corridor!$I$5:$I$204)),"")</f>
        <v/>
      </c>
      <c r="O649" s="182" t="str">
        <f>IFERROR(LOOKUP(2,1/((D_Points!$A$5:$A$204&lt;&gt;"")*(D_Points!$A$5:$A$204&gt;=$B649)*(D_Points!$A$5:$A$204&lt;$B649+P_Interval)*(UPPER(TRIM(D_Points!$B$5:$B$204))="PITCHING")*(D_Points!$H$5:$H$204&lt;&gt;"")),D_Points!$H$5:$H$204),"")</f>
        <v/>
      </c>
      <c r="P649" s="181" t="str">
        <f>IFERROR(LOOKUP(2,1/((B_Drainage!$A$5:$A$204&lt;&gt;"")*(B_Drainage!$A$5:$A$204&lt;=$B649)*(B_Drainage!$B$5:$B$204&gt;$B649)*(B_Drainage!$C$5:$C$204&lt;&gt;"")),IF(B_Drainage!$C$5:$C$204="-","",UPPER(B_Drainage!$C$5:$C$204))),"")</f>
        <v/>
      </c>
      <c r="Q649" s="181" t="str">
        <f>IFERROR(LOOKUP(2,1/((B_Drainage!$A$5:$A$204&lt;&gt;"")*(B_Drainage!$A$5:$A$204&lt;=$B649)*(B_Drainage!$B$5:$B$204&gt;$B649)*(B_Drainage!$D$5:$D$204&lt;&gt;"")),IF(B_Drainage!$D$5:$D$204="-","",UPPER(B_Drainage!$D$5:$D$204))),"")</f>
        <v/>
      </c>
      <c r="R649" s="182" t="str">
        <f>IFERROR(LOOKUP(2,1/((D_Points!$A$5:$A$204&lt;&gt;"")*(D_Points!$A$5:$A$204&gt;=$B649)*(D_Points!$A$5:$A$204&lt;$B649+P_Interval)*(RIGHT(UPPER(TRIM(D_Points!$B$5:$B$204)),8)="_CULVERT")),IF(LEFT(UPPER(TRIM(D_Points!$B$5:$B$204)),2)="EX",1,IF(LEFT(UPPER(TRIM(D_Points!$B$5:$B$204)),2)="PR",2,3))),"")</f>
        <v/>
      </c>
      <c r="S649" s="182" t="str">
        <f>IFERROR(LOOKUP(2,1/((D_Points!$A$5:$A$204&lt;&gt;"")*(D_Points!$A$5:$A$204&gt;=$B649)*(D_Points!$A$5:$A$204&lt;$B649+P_Interval)*(RIGHT(UPPER(TRIM(D_Points!$B$5:$B$204)),7)="_BRIDGE")),IF(LEFT(UPPER(TRIM(D_Points!$B$5:$B$204)),2)="EX",1,IF(LEFT(UPPER(TRIM(D_Points!$B$5:$B$204)),2)="PR",2,2))),"")</f>
        <v/>
      </c>
      <c r="T649" s="181" t="str">
        <f>IFERROR(LOOKUP(2,1/((B_Drainage!$A$5:$A$204&lt;&gt;"")*(B_Drainage!$A$5:$A$204&lt;=$B649)*(B_Drainage!$B$5:$B$204&gt;$B649)*(B_Drainage!$E$5:$E$204&lt;&gt;"")),IF(B_Drainage!$E$5:$E$204="-","",1)),"")</f>
        <v/>
      </c>
      <c r="U649" s="181" t="str">
        <f>IFERROR(LOOKUP(2,1/((B_Drainage!$A$5:$A$204&lt;&gt;"")*(B_Drainage!$A$5:$A$204&lt;=$B649)*(B_Drainage!$B$5:$B$204&gt;$B649)*(B_Drainage!$E$5:$E$204&lt;&gt;"")),IF(B_Drainage!$E$5:$E$204="-","",B_Drainage!$E$5:$E$204)),"")</f>
        <v/>
      </c>
      <c r="V649" s="181" t="str">
        <f>IFERROR(LOOKUP(2,1/((B_Drainage!$A$5:$A$204&lt;&gt;"")*(B_Drainage!$A$5:$A$204&lt;=$B649)*(B_Drainage!$B$5:$B$204&gt;$B649)*(B_Drainage!$F$5:$F$204&lt;&gt;"")),IF(B_Drainage!$F$5:$F$204="-","",1)),"")</f>
        <v/>
      </c>
      <c r="W649" s="181" t="str">
        <f>IFERROR(LOOKUP(2,1/((B_Drainage!$A$5:$A$204&lt;&gt;"")*(B_Drainage!$A$5:$A$204&lt;=$B649)*(B_Drainage!$B$5:$B$204&gt;$B649)*(B_Drainage!$F$5:$F$204&lt;&gt;"")),IF(B_Drainage!$F$5:$F$204="-","",B_Drainage!$F$5:$F$204)),"")</f>
        <v/>
      </c>
      <c r="X649" s="181" t="str">
        <f>IFERROR(LOOKUP(2,1/((B_Drainage!$A$5:$A$204&lt;&gt;"")*(B_Drainage!$A$5:$A$204&lt;=$B649)*(B_Drainage!$B$5:$B$204&gt;$B649)*(B_Drainage!$G$5:$G$204&lt;&gt;"")),IF(UPPER(B_Drainage!$G$5:$G$204)="Y",1,"")),"")</f>
        <v/>
      </c>
      <c r="Y649" s="181" t="str">
        <f>IFERROR(LOOKUP(2,1/((B_Drainage!$A$5:$A$204&lt;&gt;"")*(B_Drainage!$A$5:$A$204&lt;=$B649)*(B_Drainage!$B$5:$B$204&gt;$B649)*(B_Drainage!$H$5:$H$204&lt;&gt;"")),IF(UPPER(B_Drainage!$H$5:$H$204)="Y",1,"")),"")</f>
        <v/>
      </c>
      <c r="Z649" s="181" t="str">
        <f>IFERROR(LOOKUP(2,1/((B_Drainage!$A$5:$A$204&lt;&gt;"")*(B_Drainage!$A$5:$A$204&lt;=$B649)*(B_Drainage!$B$5:$B$204&gt;$B649)*(B_Drainage!$I$5:$I$204&lt;&gt;"")),IF(UPPER(B_Drainage!$I$5:$I$204)="Y",1,"")),"")</f>
        <v/>
      </c>
      <c r="AA649" s="181" t="str">
        <f>IFERROR(LOOKUP(2,1/((B_Drainage!$A$5:$A$204&lt;&gt;"")*(B_Drainage!$A$5:$A$204&lt;=$B649)*(B_Drainage!$B$5:$B$204&gt;$B649)*(B_Drainage!$J$5:$J$204&lt;&gt;"")),IF(UPPER(B_Drainage!$J$5:$J$204)="Y",1,"")),"")</f>
        <v/>
      </c>
      <c r="AB649" s="182" t="str">
        <f>IFERROR(LOOKUP(2,1/((B_Drainage!$A$5:$A$204&lt;&gt;"")*(B_Drainage!$A$5:$A$204&lt;=$B649)*(B_Drainage!$B$5:$B$204&gt;$B649)*(B_Drainage!$K$5:$K$204&lt;&gt;"")),IF(B_Drainage!$K$5:$K$204="-","",B_Drainage!$K$5:$K$204)),"")</f>
        <v/>
      </c>
      <c r="AC649" s="182" t="str">
        <f>IFERROR(LOOKUP(2,1/((B_Drainage!$A$5:$A$204&lt;&gt;"")*(B_Drainage!$A$5:$A$204&lt;=$B649)*(B_Drainage!$B$5:$B$204&gt;$B649)*(B_Drainage!$L$5:$L$204&lt;&gt;"")),IF(B_Drainage!$L$5:$L$204="-","",B_Drainage!$L$5:$L$204)),"")</f>
        <v/>
      </c>
      <c r="AD649" s="182" t="str">
        <f>IFERROR(LOOKUP(2,1/((D_Points!$A$5:$A$204&lt;&gt;"")*(D_Points!$A$5:$A$204&gt;=$B649)*(D_Points!$A$5:$A$204&lt;$B649+P_Interval)*(UPPER(TRIM(D_Points!$B$5:$B$204))="TURNOUT_L")*(D_Points!$H$5:$H$204&lt;&gt;"")),D_Points!$H$5:$H$204),"")</f>
        <v/>
      </c>
      <c r="AE649" s="182" t="str">
        <f>IFERROR(LOOKUP(2,1/((D_Points!$A$5:$A$204&lt;&gt;"")*(D_Points!$A$5:$A$204&gt;=$B649)*(D_Points!$A$5:$A$204&lt;$B649+P_Interval)*(UPPER(TRIM(D_Points!$B$5:$B$204))="TURNOUT_R")*(D_Points!$H$5:$H$204&lt;&gt;"")),D_Points!$H$5:$H$204),"")</f>
        <v/>
      </c>
      <c r="AF649" s="181" t="str">
        <f>IFERROR(LOOKUP(2,1/((B_Drainage!$A$5:$A$204&lt;&gt;"")*(B_Drainage!$A$5:$A$204&lt;=$B649)*(B_Drainage!$B$5:$B$204&gt;$B649)*(B_Drainage!$M$5:$M$204&lt;&gt;"")),IF(UPPER(B_Drainage!$M$5:$M$204)="Y",1,"")),"")</f>
        <v/>
      </c>
      <c r="AG649" s="181" t="str">
        <f>IFERROR(LOOKUP(2,1/((B_Drainage!$A$5:$A$204&lt;&gt;"")*(B_Drainage!$A$5:$A$204&lt;=$B649)*(B_Drainage!$B$5:$B$204&gt;$B649)*(B_Drainage!$N$5:$N$204&lt;&gt;"")),IF(UPPER(B_Drainage!$N$5:$N$204)="Y",1,"")),"")</f>
        <v/>
      </c>
      <c r="AH649" s="181" t="str">
        <f t="shared" si="80"/>
        <v/>
      </c>
      <c r="AI649" s="181" t="str">
        <f t="shared" si="81"/>
        <v/>
      </c>
      <c r="AJ649" s="181" t="str">
        <f t="shared" si="82"/>
        <v/>
      </c>
      <c r="AK649" s="181" t="str">
        <f t="shared" si="83"/>
        <v/>
      </c>
      <c r="AL649" s="181" t="str">
        <f t="shared" si="84"/>
        <v/>
      </c>
      <c r="AM649" s="181" t="str">
        <f t="shared" si="85"/>
        <v/>
      </c>
      <c r="AN649" s="181" t="str">
        <f t="shared" si="86"/>
        <v/>
      </c>
      <c r="AO649" s="192" t="str">
        <f t="shared" si="87"/>
        <v/>
      </c>
      <c r="AQ649" t="str">
        <f>IFERROR(LOOKUP(2,1/((C_Pavement!$A$5:$A$204&lt;&gt;"")*(C_Pavement!$A$5:$A$204&lt;=$B649)*(C_Pavement!$B$5:$B$204&gt;$B649)*(C_Pavement!$C$5:$C$204&lt;&gt;"")),ROW(C_Pavement!$C$5:$C$204)-4),"")</f>
        <v/>
      </c>
      <c r="AR649" t="str">
        <f>IF($AQ649="","",UPPER(TRIM(INDEX(C_Pavement!$C$5:$C$204,$AQ649))))</f>
        <v/>
      </c>
      <c r="AS649" t="str">
        <f>IF($AR649="","",IFERROR(MATCH($AR649,E_Rules!$A$5:$A$9,0),""))</f>
        <v/>
      </c>
      <c r="AT649" t="str">
        <f>IF($AQ649="","",IF(INDEX(C_Pavement!$D$5:$D$204,$AQ649)&lt;&gt;"",UPPER(TRIM(INDEX(C_Pavement!$D$5:$D$204,$AQ649))),IF($AS649="","",INDEX(E_Rules!$C$5:$C$9,$AS649))))</f>
        <v/>
      </c>
      <c r="AU649" t="str">
        <f>IF($AQ649="","",IF(INDEX(C_Pavement!$E$5:$E$204,$AQ649)&lt;&gt;"",IF(INDEX(C_Pavement!$E$5:$E$204,$AQ649)="-","",INDEX(C_Pavement!$E$5:$E$204,$AQ649)),IF($AS649="","",INDEX(E_Rules!$D$5:$D$9,$AS649))))</f>
        <v/>
      </c>
      <c r="AV649" t="str">
        <f>IF($AQ649="","",IF(INDEX(C_Pavement!$F$5:$F$204,$AQ649)&lt;&gt;"",IF(INDEX(C_Pavement!$F$5:$F$204,$AQ649)="-","",INDEX(C_Pavement!$F$5:$F$204,$AQ649)),IF($AS649="","",INDEX(E_Rules!$E$5:$E$9,$AS649))))</f>
        <v/>
      </c>
      <c r="AW649" t="str">
        <f>IF($AQ649="","",IF(INDEX(C_Pavement!$G$5:$G$204,$AQ649)&lt;&gt;"",IF(INDEX(C_Pavement!$G$5:$G$204,$AQ649)="-","",INDEX(C_Pavement!$G$5:$G$204,$AQ649)),IF($AS649="","",INDEX(E_Rules!$F$5:$F$9,$AS649))))</f>
        <v/>
      </c>
      <c r="AX649" t="str">
        <f>IF($AQ649="","",IF(INDEX(C_Pavement!$H$5:$H$204,$AQ649)&lt;&gt;"",IF(INDEX(C_Pavement!$H$5:$H$204,$AQ649)="-","",INDEX(C_Pavement!$H$5:$H$204,$AQ649)),IF($AS649="","",INDEX(E_Rules!$G$5:$G$9,$AS649))))</f>
        <v/>
      </c>
      <c r="AY649" t="str">
        <f>IF($AQ649="","",IF(INDEX(C_Pavement!$I$5:$I$204,$AQ649)&lt;&gt;"",IF(INDEX(C_Pavement!$I$5:$I$204,$AQ649)="-","",INDEX(C_Pavement!$I$5:$I$204,$AQ649)),IF($AS649="","",INDEX(E_Rules!$H$5:$H$9,$AS649))))</f>
        <v/>
      </c>
    </row>
    <row r="650" spans="1:51" ht="15.75" customHeight="1" x14ac:dyDescent="0.3">
      <c r="A650" s="189">
        <v>645</v>
      </c>
      <c r="B650" s="180">
        <v>32200</v>
      </c>
      <c r="C650" s="180" t="s">
        <v>956</v>
      </c>
      <c r="D650" s="181" t="str">
        <f>IFERROR(LOOKUP(2,1/((A_Corridor!$A$5:$A$204&lt;&gt;"")*(A_Corridor!$A$5:$A$204&lt;=$B650)*(A_Corridor!$B$5:$B$204&gt;$B650)*(A_Corridor!$C$5:$C$204&lt;&gt;"")),IF(UPPER(A_Corridor!$C$5:$C$204)="Y",1,"")),"")</f>
        <v/>
      </c>
      <c r="E650" s="181" t="str">
        <f>IFERROR(LOOKUP(2,1/((A_Corridor!$A$5:$A$204&lt;&gt;"")*(A_Corridor!$A$5:$A$204&lt;=$B650)*(A_Corridor!$B$5:$B$204&gt;$B650)*(A_Corridor!$D$5:$D$204&lt;&gt;"")),IF(A_Corridor!$D$5:$D$204="-","",UPPER(A_Corridor!$D$5:$D$204))),"")</f>
        <v/>
      </c>
      <c r="F650" s="181" t="str">
        <f>IFERROR(LOOKUP(2,1/((A_Corridor!$A$5:$A$204&lt;&gt;"")*(A_Corridor!$A$5:$A$204&lt;=$B650)*(A_Corridor!$B$5:$B$204&gt;$B650)*(A_Corridor!$E$5:$E$204&lt;&gt;"")),IF(A_Corridor!$E$5:$E$204="-","",1)),"")</f>
        <v/>
      </c>
      <c r="G650" s="182" t="str">
        <f>IFERROR(LOOKUP(2,1/((A_Corridor!$A$5:$A$204&lt;&gt;"")*(A_Corridor!$A$5:$A$204&lt;=$B650)*(A_Corridor!$B$5:$B$204&gt;$B650)*(A_Corridor!$E$5:$E$204&lt;&gt;"")),IF(A_Corridor!$E$5:$E$204="-","",A_Corridor!$E$5:$E$204)),"")</f>
        <v/>
      </c>
      <c r="H650" s="182" t="str">
        <f>IFERROR(LOOKUP(2,1/((D_Points!$A$5:$A$204&lt;&gt;"")*(D_Points!$A$5:$A$204&gt;=$B650)*(D_Points!$A$5:$A$204&lt;$B650+P_Interval)*(UPPER(TRIM(D_Points!$B$5:$B$204))="GULLY")*(D_Points!$H$5:$H$204&lt;&gt;"")),D_Points!$H$5:$H$204),"")</f>
        <v/>
      </c>
      <c r="I650" s="181" t="str">
        <f>IFERROR(LOOKUP(2,1/((A_Corridor!$A$5:$A$204&lt;&gt;"")*(A_Corridor!$A$5:$A$204&lt;=$B650)*(A_Corridor!$B$5:$B$204&gt;$B650)*(A_Corridor!$F$5:$F$204&lt;&gt;"")),IF(A_Corridor!$F$5:$F$204="-","",1)),"")</f>
        <v/>
      </c>
      <c r="J650" s="182" t="str">
        <f>IFERROR(LOOKUP(2,1/((A_Corridor!$A$5:$A$204&lt;&gt;"")*(A_Corridor!$A$5:$A$204&lt;=$B650)*(A_Corridor!$B$5:$B$204&gt;$B650)*(A_Corridor!$F$5:$F$204&lt;&gt;"")),IF(A_Corridor!$F$5:$F$204="-","",A_Corridor!$F$5:$F$204)),"")</f>
        <v/>
      </c>
      <c r="K650" s="182" t="str">
        <f>IFERROR(LOOKUP(2,1/((A_Corridor!$A$5:$A$204&lt;&gt;"")*(A_Corridor!$A$5:$A$204&lt;=$B650)*(A_Corridor!$B$5:$B$204&gt;$B650)*(A_Corridor!$G$5:$G$204&lt;&gt;"")),IF(A_Corridor!$G$5:$G$204="-","",A_Corridor!$G$5:$G$204)),"")</f>
        <v/>
      </c>
      <c r="L650" s="181" t="str">
        <f>IFERROR(LOOKUP(2,1/((A_Corridor!$A$5:$A$204&lt;&gt;"")*(A_Corridor!$A$5:$A$204&lt;=$B650)*(A_Corridor!$B$5:$B$204&gt;$B650)*(A_Corridor!$H$5:$H$204&lt;&gt;"")),IF(A_Corridor!$H$5:$H$204="-","",1)),"")</f>
        <v/>
      </c>
      <c r="M650" s="182" t="str">
        <f>IFERROR(LOOKUP(2,1/((A_Corridor!$A$5:$A$204&lt;&gt;"")*(A_Corridor!$A$5:$A$204&lt;=$B650)*(A_Corridor!$B$5:$B$204&gt;$B650)*(A_Corridor!$H$5:$H$204&lt;&gt;"")),IF(A_Corridor!$H$5:$H$204="-","",A_Corridor!$H$5:$H$204)),"")</f>
        <v/>
      </c>
      <c r="N650" s="182" t="str">
        <f>IFERROR(LOOKUP(2,1/((A_Corridor!$A$5:$A$204&lt;&gt;"")*(A_Corridor!$A$5:$A$204&lt;=$B650)*(A_Corridor!$B$5:$B$204&gt;$B650)*(A_Corridor!$I$5:$I$204&lt;&gt;"")),IF(A_Corridor!$I$5:$I$204="-","",A_Corridor!$I$5:$I$204)),"")</f>
        <v/>
      </c>
      <c r="O650" s="182" t="str">
        <f>IFERROR(LOOKUP(2,1/((D_Points!$A$5:$A$204&lt;&gt;"")*(D_Points!$A$5:$A$204&gt;=$B650)*(D_Points!$A$5:$A$204&lt;$B650+P_Interval)*(UPPER(TRIM(D_Points!$B$5:$B$204))="PITCHING")*(D_Points!$H$5:$H$204&lt;&gt;"")),D_Points!$H$5:$H$204),"")</f>
        <v/>
      </c>
      <c r="P650" s="181" t="str">
        <f>IFERROR(LOOKUP(2,1/((B_Drainage!$A$5:$A$204&lt;&gt;"")*(B_Drainage!$A$5:$A$204&lt;=$B650)*(B_Drainage!$B$5:$B$204&gt;$B650)*(B_Drainage!$C$5:$C$204&lt;&gt;"")),IF(B_Drainage!$C$5:$C$204="-","",UPPER(B_Drainage!$C$5:$C$204))),"")</f>
        <v/>
      </c>
      <c r="Q650" s="181" t="str">
        <f>IFERROR(LOOKUP(2,1/((B_Drainage!$A$5:$A$204&lt;&gt;"")*(B_Drainage!$A$5:$A$204&lt;=$B650)*(B_Drainage!$B$5:$B$204&gt;$B650)*(B_Drainage!$D$5:$D$204&lt;&gt;"")),IF(B_Drainage!$D$5:$D$204="-","",UPPER(B_Drainage!$D$5:$D$204))),"")</f>
        <v/>
      </c>
      <c r="R650" s="182" t="str">
        <f>IFERROR(LOOKUP(2,1/((D_Points!$A$5:$A$204&lt;&gt;"")*(D_Points!$A$5:$A$204&gt;=$B650)*(D_Points!$A$5:$A$204&lt;$B650+P_Interval)*(RIGHT(UPPER(TRIM(D_Points!$B$5:$B$204)),8)="_CULVERT")),IF(LEFT(UPPER(TRIM(D_Points!$B$5:$B$204)),2)="EX",1,IF(LEFT(UPPER(TRIM(D_Points!$B$5:$B$204)),2)="PR",2,3))),"")</f>
        <v/>
      </c>
      <c r="S650" s="182" t="str">
        <f>IFERROR(LOOKUP(2,1/((D_Points!$A$5:$A$204&lt;&gt;"")*(D_Points!$A$5:$A$204&gt;=$B650)*(D_Points!$A$5:$A$204&lt;$B650+P_Interval)*(RIGHT(UPPER(TRIM(D_Points!$B$5:$B$204)),7)="_BRIDGE")),IF(LEFT(UPPER(TRIM(D_Points!$B$5:$B$204)),2)="EX",1,IF(LEFT(UPPER(TRIM(D_Points!$B$5:$B$204)),2)="PR",2,2))),"")</f>
        <v/>
      </c>
      <c r="T650" s="181" t="str">
        <f>IFERROR(LOOKUP(2,1/((B_Drainage!$A$5:$A$204&lt;&gt;"")*(B_Drainage!$A$5:$A$204&lt;=$B650)*(B_Drainage!$B$5:$B$204&gt;$B650)*(B_Drainage!$E$5:$E$204&lt;&gt;"")),IF(B_Drainage!$E$5:$E$204="-","",1)),"")</f>
        <v/>
      </c>
      <c r="U650" s="181" t="str">
        <f>IFERROR(LOOKUP(2,1/((B_Drainage!$A$5:$A$204&lt;&gt;"")*(B_Drainage!$A$5:$A$204&lt;=$B650)*(B_Drainage!$B$5:$B$204&gt;$B650)*(B_Drainage!$E$5:$E$204&lt;&gt;"")),IF(B_Drainage!$E$5:$E$204="-","",B_Drainage!$E$5:$E$204)),"")</f>
        <v/>
      </c>
      <c r="V650" s="181" t="str">
        <f>IFERROR(LOOKUP(2,1/((B_Drainage!$A$5:$A$204&lt;&gt;"")*(B_Drainage!$A$5:$A$204&lt;=$B650)*(B_Drainage!$B$5:$B$204&gt;$B650)*(B_Drainage!$F$5:$F$204&lt;&gt;"")),IF(B_Drainage!$F$5:$F$204="-","",1)),"")</f>
        <v/>
      </c>
      <c r="W650" s="181" t="str">
        <f>IFERROR(LOOKUP(2,1/((B_Drainage!$A$5:$A$204&lt;&gt;"")*(B_Drainage!$A$5:$A$204&lt;=$B650)*(B_Drainage!$B$5:$B$204&gt;$B650)*(B_Drainage!$F$5:$F$204&lt;&gt;"")),IF(B_Drainage!$F$5:$F$204="-","",B_Drainage!$F$5:$F$204)),"")</f>
        <v/>
      </c>
      <c r="X650" s="181" t="str">
        <f>IFERROR(LOOKUP(2,1/((B_Drainage!$A$5:$A$204&lt;&gt;"")*(B_Drainage!$A$5:$A$204&lt;=$B650)*(B_Drainage!$B$5:$B$204&gt;$B650)*(B_Drainage!$G$5:$G$204&lt;&gt;"")),IF(UPPER(B_Drainage!$G$5:$G$204)="Y",1,"")),"")</f>
        <v/>
      </c>
      <c r="Y650" s="181" t="str">
        <f>IFERROR(LOOKUP(2,1/((B_Drainage!$A$5:$A$204&lt;&gt;"")*(B_Drainage!$A$5:$A$204&lt;=$B650)*(B_Drainage!$B$5:$B$204&gt;$B650)*(B_Drainage!$H$5:$H$204&lt;&gt;"")),IF(UPPER(B_Drainage!$H$5:$H$204)="Y",1,"")),"")</f>
        <v/>
      </c>
      <c r="Z650" s="181" t="str">
        <f>IFERROR(LOOKUP(2,1/((B_Drainage!$A$5:$A$204&lt;&gt;"")*(B_Drainage!$A$5:$A$204&lt;=$B650)*(B_Drainage!$B$5:$B$204&gt;$B650)*(B_Drainage!$I$5:$I$204&lt;&gt;"")),IF(UPPER(B_Drainage!$I$5:$I$204)="Y",1,"")),"")</f>
        <v/>
      </c>
      <c r="AA650" s="181" t="str">
        <f>IFERROR(LOOKUP(2,1/((B_Drainage!$A$5:$A$204&lt;&gt;"")*(B_Drainage!$A$5:$A$204&lt;=$B650)*(B_Drainage!$B$5:$B$204&gt;$B650)*(B_Drainage!$J$5:$J$204&lt;&gt;"")),IF(UPPER(B_Drainage!$J$5:$J$204)="Y",1,"")),"")</f>
        <v/>
      </c>
      <c r="AB650" s="182" t="str">
        <f>IFERROR(LOOKUP(2,1/((B_Drainage!$A$5:$A$204&lt;&gt;"")*(B_Drainage!$A$5:$A$204&lt;=$B650)*(B_Drainage!$B$5:$B$204&gt;$B650)*(B_Drainage!$K$5:$K$204&lt;&gt;"")),IF(B_Drainage!$K$5:$K$204="-","",B_Drainage!$K$5:$K$204)),"")</f>
        <v/>
      </c>
      <c r="AC650" s="182" t="str">
        <f>IFERROR(LOOKUP(2,1/((B_Drainage!$A$5:$A$204&lt;&gt;"")*(B_Drainage!$A$5:$A$204&lt;=$B650)*(B_Drainage!$B$5:$B$204&gt;$B650)*(B_Drainage!$L$5:$L$204&lt;&gt;"")),IF(B_Drainage!$L$5:$L$204="-","",B_Drainage!$L$5:$L$204)),"")</f>
        <v/>
      </c>
      <c r="AD650" s="182" t="str">
        <f>IFERROR(LOOKUP(2,1/((D_Points!$A$5:$A$204&lt;&gt;"")*(D_Points!$A$5:$A$204&gt;=$B650)*(D_Points!$A$5:$A$204&lt;$B650+P_Interval)*(UPPER(TRIM(D_Points!$B$5:$B$204))="TURNOUT_L")*(D_Points!$H$5:$H$204&lt;&gt;"")),D_Points!$H$5:$H$204),"")</f>
        <v/>
      </c>
      <c r="AE650" s="182" t="str">
        <f>IFERROR(LOOKUP(2,1/((D_Points!$A$5:$A$204&lt;&gt;"")*(D_Points!$A$5:$A$204&gt;=$B650)*(D_Points!$A$5:$A$204&lt;$B650+P_Interval)*(UPPER(TRIM(D_Points!$B$5:$B$204))="TURNOUT_R")*(D_Points!$H$5:$H$204&lt;&gt;"")),D_Points!$H$5:$H$204),"")</f>
        <v/>
      </c>
      <c r="AF650" s="181" t="str">
        <f>IFERROR(LOOKUP(2,1/((B_Drainage!$A$5:$A$204&lt;&gt;"")*(B_Drainage!$A$5:$A$204&lt;=$B650)*(B_Drainage!$B$5:$B$204&gt;$B650)*(B_Drainage!$M$5:$M$204&lt;&gt;"")),IF(UPPER(B_Drainage!$M$5:$M$204)="Y",1,"")),"")</f>
        <v/>
      </c>
      <c r="AG650" s="181" t="str">
        <f>IFERROR(LOOKUP(2,1/((B_Drainage!$A$5:$A$204&lt;&gt;"")*(B_Drainage!$A$5:$A$204&lt;=$B650)*(B_Drainage!$B$5:$B$204&gt;$B650)*(B_Drainage!$N$5:$N$204&lt;&gt;"")),IF(UPPER(B_Drainage!$N$5:$N$204)="Y",1,"")),"")</f>
        <v/>
      </c>
      <c r="AH650" s="181" t="str">
        <f t="shared" si="80"/>
        <v/>
      </c>
      <c r="AI650" s="181" t="str">
        <f t="shared" si="81"/>
        <v/>
      </c>
      <c r="AJ650" s="181" t="str">
        <f t="shared" si="82"/>
        <v/>
      </c>
      <c r="AK650" s="181" t="str">
        <f t="shared" si="83"/>
        <v/>
      </c>
      <c r="AL650" s="181" t="str">
        <f t="shared" si="84"/>
        <v/>
      </c>
      <c r="AM650" s="181" t="str">
        <f t="shared" si="85"/>
        <v/>
      </c>
      <c r="AN650" s="181" t="str">
        <f t="shared" si="86"/>
        <v/>
      </c>
      <c r="AO650" s="192" t="str">
        <f t="shared" si="87"/>
        <v/>
      </c>
      <c r="AQ650" t="str">
        <f>IFERROR(LOOKUP(2,1/((C_Pavement!$A$5:$A$204&lt;&gt;"")*(C_Pavement!$A$5:$A$204&lt;=$B650)*(C_Pavement!$B$5:$B$204&gt;$B650)*(C_Pavement!$C$5:$C$204&lt;&gt;"")),ROW(C_Pavement!$C$5:$C$204)-4),"")</f>
        <v/>
      </c>
      <c r="AR650" t="str">
        <f>IF($AQ650="","",UPPER(TRIM(INDEX(C_Pavement!$C$5:$C$204,$AQ650))))</f>
        <v/>
      </c>
      <c r="AS650" t="str">
        <f>IF($AR650="","",IFERROR(MATCH($AR650,E_Rules!$A$5:$A$9,0),""))</f>
        <v/>
      </c>
      <c r="AT650" t="str">
        <f>IF($AQ650="","",IF(INDEX(C_Pavement!$D$5:$D$204,$AQ650)&lt;&gt;"",UPPER(TRIM(INDEX(C_Pavement!$D$5:$D$204,$AQ650))),IF($AS650="","",INDEX(E_Rules!$C$5:$C$9,$AS650))))</f>
        <v/>
      </c>
      <c r="AU650" t="str">
        <f>IF($AQ650="","",IF(INDEX(C_Pavement!$E$5:$E$204,$AQ650)&lt;&gt;"",IF(INDEX(C_Pavement!$E$5:$E$204,$AQ650)="-","",INDEX(C_Pavement!$E$5:$E$204,$AQ650)),IF($AS650="","",INDEX(E_Rules!$D$5:$D$9,$AS650))))</f>
        <v/>
      </c>
      <c r="AV650" t="str">
        <f>IF($AQ650="","",IF(INDEX(C_Pavement!$F$5:$F$204,$AQ650)&lt;&gt;"",IF(INDEX(C_Pavement!$F$5:$F$204,$AQ650)="-","",INDEX(C_Pavement!$F$5:$F$204,$AQ650)),IF($AS650="","",INDEX(E_Rules!$E$5:$E$9,$AS650))))</f>
        <v/>
      </c>
      <c r="AW650" t="str">
        <f>IF($AQ650="","",IF(INDEX(C_Pavement!$G$5:$G$204,$AQ650)&lt;&gt;"",IF(INDEX(C_Pavement!$G$5:$G$204,$AQ650)="-","",INDEX(C_Pavement!$G$5:$G$204,$AQ650)),IF($AS650="","",INDEX(E_Rules!$F$5:$F$9,$AS650))))</f>
        <v/>
      </c>
      <c r="AX650" t="str">
        <f>IF($AQ650="","",IF(INDEX(C_Pavement!$H$5:$H$204,$AQ650)&lt;&gt;"",IF(INDEX(C_Pavement!$H$5:$H$204,$AQ650)="-","",INDEX(C_Pavement!$H$5:$H$204,$AQ650)),IF($AS650="","",INDEX(E_Rules!$G$5:$G$9,$AS650))))</f>
        <v/>
      </c>
      <c r="AY650" t="str">
        <f>IF($AQ650="","",IF(INDEX(C_Pavement!$I$5:$I$204,$AQ650)&lt;&gt;"",IF(INDEX(C_Pavement!$I$5:$I$204,$AQ650)="-","",INDEX(C_Pavement!$I$5:$I$204,$AQ650)),IF($AS650="","",INDEX(E_Rules!$H$5:$H$9,$AS650))))</f>
        <v/>
      </c>
    </row>
    <row r="651" spans="1:51" ht="15.75" customHeight="1" x14ac:dyDescent="0.3">
      <c r="A651" s="189">
        <v>646</v>
      </c>
      <c r="B651" s="180">
        <v>32250</v>
      </c>
      <c r="C651" s="180" t="s">
        <v>957</v>
      </c>
      <c r="D651" s="181" t="str">
        <f>IFERROR(LOOKUP(2,1/((A_Corridor!$A$5:$A$204&lt;&gt;"")*(A_Corridor!$A$5:$A$204&lt;=$B651)*(A_Corridor!$B$5:$B$204&gt;$B651)*(A_Corridor!$C$5:$C$204&lt;&gt;"")),IF(UPPER(A_Corridor!$C$5:$C$204)="Y",1,"")),"")</f>
        <v/>
      </c>
      <c r="E651" s="181" t="str">
        <f>IFERROR(LOOKUP(2,1/((A_Corridor!$A$5:$A$204&lt;&gt;"")*(A_Corridor!$A$5:$A$204&lt;=$B651)*(A_Corridor!$B$5:$B$204&gt;$B651)*(A_Corridor!$D$5:$D$204&lt;&gt;"")),IF(A_Corridor!$D$5:$D$204="-","",UPPER(A_Corridor!$D$5:$D$204))),"")</f>
        <v/>
      </c>
      <c r="F651" s="181" t="str">
        <f>IFERROR(LOOKUP(2,1/((A_Corridor!$A$5:$A$204&lt;&gt;"")*(A_Corridor!$A$5:$A$204&lt;=$B651)*(A_Corridor!$B$5:$B$204&gt;$B651)*(A_Corridor!$E$5:$E$204&lt;&gt;"")),IF(A_Corridor!$E$5:$E$204="-","",1)),"")</f>
        <v/>
      </c>
      <c r="G651" s="182" t="str">
        <f>IFERROR(LOOKUP(2,1/((A_Corridor!$A$5:$A$204&lt;&gt;"")*(A_Corridor!$A$5:$A$204&lt;=$B651)*(A_Corridor!$B$5:$B$204&gt;$B651)*(A_Corridor!$E$5:$E$204&lt;&gt;"")),IF(A_Corridor!$E$5:$E$204="-","",A_Corridor!$E$5:$E$204)),"")</f>
        <v/>
      </c>
      <c r="H651" s="182" t="str">
        <f>IFERROR(LOOKUP(2,1/((D_Points!$A$5:$A$204&lt;&gt;"")*(D_Points!$A$5:$A$204&gt;=$B651)*(D_Points!$A$5:$A$204&lt;$B651+P_Interval)*(UPPER(TRIM(D_Points!$B$5:$B$204))="GULLY")*(D_Points!$H$5:$H$204&lt;&gt;"")),D_Points!$H$5:$H$204),"")</f>
        <v/>
      </c>
      <c r="I651" s="181" t="str">
        <f>IFERROR(LOOKUP(2,1/((A_Corridor!$A$5:$A$204&lt;&gt;"")*(A_Corridor!$A$5:$A$204&lt;=$B651)*(A_Corridor!$B$5:$B$204&gt;$B651)*(A_Corridor!$F$5:$F$204&lt;&gt;"")),IF(A_Corridor!$F$5:$F$204="-","",1)),"")</f>
        <v/>
      </c>
      <c r="J651" s="182" t="str">
        <f>IFERROR(LOOKUP(2,1/((A_Corridor!$A$5:$A$204&lt;&gt;"")*(A_Corridor!$A$5:$A$204&lt;=$B651)*(A_Corridor!$B$5:$B$204&gt;$B651)*(A_Corridor!$F$5:$F$204&lt;&gt;"")),IF(A_Corridor!$F$5:$F$204="-","",A_Corridor!$F$5:$F$204)),"")</f>
        <v/>
      </c>
      <c r="K651" s="182" t="str">
        <f>IFERROR(LOOKUP(2,1/((A_Corridor!$A$5:$A$204&lt;&gt;"")*(A_Corridor!$A$5:$A$204&lt;=$B651)*(A_Corridor!$B$5:$B$204&gt;$B651)*(A_Corridor!$G$5:$G$204&lt;&gt;"")),IF(A_Corridor!$G$5:$G$204="-","",A_Corridor!$G$5:$G$204)),"")</f>
        <v/>
      </c>
      <c r="L651" s="181" t="str">
        <f>IFERROR(LOOKUP(2,1/((A_Corridor!$A$5:$A$204&lt;&gt;"")*(A_Corridor!$A$5:$A$204&lt;=$B651)*(A_Corridor!$B$5:$B$204&gt;$B651)*(A_Corridor!$H$5:$H$204&lt;&gt;"")),IF(A_Corridor!$H$5:$H$204="-","",1)),"")</f>
        <v/>
      </c>
      <c r="M651" s="182" t="str">
        <f>IFERROR(LOOKUP(2,1/((A_Corridor!$A$5:$A$204&lt;&gt;"")*(A_Corridor!$A$5:$A$204&lt;=$B651)*(A_Corridor!$B$5:$B$204&gt;$B651)*(A_Corridor!$H$5:$H$204&lt;&gt;"")),IF(A_Corridor!$H$5:$H$204="-","",A_Corridor!$H$5:$H$204)),"")</f>
        <v/>
      </c>
      <c r="N651" s="182" t="str">
        <f>IFERROR(LOOKUP(2,1/((A_Corridor!$A$5:$A$204&lt;&gt;"")*(A_Corridor!$A$5:$A$204&lt;=$B651)*(A_Corridor!$B$5:$B$204&gt;$B651)*(A_Corridor!$I$5:$I$204&lt;&gt;"")),IF(A_Corridor!$I$5:$I$204="-","",A_Corridor!$I$5:$I$204)),"")</f>
        <v/>
      </c>
      <c r="O651" s="182" t="str">
        <f>IFERROR(LOOKUP(2,1/((D_Points!$A$5:$A$204&lt;&gt;"")*(D_Points!$A$5:$A$204&gt;=$B651)*(D_Points!$A$5:$A$204&lt;$B651+P_Interval)*(UPPER(TRIM(D_Points!$B$5:$B$204))="PITCHING")*(D_Points!$H$5:$H$204&lt;&gt;"")),D_Points!$H$5:$H$204),"")</f>
        <v/>
      </c>
      <c r="P651" s="181" t="str">
        <f>IFERROR(LOOKUP(2,1/((B_Drainage!$A$5:$A$204&lt;&gt;"")*(B_Drainage!$A$5:$A$204&lt;=$B651)*(B_Drainage!$B$5:$B$204&gt;$B651)*(B_Drainage!$C$5:$C$204&lt;&gt;"")),IF(B_Drainage!$C$5:$C$204="-","",UPPER(B_Drainage!$C$5:$C$204))),"")</f>
        <v/>
      </c>
      <c r="Q651" s="181" t="str">
        <f>IFERROR(LOOKUP(2,1/((B_Drainage!$A$5:$A$204&lt;&gt;"")*(B_Drainage!$A$5:$A$204&lt;=$B651)*(B_Drainage!$B$5:$B$204&gt;$B651)*(B_Drainage!$D$5:$D$204&lt;&gt;"")),IF(B_Drainage!$D$5:$D$204="-","",UPPER(B_Drainage!$D$5:$D$204))),"")</f>
        <v/>
      </c>
      <c r="R651" s="182" t="str">
        <f>IFERROR(LOOKUP(2,1/((D_Points!$A$5:$A$204&lt;&gt;"")*(D_Points!$A$5:$A$204&gt;=$B651)*(D_Points!$A$5:$A$204&lt;$B651+P_Interval)*(RIGHT(UPPER(TRIM(D_Points!$B$5:$B$204)),8)="_CULVERT")),IF(LEFT(UPPER(TRIM(D_Points!$B$5:$B$204)),2)="EX",1,IF(LEFT(UPPER(TRIM(D_Points!$B$5:$B$204)),2)="PR",2,3))),"")</f>
        <v/>
      </c>
      <c r="S651" s="182" t="str">
        <f>IFERROR(LOOKUP(2,1/((D_Points!$A$5:$A$204&lt;&gt;"")*(D_Points!$A$5:$A$204&gt;=$B651)*(D_Points!$A$5:$A$204&lt;$B651+P_Interval)*(RIGHT(UPPER(TRIM(D_Points!$B$5:$B$204)),7)="_BRIDGE")),IF(LEFT(UPPER(TRIM(D_Points!$B$5:$B$204)),2)="EX",1,IF(LEFT(UPPER(TRIM(D_Points!$B$5:$B$204)),2)="PR",2,2))),"")</f>
        <v/>
      </c>
      <c r="T651" s="181" t="str">
        <f>IFERROR(LOOKUP(2,1/((B_Drainage!$A$5:$A$204&lt;&gt;"")*(B_Drainage!$A$5:$A$204&lt;=$B651)*(B_Drainage!$B$5:$B$204&gt;$B651)*(B_Drainage!$E$5:$E$204&lt;&gt;"")),IF(B_Drainage!$E$5:$E$204="-","",1)),"")</f>
        <v/>
      </c>
      <c r="U651" s="181" t="str">
        <f>IFERROR(LOOKUP(2,1/((B_Drainage!$A$5:$A$204&lt;&gt;"")*(B_Drainage!$A$5:$A$204&lt;=$B651)*(B_Drainage!$B$5:$B$204&gt;$B651)*(B_Drainage!$E$5:$E$204&lt;&gt;"")),IF(B_Drainage!$E$5:$E$204="-","",B_Drainage!$E$5:$E$204)),"")</f>
        <v/>
      </c>
      <c r="V651" s="181" t="str">
        <f>IFERROR(LOOKUP(2,1/((B_Drainage!$A$5:$A$204&lt;&gt;"")*(B_Drainage!$A$5:$A$204&lt;=$B651)*(B_Drainage!$B$5:$B$204&gt;$B651)*(B_Drainage!$F$5:$F$204&lt;&gt;"")),IF(B_Drainage!$F$5:$F$204="-","",1)),"")</f>
        <v/>
      </c>
      <c r="W651" s="181" t="str">
        <f>IFERROR(LOOKUP(2,1/((B_Drainage!$A$5:$A$204&lt;&gt;"")*(B_Drainage!$A$5:$A$204&lt;=$B651)*(B_Drainage!$B$5:$B$204&gt;$B651)*(B_Drainage!$F$5:$F$204&lt;&gt;"")),IF(B_Drainage!$F$5:$F$204="-","",B_Drainage!$F$5:$F$204)),"")</f>
        <v/>
      </c>
      <c r="X651" s="181" t="str">
        <f>IFERROR(LOOKUP(2,1/((B_Drainage!$A$5:$A$204&lt;&gt;"")*(B_Drainage!$A$5:$A$204&lt;=$B651)*(B_Drainage!$B$5:$B$204&gt;$B651)*(B_Drainage!$G$5:$G$204&lt;&gt;"")),IF(UPPER(B_Drainage!$G$5:$G$204)="Y",1,"")),"")</f>
        <v/>
      </c>
      <c r="Y651" s="181" t="str">
        <f>IFERROR(LOOKUP(2,1/((B_Drainage!$A$5:$A$204&lt;&gt;"")*(B_Drainage!$A$5:$A$204&lt;=$B651)*(B_Drainage!$B$5:$B$204&gt;$B651)*(B_Drainage!$H$5:$H$204&lt;&gt;"")),IF(UPPER(B_Drainage!$H$5:$H$204)="Y",1,"")),"")</f>
        <v/>
      </c>
      <c r="Z651" s="181" t="str">
        <f>IFERROR(LOOKUP(2,1/((B_Drainage!$A$5:$A$204&lt;&gt;"")*(B_Drainage!$A$5:$A$204&lt;=$B651)*(B_Drainage!$B$5:$B$204&gt;$B651)*(B_Drainage!$I$5:$I$204&lt;&gt;"")),IF(UPPER(B_Drainage!$I$5:$I$204)="Y",1,"")),"")</f>
        <v/>
      </c>
      <c r="AA651" s="181" t="str">
        <f>IFERROR(LOOKUP(2,1/((B_Drainage!$A$5:$A$204&lt;&gt;"")*(B_Drainage!$A$5:$A$204&lt;=$B651)*(B_Drainage!$B$5:$B$204&gt;$B651)*(B_Drainage!$J$5:$J$204&lt;&gt;"")),IF(UPPER(B_Drainage!$J$5:$J$204)="Y",1,"")),"")</f>
        <v/>
      </c>
      <c r="AB651" s="182" t="str">
        <f>IFERROR(LOOKUP(2,1/((B_Drainage!$A$5:$A$204&lt;&gt;"")*(B_Drainage!$A$5:$A$204&lt;=$B651)*(B_Drainage!$B$5:$B$204&gt;$B651)*(B_Drainage!$K$5:$K$204&lt;&gt;"")),IF(B_Drainage!$K$5:$K$204="-","",B_Drainage!$K$5:$K$204)),"")</f>
        <v/>
      </c>
      <c r="AC651" s="182" t="str">
        <f>IFERROR(LOOKUP(2,1/((B_Drainage!$A$5:$A$204&lt;&gt;"")*(B_Drainage!$A$5:$A$204&lt;=$B651)*(B_Drainage!$B$5:$B$204&gt;$B651)*(B_Drainage!$L$5:$L$204&lt;&gt;"")),IF(B_Drainage!$L$5:$L$204="-","",B_Drainage!$L$5:$L$204)),"")</f>
        <v/>
      </c>
      <c r="AD651" s="182" t="str">
        <f>IFERROR(LOOKUP(2,1/((D_Points!$A$5:$A$204&lt;&gt;"")*(D_Points!$A$5:$A$204&gt;=$B651)*(D_Points!$A$5:$A$204&lt;$B651+P_Interval)*(UPPER(TRIM(D_Points!$B$5:$B$204))="TURNOUT_L")*(D_Points!$H$5:$H$204&lt;&gt;"")),D_Points!$H$5:$H$204),"")</f>
        <v/>
      </c>
      <c r="AE651" s="182" t="str">
        <f>IFERROR(LOOKUP(2,1/((D_Points!$A$5:$A$204&lt;&gt;"")*(D_Points!$A$5:$A$204&gt;=$B651)*(D_Points!$A$5:$A$204&lt;$B651+P_Interval)*(UPPER(TRIM(D_Points!$B$5:$B$204))="TURNOUT_R")*(D_Points!$H$5:$H$204&lt;&gt;"")),D_Points!$H$5:$H$204),"")</f>
        <v/>
      </c>
      <c r="AF651" s="181" t="str">
        <f>IFERROR(LOOKUP(2,1/((B_Drainage!$A$5:$A$204&lt;&gt;"")*(B_Drainage!$A$5:$A$204&lt;=$B651)*(B_Drainage!$B$5:$B$204&gt;$B651)*(B_Drainage!$M$5:$M$204&lt;&gt;"")),IF(UPPER(B_Drainage!$M$5:$M$204)="Y",1,"")),"")</f>
        <v/>
      </c>
      <c r="AG651" s="181" t="str">
        <f>IFERROR(LOOKUP(2,1/((B_Drainage!$A$5:$A$204&lt;&gt;"")*(B_Drainage!$A$5:$A$204&lt;=$B651)*(B_Drainage!$B$5:$B$204&gt;$B651)*(B_Drainage!$N$5:$N$204&lt;&gt;"")),IF(UPPER(B_Drainage!$N$5:$N$204)="Y",1,"")),"")</f>
        <v/>
      </c>
      <c r="AH651" s="181" t="str">
        <f t="shared" si="80"/>
        <v/>
      </c>
      <c r="AI651" s="181" t="str">
        <f t="shared" si="81"/>
        <v/>
      </c>
      <c r="AJ651" s="181" t="str">
        <f t="shared" si="82"/>
        <v/>
      </c>
      <c r="AK651" s="181" t="str">
        <f t="shared" si="83"/>
        <v/>
      </c>
      <c r="AL651" s="181" t="str">
        <f t="shared" si="84"/>
        <v/>
      </c>
      <c r="AM651" s="181" t="str">
        <f t="shared" si="85"/>
        <v/>
      </c>
      <c r="AN651" s="181" t="str">
        <f t="shared" si="86"/>
        <v/>
      </c>
      <c r="AO651" s="192" t="str">
        <f t="shared" si="87"/>
        <v/>
      </c>
      <c r="AQ651" t="str">
        <f>IFERROR(LOOKUP(2,1/((C_Pavement!$A$5:$A$204&lt;&gt;"")*(C_Pavement!$A$5:$A$204&lt;=$B651)*(C_Pavement!$B$5:$B$204&gt;$B651)*(C_Pavement!$C$5:$C$204&lt;&gt;"")),ROW(C_Pavement!$C$5:$C$204)-4),"")</f>
        <v/>
      </c>
      <c r="AR651" t="str">
        <f>IF($AQ651="","",UPPER(TRIM(INDEX(C_Pavement!$C$5:$C$204,$AQ651))))</f>
        <v/>
      </c>
      <c r="AS651" t="str">
        <f>IF($AR651="","",IFERROR(MATCH($AR651,E_Rules!$A$5:$A$9,0),""))</f>
        <v/>
      </c>
      <c r="AT651" t="str">
        <f>IF($AQ651="","",IF(INDEX(C_Pavement!$D$5:$D$204,$AQ651)&lt;&gt;"",UPPER(TRIM(INDEX(C_Pavement!$D$5:$D$204,$AQ651))),IF($AS651="","",INDEX(E_Rules!$C$5:$C$9,$AS651))))</f>
        <v/>
      </c>
      <c r="AU651" t="str">
        <f>IF($AQ651="","",IF(INDEX(C_Pavement!$E$5:$E$204,$AQ651)&lt;&gt;"",IF(INDEX(C_Pavement!$E$5:$E$204,$AQ651)="-","",INDEX(C_Pavement!$E$5:$E$204,$AQ651)),IF($AS651="","",INDEX(E_Rules!$D$5:$D$9,$AS651))))</f>
        <v/>
      </c>
      <c r="AV651" t="str">
        <f>IF($AQ651="","",IF(INDEX(C_Pavement!$F$5:$F$204,$AQ651)&lt;&gt;"",IF(INDEX(C_Pavement!$F$5:$F$204,$AQ651)="-","",INDEX(C_Pavement!$F$5:$F$204,$AQ651)),IF($AS651="","",INDEX(E_Rules!$E$5:$E$9,$AS651))))</f>
        <v/>
      </c>
      <c r="AW651" t="str">
        <f>IF($AQ651="","",IF(INDEX(C_Pavement!$G$5:$G$204,$AQ651)&lt;&gt;"",IF(INDEX(C_Pavement!$G$5:$G$204,$AQ651)="-","",INDEX(C_Pavement!$G$5:$G$204,$AQ651)),IF($AS651="","",INDEX(E_Rules!$F$5:$F$9,$AS651))))</f>
        <v/>
      </c>
      <c r="AX651" t="str">
        <f>IF($AQ651="","",IF(INDEX(C_Pavement!$H$5:$H$204,$AQ651)&lt;&gt;"",IF(INDEX(C_Pavement!$H$5:$H$204,$AQ651)="-","",INDEX(C_Pavement!$H$5:$H$204,$AQ651)),IF($AS651="","",INDEX(E_Rules!$G$5:$G$9,$AS651))))</f>
        <v/>
      </c>
      <c r="AY651" t="str">
        <f>IF($AQ651="","",IF(INDEX(C_Pavement!$I$5:$I$204,$AQ651)&lt;&gt;"",IF(INDEX(C_Pavement!$I$5:$I$204,$AQ651)="-","",INDEX(C_Pavement!$I$5:$I$204,$AQ651)),IF($AS651="","",INDEX(E_Rules!$H$5:$H$9,$AS651))))</f>
        <v/>
      </c>
    </row>
    <row r="652" spans="1:51" ht="15.75" customHeight="1" x14ac:dyDescent="0.3">
      <c r="A652" s="189">
        <v>647</v>
      </c>
      <c r="B652" s="180">
        <v>32300</v>
      </c>
      <c r="C652" s="180" t="s">
        <v>958</v>
      </c>
      <c r="D652" s="181" t="str">
        <f>IFERROR(LOOKUP(2,1/((A_Corridor!$A$5:$A$204&lt;&gt;"")*(A_Corridor!$A$5:$A$204&lt;=$B652)*(A_Corridor!$B$5:$B$204&gt;$B652)*(A_Corridor!$C$5:$C$204&lt;&gt;"")),IF(UPPER(A_Corridor!$C$5:$C$204)="Y",1,"")),"")</f>
        <v/>
      </c>
      <c r="E652" s="181" t="str">
        <f>IFERROR(LOOKUP(2,1/((A_Corridor!$A$5:$A$204&lt;&gt;"")*(A_Corridor!$A$5:$A$204&lt;=$B652)*(A_Corridor!$B$5:$B$204&gt;$B652)*(A_Corridor!$D$5:$D$204&lt;&gt;"")),IF(A_Corridor!$D$5:$D$204="-","",UPPER(A_Corridor!$D$5:$D$204))),"")</f>
        <v/>
      </c>
      <c r="F652" s="181" t="str">
        <f>IFERROR(LOOKUP(2,1/((A_Corridor!$A$5:$A$204&lt;&gt;"")*(A_Corridor!$A$5:$A$204&lt;=$B652)*(A_Corridor!$B$5:$B$204&gt;$B652)*(A_Corridor!$E$5:$E$204&lt;&gt;"")),IF(A_Corridor!$E$5:$E$204="-","",1)),"")</f>
        <v/>
      </c>
      <c r="G652" s="182" t="str">
        <f>IFERROR(LOOKUP(2,1/((A_Corridor!$A$5:$A$204&lt;&gt;"")*(A_Corridor!$A$5:$A$204&lt;=$B652)*(A_Corridor!$B$5:$B$204&gt;$B652)*(A_Corridor!$E$5:$E$204&lt;&gt;"")),IF(A_Corridor!$E$5:$E$204="-","",A_Corridor!$E$5:$E$204)),"")</f>
        <v/>
      </c>
      <c r="H652" s="182" t="str">
        <f>IFERROR(LOOKUP(2,1/((D_Points!$A$5:$A$204&lt;&gt;"")*(D_Points!$A$5:$A$204&gt;=$B652)*(D_Points!$A$5:$A$204&lt;$B652+P_Interval)*(UPPER(TRIM(D_Points!$B$5:$B$204))="GULLY")*(D_Points!$H$5:$H$204&lt;&gt;"")),D_Points!$H$5:$H$204),"")</f>
        <v/>
      </c>
      <c r="I652" s="181" t="str">
        <f>IFERROR(LOOKUP(2,1/((A_Corridor!$A$5:$A$204&lt;&gt;"")*(A_Corridor!$A$5:$A$204&lt;=$B652)*(A_Corridor!$B$5:$B$204&gt;$B652)*(A_Corridor!$F$5:$F$204&lt;&gt;"")),IF(A_Corridor!$F$5:$F$204="-","",1)),"")</f>
        <v/>
      </c>
      <c r="J652" s="182" t="str">
        <f>IFERROR(LOOKUP(2,1/((A_Corridor!$A$5:$A$204&lt;&gt;"")*(A_Corridor!$A$5:$A$204&lt;=$B652)*(A_Corridor!$B$5:$B$204&gt;$B652)*(A_Corridor!$F$5:$F$204&lt;&gt;"")),IF(A_Corridor!$F$5:$F$204="-","",A_Corridor!$F$5:$F$204)),"")</f>
        <v/>
      </c>
      <c r="K652" s="182" t="str">
        <f>IFERROR(LOOKUP(2,1/((A_Corridor!$A$5:$A$204&lt;&gt;"")*(A_Corridor!$A$5:$A$204&lt;=$B652)*(A_Corridor!$B$5:$B$204&gt;$B652)*(A_Corridor!$G$5:$G$204&lt;&gt;"")),IF(A_Corridor!$G$5:$G$204="-","",A_Corridor!$G$5:$G$204)),"")</f>
        <v/>
      </c>
      <c r="L652" s="181" t="str">
        <f>IFERROR(LOOKUP(2,1/((A_Corridor!$A$5:$A$204&lt;&gt;"")*(A_Corridor!$A$5:$A$204&lt;=$B652)*(A_Corridor!$B$5:$B$204&gt;$B652)*(A_Corridor!$H$5:$H$204&lt;&gt;"")),IF(A_Corridor!$H$5:$H$204="-","",1)),"")</f>
        <v/>
      </c>
      <c r="M652" s="182" t="str">
        <f>IFERROR(LOOKUP(2,1/((A_Corridor!$A$5:$A$204&lt;&gt;"")*(A_Corridor!$A$5:$A$204&lt;=$B652)*(A_Corridor!$B$5:$B$204&gt;$B652)*(A_Corridor!$H$5:$H$204&lt;&gt;"")),IF(A_Corridor!$H$5:$H$204="-","",A_Corridor!$H$5:$H$204)),"")</f>
        <v/>
      </c>
      <c r="N652" s="182" t="str">
        <f>IFERROR(LOOKUP(2,1/((A_Corridor!$A$5:$A$204&lt;&gt;"")*(A_Corridor!$A$5:$A$204&lt;=$B652)*(A_Corridor!$B$5:$B$204&gt;$B652)*(A_Corridor!$I$5:$I$204&lt;&gt;"")),IF(A_Corridor!$I$5:$I$204="-","",A_Corridor!$I$5:$I$204)),"")</f>
        <v/>
      </c>
      <c r="O652" s="182" t="str">
        <f>IFERROR(LOOKUP(2,1/((D_Points!$A$5:$A$204&lt;&gt;"")*(D_Points!$A$5:$A$204&gt;=$B652)*(D_Points!$A$5:$A$204&lt;$B652+P_Interval)*(UPPER(TRIM(D_Points!$B$5:$B$204))="PITCHING")*(D_Points!$H$5:$H$204&lt;&gt;"")),D_Points!$H$5:$H$204),"")</f>
        <v/>
      </c>
      <c r="P652" s="181" t="str">
        <f>IFERROR(LOOKUP(2,1/((B_Drainage!$A$5:$A$204&lt;&gt;"")*(B_Drainage!$A$5:$A$204&lt;=$B652)*(B_Drainage!$B$5:$B$204&gt;$B652)*(B_Drainage!$C$5:$C$204&lt;&gt;"")),IF(B_Drainage!$C$5:$C$204="-","",UPPER(B_Drainage!$C$5:$C$204))),"")</f>
        <v/>
      </c>
      <c r="Q652" s="181" t="str">
        <f>IFERROR(LOOKUP(2,1/((B_Drainage!$A$5:$A$204&lt;&gt;"")*(B_Drainage!$A$5:$A$204&lt;=$B652)*(B_Drainage!$B$5:$B$204&gt;$B652)*(B_Drainage!$D$5:$D$204&lt;&gt;"")),IF(B_Drainage!$D$5:$D$204="-","",UPPER(B_Drainage!$D$5:$D$204))),"")</f>
        <v/>
      </c>
      <c r="R652" s="182" t="str">
        <f>IFERROR(LOOKUP(2,1/((D_Points!$A$5:$A$204&lt;&gt;"")*(D_Points!$A$5:$A$204&gt;=$B652)*(D_Points!$A$5:$A$204&lt;$B652+P_Interval)*(RIGHT(UPPER(TRIM(D_Points!$B$5:$B$204)),8)="_CULVERT")),IF(LEFT(UPPER(TRIM(D_Points!$B$5:$B$204)),2)="EX",1,IF(LEFT(UPPER(TRIM(D_Points!$B$5:$B$204)),2)="PR",2,3))),"")</f>
        <v/>
      </c>
      <c r="S652" s="182" t="str">
        <f>IFERROR(LOOKUP(2,1/((D_Points!$A$5:$A$204&lt;&gt;"")*(D_Points!$A$5:$A$204&gt;=$B652)*(D_Points!$A$5:$A$204&lt;$B652+P_Interval)*(RIGHT(UPPER(TRIM(D_Points!$B$5:$B$204)),7)="_BRIDGE")),IF(LEFT(UPPER(TRIM(D_Points!$B$5:$B$204)),2)="EX",1,IF(LEFT(UPPER(TRIM(D_Points!$B$5:$B$204)),2)="PR",2,2))),"")</f>
        <v/>
      </c>
      <c r="T652" s="181" t="str">
        <f>IFERROR(LOOKUP(2,1/((B_Drainage!$A$5:$A$204&lt;&gt;"")*(B_Drainage!$A$5:$A$204&lt;=$B652)*(B_Drainage!$B$5:$B$204&gt;$B652)*(B_Drainage!$E$5:$E$204&lt;&gt;"")),IF(B_Drainage!$E$5:$E$204="-","",1)),"")</f>
        <v/>
      </c>
      <c r="U652" s="181" t="str">
        <f>IFERROR(LOOKUP(2,1/((B_Drainage!$A$5:$A$204&lt;&gt;"")*(B_Drainage!$A$5:$A$204&lt;=$B652)*(B_Drainage!$B$5:$B$204&gt;$B652)*(B_Drainage!$E$5:$E$204&lt;&gt;"")),IF(B_Drainage!$E$5:$E$204="-","",B_Drainage!$E$5:$E$204)),"")</f>
        <v/>
      </c>
      <c r="V652" s="181" t="str">
        <f>IFERROR(LOOKUP(2,1/((B_Drainage!$A$5:$A$204&lt;&gt;"")*(B_Drainage!$A$5:$A$204&lt;=$B652)*(B_Drainage!$B$5:$B$204&gt;$B652)*(B_Drainage!$F$5:$F$204&lt;&gt;"")),IF(B_Drainage!$F$5:$F$204="-","",1)),"")</f>
        <v/>
      </c>
      <c r="W652" s="181" t="str">
        <f>IFERROR(LOOKUP(2,1/((B_Drainage!$A$5:$A$204&lt;&gt;"")*(B_Drainage!$A$5:$A$204&lt;=$B652)*(B_Drainage!$B$5:$B$204&gt;$B652)*(B_Drainage!$F$5:$F$204&lt;&gt;"")),IF(B_Drainage!$F$5:$F$204="-","",B_Drainage!$F$5:$F$204)),"")</f>
        <v/>
      </c>
      <c r="X652" s="181" t="str">
        <f>IFERROR(LOOKUP(2,1/((B_Drainage!$A$5:$A$204&lt;&gt;"")*(B_Drainage!$A$5:$A$204&lt;=$B652)*(B_Drainage!$B$5:$B$204&gt;$B652)*(B_Drainage!$G$5:$G$204&lt;&gt;"")),IF(UPPER(B_Drainage!$G$5:$G$204)="Y",1,"")),"")</f>
        <v/>
      </c>
      <c r="Y652" s="181" t="str">
        <f>IFERROR(LOOKUP(2,1/((B_Drainage!$A$5:$A$204&lt;&gt;"")*(B_Drainage!$A$5:$A$204&lt;=$B652)*(B_Drainage!$B$5:$B$204&gt;$B652)*(B_Drainage!$H$5:$H$204&lt;&gt;"")),IF(UPPER(B_Drainage!$H$5:$H$204)="Y",1,"")),"")</f>
        <v/>
      </c>
      <c r="Z652" s="181" t="str">
        <f>IFERROR(LOOKUP(2,1/((B_Drainage!$A$5:$A$204&lt;&gt;"")*(B_Drainage!$A$5:$A$204&lt;=$B652)*(B_Drainage!$B$5:$B$204&gt;$B652)*(B_Drainage!$I$5:$I$204&lt;&gt;"")),IF(UPPER(B_Drainage!$I$5:$I$204)="Y",1,"")),"")</f>
        <v/>
      </c>
      <c r="AA652" s="181" t="str">
        <f>IFERROR(LOOKUP(2,1/((B_Drainage!$A$5:$A$204&lt;&gt;"")*(B_Drainage!$A$5:$A$204&lt;=$B652)*(B_Drainage!$B$5:$B$204&gt;$B652)*(B_Drainage!$J$5:$J$204&lt;&gt;"")),IF(UPPER(B_Drainage!$J$5:$J$204)="Y",1,"")),"")</f>
        <v/>
      </c>
      <c r="AB652" s="182" t="str">
        <f>IFERROR(LOOKUP(2,1/((B_Drainage!$A$5:$A$204&lt;&gt;"")*(B_Drainage!$A$5:$A$204&lt;=$B652)*(B_Drainage!$B$5:$B$204&gt;$B652)*(B_Drainage!$K$5:$K$204&lt;&gt;"")),IF(B_Drainage!$K$5:$K$204="-","",B_Drainage!$K$5:$K$204)),"")</f>
        <v/>
      </c>
      <c r="AC652" s="182" t="str">
        <f>IFERROR(LOOKUP(2,1/((B_Drainage!$A$5:$A$204&lt;&gt;"")*(B_Drainage!$A$5:$A$204&lt;=$B652)*(B_Drainage!$B$5:$B$204&gt;$B652)*(B_Drainage!$L$5:$L$204&lt;&gt;"")),IF(B_Drainage!$L$5:$L$204="-","",B_Drainage!$L$5:$L$204)),"")</f>
        <v/>
      </c>
      <c r="AD652" s="182" t="str">
        <f>IFERROR(LOOKUP(2,1/((D_Points!$A$5:$A$204&lt;&gt;"")*(D_Points!$A$5:$A$204&gt;=$B652)*(D_Points!$A$5:$A$204&lt;$B652+P_Interval)*(UPPER(TRIM(D_Points!$B$5:$B$204))="TURNOUT_L")*(D_Points!$H$5:$H$204&lt;&gt;"")),D_Points!$H$5:$H$204),"")</f>
        <v/>
      </c>
      <c r="AE652" s="182" t="str">
        <f>IFERROR(LOOKUP(2,1/((D_Points!$A$5:$A$204&lt;&gt;"")*(D_Points!$A$5:$A$204&gt;=$B652)*(D_Points!$A$5:$A$204&lt;$B652+P_Interval)*(UPPER(TRIM(D_Points!$B$5:$B$204))="TURNOUT_R")*(D_Points!$H$5:$H$204&lt;&gt;"")),D_Points!$H$5:$H$204),"")</f>
        <v/>
      </c>
      <c r="AF652" s="181" t="str">
        <f>IFERROR(LOOKUP(2,1/((B_Drainage!$A$5:$A$204&lt;&gt;"")*(B_Drainage!$A$5:$A$204&lt;=$B652)*(B_Drainage!$B$5:$B$204&gt;$B652)*(B_Drainage!$M$5:$M$204&lt;&gt;"")),IF(UPPER(B_Drainage!$M$5:$M$204)="Y",1,"")),"")</f>
        <v/>
      </c>
      <c r="AG652" s="181" t="str">
        <f>IFERROR(LOOKUP(2,1/((B_Drainage!$A$5:$A$204&lt;&gt;"")*(B_Drainage!$A$5:$A$204&lt;=$B652)*(B_Drainage!$B$5:$B$204&gt;$B652)*(B_Drainage!$N$5:$N$204&lt;&gt;"")),IF(UPPER(B_Drainage!$N$5:$N$204)="Y",1,"")),"")</f>
        <v/>
      </c>
      <c r="AH652" s="181" t="str">
        <f t="shared" si="80"/>
        <v/>
      </c>
      <c r="AI652" s="181" t="str">
        <f t="shared" si="81"/>
        <v/>
      </c>
      <c r="AJ652" s="181" t="str">
        <f t="shared" si="82"/>
        <v/>
      </c>
      <c r="AK652" s="181" t="str">
        <f t="shared" si="83"/>
        <v/>
      </c>
      <c r="AL652" s="181" t="str">
        <f t="shared" si="84"/>
        <v/>
      </c>
      <c r="AM652" s="181" t="str">
        <f t="shared" si="85"/>
        <v/>
      </c>
      <c r="AN652" s="181" t="str">
        <f t="shared" si="86"/>
        <v/>
      </c>
      <c r="AO652" s="192" t="str">
        <f t="shared" si="87"/>
        <v/>
      </c>
      <c r="AQ652" t="str">
        <f>IFERROR(LOOKUP(2,1/((C_Pavement!$A$5:$A$204&lt;&gt;"")*(C_Pavement!$A$5:$A$204&lt;=$B652)*(C_Pavement!$B$5:$B$204&gt;$B652)*(C_Pavement!$C$5:$C$204&lt;&gt;"")),ROW(C_Pavement!$C$5:$C$204)-4),"")</f>
        <v/>
      </c>
      <c r="AR652" t="str">
        <f>IF($AQ652="","",UPPER(TRIM(INDEX(C_Pavement!$C$5:$C$204,$AQ652))))</f>
        <v/>
      </c>
      <c r="AS652" t="str">
        <f>IF($AR652="","",IFERROR(MATCH($AR652,E_Rules!$A$5:$A$9,0),""))</f>
        <v/>
      </c>
      <c r="AT652" t="str">
        <f>IF($AQ652="","",IF(INDEX(C_Pavement!$D$5:$D$204,$AQ652)&lt;&gt;"",UPPER(TRIM(INDEX(C_Pavement!$D$5:$D$204,$AQ652))),IF($AS652="","",INDEX(E_Rules!$C$5:$C$9,$AS652))))</f>
        <v/>
      </c>
      <c r="AU652" t="str">
        <f>IF($AQ652="","",IF(INDEX(C_Pavement!$E$5:$E$204,$AQ652)&lt;&gt;"",IF(INDEX(C_Pavement!$E$5:$E$204,$AQ652)="-","",INDEX(C_Pavement!$E$5:$E$204,$AQ652)),IF($AS652="","",INDEX(E_Rules!$D$5:$D$9,$AS652))))</f>
        <v/>
      </c>
      <c r="AV652" t="str">
        <f>IF($AQ652="","",IF(INDEX(C_Pavement!$F$5:$F$204,$AQ652)&lt;&gt;"",IF(INDEX(C_Pavement!$F$5:$F$204,$AQ652)="-","",INDEX(C_Pavement!$F$5:$F$204,$AQ652)),IF($AS652="","",INDEX(E_Rules!$E$5:$E$9,$AS652))))</f>
        <v/>
      </c>
      <c r="AW652" t="str">
        <f>IF($AQ652="","",IF(INDEX(C_Pavement!$G$5:$G$204,$AQ652)&lt;&gt;"",IF(INDEX(C_Pavement!$G$5:$G$204,$AQ652)="-","",INDEX(C_Pavement!$G$5:$G$204,$AQ652)),IF($AS652="","",INDEX(E_Rules!$F$5:$F$9,$AS652))))</f>
        <v/>
      </c>
      <c r="AX652" t="str">
        <f>IF($AQ652="","",IF(INDEX(C_Pavement!$H$5:$H$204,$AQ652)&lt;&gt;"",IF(INDEX(C_Pavement!$H$5:$H$204,$AQ652)="-","",INDEX(C_Pavement!$H$5:$H$204,$AQ652)),IF($AS652="","",INDEX(E_Rules!$G$5:$G$9,$AS652))))</f>
        <v/>
      </c>
      <c r="AY652" t="str">
        <f>IF($AQ652="","",IF(INDEX(C_Pavement!$I$5:$I$204,$AQ652)&lt;&gt;"",IF(INDEX(C_Pavement!$I$5:$I$204,$AQ652)="-","",INDEX(C_Pavement!$I$5:$I$204,$AQ652)),IF($AS652="","",INDEX(E_Rules!$H$5:$H$9,$AS652))))</f>
        <v/>
      </c>
    </row>
    <row r="653" spans="1:51" ht="15.75" customHeight="1" x14ac:dyDescent="0.3">
      <c r="A653" s="189">
        <v>648</v>
      </c>
      <c r="B653" s="180">
        <v>32350</v>
      </c>
      <c r="C653" s="180" t="s">
        <v>959</v>
      </c>
      <c r="D653" s="181" t="str">
        <f>IFERROR(LOOKUP(2,1/((A_Corridor!$A$5:$A$204&lt;&gt;"")*(A_Corridor!$A$5:$A$204&lt;=$B653)*(A_Corridor!$B$5:$B$204&gt;$B653)*(A_Corridor!$C$5:$C$204&lt;&gt;"")),IF(UPPER(A_Corridor!$C$5:$C$204)="Y",1,"")),"")</f>
        <v/>
      </c>
      <c r="E653" s="181" t="str">
        <f>IFERROR(LOOKUP(2,1/((A_Corridor!$A$5:$A$204&lt;&gt;"")*(A_Corridor!$A$5:$A$204&lt;=$B653)*(A_Corridor!$B$5:$B$204&gt;$B653)*(A_Corridor!$D$5:$D$204&lt;&gt;"")),IF(A_Corridor!$D$5:$D$204="-","",UPPER(A_Corridor!$D$5:$D$204))),"")</f>
        <v/>
      </c>
      <c r="F653" s="181" t="str">
        <f>IFERROR(LOOKUP(2,1/((A_Corridor!$A$5:$A$204&lt;&gt;"")*(A_Corridor!$A$5:$A$204&lt;=$B653)*(A_Corridor!$B$5:$B$204&gt;$B653)*(A_Corridor!$E$5:$E$204&lt;&gt;"")),IF(A_Corridor!$E$5:$E$204="-","",1)),"")</f>
        <v/>
      </c>
      <c r="G653" s="182" t="str">
        <f>IFERROR(LOOKUP(2,1/((A_Corridor!$A$5:$A$204&lt;&gt;"")*(A_Corridor!$A$5:$A$204&lt;=$B653)*(A_Corridor!$B$5:$B$204&gt;$B653)*(A_Corridor!$E$5:$E$204&lt;&gt;"")),IF(A_Corridor!$E$5:$E$204="-","",A_Corridor!$E$5:$E$204)),"")</f>
        <v/>
      </c>
      <c r="H653" s="182" t="str">
        <f>IFERROR(LOOKUP(2,1/((D_Points!$A$5:$A$204&lt;&gt;"")*(D_Points!$A$5:$A$204&gt;=$B653)*(D_Points!$A$5:$A$204&lt;$B653+P_Interval)*(UPPER(TRIM(D_Points!$B$5:$B$204))="GULLY")*(D_Points!$H$5:$H$204&lt;&gt;"")),D_Points!$H$5:$H$204),"")</f>
        <v/>
      </c>
      <c r="I653" s="181" t="str">
        <f>IFERROR(LOOKUP(2,1/((A_Corridor!$A$5:$A$204&lt;&gt;"")*(A_Corridor!$A$5:$A$204&lt;=$B653)*(A_Corridor!$B$5:$B$204&gt;$B653)*(A_Corridor!$F$5:$F$204&lt;&gt;"")),IF(A_Corridor!$F$5:$F$204="-","",1)),"")</f>
        <v/>
      </c>
      <c r="J653" s="182" t="str">
        <f>IFERROR(LOOKUP(2,1/((A_Corridor!$A$5:$A$204&lt;&gt;"")*(A_Corridor!$A$5:$A$204&lt;=$B653)*(A_Corridor!$B$5:$B$204&gt;$B653)*(A_Corridor!$F$5:$F$204&lt;&gt;"")),IF(A_Corridor!$F$5:$F$204="-","",A_Corridor!$F$5:$F$204)),"")</f>
        <v/>
      </c>
      <c r="K653" s="182" t="str">
        <f>IFERROR(LOOKUP(2,1/((A_Corridor!$A$5:$A$204&lt;&gt;"")*(A_Corridor!$A$5:$A$204&lt;=$B653)*(A_Corridor!$B$5:$B$204&gt;$B653)*(A_Corridor!$G$5:$G$204&lt;&gt;"")),IF(A_Corridor!$G$5:$G$204="-","",A_Corridor!$G$5:$G$204)),"")</f>
        <v/>
      </c>
      <c r="L653" s="181" t="str">
        <f>IFERROR(LOOKUP(2,1/((A_Corridor!$A$5:$A$204&lt;&gt;"")*(A_Corridor!$A$5:$A$204&lt;=$B653)*(A_Corridor!$B$5:$B$204&gt;$B653)*(A_Corridor!$H$5:$H$204&lt;&gt;"")),IF(A_Corridor!$H$5:$H$204="-","",1)),"")</f>
        <v/>
      </c>
      <c r="M653" s="182" t="str">
        <f>IFERROR(LOOKUP(2,1/((A_Corridor!$A$5:$A$204&lt;&gt;"")*(A_Corridor!$A$5:$A$204&lt;=$B653)*(A_Corridor!$B$5:$B$204&gt;$B653)*(A_Corridor!$H$5:$H$204&lt;&gt;"")),IF(A_Corridor!$H$5:$H$204="-","",A_Corridor!$H$5:$H$204)),"")</f>
        <v/>
      </c>
      <c r="N653" s="182" t="str">
        <f>IFERROR(LOOKUP(2,1/((A_Corridor!$A$5:$A$204&lt;&gt;"")*(A_Corridor!$A$5:$A$204&lt;=$B653)*(A_Corridor!$B$5:$B$204&gt;$B653)*(A_Corridor!$I$5:$I$204&lt;&gt;"")),IF(A_Corridor!$I$5:$I$204="-","",A_Corridor!$I$5:$I$204)),"")</f>
        <v/>
      </c>
      <c r="O653" s="182" t="str">
        <f>IFERROR(LOOKUP(2,1/((D_Points!$A$5:$A$204&lt;&gt;"")*(D_Points!$A$5:$A$204&gt;=$B653)*(D_Points!$A$5:$A$204&lt;$B653+P_Interval)*(UPPER(TRIM(D_Points!$B$5:$B$204))="PITCHING")*(D_Points!$H$5:$H$204&lt;&gt;"")),D_Points!$H$5:$H$204),"")</f>
        <v/>
      </c>
      <c r="P653" s="181" t="str">
        <f>IFERROR(LOOKUP(2,1/((B_Drainage!$A$5:$A$204&lt;&gt;"")*(B_Drainage!$A$5:$A$204&lt;=$B653)*(B_Drainage!$B$5:$B$204&gt;$B653)*(B_Drainage!$C$5:$C$204&lt;&gt;"")),IF(B_Drainage!$C$5:$C$204="-","",UPPER(B_Drainage!$C$5:$C$204))),"")</f>
        <v/>
      </c>
      <c r="Q653" s="181" t="str">
        <f>IFERROR(LOOKUP(2,1/((B_Drainage!$A$5:$A$204&lt;&gt;"")*(B_Drainage!$A$5:$A$204&lt;=$B653)*(B_Drainage!$B$5:$B$204&gt;$B653)*(B_Drainage!$D$5:$D$204&lt;&gt;"")),IF(B_Drainage!$D$5:$D$204="-","",UPPER(B_Drainage!$D$5:$D$204))),"")</f>
        <v/>
      </c>
      <c r="R653" s="182" t="str">
        <f>IFERROR(LOOKUP(2,1/((D_Points!$A$5:$A$204&lt;&gt;"")*(D_Points!$A$5:$A$204&gt;=$B653)*(D_Points!$A$5:$A$204&lt;$B653+P_Interval)*(RIGHT(UPPER(TRIM(D_Points!$B$5:$B$204)),8)="_CULVERT")),IF(LEFT(UPPER(TRIM(D_Points!$B$5:$B$204)),2)="EX",1,IF(LEFT(UPPER(TRIM(D_Points!$B$5:$B$204)),2)="PR",2,3))),"")</f>
        <v/>
      </c>
      <c r="S653" s="182" t="str">
        <f>IFERROR(LOOKUP(2,1/((D_Points!$A$5:$A$204&lt;&gt;"")*(D_Points!$A$5:$A$204&gt;=$B653)*(D_Points!$A$5:$A$204&lt;$B653+P_Interval)*(RIGHT(UPPER(TRIM(D_Points!$B$5:$B$204)),7)="_BRIDGE")),IF(LEFT(UPPER(TRIM(D_Points!$B$5:$B$204)),2)="EX",1,IF(LEFT(UPPER(TRIM(D_Points!$B$5:$B$204)),2)="PR",2,2))),"")</f>
        <v/>
      </c>
      <c r="T653" s="181" t="str">
        <f>IFERROR(LOOKUP(2,1/((B_Drainage!$A$5:$A$204&lt;&gt;"")*(B_Drainage!$A$5:$A$204&lt;=$B653)*(B_Drainage!$B$5:$B$204&gt;$B653)*(B_Drainage!$E$5:$E$204&lt;&gt;"")),IF(B_Drainage!$E$5:$E$204="-","",1)),"")</f>
        <v/>
      </c>
      <c r="U653" s="181" t="str">
        <f>IFERROR(LOOKUP(2,1/((B_Drainage!$A$5:$A$204&lt;&gt;"")*(B_Drainage!$A$5:$A$204&lt;=$B653)*(B_Drainage!$B$5:$B$204&gt;$B653)*(B_Drainage!$E$5:$E$204&lt;&gt;"")),IF(B_Drainage!$E$5:$E$204="-","",B_Drainage!$E$5:$E$204)),"")</f>
        <v/>
      </c>
      <c r="V653" s="181" t="str">
        <f>IFERROR(LOOKUP(2,1/((B_Drainage!$A$5:$A$204&lt;&gt;"")*(B_Drainage!$A$5:$A$204&lt;=$B653)*(B_Drainage!$B$5:$B$204&gt;$B653)*(B_Drainage!$F$5:$F$204&lt;&gt;"")),IF(B_Drainage!$F$5:$F$204="-","",1)),"")</f>
        <v/>
      </c>
      <c r="W653" s="181" t="str">
        <f>IFERROR(LOOKUP(2,1/((B_Drainage!$A$5:$A$204&lt;&gt;"")*(B_Drainage!$A$5:$A$204&lt;=$B653)*(B_Drainage!$B$5:$B$204&gt;$B653)*(B_Drainage!$F$5:$F$204&lt;&gt;"")),IF(B_Drainage!$F$5:$F$204="-","",B_Drainage!$F$5:$F$204)),"")</f>
        <v/>
      </c>
      <c r="X653" s="181" t="str">
        <f>IFERROR(LOOKUP(2,1/((B_Drainage!$A$5:$A$204&lt;&gt;"")*(B_Drainage!$A$5:$A$204&lt;=$B653)*(B_Drainage!$B$5:$B$204&gt;$B653)*(B_Drainage!$G$5:$G$204&lt;&gt;"")),IF(UPPER(B_Drainage!$G$5:$G$204)="Y",1,"")),"")</f>
        <v/>
      </c>
      <c r="Y653" s="181" t="str">
        <f>IFERROR(LOOKUP(2,1/((B_Drainage!$A$5:$A$204&lt;&gt;"")*(B_Drainage!$A$5:$A$204&lt;=$B653)*(B_Drainage!$B$5:$B$204&gt;$B653)*(B_Drainage!$H$5:$H$204&lt;&gt;"")),IF(UPPER(B_Drainage!$H$5:$H$204)="Y",1,"")),"")</f>
        <v/>
      </c>
      <c r="Z653" s="181" t="str">
        <f>IFERROR(LOOKUP(2,1/((B_Drainage!$A$5:$A$204&lt;&gt;"")*(B_Drainage!$A$5:$A$204&lt;=$B653)*(B_Drainage!$B$5:$B$204&gt;$B653)*(B_Drainage!$I$5:$I$204&lt;&gt;"")),IF(UPPER(B_Drainage!$I$5:$I$204)="Y",1,"")),"")</f>
        <v/>
      </c>
      <c r="AA653" s="181" t="str">
        <f>IFERROR(LOOKUP(2,1/((B_Drainage!$A$5:$A$204&lt;&gt;"")*(B_Drainage!$A$5:$A$204&lt;=$B653)*(B_Drainage!$B$5:$B$204&gt;$B653)*(B_Drainage!$J$5:$J$204&lt;&gt;"")),IF(UPPER(B_Drainage!$J$5:$J$204)="Y",1,"")),"")</f>
        <v/>
      </c>
      <c r="AB653" s="182" t="str">
        <f>IFERROR(LOOKUP(2,1/((B_Drainage!$A$5:$A$204&lt;&gt;"")*(B_Drainage!$A$5:$A$204&lt;=$B653)*(B_Drainage!$B$5:$B$204&gt;$B653)*(B_Drainage!$K$5:$K$204&lt;&gt;"")),IF(B_Drainage!$K$5:$K$204="-","",B_Drainage!$K$5:$K$204)),"")</f>
        <v/>
      </c>
      <c r="AC653" s="182" t="str">
        <f>IFERROR(LOOKUP(2,1/((B_Drainage!$A$5:$A$204&lt;&gt;"")*(B_Drainage!$A$5:$A$204&lt;=$B653)*(B_Drainage!$B$5:$B$204&gt;$B653)*(B_Drainage!$L$5:$L$204&lt;&gt;"")),IF(B_Drainage!$L$5:$L$204="-","",B_Drainage!$L$5:$L$204)),"")</f>
        <v/>
      </c>
      <c r="AD653" s="182" t="str">
        <f>IFERROR(LOOKUP(2,1/((D_Points!$A$5:$A$204&lt;&gt;"")*(D_Points!$A$5:$A$204&gt;=$B653)*(D_Points!$A$5:$A$204&lt;$B653+P_Interval)*(UPPER(TRIM(D_Points!$B$5:$B$204))="TURNOUT_L")*(D_Points!$H$5:$H$204&lt;&gt;"")),D_Points!$H$5:$H$204),"")</f>
        <v/>
      </c>
      <c r="AE653" s="182" t="str">
        <f>IFERROR(LOOKUP(2,1/((D_Points!$A$5:$A$204&lt;&gt;"")*(D_Points!$A$5:$A$204&gt;=$B653)*(D_Points!$A$5:$A$204&lt;$B653+P_Interval)*(UPPER(TRIM(D_Points!$B$5:$B$204))="TURNOUT_R")*(D_Points!$H$5:$H$204&lt;&gt;"")),D_Points!$H$5:$H$204),"")</f>
        <v/>
      </c>
      <c r="AF653" s="181" t="str">
        <f>IFERROR(LOOKUP(2,1/((B_Drainage!$A$5:$A$204&lt;&gt;"")*(B_Drainage!$A$5:$A$204&lt;=$B653)*(B_Drainage!$B$5:$B$204&gt;$B653)*(B_Drainage!$M$5:$M$204&lt;&gt;"")),IF(UPPER(B_Drainage!$M$5:$M$204)="Y",1,"")),"")</f>
        <v/>
      </c>
      <c r="AG653" s="181" t="str">
        <f>IFERROR(LOOKUP(2,1/((B_Drainage!$A$5:$A$204&lt;&gt;"")*(B_Drainage!$A$5:$A$204&lt;=$B653)*(B_Drainage!$B$5:$B$204&gt;$B653)*(B_Drainage!$N$5:$N$204&lt;&gt;"")),IF(UPPER(B_Drainage!$N$5:$N$204)="Y",1,"")),"")</f>
        <v/>
      </c>
      <c r="AH653" s="181" t="str">
        <f t="shared" si="80"/>
        <v/>
      </c>
      <c r="AI653" s="181" t="str">
        <f t="shared" si="81"/>
        <v/>
      </c>
      <c r="AJ653" s="181" t="str">
        <f t="shared" si="82"/>
        <v/>
      </c>
      <c r="AK653" s="181" t="str">
        <f t="shared" si="83"/>
        <v/>
      </c>
      <c r="AL653" s="181" t="str">
        <f t="shared" si="84"/>
        <v/>
      </c>
      <c r="AM653" s="181" t="str">
        <f t="shared" si="85"/>
        <v/>
      </c>
      <c r="AN653" s="181" t="str">
        <f t="shared" si="86"/>
        <v/>
      </c>
      <c r="AO653" s="192" t="str">
        <f t="shared" si="87"/>
        <v/>
      </c>
      <c r="AQ653" t="str">
        <f>IFERROR(LOOKUP(2,1/((C_Pavement!$A$5:$A$204&lt;&gt;"")*(C_Pavement!$A$5:$A$204&lt;=$B653)*(C_Pavement!$B$5:$B$204&gt;$B653)*(C_Pavement!$C$5:$C$204&lt;&gt;"")),ROW(C_Pavement!$C$5:$C$204)-4),"")</f>
        <v/>
      </c>
      <c r="AR653" t="str">
        <f>IF($AQ653="","",UPPER(TRIM(INDEX(C_Pavement!$C$5:$C$204,$AQ653))))</f>
        <v/>
      </c>
      <c r="AS653" t="str">
        <f>IF($AR653="","",IFERROR(MATCH($AR653,E_Rules!$A$5:$A$9,0),""))</f>
        <v/>
      </c>
      <c r="AT653" t="str">
        <f>IF($AQ653="","",IF(INDEX(C_Pavement!$D$5:$D$204,$AQ653)&lt;&gt;"",UPPER(TRIM(INDEX(C_Pavement!$D$5:$D$204,$AQ653))),IF($AS653="","",INDEX(E_Rules!$C$5:$C$9,$AS653))))</f>
        <v/>
      </c>
      <c r="AU653" t="str">
        <f>IF($AQ653="","",IF(INDEX(C_Pavement!$E$5:$E$204,$AQ653)&lt;&gt;"",IF(INDEX(C_Pavement!$E$5:$E$204,$AQ653)="-","",INDEX(C_Pavement!$E$5:$E$204,$AQ653)),IF($AS653="","",INDEX(E_Rules!$D$5:$D$9,$AS653))))</f>
        <v/>
      </c>
      <c r="AV653" t="str">
        <f>IF($AQ653="","",IF(INDEX(C_Pavement!$F$5:$F$204,$AQ653)&lt;&gt;"",IF(INDEX(C_Pavement!$F$5:$F$204,$AQ653)="-","",INDEX(C_Pavement!$F$5:$F$204,$AQ653)),IF($AS653="","",INDEX(E_Rules!$E$5:$E$9,$AS653))))</f>
        <v/>
      </c>
      <c r="AW653" t="str">
        <f>IF($AQ653="","",IF(INDEX(C_Pavement!$G$5:$G$204,$AQ653)&lt;&gt;"",IF(INDEX(C_Pavement!$G$5:$G$204,$AQ653)="-","",INDEX(C_Pavement!$G$5:$G$204,$AQ653)),IF($AS653="","",INDEX(E_Rules!$F$5:$F$9,$AS653))))</f>
        <v/>
      </c>
      <c r="AX653" t="str">
        <f>IF($AQ653="","",IF(INDEX(C_Pavement!$H$5:$H$204,$AQ653)&lt;&gt;"",IF(INDEX(C_Pavement!$H$5:$H$204,$AQ653)="-","",INDEX(C_Pavement!$H$5:$H$204,$AQ653)),IF($AS653="","",INDEX(E_Rules!$G$5:$G$9,$AS653))))</f>
        <v/>
      </c>
      <c r="AY653" t="str">
        <f>IF($AQ653="","",IF(INDEX(C_Pavement!$I$5:$I$204,$AQ653)&lt;&gt;"",IF(INDEX(C_Pavement!$I$5:$I$204,$AQ653)="-","",INDEX(C_Pavement!$I$5:$I$204,$AQ653)),IF($AS653="","",INDEX(E_Rules!$H$5:$H$9,$AS653))))</f>
        <v/>
      </c>
    </row>
    <row r="654" spans="1:51" ht="15.75" customHeight="1" x14ac:dyDescent="0.3">
      <c r="A654" s="189">
        <v>649</v>
      </c>
      <c r="B654" s="180">
        <v>32400</v>
      </c>
      <c r="C654" s="180" t="s">
        <v>960</v>
      </c>
      <c r="D654" s="181" t="str">
        <f>IFERROR(LOOKUP(2,1/((A_Corridor!$A$5:$A$204&lt;&gt;"")*(A_Corridor!$A$5:$A$204&lt;=$B654)*(A_Corridor!$B$5:$B$204&gt;$B654)*(A_Corridor!$C$5:$C$204&lt;&gt;"")),IF(UPPER(A_Corridor!$C$5:$C$204)="Y",1,"")),"")</f>
        <v/>
      </c>
      <c r="E654" s="181" t="str">
        <f>IFERROR(LOOKUP(2,1/((A_Corridor!$A$5:$A$204&lt;&gt;"")*(A_Corridor!$A$5:$A$204&lt;=$B654)*(A_Corridor!$B$5:$B$204&gt;$B654)*(A_Corridor!$D$5:$D$204&lt;&gt;"")),IF(A_Corridor!$D$5:$D$204="-","",UPPER(A_Corridor!$D$5:$D$204))),"")</f>
        <v/>
      </c>
      <c r="F654" s="181" t="str">
        <f>IFERROR(LOOKUP(2,1/((A_Corridor!$A$5:$A$204&lt;&gt;"")*(A_Corridor!$A$5:$A$204&lt;=$B654)*(A_Corridor!$B$5:$B$204&gt;$B654)*(A_Corridor!$E$5:$E$204&lt;&gt;"")),IF(A_Corridor!$E$5:$E$204="-","",1)),"")</f>
        <v/>
      </c>
      <c r="G654" s="182" t="str">
        <f>IFERROR(LOOKUP(2,1/((A_Corridor!$A$5:$A$204&lt;&gt;"")*(A_Corridor!$A$5:$A$204&lt;=$B654)*(A_Corridor!$B$5:$B$204&gt;$B654)*(A_Corridor!$E$5:$E$204&lt;&gt;"")),IF(A_Corridor!$E$5:$E$204="-","",A_Corridor!$E$5:$E$204)),"")</f>
        <v/>
      </c>
      <c r="H654" s="182" t="str">
        <f>IFERROR(LOOKUP(2,1/((D_Points!$A$5:$A$204&lt;&gt;"")*(D_Points!$A$5:$A$204&gt;=$B654)*(D_Points!$A$5:$A$204&lt;$B654+P_Interval)*(UPPER(TRIM(D_Points!$B$5:$B$204))="GULLY")*(D_Points!$H$5:$H$204&lt;&gt;"")),D_Points!$H$5:$H$204),"")</f>
        <v/>
      </c>
      <c r="I654" s="181" t="str">
        <f>IFERROR(LOOKUP(2,1/((A_Corridor!$A$5:$A$204&lt;&gt;"")*(A_Corridor!$A$5:$A$204&lt;=$B654)*(A_Corridor!$B$5:$B$204&gt;$B654)*(A_Corridor!$F$5:$F$204&lt;&gt;"")),IF(A_Corridor!$F$5:$F$204="-","",1)),"")</f>
        <v/>
      </c>
      <c r="J654" s="182" t="str">
        <f>IFERROR(LOOKUP(2,1/((A_Corridor!$A$5:$A$204&lt;&gt;"")*(A_Corridor!$A$5:$A$204&lt;=$B654)*(A_Corridor!$B$5:$B$204&gt;$B654)*(A_Corridor!$F$5:$F$204&lt;&gt;"")),IF(A_Corridor!$F$5:$F$204="-","",A_Corridor!$F$5:$F$204)),"")</f>
        <v/>
      </c>
      <c r="K654" s="182" t="str">
        <f>IFERROR(LOOKUP(2,1/((A_Corridor!$A$5:$A$204&lt;&gt;"")*(A_Corridor!$A$5:$A$204&lt;=$B654)*(A_Corridor!$B$5:$B$204&gt;$B654)*(A_Corridor!$G$5:$G$204&lt;&gt;"")),IF(A_Corridor!$G$5:$G$204="-","",A_Corridor!$G$5:$G$204)),"")</f>
        <v/>
      </c>
      <c r="L654" s="181" t="str">
        <f>IFERROR(LOOKUP(2,1/((A_Corridor!$A$5:$A$204&lt;&gt;"")*(A_Corridor!$A$5:$A$204&lt;=$B654)*(A_Corridor!$B$5:$B$204&gt;$B654)*(A_Corridor!$H$5:$H$204&lt;&gt;"")),IF(A_Corridor!$H$5:$H$204="-","",1)),"")</f>
        <v/>
      </c>
      <c r="M654" s="182" t="str">
        <f>IFERROR(LOOKUP(2,1/((A_Corridor!$A$5:$A$204&lt;&gt;"")*(A_Corridor!$A$5:$A$204&lt;=$B654)*(A_Corridor!$B$5:$B$204&gt;$B654)*(A_Corridor!$H$5:$H$204&lt;&gt;"")),IF(A_Corridor!$H$5:$H$204="-","",A_Corridor!$H$5:$H$204)),"")</f>
        <v/>
      </c>
      <c r="N654" s="182" t="str">
        <f>IFERROR(LOOKUP(2,1/((A_Corridor!$A$5:$A$204&lt;&gt;"")*(A_Corridor!$A$5:$A$204&lt;=$B654)*(A_Corridor!$B$5:$B$204&gt;$B654)*(A_Corridor!$I$5:$I$204&lt;&gt;"")),IF(A_Corridor!$I$5:$I$204="-","",A_Corridor!$I$5:$I$204)),"")</f>
        <v/>
      </c>
      <c r="O654" s="182" t="str">
        <f>IFERROR(LOOKUP(2,1/((D_Points!$A$5:$A$204&lt;&gt;"")*(D_Points!$A$5:$A$204&gt;=$B654)*(D_Points!$A$5:$A$204&lt;$B654+P_Interval)*(UPPER(TRIM(D_Points!$B$5:$B$204))="PITCHING")*(D_Points!$H$5:$H$204&lt;&gt;"")),D_Points!$H$5:$H$204),"")</f>
        <v/>
      </c>
      <c r="P654" s="181" t="str">
        <f>IFERROR(LOOKUP(2,1/((B_Drainage!$A$5:$A$204&lt;&gt;"")*(B_Drainage!$A$5:$A$204&lt;=$B654)*(B_Drainage!$B$5:$B$204&gt;$B654)*(B_Drainage!$C$5:$C$204&lt;&gt;"")),IF(B_Drainage!$C$5:$C$204="-","",UPPER(B_Drainage!$C$5:$C$204))),"")</f>
        <v/>
      </c>
      <c r="Q654" s="181" t="str">
        <f>IFERROR(LOOKUP(2,1/((B_Drainage!$A$5:$A$204&lt;&gt;"")*(B_Drainage!$A$5:$A$204&lt;=$B654)*(B_Drainage!$B$5:$B$204&gt;$B654)*(B_Drainage!$D$5:$D$204&lt;&gt;"")),IF(B_Drainage!$D$5:$D$204="-","",UPPER(B_Drainage!$D$5:$D$204))),"")</f>
        <v/>
      </c>
      <c r="R654" s="182" t="str">
        <f>IFERROR(LOOKUP(2,1/((D_Points!$A$5:$A$204&lt;&gt;"")*(D_Points!$A$5:$A$204&gt;=$B654)*(D_Points!$A$5:$A$204&lt;$B654+P_Interval)*(RIGHT(UPPER(TRIM(D_Points!$B$5:$B$204)),8)="_CULVERT")),IF(LEFT(UPPER(TRIM(D_Points!$B$5:$B$204)),2)="EX",1,IF(LEFT(UPPER(TRIM(D_Points!$B$5:$B$204)),2)="PR",2,3))),"")</f>
        <v/>
      </c>
      <c r="S654" s="182" t="str">
        <f>IFERROR(LOOKUP(2,1/((D_Points!$A$5:$A$204&lt;&gt;"")*(D_Points!$A$5:$A$204&gt;=$B654)*(D_Points!$A$5:$A$204&lt;$B654+P_Interval)*(RIGHT(UPPER(TRIM(D_Points!$B$5:$B$204)),7)="_BRIDGE")),IF(LEFT(UPPER(TRIM(D_Points!$B$5:$B$204)),2)="EX",1,IF(LEFT(UPPER(TRIM(D_Points!$B$5:$B$204)),2)="PR",2,2))),"")</f>
        <v/>
      </c>
      <c r="T654" s="181" t="str">
        <f>IFERROR(LOOKUP(2,1/((B_Drainage!$A$5:$A$204&lt;&gt;"")*(B_Drainage!$A$5:$A$204&lt;=$B654)*(B_Drainage!$B$5:$B$204&gt;$B654)*(B_Drainage!$E$5:$E$204&lt;&gt;"")),IF(B_Drainage!$E$5:$E$204="-","",1)),"")</f>
        <v/>
      </c>
      <c r="U654" s="181" t="str">
        <f>IFERROR(LOOKUP(2,1/((B_Drainage!$A$5:$A$204&lt;&gt;"")*(B_Drainage!$A$5:$A$204&lt;=$B654)*(B_Drainage!$B$5:$B$204&gt;$B654)*(B_Drainage!$E$5:$E$204&lt;&gt;"")),IF(B_Drainage!$E$5:$E$204="-","",B_Drainage!$E$5:$E$204)),"")</f>
        <v/>
      </c>
      <c r="V654" s="181" t="str">
        <f>IFERROR(LOOKUP(2,1/((B_Drainage!$A$5:$A$204&lt;&gt;"")*(B_Drainage!$A$5:$A$204&lt;=$B654)*(B_Drainage!$B$5:$B$204&gt;$B654)*(B_Drainage!$F$5:$F$204&lt;&gt;"")),IF(B_Drainage!$F$5:$F$204="-","",1)),"")</f>
        <v/>
      </c>
      <c r="W654" s="181" t="str">
        <f>IFERROR(LOOKUP(2,1/((B_Drainage!$A$5:$A$204&lt;&gt;"")*(B_Drainage!$A$5:$A$204&lt;=$B654)*(B_Drainage!$B$5:$B$204&gt;$B654)*(B_Drainage!$F$5:$F$204&lt;&gt;"")),IF(B_Drainage!$F$5:$F$204="-","",B_Drainage!$F$5:$F$204)),"")</f>
        <v/>
      </c>
      <c r="X654" s="181" t="str">
        <f>IFERROR(LOOKUP(2,1/((B_Drainage!$A$5:$A$204&lt;&gt;"")*(B_Drainage!$A$5:$A$204&lt;=$B654)*(B_Drainage!$B$5:$B$204&gt;$B654)*(B_Drainage!$G$5:$G$204&lt;&gt;"")),IF(UPPER(B_Drainage!$G$5:$G$204)="Y",1,"")),"")</f>
        <v/>
      </c>
      <c r="Y654" s="181" t="str">
        <f>IFERROR(LOOKUP(2,1/((B_Drainage!$A$5:$A$204&lt;&gt;"")*(B_Drainage!$A$5:$A$204&lt;=$B654)*(B_Drainage!$B$5:$B$204&gt;$B654)*(B_Drainage!$H$5:$H$204&lt;&gt;"")),IF(UPPER(B_Drainage!$H$5:$H$204)="Y",1,"")),"")</f>
        <v/>
      </c>
      <c r="Z654" s="181" t="str">
        <f>IFERROR(LOOKUP(2,1/((B_Drainage!$A$5:$A$204&lt;&gt;"")*(B_Drainage!$A$5:$A$204&lt;=$B654)*(B_Drainage!$B$5:$B$204&gt;$B654)*(B_Drainage!$I$5:$I$204&lt;&gt;"")),IF(UPPER(B_Drainage!$I$5:$I$204)="Y",1,"")),"")</f>
        <v/>
      </c>
      <c r="AA654" s="181" t="str">
        <f>IFERROR(LOOKUP(2,1/((B_Drainage!$A$5:$A$204&lt;&gt;"")*(B_Drainage!$A$5:$A$204&lt;=$B654)*(B_Drainage!$B$5:$B$204&gt;$B654)*(B_Drainage!$J$5:$J$204&lt;&gt;"")),IF(UPPER(B_Drainage!$J$5:$J$204)="Y",1,"")),"")</f>
        <v/>
      </c>
      <c r="AB654" s="182" t="str">
        <f>IFERROR(LOOKUP(2,1/((B_Drainage!$A$5:$A$204&lt;&gt;"")*(B_Drainage!$A$5:$A$204&lt;=$B654)*(B_Drainage!$B$5:$B$204&gt;$B654)*(B_Drainage!$K$5:$K$204&lt;&gt;"")),IF(B_Drainage!$K$5:$K$204="-","",B_Drainage!$K$5:$K$204)),"")</f>
        <v/>
      </c>
      <c r="AC654" s="182" t="str">
        <f>IFERROR(LOOKUP(2,1/((B_Drainage!$A$5:$A$204&lt;&gt;"")*(B_Drainage!$A$5:$A$204&lt;=$B654)*(B_Drainage!$B$5:$B$204&gt;$B654)*(B_Drainage!$L$5:$L$204&lt;&gt;"")),IF(B_Drainage!$L$5:$L$204="-","",B_Drainage!$L$5:$L$204)),"")</f>
        <v/>
      </c>
      <c r="AD654" s="182" t="str">
        <f>IFERROR(LOOKUP(2,1/((D_Points!$A$5:$A$204&lt;&gt;"")*(D_Points!$A$5:$A$204&gt;=$B654)*(D_Points!$A$5:$A$204&lt;$B654+P_Interval)*(UPPER(TRIM(D_Points!$B$5:$B$204))="TURNOUT_L")*(D_Points!$H$5:$H$204&lt;&gt;"")),D_Points!$H$5:$H$204),"")</f>
        <v/>
      </c>
      <c r="AE654" s="182" t="str">
        <f>IFERROR(LOOKUP(2,1/((D_Points!$A$5:$A$204&lt;&gt;"")*(D_Points!$A$5:$A$204&gt;=$B654)*(D_Points!$A$5:$A$204&lt;$B654+P_Interval)*(UPPER(TRIM(D_Points!$B$5:$B$204))="TURNOUT_R")*(D_Points!$H$5:$H$204&lt;&gt;"")),D_Points!$H$5:$H$204),"")</f>
        <v/>
      </c>
      <c r="AF654" s="181" t="str">
        <f>IFERROR(LOOKUP(2,1/((B_Drainage!$A$5:$A$204&lt;&gt;"")*(B_Drainage!$A$5:$A$204&lt;=$B654)*(B_Drainage!$B$5:$B$204&gt;$B654)*(B_Drainage!$M$5:$M$204&lt;&gt;"")),IF(UPPER(B_Drainage!$M$5:$M$204)="Y",1,"")),"")</f>
        <v/>
      </c>
      <c r="AG654" s="181" t="str">
        <f>IFERROR(LOOKUP(2,1/((B_Drainage!$A$5:$A$204&lt;&gt;"")*(B_Drainage!$A$5:$A$204&lt;=$B654)*(B_Drainage!$B$5:$B$204&gt;$B654)*(B_Drainage!$N$5:$N$204&lt;&gt;"")),IF(UPPER(B_Drainage!$N$5:$N$204)="Y",1,"")),"")</f>
        <v/>
      </c>
      <c r="AH654" s="181" t="str">
        <f t="shared" si="80"/>
        <v/>
      </c>
      <c r="AI654" s="181" t="str">
        <f t="shared" si="81"/>
        <v/>
      </c>
      <c r="AJ654" s="181" t="str">
        <f t="shared" si="82"/>
        <v/>
      </c>
      <c r="AK654" s="181" t="str">
        <f t="shared" si="83"/>
        <v/>
      </c>
      <c r="AL654" s="181" t="str">
        <f t="shared" si="84"/>
        <v/>
      </c>
      <c r="AM654" s="181" t="str">
        <f t="shared" si="85"/>
        <v/>
      </c>
      <c r="AN654" s="181" t="str">
        <f t="shared" si="86"/>
        <v/>
      </c>
      <c r="AO654" s="192" t="str">
        <f t="shared" si="87"/>
        <v/>
      </c>
      <c r="AQ654" t="str">
        <f>IFERROR(LOOKUP(2,1/((C_Pavement!$A$5:$A$204&lt;&gt;"")*(C_Pavement!$A$5:$A$204&lt;=$B654)*(C_Pavement!$B$5:$B$204&gt;$B654)*(C_Pavement!$C$5:$C$204&lt;&gt;"")),ROW(C_Pavement!$C$5:$C$204)-4),"")</f>
        <v/>
      </c>
      <c r="AR654" t="str">
        <f>IF($AQ654="","",UPPER(TRIM(INDEX(C_Pavement!$C$5:$C$204,$AQ654))))</f>
        <v/>
      </c>
      <c r="AS654" t="str">
        <f>IF($AR654="","",IFERROR(MATCH($AR654,E_Rules!$A$5:$A$9,0),""))</f>
        <v/>
      </c>
      <c r="AT654" t="str">
        <f>IF($AQ654="","",IF(INDEX(C_Pavement!$D$5:$D$204,$AQ654)&lt;&gt;"",UPPER(TRIM(INDEX(C_Pavement!$D$5:$D$204,$AQ654))),IF($AS654="","",INDEX(E_Rules!$C$5:$C$9,$AS654))))</f>
        <v/>
      </c>
      <c r="AU654" t="str">
        <f>IF($AQ654="","",IF(INDEX(C_Pavement!$E$5:$E$204,$AQ654)&lt;&gt;"",IF(INDEX(C_Pavement!$E$5:$E$204,$AQ654)="-","",INDEX(C_Pavement!$E$5:$E$204,$AQ654)),IF($AS654="","",INDEX(E_Rules!$D$5:$D$9,$AS654))))</f>
        <v/>
      </c>
      <c r="AV654" t="str">
        <f>IF($AQ654="","",IF(INDEX(C_Pavement!$F$5:$F$204,$AQ654)&lt;&gt;"",IF(INDEX(C_Pavement!$F$5:$F$204,$AQ654)="-","",INDEX(C_Pavement!$F$5:$F$204,$AQ654)),IF($AS654="","",INDEX(E_Rules!$E$5:$E$9,$AS654))))</f>
        <v/>
      </c>
      <c r="AW654" t="str">
        <f>IF($AQ654="","",IF(INDEX(C_Pavement!$G$5:$G$204,$AQ654)&lt;&gt;"",IF(INDEX(C_Pavement!$G$5:$G$204,$AQ654)="-","",INDEX(C_Pavement!$G$5:$G$204,$AQ654)),IF($AS654="","",INDEX(E_Rules!$F$5:$F$9,$AS654))))</f>
        <v/>
      </c>
      <c r="AX654" t="str">
        <f>IF($AQ654="","",IF(INDEX(C_Pavement!$H$5:$H$204,$AQ654)&lt;&gt;"",IF(INDEX(C_Pavement!$H$5:$H$204,$AQ654)="-","",INDEX(C_Pavement!$H$5:$H$204,$AQ654)),IF($AS654="","",INDEX(E_Rules!$G$5:$G$9,$AS654))))</f>
        <v/>
      </c>
      <c r="AY654" t="str">
        <f>IF($AQ654="","",IF(INDEX(C_Pavement!$I$5:$I$204,$AQ654)&lt;&gt;"",IF(INDEX(C_Pavement!$I$5:$I$204,$AQ654)="-","",INDEX(C_Pavement!$I$5:$I$204,$AQ654)),IF($AS654="","",INDEX(E_Rules!$H$5:$H$9,$AS654))))</f>
        <v/>
      </c>
    </row>
    <row r="655" spans="1:51" ht="15.75" customHeight="1" x14ac:dyDescent="0.3">
      <c r="A655" s="189">
        <v>650</v>
      </c>
      <c r="B655" s="180">
        <v>32450</v>
      </c>
      <c r="C655" s="180" t="s">
        <v>961</v>
      </c>
      <c r="D655" s="181" t="str">
        <f>IFERROR(LOOKUP(2,1/((A_Corridor!$A$5:$A$204&lt;&gt;"")*(A_Corridor!$A$5:$A$204&lt;=$B655)*(A_Corridor!$B$5:$B$204&gt;$B655)*(A_Corridor!$C$5:$C$204&lt;&gt;"")),IF(UPPER(A_Corridor!$C$5:$C$204)="Y",1,"")),"")</f>
        <v/>
      </c>
      <c r="E655" s="181" t="str">
        <f>IFERROR(LOOKUP(2,1/((A_Corridor!$A$5:$A$204&lt;&gt;"")*(A_Corridor!$A$5:$A$204&lt;=$B655)*(A_Corridor!$B$5:$B$204&gt;$B655)*(A_Corridor!$D$5:$D$204&lt;&gt;"")),IF(A_Corridor!$D$5:$D$204="-","",UPPER(A_Corridor!$D$5:$D$204))),"")</f>
        <v/>
      </c>
      <c r="F655" s="181" t="str">
        <f>IFERROR(LOOKUP(2,1/((A_Corridor!$A$5:$A$204&lt;&gt;"")*(A_Corridor!$A$5:$A$204&lt;=$B655)*(A_Corridor!$B$5:$B$204&gt;$B655)*(A_Corridor!$E$5:$E$204&lt;&gt;"")),IF(A_Corridor!$E$5:$E$204="-","",1)),"")</f>
        <v/>
      </c>
      <c r="G655" s="182" t="str">
        <f>IFERROR(LOOKUP(2,1/((A_Corridor!$A$5:$A$204&lt;&gt;"")*(A_Corridor!$A$5:$A$204&lt;=$B655)*(A_Corridor!$B$5:$B$204&gt;$B655)*(A_Corridor!$E$5:$E$204&lt;&gt;"")),IF(A_Corridor!$E$5:$E$204="-","",A_Corridor!$E$5:$E$204)),"")</f>
        <v/>
      </c>
      <c r="H655" s="182" t="str">
        <f>IFERROR(LOOKUP(2,1/((D_Points!$A$5:$A$204&lt;&gt;"")*(D_Points!$A$5:$A$204&gt;=$B655)*(D_Points!$A$5:$A$204&lt;$B655+P_Interval)*(UPPER(TRIM(D_Points!$B$5:$B$204))="GULLY")*(D_Points!$H$5:$H$204&lt;&gt;"")),D_Points!$H$5:$H$204),"")</f>
        <v/>
      </c>
      <c r="I655" s="181" t="str">
        <f>IFERROR(LOOKUP(2,1/((A_Corridor!$A$5:$A$204&lt;&gt;"")*(A_Corridor!$A$5:$A$204&lt;=$B655)*(A_Corridor!$B$5:$B$204&gt;$B655)*(A_Corridor!$F$5:$F$204&lt;&gt;"")),IF(A_Corridor!$F$5:$F$204="-","",1)),"")</f>
        <v/>
      </c>
      <c r="J655" s="182" t="str">
        <f>IFERROR(LOOKUP(2,1/((A_Corridor!$A$5:$A$204&lt;&gt;"")*(A_Corridor!$A$5:$A$204&lt;=$B655)*(A_Corridor!$B$5:$B$204&gt;$B655)*(A_Corridor!$F$5:$F$204&lt;&gt;"")),IF(A_Corridor!$F$5:$F$204="-","",A_Corridor!$F$5:$F$204)),"")</f>
        <v/>
      </c>
      <c r="K655" s="182" t="str">
        <f>IFERROR(LOOKUP(2,1/((A_Corridor!$A$5:$A$204&lt;&gt;"")*(A_Corridor!$A$5:$A$204&lt;=$B655)*(A_Corridor!$B$5:$B$204&gt;$B655)*(A_Corridor!$G$5:$G$204&lt;&gt;"")),IF(A_Corridor!$G$5:$G$204="-","",A_Corridor!$G$5:$G$204)),"")</f>
        <v/>
      </c>
      <c r="L655" s="181" t="str">
        <f>IFERROR(LOOKUP(2,1/((A_Corridor!$A$5:$A$204&lt;&gt;"")*(A_Corridor!$A$5:$A$204&lt;=$B655)*(A_Corridor!$B$5:$B$204&gt;$B655)*(A_Corridor!$H$5:$H$204&lt;&gt;"")),IF(A_Corridor!$H$5:$H$204="-","",1)),"")</f>
        <v/>
      </c>
      <c r="M655" s="182" t="str">
        <f>IFERROR(LOOKUP(2,1/((A_Corridor!$A$5:$A$204&lt;&gt;"")*(A_Corridor!$A$5:$A$204&lt;=$B655)*(A_Corridor!$B$5:$B$204&gt;$B655)*(A_Corridor!$H$5:$H$204&lt;&gt;"")),IF(A_Corridor!$H$5:$H$204="-","",A_Corridor!$H$5:$H$204)),"")</f>
        <v/>
      </c>
      <c r="N655" s="182" t="str">
        <f>IFERROR(LOOKUP(2,1/((A_Corridor!$A$5:$A$204&lt;&gt;"")*(A_Corridor!$A$5:$A$204&lt;=$B655)*(A_Corridor!$B$5:$B$204&gt;$B655)*(A_Corridor!$I$5:$I$204&lt;&gt;"")),IF(A_Corridor!$I$5:$I$204="-","",A_Corridor!$I$5:$I$204)),"")</f>
        <v/>
      </c>
      <c r="O655" s="182" t="str">
        <f>IFERROR(LOOKUP(2,1/((D_Points!$A$5:$A$204&lt;&gt;"")*(D_Points!$A$5:$A$204&gt;=$B655)*(D_Points!$A$5:$A$204&lt;$B655+P_Interval)*(UPPER(TRIM(D_Points!$B$5:$B$204))="PITCHING")*(D_Points!$H$5:$H$204&lt;&gt;"")),D_Points!$H$5:$H$204),"")</f>
        <v/>
      </c>
      <c r="P655" s="181" t="str">
        <f>IFERROR(LOOKUP(2,1/((B_Drainage!$A$5:$A$204&lt;&gt;"")*(B_Drainage!$A$5:$A$204&lt;=$B655)*(B_Drainage!$B$5:$B$204&gt;$B655)*(B_Drainage!$C$5:$C$204&lt;&gt;"")),IF(B_Drainage!$C$5:$C$204="-","",UPPER(B_Drainage!$C$5:$C$204))),"")</f>
        <v/>
      </c>
      <c r="Q655" s="181" t="str">
        <f>IFERROR(LOOKUP(2,1/((B_Drainage!$A$5:$A$204&lt;&gt;"")*(B_Drainage!$A$5:$A$204&lt;=$B655)*(B_Drainage!$B$5:$B$204&gt;$B655)*(B_Drainage!$D$5:$D$204&lt;&gt;"")),IF(B_Drainage!$D$5:$D$204="-","",UPPER(B_Drainage!$D$5:$D$204))),"")</f>
        <v/>
      </c>
      <c r="R655" s="182" t="str">
        <f>IFERROR(LOOKUP(2,1/((D_Points!$A$5:$A$204&lt;&gt;"")*(D_Points!$A$5:$A$204&gt;=$B655)*(D_Points!$A$5:$A$204&lt;$B655+P_Interval)*(RIGHT(UPPER(TRIM(D_Points!$B$5:$B$204)),8)="_CULVERT")),IF(LEFT(UPPER(TRIM(D_Points!$B$5:$B$204)),2)="EX",1,IF(LEFT(UPPER(TRIM(D_Points!$B$5:$B$204)),2)="PR",2,3))),"")</f>
        <v/>
      </c>
      <c r="S655" s="182" t="str">
        <f>IFERROR(LOOKUP(2,1/((D_Points!$A$5:$A$204&lt;&gt;"")*(D_Points!$A$5:$A$204&gt;=$B655)*(D_Points!$A$5:$A$204&lt;$B655+P_Interval)*(RIGHT(UPPER(TRIM(D_Points!$B$5:$B$204)),7)="_BRIDGE")),IF(LEFT(UPPER(TRIM(D_Points!$B$5:$B$204)),2)="EX",1,IF(LEFT(UPPER(TRIM(D_Points!$B$5:$B$204)),2)="PR",2,2))),"")</f>
        <v/>
      </c>
      <c r="T655" s="181" t="str">
        <f>IFERROR(LOOKUP(2,1/((B_Drainage!$A$5:$A$204&lt;&gt;"")*(B_Drainage!$A$5:$A$204&lt;=$B655)*(B_Drainage!$B$5:$B$204&gt;$B655)*(B_Drainage!$E$5:$E$204&lt;&gt;"")),IF(B_Drainage!$E$5:$E$204="-","",1)),"")</f>
        <v/>
      </c>
      <c r="U655" s="181" t="str">
        <f>IFERROR(LOOKUP(2,1/((B_Drainage!$A$5:$A$204&lt;&gt;"")*(B_Drainage!$A$5:$A$204&lt;=$B655)*(B_Drainage!$B$5:$B$204&gt;$B655)*(B_Drainage!$E$5:$E$204&lt;&gt;"")),IF(B_Drainage!$E$5:$E$204="-","",B_Drainage!$E$5:$E$204)),"")</f>
        <v/>
      </c>
      <c r="V655" s="181" t="str">
        <f>IFERROR(LOOKUP(2,1/((B_Drainage!$A$5:$A$204&lt;&gt;"")*(B_Drainage!$A$5:$A$204&lt;=$B655)*(B_Drainage!$B$5:$B$204&gt;$B655)*(B_Drainage!$F$5:$F$204&lt;&gt;"")),IF(B_Drainage!$F$5:$F$204="-","",1)),"")</f>
        <v/>
      </c>
      <c r="W655" s="181" t="str">
        <f>IFERROR(LOOKUP(2,1/((B_Drainage!$A$5:$A$204&lt;&gt;"")*(B_Drainage!$A$5:$A$204&lt;=$B655)*(B_Drainage!$B$5:$B$204&gt;$B655)*(B_Drainage!$F$5:$F$204&lt;&gt;"")),IF(B_Drainage!$F$5:$F$204="-","",B_Drainage!$F$5:$F$204)),"")</f>
        <v/>
      </c>
      <c r="X655" s="181" t="str">
        <f>IFERROR(LOOKUP(2,1/((B_Drainage!$A$5:$A$204&lt;&gt;"")*(B_Drainage!$A$5:$A$204&lt;=$B655)*(B_Drainage!$B$5:$B$204&gt;$B655)*(B_Drainage!$G$5:$G$204&lt;&gt;"")),IF(UPPER(B_Drainage!$G$5:$G$204)="Y",1,"")),"")</f>
        <v/>
      </c>
      <c r="Y655" s="181" t="str">
        <f>IFERROR(LOOKUP(2,1/((B_Drainage!$A$5:$A$204&lt;&gt;"")*(B_Drainage!$A$5:$A$204&lt;=$B655)*(B_Drainage!$B$5:$B$204&gt;$B655)*(B_Drainage!$H$5:$H$204&lt;&gt;"")),IF(UPPER(B_Drainage!$H$5:$H$204)="Y",1,"")),"")</f>
        <v/>
      </c>
      <c r="Z655" s="181" t="str">
        <f>IFERROR(LOOKUP(2,1/((B_Drainage!$A$5:$A$204&lt;&gt;"")*(B_Drainage!$A$5:$A$204&lt;=$B655)*(B_Drainage!$B$5:$B$204&gt;$B655)*(B_Drainage!$I$5:$I$204&lt;&gt;"")),IF(UPPER(B_Drainage!$I$5:$I$204)="Y",1,"")),"")</f>
        <v/>
      </c>
      <c r="AA655" s="181" t="str">
        <f>IFERROR(LOOKUP(2,1/((B_Drainage!$A$5:$A$204&lt;&gt;"")*(B_Drainage!$A$5:$A$204&lt;=$B655)*(B_Drainage!$B$5:$B$204&gt;$B655)*(B_Drainage!$J$5:$J$204&lt;&gt;"")),IF(UPPER(B_Drainage!$J$5:$J$204)="Y",1,"")),"")</f>
        <v/>
      </c>
      <c r="AB655" s="182" t="str">
        <f>IFERROR(LOOKUP(2,1/((B_Drainage!$A$5:$A$204&lt;&gt;"")*(B_Drainage!$A$5:$A$204&lt;=$B655)*(B_Drainage!$B$5:$B$204&gt;$B655)*(B_Drainage!$K$5:$K$204&lt;&gt;"")),IF(B_Drainage!$K$5:$K$204="-","",B_Drainage!$K$5:$K$204)),"")</f>
        <v/>
      </c>
      <c r="AC655" s="182" t="str">
        <f>IFERROR(LOOKUP(2,1/((B_Drainage!$A$5:$A$204&lt;&gt;"")*(B_Drainage!$A$5:$A$204&lt;=$B655)*(B_Drainage!$B$5:$B$204&gt;$B655)*(B_Drainage!$L$5:$L$204&lt;&gt;"")),IF(B_Drainage!$L$5:$L$204="-","",B_Drainage!$L$5:$L$204)),"")</f>
        <v/>
      </c>
      <c r="AD655" s="182" t="str">
        <f>IFERROR(LOOKUP(2,1/((D_Points!$A$5:$A$204&lt;&gt;"")*(D_Points!$A$5:$A$204&gt;=$B655)*(D_Points!$A$5:$A$204&lt;$B655+P_Interval)*(UPPER(TRIM(D_Points!$B$5:$B$204))="TURNOUT_L")*(D_Points!$H$5:$H$204&lt;&gt;"")),D_Points!$H$5:$H$204),"")</f>
        <v/>
      </c>
      <c r="AE655" s="182" t="str">
        <f>IFERROR(LOOKUP(2,1/((D_Points!$A$5:$A$204&lt;&gt;"")*(D_Points!$A$5:$A$204&gt;=$B655)*(D_Points!$A$5:$A$204&lt;$B655+P_Interval)*(UPPER(TRIM(D_Points!$B$5:$B$204))="TURNOUT_R")*(D_Points!$H$5:$H$204&lt;&gt;"")),D_Points!$H$5:$H$204),"")</f>
        <v/>
      </c>
      <c r="AF655" s="181" t="str">
        <f>IFERROR(LOOKUP(2,1/((B_Drainage!$A$5:$A$204&lt;&gt;"")*(B_Drainage!$A$5:$A$204&lt;=$B655)*(B_Drainage!$B$5:$B$204&gt;$B655)*(B_Drainage!$M$5:$M$204&lt;&gt;"")),IF(UPPER(B_Drainage!$M$5:$M$204)="Y",1,"")),"")</f>
        <v/>
      </c>
      <c r="AG655" s="181" t="str">
        <f>IFERROR(LOOKUP(2,1/((B_Drainage!$A$5:$A$204&lt;&gt;"")*(B_Drainage!$A$5:$A$204&lt;=$B655)*(B_Drainage!$B$5:$B$204&gt;$B655)*(B_Drainage!$N$5:$N$204&lt;&gt;"")),IF(UPPER(B_Drainage!$N$5:$N$204)="Y",1,"")),"")</f>
        <v/>
      </c>
      <c r="AH655" s="181" t="str">
        <f t="shared" si="80"/>
        <v/>
      </c>
      <c r="AI655" s="181" t="str">
        <f t="shared" si="81"/>
        <v/>
      </c>
      <c r="AJ655" s="181" t="str">
        <f t="shared" si="82"/>
        <v/>
      </c>
      <c r="AK655" s="181" t="str">
        <f t="shared" si="83"/>
        <v/>
      </c>
      <c r="AL655" s="181" t="str">
        <f t="shared" si="84"/>
        <v/>
      </c>
      <c r="AM655" s="181" t="str">
        <f t="shared" si="85"/>
        <v/>
      </c>
      <c r="AN655" s="181" t="str">
        <f t="shared" si="86"/>
        <v/>
      </c>
      <c r="AO655" s="192" t="str">
        <f t="shared" si="87"/>
        <v/>
      </c>
      <c r="AQ655" t="str">
        <f>IFERROR(LOOKUP(2,1/((C_Pavement!$A$5:$A$204&lt;&gt;"")*(C_Pavement!$A$5:$A$204&lt;=$B655)*(C_Pavement!$B$5:$B$204&gt;$B655)*(C_Pavement!$C$5:$C$204&lt;&gt;"")),ROW(C_Pavement!$C$5:$C$204)-4),"")</f>
        <v/>
      </c>
      <c r="AR655" t="str">
        <f>IF($AQ655="","",UPPER(TRIM(INDEX(C_Pavement!$C$5:$C$204,$AQ655))))</f>
        <v/>
      </c>
      <c r="AS655" t="str">
        <f>IF($AR655="","",IFERROR(MATCH($AR655,E_Rules!$A$5:$A$9,0),""))</f>
        <v/>
      </c>
      <c r="AT655" t="str">
        <f>IF($AQ655="","",IF(INDEX(C_Pavement!$D$5:$D$204,$AQ655)&lt;&gt;"",UPPER(TRIM(INDEX(C_Pavement!$D$5:$D$204,$AQ655))),IF($AS655="","",INDEX(E_Rules!$C$5:$C$9,$AS655))))</f>
        <v/>
      </c>
      <c r="AU655" t="str">
        <f>IF($AQ655="","",IF(INDEX(C_Pavement!$E$5:$E$204,$AQ655)&lt;&gt;"",IF(INDEX(C_Pavement!$E$5:$E$204,$AQ655)="-","",INDEX(C_Pavement!$E$5:$E$204,$AQ655)),IF($AS655="","",INDEX(E_Rules!$D$5:$D$9,$AS655))))</f>
        <v/>
      </c>
      <c r="AV655" t="str">
        <f>IF($AQ655="","",IF(INDEX(C_Pavement!$F$5:$F$204,$AQ655)&lt;&gt;"",IF(INDEX(C_Pavement!$F$5:$F$204,$AQ655)="-","",INDEX(C_Pavement!$F$5:$F$204,$AQ655)),IF($AS655="","",INDEX(E_Rules!$E$5:$E$9,$AS655))))</f>
        <v/>
      </c>
      <c r="AW655" t="str">
        <f>IF($AQ655="","",IF(INDEX(C_Pavement!$G$5:$G$204,$AQ655)&lt;&gt;"",IF(INDEX(C_Pavement!$G$5:$G$204,$AQ655)="-","",INDEX(C_Pavement!$G$5:$G$204,$AQ655)),IF($AS655="","",INDEX(E_Rules!$F$5:$F$9,$AS655))))</f>
        <v/>
      </c>
      <c r="AX655" t="str">
        <f>IF($AQ655="","",IF(INDEX(C_Pavement!$H$5:$H$204,$AQ655)&lt;&gt;"",IF(INDEX(C_Pavement!$H$5:$H$204,$AQ655)="-","",INDEX(C_Pavement!$H$5:$H$204,$AQ655)),IF($AS655="","",INDEX(E_Rules!$G$5:$G$9,$AS655))))</f>
        <v/>
      </c>
      <c r="AY655" t="str">
        <f>IF($AQ655="","",IF(INDEX(C_Pavement!$I$5:$I$204,$AQ655)&lt;&gt;"",IF(INDEX(C_Pavement!$I$5:$I$204,$AQ655)="-","",INDEX(C_Pavement!$I$5:$I$204,$AQ655)),IF($AS655="","",INDEX(E_Rules!$H$5:$H$9,$AS655))))</f>
        <v/>
      </c>
    </row>
    <row r="656" spans="1:51" ht="15.75" customHeight="1" x14ac:dyDescent="0.3">
      <c r="A656" s="189">
        <v>651</v>
      </c>
      <c r="B656" s="180">
        <v>32500</v>
      </c>
      <c r="C656" s="180" t="s">
        <v>962</v>
      </c>
      <c r="D656" s="181" t="str">
        <f>IFERROR(LOOKUP(2,1/((A_Corridor!$A$5:$A$204&lt;&gt;"")*(A_Corridor!$A$5:$A$204&lt;=$B656)*(A_Corridor!$B$5:$B$204&gt;$B656)*(A_Corridor!$C$5:$C$204&lt;&gt;"")),IF(UPPER(A_Corridor!$C$5:$C$204)="Y",1,"")),"")</f>
        <v/>
      </c>
      <c r="E656" s="181" t="str">
        <f>IFERROR(LOOKUP(2,1/((A_Corridor!$A$5:$A$204&lt;&gt;"")*(A_Corridor!$A$5:$A$204&lt;=$B656)*(A_Corridor!$B$5:$B$204&gt;$B656)*(A_Corridor!$D$5:$D$204&lt;&gt;"")),IF(A_Corridor!$D$5:$D$204="-","",UPPER(A_Corridor!$D$5:$D$204))),"")</f>
        <v/>
      </c>
      <c r="F656" s="181" t="str">
        <f>IFERROR(LOOKUP(2,1/((A_Corridor!$A$5:$A$204&lt;&gt;"")*(A_Corridor!$A$5:$A$204&lt;=$B656)*(A_Corridor!$B$5:$B$204&gt;$B656)*(A_Corridor!$E$5:$E$204&lt;&gt;"")),IF(A_Corridor!$E$5:$E$204="-","",1)),"")</f>
        <v/>
      </c>
      <c r="G656" s="182" t="str">
        <f>IFERROR(LOOKUP(2,1/((A_Corridor!$A$5:$A$204&lt;&gt;"")*(A_Corridor!$A$5:$A$204&lt;=$B656)*(A_Corridor!$B$5:$B$204&gt;$B656)*(A_Corridor!$E$5:$E$204&lt;&gt;"")),IF(A_Corridor!$E$5:$E$204="-","",A_Corridor!$E$5:$E$204)),"")</f>
        <v/>
      </c>
      <c r="H656" s="182" t="str">
        <f>IFERROR(LOOKUP(2,1/((D_Points!$A$5:$A$204&lt;&gt;"")*(D_Points!$A$5:$A$204&gt;=$B656)*(D_Points!$A$5:$A$204&lt;$B656+P_Interval)*(UPPER(TRIM(D_Points!$B$5:$B$204))="GULLY")*(D_Points!$H$5:$H$204&lt;&gt;"")),D_Points!$H$5:$H$204),"")</f>
        <v/>
      </c>
      <c r="I656" s="181" t="str">
        <f>IFERROR(LOOKUP(2,1/((A_Corridor!$A$5:$A$204&lt;&gt;"")*(A_Corridor!$A$5:$A$204&lt;=$B656)*(A_Corridor!$B$5:$B$204&gt;$B656)*(A_Corridor!$F$5:$F$204&lt;&gt;"")),IF(A_Corridor!$F$5:$F$204="-","",1)),"")</f>
        <v/>
      </c>
      <c r="J656" s="182" t="str">
        <f>IFERROR(LOOKUP(2,1/((A_Corridor!$A$5:$A$204&lt;&gt;"")*(A_Corridor!$A$5:$A$204&lt;=$B656)*(A_Corridor!$B$5:$B$204&gt;$B656)*(A_Corridor!$F$5:$F$204&lt;&gt;"")),IF(A_Corridor!$F$5:$F$204="-","",A_Corridor!$F$5:$F$204)),"")</f>
        <v/>
      </c>
      <c r="K656" s="182" t="str">
        <f>IFERROR(LOOKUP(2,1/((A_Corridor!$A$5:$A$204&lt;&gt;"")*(A_Corridor!$A$5:$A$204&lt;=$B656)*(A_Corridor!$B$5:$B$204&gt;$B656)*(A_Corridor!$G$5:$G$204&lt;&gt;"")),IF(A_Corridor!$G$5:$G$204="-","",A_Corridor!$G$5:$G$204)),"")</f>
        <v/>
      </c>
      <c r="L656" s="181" t="str">
        <f>IFERROR(LOOKUP(2,1/((A_Corridor!$A$5:$A$204&lt;&gt;"")*(A_Corridor!$A$5:$A$204&lt;=$B656)*(A_Corridor!$B$5:$B$204&gt;$B656)*(A_Corridor!$H$5:$H$204&lt;&gt;"")),IF(A_Corridor!$H$5:$H$204="-","",1)),"")</f>
        <v/>
      </c>
      <c r="M656" s="182" t="str">
        <f>IFERROR(LOOKUP(2,1/((A_Corridor!$A$5:$A$204&lt;&gt;"")*(A_Corridor!$A$5:$A$204&lt;=$B656)*(A_Corridor!$B$5:$B$204&gt;$B656)*(A_Corridor!$H$5:$H$204&lt;&gt;"")),IF(A_Corridor!$H$5:$H$204="-","",A_Corridor!$H$5:$H$204)),"")</f>
        <v/>
      </c>
      <c r="N656" s="182" t="str">
        <f>IFERROR(LOOKUP(2,1/((A_Corridor!$A$5:$A$204&lt;&gt;"")*(A_Corridor!$A$5:$A$204&lt;=$B656)*(A_Corridor!$B$5:$B$204&gt;$B656)*(A_Corridor!$I$5:$I$204&lt;&gt;"")),IF(A_Corridor!$I$5:$I$204="-","",A_Corridor!$I$5:$I$204)),"")</f>
        <v/>
      </c>
      <c r="O656" s="182" t="str">
        <f>IFERROR(LOOKUP(2,1/((D_Points!$A$5:$A$204&lt;&gt;"")*(D_Points!$A$5:$A$204&gt;=$B656)*(D_Points!$A$5:$A$204&lt;$B656+P_Interval)*(UPPER(TRIM(D_Points!$B$5:$B$204))="PITCHING")*(D_Points!$H$5:$H$204&lt;&gt;"")),D_Points!$H$5:$H$204),"")</f>
        <v/>
      </c>
      <c r="P656" s="181" t="str">
        <f>IFERROR(LOOKUP(2,1/((B_Drainage!$A$5:$A$204&lt;&gt;"")*(B_Drainage!$A$5:$A$204&lt;=$B656)*(B_Drainage!$B$5:$B$204&gt;$B656)*(B_Drainage!$C$5:$C$204&lt;&gt;"")),IF(B_Drainage!$C$5:$C$204="-","",UPPER(B_Drainage!$C$5:$C$204))),"")</f>
        <v/>
      </c>
      <c r="Q656" s="181" t="str">
        <f>IFERROR(LOOKUP(2,1/((B_Drainage!$A$5:$A$204&lt;&gt;"")*(B_Drainage!$A$5:$A$204&lt;=$B656)*(B_Drainage!$B$5:$B$204&gt;$B656)*(B_Drainage!$D$5:$D$204&lt;&gt;"")),IF(B_Drainage!$D$5:$D$204="-","",UPPER(B_Drainage!$D$5:$D$204))),"")</f>
        <v/>
      </c>
      <c r="R656" s="182" t="str">
        <f>IFERROR(LOOKUP(2,1/((D_Points!$A$5:$A$204&lt;&gt;"")*(D_Points!$A$5:$A$204&gt;=$B656)*(D_Points!$A$5:$A$204&lt;$B656+P_Interval)*(RIGHT(UPPER(TRIM(D_Points!$B$5:$B$204)),8)="_CULVERT")),IF(LEFT(UPPER(TRIM(D_Points!$B$5:$B$204)),2)="EX",1,IF(LEFT(UPPER(TRIM(D_Points!$B$5:$B$204)),2)="PR",2,3))),"")</f>
        <v/>
      </c>
      <c r="S656" s="182" t="str">
        <f>IFERROR(LOOKUP(2,1/((D_Points!$A$5:$A$204&lt;&gt;"")*(D_Points!$A$5:$A$204&gt;=$B656)*(D_Points!$A$5:$A$204&lt;$B656+P_Interval)*(RIGHT(UPPER(TRIM(D_Points!$B$5:$B$204)),7)="_BRIDGE")),IF(LEFT(UPPER(TRIM(D_Points!$B$5:$B$204)),2)="EX",1,IF(LEFT(UPPER(TRIM(D_Points!$B$5:$B$204)),2)="PR",2,2))),"")</f>
        <v/>
      </c>
      <c r="T656" s="181" t="str">
        <f>IFERROR(LOOKUP(2,1/((B_Drainage!$A$5:$A$204&lt;&gt;"")*(B_Drainage!$A$5:$A$204&lt;=$B656)*(B_Drainage!$B$5:$B$204&gt;$B656)*(B_Drainage!$E$5:$E$204&lt;&gt;"")),IF(B_Drainage!$E$5:$E$204="-","",1)),"")</f>
        <v/>
      </c>
      <c r="U656" s="181" t="str">
        <f>IFERROR(LOOKUP(2,1/((B_Drainage!$A$5:$A$204&lt;&gt;"")*(B_Drainage!$A$5:$A$204&lt;=$B656)*(B_Drainage!$B$5:$B$204&gt;$B656)*(B_Drainage!$E$5:$E$204&lt;&gt;"")),IF(B_Drainage!$E$5:$E$204="-","",B_Drainage!$E$5:$E$204)),"")</f>
        <v/>
      </c>
      <c r="V656" s="181" t="str">
        <f>IFERROR(LOOKUP(2,1/((B_Drainage!$A$5:$A$204&lt;&gt;"")*(B_Drainage!$A$5:$A$204&lt;=$B656)*(B_Drainage!$B$5:$B$204&gt;$B656)*(B_Drainage!$F$5:$F$204&lt;&gt;"")),IF(B_Drainage!$F$5:$F$204="-","",1)),"")</f>
        <v/>
      </c>
      <c r="W656" s="181" t="str">
        <f>IFERROR(LOOKUP(2,1/((B_Drainage!$A$5:$A$204&lt;&gt;"")*(B_Drainage!$A$5:$A$204&lt;=$B656)*(B_Drainage!$B$5:$B$204&gt;$B656)*(B_Drainage!$F$5:$F$204&lt;&gt;"")),IF(B_Drainage!$F$5:$F$204="-","",B_Drainage!$F$5:$F$204)),"")</f>
        <v/>
      </c>
      <c r="X656" s="181" t="str">
        <f>IFERROR(LOOKUP(2,1/((B_Drainage!$A$5:$A$204&lt;&gt;"")*(B_Drainage!$A$5:$A$204&lt;=$B656)*(B_Drainage!$B$5:$B$204&gt;$B656)*(B_Drainage!$G$5:$G$204&lt;&gt;"")),IF(UPPER(B_Drainage!$G$5:$G$204)="Y",1,"")),"")</f>
        <v/>
      </c>
      <c r="Y656" s="181" t="str">
        <f>IFERROR(LOOKUP(2,1/((B_Drainage!$A$5:$A$204&lt;&gt;"")*(B_Drainage!$A$5:$A$204&lt;=$B656)*(B_Drainage!$B$5:$B$204&gt;$B656)*(B_Drainage!$H$5:$H$204&lt;&gt;"")),IF(UPPER(B_Drainage!$H$5:$H$204)="Y",1,"")),"")</f>
        <v/>
      </c>
      <c r="Z656" s="181" t="str">
        <f>IFERROR(LOOKUP(2,1/((B_Drainage!$A$5:$A$204&lt;&gt;"")*(B_Drainage!$A$5:$A$204&lt;=$B656)*(B_Drainage!$B$5:$B$204&gt;$B656)*(B_Drainage!$I$5:$I$204&lt;&gt;"")),IF(UPPER(B_Drainage!$I$5:$I$204)="Y",1,"")),"")</f>
        <v/>
      </c>
      <c r="AA656" s="181" t="str">
        <f>IFERROR(LOOKUP(2,1/((B_Drainage!$A$5:$A$204&lt;&gt;"")*(B_Drainage!$A$5:$A$204&lt;=$B656)*(B_Drainage!$B$5:$B$204&gt;$B656)*(B_Drainage!$J$5:$J$204&lt;&gt;"")),IF(UPPER(B_Drainage!$J$5:$J$204)="Y",1,"")),"")</f>
        <v/>
      </c>
      <c r="AB656" s="182" t="str">
        <f>IFERROR(LOOKUP(2,1/((B_Drainage!$A$5:$A$204&lt;&gt;"")*(B_Drainage!$A$5:$A$204&lt;=$B656)*(B_Drainage!$B$5:$B$204&gt;$B656)*(B_Drainage!$K$5:$K$204&lt;&gt;"")),IF(B_Drainage!$K$5:$K$204="-","",B_Drainage!$K$5:$K$204)),"")</f>
        <v/>
      </c>
      <c r="AC656" s="182" t="str">
        <f>IFERROR(LOOKUP(2,1/((B_Drainage!$A$5:$A$204&lt;&gt;"")*(B_Drainage!$A$5:$A$204&lt;=$B656)*(B_Drainage!$B$5:$B$204&gt;$B656)*(B_Drainage!$L$5:$L$204&lt;&gt;"")),IF(B_Drainage!$L$5:$L$204="-","",B_Drainage!$L$5:$L$204)),"")</f>
        <v/>
      </c>
      <c r="AD656" s="182" t="str">
        <f>IFERROR(LOOKUP(2,1/((D_Points!$A$5:$A$204&lt;&gt;"")*(D_Points!$A$5:$A$204&gt;=$B656)*(D_Points!$A$5:$A$204&lt;$B656+P_Interval)*(UPPER(TRIM(D_Points!$B$5:$B$204))="TURNOUT_L")*(D_Points!$H$5:$H$204&lt;&gt;"")),D_Points!$H$5:$H$204),"")</f>
        <v/>
      </c>
      <c r="AE656" s="182" t="str">
        <f>IFERROR(LOOKUP(2,1/((D_Points!$A$5:$A$204&lt;&gt;"")*(D_Points!$A$5:$A$204&gt;=$B656)*(D_Points!$A$5:$A$204&lt;$B656+P_Interval)*(UPPER(TRIM(D_Points!$B$5:$B$204))="TURNOUT_R")*(D_Points!$H$5:$H$204&lt;&gt;"")),D_Points!$H$5:$H$204),"")</f>
        <v/>
      </c>
      <c r="AF656" s="181" t="str">
        <f>IFERROR(LOOKUP(2,1/((B_Drainage!$A$5:$A$204&lt;&gt;"")*(B_Drainage!$A$5:$A$204&lt;=$B656)*(B_Drainage!$B$5:$B$204&gt;$B656)*(B_Drainage!$M$5:$M$204&lt;&gt;"")),IF(UPPER(B_Drainage!$M$5:$M$204)="Y",1,"")),"")</f>
        <v/>
      </c>
      <c r="AG656" s="181" t="str">
        <f>IFERROR(LOOKUP(2,1/((B_Drainage!$A$5:$A$204&lt;&gt;"")*(B_Drainage!$A$5:$A$204&lt;=$B656)*(B_Drainage!$B$5:$B$204&gt;$B656)*(B_Drainage!$N$5:$N$204&lt;&gt;"")),IF(UPPER(B_Drainage!$N$5:$N$204)="Y",1,"")),"")</f>
        <v/>
      </c>
      <c r="AH656" s="181" t="str">
        <f t="shared" si="80"/>
        <v/>
      </c>
      <c r="AI656" s="181" t="str">
        <f t="shared" si="81"/>
        <v/>
      </c>
      <c r="AJ656" s="181" t="str">
        <f t="shared" si="82"/>
        <v/>
      </c>
      <c r="AK656" s="181" t="str">
        <f t="shared" si="83"/>
        <v/>
      </c>
      <c r="AL656" s="181" t="str">
        <f t="shared" si="84"/>
        <v/>
      </c>
      <c r="AM656" s="181" t="str">
        <f t="shared" si="85"/>
        <v/>
      </c>
      <c r="AN656" s="181" t="str">
        <f t="shared" si="86"/>
        <v/>
      </c>
      <c r="AO656" s="192" t="str">
        <f t="shared" si="87"/>
        <v/>
      </c>
      <c r="AQ656" t="str">
        <f>IFERROR(LOOKUP(2,1/((C_Pavement!$A$5:$A$204&lt;&gt;"")*(C_Pavement!$A$5:$A$204&lt;=$B656)*(C_Pavement!$B$5:$B$204&gt;$B656)*(C_Pavement!$C$5:$C$204&lt;&gt;"")),ROW(C_Pavement!$C$5:$C$204)-4),"")</f>
        <v/>
      </c>
      <c r="AR656" t="str">
        <f>IF($AQ656="","",UPPER(TRIM(INDEX(C_Pavement!$C$5:$C$204,$AQ656))))</f>
        <v/>
      </c>
      <c r="AS656" t="str">
        <f>IF($AR656="","",IFERROR(MATCH($AR656,E_Rules!$A$5:$A$9,0),""))</f>
        <v/>
      </c>
      <c r="AT656" t="str">
        <f>IF($AQ656="","",IF(INDEX(C_Pavement!$D$5:$D$204,$AQ656)&lt;&gt;"",UPPER(TRIM(INDEX(C_Pavement!$D$5:$D$204,$AQ656))),IF($AS656="","",INDEX(E_Rules!$C$5:$C$9,$AS656))))</f>
        <v/>
      </c>
      <c r="AU656" t="str">
        <f>IF($AQ656="","",IF(INDEX(C_Pavement!$E$5:$E$204,$AQ656)&lt;&gt;"",IF(INDEX(C_Pavement!$E$5:$E$204,$AQ656)="-","",INDEX(C_Pavement!$E$5:$E$204,$AQ656)),IF($AS656="","",INDEX(E_Rules!$D$5:$D$9,$AS656))))</f>
        <v/>
      </c>
      <c r="AV656" t="str">
        <f>IF($AQ656="","",IF(INDEX(C_Pavement!$F$5:$F$204,$AQ656)&lt;&gt;"",IF(INDEX(C_Pavement!$F$5:$F$204,$AQ656)="-","",INDEX(C_Pavement!$F$5:$F$204,$AQ656)),IF($AS656="","",INDEX(E_Rules!$E$5:$E$9,$AS656))))</f>
        <v/>
      </c>
      <c r="AW656" t="str">
        <f>IF($AQ656="","",IF(INDEX(C_Pavement!$G$5:$G$204,$AQ656)&lt;&gt;"",IF(INDEX(C_Pavement!$G$5:$G$204,$AQ656)="-","",INDEX(C_Pavement!$G$5:$G$204,$AQ656)),IF($AS656="","",INDEX(E_Rules!$F$5:$F$9,$AS656))))</f>
        <v/>
      </c>
      <c r="AX656" t="str">
        <f>IF($AQ656="","",IF(INDEX(C_Pavement!$H$5:$H$204,$AQ656)&lt;&gt;"",IF(INDEX(C_Pavement!$H$5:$H$204,$AQ656)="-","",INDEX(C_Pavement!$H$5:$H$204,$AQ656)),IF($AS656="","",INDEX(E_Rules!$G$5:$G$9,$AS656))))</f>
        <v/>
      </c>
      <c r="AY656" t="str">
        <f>IF($AQ656="","",IF(INDEX(C_Pavement!$I$5:$I$204,$AQ656)&lt;&gt;"",IF(INDEX(C_Pavement!$I$5:$I$204,$AQ656)="-","",INDEX(C_Pavement!$I$5:$I$204,$AQ656)),IF($AS656="","",INDEX(E_Rules!$H$5:$H$9,$AS656))))</f>
        <v/>
      </c>
    </row>
    <row r="657" spans="1:51" ht="15.75" customHeight="1" x14ac:dyDescent="0.3">
      <c r="A657" s="189">
        <v>652</v>
      </c>
      <c r="B657" s="180">
        <v>32550</v>
      </c>
      <c r="C657" s="180" t="s">
        <v>963</v>
      </c>
      <c r="D657" s="181" t="str">
        <f>IFERROR(LOOKUP(2,1/((A_Corridor!$A$5:$A$204&lt;&gt;"")*(A_Corridor!$A$5:$A$204&lt;=$B657)*(A_Corridor!$B$5:$B$204&gt;$B657)*(A_Corridor!$C$5:$C$204&lt;&gt;"")),IF(UPPER(A_Corridor!$C$5:$C$204)="Y",1,"")),"")</f>
        <v/>
      </c>
      <c r="E657" s="181" t="str">
        <f>IFERROR(LOOKUP(2,1/((A_Corridor!$A$5:$A$204&lt;&gt;"")*(A_Corridor!$A$5:$A$204&lt;=$B657)*(A_Corridor!$B$5:$B$204&gt;$B657)*(A_Corridor!$D$5:$D$204&lt;&gt;"")),IF(A_Corridor!$D$5:$D$204="-","",UPPER(A_Corridor!$D$5:$D$204))),"")</f>
        <v/>
      </c>
      <c r="F657" s="181" t="str">
        <f>IFERROR(LOOKUP(2,1/((A_Corridor!$A$5:$A$204&lt;&gt;"")*(A_Corridor!$A$5:$A$204&lt;=$B657)*(A_Corridor!$B$5:$B$204&gt;$B657)*(A_Corridor!$E$5:$E$204&lt;&gt;"")),IF(A_Corridor!$E$5:$E$204="-","",1)),"")</f>
        <v/>
      </c>
      <c r="G657" s="182" t="str">
        <f>IFERROR(LOOKUP(2,1/((A_Corridor!$A$5:$A$204&lt;&gt;"")*(A_Corridor!$A$5:$A$204&lt;=$B657)*(A_Corridor!$B$5:$B$204&gt;$B657)*(A_Corridor!$E$5:$E$204&lt;&gt;"")),IF(A_Corridor!$E$5:$E$204="-","",A_Corridor!$E$5:$E$204)),"")</f>
        <v/>
      </c>
      <c r="H657" s="182" t="str">
        <f>IFERROR(LOOKUP(2,1/((D_Points!$A$5:$A$204&lt;&gt;"")*(D_Points!$A$5:$A$204&gt;=$B657)*(D_Points!$A$5:$A$204&lt;$B657+P_Interval)*(UPPER(TRIM(D_Points!$B$5:$B$204))="GULLY")*(D_Points!$H$5:$H$204&lt;&gt;"")),D_Points!$H$5:$H$204),"")</f>
        <v/>
      </c>
      <c r="I657" s="181" t="str">
        <f>IFERROR(LOOKUP(2,1/((A_Corridor!$A$5:$A$204&lt;&gt;"")*(A_Corridor!$A$5:$A$204&lt;=$B657)*(A_Corridor!$B$5:$B$204&gt;$B657)*(A_Corridor!$F$5:$F$204&lt;&gt;"")),IF(A_Corridor!$F$5:$F$204="-","",1)),"")</f>
        <v/>
      </c>
      <c r="J657" s="182" t="str">
        <f>IFERROR(LOOKUP(2,1/((A_Corridor!$A$5:$A$204&lt;&gt;"")*(A_Corridor!$A$5:$A$204&lt;=$B657)*(A_Corridor!$B$5:$B$204&gt;$B657)*(A_Corridor!$F$5:$F$204&lt;&gt;"")),IF(A_Corridor!$F$5:$F$204="-","",A_Corridor!$F$5:$F$204)),"")</f>
        <v/>
      </c>
      <c r="K657" s="182" t="str">
        <f>IFERROR(LOOKUP(2,1/((A_Corridor!$A$5:$A$204&lt;&gt;"")*(A_Corridor!$A$5:$A$204&lt;=$B657)*(A_Corridor!$B$5:$B$204&gt;$B657)*(A_Corridor!$G$5:$G$204&lt;&gt;"")),IF(A_Corridor!$G$5:$G$204="-","",A_Corridor!$G$5:$G$204)),"")</f>
        <v/>
      </c>
      <c r="L657" s="181" t="str">
        <f>IFERROR(LOOKUP(2,1/((A_Corridor!$A$5:$A$204&lt;&gt;"")*(A_Corridor!$A$5:$A$204&lt;=$B657)*(A_Corridor!$B$5:$B$204&gt;$B657)*(A_Corridor!$H$5:$H$204&lt;&gt;"")),IF(A_Corridor!$H$5:$H$204="-","",1)),"")</f>
        <v/>
      </c>
      <c r="M657" s="182" t="str">
        <f>IFERROR(LOOKUP(2,1/((A_Corridor!$A$5:$A$204&lt;&gt;"")*(A_Corridor!$A$5:$A$204&lt;=$B657)*(A_Corridor!$B$5:$B$204&gt;$B657)*(A_Corridor!$H$5:$H$204&lt;&gt;"")),IF(A_Corridor!$H$5:$H$204="-","",A_Corridor!$H$5:$H$204)),"")</f>
        <v/>
      </c>
      <c r="N657" s="182" t="str">
        <f>IFERROR(LOOKUP(2,1/((A_Corridor!$A$5:$A$204&lt;&gt;"")*(A_Corridor!$A$5:$A$204&lt;=$B657)*(A_Corridor!$B$5:$B$204&gt;$B657)*(A_Corridor!$I$5:$I$204&lt;&gt;"")),IF(A_Corridor!$I$5:$I$204="-","",A_Corridor!$I$5:$I$204)),"")</f>
        <v/>
      </c>
      <c r="O657" s="182" t="str">
        <f>IFERROR(LOOKUP(2,1/((D_Points!$A$5:$A$204&lt;&gt;"")*(D_Points!$A$5:$A$204&gt;=$B657)*(D_Points!$A$5:$A$204&lt;$B657+P_Interval)*(UPPER(TRIM(D_Points!$B$5:$B$204))="PITCHING")*(D_Points!$H$5:$H$204&lt;&gt;"")),D_Points!$H$5:$H$204),"")</f>
        <v/>
      </c>
      <c r="P657" s="181" t="str">
        <f>IFERROR(LOOKUP(2,1/((B_Drainage!$A$5:$A$204&lt;&gt;"")*(B_Drainage!$A$5:$A$204&lt;=$B657)*(B_Drainage!$B$5:$B$204&gt;$B657)*(B_Drainage!$C$5:$C$204&lt;&gt;"")),IF(B_Drainage!$C$5:$C$204="-","",UPPER(B_Drainage!$C$5:$C$204))),"")</f>
        <v/>
      </c>
      <c r="Q657" s="181" t="str">
        <f>IFERROR(LOOKUP(2,1/((B_Drainage!$A$5:$A$204&lt;&gt;"")*(B_Drainage!$A$5:$A$204&lt;=$B657)*(B_Drainage!$B$5:$B$204&gt;$B657)*(B_Drainage!$D$5:$D$204&lt;&gt;"")),IF(B_Drainage!$D$5:$D$204="-","",UPPER(B_Drainage!$D$5:$D$204))),"")</f>
        <v/>
      </c>
      <c r="R657" s="182" t="str">
        <f>IFERROR(LOOKUP(2,1/((D_Points!$A$5:$A$204&lt;&gt;"")*(D_Points!$A$5:$A$204&gt;=$B657)*(D_Points!$A$5:$A$204&lt;$B657+P_Interval)*(RIGHT(UPPER(TRIM(D_Points!$B$5:$B$204)),8)="_CULVERT")),IF(LEFT(UPPER(TRIM(D_Points!$B$5:$B$204)),2)="EX",1,IF(LEFT(UPPER(TRIM(D_Points!$B$5:$B$204)),2)="PR",2,3))),"")</f>
        <v/>
      </c>
      <c r="S657" s="182" t="str">
        <f>IFERROR(LOOKUP(2,1/((D_Points!$A$5:$A$204&lt;&gt;"")*(D_Points!$A$5:$A$204&gt;=$B657)*(D_Points!$A$5:$A$204&lt;$B657+P_Interval)*(RIGHT(UPPER(TRIM(D_Points!$B$5:$B$204)),7)="_BRIDGE")),IF(LEFT(UPPER(TRIM(D_Points!$B$5:$B$204)),2)="EX",1,IF(LEFT(UPPER(TRIM(D_Points!$B$5:$B$204)),2)="PR",2,2))),"")</f>
        <v/>
      </c>
      <c r="T657" s="181" t="str">
        <f>IFERROR(LOOKUP(2,1/((B_Drainage!$A$5:$A$204&lt;&gt;"")*(B_Drainage!$A$5:$A$204&lt;=$B657)*(B_Drainage!$B$5:$B$204&gt;$B657)*(B_Drainage!$E$5:$E$204&lt;&gt;"")),IF(B_Drainage!$E$5:$E$204="-","",1)),"")</f>
        <v/>
      </c>
      <c r="U657" s="181" t="str">
        <f>IFERROR(LOOKUP(2,1/((B_Drainage!$A$5:$A$204&lt;&gt;"")*(B_Drainage!$A$5:$A$204&lt;=$B657)*(B_Drainage!$B$5:$B$204&gt;$B657)*(B_Drainage!$E$5:$E$204&lt;&gt;"")),IF(B_Drainage!$E$5:$E$204="-","",B_Drainage!$E$5:$E$204)),"")</f>
        <v/>
      </c>
      <c r="V657" s="181" t="str">
        <f>IFERROR(LOOKUP(2,1/((B_Drainage!$A$5:$A$204&lt;&gt;"")*(B_Drainage!$A$5:$A$204&lt;=$B657)*(B_Drainage!$B$5:$B$204&gt;$B657)*(B_Drainage!$F$5:$F$204&lt;&gt;"")),IF(B_Drainage!$F$5:$F$204="-","",1)),"")</f>
        <v/>
      </c>
      <c r="W657" s="181" t="str">
        <f>IFERROR(LOOKUP(2,1/((B_Drainage!$A$5:$A$204&lt;&gt;"")*(B_Drainage!$A$5:$A$204&lt;=$B657)*(B_Drainage!$B$5:$B$204&gt;$B657)*(B_Drainage!$F$5:$F$204&lt;&gt;"")),IF(B_Drainage!$F$5:$F$204="-","",B_Drainage!$F$5:$F$204)),"")</f>
        <v/>
      </c>
      <c r="X657" s="181" t="str">
        <f>IFERROR(LOOKUP(2,1/((B_Drainage!$A$5:$A$204&lt;&gt;"")*(B_Drainage!$A$5:$A$204&lt;=$B657)*(B_Drainage!$B$5:$B$204&gt;$B657)*(B_Drainage!$G$5:$G$204&lt;&gt;"")),IF(UPPER(B_Drainage!$G$5:$G$204)="Y",1,"")),"")</f>
        <v/>
      </c>
      <c r="Y657" s="181" t="str">
        <f>IFERROR(LOOKUP(2,1/((B_Drainage!$A$5:$A$204&lt;&gt;"")*(B_Drainage!$A$5:$A$204&lt;=$B657)*(B_Drainage!$B$5:$B$204&gt;$B657)*(B_Drainage!$H$5:$H$204&lt;&gt;"")),IF(UPPER(B_Drainage!$H$5:$H$204)="Y",1,"")),"")</f>
        <v/>
      </c>
      <c r="Z657" s="181" t="str">
        <f>IFERROR(LOOKUP(2,1/((B_Drainage!$A$5:$A$204&lt;&gt;"")*(B_Drainage!$A$5:$A$204&lt;=$B657)*(B_Drainage!$B$5:$B$204&gt;$B657)*(B_Drainage!$I$5:$I$204&lt;&gt;"")),IF(UPPER(B_Drainage!$I$5:$I$204)="Y",1,"")),"")</f>
        <v/>
      </c>
      <c r="AA657" s="181" t="str">
        <f>IFERROR(LOOKUP(2,1/((B_Drainage!$A$5:$A$204&lt;&gt;"")*(B_Drainage!$A$5:$A$204&lt;=$B657)*(B_Drainage!$B$5:$B$204&gt;$B657)*(B_Drainage!$J$5:$J$204&lt;&gt;"")),IF(UPPER(B_Drainage!$J$5:$J$204)="Y",1,"")),"")</f>
        <v/>
      </c>
      <c r="AB657" s="182" t="str">
        <f>IFERROR(LOOKUP(2,1/((B_Drainage!$A$5:$A$204&lt;&gt;"")*(B_Drainage!$A$5:$A$204&lt;=$B657)*(B_Drainage!$B$5:$B$204&gt;$B657)*(B_Drainage!$K$5:$K$204&lt;&gt;"")),IF(B_Drainage!$K$5:$K$204="-","",B_Drainage!$K$5:$K$204)),"")</f>
        <v/>
      </c>
      <c r="AC657" s="182" t="str">
        <f>IFERROR(LOOKUP(2,1/((B_Drainage!$A$5:$A$204&lt;&gt;"")*(B_Drainage!$A$5:$A$204&lt;=$B657)*(B_Drainage!$B$5:$B$204&gt;$B657)*(B_Drainage!$L$5:$L$204&lt;&gt;"")),IF(B_Drainage!$L$5:$L$204="-","",B_Drainage!$L$5:$L$204)),"")</f>
        <v/>
      </c>
      <c r="AD657" s="182" t="str">
        <f>IFERROR(LOOKUP(2,1/((D_Points!$A$5:$A$204&lt;&gt;"")*(D_Points!$A$5:$A$204&gt;=$B657)*(D_Points!$A$5:$A$204&lt;$B657+P_Interval)*(UPPER(TRIM(D_Points!$B$5:$B$204))="TURNOUT_L")*(D_Points!$H$5:$H$204&lt;&gt;"")),D_Points!$H$5:$H$204),"")</f>
        <v/>
      </c>
      <c r="AE657" s="182" t="str">
        <f>IFERROR(LOOKUP(2,1/((D_Points!$A$5:$A$204&lt;&gt;"")*(D_Points!$A$5:$A$204&gt;=$B657)*(D_Points!$A$5:$A$204&lt;$B657+P_Interval)*(UPPER(TRIM(D_Points!$B$5:$B$204))="TURNOUT_R")*(D_Points!$H$5:$H$204&lt;&gt;"")),D_Points!$H$5:$H$204),"")</f>
        <v/>
      </c>
      <c r="AF657" s="181" t="str">
        <f>IFERROR(LOOKUP(2,1/((B_Drainage!$A$5:$A$204&lt;&gt;"")*(B_Drainage!$A$5:$A$204&lt;=$B657)*(B_Drainage!$B$5:$B$204&gt;$B657)*(B_Drainage!$M$5:$M$204&lt;&gt;"")),IF(UPPER(B_Drainage!$M$5:$M$204)="Y",1,"")),"")</f>
        <v/>
      </c>
      <c r="AG657" s="181" t="str">
        <f>IFERROR(LOOKUP(2,1/((B_Drainage!$A$5:$A$204&lt;&gt;"")*(B_Drainage!$A$5:$A$204&lt;=$B657)*(B_Drainage!$B$5:$B$204&gt;$B657)*(B_Drainage!$N$5:$N$204&lt;&gt;"")),IF(UPPER(B_Drainage!$N$5:$N$204)="Y",1,"")),"")</f>
        <v/>
      </c>
      <c r="AH657" s="181" t="str">
        <f t="shared" si="80"/>
        <v/>
      </c>
      <c r="AI657" s="181" t="str">
        <f t="shared" si="81"/>
        <v/>
      </c>
      <c r="AJ657" s="181" t="str">
        <f t="shared" si="82"/>
        <v/>
      </c>
      <c r="AK657" s="181" t="str">
        <f t="shared" si="83"/>
        <v/>
      </c>
      <c r="AL657" s="181" t="str">
        <f t="shared" si="84"/>
        <v/>
      </c>
      <c r="AM657" s="181" t="str">
        <f t="shared" si="85"/>
        <v/>
      </c>
      <c r="AN657" s="181" t="str">
        <f t="shared" si="86"/>
        <v/>
      </c>
      <c r="AO657" s="192" t="str">
        <f t="shared" si="87"/>
        <v/>
      </c>
      <c r="AQ657" t="str">
        <f>IFERROR(LOOKUP(2,1/((C_Pavement!$A$5:$A$204&lt;&gt;"")*(C_Pavement!$A$5:$A$204&lt;=$B657)*(C_Pavement!$B$5:$B$204&gt;$B657)*(C_Pavement!$C$5:$C$204&lt;&gt;"")),ROW(C_Pavement!$C$5:$C$204)-4),"")</f>
        <v/>
      </c>
      <c r="AR657" t="str">
        <f>IF($AQ657="","",UPPER(TRIM(INDEX(C_Pavement!$C$5:$C$204,$AQ657))))</f>
        <v/>
      </c>
      <c r="AS657" t="str">
        <f>IF($AR657="","",IFERROR(MATCH($AR657,E_Rules!$A$5:$A$9,0),""))</f>
        <v/>
      </c>
      <c r="AT657" t="str">
        <f>IF($AQ657="","",IF(INDEX(C_Pavement!$D$5:$D$204,$AQ657)&lt;&gt;"",UPPER(TRIM(INDEX(C_Pavement!$D$5:$D$204,$AQ657))),IF($AS657="","",INDEX(E_Rules!$C$5:$C$9,$AS657))))</f>
        <v/>
      </c>
      <c r="AU657" t="str">
        <f>IF($AQ657="","",IF(INDEX(C_Pavement!$E$5:$E$204,$AQ657)&lt;&gt;"",IF(INDEX(C_Pavement!$E$5:$E$204,$AQ657)="-","",INDEX(C_Pavement!$E$5:$E$204,$AQ657)),IF($AS657="","",INDEX(E_Rules!$D$5:$D$9,$AS657))))</f>
        <v/>
      </c>
      <c r="AV657" t="str">
        <f>IF($AQ657="","",IF(INDEX(C_Pavement!$F$5:$F$204,$AQ657)&lt;&gt;"",IF(INDEX(C_Pavement!$F$5:$F$204,$AQ657)="-","",INDEX(C_Pavement!$F$5:$F$204,$AQ657)),IF($AS657="","",INDEX(E_Rules!$E$5:$E$9,$AS657))))</f>
        <v/>
      </c>
      <c r="AW657" t="str">
        <f>IF($AQ657="","",IF(INDEX(C_Pavement!$G$5:$G$204,$AQ657)&lt;&gt;"",IF(INDEX(C_Pavement!$G$5:$G$204,$AQ657)="-","",INDEX(C_Pavement!$G$5:$G$204,$AQ657)),IF($AS657="","",INDEX(E_Rules!$F$5:$F$9,$AS657))))</f>
        <v/>
      </c>
      <c r="AX657" t="str">
        <f>IF($AQ657="","",IF(INDEX(C_Pavement!$H$5:$H$204,$AQ657)&lt;&gt;"",IF(INDEX(C_Pavement!$H$5:$H$204,$AQ657)="-","",INDEX(C_Pavement!$H$5:$H$204,$AQ657)),IF($AS657="","",INDEX(E_Rules!$G$5:$G$9,$AS657))))</f>
        <v/>
      </c>
      <c r="AY657" t="str">
        <f>IF($AQ657="","",IF(INDEX(C_Pavement!$I$5:$I$204,$AQ657)&lt;&gt;"",IF(INDEX(C_Pavement!$I$5:$I$204,$AQ657)="-","",INDEX(C_Pavement!$I$5:$I$204,$AQ657)),IF($AS657="","",INDEX(E_Rules!$H$5:$H$9,$AS657))))</f>
        <v/>
      </c>
    </row>
    <row r="658" spans="1:51" ht="15.75" customHeight="1" x14ac:dyDescent="0.3">
      <c r="A658" s="189">
        <v>653</v>
      </c>
      <c r="B658" s="180">
        <v>32600</v>
      </c>
      <c r="C658" s="180" t="s">
        <v>964</v>
      </c>
      <c r="D658" s="181" t="str">
        <f>IFERROR(LOOKUP(2,1/((A_Corridor!$A$5:$A$204&lt;&gt;"")*(A_Corridor!$A$5:$A$204&lt;=$B658)*(A_Corridor!$B$5:$B$204&gt;$B658)*(A_Corridor!$C$5:$C$204&lt;&gt;"")),IF(UPPER(A_Corridor!$C$5:$C$204)="Y",1,"")),"")</f>
        <v/>
      </c>
      <c r="E658" s="181" t="str">
        <f>IFERROR(LOOKUP(2,1/((A_Corridor!$A$5:$A$204&lt;&gt;"")*(A_Corridor!$A$5:$A$204&lt;=$B658)*(A_Corridor!$B$5:$B$204&gt;$B658)*(A_Corridor!$D$5:$D$204&lt;&gt;"")),IF(A_Corridor!$D$5:$D$204="-","",UPPER(A_Corridor!$D$5:$D$204))),"")</f>
        <v/>
      </c>
      <c r="F658" s="181" t="str">
        <f>IFERROR(LOOKUP(2,1/((A_Corridor!$A$5:$A$204&lt;&gt;"")*(A_Corridor!$A$5:$A$204&lt;=$B658)*(A_Corridor!$B$5:$B$204&gt;$B658)*(A_Corridor!$E$5:$E$204&lt;&gt;"")),IF(A_Corridor!$E$5:$E$204="-","",1)),"")</f>
        <v/>
      </c>
      <c r="G658" s="182" t="str">
        <f>IFERROR(LOOKUP(2,1/((A_Corridor!$A$5:$A$204&lt;&gt;"")*(A_Corridor!$A$5:$A$204&lt;=$B658)*(A_Corridor!$B$5:$B$204&gt;$B658)*(A_Corridor!$E$5:$E$204&lt;&gt;"")),IF(A_Corridor!$E$5:$E$204="-","",A_Corridor!$E$5:$E$204)),"")</f>
        <v/>
      </c>
      <c r="H658" s="182" t="str">
        <f>IFERROR(LOOKUP(2,1/((D_Points!$A$5:$A$204&lt;&gt;"")*(D_Points!$A$5:$A$204&gt;=$B658)*(D_Points!$A$5:$A$204&lt;$B658+P_Interval)*(UPPER(TRIM(D_Points!$B$5:$B$204))="GULLY")*(D_Points!$H$5:$H$204&lt;&gt;"")),D_Points!$H$5:$H$204),"")</f>
        <v/>
      </c>
      <c r="I658" s="181" t="str">
        <f>IFERROR(LOOKUP(2,1/((A_Corridor!$A$5:$A$204&lt;&gt;"")*(A_Corridor!$A$5:$A$204&lt;=$B658)*(A_Corridor!$B$5:$B$204&gt;$B658)*(A_Corridor!$F$5:$F$204&lt;&gt;"")),IF(A_Corridor!$F$5:$F$204="-","",1)),"")</f>
        <v/>
      </c>
      <c r="J658" s="182" t="str">
        <f>IFERROR(LOOKUP(2,1/((A_Corridor!$A$5:$A$204&lt;&gt;"")*(A_Corridor!$A$5:$A$204&lt;=$B658)*(A_Corridor!$B$5:$B$204&gt;$B658)*(A_Corridor!$F$5:$F$204&lt;&gt;"")),IF(A_Corridor!$F$5:$F$204="-","",A_Corridor!$F$5:$F$204)),"")</f>
        <v/>
      </c>
      <c r="K658" s="182" t="str">
        <f>IFERROR(LOOKUP(2,1/((A_Corridor!$A$5:$A$204&lt;&gt;"")*(A_Corridor!$A$5:$A$204&lt;=$B658)*(A_Corridor!$B$5:$B$204&gt;$B658)*(A_Corridor!$G$5:$G$204&lt;&gt;"")),IF(A_Corridor!$G$5:$G$204="-","",A_Corridor!$G$5:$G$204)),"")</f>
        <v/>
      </c>
      <c r="L658" s="181" t="str">
        <f>IFERROR(LOOKUP(2,1/((A_Corridor!$A$5:$A$204&lt;&gt;"")*(A_Corridor!$A$5:$A$204&lt;=$B658)*(A_Corridor!$B$5:$B$204&gt;$B658)*(A_Corridor!$H$5:$H$204&lt;&gt;"")),IF(A_Corridor!$H$5:$H$204="-","",1)),"")</f>
        <v/>
      </c>
      <c r="M658" s="182" t="str">
        <f>IFERROR(LOOKUP(2,1/((A_Corridor!$A$5:$A$204&lt;&gt;"")*(A_Corridor!$A$5:$A$204&lt;=$B658)*(A_Corridor!$B$5:$B$204&gt;$B658)*(A_Corridor!$H$5:$H$204&lt;&gt;"")),IF(A_Corridor!$H$5:$H$204="-","",A_Corridor!$H$5:$H$204)),"")</f>
        <v/>
      </c>
      <c r="N658" s="182" t="str">
        <f>IFERROR(LOOKUP(2,1/((A_Corridor!$A$5:$A$204&lt;&gt;"")*(A_Corridor!$A$5:$A$204&lt;=$B658)*(A_Corridor!$B$5:$B$204&gt;$B658)*(A_Corridor!$I$5:$I$204&lt;&gt;"")),IF(A_Corridor!$I$5:$I$204="-","",A_Corridor!$I$5:$I$204)),"")</f>
        <v/>
      </c>
      <c r="O658" s="182" t="str">
        <f>IFERROR(LOOKUP(2,1/((D_Points!$A$5:$A$204&lt;&gt;"")*(D_Points!$A$5:$A$204&gt;=$B658)*(D_Points!$A$5:$A$204&lt;$B658+P_Interval)*(UPPER(TRIM(D_Points!$B$5:$B$204))="PITCHING")*(D_Points!$H$5:$H$204&lt;&gt;"")),D_Points!$H$5:$H$204),"")</f>
        <v/>
      </c>
      <c r="P658" s="181" t="str">
        <f>IFERROR(LOOKUP(2,1/((B_Drainage!$A$5:$A$204&lt;&gt;"")*(B_Drainage!$A$5:$A$204&lt;=$B658)*(B_Drainage!$B$5:$B$204&gt;$B658)*(B_Drainage!$C$5:$C$204&lt;&gt;"")),IF(B_Drainage!$C$5:$C$204="-","",UPPER(B_Drainage!$C$5:$C$204))),"")</f>
        <v/>
      </c>
      <c r="Q658" s="181" t="str">
        <f>IFERROR(LOOKUP(2,1/((B_Drainage!$A$5:$A$204&lt;&gt;"")*(B_Drainage!$A$5:$A$204&lt;=$B658)*(B_Drainage!$B$5:$B$204&gt;$B658)*(B_Drainage!$D$5:$D$204&lt;&gt;"")),IF(B_Drainage!$D$5:$D$204="-","",UPPER(B_Drainage!$D$5:$D$204))),"")</f>
        <v/>
      </c>
      <c r="R658" s="182" t="str">
        <f>IFERROR(LOOKUP(2,1/((D_Points!$A$5:$A$204&lt;&gt;"")*(D_Points!$A$5:$A$204&gt;=$B658)*(D_Points!$A$5:$A$204&lt;$B658+P_Interval)*(RIGHT(UPPER(TRIM(D_Points!$B$5:$B$204)),8)="_CULVERT")),IF(LEFT(UPPER(TRIM(D_Points!$B$5:$B$204)),2)="EX",1,IF(LEFT(UPPER(TRIM(D_Points!$B$5:$B$204)),2)="PR",2,3))),"")</f>
        <v/>
      </c>
      <c r="S658" s="182" t="str">
        <f>IFERROR(LOOKUP(2,1/((D_Points!$A$5:$A$204&lt;&gt;"")*(D_Points!$A$5:$A$204&gt;=$B658)*(D_Points!$A$5:$A$204&lt;$B658+P_Interval)*(RIGHT(UPPER(TRIM(D_Points!$B$5:$B$204)),7)="_BRIDGE")),IF(LEFT(UPPER(TRIM(D_Points!$B$5:$B$204)),2)="EX",1,IF(LEFT(UPPER(TRIM(D_Points!$B$5:$B$204)),2)="PR",2,2))),"")</f>
        <v/>
      </c>
      <c r="T658" s="181" t="str">
        <f>IFERROR(LOOKUP(2,1/((B_Drainage!$A$5:$A$204&lt;&gt;"")*(B_Drainage!$A$5:$A$204&lt;=$B658)*(B_Drainage!$B$5:$B$204&gt;$B658)*(B_Drainage!$E$5:$E$204&lt;&gt;"")),IF(B_Drainage!$E$5:$E$204="-","",1)),"")</f>
        <v/>
      </c>
      <c r="U658" s="181" t="str">
        <f>IFERROR(LOOKUP(2,1/((B_Drainage!$A$5:$A$204&lt;&gt;"")*(B_Drainage!$A$5:$A$204&lt;=$B658)*(B_Drainage!$B$5:$B$204&gt;$B658)*(B_Drainage!$E$5:$E$204&lt;&gt;"")),IF(B_Drainage!$E$5:$E$204="-","",B_Drainage!$E$5:$E$204)),"")</f>
        <v/>
      </c>
      <c r="V658" s="181" t="str">
        <f>IFERROR(LOOKUP(2,1/((B_Drainage!$A$5:$A$204&lt;&gt;"")*(B_Drainage!$A$5:$A$204&lt;=$B658)*(B_Drainage!$B$5:$B$204&gt;$B658)*(B_Drainage!$F$5:$F$204&lt;&gt;"")),IF(B_Drainage!$F$5:$F$204="-","",1)),"")</f>
        <v/>
      </c>
      <c r="W658" s="181" t="str">
        <f>IFERROR(LOOKUP(2,1/((B_Drainage!$A$5:$A$204&lt;&gt;"")*(B_Drainage!$A$5:$A$204&lt;=$B658)*(B_Drainage!$B$5:$B$204&gt;$B658)*(B_Drainage!$F$5:$F$204&lt;&gt;"")),IF(B_Drainage!$F$5:$F$204="-","",B_Drainage!$F$5:$F$204)),"")</f>
        <v/>
      </c>
      <c r="X658" s="181" t="str">
        <f>IFERROR(LOOKUP(2,1/((B_Drainage!$A$5:$A$204&lt;&gt;"")*(B_Drainage!$A$5:$A$204&lt;=$B658)*(B_Drainage!$B$5:$B$204&gt;$B658)*(B_Drainage!$G$5:$G$204&lt;&gt;"")),IF(UPPER(B_Drainage!$G$5:$G$204)="Y",1,"")),"")</f>
        <v/>
      </c>
      <c r="Y658" s="181" t="str">
        <f>IFERROR(LOOKUP(2,1/((B_Drainage!$A$5:$A$204&lt;&gt;"")*(B_Drainage!$A$5:$A$204&lt;=$B658)*(B_Drainage!$B$5:$B$204&gt;$B658)*(B_Drainage!$H$5:$H$204&lt;&gt;"")),IF(UPPER(B_Drainage!$H$5:$H$204)="Y",1,"")),"")</f>
        <v/>
      </c>
      <c r="Z658" s="181" t="str">
        <f>IFERROR(LOOKUP(2,1/((B_Drainage!$A$5:$A$204&lt;&gt;"")*(B_Drainage!$A$5:$A$204&lt;=$B658)*(B_Drainage!$B$5:$B$204&gt;$B658)*(B_Drainage!$I$5:$I$204&lt;&gt;"")),IF(UPPER(B_Drainage!$I$5:$I$204)="Y",1,"")),"")</f>
        <v/>
      </c>
      <c r="AA658" s="181" t="str">
        <f>IFERROR(LOOKUP(2,1/((B_Drainage!$A$5:$A$204&lt;&gt;"")*(B_Drainage!$A$5:$A$204&lt;=$B658)*(B_Drainage!$B$5:$B$204&gt;$B658)*(B_Drainage!$J$5:$J$204&lt;&gt;"")),IF(UPPER(B_Drainage!$J$5:$J$204)="Y",1,"")),"")</f>
        <v/>
      </c>
      <c r="AB658" s="182" t="str">
        <f>IFERROR(LOOKUP(2,1/((B_Drainage!$A$5:$A$204&lt;&gt;"")*(B_Drainage!$A$5:$A$204&lt;=$B658)*(B_Drainage!$B$5:$B$204&gt;$B658)*(B_Drainage!$K$5:$K$204&lt;&gt;"")),IF(B_Drainage!$K$5:$K$204="-","",B_Drainage!$K$5:$K$204)),"")</f>
        <v/>
      </c>
      <c r="AC658" s="182" t="str">
        <f>IFERROR(LOOKUP(2,1/((B_Drainage!$A$5:$A$204&lt;&gt;"")*(B_Drainage!$A$5:$A$204&lt;=$B658)*(B_Drainage!$B$5:$B$204&gt;$B658)*(B_Drainage!$L$5:$L$204&lt;&gt;"")),IF(B_Drainage!$L$5:$L$204="-","",B_Drainage!$L$5:$L$204)),"")</f>
        <v/>
      </c>
      <c r="AD658" s="182" t="str">
        <f>IFERROR(LOOKUP(2,1/((D_Points!$A$5:$A$204&lt;&gt;"")*(D_Points!$A$5:$A$204&gt;=$B658)*(D_Points!$A$5:$A$204&lt;$B658+P_Interval)*(UPPER(TRIM(D_Points!$B$5:$B$204))="TURNOUT_L")*(D_Points!$H$5:$H$204&lt;&gt;"")),D_Points!$H$5:$H$204),"")</f>
        <v/>
      </c>
      <c r="AE658" s="182" t="str">
        <f>IFERROR(LOOKUP(2,1/((D_Points!$A$5:$A$204&lt;&gt;"")*(D_Points!$A$5:$A$204&gt;=$B658)*(D_Points!$A$5:$A$204&lt;$B658+P_Interval)*(UPPER(TRIM(D_Points!$B$5:$B$204))="TURNOUT_R")*(D_Points!$H$5:$H$204&lt;&gt;"")),D_Points!$H$5:$H$204),"")</f>
        <v/>
      </c>
      <c r="AF658" s="181" t="str">
        <f>IFERROR(LOOKUP(2,1/((B_Drainage!$A$5:$A$204&lt;&gt;"")*(B_Drainage!$A$5:$A$204&lt;=$B658)*(B_Drainage!$B$5:$B$204&gt;$B658)*(B_Drainage!$M$5:$M$204&lt;&gt;"")),IF(UPPER(B_Drainage!$M$5:$M$204)="Y",1,"")),"")</f>
        <v/>
      </c>
      <c r="AG658" s="181" t="str">
        <f>IFERROR(LOOKUP(2,1/((B_Drainage!$A$5:$A$204&lt;&gt;"")*(B_Drainage!$A$5:$A$204&lt;=$B658)*(B_Drainage!$B$5:$B$204&gt;$B658)*(B_Drainage!$N$5:$N$204&lt;&gt;"")),IF(UPPER(B_Drainage!$N$5:$N$204)="Y",1,"")),"")</f>
        <v/>
      </c>
      <c r="AH658" s="181" t="str">
        <f t="shared" si="80"/>
        <v/>
      </c>
      <c r="AI658" s="181" t="str">
        <f t="shared" si="81"/>
        <v/>
      </c>
      <c r="AJ658" s="181" t="str">
        <f t="shared" si="82"/>
        <v/>
      </c>
      <c r="AK658" s="181" t="str">
        <f t="shared" si="83"/>
        <v/>
      </c>
      <c r="AL658" s="181" t="str">
        <f t="shared" si="84"/>
        <v/>
      </c>
      <c r="AM658" s="181" t="str">
        <f t="shared" si="85"/>
        <v/>
      </c>
      <c r="AN658" s="181" t="str">
        <f t="shared" si="86"/>
        <v/>
      </c>
      <c r="AO658" s="192" t="str">
        <f t="shared" si="87"/>
        <v/>
      </c>
      <c r="AQ658" t="str">
        <f>IFERROR(LOOKUP(2,1/((C_Pavement!$A$5:$A$204&lt;&gt;"")*(C_Pavement!$A$5:$A$204&lt;=$B658)*(C_Pavement!$B$5:$B$204&gt;$B658)*(C_Pavement!$C$5:$C$204&lt;&gt;"")),ROW(C_Pavement!$C$5:$C$204)-4),"")</f>
        <v/>
      </c>
      <c r="AR658" t="str">
        <f>IF($AQ658="","",UPPER(TRIM(INDEX(C_Pavement!$C$5:$C$204,$AQ658))))</f>
        <v/>
      </c>
      <c r="AS658" t="str">
        <f>IF($AR658="","",IFERROR(MATCH($AR658,E_Rules!$A$5:$A$9,0),""))</f>
        <v/>
      </c>
      <c r="AT658" t="str">
        <f>IF($AQ658="","",IF(INDEX(C_Pavement!$D$5:$D$204,$AQ658)&lt;&gt;"",UPPER(TRIM(INDEX(C_Pavement!$D$5:$D$204,$AQ658))),IF($AS658="","",INDEX(E_Rules!$C$5:$C$9,$AS658))))</f>
        <v/>
      </c>
      <c r="AU658" t="str">
        <f>IF($AQ658="","",IF(INDEX(C_Pavement!$E$5:$E$204,$AQ658)&lt;&gt;"",IF(INDEX(C_Pavement!$E$5:$E$204,$AQ658)="-","",INDEX(C_Pavement!$E$5:$E$204,$AQ658)),IF($AS658="","",INDEX(E_Rules!$D$5:$D$9,$AS658))))</f>
        <v/>
      </c>
      <c r="AV658" t="str">
        <f>IF($AQ658="","",IF(INDEX(C_Pavement!$F$5:$F$204,$AQ658)&lt;&gt;"",IF(INDEX(C_Pavement!$F$5:$F$204,$AQ658)="-","",INDEX(C_Pavement!$F$5:$F$204,$AQ658)),IF($AS658="","",INDEX(E_Rules!$E$5:$E$9,$AS658))))</f>
        <v/>
      </c>
      <c r="AW658" t="str">
        <f>IF($AQ658="","",IF(INDEX(C_Pavement!$G$5:$G$204,$AQ658)&lt;&gt;"",IF(INDEX(C_Pavement!$G$5:$G$204,$AQ658)="-","",INDEX(C_Pavement!$G$5:$G$204,$AQ658)),IF($AS658="","",INDEX(E_Rules!$F$5:$F$9,$AS658))))</f>
        <v/>
      </c>
      <c r="AX658" t="str">
        <f>IF($AQ658="","",IF(INDEX(C_Pavement!$H$5:$H$204,$AQ658)&lt;&gt;"",IF(INDEX(C_Pavement!$H$5:$H$204,$AQ658)="-","",INDEX(C_Pavement!$H$5:$H$204,$AQ658)),IF($AS658="","",INDEX(E_Rules!$G$5:$G$9,$AS658))))</f>
        <v/>
      </c>
      <c r="AY658" t="str">
        <f>IF($AQ658="","",IF(INDEX(C_Pavement!$I$5:$I$204,$AQ658)&lt;&gt;"",IF(INDEX(C_Pavement!$I$5:$I$204,$AQ658)="-","",INDEX(C_Pavement!$I$5:$I$204,$AQ658)),IF($AS658="","",INDEX(E_Rules!$H$5:$H$9,$AS658))))</f>
        <v/>
      </c>
    </row>
    <row r="659" spans="1:51" ht="15.75" customHeight="1" x14ac:dyDescent="0.3">
      <c r="A659" s="189">
        <v>654</v>
      </c>
      <c r="B659" s="180">
        <v>32650</v>
      </c>
      <c r="C659" s="180" t="s">
        <v>965</v>
      </c>
      <c r="D659" s="181" t="str">
        <f>IFERROR(LOOKUP(2,1/((A_Corridor!$A$5:$A$204&lt;&gt;"")*(A_Corridor!$A$5:$A$204&lt;=$B659)*(A_Corridor!$B$5:$B$204&gt;$B659)*(A_Corridor!$C$5:$C$204&lt;&gt;"")),IF(UPPER(A_Corridor!$C$5:$C$204)="Y",1,"")),"")</f>
        <v/>
      </c>
      <c r="E659" s="181" t="str">
        <f>IFERROR(LOOKUP(2,1/((A_Corridor!$A$5:$A$204&lt;&gt;"")*(A_Corridor!$A$5:$A$204&lt;=$B659)*(A_Corridor!$B$5:$B$204&gt;$B659)*(A_Corridor!$D$5:$D$204&lt;&gt;"")),IF(A_Corridor!$D$5:$D$204="-","",UPPER(A_Corridor!$D$5:$D$204))),"")</f>
        <v/>
      </c>
      <c r="F659" s="181" t="str">
        <f>IFERROR(LOOKUP(2,1/((A_Corridor!$A$5:$A$204&lt;&gt;"")*(A_Corridor!$A$5:$A$204&lt;=$B659)*(A_Corridor!$B$5:$B$204&gt;$B659)*(A_Corridor!$E$5:$E$204&lt;&gt;"")),IF(A_Corridor!$E$5:$E$204="-","",1)),"")</f>
        <v/>
      </c>
      <c r="G659" s="182" t="str">
        <f>IFERROR(LOOKUP(2,1/((A_Corridor!$A$5:$A$204&lt;&gt;"")*(A_Corridor!$A$5:$A$204&lt;=$B659)*(A_Corridor!$B$5:$B$204&gt;$B659)*(A_Corridor!$E$5:$E$204&lt;&gt;"")),IF(A_Corridor!$E$5:$E$204="-","",A_Corridor!$E$5:$E$204)),"")</f>
        <v/>
      </c>
      <c r="H659" s="182" t="str">
        <f>IFERROR(LOOKUP(2,1/((D_Points!$A$5:$A$204&lt;&gt;"")*(D_Points!$A$5:$A$204&gt;=$B659)*(D_Points!$A$5:$A$204&lt;$B659+P_Interval)*(UPPER(TRIM(D_Points!$B$5:$B$204))="GULLY")*(D_Points!$H$5:$H$204&lt;&gt;"")),D_Points!$H$5:$H$204),"")</f>
        <v/>
      </c>
      <c r="I659" s="181" t="str">
        <f>IFERROR(LOOKUP(2,1/((A_Corridor!$A$5:$A$204&lt;&gt;"")*(A_Corridor!$A$5:$A$204&lt;=$B659)*(A_Corridor!$B$5:$B$204&gt;$B659)*(A_Corridor!$F$5:$F$204&lt;&gt;"")),IF(A_Corridor!$F$5:$F$204="-","",1)),"")</f>
        <v/>
      </c>
      <c r="J659" s="182" t="str">
        <f>IFERROR(LOOKUP(2,1/((A_Corridor!$A$5:$A$204&lt;&gt;"")*(A_Corridor!$A$5:$A$204&lt;=$B659)*(A_Corridor!$B$5:$B$204&gt;$B659)*(A_Corridor!$F$5:$F$204&lt;&gt;"")),IF(A_Corridor!$F$5:$F$204="-","",A_Corridor!$F$5:$F$204)),"")</f>
        <v/>
      </c>
      <c r="K659" s="182" t="str">
        <f>IFERROR(LOOKUP(2,1/((A_Corridor!$A$5:$A$204&lt;&gt;"")*(A_Corridor!$A$5:$A$204&lt;=$B659)*(A_Corridor!$B$5:$B$204&gt;$B659)*(A_Corridor!$G$5:$G$204&lt;&gt;"")),IF(A_Corridor!$G$5:$G$204="-","",A_Corridor!$G$5:$G$204)),"")</f>
        <v/>
      </c>
      <c r="L659" s="181" t="str">
        <f>IFERROR(LOOKUP(2,1/((A_Corridor!$A$5:$A$204&lt;&gt;"")*(A_Corridor!$A$5:$A$204&lt;=$B659)*(A_Corridor!$B$5:$B$204&gt;$B659)*(A_Corridor!$H$5:$H$204&lt;&gt;"")),IF(A_Corridor!$H$5:$H$204="-","",1)),"")</f>
        <v/>
      </c>
      <c r="M659" s="182" t="str">
        <f>IFERROR(LOOKUP(2,1/((A_Corridor!$A$5:$A$204&lt;&gt;"")*(A_Corridor!$A$5:$A$204&lt;=$B659)*(A_Corridor!$B$5:$B$204&gt;$B659)*(A_Corridor!$H$5:$H$204&lt;&gt;"")),IF(A_Corridor!$H$5:$H$204="-","",A_Corridor!$H$5:$H$204)),"")</f>
        <v/>
      </c>
      <c r="N659" s="182" t="str">
        <f>IFERROR(LOOKUP(2,1/((A_Corridor!$A$5:$A$204&lt;&gt;"")*(A_Corridor!$A$5:$A$204&lt;=$B659)*(A_Corridor!$B$5:$B$204&gt;$B659)*(A_Corridor!$I$5:$I$204&lt;&gt;"")),IF(A_Corridor!$I$5:$I$204="-","",A_Corridor!$I$5:$I$204)),"")</f>
        <v/>
      </c>
      <c r="O659" s="182" t="str">
        <f>IFERROR(LOOKUP(2,1/((D_Points!$A$5:$A$204&lt;&gt;"")*(D_Points!$A$5:$A$204&gt;=$B659)*(D_Points!$A$5:$A$204&lt;$B659+P_Interval)*(UPPER(TRIM(D_Points!$B$5:$B$204))="PITCHING")*(D_Points!$H$5:$H$204&lt;&gt;"")),D_Points!$H$5:$H$204),"")</f>
        <v/>
      </c>
      <c r="P659" s="181" t="str">
        <f>IFERROR(LOOKUP(2,1/((B_Drainage!$A$5:$A$204&lt;&gt;"")*(B_Drainage!$A$5:$A$204&lt;=$B659)*(B_Drainage!$B$5:$B$204&gt;$B659)*(B_Drainage!$C$5:$C$204&lt;&gt;"")),IF(B_Drainage!$C$5:$C$204="-","",UPPER(B_Drainage!$C$5:$C$204))),"")</f>
        <v/>
      </c>
      <c r="Q659" s="181" t="str">
        <f>IFERROR(LOOKUP(2,1/((B_Drainage!$A$5:$A$204&lt;&gt;"")*(B_Drainage!$A$5:$A$204&lt;=$B659)*(B_Drainage!$B$5:$B$204&gt;$B659)*(B_Drainage!$D$5:$D$204&lt;&gt;"")),IF(B_Drainage!$D$5:$D$204="-","",UPPER(B_Drainage!$D$5:$D$204))),"")</f>
        <v/>
      </c>
      <c r="R659" s="182" t="str">
        <f>IFERROR(LOOKUP(2,1/((D_Points!$A$5:$A$204&lt;&gt;"")*(D_Points!$A$5:$A$204&gt;=$B659)*(D_Points!$A$5:$A$204&lt;$B659+P_Interval)*(RIGHT(UPPER(TRIM(D_Points!$B$5:$B$204)),8)="_CULVERT")),IF(LEFT(UPPER(TRIM(D_Points!$B$5:$B$204)),2)="EX",1,IF(LEFT(UPPER(TRIM(D_Points!$B$5:$B$204)),2)="PR",2,3))),"")</f>
        <v/>
      </c>
      <c r="S659" s="182" t="str">
        <f>IFERROR(LOOKUP(2,1/((D_Points!$A$5:$A$204&lt;&gt;"")*(D_Points!$A$5:$A$204&gt;=$B659)*(D_Points!$A$5:$A$204&lt;$B659+P_Interval)*(RIGHT(UPPER(TRIM(D_Points!$B$5:$B$204)),7)="_BRIDGE")),IF(LEFT(UPPER(TRIM(D_Points!$B$5:$B$204)),2)="EX",1,IF(LEFT(UPPER(TRIM(D_Points!$B$5:$B$204)),2)="PR",2,2))),"")</f>
        <v/>
      </c>
      <c r="T659" s="181" t="str">
        <f>IFERROR(LOOKUP(2,1/((B_Drainage!$A$5:$A$204&lt;&gt;"")*(B_Drainage!$A$5:$A$204&lt;=$B659)*(B_Drainage!$B$5:$B$204&gt;$B659)*(B_Drainage!$E$5:$E$204&lt;&gt;"")),IF(B_Drainage!$E$5:$E$204="-","",1)),"")</f>
        <v/>
      </c>
      <c r="U659" s="181" t="str">
        <f>IFERROR(LOOKUP(2,1/((B_Drainage!$A$5:$A$204&lt;&gt;"")*(B_Drainage!$A$5:$A$204&lt;=$B659)*(B_Drainage!$B$5:$B$204&gt;$B659)*(B_Drainage!$E$5:$E$204&lt;&gt;"")),IF(B_Drainage!$E$5:$E$204="-","",B_Drainage!$E$5:$E$204)),"")</f>
        <v/>
      </c>
      <c r="V659" s="181" t="str">
        <f>IFERROR(LOOKUP(2,1/((B_Drainage!$A$5:$A$204&lt;&gt;"")*(B_Drainage!$A$5:$A$204&lt;=$B659)*(B_Drainage!$B$5:$B$204&gt;$B659)*(B_Drainage!$F$5:$F$204&lt;&gt;"")),IF(B_Drainage!$F$5:$F$204="-","",1)),"")</f>
        <v/>
      </c>
      <c r="W659" s="181" t="str">
        <f>IFERROR(LOOKUP(2,1/((B_Drainage!$A$5:$A$204&lt;&gt;"")*(B_Drainage!$A$5:$A$204&lt;=$B659)*(B_Drainage!$B$5:$B$204&gt;$B659)*(B_Drainage!$F$5:$F$204&lt;&gt;"")),IF(B_Drainage!$F$5:$F$204="-","",B_Drainage!$F$5:$F$204)),"")</f>
        <v/>
      </c>
      <c r="X659" s="181" t="str">
        <f>IFERROR(LOOKUP(2,1/((B_Drainage!$A$5:$A$204&lt;&gt;"")*(B_Drainage!$A$5:$A$204&lt;=$B659)*(B_Drainage!$B$5:$B$204&gt;$B659)*(B_Drainage!$G$5:$G$204&lt;&gt;"")),IF(UPPER(B_Drainage!$G$5:$G$204)="Y",1,"")),"")</f>
        <v/>
      </c>
      <c r="Y659" s="181" t="str">
        <f>IFERROR(LOOKUP(2,1/((B_Drainage!$A$5:$A$204&lt;&gt;"")*(B_Drainage!$A$5:$A$204&lt;=$B659)*(B_Drainage!$B$5:$B$204&gt;$B659)*(B_Drainage!$H$5:$H$204&lt;&gt;"")),IF(UPPER(B_Drainage!$H$5:$H$204)="Y",1,"")),"")</f>
        <v/>
      </c>
      <c r="Z659" s="181" t="str">
        <f>IFERROR(LOOKUP(2,1/((B_Drainage!$A$5:$A$204&lt;&gt;"")*(B_Drainage!$A$5:$A$204&lt;=$B659)*(B_Drainage!$B$5:$B$204&gt;$B659)*(B_Drainage!$I$5:$I$204&lt;&gt;"")),IF(UPPER(B_Drainage!$I$5:$I$204)="Y",1,"")),"")</f>
        <v/>
      </c>
      <c r="AA659" s="181" t="str">
        <f>IFERROR(LOOKUP(2,1/((B_Drainage!$A$5:$A$204&lt;&gt;"")*(B_Drainage!$A$5:$A$204&lt;=$B659)*(B_Drainage!$B$5:$B$204&gt;$B659)*(B_Drainage!$J$5:$J$204&lt;&gt;"")),IF(UPPER(B_Drainage!$J$5:$J$204)="Y",1,"")),"")</f>
        <v/>
      </c>
      <c r="AB659" s="182" t="str">
        <f>IFERROR(LOOKUP(2,1/((B_Drainage!$A$5:$A$204&lt;&gt;"")*(B_Drainage!$A$5:$A$204&lt;=$B659)*(B_Drainage!$B$5:$B$204&gt;$B659)*(B_Drainage!$K$5:$K$204&lt;&gt;"")),IF(B_Drainage!$K$5:$K$204="-","",B_Drainage!$K$5:$K$204)),"")</f>
        <v/>
      </c>
      <c r="AC659" s="182" t="str">
        <f>IFERROR(LOOKUP(2,1/((B_Drainage!$A$5:$A$204&lt;&gt;"")*(B_Drainage!$A$5:$A$204&lt;=$B659)*(B_Drainage!$B$5:$B$204&gt;$B659)*(B_Drainage!$L$5:$L$204&lt;&gt;"")),IF(B_Drainage!$L$5:$L$204="-","",B_Drainage!$L$5:$L$204)),"")</f>
        <v/>
      </c>
      <c r="AD659" s="182" t="str">
        <f>IFERROR(LOOKUP(2,1/((D_Points!$A$5:$A$204&lt;&gt;"")*(D_Points!$A$5:$A$204&gt;=$B659)*(D_Points!$A$5:$A$204&lt;$B659+P_Interval)*(UPPER(TRIM(D_Points!$B$5:$B$204))="TURNOUT_L")*(D_Points!$H$5:$H$204&lt;&gt;"")),D_Points!$H$5:$H$204),"")</f>
        <v/>
      </c>
      <c r="AE659" s="182" t="str">
        <f>IFERROR(LOOKUP(2,1/((D_Points!$A$5:$A$204&lt;&gt;"")*(D_Points!$A$5:$A$204&gt;=$B659)*(D_Points!$A$5:$A$204&lt;$B659+P_Interval)*(UPPER(TRIM(D_Points!$B$5:$B$204))="TURNOUT_R")*(D_Points!$H$5:$H$204&lt;&gt;"")),D_Points!$H$5:$H$204),"")</f>
        <v/>
      </c>
      <c r="AF659" s="181" t="str">
        <f>IFERROR(LOOKUP(2,1/((B_Drainage!$A$5:$A$204&lt;&gt;"")*(B_Drainage!$A$5:$A$204&lt;=$B659)*(B_Drainage!$B$5:$B$204&gt;$B659)*(B_Drainage!$M$5:$M$204&lt;&gt;"")),IF(UPPER(B_Drainage!$M$5:$M$204)="Y",1,"")),"")</f>
        <v/>
      </c>
      <c r="AG659" s="181" t="str">
        <f>IFERROR(LOOKUP(2,1/((B_Drainage!$A$5:$A$204&lt;&gt;"")*(B_Drainage!$A$5:$A$204&lt;=$B659)*(B_Drainage!$B$5:$B$204&gt;$B659)*(B_Drainage!$N$5:$N$204&lt;&gt;"")),IF(UPPER(B_Drainage!$N$5:$N$204)="Y",1,"")),"")</f>
        <v/>
      </c>
      <c r="AH659" s="181" t="str">
        <f t="shared" si="80"/>
        <v/>
      </c>
      <c r="AI659" s="181" t="str">
        <f t="shared" si="81"/>
        <v/>
      </c>
      <c r="AJ659" s="181" t="str">
        <f t="shared" si="82"/>
        <v/>
      </c>
      <c r="AK659" s="181" t="str">
        <f t="shared" si="83"/>
        <v/>
      </c>
      <c r="AL659" s="181" t="str">
        <f t="shared" si="84"/>
        <v/>
      </c>
      <c r="AM659" s="181" t="str">
        <f t="shared" si="85"/>
        <v/>
      </c>
      <c r="AN659" s="181" t="str">
        <f t="shared" si="86"/>
        <v/>
      </c>
      <c r="AO659" s="192" t="str">
        <f t="shared" si="87"/>
        <v/>
      </c>
      <c r="AQ659" t="str">
        <f>IFERROR(LOOKUP(2,1/((C_Pavement!$A$5:$A$204&lt;&gt;"")*(C_Pavement!$A$5:$A$204&lt;=$B659)*(C_Pavement!$B$5:$B$204&gt;$B659)*(C_Pavement!$C$5:$C$204&lt;&gt;"")),ROW(C_Pavement!$C$5:$C$204)-4),"")</f>
        <v/>
      </c>
      <c r="AR659" t="str">
        <f>IF($AQ659="","",UPPER(TRIM(INDEX(C_Pavement!$C$5:$C$204,$AQ659))))</f>
        <v/>
      </c>
      <c r="AS659" t="str">
        <f>IF($AR659="","",IFERROR(MATCH($AR659,E_Rules!$A$5:$A$9,0),""))</f>
        <v/>
      </c>
      <c r="AT659" t="str">
        <f>IF($AQ659="","",IF(INDEX(C_Pavement!$D$5:$D$204,$AQ659)&lt;&gt;"",UPPER(TRIM(INDEX(C_Pavement!$D$5:$D$204,$AQ659))),IF($AS659="","",INDEX(E_Rules!$C$5:$C$9,$AS659))))</f>
        <v/>
      </c>
      <c r="AU659" t="str">
        <f>IF($AQ659="","",IF(INDEX(C_Pavement!$E$5:$E$204,$AQ659)&lt;&gt;"",IF(INDEX(C_Pavement!$E$5:$E$204,$AQ659)="-","",INDEX(C_Pavement!$E$5:$E$204,$AQ659)),IF($AS659="","",INDEX(E_Rules!$D$5:$D$9,$AS659))))</f>
        <v/>
      </c>
      <c r="AV659" t="str">
        <f>IF($AQ659="","",IF(INDEX(C_Pavement!$F$5:$F$204,$AQ659)&lt;&gt;"",IF(INDEX(C_Pavement!$F$5:$F$204,$AQ659)="-","",INDEX(C_Pavement!$F$5:$F$204,$AQ659)),IF($AS659="","",INDEX(E_Rules!$E$5:$E$9,$AS659))))</f>
        <v/>
      </c>
      <c r="AW659" t="str">
        <f>IF($AQ659="","",IF(INDEX(C_Pavement!$G$5:$G$204,$AQ659)&lt;&gt;"",IF(INDEX(C_Pavement!$G$5:$G$204,$AQ659)="-","",INDEX(C_Pavement!$G$5:$G$204,$AQ659)),IF($AS659="","",INDEX(E_Rules!$F$5:$F$9,$AS659))))</f>
        <v/>
      </c>
      <c r="AX659" t="str">
        <f>IF($AQ659="","",IF(INDEX(C_Pavement!$H$5:$H$204,$AQ659)&lt;&gt;"",IF(INDEX(C_Pavement!$H$5:$H$204,$AQ659)="-","",INDEX(C_Pavement!$H$5:$H$204,$AQ659)),IF($AS659="","",INDEX(E_Rules!$G$5:$G$9,$AS659))))</f>
        <v/>
      </c>
      <c r="AY659" t="str">
        <f>IF($AQ659="","",IF(INDEX(C_Pavement!$I$5:$I$204,$AQ659)&lt;&gt;"",IF(INDEX(C_Pavement!$I$5:$I$204,$AQ659)="-","",INDEX(C_Pavement!$I$5:$I$204,$AQ659)),IF($AS659="","",INDEX(E_Rules!$H$5:$H$9,$AS659))))</f>
        <v/>
      </c>
    </row>
    <row r="660" spans="1:51" ht="15.75" customHeight="1" x14ac:dyDescent="0.3">
      <c r="A660" s="189">
        <v>655</v>
      </c>
      <c r="B660" s="180">
        <v>32700</v>
      </c>
      <c r="C660" s="180" t="s">
        <v>966</v>
      </c>
      <c r="D660" s="181" t="str">
        <f>IFERROR(LOOKUP(2,1/((A_Corridor!$A$5:$A$204&lt;&gt;"")*(A_Corridor!$A$5:$A$204&lt;=$B660)*(A_Corridor!$B$5:$B$204&gt;$B660)*(A_Corridor!$C$5:$C$204&lt;&gt;"")),IF(UPPER(A_Corridor!$C$5:$C$204)="Y",1,"")),"")</f>
        <v/>
      </c>
      <c r="E660" s="181" t="str">
        <f>IFERROR(LOOKUP(2,1/((A_Corridor!$A$5:$A$204&lt;&gt;"")*(A_Corridor!$A$5:$A$204&lt;=$B660)*(A_Corridor!$B$5:$B$204&gt;$B660)*(A_Corridor!$D$5:$D$204&lt;&gt;"")),IF(A_Corridor!$D$5:$D$204="-","",UPPER(A_Corridor!$D$5:$D$204))),"")</f>
        <v/>
      </c>
      <c r="F660" s="181" t="str">
        <f>IFERROR(LOOKUP(2,1/((A_Corridor!$A$5:$A$204&lt;&gt;"")*(A_Corridor!$A$5:$A$204&lt;=$B660)*(A_Corridor!$B$5:$B$204&gt;$B660)*(A_Corridor!$E$5:$E$204&lt;&gt;"")),IF(A_Corridor!$E$5:$E$204="-","",1)),"")</f>
        <v/>
      </c>
      <c r="G660" s="182" t="str">
        <f>IFERROR(LOOKUP(2,1/((A_Corridor!$A$5:$A$204&lt;&gt;"")*(A_Corridor!$A$5:$A$204&lt;=$B660)*(A_Corridor!$B$5:$B$204&gt;$B660)*(A_Corridor!$E$5:$E$204&lt;&gt;"")),IF(A_Corridor!$E$5:$E$204="-","",A_Corridor!$E$5:$E$204)),"")</f>
        <v/>
      </c>
      <c r="H660" s="182" t="str">
        <f>IFERROR(LOOKUP(2,1/((D_Points!$A$5:$A$204&lt;&gt;"")*(D_Points!$A$5:$A$204&gt;=$B660)*(D_Points!$A$5:$A$204&lt;$B660+P_Interval)*(UPPER(TRIM(D_Points!$B$5:$B$204))="GULLY")*(D_Points!$H$5:$H$204&lt;&gt;"")),D_Points!$H$5:$H$204),"")</f>
        <v/>
      </c>
      <c r="I660" s="181" t="str">
        <f>IFERROR(LOOKUP(2,1/((A_Corridor!$A$5:$A$204&lt;&gt;"")*(A_Corridor!$A$5:$A$204&lt;=$B660)*(A_Corridor!$B$5:$B$204&gt;$B660)*(A_Corridor!$F$5:$F$204&lt;&gt;"")),IF(A_Corridor!$F$5:$F$204="-","",1)),"")</f>
        <v/>
      </c>
      <c r="J660" s="182" t="str">
        <f>IFERROR(LOOKUP(2,1/((A_Corridor!$A$5:$A$204&lt;&gt;"")*(A_Corridor!$A$5:$A$204&lt;=$B660)*(A_Corridor!$B$5:$B$204&gt;$B660)*(A_Corridor!$F$5:$F$204&lt;&gt;"")),IF(A_Corridor!$F$5:$F$204="-","",A_Corridor!$F$5:$F$204)),"")</f>
        <v/>
      </c>
      <c r="K660" s="182" t="str">
        <f>IFERROR(LOOKUP(2,1/((A_Corridor!$A$5:$A$204&lt;&gt;"")*(A_Corridor!$A$5:$A$204&lt;=$B660)*(A_Corridor!$B$5:$B$204&gt;$B660)*(A_Corridor!$G$5:$G$204&lt;&gt;"")),IF(A_Corridor!$G$5:$G$204="-","",A_Corridor!$G$5:$G$204)),"")</f>
        <v/>
      </c>
      <c r="L660" s="181" t="str">
        <f>IFERROR(LOOKUP(2,1/((A_Corridor!$A$5:$A$204&lt;&gt;"")*(A_Corridor!$A$5:$A$204&lt;=$B660)*(A_Corridor!$B$5:$B$204&gt;$B660)*(A_Corridor!$H$5:$H$204&lt;&gt;"")),IF(A_Corridor!$H$5:$H$204="-","",1)),"")</f>
        <v/>
      </c>
      <c r="M660" s="182" t="str">
        <f>IFERROR(LOOKUP(2,1/((A_Corridor!$A$5:$A$204&lt;&gt;"")*(A_Corridor!$A$5:$A$204&lt;=$B660)*(A_Corridor!$B$5:$B$204&gt;$B660)*(A_Corridor!$H$5:$H$204&lt;&gt;"")),IF(A_Corridor!$H$5:$H$204="-","",A_Corridor!$H$5:$H$204)),"")</f>
        <v/>
      </c>
      <c r="N660" s="182" t="str">
        <f>IFERROR(LOOKUP(2,1/((A_Corridor!$A$5:$A$204&lt;&gt;"")*(A_Corridor!$A$5:$A$204&lt;=$B660)*(A_Corridor!$B$5:$B$204&gt;$B660)*(A_Corridor!$I$5:$I$204&lt;&gt;"")),IF(A_Corridor!$I$5:$I$204="-","",A_Corridor!$I$5:$I$204)),"")</f>
        <v/>
      </c>
      <c r="O660" s="182" t="str">
        <f>IFERROR(LOOKUP(2,1/((D_Points!$A$5:$A$204&lt;&gt;"")*(D_Points!$A$5:$A$204&gt;=$B660)*(D_Points!$A$5:$A$204&lt;$B660+P_Interval)*(UPPER(TRIM(D_Points!$B$5:$B$204))="PITCHING")*(D_Points!$H$5:$H$204&lt;&gt;"")),D_Points!$H$5:$H$204),"")</f>
        <v/>
      </c>
      <c r="P660" s="181" t="str">
        <f>IFERROR(LOOKUP(2,1/((B_Drainage!$A$5:$A$204&lt;&gt;"")*(B_Drainage!$A$5:$A$204&lt;=$B660)*(B_Drainage!$B$5:$B$204&gt;$B660)*(B_Drainage!$C$5:$C$204&lt;&gt;"")),IF(B_Drainage!$C$5:$C$204="-","",UPPER(B_Drainage!$C$5:$C$204))),"")</f>
        <v/>
      </c>
      <c r="Q660" s="181" t="str">
        <f>IFERROR(LOOKUP(2,1/((B_Drainage!$A$5:$A$204&lt;&gt;"")*(B_Drainage!$A$5:$A$204&lt;=$B660)*(B_Drainage!$B$5:$B$204&gt;$B660)*(B_Drainage!$D$5:$D$204&lt;&gt;"")),IF(B_Drainage!$D$5:$D$204="-","",UPPER(B_Drainage!$D$5:$D$204))),"")</f>
        <v/>
      </c>
      <c r="R660" s="182" t="str">
        <f>IFERROR(LOOKUP(2,1/((D_Points!$A$5:$A$204&lt;&gt;"")*(D_Points!$A$5:$A$204&gt;=$B660)*(D_Points!$A$5:$A$204&lt;$B660+P_Interval)*(RIGHT(UPPER(TRIM(D_Points!$B$5:$B$204)),8)="_CULVERT")),IF(LEFT(UPPER(TRIM(D_Points!$B$5:$B$204)),2)="EX",1,IF(LEFT(UPPER(TRIM(D_Points!$B$5:$B$204)),2)="PR",2,3))),"")</f>
        <v/>
      </c>
      <c r="S660" s="182" t="str">
        <f>IFERROR(LOOKUP(2,1/((D_Points!$A$5:$A$204&lt;&gt;"")*(D_Points!$A$5:$A$204&gt;=$B660)*(D_Points!$A$5:$A$204&lt;$B660+P_Interval)*(RIGHT(UPPER(TRIM(D_Points!$B$5:$B$204)),7)="_BRIDGE")),IF(LEFT(UPPER(TRIM(D_Points!$B$5:$B$204)),2)="EX",1,IF(LEFT(UPPER(TRIM(D_Points!$B$5:$B$204)),2)="PR",2,2))),"")</f>
        <v/>
      </c>
      <c r="T660" s="181" t="str">
        <f>IFERROR(LOOKUP(2,1/((B_Drainage!$A$5:$A$204&lt;&gt;"")*(B_Drainage!$A$5:$A$204&lt;=$B660)*(B_Drainage!$B$5:$B$204&gt;$B660)*(B_Drainage!$E$5:$E$204&lt;&gt;"")),IF(B_Drainage!$E$5:$E$204="-","",1)),"")</f>
        <v/>
      </c>
      <c r="U660" s="181" t="str">
        <f>IFERROR(LOOKUP(2,1/((B_Drainage!$A$5:$A$204&lt;&gt;"")*(B_Drainage!$A$5:$A$204&lt;=$B660)*(B_Drainage!$B$5:$B$204&gt;$B660)*(B_Drainage!$E$5:$E$204&lt;&gt;"")),IF(B_Drainage!$E$5:$E$204="-","",B_Drainage!$E$5:$E$204)),"")</f>
        <v/>
      </c>
      <c r="V660" s="181" t="str">
        <f>IFERROR(LOOKUP(2,1/((B_Drainage!$A$5:$A$204&lt;&gt;"")*(B_Drainage!$A$5:$A$204&lt;=$B660)*(B_Drainage!$B$5:$B$204&gt;$B660)*(B_Drainage!$F$5:$F$204&lt;&gt;"")),IF(B_Drainage!$F$5:$F$204="-","",1)),"")</f>
        <v/>
      </c>
      <c r="W660" s="181" t="str">
        <f>IFERROR(LOOKUP(2,1/((B_Drainage!$A$5:$A$204&lt;&gt;"")*(B_Drainage!$A$5:$A$204&lt;=$B660)*(B_Drainage!$B$5:$B$204&gt;$B660)*(B_Drainage!$F$5:$F$204&lt;&gt;"")),IF(B_Drainage!$F$5:$F$204="-","",B_Drainage!$F$5:$F$204)),"")</f>
        <v/>
      </c>
      <c r="X660" s="181" t="str">
        <f>IFERROR(LOOKUP(2,1/((B_Drainage!$A$5:$A$204&lt;&gt;"")*(B_Drainage!$A$5:$A$204&lt;=$B660)*(B_Drainage!$B$5:$B$204&gt;$B660)*(B_Drainage!$G$5:$G$204&lt;&gt;"")),IF(UPPER(B_Drainage!$G$5:$G$204)="Y",1,"")),"")</f>
        <v/>
      </c>
      <c r="Y660" s="181" t="str">
        <f>IFERROR(LOOKUP(2,1/((B_Drainage!$A$5:$A$204&lt;&gt;"")*(B_Drainage!$A$5:$A$204&lt;=$B660)*(B_Drainage!$B$5:$B$204&gt;$B660)*(B_Drainage!$H$5:$H$204&lt;&gt;"")),IF(UPPER(B_Drainage!$H$5:$H$204)="Y",1,"")),"")</f>
        <v/>
      </c>
      <c r="Z660" s="181" t="str">
        <f>IFERROR(LOOKUP(2,1/((B_Drainage!$A$5:$A$204&lt;&gt;"")*(B_Drainage!$A$5:$A$204&lt;=$B660)*(B_Drainage!$B$5:$B$204&gt;$B660)*(B_Drainage!$I$5:$I$204&lt;&gt;"")),IF(UPPER(B_Drainage!$I$5:$I$204)="Y",1,"")),"")</f>
        <v/>
      </c>
      <c r="AA660" s="181" t="str">
        <f>IFERROR(LOOKUP(2,1/((B_Drainage!$A$5:$A$204&lt;&gt;"")*(B_Drainage!$A$5:$A$204&lt;=$B660)*(B_Drainage!$B$5:$B$204&gt;$B660)*(B_Drainage!$J$5:$J$204&lt;&gt;"")),IF(UPPER(B_Drainage!$J$5:$J$204)="Y",1,"")),"")</f>
        <v/>
      </c>
      <c r="AB660" s="182" t="str">
        <f>IFERROR(LOOKUP(2,1/((B_Drainage!$A$5:$A$204&lt;&gt;"")*(B_Drainage!$A$5:$A$204&lt;=$B660)*(B_Drainage!$B$5:$B$204&gt;$B660)*(B_Drainage!$K$5:$K$204&lt;&gt;"")),IF(B_Drainage!$K$5:$K$204="-","",B_Drainage!$K$5:$K$204)),"")</f>
        <v/>
      </c>
      <c r="AC660" s="182" t="str">
        <f>IFERROR(LOOKUP(2,1/((B_Drainage!$A$5:$A$204&lt;&gt;"")*(B_Drainage!$A$5:$A$204&lt;=$B660)*(B_Drainage!$B$5:$B$204&gt;$B660)*(B_Drainage!$L$5:$L$204&lt;&gt;"")),IF(B_Drainage!$L$5:$L$204="-","",B_Drainage!$L$5:$L$204)),"")</f>
        <v/>
      </c>
      <c r="AD660" s="182" t="str">
        <f>IFERROR(LOOKUP(2,1/((D_Points!$A$5:$A$204&lt;&gt;"")*(D_Points!$A$5:$A$204&gt;=$B660)*(D_Points!$A$5:$A$204&lt;$B660+P_Interval)*(UPPER(TRIM(D_Points!$B$5:$B$204))="TURNOUT_L")*(D_Points!$H$5:$H$204&lt;&gt;"")),D_Points!$H$5:$H$204),"")</f>
        <v/>
      </c>
      <c r="AE660" s="182" t="str">
        <f>IFERROR(LOOKUP(2,1/((D_Points!$A$5:$A$204&lt;&gt;"")*(D_Points!$A$5:$A$204&gt;=$B660)*(D_Points!$A$5:$A$204&lt;$B660+P_Interval)*(UPPER(TRIM(D_Points!$B$5:$B$204))="TURNOUT_R")*(D_Points!$H$5:$H$204&lt;&gt;"")),D_Points!$H$5:$H$204),"")</f>
        <v/>
      </c>
      <c r="AF660" s="181" t="str">
        <f>IFERROR(LOOKUP(2,1/((B_Drainage!$A$5:$A$204&lt;&gt;"")*(B_Drainage!$A$5:$A$204&lt;=$B660)*(B_Drainage!$B$5:$B$204&gt;$B660)*(B_Drainage!$M$5:$M$204&lt;&gt;"")),IF(UPPER(B_Drainage!$M$5:$M$204)="Y",1,"")),"")</f>
        <v/>
      </c>
      <c r="AG660" s="181" t="str">
        <f>IFERROR(LOOKUP(2,1/((B_Drainage!$A$5:$A$204&lt;&gt;"")*(B_Drainage!$A$5:$A$204&lt;=$B660)*(B_Drainage!$B$5:$B$204&gt;$B660)*(B_Drainage!$N$5:$N$204&lt;&gt;"")),IF(UPPER(B_Drainage!$N$5:$N$204)="Y",1,"")),"")</f>
        <v/>
      </c>
      <c r="AH660" s="181" t="str">
        <f t="shared" si="80"/>
        <v/>
      </c>
      <c r="AI660" s="181" t="str">
        <f t="shared" si="81"/>
        <v/>
      </c>
      <c r="AJ660" s="181" t="str">
        <f t="shared" si="82"/>
        <v/>
      </c>
      <c r="AK660" s="181" t="str">
        <f t="shared" si="83"/>
        <v/>
      </c>
      <c r="AL660" s="181" t="str">
        <f t="shared" si="84"/>
        <v/>
      </c>
      <c r="AM660" s="181" t="str">
        <f t="shared" si="85"/>
        <v/>
      </c>
      <c r="AN660" s="181" t="str">
        <f t="shared" si="86"/>
        <v/>
      </c>
      <c r="AO660" s="192" t="str">
        <f t="shared" si="87"/>
        <v/>
      </c>
      <c r="AQ660" t="str">
        <f>IFERROR(LOOKUP(2,1/((C_Pavement!$A$5:$A$204&lt;&gt;"")*(C_Pavement!$A$5:$A$204&lt;=$B660)*(C_Pavement!$B$5:$B$204&gt;$B660)*(C_Pavement!$C$5:$C$204&lt;&gt;"")),ROW(C_Pavement!$C$5:$C$204)-4),"")</f>
        <v/>
      </c>
      <c r="AR660" t="str">
        <f>IF($AQ660="","",UPPER(TRIM(INDEX(C_Pavement!$C$5:$C$204,$AQ660))))</f>
        <v/>
      </c>
      <c r="AS660" t="str">
        <f>IF($AR660="","",IFERROR(MATCH($AR660,E_Rules!$A$5:$A$9,0),""))</f>
        <v/>
      </c>
      <c r="AT660" t="str">
        <f>IF($AQ660="","",IF(INDEX(C_Pavement!$D$5:$D$204,$AQ660)&lt;&gt;"",UPPER(TRIM(INDEX(C_Pavement!$D$5:$D$204,$AQ660))),IF($AS660="","",INDEX(E_Rules!$C$5:$C$9,$AS660))))</f>
        <v/>
      </c>
      <c r="AU660" t="str">
        <f>IF($AQ660="","",IF(INDEX(C_Pavement!$E$5:$E$204,$AQ660)&lt;&gt;"",IF(INDEX(C_Pavement!$E$5:$E$204,$AQ660)="-","",INDEX(C_Pavement!$E$5:$E$204,$AQ660)),IF($AS660="","",INDEX(E_Rules!$D$5:$D$9,$AS660))))</f>
        <v/>
      </c>
      <c r="AV660" t="str">
        <f>IF($AQ660="","",IF(INDEX(C_Pavement!$F$5:$F$204,$AQ660)&lt;&gt;"",IF(INDEX(C_Pavement!$F$5:$F$204,$AQ660)="-","",INDEX(C_Pavement!$F$5:$F$204,$AQ660)),IF($AS660="","",INDEX(E_Rules!$E$5:$E$9,$AS660))))</f>
        <v/>
      </c>
      <c r="AW660" t="str">
        <f>IF($AQ660="","",IF(INDEX(C_Pavement!$G$5:$G$204,$AQ660)&lt;&gt;"",IF(INDEX(C_Pavement!$G$5:$G$204,$AQ660)="-","",INDEX(C_Pavement!$G$5:$G$204,$AQ660)),IF($AS660="","",INDEX(E_Rules!$F$5:$F$9,$AS660))))</f>
        <v/>
      </c>
      <c r="AX660" t="str">
        <f>IF($AQ660="","",IF(INDEX(C_Pavement!$H$5:$H$204,$AQ660)&lt;&gt;"",IF(INDEX(C_Pavement!$H$5:$H$204,$AQ660)="-","",INDEX(C_Pavement!$H$5:$H$204,$AQ660)),IF($AS660="","",INDEX(E_Rules!$G$5:$G$9,$AS660))))</f>
        <v/>
      </c>
      <c r="AY660" t="str">
        <f>IF($AQ660="","",IF(INDEX(C_Pavement!$I$5:$I$204,$AQ660)&lt;&gt;"",IF(INDEX(C_Pavement!$I$5:$I$204,$AQ660)="-","",INDEX(C_Pavement!$I$5:$I$204,$AQ660)),IF($AS660="","",INDEX(E_Rules!$H$5:$H$9,$AS660))))</f>
        <v/>
      </c>
    </row>
    <row r="661" spans="1:51" ht="15.75" customHeight="1" x14ac:dyDescent="0.3">
      <c r="A661" s="189">
        <v>656</v>
      </c>
      <c r="B661" s="180">
        <v>32750</v>
      </c>
      <c r="C661" s="180" t="s">
        <v>967</v>
      </c>
      <c r="D661" s="181" t="str">
        <f>IFERROR(LOOKUP(2,1/((A_Corridor!$A$5:$A$204&lt;&gt;"")*(A_Corridor!$A$5:$A$204&lt;=$B661)*(A_Corridor!$B$5:$B$204&gt;$B661)*(A_Corridor!$C$5:$C$204&lt;&gt;"")),IF(UPPER(A_Corridor!$C$5:$C$204)="Y",1,"")),"")</f>
        <v/>
      </c>
      <c r="E661" s="181" t="str">
        <f>IFERROR(LOOKUP(2,1/((A_Corridor!$A$5:$A$204&lt;&gt;"")*(A_Corridor!$A$5:$A$204&lt;=$B661)*(A_Corridor!$B$5:$B$204&gt;$B661)*(A_Corridor!$D$5:$D$204&lt;&gt;"")),IF(A_Corridor!$D$5:$D$204="-","",UPPER(A_Corridor!$D$5:$D$204))),"")</f>
        <v/>
      </c>
      <c r="F661" s="181" t="str">
        <f>IFERROR(LOOKUP(2,1/((A_Corridor!$A$5:$A$204&lt;&gt;"")*(A_Corridor!$A$5:$A$204&lt;=$B661)*(A_Corridor!$B$5:$B$204&gt;$B661)*(A_Corridor!$E$5:$E$204&lt;&gt;"")),IF(A_Corridor!$E$5:$E$204="-","",1)),"")</f>
        <v/>
      </c>
      <c r="G661" s="182" t="str">
        <f>IFERROR(LOOKUP(2,1/((A_Corridor!$A$5:$A$204&lt;&gt;"")*(A_Corridor!$A$5:$A$204&lt;=$B661)*(A_Corridor!$B$5:$B$204&gt;$B661)*(A_Corridor!$E$5:$E$204&lt;&gt;"")),IF(A_Corridor!$E$5:$E$204="-","",A_Corridor!$E$5:$E$204)),"")</f>
        <v/>
      </c>
      <c r="H661" s="182" t="str">
        <f>IFERROR(LOOKUP(2,1/((D_Points!$A$5:$A$204&lt;&gt;"")*(D_Points!$A$5:$A$204&gt;=$B661)*(D_Points!$A$5:$A$204&lt;$B661+P_Interval)*(UPPER(TRIM(D_Points!$B$5:$B$204))="GULLY")*(D_Points!$H$5:$H$204&lt;&gt;"")),D_Points!$H$5:$H$204),"")</f>
        <v/>
      </c>
      <c r="I661" s="181" t="str">
        <f>IFERROR(LOOKUP(2,1/((A_Corridor!$A$5:$A$204&lt;&gt;"")*(A_Corridor!$A$5:$A$204&lt;=$B661)*(A_Corridor!$B$5:$B$204&gt;$B661)*(A_Corridor!$F$5:$F$204&lt;&gt;"")),IF(A_Corridor!$F$5:$F$204="-","",1)),"")</f>
        <v/>
      </c>
      <c r="J661" s="182" t="str">
        <f>IFERROR(LOOKUP(2,1/((A_Corridor!$A$5:$A$204&lt;&gt;"")*(A_Corridor!$A$5:$A$204&lt;=$B661)*(A_Corridor!$B$5:$B$204&gt;$B661)*(A_Corridor!$F$5:$F$204&lt;&gt;"")),IF(A_Corridor!$F$5:$F$204="-","",A_Corridor!$F$5:$F$204)),"")</f>
        <v/>
      </c>
      <c r="K661" s="182" t="str">
        <f>IFERROR(LOOKUP(2,1/((A_Corridor!$A$5:$A$204&lt;&gt;"")*(A_Corridor!$A$5:$A$204&lt;=$B661)*(A_Corridor!$B$5:$B$204&gt;$B661)*(A_Corridor!$G$5:$G$204&lt;&gt;"")),IF(A_Corridor!$G$5:$G$204="-","",A_Corridor!$G$5:$G$204)),"")</f>
        <v/>
      </c>
      <c r="L661" s="181" t="str">
        <f>IFERROR(LOOKUP(2,1/((A_Corridor!$A$5:$A$204&lt;&gt;"")*(A_Corridor!$A$5:$A$204&lt;=$B661)*(A_Corridor!$B$5:$B$204&gt;$B661)*(A_Corridor!$H$5:$H$204&lt;&gt;"")),IF(A_Corridor!$H$5:$H$204="-","",1)),"")</f>
        <v/>
      </c>
      <c r="M661" s="182" t="str">
        <f>IFERROR(LOOKUP(2,1/((A_Corridor!$A$5:$A$204&lt;&gt;"")*(A_Corridor!$A$5:$A$204&lt;=$B661)*(A_Corridor!$B$5:$B$204&gt;$B661)*(A_Corridor!$H$5:$H$204&lt;&gt;"")),IF(A_Corridor!$H$5:$H$204="-","",A_Corridor!$H$5:$H$204)),"")</f>
        <v/>
      </c>
      <c r="N661" s="182" t="str">
        <f>IFERROR(LOOKUP(2,1/((A_Corridor!$A$5:$A$204&lt;&gt;"")*(A_Corridor!$A$5:$A$204&lt;=$B661)*(A_Corridor!$B$5:$B$204&gt;$B661)*(A_Corridor!$I$5:$I$204&lt;&gt;"")),IF(A_Corridor!$I$5:$I$204="-","",A_Corridor!$I$5:$I$204)),"")</f>
        <v/>
      </c>
      <c r="O661" s="182" t="str">
        <f>IFERROR(LOOKUP(2,1/((D_Points!$A$5:$A$204&lt;&gt;"")*(D_Points!$A$5:$A$204&gt;=$B661)*(D_Points!$A$5:$A$204&lt;$B661+P_Interval)*(UPPER(TRIM(D_Points!$B$5:$B$204))="PITCHING")*(D_Points!$H$5:$H$204&lt;&gt;"")),D_Points!$H$5:$H$204),"")</f>
        <v/>
      </c>
      <c r="P661" s="181" t="str">
        <f>IFERROR(LOOKUP(2,1/((B_Drainage!$A$5:$A$204&lt;&gt;"")*(B_Drainage!$A$5:$A$204&lt;=$B661)*(B_Drainage!$B$5:$B$204&gt;$B661)*(B_Drainage!$C$5:$C$204&lt;&gt;"")),IF(B_Drainage!$C$5:$C$204="-","",UPPER(B_Drainage!$C$5:$C$204))),"")</f>
        <v/>
      </c>
      <c r="Q661" s="181" t="str">
        <f>IFERROR(LOOKUP(2,1/((B_Drainage!$A$5:$A$204&lt;&gt;"")*(B_Drainage!$A$5:$A$204&lt;=$B661)*(B_Drainage!$B$5:$B$204&gt;$B661)*(B_Drainage!$D$5:$D$204&lt;&gt;"")),IF(B_Drainage!$D$5:$D$204="-","",UPPER(B_Drainage!$D$5:$D$204))),"")</f>
        <v/>
      </c>
      <c r="R661" s="182" t="str">
        <f>IFERROR(LOOKUP(2,1/((D_Points!$A$5:$A$204&lt;&gt;"")*(D_Points!$A$5:$A$204&gt;=$B661)*(D_Points!$A$5:$A$204&lt;$B661+P_Interval)*(RIGHT(UPPER(TRIM(D_Points!$B$5:$B$204)),8)="_CULVERT")),IF(LEFT(UPPER(TRIM(D_Points!$B$5:$B$204)),2)="EX",1,IF(LEFT(UPPER(TRIM(D_Points!$B$5:$B$204)),2)="PR",2,3))),"")</f>
        <v/>
      </c>
      <c r="S661" s="182" t="str">
        <f>IFERROR(LOOKUP(2,1/((D_Points!$A$5:$A$204&lt;&gt;"")*(D_Points!$A$5:$A$204&gt;=$B661)*(D_Points!$A$5:$A$204&lt;$B661+P_Interval)*(RIGHT(UPPER(TRIM(D_Points!$B$5:$B$204)),7)="_BRIDGE")),IF(LEFT(UPPER(TRIM(D_Points!$B$5:$B$204)),2)="EX",1,IF(LEFT(UPPER(TRIM(D_Points!$B$5:$B$204)),2)="PR",2,2))),"")</f>
        <v/>
      </c>
      <c r="T661" s="181" t="str">
        <f>IFERROR(LOOKUP(2,1/((B_Drainage!$A$5:$A$204&lt;&gt;"")*(B_Drainage!$A$5:$A$204&lt;=$B661)*(B_Drainage!$B$5:$B$204&gt;$B661)*(B_Drainage!$E$5:$E$204&lt;&gt;"")),IF(B_Drainage!$E$5:$E$204="-","",1)),"")</f>
        <v/>
      </c>
      <c r="U661" s="181" t="str">
        <f>IFERROR(LOOKUP(2,1/((B_Drainage!$A$5:$A$204&lt;&gt;"")*(B_Drainage!$A$5:$A$204&lt;=$B661)*(B_Drainage!$B$5:$B$204&gt;$B661)*(B_Drainage!$E$5:$E$204&lt;&gt;"")),IF(B_Drainage!$E$5:$E$204="-","",B_Drainage!$E$5:$E$204)),"")</f>
        <v/>
      </c>
      <c r="V661" s="181" t="str">
        <f>IFERROR(LOOKUP(2,1/((B_Drainage!$A$5:$A$204&lt;&gt;"")*(B_Drainage!$A$5:$A$204&lt;=$B661)*(B_Drainage!$B$5:$B$204&gt;$B661)*(B_Drainage!$F$5:$F$204&lt;&gt;"")),IF(B_Drainage!$F$5:$F$204="-","",1)),"")</f>
        <v/>
      </c>
      <c r="W661" s="181" t="str">
        <f>IFERROR(LOOKUP(2,1/((B_Drainage!$A$5:$A$204&lt;&gt;"")*(B_Drainage!$A$5:$A$204&lt;=$B661)*(B_Drainage!$B$5:$B$204&gt;$B661)*(B_Drainage!$F$5:$F$204&lt;&gt;"")),IF(B_Drainage!$F$5:$F$204="-","",B_Drainage!$F$5:$F$204)),"")</f>
        <v/>
      </c>
      <c r="X661" s="181" t="str">
        <f>IFERROR(LOOKUP(2,1/((B_Drainage!$A$5:$A$204&lt;&gt;"")*(B_Drainage!$A$5:$A$204&lt;=$B661)*(B_Drainage!$B$5:$B$204&gt;$B661)*(B_Drainage!$G$5:$G$204&lt;&gt;"")),IF(UPPER(B_Drainage!$G$5:$G$204)="Y",1,"")),"")</f>
        <v/>
      </c>
      <c r="Y661" s="181" t="str">
        <f>IFERROR(LOOKUP(2,1/((B_Drainage!$A$5:$A$204&lt;&gt;"")*(B_Drainage!$A$5:$A$204&lt;=$B661)*(B_Drainage!$B$5:$B$204&gt;$B661)*(B_Drainage!$H$5:$H$204&lt;&gt;"")),IF(UPPER(B_Drainage!$H$5:$H$204)="Y",1,"")),"")</f>
        <v/>
      </c>
      <c r="Z661" s="181" t="str">
        <f>IFERROR(LOOKUP(2,1/((B_Drainage!$A$5:$A$204&lt;&gt;"")*(B_Drainage!$A$5:$A$204&lt;=$B661)*(B_Drainage!$B$5:$B$204&gt;$B661)*(B_Drainage!$I$5:$I$204&lt;&gt;"")),IF(UPPER(B_Drainage!$I$5:$I$204)="Y",1,"")),"")</f>
        <v/>
      </c>
      <c r="AA661" s="181" t="str">
        <f>IFERROR(LOOKUP(2,1/((B_Drainage!$A$5:$A$204&lt;&gt;"")*(B_Drainage!$A$5:$A$204&lt;=$B661)*(B_Drainage!$B$5:$B$204&gt;$B661)*(B_Drainage!$J$5:$J$204&lt;&gt;"")),IF(UPPER(B_Drainage!$J$5:$J$204)="Y",1,"")),"")</f>
        <v/>
      </c>
      <c r="AB661" s="182" t="str">
        <f>IFERROR(LOOKUP(2,1/((B_Drainage!$A$5:$A$204&lt;&gt;"")*(B_Drainage!$A$5:$A$204&lt;=$B661)*(B_Drainage!$B$5:$B$204&gt;$B661)*(B_Drainage!$K$5:$K$204&lt;&gt;"")),IF(B_Drainage!$K$5:$K$204="-","",B_Drainage!$K$5:$K$204)),"")</f>
        <v/>
      </c>
      <c r="AC661" s="182" t="str">
        <f>IFERROR(LOOKUP(2,1/((B_Drainage!$A$5:$A$204&lt;&gt;"")*(B_Drainage!$A$5:$A$204&lt;=$B661)*(B_Drainage!$B$5:$B$204&gt;$B661)*(B_Drainage!$L$5:$L$204&lt;&gt;"")),IF(B_Drainage!$L$5:$L$204="-","",B_Drainage!$L$5:$L$204)),"")</f>
        <v/>
      </c>
      <c r="AD661" s="182" t="str">
        <f>IFERROR(LOOKUP(2,1/((D_Points!$A$5:$A$204&lt;&gt;"")*(D_Points!$A$5:$A$204&gt;=$B661)*(D_Points!$A$5:$A$204&lt;$B661+P_Interval)*(UPPER(TRIM(D_Points!$B$5:$B$204))="TURNOUT_L")*(D_Points!$H$5:$H$204&lt;&gt;"")),D_Points!$H$5:$H$204),"")</f>
        <v/>
      </c>
      <c r="AE661" s="182" t="str">
        <f>IFERROR(LOOKUP(2,1/((D_Points!$A$5:$A$204&lt;&gt;"")*(D_Points!$A$5:$A$204&gt;=$B661)*(D_Points!$A$5:$A$204&lt;$B661+P_Interval)*(UPPER(TRIM(D_Points!$B$5:$B$204))="TURNOUT_R")*(D_Points!$H$5:$H$204&lt;&gt;"")),D_Points!$H$5:$H$204),"")</f>
        <v/>
      </c>
      <c r="AF661" s="181" t="str">
        <f>IFERROR(LOOKUP(2,1/((B_Drainage!$A$5:$A$204&lt;&gt;"")*(B_Drainage!$A$5:$A$204&lt;=$B661)*(B_Drainage!$B$5:$B$204&gt;$B661)*(B_Drainage!$M$5:$M$204&lt;&gt;"")),IF(UPPER(B_Drainage!$M$5:$M$204)="Y",1,"")),"")</f>
        <v/>
      </c>
      <c r="AG661" s="181" t="str">
        <f>IFERROR(LOOKUP(2,1/((B_Drainage!$A$5:$A$204&lt;&gt;"")*(B_Drainage!$A$5:$A$204&lt;=$B661)*(B_Drainage!$B$5:$B$204&gt;$B661)*(B_Drainage!$N$5:$N$204&lt;&gt;"")),IF(UPPER(B_Drainage!$N$5:$N$204)="Y",1,"")),"")</f>
        <v/>
      </c>
      <c r="AH661" s="181" t="str">
        <f t="shared" si="80"/>
        <v/>
      </c>
      <c r="AI661" s="181" t="str">
        <f t="shared" si="81"/>
        <v/>
      </c>
      <c r="AJ661" s="181" t="str">
        <f t="shared" si="82"/>
        <v/>
      </c>
      <c r="AK661" s="181" t="str">
        <f t="shared" si="83"/>
        <v/>
      </c>
      <c r="AL661" s="181" t="str">
        <f t="shared" si="84"/>
        <v/>
      </c>
      <c r="AM661" s="181" t="str">
        <f t="shared" si="85"/>
        <v/>
      </c>
      <c r="AN661" s="181" t="str">
        <f t="shared" si="86"/>
        <v/>
      </c>
      <c r="AO661" s="192" t="str">
        <f t="shared" si="87"/>
        <v/>
      </c>
      <c r="AQ661" t="str">
        <f>IFERROR(LOOKUP(2,1/((C_Pavement!$A$5:$A$204&lt;&gt;"")*(C_Pavement!$A$5:$A$204&lt;=$B661)*(C_Pavement!$B$5:$B$204&gt;$B661)*(C_Pavement!$C$5:$C$204&lt;&gt;"")),ROW(C_Pavement!$C$5:$C$204)-4),"")</f>
        <v/>
      </c>
      <c r="AR661" t="str">
        <f>IF($AQ661="","",UPPER(TRIM(INDEX(C_Pavement!$C$5:$C$204,$AQ661))))</f>
        <v/>
      </c>
      <c r="AS661" t="str">
        <f>IF($AR661="","",IFERROR(MATCH($AR661,E_Rules!$A$5:$A$9,0),""))</f>
        <v/>
      </c>
      <c r="AT661" t="str">
        <f>IF($AQ661="","",IF(INDEX(C_Pavement!$D$5:$D$204,$AQ661)&lt;&gt;"",UPPER(TRIM(INDEX(C_Pavement!$D$5:$D$204,$AQ661))),IF($AS661="","",INDEX(E_Rules!$C$5:$C$9,$AS661))))</f>
        <v/>
      </c>
      <c r="AU661" t="str">
        <f>IF($AQ661="","",IF(INDEX(C_Pavement!$E$5:$E$204,$AQ661)&lt;&gt;"",IF(INDEX(C_Pavement!$E$5:$E$204,$AQ661)="-","",INDEX(C_Pavement!$E$5:$E$204,$AQ661)),IF($AS661="","",INDEX(E_Rules!$D$5:$D$9,$AS661))))</f>
        <v/>
      </c>
      <c r="AV661" t="str">
        <f>IF($AQ661="","",IF(INDEX(C_Pavement!$F$5:$F$204,$AQ661)&lt;&gt;"",IF(INDEX(C_Pavement!$F$5:$F$204,$AQ661)="-","",INDEX(C_Pavement!$F$5:$F$204,$AQ661)),IF($AS661="","",INDEX(E_Rules!$E$5:$E$9,$AS661))))</f>
        <v/>
      </c>
      <c r="AW661" t="str">
        <f>IF($AQ661="","",IF(INDEX(C_Pavement!$G$5:$G$204,$AQ661)&lt;&gt;"",IF(INDEX(C_Pavement!$G$5:$G$204,$AQ661)="-","",INDEX(C_Pavement!$G$5:$G$204,$AQ661)),IF($AS661="","",INDEX(E_Rules!$F$5:$F$9,$AS661))))</f>
        <v/>
      </c>
      <c r="AX661" t="str">
        <f>IF($AQ661="","",IF(INDEX(C_Pavement!$H$5:$H$204,$AQ661)&lt;&gt;"",IF(INDEX(C_Pavement!$H$5:$H$204,$AQ661)="-","",INDEX(C_Pavement!$H$5:$H$204,$AQ661)),IF($AS661="","",INDEX(E_Rules!$G$5:$G$9,$AS661))))</f>
        <v/>
      </c>
      <c r="AY661" t="str">
        <f>IF($AQ661="","",IF(INDEX(C_Pavement!$I$5:$I$204,$AQ661)&lt;&gt;"",IF(INDEX(C_Pavement!$I$5:$I$204,$AQ661)="-","",INDEX(C_Pavement!$I$5:$I$204,$AQ661)),IF($AS661="","",INDEX(E_Rules!$H$5:$H$9,$AS661))))</f>
        <v/>
      </c>
    </row>
    <row r="662" spans="1:51" ht="15.75" customHeight="1" x14ac:dyDescent="0.3">
      <c r="A662" s="189">
        <v>657</v>
      </c>
      <c r="B662" s="180">
        <v>32800</v>
      </c>
      <c r="C662" s="180" t="s">
        <v>968</v>
      </c>
      <c r="D662" s="181" t="str">
        <f>IFERROR(LOOKUP(2,1/((A_Corridor!$A$5:$A$204&lt;&gt;"")*(A_Corridor!$A$5:$A$204&lt;=$B662)*(A_Corridor!$B$5:$B$204&gt;$B662)*(A_Corridor!$C$5:$C$204&lt;&gt;"")),IF(UPPER(A_Corridor!$C$5:$C$204)="Y",1,"")),"")</f>
        <v/>
      </c>
      <c r="E662" s="181" t="str">
        <f>IFERROR(LOOKUP(2,1/((A_Corridor!$A$5:$A$204&lt;&gt;"")*(A_Corridor!$A$5:$A$204&lt;=$B662)*(A_Corridor!$B$5:$B$204&gt;$B662)*(A_Corridor!$D$5:$D$204&lt;&gt;"")),IF(A_Corridor!$D$5:$D$204="-","",UPPER(A_Corridor!$D$5:$D$204))),"")</f>
        <v/>
      </c>
      <c r="F662" s="181" t="str">
        <f>IFERROR(LOOKUP(2,1/((A_Corridor!$A$5:$A$204&lt;&gt;"")*(A_Corridor!$A$5:$A$204&lt;=$B662)*(A_Corridor!$B$5:$B$204&gt;$B662)*(A_Corridor!$E$5:$E$204&lt;&gt;"")),IF(A_Corridor!$E$5:$E$204="-","",1)),"")</f>
        <v/>
      </c>
      <c r="G662" s="182" t="str">
        <f>IFERROR(LOOKUP(2,1/((A_Corridor!$A$5:$A$204&lt;&gt;"")*(A_Corridor!$A$5:$A$204&lt;=$B662)*(A_Corridor!$B$5:$B$204&gt;$B662)*(A_Corridor!$E$5:$E$204&lt;&gt;"")),IF(A_Corridor!$E$5:$E$204="-","",A_Corridor!$E$5:$E$204)),"")</f>
        <v/>
      </c>
      <c r="H662" s="182" t="str">
        <f>IFERROR(LOOKUP(2,1/((D_Points!$A$5:$A$204&lt;&gt;"")*(D_Points!$A$5:$A$204&gt;=$B662)*(D_Points!$A$5:$A$204&lt;$B662+P_Interval)*(UPPER(TRIM(D_Points!$B$5:$B$204))="GULLY")*(D_Points!$H$5:$H$204&lt;&gt;"")),D_Points!$H$5:$H$204),"")</f>
        <v/>
      </c>
      <c r="I662" s="181" t="str">
        <f>IFERROR(LOOKUP(2,1/((A_Corridor!$A$5:$A$204&lt;&gt;"")*(A_Corridor!$A$5:$A$204&lt;=$B662)*(A_Corridor!$B$5:$B$204&gt;$B662)*(A_Corridor!$F$5:$F$204&lt;&gt;"")),IF(A_Corridor!$F$5:$F$204="-","",1)),"")</f>
        <v/>
      </c>
      <c r="J662" s="182" t="str">
        <f>IFERROR(LOOKUP(2,1/((A_Corridor!$A$5:$A$204&lt;&gt;"")*(A_Corridor!$A$5:$A$204&lt;=$B662)*(A_Corridor!$B$5:$B$204&gt;$B662)*(A_Corridor!$F$5:$F$204&lt;&gt;"")),IF(A_Corridor!$F$5:$F$204="-","",A_Corridor!$F$5:$F$204)),"")</f>
        <v/>
      </c>
      <c r="K662" s="182" t="str">
        <f>IFERROR(LOOKUP(2,1/((A_Corridor!$A$5:$A$204&lt;&gt;"")*(A_Corridor!$A$5:$A$204&lt;=$B662)*(A_Corridor!$B$5:$B$204&gt;$B662)*(A_Corridor!$G$5:$G$204&lt;&gt;"")),IF(A_Corridor!$G$5:$G$204="-","",A_Corridor!$G$5:$G$204)),"")</f>
        <v/>
      </c>
      <c r="L662" s="181" t="str">
        <f>IFERROR(LOOKUP(2,1/((A_Corridor!$A$5:$A$204&lt;&gt;"")*(A_Corridor!$A$5:$A$204&lt;=$B662)*(A_Corridor!$B$5:$B$204&gt;$B662)*(A_Corridor!$H$5:$H$204&lt;&gt;"")),IF(A_Corridor!$H$5:$H$204="-","",1)),"")</f>
        <v/>
      </c>
      <c r="M662" s="182" t="str">
        <f>IFERROR(LOOKUP(2,1/((A_Corridor!$A$5:$A$204&lt;&gt;"")*(A_Corridor!$A$5:$A$204&lt;=$B662)*(A_Corridor!$B$5:$B$204&gt;$B662)*(A_Corridor!$H$5:$H$204&lt;&gt;"")),IF(A_Corridor!$H$5:$H$204="-","",A_Corridor!$H$5:$H$204)),"")</f>
        <v/>
      </c>
      <c r="N662" s="182" t="str">
        <f>IFERROR(LOOKUP(2,1/((A_Corridor!$A$5:$A$204&lt;&gt;"")*(A_Corridor!$A$5:$A$204&lt;=$B662)*(A_Corridor!$B$5:$B$204&gt;$B662)*(A_Corridor!$I$5:$I$204&lt;&gt;"")),IF(A_Corridor!$I$5:$I$204="-","",A_Corridor!$I$5:$I$204)),"")</f>
        <v/>
      </c>
      <c r="O662" s="182" t="str">
        <f>IFERROR(LOOKUP(2,1/((D_Points!$A$5:$A$204&lt;&gt;"")*(D_Points!$A$5:$A$204&gt;=$B662)*(D_Points!$A$5:$A$204&lt;$B662+P_Interval)*(UPPER(TRIM(D_Points!$B$5:$B$204))="PITCHING")*(D_Points!$H$5:$H$204&lt;&gt;"")),D_Points!$H$5:$H$204),"")</f>
        <v/>
      </c>
      <c r="P662" s="181" t="str">
        <f>IFERROR(LOOKUP(2,1/((B_Drainage!$A$5:$A$204&lt;&gt;"")*(B_Drainage!$A$5:$A$204&lt;=$B662)*(B_Drainage!$B$5:$B$204&gt;$B662)*(B_Drainage!$C$5:$C$204&lt;&gt;"")),IF(B_Drainage!$C$5:$C$204="-","",UPPER(B_Drainage!$C$5:$C$204))),"")</f>
        <v/>
      </c>
      <c r="Q662" s="181" t="str">
        <f>IFERROR(LOOKUP(2,1/((B_Drainage!$A$5:$A$204&lt;&gt;"")*(B_Drainage!$A$5:$A$204&lt;=$B662)*(B_Drainage!$B$5:$B$204&gt;$B662)*(B_Drainage!$D$5:$D$204&lt;&gt;"")),IF(B_Drainage!$D$5:$D$204="-","",UPPER(B_Drainage!$D$5:$D$204))),"")</f>
        <v/>
      </c>
      <c r="R662" s="182" t="str">
        <f>IFERROR(LOOKUP(2,1/((D_Points!$A$5:$A$204&lt;&gt;"")*(D_Points!$A$5:$A$204&gt;=$B662)*(D_Points!$A$5:$A$204&lt;$B662+P_Interval)*(RIGHT(UPPER(TRIM(D_Points!$B$5:$B$204)),8)="_CULVERT")),IF(LEFT(UPPER(TRIM(D_Points!$B$5:$B$204)),2)="EX",1,IF(LEFT(UPPER(TRIM(D_Points!$B$5:$B$204)),2)="PR",2,3))),"")</f>
        <v/>
      </c>
      <c r="S662" s="182" t="str">
        <f>IFERROR(LOOKUP(2,1/((D_Points!$A$5:$A$204&lt;&gt;"")*(D_Points!$A$5:$A$204&gt;=$B662)*(D_Points!$A$5:$A$204&lt;$B662+P_Interval)*(RIGHT(UPPER(TRIM(D_Points!$B$5:$B$204)),7)="_BRIDGE")),IF(LEFT(UPPER(TRIM(D_Points!$B$5:$B$204)),2)="EX",1,IF(LEFT(UPPER(TRIM(D_Points!$B$5:$B$204)),2)="PR",2,2))),"")</f>
        <v/>
      </c>
      <c r="T662" s="181" t="str">
        <f>IFERROR(LOOKUP(2,1/((B_Drainage!$A$5:$A$204&lt;&gt;"")*(B_Drainage!$A$5:$A$204&lt;=$B662)*(B_Drainage!$B$5:$B$204&gt;$B662)*(B_Drainage!$E$5:$E$204&lt;&gt;"")),IF(B_Drainage!$E$5:$E$204="-","",1)),"")</f>
        <v/>
      </c>
      <c r="U662" s="181" t="str">
        <f>IFERROR(LOOKUP(2,1/((B_Drainage!$A$5:$A$204&lt;&gt;"")*(B_Drainage!$A$5:$A$204&lt;=$B662)*(B_Drainage!$B$5:$B$204&gt;$B662)*(B_Drainage!$E$5:$E$204&lt;&gt;"")),IF(B_Drainage!$E$5:$E$204="-","",B_Drainage!$E$5:$E$204)),"")</f>
        <v/>
      </c>
      <c r="V662" s="181" t="str">
        <f>IFERROR(LOOKUP(2,1/((B_Drainage!$A$5:$A$204&lt;&gt;"")*(B_Drainage!$A$5:$A$204&lt;=$B662)*(B_Drainage!$B$5:$B$204&gt;$B662)*(B_Drainage!$F$5:$F$204&lt;&gt;"")),IF(B_Drainage!$F$5:$F$204="-","",1)),"")</f>
        <v/>
      </c>
      <c r="W662" s="181" t="str">
        <f>IFERROR(LOOKUP(2,1/((B_Drainage!$A$5:$A$204&lt;&gt;"")*(B_Drainage!$A$5:$A$204&lt;=$B662)*(B_Drainage!$B$5:$B$204&gt;$B662)*(B_Drainage!$F$5:$F$204&lt;&gt;"")),IF(B_Drainage!$F$5:$F$204="-","",B_Drainage!$F$5:$F$204)),"")</f>
        <v/>
      </c>
      <c r="X662" s="181" t="str">
        <f>IFERROR(LOOKUP(2,1/((B_Drainage!$A$5:$A$204&lt;&gt;"")*(B_Drainage!$A$5:$A$204&lt;=$B662)*(B_Drainage!$B$5:$B$204&gt;$B662)*(B_Drainage!$G$5:$G$204&lt;&gt;"")),IF(UPPER(B_Drainage!$G$5:$G$204)="Y",1,"")),"")</f>
        <v/>
      </c>
      <c r="Y662" s="181" t="str">
        <f>IFERROR(LOOKUP(2,1/((B_Drainage!$A$5:$A$204&lt;&gt;"")*(B_Drainage!$A$5:$A$204&lt;=$B662)*(B_Drainage!$B$5:$B$204&gt;$B662)*(B_Drainage!$H$5:$H$204&lt;&gt;"")),IF(UPPER(B_Drainage!$H$5:$H$204)="Y",1,"")),"")</f>
        <v/>
      </c>
      <c r="Z662" s="181" t="str">
        <f>IFERROR(LOOKUP(2,1/((B_Drainage!$A$5:$A$204&lt;&gt;"")*(B_Drainage!$A$5:$A$204&lt;=$B662)*(B_Drainage!$B$5:$B$204&gt;$B662)*(B_Drainage!$I$5:$I$204&lt;&gt;"")),IF(UPPER(B_Drainage!$I$5:$I$204)="Y",1,"")),"")</f>
        <v/>
      </c>
      <c r="AA662" s="181" t="str">
        <f>IFERROR(LOOKUP(2,1/((B_Drainage!$A$5:$A$204&lt;&gt;"")*(B_Drainage!$A$5:$A$204&lt;=$B662)*(B_Drainage!$B$5:$B$204&gt;$B662)*(B_Drainage!$J$5:$J$204&lt;&gt;"")),IF(UPPER(B_Drainage!$J$5:$J$204)="Y",1,"")),"")</f>
        <v/>
      </c>
      <c r="AB662" s="182" t="str">
        <f>IFERROR(LOOKUP(2,1/((B_Drainage!$A$5:$A$204&lt;&gt;"")*(B_Drainage!$A$5:$A$204&lt;=$B662)*(B_Drainage!$B$5:$B$204&gt;$B662)*(B_Drainage!$K$5:$K$204&lt;&gt;"")),IF(B_Drainage!$K$5:$K$204="-","",B_Drainage!$K$5:$K$204)),"")</f>
        <v/>
      </c>
      <c r="AC662" s="182" t="str">
        <f>IFERROR(LOOKUP(2,1/((B_Drainage!$A$5:$A$204&lt;&gt;"")*(B_Drainage!$A$5:$A$204&lt;=$B662)*(B_Drainage!$B$5:$B$204&gt;$B662)*(B_Drainage!$L$5:$L$204&lt;&gt;"")),IF(B_Drainage!$L$5:$L$204="-","",B_Drainage!$L$5:$L$204)),"")</f>
        <v/>
      </c>
      <c r="AD662" s="182" t="str">
        <f>IFERROR(LOOKUP(2,1/((D_Points!$A$5:$A$204&lt;&gt;"")*(D_Points!$A$5:$A$204&gt;=$B662)*(D_Points!$A$5:$A$204&lt;$B662+P_Interval)*(UPPER(TRIM(D_Points!$B$5:$B$204))="TURNOUT_L")*(D_Points!$H$5:$H$204&lt;&gt;"")),D_Points!$H$5:$H$204),"")</f>
        <v/>
      </c>
      <c r="AE662" s="182" t="str">
        <f>IFERROR(LOOKUP(2,1/((D_Points!$A$5:$A$204&lt;&gt;"")*(D_Points!$A$5:$A$204&gt;=$B662)*(D_Points!$A$5:$A$204&lt;$B662+P_Interval)*(UPPER(TRIM(D_Points!$B$5:$B$204))="TURNOUT_R")*(D_Points!$H$5:$H$204&lt;&gt;"")),D_Points!$H$5:$H$204),"")</f>
        <v/>
      </c>
      <c r="AF662" s="181" t="str">
        <f>IFERROR(LOOKUP(2,1/((B_Drainage!$A$5:$A$204&lt;&gt;"")*(B_Drainage!$A$5:$A$204&lt;=$B662)*(B_Drainage!$B$5:$B$204&gt;$B662)*(B_Drainage!$M$5:$M$204&lt;&gt;"")),IF(UPPER(B_Drainage!$M$5:$M$204)="Y",1,"")),"")</f>
        <v/>
      </c>
      <c r="AG662" s="181" t="str">
        <f>IFERROR(LOOKUP(2,1/((B_Drainage!$A$5:$A$204&lt;&gt;"")*(B_Drainage!$A$5:$A$204&lt;=$B662)*(B_Drainage!$B$5:$B$204&gt;$B662)*(B_Drainage!$N$5:$N$204&lt;&gt;"")),IF(UPPER(B_Drainage!$N$5:$N$204)="Y",1,"")),"")</f>
        <v/>
      </c>
      <c r="AH662" s="181" t="str">
        <f t="shared" si="80"/>
        <v/>
      </c>
      <c r="AI662" s="181" t="str">
        <f t="shared" si="81"/>
        <v/>
      </c>
      <c r="AJ662" s="181" t="str">
        <f t="shared" si="82"/>
        <v/>
      </c>
      <c r="AK662" s="181" t="str">
        <f t="shared" si="83"/>
        <v/>
      </c>
      <c r="AL662" s="181" t="str">
        <f t="shared" si="84"/>
        <v/>
      </c>
      <c r="AM662" s="181" t="str">
        <f t="shared" si="85"/>
        <v/>
      </c>
      <c r="AN662" s="181" t="str">
        <f t="shared" si="86"/>
        <v/>
      </c>
      <c r="AO662" s="192" t="str">
        <f t="shared" si="87"/>
        <v/>
      </c>
      <c r="AQ662" t="str">
        <f>IFERROR(LOOKUP(2,1/((C_Pavement!$A$5:$A$204&lt;&gt;"")*(C_Pavement!$A$5:$A$204&lt;=$B662)*(C_Pavement!$B$5:$B$204&gt;$B662)*(C_Pavement!$C$5:$C$204&lt;&gt;"")),ROW(C_Pavement!$C$5:$C$204)-4),"")</f>
        <v/>
      </c>
      <c r="AR662" t="str">
        <f>IF($AQ662="","",UPPER(TRIM(INDEX(C_Pavement!$C$5:$C$204,$AQ662))))</f>
        <v/>
      </c>
      <c r="AS662" t="str">
        <f>IF($AR662="","",IFERROR(MATCH($AR662,E_Rules!$A$5:$A$9,0),""))</f>
        <v/>
      </c>
      <c r="AT662" t="str">
        <f>IF($AQ662="","",IF(INDEX(C_Pavement!$D$5:$D$204,$AQ662)&lt;&gt;"",UPPER(TRIM(INDEX(C_Pavement!$D$5:$D$204,$AQ662))),IF($AS662="","",INDEX(E_Rules!$C$5:$C$9,$AS662))))</f>
        <v/>
      </c>
      <c r="AU662" t="str">
        <f>IF($AQ662="","",IF(INDEX(C_Pavement!$E$5:$E$204,$AQ662)&lt;&gt;"",IF(INDEX(C_Pavement!$E$5:$E$204,$AQ662)="-","",INDEX(C_Pavement!$E$5:$E$204,$AQ662)),IF($AS662="","",INDEX(E_Rules!$D$5:$D$9,$AS662))))</f>
        <v/>
      </c>
      <c r="AV662" t="str">
        <f>IF($AQ662="","",IF(INDEX(C_Pavement!$F$5:$F$204,$AQ662)&lt;&gt;"",IF(INDEX(C_Pavement!$F$5:$F$204,$AQ662)="-","",INDEX(C_Pavement!$F$5:$F$204,$AQ662)),IF($AS662="","",INDEX(E_Rules!$E$5:$E$9,$AS662))))</f>
        <v/>
      </c>
      <c r="AW662" t="str">
        <f>IF($AQ662="","",IF(INDEX(C_Pavement!$G$5:$G$204,$AQ662)&lt;&gt;"",IF(INDEX(C_Pavement!$G$5:$G$204,$AQ662)="-","",INDEX(C_Pavement!$G$5:$G$204,$AQ662)),IF($AS662="","",INDEX(E_Rules!$F$5:$F$9,$AS662))))</f>
        <v/>
      </c>
      <c r="AX662" t="str">
        <f>IF($AQ662="","",IF(INDEX(C_Pavement!$H$5:$H$204,$AQ662)&lt;&gt;"",IF(INDEX(C_Pavement!$H$5:$H$204,$AQ662)="-","",INDEX(C_Pavement!$H$5:$H$204,$AQ662)),IF($AS662="","",INDEX(E_Rules!$G$5:$G$9,$AS662))))</f>
        <v/>
      </c>
      <c r="AY662" t="str">
        <f>IF($AQ662="","",IF(INDEX(C_Pavement!$I$5:$I$204,$AQ662)&lt;&gt;"",IF(INDEX(C_Pavement!$I$5:$I$204,$AQ662)="-","",INDEX(C_Pavement!$I$5:$I$204,$AQ662)),IF($AS662="","",INDEX(E_Rules!$H$5:$H$9,$AS662))))</f>
        <v/>
      </c>
    </row>
    <row r="663" spans="1:51" ht="15.75" customHeight="1" x14ac:dyDescent="0.3">
      <c r="A663" s="189">
        <v>658</v>
      </c>
      <c r="B663" s="180">
        <v>32850</v>
      </c>
      <c r="C663" s="180" t="s">
        <v>969</v>
      </c>
      <c r="D663" s="181" t="str">
        <f>IFERROR(LOOKUP(2,1/((A_Corridor!$A$5:$A$204&lt;&gt;"")*(A_Corridor!$A$5:$A$204&lt;=$B663)*(A_Corridor!$B$5:$B$204&gt;$B663)*(A_Corridor!$C$5:$C$204&lt;&gt;"")),IF(UPPER(A_Corridor!$C$5:$C$204)="Y",1,"")),"")</f>
        <v/>
      </c>
      <c r="E663" s="181" t="str">
        <f>IFERROR(LOOKUP(2,1/((A_Corridor!$A$5:$A$204&lt;&gt;"")*(A_Corridor!$A$5:$A$204&lt;=$B663)*(A_Corridor!$B$5:$B$204&gt;$B663)*(A_Corridor!$D$5:$D$204&lt;&gt;"")),IF(A_Corridor!$D$5:$D$204="-","",UPPER(A_Corridor!$D$5:$D$204))),"")</f>
        <v/>
      </c>
      <c r="F663" s="181" t="str">
        <f>IFERROR(LOOKUP(2,1/((A_Corridor!$A$5:$A$204&lt;&gt;"")*(A_Corridor!$A$5:$A$204&lt;=$B663)*(A_Corridor!$B$5:$B$204&gt;$B663)*(A_Corridor!$E$5:$E$204&lt;&gt;"")),IF(A_Corridor!$E$5:$E$204="-","",1)),"")</f>
        <v/>
      </c>
      <c r="G663" s="182" t="str">
        <f>IFERROR(LOOKUP(2,1/((A_Corridor!$A$5:$A$204&lt;&gt;"")*(A_Corridor!$A$5:$A$204&lt;=$B663)*(A_Corridor!$B$5:$B$204&gt;$B663)*(A_Corridor!$E$5:$E$204&lt;&gt;"")),IF(A_Corridor!$E$5:$E$204="-","",A_Corridor!$E$5:$E$204)),"")</f>
        <v/>
      </c>
      <c r="H663" s="182" t="str">
        <f>IFERROR(LOOKUP(2,1/((D_Points!$A$5:$A$204&lt;&gt;"")*(D_Points!$A$5:$A$204&gt;=$B663)*(D_Points!$A$5:$A$204&lt;$B663+P_Interval)*(UPPER(TRIM(D_Points!$B$5:$B$204))="GULLY")*(D_Points!$H$5:$H$204&lt;&gt;"")),D_Points!$H$5:$H$204),"")</f>
        <v/>
      </c>
      <c r="I663" s="181" t="str">
        <f>IFERROR(LOOKUP(2,1/((A_Corridor!$A$5:$A$204&lt;&gt;"")*(A_Corridor!$A$5:$A$204&lt;=$B663)*(A_Corridor!$B$5:$B$204&gt;$B663)*(A_Corridor!$F$5:$F$204&lt;&gt;"")),IF(A_Corridor!$F$5:$F$204="-","",1)),"")</f>
        <v/>
      </c>
      <c r="J663" s="182" t="str">
        <f>IFERROR(LOOKUP(2,1/((A_Corridor!$A$5:$A$204&lt;&gt;"")*(A_Corridor!$A$5:$A$204&lt;=$B663)*(A_Corridor!$B$5:$B$204&gt;$B663)*(A_Corridor!$F$5:$F$204&lt;&gt;"")),IF(A_Corridor!$F$5:$F$204="-","",A_Corridor!$F$5:$F$204)),"")</f>
        <v/>
      </c>
      <c r="K663" s="182" t="str">
        <f>IFERROR(LOOKUP(2,1/((A_Corridor!$A$5:$A$204&lt;&gt;"")*(A_Corridor!$A$5:$A$204&lt;=$B663)*(A_Corridor!$B$5:$B$204&gt;$B663)*(A_Corridor!$G$5:$G$204&lt;&gt;"")),IF(A_Corridor!$G$5:$G$204="-","",A_Corridor!$G$5:$G$204)),"")</f>
        <v/>
      </c>
      <c r="L663" s="181" t="str">
        <f>IFERROR(LOOKUP(2,1/((A_Corridor!$A$5:$A$204&lt;&gt;"")*(A_Corridor!$A$5:$A$204&lt;=$B663)*(A_Corridor!$B$5:$B$204&gt;$B663)*(A_Corridor!$H$5:$H$204&lt;&gt;"")),IF(A_Corridor!$H$5:$H$204="-","",1)),"")</f>
        <v/>
      </c>
      <c r="M663" s="182" t="str">
        <f>IFERROR(LOOKUP(2,1/((A_Corridor!$A$5:$A$204&lt;&gt;"")*(A_Corridor!$A$5:$A$204&lt;=$B663)*(A_Corridor!$B$5:$B$204&gt;$B663)*(A_Corridor!$H$5:$H$204&lt;&gt;"")),IF(A_Corridor!$H$5:$H$204="-","",A_Corridor!$H$5:$H$204)),"")</f>
        <v/>
      </c>
      <c r="N663" s="182" t="str">
        <f>IFERROR(LOOKUP(2,1/((A_Corridor!$A$5:$A$204&lt;&gt;"")*(A_Corridor!$A$5:$A$204&lt;=$B663)*(A_Corridor!$B$5:$B$204&gt;$B663)*(A_Corridor!$I$5:$I$204&lt;&gt;"")),IF(A_Corridor!$I$5:$I$204="-","",A_Corridor!$I$5:$I$204)),"")</f>
        <v/>
      </c>
      <c r="O663" s="182" t="str">
        <f>IFERROR(LOOKUP(2,1/((D_Points!$A$5:$A$204&lt;&gt;"")*(D_Points!$A$5:$A$204&gt;=$B663)*(D_Points!$A$5:$A$204&lt;$B663+P_Interval)*(UPPER(TRIM(D_Points!$B$5:$B$204))="PITCHING")*(D_Points!$H$5:$H$204&lt;&gt;"")),D_Points!$H$5:$H$204),"")</f>
        <v/>
      </c>
      <c r="P663" s="181" t="str">
        <f>IFERROR(LOOKUP(2,1/((B_Drainage!$A$5:$A$204&lt;&gt;"")*(B_Drainage!$A$5:$A$204&lt;=$B663)*(B_Drainage!$B$5:$B$204&gt;$B663)*(B_Drainage!$C$5:$C$204&lt;&gt;"")),IF(B_Drainage!$C$5:$C$204="-","",UPPER(B_Drainage!$C$5:$C$204))),"")</f>
        <v/>
      </c>
      <c r="Q663" s="181" t="str">
        <f>IFERROR(LOOKUP(2,1/((B_Drainage!$A$5:$A$204&lt;&gt;"")*(B_Drainage!$A$5:$A$204&lt;=$B663)*(B_Drainage!$B$5:$B$204&gt;$B663)*(B_Drainage!$D$5:$D$204&lt;&gt;"")),IF(B_Drainage!$D$5:$D$204="-","",UPPER(B_Drainage!$D$5:$D$204))),"")</f>
        <v/>
      </c>
      <c r="R663" s="182" t="str">
        <f>IFERROR(LOOKUP(2,1/((D_Points!$A$5:$A$204&lt;&gt;"")*(D_Points!$A$5:$A$204&gt;=$B663)*(D_Points!$A$5:$A$204&lt;$B663+P_Interval)*(RIGHT(UPPER(TRIM(D_Points!$B$5:$B$204)),8)="_CULVERT")),IF(LEFT(UPPER(TRIM(D_Points!$B$5:$B$204)),2)="EX",1,IF(LEFT(UPPER(TRIM(D_Points!$B$5:$B$204)),2)="PR",2,3))),"")</f>
        <v/>
      </c>
      <c r="S663" s="182" t="str">
        <f>IFERROR(LOOKUP(2,1/((D_Points!$A$5:$A$204&lt;&gt;"")*(D_Points!$A$5:$A$204&gt;=$B663)*(D_Points!$A$5:$A$204&lt;$B663+P_Interval)*(RIGHT(UPPER(TRIM(D_Points!$B$5:$B$204)),7)="_BRIDGE")),IF(LEFT(UPPER(TRIM(D_Points!$B$5:$B$204)),2)="EX",1,IF(LEFT(UPPER(TRIM(D_Points!$B$5:$B$204)),2)="PR",2,2))),"")</f>
        <v/>
      </c>
      <c r="T663" s="181" t="str">
        <f>IFERROR(LOOKUP(2,1/((B_Drainage!$A$5:$A$204&lt;&gt;"")*(B_Drainage!$A$5:$A$204&lt;=$B663)*(B_Drainage!$B$5:$B$204&gt;$B663)*(B_Drainage!$E$5:$E$204&lt;&gt;"")),IF(B_Drainage!$E$5:$E$204="-","",1)),"")</f>
        <v/>
      </c>
      <c r="U663" s="181" t="str">
        <f>IFERROR(LOOKUP(2,1/((B_Drainage!$A$5:$A$204&lt;&gt;"")*(B_Drainage!$A$5:$A$204&lt;=$B663)*(B_Drainage!$B$5:$B$204&gt;$B663)*(B_Drainage!$E$5:$E$204&lt;&gt;"")),IF(B_Drainage!$E$5:$E$204="-","",B_Drainage!$E$5:$E$204)),"")</f>
        <v/>
      </c>
      <c r="V663" s="181" t="str">
        <f>IFERROR(LOOKUP(2,1/((B_Drainage!$A$5:$A$204&lt;&gt;"")*(B_Drainage!$A$5:$A$204&lt;=$B663)*(B_Drainage!$B$5:$B$204&gt;$B663)*(B_Drainage!$F$5:$F$204&lt;&gt;"")),IF(B_Drainage!$F$5:$F$204="-","",1)),"")</f>
        <v/>
      </c>
      <c r="W663" s="181" t="str">
        <f>IFERROR(LOOKUP(2,1/((B_Drainage!$A$5:$A$204&lt;&gt;"")*(B_Drainage!$A$5:$A$204&lt;=$B663)*(B_Drainage!$B$5:$B$204&gt;$B663)*(B_Drainage!$F$5:$F$204&lt;&gt;"")),IF(B_Drainage!$F$5:$F$204="-","",B_Drainage!$F$5:$F$204)),"")</f>
        <v/>
      </c>
      <c r="X663" s="181" t="str">
        <f>IFERROR(LOOKUP(2,1/((B_Drainage!$A$5:$A$204&lt;&gt;"")*(B_Drainage!$A$5:$A$204&lt;=$B663)*(B_Drainage!$B$5:$B$204&gt;$B663)*(B_Drainage!$G$5:$G$204&lt;&gt;"")),IF(UPPER(B_Drainage!$G$5:$G$204)="Y",1,"")),"")</f>
        <v/>
      </c>
      <c r="Y663" s="181" t="str">
        <f>IFERROR(LOOKUP(2,1/((B_Drainage!$A$5:$A$204&lt;&gt;"")*(B_Drainage!$A$5:$A$204&lt;=$B663)*(B_Drainage!$B$5:$B$204&gt;$B663)*(B_Drainage!$H$5:$H$204&lt;&gt;"")),IF(UPPER(B_Drainage!$H$5:$H$204)="Y",1,"")),"")</f>
        <v/>
      </c>
      <c r="Z663" s="181" t="str">
        <f>IFERROR(LOOKUP(2,1/((B_Drainage!$A$5:$A$204&lt;&gt;"")*(B_Drainage!$A$5:$A$204&lt;=$B663)*(B_Drainage!$B$5:$B$204&gt;$B663)*(B_Drainage!$I$5:$I$204&lt;&gt;"")),IF(UPPER(B_Drainage!$I$5:$I$204)="Y",1,"")),"")</f>
        <v/>
      </c>
      <c r="AA663" s="181" t="str">
        <f>IFERROR(LOOKUP(2,1/((B_Drainage!$A$5:$A$204&lt;&gt;"")*(B_Drainage!$A$5:$A$204&lt;=$B663)*(B_Drainage!$B$5:$B$204&gt;$B663)*(B_Drainage!$J$5:$J$204&lt;&gt;"")),IF(UPPER(B_Drainage!$J$5:$J$204)="Y",1,"")),"")</f>
        <v/>
      </c>
      <c r="AB663" s="182" t="str">
        <f>IFERROR(LOOKUP(2,1/((B_Drainage!$A$5:$A$204&lt;&gt;"")*(B_Drainage!$A$5:$A$204&lt;=$B663)*(B_Drainage!$B$5:$B$204&gt;$B663)*(B_Drainage!$K$5:$K$204&lt;&gt;"")),IF(B_Drainage!$K$5:$K$204="-","",B_Drainage!$K$5:$K$204)),"")</f>
        <v/>
      </c>
      <c r="AC663" s="182" t="str">
        <f>IFERROR(LOOKUP(2,1/((B_Drainage!$A$5:$A$204&lt;&gt;"")*(B_Drainage!$A$5:$A$204&lt;=$B663)*(B_Drainage!$B$5:$B$204&gt;$B663)*(B_Drainage!$L$5:$L$204&lt;&gt;"")),IF(B_Drainage!$L$5:$L$204="-","",B_Drainage!$L$5:$L$204)),"")</f>
        <v/>
      </c>
      <c r="AD663" s="182" t="str">
        <f>IFERROR(LOOKUP(2,1/((D_Points!$A$5:$A$204&lt;&gt;"")*(D_Points!$A$5:$A$204&gt;=$B663)*(D_Points!$A$5:$A$204&lt;$B663+P_Interval)*(UPPER(TRIM(D_Points!$B$5:$B$204))="TURNOUT_L")*(D_Points!$H$5:$H$204&lt;&gt;"")),D_Points!$H$5:$H$204),"")</f>
        <v/>
      </c>
      <c r="AE663" s="182" t="str">
        <f>IFERROR(LOOKUP(2,1/((D_Points!$A$5:$A$204&lt;&gt;"")*(D_Points!$A$5:$A$204&gt;=$B663)*(D_Points!$A$5:$A$204&lt;$B663+P_Interval)*(UPPER(TRIM(D_Points!$B$5:$B$204))="TURNOUT_R")*(D_Points!$H$5:$H$204&lt;&gt;"")),D_Points!$H$5:$H$204),"")</f>
        <v/>
      </c>
      <c r="AF663" s="181" t="str">
        <f>IFERROR(LOOKUP(2,1/((B_Drainage!$A$5:$A$204&lt;&gt;"")*(B_Drainage!$A$5:$A$204&lt;=$B663)*(B_Drainage!$B$5:$B$204&gt;$B663)*(B_Drainage!$M$5:$M$204&lt;&gt;"")),IF(UPPER(B_Drainage!$M$5:$M$204)="Y",1,"")),"")</f>
        <v/>
      </c>
      <c r="AG663" s="181" t="str">
        <f>IFERROR(LOOKUP(2,1/((B_Drainage!$A$5:$A$204&lt;&gt;"")*(B_Drainage!$A$5:$A$204&lt;=$B663)*(B_Drainage!$B$5:$B$204&gt;$B663)*(B_Drainage!$N$5:$N$204&lt;&gt;"")),IF(UPPER(B_Drainage!$N$5:$N$204)="Y",1,"")),"")</f>
        <v/>
      </c>
      <c r="AH663" s="181" t="str">
        <f t="shared" si="80"/>
        <v/>
      </c>
      <c r="AI663" s="181" t="str">
        <f t="shared" si="81"/>
        <v/>
      </c>
      <c r="AJ663" s="181" t="str">
        <f t="shared" si="82"/>
        <v/>
      </c>
      <c r="AK663" s="181" t="str">
        <f t="shared" si="83"/>
        <v/>
      </c>
      <c r="AL663" s="181" t="str">
        <f t="shared" si="84"/>
        <v/>
      </c>
      <c r="AM663" s="181" t="str">
        <f t="shared" si="85"/>
        <v/>
      </c>
      <c r="AN663" s="181" t="str">
        <f t="shared" si="86"/>
        <v/>
      </c>
      <c r="AO663" s="192" t="str">
        <f t="shared" si="87"/>
        <v/>
      </c>
      <c r="AQ663" t="str">
        <f>IFERROR(LOOKUP(2,1/((C_Pavement!$A$5:$A$204&lt;&gt;"")*(C_Pavement!$A$5:$A$204&lt;=$B663)*(C_Pavement!$B$5:$B$204&gt;$B663)*(C_Pavement!$C$5:$C$204&lt;&gt;"")),ROW(C_Pavement!$C$5:$C$204)-4),"")</f>
        <v/>
      </c>
      <c r="AR663" t="str">
        <f>IF($AQ663="","",UPPER(TRIM(INDEX(C_Pavement!$C$5:$C$204,$AQ663))))</f>
        <v/>
      </c>
      <c r="AS663" t="str">
        <f>IF($AR663="","",IFERROR(MATCH($AR663,E_Rules!$A$5:$A$9,0),""))</f>
        <v/>
      </c>
      <c r="AT663" t="str">
        <f>IF($AQ663="","",IF(INDEX(C_Pavement!$D$5:$D$204,$AQ663)&lt;&gt;"",UPPER(TRIM(INDEX(C_Pavement!$D$5:$D$204,$AQ663))),IF($AS663="","",INDEX(E_Rules!$C$5:$C$9,$AS663))))</f>
        <v/>
      </c>
      <c r="AU663" t="str">
        <f>IF($AQ663="","",IF(INDEX(C_Pavement!$E$5:$E$204,$AQ663)&lt;&gt;"",IF(INDEX(C_Pavement!$E$5:$E$204,$AQ663)="-","",INDEX(C_Pavement!$E$5:$E$204,$AQ663)),IF($AS663="","",INDEX(E_Rules!$D$5:$D$9,$AS663))))</f>
        <v/>
      </c>
      <c r="AV663" t="str">
        <f>IF($AQ663="","",IF(INDEX(C_Pavement!$F$5:$F$204,$AQ663)&lt;&gt;"",IF(INDEX(C_Pavement!$F$5:$F$204,$AQ663)="-","",INDEX(C_Pavement!$F$5:$F$204,$AQ663)),IF($AS663="","",INDEX(E_Rules!$E$5:$E$9,$AS663))))</f>
        <v/>
      </c>
      <c r="AW663" t="str">
        <f>IF($AQ663="","",IF(INDEX(C_Pavement!$G$5:$G$204,$AQ663)&lt;&gt;"",IF(INDEX(C_Pavement!$G$5:$G$204,$AQ663)="-","",INDEX(C_Pavement!$G$5:$G$204,$AQ663)),IF($AS663="","",INDEX(E_Rules!$F$5:$F$9,$AS663))))</f>
        <v/>
      </c>
      <c r="AX663" t="str">
        <f>IF($AQ663="","",IF(INDEX(C_Pavement!$H$5:$H$204,$AQ663)&lt;&gt;"",IF(INDEX(C_Pavement!$H$5:$H$204,$AQ663)="-","",INDEX(C_Pavement!$H$5:$H$204,$AQ663)),IF($AS663="","",INDEX(E_Rules!$G$5:$G$9,$AS663))))</f>
        <v/>
      </c>
      <c r="AY663" t="str">
        <f>IF($AQ663="","",IF(INDEX(C_Pavement!$I$5:$I$204,$AQ663)&lt;&gt;"",IF(INDEX(C_Pavement!$I$5:$I$204,$AQ663)="-","",INDEX(C_Pavement!$I$5:$I$204,$AQ663)),IF($AS663="","",INDEX(E_Rules!$H$5:$H$9,$AS663))))</f>
        <v/>
      </c>
    </row>
    <row r="664" spans="1:51" ht="15.75" customHeight="1" x14ac:dyDescent="0.3">
      <c r="A664" s="189">
        <v>659</v>
      </c>
      <c r="B664" s="180">
        <v>32900</v>
      </c>
      <c r="C664" s="180" t="s">
        <v>970</v>
      </c>
      <c r="D664" s="181" t="str">
        <f>IFERROR(LOOKUP(2,1/((A_Corridor!$A$5:$A$204&lt;&gt;"")*(A_Corridor!$A$5:$A$204&lt;=$B664)*(A_Corridor!$B$5:$B$204&gt;$B664)*(A_Corridor!$C$5:$C$204&lt;&gt;"")),IF(UPPER(A_Corridor!$C$5:$C$204)="Y",1,"")),"")</f>
        <v/>
      </c>
      <c r="E664" s="181" t="str">
        <f>IFERROR(LOOKUP(2,1/((A_Corridor!$A$5:$A$204&lt;&gt;"")*(A_Corridor!$A$5:$A$204&lt;=$B664)*(A_Corridor!$B$5:$B$204&gt;$B664)*(A_Corridor!$D$5:$D$204&lt;&gt;"")),IF(A_Corridor!$D$5:$D$204="-","",UPPER(A_Corridor!$D$5:$D$204))),"")</f>
        <v/>
      </c>
      <c r="F664" s="181" t="str">
        <f>IFERROR(LOOKUP(2,1/((A_Corridor!$A$5:$A$204&lt;&gt;"")*(A_Corridor!$A$5:$A$204&lt;=$B664)*(A_Corridor!$B$5:$B$204&gt;$B664)*(A_Corridor!$E$5:$E$204&lt;&gt;"")),IF(A_Corridor!$E$5:$E$204="-","",1)),"")</f>
        <v/>
      </c>
      <c r="G664" s="182" t="str">
        <f>IFERROR(LOOKUP(2,1/((A_Corridor!$A$5:$A$204&lt;&gt;"")*(A_Corridor!$A$5:$A$204&lt;=$B664)*(A_Corridor!$B$5:$B$204&gt;$B664)*(A_Corridor!$E$5:$E$204&lt;&gt;"")),IF(A_Corridor!$E$5:$E$204="-","",A_Corridor!$E$5:$E$204)),"")</f>
        <v/>
      </c>
      <c r="H664" s="182" t="str">
        <f>IFERROR(LOOKUP(2,1/((D_Points!$A$5:$A$204&lt;&gt;"")*(D_Points!$A$5:$A$204&gt;=$B664)*(D_Points!$A$5:$A$204&lt;$B664+P_Interval)*(UPPER(TRIM(D_Points!$B$5:$B$204))="GULLY")*(D_Points!$H$5:$H$204&lt;&gt;"")),D_Points!$H$5:$H$204),"")</f>
        <v/>
      </c>
      <c r="I664" s="181" t="str">
        <f>IFERROR(LOOKUP(2,1/((A_Corridor!$A$5:$A$204&lt;&gt;"")*(A_Corridor!$A$5:$A$204&lt;=$B664)*(A_Corridor!$B$5:$B$204&gt;$B664)*(A_Corridor!$F$5:$F$204&lt;&gt;"")),IF(A_Corridor!$F$5:$F$204="-","",1)),"")</f>
        <v/>
      </c>
      <c r="J664" s="182" t="str">
        <f>IFERROR(LOOKUP(2,1/((A_Corridor!$A$5:$A$204&lt;&gt;"")*(A_Corridor!$A$5:$A$204&lt;=$B664)*(A_Corridor!$B$5:$B$204&gt;$B664)*(A_Corridor!$F$5:$F$204&lt;&gt;"")),IF(A_Corridor!$F$5:$F$204="-","",A_Corridor!$F$5:$F$204)),"")</f>
        <v/>
      </c>
      <c r="K664" s="182" t="str">
        <f>IFERROR(LOOKUP(2,1/((A_Corridor!$A$5:$A$204&lt;&gt;"")*(A_Corridor!$A$5:$A$204&lt;=$B664)*(A_Corridor!$B$5:$B$204&gt;$B664)*(A_Corridor!$G$5:$G$204&lt;&gt;"")),IF(A_Corridor!$G$5:$G$204="-","",A_Corridor!$G$5:$G$204)),"")</f>
        <v/>
      </c>
      <c r="L664" s="181" t="str">
        <f>IFERROR(LOOKUP(2,1/((A_Corridor!$A$5:$A$204&lt;&gt;"")*(A_Corridor!$A$5:$A$204&lt;=$B664)*(A_Corridor!$B$5:$B$204&gt;$B664)*(A_Corridor!$H$5:$H$204&lt;&gt;"")),IF(A_Corridor!$H$5:$H$204="-","",1)),"")</f>
        <v/>
      </c>
      <c r="M664" s="182" t="str">
        <f>IFERROR(LOOKUP(2,1/((A_Corridor!$A$5:$A$204&lt;&gt;"")*(A_Corridor!$A$5:$A$204&lt;=$B664)*(A_Corridor!$B$5:$B$204&gt;$B664)*(A_Corridor!$H$5:$H$204&lt;&gt;"")),IF(A_Corridor!$H$5:$H$204="-","",A_Corridor!$H$5:$H$204)),"")</f>
        <v/>
      </c>
      <c r="N664" s="182" t="str">
        <f>IFERROR(LOOKUP(2,1/((A_Corridor!$A$5:$A$204&lt;&gt;"")*(A_Corridor!$A$5:$A$204&lt;=$B664)*(A_Corridor!$B$5:$B$204&gt;$B664)*(A_Corridor!$I$5:$I$204&lt;&gt;"")),IF(A_Corridor!$I$5:$I$204="-","",A_Corridor!$I$5:$I$204)),"")</f>
        <v/>
      </c>
      <c r="O664" s="182" t="str">
        <f>IFERROR(LOOKUP(2,1/((D_Points!$A$5:$A$204&lt;&gt;"")*(D_Points!$A$5:$A$204&gt;=$B664)*(D_Points!$A$5:$A$204&lt;$B664+P_Interval)*(UPPER(TRIM(D_Points!$B$5:$B$204))="PITCHING")*(D_Points!$H$5:$H$204&lt;&gt;"")),D_Points!$H$5:$H$204),"")</f>
        <v/>
      </c>
      <c r="P664" s="181" t="str">
        <f>IFERROR(LOOKUP(2,1/((B_Drainage!$A$5:$A$204&lt;&gt;"")*(B_Drainage!$A$5:$A$204&lt;=$B664)*(B_Drainage!$B$5:$B$204&gt;$B664)*(B_Drainage!$C$5:$C$204&lt;&gt;"")),IF(B_Drainage!$C$5:$C$204="-","",UPPER(B_Drainage!$C$5:$C$204))),"")</f>
        <v/>
      </c>
      <c r="Q664" s="181" t="str">
        <f>IFERROR(LOOKUP(2,1/((B_Drainage!$A$5:$A$204&lt;&gt;"")*(B_Drainage!$A$5:$A$204&lt;=$B664)*(B_Drainage!$B$5:$B$204&gt;$B664)*(B_Drainage!$D$5:$D$204&lt;&gt;"")),IF(B_Drainage!$D$5:$D$204="-","",UPPER(B_Drainage!$D$5:$D$204))),"")</f>
        <v/>
      </c>
      <c r="R664" s="182" t="str">
        <f>IFERROR(LOOKUP(2,1/((D_Points!$A$5:$A$204&lt;&gt;"")*(D_Points!$A$5:$A$204&gt;=$B664)*(D_Points!$A$5:$A$204&lt;$B664+P_Interval)*(RIGHT(UPPER(TRIM(D_Points!$B$5:$B$204)),8)="_CULVERT")),IF(LEFT(UPPER(TRIM(D_Points!$B$5:$B$204)),2)="EX",1,IF(LEFT(UPPER(TRIM(D_Points!$B$5:$B$204)),2)="PR",2,3))),"")</f>
        <v/>
      </c>
      <c r="S664" s="182" t="str">
        <f>IFERROR(LOOKUP(2,1/((D_Points!$A$5:$A$204&lt;&gt;"")*(D_Points!$A$5:$A$204&gt;=$B664)*(D_Points!$A$5:$A$204&lt;$B664+P_Interval)*(RIGHT(UPPER(TRIM(D_Points!$B$5:$B$204)),7)="_BRIDGE")),IF(LEFT(UPPER(TRIM(D_Points!$B$5:$B$204)),2)="EX",1,IF(LEFT(UPPER(TRIM(D_Points!$B$5:$B$204)),2)="PR",2,2))),"")</f>
        <v/>
      </c>
      <c r="T664" s="181" t="str">
        <f>IFERROR(LOOKUP(2,1/((B_Drainage!$A$5:$A$204&lt;&gt;"")*(B_Drainage!$A$5:$A$204&lt;=$B664)*(B_Drainage!$B$5:$B$204&gt;$B664)*(B_Drainage!$E$5:$E$204&lt;&gt;"")),IF(B_Drainage!$E$5:$E$204="-","",1)),"")</f>
        <v/>
      </c>
      <c r="U664" s="181" t="str">
        <f>IFERROR(LOOKUP(2,1/((B_Drainage!$A$5:$A$204&lt;&gt;"")*(B_Drainage!$A$5:$A$204&lt;=$B664)*(B_Drainage!$B$5:$B$204&gt;$B664)*(B_Drainage!$E$5:$E$204&lt;&gt;"")),IF(B_Drainage!$E$5:$E$204="-","",B_Drainage!$E$5:$E$204)),"")</f>
        <v/>
      </c>
      <c r="V664" s="181" t="str">
        <f>IFERROR(LOOKUP(2,1/((B_Drainage!$A$5:$A$204&lt;&gt;"")*(B_Drainage!$A$5:$A$204&lt;=$B664)*(B_Drainage!$B$5:$B$204&gt;$B664)*(B_Drainage!$F$5:$F$204&lt;&gt;"")),IF(B_Drainage!$F$5:$F$204="-","",1)),"")</f>
        <v/>
      </c>
      <c r="W664" s="181" t="str">
        <f>IFERROR(LOOKUP(2,1/((B_Drainage!$A$5:$A$204&lt;&gt;"")*(B_Drainage!$A$5:$A$204&lt;=$B664)*(B_Drainage!$B$5:$B$204&gt;$B664)*(B_Drainage!$F$5:$F$204&lt;&gt;"")),IF(B_Drainage!$F$5:$F$204="-","",B_Drainage!$F$5:$F$204)),"")</f>
        <v/>
      </c>
      <c r="X664" s="181" t="str">
        <f>IFERROR(LOOKUP(2,1/((B_Drainage!$A$5:$A$204&lt;&gt;"")*(B_Drainage!$A$5:$A$204&lt;=$B664)*(B_Drainage!$B$5:$B$204&gt;$B664)*(B_Drainage!$G$5:$G$204&lt;&gt;"")),IF(UPPER(B_Drainage!$G$5:$G$204)="Y",1,"")),"")</f>
        <v/>
      </c>
      <c r="Y664" s="181" t="str">
        <f>IFERROR(LOOKUP(2,1/((B_Drainage!$A$5:$A$204&lt;&gt;"")*(B_Drainage!$A$5:$A$204&lt;=$B664)*(B_Drainage!$B$5:$B$204&gt;$B664)*(B_Drainage!$H$5:$H$204&lt;&gt;"")),IF(UPPER(B_Drainage!$H$5:$H$204)="Y",1,"")),"")</f>
        <v/>
      </c>
      <c r="Z664" s="181" t="str">
        <f>IFERROR(LOOKUP(2,1/((B_Drainage!$A$5:$A$204&lt;&gt;"")*(B_Drainage!$A$5:$A$204&lt;=$B664)*(B_Drainage!$B$5:$B$204&gt;$B664)*(B_Drainage!$I$5:$I$204&lt;&gt;"")),IF(UPPER(B_Drainage!$I$5:$I$204)="Y",1,"")),"")</f>
        <v/>
      </c>
      <c r="AA664" s="181" t="str">
        <f>IFERROR(LOOKUP(2,1/((B_Drainage!$A$5:$A$204&lt;&gt;"")*(B_Drainage!$A$5:$A$204&lt;=$B664)*(B_Drainage!$B$5:$B$204&gt;$B664)*(B_Drainage!$J$5:$J$204&lt;&gt;"")),IF(UPPER(B_Drainage!$J$5:$J$204)="Y",1,"")),"")</f>
        <v/>
      </c>
      <c r="AB664" s="182" t="str">
        <f>IFERROR(LOOKUP(2,1/((B_Drainage!$A$5:$A$204&lt;&gt;"")*(B_Drainage!$A$5:$A$204&lt;=$B664)*(B_Drainage!$B$5:$B$204&gt;$B664)*(B_Drainage!$K$5:$K$204&lt;&gt;"")),IF(B_Drainage!$K$5:$K$204="-","",B_Drainage!$K$5:$K$204)),"")</f>
        <v/>
      </c>
      <c r="AC664" s="182" t="str">
        <f>IFERROR(LOOKUP(2,1/((B_Drainage!$A$5:$A$204&lt;&gt;"")*(B_Drainage!$A$5:$A$204&lt;=$B664)*(B_Drainage!$B$5:$B$204&gt;$B664)*(B_Drainage!$L$5:$L$204&lt;&gt;"")),IF(B_Drainage!$L$5:$L$204="-","",B_Drainage!$L$5:$L$204)),"")</f>
        <v/>
      </c>
      <c r="AD664" s="182" t="str">
        <f>IFERROR(LOOKUP(2,1/((D_Points!$A$5:$A$204&lt;&gt;"")*(D_Points!$A$5:$A$204&gt;=$B664)*(D_Points!$A$5:$A$204&lt;$B664+P_Interval)*(UPPER(TRIM(D_Points!$B$5:$B$204))="TURNOUT_L")*(D_Points!$H$5:$H$204&lt;&gt;"")),D_Points!$H$5:$H$204),"")</f>
        <v/>
      </c>
      <c r="AE664" s="182" t="str">
        <f>IFERROR(LOOKUP(2,1/((D_Points!$A$5:$A$204&lt;&gt;"")*(D_Points!$A$5:$A$204&gt;=$B664)*(D_Points!$A$5:$A$204&lt;$B664+P_Interval)*(UPPER(TRIM(D_Points!$B$5:$B$204))="TURNOUT_R")*(D_Points!$H$5:$H$204&lt;&gt;"")),D_Points!$H$5:$H$204),"")</f>
        <v/>
      </c>
      <c r="AF664" s="181" t="str">
        <f>IFERROR(LOOKUP(2,1/((B_Drainage!$A$5:$A$204&lt;&gt;"")*(B_Drainage!$A$5:$A$204&lt;=$B664)*(B_Drainage!$B$5:$B$204&gt;$B664)*(B_Drainage!$M$5:$M$204&lt;&gt;"")),IF(UPPER(B_Drainage!$M$5:$M$204)="Y",1,"")),"")</f>
        <v/>
      </c>
      <c r="AG664" s="181" t="str">
        <f>IFERROR(LOOKUP(2,1/((B_Drainage!$A$5:$A$204&lt;&gt;"")*(B_Drainage!$A$5:$A$204&lt;=$B664)*(B_Drainage!$B$5:$B$204&gt;$B664)*(B_Drainage!$N$5:$N$204&lt;&gt;"")),IF(UPPER(B_Drainage!$N$5:$N$204)="Y",1,"")),"")</f>
        <v/>
      </c>
      <c r="AH664" s="181" t="str">
        <f t="shared" si="80"/>
        <v/>
      </c>
      <c r="AI664" s="181" t="str">
        <f t="shared" si="81"/>
        <v/>
      </c>
      <c r="AJ664" s="181" t="str">
        <f t="shared" si="82"/>
        <v/>
      </c>
      <c r="AK664" s="181" t="str">
        <f t="shared" si="83"/>
        <v/>
      </c>
      <c r="AL664" s="181" t="str">
        <f t="shared" si="84"/>
        <v/>
      </c>
      <c r="AM664" s="181" t="str">
        <f t="shared" si="85"/>
        <v/>
      </c>
      <c r="AN664" s="181" t="str">
        <f t="shared" si="86"/>
        <v/>
      </c>
      <c r="AO664" s="192" t="str">
        <f t="shared" si="87"/>
        <v/>
      </c>
      <c r="AQ664" t="str">
        <f>IFERROR(LOOKUP(2,1/((C_Pavement!$A$5:$A$204&lt;&gt;"")*(C_Pavement!$A$5:$A$204&lt;=$B664)*(C_Pavement!$B$5:$B$204&gt;$B664)*(C_Pavement!$C$5:$C$204&lt;&gt;"")),ROW(C_Pavement!$C$5:$C$204)-4),"")</f>
        <v/>
      </c>
      <c r="AR664" t="str">
        <f>IF($AQ664="","",UPPER(TRIM(INDEX(C_Pavement!$C$5:$C$204,$AQ664))))</f>
        <v/>
      </c>
      <c r="AS664" t="str">
        <f>IF($AR664="","",IFERROR(MATCH($AR664,E_Rules!$A$5:$A$9,0),""))</f>
        <v/>
      </c>
      <c r="AT664" t="str">
        <f>IF($AQ664="","",IF(INDEX(C_Pavement!$D$5:$D$204,$AQ664)&lt;&gt;"",UPPER(TRIM(INDEX(C_Pavement!$D$5:$D$204,$AQ664))),IF($AS664="","",INDEX(E_Rules!$C$5:$C$9,$AS664))))</f>
        <v/>
      </c>
      <c r="AU664" t="str">
        <f>IF($AQ664="","",IF(INDEX(C_Pavement!$E$5:$E$204,$AQ664)&lt;&gt;"",IF(INDEX(C_Pavement!$E$5:$E$204,$AQ664)="-","",INDEX(C_Pavement!$E$5:$E$204,$AQ664)),IF($AS664="","",INDEX(E_Rules!$D$5:$D$9,$AS664))))</f>
        <v/>
      </c>
      <c r="AV664" t="str">
        <f>IF($AQ664="","",IF(INDEX(C_Pavement!$F$5:$F$204,$AQ664)&lt;&gt;"",IF(INDEX(C_Pavement!$F$5:$F$204,$AQ664)="-","",INDEX(C_Pavement!$F$5:$F$204,$AQ664)),IF($AS664="","",INDEX(E_Rules!$E$5:$E$9,$AS664))))</f>
        <v/>
      </c>
      <c r="AW664" t="str">
        <f>IF($AQ664="","",IF(INDEX(C_Pavement!$G$5:$G$204,$AQ664)&lt;&gt;"",IF(INDEX(C_Pavement!$G$5:$G$204,$AQ664)="-","",INDEX(C_Pavement!$G$5:$G$204,$AQ664)),IF($AS664="","",INDEX(E_Rules!$F$5:$F$9,$AS664))))</f>
        <v/>
      </c>
      <c r="AX664" t="str">
        <f>IF($AQ664="","",IF(INDEX(C_Pavement!$H$5:$H$204,$AQ664)&lt;&gt;"",IF(INDEX(C_Pavement!$H$5:$H$204,$AQ664)="-","",INDEX(C_Pavement!$H$5:$H$204,$AQ664)),IF($AS664="","",INDEX(E_Rules!$G$5:$G$9,$AS664))))</f>
        <v/>
      </c>
      <c r="AY664" t="str">
        <f>IF($AQ664="","",IF(INDEX(C_Pavement!$I$5:$I$204,$AQ664)&lt;&gt;"",IF(INDEX(C_Pavement!$I$5:$I$204,$AQ664)="-","",INDEX(C_Pavement!$I$5:$I$204,$AQ664)),IF($AS664="","",INDEX(E_Rules!$H$5:$H$9,$AS664))))</f>
        <v/>
      </c>
    </row>
    <row r="665" spans="1:51" ht="15.75" customHeight="1" x14ac:dyDescent="0.3">
      <c r="A665" s="189">
        <v>660</v>
      </c>
      <c r="B665" s="180">
        <v>32950</v>
      </c>
      <c r="C665" s="180" t="s">
        <v>971</v>
      </c>
      <c r="D665" s="181" t="str">
        <f>IFERROR(LOOKUP(2,1/((A_Corridor!$A$5:$A$204&lt;&gt;"")*(A_Corridor!$A$5:$A$204&lt;=$B665)*(A_Corridor!$B$5:$B$204&gt;$B665)*(A_Corridor!$C$5:$C$204&lt;&gt;"")),IF(UPPER(A_Corridor!$C$5:$C$204)="Y",1,"")),"")</f>
        <v/>
      </c>
      <c r="E665" s="181" t="str">
        <f>IFERROR(LOOKUP(2,1/((A_Corridor!$A$5:$A$204&lt;&gt;"")*(A_Corridor!$A$5:$A$204&lt;=$B665)*(A_Corridor!$B$5:$B$204&gt;$B665)*(A_Corridor!$D$5:$D$204&lt;&gt;"")),IF(A_Corridor!$D$5:$D$204="-","",UPPER(A_Corridor!$D$5:$D$204))),"")</f>
        <v/>
      </c>
      <c r="F665" s="181" t="str">
        <f>IFERROR(LOOKUP(2,1/((A_Corridor!$A$5:$A$204&lt;&gt;"")*(A_Corridor!$A$5:$A$204&lt;=$B665)*(A_Corridor!$B$5:$B$204&gt;$B665)*(A_Corridor!$E$5:$E$204&lt;&gt;"")),IF(A_Corridor!$E$5:$E$204="-","",1)),"")</f>
        <v/>
      </c>
      <c r="G665" s="182" t="str">
        <f>IFERROR(LOOKUP(2,1/((A_Corridor!$A$5:$A$204&lt;&gt;"")*(A_Corridor!$A$5:$A$204&lt;=$B665)*(A_Corridor!$B$5:$B$204&gt;$B665)*(A_Corridor!$E$5:$E$204&lt;&gt;"")),IF(A_Corridor!$E$5:$E$204="-","",A_Corridor!$E$5:$E$204)),"")</f>
        <v/>
      </c>
      <c r="H665" s="182" t="str">
        <f>IFERROR(LOOKUP(2,1/((D_Points!$A$5:$A$204&lt;&gt;"")*(D_Points!$A$5:$A$204&gt;=$B665)*(D_Points!$A$5:$A$204&lt;$B665+P_Interval)*(UPPER(TRIM(D_Points!$B$5:$B$204))="GULLY")*(D_Points!$H$5:$H$204&lt;&gt;"")),D_Points!$H$5:$H$204),"")</f>
        <v/>
      </c>
      <c r="I665" s="181" t="str">
        <f>IFERROR(LOOKUP(2,1/((A_Corridor!$A$5:$A$204&lt;&gt;"")*(A_Corridor!$A$5:$A$204&lt;=$B665)*(A_Corridor!$B$5:$B$204&gt;$B665)*(A_Corridor!$F$5:$F$204&lt;&gt;"")),IF(A_Corridor!$F$5:$F$204="-","",1)),"")</f>
        <v/>
      </c>
      <c r="J665" s="182" t="str">
        <f>IFERROR(LOOKUP(2,1/((A_Corridor!$A$5:$A$204&lt;&gt;"")*(A_Corridor!$A$5:$A$204&lt;=$B665)*(A_Corridor!$B$5:$B$204&gt;$B665)*(A_Corridor!$F$5:$F$204&lt;&gt;"")),IF(A_Corridor!$F$5:$F$204="-","",A_Corridor!$F$5:$F$204)),"")</f>
        <v/>
      </c>
      <c r="K665" s="182" t="str">
        <f>IFERROR(LOOKUP(2,1/((A_Corridor!$A$5:$A$204&lt;&gt;"")*(A_Corridor!$A$5:$A$204&lt;=$B665)*(A_Corridor!$B$5:$B$204&gt;$B665)*(A_Corridor!$G$5:$G$204&lt;&gt;"")),IF(A_Corridor!$G$5:$G$204="-","",A_Corridor!$G$5:$G$204)),"")</f>
        <v/>
      </c>
      <c r="L665" s="181" t="str">
        <f>IFERROR(LOOKUP(2,1/((A_Corridor!$A$5:$A$204&lt;&gt;"")*(A_Corridor!$A$5:$A$204&lt;=$B665)*(A_Corridor!$B$5:$B$204&gt;$B665)*(A_Corridor!$H$5:$H$204&lt;&gt;"")),IF(A_Corridor!$H$5:$H$204="-","",1)),"")</f>
        <v/>
      </c>
      <c r="M665" s="182" t="str">
        <f>IFERROR(LOOKUP(2,1/((A_Corridor!$A$5:$A$204&lt;&gt;"")*(A_Corridor!$A$5:$A$204&lt;=$B665)*(A_Corridor!$B$5:$B$204&gt;$B665)*(A_Corridor!$H$5:$H$204&lt;&gt;"")),IF(A_Corridor!$H$5:$H$204="-","",A_Corridor!$H$5:$H$204)),"")</f>
        <v/>
      </c>
      <c r="N665" s="182" t="str">
        <f>IFERROR(LOOKUP(2,1/((A_Corridor!$A$5:$A$204&lt;&gt;"")*(A_Corridor!$A$5:$A$204&lt;=$B665)*(A_Corridor!$B$5:$B$204&gt;$B665)*(A_Corridor!$I$5:$I$204&lt;&gt;"")),IF(A_Corridor!$I$5:$I$204="-","",A_Corridor!$I$5:$I$204)),"")</f>
        <v/>
      </c>
      <c r="O665" s="182" t="str">
        <f>IFERROR(LOOKUP(2,1/((D_Points!$A$5:$A$204&lt;&gt;"")*(D_Points!$A$5:$A$204&gt;=$B665)*(D_Points!$A$5:$A$204&lt;$B665+P_Interval)*(UPPER(TRIM(D_Points!$B$5:$B$204))="PITCHING")*(D_Points!$H$5:$H$204&lt;&gt;"")),D_Points!$H$5:$H$204),"")</f>
        <v/>
      </c>
      <c r="P665" s="181" t="str">
        <f>IFERROR(LOOKUP(2,1/((B_Drainage!$A$5:$A$204&lt;&gt;"")*(B_Drainage!$A$5:$A$204&lt;=$B665)*(B_Drainage!$B$5:$B$204&gt;$B665)*(B_Drainage!$C$5:$C$204&lt;&gt;"")),IF(B_Drainage!$C$5:$C$204="-","",UPPER(B_Drainage!$C$5:$C$204))),"")</f>
        <v/>
      </c>
      <c r="Q665" s="181" t="str">
        <f>IFERROR(LOOKUP(2,1/((B_Drainage!$A$5:$A$204&lt;&gt;"")*(B_Drainage!$A$5:$A$204&lt;=$B665)*(B_Drainage!$B$5:$B$204&gt;$B665)*(B_Drainage!$D$5:$D$204&lt;&gt;"")),IF(B_Drainage!$D$5:$D$204="-","",UPPER(B_Drainage!$D$5:$D$204))),"")</f>
        <v/>
      </c>
      <c r="R665" s="182" t="str">
        <f>IFERROR(LOOKUP(2,1/((D_Points!$A$5:$A$204&lt;&gt;"")*(D_Points!$A$5:$A$204&gt;=$B665)*(D_Points!$A$5:$A$204&lt;$B665+P_Interval)*(RIGHT(UPPER(TRIM(D_Points!$B$5:$B$204)),8)="_CULVERT")),IF(LEFT(UPPER(TRIM(D_Points!$B$5:$B$204)),2)="EX",1,IF(LEFT(UPPER(TRIM(D_Points!$B$5:$B$204)),2)="PR",2,3))),"")</f>
        <v/>
      </c>
      <c r="S665" s="182" t="str">
        <f>IFERROR(LOOKUP(2,1/((D_Points!$A$5:$A$204&lt;&gt;"")*(D_Points!$A$5:$A$204&gt;=$B665)*(D_Points!$A$5:$A$204&lt;$B665+P_Interval)*(RIGHT(UPPER(TRIM(D_Points!$B$5:$B$204)),7)="_BRIDGE")),IF(LEFT(UPPER(TRIM(D_Points!$B$5:$B$204)),2)="EX",1,IF(LEFT(UPPER(TRIM(D_Points!$B$5:$B$204)),2)="PR",2,2))),"")</f>
        <v/>
      </c>
      <c r="T665" s="181" t="str">
        <f>IFERROR(LOOKUP(2,1/((B_Drainage!$A$5:$A$204&lt;&gt;"")*(B_Drainage!$A$5:$A$204&lt;=$B665)*(B_Drainage!$B$5:$B$204&gt;$B665)*(B_Drainage!$E$5:$E$204&lt;&gt;"")),IF(B_Drainage!$E$5:$E$204="-","",1)),"")</f>
        <v/>
      </c>
      <c r="U665" s="181" t="str">
        <f>IFERROR(LOOKUP(2,1/((B_Drainage!$A$5:$A$204&lt;&gt;"")*(B_Drainage!$A$5:$A$204&lt;=$B665)*(B_Drainage!$B$5:$B$204&gt;$B665)*(B_Drainage!$E$5:$E$204&lt;&gt;"")),IF(B_Drainage!$E$5:$E$204="-","",B_Drainage!$E$5:$E$204)),"")</f>
        <v/>
      </c>
      <c r="V665" s="181" t="str">
        <f>IFERROR(LOOKUP(2,1/((B_Drainage!$A$5:$A$204&lt;&gt;"")*(B_Drainage!$A$5:$A$204&lt;=$B665)*(B_Drainage!$B$5:$B$204&gt;$B665)*(B_Drainage!$F$5:$F$204&lt;&gt;"")),IF(B_Drainage!$F$5:$F$204="-","",1)),"")</f>
        <v/>
      </c>
      <c r="W665" s="181" t="str">
        <f>IFERROR(LOOKUP(2,1/((B_Drainage!$A$5:$A$204&lt;&gt;"")*(B_Drainage!$A$5:$A$204&lt;=$B665)*(B_Drainage!$B$5:$B$204&gt;$B665)*(B_Drainage!$F$5:$F$204&lt;&gt;"")),IF(B_Drainage!$F$5:$F$204="-","",B_Drainage!$F$5:$F$204)),"")</f>
        <v/>
      </c>
      <c r="X665" s="181" t="str">
        <f>IFERROR(LOOKUP(2,1/((B_Drainage!$A$5:$A$204&lt;&gt;"")*(B_Drainage!$A$5:$A$204&lt;=$B665)*(B_Drainage!$B$5:$B$204&gt;$B665)*(B_Drainage!$G$5:$G$204&lt;&gt;"")),IF(UPPER(B_Drainage!$G$5:$G$204)="Y",1,"")),"")</f>
        <v/>
      </c>
      <c r="Y665" s="181" t="str">
        <f>IFERROR(LOOKUP(2,1/((B_Drainage!$A$5:$A$204&lt;&gt;"")*(B_Drainage!$A$5:$A$204&lt;=$B665)*(B_Drainage!$B$5:$B$204&gt;$B665)*(B_Drainage!$H$5:$H$204&lt;&gt;"")),IF(UPPER(B_Drainage!$H$5:$H$204)="Y",1,"")),"")</f>
        <v/>
      </c>
      <c r="Z665" s="181" t="str">
        <f>IFERROR(LOOKUP(2,1/((B_Drainage!$A$5:$A$204&lt;&gt;"")*(B_Drainage!$A$5:$A$204&lt;=$B665)*(B_Drainage!$B$5:$B$204&gt;$B665)*(B_Drainage!$I$5:$I$204&lt;&gt;"")),IF(UPPER(B_Drainage!$I$5:$I$204)="Y",1,"")),"")</f>
        <v/>
      </c>
      <c r="AA665" s="181" t="str">
        <f>IFERROR(LOOKUP(2,1/((B_Drainage!$A$5:$A$204&lt;&gt;"")*(B_Drainage!$A$5:$A$204&lt;=$B665)*(B_Drainage!$B$5:$B$204&gt;$B665)*(B_Drainage!$J$5:$J$204&lt;&gt;"")),IF(UPPER(B_Drainage!$J$5:$J$204)="Y",1,"")),"")</f>
        <v/>
      </c>
      <c r="AB665" s="182" t="str">
        <f>IFERROR(LOOKUP(2,1/((B_Drainage!$A$5:$A$204&lt;&gt;"")*(B_Drainage!$A$5:$A$204&lt;=$B665)*(B_Drainage!$B$5:$B$204&gt;$B665)*(B_Drainage!$K$5:$K$204&lt;&gt;"")),IF(B_Drainage!$K$5:$K$204="-","",B_Drainage!$K$5:$K$204)),"")</f>
        <v/>
      </c>
      <c r="AC665" s="182" t="str">
        <f>IFERROR(LOOKUP(2,1/((B_Drainage!$A$5:$A$204&lt;&gt;"")*(B_Drainage!$A$5:$A$204&lt;=$B665)*(B_Drainage!$B$5:$B$204&gt;$B665)*(B_Drainage!$L$5:$L$204&lt;&gt;"")),IF(B_Drainage!$L$5:$L$204="-","",B_Drainage!$L$5:$L$204)),"")</f>
        <v/>
      </c>
      <c r="AD665" s="182" t="str">
        <f>IFERROR(LOOKUP(2,1/((D_Points!$A$5:$A$204&lt;&gt;"")*(D_Points!$A$5:$A$204&gt;=$B665)*(D_Points!$A$5:$A$204&lt;$B665+P_Interval)*(UPPER(TRIM(D_Points!$B$5:$B$204))="TURNOUT_L")*(D_Points!$H$5:$H$204&lt;&gt;"")),D_Points!$H$5:$H$204),"")</f>
        <v/>
      </c>
      <c r="AE665" s="182" t="str">
        <f>IFERROR(LOOKUP(2,1/((D_Points!$A$5:$A$204&lt;&gt;"")*(D_Points!$A$5:$A$204&gt;=$B665)*(D_Points!$A$5:$A$204&lt;$B665+P_Interval)*(UPPER(TRIM(D_Points!$B$5:$B$204))="TURNOUT_R")*(D_Points!$H$5:$H$204&lt;&gt;"")),D_Points!$H$5:$H$204),"")</f>
        <v/>
      </c>
      <c r="AF665" s="181" t="str">
        <f>IFERROR(LOOKUP(2,1/((B_Drainage!$A$5:$A$204&lt;&gt;"")*(B_Drainage!$A$5:$A$204&lt;=$B665)*(B_Drainage!$B$5:$B$204&gt;$B665)*(B_Drainage!$M$5:$M$204&lt;&gt;"")),IF(UPPER(B_Drainage!$M$5:$M$204)="Y",1,"")),"")</f>
        <v/>
      </c>
      <c r="AG665" s="181" t="str">
        <f>IFERROR(LOOKUP(2,1/((B_Drainage!$A$5:$A$204&lt;&gt;"")*(B_Drainage!$A$5:$A$204&lt;=$B665)*(B_Drainage!$B$5:$B$204&gt;$B665)*(B_Drainage!$N$5:$N$204&lt;&gt;"")),IF(UPPER(B_Drainage!$N$5:$N$204)="Y",1,"")),"")</f>
        <v/>
      </c>
      <c r="AH665" s="181" t="str">
        <f t="shared" si="80"/>
        <v/>
      </c>
      <c r="AI665" s="181" t="str">
        <f t="shared" si="81"/>
        <v/>
      </c>
      <c r="AJ665" s="181" t="str">
        <f t="shared" si="82"/>
        <v/>
      </c>
      <c r="AK665" s="181" t="str">
        <f t="shared" si="83"/>
        <v/>
      </c>
      <c r="AL665" s="181" t="str">
        <f t="shared" si="84"/>
        <v/>
      </c>
      <c r="AM665" s="181" t="str">
        <f t="shared" si="85"/>
        <v/>
      </c>
      <c r="AN665" s="181" t="str">
        <f t="shared" si="86"/>
        <v/>
      </c>
      <c r="AO665" s="192" t="str">
        <f t="shared" si="87"/>
        <v/>
      </c>
      <c r="AQ665" t="str">
        <f>IFERROR(LOOKUP(2,1/((C_Pavement!$A$5:$A$204&lt;&gt;"")*(C_Pavement!$A$5:$A$204&lt;=$B665)*(C_Pavement!$B$5:$B$204&gt;$B665)*(C_Pavement!$C$5:$C$204&lt;&gt;"")),ROW(C_Pavement!$C$5:$C$204)-4),"")</f>
        <v/>
      </c>
      <c r="AR665" t="str">
        <f>IF($AQ665="","",UPPER(TRIM(INDEX(C_Pavement!$C$5:$C$204,$AQ665))))</f>
        <v/>
      </c>
      <c r="AS665" t="str">
        <f>IF($AR665="","",IFERROR(MATCH($AR665,E_Rules!$A$5:$A$9,0),""))</f>
        <v/>
      </c>
      <c r="AT665" t="str">
        <f>IF($AQ665="","",IF(INDEX(C_Pavement!$D$5:$D$204,$AQ665)&lt;&gt;"",UPPER(TRIM(INDEX(C_Pavement!$D$5:$D$204,$AQ665))),IF($AS665="","",INDEX(E_Rules!$C$5:$C$9,$AS665))))</f>
        <v/>
      </c>
      <c r="AU665" t="str">
        <f>IF($AQ665="","",IF(INDEX(C_Pavement!$E$5:$E$204,$AQ665)&lt;&gt;"",IF(INDEX(C_Pavement!$E$5:$E$204,$AQ665)="-","",INDEX(C_Pavement!$E$5:$E$204,$AQ665)),IF($AS665="","",INDEX(E_Rules!$D$5:$D$9,$AS665))))</f>
        <v/>
      </c>
      <c r="AV665" t="str">
        <f>IF($AQ665="","",IF(INDEX(C_Pavement!$F$5:$F$204,$AQ665)&lt;&gt;"",IF(INDEX(C_Pavement!$F$5:$F$204,$AQ665)="-","",INDEX(C_Pavement!$F$5:$F$204,$AQ665)),IF($AS665="","",INDEX(E_Rules!$E$5:$E$9,$AS665))))</f>
        <v/>
      </c>
      <c r="AW665" t="str">
        <f>IF($AQ665="","",IF(INDEX(C_Pavement!$G$5:$G$204,$AQ665)&lt;&gt;"",IF(INDEX(C_Pavement!$G$5:$G$204,$AQ665)="-","",INDEX(C_Pavement!$G$5:$G$204,$AQ665)),IF($AS665="","",INDEX(E_Rules!$F$5:$F$9,$AS665))))</f>
        <v/>
      </c>
      <c r="AX665" t="str">
        <f>IF($AQ665="","",IF(INDEX(C_Pavement!$H$5:$H$204,$AQ665)&lt;&gt;"",IF(INDEX(C_Pavement!$H$5:$H$204,$AQ665)="-","",INDEX(C_Pavement!$H$5:$H$204,$AQ665)),IF($AS665="","",INDEX(E_Rules!$G$5:$G$9,$AS665))))</f>
        <v/>
      </c>
      <c r="AY665" t="str">
        <f>IF($AQ665="","",IF(INDEX(C_Pavement!$I$5:$I$204,$AQ665)&lt;&gt;"",IF(INDEX(C_Pavement!$I$5:$I$204,$AQ665)="-","",INDEX(C_Pavement!$I$5:$I$204,$AQ665)),IF($AS665="","",INDEX(E_Rules!$H$5:$H$9,$AS665))))</f>
        <v/>
      </c>
    </row>
    <row r="666" spans="1:51" ht="15.75" customHeight="1" x14ac:dyDescent="0.3">
      <c r="A666" s="189">
        <v>661</v>
      </c>
      <c r="B666" s="180">
        <v>33000</v>
      </c>
      <c r="C666" s="180" t="s">
        <v>972</v>
      </c>
      <c r="D666" s="181" t="str">
        <f>IFERROR(LOOKUP(2,1/((A_Corridor!$A$5:$A$204&lt;&gt;"")*(A_Corridor!$A$5:$A$204&lt;=$B666)*(A_Corridor!$B$5:$B$204&gt;$B666)*(A_Corridor!$C$5:$C$204&lt;&gt;"")),IF(UPPER(A_Corridor!$C$5:$C$204)="Y",1,"")),"")</f>
        <v/>
      </c>
      <c r="E666" s="181" t="str">
        <f>IFERROR(LOOKUP(2,1/((A_Corridor!$A$5:$A$204&lt;&gt;"")*(A_Corridor!$A$5:$A$204&lt;=$B666)*(A_Corridor!$B$5:$B$204&gt;$B666)*(A_Corridor!$D$5:$D$204&lt;&gt;"")),IF(A_Corridor!$D$5:$D$204="-","",UPPER(A_Corridor!$D$5:$D$204))),"")</f>
        <v/>
      </c>
      <c r="F666" s="181" t="str">
        <f>IFERROR(LOOKUP(2,1/((A_Corridor!$A$5:$A$204&lt;&gt;"")*(A_Corridor!$A$5:$A$204&lt;=$B666)*(A_Corridor!$B$5:$B$204&gt;$B666)*(A_Corridor!$E$5:$E$204&lt;&gt;"")),IF(A_Corridor!$E$5:$E$204="-","",1)),"")</f>
        <v/>
      </c>
      <c r="G666" s="182" t="str">
        <f>IFERROR(LOOKUP(2,1/((A_Corridor!$A$5:$A$204&lt;&gt;"")*(A_Corridor!$A$5:$A$204&lt;=$B666)*(A_Corridor!$B$5:$B$204&gt;$B666)*(A_Corridor!$E$5:$E$204&lt;&gt;"")),IF(A_Corridor!$E$5:$E$204="-","",A_Corridor!$E$5:$E$204)),"")</f>
        <v/>
      </c>
      <c r="H666" s="182" t="str">
        <f>IFERROR(LOOKUP(2,1/((D_Points!$A$5:$A$204&lt;&gt;"")*(D_Points!$A$5:$A$204&gt;=$B666)*(D_Points!$A$5:$A$204&lt;$B666+P_Interval)*(UPPER(TRIM(D_Points!$B$5:$B$204))="GULLY")*(D_Points!$H$5:$H$204&lt;&gt;"")),D_Points!$H$5:$H$204),"")</f>
        <v/>
      </c>
      <c r="I666" s="181" t="str">
        <f>IFERROR(LOOKUP(2,1/((A_Corridor!$A$5:$A$204&lt;&gt;"")*(A_Corridor!$A$5:$A$204&lt;=$B666)*(A_Corridor!$B$5:$B$204&gt;$B666)*(A_Corridor!$F$5:$F$204&lt;&gt;"")),IF(A_Corridor!$F$5:$F$204="-","",1)),"")</f>
        <v/>
      </c>
      <c r="J666" s="182" t="str">
        <f>IFERROR(LOOKUP(2,1/((A_Corridor!$A$5:$A$204&lt;&gt;"")*(A_Corridor!$A$5:$A$204&lt;=$B666)*(A_Corridor!$B$5:$B$204&gt;$B666)*(A_Corridor!$F$5:$F$204&lt;&gt;"")),IF(A_Corridor!$F$5:$F$204="-","",A_Corridor!$F$5:$F$204)),"")</f>
        <v/>
      </c>
      <c r="K666" s="182" t="str">
        <f>IFERROR(LOOKUP(2,1/((A_Corridor!$A$5:$A$204&lt;&gt;"")*(A_Corridor!$A$5:$A$204&lt;=$B666)*(A_Corridor!$B$5:$B$204&gt;$B666)*(A_Corridor!$G$5:$G$204&lt;&gt;"")),IF(A_Corridor!$G$5:$G$204="-","",A_Corridor!$G$5:$G$204)),"")</f>
        <v/>
      </c>
      <c r="L666" s="181" t="str">
        <f>IFERROR(LOOKUP(2,1/((A_Corridor!$A$5:$A$204&lt;&gt;"")*(A_Corridor!$A$5:$A$204&lt;=$B666)*(A_Corridor!$B$5:$B$204&gt;$B666)*(A_Corridor!$H$5:$H$204&lt;&gt;"")),IF(A_Corridor!$H$5:$H$204="-","",1)),"")</f>
        <v/>
      </c>
      <c r="M666" s="182" t="str">
        <f>IFERROR(LOOKUP(2,1/((A_Corridor!$A$5:$A$204&lt;&gt;"")*(A_Corridor!$A$5:$A$204&lt;=$B666)*(A_Corridor!$B$5:$B$204&gt;$B666)*(A_Corridor!$H$5:$H$204&lt;&gt;"")),IF(A_Corridor!$H$5:$H$204="-","",A_Corridor!$H$5:$H$204)),"")</f>
        <v/>
      </c>
      <c r="N666" s="182" t="str">
        <f>IFERROR(LOOKUP(2,1/((A_Corridor!$A$5:$A$204&lt;&gt;"")*(A_Corridor!$A$5:$A$204&lt;=$B666)*(A_Corridor!$B$5:$B$204&gt;$B666)*(A_Corridor!$I$5:$I$204&lt;&gt;"")),IF(A_Corridor!$I$5:$I$204="-","",A_Corridor!$I$5:$I$204)),"")</f>
        <v/>
      </c>
      <c r="O666" s="182" t="str">
        <f>IFERROR(LOOKUP(2,1/((D_Points!$A$5:$A$204&lt;&gt;"")*(D_Points!$A$5:$A$204&gt;=$B666)*(D_Points!$A$5:$A$204&lt;$B666+P_Interval)*(UPPER(TRIM(D_Points!$B$5:$B$204))="PITCHING")*(D_Points!$H$5:$H$204&lt;&gt;"")),D_Points!$H$5:$H$204),"")</f>
        <v/>
      </c>
      <c r="P666" s="181" t="str">
        <f>IFERROR(LOOKUP(2,1/((B_Drainage!$A$5:$A$204&lt;&gt;"")*(B_Drainage!$A$5:$A$204&lt;=$B666)*(B_Drainage!$B$5:$B$204&gt;$B666)*(B_Drainage!$C$5:$C$204&lt;&gt;"")),IF(B_Drainage!$C$5:$C$204="-","",UPPER(B_Drainage!$C$5:$C$204))),"")</f>
        <v/>
      </c>
      <c r="Q666" s="181" t="str">
        <f>IFERROR(LOOKUP(2,1/((B_Drainage!$A$5:$A$204&lt;&gt;"")*(B_Drainage!$A$5:$A$204&lt;=$B666)*(B_Drainage!$B$5:$B$204&gt;$B666)*(B_Drainage!$D$5:$D$204&lt;&gt;"")),IF(B_Drainage!$D$5:$D$204="-","",UPPER(B_Drainage!$D$5:$D$204))),"")</f>
        <v/>
      </c>
      <c r="R666" s="182" t="str">
        <f>IFERROR(LOOKUP(2,1/((D_Points!$A$5:$A$204&lt;&gt;"")*(D_Points!$A$5:$A$204&gt;=$B666)*(D_Points!$A$5:$A$204&lt;$B666+P_Interval)*(RIGHT(UPPER(TRIM(D_Points!$B$5:$B$204)),8)="_CULVERT")),IF(LEFT(UPPER(TRIM(D_Points!$B$5:$B$204)),2)="EX",1,IF(LEFT(UPPER(TRIM(D_Points!$B$5:$B$204)),2)="PR",2,3))),"")</f>
        <v/>
      </c>
      <c r="S666" s="182" t="str">
        <f>IFERROR(LOOKUP(2,1/((D_Points!$A$5:$A$204&lt;&gt;"")*(D_Points!$A$5:$A$204&gt;=$B666)*(D_Points!$A$5:$A$204&lt;$B666+P_Interval)*(RIGHT(UPPER(TRIM(D_Points!$B$5:$B$204)),7)="_BRIDGE")),IF(LEFT(UPPER(TRIM(D_Points!$B$5:$B$204)),2)="EX",1,IF(LEFT(UPPER(TRIM(D_Points!$B$5:$B$204)),2)="PR",2,2))),"")</f>
        <v/>
      </c>
      <c r="T666" s="181" t="str">
        <f>IFERROR(LOOKUP(2,1/((B_Drainage!$A$5:$A$204&lt;&gt;"")*(B_Drainage!$A$5:$A$204&lt;=$B666)*(B_Drainage!$B$5:$B$204&gt;$B666)*(B_Drainage!$E$5:$E$204&lt;&gt;"")),IF(B_Drainage!$E$5:$E$204="-","",1)),"")</f>
        <v/>
      </c>
      <c r="U666" s="181" t="str">
        <f>IFERROR(LOOKUP(2,1/((B_Drainage!$A$5:$A$204&lt;&gt;"")*(B_Drainage!$A$5:$A$204&lt;=$B666)*(B_Drainage!$B$5:$B$204&gt;$B666)*(B_Drainage!$E$5:$E$204&lt;&gt;"")),IF(B_Drainage!$E$5:$E$204="-","",B_Drainage!$E$5:$E$204)),"")</f>
        <v/>
      </c>
      <c r="V666" s="181" t="str">
        <f>IFERROR(LOOKUP(2,1/((B_Drainage!$A$5:$A$204&lt;&gt;"")*(B_Drainage!$A$5:$A$204&lt;=$B666)*(B_Drainage!$B$5:$B$204&gt;$B666)*(B_Drainage!$F$5:$F$204&lt;&gt;"")),IF(B_Drainage!$F$5:$F$204="-","",1)),"")</f>
        <v/>
      </c>
      <c r="W666" s="181" t="str">
        <f>IFERROR(LOOKUP(2,1/((B_Drainage!$A$5:$A$204&lt;&gt;"")*(B_Drainage!$A$5:$A$204&lt;=$B666)*(B_Drainage!$B$5:$B$204&gt;$B666)*(B_Drainage!$F$5:$F$204&lt;&gt;"")),IF(B_Drainage!$F$5:$F$204="-","",B_Drainage!$F$5:$F$204)),"")</f>
        <v/>
      </c>
      <c r="X666" s="181" t="str">
        <f>IFERROR(LOOKUP(2,1/((B_Drainage!$A$5:$A$204&lt;&gt;"")*(B_Drainage!$A$5:$A$204&lt;=$B666)*(B_Drainage!$B$5:$B$204&gt;$B666)*(B_Drainage!$G$5:$G$204&lt;&gt;"")),IF(UPPER(B_Drainage!$G$5:$G$204)="Y",1,"")),"")</f>
        <v/>
      </c>
      <c r="Y666" s="181" t="str">
        <f>IFERROR(LOOKUP(2,1/((B_Drainage!$A$5:$A$204&lt;&gt;"")*(B_Drainage!$A$5:$A$204&lt;=$B666)*(B_Drainage!$B$5:$B$204&gt;$B666)*(B_Drainage!$H$5:$H$204&lt;&gt;"")),IF(UPPER(B_Drainage!$H$5:$H$204)="Y",1,"")),"")</f>
        <v/>
      </c>
      <c r="Z666" s="181" t="str">
        <f>IFERROR(LOOKUP(2,1/((B_Drainage!$A$5:$A$204&lt;&gt;"")*(B_Drainage!$A$5:$A$204&lt;=$B666)*(B_Drainage!$B$5:$B$204&gt;$B666)*(B_Drainage!$I$5:$I$204&lt;&gt;"")),IF(UPPER(B_Drainage!$I$5:$I$204)="Y",1,"")),"")</f>
        <v/>
      </c>
      <c r="AA666" s="181" t="str">
        <f>IFERROR(LOOKUP(2,1/((B_Drainage!$A$5:$A$204&lt;&gt;"")*(B_Drainage!$A$5:$A$204&lt;=$B666)*(B_Drainage!$B$5:$B$204&gt;$B666)*(B_Drainage!$J$5:$J$204&lt;&gt;"")),IF(UPPER(B_Drainage!$J$5:$J$204)="Y",1,"")),"")</f>
        <v/>
      </c>
      <c r="AB666" s="182" t="str">
        <f>IFERROR(LOOKUP(2,1/((B_Drainage!$A$5:$A$204&lt;&gt;"")*(B_Drainage!$A$5:$A$204&lt;=$B666)*(B_Drainage!$B$5:$B$204&gt;$B666)*(B_Drainage!$K$5:$K$204&lt;&gt;"")),IF(B_Drainage!$K$5:$K$204="-","",B_Drainage!$K$5:$K$204)),"")</f>
        <v/>
      </c>
      <c r="AC666" s="182" t="str">
        <f>IFERROR(LOOKUP(2,1/((B_Drainage!$A$5:$A$204&lt;&gt;"")*(B_Drainage!$A$5:$A$204&lt;=$B666)*(B_Drainage!$B$5:$B$204&gt;$B666)*(B_Drainage!$L$5:$L$204&lt;&gt;"")),IF(B_Drainage!$L$5:$L$204="-","",B_Drainage!$L$5:$L$204)),"")</f>
        <v/>
      </c>
      <c r="AD666" s="182" t="str">
        <f>IFERROR(LOOKUP(2,1/((D_Points!$A$5:$A$204&lt;&gt;"")*(D_Points!$A$5:$A$204&gt;=$B666)*(D_Points!$A$5:$A$204&lt;$B666+P_Interval)*(UPPER(TRIM(D_Points!$B$5:$B$204))="TURNOUT_L")*(D_Points!$H$5:$H$204&lt;&gt;"")),D_Points!$H$5:$H$204),"")</f>
        <v/>
      </c>
      <c r="AE666" s="182" t="str">
        <f>IFERROR(LOOKUP(2,1/((D_Points!$A$5:$A$204&lt;&gt;"")*(D_Points!$A$5:$A$204&gt;=$B666)*(D_Points!$A$5:$A$204&lt;$B666+P_Interval)*(UPPER(TRIM(D_Points!$B$5:$B$204))="TURNOUT_R")*(D_Points!$H$5:$H$204&lt;&gt;"")),D_Points!$H$5:$H$204),"")</f>
        <v/>
      </c>
      <c r="AF666" s="181" t="str">
        <f>IFERROR(LOOKUP(2,1/((B_Drainage!$A$5:$A$204&lt;&gt;"")*(B_Drainage!$A$5:$A$204&lt;=$B666)*(B_Drainage!$B$5:$B$204&gt;$B666)*(B_Drainage!$M$5:$M$204&lt;&gt;"")),IF(UPPER(B_Drainage!$M$5:$M$204)="Y",1,"")),"")</f>
        <v/>
      </c>
      <c r="AG666" s="181" t="str">
        <f>IFERROR(LOOKUP(2,1/((B_Drainage!$A$5:$A$204&lt;&gt;"")*(B_Drainage!$A$5:$A$204&lt;=$B666)*(B_Drainage!$B$5:$B$204&gt;$B666)*(B_Drainage!$N$5:$N$204&lt;&gt;"")),IF(UPPER(B_Drainage!$N$5:$N$204)="Y",1,"")),"")</f>
        <v/>
      </c>
      <c r="AH666" s="181" t="str">
        <f t="shared" si="80"/>
        <v/>
      </c>
      <c r="AI666" s="181" t="str">
        <f t="shared" si="81"/>
        <v/>
      </c>
      <c r="AJ666" s="181" t="str">
        <f t="shared" si="82"/>
        <v/>
      </c>
      <c r="AK666" s="181" t="str">
        <f t="shared" si="83"/>
        <v/>
      </c>
      <c r="AL666" s="181" t="str">
        <f t="shared" si="84"/>
        <v/>
      </c>
      <c r="AM666" s="181" t="str">
        <f t="shared" si="85"/>
        <v/>
      </c>
      <c r="AN666" s="181" t="str">
        <f t="shared" si="86"/>
        <v/>
      </c>
      <c r="AO666" s="192" t="str">
        <f t="shared" si="87"/>
        <v/>
      </c>
      <c r="AQ666" t="str">
        <f>IFERROR(LOOKUP(2,1/((C_Pavement!$A$5:$A$204&lt;&gt;"")*(C_Pavement!$A$5:$A$204&lt;=$B666)*(C_Pavement!$B$5:$B$204&gt;$B666)*(C_Pavement!$C$5:$C$204&lt;&gt;"")),ROW(C_Pavement!$C$5:$C$204)-4),"")</f>
        <v/>
      </c>
      <c r="AR666" t="str">
        <f>IF($AQ666="","",UPPER(TRIM(INDEX(C_Pavement!$C$5:$C$204,$AQ666))))</f>
        <v/>
      </c>
      <c r="AS666" t="str">
        <f>IF($AR666="","",IFERROR(MATCH($AR666,E_Rules!$A$5:$A$9,0),""))</f>
        <v/>
      </c>
      <c r="AT666" t="str">
        <f>IF($AQ666="","",IF(INDEX(C_Pavement!$D$5:$D$204,$AQ666)&lt;&gt;"",UPPER(TRIM(INDEX(C_Pavement!$D$5:$D$204,$AQ666))),IF($AS666="","",INDEX(E_Rules!$C$5:$C$9,$AS666))))</f>
        <v/>
      </c>
      <c r="AU666" t="str">
        <f>IF($AQ666="","",IF(INDEX(C_Pavement!$E$5:$E$204,$AQ666)&lt;&gt;"",IF(INDEX(C_Pavement!$E$5:$E$204,$AQ666)="-","",INDEX(C_Pavement!$E$5:$E$204,$AQ666)),IF($AS666="","",INDEX(E_Rules!$D$5:$D$9,$AS666))))</f>
        <v/>
      </c>
      <c r="AV666" t="str">
        <f>IF($AQ666="","",IF(INDEX(C_Pavement!$F$5:$F$204,$AQ666)&lt;&gt;"",IF(INDEX(C_Pavement!$F$5:$F$204,$AQ666)="-","",INDEX(C_Pavement!$F$5:$F$204,$AQ666)),IF($AS666="","",INDEX(E_Rules!$E$5:$E$9,$AS666))))</f>
        <v/>
      </c>
      <c r="AW666" t="str">
        <f>IF($AQ666="","",IF(INDEX(C_Pavement!$G$5:$G$204,$AQ666)&lt;&gt;"",IF(INDEX(C_Pavement!$G$5:$G$204,$AQ666)="-","",INDEX(C_Pavement!$G$5:$G$204,$AQ666)),IF($AS666="","",INDEX(E_Rules!$F$5:$F$9,$AS666))))</f>
        <v/>
      </c>
      <c r="AX666" t="str">
        <f>IF($AQ666="","",IF(INDEX(C_Pavement!$H$5:$H$204,$AQ666)&lt;&gt;"",IF(INDEX(C_Pavement!$H$5:$H$204,$AQ666)="-","",INDEX(C_Pavement!$H$5:$H$204,$AQ666)),IF($AS666="","",INDEX(E_Rules!$G$5:$G$9,$AS666))))</f>
        <v/>
      </c>
      <c r="AY666" t="str">
        <f>IF($AQ666="","",IF(INDEX(C_Pavement!$I$5:$I$204,$AQ666)&lt;&gt;"",IF(INDEX(C_Pavement!$I$5:$I$204,$AQ666)="-","",INDEX(C_Pavement!$I$5:$I$204,$AQ666)),IF($AS666="","",INDEX(E_Rules!$H$5:$H$9,$AS666))))</f>
        <v/>
      </c>
    </row>
    <row r="667" spans="1:51" ht="15.75" customHeight="1" x14ac:dyDescent="0.3">
      <c r="A667" s="189">
        <v>662</v>
      </c>
      <c r="B667" s="180">
        <v>33050</v>
      </c>
      <c r="C667" s="180" t="s">
        <v>973</v>
      </c>
      <c r="D667" s="181" t="str">
        <f>IFERROR(LOOKUP(2,1/((A_Corridor!$A$5:$A$204&lt;&gt;"")*(A_Corridor!$A$5:$A$204&lt;=$B667)*(A_Corridor!$B$5:$B$204&gt;$B667)*(A_Corridor!$C$5:$C$204&lt;&gt;"")),IF(UPPER(A_Corridor!$C$5:$C$204)="Y",1,"")),"")</f>
        <v/>
      </c>
      <c r="E667" s="181" t="str">
        <f>IFERROR(LOOKUP(2,1/((A_Corridor!$A$5:$A$204&lt;&gt;"")*(A_Corridor!$A$5:$A$204&lt;=$B667)*(A_Corridor!$B$5:$B$204&gt;$B667)*(A_Corridor!$D$5:$D$204&lt;&gt;"")),IF(A_Corridor!$D$5:$D$204="-","",UPPER(A_Corridor!$D$5:$D$204))),"")</f>
        <v/>
      </c>
      <c r="F667" s="181" t="str">
        <f>IFERROR(LOOKUP(2,1/((A_Corridor!$A$5:$A$204&lt;&gt;"")*(A_Corridor!$A$5:$A$204&lt;=$B667)*(A_Corridor!$B$5:$B$204&gt;$B667)*(A_Corridor!$E$5:$E$204&lt;&gt;"")),IF(A_Corridor!$E$5:$E$204="-","",1)),"")</f>
        <v/>
      </c>
      <c r="G667" s="182" t="str">
        <f>IFERROR(LOOKUP(2,1/((A_Corridor!$A$5:$A$204&lt;&gt;"")*(A_Corridor!$A$5:$A$204&lt;=$B667)*(A_Corridor!$B$5:$B$204&gt;$B667)*(A_Corridor!$E$5:$E$204&lt;&gt;"")),IF(A_Corridor!$E$5:$E$204="-","",A_Corridor!$E$5:$E$204)),"")</f>
        <v/>
      </c>
      <c r="H667" s="182" t="str">
        <f>IFERROR(LOOKUP(2,1/((D_Points!$A$5:$A$204&lt;&gt;"")*(D_Points!$A$5:$A$204&gt;=$B667)*(D_Points!$A$5:$A$204&lt;$B667+P_Interval)*(UPPER(TRIM(D_Points!$B$5:$B$204))="GULLY")*(D_Points!$H$5:$H$204&lt;&gt;"")),D_Points!$H$5:$H$204),"")</f>
        <v/>
      </c>
      <c r="I667" s="181" t="str">
        <f>IFERROR(LOOKUP(2,1/((A_Corridor!$A$5:$A$204&lt;&gt;"")*(A_Corridor!$A$5:$A$204&lt;=$B667)*(A_Corridor!$B$5:$B$204&gt;$B667)*(A_Corridor!$F$5:$F$204&lt;&gt;"")),IF(A_Corridor!$F$5:$F$204="-","",1)),"")</f>
        <v/>
      </c>
      <c r="J667" s="182" t="str">
        <f>IFERROR(LOOKUP(2,1/((A_Corridor!$A$5:$A$204&lt;&gt;"")*(A_Corridor!$A$5:$A$204&lt;=$B667)*(A_Corridor!$B$5:$B$204&gt;$B667)*(A_Corridor!$F$5:$F$204&lt;&gt;"")),IF(A_Corridor!$F$5:$F$204="-","",A_Corridor!$F$5:$F$204)),"")</f>
        <v/>
      </c>
      <c r="K667" s="182" t="str">
        <f>IFERROR(LOOKUP(2,1/((A_Corridor!$A$5:$A$204&lt;&gt;"")*(A_Corridor!$A$5:$A$204&lt;=$B667)*(A_Corridor!$B$5:$B$204&gt;$B667)*(A_Corridor!$G$5:$G$204&lt;&gt;"")),IF(A_Corridor!$G$5:$G$204="-","",A_Corridor!$G$5:$G$204)),"")</f>
        <v/>
      </c>
      <c r="L667" s="181" t="str">
        <f>IFERROR(LOOKUP(2,1/((A_Corridor!$A$5:$A$204&lt;&gt;"")*(A_Corridor!$A$5:$A$204&lt;=$B667)*(A_Corridor!$B$5:$B$204&gt;$B667)*(A_Corridor!$H$5:$H$204&lt;&gt;"")),IF(A_Corridor!$H$5:$H$204="-","",1)),"")</f>
        <v/>
      </c>
      <c r="M667" s="182" t="str">
        <f>IFERROR(LOOKUP(2,1/((A_Corridor!$A$5:$A$204&lt;&gt;"")*(A_Corridor!$A$5:$A$204&lt;=$B667)*(A_Corridor!$B$5:$B$204&gt;$B667)*(A_Corridor!$H$5:$H$204&lt;&gt;"")),IF(A_Corridor!$H$5:$H$204="-","",A_Corridor!$H$5:$H$204)),"")</f>
        <v/>
      </c>
      <c r="N667" s="182" t="str">
        <f>IFERROR(LOOKUP(2,1/((A_Corridor!$A$5:$A$204&lt;&gt;"")*(A_Corridor!$A$5:$A$204&lt;=$B667)*(A_Corridor!$B$5:$B$204&gt;$B667)*(A_Corridor!$I$5:$I$204&lt;&gt;"")),IF(A_Corridor!$I$5:$I$204="-","",A_Corridor!$I$5:$I$204)),"")</f>
        <v/>
      </c>
      <c r="O667" s="182" t="str">
        <f>IFERROR(LOOKUP(2,1/((D_Points!$A$5:$A$204&lt;&gt;"")*(D_Points!$A$5:$A$204&gt;=$B667)*(D_Points!$A$5:$A$204&lt;$B667+P_Interval)*(UPPER(TRIM(D_Points!$B$5:$B$204))="PITCHING")*(D_Points!$H$5:$H$204&lt;&gt;"")),D_Points!$H$5:$H$204),"")</f>
        <v/>
      </c>
      <c r="P667" s="181" t="str">
        <f>IFERROR(LOOKUP(2,1/((B_Drainage!$A$5:$A$204&lt;&gt;"")*(B_Drainage!$A$5:$A$204&lt;=$B667)*(B_Drainage!$B$5:$B$204&gt;$B667)*(B_Drainage!$C$5:$C$204&lt;&gt;"")),IF(B_Drainage!$C$5:$C$204="-","",UPPER(B_Drainage!$C$5:$C$204))),"")</f>
        <v/>
      </c>
      <c r="Q667" s="181" t="str">
        <f>IFERROR(LOOKUP(2,1/((B_Drainage!$A$5:$A$204&lt;&gt;"")*(B_Drainage!$A$5:$A$204&lt;=$B667)*(B_Drainage!$B$5:$B$204&gt;$B667)*(B_Drainage!$D$5:$D$204&lt;&gt;"")),IF(B_Drainage!$D$5:$D$204="-","",UPPER(B_Drainage!$D$5:$D$204))),"")</f>
        <v/>
      </c>
      <c r="R667" s="182" t="str">
        <f>IFERROR(LOOKUP(2,1/((D_Points!$A$5:$A$204&lt;&gt;"")*(D_Points!$A$5:$A$204&gt;=$B667)*(D_Points!$A$5:$A$204&lt;$B667+P_Interval)*(RIGHT(UPPER(TRIM(D_Points!$B$5:$B$204)),8)="_CULVERT")),IF(LEFT(UPPER(TRIM(D_Points!$B$5:$B$204)),2)="EX",1,IF(LEFT(UPPER(TRIM(D_Points!$B$5:$B$204)),2)="PR",2,3))),"")</f>
        <v/>
      </c>
      <c r="S667" s="182" t="str">
        <f>IFERROR(LOOKUP(2,1/((D_Points!$A$5:$A$204&lt;&gt;"")*(D_Points!$A$5:$A$204&gt;=$B667)*(D_Points!$A$5:$A$204&lt;$B667+P_Interval)*(RIGHT(UPPER(TRIM(D_Points!$B$5:$B$204)),7)="_BRIDGE")),IF(LEFT(UPPER(TRIM(D_Points!$B$5:$B$204)),2)="EX",1,IF(LEFT(UPPER(TRIM(D_Points!$B$5:$B$204)),2)="PR",2,2))),"")</f>
        <v/>
      </c>
      <c r="T667" s="181" t="str">
        <f>IFERROR(LOOKUP(2,1/((B_Drainage!$A$5:$A$204&lt;&gt;"")*(B_Drainage!$A$5:$A$204&lt;=$B667)*(B_Drainage!$B$5:$B$204&gt;$B667)*(B_Drainage!$E$5:$E$204&lt;&gt;"")),IF(B_Drainage!$E$5:$E$204="-","",1)),"")</f>
        <v/>
      </c>
      <c r="U667" s="181" t="str">
        <f>IFERROR(LOOKUP(2,1/((B_Drainage!$A$5:$A$204&lt;&gt;"")*(B_Drainage!$A$5:$A$204&lt;=$B667)*(B_Drainage!$B$5:$B$204&gt;$B667)*(B_Drainage!$E$5:$E$204&lt;&gt;"")),IF(B_Drainage!$E$5:$E$204="-","",B_Drainage!$E$5:$E$204)),"")</f>
        <v/>
      </c>
      <c r="V667" s="181" t="str">
        <f>IFERROR(LOOKUP(2,1/((B_Drainage!$A$5:$A$204&lt;&gt;"")*(B_Drainage!$A$5:$A$204&lt;=$B667)*(B_Drainage!$B$5:$B$204&gt;$B667)*(B_Drainage!$F$5:$F$204&lt;&gt;"")),IF(B_Drainage!$F$5:$F$204="-","",1)),"")</f>
        <v/>
      </c>
      <c r="W667" s="181" t="str">
        <f>IFERROR(LOOKUP(2,1/((B_Drainage!$A$5:$A$204&lt;&gt;"")*(B_Drainage!$A$5:$A$204&lt;=$B667)*(B_Drainage!$B$5:$B$204&gt;$B667)*(B_Drainage!$F$5:$F$204&lt;&gt;"")),IF(B_Drainage!$F$5:$F$204="-","",B_Drainage!$F$5:$F$204)),"")</f>
        <v/>
      </c>
      <c r="X667" s="181" t="str">
        <f>IFERROR(LOOKUP(2,1/((B_Drainage!$A$5:$A$204&lt;&gt;"")*(B_Drainage!$A$5:$A$204&lt;=$B667)*(B_Drainage!$B$5:$B$204&gt;$B667)*(B_Drainage!$G$5:$G$204&lt;&gt;"")),IF(UPPER(B_Drainage!$G$5:$G$204)="Y",1,"")),"")</f>
        <v/>
      </c>
      <c r="Y667" s="181" t="str">
        <f>IFERROR(LOOKUP(2,1/((B_Drainage!$A$5:$A$204&lt;&gt;"")*(B_Drainage!$A$5:$A$204&lt;=$B667)*(B_Drainage!$B$5:$B$204&gt;$B667)*(B_Drainage!$H$5:$H$204&lt;&gt;"")),IF(UPPER(B_Drainage!$H$5:$H$204)="Y",1,"")),"")</f>
        <v/>
      </c>
      <c r="Z667" s="181" t="str">
        <f>IFERROR(LOOKUP(2,1/((B_Drainage!$A$5:$A$204&lt;&gt;"")*(B_Drainage!$A$5:$A$204&lt;=$B667)*(B_Drainage!$B$5:$B$204&gt;$B667)*(B_Drainage!$I$5:$I$204&lt;&gt;"")),IF(UPPER(B_Drainage!$I$5:$I$204)="Y",1,"")),"")</f>
        <v/>
      </c>
      <c r="AA667" s="181" t="str">
        <f>IFERROR(LOOKUP(2,1/((B_Drainage!$A$5:$A$204&lt;&gt;"")*(B_Drainage!$A$5:$A$204&lt;=$B667)*(B_Drainage!$B$5:$B$204&gt;$B667)*(B_Drainage!$J$5:$J$204&lt;&gt;"")),IF(UPPER(B_Drainage!$J$5:$J$204)="Y",1,"")),"")</f>
        <v/>
      </c>
      <c r="AB667" s="182" t="str">
        <f>IFERROR(LOOKUP(2,1/((B_Drainage!$A$5:$A$204&lt;&gt;"")*(B_Drainage!$A$5:$A$204&lt;=$B667)*(B_Drainage!$B$5:$B$204&gt;$B667)*(B_Drainage!$K$5:$K$204&lt;&gt;"")),IF(B_Drainage!$K$5:$K$204="-","",B_Drainage!$K$5:$K$204)),"")</f>
        <v/>
      </c>
      <c r="AC667" s="182" t="str">
        <f>IFERROR(LOOKUP(2,1/((B_Drainage!$A$5:$A$204&lt;&gt;"")*(B_Drainage!$A$5:$A$204&lt;=$B667)*(B_Drainage!$B$5:$B$204&gt;$B667)*(B_Drainage!$L$5:$L$204&lt;&gt;"")),IF(B_Drainage!$L$5:$L$204="-","",B_Drainage!$L$5:$L$204)),"")</f>
        <v/>
      </c>
      <c r="AD667" s="182" t="str">
        <f>IFERROR(LOOKUP(2,1/((D_Points!$A$5:$A$204&lt;&gt;"")*(D_Points!$A$5:$A$204&gt;=$B667)*(D_Points!$A$5:$A$204&lt;$B667+P_Interval)*(UPPER(TRIM(D_Points!$B$5:$B$204))="TURNOUT_L")*(D_Points!$H$5:$H$204&lt;&gt;"")),D_Points!$H$5:$H$204),"")</f>
        <v/>
      </c>
      <c r="AE667" s="182" t="str">
        <f>IFERROR(LOOKUP(2,1/((D_Points!$A$5:$A$204&lt;&gt;"")*(D_Points!$A$5:$A$204&gt;=$B667)*(D_Points!$A$5:$A$204&lt;$B667+P_Interval)*(UPPER(TRIM(D_Points!$B$5:$B$204))="TURNOUT_R")*(D_Points!$H$5:$H$204&lt;&gt;"")),D_Points!$H$5:$H$204),"")</f>
        <v/>
      </c>
      <c r="AF667" s="181" t="str">
        <f>IFERROR(LOOKUP(2,1/((B_Drainage!$A$5:$A$204&lt;&gt;"")*(B_Drainage!$A$5:$A$204&lt;=$B667)*(B_Drainage!$B$5:$B$204&gt;$B667)*(B_Drainage!$M$5:$M$204&lt;&gt;"")),IF(UPPER(B_Drainage!$M$5:$M$204)="Y",1,"")),"")</f>
        <v/>
      </c>
      <c r="AG667" s="181" t="str">
        <f>IFERROR(LOOKUP(2,1/((B_Drainage!$A$5:$A$204&lt;&gt;"")*(B_Drainage!$A$5:$A$204&lt;=$B667)*(B_Drainage!$B$5:$B$204&gt;$B667)*(B_Drainage!$N$5:$N$204&lt;&gt;"")),IF(UPPER(B_Drainage!$N$5:$N$204)="Y",1,"")),"")</f>
        <v/>
      </c>
      <c r="AH667" s="181" t="str">
        <f t="shared" si="80"/>
        <v/>
      </c>
      <c r="AI667" s="181" t="str">
        <f t="shared" si="81"/>
        <v/>
      </c>
      <c r="AJ667" s="181" t="str">
        <f t="shared" si="82"/>
        <v/>
      </c>
      <c r="AK667" s="181" t="str">
        <f t="shared" si="83"/>
        <v/>
      </c>
      <c r="AL667" s="181" t="str">
        <f t="shared" si="84"/>
        <v/>
      </c>
      <c r="AM667" s="181" t="str">
        <f t="shared" si="85"/>
        <v/>
      </c>
      <c r="AN667" s="181" t="str">
        <f t="shared" si="86"/>
        <v/>
      </c>
      <c r="AO667" s="192" t="str">
        <f t="shared" si="87"/>
        <v/>
      </c>
      <c r="AQ667" t="str">
        <f>IFERROR(LOOKUP(2,1/((C_Pavement!$A$5:$A$204&lt;&gt;"")*(C_Pavement!$A$5:$A$204&lt;=$B667)*(C_Pavement!$B$5:$B$204&gt;$B667)*(C_Pavement!$C$5:$C$204&lt;&gt;"")),ROW(C_Pavement!$C$5:$C$204)-4),"")</f>
        <v/>
      </c>
      <c r="AR667" t="str">
        <f>IF($AQ667="","",UPPER(TRIM(INDEX(C_Pavement!$C$5:$C$204,$AQ667))))</f>
        <v/>
      </c>
      <c r="AS667" t="str">
        <f>IF($AR667="","",IFERROR(MATCH($AR667,E_Rules!$A$5:$A$9,0),""))</f>
        <v/>
      </c>
      <c r="AT667" t="str">
        <f>IF($AQ667="","",IF(INDEX(C_Pavement!$D$5:$D$204,$AQ667)&lt;&gt;"",UPPER(TRIM(INDEX(C_Pavement!$D$5:$D$204,$AQ667))),IF($AS667="","",INDEX(E_Rules!$C$5:$C$9,$AS667))))</f>
        <v/>
      </c>
      <c r="AU667" t="str">
        <f>IF($AQ667="","",IF(INDEX(C_Pavement!$E$5:$E$204,$AQ667)&lt;&gt;"",IF(INDEX(C_Pavement!$E$5:$E$204,$AQ667)="-","",INDEX(C_Pavement!$E$5:$E$204,$AQ667)),IF($AS667="","",INDEX(E_Rules!$D$5:$D$9,$AS667))))</f>
        <v/>
      </c>
      <c r="AV667" t="str">
        <f>IF($AQ667="","",IF(INDEX(C_Pavement!$F$5:$F$204,$AQ667)&lt;&gt;"",IF(INDEX(C_Pavement!$F$5:$F$204,$AQ667)="-","",INDEX(C_Pavement!$F$5:$F$204,$AQ667)),IF($AS667="","",INDEX(E_Rules!$E$5:$E$9,$AS667))))</f>
        <v/>
      </c>
      <c r="AW667" t="str">
        <f>IF($AQ667="","",IF(INDEX(C_Pavement!$G$5:$G$204,$AQ667)&lt;&gt;"",IF(INDEX(C_Pavement!$G$5:$G$204,$AQ667)="-","",INDEX(C_Pavement!$G$5:$G$204,$AQ667)),IF($AS667="","",INDEX(E_Rules!$F$5:$F$9,$AS667))))</f>
        <v/>
      </c>
      <c r="AX667" t="str">
        <f>IF($AQ667="","",IF(INDEX(C_Pavement!$H$5:$H$204,$AQ667)&lt;&gt;"",IF(INDEX(C_Pavement!$H$5:$H$204,$AQ667)="-","",INDEX(C_Pavement!$H$5:$H$204,$AQ667)),IF($AS667="","",INDEX(E_Rules!$G$5:$G$9,$AS667))))</f>
        <v/>
      </c>
      <c r="AY667" t="str">
        <f>IF($AQ667="","",IF(INDEX(C_Pavement!$I$5:$I$204,$AQ667)&lt;&gt;"",IF(INDEX(C_Pavement!$I$5:$I$204,$AQ667)="-","",INDEX(C_Pavement!$I$5:$I$204,$AQ667)),IF($AS667="","",INDEX(E_Rules!$H$5:$H$9,$AS667))))</f>
        <v/>
      </c>
    </row>
    <row r="668" spans="1:51" ht="15.75" customHeight="1" x14ac:dyDescent="0.3">
      <c r="A668" s="189">
        <v>663</v>
      </c>
      <c r="B668" s="180">
        <v>33100</v>
      </c>
      <c r="C668" s="180" t="s">
        <v>974</v>
      </c>
      <c r="D668" s="181" t="str">
        <f>IFERROR(LOOKUP(2,1/((A_Corridor!$A$5:$A$204&lt;&gt;"")*(A_Corridor!$A$5:$A$204&lt;=$B668)*(A_Corridor!$B$5:$B$204&gt;$B668)*(A_Corridor!$C$5:$C$204&lt;&gt;"")),IF(UPPER(A_Corridor!$C$5:$C$204)="Y",1,"")),"")</f>
        <v/>
      </c>
      <c r="E668" s="181" t="str">
        <f>IFERROR(LOOKUP(2,1/((A_Corridor!$A$5:$A$204&lt;&gt;"")*(A_Corridor!$A$5:$A$204&lt;=$B668)*(A_Corridor!$B$5:$B$204&gt;$B668)*(A_Corridor!$D$5:$D$204&lt;&gt;"")),IF(A_Corridor!$D$5:$D$204="-","",UPPER(A_Corridor!$D$5:$D$204))),"")</f>
        <v/>
      </c>
      <c r="F668" s="181" t="str">
        <f>IFERROR(LOOKUP(2,1/((A_Corridor!$A$5:$A$204&lt;&gt;"")*(A_Corridor!$A$5:$A$204&lt;=$B668)*(A_Corridor!$B$5:$B$204&gt;$B668)*(A_Corridor!$E$5:$E$204&lt;&gt;"")),IF(A_Corridor!$E$5:$E$204="-","",1)),"")</f>
        <v/>
      </c>
      <c r="G668" s="182" t="str">
        <f>IFERROR(LOOKUP(2,1/((A_Corridor!$A$5:$A$204&lt;&gt;"")*(A_Corridor!$A$5:$A$204&lt;=$B668)*(A_Corridor!$B$5:$B$204&gt;$B668)*(A_Corridor!$E$5:$E$204&lt;&gt;"")),IF(A_Corridor!$E$5:$E$204="-","",A_Corridor!$E$5:$E$204)),"")</f>
        <v/>
      </c>
      <c r="H668" s="182" t="str">
        <f>IFERROR(LOOKUP(2,1/((D_Points!$A$5:$A$204&lt;&gt;"")*(D_Points!$A$5:$A$204&gt;=$B668)*(D_Points!$A$5:$A$204&lt;$B668+P_Interval)*(UPPER(TRIM(D_Points!$B$5:$B$204))="GULLY")*(D_Points!$H$5:$H$204&lt;&gt;"")),D_Points!$H$5:$H$204),"")</f>
        <v/>
      </c>
      <c r="I668" s="181" t="str">
        <f>IFERROR(LOOKUP(2,1/((A_Corridor!$A$5:$A$204&lt;&gt;"")*(A_Corridor!$A$5:$A$204&lt;=$B668)*(A_Corridor!$B$5:$B$204&gt;$B668)*(A_Corridor!$F$5:$F$204&lt;&gt;"")),IF(A_Corridor!$F$5:$F$204="-","",1)),"")</f>
        <v/>
      </c>
      <c r="J668" s="182" t="str">
        <f>IFERROR(LOOKUP(2,1/((A_Corridor!$A$5:$A$204&lt;&gt;"")*(A_Corridor!$A$5:$A$204&lt;=$B668)*(A_Corridor!$B$5:$B$204&gt;$B668)*(A_Corridor!$F$5:$F$204&lt;&gt;"")),IF(A_Corridor!$F$5:$F$204="-","",A_Corridor!$F$5:$F$204)),"")</f>
        <v/>
      </c>
      <c r="K668" s="182" t="str">
        <f>IFERROR(LOOKUP(2,1/((A_Corridor!$A$5:$A$204&lt;&gt;"")*(A_Corridor!$A$5:$A$204&lt;=$B668)*(A_Corridor!$B$5:$B$204&gt;$B668)*(A_Corridor!$G$5:$G$204&lt;&gt;"")),IF(A_Corridor!$G$5:$G$204="-","",A_Corridor!$G$5:$G$204)),"")</f>
        <v/>
      </c>
      <c r="L668" s="181" t="str">
        <f>IFERROR(LOOKUP(2,1/((A_Corridor!$A$5:$A$204&lt;&gt;"")*(A_Corridor!$A$5:$A$204&lt;=$B668)*(A_Corridor!$B$5:$B$204&gt;$B668)*(A_Corridor!$H$5:$H$204&lt;&gt;"")),IF(A_Corridor!$H$5:$H$204="-","",1)),"")</f>
        <v/>
      </c>
      <c r="M668" s="182" t="str">
        <f>IFERROR(LOOKUP(2,1/((A_Corridor!$A$5:$A$204&lt;&gt;"")*(A_Corridor!$A$5:$A$204&lt;=$B668)*(A_Corridor!$B$5:$B$204&gt;$B668)*(A_Corridor!$H$5:$H$204&lt;&gt;"")),IF(A_Corridor!$H$5:$H$204="-","",A_Corridor!$H$5:$H$204)),"")</f>
        <v/>
      </c>
      <c r="N668" s="182" t="str">
        <f>IFERROR(LOOKUP(2,1/((A_Corridor!$A$5:$A$204&lt;&gt;"")*(A_Corridor!$A$5:$A$204&lt;=$B668)*(A_Corridor!$B$5:$B$204&gt;$B668)*(A_Corridor!$I$5:$I$204&lt;&gt;"")),IF(A_Corridor!$I$5:$I$204="-","",A_Corridor!$I$5:$I$204)),"")</f>
        <v/>
      </c>
      <c r="O668" s="182" t="str">
        <f>IFERROR(LOOKUP(2,1/((D_Points!$A$5:$A$204&lt;&gt;"")*(D_Points!$A$5:$A$204&gt;=$B668)*(D_Points!$A$5:$A$204&lt;$B668+P_Interval)*(UPPER(TRIM(D_Points!$B$5:$B$204))="PITCHING")*(D_Points!$H$5:$H$204&lt;&gt;"")),D_Points!$H$5:$H$204),"")</f>
        <v/>
      </c>
      <c r="P668" s="181" t="str">
        <f>IFERROR(LOOKUP(2,1/((B_Drainage!$A$5:$A$204&lt;&gt;"")*(B_Drainage!$A$5:$A$204&lt;=$B668)*(B_Drainage!$B$5:$B$204&gt;$B668)*(B_Drainage!$C$5:$C$204&lt;&gt;"")),IF(B_Drainage!$C$5:$C$204="-","",UPPER(B_Drainage!$C$5:$C$204))),"")</f>
        <v/>
      </c>
      <c r="Q668" s="181" t="str">
        <f>IFERROR(LOOKUP(2,1/((B_Drainage!$A$5:$A$204&lt;&gt;"")*(B_Drainage!$A$5:$A$204&lt;=$B668)*(B_Drainage!$B$5:$B$204&gt;$B668)*(B_Drainage!$D$5:$D$204&lt;&gt;"")),IF(B_Drainage!$D$5:$D$204="-","",UPPER(B_Drainage!$D$5:$D$204))),"")</f>
        <v/>
      </c>
      <c r="R668" s="182" t="str">
        <f>IFERROR(LOOKUP(2,1/((D_Points!$A$5:$A$204&lt;&gt;"")*(D_Points!$A$5:$A$204&gt;=$B668)*(D_Points!$A$5:$A$204&lt;$B668+P_Interval)*(RIGHT(UPPER(TRIM(D_Points!$B$5:$B$204)),8)="_CULVERT")),IF(LEFT(UPPER(TRIM(D_Points!$B$5:$B$204)),2)="EX",1,IF(LEFT(UPPER(TRIM(D_Points!$B$5:$B$204)),2)="PR",2,3))),"")</f>
        <v/>
      </c>
      <c r="S668" s="182" t="str">
        <f>IFERROR(LOOKUP(2,1/((D_Points!$A$5:$A$204&lt;&gt;"")*(D_Points!$A$5:$A$204&gt;=$B668)*(D_Points!$A$5:$A$204&lt;$B668+P_Interval)*(RIGHT(UPPER(TRIM(D_Points!$B$5:$B$204)),7)="_BRIDGE")),IF(LEFT(UPPER(TRIM(D_Points!$B$5:$B$204)),2)="EX",1,IF(LEFT(UPPER(TRIM(D_Points!$B$5:$B$204)),2)="PR",2,2))),"")</f>
        <v/>
      </c>
      <c r="T668" s="181" t="str">
        <f>IFERROR(LOOKUP(2,1/((B_Drainage!$A$5:$A$204&lt;&gt;"")*(B_Drainage!$A$5:$A$204&lt;=$B668)*(B_Drainage!$B$5:$B$204&gt;$B668)*(B_Drainage!$E$5:$E$204&lt;&gt;"")),IF(B_Drainage!$E$5:$E$204="-","",1)),"")</f>
        <v/>
      </c>
      <c r="U668" s="181" t="str">
        <f>IFERROR(LOOKUP(2,1/((B_Drainage!$A$5:$A$204&lt;&gt;"")*(B_Drainage!$A$5:$A$204&lt;=$B668)*(B_Drainage!$B$5:$B$204&gt;$B668)*(B_Drainage!$E$5:$E$204&lt;&gt;"")),IF(B_Drainage!$E$5:$E$204="-","",B_Drainage!$E$5:$E$204)),"")</f>
        <v/>
      </c>
      <c r="V668" s="181" t="str">
        <f>IFERROR(LOOKUP(2,1/((B_Drainage!$A$5:$A$204&lt;&gt;"")*(B_Drainage!$A$5:$A$204&lt;=$B668)*(B_Drainage!$B$5:$B$204&gt;$B668)*(B_Drainage!$F$5:$F$204&lt;&gt;"")),IF(B_Drainage!$F$5:$F$204="-","",1)),"")</f>
        <v/>
      </c>
      <c r="W668" s="181" t="str">
        <f>IFERROR(LOOKUP(2,1/((B_Drainage!$A$5:$A$204&lt;&gt;"")*(B_Drainage!$A$5:$A$204&lt;=$B668)*(B_Drainage!$B$5:$B$204&gt;$B668)*(B_Drainage!$F$5:$F$204&lt;&gt;"")),IF(B_Drainage!$F$5:$F$204="-","",B_Drainage!$F$5:$F$204)),"")</f>
        <v/>
      </c>
      <c r="X668" s="181" t="str">
        <f>IFERROR(LOOKUP(2,1/((B_Drainage!$A$5:$A$204&lt;&gt;"")*(B_Drainage!$A$5:$A$204&lt;=$B668)*(B_Drainage!$B$5:$B$204&gt;$B668)*(B_Drainage!$G$5:$G$204&lt;&gt;"")),IF(UPPER(B_Drainage!$G$5:$G$204)="Y",1,"")),"")</f>
        <v/>
      </c>
      <c r="Y668" s="181" t="str">
        <f>IFERROR(LOOKUP(2,1/((B_Drainage!$A$5:$A$204&lt;&gt;"")*(B_Drainage!$A$5:$A$204&lt;=$B668)*(B_Drainage!$B$5:$B$204&gt;$B668)*(B_Drainage!$H$5:$H$204&lt;&gt;"")),IF(UPPER(B_Drainage!$H$5:$H$204)="Y",1,"")),"")</f>
        <v/>
      </c>
      <c r="Z668" s="181" t="str">
        <f>IFERROR(LOOKUP(2,1/((B_Drainage!$A$5:$A$204&lt;&gt;"")*(B_Drainage!$A$5:$A$204&lt;=$B668)*(B_Drainage!$B$5:$B$204&gt;$B668)*(B_Drainage!$I$5:$I$204&lt;&gt;"")),IF(UPPER(B_Drainage!$I$5:$I$204)="Y",1,"")),"")</f>
        <v/>
      </c>
      <c r="AA668" s="181" t="str">
        <f>IFERROR(LOOKUP(2,1/((B_Drainage!$A$5:$A$204&lt;&gt;"")*(B_Drainage!$A$5:$A$204&lt;=$B668)*(B_Drainage!$B$5:$B$204&gt;$B668)*(B_Drainage!$J$5:$J$204&lt;&gt;"")),IF(UPPER(B_Drainage!$J$5:$J$204)="Y",1,"")),"")</f>
        <v/>
      </c>
      <c r="AB668" s="182" t="str">
        <f>IFERROR(LOOKUP(2,1/((B_Drainage!$A$5:$A$204&lt;&gt;"")*(B_Drainage!$A$5:$A$204&lt;=$B668)*(B_Drainage!$B$5:$B$204&gt;$B668)*(B_Drainage!$K$5:$K$204&lt;&gt;"")),IF(B_Drainage!$K$5:$K$204="-","",B_Drainage!$K$5:$K$204)),"")</f>
        <v/>
      </c>
      <c r="AC668" s="182" t="str">
        <f>IFERROR(LOOKUP(2,1/((B_Drainage!$A$5:$A$204&lt;&gt;"")*(B_Drainage!$A$5:$A$204&lt;=$B668)*(B_Drainage!$B$5:$B$204&gt;$B668)*(B_Drainage!$L$5:$L$204&lt;&gt;"")),IF(B_Drainage!$L$5:$L$204="-","",B_Drainage!$L$5:$L$204)),"")</f>
        <v/>
      </c>
      <c r="AD668" s="182" t="str">
        <f>IFERROR(LOOKUP(2,1/((D_Points!$A$5:$A$204&lt;&gt;"")*(D_Points!$A$5:$A$204&gt;=$B668)*(D_Points!$A$5:$A$204&lt;$B668+P_Interval)*(UPPER(TRIM(D_Points!$B$5:$B$204))="TURNOUT_L")*(D_Points!$H$5:$H$204&lt;&gt;"")),D_Points!$H$5:$H$204),"")</f>
        <v/>
      </c>
      <c r="AE668" s="182" t="str">
        <f>IFERROR(LOOKUP(2,1/((D_Points!$A$5:$A$204&lt;&gt;"")*(D_Points!$A$5:$A$204&gt;=$B668)*(D_Points!$A$5:$A$204&lt;$B668+P_Interval)*(UPPER(TRIM(D_Points!$B$5:$B$204))="TURNOUT_R")*(D_Points!$H$5:$H$204&lt;&gt;"")),D_Points!$H$5:$H$204),"")</f>
        <v/>
      </c>
      <c r="AF668" s="181" t="str">
        <f>IFERROR(LOOKUP(2,1/((B_Drainage!$A$5:$A$204&lt;&gt;"")*(B_Drainage!$A$5:$A$204&lt;=$B668)*(B_Drainage!$B$5:$B$204&gt;$B668)*(B_Drainage!$M$5:$M$204&lt;&gt;"")),IF(UPPER(B_Drainage!$M$5:$M$204)="Y",1,"")),"")</f>
        <v/>
      </c>
      <c r="AG668" s="181" t="str">
        <f>IFERROR(LOOKUP(2,1/((B_Drainage!$A$5:$A$204&lt;&gt;"")*(B_Drainage!$A$5:$A$204&lt;=$B668)*(B_Drainage!$B$5:$B$204&gt;$B668)*(B_Drainage!$N$5:$N$204&lt;&gt;"")),IF(UPPER(B_Drainage!$N$5:$N$204)="Y",1,"")),"")</f>
        <v/>
      </c>
      <c r="AH668" s="181" t="str">
        <f t="shared" si="80"/>
        <v/>
      </c>
      <c r="AI668" s="181" t="str">
        <f t="shared" si="81"/>
        <v/>
      </c>
      <c r="AJ668" s="181" t="str">
        <f t="shared" si="82"/>
        <v/>
      </c>
      <c r="AK668" s="181" t="str">
        <f t="shared" si="83"/>
        <v/>
      </c>
      <c r="AL668" s="181" t="str">
        <f t="shared" si="84"/>
        <v/>
      </c>
      <c r="AM668" s="181" t="str">
        <f t="shared" si="85"/>
        <v/>
      </c>
      <c r="AN668" s="181" t="str">
        <f t="shared" si="86"/>
        <v/>
      </c>
      <c r="AO668" s="192" t="str">
        <f t="shared" si="87"/>
        <v/>
      </c>
      <c r="AQ668" t="str">
        <f>IFERROR(LOOKUP(2,1/((C_Pavement!$A$5:$A$204&lt;&gt;"")*(C_Pavement!$A$5:$A$204&lt;=$B668)*(C_Pavement!$B$5:$B$204&gt;$B668)*(C_Pavement!$C$5:$C$204&lt;&gt;"")),ROW(C_Pavement!$C$5:$C$204)-4),"")</f>
        <v/>
      </c>
      <c r="AR668" t="str">
        <f>IF($AQ668="","",UPPER(TRIM(INDEX(C_Pavement!$C$5:$C$204,$AQ668))))</f>
        <v/>
      </c>
      <c r="AS668" t="str">
        <f>IF($AR668="","",IFERROR(MATCH($AR668,E_Rules!$A$5:$A$9,0),""))</f>
        <v/>
      </c>
      <c r="AT668" t="str">
        <f>IF($AQ668="","",IF(INDEX(C_Pavement!$D$5:$D$204,$AQ668)&lt;&gt;"",UPPER(TRIM(INDEX(C_Pavement!$D$5:$D$204,$AQ668))),IF($AS668="","",INDEX(E_Rules!$C$5:$C$9,$AS668))))</f>
        <v/>
      </c>
      <c r="AU668" t="str">
        <f>IF($AQ668="","",IF(INDEX(C_Pavement!$E$5:$E$204,$AQ668)&lt;&gt;"",IF(INDEX(C_Pavement!$E$5:$E$204,$AQ668)="-","",INDEX(C_Pavement!$E$5:$E$204,$AQ668)),IF($AS668="","",INDEX(E_Rules!$D$5:$D$9,$AS668))))</f>
        <v/>
      </c>
      <c r="AV668" t="str">
        <f>IF($AQ668="","",IF(INDEX(C_Pavement!$F$5:$F$204,$AQ668)&lt;&gt;"",IF(INDEX(C_Pavement!$F$5:$F$204,$AQ668)="-","",INDEX(C_Pavement!$F$5:$F$204,$AQ668)),IF($AS668="","",INDEX(E_Rules!$E$5:$E$9,$AS668))))</f>
        <v/>
      </c>
      <c r="AW668" t="str">
        <f>IF($AQ668="","",IF(INDEX(C_Pavement!$G$5:$G$204,$AQ668)&lt;&gt;"",IF(INDEX(C_Pavement!$G$5:$G$204,$AQ668)="-","",INDEX(C_Pavement!$G$5:$G$204,$AQ668)),IF($AS668="","",INDEX(E_Rules!$F$5:$F$9,$AS668))))</f>
        <v/>
      </c>
      <c r="AX668" t="str">
        <f>IF($AQ668="","",IF(INDEX(C_Pavement!$H$5:$H$204,$AQ668)&lt;&gt;"",IF(INDEX(C_Pavement!$H$5:$H$204,$AQ668)="-","",INDEX(C_Pavement!$H$5:$H$204,$AQ668)),IF($AS668="","",INDEX(E_Rules!$G$5:$G$9,$AS668))))</f>
        <v/>
      </c>
      <c r="AY668" t="str">
        <f>IF($AQ668="","",IF(INDEX(C_Pavement!$I$5:$I$204,$AQ668)&lt;&gt;"",IF(INDEX(C_Pavement!$I$5:$I$204,$AQ668)="-","",INDEX(C_Pavement!$I$5:$I$204,$AQ668)),IF($AS668="","",INDEX(E_Rules!$H$5:$H$9,$AS668))))</f>
        <v/>
      </c>
    </row>
    <row r="669" spans="1:51" ht="15.75" customHeight="1" x14ac:dyDescent="0.3">
      <c r="A669" s="189">
        <v>664</v>
      </c>
      <c r="B669" s="180">
        <v>33150</v>
      </c>
      <c r="C669" s="180" t="s">
        <v>975</v>
      </c>
      <c r="D669" s="181" t="str">
        <f>IFERROR(LOOKUP(2,1/((A_Corridor!$A$5:$A$204&lt;&gt;"")*(A_Corridor!$A$5:$A$204&lt;=$B669)*(A_Corridor!$B$5:$B$204&gt;$B669)*(A_Corridor!$C$5:$C$204&lt;&gt;"")),IF(UPPER(A_Corridor!$C$5:$C$204)="Y",1,"")),"")</f>
        <v/>
      </c>
      <c r="E669" s="181" t="str">
        <f>IFERROR(LOOKUP(2,1/((A_Corridor!$A$5:$A$204&lt;&gt;"")*(A_Corridor!$A$5:$A$204&lt;=$B669)*(A_Corridor!$B$5:$B$204&gt;$B669)*(A_Corridor!$D$5:$D$204&lt;&gt;"")),IF(A_Corridor!$D$5:$D$204="-","",UPPER(A_Corridor!$D$5:$D$204))),"")</f>
        <v/>
      </c>
      <c r="F669" s="181" t="str">
        <f>IFERROR(LOOKUP(2,1/((A_Corridor!$A$5:$A$204&lt;&gt;"")*(A_Corridor!$A$5:$A$204&lt;=$B669)*(A_Corridor!$B$5:$B$204&gt;$B669)*(A_Corridor!$E$5:$E$204&lt;&gt;"")),IF(A_Corridor!$E$5:$E$204="-","",1)),"")</f>
        <v/>
      </c>
      <c r="G669" s="182" t="str">
        <f>IFERROR(LOOKUP(2,1/((A_Corridor!$A$5:$A$204&lt;&gt;"")*(A_Corridor!$A$5:$A$204&lt;=$B669)*(A_Corridor!$B$5:$B$204&gt;$B669)*(A_Corridor!$E$5:$E$204&lt;&gt;"")),IF(A_Corridor!$E$5:$E$204="-","",A_Corridor!$E$5:$E$204)),"")</f>
        <v/>
      </c>
      <c r="H669" s="182" t="str">
        <f>IFERROR(LOOKUP(2,1/((D_Points!$A$5:$A$204&lt;&gt;"")*(D_Points!$A$5:$A$204&gt;=$B669)*(D_Points!$A$5:$A$204&lt;$B669+P_Interval)*(UPPER(TRIM(D_Points!$B$5:$B$204))="GULLY")*(D_Points!$H$5:$H$204&lt;&gt;"")),D_Points!$H$5:$H$204),"")</f>
        <v/>
      </c>
      <c r="I669" s="181" t="str">
        <f>IFERROR(LOOKUP(2,1/((A_Corridor!$A$5:$A$204&lt;&gt;"")*(A_Corridor!$A$5:$A$204&lt;=$B669)*(A_Corridor!$B$5:$B$204&gt;$B669)*(A_Corridor!$F$5:$F$204&lt;&gt;"")),IF(A_Corridor!$F$5:$F$204="-","",1)),"")</f>
        <v/>
      </c>
      <c r="J669" s="182" t="str">
        <f>IFERROR(LOOKUP(2,1/((A_Corridor!$A$5:$A$204&lt;&gt;"")*(A_Corridor!$A$5:$A$204&lt;=$B669)*(A_Corridor!$B$5:$B$204&gt;$B669)*(A_Corridor!$F$5:$F$204&lt;&gt;"")),IF(A_Corridor!$F$5:$F$204="-","",A_Corridor!$F$5:$F$204)),"")</f>
        <v/>
      </c>
      <c r="K669" s="182" t="str">
        <f>IFERROR(LOOKUP(2,1/((A_Corridor!$A$5:$A$204&lt;&gt;"")*(A_Corridor!$A$5:$A$204&lt;=$B669)*(A_Corridor!$B$5:$B$204&gt;$B669)*(A_Corridor!$G$5:$G$204&lt;&gt;"")),IF(A_Corridor!$G$5:$G$204="-","",A_Corridor!$G$5:$G$204)),"")</f>
        <v/>
      </c>
      <c r="L669" s="181" t="str">
        <f>IFERROR(LOOKUP(2,1/((A_Corridor!$A$5:$A$204&lt;&gt;"")*(A_Corridor!$A$5:$A$204&lt;=$B669)*(A_Corridor!$B$5:$B$204&gt;$B669)*(A_Corridor!$H$5:$H$204&lt;&gt;"")),IF(A_Corridor!$H$5:$H$204="-","",1)),"")</f>
        <v/>
      </c>
      <c r="M669" s="182" t="str">
        <f>IFERROR(LOOKUP(2,1/((A_Corridor!$A$5:$A$204&lt;&gt;"")*(A_Corridor!$A$5:$A$204&lt;=$B669)*(A_Corridor!$B$5:$B$204&gt;$B669)*(A_Corridor!$H$5:$H$204&lt;&gt;"")),IF(A_Corridor!$H$5:$H$204="-","",A_Corridor!$H$5:$H$204)),"")</f>
        <v/>
      </c>
      <c r="N669" s="182" t="str">
        <f>IFERROR(LOOKUP(2,1/((A_Corridor!$A$5:$A$204&lt;&gt;"")*(A_Corridor!$A$5:$A$204&lt;=$B669)*(A_Corridor!$B$5:$B$204&gt;$B669)*(A_Corridor!$I$5:$I$204&lt;&gt;"")),IF(A_Corridor!$I$5:$I$204="-","",A_Corridor!$I$5:$I$204)),"")</f>
        <v/>
      </c>
      <c r="O669" s="182" t="str">
        <f>IFERROR(LOOKUP(2,1/((D_Points!$A$5:$A$204&lt;&gt;"")*(D_Points!$A$5:$A$204&gt;=$B669)*(D_Points!$A$5:$A$204&lt;$B669+P_Interval)*(UPPER(TRIM(D_Points!$B$5:$B$204))="PITCHING")*(D_Points!$H$5:$H$204&lt;&gt;"")),D_Points!$H$5:$H$204),"")</f>
        <v/>
      </c>
      <c r="P669" s="181" t="str">
        <f>IFERROR(LOOKUP(2,1/((B_Drainage!$A$5:$A$204&lt;&gt;"")*(B_Drainage!$A$5:$A$204&lt;=$B669)*(B_Drainage!$B$5:$B$204&gt;$B669)*(B_Drainage!$C$5:$C$204&lt;&gt;"")),IF(B_Drainage!$C$5:$C$204="-","",UPPER(B_Drainage!$C$5:$C$204))),"")</f>
        <v/>
      </c>
      <c r="Q669" s="181" t="str">
        <f>IFERROR(LOOKUP(2,1/((B_Drainage!$A$5:$A$204&lt;&gt;"")*(B_Drainage!$A$5:$A$204&lt;=$B669)*(B_Drainage!$B$5:$B$204&gt;$B669)*(B_Drainage!$D$5:$D$204&lt;&gt;"")),IF(B_Drainage!$D$5:$D$204="-","",UPPER(B_Drainage!$D$5:$D$204))),"")</f>
        <v/>
      </c>
      <c r="R669" s="182" t="str">
        <f>IFERROR(LOOKUP(2,1/((D_Points!$A$5:$A$204&lt;&gt;"")*(D_Points!$A$5:$A$204&gt;=$B669)*(D_Points!$A$5:$A$204&lt;$B669+P_Interval)*(RIGHT(UPPER(TRIM(D_Points!$B$5:$B$204)),8)="_CULVERT")),IF(LEFT(UPPER(TRIM(D_Points!$B$5:$B$204)),2)="EX",1,IF(LEFT(UPPER(TRIM(D_Points!$B$5:$B$204)),2)="PR",2,3))),"")</f>
        <v/>
      </c>
      <c r="S669" s="182" t="str">
        <f>IFERROR(LOOKUP(2,1/((D_Points!$A$5:$A$204&lt;&gt;"")*(D_Points!$A$5:$A$204&gt;=$B669)*(D_Points!$A$5:$A$204&lt;$B669+P_Interval)*(RIGHT(UPPER(TRIM(D_Points!$B$5:$B$204)),7)="_BRIDGE")),IF(LEFT(UPPER(TRIM(D_Points!$B$5:$B$204)),2)="EX",1,IF(LEFT(UPPER(TRIM(D_Points!$B$5:$B$204)),2)="PR",2,2))),"")</f>
        <v/>
      </c>
      <c r="T669" s="181" t="str">
        <f>IFERROR(LOOKUP(2,1/((B_Drainage!$A$5:$A$204&lt;&gt;"")*(B_Drainage!$A$5:$A$204&lt;=$B669)*(B_Drainage!$B$5:$B$204&gt;$B669)*(B_Drainage!$E$5:$E$204&lt;&gt;"")),IF(B_Drainage!$E$5:$E$204="-","",1)),"")</f>
        <v/>
      </c>
      <c r="U669" s="181" t="str">
        <f>IFERROR(LOOKUP(2,1/((B_Drainage!$A$5:$A$204&lt;&gt;"")*(B_Drainage!$A$5:$A$204&lt;=$B669)*(B_Drainage!$B$5:$B$204&gt;$B669)*(B_Drainage!$E$5:$E$204&lt;&gt;"")),IF(B_Drainage!$E$5:$E$204="-","",B_Drainage!$E$5:$E$204)),"")</f>
        <v/>
      </c>
      <c r="V669" s="181" t="str">
        <f>IFERROR(LOOKUP(2,1/((B_Drainage!$A$5:$A$204&lt;&gt;"")*(B_Drainage!$A$5:$A$204&lt;=$B669)*(B_Drainage!$B$5:$B$204&gt;$B669)*(B_Drainage!$F$5:$F$204&lt;&gt;"")),IF(B_Drainage!$F$5:$F$204="-","",1)),"")</f>
        <v/>
      </c>
      <c r="W669" s="181" t="str">
        <f>IFERROR(LOOKUP(2,1/((B_Drainage!$A$5:$A$204&lt;&gt;"")*(B_Drainage!$A$5:$A$204&lt;=$B669)*(B_Drainage!$B$5:$B$204&gt;$B669)*(B_Drainage!$F$5:$F$204&lt;&gt;"")),IF(B_Drainage!$F$5:$F$204="-","",B_Drainage!$F$5:$F$204)),"")</f>
        <v/>
      </c>
      <c r="X669" s="181" t="str">
        <f>IFERROR(LOOKUP(2,1/((B_Drainage!$A$5:$A$204&lt;&gt;"")*(B_Drainage!$A$5:$A$204&lt;=$B669)*(B_Drainage!$B$5:$B$204&gt;$B669)*(B_Drainage!$G$5:$G$204&lt;&gt;"")),IF(UPPER(B_Drainage!$G$5:$G$204)="Y",1,"")),"")</f>
        <v/>
      </c>
      <c r="Y669" s="181" t="str">
        <f>IFERROR(LOOKUP(2,1/((B_Drainage!$A$5:$A$204&lt;&gt;"")*(B_Drainage!$A$5:$A$204&lt;=$B669)*(B_Drainage!$B$5:$B$204&gt;$B669)*(B_Drainage!$H$5:$H$204&lt;&gt;"")),IF(UPPER(B_Drainage!$H$5:$H$204)="Y",1,"")),"")</f>
        <v/>
      </c>
      <c r="Z669" s="181" t="str">
        <f>IFERROR(LOOKUP(2,1/((B_Drainage!$A$5:$A$204&lt;&gt;"")*(B_Drainage!$A$5:$A$204&lt;=$B669)*(B_Drainage!$B$5:$B$204&gt;$B669)*(B_Drainage!$I$5:$I$204&lt;&gt;"")),IF(UPPER(B_Drainage!$I$5:$I$204)="Y",1,"")),"")</f>
        <v/>
      </c>
      <c r="AA669" s="181" t="str">
        <f>IFERROR(LOOKUP(2,1/((B_Drainage!$A$5:$A$204&lt;&gt;"")*(B_Drainage!$A$5:$A$204&lt;=$B669)*(B_Drainage!$B$5:$B$204&gt;$B669)*(B_Drainage!$J$5:$J$204&lt;&gt;"")),IF(UPPER(B_Drainage!$J$5:$J$204)="Y",1,"")),"")</f>
        <v/>
      </c>
      <c r="AB669" s="182" t="str">
        <f>IFERROR(LOOKUP(2,1/((B_Drainage!$A$5:$A$204&lt;&gt;"")*(B_Drainage!$A$5:$A$204&lt;=$B669)*(B_Drainage!$B$5:$B$204&gt;$B669)*(B_Drainage!$K$5:$K$204&lt;&gt;"")),IF(B_Drainage!$K$5:$K$204="-","",B_Drainage!$K$5:$K$204)),"")</f>
        <v/>
      </c>
      <c r="AC669" s="182" t="str">
        <f>IFERROR(LOOKUP(2,1/((B_Drainage!$A$5:$A$204&lt;&gt;"")*(B_Drainage!$A$5:$A$204&lt;=$B669)*(B_Drainage!$B$5:$B$204&gt;$B669)*(B_Drainage!$L$5:$L$204&lt;&gt;"")),IF(B_Drainage!$L$5:$L$204="-","",B_Drainage!$L$5:$L$204)),"")</f>
        <v/>
      </c>
      <c r="AD669" s="182" t="str">
        <f>IFERROR(LOOKUP(2,1/((D_Points!$A$5:$A$204&lt;&gt;"")*(D_Points!$A$5:$A$204&gt;=$B669)*(D_Points!$A$5:$A$204&lt;$B669+P_Interval)*(UPPER(TRIM(D_Points!$B$5:$B$204))="TURNOUT_L")*(D_Points!$H$5:$H$204&lt;&gt;"")),D_Points!$H$5:$H$204),"")</f>
        <v/>
      </c>
      <c r="AE669" s="182" t="str">
        <f>IFERROR(LOOKUP(2,1/((D_Points!$A$5:$A$204&lt;&gt;"")*(D_Points!$A$5:$A$204&gt;=$B669)*(D_Points!$A$5:$A$204&lt;$B669+P_Interval)*(UPPER(TRIM(D_Points!$B$5:$B$204))="TURNOUT_R")*(D_Points!$H$5:$H$204&lt;&gt;"")),D_Points!$H$5:$H$204),"")</f>
        <v/>
      </c>
      <c r="AF669" s="181" t="str">
        <f>IFERROR(LOOKUP(2,1/((B_Drainage!$A$5:$A$204&lt;&gt;"")*(B_Drainage!$A$5:$A$204&lt;=$B669)*(B_Drainage!$B$5:$B$204&gt;$B669)*(B_Drainage!$M$5:$M$204&lt;&gt;"")),IF(UPPER(B_Drainage!$M$5:$M$204)="Y",1,"")),"")</f>
        <v/>
      </c>
      <c r="AG669" s="181" t="str">
        <f>IFERROR(LOOKUP(2,1/((B_Drainage!$A$5:$A$204&lt;&gt;"")*(B_Drainage!$A$5:$A$204&lt;=$B669)*(B_Drainage!$B$5:$B$204&gt;$B669)*(B_Drainage!$N$5:$N$204&lt;&gt;"")),IF(UPPER(B_Drainage!$N$5:$N$204)="Y",1,"")),"")</f>
        <v/>
      </c>
      <c r="AH669" s="181" t="str">
        <f t="shared" si="80"/>
        <v/>
      </c>
      <c r="AI669" s="181" t="str">
        <f t="shared" si="81"/>
        <v/>
      </c>
      <c r="AJ669" s="181" t="str">
        <f t="shared" si="82"/>
        <v/>
      </c>
      <c r="AK669" s="181" t="str">
        <f t="shared" si="83"/>
        <v/>
      </c>
      <c r="AL669" s="181" t="str">
        <f t="shared" si="84"/>
        <v/>
      </c>
      <c r="AM669" s="181" t="str">
        <f t="shared" si="85"/>
        <v/>
      </c>
      <c r="AN669" s="181" t="str">
        <f t="shared" si="86"/>
        <v/>
      </c>
      <c r="AO669" s="192" t="str">
        <f t="shared" si="87"/>
        <v/>
      </c>
      <c r="AQ669" t="str">
        <f>IFERROR(LOOKUP(2,1/((C_Pavement!$A$5:$A$204&lt;&gt;"")*(C_Pavement!$A$5:$A$204&lt;=$B669)*(C_Pavement!$B$5:$B$204&gt;$B669)*(C_Pavement!$C$5:$C$204&lt;&gt;"")),ROW(C_Pavement!$C$5:$C$204)-4),"")</f>
        <v/>
      </c>
      <c r="AR669" t="str">
        <f>IF($AQ669="","",UPPER(TRIM(INDEX(C_Pavement!$C$5:$C$204,$AQ669))))</f>
        <v/>
      </c>
      <c r="AS669" t="str">
        <f>IF($AR669="","",IFERROR(MATCH($AR669,E_Rules!$A$5:$A$9,0),""))</f>
        <v/>
      </c>
      <c r="AT669" t="str">
        <f>IF($AQ669="","",IF(INDEX(C_Pavement!$D$5:$D$204,$AQ669)&lt;&gt;"",UPPER(TRIM(INDEX(C_Pavement!$D$5:$D$204,$AQ669))),IF($AS669="","",INDEX(E_Rules!$C$5:$C$9,$AS669))))</f>
        <v/>
      </c>
      <c r="AU669" t="str">
        <f>IF($AQ669="","",IF(INDEX(C_Pavement!$E$5:$E$204,$AQ669)&lt;&gt;"",IF(INDEX(C_Pavement!$E$5:$E$204,$AQ669)="-","",INDEX(C_Pavement!$E$5:$E$204,$AQ669)),IF($AS669="","",INDEX(E_Rules!$D$5:$D$9,$AS669))))</f>
        <v/>
      </c>
      <c r="AV669" t="str">
        <f>IF($AQ669="","",IF(INDEX(C_Pavement!$F$5:$F$204,$AQ669)&lt;&gt;"",IF(INDEX(C_Pavement!$F$5:$F$204,$AQ669)="-","",INDEX(C_Pavement!$F$5:$F$204,$AQ669)),IF($AS669="","",INDEX(E_Rules!$E$5:$E$9,$AS669))))</f>
        <v/>
      </c>
      <c r="AW669" t="str">
        <f>IF($AQ669="","",IF(INDEX(C_Pavement!$G$5:$G$204,$AQ669)&lt;&gt;"",IF(INDEX(C_Pavement!$G$5:$G$204,$AQ669)="-","",INDEX(C_Pavement!$G$5:$G$204,$AQ669)),IF($AS669="","",INDEX(E_Rules!$F$5:$F$9,$AS669))))</f>
        <v/>
      </c>
      <c r="AX669" t="str">
        <f>IF($AQ669="","",IF(INDEX(C_Pavement!$H$5:$H$204,$AQ669)&lt;&gt;"",IF(INDEX(C_Pavement!$H$5:$H$204,$AQ669)="-","",INDEX(C_Pavement!$H$5:$H$204,$AQ669)),IF($AS669="","",INDEX(E_Rules!$G$5:$G$9,$AS669))))</f>
        <v/>
      </c>
      <c r="AY669" t="str">
        <f>IF($AQ669="","",IF(INDEX(C_Pavement!$I$5:$I$204,$AQ669)&lt;&gt;"",IF(INDEX(C_Pavement!$I$5:$I$204,$AQ669)="-","",INDEX(C_Pavement!$I$5:$I$204,$AQ669)),IF($AS669="","",INDEX(E_Rules!$H$5:$H$9,$AS669))))</f>
        <v/>
      </c>
    </row>
    <row r="670" spans="1:51" ht="15.75" customHeight="1" x14ac:dyDescent="0.3">
      <c r="A670" s="189">
        <v>665</v>
      </c>
      <c r="B670" s="180">
        <v>33200</v>
      </c>
      <c r="C670" s="180" t="s">
        <v>976</v>
      </c>
      <c r="D670" s="181" t="str">
        <f>IFERROR(LOOKUP(2,1/((A_Corridor!$A$5:$A$204&lt;&gt;"")*(A_Corridor!$A$5:$A$204&lt;=$B670)*(A_Corridor!$B$5:$B$204&gt;$B670)*(A_Corridor!$C$5:$C$204&lt;&gt;"")),IF(UPPER(A_Corridor!$C$5:$C$204)="Y",1,"")),"")</f>
        <v/>
      </c>
      <c r="E670" s="181" t="str">
        <f>IFERROR(LOOKUP(2,1/((A_Corridor!$A$5:$A$204&lt;&gt;"")*(A_Corridor!$A$5:$A$204&lt;=$B670)*(A_Corridor!$B$5:$B$204&gt;$B670)*(A_Corridor!$D$5:$D$204&lt;&gt;"")),IF(A_Corridor!$D$5:$D$204="-","",UPPER(A_Corridor!$D$5:$D$204))),"")</f>
        <v/>
      </c>
      <c r="F670" s="181" t="str">
        <f>IFERROR(LOOKUP(2,1/((A_Corridor!$A$5:$A$204&lt;&gt;"")*(A_Corridor!$A$5:$A$204&lt;=$B670)*(A_Corridor!$B$5:$B$204&gt;$B670)*(A_Corridor!$E$5:$E$204&lt;&gt;"")),IF(A_Corridor!$E$5:$E$204="-","",1)),"")</f>
        <v/>
      </c>
      <c r="G670" s="182" t="str">
        <f>IFERROR(LOOKUP(2,1/((A_Corridor!$A$5:$A$204&lt;&gt;"")*(A_Corridor!$A$5:$A$204&lt;=$B670)*(A_Corridor!$B$5:$B$204&gt;$B670)*(A_Corridor!$E$5:$E$204&lt;&gt;"")),IF(A_Corridor!$E$5:$E$204="-","",A_Corridor!$E$5:$E$204)),"")</f>
        <v/>
      </c>
      <c r="H670" s="182" t="str">
        <f>IFERROR(LOOKUP(2,1/((D_Points!$A$5:$A$204&lt;&gt;"")*(D_Points!$A$5:$A$204&gt;=$B670)*(D_Points!$A$5:$A$204&lt;$B670+P_Interval)*(UPPER(TRIM(D_Points!$B$5:$B$204))="GULLY")*(D_Points!$H$5:$H$204&lt;&gt;"")),D_Points!$H$5:$H$204),"")</f>
        <v/>
      </c>
      <c r="I670" s="181" t="str">
        <f>IFERROR(LOOKUP(2,1/((A_Corridor!$A$5:$A$204&lt;&gt;"")*(A_Corridor!$A$5:$A$204&lt;=$B670)*(A_Corridor!$B$5:$B$204&gt;$B670)*(A_Corridor!$F$5:$F$204&lt;&gt;"")),IF(A_Corridor!$F$5:$F$204="-","",1)),"")</f>
        <v/>
      </c>
      <c r="J670" s="182" t="str">
        <f>IFERROR(LOOKUP(2,1/((A_Corridor!$A$5:$A$204&lt;&gt;"")*(A_Corridor!$A$5:$A$204&lt;=$B670)*(A_Corridor!$B$5:$B$204&gt;$B670)*(A_Corridor!$F$5:$F$204&lt;&gt;"")),IF(A_Corridor!$F$5:$F$204="-","",A_Corridor!$F$5:$F$204)),"")</f>
        <v/>
      </c>
      <c r="K670" s="182" t="str">
        <f>IFERROR(LOOKUP(2,1/((A_Corridor!$A$5:$A$204&lt;&gt;"")*(A_Corridor!$A$5:$A$204&lt;=$B670)*(A_Corridor!$B$5:$B$204&gt;$B670)*(A_Corridor!$G$5:$G$204&lt;&gt;"")),IF(A_Corridor!$G$5:$G$204="-","",A_Corridor!$G$5:$G$204)),"")</f>
        <v/>
      </c>
      <c r="L670" s="181" t="str">
        <f>IFERROR(LOOKUP(2,1/((A_Corridor!$A$5:$A$204&lt;&gt;"")*(A_Corridor!$A$5:$A$204&lt;=$B670)*(A_Corridor!$B$5:$B$204&gt;$B670)*(A_Corridor!$H$5:$H$204&lt;&gt;"")),IF(A_Corridor!$H$5:$H$204="-","",1)),"")</f>
        <v/>
      </c>
      <c r="M670" s="182" t="str">
        <f>IFERROR(LOOKUP(2,1/((A_Corridor!$A$5:$A$204&lt;&gt;"")*(A_Corridor!$A$5:$A$204&lt;=$B670)*(A_Corridor!$B$5:$B$204&gt;$B670)*(A_Corridor!$H$5:$H$204&lt;&gt;"")),IF(A_Corridor!$H$5:$H$204="-","",A_Corridor!$H$5:$H$204)),"")</f>
        <v/>
      </c>
      <c r="N670" s="182" t="str">
        <f>IFERROR(LOOKUP(2,1/((A_Corridor!$A$5:$A$204&lt;&gt;"")*(A_Corridor!$A$5:$A$204&lt;=$B670)*(A_Corridor!$B$5:$B$204&gt;$B670)*(A_Corridor!$I$5:$I$204&lt;&gt;"")),IF(A_Corridor!$I$5:$I$204="-","",A_Corridor!$I$5:$I$204)),"")</f>
        <v/>
      </c>
      <c r="O670" s="182" t="str">
        <f>IFERROR(LOOKUP(2,1/((D_Points!$A$5:$A$204&lt;&gt;"")*(D_Points!$A$5:$A$204&gt;=$B670)*(D_Points!$A$5:$A$204&lt;$B670+P_Interval)*(UPPER(TRIM(D_Points!$B$5:$B$204))="PITCHING")*(D_Points!$H$5:$H$204&lt;&gt;"")),D_Points!$H$5:$H$204),"")</f>
        <v/>
      </c>
      <c r="P670" s="181" t="str">
        <f>IFERROR(LOOKUP(2,1/((B_Drainage!$A$5:$A$204&lt;&gt;"")*(B_Drainage!$A$5:$A$204&lt;=$B670)*(B_Drainage!$B$5:$B$204&gt;$B670)*(B_Drainage!$C$5:$C$204&lt;&gt;"")),IF(B_Drainage!$C$5:$C$204="-","",UPPER(B_Drainage!$C$5:$C$204))),"")</f>
        <v/>
      </c>
      <c r="Q670" s="181" t="str">
        <f>IFERROR(LOOKUP(2,1/((B_Drainage!$A$5:$A$204&lt;&gt;"")*(B_Drainage!$A$5:$A$204&lt;=$B670)*(B_Drainage!$B$5:$B$204&gt;$B670)*(B_Drainage!$D$5:$D$204&lt;&gt;"")),IF(B_Drainage!$D$5:$D$204="-","",UPPER(B_Drainage!$D$5:$D$204))),"")</f>
        <v/>
      </c>
      <c r="R670" s="182" t="str">
        <f>IFERROR(LOOKUP(2,1/((D_Points!$A$5:$A$204&lt;&gt;"")*(D_Points!$A$5:$A$204&gt;=$B670)*(D_Points!$A$5:$A$204&lt;$B670+P_Interval)*(RIGHT(UPPER(TRIM(D_Points!$B$5:$B$204)),8)="_CULVERT")),IF(LEFT(UPPER(TRIM(D_Points!$B$5:$B$204)),2)="EX",1,IF(LEFT(UPPER(TRIM(D_Points!$B$5:$B$204)),2)="PR",2,3))),"")</f>
        <v/>
      </c>
      <c r="S670" s="182" t="str">
        <f>IFERROR(LOOKUP(2,1/((D_Points!$A$5:$A$204&lt;&gt;"")*(D_Points!$A$5:$A$204&gt;=$B670)*(D_Points!$A$5:$A$204&lt;$B670+P_Interval)*(RIGHT(UPPER(TRIM(D_Points!$B$5:$B$204)),7)="_BRIDGE")),IF(LEFT(UPPER(TRIM(D_Points!$B$5:$B$204)),2)="EX",1,IF(LEFT(UPPER(TRIM(D_Points!$B$5:$B$204)),2)="PR",2,2))),"")</f>
        <v/>
      </c>
      <c r="T670" s="181" t="str">
        <f>IFERROR(LOOKUP(2,1/((B_Drainage!$A$5:$A$204&lt;&gt;"")*(B_Drainage!$A$5:$A$204&lt;=$B670)*(B_Drainage!$B$5:$B$204&gt;$B670)*(B_Drainage!$E$5:$E$204&lt;&gt;"")),IF(B_Drainage!$E$5:$E$204="-","",1)),"")</f>
        <v/>
      </c>
      <c r="U670" s="181" t="str">
        <f>IFERROR(LOOKUP(2,1/((B_Drainage!$A$5:$A$204&lt;&gt;"")*(B_Drainage!$A$5:$A$204&lt;=$B670)*(B_Drainage!$B$5:$B$204&gt;$B670)*(B_Drainage!$E$5:$E$204&lt;&gt;"")),IF(B_Drainage!$E$5:$E$204="-","",B_Drainage!$E$5:$E$204)),"")</f>
        <v/>
      </c>
      <c r="V670" s="181" t="str">
        <f>IFERROR(LOOKUP(2,1/((B_Drainage!$A$5:$A$204&lt;&gt;"")*(B_Drainage!$A$5:$A$204&lt;=$B670)*(B_Drainage!$B$5:$B$204&gt;$B670)*(B_Drainage!$F$5:$F$204&lt;&gt;"")),IF(B_Drainage!$F$5:$F$204="-","",1)),"")</f>
        <v/>
      </c>
      <c r="W670" s="181" t="str">
        <f>IFERROR(LOOKUP(2,1/((B_Drainage!$A$5:$A$204&lt;&gt;"")*(B_Drainage!$A$5:$A$204&lt;=$B670)*(B_Drainage!$B$5:$B$204&gt;$B670)*(B_Drainage!$F$5:$F$204&lt;&gt;"")),IF(B_Drainage!$F$5:$F$204="-","",B_Drainage!$F$5:$F$204)),"")</f>
        <v/>
      </c>
      <c r="X670" s="181" t="str">
        <f>IFERROR(LOOKUP(2,1/((B_Drainage!$A$5:$A$204&lt;&gt;"")*(B_Drainage!$A$5:$A$204&lt;=$B670)*(B_Drainage!$B$5:$B$204&gt;$B670)*(B_Drainage!$G$5:$G$204&lt;&gt;"")),IF(UPPER(B_Drainage!$G$5:$G$204)="Y",1,"")),"")</f>
        <v/>
      </c>
      <c r="Y670" s="181" t="str">
        <f>IFERROR(LOOKUP(2,1/((B_Drainage!$A$5:$A$204&lt;&gt;"")*(B_Drainage!$A$5:$A$204&lt;=$B670)*(B_Drainage!$B$5:$B$204&gt;$B670)*(B_Drainage!$H$5:$H$204&lt;&gt;"")),IF(UPPER(B_Drainage!$H$5:$H$204)="Y",1,"")),"")</f>
        <v/>
      </c>
      <c r="Z670" s="181" t="str">
        <f>IFERROR(LOOKUP(2,1/((B_Drainage!$A$5:$A$204&lt;&gt;"")*(B_Drainage!$A$5:$A$204&lt;=$B670)*(B_Drainage!$B$5:$B$204&gt;$B670)*(B_Drainage!$I$5:$I$204&lt;&gt;"")),IF(UPPER(B_Drainage!$I$5:$I$204)="Y",1,"")),"")</f>
        <v/>
      </c>
      <c r="AA670" s="181" t="str">
        <f>IFERROR(LOOKUP(2,1/((B_Drainage!$A$5:$A$204&lt;&gt;"")*(B_Drainage!$A$5:$A$204&lt;=$B670)*(B_Drainage!$B$5:$B$204&gt;$B670)*(B_Drainage!$J$5:$J$204&lt;&gt;"")),IF(UPPER(B_Drainage!$J$5:$J$204)="Y",1,"")),"")</f>
        <v/>
      </c>
      <c r="AB670" s="182" t="str">
        <f>IFERROR(LOOKUP(2,1/((B_Drainage!$A$5:$A$204&lt;&gt;"")*(B_Drainage!$A$5:$A$204&lt;=$B670)*(B_Drainage!$B$5:$B$204&gt;$B670)*(B_Drainage!$K$5:$K$204&lt;&gt;"")),IF(B_Drainage!$K$5:$K$204="-","",B_Drainage!$K$5:$K$204)),"")</f>
        <v/>
      </c>
      <c r="AC670" s="182" t="str">
        <f>IFERROR(LOOKUP(2,1/((B_Drainage!$A$5:$A$204&lt;&gt;"")*(B_Drainage!$A$5:$A$204&lt;=$B670)*(B_Drainage!$B$5:$B$204&gt;$B670)*(B_Drainage!$L$5:$L$204&lt;&gt;"")),IF(B_Drainage!$L$5:$L$204="-","",B_Drainage!$L$5:$L$204)),"")</f>
        <v/>
      </c>
      <c r="AD670" s="182" t="str">
        <f>IFERROR(LOOKUP(2,1/((D_Points!$A$5:$A$204&lt;&gt;"")*(D_Points!$A$5:$A$204&gt;=$B670)*(D_Points!$A$5:$A$204&lt;$B670+P_Interval)*(UPPER(TRIM(D_Points!$B$5:$B$204))="TURNOUT_L")*(D_Points!$H$5:$H$204&lt;&gt;"")),D_Points!$H$5:$H$204),"")</f>
        <v/>
      </c>
      <c r="AE670" s="182" t="str">
        <f>IFERROR(LOOKUP(2,1/((D_Points!$A$5:$A$204&lt;&gt;"")*(D_Points!$A$5:$A$204&gt;=$B670)*(D_Points!$A$5:$A$204&lt;$B670+P_Interval)*(UPPER(TRIM(D_Points!$B$5:$B$204))="TURNOUT_R")*(D_Points!$H$5:$H$204&lt;&gt;"")),D_Points!$H$5:$H$204),"")</f>
        <v/>
      </c>
      <c r="AF670" s="181" t="str">
        <f>IFERROR(LOOKUP(2,1/((B_Drainage!$A$5:$A$204&lt;&gt;"")*(B_Drainage!$A$5:$A$204&lt;=$B670)*(B_Drainage!$B$5:$B$204&gt;$B670)*(B_Drainage!$M$5:$M$204&lt;&gt;"")),IF(UPPER(B_Drainage!$M$5:$M$204)="Y",1,"")),"")</f>
        <v/>
      </c>
      <c r="AG670" s="181" t="str">
        <f>IFERROR(LOOKUP(2,1/((B_Drainage!$A$5:$A$204&lt;&gt;"")*(B_Drainage!$A$5:$A$204&lt;=$B670)*(B_Drainage!$B$5:$B$204&gt;$B670)*(B_Drainage!$N$5:$N$204&lt;&gt;"")),IF(UPPER(B_Drainage!$N$5:$N$204)="Y",1,"")),"")</f>
        <v/>
      </c>
      <c r="AH670" s="181" t="str">
        <f t="shared" si="80"/>
        <v/>
      </c>
      <c r="AI670" s="181" t="str">
        <f t="shared" si="81"/>
        <v/>
      </c>
      <c r="AJ670" s="181" t="str">
        <f t="shared" si="82"/>
        <v/>
      </c>
      <c r="AK670" s="181" t="str">
        <f t="shared" si="83"/>
        <v/>
      </c>
      <c r="AL670" s="181" t="str">
        <f t="shared" si="84"/>
        <v/>
      </c>
      <c r="AM670" s="181" t="str">
        <f t="shared" si="85"/>
        <v/>
      </c>
      <c r="AN670" s="181" t="str">
        <f t="shared" si="86"/>
        <v/>
      </c>
      <c r="AO670" s="192" t="str">
        <f t="shared" si="87"/>
        <v/>
      </c>
      <c r="AQ670" t="str">
        <f>IFERROR(LOOKUP(2,1/((C_Pavement!$A$5:$A$204&lt;&gt;"")*(C_Pavement!$A$5:$A$204&lt;=$B670)*(C_Pavement!$B$5:$B$204&gt;$B670)*(C_Pavement!$C$5:$C$204&lt;&gt;"")),ROW(C_Pavement!$C$5:$C$204)-4),"")</f>
        <v/>
      </c>
      <c r="AR670" t="str">
        <f>IF($AQ670="","",UPPER(TRIM(INDEX(C_Pavement!$C$5:$C$204,$AQ670))))</f>
        <v/>
      </c>
      <c r="AS670" t="str">
        <f>IF($AR670="","",IFERROR(MATCH($AR670,E_Rules!$A$5:$A$9,0),""))</f>
        <v/>
      </c>
      <c r="AT670" t="str">
        <f>IF($AQ670="","",IF(INDEX(C_Pavement!$D$5:$D$204,$AQ670)&lt;&gt;"",UPPER(TRIM(INDEX(C_Pavement!$D$5:$D$204,$AQ670))),IF($AS670="","",INDEX(E_Rules!$C$5:$C$9,$AS670))))</f>
        <v/>
      </c>
      <c r="AU670" t="str">
        <f>IF($AQ670="","",IF(INDEX(C_Pavement!$E$5:$E$204,$AQ670)&lt;&gt;"",IF(INDEX(C_Pavement!$E$5:$E$204,$AQ670)="-","",INDEX(C_Pavement!$E$5:$E$204,$AQ670)),IF($AS670="","",INDEX(E_Rules!$D$5:$D$9,$AS670))))</f>
        <v/>
      </c>
      <c r="AV670" t="str">
        <f>IF($AQ670="","",IF(INDEX(C_Pavement!$F$5:$F$204,$AQ670)&lt;&gt;"",IF(INDEX(C_Pavement!$F$5:$F$204,$AQ670)="-","",INDEX(C_Pavement!$F$5:$F$204,$AQ670)),IF($AS670="","",INDEX(E_Rules!$E$5:$E$9,$AS670))))</f>
        <v/>
      </c>
      <c r="AW670" t="str">
        <f>IF($AQ670="","",IF(INDEX(C_Pavement!$G$5:$G$204,$AQ670)&lt;&gt;"",IF(INDEX(C_Pavement!$G$5:$G$204,$AQ670)="-","",INDEX(C_Pavement!$G$5:$G$204,$AQ670)),IF($AS670="","",INDEX(E_Rules!$F$5:$F$9,$AS670))))</f>
        <v/>
      </c>
      <c r="AX670" t="str">
        <f>IF($AQ670="","",IF(INDEX(C_Pavement!$H$5:$H$204,$AQ670)&lt;&gt;"",IF(INDEX(C_Pavement!$H$5:$H$204,$AQ670)="-","",INDEX(C_Pavement!$H$5:$H$204,$AQ670)),IF($AS670="","",INDEX(E_Rules!$G$5:$G$9,$AS670))))</f>
        <v/>
      </c>
      <c r="AY670" t="str">
        <f>IF($AQ670="","",IF(INDEX(C_Pavement!$I$5:$I$204,$AQ670)&lt;&gt;"",IF(INDEX(C_Pavement!$I$5:$I$204,$AQ670)="-","",INDEX(C_Pavement!$I$5:$I$204,$AQ670)),IF($AS670="","",INDEX(E_Rules!$H$5:$H$9,$AS670))))</f>
        <v/>
      </c>
    </row>
    <row r="671" spans="1:51" ht="15.75" customHeight="1" x14ac:dyDescent="0.3">
      <c r="A671" s="189">
        <v>666</v>
      </c>
      <c r="B671" s="180">
        <v>33250</v>
      </c>
      <c r="C671" s="180" t="s">
        <v>977</v>
      </c>
      <c r="D671" s="181" t="str">
        <f>IFERROR(LOOKUP(2,1/((A_Corridor!$A$5:$A$204&lt;&gt;"")*(A_Corridor!$A$5:$A$204&lt;=$B671)*(A_Corridor!$B$5:$B$204&gt;$B671)*(A_Corridor!$C$5:$C$204&lt;&gt;"")),IF(UPPER(A_Corridor!$C$5:$C$204)="Y",1,"")),"")</f>
        <v/>
      </c>
      <c r="E671" s="181" t="str">
        <f>IFERROR(LOOKUP(2,1/((A_Corridor!$A$5:$A$204&lt;&gt;"")*(A_Corridor!$A$5:$A$204&lt;=$B671)*(A_Corridor!$B$5:$B$204&gt;$B671)*(A_Corridor!$D$5:$D$204&lt;&gt;"")),IF(A_Corridor!$D$5:$D$204="-","",UPPER(A_Corridor!$D$5:$D$204))),"")</f>
        <v/>
      </c>
      <c r="F671" s="181" t="str">
        <f>IFERROR(LOOKUP(2,1/((A_Corridor!$A$5:$A$204&lt;&gt;"")*(A_Corridor!$A$5:$A$204&lt;=$B671)*(A_Corridor!$B$5:$B$204&gt;$B671)*(A_Corridor!$E$5:$E$204&lt;&gt;"")),IF(A_Corridor!$E$5:$E$204="-","",1)),"")</f>
        <v/>
      </c>
      <c r="G671" s="182" t="str">
        <f>IFERROR(LOOKUP(2,1/((A_Corridor!$A$5:$A$204&lt;&gt;"")*(A_Corridor!$A$5:$A$204&lt;=$B671)*(A_Corridor!$B$5:$B$204&gt;$B671)*(A_Corridor!$E$5:$E$204&lt;&gt;"")),IF(A_Corridor!$E$5:$E$204="-","",A_Corridor!$E$5:$E$204)),"")</f>
        <v/>
      </c>
      <c r="H671" s="182" t="str">
        <f>IFERROR(LOOKUP(2,1/((D_Points!$A$5:$A$204&lt;&gt;"")*(D_Points!$A$5:$A$204&gt;=$B671)*(D_Points!$A$5:$A$204&lt;$B671+P_Interval)*(UPPER(TRIM(D_Points!$B$5:$B$204))="GULLY")*(D_Points!$H$5:$H$204&lt;&gt;"")),D_Points!$H$5:$H$204),"")</f>
        <v/>
      </c>
      <c r="I671" s="181" t="str">
        <f>IFERROR(LOOKUP(2,1/((A_Corridor!$A$5:$A$204&lt;&gt;"")*(A_Corridor!$A$5:$A$204&lt;=$B671)*(A_Corridor!$B$5:$B$204&gt;$B671)*(A_Corridor!$F$5:$F$204&lt;&gt;"")),IF(A_Corridor!$F$5:$F$204="-","",1)),"")</f>
        <v/>
      </c>
      <c r="J671" s="182" t="str">
        <f>IFERROR(LOOKUP(2,1/((A_Corridor!$A$5:$A$204&lt;&gt;"")*(A_Corridor!$A$5:$A$204&lt;=$B671)*(A_Corridor!$B$5:$B$204&gt;$B671)*(A_Corridor!$F$5:$F$204&lt;&gt;"")),IF(A_Corridor!$F$5:$F$204="-","",A_Corridor!$F$5:$F$204)),"")</f>
        <v/>
      </c>
      <c r="K671" s="182" t="str">
        <f>IFERROR(LOOKUP(2,1/((A_Corridor!$A$5:$A$204&lt;&gt;"")*(A_Corridor!$A$5:$A$204&lt;=$B671)*(A_Corridor!$B$5:$B$204&gt;$B671)*(A_Corridor!$G$5:$G$204&lt;&gt;"")),IF(A_Corridor!$G$5:$G$204="-","",A_Corridor!$G$5:$G$204)),"")</f>
        <v/>
      </c>
      <c r="L671" s="181" t="str">
        <f>IFERROR(LOOKUP(2,1/((A_Corridor!$A$5:$A$204&lt;&gt;"")*(A_Corridor!$A$5:$A$204&lt;=$B671)*(A_Corridor!$B$5:$B$204&gt;$B671)*(A_Corridor!$H$5:$H$204&lt;&gt;"")),IF(A_Corridor!$H$5:$H$204="-","",1)),"")</f>
        <v/>
      </c>
      <c r="M671" s="182" t="str">
        <f>IFERROR(LOOKUP(2,1/((A_Corridor!$A$5:$A$204&lt;&gt;"")*(A_Corridor!$A$5:$A$204&lt;=$B671)*(A_Corridor!$B$5:$B$204&gt;$B671)*(A_Corridor!$H$5:$H$204&lt;&gt;"")),IF(A_Corridor!$H$5:$H$204="-","",A_Corridor!$H$5:$H$204)),"")</f>
        <v/>
      </c>
      <c r="N671" s="182" t="str">
        <f>IFERROR(LOOKUP(2,1/((A_Corridor!$A$5:$A$204&lt;&gt;"")*(A_Corridor!$A$5:$A$204&lt;=$B671)*(A_Corridor!$B$5:$B$204&gt;$B671)*(A_Corridor!$I$5:$I$204&lt;&gt;"")),IF(A_Corridor!$I$5:$I$204="-","",A_Corridor!$I$5:$I$204)),"")</f>
        <v/>
      </c>
      <c r="O671" s="182" t="str">
        <f>IFERROR(LOOKUP(2,1/((D_Points!$A$5:$A$204&lt;&gt;"")*(D_Points!$A$5:$A$204&gt;=$B671)*(D_Points!$A$5:$A$204&lt;$B671+P_Interval)*(UPPER(TRIM(D_Points!$B$5:$B$204))="PITCHING")*(D_Points!$H$5:$H$204&lt;&gt;"")),D_Points!$H$5:$H$204),"")</f>
        <v/>
      </c>
      <c r="P671" s="181" t="str">
        <f>IFERROR(LOOKUP(2,1/((B_Drainage!$A$5:$A$204&lt;&gt;"")*(B_Drainage!$A$5:$A$204&lt;=$B671)*(B_Drainage!$B$5:$B$204&gt;$B671)*(B_Drainage!$C$5:$C$204&lt;&gt;"")),IF(B_Drainage!$C$5:$C$204="-","",UPPER(B_Drainage!$C$5:$C$204))),"")</f>
        <v/>
      </c>
      <c r="Q671" s="181" t="str">
        <f>IFERROR(LOOKUP(2,1/((B_Drainage!$A$5:$A$204&lt;&gt;"")*(B_Drainage!$A$5:$A$204&lt;=$B671)*(B_Drainage!$B$5:$B$204&gt;$B671)*(B_Drainage!$D$5:$D$204&lt;&gt;"")),IF(B_Drainage!$D$5:$D$204="-","",UPPER(B_Drainage!$D$5:$D$204))),"")</f>
        <v/>
      </c>
      <c r="R671" s="182" t="str">
        <f>IFERROR(LOOKUP(2,1/((D_Points!$A$5:$A$204&lt;&gt;"")*(D_Points!$A$5:$A$204&gt;=$B671)*(D_Points!$A$5:$A$204&lt;$B671+P_Interval)*(RIGHT(UPPER(TRIM(D_Points!$B$5:$B$204)),8)="_CULVERT")),IF(LEFT(UPPER(TRIM(D_Points!$B$5:$B$204)),2)="EX",1,IF(LEFT(UPPER(TRIM(D_Points!$B$5:$B$204)),2)="PR",2,3))),"")</f>
        <v/>
      </c>
      <c r="S671" s="182" t="str">
        <f>IFERROR(LOOKUP(2,1/((D_Points!$A$5:$A$204&lt;&gt;"")*(D_Points!$A$5:$A$204&gt;=$B671)*(D_Points!$A$5:$A$204&lt;$B671+P_Interval)*(RIGHT(UPPER(TRIM(D_Points!$B$5:$B$204)),7)="_BRIDGE")),IF(LEFT(UPPER(TRIM(D_Points!$B$5:$B$204)),2)="EX",1,IF(LEFT(UPPER(TRIM(D_Points!$B$5:$B$204)),2)="PR",2,2))),"")</f>
        <v/>
      </c>
      <c r="T671" s="181" t="str">
        <f>IFERROR(LOOKUP(2,1/((B_Drainage!$A$5:$A$204&lt;&gt;"")*(B_Drainage!$A$5:$A$204&lt;=$B671)*(B_Drainage!$B$5:$B$204&gt;$B671)*(B_Drainage!$E$5:$E$204&lt;&gt;"")),IF(B_Drainage!$E$5:$E$204="-","",1)),"")</f>
        <v/>
      </c>
      <c r="U671" s="181" t="str">
        <f>IFERROR(LOOKUP(2,1/((B_Drainage!$A$5:$A$204&lt;&gt;"")*(B_Drainage!$A$5:$A$204&lt;=$B671)*(B_Drainage!$B$5:$B$204&gt;$B671)*(B_Drainage!$E$5:$E$204&lt;&gt;"")),IF(B_Drainage!$E$5:$E$204="-","",B_Drainage!$E$5:$E$204)),"")</f>
        <v/>
      </c>
      <c r="V671" s="181" t="str">
        <f>IFERROR(LOOKUP(2,1/((B_Drainage!$A$5:$A$204&lt;&gt;"")*(B_Drainage!$A$5:$A$204&lt;=$B671)*(B_Drainage!$B$5:$B$204&gt;$B671)*(B_Drainage!$F$5:$F$204&lt;&gt;"")),IF(B_Drainage!$F$5:$F$204="-","",1)),"")</f>
        <v/>
      </c>
      <c r="W671" s="181" t="str">
        <f>IFERROR(LOOKUP(2,1/((B_Drainage!$A$5:$A$204&lt;&gt;"")*(B_Drainage!$A$5:$A$204&lt;=$B671)*(B_Drainage!$B$5:$B$204&gt;$B671)*(B_Drainage!$F$5:$F$204&lt;&gt;"")),IF(B_Drainage!$F$5:$F$204="-","",B_Drainage!$F$5:$F$204)),"")</f>
        <v/>
      </c>
      <c r="X671" s="181" t="str">
        <f>IFERROR(LOOKUP(2,1/((B_Drainage!$A$5:$A$204&lt;&gt;"")*(B_Drainage!$A$5:$A$204&lt;=$B671)*(B_Drainage!$B$5:$B$204&gt;$B671)*(B_Drainage!$G$5:$G$204&lt;&gt;"")),IF(UPPER(B_Drainage!$G$5:$G$204)="Y",1,"")),"")</f>
        <v/>
      </c>
      <c r="Y671" s="181" t="str">
        <f>IFERROR(LOOKUP(2,1/((B_Drainage!$A$5:$A$204&lt;&gt;"")*(B_Drainage!$A$5:$A$204&lt;=$B671)*(B_Drainage!$B$5:$B$204&gt;$B671)*(B_Drainage!$H$5:$H$204&lt;&gt;"")),IF(UPPER(B_Drainage!$H$5:$H$204)="Y",1,"")),"")</f>
        <v/>
      </c>
      <c r="Z671" s="181" t="str">
        <f>IFERROR(LOOKUP(2,1/((B_Drainage!$A$5:$A$204&lt;&gt;"")*(B_Drainage!$A$5:$A$204&lt;=$B671)*(B_Drainage!$B$5:$B$204&gt;$B671)*(B_Drainage!$I$5:$I$204&lt;&gt;"")),IF(UPPER(B_Drainage!$I$5:$I$204)="Y",1,"")),"")</f>
        <v/>
      </c>
      <c r="AA671" s="181" t="str">
        <f>IFERROR(LOOKUP(2,1/((B_Drainage!$A$5:$A$204&lt;&gt;"")*(B_Drainage!$A$5:$A$204&lt;=$B671)*(B_Drainage!$B$5:$B$204&gt;$B671)*(B_Drainage!$J$5:$J$204&lt;&gt;"")),IF(UPPER(B_Drainage!$J$5:$J$204)="Y",1,"")),"")</f>
        <v/>
      </c>
      <c r="AB671" s="182" t="str">
        <f>IFERROR(LOOKUP(2,1/((B_Drainage!$A$5:$A$204&lt;&gt;"")*(B_Drainage!$A$5:$A$204&lt;=$B671)*(B_Drainage!$B$5:$B$204&gt;$B671)*(B_Drainage!$K$5:$K$204&lt;&gt;"")),IF(B_Drainage!$K$5:$K$204="-","",B_Drainage!$K$5:$K$204)),"")</f>
        <v/>
      </c>
      <c r="AC671" s="182" t="str">
        <f>IFERROR(LOOKUP(2,1/((B_Drainage!$A$5:$A$204&lt;&gt;"")*(B_Drainage!$A$5:$A$204&lt;=$B671)*(B_Drainage!$B$5:$B$204&gt;$B671)*(B_Drainage!$L$5:$L$204&lt;&gt;"")),IF(B_Drainage!$L$5:$L$204="-","",B_Drainage!$L$5:$L$204)),"")</f>
        <v/>
      </c>
      <c r="AD671" s="182" t="str">
        <f>IFERROR(LOOKUP(2,1/((D_Points!$A$5:$A$204&lt;&gt;"")*(D_Points!$A$5:$A$204&gt;=$B671)*(D_Points!$A$5:$A$204&lt;$B671+P_Interval)*(UPPER(TRIM(D_Points!$B$5:$B$204))="TURNOUT_L")*(D_Points!$H$5:$H$204&lt;&gt;"")),D_Points!$H$5:$H$204),"")</f>
        <v/>
      </c>
      <c r="AE671" s="182" t="str">
        <f>IFERROR(LOOKUP(2,1/((D_Points!$A$5:$A$204&lt;&gt;"")*(D_Points!$A$5:$A$204&gt;=$B671)*(D_Points!$A$5:$A$204&lt;$B671+P_Interval)*(UPPER(TRIM(D_Points!$B$5:$B$204))="TURNOUT_R")*(D_Points!$H$5:$H$204&lt;&gt;"")),D_Points!$H$5:$H$204),"")</f>
        <v/>
      </c>
      <c r="AF671" s="181" t="str">
        <f>IFERROR(LOOKUP(2,1/((B_Drainage!$A$5:$A$204&lt;&gt;"")*(B_Drainage!$A$5:$A$204&lt;=$B671)*(B_Drainage!$B$5:$B$204&gt;$B671)*(B_Drainage!$M$5:$M$204&lt;&gt;"")),IF(UPPER(B_Drainage!$M$5:$M$204)="Y",1,"")),"")</f>
        <v/>
      </c>
      <c r="AG671" s="181" t="str">
        <f>IFERROR(LOOKUP(2,1/((B_Drainage!$A$5:$A$204&lt;&gt;"")*(B_Drainage!$A$5:$A$204&lt;=$B671)*(B_Drainage!$B$5:$B$204&gt;$B671)*(B_Drainage!$N$5:$N$204&lt;&gt;"")),IF(UPPER(B_Drainage!$N$5:$N$204)="Y",1,"")),"")</f>
        <v/>
      </c>
      <c r="AH671" s="181" t="str">
        <f t="shared" si="80"/>
        <v/>
      </c>
      <c r="AI671" s="181" t="str">
        <f t="shared" si="81"/>
        <v/>
      </c>
      <c r="AJ671" s="181" t="str">
        <f t="shared" si="82"/>
        <v/>
      </c>
      <c r="AK671" s="181" t="str">
        <f t="shared" si="83"/>
        <v/>
      </c>
      <c r="AL671" s="181" t="str">
        <f t="shared" si="84"/>
        <v/>
      </c>
      <c r="AM671" s="181" t="str">
        <f t="shared" si="85"/>
        <v/>
      </c>
      <c r="AN671" s="181" t="str">
        <f t="shared" si="86"/>
        <v/>
      </c>
      <c r="AO671" s="192" t="str">
        <f t="shared" si="87"/>
        <v/>
      </c>
      <c r="AQ671" t="str">
        <f>IFERROR(LOOKUP(2,1/((C_Pavement!$A$5:$A$204&lt;&gt;"")*(C_Pavement!$A$5:$A$204&lt;=$B671)*(C_Pavement!$B$5:$B$204&gt;$B671)*(C_Pavement!$C$5:$C$204&lt;&gt;"")),ROW(C_Pavement!$C$5:$C$204)-4),"")</f>
        <v/>
      </c>
      <c r="AR671" t="str">
        <f>IF($AQ671="","",UPPER(TRIM(INDEX(C_Pavement!$C$5:$C$204,$AQ671))))</f>
        <v/>
      </c>
      <c r="AS671" t="str">
        <f>IF($AR671="","",IFERROR(MATCH($AR671,E_Rules!$A$5:$A$9,0),""))</f>
        <v/>
      </c>
      <c r="AT671" t="str">
        <f>IF($AQ671="","",IF(INDEX(C_Pavement!$D$5:$D$204,$AQ671)&lt;&gt;"",UPPER(TRIM(INDEX(C_Pavement!$D$5:$D$204,$AQ671))),IF($AS671="","",INDEX(E_Rules!$C$5:$C$9,$AS671))))</f>
        <v/>
      </c>
      <c r="AU671" t="str">
        <f>IF($AQ671="","",IF(INDEX(C_Pavement!$E$5:$E$204,$AQ671)&lt;&gt;"",IF(INDEX(C_Pavement!$E$5:$E$204,$AQ671)="-","",INDEX(C_Pavement!$E$5:$E$204,$AQ671)),IF($AS671="","",INDEX(E_Rules!$D$5:$D$9,$AS671))))</f>
        <v/>
      </c>
      <c r="AV671" t="str">
        <f>IF($AQ671="","",IF(INDEX(C_Pavement!$F$5:$F$204,$AQ671)&lt;&gt;"",IF(INDEX(C_Pavement!$F$5:$F$204,$AQ671)="-","",INDEX(C_Pavement!$F$5:$F$204,$AQ671)),IF($AS671="","",INDEX(E_Rules!$E$5:$E$9,$AS671))))</f>
        <v/>
      </c>
      <c r="AW671" t="str">
        <f>IF($AQ671="","",IF(INDEX(C_Pavement!$G$5:$G$204,$AQ671)&lt;&gt;"",IF(INDEX(C_Pavement!$G$5:$G$204,$AQ671)="-","",INDEX(C_Pavement!$G$5:$G$204,$AQ671)),IF($AS671="","",INDEX(E_Rules!$F$5:$F$9,$AS671))))</f>
        <v/>
      </c>
      <c r="AX671" t="str">
        <f>IF($AQ671="","",IF(INDEX(C_Pavement!$H$5:$H$204,$AQ671)&lt;&gt;"",IF(INDEX(C_Pavement!$H$5:$H$204,$AQ671)="-","",INDEX(C_Pavement!$H$5:$H$204,$AQ671)),IF($AS671="","",INDEX(E_Rules!$G$5:$G$9,$AS671))))</f>
        <v/>
      </c>
      <c r="AY671" t="str">
        <f>IF($AQ671="","",IF(INDEX(C_Pavement!$I$5:$I$204,$AQ671)&lt;&gt;"",IF(INDEX(C_Pavement!$I$5:$I$204,$AQ671)="-","",INDEX(C_Pavement!$I$5:$I$204,$AQ671)),IF($AS671="","",INDEX(E_Rules!$H$5:$H$9,$AS671))))</f>
        <v/>
      </c>
    </row>
    <row r="672" spans="1:51" ht="15.75" customHeight="1" x14ac:dyDescent="0.3">
      <c r="A672" s="189">
        <v>667</v>
      </c>
      <c r="B672" s="180">
        <v>33300</v>
      </c>
      <c r="C672" s="180" t="s">
        <v>978</v>
      </c>
      <c r="D672" s="181" t="str">
        <f>IFERROR(LOOKUP(2,1/((A_Corridor!$A$5:$A$204&lt;&gt;"")*(A_Corridor!$A$5:$A$204&lt;=$B672)*(A_Corridor!$B$5:$B$204&gt;$B672)*(A_Corridor!$C$5:$C$204&lt;&gt;"")),IF(UPPER(A_Corridor!$C$5:$C$204)="Y",1,"")),"")</f>
        <v/>
      </c>
      <c r="E672" s="181" t="str">
        <f>IFERROR(LOOKUP(2,1/((A_Corridor!$A$5:$A$204&lt;&gt;"")*(A_Corridor!$A$5:$A$204&lt;=$B672)*(A_Corridor!$B$5:$B$204&gt;$B672)*(A_Corridor!$D$5:$D$204&lt;&gt;"")),IF(A_Corridor!$D$5:$D$204="-","",UPPER(A_Corridor!$D$5:$D$204))),"")</f>
        <v/>
      </c>
      <c r="F672" s="181" t="str">
        <f>IFERROR(LOOKUP(2,1/((A_Corridor!$A$5:$A$204&lt;&gt;"")*(A_Corridor!$A$5:$A$204&lt;=$B672)*(A_Corridor!$B$5:$B$204&gt;$B672)*(A_Corridor!$E$5:$E$204&lt;&gt;"")),IF(A_Corridor!$E$5:$E$204="-","",1)),"")</f>
        <v/>
      </c>
      <c r="G672" s="182" t="str">
        <f>IFERROR(LOOKUP(2,1/((A_Corridor!$A$5:$A$204&lt;&gt;"")*(A_Corridor!$A$5:$A$204&lt;=$B672)*(A_Corridor!$B$5:$B$204&gt;$B672)*(A_Corridor!$E$5:$E$204&lt;&gt;"")),IF(A_Corridor!$E$5:$E$204="-","",A_Corridor!$E$5:$E$204)),"")</f>
        <v/>
      </c>
      <c r="H672" s="182" t="str">
        <f>IFERROR(LOOKUP(2,1/((D_Points!$A$5:$A$204&lt;&gt;"")*(D_Points!$A$5:$A$204&gt;=$B672)*(D_Points!$A$5:$A$204&lt;$B672+P_Interval)*(UPPER(TRIM(D_Points!$B$5:$B$204))="GULLY")*(D_Points!$H$5:$H$204&lt;&gt;"")),D_Points!$H$5:$H$204),"")</f>
        <v/>
      </c>
      <c r="I672" s="181" t="str">
        <f>IFERROR(LOOKUP(2,1/((A_Corridor!$A$5:$A$204&lt;&gt;"")*(A_Corridor!$A$5:$A$204&lt;=$B672)*(A_Corridor!$B$5:$B$204&gt;$B672)*(A_Corridor!$F$5:$F$204&lt;&gt;"")),IF(A_Corridor!$F$5:$F$204="-","",1)),"")</f>
        <v/>
      </c>
      <c r="J672" s="182" t="str">
        <f>IFERROR(LOOKUP(2,1/((A_Corridor!$A$5:$A$204&lt;&gt;"")*(A_Corridor!$A$5:$A$204&lt;=$B672)*(A_Corridor!$B$5:$B$204&gt;$B672)*(A_Corridor!$F$5:$F$204&lt;&gt;"")),IF(A_Corridor!$F$5:$F$204="-","",A_Corridor!$F$5:$F$204)),"")</f>
        <v/>
      </c>
      <c r="K672" s="182" t="str">
        <f>IFERROR(LOOKUP(2,1/((A_Corridor!$A$5:$A$204&lt;&gt;"")*(A_Corridor!$A$5:$A$204&lt;=$B672)*(A_Corridor!$B$5:$B$204&gt;$B672)*(A_Corridor!$G$5:$G$204&lt;&gt;"")),IF(A_Corridor!$G$5:$G$204="-","",A_Corridor!$G$5:$G$204)),"")</f>
        <v/>
      </c>
      <c r="L672" s="181" t="str">
        <f>IFERROR(LOOKUP(2,1/((A_Corridor!$A$5:$A$204&lt;&gt;"")*(A_Corridor!$A$5:$A$204&lt;=$B672)*(A_Corridor!$B$5:$B$204&gt;$B672)*(A_Corridor!$H$5:$H$204&lt;&gt;"")),IF(A_Corridor!$H$5:$H$204="-","",1)),"")</f>
        <v/>
      </c>
      <c r="M672" s="182" t="str">
        <f>IFERROR(LOOKUP(2,1/((A_Corridor!$A$5:$A$204&lt;&gt;"")*(A_Corridor!$A$5:$A$204&lt;=$B672)*(A_Corridor!$B$5:$B$204&gt;$B672)*(A_Corridor!$H$5:$H$204&lt;&gt;"")),IF(A_Corridor!$H$5:$H$204="-","",A_Corridor!$H$5:$H$204)),"")</f>
        <v/>
      </c>
      <c r="N672" s="182" t="str">
        <f>IFERROR(LOOKUP(2,1/((A_Corridor!$A$5:$A$204&lt;&gt;"")*(A_Corridor!$A$5:$A$204&lt;=$B672)*(A_Corridor!$B$5:$B$204&gt;$B672)*(A_Corridor!$I$5:$I$204&lt;&gt;"")),IF(A_Corridor!$I$5:$I$204="-","",A_Corridor!$I$5:$I$204)),"")</f>
        <v/>
      </c>
      <c r="O672" s="182" t="str">
        <f>IFERROR(LOOKUP(2,1/((D_Points!$A$5:$A$204&lt;&gt;"")*(D_Points!$A$5:$A$204&gt;=$B672)*(D_Points!$A$5:$A$204&lt;$B672+P_Interval)*(UPPER(TRIM(D_Points!$B$5:$B$204))="PITCHING")*(D_Points!$H$5:$H$204&lt;&gt;"")),D_Points!$H$5:$H$204),"")</f>
        <v/>
      </c>
      <c r="P672" s="181" t="str">
        <f>IFERROR(LOOKUP(2,1/((B_Drainage!$A$5:$A$204&lt;&gt;"")*(B_Drainage!$A$5:$A$204&lt;=$B672)*(B_Drainage!$B$5:$B$204&gt;$B672)*(B_Drainage!$C$5:$C$204&lt;&gt;"")),IF(B_Drainage!$C$5:$C$204="-","",UPPER(B_Drainage!$C$5:$C$204))),"")</f>
        <v/>
      </c>
      <c r="Q672" s="181" t="str">
        <f>IFERROR(LOOKUP(2,1/((B_Drainage!$A$5:$A$204&lt;&gt;"")*(B_Drainage!$A$5:$A$204&lt;=$B672)*(B_Drainage!$B$5:$B$204&gt;$B672)*(B_Drainage!$D$5:$D$204&lt;&gt;"")),IF(B_Drainage!$D$5:$D$204="-","",UPPER(B_Drainage!$D$5:$D$204))),"")</f>
        <v/>
      </c>
      <c r="R672" s="182" t="str">
        <f>IFERROR(LOOKUP(2,1/((D_Points!$A$5:$A$204&lt;&gt;"")*(D_Points!$A$5:$A$204&gt;=$B672)*(D_Points!$A$5:$A$204&lt;$B672+P_Interval)*(RIGHT(UPPER(TRIM(D_Points!$B$5:$B$204)),8)="_CULVERT")),IF(LEFT(UPPER(TRIM(D_Points!$B$5:$B$204)),2)="EX",1,IF(LEFT(UPPER(TRIM(D_Points!$B$5:$B$204)),2)="PR",2,3))),"")</f>
        <v/>
      </c>
      <c r="S672" s="182" t="str">
        <f>IFERROR(LOOKUP(2,1/((D_Points!$A$5:$A$204&lt;&gt;"")*(D_Points!$A$5:$A$204&gt;=$B672)*(D_Points!$A$5:$A$204&lt;$B672+P_Interval)*(RIGHT(UPPER(TRIM(D_Points!$B$5:$B$204)),7)="_BRIDGE")),IF(LEFT(UPPER(TRIM(D_Points!$B$5:$B$204)),2)="EX",1,IF(LEFT(UPPER(TRIM(D_Points!$B$5:$B$204)),2)="PR",2,2))),"")</f>
        <v/>
      </c>
      <c r="T672" s="181" t="str">
        <f>IFERROR(LOOKUP(2,1/((B_Drainage!$A$5:$A$204&lt;&gt;"")*(B_Drainage!$A$5:$A$204&lt;=$B672)*(B_Drainage!$B$5:$B$204&gt;$B672)*(B_Drainage!$E$5:$E$204&lt;&gt;"")),IF(B_Drainage!$E$5:$E$204="-","",1)),"")</f>
        <v/>
      </c>
      <c r="U672" s="181" t="str">
        <f>IFERROR(LOOKUP(2,1/((B_Drainage!$A$5:$A$204&lt;&gt;"")*(B_Drainage!$A$5:$A$204&lt;=$B672)*(B_Drainage!$B$5:$B$204&gt;$B672)*(B_Drainage!$E$5:$E$204&lt;&gt;"")),IF(B_Drainage!$E$5:$E$204="-","",B_Drainage!$E$5:$E$204)),"")</f>
        <v/>
      </c>
      <c r="V672" s="181" t="str">
        <f>IFERROR(LOOKUP(2,1/((B_Drainage!$A$5:$A$204&lt;&gt;"")*(B_Drainage!$A$5:$A$204&lt;=$B672)*(B_Drainage!$B$5:$B$204&gt;$B672)*(B_Drainage!$F$5:$F$204&lt;&gt;"")),IF(B_Drainage!$F$5:$F$204="-","",1)),"")</f>
        <v/>
      </c>
      <c r="W672" s="181" t="str">
        <f>IFERROR(LOOKUP(2,1/((B_Drainage!$A$5:$A$204&lt;&gt;"")*(B_Drainage!$A$5:$A$204&lt;=$B672)*(B_Drainage!$B$5:$B$204&gt;$B672)*(B_Drainage!$F$5:$F$204&lt;&gt;"")),IF(B_Drainage!$F$5:$F$204="-","",B_Drainage!$F$5:$F$204)),"")</f>
        <v/>
      </c>
      <c r="X672" s="181" t="str">
        <f>IFERROR(LOOKUP(2,1/((B_Drainage!$A$5:$A$204&lt;&gt;"")*(B_Drainage!$A$5:$A$204&lt;=$B672)*(B_Drainage!$B$5:$B$204&gt;$B672)*(B_Drainage!$G$5:$G$204&lt;&gt;"")),IF(UPPER(B_Drainage!$G$5:$G$204)="Y",1,"")),"")</f>
        <v/>
      </c>
      <c r="Y672" s="181" t="str">
        <f>IFERROR(LOOKUP(2,1/((B_Drainage!$A$5:$A$204&lt;&gt;"")*(B_Drainage!$A$5:$A$204&lt;=$B672)*(B_Drainage!$B$5:$B$204&gt;$B672)*(B_Drainage!$H$5:$H$204&lt;&gt;"")),IF(UPPER(B_Drainage!$H$5:$H$204)="Y",1,"")),"")</f>
        <v/>
      </c>
      <c r="Z672" s="181" t="str">
        <f>IFERROR(LOOKUP(2,1/((B_Drainage!$A$5:$A$204&lt;&gt;"")*(B_Drainage!$A$5:$A$204&lt;=$B672)*(B_Drainage!$B$5:$B$204&gt;$B672)*(B_Drainage!$I$5:$I$204&lt;&gt;"")),IF(UPPER(B_Drainage!$I$5:$I$204)="Y",1,"")),"")</f>
        <v/>
      </c>
      <c r="AA672" s="181" t="str">
        <f>IFERROR(LOOKUP(2,1/((B_Drainage!$A$5:$A$204&lt;&gt;"")*(B_Drainage!$A$5:$A$204&lt;=$B672)*(B_Drainage!$B$5:$B$204&gt;$B672)*(B_Drainage!$J$5:$J$204&lt;&gt;"")),IF(UPPER(B_Drainage!$J$5:$J$204)="Y",1,"")),"")</f>
        <v/>
      </c>
      <c r="AB672" s="182" t="str">
        <f>IFERROR(LOOKUP(2,1/((B_Drainage!$A$5:$A$204&lt;&gt;"")*(B_Drainage!$A$5:$A$204&lt;=$B672)*(B_Drainage!$B$5:$B$204&gt;$B672)*(B_Drainage!$K$5:$K$204&lt;&gt;"")),IF(B_Drainage!$K$5:$K$204="-","",B_Drainage!$K$5:$K$204)),"")</f>
        <v/>
      </c>
      <c r="AC672" s="182" t="str">
        <f>IFERROR(LOOKUP(2,1/((B_Drainage!$A$5:$A$204&lt;&gt;"")*(B_Drainage!$A$5:$A$204&lt;=$B672)*(B_Drainage!$B$5:$B$204&gt;$B672)*(B_Drainage!$L$5:$L$204&lt;&gt;"")),IF(B_Drainage!$L$5:$L$204="-","",B_Drainage!$L$5:$L$204)),"")</f>
        <v/>
      </c>
      <c r="AD672" s="182" t="str">
        <f>IFERROR(LOOKUP(2,1/((D_Points!$A$5:$A$204&lt;&gt;"")*(D_Points!$A$5:$A$204&gt;=$B672)*(D_Points!$A$5:$A$204&lt;$B672+P_Interval)*(UPPER(TRIM(D_Points!$B$5:$B$204))="TURNOUT_L")*(D_Points!$H$5:$H$204&lt;&gt;"")),D_Points!$H$5:$H$204),"")</f>
        <v/>
      </c>
      <c r="AE672" s="182" t="str">
        <f>IFERROR(LOOKUP(2,1/((D_Points!$A$5:$A$204&lt;&gt;"")*(D_Points!$A$5:$A$204&gt;=$B672)*(D_Points!$A$5:$A$204&lt;$B672+P_Interval)*(UPPER(TRIM(D_Points!$B$5:$B$204))="TURNOUT_R")*(D_Points!$H$5:$H$204&lt;&gt;"")),D_Points!$H$5:$H$204),"")</f>
        <v/>
      </c>
      <c r="AF672" s="181" t="str">
        <f>IFERROR(LOOKUP(2,1/((B_Drainage!$A$5:$A$204&lt;&gt;"")*(B_Drainage!$A$5:$A$204&lt;=$B672)*(B_Drainage!$B$5:$B$204&gt;$B672)*(B_Drainage!$M$5:$M$204&lt;&gt;"")),IF(UPPER(B_Drainage!$M$5:$M$204)="Y",1,"")),"")</f>
        <v/>
      </c>
      <c r="AG672" s="181" t="str">
        <f>IFERROR(LOOKUP(2,1/((B_Drainage!$A$5:$A$204&lt;&gt;"")*(B_Drainage!$A$5:$A$204&lt;=$B672)*(B_Drainage!$B$5:$B$204&gt;$B672)*(B_Drainage!$N$5:$N$204&lt;&gt;"")),IF(UPPER(B_Drainage!$N$5:$N$204)="Y",1,"")),"")</f>
        <v/>
      </c>
      <c r="AH672" s="181" t="str">
        <f t="shared" si="80"/>
        <v/>
      </c>
      <c r="AI672" s="181" t="str">
        <f t="shared" si="81"/>
        <v/>
      </c>
      <c r="AJ672" s="181" t="str">
        <f t="shared" si="82"/>
        <v/>
      </c>
      <c r="AK672" s="181" t="str">
        <f t="shared" si="83"/>
        <v/>
      </c>
      <c r="AL672" s="181" t="str">
        <f t="shared" si="84"/>
        <v/>
      </c>
      <c r="AM672" s="181" t="str">
        <f t="shared" si="85"/>
        <v/>
      </c>
      <c r="AN672" s="181" t="str">
        <f t="shared" si="86"/>
        <v/>
      </c>
      <c r="AO672" s="192" t="str">
        <f t="shared" si="87"/>
        <v/>
      </c>
      <c r="AQ672" t="str">
        <f>IFERROR(LOOKUP(2,1/((C_Pavement!$A$5:$A$204&lt;&gt;"")*(C_Pavement!$A$5:$A$204&lt;=$B672)*(C_Pavement!$B$5:$B$204&gt;$B672)*(C_Pavement!$C$5:$C$204&lt;&gt;"")),ROW(C_Pavement!$C$5:$C$204)-4),"")</f>
        <v/>
      </c>
      <c r="AR672" t="str">
        <f>IF($AQ672="","",UPPER(TRIM(INDEX(C_Pavement!$C$5:$C$204,$AQ672))))</f>
        <v/>
      </c>
      <c r="AS672" t="str">
        <f>IF($AR672="","",IFERROR(MATCH($AR672,E_Rules!$A$5:$A$9,0),""))</f>
        <v/>
      </c>
      <c r="AT672" t="str">
        <f>IF($AQ672="","",IF(INDEX(C_Pavement!$D$5:$D$204,$AQ672)&lt;&gt;"",UPPER(TRIM(INDEX(C_Pavement!$D$5:$D$204,$AQ672))),IF($AS672="","",INDEX(E_Rules!$C$5:$C$9,$AS672))))</f>
        <v/>
      </c>
      <c r="AU672" t="str">
        <f>IF($AQ672="","",IF(INDEX(C_Pavement!$E$5:$E$204,$AQ672)&lt;&gt;"",IF(INDEX(C_Pavement!$E$5:$E$204,$AQ672)="-","",INDEX(C_Pavement!$E$5:$E$204,$AQ672)),IF($AS672="","",INDEX(E_Rules!$D$5:$D$9,$AS672))))</f>
        <v/>
      </c>
      <c r="AV672" t="str">
        <f>IF($AQ672="","",IF(INDEX(C_Pavement!$F$5:$F$204,$AQ672)&lt;&gt;"",IF(INDEX(C_Pavement!$F$5:$F$204,$AQ672)="-","",INDEX(C_Pavement!$F$5:$F$204,$AQ672)),IF($AS672="","",INDEX(E_Rules!$E$5:$E$9,$AS672))))</f>
        <v/>
      </c>
      <c r="AW672" t="str">
        <f>IF($AQ672="","",IF(INDEX(C_Pavement!$G$5:$G$204,$AQ672)&lt;&gt;"",IF(INDEX(C_Pavement!$G$5:$G$204,$AQ672)="-","",INDEX(C_Pavement!$G$5:$G$204,$AQ672)),IF($AS672="","",INDEX(E_Rules!$F$5:$F$9,$AS672))))</f>
        <v/>
      </c>
      <c r="AX672" t="str">
        <f>IF($AQ672="","",IF(INDEX(C_Pavement!$H$5:$H$204,$AQ672)&lt;&gt;"",IF(INDEX(C_Pavement!$H$5:$H$204,$AQ672)="-","",INDEX(C_Pavement!$H$5:$H$204,$AQ672)),IF($AS672="","",INDEX(E_Rules!$G$5:$G$9,$AS672))))</f>
        <v/>
      </c>
      <c r="AY672" t="str">
        <f>IF($AQ672="","",IF(INDEX(C_Pavement!$I$5:$I$204,$AQ672)&lt;&gt;"",IF(INDEX(C_Pavement!$I$5:$I$204,$AQ672)="-","",INDEX(C_Pavement!$I$5:$I$204,$AQ672)),IF($AS672="","",INDEX(E_Rules!$H$5:$H$9,$AS672))))</f>
        <v/>
      </c>
    </row>
    <row r="673" spans="1:51" ht="15.75" customHeight="1" x14ac:dyDescent="0.3">
      <c r="A673" s="189">
        <v>668</v>
      </c>
      <c r="B673" s="180">
        <v>33350</v>
      </c>
      <c r="C673" s="180" t="s">
        <v>979</v>
      </c>
      <c r="D673" s="181" t="str">
        <f>IFERROR(LOOKUP(2,1/((A_Corridor!$A$5:$A$204&lt;&gt;"")*(A_Corridor!$A$5:$A$204&lt;=$B673)*(A_Corridor!$B$5:$B$204&gt;$B673)*(A_Corridor!$C$5:$C$204&lt;&gt;"")),IF(UPPER(A_Corridor!$C$5:$C$204)="Y",1,"")),"")</f>
        <v/>
      </c>
      <c r="E673" s="181" t="str">
        <f>IFERROR(LOOKUP(2,1/((A_Corridor!$A$5:$A$204&lt;&gt;"")*(A_Corridor!$A$5:$A$204&lt;=$B673)*(A_Corridor!$B$5:$B$204&gt;$B673)*(A_Corridor!$D$5:$D$204&lt;&gt;"")),IF(A_Corridor!$D$5:$D$204="-","",UPPER(A_Corridor!$D$5:$D$204))),"")</f>
        <v/>
      </c>
      <c r="F673" s="181" t="str">
        <f>IFERROR(LOOKUP(2,1/((A_Corridor!$A$5:$A$204&lt;&gt;"")*(A_Corridor!$A$5:$A$204&lt;=$B673)*(A_Corridor!$B$5:$B$204&gt;$B673)*(A_Corridor!$E$5:$E$204&lt;&gt;"")),IF(A_Corridor!$E$5:$E$204="-","",1)),"")</f>
        <v/>
      </c>
      <c r="G673" s="182" t="str">
        <f>IFERROR(LOOKUP(2,1/((A_Corridor!$A$5:$A$204&lt;&gt;"")*(A_Corridor!$A$5:$A$204&lt;=$B673)*(A_Corridor!$B$5:$B$204&gt;$B673)*(A_Corridor!$E$5:$E$204&lt;&gt;"")),IF(A_Corridor!$E$5:$E$204="-","",A_Corridor!$E$5:$E$204)),"")</f>
        <v/>
      </c>
      <c r="H673" s="182" t="str">
        <f>IFERROR(LOOKUP(2,1/((D_Points!$A$5:$A$204&lt;&gt;"")*(D_Points!$A$5:$A$204&gt;=$B673)*(D_Points!$A$5:$A$204&lt;$B673+P_Interval)*(UPPER(TRIM(D_Points!$B$5:$B$204))="GULLY")*(D_Points!$H$5:$H$204&lt;&gt;"")),D_Points!$H$5:$H$204),"")</f>
        <v/>
      </c>
      <c r="I673" s="181" t="str">
        <f>IFERROR(LOOKUP(2,1/((A_Corridor!$A$5:$A$204&lt;&gt;"")*(A_Corridor!$A$5:$A$204&lt;=$B673)*(A_Corridor!$B$5:$B$204&gt;$B673)*(A_Corridor!$F$5:$F$204&lt;&gt;"")),IF(A_Corridor!$F$5:$F$204="-","",1)),"")</f>
        <v/>
      </c>
      <c r="J673" s="182" t="str">
        <f>IFERROR(LOOKUP(2,1/((A_Corridor!$A$5:$A$204&lt;&gt;"")*(A_Corridor!$A$5:$A$204&lt;=$B673)*(A_Corridor!$B$5:$B$204&gt;$B673)*(A_Corridor!$F$5:$F$204&lt;&gt;"")),IF(A_Corridor!$F$5:$F$204="-","",A_Corridor!$F$5:$F$204)),"")</f>
        <v/>
      </c>
      <c r="K673" s="182" t="str">
        <f>IFERROR(LOOKUP(2,1/((A_Corridor!$A$5:$A$204&lt;&gt;"")*(A_Corridor!$A$5:$A$204&lt;=$B673)*(A_Corridor!$B$5:$B$204&gt;$B673)*(A_Corridor!$G$5:$G$204&lt;&gt;"")),IF(A_Corridor!$G$5:$G$204="-","",A_Corridor!$G$5:$G$204)),"")</f>
        <v/>
      </c>
      <c r="L673" s="181" t="str">
        <f>IFERROR(LOOKUP(2,1/((A_Corridor!$A$5:$A$204&lt;&gt;"")*(A_Corridor!$A$5:$A$204&lt;=$B673)*(A_Corridor!$B$5:$B$204&gt;$B673)*(A_Corridor!$H$5:$H$204&lt;&gt;"")),IF(A_Corridor!$H$5:$H$204="-","",1)),"")</f>
        <v/>
      </c>
      <c r="M673" s="182" t="str">
        <f>IFERROR(LOOKUP(2,1/((A_Corridor!$A$5:$A$204&lt;&gt;"")*(A_Corridor!$A$5:$A$204&lt;=$B673)*(A_Corridor!$B$5:$B$204&gt;$B673)*(A_Corridor!$H$5:$H$204&lt;&gt;"")),IF(A_Corridor!$H$5:$H$204="-","",A_Corridor!$H$5:$H$204)),"")</f>
        <v/>
      </c>
      <c r="N673" s="182" t="str">
        <f>IFERROR(LOOKUP(2,1/((A_Corridor!$A$5:$A$204&lt;&gt;"")*(A_Corridor!$A$5:$A$204&lt;=$B673)*(A_Corridor!$B$5:$B$204&gt;$B673)*(A_Corridor!$I$5:$I$204&lt;&gt;"")),IF(A_Corridor!$I$5:$I$204="-","",A_Corridor!$I$5:$I$204)),"")</f>
        <v/>
      </c>
      <c r="O673" s="182" t="str">
        <f>IFERROR(LOOKUP(2,1/((D_Points!$A$5:$A$204&lt;&gt;"")*(D_Points!$A$5:$A$204&gt;=$B673)*(D_Points!$A$5:$A$204&lt;$B673+P_Interval)*(UPPER(TRIM(D_Points!$B$5:$B$204))="PITCHING")*(D_Points!$H$5:$H$204&lt;&gt;"")),D_Points!$H$5:$H$204),"")</f>
        <v/>
      </c>
      <c r="P673" s="181" t="str">
        <f>IFERROR(LOOKUP(2,1/((B_Drainage!$A$5:$A$204&lt;&gt;"")*(B_Drainage!$A$5:$A$204&lt;=$B673)*(B_Drainage!$B$5:$B$204&gt;$B673)*(B_Drainage!$C$5:$C$204&lt;&gt;"")),IF(B_Drainage!$C$5:$C$204="-","",UPPER(B_Drainage!$C$5:$C$204))),"")</f>
        <v/>
      </c>
      <c r="Q673" s="181" t="str">
        <f>IFERROR(LOOKUP(2,1/((B_Drainage!$A$5:$A$204&lt;&gt;"")*(B_Drainage!$A$5:$A$204&lt;=$B673)*(B_Drainage!$B$5:$B$204&gt;$B673)*(B_Drainage!$D$5:$D$204&lt;&gt;"")),IF(B_Drainage!$D$5:$D$204="-","",UPPER(B_Drainage!$D$5:$D$204))),"")</f>
        <v/>
      </c>
      <c r="R673" s="182" t="str">
        <f>IFERROR(LOOKUP(2,1/((D_Points!$A$5:$A$204&lt;&gt;"")*(D_Points!$A$5:$A$204&gt;=$B673)*(D_Points!$A$5:$A$204&lt;$B673+P_Interval)*(RIGHT(UPPER(TRIM(D_Points!$B$5:$B$204)),8)="_CULVERT")),IF(LEFT(UPPER(TRIM(D_Points!$B$5:$B$204)),2)="EX",1,IF(LEFT(UPPER(TRIM(D_Points!$B$5:$B$204)),2)="PR",2,3))),"")</f>
        <v/>
      </c>
      <c r="S673" s="182" t="str">
        <f>IFERROR(LOOKUP(2,1/((D_Points!$A$5:$A$204&lt;&gt;"")*(D_Points!$A$5:$A$204&gt;=$B673)*(D_Points!$A$5:$A$204&lt;$B673+P_Interval)*(RIGHT(UPPER(TRIM(D_Points!$B$5:$B$204)),7)="_BRIDGE")),IF(LEFT(UPPER(TRIM(D_Points!$B$5:$B$204)),2)="EX",1,IF(LEFT(UPPER(TRIM(D_Points!$B$5:$B$204)),2)="PR",2,2))),"")</f>
        <v/>
      </c>
      <c r="T673" s="181" t="str">
        <f>IFERROR(LOOKUP(2,1/((B_Drainage!$A$5:$A$204&lt;&gt;"")*(B_Drainage!$A$5:$A$204&lt;=$B673)*(B_Drainage!$B$5:$B$204&gt;$B673)*(B_Drainage!$E$5:$E$204&lt;&gt;"")),IF(B_Drainage!$E$5:$E$204="-","",1)),"")</f>
        <v/>
      </c>
      <c r="U673" s="181" t="str">
        <f>IFERROR(LOOKUP(2,1/((B_Drainage!$A$5:$A$204&lt;&gt;"")*(B_Drainage!$A$5:$A$204&lt;=$B673)*(B_Drainage!$B$5:$B$204&gt;$B673)*(B_Drainage!$E$5:$E$204&lt;&gt;"")),IF(B_Drainage!$E$5:$E$204="-","",B_Drainage!$E$5:$E$204)),"")</f>
        <v/>
      </c>
      <c r="V673" s="181" t="str">
        <f>IFERROR(LOOKUP(2,1/((B_Drainage!$A$5:$A$204&lt;&gt;"")*(B_Drainage!$A$5:$A$204&lt;=$B673)*(B_Drainage!$B$5:$B$204&gt;$B673)*(B_Drainage!$F$5:$F$204&lt;&gt;"")),IF(B_Drainage!$F$5:$F$204="-","",1)),"")</f>
        <v/>
      </c>
      <c r="W673" s="181" t="str">
        <f>IFERROR(LOOKUP(2,1/((B_Drainage!$A$5:$A$204&lt;&gt;"")*(B_Drainage!$A$5:$A$204&lt;=$B673)*(B_Drainage!$B$5:$B$204&gt;$B673)*(B_Drainage!$F$5:$F$204&lt;&gt;"")),IF(B_Drainage!$F$5:$F$204="-","",B_Drainage!$F$5:$F$204)),"")</f>
        <v/>
      </c>
      <c r="X673" s="181" t="str">
        <f>IFERROR(LOOKUP(2,1/((B_Drainage!$A$5:$A$204&lt;&gt;"")*(B_Drainage!$A$5:$A$204&lt;=$B673)*(B_Drainage!$B$5:$B$204&gt;$B673)*(B_Drainage!$G$5:$G$204&lt;&gt;"")),IF(UPPER(B_Drainage!$G$5:$G$204)="Y",1,"")),"")</f>
        <v/>
      </c>
      <c r="Y673" s="181" t="str">
        <f>IFERROR(LOOKUP(2,1/((B_Drainage!$A$5:$A$204&lt;&gt;"")*(B_Drainage!$A$5:$A$204&lt;=$B673)*(B_Drainage!$B$5:$B$204&gt;$B673)*(B_Drainage!$H$5:$H$204&lt;&gt;"")),IF(UPPER(B_Drainage!$H$5:$H$204)="Y",1,"")),"")</f>
        <v/>
      </c>
      <c r="Z673" s="181" t="str">
        <f>IFERROR(LOOKUP(2,1/((B_Drainage!$A$5:$A$204&lt;&gt;"")*(B_Drainage!$A$5:$A$204&lt;=$B673)*(B_Drainage!$B$5:$B$204&gt;$B673)*(B_Drainage!$I$5:$I$204&lt;&gt;"")),IF(UPPER(B_Drainage!$I$5:$I$204)="Y",1,"")),"")</f>
        <v/>
      </c>
      <c r="AA673" s="181" t="str">
        <f>IFERROR(LOOKUP(2,1/((B_Drainage!$A$5:$A$204&lt;&gt;"")*(B_Drainage!$A$5:$A$204&lt;=$B673)*(B_Drainage!$B$5:$B$204&gt;$B673)*(B_Drainage!$J$5:$J$204&lt;&gt;"")),IF(UPPER(B_Drainage!$J$5:$J$204)="Y",1,"")),"")</f>
        <v/>
      </c>
      <c r="AB673" s="182" t="str">
        <f>IFERROR(LOOKUP(2,1/((B_Drainage!$A$5:$A$204&lt;&gt;"")*(B_Drainage!$A$5:$A$204&lt;=$B673)*(B_Drainage!$B$5:$B$204&gt;$B673)*(B_Drainage!$K$5:$K$204&lt;&gt;"")),IF(B_Drainage!$K$5:$K$204="-","",B_Drainage!$K$5:$K$204)),"")</f>
        <v/>
      </c>
      <c r="AC673" s="182" t="str">
        <f>IFERROR(LOOKUP(2,1/((B_Drainage!$A$5:$A$204&lt;&gt;"")*(B_Drainage!$A$5:$A$204&lt;=$B673)*(B_Drainage!$B$5:$B$204&gt;$B673)*(B_Drainage!$L$5:$L$204&lt;&gt;"")),IF(B_Drainage!$L$5:$L$204="-","",B_Drainage!$L$5:$L$204)),"")</f>
        <v/>
      </c>
      <c r="AD673" s="182" t="str">
        <f>IFERROR(LOOKUP(2,1/((D_Points!$A$5:$A$204&lt;&gt;"")*(D_Points!$A$5:$A$204&gt;=$B673)*(D_Points!$A$5:$A$204&lt;$B673+P_Interval)*(UPPER(TRIM(D_Points!$B$5:$B$204))="TURNOUT_L")*(D_Points!$H$5:$H$204&lt;&gt;"")),D_Points!$H$5:$H$204),"")</f>
        <v/>
      </c>
      <c r="AE673" s="182" t="str">
        <f>IFERROR(LOOKUP(2,1/((D_Points!$A$5:$A$204&lt;&gt;"")*(D_Points!$A$5:$A$204&gt;=$B673)*(D_Points!$A$5:$A$204&lt;$B673+P_Interval)*(UPPER(TRIM(D_Points!$B$5:$B$204))="TURNOUT_R")*(D_Points!$H$5:$H$204&lt;&gt;"")),D_Points!$H$5:$H$204),"")</f>
        <v/>
      </c>
      <c r="AF673" s="181" t="str">
        <f>IFERROR(LOOKUP(2,1/((B_Drainage!$A$5:$A$204&lt;&gt;"")*(B_Drainage!$A$5:$A$204&lt;=$B673)*(B_Drainage!$B$5:$B$204&gt;$B673)*(B_Drainage!$M$5:$M$204&lt;&gt;"")),IF(UPPER(B_Drainage!$M$5:$M$204)="Y",1,"")),"")</f>
        <v/>
      </c>
      <c r="AG673" s="181" t="str">
        <f>IFERROR(LOOKUP(2,1/((B_Drainage!$A$5:$A$204&lt;&gt;"")*(B_Drainage!$A$5:$A$204&lt;=$B673)*(B_Drainage!$B$5:$B$204&gt;$B673)*(B_Drainage!$N$5:$N$204&lt;&gt;"")),IF(UPPER(B_Drainage!$N$5:$N$204)="Y",1,"")),"")</f>
        <v/>
      </c>
      <c r="AH673" s="181" t="str">
        <f t="shared" si="80"/>
        <v/>
      </c>
      <c r="AI673" s="181" t="str">
        <f t="shared" si="81"/>
        <v/>
      </c>
      <c r="AJ673" s="181" t="str">
        <f t="shared" si="82"/>
        <v/>
      </c>
      <c r="AK673" s="181" t="str">
        <f t="shared" si="83"/>
        <v/>
      </c>
      <c r="AL673" s="181" t="str">
        <f t="shared" si="84"/>
        <v/>
      </c>
      <c r="AM673" s="181" t="str">
        <f t="shared" si="85"/>
        <v/>
      </c>
      <c r="AN673" s="181" t="str">
        <f t="shared" si="86"/>
        <v/>
      </c>
      <c r="AO673" s="192" t="str">
        <f t="shared" si="87"/>
        <v/>
      </c>
      <c r="AQ673" t="str">
        <f>IFERROR(LOOKUP(2,1/((C_Pavement!$A$5:$A$204&lt;&gt;"")*(C_Pavement!$A$5:$A$204&lt;=$B673)*(C_Pavement!$B$5:$B$204&gt;$B673)*(C_Pavement!$C$5:$C$204&lt;&gt;"")),ROW(C_Pavement!$C$5:$C$204)-4),"")</f>
        <v/>
      </c>
      <c r="AR673" t="str">
        <f>IF($AQ673="","",UPPER(TRIM(INDEX(C_Pavement!$C$5:$C$204,$AQ673))))</f>
        <v/>
      </c>
      <c r="AS673" t="str">
        <f>IF($AR673="","",IFERROR(MATCH($AR673,E_Rules!$A$5:$A$9,0),""))</f>
        <v/>
      </c>
      <c r="AT673" t="str">
        <f>IF($AQ673="","",IF(INDEX(C_Pavement!$D$5:$D$204,$AQ673)&lt;&gt;"",UPPER(TRIM(INDEX(C_Pavement!$D$5:$D$204,$AQ673))),IF($AS673="","",INDEX(E_Rules!$C$5:$C$9,$AS673))))</f>
        <v/>
      </c>
      <c r="AU673" t="str">
        <f>IF($AQ673="","",IF(INDEX(C_Pavement!$E$5:$E$204,$AQ673)&lt;&gt;"",IF(INDEX(C_Pavement!$E$5:$E$204,$AQ673)="-","",INDEX(C_Pavement!$E$5:$E$204,$AQ673)),IF($AS673="","",INDEX(E_Rules!$D$5:$D$9,$AS673))))</f>
        <v/>
      </c>
      <c r="AV673" t="str">
        <f>IF($AQ673="","",IF(INDEX(C_Pavement!$F$5:$F$204,$AQ673)&lt;&gt;"",IF(INDEX(C_Pavement!$F$5:$F$204,$AQ673)="-","",INDEX(C_Pavement!$F$5:$F$204,$AQ673)),IF($AS673="","",INDEX(E_Rules!$E$5:$E$9,$AS673))))</f>
        <v/>
      </c>
      <c r="AW673" t="str">
        <f>IF($AQ673="","",IF(INDEX(C_Pavement!$G$5:$G$204,$AQ673)&lt;&gt;"",IF(INDEX(C_Pavement!$G$5:$G$204,$AQ673)="-","",INDEX(C_Pavement!$G$5:$G$204,$AQ673)),IF($AS673="","",INDEX(E_Rules!$F$5:$F$9,$AS673))))</f>
        <v/>
      </c>
      <c r="AX673" t="str">
        <f>IF($AQ673="","",IF(INDEX(C_Pavement!$H$5:$H$204,$AQ673)&lt;&gt;"",IF(INDEX(C_Pavement!$H$5:$H$204,$AQ673)="-","",INDEX(C_Pavement!$H$5:$H$204,$AQ673)),IF($AS673="","",INDEX(E_Rules!$G$5:$G$9,$AS673))))</f>
        <v/>
      </c>
      <c r="AY673" t="str">
        <f>IF($AQ673="","",IF(INDEX(C_Pavement!$I$5:$I$204,$AQ673)&lt;&gt;"",IF(INDEX(C_Pavement!$I$5:$I$204,$AQ673)="-","",INDEX(C_Pavement!$I$5:$I$204,$AQ673)),IF($AS673="","",INDEX(E_Rules!$H$5:$H$9,$AS673))))</f>
        <v/>
      </c>
    </row>
    <row r="674" spans="1:51" ht="15.75" customHeight="1" x14ac:dyDescent="0.3">
      <c r="A674" s="189">
        <v>669</v>
      </c>
      <c r="B674" s="180">
        <v>33400</v>
      </c>
      <c r="C674" s="180" t="s">
        <v>980</v>
      </c>
      <c r="D674" s="181" t="str">
        <f>IFERROR(LOOKUP(2,1/((A_Corridor!$A$5:$A$204&lt;&gt;"")*(A_Corridor!$A$5:$A$204&lt;=$B674)*(A_Corridor!$B$5:$B$204&gt;$B674)*(A_Corridor!$C$5:$C$204&lt;&gt;"")),IF(UPPER(A_Corridor!$C$5:$C$204)="Y",1,"")),"")</f>
        <v/>
      </c>
      <c r="E674" s="181" t="str">
        <f>IFERROR(LOOKUP(2,1/((A_Corridor!$A$5:$A$204&lt;&gt;"")*(A_Corridor!$A$5:$A$204&lt;=$B674)*(A_Corridor!$B$5:$B$204&gt;$B674)*(A_Corridor!$D$5:$D$204&lt;&gt;"")),IF(A_Corridor!$D$5:$D$204="-","",UPPER(A_Corridor!$D$5:$D$204))),"")</f>
        <v/>
      </c>
      <c r="F674" s="181" t="str">
        <f>IFERROR(LOOKUP(2,1/((A_Corridor!$A$5:$A$204&lt;&gt;"")*(A_Corridor!$A$5:$A$204&lt;=$B674)*(A_Corridor!$B$5:$B$204&gt;$B674)*(A_Corridor!$E$5:$E$204&lt;&gt;"")),IF(A_Corridor!$E$5:$E$204="-","",1)),"")</f>
        <v/>
      </c>
      <c r="G674" s="182" t="str">
        <f>IFERROR(LOOKUP(2,1/((A_Corridor!$A$5:$A$204&lt;&gt;"")*(A_Corridor!$A$5:$A$204&lt;=$B674)*(A_Corridor!$B$5:$B$204&gt;$B674)*(A_Corridor!$E$5:$E$204&lt;&gt;"")),IF(A_Corridor!$E$5:$E$204="-","",A_Corridor!$E$5:$E$204)),"")</f>
        <v/>
      </c>
      <c r="H674" s="182" t="str">
        <f>IFERROR(LOOKUP(2,1/((D_Points!$A$5:$A$204&lt;&gt;"")*(D_Points!$A$5:$A$204&gt;=$B674)*(D_Points!$A$5:$A$204&lt;$B674+P_Interval)*(UPPER(TRIM(D_Points!$B$5:$B$204))="GULLY")*(D_Points!$H$5:$H$204&lt;&gt;"")),D_Points!$H$5:$H$204),"")</f>
        <v/>
      </c>
      <c r="I674" s="181" t="str">
        <f>IFERROR(LOOKUP(2,1/((A_Corridor!$A$5:$A$204&lt;&gt;"")*(A_Corridor!$A$5:$A$204&lt;=$B674)*(A_Corridor!$B$5:$B$204&gt;$B674)*(A_Corridor!$F$5:$F$204&lt;&gt;"")),IF(A_Corridor!$F$5:$F$204="-","",1)),"")</f>
        <v/>
      </c>
      <c r="J674" s="182" t="str">
        <f>IFERROR(LOOKUP(2,1/((A_Corridor!$A$5:$A$204&lt;&gt;"")*(A_Corridor!$A$5:$A$204&lt;=$B674)*(A_Corridor!$B$5:$B$204&gt;$B674)*(A_Corridor!$F$5:$F$204&lt;&gt;"")),IF(A_Corridor!$F$5:$F$204="-","",A_Corridor!$F$5:$F$204)),"")</f>
        <v/>
      </c>
      <c r="K674" s="182" t="str">
        <f>IFERROR(LOOKUP(2,1/((A_Corridor!$A$5:$A$204&lt;&gt;"")*(A_Corridor!$A$5:$A$204&lt;=$B674)*(A_Corridor!$B$5:$B$204&gt;$B674)*(A_Corridor!$G$5:$G$204&lt;&gt;"")),IF(A_Corridor!$G$5:$G$204="-","",A_Corridor!$G$5:$G$204)),"")</f>
        <v/>
      </c>
      <c r="L674" s="181" t="str">
        <f>IFERROR(LOOKUP(2,1/((A_Corridor!$A$5:$A$204&lt;&gt;"")*(A_Corridor!$A$5:$A$204&lt;=$B674)*(A_Corridor!$B$5:$B$204&gt;$B674)*(A_Corridor!$H$5:$H$204&lt;&gt;"")),IF(A_Corridor!$H$5:$H$204="-","",1)),"")</f>
        <v/>
      </c>
      <c r="M674" s="182" t="str">
        <f>IFERROR(LOOKUP(2,1/((A_Corridor!$A$5:$A$204&lt;&gt;"")*(A_Corridor!$A$5:$A$204&lt;=$B674)*(A_Corridor!$B$5:$B$204&gt;$B674)*(A_Corridor!$H$5:$H$204&lt;&gt;"")),IF(A_Corridor!$H$5:$H$204="-","",A_Corridor!$H$5:$H$204)),"")</f>
        <v/>
      </c>
      <c r="N674" s="182" t="str">
        <f>IFERROR(LOOKUP(2,1/((A_Corridor!$A$5:$A$204&lt;&gt;"")*(A_Corridor!$A$5:$A$204&lt;=$B674)*(A_Corridor!$B$5:$B$204&gt;$B674)*(A_Corridor!$I$5:$I$204&lt;&gt;"")),IF(A_Corridor!$I$5:$I$204="-","",A_Corridor!$I$5:$I$204)),"")</f>
        <v/>
      </c>
      <c r="O674" s="182" t="str">
        <f>IFERROR(LOOKUP(2,1/((D_Points!$A$5:$A$204&lt;&gt;"")*(D_Points!$A$5:$A$204&gt;=$B674)*(D_Points!$A$5:$A$204&lt;$B674+P_Interval)*(UPPER(TRIM(D_Points!$B$5:$B$204))="PITCHING")*(D_Points!$H$5:$H$204&lt;&gt;"")),D_Points!$H$5:$H$204),"")</f>
        <v/>
      </c>
      <c r="P674" s="181" t="str">
        <f>IFERROR(LOOKUP(2,1/((B_Drainage!$A$5:$A$204&lt;&gt;"")*(B_Drainage!$A$5:$A$204&lt;=$B674)*(B_Drainage!$B$5:$B$204&gt;$B674)*(B_Drainage!$C$5:$C$204&lt;&gt;"")),IF(B_Drainage!$C$5:$C$204="-","",UPPER(B_Drainage!$C$5:$C$204))),"")</f>
        <v/>
      </c>
      <c r="Q674" s="181" t="str">
        <f>IFERROR(LOOKUP(2,1/((B_Drainage!$A$5:$A$204&lt;&gt;"")*(B_Drainage!$A$5:$A$204&lt;=$B674)*(B_Drainage!$B$5:$B$204&gt;$B674)*(B_Drainage!$D$5:$D$204&lt;&gt;"")),IF(B_Drainage!$D$5:$D$204="-","",UPPER(B_Drainage!$D$5:$D$204))),"")</f>
        <v/>
      </c>
      <c r="R674" s="182" t="str">
        <f>IFERROR(LOOKUP(2,1/((D_Points!$A$5:$A$204&lt;&gt;"")*(D_Points!$A$5:$A$204&gt;=$B674)*(D_Points!$A$5:$A$204&lt;$B674+P_Interval)*(RIGHT(UPPER(TRIM(D_Points!$B$5:$B$204)),8)="_CULVERT")),IF(LEFT(UPPER(TRIM(D_Points!$B$5:$B$204)),2)="EX",1,IF(LEFT(UPPER(TRIM(D_Points!$B$5:$B$204)),2)="PR",2,3))),"")</f>
        <v/>
      </c>
      <c r="S674" s="182" t="str">
        <f>IFERROR(LOOKUP(2,1/((D_Points!$A$5:$A$204&lt;&gt;"")*(D_Points!$A$5:$A$204&gt;=$B674)*(D_Points!$A$5:$A$204&lt;$B674+P_Interval)*(RIGHT(UPPER(TRIM(D_Points!$B$5:$B$204)),7)="_BRIDGE")),IF(LEFT(UPPER(TRIM(D_Points!$B$5:$B$204)),2)="EX",1,IF(LEFT(UPPER(TRIM(D_Points!$B$5:$B$204)),2)="PR",2,2))),"")</f>
        <v/>
      </c>
      <c r="T674" s="181" t="str">
        <f>IFERROR(LOOKUP(2,1/((B_Drainage!$A$5:$A$204&lt;&gt;"")*(B_Drainage!$A$5:$A$204&lt;=$B674)*(B_Drainage!$B$5:$B$204&gt;$B674)*(B_Drainage!$E$5:$E$204&lt;&gt;"")),IF(B_Drainage!$E$5:$E$204="-","",1)),"")</f>
        <v/>
      </c>
      <c r="U674" s="181" t="str">
        <f>IFERROR(LOOKUP(2,1/((B_Drainage!$A$5:$A$204&lt;&gt;"")*(B_Drainage!$A$5:$A$204&lt;=$B674)*(B_Drainage!$B$5:$B$204&gt;$B674)*(B_Drainage!$E$5:$E$204&lt;&gt;"")),IF(B_Drainage!$E$5:$E$204="-","",B_Drainage!$E$5:$E$204)),"")</f>
        <v/>
      </c>
      <c r="V674" s="181" t="str">
        <f>IFERROR(LOOKUP(2,1/((B_Drainage!$A$5:$A$204&lt;&gt;"")*(B_Drainage!$A$5:$A$204&lt;=$B674)*(B_Drainage!$B$5:$B$204&gt;$B674)*(B_Drainage!$F$5:$F$204&lt;&gt;"")),IF(B_Drainage!$F$5:$F$204="-","",1)),"")</f>
        <v/>
      </c>
      <c r="W674" s="181" t="str">
        <f>IFERROR(LOOKUP(2,1/((B_Drainage!$A$5:$A$204&lt;&gt;"")*(B_Drainage!$A$5:$A$204&lt;=$B674)*(B_Drainage!$B$5:$B$204&gt;$B674)*(B_Drainage!$F$5:$F$204&lt;&gt;"")),IF(B_Drainage!$F$5:$F$204="-","",B_Drainage!$F$5:$F$204)),"")</f>
        <v/>
      </c>
      <c r="X674" s="181" t="str">
        <f>IFERROR(LOOKUP(2,1/((B_Drainage!$A$5:$A$204&lt;&gt;"")*(B_Drainage!$A$5:$A$204&lt;=$B674)*(B_Drainage!$B$5:$B$204&gt;$B674)*(B_Drainage!$G$5:$G$204&lt;&gt;"")),IF(UPPER(B_Drainage!$G$5:$G$204)="Y",1,"")),"")</f>
        <v/>
      </c>
      <c r="Y674" s="181" t="str">
        <f>IFERROR(LOOKUP(2,1/((B_Drainage!$A$5:$A$204&lt;&gt;"")*(B_Drainage!$A$5:$A$204&lt;=$B674)*(B_Drainage!$B$5:$B$204&gt;$B674)*(B_Drainage!$H$5:$H$204&lt;&gt;"")),IF(UPPER(B_Drainage!$H$5:$H$204)="Y",1,"")),"")</f>
        <v/>
      </c>
      <c r="Z674" s="181" t="str">
        <f>IFERROR(LOOKUP(2,1/((B_Drainage!$A$5:$A$204&lt;&gt;"")*(B_Drainage!$A$5:$A$204&lt;=$B674)*(B_Drainage!$B$5:$B$204&gt;$B674)*(B_Drainage!$I$5:$I$204&lt;&gt;"")),IF(UPPER(B_Drainage!$I$5:$I$204)="Y",1,"")),"")</f>
        <v/>
      </c>
      <c r="AA674" s="181" t="str">
        <f>IFERROR(LOOKUP(2,1/((B_Drainage!$A$5:$A$204&lt;&gt;"")*(B_Drainage!$A$5:$A$204&lt;=$B674)*(B_Drainage!$B$5:$B$204&gt;$B674)*(B_Drainage!$J$5:$J$204&lt;&gt;"")),IF(UPPER(B_Drainage!$J$5:$J$204)="Y",1,"")),"")</f>
        <v/>
      </c>
      <c r="AB674" s="182" t="str">
        <f>IFERROR(LOOKUP(2,1/((B_Drainage!$A$5:$A$204&lt;&gt;"")*(B_Drainage!$A$5:$A$204&lt;=$B674)*(B_Drainage!$B$5:$B$204&gt;$B674)*(B_Drainage!$K$5:$K$204&lt;&gt;"")),IF(B_Drainage!$K$5:$K$204="-","",B_Drainage!$K$5:$K$204)),"")</f>
        <v/>
      </c>
      <c r="AC674" s="182" t="str">
        <f>IFERROR(LOOKUP(2,1/((B_Drainage!$A$5:$A$204&lt;&gt;"")*(B_Drainage!$A$5:$A$204&lt;=$B674)*(B_Drainage!$B$5:$B$204&gt;$B674)*(B_Drainage!$L$5:$L$204&lt;&gt;"")),IF(B_Drainage!$L$5:$L$204="-","",B_Drainage!$L$5:$L$204)),"")</f>
        <v/>
      </c>
      <c r="AD674" s="182" t="str">
        <f>IFERROR(LOOKUP(2,1/((D_Points!$A$5:$A$204&lt;&gt;"")*(D_Points!$A$5:$A$204&gt;=$B674)*(D_Points!$A$5:$A$204&lt;$B674+P_Interval)*(UPPER(TRIM(D_Points!$B$5:$B$204))="TURNOUT_L")*(D_Points!$H$5:$H$204&lt;&gt;"")),D_Points!$H$5:$H$204),"")</f>
        <v/>
      </c>
      <c r="AE674" s="182" t="str">
        <f>IFERROR(LOOKUP(2,1/((D_Points!$A$5:$A$204&lt;&gt;"")*(D_Points!$A$5:$A$204&gt;=$B674)*(D_Points!$A$5:$A$204&lt;$B674+P_Interval)*(UPPER(TRIM(D_Points!$B$5:$B$204))="TURNOUT_R")*(D_Points!$H$5:$H$204&lt;&gt;"")),D_Points!$H$5:$H$204),"")</f>
        <v/>
      </c>
      <c r="AF674" s="181" t="str">
        <f>IFERROR(LOOKUP(2,1/((B_Drainage!$A$5:$A$204&lt;&gt;"")*(B_Drainage!$A$5:$A$204&lt;=$B674)*(B_Drainage!$B$5:$B$204&gt;$B674)*(B_Drainage!$M$5:$M$204&lt;&gt;"")),IF(UPPER(B_Drainage!$M$5:$M$204)="Y",1,"")),"")</f>
        <v/>
      </c>
      <c r="AG674" s="181" t="str">
        <f>IFERROR(LOOKUP(2,1/((B_Drainage!$A$5:$A$204&lt;&gt;"")*(B_Drainage!$A$5:$A$204&lt;=$B674)*(B_Drainage!$B$5:$B$204&gt;$B674)*(B_Drainage!$N$5:$N$204&lt;&gt;"")),IF(UPPER(B_Drainage!$N$5:$N$204)="Y",1,"")),"")</f>
        <v/>
      </c>
      <c r="AH674" s="181" t="str">
        <f t="shared" si="80"/>
        <v/>
      </c>
      <c r="AI674" s="181" t="str">
        <f t="shared" si="81"/>
        <v/>
      </c>
      <c r="AJ674" s="181" t="str">
        <f t="shared" si="82"/>
        <v/>
      </c>
      <c r="AK674" s="181" t="str">
        <f t="shared" si="83"/>
        <v/>
      </c>
      <c r="AL674" s="181" t="str">
        <f t="shared" si="84"/>
        <v/>
      </c>
      <c r="AM674" s="181" t="str">
        <f t="shared" si="85"/>
        <v/>
      </c>
      <c r="AN674" s="181" t="str">
        <f t="shared" si="86"/>
        <v/>
      </c>
      <c r="AO674" s="192" t="str">
        <f t="shared" si="87"/>
        <v/>
      </c>
      <c r="AQ674" t="str">
        <f>IFERROR(LOOKUP(2,1/((C_Pavement!$A$5:$A$204&lt;&gt;"")*(C_Pavement!$A$5:$A$204&lt;=$B674)*(C_Pavement!$B$5:$B$204&gt;$B674)*(C_Pavement!$C$5:$C$204&lt;&gt;"")),ROW(C_Pavement!$C$5:$C$204)-4),"")</f>
        <v/>
      </c>
      <c r="AR674" t="str">
        <f>IF($AQ674="","",UPPER(TRIM(INDEX(C_Pavement!$C$5:$C$204,$AQ674))))</f>
        <v/>
      </c>
      <c r="AS674" t="str">
        <f>IF($AR674="","",IFERROR(MATCH($AR674,E_Rules!$A$5:$A$9,0),""))</f>
        <v/>
      </c>
      <c r="AT674" t="str">
        <f>IF($AQ674="","",IF(INDEX(C_Pavement!$D$5:$D$204,$AQ674)&lt;&gt;"",UPPER(TRIM(INDEX(C_Pavement!$D$5:$D$204,$AQ674))),IF($AS674="","",INDEX(E_Rules!$C$5:$C$9,$AS674))))</f>
        <v/>
      </c>
      <c r="AU674" t="str">
        <f>IF($AQ674="","",IF(INDEX(C_Pavement!$E$5:$E$204,$AQ674)&lt;&gt;"",IF(INDEX(C_Pavement!$E$5:$E$204,$AQ674)="-","",INDEX(C_Pavement!$E$5:$E$204,$AQ674)),IF($AS674="","",INDEX(E_Rules!$D$5:$D$9,$AS674))))</f>
        <v/>
      </c>
      <c r="AV674" t="str">
        <f>IF($AQ674="","",IF(INDEX(C_Pavement!$F$5:$F$204,$AQ674)&lt;&gt;"",IF(INDEX(C_Pavement!$F$5:$F$204,$AQ674)="-","",INDEX(C_Pavement!$F$5:$F$204,$AQ674)),IF($AS674="","",INDEX(E_Rules!$E$5:$E$9,$AS674))))</f>
        <v/>
      </c>
      <c r="AW674" t="str">
        <f>IF($AQ674="","",IF(INDEX(C_Pavement!$G$5:$G$204,$AQ674)&lt;&gt;"",IF(INDEX(C_Pavement!$G$5:$G$204,$AQ674)="-","",INDEX(C_Pavement!$G$5:$G$204,$AQ674)),IF($AS674="","",INDEX(E_Rules!$F$5:$F$9,$AS674))))</f>
        <v/>
      </c>
      <c r="AX674" t="str">
        <f>IF($AQ674="","",IF(INDEX(C_Pavement!$H$5:$H$204,$AQ674)&lt;&gt;"",IF(INDEX(C_Pavement!$H$5:$H$204,$AQ674)="-","",INDEX(C_Pavement!$H$5:$H$204,$AQ674)),IF($AS674="","",INDEX(E_Rules!$G$5:$G$9,$AS674))))</f>
        <v/>
      </c>
      <c r="AY674" t="str">
        <f>IF($AQ674="","",IF(INDEX(C_Pavement!$I$5:$I$204,$AQ674)&lt;&gt;"",IF(INDEX(C_Pavement!$I$5:$I$204,$AQ674)="-","",INDEX(C_Pavement!$I$5:$I$204,$AQ674)),IF($AS674="","",INDEX(E_Rules!$H$5:$H$9,$AS674))))</f>
        <v/>
      </c>
    </row>
    <row r="675" spans="1:51" ht="15.75" customHeight="1" x14ac:dyDescent="0.3">
      <c r="A675" s="189">
        <v>670</v>
      </c>
      <c r="B675" s="180">
        <v>33450</v>
      </c>
      <c r="C675" s="180" t="s">
        <v>981</v>
      </c>
      <c r="D675" s="181" t="str">
        <f>IFERROR(LOOKUP(2,1/((A_Corridor!$A$5:$A$204&lt;&gt;"")*(A_Corridor!$A$5:$A$204&lt;=$B675)*(A_Corridor!$B$5:$B$204&gt;$B675)*(A_Corridor!$C$5:$C$204&lt;&gt;"")),IF(UPPER(A_Corridor!$C$5:$C$204)="Y",1,"")),"")</f>
        <v/>
      </c>
      <c r="E675" s="181" t="str">
        <f>IFERROR(LOOKUP(2,1/((A_Corridor!$A$5:$A$204&lt;&gt;"")*(A_Corridor!$A$5:$A$204&lt;=$B675)*(A_Corridor!$B$5:$B$204&gt;$B675)*(A_Corridor!$D$5:$D$204&lt;&gt;"")),IF(A_Corridor!$D$5:$D$204="-","",UPPER(A_Corridor!$D$5:$D$204))),"")</f>
        <v/>
      </c>
      <c r="F675" s="181" t="str">
        <f>IFERROR(LOOKUP(2,1/((A_Corridor!$A$5:$A$204&lt;&gt;"")*(A_Corridor!$A$5:$A$204&lt;=$B675)*(A_Corridor!$B$5:$B$204&gt;$B675)*(A_Corridor!$E$5:$E$204&lt;&gt;"")),IF(A_Corridor!$E$5:$E$204="-","",1)),"")</f>
        <v/>
      </c>
      <c r="G675" s="182" t="str">
        <f>IFERROR(LOOKUP(2,1/((A_Corridor!$A$5:$A$204&lt;&gt;"")*(A_Corridor!$A$5:$A$204&lt;=$B675)*(A_Corridor!$B$5:$B$204&gt;$B675)*(A_Corridor!$E$5:$E$204&lt;&gt;"")),IF(A_Corridor!$E$5:$E$204="-","",A_Corridor!$E$5:$E$204)),"")</f>
        <v/>
      </c>
      <c r="H675" s="182" t="str">
        <f>IFERROR(LOOKUP(2,1/((D_Points!$A$5:$A$204&lt;&gt;"")*(D_Points!$A$5:$A$204&gt;=$B675)*(D_Points!$A$5:$A$204&lt;$B675+P_Interval)*(UPPER(TRIM(D_Points!$B$5:$B$204))="GULLY")*(D_Points!$H$5:$H$204&lt;&gt;"")),D_Points!$H$5:$H$204),"")</f>
        <v/>
      </c>
      <c r="I675" s="181" t="str">
        <f>IFERROR(LOOKUP(2,1/((A_Corridor!$A$5:$A$204&lt;&gt;"")*(A_Corridor!$A$5:$A$204&lt;=$B675)*(A_Corridor!$B$5:$B$204&gt;$B675)*(A_Corridor!$F$5:$F$204&lt;&gt;"")),IF(A_Corridor!$F$5:$F$204="-","",1)),"")</f>
        <v/>
      </c>
      <c r="J675" s="182" t="str">
        <f>IFERROR(LOOKUP(2,1/((A_Corridor!$A$5:$A$204&lt;&gt;"")*(A_Corridor!$A$5:$A$204&lt;=$B675)*(A_Corridor!$B$5:$B$204&gt;$B675)*(A_Corridor!$F$5:$F$204&lt;&gt;"")),IF(A_Corridor!$F$5:$F$204="-","",A_Corridor!$F$5:$F$204)),"")</f>
        <v/>
      </c>
      <c r="K675" s="182" t="str">
        <f>IFERROR(LOOKUP(2,1/((A_Corridor!$A$5:$A$204&lt;&gt;"")*(A_Corridor!$A$5:$A$204&lt;=$B675)*(A_Corridor!$B$5:$B$204&gt;$B675)*(A_Corridor!$G$5:$G$204&lt;&gt;"")),IF(A_Corridor!$G$5:$G$204="-","",A_Corridor!$G$5:$G$204)),"")</f>
        <v/>
      </c>
      <c r="L675" s="181" t="str">
        <f>IFERROR(LOOKUP(2,1/((A_Corridor!$A$5:$A$204&lt;&gt;"")*(A_Corridor!$A$5:$A$204&lt;=$B675)*(A_Corridor!$B$5:$B$204&gt;$B675)*(A_Corridor!$H$5:$H$204&lt;&gt;"")),IF(A_Corridor!$H$5:$H$204="-","",1)),"")</f>
        <v/>
      </c>
      <c r="M675" s="182" t="str">
        <f>IFERROR(LOOKUP(2,1/((A_Corridor!$A$5:$A$204&lt;&gt;"")*(A_Corridor!$A$5:$A$204&lt;=$B675)*(A_Corridor!$B$5:$B$204&gt;$B675)*(A_Corridor!$H$5:$H$204&lt;&gt;"")),IF(A_Corridor!$H$5:$H$204="-","",A_Corridor!$H$5:$H$204)),"")</f>
        <v/>
      </c>
      <c r="N675" s="182" t="str">
        <f>IFERROR(LOOKUP(2,1/((A_Corridor!$A$5:$A$204&lt;&gt;"")*(A_Corridor!$A$5:$A$204&lt;=$B675)*(A_Corridor!$B$5:$B$204&gt;$B675)*(A_Corridor!$I$5:$I$204&lt;&gt;"")),IF(A_Corridor!$I$5:$I$204="-","",A_Corridor!$I$5:$I$204)),"")</f>
        <v/>
      </c>
      <c r="O675" s="182" t="str">
        <f>IFERROR(LOOKUP(2,1/((D_Points!$A$5:$A$204&lt;&gt;"")*(D_Points!$A$5:$A$204&gt;=$B675)*(D_Points!$A$5:$A$204&lt;$B675+P_Interval)*(UPPER(TRIM(D_Points!$B$5:$B$204))="PITCHING")*(D_Points!$H$5:$H$204&lt;&gt;"")),D_Points!$H$5:$H$204),"")</f>
        <v/>
      </c>
      <c r="P675" s="181" t="str">
        <f>IFERROR(LOOKUP(2,1/((B_Drainage!$A$5:$A$204&lt;&gt;"")*(B_Drainage!$A$5:$A$204&lt;=$B675)*(B_Drainage!$B$5:$B$204&gt;$B675)*(B_Drainage!$C$5:$C$204&lt;&gt;"")),IF(B_Drainage!$C$5:$C$204="-","",UPPER(B_Drainage!$C$5:$C$204))),"")</f>
        <v/>
      </c>
      <c r="Q675" s="181" t="str">
        <f>IFERROR(LOOKUP(2,1/((B_Drainage!$A$5:$A$204&lt;&gt;"")*(B_Drainage!$A$5:$A$204&lt;=$B675)*(B_Drainage!$B$5:$B$204&gt;$B675)*(B_Drainage!$D$5:$D$204&lt;&gt;"")),IF(B_Drainage!$D$5:$D$204="-","",UPPER(B_Drainage!$D$5:$D$204))),"")</f>
        <v/>
      </c>
      <c r="R675" s="182" t="str">
        <f>IFERROR(LOOKUP(2,1/((D_Points!$A$5:$A$204&lt;&gt;"")*(D_Points!$A$5:$A$204&gt;=$B675)*(D_Points!$A$5:$A$204&lt;$B675+P_Interval)*(RIGHT(UPPER(TRIM(D_Points!$B$5:$B$204)),8)="_CULVERT")),IF(LEFT(UPPER(TRIM(D_Points!$B$5:$B$204)),2)="EX",1,IF(LEFT(UPPER(TRIM(D_Points!$B$5:$B$204)),2)="PR",2,3))),"")</f>
        <v/>
      </c>
      <c r="S675" s="182" t="str">
        <f>IFERROR(LOOKUP(2,1/((D_Points!$A$5:$A$204&lt;&gt;"")*(D_Points!$A$5:$A$204&gt;=$B675)*(D_Points!$A$5:$A$204&lt;$B675+P_Interval)*(RIGHT(UPPER(TRIM(D_Points!$B$5:$B$204)),7)="_BRIDGE")),IF(LEFT(UPPER(TRIM(D_Points!$B$5:$B$204)),2)="EX",1,IF(LEFT(UPPER(TRIM(D_Points!$B$5:$B$204)),2)="PR",2,2))),"")</f>
        <v/>
      </c>
      <c r="T675" s="181" t="str">
        <f>IFERROR(LOOKUP(2,1/((B_Drainage!$A$5:$A$204&lt;&gt;"")*(B_Drainage!$A$5:$A$204&lt;=$B675)*(B_Drainage!$B$5:$B$204&gt;$B675)*(B_Drainage!$E$5:$E$204&lt;&gt;"")),IF(B_Drainage!$E$5:$E$204="-","",1)),"")</f>
        <v/>
      </c>
      <c r="U675" s="181" t="str">
        <f>IFERROR(LOOKUP(2,1/((B_Drainage!$A$5:$A$204&lt;&gt;"")*(B_Drainage!$A$5:$A$204&lt;=$B675)*(B_Drainage!$B$5:$B$204&gt;$B675)*(B_Drainage!$E$5:$E$204&lt;&gt;"")),IF(B_Drainage!$E$5:$E$204="-","",B_Drainage!$E$5:$E$204)),"")</f>
        <v/>
      </c>
      <c r="V675" s="181" t="str">
        <f>IFERROR(LOOKUP(2,1/((B_Drainage!$A$5:$A$204&lt;&gt;"")*(B_Drainage!$A$5:$A$204&lt;=$B675)*(B_Drainage!$B$5:$B$204&gt;$B675)*(B_Drainage!$F$5:$F$204&lt;&gt;"")),IF(B_Drainage!$F$5:$F$204="-","",1)),"")</f>
        <v/>
      </c>
      <c r="W675" s="181" t="str">
        <f>IFERROR(LOOKUP(2,1/((B_Drainage!$A$5:$A$204&lt;&gt;"")*(B_Drainage!$A$5:$A$204&lt;=$B675)*(B_Drainage!$B$5:$B$204&gt;$B675)*(B_Drainage!$F$5:$F$204&lt;&gt;"")),IF(B_Drainage!$F$5:$F$204="-","",B_Drainage!$F$5:$F$204)),"")</f>
        <v/>
      </c>
      <c r="X675" s="181" t="str">
        <f>IFERROR(LOOKUP(2,1/((B_Drainage!$A$5:$A$204&lt;&gt;"")*(B_Drainage!$A$5:$A$204&lt;=$B675)*(B_Drainage!$B$5:$B$204&gt;$B675)*(B_Drainage!$G$5:$G$204&lt;&gt;"")),IF(UPPER(B_Drainage!$G$5:$G$204)="Y",1,"")),"")</f>
        <v/>
      </c>
      <c r="Y675" s="181" t="str">
        <f>IFERROR(LOOKUP(2,1/((B_Drainage!$A$5:$A$204&lt;&gt;"")*(B_Drainage!$A$5:$A$204&lt;=$B675)*(B_Drainage!$B$5:$B$204&gt;$B675)*(B_Drainage!$H$5:$H$204&lt;&gt;"")),IF(UPPER(B_Drainage!$H$5:$H$204)="Y",1,"")),"")</f>
        <v/>
      </c>
      <c r="Z675" s="181" t="str">
        <f>IFERROR(LOOKUP(2,1/((B_Drainage!$A$5:$A$204&lt;&gt;"")*(B_Drainage!$A$5:$A$204&lt;=$B675)*(B_Drainage!$B$5:$B$204&gt;$B675)*(B_Drainage!$I$5:$I$204&lt;&gt;"")),IF(UPPER(B_Drainage!$I$5:$I$204)="Y",1,"")),"")</f>
        <v/>
      </c>
      <c r="AA675" s="181" t="str">
        <f>IFERROR(LOOKUP(2,1/((B_Drainage!$A$5:$A$204&lt;&gt;"")*(B_Drainage!$A$5:$A$204&lt;=$B675)*(B_Drainage!$B$5:$B$204&gt;$B675)*(B_Drainage!$J$5:$J$204&lt;&gt;"")),IF(UPPER(B_Drainage!$J$5:$J$204)="Y",1,"")),"")</f>
        <v/>
      </c>
      <c r="AB675" s="182" t="str">
        <f>IFERROR(LOOKUP(2,1/((B_Drainage!$A$5:$A$204&lt;&gt;"")*(B_Drainage!$A$5:$A$204&lt;=$B675)*(B_Drainage!$B$5:$B$204&gt;$B675)*(B_Drainage!$K$5:$K$204&lt;&gt;"")),IF(B_Drainage!$K$5:$K$204="-","",B_Drainage!$K$5:$K$204)),"")</f>
        <v/>
      </c>
      <c r="AC675" s="182" t="str">
        <f>IFERROR(LOOKUP(2,1/((B_Drainage!$A$5:$A$204&lt;&gt;"")*(B_Drainage!$A$5:$A$204&lt;=$B675)*(B_Drainage!$B$5:$B$204&gt;$B675)*(B_Drainage!$L$5:$L$204&lt;&gt;"")),IF(B_Drainage!$L$5:$L$204="-","",B_Drainage!$L$5:$L$204)),"")</f>
        <v/>
      </c>
      <c r="AD675" s="182" t="str">
        <f>IFERROR(LOOKUP(2,1/((D_Points!$A$5:$A$204&lt;&gt;"")*(D_Points!$A$5:$A$204&gt;=$B675)*(D_Points!$A$5:$A$204&lt;$B675+P_Interval)*(UPPER(TRIM(D_Points!$B$5:$B$204))="TURNOUT_L")*(D_Points!$H$5:$H$204&lt;&gt;"")),D_Points!$H$5:$H$204),"")</f>
        <v/>
      </c>
      <c r="AE675" s="182" t="str">
        <f>IFERROR(LOOKUP(2,1/((D_Points!$A$5:$A$204&lt;&gt;"")*(D_Points!$A$5:$A$204&gt;=$B675)*(D_Points!$A$5:$A$204&lt;$B675+P_Interval)*(UPPER(TRIM(D_Points!$B$5:$B$204))="TURNOUT_R")*(D_Points!$H$5:$H$204&lt;&gt;"")),D_Points!$H$5:$H$204),"")</f>
        <v/>
      </c>
      <c r="AF675" s="181" t="str">
        <f>IFERROR(LOOKUP(2,1/((B_Drainage!$A$5:$A$204&lt;&gt;"")*(B_Drainage!$A$5:$A$204&lt;=$B675)*(B_Drainage!$B$5:$B$204&gt;$B675)*(B_Drainage!$M$5:$M$204&lt;&gt;"")),IF(UPPER(B_Drainage!$M$5:$M$204)="Y",1,"")),"")</f>
        <v/>
      </c>
      <c r="AG675" s="181" t="str">
        <f>IFERROR(LOOKUP(2,1/((B_Drainage!$A$5:$A$204&lt;&gt;"")*(B_Drainage!$A$5:$A$204&lt;=$B675)*(B_Drainage!$B$5:$B$204&gt;$B675)*(B_Drainage!$N$5:$N$204&lt;&gt;"")),IF(UPPER(B_Drainage!$N$5:$N$204)="Y",1,"")),"")</f>
        <v/>
      </c>
      <c r="AH675" s="181" t="str">
        <f t="shared" si="80"/>
        <v/>
      </c>
      <c r="AI675" s="181" t="str">
        <f t="shared" si="81"/>
        <v/>
      </c>
      <c r="AJ675" s="181" t="str">
        <f t="shared" si="82"/>
        <v/>
      </c>
      <c r="AK675" s="181" t="str">
        <f t="shared" si="83"/>
        <v/>
      </c>
      <c r="AL675" s="181" t="str">
        <f t="shared" si="84"/>
        <v/>
      </c>
      <c r="AM675" s="181" t="str">
        <f t="shared" si="85"/>
        <v/>
      </c>
      <c r="AN675" s="181" t="str">
        <f t="shared" si="86"/>
        <v/>
      </c>
      <c r="AO675" s="192" t="str">
        <f t="shared" si="87"/>
        <v/>
      </c>
      <c r="AQ675" t="str">
        <f>IFERROR(LOOKUP(2,1/((C_Pavement!$A$5:$A$204&lt;&gt;"")*(C_Pavement!$A$5:$A$204&lt;=$B675)*(C_Pavement!$B$5:$B$204&gt;$B675)*(C_Pavement!$C$5:$C$204&lt;&gt;"")),ROW(C_Pavement!$C$5:$C$204)-4),"")</f>
        <v/>
      </c>
      <c r="AR675" t="str">
        <f>IF($AQ675="","",UPPER(TRIM(INDEX(C_Pavement!$C$5:$C$204,$AQ675))))</f>
        <v/>
      </c>
      <c r="AS675" t="str">
        <f>IF($AR675="","",IFERROR(MATCH($AR675,E_Rules!$A$5:$A$9,0),""))</f>
        <v/>
      </c>
      <c r="AT675" t="str">
        <f>IF($AQ675="","",IF(INDEX(C_Pavement!$D$5:$D$204,$AQ675)&lt;&gt;"",UPPER(TRIM(INDEX(C_Pavement!$D$5:$D$204,$AQ675))),IF($AS675="","",INDEX(E_Rules!$C$5:$C$9,$AS675))))</f>
        <v/>
      </c>
      <c r="AU675" t="str">
        <f>IF($AQ675="","",IF(INDEX(C_Pavement!$E$5:$E$204,$AQ675)&lt;&gt;"",IF(INDEX(C_Pavement!$E$5:$E$204,$AQ675)="-","",INDEX(C_Pavement!$E$5:$E$204,$AQ675)),IF($AS675="","",INDEX(E_Rules!$D$5:$D$9,$AS675))))</f>
        <v/>
      </c>
      <c r="AV675" t="str">
        <f>IF($AQ675="","",IF(INDEX(C_Pavement!$F$5:$F$204,$AQ675)&lt;&gt;"",IF(INDEX(C_Pavement!$F$5:$F$204,$AQ675)="-","",INDEX(C_Pavement!$F$5:$F$204,$AQ675)),IF($AS675="","",INDEX(E_Rules!$E$5:$E$9,$AS675))))</f>
        <v/>
      </c>
      <c r="AW675" t="str">
        <f>IF($AQ675="","",IF(INDEX(C_Pavement!$G$5:$G$204,$AQ675)&lt;&gt;"",IF(INDEX(C_Pavement!$G$5:$G$204,$AQ675)="-","",INDEX(C_Pavement!$G$5:$G$204,$AQ675)),IF($AS675="","",INDEX(E_Rules!$F$5:$F$9,$AS675))))</f>
        <v/>
      </c>
      <c r="AX675" t="str">
        <f>IF($AQ675="","",IF(INDEX(C_Pavement!$H$5:$H$204,$AQ675)&lt;&gt;"",IF(INDEX(C_Pavement!$H$5:$H$204,$AQ675)="-","",INDEX(C_Pavement!$H$5:$H$204,$AQ675)),IF($AS675="","",INDEX(E_Rules!$G$5:$G$9,$AS675))))</f>
        <v/>
      </c>
      <c r="AY675" t="str">
        <f>IF($AQ675="","",IF(INDEX(C_Pavement!$I$5:$I$204,$AQ675)&lt;&gt;"",IF(INDEX(C_Pavement!$I$5:$I$204,$AQ675)="-","",INDEX(C_Pavement!$I$5:$I$204,$AQ675)),IF($AS675="","",INDEX(E_Rules!$H$5:$H$9,$AS675))))</f>
        <v/>
      </c>
    </row>
    <row r="676" spans="1:51" ht="15.75" customHeight="1" x14ac:dyDescent="0.3">
      <c r="A676" s="189">
        <v>671</v>
      </c>
      <c r="B676" s="180">
        <v>33500</v>
      </c>
      <c r="C676" s="180" t="s">
        <v>982</v>
      </c>
      <c r="D676" s="181" t="str">
        <f>IFERROR(LOOKUP(2,1/((A_Corridor!$A$5:$A$204&lt;&gt;"")*(A_Corridor!$A$5:$A$204&lt;=$B676)*(A_Corridor!$B$5:$B$204&gt;$B676)*(A_Corridor!$C$5:$C$204&lt;&gt;"")),IF(UPPER(A_Corridor!$C$5:$C$204)="Y",1,"")),"")</f>
        <v/>
      </c>
      <c r="E676" s="181" t="str">
        <f>IFERROR(LOOKUP(2,1/((A_Corridor!$A$5:$A$204&lt;&gt;"")*(A_Corridor!$A$5:$A$204&lt;=$B676)*(A_Corridor!$B$5:$B$204&gt;$B676)*(A_Corridor!$D$5:$D$204&lt;&gt;"")),IF(A_Corridor!$D$5:$D$204="-","",UPPER(A_Corridor!$D$5:$D$204))),"")</f>
        <v/>
      </c>
      <c r="F676" s="181" t="str">
        <f>IFERROR(LOOKUP(2,1/((A_Corridor!$A$5:$A$204&lt;&gt;"")*(A_Corridor!$A$5:$A$204&lt;=$B676)*(A_Corridor!$B$5:$B$204&gt;$B676)*(A_Corridor!$E$5:$E$204&lt;&gt;"")),IF(A_Corridor!$E$5:$E$204="-","",1)),"")</f>
        <v/>
      </c>
      <c r="G676" s="182" t="str">
        <f>IFERROR(LOOKUP(2,1/((A_Corridor!$A$5:$A$204&lt;&gt;"")*(A_Corridor!$A$5:$A$204&lt;=$B676)*(A_Corridor!$B$5:$B$204&gt;$B676)*(A_Corridor!$E$5:$E$204&lt;&gt;"")),IF(A_Corridor!$E$5:$E$204="-","",A_Corridor!$E$5:$E$204)),"")</f>
        <v/>
      </c>
      <c r="H676" s="182" t="str">
        <f>IFERROR(LOOKUP(2,1/((D_Points!$A$5:$A$204&lt;&gt;"")*(D_Points!$A$5:$A$204&gt;=$B676)*(D_Points!$A$5:$A$204&lt;$B676+P_Interval)*(UPPER(TRIM(D_Points!$B$5:$B$204))="GULLY")*(D_Points!$H$5:$H$204&lt;&gt;"")),D_Points!$H$5:$H$204),"")</f>
        <v/>
      </c>
      <c r="I676" s="181" t="str">
        <f>IFERROR(LOOKUP(2,1/((A_Corridor!$A$5:$A$204&lt;&gt;"")*(A_Corridor!$A$5:$A$204&lt;=$B676)*(A_Corridor!$B$5:$B$204&gt;$B676)*(A_Corridor!$F$5:$F$204&lt;&gt;"")),IF(A_Corridor!$F$5:$F$204="-","",1)),"")</f>
        <v/>
      </c>
      <c r="J676" s="182" t="str">
        <f>IFERROR(LOOKUP(2,1/((A_Corridor!$A$5:$A$204&lt;&gt;"")*(A_Corridor!$A$5:$A$204&lt;=$B676)*(A_Corridor!$B$5:$B$204&gt;$B676)*(A_Corridor!$F$5:$F$204&lt;&gt;"")),IF(A_Corridor!$F$5:$F$204="-","",A_Corridor!$F$5:$F$204)),"")</f>
        <v/>
      </c>
      <c r="K676" s="182" t="str">
        <f>IFERROR(LOOKUP(2,1/((A_Corridor!$A$5:$A$204&lt;&gt;"")*(A_Corridor!$A$5:$A$204&lt;=$B676)*(A_Corridor!$B$5:$B$204&gt;$B676)*(A_Corridor!$G$5:$G$204&lt;&gt;"")),IF(A_Corridor!$G$5:$G$204="-","",A_Corridor!$G$5:$G$204)),"")</f>
        <v/>
      </c>
      <c r="L676" s="181" t="str">
        <f>IFERROR(LOOKUP(2,1/((A_Corridor!$A$5:$A$204&lt;&gt;"")*(A_Corridor!$A$5:$A$204&lt;=$B676)*(A_Corridor!$B$5:$B$204&gt;$B676)*(A_Corridor!$H$5:$H$204&lt;&gt;"")),IF(A_Corridor!$H$5:$H$204="-","",1)),"")</f>
        <v/>
      </c>
      <c r="M676" s="182" t="str">
        <f>IFERROR(LOOKUP(2,1/((A_Corridor!$A$5:$A$204&lt;&gt;"")*(A_Corridor!$A$5:$A$204&lt;=$B676)*(A_Corridor!$B$5:$B$204&gt;$B676)*(A_Corridor!$H$5:$H$204&lt;&gt;"")),IF(A_Corridor!$H$5:$H$204="-","",A_Corridor!$H$5:$H$204)),"")</f>
        <v/>
      </c>
      <c r="N676" s="182" t="str">
        <f>IFERROR(LOOKUP(2,1/((A_Corridor!$A$5:$A$204&lt;&gt;"")*(A_Corridor!$A$5:$A$204&lt;=$B676)*(A_Corridor!$B$5:$B$204&gt;$B676)*(A_Corridor!$I$5:$I$204&lt;&gt;"")),IF(A_Corridor!$I$5:$I$204="-","",A_Corridor!$I$5:$I$204)),"")</f>
        <v/>
      </c>
      <c r="O676" s="182" t="str">
        <f>IFERROR(LOOKUP(2,1/((D_Points!$A$5:$A$204&lt;&gt;"")*(D_Points!$A$5:$A$204&gt;=$B676)*(D_Points!$A$5:$A$204&lt;$B676+P_Interval)*(UPPER(TRIM(D_Points!$B$5:$B$204))="PITCHING")*(D_Points!$H$5:$H$204&lt;&gt;"")),D_Points!$H$5:$H$204),"")</f>
        <v/>
      </c>
      <c r="P676" s="181" t="str">
        <f>IFERROR(LOOKUP(2,1/((B_Drainage!$A$5:$A$204&lt;&gt;"")*(B_Drainage!$A$5:$A$204&lt;=$B676)*(B_Drainage!$B$5:$B$204&gt;$B676)*(B_Drainage!$C$5:$C$204&lt;&gt;"")),IF(B_Drainage!$C$5:$C$204="-","",UPPER(B_Drainage!$C$5:$C$204))),"")</f>
        <v/>
      </c>
      <c r="Q676" s="181" t="str">
        <f>IFERROR(LOOKUP(2,1/((B_Drainage!$A$5:$A$204&lt;&gt;"")*(B_Drainage!$A$5:$A$204&lt;=$B676)*(B_Drainage!$B$5:$B$204&gt;$B676)*(B_Drainage!$D$5:$D$204&lt;&gt;"")),IF(B_Drainage!$D$5:$D$204="-","",UPPER(B_Drainage!$D$5:$D$204))),"")</f>
        <v/>
      </c>
      <c r="R676" s="182" t="str">
        <f>IFERROR(LOOKUP(2,1/((D_Points!$A$5:$A$204&lt;&gt;"")*(D_Points!$A$5:$A$204&gt;=$B676)*(D_Points!$A$5:$A$204&lt;$B676+P_Interval)*(RIGHT(UPPER(TRIM(D_Points!$B$5:$B$204)),8)="_CULVERT")),IF(LEFT(UPPER(TRIM(D_Points!$B$5:$B$204)),2)="EX",1,IF(LEFT(UPPER(TRIM(D_Points!$B$5:$B$204)),2)="PR",2,3))),"")</f>
        <v/>
      </c>
      <c r="S676" s="182" t="str">
        <f>IFERROR(LOOKUP(2,1/((D_Points!$A$5:$A$204&lt;&gt;"")*(D_Points!$A$5:$A$204&gt;=$B676)*(D_Points!$A$5:$A$204&lt;$B676+P_Interval)*(RIGHT(UPPER(TRIM(D_Points!$B$5:$B$204)),7)="_BRIDGE")),IF(LEFT(UPPER(TRIM(D_Points!$B$5:$B$204)),2)="EX",1,IF(LEFT(UPPER(TRIM(D_Points!$B$5:$B$204)),2)="PR",2,2))),"")</f>
        <v/>
      </c>
      <c r="T676" s="181" t="str">
        <f>IFERROR(LOOKUP(2,1/((B_Drainage!$A$5:$A$204&lt;&gt;"")*(B_Drainage!$A$5:$A$204&lt;=$B676)*(B_Drainage!$B$5:$B$204&gt;$B676)*(B_Drainage!$E$5:$E$204&lt;&gt;"")),IF(B_Drainage!$E$5:$E$204="-","",1)),"")</f>
        <v/>
      </c>
      <c r="U676" s="181" t="str">
        <f>IFERROR(LOOKUP(2,1/((B_Drainage!$A$5:$A$204&lt;&gt;"")*(B_Drainage!$A$5:$A$204&lt;=$B676)*(B_Drainage!$B$5:$B$204&gt;$B676)*(B_Drainage!$E$5:$E$204&lt;&gt;"")),IF(B_Drainage!$E$5:$E$204="-","",B_Drainage!$E$5:$E$204)),"")</f>
        <v/>
      </c>
      <c r="V676" s="181" t="str">
        <f>IFERROR(LOOKUP(2,1/((B_Drainage!$A$5:$A$204&lt;&gt;"")*(B_Drainage!$A$5:$A$204&lt;=$B676)*(B_Drainage!$B$5:$B$204&gt;$B676)*(B_Drainage!$F$5:$F$204&lt;&gt;"")),IF(B_Drainage!$F$5:$F$204="-","",1)),"")</f>
        <v/>
      </c>
      <c r="W676" s="181" t="str">
        <f>IFERROR(LOOKUP(2,1/((B_Drainage!$A$5:$A$204&lt;&gt;"")*(B_Drainage!$A$5:$A$204&lt;=$B676)*(B_Drainage!$B$5:$B$204&gt;$B676)*(B_Drainage!$F$5:$F$204&lt;&gt;"")),IF(B_Drainage!$F$5:$F$204="-","",B_Drainage!$F$5:$F$204)),"")</f>
        <v/>
      </c>
      <c r="X676" s="181" t="str">
        <f>IFERROR(LOOKUP(2,1/((B_Drainage!$A$5:$A$204&lt;&gt;"")*(B_Drainage!$A$5:$A$204&lt;=$B676)*(B_Drainage!$B$5:$B$204&gt;$B676)*(B_Drainage!$G$5:$G$204&lt;&gt;"")),IF(UPPER(B_Drainage!$G$5:$G$204)="Y",1,"")),"")</f>
        <v/>
      </c>
      <c r="Y676" s="181" t="str">
        <f>IFERROR(LOOKUP(2,1/((B_Drainage!$A$5:$A$204&lt;&gt;"")*(B_Drainage!$A$5:$A$204&lt;=$B676)*(B_Drainage!$B$5:$B$204&gt;$B676)*(B_Drainage!$H$5:$H$204&lt;&gt;"")),IF(UPPER(B_Drainage!$H$5:$H$204)="Y",1,"")),"")</f>
        <v/>
      </c>
      <c r="Z676" s="181" t="str">
        <f>IFERROR(LOOKUP(2,1/((B_Drainage!$A$5:$A$204&lt;&gt;"")*(B_Drainage!$A$5:$A$204&lt;=$B676)*(B_Drainage!$B$5:$B$204&gt;$B676)*(B_Drainage!$I$5:$I$204&lt;&gt;"")),IF(UPPER(B_Drainage!$I$5:$I$204)="Y",1,"")),"")</f>
        <v/>
      </c>
      <c r="AA676" s="181" t="str">
        <f>IFERROR(LOOKUP(2,1/((B_Drainage!$A$5:$A$204&lt;&gt;"")*(B_Drainage!$A$5:$A$204&lt;=$B676)*(B_Drainage!$B$5:$B$204&gt;$B676)*(B_Drainage!$J$5:$J$204&lt;&gt;"")),IF(UPPER(B_Drainage!$J$5:$J$204)="Y",1,"")),"")</f>
        <v/>
      </c>
      <c r="AB676" s="182" t="str">
        <f>IFERROR(LOOKUP(2,1/((B_Drainage!$A$5:$A$204&lt;&gt;"")*(B_Drainage!$A$5:$A$204&lt;=$B676)*(B_Drainage!$B$5:$B$204&gt;$B676)*(B_Drainage!$K$5:$K$204&lt;&gt;"")),IF(B_Drainage!$K$5:$K$204="-","",B_Drainage!$K$5:$K$204)),"")</f>
        <v/>
      </c>
      <c r="AC676" s="182" t="str">
        <f>IFERROR(LOOKUP(2,1/((B_Drainage!$A$5:$A$204&lt;&gt;"")*(B_Drainage!$A$5:$A$204&lt;=$B676)*(B_Drainage!$B$5:$B$204&gt;$B676)*(B_Drainage!$L$5:$L$204&lt;&gt;"")),IF(B_Drainage!$L$5:$L$204="-","",B_Drainage!$L$5:$L$204)),"")</f>
        <v/>
      </c>
      <c r="AD676" s="182" t="str">
        <f>IFERROR(LOOKUP(2,1/((D_Points!$A$5:$A$204&lt;&gt;"")*(D_Points!$A$5:$A$204&gt;=$B676)*(D_Points!$A$5:$A$204&lt;$B676+P_Interval)*(UPPER(TRIM(D_Points!$B$5:$B$204))="TURNOUT_L")*(D_Points!$H$5:$H$204&lt;&gt;"")),D_Points!$H$5:$H$204),"")</f>
        <v/>
      </c>
      <c r="AE676" s="182" t="str">
        <f>IFERROR(LOOKUP(2,1/((D_Points!$A$5:$A$204&lt;&gt;"")*(D_Points!$A$5:$A$204&gt;=$B676)*(D_Points!$A$5:$A$204&lt;$B676+P_Interval)*(UPPER(TRIM(D_Points!$B$5:$B$204))="TURNOUT_R")*(D_Points!$H$5:$H$204&lt;&gt;"")),D_Points!$H$5:$H$204),"")</f>
        <v/>
      </c>
      <c r="AF676" s="181" t="str">
        <f>IFERROR(LOOKUP(2,1/((B_Drainage!$A$5:$A$204&lt;&gt;"")*(B_Drainage!$A$5:$A$204&lt;=$B676)*(B_Drainage!$B$5:$B$204&gt;$B676)*(B_Drainage!$M$5:$M$204&lt;&gt;"")),IF(UPPER(B_Drainage!$M$5:$M$204)="Y",1,"")),"")</f>
        <v/>
      </c>
      <c r="AG676" s="181" t="str">
        <f>IFERROR(LOOKUP(2,1/((B_Drainage!$A$5:$A$204&lt;&gt;"")*(B_Drainage!$A$5:$A$204&lt;=$B676)*(B_Drainage!$B$5:$B$204&gt;$B676)*(B_Drainage!$N$5:$N$204&lt;&gt;"")),IF(UPPER(B_Drainage!$N$5:$N$204)="Y",1,"")),"")</f>
        <v/>
      </c>
      <c r="AH676" s="181" t="str">
        <f t="shared" si="80"/>
        <v/>
      </c>
      <c r="AI676" s="181" t="str">
        <f t="shared" si="81"/>
        <v/>
      </c>
      <c r="AJ676" s="181" t="str">
        <f t="shared" si="82"/>
        <v/>
      </c>
      <c r="AK676" s="181" t="str">
        <f t="shared" si="83"/>
        <v/>
      </c>
      <c r="AL676" s="181" t="str">
        <f t="shared" si="84"/>
        <v/>
      </c>
      <c r="AM676" s="181" t="str">
        <f t="shared" si="85"/>
        <v/>
      </c>
      <c r="AN676" s="181" t="str">
        <f t="shared" si="86"/>
        <v/>
      </c>
      <c r="AO676" s="192" t="str">
        <f t="shared" si="87"/>
        <v/>
      </c>
      <c r="AQ676" t="str">
        <f>IFERROR(LOOKUP(2,1/((C_Pavement!$A$5:$A$204&lt;&gt;"")*(C_Pavement!$A$5:$A$204&lt;=$B676)*(C_Pavement!$B$5:$B$204&gt;$B676)*(C_Pavement!$C$5:$C$204&lt;&gt;"")),ROW(C_Pavement!$C$5:$C$204)-4),"")</f>
        <v/>
      </c>
      <c r="AR676" t="str">
        <f>IF($AQ676="","",UPPER(TRIM(INDEX(C_Pavement!$C$5:$C$204,$AQ676))))</f>
        <v/>
      </c>
      <c r="AS676" t="str">
        <f>IF($AR676="","",IFERROR(MATCH($AR676,E_Rules!$A$5:$A$9,0),""))</f>
        <v/>
      </c>
      <c r="AT676" t="str">
        <f>IF($AQ676="","",IF(INDEX(C_Pavement!$D$5:$D$204,$AQ676)&lt;&gt;"",UPPER(TRIM(INDEX(C_Pavement!$D$5:$D$204,$AQ676))),IF($AS676="","",INDEX(E_Rules!$C$5:$C$9,$AS676))))</f>
        <v/>
      </c>
      <c r="AU676" t="str">
        <f>IF($AQ676="","",IF(INDEX(C_Pavement!$E$5:$E$204,$AQ676)&lt;&gt;"",IF(INDEX(C_Pavement!$E$5:$E$204,$AQ676)="-","",INDEX(C_Pavement!$E$5:$E$204,$AQ676)),IF($AS676="","",INDEX(E_Rules!$D$5:$D$9,$AS676))))</f>
        <v/>
      </c>
      <c r="AV676" t="str">
        <f>IF($AQ676="","",IF(INDEX(C_Pavement!$F$5:$F$204,$AQ676)&lt;&gt;"",IF(INDEX(C_Pavement!$F$5:$F$204,$AQ676)="-","",INDEX(C_Pavement!$F$5:$F$204,$AQ676)),IF($AS676="","",INDEX(E_Rules!$E$5:$E$9,$AS676))))</f>
        <v/>
      </c>
      <c r="AW676" t="str">
        <f>IF($AQ676="","",IF(INDEX(C_Pavement!$G$5:$G$204,$AQ676)&lt;&gt;"",IF(INDEX(C_Pavement!$G$5:$G$204,$AQ676)="-","",INDEX(C_Pavement!$G$5:$G$204,$AQ676)),IF($AS676="","",INDEX(E_Rules!$F$5:$F$9,$AS676))))</f>
        <v/>
      </c>
      <c r="AX676" t="str">
        <f>IF($AQ676="","",IF(INDEX(C_Pavement!$H$5:$H$204,$AQ676)&lt;&gt;"",IF(INDEX(C_Pavement!$H$5:$H$204,$AQ676)="-","",INDEX(C_Pavement!$H$5:$H$204,$AQ676)),IF($AS676="","",INDEX(E_Rules!$G$5:$G$9,$AS676))))</f>
        <v/>
      </c>
      <c r="AY676" t="str">
        <f>IF($AQ676="","",IF(INDEX(C_Pavement!$I$5:$I$204,$AQ676)&lt;&gt;"",IF(INDEX(C_Pavement!$I$5:$I$204,$AQ676)="-","",INDEX(C_Pavement!$I$5:$I$204,$AQ676)),IF($AS676="","",INDEX(E_Rules!$H$5:$H$9,$AS676))))</f>
        <v/>
      </c>
    </row>
    <row r="677" spans="1:51" ht="15.75" customHeight="1" x14ac:dyDescent="0.3">
      <c r="A677" s="189">
        <v>672</v>
      </c>
      <c r="B677" s="180">
        <v>33550</v>
      </c>
      <c r="C677" s="180" t="s">
        <v>983</v>
      </c>
      <c r="D677" s="181" t="str">
        <f>IFERROR(LOOKUP(2,1/((A_Corridor!$A$5:$A$204&lt;&gt;"")*(A_Corridor!$A$5:$A$204&lt;=$B677)*(A_Corridor!$B$5:$B$204&gt;$B677)*(A_Corridor!$C$5:$C$204&lt;&gt;"")),IF(UPPER(A_Corridor!$C$5:$C$204)="Y",1,"")),"")</f>
        <v/>
      </c>
      <c r="E677" s="181" t="str">
        <f>IFERROR(LOOKUP(2,1/((A_Corridor!$A$5:$A$204&lt;&gt;"")*(A_Corridor!$A$5:$A$204&lt;=$B677)*(A_Corridor!$B$5:$B$204&gt;$B677)*(A_Corridor!$D$5:$D$204&lt;&gt;"")),IF(A_Corridor!$D$5:$D$204="-","",UPPER(A_Corridor!$D$5:$D$204))),"")</f>
        <v/>
      </c>
      <c r="F677" s="181" t="str">
        <f>IFERROR(LOOKUP(2,1/((A_Corridor!$A$5:$A$204&lt;&gt;"")*(A_Corridor!$A$5:$A$204&lt;=$B677)*(A_Corridor!$B$5:$B$204&gt;$B677)*(A_Corridor!$E$5:$E$204&lt;&gt;"")),IF(A_Corridor!$E$5:$E$204="-","",1)),"")</f>
        <v/>
      </c>
      <c r="G677" s="182" t="str">
        <f>IFERROR(LOOKUP(2,1/((A_Corridor!$A$5:$A$204&lt;&gt;"")*(A_Corridor!$A$5:$A$204&lt;=$B677)*(A_Corridor!$B$5:$B$204&gt;$B677)*(A_Corridor!$E$5:$E$204&lt;&gt;"")),IF(A_Corridor!$E$5:$E$204="-","",A_Corridor!$E$5:$E$204)),"")</f>
        <v/>
      </c>
      <c r="H677" s="182" t="str">
        <f>IFERROR(LOOKUP(2,1/((D_Points!$A$5:$A$204&lt;&gt;"")*(D_Points!$A$5:$A$204&gt;=$B677)*(D_Points!$A$5:$A$204&lt;$B677+P_Interval)*(UPPER(TRIM(D_Points!$B$5:$B$204))="GULLY")*(D_Points!$H$5:$H$204&lt;&gt;"")),D_Points!$H$5:$H$204),"")</f>
        <v/>
      </c>
      <c r="I677" s="181" t="str">
        <f>IFERROR(LOOKUP(2,1/((A_Corridor!$A$5:$A$204&lt;&gt;"")*(A_Corridor!$A$5:$A$204&lt;=$B677)*(A_Corridor!$B$5:$B$204&gt;$B677)*(A_Corridor!$F$5:$F$204&lt;&gt;"")),IF(A_Corridor!$F$5:$F$204="-","",1)),"")</f>
        <v/>
      </c>
      <c r="J677" s="182" t="str">
        <f>IFERROR(LOOKUP(2,1/((A_Corridor!$A$5:$A$204&lt;&gt;"")*(A_Corridor!$A$5:$A$204&lt;=$B677)*(A_Corridor!$B$5:$B$204&gt;$B677)*(A_Corridor!$F$5:$F$204&lt;&gt;"")),IF(A_Corridor!$F$5:$F$204="-","",A_Corridor!$F$5:$F$204)),"")</f>
        <v/>
      </c>
      <c r="K677" s="182" t="str">
        <f>IFERROR(LOOKUP(2,1/((A_Corridor!$A$5:$A$204&lt;&gt;"")*(A_Corridor!$A$5:$A$204&lt;=$B677)*(A_Corridor!$B$5:$B$204&gt;$B677)*(A_Corridor!$G$5:$G$204&lt;&gt;"")),IF(A_Corridor!$G$5:$G$204="-","",A_Corridor!$G$5:$G$204)),"")</f>
        <v/>
      </c>
      <c r="L677" s="181" t="str">
        <f>IFERROR(LOOKUP(2,1/((A_Corridor!$A$5:$A$204&lt;&gt;"")*(A_Corridor!$A$5:$A$204&lt;=$B677)*(A_Corridor!$B$5:$B$204&gt;$B677)*(A_Corridor!$H$5:$H$204&lt;&gt;"")),IF(A_Corridor!$H$5:$H$204="-","",1)),"")</f>
        <v/>
      </c>
      <c r="M677" s="182" t="str">
        <f>IFERROR(LOOKUP(2,1/((A_Corridor!$A$5:$A$204&lt;&gt;"")*(A_Corridor!$A$5:$A$204&lt;=$B677)*(A_Corridor!$B$5:$B$204&gt;$B677)*(A_Corridor!$H$5:$H$204&lt;&gt;"")),IF(A_Corridor!$H$5:$H$204="-","",A_Corridor!$H$5:$H$204)),"")</f>
        <v/>
      </c>
      <c r="N677" s="182" t="str">
        <f>IFERROR(LOOKUP(2,1/((A_Corridor!$A$5:$A$204&lt;&gt;"")*(A_Corridor!$A$5:$A$204&lt;=$B677)*(A_Corridor!$B$5:$B$204&gt;$B677)*(A_Corridor!$I$5:$I$204&lt;&gt;"")),IF(A_Corridor!$I$5:$I$204="-","",A_Corridor!$I$5:$I$204)),"")</f>
        <v/>
      </c>
      <c r="O677" s="182" t="str">
        <f>IFERROR(LOOKUP(2,1/((D_Points!$A$5:$A$204&lt;&gt;"")*(D_Points!$A$5:$A$204&gt;=$B677)*(D_Points!$A$5:$A$204&lt;$B677+P_Interval)*(UPPER(TRIM(D_Points!$B$5:$B$204))="PITCHING")*(D_Points!$H$5:$H$204&lt;&gt;"")),D_Points!$H$5:$H$204),"")</f>
        <v/>
      </c>
      <c r="P677" s="181" t="str">
        <f>IFERROR(LOOKUP(2,1/((B_Drainage!$A$5:$A$204&lt;&gt;"")*(B_Drainage!$A$5:$A$204&lt;=$B677)*(B_Drainage!$B$5:$B$204&gt;$B677)*(B_Drainage!$C$5:$C$204&lt;&gt;"")),IF(B_Drainage!$C$5:$C$204="-","",UPPER(B_Drainage!$C$5:$C$204))),"")</f>
        <v/>
      </c>
      <c r="Q677" s="181" t="str">
        <f>IFERROR(LOOKUP(2,1/((B_Drainage!$A$5:$A$204&lt;&gt;"")*(B_Drainage!$A$5:$A$204&lt;=$B677)*(B_Drainage!$B$5:$B$204&gt;$B677)*(B_Drainage!$D$5:$D$204&lt;&gt;"")),IF(B_Drainage!$D$5:$D$204="-","",UPPER(B_Drainage!$D$5:$D$204))),"")</f>
        <v/>
      </c>
      <c r="R677" s="182" t="str">
        <f>IFERROR(LOOKUP(2,1/((D_Points!$A$5:$A$204&lt;&gt;"")*(D_Points!$A$5:$A$204&gt;=$B677)*(D_Points!$A$5:$A$204&lt;$B677+P_Interval)*(RIGHT(UPPER(TRIM(D_Points!$B$5:$B$204)),8)="_CULVERT")),IF(LEFT(UPPER(TRIM(D_Points!$B$5:$B$204)),2)="EX",1,IF(LEFT(UPPER(TRIM(D_Points!$B$5:$B$204)),2)="PR",2,3))),"")</f>
        <v/>
      </c>
      <c r="S677" s="182" t="str">
        <f>IFERROR(LOOKUP(2,1/((D_Points!$A$5:$A$204&lt;&gt;"")*(D_Points!$A$5:$A$204&gt;=$B677)*(D_Points!$A$5:$A$204&lt;$B677+P_Interval)*(RIGHT(UPPER(TRIM(D_Points!$B$5:$B$204)),7)="_BRIDGE")),IF(LEFT(UPPER(TRIM(D_Points!$B$5:$B$204)),2)="EX",1,IF(LEFT(UPPER(TRIM(D_Points!$B$5:$B$204)),2)="PR",2,2))),"")</f>
        <v/>
      </c>
      <c r="T677" s="181" t="str">
        <f>IFERROR(LOOKUP(2,1/((B_Drainage!$A$5:$A$204&lt;&gt;"")*(B_Drainage!$A$5:$A$204&lt;=$B677)*(B_Drainage!$B$5:$B$204&gt;$B677)*(B_Drainage!$E$5:$E$204&lt;&gt;"")),IF(B_Drainage!$E$5:$E$204="-","",1)),"")</f>
        <v/>
      </c>
      <c r="U677" s="181" t="str">
        <f>IFERROR(LOOKUP(2,1/((B_Drainage!$A$5:$A$204&lt;&gt;"")*(B_Drainage!$A$5:$A$204&lt;=$B677)*(B_Drainage!$B$5:$B$204&gt;$B677)*(B_Drainage!$E$5:$E$204&lt;&gt;"")),IF(B_Drainage!$E$5:$E$204="-","",B_Drainage!$E$5:$E$204)),"")</f>
        <v/>
      </c>
      <c r="V677" s="181" t="str">
        <f>IFERROR(LOOKUP(2,1/((B_Drainage!$A$5:$A$204&lt;&gt;"")*(B_Drainage!$A$5:$A$204&lt;=$B677)*(B_Drainage!$B$5:$B$204&gt;$B677)*(B_Drainage!$F$5:$F$204&lt;&gt;"")),IF(B_Drainage!$F$5:$F$204="-","",1)),"")</f>
        <v/>
      </c>
      <c r="W677" s="181" t="str">
        <f>IFERROR(LOOKUP(2,1/((B_Drainage!$A$5:$A$204&lt;&gt;"")*(B_Drainage!$A$5:$A$204&lt;=$B677)*(B_Drainage!$B$5:$B$204&gt;$B677)*(B_Drainage!$F$5:$F$204&lt;&gt;"")),IF(B_Drainage!$F$5:$F$204="-","",B_Drainage!$F$5:$F$204)),"")</f>
        <v/>
      </c>
      <c r="X677" s="181" t="str">
        <f>IFERROR(LOOKUP(2,1/((B_Drainage!$A$5:$A$204&lt;&gt;"")*(B_Drainage!$A$5:$A$204&lt;=$B677)*(B_Drainage!$B$5:$B$204&gt;$B677)*(B_Drainage!$G$5:$G$204&lt;&gt;"")),IF(UPPER(B_Drainage!$G$5:$G$204)="Y",1,"")),"")</f>
        <v/>
      </c>
      <c r="Y677" s="181" t="str">
        <f>IFERROR(LOOKUP(2,1/((B_Drainage!$A$5:$A$204&lt;&gt;"")*(B_Drainage!$A$5:$A$204&lt;=$B677)*(B_Drainage!$B$5:$B$204&gt;$B677)*(B_Drainage!$H$5:$H$204&lt;&gt;"")),IF(UPPER(B_Drainage!$H$5:$H$204)="Y",1,"")),"")</f>
        <v/>
      </c>
      <c r="Z677" s="181" t="str">
        <f>IFERROR(LOOKUP(2,1/((B_Drainage!$A$5:$A$204&lt;&gt;"")*(B_Drainage!$A$5:$A$204&lt;=$B677)*(B_Drainage!$B$5:$B$204&gt;$B677)*(B_Drainage!$I$5:$I$204&lt;&gt;"")),IF(UPPER(B_Drainage!$I$5:$I$204)="Y",1,"")),"")</f>
        <v/>
      </c>
      <c r="AA677" s="181" t="str">
        <f>IFERROR(LOOKUP(2,1/((B_Drainage!$A$5:$A$204&lt;&gt;"")*(B_Drainage!$A$5:$A$204&lt;=$B677)*(B_Drainage!$B$5:$B$204&gt;$B677)*(B_Drainage!$J$5:$J$204&lt;&gt;"")),IF(UPPER(B_Drainage!$J$5:$J$204)="Y",1,"")),"")</f>
        <v/>
      </c>
      <c r="AB677" s="182" t="str">
        <f>IFERROR(LOOKUP(2,1/((B_Drainage!$A$5:$A$204&lt;&gt;"")*(B_Drainage!$A$5:$A$204&lt;=$B677)*(B_Drainage!$B$5:$B$204&gt;$B677)*(B_Drainage!$K$5:$K$204&lt;&gt;"")),IF(B_Drainage!$K$5:$K$204="-","",B_Drainage!$K$5:$K$204)),"")</f>
        <v/>
      </c>
      <c r="AC677" s="182" t="str">
        <f>IFERROR(LOOKUP(2,1/((B_Drainage!$A$5:$A$204&lt;&gt;"")*(B_Drainage!$A$5:$A$204&lt;=$B677)*(B_Drainage!$B$5:$B$204&gt;$B677)*(B_Drainage!$L$5:$L$204&lt;&gt;"")),IF(B_Drainage!$L$5:$L$204="-","",B_Drainage!$L$5:$L$204)),"")</f>
        <v/>
      </c>
      <c r="AD677" s="182" t="str">
        <f>IFERROR(LOOKUP(2,1/((D_Points!$A$5:$A$204&lt;&gt;"")*(D_Points!$A$5:$A$204&gt;=$B677)*(D_Points!$A$5:$A$204&lt;$B677+P_Interval)*(UPPER(TRIM(D_Points!$B$5:$B$204))="TURNOUT_L")*(D_Points!$H$5:$H$204&lt;&gt;"")),D_Points!$H$5:$H$204),"")</f>
        <v/>
      </c>
      <c r="AE677" s="182" t="str">
        <f>IFERROR(LOOKUP(2,1/((D_Points!$A$5:$A$204&lt;&gt;"")*(D_Points!$A$5:$A$204&gt;=$B677)*(D_Points!$A$5:$A$204&lt;$B677+P_Interval)*(UPPER(TRIM(D_Points!$B$5:$B$204))="TURNOUT_R")*(D_Points!$H$5:$H$204&lt;&gt;"")),D_Points!$H$5:$H$204),"")</f>
        <v/>
      </c>
      <c r="AF677" s="181" t="str">
        <f>IFERROR(LOOKUP(2,1/((B_Drainage!$A$5:$A$204&lt;&gt;"")*(B_Drainage!$A$5:$A$204&lt;=$B677)*(B_Drainage!$B$5:$B$204&gt;$B677)*(B_Drainage!$M$5:$M$204&lt;&gt;"")),IF(UPPER(B_Drainage!$M$5:$M$204)="Y",1,"")),"")</f>
        <v/>
      </c>
      <c r="AG677" s="181" t="str">
        <f>IFERROR(LOOKUP(2,1/((B_Drainage!$A$5:$A$204&lt;&gt;"")*(B_Drainage!$A$5:$A$204&lt;=$B677)*(B_Drainage!$B$5:$B$204&gt;$B677)*(B_Drainage!$N$5:$N$204&lt;&gt;"")),IF(UPPER(B_Drainage!$N$5:$N$204)="Y",1,"")),"")</f>
        <v/>
      </c>
      <c r="AH677" s="181" t="str">
        <f t="shared" si="80"/>
        <v/>
      </c>
      <c r="AI677" s="181" t="str">
        <f t="shared" si="81"/>
        <v/>
      </c>
      <c r="AJ677" s="181" t="str">
        <f t="shared" si="82"/>
        <v/>
      </c>
      <c r="AK677" s="181" t="str">
        <f t="shared" si="83"/>
        <v/>
      </c>
      <c r="AL677" s="181" t="str">
        <f t="shared" si="84"/>
        <v/>
      </c>
      <c r="AM677" s="181" t="str">
        <f t="shared" si="85"/>
        <v/>
      </c>
      <c r="AN677" s="181" t="str">
        <f t="shared" si="86"/>
        <v/>
      </c>
      <c r="AO677" s="192" t="str">
        <f t="shared" si="87"/>
        <v/>
      </c>
      <c r="AQ677" t="str">
        <f>IFERROR(LOOKUP(2,1/((C_Pavement!$A$5:$A$204&lt;&gt;"")*(C_Pavement!$A$5:$A$204&lt;=$B677)*(C_Pavement!$B$5:$B$204&gt;$B677)*(C_Pavement!$C$5:$C$204&lt;&gt;"")),ROW(C_Pavement!$C$5:$C$204)-4),"")</f>
        <v/>
      </c>
      <c r="AR677" t="str">
        <f>IF($AQ677="","",UPPER(TRIM(INDEX(C_Pavement!$C$5:$C$204,$AQ677))))</f>
        <v/>
      </c>
      <c r="AS677" t="str">
        <f>IF($AR677="","",IFERROR(MATCH($AR677,E_Rules!$A$5:$A$9,0),""))</f>
        <v/>
      </c>
      <c r="AT677" t="str">
        <f>IF($AQ677="","",IF(INDEX(C_Pavement!$D$5:$D$204,$AQ677)&lt;&gt;"",UPPER(TRIM(INDEX(C_Pavement!$D$5:$D$204,$AQ677))),IF($AS677="","",INDEX(E_Rules!$C$5:$C$9,$AS677))))</f>
        <v/>
      </c>
      <c r="AU677" t="str">
        <f>IF($AQ677="","",IF(INDEX(C_Pavement!$E$5:$E$204,$AQ677)&lt;&gt;"",IF(INDEX(C_Pavement!$E$5:$E$204,$AQ677)="-","",INDEX(C_Pavement!$E$5:$E$204,$AQ677)),IF($AS677="","",INDEX(E_Rules!$D$5:$D$9,$AS677))))</f>
        <v/>
      </c>
      <c r="AV677" t="str">
        <f>IF($AQ677="","",IF(INDEX(C_Pavement!$F$5:$F$204,$AQ677)&lt;&gt;"",IF(INDEX(C_Pavement!$F$5:$F$204,$AQ677)="-","",INDEX(C_Pavement!$F$5:$F$204,$AQ677)),IF($AS677="","",INDEX(E_Rules!$E$5:$E$9,$AS677))))</f>
        <v/>
      </c>
      <c r="AW677" t="str">
        <f>IF($AQ677="","",IF(INDEX(C_Pavement!$G$5:$G$204,$AQ677)&lt;&gt;"",IF(INDEX(C_Pavement!$G$5:$G$204,$AQ677)="-","",INDEX(C_Pavement!$G$5:$G$204,$AQ677)),IF($AS677="","",INDEX(E_Rules!$F$5:$F$9,$AS677))))</f>
        <v/>
      </c>
      <c r="AX677" t="str">
        <f>IF($AQ677="","",IF(INDEX(C_Pavement!$H$5:$H$204,$AQ677)&lt;&gt;"",IF(INDEX(C_Pavement!$H$5:$H$204,$AQ677)="-","",INDEX(C_Pavement!$H$5:$H$204,$AQ677)),IF($AS677="","",INDEX(E_Rules!$G$5:$G$9,$AS677))))</f>
        <v/>
      </c>
      <c r="AY677" t="str">
        <f>IF($AQ677="","",IF(INDEX(C_Pavement!$I$5:$I$204,$AQ677)&lt;&gt;"",IF(INDEX(C_Pavement!$I$5:$I$204,$AQ677)="-","",INDEX(C_Pavement!$I$5:$I$204,$AQ677)),IF($AS677="","",INDEX(E_Rules!$H$5:$H$9,$AS677))))</f>
        <v/>
      </c>
    </row>
    <row r="678" spans="1:51" ht="15.75" customHeight="1" x14ac:dyDescent="0.3">
      <c r="A678" s="189">
        <v>673</v>
      </c>
      <c r="B678" s="180">
        <v>33600</v>
      </c>
      <c r="C678" s="180" t="s">
        <v>984</v>
      </c>
      <c r="D678" s="181" t="str">
        <f>IFERROR(LOOKUP(2,1/((A_Corridor!$A$5:$A$204&lt;&gt;"")*(A_Corridor!$A$5:$A$204&lt;=$B678)*(A_Corridor!$B$5:$B$204&gt;$B678)*(A_Corridor!$C$5:$C$204&lt;&gt;"")),IF(UPPER(A_Corridor!$C$5:$C$204)="Y",1,"")),"")</f>
        <v/>
      </c>
      <c r="E678" s="181" t="str">
        <f>IFERROR(LOOKUP(2,1/((A_Corridor!$A$5:$A$204&lt;&gt;"")*(A_Corridor!$A$5:$A$204&lt;=$B678)*(A_Corridor!$B$5:$B$204&gt;$B678)*(A_Corridor!$D$5:$D$204&lt;&gt;"")),IF(A_Corridor!$D$5:$D$204="-","",UPPER(A_Corridor!$D$5:$D$204))),"")</f>
        <v/>
      </c>
      <c r="F678" s="181" t="str">
        <f>IFERROR(LOOKUP(2,1/((A_Corridor!$A$5:$A$204&lt;&gt;"")*(A_Corridor!$A$5:$A$204&lt;=$B678)*(A_Corridor!$B$5:$B$204&gt;$B678)*(A_Corridor!$E$5:$E$204&lt;&gt;"")),IF(A_Corridor!$E$5:$E$204="-","",1)),"")</f>
        <v/>
      </c>
      <c r="G678" s="182" t="str">
        <f>IFERROR(LOOKUP(2,1/((A_Corridor!$A$5:$A$204&lt;&gt;"")*(A_Corridor!$A$5:$A$204&lt;=$B678)*(A_Corridor!$B$5:$B$204&gt;$B678)*(A_Corridor!$E$5:$E$204&lt;&gt;"")),IF(A_Corridor!$E$5:$E$204="-","",A_Corridor!$E$5:$E$204)),"")</f>
        <v/>
      </c>
      <c r="H678" s="182" t="str">
        <f>IFERROR(LOOKUP(2,1/((D_Points!$A$5:$A$204&lt;&gt;"")*(D_Points!$A$5:$A$204&gt;=$B678)*(D_Points!$A$5:$A$204&lt;$B678+P_Interval)*(UPPER(TRIM(D_Points!$B$5:$B$204))="GULLY")*(D_Points!$H$5:$H$204&lt;&gt;"")),D_Points!$H$5:$H$204),"")</f>
        <v/>
      </c>
      <c r="I678" s="181" t="str">
        <f>IFERROR(LOOKUP(2,1/((A_Corridor!$A$5:$A$204&lt;&gt;"")*(A_Corridor!$A$5:$A$204&lt;=$B678)*(A_Corridor!$B$5:$B$204&gt;$B678)*(A_Corridor!$F$5:$F$204&lt;&gt;"")),IF(A_Corridor!$F$5:$F$204="-","",1)),"")</f>
        <v/>
      </c>
      <c r="J678" s="182" t="str">
        <f>IFERROR(LOOKUP(2,1/((A_Corridor!$A$5:$A$204&lt;&gt;"")*(A_Corridor!$A$5:$A$204&lt;=$B678)*(A_Corridor!$B$5:$B$204&gt;$B678)*(A_Corridor!$F$5:$F$204&lt;&gt;"")),IF(A_Corridor!$F$5:$F$204="-","",A_Corridor!$F$5:$F$204)),"")</f>
        <v/>
      </c>
      <c r="K678" s="182" t="str">
        <f>IFERROR(LOOKUP(2,1/((A_Corridor!$A$5:$A$204&lt;&gt;"")*(A_Corridor!$A$5:$A$204&lt;=$B678)*(A_Corridor!$B$5:$B$204&gt;$B678)*(A_Corridor!$G$5:$G$204&lt;&gt;"")),IF(A_Corridor!$G$5:$G$204="-","",A_Corridor!$G$5:$G$204)),"")</f>
        <v/>
      </c>
      <c r="L678" s="181" t="str">
        <f>IFERROR(LOOKUP(2,1/((A_Corridor!$A$5:$A$204&lt;&gt;"")*(A_Corridor!$A$5:$A$204&lt;=$B678)*(A_Corridor!$B$5:$B$204&gt;$B678)*(A_Corridor!$H$5:$H$204&lt;&gt;"")),IF(A_Corridor!$H$5:$H$204="-","",1)),"")</f>
        <v/>
      </c>
      <c r="M678" s="182" t="str">
        <f>IFERROR(LOOKUP(2,1/((A_Corridor!$A$5:$A$204&lt;&gt;"")*(A_Corridor!$A$5:$A$204&lt;=$B678)*(A_Corridor!$B$5:$B$204&gt;$B678)*(A_Corridor!$H$5:$H$204&lt;&gt;"")),IF(A_Corridor!$H$5:$H$204="-","",A_Corridor!$H$5:$H$204)),"")</f>
        <v/>
      </c>
      <c r="N678" s="182" t="str">
        <f>IFERROR(LOOKUP(2,1/((A_Corridor!$A$5:$A$204&lt;&gt;"")*(A_Corridor!$A$5:$A$204&lt;=$B678)*(A_Corridor!$B$5:$B$204&gt;$B678)*(A_Corridor!$I$5:$I$204&lt;&gt;"")),IF(A_Corridor!$I$5:$I$204="-","",A_Corridor!$I$5:$I$204)),"")</f>
        <v/>
      </c>
      <c r="O678" s="182" t="str">
        <f>IFERROR(LOOKUP(2,1/((D_Points!$A$5:$A$204&lt;&gt;"")*(D_Points!$A$5:$A$204&gt;=$B678)*(D_Points!$A$5:$A$204&lt;$B678+P_Interval)*(UPPER(TRIM(D_Points!$B$5:$B$204))="PITCHING")*(D_Points!$H$5:$H$204&lt;&gt;"")),D_Points!$H$5:$H$204),"")</f>
        <v/>
      </c>
      <c r="P678" s="181" t="str">
        <f>IFERROR(LOOKUP(2,1/((B_Drainage!$A$5:$A$204&lt;&gt;"")*(B_Drainage!$A$5:$A$204&lt;=$B678)*(B_Drainage!$B$5:$B$204&gt;$B678)*(B_Drainage!$C$5:$C$204&lt;&gt;"")),IF(B_Drainage!$C$5:$C$204="-","",UPPER(B_Drainage!$C$5:$C$204))),"")</f>
        <v/>
      </c>
      <c r="Q678" s="181" t="str">
        <f>IFERROR(LOOKUP(2,1/((B_Drainage!$A$5:$A$204&lt;&gt;"")*(B_Drainage!$A$5:$A$204&lt;=$B678)*(B_Drainage!$B$5:$B$204&gt;$B678)*(B_Drainage!$D$5:$D$204&lt;&gt;"")),IF(B_Drainage!$D$5:$D$204="-","",UPPER(B_Drainage!$D$5:$D$204))),"")</f>
        <v/>
      </c>
      <c r="R678" s="182" t="str">
        <f>IFERROR(LOOKUP(2,1/((D_Points!$A$5:$A$204&lt;&gt;"")*(D_Points!$A$5:$A$204&gt;=$B678)*(D_Points!$A$5:$A$204&lt;$B678+P_Interval)*(RIGHT(UPPER(TRIM(D_Points!$B$5:$B$204)),8)="_CULVERT")),IF(LEFT(UPPER(TRIM(D_Points!$B$5:$B$204)),2)="EX",1,IF(LEFT(UPPER(TRIM(D_Points!$B$5:$B$204)),2)="PR",2,3))),"")</f>
        <v/>
      </c>
      <c r="S678" s="182" t="str">
        <f>IFERROR(LOOKUP(2,1/((D_Points!$A$5:$A$204&lt;&gt;"")*(D_Points!$A$5:$A$204&gt;=$B678)*(D_Points!$A$5:$A$204&lt;$B678+P_Interval)*(RIGHT(UPPER(TRIM(D_Points!$B$5:$B$204)),7)="_BRIDGE")),IF(LEFT(UPPER(TRIM(D_Points!$B$5:$B$204)),2)="EX",1,IF(LEFT(UPPER(TRIM(D_Points!$B$5:$B$204)),2)="PR",2,2))),"")</f>
        <v/>
      </c>
      <c r="T678" s="181" t="str">
        <f>IFERROR(LOOKUP(2,1/((B_Drainage!$A$5:$A$204&lt;&gt;"")*(B_Drainage!$A$5:$A$204&lt;=$B678)*(B_Drainage!$B$5:$B$204&gt;$B678)*(B_Drainage!$E$5:$E$204&lt;&gt;"")),IF(B_Drainage!$E$5:$E$204="-","",1)),"")</f>
        <v/>
      </c>
      <c r="U678" s="181" t="str">
        <f>IFERROR(LOOKUP(2,1/((B_Drainage!$A$5:$A$204&lt;&gt;"")*(B_Drainage!$A$5:$A$204&lt;=$B678)*(B_Drainage!$B$5:$B$204&gt;$B678)*(B_Drainage!$E$5:$E$204&lt;&gt;"")),IF(B_Drainage!$E$5:$E$204="-","",B_Drainage!$E$5:$E$204)),"")</f>
        <v/>
      </c>
      <c r="V678" s="181" t="str">
        <f>IFERROR(LOOKUP(2,1/((B_Drainage!$A$5:$A$204&lt;&gt;"")*(B_Drainage!$A$5:$A$204&lt;=$B678)*(B_Drainage!$B$5:$B$204&gt;$B678)*(B_Drainage!$F$5:$F$204&lt;&gt;"")),IF(B_Drainage!$F$5:$F$204="-","",1)),"")</f>
        <v/>
      </c>
      <c r="W678" s="181" t="str">
        <f>IFERROR(LOOKUP(2,1/((B_Drainage!$A$5:$A$204&lt;&gt;"")*(B_Drainage!$A$5:$A$204&lt;=$B678)*(B_Drainage!$B$5:$B$204&gt;$B678)*(B_Drainage!$F$5:$F$204&lt;&gt;"")),IF(B_Drainage!$F$5:$F$204="-","",B_Drainage!$F$5:$F$204)),"")</f>
        <v/>
      </c>
      <c r="X678" s="181" t="str">
        <f>IFERROR(LOOKUP(2,1/((B_Drainage!$A$5:$A$204&lt;&gt;"")*(B_Drainage!$A$5:$A$204&lt;=$B678)*(B_Drainage!$B$5:$B$204&gt;$B678)*(B_Drainage!$G$5:$G$204&lt;&gt;"")),IF(UPPER(B_Drainage!$G$5:$G$204)="Y",1,"")),"")</f>
        <v/>
      </c>
      <c r="Y678" s="181" t="str">
        <f>IFERROR(LOOKUP(2,1/((B_Drainage!$A$5:$A$204&lt;&gt;"")*(B_Drainage!$A$5:$A$204&lt;=$B678)*(B_Drainage!$B$5:$B$204&gt;$B678)*(B_Drainage!$H$5:$H$204&lt;&gt;"")),IF(UPPER(B_Drainage!$H$5:$H$204)="Y",1,"")),"")</f>
        <v/>
      </c>
      <c r="Z678" s="181" t="str">
        <f>IFERROR(LOOKUP(2,1/((B_Drainage!$A$5:$A$204&lt;&gt;"")*(B_Drainage!$A$5:$A$204&lt;=$B678)*(B_Drainage!$B$5:$B$204&gt;$B678)*(B_Drainage!$I$5:$I$204&lt;&gt;"")),IF(UPPER(B_Drainage!$I$5:$I$204)="Y",1,"")),"")</f>
        <v/>
      </c>
      <c r="AA678" s="181" t="str">
        <f>IFERROR(LOOKUP(2,1/((B_Drainage!$A$5:$A$204&lt;&gt;"")*(B_Drainage!$A$5:$A$204&lt;=$B678)*(B_Drainage!$B$5:$B$204&gt;$B678)*(B_Drainage!$J$5:$J$204&lt;&gt;"")),IF(UPPER(B_Drainage!$J$5:$J$204)="Y",1,"")),"")</f>
        <v/>
      </c>
      <c r="AB678" s="182" t="str">
        <f>IFERROR(LOOKUP(2,1/((B_Drainage!$A$5:$A$204&lt;&gt;"")*(B_Drainage!$A$5:$A$204&lt;=$B678)*(B_Drainage!$B$5:$B$204&gt;$B678)*(B_Drainage!$K$5:$K$204&lt;&gt;"")),IF(B_Drainage!$K$5:$K$204="-","",B_Drainage!$K$5:$K$204)),"")</f>
        <v/>
      </c>
      <c r="AC678" s="182" t="str">
        <f>IFERROR(LOOKUP(2,1/((B_Drainage!$A$5:$A$204&lt;&gt;"")*(B_Drainage!$A$5:$A$204&lt;=$B678)*(B_Drainage!$B$5:$B$204&gt;$B678)*(B_Drainage!$L$5:$L$204&lt;&gt;"")),IF(B_Drainage!$L$5:$L$204="-","",B_Drainage!$L$5:$L$204)),"")</f>
        <v/>
      </c>
      <c r="AD678" s="182" t="str">
        <f>IFERROR(LOOKUP(2,1/((D_Points!$A$5:$A$204&lt;&gt;"")*(D_Points!$A$5:$A$204&gt;=$B678)*(D_Points!$A$5:$A$204&lt;$B678+P_Interval)*(UPPER(TRIM(D_Points!$B$5:$B$204))="TURNOUT_L")*(D_Points!$H$5:$H$204&lt;&gt;"")),D_Points!$H$5:$H$204),"")</f>
        <v/>
      </c>
      <c r="AE678" s="182" t="str">
        <f>IFERROR(LOOKUP(2,1/((D_Points!$A$5:$A$204&lt;&gt;"")*(D_Points!$A$5:$A$204&gt;=$B678)*(D_Points!$A$5:$A$204&lt;$B678+P_Interval)*(UPPER(TRIM(D_Points!$B$5:$B$204))="TURNOUT_R")*(D_Points!$H$5:$H$204&lt;&gt;"")),D_Points!$H$5:$H$204),"")</f>
        <v/>
      </c>
      <c r="AF678" s="181" t="str">
        <f>IFERROR(LOOKUP(2,1/((B_Drainage!$A$5:$A$204&lt;&gt;"")*(B_Drainage!$A$5:$A$204&lt;=$B678)*(B_Drainage!$B$5:$B$204&gt;$B678)*(B_Drainage!$M$5:$M$204&lt;&gt;"")),IF(UPPER(B_Drainage!$M$5:$M$204)="Y",1,"")),"")</f>
        <v/>
      </c>
      <c r="AG678" s="181" t="str">
        <f>IFERROR(LOOKUP(2,1/((B_Drainage!$A$5:$A$204&lt;&gt;"")*(B_Drainage!$A$5:$A$204&lt;=$B678)*(B_Drainage!$B$5:$B$204&gt;$B678)*(B_Drainage!$N$5:$N$204&lt;&gt;"")),IF(UPPER(B_Drainage!$N$5:$N$204)="Y",1,"")),"")</f>
        <v/>
      </c>
      <c r="AH678" s="181" t="str">
        <f t="shared" si="80"/>
        <v/>
      </c>
      <c r="AI678" s="181" t="str">
        <f t="shared" si="81"/>
        <v/>
      </c>
      <c r="AJ678" s="181" t="str">
        <f t="shared" si="82"/>
        <v/>
      </c>
      <c r="AK678" s="181" t="str">
        <f t="shared" si="83"/>
        <v/>
      </c>
      <c r="AL678" s="181" t="str">
        <f t="shared" si="84"/>
        <v/>
      </c>
      <c r="AM678" s="181" t="str">
        <f t="shared" si="85"/>
        <v/>
      </c>
      <c r="AN678" s="181" t="str">
        <f t="shared" si="86"/>
        <v/>
      </c>
      <c r="AO678" s="192" t="str">
        <f t="shared" si="87"/>
        <v/>
      </c>
      <c r="AQ678" t="str">
        <f>IFERROR(LOOKUP(2,1/((C_Pavement!$A$5:$A$204&lt;&gt;"")*(C_Pavement!$A$5:$A$204&lt;=$B678)*(C_Pavement!$B$5:$B$204&gt;$B678)*(C_Pavement!$C$5:$C$204&lt;&gt;"")),ROW(C_Pavement!$C$5:$C$204)-4),"")</f>
        <v/>
      </c>
      <c r="AR678" t="str">
        <f>IF($AQ678="","",UPPER(TRIM(INDEX(C_Pavement!$C$5:$C$204,$AQ678))))</f>
        <v/>
      </c>
      <c r="AS678" t="str">
        <f>IF($AR678="","",IFERROR(MATCH($AR678,E_Rules!$A$5:$A$9,0),""))</f>
        <v/>
      </c>
      <c r="AT678" t="str">
        <f>IF($AQ678="","",IF(INDEX(C_Pavement!$D$5:$D$204,$AQ678)&lt;&gt;"",UPPER(TRIM(INDEX(C_Pavement!$D$5:$D$204,$AQ678))),IF($AS678="","",INDEX(E_Rules!$C$5:$C$9,$AS678))))</f>
        <v/>
      </c>
      <c r="AU678" t="str">
        <f>IF($AQ678="","",IF(INDEX(C_Pavement!$E$5:$E$204,$AQ678)&lt;&gt;"",IF(INDEX(C_Pavement!$E$5:$E$204,$AQ678)="-","",INDEX(C_Pavement!$E$5:$E$204,$AQ678)),IF($AS678="","",INDEX(E_Rules!$D$5:$D$9,$AS678))))</f>
        <v/>
      </c>
      <c r="AV678" t="str">
        <f>IF($AQ678="","",IF(INDEX(C_Pavement!$F$5:$F$204,$AQ678)&lt;&gt;"",IF(INDEX(C_Pavement!$F$5:$F$204,$AQ678)="-","",INDEX(C_Pavement!$F$5:$F$204,$AQ678)),IF($AS678="","",INDEX(E_Rules!$E$5:$E$9,$AS678))))</f>
        <v/>
      </c>
      <c r="AW678" t="str">
        <f>IF($AQ678="","",IF(INDEX(C_Pavement!$G$5:$G$204,$AQ678)&lt;&gt;"",IF(INDEX(C_Pavement!$G$5:$G$204,$AQ678)="-","",INDEX(C_Pavement!$G$5:$G$204,$AQ678)),IF($AS678="","",INDEX(E_Rules!$F$5:$F$9,$AS678))))</f>
        <v/>
      </c>
      <c r="AX678" t="str">
        <f>IF($AQ678="","",IF(INDEX(C_Pavement!$H$5:$H$204,$AQ678)&lt;&gt;"",IF(INDEX(C_Pavement!$H$5:$H$204,$AQ678)="-","",INDEX(C_Pavement!$H$5:$H$204,$AQ678)),IF($AS678="","",INDEX(E_Rules!$G$5:$G$9,$AS678))))</f>
        <v/>
      </c>
      <c r="AY678" t="str">
        <f>IF($AQ678="","",IF(INDEX(C_Pavement!$I$5:$I$204,$AQ678)&lt;&gt;"",IF(INDEX(C_Pavement!$I$5:$I$204,$AQ678)="-","",INDEX(C_Pavement!$I$5:$I$204,$AQ678)),IF($AS678="","",INDEX(E_Rules!$H$5:$H$9,$AS678))))</f>
        <v/>
      </c>
    </row>
    <row r="679" spans="1:51" ht="15.75" customHeight="1" x14ac:dyDescent="0.3">
      <c r="A679" s="189">
        <v>674</v>
      </c>
      <c r="B679" s="180">
        <v>33650</v>
      </c>
      <c r="C679" s="180" t="s">
        <v>985</v>
      </c>
      <c r="D679" s="181" t="str">
        <f>IFERROR(LOOKUP(2,1/((A_Corridor!$A$5:$A$204&lt;&gt;"")*(A_Corridor!$A$5:$A$204&lt;=$B679)*(A_Corridor!$B$5:$B$204&gt;$B679)*(A_Corridor!$C$5:$C$204&lt;&gt;"")),IF(UPPER(A_Corridor!$C$5:$C$204)="Y",1,"")),"")</f>
        <v/>
      </c>
      <c r="E679" s="181" t="str">
        <f>IFERROR(LOOKUP(2,1/((A_Corridor!$A$5:$A$204&lt;&gt;"")*(A_Corridor!$A$5:$A$204&lt;=$B679)*(A_Corridor!$B$5:$B$204&gt;$B679)*(A_Corridor!$D$5:$D$204&lt;&gt;"")),IF(A_Corridor!$D$5:$D$204="-","",UPPER(A_Corridor!$D$5:$D$204))),"")</f>
        <v/>
      </c>
      <c r="F679" s="181" t="str">
        <f>IFERROR(LOOKUP(2,1/((A_Corridor!$A$5:$A$204&lt;&gt;"")*(A_Corridor!$A$5:$A$204&lt;=$B679)*(A_Corridor!$B$5:$B$204&gt;$B679)*(A_Corridor!$E$5:$E$204&lt;&gt;"")),IF(A_Corridor!$E$5:$E$204="-","",1)),"")</f>
        <v/>
      </c>
      <c r="G679" s="182" t="str">
        <f>IFERROR(LOOKUP(2,1/((A_Corridor!$A$5:$A$204&lt;&gt;"")*(A_Corridor!$A$5:$A$204&lt;=$B679)*(A_Corridor!$B$5:$B$204&gt;$B679)*(A_Corridor!$E$5:$E$204&lt;&gt;"")),IF(A_Corridor!$E$5:$E$204="-","",A_Corridor!$E$5:$E$204)),"")</f>
        <v/>
      </c>
      <c r="H679" s="182" t="str">
        <f>IFERROR(LOOKUP(2,1/((D_Points!$A$5:$A$204&lt;&gt;"")*(D_Points!$A$5:$A$204&gt;=$B679)*(D_Points!$A$5:$A$204&lt;$B679+P_Interval)*(UPPER(TRIM(D_Points!$B$5:$B$204))="GULLY")*(D_Points!$H$5:$H$204&lt;&gt;"")),D_Points!$H$5:$H$204),"")</f>
        <v/>
      </c>
      <c r="I679" s="181" t="str">
        <f>IFERROR(LOOKUP(2,1/((A_Corridor!$A$5:$A$204&lt;&gt;"")*(A_Corridor!$A$5:$A$204&lt;=$B679)*(A_Corridor!$B$5:$B$204&gt;$B679)*(A_Corridor!$F$5:$F$204&lt;&gt;"")),IF(A_Corridor!$F$5:$F$204="-","",1)),"")</f>
        <v/>
      </c>
      <c r="J679" s="182" t="str">
        <f>IFERROR(LOOKUP(2,1/((A_Corridor!$A$5:$A$204&lt;&gt;"")*(A_Corridor!$A$5:$A$204&lt;=$B679)*(A_Corridor!$B$5:$B$204&gt;$B679)*(A_Corridor!$F$5:$F$204&lt;&gt;"")),IF(A_Corridor!$F$5:$F$204="-","",A_Corridor!$F$5:$F$204)),"")</f>
        <v/>
      </c>
      <c r="K679" s="182" t="str">
        <f>IFERROR(LOOKUP(2,1/((A_Corridor!$A$5:$A$204&lt;&gt;"")*(A_Corridor!$A$5:$A$204&lt;=$B679)*(A_Corridor!$B$5:$B$204&gt;$B679)*(A_Corridor!$G$5:$G$204&lt;&gt;"")),IF(A_Corridor!$G$5:$G$204="-","",A_Corridor!$G$5:$G$204)),"")</f>
        <v/>
      </c>
      <c r="L679" s="181" t="str">
        <f>IFERROR(LOOKUP(2,1/((A_Corridor!$A$5:$A$204&lt;&gt;"")*(A_Corridor!$A$5:$A$204&lt;=$B679)*(A_Corridor!$B$5:$B$204&gt;$B679)*(A_Corridor!$H$5:$H$204&lt;&gt;"")),IF(A_Corridor!$H$5:$H$204="-","",1)),"")</f>
        <v/>
      </c>
      <c r="M679" s="182" t="str">
        <f>IFERROR(LOOKUP(2,1/((A_Corridor!$A$5:$A$204&lt;&gt;"")*(A_Corridor!$A$5:$A$204&lt;=$B679)*(A_Corridor!$B$5:$B$204&gt;$B679)*(A_Corridor!$H$5:$H$204&lt;&gt;"")),IF(A_Corridor!$H$5:$H$204="-","",A_Corridor!$H$5:$H$204)),"")</f>
        <v/>
      </c>
      <c r="N679" s="182" t="str">
        <f>IFERROR(LOOKUP(2,1/((A_Corridor!$A$5:$A$204&lt;&gt;"")*(A_Corridor!$A$5:$A$204&lt;=$B679)*(A_Corridor!$B$5:$B$204&gt;$B679)*(A_Corridor!$I$5:$I$204&lt;&gt;"")),IF(A_Corridor!$I$5:$I$204="-","",A_Corridor!$I$5:$I$204)),"")</f>
        <v/>
      </c>
      <c r="O679" s="182" t="str">
        <f>IFERROR(LOOKUP(2,1/((D_Points!$A$5:$A$204&lt;&gt;"")*(D_Points!$A$5:$A$204&gt;=$B679)*(D_Points!$A$5:$A$204&lt;$B679+P_Interval)*(UPPER(TRIM(D_Points!$B$5:$B$204))="PITCHING")*(D_Points!$H$5:$H$204&lt;&gt;"")),D_Points!$H$5:$H$204),"")</f>
        <v/>
      </c>
      <c r="P679" s="181" t="str">
        <f>IFERROR(LOOKUP(2,1/((B_Drainage!$A$5:$A$204&lt;&gt;"")*(B_Drainage!$A$5:$A$204&lt;=$B679)*(B_Drainage!$B$5:$B$204&gt;$B679)*(B_Drainage!$C$5:$C$204&lt;&gt;"")),IF(B_Drainage!$C$5:$C$204="-","",UPPER(B_Drainage!$C$5:$C$204))),"")</f>
        <v/>
      </c>
      <c r="Q679" s="181" t="str">
        <f>IFERROR(LOOKUP(2,1/((B_Drainage!$A$5:$A$204&lt;&gt;"")*(B_Drainage!$A$5:$A$204&lt;=$B679)*(B_Drainage!$B$5:$B$204&gt;$B679)*(B_Drainage!$D$5:$D$204&lt;&gt;"")),IF(B_Drainage!$D$5:$D$204="-","",UPPER(B_Drainage!$D$5:$D$204))),"")</f>
        <v/>
      </c>
      <c r="R679" s="182" t="str">
        <f>IFERROR(LOOKUP(2,1/((D_Points!$A$5:$A$204&lt;&gt;"")*(D_Points!$A$5:$A$204&gt;=$B679)*(D_Points!$A$5:$A$204&lt;$B679+P_Interval)*(RIGHT(UPPER(TRIM(D_Points!$B$5:$B$204)),8)="_CULVERT")),IF(LEFT(UPPER(TRIM(D_Points!$B$5:$B$204)),2)="EX",1,IF(LEFT(UPPER(TRIM(D_Points!$B$5:$B$204)),2)="PR",2,3))),"")</f>
        <v/>
      </c>
      <c r="S679" s="182" t="str">
        <f>IFERROR(LOOKUP(2,1/((D_Points!$A$5:$A$204&lt;&gt;"")*(D_Points!$A$5:$A$204&gt;=$B679)*(D_Points!$A$5:$A$204&lt;$B679+P_Interval)*(RIGHT(UPPER(TRIM(D_Points!$B$5:$B$204)),7)="_BRIDGE")),IF(LEFT(UPPER(TRIM(D_Points!$B$5:$B$204)),2)="EX",1,IF(LEFT(UPPER(TRIM(D_Points!$B$5:$B$204)),2)="PR",2,2))),"")</f>
        <v/>
      </c>
      <c r="T679" s="181" t="str">
        <f>IFERROR(LOOKUP(2,1/((B_Drainage!$A$5:$A$204&lt;&gt;"")*(B_Drainage!$A$5:$A$204&lt;=$B679)*(B_Drainage!$B$5:$B$204&gt;$B679)*(B_Drainage!$E$5:$E$204&lt;&gt;"")),IF(B_Drainage!$E$5:$E$204="-","",1)),"")</f>
        <v/>
      </c>
      <c r="U679" s="181" t="str">
        <f>IFERROR(LOOKUP(2,1/((B_Drainage!$A$5:$A$204&lt;&gt;"")*(B_Drainage!$A$5:$A$204&lt;=$B679)*(B_Drainage!$B$5:$B$204&gt;$B679)*(B_Drainage!$E$5:$E$204&lt;&gt;"")),IF(B_Drainage!$E$5:$E$204="-","",B_Drainage!$E$5:$E$204)),"")</f>
        <v/>
      </c>
      <c r="V679" s="181" t="str">
        <f>IFERROR(LOOKUP(2,1/((B_Drainage!$A$5:$A$204&lt;&gt;"")*(B_Drainage!$A$5:$A$204&lt;=$B679)*(B_Drainage!$B$5:$B$204&gt;$B679)*(B_Drainage!$F$5:$F$204&lt;&gt;"")),IF(B_Drainage!$F$5:$F$204="-","",1)),"")</f>
        <v/>
      </c>
      <c r="W679" s="181" t="str">
        <f>IFERROR(LOOKUP(2,1/((B_Drainage!$A$5:$A$204&lt;&gt;"")*(B_Drainage!$A$5:$A$204&lt;=$B679)*(B_Drainage!$B$5:$B$204&gt;$B679)*(B_Drainage!$F$5:$F$204&lt;&gt;"")),IF(B_Drainage!$F$5:$F$204="-","",B_Drainage!$F$5:$F$204)),"")</f>
        <v/>
      </c>
      <c r="X679" s="181" t="str">
        <f>IFERROR(LOOKUP(2,1/((B_Drainage!$A$5:$A$204&lt;&gt;"")*(B_Drainage!$A$5:$A$204&lt;=$B679)*(B_Drainage!$B$5:$B$204&gt;$B679)*(B_Drainage!$G$5:$G$204&lt;&gt;"")),IF(UPPER(B_Drainage!$G$5:$G$204)="Y",1,"")),"")</f>
        <v/>
      </c>
      <c r="Y679" s="181" t="str">
        <f>IFERROR(LOOKUP(2,1/((B_Drainage!$A$5:$A$204&lt;&gt;"")*(B_Drainage!$A$5:$A$204&lt;=$B679)*(B_Drainage!$B$5:$B$204&gt;$B679)*(B_Drainage!$H$5:$H$204&lt;&gt;"")),IF(UPPER(B_Drainage!$H$5:$H$204)="Y",1,"")),"")</f>
        <v/>
      </c>
      <c r="Z679" s="181" t="str">
        <f>IFERROR(LOOKUP(2,1/((B_Drainage!$A$5:$A$204&lt;&gt;"")*(B_Drainage!$A$5:$A$204&lt;=$B679)*(B_Drainage!$B$5:$B$204&gt;$B679)*(B_Drainage!$I$5:$I$204&lt;&gt;"")),IF(UPPER(B_Drainage!$I$5:$I$204)="Y",1,"")),"")</f>
        <v/>
      </c>
      <c r="AA679" s="181" t="str">
        <f>IFERROR(LOOKUP(2,1/((B_Drainage!$A$5:$A$204&lt;&gt;"")*(B_Drainage!$A$5:$A$204&lt;=$B679)*(B_Drainage!$B$5:$B$204&gt;$B679)*(B_Drainage!$J$5:$J$204&lt;&gt;"")),IF(UPPER(B_Drainage!$J$5:$J$204)="Y",1,"")),"")</f>
        <v/>
      </c>
      <c r="AB679" s="182" t="str">
        <f>IFERROR(LOOKUP(2,1/((B_Drainage!$A$5:$A$204&lt;&gt;"")*(B_Drainage!$A$5:$A$204&lt;=$B679)*(B_Drainage!$B$5:$B$204&gt;$B679)*(B_Drainage!$K$5:$K$204&lt;&gt;"")),IF(B_Drainage!$K$5:$K$204="-","",B_Drainage!$K$5:$K$204)),"")</f>
        <v/>
      </c>
      <c r="AC679" s="182" t="str">
        <f>IFERROR(LOOKUP(2,1/((B_Drainage!$A$5:$A$204&lt;&gt;"")*(B_Drainage!$A$5:$A$204&lt;=$B679)*(B_Drainage!$B$5:$B$204&gt;$B679)*(B_Drainage!$L$5:$L$204&lt;&gt;"")),IF(B_Drainage!$L$5:$L$204="-","",B_Drainage!$L$5:$L$204)),"")</f>
        <v/>
      </c>
      <c r="AD679" s="182" t="str">
        <f>IFERROR(LOOKUP(2,1/((D_Points!$A$5:$A$204&lt;&gt;"")*(D_Points!$A$5:$A$204&gt;=$B679)*(D_Points!$A$5:$A$204&lt;$B679+P_Interval)*(UPPER(TRIM(D_Points!$B$5:$B$204))="TURNOUT_L")*(D_Points!$H$5:$H$204&lt;&gt;"")),D_Points!$H$5:$H$204),"")</f>
        <v/>
      </c>
      <c r="AE679" s="182" t="str">
        <f>IFERROR(LOOKUP(2,1/((D_Points!$A$5:$A$204&lt;&gt;"")*(D_Points!$A$5:$A$204&gt;=$B679)*(D_Points!$A$5:$A$204&lt;$B679+P_Interval)*(UPPER(TRIM(D_Points!$B$5:$B$204))="TURNOUT_R")*(D_Points!$H$5:$H$204&lt;&gt;"")),D_Points!$H$5:$H$204),"")</f>
        <v/>
      </c>
      <c r="AF679" s="181" t="str">
        <f>IFERROR(LOOKUP(2,1/((B_Drainage!$A$5:$A$204&lt;&gt;"")*(B_Drainage!$A$5:$A$204&lt;=$B679)*(B_Drainage!$B$5:$B$204&gt;$B679)*(B_Drainage!$M$5:$M$204&lt;&gt;"")),IF(UPPER(B_Drainage!$M$5:$M$204)="Y",1,"")),"")</f>
        <v/>
      </c>
      <c r="AG679" s="181" t="str">
        <f>IFERROR(LOOKUP(2,1/((B_Drainage!$A$5:$A$204&lt;&gt;"")*(B_Drainage!$A$5:$A$204&lt;=$B679)*(B_Drainage!$B$5:$B$204&gt;$B679)*(B_Drainage!$N$5:$N$204&lt;&gt;"")),IF(UPPER(B_Drainage!$N$5:$N$204)="Y",1,"")),"")</f>
        <v/>
      </c>
      <c r="AH679" s="181" t="str">
        <f t="shared" si="80"/>
        <v/>
      </c>
      <c r="AI679" s="181" t="str">
        <f t="shared" si="81"/>
        <v/>
      </c>
      <c r="AJ679" s="181" t="str">
        <f t="shared" si="82"/>
        <v/>
      </c>
      <c r="AK679" s="181" t="str">
        <f t="shared" si="83"/>
        <v/>
      </c>
      <c r="AL679" s="181" t="str">
        <f t="shared" si="84"/>
        <v/>
      </c>
      <c r="AM679" s="181" t="str">
        <f t="shared" si="85"/>
        <v/>
      </c>
      <c r="AN679" s="181" t="str">
        <f t="shared" si="86"/>
        <v/>
      </c>
      <c r="AO679" s="192" t="str">
        <f t="shared" si="87"/>
        <v/>
      </c>
      <c r="AQ679" t="str">
        <f>IFERROR(LOOKUP(2,1/((C_Pavement!$A$5:$A$204&lt;&gt;"")*(C_Pavement!$A$5:$A$204&lt;=$B679)*(C_Pavement!$B$5:$B$204&gt;$B679)*(C_Pavement!$C$5:$C$204&lt;&gt;"")),ROW(C_Pavement!$C$5:$C$204)-4),"")</f>
        <v/>
      </c>
      <c r="AR679" t="str">
        <f>IF($AQ679="","",UPPER(TRIM(INDEX(C_Pavement!$C$5:$C$204,$AQ679))))</f>
        <v/>
      </c>
      <c r="AS679" t="str">
        <f>IF($AR679="","",IFERROR(MATCH($AR679,E_Rules!$A$5:$A$9,0),""))</f>
        <v/>
      </c>
      <c r="AT679" t="str">
        <f>IF($AQ679="","",IF(INDEX(C_Pavement!$D$5:$D$204,$AQ679)&lt;&gt;"",UPPER(TRIM(INDEX(C_Pavement!$D$5:$D$204,$AQ679))),IF($AS679="","",INDEX(E_Rules!$C$5:$C$9,$AS679))))</f>
        <v/>
      </c>
      <c r="AU679" t="str">
        <f>IF($AQ679="","",IF(INDEX(C_Pavement!$E$5:$E$204,$AQ679)&lt;&gt;"",IF(INDEX(C_Pavement!$E$5:$E$204,$AQ679)="-","",INDEX(C_Pavement!$E$5:$E$204,$AQ679)),IF($AS679="","",INDEX(E_Rules!$D$5:$D$9,$AS679))))</f>
        <v/>
      </c>
      <c r="AV679" t="str">
        <f>IF($AQ679="","",IF(INDEX(C_Pavement!$F$5:$F$204,$AQ679)&lt;&gt;"",IF(INDEX(C_Pavement!$F$5:$F$204,$AQ679)="-","",INDEX(C_Pavement!$F$5:$F$204,$AQ679)),IF($AS679="","",INDEX(E_Rules!$E$5:$E$9,$AS679))))</f>
        <v/>
      </c>
      <c r="AW679" t="str">
        <f>IF($AQ679="","",IF(INDEX(C_Pavement!$G$5:$G$204,$AQ679)&lt;&gt;"",IF(INDEX(C_Pavement!$G$5:$G$204,$AQ679)="-","",INDEX(C_Pavement!$G$5:$G$204,$AQ679)),IF($AS679="","",INDEX(E_Rules!$F$5:$F$9,$AS679))))</f>
        <v/>
      </c>
      <c r="AX679" t="str">
        <f>IF($AQ679="","",IF(INDEX(C_Pavement!$H$5:$H$204,$AQ679)&lt;&gt;"",IF(INDEX(C_Pavement!$H$5:$H$204,$AQ679)="-","",INDEX(C_Pavement!$H$5:$H$204,$AQ679)),IF($AS679="","",INDEX(E_Rules!$G$5:$G$9,$AS679))))</f>
        <v/>
      </c>
      <c r="AY679" t="str">
        <f>IF($AQ679="","",IF(INDEX(C_Pavement!$I$5:$I$204,$AQ679)&lt;&gt;"",IF(INDEX(C_Pavement!$I$5:$I$204,$AQ679)="-","",INDEX(C_Pavement!$I$5:$I$204,$AQ679)),IF($AS679="","",INDEX(E_Rules!$H$5:$H$9,$AS679))))</f>
        <v/>
      </c>
    </row>
    <row r="680" spans="1:51" ht="15.75" customHeight="1" x14ac:dyDescent="0.3">
      <c r="A680" s="189">
        <v>675</v>
      </c>
      <c r="B680" s="180">
        <v>33700</v>
      </c>
      <c r="C680" s="180" t="s">
        <v>986</v>
      </c>
      <c r="D680" s="181" t="str">
        <f>IFERROR(LOOKUP(2,1/((A_Corridor!$A$5:$A$204&lt;&gt;"")*(A_Corridor!$A$5:$A$204&lt;=$B680)*(A_Corridor!$B$5:$B$204&gt;$B680)*(A_Corridor!$C$5:$C$204&lt;&gt;"")),IF(UPPER(A_Corridor!$C$5:$C$204)="Y",1,"")),"")</f>
        <v/>
      </c>
      <c r="E680" s="181" t="str">
        <f>IFERROR(LOOKUP(2,1/((A_Corridor!$A$5:$A$204&lt;&gt;"")*(A_Corridor!$A$5:$A$204&lt;=$B680)*(A_Corridor!$B$5:$B$204&gt;$B680)*(A_Corridor!$D$5:$D$204&lt;&gt;"")),IF(A_Corridor!$D$5:$D$204="-","",UPPER(A_Corridor!$D$5:$D$204))),"")</f>
        <v/>
      </c>
      <c r="F680" s="181" t="str">
        <f>IFERROR(LOOKUP(2,1/((A_Corridor!$A$5:$A$204&lt;&gt;"")*(A_Corridor!$A$5:$A$204&lt;=$B680)*(A_Corridor!$B$5:$B$204&gt;$B680)*(A_Corridor!$E$5:$E$204&lt;&gt;"")),IF(A_Corridor!$E$5:$E$204="-","",1)),"")</f>
        <v/>
      </c>
      <c r="G680" s="182" t="str">
        <f>IFERROR(LOOKUP(2,1/((A_Corridor!$A$5:$A$204&lt;&gt;"")*(A_Corridor!$A$5:$A$204&lt;=$B680)*(A_Corridor!$B$5:$B$204&gt;$B680)*(A_Corridor!$E$5:$E$204&lt;&gt;"")),IF(A_Corridor!$E$5:$E$204="-","",A_Corridor!$E$5:$E$204)),"")</f>
        <v/>
      </c>
      <c r="H680" s="182" t="str">
        <f>IFERROR(LOOKUP(2,1/((D_Points!$A$5:$A$204&lt;&gt;"")*(D_Points!$A$5:$A$204&gt;=$B680)*(D_Points!$A$5:$A$204&lt;$B680+P_Interval)*(UPPER(TRIM(D_Points!$B$5:$B$204))="GULLY")*(D_Points!$H$5:$H$204&lt;&gt;"")),D_Points!$H$5:$H$204),"")</f>
        <v/>
      </c>
      <c r="I680" s="181" t="str">
        <f>IFERROR(LOOKUP(2,1/((A_Corridor!$A$5:$A$204&lt;&gt;"")*(A_Corridor!$A$5:$A$204&lt;=$B680)*(A_Corridor!$B$5:$B$204&gt;$B680)*(A_Corridor!$F$5:$F$204&lt;&gt;"")),IF(A_Corridor!$F$5:$F$204="-","",1)),"")</f>
        <v/>
      </c>
      <c r="J680" s="182" t="str">
        <f>IFERROR(LOOKUP(2,1/((A_Corridor!$A$5:$A$204&lt;&gt;"")*(A_Corridor!$A$5:$A$204&lt;=$B680)*(A_Corridor!$B$5:$B$204&gt;$B680)*(A_Corridor!$F$5:$F$204&lt;&gt;"")),IF(A_Corridor!$F$5:$F$204="-","",A_Corridor!$F$5:$F$204)),"")</f>
        <v/>
      </c>
      <c r="K680" s="182" t="str">
        <f>IFERROR(LOOKUP(2,1/((A_Corridor!$A$5:$A$204&lt;&gt;"")*(A_Corridor!$A$5:$A$204&lt;=$B680)*(A_Corridor!$B$5:$B$204&gt;$B680)*(A_Corridor!$G$5:$G$204&lt;&gt;"")),IF(A_Corridor!$G$5:$G$204="-","",A_Corridor!$G$5:$G$204)),"")</f>
        <v/>
      </c>
      <c r="L680" s="181" t="str">
        <f>IFERROR(LOOKUP(2,1/((A_Corridor!$A$5:$A$204&lt;&gt;"")*(A_Corridor!$A$5:$A$204&lt;=$B680)*(A_Corridor!$B$5:$B$204&gt;$B680)*(A_Corridor!$H$5:$H$204&lt;&gt;"")),IF(A_Corridor!$H$5:$H$204="-","",1)),"")</f>
        <v/>
      </c>
      <c r="M680" s="182" t="str">
        <f>IFERROR(LOOKUP(2,1/((A_Corridor!$A$5:$A$204&lt;&gt;"")*(A_Corridor!$A$5:$A$204&lt;=$B680)*(A_Corridor!$B$5:$B$204&gt;$B680)*(A_Corridor!$H$5:$H$204&lt;&gt;"")),IF(A_Corridor!$H$5:$H$204="-","",A_Corridor!$H$5:$H$204)),"")</f>
        <v/>
      </c>
      <c r="N680" s="182" t="str">
        <f>IFERROR(LOOKUP(2,1/((A_Corridor!$A$5:$A$204&lt;&gt;"")*(A_Corridor!$A$5:$A$204&lt;=$B680)*(A_Corridor!$B$5:$B$204&gt;$B680)*(A_Corridor!$I$5:$I$204&lt;&gt;"")),IF(A_Corridor!$I$5:$I$204="-","",A_Corridor!$I$5:$I$204)),"")</f>
        <v/>
      </c>
      <c r="O680" s="182" t="str">
        <f>IFERROR(LOOKUP(2,1/((D_Points!$A$5:$A$204&lt;&gt;"")*(D_Points!$A$5:$A$204&gt;=$B680)*(D_Points!$A$5:$A$204&lt;$B680+P_Interval)*(UPPER(TRIM(D_Points!$B$5:$B$204))="PITCHING")*(D_Points!$H$5:$H$204&lt;&gt;"")),D_Points!$H$5:$H$204),"")</f>
        <v/>
      </c>
      <c r="P680" s="181" t="str">
        <f>IFERROR(LOOKUP(2,1/((B_Drainage!$A$5:$A$204&lt;&gt;"")*(B_Drainage!$A$5:$A$204&lt;=$B680)*(B_Drainage!$B$5:$B$204&gt;$B680)*(B_Drainage!$C$5:$C$204&lt;&gt;"")),IF(B_Drainage!$C$5:$C$204="-","",UPPER(B_Drainage!$C$5:$C$204))),"")</f>
        <v/>
      </c>
      <c r="Q680" s="181" t="str">
        <f>IFERROR(LOOKUP(2,1/((B_Drainage!$A$5:$A$204&lt;&gt;"")*(B_Drainage!$A$5:$A$204&lt;=$B680)*(B_Drainage!$B$5:$B$204&gt;$B680)*(B_Drainage!$D$5:$D$204&lt;&gt;"")),IF(B_Drainage!$D$5:$D$204="-","",UPPER(B_Drainage!$D$5:$D$204))),"")</f>
        <v/>
      </c>
      <c r="R680" s="182" t="str">
        <f>IFERROR(LOOKUP(2,1/((D_Points!$A$5:$A$204&lt;&gt;"")*(D_Points!$A$5:$A$204&gt;=$B680)*(D_Points!$A$5:$A$204&lt;$B680+P_Interval)*(RIGHT(UPPER(TRIM(D_Points!$B$5:$B$204)),8)="_CULVERT")),IF(LEFT(UPPER(TRIM(D_Points!$B$5:$B$204)),2)="EX",1,IF(LEFT(UPPER(TRIM(D_Points!$B$5:$B$204)),2)="PR",2,3))),"")</f>
        <v/>
      </c>
      <c r="S680" s="182" t="str">
        <f>IFERROR(LOOKUP(2,1/((D_Points!$A$5:$A$204&lt;&gt;"")*(D_Points!$A$5:$A$204&gt;=$B680)*(D_Points!$A$5:$A$204&lt;$B680+P_Interval)*(RIGHT(UPPER(TRIM(D_Points!$B$5:$B$204)),7)="_BRIDGE")),IF(LEFT(UPPER(TRIM(D_Points!$B$5:$B$204)),2)="EX",1,IF(LEFT(UPPER(TRIM(D_Points!$B$5:$B$204)),2)="PR",2,2))),"")</f>
        <v/>
      </c>
      <c r="T680" s="181" t="str">
        <f>IFERROR(LOOKUP(2,1/((B_Drainage!$A$5:$A$204&lt;&gt;"")*(B_Drainage!$A$5:$A$204&lt;=$B680)*(B_Drainage!$B$5:$B$204&gt;$B680)*(B_Drainage!$E$5:$E$204&lt;&gt;"")),IF(B_Drainage!$E$5:$E$204="-","",1)),"")</f>
        <v/>
      </c>
      <c r="U680" s="181" t="str">
        <f>IFERROR(LOOKUP(2,1/((B_Drainage!$A$5:$A$204&lt;&gt;"")*(B_Drainage!$A$5:$A$204&lt;=$B680)*(B_Drainage!$B$5:$B$204&gt;$B680)*(B_Drainage!$E$5:$E$204&lt;&gt;"")),IF(B_Drainage!$E$5:$E$204="-","",B_Drainage!$E$5:$E$204)),"")</f>
        <v/>
      </c>
      <c r="V680" s="181" t="str">
        <f>IFERROR(LOOKUP(2,1/((B_Drainage!$A$5:$A$204&lt;&gt;"")*(B_Drainage!$A$5:$A$204&lt;=$B680)*(B_Drainage!$B$5:$B$204&gt;$B680)*(B_Drainage!$F$5:$F$204&lt;&gt;"")),IF(B_Drainage!$F$5:$F$204="-","",1)),"")</f>
        <v/>
      </c>
      <c r="W680" s="181" t="str">
        <f>IFERROR(LOOKUP(2,1/((B_Drainage!$A$5:$A$204&lt;&gt;"")*(B_Drainage!$A$5:$A$204&lt;=$B680)*(B_Drainage!$B$5:$B$204&gt;$B680)*(B_Drainage!$F$5:$F$204&lt;&gt;"")),IF(B_Drainage!$F$5:$F$204="-","",B_Drainage!$F$5:$F$204)),"")</f>
        <v/>
      </c>
      <c r="X680" s="181" t="str">
        <f>IFERROR(LOOKUP(2,1/((B_Drainage!$A$5:$A$204&lt;&gt;"")*(B_Drainage!$A$5:$A$204&lt;=$B680)*(B_Drainage!$B$5:$B$204&gt;$B680)*(B_Drainage!$G$5:$G$204&lt;&gt;"")),IF(UPPER(B_Drainage!$G$5:$G$204)="Y",1,"")),"")</f>
        <v/>
      </c>
      <c r="Y680" s="181" t="str">
        <f>IFERROR(LOOKUP(2,1/((B_Drainage!$A$5:$A$204&lt;&gt;"")*(B_Drainage!$A$5:$A$204&lt;=$B680)*(B_Drainage!$B$5:$B$204&gt;$B680)*(B_Drainage!$H$5:$H$204&lt;&gt;"")),IF(UPPER(B_Drainage!$H$5:$H$204)="Y",1,"")),"")</f>
        <v/>
      </c>
      <c r="Z680" s="181" t="str">
        <f>IFERROR(LOOKUP(2,1/((B_Drainage!$A$5:$A$204&lt;&gt;"")*(B_Drainage!$A$5:$A$204&lt;=$B680)*(B_Drainage!$B$5:$B$204&gt;$B680)*(B_Drainage!$I$5:$I$204&lt;&gt;"")),IF(UPPER(B_Drainage!$I$5:$I$204)="Y",1,"")),"")</f>
        <v/>
      </c>
      <c r="AA680" s="181" t="str">
        <f>IFERROR(LOOKUP(2,1/((B_Drainage!$A$5:$A$204&lt;&gt;"")*(B_Drainage!$A$5:$A$204&lt;=$B680)*(B_Drainage!$B$5:$B$204&gt;$B680)*(B_Drainage!$J$5:$J$204&lt;&gt;"")),IF(UPPER(B_Drainage!$J$5:$J$204)="Y",1,"")),"")</f>
        <v/>
      </c>
      <c r="AB680" s="182" t="str">
        <f>IFERROR(LOOKUP(2,1/((B_Drainage!$A$5:$A$204&lt;&gt;"")*(B_Drainage!$A$5:$A$204&lt;=$B680)*(B_Drainage!$B$5:$B$204&gt;$B680)*(B_Drainage!$K$5:$K$204&lt;&gt;"")),IF(B_Drainage!$K$5:$K$204="-","",B_Drainage!$K$5:$K$204)),"")</f>
        <v/>
      </c>
      <c r="AC680" s="182" t="str">
        <f>IFERROR(LOOKUP(2,1/((B_Drainage!$A$5:$A$204&lt;&gt;"")*(B_Drainage!$A$5:$A$204&lt;=$B680)*(B_Drainage!$B$5:$B$204&gt;$B680)*(B_Drainage!$L$5:$L$204&lt;&gt;"")),IF(B_Drainage!$L$5:$L$204="-","",B_Drainage!$L$5:$L$204)),"")</f>
        <v/>
      </c>
      <c r="AD680" s="182" t="str">
        <f>IFERROR(LOOKUP(2,1/((D_Points!$A$5:$A$204&lt;&gt;"")*(D_Points!$A$5:$A$204&gt;=$B680)*(D_Points!$A$5:$A$204&lt;$B680+P_Interval)*(UPPER(TRIM(D_Points!$B$5:$B$204))="TURNOUT_L")*(D_Points!$H$5:$H$204&lt;&gt;"")),D_Points!$H$5:$H$204),"")</f>
        <v/>
      </c>
      <c r="AE680" s="182" t="str">
        <f>IFERROR(LOOKUP(2,1/((D_Points!$A$5:$A$204&lt;&gt;"")*(D_Points!$A$5:$A$204&gt;=$B680)*(D_Points!$A$5:$A$204&lt;$B680+P_Interval)*(UPPER(TRIM(D_Points!$B$5:$B$204))="TURNOUT_R")*(D_Points!$H$5:$H$204&lt;&gt;"")),D_Points!$H$5:$H$204),"")</f>
        <v/>
      </c>
      <c r="AF680" s="181" t="str">
        <f>IFERROR(LOOKUP(2,1/((B_Drainage!$A$5:$A$204&lt;&gt;"")*(B_Drainage!$A$5:$A$204&lt;=$B680)*(B_Drainage!$B$5:$B$204&gt;$B680)*(B_Drainage!$M$5:$M$204&lt;&gt;"")),IF(UPPER(B_Drainage!$M$5:$M$204)="Y",1,"")),"")</f>
        <v/>
      </c>
      <c r="AG680" s="181" t="str">
        <f>IFERROR(LOOKUP(2,1/((B_Drainage!$A$5:$A$204&lt;&gt;"")*(B_Drainage!$A$5:$A$204&lt;=$B680)*(B_Drainage!$B$5:$B$204&gt;$B680)*(B_Drainage!$N$5:$N$204&lt;&gt;"")),IF(UPPER(B_Drainage!$N$5:$N$204)="Y",1,"")),"")</f>
        <v/>
      </c>
      <c r="AH680" s="181" t="str">
        <f t="shared" si="80"/>
        <v/>
      </c>
      <c r="AI680" s="181" t="str">
        <f t="shared" si="81"/>
        <v/>
      </c>
      <c r="AJ680" s="181" t="str">
        <f t="shared" si="82"/>
        <v/>
      </c>
      <c r="AK680" s="181" t="str">
        <f t="shared" si="83"/>
        <v/>
      </c>
      <c r="AL680" s="181" t="str">
        <f t="shared" si="84"/>
        <v/>
      </c>
      <c r="AM680" s="181" t="str">
        <f t="shared" si="85"/>
        <v/>
      </c>
      <c r="AN680" s="181" t="str">
        <f t="shared" si="86"/>
        <v/>
      </c>
      <c r="AO680" s="192" t="str">
        <f t="shared" si="87"/>
        <v/>
      </c>
      <c r="AQ680" t="str">
        <f>IFERROR(LOOKUP(2,1/((C_Pavement!$A$5:$A$204&lt;&gt;"")*(C_Pavement!$A$5:$A$204&lt;=$B680)*(C_Pavement!$B$5:$B$204&gt;$B680)*(C_Pavement!$C$5:$C$204&lt;&gt;"")),ROW(C_Pavement!$C$5:$C$204)-4),"")</f>
        <v/>
      </c>
      <c r="AR680" t="str">
        <f>IF($AQ680="","",UPPER(TRIM(INDEX(C_Pavement!$C$5:$C$204,$AQ680))))</f>
        <v/>
      </c>
      <c r="AS680" t="str">
        <f>IF($AR680="","",IFERROR(MATCH($AR680,E_Rules!$A$5:$A$9,0),""))</f>
        <v/>
      </c>
      <c r="AT680" t="str">
        <f>IF($AQ680="","",IF(INDEX(C_Pavement!$D$5:$D$204,$AQ680)&lt;&gt;"",UPPER(TRIM(INDEX(C_Pavement!$D$5:$D$204,$AQ680))),IF($AS680="","",INDEX(E_Rules!$C$5:$C$9,$AS680))))</f>
        <v/>
      </c>
      <c r="AU680" t="str">
        <f>IF($AQ680="","",IF(INDEX(C_Pavement!$E$5:$E$204,$AQ680)&lt;&gt;"",IF(INDEX(C_Pavement!$E$5:$E$204,$AQ680)="-","",INDEX(C_Pavement!$E$5:$E$204,$AQ680)),IF($AS680="","",INDEX(E_Rules!$D$5:$D$9,$AS680))))</f>
        <v/>
      </c>
      <c r="AV680" t="str">
        <f>IF($AQ680="","",IF(INDEX(C_Pavement!$F$5:$F$204,$AQ680)&lt;&gt;"",IF(INDEX(C_Pavement!$F$5:$F$204,$AQ680)="-","",INDEX(C_Pavement!$F$5:$F$204,$AQ680)),IF($AS680="","",INDEX(E_Rules!$E$5:$E$9,$AS680))))</f>
        <v/>
      </c>
      <c r="AW680" t="str">
        <f>IF($AQ680="","",IF(INDEX(C_Pavement!$G$5:$G$204,$AQ680)&lt;&gt;"",IF(INDEX(C_Pavement!$G$5:$G$204,$AQ680)="-","",INDEX(C_Pavement!$G$5:$G$204,$AQ680)),IF($AS680="","",INDEX(E_Rules!$F$5:$F$9,$AS680))))</f>
        <v/>
      </c>
      <c r="AX680" t="str">
        <f>IF($AQ680="","",IF(INDEX(C_Pavement!$H$5:$H$204,$AQ680)&lt;&gt;"",IF(INDEX(C_Pavement!$H$5:$H$204,$AQ680)="-","",INDEX(C_Pavement!$H$5:$H$204,$AQ680)),IF($AS680="","",INDEX(E_Rules!$G$5:$G$9,$AS680))))</f>
        <v/>
      </c>
      <c r="AY680" t="str">
        <f>IF($AQ680="","",IF(INDEX(C_Pavement!$I$5:$I$204,$AQ680)&lt;&gt;"",IF(INDEX(C_Pavement!$I$5:$I$204,$AQ680)="-","",INDEX(C_Pavement!$I$5:$I$204,$AQ680)),IF($AS680="","",INDEX(E_Rules!$H$5:$H$9,$AS680))))</f>
        <v/>
      </c>
    </row>
    <row r="681" spans="1:51" ht="15.75" customHeight="1" x14ac:dyDescent="0.3">
      <c r="A681" s="189">
        <v>676</v>
      </c>
      <c r="B681" s="180">
        <v>33750</v>
      </c>
      <c r="C681" s="180" t="s">
        <v>987</v>
      </c>
      <c r="D681" s="181" t="str">
        <f>IFERROR(LOOKUP(2,1/((A_Corridor!$A$5:$A$204&lt;&gt;"")*(A_Corridor!$A$5:$A$204&lt;=$B681)*(A_Corridor!$B$5:$B$204&gt;$B681)*(A_Corridor!$C$5:$C$204&lt;&gt;"")),IF(UPPER(A_Corridor!$C$5:$C$204)="Y",1,"")),"")</f>
        <v/>
      </c>
      <c r="E681" s="181" t="str">
        <f>IFERROR(LOOKUP(2,1/((A_Corridor!$A$5:$A$204&lt;&gt;"")*(A_Corridor!$A$5:$A$204&lt;=$B681)*(A_Corridor!$B$5:$B$204&gt;$B681)*(A_Corridor!$D$5:$D$204&lt;&gt;"")),IF(A_Corridor!$D$5:$D$204="-","",UPPER(A_Corridor!$D$5:$D$204))),"")</f>
        <v/>
      </c>
      <c r="F681" s="181" t="str">
        <f>IFERROR(LOOKUP(2,1/((A_Corridor!$A$5:$A$204&lt;&gt;"")*(A_Corridor!$A$5:$A$204&lt;=$B681)*(A_Corridor!$B$5:$B$204&gt;$B681)*(A_Corridor!$E$5:$E$204&lt;&gt;"")),IF(A_Corridor!$E$5:$E$204="-","",1)),"")</f>
        <v/>
      </c>
      <c r="G681" s="182" t="str">
        <f>IFERROR(LOOKUP(2,1/((A_Corridor!$A$5:$A$204&lt;&gt;"")*(A_Corridor!$A$5:$A$204&lt;=$B681)*(A_Corridor!$B$5:$B$204&gt;$B681)*(A_Corridor!$E$5:$E$204&lt;&gt;"")),IF(A_Corridor!$E$5:$E$204="-","",A_Corridor!$E$5:$E$204)),"")</f>
        <v/>
      </c>
      <c r="H681" s="182" t="str">
        <f>IFERROR(LOOKUP(2,1/((D_Points!$A$5:$A$204&lt;&gt;"")*(D_Points!$A$5:$A$204&gt;=$B681)*(D_Points!$A$5:$A$204&lt;$B681+P_Interval)*(UPPER(TRIM(D_Points!$B$5:$B$204))="GULLY")*(D_Points!$H$5:$H$204&lt;&gt;"")),D_Points!$H$5:$H$204),"")</f>
        <v/>
      </c>
      <c r="I681" s="181" t="str">
        <f>IFERROR(LOOKUP(2,1/((A_Corridor!$A$5:$A$204&lt;&gt;"")*(A_Corridor!$A$5:$A$204&lt;=$B681)*(A_Corridor!$B$5:$B$204&gt;$B681)*(A_Corridor!$F$5:$F$204&lt;&gt;"")),IF(A_Corridor!$F$5:$F$204="-","",1)),"")</f>
        <v/>
      </c>
      <c r="J681" s="182" t="str">
        <f>IFERROR(LOOKUP(2,1/((A_Corridor!$A$5:$A$204&lt;&gt;"")*(A_Corridor!$A$5:$A$204&lt;=$B681)*(A_Corridor!$B$5:$B$204&gt;$B681)*(A_Corridor!$F$5:$F$204&lt;&gt;"")),IF(A_Corridor!$F$5:$F$204="-","",A_Corridor!$F$5:$F$204)),"")</f>
        <v/>
      </c>
      <c r="K681" s="182" t="str">
        <f>IFERROR(LOOKUP(2,1/((A_Corridor!$A$5:$A$204&lt;&gt;"")*(A_Corridor!$A$5:$A$204&lt;=$B681)*(A_Corridor!$B$5:$B$204&gt;$B681)*(A_Corridor!$G$5:$G$204&lt;&gt;"")),IF(A_Corridor!$G$5:$G$204="-","",A_Corridor!$G$5:$G$204)),"")</f>
        <v/>
      </c>
      <c r="L681" s="181" t="str">
        <f>IFERROR(LOOKUP(2,1/((A_Corridor!$A$5:$A$204&lt;&gt;"")*(A_Corridor!$A$5:$A$204&lt;=$B681)*(A_Corridor!$B$5:$B$204&gt;$B681)*(A_Corridor!$H$5:$H$204&lt;&gt;"")),IF(A_Corridor!$H$5:$H$204="-","",1)),"")</f>
        <v/>
      </c>
      <c r="M681" s="182" t="str">
        <f>IFERROR(LOOKUP(2,1/((A_Corridor!$A$5:$A$204&lt;&gt;"")*(A_Corridor!$A$5:$A$204&lt;=$B681)*(A_Corridor!$B$5:$B$204&gt;$B681)*(A_Corridor!$H$5:$H$204&lt;&gt;"")),IF(A_Corridor!$H$5:$H$204="-","",A_Corridor!$H$5:$H$204)),"")</f>
        <v/>
      </c>
      <c r="N681" s="182" t="str">
        <f>IFERROR(LOOKUP(2,1/((A_Corridor!$A$5:$A$204&lt;&gt;"")*(A_Corridor!$A$5:$A$204&lt;=$B681)*(A_Corridor!$B$5:$B$204&gt;$B681)*(A_Corridor!$I$5:$I$204&lt;&gt;"")),IF(A_Corridor!$I$5:$I$204="-","",A_Corridor!$I$5:$I$204)),"")</f>
        <v/>
      </c>
      <c r="O681" s="182" t="str">
        <f>IFERROR(LOOKUP(2,1/((D_Points!$A$5:$A$204&lt;&gt;"")*(D_Points!$A$5:$A$204&gt;=$B681)*(D_Points!$A$5:$A$204&lt;$B681+P_Interval)*(UPPER(TRIM(D_Points!$B$5:$B$204))="PITCHING")*(D_Points!$H$5:$H$204&lt;&gt;"")),D_Points!$H$5:$H$204),"")</f>
        <v/>
      </c>
      <c r="P681" s="181" t="str">
        <f>IFERROR(LOOKUP(2,1/((B_Drainage!$A$5:$A$204&lt;&gt;"")*(B_Drainage!$A$5:$A$204&lt;=$B681)*(B_Drainage!$B$5:$B$204&gt;$B681)*(B_Drainage!$C$5:$C$204&lt;&gt;"")),IF(B_Drainage!$C$5:$C$204="-","",UPPER(B_Drainage!$C$5:$C$204))),"")</f>
        <v/>
      </c>
      <c r="Q681" s="181" t="str">
        <f>IFERROR(LOOKUP(2,1/((B_Drainage!$A$5:$A$204&lt;&gt;"")*(B_Drainage!$A$5:$A$204&lt;=$B681)*(B_Drainage!$B$5:$B$204&gt;$B681)*(B_Drainage!$D$5:$D$204&lt;&gt;"")),IF(B_Drainage!$D$5:$D$204="-","",UPPER(B_Drainage!$D$5:$D$204))),"")</f>
        <v/>
      </c>
      <c r="R681" s="182" t="str">
        <f>IFERROR(LOOKUP(2,1/((D_Points!$A$5:$A$204&lt;&gt;"")*(D_Points!$A$5:$A$204&gt;=$B681)*(D_Points!$A$5:$A$204&lt;$B681+P_Interval)*(RIGHT(UPPER(TRIM(D_Points!$B$5:$B$204)),8)="_CULVERT")),IF(LEFT(UPPER(TRIM(D_Points!$B$5:$B$204)),2)="EX",1,IF(LEFT(UPPER(TRIM(D_Points!$B$5:$B$204)),2)="PR",2,3))),"")</f>
        <v/>
      </c>
      <c r="S681" s="182" t="str">
        <f>IFERROR(LOOKUP(2,1/((D_Points!$A$5:$A$204&lt;&gt;"")*(D_Points!$A$5:$A$204&gt;=$B681)*(D_Points!$A$5:$A$204&lt;$B681+P_Interval)*(RIGHT(UPPER(TRIM(D_Points!$B$5:$B$204)),7)="_BRIDGE")),IF(LEFT(UPPER(TRIM(D_Points!$B$5:$B$204)),2)="EX",1,IF(LEFT(UPPER(TRIM(D_Points!$B$5:$B$204)),2)="PR",2,2))),"")</f>
        <v/>
      </c>
      <c r="T681" s="181" t="str">
        <f>IFERROR(LOOKUP(2,1/((B_Drainage!$A$5:$A$204&lt;&gt;"")*(B_Drainage!$A$5:$A$204&lt;=$B681)*(B_Drainage!$B$5:$B$204&gt;$B681)*(B_Drainage!$E$5:$E$204&lt;&gt;"")),IF(B_Drainage!$E$5:$E$204="-","",1)),"")</f>
        <v/>
      </c>
      <c r="U681" s="181" t="str">
        <f>IFERROR(LOOKUP(2,1/((B_Drainage!$A$5:$A$204&lt;&gt;"")*(B_Drainage!$A$5:$A$204&lt;=$B681)*(B_Drainage!$B$5:$B$204&gt;$B681)*(B_Drainage!$E$5:$E$204&lt;&gt;"")),IF(B_Drainage!$E$5:$E$204="-","",B_Drainage!$E$5:$E$204)),"")</f>
        <v/>
      </c>
      <c r="V681" s="181" t="str">
        <f>IFERROR(LOOKUP(2,1/((B_Drainage!$A$5:$A$204&lt;&gt;"")*(B_Drainage!$A$5:$A$204&lt;=$B681)*(B_Drainage!$B$5:$B$204&gt;$B681)*(B_Drainage!$F$5:$F$204&lt;&gt;"")),IF(B_Drainage!$F$5:$F$204="-","",1)),"")</f>
        <v/>
      </c>
      <c r="W681" s="181" t="str">
        <f>IFERROR(LOOKUP(2,1/((B_Drainage!$A$5:$A$204&lt;&gt;"")*(B_Drainage!$A$5:$A$204&lt;=$B681)*(B_Drainage!$B$5:$B$204&gt;$B681)*(B_Drainage!$F$5:$F$204&lt;&gt;"")),IF(B_Drainage!$F$5:$F$204="-","",B_Drainage!$F$5:$F$204)),"")</f>
        <v/>
      </c>
      <c r="X681" s="181" t="str">
        <f>IFERROR(LOOKUP(2,1/((B_Drainage!$A$5:$A$204&lt;&gt;"")*(B_Drainage!$A$5:$A$204&lt;=$B681)*(B_Drainage!$B$5:$B$204&gt;$B681)*(B_Drainage!$G$5:$G$204&lt;&gt;"")),IF(UPPER(B_Drainage!$G$5:$G$204)="Y",1,"")),"")</f>
        <v/>
      </c>
      <c r="Y681" s="181" t="str">
        <f>IFERROR(LOOKUP(2,1/((B_Drainage!$A$5:$A$204&lt;&gt;"")*(B_Drainage!$A$5:$A$204&lt;=$B681)*(B_Drainage!$B$5:$B$204&gt;$B681)*(B_Drainage!$H$5:$H$204&lt;&gt;"")),IF(UPPER(B_Drainage!$H$5:$H$204)="Y",1,"")),"")</f>
        <v/>
      </c>
      <c r="Z681" s="181" t="str">
        <f>IFERROR(LOOKUP(2,1/((B_Drainage!$A$5:$A$204&lt;&gt;"")*(B_Drainage!$A$5:$A$204&lt;=$B681)*(B_Drainage!$B$5:$B$204&gt;$B681)*(B_Drainage!$I$5:$I$204&lt;&gt;"")),IF(UPPER(B_Drainage!$I$5:$I$204)="Y",1,"")),"")</f>
        <v/>
      </c>
      <c r="AA681" s="181" t="str">
        <f>IFERROR(LOOKUP(2,1/((B_Drainage!$A$5:$A$204&lt;&gt;"")*(B_Drainage!$A$5:$A$204&lt;=$B681)*(B_Drainage!$B$5:$B$204&gt;$B681)*(B_Drainage!$J$5:$J$204&lt;&gt;"")),IF(UPPER(B_Drainage!$J$5:$J$204)="Y",1,"")),"")</f>
        <v/>
      </c>
      <c r="AB681" s="182" t="str">
        <f>IFERROR(LOOKUP(2,1/((B_Drainage!$A$5:$A$204&lt;&gt;"")*(B_Drainage!$A$5:$A$204&lt;=$B681)*(B_Drainage!$B$5:$B$204&gt;$B681)*(B_Drainage!$K$5:$K$204&lt;&gt;"")),IF(B_Drainage!$K$5:$K$204="-","",B_Drainage!$K$5:$K$204)),"")</f>
        <v/>
      </c>
      <c r="AC681" s="182" t="str">
        <f>IFERROR(LOOKUP(2,1/((B_Drainage!$A$5:$A$204&lt;&gt;"")*(B_Drainage!$A$5:$A$204&lt;=$B681)*(B_Drainage!$B$5:$B$204&gt;$B681)*(B_Drainage!$L$5:$L$204&lt;&gt;"")),IF(B_Drainage!$L$5:$L$204="-","",B_Drainage!$L$5:$L$204)),"")</f>
        <v/>
      </c>
      <c r="AD681" s="182" t="str">
        <f>IFERROR(LOOKUP(2,1/((D_Points!$A$5:$A$204&lt;&gt;"")*(D_Points!$A$5:$A$204&gt;=$B681)*(D_Points!$A$5:$A$204&lt;$B681+P_Interval)*(UPPER(TRIM(D_Points!$B$5:$B$204))="TURNOUT_L")*(D_Points!$H$5:$H$204&lt;&gt;"")),D_Points!$H$5:$H$204),"")</f>
        <v/>
      </c>
      <c r="AE681" s="182" t="str">
        <f>IFERROR(LOOKUP(2,1/((D_Points!$A$5:$A$204&lt;&gt;"")*(D_Points!$A$5:$A$204&gt;=$B681)*(D_Points!$A$5:$A$204&lt;$B681+P_Interval)*(UPPER(TRIM(D_Points!$B$5:$B$204))="TURNOUT_R")*(D_Points!$H$5:$H$204&lt;&gt;"")),D_Points!$H$5:$H$204),"")</f>
        <v/>
      </c>
      <c r="AF681" s="181" t="str">
        <f>IFERROR(LOOKUP(2,1/((B_Drainage!$A$5:$A$204&lt;&gt;"")*(B_Drainage!$A$5:$A$204&lt;=$B681)*(B_Drainage!$B$5:$B$204&gt;$B681)*(B_Drainage!$M$5:$M$204&lt;&gt;"")),IF(UPPER(B_Drainage!$M$5:$M$204)="Y",1,"")),"")</f>
        <v/>
      </c>
      <c r="AG681" s="181" t="str">
        <f>IFERROR(LOOKUP(2,1/((B_Drainage!$A$5:$A$204&lt;&gt;"")*(B_Drainage!$A$5:$A$204&lt;=$B681)*(B_Drainage!$B$5:$B$204&gt;$B681)*(B_Drainage!$N$5:$N$204&lt;&gt;"")),IF(UPPER(B_Drainage!$N$5:$N$204)="Y",1,"")),"")</f>
        <v/>
      </c>
      <c r="AH681" s="181" t="str">
        <f t="shared" si="80"/>
        <v/>
      </c>
      <c r="AI681" s="181" t="str">
        <f t="shared" si="81"/>
        <v/>
      </c>
      <c r="AJ681" s="181" t="str">
        <f t="shared" si="82"/>
        <v/>
      </c>
      <c r="AK681" s="181" t="str">
        <f t="shared" si="83"/>
        <v/>
      </c>
      <c r="AL681" s="181" t="str">
        <f t="shared" si="84"/>
        <v/>
      </c>
      <c r="AM681" s="181" t="str">
        <f t="shared" si="85"/>
        <v/>
      </c>
      <c r="AN681" s="181" t="str">
        <f t="shared" si="86"/>
        <v/>
      </c>
      <c r="AO681" s="192" t="str">
        <f t="shared" si="87"/>
        <v/>
      </c>
      <c r="AQ681" t="str">
        <f>IFERROR(LOOKUP(2,1/((C_Pavement!$A$5:$A$204&lt;&gt;"")*(C_Pavement!$A$5:$A$204&lt;=$B681)*(C_Pavement!$B$5:$B$204&gt;$B681)*(C_Pavement!$C$5:$C$204&lt;&gt;"")),ROW(C_Pavement!$C$5:$C$204)-4),"")</f>
        <v/>
      </c>
      <c r="AR681" t="str">
        <f>IF($AQ681="","",UPPER(TRIM(INDEX(C_Pavement!$C$5:$C$204,$AQ681))))</f>
        <v/>
      </c>
      <c r="AS681" t="str">
        <f>IF($AR681="","",IFERROR(MATCH($AR681,E_Rules!$A$5:$A$9,0),""))</f>
        <v/>
      </c>
      <c r="AT681" t="str">
        <f>IF($AQ681="","",IF(INDEX(C_Pavement!$D$5:$D$204,$AQ681)&lt;&gt;"",UPPER(TRIM(INDEX(C_Pavement!$D$5:$D$204,$AQ681))),IF($AS681="","",INDEX(E_Rules!$C$5:$C$9,$AS681))))</f>
        <v/>
      </c>
      <c r="AU681" t="str">
        <f>IF($AQ681="","",IF(INDEX(C_Pavement!$E$5:$E$204,$AQ681)&lt;&gt;"",IF(INDEX(C_Pavement!$E$5:$E$204,$AQ681)="-","",INDEX(C_Pavement!$E$5:$E$204,$AQ681)),IF($AS681="","",INDEX(E_Rules!$D$5:$D$9,$AS681))))</f>
        <v/>
      </c>
      <c r="AV681" t="str">
        <f>IF($AQ681="","",IF(INDEX(C_Pavement!$F$5:$F$204,$AQ681)&lt;&gt;"",IF(INDEX(C_Pavement!$F$5:$F$204,$AQ681)="-","",INDEX(C_Pavement!$F$5:$F$204,$AQ681)),IF($AS681="","",INDEX(E_Rules!$E$5:$E$9,$AS681))))</f>
        <v/>
      </c>
      <c r="AW681" t="str">
        <f>IF($AQ681="","",IF(INDEX(C_Pavement!$G$5:$G$204,$AQ681)&lt;&gt;"",IF(INDEX(C_Pavement!$G$5:$G$204,$AQ681)="-","",INDEX(C_Pavement!$G$5:$G$204,$AQ681)),IF($AS681="","",INDEX(E_Rules!$F$5:$F$9,$AS681))))</f>
        <v/>
      </c>
      <c r="AX681" t="str">
        <f>IF($AQ681="","",IF(INDEX(C_Pavement!$H$5:$H$204,$AQ681)&lt;&gt;"",IF(INDEX(C_Pavement!$H$5:$H$204,$AQ681)="-","",INDEX(C_Pavement!$H$5:$H$204,$AQ681)),IF($AS681="","",INDEX(E_Rules!$G$5:$G$9,$AS681))))</f>
        <v/>
      </c>
      <c r="AY681" t="str">
        <f>IF($AQ681="","",IF(INDEX(C_Pavement!$I$5:$I$204,$AQ681)&lt;&gt;"",IF(INDEX(C_Pavement!$I$5:$I$204,$AQ681)="-","",INDEX(C_Pavement!$I$5:$I$204,$AQ681)),IF($AS681="","",INDEX(E_Rules!$H$5:$H$9,$AS681))))</f>
        <v/>
      </c>
    </row>
    <row r="682" spans="1:51" ht="15.75" customHeight="1" x14ac:dyDescent="0.3">
      <c r="A682" s="189">
        <v>677</v>
      </c>
      <c r="B682" s="180">
        <v>33800</v>
      </c>
      <c r="C682" s="180" t="s">
        <v>988</v>
      </c>
      <c r="D682" s="181" t="str">
        <f>IFERROR(LOOKUP(2,1/((A_Corridor!$A$5:$A$204&lt;&gt;"")*(A_Corridor!$A$5:$A$204&lt;=$B682)*(A_Corridor!$B$5:$B$204&gt;$B682)*(A_Corridor!$C$5:$C$204&lt;&gt;"")),IF(UPPER(A_Corridor!$C$5:$C$204)="Y",1,"")),"")</f>
        <v/>
      </c>
      <c r="E682" s="181" t="str">
        <f>IFERROR(LOOKUP(2,1/((A_Corridor!$A$5:$A$204&lt;&gt;"")*(A_Corridor!$A$5:$A$204&lt;=$B682)*(A_Corridor!$B$5:$B$204&gt;$B682)*(A_Corridor!$D$5:$D$204&lt;&gt;"")),IF(A_Corridor!$D$5:$D$204="-","",UPPER(A_Corridor!$D$5:$D$204))),"")</f>
        <v/>
      </c>
      <c r="F682" s="181" t="str">
        <f>IFERROR(LOOKUP(2,1/((A_Corridor!$A$5:$A$204&lt;&gt;"")*(A_Corridor!$A$5:$A$204&lt;=$B682)*(A_Corridor!$B$5:$B$204&gt;$B682)*(A_Corridor!$E$5:$E$204&lt;&gt;"")),IF(A_Corridor!$E$5:$E$204="-","",1)),"")</f>
        <v/>
      </c>
      <c r="G682" s="182" t="str">
        <f>IFERROR(LOOKUP(2,1/((A_Corridor!$A$5:$A$204&lt;&gt;"")*(A_Corridor!$A$5:$A$204&lt;=$B682)*(A_Corridor!$B$5:$B$204&gt;$B682)*(A_Corridor!$E$5:$E$204&lt;&gt;"")),IF(A_Corridor!$E$5:$E$204="-","",A_Corridor!$E$5:$E$204)),"")</f>
        <v/>
      </c>
      <c r="H682" s="182" t="str">
        <f>IFERROR(LOOKUP(2,1/((D_Points!$A$5:$A$204&lt;&gt;"")*(D_Points!$A$5:$A$204&gt;=$B682)*(D_Points!$A$5:$A$204&lt;$B682+P_Interval)*(UPPER(TRIM(D_Points!$B$5:$B$204))="GULLY")*(D_Points!$H$5:$H$204&lt;&gt;"")),D_Points!$H$5:$H$204),"")</f>
        <v/>
      </c>
      <c r="I682" s="181" t="str">
        <f>IFERROR(LOOKUP(2,1/((A_Corridor!$A$5:$A$204&lt;&gt;"")*(A_Corridor!$A$5:$A$204&lt;=$B682)*(A_Corridor!$B$5:$B$204&gt;$B682)*(A_Corridor!$F$5:$F$204&lt;&gt;"")),IF(A_Corridor!$F$5:$F$204="-","",1)),"")</f>
        <v/>
      </c>
      <c r="J682" s="182" t="str">
        <f>IFERROR(LOOKUP(2,1/((A_Corridor!$A$5:$A$204&lt;&gt;"")*(A_Corridor!$A$5:$A$204&lt;=$B682)*(A_Corridor!$B$5:$B$204&gt;$B682)*(A_Corridor!$F$5:$F$204&lt;&gt;"")),IF(A_Corridor!$F$5:$F$204="-","",A_Corridor!$F$5:$F$204)),"")</f>
        <v/>
      </c>
      <c r="K682" s="182" t="str">
        <f>IFERROR(LOOKUP(2,1/((A_Corridor!$A$5:$A$204&lt;&gt;"")*(A_Corridor!$A$5:$A$204&lt;=$B682)*(A_Corridor!$B$5:$B$204&gt;$B682)*(A_Corridor!$G$5:$G$204&lt;&gt;"")),IF(A_Corridor!$G$5:$G$204="-","",A_Corridor!$G$5:$G$204)),"")</f>
        <v/>
      </c>
      <c r="L682" s="181" t="str">
        <f>IFERROR(LOOKUP(2,1/((A_Corridor!$A$5:$A$204&lt;&gt;"")*(A_Corridor!$A$5:$A$204&lt;=$B682)*(A_Corridor!$B$5:$B$204&gt;$B682)*(A_Corridor!$H$5:$H$204&lt;&gt;"")),IF(A_Corridor!$H$5:$H$204="-","",1)),"")</f>
        <v/>
      </c>
      <c r="M682" s="182" t="str">
        <f>IFERROR(LOOKUP(2,1/((A_Corridor!$A$5:$A$204&lt;&gt;"")*(A_Corridor!$A$5:$A$204&lt;=$B682)*(A_Corridor!$B$5:$B$204&gt;$B682)*(A_Corridor!$H$5:$H$204&lt;&gt;"")),IF(A_Corridor!$H$5:$H$204="-","",A_Corridor!$H$5:$H$204)),"")</f>
        <v/>
      </c>
      <c r="N682" s="182" t="str">
        <f>IFERROR(LOOKUP(2,1/((A_Corridor!$A$5:$A$204&lt;&gt;"")*(A_Corridor!$A$5:$A$204&lt;=$B682)*(A_Corridor!$B$5:$B$204&gt;$B682)*(A_Corridor!$I$5:$I$204&lt;&gt;"")),IF(A_Corridor!$I$5:$I$204="-","",A_Corridor!$I$5:$I$204)),"")</f>
        <v/>
      </c>
      <c r="O682" s="182" t="str">
        <f>IFERROR(LOOKUP(2,1/((D_Points!$A$5:$A$204&lt;&gt;"")*(D_Points!$A$5:$A$204&gt;=$B682)*(D_Points!$A$5:$A$204&lt;$B682+P_Interval)*(UPPER(TRIM(D_Points!$B$5:$B$204))="PITCHING")*(D_Points!$H$5:$H$204&lt;&gt;"")),D_Points!$H$5:$H$204),"")</f>
        <v/>
      </c>
      <c r="P682" s="181" t="str">
        <f>IFERROR(LOOKUP(2,1/((B_Drainage!$A$5:$A$204&lt;&gt;"")*(B_Drainage!$A$5:$A$204&lt;=$B682)*(B_Drainage!$B$5:$B$204&gt;$B682)*(B_Drainage!$C$5:$C$204&lt;&gt;"")),IF(B_Drainage!$C$5:$C$204="-","",UPPER(B_Drainage!$C$5:$C$204))),"")</f>
        <v/>
      </c>
      <c r="Q682" s="181" t="str">
        <f>IFERROR(LOOKUP(2,1/((B_Drainage!$A$5:$A$204&lt;&gt;"")*(B_Drainage!$A$5:$A$204&lt;=$B682)*(B_Drainage!$B$5:$B$204&gt;$B682)*(B_Drainage!$D$5:$D$204&lt;&gt;"")),IF(B_Drainage!$D$5:$D$204="-","",UPPER(B_Drainage!$D$5:$D$204))),"")</f>
        <v/>
      </c>
      <c r="R682" s="182" t="str">
        <f>IFERROR(LOOKUP(2,1/((D_Points!$A$5:$A$204&lt;&gt;"")*(D_Points!$A$5:$A$204&gt;=$B682)*(D_Points!$A$5:$A$204&lt;$B682+P_Interval)*(RIGHT(UPPER(TRIM(D_Points!$B$5:$B$204)),8)="_CULVERT")),IF(LEFT(UPPER(TRIM(D_Points!$B$5:$B$204)),2)="EX",1,IF(LEFT(UPPER(TRIM(D_Points!$B$5:$B$204)),2)="PR",2,3))),"")</f>
        <v/>
      </c>
      <c r="S682" s="182" t="str">
        <f>IFERROR(LOOKUP(2,1/((D_Points!$A$5:$A$204&lt;&gt;"")*(D_Points!$A$5:$A$204&gt;=$B682)*(D_Points!$A$5:$A$204&lt;$B682+P_Interval)*(RIGHT(UPPER(TRIM(D_Points!$B$5:$B$204)),7)="_BRIDGE")),IF(LEFT(UPPER(TRIM(D_Points!$B$5:$B$204)),2)="EX",1,IF(LEFT(UPPER(TRIM(D_Points!$B$5:$B$204)),2)="PR",2,2))),"")</f>
        <v/>
      </c>
      <c r="T682" s="181" t="str">
        <f>IFERROR(LOOKUP(2,1/((B_Drainage!$A$5:$A$204&lt;&gt;"")*(B_Drainage!$A$5:$A$204&lt;=$B682)*(B_Drainage!$B$5:$B$204&gt;$B682)*(B_Drainage!$E$5:$E$204&lt;&gt;"")),IF(B_Drainage!$E$5:$E$204="-","",1)),"")</f>
        <v/>
      </c>
      <c r="U682" s="181" t="str">
        <f>IFERROR(LOOKUP(2,1/((B_Drainage!$A$5:$A$204&lt;&gt;"")*(B_Drainage!$A$5:$A$204&lt;=$B682)*(B_Drainage!$B$5:$B$204&gt;$B682)*(B_Drainage!$E$5:$E$204&lt;&gt;"")),IF(B_Drainage!$E$5:$E$204="-","",B_Drainage!$E$5:$E$204)),"")</f>
        <v/>
      </c>
      <c r="V682" s="181" t="str">
        <f>IFERROR(LOOKUP(2,1/((B_Drainage!$A$5:$A$204&lt;&gt;"")*(B_Drainage!$A$5:$A$204&lt;=$B682)*(B_Drainage!$B$5:$B$204&gt;$B682)*(B_Drainage!$F$5:$F$204&lt;&gt;"")),IF(B_Drainage!$F$5:$F$204="-","",1)),"")</f>
        <v/>
      </c>
      <c r="W682" s="181" t="str">
        <f>IFERROR(LOOKUP(2,1/((B_Drainage!$A$5:$A$204&lt;&gt;"")*(B_Drainage!$A$5:$A$204&lt;=$B682)*(B_Drainage!$B$5:$B$204&gt;$B682)*(B_Drainage!$F$5:$F$204&lt;&gt;"")),IF(B_Drainage!$F$5:$F$204="-","",B_Drainage!$F$5:$F$204)),"")</f>
        <v/>
      </c>
      <c r="X682" s="181" t="str">
        <f>IFERROR(LOOKUP(2,1/((B_Drainage!$A$5:$A$204&lt;&gt;"")*(B_Drainage!$A$5:$A$204&lt;=$B682)*(B_Drainage!$B$5:$B$204&gt;$B682)*(B_Drainage!$G$5:$G$204&lt;&gt;"")),IF(UPPER(B_Drainage!$G$5:$G$204)="Y",1,"")),"")</f>
        <v/>
      </c>
      <c r="Y682" s="181" t="str">
        <f>IFERROR(LOOKUP(2,1/((B_Drainage!$A$5:$A$204&lt;&gt;"")*(B_Drainage!$A$5:$A$204&lt;=$B682)*(B_Drainage!$B$5:$B$204&gt;$B682)*(B_Drainage!$H$5:$H$204&lt;&gt;"")),IF(UPPER(B_Drainage!$H$5:$H$204)="Y",1,"")),"")</f>
        <v/>
      </c>
      <c r="Z682" s="181" t="str">
        <f>IFERROR(LOOKUP(2,1/((B_Drainage!$A$5:$A$204&lt;&gt;"")*(B_Drainage!$A$5:$A$204&lt;=$B682)*(B_Drainage!$B$5:$B$204&gt;$B682)*(B_Drainage!$I$5:$I$204&lt;&gt;"")),IF(UPPER(B_Drainage!$I$5:$I$204)="Y",1,"")),"")</f>
        <v/>
      </c>
      <c r="AA682" s="181" t="str">
        <f>IFERROR(LOOKUP(2,1/((B_Drainage!$A$5:$A$204&lt;&gt;"")*(B_Drainage!$A$5:$A$204&lt;=$B682)*(B_Drainage!$B$5:$B$204&gt;$B682)*(B_Drainage!$J$5:$J$204&lt;&gt;"")),IF(UPPER(B_Drainage!$J$5:$J$204)="Y",1,"")),"")</f>
        <v/>
      </c>
      <c r="AB682" s="182" t="str">
        <f>IFERROR(LOOKUP(2,1/((B_Drainage!$A$5:$A$204&lt;&gt;"")*(B_Drainage!$A$5:$A$204&lt;=$B682)*(B_Drainage!$B$5:$B$204&gt;$B682)*(B_Drainage!$K$5:$K$204&lt;&gt;"")),IF(B_Drainage!$K$5:$K$204="-","",B_Drainage!$K$5:$K$204)),"")</f>
        <v/>
      </c>
      <c r="AC682" s="182" t="str">
        <f>IFERROR(LOOKUP(2,1/((B_Drainage!$A$5:$A$204&lt;&gt;"")*(B_Drainage!$A$5:$A$204&lt;=$B682)*(B_Drainage!$B$5:$B$204&gt;$B682)*(B_Drainage!$L$5:$L$204&lt;&gt;"")),IF(B_Drainage!$L$5:$L$204="-","",B_Drainage!$L$5:$L$204)),"")</f>
        <v/>
      </c>
      <c r="AD682" s="182" t="str">
        <f>IFERROR(LOOKUP(2,1/((D_Points!$A$5:$A$204&lt;&gt;"")*(D_Points!$A$5:$A$204&gt;=$B682)*(D_Points!$A$5:$A$204&lt;$B682+P_Interval)*(UPPER(TRIM(D_Points!$B$5:$B$204))="TURNOUT_L")*(D_Points!$H$5:$H$204&lt;&gt;"")),D_Points!$H$5:$H$204),"")</f>
        <v/>
      </c>
      <c r="AE682" s="182" t="str">
        <f>IFERROR(LOOKUP(2,1/((D_Points!$A$5:$A$204&lt;&gt;"")*(D_Points!$A$5:$A$204&gt;=$B682)*(D_Points!$A$5:$A$204&lt;$B682+P_Interval)*(UPPER(TRIM(D_Points!$B$5:$B$204))="TURNOUT_R")*(D_Points!$H$5:$H$204&lt;&gt;"")),D_Points!$H$5:$H$204),"")</f>
        <v/>
      </c>
      <c r="AF682" s="181" t="str">
        <f>IFERROR(LOOKUP(2,1/((B_Drainage!$A$5:$A$204&lt;&gt;"")*(B_Drainage!$A$5:$A$204&lt;=$B682)*(B_Drainage!$B$5:$B$204&gt;$B682)*(B_Drainage!$M$5:$M$204&lt;&gt;"")),IF(UPPER(B_Drainage!$M$5:$M$204)="Y",1,"")),"")</f>
        <v/>
      </c>
      <c r="AG682" s="181" t="str">
        <f>IFERROR(LOOKUP(2,1/((B_Drainage!$A$5:$A$204&lt;&gt;"")*(B_Drainage!$A$5:$A$204&lt;=$B682)*(B_Drainage!$B$5:$B$204&gt;$B682)*(B_Drainage!$N$5:$N$204&lt;&gt;"")),IF(UPPER(B_Drainage!$N$5:$N$204)="Y",1,"")),"")</f>
        <v/>
      </c>
      <c r="AH682" s="181" t="str">
        <f t="shared" si="80"/>
        <v/>
      </c>
      <c r="AI682" s="181" t="str">
        <f t="shared" si="81"/>
        <v/>
      </c>
      <c r="AJ682" s="181" t="str">
        <f t="shared" si="82"/>
        <v/>
      </c>
      <c r="AK682" s="181" t="str">
        <f t="shared" si="83"/>
        <v/>
      </c>
      <c r="AL682" s="181" t="str">
        <f t="shared" si="84"/>
        <v/>
      </c>
      <c r="AM682" s="181" t="str">
        <f t="shared" si="85"/>
        <v/>
      </c>
      <c r="AN682" s="181" t="str">
        <f t="shared" si="86"/>
        <v/>
      </c>
      <c r="AO682" s="192" t="str">
        <f t="shared" si="87"/>
        <v/>
      </c>
      <c r="AQ682" t="str">
        <f>IFERROR(LOOKUP(2,1/((C_Pavement!$A$5:$A$204&lt;&gt;"")*(C_Pavement!$A$5:$A$204&lt;=$B682)*(C_Pavement!$B$5:$B$204&gt;$B682)*(C_Pavement!$C$5:$C$204&lt;&gt;"")),ROW(C_Pavement!$C$5:$C$204)-4),"")</f>
        <v/>
      </c>
      <c r="AR682" t="str">
        <f>IF($AQ682="","",UPPER(TRIM(INDEX(C_Pavement!$C$5:$C$204,$AQ682))))</f>
        <v/>
      </c>
      <c r="AS682" t="str">
        <f>IF($AR682="","",IFERROR(MATCH($AR682,E_Rules!$A$5:$A$9,0),""))</f>
        <v/>
      </c>
      <c r="AT682" t="str">
        <f>IF($AQ682="","",IF(INDEX(C_Pavement!$D$5:$D$204,$AQ682)&lt;&gt;"",UPPER(TRIM(INDEX(C_Pavement!$D$5:$D$204,$AQ682))),IF($AS682="","",INDEX(E_Rules!$C$5:$C$9,$AS682))))</f>
        <v/>
      </c>
      <c r="AU682" t="str">
        <f>IF($AQ682="","",IF(INDEX(C_Pavement!$E$5:$E$204,$AQ682)&lt;&gt;"",IF(INDEX(C_Pavement!$E$5:$E$204,$AQ682)="-","",INDEX(C_Pavement!$E$5:$E$204,$AQ682)),IF($AS682="","",INDEX(E_Rules!$D$5:$D$9,$AS682))))</f>
        <v/>
      </c>
      <c r="AV682" t="str">
        <f>IF($AQ682="","",IF(INDEX(C_Pavement!$F$5:$F$204,$AQ682)&lt;&gt;"",IF(INDEX(C_Pavement!$F$5:$F$204,$AQ682)="-","",INDEX(C_Pavement!$F$5:$F$204,$AQ682)),IF($AS682="","",INDEX(E_Rules!$E$5:$E$9,$AS682))))</f>
        <v/>
      </c>
      <c r="AW682" t="str">
        <f>IF($AQ682="","",IF(INDEX(C_Pavement!$G$5:$G$204,$AQ682)&lt;&gt;"",IF(INDEX(C_Pavement!$G$5:$G$204,$AQ682)="-","",INDEX(C_Pavement!$G$5:$G$204,$AQ682)),IF($AS682="","",INDEX(E_Rules!$F$5:$F$9,$AS682))))</f>
        <v/>
      </c>
      <c r="AX682" t="str">
        <f>IF($AQ682="","",IF(INDEX(C_Pavement!$H$5:$H$204,$AQ682)&lt;&gt;"",IF(INDEX(C_Pavement!$H$5:$H$204,$AQ682)="-","",INDEX(C_Pavement!$H$5:$H$204,$AQ682)),IF($AS682="","",INDEX(E_Rules!$G$5:$G$9,$AS682))))</f>
        <v/>
      </c>
      <c r="AY682" t="str">
        <f>IF($AQ682="","",IF(INDEX(C_Pavement!$I$5:$I$204,$AQ682)&lt;&gt;"",IF(INDEX(C_Pavement!$I$5:$I$204,$AQ682)="-","",INDEX(C_Pavement!$I$5:$I$204,$AQ682)),IF($AS682="","",INDEX(E_Rules!$H$5:$H$9,$AS682))))</f>
        <v/>
      </c>
    </row>
    <row r="683" spans="1:51" ht="15.75" customHeight="1" x14ac:dyDescent="0.3">
      <c r="A683" s="189">
        <v>678</v>
      </c>
      <c r="B683" s="180">
        <v>33850</v>
      </c>
      <c r="C683" s="180" t="s">
        <v>989</v>
      </c>
      <c r="D683" s="181" t="str">
        <f>IFERROR(LOOKUP(2,1/((A_Corridor!$A$5:$A$204&lt;&gt;"")*(A_Corridor!$A$5:$A$204&lt;=$B683)*(A_Corridor!$B$5:$B$204&gt;$B683)*(A_Corridor!$C$5:$C$204&lt;&gt;"")),IF(UPPER(A_Corridor!$C$5:$C$204)="Y",1,"")),"")</f>
        <v/>
      </c>
      <c r="E683" s="181" t="str">
        <f>IFERROR(LOOKUP(2,1/((A_Corridor!$A$5:$A$204&lt;&gt;"")*(A_Corridor!$A$5:$A$204&lt;=$B683)*(A_Corridor!$B$5:$B$204&gt;$B683)*(A_Corridor!$D$5:$D$204&lt;&gt;"")),IF(A_Corridor!$D$5:$D$204="-","",UPPER(A_Corridor!$D$5:$D$204))),"")</f>
        <v/>
      </c>
      <c r="F683" s="181" t="str">
        <f>IFERROR(LOOKUP(2,1/((A_Corridor!$A$5:$A$204&lt;&gt;"")*(A_Corridor!$A$5:$A$204&lt;=$B683)*(A_Corridor!$B$5:$B$204&gt;$B683)*(A_Corridor!$E$5:$E$204&lt;&gt;"")),IF(A_Corridor!$E$5:$E$204="-","",1)),"")</f>
        <v/>
      </c>
      <c r="G683" s="182" t="str">
        <f>IFERROR(LOOKUP(2,1/((A_Corridor!$A$5:$A$204&lt;&gt;"")*(A_Corridor!$A$5:$A$204&lt;=$B683)*(A_Corridor!$B$5:$B$204&gt;$B683)*(A_Corridor!$E$5:$E$204&lt;&gt;"")),IF(A_Corridor!$E$5:$E$204="-","",A_Corridor!$E$5:$E$204)),"")</f>
        <v/>
      </c>
      <c r="H683" s="182" t="str">
        <f>IFERROR(LOOKUP(2,1/((D_Points!$A$5:$A$204&lt;&gt;"")*(D_Points!$A$5:$A$204&gt;=$B683)*(D_Points!$A$5:$A$204&lt;$B683+P_Interval)*(UPPER(TRIM(D_Points!$B$5:$B$204))="GULLY")*(D_Points!$H$5:$H$204&lt;&gt;"")),D_Points!$H$5:$H$204),"")</f>
        <v/>
      </c>
      <c r="I683" s="181" t="str">
        <f>IFERROR(LOOKUP(2,1/((A_Corridor!$A$5:$A$204&lt;&gt;"")*(A_Corridor!$A$5:$A$204&lt;=$B683)*(A_Corridor!$B$5:$B$204&gt;$B683)*(A_Corridor!$F$5:$F$204&lt;&gt;"")),IF(A_Corridor!$F$5:$F$204="-","",1)),"")</f>
        <v/>
      </c>
      <c r="J683" s="182" t="str">
        <f>IFERROR(LOOKUP(2,1/((A_Corridor!$A$5:$A$204&lt;&gt;"")*(A_Corridor!$A$5:$A$204&lt;=$B683)*(A_Corridor!$B$5:$B$204&gt;$B683)*(A_Corridor!$F$5:$F$204&lt;&gt;"")),IF(A_Corridor!$F$5:$F$204="-","",A_Corridor!$F$5:$F$204)),"")</f>
        <v/>
      </c>
      <c r="K683" s="182" t="str">
        <f>IFERROR(LOOKUP(2,1/((A_Corridor!$A$5:$A$204&lt;&gt;"")*(A_Corridor!$A$5:$A$204&lt;=$B683)*(A_Corridor!$B$5:$B$204&gt;$B683)*(A_Corridor!$G$5:$G$204&lt;&gt;"")),IF(A_Corridor!$G$5:$G$204="-","",A_Corridor!$G$5:$G$204)),"")</f>
        <v/>
      </c>
      <c r="L683" s="181" t="str">
        <f>IFERROR(LOOKUP(2,1/((A_Corridor!$A$5:$A$204&lt;&gt;"")*(A_Corridor!$A$5:$A$204&lt;=$B683)*(A_Corridor!$B$5:$B$204&gt;$B683)*(A_Corridor!$H$5:$H$204&lt;&gt;"")),IF(A_Corridor!$H$5:$H$204="-","",1)),"")</f>
        <v/>
      </c>
      <c r="M683" s="182" t="str">
        <f>IFERROR(LOOKUP(2,1/((A_Corridor!$A$5:$A$204&lt;&gt;"")*(A_Corridor!$A$5:$A$204&lt;=$B683)*(A_Corridor!$B$5:$B$204&gt;$B683)*(A_Corridor!$H$5:$H$204&lt;&gt;"")),IF(A_Corridor!$H$5:$H$204="-","",A_Corridor!$H$5:$H$204)),"")</f>
        <v/>
      </c>
      <c r="N683" s="182" t="str">
        <f>IFERROR(LOOKUP(2,1/((A_Corridor!$A$5:$A$204&lt;&gt;"")*(A_Corridor!$A$5:$A$204&lt;=$B683)*(A_Corridor!$B$5:$B$204&gt;$B683)*(A_Corridor!$I$5:$I$204&lt;&gt;"")),IF(A_Corridor!$I$5:$I$204="-","",A_Corridor!$I$5:$I$204)),"")</f>
        <v/>
      </c>
      <c r="O683" s="182" t="str">
        <f>IFERROR(LOOKUP(2,1/((D_Points!$A$5:$A$204&lt;&gt;"")*(D_Points!$A$5:$A$204&gt;=$B683)*(D_Points!$A$5:$A$204&lt;$B683+P_Interval)*(UPPER(TRIM(D_Points!$B$5:$B$204))="PITCHING")*(D_Points!$H$5:$H$204&lt;&gt;"")),D_Points!$H$5:$H$204),"")</f>
        <v/>
      </c>
      <c r="P683" s="181" t="str">
        <f>IFERROR(LOOKUP(2,1/((B_Drainage!$A$5:$A$204&lt;&gt;"")*(B_Drainage!$A$5:$A$204&lt;=$B683)*(B_Drainage!$B$5:$B$204&gt;$B683)*(B_Drainage!$C$5:$C$204&lt;&gt;"")),IF(B_Drainage!$C$5:$C$204="-","",UPPER(B_Drainage!$C$5:$C$204))),"")</f>
        <v/>
      </c>
      <c r="Q683" s="181" t="str">
        <f>IFERROR(LOOKUP(2,1/((B_Drainage!$A$5:$A$204&lt;&gt;"")*(B_Drainage!$A$5:$A$204&lt;=$B683)*(B_Drainage!$B$5:$B$204&gt;$B683)*(B_Drainage!$D$5:$D$204&lt;&gt;"")),IF(B_Drainage!$D$5:$D$204="-","",UPPER(B_Drainage!$D$5:$D$204))),"")</f>
        <v/>
      </c>
      <c r="R683" s="182" t="str">
        <f>IFERROR(LOOKUP(2,1/((D_Points!$A$5:$A$204&lt;&gt;"")*(D_Points!$A$5:$A$204&gt;=$B683)*(D_Points!$A$5:$A$204&lt;$B683+P_Interval)*(RIGHT(UPPER(TRIM(D_Points!$B$5:$B$204)),8)="_CULVERT")),IF(LEFT(UPPER(TRIM(D_Points!$B$5:$B$204)),2)="EX",1,IF(LEFT(UPPER(TRIM(D_Points!$B$5:$B$204)),2)="PR",2,3))),"")</f>
        <v/>
      </c>
      <c r="S683" s="182" t="str">
        <f>IFERROR(LOOKUP(2,1/((D_Points!$A$5:$A$204&lt;&gt;"")*(D_Points!$A$5:$A$204&gt;=$B683)*(D_Points!$A$5:$A$204&lt;$B683+P_Interval)*(RIGHT(UPPER(TRIM(D_Points!$B$5:$B$204)),7)="_BRIDGE")),IF(LEFT(UPPER(TRIM(D_Points!$B$5:$B$204)),2)="EX",1,IF(LEFT(UPPER(TRIM(D_Points!$B$5:$B$204)),2)="PR",2,2))),"")</f>
        <v/>
      </c>
      <c r="T683" s="181" t="str">
        <f>IFERROR(LOOKUP(2,1/((B_Drainage!$A$5:$A$204&lt;&gt;"")*(B_Drainage!$A$5:$A$204&lt;=$B683)*(B_Drainage!$B$5:$B$204&gt;$B683)*(B_Drainage!$E$5:$E$204&lt;&gt;"")),IF(B_Drainage!$E$5:$E$204="-","",1)),"")</f>
        <v/>
      </c>
      <c r="U683" s="181" t="str">
        <f>IFERROR(LOOKUP(2,1/((B_Drainage!$A$5:$A$204&lt;&gt;"")*(B_Drainage!$A$5:$A$204&lt;=$B683)*(B_Drainage!$B$5:$B$204&gt;$B683)*(B_Drainage!$E$5:$E$204&lt;&gt;"")),IF(B_Drainage!$E$5:$E$204="-","",B_Drainage!$E$5:$E$204)),"")</f>
        <v/>
      </c>
      <c r="V683" s="181" t="str">
        <f>IFERROR(LOOKUP(2,1/((B_Drainage!$A$5:$A$204&lt;&gt;"")*(B_Drainage!$A$5:$A$204&lt;=$B683)*(B_Drainage!$B$5:$B$204&gt;$B683)*(B_Drainage!$F$5:$F$204&lt;&gt;"")),IF(B_Drainage!$F$5:$F$204="-","",1)),"")</f>
        <v/>
      </c>
      <c r="W683" s="181" t="str">
        <f>IFERROR(LOOKUP(2,1/((B_Drainage!$A$5:$A$204&lt;&gt;"")*(B_Drainage!$A$5:$A$204&lt;=$B683)*(B_Drainage!$B$5:$B$204&gt;$B683)*(B_Drainage!$F$5:$F$204&lt;&gt;"")),IF(B_Drainage!$F$5:$F$204="-","",B_Drainage!$F$5:$F$204)),"")</f>
        <v/>
      </c>
      <c r="X683" s="181" t="str">
        <f>IFERROR(LOOKUP(2,1/((B_Drainage!$A$5:$A$204&lt;&gt;"")*(B_Drainage!$A$5:$A$204&lt;=$B683)*(B_Drainage!$B$5:$B$204&gt;$B683)*(B_Drainage!$G$5:$G$204&lt;&gt;"")),IF(UPPER(B_Drainage!$G$5:$G$204)="Y",1,"")),"")</f>
        <v/>
      </c>
      <c r="Y683" s="181" t="str">
        <f>IFERROR(LOOKUP(2,1/((B_Drainage!$A$5:$A$204&lt;&gt;"")*(B_Drainage!$A$5:$A$204&lt;=$B683)*(B_Drainage!$B$5:$B$204&gt;$B683)*(B_Drainage!$H$5:$H$204&lt;&gt;"")),IF(UPPER(B_Drainage!$H$5:$H$204)="Y",1,"")),"")</f>
        <v/>
      </c>
      <c r="Z683" s="181" t="str">
        <f>IFERROR(LOOKUP(2,1/((B_Drainage!$A$5:$A$204&lt;&gt;"")*(B_Drainage!$A$5:$A$204&lt;=$B683)*(B_Drainage!$B$5:$B$204&gt;$B683)*(B_Drainage!$I$5:$I$204&lt;&gt;"")),IF(UPPER(B_Drainage!$I$5:$I$204)="Y",1,"")),"")</f>
        <v/>
      </c>
      <c r="AA683" s="181" t="str">
        <f>IFERROR(LOOKUP(2,1/((B_Drainage!$A$5:$A$204&lt;&gt;"")*(B_Drainage!$A$5:$A$204&lt;=$B683)*(B_Drainage!$B$5:$B$204&gt;$B683)*(B_Drainage!$J$5:$J$204&lt;&gt;"")),IF(UPPER(B_Drainage!$J$5:$J$204)="Y",1,"")),"")</f>
        <v/>
      </c>
      <c r="AB683" s="182" t="str">
        <f>IFERROR(LOOKUP(2,1/((B_Drainage!$A$5:$A$204&lt;&gt;"")*(B_Drainage!$A$5:$A$204&lt;=$B683)*(B_Drainage!$B$5:$B$204&gt;$B683)*(B_Drainage!$K$5:$K$204&lt;&gt;"")),IF(B_Drainage!$K$5:$K$204="-","",B_Drainage!$K$5:$K$204)),"")</f>
        <v/>
      </c>
      <c r="AC683" s="182" t="str">
        <f>IFERROR(LOOKUP(2,1/((B_Drainage!$A$5:$A$204&lt;&gt;"")*(B_Drainage!$A$5:$A$204&lt;=$B683)*(B_Drainage!$B$5:$B$204&gt;$B683)*(B_Drainage!$L$5:$L$204&lt;&gt;"")),IF(B_Drainage!$L$5:$L$204="-","",B_Drainage!$L$5:$L$204)),"")</f>
        <v/>
      </c>
      <c r="AD683" s="182" t="str">
        <f>IFERROR(LOOKUP(2,1/((D_Points!$A$5:$A$204&lt;&gt;"")*(D_Points!$A$5:$A$204&gt;=$B683)*(D_Points!$A$5:$A$204&lt;$B683+P_Interval)*(UPPER(TRIM(D_Points!$B$5:$B$204))="TURNOUT_L")*(D_Points!$H$5:$H$204&lt;&gt;"")),D_Points!$H$5:$H$204),"")</f>
        <v/>
      </c>
      <c r="AE683" s="182" t="str">
        <f>IFERROR(LOOKUP(2,1/((D_Points!$A$5:$A$204&lt;&gt;"")*(D_Points!$A$5:$A$204&gt;=$B683)*(D_Points!$A$5:$A$204&lt;$B683+P_Interval)*(UPPER(TRIM(D_Points!$B$5:$B$204))="TURNOUT_R")*(D_Points!$H$5:$H$204&lt;&gt;"")),D_Points!$H$5:$H$204),"")</f>
        <v/>
      </c>
      <c r="AF683" s="181" t="str">
        <f>IFERROR(LOOKUP(2,1/((B_Drainage!$A$5:$A$204&lt;&gt;"")*(B_Drainage!$A$5:$A$204&lt;=$B683)*(B_Drainage!$B$5:$B$204&gt;$B683)*(B_Drainage!$M$5:$M$204&lt;&gt;"")),IF(UPPER(B_Drainage!$M$5:$M$204)="Y",1,"")),"")</f>
        <v/>
      </c>
      <c r="AG683" s="181" t="str">
        <f>IFERROR(LOOKUP(2,1/((B_Drainage!$A$5:$A$204&lt;&gt;"")*(B_Drainage!$A$5:$A$204&lt;=$B683)*(B_Drainage!$B$5:$B$204&gt;$B683)*(B_Drainage!$N$5:$N$204&lt;&gt;"")),IF(UPPER(B_Drainage!$N$5:$N$204)="Y",1,"")),"")</f>
        <v/>
      </c>
      <c r="AH683" s="181" t="str">
        <f t="shared" si="80"/>
        <v/>
      </c>
      <c r="AI683" s="181" t="str">
        <f t="shared" si="81"/>
        <v/>
      </c>
      <c r="AJ683" s="181" t="str">
        <f t="shared" si="82"/>
        <v/>
      </c>
      <c r="AK683" s="181" t="str">
        <f t="shared" si="83"/>
        <v/>
      </c>
      <c r="AL683" s="181" t="str">
        <f t="shared" si="84"/>
        <v/>
      </c>
      <c r="AM683" s="181" t="str">
        <f t="shared" si="85"/>
        <v/>
      </c>
      <c r="AN683" s="181" t="str">
        <f t="shared" si="86"/>
        <v/>
      </c>
      <c r="AO683" s="192" t="str">
        <f t="shared" si="87"/>
        <v/>
      </c>
      <c r="AQ683" t="str">
        <f>IFERROR(LOOKUP(2,1/((C_Pavement!$A$5:$A$204&lt;&gt;"")*(C_Pavement!$A$5:$A$204&lt;=$B683)*(C_Pavement!$B$5:$B$204&gt;$B683)*(C_Pavement!$C$5:$C$204&lt;&gt;"")),ROW(C_Pavement!$C$5:$C$204)-4),"")</f>
        <v/>
      </c>
      <c r="AR683" t="str">
        <f>IF($AQ683="","",UPPER(TRIM(INDEX(C_Pavement!$C$5:$C$204,$AQ683))))</f>
        <v/>
      </c>
      <c r="AS683" t="str">
        <f>IF($AR683="","",IFERROR(MATCH($AR683,E_Rules!$A$5:$A$9,0),""))</f>
        <v/>
      </c>
      <c r="AT683" t="str">
        <f>IF($AQ683="","",IF(INDEX(C_Pavement!$D$5:$D$204,$AQ683)&lt;&gt;"",UPPER(TRIM(INDEX(C_Pavement!$D$5:$D$204,$AQ683))),IF($AS683="","",INDEX(E_Rules!$C$5:$C$9,$AS683))))</f>
        <v/>
      </c>
      <c r="AU683" t="str">
        <f>IF($AQ683="","",IF(INDEX(C_Pavement!$E$5:$E$204,$AQ683)&lt;&gt;"",IF(INDEX(C_Pavement!$E$5:$E$204,$AQ683)="-","",INDEX(C_Pavement!$E$5:$E$204,$AQ683)),IF($AS683="","",INDEX(E_Rules!$D$5:$D$9,$AS683))))</f>
        <v/>
      </c>
      <c r="AV683" t="str">
        <f>IF($AQ683="","",IF(INDEX(C_Pavement!$F$5:$F$204,$AQ683)&lt;&gt;"",IF(INDEX(C_Pavement!$F$5:$F$204,$AQ683)="-","",INDEX(C_Pavement!$F$5:$F$204,$AQ683)),IF($AS683="","",INDEX(E_Rules!$E$5:$E$9,$AS683))))</f>
        <v/>
      </c>
      <c r="AW683" t="str">
        <f>IF($AQ683="","",IF(INDEX(C_Pavement!$G$5:$G$204,$AQ683)&lt;&gt;"",IF(INDEX(C_Pavement!$G$5:$G$204,$AQ683)="-","",INDEX(C_Pavement!$G$5:$G$204,$AQ683)),IF($AS683="","",INDEX(E_Rules!$F$5:$F$9,$AS683))))</f>
        <v/>
      </c>
      <c r="AX683" t="str">
        <f>IF($AQ683="","",IF(INDEX(C_Pavement!$H$5:$H$204,$AQ683)&lt;&gt;"",IF(INDEX(C_Pavement!$H$5:$H$204,$AQ683)="-","",INDEX(C_Pavement!$H$5:$H$204,$AQ683)),IF($AS683="","",INDEX(E_Rules!$G$5:$G$9,$AS683))))</f>
        <v/>
      </c>
      <c r="AY683" t="str">
        <f>IF($AQ683="","",IF(INDEX(C_Pavement!$I$5:$I$204,$AQ683)&lt;&gt;"",IF(INDEX(C_Pavement!$I$5:$I$204,$AQ683)="-","",INDEX(C_Pavement!$I$5:$I$204,$AQ683)),IF($AS683="","",INDEX(E_Rules!$H$5:$H$9,$AS683))))</f>
        <v/>
      </c>
    </row>
    <row r="684" spans="1:51" ht="15.75" customHeight="1" x14ac:dyDescent="0.3">
      <c r="A684" s="189">
        <v>679</v>
      </c>
      <c r="B684" s="180">
        <v>33900</v>
      </c>
      <c r="C684" s="180" t="s">
        <v>990</v>
      </c>
      <c r="D684" s="181" t="str">
        <f>IFERROR(LOOKUP(2,1/((A_Corridor!$A$5:$A$204&lt;&gt;"")*(A_Corridor!$A$5:$A$204&lt;=$B684)*(A_Corridor!$B$5:$B$204&gt;$B684)*(A_Corridor!$C$5:$C$204&lt;&gt;"")),IF(UPPER(A_Corridor!$C$5:$C$204)="Y",1,"")),"")</f>
        <v/>
      </c>
      <c r="E684" s="181" t="str">
        <f>IFERROR(LOOKUP(2,1/((A_Corridor!$A$5:$A$204&lt;&gt;"")*(A_Corridor!$A$5:$A$204&lt;=$B684)*(A_Corridor!$B$5:$B$204&gt;$B684)*(A_Corridor!$D$5:$D$204&lt;&gt;"")),IF(A_Corridor!$D$5:$D$204="-","",UPPER(A_Corridor!$D$5:$D$204))),"")</f>
        <v/>
      </c>
      <c r="F684" s="181" t="str">
        <f>IFERROR(LOOKUP(2,1/((A_Corridor!$A$5:$A$204&lt;&gt;"")*(A_Corridor!$A$5:$A$204&lt;=$B684)*(A_Corridor!$B$5:$B$204&gt;$B684)*(A_Corridor!$E$5:$E$204&lt;&gt;"")),IF(A_Corridor!$E$5:$E$204="-","",1)),"")</f>
        <v/>
      </c>
      <c r="G684" s="182" t="str">
        <f>IFERROR(LOOKUP(2,1/((A_Corridor!$A$5:$A$204&lt;&gt;"")*(A_Corridor!$A$5:$A$204&lt;=$B684)*(A_Corridor!$B$5:$B$204&gt;$B684)*(A_Corridor!$E$5:$E$204&lt;&gt;"")),IF(A_Corridor!$E$5:$E$204="-","",A_Corridor!$E$5:$E$204)),"")</f>
        <v/>
      </c>
      <c r="H684" s="182" t="str">
        <f>IFERROR(LOOKUP(2,1/((D_Points!$A$5:$A$204&lt;&gt;"")*(D_Points!$A$5:$A$204&gt;=$B684)*(D_Points!$A$5:$A$204&lt;$B684+P_Interval)*(UPPER(TRIM(D_Points!$B$5:$B$204))="GULLY")*(D_Points!$H$5:$H$204&lt;&gt;"")),D_Points!$H$5:$H$204),"")</f>
        <v/>
      </c>
      <c r="I684" s="181" t="str">
        <f>IFERROR(LOOKUP(2,1/((A_Corridor!$A$5:$A$204&lt;&gt;"")*(A_Corridor!$A$5:$A$204&lt;=$B684)*(A_Corridor!$B$5:$B$204&gt;$B684)*(A_Corridor!$F$5:$F$204&lt;&gt;"")),IF(A_Corridor!$F$5:$F$204="-","",1)),"")</f>
        <v/>
      </c>
      <c r="J684" s="182" t="str">
        <f>IFERROR(LOOKUP(2,1/((A_Corridor!$A$5:$A$204&lt;&gt;"")*(A_Corridor!$A$5:$A$204&lt;=$B684)*(A_Corridor!$B$5:$B$204&gt;$B684)*(A_Corridor!$F$5:$F$204&lt;&gt;"")),IF(A_Corridor!$F$5:$F$204="-","",A_Corridor!$F$5:$F$204)),"")</f>
        <v/>
      </c>
      <c r="K684" s="182" t="str">
        <f>IFERROR(LOOKUP(2,1/((A_Corridor!$A$5:$A$204&lt;&gt;"")*(A_Corridor!$A$5:$A$204&lt;=$B684)*(A_Corridor!$B$5:$B$204&gt;$B684)*(A_Corridor!$G$5:$G$204&lt;&gt;"")),IF(A_Corridor!$G$5:$G$204="-","",A_Corridor!$G$5:$G$204)),"")</f>
        <v/>
      </c>
      <c r="L684" s="181" t="str">
        <f>IFERROR(LOOKUP(2,1/((A_Corridor!$A$5:$A$204&lt;&gt;"")*(A_Corridor!$A$5:$A$204&lt;=$B684)*(A_Corridor!$B$5:$B$204&gt;$B684)*(A_Corridor!$H$5:$H$204&lt;&gt;"")),IF(A_Corridor!$H$5:$H$204="-","",1)),"")</f>
        <v/>
      </c>
      <c r="M684" s="182" t="str">
        <f>IFERROR(LOOKUP(2,1/((A_Corridor!$A$5:$A$204&lt;&gt;"")*(A_Corridor!$A$5:$A$204&lt;=$B684)*(A_Corridor!$B$5:$B$204&gt;$B684)*(A_Corridor!$H$5:$H$204&lt;&gt;"")),IF(A_Corridor!$H$5:$H$204="-","",A_Corridor!$H$5:$H$204)),"")</f>
        <v/>
      </c>
      <c r="N684" s="182" t="str">
        <f>IFERROR(LOOKUP(2,1/((A_Corridor!$A$5:$A$204&lt;&gt;"")*(A_Corridor!$A$5:$A$204&lt;=$B684)*(A_Corridor!$B$5:$B$204&gt;$B684)*(A_Corridor!$I$5:$I$204&lt;&gt;"")),IF(A_Corridor!$I$5:$I$204="-","",A_Corridor!$I$5:$I$204)),"")</f>
        <v/>
      </c>
      <c r="O684" s="182" t="str">
        <f>IFERROR(LOOKUP(2,1/((D_Points!$A$5:$A$204&lt;&gt;"")*(D_Points!$A$5:$A$204&gt;=$B684)*(D_Points!$A$5:$A$204&lt;$B684+P_Interval)*(UPPER(TRIM(D_Points!$B$5:$B$204))="PITCHING")*(D_Points!$H$5:$H$204&lt;&gt;"")),D_Points!$H$5:$H$204),"")</f>
        <v/>
      </c>
      <c r="P684" s="181" t="str">
        <f>IFERROR(LOOKUP(2,1/((B_Drainage!$A$5:$A$204&lt;&gt;"")*(B_Drainage!$A$5:$A$204&lt;=$B684)*(B_Drainage!$B$5:$B$204&gt;$B684)*(B_Drainage!$C$5:$C$204&lt;&gt;"")),IF(B_Drainage!$C$5:$C$204="-","",UPPER(B_Drainage!$C$5:$C$204))),"")</f>
        <v/>
      </c>
      <c r="Q684" s="181" t="str">
        <f>IFERROR(LOOKUP(2,1/((B_Drainage!$A$5:$A$204&lt;&gt;"")*(B_Drainage!$A$5:$A$204&lt;=$B684)*(B_Drainage!$B$5:$B$204&gt;$B684)*(B_Drainage!$D$5:$D$204&lt;&gt;"")),IF(B_Drainage!$D$5:$D$204="-","",UPPER(B_Drainage!$D$5:$D$204))),"")</f>
        <v/>
      </c>
      <c r="R684" s="182" t="str">
        <f>IFERROR(LOOKUP(2,1/((D_Points!$A$5:$A$204&lt;&gt;"")*(D_Points!$A$5:$A$204&gt;=$B684)*(D_Points!$A$5:$A$204&lt;$B684+P_Interval)*(RIGHT(UPPER(TRIM(D_Points!$B$5:$B$204)),8)="_CULVERT")),IF(LEFT(UPPER(TRIM(D_Points!$B$5:$B$204)),2)="EX",1,IF(LEFT(UPPER(TRIM(D_Points!$B$5:$B$204)),2)="PR",2,3))),"")</f>
        <v/>
      </c>
      <c r="S684" s="182" t="str">
        <f>IFERROR(LOOKUP(2,1/((D_Points!$A$5:$A$204&lt;&gt;"")*(D_Points!$A$5:$A$204&gt;=$B684)*(D_Points!$A$5:$A$204&lt;$B684+P_Interval)*(RIGHT(UPPER(TRIM(D_Points!$B$5:$B$204)),7)="_BRIDGE")),IF(LEFT(UPPER(TRIM(D_Points!$B$5:$B$204)),2)="EX",1,IF(LEFT(UPPER(TRIM(D_Points!$B$5:$B$204)),2)="PR",2,2))),"")</f>
        <v/>
      </c>
      <c r="T684" s="181" t="str">
        <f>IFERROR(LOOKUP(2,1/((B_Drainage!$A$5:$A$204&lt;&gt;"")*(B_Drainage!$A$5:$A$204&lt;=$B684)*(B_Drainage!$B$5:$B$204&gt;$B684)*(B_Drainage!$E$5:$E$204&lt;&gt;"")),IF(B_Drainage!$E$5:$E$204="-","",1)),"")</f>
        <v/>
      </c>
      <c r="U684" s="181" t="str">
        <f>IFERROR(LOOKUP(2,1/((B_Drainage!$A$5:$A$204&lt;&gt;"")*(B_Drainage!$A$5:$A$204&lt;=$B684)*(B_Drainage!$B$5:$B$204&gt;$B684)*(B_Drainage!$E$5:$E$204&lt;&gt;"")),IF(B_Drainage!$E$5:$E$204="-","",B_Drainage!$E$5:$E$204)),"")</f>
        <v/>
      </c>
      <c r="V684" s="181" t="str">
        <f>IFERROR(LOOKUP(2,1/((B_Drainage!$A$5:$A$204&lt;&gt;"")*(B_Drainage!$A$5:$A$204&lt;=$B684)*(B_Drainage!$B$5:$B$204&gt;$B684)*(B_Drainage!$F$5:$F$204&lt;&gt;"")),IF(B_Drainage!$F$5:$F$204="-","",1)),"")</f>
        <v/>
      </c>
      <c r="W684" s="181" t="str">
        <f>IFERROR(LOOKUP(2,1/((B_Drainage!$A$5:$A$204&lt;&gt;"")*(B_Drainage!$A$5:$A$204&lt;=$B684)*(B_Drainage!$B$5:$B$204&gt;$B684)*(B_Drainage!$F$5:$F$204&lt;&gt;"")),IF(B_Drainage!$F$5:$F$204="-","",B_Drainage!$F$5:$F$204)),"")</f>
        <v/>
      </c>
      <c r="X684" s="181" t="str">
        <f>IFERROR(LOOKUP(2,1/((B_Drainage!$A$5:$A$204&lt;&gt;"")*(B_Drainage!$A$5:$A$204&lt;=$B684)*(B_Drainage!$B$5:$B$204&gt;$B684)*(B_Drainage!$G$5:$G$204&lt;&gt;"")),IF(UPPER(B_Drainage!$G$5:$G$204)="Y",1,"")),"")</f>
        <v/>
      </c>
      <c r="Y684" s="181" t="str">
        <f>IFERROR(LOOKUP(2,1/((B_Drainage!$A$5:$A$204&lt;&gt;"")*(B_Drainage!$A$5:$A$204&lt;=$B684)*(B_Drainage!$B$5:$B$204&gt;$B684)*(B_Drainage!$H$5:$H$204&lt;&gt;"")),IF(UPPER(B_Drainage!$H$5:$H$204)="Y",1,"")),"")</f>
        <v/>
      </c>
      <c r="Z684" s="181" t="str">
        <f>IFERROR(LOOKUP(2,1/((B_Drainage!$A$5:$A$204&lt;&gt;"")*(B_Drainage!$A$5:$A$204&lt;=$B684)*(B_Drainage!$B$5:$B$204&gt;$B684)*(B_Drainage!$I$5:$I$204&lt;&gt;"")),IF(UPPER(B_Drainage!$I$5:$I$204)="Y",1,"")),"")</f>
        <v/>
      </c>
      <c r="AA684" s="181" t="str">
        <f>IFERROR(LOOKUP(2,1/((B_Drainage!$A$5:$A$204&lt;&gt;"")*(B_Drainage!$A$5:$A$204&lt;=$B684)*(B_Drainage!$B$5:$B$204&gt;$B684)*(B_Drainage!$J$5:$J$204&lt;&gt;"")),IF(UPPER(B_Drainage!$J$5:$J$204)="Y",1,"")),"")</f>
        <v/>
      </c>
      <c r="AB684" s="182" t="str">
        <f>IFERROR(LOOKUP(2,1/((B_Drainage!$A$5:$A$204&lt;&gt;"")*(B_Drainage!$A$5:$A$204&lt;=$B684)*(B_Drainage!$B$5:$B$204&gt;$B684)*(B_Drainage!$K$5:$K$204&lt;&gt;"")),IF(B_Drainage!$K$5:$K$204="-","",B_Drainage!$K$5:$K$204)),"")</f>
        <v/>
      </c>
      <c r="AC684" s="182" t="str">
        <f>IFERROR(LOOKUP(2,1/((B_Drainage!$A$5:$A$204&lt;&gt;"")*(B_Drainage!$A$5:$A$204&lt;=$B684)*(B_Drainage!$B$5:$B$204&gt;$B684)*(B_Drainage!$L$5:$L$204&lt;&gt;"")),IF(B_Drainage!$L$5:$L$204="-","",B_Drainage!$L$5:$L$204)),"")</f>
        <v/>
      </c>
      <c r="AD684" s="182" t="str">
        <f>IFERROR(LOOKUP(2,1/((D_Points!$A$5:$A$204&lt;&gt;"")*(D_Points!$A$5:$A$204&gt;=$B684)*(D_Points!$A$5:$A$204&lt;$B684+P_Interval)*(UPPER(TRIM(D_Points!$B$5:$B$204))="TURNOUT_L")*(D_Points!$H$5:$H$204&lt;&gt;"")),D_Points!$H$5:$H$204),"")</f>
        <v/>
      </c>
      <c r="AE684" s="182" t="str">
        <f>IFERROR(LOOKUP(2,1/((D_Points!$A$5:$A$204&lt;&gt;"")*(D_Points!$A$5:$A$204&gt;=$B684)*(D_Points!$A$5:$A$204&lt;$B684+P_Interval)*(UPPER(TRIM(D_Points!$B$5:$B$204))="TURNOUT_R")*(D_Points!$H$5:$H$204&lt;&gt;"")),D_Points!$H$5:$H$204),"")</f>
        <v/>
      </c>
      <c r="AF684" s="181" t="str">
        <f>IFERROR(LOOKUP(2,1/((B_Drainage!$A$5:$A$204&lt;&gt;"")*(B_Drainage!$A$5:$A$204&lt;=$B684)*(B_Drainage!$B$5:$B$204&gt;$B684)*(B_Drainage!$M$5:$M$204&lt;&gt;"")),IF(UPPER(B_Drainage!$M$5:$M$204)="Y",1,"")),"")</f>
        <v/>
      </c>
      <c r="AG684" s="181" t="str">
        <f>IFERROR(LOOKUP(2,1/((B_Drainage!$A$5:$A$204&lt;&gt;"")*(B_Drainage!$A$5:$A$204&lt;=$B684)*(B_Drainage!$B$5:$B$204&gt;$B684)*(B_Drainage!$N$5:$N$204&lt;&gt;"")),IF(UPPER(B_Drainage!$N$5:$N$204)="Y",1,"")),"")</f>
        <v/>
      </c>
      <c r="AH684" s="181" t="str">
        <f t="shared" si="80"/>
        <v/>
      </c>
      <c r="AI684" s="181" t="str">
        <f t="shared" si="81"/>
        <v/>
      </c>
      <c r="AJ684" s="181" t="str">
        <f t="shared" si="82"/>
        <v/>
      </c>
      <c r="AK684" s="181" t="str">
        <f t="shared" si="83"/>
        <v/>
      </c>
      <c r="AL684" s="181" t="str">
        <f t="shared" si="84"/>
        <v/>
      </c>
      <c r="AM684" s="181" t="str">
        <f t="shared" si="85"/>
        <v/>
      </c>
      <c r="AN684" s="181" t="str">
        <f t="shared" si="86"/>
        <v/>
      </c>
      <c r="AO684" s="192" t="str">
        <f t="shared" si="87"/>
        <v/>
      </c>
      <c r="AQ684" t="str">
        <f>IFERROR(LOOKUP(2,1/((C_Pavement!$A$5:$A$204&lt;&gt;"")*(C_Pavement!$A$5:$A$204&lt;=$B684)*(C_Pavement!$B$5:$B$204&gt;$B684)*(C_Pavement!$C$5:$C$204&lt;&gt;"")),ROW(C_Pavement!$C$5:$C$204)-4),"")</f>
        <v/>
      </c>
      <c r="AR684" t="str">
        <f>IF($AQ684="","",UPPER(TRIM(INDEX(C_Pavement!$C$5:$C$204,$AQ684))))</f>
        <v/>
      </c>
      <c r="AS684" t="str">
        <f>IF($AR684="","",IFERROR(MATCH($AR684,E_Rules!$A$5:$A$9,0),""))</f>
        <v/>
      </c>
      <c r="AT684" t="str">
        <f>IF($AQ684="","",IF(INDEX(C_Pavement!$D$5:$D$204,$AQ684)&lt;&gt;"",UPPER(TRIM(INDEX(C_Pavement!$D$5:$D$204,$AQ684))),IF($AS684="","",INDEX(E_Rules!$C$5:$C$9,$AS684))))</f>
        <v/>
      </c>
      <c r="AU684" t="str">
        <f>IF($AQ684="","",IF(INDEX(C_Pavement!$E$5:$E$204,$AQ684)&lt;&gt;"",IF(INDEX(C_Pavement!$E$5:$E$204,$AQ684)="-","",INDEX(C_Pavement!$E$5:$E$204,$AQ684)),IF($AS684="","",INDEX(E_Rules!$D$5:$D$9,$AS684))))</f>
        <v/>
      </c>
      <c r="AV684" t="str">
        <f>IF($AQ684="","",IF(INDEX(C_Pavement!$F$5:$F$204,$AQ684)&lt;&gt;"",IF(INDEX(C_Pavement!$F$5:$F$204,$AQ684)="-","",INDEX(C_Pavement!$F$5:$F$204,$AQ684)),IF($AS684="","",INDEX(E_Rules!$E$5:$E$9,$AS684))))</f>
        <v/>
      </c>
      <c r="AW684" t="str">
        <f>IF($AQ684="","",IF(INDEX(C_Pavement!$G$5:$G$204,$AQ684)&lt;&gt;"",IF(INDEX(C_Pavement!$G$5:$G$204,$AQ684)="-","",INDEX(C_Pavement!$G$5:$G$204,$AQ684)),IF($AS684="","",INDEX(E_Rules!$F$5:$F$9,$AS684))))</f>
        <v/>
      </c>
      <c r="AX684" t="str">
        <f>IF($AQ684="","",IF(INDEX(C_Pavement!$H$5:$H$204,$AQ684)&lt;&gt;"",IF(INDEX(C_Pavement!$H$5:$H$204,$AQ684)="-","",INDEX(C_Pavement!$H$5:$H$204,$AQ684)),IF($AS684="","",INDEX(E_Rules!$G$5:$G$9,$AS684))))</f>
        <v/>
      </c>
      <c r="AY684" t="str">
        <f>IF($AQ684="","",IF(INDEX(C_Pavement!$I$5:$I$204,$AQ684)&lt;&gt;"",IF(INDEX(C_Pavement!$I$5:$I$204,$AQ684)="-","",INDEX(C_Pavement!$I$5:$I$204,$AQ684)),IF($AS684="","",INDEX(E_Rules!$H$5:$H$9,$AS684))))</f>
        <v/>
      </c>
    </row>
    <row r="685" spans="1:51" ht="15.75" customHeight="1" x14ac:dyDescent="0.3">
      <c r="A685" s="189">
        <v>680</v>
      </c>
      <c r="B685" s="180">
        <v>33950</v>
      </c>
      <c r="C685" s="180" t="s">
        <v>991</v>
      </c>
      <c r="D685" s="181" t="str">
        <f>IFERROR(LOOKUP(2,1/((A_Corridor!$A$5:$A$204&lt;&gt;"")*(A_Corridor!$A$5:$A$204&lt;=$B685)*(A_Corridor!$B$5:$B$204&gt;$B685)*(A_Corridor!$C$5:$C$204&lt;&gt;"")),IF(UPPER(A_Corridor!$C$5:$C$204)="Y",1,"")),"")</f>
        <v/>
      </c>
      <c r="E685" s="181" t="str">
        <f>IFERROR(LOOKUP(2,1/((A_Corridor!$A$5:$A$204&lt;&gt;"")*(A_Corridor!$A$5:$A$204&lt;=$B685)*(A_Corridor!$B$5:$B$204&gt;$B685)*(A_Corridor!$D$5:$D$204&lt;&gt;"")),IF(A_Corridor!$D$5:$D$204="-","",UPPER(A_Corridor!$D$5:$D$204))),"")</f>
        <v/>
      </c>
      <c r="F685" s="181" t="str">
        <f>IFERROR(LOOKUP(2,1/((A_Corridor!$A$5:$A$204&lt;&gt;"")*(A_Corridor!$A$5:$A$204&lt;=$B685)*(A_Corridor!$B$5:$B$204&gt;$B685)*(A_Corridor!$E$5:$E$204&lt;&gt;"")),IF(A_Corridor!$E$5:$E$204="-","",1)),"")</f>
        <v/>
      </c>
      <c r="G685" s="182" t="str">
        <f>IFERROR(LOOKUP(2,1/((A_Corridor!$A$5:$A$204&lt;&gt;"")*(A_Corridor!$A$5:$A$204&lt;=$B685)*(A_Corridor!$B$5:$B$204&gt;$B685)*(A_Corridor!$E$5:$E$204&lt;&gt;"")),IF(A_Corridor!$E$5:$E$204="-","",A_Corridor!$E$5:$E$204)),"")</f>
        <v/>
      </c>
      <c r="H685" s="182" t="str">
        <f>IFERROR(LOOKUP(2,1/((D_Points!$A$5:$A$204&lt;&gt;"")*(D_Points!$A$5:$A$204&gt;=$B685)*(D_Points!$A$5:$A$204&lt;$B685+P_Interval)*(UPPER(TRIM(D_Points!$B$5:$B$204))="GULLY")*(D_Points!$H$5:$H$204&lt;&gt;"")),D_Points!$H$5:$H$204),"")</f>
        <v/>
      </c>
      <c r="I685" s="181" t="str">
        <f>IFERROR(LOOKUP(2,1/((A_Corridor!$A$5:$A$204&lt;&gt;"")*(A_Corridor!$A$5:$A$204&lt;=$B685)*(A_Corridor!$B$5:$B$204&gt;$B685)*(A_Corridor!$F$5:$F$204&lt;&gt;"")),IF(A_Corridor!$F$5:$F$204="-","",1)),"")</f>
        <v/>
      </c>
      <c r="J685" s="182" t="str">
        <f>IFERROR(LOOKUP(2,1/((A_Corridor!$A$5:$A$204&lt;&gt;"")*(A_Corridor!$A$5:$A$204&lt;=$B685)*(A_Corridor!$B$5:$B$204&gt;$B685)*(A_Corridor!$F$5:$F$204&lt;&gt;"")),IF(A_Corridor!$F$5:$F$204="-","",A_Corridor!$F$5:$F$204)),"")</f>
        <v/>
      </c>
      <c r="K685" s="182" t="str">
        <f>IFERROR(LOOKUP(2,1/((A_Corridor!$A$5:$A$204&lt;&gt;"")*(A_Corridor!$A$5:$A$204&lt;=$B685)*(A_Corridor!$B$5:$B$204&gt;$B685)*(A_Corridor!$G$5:$G$204&lt;&gt;"")),IF(A_Corridor!$G$5:$G$204="-","",A_Corridor!$G$5:$G$204)),"")</f>
        <v/>
      </c>
      <c r="L685" s="181" t="str">
        <f>IFERROR(LOOKUP(2,1/((A_Corridor!$A$5:$A$204&lt;&gt;"")*(A_Corridor!$A$5:$A$204&lt;=$B685)*(A_Corridor!$B$5:$B$204&gt;$B685)*(A_Corridor!$H$5:$H$204&lt;&gt;"")),IF(A_Corridor!$H$5:$H$204="-","",1)),"")</f>
        <v/>
      </c>
      <c r="M685" s="182" t="str">
        <f>IFERROR(LOOKUP(2,1/((A_Corridor!$A$5:$A$204&lt;&gt;"")*(A_Corridor!$A$5:$A$204&lt;=$B685)*(A_Corridor!$B$5:$B$204&gt;$B685)*(A_Corridor!$H$5:$H$204&lt;&gt;"")),IF(A_Corridor!$H$5:$H$204="-","",A_Corridor!$H$5:$H$204)),"")</f>
        <v/>
      </c>
      <c r="N685" s="182" t="str">
        <f>IFERROR(LOOKUP(2,1/((A_Corridor!$A$5:$A$204&lt;&gt;"")*(A_Corridor!$A$5:$A$204&lt;=$B685)*(A_Corridor!$B$5:$B$204&gt;$B685)*(A_Corridor!$I$5:$I$204&lt;&gt;"")),IF(A_Corridor!$I$5:$I$204="-","",A_Corridor!$I$5:$I$204)),"")</f>
        <v/>
      </c>
      <c r="O685" s="182" t="str">
        <f>IFERROR(LOOKUP(2,1/((D_Points!$A$5:$A$204&lt;&gt;"")*(D_Points!$A$5:$A$204&gt;=$B685)*(D_Points!$A$5:$A$204&lt;$B685+P_Interval)*(UPPER(TRIM(D_Points!$B$5:$B$204))="PITCHING")*(D_Points!$H$5:$H$204&lt;&gt;"")),D_Points!$H$5:$H$204),"")</f>
        <v/>
      </c>
      <c r="P685" s="181" t="str">
        <f>IFERROR(LOOKUP(2,1/((B_Drainage!$A$5:$A$204&lt;&gt;"")*(B_Drainage!$A$5:$A$204&lt;=$B685)*(B_Drainage!$B$5:$B$204&gt;$B685)*(B_Drainage!$C$5:$C$204&lt;&gt;"")),IF(B_Drainage!$C$5:$C$204="-","",UPPER(B_Drainage!$C$5:$C$204))),"")</f>
        <v/>
      </c>
      <c r="Q685" s="181" t="str">
        <f>IFERROR(LOOKUP(2,1/((B_Drainage!$A$5:$A$204&lt;&gt;"")*(B_Drainage!$A$5:$A$204&lt;=$B685)*(B_Drainage!$B$5:$B$204&gt;$B685)*(B_Drainage!$D$5:$D$204&lt;&gt;"")),IF(B_Drainage!$D$5:$D$204="-","",UPPER(B_Drainage!$D$5:$D$204))),"")</f>
        <v/>
      </c>
      <c r="R685" s="182" t="str">
        <f>IFERROR(LOOKUP(2,1/((D_Points!$A$5:$A$204&lt;&gt;"")*(D_Points!$A$5:$A$204&gt;=$B685)*(D_Points!$A$5:$A$204&lt;$B685+P_Interval)*(RIGHT(UPPER(TRIM(D_Points!$B$5:$B$204)),8)="_CULVERT")),IF(LEFT(UPPER(TRIM(D_Points!$B$5:$B$204)),2)="EX",1,IF(LEFT(UPPER(TRIM(D_Points!$B$5:$B$204)),2)="PR",2,3))),"")</f>
        <v/>
      </c>
      <c r="S685" s="182" t="str">
        <f>IFERROR(LOOKUP(2,1/((D_Points!$A$5:$A$204&lt;&gt;"")*(D_Points!$A$5:$A$204&gt;=$B685)*(D_Points!$A$5:$A$204&lt;$B685+P_Interval)*(RIGHT(UPPER(TRIM(D_Points!$B$5:$B$204)),7)="_BRIDGE")),IF(LEFT(UPPER(TRIM(D_Points!$B$5:$B$204)),2)="EX",1,IF(LEFT(UPPER(TRIM(D_Points!$B$5:$B$204)),2)="PR",2,2))),"")</f>
        <v/>
      </c>
      <c r="T685" s="181" t="str">
        <f>IFERROR(LOOKUP(2,1/((B_Drainage!$A$5:$A$204&lt;&gt;"")*(B_Drainage!$A$5:$A$204&lt;=$B685)*(B_Drainage!$B$5:$B$204&gt;$B685)*(B_Drainage!$E$5:$E$204&lt;&gt;"")),IF(B_Drainage!$E$5:$E$204="-","",1)),"")</f>
        <v/>
      </c>
      <c r="U685" s="181" t="str">
        <f>IFERROR(LOOKUP(2,1/((B_Drainage!$A$5:$A$204&lt;&gt;"")*(B_Drainage!$A$5:$A$204&lt;=$B685)*(B_Drainage!$B$5:$B$204&gt;$B685)*(B_Drainage!$E$5:$E$204&lt;&gt;"")),IF(B_Drainage!$E$5:$E$204="-","",B_Drainage!$E$5:$E$204)),"")</f>
        <v/>
      </c>
      <c r="V685" s="181" t="str">
        <f>IFERROR(LOOKUP(2,1/((B_Drainage!$A$5:$A$204&lt;&gt;"")*(B_Drainage!$A$5:$A$204&lt;=$B685)*(B_Drainage!$B$5:$B$204&gt;$B685)*(B_Drainage!$F$5:$F$204&lt;&gt;"")),IF(B_Drainage!$F$5:$F$204="-","",1)),"")</f>
        <v/>
      </c>
      <c r="W685" s="181" t="str">
        <f>IFERROR(LOOKUP(2,1/((B_Drainage!$A$5:$A$204&lt;&gt;"")*(B_Drainage!$A$5:$A$204&lt;=$B685)*(B_Drainage!$B$5:$B$204&gt;$B685)*(B_Drainage!$F$5:$F$204&lt;&gt;"")),IF(B_Drainage!$F$5:$F$204="-","",B_Drainage!$F$5:$F$204)),"")</f>
        <v/>
      </c>
      <c r="X685" s="181" t="str">
        <f>IFERROR(LOOKUP(2,1/((B_Drainage!$A$5:$A$204&lt;&gt;"")*(B_Drainage!$A$5:$A$204&lt;=$B685)*(B_Drainage!$B$5:$B$204&gt;$B685)*(B_Drainage!$G$5:$G$204&lt;&gt;"")),IF(UPPER(B_Drainage!$G$5:$G$204)="Y",1,"")),"")</f>
        <v/>
      </c>
      <c r="Y685" s="181" t="str">
        <f>IFERROR(LOOKUP(2,1/((B_Drainage!$A$5:$A$204&lt;&gt;"")*(B_Drainage!$A$5:$A$204&lt;=$B685)*(B_Drainage!$B$5:$B$204&gt;$B685)*(B_Drainage!$H$5:$H$204&lt;&gt;"")),IF(UPPER(B_Drainage!$H$5:$H$204)="Y",1,"")),"")</f>
        <v/>
      </c>
      <c r="Z685" s="181" t="str">
        <f>IFERROR(LOOKUP(2,1/((B_Drainage!$A$5:$A$204&lt;&gt;"")*(B_Drainage!$A$5:$A$204&lt;=$B685)*(B_Drainage!$B$5:$B$204&gt;$B685)*(B_Drainage!$I$5:$I$204&lt;&gt;"")),IF(UPPER(B_Drainage!$I$5:$I$204)="Y",1,"")),"")</f>
        <v/>
      </c>
      <c r="AA685" s="181" t="str">
        <f>IFERROR(LOOKUP(2,1/((B_Drainage!$A$5:$A$204&lt;&gt;"")*(B_Drainage!$A$5:$A$204&lt;=$B685)*(B_Drainage!$B$5:$B$204&gt;$B685)*(B_Drainage!$J$5:$J$204&lt;&gt;"")),IF(UPPER(B_Drainage!$J$5:$J$204)="Y",1,"")),"")</f>
        <v/>
      </c>
      <c r="AB685" s="182" t="str">
        <f>IFERROR(LOOKUP(2,1/((B_Drainage!$A$5:$A$204&lt;&gt;"")*(B_Drainage!$A$5:$A$204&lt;=$B685)*(B_Drainage!$B$5:$B$204&gt;$B685)*(B_Drainage!$K$5:$K$204&lt;&gt;"")),IF(B_Drainage!$K$5:$K$204="-","",B_Drainage!$K$5:$K$204)),"")</f>
        <v/>
      </c>
      <c r="AC685" s="182" t="str">
        <f>IFERROR(LOOKUP(2,1/((B_Drainage!$A$5:$A$204&lt;&gt;"")*(B_Drainage!$A$5:$A$204&lt;=$B685)*(B_Drainage!$B$5:$B$204&gt;$B685)*(B_Drainage!$L$5:$L$204&lt;&gt;"")),IF(B_Drainage!$L$5:$L$204="-","",B_Drainage!$L$5:$L$204)),"")</f>
        <v/>
      </c>
      <c r="AD685" s="182" t="str">
        <f>IFERROR(LOOKUP(2,1/((D_Points!$A$5:$A$204&lt;&gt;"")*(D_Points!$A$5:$A$204&gt;=$B685)*(D_Points!$A$5:$A$204&lt;$B685+P_Interval)*(UPPER(TRIM(D_Points!$B$5:$B$204))="TURNOUT_L")*(D_Points!$H$5:$H$204&lt;&gt;"")),D_Points!$H$5:$H$204),"")</f>
        <v/>
      </c>
      <c r="AE685" s="182" t="str">
        <f>IFERROR(LOOKUP(2,1/((D_Points!$A$5:$A$204&lt;&gt;"")*(D_Points!$A$5:$A$204&gt;=$B685)*(D_Points!$A$5:$A$204&lt;$B685+P_Interval)*(UPPER(TRIM(D_Points!$B$5:$B$204))="TURNOUT_R")*(D_Points!$H$5:$H$204&lt;&gt;"")),D_Points!$H$5:$H$204),"")</f>
        <v/>
      </c>
      <c r="AF685" s="181" t="str">
        <f>IFERROR(LOOKUP(2,1/((B_Drainage!$A$5:$A$204&lt;&gt;"")*(B_Drainage!$A$5:$A$204&lt;=$B685)*(B_Drainage!$B$5:$B$204&gt;$B685)*(B_Drainage!$M$5:$M$204&lt;&gt;"")),IF(UPPER(B_Drainage!$M$5:$M$204)="Y",1,"")),"")</f>
        <v/>
      </c>
      <c r="AG685" s="181" t="str">
        <f>IFERROR(LOOKUP(2,1/((B_Drainage!$A$5:$A$204&lt;&gt;"")*(B_Drainage!$A$5:$A$204&lt;=$B685)*(B_Drainage!$B$5:$B$204&gt;$B685)*(B_Drainage!$N$5:$N$204&lt;&gt;"")),IF(UPPER(B_Drainage!$N$5:$N$204)="Y",1,"")),"")</f>
        <v/>
      </c>
      <c r="AH685" s="181" t="str">
        <f t="shared" si="80"/>
        <v/>
      </c>
      <c r="AI685" s="181" t="str">
        <f t="shared" si="81"/>
        <v/>
      </c>
      <c r="AJ685" s="181" t="str">
        <f t="shared" si="82"/>
        <v/>
      </c>
      <c r="AK685" s="181" t="str">
        <f t="shared" si="83"/>
        <v/>
      </c>
      <c r="AL685" s="181" t="str">
        <f t="shared" si="84"/>
        <v/>
      </c>
      <c r="AM685" s="181" t="str">
        <f t="shared" si="85"/>
        <v/>
      </c>
      <c r="AN685" s="181" t="str">
        <f t="shared" si="86"/>
        <v/>
      </c>
      <c r="AO685" s="192" t="str">
        <f t="shared" si="87"/>
        <v/>
      </c>
      <c r="AQ685" t="str">
        <f>IFERROR(LOOKUP(2,1/((C_Pavement!$A$5:$A$204&lt;&gt;"")*(C_Pavement!$A$5:$A$204&lt;=$B685)*(C_Pavement!$B$5:$B$204&gt;$B685)*(C_Pavement!$C$5:$C$204&lt;&gt;"")),ROW(C_Pavement!$C$5:$C$204)-4),"")</f>
        <v/>
      </c>
      <c r="AR685" t="str">
        <f>IF($AQ685="","",UPPER(TRIM(INDEX(C_Pavement!$C$5:$C$204,$AQ685))))</f>
        <v/>
      </c>
      <c r="AS685" t="str">
        <f>IF($AR685="","",IFERROR(MATCH($AR685,E_Rules!$A$5:$A$9,0),""))</f>
        <v/>
      </c>
      <c r="AT685" t="str">
        <f>IF($AQ685="","",IF(INDEX(C_Pavement!$D$5:$D$204,$AQ685)&lt;&gt;"",UPPER(TRIM(INDEX(C_Pavement!$D$5:$D$204,$AQ685))),IF($AS685="","",INDEX(E_Rules!$C$5:$C$9,$AS685))))</f>
        <v/>
      </c>
      <c r="AU685" t="str">
        <f>IF($AQ685="","",IF(INDEX(C_Pavement!$E$5:$E$204,$AQ685)&lt;&gt;"",IF(INDEX(C_Pavement!$E$5:$E$204,$AQ685)="-","",INDEX(C_Pavement!$E$5:$E$204,$AQ685)),IF($AS685="","",INDEX(E_Rules!$D$5:$D$9,$AS685))))</f>
        <v/>
      </c>
      <c r="AV685" t="str">
        <f>IF($AQ685="","",IF(INDEX(C_Pavement!$F$5:$F$204,$AQ685)&lt;&gt;"",IF(INDEX(C_Pavement!$F$5:$F$204,$AQ685)="-","",INDEX(C_Pavement!$F$5:$F$204,$AQ685)),IF($AS685="","",INDEX(E_Rules!$E$5:$E$9,$AS685))))</f>
        <v/>
      </c>
      <c r="AW685" t="str">
        <f>IF($AQ685="","",IF(INDEX(C_Pavement!$G$5:$G$204,$AQ685)&lt;&gt;"",IF(INDEX(C_Pavement!$G$5:$G$204,$AQ685)="-","",INDEX(C_Pavement!$G$5:$G$204,$AQ685)),IF($AS685="","",INDEX(E_Rules!$F$5:$F$9,$AS685))))</f>
        <v/>
      </c>
      <c r="AX685" t="str">
        <f>IF($AQ685="","",IF(INDEX(C_Pavement!$H$5:$H$204,$AQ685)&lt;&gt;"",IF(INDEX(C_Pavement!$H$5:$H$204,$AQ685)="-","",INDEX(C_Pavement!$H$5:$H$204,$AQ685)),IF($AS685="","",INDEX(E_Rules!$G$5:$G$9,$AS685))))</f>
        <v/>
      </c>
      <c r="AY685" t="str">
        <f>IF($AQ685="","",IF(INDEX(C_Pavement!$I$5:$I$204,$AQ685)&lt;&gt;"",IF(INDEX(C_Pavement!$I$5:$I$204,$AQ685)="-","",INDEX(C_Pavement!$I$5:$I$204,$AQ685)),IF($AS685="","",INDEX(E_Rules!$H$5:$H$9,$AS685))))</f>
        <v/>
      </c>
    </row>
    <row r="686" spans="1:51" ht="15.75" customHeight="1" x14ac:dyDescent="0.3">
      <c r="A686" s="189">
        <v>681</v>
      </c>
      <c r="B686" s="180">
        <v>34000</v>
      </c>
      <c r="C686" s="180" t="s">
        <v>992</v>
      </c>
      <c r="D686" s="181" t="str">
        <f>IFERROR(LOOKUP(2,1/((A_Corridor!$A$5:$A$204&lt;&gt;"")*(A_Corridor!$A$5:$A$204&lt;=$B686)*(A_Corridor!$B$5:$B$204&gt;$B686)*(A_Corridor!$C$5:$C$204&lt;&gt;"")),IF(UPPER(A_Corridor!$C$5:$C$204)="Y",1,"")),"")</f>
        <v/>
      </c>
      <c r="E686" s="181" t="str">
        <f>IFERROR(LOOKUP(2,1/((A_Corridor!$A$5:$A$204&lt;&gt;"")*(A_Corridor!$A$5:$A$204&lt;=$B686)*(A_Corridor!$B$5:$B$204&gt;$B686)*(A_Corridor!$D$5:$D$204&lt;&gt;"")),IF(A_Corridor!$D$5:$D$204="-","",UPPER(A_Corridor!$D$5:$D$204))),"")</f>
        <v/>
      </c>
      <c r="F686" s="181" t="str">
        <f>IFERROR(LOOKUP(2,1/((A_Corridor!$A$5:$A$204&lt;&gt;"")*(A_Corridor!$A$5:$A$204&lt;=$B686)*(A_Corridor!$B$5:$B$204&gt;$B686)*(A_Corridor!$E$5:$E$204&lt;&gt;"")),IF(A_Corridor!$E$5:$E$204="-","",1)),"")</f>
        <v/>
      </c>
      <c r="G686" s="182" t="str">
        <f>IFERROR(LOOKUP(2,1/((A_Corridor!$A$5:$A$204&lt;&gt;"")*(A_Corridor!$A$5:$A$204&lt;=$B686)*(A_Corridor!$B$5:$B$204&gt;$B686)*(A_Corridor!$E$5:$E$204&lt;&gt;"")),IF(A_Corridor!$E$5:$E$204="-","",A_Corridor!$E$5:$E$204)),"")</f>
        <v/>
      </c>
      <c r="H686" s="182" t="str">
        <f>IFERROR(LOOKUP(2,1/((D_Points!$A$5:$A$204&lt;&gt;"")*(D_Points!$A$5:$A$204&gt;=$B686)*(D_Points!$A$5:$A$204&lt;$B686+P_Interval)*(UPPER(TRIM(D_Points!$B$5:$B$204))="GULLY")*(D_Points!$H$5:$H$204&lt;&gt;"")),D_Points!$H$5:$H$204),"")</f>
        <v/>
      </c>
      <c r="I686" s="181" t="str">
        <f>IFERROR(LOOKUP(2,1/((A_Corridor!$A$5:$A$204&lt;&gt;"")*(A_Corridor!$A$5:$A$204&lt;=$B686)*(A_Corridor!$B$5:$B$204&gt;$B686)*(A_Corridor!$F$5:$F$204&lt;&gt;"")),IF(A_Corridor!$F$5:$F$204="-","",1)),"")</f>
        <v/>
      </c>
      <c r="J686" s="182" t="str">
        <f>IFERROR(LOOKUP(2,1/((A_Corridor!$A$5:$A$204&lt;&gt;"")*(A_Corridor!$A$5:$A$204&lt;=$B686)*(A_Corridor!$B$5:$B$204&gt;$B686)*(A_Corridor!$F$5:$F$204&lt;&gt;"")),IF(A_Corridor!$F$5:$F$204="-","",A_Corridor!$F$5:$F$204)),"")</f>
        <v/>
      </c>
      <c r="K686" s="182" t="str">
        <f>IFERROR(LOOKUP(2,1/((A_Corridor!$A$5:$A$204&lt;&gt;"")*(A_Corridor!$A$5:$A$204&lt;=$B686)*(A_Corridor!$B$5:$B$204&gt;$B686)*(A_Corridor!$G$5:$G$204&lt;&gt;"")),IF(A_Corridor!$G$5:$G$204="-","",A_Corridor!$G$5:$G$204)),"")</f>
        <v/>
      </c>
      <c r="L686" s="181" t="str">
        <f>IFERROR(LOOKUP(2,1/((A_Corridor!$A$5:$A$204&lt;&gt;"")*(A_Corridor!$A$5:$A$204&lt;=$B686)*(A_Corridor!$B$5:$B$204&gt;$B686)*(A_Corridor!$H$5:$H$204&lt;&gt;"")),IF(A_Corridor!$H$5:$H$204="-","",1)),"")</f>
        <v/>
      </c>
      <c r="M686" s="182" t="str">
        <f>IFERROR(LOOKUP(2,1/((A_Corridor!$A$5:$A$204&lt;&gt;"")*(A_Corridor!$A$5:$A$204&lt;=$B686)*(A_Corridor!$B$5:$B$204&gt;$B686)*(A_Corridor!$H$5:$H$204&lt;&gt;"")),IF(A_Corridor!$H$5:$H$204="-","",A_Corridor!$H$5:$H$204)),"")</f>
        <v/>
      </c>
      <c r="N686" s="182" t="str">
        <f>IFERROR(LOOKUP(2,1/((A_Corridor!$A$5:$A$204&lt;&gt;"")*(A_Corridor!$A$5:$A$204&lt;=$B686)*(A_Corridor!$B$5:$B$204&gt;$B686)*(A_Corridor!$I$5:$I$204&lt;&gt;"")),IF(A_Corridor!$I$5:$I$204="-","",A_Corridor!$I$5:$I$204)),"")</f>
        <v/>
      </c>
      <c r="O686" s="182" t="str">
        <f>IFERROR(LOOKUP(2,1/((D_Points!$A$5:$A$204&lt;&gt;"")*(D_Points!$A$5:$A$204&gt;=$B686)*(D_Points!$A$5:$A$204&lt;$B686+P_Interval)*(UPPER(TRIM(D_Points!$B$5:$B$204))="PITCHING")*(D_Points!$H$5:$H$204&lt;&gt;"")),D_Points!$H$5:$H$204),"")</f>
        <v/>
      </c>
      <c r="P686" s="181" t="str">
        <f>IFERROR(LOOKUP(2,1/((B_Drainage!$A$5:$A$204&lt;&gt;"")*(B_Drainage!$A$5:$A$204&lt;=$B686)*(B_Drainage!$B$5:$B$204&gt;$B686)*(B_Drainage!$C$5:$C$204&lt;&gt;"")),IF(B_Drainage!$C$5:$C$204="-","",UPPER(B_Drainage!$C$5:$C$204))),"")</f>
        <v/>
      </c>
      <c r="Q686" s="181" t="str">
        <f>IFERROR(LOOKUP(2,1/((B_Drainage!$A$5:$A$204&lt;&gt;"")*(B_Drainage!$A$5:$A$204&lt;=$B686)*(B_Drainage!$B$5:$B$204&gt;$B686)*(B_Drainage!$D$5:$D$204&lt;&gt;"")),IF(B_Drainage!$D$5:$D$204="-","",UPPER(B_Drainage!$D$5:$D$204))),"")</f>
        <v/>
      </c>
      <c r="R686" s="182" t="str">
        <f>IFERROR(LOOKUP(2,1/((D_Points!$A$5:$A$204&lt;&gt;"")*(D_Points!$A$5:$A$204&gt;=$B686)*(D_Points!$A$5:$A$204&lt;$B686+P_Interval)*(RIGHT(UPPER(TRIM(D_Points!$B$5:$B$204)),8)="_CULVERT")),IF(LEFT(UPPER(TRIM(D_Points!$B$5:$B$204)),2)="EX",1,IF(LEFT(UPPER(TRIM(D_Points!$B$5:$B$204)),2)="PR",2,3))),"")</f>
        <v/>
      </c>
      <c r="S686" s="182" t="str">
        <f>IFERROR(LOOKUP(2,1/((D_Points!$A$5:$A$204&lt;&gt;"")*(D_Points!$A$5:$A$204&gt;=$B686)*(D_Points!$A$5:$A$204&lt;$B686+P_Interval)*(RIGHT(UPPER(TRIM(D_Points!$B$5:$B$204)),7)="_BRIDGE")),IF(LEFT(UPPER(TRIM(D_Points!$B$5:$B$204)),2)="EX",1,IF(LEFT(UPPER(TRIM(D_Points!$B$5:$B$204)),2)="PR",2,2))),"")</f>
        <v/>
      </c>
      <c r="T686" s="181" t="str">
        <f>IFERROR(LOOKUP(2,1/((B_Drainage!$A$5:$A$204&lt;&gt;"")*(B_Drainage!$A$5:$A$204&lt;=$B686)*(B_Drainage!$B$5:$B$204&gt;$B686)*(B_Drainage!$E$5:$E$204&lt;&gt;"")),IF(B_Drainage!$E$5:$E$204="-","",1)),"")</f>
        <v/>
      </c>
      <c r="U686" s="181" t="str">
        <f>IFERROR(LOOKUP(2,1/((B_Drainage!$A$5:$A$204&lt;&gt;"")*(B_Drainage!$A$5:$A$204&lt;=$B686)*(B_Drainage!$B$5:$B$204&gt;$B686)*(B_Drainage!$E$5:$E$204&lt;&gt;"")),IF(B_Drainage!$E$5:$E$204="-","",B_Drainage!$E$5:$E$204)),"")</f>
        <v/>
      </c>
      <c r="V686" s="181" t="str">
        <f>IFERROR(LOOKUP(2,1/((B_Drainage!$A$5:$A$204&lt;&gt;"")*(B_Drainage!$A$5:$A$204&lt;=$B686)*(B_Drainage!$B$5:$B$204&gt;$B686)*(B_Drainage!$F$5:$F$204&lt;&gt;"")),IF(B_Drainage!$F$5:$F$204="-","",1)),"")</f>
        <v/>
      </c>
      <c r="W686" s="181" t="str">
        <f>IFERROR(LOOKUP(2,1/((B_Drainage!$A$5:$A$204&lt;&gt;"")*(B_Drainage!$A$5:$A$204&lt;=$B686)*(B_Drainage!$B$5:$B$204&gt;$B686)*(B_Drainage!$F$5:$F$204&lt;&gt;"")),IF(B_Drainage!$F$5:$F$204="-","",B_Drainage!$F$5:$F$204)),"")</f>
        <v/>
      </c>
      <c r="X686" s="181" t="str">
        <f>IFERROR(LOOKUP(2,1/((B_Drainage!$A$5:$A$204&lt;&gt;"")*(B_Drainage!$A$5:$A$204&lt;=$B686)*(B_Drainage!$B$5:$B$204&gt;$B686)*(B_Drainage!$G$5:$G$204&lt;&gt;"")),IF(UPPER(B_Drainage!$G$5:$G$204)="Y",1,"")),"")</f>
        <v/>
      </c>
      <c r="Y686" s="181" t="str">
        <f>IFERROR(LOOKUP(2,1/((B_Drainage!$A$5:$A$204&lt;&gt;"")*(B_Drainage!$A$5:$A$204&lt;=$B686)*(B_Drainage!$B$5:$B$204&gt;$B686)*(B_Drainage!$H$5:$H$204&lt;&gt;"")),IF(UPPER(B_Drainage!$H$5:$H$204)="Y",1,"")),"")</f>
        <v/>
      </c>
      <c r="Z686" s="181" t="str">
        <f>IFERROR(LOOKUP(2,1/((B_Drainage!$A$5:$A$204&lt;&gt;"")*(B_Drainage!$A$5:$A$204&lt;=$B686)*(B_Drainage!$B$5:$B$204&gt;$B686)*(B_Drainage!$I$5:$I$204&lt;&gt;"")),IF(UPPER(B_Drainage!$I$5:$I$204)="Y",1,"")),"")</f>
        <v/>
      </c>
      <c r="AA686" s="181" t="str">
        <f>IFERROR(LOOKUP(2,1/((B_Drainage!$A$5:$A$204&lt;&gt;"")*(B_Drainage!$A$5:$A$204&lt;=$B686)*(B_Drainage!$B$5:$B$204&gt;$B686)*(B_Drainage!$J$5:$J$204&lt;&gt;"")),IF(UPPER(B_Drainage!$J$5:$J$204)="Y",1,"")),"")</f>
        <v/>
      </c>
      <c r="AB686" s="182" t="str">
        <f>IFERROR(LOOKUP(2,1/((B_Drainage!$A$5:$A$204&lt;&gt;"")*(B_Drainage!$A$5:$A$204&lt;=$B686)*(B_Drainage!$B$5:$B$204&gt;$B686)*(B_Drainage!$K$5:$K$204&lt;&gt;"")),IF(B_Drainage!$K$5:$K$204="-","",B_Drainage!$K$5:$K$204)),"")</f>
        <v/>
      </c>
      <c r="AC686" s="182" t="str">
        <f>IFERROR(LOOKUP(2,1/((B_Drainage!$A$5:$A$204&lt;&gt;"")*(B_Drainage!$A$5:$A$204&lt;=$B686)*(B_Drainage!$B$5:$B$204&gt;$B686)*(B_Drainage!$L$5:$L$204&lt;&gt;"")),IF(B_Drainage!$L$5:$L$204="-","",B_Drainage!$L$5:$L$204)),"")</f>
        <v/>
      </c>
      <c r="AD686" s="182" t="str">
        <f>IFERROR(LOOKUP(2,1/((D_Points!$A$5:$A$204&lt;&gt;"")*(D_Points!$A$5:$A$204&gt;=$B686)*(D_Points!$A$5:$A$204&lt;$B686+P_Interval)*(UPPER(TRIM(D_Points!$B$5:$B$204))="TURNOUT_L")*(D_Points!$H$5:$H$204&lt;&gt;"")),D_Points!$H$5:$H$204),"")</f>
        <v/>
      </c>
      <c r="AE686" s="182" t="str">
        <f>IFERROR(LOOKUP(2,1/((D_Points!$A$5:$A$204&lt;&gt;"")*(D_Points!$A$5:$A$204&gt;=$B686)*(D_Points!$A$5:$A$204&lt;$B686+P_Interval)*(UPPER(TRIM(D_Points!$B$5:$B$204))="TURNOUT_R")*(D_Points!$H$5:$H$204&lt;&gt;"")),D_Points!$H$5:$H$204),"")</f>
        <v/>
      </c>
      <c r="AF686" s="181" t="str">
        <f>IFERROR(LOOKUP(2,1/((B_Drainage!$A$5:$A$204&lt;&gt;"")*(B_Drainage!$A$5:$A$204&lt;=$B686)*(B_Drainage!$B$5:$B$204&gt;$B686)*(B_Drainage!$M$5:$M$204&lt;&gt;"")),IF(UPPER(B_Drainage!$M$5:$M$204)="Y",1,"")),"")</f>
        <v/>
      </c>
      <c r="AG686" s="181" t="str">
        <f>IFERROR(LOOKUP(2,1/((B_Drainage!$A$5:$A$204&lt;&gt;"")*(B_Drainage!$A$5:$A$204&lt;=$B686)*(B_Drainage!$B$5:$B$204&gt;$B686)*(B_Drainage!$N$5:$N$204&lt;&gt;"")),IF(UPPER(B_Drainage!$N$5:$N$204)="Y",1,"")),"")</f>
        <v/>
      </c>
      <c r="AH686" s="181" t="str">
        <f t="shared" si="80"/>
        <v/>
      </c>
      <c r="AI686" s="181" t="str">
        <f t="shared" si="81"/>
        <v/>
      </c>
      <c r="AJ686" s="181" t="str">
        <f t="shared" si="82"/>
        <v/>
      </c>
      <c r="AK686" s="181" t="str">
        <f t="shared" si="83"/>
        <v/>
      </c>
      <c r="AL686" s="181" t="str">
        <f t="shared" si="84"/>
        <v/>
      </c>
      <c r="AM686" s="181" t="str">
        <f t="shared" si="85"/>
        <v/>
      </c>
      <c r="AN686" s="181" t="str">
        <f t="shared" si="86"/>
        <v/>
      </c>
      <c r="AO686" s="192" t="str">
        <f t="shared" si="87"/>
        <v/>
      </c>
      <c r="AQ686" t="str">
        <f>IFERROR(LOOKUP(2,1/((C_Pavement!$A$5:$A$204&lt;&gt;"")*(C_Pavement!$A$5:$A$204&lt;=$B686)*(C_Pavement!$B$5:$B$204&gt;$B686)*(C_Pavement!$C$5:$C$204&lt;&gt;"")),ROW(C_Pavement!$C$5:$C$204)-4),"")</f>
        <v/>
      </c>
      <c r="AR686" t="str">
        <f>IF($AQ686="","",UPPER(TRIM(INDEX(C_Pavement!$C$5:$C$204,$AQ686))))</f>
        <v/>
      </c>
      <c r="AS686" t="str">
        <f>IF($AR686="","",IFERROR(MATCH($AR686,E_Rules!$A$5:$A$9,0),""))</f>
        <v/>
      </c>
      <c r="AT686" t="str">
        <f>IF($AQ686="","",IF(INDEX(C_Pavement!$D$5:$D$204,$AQ686)&lt;&gt;"",UPPER(TRIM(INDEX(C_Pavement!$D$5:$D$204,$AQ686))),IF($AS686="","",INDEX(E_Rules!$C$5:$C$9,$AS686))))</f>
        <v/>
      </c>
      <c r="AU686" t="str">
        <f>IF($AQ686="","",IF(INDEX(C_Pavement!$E$5:$E$204,$AQ686)&lt;&gt;"",IF(INDEX(C_Pavement!$E$5:$E$204,$AQ686)="-","",INDEX(C_Pavement!$E$5:$E$204,$AQ686)),IF($AS686="","",INDEX(E_Rules!$D$5:$D$9,$AS686))))</f>
        <v/>
      </c>
      <c r="AV686" t="str">
        <f>IF($AQ686="","",IF(INDEX(C_Pavement!$F$5:$F$204,$AQ686)&lt;&gt;"",IF(INDEX(C_Pavement!$F$5:$F$204,$AQ686)="-","",INDEX(C_Pavement!$F$5:$F$204,$AQ686)),IF($AS686="","",INDEX(E_Rules!$E$5:$E$9,$AS686))))</f>
        <v/>
      </c>
      <c r="AW686" t="str">
        <f>IF($AQ686="","",IF(INDEX(C_Pavement!$G$5:$G$204,$AQ686)&lt;&gt;"",IF(INDEX(C_Pavement!$G$5:$G$204,$AQ686)="-","",INDEX(C_Pavement!$G$5:$G$204,$AQ686)),IF($AS686="","",INDEX(E_Rules!$F$5:$F$9,$AS686))))</f>
        <v/>
      </c>
      <c r="AX686" t="str">
        <f>IF($AQ686="","",IF(INDEX(C_Pavement!$H$5:$H$204,$AQ686)&lt;&gt;"",IF(INDEX(C_Pavement!$H$5:$H$204,$AQ686)="-","",INDEX(C_Pavement!$H$5:$H$204,$AQ686)),IF($AS686="","",INDEX(E_Rules!$G$5:$G$9,$AS686))))</f>
        <v/>
      </c>
      <c r="AY686" t="str">
        <f>IF($AQ686="","",IF(INDEX(C_Pavement!$I$5:$I$204,$AQ686)&lt;&gt;"",IF(INDEX(C_Pavement!$I$5:$I$204,$AQ686)="-","",INDEX(C_Pavement!$I$5:$I$204,$AQ686)),IF($AS686="","",INDEX(E_Rules!$H$5:$H$9,$AS686))))</f>
        <v/>
      </c>
    </row>
    <row r="687" spans="1:51" ht="15.75" customHeight="1" x14ac:dyDescent="0.3">
      <c r="A687" s="189">
        <v>682</v>
      </c>
      <c r="B687" s="180">
        <v>34050</v>
      </c>
      <c r="C687" s="180" t="s">
        <v>993</v>
      </c>
      <c r="D687" s="181" t="str">
        <f>IFERROR(LOOKUP(2,1/((A_Corridor!$A$5:$A$204&lt;&gt;"")*(A_Corridor!$A$5:$A$204&lt;=$B687)*(A_Corridor!$B$5:$B$204&gt;$B687)*(A_Corridor!$C$5:$C$204&lt;&gt;"")),IF(UPPER(A_Corridor!$C$5:$C$204)="Y",1,"")),"")</f>
        <v/>
      </c>
      <c r="E687" s="181" t="str">
        <f>IFERROR(LOOKUP(2,1/((A_Corridor!$A$5:$A$204&lt;&gt;"")*(A_Corridor!$A$5:$A$204&lt;=$B687)*(A_Corridor!$B$5:$B$204&gt;$B687)*(A_Corridor!$D$5:$D$204&lt;&gt;"")),IF(A_Corridor!$D$5:$D$204="-","",UPPER(A_Corridor!$D$5:$D$204))),"")</f>
        <v/>
      </c>
      <c r="F687" s="181" t="str">
        <f>IFERROR(LOOKUP(2,1/((A_Corridor!$A$5:$A$204&lt;&gt;"")*(A_Corridor!$A$5:$A$204&lt;=$B687)*(A_Corridor!$B$5:$B$204&gt;$B687)*(A_Corridor!$E$5:$E$204&lt;&gt;"")),IF(A_Corridor!$E$5:$E$204="-","",1)),"")</f>
        <v/>
      </c>
      <c r="G687" s="182" t="str">
        <f>IFERROR(LOOKUP(2,1/((A_Corridor!$A$5:$A$204&lt;&gt;"")*(A_Corridor!$A$5:$A$204&lt;=$B687)*(A_Corridor!$B$5:$B$204&gt;$B687)*(A_Corridor!$E$5:$E$204&lt;&gt;"")),IF(A_Corridor!$E$5:$E$204="-","",A_Corridor!$E$5:$E$204)),"")</f>
        <v/>
      </c>
      <c r="H687" s="182" t="str">
        <f>IFERROR(LOOKUP(2,1/((D_Points!$A$5:$A$204&lt;&gt;"")*(D_Points!$A$5:$A$204&gt;=$B687)*(D_Points!$A$5:$A$204&lt;$B687+P_Interval)*(UPPER(TRIM(D_Points!$B$5:$B$204))="GULLY")*(D_Points!$H$5:$H$204&lt;&gt;"")),D_Points!$H$5:$H$204),"")</f>
        <v/>
      </c>
      <c r="I687" s="181" t="str">
        <f>IFERROR(LOOKUP(2,1/((A_Corridor!$A$5:$A$204&lt;&gt;"")*(A_Corridor!$A$5:$A$204&lt;=$B687)*(A_Corridor!$B$5:$B$204&gt;$B687)*(A_Corridor!$F$5:$F$204&lt;&gt;"")),IF(A_Corridor!$F$5:$F$204="-","",1)),"")</f>
        <v/>
      </c>
      <c r="J687" s="182" t="str">
        <f>IFERROR(LOOKUP(2,1/((A_Corridor!$A$5:$A$204&lt;&gt;"")*(A_Corridor!$A$5:$A$204&lt;=$B687)*(A_Corridor!$B$5:$B$204&gt;$B687)*(A_Corridor!$F$5:$F$204&lt;&gt;"")),IF(A_Corridor!$F$5:$F$204="-","",A_Corridor!$F$5:$F$204)),"")</f>
        <v/>
      </c>
      <c r="K687" s="182" t="str">
        <f>IFERROR(LOOKUP(2,1/((A_Corridor!$A$5:$A$204&lt;&gt;"")*(A_Corridor!$A$5:$A$204&lt;=$B687)*(A_Corridor!$B$5:$B$204&gt;$B687)*(A_Corridor!$G$5:$G$204&lt;&gt;"")),IF(A_Corridor!$G$5:$G$204="-","",A_Corridor!$G$5:$G$204)),"")</f>
        <v/>
      </c>
      <c r="L687" s="181" t="str">
        <f>IFERROR(LOOKUP(2,1/((A_Corridor!$A$5:$A$204&lt;&gt;"")*(A_Corridor!$A$5:$A$204&lt;=$B687)*(A_Corridor!$B$5:$B$204&gt;$B687)*(A_Corridor!$H$5:$H$204&lt;&gt;"")),IF(A_Corridor!$H$5:$H$204="-","",1)),"")</f>
        <v/>
      </c>
      <c r="M687" s="182" t="str">
        <f>IFERROR(LOOKUP(2,1/((A_Corridor!$A$5:$A$204&lt;&gt;"")*(A_Corridor!$A$5:$A$204&lt;=$B687)*(A_Corridor!$B$5:$B$204&gt;$B687)*(A_Corridor!$H$5:$H$204&lt;&gt;"")),IF(A_Corridor!$H$5:$H$204="-","",A_Corridor!$H$5:$H$204)),"")</f>
        <v/>
      </c>
      <c r="N687" s="182" t="str">
        <f>IFERROR(LOOKUP(2,1/((A_Corridor!$A$5:$A$204&lt;&gt;"")*(A_Corridor!$A$5:$A$204&lt;=$B687)*(A_Corridor!$B$5:$B$204&gt;$B687)*(A_Corridor!$I$5:$I$204&lt;&gt;"")),IF(A_Corridor!$I$5:$I$204="-","",A_Corridor!$I$5:$I$204)),"")</f>
        <v/>
      </c>
      <c r="O687" s="182" t="str">
        <f>IFERROR(LOOKUP(2,1/((D_Points!$A$5:$A$204&lt;&gt;"")*(D_Points!$A$5:$A$204&gt;=$B687)*(D_Points!$A$5:$A$204&lt;$B687+P_Interval)*(UPPER(TRIM(D_Points!$B$5:$B$204))="PITCHING")*(D_Points!$H$5:$H$204&lt;&gt;"")),D_Points!$H$5:$H$204),"")</f>
        <v/>
      </c>
      <c r="P687" s="181" t="str">
        <f>IFERROR(LOOKUP(2,1/((B_Drainage!$A$5:$A$204&lt;&gt;"")*(B_Drainage!$A$5:$A$204&lt;=$B687)*(B_Drainage!$B$5:$B$204&gt;$B687)*(B_Drainage!$C$5:$C$204&lt;&gt;"")),IF(B_Drainage!$C$5:$C$204="-","",UPPER(B_Drainage!$C$5:$C$204))),"")</f>
        <v/>
      </c>
      <c r="Q687" s="181" t="str">
        <f>IFERROR(LOOKUP(2,1/((B_Drainage!$A$5:$A$204&lt;&gt;"")*(B_Drainage!$A$5:$A$204&lt;=$B687)*(B_Drainage!$B$5:$B$204&gt;$B687)*(B_Drainage!$D$5:$D$204&lt;&gt;"")),IF(B_Drainage!$D$5:$D$204="-","",UPPER(B_Drainage!$D$5:$D$204))),"")</f>
        <v/>
      </c>
      <c r="R687" s="182" t="str">
        <f>IFERROR(LOOKUP(2,1/((D_Points!$A$5:$A$204&lt;&gt;"")*(D_Points!$A$5:$A$204&gt;=$B687)*(D_Points!$A$5:$A$204&lt;$B687+P_Interval)*(RIGHT(UPPER(TRIM(D_Points!$B$5:$B$204)),8)="_CULVERT")),IF(LEFT(UPPER(TRIM(D_Points!$B$5:$B$204)),2)="EX",1,IF(LEFT(UPPER(TRIM(D_Points!$B$5:$B$204)),2)="PR",2,3))),"")</f>
        <v/>
      </c>
      <c r="S687" s="182" t="str">
        <f>IFERROR(LOOKUP(2,1/((D_Points!$A$5:$A$204&lt;&gt;"")*(D_Points!$A$5:$A$204&gt;=$B687)*(D_Points!$A$5:$A$204&lt;$B687+P_Interval)*(RIGHT(UPPER(TRIM(D_Points!$B$5:$B$204)),7)="_BRIDGE")),IF(LEFT(UPPER(TRIM(D_Points!$B$5:$B$204)),2)="EX",1,IF(LEFT(UPPER(TRIM(D_Points!$B$5:$B$204)),2)="PR",2,2))),"")</f>
        <v/>
      </c>
      <c r="T687" s="181" t="str">
        <f>IFERROR(LOOKUP(2,1/((B_Drainage!$A$5:$A$204&lt;&gt;"")*(B_Drainage!$A$5:$A$204&lt;=$B687)*(B_Drainage!$B$5:$B$204&gt;$B687)*(B_Drainage!$E$5:$E$204&lt;&gt;"")),IF(B_Drainage!$E$5:$E$204="-","",1)),"")</f>
        <v/>
      </c>
      <c r="U687" s="181" t="str">
        <f>IFERROR(LOOKUP(2,1/((B_Drainage!$A$5:$A$204&lt;&gt;"")*(B_Drainage!$A$5:$A$204&lt;=$B687)*(B_Drainage!$B$5:$B$204&gt;$B687)*(B_Drainage!$E$5:$E$204&lt;&gt;"")),IF(B_Drainage!$E$5:$E$204="-","",B_Drainage!$E$5:$E$204)),"")</f>
        <v/>
      </c>
      <c r="V687" s="181" t="str">
        <f>IFERROR(LOOKUP(2,1/((B_Drainage!$A$5:$A$204&lt;&gt;"")*(B_Drainage!$A$5:$A$204&lt;=$B687)*(B_Drainage!$B$5:$B$204&gt;$B687)*(B_Drainage!$F$5:$F$204&lt;&gt;"")),IF(B_Drainage!$F$5:$F$204="-","",1)),"")</f>
        <v/>
      </c>
      <c r="W687" s="181" t="str">
        <f>IFERROR(LOOKUP(2,1/((B_Drainage!$A$5:$A$204&lt;&gt;"")*(B_Drainage!$A$5:$A$204&lt;=$B687)*(B_Drainage!$B$5:$B$204&gt;$B687)*(B_Drainage!$F$5:$F$204&lt;&gt;"")),IF(B_Drainage!$F$5:$F$204="-","",B_Drainage!$F$5:$F$204)),"")</f>
        <v/>
      </c>
      <c r="X687" s="181" t="str">
        <f>IFERROR(LOOKUP(2,1/((B_Drainage!$A$5:$A$204&lt;&gt;"")*(B_Drainage!$A$5:$A$204&lt;=$B687)*(B_Drainage!$B$5:$B$204&gt;$B687)*(B_Drainage!$G$5:$G$204&lt;&gt;"")),IF(UPPER(B_Drainage!$G$5:$G$204)="Y",1,"")),"")</f>
        <v/>
      </c>
      <c r="Y687" s="181" t="str">
        <f>IFERROR(LOOKUP(2,1/((B_Drainage!$A$5:$A$204&lt;&gt;"")*(B_Drainage!$A$5:$A$204&lt;=$B687)*(B_Drainage!$B$5:$B$204&gt;$B687)*(B_Drainage!$H$5:$H$204&lt;&gt;"")),IF(UPPER(B_Drainage!$H$5:$H$204)="Y",1,"")),"")</f>
        <v/>
      </c>
      <c r="Z687" s="181" t="str">
        <f>IFERROR(LOOKUP(2,1/((B_Drainage!$A$5:$A$204&lt;&gt;"")*(B_Drainage!$A$5:$A$204&lt;=$B687)*(B_Drainage!$B$5:$B$204&gt;$B687)*(B_Drainage!$I$5:$I$204&lt;&gt;"")),IF(UPPER(B_Drainage!$I$5:$I$204)="Y",1,"")),"")</f>
        <v/>
      </c>
      <c r="AA687" s="181" t="str">
        <f>IFERROR(LOOKUP(2,1/((B_Drainage!$A$5:$A$204&lt;&gt;"")*(B_Drainage!$A$5:$A$204&lt;=$B687)*(B_Drainage!$B$5:$B$204&gt;$B687)*(B_Drainage!$J$5:$J$204&lt;&gt;"")),IF(UPPER(B_Drainage!$J$5:$J$204)="Y",1,"")),"")</f>
        <v/>
      </c>
      <c r="AB687" s="182" t="str">
        <f>IFERROR(LOOKUP(2,1/((B_Drainage!$A$5:$A$204&lt;&gt;"")*(B_Drainage!$A$5:$A$204&lt;=$B687)*(B_Drainage!$B$5:$B$204&gt;$B687)*(B_Drainage!$K$5:$K$204&lt;&gt;"")),IF(B_Drainage!$K$5:$K$204="-","",B_Drainage!$K$5:$K$204)),"")</f>
        <v/>
      </c>
      <c r="AC687" s="182" t="str">
        <f>IFERROR(LOOKUP(2,1/((B_Drainage!$A$5:$A$204&lt;&gt;"")*(B_Drainage!$A$5:$A$204&lt;=$B687)*(B_Drainage!$B$5:$B$204&gt;$B687)*(B_Drainage!$L$5:$L$204&lt;&gt;"")),IF(B_Drainage!$L$5:$L$204="-","",B_Drainage!$L$5:$L$204)),"")</f>
        <v/>
      </c>
      <c r="AD687" s="182" t="str">
        <f>IFERROR(LOOKUP(2,1/((D_Points!$A$5:$A$204&lt;&gt;"")*(D_Points!$A$5:$A$204&gt;=$B687)*(D_Points!$A$5:$A$204&lt;$B687+P_Interval)*(UPPER(TRIM(D_Points!$B$5:$B$204))="TURNOUT_L")*(D_Points!$H$5:$H$204&lt;&gt;"")),D_Points!$H$5:$H$204),"")</f>
        <v/>
      </c>
      <c r="AE687" s="182" t="str">
        <f>IFERROR(LOOKUP(2,1/((D_Points!$A$5:$A$204&lt;&gt;"")*(D_Points!$A$5:$A$204&gt;=$B687)*(D_Points!$A$5:$A$204&lt;$B687+P_Interval)*(UPPER(TRIM(D_Points!$B$5:$B$204))="TURNOUT_R")*(D_Points!$H$5:$H$204&lt;&gt;"")),D_Points!$H$5:$H$204),"")</f>
        <v/>
      </c>
      <c r="AF687" s="181" t="str">
        <f>IFERROR(LOOKUP(2,1/((B_Drainage!$A$5:$A$204&lt;&gt;"")*(B_Drainage!$A$5:$A$204&lt;=$B687)*(B_Drainage!$B$5:$B$204&gt;$B687)*(B_Drainage!$M$5:$M$204&lt;&gt;"")),IF(UPPER(B_Drainage!$M$5:$M$204)="Y",1,"")),"")</f>
        <v/>
      </c>
      <c r="AG687" s="181" t="str">
        <f>IFERROR(LOOKUP(2,1/((B_Drainage!$A$5:$A$204&lt;&gt;"")*(B_Drainage!$A$5:$A$204&lt;=$B687)*(B_Drainage!$B$5:$B$204&gt;$B687)*(B_Drainage!$N$5:$N$204&lt;&gt;"")),IF(UPPER(B_Drainage!$N$5:$N$204)="Y",1,"")),"")</f>
        <v/>
      </c>
      <c r="AH687" s="181" t="str">
        <f t="shared" si="80"/>
        <v/>
      </c>
      <c r="AI687" s="181" t="str">
        <f t="shared" si="81"/>
        <v/>
      </c>
      <c r="AJ687" s="181" t="str">
        <f t="shared" si="82"/>
        <v/>
      </c>
      <c r="AK687" s="181" t="str">
        <f t="shared" si="83"/>
        <v/>
      </c>
      <c r="AL687" s="181" t="str">
        <f t="shared" si="84"/>
        <v/>
      </c>
      <c r="AM687" s="181" t="str">
        <f t="shared" si="85"/>
        <v/>
      </c>
      <c r="AN687" s="181" t="str">
        <f t="shared" si="86"/>
        <v/>
      </c>
      <c r="AO687" s="192" t="str">
        <f t="shared" si="87"/>
        <v/>
      </c>
      <c r="AQ687" t="str">
        <f>IFERROR(LOOKUP(2,1/((C_Pavement!$A$5:$A$204&lt;&gt;"")*(C_Pavement!$A$5:$A$204&lt;=$B687)*(C_Pavement!$B$5:$B$204&gt;$B687)*(C_Pavement!$C$5:$C$204&lt;&gt;"")),ROW(C_Pavement!$C$5:$C$204)-4),"")</f>
        <v/>
      </c>
      <c r="AR687" t="str">
        <f>IF($AQ687="","",UPPER(TRIM(INDEX(C_Pavement!$C$5:$C$204,$AQ687))))</f>
        <v/>
      </c>
      <c r="AS687" t="str">
        <f>IF($AR687="","",IFERROR(MATCH($AR687,E_Rules!$A$5:$A$9,0),""))</f>
        <v/>
      </c>
      <c r="AT687" t="str">
        <f>IF($AQ687="","",IF(INDEX(C_Pavement!$D$5:$D$204,$AQ687)&lt;&gt;"",UPPER(TRIM(INDEX(C_Pavement!$D$5:$D$204,$AQ687))),IF($AS687="","",INDEX(E_Rules!$C$5:$C$9,$AS687))))</f>
        <v/>
      </c>
      <c r="AU687" t="str">
        <f>IF($AQ687="","",IF(INDEX(C_Pavement!$E$5:$E$204,$AQ687)&lt;&gt;"",IF(INDEX(C_Pavement!$E$5:$E$204,$AQ687)="-","",INDEX(C_Pavement!$E$5:$E$204,$AQ687)),IF($AS687="","",INDEX(E_Rules!$D$5:$D$9,$AS687))))</f>
        <v/>
      </c>
      <c r="AV687" t="str">
        <f>IF($AQ687="","",IF(INDEX(C_Pavement!$F$5:$F$204,$AQ687)&lt;&gt;"",IF(INDEX(C_Pavement!$F$5:$F$204,$AQ687)="-","",INDEX(C_Pavement!$F$5:$F$204,$AQ687)),IF($AS687="","",INDEX(E_Rules!$E$5:$E$9,$AS687))))</f>
        <v/>
      </c>
      <c r="AW687" t="str">
        <f>IF($AQ687="","",IF(INDEX(C_Pavement!$G$5:$G$204,$AQ687)&lt;&gt;"",IF(INDEX(C_Pavement!$G$5:$G$204,$AQ687)="-","",INDEX(C_Pavement!$G$5:$G$204,$AQ687)),IF($AS687="","",INDEX(E_Rules!$F$5:$F$9,$AS687))))</f>
        <v/>
      </c>
      <c r="AX687" t="str">
        <f>IF($AQ687="","",IF(INDEX(C_Pavement!$H$5:$H$204,$AQ687)&lt;&gt;"",IF(INDEX(C_Pavement!$H$5:$H$204,$AQ687)="-","",INDEX(C_Pavement!$H$5:$H$204,$AQ687)),IF($AS687="","",INDEX(E_Rules!$G$5:$G$9,$AS687))))</f>
        <v/>
      </c>
      <c r="AY687" t="str">
        <f>IF($AQ687="","",IF(INDEX(C_Pavement!$I$5:$I$204,$AQ687)&lt;&gt;"",IF(INDEX(C_Pavement!$I$5:$I$204,$AQ687)="-","",INDEX(C_Pavement!$I$5:$I$204,$AQ687)),IF($AS687="","",INDEX(E_Rules!$H$5:$H$9,$AS687))))</f>
        <v/>
      </c>
    </row>
    <row r="688" spans="1:51" ht="15.75" customHeight="1" x14ac:dyDescent="0.3">
      <c r="A688" s="189">
        <v>683</v>
      </c>
      <c r="B688" s="180">
        <v>34100</v>
      </c>
      <c r="C688" s="180" t="s">
        <v>994</v>
      </c>
      <c r="D688" s="181" t="str">
        <f>IFERROR(LOOKUP(2,1/((A_Corridor!$A$5:$A$204&lt;&gt;"")*(A_Corridor!$A$5:$A$204&lt;=$B688)*(A_Corridor!$B$5:$B$204&gt;$B688)*(A_Corridor!$C$5:$C$204&lt;&gt;"")),IF(UPPER(A_Corridor!$C$5:$C$204)="Y",1,"")),"")</f>
        <v/>
      </c>
      <c r="E688" s="181" t="str">
        <f>IFERROR(LOOKUP(2,1/((A_Corridor!$A$5:$A$204&lt;&gt;"")*(A_Corridor!$A$5:$A$204&lt;=$B688)*(A_Corridor!$B$5:$B$204&gt;$B688)*(A_Corridor!$D$5:$D$204&lt;&gt;"")),IF(A_Corridor!$D$5:$D$204="-","",UPPER(A_Corridor!$D$5:$D$204))),"")</f>
        <v/>
      </c>
      <c r="F688" s="181" t="str">
        <f>IFERROR(LOOKUP(2,1/((A_Corridor!$A$5:$A$204&lt;&gt;"")*(A_Corridor!$A$5:$A$204&lt;=$B688)*(A_Corridor!$B$5:$B$204&gt;$B688)*(A_Corridor!$E$5:$E$204&lt;&gt;"")),IF(A_Corridor!$E$5:$E$204="-","",1)),"")</f>
        <v/>
      </c>
      <c r="G688" s="182" t="str">
        <f>IFERROR(LOOKUP(2,1/((A_Corridor!$A$5:$A$204&lt;&gt;"")*(A_Corridor!$A$5:$A$204&lt;=$B688)*(A_Corridor!$B$5:$B$204&gt;$B688)*(A_Corridor!$E$5:$E$204&lt;&gt;"")),IF(A_Corridor!$E$5:$E$204="-","",A_Corridor!$E$5:$E$204)),"")</f>
        <v/>
      </c>
      <c r="H688" s="182" t="str">
        <f>IFERROR(LOOKUP(2,1/((D_Points!$A$5:$A$204&lt;&gt;"")*(D_Points!$A$5:$A$204&gt;=$B688)*(D_Points!$A$5:$A$204&lt;$B688+P_Interval)*(UPPER(TRIM(D_Points!$B$5:$B$204))="GULLY")*(D_Points!$H$5:$H$204&lt;&gt;"")),D_Points!$H$5:$H$204),"")</f>
        <v/>
      </c>
      <c r="I688" s="181" t="str">
        <f>IFERROR(LOOKUP(2,1/((A_Corridor!$A$5:$A$204&lt;&gt;"")*(A_Corridor!$A$5:$A$204&lt;=$B688)*(A_Corridor!$B$5:$B$204&gt;$B688)*(A_Corridor!$F$5:$F$204&lt;&gt;"")),IF(A_Corridor!$F$5:$F$204="-","",1)),"")</f>
        <v/>
      </c>
      <c r="J688" s="182" t="str">
        <f>IFERROR(LOOKUP(2,1/((A_Corridor!$A$5:$A$204&lt;&gt;"")*(A_Corridor!$A$5:$A$204&lt;=$B688)*(A_Corridor!$B$5:$B$204&gt;$B688)*(A_Corridor!$F$5:$F$204&lt;&gt;"")),IF(A_Corridor!$F$5:$F$204="-","",A_Corridor!$F$5:$F$204)),"")</f>
        <v/>
      </c>
      <c r="K688" s="182" t="str">
        <f>IFERROR(LOOKUP(2,1/((A_Corridor!$A$5:$A$204&lt;&gt;"")*(A_Corridor!$A$5:$A$204&lt;=$B688)*(A_Corridor!$B$5:$B$204&gt;$B688)*(A_Corridor!$G$5:$G$204&lt;&gt;"")),IF(A_Corridor!$G$5:$G$204="-","",A_Corridor!$G$5:$G$204)),"")</f>
        <v/>
      </c>
      <c r="L688" s="181" t="str">
        <f>IFERROR(LOOKUP(2,1/((A_Corridor!$A$5:$A$204&lt;&gt;"")*(A_Corridor!$A$5:$A$204&lt;=$B688)*(A_Corridor!$B$5:$B$204&gt;$B688)*(A_Corridor!$H$5:$H$204&lt;&gt;"")),IF(A_Corridor!$H$5:$H$204="-","",1)),"")</f>
        <v/>
      </c>
      <c r="M688" s="182" t="str">
        <f>IFERROR(LOOKUP(2,1/((A_Corridor!$A$5:$A$204&lt;&gt;"")*(A_Corridor!$A$5:$A$204&lt;=$B688)*(A_Corridor!$B$5:$B$204&gt;$B688)*(A_Corridor!$H$5:$H$204&lt;&gt;"")),IF(A_Corridor!$H$5:$H$204="-","",A_Corridor!$H$5:$H$204)),"")</f>
        <v/>
      </c>
      <c r="N688" s="182" t="str">
        <f>IFERROR(LOOKUP(2,1/((A_Corridor!$A$5:$A$204&lt;&gt;"")*(A_Corridor!$A$5:$A$204&lt;=$B688)*(A_Corridor!$B$5:$B$204&gt;$B688)*(A_Corridor!$I$5:$I$204&lt;&gt;"")),IF(A_Corridor!$I$5:$I$204="-","",A_Corridor!$I$5:$I$204)),"")</f>
        <v/>
      </c>
      <c r="O688" s="182" t="str">
        <f>IFERROR(LOOKUP(2,1/((D_Points!$A$5:$A$204&lt;&gt;"")*(D_Points!$A$5:$A$204&gt;=$B688)*(D_Points!$A$5:$A$204&lt;$B688+P_Interval)*(UPPER(TRIM(D_Points!$B$5:$B$204))="PITCHING")*(D_Points!$H$5:$H$204&lt;&gt;"")),D_Points!$H$5:$H$204),"")</f>
        <v/>
      </c>
      <c r="P688" s="181" t="str">
        <f>IFERROR(LOOKUP(2,1/((B_Drainage!$A$5:$A$204&lt;&gt;"")*(B_Drainage!$A$5:$A$204&lt;=$B688)*(B_Drainage!$B$5:$B$204&gt;$B688)*(B_Drainage!$C$5:$C$204&lt;&gt;"")),IF(B_Drainage!$C$5:$C$204="-","",UPPER(B_Drainage!$C$5:$C$204))),"")</f>
        <v/>
      </c>
      <c r="Q688" s="181" t="str">
        <f>IFERROR(LOOKUP(2,1/((B_Drainage!$A$5:$A$204&lt;&gt;"")*(B_Drainage!$A$5:$A$204&lt;=$B688)*(B_Drainage!$B$5:$B$204&gt;$B688)*(B_Drainage!$D$5:$D$204&lt;&gt;"")),IF(B_Drainage!$D$5:$D$204="-","",UPPER(B_Drainage!$D$5:$D$204))),"")</f>
        <v/>
      </c>
      <c r="R688" s="182" t="str">
        <f>IFERROR(LOOKUP(2,1/((D_Points!$A$5:$A$204&lt;&gt;"")*(D_Points!$A$5:$A$204&gt;=$B688)*(D_Points!$A$5:$A$204&lt;$B688+P_Interval)*(RIGHT(UPPER(TRIM(D_Points!$B$5:$B$204)),8)="_CULVERT")),IF(LEFT(UPPER(TRIM(D_Points!$B$5:$B$204)),2)="EX",1,IF(LEFT(UPPER(TRIM(D_Points!$B$5:$B$204)),2)="PR",2,3))),"")</f>
        <v/>
      </c>
      <c r="S688" s="182" t="str">
        <f>IFERROR(LOOKUP(2,1/((D_Points!$A$5:$A$204&lt;&gt;"")*(D_Points!$A$5:$A$204&gt;=$B688)*(D_Points!$A$5:$A$204&lt;$B688+P_Interval)*(RIGHT(UPPER(TRIM(D_Points!$B$5:$B$204)),7)="_BRIDGE")),IF(LEFT(UPPER(TRIM(D_Points!$B$5:$B$204)),2)="EX",1,IF(LEFT(UPPER(TRIM(D_Points!$B$5:$B$204)),2)="PR",2,2))),"")</f>
        <v/>
      </c>
      <c r="T688" s="181" t="str">
        <f>IFERROR(LOOKUP(2,1/((B_Drainage!$A$5:$A$204&lt;&gt;"")*(B_Drainage!$A$5:$A$204&lt;=$B688)*(B_Drainage!$B$5:$B$204&gt;$B688)*(B_Drainage!$E$5:$E$204&lt;&gt;"")),IF(B_Drainage!$E$5:$E$204="-","",1)),"")</f>
        <v/>
      </c>
      <c r="U688" s="181" t="str">
        <f>IFERROR(LOOKUP(2,1/((B_Drainage!$A$5:$A$204&lt;&gt;"")*(B_Drainage!$A$5:$A$204&lt;=$B688)*(B_Drainage!$B$5:$B$204&gt;$B688)*(B_Drainage!$E$5:$E$204&lt;&gt;"")),IF(B_Drainage!$E$5:$E$204="-","",B_Drainage!$E$5:$E$204)),"")</f>
        <v/>
      </c>
      <c r="V688" s="181" t="str">
        <f>IFERROR(LOOKUP(2,1/((B_Drainage!$A$5:$A$204&lt;&gt;"")*(B_Drainage!$A$5:$A$204&lt;=$B688)*(B_Drainage!$B$5:$B$204&gt;$B688)*(B_Drainage!$F$5:$F$204&lt;&gt;"")),IF(B_Drainage!$F$5:$F$204="-","",1)),"")</f>
        <v/>
      </c>
      <c r="W688" s="181" t="str">
        <f>IFERROR(LOOKUP(2,1/((B_Drainage!$A$5:$A$204&lt;&gt;"")*(B_Drainage!$A$5:$A$204&lt;=$B688)*(B_Drainage!$B$5:$B$204&gt;$B688)*(B_Drainage!$F$5:$F$204&lt;&gt;"")),IF(B_Drainage!$F$5:$F$204="-","",B_Drainage!$F$5:$F$204)),"")</f>
        <v/>
      </c>
      <c r="X688" s="181" t="str">
        <f>IFERROR(LOOKUP(2,1/((B_Drainage!$A$5:$A$204&lt;&gt;"")*(B_Drainage!$A$5:$A$204&lt;=$B688)*(B_Drainage!$B$5:$B$204&gt;$B688)*(B_Drainage!$G$5:$G$204&lt;&gt;"")),IF(UPPER(B_Drainage!$G$5:$G$204)="Y",1,"")),"")</f>
        <v/>
      </c>
      <c r="Y688" s="181" t="str">
        <f>IFERROR(LOOKUP(2,1/((B_Drainage!$A$5:$A$204&lt;&gt;"")*(B_Drainage!$A$5:$A$204&lt;=$B688)*(B_Drainage!$B$5:$B$204&gt;$B688)*(B_Drainage!$H$5:$H$204&lt;&gt;"")),IF(UPPER(B_Drainage!$H$5:$H$204)="Y",1,"")),"")</f>
        <v/>
      </c>
      <c r="Z688" s="181" t="str">
        <f>IFERROR(LOOKUP(2,1/((B_Drainage!$A$5:$A$204&lt;&gt;"")*(B_Drainage!$A$5:$A$204&lt;=$B688)*(B_Drainage!$B$5:$B$204&gt;$B688)*(B_Drainage!$I$5:$I$204&lt;&gt;"")),IF(UPPER(B_Drainage!$I$5:$I$204)="Y",1,"")),"")</f>
        <v/>
      </c>
      <c r="AA688" s="181" t="str">
        <f>IFERROR(LOOKUP(2,1/((B_Drainage!$A$5:$A$204&lt;&gt;"")*(B_Drainage!$A$5:$A$204&lt;=$B688)*(B_Drainage!$B$5:$B$204&gt;$B688)*(B_Drainage!$J$5:$J$204&lt;&gt;"")),IF(UPPER(B_Drainage!$J$5:$J$204)="Y",1,"")),"")</f>
        <v/>
      </c>
      <c r="AB688" s="182" t="str">
        <f>IFERROR(LOOKUP(2,1/((B_Drainage!$A$5:$A$204&lt;&gt;"")*(B_Drainage!$A$5:$A$204&lt;=$B688)*(B_Drainage!$B$5:$B$204&gt;$B688)*(B_Drainage!$K$5:$K$204&lt;&gt;"")),IF(B_Drainage!$K$5:$K$204="-","",B_Drainage!$K$5:$K$204)),"")</f>
        <v/>
      </c>
      <c r="AC688" s="182" t="str">
        <f>IFERROR(LOOKUP(2,1/((B_Drainage!$A$5:$A$204&lt;&gt;"")*(B_Drainage!$A$5:$A$204&lt;=$B688)*(B_Drainage!$B$5:$B$204&gt;$B688)*(B_Drainage!$L$5:$L$204&lt;&gt;"")),IF(B_Drainage!$L$5:$L$204="-","",B_Drainage!$L$5:$L$204)),"")</f>
        <v/>
      </c>
      <c r="AD688" s="182" t="str">
        <f>IFERROR(LOOKUP(2,1/((D_Points!$A$5:$A$204&lt;&gt;"")*(D_Points!$A$5:$A$204&gt;=$B688)*(D_Points!$A$5:$A$204&lt;$B688+P_Interval)*(UPPER(TRIM(D_Points!$B$5:$B$204))="TURNOUT_L")*(D_Points!$H$5:$H$204&lt;&gt;"")),D_Points!$H$5:$H$204),"")</f>
        <v/>
      </c>
      <c r="AE688" s="182" t="str">
        <f>IFERROR(LOOKUP(2,1/((D_Points!$A$5:$A$204&lt;&gt;"")*(D_Points!$A$5:$A$204&gt;=$B688)*(D_Points!$A$5:$A$204&lt;$B688+P_Interval)*(UPPER(TRIM(D_Points!$B$5:$B$204))="TURNOUT_R")*(D_Points!$H$5:$H$204&lt;&gt;"")),D_Points!$H$5:$H$204),"")</f>
        <v/>
      </c>
      <c r="AF688" s="181" t="str">
        <f>IFERROR(LOOKUP(2,1/((B_Drainage!$A$5:$A$204&lt;&gt;"")*(B_Drainage!$A$5:$A$204&lt;=$B688)*(B_Drainage!$B$5:$B$204&gt;$B688)*(B_Drainage!$M$5:$M$204&lt;&gt;"")),IF(UPPER(B_Drainage!$M$5:$M$204)="Y",1,"")),"")</f>
        <v/>
      </c>
      <c r="AG688" s="181" t="str">
        <f>IFERROR(LOOKUP(2,1/((B_Drainage!$A$5:$A$204&lt;&gt;"")*(B_Drainage!$A$5:$A$204&lt;=$B688)*(B_Drainage!$B$5:$B$204&gt;$B688)*(B_Drainage!$N$5:$N$204&lt;&gt;"")),IF(UPPER(B_Drainage!$N$5:$N$204)="Y",1,"")),"")</f>
        <v/>
      </c>
      <c r="AH688" s="181" t="str">
        <f t="shared" si="80"/>
        <v/>
      </c>
      <c r="AI688" s="181" t="str">
        <f t="shared" si="81"/>
        <v/>
      </c>
      <c r="AJ688" s="181" t="str">
        <f t="shared" si="82"/>
        <v/>
      </c>
      <c r="AK688" s="181" t="str">
        <f t="shared" si="83"/>
        <v/>
      </c>
      <c r="AL688" s="181" t="str">
        <f t="shared" si="84"/>
        <v/>
      </c>
      <c r="AM688" s="181" t="str">
        <f t="shared" si="85"/>
        <v/>
      </c>
      <c r="AN688" s="181" t="str">
        <f t="shared" si="86"/>
        <v/>
      </c>
      <c r="AO688" s="192" t="str">
        <f t="shared" si="87"/>
        <v/>
      </c>
      <c r="AQ688" t="str">
        <f>IFERROR(LOOKUP(2,1/((C_Pavement!$A$5:$A$204&lt;&gt;"")*(C_Pavement!$A$5:$A$204&lt;=$B688)*(C_Pavement!$B$5:$B$204&gt;$B688)*(C_Pavement!$C$5:$C$204&lt;&gt;"")),ROW(C_Pavement!$C$5:$C$204)-4),"")</f>
        <v/>
      </c>
      <c r="AR688" t="str">
        <f>IF($AQ688="","",UPPER(TRIM(INDEX(C_Pavement!$C$5:$C$204,$AQ688))))</f>
        <v/>
      </c>
      <c r="AS688" t="str">
        <f>IF($AR688="","",IFERROR(MATCH($AR688,E_Rules!$A$5:$A$9,0),""))</f>
        <v/>
      </c>
      <c r="AT688" t="str">
        <f>IF($AQ688="","",IF(INDEX(C_Pavement!$D$5:$D$204,$AQ688)&lt;&gt;"",UPPER(TRIM(INDEX(C_Pavement!$D$5:$D$204,$AQ688))),IF($AS688="","",INDEX(E_Rules!$C$5:$C$9,$AS688))))</f>
        <v/>
      </c>
      <c r="AU688" t="str">
        <f>IF($AQ688="","",IF(INDEX(C_Pavement!$E$5:$E$204,$AQ688)&lt;&gt;"",IF(INDEX(C_Pavement!$E$5:$E$204,$AQ688)="-","",INDEX(C_Pavement!$E$5:$E$204,$AQ688)),IF($AS688="","",INDEX(E_Rules!$D$5:$D$9,$AS688))))</f>
        <v/>
      </c>
      <c r="AV688" t="str">
        <f>IF($AQ688="","",IF(INDEX(C_Pavement!$F$5:$F$204,$AQ688)&lt;&gt;"",IF(INDEX(C_Pavement!$F$5:$F$204,$AQ688)="-","",INDEX(C_Pavement!$F$5:$F$204,$AQ688)),IF($AS688="","",INDEX(E_Rules!$E$5:$E$9,$AS688))))</f>
        <v/>
      </c>
      <c r="AW688" t="str">
        <f>IF($AQ688="","",IF(INDEX(C_Pavement!$G$5:$G$204,$AQ688)&lt;&gt;"",IF(INDEX(C_Pavement!$G$5:$G$204,$AQ688)="-","",INDEX(C_Pavement!$G$5:$G$204,$AQ688)),IF($AS688="","",INDEX(E_Rules!$F$5:$F$9,$AS688))))</f>
        <v/>
      </c>
      <c r="AX688" t="str">
        <f>IF($AQ688="","",IF(INDEX(C_Pavement!$H$5:$H$204,$AQ688)&lt;&gt;"",IF(INDEX(C_Pavement!$H$5:$H$204,$AQ688)="-","",INDEX(C_Pavement!$H$5:$H$204,$AQ688)),IF($AS688="","",INDEX(E_Rules!$G$5:$G$9,$AS688))))</f>
        <v/>
      </c>
      <c r="AY688" t="str">
        <f>IF($AQ688="","",IF(INDEX(C_Pavement!$I$5:$I$204,$AQ688)&lt;&gt;"",IF(INDEX(C_Pavement!$I$5:$I$204,$AQ688)="-","",INDEX(C_Pavement!$I$5:$I$204,$AQ688)),IF($AS688="","",INDEX(E_Rules!$H$5:$H$9,$AS688))))</f>
        <v/>
      </c>
    </row>
    <row r="689" spans="1:51" ht="15.75" customHeight="1" x14ac:dyDescent="0.3">
      <c r="A689" s="189">
        <v>684</v>
      </c>
      <c r="B689" s="180">
        <v>34150</v>
      </c>
      <c r="C689" s="180" t="s">
        <v>995</v>
      </c>
      <c r="D689" s="181" t="str">
        <f>IFERROR(LOOKUP(2,1/((A_Corridor!$A$5:$A$204&lt;&gt;"")*(A_Corridor!$A$5:$A$204&lt;=$B689)*(A_Corridor!$B$5:$B$204&gt;$B689)*(A_Corridor!$C$5:$C$204&lt;&gt;"")),IF(UPPER(A_Corridor!$C$5:$C$204)="Y",1,"")),"")</f>
        <v/>
      </c>
      <c r="E689" s="181" t="str">
        <f>IFERROR(LOOKUP(2,1/((A_Corridor!$A$5:$A$204&lt;&gt;"")*(A_Corridor!$A$5:$A$204&lt;=$B689)*(A_Corridor!$B$5:$B$204&gt;$B689)*(A_Corridor!$D$5:$D$204&lt;&gt;"")),IF(A_Corridor!$D$5:$D$204="-","",UPPER(A_Corridor!$D$5:$D$204))),"")</f>
        <v/>
      </c>
      <c r="F689" s="181" t="str">
        <f>IFERROR(LOOKUP(2,1/((A_Corridor!$A$5:$A$204&lt;&gt;"")*(A_Corridor!$A$5:$A$204&lt;=$B689)*(A_Corridor!$B$5:$B$204&gt;$B689)*(A_Corridor!$E$5:$E$204&lt;&gt;"")),IF(A_Corridor!$E$5:$E$204="-","",1)),"")</f>
        <v/>
      </c>
      <c r="G689" s="182" t="str">
        <f>IFERROR(LOOKUP(2,1/((A_Corridor!$A$5:$A$204&lt;&gt;"")*(A_Corridor!$A$5:$A$204&lt;=$B689)*(A_Corridor!$B$5:$B$204&gt;$B689)*(A_Corridor!$E$5:$E$204&lt;&gt;"")),IF(A_Corridor!$E$5:$E$204="-","",A_Corridor!$E$5:$E$204)),"")</f>
        <v/>
      </c>
      <c r="H689" s="182" t="str">
        <f>IFERROR(LOOKUP(2,1/((D_Points!$A$5:$A$204&lt;&gt;"")*(D_Points!$A$5:$A$204&gt;=$B689)*(D_Points!$A$5:$A$204&lt;$B689+P_Interval)*(UPPER(TRIM(D_Points!$B$5:$B$204))="GULLY")*(D_Points!$H$5:$H$204&lt;&gt;"")),D_Points!$H$5:$H$204),"")</f>
        <v/>
      </c>
      <c r="I689" s="181" t="str">
        <f>IFERROR(LOOKUP(2,1/((A_Corridor!$A$5:$A$204&lt;&gt;"")*(A_Corridor!$A$5:$A$204&lt;=$B689)*(A_Corridor!$B$5:$B$204&gt;$B689)*(A_Corridor!$F$5:$F$204&lt;&gt;"")),IF(A_Corridor!$F$5:$F$204="-","",1)),"")</f>
        <v/>
      </c>
      <c r="J689" s="182" t="str">
        <f>IFERROR(LOOKUP(2,1/((A_Corridor!$A$5:$A$204&lt;&gt;"")*(A_Corridor!$A$5:$A$204&lt;=$B689)*(A_Corridor!$B$5:$B$204&gt;$B689)*(A_Corridor!$F$5:$F$204&lt;&gt;"")),IF(A_Corridor!$F$5:$F$204="-","",A_Corridor!$F$5:$F$204)),"")</f>
        <v/>
      </c>
      <c r="K689" s="182" t="str">
        <f>IFERROR(LOOKUP(2,1/((A_Corridor!$A$5:$A$204&lt;&gt;"")*(A_Corridor!$A$5:$A$204&lt;=$B689)*(A_Corridor!$B$5:$B$204&gt;$B689)*(A_Corridor!$G$5:$G$204&lt;&gt;"")),IF(A_Corridor!$G$5:$G$204="-","",A_Corridor!$G$5:$G$204)),"")</f>
        <v/>
      </c>
      <c r="L689" s="181" t="str">
        <f>IFERROR(LOOKUP(2,1/((A_Corridor!$A$5:$A$204&lt;&gt;"")*(A_Corridor!$A$5:$A$204&lt;=$B689)*(A_Corridor!$B$5:$B$204&gt;$B689)*(A_Corridor!$H$5:$H$204&lt;&gt;"")),IF(A_Corridor!$H$5:$H$204="-","",1)),"")</f>
        <v/>
      </c>
      <c r="M689" s="182" t="str">
        <f>IFERROR(LOOKUP(2,1/((A_Corridor!$A$5:$A$204&lt;&gt;"")*(A_Corridor!$A$5:$A$204&lt;=$B689)*(A_Corridor!$B$5:$B$204&gt;$B689)*(A_Corridor!$H$5:$H$204&lt;&gt;"")),IF(A_Corridor!$H$5:$H$204="-","",A_Corridor!$H$5:$H$204)),"")</f>
        <v/>
      </c>
      <c r="N689" s="182" t="str">
        <f>IFERROR(LOOKUP(2,1/((A_Corridor!$A$5:$A$204&lt;&gt;"")*(A_Corridor!$A$5:$A$204&lt;=$B689)*(A_Corridor!$B$5:$B$204&gt;$B689)*(A_Corridor!$I$5:$I$204&lt;&gt;"")),IF(A_Corridor!$I$5:$I$204="-","",A_Corridor!$I$5:$I$204)),"")</f>
        <v/>
      </c>
      <c r="O689" s="182" t="str">
        <f>IFERROR(LOOKUP(2,1/((D_Points!$A$5:$A$204&lt;&gt;"")*(D_Points!$A$5:$A$204&gt;=$B689)*(D_Points!$A$5:$A$204&lt;$B689+P_Interval)*(UPPER(TRIM(D_Points!$B$5:$B$204))="PITCHING")*(D_Points!$H$5:$H$204&lt;&gt;"")),D_Points!$H$5:$H$204),"")</f>
        <v/>
      </c>
      <c r="P689" s="181" t="str">
        <f>IFERROR(LOOKUP(2,1/((B_Drainage!$A$5:$A$204&lt;&gt;"")*(B_Drainage!$A$5:$A$204&lt;=$B689)*(B_Drainage!$B$5:$B$204&gt;$B689)*(B_Drainage!$C$5:$C$204&lt;&gt;"")),IF(B_Drainage!$C$5:$C$204="-","",UPPER(B_Drainage!$C$5:$C$204))),"")</f>
        <v/>
      </c>
      <c r="Q689" s="181" t="str">
        <f>IFERROR(LOOKUP(2,1/((B_Drainage!$A$5:$A$204&lt;&gt;"")*(B_Drainage!$A$5:$A$204&lt;=$B689)*(B_Drainage!$B$5:$B$204&gt;$B689)*(B_Drainage!$D$5:$D$204&lt;&gt;"")),IF(B_Drainage!$D$5:$D$204="-","",UPPER(B_Drainage!$D$5:$D$204))),"")</f>
        <v/>
      </c>
      <c r="R689" s="182" t="str">
        <f>IFERROR(LOOKUP(2,1/((D_Points!$A$5:$A$204&lt;&gt;"")*(D_Points!$A$5:$A$204&gt;=$B689)*(D_Points!$A$5:$A$204&lt;$B689+P_Interval)*(RIGHT(UPPER(TRIM(D_Points!$B$5:$B$204)),8)="_CULVERT")),IF(LEFT(UPPER(TRIM(D_Points!$B$5:$B$204)),2)="EX",1,IF(LEFT(UPPER(TRIM(D_Points!$B$5:$B$204)),2)="PR",2,3))),"")</f>
        <v/>
      </c>
      <c r="S689" s="182" t="str">
        <f>IFERROR(LOOKUP(2,1/((D_Points!$A$5:$A$204&lt;&gt;"")*(D_Points!$A$5:$A$204&gt;=$B689)*(D_Points!$A$5:$A$204&lt;$B689+P_Interval)*(RIGHT(UPPER(TRIM(D_Points!$B$5:$B$204)),7)="_BRIDGE")),IF(LEFT(UPPER(TRIM(D_Points!$B$5:$B$204)),2)="EX",1,IF(LEFT(UPPER(TRIM(D_Points!$B$5:$B$204)),2)="PR",2,2))),"")</f>
        <v/>
      </c>
      <c r="T689" s="181" t="str">
        <f>IFERROR(LOOKUP(2,1/((B_Drainage!$A$5:$A$204&lt;&gt;"")*(B_Drainage!$A$5:$A$204&lt;=$B689)*(B_Drainage!$B$5:$B$204&gt;$B689)*(B_Drainage!$E$5:$E$204&lt;&gt;"")),IF(B_Drainage!$E$5:$E$204="-","",1)),"")</f>
        <v/>
      </c>
      <c r="U689" s="181" t="str">
        <f>IFERROR(LOOKUP(2,1/((B_Drainage!$A$5:$A$204&lt;&gt;"")*(B_Drainage!$A$5:$A$204&lt;=$B689)*(B_Drainage!$B$5:$B$204&gt;$B689)*(B_Drainage!$E$5:$E$204&lt;&gt;"")),IF(B_Drainage!$E$5:$E$204="-","",B_Drainage!$E$5:$E$204)),"")</f>
        <v/>
      </c>
      <c r="V689" s="181" t="str">
        <f>IFERROR(LOOKUP(2,1/((B_Drainage!$A$5:$A$204&lt;&gt;"")*(B_Drainage!$A$5:$A$204&lt;=$B689)*(B_Drainage!$B$5:$B$204&gt;$B689)*(B_Drainage!$F$5:$F$204&lt;&gt;"")),IF(B_Drainage!$F$5:$F$204="-","",1)),"")</f>
        <v/>
      </c>
      <c r="W689" s="181" t="str">
        <f>IFERROR(LOOKUP(2,1/((B_Drainage!$A$5:$A$204&lt;&gt;"")*(B_Drainage!$A$5:$A$204&lt;=$B689)*(B_Drainage!$B$5:$B$204&gt;$B689)*(B_Drainage!$F$5:$F$204&lt;&gt;"")),IF(B_Drainage!$F$5:$F$204="-","",B_Drainage!$F$5:$F$204)),"")</f>
        <v/>
      </c>
      <c r="X689" s="181" t="str">
        <f>IFERROR(LOOKUP(2,1/((B_Drainage!$A$5:$A$204&lt;&gt;"")*(B_Drainage!$A$5:$A$204&lt;=$B689)*(B_Drainage!$B$5:$B$204&gt;$B689)*(B_Drainage!$G$5:$G$204&lt;&gt;"")),IF(UPPER(B_Drainage!$G$5:$G$204)="Y",1,"")),"")</f>
        <v/>
      </c>
      <c r="Y689" s="181" t="str">
        <f>IFERROR(LOOKUP(2,1/((B_Drainage!$A$5:$A$204&lt;&gt;"")*(B_Drainage!$A$5:$A$204&lt;=$B689)*(B_Drainage!$B$5:$B$204&gt;$B689)*(B_Drainage!$H$5:$H$204&lt;&gt;"")),IF(UPPER(B_Drainage!$H$5:$H$204)="Y",1,"")),"")</f>
        <v/>
      </c>
      <c r="Z689" s="181" t="str">
        <f>IFERROR(LOOKUP(2,1/((B_Drainage!$A$5:$A$204&lt;&gt;"")*(B_Drainage!$A$5:$A$204&lt;=$B689)*(B_Drainage!$B$5:$B$204&gt;$B689)*(B_Drainage!$I$5:$I$204&lt;&gt;"")),IF(UPPER(B_Drainage!$I$5:$I$204)="Y",1,"")),"")</f>
        <v/>
      </c>
      <c r="AA689" s="181" t="str">
        <f>IFERROR(LOOKUP(2,1/((B_Drainage!$A$5:$A$204&lt;&gt;"")*(B_Drainage!$A$5:$A$204&lt;=$B689)*(B_Drainage!$B$5:$B$204&gt;$B689)*(B_Drainage!$J$5:$J$204&lt;&gt;"")),IF(UPPER(B_Drainage!$J$5:$J$204)="Y",1,"")),"")</f>
        <v/>
      </c>
      <c r="AB689" s="182" t="str">
        <f>IFERROR(LOOKUP(2,1/((B_Drainage!$A$5:$A$204&lt;&gt;"")*(B_Drainage!$A$5:$A$204&lt;=$B689)*(B_Drainage!$B$5:$B$204&gt;$B689)*(B_Drainage!$K$5:$K$204&lt;&gt;"")),IF(B_Drainage!$K$5:$K$204="-","",B_Drainage!$K$5:$K$204)),"")</f>
        <v/>
      </c>
      <c r="AC689" s="182" t="str">
        <f>IFERROR(LOOKUP(2,1/((B_Drainage!$A$5:$A$204&lt;&gt;"")*(B_Drainage!$A$5:$A$204&lt;=$B689)*(B_Drainage!$B$5:$B$204&gt;$B689)*(B_Drainage!$L$5:$L$204&lt;&gt;"")),IF(B_Drainage!$L$5:$L$204="-","",B_Drainage!$L$5:$L$204)),"")</f>
        <v/>
      </c>
      <c r="AD689" s="182" t="str">
        <f>IFERROR(LOOKUP(2,1/((D_Points!$A$5:$A$204&lt;&gt;"")*(D_Points!$A$5:$A$204&gt;=$B689)*(D_Points!$A$5:$A$204&lt;$B689+P_Interval)*(UPPER(TRIM(D_Points!$B$5:$B$204))="TURNOUT_L")*(D_Points!$H$5:$H$204&lt;&gt;"")),D_Points!$H$5:$H$204),"")</f>
        <v/>
      </c>
      <c r="AE689" s="182" t="str">
        <f>IFERROR(LOOKUP(2,1/((D_Points!$A$5:$A$204&lt;&gt;"")*(D_Points!$A$5:$A$204&gt;=$B689)*(D_Points!$A$5:$A$204&lt;$B689+P_Interval)*(UPPER(TRIM(D_Points!$B$5:$B$204))="TURNOUT_R")*(D_Points!$H$5:$H$204&lt;&gt;"")),D_Points!$H$5:$H$204),"")</f>
        <v/>
      </c>
      <c r="AF689" s="181" t="str">
        <f>IFERROR(LOOKUP(2,1/((B_Drainage!$A$5:$A$204&lt;&gt;"")*(B_Drainage!$A$5:$A$204&lt;=$B689)*(B_Drainage!$B$5:$B$204&gt;$B689)*(B_Drainage!$M$5:$M$204&lt;&gt;"")),IF(UPPER(B_Drainage!$M$5:$M$204)="Y",1,"")),"")</f>
        <v/>
      </c>
      <c r="AG689" s="181" t="str">
        <f>IFERROR(LOOKUP(2,1/((B_Drainage!$A$5:$A$204&lt;&gt;"")*(B_Drainage!$A$5:$A$204&lt;=$B689)*(B_Drainage!$B$5:$B$204&gt;$B689)*(B_Drainage!$N$5:$N$204&lt;&gt;"")),IF(UPPER(B_Drainage!$N$5:$N$204)="Y",1,"")),"")</f>
        <v/>
      </c>
      <c r="AH689" s="181" t="str">
        <f t="shared" si="80"/>
        <v/>
      </c>
      <c r="AI689" s="181" t="str">
        <f t="shared" si="81"/>
        <v/>
      </c>
      <c r="AJ689" s="181" t="str">
        <f t="shared" si="82"/>
        <v/>
      </c>
      <c r="AK689" s="181" t="str">
        <f t="shared" si="83"/>
        <v/>
      </c>
      <c r="AL689" s="181" t="str">
        <f t="shared" si="84"/>
        <v/>
      </c>
      <c r="AM689" s="181" t="str">
        <f t="shared" si="85"/>
        <v/>
      </c>
      <c r="AN689" s="181" t="str">
        <f t="shared" si="86"/>
        <v/>
      </c>
      <c r="AO689" s="192" t="str">
        <f t="shared" si="87"/>
        <v/>
      </c>
      <c r="AQ689" t="str">
        <f>IFERROR(LOOKUP(2,1/((C_Pavement!$A$5:$A$204&lt;&gt;"")*(C_Pavement!$A$5:$A$204&lt;=$B689)*(C_Pavement!$B$5:$B$204&gt;$B689)*(C_Pavement!$C$5:$C$204&lt;&gt;"")),ROW(C_Pavement!$C$5:$C$204)-4),"")</f>
        <v/>
      </c>
      <c r="AR689" t="str">
        <f>IF($AQ689="","",UPPER(TRIM(INDEX(C_Pavement!$C$5:$C$204,$AQ689))))</f>
        <v/>
      </c>
      <c r="AS689" t="str">
        <f>IF($AR689="","",IFERROR(MATCH($AR689,E_Rules!$A$5:$A$9,0),""))</f>
        <v/>
      </c>
      <c r="AT689" t="str">
        <f>IF($AQ689="","",IF(INDEX(C_Pavement!$D$5:$D$204,$AQ689)&lt;&gt;"",UPPER(TRIM(INDEX(C_Pavement!$D$5:$D$204,$AQ689))),IF($AS689="","",INDEX(E_Rules!$C$5:$C$9,$AS689))))</f>
        <v/>
      </c>
      <c r="AU689" t="str">
        <f>IF($AQ689="","",IF(INDEX(C_Pavement!$E$5:$E$204,$AQ689)&lt;&gt;"",IF(INDEX(C_Pavement!$E$5:$E$204,$AQ689)="-","",INDEX(C_Pavement!$E$5:$E$204,$AQ689)),IF($AS689="","",INDEX(E_Rules!$D$5:$D$9,$AS689))))</f>
        <v/>
      </c>
      <c r="AV689" t="str">
        <f>IF($AQ689="","",IF(INDEX(C_Pavement!$F$5:$F$204,$AQ689)&lt;&gt;"",IF(INDEX(C_Pavement!$F$5:$F$204,$AQ689)="-","",INDEX(C_Pavement!$F$5:$F$204,$AQ689)),IF($AS689="","",INDEX(E_Rules!$E$5:$E$9,$AS689))))</f>
        <v/>
      </c>
      <c r="AW689" t="str">
        <f>IF($AQ689="","",IF(INDEX(C_Pavement!$G$5:$G$204,$AQ689)&lt;&gt;"",IF(INDEX(C_Pavement!$G$5:$G$204,$AQ689)="-","",INDEX(C_Pavement!$G$5:$G$204,$AQ689)),IF($AS689="","",INDEX(E_Rules!$F$5:$F$9,$AS689))))</f>
        <v/>
      </c>
      <c r="AX689" t="str">
        <f>IF($AQ689="","",IF(INDEX(C_Pavement!$H$5:$H$204,$AQ689)&lt;&gt;"",IF(INDEX(C_Pavement!$H$5:$H$204,$AQ689)="-","",INDEX(C_Pavement!$H$5:$H$204,$AQ689)),IF($AS689="","",INDEX(E_Rules!$G$5:$G$9,$AS689))))</f>
        <v/>
      </c>
      <c r="AY689" t="str">
        <f>IF($AQ689="","",IF(INDEX(C_Pavement!$I$5:$I$204,$AQ689)&lt;&gt;"",IF(INDEX(C_Pavement!$I$5:$I$204,$AQ689)="-","",INDEX(C_Pavement!$I$5:$I$204,$AQ689)),IF($AS689="","",INDEX(E_Rules!$H$5:$H$9,$AS689))))</f>
        <v/>
      </c>
    </row>
    <row r="690" spans="1:51" ht="15.75" customHeight="1" x14ac:dyDescent="0.3">
      <c r="A690" s="189">
        <v>685</v>
      </c>
      <c r="B690" s="180">
        <v>34200</v>
      </c>
      <c r="C690" s="180" t="s">
        <v>996</v>
      </c>
      <c r="D690" s="181" t="str">
        <f>IFERROR(LOOKUP(2,1/((A_Corridor!$A$5:$A$204&lt;&gt;"")*(A_Corridor!$A$5:$A$204&lt;=$B690)*(A_Corridor!$B$5:$B$204&gt;$B690)*(A_Corridor!$C$5:$C$204&lt;&gt;"")),IF(UPPER(A_Corridor!$C$5:$C$204)="Y",1,"")),"")</f>
        <v/>
      </c>
      <c r="E690" s="181" t="str">
        <f>IFERROR(LOOKUP(2,1/((A_Corridor!$A$5:$A$204&lt;&gt;"")*(A_Corridor!$A$5:$A$204&lt;=$B690)*(A_Corridor!$B$5:$B$204&gt;$B690)*(A_Corridor!$D$5:$D$204&lt;&gt;"")),IF(A_Corridor!$D$5:$D$204="-","",UPPER(A_Corridor!$D$5:$D$204))),"")</f>
        <v/>
      </c>
      <c r="F690" s="181" t="str">
        <f>IFERROR(LOOKUP(2,1/((A_Corridor!$A$5:$A$204&lt;&gt;"")*(A_Corridor!$A$5:$A$204&lt;=$B690)*(A_Corridor!$B$5:$B$204&gt;$B690)*(A_Corridor!$E$5:$E$204&lt;&gt;"")),IF(A_Corridor!$E$5:$E$204="-","",1)),"")</f>
        <v/>
      </c>
      <c r="G690" s="182" t="str">
        <f>IFERROR(LOOKUP(2,1/((A_Corridor!$A$5:$A$204&lt;&gt;"")*(A_Corridor!$A$5:$A$204&lt;=$B690)*(A_Corridor!$B$5:$B$204&gt;$B690)*(A_Corridor!$E$5:$E$204&lt;&gt;"")),IF(A_Corridor!$E$5:$E$204="-","",A_Corridor!$E$5:$E$204)),"")</f>
        <v/>
      </c>
      <c r="H690" s="182" t="str">
        <f>IFERROR(LOOKUP(2,1/((D_Points!$A$5:$A$204&lt;&gt;"")*(D_Points!$A$5:$A$204&gt;=$B690)*(D_Points!$A$5:$A$204&lt;$B690+P_Interval)*(UPPER(TRIM(D_Points!$B$5:$B$204))="GULLY")*(D_Points!$H$5:$H$204&lt;&gt;"")),D_Points!$H$5:$H$204),"")</f>
        <v/>
      </c>
      <c r="I690" s="181" t="str">
        <f>IFERROR(LOOKUP(2,1/((A_Corridor!$A$5:$A$204&lt;&gt;"")*(A_Corridor!$A$5:$A$204&lt;=$B690)*(A_Corridor!$B$5:$B$204&gt;$B690)*(A_Corridor!$F$5:$F$204&lt;&gt;"")),IF(A_Corridor!$F$5:$F$204="-","",1)),"")</f>
        <v/>
      </c>
      <c r="J690" s="182" t="str">
        <f>IFERROR(LOOKUP(2,1/((A_Corridor!$A$5:$A$204&lt;&gt;"")*(A_Corridor!$A$5:$A$204&lt;=$B690)*(A_Corridor!$B$5:$B$204&gt;$B690)*(A_Corridor!$F$5:$F$204&lt;&gt;"")),IF(A_Corridor!$F$5:$F$204="-","",A_Corridor!$F$5:$F$204)),"")</f>
        <v/>
      </c>
      <c r="K690" s="182" t="str">
        <f>IFERROR(LOOKUP(2,1/((A_Corridor!$A$5:$A$204&lt;&gt;"")*(A_Corridor!$A$5:$A$204&lt;=$B690)*(A_Corridor!$B$5:$B$204&gt;$B690)*(A_Corridor!$G$5:$G$204&lt;&gt;"")),IF(A_Corridor!$G$5:$G$204="-","",A_Corridor!$G$5:$G$204)),"")</f>
        <v/>
      </c>
      <c r="L690" s="181" t="str">
        <f>IFERROR(LOOKUP(2,1/((A_Corridor!$A$5:$A$204&lt;&gt;"")*(A_Corridor!$A$5:$A$204&lt;=$B690)*(A_Corridor!$B$5:$B$204&gt;$B690)*(A_Corridor!$H$5:$H$204&lt;&gt;"")),IF(A_Corridor!$H$5:$H$204="-","",1)),"")</f>
        <v/>
      </c>
      <c r="M690" s="182" t="str">
        <f>IFERROR(LOOKUP(2,1/((A_Corridor!$A$5:$A$204&lt;&gt;"")*(A_Corridor!$A$5:$A$204&lt;=$B690)*(A_Corridor!$B$5:$B$204&gt;$B690)*(A_Corridor!$H$5:$H$204&lt;&gt;"")),IF(A_Corridor!$H$5:$H$204="-","",A_Corridor!$H$5:$H$204)),"")</f>
        <v/>
      </c>
      <c r="N690" s="182" t="str">
        <f>IFERROR(LOOKUP(2,1/((A_Corridor!$A$5:$A$204&lt;&gt;"")*(A_Corridor!$A$5:$A$204&lt;=$B690)*(A_Corridor!$B$5:$B$204&gt;$B690)*(A_Corridor!$I$5:$I$204&lt;&gt;"")),IF(A_Corridor!$I$5:$I$204="-","",A_Corridor!$I$5:$I$204)),"")</f>
        <v/>
      </c>
      <c r="O690" s="182" t="str">
        <f>IFERROR(LOOKUP(2,1/((D_Points!$A$5:$A$204&lt;&gt;"")*(D_Points!$A$5:$A$204&gt;=$B690)*(D_Points!$A$5:$A$204&lt;$B690+P_Interval)*(UPPER(TRIM(D_Points!$B$5:$B$204))="PITCHING")*(D_Points!$H$5:$H$204&lt;&gt;"")),D_Points!$H$5:$H$204),"")</f>
        <v/>
      </c>
      <c r="P690" s="181" t="str">
        <f>IFERROR(LOOKUP(2,1/((B_Drainage!$A$5:$A$204&lt;&gt;"")*(B_Drainage!$A$5:$A$204&lt;=$B690)*(B_Drainage!$B$5:$B$204&gt;$B690)*(B_Drainage!$C$5:$C$204&lt;&gt;"")),IF(B_Drainage!$C$5:$C$204="-","",UPPER(B_Drainage!$C$5:$C$204))),"")</f>
        <v/>
      </c>
      <c r="Q690" s="181" t="str">
        <f>IFERROR(LOOKUP(2,1/((B_Drainage!$A$5:$A$204&lt;&gt;"")*(B_Drainage!$A$5:$A$204&lt;=$B690)*(B_Drainage!$B$5:$B$204&gt;$B690)*(B_Drainage!$D$5:$D$204&lt;&gt;"")),IF(B_Drainage!$D$5:$D$204="-","",UPPER(B_Drainage!$D$5:$D$204))),"")</f>
        <v/>
      </c>
      <c r="R690" s="182" t="str">
        <f>IFERROR(LOOKUP(2,1/((D_Points!$A$5:$A$204&lt;&gt;"")*(D_Points!$A$5:$A$204&gt;=$B690)*(D_Points!$A$5:$A$204&lt;$B690+P_Interval)*(RIGHT(UPPER(TRIM(D_Points!$B$5:$B$204)),8)="_CULVERT")),IF(LEFT(UPPER(TRIM(D_Points!$B$5:$B$204)),2)="EX",1,IF(LEFT(UPPER(TRIM(D_Points!$B$5:$B$204)),2)="PR",2,3))),"")</f>
        <v/>
      </c>
      <c r="S690" s="182" t="str">
        <f>IFERROR(LOOKUP(2,1/((D_Points!$A$5:$A$204&lt;&gt;"")*(D_Points!$A$5:$A$204&gt;=$B690)*(D_Points!$A$5:$A$204&lt;$B690+P_Interval)*(RIGHT(UPPER(TRIM(D_Points!$B$5:$B$204)),7)="_BRIDGE")),IF(LEFT(UPPER(TRIM(D_Points!$B$5:$B$204)),2)="EX",1,IF(LEFT(UPPER(TRIM(D_Points!$B$5:$B$204)),2)="PR",2,2))),"")</f>
        <v/>
      </c>
      <c r="T690" s="181" t="str">
        <f>IFERROR(LOOKUP(2,1/((B_Drainage!$A$5:$A$204&lt;&gt;"")*(B_Drainage!$A$5:$A$204&lt;=$B690)*(B_Drainage!$B$5:$B$204&gt;$B690)*(B_Drainage!$E$5:$E$204&lt;&gt;"")),IF(B_Drainage!$E$5:$E$204="-","",1)),"")</f>
        <v/>
      </c>
      <c r="U690" s="181" t="str">
        <f>IFERROR(LOOKUP(2,1/((B_Drainage!$A$5:$A$204&lt;&gt;"")*(B_Drainage!$A$5:$A$204&lt;=$B690)*(B_Drainage!$B$5:$B$204&gt;$B690)*(B_Drainage!$E$5:$E$204&lt;&gt;"")),IF(B_Drainage!$E$5:$E$204="-","",B_Drainage!$E$5:$E$204)),"")</f>
        <v/>
      </c>
      <c r="V690" s="181" t="str">
        <f>IFERROR(LOOKUP(2,1/((B_Drainage!$A$5:$A$204&lt;&gt;"")*(B_Drainage!$A$5:$A$204&lt;=$B690)*(B_Drainage!$B$5:$B$204&gt;$B690)*(B_Drainage!$F$5:$F$204&lt;&gt;"")),IF(B_Drainage!$F$5:$F$204="-","",1)),"")</f>
        <v/>
      </c>
      <c r="W690" s="181" t="str">
        <f>IFERROR(LOOKUP(2,1/((B_Drainage!$A$5:$A$204&lt;&gt;"")*(B_Drainage!$A$5:$A$204&lt;=$B690)*(B_Drainage!$B$5:$B$204&gt;$B690)*(B_Drainage!$F$5:$F$204&lt;&gt;"")),IF(B_Drainage!$F$5:$F$204="-","",B_Drainage!$F$5:$F$204)),"")</f>
        <v/>
      </c>
      <c r="X690" s="181" t="str">
        <f>IFERROR(LOOKUP(2,1/((B_Drainage!$A$5:$A$204&lt;&gt;"")*(B_Drainage!$A$5:$A$204&lt;=$B690)*(B_Drainage!$B$5:$B$204&gt;$B690)*(B_Drainage!$G$5:$G$204&lt;&gt;"")),IF(UPPER(B_Drainage!$G$5:$G$204)="Y",1,"")),"")</f>
        <v/>
      </c>
      <c r="Y690" s="181" t="str">
        <f>IFERROR(LOOKUP(2,1/((B_Drainage!$A$5:$A$204&lt;&gt;"")*(B_Drainage!$A$5:$A$204&lt;=$B690)*(B_Drainage!$B$5:$B$204&gt;$B690)*(B_Drainage!$H$5:$H$204&lt;&gt;"")),IF(UPPER(B_Drainage!$H$5:$H$204)="Y",1,"")),"")</f>
        <v/>
      </c>
      <c r="Z690" s="181" t="str">
        <f>IFERROR(LOOKUP(2,1/((B_Drainage!$A$5:$A$204&lt;&gt;"")*(B_Drainage!$A$5:$A$204&lt;=$B690)*(B_Drainage!$B$5:$B$204&gt;$B690)*(B_Drainage!$I$5:$I$204&lt;&gt;"")),IF(UPPER(B_Drainage!$I$5:$I$204)="Y",1,"")),"")</f>
        <v/>
      </c>
      <c r="AA690" s="181" t="str">
        <f>IFERROR(LOOKUP(2,1/((B_Drainage!$A$5:$A$204&lt;&gt;"")*(B_Drainage!$A$5:$A$204&lt;=$B690)*(B_Drainage!$B$5:$B$204&gt;$B690)*(B_Drainage!$J$5:$J$204&lt;&gt;"")),IF(UPPER(B_Drainage!$J$5:$J$204)="Y",1,"")),"")</f>
        <v/>
      </c>
      <c r="AB690" s="182" t="str">
        <f>IFERROR(LOOKUP(2,1/((B_Drainage!$A$5:$A$204&lt;&gt;"")*(B_Drainage!$A$5:$A$204&lt;=$B690)*(B_Drainage!$B$5:$B$204&gt;$B690)*(B_Drainage!$K$5:$K$204&lt;&gt;"")),IF(B_Drainage!$K$5:$K$204="-","",B_Drainage!$K$5:$K$204)),"")</f>
        <v/>
      </c>
      <c r="AC690" s="182" t="str">
        <f>IFERROR(LOOKUP(2,1/((B_Drainage!$A$5:$A$204&lt;&gt;"")*(B_Drainage!$A$5:$A$204&lt;=$B690)*(B_Drainage!$B$5:$B$204&gt;$B690)*(B_Drainage!$L$5:$L$204&lt;&gt;"")),IF(B_Drainage!$L$5:$L$204="-","",B_Drainage!$L$5:$L$204)),"")</f>
        <v/>
      </c>
      <c r="AD690" s="182" t="str">
        <f>IFERROR(LOOKUP(2,1/((D_Points!$A$5:$A$204&lt;&gt;"")*(D_Points!$A$5:$A$204&gt;=$B690)*(D_Points!$A$5:$A$204&lt;$B690+P_Interval)*(UPPER(TRIM(D_Points!$B$5:$B$204))="TURNOUT_L")*(D_Points!$H$5:$H$204&lt;&gt;"")),D_Points!$H$5:$H$204),"")</f>
        <v/>
      </c>
      <c r="AE690" s="182" t="str">
        <f>IFERROR(LOOKUP(2,1/((D_Points!$A$5:$A$204&lt;&gt;"")*(D_Points!$A$5:$A$204&gt;=$B690)*(D_Points!$A$5:$A$204&lt;$B690+P_Interval)*(UPPER(TRIM(D_Points!$B$5:$B$204))="TURNOUT_R")*(D_Points!$H$5:$H$204&lt;&gt;"")),D_Points!$H$5:$H$204),"")</f>
        <v/>
      </c>
      <c r="AF690" s="181" t="str">
        <f>IFERROR(LOOKUP(2,1/((B_Drainage!$A$5:$A$204&lt;&gt;"")*(B_Drainage!$A$5:$A$204&lt;=$B690)*(B_Drainage!$B$5:$B$204&gt;$B690)*(B_Drainage!$M$5:$M$204&lt;&gt;"")),IF(UPPER(B_Drainage!$M$5:$M$204)="Y",1,"")),"")</f>
        <v/>
      </c>
      <c r="AG690" s="181" t="str">
        <f>IFERROR(LOOKUP(2,1/((B_Drainage!$A$5:$A$204&lt;&gt;"")*(B_Drainage!$A$5:$A$204&lt;=$B690)*(B_Drainage!$B$5:$B$204&gt;$B690)*(B_Drainage!$N$5:$N$204&lt;&gt;"")),IF(UPPER(B_Drainage!$N$5:$N$204)="Y",1,"")),"")</f>
        <v/>
      </c>
      <c r="AH690" s="181" t="str">
        <f t="shared" si="80"/>
        <v/>
      </c>
      <c r="AI690" s="181" t="str">
        <f t="shared" si="81"/>
        <v/>
      </c>
      <c r="AJ690" s="181" t="str">
        <f t="shared" si="82"/>
        <v/>
      </c>
      <c r="AK690" s="181" t="str">
        <f t="shared" si="83"/>
        <v/>
      </c>
      <c r="AL690" s="181" t="str">
        <f t="shared" si="84"/>
        <v/>
      </c>
      <c r="AM690" s="181" t="str">
        <f t="shared" si="85"/>
        <v/>
      </c>
      <c r="AN690" s="181" t="str">
        <f t="shared" si="86"/>
        <v/>
      </c>
      <c r="AO690" s="192" t="str">
        <f t="shared" si="87"/>
        <v/>
      </c>
      <c r="AQ690" t="str">
        <f>IFERROR(LOOKUP(2,1/((C_Pavement!$A$5:$A$204&lt;&gt;"")*(C_Pavement!$A$5:$A$204&lt;=$B690)*(C_Pavement!$B$5:$B$204&gt;$B690)*(C_Pavement!$C$5:$C$204&lt;&gt;"")),ROW(C_Pavement!$C$5:$C$204)-4),"")</f>
        <v/>
      </c>
      <c r="AR690" t="str">
        <f>IF($AQ690="","",UPPER(TRIM(INDEX(C_Pavement!$C$5:$C$204,$AQ690))))</f>
        <v/>
      </c>
      <c r="AS690" t="str">
        <f>IF($AR690="","",IFERROR(MATCH($AR690,E_Rules!$A$5:$A$9,0),""))</f>
        <v/>
      </c>
      <c r="AT690" t="str">
        <f>IF($AQ690="","",IF(INDEX(C_Pavement!$D$5:$D$204,$AQ690)&lt;&gt;"",UPPER(TRIM(INDEX(C_Pavement!$D$5:$D$204,$AQ690))),IF($AS690="","",INDEX(E_Rules!$C$5:$C$9,$AS690))))</f>
        <v/>
      </c>
      <c r="AU690" t="str">
        <f>IF($AQ690="","",IF(INDEX(C_Pavement!$E$5:$E$204,$AQ690)&lt;&gt;"",IF(INDEX(C_Pavement!$E$5:$E$204,$AQ690)="-","",INDEX(C_Pavement!$E$5:$E$204,$AQ690)),IF($AS690="","",INDEX(E_Rules!$D$5:$D$9,$AS690))))</f>
        <v/>
      </c>
      <c r="AV690" t="str">
        <f>IF($AQ690="","",IF(INDEX(C_Pavement!$F$5:$F$204,$AQ690)&lt;&gt;"",IF(INDEX(C_Pavement!$F$5:$F$204,$AQ690)="-","",INDEX(C_Pavement!$F$5:$F$204,$AQ690)),IF($AS690="","",INDEX(E_Rules!$E$5:$E$9,$AS690))))</f>
        <v/>
      </c>
      <c r="AW690" t="str">
        <f>IF($AQ690="","",IF(INDEX(C_Pavement!$G$5:$G$204,$AQ690)&lt;&gt;"",IF(INDEX(C_Pavement!$G$5:$G$204,$AQ690)="-","",INDEX(C_Pavement!$G$5:$G$204,$AQ690)),IF($AS690="","",INDEX(E_Rules!$F$5:$F$9,$AS690))))</f>
        <v/>
      </c>
      <c r="AX690" t="str">
        <f>IF($AQ690="","",IF(INDEX(C_Pavement!$H$5:$H$204,$AQ690)&lt;&gt;"",IF(INDEX(C_Pavement!$H$5:$H$204,$AQ690)="-","",INDEX(C_Pavement!$H$5:$H$204,$AQ690)),IF($AS690="","",INDEX(E_Rules!$G$5:$G$9,$AS690))))</f>
        <v/>
      </c>
      <c r="AY690" t="str">
        <f>IF($AQ690="","",IF(INDEX(C_Pavement!$I$5:$I$204,$AQ690)&lt;&gt;"",IF(INDEX(C_Pavement!$I$5:$I$204,$AQ690)="-","",INDEX(C_Pavement!$I$5:$I$204,$AQ690)),IF($AS690="","",INDEX(E_Rules!$H$5:$H$9,$AS690))))</f>
        <v/>
      </c>
    </row>
    <row r="691" spans="1:51" ht="15.75" customHeight="1" x14ac:dyDescent="0.3">
      <c r="A691" s="189">
        <v>686</v>
      </c>
      <c r="B691" s="180">
        <v>34250</v>
      </c>
      <c r="C691" s="180" t="s">
        <v>997</v>
      </c>
      <c r="D691" s="181" t="str">
        <f>IFERROR(LOOKUP(2,1/((A_Corridor!$A$5:$A$204&lt;&gt;"")*(A_Corridor!$A$5:$A$204&lt;=$B691)*(A_Corridor!$B$5:$B$204&gt;$B691)*(A_Corridor!$C$5:$C$204&lt;&gt;"")),IF(UPPER(A_Corridor!$C$5:$C$204)="Y",1,"")),"")</f>
        <v/>
      </c>
      <c r="E691" s="181" t="str">
        <f>IFERROR(LOOKUP(2,1/((A_Corridor!$A$5:$A$204&lt;&gt;"")*(A_Corridor!$A$5:$A$204&lt;=$B691)*(A_Corridor!$B$5:$B$204&gt;$B691)*(A_Corridor!$D$5:$D$204&lt;&gt;"")),IF(A_Corridor!$D$5:$D$204="-","",UPPER(A_Corridor!$D$5:$D$204))),"")</f>
        <v/>
      </c>
      <c r="F691" s="181" t="str">
        <f>IFERROR(LOOKUP(2,1/((A_Corridor!$A$5:$A$204&lt;&gt;"")*(A_Corridor!$A$5:$A$204&lt;=$B691)*(A_Corridor!$B$5:$B$204&gt;$B691)*(A_Corridor!$E$5:$E$204&lt;&gt;"")),IF(A_Corridor!$E$5:$E$204="-","",1)),"")</f>
        <v/>
      </c>
      <c r="G691" s="182" t="str">
        <f>IFERROR(LOOKUP(2,1/((A_Corridor!$A$5:$A$204&lt;&gt;"")*(A_Corridor!$A$5:$A$204&lt;=$B691)*(A_Corridor!$B$5:$B$204&gt;$B691)*(A_Corridor!$E$5:$E$204&lt;&gt;"")),IF(A_Corridor!$E$5:$E$204="-","",A_Corridor!$E$5:$E$204)),"")</f>
        <v/>
      </c>
      <c r="H691" s="182" t="str">
        <f>IFERROR(LOOKUP(2,1/((D_Points!$A$5:$A$204&lt;&gt;"")*(D_Points!$A$5:$A$204&gt;=$B691)*(D_Points!$A$5:$A$204&lt;$B691+P_Interval)*(UPPER(TRIM(D_Points!$B$5:$B$204))="GULLY")*(D_Points!$H$5:$H$204&lt;&gt;"")),D_Points!$H$5:$H$204),"")</f>
        <v/>
      </c>
      <c r="I691" s="181" t="str">
        <f>IFERROR(LOOKUP(2,1/((A_Corridor!$A$5:$A$204&lt;&gt;"")*(A_Corridor!$A$5:$A$204&lt;=$B691)*(A_Corridor!$B$5:$B$204&gt;$B691)*(A_Corridor!$F$5:$F$204&lt;&gt;"")),IF(A_Corridor!$F$5:$F$204="-","",1)),"")</f>
        <v/>
      </c>
      <c r="J691" s="182" t="str">
        <f>IFERROR(LOOKUP(2,1/((A_Corridor!$A$5:$A$204&lt;&gt;"")*(A_Corridor!$A$5:$A$204&lt;=$B691)*(A_Corridor!$B$5:$B$204&gt;$B691)*(A_Corridor!$F$5:$F$204&lt;&gt;"")),IF(A_Corridor!$F$5:$F$204="-","",A_Corridor!$F$5:$F$204)),"")</f>
        <v/>
      </c>
      <c r="K691" s="182" t="str">
        <f>IFERROR(LOOKUP(2,1/((A_Corridor!$A$5:$A$204&lt;&gt;"")*(A_Corridor!$A$5:$A$204&lt;=$B691)*(A_Corridor!$B$5:$B$204&gt;$B691)*(A_Corridor!$G$5:$G$204&lt;&gt;"")),IF(A_Corridor!$G$5:$G$204="-","",A_Corridor!$G$5:$G$204)),"")</f>
        <v/>
      </c>
      <c r="L691" s="181" t="str">
        <f>IFERROR(LOOKUP(2,1/((A_Corridor!$A$5:$A$204&lt;&gt;"")*(A_Corridor!$A$5:$A$204&lt;=$B691)*(A_Corridor!$B$5:$B$204&gt;$B691)*(A_Corridor!$H$5:$H$204&lt;&gt;"")),IF(A_Corridor!$H$5:$H$204="-","",1)),"")</f>
        <v/>
      </c>
      <c r="M691" s="182" t="str">
        <f>IFERROR(LOOKUP(2,1/((A_Corridor!$A$5:$A$204&lt;&gt;"")*(A_Corridor!$A$5:$A$204&lt;=$B691)*(A_Corridor!$B$5:$B$204&gt;$B691)*(A_Corridor!$H$5:$H$204&lt;&gt;"")),IF(A_Corridor!$H$5:$H$204="-","",A_Corridor!$H$5:$H$204)),"")</f>
        <v/>
      </c>
      <c r="N691" s="182" t="str">
        <f>IFERROR(LOOKUP(2,1/((A_Corridor!$A$5:$A$204&lt;&gt;"")*(A_Corridor!$A$5:$A$204&lt;=$B691)*(A_Corridor!$B$5:$B$204&gt;$B691)*(A_Corridor!$I$5:$I$204&lt;&gt;"")),IF(A_Corridor!$I$5:$I$204="-","",A_Corridor!$I$5:$I$204)),"")</f>
        <v/>
      </c>
      <c r="O691" s="182" t="str">
        <f>IFERROR(LOOKUP(2,1/((D_Points!$A$5:$A$204&lt;&gt;"")*(D_Points!$A$5:$A$204&gt;=$B691)*(D_Points!$A$5:$A$204&lt;$B691+P_Interval)*(UPPER(TRIM(D_Points!$B$5:$B$204))="PITCHING")*(D_Points!$H$5:$H$204&lt;&gt;"")),D_Points!$H$5:$H$204),"")</f>
        <v/>
      </c>
      <c r="P691" s="181" t="str">
        <f>IFERROR(LOOKUP(2,1/((B_Drainage!$A$5:$A$204&lt;&gt;"")*(B_Drainage!$A$5:$A$204&lt;=$B691)*(B_Drainage!$B$5:$B$204&gt;$B691)*(B_Drainage!$C$5:$C$204&lt;&gt;"")),IF(B_Drainage!$C$5:$C$204="-","",UPPER(B_Drainage!$C$5:$C$204))),"")</f>
        <v/>
      </c>
      <c r="Q691" s="181" t="str">
        <f>IFERROR(LOOKUP(2,1/((B_Drainage!$A$5:$A$204&lt;&gt;"")*(B_Drainage!$A$5:$A$204&lt;=$B691)*(B_Drainage!$B$5:$B$204&gt;$B691)*(B_Drainage!$D$5:$D$204&lt;&gt;"")),IF(B_Drainage!$D$5:$D$204="-","",UPPER(B_Drainage!$D$5:$D$204))),"")</f>
        <v/>
      </c>
      <c r="R691" s="182" t="str">
        <f>IFERROR(LOOKUP(2,1/((D_Points!$A$5:$A$204&lt;&gt;"")*(D_Points!$A$5:$A$204&gt;=$B691)*(D_Points!$A$5:$A$204&lt;$B691+P_Interval)*(RIGHT(UPPER(TRIM(D_Points!$B$5:$B$204)),8)="_CULVERT")),IF(LEFT(UPPER(TRIM(D_Points!$B$5:$B$204)),2)="EX",1,IF(LEFT(UPPER(TRIM(D_Points!$B$5:$B$204)),2)="PR",2,3))),"")</f>
        <v/>
      </c>
      <c r="S691" s="182" t="str">
        <f>IFERROR(LOOKUP(2,1/((D_Points!$A$5:$A$204&lt;&gt;"")*(D_Points!$A$5:$A$204&gt;=$B691)*(D_Points!$A$5:$A$204&lt;$B691+P_Interval)*(RIGHT(UPPER(TRIM(D_Points!$B$5:$B$204)),7)="_BRIDGE")),IF(LEFT(UPPER(TRIM(D_Points!$B$5:$B$204)),2)="EX",1,IF(LEFT(UPPER(TRIM(D_Points!$B$5:$B$204)),2)="PR",2,2))),"")</f>
        <v/>
      </c>
      <c r="T691" s="181" t="str">
        <f>IFERROR(LOOKUP(2,1/((B_Drainage!$A$5:$A$204&lt;&gt;"")*(B_Drainage!$A$5:$A$204&lt;=$B691)*(B_Drainage!$B$5:$B$204&gt;$B691)*(B_Drainage!$E$5:$E$204&lt;&gt;"")),IF(B_Drainage!$E$5:$E$204="-","",1)),"")</f>
        <v/>
      </c>
      <c r="U691" s="181" t="str">
        <f>IFERROR(LOOKUP(2,1/((B_Drainage!$A$5:$A$204&lt;&gt;"")*(B_Drainage!$A$5:$A$204&lt;=$B691)*(B_Drainage!$B$5:$B$204&gt;$B691)*(B_Drainage!$E$5:$E$204&lt;&gt;"")),IF(B_Drainage!$E$5:$E$204="-","",B_Drainage!$E$5:$E$204)),"")</f>
        <v/>
      </c>
      <c r="V691" s="181" t="str">
        <f>IFERROR(LOOKUP(2,1/((B_Drainage!$A$5:$A$204&lt;&gt;"")*(B_Drainage!$A$5:$A$204&lt;=$B691)*(B_Drainage!$B$5:$B$204&gt;$B691)*(B_Drainage!$F$5:$F$204&lt;&gt;"")),IF(B_Drainage!$F$5:$F$204="-","",1)),"")</f>
        <v/>
      </c>
      <c r="W691" s="181" t="str">
        <f>IFERROR(LOOKUP(2,1/((B_Drainage!$A$5:$A$204&lt;&gt;"")*(B_Drainage!$A$5:$A$204&lt;=$B691)*(B_Drainage!$B$5:$B$204&gt;$B691)*(B_Drainage!$F$5:$F$204&lt;&gt;"")),IF(B_Drainage!$F$5:$F$204="-","",B_Drainage!$F$5:$F$204)),"")</f>
        <v/>
      </c>
      <c r="X691" s="181" t="str">
        <f>IFERROR(LOOKUP(2,1/((B_Drainage!$A$5:$A$204&lt;&gt;"")*(B_Drainage!$A$5:$A$204&lt;=$B691)*(B_Drainage!$B$5:$B$204&gt;$B691)*(B_Drainage!$G$5:$G$204&lt;&gt;"")),IF(UPPER(B_Drainage!$G$5:$G$204)="Y",1,"")),"")</f>
        <v/>
      </c>
      <c r="Y691" s="181" t="str">
        <f>IFERROR(LOOKUP(2,1/((B_Drainage!$A$5:$A$204&lt;&gt;"")*(B_Drainage!$A$5:$A$204&lt;=$B691)*(B_Drainage!$B$5:$B$204&gt;$B691)*(B_Drainage!$H$5:$H$204&lt;&gt;"")),IF(UPPER(B_Drainage!$H$5:$H$204)="Y",1,"")),"")</f>
        <v/>
      </c>
      <c r="Z691" s="181" t="str">
        <f>IFERROR(LOOKUP(2,1/((B_Drainage!$A$5:$A$204&lt;&gt;"")*(B_Drainage!$A$5:$A$204&lt;=$B691)*(B_Drainage!$B$5:$B$204&gt;$B691)*(B_Drainage!$I$5:$I$204&lt;&gt;"")),IF(UPPER(B_Drainage!$I$5:$I$204)="Y",1,"")),"")</f>
        <v/>
      </c>
      <c r="AA691" s="181" t="str">
        <f>IFERROR(LOOKUP(2,1/((B_Drainage!$A$5:$A$204&lt;&gt;"")*(B_Drainage!$A$5:$A$204&lt;=$B691)*(B_Drainage!$B$5:$B$204&gt;$B691)*(B_Drainage!$J$5:$J$204&lt;&gt;"")),IF(UPPER(B_Drainage!$J$5:$J$204)="Y",1,"")),"")</f>
        <v/>
      </c>
      <c r="AB691" s="182" t="str">
        <f>IFERROR(LOOKUP(2,1/((B_Drainage!$A$5:$A$204&lt;&gt;"")*(B_Drainage!$A$5:$A$204&lt;=$B691)*(B_Drainage!$B$5:$B$204&gt;$B691)*(B_Drainage!$K$5:$K$204&lt;&gt;"")),IF(B_Drainage!$K$5:$K$204="-","",B_Drainage!$K$5:$K$204)),"")</f>
        <v/>
      </c>
      <c r="AC691" s="182" t="str">
        <f>IFERROR(LOOKUP(2,1/((B_Drainage!$A$5:$A$204&lt;&gt;"")*(B_Drainage!$A$5:$A$204&lt;=$B691)*(B_Drainage!$B$5:$B$204&gt;$B691)*(B_Drainage!$L$5:$L$204&lt;&gt;"")),IF(B_Drainage!$L$5:$L$204="-","",B_Drainage!$L$5:$L$204)),"")</f>
        <v/>
      </c>
      <c r="AD691" s="182" t="str">
        <f>IFERROR(LOOKUP(2,1/((D_Points!$A$5:$A$204&lt;&gt;"")*(D_Points!$A$5:$A$204&gt;=$B691)*(D_Points!$A$5:$A$204&lt;$B691+P_Interval)*(UPPER(TRIM(D_Points!$B$5:$B$204))="TURNOUT_L")*(D_Points!$H$5:$H$204&lt;&gt;"")),D_Points!$H$5:$H$204),"")</f>
        <v/>
      </c>
      <c r="AE691" s="182" t="str">
        <f>IFERROR(LOOKUP(2,1/((D_Points!$A$5:$A$204&lt;&gt;"")*(D_Points!$A$5:$A$204&gt;=$B691)*(D_Points!$A$5:$A$204&lt;$B691+P_Interval)*(UPPER(TRIM(D_Points!$B$5:$B$204))="TURNOUT_R")*(D_Points!$H$5:$H$204&lt;&gt;"")),D_Points!$H$5:$H$204),"")</f>
        <v/>
      </c>
      <c r="AF691" s="181" t="str">
        <f>IFERROR(LOOKUP(2,1/((B_Drainage!$A$5:$A$204&lt;&gt;"")*(B_Drainage!$A$5:$A$204&lt;=$B691)*(B_Drainage!$B$5:$B$204&gt;$B691)*(B_Drainage!$M$5:$M$204&lt;&gt;"")),IF(UPPER(B_Drainage!$M$5:$M$204)="Y",1,"")),"")</f>
        <v/>
      </c>
      <c r="AG691" s="181" t="str">
        <f>IFERROR(LOOKUP(2,1/((B_Drainage!$A$5:$A$204&lt;&gt;"")*(B_Drainage!$A$5:$A$204&lt;=$B691)*(B_Drainage!$B$5:$B$204&gt;$B691)*(B_Drainage!$N$5:$N$204&lt;&gt;"")),IF(UPPER(B_Drainage!$N$5:$N$204)="Y",1,"")),"")</f>
        <v/>
      </c>
      <c r="AH691" s="181" t="str">
        <f t="shared" si="80"/>
        <v/>
      </c>
      <c r="AI691" s="181" t="str">
        <f t="shared" si="81"/>
        <v/>
      </c>
      <c r="AJ691" s="181" t="str">
        <f t="shared" si="82"/>
        <v/>
      </c>
      <c r="AK691" s="181" t="str">
        <f t="shared" si="83"/>
        <v/>
      </c>
      <c r="AL691" s="181" t="str">
        <f t="shared" si="84"/>
        <v/>
      </c>
      <c r="AM691" s="181" t="str">
        <f t="shared" si="85"/>
        <v/>
      </c>
      <c r="AN691" s="181" t="str">
        <f t="shared" si="86"/>
        <v/>
      </c>
      <c r="AO691" s="192" t="str">
        <f t="shared" si="87"/>
        <v/>
      </c>
      <c r="AQ691" t="str">
        <f>IFERROR(LOOKUP(2,1/((C_Pavement!$A$5:$A$204&lt;&gt;"")*(C_Pavement!$A$5:$A$204&lt;=$B691)*(C_Pavement!$B$5:$B$204&gt;$B691)*(C_Pavement!$C$5:$C$204&lt;&gt;"")),ROW(C_Pavement!$C$5:$C$204)-4),"")</f>
        <v/>
      </c>
      <c r="AR691" t="str">
        <f>IF($AQ691="","",UPPER(TRIM(INDEX(C_Pavement!$C$5:$C$204,$AQ691))))</f>
        <v/>
      </c>
      <c r="AS691" t="str">
        <f>IF($AR691="","",IFERROR(MATCH($AR691,E_Rules!$A$5:$A$9,0),""))</f>
        <v/>
      </c>
      <c r="AT691" t="str">
        <f>IF($AQ691="","",IF(INDEX(C_Pavement!$D$5:$D$204,$AQ691)&lt;&gt;"",UPPER(TRIM(INDEX(C_Pavement!$D$5:$D$204,$AQ691))),IF($AS691="","",INDEX(E_Rules!$C$5:$C$9,$AS691))))</f>
        <v/>
      </c>
      <c r="AU691" t="str">
        <f>IF($AQ691="","",IF(INDEX(C_Pavement!$E$5:$E$204,$AQ691)&lt;&gt;"",IF(INDEX(C_Pavement!$E$5:$E$204,$AQ691)="-","",INDEX(C_Pavement!$E$5:$E$204,$AQ691)),IF($AS691="","",INDEX(E_Rules!$D$5:$D$9,$AS691))))</f>
        <v/>
      </c>
      <c r="AV691" t="str">
        <f>IF($AQ691="","",IF(INDEX(C_Pavement!$F$5:$F$204,$AQ691)&lt;&gt;"",IF(INDEX(C_Pavement!$F$5:$F$204,$AQ691)="-","",INDEX(C_Pavement!$F$5:$F$204,$AQ691)),IF($AS691="","",INDEX(E_Rules!$E$5:$E$9,$AS691))))</f>
        <v/>
      </c>
      <c r="AW691" t="str">
        <f>IF($AQ691="","",IF(INDEX(C_Pavement!$G$5:$G$204,$AQ691)&lt;&gt;"",IF(INDEX(C_Pavement!$G$5:$G$204,$AQ691)="-","",INDEX(C_Pavement!$G$5:$G$204,$AQ691)),IF($AS691="","",INDEX(E_Rules!$F$5:$F$9,$AS691))))</f>
        <v/>
      </c>
      <c r="AX691" t="str">
        <f>IF($AQ691="","",IF(INDEX(C_Pavement!$H$5:$H$204,$AQ691)&lt;&gt;"",IF(INDEX(C_Pavement!$H$5:$H$204,$AQ691)="-","",INDEX(C_Pavement!$H$5:$H$204,$AQ691)),IF($AS691="","",INDEX(E_Rules!$G$5:$G$9,$AS691))))</f>
        <v/>
      </c>
      <c r="AY691" t="str">
        <f>IF($AQ691="","",IF(INDEX(C_Pavement!$I$5:$I$204,$AQ691)&lt;&gt;"",IF(INDEX(C_Pavement!$I$5:$I$204,$AQ691)="-","",INDEX(C_Pavement!$I$5:$I$204,$AQ691)),IF($AS691="","",INDEX(E_Rules!$H$5:$H$9,$AS691))))</f>
        <v/>
      </c>
    </row>
    <row r="692" spans="1:51" ht="15.75" customHeight="1" x14ac:dyDescent="0.3">
      <c r="A692" s="189">
        <v>687</v>
      </c>
      <c r="B692" s="180">
        <v>34300</v>
      </c>
      <c r="C692" s="180" t="s">
        <v>998</v>
      </c>
      <c r="D692" s="181" t="str">
        <f>IFERROR(LOOKUP(2,1/((A_Corridor!$A$5:$A$204&lt;&gt;"")*(A_Corridor!$A$5:$A$204&lt;=$B692)*(A_Corridor!$B$5:$B$204&gt;$B692)*(A_Corridor!$C$5:$C$204&lt;&gt;"")),IF(UPPER(A_Corridor!$C$5:$C$204)="Y",1,"")),"")</f>
        <v/>
      </c>
      <c r="E692" s="181" t="str">
        <f>IFERROR(LOOKUP(2,1/((A_Corridor!$A$5:$A$204&lt;&gt;"")*(A_Corridor!$A$5:$A$204&lt;=$B692)*(A_Corridor!$B$5:$B$204&gt;$B692)*(A_Corridor!$D$5:$D$204&lt;&gt;"")),IF(A_Corridor!$D$5:$D$204="-","",UPPER(A_Corridor!$D$5:$D$204))),"")</f>
        <v/>
      </c>
      <c r="F692" s="181" t="str">
        <f>IFERROR(LOOKUP(2,1/((A_Corridor!$A$5:$A$204&lt;&gt;"")*(A_Corridor!$A$5:$A$204&lt;=$B692)*(A_Corridor!$B$5:$B$204&gt;$B692)*(A_Corridor!$E$5:$E$204&lt;&gt;"")),IF(A_Corridor!$E$5:$E$204="-","",1)),"")</f>
        <v/>
      </c>
      <c r="G692" s="182" t="str">
        <f>IFERROR(LOOKUP(2,1/((A_Corridor!$A$5:$A$204&lt;&gt;"")*(A_Corridor!$A$5:$A$204&lt;=$B692)*(A_Corridor!$B$5:$B$204&gt;$B692)*(A_Corridor!$E$5:$E$204&lt;&gt;"")),IF(A_Corridor!$E$5:$E$204="-","",A_Corridor!$E$5:$E$204)),"")</f>
        <v/>
      </c>
      <c r="H692" s="182" t="str">
        <f>IFERROR(LOOKUP(2,1/((D_Points!$A$5:$A$204&lt;&gt;"")*(D_Points!$A$5:$A$204&gt;=$B692)*(D_Points!$A$5:$A$204&lt;$B692+P_Interval)*(UPPER(TRIM(D_Points!$B$5:$B$204))="GULLY")*(D_Points!$H$5:$H$204&lt;&gt;"")),D_Points!$H$5:$H$204),"")</f>
        <v/>
      </c>
      <c r="I692" s="181" t="str">
        <f>IFERROR(LOOKUP(2,1/((A_Corridor!$A$5:$A$204&lt;&gt;"")*(A_Corridor!$A$5:$A$204&lt;=$B692)*(A_Corridor!$B$5:$B$204&gt;$B692)*(A_Corridor!$F$5:$F$204&lt;&gt;"")),IF(A_Corridor!$F$5:$F$204="-","",1)),"")</f>
        <v/>
      </c>
      <c r="J692" s="182" t="str">
        <f>IFERROR(LOOKUP(2,1/((A_Corridor!$A$5:$A$204&lt;&gt;"")*(A_Corridor!$A$5:$A$204&lt;=$B692)*(A_Corridor!$B$5:$B$204&gt;$B692)*(A_Corridor!$F$5:$F$204&lt;&gt;"")),IF(A_Corridor!$F$5:$F$204="-","",A_Corridor!$F$5:$F$204)),"")</f>
        <v/>
      </c>
      <c r="K692" s="182" t="str">
        <f>IFERROR(LOOKUP(2,1/((A_Corridor!$A$5:$A$204&lt;&gt;"")*(A_Corridor!$A$5:$A$204&lt;=$B692)*(A_Corridor!$B$5:$B$204&gt;$B692)*(A_Corridor!$G$5:$G$204&lt;&gt;"")),IF(A_Corridor!$G$5:$G$204="-","",A_Corridor!$G$5:$G$204)),"")</f>
        <v/>
      </c>
      <c r="L692" s="181" t="str">
        <f>IFERROR(LOOKUP(2,1/((A_Corridor!$A$5:$A$204&lt;&gt;"")*(A_Corridor!$A$5:$A$204&lt;=$B692)*(A_Corridor!$B$5:$B$204&gt;$B692)*(A_Corridor!$H$5:$H$204&lt;&gt;"")),IF(A_Corridor!$H$5:$H$204="-","",1)),"")</f>
        <v/>
      </c>
      <c r="M692" s="182" t="str">
        <f>IFERROR(LOOKUP(2,1/((A_Corridor!$A$5:$A$204&lt;&gt;"")*(A_Corridor!$A$5:$A$204&lt;=$B692)*(A_Corridor!$B$5:$B$204&gt;$B692)*(A_Corridor!$H$5:$H$204&lt;&gt;"")),IF(A_Corridor!$H$5:$H$204="-","",A_Corridor!$H$5:$H$204)),"")</f>
        <v/>
      </c>
      <c r="N692" s="182" t="str">
        <f>IFERROR(LOOKUP(2,1/((A_Corridor!$A$5:$A$204&lt;&gt;"")*(A_Corridor!$A$5:$A$204&lt;=$B692)*(A_Corridor!$B$5:$B$204&gt;$B692)*(A_Corridor!$I$5:$I$204&lt;&gt;"")),IF(A_Corridor!$I$5:$I$204="-","",A_Corridor!$I$5:$I$204)),"")</f>
        <v/>
      </c>
      <c r="O692" s="182" t="str">
        <f>IFERROR(LOOKUP(2,1/((D_Points!$A$5:$A$204&lt;&gt;"")*(D_Points!$A$5:$A$204&gt;=$B692)*(D_Points!$A$5:$A$204&lt;$B692+P_Interval)*(UPPER(TRIM(D_Points!$B$5:$B$204))="PITCHING")*(D_Points!$H$5:$H$204&lt;&gt;"")),D_Points!$H$5:$H$204),"")</f>
        <v/>
      </c>
      <c r="P692" s="181" t="str">
        <f>IFERROR(LOOKUP(2,1/((B_Drainage!$A$5:$A$204&lt;&gt;"")*(B_Drainage!$A$5:$A$204&lt;=$B692)*(B_Drainage!$B$5:$B$204&gt;$B692)*(B_Drainage!$C$5:$C$204&lt;&gt;"")),IF(B_Drainage!$C$5:$C$204="-","",UPPER(B_Drainage!$C$5:$C$204))),"")</f>
        <v/>
      </c>
      <c r="Q692" s="181" t="str">
        <f>IFERROR(LOOKUP(2,1/((B_Drainage!$A$5:$A$204&lt;&gt;"")*(B_Drainage!$A$5:$A$204&lt;=$B692)*(B_Drainage!$B$5:$B$204&gt;$B692)*(B_Drainage!$D$5:$D$204&lt;&gt;"")),IF(B_Drainage!$D$5:$D$204="-","",UPPER(B_Drainage!$D$5:$D$204))),"")</f>
        <v/>
      </c>
      <c r="R692" s="182" t="str">
        <f>IFERROR(LOOKUP(2,1/((D_Points!$A$5:$A$204&lt;&gt;"")*(D_Points!$A$5:$A$204&gt;=$B692)*(D_Points!$A$5:$A$204&lt;$B692+P_Interval)*(RIGHT(UPPER(TRIM(D_Points!$B$5:$B$204)),8)="_CULVERT")),IF(LEFT(UPPER(TRIM(D_Points!$B$5:$B$204)),2)="EX",1,IF(LEFT(UPPER(TRIM(D_Points!$B$5:$B$204)),2)="PR",2,3))),"")</f>
        <v/>
      </c>
      <c r="S692" s="182" t="str">
        <f>IFERROR(LOOKUP(2,1/((D_Points!$A$5:$A$204&lt;&gt;"")*(D_Points!$A$5:$A$204&gt;=$B692)*(D_Points!$A$5:$A$204&lt;$B692+P_Interval)*(RIGHT(UPPER(TRIM(D_Points!$B$5:$B$204)),7)="_BRIDGE")),IF(LEFT(UPPER(TRIM(D_Points!$B$5:$B$204)),2)="EX",1,IF(LEFT(UPPER(TRIM(D_Points!$B$5:$B$204)),2)="PR",2,2))),"")</f>
        <v/>
      </c>
      <c r="T692" s="181" t="str">
        <f>IFERROR(LOOKUP(2,1/((B_Drainage!$A$5:$A$204&lt;&gt;"")*(B_Drainage!$A$5:$A$204&lt;=$B692)*(B_Drainage!$B$5:$B$204&gt;$B692)*(B_Drainage!$E$5:$E$204&lt;&gt;"")),IF(B_Drainage!$E$5:$E$204="-","",1)),"")</f>
        <v/>
      </c>
      <c r="U692" s="181" t="str">
        <f>IFERROR(LOOKUP(2,1/((B_Drainage!$A$5:$A$204&lt;&gt;"")*(B_Drainage!$A$5:$A$204&lt;=$B692)*(B_Drainage!$B$5:$B$204&gt;$B692)*(B_Drainage!$E$5:$E$204&lt;&gt;"")),IF(B_Drainage!$E$5:$E$204="-","",B_Drainage!$E$5:$E$204)),"")</f>
        <v/>
      </c>
      <c r="V692" s="181" t="str">
        <f>IFERROR(LOOKUP(2,1/((B_Drainage!$A$5:$A$204&lt;&gt;"")*(B_Drainage!$A$5:$A$204&lt;=$B692)*(B_Drainage!$B$5:$B$204&gt;$B692)*(B_Drainage!$F$5:$F$204&lt;&gt;"")),IF(B_Drainage!$F$5:$F$204="-","",1)),"")</f>
        <v/>
      </c>
      <c r="W692" s="181" t="str">
        <f>IFERROR(LOOKUP(2,1/((B_Drainage!$A$5:$A$204&lt;&gt;"")*(B_Drainage!$A$5:$A$204&lt;=$B692)*(B_Drainage!$B$5:$B$204&gt;$B692)*(B_Drainage!$F$5:$F$204&lt;&gt;"")),IF(B_Drainage!$F$5:$F$204="-","",B_Drainage!$F$5:$F$204)),"")</f>
        <v/>
      </c>
      <c r="X692" s="181" t="str">
        <f>IFERROR(LOOKUP(2,1/((B_Drainage!$A$5:$A$204&lt;&gt;"")*(B_Drainage!$A$5:$A$204&lt;=$B692)*(B_Drainage!$B$5:$B$204&gt;$B692)*(B_Drainage!$G$5:$G$204&lt;&gt;"")),IF(UPPER(B_Drainage!$G$5:$G$204)="Y",1,"")),"")</f>
        <v/>
      </c>
      <c r="Y692" s="181" t="str">
        <f>IFERROR(LOOKUP(2,1/((B_Drainage!$A$5:$A$204&lt;&gt;"")*(B_Drainage!$A$5:$A$204&lt;=$B692)*(B_Drainage!$B$5:$B$204&gt;$B692)*(B_Drainage!$H$5:$H$204&lt;&gt;"")),IF(UPPER(B_Drainage!$H$5:$H$204)="Y",1,"")),"")</f>
        <v/>
      </c>
      <c r="Z692" s="181" t="str">
        <f>IFERROR(LOOKUP(2,1/((B_Drainage!$A$5:$A$204&lt;&gt;"")*(B_Drainage!$A$5:$A$204&lt;=$B692)*(B_Drainage!$B$5:$B$204&gt;$B692)*(B_Drainage!$I$5:$I$204&lt;&gt;"")),IF(UPPER(B_Drainage!$I$5:$I$204)="Y",1,"")),"")</f>
        <v/>
      </c>
      <c r="AA692" s="181" t="str">
        <f>IFERROR(LOOKUP(2,1/((B_Drainage!$A$5:$A$204&lt;&gt;"")*(B_Drainage!$A$5:$A$204&lt;=$B692)*(B_Drainage!$B$5:$B$204&gt;$B692)*(B_Drainage!$J$5:$J$204&lt;&gt;"")),IF(UPPER(B_Drainage!$J$5:$J$204)="Y",1,"")),"")</f>
        <v/>
      </c>
      <c r="AB692" s="182" t="str">
        <f>IFERROR(LOOKUP(2,1/((B_Drainage!$A$5:$A$204&lt;&gt;"")*(B_Drainage!$A$5:$A$204&lt;=$B692)*(B_Drainage!$B$5:$B$204&gt;$B692)*(B_Drainage!$K$5:$K$204&lt;&gt;"")),IF(B_Drainage!$K$5:$K$204="-","",B_Drainage!$K$5:$K$204)),"")</f>
        <v/>
      </c>
      <c r="AC692" s="182" t="str">
        <f>IFERROR(LOOKUP(2,1/((B_Drainage!$A$5:$A$204&lt;&gt;"")*(B_Drainage!$A$5:$A$204&lt;=$B692)*(B_Drainage!$B$5:$B$204&gt;$B692)*(B_Drainage!$L$5:$L$204&lt;&gt;"")),IF(B_Drainage!$L$5:$L$204="-","",B_Drainage!$L$5:$L$204)),"")</f>
        <v/>
      </c>
      <c r="AD692" s="182" t="str">
        <f>IFERROR(LOOKUP(2,1/((D_Points!$A$5:$A$204&lt;&gt;"")*(D_Points!$A$5:$A$204&gt;=$B692)*(D_Points!$A$5:$A$204&lt;$B692+P_Interval)*(UPPER(TRIM(D_Points!$B$5:$B$204))="TURNOUT_L")*(D_Points!$H$5:$H$204&lt;&gt;"")),D_Points!$H$5:$H$204),"")</f>
        <v/>
      </c>
      <c r="AE692" s="182" t="str">
        <f>IFERROR(LOOKUP(2,1/((D_Points!$A$5:$A$204&lt;&gt;"")*(D_Points!$A$5:$A$204&gt;=$B692)*(D_Points!$A$5:$A$204&lt;$B692+P_Interval)*(UPPER(TRIM(D_Points!$B$5:$B$204))="TURNOUT_R")*(D_Points!$H$5:$H$204&lt;&gt;"")),D_Points!$H$5:$H$204),"")</f>
        <v/>
      </c>
      <c r="AF692" s="181" t="str">
        <f>IFERROR(LOOKUP(2,1/((B_Drainage!$A$5:$A$204&lt;&gt;"")*(B_Drainage!$A$5:$A$204&lt;=$B692)*(B_Drainage!$B$5:$B$204&gt;$B692)*(B_Drainage!$M$5:$M$204&lt;&gt;"")),IF(UPPER(B_Drainage!$M$5:$M$204)="Y",1,"")),"")</f>
        <v/>
      </c>
      <c r="AG692" s="181" t="str">
        <f>IFERROR(LOOKUP(2,1/((B_Drainage!$A$5:$A$204&lt;&gt;"")*(B_Drainage!$A$5:$A$204&lt;=$B692)*(B_Drainage!$B$5:$B$204&gt;$B692)*(B_Drainage!$N$5:$N$204&lt;&gt;"")),IF(UPPER(B_Drainage!$N$5:$N$204)="Y",1,"")),"")</f>
        <v/>
      </c>
      <c r="AH692" s="181" t="str">
        <f t="shared" si="80"/>
        <v/>
      </c>
      <c r="AI692" s="181" t="str">
        <f t="shared" si="81"/>
        <v/>
      </c>
      <c r="AJ692" s="181" t="str">
        <f t="shared" si="82"/>
        <v/>
      </c>
      <c r="AK692" s="181" t="str">
        <f t="shared" si="83"/>
        <v/>
      </c>
      <c r="AL692" s="181" t="str">
        <f t="shared" si="84"/>
        <v/>
      </c>
      <c r="AM692" s="181" t="str">
        <f t="shared" si="85"/>
        <v/>
      </c>
      <c r="AN692" s="181" t="str">
        <f t="shared" si="86"/>
        <v/>
      </c>
      <c r="AO692" s="192" t="str">
        <f t="shared" si="87"/>
        <v/>
      </c>
      <c r="AQ692" t="str">
        <f>IFERROR(LOOKUP(2,1/((C_Pavement!$A$5:$A$204&lt;&gt;"")*(C_Pavement!$A$5:$A$204&lt;=$B692)*(C_Pavement!$B$5:$B$204&gt;$B692)*(C_Pavement!$C$5:$C$204&lt;&gt;"")),ROW(C_Pavement!$C$5:$C$204)-4),"")</f>
        <v/>
      </c>
      <c r="AR692" t="str">
        <f>IF($AQ692="","",UPPER(TRIM(INDEX(C_Pavement!$C$5:$C$204,$AQ692))))</f>
        <v/>
      </c>
      <c r="AS692" t="str">
        <f>IF($AR692="","",IFERROR(MATCH($AR692,E_Rules!$A$5:$A$9,0),""))</f>
        <v/>
      </c>
      <c r="AT692" t="str">
        <f>IF($AQ692="","",IF(INDEX(C_Pavement!$D$5:$D$204,$AQ692)&lt;&gt;"",UPPER(TRIM(INDEX(C_Pavement!$D$5:$D$204,$AQ692))),IF($AS692="","",INDEX(E_Rules!$C$5:$C$9,$AS692))))</f>
        <v/>
      </c>
      <c r="AU692" t="str">
        <f>IF($AQ692="","",IF(INDEX(C_Pavement!$E$5:$E$204,$AQ692)&lt;&gt;"",IF(INDEX(C_Pavement!$E$5:$E$204,$AQ692)="-","",INDEX(C_Pavement!$E$5:$E$204,$AQ692)),IF($AS692="","",INDEX(E_Rules!$D$5:$D$9,$AS692))))</f>
        <v/>
      </c>
      <c r="AV692" t="str">
        <f>IF($AQ692="","",IF(INDEX(C_Pavement!$F$5:$F$204,$AQ692)&lt;&gt;"",IF(INDEX(C_Pavement!$F$5:$F$204,$AQ692)="-","",INDEX(C_Pavement!$F$5:$F$204,$AQ692)),IF($AS692="","",INDEX(E_Rules!$E$5:$E$9,$AS692))))</f>
        <v/>
      </c>
      <c r="AW692" t="str">
        <f>IF($AQ692="","",IF(INDEX(C_Pavement!$G$5:$G$204,$AQ692)&lt;&gt;"",IF(INDEX(C_Pavement!$G$5:$G$204,$AQ692)="-","",INDEX(C_Pavement!$G$5:$G$204,$AQ692)),IF($AS692="","",INDEX(E_Rules!$F$5:$F$9,$AS692))))</f>
        <v/>
      </c>
      <c r="AX692" t="str">
        <f>IF($AQ692="","",IF(INDEX(C_Pavement!$H$5:$H$204,$AQ692)&lt;&gt;"",IF(INDEX(C_Pavement!$H$5:$H$204,$AQ692)="-","",INDEX(C_Pavement!$H$5:$H$204,$AQ692)),IF($AS692="","",INDEX(E_Rules!$G$5:$G$9,$AS692))))</f>
        <v/>
      </c>
      <c r="AY692" t="str">
        <f>IF($AQ692="","",IF(INDEX(C_Pavement!$I$5:$I$204,$AQ692)&lt;&gt;"",IF(INDEX(C_Pavement!$I$5:$I$204,$AQ692)="-","",INDEX(C_Pavement!$I$5:$I$204,$AQ692)),IF($AS692="","",INDEX(E_Rules!$H$5:$H$9,$AS692))))</f>
        <v/>
      </c>
    </row>
    <row r="693" spans="1:51" ht="15.75" customHeight="1" x14ac:dyDescent="0.3">
      <c r="A693" s="189">
        <v>688</v>
      </c>
      <c r="B693" s="180">
        <v>34350</v>
      </c>
      <c r="C693" s="180" t="s">
        <v>999</v>
      </c>
      <c r="D693" s="181" t="str">
        <f>IFERROR(LOOKUP(2,1/((A_Corridor!$A$5:$A$204&lt;&gt;"")*(A_Corridor!$A$5:$A$204&lt;=$B693)*(A_Corridor!$B$5:$B$204&gt;$B693)*(A_Corridor!$C$5:$C$204&lt;&gt;"")),IF(UPPER(A_Corridor!$C$5:$C$204)="Y",1,"")),"")</f>
        <v/>
      </c>
      <c r="E693" s="181" t="str">
        <f>IFERROR(LOOKUP(2,1/((A_Corridor!$A$5:$A$204&lt;&gt;"")*(A_Corridor!$A$5:$A$204&lt;=$B693)*(A_Corridor!$B$5:$B$204&gt;$B693)*(A_Corridor!$D$5:$D$204&lt;&gt;"")),IF(A_Corridor!$D$5:$D$204="-","",UPPER(A_Corridor!$D$5:$D$204))),"")</f>
        <v/>
      </c>
      <c r="F693" s="181" t="str">
        <f>IFERROR(LOOKUP(2,1/((A_Corridor!$A$5:$A$204&lt;&gt;"")*(A_Corridor!$A$5:$A$204&lt;=$B693)*(A_Corridor!$B$5:$B$204&gt;$B693)*(A_Corridor!$E$5:$E$204&lt;&gt;"")),IF(A_Corridor!$E$5:$E$204="-","",1)),"")</f>
        <v/>
      </c>
      <c r="G693" s="182" t="str">
        <f>IFERROR(LOOKUP(2,1/((A_Corridor!$A$5:$A$204&lt;&gt;"")*(A_Corridor!$A$5:$A$204&lt;=$B693)*(A_Corridor!$B$5:$B$204&gt;$B693)*(A_Corridor!$E$5:$E$204&lt;&gt;"")),IF(A_Corridor!$E$5:$E$204="-","",A_Corridor!$E$5:$E$204)),"")</f>
        <v/>
      </c>
      <c r="H693" s="182" t="str">
        <f>IFERROR(LOOKUP(2,1/((D_Points!$A$5:$A$204&lt;&gt;"")*(D_Points!$A$5:$A$204&gt;=$B693)*(D_Points!$A$5:$A$204&lt;$B693+P_Interval)*(UPPER(TRIM(D_Points!$B$5:$B$204))="GULLY")*(D_Points!$H$5:$H$204&lt;&gt;"")),D_Points!$H$5:$H$204),"")</f>
        <v/>
      </c>
      <c r="I693" s="181" t="str">
        <f>IFERROR(LOOKUP(2,1/((A_Corridor!$A$5:$A$204&lt;&gt;"")*(A_Corridor!$A$5:$A$204&lt;=$B693)*(A_Corridor!$B$5:$B$204&gt;$B693)*(A_Corridor!$F$5:$F$204&lt;&gt;"")),IF(A_Corridor!$F$5:$F$204="-","",1)),"")</f>
        <v/>
      </c>
      <c r="J693" s="182" t="str">
        <f>IFERROR(LOOKUP(2,1/((A_Corridor!$A$5:$A$204&lt;&gt;"")*(A_Corridor!$A$5:$A$204&lt;=$B693)*(A_Corridor!$B$5:$B$204&gt;$B693)*(A_Corridor!$F$5:$F$204&lt;&gt;"")),IF(A_Corridor!$F$5:$F$204="-","",A_Corridor!$F$5:$F$204)),"")</f>
        <v/>
      </c>
      <c r="K693" s="182" t="str">
        <f>IFERROR(LOOKUP(2,1/((A_Corridor!$A$5:$A$204&lt;&gt;"")*(A_Corridor!$A$5:$A$204&lt;=$B693)*(A_Corridor!$B$5:$B$204&gt;$B693)*(A_Corridor!$G$5:$G$204&lt;&gt;"")),IF(A_Corridor!$G$5:$G$204="-","",A_Corridor!$G$5:$G$204)),"")</f>
        <v/>
      </c>
      <c r="L693" s="181" t="str">
        <f>IFERROR(LOOKUP(2,1/((A_Corridor!$A$5:$A$204&lt;&gt;"")*(A_Corridor!$A$5:$A$204&lt;=$B693)*(A_Corridor!$B$5:$B$204&gt;$B693)*(A_Corridor!$H$5:$H$204&lt;&gt;"")),IF(A_Corridor!$H$5:$H$204="-","",1)),"")</f>
        <v/>
      </c>
      <c r="M693" s="182" t="str">
        <f>IFERROR(LOOKUP(2,1/((A_Corridor!$A$5:$A$204&lt;&gt;"")*(A_Corridor!$A$5:$A$204&lt;=$B693)*(A_Corridor!$B$5:$B$204&gt;$B693)*(A_Corridor!$H$5:$H$204&lt;&gt;"")),IF(A_Corridor!$H$5:$H$204="-","",A_Corridor!$H$5:$H$204)),"")</f>
        <v/>
      </c>
      <c r="N693" s="182" t="str">
        <f>IFERROR(LOOKUP(2,1/((A_Corridor!$A$5:$A$204&lt;&gt;"")*(A_Corridor!$A$5:$A$204&lt;=$B693)*(A_Corridor!$B$5:$B$204&gt;$B693)*(A_Corridor!$I$5:$I$204&lt;&gt;"")),IF(A_Corridor!$I$5:$I$204="-","",A_Corridor!$I$5:$I$204)),"")</f>
        <v/>
      </c>
      <c r="O693" s="182" t="str">
        <f>IFERROR(LOOKUP(2,1/((D_Points!$A$5:$A$204&lt;&gt;"")*(D_Points!$A$5:$A$204&gt;=$B693)*(D_Points!$A$5:$A$204&lt;$B693+P_Interval)*(UPPER(TRIM(D_Points!$B$5:$B$204))="PITCHING")*(D_Points!$H$5:$H$204&lt;&gt;"")),D_Points!$H$5:$H$204),"")</f>
        <v/>
      </c>
      <c r="P693" s="181" t="str">
        <f>IFERROR(LOOKUP(2,1/((B_Drainage!$A$5:$A$204&lt;&gt;"")*(B_Drainage!$A$5:$A$204&lt;=$B693)*(B_Drainage!$B$5:$B$204&gt;$B693)*(B_Drainage!$C$5:$C$204&lt;&gt;"")),IF(B_Drainage!$C$5:$C$204="-","",UPPER(B_Drainage!$C$5:$C$204))),"")</f>
        <v/>
      </c>
      <c r="Q693" s="181" t="str">
        <f>IFERROR(LOOKUP(2,1/((B_Drainage!$A$5:$A$204&lt;&gt;"")*(B_Drainage!$A$5:$A$204&lt;=$B693)*(B_Drainage!$B$5:$B$204&gt;$B693)*(B_Drainage!$D$5:$D$204&lt;&gt;"")),IF(B_Drainage!$D$5:$D$204="-","",UPPER(B_Drainage!$D$5:$D$204))),"")</f>
        <v/>
      </c>
      <c r="R693" s="182" t="str">
        <f>IFERROR(LOOKUP(2,1/((D_Points!$A$5:$A$204&lt;&gt;"")*(D_Points!$A$5:$A$204&gt;=$B693)*(D_Points!$A$5:$A$204&lt;$B693+P_Interval)*(RIGHT(UPPER(TRIM(D_Points!$B$5:$B$204)),8)="_CULVERT")),IF(LEFT(UPPER(TRIM(D_Points!$B$5:$B$204)),2)="EX",1,IF(LEFT(UPPER(TRIM(D_Points!$B$5:$B$204)),2)="PR",2,3))),"")</f>
        <v/>
      </c>
      <c r="S693" s="182" t="str">
        <f>IFERROR(LOOKUP(2,1/((D_Points!$A$5:$A$204&lt;&gt;"")*(D_Points!$A$5:$A$204&gt;=$B693)*(D_Points!$A$5:$A$204&lt;$B693+P_Interval)*(RIGHT(UPPER(TRIM(D_Points!$B$5:$B$204)),7)="_BRIDGE")),IF(LEFT(UPPER(TRIM(D_Points!$B$5:$B$204)),2)="EX",1,IF(LEFT(UPPER(TRIM(D_Points!$B$5:$B$204)),2)="PR",2,2))),"")</f>
        <v/>
      </c>
      <c r="T693" s="181" t="str">
        <f>IFERROR(LOOKUP(2,1/((B_Drainage!$A$5:$A$204&lt;&gt;"")*(B_Drainage!$A$5:$A$204&lt;=$B693)*(B_Drainage!$B$5:$B$204&gt;$B693)*(B_Drainage!$E$5:$E$204&lt;&gt;"")),IF(B_Drainage!$E$5:$E$204="-","",1)),"")</f>
        <v/>
      </c>
      <c r="U693" s="181" t="str">
        <f>IFERROR(LOOKUP(2,1/((B_Drainage!$A$5:$A$204&lt;&gt;"")*(B_Drainage!$A$5:$A$204&lt;=$B693)*(B_Drainage!$B$5:$B$204&gt;$B693)*(B_Drainage!$E$5:$E$204&lt;&gt;"")),IF(B_Drainage!$E$5:$E$204="-","",B_Drainage!$E$5:$E$204)),"")</f>
        <v/>
      </c>
      <c r="V693" s="181" t="str">
        <f>IFERROR(LOOKUP(2,1/((B_Drainage!$A$5:$A$204&lt;&gt;"")*(B_Drainage!$A$5:$A$204&lt;=$B693)*(B_Drainage!$B$5:$B$204&gt;$B693)*(B_Drainage!$F$5:$F$204&lt;&gt;"")),IF(B_Drainage!$F$5:$F$204="-","",1)),"")</f>
        <v/>
      </c>
      <c r="W693" s="181" t="str">
        <f>IFERROR(LOOKUP(2,1/((B_Drainage!$A$5:$A$204&lt;&gt;"")*(B_Drainage!$A$5:$A$204&lt;=$B693)*(B_Drainage!$B$5:$B$204&gt;$B693)*(B_Drainage!$F$5:$F$204&lt;&gt;"")),IF(B_Drainage!$F$5:$F$204="-","",B_Drainage!$F$5:$F$204)),"")</f>
        <v/>
      </c>
      <c r="X693" s="181" t="str">
        <f>IFERROR(LOOKUP(2,1/((B_Drainage!$A$5:$A$204&lt;&gt;"")*(B_Drainage!$A$5:$A$204&lt;=$B693)*(B_Drainage!$B$5:$B$204&gt;$B693)*(B_Drainage!$G$5:$G$204&lt;&gt;"")),IF(UPPER(B_Drainage!$G$5:$G$204)="Y",1,"")),"")</f>
        <v/>
      </c>
      <c r="Y693" s="181" t="str">
        <f>IFERROR(LOOKUP(2,1/((B_Drainage!$A$5:$A$204&lt;&gt;"")*(B_Drainage!$A$5:$A$204&lt;=$B693)*(B_Drainage!$B$5:$B$204&gt;$B693)*(B_Drainage!$H$5:$H$204&lt;&gt;"")),IF(UPPER(B_Drainage!$H$5:$H$204)="Y",1,"")),"")</f>
        <v/>
      </c>
      <c r="Z693" s="181" t="str">
        <f>IFERROR(LOOKUP(2,1/((B_Drainage!$A$5:$A$204&lt;&gt;"")*(B_Drainage!$A$5:$A$204&lt;=$B693)*(B_Drainage!$B$5:$B$204&gt;$B693)*(B_Drainage!$I$5:$I$204&lt;&gt;"")),IF(UPPER(B_Drainage!$I$5:$I$204)="Y",1,"")),"")</f>
        <v/>
      </c>
      <c r="AA693" s="181" t="str">
        <f>IFERROR(LOOKUP(2,1/((B_Drainage!$A$5:$A$204&lt;&gt;"")*(B_Drainage!$A$5:$A$204&lt;=$B693)*(B_Drainage!$B$5:$B$204&gt;$B693)*(B_Drainage!$J$5:$J$204&lt;&gt;"")),IF(UPPER(B_Drainage!$J$5:$J$204)="Y",1,"")),"")</f>
        <v/>
      </c>
      <c r="AB693" s="182" t="str">
        <f>IFERROR(LOOKUP(2,1/((B_Drainage!$A$5:$A$204&lt;&gt;"")*(B_Drainage!$A$5:$A$204&lt;=$B693)*(B_Drainage!$B$5:$B$204&gt;$B693)*(B_Drainage!$K$5:$K$204&lt;&gt;"")),IF(B_Drainage!$K$5:$K$204="-","",B_Drainage!$K$5:$K$204)),"")</f>
        <v/>
      </c>
      <c r="AC693" s="182" t="str">
        <f>IFERROR(LOOKUP(2,1/((B_Drainage!$A$5:$A$204&lt;&gt;"")*(B_Drainage!$A$5:$A$204&lt;=$B693)*(B_Drainage!$B$5:$B$204&gt;$B693)*(B_Drainage!$L$5:$L$204&lt;&gt;"")),IF(B_Drainage!$L$5:$L$204="-","",B_Drainage!$L$5:$L$204)),"")</f>
        <v/>
      </c>
      <c r="AD693" s="182" t="str">
        <f>IFERROR(LOOKUP(2,1/((D_Points!$A$5:$A$204&lt;&gt;"")*(D_Points!$A$5:$A$204&gt;=$B693)*(D_Points!$A$5:$A$204&lt;$B693+P_Interval)*(UPPER(TRIM(D_Points!$B$5:$B$204))="TURNOUT_L")*(D_Points!$H$5:$H$204&lt;&gt;"")),D_Points!$H$5:$H$204),"")</f>
        <v/>
      </c>
      <c r="AE693" s="182" t="str">
        <f>IFERROR(LOOKUP(2,1/((D_Points!$A$5:$A$204&lt;&gt;"")*(D_Points!$A$5:$A$204&gt;=$B693)*(D_Points!$A$5:$A$204&lt;$B693+P_Interval)*(UPPER(TRIM(D_Points!$B$5:$B$204))="TURNOUT_R")*(D_Points!$H$5:$H$204&lt;&gt;"")),D_Points!$H$5:$H$204),"")</f>
        <v/>
      </c>
      <c r="AF693" s="181" t="str">
        <f>IFERROR(LOOKUP(2,1/((B_Drainage!$A$5:$A$204&lt;&gt;"")*(B_Drainage!$A$5:$A$204&lt;=$B693)*(B_Drainage!$B$5:$B$204&gt;$B693)*(B_Drainage!$M$5:$M$204&lt;&gt;"")),IF(UPPER(B_Drainage!$M$5:$M$204)="Y",1,"")),"")</f>
        <v/>
      </c>
      <c r="AG693" s="181" t="str">
        <f>IFERROR(LOOKUP(2,1/((B_Drainage!$A$5:$A$204&lt;&gt;"")*(B_Drainage!$A$5:$A$204&lt;=$B693)*(B_Drainage!$B$5:$B$204&gt;$B693)*(B_Drainage!$N$5:$N$204&lt;&gt;"")),IF(UPPER(B_Drainage!$N$5:$N$204)="Y",1,"")),"")</f>
        <v/>
      </c>
      <c r="AH693" s="181" t="str">
        <f t="shared" si="80"/>
        <v/>
      </c>
      <c r="AI693" s="181" t="str">
        <f t="shared" si="81"/>
        <v/>
      </c>
      <c r="AJ693" s="181" t="str">
        <f t="shared" si="82"/>
        <v/>
      </c>
      <c r="AK693" s="181" t="str">
        <f t="shared" si="83"/>
        <v/>
      </c>
      <c r="AL693" s="181" t="str">
        <f t="shared" si="84"/>
        <v/>
      </c>
      <c r="AM693" s="181" t="str">
        <f t="shared" si="85"/>
        <v/>
      </c>
      <c r="AN693" s="181" t="str">
        <f t="shared" si="86"/>
        <v/>
      </c>
      <c r="AO693" s="192" t="str">
        <f t="shared" si="87"/>
        <v/>
      </c>
      <c r="AQ693" t="str">
        <f>IFERROR(LOOKUP(2,1/((C_Pavement!$A$5:$A$204&lt;&gt;"")*(C_Pavement!$A$5:$A$204&lt;=$B693)*(C_Pavement!$B$5:$B$204&gt;$B693)*(C_Pavement!$C$5:$C$204&lt;&gt;"")),ROW(C_Pavement!$C$5:$C$204)-4),"")</f>
        <v/>
      </c>
      <c r="AR693" t="str">
        <f>IF($AQ693="","",UPPER(TRIM(INDEX(C_Pavement!$C$5:$C$204,$AQ693))))</f>
        <v/>
      </c>
      <c r="AS693" t="str">
        <f>IF($AR693="","",IFERROR(MATCH($AR693,E_Rules!$A$5:$A$9,0),""))</f>
        <v/>
      </c>
      <c r="AT693" t="str">
        <f>IF($AQ693="","",IF(INDEX(C_Pavement!$D$5:$D$204,$AQ693)&lt;&gt;"",UPPER(TRIM(INDEX(C_Pavement!$D$5:$D$204,$AQ693))),IF($AS693="","",INDEX(E_Rules!$C$5:$C$9,$AS693))))</f>
        <v/>
      </c>
      <c r="AU693" t="str">
        <f>IF($AQ693="","",IF(INDEX(C_Pavement!$E$5:$E$204,$AQ693)&lt;&gt;"",IF(INDEX(C_Pavement!$E$5:$E$204,$AQ693)="-","",INDEX(C_Pavement!$E$5:$E$204,$AQ693)),IF($AS693="","",INDEX(E_Rules!$D$5:$D$9,$AS693))))</f>
        <v/>
      </c>
      <c r="AV693" t="str">
        <f>IF($AQ693="","",IF(INDEX(C_Pavement!$F$5:$F$204,$AQ693)&lt;&gt;"",IF(INDEX(C_Pavement!$F$5:$F$204,$AQ693)="-","",INDEX(C_Pavement!$F$5:$F$204,$AQ693)),IF($AS693="","",INDEX(E_Rules!$E$5:$E$9,$AS693))))</f>
        <v/>
      </c>
      <c r="AW693" t="str">
        <f>IF($AQ693="","",IF(INDEX(C_Pavement!$G$5:$G$204,$AQ693)&lt;&gt;"",IF(INDEX(C_Pavement!$G$5:$G$204,$AQ693)="-","",INDEX(C_Pavement!$G$5:$G$204,$AQ693)),IF($AS693="","",INDEX(E_Rules!$F$5:$F$9,$AS693))))</f>
        <v/>
      </c>
      <c r="AX693" t="str">
        <f>IF($AQ693="","",IF(INDEX(C_Pavement!$H$5:$H$204,$AQ693)&lt;&gt;"",IF(INDEX(C_Pavement!$H$5:$H$204,$AQ693)="-","",INDEX(C_Pavement!$H$5:$H$204,$AQ693)),IF($AS693="","",INDEX(E_Rules!$G$5:$G$9,$AS693))))</f>
        <v/>
      </c>
      <c r="AY693" t="str">
        <f>IF($AQ693="","",IF(INDEX(C_Pavement!$I$5:$I$204,$AQ693)&lt;&gt;"",IF(INDEX(C_Pavement!$I$5:$I$204,$AQ693)="-","",INDEX(C_Pavement!$I$5:$I$204,$AQ693)),IF($AS693="","",INDEX(E_Rules!$H$5:$H$9,$AS693))))</f>
        <v/>
      </c>
    </row>
    <row r="694" spans="1:51" ht="15.75" customHeight="1" x14ac:dyDescent="0.3">
      <c r="A694" s="189">
        <v>689</v>
      </c>
      <c r="B694" s="180">
        <v>34400</v>
      </c>
      <c r="C694" s="180" t="s">
        <v>1000</v>
      </c>
      <c r="D694" s="181" t="str">
        <f>IFERROR(LOOKUP(2,1/((A_Corridor!$A$5:$A$204&lt;&gt;"")*(A_Corridor!$A$5:$A$204&lt;=$B694)*(A_Corridor!$B$5:$B$204&gt;$B694)*(A_Corridor!$C$5:$C$204&lt;&gt;"")),IF(UPPER(A_Corridor!$C$5:$C$204)="Y",1,"")),"")</f>
        <v/>
      </c>
      <c r="E694" s="181" t="str">
        <f>IFERROR(LOOKUP(2,1/((A_Corridor!$A$5:$A$204&lt;&gt;"")*(A_Corridor!$A$5:$A$204&lt;=$B694)*(A_Corridor!$B$5:$B$204&gt;$B694)*(A_Corridor!$D$5:$D$204&lt;&gt;"")),IF(A_Corridor!$D$5:$D$204="-","",UPPER(A_Corridor!$D$5:$D$204))),"")</f>
        <v/>
      </c>
      <c r="F694" s="181" t="str">
        <f>IFERROR(LOOKUP(2,1/((A_Corridor!$A$5:$A$204&lt;&gt;"")*(A_Corridor!$A$5:$A$204&lt;=$B694)*(A_Corridor!$B$5:$B$204&gt;$B694)*(A_Corridor!$E$5:$E$204&lt;&gt;"")),IF(A_Corridor!$E$5:$E$204="-","",1)),"")</f>
        <v/>
      </c>
      <c r="G694" s="182" t="str">
        <f>IFERROR(LOOKUP(2,1/((A_Corridor!$A$5:$A$204&lt;&gt;"")*(A_Corridor!$A$5:$A$204&lt;=$B694)*(A_Corridor!$B$5:$B$204&gt;$B694)*(A_Corridor!$E$5:$E$204&lt;&gt;"")),IF(A_Corridor!$E$5:$E$204="-","",A_Corridor!$E$5:$E$204)),"")</f>
        <v/>
      </c>
      <c r="H694" s="182" t="str">
        <f>IFERROR(LOOKUP(2,1/((D_Points!$A$5:$A$204&lt;&gt;"")*(D_Points!$A$5:$A$204&gt;=$B694)*(D_Points!$A$5:$A$204&lt;$B694+P_Interval)*(UPPER(TRIM(D_Points!$B$5:$B$204))="GULLY")*(D_Points!$H$5:$H$204&lt;&gt;"")),D_Points!$H$5:$H$204),"")</f>
        <v/>
      </c>
      <c r="I694" s="181" t="str">
        <f>IFERROR(LOOKUP(2,1/((A_Corridor!$A$5:$A$204&lt;&gt;"")*(A_Corridor!$A$5:$A$204&lt;=$B694)*(A_Corridor!$B$5:$B$204&gt;$B694)*(A_Corridor!$F$5:$F$204&lt;&gt;"")),IF(A_Corridor!$F$5:$F$204="-","",1)),"")</f>
        <v/>
      </c>
      <c r="J694" s="182" t="str">
        <f>IFERROR(LOOKUP(2,1/((A_Corridor!$A$5:$A$204&lt;&gt;"")*(A_Corridor!$A$5:$A$204&lt;=$B694)*(A_Corridor!$B$5:$B$204&gt;$B694)*(A_Corridor!$F$5:$F$204&lt;&gt;"")),IF(A_Corridor!$F$5:$F$204="-","",A_Corridor!$F$5:$F$204)),"")</f>
        <v/>
      </c>
      <c r="K694" s="182" t="str">
        <f>IFERROR(LOOKUP(2,1/((A_Corridor!$A$5:$A$204&lt;&gt;"")*(A_Corridor!$A$5:$A$204&lt;=$B694)*(A_Corridor!$B$5:$B$204&gt;$B694)*(A_Corridor!$G$5:$G$204&lt;&gt;"")),IF(A_Corridor!$G$5:$G$204="-","",A_Corridor!$G$5:$G$204)),"")</f>
        <v/>
      </c>
      <c r="L694" s="181" t="str">
        <f>IFERROR(LOOKUP(2,1/((A_Corridor!$A$5:$A$204&lt;&gt;"")*(A_Corridor!$A$5:$A$204&lt;=$B694)*(A_Corridor!$B$5:$B$204&gt;$B694)*(A_Corridor!$H$5:$H$204&lt;&gt;"")),IF(A_Corridor!$H$5:$H$204="-","",1)),"")</f>
        <v/>
      </c>
      <c r="M694" s="182" t="str">
        <f>IFERROR(LOOKUP(2,1/((A_Corridor!$A$5:$A$204&lt;&gt;"")*(A_Corridor!$A$5:$A$204&lt;=$B694)*(A_Corridor!$B$5:$B$204&gt;$B694)*(A_Corridor!$H$5:$H$204&lt;&gt;"")),IF(A_Corridor!$H$5:$H$204="-","",A_Corridor!$H$5:$H$204)),"")</f>
        <v/>
      </c>
      <c r="N694" s="182" t="str">
        <f>IFERROR(LOOKUP(2,1/((A_Corridor!$A$5:$A$204&lt;&gt;"")*(A_Corridor!$A$5:$A$204&lt;=$B694)*(A_Corridor!$B$5:$B$204&gt;$B694)*(A_Corridor!$I$5:$I$204&lt;&gt;"")),IF(A_Corridor!$I$5:$I$204="-","",A_Corridor!$I$5:$I$204)),"")</f>
        <v/>
      </c>
      <c r="O694" s="182" t="str">
        <f>IFERROR(LOOKUP(2,1/((D_Points!$A$5:$A$204&lt;&gt;"")*(D_Points!$A$5:$A$204&gt;=$B694)*(D_Points!$A$5:$A$204&lt;$B694+P_Interval)*(UPPER(TRIM(D_Points!$B$5:$B$204))="PITCHING")*(D_Points!$H$5:$H$204&lt;&gt;"")),D_Points!$H$5:$H$204),"")</f>
        <v/>
      </c>
      <c r="P694" s="181" t="str">
        <f>IFERROR(LOOKUP(2,1/((B_Drainage!$A$5:$A$204&lt;&gt;"")*(B_Drainage!$A$5:$A$204&lt;=$B694)*(B_Drainage!$B$5:$B$204&gt;$B694)*(B_Drainage!$C$5:$C$204&lt;&gt;"")),IF(B_Drainage!$C$5:$C$204="-","",UPPER(B_Drainage!$C$5:$C$204))),"")</f>
        <v/>
      </c>
      <c r="Q694" s="181" t="str">
        <f>IFERROR(LOOKUP(2,1/((B_Drainage!$A$5:$A$204&lt;&gt;"")*(B_Drainage!$A$5:$A$204&lt;=$B694)*(B_Drainage!$B$5:$B$204&gt;$B694)*(B_Drainage!$D$5:$D$204&lt;&gt;"")),IF(B_Drainage!$D$5:$D$204="-","",UPPER(B_Drainage!$D$5:$D$204))),"")</f>
        <v/>
      </c>
      <c r="R694" s="182" t="str">
        <f>IFERROR(LOOKUP(2,1/((D_Points!$A$5:$A$204&lt;&gt;"")*(D_Points!$A$5:$A$204&gt;=$B694)*(D_Points!$A$5:$A$204&lt;$B694+P_Interval)*(RIGHT(UPPER(TRIM(D_Points!$B$5:$B$204)),8)="_CULVERT")),IF(LEFT(UPPER(TRIM(D_Points!$B$5:$B$204)),2)="EX",1,IF(LEFT(UPPER(TRIM(D_Points!$B$5:$B$204)),2)="PR",2,3))),"")</f>
        <v/>
      </c>
      <c r="S694" s="182" t="str">
        <f>IFERROR(LOOKUP(2,1/((D_Points!$A$5:$A$204&lt;&gt;"")*(D_Points!$A$5:$A$204&gt;=$B694)*(D_Points!$A$5:$A$204&lt;$B694+P_Interval)*(RIGHT(UPPER(TRIM(D_Points!$B$5:$B$204)),7)="_BRIDGE")),IF(LEFT(UPPER(TRIM(D_Points!$B$5:$B$204)),2)="EX",1,IF(LEFT(UPPER(TRIM(D_Points!$B$5:$B$204)),2)="PR",2,2))),"")</f>
        <v/>
      </c>
      <c r="T694" s="181" t="str">
        <f>IFERROR(LOOKUP(2,1/((B_Drainage!$A$5:$A$204&lt;&gt;"")*(B_Drainage!$A$5:$A$204&lt;=$B694)*(B_Drainage!$B$5:$B$204&gt;$B694)*(B_Drainage!$E$5:$E$204&lt;&gt;"")),IF(B_Drainage!$E$5:$E$204="-","",1)),"")</f>
        <v/>
      </c>
      <c r="U694" s="181" t="str">
        <f>IFERROR(LOOKUP(2,1/((B_Drainage!$A$5:$A$204&lt;&gt;"")*(B_Drainage!$A$5:$A$204&lt;=$B694)*(B_Drainage!$B$5:$B$204&gt;$B694)*(B_Drainage!$E$5:$E$204&lt;&gt;"")),IF(B_Drainage!$E$5:$E$204="-","",B_Drainage!$E$5:$E$204)),"")</f>
        <v/>
      </c>
      <c r="V694" s="181" t="str">
        <f>IFERROR(LOOKUP(2,1/((B_Drainage!$A$5:$A$204&lt;&gt;"")*(B_Drainage!$A$5:$A$204&lt;=$B694)*(B_Drainage!$B$5:$B$204&gt;$B694)*(B_Drainage!$F$5:$F$204&lt;&gt;"")),IF(B_Drainage!$F$5:$F$204="-","",1)),"")</f>
        <v/>
      </c>
      <c r="W694" s="181" t="str">
        <f>IFERROR(LOOKUP(2,1/((B_Drainage!$A$5:$A$204&lt;&gt;"")*(B_Drainage!$A$5:$A$204&lt;=$B694)*(B_Drainage!$B$5:$B$204&gt;$B694)*(B_Drainage!$F$5:$F$204&lt;&gt;"")),IF(B_Drainage!$F$5:$F$204="-","",B_Drainage!$F$5:$F$204)),"")</f>
        <v/>
      </c>
      <c r="X694" s="181" t="str">
        <f>IFERROR(LOOKUP(2,1/((B_Drainage!$A$5:$A$204&lt;&gt;"")*(B_Drainage!$A$5:$A$204&lt;=$B694)*(B_Drainage!$B$5:$B$204&gt;$B694)*(B_Drainage!$G$5:$G$204&lt;&gt;"")),IF(UPPER(B_Drainage!$G$5:$G$204)="Y",1,"")),"")</f>
        <v/>
      </c>
      <c r="Y694" s="181" t="str">
        <f>IFERROR(LOOKUP(2,1/((B_Drainage!$A$5:$A$204&lt;&gt;"")*(B_Drainage!$A$5:$A$204&lt;=$B694)*(B_Drainage!$B$5:$B$204&gt;$B694)*(B_Drainage!$H$5:$H$204&lt;&gt;"")),IF(UPPER(B_Drainage!$H$5:$H$204)="Y",1,"")),"")</f>
        <v/>
      </c>
      <c r="Z694" s="181" t="str">
        <f>IFERROR(LOOKUP(2,1/((B_Drainage!$A$5:$A$204&lt;&gt;"")*(B_Drainage!$A$5:$A$204&lt;=$B694)*(B_Drainage!$B$5:$B$204&gt;$B694)*(B_Drainage!$I$5:$I$204&lt;&gt;"")),IF(UPPER(B_Drainage!$I$5:$I$204)="Y",1,"")),"")</f>
        <v/>
      </c>
      <c r="AA694" s="181" t="str">
        <f>IFERROR(LOOKUP(2,1/((B_Drainage!$A$5:$A$204&lt;&gt;"")*(B_Drainage!$A$5:$A$204&lt;=$B694)*(B_Drainage!$B$5:$B$204&gt;$B694)*(B_Drainage!$J$5:$J$204&lt;&gt;"")),IF(UPPER(B_Drainage!$J$5:$J$204)="Y",1,"")),"")</f>
        <v/>
      </c>
      <c r="AB694" s="182" t="str">
        <f>IFERROR(LOOKUP(2,1/((B_Drainage!$A$5:$A$204&lt;&gt;"")*(B_Drainage!$A$5:$A$204&lt;=$B694)*(B_Drainage!$B$5:$B$204&gt;$B694)*(B_Drainage!$K$5:$K$204&lt;&gt;"")),IF(B_Drainage!$K$5:$K$204="-","",B_Drainage!$K$5:$K$204)),"")</f>
        <v/>
      </c>
      <c r="AC694" s="182" t="str">
        <f>IFERROR(LOOKUP(2,1/((B_Drainage!$A$5:$A$204&lt;&gt;"")*(B_Drainage!$A$5:$A$204&lt;=$B694)*(B_Drainage!$B$5:$B$204&gt;$B694)*(B_Drainage!$L$5:$L$204&lt;&gt;"")),IF(B_Drainage!$L$5:$L$204="-","",B_Drainage!$L$5:$L$204)),"")</f>
        <v/>
      </c>
      <c r="AD694" s="182" t="str">
        <f>IFERROR(LOOKUP(2,1/((D_Points!$A$5:$A$204&lt;&gt;"")*(D_Points!$A$5:$A$204&gt;=$B694)*(D_Points!$A$5:$A$204&lt;$B694+P_Interval)*(UPPER(TRIM(D_Points!$B$5:$B$204))="TURNOUT_L")*(D_Points!$H$5:$H$204&lt;&gt;"")),D_Points!$H$5:$H$204),"")</f>
        <v/>
      </c>
      <c r="AE694" s="182" t="str">
        <f>IFERROR(LOOKUP(2,1/((D_Points!$A$5:$A$204&lt;&gt;"")*(D_Points!$A$5:$A$204&gt;=$B694)*(D_Points!$A$5:$A$204&lt;$B694+P_Interval)*(UPPER(TRIM(D_Points!$B$5:$B$204))="TURNOUT_R")*(D_Points!$H$5:$H$204&lt;&gt;"")),D_Points!$H$5:$H$204),"")</f>
        <v/>
      </c>
      <c r="AF694" s="181" t="str">
        <f>IFERROR(LOOKUP(2,1/((B_Drainage!$A$5:$A$204&lt;&gt;"")*(B_Drainage!$A$5:$A$204&lt;=$B694)*(B_Drainage!$B$5:$B$204&gt;$B694)*(B_Drainage!$M$5:$M$204&lt;&gt;"")),IF(UPPER(B_Drainage!$M$5:$M$204)="Y",1,"")),"")</f>
        <v/>
      </c>
      <c r="AG694" s="181" t="str">
        <f>IFERROR(LOOKUP(2,1/((B_Drainage!$A$5:$A$204&lt;&gt;"")*(B_Drainage!$A$5:$A$204&lt;=$B694)*(B_Drainage!$B$5:$B$204&gt;$B694)*(B_Drainage!$N$5:$N$204&lt;&gt;"")),IF(UPPER(B_Drainage!$N$5:$N$204)="Y",1,"")),"")</f>
        <v/>
      </c>
      <c r="AH694" s="181" t="str">
        <f t="shared" si="80"/>
        <v/>
      </c>
      <c r="AI694" s="181" t="str">
        <f t="shared" si="81"/>
        <v/>
      </c>
      <c r="AJ694" s="181" t="str">
        <f t="shared" si="82"/>
        <v/>
      </c>
      <c r="AK694" s="181" t="str">
        <f t="shared" si="83"/>
        <v/>
      </c>
      <c r="AL694" s="181" t="str">
        <f t="shared" si="84"/>
        <v/>
      </c>
      <c r="AM694" s="181" t="str">
        <f t="shared" si="85"/>
        <v/>
      </c>
      <c r="AN694" s="181" t="str">
        <f t="shared" si="86"/>
        <v/>
      </c>
      <c r="AO694" s="192" t="str">
        <f t="shared" si="87"/>
        <v/>
      </c>
      <c r="AQ694" t="str">
        <f>IFERROR(LOOKUP(2,1/((C_Pavement!$A$5:$A$204&lt;&gt;"")*(C_Pavement!$A$5:$A$204&lt;=$B694)*(C_Pavement!$B$5:$B$204&gt;$B694)*(C_Pavement!$C$5:$C$204&lt;&gt;"")),ROW(C_Pavement!$C$5:$C$204)-4),"")</f>
        <v/>
      </c>
      <c r="AR694" t="str">
        <f>IF($AQ694="","",UPPER(TRIM(INDEX(C_Pavement!$C$5:$C$204,$AQ694))))</f>
        <v/>
      </c>
      <c r="AS694" t="str">
        <f>IF($AR694="","",IFERROR(MATCH($AR694,E_Rules!$A$5:$A$9,0),""))</f>
        <v/>
      </c>
      <c r="AT694" t="str">
        <f>IF($AQ694="","",IF(INDEX(C_Pavement!$D$5:$D$204,$AQ694)&lt;&gt;"",UPPER(TRIM(INDEX(C_Pavement!$D$5:$D$204,$AQ694))),IF($AS694="","",INDEX(E_Rules!$C$5:$C$9,$AS694))))</f>
        <v/>
      </c>
      <c r="AU694" t="str">
        <f>IF($AQ694="","",IF(INDEX(C_Pavement!$E$5:$E$204,$AQ694)&lt;&gt;"",IF(INDEX(C_Pavement!$E$5:$E$204,$AQ694)="-","",INDEX(C_Pavement!$E$5:$E$204,$AQ694)),IF($AS694="","",INDEX(E_Rules!$D$5:$D$9,$AS694))))</f>
        <v/>
      </c>
      <c r="AV694" t="str">
        <f>IF($AQ694="","",IF(INDEX(C_Pavement!$F$5:$F$204,$AQ694)&lt;&gt;"",IF(INDEX(C_Pavement!$F$5:$F$204,$AQ694)="-","",INDEX(C_Pavement!$F$5:$F$204,$AQ694)),IF($AS694="","",INDEX(E_Rules!$E$5:$E$9,$AS694))))</f>
        <v/>
      </c>
      <c r="AW694" t="str">
        <f>IF($AQ694="","",IF(INDEX(C_Pavement!$G$5:$G$204,$AQ694)&lt;&gt;"",IF(INDEX(C_Pavement!$G$5:$G$204,$AQ694)="-","",INDEX(C_Pavement!$G$5:$G$204,$AQ694)),IF($AS694="","",INDEX(E_Rules!$F$5:$F$9,$AS694))))</f>
        <v/>
      </c>
      <c r="AX694" t="str">
        <f>IF($AQ694="","",IF(INDEX(C_Pavement!$H$5:$H$204,$AQ694)&lt;&gt;"",IF(INDEX(C_Pavement!$H$5:$H$204,$AQ694)="-","",INDEX(C_Pavement!$H$5:$H$204,$AQ694)),IF($AS694="","",INDEX(E_Rules!$G$5:$G$9,$AS694))))</f>
        <v/>
      </c>
      <c r="AY694" t="str">
        <f>IF($AQ694="","",IF(INDEX(C_Pavement!$I$5:$I$204,$AQ694)&lt;&gt;"",IF(INDEX(C_Pavement!$I$5:$I$204,$AQ694)="-","",INDEX(C_Pavement!$I$5:$I$204,$AQ694)),IF($AS694="","",INDEX(E_Rules!$H$5:$H$9,$AS694))))</f>
        <v/>
      </c>
    </row>
    <row r="695" spans="1:51" ht="15.75" customHeight="1" x14ac:dyDescent="0.3">
      <c r="A695" s="189">
        <v>690</v>
      </c>
      <c r="B695" s="180">
        <v>34450</v>
      </c>
      <c r="C695" s="180" t="s">
        <v>1001</v>
      </c>
      <c r="D695" s="181" t="str">
        <f>IFERROR(LOOKUP(2,1/((A_Corridor!$A$5:$A$204&lt;&gt;"")*(A_Corridor!$A$5:$A$204&lt;=$B695)*(A_Corridor!$B$5:$B$204&gt;$B695)*(A_Corridor!$C$5:$C$204&lt;&gt;"")),IF(UPPER(A_Corridor!$C$5:$C$204)="Y",1,"")),"")</f>
        <v/>
      </c>
      <c r="E695" s="181" t="str">
        <f>IFERROR(LOOKUP(2,1/((A_Corridor!$A$5:$A$204&lt;&gt;"")*(A_Corridor!$A$5:$A$204&lt;=$B695)*(A_Corridor!$B$5:$B$204&gt;$B695)*(A_Corridor!$D$5:$D$204&lt;&gt;"")),IF(A_Corridor!$D$5:$D$204="-","",UPPER(A_Corridor!$D$5:$D$204))),"")</f>
        <v/>
      </c>
      <c r="F695" s="181" t="str">
        <f>IFERROR(LOOKUP(2,1/((A_Corridor!$A$5:$A$204&lt;&gt;"")*(A_Corridor!$A$5:$A$204&lt;=$B695)*(A_Corridor!$B$5:$B$204&gt;$B695)*(A_Corridor!$E$5:$E$204&lt;&gt;"")),IF(A_Corridor!$E$5:$E$204="-","",1)),"")</f>
        <v/>
      </c>
      <c r="G695" s="182" t="str">
        <f>IFERROR(LOOKUP(2,1/((A_Corridor!$A$5:$A$204&lt;&gt;"")*(A_Corridor!$A$5:$A$204&lt;=$B695)*(A_Corridor!$B$5:$B$204&gt;$B695)*(A_Corridor!$E$5:$E$204&lt;&gt;"")),IF(A_Corridor!$E$5:$E$204="-","",A_Corridor!$E$5:$E$204)),"")</f>
        <v/>
      </c>
      <c r="H695" s="182" t="str">
        <f>IFERROR(LOOKUP(2,1/((D_Points!$A$5:$A$204&lt;&gt;"")*(D_Points!$A$5:$A$204&gt;=$B695)*(D_Points!$A$5:$A$204&lt;$B695+P_Interval)*(UPPER(TRIM(D_Points!$B$5:$B$204))="GULLY")*(D_Points!$H$5:$H$204&lt;&gt;"")),D_Points!$H$5:$H$204),"")</f>
        <v/>
      </c>
      <c r="I695" s="181" t="str">
        <f>IFERROR(LOOKUP(2,1/((A_Corridor!$A$5:$A$204&lt;&gt;"")*(A_Corridor!$A$5:$A$204&lt;=$B695)*(A_Corridor!$B$5:$B$204&gt;$B695)*(A_Corridor!$F$5:$F$204&lt;&gt;"")),IF(A_Corridor!$F$5:$F$204="-","",1)),"")</f>
        <v/>
      </c>
      <c r="J695" s="182" t="str">
        <f>IFERROR(LOOKUP(2,1/((A_Corridor!$A$5:$A$204&lt;&gt;"")*(A_Corridor!$A$5:$A$204&lt;=$B695)*(A_Corridor!$B$5:$B$204&gt;$B695)*(A_Corridor!$F$5:$F$204&lt;&gt;"")),IF(A_Corridor!$F$5:$F$204="-","",A_Corridor!$F$5:$F$204)),"")</f>
        <v/>
      </c>
      <c r="K695" s="182" t="str">
        <f>IFERROR(LOOKUP(2,1/((A_Corridor!$A$5:$A$204&lt;&gt;"")*(A_Corridor!$A$5:$A$204&lt;=$B695)*(A_Corridor!$B$5:$B$204&gt;$B695)*(A_Corridor!$G$5:$G$204&lt;&gt;"")),IF(A_Corridor!$G$5:$G$204="-","",A_Corridor!$G$5:$G$204)),"")</f>
        <v/>
      </c>
      <c r="L695" s="181" t="str">
        <f>IFERROR(LOOKUP(2,1/((A_Corridor!$A$5:$A$204&lt;&gt;"")*(A_Corridor!$A$5:$A$204&lt;=$B695)*(A_Corridor!$B$5:$B$204&gt;$B695)*(A_Corridor!$H$5:$H$204&lt;&gt;"")),IF(A_Corridor!$H$5:$H$204="-","",1)),"")</f>
        <v/>
      </c>
      <c r="M695" s="182" t="str">
        <f>IFERROR(LOOKUP(2,1/((A_Corridor!$A$5:$A$204&lt;&gt;"")*(A_Corridor!$A$5:$A$204&lt;=$B695)*(A_Corridor!$B$5:$B$204&gt;$B695)*(A_Corridor!$H$5:$H$204&lt;&gt;"")),IF(A_Corridor!$H$5:$H$204="-","",A_Corridor!$H$5:$H$204)),"")</f>
        <v/>
      </c>
      <c r="N695" s="182" t="str">
        <f>IFERROR(LOOKUP(2,1/((A_Corridor!$A$5:$A$204&lt;&gt;"")*(A_Corridor!$A$5:$A$204&lt;=$B695)*(A_Corridor!$B$5:$B$204&gt;$B695)*(A_Corridor!$I$5:$I$204&lt;&gt;"")),IF(A_Corridor!$I$5:$I$204="-","",A_Corridor!$I$5:$I$204)),"")</f>
        <v/>
      </c>
      <c r="O695" s="182" t="str">
        <f>IFERROR(LOOKUP(2,1/((D_Points!$A$5:$A$204&lt;&gt;"")*(D_Points!$A$5:$A$204&gt;=$B695)*(D_Points!$A$5:$A$204&lt;$B695+P_Interval)*(UPPER(TRIM(D_Points!$B$5:$B$204))="PITCHING")*(D_Points!$H$5:$H$204&lt;&gt;"")),D_Points!$H$5:$H$204),"")</f>
        <v/>
      </c>
      <c r="P695" s="181" t="str">
        <f>IFERROR(LOOKUP(2,1/((B_Drainage!$A$5:$A$204&lt;&gt;"")*(B_Drainage!$A$5:$A$204&lt;=$B695)*(B_Drainage!$B$5:$B$204&gt;$B695)*(B_Drainage!$C$5:$C$204&lt;&gt;"")),IF(B_Drainage!$C$5:$C$204="-","",UPPER(B_Drainage!$C$5:$C$204))),"")</f>
        <v/>
      </c>
      <c r="Q695" s="181" t="str">
        <f>IFERROR(LOOKUP(2,1/((B_Drainage!$A$5:$A$204&lt;&gt;"")*(B_Drainage!$A$5:$A$204&lt;=$B695)*(B_Drainage!$B$5:$B$204&gt;$B695)*(B_Drainage!$D$5:$D$204&lt;&gt;"")),IF(B_Drainage!$D$5:$D$204="-","",UPPER(B_Drainage!$D$5:$D$204))),"")</f>
        <v/>
      </c>
      <c r="R695" s="182" t="str">
        <f>IFERROR(LOOKUP(2,1/((D_Points!$A$5:$A$204&lt;&gt;"")*(D_Points!$A$5:$A$204&gt;=$B695)*(D_Points!$A$5:$A$204&lt;$B695+P_Interval)*(RIGHT(UPPER(TRIM(D_Points!$B$5:$B$204)),8)="_CULVERT")),IF(LEFT(UPPER(TRIM(D_Points!$B$5:$B$204)),2)="EX",1,IF(LEFT(UPPER(TRIM(D_Points!$B$5:$B$204)),2)="PR",2,3))),"")</f>
        <v/>
      </c>
      <c r="S695" s="182" t="str">
        <f>IFERROR(LOOKUP(2,1/((D_Points!$A$5:$A$204&lt;&gt;"")*(D_Points!$A$5:$A$204&gt;=$B695)*(D_Points!$A$5:$A$204&lt;$B695+P_Interval)*(RIGHT(UPPER(TRIM(D_Points!$B$5:$B$204)),7)="_BRIDGE")),IF(LEFT(UPPER(TRIM(D_Points!$B$5:$B$204)),2)="EX",1,IF(LEFT(UPPER(TRIM(D_Points!$B$5:$B$204)),2)="PR",2,2))),"")</f>
        <v/>
      </c>
      <c r="T695" s="181" t="str">
        <f>IFERROR(LOOKUP(2,1/((B_Drainage!$A$5:$A$204&lt;&gt;"")*(B_Drainage!$A$5:$A$204&lt;=$B695)*(B_Drainage!$B$5:$B$204&gt;$B695)*(B_Drainage!$E$5:$E$204&lt;&gt;"")),IF(B_Drainage!$E$5:$E$204="-","",1)),"")</f>
        <v/>
      </c>
      <c r="U695" s="181" t="str">
        <f>IFERROR(LOOKUP(2,1/((B_Drainage!$A$5:$A$204&lt;&gt;"")*(B_Drainage!$A$5:$A$204&lt;=$B695)*(B_Drainage!$B$5:$B$204&gt;$B695)*(B_Drainage!$E$5:$E$204&lt;&gt;"")),IF(B_Drainage!$E$5:$E$204="-","",B_Drainage!$E$5:$E$204)),"")</f>
        <v/>
      </c>
      <c r="V695" s="181" t="str">
        <f>IFERROR(LOOKUP(2,1/((B_Drainage!$A$5:$A$204&lt;&gt;"")*(B_Drainage!$A$5:$A$204&lt;=$B695)*(B_Drainage!$B$5:$B$204&gt;$B695)*(B_Drainage!$F$5:$F$204&lt;&gt;"")),IF(B_Drainage!$F$5:$F$204="-","",1)),"")</f>
        <v/>
      </c>
      <c r="W695" s="181" t="str">
        <f>IFERROR(LOOKUP(2,1/((B_Drainage!$A$5:$A$204&lt;&gt;"")*(B_Drainage!$A$5:$A$204&lt;=$B695)*(B_Drainage!$B$5:$B$204&gt;$B695)*(B_Drainage!$F$5:$F$204&lt;&gt;"")),IF(B_Drainage!$F$5:$F$204="-","",B_Drainage!$F$5:$F$204)),"")</f>
        <v/>
      </c>
      <c r="X695" s="181" t="str">
        <f>IFERROR(LOOKUP(2,1/((B_Drainage!$A$5:$A$204&lt;&gt;"")*(B_Drainage!$A$5:$A$204&lt;=$B695)*(B_Drainage!$B$5:$B$204&gt;$B695)*(B_Drainage!$G$5:$G$204&lt;&gt;"")),IF(UPPER(B_Drainage!$G$5:$G$204)="Y",1,"")),"")</f>
        <v/>
      </c>
      <c r="Y695" s="181" t="str">
        <f>IFERROR(LOOKUP(2,1/((B_Drainage!$A$5:$A$204&lt;&gt;"")*(B_Drainage!$A$5:$A$204&lt;=$B695)*(B_Drainage!$B$5:$B$204&gt;$B695)*(B_Drainage!$H$5:$H$204&lt;&gt;"")),IF(UPPER(B_Drainage!$H$5:$H$204)="Y",1,"")),"")</f>
        <v/>
      </c>
      <c r="Z695" s="181" t="str">
        <f>IFERROR(LOOKUP(2,1/((B_Drainage!$A$5:$A$204&lt;&gt;"")*(B_Drainage!$A$5:$A$204&lt;=$B695)*(B_Drainage!$B$5:$B$204&gt;$B695)*(B_Drainage!$I$5:$I$204&lt;&gt;"")),IF(UPPER(B_Drainage!$I$5:$I$204)="Y",1,"")),"")</f>
        <v/>
      </c>
      <c r="AA695" s="181" t="str">
        <f>IFERROR(LOOKUP(2,1/((B_Drainage!$A$5:$A$204&lt;&gt;"")*(B_Drainage!$A$5:$A$204&lt;=$B695)*(B_Drainage!$B$5:$B$204&gt;$B695)*(B_Drainage!$J$5:$J$204&lt;&gt;"")),IF(UPPER(B_Drainage!$J$5:$J$204)="Y",1,"")),"")</f>
        <v/>
      </c>
      <c r="AB695" s="182" t="str">
        <f>IFERROR(LOOKUP(2,1/((B_Drainage!$A$5:$A$204&lt;&gt;"")*(B_Drainage!$A$5:$A$204&lt;=$B695)*(B_Drainage!$B$5:$B$204&gt;$B695)*(B_Drainage!$K$5:$K$204&lt;&gt;"")),IF(B_Drainage!$K$5:$K$204="-","",B_Drainage!$K$5:$K$204)),"")</f>
        <v/>
      </c>
      <c r="AC695" s="182" t="str">
        <f>IFERROR(LOOKUP(2,1/((B_Drainage!$A$5:$A$204&lt;&gt;"")*(B_Drainage!$A$5:$A$204&lt;=$B695)*(B_Drainage!$B$5:$B$204&gt;$B695)*(B_Drainage!$L$5:$L$204&lt;&gt;"")),IF(B_Drainage!$L$5:$L$204="-","",B_Drainage!$L$5:$L$204)),"")</f>
        <v/>
      </c>
      <c r="AD695" s="182" t="str">
        <f>IFERROR(LOOKUP(2,1/((D_Points!$A$5:$A$204&lt;&gt;"")*(D_Points!$A$5:$A$204&gt;=$B695)*(D_Points!$A$5:$A$204&lt;$B695+P_Interval)*(UPPER(TRIM(D_Points!$B$5:$B$204))="TURNOUT_L")*(D_Points!$H$5:$H$204&lt;&gt;"")),D_Points!$H$5:$H$204),"")</f>
        <v/>
      </c>
      <c r="AE695" s="182" t="str">
        <f>IFERROR(LOOKUP(2,1/((D_Points!$A$5:$A$204&lt;&gt;"")*(D_Points!$A$5:$A$204&gt;=$B695)*(D_Points!$A$5:$A$204&lt;$B695+P_Interval)*(UPPER(TRIM(D_Points!$B$5:$B$204))="TURNOUT_R")*(D_Points!$H$5:$H$204&lt;&gt;"")),D_Points!$H$5:$H$204),"")</f>
        <v/>
      </c>
      <c r="AF695" s="181" t="str">
        <f>IFERROR(LOOKUP(2,1/((B_Drainage!$A$5:$A$204&lt;&gt;"")*(B_Drainage!$A$5:$A$204&lt;=$B695)*(B_Drainage!$B$5:$B$204&gt;$B695)*(B_Drainage!$M$5:$M$204&lt;&gt;"")),IF(UPPER(B_Drainage!$M$5:$M$204)="Y",1,"")),"")</f>
        <v/>
      </c>
      <c r="AG695" s="181" t="str">
        <f>IFERROR(LOOKUP(2,1/((B_Drainage!$A$5:$A$204&lt;&gt;"")*(B_Drainage!$A$5:$A$204&lt;=$B695)*(B_Drainage!$B$5:$B$204&gt;$B695)*(B_Drainage!$N$5:$N$204&lt;&gt;"")),IF(UPPER(B_Drainage!$N$5:$N$204)="Y",1,"")),"")</f>
        <v/>
      </c>
      <c r="AH695" s="181" t="str">
        <f t="shared" si="80"/>
        <v/>
      </c>
      <c r="AI695" s="181" t="str">
        <f t="shared" si="81"/>
        <v/>
      </c>
      <c r="AJ695" s="181" t="str">
        <f t="shared" si="82"/>
        <v/>
      </c>
      <c r="AK695" s="181" t="str">
        <f t="shared" si="83"/>
        <v/>
      </c>
      <c r="AL695" s="181" t="str">
        <f t="shared" si="84"/>
        <v/>
      </c>
      <c r="AM695" s="181" t="str">
        <f t="shared" si="85"/>
        <v/>
      </c>
      <c r="AN695" s="181" t="str">
        <f t="shared" si="86"/>
        <v/>
      </c>
      <c r="AO695" s="192" t="str">
        <f t="shared" si="87"/>
        <v/>
      </c>
      <c r="AQ695" t="str">
        <f>IFERROR(LOOKUP(2,1/((C_Pavement!$A$5:$A$204&lt;&gt;"")*(C_Pavement!$A$5:$A$204&lt;=$B695)*(C_Pavement!$B$5:$B$204&gt;$B695)*(C_Pavement!$C$5:$C$204&lt;&gt;"")),ROW(C_Pavement!$C$5:$C$204)-4),"")</f>
        <v/>
      </c>
      <c r="AR695" t="str">
        <f>IF($AQ695="","",UPPER(TRIM(INDEX(C_Pavement!$C$5:$C$204,$AQ695))))</f>
        <v/>
      </c>
      <c r="AS695" t="str">
        <f>IF($AR695="","",IFERROR(MATCH($AR695,E_Rules!$A$5:$A$9,0),""))</f>
        <v/>
      </c>
      <c r="AT695" t="str">
        <f>IF($AQ695="","",IF(INDEX(C_Pavement!$D$5:$D$204,$AQ695)&lt;&gt;"",UPPER(TRIM(INDEX(C_Pavement!$D$5:$D$204,$AQ695))),IF($AS695="","",INDEX(E_Rules!$C$5:$C$9,$AS695))))</f>
        <v/>
      </c>
      <c r="AU695" t="str">
        <f>IF($AQ695="","",IF(INDEX(C_Pavement!$E$5:$E$204,$AQ695)&lt;&gt;"",IF(INDEX(C_Pavement!$E$5:$E$204,$AQ695)="-","",INDEX(C_Pavement!$E$5:$E$204,$AQ695)),IF($AS695="","",INDEX(E_Rules!$D$5:$D$9,$AS695))))</f>
        <v/>
      </c>
      <c r="AV695" t="str">
        <f>IF($AQ695="","",IF(INDEX(C_Pavement!$F$5:$F$204,$AQ695)&lt;&gt;"",IF(INDEX(C_Pavement!$F$5:$F$204,$AQ695)="-","",INDEX(C_Pavement!$F$5:$F$204,$AQ695)),IF($AS695="","",INDEX(E_Rules!$E$5:$E$9,$AS695))))</f>
        <v/>
      </c>
      <c r="AW695" t="str">
        <f>IF($AQ695="","",IF(INDEX(C_Pavement!$G$5:$G$204,$AQ695)&lt;&gt;"",IF(INDEX(C_Pavement!$G$5:$G$204,$AQ695)="-","",INDEX(C_Pavement!$G$5:$G$204,$AQ695)),IF($AS695="","",INDEX(E_Rules!$F$5:$F$9,$AS695))))</f>
        <v/>
      </c>
      <c r="AX695" t="str">
        <f>IF($AQ695="","",IF(INDEX(C_Pavement!$H$5:$H$204,$AQ695)&lt;&gt;"",IF(INDEX(C_Pavement!$H$5:$H$204,$AQ695)="-","",INDEX(C_Pavement!$H$5:$H$204,$AQ695)),IF($AS695="","",INDEX(E_Rules!$G$5:$G$9,$AS695))))</f>
        <v/>
      </c>
      <c r="AY695" t="str">
        <f>IF($AQ695="","",IF(INDEX(C_Pavement!$I$5:$I$204,$AQ695)&lt;&gt;"",IF(INDEX(C_Pavement!$I$5:$I$204,$AQ695)="-","",INDEX(C_Pavement!$I$5:$I$204,$AQ695)),IF($AS695="","",INDEX(E_Rules!$H$5:$H$9,$AS695))))</f>
        <v/>
      </c>
    </row>
    <row r="696" spans="1:51" ht="15.75" customHeight="1" x14ac:dyDescent="0.3">
      <c r="A696" s="189">
        <v>691</v>
      </c>
      <c r="B696" s="180">
        <v>34500</v>
      </c>
      <c r="C696" s="180" t="s">
        <v>1002</v>
      </c>
      <c r="D696" s="181" t="str">
        <f>IFERROR(LOOKUP(2,1/((A_Corridor!$A$5:$A$204&lt;&gt;"")*(A_Corridor!$A$5:$A$204&lt;=$B696)*(A_Corridor!$B$5:$B$204&gt;$B696)*(A_Corridor!$C$5:$C$204&lt;&gt;"")),IF(UPPER(A_Corridor!$C$5:$C$204)="Y",1,"")),"")</f>
        <v/>
      </c>
      <c r="E696" s="181" t="str">
        <f>IFERROR(LOOKUP(2,1/((A_Corridor!$A$5:$A$204&lt;&gt;"")*(A_Corridor!$A$5:$A$204&lt;=$B696)*(A_Corridor!$B$5:$B$204&gt;$B696)*(A_Corridor!$D$5:$D$204&lt;&gt;"")),IF(A_Corridor!$D$5:$D$204="-","",UPPER(A_Corridor!$D$5:$D$204))),"")</f>
        <v/>
      </c>
      <c r="F696" s="181" t="str">
        <f>IFERROR(LOOKUP(2,1/((A_Corridor!$A$5:$A$204&lt;&gt;"")*(A_Corridor!$A$5:$A$204&lt;=$B696)*(A_Corridor!$B$5:$B$204&gt;$B696)*(A_Corridor!$E$5:$E$204&lt;&gt;"")),IF(A_Corridor!$E$5:$E$204="-","",1)),"")</f>
        <v/>
      </c>
      <c r="G696" s="182" t="str">
        <f>IFERROR(LOOKUP(2,1/((A_Corridor!$A$5:$A$204&lt;&gt;"")*(A_Corridor!$A$5:$A$204&lt;=$B696)*(A_Corridor!$B$5:$B$204&gt;$B696)*(A_Corridor!$E$5:$E$204&lt;&gt;"")),IF(A_Corridor!$E$5:$E$204="-","",A_Corridor!$E$5:$E$204)),"")</f>
        <v/>
      </c>
      <c r="H696" s="182" t="str">
        <f>IFERROR(LOOKUP(2,1/((D_Points!$A$5:$A$204&lt;&gt;"")*(D_Points!$A$5:$A$204&gt;=$B696)*(D_Points!$A$5:$A$204&lt;$B696+P_Interval)*(UPPER(TRIM(D_Points!$B$5:$B$204))="GULLY")*(D_Points!$H$5:$H$204&lt;&gt;"")),D_Points!$H$5:$H$204),"")</f>
        <v/>
      </c>
      <c r="I696" s="181" t="str">
        <f>IFERROR(LOOKUP(2,1/((A_Corridor!$A$5:$A$204&lt;&gt;"")*(A_Corridor!$A$5:$A$204&lt;=$B696)*(A_Corridor!$B$5:$B$204&gt;$B696)*(A_Corridor!$F$5:$F$204&lt;&gt;"")),IF(A_Corridor!$F$5:$F$204="-","",1)),"")</f>
        <v/>
      </c>
      <c r="J696" s="182" t="str">
        <f>IFERROR(LOOKUP(2,1/((A_Corridor!$A$5:$A$204&lt;&gt;"")*(A_Corridor!$A$5:$A$204&lt;=$B696)*(A_Corridor!$B$5:$B$204&gt;$B696)*(A_Corridor!$F$5:$F$204&lt;&gt;"")),IF(A_Corridor!$F$5:$F$204="-","",A_Corridor!$F$5:$F$204)),"")</f>
        <v/>
      </c>
      <c r="K696" s="182" t="str">
        <f>IFERROR(LOOKUP(2,1/((A_Corridor!$A$5:$A$204&lt;&gt;"")*(A_Corridor!$A$5:$A$204&lt;=$B696)*(A_Corridor!$B$5:$B$204&gt;$B696)*(A_Corridor!$G$5:$G$204&lt;&gt;"")),IF(A_Corridor!$G$5:$G$204="-","",A_Corridor!$G$5:$G$204)),"")</f>
        <v/>
      </c>
      <c r="L696" s="181" t="str">
        <f>IFERROR(LOOKUP(2,1/((A_Corridor!$A$5:$A$204&lt;&gt;"")*(A_Corridor!$A$5:$A$204&lt;=$B696)*(A_Corridor!$B$5:$B$204&gt;$B696)*(A_Corridor!$H$5:$H$204&lt;&gt;"")),IF(A_Corridor!$H$5:$H$204="-","",1)),"")</f>
        <v/>
      </c>
      <c r="M696" s="182" t="str">
        <f>IFERROR(LOOKUP(2,1/((A_Corridor!$A$5:$A$204&lt;&gt;"")*(A_Corridor!$A$5:$A$204&lt;=$B696)*(A_Corridor!$B$5:$B$204&gt;$B696)*(A_Corridor!$H$5:$H$204&lt;&gt;"")),IF(A_Corridor!$H$5:$H$204="-","",A_Corridor!$H$5:$H$204)),"")</f>
        <v/>
      </c>
      <c r="N696" s="182" t="str">
        <f>IFERROR(LOOKUP(2,1/((A_Corridor!$A$5:$A$204&lt;&gt;"")*(A_Corridor!$A$5:$A$204&lt;=$B696)*(A_Corridor!$B$5:$B$204&gt;$B696)*(A_Corridor!$I$5:$I$204&lt;&gt;"")),IF(A_Corridor!$I$5:$I$204="-","",A_Corridor!$I$5:$I$204)),"")</f>
        <v/>
      </c>
      <c r="O696" s="182" t="str">
        <f>IFERROR(LOOKUP(2,1/((D_Points!$A$5:$A$204&lt;&gt;"")*(D_Points!$A$5:$A$204&gt;=$B696)*(D_Points!$A$5:$A$204&lt;$B696+P_Interval)*(UPPER(TRIM(D_Points!$B$5:$B$204))="PITCHING")*(D_Points!$H$5:$H$204&lt;&gt;"")),D_Points!$H$5:$H$204),"")</f>
        <v/>
      </c>
      <c r="P696" s="181" t="str">
        <f>IFERROR(LOOKUP(2,1/((B_Drainage!$A$5:$A$204&lt;&gt;"")*(B_Drainage!$A$5:$A$204&lt;=$B696)*(B_Drainage!$B$5:$B$204&gt;$B696)*(B_Drainage!$C$5:$C$204&lt;&gt;"")),IF(B_Drainage!$C$5:$C$204="-","",UPPER(B_Drainage!$C$5:$C$204))),"")</f>
        <v/>
      </c>
      <c r="Q696" s="181" t="str">
        <f>IFERROR(LOOKUP(2,1/((B_Drainage!$A$5:$A$204&lt;&gt;"")*(B_Drainage!$A$5:$A$204&lt;=$B696)*(B_Drainage!$B$5:$B$204&gt;$B696)*(B_Drainage!$D$5:$D$204&lt;&gt;"")),IF(B_Drainage!$D$5:$D$204="-","",UPPER(B_Drainage!$D$5:$D$204))),"")</f>
        <v/>
      </c>
      <c r="R696" s="182" t="str">
        <f>IFERROR(LOOKUP(2,1/((D_Points!$A$5:$A$204&lt;&gt;"")*(D_Points!$A$5:$A$204&gt;=$B696)*(D_Points!$A$5:$A$204&lt;$B696+P_Interval)*(RIGHT(UPPER(TRIM(D_Points!$B$5:$B$204)),8)="_CULVERT")),IF(LEFT(UPPER(TRIM(D_Points!$B$5:$B$204)),2)="EX",1,IF(LEFT(UPPER(TRIM(D_Points!$B$5:$B$204)),2)="PR",2,3))),"")</f>
        <v/>
      </c>
      <c r="S696" s="182" t="str">
        <f>IFERROR(LOOKUP(2,1/((D_Points!$A$5:$A$204&lt;&gt;"")*(D_Points!$A$5:$A$204&gt;=$B696)*(D_Points!$A$5:$A$204&lt;$B696+P_Interval)*(RIGHT(UPPER(TRIM(D_Points!$B$5:$B$204)),7)="_BRIDGE")),IF(LEFT(UPPER(TRIM(D_Points!$B$5:$B$204)),2)="EX",1,IF(LEFT(UPPER(TRIM(D_Points!$B$5:$B$204)),2)="PR",2,2))),"")</f>
        <v/>
      </c>
      <c r="T696" s="181" t="str">
        <f>IFERROR(LOOKUP(2,1/((B_Drainage!$A$5:$A$204&lt;&gt;"")*(B_Drainage!$A$5:$A$204&lt;=$B696)*(B_Drainage!$B$5:$B$204&gt;$B696)*(B_Drainage!$E$5:$E$204&lt;&gt;"")),IF(B_Drainage!$E$5:$E$204="-","",1)),"")</f>
        <v/>
      </c>
      <c r="U696" s="181" t="str">
        <f>IFERROR(LOOKUP(2,1/((B_Drainage!$A$5:$A$204&lt;&gt;"")*(B_Drainage!$A$5:$A$204&lt;=$B696)*(B_Drainage!$B$5:$B$204&gt;$B696)*(B_Drainage!$E$5:$E$204&lt;&gt;"")),IF(B_Drainage!$E$5:$E$204="-","",B_Drainage!$E$5:$E$204)),"")</f>
        <v/>
      </c>
      <c r="V696" s="181" t="str">
        <f>IFERROR(LOOKUP(2,1/((B_Drainage!$A$5:$A$204&lt;&gt;"")*(B_Drainage!$A$5:$A$204&lt;=$B696)*(B_Drainage!$B$5:$B$204&gt;$B696)*(B_Drainage!$F$5:$F$204&lt;&gt;"")),IF(B_Drainage!$F$5:$F$204="-","",1)),"")</f>
        <v/>
      </c>
      <c r="W696" s="181" t="str">
        <f>IFERROR(LOOKUP(2,1/((B_Drainage!$A$5:$A$204&lt;&gt;"")*(B_Drainage!$A$5:$A$204&lt;=$B696)*(B_Drainage!$B$5:$B$204&gt;$B696)*(B_Drainage!$F$5:$F$204&lt;&gt;"")),IF(B_Drainage!$F$5:$F$204="-","",B_Drainage!$F$5:$F$204)),"")</f>
        <v/>
      </c>
      <c r="X696" s="181" t="str">
        <f>IFERROR(LOOKUP(2,1/((B_Drainage!$A$5:$A$204&lt;&gt;"")*(B_Drainage!$A$5:$A$204&lt;=$B696)*(B_Drainage!$B$5:$B$204&gt;$B696)*(B_Drainage!$G$5:$G$204&lt;&gt;"")),IF(UPPER(B_Drainage!$G$5:$G$204)="Y",1,"")),"")</f>
        <v/>
      </c>
      <c r="Y696" s="181" t="str">
        <f>IFERROR(LOOKUP(2,1/((B_Drainage!$A$5:$A$204&lt;&gt;"")*(B_Drainage!$A$5:$A$204&lt;=$B696)*(B_Drainage!$B$5:$B$204&gt;$B696)*(B_Drainage!$H$5:$H$204&lt;&gt;"")),IF(UPPER(B_Drainage!$H$5:$H$204)="Y",1,"")),"")</f>
        <v/>
      </c>
      <c r="Z696" s="181" t="str">
        <f>IFERROR(LOOKUP(2,1/((B_Drainage!$A$5:$A$204&lt;&gt;"")*(B_Drainage!$A$5:$A$204&lt;=$B696)*(B_Drainage!$B$5:$B$204&gt;$B696)*(B_Drainage!$I$5:$I$204&lt;&gt;"")),IF(UPPER(B_Drainage!$I$5:$I$204)="Y",1,"")),"")</f>
        <v/>
      </c>
      <c r="AA696" s="181" t="str">
        <f>IFERROR(LOOKUP(2,1/((B_Drainage!$A$5:$A$204&lt;&gt;"")*(B_Drainage!$A$5:$A$204&lt;=$B696)*(B_Drainage!$B$5:$B$204&gt;$B696)*(B_Drainage!$J$5:$J$204&lt;&gt;"")),IF(UPPER(B_Drainage!$J$5:$J$204)="Y",1,"")),"")</f>
        <v/>
      </c>
      <c r="AB696" s="182" t="str">
        <f>IFERROR(LOOKUP(2,1/((B_Drainage!$A$5:$A$204&lt;&gt;"")*(B_Drainage!$A$5:$A$204&lt;=$B696)*(B_Drainage!$B$5:$B$204&gt;$B696)*(B_Drainage!$K$5:$K$204&lt;&gt;"")),IF(B_Drainage!$K$5:$K$204="-","",B_Drainage!$K$5:$K$204)),"")</f>
        <v/>
      </c>
      <c r="AC696" s="182" t="str">
        <f>IFERROR(LOOKUP(2,1/((B_Drainage!$A$5:$A$204&lt;&gt;"")*(B_Drainage!$A$5:$A$204&lt;=$B696)*(B_Drainage!$B$5:$B$204&gt;$B696)*(B_Drainage!$L$5:$L$204&lt;&gt;"")),IF(B_Drainage!$L$5:$L$204="-","",B_Drainage!$L$5:$L$204)),"")</f>
        <v/>
      </c>
      <c r="AD696" s="182" t="str">
        <f>IFERROR(LOOKUP(2,1/((D_Points!$A$5:$A$204&lt;&gt;"")*(D_Points!$A$5:$A$204&gt;=$B696)*(D_Points!$A$5:$A$204&lt;$B696+P_Interval)*(UPPER(TRIM(D_Points!$B$5:$B$204))="TURNOUT_L")*(D_Points!$H$5:$H$204&lt;&gt;"")),D_Points!$H$5:$H$204),"")</f>
        <v/>
      </c>
      <c r="AE696" s="182" t="str">
        <f>IFERROR(LOOKUP(2,1/((D_Points!$A$5:$A$204&lt;&gt;"")*(D_Points!$A$5:$A$204&gt;=$B696)*(D_Points!$A$5:$A$204&lt;$B696+P_Interval)*(UPPER(TRIM(D_Points!$B$5:$B$204))="TURNOUT_R")*(D_Points!$H$5:$H$204&lt;&gt;"")),D_Points!$H$5:$H$204),"")</f>
        <v/>
      </c>
      <c r="AF696" s="181" t="str">
        <f>IFERROR(LOOKUP(2,1/((B_Drainage!$A$5:$A$204&lt;&gt;"")*(B_Drainage!$A$5:$A$204&lt;=$B696)*(B_Drainage!$B$5:$B$204&gt;$B696)*(B_Drainage!$M$5:$M$204&lt;&gt;"")),IF(UPPER(B_Drainage!$M$5:$M$204)="Y",1,"")),"")</f>
        <v/>
      </c>
      <c r="AG696" s="181" t="str">
        <f>IFERROR(LOOKUP(2,1/((B_Drainage!$A$5:$A$204&lt;&gt;"")*(B_Drainage!$A$5:$A$204&lt;=$B696)*(B_Drainage!$B$5:$B$204&gt;$B696)*(B_Drainage!$N$5:$N$204&lt;&gt;"")),IF(UPPER(B_Drainage!$N$5:$N$204)="Y",1,"")),"")</f>
        <v/>
      </c>
      <c r="AH696" s="181" t="str">
        <f t="shared" si="80"/>
        <v/>
      </c>
      <c r="AI696" s="181" t="str">
        <f t="shared" si="81"/>
        <v/>
      </c>
      <c r="AJ696" s="181" t="str">
        <f t="shared" si="82"/>
        <v/>
      </c>
      <c r="AK696" s="181" t="str">
        <f t="shared" si="83"/>
        <v/>
      </c>
      <c r="AL696" s="181" t="str">
        <f t="shared" si="84"/>
        <v/>
      </c>
      <c r="AM696" s="181" t="str">
        <f t="shared" si="85"/>
        <v/>
      </c>
      <c r="AN696" s="181" t="str">
        <f t="shared" si="86"/>
        <v/>
      </c>
      <c r="AO696" s="192" t="str">
        <f t="shared" si="87"/>
        <v/>
      </c>
      <c r="AQ696" t="str">
        <f>IFERROR(LOOKUP(2,1/((C_Pavement!$A$5:$A$204&lt;&gt;"")*(C_Pavement!$A$5:$A$204&lt;=$B696)*(C_Pavement!$B$5:$B$204&gt;$B696)*(C_Pavement!$C$5:$C$204&lt;&gt;"")),ROW(C_Pavement!$C$5:$C$204)-4),"")</f>
        <v/>
      </c>
      <c r="AR696" t="str">
        <f>IF($AQ696="","",UPPER(TRIM(INDEX(C_Pavement!$C$5:$C$204,$AQ696))))</f>
        <v/>
      </c>
      <c r="AS696" t="str">
        <f>IF($AR696="","",IFERROR(MATCH($AR696,E_Rules!$A$5:$A$9,0),""))</f>
        <v/>
      </c>
      <c r="AT696" t="str">
        <f>IF($AQ696="","",IF(INDEX(C_Pavement!$D$5:$D$204,$AQ696)&lt;&gt;"",UPPER(TRIM(INDEX(C_Pavement!$D$5:$D$204,$AQ696))),IF($AS696="","",INDEX(E_Rules!$C$5:$C$9,$AS696))))</f>
        <v/>
      </c>
      <c r="AU696" t="str">
        <f>IF($AQ696="","",IF(INDEX(C_Pavement!$E$5:$E$204,$AQ696)&lt;&gt;"",IF(INDEX(C_Pavement!$E$5:$E$204,$AQ696)="-","",INDEX(C_Pavement!$E$5:$E$204,$AQ696)),IF($AS696="","",INDEX(E_Rules!$D$5:$D$9,$AS696))))</f>
        <v/>
      </c>
      <c r="AV696" t="str">
        <f>IF($AQ696="","",IF(INDEX(C_Pavement!$F$5:$F$204,$AQ696)&lt;&gt;"",IF(INDEX(C_Pavement!$F$5:$F$204,$AQ696)="-","",INDEX(C_Pavement!$F$5:$F$204,$AQ696)),IF($AS696="","",INDEX(E_Rules!$E$5:$E$9,$AS696))))</f>
        <v/>
      </c>
      <c r="AW696" t="str">
        <f>IF($AQ696="","",IF(INDEX(C_Pavement!$G$5:$G$204,$AQ696)&lt;&gt;"",IF(INDEX(C_Pavement!$G$5:$G$204,$AQ696)="-","",INDEX(C_Pavement!$G$5:$G$204,$AQ696)),IF($AS696="","",INDEX(E_Rules!$F$5:$F$9,$AS696))))</f>
        <v/>
      </c>
      <c r="AX696" t="str">
        <f>IF($AQ696="","",IF(INDEX(C_Pavement!$H$5:$H$204,$AQ696)&lt;&gt;"",IF(INDEX(C_Pavement!$H$5:$H$204,$AQ696)="-","",INDEX(C_Pavement!$H$5:$H$204,$AQ696)),IF($AS696="","",INDEX(E_Rules!$G$5:$G$9,$AS696))))</f>
        <v/>
      </c>
      <c r="AY696" t="str">
        <f>IF($AQ696="","",IF(INDEX(C_Pavement!$I$5:$I$204,$AQ696)&lt;&gt;"",IF(INDEX(C_Pavement!$I$5:$I$204,$AQ696)="-","",INDEX(C_Pavement!$I$5:$I$204,$AQ696)),IF($AS696="","",INDEX(E_Rules!$H$5:$H$9,$AS696))))</f>
        <v/>
      </c>
    </row>
    <row r="697" spans="1:51" ht="15.75" customHeight="1" x14ac:dyDescent="0.3">
      <c r="A697" s="189">
        <v>692</v>
      </c>
      <c r="B697" s="180">
        <v>34550</v>
      </c>
      <c r="C697" s="180" t="s">
        <v>1003</v>
      </c>
      <c r="D697" s="181" t="str">
        <f>IFERROR(LOOKUP(2,1/((A_Corridor!$A$5:$A$204&lt;&gt;"")*(A_Corridor!$A$5:$A$204&lt;=$B697)*(A_Corridor!$B$5:$B$204&gt;$B697)*(A_Corridor!$C$5:$C$204&lt;&gt;"")),IF(UPPER(A_Corridor!$C$5:$C$204)="Y",1,"")),"")</f>
        <v/>
      </c>
      <c r="E697" s="181" t="str">
        <f>IFERROR(LOOKUP(2,1/((A_Corridor!$A$5:$A$204&lt;&gt;"")*(A_Corridor!$A$5:$A$204&lt;=$B697)*(A_Corridor!$B$5:$B$204&gt;$B697)*(A_Corridor!$D$5:$D$204&lt;&gt;"")),IF(A_Corridor!$D$5:$D$204="-","",UPPER(A_Corridor!$D$5:$D$204))),"")</f>
        <v/>
      </c>
      <c r="F697" s="181" t="str">
        <f>IFERROR(LOOKUP(2,1/((A_Corridor!$A$5:$A$204&lt;&gt;"")*(A_Corridor!$A$5:$A$204&lt;=$B697)*(A_Corridor!$B$5:$B$204&gt;$B697)*(A_Corridor!$E$5:$E$204&lt;&gt;"")),IF(A_Corridor!$E$5:$E$204="-","",1)),"")</f>
        <v/>
      </c>
      <c r="G697" s="182" t="str">
        <f>IFERROR(LOOKUP(2,1/((A_Corridor!$A$5:$A$204&lt;&gt;"")*(A_Corridor!$A$5:$A$204&lt;=$B697)*(A_Corridor!$B$5:$B$204&gt;$B697)*(A_Corridor!$E$5:$E$204&lt;&gt;"")),IF(A_Corridor!$E$5:$E$204="-","",A_Corridor!$E$5:$E$204)),"")</f>
        <v/>
      </c>
      <c r="H697" s="182" t="str">
        <f>IFERROR(LOOKUP(2,1/((D_Points!$A$5:$A$204&lt;&gt;"")*(D_Points!$A$5:$A$204&gt;=$B697)*(D_Points!$A$5:$A$204&lt;$B697+P_Interval)*(UPPER(TRIM(D_Points!$B$5:$B$204))="GULLY")*(D_Points!$H$5:$H$204&lt;&gt;"")),D_Points!$H$5:$H$204),"")</f>
        <v/>
      </c>
      <c r="I697" s="181" t="str">
        <f>IFERROR(LOOKUP(2,1/((A_Corridor!$A$5:$A$204&lt;&gt;"")*(A_Corridor!$A$5:$A$204&lt;=$B697)*(A_Corridor!$B$5:$B$204&gt;$B697)*(A_Corridor!$F$5:$F$204&lt;&gt;"")),IF(A_Corridor!$F$5:$F$204="-","",1)),"")</f>
        <v/>
      </c>
      <c r="J697" s="182" t="str">
        <f>IFERROR(LOOKUP(2,1/((A_Corridor!$A$5:$A$204&lt;&gt;"")*(A_Corridor!$A$5:$A$204&lt;=$B697)*(A_Corridor!$B$5:$B$204&gt;$B697)*(A_Corridor!$F$5:$F$204&lt;&gt;"")),IF(A_Corridor!$F$5:$F$204="-","",A_Corridor!$F$5:$F$204)),"")</f>
        <v/>
      </c>
      <c r="K697" s="182" t="str">
        <f>IFERROR(LOOKUP(2,1/((A_Corridor!$A$5:$A$204&lt;&gt;"")*(A_Corridor!$A$5:$A$204&lt;=$B697)*(A_Corridor!$B$5:$B$204&gt;$B697)*(A_Corridor!$G$5:$G$204&lt;&gt;"")),IF(A_Corridor!$G$5:$G$204="-","",A_Corridor!$G$5:$G$204)),"")</f>
        <v/>
      </c>
      <c r="L697" s="181" t="str">
        <f>IFERROR(LOOKUP(2,1/((A_Corridor!$A$5:$A$204&lt;&gt;"")*(A_Corridor!$A$5:$A$204&lt;=$B697)*(A_Corridor!$B$5:$B$204&gt;$B697)*(A_Corridor!$H$5:$H$204&lt;&gt;"")),IF(A_Corridor!$H$5:$H$204="-","",1)),"")</f>
        <v/>
      </c>
      <c r="M697" s="182" t="str">
        <f>IFERROR(LOOKUP(2,1/((A_Corridor!$A$5:$A$204&lt;&gt;"")*(A_Corridor!$A$5:$A$204&lt;=$B697)*(A_Corridor!$B$5:$B$204&gt;$B697)*(A_Corridor!$H$5:$H$204&lt;&gt;"")),IF(A_Corridor!$H$5:$H$204="-","",A_Corridor!$H$5:$H$204)),"")</f>
        <v/>
      </c>
      <c r="N697" s="182" t="str">
        <f>IFERROR(LOOKUP(2,1/((A_Corridor!$A$5:$A$204&lt;&gt;"")*(A_Corridor!$A$5:$A$204&lt;=$B697)*(A_Corridor!$B$5:$B$204&gt;$B697)*(A_Corridor!$I$5:$I$204&lt;&gt;"")),IF(A_Corridor!$I$5:$I$204="-","",A_Corridor!$I$5:$I$204)),"")</f>
        <v/>
      </c>
      <c r="O697" s="182" t="str">
        <f>IFERROR(LOOKUP(2,1/((D_Points!$A$5:$A$204&lt;&gt;"")*(D_Points!$A$5:$A$204&gt;=$B697)*(D_Points!$A$5:$A$204&lt;$B697+P_Interval)*(UPPER(TRIM(D_Points!$B$5:$B$204))="PITCHING")*(D_Points!$H$5:$H$204&lt;&gt;"")),D_Points!$H$5:$H$204),"")</f>
        <v/>
      </c>
      <c r="P697" s="181" t="str">
        <f>IFERROR(LOOKUP(2,1/((B_Drainage!$A$5:$A$204&lt;&gt;"")*(B_Drainage!$A$5:$A$204&lt;=$B697)*(B_Drainage!$B$5:$B$204&gt;$B697)*(B_Drainage!$C$5:$C$204&lt;&gt;"")),IF(B_Drainage!$C$5:$C$204="-","",UPPER(B_Drainage!$C$5:$C$204))),"")</f>
        <v/>
      </c>
      <c r="Q697" s="181" t="str">
        <f>IFERROR(LOOKUP(2,1/((B_Drainage!$A$5:$A$204&lt;&gt;"")*(B_Drainage!$A$5:$A$204&lt;=$B697)*(B_Drainage!$B$5:$B$204&gt;$B697)*(B_Drainage!$D$5:$D$204&lt;&gt;"")),IF(B_Drainage!$D$5:$D$204="-","",UPPER(B_Drainage!$D$5:$D$204))),"")</f>
        <v/>
      </c>
      <c r="R697" s="182" t="str">
        <f>IFERROR(LOOKUP(2,1/((D_Points!$A$5:$A$204&lt;&gt;"")*(D_Points!$A$5:$A$204&gt;=$B697)*(D_Points!$A$5:$A$204&lt;$B697+P_Interval)*(RIGHT(UPPER(TRIM(D_Points!$B$5:$B$204)),8)="_CULVERT")),IF(LEFT(UPPER(TRIM(D_Points!$B$5:$B$204)),2)="EX",1,IF(LEFT(UPPER(TRIM(D_Points!$B$5:$B$204)),2)="PR",2,3))),"")</f>
        <v/>
      </c>
      <c r="S697" s="182" t="str">
        <f>IFERROR(LOOKUP(2,1/((D_Points!$A$5:$A$204&lt;&gt;"")*(D_Points!$A$5:$A$204&gt;=$B697)*(D_Points!$A$5:$A$204&lt;$B697+P_Interval)*(RIGHT(UPPER(TRIM(D_Points!$B$5:$B$204)),7)="_BRIDGE")),IF(LEFT(UPPER(TRIM(D_Points!$B$5:$B$204)),2)="EX",1,IF(LEFT(UPPER(TRIM(D_Points!$B$5:$B$204)),2)="PR",2,2))),"")</f>
        <v/>
      </c>
      <c r="T697" s="181" t="str">
        <f>IFERROR(LOOKUP(2,1/((B_Drainage!$A$5:$A$204&lt;&gt;"")*(B_Drainage!$A$5:$A$204&lt;=$B697)*(B_Drainage!$B$5:$B$204&gt;$B697)*(B_Drainage!$E$5:$E$204&lt;&gt;"")),IF(B_Drainage!$E$5:$E$204="-","",1)),"")</f>
        <v/>
      </c>
      <c r="U697" s="181" t="str">
        <f>IFERROR(LOOKUP(2,1/((B_Drainage!$A$5:$A$204&lt;&gt;"")*(B_Drainage!$A$5:$A$204&lt;=$B697)*(B_Drainage!$B$5:$B$204&gt;$B697)*(B_Drainage!$E$5:$E$204&lt;&gt;"")),IF(B_Drainage!$E$5:$E$204="-","",B_Drainage!$E$5:$E$204)),"")</f>
        <v/>
      </c>
      <c r="V697" s="181" t="str">
        <f>IFERROR(LOOKUP(2,1/((B_Drainage!$A$5:$A$204&lt;&gt;"")*(B_Drainage!$A$5:$A$204&lt;=$B697)*(B_Drainage!$B$5:$B$204&gt;$B697)*(B_Drainage!$F$5:$F$204&lt;&gt;"")),IF(B_Drainage!$F$5:$F$204="-","",1)),"")</f>
        <v/>
      </c>
      <c r="W697" s="181" t="str">
        <f>IFERROR(LOOKUP(2,1/((B_Drainage!$A$5:$A$204&lt;&gt;"")*(B_Drainage!$A$5:$A$204&lt;=$B697)*(B_Drainage!$B$5:$B$204&gt;$B697)*(B_Drainage!$F$5:$F$204&lt;&gt;"")),IF(B_Drainage!$F$5:$F$204="-","",B_Drainage!$F$5:$F$204)),"")</f>
        <v/>
      </c>
      <c r="X697" s="181" t="str">
        <f>IFERROR(LOOKUP(2,1/((B_Drainage!$A$5:$A$204&lt;&gt;"")*(B_Drainage!$A$5:$A$204&lt;=$B697)*(B_Drainage!$B$5:$B$204&gt;$B697)*(B_Drainage!$G$5:$G$204&lt;&gt;"")),IF(UPPER(B_Drainage!$G$5:$G$204)="Y",1,"")),"")</f>
        <v/>
      </c>
      <c r="Y697" s="181" t="str">
        <f>IFERROR(LOOKUP(2,1/((B_Drainage!$A$5:$A$204&lt;&gt;"")*(B_Drainage!$A$5:$A$204&lt;=$B697)*(B_Drainage!$B$5:$B$204&gt;$B697)*(B_Drainage!$H$5:$H$204&lt;&gt;"")),IF(UPPER(B_Drainage!$H$5:$H$204)="Y",1,"")),"")</f>
        <v/>
      </c>
      <c r="Z697" s="181" t="str">
        <f>IFERROR(LOOKUP(2,1/((B_Drainage!$A$5:$A$204&lt;&gt;"")*(B_Drainage!$A$5:$A$204&lt;=$B697)*(B_Drainage!$B$5:$B$204&gt;$B697)*(B_Drainage!$I$5:$I$204&lt;&gt;"")),IF(UPPER(B_Drainage!$I$5:$I$204)="Y",1,"")),"")</f>
        <v/>
      </c>
      <c r="AA697" s="181" t="str">
        <f>IFERROR(LOOKUP(2,1/((B_Drainage!$A$5:$A$204&lt;&gt;"")*(B_Drainage!$A$5:$A$204&lt;=$B697)*(B_Drainage!$B$5:$B$204&gt;$B697)*(B_Drainage!$J$5:$J$204&lt;&gt;"")),IF(UPPER(B_Drainage!$J$5:$J$204)="Y",1,"")),"")</f>
        <v/>
      </c>
      <c r="AB697" s="182" t="str">
        <f>IFERROR(LOOKUP(2,1/((B_Drainage!$A$5:$A$204&lt;&gt;"")*(B_Drainage!$A$5:$A$204&lt;=$B697)*(B_Drainage!$B$5:$B$204&gt;$B697)*(B_Drainage!$K$5:$K$204&lt;&gt;"")),IF(B_Drainage!$K$5:$K$204="-","",B_Drainage!$K$5:$K$204)),"")</f>
        <v/>
      </c>
      <c r="AC697" s="182" t="str">
        <f>IFERROR(LOOKUP(2,1/((B_Drainage!$A$5:$A$204&lt;&gt;"")*(B_Drainage!$A$5:$A$204&lt;=$B697)*(B_Drainage!$B$5:$B$204&gt;$B697)*(B_Drainage!$L$5:$L$204&lt;&gt;"")),IF(B_Drainage!$L$5:$L$204="-","",B_Drainage!$L$5:$L$204)),"")</f>
        <v/>
      </c>
      <c r="AD697" s="182" t="str">
        <f>IFERROR(LOOKUP(2,1/((D_Points!$A$5:$A$204&lt;&gt;"")*(D_Points!$A$5:$A$204&gt;=$B697)*(D_Points!$A$5:$A$204&lt;$B697+P_Interval)*(UPPER(TRIM(D_Points!$B$5:$B$204))="TURNOUT_L")*(D_Points!$H$5:$H$204&lt;&gt;"")),D_Points!$H$5:$H$204),"")</f>
        <v/>
      </c>
      <c r="AE697" s="182" t="str">
        <f>IFERROR(LOOKUP(2,1/((D_Points!$A$5:$A$204&lt;&gt;"")*(D_Points!$A$5:$A$204&gt;=$B697)*(D_Points!$A$5:$A$204&lt;$B697+P_Interval)*(UPPER(TRIM(D_Points!$B$5:$B$204))="TURNOUT_R")*(D_Points!$H$5:$H$204&lt;&gt;"")),D_Points!$H$5:$H$204),"")</f>
        <v/>
      </c>
      <c r="AF697" s="181" t="str">
        <f>IFERROR(LOOKUP(2,1/((B_Drainage!$A$5:$A$204&lt;&gt;"")*(B_Drainage!$A$5:$A$204&lt;=$B697)*(B_Drainage!$B$5:$B$204&gt;$B697)*(B_Drainage!$M$5:$M$204&lt;&gt;"")),IF(UPPER(B_Drainage!$M$5:$M$204)="Y",1,"")),"")</f>
        <v/>
      </c>
      <c r="AG697" s="181" t="str">
        <f>IFERROR(LOOKUP(2,1/((B_Drainage!$A$5:$A$204&lt;&gt;"")*(B_Drainage!$A$5:$A$204&lt;=$B697)*(B_Drainage!$B$5:$B$204&gt;$B697)*(B_Drainage!$N$5:$N$204&lt;&gt;"")),IF(UPPER(B_Drainage!$N$5:$N$204)="Y",1,"")),"")</f>
        <v/>
      </c>
      <c r="AH697" s="181" t="str">
        <f t="shared" si="80"/>
        <v/>
      </c>
      <c r="AI697" s="181" t="str">
        <f t="shared" si="81"/>
        <v/>
      </c>
      <c r="AJ697" s="181" t="str">
        <f t="shared" si="82"/>
        <v/>
      </c>
      <c r="AK697" s="181" t="str">
        <f t="shared" si="83"/>
        <v/>
      </c>
      <c r="AL697" s="181" t="str">
        <f t="shared" si="84"/>
        <v/>
      </c>
      <c r="AM697" s="181" t="str">
        <f t="shared" si="85"/>
        <v/>
      </c>
      <c r="AN697" s="181" t="str">
        <f t="shared" si="86"/>
        <v/>
      </c>
      <c r="AO697" s="192" t="str">
        <f t="shared" si="87"/>
        <v/>
      </c>
      <c r="AQ697" t="str">
        <f>IFERROR(LOOKUP(2,1/((C_Pavement!$A$5:$A$204&lt;&gt;"")*(C_Pavement!$A$5:$A$204&lt;=$B697)*(C_Pavement!$B$5:$B$204&gt;$B697)*(C_Pavement!$C$5:$C$204&lt;&gt;"")),ROW(C_Pavement!$C$5:$C$204)-4),"")</f>
        <v/>
      </c>
      <c r="AR697" t="str">
        <f>IF($AQ697="","",UPPER(TRIM(INDEX(C_Pavement!$C$5:$C$204,$AQ697))))</f>
        <v/>
      </c>
      <c r="AS697" t="str">
        <f>IF($AR697="","",IFERROR(MATCH($AR697,E_Rules!$A$5:$A$9,0),""))</f>
        <v/>
      </c>
      <c r="AT697" t="str">
        <f>IF($AQ697="","",IF(INDEX(C_Pavement!$D$5:$D$204,$AQ697)&lt;&gt;"",UPPER(TRIM(INDEX(C_Pavement!$D$5:$D$204,$AQ697))),IF($AS697="","",INDEX(E_Rules!$C$5:$C$9,$AS697))))</f>
        <v/>
      </c>
      <c r="AU697" t="str">
        <f>IF($AQ697="","",IF(INDEX(C_Pavement!$E$5:$E$204,$AQ697)&lt;&gt;"",IF(INDEX(C_Pavement!$E$5:$E$204,$AQ697)="-","",INDEX(C_Pavement!$E$5:$E$204,$AQ697)),IF($AS697="","",INDEX(E_Rules!$D$5:$D$9,$AS697))))</f>
        <v/>
      </c>
      <c r="AV697" t="str">
        <f>IF($AQ697="","",IF(INDEX(C_Pavement!$F$5:$F$204,$AQ697)&lt;&gt;"",IF(INDEX(C_Pavement!$F$5:$F$204,$AQ697)="-","",INDEX(C_Pavement!$F$5:$F$204,$AQ697)),IF($AS697="","",INDEX(E_Rules!$E$5:$E$9,$AS697))))</f>
        <v/>
      </c>
      <c r="AW697" t="str">
        <f>IF($AQ697="","",IF(INDEX(C_Pavement!$G$5:$G$204,$AQ697)&lt;&gt;"",IF(INDEX(C_Pavement!$G$5:$G$204,$AQ697)="-","",INDEX(C_Pavement!$G$5:$G$204,$AQ697)),IF($AS697="","",INDEX(E_Rules!$F$5:$F$9,$AS697))))</f>
        <v/>
      </c>
      <c r="AX697" t="str">
        <f>IF($AQ697="","",IF(INDEX(C_Pavement!$H$5:$H$204,$AQ697)&lt;&gt;"",IF(INDEX(C_Pavement!$H$5:$H$204,$AQ697)="-","",INDEX(C_Pavement!$H$5:$H$204,$AQ697)),IF($AS697="","",INDEX(E_Rules!$G$5:$G$9,$AS697))))</f>
        <v/>
      </c>
      <c r="AY697" t="str">
        <f>IF($AQ697="","",IF(INDEX(C_Pavement!$I$5:$I$204,$AQ697)&lt;&gt;"",IF(INDEX(C_Pavement!$I$5:$I$204,$AQ697)="-","",INDEX(C_Pavement!$I$5:$I$204,$AQ697)),IF($AS697="","",INDEX(E_Rules!$H$5:$H$9,$AS697))))</f>
        <v/>
      </c>
    </row>
    <row r="698" spans="1:51" ht="15.75" customHeight="1" x14ac:dyDescent="0.3">
      <c r="A698" s="189">
        <v>693</v>
      </c>
      <c r="B698" s="180">
        <v>34600</v>
      </c>
      <c r="C698" s="180" t="s">
        <v>1004</v>
      </c>
      <c r="D698" s="181" t="str">
        <f>IFERROR(LOOKUP(2,1/((A_Corridor!$A$5:$A$204&lt;&gt;"")*(A_Corridor!$A$5:$A$204&lt;=$B698)*(A_Corridor!$B$5:$B$204&gt;$B698)*(A_Corridor!$C$5:$C$204&lt;&gt;"")),IF(UPPER(A_Corridor!$C$5:$C$204)="Y",1,"")),"")</f>
        <v/>
      </c>
      <c r="E698" s="181" t="str">
        <f>IFERROR(LOOKUP(2,1/((A_Corridor!$A$5:$A$204&lt;&gt;"")*(A_Corridor!$A$5:$A$204&lt;=$B698)*(A_Corridor!$B$5:$B$204&gt;$B698)*(A_Corridor!$D$5:$D$204&lt;&gt;"")),IF(A_Corridor!$D$5:$D$204="-","",UPPER(A_Corridor!$D$5:$D$204))),"")</f>
        <v/>
      </c>
      <c r="F698" s="181" t="str">
        <f>IFERROR(LOOKUP(2,1/((A_Corridor!$A$5:$A$204&lt;&gt;"")*(A_Corridor!$A$5:$A$204&lt;=$B698)*(A_Corridor!$B$5:$B$204&gt;$B698)*(A_Corridor!$E$5:$E$204&lt;&gt;"")),IF(A_Corridor!$E$5:$E$204="-","",1)),"")</f>
        <v/>
      </c>
      <c r="G698" s="182" t="str">
        <f>IFERROR(LOOKUP(2,1/((A_Corridor!$A$5:$A$204&lt;&gt;"")*(A_Corridor!$A$5:$A$204&lt;=$B698)*(A_Corridor!$B$5:$B$204&gt;$B698)*(A_Corridor!$E$5:$E$204&lt;&gt;"")),IF(A_Corridor!$E$5:$E$204="-","",A_Corridor!$E$5:$E$204)),"")</f>
        <v/>
      </c>
      <c r="H698" s="182" t="str">
        <f>IFERROR(LOOKUP(2,1/((D_Points!$A$5:$A$204&lt;&gt;"")*(D_Points!$A$5:$A$204&gt;=$B698)*(D_Points!$A$5:$A$204&lt;$B698+P_Interval)*(UPPER(TRIM(D_Points!$B$5:$B$204))="GULLY")*(D_Points!$H$5:$H$204&lt;&gt;"")),D_Points!$H$5:$H$204),"")</f>
        <v/>
      </c>
      <c r="I698" s="181" t="str">
        <f>IFERROR(LOOKUP(2,1/((A_Corridor!$A$5:$A$204&lt;&gt;"")*(A_Corridor!$A$5:$A$204&lt;=$B698)*(A_Corridor!$B$5:$B$204&gt;$B698)*(A_Corridor!$F$5:$F$204&lt;&gt;"")),IF(A_Corridor!$F$5:$F$204="-","",1)),"")</f>
        <v/>
      </c>
      <c r="J698" s="182" t="str">
        <f>IFERROR(LOOKUP(2,1/((A_Corridor!$A$5:$A$204&lt;&gt;"")*(A_Corridor!$A$5:$A$204&lt;=$B698)*(A_Corridor!$B$5:$B$204&gt;$B698)*(A_Corridor!$F$5:$F$204&lt;&gt;"")),IF(A_Corridor!$F$5:$F$204="-","",A_Corridor!$F$5:$F$204)),"")</f>
        <v/>
      </c>
      <c r="K698" s="182" t="str">
        <f>IFERROR(LOOKUP(2,1/((A_Corridor!$A$5:$A$204&lt;&gt;"")*(A_Corridor!$A$5:$A$204&lt;=$B698)*(A_Corridor!$B$5:$B$204&gt;$B698)*(A_Corridor!$G$5:$G$204&lt;&gt;"")),IF(A_Corridor!$G$5:$G$204="-","",A_Corridor!$G$5:$G$204)),"")</f>
        <v/>
      </c>
      <c r="L698" s="181" t="str">
        <f>IFERROR(LOOKUP(2,1/((A_Corridor!$A$5:$A$204&lt;&gt;"")*(A_Corridor!$A$5:$A$204&lt;=$B698)*(A_Corridor!$B$5:$B$204&gt;$B698)*(A_Corridor!$H$5:$H$204&lt;&gt;"")),IF(A_Corridor!$H$5:$H$204="-","",1)),"")</f>
        <v/>
      </c>
      <c r="M698" s="182" t="str">
        <f>IFERROR(LOOKUP(2,1/((A_Corridor!$A$5:$A$204&lt;&gt;"")*(A_Corridor!$A$5:$A$204&lt;=$B698)*(A_Corridor!$B$5:$B$204&gt;$B698)*(A_Corridor!$H$5:$H$204&lt;&gt;"")),IF(A_Corridor!$H$5:$H$204="-","",A_Corridor!$H$5:$H$204)),"")</f>
        <v/>
      </c>
      <c r="N698" s="182" t="str">
        <f>IFERROR(LOOKUP(2,1/((A_Corridor!$A$5:$A$204&lt;&gt;"")*(A_Corridor!$A$5:$A$204&lt;=$B698)*(A_Corridor!$B$5:$B$204&gt;$B698)*(A_Corridor!$I$5:$I$204&lt;&gt;"")),IF(A_Corridor!$I$5:$I$204="-","",A_Corridor!$I$5:$I$204)),"")</f>
        <v/>
      </c>
      <c r="O698" s="182" t="str">
        <f>IFERROR(LOOKUP(2,1/((D_Points!$A$5:$A$204&lt;&gt;"")*(D_Points!$A$5:$A$204&gt;=$B698)*(D_Points!$A$5:$A$204&lt;$B698+P_Interval)*(UPPER(TRIM(D_Points!$B$5:$B$204))="PITCHING")*(D_Points!$H$5:$H$204&lt;&gt;"")),D_Points!$H$5:$H$204),"")</f>
        <v/>
      </c>
      <c r="P698" s="181" t="str">
        <f>IFERROR(LOOKUP(2,1/((B_Drainage!$A$5:$A$204&lt;&gt;"")*(B_Drainage!$A$5:$A$204&lt;=$B698)*(B_Drainage!$B$5:$B$204&gt;$B698)*(B_Drainage!$C$5:$C$204&lt;&gt;"")),IF(B_Drainage!$C$5:$C$204="-","",UPPER(B_Drainage!$C$5:$C$204))),"")</f>
        <v/>
      </c>
      <c r="Q698" s="181" t="str">
        <f>IFERROR(LOOKUP(2,1/((B_Drainage!$A$5:$A$204&lt;&gt;"")*(B_Drainage!$A$5:$A$204&lt;=$B698)*(B_Drainage!$B$5:$B$204&gt;$B698)*(B_Drainage!$D$5:$D$204&lt;&gt;"")),IF(B_Drainage!$D$5:$D$204="-","",UPPER(B_Drainage!$D$5:$D$204))),"")</f>
        <v/>
      </c>
      <c r="R698" s="182" t="str">
        <f>IFERROR(LOOKUP(2,1/((D_Points!$A$5:$A$204&lt;&gt;"")*(D_Points!$A$5:$A$204&gt;=$B698)*(D_Points!$A$5:$A$204&lt;$B698+P_Interval)*(RIGHT(UPPER(TRIM(D_Points!$B$5:$B$204)),8)="_CULVERT")),IF(LEFT(UPPER(TRIM(D_Points!$B$5:$B$204)),2)="EX",1,IF(LEFT(UPPER(TRIM(D_Points!$B$5:$B$204)),2)="PR",2,3))),"")</f>
        <v/>
      </c>
      <c r="S698" s="182" t="str">
        <f>IFERROR(LOOKUP(2,1/((D_Points!$A$5:$A$204&lt;&gt;"")*(D_Points!$A$5:$A$204&gt;=$B698)*(D_Points!$A$5:$A$204&lt;$B698+P_Interval)*(RIGHT(UPPER(TRIM(D_Points!$B$5:$B$204)),7)="_BRIDGE")),IF(LEFT(UPPER(TRIM(D_Points!$B$5:$B$204)),2)="EX",1,IF(LEFT(UPPER(TRIM(D_Points!$B$5:$B$204)),2)="PR",2,2))),"")</f>
        <v/>
      </c>
      <c r="T698" s="181" t="str">
        <f>IFERROR(LOOKUP(2,1/((B_Drainage!$A$5:$A$204&lt;&gt;"")*(B_Drainage!$A$5:$A$204&lt;=$B698)*(B_Drainage!$B$5:$B$204&gt;$B698)*(B_Drainage!$E$5:$E$204&lt;&gt;"")),IF(B_Drainage!$E$5:$E$204="-","",1)),"")</f>
        <v/>
      </c>
      <c r="U698" s="181" t="str">
        <f>IFERROR(LOOKUP(2,1/((B_Drainage!$A$5:$A$204&lt;&gt;"")*(B_Drainage!$A$5:$A$204&lt;=$B698)*(B_Drainage!$B$5:$B$204&gt;$B698)*(B_Drainage!$E$5:$E$204&lt;&gt;"")),IF(B_Drainage!$E$5:$E$204="-","",B_Drainage!$E$5:$E$204)),"")</f>
        <v/>
      </c>
      <c r="V698" s="181" t="str">
        <f>IFERROR(LOOKUP(2,1/((B_Drainage!$A$5:$A$204&lt;&gt;"")*(B_Drainage!$A$5:$A$204&lt;=$B698)*(B_Drainage!$B$5:$B$204&gt;$B698)*(B_Drainage!$F$5:$F$204&lt;&gt;"")),IF(B_Drainage!$F$5:$F$204="-","",1)),"")</f>
        <v/>
      </c>
      <c r="W698" s="181" t="str">
        <f>IFERROR(LOOKUP(2,1/((B_Drainage!$A$5:$A$204&lt;&gt;"")*(B_Drainage!$A$5:$A$204&lt;=$B698)*(B_Drainage!$B$5:$B$204&gt;$B698)*(B_Drainage!$F$5:$F$204&lt;&gt;"")),IF(B_Drainage!$F$5:$F$204="-","",B_Drainage!$F$5:$F$204)),"")</f>
        <v/>
      </c>
      <c r="X698" s="181" t="str">
        <f>IFERROR(LOOKUP(2,1/((B_Drainage!$A$5:$A$204&lt;&gt;"")*(B_Drainage!$A$5:$A$204&lt;=$B698)*(B_Drainage!$B$5:$B$204&gt;$B698)*(B_Drainage!$G$5:$G$204&lt;&gt;"")),IF(UPPER(B_Drainage!$G$5:$G$204)="Y",1,"")),"")</f>
        <v/>
      </c>
      <c r="Y698" s="181" t="str">
        <f>IFERROR(LOOKUP(2,1/((B_Drainage!$A$5:$A$204&lt;&gt;"")*(B_Drainage!$A$5:$A$204&lt;=$B698)*(B_Drainage!$B$5:$B$204&gt;$B698)*(B_Drainage!$H$5:$H$204&lt;&gt;"")),IF(UPPER(B_Drainage!$H$5:$H$204)="Y",1,"")),"")</f>
        <v/>
      </c>
      <c r="Z698" s="181" t="str">
        <f>IFERROR(LOOKUP(2,1/((B_Drainage!$A$5:$A$204&lt;&gt;"")*(B_Drainage!$A$5:$A$204&lt;=$B698)*(B_Drainage!$B$5:$B$204&gt;$B698)*(B_Drainage!$I$5:$I$204&lt;&gt;"")),IF(UPPER(B_Drainage!$I$5:$I$204)="Y",1,"")),"")</f>
        <v/>
      </c>
      <c r="AA698" s="181" t="str">
        <f>IFERROR(LOOKUP(2,1/((B_Drainage!$A$5:$A$204&lt;&gt;"")*(B_Drainage!$A$5:$A$204&lt;=$B698)*(B_Drainage!$B$5:$B$204&gt;$B698)*(B_Drainage!$J$5:$J$204&lt;&gt;"")),IF(UPPER(B_Drainage!$J$5:$J$204)="Y",1,"")),"")</f>
        <v/>
      </c>
      <c r="AB698" s="182" t="str">
        <f>IFERROR(LOOKUP(2,1/((B_Drainage!$A$5:$A$204&lt;&gt;"")*(B_Drainage!$A$5:$A$204&lt;=$B698)*(B_Drainage!$B$5:$B$204&gt;$B698)*(B_Drainage!$K$5:$K$204&lt;&gt;"")),IF(B_Drainage!$K$5:$K$204="-","",B_Drainage!$K$5:$K$204)),"")</f>
        <v/>
      </c>
      <c r="AC698" s="182" t="str">
        <f>IFERROR(LOOKUP(2,1/((B_Drainage!$A$5:$A$204&lt;&gt;"")*(B_Drainage!$A$5:$A$204&lt;=$B698)*(B_Drainage!$B$5:$B$204&gt;$B698)*(B_Drainage!$L$5:$L$204&lt;&gt;"")),IF(B_Drainage!$L$5:$L$204="-","",B_Drainage!$L$5:$L$204)),"")</f>
        <v/>
      </c>
      <c r="AD698" s="182" t="str">
        <f>IFERROR(LOOKUP(2,1/((D_Points!$A$5:$A$204&lt;&gt;"")*(D_Points!$A$5:$A$204&gt;=$B698)*(D_Points!$A$5:$A$204&lt;$B698+P_Interval)*(UPPER(TRIM(D_Points!$B$5:$B$204))="TURNOUT_L")*(D_Points!$H$5:$H$204&lt;&gt;"")),D_Points!$H$5:$H$204),"")</f>
        <v/>
      </c>
      <c r="AE698" s="182" t="str">
        <f>IFERROR(LOOKUP(2,1/((D_Points!$A$5:$A$204&lt;&gt;"")*(D_Points!$A$5:$A$204&gt;=$B698)*(D_Points!$A$5:$A$204&lt;$B698+P_Interval)*(UPPER(TRIM(D_Points!$B$5:$B$204))="TURNOUT_R")*(D_Points!$H$5:$H$204&lt;&gt;"")),D_Points!$H$5:$H$204),"")</f>
        <v/>
      </c>
      <c r="AF698" s="181" t="str">
        <f>IFERROR(LOOKUP(2,1/((B_Drainage!$A$5:$A$204&lt;&gt;"")*(B_Drainage!$A$5:$A$204&lt;=$B698)*(B_Drainage!$B$5:$B$204&gt;$B698)*(B_Drainage!$M$5:$M$204&lt;&gt;"")),IF(UPPER(B_Drainage!$M$5:$M$204)="Y",1,"")),"")</f>
        <v/>
      </c>
      <c r="AG698" s="181" t="str">
        <f>IFERROR(LOOKUP(2,1/((B_Drainage!$A$5:$A$204&lt;&gt;"")*(B_Drainage!$A$5:$A$204&lt;=$B698)*(B_Drainage!$B$5:$B$204&gt;$B698)*(B_Drainage!$N$5:$N$204&lt;&gt;"")),IF(UPPER(B_Drainage!$N$5:$N$204)="Y",1,"")),"")</f>
        <v/>
      </c>
      <c r="AH698" s="181" t="str">
        <f t="shared" si="80"/>
        <v/>
      </c>
      <c r="AI698" s="181" t="str">
        <f t="shared" si="81"/>
        <v/>
      </c>
      <c r="AJ698" s="181" t="str">
        <f t="shared" si="82"/>
        <v/>
      </c>
      <c r="AK698" s="181" t="str">
        <f t="shared" si="83"/>
        <v/>
      </c>
      <c r="AL698" s="181" t="str">
        <f t="shared" si="84"/>
        <v/>
      </c>
      <c r="AM698" s="181" t="str">
        <f t="shared" si="85"/>
        <v/>
      </c>
      <c r="AN698" s="181" t="str">
        <f t="shared" si="86"/>
        <v/>
      </c>
      <c r="AO698" s="192" t="str">
        <f t="shared" si="87"/>
        <v/>
      </c>
      <c r="AQ698" t="str">
        <f>IFERROR(LOOKUP(2,1/((C_Pavement!$A$5:$A$204&lt;&gt;"")*(C_Pavement!$A$5:$A$204&lt;=$B698)*(C_Pavement!$B$5:$B$204&gt;$B698)*(C_Pavement!$C$5:$C$204&lt;&gt;"")),ROW(C_Pavement!$C$5:$C$204)-4),"")</f>
        <v/>
      </c>
      <c r="AR698" t="str">
        <f>IF($AQ698="","",UPPER(TRIM(INDEX(C_Pavement!$C$5:$C$204,$AQ698))))</f>
        <v/>
      </c>
      <c r="AS698" t="str">
        <f>IF($AR698="","",IFERROR(MATCH($AR698,E_Rules!$A$5:$A$9,0),""))</f>
        <v/>
      </c>
      <c r="AT698" t="str">
        <f>IF($AQ698="","",IF(INDEX(C_Pavement!$D$5:$D$204,$AQ698)&lt;&gt;"",UPPER(TRIM(INDEX(C_Pavement!$D$5:$D$204,$AQ698))),IF($AS698="","",INDEX(E_Rules!$C$5:$C$9,$AS698))))</f>
        <v/>
      </c>
      <c r="AU698" t="str">
        <f>IF($AQ698="","",IF(INDEX(C_Pavement!$E$5:$E$204,$AQ698)&lt;&gt;"",IF(INDEX(C_Pavement!$E$5:$E$204,$AQ698)="-","",INDEX(C_Pavement!$E$5:$E$204,$AQ698)),IF($AS698="","",INDEX(E_Rules!$D$5:$D$9,$AS698))))</f>
        <v/>
      </c>
      <c r="AV698" t="str">
        <f>IF($AQ698="","",IF(INDEX(C_Pavement!$F$5:$F$204,$AQ698)&lt;&gt;"",IF(INDEX(C_Pavement!$F$5:$F$204,$AQ698)="-","",INDEX(C_Pavement!$F$5:$F$204,$AQ698)),IF($AS698="","",INDEX(E_Rules!$E$5:$E$9,$AS698))))</f>
        <v/>
      </c>
      <c r="AW698" t="str">
        <f>IF($AQ698="","",IF(INDEX(C_Pavement!$G$5:$G$204,$AQ698)&lt;&gt;"",IF(INDEX(C_Pavement!$G$5:$G$204,$AQ698)="-","",INDEX(C_Pavement!$G$5:$G$204,$AQ698)),IF($AS698="","",INDEX(E_Rules!$F$5:$F$9,$AS698))))</f>
        <v/>
      </c>
      <c r="AX698" t="str">
        <f>IF($AQ698="","",IF(INDEX(C_Pavement!$H$5:$H$204,$AQ698)&lt;&gt;"",IF(INDEX(C_Pavement!$H$5:$H$204,$AQ698)="-","",INDEX(C_Pavement!$H$5:$H$204,$AQ698)),IF($AS698="","",INDEX(E_Rules!$G$5:$G$9,$AS698))))</f>
        <v/>
      </c>
      <c r="AY698" t="str">
        <f>IF($AQ698="","",IF(INDEX(C_Pavement!$I$5:$I$204,$AQ698)&lt;&gt;"",IF(INDEX(C_Pavement!$I$5:$I$204,$AQ698)="-","",INDEX(C_Pavement!$I$5:$I$204,$AQ698)),IF($AS698="","",INDEX(E_Rules!$H$5:$H$9,$AS698))))</f>
        <v/>
      </c>
    </row>
    <row r="699" spans="1:51" ht="15.75" customHeight="1" x14ac:dyDescent="0.3">
      <c r="A699" s="189">
        <v>694</v>
      </c>
      <c r="B699" s="180">
        <v>34650</v>
      </c>
      <c r="C699" s="180" t="s">
        <v>1005</v>
      </c>
      <c r="D699" s="181" t="str">
        <f>IFERROR(LOOKUP(2,1/((A_Corridor!$A$5:$A$204&lt;&gt;"")*(A_Corridor!$A$5:$A$204&lt;=$B699)*(A_Corridor!$B$5:$B$204&gt;$B699)*(A_Corridor!$C$5:$C$204&lt;&gt;"")),IF(UPPER(A_Corridor!$C$5:$C$204)="Y",1,"")),"")</f>
        <v/>
      </c>
      <c r="E699" s="181" t="str">
        <f>IFERROR(LOOKUP(2,1/((A_Corridor!$A$5:$A$204&lt;&gt;"")*(A_Corridor!$A$5:$A$204&lt;=$B699)*(A_Corridor!$B$5:$B$204&gt;$B699)*(A_Corridor!$D$5:$D$204&lt;&gt;"")),IF(A_Corridor!$D$5:$D$204="-","",UPPER(A_Corridor!$D$5:$D$204))),"")</f>
        <v/>
      </c>
      <c r="F699" s="181" t="str">
        <f>IFERROR(LOOKUP(2,1/((A_Corridor!$A$5:$A$204&lt;&gt;"")*(A_Corridor!$A$5:$A$204&lt;=$B699)*(A_Corridor!$B$5:$B$204&gt;$B699)*(A_Corridor!$E$5:$E$204&lt;&gt;"")),IF(A_Corridor!$E$5:$E$204="-","",1)),"")</f>
        <v/>
      </c>
      <c r="G699" s="182" t="str">
        <f>IFERROR(LOOKUP(2,1/((A_Corridor!$A$5:$A$204&lt;&gt;"")*(A_Corridor!$A$5:$A$204&lt;=$B699)*(A_Corridor!$B$5:$B$204&gt;$B699)*(A_Corridor!$E$5:$E$204&lt;&gt;"")),IF(A_Corridor!$E$5:$E$204="-","",A_Corridor!$E$5:$E$204)),"")</f>
        <v/>
      </c>
      <c r="H699" s="182" t="str">
        <f>IFERROR(LOOKUP(2,1/((D_Points!$A$5:$A$204&lt;&gt;"")*(D_Points!$A$5:$A$204&gt;=$B699)*(D_Points!$A$5:$A$204&lt;$B699+P_Interval)*(UPPER(TRIM(D_Points!$B$5:$B$204))="GULLY")*(D_Points!$H$5:$H$204&lt;&gt;"")),D_Points!$H$5:$H$204),"")</f>
        <v/>
      </c>
      <c r="I699" s="181" t="str">
        <f>IFERROR(LOOKUP(2,1/((A_Corridor!$A$5:$A$204&lt;&gt;"")*(A_Corridor!$A$5:$A$204&lt;=$B699)*(A_Corridor!$B$5:$B$204&gt;$B699)*(A_Corridor!$F$5:$F$204&lt;&gt;"")),IF(A_Corridor!$F$5:$F$204="-","",1)),"")</f>
        <v/>
      </c>
      <c r="J699" s="182" t="str">
        <f>IFERROR(LOOKUP(2,1/((A_Corridor!$A$5:$A$204&lt;&gt;"")*(A_Corridor!$A$5:$A$204&lt;=$B699)*(A_Corridor!$B$5:$B$204&gt;$B699)*(A_Corridor!$F$5:$F$204&lt;&gt;"")),IF(A_Corridor!$F$5:$F$204="-","",A_Corridor!$F$5:$F$204)),"")</f>
        <v/>
      </c>
      <c r="K699" s="182" t="str">
        <f>IFERROR(LOOKUP(2,1/((A_Corridor!$A$5:$A$204&lt;&gt;"")*(A_Corridor!$A$5:$A$204&lt;=$B699)*(A_Corridor!$B$5:$B$204&gt;$B699)*(A_Corridor!$G$5:$G$204&lt;&gt;"")),IF(A_Corridor!$G$5:$G$204="-","",A_Corridor!$G$5:$G$204)),"")</f>
        <v/>
      </c>
      <c r="L699" s="181" t="str">
        <f>IFERROR(LOOKUP(2,1/((A_Corridor!$A$5:$A$204&lt;&gt;"")*(A_Corridor!$A$5:$A$204&lt;=$B699)*(A_Corridor!$B$5:$B$204&gt;$B699)*(A_Corridor!$H$5:$H$204&lt;&gt;"")),IF(A_Corridor!$H$5:$H$204="-","",1)),"")</f>
        <v/>
      </c>
      <c r="M699" s="182" t="str">
        <f>IFERROR(LOOKUP(2,1/((A_Corridor!$A$5:$A$204&lt;&gt;"")*(A_Corridor!$A$5:$A$204&lt;=$B699)*(A_Corridor!$B$5:$B$204&gt;$B699)*(A_Corridor!$H$5:$H$204&lt;&gt;"")),IF(A_Corridor!$H$5:$H$204="-","",A_Corridor!$H$5:$H$204)),"")</f>
        <v/>
      </c>
      <c r="N699" s="182" t="str">
        <f>IFERROR(LOOKUP(2,1/((A_Corridor!$A$5:$A$204&lt;&gt;"")*(A_Corridor!$A$5:$A$204&lt;=$B699)*(A_Corridor!$B$5:$B$204&gt;$B699)*(A_Corridor!$I$5:$I$204&lt;&gt;"")),IF(A_Corridor!$I$5:$I$204="-","",A_Corridor!$I$5:$I$204)),"")</f>
        <v/>
      </c>
      <c r="O699" s="182" t="str">
        <f>IFERROR(LOOKUP(2,1/((D_Points!$A$5:$A$204&lt;&gt;"")*(D_Points!$A$5:$A$204&gt;=$B699)*(D_Points!$A$5:$A$204&lt;$B699+P_Interval)*(UPPER(TRIM(D_Points!$B$5:$B$204))="PITCHING")*(D_Points!$H$5:$H$204&lt;&gt;"")),D_Points!$H$5:$H$204),"")</f>
        <v/>
      </c>
      <c r="P699" s="181" t="str">
        <f>IFERROR(LOOKUP(2,1/((B_Drainage!$A$5:$A$204&lt;&gt;"")*(B_Drainage!$A$5:$A$204&lt;=$B699)*(B_Drainage!$B$5:$B$204&gt;$B699)*(B_Drainage!$C$5:$C$204&lt;&gt;"")),IF(B_Drainage!$C$5:$C$204="-","",UPPER(B_Drainage!$C$5:$C$204))),"")</f>
        <v/>
      </c>
      <c r="Q699" s="181" t="str">
        <f>IFERROR(LOOKUP(2,1/((B_Drainage!$A$5:$A$204&lt;&gt;"")*(B_Drainage!$A$5:$A$204&lt;=$B699)*(B_Drainage!$B$5:$B$204&gt;$B699)*(B_Drainage!$D$5:$D$204&lt;&gt;"")),IF(B_Drainage!$D$5:$D$204="-","",UPPER(B_Drainage!$D$5:$D$204))),"")</f>
        <v/>
      </c>
      <c r="R699" s="182" t="str">
        <f>IFERROR(LOOKUP(2,1/((D_Points!$A$5:$A$204&lt;&gt;"")*(D_Points!$A$5:$A$204&gt;=$B699)*(D_Points!$A$5:$A$204&lt;$B699+P_Interval)*(RIGHT(UPPER(TRIM(D_Points!$B$5:$B$204)),8)="_CULVERT")),IF(LEFT(UPPER(TRIM(D_Points!$B$5:$B$204)),2)="EX",1,IF(LEFT(UPPER(TRIM(D_Points!$B$5:$B$204)),2)="PR",2,3))),"")</f>
        <v/>
      </c>
      <c r="S699" s="182" t="str">
        <f>IFERROR(LOOKUP(2,1/((D_Points!$A$5:$A$204&lt;&gt;"")*(D_Points!$A$5:$A$204&gt;=$B699)*(D_Points!$A$5:$A$204&lt;$B699+P_Interval)*(RIGHT(UPPER(TRIM(D_Points!$B$5:$B$204)),7)="_BRIDGE")),IF(LEFT(UPPER(TRIM(D_Points!$B$5:$B$204)),2)="EX",1,IF(LEFT(UPPER(TRIM(D_Points!$B$5:$B$204)),2)="PR",2,2))),"")</f>
        <v/>
      </c>
      <c r="T699" s="181" t="str">
        <f>IFERROR(LOOKUP(2,1/((B_Drainage!$A$5:$A$204&lt;&gt;"")*(B_Drainage!$A$5:$A$204&lt;=$B699)*(B_Drainage!$B$5:$B$204&gt;$B699)*(B_Drainage!$E$5:$E$204&lt;&gt;"")),IF(B_Drainage!$E$5:$E$204="-","",1)),"")</f>
        <v/>
      </c>
      <c r="U699" s="181" t="str">
        <f>IFERROR(LOOKUP(2,1/((B_Drainage!$A$5:$A$204&lt;&gt;"")*(B_Drainage!$A$5:$A$204&lt;=$B699)*(B_Drainage!$B$5:$B$204&gt;$B699)*(B_Drainage!$E$5:$E$204&lt;&gt;"")),IF(B_Drainage!$E$5:$E$204="-","",B_Drainage!$E$5:$E$204)),"")</f>
        <v/>
      </c>
      <c r="V699" s="181" t="str">
        <f>IFERROR(LOOKUP(2,1/((B_Drainage!$A$5:$A$204&lt;&gt;"")*(B_Drainage!$A$5:$A$204&lt;=$B699)*(B_Drainage!$B$5:$B$204&gt;$B699)*(B_Drainage!$F$5:$F$204&lt;&gt;"")),IF(B_Drainage!$F$5:$F$204="-","",1)),"")</f>
        <v/>
      </c>
      <c r="W699" s="181" t="str">
        <f>IFERROR(LOOKUP(2,1/((B_Drainage!$A$5:$A$204&lt;&gt;"")*(B_Drainage!$A$5:$A$204&lt;=$B699)*(B_Drainage!$B$5:$B$204&gt;$B699)*(B_Drainage!$F$5:$F$204&lt;&gt;"")),IF(B_Drainage!$F$5:$F$204="-","",B_Drainage!$F$5:$F$204)),"")</f>
        <v/>
      </c>
      <c r="X699" s="181" t="str">
        <f>IFERROR(LOOKUP(2,1/((B_Drainage!$A$5:$A$204&lt;&gt;"")*(B_Drainage!$A$5:$A$204&lt;=$B699)*(B_Drainage!$B$5:$B$204&gt;$B699)*(B_Drainage!$G$5:$G$204&lt;&gt;"")),IF(UPPER(B_Drainage!$G$5:$G$204)="Y",1,"")),"")</f>
        <v/>
      </c>
      <c r="Y699" s="181" t="str">
        <f>IFERROR(LOOKUP(2,1/((B_Drainage!$A$5:$A$204&lt;&gt;"")*(B_Drainage!$A$5:$A$204&lt;=$B699)*(B_Drainage!$B$5:$B$204&gt;$B699)*(B_Drainage!$H$5:$H$204&lt;&gt;"")),IF(UPPER(B_Drainage!$H$5:$H$204)="Y",1,"")),"")</f>
        <v/>
      </c>
      <c r="Z699" s="181" t="str">
        <f>IFERROR(LOOKUP(2,1/((B_Drainage!$A$5:$A$204&lt;&gt;"")*(B_Drainage!$A$5:$A$204&lt;=$B699)*(B_Drainage!$B$5:$B$204&gt;$B699)*(B_Drainage!$I$5:$I$204&lt;&gt;"")),IF(UPPER(B_Drainage!$I$5:$I$204)="Y",1,"")),"")</f>
        <v/>
      </c>
      <c r="AA699" s="181" t="str">
        <f>IFERROR(LOOKUP(2,1/((B_Drainage!$A$5:$A$204&lt;&gt;"")*(B_Drainage!$A$5:$A$204&lt;=$B699)*(B_Drainage!$B$5:$B$204&gt;$B699)*(B_Drainage!$J$5:$J$204&lt;&gt;"")),IF(UPPER(B_Drainage!$J$5:$J$204)="Y",1,"")),"")</f>
        <v/>
      </c>
      <c r="AB699" s="182" t="str">
        <f>IFERROR(LOOKUP(2,1/((B_Drainage!$A$5:$A$204&lt;&gt;"")*(B_Drainage!$A$5:$A$204&lt;=$B699)*(B_Drainage!$B$5:$B$204&gt;$B699)*(B_Drainage!$K$5:$K$204&lt;&gt;"")),IF(B_Drainage!$K$5:$K$204="-","",B_Drainage!$K$5:$K$204)),"")</f>
        <v/>
      </c>
      <c r="AC699" s="182" t="str">
        <f>IFERROR(LOOKUP(2,1/((B_Drainage!$A$5:$A$204&lt;&gt;"")*(B_Drainage!$A$5:$A$204&lt;=$B699)*(B_Drainage!$B$5:$B$204&gt;$B699)*(B_Drainage!$L$5:$L$204&lt;&gt;"")),IF(B_Drainage!$L$5:$L$204="-","",B_Drainage!$L$5:$L$204)),"")</f>
        <v/>
      </c>
      <c r="AD699" s="182" t="str">
        <f>IFERROR(LOOKUP(2,1/((D_Points!$A$5:$A$204&lt;&gt;"")*(D_Points!$A$5:$A$204&gt;=$B699)*(D_Points!$A$5:$A$204&lt;$B699+P_Interval)*(UPPER(TRIM(D_Points!$B$5:$B$204))="TURNOUT_L")*(D_Points!$H$5:$H$204&lt;&gt;"")),D_Points!$H$5:$H$204),"")</f>
        <v/>
      </c>
      <c r="AE699" s="182" t="str">
        <f>IFERROR(LOOKUP(2,1/((D_Points!$A$5:$A$204&lt;&gt;"")*(D_Points!$A$5:$A$204&gt;=$B699)*(D_Points!$A$5:$A$204&lt;$B699+P_Interval)*(UPPER(TRIM(D_Points!$B$5:$B$204))="TURNOUT_R")*(D_Points!$H$5:$H$204&lt;&gt;"")),D_Points!$H$5:$H$204),"")</f>
        <v/>
      </c>
      <c r="AF699" s="181" t="str">
        <f>IFERROR(LOOKUP(2,1/((B_Drainage!$A$5:$A$204&lt;&gt;"")*(B_Drainage!$A$5:$A$204&lt;=$B699)*(B_Drainage!$B$5:$B$204&gt;$B699)*(B_Drainage!$M$5:$M$204&lt;&gt;"")),IF(UPPER(B_Drainage!$M$5:$M$204)="Y",1,"")),"")</f>
        <v/>
      </c>
      <c r="AG699" s="181" t="str">
        <f>IFERROR(LOOKUP(2,1/((B_Drainage!$A$5:$A$204&lt;&gt;"")*(B_Drainage!$A$5:$A$204&lt;=$B699)*(B_Drainage!$B$5:$B$204&gt;$B699)*(B_Drainage!$N$5:$N$204&lt;&gt;"")),IF(UPPER(B_Drainage!$N$5:$N$204)="Y",1,"")),"")</f>
        <v/>
      </c>
      <c r="AH699" s="181" t="str">
        <f t="shared" si="80"/>
        <v/>
      </c>
      <c r="AI699" s="181" t="str">
        <f t="shared" si="81"/>
        <v/>
      </c>
      <c r="AJ699" s="181" t="str">
        <f t="shared" si="82"/>
        <v/>
      </c>
      <c r="AK699" s="181" t="str">
        <f t="shared" si="83"/>
        <v/>
      </c>
      <c r="AL699" s="181" t="str">
        <f t="shared" si="84"/>
        <v/>
      </c>
      <c r="AM699" s="181" t="str">
        <f t="shared" si="85"/>
        <v/>
      </c>
      <c r="AN699" s="181" t="str">
        <f t="shared" si="86"/>
        <v/>
      </c>
      <c r="AO699" s="192" t="str">
        <f t="shared" si="87"/>
        <v/>
      </c>
      <c r="AQ699" t="str">
        <f>IFERROR(LOOKUP(2,1/((C_Pavement!$A$5:$A$204&lt;&gt;"")*(C_Pavement!$A$5:$A$204&lt;=$B699)*(C_Pavement!$B$5:$B$204&gt;$B699)*(C_Pavement!$C$5:$C$204&lt;&gt;"")),ROW(C_Pavement!$C$5:$C$204)-4),"")</f>
        <v/>
      </c>
      <c r="AR699" t="str">
        <f>IF($AQ699="","",UPPER(TRIM(INDEX(C_Pavement!$C$5:$C$204,$AQ699))))</f>
        <v/>
      </c>
      <c r="AS699" t="str">
        <f>IF($AR699="","",IFERROR(MATCH($AR699,E_Rules!$A$5:$A$9,0),""))</f>
        <v/>
      </c>
      <c r="AT699" t="str">
        <f>IF($AQ699="","",IF(INDEX(C_Pavement!$D$5:$D$204,$AQ699)&lt;&gt;"",UPPER(TRIM(INDEX(C_Pavement!$D$5:$D$204,$AQ699))),IF($AS699="","",INDEX(E_Rules!$C$5:$C$9,$AS699))))</f>
        <v/>
      </c>
      <c r="AU699" t="str">
        <f>IF($AQ699="","",IF(INDEX(C_Pavement!$E$5:$E$204,$AQ699)&lt;&gt;"",IF(INDEX(C_Pavement!$E$5:$E$204,$AQ699)="-","",INDEX(C_Pavement!$E$5:$E$204,$AQ699)),IF($AS699="","",INDEX(E_Rules!$D$5:$D$9,$AS699))))</f>
        <v/>
      </c>
      <c r="AV699" t="str">
        <f>IF($AQ699="","",IF(INDEX(C_Pavement!$F$5:$F$204,$AQ699)&lt;&gt;"",IF(INDEX(C_Pavement!$F$5:$F$204,$AQ699)="-","",INDEX(C_Pavement!$F$5:$F$204,$AQ699)),IF($AS699="","",INDEX(E_Rules!$E$5:$E$9,$AS699))))</f>
        <v/>
      </c>
      <c r="AW699" t="str">
        <f>IF($AQ699="","",IF(INDEX(C_Pavement!$G$5:$G$204,$AQ699)&lt;&gt;"",IF(INDEX(C_Pavement!$G$5:$G$204,$AQ699)="-","",INDEX(C_Pavement!$G$5:$G$204,$AQ699)),IF($AS699="","",INDEX(E_Rules!$F$5:$F$9,$AS699))))</f>
        <v/>
      </c>
      <c r="AX699" t="str">
        <f>IF($AQ699="","",IF(INDEX(C_Pavement!$H$5:$H$204,$AQ699)&lt;&gt;"",IF(INDEX(C_Pavement!$H$5:$H$204,$AQ699)="-","",INDEX(C_Pavement!$H$5:$H$204,$AQ699)),IF($AS699="","",INDEX(E_Rules!$G$5:$G$9,$AS699))))</f>
        <v/>
      </c>
      <c r="AY699" t="str">
        <f>IF($AQ699="","",IF(INDEX(C_Pavement!$I$5:$I$204,$AQ699)&lt;&gt;"",IF(INDEX(C_Pavement!$I$5:$I$204,$AQ699)="-","",INDEX(C_Pavement!$I$5:$I$204,$AQ699)),IF($AS699="","",INDEX(E_Rules!$H$5:$H$9,$AS699))))</f>
        <v/>
      </c>
    </row>
    <row r="700" spans="1:51" ht="15.75" customHeight="1" x14ac:dyDescent="0.3">
      <c r="A700" s="189">
        <v>695</v>
      </c>
      <c r="B700" s="180">
        <v>34700</v>
      </c>
      <c r="C700" s="180" t="s">
        <v>1006</v>
      </c>
      <c r="D700" s="181" t="str">
        <f>IFERROR(LOOKUP(2,1/((A_Corridor!$A$5:$A$204&lt;&gt;"")*(A_Corridor!$A$5:$A$204&lt;=$B700)*(A_Corridor!$B$5:$B$204&gt;$B700)*(A_Corridor!$C$5:$C$204&lt;&gt;"")),IF(UPPER(A_Corridor!$C$5:$C$204)="Y",1,"")),"")</f>
        <v/>
      </c>
      <c r="E700" s="181" t="str">
        <f>IFERROR(LOOKUP(2,1/((A_Corridor!$A$5:$A$204&lt;&gt;"")*(A_Corridor!$A$5:$A$204&lt;=$B700)*(A_Corridor!$B$5:$B$204&gt;$B700)*(A_Corridor!$D$5:$D$204&lt;&gt;"")),IF(A_Corridor!$D$5:$D$204="-","",UPPER(A_Corridor!$D$5:$D$204))),"")</f>
        <v/>
      </c>
      <c r="F700" s="181" t="str">
        <f>IFERROR(LOOKUP(2,1/((A_Corridor!$A$5:$A$204&lt;&gt;"")*(A_Corridor!$A$5:$A$204&lt;=$B700)*(A_Corridor!$B$5:$B$204&gt;$B700)*(A_Corridor!$E$5:$E$204&lt;&gt;"")),IF(A_Corridor!$E$5:$E$204="-","",1)),"")</f>
        <v/>
      </c>
      <c r="G700" s="182" t="str">
        <f>IFERROR(LOOKUP(2,1/((A_Corridor!$A$5:$A$204&lt;&gt;"")*(A_Corridor!$A$5:$A$204&lt;=$B700)*(A_Corridor!$B$5:$B$204&gt;$B700)*(A_Corridor!$E$5:$E$204&lt;&gt;"")),IF(A_Corridor!$E$5:$E$204="-","",A_Corridor!$E$5:$E$204)),"")</f>
        <v/>
      </c>
      <c r="H700" s="182" t="str">
        <f>IFERROR(LOOKUP(2,1/((D_Points!$A$5:$A$204&lt;&gt;"")*(D_Points!$A$5:$A$204&gt;=$B700)*(D_Points!$A$5:$A$204&lt;$B700+P_Interval)*(UPPER(TRIM(D_Points!$B$5:$B$204))="GULLY")*(D_Points!$H$5:$H$204&lt;&gt;"")),D_Points!$H$5:$H$204),"")</f>
        <v/>
      </c>
      <c r="I700" s="181" t="str">
        <f>IFERROR(LOOKUP(2,1/((A_Corridor!$A$5:$A$204&lt;&gt;"")*(A_Corridor!$A$5:$A$204&lt;=$B700)*(A_Corridor!$B$5:$B$204&gt;$B700)*(A_Corridor!$F$5:$F$204&lt;&gt;"")),IF(A_Corridor!$F$5:$F$204="-","",1)),"")</f>
        <v/>
      </c>
      <c r="J700" s="182" t="str">
        <f>IFERROR(LOOKUP(2,1/((A_Corridor!$A$5:$A$204&lt;&gt;"")*(A_Corridor!$A$5:$A$204&lt;=$B700)*(A_Corridor!$B$5:$B$204&gt;$B700)*(A_Corridor!$F$5:$F$204&lt;&gt;"")),IF(A_Corridor!$F$5:$F$204="-","",A_Corridor!$F$5:$F$204)),"")</f>
        <v/>
      </c>
      <c r="K700" s="182" t="str">
        <f>IFERROR(LOOKUP(2,1/((A_Corridor!$A$5:$A$204&lt;&gt;"")*(A_Corridor!$A$5:$A$204&lt;=$B700)*(A_Corridor!$B$5:$B$204&gt;$B700)*(A_Corridor!$G$5:$G$204&lt;&gt;"")),IF(A_Corridor!$G$5:$G$204="-","",A_Corridor!$G$5:$G$204)),"")</f>
        <v/>
      </c>
      <c r="L700" s="181" t="str">
        <f>IFERROR(LOOKUP(2,1/((A_Corridor!$A$5:$A$204&lt;&gt;"")*(A_Corridor!$A$5:$A$204&lt;=$B700)*(A_Corridor!$B$5:$B$204&gt;$B700)*(A_Corridor!$H$5:$H$204&lt;&gt;"")),IF(A_Corridor!$H$5:$H$204="-","",1)),"")</f>
        <v/>
      </c>
      <c r="M700" s="182" t="str">
        <f>IFERROR(LOOKUP(2,1/((A_Corridor!$A$5:$A$204&lt;&gt;"")*(A_Corridor!$A$5:$A$204&lt;=$B700)*(A_Corridor!$B$5:$B$204&gt;$B700)*(A_Corridor!$H$5:$H$204&lt;&gt;"")),IF(A_Corridor!$H$5:$H$204="-","",A_Corridor!$H$5:$H$204)),"")</f>
        <v/>
      </c>
      <c r="N700" s="182" t="str">
        <f>IFERROR(LOOKUP(2,1/((A_Corridor!$A$5:$A$204&lt;&gt;"")*(A_Corridor!$A$5:$A$204&lt;=$B700)*(A_Corridor!$B$5:$B$204&gt;$B700)*(A_Corridor!$I$5:$I$204&lt;&gt;"")),IF(A_Corridor!$I$5:$I$204="-","",A_Corridor!$I$5:$I$204)),"")</f>
        <v/>
      </c>
      <c r="O700" s="182" t="str">
        <f>IFERROR(LOOKUP(2,1/((D_Points!$A$5:$A$204&lt;&gt;"")*(D_Points!$A$5:$A$204&gt;=$B700)*(D_Points!$A$5:$A$204&lt;$B700+P_Interval)*(UPPER(TRIM(D_Points!$B$5:$B$204))="PITCHING")*(D_Points!$H$5:$H$204&lt;&gt;"")),D_Points!$H$5:$H$204),"")</f>
        <v/>
      </c>
      <c r="P700" s="181" t="str">
        <f>IFERROR(LOOKUP(2,1/((B_Drainage!$A$5:$A$204&lt;&gt;"")*(B_Drainage!$A$5:$A$204&lt;=$B700)*(B_Drainage!$B$5:$B$204&gt;$B700)*(B_Drainage!$C$5:$C$204&lt;&gt;"")),IF(B_Drainage!$C$5:$C$204="-","",UPPER(B_Drainage!$C$5:$C$204))),"")</f>
        <v/>
      </c>
      <c r="Q700" s="181" t="str">
        <f>IFERROR(LOOKUP(2,1/((B_Drainage!$A$5:$A$204&lt;&gt;"")*(B_Drainage!$A$5:$A$204&lt;=$B700)*(B_Drainage!$B$5:$B$204&gt;$B700)*(B_Drainage!$D$5:$D$204&lt;&gt;"")),IF(B_Drainage!$D$5:$D$204="-","",UPPER(B_Drainage!$D$5:$D$204))),"")</f>
        <v/>
      </c>
      <c r="R700" s="182" t="str">
        <f>IFERROR(LOOKUP(2,1/((D_Points!$A$5:$A$204&lt;&gt;"")*(D_Points!$A$5:$A$204&gt;=$B700)*(D_Points!$A$5:$A$204&lt;$B700+P_Interval)*(RIGHT(UPPER(TRIM(D_Points!$B$5:$B$204)),8)="_CULVERT")),IF(LEFT(UPPER(TRIM(D_Points!$B$5:$B$204)),2)="EX",1,IF(LEFT(UPPER(TRIM(D_Points!$B$5:$B$204)),2)="PR",2,3))),"")</f>
        <v/>
      </c>
      <c r="S700" s="182" t="str">
        <f>IFERROR(LOOKUP(2,1/((D_Points!$A$5:$A$204&lt;&gt;"")*(D_Points!$A$5:$A$204&gt;=$B700)*(D_Points!$A$5:$A$204&lt;$B700+P_Interval)*(RIGHT(UPPER(TRIM(D_Points!$B$5:$B$204)),7)="_BRIDGE")),IF(LEFT(UPPER(TRIM(D_Points!$B$5:$B$204)),2)="EX",1,IF(LEFT(UPPER(TRIM(D_Points!$B$5:$B$204)),2)="PR",2,2))),"")</f>
        <v/>
      </c>
      <c r="T700" s="181" t="str">
        <f>IFERROR(LOOKUP(2,1/((B_Drainage!$A$5:$A$204&lt;&gt;"")*(B_Drainage!$A$5:$A$204&lt;=$B700)*(B_Drainage!$B$5:$B$204&gt;$B700)*(B_Drainage!$E$5:$E$204&lt;&gt;"")),IF(B_Drainage!$E$5:$E$204="-","",1)),"")</f>
        <v/>
      </c>
      <c r="U700" s="181" t="str">
        <f>IFERROR(LOOKUP(2,1/((B_Drainage!$A$5:$A$204&lt;&gt;"")*(B_Drainage!$A$5:$A$204&lt;=$B700)*(B_Drainage!$B$5:$B$204&gt;$B700)*(B_Drainage!$E$5:$E$204&lt;&gt;"")),IF(B_Drainage!$E$5:$E$204="-","",B_Drainage!$E$5:$E$204)),"")</f>
        <v/>
      </c>
      <c r="V700" s="181" t="str">
        <f>IFERROR(LOOKUP(2,1/((B_Drainage!$A$5:$A$204&lt;&gt;"")*(B_Drainage!$A$5:$A$204&lt;=$B700)*(B_Drainage!$B$5:$B$204&gt;$B700)*(B_Drainage!$F$5:$F$204&lt;&gt;"")),IF(B_Drainage!$F$5:$F$204="-","",1)),"")</f>
        <v/>
      </c>
      <c r="W700" s="181" t="str">
        <f>IFERROR(LOOKUP(2,1/((B_Drainage!$A$5:$A$204&lt;&gt;"")*(B_Drainage!$A$5:$A$204&lt;=$B700)*(B_Drainage!$B$5:$B$204&gt;$B700)*(B_Drainage!$F$5:$F$204&lt;&gt;"")),IF(B_Drainage!$F$5:$F$204="-","",B_Drainage!$F$5:$F$204)),"")</f>
        <v/>
      </c>
      <c r="X700" s="181" t="str">
        <f>IFERROR(LOOKUP(2,1/((B_Drainage!$A$5:$A$204&lt;&gt;"")*(B_Drainage!$A$5:$A$204&lt;=$B700)*(B_Drainage!$B$5:$B$204&gt;$B700)*(B_Drainage!$G$5:$G$204&lt;&gt;"")),IF(UPPER(B_Drainage!$G$5:$G$204)="Y",1,"")),"")</f>
        <v/>
      </c>
      <c r="Y700" s="181" t="str">
        <f>IFERROR(LOOKUP(2,1/((B_Drainage!$A$5:$A$204&lt;&gt;"")*(B_Drainage!$A$5:$A$204&lt;=$B700)*(B_Drainage!$B$5:$B$204&gt;$B700)*(B_Drainage!$H$5:$H$204&lt;&gt;"")),IF(UPPER(B_Drainage!$H$5:$H$204)="Y",1,"")),"")</f>
        <v/>
      </c>
      <c r="Z700" s="181" t="str">
        <f>IFERROR(LOOKUP(2,1/((B_Drainage!$A$5:$A$204&lt;&gt;"")*(B_Drainage!$A$5:$A$204&lt;=$B700)*(B_Drainage!$B$5:$B$204&gt;$B700)*(B_Drainage!$I$5:$I$204&lt;&gt;"")),IF(UPPER(B_Drainage!$I$5:$I$204)="Y",1,"")),"")</f>
        <v/>
      </c>
      <c r="AA700" s="181" t="str">
        <f>IFERROR(LOOKUP(2,1/((B_Drainage!$A$5:$A$204&lt;&gt;"")*(B_Drainage!$A$5:$A$204&lt;=$B700)*(B_Drainage!$B$5:$B$204&gt;$B700)*(B_Drainage!$J$5:$J$204&lt;&gt;"")),IF(UPPER(B_Drainage!$J$5:$J$204)="Y",1,"")),"")</f>
        <v/>
      </c>
      <c r="AB700" s="182" t="str">
        <f>IFERROR(LOOKUP(2,1/((B_Drainage!$A$5:$A$204&lt;&gt;"")*(B_Drainage!$A$5:$A$204&lt;=$B700)*(B_Drainage!$B$5:$B$204&gt;$B700)*(B_Drainage!$K$5:$K$204&lt;&gt;"")),IF(B_Drainage!$K$5:$K$204="-","",B_Drainage!$K$5:$K$204)),"")</f>
        <v/>
      </c>
      <c r="AC700" s="182" t="str">
        <f>IFERROR(LOOKUP(2,1/((B_Drainage!$A$5:$A$204&lt;&gt;"")*(B_Drainage!$A$5:$A$204&lt;=$B700)*(B_Drainage!$B$5:$B$204&gt;$B700)*(B_Drainage!$L$5:$L$204&lt;&gt;"")),IF(B_Drainage!$L$5:$L$204="-","",B_Drainage!$L$5:$L$204)),"")</f>
        <v/>
      </c>
      <c r="AD700" s="182" t="str">
        <f>IFERROR(LOOKUP(2,1/((D_Points!$A$5:$A$204&lt;&gt;"")*(D_Points!$A$5:$A$204&gt;=$B700)*(D_Points!$A$5:$A$204&lt;$B700+P_Interval)*(UPPER(TRIM(D_Points!$B$5:$B$204))="TURNOUT_L")*(D_Points!$H$5:$H$204&lt;&gt;"")),D_Points!$H$5:$H$204),"")</f>
        <v/>
      </c>
      <c r="AE700" s="182" t="str">
        <f>IFERROR(LOOKUP(2,1/((D_Points!$A$5:$A$204&lt;&gt;"")*(D_Points!$A$5:$A$204&gt;=$B700)*(D_Points!$A$5:$A$204&lt;$B700+P_Interval)*(UPPER(TRIM(D_Points!$B$5:$B$204))="TURNOUT_R")*(D_Points!$H$5:$H$204&lt;&gt;"")),D_Points!$H$5:$H$204),"")</f>
        <v/>
      </c>
      <c r="AF700" s="181" t="str">
        <f>IFERROR(LOOKUP(2,1/((B_Drainage!$A$5:$A$204&lt;&gt;"")*(B_Drainage!$A$5:$A$204&lt;=$B700)*(B_Drainage!$B$5:$B$204&gt;$B700)*(B_Drainage!$M$5:$M$204&lt;&gt;"")),IF(UPPER(B_Drainage!$M$5:$M$204)="Y",1,"")),"")</f>
        <v/>
      </c>
      <c r="AG700" s="181" t="str">
        <f>IFERROR(LOOKUP(2,1/((B_Drainage!$A$5:$A$204&lt;&gt;"")*(B_Drainage!$A$5:$A$204&lt;=$B700)*(B_Drainage!$B$5:$B$204&gt;$B700)*(B_Drainage!$N$5:$N$204&lt;&gt;"")),IF(UPPER(B_Drainage!$N$5:$N$204)="Y",1,"")),"")</f>
        <v/>
      </c>
      <c r="AH700" s="181" t="str">
        <f t="shared" si="80"/>
        <v/>
      </c>
      <c r="AI700" s="181" t="str">
        <f t="shared" si="81"/>
        <v/>
      </c>
      <c r="AJ700" s="181" t="str">
        <f t="shared" si="82"/>
        <v/>
      </c>
      <c r="AK700" s="181" t="str">
        <f t="shared" si="83"/>
        <v/>
      </c>
      <c r="AL700" s="181" t="str">
        <f t="shared" si="84"/>
        <v/>
      </c>
      <c r="AM700" s="181" t="str">
        <f t="shared" si="85"/>
        <v/>
      </c>
      <c r="AN700" s="181" t="str">
        <f t="shared" si="86"/>
        <v/>
      </c>
      <c r="AO700" s="192" t="str">
        <f t="shared" si="87"/>
        <v/>
      </c>
      <c r="AQ700" t="str">
        <f>IFERROR(LOOKUP(2,1/((C_Pavement!$A$5:$A$204&lt;&gt;"")*(C_Pavement!$A$5:$A$204&lt;=$B700)*(C_Pavement!$B$5:$B$204&gt;$B700)*(C_Pavement!$C$5:$C$204&lt;&gt;"")),ROW(C_Pavement!$C$5:$C$204)-4),"")</f>
        <v/>
      </c>
      <c r="AR700" t="str">
        <f>IF($AQ700="","",UPPER(TRIM(INDEX(C_Pavement!$C$5:$C$204,$AQ700))))</f>
        <v/>
      </c>
      <c r="AS700" t="str">
        <f>IF($AR700="","",IFERROR(MATCH($AR700,E_Rules!$A$5:$A$9,0),""))</f>
        <v/>
      </c>
      <c r="AT700" t="str">
        <f>IF($AQ700="","",IF(INDEX(C_Pavement!$D$5:$D$204,$AQ700)&lt;&gt;"",UPPER(TRIM(INDEX(C_Pavement!$D$5:$D$204,$AQ700))),IF($AS700="","",INDEX(E_Rules!$C$5:$C$9,$AS700))))</f>
        <v/>
      </c>
      <c r="AU700" t="str">
        <f>IF($AQ700="","",IF(INDEX(C_Pavement!$E$5:$E$204,$AQ700)&lt;&gt;"",IF(INDEX(C_Pavement!$E$5:$E$204,$AQ700)="-","",INDEX(C_Pavement!$E$5:$E$204,$AQ700)),IF($AS700="","",INDEX(E_Rules!$D$5:$D$9,$AS700))))</f>
        <v/>
      </c>
      <c r="AV700" t="str">
        <f>IF($AQ700="","",IF(INDEX(C_Pavement!$F$5:$F$204,$AQ700)&lt;&gt;"",IF(INDEX(C_Pavement!$F$5:$F$204,$AQ700)="-","",INDEX(C_Pavement!$F$5:$F$204,$AQ700)),IF($AS700="","",INDEX(E_Rules!$E$5:$E$9,$AS700))))</f>
        <v/>
      </c>
      <c r="AW700" t="str">
        <f>IF($AQ700="","",IF(INDEX(C_Pavement!$G$5:$G$204,$AQ700)&lt;&gt;"",IF(INDEX(C_Pavement!$G$5:$G$204,$AQ700)="-","",INDEX(C_Pavement!$G$5:$G$204,$AQ700)),IF($AS700="","",INDEX(E_Rules!$F$5:$F$9,$AS700))))</f>
        <v/>
      </c>
      <c r="AX700" t="str">
        <f>IF($AQ700="","",IF(INDEX(C_Pavement!$H$5:$H$204,$AQ700)&lt;&gt;"",IF(INDEX(C_Pavement!$H$5:$H$204,$AQ700)="-","",INDEX(C_Pavement!$H$5:$H$204,$AQ700)),IF($AS700="","",INDEX(E_Rules!$G$5:$G$9,$AS700))))</f>
        <v/>
      </c>
      <c r="AY700" t="str">
        <f>IF($AQ700="","",IF(INDEX(C_Pavement!$I$5:$I$204,$AQ700)&lt;&gt;"",IF(INDEX(C_Pavement!$I$5:$I$204,$AQ700)="-","",INDEX(C_Pavement!$I$5:$I$204,$AQ700)),IF($AS700="","",INDEX(E_Rules!$H$5:$H$9,$AS700))))</f>
        <v/>
      </c>
    </row>
    <row r="701" spans="1:51" ht="15.75" customHeight="1" x14ac:dyDescent="0.3">
      <c r="A701" s="189">
        <v>696</v>
      </c>
      <c r="B701" s="180">
        <v>34750</v>
      </c>
      <c r="C701" s="180" t="s">
        <v>1007</v>
      </c>
      <c r="D701" s="181" t="str">
        <f>IFERROR(LOOKUP(2,1/((A_Corridor!$A$5:$A$204&lt;&gt;"")*(A_Corridor!$A$5:$A$204&lt;=$B701)*(A_Corridor!$B$5:$B$204&gt;$B701)*(A_Corridor!$C$5:$C$204&lt;&gt;"")),IF(UPPER(A_Corridor!$C$5:$C$204)="Y",1,"")),"")</f>
        <v/>
      </c>
      <c r="E701" s="181" t="str">
        <f>IFERROR(LOOKUP(2,1/((A_Corridor!$A$5:$A$204&lt;&gt;"")*(A_Corridor!$A$5:$A$204&lt;=$B701)*(A_Corridor!$B$5:$B$204&gt;$B701)*(A_Corridor!$D$5:$D$204&lt;&gt;"")),IF(A_Corridor!$D$5:$D$204="-","",UPPER(A_Corridor!$D$5:$D$204))),"")</f>
        <v/>
      </c>
      <c r="F701" s="181" t="str">
        <f>IFERROR(LOOKUP(2,1/((A_Corridor!$A$5:$A$204&lt;&gt;"")*(A_Corridor!$A$5:$A$204&lt;=$B701)*(A_Corridor!$B$5:$B$204&gt;$B701)*(A_Corridor!$E$5:$E$204&lt;&gt;"")),IF(A_Corridor!$E$5:$E$204="-","",1)),"")</f>
        <v/>
      </c>
      <c r="G701" s="182" t="str">
        <f>IFERROR(LOOKUP(2,1/((A_Corridor!$A$5:$A$204&lt;&gt;"")*(A_Corridor!$A$5:$A$204&lt;=$B701)*(A_Corridor!$B$5:$B$204&gt;$B701)*(A_Corridor!$E$5:$E$204&lt;&gt;"")),IF(A_Corridor!$E$5:$E$204="-","",A_Corridor!$E$5:$E$204)),"")</f>
        <v/>
      </c>
      <c r="H701" s="182" t="str">
        <f>IFERROR(LOOKUP(2,1/((D_Points!$A$5:$A$204&lt;&gt;"")*(D_Points!$A$5:$A$204&gt;=$B701)*(D_Points!$A$5:$A$204&lt;$B701+P_Interval)*(UPPER(TRIM(D_Points!$B$5:$B$204))="GULLY")*(D_Points!$H$5:$H$204&lt;&gt;"")),D_Points!$H$5:$H$204),"")</f>
        <v/>
      </c>
      <c r="I701" s="181" t="str">
        <f>IFERROR(LOOKUP(2,1/((A_Corridor!$A$5:$A$204&lt;&gt;"")*(A_Corridor!$A$5:$A$204&lt;=$B701)*(A_Corridor!$B$5:$B$204&gt;$B701)*(A_Corridor!$F$5:$F$204&lt;&gt;"")),IF(A_Corridor!$F$5:$F$204="-","",1)),"")</f>
        <v/>
      </c>
      <c r="J701" s="182" t="str">
        <f>IFERROR(LOOKUP(2,1/((A_Corridor!$A$5:$A$204&lt;&gt;"")*(A_Corridor!$A$5:$A$204&lt;=$B701)*(A_Corridor!$B$5:$B$204&gt;$B701)*(A_Corridor!$F$5:$F$204&lt;&gt;"")),IF(A_Corridor!$F$5:$F$204="-","",A_Corridor!$F$5:$F$204)),"")</f>
        <v/>
      </c>
      <c r="K701" s="182" t="str">
        <f>IFERROR(LOOKUP(2,1/((A_Corridor!$A$5:$A$204&lt;&gt;"")*(A_Corridor!$A$5:$A$204&lt;=$B701)*(A_Corridor!$B$5:$B$204&gt;$B701)*(A_Corridor!$G$5:$G$204&lt;&gt;"")),IF(A_Corridor!$G$5:$G$204="-","",A_Corridor!$G$5:$G$204)),"")</f>
        <v/>
      </c>
      <c r="L701" s="181" t="str">
        <f>IFERROR(LOOKUP(2,1/((A_Corridor!$A$5:$A$204&lt;&gt;"")*(A_Corridor!$A$5:$A$204&lt;=$B701)*(A_Corridor!$B$5:$B$204&gt;$B701)*(A_Corridor!$H$5:$H$204&lt;&gt;"")),IF(A_Corridor!$H$5:$H$204="-","",1)),"")</f>
        <v/>
      </c>
      <c r="M701" s="182" t="str">
        <f>IFERROR(LOOKUP(2,1/((A_Corridor!$A$5:$A$204&lt;&gt;"")*(A_Corridor!$A$5:$A$204&lt;=$B701)*(A_Corridor!$B$5:$B$204&gt;$B701)*(A_Corridor!$H$5:$H$204&lt;&gt;"")),IF(A_Corridor!$H$5:$H$204="-","",A_Corridor!$H$5:$H$204)),"")</f>
        <v/>
      </c>
      <c r="N701" s="182" t="str">
        <f>IFERROR(LOOKUP(2,1/((A_Corridor!$A$5:$A$204&lt;&gt;"")*(A_Corridor!$A$5:$A$204&lt;=$B701)*(A_Corridor!$B$5:$B$204&gt;$B701)*(A_Corridor!$I$5:$I$204&lt;&gt;"")),IF(A_Corridor!$I$5:$I$204="-","",A_Corridor!$I$5:$I$204)),"")</f>
        <v/>
      </c>
      <c r="O701" s="182" t="str">
        <f>IFERROR(LOOKUP(2,1/((D_Points!$A$5:$A$204&lt;&gt;"")*(D_Points!$A$5:$A$204&gt;=$B701)*(D_Points!$A$5:$A$204&lt;$B701+P_Interval)*(UPPER(TRIM(D_Points!$B$5:$B$204))="PITCHING")*(D_Points!$H$5:$H$204&lt;&gt;"")),D_Points!$H$5:$H$204),"")</f>
        <v/>
      </c>
      <c r="P701" s="181" t="str">
        <f>IFERROR(LOOKUP(2,1/((B_Drainage!$A$5:$A$204&lt;&gt;"")*(B_Drainage!$A$5:$A$204&lt;=$B701)*(B_Drainage!$B$5:$B$204&gt;$B701)*(B_Drainage!$C$5:$C$204&lt;&gt;"")),IF(B_Drainage!$C$5:$C$204="-","",UPPER(B_Drainage!$C$5:$C$204))),"")</f>
        <v/>
      </c>
      <c r="Q701" s="181" t="str">
        <f>IFERROR(LOOKUP(2,1/((B_Drainage!$A$5:$A$204&lt;&gt;"")*(B_Drainage!$A$5:$A$204&lt;=$B701)*(B_Drainage!$B$5:$B$204&gt;$B701)*(B_Drainage!$D$5:$D$204&lt;&gt;"")),IF(B_Drainage!$D$5:$D$204="-","",UPPER(B_Drainage!$D$5:$D$204))),"")</f>
        <v/>
      </c>
      <c r="R701" s="182" t="str">
        <f>IFERROR(LOOKUP(2,1/((D_Points!$A$5:$A$204&lt;&gt;"")*(D_Points!$A$5:$A$204&gt;=$B701)*(D_Points!$A$5:$A$204&lt;$B701+P_Interval)*(RIGHT(UPPER(TRIM(D_Points!$B$5:$B$204)),8)="_CULVERT")),IF(LEFT(UPPER(TRIM(D_Points!$B$5:$B$204)),2)="EX",1,IF(LEFT(UPPER(TRIM(D_Points!$B$5:$B$204)),2)="PR",2,3))),"")</f>
        <v/>
      </c>
      <c r="S701" s="182" t="str">
        <f>IFERROR(LOOKUP(2,1/((D_Points!$A$5:$A$204&lt;&gt;"")*(D_Points!$A$5:$A$204&gt;=$B701)*(D_Points!$A$5:$A$204&lt;$B701+P_Interval)*(RIGHT(UPPER(TRIM(D_Points!$B$5:$B$204)),7)="_BRIDGE")),IF(LEFT(UPPER(TRIM(D_Points!$B$5:$B$204)),2)="EX",1,IF(LEFT(UPPER(TRIM(D_Points!$B$5:$B$204)),2)="PR",2,2))),"")</f>
        <v/>
      </c>
      <c r="T701" s="181" t="str">
        <f>IFERROR(LOOKUP(2,1/((B_Drainage!$A$5:$A$204&lt;&gt;"")*(B_Drainage!$A$5:$A$204&lt;=$B701)*(B_Drainage!$B$5:$B$204&gt;$B701)*(B_Drainage!$E$5:$E$204&lt;&gt;"")),IF(B_Drainage!$E$5:$E$204="-","",1)),"")</f>
        <v/>
      </c>
      <c r="U701" s="181" t="str">
        <f>IFERROR(LOOKUP(2,1/((B_Drainage!$A$5:$A$204&lt;&gt;"")*(B_Drainage!$A$5:$A$204&lt;=$B701)*(B_Drainage!$B$5:$B$204&gt;$B701)*(B_Drainage!$E$5:$E$204&lt;&gt;"")),IF(B_Drainage!$E$5:$E$204="-","",B_Drainage!$E$5:$E$204)),"")</f>
        <v/>
      </c>
      <c r="V701" s="181" t="str">
        <f>IFERROR(LOOKUP(2,1/((B_Drainage!$A$5:$A$204&lt;&gt;"")*(B_Drainage!$A$5:$A$204&lt;=$B701)*(B_Drainage!$B$5:$B$204&gt;$B701)*(B_Drainage!$F$5:$F$204&lt;&gt;"")),IF(B_Drainage!$F$5:$F$204="-","",1)),"")</f>
        <v/>
      </c>
      <c r="W701" s="181" t="str">
        <f>IFERROR(LOOKUP(2,1/((B_Drainage!$A$5:$A$204&lt;&gt;"")*(B_Drainage!$A$5:$A$204&lt;=$B701)*(B_Drainage!$B$5:$B$204&gt;$B701)*(B_Drainage!$F$5:$F$204&lt;&gt;"")),IF(B_Drainage!$F$5:$F$204="-","",B_Drainage!$F$5:$F$204)),"")</f>
        <v/>
      </c>
      <c r="X701" s="181" t="str">
        <f>IFERROR(LOOKUP(2,1/((B_Drainage!$A$5:$A$204&lt;&gt;"")*(B_Drainage!$A$5:$A$204&lt;=$B701)*(B_Drainage!$B$5:$B$204&gt;$B701)*(B_Drainage!$G$5:$G$204&lt;&gt;"")),IF(UPPER(B_Drainage!$G$5:$G$204)="Y",1,"")),"")</f>
        <v/>
      </c>
      <c r="Y701" s="181" t="str">
        <f>IFERROR(LOOKUP(2,1/((B_Drainage!$A$5:$A$204&lt;&gt;"")*(B_Drainage!$A$5:$A$204&lt;=$B701)*(B_Drainage!$B$5:$B$204&gt;$B701)*(B_Drainage!$H$5:$H$204&lt;&gt;"")),IF(UPPER(B_Drainage!$H$5:$H$204)="Y",1,"")),"")</f>
        <v/>
      </c>
      <c r="Z701" s="181" t="str">
        <f>IFERROR(LOOKUP(2,1/((B_Drainage!$A$5:$A$204&lt;&gt;"")*(B_Drainage!$A$5:$A$204&lt;=$B701)*(B_Drainage!$B$5:$B$204&gt;$B701)*(B_Drainage!$I$5:$I$204&lt;&gt;"")),IF(UPPER(B_Drainage!$I$5:$I$204)="Y",1,"")),"")</f>
        <v/>
      </c>
      <c r="AA701" s="181" t="str">
        <f>IFERROR(LOOKUP(2,1/((B_Drainage!$A$5:$A$204&lt;&gt;"")*(B_Drainage!$A$5:$A$204&lt;=$B701)*(B_Drainage!$B$5:$B$204&gt;$B701)*(B_Drainage!$J$5:$J$204&lt;&gt;"")),IF(UPPER(B_Drainage!$J$5:$J$204)="Y",1,"")),"")</f>
        <v/>
      </c>
      <c r="AB701" s="182" t="str">
        <f>IFERROR(LOOKUP(2,1/((B_Drainage!$A$5:$A$204&lt;&gt;"")*(B_Drainage!$A$5:$A$204&lt;=$B701)*(B_Drainage!$B$5:$B$204&gt;$B701)*(B_Drainage!$K$5:$K$204&lt;&gt;"")),IF(B_Drainage!$K$5:$K$204="-","",B_Drainage!$K$5:$K$204)),"")</f>
        <v/>
      </c>
      <c r="AC701" s="182" t="str">
        <f>IFERROR(LOOKUP(2,1/((B_Drainage!$A$5:$A$204&lt;&gt;"")*(B_Drainage!$A$5:$A$204&lt;=$B701)*(B_Drainage!$B$5:$B$204&gt;$B701)*(B_Drainage!$L$5:$L$204&lt;&gt;"")),IF(B_Drainage!$L$5:$L$204="-","",B_Drainage!$L$5:$L$204)),"")</f>
        <v/>
      </c>
      <c r="AD701" s="182" t="str">
        <f>IFERROR(LOOKUP(2,1/((D_Points!$A$5:$A$204&lt;&gt;"")*(D_Points!$A$5:$A$204&gt;=$B701)*(D_Points!$A$5:$A$204&lt;$B701+P_Interval)*(UPPER(TRIM(D_Points!$B$5:$B$204))="TURNOUT_L")*(D_Points!$H$5:$H$204&lt;&gt;"")),D_Points!$H$5:$H$204),"")</f>
        <v/>
      </c>
      <c r="AE701" s="182" t="str">
        <f>IFERROR(LOOKUP(2,1/((D_Points!$A$5:$A$204&lt;&gt;"")*(D_Points!$A$5:$A$204&gt;=$B701)*(D_Points!$A$5:$A$204&lt;$B701+P_Interval)*(UPPER(TRIM(D_Points!$B$5:$B$204))="TURNOUT_R")*(D_Points!$H$5:$H$204&lt;&gt;"")),D_Points!$H$5:$H$204),"")</f>
        <v/>
      </c>
      <c r="AF701" s="181" t="str">
        <f>IFERROR(LOOKUP(2,1/((B_Drainage!$A$5:$A$204&lt;&gt;"")*(B_Drainage!$A$5:$A$204&lt;=$B701)*(B_Drainage!$B$5:$B$204&gt;$B701)*(B_Drainage!$M$5:$M$204&lt;&gt;"")),IF(UPPER(B_Drainage!$M$5:$M$204)="Y",1,"")),"")</f>
        <v/>
      </c>
      <c r="AG701" s="181" t="str">
        <f>IFERROR(LOOKUP(2,1/((B_Drainage!$A$5:$A$204&lt;&gt;"")*(B_Drainage!$A$5:$A$204&lt;=$B701)*(B_Drainage!$B$5:$B$204&gt;$B701)*(B_Drainage!$N$5:$N$204&lt;&gt;"")),IF(UPPER(B_Drainage!$N$5:$N$204)="Y",1,"")),"")</f>
        <v/>
      </c>
      <c r="AH701" s="181" t="str">
        <f t="shared" si="80"/>
        <v/>
      </c>
      <c r="AI701" s="181" t="str">
        <f t="shared" si="81"/>
        <v/>
      </c>
      <c r="AJ701" s="181" t="str">
        <f t="shared" si="82"/>
        <v/>
      </c>
      <c r="AK701" s="181" t="str">
        <f t="shared" si="83"/>
        <v/>
      </c>
      <c r="AL701" s="181" t="str">
        <f t="shared" si="84"/>
        <v/>
      </c>
      <c r="AM701" s="181" t="str">
        <f t="shared" si="85"/>
        <v/>
      </c>
      <c r="AN701" s="181" t="str">
        <f t="shared" si="86"/>
        <v/>
      </c>
      <c r="AO701" s="192" t="str">
        <f t="shared" si="87"/>
        <v/>
      </c>
      <c r="AQ701" t="str">
        <f>IFERROR(LOOKUP(2,1/((C_Pavement!$A$5:$A$204&lt;&gt;"")*(C_Pavement!$A$5:$A$204&lt;=$B701)*(C_Pavement!$B$5:$B$204&gt;$B701)*(C_Pavement!$C$5:$C$204&lt;&gt;"")),ROW(C_Pavement!$C$5:$C$204)-4),"")</f>
        <v/>
      </c>
      <c r="AR701" t="str">
        <f>IF($AQ701="","",UPPER(TRIM(INDEX(C_Pavement!$C$5:$C$204,$AQ701))))</f>
        <v/>
      </c>
      <c r="AS701" t="str">
        <f>IF($AR701="","",IFERROR(MATCH($AR701,E_Rules!$A$5:$A$9,0),""))</f>
        <v/>
      </c>
      <c r="AT701" t="str">
        <f>IF($AQ701="","",IF(INDEX(C_Pavement!$D$5:$D$204,$AQ701)&lt;&gt;"",UPPER(TRIM(INDEX(C_Pavement!$D$5:$D$204,$AQ701))),IF($AS701="","",INDEX(E_Rules!$C$5:$C$9,$AS701))))</f>
        <v/>
      </c>
      <c r="AU701" t="str">
        <f>IF($AQ701="","",IF(INDEX(C_Pavement!$E$5:$E$204,$AQ701)&lt;&gt;"",IF(INDEX(C_Pavement!$E$5:$E$204,$AQ701)="-","",INDEX(C_Pavement!$E$5:$E$204,$AQ701)),IF($AS701="","",INDEX(E_Rules!$D$5:$D$9,$AS701))))</f>
        <v/>
      </c>
      <c r="AV701" t="str">
        <f>IF($AQ701="","",IF(INDEX(C_Pavement!$F$5:$F$204,$AQ701)&lt;&gt;"",IF(INDEX(C_Pavement!$F$5:$F$204,$AQ701)="-","",INDEX(C_Pavement!$F$5:$F$204,$AQ701)),IF($AS701="","",INDEX(E_Rules!$E$5:$E$9,$AS701))))</f>
        <v/>
      </c>
      <c r="AW701" t="str">
        <f>IF($AQ701="","",IF(INDEX(C_Pavement!$G$5:$G$204,$AQ701)&lt;&gt;"",IF(INDEX(C_Pavement!$G$5:$G$204,$AQ701)="-","",INDEX(C_Pavement!$G$5:$G$204,$AQ701)),IF($AS701="","",INDEX(E_Rules!$F$5:$F$9,$AS701))))</f>
        <v/>
      </c>
      <c r="AX701" t="str">
        <f>IF($AQ701="","",IF(INDEX(C_Pavement!$H$5:$H$204,$AQ701)&lt;&gt;"",IF(INDEX(C_Pavement!$H$5:$H$204,$AQ701)="-","",INDEX(C_Pavement!$H$5:$H$204,$AQ701)),IF($AS701="","",INDEX(E_Rules!$G$5:$G$9,$AS701))))</f>
        <v/>
      </c>
      <c r="AY701" t="str">
        <f>IF($AQ701="","",IF(INDEX(C_Pavement!$I$5:$I$204,$AQ701)&lt;&gt;"",IF(INDEX(C_Pavement!$I$5:$I$204,$AQ701)="-","",INDEX(C_Pavement!$I$5:$I$204,$AQ701)),IF($AS701="","",INDEX(E_Rules!$H$5:$H$9,$AS701))))</f>
        <v/>
      </c>
    </row>
    <row r="702" spans="1:51" ht="15.75" customHeight="1" x14ac:dyDescent="0.3">
      <c r="A702" s="189">
        <v>697</v>
      </c>
      <c r="B702" s="180">
        <v>34800</v>
      </c>
      <c r="C702" s="180" t="s">
        <v>1008</v>
      </c>
      <c r="D702" s="181" t="str">
        <f>IFERROR(LOOKUP(2,1/((A_Corridor!$A$5:$A$204&lt;&gt;"")*(A_Corridor!$A$5:$A$204&lt;=$B702)*(A_Corridor!$B$5:$B$204&gt;$B702)*(A_Corridor!$C$5:$C$204&lt;&gt;"")),IF(UPPER(A_Corridor!$C$5:$C$204)="Y",1,"")),"")</f>
        <v/>
      </c>
      <c r="E702" s="181" t="str">
        <f>IFERROR(LOOKUP(2,1/((A_Corridor!$A$5:$A$204&lt;&gt;"")*(A_Corridor!$A$5:$A$204&lt;=$B702)*(A_Corridor!$B$5:$B$204&gt;$B702)*(A_Corridor!$D$5:$D$204&lt;&gt;"")),IF(A_Corridor!$D$5:$D$204="-","",UPPER(A_Corridor!$D$5:$D$204))),"")</f>
        <v/>
      </c>
      <c r="F702" s="181" t="str">
        <f>IFERROR(LOOKUP(2,1/((A_Corridor!$A$5:$A$204&lt;&gt;"")*(A_Corridor!$A$5:$A$204&lt;=$B702)*(A_Corridor!$B$5:$B$204&gt;$B702)*(A_Corridor!$E$5:$E$204&lt;&gt;"")),IF(A_Corridor!$E$5:$E$204="-","",1)),"")</f>
        <v/>
      </c>
      <c r="G702" s="182" t="str">
        <f>IFERROR(LOOKUP(2,1/((A_Corridor!$A$5:$A$204&lt;&gt;"")*(A_Corridor!$A$5:$A$204&lt;=$B702)*(A_Corridor!$B$5:$B$204&gt;$B702)*(A_Corridor!$E$5:$E$204&lt;&gt;"")),IF(A_Corridor!$E$5:$E$204="-","",A_Corridor!$E$5:$E$204)),"")</f>
        <v/>
      </c>
      <c r="H702" s="182" t="str">
        <f>IFERROR(LOOKUP(2,1/((D_Points!$A$5:$A$204&lt;&gt;"")*(D_Points!$A$5:$A$204&gt;=$B702)*(D_Points!$A$5:$A$204&lt;$B702+P_Interval)*(UPPER(TRIM(D_Points!$B$5:$B$204))="GULLY")*(D_Points!$H$5:$H$204&lt;&gt;"")),D_Points!$H$5:$H$204),"")</f>
        <v/>
      </c>
      <c r="I702" s="181" t="str">
        <f>IFERROR(LOOKUP(2,1/((A_Corridor!$A$5:$A$204&lt;&gt;"")*(A_Corridor!$A$5:$A$204&lt;=$B702)*(A_Corridor!$B$5:$B$204&gt;$B702)*(A_Corridor!$F$5:$F$204&lt;&gt;"")),IF(A_Corridor!$F$5:$F$204="-","",1)),"")</f>
        <v/>
      </c>
      <c r="J702" s="182" t="str">
        <f>IFERROR(LOOKUP(2,1/((A_Corridor!$A$5:$A$204&lt;&gt;"")*(A_Corridor!$A$5:$A$204&lt;=$B702)*(A_Corridor!$B$5:$B$204&gt;$B702)*(A_Corridor!$F$5:$F$204&lt;&gt;"")),IF(A_Corridor!$F$5:$F$204="-","",A_Corridor!$F$5:$F$204)),"")</f>
        <v/>
      </c>
      <c r="K702" s="182" t="str">
        <f>IFERROR(LOOKUP(2,1/((A_Corridor!$A$5:$A$204&lt;&gt;"")*(A_Corridor!$A$5:$A$204&lt;=$B702)*(A_Corridor!$B$5:$B$204&gt;$B702)*(A_Corridor!$G$5:$G$204&lt;&gt;"")),IF(A_Corridor!$G$5:$G$204="-","",A_Corridor!$G$5:$G$204)),"")</f>
        <v/>
      </c>
      <c r="L702" s="181" t="str">
        <f>IFERROR(LOOKUP(2,1/((A_Corridor!$A$5:$A$204&lt;&gt;"")*(A_Corridor!$A$5:$A$204&lt;=$B702)*(A_Corridor!$B$5:$B$204&gt;$B702)*(A_Corridor!$H$5:$H$204&lt;&gt;"")),IF(A_Corridor!$H$5:$H$204="-","",1)),"")</f>
        <v/>
      </c>
      <c r="M702" s="182" t="str">
        <f>IFERROR(LOOKUP(2,1/((A_Corridor!$A$5:$A$204&lt;&gt;"")*(A_Corridor!$A$5:$A$204&lt;=$B702)*(A_Corridor!$B$5:$B$204&gt;$B702)*(A_Corridor!$H$5:$H$204&lt;&gt;"")),IF(A_Corridor!$H$5:$H$204="-","",A_Corridor!$H$5:$H$204)),"")</f>
        <v/>
      </c>
      <c r="N702" s="182" t="str">
        <f>IFERROR(LOOKUP(2,1/((A_Corridor!$A$5:$A$204&lt;&gt;"")*(A_Corridor!$A$5:$A$204&lt;=$B702)*(A_Corridor!$B$5:$B$204&gt;$B702)*(A_Corridor!$I$5:$I$204&lt;&gt;"")),IF(A_Corridor!$I$5:$I$204="-","",A_Corridor!$I$5:$I$204)),"")</f>
        <v/>
      </c>
      <c r="O702" s="182" t="str">
        <f>IFERROR(LOOKUP(2,1/((D_Points!$A$5:$A$204&lt;&gt;"")*(D_Points!$A$5:$A$204&gt;=$B702)*(D_Points!$A$5:$A$204&lt;$B702+P_Interval)*(UPPER(TRIM(D_Points!$B$5:$B$204))="PITCHING")*(D_Points!$H$5:$H$204&lt;&gt;"")),D_Points!$H$5:$H$204),"")</f>
        <v/>
      </c>
      <c r="P702" s="181" t="str">
        <f>IFERROR(LOOKUP(2,1/((B_Drainage!$A$5:$A$204&lt;&gt;"")*(B_Drainage!$A$5:$A$204&lt;=$B702)*(B_Drainage!$B$5:$B$204&gt;$B702)*(B_Drainage!$C$5:$C$204&lt;&gt;"")),IF(B_Drainage!$C$5:$C$204="-","",UPPER(B_Drainage!$C$5:$C$204))),"")</f>
        <v/>
      </c>
      <c r="Q702" s="181" t="str">
        <f>IFERROR(LOOKUP(2,1/((B_Drainage!$A$5:$A$204&lt;&gt;"")*(B_Drainage!$A$5:$A$204&lt;=$B702)*(B_Drainage!$B$5:$B$204&gt;$B702)*(B_Drainage!$D$5:$D$204&lt;&gt;"")),IF(B_Drainage!$D$5:$D$204="-","",UPPER(B_Drainage!$D$5:$D$204))),"")</f>
        <v/>
      </c>
      <c r="R702" s="182" t="str">
        <f>IFERROR(LOOKUP(2,1/((D_Points!$A$5:$A$204&lt;&gt;"")*(D_Points!$A$5:$A$204&gt;=$B702)*(D_Points!$A$5:$A$204&lt;$B702+P_Interval)*(RIGHT(UPPER(TRIM(D_Points!$B$5:$B$204)),8)="_CULVERT")),IF(LEFT(UPPER(TRIM(D_Points!$B$5:$B$204)),2)="EX",1,IF(LEFT(UPPER(TRIM(D_Points!$B$5:$B$204)),2)="PR",2,3))),"")</f>
        <v/>
      </c>
      <c r="S702" s="182" t="str">
        <f>IFERROR(LOOKUP(2,1/((D_Points!$A$5:$A$204&lt;&gt;"")*(D_Points!$A$5:$A$204&gt;=$B702)*(D_Points!$A$5:$A$204&lt;$B702+P_Interval)*(RIGHT(UPPER(TRIM(D_Points!$B$5:$B$204)),7)="_BRIDGE")),IF(LEFT(UPPER(TRIM(D_Points!$B$5:$B$204)),2)="EX",1,IF(LEFT(UPPER(TRIM(D_Points!$B$5:$B$204)),2)="PR",2,2))),"")</f>
        <v/>
      </c>
      <c r="T702" s="181" t="str">
        <f>IFERROR(LOOKUP(2,1/((B_Drainage!$A$5:$A$204&lt;&gt;"")*(B_Drainage!$A$5:$A$204&lt;=$B702)*(B_Drainage!$B$5:$B$204&gt;$B702)*(B_Drainage!$E$5:$E$204&lt;&gt;"")),IF(B_Drainage!$E$5:$E$204="-","",1)),"")</f>
        <v/>
      </c>
      <c r="U702" s="181" t="str">
        <f>IFERROR(LOOKUP(2,1/((B_Drainage!$A$5:$A$204&lt;&gt;"")*(B_Drainage!$A$5:$A$204&lt;=$B702)*(B_Drainage!$B$5:$B$204&gt;$B702)*(B_Drainage!$E$5:$E$204&lt;&gt;"")),IF(B_Drainage!$E$5:$E$204="-","",B_Drainage!$E$5:$E$204)),"")</f>
        <v/>
      </c>
      <c r="V702" s="181" t="str">
        <f>IFERROR(LOOKUP(2,1/((B_Drainage!$A$5:$A$204&lt;&gt;"")*(B_Drainage!$A$5:$A$204&lt;=$B702)*(B_Drainage!$B$5:$B$204&gt;$B702)*(B_Drainage!$F$5:$F$204&lt;&gt;"")),IF(B_Drainage!$F$5:$F$204="-","",1)),"")</f>
        <v/>
      </c>
      <c r="W702" s="181" t="str">
        <f>IFERROR(LOOKUP(2,1/((B_Drainage!$A$5:$A$204&lt;&gt;"")*(B_Drainage!$A$5:$A$204&lt;=$B702)*(B_Drainage!$B$5:$B$204&gt;$B702)*(B_Drainage!$F$5:$F$204&lt;&gt;"")),IF(B_Drainage!$F$5:$F$204="-","",B_Drainage!$F$5:$F$204)),"")</f>
        <v/>
      </c>
      <c r="X702" s="181" t="str">
        <f>IFERROR(LOOKUP(2,1/((B_Drainage!$A$5:$A$204&lt;&gt;"")*(B_Drainage!$A$5:$A$204&lt;=$B702)*(B_Drainage!$B$5:$B$204&gt;$B702)*(B_Drainage!$G$5:$G$204&lt;&gt;"")),IF(UPPER(B_Drainage!$G$5:$G$204)="Y",1,"")),"")</f>
        <v/>
      </c>
      <c r="Y702" s="181" t="str">
        <f>IFERROR(LOOKUP(2,1/((B_Drainage!$A$5:$A$204&lt;&gt;"")*(B_Drainage!$A$5:$A$204&lt;=$B702)*(B_Drainage!$B$5:$B$204&gt;$B702)*(B_Drainage!$H$5:$H$204&lt;&gt;"")),IF(UPPER(B_Drainage!$H$5:$H$204)="Y",1,"")),"")</f>
        <v/>
      </c>
      <c r="Z702" s="181" t="str">
        <f>IFERROR(LOOKUP(2,1/((B_Drainage!$A$5:$A$204&lt;&gt;"")*(B_Drainage!$A$5:$A$204&lt;=$B702)*(B_Drainage!$B$5:$B$204&gt;$B702)*(B_Drainage!$I$5:$I$204&lt;&gt;"")),IF(UPPER(B_Drainage!$I$5:$I$204)="Y",1,"")),"")</f>
        <v/>
      </c>
      <c r="AA702" s="181" t="str">
        <f>IFERROR(LOOKUP(2,1/((B_Drainage!$A$5:$A$204&lt;&gt;"")*(B_Drainage!$A$5:$A$204&lt;=$B702)*(B_Drainage!$B$5:$B$204&gt;$B702)*(B_Drainage!$J$5:$J$204&lt;&gt;"")),IF(UPPER(B_Drainage!$J$5:$J$204)="Y",1,"")),"")</f>
        <v/>
      </c>
      <c r="AB702" s="182" t="str">
        <f>IFERROR(LOOKUP(2,1/((B_Drainage!$A$5:$A$204&lt;&gt;"")*(B_Drainage!$A$5:$A$204&lt;=$B702)*(B_Drainage!$B$5:$B$204&gt;$B702)*(B_Drainage!$K$5:$K$204&lt;&gt;"")),IF(B_Drainage!$K$5:$K$204="-","",B_Drainage!$K$5:$K$204)),"")</f>
        <v/>
      </c>
      <c r="AC702" s="182" t="str">
        <f>IFERROR(LOOKUP(2,1/((B_Drainage!$A$5:$A$204&lt;&gt;"")*(B_Drainage!$A$5:$A$204&lt;=$B702)*(B_Drainage!$B$5:$B$204&gt;$B702)*(B_Drainage!$L$5:$L$204&lt;&gt;"")),IF(B_Drainage!$L$5:$L$204="-","",B_Drainage!$L$5:$L$204)),"")</f>
        <v/>
      </c>
      <c r="AD702" s="182" t="str">
        <f>IFERROR(LOOKUP(2,1/((D_Points!$A$5:$A$204&lt;&gt;"")*(D_Points!$A$5:$A$204&gt;=$B702)*(D_Points!$A$5:$A$204&lt;$B702+P_Interval)*(UPPER(TRIM(D_Points!$B$5:$B$204))="TURNOUT_L")*(D_Points!$H$5:$H$204&lt;&gt;"")),D_Points!$H$5:$H$204),"")</f>
        <v/>
      </c>
      <c r="AE702" s="182" t="str">
        <f>IFERROR(LOOKUP(2,1/((D_Points!$A$5:$A$204&lt;&gt;"")*(D_Points!$A$5:$A$204&gt;=$B702)*(D_Points!$A$5:$A$204&lt;$B702+P_Interval)*(UPPER(TRIM(D_Points!$B$5:$B$204))="TURNOUT_R")*(D_Points!$H$5:$H$204&lt;&gt;"")),D_Points!$H$5:$H$204),"")</f>
        <v/>
      </c>
      <c r="AF702" s="181" t="str">
        <f>IFERROR(LOOKUP(2,1/((B_Drainage!$A$5:$A$204&lt;&gt;"")*(B_Drainage!$A$5:$A$204&lt;=$B702)*(B_Drainage!$B$5:$B$204&gt;$B702)*(B_Drainage!$M$5:$M$204&lt;&gt;"")),IF(UPPER(B_Drainage!$M$5:$M$204)="Y",1,"")),"")</f>
        <v/>
      </c>
      <c r="AG702" s="181" t="str">
        <f>IFERROR(LOOKUP(2,1/((B_Drainage!$A$5:$A$204&lt;&gt;"")*(B_Drainage!$A$5:$A$204&lt;=$B702)*(B_Drainage!$B$5:$B$204&gt;$B702)*(B_Drainage!$N$5:$N$204&lt;&gt;"")),IF(UPPER(B_Drainage!$N$5:$N$204)="Y",1,"")),"")</f>
        <v/>
      </c>
      <c r="AH702" s="181" t="str">
        <f t="shared" si="80"/>
        <v/>
      </c>
      <c r="AI702" s="181" t="str">
        <f t="shared" si="81"/>
        <v/>
      </c>
      <c r="AJ702" s="181" t="str">
        <f t="shared" si="82"/>
        <v/>
      </c>
      <c r="AK702" s="181" t="str">
        <f t="shared" si="83"/>
        <v/>
      </c>
      <c r="AL702" s="181" t="str">
        <f t="shared" si="84"/>
        <v/>
      </c>
      <c r="AM702" s="181" t="str">
        <f t="shared" si="85"/>
        <v/>
      </c>
      <c r="AN702" s="181" t="str">
        <f t="shared" si="86"/>
        <v/>
      </c>
      <c r="AO702" s="192" t="str">
        <f t="shared" si="87"/>
        <v/>
      </c>
      <c r="AQ702" t="str">
        <f>IFERROR(LOOKUP(2,1/((C_Pavement!$A$5:$A$204&lt;&gt;"")*(C_Pavement!$A$5:$A$204&lt;=$B702)*(C_Pavement!$B$5:$B$204&gt;$B702)*(C_Pavement!$C$5:$C$204&lt;&gt;"")),ROW(C_Pavement!$C$5:$C$204)-4),"")</f>
        <v/>
      </c>
      <c r="AR702" t="str">
        <f>IF($AQ702="","",UPPER(TRIM(INDEX(C_Pavement!$C$5:$C$204,$AQ702))))</f>
        <v/>
      </c>
      <c r="AS702" t="str">
        <f>IF($AR702="","",IFERROR(MATCH($AR702,E_Rules!$A$5:$A$9,0),""))</f>
        <v/>
      </c>
      <c r="AT702" t="str">
        <f>IF($AQ702="","",IF(INDEX(C_Pavement!$D$5:$D$204,$AQ702)&lt;&gt;"",UPPER(TRIM(INDEX(C_Pavement!$D$5:$D$204,$AQ702))),IF($AS702="","",INDEX(E_Rules!$C$5:$C$9,$AS702))))</f>
        <v/>
      </c>
      <c r="AU702" t="str">
        <f>IF($AQ702="","",IF(INDEX(C_Pavement!$E$5:$E$204,$AQ702)&lt;&gt;"",IF(INDEX(C_Pavement!$E$5:$E$204,$AQ702)="-","",INDEX(C_Pavement!$E$5:$E$204,$AQ702)),IF($AS702="","",INDEX(E_Rules!$D$5:$D$9,$AS702))))</f>
        <v/>
      </c>
      <c r="AV702" t="str">
        <f>IF($AQ702="","",IF(INDEX(C_Pavement!$F$5:$F$204,$AQ702)&lt;&gt;"",IF(INDEX(C_Pavement!$F$5:$F$204,$AQ702)="-","",INDEX(C_Pavement!$F$5:$F$204,$AQ702)),IF($AS702="","",INDEX(E_Rules!$E$5:$E$9,$AS702))))</f>
        <v/>
      </c>
      <c r="AW702" t="str">
        <f>IF($AQ702="","",IF(INDEX(C_Pavement!$G$5:$G$204,$AQ702)&lt;&gt;"",IF(INDEX(C_Pavement!$G$5:$G$204,$AQ702)="-","",INDEX(C_Pavement!$G$5:$G$204,$AQ702)),IF($AS702="","",INDEX(E_Rules!$F$5:$F$9,$AS702))))</f>
        <v/>
      </c>
      <c r="AX702" t="str">
        <f>IF($AQ702="","",IF(INDEX(C_Pavement!$H$5:$H$204,$AQ702)&lt;&gt;"",IF(INDEX(C_Pavement!$H$5:$H$204,$AQ702)="-","",INDEX(C_Pavement!$H$5:$H$204,$AQ702)),IF($AS702="","",INDEX(E_Rules!$G$5:$G$9,$AS702))))</f>
        <v/>
      </c>
      <c r="AY702" t="str">
        <f>IF($AQ702="","",IF(INDEX(C_Pavement!$I$5:$I$204,$AQ702)&lt;&gt;"",IF(INDEX(C_Pavement!$I$5:$I$204,$AQ702)="-","",INDEX(C_Pavement!$I$5:$I$204,$AQ702)),IF($AS702="","",INDEX(E_Rules!$H$5:$H$9,$AS702))))</f>
        <v/>
      </c>
    </row>
    <row r="703" spans="1:51" ht="15.75" customHeight="1" x14ac:dyDescent="0.3">
      <c r="A703" s="189">
        <v>698</v>
      </c>
      <c r="B703" s="180">
        <v>34850</v>
      </c>
      <c r="C703" s="180" t="s">
        <v>1009</v>
      </c>
      <c r="D703" s="181" t="str">
        <f>IFERROR(LOOKUP(2,1/((A_Corridor!$A$5:$A$204&lt;&gt;"")*(A_Corridor!$A$5:$A$204&lt;=$B703)*(A_Corridor!$B$5:$B$204&gt;$B703)*(A_Corridor!$C$5:$C$204&lt;&gt;"")),IF(UPPER(A_Corridor!$C$5:$C$204)="Y",1,"")),"")</f>
        <v/>
      </c>
      <c r="E703" s="181" t="str">
        <f>IFERROR(LOOKUP(2,1/((A_Corridor!$A$5:$A$204&lt;&gt;"")*(A_Corridor!$A$5:$A$204&lt;=$B703)*(A_Corridor!$B$5:$B$204&gt;$B703)*(A_Corridor!$D$5:$D$204&lt;&gt;"")),IF(A_Corridor!$D$5:$D$204="-","",UPPER(A_Corridor!$D$5:$D$204))),"")</f>
        <v/>
      </c>
      <c r="F703" s="181" t="str">
        <f>IFERROR(LOOKUP(2,1/((A_Corridor!$A$5:$A$204&lt;&gt;"")*(A_Corridor!$A$5:$A$204&lt;=$B703)*(A_Corridor!$B$5:$B$204&gt;$B703)*(A_Corridor!$E$5:$E$204&lt;&gt;"")),IF(A_Corridor!$E$5:$E$204="-","",1)),"")</f>
        <v/>
      </c>
      <c r="G703" s="182" t="str">
        <f>IFERROR(LOOKUP(2,1/((A_Corridor!$A$5:$A$204&lt;&gt;"")*(A_Corridor!$A$5:$A$204&lt;=$B703)*(A_Corridor!$B$5:$B$204&gt;$B703)*(A_Corridor!$E$5:$E$204&lt;&gt;"")),IF(A_Corridor!$E$5:$E$204="-","",A_Corridor!$E$5:$E$204)),"")</f>
        <v/>
      </c>
      <c r="H703" s="182" t="str">
        <f>IFERROR(LOOKUP(2,1/((D_Points!$A$5:$A$204&lt;&gt;"")*(D_Points!$A$5:$A$204&gt;=$B703)*(D_Points!$A$5:$A$204&lt;$B703+P_Interval)*(UPPER(TRIM(D_Points!$B$5:$B$204))="GULLY")*(D_Points!$H$5:$H$204&lt;&gt;"")),D_Points!$H$5:$H$204),"")</f>
        <v/>
      </c>
      <c r="I703" s="181" t="str">
        <f>IFERROR(LOOKUP(2,1/((A_Corridor!$A$5:$A$204&lt;&gt;"")*(A_Corridor!$A$5:$A$204&lt;=$B703)*(A_Corridor!$B$5:$B$204&gt;$B703)*(A_Corridor!$F$5:$F$204&lt;&gt;"")),IF(A_Corridor!$F$5:$F$204="-","",1)),"")</f>
        <v/>
      </c>
      <c r="J703" s="182" t="str">
        <f>IFERROR(LOOKUP(2,1/((A_Corridor!$A$5:$A$204&lt;&gt;"")*(A_Corridor!$A$5:$A$204&lt;=$B703)*(A_Corridor!$B$5:$B$204&gt;$B703)*(A_Corridor!$F$5:$F$204&lt;&gt;"")),IF(A_Corridor!$F$5:$F$204="-","",A_Corridor!$F$5:$F$204)),"")</f>
        <v/>
      </c>
      <c r="K703" s="182" t="str">
        <f>IFERROR(LOOKUP(2,1/((A_Corridor!$A$5:$A$204&lt;&gt;"")*(A_Corridor!$A$5:$A$204&lt;=$B703)*(A_Corridor!$B$5:$B$204&gt;$B703)*(A_Corridor!$G$5:$G$204&lt;&gt;"")),IF(A_Corridor!$G$5:$G$204="-","",A_Corridor!$G$5:$G$204)),"")</f>
        <v/>
      </c>
      <c r="L703" s="181" t="str">
        <f>IFERROR(LOOKUP(2,1/((A_Corridor!$A$5:$A$204&lt;&gt;"")*(A_Corridor!$A$5:$A$204&lt;=$B703)*(A_Corridor!$B$5:$B$204&gt;$B703)*(A_Corridor!$H$5:$H$204&lt;&gt;"")),IF(A_Corridor!$H$5:$H$204="-","",1)),"")</f>
        <v/>
      </c>
      <c r="M703" s="182" t="str">
        <f>IFERROR(LOOKUP(2,1/((A_Corridor!$A$5:$A$204&lt;&gt;"")*(A_Corridor!$A$5:$A$204&lt;=$B703)*(A_Corridor!$B$5:$B$204&gt;$B703)*(A_Corridor!$H$5:$H$204&lt;&gt;"")),IF(A_Corridor!$H$5:$H$204="-","",A_Corridor!$H$5:$H$204)),"")</f>
        <v/>
      </c>
      <c r="N703" s="182" t="str">
        <f>IFERROR(LOOKUP(2,1/((A_Corridor!$A$5:$A$204&lt;&gt;"")*(A_Corridor!$A$5:$A$204&lt;=$B703)*(A_Corridor!$B$5:$B$204&gt;$B703)*(A_Corridor!$I$5:$I$204&lt;&gt;"")),IF(A_Corridor!$I$5:$I$204="-","",A_Corridor!$I$5:$I$204)),"")</f>
        <v/>
      </c>
      <c r="O703" s="182" t="str">
        <f>IFERROR(LOOKUP(2,1/((D_Points!$A$5:$A$204&lt;&gt;"")*(D_Points!$A$5:$A$204&gt;=$B703)*(D_Points!$A$5:$A$204&lt;$B703+P_Interval)*(UPPER(TRIM(D_Points!$B$5:$B$204))="PITCHING")*(D_Points!$H$5:$H$204&lt;&gt;"")),D_Points!$H$5:$H$204),"")</f>
        <v/>
      </c>
      <c r="P703" s="181" t="str">
        <f>IFERROR(LOOKUP(2,1/((B_Drainage!$A$5:$A$204&lt;&gt;"")*(B_Drainage!$A$5:$A$204&lt;=$B703)*(B_Drainage!$B$5:$B$204&gt;$B703)*(B_Drainage!$C$5:$C$204&lt;&gt;"")),IF(B_Drainage!$C$5:$C$204="-","",UPPER(B_Drainage!$C$5:$C$204))),"")</f>
        <v/>
      </c>
      <c r="Q703" s="181" t="str">
        <f>IFERROR(LOOKUP(2,1/((B_Drainage!$A$5:$A$204&lt;&gt;"")*(B_Drainage!$A$5:$A$204&lt;=$B703)*(B_Drainage!$B$5:$B$204&gt;$B703)*(B_Drainage!$D$5:$D$204&lt;&gt;"")),IF(B_Drainage!$D$5:$D$204="-","",UPPER(B_Drainage!$D$5:$D$204))),"")</f>
        <v/>
      </c>
      <c r="R703" s="182" t="str">
        <f>IFERROR(LOOKUP(2,1/((D_Points!$A$5:$A$204&lt;&gt;"")*(D_Points!$A$5:$A$204&gt;=$B703)*(D_Points!$A$5:$A$204&lt;$B703+P_Interval)*(RIGHT(UPPER(TRIM(D_Points!$B$5:$B$204)),8)="_CULVERT")),IF(LEFT(UPPER(TRIM(D_Points!$B$5:$B$204)),2)="EX",1,IF(LEFT(UPPER(TRIM(D_Points!$B$5:$B$204)),2)="PR",2,3))),"")</f>
        <v/>
      </c>
      <c r="S703" s="182" t="str">
        <f>IFERROR(LOOKUP(2,1/((D_Points!$A$5:$A$204&lt;&gt;"")*(D_Points!$A$5:$A$204&gt;=$B703)*(D_Points!$A$5:$A$204&lt;$B703+P_Interval)*(RIGHT(UPPER(TRIM(D_Points!$B$5:$B$204)),7)="_BRIDGE")),IF(LEFT(UPPER(TRIM(D_Points!$B$5:$B$204)),2)="EX",1,IF(LEFT(UPPER(TRIM(D_Points!$B$5:$B$204)),2)="PR",2,2))),"")</f>
        <v/>
      </c>
      <c r="T703" s="181" t="str">
        <f>IFERROR(LOOKUP(2,1/((B_Drainage!$A$5:$A$204&lt;&gt;"")*(B_Drainage!$A$5:$A$204&lt;=$B703)*(B_Drainage!$B$5:$B$204&gt;$B703)*(B_Drainage!$E$5:$E$204&lt;&gt;"")),IF(B_Drainage!$E$5:$E$204="-","",1)),"")</f>
        <v/>
      </c>
      <c r="U703" s="181" t="str">
        <f>IFERROR(LOOKUP(2,1/((B_Drainage!$A$5:$A$204&lt;&gt;"")*(B_Drainage!$A$5:$A$204&lt;=$B703)*(B_Drainage!$B$5:$B$204&gt;$B703)*(B_Drainage!$E$5:$E$204&lt;&gt;"")),IF(B_Drainage!$E$5:$E$204="-","",B_Drainage!$E$5:$E$204)),"")</f>
        <v/>
      </c>
      <c r="V703" s="181" t="str">
        <f>IFERROR(LOOKUP(2,1/((B_Drainage!$A$5:$A$204&lt;&gt;"")*(B_Drainage!$A$5:$A$204&lt;=$B703)*(B_Drainage!$B$5:$B$204&gt;$B703)*(B_Drainage!$F$5:$F$204&lt;&gt;"")),IF(B_Drainage!$F$5:$F$204="-","",1)),"")</f>
        <v/>
      </c>
      <c r="W703" s="181" t="str">
        <f>IFERROR(LOOKUP(2,1/((B_Drainage!$A$5:$A$204&lt;&gt;"")*(B_Drainage!$A$5:$A$204&lt;=$B703)*(B_Drainage!$B$5:$B$204&gt;$B703)*(B_Drainage!$F$5:$F$204&lt;&gt;"")),IF(B_Drainage!$F$5:$F$204="-","",B_Drainage!$F$5:$F$204)),"")</f>
        <v/>
      </c>
      <c r="X703" s="181" t="str">
        <f>IFERROR(LOOKUP(2,1/((B_Drainage!$A$5:$A$204&lt;&gt;"")*(B_Drainage!$A$5:$A$204&lt;=$B703)*(B_Drainage!$B$5:$B$204&gt;$B703)*(B_Drainage!$G$5:$G$204&lt;&gt;"")),IF(UPPER(B_Drainage!$G$5:$G$204)="Y",1,"")),"")</f>
        <v/>
      </c>
      <c r="Y703" s="181" t="str">
        <f>IFERROR(LOOKUP(2,1/((B_Drainage!$A$5:$A$204&lt;&gt;"")*(B_Drainage!$A$5:$A$204&lt;=$B703)*(B_Drainage!$B$5:$B$204&gt;$B703)*(B_Drainage!$H$5:$H$204&lt;&gt;"")),IF(UPPER(B_Drainage!$H$5:$H$204)="Y",1,"")),"")</f>
        <v/>
      </c>
      <c r="Z703" s="181" t="str">
        <f>IFERROR(LOOKUP(2,1/((B_Drainage!$A$5:$A$204&lt;&gt;"")*(B_Drainage!$A$5:$A$204&lt;=$B703)*(B_Drainage!$B$5:$B$204&gt;$B703)*(B_Drainage!$I$5:$I$204&lt;&gt;"")),IF(UPPER(B_Drainage!$I$5:$I$204)="Y",1,"")),"")</f>
        <v/>
      </c>
      <c r="AA703" s="181" t="str">
        <f>IFERROR(LOOKUP(2,1/((B_Drainage!$A$5:$A$204&lt;&gt;"")*(B_Drainage!$A$5:$A$204&lt;=$B703)*(B_Drainage!$B$5:$B$204&gt;$B703)*(B_Drainage!$J$5:$J$204&lt;&gt;"")),IF(UPPER(B_Drainage!$J$5:$J$204)="Y",1,"")),"")</f>
        <v/>
      </c>
      <c r="AB703" s="182" t="str">
        <f>IFERROR(LOOKUP(2,1/((B_Drainage!$A$5:$A$204&lt;&gt;"")*(B_Drainage!$A$5:$A$204&lt;=$B703)*(B_Drainage!$B$5:$B$204&gt;$B703)*(B_Drainage!$K$5:$K$204&lt;&gt;"")),IF(B_Drainage!$K$5:$K$204="-","",B_Drainage!$K$5:$K$204)),"")</f>
        <v/>
      </c>
      <c r="AC703" s="182" t="str">
        <f>IFERROR(LOOKUP(2,1/((B_Drainage!$A$5:$A$204&lt;&gt;"")*(B_Drainage!$A$5:$A$204&lt;=$B703)*(B_Drainage!$B$5:$B$204&gt;$B703)*(B_Drainage!$L$5:$L$204&lt;&gt;"")),IF(B_Drainage!$L$5:$L$204="-","",B_Drainage!$L$5:$L$204)),"")</f>
        <v/>
      </c>
      <c r="AD703" s="182" t="str">
        <f>IFERROR(LOOKUP(2,1/((D_Points!$A$5:$A$204&lt;&gt;"")*(D_Points!$A$5:$A$204&gt;=$B703)*(D_Points!$A$5:$A$204&lt;$B703+P_Interval)*(UPPER(TRIM(D_Points!$B$5:$B$204))="TURNOUT_L")*(D_Points!$H$5:$H$204&lt;&gt;"")),D_Points!$H$5:$H$204),"")</f>
        <v/>
      </c>
      <c r="AE703" s="182" t="str">
        <f>IFERROR(LOOKUP(2,1/((D_Points!$A$5:$A$204&lt;&gt;"")*(D_Points!$A$5:$A$204&gt;=$B703)*(D_Points!$A$5:$A$204&lt;$B703+P_Interval)*(UPPER(TRIM(D_Points!$B$5:$B$204))="TURNOUT_R")*(D_Points!$H$5:$H$204&lt;&gt;"")),D_Points!$H$5:$H$204),"")</f>
        <v/>
      </c>
      <c r="AF703" s="181" t="str">
        <f>IFERROR(LOOKUP(2,1/((B_Drainage!$A$5:$A$204&lt;&gt;"")*(B_Drainage!$A$5:$A$204&lt;=$B703)*(B_Drainage!$B$5:$B$204&gt;$B703)*(B_Drainage!$M$5:$M$204&lt;&gt;"")),IF(UPPER(B_Drainage!$M$5:$M$204)="Y",1,"")),"")</f>
        <v/>
      </c>
      <c r="AG703" s="181" t="str">
        <f>IFERROR(LOOKUP(2,1/((B_Drainage!$A$5:$A$204&lt;&gt;"")*(B_Drainage!$A$5:$A$204&lt;=$B703)*(B_Drainage!$B$5:$B$204&gt;$B703)*(B_Drainage!$N$5:$N$204&lt;&gt;"")),IF(UPPER(B_Drainage!$N$5:$N$204)="Y",1,"")),"")</f>
        <v/>
      </c>
      <c r="AH703" s="181" t="str">
        <f t="shared" si="80"/>
        <v/>
      </c>
      <c r="AI703" s="181" t="str">
        <f t="shared" si="81"/>
        <v/>
      </c>
      <c r="AJ703" s="181" t="str">
        <f t="shared" si="82"/>
        <v/>
      </c>
      <c r="AK703" s="181" t="str">
        <f t="shared" si="83"/>
        <v/>
      </c>
      <c r="AL703" s="181" t="str">
        <f t="shared" si="84"/>
        <v/>
      </c>
      <c r="AM703" s="181" t="str">
        <f t="shared" si="85"/>
        <v/>
      </c>
      <c r="AN703" s="181" t="str">
        <f t="shared" si="86"/>
        <v/>
      </c>
      <c r="AO703" s="192" t="str">
        <f t="shared" si="87"/>
        <v/>
      </c>
      <c r="AQ703" t="str">
        <f>IFERROR(LOOKUP(2,1/((C_Pavement!$A$5:$A$204&lt;&gt;"")*(C_Pavement!$A$5:$A$204&lt;=$B703)*(C_Pavement!$B$5:$B$204&gt;$B703)*(C_Pavement!$C$5:$C$204&lt;&gt;"")),ROW(C_Pavement!$C$5:$C$204)-4),"")</f>
        <v/>
      </c>
      <c r="AR703" t="str">
        <f>IF($AQ703="","",UPPER(TRIM(INDEX(C_Pavement!$C$5:$C$204,$AQ703))))</f>
        <v/>
      </c>
      <c r="AS703" t="str">
        <f>IF($AR703="","",IFERROR(MATCH($AR703,E_Rules!$A$5:$A$9,0),""))</f>
        <v/>
      </c>
      <c r="AT703" t="str">
        <f>IF($AQ703="","",IF(INDEX(C_Pavement!$D$5:$D$204,$AQ703)&lt;&gt;"",UPPER(TRIM(INDEX(C_Pavement!$D$5:$D$204,$AQ703))),IF($AS703="","",INDEX(E_Rules!$C$5:$C$9,$AS703))))</f>
        <v/>
      </c>
      <c r="AU703" t="str">
        <f>IF($AQ703="","",IF(INDEX(C_Pavement!$E$5:$E$204,$AQ703)&lt;&gt;"",IF(INDEX(C_Pavement!$E$5:$E$204,$AQ703)="-","",INDEX(C_Pavement!$E$5:$E$204,$AQ703)),IF($AS703="","",INDEX(E_Rules!$D$5:$D$9,$AS703))))</f>
        <v/>
      </c>
      <c r="AV703" t="str">
        <f>IF($AQ703="","",IF(INDEX(C_Pavement!$F$5:$F$204,$AQ703)&lt;&gt;"",IF(INDEX(C_Pavement!$F$5:$F$204,$AQ703)="-","",INDEX(C_Pavement!$F$5:$F$204,$AQ703)),IF($AS703="","",INDEX(E_Rules!$E$5:$E$9,$AS703))))</f>
        <v/>
      </c>
      <c r="AW703" t="str">
        <f>IF($AQ703="","",IF(INDEX(C_Pavement!$G$5:$G$204,$AQ703)&lt;&gt;"",IF(INDEX(C_Pavement!$G$5:$G$204,$AQ703)="-","",INDEX(C_Pavement!$G$5:$G$204,$AQ703)),IF($AS703="","",INDEX(E_Rules!$F$5:$F$9,$AS703))))</f>
        <v/>
      </c>
      <c r="AX703" t="str">
        <f>IF($AQ703="","",IF(INDEX(C_Pavement!$H$5:$H$204,$AQ703)&lt;&gt;"",IF(INDEX(C_Pavement!$H$5:$H$204,$AQ703)="-","",INDEX(C_Pavement!$H$5:$H$204,$AQ703)),IF($AS703="","",INDEX(E_Rules!$G$5:$G$9,$AS703))))</f>
        <v/>
      </c>
      <c r="AY703" t="str">
        <f>IF($AQ703="","",IF(INDEX(C_Pavement!$I$5:$I$204,$AQ703)&lt;&gt;"",IF(INDEX(C_Pavement!$I$5:$I$204,$AQ703)="-","",INDEX(C_Pavement!$I$5:$I$204,$AQ703)),IF($AS703="","",INDEX(E_Rules!$H$5:$H$9,$AS703))))</f>
        <v/>
      </c>
    </row>
    <row r="704" spans="1:51" ht="15.75" customHeight="1" x14ac:dyDescent="0.3">
      <c r="A704" s="189">
        <v>699</v>
      </c>
      <c r="B704" s="180">
        <v>34900</v>
      </c>
      <c r="C704" s="180" t="s">
        <v>1010</v>
      </c>
      <c r="D704" s="181" t="str">
        <f>IFERROR(LOOKUP(2,1/((A_Corridor!$A$5:$A$204&lt;&gt;"")*(A_Corridor!$A$5:$A$204&lt;=$B704)*(A_Corridor!$B$5:$B$204&gt;$B704)*(A_Corridor!$C$5:$C$204&lt;&gt;"")),IF(UPPER(A_Corridor!$C$5:$C$204)="Y",1,"")),"")</f>
        <v/>
      </c>
      <c r="E704" s="181" t="str">
        <f>IFERROR(LOOKUP(2,1/((A_Corridor!$A$5:$A$204&lt;&gt;"")*(A_Corridor!$A$5:$A$204&lt;=$B704)*(A_Corridor!$B$5:$B$204&gt;$B704)*(A_Corridor!$D$5:$D$204&lt;&gt;"")),IF(A_Corridor!$D$5:$D$204="-","",UPPER(A_Corridor!$D$5:$D$204))),"")</f>
        <v/>
      </c>
      <c r="F704" s="181" t="str">
        <f>IFERROR(LOOKUP(2,1/((A_Corridor!$A$5:$A$204&lt;&gt;"")*(A_Corridor!$A$5:$A$204&lt;=$B704)*(A_Corridor!$B$5:$B$204&gt;$B704)*(A_Corridor!$E$5:$E$204&lt;&gt;"")),IF(A_Corridor!$E$5:$E$204="-","",1)),"")</f>
        <v/>
      </c>
      <c r="G704" s="182" t="str">
        <f>IFERROR(LOOKUP(2,1/((A_Corridor!$A$5:$A$204&lt;&gt;"")*(A_Corridor!$A$5:$A$204&lt;=$B704)*(A_Corridor!$B$5:$B$204&gt;$B704)*(A_Corridor!$E$5:$E$204&lt;&gt;"")),IF(A_Corridor!$E$5:$E$204="-","",A_Corridor!$E$5:$E$204)),"")</f>
        <v/>
      </c>
      <c r="H704" s="182" t="str">
        <f>IFERROR(LOOKUP(2,1/((D_Points!$A$5:$A$204&lt;&gt;"")*(D_Points!$A$5:$A$204&gt;=$B704)*(D_Points!$A$5:$A$204&lt;$B704+P_Interval)*(UPPER(TRIM(D_Points!$B$5:$B$204))="GULLY")*(D_Points!$H$5:$H$204&lt;&gt;"")),D_Points!$H$5:$H$204),"")</f>
        <v/>
      </c>
      <c r="I704" s="181" t="str">
        <f>IFERROR(LOOKUP(2,1/((A_Corridor!$A$5:$A$204&lt;&gt;"")*(A_Corridor!$A$5:$A$204&lt;=$B704)*(A_Corridor!$B$5:$B$204&gt;$B704)*(A_Corridor!$F$5:$F$204&lt;&gt;"")),IF(A_Corridor!$F$5:$F$204="-","",1)),"")</f>
        <v/>
      </c>
      <c r="J704" s="182" t="str">
        <f>IFERROR(LOOKUP(2,1/((A_Corridor!$A$5:$A$204&lt;&gt;"")*(A_Corridor!$A$5:$A$204&lt;=$B704)*(A_Corridor!$B$5:$B$204&gt;$B704)*(A_Corridor!$F$5:$F$204&lt;&gt;"")),IF(A_Corridor!$F$5:$F$204="-","",A_Corridor!$F$5:$F$204)),"")</f>
        <v/>
      </c>
      <c r="K704" s="182" t="str">
        <f>IFERROR(LOOKUP(2,1/((A_Corridor!$A$5:$A$204&lt;&gt;"")*(A_Corridor!$A$5:$A$204&lt;=$B704)*(A_Corridor!$B$5:$B$204&gt;$B704)*(A_Corridor!$G$5:$G$204&lt;&gt;"")),IF(A_Corridor!$G$5:$G$204="-","",A_Corridor!$G$5:$G$204)),"")</f>
        <v/>
      </c>
      <c r="L704" s="181" t="str">
        <f>IFERROR(LOOKUP(2,1/((A_Corridor!$A$5:$A$204&lt;&gt;"")*(A_Corridor!$A$5:$A$204&lt;=$B704)*(A_Corridor!$B$5:$B$204&gt;$B704)*(A_Corridor!$H$5:$H$204&lt;&gt;"")),IF(A_Corridor!$H$5:$H$204="-","",1)),"")</f>
        <v/>
      </c>
      <c r="M704" s="182" t="str">
        <f>IFERROR(LOOKUP(2,1/((A_Corridor!$A$5:$A$204&lt;&gt;"")*(A_Corridor!$A$5:$A$204&lt;=$B704)*(A_Corridor!$B$5:$B$204&gt;$B704)*(A_Corridor!$H$5:$H$204&lt;&gt;"")),IF(A_Corridor!$H$5:$H$204="-","",A_Corridor!$H$5:$H$204)),"")</f>
        <v/>
      </c>
      <c r="N704" s="182" t="str">
        <f>IFERROR(LOOKUP(2,1/((A_Corridor!$A$5:$A$204&lt;&gt;"")*(A_Corridor!$A$5:$A$204&lt;=$B704)*(A_Corridor!$B$5:$B$204&gt;$B704)*(A_Corridor!$I$5:$I$204&lt;&gt;"")),IF(A_Corridor!$I$5:$I$204="-","",A_Corridor!$I$5:$I$204)),"")</f>
        <v/>
      </c>
      <c r="O704" s="182" t="str">
        <f>IFERROR(LOOKUP(2,1/((D_Points!$A$5:$A$204&lt;&gt;"")*(D_Points!$A$5:$A$204&gt;=$B704)*(D_Points!$A$5:$A$204&lt;$B704+P_Interval)*(UPPER(TRIM(D_Points!$B$5:$B$204))="PITCHING")*(D_Points!$H$5:$H$204&lt;&gt;"")),D_Points!$H$5:$H$204),"")</f>
        <v/>
      </c>
      <c r="P704" s="181" t="str">
        <f>IFERROR(LOOKUP(2,1/((B_Drainage!$A$5:$A$204&lt;&gt;"")*(B_Drainage!$A$5:$A$204&lt;=$B704)*(B_Drainage!$B$5:$B$204&gt;$B704)*(B_Drainage!$C$5:$C$204&lt;&gt;"")),IF(B_Drainage!$C$5:$C$204="-","",UPPER(B_Drainage!$C$5:$C$204))),"")</f>
        <v/>
      </c>
      <c r="Q704" s="181" t="str">
        <f>IFERROR(LOOKUP(2,1/((B_Drainage!$A$5:$A$204&lt;&gt;"")*(B_Drainage!$A$5:$A$204&lt;=$B704)*(B_Drainage!$B$5:$B$204&gt;$B704)*(B_Drainage!$D$5:$D$204&lt;&gt;"")),IF(B_Drainage!$D$5:$D$204="-","",UPPER(B_Drainage!$D$5:$D$204))),"")</f>
        <v/>
      </c>
      <c r="R704" s="182" t="str">
        <f>IFERROR(LOOKUP(2,1/((D_Points!$A$5:$A$204&lt;&gt;"")*(D_Points!$A$5:$A$204&gt;=$B704)*(D_Points!$A$5:$A$204&lt;$B704+P_Interval)*(RIGHT(UPPER(TRIM(D_Points!$B$5:$B$204)),8)="_CULVERT")),IF(LEFT(UPPER(TRIM(D_Points!$B$5:$B$204)),2)="EX",1,IF(LEFT(UPPER(TRIM(D_Points!$B$5:$B$204)),2)="PR",2,3))),"")</f>
        <v/>
      </c>
      <c r="S704" s="182" t="str">
        <f>IFERROR(LOOKUP(2,1/((D_Points!$A$5:$A$204&lt;&gt;"")*(D_Points!$A$5:$A$204&gt;=$B704)*(D_Points!$A$5:$A$204&lt;$B704+P_Interval)*(RIGHT(UPPER(TRIM(D_Points!$B$5:$B$204)),7)="_BRIDGE")),IF(LEFT(UPPER(TRIM(D_Points!$B$5:$B$204)),2)="EX",1,IF(LEFT(UPPER(TRIM(D_Points!$B$5:$B$204)),2)="PR",2,2))),"")</f>
        <v/>
      </c>
      <c r="T704" s="181" t="str">
        <f>IFERROR(LOOKUP(2,1/((B_Drainage!$A$5:$A$204&lt;&gt;"")*(B_Drainage!$A$5:$A$204&lt;=$B704)*(B_Drainage!$B$5:$B$204&gt;$B704)*(B_Drainage!$E$5:$E$204&lt;&gt;"")),IF(B_Drainage!$E$5:$E$204="-","",1)),"")</f>
        <v/>
      </c>
      <c r="U704" s="181" t="str">
        <f>IFERROR(LOOKUP(2,1/((B_Drainage!$A$5:$A$204&lt;&gt;"")*(B_Drainage!$A$5:$A$204&lt;=$B704)*(B_Drainage!$B$5:$B$204&gt;$B704)*(B_Drainage!$E$5:$E$204&lt;&gt;"")),IF(B_Drainage!$E$5:$E$204="-","",B_Drainage!$E$5:$E$204)),"")</f>
        <v/>
      </c>
      <c r="V704" s="181" t="str">
        <f>IFERROR(LOOKUP(2,1/((B_Drainage!$A$5:$A$204&lt;&gt;"")*(B_Drainage!$A$5:$A$204&lt;=$B704)*(B_Drainage!$B$5:$B$204&gt;$B704)*(B_Drainage!$F$5:$F$204&lt;&gt;"")),IF(B_Drainage!$F$5:$F$204="-","",1)),"")</f>
        <v/>
      </c>
      <c r="W704" s="181" t="str">
        <f>IFERROR(LOOKUP(2,1/((B_Drainage!$A$5:$A$204&lt;&gt;"")*(B_Drainage!$A$5:$A$204&lt;=$B704)*(B_Drainage!$B$5:$B$204&gt;$B704)*(B_Drainage!$F$5:$F$204&lt;&gt;"")),IF(B_Drainage!$F$5:$F$204="-","",B_Drainage!$F$5:$F$204)),"")</f>
        <v/>
      </c>
      <c r="X704" s="181" t="str">
        <f>IFERROR(LOOKUP(2,1/((B_Drainage!$A$5:$A$204&lt;&gt;"")*(B_Drainage!$A$5:$A$204&lt;=$B704)*(B_Drainage!$B$5:$B$204&gt;$B704)*(B_Drainage!$G$5:$G$204&lt;&gt;"")),IF(UPPER(B_Drainage!$G$5:$G$204)="Y",1,"")),"")</f>
        <v/>
      </c>
      <c r="Y704" s="181" t="str">
        <f>IFERROR(LOOKUP(2,1/((B_Drainage!$A$5:$A$204&lt;&gt;"")*(B_Drainage!$A$5:$A$204&lt;=$B704)*(B_Drainage!$B$5:$B$204&gt;$B704)*(B_Drainage!$H$5:$H$204&lt;&gt;"")),IF(UPPER(B_Drainage!$H$5:$H$204)="Y",1,"")),"")</f>
        <v/>
      </c>
      <c r="Z704" s="181" t="str">
        <f>IFERROR(LOOKUP(2,1/((B_Drainage!$A$5:$A$204&lt;&gt;"")*(B_Drainage!$A$5:$A$204&lt;=$B704)*(B_Drainage!$B$5:$B$204&gt;$B704)*(B_Drainage!$I$5:$I$204&lt;&gt;"")),IF(UPPER(B_Drainage!$I$5:$I$204)="Y",1,"")),"")</f>
        <v/>
      </c>
      <c r="AA704" s="181" t="str">
        <f>IFERROR(LOOKUP(2,1/((B_Drainage!$A$5:$A$204&lt;&gt;"")*(B_Drainage!$A$5:$A$204&lt;=$B704)*(B_Drainage!$B$5:$B$204&gt;$B704)*(B_Drainage!$J$5:$J$204&lt;&gt;"")),IF(UPPER(B_Drainage!$J$5:$J$204)="Y",1,"")),"")</f>
        <v/>
      </c>
      <c r="AB704" s="182" t="str">
        <f>IFERROR(LOOKUP(2,1/((B_Drainage!$A$5:$A$204&lt;&gt;"")*(B_Drainage!$A$5:$A$204&lt;=$B704)*(B_Drainage!$B$5:$B$204&gt;$B704)*(B_Drainage!$K$5:$K$204&lt;&gt;"")),IF(B_Drainage!$K$5:$K$204="-","",B_Drainage!$K$5:$K$204)),"")</f>
        <v/>
      </c>
      <c r="AC704" s="182" t="str">
        <f>IFERROR(LOOKUP(2,1/((B_Drainage!$A$5:$A$204&lt;&gt;"")*(B_Drainage!$A$5:$A$204&lt;=$B704)*(B_Drainage!$B$5:$B$204&gt;$B704)*(B_Drainage!$L$5:$L$204&lt;&gt;"")),IF(B_Drainage!$L$5:$L$204="-","",B_Drainage!$L$5:$L$204)),"")</f>
        <v/>
      </c>
      <c r="AD704" s="182" t="str">
        <f>IFERROR(LOOKUP(2,1/((D_Points!$A$5:$A$204&lt;&gt;"")*(D_Points!$A$5:$A$204&gt;=$B704)*(D_Points!$A$5:$A$204&lt;$B704+P_Interval)*(UPPER(TRIM(D_Points!$B$5:$B$204))="TURNOUT_L")*(D_Points!$H$5:$H$204&lt;&gt;"")),D_Points!$H$5:$H$204),"")</f>
        <v/>
      </c>
      <c r="AE704" s="182" t="str">
        <f>IFERROR(LOOKUP(2,1/((D_Points!$A$5:$A$204&lt;&gt;"")*(D_Points!$A$5:$A$204&gt;=$B704)*(D_Points!$A$5:$A$204&lt;$B704+P_Interval)*(UPPER(TRIM(D_Points!$B$5:$B$204))="TURNOUT_R")*(D_Points!$H$5:$H$204&lt;&gt;"")),D_Points!$H$5:$H$204),"")</f>
        <v/>
      </c>
      <c r="AF704" s="181" t="str">
        <f>IFERROR(LOOKUP(2,1/((B_Drainage!$A$5:$A$204&lt;&gt;"")*(B_Drainage!$A$5:$A$204&lt;=$B704)*(B_Drainage!$B$5:$B$204&gt;$B704)*(B_Drainage!$M$5:$M$204&lt;&gt;"")),IF(UPPER(B_Drainage!$M$5:$M$204)="Y",1,"")),"")</f>
        <v/>
      </c>
      <c r="AG704" s="181" t="str">
        <f>IFERROR(LOOKUP(2,1/((B_Drainage!$A$5:$A$204&lt;&gt;"")*(B_Drainage!$A$5:$A$204&lt;=$B704)*(B_Drainage!$B$5:$B$204&gt;$B704)*(B_Drainage!$N$5:$N$204&lt;&gt;"")),IF(UPPER(B_Drainage!$N$5:$N$204)="Y",1,"")),"")</f>
        <v/>
      </c>
      <c r="AH704" s="181" t="str">
        <f t="shared" si="80"/>
        <v/>
      </c>
      <c r="AI704" s="181" t="str">
        <f t="shared" si="81"/>
        <v/>
      </c>
      <c r="AJ704" s="181" t="str">
        <f t="shared" si="82"/>
        <v/>
      </c>
      <c r="AK704" s="181" t="str">
        <f t="shared" si="83"/>
        <v/>
      </c>
      <c r="AL704" s="181" t="str">
        <f t="shared" si="84"/>
        <v/>
      </c>
      <c r="AM704" s="181" t="str">
        <f t="shared" si="85"/>
        <v/>
      </c>
      <c r="AN704" s="181" t="str">
        <f t="shared" si="86"/>
        <v/>
      </c>
      <c r="AO704" s="192" t="str">
        <f t="shared" si="87"/>
        <v/>
      </c>
      <c r="AQ704" t="str">
        <f>IFERROR(LOOKUP(2,1/((C_Pavement!$A$5:$A$204&lt;&gt;"")*(C_Pavement!$A$5:$A$204&lt;=$B704)*(C_Pavement!$B$5:$B$204&gt;$B704)*(C_Pavement!$C$5:$C$204&lt;&gt;"")),ROW(C_Pavement!$C$5:$C$204)-4),"")</f>
        <v/>
      </c>
      <c r="AR704" t="str">
        <f>IF($AQ704="","",UPPER(TRIM(INDEX(C_Pavement!$C$5:$C$204,$AQ704))))</f>
        <v/>
      </c>
      <c r="AS704" t="str">
        <f>IF($AR704="","",IFERROR(MATCH($AR704,E_Rules!$A$5:$A$9,0),""))</f>
        <v/>
      </c>
      <c r="AT704" t="str">
        <f>IF($AQ704="","",IF(INDEX(C_Pavement!$D$5:$D$204,$AQ704)&lt;&gt;"",UPPER(TRIM(INDEX(C_Pavement!$D$5:$D$204,$AQ704))),IF($AS704="","",INDEX(E_Rules!$C$5:$C$9,$AS704))))</f>
        <v/>
      </c>
      <c r="AU704" t="str">
        <f>IF($AQ704="","",IF(INDEX(C_Pavement!$E$5:$E$204,$AQ704)&lt;&gt;"",IF(INDEX(C_Pavement!$E$5:$E$204,$AQ704)="-","",INDEX(C_Pavement!$E$5:$E$204,$AQ704)),IF($AS704="","",INDEX(E_Rules!$D$5:$D$9,$AS704))))</f>
        <v/>
      </c>
      <c r="AV704" t="str">
        <f>IF($AQ704="","",IF(INDEX(C_Pavement!$F$5:$F$204,$AQ704)&lt;&gt;"",IF(INDEX(C_Pavement!$F$5:$F$204,$AQ704)="-","",INDEX(C_Pavement!$F$5:$F$204,$AQ704)),IF($AS704="","",INDEX(E_Rules!$E$5:$E$9,$AS704))))</f>
        <v/>
      </c>
      <c r="AW704" t="str">
        <f>IF($AQ704="","",IF(INDEX(C_Pavement!$G$5:$G$204,$AQ704)&lt;&gt;"",IF(INDEX(C_Pavement!$G$5:$G$204,$AQ704)="-","",INDEX(C_Pavement!$G$5:$G$204,$AQ704)),IF($AS704="","",INDEX(E_Rules!$F$5:$F$9,$AS704))))</f>
        <v/>
      </c>
      <c r="AX704" t="str">
        <f>IF($AQ704="","",IF(INDEX(C_Pavement!$H$5:$H$204,$AQ704)&lt;&gt;"",IF(INDEX(C_Pavement!$H$5:$H$204,$AQ704)="-","",INDEX(C_Pavement!$H$5:$H$204,$AQ704)),IF($AS704="","",INDEX(E_Rules!$G$5:$G$9,$AS704))))</f>
        <v/>
      </c>
      <c r="AY704" t="str">
        <f>IF($AQ704="","",IF(INDEX(C_Pavement!$I$5:$I$204,$AQ704)&lt;&gt;"",IF(INDEX(C_Pavement!$I$5:$I$204,$AQ704)="-","",INDEX(C_Pavement!$I$5:$I$204,$AQ704)),IF($AS704="","",INDEX(E_Rules!$H$5:$H$9,$AS704))))</f>
        <v/>
      </c>
    </row>
    <row r="705" spans="1:51" ht="15.75" customHeight="1" x14ac:dyDescent="0.3">
      <c r="A705" s="189">
        <v>700</v>
      </c>
      <c r="B705" s="180">
        <v>34950</v>
      </c>
      <c r="C705" s="180" t="s">
        <v>1011</v>
      </c>
      <c r="D705" s="181" t="str">
        <f>IFERROR(LOOKUP(2,1/((A_Corridor!$A$5:$A$204&lt;&gt;"")*(A_Corridor!$A$5:$A$204&lt;=$B705)*(A_Corridor!$B$5:$B$204&gt;$B705)*(A_Corridor!$C$5:$C$204&lt;&gt;"")),IF(UPPER(A_Corridor!$C$5:$C$204)="Y",1,"")),"")</f>
        <v/>
      </c>
      <c r="E705" s="181" t="str">
        <f>IFERROR(LOOKUP(2,1/((A_Corridor!$A$5:$A$204&lt;&gt;"")*(A_Corridor!$A$5:$A$204&lt;=$B705)*(A_Corridor!$B$5:$B$204&gt;$B705)*(A_Corridor!$D$5:$D$204&lt;&gt;"")),IF(A_Corridor!$D$5:$D$204="-","",UPPER(A_Corridor!$D$5:$D$204))),"")</f>
        <v/>
      </c>
      <c r="F705" s="181" t="str">
        <f>IFERROR(LOOKUP(2,1/((A_Corridor!$A$5:$A$204&lt;&gt;"")*(A_Corridor!$A$5:$A$204&lt;=$B705)*(A_Corridor!$B$5:$B$204&gt;$B705)*(A_Corridor!$E$5:$E$204&lt;&gt;"")),IF(A_Corridor!$E$5:$E$204="-","",1)),"")</f>
        <v/>
      </c>
      <c r="G705" s="182" t="str">
        <f>IFERROR(LOOKUP(2,1/((A_Corridor!$A$5:$A$204&lt;&gt;"")*(A_Corridor!$A$5:$A$204&lt;=$B705)*(A_Corridor!$B$5:$B$204&gt;$B705)*(A_Corridor!$E$5:$E$204&lt;&gt;"")),IF(A_Corridor!$E$5:$E$204="-","",A_Corridor!$E$5:$E$204)),"")</f>
        <v/>
      </c>
      <c r="H705" s="182" t="str">
        <f>IFERROR(LOOKUP(2,1/((D_Points!$A$5:$A$204&lt;&gt;"")*(D_Points!$A$5:$A$204&gt;=$B705)*(D_Points!$A$5:$A$204&lt;$B705+P_Interval)*(UPPER(TRIM(D_Points!$B$5:$B$204))="GULLY")*(D_Points!$H$5:$H$204&lt;&gt;"")),D_Points!$H$5:$H$204),"")</f>
        <v/>
      </c>
      <c r="I705" s="181" t="str">
        <f>IFERROR(LOOKUP(2,1/((A_Corridor!$A$5:$A$204&lt;&gt;"")*(A_Corridor!$A$5:$A$204&lt;=$B705)*(A_Corridor!$B$5:$B$204&gt;$B705)*(A_Corridor!$F$5:$F$204&lt;&gt;"")),IF(A_Corridor!$F$5:$F$204="-","",1)),"")</f>
        <v/>
      </c>
      <c r="J705" s="182" t="str">
        <f>IFERROR(LOOKUP(2,1/((A_Corridor!$A$5:$A$204&lt;&gt;"")*(A_Corridor!$A$5:$A$204&lt;=$B705)*(A_Corridor!$B$5:$B$204&gt;$B705)*(A_Corridor!$F$5:$F$204&lt;&gt;"")),IF(A_Corridor!$F$5:$F$204="-","",A_Corridor!$F$5:$F$204)),"")</f>
        <v/>
      </c>
      <c r="K705" s="182" t="str">
        <f>IFERROR(LOOKUP(2,1/((A_Corridor!$A$5:$A$204&lt;&gt;"")*(A_Corridor!$A$5:$A$204&lt;=$B705)*(A_Corridor!$B$5:$B$204&gt;$B705)*(A_Corridor!$G$5:$G$204&lt;&gt;"")),IF(A_Corridor!$G$5:$G$204="-","",A_Corridor!$G$5:$G$204)),"")</f>
        <v/>
      </c>
      <c r="L705" s="181" t="str">
        <f>IFERROR(LOOKUP(2,1/((A_Corridor!$A$5:$A$204&lt;&gt;"")*(A_Corridor!$A$5:$A$204&lt;=$B705)*(A_Corridor!$B$5:$B$204&gt;$B705)*(A_Corridor!$H$5:$H$204&lt;&gt;"")),IF(A_Corridor!$H$5:$H$204="-","",1)),"")</f>
        <v/>
      </c>
      <c r="M705" s="182" t="str">
        <f>IFERROR(LOOKUP(2,1/((A_Corridor!$A$5:$A$204&lt;&gt;"")*(A_Corridor!$A$5:$A$204&lt;=$B705)*(A_Corridor!$B$5:$B$204&gt;$B705)*(A_Corridor!$H$5:$H$204&lt;&gt;"")),IF(A_Corridor!$H$5:$H$204="-","",A_Corridor!$H$5:$H$204)),"")</f>
        <v/>
      </c>
      <c r="N705" s="182" t="str">
        <f>IFERROR(LOOKUP(2,1/((A_Corridor!$A$5:$A$204&lt;&gt;"")*(A_Corridor!$A$5:$A$204&lt;=$B705)*(A_Corridor!$B$5:$B$204&gt;$B705)*(A_Corridor!$I$5:$I$204&lt;&gt;"")),IF(A_Corridor!$I$5:$I$204="-","",A_Corridor!$I$5:$I$204)),"")</f>
        <v/>
      </c>
      <c r="O705" s="182" t="str">
        <f>IFERROR(LOOKUP(2,1/((D_Points!$A$5:$A$204&lt;&gt;"")*(D_Points!$A$5:$A$204&gt;=$B705)*(D_Points!$A$5:$A$204&lt;$B705+P_Interval)*(UPPER(TRIM(D_Points!$B$5:$B$204))="PITCHING")*(D_Points!$H$5:$H$204&lt;&gt;"")),D_Points!$H$5:$H$204),"")</f>
        <v/>
      </c>
      <c r="P705" s="181" t="str">
        <f>IFERROR(LOOKUP(2,1/((B_Drainage!$A$5:$A$204&lt;&gt;"")*(B_Drainage!$A$5:$A$204&lt;=$B705)*(B_Drainage!$B$5:$B$204&gt;$B705)*(B_Drainage!$C$5:$C$204&lt;&gt;"")),IF(B_Drainage!$C$5:$C$204="-","",UPPER(B_Drainage!$C$5:$C$204))),"")</f>
        <v/>
      </c>
      <c r="Q705" s="181" t="str">
        <f>IFERROR(LOOKUP(2,1/((B_Drainage!$A$5:$A$204&lt;&gt;"")*(B_Drainage!$A$5:$A$204&lt;=$B705)*(B_Drainage!$B$5:$B$204&gt;$B705)*(B_Drainage!$D$5:$D$204&lt;&gt;"")),IF(B_Drainage!$D$5:$D$204="-","",UPPER(B_Drainage!$D$5:$D$204))),"")</f>
        <v/>
      </c>
      <c r="R705" s="182" t="str">
        <f>IFERROR(LOOKUP(2,1/((D_Points!$A$5:$A$204&lt;&gt;"")*(D_Points!$A$5:$A$204&gt;=$B705)*(D_Points!$A$5:$A$204&lt;$B705+P_Interval)*(RIGHT(UPPER(TRIM(D_Points!$B$5:$B$204)),8)="_CULVERT")),IF(LEFT(UPPER(TRIM(D_Points!$B$5:$B$204)),2)="EX",1,IF(LEFT(UPPER(TRIM(D_Points!$B$5:$B$204)),2)="PR",2,3))),"")</f>
        <v/>
      </c>
      <c r="S705" s="182" t="str">
        <f>IFERROR(LOOKUP(2,1/((D_Points!$A$5:$A$204&lt;&gt;"")*(D_Points!$A$5:$A$204&gt;=$B705)*(D_Points!$A$5:$A$204&lt;$B705+P_Interval)*(RIGHT(UPPER(TRIM(D_Points!$B$5:$B$204)),7)="_BRIDGE")),IF(LEFT(UPPER(TRIM(D_Points!$B$5:$B$204)),2)="EX",1,IF(LEFT(UPPER(TRIM(D_Points!$B$5:$B$204)),2)="PR",2,2))),"")</f>
        <v/>
      </c>
      <c r="T705" s="181" t="str">
        <f>IFERROR(LOOKUP(2,1/((B_Drainage!$A$5:$A$204&lt;&gt;"")*(B_Drainage!$A$5:$A$204&lt;=$B705)*(B_Drainage!$B$5:$B$204&gt;$B705)*(B_Drainage!$E$5:$E$204&lt;&gt;"")),IF(B_Drainage!$E$5:$E$204="-","",1)),"")</f>
        <v/>
      </c>
      <c r="U705" s="181" t="str">
        <f>IFERROR(LOOKUP(2,1/((B_Drainage!$A$5:$A$204&lt;&gt;"")*(B_Drainage!$A$5:$A$204&lt;=$B705)*(B_Drainage!$B$5:$B$204&gt;$B705)*(B_Drainage!$E$5:$E$204&lt;&gt;"")),IF(B_Drainage!$E$5:$E$204="-","",B_Drainage!$E$5:$E$204)),"")</f>
        <v/>
      </c>
      <c r="V705" s="181" t="str">
        <f>IFERROR(LOOKUP(2,1/((B_Drainage!$A$5:$A$204&lt;&gt;"")*(B_Drainage!$A$5:$A$204&lt;=$B705)*(B_Drainage!$B$5:$B$204&gt;$B705)*(B_Drainage!$F$5:$F$204&lt;&gt;"")),IF(B_Drainage!$F$5:$F$204="-","",1)),"")</f>
        <v/>
      </c>
      <c r="W705" s="181" t="str">
        <f>IFERROR(LOOKUP(2,1/((B_Drainage!$A$5:$A$204&lt;&gt;"")*(B_Drainage!$A$5:$A$204&lt;=$B705)*(B_Drainage!$B$5:$B$204&gt;$B705)*(B_Drainage!$F$5:$F$204&lt;&gt;"")),IF(B_Drainage!$F$5:$F$204="-","",B_Drainage!$F$5:$F$204)),"")</f>
        <v/>
      </c>
      <c r="X705" s="181" t="str">
        <f>IFERROR(LOOKUP(2,1/((B_Drainage!$A$5:$A$204&lt;&gt;"")*(B_Drainage!$A$5:$A$204&lt;=$B705)*(B_Drainage!$B$5:$B$204&gt;$B705)*(B_Drainage!$G$5:$G$204&lt;&gt;"")),IF(UPPER(B_Drainage!$G$5:$G$204)="Y",1,"")),"")</f>
        <v/>
      </c>
      <c r="Y705" s="181" t="str">
        <f>IFERROR(LOOKUP(2,1/((B_Drainage!$A$5:$A$204&lt;&gt;"")*(B_Drainage!$A$5:$A$204&lt;=$B705)*(B_Drainage!$B$5:$B$204&gt;$B705)*(B_Drainage!$H$5:$H$204&lt;&gt;"")),IF(UPPER(B_Drainage!$H$5:$H$204)="Y",1,"")),"")</f>
        <v/>
      </c>
      <c r="Z705" s="181" t="str">
        <f>IFERROR(LOOKUP(2,1/((B_Drainage!$A$5:$A$204&lt;&gt;"")*(B_Drainage!$A$5:$A$204&lt;=$B705)*(B_Drainage!$B$5:$B$204&gt;$B705)*(B_Drainage!$I$5:$I$204&lt;&gt;"")),IF(UPPER(B_Drainage!$I$5:$I$204)="Y",1,"")),"")</f>
        <v/>
      </c>
      <c r="AA705" s="181" t="str">
        <f>IFERROR(LOOKUP(2,1/((B_Drainage!$A$5:$A$204&lt;&gt;"")*(B_Drainage!$A$5:$A$204&lt;=$B705)*(B_Drainage!$B$5:$B$204&gt;$B705)*(B_Drainage!$J$5:$J$204&lt;&gt;"")),IF(UPPER(B_Drainage!$J$5:$J$204)="Y",1,"")),"")</f>
        <v/>
      </c>
      <c r="AB705" s="182" t="str">
        <f>IFERROR(LOOKUP(2,1/((B_Drainage!$A$5:$A$204&lt;&gt;"")*(B_Drainage!$A$5:$A$204&lt;=$B705)*(B_Drainage!$B$5:$B$204&gt;$B705)*(B_Drainage!$K$5:$K$204&lt;&gt;"")),IF(B_Drainage!$K$5:$K$204="-","",B_Drainage!$K$5:$K$204)),"")</f>
        <v/>
      </c>
      <c r="AC705" s="182" t="str">
        <f>IFERROR(LOOKUP(2,1/((B_Drainage!$A$5:$A$204&lt;&gt;"")*(B_Drainage!$A$5:$A$204&lt;=$B705)*(B_Drainage!$B$5:$B$204&gt;$B705)*(B_Drainage!$L$5:$L$204&lt;&gt;"")),IF(B_Drainage!$L$5:$L$204="-","",B_Drainage!$L$5:$L$204)),"")</f>
        <v/>
      </c>
      <c r="AD705" s="182" t="str">
        <f>IFERROR(LOOKUP(2,1/((D_Points!$A$5:$A$204&lt;&gt;"")*(D_Points!$A$5:$A$204&gt;=$B705)*(D_Points!$A$5:$A$204&lt;$B705+P_Interval)*(UPPER(TRIM(D_Points!$B$5:$B$204))="TURNOUT_L")*(D_Points!$H$5:$H$204&lt;&gt;"")),D_Points!$H$5:$H$204),"")</f>
        <v/>
      </c>
      <c r="AE705" s="182" t="str">
        <f>IFERROR(LOOKUP(2,1/((D_Points!$A$5:$A$204&lt;&gt;"")*(D_Points!$A$5:$A$204&gt;=$B705)*(D_Points!$A$5:$A$204&lt;$B705+P_Interval)*(UPPER(TRIM(D_Points!$B$5:$B$204))="TURNOUT_R")*(D_Points!$H$5:$H$204&lt;&gt;"")),D_Points!$H$5:$H$204),"")</f>
        <v/>
      </c>
      <c r="AF705" s="181" t="str">
        <f>IFERROR(LOOKUP(2,1/((B_Drainage!$A$5:$A$204&lt;&gt;"")*(B_Drainage!$A$5:$A$204&lt;=$B705)*(B_Drainage!$B$5:$B$204&gt;$B705)*(B_Drainage!$M$5:$M$204&lt;&gt;"")),IF(UPPER(B_Drainage!$M$5:$M$204)="Y",1,"")),"")</f>
        <v/>
      </c>
      <c r="AG705" s="181" t="str">
        <f>IFERROR(LOOKUP(2,1/((B_Drainage!$A$5:$A$204&lt;&gt;"")*(B_Drainage!$A$5:$A$204&lt;=$B705)*(B_Drainage!$B$5:$B$204&gt;$B705)*(B_Drainage!$N$5:$N$204&lt;&gt;"")),IF(UPPER(B_Drainage!$N$5:$N$204)="Y",1,"")),"")</f>
        <v/>
      </c>
      <c r="AH705" s="181" t="str">
        <f t="shared" si="80"/>
        <v/>
      </c>
      <c r="AI705" s="181" t="str">
        <f t="shared" si="81"/>
        <v/>
      </c>
      <c r="AJ705" s="181" t="str">
        <f t="shared" si="82"/>
        <v/>
      </c>
      <c r="AK705" s="181" t="str">
        <f t="shared" si="83"/>
        <v/>
      </c>
      <c r="AL705" s="181" t="str">
        <f t="shared" si="84"/>
        <v/>
      </c>
      <c r="AM705" s="181" t="str">
        <f t="shared" si="85"/>
        <v/>
      </c>
      <c r="AN705" s="181" t="str">
        <f t="shared" si="86"/>
        <v/>
      </c>
      <c r="AO705" s="192" t="str">
        <f t="shared" si="87"/>
        <v/>
      </c>
      <c r="AQ705" t="str">
        <f>IFERROR(LOOKUP(2,1/((C_Pavement!$A$5:$A$204&lt;&gt;"")*(C_Pavement!$A$5:$A$204&lt;=$B705)*(C_Pavement!$B$5:$B$204&gt;$B705)*(C_Pavement!$C$5:$C$204&lt;&gt;"")),ROW(C_Pavement!$C$5:$C$204)-4),"")</f>
        <v/>
      </c>
      <c r="AR705" t="str">
        <f>IF($AQ705="","",UPPER(TRIM(INDEX(C_Pavement!$C$5:$C$204,$AQ705))))</f>
        <v/>
      </c>
      <c r="AS705" t="str">
        <f>IF($AR705="","",IFERROR(MATCH($AR705,E_Rules!$A$5:$A$9,0),""))</f>
        <v/>
      </c>
      <c r="AT705" t="str">
        <f>IF($AQ705="","",IF(INDEX(C_Pavement!$D$5:$D$204,$AQ705)&lt;&gt;"",UPPER(TRIM(INDEX(C_Pavement!$D$5:$D$204,$AQ705))),IF($AS705="","",INDEX(E_Rules!$C$5:$C$9,$AS705))))</f>
        <v/>
      </c>
      <c r="AU705" t="str">
        <f>IF($AQ705="","",IF(INDEX(C_Pavement!$E$5:$E$204,$AQ705)&lt;&gt;"",IF(INDEX(C_Pavement!$E$5:$E$204,$AQ705)="-","",INDEX(C_Pavement!$E$5:$E$204,$AQ705)),IF($AS705="","",INDEX(E_Rules!$D$5:$D$9,$AS705))))</f>
        <v/>
      </c>
      <c r="AV705" t="str">
        <f>IF($AQ705="","",IF(INDEX(C_Pavement!$F$5:$F$204,$AQ705)&lt;&gt;"",IF(INDEX(C_Pavement!$F$5:$F$204,$AQ705)="-","",INDEX(C_Pavement!$F$5:$F$204,$AQ705)),IF($AS705="","",INDEX(E_Rules!$E$5:$E$9,$AS705))))</f>
        <v/>
      </c>
      <c r="AW705" t="str">
        <f>IF($AQ705="","",IF(INDEX(C_Pavement!$G$5:$G$204,$AQ705)&lt;&gt;"",IF(INDEX(C_Pavement!$G$5:$G$204,$AQ705)="-","",INDEX(C_Pavement!$G$5:$G$204,$AQ705)),IF($AS705="","",INDEX(E_Rules!$F$5:$F$9,$AS705))))</f>
        <v/>
      </c>
      <c r="AX705" t="str">
        <f>IF($AQ705="","",IF(INDEX(C_Pavement!$H$5:$H$204,$AQ705)&lt;&gt;"",IF(INDEX(C_Pavement!$H$5:$H$204,$AQ705)="-","",INDEX(C_Pavement!$H$5:$H$204,$AQ705)),IF($AS705="","",INDEX(E_Rules!$G$5:$G$9,$AS705))))</f>
        <v/>
      </c>
      <c r="AY705" t="str">
        <f>IF($AQ705="","",IF(INDEX(C_Pavement!$I$5:$I$204,$AQ705)&lt;&gt;"",IF(INDEX(C_Pavement!$I$5:$I$204,$AQ705)="-","",INDEX(C_Pavement!$I$5:$I$204,$AQ705)),IF($AS705="","",INDEX(E_Rules!$H$5:$H$9,$AS705))))</f>
        <v/>
      </c>
    </row>
    <row r="706" spans="1:51" ht="15.75" customHeight="1" x14ac:dyDescent="0.3">
      <c r="A706" s="189">
        <v>701</v>
      </c>
      <c r="B706" s="180">
        <v>35000</v>
      </c>
      <c r="C706" s="180" t="s">
        <v>1012</v>
      </c>
      <c r="D706" s="181" t="str">
        <f>IFERROR(LOOKUP(2,1/((A_Corridor!$A$5:$A$204&lt;&gt;"")*(A_Corridor!$A$5:$A$204&lt;=$B706)*(A_Corridor!$B$5:$B$204&gt;$B706)*(A_Corridor!$C$5:$C$204&lt;&gt;"")),IF(UPPER(A_Corridor!$C$5:$C$204)="Y",1,"")),"")</f>
        <v/>
      </c>
      <c r="E706" s="181" t="str">
        <f>IFERROR(LOOKUP(2,1/((A_Corridor!$A$5:$A$204&lt;&gt;"")*(A_Corridor!$A$5:$A$204&lt;=$B706)*(A_Corridor!$B$5:$B$204&gt;$B706)*(A_Corridor!$D$5:$D$204&lt;&gt;"")),IF(A_Corridor!$D$5:$D$204="-","",UPPER(A_Corridor!$D$5:$D$204))),"")</f>
        <v/>
      </c>
      <c r="F706" s="181" t="str">
        <f>IFERROR(LOOKUP(2,1/((A_Corridor!$A$5:$A$204&lt;&gt;"")*(A_Corridor!$A$5:$A$204&lt;=$B706)*(A_Corridor!$B$5:$B$204&gt;$B706)*(A_Corridor!$E$5:$E$204&lt;&gt;"")),IF(A_Corridor!$E$5:$E$204="-","",1)),"")</f>
        <v/>
      </c>
      <c r="G706" s="182" t="str">
        <f>IFERROR(LOOKUP(2,1/((A_Corridor!$A$5:$A$204&lt;&gt;"")*(A_Corridor!$A$5:$A$204&lt;=$B706)*(A_Corridor!$B$5:$B$204&gt;$B706)*(A_Corridor!$E$5:$E$204&lt;&gt;"")),IF(A_Corridor!$E$5:$E$204="-","",A_Corridor!$E$5:$E$204)),"")</f>
        <v/>
      </c>
      <c r="H706" s="182" t="str">
        <f>IFERROR(LOOKUP(2,1/((D_Points!$A$5:$A$204&lt;&gt;"")*(D_Points!$A$5:$A$204&gt;=$B706)*(D_Points!$A$5:$A$204&lt;$B706+P_Interval)*(UPPER(TRIM(D_Points!$B$5:$B$204))="GULLY")*(D_Points!$H$5:$H$204&lt;&gt;"")),D_Points!$H$5:$H$204),"")</f>
        <v/>
      </c>
      <c r="I706" s="181" t="str">
        <f>IFERROR(LOOKUP(2,1/((A_Corridor!$A$5:$A$204&lt;&gt;"")*(A_Corridor!$A$5:$A$204&lt;=$B706)*(A_Corridor!$B$5:$B$204&gt;$B706)*(A_Corridor!$F$5:$F$204&lt;&gt;"")),IF(A_Corridor!$F$5:$F$204="-","",1)),"")</f>
        <v/>
      </c>
      <c r="J706" s="182" t="str">
        <f>IFERROR(LOOKUP(2,1/((A_Corridor!$A$5:$A$204&lt;&gt;"")*(A_Corridor!$A$5:$A$204&lt;=$B706)*(A_Corridor!$B$5:$B$204&gt;$B706)*(A_Corridor!$F$5:$F$204&lt;&gt;"")),IF(A_Corridor!$F$5:$F$204="-","",A_Corridor!$F$5:$F$204)),"")</f>
        <v/>
      </c>
      <c r="K706" s="182" t="str">
        <f>IFERROR(LOOKUP(2,1/((A_Corridor!$A$5:$A$204&lt;&gt;"")*(A_Corridor!$A$5:$A$204&lt;=$B706)*(A_Corridor!$B$5:$B$204&gt;$B706)*(A_Corridor!$G$5:$G$204&lt;&gt;"")),IF(A_Corridor!$G$5:$G$204="-","",A_Corridor!$G$5:$G$204)),"")</f>
        <v/>
      </c>
      <c r="L706" s="181" t="str">
        <f>IFERROR(LOOKUP(2,1/((A_Corridor!$A$5:$A$204&lt;&gt;"")*(A_Corridor!$A$5:$A$204&lt;=$B706)*(A_Corridor!$B$5:$B$204&gt;$B706)*(A_Corridor!$H$5:$H$204&lt;&gt;"")),IF(A_Corridor!$H$5:$H$204="-","",1)),"")</f>
        <v/>
      </c>
      <c r="M706" s="182" t="str">
        <f>IFERROR(LOOKUP(2,1/((A_Corridor!$A$5:$A$204&lt;&gt;"")*(A_Corridor!$A$5:$A$204&lt;=$B706)*(A_Corridor!$B$5:$B$204&gt;$B706)*(A_Corridor!$H$5:$H$204&lt;&gt;"")),IF(A_Corridor!$H$5:$H$204="-","",A_Corridor!$H$5:$H$204)),"")</f>
        <v/>
      </c>
      <c r="N706" s="182" t="str">
        <f>IFERROR(LOOKUP(2,1/((A_Corridor!$A$5:$A$204&lt;&gt;"")*(A_Corridor!$A$5:$A$204&lt;=$B706)*(A_Corridor!$B$5:$B$204&gt;$B706)*(A_Corridor!$I$5:$I$204&lt;&gt;"")),IF(A_Corridor!$I$5:$I$204="-","",A_Corridor!$I$5:$I$204)),"")</f>
        <v/>
      </c>
      <c r="O706" s="182" t="str">
        <f>IFERROR(LOOKUP(2,1/((D_Points!$A$5:$A$204&lt;&gt;"")*(D_Points!$A$5:$A$204&gt;=$B706)*(D_Points!$A$5:$A$204&lt;$B706+P_Interval)*(UPPER(TRIM(D_Points!$B$5:$B$204))="PITCHING")*(D_Points!$H$5:$H$204&lt;&gt;"")),D_Points!$H$5:$H$204),"")</f>
        <v/>
      </c>
      <c r="P706" s="181" t="str">
        <f>IFERROR(LOOKUP(2,1/((B_Drainage!$A$5:$A$204&lt;&gt;"")*(B_Drainage!$A$5:$A$204&lt;=$B706)*(B_Drainage!$B$5:$B$204&gt;$B706)*(B_Drainage!$C$5:$C$204&lt;&gt;"")),IF(B_Drainage!$C$5:$C$204="-","",UPPER(B_Drainage!$C$5:$C$204))),"")</f>
        <v/>
      </c>
      <c r="Q706" s="181" t="str">
        <f>IFERROR(LOOKUP(2,1/((B_Drainage!$A$5:$A$204&lt;&gt;"")*(B_Drainage!$A$5:$A$204&lt;=$B706)*(B_Drainage!$B$5:$B$204&gt;$B706)*(B_Drainage!$D$5:$D$204&lt;&gt;"")),IF(B_Drainage!$D$5:$D$204="-","",UPPER(B_Drainage!$D$5:$D$204))),"")</f>
        <v/>
      </c>
      <c r="R706" s="182" t="str">
        <f>IFERROR(LOOKUP(2,1/((D_Points!$A$5:$A$204&lt;&gt;"")*(D_Points!$A$5:$A$204&gt;=$B706)*(D_Points!$A$5:$A$204&lt;$B706+P_Interval)*(RIGHT(UPPER(TRIM(D_Points!$B$5:$B$204)),8)="_CULVERT")),IF(LEFT(UPPER(TRIM(D_Points!$B$5:$B$204)),2)="EX",1,IF(LEFT(UPPER(TRIM(D_Points!$B$5:$B$204)),2)="PR",2,3))),"")</f>
        <v/>
      </c>
      <c r="S706" s="182" t="str">
        <f>IFERROR(LOOKUP(2,1/((D_Points!$A$5:$A$204&lt;&gt;"")*(D_Points!$A$5:$A$204&gt;=$B706)*(D_Points!$A$5:$A$204&lt;$B706+P_Interval)*(RIGHT(UPPER(TRIM(D_Points!$B$5:$B$204)),7)="_BRIDGE")),IF(LEFT(UPPER(TRIM(D_Points!$B$5:$B$204)),2)="EX",1,IF(LEFT(UPPER(TRIM(D_Points!$B$5:$B$204)),2)="PR",2,2))),"")</f>
        <v/>
      </c>
      <c r="T706" s="181" t="str">
        <f>IFERROR(LOOKUP(2,1/((B_Drainage!$A$5:$A$204&lt;&gt;"")*(B_Drainage!$A$5:$A$204&lt;=$B706)*(B_Drainage!$B$5:$B$204&gt;$B706)*(B_Drainage!$E$5:$E$204&lt;&gt;"")),IF(B_Drainage!$E$5:$E$204="-","",1)),"")</f>
        <v/>
      </c>
      <c r="U706" s="181" t="str">
        <f>IFERROR(LOOKUP(2,1/((B_Drainage!$A$5:$A$204&lt;&gt;"")*(B_Drainage!$A$5:$A$204&lt;=$B706)*(B_Drainage!$B$5:$B$204&gt;$B706)*(B_Drainage!$E$5:$E$204&lt;&gt;"")),IF(B_Drainage!$E$5:$E$204="-","",B_Drainage!$E$5:$E$204)),"")</f>
        <v/>
      </c>
      <c r="V706" s="181" t="str">
        <f>IFERROR(LOOKUP(2,1/((B_Drainage!$A$5:$A$204&lt;&gt;"")*(B_Drainage!$A$5:$A$204&lt;=$B706)*(B_Drainage!$B$5:$B$204&gt;$B706)*(B_Drainage!$F$5:$F$204&lt;&gt;"")),IF(B_Drainage!$F$5:$F$204="-","",1)),"")</f>
        <v/>
      </c>
      <c r="W706" s="181" t="str">
        <f>IFERROR(LOOKUP(2,1/((B_Drainage!$A$5:$A$204&lt;&gt;"")*(B_Drainage!$A$5:$A$204&lt;=$B706)*(B_Drainage!$B$5:$B$204&gt;$B706)*(B_Drainage!$F$5:$F$204&lt;&gt;"")),IF(B_Drainage!$F$5:$F$204="-","",B_Drainage!$F$5:$F$204)),"")</f>
        <v/>
      </c>
      <c r="X706" s="181" t="str">
        <f>IFERROR(LOOKUP(2,1/((B_Drainage!$A$5:$A$204&lt;&gt;"")*(B_Drainage!$A$5:$A$204&lt;=$B706)*(B_Drainage!$B$5:$B$204&gt;$B706)*(B_Drainage!$G$5:$G$204&lt;&gt;"")),IF(UPPER(B_Drainage!$G$5:$G$204)="Y",1,"")),"")</f>
        <v/>
      </c>
      <c r="Y706" s="181" t="str">
        <f>IFERROR(LOOKUP(2,1/((B_Drainage!$A$5:$A$204&lt;&gt;"")*(B_Drainage!$A$5:$A$204&lt;=$B706)*(B_Drainage!$B$5:$B$204&gt;$B706)*(B_Drainage!$H$5:$H$204&lt;&gt;"")),IF(UPPER(B_Drainage!$H$5:$H$204)="Y",1,"")),"")</f>
        <v/>
      </c>
      <c r="Z706" s="181" t="str">
        <f>IFERROR(LOOKUP(2,1/((B_Drainage!$A$5:$A$204&lt;&gt;"")*(B_Drainage!$A$5:$A$204&lt;=$B706)*(B_Drainage!$B$5:$B$204&gt;$B706)*(B_Drainage!$I$5:$I$204&lt;&gt;"")),IF(UPPER(B_Drainage!$I$5:$I$204)="Y",1,"")),"")</f>
        <v/>
      </c>
      <c r="AA706" s="181" t="str">
        <f>IFERROR(LOOKUP(2,1/((B_Drainage!$A$5:$A$204&lt;&gt;"")*(B_Drainage!$A$5:$A$204&lt;=$B706)*(B_Drainage!$B$5:$B$204&gt;$B706)*(B_Drainage!$J$5:$J$204&lt;&gt;"")),IF(UPPER(B_Drainage!$J$5:$J$204)="Y",1,"")),"")</f>
        <v/>
      </c>
      <c r="AB706" s="182" t="str">
        <f>IFERROR(LOOKUP(2,1/((B_Drainage!$A$5:$A$204&lt;&gt;"")*(B_Drainage!$A$5:$A$204&lt;=$B706)*(B_Drainage!$B$5:$B$204&gt;$B706)*(B_Drainage!$K$5:$K$204&lt;&gt;"")),IF(B_Drainage!$K$5:$K$204="-","",B_Drainage!$K$5:$K$204)),"")</f>
        <v/>
      </c>
      <c r="AC706" s="182" t="str">
        <f>IFERROR(LOOKUP(2,1/((B_Drainage!$A$5:$A$204&lt;&gt;"")*(B_Drainage!$A$5:$A$204&lt;=$B706)*(B_Drainage!$B$5:$B$204&gt;$B706)*(B_Drainage!$L$5:$L$204&lt;&gt;"")),IF(B_Drainage!$L$5:$L$204="-","",B_Drainage!$L$5:$L$204)),"")</f>
        <v/>
      </c>
      <c r="AD706" s="182" t="str">
        <f>IFERROR(LOOKUP(2,1/((D_Points!$A$5:$A$204&lt;&gt;"")*(D_Points!$A$5:$A$204&gt;=$B706)*(D_Points!$A$5:$A$204&lt;$B706+P_Interval)*(UPPER(TRIM(D_Points!$B$5:$B$204))="TURNOUT_L")*(D_Points!$H$5:$H$204&lt;&gt;"")),D_Points!$H$5:$H$204),"")</f>
        <v/>
      </c>
      <c r="AE706" s="182" t="str">
        <f>IFERROR(LOOKUP(2,1/((D_Points!$A$5:$A$204&lt;&gt;"")*(D_Points!$A$5:$A$204&gt;=$B706)*(D_Points!$A$5:$A$204&lt;$B706+P_Interval)*(UPPER(TRIM(D_Points!$B$5:$B$204))="TURNOUT_R")*(D_Points!$H$5:$H$204&lt;&gt;"")),D_Points!$H$5:$H$204),"")</f>
        <v/>
      </c>
      <c r="AF706" s="181" t="str">
        <f>IFERROR(LOOKUP(2,1/((B_Drainage!$A$5:$A$204&lt;&gt;"")*(B_Drainage!$A$5:$A$204&lt;=$B706)*(B_Drainage!$B$5:$B$204&gt;$B706)*(B_Drainage!$M$5:$M$204&lt;&gt;"")),IF(UPPER(B_Drainage!$M$5:$M$204)="Y",1,"")),"")</f>
        <v/>
      </c>
      <c r="AG706" s="181" t="str">
        <f>IFERROR(LOOKUP(2,1/((B_Drainage!$A$5:$A$204&lt;&gt;"")*(B_Drainage!$A$5:$A$204&lt;=$B706)*(B_Drainage!$B$5:$B$204&gt;$B706)*(B_Drainage!$N$5:$N$204&lt;&gt;"")),IF(UPPER(B_Drainage!$N$5:$N$204)="Y",1,"")),"")</f>
        <v/>
      </c>
      <c r="AH706" s="181" t="str">
        <f t="shared" si="80"/>
        <v/>
      </c>
      <c r="AI706" s="181" t="str">
        <f t="shared" si="81"/>
        <v/>
      </c>
      <c r="AJ706" s="181" t="str">
        <f t="shared" si="82"/>
        <v/>
      </c>
      <c r="AK706" s="181" t="str">
        <f t="shared" si="83"/>
        <v/>
      </c>
      <c r="AL706" s="181" t="str">
        <f t="shared" si="84"/>
        <v/>
      </c>
      <c r="AM706" s="181" t="str">
        <f t="shared" si="85"/>
        <v/>
      </c>
      <c r="AN706" s="181" t="str">
        <f t="shared" si="86"/>
        <v/>
      </c>
      <c r="AO706" s="192" t="str">
        <f t="shared" si="87"/>
        <v/>
      </c>
      <c r="AQ706" t="str">
        <f>IFERROR(LOOKUP(2,1/((C_Pavement!$A$5:$A$204&lt;&gt;"")*(C_Pavement!$A$5:$A$204&lt;=$B706)*(C_Pavement!$B$5:$B$204&gt;$B706)*(C_Pavement!$C$5:$C$204&lt;&gt;"")),ROW(C_Pavement!$C$5:$C$204)-4),"")</f>
        <v/>
      </c>
      <c r="AR706" t="str">
        <f>IF($AQ706="","",UPPER(TRIM(INDEX(C_Pavement!$C$5:$C$204,$AQ706))))</f>
        <v/>
      </c>
      <c r="AS706" t="str">
        <f>IF($AR706="","",IFERROR(MATCH($AR706,E_Rules!$A$5:$A$9,0),""))</f>
        <v/>
      </c>
      <c r="AT706" t="str">
        <f>IF($AQ706="","",IF(INDEX(C_Pavement!$D$5:$D$204,$AQ706)&lt;&gt;"",UPPER(TRIM(INDEX(C_Pavement!$D$5:$D$204,$AQ706))),IF($AS706="","",INDEX(E_Rules!$C$5:$C$9,$AS706))))</f>
        <v/>
      </c>
      <c r="AU706" t="str">
        <f>IF($AQ706="","",IF(INDEX(C_Pavement!$E$5:$E$204,$AQ706)&lt;&gt;"",IF(INDEX(C_Pavement!$E$5:$E$204,$AQ706)="-","",INDEX(C_Pavement!$E$5:$E$204,$AQ706)),IF($AS706="","",INDEX(E_Rules!$D$5:$D$9,$AS706))))</f>
        <v/>
      </c>
      <c r="AV706" t="str">
        <f>IF($AQ706="","",IF(INDEX(C_Pavement!$F$5:$F$204,$AQ706)&lt;&gt;"",IF(INDEX(C_Pavement!$F$5:$F$204,$AQ706)="-","",INDEX(C_Pavement!$F$5:$F$204,$AQ706)),IF($AS706="","",INDEX(E_Rules!$E$5:$E$9,$AS706))))</f>
        <v/>
      </c>
      <c r="AW706" t="str">
        <f>IF($AQ706="","",IF(INDEX(C_Pavement!$G$5:$G$204,$AQ706)&lt;&gt;"",IF(INDEX(C_Pavement!$G$5:$G$204,$AQ706)="-","",INDEX(C_Pavement!$G$5:$G$204,$AQ706)),IF($AS706="","",INDEX(E_Rules!$F$5:$F$9,$AS706))))</f>
        <v/>
      </c>
      <c r="AX706" t="str">
        <f>IF($AQ706="","",IF(INDEX(C_Pavement!$H$5:$H$204,$AQ706)&lt;&gt;"",IF(INDEX(C_Pavement!$H$5:$H$204,$AQ706)="-","",INDEX(C_Pavement!$H$5:$H$204,$AQ706)),IF($AS706="","",INDEX(E_Rules!$G$5:$G$9,$AS706))))</f>
        <v/>
      </c>
      <c r="AY706" t="str">
        <f>IF($AQ706="","",IF(INDEX(C_Pavement!$I$5:$I$204,$AQ706)&lt;&gt;"",IF(INDEX(C_Pavement!$I$5:$I$204,$AQ706)="-","",INDEX(C_Pavement!$I$5:$I$204,$AQ706)),IF($AS706="","",INDEX(E_Rules!$H$5:$H$9,$AS706))))</f>
        <v/>
      </c>
    </row>
    <row r="707" spans="1:51" ht="15.75" customHeight="1" x14ac:dyDescent="0.3">
      <c r="A707" s="189">
        <v>702</v>
      </c>
      <c r="B707" s="180">
        <v>35050</v>
      </c>
      <c r="C707" s="180" t="s">
        <v>1013</v>
      </c>
      <c r="D707" s="181" t="str">
        <f>IFERROR(LOOKUP(2,1/((A_Corridor!$A$5:$A$204&lt;&gt;"")*(A_Corridor!$A$5:$A$204&lt;=$B707)*(A_Corridor!$B$5:$B$204&gt;$B707)*(A_Corridor!$C$5:$C$204&lt;&gt;"")),IF(UPPER(A_Corridor!$C$5:$C$204)="Y",1,"")),"")</f>
        <v/>
      </c>
      <c r="E707" s="181" t="str">
        <f>IFERROR(LOOKUP(2,1/((A_Corridor!$A$5:$A$204&lt;&gt;"")*(A_Corridor!$A$5:$A$204&lt;=$B707)*(A_Corridor!$B$5:$B$204&gt;$B707)*(A_Corridor!$D$5:$D$204&lt;&gt;"")),IF(A_Corridor!$D$5:$D$204="-","",UPPER(A_Corridor!$D$5:$D$204))),"")</f>
        <v/>
      </c>
      <c r="F707" s="181" t="str">
        <f>IFERROR(LOOKUP(2,1/((A_Corridor!$A$5:$A$204&lt;&gt;"")*(A_Corridor!$A$5:$A$204&lt;=$B707)*(A_Corridor!$B$5:$B$204&gt;$B707)*(A_Corridor!$E$5:$E$204&lt;&gt;"")),IF(A_Corridor!$E$5:$E$204="-","",1)),"")</f>
        <v/>
      </c>
      <c r="G707" s="182" t="str">
        <f>IFERROR(LOOKUP(2,1/((A_Corridor!$A$5:$A$204&lt;&gt;"")*(A_Corridor!$A$5:$A$204&lt;=$B707)*(A_Corridor!$B$5:$B$204&gt;$B707)*(A_Corridor!$E$5:$E$204&lt;&gt;"")),IF(A_Corridor!$E$5:$E$204="-","",A_Corridor!$E$5:$E$204)),"")</f>
        <v/>
      </c>
      <c r="H707" s="182" t="str">
        <f>IFERROR(LOOKUP(2,1/((D_Points!$A$5:$A$204&lt;&gt;"")*(D_Points!$A$5:$A$204&gt;=$B707)*(D_Points!$A$5:$A$204&lt;$B707+P_Interval)*(UPPER(TRIM(D_Points!$B$5:$B$204))="GULLY")*(D_Points!$H$5:$H$204&lt;&gt;"")),D_Points!$H$5:$H$204),"")</f>
        <v/>
      </c>
      <c r="I707" s="181" t="str">
        <f>IFERROR(LOOKUP(2,1/((A_Corridor!$A$5:$A$204&lt;&gt;"")*(A_Corridor!$A$5:$A$204&lt;=$B707)*(A_Corridor!$B$5:$B$204&gt;$B707)*(A_Corridor!$F$5:$F$204&lt;&gt;"")),IF(A_Corridor!$F$5:$F$204="-","",1)),"")</f>
        <v/>
      </c>
      <c r="J707" s="182" t="str">
        <f>IFERROR(LOOKUP(2,1/((A_Corridor!$A$5:$A$204&lt;&gt;"")*(A_Corridor!$A$5:$A$204&lt;=$B707)*(A_Corridor!$B$5:$B$204&gt;$B707)*(A_Corridor!$F$5:$F$204&lt;&gt;"")),IF(A_Corridor!$F$5:$F$204="-","",A_Corridor!$F$5:$F$204)),"")</f>
        <v/>
      </c>
      <c r="K707" s="182" t="str">
        <f>IFERROR(LOOKUP(2,1/((A_Corridor!$A$5:$A$204&lt;&gt;"")*(A_Corridor!$A$5:$A$204&lt;=$B707)*(A_Corridor!$B$5:$B$204&gt;$B707)*(A_Corridor!$G$5:$G$204&lt;&gt;"")),IF(A_Corridor!$G$5:$G$204="-","",A_Corridor!$G$5:$G$204)),"")</f>
        <v/>
      </c>
      <c r="L707" s="181" t="str">
        <f>IFERROR(LOOKUP(2,1/((A_Corridor!$A$5:$A$204&lt;&gt;"")*(A_Corridor!$A$5:$A$204&lt;=$B707)*(A_Corridor!$B$5:$B$204&gt;$B707)*(A_Corridor!$H$5:$H$204&lt;&gt;"")),IF(A_Corridor!$H$5:$H$204="-","",1)),"")</f>
        <v/>
      </c>
      <c r="M707" s="182" t="str">
        <f>IFERROR(LOOKUP(2,1/((A_Corridor!$A$5:$A$204&lt;&gt;"")*(A_Corridor!$A$5:$A$204&lt;=$B707)*(A_Corridor!$B$5:$B$204&gt;$B707)*(A_Corridor!$H$5:$H$204&lt;&gt;"")),IF(A_Corridor!$H$5:$H$204="-","",A_Corridor!$H$5:$H$204)),"")</f>
        <v/>
      </c>
      <c r="N707" s="182" t="str">
        <f>IFERROR(LOOKUP(2,1/((A_Corridor!$A$5:$A$204&lt;&gt;"")*(A_Corridor!$A$5:$A$204&lt;=$B707)*(A_Corridor!$B$5:$B$204&gt;$B707)*(A_Corridor!$I$5:$I$204&lt;&gt;"")),IF(A_Corridor!$I$5:$I$204="-","",A_Corridor!$I$5:$I$204)),"")</f>
        <v/>
      </c>
      <c r="O707" s="182" t="str">
        <f>IFERROR(LOOKUP(2,1/((D_Points!$A$5:$A$204&lt;&gt;"")*(D_Points!$A$5:$A$204&gt;=$B707)*(D_Points!$A$5:$A$204&lt;$B707+P_Interval)*(UPPER(TRIM(D_Points!$B$5:$B$204))="PITCHING")*(D_Points!$H$5:$H$204&lt;&gt;"")),D_Points!$H$5:$H$204),"")</f>
        <v/>
      </c>
      <c r="P707" s="181" t="str">
        <f>IFERROR(LOOKUP(2,1/((B_Drainage!$A$5:$A$204&lt;&gt;"")*(B_Drainage!$A$5:$A$204&lt;=$B707)*(B_Drainage!$B$5:$B$204&gt;$B707)*(B_Drainage!$C$5:$C$204&lt;&gt;"")),IF(B_Drainage!$C$5:$C$204="-","",UPPER(B_Drainage!$C$5:$C$204))),"")</f>
        <v/>
      </c>
      <c r="Q707" s="181" t="str">
        <f>IFERROR(LOOKUP(2,1/((B_Drainage!$A$5:$A$204&lt;&gt;"")*(B_Drainage!$A$5:$A$204&lt;=$B707)*(B_Drainage!$B$5:$B$204&gt;$B707)*(B_Drainage!$D$5:$D$204&lt;&gt;"")),IF(B_Drainage!$D$5:$D$204="-","",UPPER(B_Drainage!$D$5:$D$204))),"")</f>
        <v/>
      </c>
      <c r="R707" s="182" t="str">
        <f>IFERROR(LOOKUP(2,1/((D_Points!$A$5:$A$204&lt;&gt;"")*(D_Points!$A$5:$A$204&gt;=$B707)*(D_Points!$A$5:$A$204&lt;$B707+P_Interval)*(RIGHT(UPPER(TRIM(D_Points!$B$5:$B$204)),8)="_CULVERT")),IF(LEFT(UPPER(TRIM(D_Points!$B$5:$B$204)),2)="EX",1,IF(LEFT(UPPER(TRIM(D_Points!$B$5:$B$204)),2)="PR",2,3))),"")</f>
        <v/>
      </c>
      <c r="S707" s="182" t="str">
        <f>IFERROR(LOOKUP(2,1/((D_Points!$A$5:$A$204&lt;&gt;"")*(D_Points!$A$5:$A$204&gt;=$B707)*(D_Points!$A$5:$A$204&lt;$B707+P_Interval)*(RIGHT(UPPER(TRIM(D_Points!$B$5:$B$204)),7)="_BRIDGE")),IF(LEFT(UPPER(TRIM(D_Points!$B$5:$B$204)),2)="EX",1,IF(LEFT(UPPER(TRIM(D_Points!$B$5:$B$204)),2)="PR",2,2))),"")</f>
        <v/>
      </c>
      <c r="T707" s="181" t="str">
        <f>IFERROR(LOOKUP(2,1/((B_Drainage!$A$5:$A$204&lt;&gt;"")*(B_Drainage!$A$5:$A$204&lt;=$B707)*(B_Drainage!$B$5:$B$204&gt;$B707)*(B_Drainage!$E$5:$E$204&lt;&gt;"")),IF(B_Drainage!$E$5:$E$204="-","",1)),"")</f>
        <v/>
      </c>
      <c r="U707" s="181" t="str">
        <f>IFERROR(LOOKUP(2,1/((B_Drainage!$A$5:$A$204&lt;&gt;"")*(B_Drainage!$A$5:$A$204&lt;=$B707)*(B_Drainage!$B$5:$B$204&gt;$B707)*(B_Drainage!$E$5:$E$204&lt;&gt;"")),IF(B_Drainage!$E$5:$E$204="-","",B_Drainage!$E$5:$E$204)),"")</f>
        <v/>
      </c>
      <c r="V707" s="181" t="str">
        <f>IFERROR(LOOKUP(2,1/((B_Drainage!$A$5:$A$204&lt;&gt;"")*(B_Drainage!$A$5:$A$204&lt;=$B707)*(B_Drainage!$B$5:$B$204&gt;$B707)*(B_Drainage!$F$5:$F$204&lt;&gt;"")),IF(B_Drainage!$F$5:$F$204="-","",1)),"")</f>
        <v/>
      </c>
      <c r="W707" s="181" t="str">
        <f>IFERROR(LOOKUP(2,1/((B_Drainage!$A$5:$A$204&lt;&gt;"")*(B_Drainage!$A$5:$A$204&lt;=$B707)*(B_Drainage!$B$5:$B$204&gt;$B707)*(B_Drainage!$F$5:$F$204&lt;&gt;"")),IF(B_Drainage!$F$5:$F$204="-","",B_Drainage!$F$5:$F$204)),"")</f>
        <v/>
      </c>
      <c r="X707" s="181" t="str">
        <f>IFERROR(LOOKUP(2,1/((B_Drainage!$A$5:$A$204&lt;&gt;"")*(B_Drainage!$A$5:$A$204&lt;=$B707)*(B_Drainage!$B$5:$B$204&gt;$B707)*(B_Drainage!$G$5:$G$204&lt;&gt;"")),IF(UPPER(B_Drainage!$G$5:$G$204)="Y",1,"")),"")</f>
        <v/>
      </c>
      <c r="Y707" s="181" t="str">
        <f>IFERROR(LOOKUP(2,1/((B_Drainage!$A$5:$A$204&lt;&gt;"")*(B_Drainage!$A$5:$A$204&lt;=$B707)*(B_Drainage!$B$5:$B$204&gt;$B707)*(B_Drainage!$H$5:$H$204&lt;&gt;"")),IF(UPPER(B_Drainage!$H$5:$H$204)="Y",1,"")),"")</f>
        <v/>
      </c>
      <c r="Z707" s="181" t="str">
        <f>IFERROR(LOOKUP(2,1/((B_Drainage!$A$5:$A$204&lt;&gt;"")*(B_Drainage!$A$5:$A$204&lt;=$B707)*(B_Drainage!$B$5:$B$204&gt;$B707)*(B_Drainage!$I$5:$I$204&lt;&gt;"")),IF(UPPER(B_Drainage!$I$5:$I$204)="Y",1,"")),"")</f>
        <v/>
      </c>
      <c r="AA707" s="181" t="str">
        <f>IFERROR(LOOKUP(2,1/((B_Drainage!$A$5:$A$204&lt;&gt;"")*(B_Drainage!$A$5:$A$204&lt;=$B707)*(B_Drainage!$B$5:$B$204&gt;$B707)*(B_Drainage!$J$5:$J$204&lt;&gt;"")),IF(UPPER(B_Drainage!$J$5:$J$204)="Y",1,"")),"")</f>
        <v/>
      </c>
      <c r="AB707" s="182" t="str">
        <f>IFERROR(LOOKUP(2,1/((B_Drainage!$A$5:$A$204&lt;&gt;"")*(B_Drainage!$A$5:$A$204&lt;=$B707)*(B_Drainage!$B$5:$B$204&gt;$B707)*(B_Drainage!$K$5:$K$204&lt;&gt;"")),IF(B_Drainage!$K$5:$K$204="-","",B_Drainage!$K$5:$K$204)),"")</f>
        <v/>
      </c>
      <c r="AC707" s="182" t="str">
        <f>IFERROR(LOOKUP(2,1/((B_Drainage!$A$5:$A$204&lt;&gt;"")*(B_Drainage!$A$5:$A$204&lt;=$B707)*(B_Drainage!$B$5:$B$204&gt;$B707)*(B_Drainage!$L$5:$L$204&lt;&gt;"")),IF(B_Drainage!$L$5:$L$204="-","",B_Drainage!$L$5:$L$204)),"")</f>
        <v/>
      </c>
      <c r="AD707" s="182" t="str">
        <f>IFERROR(LOOKUP(2,1/((D_Points!$A$5:$A$204&lt;&gt;"")*(D_Points!$A$5:$A$204&gt;=$B707)*(D_Points!$A$5:$A$204&lt;$B707+P_Interval)*(UPPER(TRIM(D_Points!$B$5:$B$204))="TURNOUT_L")*(D_Points!$H$5:$H$204&lt;&gt;"")),D_Points!$H$5:$H$204),"")</f>
        <v/>
      </c>
      <c r="AE707" s="182" t="str">
        <f>IFERROR(LOOKUP(2,1/((D_Points!$A$5:$A$204&lt;&gt;"")*(D_Points!$A$5:$A$204&gt;=$B707)*(D_Points!$A$5:$A$204&lt;$B707+P_Interval)*(UPPER(TRIM(D_Points!$B$5:$B$204))="TURNOUT_R")*(D_Points!$H$5:$H$204&lt;&gt;"")),D_Points!$H$5:$H$204),"")</f>
        <v/>
      </c>
      <c r="AF707" s="181" t="str">
        <f>IFERROR(LOOKUP(2,1/((B_Drainage!$A$5:$A$204&lt;&gt;"")*(B_Drainage!$A$5:$A$204&lt;=$B707)*(B_Drainage!$B$5:$B$204&gt;$B707)*(B_Drainage!$M$5:$M$204&lt;&gt;"")),IF(UPPER(B_Drainage!$M$5:$M$204)="Y",1,"")),"")</f>
        <v/>
      </c>
      <c r="AG707" s="181" t="str">
        <f>IFERROR(LOOKUP(2,1/((B_Drainage!$A$5:$A$204&lt;&gt;"")*(B_Drainage!$A$5:$A$204&lt;=$B707)*(B_Drainage!$B$5:$B$204&gt;$B707)*(B_Drainage!$N$5:$N$204&lt;&gt;"")),IF(UPPER(B_Drainage!$N$5:$N$204)="Y",1,"")),"")</f>
        <v/>
      </c>
      <c r="AH707" s="181" t="str">
        <f t="shared" si="80"/>
        <v/>
      </c>
      <c r="AI707" s="181" t="str">
        <f t="shared" si="81"/>
        <v/>
      </c>
      <c r="AJ707" s="181" t="str">
        <f t="shared" si="82"/>
        <v/>
      </c>
      <c r="AK707" s="181" t="str">
        <f t="shared" si="83"/>
        <v/>
      </c>
      <c r="AL707" s="181" t="str">
        <f t="shared" si="84"/>
        <v/>
      </c>
      <c r="AM707" s="181" t="str">
        <f t="shared" si="85"/>
        <v/>
      </c>
      <c r="AN707" s="181" t="str">
        <f t="shared" si="86"/>
        <v/>
      </c>
      <c r="AO707" s="192" t="str">
        <f t="shared" si="87"/>
        <v/>
      </c>
      <c r="AQ707" t="str">
        <f>IFERROR(LOOKUP(2,1/((C_Pavement!$A$5:$A$204&lt;&gt;"")*(C_Pavement!$A$5:$A$204&lt;=$B707)*(C_Pavement!$B$5:$B$204&gt;$B707)*(C_Pavement!$C$5:$C$204&lt;&gt;"")),ROW(C_Pavement!$C$5:$C$204)-4),"")</f>
        <v/>
      </c>
      <c r="AR707" t="str">
        <f>IF($AQ707="","",UPPER(TRIM(INDEX(C_Pavement!$C$5:$C$204,$AQ707))))</f>
        <v/>
      </c>
      <c r="AS707" t="str">
        <f>IF($AR707="","",IFERROR(MATCH($AR707,E_Rules!$A$5:$A$9,0),""))</f>
        <v/>
      </c>
      <c r="AT707" t="str">
        <f>IF($AQ707="","",IF(INDEX(C_Pavement!$D$5:$D$204,$AQ707)&lt;&gt;"",UPPER(TRIM(INDEX(C_Pavement!$D$5:$D$204,$AQ707))),IF($AS707="","",INDEX(E_Rules!$C$5:$C$9,$AS707))))</f>
        <v/>
      </c>
      <c r="AU707" t="str">
        <f>IF($AQ707="","",IF(INDEX(C_Pavement!$E$5:$E$204,$AQ707)&lt;&gt;"",IF(INDEX(C_Pavement!$E$5:$E$204,$AQ707)="-","",INDEX(C_Pavement!$E$5:$E$204,$AQ707)),IF($AS707="","",INDEX(E_Rules!$D$5:$D$9,$AS707))))</f>
        <v/>
      </c>
      <c r="AV707" t="str">
        <f>IF($AQ707="","",IF(INDEX(C_Pavement!$F$5:$F$204,$AQ707)&lt;&gt;"",IF(INDEX(C_Pavement!$F$5:$F$204,$AQ707)="-","",INDEX(C_Pavement!$F$5:$F$204,$AQ707)),IF($AS707="","",INDEX(E_Rules!$E$5:$E$9,$AS707))))</f>
        <v/>
      </c>
      <c r="AW707" t="str">
        <f>IF($AQ707="","",IF(INDEX(C_Pavement!$G$5:$G$204,$AQ707)&lt;&gt;"",IF(INDEX(C_Pavement!$G$5:$G$204,$AQ707)="-","",INDEX(C_Pavement!$G$5:$G$204,$AQ707)),IF($AS707="","",INDEX(E_Rules!$F$5:$F$9,$AS707))))</f>
        <v/>
      </c>
      <c r="AX707" t="str">
        <f>IF($AQ707="","",IF(INDEX(C_Pavement!$H$5:$H$204,$AQ707)&lt;&gt;"",IF(INDEX(C_Pavement!$H$5:$H$204,$AQ707)="-","",INDEX(C_Pavement!$H$5:$H$204,$AQ707)),IF($AS707="","",INDEX(E_Rules!$G$5:$G$9,$AS707))))</f>
        <v/>
      </c>
      <c r="AY707" t="str">
        <f>IF($AQ707="","",IF(INDEX(C_Pavement!$I$5:$I$204,$AQ707)&lt;&gt;"",IF(INDEX(C_Pavement!$I$5:$I$204,$AQ707)="-","",INDEX(C_Pavement!$I$5:$I$204,$AQ707)),IF($AS707="","",INDEX(E_Rules!$H$5:$H$9,$AS707))))</f>
        <v/>
      </c>
    </row>
    <row r="708" spans="1:51" ht="15.75" customHeight="1" x14ac:dyDescent="0.3">
      <c r="A708" s="189">
        <v>703</v>
      </c>
      <c r="B708" s="180">
        <v>35100</v>
      </c>
      <c r="C708" s="180" t="s">
        <v>1014</v>
      </c>
      <c r="D708" s="181" t="str">
        <f>IFERROR(LOOKUP(2,1/((A_Corridor!$A$5:$A$204&lt;&gt;"")*(A_Corridor!$A$5:$A$204&lt;=$B708)*(A_Corridor!$B$5:$B$204&gt;$B708)*(A_Corridor!$C$5:$C$204&lt;&gt;"")),IF(UPPER(A_Corridor!$C$5:$C$204)="Y",1,"")),"")</f>
        <v/>
      </c>
      <c r="E708" s="181" t="str">
        <f>IFERROR(LOOKUP(2,1/((A_Corridor!$A$5:$A$204&lt;&gt;"")*(A_Corridor!$A$5:$A$204&lt;=$B708)*(A_Corridor!$B$5:$B$204&gt;$B708)*(A_Corridor!$D$5:$D$204&lt;&gt;"")),IF(A_Corridor!$D$5:$D$204="-","",UPPER(A_Corridor!$D$5:$D$204))),"")</f>
        <v/>
      </c>
      <c r="F708" s="181" t="str">
        <f>IFERROR(LOOKUP(2,1/((A_Corridor!$A$5:$A$204&lt;&gt;"")*(A_Corridor!$A$5:$A$204&lt;=$B708)*(A_Corridor!$B$5:$B$204&gt;$B708)*(A_Corridor!$E$5:$E$204&lt;&gt;"")),IF(A_Corridor!$E$5:$E$204="-","",1)),"")</f>
        <v/>
      </c>
      <c r="G708" s="182" t="str">
        <f>IFERROR(LOOKUP(2,1/((A_Corridor!$A$5:$A$204&lt;&gt;"")*(A_Corridor!$A$5:$A$204&lt;=$B708)*(A_Corridor!$B$5:$B$204&gt;$B708)*(A_Corridor!$E$5:$E$204&lt;&gt;"")),IF(A_Corridor!$E$5:$E$204="-","",A_Corridor!$E$5:$E$204)),"")</f>
        <v/>
      </c>
      <c r="H708" s="182" t="str">
        <f>IFERROR(LOOKUP(2,1/((D_Points!$A$5:$A$204&lt;&gt;"")*(D_Points!$A$5:$A$204&gt;=$B708)*(D_Points!$A$5:$A$204&lt;$B708+P_Interval)*(UPPER(TRIM(D_Points!$B$5:$B$204))="GULLY")*(D_Points!$H$5:$H$204&lt;&gt;"")),D_Points!$H$5:$H$204),"")</f>
        <v/>
      </c>
      <c r="I708" s="181" t="str">
        <f>IFERROR(LOOKUP(2,1/((A_Corridor!$A$5:$A$204&lt;&gt;"")*(A_Corridor!$A$5:$A$204&lt;=$B708)*(A_Corridor!$B$5:$B$204&gt;$B708)*(A_Corridor!$F$5:$F$204&lt;&gt;"")),IF(A_Corridor!$F$5:$F$204="-","",1)),"")</f>
        <v/>
      </c>
      <c r="J708" s="182" t="str">
        <f>IFERROR(LOOKUP(2,1/((A_Corridor!$A$5:$A$204&lt;&gt;"")*(A_Corridor!$A$5:$A$204&lt;=$B708)*(A_Corridor!$B$5:$B$204&gt;$B708)*(A_Corridor!$F$5:$F$204&lt;&gt;"")),IF(A_Corridor!$F$5:$F$204="-","",A_Corridor!$F$5:$F$204)),"")</f>
        <v/>
      </c>
      <c r="K708" s="182" t="str">
        <f>IFERROR(LOOKUP(2,1/((A_Corridor!$A$5:$A$204&lt;&gt;"")*(A_Corridor!$A$5:$A$204&lt;=$B708)*(A_Corridor!$B$5:$B$204&gt;$B708)*(A_Corridor!$G$5:$G$204&lt;&gt;"")),IF(A_Corridor!$G$5:$G$204="-","",A_Corridor!$G$5:$G$204)),"")</f>
        <v/>
      </c>
      <c r="L708" s="181" t="str">
        <f>IFERROR(LOOKUP(2,1/((A_Corridor!$A$5:$A$204&lt;&gt;"")*(A_Corridor!$A$5:$A$204&lt;=$B708)*(A_Corridor!$B$5:$B$204&gt;$B708)*(A_Corridor!$H$5:$H$204&lt;&gt;"")),IF(A_Corridor!$H$5:$H$204="-","",1)),"")</f>
        <v/>
      </c>
      <c r="M708" s="182" t="str">
        <f>IFERROR(LOOKUP(2,1/((A_Corridor!$A$5:$A$204&lt;&gt;"")*(A_Corridor!$A$5:$A$204&lt;=$B708)*(A_Corridor!$B$5:$B$204&gt;$B708)*(A_Corridor!$H$5:$H$204&lt;&gt;"")),IF(A_Corridor!$H$5:$H$204="-","",A_Corridor!$H$5:$H$204)),"")</f>
        <v/>
      </c>
      <c r="N708" s="182" t="str">
        <f>IFERROR(LOOKUP(2,1/((A_Corridor!$A$5:$A$204&lt;&gt;"")*(A_Corridor!$A$5:$A$204&lt;=$B708)*(A_Corridor!$B$5:$B$204&gt;$B708)*(A_Corridor!$I$5:$I$204&lt;&gt;"")),IF(A_Corridor!$I$5:$I$204="-","",A_Corridor!$I$5:$I$204)),"")</f>
        <v/>
      </c>
      <c r="O708" s="182" t="str">
        <f>IFERROR(LOOKUP(2,1/((D_Points!$A$5:$A$204&lt;&gt;"")*(D_Points!$A$5:$A$204&gt;=$B708)*(D_Points!$A$5:$A$204&lt;$B708+P_Interval)*(UPPER(TRIM(D_Points!$B$5:$B$204))="PITCHING")*(D_Points!$H$5:$H$204&lt;&gt;"")),D_Points!$H$5:$H$204),"")</f>
        <v/>
      </c>
      <c r="P708" s="181" t="str">
        <f>IFERROR(LOOKUP(2,1/((B_Drainage!$A$5:$A$204&lt;&gt;"")*(B_Drainage!$A$5:$A$204&lt;=$B708)*(B_Drainage!$B$5:$B$204&gt;$B708)*(B_Drainage!$C$5:$C$204&lt;&gt;"")),IF(B_Drainage!$C$5:$C$204="-","",UPPER(B_Drainage!$C$5:$C$204))),"")</f>
        <v/>
      </c>
      <c r="Q708" s="181" t="str">
        <f>IFERROR(LOOKUP(2,1/((B_Drainage!$A$5:$A$204&lt;&gt;"")*(B_Drainage!$A$5:$A$204&lt;=$B708)*(B_Drainage!$B$5:$B$204&gt;$B708)*(B_Drainage!$D$5:$D$204&lt;&gt;"")),IF(B_Drainage!$D$5:$D$204="-","",UPPER(B_Drainage!$D$5:$D$204))),"")</f>
        <v/>
      </c>
      <c r="R708" s="182" t="str">
        <f>IFERROR(LOOKUP(2,1/((D_Points!$A$5:$A$204&lt;&gt;"")*(D_Points!$A$5:$A$204&gt;=$B708)*(D_Points!$A$5:$A$204&lt;$B708+P_Interval)*(RIGHT(UPPER(TRIM(D_Points!$B$5:$B$204)),8)="_CULVERT")),IF(LEFT(UPPER(TRIM(D_Points!$B$5:$B$204)),2)="EX",1,IF(LEFT(UPPER(TRIM(D_Points!$B$5:$B$204)),2)="PR",2,3))),"")</f>
        <v/>
      </c>
      <c r="S708" s="182" t="str">
        <f>IFERROR(LOOKUP(2,1/((D_Points!$A$5:$A$204&lt;&gt;"")*(D_Points!$A$5:$A$204&gt;=$B708)*(D_Points!$A$5:$A$204&lt;$B708+P_Interval)*(RIGHT(UPPER(TRIM(D_Points!$B$5:$B$204)),7)="_BRIDGE")),IF(LEFT(UPPER(TRIM(D_Points!$B$5:$B$204)),2)="EX",1,IF(LEFT(UPPER(TRIM(D_Points!$B$5:$B$204)),2)="PR",2,2))),"")</f>
        <v/>
      </c>
      <c r="T708" s="181" t="str">
        <f>IFERROR(LOOKUP(2,1/((B_Drainage!$A$5:$A$204&lt;&gt;"")*(B_Drainage!$A$5:$A$204&lt;=$B708)*(B_Drainage!$B$5:$B$204&gt;$B708)*(B_Drainage!$E$5:$E$204&lt;&gt;"")),IF(B_Drainage!$E$5:$E$204="-","",1)),"")</f>
        <v/>
      </c>
      <c r="U708" s="181" t="str">
        <f>IFERROR(LOOKUP(2,1/((B_Drainage!$A$5:$A$204&lt;&gt;"")*(B_Drainage!$A$5:$A$204&lt;=$B708)*(B_Drainage!$B$5:$B$204&gt;$B708)*(B_Drainage!$E$5:$E$204&lt;&gt;"")),IF(B_Drainage!$E$5:$E$204="-","",B_Drainage!$E$5:$E$204)),"")</f>
        <v/>
      </c>
      <c r="V708" s="181" t="str">
        <f>IFERROR(LOOKUP(2,1/((B_Drainage!$A$5:$A$204&lt;&gt;"")*(B_Drainage!$A$5:$A$204&lt;=$B708)*(B_Drainage!$B$5:$B$204&gt;$B708)*(B_Drainage!$F$5:$F$204&lt;&gt;"")),IF(B_Drainage!$F$5:$F$204="-","",1)),"")</f>
        <v/>
      </c>
      <c r="W708" s="181" t="str">
        <f>IFERROR(LOOKUP(2,1/((B_Drainage!$A$5:$A$204&lt;&gt;"")*(B_Drainage!$A$5:$A$204&lt;=$B708)*(B_Drainage!$B$5:$B$204&gt;$B708)*(B_Drainage!$F$5:$F$204&lt;&gt;"")),IF(B_Drainage!$F$5:$F$204="-","",B_Drainage!$F$5:$F$204)),"")</f>
        <v/>
      </c>
      <c r="X708" s="181" t="str">
        <f>IFERROR(LOOKUP(2,1/((B_Drainage!$A$5:$A$204&lt;&gt;"")*(B_Drainage!$A$5:$A$204&lt;=$B708)*(B_Drainage!$B$5:$B$204&gt;$B708)*(B_Drainage!$G$5:$G$204&lt;&gt;"")),IF(UPPER(B_Drainage!$G$5:$G$204)="Y",1,"")),"")</f>
        <v/>
      </c>
      <c r="Y708" s="181" t="str">
        <f>IFERROR(LOOKUP(2,1/((B_Drainage!$A$5:$A$204&lt;&gt;"")*(B_Drainage!$A$5:$A$204&lt;=$B708)*(B_Drainage!$B$5:$B$204&gt;$B708)*(B_Drainage!$H$5:$H$204&lt;&gt;"")),IF(UPPER(B_Drainage!$H$5:$H$204)="Y",1,"")),"")</f>
        <v/>
      </c>
      <c r="Z708" s="181" t="str">
        <f>IFERROR(LOOKUP(2,1/((B_Drainage!$A$5:$A$204&lt;&gt;"")*(B_Drainage!$A$5:$A$204&lt;=$B708)*(B_Drainage!$B$5:$B$204&gt;$B708)*(B_Drainage!$I$5:$I$204&lt;&gt;"")),IF(UPPER(B_Drainage!$I$5:$I$204)="Y",1,"")),"")</f>
        <v/>
      </c>
      <c r="AA708" s="181" t="str">
        <f>IFERROR(LOOKUP(2,1/((B_Drainage!$A$5:$A$204&lt;&gt;"")*(B_Drainage!$A$5:$A$204&lt;=$B708)*(B_Drainage!$B$5:$B$204&gt;$B708)*(B_Drainage!$J$5:$J$204&lt;&gt;"")),IF(UPPER(B_Drainage!$J$5:$J$204)="Y",1,"")),"")</f>
        <v/>
      </c>
      <c r="AB708" s="182" t="str">
        <f>IFERROR(LOOKUP(2,1/((B_Drainage!$A$5:$A$204&lt;&gt;"")*(B_Drainage!$A$5:$A$204&lt;=$B708)*(B_Drainage!$B$5:$B$204&gt;$B708)*(B_Drainage!$K$5:$K$204&lt;&gt;"")),IF(B_Drainage!$K$5:$K$204="-","",B_Drainage!$K$5:$K$204)),"")</f>
        <v/>
      </c>
      <c r="AC708" s="182" t="str">
        <f>IFERROR(LOOKUP(2,1/((B_Drainage!$A$5:$A$204&lt;&gt;"")*(B_Drainage!$A$5:$A$204&lt;=$B708)*(B_Drainage!$B$5:$B$204&gt;$B708)*(B_Drainage!$L$5:$L$204&lt;&gt;"")),IF(B_Drainage!$L$5:$L$204="-","",B_Drainage!$L$5:$L$204)),"")</f>
        <v/>
      </c>
      <c r="AD708" s="182" t="str">
        <f>IFERROR(LOOKUP(2,1/((D_Points!$A$5:$A$204&lt;&gt;"")*(D_Points!$A$5:$A$204&gt;=$B708)*(D_Points!$A$5:$A$204&lt;$B708+P_Interval)*(UPPER(TRIM(D_Points!$B$5:$B$204))="TURNOUT_L")*(D_Points!$H$5:$H$204&lt;&gt;"")),D_Points!$H$5:$H$204),"")</f>
        <v/>
      </c>
      <c r="AE708" s="182" t="str">
        <f>IFERROR(LOOKUP(2,1/((D_Points!$A$5:$A$204&lt;&gt;"")*(D_Points!$A$5:$A$204&gt;=$B708)*(D_Points!$A$5:$A$204&lt;$B708+P_Interval)*(UPPER(TRIM(D_Points!$B$5:$B$204))="TURNOUT_R")*(D_Points!$H$5:$H$204&lt;&gt;"")),D_Points!$H$5:$H$204),"")</f>
        <v/>
      </c>
      <c r="AF708" s="181" t="str">
        <f>IFERROR(LOOKUP(2,1/((B_Drainage!$A$5:$A$204&lt;&gt;"")*(B_Drainage!$A$5:$A$204&lt;=$B708)*(B_Drainage!$B$5:$B$204&gt;$B708)*(B_Drainage!$M$5:$M$204&lt;&gt;"")),IF(UPPER(B_Drainage!$M$5:$M$204)="Y",1,"")),"")</f>
        <v/>
      </c>
      <c r="AG708" s="181" t="str">
        <f>IFERROR(LOOKUP(2,1/((B_Drainage!$A$5:$A$204&lt;&gt;"")*(B_Drainage!$A$5:$A$204&lt;=$B708)*(B_Drainage!$B$5:$B$204&gt;$B708)*(B_Drainage!$N$5:$N$204&lt;&gt;"")),IF(UPPER(B_Drainage!$N$5:$N$204)="Y",1,"")),"")</f>
        <v/>
      </c>
      <c r="AH708" s="181" t="str">
        <f t="shared" si="80"/>
        <v/>
      </c>
      <c r="AI708" s="181" t="str">
        <f t="shared" si="81"/>
        <v/>
      </c>
      <c r="AJ708" s="181" t="str">
        <f t="shared" si="82"/>
        <v/>
      </c>
      <c r="AK708" s="181" t="str">
        <f t="shared" si="83"/>
        <v/>
      </c>
      <c r="AL708" s="181" t="str">
        <f t="shared" si="84"/>
        <v/>
      </c>
      <c r="AM708" s="181" t="str">
        <f t="shared" si="85"/>
        <v/>
      </c>
      <c r="AN708" s="181" t="str">
        <f t="shared" si="86"/>
        <v/>
      </c>
      <c r="AO708" s="192" t="str">
        <f t="shared" si="87"/>
        <v/>
      </c>
      <c r="AQ708" t="str">
        <f>IFERROR(LOOKUP(2,1/((C_Pavement!$A$5:$A$204&lt;&gt;"")*(C_Pavement!$A$5:$A$204&lt;=$B708)*(C_Pavement!$B$5:$B$204&gt;$B708)*(C_Pavement!$C$5:$C$204&lt;&gt;"")),ROW(C_Pavement!$C$5:$C$204)-4),"")</f>
        <v/>
      </c>
      <c r="AR708" t="str">
        <f>IF($AQ708="","",UPPER(TRIM(INDEX(C_Pavement!$C$5:$C$204,$AQ708))))</f>
        <v/>
      </c>
      <c r="AS708" t="str">
        <f>IF($AR708="","",IFERROR(MATCH($AR708,E_Rules!$A$5:$A$9,0),""))</f>
        <v/>
      </c>
      <c r="AT708" t="str">
        <f>IF($AQ708="","",IF(INDEX(C_Pavement!$D$5:$D$204,$AQ708)&lt;&gt;"",UPPER(TRIM(INDEX(C_Pavement!$D$5:$D$204,$AQ708))),IF($AS708="","",INDEX(E_Rules!$C$5:$C$9,$AS708))))</f>
        <v/>
      </c>
      <c r="AU708" t="str">
        <f>IF($AQ708="","",IF(INDEX(C_Pavement!$E$5:$E$204,$AQ708)&lt;&gt;"",IF(INDEX(C_Pavement!$E$5:$E$204,$AQ708)="-","",INDEX(C_Pavement!$E$5:$E$204,$AQ708)),IF($AS708="","",INDEX(E_Rules!$D$5:$D$9,$AS708))))</f>
        <v/>
      </c>
      <c r="AV708" t="str">
        <f>IF($AQ708="","",IF(INDEX(C_Pavement!$F$5:$F$204,$AQ708)&lt;&gt;"",IF(INDEX(C_Pavement!$F$5:$F$204,$AQ708)="-","",INDEX(C_Pavement!$F$5:$F$204,$AQ708)),IF($AS708="","",INDEX(E_Rules!$E$5:$E$9,$AS708))))</f>
        <v/>
      </c>
      <c r="AW708" t="str">
        <f>IF($AQ708="","",IF(INDEX(C_Pavement!$G$5:$G$204,$AQ708)&lt;&gt;"",IF(INDEX(C_Pavement!$G$5:$G$204,$AQ708)="-","",INDEX(C_Pavement!$G$5:$G$204,$AQ708)),IF($AS708="","",INDEX(E_Rules!$F$5:$F$9,$AS708))))</f>
        <v/>
      </c>
      <c r="AX708" t="str">
        <f>IF($AQ708="","",IF(INDEX(C_Pavement!$H$5:$H$204,$AQ708)&lt;&gt;"",IF(INDEX(C_Pavement!$H$5:$H$204,$AQ708)="-","",INDEX(C_Pavement!$H$5:$H$204,$AQ708)),IF($AS708="","",INDEX(E_Rules!$G$5:$G$9,$AS708))))</f>
        <v/>
      </c>
      <c r="AY708" t="str">
        <f>IF($AQ708="","",IF(INDEX(C_Pavement!$I$5:$I$204,$AQ708)&lt;&gt;"",IF(INDEX(C_Pavement!$I$5:$I$204,$AQ708)="-","",INDEX(C_Pavement!$I$5:$I$204,$AQ708)),IF($AS708="","",INDEX(E_Rules!$H$5:$H$9,$AS708))))</f>
        <v/>
      </c>
    </row>
    <row r="709" spans="1:51" ht="15.75" customHeight="1" x14ac:dyDescent="0.3">
      <c r="A709" s="189">
        <v>704</v>
      </c>
      <c r="B709" s="180">
        <v>35150</v>
      </c>
      <c r="C709" s="180" t="s">
        <v>1015</v>
      </c>
      <c r="D709" s="181" t="str">
        <f>IFERROR(LOOKUP(2,1/((A_Corridor!$A$5:$A$204&lt;&gt;"")*(A_Corridor!$A$5:$A$204&lt;=$B709)*(A_Corridor!$B$5:$B$204&gt;$B709)*(A_Corridor!$C$5:$C$204&lt;&gt;"")),IF(UPPER(A_Corridor!$C$5:$C$204)="Y",1,"")),"")</f>
        <v/>
      </c>
      <c r="E709" s="181" t="str">
        <f>IFERROR(LOOKUP(2,1/((A_Corridor!$A$5:$A$204&lt;&gt;"")*(A_Corridor!$A$5:$A$204&lt;=$B709)*(A_Corridor!$B$5:$B$204&gt;$B709)*(A_Corridor!$D$5:$D$204&lt;&gt;"")),IF(A_Corridor!$D$5:$D$204="-","",UPPER(A_Corridor!$D$5:$D$204))),"")</f>
        <v/>
      </c>
      <c r="F709" s="181" t="str">
        <f>IFERROR(LOOKUP(2,1/((A_Corridor!$A$5:$A$204&lt;&gt;"")*(A_Corridor!$A$5:$A$204&lt;=$B709)*(A_Corridor!$B$5:$B$204&gt;$B709)*(A_Corridor!$E$5:$E$204&lt;&gt;"")),IF(A_Corridor!$E$5:$E$204="-","",1)),"")</f>
        <v/>
      </c>
      <c r="G709" s="182" t="str">
        <f>IFERROR(LOOKUP(2,1/((A_Corridor!$A$5:$A$204&lt;&gt;"")*(A_Corridor!$A$5:$A$204&lt;=$B709)*(A_Corridor!$B$5:$B$204&gt;$B709)*(A_Corridor!$E$5:$E$204&lt;&gt;"")),IF(A_Corridor!$E$5:$E$204="-","",A_Corridor!$E$5:$E$204)),"")</f>
        <v/>
      </c>
      <c r="H709" s="182" t="str">
        <f>IFERROR(LOOKUP(2,1/((D_Points!$A$5:$A$204&lt;&gt;"")*(D_Points!$A$5:$A$204&gt;=$B709)*(D_Points!$A$5:$A$204&lt;$B709+P_Interval)*(UPPER(TRIM(D_Points!$B$5:$B$204))="GULLY")*(D_Points!$H$5:$H$204&lt;&gt;"")),D_Points!$H$5:$H$204),"")</f>
        <v/>
      </c>
      <c r="I709" s="181" t="str">
        <f>IFERROR(LOOKUP(2,1/((A_Corridor!$A$5:$A$204&lt;&gt;"")*(A_Corridor!$A$5:$A$204&lt;=$B709)*(A_Corridor!$B$5:$B$204&gt;$B709)*(A_Corridor!$F$5:$F$204&lt;&gt;"")),IF(A_Corridor!$F$5:$F$204="-","",1)),"")</f>
        <v/>
      </c>
      <c r="J709" s="182" t="str">
        <f>IFERROR(LOOKUP(2,1/((A_Corridor!$A$5:$A$204&lt;&gt;"")*(A_Corridor!$A$5:$A$204&lt;=$B709)*(A_Corridor!$B$5:$B$204&gt;$B709)*(A_Corridor!$F$5:$F$204&lt;&gt;"")),IF(A_Corridor!$F$5:$F$204="-","",A_Corridor!$F$5:$F$204)),"")</f>
        <v/>
      </c>
      <c r="K709" s="182" t="str">
        <f>IFERROR(LOOKUP(2,1/((A_Corridor!$A$5:$A$204&lt;&gt;"")*(A_Corridor!$A$5:$A$204&lt;=$B709)*(A_Corridor!$B$5:$B$204&gt;$B709)*(A_Corridor!$G$5:$G$204&lt;&gt;"")),IF(A_Corridor!$G$5:$G$204="-","",A_Corridor!$G$5:$G$204)),"")</f>
        <v/>
      </c>
      <c r="L709" s="181" t="str">
        <f>IFERROR(LOOKUP(2,1/((A_Corridor!$A$5:$A$204&lt;&gt;"")*(A_Corridor!$A$5:$A$204&lt;=$B709)*(A_Corridor!$B$5:$B$204&gt;$B709)*(A_Corridor!$H$5:$H$204&lt;&gt;"")),IF(A_Corridor!$H$5:$H$204="-","",1)),"")</f>
        <v/>
      </c>
      <c r="M709" s="182" t="str">
        <f>IFERROR(LOOKUP(2,1/((A_Corridor!$A$5:$A$204&lt;&gt;"")*(A_Corridor!$A$5:$A$204&lt;=$B709)*(A_Corridor!$B$5:$B$204&gt;$B709)*(A_Corridor!$H$5:$H$204&lt;&gt;"")),IF(A_Corridor!$H$5:$H$204="-","",A_Corridor!$H$5:$H$204)),"")</f>
        <v/>
      </c>
      <c r="N709" s="182" t="str">
        <f>IFERROR(LOOKUP(2,1/((A_Corridor!$A$5:$A$204&lt;&gt;"")*(A_Corridor!$A$5:$A$204&lt;=$B709)*(A_Corridor!$B$5:$B$204&gt;$B709)*(A_Corridor!$I$5:$I$204&lt;&gt;"")),IF(A_Corridor!$I$5:$I$204="-","",A_Corridor!$I$5:$I$204)),"")</f>
        <v/>
      </c>
      <c r="O709" s="182" t="str">
        <f>IFERROR(LOOKUP(2,1/((D_Points!$A$5:$A$204&lt;&gt;"")*(D_Points!$A$5:$A$204&gt;=$B709)*(D_Points!$A$5:$A$204&lt;$B709+P_Interval)*(UPPER(TRIM(D_Points!$B$5:$B$204))="PITCHING")*(D_Points!$H$5:$H$204&lt;&gt;"")),D_Points!$H$5:$H$204),"")</f>
        <v/>
      </c>
      <c r="P709" s="181" t="str">
        <f>IFERROR(LOOKUP(2,1/((B_Drainage!$A$5:$A$204&lt;&gt;"")*(B_Drainage!$A$5:$A$204&lt;=$B709)*(B_Drainage!$B$5:$B$204&gt;$B709)*(B_Drainage!$C$5:$C$204&lt;&gt;"")),IF(B_Drainage!$C$5:$C$204="-","",UPPER(B_Drainage!$C$5:$C$204))),"")</f>
        <v/>
      </c>
      <c r="Q709" s="181" t="str">
        <f>IFERROR(LOOKUP(2,1/((B_Drainage!$A$5:$A$204&lt;&gt;"")*(B_Drainage!$A$5:$A$204&lt;=$B709)*(B_Drainage!$B$5:$B$204&gt;$B709)*(B_Drainage!$D$5:$D$204&lt;&gt;"")),IF(B_Drainage!$D$5:$D$204="-","",UPPER(B_Drainage!$D$5:$D$204))),"")</f>
        <v/>
      </c>
      <c r="R709" s="182" t="str">
        <f>IFERROR(LOOKUP(2,1/((D_Points!$A$5:$A$204&lt;&gt;"")*(D_Points!$A$5:$A$204&gt;=$B709)*(D_Points!$A$5:$A$204&lt;$B709+P_Interval)*(RIGHT(UPPER(TRIM(D_Points!$B$5:$B$204)),8)="_CULVERT")),IF(LEFT(UPPER(TRIM(D_Points!$B$5:$B$204)),2)="EX",1,IF(LEFT(UPPER(TRIM(D_Points!$B$5:$B$204)),2)="PR",2,3))),"")</f>
        <v/>
      </c>
      <c r="S709" s="182" t="str">
        <f>IFERROR(LOOKUP(2,1/((D_Points!$A$5:$A$204&lt;&gt;"")*(D_Points!$A$5:$A$204&gt;=$B709)*(D_Points!$A$5:$A$204&lt;$B709+P_Interval)*(RIGHT(UPPER(TRIM(D_Points!$B$5:$B$204)),7)="_BRIDGE")),IF(LEFT(UPPER(TRIM(D_Points!$B$5:$B$204)),2)="EX",1,IF(LEFT(UPPER(TRIM(D_Points!$B$5:$B$204)),2)="PR",2,2))),"")</f>
        <v/>
      </c>
      <c r="T709" s="181" t="str">
        <f>IFERROR(LOOKUP(2,1/((B_Drainage!$A$5:$A$204&lt;&gt;"")*(B_Drainage!$A$5:$A$204&lt;=$B709)*(B_Drainage!$B$5:$B$204&gt;$B709)*(B_Drainage!$E$5:$E$204&lt;&gt;"")),IF(B_Drainage!$E$5:$E$204="-","",1)),"")</f>
        <v/>
      </c>
      <c r="U709" s="181" t="str">
        <f>IFERROR(LOOKUP(2,1/((B_Drainage!$A$5:$A$204&lt;&gt;"")*(B_Drainage!$A$5:$A$204&lt;=$B709)*(B_Drainage!$B$5:$B$204&gt;$B709)*(B_Drainage!$E$5:$E$204&lt;&gt;"")),IF(B_Drainage!$E$5:$E$204="-","",B_Drainage!$E$5:$E$204)),"")</f>
        <v/>
      </c>
      <c r="V709" s="181" t="str">
        <f>IFERROR(LOOKUP(2,1/((B_Drainage!$A$5:$A$204&lt;&gt;"")*(B_Drainage!$A$5:$A$204&lt;=$B709)*(B_Drainage!$B$5:$B$204&gt;$B709)*(B_Drainage!$F$5:$F$204&lt;&gt;"")),IF(B_Drainage!$F$5:$F$204="-","",1)),"")</f>
        <v/>
      </c>
      <c r="W709" s="181" t="str">
        <f>IFERROR(LOOKUP(2,1/((B_Drainage!$A$5:$A$204&lt;&gt;"")*(B_Drainage!$A$5:$A$204&lt;=$B709)*(B_Drainage!$B$5:$B$204&gt;$B709)*(B_Drainage!$F$5:$F$204&lt;&gt;"")),IF(B_Drainage!$F$5:$F$204="-","",B_Drainage!$F$5:$F$204)),"")</f>
        <v/>
      </c>
      <c r="X709" s="181" t="str">
        <f>IFERROR(LOOKUP(2,1/((B_Drainage!$A$5:$A$204&lt;&gt;"")*(B_Drainage!$A$5:$A$204&lt;=$B709)*(B_Drainage!$B$5:$B$204&gt;$B709)*(B_Drainage!$G$5:$G$204&lt;&gt;"")),IF(UPPER(B_Drainage!$G$5:$G$204)="Y",1,"")),"")</f>
        <v/>
      </c>
      <c r="Y709" s="181" t="str">
        <f>IFERROR(LOOKUP(2,1/((B_Drainage!$A$5:$A$204&lt;&gt;"")*(B_Drainage!$A$5:$A$204&lt;=$B709)*(B_Drainage!$B$5:$B$204&gt;$B709)*(B_Drainage!$H$5:$H$204&lt;&gt;"")),IF(UPPER(B_Drainage!$H$5:$H$204)="Y",1,"")),"")</f>
        <v/>
      </c>
      <c r="Z709" s="181" t="str">
        <f>IFERROR(LOOKUP(2,1/((B_Drainage!$A$5:$A$204&lt;&gt;"")*(B_Drainage!$A$5:$A$204&lt;=$B709)*(B_Drainage!$B$5:$B$204&gt;$B709)*(B_Drainage!$I$5:$I$204&lt;&gt;"")),IF(UPPER(B_Drainage!$I$5:$I$204)="Y",1,"")),"")</f>
        <v/>
      </c>
      <c r="AA709" s="181" t="str">
        <f>IFERROR(LOOKUP(2,1/((B_Drainage!$A$5:$A$204&lt;&gt;"")*(B_Drainage!$A$5:$A$204&lt;=$B709)*(B_Drainage!$B$5:$B$204&gt;$B709)*(B_Drainage!$J$5:$J$204&lt;&gt;"")),IF(UPPER(B_Drainage!$J$5:$J$204)="Y",1,"")),"")</f>
        <v/>
      </c>
      <c r="AB709" s="182" t="str">
        <f>IFERROR(LOOKUP(2,1/((B_Drainage!$A$5:$A$204&lt;&gt;"")*(B_Drainage!$A$5:$A$204&lt;=$B709)*(B_Drainage!$B$5:$B$204&gt;$B709)*(B_Drainage!$K$5:$K$204&lt;&gt;"")),IF(B_Drainage!$K$5:$K$204="-","",B_Drainage!$K$5:$K$204)),"")</f>
        <v/>
      </c>
      <c r="AC709" s="182" t="str">
        <f>IFERROR(LOOKUP(2,1/((B_Drainage!$A$5:$A$204&lt;&gt;"")*(B_Drainage!$A$5:$A$204&lt;=$B709)*(B_Drainage!$B$5:$B$204&gt;$B709)*(B_Drainage!$L$5:$L$204&lt;&gt;"")),IF(B_Drainage!$L$5:$L$204="-","",B_Drainage!$L$5:$L$204)),"")</f>
        <v/>
      </c>
      <c r="AD709" s="182" t="str">
        <f>IFERROR(LOOKUP(2,1/((D_Points!$A$5:$A$204&lt;&gt;"")*(D_Points!$A$5:$A$204&gt;=$B709)*(D_Points!$A$5:$A$204&lt;$B709+P_Interval)*(UPPER(TRIM(D_Points!$B$5:$B$204))="TURNOUT_L")*(D_Points!$H$5:$H$204&lt;&gt;"")),D_Points!$H$5:$H$204),"")</f>
        <v/>
      </c>
      <c r="AE709" s="182" t="str">
        <f>IFERROR(LOOKUP(2,1/((D_Points!$A$5:$A$204&lt;&gt;"")*(D_Points!$A$5:$A$204&gt;=$B709)*(D_Points!$A$5:$A$204&lt;$B709+P_Interval)*(UPPER(TRIM(D_Points!$B$5:$B$204))="TURNOUT_R")*(D_Points!$H$5:$H$204&lt;&gt;"")),D_Points!$H$5:$H$204),"")</f>
        <v/>
      </c>
      <c r="AF709" s="181" t="str">
        <f>IFERROR(LOOKUP(2,1/((B_Drainage!$A$5:$A$204&lt;&gt;"")*(B_Drainage!$A$5:$A$204&lt;=$B709)*(B_Drainage!$B$5:$B$204&gt;$B709)*(B_Drainage!$M$5:$M$204&lt;&gt;"")),IF(UPPER(B_Drainage!$M$5:$M$204)="Y",1,"")),"")</f>
        <v/>
      </c>
      <c r="AG709" s="181" t="str">
        <f>IFERROR(LOOKUP(2,1/((B_Drainage!$A$5:$A$204&lt;&gt;"")*(B_Drainage!$A$5:$A$204&lt;=$B709)*(B_Drainage!$B$5:$B$204&gt;$B709)*(B_Drainage!$N$5:$N$204&lt;&gt;"")),IF(UPPER(B_Drainage!$N$5:$N$204)="Y",1,"")),"")</f>
        <v/>
      </c>
      <c r="AH709" s="181" t="str">
        <f t="shared" si="80"/>
        <v/>
      </c>
      <c r="AI709" s="181" t="str">
        <f t="shared" si="81"/>
        <v/>
      </c>
      <c r="AJ709" s="181" t="str">
        <f t="shared" si="82"/>
        <v/>
      </c>
      <c r="AK709" s="181" t="str">
        <f t="shared" si="83"/>
        <v/>
      </c>
      <c r="AL709" s="181" t="str">
        <f t="shared" si="84"/>
        <v/>
      </c>
      <c r="AM709" s="181" t="str">
        <f t="shared" si="85"/>
        <v/>
      </c>
      <c r="AN709" s="181" t="str">
        <f t="shared" si="86"/>
        <v/>
      </c>
      <c r="AO709" s="192" t="str">
        <f t="shared" si="87"/>
        <v/>
      </c>
      <c r="AQ709" t="str">
        <f>IFERROR(LOOKUP(2,1/((C_Pavement!$A$5:$A$204&lt;&gt;"")*(C_Pavement!$A$5:$A$204&lt;=$B709)*(C_Pavement!$B$5:$B$204&gt;$B709)*(C_Pavement!$C$5:$C$204&lt;&gt;"")),ROW(C_Pavement!$C$5:$C$204)-4),"")</f>
        <v/>
      </c>
      <c r="AR709" t="str">
        <f>IF($AQ709="","",UPPER(TRIM(INDEX(C_Pavement!$C$5:$C$204,$AQ709))))</f>
        <v/>
      </c>
      <c r="AS709" t="str">
        <f>IF($AR709="","",IFERROR(MATCH($AR709,E_Rules!$A$5:$A$9,0),""))</f>
        <v/>
      </c>
      <c r="AT709" t="str">
        <f>IF($AQ709="","",IF(INDEX(C_Pavement!$D$5:$D$204,$AQ709)&lt;&gt;"",UPPER(TRIM(INDEX(C_Pavement!$D$5:$D$204,$AQ709))),IF($AS709="","",INDEX(E_Rules!$C$5:$C$9,$AS709))))</f>
        <v/>
      </c>
      <c r="AU709" t="str">
        <f>IF($AQ709="","",IF(INDEX(C_Pavement!$E$5:$E$204,$AQ709)&lt;&gt;"",IF(INDEX(C_Pavement!$E$5:$E$204,$AQ709)="-","",INDEX(C_Pavement!$E$5:$E$204,$AQ709)),IF($AS709="","",INDEX(E_Rules!$D$5:$D$9,$AS709))))</f>
        <v/>
      </c>
      <c r="AV709" t="str">
        <f>IF($AQ709="","",IF(INDEX(C_Pavement!$F$5:$F$204,$AQ709)&lt;&gt;"",IF(INDEX(C_Pavement!$F$5:$F$204,$AQ709)="-","",INDEX(C_Pavement!$F$5:$F$204,$AQ709)),IF($AS709="","",INDEX(E_Rules!$E$5:$E$9,$AS709))))</f>
        <v/>
      </c>
      <c r="AW709" t="str">
        <f>IF($AQ709="","",IF(INDEX(C_Pavement!$G$5:$G$204,$AQ709)&lt;&gt;"",IF(INDEX(C_Pavement!$G$5:$G$204,$AQ709)="-","",INDEX(C_Pavement!$G$5:$G$204,$AQ709)),IF($AS709="","",INDEX(E_Rules!$F$5:$F$9,$AS709))))</f>
        <v/>
      </c>
      <c r="AX709" t="str">
        <f>IF($AQ709="","",IF(INDEX(C_Pavement!$H$5:$H$204,$AQ709)&lt;&gt;"",IF(INDEX(C_Pavement!$H$5:$H$204,$AQ709)="-","",INDEX(C_Pavement!$H$5:$H$204,$AQ709)),IF($AS709="","",INDEX(E_Rules!$G$5:$G$9,$AS709))))</f>
        <v/>
      </c>
      <c r="AY709" t="str">
        <f>IF($AQ709="","",IF(INDEX(C_Pavement!$I$5:$I$204,$AQ709)&lt;&gt;"",IF(INDEX(C_Pavement!$I$5:$I$204,$AQ709)="-","",INDEX(C_Pavement!$I$5:$I$204,$AQ709)),IF($AS709="","",INDEX(E_Rules!$H$5:$H$9,$AS709))))</f>
        <v/>
      </c>
    </row>
    <row r="710" spans="1:51" ht="15.75" customHeight="1" x14ac:dyDescent="0.3">
      <c r="A710" s="189">
        <v>705</v>
      </c>
      <c r="B710" s="180">
        <v>35200</v>
      </c>
      <c r="C710" s="180" t="s">
        <v>1016</v>
      </c>
      <c r="D710" s="181" t="str">
        <f>IFERROR(LOOKUP(2,1/((A_Corridor!$A$5:$A$204&lt;&gt;"")*(A_Corridor!$A$5:$A$204&lt;=$B710)*(A_Corridor!$B$5:$B$204&gt;$B710)*(A_Corridor!$C$5:$C$204&lt;&gt;"")),IF(UPPER(A_Corridor!$C$5:$C$204)="Y",1,"")),"")</f>
        <v/>
      </c>
      <c r="E710" s="181" t="str">
        <f>IFERROR(LOOKUP(2,1/((A_Corridor!$A$5:$A$204&lt;&gt;"")*(A_Corridor!$A$5:$A$204&lt;=$B710)*(A_Corridor!$B$5:$B$204&gt;$B710)*(A_Corridor!$D$5:$D$204&lt;&gt;"")),IF(A_Corridor!$D$5:$D$204="-","",UPPER(A_Corridor!$D$5:$D$204))),"")</f>
        <v/>
      </c>
      <c r="F710" s="181" t="str">
        <f>IFERROR(LOOKUP(2,1/((A_Corridor!$A$5:$A$204&lt;&gt;"")*(A_Corridor!$A$5:$A$204&lt;=$B710)*(A_Corridor!$B$5:$B$204&gt;$B710)*(A_Corridor!$E$5:$E$204&lt;&gt;"")),IF(A_Corridor!$E$5:$E$204="-","",1)),"")</f>
        <v/>
      </c>
      <c r="G710" s="182" t="str">
        <f>IFERROR(LOOKUP(2,1/((A_Corridor!$A$5:$A$204&lt;&gt;"")*(A_Corridor!$A$5:$A$204&lt;=$B710)*(A_Corridor!$B$5:$B$204&gt;$B710)*(A_Corridor!$E$5:$E$204&lt;&gt;"")),IF(A_Corridor!$E$5:$E$204="-","",A_Corridor!$E$5:$E$204)),"")</f>
        <v/>
      </c>
      <c r="H710" s="182" t="str">
        <f>IFERROR(LOOKUP(2,1/((D_Points!$A$5:$A$204&lt;&gt;"")*(D_Points!$A$5:$A$204&gt;=$B710)*(D_Points!$A$5:$A$204&lt;$B710+P_Interval)*(UPPER(TRIM(D_Points!$B$5:$B$204))="GULLY")*(D_Points!$H$5:$H$204&lt;&gt;"")),D_Points!$H$5:$H$204),"")</f>
        <v/>
      </c>
      <c r="I710" s="181" t="str">
        <f>IFERROR(LOOKUP(2,1/((A_Corridor!$A$5:$A$204&lt;&gt;"")*(A_Corridor!$A$5:$A$204&lt;=$B710)*(A_Corridor!$B$5:$B$204&gt;$B710)*(A_Corridor!$F$5:$F$204&lt;&gt;"")),IF(A_Corridor!$F$5:$F$204="-","",1)),"")</f>
        <v/>
      </c>
      <c r="J710" s="182" t="str">
        <f>IFERROR(LOOKUP(2,1/((A_Corridor!$A$5:$A$204&lt;&gt;"")*(A_Corridor!$A$5:$A$204&lt;=$B710)*(A_Corridor!$B$5:$B$204&gt;$B710)*(A_Corridor!$F$5:$F$204&lt;&gt;"")),IF(A_Corridor!$F$5:$F$204="-","",A_Corridor!$F$5:$F$204)),"")</f>
        <v/>
      </c>
      <c r="K710" s="182" t="str">
        <f>IFERROR(LOOKUP(2,1/((A_Corridor!$A$5:$A$204&lt;&gt;"")*(A_Corridor!$A$5:$A$204&lt;=$B710)*(A_Corridor!$B$5:$B$204&gt;$B710)*(A_Corridor!$G$5:$G$204&lt;&gt;"")),IF(A_Corridor!$G$5:$G$204="-","",A_Corridor!$G$5:$G$204)),"")</f>
        <v/>
      </c>
      <c r="L710" s="181" t="str">
        <f>IFERROR(LOOKUP(2,1/((A_Corridor!$A$5:$A$204&lt;&gt;"")*(A_Corridor!$A$5:$A$204&lt;=$B710)*(A_Corridor!$B$5:$B$204&gt;$B710)*(A_Corridor!$H$5:$H$204&lt;&gt;"")),IF(A_Corridor!$H$5:$H$204="-","",1)),"")</f>
        <v/>
      </c>
      <c r="M710" s="182" t="str">
        <f>IFERROR(LOOKUP(2,1/((A_Corridor!$A$5:$A$204&lt;&gt;"")*(A_Corridor!$A$5:$A$204&lt;=$B710)*(A_Corridor!$B$5:$B$204&gt;$B710)*(A_Corridor!$H$5:$H$204&lt;&gt;"")),IF(A_Corridor!$H$5:$H$204="-","",A_Corridor!$H$5:$H$204)),"")</f>
        <v/>
      </c>
      <c r="N710" s="182" t="str">
        <f>IFERROR(LOOKUP(2,1/((A_Corridor!$A$5:$A$204&lt;&gt;"")*(A_Corridor!$A$5:$A$204&lt;=$B710)*(A_Corridor!$B$5:$B$204&gt;$B710)*(A_Corridor!$I$5:$I$204&lt;&gt;"")),IF(A_Corridor!$I$5:$I$204="-","",A_Corridor!$I$5:$I$204)),"")</f>
        <v/>
      </c>
      <c r="O710" s="182" t="str">
        <f>IFERROR(LOOKUP(2,1/((D_Points!$A$5:$A$204&lt;&gt;"")*(D_Points!$A$5:$A$204&gt;=$B710)*(D_Points!$A$5:$A$204&lt;$B710+P_Interval)*(UPPER(TRIM(D_Points!$B$5:$B$204))="PITCHING")*(D_Points!$H$5:$H$204&lt;&gt;"")),D_Points!$H$5:$H$204),"")</f>
        <v/>
      </c>
      <c r="P710" s="181" t="str">
        <f>IFERROR(LOOKUP(2,1/((B_Drainage!$A$5:$A$204&lt;&gt;"")*(B_Drainage!$A$5:$A$204&lt;=$B710)*(B_Drainage!$B$5:$B$204&gt;$B710)*(B_Drainage!$C$5:$C$204&lt;&gt;"")),IF(B_Drainage!$C$5:$C$204="-","",UPPER(B_Drainage!$C$5:$C$204))),"")</f>
        <v/>
      </c>
      <c r="Q710" s="181" t="str">
        <f>IFERROR(LOOKUP(2,1/((B_Drainage!$A$5:$A$204&lt;&gt;"")*(B_Drainage!$A$5:$A$204&lt;=$B710)*(B_Drainage!$B$5:$B$204&gt;$B710)*(B_Drainage!$D$5:$D$204&lt;&gt;"")),IF(B_Drainage!$D$5:$D$204="-","",UPPER(B_Drainage!$D$5:$D$204))),"")</f>
        <v/>
      </c>
      <c r="R710" s="182" t="str">
        <f>IFERROR(LOOKUP(2,1/((D_Points!$A$5:$A$204&lt;&gt;"")*(D_Points!$A$5:$A$204&gt;=$B710)*(D_Points!$A$5:$A$204&lt;$B710+P_Interval)*(RIGHT(UPPER(TRIM(D_Points!$B$5:$B$204)),8)="_CULVERT")),IF(LEFT(UPPER(TRIM(D_Points!$B$5:$B$204)),2)="EX",1,IF(LEFT(UPPER(TRIM(D_Points!$B$5:$B$204)),2)="PR",2,3))),"")</f>
        <v/>
      </c>
      <c r="S710" s="182" t="str">
        <f>IFERROR(LOOKUP(2,1/((D_Points!$A$5:$A$204&lt;&gt;"")*(D_Points!$A$5:$A$204&gt;=$B710)*(D_Points!$A$5:$A$204&lt;$B710+P_Interval)*(RIGHT(UPPER(TRIM(D_Points!$B$5:$B$204)),7)="_BRIDGE")),IF(LEFT(UPPER(TRIM(D_Points!$B$5:$B$204)),2)="EX",1,IF(LEFT(UPPER(TRIM(D_Points!$B$5:$B$204)),2)="PR",2,2))),"")</f>
        <v/>
      </c>
      <c r="T710" s="181" t="str">
        <f>IFERROR(LOOKUP(2,1/((B_Drainage!$A$5:$A$204&lt;&gt;"")*(B_Drainage!$A$5:$A$204&lt;=$B710)*(B_Drainage!$B$5:$B$204&gt;$B710)*(B_Drainage!$E$5:$E$204&lt;&gt;"")),IF(B_Drainage!$E$5:$E$204="-","",1)),"")</f>
        <v/>
      </c>
      <c r="U710" s="181" t="str">
        <f>IFERROR(LOOKUP(2,1/((B_Drainage!$A$5:$A$204&lt;&gt;"")*(B_Drainage!$A$5:$A$204&lt;=$B710)*(B_Drainage!$B$5:$B$204&gt;$B710)*(B_Drainage!$E$5:$E$204&lt;&gt;"")),IF(B_Drainage!$E$5:$E$204="-","",B_Drainage!$E$5:$E$204)),"")</f>
        <v/>
      </c>
      <c r="V710" s="181" t="str">
        <f>IFERROR(LOOKUP(2,1/((B_Drainage!$A$5:$A$204&lt;&gt;"")*(B_Drainage!$A$5:$A$204&lt;=$B710)*(B_Drainage!$B$5:$B$204&gt;$B710)*(B_Drainage!$F$5:$F$204&lt;&gt;"")),IF(B_Drainage!$F$5:$F$204="-","",1)),"")</f>
        <v/>
      </c>
      <c r="W710" s="181" t="str">
        <f>IFERROR(LOOKUP(2,1/((B_Drainage!$A$5:$A$204&lt;&gt;"")*(B_Drainage!$A$5:$A$204&lt;=$B710)*(B_Drainage!$B$5:$B$204&gt;$B710)*(B_Drainage!$F$5:$F$204&lt;&gt;"")),IF(B_Drainage!$F$5:$F$204="-","",B_Drainage!$F$5:$F$204)),"")</f>
        <v/>
      </c>
      <c r="X710" s="181" t="str">
        <f>IFERROR(LOOKUP(2,1/((B_Drainage!$A$5:$A$204&lt;&gt;"")*(B_Drainage!$A$5:$A$204&lt;=$B710)*(B_Drainage!$B$5:$B$204&gt;$B710)*(B_Drainage!$G$5:$G$204&lt;&gt;"")),IF(UPPER(B_Drainage!$G$5:$G$204)="Y",1,"")),"")</f>
        <v/>
      </c>
      <c r="Y710" s="181" t="str">
        <f>IFERROR(LOOKUP(2,1/((B_Drainage!$A$5:$A$204&lt;&gt;"")*(B_Drainage!$A$5:$A$204&lt;=$B710)*(B_Drainage!$B$5:$B$204&gt;$B710)*(B_Drainage!$H$5:$H$204&lt;&gt;"")),IF(UPPER(B_Drainage!$H$5:$H$204)="Y",1,"")),"")</f>
        <v/>
      </c>
      <c r="Z710" s="181" t="str">
        <f>IFERROR(LOOKUP(2,1/((B_Drainage!$A$5:$A$204&lt;&gt;"")*(B_Drainage!$A$5:$A$204&lt;=$B710)*(B_Drainage!$B$5:$B$204&gt;$B710)*(B_Drainage!$I$5:$I$204&lt;&gt;"")),IF(UPPER(B_Drainage!$I$5:$I$204)="Y",1,"")),"")</f>
        <v/>
      </c>
      <c r="AA710" s="181" t="str">
        <f>IFERROR(LOOKUP(2,1/((B_Drainage!$A$5:$A$204&lt;&gt;"")*(B_Drainage!$A$5:$A$204&lt;=$B710)*(B_Drainage!$B$5:$B$204&gt;$B710)*(B_Drainage!$J$5:$J$204&lt;&gt;"")),IF(UPPER(B_Drainage!$J$5:$J$204)="Y",1,"")),"")</f>
        <v/>
      </c>
      <c r="AB710" s="182" t="str">
        <f>IFERROR(LOOKUP(2,1/((B_Drainage!$A$5:$A$204&lt;&gt;"")*(B_Drainage!$A$5:$A$204&lt;=$B710)*(B_Drainage!$B$5:$B$204&gt;$B710)*(B_Drainage!$K$5:$K$204&lt;&gt;"")),IF(B_Drainage!$K$5:$K$204="-","",B_Drainage!$K$5:$K$204)),"")</f>
        <v/>
      </c>
      <c r="AC710" s="182" t="str">
        <f>IFERROR(LOOKUP(2,1/((B_Drainage!$A$5:$A$204&lt;&gt;"")*(B_Drainage!$A$5:$A$204&lt;=$B710)*(B_Drainage!$B$5:$B$204&gt;$B710)*(B_Drainage!$L$5:$L$204&lt;&gt;"")),IF(B_Drainage!$L$5:$L$204="-","",B_Drainage!$L$5:$L$204)),"")</f>
        <v/>
      </c>
      <c r="AD710" s="182" t="str">
        <f>IFERROR(LOOKUP(2,1/((D_Points!$A$5:$A$204&lt;&gt;"")*(D_Points!$A$5:$A$204&gt;=$B710)*(D_Points!$A$5:$A$204&lt;$B710+P_Interval)*(UPPER(TRIM(D_Points!$B$5:$B$204))="TURNOUT_L")*(D_Points!$H$5:$H$204&lt;&gt;"")),D_Points!$H$5:$H$204),"")</f>
        <v/>
      </c>
      <c r="AE710" s="182" t="str">
        <f>IFERROR(LOOKUP(2,1/((D_Points!$A$5:$A$204&lt;&gt;"")*(D_Points!$A$5:$A$204&gt;=$B710)*(D_Points!$A$5:$A$204&lt;$B710+P_Interval)*(UPPER(TRIM(D_Points!$B$5:$B$204))="TURNOUT_R")*(D_Points!$H$5:$H$204&lt;&gt;"")),D_Points!$H$5:$H$204),"")</f>
        <v/>
      </c>
      <c r="AF710" s="181" t="str">
        <f>IFERROR(LOOKUP(2,1/((B_Drainage!$A$5:$A$204&lt;&gt;"")*(B_Drainage!$A$5:$A$204&lt;=$B710)*(B_Drainage!$B$5:$B$204&gt;$B710)*(B_Drainage!$M$5:$M$204&lt;&gt;"")),IF(UPPER(B_Drainage!$M$5:$M$204)="Y",1,"")),"")</f>
        <v/>
      </c>
      <c r="AG710" s="181" t="str">
        <f>IFERROR(LOOKUP(2,1/((B_Drainage!$A$5:$A$204&lt;&gt;"")*(B_Drainage!$A$5:$A$204&lt;=$B710)*(B_Drainage!$B$5:$B$204&gt;$B710)*(B_Drainage!$N$5:$N$204&lt;&gt;"")),IF(UPPER(B_Drainage!$N$5:$N$204)="Y",1,"")),"")</f>
        <v/>
      </c>
      <c r="AH710" s="181" t="str">
        <f t="shared" ref="AH710:AH773" si="88">IF($AT710="BLADE",1,"")</f>
        <v/>
      </c>
      <c r="AI710" s="181" t="str">
        <f t="shared" ref="AI710:AI773" si="89">IF($AT710="RESHAPE",1,"")</f>
        <v/>
      </c>
      <c r="AJ710" s="181" t="str">
        <f t="shared" ref="AJ710:AJ773" si="90">IF($AT710="SCARIFY",1,"")</f>
        <v/>
      </c>
      <c r="AK710" s="181" t="str">
        <f t="shared" ref="AK710:AK773" si="91">$AU710</f>
        <v/>
      </c>
      <c r="AL710" s="181" t="str">
        <f t="shared" ref="AL710:AL773" si="92">$AV710</f>
        <v/>
      </c>
      <c r="AM710" s="181" t="str">
        <f t="shared" ref="AM710:AM773" si="93">IF(OR(UPPER($AW710)="Y",$AW710=1),1,"")</f>
        <v/>
      </c>
      <c r="AN710" s="181" t="str">
        <f t="shared" ref="AN710:AN773" si="94">IF(OR(UPPER($AX710)="Y",$AX710=1),1,"")</f>
        <v/>
      </c>
      <c r="AO710" s="192" t="str">
        <f t="shared" ref="AO710:AO773" si="95">IF(OR(UPPER($AY710)="Y",$AY710=1),1,"")</f>
        <v/>
      </c>
      <c r="AQ710" t="str">
        <f>IFERROR(LOOKUP(2,1/((C_Pavement!$A$5:$A$204&lt;&gt;"")*(C_Pavement!$A$5:$A$204&lt;=$B710)*(C_Pavement!$B$5:$B$204&gt;$B710)*(C_Pavement!$C$5:$C$204&lt;&gt;"")),ROW(C_Pavement!$C$5:$C$204)-4),"")</f>
        <v/>
      </c>
      <c r="AR710" t="str">
        <f>IF($AQ710="","",UPPER(TRIM(INDEX(C_Pavement!$C$5:$C$204,$AQ710))))</f>
        <v/>
      </c>
      <c r="AS710" t="str">
        <f>IF($AR710="","",IFERROR(MATCH($AR710,E_Rules!$A$5:$A$9,0),""))</f>
        <v/>
      </c>
      <c r="AT710" t="str">
        <f>IF($AQ710="","",IF(INDEX(C_Pavement!$D$5:$D$204,$AQ710)&lt;&gt;"",UPPER(TRIM(INDEX(C_Pavement!$D$5:$D$204,$AQ710))),IF($AS710="","",INDEX(E_Rules!$C$5:$C$9,$AS710))))</f>
        <v/>
      </c>
      <c r="AU710" t="str">
        <f>IF($AQ710="","",IF(INDEX(C_Pavement!$E$5:$E$204,$AQ710)&lt;&gt;"",IF(INDEX(C_Pavement!$E$5:$E$204,$AQ710)="-","",INDEX(C_Pavement!$E$5:$E$204,$AQ710)),IF($AS710="","",INDEX(E_Rules!$D$5:$D$9,$AS710))))</f>
        <v/>
      </c>
      <c r="AV710" t="str">
        <f>IF($AQ710="","",IF(INDEX(C_Pavement!$F$5:$F$204,$AQ710)&lt;&gt;"",IF(INDEX(C_Pavement!$F$5:$F$204,$AQ710)="-","",INDEX(C_Pavement!$F$5:$F$204,$AQ710)),IF($AS710="","",INDEX(E_Rules!$E$5:$E$9,$AS710))))</f>
        <v/>
      </c>
      <c r="AW710" t="str">
        <f>IF($AQ710="","",IF(INDEX(C_Pavement!$G$5:$G$204,$AQ710)&lt;&gt;"",IF(INDEX(C_Pavement!$G$5:$G$204,$AQ710)="-","",INDEX(C_Pavement!$G$5:$G$204,$AQ710)),IF($AS710="","",INDEX(E_Rules!$F$5:$F$9,$AS710))))</f>
        <v/>
      </c>
      <c r="AX710" t="str">
        <f>IF($AQ710="","",IF(INDEX(C_Pavement!$H$5:$H$204,$AQ710)&lt;&gt;"",IF(INDEX(C_Pavement!$H$5:$H$204,$AQ710)="-","",INDEX(C_Pavement!$H$5:$H$204,$AQ710)),IF($AS710="","",INDEX(E_Rules!$G$5:$G$9,$AS710))))</f>
        <v/>
      </c>
      <c r="AY710" t="str">
        <f>IF($AQ710="","",IF(INDEX(C_Pavement!$I$5:$I$204,$AQ710)&lt;&gt;"",IF(INDEX(C_Pavement!$I$5:$I$204,$AQ710)="-","",INDEX(C_Pavement!$I$5:$I$204,$AQ710)),IF($AS710="","",INDEX(E_Rules!$H$5:$H$9,$AS710))))</f>
        <v/>
      </c>
    </row>
    <row r="711" spans="1:51" ht="15.75" customHeight="1" x14ac:dyDescent="0.3">
      <c r="A711" s="189">
        <v>706</v>
      </c>
      <c r="B711" s="180">
        <v>35250</v>
      </c>
      <c r="C711" s="180" t="s">
        <v>1017</v>
      </c>
      <c r="D711" s="181" t="str">
        <f>IFERROR(LOOKUP(2,1/((A_Corridor!$A$5:$A$204&lt;&gt;"")*(A_Corridor!$A$5:$A$204&lt;=$B711)*(A_Corridor!$B$5:$B$204&gt;$B711)*(A_Corridor!$C$5:$C$204&lt;&gt;"")),IF(UPPER(A_Corridor!$C$5:$C$204)="Y",1,"")),"")</f>
        <v/>
      </c>
      <c r="E711" s="181" t="str">
        <f>IFERROR(LOOKUP(2,1/((A_Corridor!$A$5:$A$204&lt;&gt;"")*(A_Corridor!$A$5:$A$204&lt;=$B711)*(A_Corridor!$B$5:$B$204&gt;$B711)*(A_Corridor!$D$5:$D$204&lt;&gt;"")),IF(A_Corridor!$D$5:$D$204="-","",UPPER(A_Corridor!$D$5:$D$204))),"")</f>
        <v/>
      </c>
      <c r="F711" s="181" t="str">
        <f>IFERROR(LOOKUP(2,1/((A_Corridor!$A$5:$A$204&lt;&gt;"")*(A_Corridor!$A$5:$A$204&lt;=$B711)*(A_Corridor!$B$5:$B$204&gt;$B711)*(A_Corridor!$E$5:$E$204&lt;&gt;"")),IF(A_Corridor!$E$5:$E$204="-","",1)),"")</f>
        <v/>
      </c>
      <c r="G711" s="182" t="str">
        <f>IFERROR(LOOKUP(2,1/((A_Corridor!$A$5:$A$204&lt;&gt;"")*(A_Corridor!$A$5:$A$204&lt;=$B711)*(A_Corridor!$B$5:$B$204&gt;$B711)*(A_Corridor!$E$5:$E$204&lt;&gt;"")),IF(A_Corridor!$E$5:$E$204="-","",A_Corridor!$E$5:$E$204)),"")</f>
        <v/>
      </c>
      <c r="H711" s="182" t="str">
        <f>IFERROR(LOOKUP(2,1/((D_Points!$A$5:$A$204&lt;&gt;"")*(D_Points!$A$5:$A$204&gt;=$B711)*(D_Points!$A$5:$A$204&lt;$B711+P_Interval)*(UPPER(TRIM(D_Points!$B$5:$B$204))="GULLY")*(D_Points!$H$5:$H$204&lt;&gt;"")),D_Points!$H$5:$H$204),"")</f>
        <v/>
      </c>
      <c r="I711" s="181" t="str">
        <f>IFERROR(LOOKUP(2,1/((A_Corridor!$A$5:$A$204&lt;&gt;"")*(A_Corridor!$A$5:$A$204&lt;=$B711)*(A_Corridor!$B$5:$B$204&gt;$B711)*(A_Corridor!$F$5:$F$204&lt;&gt;"")),IF(A_Corridor!$F$5:$F$204="-","",1)),"")</f>
        <v/>
      </c>
      <c r="J711" s="182" t="str">
        <f>IFERROR(LOOKUP(2,1/((A_Corridor!$A$5:$A$204&lt;&gt;"")*(A_Corridor!$A$5:$A$204&lt;=$B711)*(A_Corridor!$B$5:$B$204&gt;$B711)*(A_Corridor!$F$5:$F$204&lt;&gt;"")),IF(A_Corridor!$F$5:$F$204="-","",A_Corridor!$F$5:$F$204)),"")</f>
        <v/>
      </c>
      <c r="K711" s="182" t="str">
        <f>IFERROR(LOOKUP(2,1/((A_Corridor!$A$5:$A$204&lt;&gt;"")*(A_Corridor!$A$5:$A$204&lt;=$B711)*(A_Corridor!$B$5:$B$204&gt;$B711)*(A_Corridor!$G$5:$G$204&lt;&gt;"")),IF(A_Corridor!$G$5:$G$204="-","",A_Corridor!$G$5:$G$204)),"")</f>
        <v/>
      </c>
      <c r="L711" s="181" t="str">
        <f>IFERROR(LOOKUP(2,1/((A_Corridor!$A$5:$A$204&lt;&gt;"")*(A_Corridor!$A$5:$A$204&lt;=$B711)*(A_Corridor!$B$5:$B$204&gt;$B711)*(A_Corridor!$H$5:$H$204&lt;&gt;"")),IF(A_Corridor!$H$5:$H$204="-","",1)),"")</f>
        <v/>
      </c>
      <c r="M711" s="182" t="str">
        <f>IFERROR(LOOKUP(2,1/((A_Corridor!$A$5:$A$204&lt;&gt;"")*(A_Corridor!$A$5:$A$204&lt;=$B711)*(A_Corridor!$B$5:$B$204&gt;$B711)*(A_Corridor!$H$5:$H$204&lt;&gt;"")),IF(A_Corridor!$H$5:$H$204="-","",A_Corridor!$H$5:$H$204)),"")</f>
        <v/>
      </c>
      <c r="N711" s="182" t="str">
        <f>IFERROR(LOOKUP(2,1/((A_Corridor!$A$5:$A$204&lt;&gt;"")*(A_Corridor!$A$5:$A$204&lt;=$B711)*(A_Corridor!$B$5:$B$204&gt;$B711)*(A_Corridor!$I$5:$I$204&lt;&gt;"")),IF(A_Corridor!$I$5:$I$204="-","",A_Corridor!$I$5:$I$204)),"")</f>
        <v/>
      </c>
      <c r="O711" s="182" t="str">
        <f>IFERROR(LOOKUP(2,1/((D_Points!$A$5:$A$204&lt;&gt;"")*(D_Points!$A$5:$A$204&gt;=$B711)*(D_Points!$A$5:$A$204&lt;$B711+P_Interval)*(UPPER(TRIM(D_Points!$B$5:$B$204))="PITCHING")*(D_Points!$H$5:$H$204&lt;&gt;"")),D_Points!$H$5:$H$204),"")</f>
        <v/>
      </c>
      <c r="P711" s="181" t="str">
        <f>IFERROR(LOOKUP(2,1/((B_Drainage!$A$5:$A$204&lt;&gt;"")*(B_Drainage!$A$5:$A$204&lt;=$B711)*(B_Drainage!$B$5:$B$204&gt;$B711)*(B_Drainage!$C$5:$C$204&lt;&gt;"")),IF(B_Drainage!$C$5:$C$204="-","",UPPER(B_Drainage!$C$5:$C$204))),"")</f>
        <v/>
      </c>
      <c r="Q711" s="181" t="str">
        <f>IFERROR(LOOKUP(2,1/((B_Drainage!$A$5:$A$204&lt;&gt;"")*(B_Drainage!$A$5:$A$204&lt;=$B711)*(B_Drainage!$B$5:$B$204&gt;$B711)*(B_Drainage!$D$5:$D$204&lt;&gt;"")),IF(B_Drainage!$D$5:$D$204="-","",UPPER(B_Drainage!$D$5:$D$204))),"")</f>
        <v/>
      </c>
      <c r="R711" s="182" t="str">
        <f>IFERROR(LOOKUP(2,1/((D_Points!$A$5:$A$204&lt;&gt;"")*(D_Points!$A$5:$A$204&gt;=$B711)*(D_Points!$A$5:$A$204&lt;$B711+P_Interval)*(RIGHT(UPPER(TRIM(D_Points!$B$5:$B$204)),8)="_CULVERT")),IF(LEFT(UPPER(TRIM(D_Points!$B$5:$B$204)),2)="EX",1,IF(LEFT(UPPER(TRIM(D_Points!$B$5:$B$204)),2)="PR",2,3))),"")</f>
        <v/>
      </c>
      <c r="S711" s="182" t="str">
        <f>IFERROR(LOOKUP(2,1/((D_Points!$A$5:$A$204&lt;&gt;"")*(D_Points!$A$5:$A$204&gt;=$B711)*(D_Points!$A$5:$A$204&lt;$B711+P_Interval)*(RIGHT(UPPER(TRIM(D_Points!$B$5:$B$204)),7)="_BRIDGE")),IF(LEFT(UPPER(TRIM(D_Points!$B$5:$B$204)),2)="EX",1,IF(LEFT(UPPER(TRIM(D_Points!$B$5:$B$204)),2)="PR",2,2))),"")</f>
        <v/>
      </c>
      <c r="T711" s="181" t="str">
        <f>IFERROR(LOOKUP(2,1/((B_Drainage!$A$5:$A$204&lt;&gt;"")*(B_Drainage!$A$5:$A$204&lt;=$B711)*(B_Drainage!$B$5:$B$204&gt;$B711)*(B_Drainage!$E$5:$E$204&lt;&gt;"")),IF(B_Drainage!$E$5:$E$204="-","",1)),"")</f>
        <v/>
      </c>
      <c r="U711" s="181" t="str">
        <f>IFERROR(LOOKUP(2,1/((B_Drainage!$A$5:$A$204&lt;&gt;"")*(B_Drainage!$A$5:$A$204&lt;=$B711)*(B_Drainage!$B$5:$B$204&gt;$B711)*(B_Drainage!$E$5:$E$204&lt;&gt;"")),IF(B_Drainage!$E$5:$E$204="-","",B_Drainage!$E$5:$E$204)),"")</f>
        <v/>
      </c>
      <c r="V711" s="181" t="str">
        <f>IFERROR(LOOKUP(2,1/((B_Drainage!$A$5:$A$204&lt;&gt;"")*(B_Drainage!$A$5:$A$204&lt;=$B711)*(B_Drainage!$B$5:$B$204&gt;$B711)*(B_Drainage!$F$5:$F$204&lt;&gt;"")),IF(B_Drainage!$F$5:$F$204="-","",1)),"")</f>
        <v/>
      </c>
      <c r="W711" s="181" t="str">
        <f>IFERROR(LOOKUP(2,1/((B_Drainage!$A$5:$A$204&lt;&gt;"")*(B_Drainage!$A$5:$A$204&lt;=$B711)*(B_Drainage!$B$5:$B$204&gt;$B711)*(B_Drainage!$F$5:$F$204&lt;&gt;"")),IF(B_Drainage!$F$5:$F$204="-","",B_Drainage!$F$5:$F$204)),"")</f>
        <v/>
      </c>
      <c r="X711" s="181" t="str">
        <f>IFERROR(LOOKUP(2,1/((B_Drainage!$A$5:$A$204&lt;&gt;"")*(B_Drainage!$A$5:$A$204&lt;=$B711)*(B_Drainage!$B$5:$B$204&gt;$B711)*(B_Drainage!$G$5:$G$204&lt;&gt;"")),IF(UPPER(B_Drainage!$G$5:$G$204)="Y",1,"")),"")</f>
        <v/>
      </c>
      <c r="Y711" s="181" t="str">
        <f>IFERROR(LOOKUP(2,1/((B_Drainage!$A$5:$A$204&lt;&gt;"")*(B_Drainage!$A$5:$A$204&lt;=$B711)*(B_Drainage!$B$5:$B$204&gt;$B711)*(B_Drainage!$H$5:$H$204&lt;&gt;"")),IF(UPPER(B_Drainage!$H$5:$H$204)="Y",1,"")),"")</f>
        <v/>
      </c>
      <c r="Z711" s="181" t="str">
        <f>IFERROR(LOOKUP(2,1/((B_Drainage!$A$5:$A$204&lt;&gt;"")*(B_Drainage!$A$5:$A$204&lt;=$B711)*(B_Drainage!$B$5:$B$204&gt;$B711)*(B_Drainage!$I$5:$I$204&lt;&gt;"")),IF(UPPER(B_Drainage!$I$5:$I$204)="Y",1,"")),"")</f>
        <v/>
      </c>
      <c r="AA711" s="181" t="str">
        <f>IFERROR(LOOKUP(2,1/((B_Drainage!$A$5:$A$204&lt;&gt;"")*(B_Drainage!$A$5:$A$204&lt;=$B711)*(B_Drainage!$B$5:$B$204&gt;$B711)*(B_Drainage!$J$5:$J$204&lt;&gt;"")),IF(UPPER(B_Drainage!$J$5:$J$204)="Y",1,"")),"")</f>
        <v/>
      </c>
      <c r="AB711" s="182" t="str">
        <f>IFERROR(LOOKUP(2,1/((B_Drainage!$A$5:$A$204&lt;&gt;"")*(B_Drainage!$A$5:$A$204&lt;=$B711)*(B_Drainage!$B$5:$B$204&gt;$B711)*(B_Drainage!$K$5:$K$204&lt;&gt;"")),IF(B_Drainage!$K$5:$K$204="-","",B_Drainage!$K$5:$K$204)),"")</f>
        <v/>
      </c>
      <c r="AC711" s="182" t="str">
        <f>IFERROR(LOOKUP(2,1/((B_Drainage!$A$5:$A$204&lt;&gt;"")*(B_Drainage!$A$5:$A$204&lt;=$B711)*(B_Drainage!$B$5:$B$204&gt;$B711)*(B_Drainage!$L$5:$L$204&lt;&gt;"")),IF(B_Drainage!$L$5:$L$204="-","",B_Drainage!$L$5:$L$204)),"")</f>
        <v/>
      </c>
      <c r="AD711" s="182" t="str">
        <f>IFERROR(LOOKUP(2,1/((D_Points!$A$5:$A$204&lt;&gt;"")*(D_Points!$A$5:$A$204&gt;=$B711)*(D_Points!$A$5:$A$204&lt;$B711+P_Interval)*(UPPER(TRIM(D_Points!$B$5:$B$204))="TURNOUT_L")*(D_Points!$H$5:$H$204&lt;&gt;"")),D_Points!$H$5:$H$204),"")</f>
        <v/>
      </c>
      <c r="AE711" s="182" t="str">
        <f>IFERROR(LOOKUP(2,1/((D_Points!$A$5:$A$204&lt;&gt;"")*(D_Points!$A$5:$A$204&gt;=$B711)*(D_Points!$A$5:$A$204&lt;$B711+P_Interval)*(UPPER(TRIM(D_Points!$B$5:$B$204))="TURNOUT_R")*(D_Points!$H$5:$H$204&lt;&gt;"")),D_Points!$H$5:$H$204),"")</f>
        <v/>
      </c>
      <c r="AF711" s="181" t="str">
        <f>IFERROR(LOOKUP(2,1/((B_Drainage!$A$5:$A$204&lt;&gt;"")*(B_Drainage!$A$5:$A$204&lt;=$B711)*(B_Drainage!$B$5:$B$204&gt;$B711)*(B_Drainage!$M$5:$M$204&lt;&gt;"")),IF(UPPER(B_Drainage!$M$5:$M$204)="Y",1,"")),"")</f>
        <v/>
      </c>
      <c r="AG711" s="181" t="str">
        <f>IFERROR(LOOKUP(2,1/((B_Drainage!$A$5:$A$204&lt;&gt;"")*(B_Drainage!$A$5:$A$204&lt;=$B711)*(B_Drainage!$B$5:$B$204&gt;$B711)*(B_Drainage!$N$5:$N$204&lt;&gt;"")),IF(UPPER(B_Drainage!$N$5:$N$204)="Y",1,"")),"")</f>
        <v/>
      </c>
      <c r="AH711" s="181" t="str">
        <f t="shared" si="88"/>
        <v/>
      </c>
      <c r="AI711" s="181" t="str">
        <f t="shared" si="89"/>
        <v/>
      </c>
      <c r="AJ711" s="181" t="str">
        <f t="shared" si="90"/>
        <v/>
      </c>
      <c r="AK711" s="181" t="str">
        <f t="shared" si="91"/>
        <v/>
      </c>
      <c r="AL711" s="181" t="str">
        <f t="shared" si="92"/>
        <v/>
      </c>
      <c r="AM711" s="181" t="str">
        <f t="shared" si="93"/>
        <v/>
      </c>
      <c r="AN711" s="181" t="str">
        <f t="shared" si="94"/>
        <v/>
      </c>
      <c r="AO711" s="192" t="str">
        <f t="shared" si="95"/>
        <v/>
      </c>
      <c r="AQ711" t="str">
        <f>IFERROR(LOOKUP(2,1/((C_Pavement!$A$5:$A$204&lt;&gt;"")*(C_Pavement!$A$5:$A$204&lt;=$B711)*(C_Pavement!$B$5:$B$204&gt;$B711)*(C_Pavement!$C$5:$C$204&lt;&gt;"")),ROW(C_Pavement!$C$5:$C$204)-4),"")</f>
        <v/>
      </c>
      <c r="AR711" t="str">
        <f>IF($AQ711="","",UPPER(TRIM(INDEX(C_Pavement!$C$5:$C$204,$AQ711))))</f>
        <v/>
      </c>
      <c r="AS711" t="str">
        <f>IF($AR711="","",IFERROR(MATCH($AR711,E_Rules!$A$5:$A$9,0),""))</f>
        <v/>
      </c>
      <c r="AT711" t="str">
        <f>IF($AQ711="","",IF(INDEX(C_Pavement!$D$5:$D$204,$AQ711)&lt;&gt;"",UPPER(TRIM(INDEX(C_Pavement!$D$5:$D$204,$AQ711))),IF($AS711="","",INDEX(E_Rules!$C$5:$C$9,$AS711))))</f>
        <v/>
      </c>
      <c r="AU711" t="str">
        <f>IF($AQ711="","",IF(INDEX(C_Pavement!$E$5:$E$204,$AQ711)&lt;&gt;"",IF(INDEX(C_Pavement!$E$5:$E$204,$AQ711)="-","",INDEX(C_Pavement!$E$5:$E$204,$AQ711)),IF($AS711="","",INDEX(E_Rules!$D$5:$D$9,$AS711))))</f>
        <v/>
      </c>
      <c r="AV711" t="str">
        <f>IF($AQ711="","",IF(INDEX(C_Pavement!$F$5:$F$204,$AQ711)&lt;&gt;"",IF(INDEX(C_Pavement!$F$5:$F$204,$AQ711)="-","",INDEX(C_Pavement!$F$5:$F$204,$AQ711)),IF($AS711="","",INDEX(E_Rules!$E$5:$E$9,$AS711))))</f>
        <v/>
      </c>
      <c r="AW711" t="str">
        <f>IF($AQ711="","",IF(INDEX(C_Pavement!$G$5:$G$204,$AQ711)&lt;&gt;"",IF(INDEX(C_Pavement!$G$5:$G$204,$AQ711)="-","",INDEX(C_Pavement!$G$5:$G$204,$AQ711)),IF($AS711="","",INDEX(E_Rules!$F$5:$F$9,$AS711))))</f>
        <v/>
      </c>
      <c r="AX711" t="str">
        <f>IF($AQ711="","",IF(INDEX(C_Pavement!$H$5:$H$204,$AQ711)&lt;&gt;"",IF(INDEX(C_Pavement!$H$5:$H$204,$AQ711)="-","",INDEX(C_Pavement!$H$5:$H$204,$AQ711)),IF($AS711="","",INDEX(E_Rules!$G$5:$G$9,$AS711))))</f>
        <v/>
      </c>
      <c r="AY711" t="str">
        <f>IF($AQ711="","",IF(INDEX(C_Pavement!$I$5:$I$204,$AQ711)&lt;&gt;"",IF(INDEX(C_Pavement!$I$5:$I$204,$AQ711)="-","",INDEX(C_Pavement!$I$5:$I$204,$AQ711)),IF($AS711="","",INDEX(E_Rules!$H$5:$H$9,$AS711))))</f>
        <v/>
      </c>
    </row>
    <row r="712" spans="1:51" ht="15.75" customHeight="1" x14ac:dyDescent="0.3">
      <c r="A712" s="189">
        <v>707</v>
      </c>
      <c r="B712" s="180">
        <v>35300</v>
      </c>
      <c r="C712" s="180" t="s">
        <v>1018</v>
      </c>
      <c r="D712" s="181" t="str">
        <f>IFERROR(LOOKUP(2,1/((A_Corridor!$A$5:$A$204&lt;&gt;"")*(A_Corridor!$A$5:$A$204&lt;=$B712)*(A_Corridor!$B$5:$B$204&gt;$B712)*(A_Corridor!$C$5:$C$204&lt;&gt;"")),IF(UPPER(A_Corridor!$C$5:$C$204)="Y",1,"")),"")</f>
        <v/>
      </c>
      <c r="E712" s="181" t="str">
        <f>IFERROR(LOOKUP(2,1/((A_Corridor!$A$5:$A$204&lt;&gt;"")*(A_Corridor!$A$5:$A$204&lt;=$B712)*(A_Corridor!$B$5:$B$204&gt;$B712)*(A_Corridor!$D$5:$D$204&lt;&gt;"")),IF(A_Corridor!$D$5:$D$204="-","",UPPER(A_Corridor!$D$5:$D$204))),"")</f>
        <v/>
      </c>
      <c r="F712" s="181" t="str">
        <f>IFERROR(LOOKUP(2,1/((A_Corridor!$A$5:$A$204&lt;&gt;"")*(A_Corridor!$A$5:$A$204&lt;=$B712)*(A_Corridor!$B$5:$B$204&gt;$B712)*(A_Corridor!$E$5:$E$204&lt;&gt;"")),IF(A_Corridor!$E$5:$E$204="-","",1)),"")</f>
        <v/>
      </c>
      <c r="G712" s="182" t="str">
        <f>IFERROR(LOOKUP(2,1/((A_Corridor!$A$5:$A$204&lt;&gt;"")*(A_Corridor!$A$5:$A$204&lt;=$B712)*(A_Corridor!$B$5:$B$204&gt;$B712)*(A_Corridor!$E$5:$E$204&lt;&gt;"")),IF(A_Corridor!$E$5:$E$204="-","",A_Corridor!$E$5:$E$204)),"")</f>
        <v/>
      </c>
      <c r="H712" s="182" t="str">
        <f>IFERROR(LOOKUP(2,1/((D_Points!$A$5:$A$204&lt;&gt;"")*(D_Points!$A$5:$A$204&gt;=$B712)*(D_Points!$A$5:$A$204&lt;$B712+P_Interval)*(UPPER(TRIM(D_Points!$B$5:$B$204))="GULLY")*(D_Points!$H$5:$H$204&lt;&gt;"")),D_Points!$H$5:$H$204),"")</f>
        <v/>
      </c>
      <c r="I712" s="181" t="str">
        <f>IFERROR(LOOKUP(2,1/((A_Corridor!$A$5:$A$204&lt;&gt;"")*(A_Corridor!$A$5:$A$204&lt;=$B712)*(A_Corridor!$B$5:$B$204&gt;$B712)*(A_Corridor!$F$5:$F$204&lt;&gt;"")),IF(A_Corridor!$F$5:$F$204="-","",1)),"")</f>
        <v/>
      </c>
      <c r="J712" s="182" t="str">
        <f>IFERROR(LOOKUP(2,1/((A_Corridor!$A$5:$A$204&lt;&gt;"")*(A_Corridor!$A$5:$A$204&lt;=$B712)*(A_Corridor!$B$5:$B$204&gt;$B712)*(A_Corridor!$F$5:$F$204&lt;&gt;"")),IF(A_Corridor!$F$5:$F$204="-","",A_Corridor!$F$5:$F$204)),"")</f>
        <v/>
      </c>
      <c r="K712" s="182" t="str">
        <f>IFERROR(LOOKUP(2,1/((A_Corridor!$A$5:$A$204&lt;&gt;"")*(A_Corridor!$A$5:$A$204&lt;=$B712)*(A_Corridor!$B$5:$B$204&gt;$B712)*(A_Corridor!$G$5:$G$204&lt;&gt;"")),IF(A_Corridor!$G$5:$G$204="-","",A_Corridor!$G$5:$G$204)),"")</f>
        <v/>
      </c>
      <c r="L712" s="181" t="str">
        <f>IFERROR(LOOKUP(2,1/((A_Corridor!$A$5:$A$204&lt;&gt;"")*(A_Corridor!$A$5:$A$204&lt;=$B712)*(A_Corridor!$B$5:$B$204&gt;$B712)*(A_Corridor!$H$5:$H$204&lt;&gt;"")),IF(A_Corridor!$H$5:$H$204="-","",1)),"")</f>
        <v/>
      </c>
      <c r="M712" s="182" t="str">
        <f>IFERROR(LOOKUP(2,1/((A_Corridor!$A$5:$A$204&lt;&gt;"")*(A_Corridor!$A$5:$A$204&lt;=$B712)*(A_Corridor!$B$5:$B$204&gt;$B712)*(A_Corridor!$H$5:$H$204&lt;&gt;"")),IF(A_Corridor!$H$5:$H$204="-","",A_Corridor!$H$5:$H$204)),"")</f>
        <v/>
      </c>
      <c r="N712" s="182" t="str">
        <f>IFERROR(LOOKUP(2,1/((A_Corridor!$A$5:$A$204&lt;&gt;"")*(A_Corridor!$A$5:$A$204&lt;=$B712)*(A_Corridor!$B$5:$B$204&gt;$B712)*(A_Corridor!$I$5:$I$204&lt;&gt;"")),IF(A_Corridor!$I$5:$I$204="-","",A_Corridor!$I$5:$I$204)),"")</f>
        <v/>
      </c>
      <c r="O712" s="182" t="str">
        <f>IFERROR(LOOKUP(2,1/((D_Points!$A$5:$A$204&lt;&gt;"")*(D_Points!$A$5:$A$204&gt;=$B712)*(D_Points!$A$5:$A$204&lt;$B712+P_Interval)*(UPPER(TRIM(D_Points!$B$5:$B$204))="PITCHING")*(D_Points!$H$5:$H$204&lt;&gt;"")),D_Points!$H$5:$H$204),"")</f>
        <v/>
      </c>
      <c r="P712" s="181" t="str">
        <f>IFERROR(LOOKUP(2,1/((B_Drainage!$A$5:$A$204&lt;&gt;"")*(B_Drainage!$A$5:$A$204&lt;=$B712)*(B_Drainage!$B$5:$B$204&gt;$B712)*(B_Drainage!$C$5:$C$204&lt;&gt;"")),IF(B_Drainage!$C$5:$C$204="-","",UPPER(B_Drainage!$C$5:$C$204))),"")</f>
        <v/>
      </c>
      <c r="Q712" s="181" t="str">
        <f>IFERROR(LOOKUP(2,1/((B_Drainage!$A$5:$A$204&lt;&gt;"")*(B_Drainage!$A$5:$A$204&lt;=$B712)*(B_Drainage!$B$5:$B$204&gt;$B712)*(B_Drainage!$D$5:$D$204&lt;&gt;"")),IF(B_Drainage!$D$5:$D$204="-","",UPPER(B_Drainage!$D$5:$D$204))),"")</f>
        <v/>
      </c>
      <c r="R712" s="182" t="str">
        <f>IFERROR(LOOKUP(2,1/((D_Points!$A$5:$A$204&lt;&gt;"")*(D_Points!$A$5:$A$204&gt;=$B712)*(D_Points!$A$5:$A$204&lt;$B712+P_Interval)*(RIGHT(UPPER(TRIM(D_Points!$B$5:$B$204)),8)="_CULVERT")),IF(LEFT(UPPER(TRIM(D_Points!$B$5:$B$204)),2)="EX",1,IF(LEFT(UPPER(TRIM(D_Points!$B$5:$B$204)),2)="PR",2,3))),"")</f>
        <v/>
      </c>
      <c r="S712" s="182" t="str">
        <f>IFERROR(LOOKUP(2,1/((D_Points!$A$5:$A$204&lt;&gt;"")*(D_Points!$A$5:$A$204&gt;=$B712)*(D_Points!$A$5:$A$204&lt;$B712+P_Interval)*(RIGHT(UPPER(TRIM(D_Points!$B$5:$B$204)),7)="_BRIDGE")),IF(LEFT(UPPER(TRIM(D_Points!$B$5:$B$204)),2)="EX",1,IF(LEFT(UPPER(TRIM(D_Points!$B$5:$B$204)),2)="PR",2,2))),"")</f>
        <v/>
      </c>
      <c r="T712" s="181" t="str">
        <f>IFERROR(LOOKUP(2,1/((B_Drainage!$A$5:$A$204&lt;&gt;"")*(B_Drainage!$A$5:$A$204&lt;=$B712)*(B_Drainage!$B$5:$B$204&gt;$B712)*(B_Drainage!$E$5:$E$204&lt;&gt;"")),IF(B_Drainage!$E$5:$E$204="-","",1)),"")</f>
        <v/>
      </c>
      <c r="U712" s="181" t="str">
        <f>IFERROR(LOOKUP(2,1/((B_Drainage!$A$5:$A$204&lt;&gt;"")*(B_Drainage!$A$5:$A$204&lt;=$B712)*(B_Drainage!$B$5:$B$204&gt;$B712)*(B_Drainage!$E$5:$E$204&lt;&gt;"")),IF(B_Drainage!$E$5:$E$204="-","",B_Drainage!$E$5:$E$204)),"")</f>
        <v/>
      </c>
      <c r="V712" s="181" t="str">
        <f>IFERROR(LOOKUP(2,1/((B_Drainage!$A$5:$A$204&lt;&gt;"")*(B_Drainage!$A$5:$A$204&lt;=$B712)*(B_Drainage!$B$5:$B$204&gt;$B712)*(B_Drainage!$F$5:$F$204&lt;&gt;"")),IF(B_Drainage!$F$5:$F$204="-","",1)),"")</f>
        <v/>
      </c>
      <c r="W712" s="181" t="str">
        <f>IFERROR(LOOKUP(2,1/((B_Drainage!$A$5:$A$204&lt;&gt;"")*(B_Drainage!$A$5:$A$204&lt;=$B712)*(B_Drainage!$B$5:$B$204&gt;$B712)*(B_Drainage!$F$5:$F$204&lt;&gt;"")),IF(B_Drainage!$F$5:$F$204="-","",B_Drainage!$F$5:$F$204)),"")</f>
        <v/>
      </c>
      <c r="X712" s="181" t="str">
        <f>IFERROR(LOOKUP(2,1/((B_Drainage!$A$5:$A$204&lt;&gt;"")*(B_Drainage!$A$5:$A$204&lt;=$B712)*(B_Drainage!$B$5:$B$204&gt;$B712)*(B_Drainage!$G$5:$G$204&lt;&gt;"")),IF(UPPER(B_Drainage!$G$5:$G$204)="Y",1,"")),"")</f>
        <v/>
      </c>
      <c r="Y712" s="181" t="str">
        <f>IFERROR(LOOKUP(2,1/((B_Drainage!$A$5:$A$204&lt;&gt;"")*(B_Drainage!$A$5:$A$204&lt;=$B712)*(B_Drainage!$B$5:$B$204&gt;$B712)*(B_Drainage!$H$5:$H$204&lt;&gt;"")),IF(UPPER(B_Drainage!$H$5:$H$204)="Y",1,"")),"")</f>
        <v/>
      </c>
      <c r="Z712" s="181" t="str">
        <f>IFERROR(LOOKUP(2,1/((B_Drainage!$A$5:$A$204&lt;&gt;"")*(B_Drainage!$A$5:$A$204&lt;=$B712)*(B_Drainage!$B$5:$B$204&gt;$B712)*(B_Drainage!$I$5:$I$204&lt;&gt;"")),IF(UPPER(B_Drainage!$I$5:$I$204)="Y",1,"")),"")</f>
        <v/>
      </c>
      <c r="AA712" s="181" t="str">
        <f>IFERROR(LOOKUP(2,1/((B_Drainage!$A$5:$A$204&lt;&gt;"")*(B_Drainage!$A$5:$A$204&lt;=$B712)*(B_Drainage!$B$5:$B$204&gt;$B712)*(B_Drainage!$J$5:$J$204&lt;&gt;"")),IF(UPPER(B_Drainage!$J$5:$J$204)="Y",1,"")),"")</f>
        <v/>
      </c>
      <c r="AB712" s="182" t="str">
        <f>IFERROR(LOOKUP(2,1/((B_Drainage!$A$5:$A$204&lt;&gt;"")*(B_Drainage!$A$5:$A$204&lt;=$B712)*(B_Drainage!$B$5:$B$204&gt;$B712)*(B_Drainage!$K$5:$K$204&lt;&gt;"")),IF(B_Drainage!$K$5:$K$204="-","",B_Drainage!$K$5:$K$204)),"")</f>
        <v/>
      </c>
      <c r="AC712" s="182" t="str">
        <f>IFERROR(LOOKUP(2,1/((B_Drainage!$A$5:$A$204&lt;&gt;"")*(B_Drainage!$A$5:$A$204&lt;=$B712)*(B_Drainage!$B$5:$B$204&gt;$B712)*(B_Drainage!$L$5:$L$204&lt;&gt;"")),IF(B_Drainage!$L$5:$L$204="-","",B_Drainage!$L$5:$L$204)),"")</f>
        <v/>
      </c>
      <c r="AD712" s="182" t="str">
        <f>IFERROR(LOOKUP(2,1/((D_Points!$A$5:$A$204&lt;&gt;"")*(D_Points!$A$5:$A$204&gt;=$B712)*(D_Points!$A$5:$A$204&lt;$B712+P_Interval)*(UPPER(TRIM(D_Points!$B$5:$B$204))="TURNOUT_L")*(D_Points!$H$5:$H$204&lt;&gt;"")),D_Points!$H$5:$H$204),"")</f>
        <v/>
      </c>
      <c r="AE712" s="182" t="str">
        <f>IFERROR(LOOKUP(2,1/((D_Points!$A$5:$A$204&lt;&gt;"")*(D_Points!$A$5:$A$204&gt;=$B712)*(D_Points!$A$5:$A$204&lt;$B712+P_Interval)*(UPPER(TRIM(D_Points!$B$5:$B$204))="TURNOUT_R")*(D_Points!$H$5:$H$204&lt;&gt;"")),D_Points!$H$5:$H$204),"")</f>
        <v/>
      </c>
      <c r="AF712" s="181" t="str">
        <f>IFERROR(LOOKUP(2,1/((B_Drainage!$A$5:$A$204&lt;&gt;"")*(B_Drainage!$A$5:$A$204&lt;=$B712)*(B_Drainage!$B$5:$B$204&gt;$B712)*(B_Drainage!$M$5:$M$204&lt;&gt;"")),IF(UPPER(B_Drainage!$M$5:$M$204)="Y",1,"")),"")</f>
        <v/>
      </c>
      <c r="AG712" s="181" t="str">
        <f>IFERROR(LOOKUP(2,1/((B_Drainage!$A$5:$A$204&lt;&gt;"")*(B_Drainage!$A$5:$A$204&lt;=$B712)*(B_Drainage!$B$5:$B$204&gt;$B712)*(B_Drainage!$N$5:$N$204&lt;&gt;"")),IF(UPPER(B_Drainage!$N$5:$N$204)="Y",1,"")),"")</f>
        <v/>
      </c>
      <c r="AH712" s="181" t="str">
        <f t="shared" si="88"/>
        <v/>
      </c>
      <c r="AI712" s="181" t="str">
        <f t="shared" si="89"/>
        <v/>
      </c>
      <c r="AJ712" s="181" t="str">
        <f t="shared" si="90"/>
        <v/>
      </c>
      <c r="AK712" s="181" t="str">
        <f t="shared" si="91"/>
        <v/>
      </c>
      <c r="AL712" s="181" t="str">
        <f t="shared" si="92"/>
        <v/>
      </c>
      <c r="AM712" s="181" t="str">
        <f t="shared" si="93"/>
        <v/>
      </c>
      <c r="AN712" s="181" t="str">
        <f t="shared" si="94"/>
        <v/>
      </c>
      <c r="AO712" s="192" t="str">
        <f t="shared" si="95"/>
        <v/>
      </c>
      <c r="AQ712" t="str">
        <f>IFERROR(LOOKUP(2,1/((C_Pavement!$A$5:$A$204&lt;&gt;"")*(C_Pavement!$A$5:$A$204&lt;=$B712)*(C_Pavement!$B$5:$B$204&gt;$B712)*(C_Pavement!$C$5:$C$204&lt;&gt;"")),ROW(C_Pavement!$C$5:$C$204)-4),"")</f>
        <v/>
      </c>
      <c r="AR712" t="str">
        <f>IF($AQ712="","",UPPER(TRIM(INDEX(C_Pavement!$C$5:$C$204,$AQ712))))</f>
        <v/>
      </c>
      <c r="AS712" t="str">
        <f>IF($AR712="","",IFERROR(MATCH($AR712,E_Rules!$A$5:$A$9,0),""))</f>
        <v/>
      </c>
      <c r="AT712" t="str">
        <f>IF($AQ712="","",IF(INDEX(C_Pavement!$D$5:$D$204,$AQ712)&lt;&gt;"",UPPER(TRIM(INDEX(C_Pavement!$D$5:$D$204,$AQ712))),IF($AS712="","",INDEX(E_Rules!$C$5:$C$9,$AS712))))</f>
        <v/>
      </c>
      <c r="AU712" t="str">
        <f>IF($AQ712="","",IF(INDEX(C_Pavement!$E$5:$E$204,$AQ712)&lt;&gt;"",IF(INDEX(C_Pavement!$E$5:$E$204,$AQ712)="-","",INDEX(C_Pavement!$E$5:$E$204,$AQ712)),IF($AS712="","",INDEX(E_Rules!$D$5:$D$9,$AS712))))</f>
        <v/>
      </c>
      <c r="AV712" t="str">
        <f>IF($AQ712="","",IF(INDEX(C_Pavement!$F$5:$F$204,$AQ712)&lt;&gt;"",IF(INDEX(C_Pavement!$F$5:$F$204,$AQ712)="-","",INDEX(C_Pavement!$F$5:$F$204,$AQ712)),IF($AS712="","",INDEX(E_Rules!$E$5:$E$9,$AS712))))</f>
        <v/>
      </c>
      <c r="AW712" t="str">
        <f>IF($AQ712="","",IF(INDEX(C_Pavement!$G$5:$G$204,$AQ712)&lt;&gt;"",IF(INDEX(C_Pavement!$G$5:$G$204,$AQ712)="-","",INDEX(C_Pavement!$G$5:$G$204,$AQ712)),IF($AS712="","",INDEX(E_Rules!$F$5:$F$9,$AS712))))</f>
        <v/>
      </c>
      <c r="AX712" t="str">
        <f>IF($AQ712="","",IF(INDEX(C_Pavement!$H$5:$H$204,$AQ712)&lt;&gt;"",IF(INDEX(C_Pavement!$H$5:$H$204,$AQ712)="-","",INDEX(C_Pavement!$H$5:$H$204,$AQ712)),IF($AS712="","",INDEX(E_Rules!$G$5:$G$9,$AS712))))</f>
        <v/>
      </c>
      <c r="AY712" t="str">
        <f>IF($AQ712="","",IF(INDEX(C_Pavement!$I$5:$I$204,$AQ712)&lt;&gt;"",IF(INDEX(C_Pavement!$I$5:$I$204,$AQ712)="-","",INDEX(C_Pavement!$I$5:$I$204,$AQ712)),IF($AS712="","",INDEX(E_Rules!$H$5:$H$9,$AS712))))</f>
        <v/>
      </c>
    </row>
    <row r="713" spans="1:51" ht="15.75" customHeight="1" x14ac:dyDescent="0.3">
      <c r="A713" s="189">
        <v>708</v>
      </c>
      <c r="B713" s="180">
        <v>35350</v>
      </c>
      <c r="C713" s="180" t="s">
        <v>1019</v>
      </c>
      <c r="D713" s="181" t="str">
        <f>IFERROR(LOOKUP(2,1/((A_Corridor!$A$5:$A$204&lt;&gt;"")*(A_Corridor!$A$5:$A$204&lt;=$B713)*(A_Corridor!$B$5:$B$204&gt;$B713)*(A_Corridor!$C$5:$C$204&lt;&gt;"")),IF(UPPER(A_Corridor!$C$5:$C$204)="Y",1,"")),"")</f>
        <v/>
      </c>
      <c r="E713" s="181" t="str">
        <f>IFERROR(LOOKUP(2,1/((A_Corridor!$A$5:$A$204&lt;&gt;"")*(A_Corridor!$A$5:$A$204&lt;=$B713)*(A_Corridor!$B$5:$B$204&gt;$B713)*(A_Corridor!$D$5:$D$204&lt;&gt;"")),IF(A_Corridor!$D$5:$D$204="-","",UPPER(A_Corridor!$D$5:$D$204))),"")</f>
        <v/>
      </c>
      <c r="F713" s="181" t="str">
        <f>IFERROR(LOOKUP(2,1/((A_Corridor!$A$5:$A$204&lt;&gt;"")*(A_Corridor!$A$5:$A$204&lt;=$B713)*(A_Corridor!$B$5:$B$204&gt;$B713)*(A_Corridor!$E$5:$E$204&lt;&gt;"")),IF(A_Corridor!$E$5:$E$204="-","",1)),"")</f>
        <v/>
      </c>
      <c r="G713" s="182" t="str">
        <f>IFERROR(LOOKUP(2,1/((A_Corridor!$A$5:$A$204&lt;&gt;"")*(A_Corridor!$A$5:$A$204&lt;=$B713)*(A_Corridor!$B$5:$B$204&gt;$B713)*(A_Corridor!$E$5:$E$204&lt;&gt;"")),IF(A_Corridor!$E$5:$E$204="-","",A_Corridor!$E$5:$E$204)),"")</f>
        <v/>
      </c>
      <c r="H713" s="182" t="str">
        <f>IFERROR(LOOKUP(2,1/((D_Points!$A$5:$A$204&lt;&gt;"")*(D_Points!$A$5:$A$204&gt;=$B713)*(D_Points!$A$5:$A$204&lt;$B713+P_Interval)*(UPPER(TRIM(D_Points!$B$5:$B$204))="GULLY")*(D_Points!$H$5:$H$204&lt;&gt;"")),D_Points!$H$5:$H$204),"")</f>
        <v/>
      </c>
      <c r="I713" s="181" t="str">
        <f>IFERROR(LOOKUP(2,1/((A_Corridor!$A$5:$A$204&lt;&gt;"")*(A_Corridor!$A$5:$A$204&lt;=$B713)*(A_Corridor!$B$5:$B$204&gt;$B713)*(A_Corridor!$F$5:$F$204&lt;&gt;"")),IF(A_Corridor!$F$5:$F$204="-","",1)),"")</f>
        <v/>
      </c>
      <c r="J713" s="182" t="str">
        <f>IFERROR(LOOKUP(2,1/((A_Corridor!$A$5:$A$204&lt;&gt;"")*(A_Corridor!$A$5:$A$204&lt;=$B713)*(A_Corridor!$B$5:$B$204&gt;$B713)*(A_Corridor!$F$5:$F$204&lt;&gt;"")),IF(A_Corridor!$F$5:$F$204="-","",A_Corridor!$F$5:$F$204)),"")</f>
        <v/>
      </c>
      <c r="K713" s="182" t="str">
        <f>IFERROR(LOOKUP(2,1/((A_Corridor!$A$5:$A$204&lt;&gt;"")*(A_Corridor!$A$5:$A$204&lt;=$B713)*(A_Corridor!$B$5:$B$204&gt;$B713)*(A_Corridor!$G$5:$G$204&lt;&gt;"")),IF(A_Corridor!$G$5:$G$204="-","",A_Corridor!$G$5:$G$204)),"")</f>
        <v/>
      </c>
      <c r="L713" s="181" t="str">
        <f>IFERROR(LOOKUP(2,1/((A_Corridor!$A$5:$A$204&lt;&gt;"")*(A_Corridor!$A$5:$A$204&lt;=$B713)*(A_Corridor!$B$5:$B$204&gt;$B713)*(A_Corridor!$H$5:$H$204&lt;&gt;"")),IF(A_Corridor!$H$5:$H$204="-","",1)),"")</f>
        <v/>
      </c>
      <c r="M713" s="182" t="str">
        <f>IFERROR(LOOKUP(2,1/((A_Corridor!$A$5:$A$204&lt;&gt;"")*(A_Corridor!$A$5:$A$204&lt;=$B713)*(A_Corridor!$B$5:$B$204&gt;$B713)*(A_Corridor!$H$5:$H$204&lt;&gt;"")),IF(A_Corridor!$H$5:$H$204="-","",A_Corridor!$H$5:$H$204)),"")</f>
        <v/>
      </c>
      <c r="N713" s="182" t="str">
        <f>IFERROR(LOOKUP(2,1/((A_Corridor!$A$5:$A$204&lt;&gt;"")*(A_Corridor!$A$5:$A$204&lt;=$B713)*(A_Corridor!$B$5:$B$204&gt;$B713)*(A_Corridor!$I$5:$I$204&lt;&gt;"")),IF(A_Corridor!$I$5:$I$204="-","",A_Corridor!$I$5:$I$204)),"")</f>
        <v/>
      </c>
      <c r="O713" s="182" t="str">
        <f>IFERROR(LOOKUP(2,1/((D_Points!$A$5:$A$204&lt;&gt;"")*(D_Points!$A$5:$A$204&gt;=$B713)*(D_Points!$A$5:$A$204&lt;$B713+P_Interval)*(UPPER(TRIM(D_Points!$B$5:$B$204))="PITCHING")*(D_Points!$H$5:$H$204&lt;&gt;"")),D_Points!$H$5:$H$204),"")</f>
        <v/>
      </c>
      <c r="P713" s="181" t="str">
        <f>IFERROR(LOOKUP(2,1/((B_Drainage!$A$5:$A$204&lt;&gt;"")*(B_Drainage!$A$5:$A$204&lt;=$B713)*(B_Drainage!$B$5:$B$204&gt;$B713)*(B_Drainage!$C$5:$C$204&lt;&gt;"")),IF(B_Drainage!$C$5:$C$204="-","",UPPER(B_Drainage!$C$5:$C$204))),"")</f>
        <v/>
      </c>
      <c r="Q713" s="181" t="str">
        <f>IFERROR(LOOKUP(2,1/((B_Drainage!$A$5:$A$204&lt;&gt;"")*(B_Drainage!$A$5:$A$204&lt;=$B713)*(B_Drainage!$B$5:$B$204&gt;$B713)*(B_Drainage!$D$5:$D$204&lt;&gt;"")),IF(B_Drainage!$D$5:$D$204="-","",UPPER(B_Drainage!$D$5:$D$204))),"")</f>
        <v/>
      </c>
      <c r="R713" s="182" t="str">
        <f>IFERROR(LOOKUP(2,1/((D_Points!$A$5:$A$204&lt;&gt;"")*(D_Points!$A$5:$A$204&gt;=$B713)*(D_Points!$A$5:$A$204&lt;$B713+P_Interval)*(RIGHT(UPPER(TRIM(D_Points!$B$5:$B$204)),8)="_CULVERT")),IF(LEFT(UPPER(TRIM(D_Points!$B$5:$B$204)),2)="EX",1,IF(LEFT(UPPER(TRIM(D_Points!$B$5:$B$204)),2)="PR",2,3))),"")</f>
        <v/>
      </c>
      <c r="S713" s="182" t="str">
        <f>IFERROR(LOOKUP(2,1/((D_Points!$A$5:$A$204&lt;&gt;"")*(D_Points!$A$5:$A$204&gt;=$B713)*(D_Points!$A$5:$A$204&lt;$B713+P_Interval)*(RIGHT(UPPER(TRIM(D_Points!$B$5:$B$204)),7)="_BRIDGE")),IF(LEFT(UPPER(TRIM(D_Points!$B$5:$B$204)),2)="EX",1,IF(LEFT(UPPER(TRIM(D_Points!$B$5:$B$204)),2)="PR",2,2))),"")</f>
        <v/>
      </c>
      <c r="T713" s="181" t="str">
        <f>IFERROR(LOOKUP(2,1/((B_Drainage!$A$5:$A$204&lt;&gt;"")*(B_Drainage!$A$5:$A$204&lt;=$B713)*(B_Drainage!$B$5:$B$204&gt;$B713)*(B_Drainage!$E$5:$E$204&lt;&gt;"")),IF(B_Drainage!$E$5:$E$204="-","",1)),"")</f>
        <v/>
      </c>
      <c r="U713" s="181" t="str">
        <f>IFERROR(LOOKUP(2,1/((B_Drainage!$A$5:$A$204&lt;&gt;"")*(B_Drainage!$A$5:$A$204&lt;=$B713)*(B_Drainage!$B$5:$B$204&gt;$B713)*(B_Drainage!$E$5:$E$204&lt;&gt;"")),IF(B_Drainage!$E$5:$E$204="-","",B_Drainage!$E$5:$E$204)),"")</f>
        <v/>
      </c>
      <c r="V713" s="181" t="str">
        <f>IFERROR(LOOKUP(2,1/((B_Drainage!$A$5:$A$204&lt;&gt;"")*(B_Drainage!$A$5:$A$204&lt;=$B713)*(B_Drainage!$B$5:$B$204&gt;$B713)*(B_Drainage!$F$5:$F$204&lt;&gt;"")),IF(B_Drainage!$F$5:$F$204="-","",1)),"")</f>
        <v/>
      </c>
      <c r="W713" s="181" t="str">
        <f>IFERROR(LOOKUP(2,1/((B_Drainage!$A$5:$A$204&lt;&gt;"")*(B_Drainage!$A$5:$A$204&lt;=$B713)*(B_Drainage!$B$5:$B$204&gt;$B713)*(B_Drainage!$F$5:$F$204&lt;&gt;"")),IF(B_Drainage!$F$5:$F$204="-","",B_Drainage!$F$5:$F$204)),"")</f>
        <v/>
      </c>
      <c r="X713" s="181" t="str">
        <f>IFERROR(LOOKUP(2,1/((B_Drainage!$A$5:$A$204&lt;&gt;"")*(B_Drainage!$A$5:$A$204&lt;=$B713)*(B_Drainage!$B$5:$B$204&gt;$B713)*(B_Drainage!$G$5:$G$204&lt;&gt;"")),IF(UPPER(B_Drainage!$G$5:$G$204)="Y",1,"")),"")</f>
        <v/>
      </c>
      <c r="Y713" s="181" t="str">
        <f>IFERROR(LOOKUP(2,1/((B_Drainage!$A$5:$A$204&lt;&gt;"")*(B_Drainage!$A$5:$A$204&lt;=$B713)*(B_Drainage!$B$5:$B$204&gt;$B713)*(B_Drainage!$H$5:$H$204&lt;&gt;"")),IF(UPPER(B_Drainage!$H$5:$H$204)="Y",1,"")),"")</f>
        <v/>
      </c>
      <c r="Z713" s="181" t="str">
        <f>IFERROR(LOOKUP(2,1/((B_Drainage!$A$5:$A$204&lt;&gt;"")*(B_Drainage!$A$5:$A$204&lt;=$B713)*(B_Drainage!$B$5:$B$204&gt;$B713)*(B_Drainage!$I$5:$I$204&lt;&gt;"")),IF(UPPER(B_Drainage!$I$5:$I$204)="Y",1,"")),"")</f>
        <v/>
      </c>
      <c r="AA713" s="181" t="str">
        <f>IFERROR(LOOKUP(2,1/((B_Drainage!$A$5:$A$204&lt;&gt;"")*(B_Drainage!$A$5:$A$204&lt;=$B713)*(B_Drainage!$B$5:$B$204&gt;$B713)*(B_Drainage!$J$5:$J$204&lt;&gt;"")),IF(UPPER(B_Drainage!$J$5:$J$204)="Y",1,"")),"")</f>
        <v/>
      </c>
      <c r="AB713" s="182" t="str">
        <f>IFERROR(LOOKUP(2,1/((B_Drainage!$A$5:$A$204&lt;&gt;"")*(B_Drainage!$A$5:$A$204&lt;=$B713)*(B_Drainage!$B$5:$B$204&gt;$B713)*(B_Drainage!$K$5:$K$204&lt;&gt;"")),IF(B_Drainage!$K$5:$K$204="-","",B_Drainage!$K$5:$K$204)),"")</f>
        <v/>
      </c>
      <c r="AC713" s="182" t="str">
        <f>IFERROR(LOOKUP(2,1/((B_Drainage!$A$5:$A$204&lt;&gt;"")*(B_Drainage!$A$5:$A$204&lt;=$B713)*(B_Drainage!$B$5:$B$204&gt;$B713)*(B_Drainage!$L$5:$L$204&lt;&gt;"")),IF(B_Drainage!$L$5:$L$204="-","",B_Drainage!$L$5:$L$204)),"")</f>
        <v/>
      </c>
      <c r="AD713" s="182" t="str">
        <f>IFERROR(LOOKUP(2,1/((D_Points!$A$5:$A$204&lt;&gt;"")*(D_Points!$A$5:$A$204&gt;=$B713)*(D_Points!$A$5:$A$204&lt;$B713+P_Interval)*(UPPER(TRIM(D_Points!$B$5:$B$204))="TURNOUT_L")*(D_Points!$H$5:$H$204&lt;&gt;"")),D_Points!$H$5:$H$204),"")</f>
        <v/>
      </c>
      <c r="AE713" s="182" t="str">
        <f>IFERROR(LOOKUP(2,1/((D_Points!$A$5:$A$204&lt;&gt;"")*(D_Points!$A$5:$A$204&gt;=$B713)*(D_Points!$A$5:$A$204&lt;$B713+P_Interval)*(UPPER(TRIM(D_Points!$B$5:$B$204))="TURNOUT_R")*(D_Points!$H$5:$H$204&lt;&gt;"")),D_Points!$H$5:$H$204),"")</f>
        <v/>
      </c>
      <c r="AF713" s="181" t="str">
        <f>IFERROR(LOOKUP(2,1/((B_Drainage!$A$5:$A$204&lt;&gt;"")*(B_Drainage!$A$5:$A$204&lt;=$B713)*(B_Drainage!$B$5:$B$204&gt;$B713)*(B_Drainage!$M$5:$M$204&lt;&gt;"")),IF(UPPER(B_Drainage!$M$5:$M$204)="Y",1,"")),"")</f>
        <v/>
      </c>
      <c r="AG713" s="181" t="str">
        <f>IFERROR(LOOKUP(2,1/((B_Drainage!$A$5:$A$204&lt;&gt;"")*(B_Drainage!$A$5:$A$204&lt;=$B713)*(B_Drainage!$B$5:$B$204&gt;$B713)*(B_Drainage!$N$5:$N$204&lt;&gt;"")),IF(UPPER(B_Drainage!$N$5:$N$204)="Y",1,"")),"")</f>
        <v/>
      </c>
      <c r="AH713" s="181" t="str">
        <f t="shared" si="88"/>
        <v/>
      </c>
      <c r="AI713" s="181" t="str">
        <f t="shared" si="89"/>
        <v/>
      </c>
      <c r="AJ713" s="181" t="str">
        <f t="shared" si="90"/>
        <v/>
      </c>
      <c r="AK713" s="181" t="str">
        <f t="shared" si="91"/>
        <v/>
      </c>
      <c r="AL713" s="181" t="str">
        <f t="shared" si="92"/>
        <v/>
      </c>
      <c r="AM713" s="181" t="str">
        <f t="shared" si="93"/>
        <v/>
      </c>
      <c r="AN713" s="181" t="str">
        <f t="shared" si="94"/>
        <v/>
      </c>
      <c r="AO713" s="192" t="str">
        <f t="shared" si="95"/>
        <v/>
      </c>
      <c r="AQ713" t="str">
        <f>IFERROR(LOOKUP(2,1/((C_Pavement!$A$5:$A$204&lt;&gt;"")*(C_Pavement!$A$5:$A$204&lt;=$B713)*(C_Pavement!$B$5:$B$204&gt;$B713)*(C_Pavement!$C$5:$C$204&lt;&gt;"")),ROW(C_Pavement!$C$5:$C$204)-4),"")</f>
        <v/>
      </c>
      <c r="AR713" t="str">
        <f>IF($AQ713="","",UPPER(TRIM(INDEX(C_Pavement!$C$5:$C$204,$AQ713))))</f>
        <v/>
      </c>
      <c r="AS713" t="str">
        <f>IF($AR713="","",IFERROR(MATCH($AR713,E_Rules!$A$5:$A$9,0),""))</f>
        <v/>
      </c>
      <c r="AT713" t="str">
        <f>IF($AQ713="","",IF(INDEX(C_Pavement!$D$5:$D$204,$AQ713)&lt;&gt;"",UPPER(TRIM(INDEX(C_Pavement!$D$5:$D$204,$AQ713))),IF($AS713="","",INDEX(E_Rules!$C$5:$C$9,$AS713))))</f>
        <v/>
      </c>
      <c r="AU713" t="str">
        <f>IF($AQ713="","",IF(INDEX(C_Pavement!$E$5:$E$204,$AQ713)&lt;&gt;"",IF(INDEX(C_Pavement!$E$5:$E$204,$AQ713)="-","",INDEX(C_Pavement!$E$5:$E$204,$AQ713)),IF($AS713="","",INDEX(E_Rules!$D$5:$D$9,$AS713))))</f>
        <v/>
      </c>
      <c r="AV713" t="str">
        <f>IF($AQ713="","",IF(INDEX(C_Pavement!$F$5:$F$204,$AQ713)&lt;&gt;"",IF(INDEX(C_Pavement!$F$5:$F$204,$AQ713)="-","",INDEX(C_Pavement!$F$5:$F$204,$AQ713)),IF($AS713="","",INDEX(E_Rules!$E$5:$E$9,$AS713))))</f>
        <v/>
      </c>
      <c r="AW713" t="str">
        <f>IF($AQ713="","",IF(INDEX(C_Pavement!$G$5:$G$204,$AQ713)&lt;&gt;"",IF(INDEX(C_Pavement!$G$5:$G$204,$AQ713)="-","",INDEX(C_Pavement!$G$5:$G$204,$AQ713)),IF($AS713="","",INDEX(E_Rules!$F$5:$F$9,$AS713))))</f>
        <v/>
      </c>
      <c r="AX713" t="str">
        <f>IF($AQ713="","",IF(INDEX(C_Pavement!$H$5:$H$204,$AQ713)&lt;&gt;"",IF(INDEX(C_Pavement!$H$5:$H$204,$AQ713)="-","",INDEX(C_Pavement!$H$5:$H$204,$AQ713)),IF($AS713="","",INDEX(E_Rules!$G$5:$G$9,$AS713))))</f>
        <v/>
      </c>
      <c r="AY713" t="str">
        <f>IF($AQ713="","",IF(INDEX(C_Pavement!$I$5:$I$204,$AQ713)&lt;&gt;"",IF(INDEX(C_Pavement!$I$5:$I$204,$AQ713)="-","",INDEX(C_Pavement!$I$5:$I$204,$AQ713)),IF($AS713="","",INDEX(E_Rules!$H$5:$H$9,$AS713))))</f>
        <v/>
      </c>
    </row>
    <row r="714" spans="1:51" ht="15.75" customHeight="1" x14ac:dyDescent="0.3">
      <c r="A714" s="189">
        <v>709</v>
      </c>
      <c r="B714" s="180">
        <v>35400</v>
      </c>
      <c r="C714" s="180" t="s">
        <v>1020</v>
      </c>
      <c r="D714" s="181" t="str">
        <f>IFERROR(LOOKUP(2,1/((A_Corridor!$A$5:$A$204&lt;&gt;"")*(A_Corridor!$A$5:$A$204&lt;=$B714)*(A_Corridor!$B$5:$B$204&gt;$B714)*(A_Corridor!$C$5:$C$204&lt;&gt;"")),IF(UPPER(A_Corridor!$C$5:$C$204)="Y",1,"")),"")</f>
        <v/>
      </c>
      <c r="E714" s="181" t="str">
        <f>IFERROR(LOOKUP(2,1/((A_Corridor!$A$5:$A$204&lt;&gt;"")*(A_Corridor!$A$5:$A$204&lt;=$B714)*(A_Corridor!$B$5:$B$204&gt;$B714)*(A_Corridor!$D$5:$D$204&lt;&gt;"")),IF(A_Corridor!$D$5:$D$204="-","",UPPER(A_Corridor!$D$5:$D$204))),"")</f>
        <v/>
      </c>
      <c r="F714" s="181" t="str">
        <f>IFERROR(LOOKUP(2,1/((A_Corridor!$A$5:$A$204&lt;&gt;"")*(A_Corridor!$A$5:$A$204&lt;=$B714)*(A_Corridor!$B$5:$B$204&gt;$B714)*(A_Corridor!$E$5:$E$204&lt;&gt;"")),IF(A_Corridor!$E$5:$E$204="-","",1)),"")</f>
        <v/>
      </c>
      <c r="G714" s="182" t="str">
        <f>IFERROR(LOOKUP(2,1/((A_Corridor!$A$5:$A$204&lt;&gt;"")*(A_Corridor!$A$5:$A$204&lt;=$B714)*(A_Corridor!$B$5:$B$204&gt;$B714)*(A_Corridor!$E$5:$E$204&lt;&gt;"")),IF(A_Corridor!$E$5:$E$204="-","",A_Corridor!$E$5:$E$204)),"")</f>
        <v/>
      </c>
      <c r="H714" s="182" t="str">
        <f>IFERROR(LOOKUP(2,1/((D_Points!$A$5:$A$204&lt;&gt;"")*(D_Points!$A$5:$A$204&gt;=$B714)*(D_Points!$A$5:$A$204&lt;$B714+P_Interval)*(UPPER(TRIM(D_Points!$B$5:$B$204))="GULLY")*(D_Points!$H$5:$H$204&lt;&gt;"")),D_Points!$H$5:$H$204),"")</f>
        <v/>
      </c>
      <c r="I714" s="181" t="str">
        <f>IFERROR(LOOKUP(2,1/((A_Corridor!$A$5:$A$204&lt;&gt;"")*(A_Corridor!$A$5:$A$204&lt;=$B714)*(A_Corridor!$B$5:$B$204&gt;$B714)*(A_Corridor!$F$5:$F$204&lt;&gt;"")),IF(A_Corridor!$F$5:$F$204="-","",1)),"")</f>
        <v/>
      </c>
      <c r="J714" s="182" t="str">
        <f>IFERROR(LOOKUP(2,1/((A_Corridor!$A$5:$A$204&lt;&gt;"")*(A_Corridor!$A$5:$A$204&lt;=$B714)*(A_Corridor!$B$5:$B$204&gt;$B714)*(A_Corridor!$F$5:$F$204&lt;&gt;"")),IF(A_Corridor!$F$5:$F$204="-","",A_Corridor!$F$5:$F$204)),"")</f>
        <v/>
      </c>
      <c r="K714" s="182" t="str">
        <f>IFERROR(LOOKUP(2,1/((A_Corridor!$A$5:$A$204&lt;&gt;"")*(A_Corridor!$A$5:$A$204&lt;=$B714)*(A_Corridor!$B$5:$B$204&gt;$B714)*(A_Corridor!$G$5:$G$204&lt;&gt;"")),IF(A_Corridor!$G$5:$G$204="-","",A_Corridor!$G$5:$G$204)),"")</f>
        <v/>
      </c>
      <c r="L714" s="181" t="str">
        <f>IFERROR(LOOKUP(2,1/((A_Corridor!$A$5:$A$204&lt;&gt;"")*(A_Corridor!$A$5:$A$204&lt;=$B714)*(A_Corridor!$B$5:$B$204&gt;$B714)*(A_Corridor!$H$5:$H$204&lt;&gt;"")),IF(A_Corridor!$H$5:$H$204="-","",1)),"")</f>
        <v/>
      </c>
      <c r="M714" s="182" t="str">
        <f>IFERROR(LOOKUP(2,1/((A_Corridor!$A$5:$A$204&lt;&gt;"")*(A_Corridor!$A$5:$A$204&lt;=$B714)*(A_Corridor!$B$5:$B$204&gt;$B714)*(A_Corridor!$H$5:$H$204&lt;&gt;"")),IF(A_Corridor!$H$5:$H$204="-","",A_Corridor!$H$5:$H$204)),"")</f>
        <v/>
      </c>
      <c r="N714" s="182" t="str">
        <f>IFERROR(LOOKUP(2,1/((A_Corridor!$A$5:$A$204&lt;&gt;"")*(A_Corridor!$A$5:$A$204&lt;=$B714)*(A_Corridor!$B$5:$B$204&gt;$B714)*(A_Corridor!$I$5:$I$204&lt;&gt;"")),IF(A_Corridor!$I$5:$I$204="-","",A_Corridor!$I$5:$I$204)),"")</f>
        <v/>
      </c>
      <c r="O714" s="182" t="str">
        <f>IFERROR(LOOKUP(2,1/((D_Points!$A$5:$A$204&lt;&gt;"")*(D_Points!$A$5:$A$204&gt;=$B714)*(D_Points!$A$5:$A$204&lt;$B714+P_Interval)*(UPPER(TRIM(D_Points!$B$5:$B$204))="PITCHING")*(D_Points!$H$5:$H$204&lt;&gt;"")),D_Points!$H$5:$H$204),"")</f>
        <v/>
      </c>
      <c r="P714" s="181" t="str">
        <f>IFERROR(LOOKUP(2,1/((B_Drainage!$A$5:$A$204&lt;&gt;"")*(B_Drainage!$A$5:$A$204&lt;=$B714)*(B_Drainage!$B$5:$B$204&gt;$B714)*(B_Drainage!$C$5:$C$204&lt;&gt;"")),IF(B_Drainage!$C$5:$C$204="-","",UPPER(B_Drainage!$C$5:$C$204))),"")</f>
        <v/>
      </c>
      <c r="Q714" s="181" t="str">
        <f>IFERROR(LOOKUP(2,1/((B_Drainage!$A$5:$A$204&lt;&gt;"")*(B_Drainage!$A$5:$A$204&lt;=$B714)*(B_Drainage!$B$5:$B$204&gt;$B714)*(B_Drainage!$D$5:$D$204&lt;&gt;"")),IF(B_Drainage!$D$5:$D$204="-","",UPPER(B_Drainage!$D$5:$D$204))),"")</f>
        <v/>
      </c>
      <c r="R714" s="182" t="str">
        <f>IFERROR(LOOKUP(2,1/((D_Points!$A$5:$A$204&lt;&gt;"")*(D_Points!$A$5:$A$204&gt;=$B714)*(D_Points!$A$5:$A$204&lt;$B714+P_Interval)*(RIGHT(UPPER(TRIM(D_Points!$B$5:$B$204)),8)="_CULVERT")),IF(LEFT(UPPER(TRIM(D_Points!$B$5:$B$204)),2)="EX",1,IF(LEFT(UPPER(TRIM(D_Points!$B$5:$B$204)),2)="PR",2,3))),"")</f>
        <v/>
      </c>
      <c r="S714" s="182" t="str">
        <f>IFERROR(LOOKUP(2,1/((D_Points!$A$5:$A$204&lt;&gt;"")*(D_Points!$A$5:$A$204&gt;=$B714)*(D_Points!$A$5:$A$204&lt;$B714+P_Interval)*(RIGHT(UPPER(TRIM(D_Points!$B$5:$B$204)),7)="_BRIDGE")),IF(LEFT(UPPER(TRIM(D_Points!$B$5:$B$204)),2)="EX",1,IF(LEFT(UPPER(TRIM(D_Points!$B$5:$B$204)),2)="PR",2,2))),"")</f>
        <v/>
      </c>
      <c r="T714" s="181" t="str">
        <f>IFERROR(LOOKUP(2,1/((B_Drainage!$A$5:$A$204&lt;&gt;"")*(B_Drainage!$A$5:$A$204&lt;=$B714)*(B_Drainage!$B$5:$B$204&gt;$B714)*(B_Drainage!$E$5:$E$204&lt;&gt;"")),IF(B_Drainage!$E$5:$E$204="-","",1)),"")</f>
        <v/>
      </c>
      <c r="U714" s="181" t="str">
        <f>IFERROR(LOOKUP(2,1/((B_Drainage!$A$5:$A$204&lt;&gt;"")*(B_Drainage!$A$5:$A$204&lt;=$B714)*(B_Drainage!$B$5:$B$204&gt;$B714)*(B_Drainage!$E$5:$E$204&lt;&gt;"")),IF(B_Drainage!$E$5:$E$204="-","",B_Drainage!$E$5:$E$204)),"")</f>
        <v/>
      </c>
      <c r="V714" s="181" t="str">
        <f>IFERROR(LOOKUP(2,1/((B_Drainage!$A$5:$A$204&lt;&gt;"")*(B_Drainage!$A$5:$A$204&lt;=$B714)*(B_Drainage!$B$5:$B$204&gt;$B714)*(B_Drainage!$F$5:$F$204&lt;&gt;"")),IF(B_Drainage!$F$5:$F$204="-","",1)),"")</f>
        <v/>
      </c>
      <c r="W714" s="181" t="str">
        <f>IFERROR(LOOKUP(2,1/((B_Drainage!$A$5:$A$204&lt;&gt;"")*(B_Drainage!$A$5:$A$204&lt;=$B714)*(B_Drainage!$B$5:$B$204&gt;$B714)*(B_Drainage!$F$5:$F$204&lt;&gt;"")),IF(B_Drainage!$F$5:$F$204="-","",B_Drainage!$F$5:$F$204)),"")</f>
        <v/>
      </c>
      <c r="X714" s="181" t="str">
        <f>IFERROR(LOOKUP(2,1/((B_Drainage!$A$5:$A$204&lt;&gt;"")*(B_Drainage!$A$5:$A$204&lt;=$B714)*(B_Drainage!$B$5:$B$204&gt;$B714)*(B_Drainage!$G$5:$G$204&lt;&gt;"")),IF(UPPER(B_Drainage!$G$5:$G$204)="Y",1,"")),"")</f>
        <v/>
      </c>
      <c r="Y714" s="181" t="str">
        <f>IFERROR(LOOKUP(2,1/((B_Drainage!$A$5:$A$204&lt;&gt;"")*(B_Drainage!$A$5:$A$204&lt;=$B714)*(B_Drainage!$B$5:$B$204&gt;$B714)*(B_Drainage!$H$5:$H$204&lt;&gt;"")),IF(UPPER(B_Drainage!$H$5:$H$204)="Y",1,"")),"")</f>
        <v/>
      </c>
      <c r="Z714" s="181" t="str">
        <f>IFERROR(LOOKUP(2,1/((B_Drainage!$A$5:$A$204&lt;&gt;"")*(B_Drainage!$A$5:$A$204&lt;=$B714)*(B_Drainage!$B$5:$B$204&gt;$B714)*(B_Drainage!$I$5:$I$204&lt;&gt;"")),IF(UPPER(B_Drainage!$I$5:$I$204)="Y",1,"")),"")</f>
        <v/>
      </c>
      <c r="AA714" s="181" t="str">
        <f>IFERROR(LOOKUP(2,1/((B_Drainage!$A$5:$A$204&lt;&gt;"")*(B_Drainage!$A$5:$A$204&lt;=$B714)*(B_Drainage!$B$5:$B$204&gt;$B714)*(B_Drainage!$J$5:$J$204&lt;&gt;"")),IF(UPPER(B_Drainage!$J$5:$J$204)="Y",1,"")),"")</f>
        <v/>
      </c>
      <c r="AB714" s="182" t="str">
        <f>IFERROR(LOOKUP(2,1/((B_Drainage!$A$5:$A$204&lt;&gt;"")*(B_Drainage!$A$5:$A$204&lt;=$B714)*(B_Drainage!$B$5:$B$204&gt;$B714)*(B_Drainage!$K$5:$K$204&lt;&gt;"")),IF(B_Drainage!$K$5:$K$204="-","",B_Drainage!$K$5:$K$204)),"")</f>
        <v/>
      </c>
      <c r="AC714" s="182" t="str">
        <f>IFERROR(LOOKUP(2,1/((B_Drainage!$A$5:$A$204&lt;&gt;"")*(B_Drainage!$A$5:$A$204&lt;=$B714)*(B_Drainage!$B$5:$B$204&gt;$B714)*(B_Drainage!$L$5:$L$204&lt;&gt;"")),IF(B_Drainage!$L$5:$L$204="-","",B_Drainage!$L$5:$L$204)),"")</f>
        <v/>
      </c>
      <c r="AD714" s="182" t="str">
        <f>IFERROR(LOOKUP(2,1/((D_Points!$A$5:$A$204&lt;&gt;"")*(D_Points!$A$5:$A$204&gt;=$B714)*(D_Points!$A$5:$A$204&lt;$B714+P_Interval)*(UPPER(TRIM(D_Points!$B$5:$B$204))="TURNOUT_L")*(D_Points!$H$5:$H$204&lt;&gt;"")),D_Points!$H$5:$H$204),"")</f>
        <v/>
      </c>
      <c r="AE714" s="182" t="str">
        <f>IFERROR(LOOKUP(2,1/((D_Points!$A$5:$A$204&lt;&gt;"")*(D_Points!$A$5:$A$204&gt;=$B714)*(D_Points!$A$5:$A$204&lt;$B714+P_Interval)*(UPPER(TRIM(D_Points!$B$5:$B$204))="TURNOUT_R")*(D_Points!$H$5:$H$204&lt;&gt;"")),D_Points!$H$5:$H$204),"")</f>
        <v/>
      </c>
      <c r="AF714" s="181" t="str">
        <f>IFERROR(LOOKUP(2,1/((B_Drainage!$A$5:$A$204&lt;&gt;"")*(B_Drainage!$A$5:$A$204&lt;=$B714)*(B_Drainage!$B$5:$B$204&gt;$B714)*(B_Drainage!$M$5:$M$204&lt;&gt;"")),IF(UPPER(B_Drainage!$M$5:$M$204)="Y",1,"")),"")</f>
        <v/>
      </c>
      <c r="AG714" s="181" t="str">
        <f>IFERROR(LOOKUP(2,1/((B_Drainage!$A$5:$A$204&lt;&gt;"")*(B_Drainage!$A$5:$A$204&lt;=$B714)*(B_Drainage!$B$5:$B$204&gt;$B714)*(B_Drainage!$N$5:$N$204&lt;&gt;"")),IF(UPPER(B_Drainage!$N$5:$N$204)="Y",1,"")),"")</f>
        <v/>
      </c>
      <c r="AH714" s="181" t="str">
        <f t="shared" si="88"/>
        <v/>
      </c>
      <c r="AI714" s="181" t="str">
        <f t="shared" si="89"/>
        <v/>
      </c>
      <c r="AJ714" s="181" t="str">
        <f t="shared" si="90"/>
        <v/>
      </c>
      <c r="AK714" s="181" t="str">
        <f t="shared" si="91"/>
        <v/>
      </c>
      <c r="AL714" s="181" t="str">
        <f t="shared" si="92"/>
        <v/>
      </c>
      <c r="AM714" s="181" t="str">
        <f t="shared" si="93"/>
        <v/>
      </c>
      <c r="AN714" s="181" t="str">
        <f t="shared" si="94"/>
        <v/>
      </c>
      <c r="AO714" s="192" t="str">
        <f t="shared" si="95"/>
        <v/>
      </c>
      <c r="AQ714" t="str">
        <f>IFERROR(LOOKUP(2,1/((C_Pavement!$A$5:$A$204&lt;&gt;"")*(C_Pavement!$A$5:$A$204&lt;=$B714)*(C_Pavement!$B$5:$B$204&gt;$B714)*(C_Pavement!$C$5:$C$204&lt;&gt;"")),ROW(C_Pavement!$C$5:$C$204)-4),"")</f>
        <v/>
      </c>
      <c r="AR714" t="str">
        <f>IF($AQ714="","",UPPER(TRIM(INDEX(C_Pavement!$C$5:$C$204,$AQ714))))</f>
        <v/>
      </c>
      <c r="AS714" t="str">
        <f>IF($AR714="","",IFERROR(MATCH($AR714,E_Rules!$A$5:$A$9,0),""))</f>
        <v/>
      </c>
      <c r="AT714" t="str">
        <f>IF($AQ714="","",IF(INDEX(C_Pavement!$D$5:$D$204,$AQ714)&lt;&gt;"",UPPER(TRIM(INDEX(C_Pavement!$D$5:$D$204,$AQ714))),IF($AS714="","",INDEX(E_Rules!$C$5:$C$9,$AS714))))</f>
        <v/>
      </c>
      <c r="AU714" t="str">
        <f>IF($AQ714="","",IF(INDEX(C_Pavement!$E$5:$E$204,$AQ714)&lt;&gt;"",IF(INDEX(C_Pavement!$E$5:$E$204,$AQ714)="-","",INDEX(C_Pavement!$E$5:$E$204,$AQ714)),IF($AS714="","",INDEX(E_Rules!$D$5:$D$9,$AS714))))</f>
        <v/>
      </c>
      <c r="AV714" t="str">
        <f>IF($AQ714="","",IF(INDEX(C_Pavement!$F$5:$F$204,$AQ714)&lt;&gt;"",IF(INDEX(C_Pavement!$F$5:$F$204,$AQ714)="-","",INDEX(C_Pavement!$F$5:$F$204,$AQ714)),IF($AS714="","",INDEX(E_Rules!$E$5:$E$9,$AS714))))</f>
        <v/>
      </c>
      <c r="AW714" t="str">
        <f>IF($AQ714="","",IF(INDEX(C_Pavement!$G$5:$G$204,$AQ714)&lt;&gt;"",IF(INDEX(C_Pavement!$G$5:$G$204,$AQ714)="-","",INDEX(C_Pavement!$G$5:$G$204,$AQ714)),IF($AS714="","",INDEX(E_Rules!$F$5:$F$9,$AS714))))</f>
        <v/>
      </c>
      <c r="AX714" t="str">
        <f>IF($AQ714="","",IF(INDEX(C_Pavement!$H$5:$H$204,$AQ714)&lt;&gt;"",IF(INDEX(C_Pavement!$H$5:$H$204,$AQ714)="-","",INDEX(C_Pavement!$H$5:$H$204,$AQ714)),IF($AS714="","",INDEX(E_Rules!$G$5:$G$9,$AS714))))</f>
        <v/>
      </c>
      <c r="AY714" t="str">
        <f>IF($AQ714="","",IF(INDEX(C_Pavement!$I$5:$I$204,$AQ714)&lt;&gt;"",IF(INDEX(C_Pavement!$I$5:$I$204,$AQ714)="-","",INDEX(C_Pavement!$I$5:$I$204,$AQ714)),IF($AS714="","",INDEX(E_Rules!$H$5:$H$9,$AS714))))</f>
        <v/>
      </c>
    </row>
    <row r="715" spans="1:51" ht="15.75" customHeight="1" x14ac:dyDescent="0.3">
      <c r="A715" s="189">
        <v>710</v>
      </c>
      <c r="B715" s="180">
        <v>35450</v>
      </c>
      <c r="C715" s="180" t="s">
        <v>1021</v>
      </c>
      <c r="D715" s="181" t="str">
        <f>IFERROR(LOOKUP(2,1/((A_Corridor!$A$5:$A$204&lt;&gt;"")*(A_Corridor!$A$5:$A$204&lt;=$B715)*(A_Corridor!$B$5:$B$204&gt;$B715)*(A_Corridor!$C$5:$C$204&lt;&gt;"")),IF(UPPER(A_Corridor!$C$5:$C$204)="Y",1,"")),"")</f>
        <v/>
      </c>
      <c r="E715" s="181" t="str">
        <f>IFERROR(LOOKUP(2,1/((A_Corridor!$A$5:$A$204&lt;&gt;"")*(A_Corridor!$A$5:$A$204&lt;=$B715)*(A_Corridor!$B$5:$B$204&gt;$B715)*(A_Corridor!$D$5:$D$204&lt;&gt;"")),IF(A_Corridor!$D$5:$D$204="-","",UPPER(A_Corridor!$D$5:$D$204))),"")</f>
        <v/>
      </c>
      <c r="F715" s="181" t="str">
        <f>IFERROR(LOOKUP(2,1/((A_Corridor!$A$5:$A$204&lt;&gt;"")*(A_Corridor!$A$5:$A$204&lt;=$B715)*(A_Corridor!$B$5:$B$204&gt;$B715)*(A_Corridor!$E$5:$E$204&lt;&gt;"")),IF(A_Corridor!$E$5:$E$204="-","",1)),"")</f>
        <v/>
      </c>
      <c r="G715" s="182" t="str">
        <f>IFERROR(LOOKUP(2,1/((A_Corridor!$A$5:$A$204&lt;&gt;"")*(A_Corridor!$A$5:$A$204&lt;=$B715)*(A_Corridor!$B$5:$B$204&gt;$B715)*(A_Corridor!$E$5:$E$204&lt;&gt;"")),IF(A_Corridor!$E$5:$E$204="-","",A_Corridor!$E$5:$E$204)),"")</f>
        <v/>
      </c>
      <c r="H715" s="182" t="str">
        <f>IFERROR(LOOKUP(2,1/((D_Points!$A$5:$A$204&lt;&gt;"")*(D_Points!$A$5:$A$204&gt;=$B715)*(D_Points!$A$5:$A$204&lt;$B715+P_Interval)*(UPPER(TRIM(D_Points!$B$5:$B$204))="GULLY")*(D_Points!$H$5:$H$204&lt;&gt;"")),D_Points!$H$5:$H$204),"")</f>
        <v/>
      </c>
      <c r="I715" s="181" t="str">
        <f>IFERROR(LOOKUP(2,1/((A_Corridor!$A$5:$A$204&lt;&gt;"")*(A_Corridor!$A$5:$A$204&lt;=$B715)*(A_Corridor!$B$5:$B$204&gt;$B715)*(A_Corridor!$F$5:$F$204&lt;&gt;"")),IF(A_Corridor!$F$5:$F$204="-","",1)),"")</f>
        <v/>
      </c>
      <c r="J715" s="182" t="str">
        <f>IFERROR(LOOKUP(2,1/((A_Corridor!$A$5:$A$204&lt;&gt;"")*(A_Corridor!$A$5:$A$204&lt;=$B715)*(A_Corridor!$B$5:$B$204&gt;$B715)*(A_Corridor!$F$5:$F$204&lt;&gt;"")),IF(A_Corridor!$F$5:$F$204="-","",A_Corridor!$F$5:$F$204)),"")</f>
        <v/>
      </c>
      <c r="K715" s="182" t="str">
        <f>IFERROR(LOOKUP(2,1/((A_Corridor!$A$5:$A$204&lt;&gt;"")*(A_Corridor!$A$5:$A$204&lt;=$B715)*(A_Corridor!$B$5:$B$204&gt;$B715)*(A_Corridor!$G$5:$G$204&lt;&gt;"")),IF(A_Corridor!$G$5:$G$204="-","",A_Corridor!$G$5:$G$204)),"")</f>
        <v/>
      </c>
      <c r="L715" s="181" t="str">
        <f>IFERROR(LOOKUP(2,1/((A_Corridor!$A$5:$A$204&lt;&gt;"")*(A_Corridor!$A$5:$A$204&lt;=$B715)*(A_Corridor!$B$5:$B$204&gt;$B715)*(A_Corridor!$H$5:$H$204&lt;&gt;"")),IF(A_Corridor!$H$5:$H$204="-","",1)),"")</f>
        <v/>
      </c>
      <c r="M715" s="182" t="str">
        <f>IFERROR(LOOKUP(2,1/((A_Corridor!$A$5:$A$204&lt;&gt;"")*(A_Corridor!$A$5:$A$204&lt;=$B715)*(A_Corridor!$B$5:$B$204&gt;$B715)*(A_Corridor!$H$5:$H$204&lt;&gt;"")),IF(A_Corridor!$H$5:$H$204="-","",A_Corridor!$H$5:$H$204)),"")</f>
        <v/>
      </c>
      <c r="N715" s="182" t="str">
        <f>IFERROR(LOOKUP(2,1/((A_Corridor!$A$5:$A$204&lt;&gt;"")*(A_Corridor!$A$5:$A$204&lt;=$B715)*(A_Corridor!$B$5:$B$204&gt;$B715)*(A_Corridor!$I$5:$I$204&lt;&gt;"")),IF(A_Corridor!$I$5:$I$204="-","",A_Corridor!$I$5:$I$204)),"")</f>
        <v/>
      </c>
      <c r="O715" s="182" t="str">
        <f>IFERROR(LOOKUP(2,1/((D_Points!$A$5:$A$204&lt;&gt;"")*(D_Points!$A$5:$A$204&gt;=$B715)*(D_Points!$A$5:$A$204&lt;$B715+P_Interval)*(UPPER(TRIM(D_Points!$B$5:$B$204))="PITCHING")*(D_Points!$H$5:$H$204&lt;&gt;"")),D_Points!$H$5:$H$204),"")</f>
        <v/>
      </c>
      <c r="P715" s="181" t="str">
        <f>IFERROR(LOOKUP(2,1/((B_Drainage!$A$5:$A$204&lt;&gt;"")*(B_Drainage!$A$5:$A$204&lt;=$B715)*(B_Drainage!$B$5:$B$204&gt;$B715)*(B_Drainage!$C$5:$C$204&lt;&gt;"")),IF(B_Drainage!$C$5:$C$204="-","",UPPER(B_Drainage!$C$5:$C$204))),"")</f>
        <v/>
      </c>
      <c r="Q715" s="181" t="str">
        <f>IFERROR(LOOKUP(2,1/((B_Drainage!$A$5:$A$204&lt;&gt;"")*(B_Drainage!$A$5:$A$204&lt;=$B715)*(B_Drainage!$B$5:$B$204&gt;$B715)*(B_Drainage!$D$5:$D$204&lt;&gt;"")),IF(B_Drainage!$D$5:$D$204="-","",UPPER(B_Drainage!$D$5:$D$204))),"")</f>
        <v/>
      </c>
      <c r="R715" s="182" t="str">
        <f>IFERROR(LOOKUP(2,1/((D_Points!$A$5:$A$204&lt;&gt;"")*(D_Points!$A$5:$A$204&gt;=$B715)*(D_Points!$A$5:$A$204&lt;$B715+P_Interval)*(RIGHT(UPPER(TRIM(D_Points!$B$5:$B$204)),8)="_CULVERT")),IF(LEFT(UPPER(TRIM(D_Points!$B$5:$B$204)),2)="EX",1,IF(LEFT(UPPER(TRIM(D_Points!$B$5:$B$204)),2)="PR",2,3))),"")</f>
        <v/>
      </c>
      <c r="S715" s="182" t="str">
        <f>IFERROR(LOOKUP(2,1/((D_Points!$A$5:$A$204&lt;&gt;"")*(D_Points!$A$5:$A$204&gt;=$B715)*(D_Points!$A$5:$A$204&lt;$B715+P_Interval)*(RIGHT(UPPER(TRIM(D_Points!$B$5:$B$204)),7)="_BRIDGE")),IF(LEFT(UPPER(TRIM(D_Points!$B$5:$B$204)),2)="EX",1,IF(LEFT(UPPER(TRIM(D_Points!$B$5:$B$204)),2)="PR",2,2))),"")</f>
        <v/>
      </c>
      <c r="T715" s="181" t="str">
        <f>IFERROR(LOOKUP(2,1/((B_Drainage!$A$5:$A$204&lt;&gt;"")*(B_Drainage!$A$5:$A$204&lt;=$B715)*(B_Drainage!$B$5:$B$204&gt;$B715)*(B_Drainage!$E$5:$E$204&lt;&gt;"")),IF(B_Drainage!$E$5:$E$204="-","",1)),"")</f>
        <v/>
      </c>
      <c r="U715" s="181" t="str">
        <f>IFERROR(LOOKUP(2,1/((B_Drainage!$A$5:$A$204&lt;&gt;"")*(B_Drainage!$A$5:$A$204&lt;=$B715)*(B_Drainage!$B$5:$B$204&gt;$B715)*(B_Drainage!$E$5:$E$204&lt;&gt;"")),IF(B_Drainage!$E$5:$E$204="-","",B_Drainage!$E$5:$E$204)),"")</f>
        <v/>
      </c>
      <c r="V715" s="181" t="str">
        <f>IFERROR(LOOKUP(2,1/((B_Drainage!$A$5:$A$204&lt;&gt;"")*(B_Drainage!$A$5:$A$204&lt;=$B715)*(B_Drainage!$B$5:$B$204&gt;$B715)*(B_Drainage!$F$5:$F$204&lt;&gt;"")),IF(B_Drainage!$F$5:$F$204="-","",1)),"")</f>
        <v/>
      </c>
      <c r="W715" s="181" t="str">
        <f>IFERROR(LOOKUP(2,1/((B_Drainage!$A$5:$A$204&lt;&gt;"")*(B_Drainage!$A$5:$A$204&lt;=$B715)*(B_Drainage!$B$5:$B$204&gt;$B715)*(B_Drainage!$F$5:$F$204&lt;&gt;"")),IF(B_Drainage!$F$5:$F$204="-","",B_Drainage!$F$5:$F$204)),"")</f>
        <v/>
      </c>
      <c r="X715" s="181" t="str">
        <f>IFERROR(LOOKUP(2,1/((B_Drainage!$A$5:$A$204&lt;&gt;"")*(B_Drainage!$A$5:$A$204&lt;=$B715)*(B_Drainage!$B$5:$B$204&gt;$B715)*(B_Drainage!$G$5:$G$204&lt;&gt;"")),IF(UPPER(B_Drainage!$G$5:$G$204)="Y",1,"")),"")</f>
        <v/>
      </c>
      <c r="Y715" s="181" t="str">
        <f>IFERROR(LOOKUP(2,1/((B_Drainage!$A$5:$A$204&lt;&gt;"")*(B_Drainage!$A$5:$A$204&lt;=$B715)*(B_Drainage!$B$5:$B$204&gt;$B715)*(B_Drainage!$H$5:$H$204&lt;&gt;"")),IF(UPPER(B_Drainage!$H$5:$H$204)="Y",1,"")),"")</f>
        <v/>
      </c>
      <c r="Z715" s="181" t="str">
        <f>IFERROR(LOOKUP(2,1/((B_Drainage!$A$5:$A$204&lt;&gt;"")*(B_Drainage!$A$5:$A$204&lt;=$B715)*(B_Drainage!$B$5:$B$204&gt;$B715)*(B_Drainage!$I$5:$I$204&lt;&gt;"")),IF(UPPER(B_Drainage!$I$5:$I$204)="Y",1,"")),"")</f>
        <v/>
      </c>
      <c r="AA715" s="181" t="str">
        <f>IFERROR(LOOKUP(2,1/((B_Drainage!$A$5:$A$204&lt;&gt;"")*(B_Drainage!$A$5:$A$204&lt;=$B715)*(B_Drainage!$B$5:$B$204&gt;$B715)*(B_Drainage!$J$5:$J$204&lt;&gt;"")),IF(UPPER(B_Drainage!$J$5:$J$204)="Y",1,"")),"")</f>
        <v/>
      </c>
      <c r="AB715" s="182" t="str">
        <f>IFERROR(LOOKUP(2,1/((B_Drainage!$A$5:$A$204&lt;&gt;"")*(B_Drainage!$A$5:$A$204&lt;=$B715)*(B_Drainage!$B$5:$B$204&gt;$B715)*(B_Drainage!$K$5:$K$204&lt;&gt;"")),IF(B_Drainage!$K$5:$K$204="-","",B_Drainage!$K$5:$K$204)),"")</f>
        <v/>
      </c>
      <c r="AC715" s="182" t="str">
        <f>IFERROR(LOOKUP(2,1/((B_Drainage!$A$5:$A$204&lt;&gt;"")*(B_Drainage!$A$5:$A$204&lt;=$B715)*(B_Drainage!$B$5:$B$204&gt;$B715)*(B_Drainage!$L$5:$L$204&lt;&gt;"")),IF(B_Drainage!$L$5:$L$204="-","",B_Drainage!$L$5:$L$204)),"")</f>
        <v/>
      </c>
      <c r="AD715" s="182" t="str">
        <f>IFERROR(LOOKUP(2,1/((D_Points!$A$5:$A$204&lt;&gt;"")*(D_Points!$A$5:$A$204&gt;=$B715)*(D_Points!$A$5:$A$204&lt;$B715+P_Interval)*(UPPER(TRIM(D_Points!$B$5:$B$204))="TURNOUT_L")*(D_Points!$H$5:$H$204&lt;&gt;"")),D_Points!$H$5:$H$204),"")</f>
        <v/>
      </c>
      <c r="AE715" s="182" t="str">
        <f>IFERROR(LOOKUP(2,1/((D_Points!$A$5:$A$204&lt;&gt;"")*(D_Points!$A$5:$A$204&gt;=$B715)*(D_Points!$A$5:$A$204&lt;$B715+P_Interval)*(UPPER(TRIM(D_Points!$B$5:$B$204))="TURNOUT_R")*(D_Points!$H$5:$H$204&lt;&gt;"")),D_Points!$H$5:$H$204),"")</f>
        <v/>
      </c>
      <c r="AF715" s="181" t="str">
        <f>IFERROR(LOOKUP(2,1/((B_Drainage!$A$5:$A$204&lt;&gt;"")*(B_Drainage!$A$5:$A$204&lt;=$B715)*(B_Drainage!$B$5:$B$204&gt;$B715)*(B_Drainage!$M$5:$M$204&lt;&gt;"")),IF(UPPER(B_Drainage!$M$5:$M$204)="Y",1,"")),"")</f>
        <v/>
      </c>
      <c r="AG715" s="181" t="str">
        <f>IFERROR(LOOKUP(2,1/((B_Drainage!$A$5:$A$204&lt;&gt;"")*(B_Drainage!$A$5:$A$204&lt;=$B715)*(B_Drainage!$B$5:$B$204&gt;$B715)*(B_Drainage!$N$5:$N$204&lt;&gt;"")),IF(UPPER(B_Drainage!$N$5:$N$204)="Y",1,"")),"")</f>
        <v/>
      </c>
      <c r="AH715" s="181" t="str">
        <f t="shared" si="88"/>
        <v/>
      </c>
      <c r="AI715" s="181" t="str">
        <f t="shared" si="89"/>
        <v/>
      </c>
      <c r="AJ715" s="181" t="str">
        <f t="shared" si="90"/>
        <v/>
      </c>
      <c r="AK715" s="181" t="str">
        <f t="shared" si="91"/>
        <v/>
      </c>
      <c r="AL715" s="181" t="str">
        <f t="shared" si="92"/>
        <v/>
      </c>
      <c r="AM715" s="181" t="str">
        <f t="shared" si="93"/>
        <v/>
      </c>
      <c r="AN715" s="181" t="str">
        <f t="shared" si="94"/>
        <v/>
      </c>
      <c r="AO715" s="192" t="str">
        <f t="shared" si="95"/>
        <v/>
      </c>
      <c r="AQ715" t="str">
        <f>IFERROR(LOOKUP(2,1/((C_Pavement!$A$5:$A$204&lt;&gt;"")*(C_Pavement!$A$5:$A$204&lt;=$B715)*(C_Pavement!$B$5:$B$204&gt;$B715)*(C_Pavement!$C$5:$C$204&lt;&gt;"")),ROW(C_Pavement!$C$5:$C$204)-4),"")</f>
        <v/>
      </c>
      <c r="AR715" t="str">
        <f>IF($AQ715="","",UPPER(TRIM(INDEX(C_Pavement!$C$5:$C$204,$AQ715))))</f>
        <v/>
      </c>
      <c r="AS715" t="str">
        <f>IF($AR715="","",IFERROR(MATCH($AR715,E_Rules!$A$5:$A$9,0),""))</f>
        <v/>
      </c>
      <c r="AT715" t="str">
        <f>IF($AQ715="","",IF(INDEX(C_Pavement!$D$5:$D$204,$AQ715)&lt;&gt;"",UPPER(TRIM(INDEX(C_Pavement!$D$5:$D$204,$AQ715))),IF($AS715="","",INDEX(E_Rules!$C$5:$C$9,$AS715))))</f>
        <v/>
      </c>
      <c r="AU715" t="str">
        <f>IF($AQ715="","",IF(INDEX(C_Pavement!$E$5:$E$204,$AQ715)&lt;&gt;"",IF(INDEX(C_Pavement!$E$5:$E$204,$AQ715)="-","",INDEX(C_Pavement!$E$5:$E$204,$AQ715)),IF($AS715="","",INDEX(E_Rules!$D$5:$D$9,$AS715))))</f>
        <v/>
      </c>
      <c r="AV715" t="str">
        <f>IF($AQ715="","",IF(INDEX(C_Pavement!$F$5:$F$204,$AQ715)&lt;&gt;"",IF(INDEX(C_Pavement!$F$5:$F$204,$AQ715)="-","",INDEX(C_Pavement!$F$5:$F$204,$AQ715)),IF($AS715="","",INDEX(E_Rules!$E$5:$E$9,$AS715))))</f>
        <v/>
      </c>
      <c r="AW715" t="str">
        <f>IF($AQ715="","",IF(INDEX(C_Pavement!$G$5:$G$204,$AQ715)&lt;&gt;"",IF(INDEX(C_Pavement!$G$5:$G$204,$AQ715)="-","",INDEX(C_Pavement!$G$5:$G$204,$AQ715)),IF($AS715="","",INDEX(E_Rules!$F$5:$F$9,$AS715))))</f>
        <v/>
      </c>
      <c r="AX715" t="str">
        <f>IF($AQ715="","",IF(INDEX(C_Pavement!$H$5:$H$204,$AQ715)&lt;&gt;"",IF(INDEX(C_Pavement!$H$5:$H$204,$AQ715)="-","",INDEX(C_Pavement!$H$5:$H$204,$AQ715)),IF($AS715="","",INDEX(E_Rules!$G$5:$G$9,$AS715))))</f>
        <v/>
      </c>
      <c r="AY715" t="str">
        <f>IF($AQ715="","",IF(INDEX(C_Pavement!$I$5:$I$204,$AQ715)&lt;&gt;"",IF(INDEX(C_Pavement!$I$5:$I$204,$AQ715)="-","",INDEX(C_Pavement!$I$5:$I$204,$AQ715)),IF($AS715="","",INDEX(E_Rules!$H$5:$H$9,$AS715))))</f>
        <v/>
      </c>
    </row>
    <row r="716" spans="1:51" ht="15.75" customHeight="1" x14ac:dyDescent="0.3">
      <c r="A716" s="189">
        <v>711</v>
      </c>
      <c r="B716" s="180">
        <v>35500</v>
      </c>
      <c r="C716" s="180" t="s">
        <v>1022</v>
      </c>
      <c r="D716" s="181" t="str">
        <f>IFERROR(LOOKUP(2,1/((A_Corridor!$A$5:$A$204&lt;&gt;"")*(A_Corridor!$A$5:$A$204&lt;=$B716)*(A_Corridor!$B$5:$B$204&gt;$B716)*(A_Corridor!$C$5:$C$204&lt;&gt;"")),IF(UPPER(A_Corridor!$C$5:$C$204)="Y",1,"")),"")</f>
        <v/>
      </c>
      <c r="E716" s="181" t="str">
        <f>IFERROR(LOOKUP(2,1/((A_Corridor!$A$5:$A$204&lt;&gt;"")*(A_Corridor!$A$5:$A$204&lt;=$B716)*(A_Corridor!$B$5:$B$204&gt;$B716)*(A_Corridor!$D$5:$D$204&lt;&gt;"")),IF(A_Corridor!$D$5:$D$204="-","",UPPER(A_Corridor!$D$5:$D$204))),"")</f>
        <v/>
      </c>
      <c r="F716" s="181" t="str">
        <f>IFERROR(LOOKUP(2,1/((A_Corridor!$A$5:$A$204&lt;&gt;"")*(A_Corridor!$A$5:$A$204&lt;=$B716)*(A_Corridor!$B$5:$B$204&gt;$B716)*(A_Corridor!$E$5:$E$204&lt;&gt;"")),IF(A_Corridor!$E$5:$E$204="-","",1)),"")</f>
        <v/>
      </c>
      <c r="G716" s="182" t="str">
        <f>IFERROR(LOOKUP(2,1/((A_Corridor!$A$5:$A$204&lt;&gt;"")*(A_Corridor!$A$5:$A$204&lt;=$B716)*(A_Corridor!$B$5:$B$204&gt;$B716)*(A_Corridor!$E$5:$E$204&lt;&gt;"")),IF(A_Corridor!$E$5:$E$204="-","",A_Corridor!$E$5:$E$204)),"")</f>
        <v/>
      </c>
      <c r="H716" s="182" t="str">
        <f>IFERROR(LOOKUP(2,1/((D_Points!$A$5:$A$204&lt;&gt;"")*(D_Points!$A$5:$A$204&gt;=$B716)*(D_Points!$A$5:$A$204&lt;$B716+P_Interval)*(UPPER(TRIM(D_Points!$B$5:$B$204))="GULLY")*(D_Points!$H$5:$H$204&lt;&gt;"")),D_Points!$H$5:$H$204),"")</f>
        <v/>
      </c>
      <c r="I716" s="181" t="str">
        <f>IFERROR(LOOKUP(2,1/((A_Corridor!$A$5:$A$204&lt;&gt;"")*(A_Corridor!$A$5:$A$204&lt;=$B716)*(A_Corridor!$B$5:$B$204&gt;$B716)*(A_Corridor!$F$5:$F$204&lt;&gt;"")),IF(A_Corridor!$F$5:$F$204="-","",1)),"")</f>
        <v/>
      </c>
      <c r="J716" s="182" t="str">
        <f>IFERROR(LOOKUP(2,1/((A_Corridor!$A$5:$A$204&lt;&gt;"")*(A_Corridor!$A$5:$A$204&lt;=$B716)*(A_Corridor!$B$5:$B$204&gt;$B716)*(A_Corridor!$F$5:$F$204&lt;&gt;"")),IF(A_Corridor!$F$5:$F$204="-","",A_Corridor!$F$5:$F$204)),"")</f>
        <v/>
      </c>
      <c r="K716" s="182" t="str">
        <f>IFERROR(LOOKUP(2,1/((A_Corridor!$A$5:$A$204&lt;&gt;"")*(A_Corridor!$A$5:$A$204&lt;=$B716)*(A_Corridor!$B$5:$B$204&gt;$B716)*(A_Corridor!$G$5:$G$204&lt;&gt;"")),IF(A_Corridor!$G$5:$G$204="-","",A_Corridor!$G$5:$G$204)),"")</f>
        <v/>
      </c>
      <c r="L716" s="181" t="str">
        <f>IFERROR(LOOKUP(2,1/((A_Corridor!$A$5:$A$204&lt;&gt;"")*(A_Corridor!$A$5:$A$204&lt;=$B716)*(A_Corridor!$B$5:$B$204&gt;$B716)*(A_Corridor!$H$5:$H$204&lt;&gt;"")),IF(A_Corridor!$H$5:$H$204="-","",1)),"")</f>
        <v/>
      </c>
      <c r="M716" s="182" t="str">
        <f>IFERROR(LOOKUP(2,1/((A_Corridor!$A$5:$A$204&lt;&gt;"")*(A_Corridor!$A$5:$A$204&lt;=$B716)*(A_Corridor!$B$5:$B$204&gt;$B716)*(A_Corridor!$H$5:$H$204&lt;&gt;"")),IF(A_Corridor!$H$5:$H$204="-","",A_Corridor!$H$5:$H$204)),"")</f>
        <v/>
      </c>
      <c r="N716" s="182" t="str">
        <f>IFERROR(LOOKUP(2,1/((A_Corridor!$A$5:$A$204&lt;&gt;"")*(A_Corridor!$A$5:$A$204&lt;=$B716)*(A_Corridor!$B$5:$B$204&gt;$B716)*(A_Corridor!$I$5:$I$204&lt;&gt;"")),IF(A_Corridor!$I$5:$I$204="-","",A_Corridor!$I$5:$I$204)),"")</f>
        <v/>
      </c>
      <c r="O716" s="182" t="str">
        <f>IFERROR(LOOKUP(2,1/((D_Points!$A$5:$A$204&lt;&gt;"")*(D_Points!$A$5:$A$204&gt;=$B716)*(D_Points!$A$5:$A$204&lt;$B716+P_Interval)*(UPPER(TRIM(D_Points!$B$5:$B$204))="PITCHING")*(D_Points!$H$5:$H$204&lt;&gt;"")),D_Points!$H$5:$H$204),"")</f>
        <v/>
      </c>
      <c r="P716" s="181" t="str">
        <f>IFERROR(LOOKUP(2,1/((B_Drainage!$A$5:$A$204&lt;&gt;"")*(B_Drainage!$A$5:$A$204&lt;=$B716)*(B_Drainage!$B$5:$B$204&gt;$B716)*(B_Drainage!$C$5:$C$204&lt;&gt;"")),IF(B_Drainage!$C$5:$C$204="-","",UPPER(B_Drainage!$C$5:$C$204))),"")</f>
        <v/>
      </c>
      <c r="Q716" s="181" t="str">
        <f>IFERROR(LOOKUP(2,1/((B_Drainage!$A$5:$A$204&lt;&gt;"")*(B_Drainage!$A$5:$A$204&lt;=$B716)*(B_Drainage!$B$5:$B$204&gt;$B716)*(B_Drainage!$D$5:$D$204&lt;&gt;"")),IF(B_Drainage!$D$5:$D$204="-","",UPPER(B_Drainage!$D$5:$D$204))),"")</f>
        <v/>
      </c>
      <c r="R716" s="182" t="str">
        <f>IFERROR(LOOKUP(2,1/((D_Points!$A$5:$A$204&lt;&gt;"")*(D_Points!$A$5:$A$204&gt;=$B716)*(D_Points!$A$5:$A$204&lt;$B716+P_Interval)*(RIGHT(UPPER(TRIM(D_Points!$B$5:$B$204)),8)="_CULVERT")),IF(LEFT(UPPER(TRIM(D_Points!$B$5:$B$204)),2)="EX",1,IF(LEFT(UPPER(TRIM(D_Points!$B$5:$B$204)),2)="PR",2,3))),"")</f>
        <v/>
      </c>
      <c r="S716" s="182" t="str">
        <f>IFERROR(LOOKUP(2,1/((D_Points!$A$5:$A$204&lt;&gt;"")*(D_Points!$A$5:$A$204&gt;=$B716)*(D_Points!$A$5:$A$204&lt;$B716+P_Interval)*(RIGHT(UPPER(TRIM(D_Points!$B$5:$B$204)),7)="_BRIDGE")),IF(LEFT(UPPER(TRIM(D_Points!$B$5:$B$204)),2)="EX",1,IF(LEFT(UPPER(TRIM(D_Points!$B$5:$B$204)),2)="PR",2,2))),"")</f>
        <v/>
      </c>
      <c r="T716" s="181" t="str">
        <f>IFERROR(LOOKUP(2,1/((B_Drainage!$A$5:$A$204&lt;&gt;"")*(B_Drainage!$A$5:$A$204&lt;=$B716)*(B_Drainage!$B$5:$B$204&gt;$B716)*(B_Drainage!$E$5:$E$204&lt;&gt;"")),IF(B_Drainage!$E$5:$E$204="-","",1)),"")</f>
        <v/>
      </c>
      <c r="U716" s="181" t="str">
        <f>IFERROR(LOOKUP(2,1/((B_Drainage!$A$5:$A$204&lt;&gt;"")*(B_Drainage!$A$5:$A$204&lt;=$B716)*(B_Drainage!$B$5:$B$204&gt;$B716)*(B_Drainage!$E$5:$E$204&lt;&gt;"")),IF(B_Drainage!$E$5:$E$204="-","",B_Drainage!$E$5:$E$204)),"")</f>
        <v/>
      </c>
      <c r="V716" s="181" t="str">
        <f>IFERROR(LOOKUP(2,1/((B_Drainage!$A$5:$A$204&lt;&gt;"")*(B_Drainage!$A$5:$A$204&lt;=$B716)*(B_Drainage!$B$5:$B$204&gt;$B716)*(B_Drainage!$F$5:$F$204&lt;&gt;"")),IF(B_Drainage!$F$5:$F$204="-","",1)),"")</f>
        <v/>
      </c>
      <c r="W716" s="181" t="str">
        <f>IFERROR(LOOKUP(2,1/((B_Drainage!$A$5:$A$204&lt;&gt;"")*(B_Drainage!$A$5:$A$204&lt;=$B716)*(B_Drainage!$B$5:$B$204&gt;$B716)*(B_Drainage!$F$5:$F$204&lt;&gt;"")),IF(B_Drainage!$F$5:$F$204="-","",B_Drainage!$F$5:$F$204)),"")</f>
        <v/>
      </c>
      <c r="X716" s="181" t="str">
        <f>IFERROR(LOOKUP(2,1/((B_Drainage!$A$5:$A$204&lt;&gt;"")*(B_Drainage!$A$5:$A$204&lt;=$B716)*(B_Drainage!$B$5:$B$204&gt;$B716)*(B_Drainage!$G$5:$G$204&lt;&gt;"")),IF(UPPER(B_Drainage!$G$5:$G$204)="Y",1,"")),"")</f>
        <v/>
      </c>
      <c r="Y716" s="181" t="str">
        <f>IFERROR(LOOKUP(2,1/((B_Drainage!$A$5:$A$204&lt;&gt;"")*(B_Drainage!$A$5:$A$204&lt;=$B716)*(B_Drainage!$B$5:$B$204&gt;$B716)*(B_Drainage!$H$5:$H$204&lt;&gt;"")),IF(UPPER(B_Drainage!$H$5:$H$204)="Y",1,"")),"")</f>
        <v/>
      </c>
      <c r="Z716" s="181" t="str">
        <f>IFERROR(LOOKUP(2,1/((B_Drainage!$A$5:$A$204&lt;&gt;"")*(B_Drainage!$A$5:$A$204&lt;=$B716)*(B_Drainage!$B$5:$B$204&gt;$B716)*(B_Drainage!$I$5:$I$204&lt;&gt;"")),IF(UPPER(B_Drainage!$I$5:$I$204)="Y",1,"")),"")</f>
        <v/>
      </c>
      <c r="AA716" s="181" t="str">
        <f>IFERROR(LOOKUP(2,1/((B_Drainage!$A$5:$A$204&lt;&gt;"")*(B_Drainage!$A$5:$A$204&lt;=$B716)*(B_Drainage!$B$5:$B$204&gt;$B716)*(B_Drainage!$J$5:$J$204&lt;&gt;"")),IF(UPPER(B_Drainage!$J$5:$J$204)="Y",1,"")),"")</f>
        <v/>
      </c>
      <c r="AB716" s="182" t="str">
        <f>IFERROR(LOOKUP(2,1/((B_Drainage!$A$5:$A$204&lt;&gt;"")*(B_Drainage!$A$5:$A$204&lt;=$B716)*(B_Drainage!$B$5:$B$204&gt;$B716)*(B_Drainage!$K$5:$K$204&lt;&gt;"")),IF(B_Drainage!$K$5:$K$204="-","",B_Drainage!$K$5:$K$204)),"")</f>
        <v/>
      </c>
      <c r="AC716" s="182" t="str">
        <f>IFERROR(LOOKUP(2,1/((B_Drainage!$A$5:$A$204&lt;&gt;"")*(B_Drainage!$A$5:$A$204&lt;=$B716)*(B_Drainage!$B$5:$B$204&gt;$B716)*(B_Drainage!$L$5:$L$204&lt;&gt;"")),IF(B_Drainage!$L$5:$L$204="-","",B_Drainage!$L$5:$L$204)),"")</f>
        <v/>
      </c>
      <c r="AD716" s="182" t="str">
        <f>IFERROR(LOOKUP(2,1/((D_Points!$A$5:$A$204&lt;&gt;"")*(D_Points!$A$5:$A$204&gt;=$B716)*(D_Points!$A$5:$A$204&lt;$B716+P_Interval)*(UPPER(TRIM(D_Points!$B$5:$B$204))="TURNOUT_L")*(D_Points!$H$5:$H$204&lt;&gt;"")),D_Points!$H$5:$H$204),"")</f>
        <v/>
      </c>
      <c r="AE716" s="182" t="str">
        <f>IFERROR(LOOKUP(2,1/((D_Points!$A$5:$A$204&lt;&gt;"")*(D_Points!$A$5:$A$204&gt;=$B716)*(D_Points!$A$5:$A$204&lt;$B716+P_Interval)*(UPPER(TRIM(D_Points!$B$5:$B$204))="TURNOUT_R")*(D_Points!$H$5:$H$204&lt;&gt;"")),D_Points!$H$5:$H$204),"")</f>
        <v/>
      </c>
      <c r="AF716" s="181" t="str">
        <f>IFERROR(LOOKUP(2,1/((B_Drainage!$A$5:$A$204&lt;&gt;"")*(B_Drainage!$A$5:$A$204&lt;=$B716)*(B_Drainage!$B$5:$B$204&gt;$B716)*(B_Drainage!$M$5:$M$204&lt;&gt;"")),IF(UPPER(B_Drainage!$M$5:$M$204)="Y",1,"")),"")</f>
        <v/>
      </c>
      <c r="AG716" s="181" t="str">
        <f>IFERROR(LOOKUP(2,1/((B_Drainage!$A$5:$A$204&lt;&gt;"")*(B_Drainage!$A$5:$A$204&lt;=$B716)*(B_Drainage!$B$5:$B$204&gt;$B716)*(B_Drainage!$N$5:$N$204&lt;&gt;"")),IF(UPPER(B_Drainage!$N$5:$N$204)="Y",1,"")),"")</f>
        <v/>
      </c>
      <c r="AH716" s="181" t="str">
        <f t="shared" si="88"/>
        <v/>
      </c>
      <c r="AI716" s="181" t="str">
        <f t="shared" si="89"/>
        <v/>
      </c>
      <c r="AJ716" s="181" t="str">
        <f t="shared" si="90"/>
        <v/>
      </c>
      <c r="AK716" s="181" t="str">
        <f t="shared" si="91"/>
        <v/>
      </c>
      <c r="AL716" s="181" t="str">
        <f t="shared" si="92"/>
        <v/>
      </c>
      <c r="AM716" s="181" t="str">
        <f t="shared" si="93"/>
        <v/>
      </c>
      <c r="AN716" s="181" t="str">
        <f t="shared" si="94"/>
        <v/>
      </c>
      <c r="AO716" s="192" t="str">
        <f t="shared" si="95"/>
        <v/>
      </c>
      <c r="AQ716" t="str">
        <f>IFERROR(LOOKUP(2,1/((C_Pavement!$A$5:$A$204&lt;&gt;"")*(C_Pavement!$A$5:$A$204&lt;=$B716)*(C_Pavement!$B$5:$B$204&gt;$B716)*(C_Pavement!$C$5:$C$204&lt;&gt;"")),ROW(C_Pavement!$C$5:$C$204)-4),"")</f>
        <v/>
      </c>
      <c r="AR716" t="str">
        <f>IF($AQ716="","",UPPER(TRIM(INDEX(C_Pavement!$C$5:$C$204,$AQ716))))</f>
        <v/>
      </c>
      <c r="AS716" t="str">
        <f>IF($AR716="","",IFERROR(MATCH($AR716,E_Rules!$A$5:$A$9,0),""))</f>
        <v/>
      </c>
      <c r="AT716" t="str">
        <f>IF($AQ716="","",IF(INDEX(C_Pavement!$D$5:$D$204,$AQ716)&lt;&gt;"",UPPER(TRIM(INDEX(C_Pavement!$D$5:$D$204,$AQ716))),IF($AS716="","",INDEX(E_Rules!$C$5:$C$9,$AS716))))</f>
        <v/>
      </c>
      <c r="AU716" t="str">
        <f>IF($AQ716="","",IF(INDEX(C_Pavement!$E$5:$E$204,$AQ716)&lt;&gt;"",IF(INDEX(C_Pavement!$E$5:$E$204,$AQ716)="-","",INDEX(C_Pavement!$E$5:$E$204,$AQ716)),IF($AS716="","",INDEX(E_Rules!$D$5:$D$9,$AS716))))</f>
        <v/>
      </c>
      <c r="AV716" t="str">
        <f>IF($AQ716="","",IF(INDEX(C_Pavement!$F$5:$F$204,$AQ716)&lt;&gt;"",IF(INDEX(C_Pavement!$F$5:$F$204,$AQ716)="-","",INDEX(C_Pavement!$F$5:$F$204,$AQ716)),IF($AS716="","",INDEX(E_Rules!$E$5:$E$9,$AS716))))</f>
        <v/>
      </c>
      <c r="AW716" t="str">
        <f>IF($AQ716="","",IF(INDEX(C_Pavement!$G$5:$G$204,$AQ716)&lt;&gt;"",IF(INDEX(C_Pavement!$G$5:$G$204,$AQ716)="-","",INDEX(C_Pavement!$G$5:$G$204,$AQ716)),IF($AS716="","",INDEX(E_Rules!$F$5:$F$9,$AS716))))</f>
        <v/>
      </c>
      <c r="AX716" t="str">
        <f>IF($AQ716="","",IF(INDEX(C_Pavement!$H$5:$H$204,$AQ716)&lt;&gt;"",IF(INDEX(C_Pavement!$H$5:$H$204,$AQ716)="-","",INDEX(C_Pavement!$H$5:$H$204,$AQ716)),IF($AS716="","",INDEX(E_Rules!$G$5:$G$9,$AS716))))</f>
        <v/>
      </c>
      <c r="AY716" t="str">
        <f>IF($AQ716="","",IF(INDEX(C_Pavement!$I$5:$I$204,$AQ716)&lt;&gt;"",IF(INDEX(C_Pavement!$I$5:$I$204,$AQ716)="-","",INDEX(C_Pavement!$I$5:$I$204,$AQ716)),IF($AS716="","",INDEX(E_Rules!$H$5:$H$9,$AS716))))</f>
        <v/>
      </c>
    </row>
    <row r="717" spans="1:51" ht="15.75" customHeight="1" x14ac:dyDescent="0.3">
      <c r="A717" s="189">
        <v>712</v>
      </c>
      <c r="B717" s="180">
        <v>35550</v>
      </c>
      <c r="C717" s="180" t="s">
        <v>1023</v>
      </c>
      <c r="D717" s="181" t="str">
        <f>IFERROR(LOOKUP(2,1/((A_Corridor!$A$5:$A$204&lt;&gt;"")*(A_Corridor!$A$5:$A$204&lt;=$B717)*(A_Corridor!$B$5:$B$204&gt;$B717)*(A_Corridor!$C$5:$C$204&lt;&gt;"")),IF(UPPER(A_Corridor!$C$5:$C$204)="Y",1,"")),"")</f>
        <v/>
      </c>
      <c r="E717" s="181" t="str">
        <f>IFERROR(LOOKUP(2,1/((A_Corridor!$A$5:$A$204&lt;&gt;"")*(A_Corridor!$A$5:$A$204&lt;=$B717)*(A_Corridor!$B$5:$B$204&gt;$B717)*(A_Corridor!$D$5:$D$204&lt;&gt;"")),IF(A_Corridor!$D$5:$D$204="-","",UPPER(A_Corridor!$D$5:$D$204))),"")</f>
        <v/>
      </c>
      <c r="F717" s="181" t="str">
        <f>IFERROR(LOOKUP(2,1/((A_Corridor!$A$5:$A$204&lt;&gt;"")*(A_Corridor!$A$5:$A$204&lt;=$B717)*(A_Corridor!$B$5:$B$204&gt;$B717)*(A_Corridor!$E$5:$E$204&lt;&gt;"")),IF(A_Corridor!$E$5:$E$204="-","",1)),"")</f>
        <v/>
      </c>
      <c r="G717" s="182" t="str">
        <f>IFERROR(LOOKUP(2,1/((A_Corridor!$A$5:$A$204&lt;&gt;"")*(A_Corridor!$A$5:$A$204&lt;=$B717)*(A_Corridor!$B$5:$B$204&gt;$B717)*(A_Corridor!$E$5:$E$204&lt;&gt;"")),IF(A_Corridor!$E$5:$E$204="-","",A_Corridor!$E$5:$E$204)),"")</f>
        <v/>
      </c>
      <c r="H717" s="182" t="str">
        <f>IFERROR(LOOKUP(2,1/((D_Points!$A$5:$A$204&lt;&gt;"")*(D_Points!$A$5:$A$204&gt;=$B717)*(D_Points!$A$5:$A$204&lt;$B717+P_Interval)*(UPPER(TRIM(D_Points!$B$5:$B$204))="GULLY")*(D_Points!$H$5:$H$204&lt;&gt;"")),D_Points!$H$5:$H$204),"")</f>
        <v/>
      </c>
      <c r="I717" s="181" t="str">
        <f>IFERROR(LOOKUP(2,1/((A_Corridor!$A$5:$A$204&lt;&gt;"")*(A_Corridor!$A$5:$A$204&lt;=$B717)*(A_Corridor!$B$5:$B$204&gt;$B717)*(A_Corridor!$F$5:$F$204&lt;&gt;"")),IF(A_Corridor!$F$5:$F$204="-","",1)),"")</f>
        <v/>
      </c>
      <c r="J717" s="182" t="str">
        <f>IFERROR(LOOKUP(2,1/((A_Corridor!$A$5:$A$204&lt;&gt;"")*(A_Corridor!$A$5:$A$204&lt;=$B717)*(A_Corridor!$B$5:$B$204&gt;$B717)*(A_Corridor!$F$5:$F$204&lt;&gt;"")),IF(A_Corridor!$F$5:$F$204="-","",A_Corridor!$F$5:$F$204)),"")</f>
        <v/>
      </c>
      <c r="K717" s="182" t="str">
        <f>IFERROR(LOOKUP(2,1/((A_Corridor!$A$5:$A$204&lt;&gt;"")*(A_Corridor!$A$5:$A$204&lt;=$B717)*(A_Corridor!$B$5:$B$204&gt;$B717)*(A_Corridor!$G$5:$G$204&lt;&gt;"")),IF(A_Corridor!$G$5:$G$204="-","",A_Corridor!$G$5:$G$204)),"")</f>
        <v/>
      </c>
      <c r="L717" s="181" t="str">
        <f>IFERROR(LOOKUP(2,1/((A_Corridor!$A$5:$A$204&lt;&gt;"")*(A_Corridor!$A$5:$A$204&lt;=$B717)*(A_Corridor!$B$5:$B$204&gt;$B717)*(A_Corridor!$H$5:$H$204&lt;&gt;"")),IF(A_Corridor!$H$5:$H$204="-","",1)),"")</f>
        <v/>
      </c>
      <c r="M717" s="182" t="str">
        <f>IFERROR(LOOKUP(2,1/((A_Corridor!$A$5:$A$204&lt;&gt;"")*(A_Corridor!$A$5:$A$204&lt;=$B717)*(A_Corridor!$B$5:$B$204&gt;$B717)*(A_Corridor!$H$5:$H$204&lt;&gt;"")),IF(A_Corridor!$H$5:$H$204="-","",A_Corridor!$H$5:$H$204)),"")</f>
        <v/>
      </c>
      <c r="N717" s="182" t="str">
        <f>IFERROR(LOOKUP(2,1/((A_Corridor!$A$5:$A$204&lt;&gt;"")*(A_Corridor!$A$5:$A$204&lt;=$B717)*(A_Corridor!$B$5:$B$204&gt;$B717)*(A_Corridor!$I$5:$I$204&lt;&gt;"")),IF(A_Corridor!$I$5:$I$204="-","",A_Corridor!$I$5:$I$204)),"")</f>
        <v/>
      </c>
      <c r="O717" s="182" t="str">
        <f>IFERROR(LOOKUP(2,1/((D_Points!$A$5:$A$204&lt;&gt;"")*(D_Points!$A$5:$A$204&gt;=$B717)*(D_Points!$A$5:$A$204&lt;$B717+P_Interval)*(UPPER(TRIM(D_Points!$B$5:$B$204))="PITCHING")*(D_Points!$H$5:$H$204&lt;&gt;"")),D_Points!$H$5:$H$204),"")</f>
        <v/>
      </c>
      <c r="P717" s="181" t="str">
        <f>IFERROR(LOOKUP(2,1/((B_Drainage!$A$5:$A$204&lt;&gt;"")*(B_Drainage!$A$5:$A$204&lt;=$B717)*(B_Drainage!$B$5:$B$204&gt;$B717)*(B_Drainage!$C$5:$C$204&lt;&gt;"")),IF(B_Drainage!$C$5:$C$204="-","",UPPER(B_Drainage!$C$5:$C$204))),"")</f>
        <v/>
      </c>
      <c r="Q717" s="181" t="str">
        <f>IFERROR(LOOKUP(2,1/((B_Drainage!$A$5:$A$204&lt;&gt;"")*(B_Drainage!$A$5:$A$204&lt;=$B717)*(B_Drainage!$B$5:$B$204&gt;$B717)*(B_Drainage!$D$5:$D$204&lt;&gt;"")),IF(B_Drainage!$D$5:$D$204="-","",UPPER(B_Drainage!$D$5:$D$204))),"")</f>
        <v/>
      </c>
      <c r="R717" s="182" t="str">
        <f>IFERROR(LOOKUP(2,1/((D_Points!$A$5:$A$204&lt;&gt;"")*(D_Points!$A$5:$A$204&gt;=$B717)*(D_Points!$A$5:$A$204&lt;$B717+P_Interval)*(RIGHT(UPPER(TRIM(D_Points!$B$5:$B$204)),8)="_CULVERT")),IF(LEFT(UPPER(TRIM(D_Points!$B$5:$B$204)),2)="EX",1,IF(LEFT(UPPER(TRIM(D_Points!$B$5:$B$204)),2)="PR",2,3))),"")</f>
        <v/>
      </c>
      <c r="S717" s="182" t="str">
        <f>IFERROR(LOOKUP(2,1/((D_Points!$A$5:$A$204&lt;&gt;"")*(D_Points!$A$5:$A$204&gt;=$B717)*(D_Points!$A$5:$A$204&lt;$B717+P_Interval)*(RIGHT(UPPER(TRIM(D_Points!$B$5:$B$204)),7)="_BRIDGE")),IF(LEFT(UPPER(TRIM(D_Points!$B$5:$B$204)),2)="EX",1,IF(LEFT(UPPER(TRIM(D_Points!$B$5:$B$204)),2)="PR",2,2))),"")</f>
        <v/>
      </c>
      <c r="T717" s="181" t="str">
        <f>IFERROR(LOOKUP(2,1/((B_Drainage!$A$5:$A$204&lt;&gt;"")*(B_Drainage!$A$5:$A$204&lt;=$B717)*(B_Drainage!$B$5:$B$204&gt;$B717)*(B_Drainage!$E$5:$E$204&lt;&gt;"")),IF(B_Drainage!$E$5:$E$204="-","",1)),"")</f>
        <v/>
      </c>
      <c r="U717" s="181" t="str">
        <f>IFERROR(LOOKUP(2,1/((B_Drainage!$A$5:$A$204&lt;&gt;"")*(B_Drainage!$A$5:$A$204&lt;=$B717)*(B_Drainage!$B$5:$B$204&gt;$B717)*(B_Drainage!$E$5:$E$204&lt;&gt;"")),IF(B_Drainage!$E$5:$E$204="-","",B_Drainage!$E$5:$E$204)),"")</f>
        <v/>
      </c>
      <c r="V717" s="181" t="str">
        <f>IFERROR(LOOKUP(2,1/((B_Drainage!$A$5:$A$204&lt;&gt;"")*(B_Drainage!$A$5:$A$204&lt;=$B717)*(B_Drainage!$B$5:$B$204&gt;$B717)*(B_Drainage!$F$5:$F$204&lt;&gt;"")),IF(B_Drainage!$F$5:$F$204="-","",1)),"")</f>
        <v/>
      </c>
      <c r="W717" s="181" t="str">
        <f>IFERROR(LOOKUP(2,1/((B_Drainage!$A$5:$A$204&lt;&gt;"")*(B_Drainage!$A$5:$A$204&lt;=$B717)*(B_Drainage!$B$5:$B$204&gt;$B717)*(B_Drainage!$F$5:$F$204&lt;&gt;"")),IF(B_Drainage!$F$5:$F$204="-","",B_Drainage!$F$5:$F$204)),"")</f>
        <v/>
      </c>
      <c r="X717" s="181" t="str">
        <f>IFERROR(LOOKUP(2,1/((B_Drainage!$A$5:$A$204&lt;&gt;"")*(B_Drainage!$A$5:$A$204&lt;=$B717)*(B_Drainage!$B$5:$B$204&gt;$B717)*(B_Drainage!$G$5:$G$204&lt;&gt;"")),IF(UPPER(B_Drainage!$G$5:$G$204)="Y",1,"")),"")</f>
        <v/>
      </c>
      <c r="Y717" s="181" t="str">
        <f>IFERROR(LOOKUP(2,1/((B_Drainage!$A$5:$A$204&lt;&gt;"")*(B_Drainage!$A$5:$A$204&lt;=$B717)*(B_Drainage!$B$5:$B$204&gt;$B717)*(B_Drainage!$H$5:$H$204&lt;&gt;"")),IF(UPPER(B_Drainage!$H$5:$H$204)="Y",1,"")),"")</f>
        <v/>
      </c>
      <c r="Z717" s="181" t="str">
        <f>IFERROR(LOOKUP(2,1/((B_Drainage!$A$5:$A$204&lt;&gt;"")*(B_Drainage!$A$5:$A$204&lt;=$B717)*(B_Drainage!$B$5:$B$204&gt;$B717)*(B_Drainage!$I$5:$I$204&lt;&gt;"")),IF(UPPER(B_Drainage!$I$5:$I$204)="Y",1,"")),"")</f>
        <v/>
      </c>
      <c r="AA717" s="181" t="str">
        <f>IFERROR(LOOKUP(2,1/((B_Drainage!$A$5:$A$204&lt;&gt;"")*(B_Drainage!$A$5:$A$204&lt;=$B717)*(B_Drainage!$B$5:$B$204&gt;$B717)*(B_Drainage!$J$5:$J$204&lt;&gt;"")),IF(UPPER(B_Drainage!$J$5:$J$204)="Y",1,"")),"")</f>
        <v/>
      </c>
      <c r="AB717" s="182" t="str">
        <f>IFERROR(LOOKUP(2,1/((B_Drainage!$A$5:$A$204&lt;&gt;"")*(B_Drainage!$A$5:$A$204&lt;=$B717)*(B_Drainage!$B$5:$B$204&gt;$B717)*(B_Drainage!$K$5:$K$204&lt;&gt;"")),IF(B_Drainage!$K$5:$K$204="-","",B_Drainage!$K$5:$K$204)),"")</f>
        <v/>
      </c>
      <c r="AC717" s="182" t="str">
        <f>IFERROR(LOOKUP(2,1/((B_Drainage!$A$5:$A$204&lt;&gt;"")*(B_Drainage!$A$5:$A$204&lt;=$B717)*(B_Drainage!$B$5:$B$204&gt;$B717)*(B_Drainage!$L$5:$L$204&lt;&gt;"")),IF(B_Drainage!$L$5:$L$204="-","",B_Drainage!$L$5:$L$204)),"")</f>
        <v/>
      </c>
      <c r="AD717" s="182" t="str">
        <f>IFERROR(LOOKUP(2,1/((D_Points!$A$5:$A$204&lt;&gt;"")*(D_Points!$A$5:$A$204&gt;=$B717)*(D_Points!$A$5:$A$204&lt;$B717+P_Interval)*(UPPER(TRIM(D_Points!$B$5:$B$204))="TURNOUT_L")*(D_Points!$H$5:$H$204&lt;&gt;"")),D_Points!$H$5:$H$204),"")</f>
        <v/>
      </c>
      <c r="AE717" s="182" t="str">
        <f>IFERROR(LOOKUP(2,1/((D_Points!$A$5:$A$204&lt;&gt;"")*(D_Points!$A$5:$A$204&gt;=$B717)*(D_Points!$A$5:$A$204&lt;$B717+P_Interval)*(UPPER(TRIM(D_Points!$B$5:$B$204))="TURNOUT_R")*(D_Points!$H$5:$H$204&lt;&gt;"")),D_Points!$H$5:$H$204),"")</f>
        <v/>
      </c>
      <c r="AF717" s="181" t="str">
        <f>IFERROR(LOOKUP(2,1/((B_Drainage!$A$5:$A$204&lt;&gt;"")*(B_Drainage!$A$5:$A$204&lt;=$B717)*(B_Drainage!$B$5:$B$204&gt;$B717)*(B_Drainage!$M$5:$M$204&lt;&gt;"")),IF(UPPER(B_Drainage!$M$5:$M$204)="Y",1,"")),"")</f>
        <v/>
      </c>
      <c r="AG717" s="181" t="str">
        <f>IFERROR(LOOKUP(2,1/((B_Drainage!$A$5:$A$204&lt;&gt;"")*(B_Drainage!$A$5:$A$204&lt;=$B717)*(B_Drainage!$B$5:$B$204&gt;$B717)*(B_Drainage!$N$5:$N$204&lt;&gt;"")),IF(UPPER(B_Drainage!$N$5:$N$204)="Y",1,"")),"")</f>
        <v/>
      </c>
      <c r="AH717" s="181" t="str">
        <f t="shared" si="88"/>
        <v/>
      </c>
      <c r="AI717" s="181" t="str">
        <f t="shared" si="89"/>
        <v/>
      </c>
      <c r="AJ717" s="181" t="str">
        <f t="shared" si="90"/>
        <v/>
      </c>
      <c r="AK717" s="181" t="str">
        <f t="shared" si="91"/>
        <v/>
      </c>
      <c r="AL717" s="181" t="str">
        <f t="shared" si="92"/>
        <v/>
      </c>
      <c r="AM717" s="181" t="str">
        <f t="shared" si="93"/>
        <v/>
      </c>
      <c r="AN717" s="181" t="str">
        <f t="shared" si="94"/>
        <v/>
      </c>
      <c r="AO717" s="192" t="str">
        <f t="shared" si="95"/>
        <v/>
      </c>
      <c r="AQ717" t="str">
        <f>IFERROR(LOOKUP(2,1/((C_Pavement!$A$5:$A$204&lt;&gt;"")*(C_Pavement!$A$5:$A$204&lt;=$B717)*(C_Pavement!$B$5:$B$204&gt;$B717)*(C_Pavement!$C$5:$C$204&lt;&gt;"")),ROW(C_Pavement!$C$5:$C$204)-4),"")</f>
        <v/>
      </c>
      <c r="AR717" t="str">
        <f>IF($AQ717="","",UPPER(TRIM(INDEX(C_Pavement!$C$5:$C$204,$AQ717))))</f>
        <v/>
      </c>
      <c r="AS717" t="str">
        <f>IF($AR717="","",IFERROR(MATCH($AR717,E_Rules!$A$5:$A$9,0),""))</f>
        <v/>
      </c>
      <c r="AT717" t="str">
        <f>IF($AQ717="","",IF(INDEX(C_Pavement!$D$5:$D$204,$AQ717)&lt;&gt;"",UPPER(TRIM(INDEX(C_Pavement!$D$5:$D$204,$AQ717))),IF($AS717="","",INDEX(E_Rules!$C$5:$C$9,$AS717))))</f>
        <v/>
      </c>
      <c r="AU717" t="str">
        <f>IF($AQ717="","",IF(INDEX(C_Pavement!$E$5:$E$204,$AQ717)&lt;&gt;"",IF(INDEX(C_Pavement!$E$5:$E$204,$AQ717)="-","",INDEX(C_Pavement!$E$5:$E$204,$AQ717)),IF($AS717="","",INDEX(E_Rules!$D$5:$D$9,$AS717))))</f>
        <v/>
      </c>
      <c r="AV717" t="str">
        <f>IF($AQ717="","",IF(INDEX(C_Pavement!$F$5:$F$204,$AQ717)&lt;&gt;"",IF(INDEX(C_Pavement!$F$5:$F$204,$AQ717)="-","",INDEX(C_Pavement!$F$5:$F$204,$AQ717)),IF($AS717="","",INDEX(E_Rules!$E$5:$E$9,$AS717))))</f>
        <v/>
      </c>
      <c r="AW717" t="str">
        <f>IF($AQ717="","",IF(INDEX(C_Pavement!$G$5:$G$204,$AQ717)&lt;&gt;"",IF(INDEX(C_Pavement!$G$5:$G$204,$AQ717)="-","",INDEX(C_Pavement!$G$5:$G$204,$AQ717)),IF($AS717="","",INDEX(E_Rules!$F$5:$F$9,$AS717))))</f>
        <v/>
      </c>
      <c r="AX717" t="str">
        <f>IF($AQ717="","",IF(INDEX(C_Pavement!$H$5:$H$204,$AQ717)&lt;&gt;"",IF(INDEX(C_Pavement!$H$5:$H$204,$AQ717)="-","",INDEX(C_Pavement!$H$5:$H$204,$AQ717)),IF($AS717="","",INDEX(E_Rules!$G$5:$G$9,$AS717))))</f>
        <v/>
      </c>
      <c r="AY717" t="str">
        <f>IF($AQ717="","",IF(INDEX(C_Pavement!$I$5:$I$204,$AQ717)&lt;&gt;"",IF(INDEX(C_Pavement!$I$5:$I$204,$AQ717)="-","",INDEX(C_Pavement!$I$5:$I$204,$AQ717)),IF($AS717="","",INDEX(E_Rules!$H$5:$H$9,$AS717))))</f>
        <v/>
      </c>
    </row>
    <row r="718" spans="1:51" ht="15.75" customHeight="1" x14ac:dyDescent="0.3">
      <c r="A718" s="189">
        <v>713</v>
      </c>
      <c r="B718" s="180">
        <v>35600</v>
      </c>
      <c r="C718" s="180" t="s">
        <v>1024</v>
      </c>
      <c r="D718" s="181" t="str">
        <f>IFERROR(LOOKUP(2,1/((A_Corridor!$A$5:$A$204&lt;&gt;"")*(A_Corridor!$A$5:$A$204&lt;=$B718)*(A_Corridor!$B$5:$B$204&gt;$B718)*(A_Corridor!$C$5:$C$204&lt;&gt;"")),IF(UPPER(A_Corridor!$C$5:$C$204)="Y",1,"")),"")</f>
        <v/>
      </c>
      <c r="E718" s="181" t="str">
        <f>IFERROR(LOOKUP(2,1/((A_Corridor!$A$5:$A$204&lt;&gt;"")*(A_Corridor!$A$5:$A$204&lt;=$B718)*(A_Corridor!$B$5:$B$204&gt;$B718)*(A_Corridor!$D$5:$D$204&lt;&gt;"")),IF(A_Corridor!$D$5:$D$204="-","",UPPER(A_Corridor!$D$5:$D$204))),"")</f>
        <v/>
      </c>
      <c r="F718" s="181" t="str">
        <f>IFERROR(LOOKUP(2,1/((A_Corridor!$A$5:$A$204&lt;&gt;"")*(A_Corridor!$A$5:$A$204&lt;=$B718)*(A_Corridor!$B$5:$B$204&gt;$B718)*(A_Corridor!$E$5:$E$204&lt;&gt;"")),IF(A_Corridor!$E$5:$E$204="-","",1)),"")</f>
        <v/>
      </c>
      <c r="G718" s="182" t="str">
        <f>IFERROR(LOOKUP(2,1/((A_Corridor!$A$5:$A$204&lt;&gt;"")*(A_Corridor!$A$5:$A$204&lt;=$B718)*(A_Corridor!$B$5:$B$204&gt;$B718)*(A_Corridor!$E$5:$E$204&lt;&gt;"")),IF(A_Corridor!$E$5:$E$204="-","",A_Corridor!$E$5:$E$204)),"")</f>
        <v/>
      </c>
      <c r="H718" s="182" t="str">
        <f>IFERROR(LOOKUP(2,1/((D_Points!$A$5:$A$204&lt;&gt;"")*(D_Points!$A$5:$A$204&gt;=$B718)*(D_Points!$A$5:$A$204&lt;$B718+P_Interval)*(UPPER(TRIM(D_Points!$B$5:$B$204))="GULLY")*(D_Points!$H$5:$H$204&lt;&gt;"")),D_Points!$H$5:$H$204),"")</f>
        <v/>
      </c>
      <c r="I718" s="181" t="str">
        <f>IFERROR(LOOKUP(2,1/((A_Corridor!$A$5:$A$204&lt;&gt;"")*(A_Corridor!$A$5:$A$204&lt;=$B718)*(A_Corridor!$B$5:$B$204&gt;$B718)*(A_Corridor!$F$5:$F$204&lt;&gt;"")),IF(A_Corridor!$F$5:$F$204="-","",1)),"")</f>
        <v/>
      </c>
      <c r="J718" s="182" t="str">
        <f>IFERROR(LOOKUP(2,1/((A_Corridor!$A$5:$A$204&lt;&gt;"")*(A_Corridor!$A$5:$A$204&lt;=$B718)*(A_Corridor!$B$5:$B$204&gt;$B718)*(A_Corridor!$F$5:$F$204&lt;&gt;"")),IF(A_Corridor!$F$5:$F$204="-","",A_Corridor!$F$5:$F$204)),"")</f>
        <v/>
      </c>
      <c r="K718" s="182" t="str">
        <f>IFERROR(LOOKUP(2,1/((A_Corridor!$A$5:$A$204&lt;&gt;"")*(A_Corridor!$A$5:$A$204&lt;=$B718)*(A_Corridor!$B$5:$B$204&gt;$B718)*(A_Corridor!$G$5:$G$204&lt;&gt;"")),IF(A_Corridor!$G$5:$G$204="-","",A_Corridor!$G$5:$G$204)),"")</f>
        <v/>
      </c>
      <c r="L718" s="181" t="str">
        <f>IFERROR(LOOKUP(2,1/((A_Corridor!$A$5:$A$204&lt;&gt;"")*(A_Corridor!$A$5:$A$204&lt;=$B718)*(A_Corridor!$B$5:$B$204&gt;$B718)*(A_Corridor!$H$5:$H$204&lt;&gt;"")),IF(A_Corridor!$H$5:$H$204="-","",1)),"")</f>
        <v/>
      </c>
      <c r="M718" s="182" t="str">
        <f>IFERROR(LOOKUP(2,1/((A_Corridor!$A$5:$A$204&lt;&gt;"")*(A_Corridor!$A$5:$A$204&lt;=$B718)*(A_Corridor!$B$5:$B$204&gt;$B718)*(A_Corridor!$H$5:$H$204&lt;&gt;"")),IF(A_Corridor!$H$5:$H$204="-","",A_Corridor!$H$5:$H$204)),"")</f>
        <v/>
      </c>
      <c r="N718" s="182" t="str">
        <f>IFERROR(LOOKUP(2,1/((A_Corridor!$A$5:$A$204&lt;&gt;"")*(A_Corridor!$A$5:$A$204&lt;=$B718)*(A_Corridor!$B$5:$B$204&gt;$B718)*(A_Corridor!$I$5:$I$204&lt;&gt;"")),IF(A_Corridor!$I$5:$I$204="-","",A_Corridor!$I$5:$I$204)),"")</f>
        <v/>
      </c>
      <c r="O718" s="182" t="str">
        <f>IFERROR(LOOKUP(2,1/((D_Points!$A$5:$A$204&lt;&gt;"")*(D_Points!$A$5:$A$204&gt;=$B718)*(D_Points!$A$5:$A$204&lt;$B718+P_Interval)*(UPPER(TRIM(D_Points!$B$5:$B$204))="PITCHING")*(D_Points!$H$5:$H$204&lt;&gt;"")),D_Points!$H$5:$H$204),"")</f>
        <v/>
      </c>
      <c r="P718" s="181" t="str">
        <f>IFERROR(LOOKUP(2,1/((B_Drainage!$A$5:$A$204&lt;&gt;"")*(B_Drainage!$A$5:$A$204&lt;=$B718)*(B_Drainage!$B$5:$B$204&gt;$B718)*(B_Drainage!$C$5:$C$204&lt;&gt;"")),IF(B_Drainage!$C$5:$C$204="-","",UPPER(B_Drainage!$C$5:$C$204))),"")</f>
        <v/>
      </c>
      <c r="Q718" s="181" t="str">
        <f>IFERROR(LOOKUP(2,1/((B_Drainage!$A$5:$A$204&lt;&gt;"")*(B_Drainage!$A$5:$A$204&lt;=$B718)*(B_Drainage!$B$5:$B$204&gt;$B718)*(B_Drainage!$D$5:$D$204&lt;&gt;"")),IF(B_Drainage!$D$5:$D$204="-","",UPPER(B_Drainage!$D$5:$D$204))),"")</f>
        <v/>
      </c>
      <c r="R718" s="182" t="str">
        <f>IFERROR(LOOKUP(2,1/((D_Points!$A$5:$A$204&lt;&gt;"")*(D_Points!$A$5:$A$204&gt;=$B718)*(D_Points!$A$5:$A$204&lt;$B718+P_Interval)*(RIGHT(UPPER(TRIM(D_Points!$B$5:$B$204)),8)="_CULVERT")),IF(LEFT(UPPER(TRIM(D_Points!$B$5:$B$204)),2)="EX",1,IF(LEFT(UPPER(TRIM(D_Points!$B$5:$B$204)),2)="PR",2,3))),"")</f>
        <v/>
      </c>
      <c r="S718" s="182" t="str">
        <f>IFERROR(LOOKUP(2,1/((D_Points!$A$5:$A$204&lt;&gt;"")*(D_Points!$A$5:$A$204&gt;=$B718)*(D_Points!$A$5:$A$204&lt;$B718+P_Interval)*(RIGHT(UPPER(TRIM(D_Points!$B$5:$B$204)),7)="_BRIDGE")),IF(LEFT(UPPER(TRIM(D_Points!$B$5:$B$204)),2)="EX",1,IF(LEFT(UPPER(TRIM(D_Points!$B$5:$B$204)),2)="PR",2,2))),"")</f>
        <v/>
      </c>
      <c r="T718" s="181" t="str">
        <f>IFERROR(LOOKUP(2,1/((B_Drainage!$A$5:$A$204&lt;&gt;"")*(B_Drainage!$A$5:$A$204&lt;=$B718)*(B_Drainage!$B$5:$B$204&gt;$B718)*(B_Drainage!$E$5:$E$204&lt;&gt;"")),IF(B_Drainage!$E$5:$E$204="-","",1)),"")</f>
        <v/>
      </c>
      <c r="U718" s="181" t="str">
        <f>IFERROR(LOOKUP(2,1/((B_Drainage!$A$5:$A$204&lt;&gt;"")*(B_Drainage!$A$5:$A$204&lt;=$B718)*(B_Drainage!$B$5:$B$204&gt;$B718)*(B_Drainage!$E$5:$E$204&lt;&gt;"")),IF(B_Drainage!$E$5:$E$204="-","",B_Drainage!$E$5:$E$204)),"")</f>
        <v/>
      </c>
      <c r="V718" s="181" t="str">
        <f>IFERROR(LOOKUP(2,1/((B_Drainage!$A$5:$A$204&lt;&gt;"")*(B_Drainage!$A$5:$A$204&lt;=$B718)*(B_Drainage!$B$5:$B$204&gt;$B718)*(B_Drainage!$F$5:$F$204&lt;&gt;"")),IF(B_Drainage!$F$5:$F$204="-","",1)),"")</f>
        <v/>
      </c>
      <c r="W718" s="181" t="str">
        <f>IFERROR(LOOKUP(2,1/((B_Drainage!$A$5:$A$204&lt;&gt;"")*(B_Drainage!$A$5:$A$204&lt;=$B718)*(B_Drainage!$B$5:$B$204&gt;$B718)*(B_Drainage!$F$5:$F$204&lt;&gt;"")),IF(B_Drainage!$F$5:$F$204="-","",B_Drainage!$F$5:$F$204)),"")</f>
        <v/>
      </c>
      <c r="X718" s="181" t="str">
        <f>IFERROR(LOOKUP(2,1/((B_Drainage!$A$5:$A$204&lt;&gt;"")*(B_Drainage!$A$5:$A$204&lt;=$B718)*(B_Drainage!$B$5:$B$204&gt;$B718)*(B_Drainage!$G$5:$G$204&lt;&gt;"")),IF(UPPER(B_Drainage!$G$5:$G$204)="Y",1,"")),"")</f>
        <v/>
      </c>
      <c r="Y718" s="181" t="str">
        <f>IFERROR(LOOKUP(2,1/((B_Drainage!$A$5:$A$204&lt;&gt;"")*(B_Drainage!$A$5:$A$204&lt;=$B718)*(B_Drainage!$B$5:$B$204&gt;$B718)*(B_Drainage!$H$5:$H$204&lt;&gt;"")),IF(UPPER(B_Drainage!$H$5:$H$204)="Y",1,"")),"")</f>
        <v/>
      </c>
      <c r="Z718" s="181" t="str">
        <f>IFERROR(LOOKUP(2,1/((B_Drainage!$A$5:$A$204&lt;&gt;"")*(B_Drainage!$A$5:$A$204&lt;=$B718)*(B_Drainage!$B$5:$B$204&gt;$B718)*(B_Drainage!$I$5:$I$204&lt;&gt;"")),IF(UPPER(B_Drainage!$I$5:$I$204)="Y",1,"")),"")</f>
        <v/>
      </c>
      <c r="AA718" s="181" t="str">
        <f>IFERROR(LOOKUP(2,1/((B_Drainage!$A$5:$A$204&lt;&gt;"")*(B_Drainage!$A$5:$A$204&lt;=$B718)*(B_Drainage!$B$5:$B$204&gt;$B718)*(B_Drainage!$J$5:$J$204&lt;&gt;"")),IF(UPPER(B_Drainage!$J$5:$J$204)="Y",1,"")),"")</f>
        <v/>
      </c>
      <c r="AB718" s="182" t="str">
        <f>IFERROR(LOOKUP(2,1/((B_Drainage!$A$5:$A$204&lt;&gt;"")*(B_Drainage!$A$5:$A$204&lt;=$B718)*(B_Drainage!$B$5:$B$204&gt;$B718)*(B_Drainage!$K$5:$K$204&lt;&gt;"")),IF(B_Drainage!$K$5:$K$204="-","",B_Drainage!$K$5:$K$204)),"")</f>
        <v/>
      </c>
      <c r="AC718" s="182" t="str">
        <f>IFERROR(LOOKUP(2,1/((B_Drainage!$A$5:$A$204&lt;&gt;"")*(B_Drainage!$A$5:$A$204&lt;=$B718)*(B_Drainage!$B$5:$B$204&gt;$B718)*(B_Drainage!$L$5:$L$204&lt;&gt;"")),IF(B_Drainage!$L$5:$L$204="-","",B_Drainage!$L$5:$L$204)),"")</f>
        <v/>
      </c>
      <c r="AD718" s="182" t="str">
        <f>IFERROR(LOOKUP(2,1/((D_Points!$A$5:$A$204&lt;&gt;"")*(D_Points!$A$5:$A$204&gt;=$B718)*(D_Points!$A$5:$A$204&lt;$B718+P_Interval)*(UPPER(TRIM(D_Points!$B$5:$B$204))="TURNOUT_L")*(D_Points!$H$5:$H$204&lt;&gt;"")),D_Points!$H$5:$H$204),"")</f>
        <v/>
      </c>
      <c r="AE718" s="182" t="str">
        <f>IFERROR(LOOKUP(2,1/((D_Points!$A$5:$A$204&lt;&gt;"")*(D_Points!$A$5:$A$204&gt;=$B718)*(D_Points!$A$5:$A$204&lt;$B718+P_Interval)*(UPPER(TRIM(D_Points!$B$5:$B$204))="TURNOUT_R")*(D_Points!$H$5:$H$204&lt;&gt;"")),D_Points!$H$5:$H$204),"")</f>
        <v/>
      </c>
      <c r="AF718" s="181" t="str">
        <f>IFERROR(LOOKUP(2,1/((B_Drainage!$A$5:$A$204&lt;&gt;"")*(B_Drainage!$A$5:$A$204&lt;=$B718)*(B_Drainage!$B$5:$B$204&gt;$B718)*(B_Drainage!$M$5:$M$204&lt;&gt;"")),IF(UPPER(B_Drainage!$M$5:$M$204)="Y",1,"")),"")</f>
        <v/>
      </c>
      <c r="AG718" s="181" t="str">
        <f>IFERROR(LOOKUP(2,1/((B_Drainage!$A$5:$A$204&lt;&gt;"")*(B_Drainage!$A$5:$A$204&lt;=$B718)*(B_Drainage!$B$5:$B$204&gt;$B718)*(B_Drainage!$N$5:$N$204&lt;&gt;"")),IF(UPPER(B_Drainage!$N$5:$N$204)="Y",1,"")),"")</f>
        <v/>
      </c>
      <c r="AH718" s="181" t="str">
        <f t="shared" si="88"/>
        <v/>
      </c>
      <c r="AI718" s="181" t="str">
        <f t="shared" si="89"/>
        <v/>
      </c>
      <c r="AJ718" s="181" t="str">
        <f t="shared" si="90"/>
        <v/>
      </c>
      <c r="AK718" s="181" t="str">
        <f t="shared" si="91"/>
        <v/>
      </c>
      <c r="AL718" s="181" t="str">
        <f t="shared" si="92"/>
        <v/>
      </c>
      <c r="AM718" s="181" t="str">
        <f t="shared" si="93"/>
        <v/>
      </c>
      <c r="AN718" s="181" t="str">
        <f t="shared" si="94"/>
        <v/>
      </c>
      <c r="AO718" s="192" t="str">
        <f t="shared" si="95"/>
        <v/>
      </c>
      <c r="AQ718" t="str">
        <f>IFERROR(LOOKUP(2,1/((C_Pavement!$A$5:$A$204&lt;&gt;"")*(C_Pavement!$A$5:$A$204&lt;=$B718)*(C_Pavement!$B$5:$B$204&gt;$B718)*(C_Pavement!$C$5:$C$204&lt;&gt;"")),ROW(C_Pavement!$C$5:$C$204)-4),"")</f>
        <v/>
      </c>
      <c r="AR718" t="str">
        <f>IF($AQ718="","",UPPER(TRIM(INDEX(C_Pavement!$C$5:$C$204,$AQ718))))</f>
        <v/>
      </c>
      <c r="AS718" t="str">
        <f>IF($AR718="","",IFERROR(MATCH($AR718,E_Rules!$A$5:$A$9,0),""))</f>
        <v/>
      </c>
      <c r="AT718" t="str">
        <f>IF($AQ718="","",IF(INDEX(C_Pavement!$D$5:$D$204,$AQ718)&lt;&gt;"",UPPER(TRIM(INDEX(C_Pavement!$D$5:$D$204,$AQ718))),IF($AS718="","",INDEX(E_Rules!$C$5:$C$9,$AS718))))</f>
        <v/>
      </c>
      <c r="AU718" t="str">
        <f>IF($AQ718="","",IF(INDEX(C_Pavement!$E$5:$E$204,$AQ718)&lt;&gt;"",IF(INDEX(C_Pavement!$E$5:$E$204,$AQ718)="-","",INDEX(C_Pavement!$E$5:$E$204,$AQ718)),IF($AS718="","",INDEX(E_Rules!$D$5:$D$9,$AS718))))</f>
        <v/>
      </c>
      <c r="AV718" t="str">
        <f>IF($AQ718="","",IF(INDEX(C_Pavement!$F$5:$F$204,$AQ718)&lt;&gt;"",IF(INDEX(C_Pavement!$F$5:$F$204,$AQ718)="-","",INDEX(C_Pavement!$F$5:$F$204,$AQ718)),IF($AS718="","",INDEX(E_Rules!$E$5:$E$9,$AS718))))</f>
        <v/>
      </c>
      <c r="AW718" t="str">
        <f>IF($AQ718="","",IF(INDEX(C_Pavement!$G$5:$G$204,$AQ718)&lt;&gt;"",IF(INDEX(C_Pavement!$G$5:$G$204,$AQ718)="-","",INDEX(C_Pavement!$G$5:$G$204,$AQ718)),IF($AS718="","",INDEX(E_Rules!$F$5:$F$9,$AS718))))</f>
        <v/>
      </c>
      <c r="AX718" t="str">
        <f>IF($AQ718="","",IF(INDEX(C_Pavement!$H$5:$H$204,$AQ718)&lt;&gt;"",IF(INDEX(C_Pavement!$H$5:$H$204,$AQ718)="-","",INDEX(C_Pavement!$H$5:$H$204,$AQ718)),IF($AS718="","",INDEX(E_Rules!$G$5:$G$9,$AS718))))</f>
        <v/>
      </c>
      <c r="AY718" t="str">
        <f>IF($AQ718="","",IF(INDEX(C_Pavement!$I$5:$I$204,$AQ718)&lt;&gt;"",IF(INDEX(C_Pavement!$I$5:$I$204,$AQ718)="-","",INDEX(C_Pavement!$I$5:$I$204,$AQ718)),IF($AS718="","",INDEX(E_Rules!$H$5:$H$9,$AS718))))</f>
        <v/>
      </c>
    </row>
    <row r="719" spans="1:51" ht="15.75" customHeight="1" x14ac:dyDescent="0.3">
      <c r="A719" s="189">
        <v>714</v>
      </c>
      <c r="B719" s="180">
        <v>35650</v>
      </c>
      <c r="C719" s="180" t="s">
        <v>1025</v>
      </c>
      <c r="D719" s="181" t="str">
        <f>IFERROR(LOOKUP(2,1/((A_Corridor!$A$5:$A$204&lt;&gt;"")*(A_Corridor!$A$5:$A$204&lt;=$B719)*(A_Corridor!$B$5:$B$204&gt;$B719)*(A_Corridor!$C$5:$C$204&lt;&gt;"")),IF(UPPER(A_Corridor!$C$5:$C$204)="Y",1,"")),"")</f>
        <v/>
      </c>
      <c r="E719" s="181" t="str">
        <f>IFERROR(LOOKUP(2,1/((A_Corridor!$A$5:$A$204&lt;&gt;"")*(A_Corridor!$A$5:$A$204&lt;=$B719)*(A_Corridor!$B$5:$B$204&gt;$B719)*(A_Corridor!$D$5:$D$204&lt;&gt;"")),IF(A_Corridor!$D$5:$D$204="-","",UPPER(A_Corridor!$D$5:$D$204))),"")</f>
        <v/>
      </c>
      <c r="F719" s="181" t="str">
        <f>IFERROR(LOOKUP(2,1/((A_Corridor!$A$5:$A$204&lt;&gt;"")*(A_Corridor!$A$5:$A$204&lt;=$B719)*(A_Corridor!$B$5:$B$204&gt;$B719)*(A_Corridor!$E$5:$E$204&lt;&gt;"")),IF(A_Corridor!$E$5:$E$204="-","",1)),"")</f>
        <v/>
      </c>
      <c r="G719" s="182" t="str">
        <f>IFERROR(LOOKUP(2,1/((A_Corridor!$A$5:$A$204&lt;&gt;"")*(A_Corridor!$A$5:$A$204&lt;=$B719)*(A_Corridor!$B$5:$B$204&gt;$B719)*(A_Corridor!$E$5:$E$204&lt;&gt;"")),IF(A_Corridor!$E$5:$E$204="-","",A_Corridor!$E$5:$E$204)),"")</f>
        <v/>
      </c>
      <c r="H719" s="182" t="str">
        <f>IFERROR(LOOKUP(2,1/((D_Points!$A$5:$A$204&lt;&gt;"")*(D_Points!$A$5:$A$204&gt;=$B719)*(D_Points!$A$5:$A$204&lt;$B719+P_Interval)*(UPPER(TRIM(D_Points!$B$5:$B$204))="GULLY")*(D_Points!$H$5:$H$204&lt;&gt;"")),D_Points!$H$5:$H$204),"")</f>
        <v/>
      </c>
      <c r="I719" s="181" t="str">
        <f>IFERROR(LOOKUP(2,1/((A_Corridor!$A$5:$A$204&lt;&gt;"")*(A_Corridor!$A$5:$A$204&lt;=$B719)*(A_Corridor!$B$5:$B$204&gt;$B719)*(A_Corridor!$F$5:$F$204&lt;&gt;"")),IF(A_Corridor!$F$5:$F$204="-","",1)),"")</f>
        <v/>
      </c>
      <c r="J719" s="182" t="str">
        <f>IFERROR(LOOKUP(2,1/((A_Corridor!$A$5:$A$204&lt;&gt;"")*(A_Corridor!$A$5:$A$204&lt;=$B719)*(A_Corridor!$B$5:$B$204&gt;$B719)*(A_Corridor!$F$5:$F$204&lt;&gt;"")),IF(A_Corridor!$F$5:$F$204="-","",A_Corridor!$F$5:$F$204)),"")</f>
        <v/>
      </c>
      <c r="K719" s="182" t="str">
        <f>IFERROR(LOOKUP(2,1/((A_Corridor!$A$5:$A$204&lt;&gt;"")*(A_Corridor!$A$5:$A$204&lt;=$B719)*(A_Corridor!$B$5:$B$204&gt;$B719)*(A_Corridor!$G$5:$G$204&lt;&gt;"")),IF(A_Corridor!$G$5:$G$204="-","",A_Corridor!$G$5:$G$204)),"")</f>
        <v/>
      </c>
      <c r="L719" s="181" t="str">
        <f>IFERROR(LOOKUP(2,1/((A_Corridor!$A$5:$A$204&lt;&gt;"")*(A_Corridor!$A$5:$A$204&lt;=$B719)*(A_Corridor!$B$5:$B$204&gt;$B719)*(A_Corridor!$H$5:$H$204&lt;&gt;"")),IF(A_Corridor!$H$5:$H$204="-","",1)),"")</f>
        <v/>
      </c>
      <c r="M719" s="182" t="str">
        <f>IFERROR(LOOKUP(2,1/((A_Corridor!$A$5:$A$204&lt;&gt;"")*(A_Corridor!$A$5:$A$204&lt;=$B719)*(A_Corridor!$B$5:$B$204&gt;$B719)*(A_Corridor!$H$5:$H$204&lt;&gt;"")),IF(A_Corridor!$H$5:$H$204="-","",A_Corridor!$H$5:$H$204)),"")</f>
        <v/>
      </c>
      <c r="N719" s="182" t="str">
        <f>IFERROR(LOOKUP(2,1/((A_Corridor!$A$5:$A$204&lt;&gt;"")*(A_Corridor!$A$5:$A$204&lt;=$B719)*(A_Corridor!$B$5:$B$204&gt;$B719)*(A_Corridor!$I$5:$I$204&lt;&gt;"")),IF(A_Corridor!$I$5:$I$204="-","",A_Corridor!$I$5:$I$204)),"")</f>
        <v/>
      </c>
      <c r="O719" s="182" t="str">
        <f>IFERROR(LOOKUP(2,1/((D_Points!$A$5:$A$204&lt;&gt;"")*(D_Points!$A$5:$A$204&gt;=$B719)*(D_Points!$A$5:$A$204&lt;$B719+P_Interval)*(UPPER(TRIM(D_Points!$B$5:$B$204))="PITCHING")*(D_Points!$H$5:$H$204&lt;&gt;"")),D_Points!$H$5:$H$204),"")</f>
        <v/>
      </c>
      <c r="P719" s="181" t="str">
        <f>IFERROR(LOOKUP(2,1/((B_Drainage!$A$5:$A$204&lt;&gt;"")*(B_Drainage!$A$5:$A$204&lt;=$B719)*(B_Drainage!$B$5:$B$204&gt;$B719)*(B_Drainage!$C$5:$C$204&lt;&gt;"")),IF(B_Drainage!$C$5:$C$204="-","",UPPER(B_Drainage!$C$5:$C$204))),"")</f>
        <v/>
      </c>
      <c r="Q719" s="181" t="str">
        <f>IFERROR(LOOKUP(2,1/((B_Drainage!$A$5:$A$204&lt;&gt;"")*(B_Drainage!$A$5:$A$204&lt;=$B719)*(B_Drainage!$B$5:$B$204&gt;$B719)*(B_Drainage!$D$5:$D$204&lt;&gt;"")),IF(B_Drainage!$D$5:$D$204="-","",UPPER(B_Drainage!$D$5:$D$204))),"")</f>
        <v/>
      </c>
      <c r="R719" s="182" t="str">
        <f>IFERROR(LOOKUP(2,1/((D_Points!$A$5:$A$204&lt;&gt;"")*(D_Points!$A$5:$A$204&gt;=$B719)*(D_Points!$A$5:$A$204&lt;$B719+P_Interval)*(RIGHT(UPPER(TRIM(D_Points!$B$5:$B$204)),8)="_CULVERT")),IF(LEFT(UPPER(TRIM(D_Points!$B$5:$B$204)),2)="EX",1,IF(LEFT(UPPER(TRIM(D_Points!$B$5:$B$204)),2)="PR",2,3))),"")</f>
        <v/>
      </c>
      <c r="S719" s="182" t="str">
        <f>IFERROR(LOOKUP(2,1/((D_Points!$A$5:$A$204&lt;&gt;"")*(D_Points!$A$5:$A$204&gt;=$B719)*(D_Points!$A$5:$A$204&lt;$B719+P_Interval)*(RIGHT(UPPER(TRIM(D_Points!$B$5:$B$204)),7)="_BRIDGE")),IF(LEFT(UPPER(TRIM(D_Points!$B$5:$B$204)),2)="EX",1,IF(LEFT(UPPER(TRIM(D_Points!$B$5:$B$204)),2)="PR",2,2))),"")</f>
        <v/>
      </c>
      <c r="T719" s="181" t="str">
        <f>IFERROR(LOOKUP(2,1/((B_Drainage!$A$5:$A$204&lt;&gt;"")*(B_Drainage!$A$5:$A$204&lt;=$B719)*(B_Drainage!$B$5:$B$204&gt;$B719)*(B_Drainage!$E$5:$E$204&lt;&gt;"")),IF(B_Drainage!$E$5:$E$204="-","",1)),"")</f>
        <v/>
      </c>
      <c r="U719" s="181" t="str">
        <f>IFERROR(LOOKUP(2,1/((B_Drainage!$A$5:$A$204&lt;&gt;"")*(B_Drainage!$A$5:$A$204&lt;=$B719)*(B_Drainage!$B$5:$B$204&gt;$B719)*(B_Drainage!$E$5:$E$204&lt;&gt;"")),IF(B_Drainage!$E$5:$E$204="-","",B_Drainage!$E$5:$E$204)),"")</f>
        <v/>
      </c>
      <c r="V719" s="181" t="str">
        <f>IFERROR(LOOKUP(2,1/((B_Drainage!$A$5:$A$204&lt;&gt;"")*(B_Drainage!$A$5:$A$204&lt;=$B719)*(B_Drainage!$B$5:$B$204&gt;$B719)*(B_Drainage!$F$5:$F$204&lt;&gt;"")),IF(B_Drainage!$F$5:$F$204="-","",1)),"")</f>
        <v/>
      </c>
      <c r="W719" s="181" t="str">
        <f>IFERROR(LOOKUP(2,1/((B_Drainage!$A$5:$A$204&lt;&gt;"")*(B_Drainage!$A$5:$A$204&lt;=$B719)*(B_Drainage!$B$5:$B$204&gt;$B719)*(B_Drainage!$F$5:$F$204&lt;&gt;"")),IF(B_Drainage!$F$5:$F$204="-","",B_Drainage!$F$5:$F$204)),"")</f>
        <v/>
      </c>
      <c r="X719" s="181" t="str">
        <f>IFERROR(LOOKUP(2,1/((B_Drainage!$A$5:$A$204&lt;&gt;"")*(B_Drainage!$A$5:$A$204&lt;=$B719)*(B_Drainage!$B$5:$B$204&gt;$B719)*(B_Drainage!$G$5:$G$204&lt;&gt;"")),IF(UPPER(B_Drainage!$G$5:$G$204)="Y",1,"")),"")</f>
        <v/>
      </c>
      <c r="Y719" s="181" t="str">
        <f>IFERROR(LOOKUP(2,1/((B_Drainage!$A$5:$A$204&lt;&gt;"")*(B_Drainage!$A$5:$A$204&lt;=$B719)*(B_Drainage!$B$5:$B$204&gt;$B719)*(B_Drainage!$H$5:$H$204&lt;&gt;"")),IF(UPPER(B_Drainage!$H$5:$H$204)="Y",1,"")),"")</f>
        <v/>
      </c>
      <c r="Z719" s="181" t="str">
        <f>IFERROR(LOOKUP(2,1/((B_Drainage!$A$5:$A$204&lt;&gt;"")*(B_Drainage!$A$5:$A$204&lt;=$B719)*(B_Drainage!$B$5:$B$204&gt;$B719)*(B_Drainage!$I$5:$I$204&lt;&gt;"")),IF(UPPER(B_Drainage!$I$5:$I$204)="Y",1,"")),"")</f>
        <v/>
      </c>
      <c r="AA719" s="181" t="str">
        <f>IFERROR(LOOKUP(2,1/((B_Drainage!$A$5:$A$204&lt;&gt;"")*(B_Drainage!$A$5:$A$204&lt;=$B719)*(B_Drainage!$B$5:$B$204&gt;$B719)*(B_Drainage!$J$5:$J$204&lt;&gt;"")),IF(UPPER(B_Drainage!$J$5:$J$204)="Y",1,"")),"")</f>
        <v/>
      </c>
      <c r="AB719" s="182" t="str">
        <f>IFERROR(LOOKUP(2,1/((B_Drainage!$A$5:$A$204&lt;&gt;"")*(B_Drainage!$A$5:$A$204&lt;=$B719)*(B_Drainage!$B$5:$B$204&gt;$B719)*(B_Drainage!$K$5:$K$204&lt;&gt;"")),IF(B_Drainage!$K$5:$K$204="-","",B_Drainage!$K$5:$K$204)),"")</f>
        <v/>
      </c>
      <c r="AC719" s="182" t="str">
        <f>IFERROR(LOOKUP(2,1/((B_Drainage!$A$5:$A$204&lt;&gt;"")*(B_Drainage!$A$5:$A$204&lt;=$B719)*(B_Drainage!$B$5:$B$204&gt;$B719)*(B_Drainage!$L$5:$L$204&lt;&gt;"")),IF(B_Drainage!$L$5:$L$204="-","",B_Drainage!$L$5:$L$204)),"")</f>
        <v/>
      </c>
      <c r="AD719" s="182" t="str">
        <f>IFERROR(LOOKUP(2,1/((D_Points!$A$5:$A$204&lt;&gt;"")*(D_Points!$A$5:$A$204&gt;=$B719)*(D_Points!$A$5:$A$204&lt;$B719+P_Interval)*(UPPER(TRIM(D_Points!$B$5:$B$204))="TURNOUT_L")*(D_Points!$H$5:$H$204&lt;&gt;"")),D_Points!$H$5:$H$204),"")</f>
        <v/>
      </c>
      <c r="AE719" s="182" t="str">
        <f>IFERROR(LOOKUP(2,1/((D_Points!$A$5:$A$204&lt;&gt;"")*(D_Points!$A$5:$A$204&gt;=$B719)*(D_Points!$A$5:$A$204&lt;$B719+P_Interval)*(UPPER(TRIM(D_Points!$B$5:$B$204))="TURNOUT_R")*(D_Points!$H$5:$H$204&lt;&gt;"")),D_Points!$H$5:$H$204),"")</f>
        <v/>
      </c>
      <c r="AF719" s="181" t="str">
        <f>IFERROR(LOOKUP(2,1/((B_Drainage!$A$5:$A$204&lt;&gt;"")*(B_Drainage!$A$5:$A$204&lt;=$B719)*(B_Drainage!$B$5:$B$204&gt;$B719)*(B_Drainage!$M$5:$M$204&lt;&gt;"")),IF(UPPER(B_Drainage!$M$5:$M$204)="Y",1,"")),"")</f>
        <v/>
      </c>
      <c r="AG719" s="181" t="str">
        <f>IFERROR(LOOKUP(2,1/((B_Drainage!$A$5:$A$204&lt;&gt;"")*(B_Drainage!$A$5:$A$204&lt;=$B719)*(B_Drainage!$B$5:$B$204&gt;$B719)*(B_Drainage!$N$5:$N$204&lt;&gt;"")),IF(UPPER(B_Drainage!$N$5:$N$204)="Y",1,"")),"")</f>
        <v/>
      </c>
      <c r="AH719" s="181" t="str">
        <f t="shared" si="88"/>
        <v/>
      </c>
      <c r="AI719" s="181" t="str">
        <f t="shared" si="89"/>
        <v/>
      </c>
      <c r="AJ719" s="181" t="str">
        <f t="shared" si="90"/>
        <v/>
      </c>
      <c r="AK719" s="181" t="str">
        <f t="shared" si="91"/>
        <v/>
      </c>
      <c r="AL719" s="181" t="str">
        <f t="shared" si="92"/>
        <v/>
      </c>
      <c r="AM719" s="181" t="str">
        <f t="shared" si="93"/>
        <v/>
      </c>
      <c r="AN719" s="181" t="str">
        <f t="shared" si="94"/>
        <v/>
      </c>
      <c r="AO719" s="192" t="str">
        <f t="shared" si="95"/>
        <v/>
      </c>
      <c r="AQ719" t="str">
        <f>IFERROR(LOOKUP(2,1/((C_Pavement!$A$5:$A$204&lt;&gt;"")*(C_Pavement!$A$5:$A$204&lt;=$B719)*(C_Pavement!$B$5:$B$204&gt;$B719)*(C_Pavement!$C$5:$C$204&lt;&gt;"")),ROW(C_Pavement!$C$5:$C$204)-4),"")</f>
        <v/>
      </c>
      <c r="AR719" t="str">
        <f>IF($AQ719="","",UPPER(TRIM(INDEX(C_Pavement!$C$5:$C$204,$AQ719))))</f>
        <v/>
      </c>
      <c r="AS719" t="str">
        <f>IF($AR719="","",IFERROR(MATCH($AR719,E_Rules!$A$5:$A$9,0),""))</f>
        <v/>
      </c>
      <c r="AT719" t="str">
        <f>IF($AQ719="","",IF(INDEX(C_Pavement!$D$5:$D$204,$AQ719)&lt;&gt;"",UPPER(TRIM(INDEX(C_Pavement!$D$5:$D$204,$AQ719))),IF($AS719="","",INDEX(E_Rules!$C$5:$C$9,$AS719))))</f>
        <v/>
      </c>
      <c r="AU719" t="str">
        <f>IF($AQ719="","",IF(INDEX(C_Pavement!$E$5:$E$204,$AQ719)&lt;&gt;"",IF(INDEX(C_Pavement!$E$5:$E$204,$AQ719)="-","",INDEX(C_Pavement!$E$5:$E$204,$AQ719)),IF($AS719="","",INDEX(E_Rules!$D$5:$D$9,$AS719))))</f>
        <v/>
      </c>
      <c r="AV719" t="str">
        <f>IF($AQ719="","",IF(INDEX(C_Pavement!$F$5:$F$204,$AQ719)&lt;&gt;"",IF(INDEX(C_Pavement!$F$5:$F$204,$AQ719)="-","",INDEX(C_Pavement!$F$5:$F$204,$AQ719)),IF($AS719="","",INDEX(E_Rules!$E$5:$E$9,$AS719))))</f>
        <v/>
      </c>
      <c r="AW719" t="str">
        <f>IF($AQ719="","",IF(INDEX(C_Pavement!$G$5:$G$204,$AQ719)&lt;&gt;"",IF(INDEX(C_Pavement!$G$5:$G$204,$AQ719)="-","",INDEX(C_Pavement!$G$5:$G$204,$AQ719)),IF($AS719="","",INDEX(E_Rules!$F$5:$F$9,$AS719))))</f>
        <v/>
      </c>
      <c r="AX719" t="str">
        <f>IF($AQ719="","",IF(INDEX(C_Pavement!$H$5:$H$204,$AQ719)&lt;&gt;"",IF(INDEX(C_Pavement!$H$5:$H$204,$AQ719)="-","",INDEX(C_Pavement!$H$5:$H$204,$AQ719)),IF($AS719="","",INDEX(E_Rules!$G$5:$G$9,$AS719))))</f>
        <v/>
      </c>
      <c r="AY719" t="str">
        <f>IF($AQ719="","",IF(INDEX(C_Pavement!$I$5:$I$204,$AQ719)&lt;&gt;"",IF(INDEX(C_Pavement!$I$5:$I$204,$AQ719)="-","",INDEX(C_Pavement!$I$5:$I$204,$AQ719)),IF($AS719="","",INDEX(E_Rules!$H$5:$H$9,$AS719))))</f>
        <v/>
      </c>
    </row>
    <row r="720" spans="1:51" ht="15.75" customHeight="1" x14ac:dyDescent="0.3">
      <c r="A720" s="189">
        <v>715</v>
      </c>
      <c r="B720" s="180">
        <v>35700</v>
      </c>
      <c r="C720" s="180" t="s">
        <v>1026</v>
      </c>
      <c r="D720" s="181" t="str">
        <f>IFERROR(LOOKUP(2,1/((A_Corridor!$A$5:$A$204&lt;&gt;"")*(A_Corridor!$A$5:$A$204&lt;=$B720)*(A_Corridor!$B$5:$B$204&gt;$B720)*(A_Corridor!$C$5:$C$204&lt;&gt;"")),IF(UPPER(A_Corridor!$C$5:$C$204)="Y",1,"")),"")</f>
        <v/>
      </c>
      <c r="E720" s="181" t="str">
        <f>IFERROR(LOOKUP(2,1/((A_Corridor!$A$5:$A$204&lt;&gt;"")*(A_Corridor!$A$5:$A$204&lt;=$B720)*(A_Corridor!$B$5:$B$204&gt;$B720)*(A_Corridor!$D$5:$D$204&lt;&gt;"")),IF(A_Corridor!$D$5:$D$204="-","",UPPER(A_Corridor!$D$5:$D$204))),"")</f>
        <v/>
      </c>
      <c r="F720" s="181" t="str">
        <f>IFERROR(LOOKUP(2,1/((A_Corridor!$A$5:$A$204&lt;&gt;"")*(A_Corridor!$A$5:$A$204&lt;=$B720)*(A_Corridor!$B$5:$B$204&gt;$B720)*(A_Corridor!$E$5:$E$204&lt;&gt;"")),IF(A_Corridor!$E$5:$E$204="-","",1)),"")</f>
        <v/>
      </c>
      <c r="G720" s="182" t="str">
        <f>IFERROR(LOOKUP(2,1/((A_Corridor!$A$5:$A$204&lt;&gt;"")*(A_Corridor!$A$5:$A$204&lt;=$B720)*(A_Corridor!$B$5:$B$204&gt;$B720)*(A_Corridor!$E$5:$E$204&lt;&gt;"")),IF(A_Corridor!$E$5:$E$204="-","",A_Corridor!$E$5:$E$204)),"")</f>
        <v/>
      </c>
      <c r="H720" s="182" t="str">
        <f>IFERROR(LOOKUP(2,1/((D_Points!$A$5:$A$204&lt;&gt;"")*(D_Points!$A$5:$A$204&gt;=$B720)*(D_Points!$A$5:$A$204&lt;$B720+P_Interval)*(UPPER(TRIM(D_Points!$B$5:$B$204))="GULLY")*(D_Points!$H$5:$H$204&lt;&gt;"")),D_Points!$H$5:$H$204),"")</f>
        <v/>
      </c>
      <c r="I720" s="181" t="str">
        <f>IFERROR(LOOKUP(2,1/((A_Corridor!$A$5:$A$204&lt;&gt;"")*(A_Corridor!$A$5:$A$204&lt;=$B720)*(A_Corridor!$B$5:$B$204&gt;$B720)*(A_Corridor!$F$5:$F$204&lt;&gt;"")),IF(A_Corridor!$F$5:$F$204="-","",1)),"")</f>
        <v/>
      </c>
      <c r="J720" s="182" t="str">
        <f>IFERROR(LOOKUP(2,1/((A_Corridor!$A$5:$A$204&lt;&gt;"")*(A_Corridor!$A$5:$A$204&lt;=$B720)*(A_Corridor!$B$5:$B$204&gt;$B720)*(A_Corridor!$F$5:$F$204&lt;&gt;"")),IF(A_Corridor!$F$5:$F$204="-","",A_Corridor!$F$5:$F$204)),"")</f>
        <v/>
      </c>
      <c r="K720" s="182" t="str">
        <f>IFERROR(LOOKUP(2,1/((A_Corridor!$A$5:$A$204&lt;&gt;"")*(A_Corridor!$A$5:$A$204&lt;=$B720)*(A_Corridor!$B$5:$B$204&gt;$B720)*(A_Corridor!$G$5:$G$204&lt;&gt;"")),IF(A_Corridor!$G$5:$G$204="-","",A_Corridor!$G$5:$G$204)),"")</f>
        <v/>
      </c>
      <c r="L720" s="181" t="str">
        <f>IFERROR(LOOKUP(2,1/((A_Corridor!$A$5:$A$204&lt;&gt;"")*(A_Corridor!$A$5:$A$204&lt;=$B720)*(A_Corridor!$B$5:$B$204&gt;$B720)*(A_Corridor!$H$5:$H$204&lt;&gt;"")),IF(A_Corridor!$H$5:$H$204="-","",1)),"")</f>
        <v/>
      </c>
      <c r="M720" s="182" t="str">
        <f>IFERROR(LOOKUP(2,1/((A_Corridor!$A$5:$A$204&lt;&gt;"")*(A_Corridor!$A$5:$A$204&lt;=$B720)*(A_Corridor!$B$5:$B$204&gt;$B720)*(A_Corridor!$H$5:$H$204&lt;&gt;"")),IF(A_Corridor!$H$5:$H$204="-","",A_Corridor!$H$5:$H$204)),"")</f>
        <v/>
      </c>
      <c r="N720" s="182" t="str">
        <f>IFERROR(LOOKUP(2,1/((A_Corridor!$A$5:$A$204&lt;&gt;"")*(A_Corridor!$A$5:$A$204&lt;=$B720)*(A_Corridor!$B$5:$B$204&gt;$B720)*(A_Corridor!$I$5:$I$204&lt;&gt;"")),IF(A_Corridor!$I$5:$I$204="-","",A_Corridor!$I$5:$I$204)),"")</f>
        <v/>
      </c>
      <c r="O720" s="182" t="str">
        <f>IFERROR(LOOKUP(2,1/((D_Points!$A$5:$A$204&lt;&gt;"")*(D_Points!$A$5:$A$204&gt;=$B720)*(D_Points!$A$5:$A$204&lt;$B720+P_Interval)*(UPPER(TRIM(D_Points!$B$5:$B$204))="PITCHING")*(D_Points!$H$5:$H$204&lt;&gt;"")),D_Points!$H$5:$H$204),"")</f>
        <v/>
      </c>
      <c r="P720" s="181" t="str">
        <f>IFERROR(LOOKUP(2,1/((B_Drainage!$A$5:$A$204&lt;&gt;"")*(B_Drainage!$A$5:$A$204&lt;=$B720)*(B_Drainage!$B$5:$B$204&gt;$B720)*(B_Drainage!$C$5:$C$204&lt;&gt;"")),IF(B_Drainage!$C$5:$C$204="-","",UPPER(B_Drainage!$C$5:$C$204))),"")</f>
        <v/>
      </c>
      <c r="Q720" s="181" t="str">
        <f>IFERROR(LOOKUP(2,1/((B_Drainage!$A$5:$A$204&lt;&gt;"")*(B_Drainage!$A$5:$A$204&lt;=$B720)*(B_Drainage!$B$5:$B$204&gt;$B720)*(B_Drainage!$D$5:$D$204&lt;&gt;"")),IF(B_Drainage!$D$5:$D$204="-","",UPPER(B_Drainage!$D$5:$D$204))),"")</f>
        <v/>
      </c>
      <c r="R720" s="182" t="str">
        <f>IFERROR(LOOKUP(2,1/((D_Points!$A$5:$A$204&lt;&gt;"")*(D_Points!$A$5:$A$204&gt;=$B720)*(D_Points!$A$5:$A$204&lt;$B720+P_Interval)*(RIGHT(UPPER(TRIM(D_Points!$B$5:$B$204)),8)="_CULVERT")),IF(LEFT(UPPER(TRIM(D_Points!$B$5:$B$204)),2)="EX",1,IF(LEFT(UPPER(TRIM(D_Points!$B$5:$B$204)),2)="PR",2,3))),"")</f>
        <v/>
      </c>
      <c r="S720" s="182" t="str">
        <f>IFERROR(LOOKUP(2,1/((D_Points!$A$5:$A$204&lt;&gt;"")*(D_Points!$A$5:$A$204&gt;=$B720)*(D_Points!$A$5:$A$204&lt;$B720+P_Interval)*(RIGHT(UPPER(TRIM(D_Points!$B$5:$B$204)),7)="_BRIDGE")),IF(LEFT(UPPER(TRIM(D_Points!$B$5:$B$204)),2)="EX",1,IF(LEFT(UPPER(TRIM(D_Points!$B$5:$B$204)),2)="PR",2,2))),"")</f>
        <v/>
      </c>
      <c r="T720" s="181" t="str">
        <f>IFERROR(LOOKUP(2,1/((B_Drainage!$A$5:$A$204&lt;&gt;"")*(B_Drainage!$A$5:$A$204&lt;=$B720)*(B_Drainage!$B$5:$B$204&gt;$B720)*(B_Drainage!$E$5:$E$204&lt;&gt;"")),IF(B_Drainage!$E$5:$E$204="-","",1)),"")</f>
        <v/>
      </c>
      <c r="U720" s="181" t="str">
        <f>IFERROR(LOOKUP(2,1/((B_Drainage!$A$5:$A$204&lt;&gt;"")*(B_Drainage!$A$5:$A$204&lt;=$B720)*(B_Drainage!$B$5:$B$204&gt;$B720)*(B_Drainage!$E$5:$E$204&lt;&gt;"")),IF(B_Drainage!$E$5:$E$204="-","",B_Drainage!$E$5:$E$204)),"")</f>
        <v/>
      </c>
      <c r="V720" s="181" t="str">
        <f>IFERROR(LOOKUP(2,1/((B_Drainage!$A$5:$A$204&lt;&gt;"")*(B_Drainage!$A$5:$A$204&lt;=$B720)*(B_Drainage!$B$5:$B$204&gt;$B720)*(B_Drainage!$F$5:$F$204&lt;&gt;"")),IF(B_Drainage!$F$5:$F$204="-","",1)),"")</f>
        <v/>
      </c>
      <c r="W720" s="181" t="str">
        <f>IFERROR(LOOKUP(2,1/((B_Drainage!$A$5:$A$204&lt;&gt;"")*(B_Drainage!$A$5:$A$204&lt;=$B720)*(B_Drainage!$B$5:$B$204&gt;$B720)*(B_Drainage!$F$5:$F$204&lt;&gt;"")),IF(B_Drainage!$F$5:$F$204="-","",B_Drainage!$F$5:$F$204)),"")</f>
        <v/>
      </c>
      <c r="X720" s="181" t="str">
        <f>IFERROR(LOOKUP(2,1/((B_Drainage!$A$5:$A$204&lt;&gt;"")*(B_Drainage!$A$5:$A$204&lt;=$B720)*(B_Drainage!$B$5:$B$204&gt;$B720)*(B_Drainage!$G$5:$G$204&lt;&gt;"")),IF(UPPER(B_Drainage!$G$5:$G$204)="Y",1,"")),"")</f>
        <v/>
      </c>
      <c r="Y720" s="181" t="str">
        <f>IFERROR(LOOKUP(2,1/((B_Drainage!$A$5:$A$204&lt;&gt;"")*(B_Drainage!$A$5:$A$204&lt;=$B720)*(B_Drainage!$B$5:$B$204&gt;$B720)*(B_Drainage!$H$5:$H$204&lt;&gt;"")),IF(UPPER(B_Drainage!$H$5:$H$204)="Y",1,"")),"")</f>
        <v/>
      </c>
      <c r="Z720" s="181" t="str">
        <f>IFERROR(LOOKUP(2,1/((B_Drainage!$A$5:$A$204&lt;&gt;"")*(B_Drainage!$A$5:$A$204&lt;=$B720)*(B_Drainage!$B$5:$B$204&gt;$B720)*(B_Drainage!$I$5:$I$204&lt;&gt;"")),IF(UPPER(B_Drainage!$I$5:$I$204)="Y",1,"")),"")</f>
        <v/>
      </c>
      <c r="AA720" s="181" t="str">
        <f>IFERROR(LOOKUP(2,1/((B_Drainage!$A$5:$A$204&lt;&gt;"")*(B_Drainage!$A$5:$A$204&lt;=$B720)*(B_Drainage!$B$5:$B$204&gt;$B720)*(B_Drainage!$J$5:$J$204&lt;&gt;"")),IF(UPPER(B_Drainage!$J$5:$J$204)="Y",1,"")),"")</f>
        <v/>
      </c>
      <c r="AB720" s="182" t="str">
        <f>IFERROR(LOOKUP(2,1/((B_Drainage!$A$5:$A$204&lt;&gt;"")*(B_Drainage!$A$5:$A$204&lt;=$B720)*(B_Drainage!$B$5:$B$204&gt;$B720)*(B_Drainage!$K$5:$K$204&lt;&gt;"")),IF(B_Drainage!$K$5:$K$204="-","",B_Drainage!$K$5:$K$204)),"")</f>
        <v/>
      </c>
      <c r="AC720" s="182" t="str">
        <f>IFERROR(LOOKUP(2,1/((B_Drainage!$A$5:$A$204&lt;&gt;"")*(B_Drainage!$A$5:$A$204&lt;=$B720)*(B_Drainage!$B$5:$B$204&gt;$B720)*(B_Drainage!$L$5:$L$204&lt;&gt;"")),IF(B_Drainage!$L$5:$L$204="-","",B_Drainage!$L$5:$L$204)),"")</f>
        <v/>
      </c>
      <c r="AD720" s="182" t="str">
        <f>IFERROR(LOOKUP(2,1/((D_Points!$A$5:$A$204&lt;&gt;"")*(D_Points!$A$5:$A$204&gt;=$B720)*(D_Points!$A$5:$A$204&lt;$B720+P_Interval)*(UPPER(TRIM(D_Points!$B$5:$B$204))="TURNOUT_L")*(D_Points!$H$5:$H$204&lt;&gt;"")),D_Points!$H$5:$H$204),"")</f>
        <v/>
      </c>
      <c r="AE720" s="182" t="str">
        <f>IFERROR(LOOKUP(2,1/((D_Points!$A$5:$A$204&lt;&gt;"")*(D_Points!$A$5:$A$204&gt;=$B720)*(D_Points!$A$5:$A$204&lt;$B720+P_Interval)*(UPPER(TRIM(D_Points!$B$5:$B$204))="TURNOUT_R")*(D_Points!$H$5:$H$204&lt;&gt;"")),D_Points!$H$5:$H$204),"")</f>
        <v/>
      </c>
      <c r="AF720" s="181" t="str">
        <f>IFERROR(LOOKUP(2,1/((B_Drainage!$A$5:$A$204&lt;&gt;"")*(B_Drainage!$A$5:$A$204&lt;=$B720)*(B_Drainage!$B$5:$B$204&gt;$B720)*(B_Drainage!$M$5:$M$204&lt;&gt;"")),IF(UPPER(B_Drainage!$M$5:$M$204)="Y",1,"")),"")</f>
        <v/>
      </c>
      <c r="AG720" s="181" t="str">
        <f>IFERROR(LOOKUP(2,1/((B_Drainage!$A$5:$A$204&lt;&gt;"")*(B_Drainage!$A$5:$A$204&lt;=$B720)*(B_Drainage!$B$5:$B$204&gt;$B720)*(B_Drainage!$N$5:$N$204&lt;&gt;"")),IF(UPPER(B_Drainage!$N$5:$N$204)="Y",1,"")),"")</f>
        <v/>
      </c>
      <c r="AH720" s="181" t="str">
        <f t="shared" si="88"/>
        <v/>
      </c>
      <c r="AI720" s="181" t="str">
        <f t="shared" si="89"/>
        <v/>
      </c>
      <c r="AJ720" s="181" t="str">
        <f t="shared" si="90"/>
        <v/>
      </c>
      <c r="AK720" s="181" t="str">
        <f t="shared" si="91"/>
        <v/>
      </c>
      <c r="AL720" s="181" t="str">
        <f t="shared" si="92"/>
        <v/>
      </c>
      <c r="AM720" s="181" t="str">
        <f t="shared" si="93"/>
        <v/>
      </c>
      <c r="AN720" s="181" t="str">
        <f t="shared" si="94"/>
        <v/>
      </c>
      <c r="AO720" s="192" t="str">
        <f t="shared" si="95"/>
        <v/>
      </c>
      <c r="AQ720" t="str">
        <f>IFERROR(LOOKUP(2,1/((C_Pavement!$A$5:$A$204&lt;&gt;"")*(C_Pavement!$A$5:$A$204&lt;=$B720)*(C_Pavement!$B$5:$B$204&gt;$B720)*(C_Pavement!$C$5:$C$204&lt;&gt;"")),ROW(C_Pavement!$C$5:$C$204)-4),"")</f>
        <v/>
      </c>
      <c r="AR720" t="str">
        <f>IF($AQ720="","",UPPER(TRIM(INDEX(C_Pavement!$C$5:$C$204,$AQ720))))</f>
        <v/>
      </c>
      <c r="AS720" t="str">
        <f>IF($AR720="","",IFERROR(MATCH($AR720,E_Rules!$A$5:$A$9,0),""))</f>
        <v/>
      </c>
      <c r="AT720" t="str">
        <f>IF($AQ720="","",IF(INDEX(C_Pavement!$D$5:$D$204,$AQ720)&lt;&gt;"",UPPER(TRIM(INDEX(C_Pavement!$D$5:$D$204,$AQ720))),IF($AS720="","",INDEX(E_Rules!$C$5:$C$9,$AS720))))</f>
        <v/>
      </c>
      <c r="AU720" t="str">
        <f>IF($AQ720="","",IF(INDEX(C_Pavement!$E$5:$E$204,$AQ720)&lt;&gt;"",IF(INDEX(C_Pavement!$E$5:$E$204,$AQ720)="-","",INDEX(C_Pavement!$E$5:$E$204,$AQ720)),IF($AS720="","",INDEX(E_Rules!$D$5:$D$9,$AS720))))</f>
        <v/>
      </c>
      <c r="AV720" t="str">
        <f>IF($AQ720="","",IF(INDEX(C_Pavement!$F$5:$F$204,$AQ720)&lt;&gt;"",IF(INDEX(C_Pavement!$F$5:$F$204,$AQ720)="-","",INDEX(C_Pavement!$F$5:$F$204,$AQ720)),IF($AS720="","",INDEX(E_Rules!$E$5:$E$9,$AS720))))</f>
        <v/>
      </c>
      <c r="AW720" t="str">
        <f>IF($AQ720="","",IF(INDEX(C_Pavement!$G$5:$G$204,$AQ720)&lt;&gt;"",IF(INDEX(C_Pavement!$G$5:$G$204,$AQ720)="-","",INDEX(C_Pavement!$G$5:$G$204,$AQ720)),IF($AS720="","",INDEX(E_Rules!$F$5:$F$9,$AS720))))</f>
        <v/>
      </c>
      <c r="AX720" t="str">
        <f>IF($AQ720="","",IF(INDEX(C_Pavement!$H$5:$H$204,$AQ720)&lt;&gt;"",IF(INDEX(C_Pavement!$H$5:$H$204,$AQ720)="-","",INDEX(C_Pavement!$H$5:$H$204,$AQ720)),IF($AS720="","",INDEX(E_Rules!$G$5:$G$9,$AS720))))</f>
        <v/>
      </c>
      <c r="AY720" t="str">
        <f>IF($AQ720="","",IF(INDEX(C_Pavement!$I$5:$I$204,$AQ720)&lt;&gt;"",IF(INDEX(C_Pavement!$I$5:$I$204,$AQ720)="-","",INDEX(C_Pavement!$I$5:$I$204,$AQ720)),IF($AS720="","",INDEX(E_Rules!$H$5:$H$9,$AS720))))</f>
        <v/>
      </c>
    </row>
    <row r="721" spans="1:51" ht="15.75" customHeight="1" x14ac:dyDescent="0.3">
      <c r="A721" s="189">
        <v>716</v>
      </c>
      <c r="B721" s="180">
        <v>35750</v>
      </c>
      <c r="C721" s="180" t="s">
        <v>1027</v>
      </c>
      <c r="D721" s="181" t="str">
        <f>IFERROR(LOOKUP(2,1/((A_Corridor!$A$5:$A$204&lt;&gt;"")*(A_Corridor!$A$5:$A$204&lt;=$B721)*(A_Corridor!$B$5:$B$204&gt;$B721)*(A_Corridor!$C$5:$C$204&lt;&gt;"")),IF(UPPER(A_Corridor!$C$5:$C$204)="Y",1,"")),"")</f>
        <v/>
      </c>
      <c r="E721" s="181" t="str">
        <f>IFERROR(LOOKUP(2,1/((A_Corridor!$A$5:$A$204&lt;&gt;"")*(A_Corridor!$A$5:$A$204&lt;=$B721)*(A_Corridor!$B$5:$B$204&gt;$B721)*(A_Corridor!$D$5:$D$204&lt;&gt;"")),IF(A_Corridor!$D$5:$D$204="-","",UPPER(A_Corridor!$D$5:$D$204))),"")</f>
        <v/>
      </c>
      <c r="F721" s="181" t="str">
        <f>IFERROR(LOOKUP(2,1/((A_Corridor!$A$5:$A$204&lt;&gt;"")*(A_Corridor!$A$5:$A$204&lt;=$B721)*(A_Corridor!$B$5:$B$204&gt;$B721)*(A_Corridor!$E$5:$E$204&lt;&gt;"")),IF(A_Corridor!$E$5:$E$204="-","",1)),"")</f>
        <v/>
      </c>
      <c r="G721" s="182" t="str">
        <f>IFERROR(LOOKUP(2,1/((A_Corridor!$A$5:$A$204&lt;&gt;"")*(A_Corridor!$A$5:$A$204&lt;=$B721)*(A_Corridor!$B$5:$B$204&gt;$B721)*(A_Corridor!$E$5:$E$204&lt;&gt;"")),IF(A_Corridor!$E$5:$E$204="-","",A_Corridor!$E$5:$E$204)),"")</f>
        <v/>
      </c>
      <c r="H721" s="182" t="str">
        <f>IFERROR(LOOKUP(2,1/((D_Points!$A$5:$A$204&lt;&gt;"")*(D_Points!$A$5:$A$204&gt;=$B721)*(D_Points!$A$5:$A$204&lt;$B721+P_Interval)*(UPPER(TRIM(D_Points!$B$5:$B$204))="GULLY")*(D_Points!$H$5:$H$204&lt;&gt;"")),D_Points!$H$5:$H$204),"")</f>
        <v/>
      </c>
      <c r="I721" s="181" t="str">
        <f>IFERROR(LOOKUP(2,1/((A_Corridor!$A$5:$A$204&lt;&gt;"")*(A_Corridor!$A$5:$A$204&lt;=$B721)*(A_Corridor!$B$5:$B$204&gt;$B721)*(A_Corridor!$F$5:$F$204&lt;&gt;"")),IF(A_Corridor!$F$5:$F$204="-","",1)),"")</f>
        <v/>
      </c>
      <c r="J721" s="182" t="str">
        <f>IFERROR(LOOKUP(2,1/((A_Corridor!$A$5:$A$204&lt;&gt;"")*(A_Corridor!$A$5:$A$204&lt;=$B721)*(A_Corridor!$B$5:$B$204&gt;$B721)*(A_Corridor!$F$5:$F$204&lt;&gt;"")),IF(A_Corridor!$F$5:$F$204="-","",A_Corridor!$F$5:$F$204)),"")</f>
        <v/>
      </c>
      <c r="K721" s="182" t="str">
        <f>IFERROR(LOOKUP(2,1/((A_Corridor!$A$5:$A$204&lt;&gt;"")*(A_Corridor!$A$5:$A$204&lt;=$B721)*(A_Corridor!$B$5:$B$204&gt;$B721)*(A_Corridor!$G$5:$G$204&lt;&gt;"")),IF(A_Corridor!$G$5:$G$204="-","",A_Corridor!$G$5:$G$204)),"")</f>
        <v/>
      </c>
      <c r="L721" s="181" t="str">
        <f>IFERROR(LOOKUP(2,1/((A_Corridor!$A$5:$A$204&lt;&gt;"")*(A_Corridor!$A$5:$A$204&lt;=$B721)*(A_Corridor!$B$5:$B$204&gt;$B721)*(A_Corridor!$H$5:$H$204&lt;&gt;"")),IF(A_Corridor!$H$5:$H$204="-","",1)),"")</f>
        <v/>
      </c>
      <c r="M721" s="182" t="str">
        <f>IFERROR(LOOKUP(2,1/((A_Corridor!$A$5:$A$204&lt;&gt;"")*(A_Corridor!$A$5:$A$204&lt;=$B721)*(A_Corridor!$B$5:$B$204&gt;$B721)*(A_Corridor!$H$5:$H$204&lt;&gt;"")),IF(A_Corridor!$H$5:$H$204="-","",A_Corridor!$H$5:$H$204)),"")</f>
        <v/>
      </c>
      <c r="N721" s="182" t="str">
        <f>IFERROR(LOOKUP(2,1/((A_Corridor!$A$5:$A$204&lt;&gt;"")*(A_Corridor!$A$5:$A$204&lt;=$B721)*(A_Corridor!$B$5:$B$204&gt;$B721)*(A_Corridor!$I$5:$I$204&lt;&gt;"")),IF(A_Corridor!$I$5:$I$204="-","",A_Corridor!$I$5:$I$204)),"")</f>
        <v/>
      </c>
      <c r="O721" s="182" t="str">
        <f>IFERROR(LOOKUP(2,1/((D_Points!$A$5:$A$204&lt;&gt;"")*(D_Points!$A$5:$A$204&gt;=$B721)*(D_Points!$A$5:$A$204&lt;$B721+P_Interval)*(UPPER(TRIM(D_Points!$B$5:$B$204))="PITCHING")*(D_Points!$H$5:$H$204&lt;&gt;"")),D_Points!$H$5:$H$204),"")</f>
        <v/>
      </c>
      <c r="P721" s="181" t="str">
        <f>IFERROR(LOOKUP(2,1/((B_Drainage!$A$5:$A$204&lt;&gt;"")*(B_Drainage!$A$5:$A$204&lt;=$B721)*(B_Drainage!$B$5:$B$204&gt;$B721)*(B_Drainage!$C$5:$C$204&lt;&gt;"")),IF(B_Drainage!$C$5:$C$204="-","",UPPER(B_Drainage!$C$5:$C$204))),"")</f>
        <v/>
      </c>
      <c r="Q721" s="181" t="str">
        <f>IFERROR(LOOKUP(2,1/((B_Drainage!$A$5:$A$204&lt;&gt;"")*(B_Drainage!$A$5:$A$204&lt;=$B721)*(B_Drainage!$B$5:$B$204&gt;$B721)*(B_Drainage!$D$5:$D$204&lt;&gt;"")),IF(B_Drainage!$D$5:$D$204="-","",UPPER(B_Drainage!$D$5:$D$204))),"")</f>
        <v/>
      </c>
      <c r="R721" s="182" t="str">
        <f>IFERROR(LOOKUP(2,1/((D_Points!$A$5:$A$204&lt;&gt;"")*(D_Points!$A$5:$A$204&gt;=$B721)*(D_Points!$A$5:$A$204&lt;$B721+P_Interval)*(RIGHT(UPPER(TRIM(D_Points!$B$5:$B$204)),8)="_CULVERT")),IF(LEFT(UPPER(TRIM(D_Points!$B$5:$B$204)),2)="EX",1,IF(LEFT(UPPER(TRIM(D_Points!$B$5:$B$204)),2)="PR",2,3))),"")</f>
        <v/>
      </c>
      <c r="S721" s="182" t="str">
        <f>IFERROR(LOOKUP(2,1/((D_Points!$A$5:$A$204&lt;&gt;"")*(D_Points!$A$5:$A$204&gt;=$B721)*(D_Points!$A$5:$A$204&lt;$B721+P_Interval)*(RIGHT(UPPER(TRIM(D_Points!$B$5:$B$204)),7)="_BRIDGE")),IF(LEFT(UPPER(TRIM(D_Points!$B$5:$B$204)),2)="EX",1,IF(LEFT(UPPER(TRIM(D_Points!$B$5:$B$204)),2)="PR",2,2))),"")</f>
        <v/>
      </c>
      <c r="T721" s="181" t="str">
        <f>IFERROR(LOOKUP(2,1/((B_Drainage!$A$5:$A$204&lt;&gt;"")*(B_Drainage!$A$5:$A$204&lt;=$B721)*(B_Drainage!$B$5:$B$204&gt;$B721)*(B_Drainage!$E$5:$E$204&lt;&gt;"")),IF(B_Drainage!$E$5:$E$204="-","",1)),"")</f>
        <v/>
      </c>
      <c r="U721" s="181" t="str">
        <f>IFERROR(LOOKUP(2,1/((B_Drainage!$A$5:$A$204&lt;&gt;"")*(B_Drainage!$A$5:$A$204&lt;=$B721)*(B_Drainage!$B$5:$B$204&gt;$B721)*(B_Drainage!$E$5:$E$204&lt;&gt;"")),IF(B_Drainage!$E$5:$E$204="-","",B_Drainage!$E$5:$E$204)),"")</f>
        <v/>
      </c>
      <c r="V721" s="181" t="str">
        <f>IFERROR(LOOKUP(2,1/((B_Drainage!$A$5:$A$204&lt;&gt;"")*(B_Drainage!$A$5:$A$204&lt;=$B721)*(B_Drainage!$B$5:$B$204&gt;$B721)*(B_Drainage!$F$5:$F$204&lt;&gt;"")),IF(B_Drainage!$F$5:$F$204="-","",1)),"")</f>
        <v/>
      </c>
      <c r="W721" s="181" t="str">
        <f>IFERROR(LOOKUP(2,1/((B_Drainage!$A$5:$A$204&lt;&gt;"")*(B_Drainage!$A$5:$A$204&lt;=$B721)*(B_Drainage!$B$5:$B$204&gt;$B721)*(B_Drainage!$F$5:$F$204&lt;&gt;"")),IF(B_Drainage!$F$5:$F$204="-","",B_Drainage!$F$5:$F$204)),"")</f>
        <v/>
      </c>
      <c r="X721" s="181" t="str">
        <f>IFERROR(LOOKUP(2,1/((B_Drainage!$A$5:$A$204&lt;&gt;"")*(B_Drainage!$A$5:$A$204&lt;=$B721)*(B_Drainage!$B$5:$B$204&gt;$B721)*(B_Drainage!$G$5:$G$204&lt;&gt;"")),IF(UPPER(B_Drainage!$G$5:$G$204)="Y",1,"")),"")</f>
        <v/>
      </c>
      <c r="Y721" s="181" t="str">
        <f>IFERROR(LOOKUP(2,1/((B_Drainage!$A$5:$A$204&lt;&gt;"")*(B_Drainage!$A$5:$A$204&lt;=$B721)*(B_Drainage!$B$5:$B$204&gt;$B721)*(B_Drainage!$H$5:$H$204&lt;&gt;"")),IF(UPPER(B_Drainage!$H$5:$H$204)="Y",1,"")),"")</f>
        <v/>
      </c>
      <c r="Z721" s="181" t="str">
        <f>IFERROR(LOOKUP(2,1/((B_Drainage!$A$5:$A$204&lt;&gt;"")*(B_Drainage!$A$5:$A$204&lt;=$B721)*(B_Drainage!$B$5:$B$204&gt;$B721)*(B_Drainage!$I$5:$I$204&lt;&gt;"")),IF(UPPER(B_Drainage!$I$5:$I$204)="Y",1,"")),"")</f>
        <v/>
      </c>
      <c r="AA721" s="181" t="str">
        <f>IFERROR(LOOKUP(2,1/((B_Drainage!$A$5:$A$204&lt;&gt;"")*(B_Drainage!$A$5:$A$204&lt;=$B721)*(B_Drainage!$B$5:$B$204&gt;$B721)*(B_Drainage!$J$5:$J$204&lt;&gt;"")),IF(UPPER(B_Drainage!$J$5:$J$204)="Y",1,"")),"")</f>
        <v/>
      </c>
      <c r="AB721" s="182" t="str">
        <f>IFERROR(LOOKUP(2,1/((B_Drainage!$A$5:$A$204&lt;&gt;"")*(B_Drainage!$A$5:$A$204&lt;=$B721)*(B_Drainage!$B$5:$B$204&gt;$B721)*(B_Drainage!$K$5:$K$204&lt;&gt;"")),IF(B_Drainage!$K$5:$K$204="-","",B_Drainage!$K$5:$K$204)),"")</f>
        <v/>
      </c>
      <c r="AC721" s="182" t="str">
        <f>IFERROR(LOOKUP(2,1/((B_Drainage!$A$5:$A$204&lt;&gt;"")*(B_Drainage!$A$5:$A$204&lt;=$B721)*(B_Drainage!$B$5:$B$204&gt;$B721)*(B_Drainage!$L$5:$L$204&lt;&gt;"")),IF(B_Drainage!$L$5:$L$204="-","",B_Drainage!$L$5:$L$204)),"")</f>
        <v/>
      </c>
      <c r="AD721" s="182" t="str">
        <f>IFERROR(LOOKUP(2,1/((D_Points!$A$5:$A$204&lt;&gt;"")*(D_Points!$A$5:$A$204&gt;=$B721)*(D_Points!$A$5:$A$204&lt;$B721+P_Interval)*(UPPER(TRIM(D_Points!$B$5:$B$204))="TURNOUT_L")*(D_Points!$H$5:$H$204&lt;&gt;"")),D_Points!$H$5:$H$204),"")</f>
        <v/>
      </c>
      <c r="AE721" s="182" t="str">
        <f>IFERROR(LOOKUP(2,1/((D_Points!$A$5:$A$204&lt;&gt;"")*(D_Points!$A$5:$A$204&gt;=$B721)*(D_Points!$A$5:$A$204&lt;$B721+P_Interval)*(UPPER(TRIM(D_Points!$B$5:$B$204))="TURNOUT_R")*(D_Points!$H$5:$H$204&lt;&gt;"")),D_Points!$H$5:$H$204),"")</f>
        <v/>
      </c>
      <c r="AF721" s="181" t="str">
        <f>IFERROR(LOOKUP(2,1/((B_Drainage!$A$5:$A$204&lt;&gt;"")*(B_Drainage!$A$5:$A$204&lt;=$B721)*(B_Drainage!$B$5:$B$204&gt;$B721)*(B_Drainage!$M$5:$M$204&lt;&gt;"")),IF(UPPER(B_Drainage!$M$5:$M$204)="Y",1,"")),"")</f>
        <v/>
      </c>
      <c r="AG721" s="181" t="str">
        <f>IFERROR(LOOKUP(2,1/((B_Drainage!$A$5:$A$204&lt;&gt;"")*(B_Drainage!$A$5:$A$204&lt;=$B721)*(B_Drainage!$B$5:$B$204&gt;$B721)*(B_Drainage!$N$5:$N$204&lt;&gt;"")),IF(UPPER(B_Drainage!$N$5:$N$204)="Y",1,"")),"")</f>
        <v/>
      </c>
      <c r="AH721" s="181" t="str">
        <f t="shared" si="88"/>
        <v/>
      </c>
      <c r="AI721" s="181" t="str">
        <f t="shared" si="89"/>
        <v/>
      </c>
      <c r="AJ721" s="181" t="str">
        <f t="shared" si="90"/>
        <v/>
      </c>
      <c r="AK721" s="181" t="str">
        <f t="shared" si="91"/>
        <v/>
      </c>
      <c r="AL721" s="181" t="str">
        <f t="shared" si="92"/>
        <v/>
      </c>
      <c r="AM721" s="181" t="str">
        <f t="shared" si="93"/>
        <v/>
      </c>
      <c r="AN721" s="181" t="str">
        <f t="shared" si="94"/>
        <v/>
      </c>
      <c r="AO721" s="192" t="str">
        <f t="shared" si="95"/>
        <v/>
      </c>
      <c r="AQ721" t="str">
        <f>IFERROR(LOOKUP(2,1/((C_Pavement!$A$5:$A$204&lt;&gt;"")*(C_Pavement!$A$5:$A$204&lt;=$B721)*(C_Pavement!$B$5:$B$204&gt;$B721)*(C_Pavement!$C$5:$C$204&lt;&gt;"")),ROW(C_Pavement!$C$5:$C$204)-4),"")</f>
        <v/>
      </c>
      <c r="AR721" t="str">
        <f>IF($AQ721="","",UPPER(TRIM(INDEX(C_Pavement!$C$5:$C$204,$AQ721))))</f>
        <v/>
      </c>
      <c r="AS721" t="str">
        <f>IF($AR721="","",IFERROR(MATCH($AR721,E_Rules!$A$5:$A$9,0),""))</f>
        <v/>
      </c>
      <c r="AT721" t="str">
        <f>IF($AQ721="","",IF(INDEX(C_Pavement!$D$5:$D$204,$AQ721)&lt;&gt;"",UPPER(TRIM(INDEX(C_Pavement!$D$5:$D$204,$AQ721))),IF($AS721="","",INDEX(E_Rules!$C$5:$C$9,$AS721))))</f>
        <v/>
      </c>
      <c r="AU721" t="str">
        <f>IF($AQ721="","",IF(INDEX(C_Pavement!$E$5:$E$204,$AQ721)&lt;&gt;"",IF(INDEX(C_Pavement!$E$5:$E$204,$AQ721)="-","",INDEX(C_Pavement!$E$5:$E$204,$AQ721)),IF($AS721="","",INDEX(E_Rules!$D$5:$D$9,$AS721))))</f>
        <v/>
      </c>
      <c r="AV721" t="str">
        <f>IF($AQ721="","",IF(INDEX(C_Pavement!$F$5:$F$204,$AQ721)&lt;&gt;"",IF(INDEX(C_Pavement!$F$5:$F$204,$AQ721)="-","",INDEX(C_Pavement!$F$5:$F$204,$AQ721)),IF($AS721="","",INDEX(E_Rules!$E$5:$E$9,$AS721))))</f>
        <v/>
      </c>
      <c r="AW721" t="str">
        <f>IF($AQ721="","",IF(INDEX(C_Pavement!$G$5:$G$204,$AQ721)&lt;&gt;"",IF(INDEX(C_Pavement!$G$5:$G$204,$AQ721)="-","",INDEX(C_Pavement!$G$5:$G$204,$AQ721)),IF($AS721="","",INDEX(E_Rules!$F$5:$F$9,$AS721))))</f>
        <v/>
      </c>
      <c r="AX721" t="str">
        <f>IF($AQ721="","",IF(INDEX(C_Pavement!$H$5:$H$204,$AQ721)&lt;&gt;"",IF(INDEX(C_Pavement!$H$5:$H$204,$AQ721)="-","",INDEX(C_Pavement!$H$5:$H$204,$AQ721)),IF($AS721="","",INDEX(E_Rules!$G$5:$G$9,$AS721))))</f>
        <v/>
      </c>
      <c r="AY721" t="str">
        <f>IF($AQ721="","",IF(INDEX(C_Pavement!$I$5:$I$204,$AQ721)&lt;&gt;"",IF(INDEX(C_Pavement!$I$5:$I$204,$AQ721)="-","",INDEX(C_Pavement!$I$5:$I$204,$AQ721)),IF($AS721="","",INDEX(E_Rules!$H$5:$H$9,$AS721))))</f>
        <v/>
      </c>
    </row>
    <row r="722" spans="1:51" ht="15.75" customHeight="1" x14ac:dyDescent="0.3">
      <c r="A722" s="189">
        <v>717</v>
      </c>
      <c r="B722" s="180">
        <v>35800</v>
      </c>
      <c r="C722" s="180" t="s">
        <v>1028</v>
      </c>
      <c r="D722" s="181" t="str">
        <f>IFERROR(LOOKUP(2,1/((A_Corridor!$A$5:$A$204&lt;&gt;"")*(A_Corridor!$A$5:$A$204&lt;=$B722)*(A_Corridor!$B$5:$B$204&gt;$B722)*(A_Corridor!$C$5:$C$204&lt;&gt;"")),IF(UPPER(A_Corridor!$C$5:$C$204)="Y",1,"")),"")</f>
        <v/>
      </c>
      <c r="E722" s="181" t="str">
        <f>IFERROR(LOOKUP(2,1/((A_Corridor!$A$5:$A$204&lt;&gt;"")*(A_Corridor!$A$5:$A$204&lt;=$B722)*(A_Corridor!$B$5:$B$204&gt;$B722)*(A_Corridor!$D$5:$D$204&lt;&gt;"")),IF(A_Corridor!$D$5:$D$204="-","",UPPER(A_Corridor!$D$5:$D$204))),"")</f>
        <v/>
      </c>
      <c r="F722" s="181" t="str">
        <f>IFERROR(LOOKUP(2,1/((A_Corridor!$A$5:$A$204&lt;&gt;"")*(A_Corridor!$A$5:$A$204&lt;=$B722)*(A_Corridor!$B$5:$B$204&gt;$B722)*(A_Corridor!$E$5:$E$204&lt;&gt;"")),IF(A_Corridor!$E$5:$E$204="-","",1)),"")</f>
        <v/>
      </c>
      <c r="G722" s="182" t="str">
        <f>IFERROR(LOOKUP(2,1/((A_Corridor!$A$5:$A$204&lt;&gt;"")*(A_Corridor!$A$5:$A$204&lt;=$B722)*(A_Corridor!$B$5:$B$204&gt;$B722)*(A_Corridor!$E$5:$E$204&lt;&gt;"")),IF(A_Corridor!$E$5:$E$204="-","",A_Corridor!$E$5:$E$204)),"")</f>
        <v/>
      </c>
      <c r="H722" s="182" t="str">
        <f>IFERROR(LOOKUP(2,1/((D_Points!$A$5:$A$204&lt;&gt;"")*(D_Points!$A$5:$A$204&gt;=$B722)*(D_Points!$A$5:$A$204&lt;$B722+P_Interval)*(UPPER(TRIM(D_Points!$B$5:$B$204))="GULLY")*(D_Points!$H$5:$H$204&lt;&gt;"")),D_Points!$H$5:$H$204),"")</f>
        <v/>
      </c>
      <c r="I722" s="181" t="str">
        <f>IFERROR(LOOKUP(2,1/((A_Corridor!$A$5:$A$204&lt;&gt;"")*(A_Corridor!$A$5:$A$204&lt;=$B722)*(A_Corridor!$B$5:$B$204&gt;$B722)*(A_Corridor!$F$5:$F$204&lt;&gt;"")),IF(A_Corridor!$F$5:$F$204="-","",1)),"")</f>
        <v/>
      </c>
      <c r="J722" s="182" t="str">
        <f>IFERROR(LOOKUP(2,1/((A_Corridor!$A$5:$A$204&lt;&gt;"")*(A_Corridor!$A$5:$A$204&lt;=$B722)*(A_Corridor!$B$5:$B$204&gt;$B722)*(A_Corridor!$F$5:$F$204&lt;&gt;"")),IF(A_Corridor!$F$5:$F$204="-","",A_Corridor!$F$5:$F$204)),"")</f>
        <v/>
      </c>
      <c r="K722" s="182" t="str">
        <f>IFERROR(LOOKUP(2,1/((A_Corridor!$A$5:$A$204&lt;&gt;"")*(A_Corridor!$A$5:$A$204&lt;=$B722)*(A_Corridor!$B$5:$B$204&gt;$B722)*(A_Corridor!$G$5:$G$204&lt;&gt;"")),IF(A_Corridor!$G$5:$G$204="-","",A_Corridor!$G$5:$G$204)),"")</f>
        <v/>
      </c>
      <c r="L722" s="181" t="str">
        <f>IFERROR(LOOKUP(2,1/((A_Corridor!$A$5:$A$204&lt;&gt;"")*(A_Corridor!$A$5:$A$204&lt;=$B722)*(A_Corridor!$B$5:$B$204&gt;$B722)*(A_Corridor!$H$5:$H$204&lt;&gt;"")),IF(A_Corridor!$H$5:$H$204="-","",1)),"")</f>
        <v/>
      </c>
      <c r="M722" s="182" t="str">
        <f>IFERROR(LOOKUP(2,1/((A_Corridor!$A$5:$A$204&lt;&gt;"")*(A_Corridor!$A$5:$A$204&lt;=$B722)*(A_Corridor!$B$5:$B$204&gt;$B722)*(A_Corridor!$H$5:$H$204&lt;&gt;"")),IF(A_Corridor!$H$5:$H$204="-","",A_Corridor!$H$5:$H$204)),"")</f>
        <v/>
      </c>
      <c r="N722" s="182" t="str">
        <f>IFERROR(LOOKUP(2,1/((A_Corridor!$A$5:$A$204&lt;&gt;"")*(A_Corridor!$A$5:$A$204&lt;=$B722)*(A_Corridor!$B$5:$B$204&gt;$B722)*(A_Corridor!$I$5:$I$204&lt;&gt;"")),IF(A_Corridor!$I$5:$I$204="-","",A_Corridor!$I$5:$I$204)),"")</f>
        <v/>
      </c>
      <c r="O722" s="182" t="str">
        <f>IFERROR(LOOKUP(2,1/((D_Points!$A$5:$A$204&lt;&gt;"")*(D_Points!$A$5:$A$204&gt;=$B722)*(D_Points!$A$5:$A$204&lt;$B722+P_Interval)*(UPPER(TRIM(D_Points!$B$5:$B$204))="PITCHING")*(D_Points!$H$5:$H$204&lt;&gt;"")),D_Points!$H$5:$H$204),"")</f>
        <v/>
      </c>
      <c r="P722" s="181" t="str">
        <f>IFERROR(LOOKUP(2,1/((B_Drainage!$A$5:$A$204&lt;&gt;"")*(B_Drainage!$A$5:$A$204&lt;=$B722)*(B_Drainage!$B$5:$B$204&gt;$B722)*(B_Drainage!$C$5:$C$204&lt;&gt;"")),IF(B_Drainage!$C$5:$C$204="-","",UPPER(B_Drainage!$C$5:$C$204))),"")</f>
        <v/>
      </c>
      <c r="Q722" s="181" t="str">
        <f>IFERROR(LOOKUP(2,1/((B_Drainage!$A$5:$A$204&lt;&gt;"")*(B_Drainage!$A$5:$A$204&lt;=$B722)*(B_Drainage!$B$5:$B$204&gt;$B722)*(B_Drainage!$D$5:$D$204&lt;&gt;"")),IF(B_Drainage!$D$5:$D$204="-","",UPPER(B_Drainage!$D$5:$D$204))),"")</f>
        <v/>
      </c>
      <c r="R722" s="182" t="str">
        <f>IFERROR(LOOKUP(2,1/((D_Points!$A$5:$A$204&lt;&gt;"")*(D_Points!$A$5:$A$204&gt;=$B722)*(D_Points!$A$5:$A$204&lt;$B722+P_Interval)*(RIGHT(UPPER(TRIM(D_Points!$B$5:$B$204)),8)="_CULVERT")),IF(LEFT(UPPER(TRIM(D_Points!$B$5:$B$204)),2)="EX",1,IF(LEFT(UPPER(TRIM(D_Points!$B$5:$B$204)),2)="PR",2,3))),"")</f>
        <v/>
      </c>
      <c r="S722" s="182" t="str">
        <f>IFERROR(LOOKUP(2,1/((D_Points!$A$5:$A$204&lt;&gt;"")*(D_Points!$A$5:$A$204&gt;=$B722)*(D_Points!$A$5:$A$204&lt;$B722+P_Interval)*(RIGHT(UPPER(TRIM(D_Points!$B$5:$B$204)),7)="_BRIDGE")),IF(LEFT(UPPER(TRIM(D_Points!$B$5:$B$204)),2)="EX",1,IF(LEFT(UPPER(TRIM(D_Points!$B$5:$B$204)),2)="PR",2,2))),"")</f>
        <v/>
      </c>
      <c r="T722" s="181" t="str">
        <f>IFERROR(LOOKUP(2,1/((B_Drainage!$A$5:$A$204&lt;&gt;"")*(B_Drainage!$A$5:$A$204&lt;=$B722)*(B_Drainage!$B$5:$B$204&gt;$B722)*(B_Drainage!$E$5:$E$204&lt;&gt;"")),IF(B_Drainage!$E$5:$E$204="-","",1)),"")</f>
        <v/>
      </c>
      <c r="U722" s="181" t="str">
        <f>IFERROR(LOOKUP(2,1/((B_Drainage!$A$5:$A$204&lt;&gt;"")*(B_Drainage!$A$5:$A$204&lt;=$B722)*(B_Drainage!$B$5:$B$204&gt;$B722)*(B_Drainage!$E$5:$E$204&lt;&gt;"")),IF(B_Drainage!$E$5:$E$204="-","",B_Drainage!$E$5:$E$204)),"")</f>
        <v/>
      </c>
      <c r="V722" s="181" t="str">
        <f>IFERROR(LOOKUP(2,1/((B_Drainage!$A$5:$A$204&lt;&gt;"")*(B_Drainage!$A$5:$A$204&lt;=$B722)*(B_Drainage!$B$5:$B$204&gt;$B722)*(B_Drainage!$F$5:$F$204&lt;&gt;"")),IF(B_Drainage!$F$5:$F$204="-","",1)),"")</f>
        <v/>
      </c>
      <c r="W722" s="181" t="str">
        <f>IFERROR(LOOKUP(2,1/((B_Drainage!$A$5:$A$204&lt;&gt;"")*(B_Drainage!$A$5:$A$204&lt;=$B722)*(B_Drainage!$B$5:$B$204&gt;$B722)*(B_Drainage!$F$5:$F$204&lt;&gt;"")),IF(B_Drainage!$F$5:$F$204="-","",B_Drainage!$F$5:$F$204)),"")</f>
        <v/>
      </c>
      <c r="X722" s="181" t="str">
        <f>IFERROR(LOOKUP(2,1/((B_Drainage!$A$5:$A$204&lt;&gt;"")*(B_Drainage!$A$5:$A$204&lt;=$B722)*(B_Drainage!$B$5:$B$204&gt;$B722)*(B_Drainage!$G$5:$G$204&lt;&gt;"")),IF(UPPER(B_Drainage!$G$5:$G$204)="Y",1,"")),"")</f>
        <v/>
      </c>
      <c r="Y722" s="181" t="str">
        <f>IFERROR(LOOKUP(2,1/((B_Drainage!$A$5:$A$204&lt;&gt;"")*(B_Drainage!$A$5:$A$204&lt;=$B722)*(B_Drainage!$B$5:$B$204&gt;$B722)*(B_Drainage!$H$5:$H$204&lt;&gt;"")),IF(UPPER(B_Drainage!$H$5:$H$204)="Y",1,"")),"")</f>
        <v/>
      </c>
      <c r="Z722" s="181" t="str">
        <f>IFERROR(LOOKUP(2,1/((B_Drainage!$A$5:$A$204&lt;&gt;"")*(B_Drainage!$A$5:$A$204&lt;=$B722)*(B_Drainage!$B$5:$B$204&gt;$B722)*(B_Drainage!$I$5:$I$204&lt;&gt;"")),IF(UPPER(B_Drainage!$I$5:$I$204)="Y",1,"")),"")</f>
        <v/>
      </c>
      <c r="AA722" s="181" t="str">
        <f>IFERROR(LOOKUP(2,1/((B_Drainage!$A$5:$A$204&lt;&gt;"")*(B_Drainage!$A$5:$A$204&lt;=$B722)*(B_Drainage!$B$5:$B$204&gt;$B722)*(B_Drainage!$J$5:$J$204&lt;&gt;"")),IF(UPPER(B_Drainage!$J$5:$J$204)="Y",1,"")),"")</f>
        <v/>
      </c>
      <c r="AB722" s="182" t="str">
        <f>IFERROR(LOOKUP(2,1/((B_Drainage!$A$5:$A$204&lt;&gt;"")*(B_Drainage!$A$5:$A$204&lt;=$B722)*(B_Drainage!$B$5:$B$204&gt;$B722)*(B_Drainage!$K$5:$K$204&lt;&gt;"")),IF(B_Drainage!$K$5:$K$204="-","",B_Drainage!$K$5:$K$204)),"")</f>
        <v/>
      </c>
      <c r="AC722" s="182" t="str">
        <f>IFERROR(LOOKUP(2,1/((B_Drainage!$A$5:$A$204&lt;&gt;"")*(B_Drainage!$A$5:$A$204&lt;=$B722)*(B_Drainage!$B$5:$B$204&gt;$B722)*(B_Drainage!$L$5:$L$204&lt;&gt;"")),IF(B_Drainage!$L$5:$L$204="-","",B_Drainage!$L$5:$L$204)),"")</f>
        <v/>
      </c>
      <c r="AD722" s="182" t="str">
        <f>IFERROR(LOOKUP(2,1/((D_Points!$A$5:$A$204&lt;&gt;"")*(D_Points!$A$5:$A$204&gt;=$B722)*(D_Points!$A$5:$A$204&lt;$B722+P_Interval)*(UPPER(TRIM(D_Points!$B$5:$B$204))="TURNOUT_L")*(D_Points!$H$5:$H$204&lt;&gt;"")),D_Points!$H$5:$H$204),"")</f>
        <v/>
      </c>
      <c r="AE722" s="182" t="str">
        <f>IFERROR(LOOKUP(2,1/((D_Points!$A$5:$A$204&lt;&gt;"")*(D_Points!$A$5:$A$204&gt;=$B722)*(D_Points!$A$5:$A$204&lt;$B722+P_Interval)*(UPPER(TRIM(D_Points!$B$5:$B$204))="TURNOUT_R")*(D_Points!$H$5:$H$204&lt;&gt;"")),D_Points!$H$5:$H$204),"")</f>
        <v/>
      </c>
      <c r="AF722" s="181" t="str">
        <f>IFERROR(LOOKUP(2,1/((B_Drainage!$A$5:$A$204&lt;&gt;"")*(B_Drainage!$A$5:$A$204&lt;=$B722)*(B_Drainage!$B$5:$B$204&gt;$B722)*(B_Drainage!$M$5:$M$204&lt;&gt;"")),IF(UPPER(B_Drainage!$M$5:$M$204)="Y",1,"")),"")</f>
        <v/>
      </c>
      <c r="AG722" s="181" t="str">
        <f>IFERROR(LOOKUP(2,1/((B_Drainage!$A$5:$A$204&lt;&gt;"")*(B_Drainage!$A$5:$A$204&lt;=$B722)*(B_Drainage!$B$5:$B$204&gt;$B722)*(B_Drainage!$N$5:$N$204&lt;&gt;"")),IF(UPPER(B_Drainage!$N$5:$N$204)="Y",1,"")),"")</f>
        <v/>
      </c>
      <c r="AH722" s="181" t="str">
        <f t="shared" si="88"/>
        <v/>
      </c>
      <c r="AI722" s="181" t="str">
        <f t="shared" si="89"/>
        <v/>
      </c>
      <c r="AJ722" s="181" t="str">
        <f t="shared" si="90"/>
        <v/>
      </c>
      <c r="AK722" s="181" t="str">
        <f t="shared" si="91"/>
        <v/>
      </c>
      <c r="AL722" s="181" t="str">
        <f t="shared" si="92"/>
        <v/>
      </c>
      <c r="AM722" s="181" t="str">
        <f t="shared" si="93"/>
        <v/>
      </c>
      <c r="AN722" s="181" t="str">
        <f t="shared" si="94"/>
        <v/>
      </c>
      <c r="AO722" s="192" t="str">
        <f t="shared" si="95"/>
        <v/>
      </c>
      <c r="AQ722" t="str">
        <f>IFERROR(LOOKUP(2,1/((C_Pavement!$A$5:$A$204&lt;&gt;"")*(C_Pavement!$A$5:$A$204&lt;=$B722)*(C_Pavement!$B$5:$B$204&gt;$B722)*(C_Pavement!$C$5:$C$204&lt;&gt;"")),ROW(C_Pavement!$C$5:$C$204)-4),"")</f>
        <v/>
      </c>
      <c r="AR722" t="str">
        <f>IF($AQ722="","",UPPER(TRIM(INDEX(C_Pavement!$C$5:$C$204,$AQ722))))</f>
        <v/>
      </c>
      <c r="AS722" t="str">
        <f>IF($AR722="","",IFERROR(MATCH($AR722,E_Rules!$A$5:$A$9,0),""))</f>
        <v/>
      </c>
      <c r="AT722" t="str">
        <f>IF($AQ722="","",IF(INDEX(C_Pavement!$D$5:$D$204,$AQ722)&lt;&gt;"",UPPER(TRIM(INDEX(C_Pavement!$D$5:$D$204,$AQ722))),IF($AS722="","",INDEX(E_Rules!$C$5:$C$9,$AS722))))</f>
        <v/>
      </c>
      <c r="AU722" t="str">
        <f>IF($AQ722="","",IF(INDEX(C_Pavement!$E$5:$E$204,$AQ722)&lt;&gt;"",IF(INDEX(C_Pavement!$E$5:$E$204,$AQ722)="-","",INDEX(C_Pavement!$E$5:$E$204,$AQ722)),IF($AS722="","",INDEX(E_Rules!$D$5:$D$9,$AS722))))</f>
        <v/>
      </c>
      <c r="AV722" t="str">
        <f>IF($AQ722="","",IF(INDEX(C_Pavement!$F$5:$F$204,$AQ722)&lt;&gt;"",IF(INDEX(C_Pavement!$F$5:$F$204,$AQ722)="-","",INDEX(C_Pavement!$F$5:$F$204,$AQ722)),IF($AS722="","",INDEX(E_Rules!$E$5:$E$9,$AS722))))</f>
        <v/>
      </c>
      <c r="AW722" t="str">
        <f>IF($AQ722="","",IF(INDEX(C_Pavement!$G$5:$G$204,$AQ722)&lt;&gt;"",IF(INDEX(C_Pavement!$G$5:$G$204,$AQ722)="-","",INDEX(C_Pavement!$G$5:$G$204,$AQ722)),IF($AS722="","",INDEX(E_Rules!$F$5:$F$9,$AS722))))</f>
        <v/>
      </c>
      <c r="AX722" t="str">
        <f>IF($AQ722="","",IF(INDEX(C_Pavement!$H$5:$H$204,$AQ722)&lt;&gt;"",IF(INDEX(C_Pavement!$H$5:$H$204,$AQ722)="-","",INDEX(C_Pavement!$H$5:$H$204,$AQ722)),IF($AS722="","",INDEX(E_Rules!$G$5:$G$9,$AS722))))</f>
        <v/>
      </c>
      <c r="AY722" t="str">
        <f>IF($AQ722="","",IF(INDEX(C_Pavement!$I$5:$I$204,$AQ722)&lt;&gt;"",IF(INDEX(C_Pavement!$I$5:$I$204,$AQ722)="-","",INDEX(C_Pavement!$I$5:$I$204,$AQ722)),IF($AS722="","",INDEX(E_Rules!$H$5:$H$9,$AS722))))</f>
        <v/>
      </c>
    </row>
    <row r="723" spans="1:51" ht="15.75" customHeight="1" x14ac:dyDescent="0.3">
      <c r="A723" s="189">
        <v>718</v>
      </c>
      <c r="B723" s="180">
        <v>35850</v>
      </c>
      <c r="C723" s="180" t="s">
        <v>1029</v>
      </c>
      <c r="D723" s="181" t="str">
        <f>IFERROR(LOOKUP(2,1/((A_Corridor!$A$5:$A$204&lt;&gt;"")*(A_Corridor!$A$5:$A$204&lt;=$B723)*(A_Corridor!$B$5:$B$204&gt;$B723)*(A_Corridor!$C$5:$C$204&lt;&gt;"")),IF(UPPER(A_Corridor!$C$5:$C$204)="Y",1,"")),"")</f>
        <v/>
      </c>
      <c r="E723" s="181" t="str">
        <f>IFERROR(LOOKUP(2,1/((A_Corridor!$A$5:$A$204&lt;&gt;"")*(A_Corridor!$A$5:$A$204&lt;=$B723)*(A_Corridor!$B$5:$B$204&gt;$B723)*(A_Corridor!$D$5:$D$204&lt;&gt;"")),IF(A_Corridor!$D$5:$D$204="-","",UPPER(A_Corridor!$D$5:$D$204))),"")</f>
        <v/>
      </c>
      <c r="F723" s="181" t="str">
        <f>IFERROR(LOOKUP(2,1/((A_Corridor!$A$5:$A$204&lt;&gt;"")*(A_Corridor!$A$5:$A$204&lt;=$B723)*(A_Corridor!$B$5:$B$204&gt;$B723)*(A_Corridor!$E$5:$E$204&lt;&gt;"")),IF(A_Corridor!$E$5:$E$204="-","",1)),"")</f>
        <v/>
      </c>
      <c r="G723" s="182" t="str">
        <f>IFERROR(LOOKUP(2,1/((A_Corridor!$A$5:$A$204&lt;&gt;"")*(A_Corridor!$A$5:$A$204&lt;=$B723)*(A_Corridor!$B$5:$B$204&gt;$B723)*(A_Corridor!$E$5:$E$204&lt;&gt;"")),IF(A_Corridor!$E$5:$E$204="-","",A_Corridor!$E$5:$E$204)),"")</f>
        <v/>
      </c>
      <c r="H723" s="182" t="str">
        <f>IFERROR(LOOKUP(2,1/((D_Points!$A$5:$A$204&lt;&gt;"")*(D_Points!$A$5:$A$204&gt;=$B723)*(D_Points!$A$5:$A$204&lt;$B723+P_Interval)*(UPPER(TRIM(D_Points!$B$5:$B$204))="GULLY")*(D_Points!$H$5:$H$204&lt;&gt;"")),D_Points!$H$5:$H$204),"")</f>
        <v/>
      </c>
      <c r="I723" s="181" t="str">
        <f>IFERROR(LOOKUP(2,1/((A_Corridor!$A$5:$A$204&lt;&gt;"")*(A_Corridor!$A$5:$A$204&lt;=$B723)*(A_Corridor!$B$5:$B$204&gt;$B723)*(A_Corridor!$F$5:$F$204&lt;&gt;"")),IF(A_Corridor!$F$5:$F$204="-","",1)),"")</f>
        <v/>
      </c>
      <c r="J723" s="182" t="str">
        <f>IFERROR(LOOKUP(2,1/((A_Corridor!$A$5:$A$204&lt;&gt;"")*(A_Corridor!$A$5:$A$204&lt;=$B723)*(A_Corridor!$B$5:$B$204&gt;$B723)*(A_Corridor!$F$5:$F$204&lt;&gt;"")),IF(A_Corridor!$F$5:$F$204="-","",A_Corridor!$F$5:$F$204)),"")</f>
        <v/>
      </c>
      <c r="K723" s="182" t="str">
        <f>IFERROR(LOOKUP(2,1/((A_Corridor!$A$5:$A$204&lt;&gt;"")*(A_Corridor!$A$5:$A$204&lt;=$B723)*(A_Corridor!$B$5:$B$204&gt;$B723)*(A_Corridor!$G$5:$G$204&lt;&gt;"")),IF(A_Corridor!$G$5:$G$204="-","",A_Corridor!$G$5:$G$204)),"")</f>
        <v/>
      </c>
      <c r="L723" s="181" t="str">
        <f>IFERROR(LOOKUP(2,1/((A_Corridor!$A$5:$A$204&lt;&gt;"")*(A_Corridor!$A$5:$A$204&lt;=$B723)*(A_Corridor!$B$5:$B$204&gt;$B723)*(A_Corridor!$H$5:$H$204&lt;&gt;"")),IF(A_Corridor!$H$5:$H$204="-","",1)),"")</f>
        <v/>
      </c>
      <c r="M723" s="182" t="str">
        <f>IFERROR(LOOKUP(2,1/((A_Corridor!$A$5:$A$204&lt;&gt;"")*(A_Corridor!$A$5:$A$204&lt;=$B723)*(A_Corridor!$B$5:$B$204&gt;$B723)*(A_Corridor!$H$5:$H$204&lt;&gt;"")),IF(A_Corridor!$H$5:$H$204="-","",A_Corridor!$H$5:$H$204)),"")</f>
        <v/>
      </c>
      <c r="N723" s="182" t="str">
        <f>IFERROR(LOOKUP(2,1/((A_Corridor!$A$5:$A$204&lt;&gt;"")*(A_Corridor!$A$5:$A$204&lt;=$B723)*(A_Corridor!$B$5:$B$204&gt;$B723)*(A_Corridor!$I$5:$I$204&lt;&gt;"")),IF(A_Corridor!$I$5:$I$204="-","",A_Corridor!$I$5:$I$204)),"")</f>
        <v/>
      </c>
      <c r="O723" s="182" t="str">
        <f>IFERROR(LOOKUP(2,1/((D_Points!$A$5:$A$204&lt;&gt;"")*(D_Points!$A$5:$A$204&gt;=$B723)*(D_Points!$A$5:$A$204&lt;$B723+P_Interval)*(UPPER(TRIM(D_Points!$B$5:$B$204))="PITCHING")*(D_Points!$H$5:$H$204&lt;&gt;"")),D_Points!$H$5:$H$204),"")</f>
        <v/>
      </c>
      <c r="P723" s="181" t="str">
        <f>IFERROR(LOOKUP(2,1/((B_Drainage!$A$5:$A$204&lt;&gt;"")*(B_Drainage!$A$5:$A$204&lt;=$B723)*(B_Drainage!$B$5:$B$204&gt;$B723)*(B_Drainage!$C$5:$C$204&lt;&gt;"")),IF(B_Drainage!$C$5:$C$204="-","",UPPER(B_Drainage!$C$5:$C$204))),"")</f>
        <v/>
      </c>
      <c r="Q723" s="181" t="str">
        <f>IFERROR(LOOKUP(2,1/((B_Drainage!$A$5:$A$204&lt;&gt;"")*(B_Drainage!$A$5:$A$204&lt;=$B723)*(B_Drainage!$B$5:$B$204&gt;$B723)*(B_Drainage!$D$5:$D$204&lt;&gt;"")),IF(B_Drainage!$D$5:$D$204="-","",UPPER(B_Drainage!$D$5:$D$204))),"")</f>
        <v/>
      </c>
      <c r="R723" s="182" t="str">
        <f>IFERROR(LOOKUP(2,1/((D_Points!$A$5:$A$204&lt;&gt;"")*(D_Points!$A$5:$A$204&gt;=$B723)*(D_Points!$A$5:$A$204&lt;$B723+P_Interval)*(RIGHT(UPPER(TRIM(D_Points!$B$5:$B$204)),8)="_CULVERT")),IF(LEFT(UPPER(TRIM(D_Points!$B$5:$B$204)),2)="EX",1,IF(LEFT(UPPER(TRIM(D_Points!$B$5:$B$204)),2)="PR",2,3))),"")</f>
        <v/>
      </c>
      <c r="S723" s="182" t="str">
        <f>IFERROR(LOOKUP(2,1/((D_Points!$A$5:$A$204&lt;&gt;"")*(D_Points!$A$5:$A$204&gt;=$B723)*(D_Points!$A$5:$A$204&lt;$B723+P_Interval)*(RIGHT(UPPER(TRIM(D_Points!$B$5:$B$204)),7)="_BRIDGE")),IF(LEFT(UPPER(TRIM(D_Points!$B$5:$B$204)),2)="EX",1,IF(LEFT(UPPER(TRIM(D_Points!$B$5:$B$204)),2)="PR",2,2))),"")</f>
        <v/>
      </c>
      <c r="T723" s="181" t="str">
        <f>IFERROR(LOOKUP(2,1/((B_Drainage!$A$5:$A$204&lt;&gt;"")*(B_Drainage!$A$5:$A$204&lt;=$B723)*(B_Drainage!$B$5:$B$204&gt;$B723)*(B_Drainage!$E$5:$E$204&lt;&gt;"")),IF(B_Drainage!$E$5:$E$204="-","",1)),"")</f>
        <v/>
      </c>
      <c r="U723" s="181" t="str">
        <f>IFERROR(LOOKUP(2,1/((B_Drainage!$A$5:$A$204&lt;&gt;"")*(B_Drainage!$A$5:$A$204&lt;=$B723)*(B_Drainage!$B$5:$B$204&gt;$B723)*(B_Drainage!$E$5:$E$204&lt;&gt;"")),IF(B_Drainage!$E$5:$E$204="-","",B_Drainage!$E$5:$E$204)),"")</f>
        <v/>
      </c>
      <c r="V723" s="181" t="str">
        <f>IFERROR(LOOKUP(2,1/((B_Drainage!$A$5:$A$204&lt;&gt;"")*(B_Drainage!$A$5:$A$204&lt;=$B723)*(B_Drainage!$B$5:$B$204&gt;$B723)*(B_Drainage!$F$5:$F$204&lt;&gt;"")),IF(B_Drainage!$F$5:$F$204="-","",1)),"")</f>
        <v/>
      </c>
      <c r="W723" s="181" t="str">
        <f>IFERROR(LOOKUP(2,1/((B_Drainage!$A$5:$A$204&lt;&gt;"")*(B_Drainage!$A$5:$A$204&lt;=$B723)*(B_Drainage!$B$5:$B$204&gt;$B723)*(B_Drainage!$F$5:$F$204&lt;&gt;"")),IF(B_Drainage!$F$5:$F$204="-","",B_Drainage!$F$5:$F$204)),"")</f>
        <v/>
      </c>
      <c r="X723" s="181" t="str">
        <f>IFERROR(LOOKUP(2,1/((B_Drainage!$A$5:$A$204&lt;&gt;"")*(B_Drainage!$A$5:$A$204&lt;=$B723)*(B_Drainage!$B$5:$B$204&gt;$B723)*(B_Drainage!$G$5:$G$204&lt;&gt;"")),IF(UPPER(B_Drainage!$G$5:$G$204)="Y",1,"")),"")</f>
        <v/>
      </c>
      <c r="Y723" s="181" t="str">
        <f>IFERROR(LOOKUP(2,1/((B_Drainage!$A$5:$A$204&lt;&gt;"")*(B_Drainage!$A$5:$A$204&lt;=$B723)*(B_Drainage!$B$5:$B$204&gt;$B723)*(B_Drainage!$H$5:$H$204&lt;&gt;"")),IF(UPPER(B_Drainage!$H$5:$H$204)="Y",1,"")),"")</f>
        <v/>
      </c>
      <c r="Z723" s="181" t="str">
        <f>IFERROR(LOOKUP(2,1/((B_Drainage!$A$5:$A$204&lt;&gt;"")*(B_Drainage!$A$5:$A$204&lt;=$B723)*(B_Drainage!$B$5:$B$204&gt;$B723)*(B_Drainage!$I$5:$I$204&lt;&gt;"")),IF(UPPER(B_Drainage!$I$5:$I$204)="Y",1,"")),"")</f>
        <v/>
      </c>
      <c r="AA723" s="181" t="str">
        <f>IFERROR(LOOKUP(2,1/((B_Drainage!$A$5:$A$204&lt;&gt;"")*(B_Drainage!$A$5:$A$204&lt;=$B723)*(B_Drainage!$B$5:$B$204&gt;$B723)*(B_Drainage!$J$5:$J$204&lt;&gt;"")),IF(UPPER(B_Drainage!$J$5:$J$204)="Y",1,"")),"")</f>
        <v/>
      </c>
      <c r="AB723" s="182" t="str">
        <f>IFERROR(LOOKUP(2,1/((B_Drainage!$A$5:$A$204&lt;&gt;"")*(B_Drainage!$A$5:$A$204&lt;=$B723)*(B_Drainage!$B$5:$B$204&gt;$B723)*(B_Drainage!$K$5:$K$204&lt;&gt;"")),IF(B_Drainage!$K$5:$K$204="-","",B_Drainage!$K$5:$K$204)),"")</f>
        <v/>
      </c>
      <c r="AC723" s="182" t="str">
        <f>IFERROR(LOOKUP(2,1/((B_Drainage!$A$5:$A$204&lt;&gt;"")*(B_Drainage!$A$5:$A$204&lt;=$B723)*(B_Drainage!$B$5:$B$204&gt;$B723)*(B_Drainage!$L$5:$L$204&lt;&gt;"")),IF(B_Drainage!$L$5:$L$204="-","",B_Drainage!$L$5:$L$204)),"")</f>
        <v/>
      </c>
      <c r="AD723" s="182" t="str">
        <f>IFERROR(LOOKUP(2,1/((D_Points!$A$5:$A$204&lt;&gt;"")*(D_Points!$A$5:$A$204&gt;=$B723)*(D_Points!$A$5:$A$204&lt;$B723+P_Interval)*(UPPER(TRIM(D_Points!$B$5:$B$204))="TURNOUT_L")*(D_Points!$H$5:$H$204&lt;&gt;"")),D_Points!$H$5:$H$204),"")</f>
        <v/>
      </c>
      <c r="AE723" s="182" t="str">
        <f>IFERROR(LOOKUP(2,1/((D_Points!$A$5:$A$204&lt;&gt;"")*(D_Points!$A$5:$A$204&gt;=$B723)*(D_Points!$A$5:$A$204&lt;$B723+P_Interval)*(UPPER(TRIM(D_Points!$B$5:$B$204))="TURNOUT_R")*(D_Points!$H$5:$H$204&lt;&gt;"")),D_Points!$H$5:$H$204),"")</f>
        <v/>
      </c>
      <c r="AF723" s="181" t="str">
        <f>IFERROR(LOOKUP(2,1/((B_Drainage!$A$5:$A$204&lt;&gt;"")*(B_Drainage!$A$5:$A$204&lt;=$B723)*(B_Drainage!$B$5:$B$204&gt;$B723)*(B_Drainage!$M$5:$M$204&lt;&gt;"")),IF(UPPER(B_Drainage!$M$5:$M$204)="Y",1,"")),"")</f>
        <v/>
      </c>
      <c r="AG723" s="181" t="str">
        <f>IFERROR(LOOKUP(2,1/((B_Drainage!$A$5:$A$204&lt;&gt;"")*(B_Drainage!$A$5:$A$204&lt;=$B723)*(B_Drainage!$B$5:$B$204&gt;$B723)*(B_Drainage!$N$5:$N$204&lt;&gt;"")),IF(UPPER(B_Drainage!$N$5:$N$204)="Y",1,"")),"")</f>
        <v/>
      </c>
      <c r="AH723" s="181" t="str">
        <f t="shared" si="88"/>
        <v/>
      </c>
      <c r="AI723" s="181" t="str">
        <f t="shared" si="89"/>
        <v/>
      </c>
      <c r="AJ723" s="181" t="str">
        <f t="shared" si="90"/>
        <v/>
      </c>
      <c r="AK723" s="181" t="str">
        <f t="shared" si="91"/>
        <v/>
      </c>
      <c r="AL723" s="181" t="str">
        <f t="shared" si="92"/>
        <v/>
      </c>
      <c r="AM723" s="181" t="str">
        <f t="shared" si="93"/>
        <v/>
      </c>
      <c r="AN723" s="181" t="str">
        <f t="shared" si="94"/>
        <v/>
      </c>
      <c r="AO723" s="192" t="str">
        <f t="shared" si="95"/>
        <v/>
      </c>
      <c r="AQ723" t="str">
        <f>IFERROR(LOOKUP(2,1/((C_Pavement!$A$5:$A$204&lt;&gt;"")*(C_Pavement!$A$5:$A$204&lt;=$B723)*(C_Pavement!$B$5:$B$204&gt;$B723)*(C_Pavement!$C$5:$C$204&lt;&gt;"")),ROW(C_Pavement!$C$5:$C$204)-4),"")</f>
        <v/>
      </c>
      <c r="AR723" t="str">
        <f>IF($AQ723="","",UPPER(TRIM(INDEX(C_Pavement!$C$5:$C$204,$AQ723))))</f>
        <v/>
      </c>
      <c r="AS723" t="str">
        <f>IF($AR723="","",IFERROR(MATCH($AR723,E_Rules!$A$5:$A$9,0),""))</f>
        <v/>
      </c>
      <c r="AT723" t="str">
        <f>IF($AQ723="","",IF(INDEX(C_Pavement!$D$5:$D$204,$AQ723)&lt;&gt;"",UPPER(TRIM(INDEX(C_Pavement!$D$5:$D$204,$AQ723))),IF($AS723="","",INDEX(E_Rules!$C$5:$C$9,$AS723))))</f>
        <v/>
      </c>
      <c r="AU723" t="str">
        <f>IF($AQ723="","",IF(INDEX(C_Pavement!$E$5:$E$204,$AQ723)&lt;&gt;"",IF(INDEX(C_Pavement!$E$5:$E$204,$AQ723)="-","",INDEX(C_Pavement!$E$5:$E$204,$AQ723)),IF($AS723="","",INDEX(E_Rules!$D$5:$D$9,$AS723))))</f>
        <v/>
      </c>
      <c r="AV723" t="str">
        <f>IF($AQ723="","",IF(INDEX(C_Pavement!$F$5:$F$204,$AQ723)&lt;&gt;"",IF(INDEX(C_Pavement!$F$5:$F$204,$AQ723)="-","",INDEX(C_Pavement!$F$5:$F$204,$AQ723)),IF($AS723="","",INDEX(E_Rules!$E$5:$E$9,$AS723))))</f>
        <v/>
      </c>
      <c r="AW723" t="str">
        <f>IF($AQ723="","",IF(INDEX(C_Pavement!$G$5:$G$204,$AQ723)&lt;&gt;"",IF(INDEX(C_Pavement!$G$5:$G$204,$AQ723)="-","",INDEX(C_Pavement!$G$5:$G$204,$AQ723)),IF($AS723="","",INDEX(E_Rules!$F$5:$F$9,$AS723))))</f>
        <v/>
      </c>
      <c r="AX723" t="str">
        <f>IF($AQ723="","",IF(INDEX(C_Pavement!$H$5:$H$204,$AQ723)&lt;&gt;"",IF(INDEX(C_Pavement!$H$5:$H$204,$AQ723)="-","",INDEX(C_Pavement!$H$5:$H$204,$AQ723)),IF($AS723="","",INDEX(E_Rules!$G$5:$G$9,$AS723))))</f>
        <v/>
      </c>
      <c r="AY723" t="str">
        <f>IF($AQ723="","",IF(INDEX(C_Pavement!$I$5:$I$204,$AQ723)&lt;&gt;"",IF(INDEX(C_Pavement!$I$5:$I$204,$AQ723)="-","",INDEX(C_Pavement!$I$5:$I$204,$AQ723)),IF($AS723="","",INDEX(E_Rules!$H$5:$H$9,$AS723))))</f>
        <v/>
      </c>
    </row>
    <row r="724" spans="1:51" ht="15.75" customHeight="1" x14ac:dyDescent="0.3">
      <c r="A724" s="189">
        <v>719</v>
      </c>
      <c r="B724" s="180">
        <v>35900</v>
      </c>
      <c r="C724" s="180" t="s">
        <v>1030</v>
      </c>
      <c r="D724" s="181" t="str">
        <f>IFERROR(LOOKUP(2,1/((A_Corridor!$A$5:$A$204&lt;&gt;"")*(A_Corridor!$A$5:$A$204&lt;=$B724)*(A_Corridor!$B$5:$B$204&gt;$B724)*(A_Corridor!$C$5:$C$204&lt;&gt;"")),IF(UPPER(A_Corridor!$C$5:$C$204)="Y",1,"")),"")</f>
        <v/>
      </c>
      <c r="E724" s="181" t="str">
        <f>IFERROR(LOOKUP(2,1/((A_Corridor!$A$5:$A$204&lt;&gt;"")*(A_Corridor!$A$5:$A$204&lt;=$B724)*(A_Corridor!$B$5:$B$204&gt;$B724)*(A_Corridor!$D$5:$D$204&lt;&gt;"")),IF(A_Corridor!$D$5:$D$204="-","",UPPER(A_Corridor!$D$5:$D$204))),"")</f>
        <v/>
      </c>
      <c r="F724" s="181" t="str">
        <f>IFERROR(LOOKUP(2,1/((A_Corridor!$A$5:$A$204&lt;&gt;"")*(A_Corridor!$A$5:$A$204&lt;=$B724)*(A_Corridor!$B$5:$B$204&gt;$B724)*(A_Corridor!$E$5:$E$204&lt;&gt;"")),IF(A_Corridor!$E$5:$E$204="-","",1)),"")</f>
        <v/>
      </c>
      <c r="G724" s="182" t="str">
        <f>IFERROR(LOOKUP(2,1/((A_Corridor!$A$5:$A$204&lt;&gt;"")*(A_Corridor!$A$5:$A$204&lt;=$B724)*(A_Corridor!$B$5:$B$204&gt;$B724)*(A_Corridor!$E$5:$E$204&lt;&gt;"")),IF(A_Corridor!$E$5:$E$204="-","",A_Corridor!$E$5:$E$204)),"")</f>
        <v/>
      </c>
      <c r="H724" s="182" t="str">
        <f>IFERROR(LOOKUP(2,1/((D_Points!$A$5:$A$204&lt;&gt;"")*(D_Points!$A$5:$A$204&gt;=$B724)*(D_Points!$A$5:$A$204&lt;$B724+P_Interval)*(UPPER(TRIM(D_Points!$B$5:$B$204))="GULLY")*(D_Points!$H$5:$H$204&lt;&gt;"")),D_Points!$H$5:$H$204),"")</f>
        <v/>
      </c>
      <c r="I724" s="181" t="str">
        <f>IFERROR(LOOKUP(2,1/((A_Corridor!$A$5:$A$204&lt;&gt;"")*(A_Corridor!$A$5:$A$204&lt;=$B724)*(A_Corridor!$B$5:$B$204&gt;$B724)*(A_Corridor!$F$5:$F$204&lt;&gt;"")),IF(A_Corridor!$F$5:$F$204="-","",1)),"")</f>
        <v/>
      </c>
      <c r="J724" s="182" t="str">
        <f>IFERROR(LOOKUP(2,1/((A_Corridor!$A$5:$A$204&lt;&gt;"")*(A_Corridor!$A$5:$A$204&lt;=$B724)*(A_Corridor!$B$5:$B$204&gt;$B724)*(A_Corridor!$F$5:$F$204&lt;&gt;"")),IF(A_Corridor!$F$5:$F$204="-","",A_Corridor!$F$5:$F$204)),"")</f>
        <v/>
      </c>
      <c r="K724" s="182" t="str">
        <f>IFERROR(LOOKUP(2,1/((A_Corridor!$A$5:$A$204&lt;&gt;"")*(A_Corridor!$A$5:$A$204&lt;=$B724)*(A_Corridor!$B$5:$B$204&gt;$B724)*(A_Corridor!$G$5:$G$204&lt;&gt;"")),IF(A_Corridor!$G$5:$G$204="-","",A_Corridor!$G$5:$G$204)),"")</f>
        <v/>
      </c>
      <c r="L724" s="181" t="str">
        <f>IFERROR(LOOKUP(2,1/((A_Corridor!$A$5:$A$204&lt;&gt;"")*(A_Corridor!$A$5:$A$204&lt;=$B724)*(A_Corridor!$B$5:$B$204&gt;$B724)*(A_Corridor!$H$5:$H$204&lt;&gt;"")),IF(A_Corridor!$H$5:$H$204="-","",1)),"")</f>
        <v/>
      </c>
      <c r="M724" s="182" t="str">
        <f>IFERROR(LOOKUP(2,1/((A_Corridor!$A$5:$A$204&lt;&gt;"")*(A_Corridor!$A$5:$A$204&lt;=$B724)*(A_Corridor!$B$5:$B$204&gt;$B724)*(A_Corridor!$H$5:$H$204&lt;&gt;"")),IF(A_Corridor!$H$5:$H$204="-","",A_Corridor!$H$5:$H$204)),"")</f>
        <v/>
      </c>
      <c r="N724" s="182" t="str">
        <f>IFERROR(LOOKUP(2,1/((A_Corridor!$A$5:$A$204&lt;&gt;"")*(A_Corridor!$A$5:$A$204&lt;=$B724)*(A_Corridor!$B$5:$B$204&gt;$B724)*(A_Corridor!$I$5:$I$204&lt;&gt;"")),IF(A_Corridor!$I$5:$I$204="-","",A_Corridor!$I$5:$I$204)),"")</f>
        <v/>
      </c>
      <c r="O724" s="182" t="str">
        <f>IFERROR(LOOKUP(2,1/((D_Points!$A$5:$A$204&lt;&gt;"")*(D_Points!$A$5:$A$204&gt;=$B724)*(D_Points!$A$5:$A$204&lt;$B724+P_Interval)*(UPPER(TRIM(D_Points!$B$5:$B$204))="PITCHING")*(D_Points!$H$5:$H$204&lt;&gt;"")),D_Points!$H$5:$H$204),"")</f>
        <v/>
      </c>
      <c r="P724" s="181" t="str">
        <f>IFERROR(LOOKUP(2,1/((B_Drainage!$A$5:$A$204&lt;&gt;"")*(B_Drainage!$A$5:$A$204&lt;=$B724)*(B_Drainage!$B$5:$B$204&gt;$B724)*(B_Drainage!$C$5:$C$204&lt;&gt;"")),IF(B_Drainage!$C$5:$C$204="-","",UPPER(B_Drainage!$C$5:$C$204))),"")</f>
        <v/>
      </c>
      <c r="Q724" s="181" t="str">
        <f>IFERROR(LOOKUP(2,1/((B_Drainage!$A$5:$A$204&lt;&gt;"")*(B_Drainage!$A$5:$A$204&lt;=$B724)*(B_Drainage!$B$5:$B$204&gt;$B724)*(B_Drainage!$D$5:$D$204&lt;&gt;"")),IF(B_Drainage!$D$5:$D$204="-","",UPPER(B_Drainage!$D$5:$D$204))),"")</f>
        <v/>
      </c>
      <c r="R724" s="182" t="str">
        <f>IFERROR(LOOKUP(2,1/((D_Points!$A$5:$A$204&lt;&gt;"")*(D_Points!$A$5:$A$204&gt;=$B724)*(D_Points!$A$5:$A$204&lt;$B724+P_Interval)*(RIGHT(UPPER(TRIM(D_Points!$B$5:$B$204)),8)="_CULVERT")),IF(LEFT(UPPER(TRIM(D_Points!$B$5:$B$204)),2)="EX",1,IF(LEFT(UPPER(TRIM(D_Points!$B$5:$B$204)),2)="PR",2,3))),"")</f>
        <v/>
      </c>
      <c r="S724" s="182" t="str">
        <f>IFERROR(LOOKUP(2,1/((D_Points!$A$5:$A$204&lt;&gt;"")*(D_Points!$A$5:$A$204&gt;=$B724)*(D_Points!$A$5:$A$204&lt;$B724+P_Interval)*(RIGHT(UPPER(TRIM(D_Points!$B$5:$B$204)),7)="_BRIDGE")),IF(LEFT(UPPER(TRIM(D_Points!$B$5:$B$204)),2)="EX",1,IF(LEFT(UPPER(TRIM(D_Points!$B$5:$B$204)),2)="PR",2,2))),"")</f>
        <v/>
      </c>
      <c r="T724" s="181" t="str">
        <f>IFERROR(LOOKUP(2,1/((B_Drainage!$A$5:$A$204&lt;&gt;"")*(B_Drainage!$A$5:$A$204&lt;=$B724)*(B_Drainage!$B$5:$B$204&gt;$B724)*(B_Drainage!$E$5:$E$204&lt;&gt;"")),IF(B_Drainage!$E$5:$E$204="-","",1)),"")</f>
        <v/>
      </c>
      <c r="U724" s="181" t="str">
        <f>IFERROR(LOOKUP(2,1/((B_Drainage!$A$5:$A$204&lt;&gt;"")*(B_Drainage!$A$5:$A$204&lt;=$B724)*(B_Drainage!$B$5:$B$204&gt;$B724)*(B_Drainage!$E$5:$E$204&lt;&gt;"")),IF(B_Drainage!$E$5:$E$204="-","",B_Drainage!$E$5:$E$204)),"")</f>
        <v/>
      </c>
      <c r="V724" s="181" t="str">
        <f>IFERROR(LOOKUP(2,1/((B_Drainage!$A$5:$A$204&lt;&gt;"")*(B_Drainage!$A$5:$A$204&lt;=$B724)*(B_Drainage!$B$5:$B$204&gt;$B724)*(B_Drainage!$F$5:$F$204&lt;&gt;"")),IF(B_Drainage!$F$5:$F$204="-","",1)),"")</f>
        <v/>
      </c>
      <c r="W724" s="181" t="str">
        <f>IFERROR(LOOKUP(2,1/((B_Drainage!$A$5:$A$204&lt;&gt;"")*(B_Drainage!$A$5:$A$204&lt;=$B724)*(B_Drainage!$B$5:$B$204&gt;$B724)*(B_Drainage!$F$5:$F$204&lt;&gt;"")),IF(B_Drainage!$F$5:$F$204="-","",B_Drainage!$F$5:$F$204)),"")</f>
        <v/>
      </c>
      <c r="X724" s="181" t="str">
        <f>IFERROR(LOOKUP(2,1/((B_Drainage!$A$5:$A$204&lt;&gt;"")*(B_Drainage!$A$5:$A$204&lt;=$B724)*(B_Drainage!$B$5:$B$204&gt;$B724)*(B_Drainage!$G$5:$G$204&lt;&gt;"")),IF(UPPER(B_Drainage!$G$5:$G$204)="Y",1,"")),"")</f>
        <v/>
      </c>
      <c r="Y724" s="181" t="str">
        <f>IFERROR(LOOKUP(2,1/((B_Drainage!$A$5:$A$204&lt;&gt;"")*(B_Drainage!$A$5:$A$204&lt;=$B724)*(B_Drainage!$B$5:$B$204&gt;$B724)*(B_Drainage!$H$5:$H$204&lt;&gt;"")),IF(UPPER(B_Drainage!$H$5:$H$204)="Y",1,"")),"")</f>
        <v/>
      </c>
      <c r="Z724" s="181" t="str">
        <f>IFERROR(LOOKUP(2,1/((B_Drainage!$A$5:$A$204&lt;&gt;"")*(B_Drainage!$A$5:$A$204&lt;=$B724)*(B_Drainage!$B$5:$B$204&gt;$B724)*(B_Drainage!$I$5:$I$204&lt;&gt;"")),IF(UPPER(B_Drainage!$I$5:$I$204)="Y",1,"")),"")</f>
        <v/>
      </c>
      <c r="AA724" s="181" t="str">
        <f>IFERROR(LOOKUP(2,1/((B_Drainage!$A$5:$A$204&lt;&gt;"")*(B_Drainage!$A$5:$A$204&lt;=$B724)*(B_Drainage!$B$5:$B$204&gt;$B724)*(B_Drainage!$J$5:$J$204&lt;&gt;"")),IF(UPPER(B_Drainage!$J$5:$J$204)="Y",1,"")),"")</f>
        <v/>
      </c>
      <c r="AB724" s="182" t="str">
        <f>IFERROR(LOOKUP(2,1/((B_Drainage!$A$5:$A$204&lt;&gt;"")*(B_Drainage!$A$5:$A$204&lt;=$B724)*(B_Drainage!$B$5:$B$204&gt;$B724)*(B_Drainage!$K$5:$K$204&lt;&gt;"")),IF(B_Drainage!$K$5:$K$204="-","",B_Drainage!$K$5:$K$204)),"")</f>
        <v/>
      </c>
      <c r="AC724" s="182" t="str">
        <f>IFERROR(LOOKUP(2,1/((B_Drainage!$A$5:$A$204&lt;&gt;"")*(B_Drainage!$A$5:$A$204&lt;=$B724)*(B_Drainage!$B$5:$B$204&gt;$B724)*(B_Drainage!$L$5:$L$204&lt;&gt;"")),IF(B_Drainage!$L$5:$L$204="-","",B_Drainage!$L$5:$L$204)),"")</f>
        <v/>
      </c>
      <c r="AD724" s="182" t="str">
        <f>IFERROR(LOOKUP(2,1/((D_Points!$A$5:$A$204&lt;&gt;"")*(D_Points!$A$5:$A$204&gt;=$B724)*(D_Points!$A$5:$A$204&lt;$B724+P_Interval)*(UPPER(TRIM(D_Points!$B$5:$B$204))="TURNOUT_L")*(D_Points!$H$5:$H$204&lt;&gt;"")),D_Points!$H$5:$H$204),"")</f>
        <v/>
      </c>
      <c r="AE724" s="182" t="str">
        <f>IFERROR(LOOKUP(2,1/((D_Points!$A$5:$A$204&lt;&gt;"")*(D_Points!$A$5:$A$204&gt;=$B724)*(D_Points!$A$5:$A$204&lt;$B724+P_Interval)*(UPPER(TRIM(D_Points!$B$5:$B$204))="TURNOUT_R")*(D_Points!$H$5:$H$204&lt;&gt;"")),D_Points!$H$5:$H$204),"")</f>
        <v/>
      </c>
      <c r="AF724" s="181" t="str">
        <f>IFERROR(LOOKUP(2,1/((B_Drainage!$A$5:$A$204&lt;&gt;"")*(B_Drainage!$A$5:$A$204&lt;=$B724)*(B_Drainage!$B$5:$B$204&gt;$B724)*(B_Drainage!$M$5:$M$204&lt;&gt;"")),IF(UPPER(B_Drainage!$M$5:$M$204)="Y",1,"")),"")</f>
        <v/>
      </c>
      <c r="AG724" s="181" t="str">
        <f>IFERROR(LOOKUP(2,1/((B_Drainage!$A$5:$A$204&lt;&gt;"")*(B_Drainage!$A$5:$A$204&lt;=$B724)*(B_Drainage!$B$5:$B$204&gt;$B724)*(B_Drainage!$N$5:$N$204&lt;&gt;"")),IF(UPPER(B_Drainage!$N$5:$N$204)="Y",1,"")),"")</f>
        <v/>
      </c>
      <c r="AH724" s="181" t="str">
        <f t="shared" si="88"/>
        <v/>
      </c>
      <c r="AI724" s="181" t="str">
        <f t="shared" si="89"/>
        <v/>
      </c>
      <c r="AJ724" s="181" t="str">
        <f t="shared" si="90"/>
        <v/>
      </c>
      <c r="AK724" s="181" t="str">
        <f t="shared" si="91"/>
        <v/>
      </c>
      <c r="AL724" s="181" t="str">
        <f t="shared" si="92"/>
        <v/>
      </c>
      <c r="AM724" s="181" t="str">
        <f t="shared" si="93"/>
        <v/>
      </c>
      <c r="AN724" s="181" t="str">
        <f t="shared" si="94"/>
        <v/>
      </c>
      <c r="AO724" s="192" t="str">
        <f t="shared" si="95"/>
        <v/>
      </c>
      <c r="AQ724" t="str">
        <f>IFERROR(LOOKUP(2,1/((C_Pavement!$A$5:$A$204&lt;&gt;"")*(C_Pavement!$A$5:$A$204&lt;=$B724)*(C_Pavement!$B$5:$B$204&gt;$B724)*(C_Pavement!$C$5:$C$204&lt;&gt;"")),ROW(C_Pavement!$C$5:$C$204)-4),"")</f>
        <v/>
      </c>
      <c r="AR724" t="str">
        <f>IF($AQ724="","",UPPER(TRIM(INDEX(C_Pavement!$C$5:$C$204,$AQ724))))</f>
        <v/>
      </c>
      <c r="AS724" t="str">
        <f>IF($AR724="","",IFERROR(MATCH($AR724,E_Rules!$A$5:$A$9,0),""))</f>
        <v/>
      </c>
      <c r="AT724" t="str">
        <f>IF($AQ724="","",IF(INDEX(C_Pavement!$D$5:$D$204,$AQ724)&lt;&gt;"",UPPER(TRIM(INDEX(C_Pavement!$D$5:$D$204,$AQ724))),IF($AS724="","",INDEX(E_Rules!$C$5:$C$9,$AS724))))</f>
        <v/>
      </c>
      <c r="AU724" t="str">
        <f>IF($AQ724="","",IF(INDEX(C_Pavement!$E$5:$E$204,$AQ724)&lt;&gt;"",IF(INDEX(C_Pavement!$E$5:$E$204,$AQ724)="-","",INDEX(C_Pavement!$E$5:$E$204,$AQ724)),IF($AS724="","",INDEX(E_Rules!$D$5:$D$9,$AS724))))</f>
        <v/>
      </c>
      <c r="AV724" t="str">
        <f>IF($AQ724="","",IF(INDEX(C_Pavement!$F$5:$F$204,$AQ724)&lt;&gt;"",IF(INDEX(C_Pavement!$F$5:$F$204,$AQ724)="-","",INDEX(C_Pavement!$F$5:$F$204,$AQ724)),IF($AS724="","",INDEX(E_Rules!$E$5:$E$9,$AS724))))</f>
        <v/>
      </c>
      <c r="AW724" t="str">
        <f>IF($AQ724="","",IF(INDEX(C_Pavement!$G$5:$G$204,$AQ724)&lt;&gt;"",IF(INDEX(C_Pavement!$G$5:$G$204,$AQ724)="-","",INDEX(C_Pavement!$G$5:$G$204,$AQ724)),IF($AS724="","",INDEX(E_Rules!$F$5:$F$9,$AS724))))</f>
        <v/>
      </c>
      <c r="AX724" t="str">
        <f>IF($AQ724="","",IF(INDEX(C_Pavement!$H$5:$H$204,$AQ724)&lt;&gt;"",IF(INDEX(C_Pavement!$H$5:$H$204,$AQ724)="-","",INDEX(C_Pavement!$H$5:$H$204,$AQ724)),IF($AS724="","",INDEX(E_Rules!$G$5:$G$9,$AS724))))</f>
        <v/>
      </c>
      <c r="AY724" t="str">
        <f>IF($AQ724="","",IF(INDEX(C_Pavement!$I$5:$I$204,$AQ724)&lt;&gt;"",IF(INDEX(C_Pavement!$I$5:$I$204,$AQ724)="-","",INDEX(C_Pavement!$I$5:$I$204,$AQ724)),IF($AS724="","",INDEX(E_Rules!$H$5:$H$9,$AS724))))</f>
        <v/>
      </c>
    </row>
    <row r="725" spans="1:51" ht="15.75" customHeight="1" x14ac:dyDescent="0.3">
      <c r="A725" s="189">
        <v>720</v>
      </c>
      <c r="B725" s="180">
        <v>35950</v>
      </c>
      <c r="C725" s="180" t="s">
        <v>1031</v>
      </c>
      <c r="D725" s="181" t="str">
        <f>IFERROR(LOOKUP(2,1/((A_Corridor!$A$5:$A$204&lt;&gt;"")*(A_Corridor!$A$5:$A$204&lt;=$B725)*(A_Corridor!$B$5:$B$204&gt;$B725)*(A_Corridor!$C$5:$C$204&lt;&gt;"")),IF(UPPER(A_Corridor!$C$5:$C$204)="Y",1,"")),"")</f>
        <v/>
      </c>
      <c r="E725" s="181" t="str">
        <f>IFERROR(LOOKUP(2,1/((A_Corridor!$A$5:$A$204&lt;&gt;"")*(A_Corridor!$A$5:$A$204&lt;=$B725)*(A_Corridor!$B$5:$B$204&gt;$B725)*(A_Corridor!$D$5:$D$204&lt;&gt;"")),IF(A_Corridor!$D$5:$D$204="-","",UPPER(A_Corridor!$D$5:$D$204))),"")</f>
        <v/>
      </c>
      <c r="F725" s="181" t="str">
        <f>IFERROR(LOOKUP(2,1/((A_Corridor!$A$5:$A$204&lt;&gt;"")*(A_Corridor!$A$5:$A$204&lt;=$B725)*(A_Corridor!$B$5:$B$204&gt;$B725)*(A_Corridor!$E$5:$E$204&lt;&gt;"")),IF(A_Corridor!$E$5:$E$204="-","",1)),"")</f>
        <v/>
      </c>
      <c r="G725" s="182" t="str">
        <f>IFERROR(LOOKUP(2,1/((A_Corridor!$A$5:$A$204&lt;&gt;"")*(A_Corridor!$A$5:$A$204&lt;=$B725)*(A_Corridor!$B$5:$B$204&gt;$B725)*(A_Corridor!$E$5:$E$204&lt;&gt;"")),IF(A_Corridor!$E$5:$E$204="-","",A_Corridor!$E$5:$E$204)),"")</f>
        <v/>
      </c>
      <c r="H725" s="182" t="str">
        <f>IFERROR(LOOKUP(2,1/((D_Points!$A$5:$A$204&lt;&gt;"")*(D_Points!$A$5:$A$204&gt;=$B725)*(D_Points!$A$5:$A$204&lt;$B725+P_Interval)*(UPPER(TRIM(D_Points!$B$5:$B$204))="GULLY")*(D_Points!$H$5:$H$204&lt;&gt;"")),D_Points!$H$5:$H$204),"")</f>
        <v/>
      </c>
      <c r="I725" s="181" t="str">
        <f>IFERROR(LOOKUP(2,1/((A_Corridor!$A$5:$A$204&lt;&gt;"")*(A_Corridor!$A$5:$A$204&lt;=$B725)*(A_Corridor!$B$5:$B$204&gt;$B725)*(A_Corridor!$F$5:$F$204&lt;&gt;"")),IF(A_Corridor!$F$5:$F$204="-","",1)),"")</f>
        <v/>
      </c>
      <c r="J725" s="182" t="str">
        <f>IFERROR(LOOKUP(2,1/((A_Corridor!$A$5:$A$204&lt;&gt;"")*(A_Corridor!$A$5:$A$204&lt;=$B725)*(A_Corridor!$B$5:$B$204&gt;$B725)*(A_Corridor!$F$5:$F$204&lt;&gt;"")),IF(A_Corridor!$F$5:$F$204="-","",A_Corridor!$F$5:$F$204)),"")</f>
        <v/>
      </c>
      <c r="K725" s="182" t="str">
        <f>IFERROR(LOOKUP(2,1/((A_Corridor!$A$5:$A$204&lt;&gt;"")*(A_Corridor!$A$5:$A$204&lt;=$B725)*(A_Corridor!$B$5:$B$204&gt;$B725)*(A_Corridor!$G$5:$G$204&lt;&gt;"")),IF(A_Corridor!$G$5:$G$204="-","",A_Corridor!$G$5:$G$204)),"")</f>
        <v/>
      </c>
      <c r="L725" s="181" t="str">
        <f>IFERROR(LOOKUP(2,1/((A_Corridor!$A$5:$A$204&lt;&gt;"")*(A_Corridor!$A$5:$A$204&lt;=$B725)*(A_Corridor!$B$5:$B$204&gt;$B725)*(A_Corridor!$H$5:$H$204&lt;&gt;"")),IF(A_Corridor!$H$5:$H$204="-","",1)),"")</f>
        <v/>
      </c>
      <c r="M725" s="182" t="str">
        <f>IFERROR(LOOKUP(2,1/((A_Corridor!$A$5:$A$204&lt;&gt;"")*(A_Corridor!$A$5:$A$204&lt;=$B725)*(A_Corridor!$B$5:$B$204&gt;$B725)*(A_Corridor!$H$5:$H$204&lt;&gt;"")),IF(A_Corridor!$H$5:$H$204="-","",A_Corridor!$H$5:$H$204)),"")</f>
        <v/>
      </c>
      <c r="N725" s="182" t="str">
        <f>IFERROR(LOOKUP(2,1/((A_Corridor!$A$5:$A$204&lt;&gt;"")*(A_Corridor!$A$5:$A$204&lt;=$B725)*(A_Corridor!$B$5:$B$204&gt;$B725)*(A_Corridor!$I$5:$I$204&lt;&gt;"")),IF(A_Corridor!$I$5:$I$204="-","",A_Corridor!$I$5:$I$204)),"")</f>
        <v/>
      </c>
      <c r="O725" s="182" t="str">
        <f>IFERROR(LOOKUP(2,1/((D_Points!$A$5:$A$204&lt;&gt;"")*(D_Points!$A$5:$A$204&gt;=$B725)*(D_Points!$A$5:$A$204&lt;$B725+P_Interval)*(UPPER(TRIM(D_Points!$B$5:$B$204))="PITCHING")*(D_Points!$H$5:$H$204&lt;&gt;"")),D_Points!$H$5:$H$204),"")</f>
        <v/>
      </c>
      <c r="P725" s="181" t="str">
        <f>IFERROR(LOOKUP(2,1/((B_Drainage!$A$5:$A$204&lt;&gt;"")*(B_Drainage!$A$5:$A$204&lt;=$B725)*(B_Drainage!$B$5:$B$204&gt;$B725)*(B_Drainage!$C$5:$C$204&lt;&gt;"")),IF(B_Drainage!$C$5:$C$204="-","",UPPER(B_Drainage!$C$5:$C$204))),"")</f>
        <v/>
      </c>
      <c r="Q725" s="181" t="str">
        <f>IFERROR(LOOKUP(2,1/((B_Drainage!$A$5:$A$204&lt;&gt;"")*(B_Drainage!$A$5:$A$204&lt;=$B725)*(B_Drainage!$B$5:$B$204&gt;$B725)*(B_Drainage!$D$5:$D$204&lt;&gt;"")),IF(B_Drainage!$D$5:$D$204="-","",UPPER(B_Drainage!$D$5:$D$204))),"")</f>
        <v/>
      </c>
      <c r="R725" s="182" t="str">
        <f>IFERROR(LOOKUP(2,1/((D_Points!$A$5:$A$204&lt;&gt;"")*(D_Points!$A$5:$A$204&gt;=$B725)*(D_Points!$A$5:$A$204&lt;$B725+P_Interval)*(RIGHT(UPPER(TRIM(D_Points!$B$5:$B$204)),8)="_CULVERT")),IF(LEFT(UPPER(TRIM(D_Points!$B$5:$B$204)),2)="EX",1,IF(LEFT(UPPER(TRIM(D_Points!$B$5:$B$204)),2)="PR",2,3))),"")</f>
        <v/>
      </c>
      <c r="S725" s="182" t="str">
        <f>IFERROR(LOOKUP(2,1/((D_Points!$A$5:$A$204&lt;&gt;"")*(D_Points!$A$5:$A$204&gt;=$B725)*(D_Points!$A$5:$A$204&lt;$B725+P_Interval)*(RIGHT(UPPER(TRIM(D_Points!$B$5:$B$204)),7)="_BRIDGE")),IF(LEFT(UPPER(TRIM(D_Points!$B$5:$B$204)),2)="EX",1,IF(LEFT(UPPER(TRIM(D_Points!$B$5:$B$204)),2)="PR",2,2))),"")</f>
        <v/>
      </c>
      <c r="T725" s="181" t="str">
        <f>IFERROR(LOOKUP(2,1/((B_Drainage!$A$5:$A$204&lt;&gt;"")*(B_Drainage!$A$5:$A$204&lt;=$B725)*(B_Drainage!$B$5:$B$204&gt;$B725)*(B_Drainage!$E$5:$E$204&lt;&gt;"")),IF(B_Drainage!$E$5:$E$204="-","",1)),"")</f>
        <v/>
      </c>
      <c r="U725" s="181" t="str">
        <f>IFERROR(LOOKUP(2,1/((B_Drainage!$A$5:$A$204&lt;&gt;"")*(B_Drainage!$A$5:$A$204&lt;=$B725)*(B_Drainage!$B$5:$B$204&gt;$B725)*(B_Drainage!$E$5:$E$204&lt;&gt;"")),IF(B_Drainage!$E$5:$E$204="-","",B_Drainage!$E$5:$E$204)),"")</f>
        <v/>
      </c>
      <c r="V725" s="181" t="str">
        <f>IFERROR(LOOKUP(2,1/((B_Drainage!$A$5:$A$204&lt;&gt;"")*(B_Drainage!$A$5:$A$204&lt;=$B725)*(B_Drainage!$B$5:$B$204&gt;$B725)*(B_Drainage!$F$5:$F$204&lt;&gt;"")),IF(B_Drainage!$F$5:$F$204="-","",1)),"")</f>
        <v/>
      </c>
      <c r="W725" s="181" t="str">
        <f>IFERROR(LOOKUP(2,1/((B_Drainage!$A$5:$A$204&lt;&gt;"")*(B_Drainage!$A$5:$A$204&lt;=$B725)*(B_Drainage!$B$5:$B$204&gt;$B725)*(B_Drainage!$F$5:$F$204&lt;&gt;"")),IF(B_Drainage!$F$5:$F$204="-","",B_Drainage!$F$5:$F$204)),"")</f>
        <v/>
      </c>
      <c r="X725" s="181" t="str">
        <f>IFERROR(LOOKUP(2,1/((B_Drainage!$A$5:$A$204&lt;&gt;"")*(B_Drainage!$A$5:$A$204&lt;=$B725)*(B_Drainage!$B$5:$B$204&gt;$B725)*(B_Drainage!$G$5:$G$204&lt;&gt;"")),IF(UPPER(B_Drainage!$G$5:$G$204)="Y",1,"")),"")</f>
        <v/>
      </c>
      <c r="Y725" s="181" t="str">
        <f>IFERROR(LOOKUP(2,1/((B_Drainage!$A$5:$A$204&lt;&gt;"")*(B_Drainage!$A$5:$A$204&lt;=$B725)*(B_Drainage!$B$5:$B$204&gt;$B725)*(B_Drainage!$H$5:$H$204&lt;&gt;"")),IF(UPPER(B_Drainage!$H$5:$H$204)="Y",1,"")),"")</f>
        <v/>
      </c>
      <c r="Z725" s="181" t="str">
        <f>IFERROR(LOOKUP(2,1/((B_Drainage!$A$5:$A$204&lt;&gt;"")*(B_Drainage!$A$5:$A$204&lt;=$B725)*(B_Drainage!$B$5:$B$204&gt;$B725)*(B_Drainage!$I$5:$I$204&lt;&gt;"")),IF(UPPER(B_Drainage!$I$5:$I$204)="Y",1,"")),"")</f>
        <v/>
      </c>
      <c r="AA725" s="181" t="str">
        <f>IFERROR(LOOKUP(2,1/((B_Drainage!$A$5:$A$204&lt;&gt;"")*(B_Drainage!$A$5:$A$204&lt;=$B725)*(B_Drainage!$B$5:$B$204&gt;$B725)*(B_Drainage!$J$5:$J$204&lt;&gt;"")),IF(UPPER(B_Drainage!$J$5:$J$204)="Y",1,"")),"")</f>
        <v/>
      </c>
      <c r="AB725" s="182" t="str">
        <f>IFERROR(LOOKUP(2,1/((B_Drainage!$A$5:$A$204&lt;&gt;"")*(B_Drainage!$A$5:$A$204&lt;=$B725)*(B_Drainage!$B$5:$B$204&gt;$B725)*(B_Drainage!$K$5:$K$204&lt;&gt;"")),IF(B_Drainage!$K$5:$K$204="-","",B_Drainage!$K$5:$K$204)),"")</f>
        <v/>
      </c>
      <c r="AC725" s="182" t="str">
        <f>IFERROR(LOOKUP(2,1/((B_Drainage!$A$5:$A$204&lt;&gt;"")*(B_Drainage!$A$5:$A$204&lt;=$B725)*(B_Drainage!$B$5:$B$204&gt;$B725)*(B_Drainage!$L$5:$L$204&lt;&gt;"")),IF(B_Drainage!$L$5:$L$204="-","",B_Drainage!$L$5:$L$204)),"")</f>
        <v/>
      </c>
      <c r="AD725" s="182" t="str">
        <f>IFERROR(LOOKUP(2,1/((D_Points!$A$5:$A$204&lt;&gt;"")*(D_Points!$A$5:$A$204&gt;=$B725)*(D_Points!$A$5:$A$204&lt;$B725+P_Interval)*(UPPER(TRIM(D_Points!$B$5:$B$204))="TURNOUT_L")*(D_Points!$H$5:$H$204&lt;&gt;"")),D_Points!$H$5:$H$204),"")</f>
        <v/>
      </c>
      <c r="AE725" s="182" t="str">
        <f>IFERROR(LOOKUP(2,1/((D_Points!$A$5:$A$204&lt;&gt;"")*(D_Points!$A$5:$A$204&gt;=$B725)*(D_Points!$A$5:$A$204&lt;$B725+P_Interval)*(UPPER(TRIM(D_Points!$B$5:$B$204))="TURNOUT_R")*(D_Points!$H$5:$H$204&lt;&gt;"")),D_Points!$H$5:$H$204),"")</f>
        <v/>
      </c>
      <c r="AF725" s="181" t="str">
        <f>IFERROR(LOOKUP(2,1/((B_Drainage!$A$5:$A$204&lt;&gt;"")*(B_Drainage!$A$5:$A$204&lt;=$B725)*(B_Drainage!$B$5:$B$204&gt;$B725)*(B_Drainage!$M$5:$M$204&lt;&gt;"")),IF(UPPER(B_Drainage!$M$5:$M$204)="Y",1,"")),"")</f>
        <v/>
      </c>
      <c r="AG725" s="181" t="str">
        <f>IFERROR(LOOKUP(2,1/((B_Drainage!$A$5:$A$204&lt;&gt;"")*(B_Drainage!$A$5:$A$204&lt;=$B725)*(B_Drainage!$B$5:$B$204&gt;$B725)*(B_Drainage!$N$5:$N$204&lt;&gt;"")),IF(UPPER(B_Drainage!$N$5:$N$204)="Y",1,"")),"")</f>
        <v/>
      </c>
      <c r="AH725" s="181" t="str">
        <f t="shared" si="88"/>
        <v/>
      </c>
      <c r="AI725" s="181" t="str">
        <f t="shared" si="89"/>
        <v/>
      </c>
      <c r="AJ725" s="181" t="str">
        <f t="shared" si="90"/>
        <v/>
      </c>
      <c r="AK725" s="181" t="str">
        <f t="shared" si="91"/>
        <v/>
      </c>
      <c r="AL725" s="181" t="str">
        <f t="shared" si="92"/>
        <v/>
      </c>
      <c r="AM725" s="181" t="str">
        <f t="shared" si="93"/>
        <v/>
      </c>
      <c r="AN725" s="181" t="str">
        <f t="shared" si="94"/>
        <v/>
      </c>
      <c r="AO725" s="192" t="str">
        <f t="shared" si="95"/>
        <v/>
      </c>
      <c r="AQ725" t="str">
        <f>IFERROR(LOOKUP(2,1/((C_Pavement!$A$5:$A$204&lt;&gt;"")*(C_Pavement!$A$5:$A$204&lt;=$B725)*(C_Pavement!$B$5:$B$204&gt;$B725)*(C_Pavement!$C$5:$C$204&lt;&gt;"")),ROW(C_Pavement!$C$5:$C$204)-4),"")</f>
        <v/>
      </c>
      <c r="AR725" t="str">
        <f>IF($AQ725="","",UPPER(TRIM(INDEX(C_Pavement!$C$5:$C$204,$AQ725))))</f>
        <v/>
      </c>
      <c r="AS725" t="str">
        <f>IF($AR725="","",IFERROR(MATCH($AR725,E_Rules!$A$5:$A$9,0),""))</f>
        <v/>
      </c>
      <c r="AT725" t="str">
        <f>IF($AQ725="","",IF(INDEX(C_Pavement!$D$5:$D$204,$AQ725)&lt;&gt;"",UPPER(TRIM(INDEX(C_Pavement!$D$5:$D$204,$AQ725))),IF($AS725="","",INDEX(E_Rules!$C$5:$C$9,$AS725))))</f>
        <v/>
      </c>
      <c r="AU725" t="str">
        <f>IF($AQ725="","",IF(INDEX(C_Pavement!$E$5:$E$204,$AQ725)&lt;&gt;"",IF(INDEX(C_Pavement!$E$5:$E$204,$AQ725)="-","",INDEX(C_Pavement!$E$5:$E$204,$AQ725)),IF($AS725="","",INDEX(E_Rules!$D$5:$D$9,$AS725))))</f>
        <v/>
      </c>
      <c r="AV725" t="str">
        <f>IF($AQ725="","",IF(INDEX(C_Pavement!$F$5:$F$204,$AQ725)&lt;&gt;"",IF(INDEX(C_Pavement!$F$5:$F$204,$AQ725)="-","",INDEX(C_Pavement!$F$5:$F$204,$AQ725)),IF($AS725="","",INDEX(E_Rules!$E$5:$E$9,$AS725))))</f>
        <v/>
      </c>
      <c r="AW725" t="str">
        <f>IF($AQ725="","",IF(INDEX(C_Pavement!$G$5:$G$204,$AQ725)&lt;&gt;"",IF(INDEX(C_Pavement!$G$5:$G$204,$AQ725)="-","",INDEX(C_Pavement!$G$5:$G$204,$AQ725)),IF($AS725="","",INDEX(E_Rules!$F$5:$F$9,$AS725))))</f>
        <v/>
      </c>
      <c r="AX725" t="str">
        <f>IF($AQ725="","",IF(INDEX(C_Pavement!$H$5:$H$204,$AQ725)&lt;&gt;"",IF(INDEX(C_Pavement!$H$5:$H$204,$AQ725)="-","",INDEX(C_Pavement!$H$5:$H$204,$AQ725)),IF($AS725="","",INDEX(E_Rules!$G$5:$G$9,$AS725))))</f>
        <v/>
      </c>
      <c r="AY725" t="str">
        <f>IF($AQ725="","",IF(INDEX(C_Pavement!$I$5:$I$204,$AQ725)&lt;&gt;"",IF(INDEX(C_Pavement!$I$5:$I$204,$AQ725)="-","",INDEX(C_Pavement!$I$5:$I$204,$AQ725)),IF($AS725="","",INDEX(E_Rules!$H$5:$H$9,$AS725))))</f>
        <v/>
      </c>
    </row>
    <row r="726" spans="1:51" ht="15.75" customHeight="1" x14ac:dyDescent="0.3">
      <c r="A726" s="189">
        <v>721</v>
      </c>
      <c r="B726" s="180">
        <v>36000</v>
      </c>
      <c r="C726" s="180" t="s">
        <v>1032</v>
      </c>
      <c r="D726" s="181" t="str">
        <f>IFERROR(LOOKUP(2,1/((A_Corridor!$A$5:$A$204&lt;&gt;"")*(A_Corridor!$A$5:$A$204&lt;=$B726)*(A_Corridor!$B$5:$B$204&gt;$B726)*(A_Corridor!$C$5:$C$204&lt;&gt;"")),IF(UPPER(A_Corridor!$C$5:$C$204)="Y",1,"")),"")</f>
        <v/>
      </c>
      <c r="E726" s="181" t="str">
        <f>IFERROR(LOOKUP(2,1/((A_Corridor!$A$5:$A$204&lt;&gt;"")*(A_Corridor!$A$5:$A$204&lt;=$B726)*(A_Corridor!$B$5:$B$204&gt;$B726)*(A_Corridor!$D$5:$D$204&lt;&gt;"")),IF(A_Corridor!$D$5:$D$204="-","",UPPER(A_Corridor!$D$5:$D$204))),"")</f>
        <v/>
      </c>
      <c r="F726" s="181" t="str">
        <f>IFERROR(LOOKUP(2,1/((A_Corridor!$A$5:$A$204&lt;&gt;"")*(A_Corridor!$A$5:$A$204&lt;=$B726)*(A_Corridor!$B$5:$B$204&gt;$B726)*(A_Corridor!$E$5:$E$204&lt;&gt;"")),IF(A_Corridor!$E$5:$E$204="-","",1)),"")</f>
        <v/>
      </c>
      <c r="G726" s="182" t="str">
        <f>IFERROR(LOOKUP(2,1/((A_Corridor!$A$5:$A$204&lt;&gt;"")*(A_Corridor!$A$5:$A$204&lt;=$B726)*(A_Corridor!$B$5:$B$204&gt;$B726)*(A_Corridor!$E$5:$E$204&lt;&gt;"")),IF(A_Corridor!$E$5:$E$204="-","",A_Corridor!$E$5:$E$204)),"")</f>
        <v/>
      </c>
      <c r="H726" s="182" t="str">
        <f>IFERROR(LOOKUP(2,1/((D_Points!$A$5:$A$204&lt;&gt;"")*(D_Points!$A$5:$A$204&gt;=$B726)*(D_Points!$A$5:$A$204&lt;$B726+P_Interval)*(UPPER(TRIM(D_Points!$B$5:$B$204))="GULLY")*(D_Points!$H$5:$H$204&lt;&gt;"")),D_Points!$H$5:$H$204),"")</f>
        <v/>
      </c>
      <c r="I726" s="181" t="str">
        <f>IFERROR(LOOKUP(2,1/((A_Corridor!$A$5:$A$204&lt;&gt;"")*(A_Corridor!$A$5:$A$204&lt;=$B726)*(A_Corridor!$B$5:$B$204&gt;$B726)*(A_Corridor!$F$5:$F$204&lt;&gt;"")),IF(A_Corridor!$F$5:$F$204="-","",1)),"")</f>
        <v/>
      </c>
      <c r="J726" s="182" t="str">
        <f>IFERROR(LOOKUP(2,1/((A_Corridor!$A$5:$A$204&lt;&gt;"")*(A_Corridor!$A$5:$A$204&lt;=$B726)*(A_Corridor!$B$5:$B$204&gt;$B726)*(A_Corridor!$F$5:$F$204&lt;&gt;"")),IF(A_Corridor!$F$5:$F$204="-","",A_Corridor!$F$5:$F$204)),"")</f>
        <v/>
      </c>
      <c r="K726" s="182" t="str">
        <f>IFERROR(LOOKUP(2,1/((A_Corridor!$A$5:$A$204&lt;&gt;"")*(A_Corridor!$A$5:$A$204&lt;=$B726)*(A_Corridor!$B$5:$B$204&gt;$B726)*(A_Corridor!$G$5:$G$204&lt;&gt;"")),IF(A_Corridor!$G$5:$G$204="-","",A_Corridor!$G$5:$G$204)),"")</f>
        <v/>
      </c>
      <c r="L726" s="181" t="str">
        <f>IFERROR(LOOKUP(2,1/((A_Corridor!$A$5:$A$204&lt;&gt;"")*(A_Corridor!$A$5:$A$204&lt;=$B726)*(A_Corridor!$B$5:$B$204&gt;$B726)*(A_Corridor!$H$5:$H$204&lt;&gt;"")),IF(A_Corridor!$H$5:$H$204="-","",1)),"")</f>
        <v/>
      </c>
      <c r="M726" s="182" t="str">
        <f>IFERROR(LOOKUP(2,1/((A_Corridor!$A$5:$A$204&lt;&gt;"")*(A_Corridor!$A$5:$A$204&lt;=$B726)*(A_Corridor!$B$5:$B$204&gt;$B726)*(A_Corridor!$H$5:$H$204&lt;&gt;"")),IF(A_Corridor!$H$5:$H$204="-","",A_Corridor!$H$5:$H$204)),"")</f>
        <v/>
      </c>
      <c r="N726" s="182" t="str">
        <f>IFERROR(LOOKUP(2,1/((A_Corridor!$A$5:$A$204&lt;&gt;"")*(A_Corridor!$A$5:$A$204&lt;=$B726)*(A_Corridor!$B$5:$B$204&gt;$B726)*(A_Corridor!$I$5:$I$204&lt;&gt;"")),IF(A_Corridor!$I$5:$I$204="-","",A_Corridor!$I$5:$I$204)),"")</f>
        <v/>
      </c>
      <c r="O726" s="182" t="str">
        <f>IFERROR(LOOKUP(2,1/((D_Points!$A$5:$A$204&lt;&gt;"")*(D_Points!$A$5:$A$204&gt;=$B726)*(D_Points!$A$5:$A$204&lt;$B726+P_Interval)*(UPPER(TRIM(D_Points!$B$5:$B$204))="PITCHING")*(D_Points!$H$5:$H$204&lt;&gt;"")),D_Points!$H$5:$H$204),"")</f>
        <v/>
      </c>
      <c r="P726" s="181" t="str">
        <f>IFERROR(LOOKUP(2,1/((B_Drainage!$A$5:$A$204&lt;&gt;"")*(B_Drainage!$A$5:$A$204&lt;=$B726)*(B_Drainage!$B$5:$B$204&gt;$B726)*(B_Drainage!$C$5:$C$204&lt;&gt;"")),IF(B_Drainage!$C$5:$C$204="-","",UPPER(B_Drainage!$C$5:$C$204))),"")</f>
        <v/>
      </c>
      <c r="Q726" s="181" t="str">
        <f>IFERROR(LOOKUP(2,1/((B_Drainage!$A$5:$A$204&lt;&gt;"")*(B_Drainage!$A$5:$A$204&lt;=$B726)*(B_Drainage!$B$5:$B$204&gt;$B726)*(B_Drainage!$D$5:$D$204&lt;&gt;"")),IF(B_Drainage!$D$5:$D$204="-","",UPPER(B_Drainage!$D$5:$D$204))),"")</f>
        <v/>
      </c>
      <c r="R726" s="182" t="str">
        <f>IFERROR(LOOKUP(2,1/((D_Points!$A$5:$A$204&lt;&gt;"")*(D_Points!$A$5:$A$204&gt;=$B726)*(D_Points!$A$5:$A$204&lt;$B726+P_Interval)*(RIGHT(UPPER(TRIM(D_Points!$B$5:$B$204)),8)="_CULVERT")),IF(LEFT(UPPER(TRIM(D_Points!$B$5:$B$204)),2)="EX",1,IF(LEFT(UPPER(TRIM(D_Points!$B$5:$B$204)),2)="PR",2,3))),"")</f>
        <v/>
      </c>
      <c r="S726" s="182" t="str">
        <f>IFERROR(LOOKUP(2,1/((D_Points!$A$5:$A$204&lt;&gt;"")*(D_Points!$A$5:$A$204&gt;=$B726)*(D_Points!$A$5:$A$204&lt;$B726+P_Interval)*(RIGHT(UPPER(TRIM(D_Points!$B$5:$B$204)),7)="_BRIDGE")),IF(LEFT(UPPER(TRIM(D_Points!$B$5:$B$204)),2)="EX",1,IF(LEFT(UPPER(TRIM(D_Points!$B$5:$B$204)),2)="PR",2,2))),"")</f>
        <v/>
      </c>
      <c r="T726" s="181" t="str">
        <f>IFERROR(LOOKUP(2,1/((B_Drainage!$A$5:$A$204&lt;&gt;"")*(B_Drainage!$A$5:$A$204&lt;=$B726)*(B_Drainage!$B$5:$B$204&gt;$B726)*(B_Drainage!$E$5:$E$204&lt;&gt;"")),IF(B_Drainage!$E$5:$E$204="-","",1)),"")</f>
        <v/>
      </c>
      <c r="U726" s="181" t="str">
        <f>IFERROR(LOOKUP(2,1/((B_Drainage!$A$5:$A$204&lt;&gt;"")*(B_Drainage!$A$5:$A$204&lt;=$B726)*(B_Drainage!$B$5:$B$204&gt;$B726)*(B_Drainage!$E$5:$E$204&lt;&gt;"")),IF(B_Drainage!$E$5:$E$204="-","",B_Drainage!$E$5:$E$204)),"")</f>
        <v/>
      </c>
      <c r="V726" s="181" t="str">
        <f>IFERROR(LOOKUP(2,1/((B_Drainage!$A$5:$A$204&lt;&gt;"")*(B_Drainage!$A$5:$A$204&lt;=$B726)*(B_Drainage!$B$5:$B$204&gt;$B726)*(B_Drainage!$F$5:$F$204&lt;&gt;"")),IF(B_Drainage!$F$5:$F$204="-","",1)),"")</f>
        <v/>
      </c>
      <c r="W726" s="181" t="str">
        <f>IFERROR(LOOKUP(2,1/((B_Drainage!$A$5:$A$204&lt;&gt;"")*(B_Drainage!$A$5:$A$204&lt;=$B726)*(B_Drainage!$B$5:$B$204&gt;$B726)*(B_Drainage!$F$5:$F$204&lt;&gt;"")),IF(B_Drainage!$F$5:$F$204="-","",B_Drainage!$F$5:$F$204)),"")</f>
        <v/>
      </c>
      <c r="X726" s="181" t="str">
        <f>IFERROR(LOOKUP(2,1/((B_Drainage!$A$5:$A$204&lt;&gt;"")*(B_Drainage!$A$5:$A$204&lt;=$B726)*(B_Drainage!$B$5:$B$204&gt;$B726)*(B_Drainage!$G$5:$G$204&lt;&gt;"")),IF(UPPER(B_Drainage!$G$5:$G$204)="Y",1,"")),"")</f>
        <v/>
      </c>
      <c r="Y726" s="181" t="str">
        <f>IFERROR(LOOKUP(2,1/((B_Drainage!$A$5:$A$204&lt;&gt;"")*(B_Drainage!$A$5:$A$204&lt;=$B726)*(B_Drainage!$B$5:$B$204&gt;$B726)*(B_Drainage!$H$5:$H$204&lt;&gt;"")),IF(UPPER(B_Drainage!$H$5:$H$204)="Y",1,"")),"")</f>
        <v/>
      </c>
      <c r="Z726" s="181" t="str">
        <f>IFERROR(LOOKUP(2,1/((B_Drainage!$A$5:$A$204&lt;&gt;"")*(B_Drainage!$A$5:$A$204&lt;=$B726)*(B_Drainage!$B$5:$B$204&gt;$B726)*(B_Drainage!$I$5:$I$204&lt;&gt;"")),IF(UPPER(B_Drainage!$I$5:$I$204)="Y",1,"")),"")</f>
        <v/>
      </c>
      <c r="AA726" s="181" t="str">
        <f>IFERROR(LOOKUP(2,1/((B_Drainage!$A$5:$A$204&lt;&gt;"")*(B_Drainage!$A$5:$A$204&lt;=$B726)*(B_Drainage!$B$5:$B$204&gt;$B726)*(B_Drainage!$J$5:$J$204&lt;&gt;"")),IF(UPPER(B_Drainage!$J$5:$J$204)="Y",1,"")),"")</f>
        <v/>
      </c>
      <c r="AB726" s="182" t="str">
        <f>IFERROR(LOOKUP(2,1/((B_Drainage!$A$5:$A$204&lt;&gt;"")*(B_Drainage!$A$5:$A$204&lt;=$B726)*(B_Drainage!$B$5:$B$204&gt;$B726)*(B_Drainage!$K$5:$K$204&lt;&gt;"")),IF(B_Drainage!$K$5:$K$204="-","",B_Drainage!$K$5:$K$204)),"")</f>
        <v/>
      </c>
      <c r="AC726" s="182" t="str">
        <f>IFERROR(LOOKUP(2,1/((B_Drainage!$A$5:$A$204&lt;&gt;"")*(B_Drainage!$A$5:$A$204&lt;=$B726)*(B_Drainage!$B$5:$B$204&gt;$B726)*(B_Drainage!$L$5:$L$204&lt;&gt;"")),IF(B_Drainage!$L$5:$L$204="-","",B_Drainage!$L$5:$L$204)),"")</f>
        <v/>
      </c>
      <c r="AD726" s="182" t="str">
        <f>IFERROR(LOOKUP(2,1/((D_Points!$A$5:$A$204&lt;&gt;"")*(D_Points!$A$5:$A$204&gt;=$B726)*(D_Points!$A$5:$A$204&lt;$B726+P_Interval)*(UPPER(TRIM(D_Points!$B$5:$B$204))="TURNOUT_L")*(D_Points!$H$5:$H$204&lt;&gt;"")),D_Points!$H$5:$H$204),"")</f>
        <v/>
      </c>
      <c r="AE726" s="182" t="str">
        <f>IFERROR(LOOKUP(2,1/((D_Points!$A$5:$A$204&lt;&gt;"")*(D_Points!$A$5:$A$204&gt;=$B726)*(D_Points!$A$5:$A$204&lt;$B726+P_Interval)*(UPPER(TRIM(D_Points!$B$5:$B$204))="TURNOUT_R")*(D_Points!$H$5:$H$204&lt;&gt;"")),D_Points!$H$5:$H$204),"")</f>
        <v/>
      </c>
      <c r="AF726" s="181" t="str">
        <f>IFERROR(LOOKUP(2,1/((B_Drainage!$A$5:$A$204&lt;&gt;"")*(B_Drainage!$A$5:$A$204&lt;=$B726)*(B_Drainage!$B$5:$B$204&gt;$B726)*(B_Drainage!$M$5:$M$204&lt;&gt;"")),IF(UPPER(B_Drainage!$M$5:$M$204)="Y",1,"")),"")</f>
        <v/>
      </c>
      <c r="AG726" s="181" t="str">
        <f>IFERROR(LOOKUP(2,1/((B_Drainage!$A$5:$A$204&lt;&gt;"")*(B_Drainage!$A$5:$A$204&lt;=$B726)*(B_Drainage!$B$5:$B$204&gt;$B726)*(B_Drainage!$N$5:$N$204&lt;&gt;"")),IF(UPPER(B_Drainage!$N$5:$N$204)="Y",1,"")),"")</f>
        <v/>
      </c>
      <c r="AH726" s="181" t="str">
        <f t="shared" si="88"/>
        <v/>
      </c>
      <c r="AI726" s="181" t="str">
        <f t="shared" si="89"/>
        <v/>
      </c>
      <c r="AJ726" s="181" t="str">
        <f t="shared" si="90"/>
        <v/>
      </c>
      <c r="AK726" s="181" t="str">
        <f t="shared" si="91"/>
        <v/>
      </c>
      <c r="AL726" s="181" t="str">
        <f t="shared" si="92"/>
        <v/>
      </c>
      <c r="AM726" s="181" t="str">
        <f t="shared" si="93"/>
        <v/>
      </c>
      <c r="AN726" s="181" t="str">
        <f t="shared" si="94"/>
        <v/>
      </c>
      <c r="AO726" s="192" t="str">
        <f t="shared" si="95"/>
        <v/>
      </c>
      <c r="AQ726" t="str">
        <f>IFERROR(LOOKUP(2,1/((C_Pavement!$A$5:$A$204&lt;&gt;"")*(C_Pavement!$A$5:$A$204&lt;=$B726)*(C_Pavement!$B$5:$B$204&gt;$B726)*(C_Pavement!$C$5:$C$204&lt;&gt;"")),ROW(C_Pavement!$C$5:$C$204)-4),"")</f>
        <v/>
      </c>
      <c r="AR726" t="str">
        <f>IF($AQ726="","",UPPER(TRIM(INDEX(C_Pavement!$C$5:$C$204,$AQ726))))</f>
        <v/>
      </c>
      <c r="AS726" t="str">
        <f>IF($AR726="","",IFERROR(MATCH($AR726,E_Rules!$A$5:$A$9,0),""))</f>
        <v/>
      </c>
      <c r="AT726" t="str">
        <f>IF($AQ726="","",IF(INDEX(C_Pavement!$D$5:$D$204,$AQ726)&lt;&gt;"",UPPER(TRIM(INDEX(C_Pavement!$D$5:$D$204,$AQ726))),IF($AS726="","",INDEX(E_Rules!$C$5:$C$9,$AS726))))</f>
        <v/>
      </c>
      <c r="AU726" t="str">
        <f>IF($AQ726="","",IF(INDEX(C_Pavement!$E$5:$E$204,$AQ726)&lt;&gt;"",IF(INDEX(C_Pavement!$E$5:$E$204,$AQ726)="-","",INDEX(C_Pavement!$E$5:$E$204,$AQ726)),IF($AS726="","",INDEX(E_Rules!$D$5:$D$9,$AS726))))</f>
        <v/>
      </c>
      <c r="AV726" t="str">
        <f>IF($AQ726="","",IF(INDEX(C_Pavement!$F$5:$F$204,$AQ726)&lt;&gt;"",IF(INDEX(C_Pavement!$F$5:$F$204,$AQ726)="-","",INDEX(C_Pavement!$F$5:$F$204,$AQ726)),IF($AS726="","",INDEX(E_Rules!$E$5:$E$9,$AS726))))</f>
        <v/>
      </c>
      <c r="AW726" t="str">
        <f>IF($AQ726="","",IF(INDEX(C_Pavement!$G$5:$G$204,$AQ726)&lt;&gt;"",IF(INDEX(C_Pavement!$G$5:$G$204,$AQ726)="-","",INDEX(C_Pavement!$G$5:$G$204,$AQ726)),IF($AS726="","",INDEX(E_Rules!$F$5:$F$9,$AS726))))</f>
        <v/>
      </c>
      <c r="AX726" t="str">
        <f>IF($AQ726="","",IF(INDEX(C_Pavement!$H$5:$H$204,$AQ726)&lt;&gt;"",IF(INDEX(C_Pavement!$H$5:$H$204,$AQ726)="-","",INDEX(C_Pavement!$H$5:$H$204,$AQ726)),IF($AS726="","",INDEX(E_Rules!$G$5:$G$9,$AS726))))</f>
        <v/>
      </c>
      <c r="AY726" t="str">
        <f>IF($AQ726="","",IF(INDEX(C_Pavement!$I$5:$I$204,$AQ726)&lt;&gt;"",IF(INDEX(C_Pavement!$I$5:$I$204,$AQ726)="-","",INDEX(C_Pavement!$I$5:$I$204,$AQ726)),IF($AS726="","",INDEX(E_Rules!$H$5:$H$9,$AS726))))</f>
        <v/>
      </c>
    </row>
    <row r="727" spans="1:51" ht="15.75" customHeight="1" x14ac:dyDescent="0.3">
      <c r="A727" s="189">
        <v>722</v>
      </c>
      <c r="B727" s="180">
        <v>36050</v>
      </c>
      <c r="C727" s="180" t="s">
        <v>1033</v>
      </c>
      <c r="D727" s="181" t="str">
        <f>IFERROR(LOOKUP(2,1/((A_Corridor!$A$5:$A$204&lt;&gt;"")*(A_Corridor!$A$5:$A$204&lt;=$B727)*(A_Corridor!$B$5:$B$204&gt;$B727)*(A_Corridor!$C$5:$C$204&lt;&gt;"")),IF(UPPER(A_Corridor!$C$5:$C$204)="Y",1,"")),"")</f>
        <v/>
      </c>
      <c r="E727" s="181" t="str">
        <f>IFERROR(LOOKUP(2,1/((A_Corridor!$A$5:$A$204&lt;&gt;"")*(A_Corridor!$A$5:$A$204&lt;=$B727)*(A_Corridor!$B$5:$B$204&gt;$B727)*(A_Corridor!$D$5:$D$204&lt;&gt;"")),IF(A_Corridor!$D$5:$D$204="-","",UPPER(A_Corridor!$D$5:$D$204))),"")</f>
        <v/>
      </c>
      <c r="F727" s="181" t="str">
        <f>IFERROR(LOOKUP(2,1/((A_Corridor!$A$5:$A$204&lt;&gt;"")*(A_Corridor!$A$5:$A$204&lt;=$B727)*(A_Corridor!$B$5:$B$204&gt;$B727)*(A_Corridor!$E$5:$E$204&lt;&gt;"")),IF(A_Corridor!$E$5:$E$204="-","",1)),"")</f>
        <v/>
      </c>
      <c r="G727" s="182" t="str">
        <f>IFERROR(LOOKUP(2,1/((A_Corridor!$A$5:$A$204&lt;&gt;"")*(A_Corridor!$A$5:$A$204&lt;=$B727)*(A_Corridor!$B$5:$B$204&gt;$B727)*(A_Corridor!$E$5:$E$204&lt;&gt;"")),IF(A_Corridor!$E$5:$E$204="-","",A_Corridor!$E$5:$E$204)),"")</f>
        <v/>
      </c>
      <c r="H727" s="182" t="str">
        <f>IFERROR(LOOKUP(2,1/((D_Points!$A$5:$A$204&lt;&gt;"")*(D_Points!$A$5:$A$204&gt;=$B727)*(D_Points!$A$5:$A$204&lt;$B727+P_Interval)*(UPPER(TRIM(D_Points!$B$5:$B$204))="GULLY")*(D_Points!$H$5:$H$204&lt;&gt;"")),D_Points!$H$5:$H$204),"")</f>
        <v/>
      </c>
      <c r="I727" s="181" t="str">
        <f>IFERROR(LOOKUP(2,1/((A_Corridor!$A$5:$A$204&lt;&gt;"")*(A_Corridor!$A$5:$A$204&lt;=$B727)*(A_Corridor!$B$5:$B$204&gt;$B727)*(A_Corridor!$F$5:$F$204&lt;&gt;"")),IF(A_Corridor!$F$5:$F$204="-","",1)),"")</f>
        <v/>
      </c>
      <c r="J727" s="182" t="str">
        <f>IFERROR(LOOKUP(2,1/((A_Corridor!$A$5:$A$204&lt;&gt;"")*(A_Corridor!$A$5:$A$204&lt;=$B727)*(A_Corridor!$B$5:$B$204&gt;$B727)*(A_Corridor!$F$5:$F$204&lt;&gt;"")),IF(A_Corridor!$F$5:$F$204="-","",A_Corridor!$F$5:$F$204)),"")</f>
        <v/>
      </c>
      <c r="K727" s="182" t="str">
        <f>IFERROR(LOOKUP(2,1/((A_Corridor!$A$5:$A$204&lt;&gt;"")*(A_Corridor!$A$5:$A$204&lt;=$B727)*(A_Corridor!$B$5:$B$204&gt;$B727)*(A_Corridor!$G$5:$G$204&lt;&gt;"")),IF(A_Corridor!$G$5:$G$204="-","",A_Corridor!$G$5:$G$204)),"")</f>
        <v/>
      </c>
      <c r="L727" s="181" t="str">
        <f>IFERROR(LOOKUP(2,1/((A_Corridor!$A$5:$A$204&lt;&gt;"")*(A_Corridor!$A$5:$A$204&lt;=$B727)*(A_Corridor!$B$5:$B$204&gt;$B727)*(A_Corridor!$H$5:$H$204&lt;&gt;"")),IF(A_Corridor!$H$5:$H$204="-","",1)),"")</f>
        <v/>
      </c>
      <c r="M727" s="182" t="str">
        <f>IFERROR(LOOKUP(2,1/((A_Corridor!$A$5:$A$204&lt;&gt;"")*(A_Corridor!$A$5:$A$204&lt;=$B727)*(A_Corridor!$B$5:$B$204&gt;$B727)*(A_Corridor!$H$5:$H$204&lt;&gt;"")),IF(A_Corridor!$H$5:$H$204="-","",A_Corridor!$H$5:$H$204)),"")</f>
        <v/>
      </c>
      <c r="N727" s="182" t="str">
        <f>IFERROR(LOOKUP(2,1/((A_Corridor!$A$5:$A$204&lt;&gt;"")*(A_Corridor!$A$5:$A$204&lt;=$B727)*(A_Corridor!$B$5:$B$204&gt;$B727)*(A_Corridor!$I$5:$I$204&lt;&gt;"")),IF(A_Corridor!$I$5:$I$204="-","",A_Corridor!$I$5:$I$204)),"")</f>
        <v/>
      </c>
      <c r="O727" s="182" t="str">
        <f>IFERROR(LOOKUP(2,1/((D_Points!$A$5:$A$204&lt;&gt;"")*(D_Points!$A$5:$A$204&gt;=$B727)*(D_Points!$A$5:$A$204&lt;$B727+P_Interval)*(UPPER(TRIM(D_Points!$B$5:$B$204))="PITCHING")*(D_Points!$H$5:$H$204&lt;&gt;"")),D_Points!$H$5:$H$204),"")</f>
        <v/>
      </c>
      <c r="P727" s="181" t="str">
        <f>IFERROR(LOOKUP(2,1/((B_Drainage!$A$5:$A$204&lt;&gt;"")*(B_Drainage!$A$5:$A$204&lt;=$B727)*(B_Drainage!$B$5:$B$204&gt;$B727)*(B_Drainage!$C$5:$C$204&lt;&gt;"")),IF(B_Drainage!$C$5:$C$204="-","",UPPER(B_Drainage!$C$5:$C$204))),"")</f>
        <v/>
      </c>
      <c r="Q727" s="181" t="str">
        <f>IFERROR(LOOKUP(2,1/((B_Drainage!$A$5:$A$204&lt;&gt;"")*(B_Drainage!$A$5:$A$204&lt;=$B727)*(B_Drainage!$B$5:$B$204&gt;$B727)*(B_Drainage!$D$5:$D$204&lt;&gt;"")),IF(B_Drainage!$D$5:$D$204="-","",UPPER(B_Drainage!$D$5:$D$204))),"")</f>
        <v/>
      </c>
      <c r="R727" s="182" t="str">
        <f>IFERROR(LOOKUP(2,1/((D_Points!$A$5:$A$204&lt;&gt;"")*(D_Points!$A$5:$A$204&gt;=$B727)*(D_Points!$A$5:$A$204&lt;$B727+P_Interval)*(RIGHT(UPPER(TRIM(D_Points!$B$5:$B$204)),8)="_CULVERT")),IF(LEFT(UPPER(TRIM(D_Points!$B$5:$B$204)),2)="EX",1,IF(LEFT(UPPER(TRIM(D_Points!$B$5:$B$204)),2)="PR",2,3))),"")</f>
        <v/>
      </c>
      <c r="S727" s="182" t="str">
        <f>IFERROR(LOOKUP(2,1/((D_Points!$A$5:$A$204&lt;&gt;"")*(D_Points!$A$5:$A$204&gt;=$B727)*(D_Points!$A$5:$A$204&lt;$B727+P_Interval)*(RIGHT(UPPER(TRIM(D_Points!$B$5:$B$204)),7)="_BRIDGE")),IF(LEFT(UPPER(TRIM(D_Points!$B$5:$B$204)),2)="EX",1,IF(LEFT(UPPER(TRIM(D_Points!$B$5:$B$204)),2)="PR",2,2))),"")</f>
        <v/>
      </c>
      <c r="T727" s="181" t="str">
        <f>IFERROR(LOOKUP(2,1/((B_Drainage!$A$5:$A$204&lt;&gt;"")*(B_Drainage!$A$5:$A$204&lt;=$B727)*(B_Drainage!$B$5:$B$204&gt;$B727)*(B_Drainage!$E$5:$E$204&lt;&gt;"")),IF(B_Drainage!$E$5:$E$204="-","",1)),"")</f>
        <v/>
      </c>
      <c r="U727" s="181" t="str">
        <f>IFERROR(LOOKUP(2,1/((B_Drainage!$A$5:$A$204&lt;&gt;"")*(B_Drainage!$A$5:$A$204&lt;=$B727)*(B_Drainage!$B$5:$B$204&gt;$B727)*(B_Drainage!$E$5:$E$204&lt;&gt;"")),IF(B_Drainage!$E$5:$E$204="-","",B_Drainage!$E$5:$E$204)),"")</f>
        <v/>
      </c>
      <c r="V727" s="181" t="str">
        <f>IFERROR(LOOKUP(2,1/((B_Drainage!$A$5:$A$204&lt;&gt;"")*(B_Drainage!$A$5:$A$204&lt;=$B727)*(B_Drainage!$B$5:$B$204&gt;$B727)*(B_Drainage!$F$5:$F$204&lt;&gt;"")),IF(B_Drainage!$F$5:$F$204="-","",1)),"")</f>
        <v/>
      </c>
      <c r="W727" s="181" t="str">
        <f>IFERROR(LOOKUP(2,1/((B_Drainage!$A$5:$A$204&lt;&gt;"")*(B_Drainage!$A$5:$A$204&lt;=$B727)*(B_Drainage!$B$5:$B$204&gt;$B727)*(B_Drainage!$F$5:$F$204&lt;&gt;"")),IF(B_Drainage!$F$5:$F$204="-","",B_Drainage!$F$5:$F$204)),"")</f>
        <v/>
      </c>
      <c r="X727" s="181" t="str">
        <f>IFERROR(LOOKUP(2,1/((B_Drainage!$A$5:$A$204&lt;&gt;"")*(B_Drainage!$A$5:$A$204&lt;=$B727)*(B_Drainage!$B$5:$B$204&gt;$B727)*(B_Drainage!$G$5:$G$204&lt;&gt;"")),IF(UPPER(B_Drainage!$G$5:$G$204)="Y",1,"")),"")</f>
        <v/>
      </c>
      <c r="Y727" s="181" t="str">
        <f>IFERROR(LOOKUP(2,1/((B_Drainage!$A$5:$A$204&lt;&gt;"")*(B_Drainage!$A$5:$A$204&lt;=$B727)*(B_Drainage!$B$5:$B$204&gt;$B727)*(B_Drainage!$H$5:$H$204&lt;&gt;"")),IF(UPPER(B_Drainage!$H$5:$H$204)="Y",1,"")),"")</f>
        <v/>
      </c>
      <c r="Z727" s="181" t="str">
        <f>IFERROR(LOOKUP(2,1/((B_Drainage!$A$5:$A$204&lt;&gt;"")*(B_Drainage!$A$5:$A$204&lt;=$B727)*(B_Drainage!$B$5:$B$204&gt;$B727)*(B_Drainage!$I$5:$I$204&lt;&gt;"")),IF(UPPER(B_Drainage!$I$5:$I$204)="Y",1,"")),"")</f>
        <v/>
      </c>
      <c r="AA727" s="181" t="str">
        <f>IFERROR(LOOKUP(2,1/((B_Drainage!$A$5:$A$204&lt;&gt;"")*(B_Drainage!$A$5:$A$204&lt;=$B727)*(B_Drainage!$B$5:$B$204&gt;$B727)*(B_Drainage!$J$5:$J$204&lt;&gt;"")),IF(UPPER(B_Drainage!$J$5:$J$204)="Y",1,"")),"")</f>
        <v/>
      </c>
      <c r="AB727" s="182" t="str">
        <f>IFERROR(LOOKUP(2,1/((B_Drainage!$A$5:$A$204&lt;&gt;"")*(B_Drainage!$A$5:$A$204&lt;=$B727)*(B_Drainage!$B$5:$B$204&gt;$B727)*(B_Drainage!$K$5:$K$204&lt;&gt;"")),IF(B_Drainage!$K$5:$K$204="-","",B_Drainage!$K$5:$K$204)),"")</f>
        <v/>
      </c>
      <c r="AC727" s="182" t="str">
        <f>IFERROR(LOOKUP(2,1/((B_Drainage!$A$5:$A$204&lt;&gt;"")*(B_Drainage!$A$5:$A$204&lt;=$B727)*(B_Drainage!$B$5:$B$204&gt;$B727)*(B_Drainage!$L$5:$L$204&lt;&gt;"")),IF(B_Drainage!$L$5:$L$204="-","",B_Drainage!$L$5:$L$204)),"")</f>
        <v/>
      </c>
      <c r="AD727" s="182" t="str">
        <f>IFERROR(LOOKUP(2,1/((D_Points!$A$5:$A$204&lt;&gt;"")*(D_Points!$A$5:$A$204&gt;=$B727)*(D_Points!$A$5:$A$204&lt;$B727+P_Interval)*(UPPER(TRIM(D_Points!$B$5:$B$204))="TURNOUT_L")*(D_Points!$H$5:$H$204&lt;&gt;"")),D_Points!$H$5:$H$204),"")</f>
        <v/>
      </c>
      <c r="AE727" s="182" t="str">
        <f>IFERROR(LOOKUP(2,1/((D_Points!$A$5:$A$204&lt;&gt;"")*(D_Points!$A$5:$A$204&gt;=$B727)*(D_Points!$A$5:$A$204&lt;$B727+P_Interval)*(UPPER(TRIM(D_Points!$B$5:$B$204))="TURNOUT_R")*(D_Points!$H$5:$H$204&lt;&gt;"")),D_Points!$H$5:$H$204),"")</f>
        <v/>
      </c>
      <c r="AF727" s="181" t="str">
        <f>IFERROR(LOOKUP(2,1/((B_Drainage!$A$5:$A$204&lt;&gt;"")*(B_Drainage!$A$5:$A$204&lt;=$B727)*(B_Drainage!$B$5:$B$204&gt;$B727)*(B_Drainage!$M$5:$M$204&lt;&gt;"")),IF(UPPER(B_Drainage!$M$5:$M$204)="Y",1,"")),"")</f>
        <v/>
      </c>
      <c r="AG727" s="181" t="str">
        <f>IFERROR(LOOKUP(2,1/((B_Drainage!$A$5:$A$204&lt;&gt;"")*(B_Drainage!$A$5:$A$204&lt;=$B727)*(B_Drainage!$B$5:$B$204&gt;$B727)*(B_Drainage!$N$5:$N$204&lt;&gt;"")),IF(UPPER(B_Drainage!$N$5:$N$204)="Y",1,"")),"")</f>
        <v/>
      </c>
      <c r="AH727" s="181" t="str">
        <f t="shared" si="88"/>
        <v/>
      </c>
      <c r="AI727" s="181" t="str">
        <f t="shared" si="89"/>
        <v/>
      </c>
      <c r="AJ727" s="181" t="str">
        <f t="shared" si="90"/>
        <v/>
      </c>
      <c r="AK727" s="181" t="str">
        <f t="shared" si="91"/>
        <v/>
      </c>
      <c r="AL727" s="181" t="str">
        <f t="shared" si="92"/>
        <v/>
      </c>
      <c r="AM727" s="181" t="str">
        <f t="shared" si="93"/>
        <v/>
      </c>
      <c r="AN727" s="181" t="str">
        <f t="shared" si="94"/>
        <v/>
      </c>
      <c r="AO727" s="192" t="str">
        <f t="shared" si="95"/>
        <v/>
      </c>
      <c r="AQ727" t="str">
        <f>IFERROR(LOOKUP(2,1/((C_Pavement!$A$5:$A$204&lt;&gt;"")*(C_Pavement!$A$5:$A$204&lt;=$B727)*(C_Pavement!$B$5:$B$204&gt;$B727)*(C_Pavement!$C$5:$C$204&lt;&gt;"")),ROW(C_Pavement!$C$5:$C$204)-4),"")</f>
        <v/>
      </c>
      <c r="AR727" t="str">
        <f>IF($AQ727="","",UPPER(TRIM(INDEX(C_Pavement!$C$5:$C$204,$AQ727))))</f>
        <v/>
      </c>
      <c r="AS727" t="str">
        <f>IF($AR727="","",IFERROR(MATCH($AR727,E_Rules!$A$5:$A$9,0),""))</f>
        <v/>
      </c>
      <c r="AT727" t="str">
        <f>IF($AQ727="","",IF(INDEX(C_Pavement!$D$5:$D$204,$AQ727)&lt;&gt;"",UPPER(TRIM(INDEX(C_Pavement!$D$5:$D$204,$AQ727))),IF($AS727="","",INDEX(E_Rules!$C$5:$C$9,$AS727))))</f>
        <v/>
      </c>
      <c r="AU727" t="str">
        <f>IF($AQ727="","",IF(INDEX(C_Pavement!$E$5:$E$204,$AQ727)&lt;&gt;"",IF(INDEX(C_Pavement!$E$5:$E$204,$AQ727)="-","",INDEX(C_Pavement!$E$5:$E$204,$AQ727)),IF($AS727="","",INDEX(E_Rules!$D$5:$D$9,$AS727))))</f>
        <v/>
      </c>
      <c r="AV727" t="str">
        <f>IF($AQ727="","",IF(INDEX(C_Pavement!$F$5:$F$204,$AQ727)&lt;&gt;"",IF(INDEX(C_Pavement!$F$5:$F$204,$AQ727)="-","",INDEX(C_Pavement!$F$5:$F$204,$AQ727)),IF($AS727="","",INDEX(E_Rules!$E$5:$E$9,$AS727))))</f>
        <v/>
      </c>
      <c r="AW727" t="str">
        <f>IF($AQ727="","",IF(INDEX(C_Pavement!$G$5:$G$204,$AQ727)&lt;&gt;"",IF(INDEX(C_Pavement!$G$5:$G$204,$AQ727)="-","",INDEX(C_Pavement!$G$5:$G$204,$AQ727)),IF($AS727="","",INDEX(E_Rules!$F$5:$F$9,$AS727))))</f>
        <v/>
      </c>
      <c r="AX727" t="str">
        <f>IF($AQ727="","",IF(INDEX(C_Pavement!$H$5:$H$204,$AQ727)&lt;&gt;"",IF(INDEX(C_Pavement!$H$5:$H$204,$AQ727)="-","",INDEX(C_Pavement!$H$5:$H$204,$AQ727)),IF($AS727="","",INDEX(E_Rules!$G$5:$G$9,$AS727))))</f>
        <v/>
      </c>
      <c r="AY727" t="str">
        <f>IF($AQ727="","",IF(INDEX(C_Pavement!$I$5:$I$204,$AQ727)&lt;&gt;"",IF(INDEX(C_Pavement!$I$5:$I$204,$AQ727)="-","",INDEX(C_Pavement!$I$5:$I$204,$AQ727)),IF($AS727="","",INDEX(E_Rules!$H$5:$H$9,$AS727))))</f>
        <v/>
      </c>
    </row>
    <row r="728" spans="1:51" ht="15.75" customHeight="1" x14ac:dyDescent="0.3">
      <c r="A728" s="189">
        <v>723</v>
      </c>
      <c r="B728" s="180">
        <v>36100</v>
      </c>
      <c r="C728" s="180" t="s">
        <v>1034</v>
      </c>
      <c r="D728" s="181" t="str">
        <f>IFERROR(LOOKUP(2,1/((A_Corridor!$A$5:$A$204&lt;&gt;"")*(A_Corridor!$A$5:$A$204&lt;=$B728)*(A_Corridor!$B$5:$B$204&gt;$B728)*(A_Corridor!$C$5:$C$204&lt;&gt;"")),IF(UPPER(A_Corridor!$C$5:$C$204)="Y",1,"")),"")</f>
        <v/>
      </c>
      <c r="E728" s="181" t="str">
        <f>IFERROR(LOOKUP(2,1/((A_Corridor!$A$5:$A$204&lt;&gt;"")*(A_Corridor!$A$5:$A$204&lt;=$B728)*(A_Corridor!$B$5:$B$204&gt;$B728)*(A_Corridor!$D$5:$D$204&lt;&gt;"")),IF(A_Corridor!$D$5:$D$204="-","",UPPER(A_Corridor!$D$5:$D$204))),"")</f>
        <v/>
      </c>
      <c r="F728" s="181" t="str">
        <f>IFERROR(LOOKUP(2,1/((A_Corridor!$A$5:$A$204&lt;&gt;"")*(A_Corridor!$A$5:$A$204&lt;=$B728)*(A_Corridor!$B$5:$B$204&gt;$B728)*(A_Corridor!$E$5:$E$204&lt;&gt;"")),IF(A_Corridor!$E$5:$E$204="-","",1)),"")</f>
        <v/>
      </c>
      <c r="G728" s="182" t="str">
        <f>IFERROR(LOOKUP(2,1/((A_Corridor!$A$5:$A$204&lt;&gt;"")*(A_Corridor!$A$5:$A$204&lt;=$B728)*(A_Corridor!$B$5:$B$204&gt;$B728)*(A_Corridor!$E$5:$E$204&lt;&gt;"")),IF(A_Corridor!$E$5:$E$204="-","",A_Corridor!$E$5:$E$204)),"")</f>
        <v/>
      </c>
      <c r="H728" s="182" t="str">
        <f>IFERROR(LOOKUP(2,1/((D_Points!$A$5:$A$204&lt;&gt;"")*(D_Points!$A$5:$A$204&gt;=$B728)*(D_Points!$A$5:$A$204&lt;$B728+P_Interval)*(UPPER(TRIM(D_Points!$B$5:$B$204))="GULLY")*(D_Points!$H$5:$H$204&lt;&gt;"")),D_Points!$H$5:$H$204),"")</f>
        <v/>
      </c>
      <c r="I728" s="181" t="str">
        <f>IFERROR(LOOKUP(2,1/((A_Corridor!$A$5:$A$204&lt;&gt;"")*(A_Corridor!$A$5:$A$204&lt;=$B728)*(A_Corridor!$B$5:$B$204&gt;$B728)*(A_Corridor!$F$5:$F$204&lt;&gt;"")),IF(A_Corridor!$F$5:$F$204="-","",1)),"")</f>
        <v/>
      </c>
      <c r="J728" s="182" t="str">
        <f>IFERROR(LOOKUP(2,1/((A_Corridor!$A$5:$A$204&lt;&gt;"")*(A_Corridor!$A$5:$A$204&lt;=$B728)*(A_Corridor!$B$5:$B$204&gt;$B728)*(A_Corridor!$F$5:$F$204&lt;&gt;"")),IF(A_Corridor!$F$5:$F$204="-","",A_Corridor!$F$5:$F$204)),"")</f>
        <v/>
      </c>
      <c r="K728" s="182" t="str">
        <f>IFERROR(LOOKUP(2,1/((A_Corridor!$A$5:$A$204&lt;&gt;"")*(A_Corridor!$A$5:$A$204&lt;=$B728)*(A_Corridor!$B$5:$B$204&gt;$B728)*(A_Corridor!$G$5:$G$204&lt;&gt;"")),IF(A_Corridor!$G$5:$G$204="-","",A_Corridor!$G$5:$G$204)),"")</f>
        <v/>
      </c>
      <c r="L728" s="181" t="str">
        <f>IFERROR(LOOKUP(2,1/((A_Corridor!$A$5:$A$204&lt;&gt;"")*(A_Corridor!$A$5:$A$204&lt;=$B728)*(A_Corridor!$B$5:$B$204&gt;$B728)*(A_Corridor!$H$5:$H$204&lt;&gt;"")),IF(A_Corridor!$H$5:$H$204="-","",1)),"")</f>
        <v/>
      </c>
      <c r="M728" s="182" t="str">
        <f>IFERROR(LOOKUP(2,1/((A_Corridor!$A$5:$A$204&lt;&gt;"")*(A_Corridor!$A$5:$A$204&lt;=$B728)*(A_Corridor!$B$5:$B$204&gt;$B728)*(A_Corridor!$H$5:$H$204&lt;&gt;"")),IF(A_Corridor!$H$5:$H$204="-","",A_Corridor!$H$5:$H$204)),"")</f>
        <v/>
      </c>
      <c r="N728" s="182" t="str">
        <f>IFERROR(LOOKUP(2,1/((A_Corridor!$A$5:$A$204&lt;&gt;"")*(A_Corridor!$A$5:$A$204&lt;=$B728)*(A_Corridor!$B$5:$B$204&gt;$B728)*(A_Corridor!$I$5:$I$204&lt;&gt;"")),IF(A_Corridor!$I$5:$I$204="-","",A_Corridor!$I$5:$I$204)),"")</f>
        <v/>
      </c>
      <c r="O728" s="182" t="str">
        <f>IFERROR(LOOKUP(2,1/((D_Points!$A$5:$A$204&lt;&gt;"")*(D_Points!$A$5:$A$204&gt;=$B728)*(D_Points!$A$5:$A$204&lt;$B728+P_Interval)*(UPPER(TRIM(D_Points!$B$5:$B$204))="PITCHING")*(D_Points!$H$5:$H$204&lt;&gt;"")),D_Points!$H$5:$H$204),"")</f>
        <v/>
      </c>
      <c r="P728" s="181" t="str">
        <f>IFERROR(LOOKUP(2,1/((B_Drainage!$A$5:$A$204&lt;&gt;"")*(B_Drainage!$A$5:$A$204&lt;=$B728)*(B_Drainage!$B$5:$B$204&gt;$B728)*(B_Drainage!$C$5:$C$204&lt;&gt;"")),IF(B_Drainage!$C$5:$C$204="-","",UPPER(B_Drainage!$C$5:$C$204))),"")</f>
        <v/>
      </c>
      <c r="Q728" s="181" t="str">
        <f>IFERROR(LOOKUP(2,1/((B_Drainage!$A$5:$A$204&lt;&gt;"")*(B_Drainage!$A$5:$A$204&lt;=$B728)*(B_Drainage!$B$5:$B$204&gt;$B728)*(B_Drainage!$D$5:$D$204&lt;&gt;"")),IF(B_Drainage!$D$5:$D$204="-","",UPPER(B_Drainage!$D$5:$D$204))),"")</f>
        <v/>
      </c>
      <c r="R728" s="182" t="str">
        <f>IFERROR(LOOKUP(2,1/((D_Points!$A$5:$A$204&lt;&gt;"")*(D_Points!$A$5:$A$204&gt;=$B728)*(D_Points!$A$5:$A$204&lt;$B728+P_Interval)*(RIGHT(UPPER(TRIM(D_Points!$B$5:$B$204)),8)="_CULVERT")),IF(LEFT(UPPER(TRIM(D_Points!$B$5:$B$204)),2)="EX",1,IF(LEFT(UPPER(TRIM(D_Points!$B$5:$B$204)),2)="PR",2,3))),"")</f>
        <v/>
      </c>
      <c r="S728" s="182" t="str">
        <f>IFERROR(LOOKUP(2,1/((D_Points!$A$5:$A$204&lt;&gt;"")*(D_Points!$A$5:$A$204&gt;=$B728)*(D_Points!$A$5:$A$204&lt;$B728+P_Interval)*(RIGHT(UPPER(TRIM(D_Points!$B$5:$B$204)),7)="_BRIDGE")),IF(LEFT(UPPER(TRIM(D_Points!$B$5:$B$204)),2)="EX",1,IF(LEFT(UPPER(TRIM(D_Points!$B$5:$B$204)),2)="PR",2,2))),"")</f>
        <v/>
      </c>
      <c r="T728" s="181" t="str">
        <f>IFERROR(LOOKUP(2,1/((B_Drainage!$A$5:$A$204&lt;&gt;"")*(B_Drainage!$A$5:$A$204&lt;=$B728)*(B_Drainage!$B$5:$B$204&gt;$B728)*(B_Drainage!$E$5:$E$204&lt;&gt;"")),IF(B_Drainage!$E$5:$E$204="-","",1)),"")</f>
        <v/>
      </c>
      <c r="U728" s="181" t="str">
        <f>IFERROR(LOOKUP(2,1/((B_Drainage!$A$5:$A$204&lt;&gt;"")*(B_Drainage!$A$5:$A$204&lt;=$B728)*(B_Drainage!$B$5:$B$204&gt;$B728)*(B_Drainage!$E$5:$E$204&lt;&gt;"")),IF(B_Drainage!$E$5:$E$204="-","",B_Drainage!$E$5:$E$204)),"")</f>
        <v/>
      </c>
      <c r="V728" s="181" t="str">
        <f>IFERROR(LOOKUP(2,1/((B_Drainage!$A$5:$A$204&lt;&gt;"")*(B_Drainage!$A$5:$A$204&lt;=$B728)*(B_Drainage!$B$5:$B$204&gt;$B728)*(B_Drainage!$F$5:$F$204&lt;&gt;"")),IF(B_Drainage!$F$5:$F$204="-","",1)),"")</f>
        <v/>
      </c>
      <c r="W728" s="181" t="str">
        <f>IFERROR(LOOKUP(2,1/((B_Drainage!$A$5:$A$204&lt;&gt;"")*(B_Drainage!$A$5:$A$204&lt;=$B728)*(B_Drainage!$B$5:$B$204&gt;$B728)*(B_Drainage!$F$5:$F$204&lt;&gt;"")),IF(B_Drainage!$F$5:$F$204="-","",B_Drainage!$F$5:$F$204)),"")</f>
        <v/>
      </c>
      <c r="X728" s="181" t="str">
        <f>IFERROR(LOOKUP(2,1/((B_Drainage!$A$5:$A$204&lt;&gt;"")*(B_Drainage!$A$5:$A$204&lt;=$B728)*(B_Drainage!$B$5:$B$204&gt;$B728)*(B_Drainage!$G$5:$G$204&lt;&gt;"")),IF(UPPER(B_Drainage!$G$5:$G$204)="Y",1,"")),"")</f>
        <v/>
      </c>
      <c r="Y728" s="181" t="str">
        <f>IFERROR(LOOKUP(2,1/((B_Drainage!$A$5:$A$204&lt;&gt;"")*(B_Drainage!$A$5:$A$204&lt;=$B728)*(B_Drainage!$B$5:$B$204&gt;$B728)*(B_Drainage!$H$5:$H$204&lt;&gt;"")),IF(UPPER(B_Drainage!$H$5:$H$204)="Y",1,"")),"")</f>
        <v/>
      </c>
      <c r="Z728" s="181" t="str">
        <f>IFERROR(LOOKUP(2,1/((B_Drainage!$A$5:$A$204&lt;&gt;"")*(B_Drainage!$A$5:$A$204&lt;=$B728)*(B_Drainage!$B$5:$B$204&gt;$B728)*(B_Drainage!$I$5:$I$204&lt;&gt;"")),IF(UPPER(B_Drainage!$I$5:$I$204)="Y",1,"")),"")</f>
        <v/>
      </c>
      <c r="AA728" s="181" t="str">
        <f>IFERROR(LOOKUP(2,1/((B_Drainage!$A$5:$A$204&lt;&gt;"")*(B_Drainage!$A$5:$A$204&lt;=$B728)*(B_Drainage!$B$5:$B$204&gt;$B728)*(B_Drainage!$J$5:$J$204&lt;&gt;"")),IF(UPPER(B_Drainage!$J$5:$J$204)="Y",1,"")),"")</f>
        <v/>
      </c>
      <c r="AB728" s="182" t="str">
        <f>IFERROR(LOOKUP(2,1/((B_Drainage!$A$5:$A$204&lt;&gt;"")*(B_Drainage!$A$5:$A$204&lt;=$B728)*(B_Drainage!$B$5:$B$204&gt;$B728)*(B_Drainage!$K$5:$K$204&lt;&gt;"")),IF(B_Drainage!$K$5:$K$204="-","",B_Drainage!$K$5:$K$204)),"")</f>
        <v/>
      </c>
      <c r="AC728" s="182" t="str">
        <f>IFERROR(LOOKUP(2,1/((B_Drainage!$A$5:$A$204&lt;&gt;"")*(B_Drainage!$A$5:$A$204&lt;=$B728)*(B_Drainage!$B$5:$B$204&gt;$B728)*(B_Drainage!$L$5:$L$204&lt;&gt;"")),IF(B_Drainage!$L$5:$L$204="-","",B_Drainage!$L$5:$L$204)),"")</f>
        <v/>
      </c>
      <c r="AD728" s="182" t="str">
        <f>IFERROR(LOOKUP(2,1/((D_Points!$A$5:$A$204&lt;&gt;"")*(D_Points!$A$5:$A$204&gt;=$B728)*(D_Points!$A$5:$A$204&lt;$B728+P_Interval)*(UPPER(TRIM(D_Points!$B$5:$B$204))="TURNOUT_L")*(D_Points!$H$5:$H$204&lt;&gt;"")),D_Points!$H$5:$H$204),"")</f>
        <v/>
      </c>
      <c r="AE728" s="182" t="str">
        <f>IFERROR(LOOKUP(2,1/((D_Points!$A$5:$A$204&lt;&gt;"")*(D_Points!$A$5:$A$204&gt;=$B728)*(D_Points!$A$5:$A$204&lt;$B728+P_Interval)*(UPPER(TRIM(D_Points!$B$5:$B$204))="TURNOUT_R")*(D_Points!$H$5:$H$204&lt;&gt;"")),D_Points!$H$5:$H$204),"")</f>
        <v/>
      </c>
      <c r="AF728" s="181" t="str">
        <f>IFERROR(LOOKUP(2,1/((B_Drainage!$A$5:$A$204&lt;&gt;"")*(B_Drainage!$A$5:$A$204&lt;=$B728)*(B_Drainage!$B$5:$B$204&gt;$B728)*(B_Drainage!$M$5:$M$204&lt;&gt;"")),IF(UPPER(B_Drainage!$M$5:$M$204)="Y",1,"")),"")</f>
        <v/>
      </c>
      <c r="AG728" s="181" t="str">
        <f>IFERROR(LOOKUP(2,1/((B_Drainage!$A$5:$A$204&lt;&gt;"")*(B_Drainage!$A$5:$A$204&lt;=$B728)*(B_Drainage!$B$5:$B$204&gt;$B728)*(B_Drainage!$N$5:$N$204&lt;&gt;"")),IF(UPPER(B_Drainage!$N$5:$N$204)="Y",1,"")),"")</f>
        <v/>
      </c>
      <c r="AH728" s="181" t="str">
        <f t="shared" si="88"/>
        <v/>
      </c>
      <c r="AI728" s="181" t="str">
        <f t="shared" si="89"/>
        <v/>
      </c>
      <c r="AJ728" s="181" t="str">
        <f t="shared" si="90"/>
        <v/>
      </c>
      <c r="AK728" s="181" t="str">
        <f t="shared" si="91"/>
        <v/>
      </c>
      <c r="AL728" s="181" t="str">
        <f t="shared" si="92"/>
        <v/>
      </c>
      <c r="AM728" s="181" t="str">
        <f t="shared" si="93"/>
        <v/>
      </c>
      <c r="AN728" s="181" t="str">
        <f t="shared" si="94"/>
        <v/>
      </c>
      <c r="AO728" s="192" t="str">
        <f t="shared" si="95"/>
        <v/>
      </c>
      <c r="AQ728" t="str">
        <f>IFERROR(LOOKUP(2,1/((C_Pavement!$A$5:$A$204&lt;&gt;"")*(C_Pavement!$A$5:$A$204&lt;=$B728)*(C_Pavement!$B$5:$B$204&gt;$B728)*(C_Pavement!$C$5:$C$204&lt;&gt;"")),ROW(C_Pavement!$C$5:$C$204)-4),"")</f>
        <v/>
      </c>
      <c r="AR728" t="str">
        <f>IF($AQ728="","",UPPER(TRIM(INDEX(C_Pavement!$C$5:$C$204,$AQ728))))</f>
        <v/>
      </c>
      <c r="AS728" t="str">
        <f>IF($AR728="","",IFERROR(MATCH($AR728,E_Rules!$A$5:$A$9,0),""))</f>
        <v/>
      </c>
      <c r="AT728" t="str">
        <f>IF($AQ728="","",IF(INDEX(C_Pavement!$D$5:$D$204,$AQ728)&lt;&gt;"",UPPER(TRIM(INDEX(C_Pavement!$D$5:$D$204,$AQ728))),IF($AS728="","",INDEX(E_Rules!$C$5:$C$9,$AS728))))</f>
        <v/>
      </c>
      <c r="AU728" t="str">
        <f>IF($AQ728="","",IF(INDEX(C_Pavement!$E$5:$E$204,$AQ728)&lt;&gt;"",IF(INDEX(C_Pavement!$E$5:$E$204,$AQ728)="-","",INDEX(C_Pavement!$E$5:$E$204,$AQ728)),IF($AS728="","",INDEX(E_Rules!$D$5:$D$9,$AS728))))</f>
        <v/>
      </c>
      <c r="AV728" t="str">
        <f>IF($AQ728="","",IF(INDEX(C_Pavement!$F$5:$F$204,$AQ728)&lt;&gt;"",IF(INDEX(C_Pavement!$F$5:$F$204,$AQ728)="-","",INDEX(C_Pavement!$F$5:$F$204,$AQ728)),IF($AS728="","",INDEX(E_Rules!$E$5:$E$9,$AS728))))</f>
        <v/>
      </c>
      <c r="AW728" t="str">
        <f>IF($AQ728="","",IF(INDEX(C_Pavement!$G$5:$G$204,$AQ728)&lt;&gt;"",IF(INDEX(C_Pavement!$G$5:$G$204,$AQ728)="-","",INDEX(C_Pavement!$G$5:$G$204,$AQ728)),IF($AS728="","",INDEX(E_Rules!$F$5:$F$9,$AS728))))</f>
        <v/>
      </c>
      <c r="AX728" t="str">
        <f>IF($AQ728="","",IF(INDEX(C_Pavement!$H$5:$H$204,$AQ728)&lt;&gt;"",IF(INDEX(C_Pavement!$H$5:$H$204,$AQ728)="-","",INDEX(C_Pavement!$H$5:$H$204,$AQ728)),IF($AS728="","",INDEX(E_Rules!$G$5:$G$9,$AS728))))</f>
        <v/>
      </c>
      <c r="AY728" t="str">
        <f>IF($AQ728="","",IF(INDEX(C_Pavement!$I$5:$I$204,$AQ728)&lt;&gt;"",IF(INDEX(C_Pavement!$I$5:$I$204,$AQ728)="-","",INDEX(C_Pavement!$I$5:$I$204,$AQ728)),IF($AS728="","",INDEX(E_Rules!$H$5:$H$9,$AS728))))</f>
        <v/>
      </c>
    </row>
    <row r="729" spans="1:51" ht="15.75" customHeight="1" x14ac:dyDescent="0.3">
      <c r="A729" s="189">
        <v>724</v>
      </c>
      <c r="B729" s="180">
        <v>36150</v>
      </c>
      <c r="C729" s="180" t="s">
        <v>1035</v>
      </c>
      <c r="D729" s="181" t="str">
        <f>IFERROR(LOOKUP(2,1/((A_Corridor!$A$5:$A$204&lt;&gt;"")*(A_Corridor!$A$5:$A$204&lt;=$B729)*(A_Corridor!$B$5:$B$204&gt;$B729)*(A_Corridor!$C$5:$C$204&lt;&gt;"")),IF(UPPER(A_Corridor!$C$5:$C$204)="Y",1,"")),"")</f>
        <v/>
      </c>
      <c r="E729" s="181" t="str">
        <f>IFERROR(LOOKUP(2,1/((A_Corridor!$A$5:$A$204&lt;&gt;"")*(A_Corridor!$A$5:$A$204&lt;=$B729)*(A_Corridor!$B$5:$B$204&gt;$B729)*(A_Corridor!$D$5:$D$204&lt;&gt;"")),IF(A_Corridor!$D$5:$D$204="-","",UPPER(A_Corridor!$D$5:$D$204))),"")</f>
        <v/>
      </c>
      <c r="F729" s="181" t="str">
        <f>IFERROR(LOOKUP(2,1/((A_Corridor!$A$5:$A$204&lt;&gt;"")*(A_Corridor!$A$5:$A$204&lt;=$B729)*(A_Corridor!$B$5:$B$204&gt;$B729)*(A_Corridor!$E$5:$E$204&lt;&gt;"")),IF(A_Corridor!$E$5:$E$204="-","",1)),"")</f>
        <v/>
      </c>
      <c r="G729" s="182" t="str">
        <f>IFERROR(LOOKUP(2,1/((A_Corridor!$A$5:$A$204&lt;&gt;"")*(A_Corridor!$A$5:$A$204&lt;=$B729)*(A_Corridor!$B$5:$B$204&gt;$B729)*(A_Corridor!$E$5:$E$204&lt;&gt;"")),IF(A_Corridor!$E$5:$E$204="-","",A_Corridor!$E$5:$E$204)),"")</f>
        <v/>
      </c>
      <c r="H729" s="182" t="str">
        <f>IFERROR(LOOKUP(2,1/((D_Points!$A$5:$A$204&lt;&gt;"")*(D_Points!$A$5:$A$204&gt;=$B729)*(D_Points!$A$5:$A$204&lt;$B729+P_Interval)*(UPPER(TRIM(D_Points!$B$5:$B$204))="GULLY")*(D_Points!$H$5:$H$204&lt;&gt;"")),D_Points!$H$5:$H$204),"")</f>
        <v/>
      </c>
      <c r="I729" s="181" t="str">
        <f>IFERROR(LOOKUP(2,1/((A_Corridor!$A$5:$A$204&lt;&gt;"")*(A_Corridor!$A$5:$A$204&lt;=$B729)*(A_Corridor!$B$5:$B$204&gt;$B729)*(A_Corridor!$F$5:$F$204&lt;&gt;"")),IF(A_Corridor!$F$5:$F$204="-","",1)),"")</f>
        <v/>
      </c>
      <c r="J729" s="182" t="str">
        <f>IFERROR(LOOKUP(2,1/((A_Corridor!$A$5:$A$204&lt;&gt;"")*(A_Corridor!$A$5:$A$204&lt;=$B729)*(A_Corridor!$B$5:$B$204&gt;$B729)*(A_Corridor!$F$5:$F$204&lt;&gt;"")),IF(A_Corridor!$F$5:$F$204="-","",A_Corridor!$F$5:$F$204)),"")</f>
        <v/>
      </c>
      <c r="K729" s="182" t="str">
        <f>IFERROR(LOOKUP(2,1/((A_Corridor!$A$5:$A$204&lt;&gt;"")*(A_Corridor!$A$5:$A$204&lt;=$B729)*(A_Corridor!$B$5:$B$204&gt;$B729)*(A_Corridor!$G$5:$G$204&lt;&gt;"")),IF(A_Corridor!$G$5:$G$204="-","",A_Corridor!$G$5:$G$204)),"")</f>
        <v/>
      </c>
      <c r="L729" s="181" t="str">
        <f>IFERROR(LOOKUP(2,1/((A_Corridor!$A$5:$A$204&lt;&gt;"")*(A_Corridor!$A$5:$A$204&lt;=$B729)*(A_Corridor!$B$5:$B$204&gt;$B729)*(A_Corridor!$H$5:$H$204&lt;&gt;"")),IF(A_Corridor!$H$5:$H$204="-","",1)),"")</f>
        <v/>
      </c>
      <c r="M729" s="182" t="str">
        <f>IFERROR(LOOKUP(2,1/((A_Corridor!$A$5:$A$204&lt;&gt;"")*(A_Corridor!$A$5:$A$204&lt;=$B729)*(A_Corridor!$B$5:$B$204&gt;$B729)*(A_Corridor!$H$5:$H$204&lt;&gt;"")),IF(A_Corridor!$H$5:$H$204="-","",A_Corridor!$H$5:$H$204)),"")</f>
        <v/>
      </c>
      <c r="N729" s="182" t="str">
        <f>IFERROR(LOOKUP(2,1/((A_Corridor!$A$5:$A$204&lt;&gt;"")*(A_Corridor!$A$5:$A$204&lt;=$B729)*(A_Corridor!$B$5:$B$204&gt;$B729)*(A_Corridor!$I$5:$I$204&lt;&gt;"")),IF(A_Corridor!$I$5:$I$204="-","",A_Corridor!$I$5:$I$204)),"")</f>
        <v/>
      </c>
      <c r="O729" s="182" t="str">
        <f>IFERROR(LOOKUP(2,1/((D_Points!$A$5:$A$204&lt;&gt;"")*(D_Points!$A$5:$A$204&gt;=$B729)*(D_Points!$A$5:$A$204&lt;$B729+P_Interval)*(UPPER(TRIM(D_Points!$B$5:$B$204))="PITCHING")*(D_Points!$H$5:$H$204&lt;&gt;"")),D_Points!$H$5:$H$204),"")</f>
        <v/>
      </c>
      <c r="P729" s="181" t="str">
        <f>IFERROR(LOOKUP(2,1/((B_Drainage!$A$5:$A$204&lt;&gt;"")*(B_Drainage!$A$5:$A$204&lt;=$B729)*(B_Drainage!$B$5:$B$204&gt;$B729)*(B_Drainage!$C$5:$C$204&lt;&gt;"")),IF(B_Drainage!$C$5:$C$204="-","",UPPER(B_Drainage!$C$5:$C$204))),"")</f>
        <v/>
      </c>
      <c r="Q729" s="181" t="str">
        <f>IFERROR(LOOKUP(2,1/((B_Drainage!$A$5:$A$204&lt;&gt;"")*(B_Drainage!$A$5:$A$204&lt;=$B729)*(B_Drainage!$B$5:$B$204&gt;$B729)*(B_Drainage!$D$5:$D$204&lt;&gt;"")),IF(B_Drainage!$D$5:$D$204="-","",UPPER(B_Drainage!$D$5:$D$204))),"")</f>
        <v/>
      </c>
      <c r="R729" s="182" t="str">
        <f>IFERROR(LOOKUP(2,1/((D_Points!$A$5:$A$204&lt;&gt;"")*(D_Points!$A$5:$A$204&gt;=$B729)*(D_Points!$A$5:$A$204&lt;$B729+P_Interval)*(RIGHT(UPPER(TRIM(D_Points!$B$5:$B$204)),8)="_CULVERT")),IF(LEFT(UPPER(TRIM(D_Points!$B$5:$B$204)),2)="EX",1,IF(LEFT(UPPER(TRIM(D_Points!$B$5:$B$204)),2)="PR",2,3))),"")</f>
        <v/>
      </c>
      <c r="S729" s="182" t="str">
        <f>IFERROR(LOOKUP(2,1/((D_Points!$A$5:$A$204&lt;&gt;"")*(D_Points!$A$5:$A$204&gt;=$B729)*(D_Points!$A$5:$A$204&lt;$B729+P_Interval)*(RIGHT(UPPER(TRIM(D_Points!$B$5:$B$204)),7)="_BRIDGE")),IF(LEFT(UPPER(TRIM(D_Points!$B$5:$B$204)),2)="EX",1,IF(LEFT(UPPER(TRIM(D_Points!$B$5:$B$204)),2)="PR",2,2))),"")</f>
        <v/>
      </c>
      <c r="T729" s="181" t="str">
        <f>IFERROR(LOOKUP(2,1/((B_Drainage!$A$5:$A$204&lt;&gt;"")*(B_Drainage!$A$5:$A$204&lt;=$B729)*(B_Drainage!$B$5:$B$204&gt;$B729)*(B_Drainage!$E$5:$E$204&lt;&gt;"")),IF(B_Drainage!$E$5:$E$204="-","",1)),"")</f>
        <v/>
      </c>
      <c r="U729" s="181" t="str">
        <f>IFERROR(LOOKUP(2,1/((B_Drainage!$A$5:$A$204&lt;&gt;"")*(B_Drainage!$A$5:$A$204&lt;=$B729)*(B_Drainage!$B$5:$B$204&gt;$B729)*(B_Drainage!$E$5:$E$204&lt;&gt;"")),IF(B_Drainage!$E$5:$E$204="-","",B_Drainage!$E$5:$E$204)),"")</f>
        <v/>
      </c>
      <c r="V729" s="181" t="str">
        <f>IFERROR(LOOKUP(2,1/((B_Drainage!$A$5:$A$204&lt;&gt;"")*(B_Drainage!$A$5:$A$204&lt;=$B729)*(B_Drainage!$B$5:$B$204&gt;$B729)*(B_Drainage!$F$5:$F$204&lt;&gt;"")),IF(B_Drainage!$F$5:$F$204="-","",1)),"")</f>
        <v/>
      </c>
      <c r="W729" s="181" t="str">
        <f>IFERROR(LOOKUP(2,1/((B_Drainage!$A$5:$A$204&lt;&gt;"")*(B_Drainage!$A$5:$A$204&lt;=$B729)*(B_Drainage!$B$5:$B$204&gt;$B729)*(B_Drainage!$F$5:$F$204&lt;&gt;"")),IF(B_Drainage!$F$5:$F$204="-","",B_Drainage!$F$5:$F$204)),"")</f>
        <v/>
      </c>
      <c r="X729" s="181" t="str">
        <f>IFERROR(LOOKUP(2,1/((B_Drainage!$A$5:$A$204&lt;&gt;"")*(B_Drainage!$A$5:$A$204&lt;=$B729)*(B_Drainage!$B$5:$B$204&gt;$B729)*(B_Drainage!$G$5:$G$204&lt;&gt;"")),IF(UPPER(B_Drainage!$G$5:$G$204)="Y",1,"")),"")</f>
        <v/>
      </c>
      <c r="Y729" s="181" t="str">
        <f>IFERROR(LOOKUP(2,1/((B_Drainage!$A$5:$A$204&lt;&gt;"")*(B_Drainage!$A$5:$A$204&lt;=$B729)*(B_Drainage!$B$5:$B$204&gt;$B729)*(B_Drainage!$H$5:$H$204&lt;&gt;"")),IF(UPPER(B_Drainage!$H$5:$H$204)="Y",1,"")),"")</f>
        <v/>
      </c>
      <c r="Z729" s="181" t="str">
        <f>IFERROR(LOOKUP(2,1/((B_Drainage!$A$5:$A$204&lt;&gt;"")*(B_Drainage!$A$5:$A$204&lt;=$B729)*(B_Drainage!$B$5:$B$204&gt;$B729)*(B_Drainage!$I$5:$I$204&lt;&gt;"")),IF(UPPER(B_Drainage!$I$5:$I$204)="Y",1,"")),"")</f>
        <v/>
      </c>
      <c r="AA729" s="181" t="str">
        <f>IFERROR(LOOKUP(2,1/((B_Drainage!$A$5:$A$204&lt;&gt;"")*(B_Drainage!$A$5:$A$204&lt;=$B729)*(B_Drainage!$B$5:$B$204&gt;$B729)*(B_Drainage!$J$5:$J$204&lt;&gt;"")),IF(UPPER(B_Drainage!$J$5:$J$204)="Y",1,"")),"")</f>
        <v/>
      </c>
      <c r="AB729" s="182" t="str">
        <f>IFERROR(LOOKUP(2,1/((B_Drainage!$A$5:$A$204&lt;&gt;"")*(B_Drainage!$A$5:$A$204&lt;=$B729)*(B_Drainage!$B$5:$B$204&gt;$B729)*(B_Drainage!$K$5:$K$204&lt;&gt;"")),IF(B_Drainage!$K$5:$K$204="-","",B_Drainage!$K$5:$K$204)),"")</f>
        <v/>
      </c>
      <c r="AC729" s="182" t="str">
        <f>IFERROR(LOOKUP(2,1/((B_Drainage!$A$5:$A$204&lt;&gt;"")*(B_Drainage!$A$5:$A$204&lt;=$B729)*(B_Drainage!$B$5:$B$204&gt;$B729)*(B_Drainage!$L$5:$L$204&lt;&gt;"")),IF(B_Drainage!$L$5:$L$204="-","",B_Drainage!$L$5:$L$204)),"")</f>
        <v/>
      </c>
      <c r="AD729" s="182" t="str">
        <f>IFERROR(LOOKUP(2,1/((D_Points!$A$5:$A$204&lt;&gt;"")*(D_Points!$A$5:$A$204&gt;=$B729)*(D_Points!$A$5:$A$204&lt;$B729+P_Interval)*(UPPER(TRIM(D_Points!$B$5:$B$204))="TURNOUT_L")*(D_Points!$H$5:$H$204&lt;&gt;"")),D_Points!$H$5:$H$204),"")</f>
        <v/>
      </c>
      <c r="AE729" s="182" t="str">
        <f>IFERROR(LOOKUP(2,1/((D_Points!$A$5:$A$204&lt;&gt;"")*(D_Points!$A$5:$A$204&gt;=$B729)*(D_Points!$A$5:$A$204&lt;$B729+P_Interval)*(UPPER(TRIM(D_Points!$B$5:$B$204))="TURNOUT_R")*(D_Points!$H$5:$H$204&lt;&gt;"")),D_Points!$H$5:$H$204),"")</f>
        <v/>
      </c>
      <c r="AF729" s="181" t="str">
        <f>IFERROR(LOOKUP(2,1/((B_Drainage!$A$5:$A$204&lt;&gt;"")*(B_Drainage!$A$5:$A$204&lt;=$B729)*(B_Drainage!$B$5:$B$204&gt;$B729)*(B_Drainage!$M$5:$M$204&lt;&gt;"")),IF(UPPER(B_Drainage!$M$5:$M$204)="Y",1,"")),"")</f>
        <v/>
      </c>
      <c r="AG729" s="181" t="str">
        <f>IFERROR(LOOKUP(2,1/((B_Drainage!$A$5:$A$204&lt;&gt;"")*(B_Drainage!$A$5:$A$204&lt;=$B729)*(B_Drainage!$B$5:$B$204&gt;$B729)*(B_Drainage!$N$5:$N$204&lt;&gt;"")),IF(UPPER(B_Drainage!$N$5:$N$204)="Y",1,"")),"")</f>
        <v/>
      </c>
      <c r="AH729" s="181" t="str">
        <f t="shared" si="88"/>
        <v/>
      </c>
      <c r="AI729" s="181" t="str">
        <f t="shared" si="89"/>
        <v/>
      </c>
      <c r="AJ729" s="181" t="str">
        <f t="shared" si="90"/>
        <v/>
      </c>
      <c r="AK729" s="181" t="str">
        <f t="shared" si="91"/>
        <v/>
      </c>
      <c r="AL729" s="181" t="str">
        <f t="shared" si="92"/>
        <v/>
      </c>
      <c r="AM729" s="181" t="str">
        <f t="shared" si="93"/>
        <v/>
      </c>
      <c r="AN729" s="181" t="str">
        <f t="shared" si="94"/>
        <v/>
      </c>
      <c r="AO729" s="192" t="str">
        <f t="shared" si="95"/>
        <v/>
      </c>
      <c r="AQ729" t="str">
        <f>IFERROR(LOOKUP(2,1/((C_Pavement!$A$5:$A$204&lt;&gt;"")*(C_Pavement!$A$5:$A$204&lt;=$B729)*(C_Pavement!$B$5:$B$204&gt;$B729)*(C_Pavement!$C$5:$C$204&lt;&gt;"")),ROW(C_Pavement!$C$5:$C$204)-4),"")</f>
        <v/>
      </c>
      <c r="AR729" t="str">
        <f>IF($AQ729="","",UPPER(TRIM(INDEX(C_Pavement!$C$5:$C$204,$AQ729))))</f>
        <v/>
      </c>
      <c r="AS729" t="str">
        <f>IF($AR729="","",IFERROR(MATCH($AR729,E_Rules!$A$5:$A$9,0),""))</f>
        <v/>
      </c>
      <c r="AT729" t="str">
        <f>IF($AQ729="","",IF(INDEX(C_Pavement!$D$5:$D$204,$AQ729)&lt;&gt;"",UPPER(TRIM(INDEX(C_Pavement!$D$5:$D$204,$AQ729))),IF($AS729="","",INDEX(E_Rules!$C$5:$C$9,$AS729))))</f>
        <v/>
      </c>
      <c r="AU729" t="str">
        <f>IF($AQ729="","",IF(INDEX(C_Pavement!$E$5:$E$204,$AQ729)&lt;&gt;"",IF(INDEX(C_Pavement!$E$5:$E$204,$AQ729)="-","",INDEX(C_Pavement!$E$5:$E$204,$AQ729)),IF($AS729="","",INDEX(E_Rules!$D$5:$D$9,$AS729))))</f>
        <v/>
      </c>
      <c r="AV729" t="str">
        <f>IF($AQ729="","",IF(INDEX(C_Pavement!$F$5:$F$204,$AQ729)&lt;&gt;"",IF(INDEX(C_Pavement!$F$5:$F$204,$AQ729)="-","",INDEX(C_Pavement!$F$5:$F$204,$AQ729)),IF($AS729="","",INDEX(E_Rules!$E$5:$E$9,$AS729))))</f>
        <v/>
      </c>
      <c r="AW729" t="str">
        <f>IF($AQ729="","",IF(INDEX(C_Pavement!$G$5:$G$204,$AQ729)&lt;&gt;"",IF(INDEX(C_Pavement!$G$5:$G$204,$AQ729)="-","",INDEX(C_Pavement!$G$5:$G$204,$AQ729)),IF($AS729="","",INDEX(E_Rules!$F$5:$F$9,$AS729))))</f>
        <v/>
      </c>
      <c r="AX729" t="str">
        <f>IF($AQ729="","",IF(INDEX(C_Pavement!$H$5:$H$204,$AQ729)&lt;&gt;"",IF(INDEX(C_Pavement!$H$5:$H$204,$AQ729)="-","",INDEX(C_Pavement!$H$5:$H$204,$AQ729)),IF($AS729="","",INDEX(E_Rules!$G$5:$G$9,$AS729))))</f>
        <v/>
      </c>
      <c r="AY729" t="str">
        <f>IF($AQ729="","",IF(INDEX(C_Pavement!$I$5:$I$204,$AQ729)&lt;&gt;"",IF(INDEX(C_Pavement!$I$5:$I$204,$AQ729)="-","",INDEX(C_Pavement!$I$5:$I$204,$AQ729)),IF($AS729="","",INDEX(E_Rules!$H$5:$H$9,$AS729))))</f>
        <v/>
      </c>
    </row>
    <row r="730" spans="1:51" ht="15.75" customHeight="1" x14ac:dyDescent="0.3">
      <c r="A730" s="189">
        <v>725</v>
      </c>
      <c r="B730" s="180">
        <v>36200</v>
      </c>
      <c r="C730" s="180" t="s">
        <v>1036</v>
      </c>
      <c r="D730" s="181" t="str">
        <f>IFERROR(LOOKUP(2,1/((A_Corridor!$A$5:$A$204&lt;&gt;"")*(A_Corridor!$A$5:$A$204&lt;=$B730)*(A_Corridor!$B$5:$B$204&gt;$B730)*(A_Corridor!$C$5:$C$204&lt;&gt;"")),IF(UPPER(A_Corridor!$C$5:$C$204)="Y",1,"")),"")</f>
        <v/>
      </c>
      <c r="E730" s="181" t="str">
        <f>IFERROR(LOOKUP(2,1/((A_Corridor!$A$5:$A$204&lt;&gt;"")*(A_Corridor!$A$5:$A$204&lt;=$B730)*(A_Corridor!$B$5:$B$204&gt;$B730)*(A_Corridor!$D$5:$D$204&lt;&gt;"")),IF(A_Corridor!$D$5:$D$204="-","",UPPER(A_Corridor!$D$5:$D$204))),"")</f>
        <v/>
      </c>
      <c r="F730" s="181" t="str">
        <f>IFERROR(LOOKUP(2,1/((A_Corridor!$A$5:$A$204&lt;&gt;"")*(A_Corridor!$A$5:$A$204&lt;=$B730)*(A_Corridor!$B$5:$B$204&gt;$B730)*(A_Corridor!$E$5:$E$204&lt;&gt;"")),IF(A_Corridor!$E$5:$E$204="-","",1)),"")</f>
        <v/>
      </c>
      <c r="G730" s="182" t="str">
        <f>IFERROR(LOOKUP(2,1/((A_Corridor!$A$5:$A$204&lt;&gt;"")*(A_Corridor!$A$5:$A$204&lt;=$B730)*(A_Corridor!$B$5:$B$204&gt;$B730)*(A_Corridor!$E$5:$E$204&lt;&gt;"")),IF(A_Corridor!$E$5:$E$204="-","",A_Corridor!$E$5:$E$204)),"")</f>
        <v/>
      </c>
      <c r="H730" s="182" t="str">
        <f>IFERROR(LOOKUP(2,1/((D_Points!$A$5:$A$204&lt;&gt;"")*(D_Points!$A$5:$A$204&gt;=$B730)*(D_Points!$A$5:$A$204&lt;$B730+P_Interval)*(UPPER(TRIM(D_Points!$B$5:$B$204))="GULLY")*(D_Points!$H$5:$H$204&lt;&gt;"")),D_Points!$H$5:$H$204),"")</f>
        <v/>
      </c>
      <c r="I730" s="181" t="str">
        <f>IFERROR(LOOKUP(2,1/((A_Corridor!$A$5:$A$204&lt;&gt;"")*(A_Corridor!$A$5:$A$204&lt;=$B730)*(A_Corridor!$B$5:$B$204&gt;$B730)*(A_Corridor!$F$5:$F$204&lt;&gt;"")),IF(A_Corridor!$F$5:$F$204="-","",1)),"")</f>
        <v/>
      </c>
      <c r="J730" s="182" t="str">
        <f>IFERROR(LOOKUP(2,1/((A_Corridor!$A$5:$A$204&lt;&gt;"")*(A_Corridor!$A$5:$A$204&lt;=$B730)*(A_Corridor!$B$5:$B$204&gt;$B730)*(A_Corridor!$F$5:$F$204&lt;&gt;"")),IF(A_Corridor!$F$5:$F$204="-","",A_Corridor!$F$5:$F$204)),"")</f>
        <v/>
      </c>
      <c r="K730" s="182" t="str">
        <f>IFERROR(LOOKUP(2,1/((A_Corridor!$A$5:$A$204&lt;&gt;"")*(A_Corridor!$A$5:$A$204&lt;=$B730)*(A_Corridor!$B$5:$B$204&gt;$B730)*(A_Corridor!$G$5:$G$204&lt;&gt;"")),IF(A_Corridor!$G$5:$G$204="-","",A_Corridor!$G$5:$G$204)),"")</f>
        <v/>
      </c>
      <c r="L730" s="181" t="str">
        <f>IFERROR(LOOKUP(2,1/((A_Corridor!$A$5:$A$204&lt;&gt;"")*(A_Corridor!$A$5:$A$204&lt;=$B730)*(A_Corridor!$B$5:$B$204&gt;$B730)*(A_Corridor!$H$5:$H$204&lt;&gt;"")),IF(A_Corridor!$H$5:$H$204="-","",1)),"")</f>
        <v/>
      </c>
      <c r="M730" s="182" t="str">
        <f>IFERROR(LOOKUP(2,1/((A_Corridor!$A$5:$A$204&lt;&gt;"")*(A_Corridor!$A$5:$A$204&lt;=$B730)*(A_Corridor!$B$5:$B$204&gt;$B730)*(A_Corridor!$H$5:$H$204&lt;&gt;"")),IF(A_Corridor!$H$5:$H$204="-","",A_Corridor!$H$5:$H$204)),"")</f>
        <v/>
      </c>
      <c r="N730" s="182" t="str">
        <f>IFERROR(LOOKUP(2,1/((A_Corridor!$A$5:$A$204&lt;&gt;"")*(A_Corridor!$A$5:$A$204&lt;=$B730)*(A_Corridor!$B$5:$B$204&gt;$B730)*(A_Corridor!$I$5:$I$204&lt;&gt;"")),IF(A_Corridor!$I$5:$I$204="-","",A_Corridor!$I$5:$I$204)),"")</f>
        <v/>
      </c>
      <c r="O730" s="182" t="str">
        <f>IFERROR(LOOKUP(2,1/((D_Points!$A$5:$A$204&lt;&gt;"")*(D_Points!$A$5:$A$204&gt;=$B730)*(D_Points!$A$5:$A$204&lt;$B730+P_Interval)*(UPPER(TRIM(D_Points!$B$5:$B$204))="PITCHING")*(D_Points!$H$5:$H$204&lt;&gt;"")),D_Points!$H$5:$H$204),"")</f>
        <v/>
      </c>
      <c r="P730" s="181" t="str">
        <f>IFERROR(LOOKUP(2,1/((B_Drainage!$A$5:$A$204&lt;&gt;"")*(B_Drainage!$A$5:$A$204&lt;=$B730)*(B_Drainage!$B$5:$B$204&gt;$B730)*(B_Drainage!$C$5:$C$204&lt;&gt;"")),IF(B_Drainage!$C$5:$C$204="-","",UPPER(B_Drainage!$C$5:$C$204))),"")</f>
        <v/>
      </c>
      <c r="Q730" s="181" t="str">
        <f>IFERROR(LOOKUP(2,1/((B_Drainage!$A$5:$A$204&lt;&gt;"")*(B_Drainage!$A$5:$A$204&lt;=$B730)*(B_Drainage!$B$5:$B$204&gt;$B730)*(B_Drainage!$D$5:$D$204&lt;&gt;"")),IF(B_Drainage!$D$5:$D$204="-","",UPPER(B_Drainage!$D$5:$D$204))),"")</f>
        <v/>
      </c>
      <c r="R730" s="182" t="str">
        <f>IFERROR(LOOKUP(2,1/((D_Points!$A$5:$A$204&lt;&gt;"")*(D_Points!$A$5:$A$204&gt;=$B730)*(D_Points!$A$5:$A$204&lt;$B730+P_Interval)*(RIGHT(UPPER(TRIM(D_Points!$B$5:$B$204)),8)="_CULVERT")),IF(LEFT(UPPER(TRIM(D_Points!$B$5:$B$204)),2)="EX",1,IF(LEFT(UPPER(TRIM(D_Points!$B$5:$B$204)),2)="PR",2,3))),"")</f>
        <v/>
      </c>
      <c r="S730" s="182" t="str">
        <f>IFERROR(LOOKUP(2,1/((D_Points!$A$5:$A$204&lt;&gt;"")*(D_Points!$A$5:$A$204&gt;=$B730)*(D_Points!$A$5:$A$204&lt;$B730+P_Interval)*(RIGHT(UPPER(TRIM(D_Points!$B$5:$B$204)),7)="_BRIDGE")),IF(LEFT(UPPER(TRIM(D_Points!$B$5:$B$204)),2)="EX",1,IF(LEFT(UPPER(TRIM(D_Points!$B$5:$B$204)),2)="PR",2,2))),"")</f>
        <v/>
      </c>
      <c r="T730" s="181" t="str">
        <f>IFERROR(LOOKUP(2,1/((B_Drainage!$A$5:$A$204&lt;&gt;"")*(B_Drainage!$A$5:$A$204&lt;=$B730)*(B_Drainage!$B$5:$B$204&gt;$B730)*(B_Drainage!$E$5:$E$204&lt;&gt;"")),IF(B_Drainage!$E$5:$E$204="-","",1)),"")</f>
        <v/>
      </c>
      <c r="U730" s="181" t="str">
        <f>IFERROR(LOOKUP(2,1/((B_Drainage!$A$5:$A$204&lt;&gt;"")*(B_Drainage!$A$5:$A$204&lt;=$B730)*(B_Drainage!$B$5:$B$204&gt;$B730)*(B_Drainage!$E$5:$E$204&lt;&gt;"")),IF(B_Drainage!$E$5:$E$204="-","",B_Drainage!$E$5:$E$204)),"")</f>
        <v/>
      </c>
      <c r="V730" s="181" t="str">
        <f>IFERROR(LOOKUP(2,1/((B_Drainage!$A$5:$A$204&lt;&gt;"")*(B_Drainage!$A$5:$A$204&lt;=$B730)*(B_Drainage!$B$5:$B$204&gt;$B730)*(B_Drainage!$F$5:$F$204&lt;&gt;"")),IF(B_Drainage!$F$5:$F$204="-","",1)),"")</f>
        <v/>
      </c>
      <c r="W730" s="181" t="str">
        <f>IFERROR(LOOKUP(2,1/((B_Drainage!$A$5:$A$204&lt;&gt;"")*(B_Drainage!$A$5:$A$204&lt;=$B730)*(B_Drainage!$B$5:$B$204&gt;$B730)*(B_Drainage!$F$5:$F$204&lt;&gt;"")),IF(B_Drainage!$F$5:$F$204="-","",B_Drainage!$F$5:$F$204)),"")</f>
        <v/>
      </c>
      <c r="X730" s="181" t="str">
        <f>IFERROR(LOOKUP(2,1/((B_Drainage!$A$5:$A$204&lt;&gt;"")*(B_Drainage!$A$5:$A$204&lt;=$B730)*(B_Drainage!$B$5:$B$204&gt;$B730)*(B_Drainage!$G$5:$G$204&lt;&gt;"")),IF(UPPER(B_Drainage!$G$5:$G$204)="Y",1,"")),"")</f>
        <v/>
      </c>
      <c r="Y730" s="181" t="str">
        <f>IFERROR(LOOKUP(2,1/((B_Drainage!$A$5:$A$204&lt;&gt;"")*(B_Drainage!$A$5:$A$204&lt;=$B730)*(B_Drainage!$B$5:$B$204&gt;$B730)*(B_Drainage!$H$5:$H$204&lt;&gt;"")),IF(UPPER(B_Drainage!$H$5:$H$204)="Y",1,"")),"")</f>
        <v/>
      </c>
      <c r="Z730" s="181" t="str">
        <f>IFERROR(LOOKUP(2,1/((B_Drainage!$A$5:$A$204&lt;&gt;"")*(B_Drainage!$A$5:$A$204&lt;=$B730)*(B_Drainage!$B$5:$B$204&gt;$B730)*(B_Drainage!$I$5:$I$204&lt;&gt;"")),IF(UPPER(B_Drainage!$I$5:$I$204)="Y",1,"")),"")</f>
        <v/>
      </c>
      <c r="AA730" s="181" t="str">
        <f>IFERROR(LOOKUP(2,1/((B_Drainage!$A$5:$A$204&lt;&gt;"")*(B_Drainage!$A$5:$A$204&lt;=$B730)*(B_Drainage!$B$5:$B$204&gt;$B730)*(B_Drainage!$J$5:$J$204&lt;&gt;"")),IF(UPPER(B_Drainage!$J$5:$J$204)="Y",1,"")),"")</f>
        <v/>
      </c>
      <c r="AB730" s="182" t="str">
        <f>IFERROR(LOOKUP(2,1/((B_Drainage!$A$5:$A$204&lt;&gt;"")*(B_Drainage!$A$5:$A$204&lt;=$B730)*(B_Drainage!$B$5:$B$204&gt;$B730)*(B_Drainage!$K$5:$K$204&lt;&gt;"")),IF(B_Drainage!$K$5:$K$204="-","",B_Drainage!$K$5:$K$204)),"")</f>
        <v/>
      </c>
      <c r="AC730" s="182" t="str">
        <f>IFERROR(LOOKUP(2,1/((B_Drainage!$A$5:$A$204&lt;&gt;"")*(B_Drainage!$A$5:$A$204&lt;=$B730)*(B_Drainage!$B$5:$B$204&gt;$B730)*(B_Drainage!$L$5:$L$204&lt;&gt;"")),IF(B_Drainage!$L$5:$L$204="-","",B_Drainage!$L$5:$L$204)),"")</f>
        <v/>
      </c>
      <c r="AD730" s="182" t="str">
        <f>IFERROR(LOOKUP(2,1/((D_Points!$A$5:$A$204&lt;&gt;"")*(D_Points!$A$5:$A$204&gt;=$B730)*(D_Points!$A$5:$A$204&lt;$B730+P_Interval)*(UPPER(TRIM(D_Points!$B$5:$B$204))="TURNOUT_L")*(D_Points!$H$5:$H$204&lt;&gt;"")),D_Points!$H$5:$H$204),"")</f>
        <v/>
      </c>
      <c r="AE730" s="182" t="str">
        <f>IFERROR(LOOKUP(2,1/((D_Points!$A$5:$A$204&lt;&gt;"")*(D_Points!$A$5:$A$204&gt;=$B730)*(D_Points!$A$5:$A$204&lt;$B730+P_Interval)*(UPPER(TRIM(D_Points!$B$5:$B$204))="TURNOUT_R")*(D_Points!$H$5:$H$204&lt;&gt;"")),D_Points!$H$5:$H$204),"")</f>
        <v/>
      </c>
      <c r="AF730" s="181" t="str">
        <f>IFERROR(LOOKUP(2,1/((B_Drainage!$A$5:$A$204&lt;&gt;"")*(B_Drainage!$A$5:$A$204&lt;=$B730)*(B_Drainage!$B$5:$B$204&gt;$B730)*(B_Drainage!$M$5:$M$204&lt;&gt;"")),IF(UPPER(B_Drainage!$M$5:$M$204)="Y",1,"")),"")</f>
        <v/>
      </c>
      <c r="AG730" s="181" t="str">
        <f>IFERROR(LOOKUP(2,1/((B_Drainage!$A$5:$A$204&lt;&gt;"")*(B_Drainage!$A$5:$A$204&lt;=$B730)*(B_Drainage!$B$5:$B$204&gt;$B730)*(B_Drainage!$N$5:$N$204&lt;&gt;"")),IF(UPPER(B_Drainage!$N$5:$N$204)="Y",1,"")),"")</f>
        <v/>
      </c>
      <c r="AH730" s="181" t="str">
        <f t="shared" si="88"/>
        <v/>
      </c>
      <c r="AI730" s="181" t="str">
        <f t="shared" si="89"/>
        <v/>
      </c>
      <c r="AJ730" s="181" t="str">
        <f t="shared" si="90"/>
        <v/>
      </c>
      <c r="AK730" s="181" t="str">
        <f t="shared" si="91"/>
        <v/>
      </c>
      <c r="AL730" s="181" t="str">
        <f t="shared" si="92"/>
        <v/>
      </c>
      <c r="AM730" s="181" t="str">
        <f t="shared" si="93"/>
        <v/>
      </c>
      <c r="AN730" s="181" t="str">
        <f t="shared" si="94"/>
        <v/>
      </c>
      <c r="AO730" s="192" t="str">
        <f t="shared" si="95"/>
        <v/>
      </c>
      <c r="AQ730" t="str">
        <f>IFERROR(LOOKUP(2,1/((C_Pavement!$A$5:$A$204&lt;&gt;"")*(C_Pavement!$A$5:$A$204&lt;=$B730)*(C_Pavement!$B$5:$B$204&gt;$B730)*(C_Pavement!$C$5:$C$204&lt;&gt;"")),ROW(C_Pavement!$C$5:$C$204)-4),"")</f>
        <v/>
      </c>
      <c r="AR730" t="str">
        <f>IF($AQ730="","",UPPER(TRIM(INDEX(C_Pavement!$C$5:$C$204,$AQ730))))</f>
        <v/>
      </c>
      <c r="AS730" t="str">
        <f>IF($AR730="","",IFERROR(MATCH($AR730,E_Rules!$A$5:$A$9,0),""))</f>
        <v/>
      </c>
      <c r="AT730" t="str">
        <f>IF($AQ730="","",IF(INDEX(C_Pavement!$D$5:$D$204,$AQ730)&lt;&gt;"",UPPER(TRIM(INDEX(C_Pavement!$D$5:$D$204,$AQ730))),IF($AS730="","",INDEX(E_Rules!$C$5:$C$9,$AS730))))</f>
        <v/>
      </c>
      <c r="AU730" t="str">
        <f>IF($AQ730="","",IF(INDEX(C_Pavement!$E$5:$E$204,$AQ730)&lt;&gt;"",IF(INDEX(C_Pavement!$E$5:$E$204,$AQ730)="-","",INDEX(C_Pavement!$E$5:$E$204,$AQ730)),IF($AS730="","",INDEX(E_Rules!$D$5:$D$9,$AS730))))</f>
        <v/>
      </c>
      <c r="AV730" t="str">
        <f>IF($AQ730="","",IF(INDEX(C_Pavement!$F$5:$F$204,$AQ730)&lt;&gt;"",IF(INDEX(C_Pavement!$F$5:$F$204,$AQ730)="-","",INDEX(C_Pavement!$F$5:$F$204,$AQ730)),IF($AS730="","",INDEX(E_Rules!$E$5:$E$9,$AS730))))</f>
        <v/>
      </c>
      <c r="AW730" t="str">
        <f>IF($AQ730="","",IF(INDEX(C_Pavement!$G$5:$G$204,$AQ730)&lt;&gt;"",IF(INDEX(C_Pavement!$G$5:$G$204,$AQ730)="-","",INDEX(C_Pavement!$G$5:$G$204,$AQ730)),IF($AS730="","",INDEX(E_Rules!$F$5:$F$9,$AS730))))</f>
        <v/>
      </c>
      <c r="AX730" t="str">
        <f>IF($AQ730="","",IF(INDEX(C_Pavement!$H$5:$H$204,$AQ730)&lt;&gt;"",IF(INDEX(C_Pavement!$H$5:$H$204,$AQ730)="-","",INDEX(C_Pavement!$H$5:$H$204,$AQ730)),IF($AS730="","",INDEX(E_Rules!$G$5:$G$9,$AS730))))</f>
        <v/>
      </c>
      <c r="AY730" t="str">
        <f>IF($AQ730="","",IF(INDEX(C_Pavement!$I$5:$I$204,$AQ730)&lt;&gt;"",IF(INDEX(C_Pavement!$I$5:$I$204,$AQ730)="-","",INDEX(C_Pavement!$I$5:$I$204,$AQ730)),IF($AS730="","",INDEX(E_Rules!$H$5:$H$9,$AS730))))</f>
        <v/>
      </c>
    </row>
    <row r="731" spans="1:51" ht="15.75" customHeight="1" x14ac:dyDescent="0.3">
      <c r="A731" s="189">
        <v>726</v>
      </c>
      <c r="B731" s="180">
        <v>36250</v>
      </c>
      <c r="C731" s="180" t="s">
        <v>1037</v>
      </c>
      <c r="D731" s="181" t="str">
        <f>IFERROR(LOOKUP(2,1/((A_Corridor!$A$5:$A$204&lt;&gt;"")*(A_Corridor!$A$5:$A$204&lt;=$B731)*(A_Corridor!$B$5:$B$204&gt;$B731)*(A_Corridor!$C$5:$C$204&lt;&gt;"")),IF(UPPER(A_Corridor!$C$5:$C$204)="Y",1,"")),"")</f>
        <v/>
      </c>
      <c r="E731" s="181" t="str">
        <f>IFERROR(LOOKUP(2,1/((A_Corridor!$A$5:$A$204&lt;&gt;"")*(A_Corridor!$A$5:$A$204&lt;=$B731)*(A_Corridor!$B$5:$B$204&gt;$B731)*(A_Corridor!$D$5:$D$204&lt;&gt;"")),IF(A_Corridor!$D$5:$D$204="-","",UPPER(A_Corridor!$D$5:$D$204))),"")</f>
        <v/>
      </c>
      <c r="F731" s="181" t="str">
        <f>IFERROR(LOOKUP(2,1/((A_Corridor!$A$5:$A$204&lt;&gt;"")*(A_Corridor!$A$5:$A$204&lt;=$B731)*(A_Corridor!$B$5:$B$204&gt;$B731)*(A_Corridor!$E$5:$E$204&lt;&gt;"")),IF(A_Corridor!$E$5:$E$204="-","",1)),"")</f>
        <v/>
      </c>
      <c r="G731" s="182" t="str">
        <f>IFERROR(LOOKUP(2,1/((A_Corridor!$A$5:$A$204&lt;&gt;"")*(A_Corridor!$A$5:$A$204&lt;=$B731)*(A_Corridor!$B$5:$B$204&gt;$B731)*(A_Corridor!$E$5:$E$204&lt;&gt;"")),IF(A_Corridor!$E$5:$E$204="-","",A_Corridor!$E$5:$E$204)),"")</f>
        <v/>
      </c>
      <c r="H731" s="182" t="str">
        <f>IFERROR(LOOKUP(2,1/((D_Points!$A$5:$A$204&lt;&gt;"")*(D_Points!$A$5:$A$204&gt;=$B731)*(D_Points!$A$5:$A$204&lt;$B731+P_Interval)*(UPPER(TRIM(D_Points!$B$5:$B$204))="GULLY")*(D_Points!$H$5:$H$204&lt;&gt;"")),D_Points!$H$5:$H$204),"")</f>
        <v/>
      </c>
      <c r="I731" s="181" t="str">
        <f>IFERROR(LOOKUP(2,1/((A_Corridor!$A$5:$A$204&lt;&gt;"")*(A_Corridor!$A$5:$A$204&lt;=$B731)*(A_Corridor!$B$5:$B$204&gt;$B731)*(A_Corridor!$F$5:$F$204&lt;&gt;"")),IF(A_Corridor!$F$5:$F$204="-","",1)),"")</f>
        <v/>
      </c>
      <c r="J731" s="182" t="str">
        <f>IFERROR(LOOKUP(2,1/((A_Corridor!$A$5:$A$204&lt;&gt;"")*(A_Corridor!$A$5:$A$204&lt;=$B731)*(A_Corridor!$B$5:$B$204&gt;$B731)*(A_Corridor!$F$5:$F$204&lt;&gt;"")),IF(A_Corridor!$F$5:$F$204="-","",A_Corridor!$F$5:$F$204)),"")</f>
        <v/>
      </c>
      <c r="K731" s="182" t="str">
        <f>IFERROR(LOOKUP(2,1/((A_Corridor!$A$5:$A$204&lt;&gt;"")*(A_Corridor!$A$5:$A$204&lt;=$B731)*(A_Corridor!$B$5:$B$204&gt;$B731)*(A_Corridor!$G$5:$G$204&lt;&gt;"")),IF(A_Corridor!$G$5:$G$204="-","",A_Corridor!$G$5:$G$204)),"")</f>
        <v/>
      </c>
      <c r="L731" s="181" t="str">
        <f>IFERROR(LOOKUP(2,1/((A_Corridor!$A$5:$A$204&lt;&gt;"")*(A_Corridor!$A$5:$A$204&lt;=$B731)*(A_Corridor!$B$5:$B$204&gt;$B731)*(A_Corridor!$H$5:$H$204&lt;&gt;"")),IF(A_Corridor!$H$5:$H$204="-","",1)),"")</f>
        <v/>
      </c>
      <c r="M731" s="182" t="str">
        <f>IFERROR(LOOKUP(2,1/((A_Corridor!$A$5:$A$204&lt;&gt;"")*(A_Corridor!$A$5:$A$204&lt;=$B731)*(A_Corridor!$B$5:$B$204&gt;$B731)*(A_Corridor!$H$5:$H$204&lt;&gt;"")),IF(A_Corridor!$H$5:$H$204="-","",A_Corridor!$H$5:$H$204)),"")</f>
        <v/>
      </c>
      <c r="N731" s="182" t="str">
        <f>IFERROR(LOOKUP(2,1/((A_Corridor!$A$5:$A$204&lt;&gt;"")*(A_Corridor!$A$5:$A$204&lt;=$B731)*(A_Corridor!$B$5:$B$204&gt;$B731)*(A_Corridor!$I$5:$I$204&lt;&gt;"")),IF(A_Corridor!$I$5:$I$204="-","",A_Corridor!$I$5:$I$204)),"")</f>
        <v/>
      </c>
      <c r="O731" s="182" t="str">
        <f>IFERROR(LOOKUP(2,1/((D_Points!$A$5:$A$204&lt;&gt;"")*(D_Points!$A$5:$A$204&gt;=$B731)*(D_Points!$A$5:$A$204&lt;$B731+P_Interval)*(UPPER(TRIM(D_Points!$B$5:$B$204))="PITCHING")*(D_Points!$H$5:$H$204&lt;&gt;"")),D_Points!$H$5:$H$204),"")</f>
        <v/>
      </c>
      <c r="P731" s="181" t="str">
        <f>IFERROR(LOOKUP(2,1/((B_Drainage!$A$5:$A$204&lt;&gt;"")*(B_Drainage!$A$5:$A$204&lt;=$B731)*(B_Drainage!$B$5:$B$204&gt;$B731)*(B_Drainage!$C$5:$C$204&lt;&gt;"")),IF(B_Drainage!$C$5:$C$204="-","",UPPER(B_Drainage!$C$5:$C$204))),"")</f>
        <v/>
      </c>
      <c r="Q731" s="181" t="str">
        <f>IFERROR(LOOKUP(2,1/((B_Drainage!$A$5:$A$204&lt;&gt;"")*(B_Drainage!$A$5:$A$204&lt;=$B731)*(B_Drainage!$B$5:$B$204&gt;$B731)*(B_Drainage!$D$5:$D$204&lt;&gt;"")),IF(B_Drainage!$D$5:$D$204="-","",UPPER(B_Drainage!$D$5:$D$204))),"")</f>
        <v/>
      </c>
      <c r="R731" s="182" t="str">
        <f>IFERROR(LOOKUP(2,1/((D_Points!$A$5:$A$204&lt;&gt;"")*(D_Points!$A$5:$A$204&gt;=$B731)*(D_Points!$A$5:$A$204&lt;$B731+P_Interval)*(RIGHT(UPPER(TRIM(D_Points!$B$5:$B$204)),8)="_CULVERT")),IF(LEFT(UPPER(TRIM(D_Points!$B$5:$B$204)),2)="EX",1,IF(LEFT(UPPER(TRIM(D_Points!$B$5:$B$204)),2)="PR",2,3))),"")</f>
        <v/>
      </c>
      <c r="S731" s="182" t="str">
        <f>IFERROR(LOOKUP(2,1/((D_Points!$A$5:$A$204&lt;&gt;"")*(D_Points!$A$5:$A$204&gt;=$B731)*(D_Points!$A$5:$A$204&lt;$B731+P_Interval)*(RIGHT(UPPER(TRIM(D_Points!$B$5:$B$204)),7)="_BRIDGE")),IF(LEFT(UPPER(TRIM(D_Points!$B$5:$B$204)),2)="EX",1,IF(LEFT(UPPER(TRIM(D_Points!$B$5:$B$204)),2)="PR",2,2))),"")</f>
        <v/>
      </c>
      <c r="T731" s="181" t="str">
        <f>IFERROR(LOOKUP(2,1/((B_Drainage!$A$5:$A$204&lt;&gt;"")*(B_Drainage!$A$5:$A$204&lt;=$B731)*(B_Drainage!$B$5:$B$204&gt;$B731)*(B_Drainage!$E$5:$E$204&lt;&gt;"")),IF(B_Drainage!$E$5:$E$204="-","",1)),"")</f>
        <v/>
      </c>
      <c r="U731" s="181" t="str">
        <f>IFERROR(LOOKUP(2,1/((B_Drainage!$A$5:$A$204&lt;&gt;"")*(B_Drainage!$A$5:$A$204&lt;=$B731)*(B_Drainage!$B$5:$B$204&gt;$B731)*(B_Drainage!$E$5:$E$204&lt;&gt;"")),IF(B_Drainage!$E$5:$E$204="-","",B_Drainage!$E$5:$E$204)),"")</f>
        <v/>
      </c>
      <c r="V731" s="181" t="str">
        <f>IFERROR(LOOKUP(2,1/((B_Drainage!$A$5:$A$204&lt;&gt;"")*(B_Drainage!$A$5:$A$204&lt;=$B731)*(B_Drainage!$B$5:$B$204&gt;$B731)*(B_Drainage!$F$5:$F$204&lt;&gt;"")),IF(B_Drainage!$F$5:$F$204="-","",1)),"")</f>
        <v/>
      </c>
      <c r="W731" s="181" t="str">
        <f>IFERROR(LOOKUP(2,1/((B_Drainage!$A$5:$A$204&lt;&gt;"")*(B_Drainage!$A$5:$A$204&lt;=$B731)*(B_Drainage!$B$5:$B$204&gt;$B731)*(B_Drainage!$F$5:$F$204&lt;&gt;"")),IF(B_Drainage!$F$5:$F$204="-","",B_Drainage!$F$5:$F$204)),"")</f>
        <v/>
      </c>
      <c r="X731" s="181" t="str">
        <f>IFERROR(LOOKUP(2,1/((B_Drainage!$A$5:$A$204&lt;&gt;"")*(B_Drainage!$A$5:$A$204&lt;=$B731)*(B_Drainage!$B$5:$B$204&gt;$B731)*(B_Drainage!$G$5:$G$204&lt;&gt;"")),IF(UPPER(B_Drainage!$G$5:$G$204)="Y",1,"")),"")</f>
        <v/>
      </c>
      <c r="Y731" s="181" t="str">
        <f>IFERROR(LOOKUP(2,1/((B_Drainage!$A$5:$A$204&lt;&gt;"")*(B_Drainage!$A$5:$A$204&lt;=$B731)*(B_Drainage!$B$5:$B$204&gt;$B731)*(B_Drainage!$H$5:$H$204&lt;&gt;"")),IF(UPPER(B_Drainage!$H$5:$H$204)="Y",1,"")),"")</f>
        <v/>
      </c>
      <c r="Z731" s="181" t="str">
        <f>IFERROR(LOOKUP(2,1/((B_Drainage!$A$5:$A$204&lt;&gt;"")*(B_Drainage!$A$5:$A$204&lt;=$B731)*(B_Drainage!$B$5:$B$204&gt;$B731)*(B_Drainage!$I$5:$I$204&lt;&gt;"")),IF(UPPER(B_Drainage!$I$5:$I$204)="Y",1,"")),"")</f>
        <v/>
      </c>
      <c r="AA731" s="181" t="str">
        <f>IFERROR(LOOKUP(2,1/((B_Drainage!$A$5:$A$204&lt;&gt;"")*(B_Drainage!$A$5:$A$204&lt;=$B731)*(B_Drainage!$B$5:$B$204&gt;$B731)*(B_Drainage!$J$5:$J$204&lt;&gt;"")),IF(UPPER(B_Drainage!$J$5:$J$204)="Y",1,"")),"")</f>
        <v/>
      </c>
      <c r="AB731" s="182" t="str">
        <f>IFERROR(LOOKUP(2,1/((B_Drainage!$A$5:$A$204&lt;&gt;"")*(B_Drainage!$A$5:$A$204&lt;=$B731)*(B_Drainage!$B$5:$B$204&gt;$B731)*(B_Drainage!$K$5:$K$204&lt;&gt;"")),IF(B_Drainage!$K$5:$K$204="-","",B_Drainage!$K$5:$K$204)),"")</f>
        <v/>
      </c>
      <c r="AC731" s="182" t="str">
        <f>IFERROR(LOOKUP(2,1/((B_Drainage!$A$5:$A$204&lt;&gt;"")*(B_Drainage!$A$5:$A$204&lt;=$B731)*(B_Drainage!$B$5:$B$204&gt;$B731)*(B_Drainage!$L$5:$L$204&lt;&gt;"")),IF(B_Drainage!$L$5:$L$204="-","",B_Drainage!$L$5:$L$204)),"")</f>
        <v/>
      </c>
      <c r="AD731" s="182" t="str">
        <f>IFERROR(LOOKUP(2,1/((D_Points!$A$5:$A$204&lt;&gt;"")*(D_Points!$A$5:$A$204&gt;=$B731)*(D_Points!$A$5:$A$204&lt;$B731+P_Interval)*(UPPER(TRIM(D_Points!$B$5:$B$204))="TURNOUT_L")*(D_Points!$H$5:$H$204&lt;&gt;"")),D_Points!$H$5:$H$204),"")</f>
        <v/>
      </c>
      <c r="AE731" s="182" t="str">
        <f>IFERROR(LOOKUP(2,1/((D_Points!$A$5:$A$204&lt;&gt;"")*(D_Points!$A$5:$A$204&gt;=$B731)*(D_Points!$A$5:$A$204&lt;$B731+P_Interval)*(UPPER(TRIM(D_Points!$B$5:$B$204))="TURNOUT_R")*(D_Points!$H$5:$H$204&lt;&gt;"")),D_Points!$H$5:$H$204),"")</f>
        <v/>
      </c>
      <c r="AF731" s="181" t="str">
        <f>IFERROR(LOOKUP(2,1/((B_Drainage!$A$5:$A$204&lt;&gt;"")*(B_Drainage!$A$5:$A$204&lt;=$B731)*(B_Drainage!$B$5:$B$204&gt;$B731)*(B_Drainage!$M$5:$M$204&lt;&gt;"")),IF(UPPER(B_Drainage!$M$5:$M$204)="Y",1,"")),"")</f>
        <v/>
      </c>
      <c r="AG731" s="181" t="str">
        <f>IFERROR(LOOKUP(2,1/((B_Drainage!$A$5:$A$204&lt;&gt;"")*(B_Drainage!$A$5:$A$204&lt;=$B731)*(B_Drainage!$B$5:$B$204&gt;$B731)*(B_Drainage!$N$5:$N$204&lt;&gt;"")),IF(UPPER(B_Drainage!$N$5:$N$204)="Y",1,"")),"")</f>
        <v/>
      </c>
      <c r="AH731" s="181" t="str">
        <f t="shared" si="88"/>
        <v/>
      </c>
      <c r="AI731" s="181" t="str">
        <f t="shared" si="89"/>
        <v/>
      </c>
      <c r="AJ731" s="181" t="str">
        <f t="shared" si="90"/>
        <v/>
      </c>
      <c r="AK731" s="181" t="str">
        <f t="shared" si="91"/>
        <v/>
      </c>
      <c r="AL731" s="181" t="str">
        <f t="shared" si="92"/>
        <v/>
      </c>
      <c r="AM731" s="181" t="str">
        <f t="shared" si="93"/>
        <v/>
      </c>
      <c r="AN731" s="181" t="str">
        <f t="shared" si="94"/>
        <v/>
      </c>
      <c r="AO731" s="192" t="str">
        <f t="shared" si="95"/>
        <v/>
      </c>
      <c r="AQ731" t="str">
        <f>IFERROR(LOOKUP(2,1/((C_Pavement!$A$5:$A$204&lt;&gt;"")*(C_Pavement!$A$5:$A$204&lt;=$B731)*(C_Pavement!$B$5:$B$204&gt;$B731)*(C_Pavement!$C$5:$C$204&lt;&gt;"")),ROW(C_Pavement!$C$5:$C$204)-4),"")</f>
        <v/>
      </c>
      <c r="AR731" t="str">
        <f>IF($AQ731="","",UPPER(TRIM(INDEX(C_Pavement!$C$5:$C$204,$AQ731))))</f>
        <v/>
      </c>
      <c r="AS731" t="str">
        <f>IF($AR731="","",IFERROR(MATCH($AR731,E_Rules!$A$5:$A$9,0),""))</f>
        <v/>
      </c>
      <c r="AT731" t="str">
        <f>IF($AQ731="","",IF(INDEX(C_Pavement!$D$5:$D$204,$AQ731)&lt;&gt;"",UPPER(TRIM(INDEX(C_Pavement!$D$5:$D$204,$AQ731))),IF($AS731="","",INDEX(E_Rules!$C$5:$C$9,$AS731))))</f>
        <v/>
      </c>
      <c r="AU731" t="str">
        <f>IF($AQ731="","",IF(INDEX(C_Pavement!$E$5:$E$204,$AQ731)&lt;&gt;"",IF(INDEX(C_Pavement!$E$5:$E$204,$AQ731)="-","",INDEX(C_Pavement!$E$5:$E$204,$AQ731)),IF($AS731="","",INDEX(E_Rules!$D$5:$D$9,$AS731))))</f>
        <v/>
      </c>
      <c r="AV731" t="str">
        <f>IF($AQ731="","",IF(INDEX(C_Pavement!$F$5:$F$204,$AQ731)&lt;&gt;"",IF(INDEX(C_Pavement!$F$5:$F$204,$AQ731)="-","",INDEX(C_Pavement!$F$5:$F$204,$AQ731)),IF($AS731="","",INDEX(E_Rules!$E$5:$E$9,$AS731))))</f>
        <v/>
      </c>
      <c r="AW731" t="str">
        <f>IF($AQ731="","",IF(INDEX(C_Pavement!$G$5:$G$204,$AQ731)&lt;&gt;"",IF(INDEX(C_Pavement!$G$5:$G$204,$AQ731)="-","",INDEX(C_Pavement!$G$5:$G$204,$AQ731)),IF($AS731="","",INDEX(E_Rules!$F$5:$F$9,$AS731))))</f>
        <v/>
      </c>
      <c r="AX731" t="str">
        <f>IF($AQ731="","",IF(INDEX(C_Pavement!$H$5:$H$204,$AQ731)&lt;&gt;"",IF(INDEX(C_Pavement!$H$5:$H$204,$AQ731)="-","",INDEX(C_Pavement!$H$5:$H$204,$AQ731)),IF($AS731="","",INDEX(E_Rules!$G$5:$G$9,$AS731))))</f>
        <v/>
      </c>
      <c r="AY731" t="str">
        <f>IF($AQ731="","",IF(INDEX(C_Pavement!$I$5:$I$204,$AQ731)&lt;&gt;"",IF(INDEX(C_Pavement!$I$5:$I$204,$AQ731)="-","",INDEX(C_Pavement!$I$5:$I$204,$AQ731)),IF($AS731="","",INDEX(E_Rules!$H$5:$H$9,$AS731))))</f>
        <v/>
      </c>
    </row>
    <row r="732" spans="1:51" ht="15.75" customHeight="1" x14ac:dyDescent="0.3">
      <c r="A732" s="189">
        <v>727</v>
      </c>
      <c r="B732" s="180">
        <v>36300</v>
      </c>
      <c r="C732" s="180" t="s">
        <v>1038</v>
      </c>
      <c r="D732" s="181" t="str">
        <f>IFERROR(LOOKUP(2,1/((A_Corridor!$A$5:$A$204&lt;&gt;"")*(A_Corridor!$A$5:$A$204&lt;=$B732)*(A_Corridor!$B$5:$B$204&gt;$B732)*(A_Corridor!$C$5:$C$204&lt;&gt;"")),IF(UPPER(A_Corridor!$C$5:$C$204)="Y",1,"")),"")</f>
        <v/>
      </c>
      <c r="E732" s="181" t="str">
        <f>IFERROR(LOOKUP(2,1/((A_Corridor!$A$5:$A$204&lt;&gt;"")*(A_Corridor!$A$5:$A$204&lt;=$B732)*(A_Corridor!$B$5:$B$204&gt;$B732)*(A_Corridor!$D$5:$D$204&lt;&gt;"")),IF(A_Corridor!$D$5:$D$204="-","",UPPER(A_Corridor!$D$5:$D$204))),"")</f>
        <v/>
      </c>
      <c r="F732" s="181" t="str">
        <f>IFERROR(LOOKUP(2,1/((A_Corridor!$A$5:$A$204&lt;&gt;"")*(A_Corridor!$A$5:$A$204&lt;=$B732)*(A_Corridor!$B$5:$B$204&gt;$B732)*(A_Corridor!$E$5:$E$204&lt;&gt;"")),IF(A_Corridor!$E$5:$E$204="-","",1)),"")</f>
        <v/>
      </c>
      <c r="G732" s="182" t="str">
        <f>IFERROR(LOOKUP(2,1/((A_Corridor!$A$5:$A$204&lt;&gt;"")*(A_Corridor!$A$5:$A$204&lt;=$B732)*(A_Corridor!$B$5:$B$204&gt;$B732)*(A_Corridor!$E$5:$E$204&lt;&gt;"")),IF(A_Corridor!$E$5:$E$204="-","",A_Corridor!$E$5:$E$204)),"")</f>
        <v/>
      </c>
      <c r="H732" s="182" t="str">
        <f>IFERROR(LOOKUP(2,1/((D_Points!$A$5:$A$204&lt;&gt;"")*(D_Points!$A$5:$A$204&gt;=$B732)*(D_Points!$A$5:$A$204&lt;$B732+P_Interval)*(UPPER(TRIM(D_Points!$B$5:$B$204))="GULLY")*(D_Points!$H$5:$H$204&lt;&gt;"")),D_Points!$H$5:$H$204),"")</f>
        <v/>
      </c>
      <c r="I732" s="181" t="str">
        <f>IFERROR(LOOKUP(2,1/((A_Corridor!$A$5:$A$204&lt;&gt;"")*(A_Corridor!$A$5:$A$204&lt;=$B732)*(A_Corridor!$B$5:$B$204&gt;$B732)*(A_Corridor!$F$5:$F$204&lt;&gt;"")),IF(A_Corridor!$F$5:$F$204="-","",1)),"")</f>
        <v/>
      </c>
      <c r="J732" s="182" t="str">
        <f>IFERROR(LOOKUP(2,1/((A_Corridor!$A$5:$A$204&lt;&gt;"")*(A_Corridor!$A$5:$A$204&lt;=$B732)*(A_Corridor!$B$5:$B$204&gt;$B732)*(A_Corridor!$F$5:$F$204&lt;&gt;"")),IF(A_Corridor!$F$5:$F$204="-","",A_Corridor!$F$5:$F$204)),"")</f>
        <v/>
      </c>
      <c r="K732" s="182" t="str">
        <f>IFERROR(LOOKUP(2,1/((A_Corridor!$A$5:$A$204&lt;&gt;"")*(A_Corridor!$A$5:$A$204&lt;=$B732)*(A_Corridor!$B$5:$B$204&gt;$B732)*(A_Corridor!$G$5:$G$204&lt;&gt;"")),IF(A_Corridor!$G$5:$G$204="-","",A_Corridor!$G$5:$G$204)),"")</f>
        <v/>
      </c>
      <c r="L732" s="181" t="str">
        <f>IFERROR(LOOKUP(2,1/((A_Corridor!$A$5:$A$204&lt;&gt;"")*(A_Corridor!$A$5:$A$204&lt;=$B732)*(A_Corridor!$B$5:$B$204&gt;$B732)*(A_Corridor!$H$5:$H$204&lt;&gt;"")),IF(A_Corridor!$H$5:$H$204="-","",1)),"")</f>
        <v/>
      </c>
      <c r="M732" s="182" t="str">
        <f>IFERROR(LOOKUP(2,1/((A_Corridor!$A$5:$A$204&lt;&gt;"")*(A_Corridor!$A$5:$A$204&lt;=$B732)*(A_Corridor!$B$5:$B$204&gt;$B732)*(A_Corridor!$H$5:$H$204&lt;&gt;"")),IF(A_Corridor!$H$5:$H$204="-","",A_Corridor!$H$5:$H$204)),"")</f>
        <v/>
      </c>
      <c r="N732" s="182" t="str">
        <f>IFERROR(LOOKUP(2,1/((A_Corridor!$A$5:$A$204&lt;&gt;"")*(A_Corridor!$A$5:$A$204&lt;=$B732)*(A_Corridor!$B$5:$B$204&gt;$B732)*(A_Corridor!$I$5:$I$204&lt;&gt;"")),IF(A_Corridor!$I$5:$I$204="-","",A_Corridor!$I$5:$I$204)),"")</f>
        <v/>
      </c>
      <c r="O732" s="182" t="str">
        <f>IFERROR(LOOKUP(2,1/((D_Points!$A$5:$A$204&lt;&gt;"")*(D_Points!$A$5:$A$204&gt;=$B732)*(D_Points!$A$5:$A$204&lt;$B732+P_Interval)*(UPPER(TRIM(D_Points!$B$5:$B$204))="PITCHING")*(D_Points!$H$5:$H$204&lt;&gt;"")),D_Points!$H$5:$H$204),"")</f>
        <v/>
      </c>
      <c r="P732" s="181" t="str">
        <f>IFERROR(LOOKUP(2,1/((B_Drainage!$A$5:$A$204&lt;&gt;"")*(B_Drainage!$A$5:$A$204&lt;=$B732)*(B_Drainage!$B$5:$B$204&gt;$B732)*(B_Drainage!$C$5:$C$204&lt;&gt;"")),IF(B_Drainage!$C$5:$C$204="-","",UPPER(B_Drainage!$C$5:$C$204))),"")</f>
        <v/>
      </c>
      <c r="Q732" s="181" t="str">
        <f>IFERROR(LOOKUP(2,1/((B_Drainage!$A$5:$A$204&lt;&gt;"")*(B_Drainage!$A$5:$A$204&lt;=$B732)*(B_Drainage!$B$5:$B$204&gt;$B732)*(B_Drainage!$D$5:$D$204&lt;&gt;"")),IF(B_Drainage!$D$5:$D$204="-","",UPPER(B_Drainage!$D$5:$D$204))),"")</f>
        <v/>
      </c>
      <c r="R732" s="182" t="str">
        <f>IFERROR(LOOKUP(2,1/((D_Points!$A$5:$A$204&lt;&gt;"")*(D_Points!$A$5:$A$204&gt;=$B732)*(D_Points!$A$5:$A$204&lt;$B732+P_Interval)*(RIGHT(UPPER(TRIM(D_Points!$B$5:$B$204)),8)="_CULVERT")),IF(LEFT(UPPER(TRIM(D_Points!$B$5:$B$204)),2)="EX",1,IF(LEFT(UPPER(TRIM(D_Points!$B$5:$B$204)),2)="PR",2,3))),"")</f>
        <v/>
      </c>
      <c r="S732" s="182" t="str">
        <f>IFERROR(LOOKUP(2,1/((D_Points!$A$5:$A$204&lt;&gt;"")*(D_Points!$A$5:$A$204&gt;=$B732)*(D_Points!$A$5:$A$204&lt;$B732+P_Interval)*(RIGHT(UPPER(TRIM(D_Points!$B$5:$B$204)),7)="_BRIDGE")),IF(LEFT(UPPER(TRIM(D_Points!$B$5:$B$204)),2)="EX",1,IF(LEFT(UPPER(TRIM(D_Points!$B$5:$B$204)),2)="PR",2,2))),"")</f>
        <v/>
      </c>
      <c r="T732" s="181" t="str">
        <f>IFERROR(LOOKUP(2,1/((B_Drainage!$A$5:$A$204&lt;&gt;"")*(B_Drainage!$A$5:$A$204&lt;=$B732)*(B_Drainage!$B$5:$B$204&gt;$B732)*(B_Drainage!$E$5:$E$204&lt;&gt;"")),IF(B_Drainage!$E$5:$E$204="-","",1)),"")</f>
        <v/>
      </c>
      <c r="U732" s="181" t="str">
        <f>IFERROR(LOOKUP(2,1/((B_Drainage!$A$5:$A$204&lt;&gt;"")*(B_Drainage!$A$5:$A$204&lt;=$B732)*(B_Drainage!$B$5:$B$204&gt;$B732)*(B_Drainage!$E$5:$E$204&lt;&gt;"")),IF(B_Drainage!$E$5:$E$204="-","",B_Drainage!$E$5:$E$204)),"")</f>
        <v/>
      </c>
      <c r="V732" s="181" t="str">
        <f>IFERROR(LOOKUP(2,1/((B_Drainage!$A$5:$A$204&lt;&gt;"")*(B_Drainage!$A$5:$A$204&lt;=$B732)*(B_Drainage!$B$5:$B$204&gt;$B732)*(B_Drainage!$F$5:$F$204&lt;&gt;"")),IF(B_Drainage!$F$5:$F$204="-","",1)),"")</f>
        <v/>
      </c>
      <c r="W732" s="181" t="str">
        <f>IFERROR(LOOKUP(2,1/((B_Drainage!$A$5:$A$204&lt;&gt;"")*(B_Drainage!$A$5:$A$204&lt;=$B732)*(B_Drainage!$B$5:$B$204&gt;$B732)*(B_Drainage!$F$5:$F$204&lt;&gt;"")),IF(B_Drainage!$F$5:$F$204="-","",B_Drainage!$F$5:$F$204)),"")</f>
        <v/>
      </c>
      <c r="X732" s="181" t="str">
        <f>IFERROR(LOOKUP(2,1/((B_Drainage!$A$5:$A$204&lt;&gt;"")*(B_Drainage!$A$5:$A$204&lt;=$B732)*(B_Drainage!$B$5:$B$204&gt;$B732)*(B_Drainage!$G$5:$G$204&lt;&gt;"")),IF(UPPER(B_Drainage!$G$5:$G$204)="Y",1,"")),"")</f>
        <v/>
      </c>
      <c r="Y732" s="181" t="str">
        <f>IFERROR(LOOKUP(2,1/((B_Drainage!$A$5:$A$204&lt;&gt;"")*(B_Drainage!$A$5:$A$204&lt;=$B732)*(B_Drainage!$B$5:$B$204&gt;$B732)*(B_Drainage!$H$5:$H$204&lt;&gt;"")),IF(UPPER(B_Drainage!$H$5:$H$204)="Y",1,"")),"")</f>
        <v/>
      </c>
      <c r="Z732" s="181" t="str">
        <f>IFERROR(LOOKUP(2,1/((B_Drainage!$A$5:$A$204&lt;&gt;"")*(B_Drainage!$A$5:$A$204&lt;=$B732)*(B_Drainage!$B$5:$B$204&gt;$B732)*(B_Drainage!$I$5:$I$204&lt;&gt;"")),IF(UPPER(B_Drainage!$I$5:$I$204)="Y",1,"")),"")</f>
        <v/>
      </c>
      <c r="AA732" s="181" t="str">
        <f>IFERROR(LOOKUP(2,1/((B_Drainage!$A$5:$A$204&lt;&gt;"")*(B_Drainage!$A$5:$A$204&lt;=$B732)*(B_Drainage!$B$5:$B$204&gt;$B732)*(B_Drainage!$J$5:$J$204&lt;&gt;"")),IF(UPPER(B_Drainage!$J$5:$J$204)="Y",1,"")),"")</f>
        <v/>
      </c>
      <c r="AB732" s="182" t="str">
        <f>IFERROR(LOOKUP(2,1/((B_Drainage!$A$5:$A$204&lt;&gt;"")*(B_Drainage!$A$5:$A$204&lt;=$B732)*(B_Drainage!$B$5:$B$204&gt;$B732)*(B_Drainage!$K$5:$K$204&lt;&gt;"")),IF(B_Drainage!$K$5:$K$204="-","",B_Drainage!$K$5:$K$204)),"")</f>
        <v/>
      </c>
      <c r="AC732" s="182" t="str">
        <f>IFERROR(LOOKUP(2,1/((B_Drainage!$A$5:$A$204&lt;&gt;"")*(B_Drainage!$A$5:$A$204&lt;=$B732)*(B_Drainage!$B$5:$B$204&gt;$B732)*(B_Drainage!$L$5:$L$204&lt;&gt;"")),IF(B_Drainage!$L$5:$L$204="-","",B_Drainage!$L$5:$L$204)),"")</f>
        <v/>
      </c>
      <c r="AD732" s="182" t="str">
        <f>IFERROR(LOOKUP(2,1/((D_Points!$A$5:$A$204&lt;&gt;"")*(D_Points!$A$5:$A$204&gt;=$B732)*(D_Points!$A$5:$A$204&lt;$B732+P_Interval)*(UPPER(TRIM(D_Points!$B$5:$B$204))="TURNOUT_L")*(D_Points!$H$5:$H$204&lt;&gt;"")),D_Points!$H$5:$H$204),"")</f>
        <v/>
      </c>
      <c r="AE732" s="182" t="str">
        <f>IFERROR(LOOKUP(2,1/((D_Points!$A$5:$A$204&lt;&gt;"")*(D_Points!$A$5:$A$204&gt;=$B732)*(D_Points!$A$5:$A$204&lt;$B732+P_Interval)*(UPPER(TRIM(D_Points!$B$5:$B$204))="TURNOUT_R")*(D_Points!$H$5:$H$204&lt;&gt;"")),D_Points!$H$5:$H$204),"")</f>
        <v/>
      </c>
      <c r="AF732" s="181" t="str">
        <f>IFERROR(LOOKUP(2,1/((B_Drainage!$A$5:$A$204&lt;&gt;"")*(B_Drainage!$A$5:$A$204&lt;=$B732)*(B_Drainage!$B$5:$B$204&gt;$B732)*(B_Drainage!$M$5:$M$204&lt;&gt;"")),IF(UPPER(B_Drainage!$M$5:$M$204)="Y",1,"")),"")</f>
        <v/>
      </c>
      <c r="AG732" s="181" t="str">
        <f>IFERROR(LOOKUP(2,1/((B_Drainage!$A$5:$A$204&lt;&gt;"")*(B_Drainage!$A$5:$A$204&lt;=$B732)*(B_Drainage!$B$5:$B$204&gt;$B732)*(B_Drainage!$N$5:$N$204&lt;&gt;"")),IF(UPPER(B_Drainage!$N$5:$N$204)="Y",1,"")),"")</f>
        <v/>
      </c>
      <c r="AH732" s="181" t="str">
        <f t="shared" si="88"/>
        <v/>
      </c>
      <c r="AI732" s="181" t="str">
        <f t="shared" si="89"/>
        <v/>
      </c>
      <c r="AJ732" s="181" t="str">
        <f t="shared" si="90"/>
        <v/>
      </c>
      <c r="AK732" s="181" t="str">
        <f t="shared" si="91"/>
        <v/>
      </c>
      <c r="AL732" s="181" t="str">
        <f t="shared" si="92"/>
        <v/>
      </c>
      <c r="AM732" s="181" t="str">
        <f t="shared" si="93"/>
        <v/>
      </c>
      <c r="AN732" s="181" t="str">
        <f t="shared" si="94"/>
        <v/>
      </c>
      <c r="AO732" s="192" t="str">
        <f t="shared" si="95"/>
        <v/>
      </c>
      <c r="AQ732" t="str">
        <f>IFERROR(LOOKUP(2,1/((C_Pavement!$A$5:$A$204&lt;&gt;"")*(C_Pavement!$A$5:$A$204&lt;=$B732)*(C_Pavement!$B$5:$B$204&gt;$B732)*(C_Pavement!$C$5:$C$204&lt;&gt;"")),ROW(C_Pavement!$C$5:$C$204)-4),"")</f>
        <v/>
      </c>
      <c r="AR732" t="str">
        <f>IF($AQ732="","",UPPER(TRIM(INDEX(C_Pavement!$C$5:$C$204,$AQ732))))</f>
        <v/>
      </c>
      <c r="AS732" t="str">
        <f>IF($AR732="","",IFERROR(MATCH($AR732,E_Rules!$A$5:$A$9,0),""))</f>
        <v/>
      </c>
      <c r="AT732" t="str">
        <f>IF($AQ732="","",IF(INDEX(C_Pavement!$D$5:$D$204,$AQ732)&lt;&gt;"",UPPER(TRIM(INDEX(C_Pavement!$D$5:$D$204,$AQ732))),IF($AS732="","",INDEX(E_Rules!$C$5:$C$9,$AS732))))</f>
        <v/>
      </c>
      <c r="AU732" t="str">
        <f>IF($AQ732="","",IF(INDEX(C_Pavement!$E$5:$E$204,$AQ732)&lt;&gt;"",IF(INDEX(C_Pavement!$E$5:$E$204,$AQ732)="-","",INDEX(C_Pavement!$E$5:$E$204,$AQ732)),IF($AS732="","",INDEX(E_Rules!$D$5:$D$9,$AS732))))</f>
        <v/>
      </c>
      <c r="AV732" t="str">
        <f>IF($AQ732="","",IF(INDEX(C_Pavement!$F$5:$F$204,$AQ732)&lt;&gt;"",IF(INDEX(C_Pavement!$F$5:$F$204,$AQ732)="-","",INDEX(C_Pavement!$F$5:$F$204,$AQ732)),IF($AS732="","",INDEX(E_Rules!$E$5:$E$9,$AS732))))</f>
        <v/>
      </c>
      <c r="AW732" t="str">
        <f>IF($AQ732="","",IF(INDEX(C_Pavement!$G$5:$G$204,$AQ732)&lt;&gt;"",IF(INDEX(C_Pavement!$G$5:$G$204,$AQ732)="-","",INDEX(C_Pavement!$G$5:$G$204,$AQ732)),IF($AS732="","",INDEX(E_Rules!$F$5:$F$9,$AS732))))</f>
        <v/>
      </c>
      <c r="AX732" t="str">
        <f>IF($AQ732="","",IF(INDEX(C_Pavement!$H$5:$H$204,$AQ732)&lt;&gt;"",IF(INDEX(C_Pavement!$H$5:$H$204,$AQ732)="-","",INDEX(C_Pavement!$H$5:$H$204,$AQ732)),IF($AS732="","",INDEX(E_Rules!$G$5:$G$9,$AS732))))</f>
        <v/>
      </c>
      <c r="AY732" t="str">
        <f>IF($AQ732="","",IF(INDEX(C_Pavement!$I$5:$I$204,$AQ732)&lt;&gt;"",IF(INDEX(C_Pavement!$I$5:$I$204,$AQ732)="-","",INDEX(C_Pavement!$I$5:$I$204,$AQ732)),IF($AS732="","",INDEX(E_Rules!$H$5:$H$9,$AS732))))</f>
        <v/>
      </c>
    </row>
    <row r="733" spans="1:51" ht="15.75" customHeight="1" x14ac:dyDescent="0.3">
      <c r="A733" s="189">
        <v>728</v>
      </c>
      <c r="B733" s="180">
        <v>36350</v>
      </c>
      <c r="C733" s="180" t="s">
        <v>1039</v>
      </c>
      <c r="D733" s="181" t="str">
        <f>IFERROR(LOOKUP(2,1/((A_Corridor!$A$5:$A$204&lt;&gt;"")*(A_Corridor!$A$5:$A$204&lt;=$B733)*(A_Corridor!$B$5:$B$204&gt;$B733)*(A_Corridor!$C$5:$C$204&lt;&gt;"")),IF(UPPER(A_Corridor!$C$5:$C$204)="Y",1,"")),"")</f>
        <v/>
      </c>
      <c r="E733" s="181" t="str">
        <f>IFERROR(LOOKUP(2,1/((A_Corridor!$A$5:$A$204&lt;&gt;"")*(A_Corridor!$A$5:$A$204&lt;=$B733)*(A_Corridor!$B$5:$B$204&gt;$B733)*(A_Corridor!$D$5:$D$204&lt;&gt;"")),IF(A_Corridor!$D$5:$D$204="-","",UPPER(A_Corridor!$D$5:$D$204))),"")</f>
        <v/>
      </c>
      <c r="F733" s="181" t="str">
        <f>IFERROR(LOOKUP(2,1/((A_Corridor!$A$5:$A$204&lt;&gt;"")*(A_Corridor!$A$5:$A$204&lt;=$B733)*(A_Corridor!$B$5:$B$204&gt;$B733)*(A_Corridor!$E$5:$E$204&lt;&gt;"")),IF(A_Corridor!$E$5:$E$204="-","",1)),"")</f>
        <v/>
      </c>
      <c r="G733" s="182" t="str">
        <f>IFERROR(LOOKUP(2,1/((A_Corridor!$A$5:$A$204&lt;&gt;"")*(A_Corridor!$A$5:$A$204&lt;=$B733)*(A_Corridor!$B$5:$B$204&gt;$B733)*(A_Corridor!$E$5:$E$204&lt;&gt;"")),IF(A_Corridor!$E$5:$E$204="-","",A_Corridor!$E$5:$E$204)),"")</f>
        <v/>
      </c>
      <c r="H733" s="182" t="str">
        <f>IFERROR(LOOKUP(2,1/((D_Points!$A$5:$A$204&lt;&gt;"")*(D_Points!$A$5:$A$204&gt;=$B733)*(D_Points!$A$5:$A$204&lt;$B733+P_Interval)*(UPPER(TRIM(D_Points!$B$5:$B$204))="GULLY")*(D_Points!$H$5:$H$204&lt;&gt;"")),D_Points!$H$5:$H$204),"")</f>
        <v/>
      </c>
      <c r="I733" s="181" t="str">
        <f>IFERROR(LOOKUP(2,1/((A_Corridor!$A$5:$A$204&lt;&gt;"")*(A_Corridor!$A$5:$A$204&lt;=$B733)*(A_Corridor!$B$5:$B$204&gt;$B733)*(A_Corridor!$F$5:$F$204&lt;&gt;"")),IF(A_Corridor!$F$5:$F$204="-","",1)),"")</f>
        <v/>
      </c>
      <c r="J733" s="182" t="str">
        <f>IFERROR(LOOKUP(2,1/((A_Corridor!$A$5:$A$204&lt;&gt;"")*(A_Corridor!$A$5:$A$204&lt;=$B733)*(A_Corridor!$B$5:$B$204&gt;$B733)*(A_Corridor!$F$5:$F$204&lt;&gt;"")),IF(A_Corridor!$F$5:$F$204="-","",A_Corridor!$F$5:$F$204)),"")</f>
        <v/>
      </c>
      <c r="K733" s="182" t="str">
        <f>IFERROR(LOOKUP(2,1/((A_Corridor!$A$5:$A$204&lt;&gt;"")*(A_Corridor!$A$5:$A$204&lt;=$B733)*(A_Corridor!$B$5:$B$204&gt;$B733)*(A_Corridor!$G$5:$G$204&lt;&gt;"")),IF(A_Corridor!$G$5:$G$204="-","",A_Corridor!$G$5:$G$204)),"")</f>
        <v/>
      </c>
      <c r="L733" s="181" t="str">
        <f>IFERROR(LOOKUP(2,1/((A_Corridor!$A$5:$A$204&lt;&gt;"")*(A_Corridor!$A$5:$A$204&lt;=$B733)*(A_Corridor!$B$5:$B$204&gt;$B733)*(A_Corridor!$H$5:$H$204&lt;&gt;"")),IF(A_Corridor!$H$5:$H$204="-","",1)),"")</f>
        <v/>
      </c>
      <c r="M733" s="182" t="str">
        <f>IFERROR(LOOKUP(2,1/((A_Corridor!$A$5:$A$204&lt;&gt;"")*(A_Corridor!$A$5:$A$204&lt;=$B733)*(A_Corridor!$B$5:$B$204&gt;$B733)*(A_Corridor!$H$5:$H$204&lt;&gt;"")),IF(A_Corridor!$H$5:$H$204="-","",A_Corridor!$H$5:$H$204)),"")</f>
        <v/>
      </c>
      <c r="N733" s="182" t="str">
        <f>IFERROR(LOOKUP(2,1/((A_Corridor!$A$5:$A$204&lt;&gt;"")*(A_Corridor!$A$5:$A$204&lt;=$B733)*(A_Corridor!$B$5:$B$204&gt;$B733)*(A_Corridor!$I$5:$I$204&lt;&gt;"")),IF(A_Corridor!$I$5:$I$204="-","",A_Corridor!$I$5:$I$204)),"")</f>
        <v/>
      </c>
      <c r="O733" s="182" t="str">
        <f>IFERROR(LOOKUP(2,1/((D_Points!$A$5:$A$204&lt;&gt;"")*(D_Points!$A$5:$A$204&gt;=$B733)*(D_Points!$A$5:$A$204&lt;$B733+P_Interval)*(UPPER(TRIM(D_Points!$B$5:$B$204))="PITCHING")*(D_Points!$H$5:$H$204&lt;&gt;"")),D_Points!$H$5:$H$204),"")</f>
        <v/>
      </c>
      <c r="P733" s="181" t="str">
        <f>IFERROR(LOOKUP(2,1/((B_Drainage!$A$5:$A$204&lt;&gt;"")*(B_Drainage!$A$5:$A$204&lt;=$B733)*(B_Drainage!$B$5:$B$204&gt;$B733)*(B_Drainage!$C$5:$C$204&lt;&gt;"")),IF(B_Drainage!$C$5:$C$204="-","",UPPER(B_Drainage!$C$5:$C$204))),"")</f>
        <v/>
      </c>
      <c r="Q733" s="181" t="str">
        <f>IFERROR(LOOKUP(2,1/((B_Drainage!$A$5:$A$204&lt;&gt;"")*(B_Drainage!$A$5:$A$204&lt;=$B733)*(B_Drainage!$B$5:$B$204&gt;$B733)*(B_Drainage!$D$5:$D$204&lt;&gt;"")),IF(B_Drainage!$D$5:$D$204="-","",UPPER(B_Drainage!$D$5:$D$204))),"")</f>
        <v/>
      </c>
      <c r="R733" s="182" t="str">
        <f>IFERROR(LOOKUP(2,1/((D_Points!$A$5:$A$204&lt;&gt;"")*(D_Points!$A$5:$A$204&gt;=$B733)*(D_Points!$A$5:$A$204&lt;$B733+P_Interval)*(RIGHT(UPPER(TRIM(D_Points!$B$5:$B$204)),8)="_CULVERT")),IF(LEFT(UPPER(TRIM(D_Points!$B$5:$B$204)),2)="EX",1,IF(LEFT(UPPER(TRIM(D_Points!$B$5:$B$204)),2)="PR",2,3))),"")</f>
        <v/>
      </c>
      <c r="S733" s="182" t="str">
        <f>IFERROR(LOOKUP(2,1/((D_Points!$A$5:$A$204&lt;&gt;"")*(D_Points!$A$5:$A$204&gt;=$B733)*(D_Points!$A$5:$A$204&lt;$B733+P_Interval)*(RIGHT(UPPER(TRIM(D_Points!$B$5:$B$204)),7)="_BRIDGE")),IF(LEFT(UPPER(TRIM(D_Points!$B$5:$B$204)),2)="EX",1,IF(LEFT(UPPER(TRIM(D_Points!$B$5:$B$204)),2)="PR",2,2))),"")</f>
        <v/>
      </c>
      <c r="T733" s="181" t="str">
        <f>IFERROR(LOOKUP(2,1/((B_Drainage!$A$5:$A$204&lt;&gt;"")*(B_Drainage!$A$5:$A$204&lt;=$B733)*(B_Drainage!$B$5:$B$204&gt;$B733)*(B_Drainage!$E$5:$E$204&lt;&gt;"")),IF(B_Drainage!$E$5:$E$204="-","",1)),"")</f>
        <v/>
      </c>
      <c r="U733" s="181" t="str">
        <f>IFERROR(LOOKUP(2,1/((B_Drainage!$A$5:$A$204&lt;&gt;"")*(B_Drainage!$A$5:$A$204&lt;=$B733)*(B_Drainage!$B$5:$B$204&gt;$B733)*(B_Drainage!$E$5:$E$204&lt;&gt;"")),IF(B_Drainage!$E$5:$E$204="-","",B_Drainage!$E$5:$E$204)),"")</f>
        <v/>
      </c>
      <c r="V733" s="181" t="str">
        <f>IFERROR(LOOKUP(2,1/((B_Drainage!$A$5:$A$204&lt;&gt;"")*(B_Drainage!$A$5:$A$204&lt;=$B733)*(B_Drainage!$B$5:$B$204&gt;$B733)*(B_Drainage!$F$5:$F$204&lt;&gt;"")),IF(B_Drainage!$F$5:$F$204="-","",1)),"")</f>
        <v/>
      </c>
      <c r="W733" s="181" t="str">
        <f>IFERROR(LOOKUP(2,1/((B_Drainage!$A$5:$A$204&lt;&gt;"")*(B_Drainage!$A$5:$A$204&lt;=$B733)*(B_Drainage!$B$5:$B$204&gt;$B733)*(B_Drainage!$F$5:$F$204&lt;&gt;"")),IF(B_Drainage!$F$5:$F$204="-","",B_Drainage!$F$5:$F$204)),"")</f>
        <v/>
      </c>
      <c r="X733" s="181" t="str">
        <f>IFERROR(LOOKUP(2,1/((B_Drainage!$A$5:$A$204&lt;&gt;"")*(B_Drainage!$A$5:$A$204&lt;=$B733)*(B_Drainage!$B$5:$B$204&gt;$B733)*(B_Drainage!$G$5:$G$204&lt;&gt;"")),IF(UPPER(B_Drainage!$G$5:$G$204)="Y",1,"")),"")</f>
        <v/>
      </c>
      <c r="Y733" s="181" t="str">
        <f>IFERROR(LOOKUP(2,1/((B_Drainage!$A$5:$A$204&lt;&gt;"")*(B_Drainage!$A$5:$A$204&lt;=$B733)*(B_Drainage!$B$5:$B$204&gt;$B733)*(B_Drainage!$H$5:$H$204&lt;&gt;"")),IF(UPPER(B_Drainage!$H$5:$H$204)="Y",1,"")),"")</f>
        <v/>
      </c>
      <c r="Z733" s="181" t="str">
        <f>IFERROR(LOOKUP(2,1/((B_Drainage!$A$5:$A$204&lt;&gt;"")*(B_Drainage!$A$5:$A$204&lt;=$B733)*(B_Drainage!$B$5:$B$204&gt;$B733)*(B_Drainage!$I$5:$I$204&lt;&gt;"")),IF(UPPER(B_Drainage!$I$5:$I$204)="Y",1,"")),"")</f>
        <v/>
      </c>
      <c r="AA733" s="181" t="str">
        <f>IFERROR(LOOKUP(2,1/((B_Drainage!$A$5:$A$204&lt;&gt;"")*(B_Drainage!$A$5:$A$204&lt;=$B733)*(B_Drainage!$B$5:$B$204&gt;$B733)*(B_Drainage!$J$5:$J$204&lt;&gt;"")),IF(UPPER(B_Drainage!$J$5:$J$204)="Y",1,"")),"")</f>
        <v/>
      </c>
      <c r="AB733" s="182" t="str">
        <f>IFERROR(LOOKUP(2,1/((B_Drainage!$A$5:$A$204&lt;&gt;"")*(B_Drainage!$A$5:$A$204&lt;=$B733)*(B_Drainage!$B$5:$B$204&gt;$B733)*(B_Drainage!$K$5:$K$204&lt;&gt;"")),IF(B_Drainage!$K$5:$K$204="-","",B_Drainage!$K$5:$K$204)),"")</f>
        <v/>
      </c>
      <c r="AC733" s="182" t="str">
        <f>IFERROR(LOOKUP(2,1/((B_Drainage!$A$5:$A$204&lt;&gt;"")*(B_Drainage!$A$5:$A$204&lt;=$B733)*(B_Drainage!$B$5:$B$204&gt;$B733)*(B_Drainage!$L$5:$L$204&lt;&gt;"")),IF(B_Drainage!$L$5:$L$204="-","",B_Drainage!$L$5:$L$204)),"")</f>
        <v/>
      </c>
      <c r="AD733" s="182" t="str">
        <f>IFERROR(LOOKUP(2,1/((D_Points!$A$5:$A$204&lt;&gt;"")*(D_Points!$A$5:$A$204&gt;=$B733)*(D_Points!$A$5:$A$204&lt;$B733+P_Interval)*(UPPER(TRIM(D_Points!$B$5:$B$204))="TURNOUT_L")*(D_Points!$H$5:$H$204&lt;&gt;"")),D_Points!$H$5:$H$204),"")</f>
        <v/>
      </c>
      <c r="AE733" s="182" t="str">
        <f>IFERROR(LOOKUP(2,1/((D_Points!$A$5:$A$204&lt;&gt;"")*(D_Points!$A$5:$A$204&gt;=$B733)*(D_Points!$A$5:$A$204&lt;$B733+P_Interval)*(UPPER(TRIM(D_Points!$B$5:$B$204))="TURNOUT_R")*(D_Points!$H$5:$H$204&lt;&gt;"")),D_Points!$H$5:$H$204),"")</f>
        <v/>
      </c>
      <c r="AF733" s="181" t="str">
        <f>IFERROR(LOOKUP(2,1/((B_Drainage!$A$5:$A$204&lt;&gt;"")*(B_Drainage!$A$5:$A$204&lt;=$B733)*(B_Drainage!$B$5:$B$204&gt;$B733)*(B_Drainage!$M$5:$M$204&lt;&gt;"")),IF(UPPER(B_Drainage!$M$5:$M$204)="Y",1,"")),"")</f>
        <v/>
      </c>
      <c r="AG733" s="181" t="str">
        <f>IFERROR(LOOKUP(2,1/((B_Drainage!$A$5:$A$204&lt;&gt;"")*(B_Drainage!$A$5:$A$204&lt;=$B733)*(B_Drainage!$B$5:$B$204&gt;$B733)*(B_Drainage!$N$5:$N$204&lt;&gt;"")),IF(UPPER(B_Drainage!$N$5:$N$204)="Y",1,"")),"")</f>
        <v/>
      </c>
      <c r="AH733" s="181" t="str">
        <f t="shared" si="88"/>
        <v/>
      </c>
      <c r="AI733" s="181" t="str">
        <f t="shared" si="89"/>
        <v/>
      </c>
      <c r="AJ733" s="181" t="str">
        <f t="shared" si="90"/>
        <v/>
      </c>
      <c r="AK733" s="181" t="str">
        <f t="shared" si="91"/>
        <v/>
      </c>
      <c r="AL733" s="181" t="str">
        <f t="shared" si="92"/>
        <v/>
      </c>
      <c r="AM733" s="181" t="str">
        <f t="shared" si="93"/>
        <v/>
      </c>
      <c r="AN733" s="181" t="str">
        <f t="shared" si="94"/>
        <v/>
      </c>
      <c r="AO733" s="192" t="str">
        <f t="shared" si="95"/>
        <v/>
      </c>
      <c r="AQ733" t="str">
        <f>IFERROR(LOOKUP(2,1/((C_Pavement!$A$5:$A$204&lt;&gt;"")*(C_Pavement!$A$5:$A$204&lt;=$B733)*(C_Pavement!$B$5:$B$204&gt;$B733)*(C_Pavement!$C$5:$C$204&lt;&gt;"")),ROW(C_Pavement!$C$5:$C$204)-4),"")</f>
        <v/>
      </c>
      <c r="AR733" t="str">
        <f>IF($AQ733="","",UPPER(TRIM(INDEX(C_Pavement!$C$5:$C$204,$AQ733))))</f>
        <v/>
      </c>
      <c r="AS733" t="str">
        <f>IF($AR733="","",IFERROR(MATCH($AR733,E_Rules!$A$5:$A$9,0),""))</f>
        <v/>
      </c>
      <c r="AT733" t="str">
        <f>IF($AQ733="","",IF(INDEX(C_Pavement!$D$5:$D$204,$AQ733)&lt;&gt;"",UPPER(TRIM(INDEX(C_Pavement!$D$5:$D$204,$AQ733))),IF($AS733="","",INDEX(E_Rules!$C$5:$C$9,$AS733))))</f>
        <v/>
      </c>
      <c r="AU733" t="str">
        <f>IF($AQ733="","",IF(INDEX(C_Pavement!$E$5:$E$204,$AQ733)&lt;&gt;"",IF(INDEX(C_Pavement!$E$5:$E$204,$AQ733)="-","",INDEX(C_Pavement!$E$5:$E$204,$AQ733)),IF($AS733="","",INDEX(E_Rules!$D$5:$D$9,$AS733))))</f>
        <v/>
      </c>
      <c r="AV733" t="str">
        <f>IF($AQ733="","",IF(INDEX(C_Pavement!$F$5:$F$204,$AQ733)&lt;&gt;"",IF(INDEX(C_Pavement!$F$5:$F$204,$AQ733)="-","",INDEX(C_Pavement!$F$5:$F$204,$AQ733)),IF($AS733="","",INDEX(E_Rules!$E$5:$E$9,$AS733))))</f>
        <v/>
      </c>
      <c r="AW733" t="str">
        <f>IF($AQ733="","",IF(INDEX(C_Pavement!$G$5:$G$204,$AQ733)&lt;&gt;"",IF(INDEX(C_Pavement!$G$5:$G$204,$AQ733)="-","",INDEX(C_Pavement!$G$5:$G$204,$AQ733)),IF($AS733="","",INDEX(E_Rules!$F$5:$F$9,$AS733))))</f>
        <v/>
      </c>
      <c r="AX733" t="str">
        <f>IF($AQ733="","",IF(INDEX(C_Pavement!$H$5:$H$204,$AQ733)&lt;&gt;"",IF(INDEX(C_Pavement!$H$5:$H$204,$AQ733)="-","",INDEX(C_Pavement!$H$5:$H$204,$AQ733)),IF($AS733="","",INDEX(E_Rules!$G$5:$G$9,$AS733))))</f>
        <v/>
      </c>
      <c r="AY733" t="str">
        <f>IF($AQ733="","",IF(INDEX(C_Pavement!$I$5:$I$204,$AQ733)&lt;&gt;"",IF(INDEX(C_Pavement!$I$5:$I$204,$AQ733)="-","",INDEX(C_Pavement!$I$5:$I$204,$AQ733)),IF($AS733="","",INDEX(E_Rules!$H$5:$H$9,$AS733))))</f>
        <v/>
      </c>
    </row>
    <row r="734" spans="1:51" ht="15.75" customHeight="1" x14ac:dyDescent="0.3">
      <c r="A734" s="189">
        <v>729</v>
      </c>
      <c r="B734" s="180">
        <v>36400</v>
      </c>
      <c r="C734" s="180" t="s">
        <v>1040</v>
      </c>
      <c r="D734" s="181" t="str">
        <f>IFERROR(LOOKUP(2,1/((A_Corridor!$A$5:$A$204&lt;&gt;"")*(A_Corridor!$A$5:$A$204&lt;=$B734)*(A_Corridor!$B$5:$B$204&gt;$B734)*(A_Corridor!$C$5:$C$204&lt;&gt;"")),IF(UPPER(A_Corridor!$C$5:$C$204)="Y",1,"")),"")</f>
        <v/>
      </c>
      <c r="E734" s="181" t="str">
        <f>IFERROR(LOOKUP(2,1/((A_Corridor!$A$5:$A$204&lt;&gt;"")*(A_Corridor!$A$5:$A$204&lt;=$B734)*(A_Corridor!$B$5:$B$204&gt;$B734)*(A_Corridor!$D$5:$D$204&lt;&gt;"")),IF(A_Corridor!$D$5:$D$204="-","",UPPER(A_Corridor!$D$5:$D$204))),"")</f>
        <v/>
      </c>
      <c r="F734" s="181" t="str">
        <f>IFERROR(LOOKUP(2,1/((A_Corridor!$A$5:$A$204&lt;&gt;"")*(A_Corridor!$A$5:$A$204&lt;=$B734)*(A_Corridor!$B$5:$B$204&gt;$B734)*(A_Corridor!$E$5:$E$204&lt;&gt;"")),IF(A_Corridor!$E$5:$E$204="-","",1)),"")</f>
        <v/>
      </c>
      <c r="G734" s="182" t="str">
        <f>IFERROR(LOOKUP(2,1/((A_Corridor!$A$5:$A$204&lt;&gt;"")*(A_Corridor!$A$5:$A$204&lt;=$B734)*(A_Corridor!$B$5:$B$204&gt;$B734)*(A_Corridor!$E$5:$E$204&lt;&gt;"")),IF(A_Corridor!$E$5:$E$204="-","",A_Corridor!$E$5:$E$204)),"")</f>
        <v/>
      </c>
      <c r="H734" s="182" t="str">
        <f>IFERROR(LOOKUP(2,1/((D_Points!$A$5:$A$204&lt;&gt;"")*(D_Points!$A$5:$A$204&gt;=$B734)*(D_Points!$A$5:$A$204&lt;$B734+P_Interval)*(UPPER(TRIM(D_Points!$B$5:$B$204))="GULLY")*(D_Points!$H$5:$H$204&lt;&gt;"")),D_Points!$H$5:$H$204),"")</f>
        <v/>
      </c>
      <c r="I734" s="181" t="str">
        <f>IFERROR(LOOKUP(2,1/((A_Corridor!$A$5:$A$204&lt;&gt;"")*(A_Corridor!$A$5:$A$204&lt;=$B734)*(A_Corridor!$B$5:$B$204&gt;$B734)*(A_Corridor!$F$5:$F$204&lt;&gt;"")),IF(A_Corridor!$F$5:$F$204="-","",1)),"")</f>
        <v/>
      </c>
      <c r="J734" s="182" t="str">
        <f>IFERROR(LOOKUP(2,1/((A_Corridor!$A$5:$A$204&lt;&gt;"")*(A_Corridor!$A$5:$A$204&lt;=$B734)*(A_Corridor!$B$5:$B$204&gt;$B734)*(A_Corridor!$F$5:$F$204&lt;&gt;"")),IF(A_Corridor!$F$5:$F$204="-","",A_Corridor!$F$5:$F$204)),"")</f>
        <v/>
      </c>
      <c r="K734" s="182" t="str">
        <f>IFERROR(LOOKUP(2,1/((A_Corridor!$A$5:$A$204&lt;&gt;"")*(A_Corridor!$A$5:$A$204&lt;=$B734)*(A_Corridor!$B$5:$B$204&gt;$B734)*(A_Corridor!$G$5:$G$204&lt;&gt;"")),IF(A_Corridor!$G$5:$G$204="-","",A_Corridor!$G$5:$G$204)),"")</f>
        <v/>
      </c>
      <c r="L734" s="181" t="str">
        <f>IFERROR(LOOKUP(2,1/((A_Corridor!$A$5:$A$204&lt;&gt;"")*(A_Corridor!$A$5:$A$204&lt;=$B734)*(A_Corridor!$B$5:$B$204&gt;$B734)*(A_Corridor!$H$5:$H$204&lt;&gt;"")),IF(A_Corridor!$H$5:$H$204="-","",1)),"")</f>
        <v/>
      </c>
      <c r="M734" s="182" t="str">
        <f>IFERROR(LOOKUP(2,1/((A_Corridor!$A$5:$A$204&lt;&gt;"")*(A_Corridor!$A$5:$A$204&lt;=$B734)*(A_Corridor!$B$5:$B$204&gt;$B734)*(A_Corridor!$H$5:$H$204&lt;&gt;"")),IF(A_Corridor!$H$5:$H$204="-","",A_Corridor!$H$5:$H$204)),"")</f>
        <v/>
      </c>
      <c r="N734" s="182" t="str">
        <f>IFERROR(LOOKUP(2,1/((A_Corridor!$A$5:$A$204&lt;&gt;"")*(A_Corridor!$A$5:$A$204&lt;=$B734)*(A_Corridor!$B$5:$B$204&gt;$B734)*(A_Corridor!$I$5:$I$204&lt;&gt;"")),IF(A_Corridor!$I$5:$I$204="-","",A_Corridor!$I$5:$I$204)),"")</f>
        <v/>
      </c>
      <c r="O734" s="182" t="str">
        <f>IFERROR(LOOKUP(2,1/((D_Points!$A$5:$A$204&lt;&gt;"")*(D_Points!$A$5:$A$204&gt;=$B734)*(D_Points!$A$5:$A$204&lt;$B734+P_Interval)*(UPPER(TRIM(D_Points!$B$5:$B$204))="PITCHING")*(D_Points!$H$5:$H$204&lt;&gt;"")),D_Points!$H$5:$H$204),"")</f>
        <v/>
      </c>
      <c r="P734" s="181" t="str">
        <f>IFERROR(LOOKUP(2,1/((B_Drainage!$A$5:$A$204&lt;&gt;"")*(B_Drainage!$A$5:$A$204&lt;=$B734)*(B_Drainage!$B$5:$B$204&gt;$B734)*(B_Drainage!$C$5:$C$204&lt;&gt;"")),IF(B_Drainage!$C$5:$C$204="-","",UPPER(B_Drainage!$C$5:$C$204))),"")</f>
        <v/>
      </c>
      <c r="Q734" s="181" t="str">
        <f>IFERROR(LOOKUP(2,1/((B_Drainage!$A$5:$A$204&lt;&gt;"")*(B_Drainage!$A$5:$A$204&lt;=$B734)*(B_Drainage!$B$5:$B$204&gt;$B734)*(B_Drainage!$D$5:$D$204&lt;&gt;"")),IF(B_Drainage!$D$5:$D$204="-","",UPPER(B_Drainage!$D$5:$D$204))),"")</f>
        <v/>
      </c>
      <c r="R734" s="182" t="str">
        <f>IFERROR(LOOKUP(2,1/((D_Points!$A$5:$A$204&lt;&gt;"")*(D_Points!$A$5:$A$204&gt;=$B734)*(D_Points!$A$5:$A$204&lt;$B734+P_Interval)*(RIGHT(UPPER(TRIM(D_Points!$B$5:$B$204)),8)="_CULVERT")),IF(LEFT(UPPER(TRIM(D_Points!$B$5:$B$204)),2)="EX",1,IF(LEFT(UPPER(TRIM(D_Points!$B$5:$B$204)),2)="PR",2,3))),"")</f>
        <v/>
      </c>
      <c r="S734" s="182" t="str">
        <f>IFERROR(LOOKUP(2,1/((D_Points!$A$5:$A$204&lt;&gt;"")*(D_Points!$A$5:$A$204&gt;=$B734)*(D_Points!$A$5:$A$204&lt;$B734+P_Interval)*(RIGHT(UPPER(TRIM(D_Points!$B$5:$B$204)),7)="_BRIDGE")),IF(LEFT(UPPER(TRIM(D_Points!$B$5:$B$204)),2)="EX",1,IF(LEFT(UPPER(TRIM(D_Points!$B$5:$B$204)),2)="PR",2,2))),"")</f>
        <v/>
      </c>
      <c r="T734" s="181" t="str">
        <f>IFERROR(LOOKUP(2,1/((B_Drainage!$A$5:$A$204&lt;&gt;"")*(B_Drainage!$A$5:$A$204&lt;=$B734)*(B_Drainage!$B$5:$B$204&gt;$B734)*(B_Drainage!$E$5:$E$204&lt;&gt;"")),IF(B_Drainage!$E$5:$E$204="-","",1)),"")</f>
        <v/>
      </c>
      <c r="U734" s="181" t="str">
        <f>IFERROR(LOOKUP(2,1/((B_Drainage!$A$5:$A$204&lt;&gt;"")*(B_Drainage!$A$5:$A$204&lt;=$B734)*(B_Drainage!$B$5:$B$204&gt;$B734)*(B_Drainage!$E$5:$E$204&lt;&gt;"")),IF(B_Drainage!$E$5:$E$204="-","",B_Drainage!$E$5:$E$204)),"")</f>
        <v/>
      </c>
      <c r="V734" s="181" t="str">
        <f>IFERROR(LOOKUP(2,1/((B_Drainage!$A$5:$A$204&lt;&gt;"")*(B_Drainage!$A$5:$A$204&lt;=$B734)*(B_Drainage!$B$5:$B$204&gt;$B734)*(B_Drainage!$F$5:$F$204&lt;&gt;"")),IF(B_Drainage!$F$5:$F$204="-","",1)),"")</f>
        <v/>
      </c>
      <c r="W734" s="181" t="str">
        <f>IFERROR(LOOKUP(2,1/((B_Drainage!$A$5:$A$204&lt;&gt;"")*(B_Drainage!$A$5:$A$204&lt;=$B734)*(B_Drainage!$B$5:$B$204&gt;$B734)*(B_Drainage!$F$5:$F$204&lt;&gt;"")),IF(B_Drainage!$F$5:$F$204="-","",B_Drainage!$F$5:$F$204)),"")</f>
        <v/>
      </c>
      <c r="X734" s="181" t="str">
        <f>IFERROR(LOOKUP(2,1/((B_Drainage!$A$5:$A$204&lt;&gt;"")*(B_Drainage!$A$5:$A$204&lt;=$B734)*(B_Drainage!$B$5:$B$204&gt;$B734)*(B_Drainage!$G$5:$G$204&lt;&gt;"")),IF(UPPER(B_Drainage!$G$5:$G$204)="Y",1,"")),"")</f>
        <v/>
      </c>
      <c r="Y734" s="181" t="str">
        <f>IFERROR(LOOKUP(2,1/((B_Drainage!$A$5:$A$204&lt;&gt;"")*(B_Drainage!$A$5:$A$204&lt;=$B734)*(B_Drainage!$B$5:$B$204&gt;$B734)*(B_Drainage!$H$5:$H$204&lt;&gt;"")),IF(UPPER(B_Drainage!$H$5:$H$204)="Y",1,"")),"")</f>
        <v/>
      </c>
      <c r="Z734" s="181" t="str">
        <f>IFERROR(LOOKUP(2,1/((B_Drainage!$A$5:$A$204&lt;&gt;"")*(B_Drainage!$A$5:$A$204&lt;=$B734)*(B_Drainage!$B$5:$B$204&gt;$B734)*(B_Drainage!$I$5:$I$204&lt;&gt;"")),IF(UPPER(B_Drainage!$I$5:$I$204)="Y",1,"")),"")</f>
        <v/>
      </c>
      <c r="AA734" s="181" t="str">
        <f>IFERROR(LOOKUP(2,1/((B_Drainage!$A$5:$A$204&lt;&gt;"")*(B_Drainage!$A$5:$A$204&lt;=$B734)*(B_Drainage!$B$5:$B$204&gt;$B734)*(B_Drainage!$J$5:$J$204&lt;&gt;"")),IF(UPPER(B_Drainage!$J$5:$J$204)="Y",1,"")),"")</f>
        <v/>
      </c>
      <c r="AB734" s="182" t="str">
        <f>IFERROR(LOOKUP(2,1/((B_Drainage!$A$5:$A$204&lt;&gt;"")*(B_Drainage!$A$5:$A$204&lt;=$B734)*(B_Drainage!$B$5:$B$204&gt;$B734)*(B_Drainage!$K$5:$K$204&lt;&gt;"")),IF(B_Drainage!$K$5:$K$204="-","",B_Drainage!$K$5:$K$204)),"")</f>
        <v/>
      </c>
      <c r="AC734" s="182" t="str">
        <f>IFERROR(LOOKUP(2,1/((B_Drainage!$A$5:$A$204&lt;&gt;"")*(B_Drainage!$A$5:$A$204&lt;=$B734)*(B_Drainage!$B$5:$B$204&gt;$B734)*(B_Drainage!$L$5:$L$204&lt;&gt;"")),IF(B_Drainage!$L$5:$L$204="-","",B_Drainage!$L$5:$L$204)),"")</f>
        <v/>
      </c>
      <c r="AD734" s="182" t="str">
        <f>IFERROR(LOOKUP(2,1/((D_Points!$A$5:$A$204&lt;&gt;"")*(D_Points!$A$5:$A$204&gt;=$B734)*(D_Points!$A$5:$A$204&lt;$B734+P_Interval)*(UPPER(TRIM(D_Points!$B$5:$B$204))="TURNOUT_L")*(D_Points!$H$5:$H$204&lt;&gt;"")),D_Points!$H$5:$H$204),"")</f>
        <v/>
      </c>
      <c r="AE734" s="182" t="str">
        <f>IFERROR(LOOKUP(2,1/((D_Points!$A$5:$A$204&lt;&gt;"")*(D_Points!$A$5:$A$204&gt;=$B734)*(D_Points!$A$5:$A$204&lt;$B734+P_Interval)*(UPPER(TRIM(D_Points!$B$5:$B$204))="TURNOUT_R")*(D_Points!$H$5:$H$204&lt;&gt;"")),D_Points!$H$5:$H$204),"")</f>
        <v/>
      </c>
      <c r="AF734" s="181" t="str">
        <f>IFERROR(LOOKUP(2,1/((B_Drainage!$A$5:$A$204&lt;&gt;"")*(B_Drainage!$A$5:$A$204&lt;=$B734)*(B_Drainage!$B$5:$B$204&gt;$B734)*(B_Drainage!$M$5:$M$204&lt;&gt;"")),IF(UPPER(B_Drainage!$M$5:$M$204)="Y",1,"")),"")</f>
        <v/>
      </c>
      <c r="AG734" s="181" t="str">
        <f>IFERROR(LOOKUP(2,1/((B_Drainage!$A$5:$A$204&lt;&gt;"")*(B_Drainage!$A$5:$A$204&lt;=$B734)*(B_Drainage!$B$5:$B$204&gt;$B734)*(B_Drainage!$N$5:$N$204&lt;&gt;"")),IF(UPPER(B_Drainage!$N$5:$N$204)="Y",1,"")),"")</f>
        <v/>
      </c>
      <c r="AH734" s="181" t="str">
        <f t="shared" si="88"/>
        <v/>
      </c>
      <c r="AI734" s="181" t="str">
        <f t="shared" si="89"/>
        <v/>
      </c>
      <c r="AJ734" s="181" t="str">
        <f t="shared" si="90"/>
        <v/>
      </c>
      <c r="AK734" s="181" t="str">
        <f t="shared" si="91"/>
        <v/>
      </c>
      <c r="AL734" s="181" t="str">
        <f t="shared" si="92"/>
        <v/>
      </c>
      <c r="AM734" s="181" t="str">
        <f t="shared" si="93"/>
        <v/>
      </c>
      <c r="AN734" s="181" t="str">
        <f t="shared" si="94"/>
        <v/>
      </c>
      <c r="AO734" s="192" t="str">
        <f t="shared" si="95"/>
        <v/>
      </c>
      <c r="AQ734" t="str">
        <f>IFERROR(LOOKUP(2,1/((C_Pavement!$A$5:$A$204&lt;&gt;"")*(C_Pavement!$A$5:$A$204&lt;=$B734)*(C_Pavement!$B$5:$B$204&gt;$B734)*(C_Pavement!$C$5:$C$204&lt;&gt;"")),ROW(C_Pavement!$C$5:$C$204)-4),"")</f>
        <v/>
      </c>
      <c r="AR734" t="str">
        <f>IF($AQ734="","",UPPER(TRIM(INDEX(C_Pavement!$C$5:$C$204,$AQ734))))</f>
        <v/>
      </c>
      <c r="AS734" t="str">
        <f>IF($AR734="","",IFERROR(MATCH($AR734,E_Rules!$A$5:$A$9,0),""))</f>
        <v/>
      </c>
      <c r="AT734" t="str">
        <f>IF($AQ734="","",IF(INDEX(C_Pavement!$D$5:$D$204,$AQ734)&lt;&gt;"",UPPER(TRIM(INDEX(C_Pavement!$D$5:$D$204,$AQ734))),IF($AS734="","",INDEX(E_Rules!$C$5:$C$9,$AS734))))</f>
        <v/>
      </c>
      <c r="AU734" t="str">
        <f>IF($AQ734="","",IF(INDEX(C_Pavement!$E$5:$E$204,$AQ734)&lt;&gt;"",IF(INDEX(C_Pavement!$E$5:$E$204,$AQ734)="-","",INDEX(C_Pavement!$E$5:$E$204,$AQ734)),IF($AS734="","",INDEX(E_Rules!$D$5:$D$9,$AS734))))</f>
        <v/>
      </c>
      <c r="AV734" t="str">
        <f>IF($AQ734="","",IF(INDEX(C_Pavement!$F$5:$F$204,$AQ734)&lt;&gt;"",IF(INDEX(C_Pavement!$F$5:$F$204,$AQ734)="-","",INDEX(C_Pavement!$F$5:$F$204,$AQ734)),IF($AS734="","",INDEX(E_Rules!$E$5:$E$9,$AS734))))</f>
        <v/>
      </c>
      <c r="AW734" t="str">
        <f>IF($AQ734="","",IF(INDEX(C_Pavement!$G$5:$G$204,$AQ734)&lt;&gt;"",IF(INDEX(C_Pavement!$G$5:$G$204,$AQ734)="-","",INDEX(C_Pavement!$G$5:$G$204,$AQ734)),IF($AS734="","",INDEX(E_Rules!$F$5:$F$9,$AS734))))</f>
        <v/>
      </c>
      <c r="AX734" t="str">
        <f>IF($AQ734="","",IF(INDEX(C_Pavement!$H$5:$H$204,$AQ734)&lt;&gt;"",IF(INDEX(C_Pavement!$H$5:$H$204,$AQ734)="-","",INDEX(C_Pavement!$H$5:$H$204,$AQ734)),IF($AS734="","",INDEX(E_Rules!$G$5:$G$9,$AS734))))</f>
        <v/>
      </c>
      <c r="AY734" t="str">
        <f>IF($AQ734="","",IF(INDEX(C_Pavement!$I$5:$I$204,$AQ734)&lt;&gt;"",IF(INDEX(C_Pavement!$I$5:$I$204,$AQ734)="-","",INDEX(C_Pavement!$I$5:$I$204,$AQ734)),IF($AS734="","",INDEX(E_Rules!$H$5:$H$9,$AS734))))</f>
        <v/>
      </c>
    </row>
    <row r="735" spans="1:51" ht="15.75" customHeight="1" x14ac:dyDescent="0.3">
      <c r="A735" s="189">
        <v>730</v>
      </c>
      <c r="B735" s="180">
        <v>36450</v>
      </c>
      <c r="C735" s="180" t="s">
        <v>1041</v>
      </c>
      <c r="D735" s="181" t="str">
        <f>IFERROR(LOOKUP(2,1/((A_Corridor!$A$5:$A$204&lt;&gt;"")*(A_Corridor!$A$5:$A$204&lt;=$B735)*(A_Corridor!$B$5:$B$204&gt;$B735)*(A_Corridor!$C$5:$C$204&lt;&gt;"")),IF(UPPER(A_Corridor!$C$5:$C$204)="Y",1,"")),"")</f>
        <v/>
      </c>
      <c r="E735" s="181" t="str">
        <f>IFERROR(LOOKUP(2,1/((A_Corridor!$A$5:$A$204&lt;&gt;"")*(A_Corridor!$A$5:$A$204&lt;=$B735)*(A_Corridor!$B$5:$B$204&gt;$B735)*(A_Corridor!$D$5:$D$204&lt;&gt;"")),IF(A_Corridor!$D$5:$D$204="-","",UPPER(A_Corridor!$D$5:$D$204))),"")</f>
        <v/>
      </c>
      <c r="F735" s="181" t="str">
        <f>IFERROR(LOOKUP(2,1/((A_Corridor!$A$5:$A$204&lt;&gt;"")*(A_Corridor!$A$5:$A$204&lt;=$B735)*(A_Corridor!$B$5:$B$204&gt;$B735)*(A_Corridor!$E$5:$E$204&lt;&gt;"")),IF(A_Corridor!$E$5:$E$204="-","",1)),"")</f>
        <v/>
      </c>
      <c r="G735" s="182" t="str">
        <f>IFERROR(LOOKUP(2,1/((A_Corridor!$A$5:$A$204&lt;&gt;"")*(A_Corridor!$A$5:$A$204&lt;=$B735)*(A_Corridor!$B$5:$B$204&gt;$B735)*(A_Corridor!$E$5:$E$204&lt;&gt;"")),IF(A_Corridor!$E$5:$E$204="-","",A_Corridor!$E$5:$E$204)),"")</f>
        <v/>
      </c>
      <c r="H735" s="182" t="str">
        <f>IFERROR(LOOKUP(2,1/((D_Points!$A$5:$A$204&lt;&gt;"")*(D_Points!$A$5:$A$204&gt;=$B735)*(D_Points!$A$5:$A$204&lt;$B735+P_Interval)*(UPPER(TRIM(D_Points!$B$5:$B$204))="GULLY")*(D_Points!$H$5:$H$204&lt;&gt;"")),D_Points!$H$5:$H$204),"")</f>
        <v/>
      </c>
      <c r="I735" s="181" t="str">
        <f>IFERROR(LOOKUP(2,1/((A_Corridor!$A$5:$A$204&lt;&gt;"")*(A_Corridor!$A$5:$A$204&lt;=$B735)*(A_Corridor!$B$5:$B$204&gt;$B735)*(A_Corridor!$F$5:$F$204&lt;&gt;"")),IF(A_Corridor!$F$5:$F$204="-","",1)),"")</f>
        <v/>
      </c>
      <c r="J735" s="182" t="str">
        <f>IFERROR(LOOKUP(2,1/((A_Corridor!$A$5:$A$204&lt;&gt;"")*(A_Corridor!$A$5:$A$204&lt;=$B735)*(A_Corridor!$B$5:$B$204&gt;$B735)*(A_Corridor!$F$5:$F$204&lt;&gt;"")),IF(A_Corridor!$F$5:$F$204="-","",A_Corridor!$F$5:$F$204)),"")</f>
        <v/>
      </c>
      <c r="K735" s="182" t="str">
        <f>IFERROR(LOOKUP(2,1/((A_Corridor!$A$5:$A$204&lt;&gt;"")*(A_Corridor!$A$5:$A$204&lt;=$B735)*(A_Corridor!$B$5:$B$204&gt;$B735)*(A_Corridor!$G$5:$G$204&lt;&gt;"")),IF(A_Corridor!$G$5:$G$204="-","",A_Corridor!$G$5:$G$204)),"")</f>
        <v/>
      </c>
      <c r="L735" s="181" t="str">
        <f>IFERROR(LOOKUP(2,1/((A_Corridor!$A$5:$A$204&lt;&gt;"")*(A_Corridor!$A$5:$A$204&lt;=$B735)*(A_Corridor!$B$5:$B$204&gt;$B735)*(A_Corridor!$H$5:$H$204&lt;&gt;"")),IF(A_Corridor!$H$5:$H$204="-","",1)),"")</f>
        <v/>
      </c>
      <c r="M735" s="182" t="str">
        <f>IFERROR(LOOKUP(2,1/((A_Corridor!$A$5:$A$204&lt;&gt;"")*(A_Corridor!$A$5:$A$204&lt;=$B735)*(A_Corridor!$B$5:$B$204&gt;$B735)*(A_Corridor!$H$5:$H$204&lt;&gt;"")),IF(A_Corridor!$H$5:$H$204="-","",A_Corridor!$H$5:$H$204)),"")</f>
        <v/>
      </c>
      <c r="N735" s="182" t="str">
        <f>IFERROR(LOOKUP(2,1/((A_Corridor!$A$5:$A$204&lt;&gt;"")*(A_Corridor!$A$5:$A$204&lt;=$B735)*(A_Corridor!$B$5:$B$204&gt;$B735)*(A_Corridor!$I$5:$I$204&lt;&gt;"")),IF(A_Corridor!$I$5:$I$204="-","",A_Corridor!$I$5:$I$204)),"")</f>
        <v/>
      </c>
      <c r="O735" s="182" t="str">
        <f>IFERROR(LOOKUP(2,1/((D_Points!$A$5:$A$204&lt;&gt;"")*(D_Points!$A$5:$A$204&gt;=$B735)*(D_Points!$A$5:$A$204&lt;$B735+P_Interval)*(UPPER(TRIM(D_Points!$B$5:$B$204))="PITCHING")*(D_Points!$H$5:$H$204&lt;&gt;"")),D_Points!$H$5:$H$204),"")</f>
        <v/>
      </c>
      <c r="P735" s="181" t="str">
        <f>IFERROR(LOOKUP(2,1/((B_Drainage!$A$5:$A$204&lt;&gt;"")*(B_Drainage!$A$5:$A$204&lt;=$B735)*(B_Drainage!$B$5:$B$204&gt;$B735)*(B_Drainage!$C$5:$C$204&lt;&gt;"")),IF(B_Drainage!$C$5:$C$204="-","",UPPER(B_Drainage!$C$5:$C$204))),"")</f>
        <v/>
      </c>
      <c r="Q735" s="181" t="str">
        <f>IFERROR(LOOKUP(2,1/((B_Drainage!$A$5:$A$204&lt;&gt;"")*(B_Drainage!$A$5:$A$204&lt;=$B735)*(B_Drainage!$B$5:$B$204&gt;$B735)*(B_Drainage!$D$5:$D$204&lt;&gt;"")),IF(B_Drainage!$D$5:$D$204="-","",UPPER(B_Drainage!$D$5:$D$204))),"")</f>
        <v/>
      </c>
      <c r="R735" s="182" t="str">
        <f>IFERROR(LOOKUP(2,1/((D_Points!$A$5:$A$204&lt;&gt;"")*(D_Points!$A$5:$A$204&gt;=$B735)*(D_Points!$A$5:$A$204&lt;$B735+P_Interval)*(RIGHT(UPPER(TRIM(D_Points!$B$5:$B$204)),8)="_CULVERT")),IF(LEFT(UPPER(TRIM(D_Points!$B$5:$B$204)),2)="EX",1,IF(LEFT(UPPER(TRIM(D_Points!$B$5:$B$204)),2)="PR",2,3))),"")</f>
        <v/>
      </c>
      <c r="S735" s="182" t="str">
        <f>IFERROR(LOOKUP(2,1/((D_Points!$A$5:$A$204&lt;&gt;"")*(D_Points!$A$5:$A$204&gt;=$B735)*(D_Points!$A$5:$A$204&lt;$B735+P_Interval)*(RIGHT(UPPER(TRIM(D_Points!$B$5:$B$204)),7)="_BRIDGE")),IF(LEFT(UPPER(TRIM(D_Points!$B$5:$B$204)),2)="EX",1,IF(LEFT(UPPER(TRIM(D_Points!$B$5:$B$204)),2)="PR",2,2))),"")</f>
        <v/>
      </c>
      <c r="T735" s="181" t="str">
        <f>IFERROR(LOOKUP(2,1/((B_Drainage!$A$5:$A$204&lt;&gt;"")*(B_Drainage!$A$5:$A$204&lt;=$B735)*(B_Drainage!$B$5:$B$204&gt;$B735)*(B_Drainage!$E$5:$E$204&lt;&gt;"")),IF(B_Drainage!$E$5:$E$204="-","",1)),"")</f>
        <v/>
      </c>
      <c r="U735" s="181" t="str">
        <f>IFERROR(LOOKUP(2,1/((B_Drainage!$A$5:$A$204&lt;&gt;"")*(B_Drainage!$A$5:$A$204&lt;=$B735)*(B_Drainage!$B$5:$B$204&gt;$B735)*(B_Drainage!$E$5:$E$204&lt;&gt;"")),IF(B_Drainage!$E$5:$E$204="-","",B_Drainage!$E$5:$E$204)),"")</f>
        <v/>
      </c>
      <c r="V735" s="181" t="str">
        <f>IFERROR(LOOKUP(2,1/((B_Drainage!$A$5:$A$204&lt;&gt;"")*(B_Drainage!$A$5:$A$204&lt;=$B735)*(B_Drainage!$B$5:$B$204&gt;$B735)*(B_Drainage!$F$5:$F$204&lt;&gt;"")),IF(B_Drainage!$F$5:$F$204="-","",1)),"")</f>
        <v/>
      </c>
      <c r="W735" s="181" t="str">
        <f>IFERROR(LOOKUP(2,1/((B_Drainage!$A$5:$A$204&lt;&gt;"")*(B_Drainage!$A$5:$A$204&lt;=$B735)*(B_Drainage!$B$5:$B$204&gt;$B735)*(B_Drainage!$F$5:$F$204&lt;&gt;"")),IF(B_Drainage!$F$5:$F$204="-","",B_Drainage!$F$5:$F$204)),"")</f>
        <v/>
      </c>
      <c r="X735" s="181" t="str">
        <f>IFERROR(LOOKUP(2,1/((B_Drainage!$A$5:$A$204&lt;&gt;"")*(B_Drainage!$A$5:$A$204&lt;=$B735)*(B_Drainage!$B$5:$B$204&gt;$B735)*(B_Drainage!$G$5:$G$204&lt;&gt;"")),IF(UPPER(B_Drainage!$G$5:$G$204)="Y",1,"")),"")</f>
        <v/>
      </c>
      <c r="Y735" s="181" t="str">
        <f>IFERROR(LOOKUP(2,1/((B_Drainage!$A$5:$A$204&lt;&gt;"")*(B_Drainage!$A$5:$A$204&lt;=$B735)*(B_Drainage!$B$5:$B$204&gt;$B735)*(B_Drainage!$H$5:$H$204&lt;&gt;"")),IF(UPPER(B_Drainage!$H$5:$H$204)="Y",1,"")),"")</f>
        <v/>
      </c>
      <c r="Z735" s="181" t="str">
        <f>IFERROR(LOOKUP(2,1/((B_Drainage!$A$5:$A$204&lt;&gt;"")*(B_Drainage!$A$5:$A$204&lt;=$B735)*(B_Drainage!$B$5:$B$204&gt;$B735)*(B_Drainage!$I$5:$I$204&lt;&gt;"")),IF(UPPER(B_Drainage!$I$5:$I$204)="Y",1,"")),"")</f>
        <v/>
      </c>
      <c r="AA735" s="181" t="str">
        <f>IFERROR(LOOKUP(2,1/((B_Drainage!$A$5:$A$204&lt;&gt;"")*(B_Drainage!$A$5:$A$204&lt;=$B735)*(B_Drainage!$B$5:$B$204&gt;$B735)*(B_Drainage!$J$5:$J$204&lt;&gt;"")),IF(UPPER(B_Drainage!$J$5:$J$204)="Y",1,"")),"")</f>
        <v/>
      </c>
      <c r="AB735" s="182" t="str">
        <f>IFERROR(LOOKUP(2,1/((B_Drainage!$A$5:$A$204&lt;&gt;"")*(B_Drainage!$A$5:$A$204&lt;=$B735)*(B_Drainage!$B$5:$B$204&gt;$B735)*(B_Drainage!$K$5:$K$204&lt;&gt;"")),IF(B_Drainage!$K$5:$K$204="-","",B_Drainage!$K$5:$K$204)),"")</f>
        <v/>
      </c>
      <c r="AC735" s="182" t="str">
        <f>IFERROR(LOOKUP(2,1/((B_Drainage!$A$5:$A$204&lt;&gt;"")*(B_Drainage!$A$5:$A$204&lt;=$B735)*(B_Drainage!$B$5:$B$204&gt;$B735)*(B_Drainage!$L$5:$L$204&lt;&gt;"")),IF(B_Drainage!$L$5:$L$204="-","",B_Drainage!$L$5:$L$204)),"")</f>
        <v/>
      </c>
      <c r="AD735" s="182" t="str">
        <f>IFERROR(LOOKUP(2,1/((D_Points!$A$5:$A$204&lt;&gt;"")*(D_Points!$A$5:$A$204&gt;=$B735)*(D_Points!$A$5:$A$204&lt;$B735+P_Interval)*(UPPER(TRIM(D_Points!$B$5:$B$204))="TURNOUT_L")*(D_Points!$H$5:$H$204&lt;&gt;"")),D_Points!$H$5:$H$204),"")</f>
        <v/>
      </c>
      <c r="AE735" s="182" t="str">
        <f>IFERROR(LOOKUP(2,1/((D_Points!$A$5:$A$204&lt;&gt;"")*(D_Points!$A$5:$A$204&gt;=$B735)*(D_Points!$A$5:$A$204&lt;$B735+P_Interval)*(UPPER(TRIM(D_Points!$B$5:$B$204))="TURNOUT_R")*(D_Points!$H$5:$H$204&lt;&gt;"")),D_Points!$H$5:$H$204),"")</f>
        <v/>
      </c>
      <c r="AF735" s="181" t="str">
        <f>IFERROR(LOOKUP(2,1/((B_Drainage!$A$5:$A$204&lt;&gt;"")*(B_Drainage!$A$5:$A$204&lt;=$B735)*(B_Drainage!$B$5:$B$204&gt;$B735)*(B_Drainage!$M$5:$M$204&lt;&gt;"")),IF(UPPER(B_Drainage!$M$5:$M$204)="Y",1,"")),"")</f>
        <v/>
      </c>
      <c r="AG735" s="181" t="str">
        <f>IFERROR(LOOKUP(2,1/((B_Drainage!$A$5:$A$204&lt;&gt;"")*(B_Drainage!$A$5:$A$204&lt;=$B735)*(B_Drainage!$B$5:$B$204&gt;$B735)*(B_Drainage!$N$5:$N$204&lt;&gt;"")),IF(UPPER(B_Drainage!$N$5:$N$204)="Y",1,"")),"")</f>
        <v/>
      </c>
      <c r="AH735" s="181" t="str">
        <f t="shared" si="88"/>
        <v/>
      </c>
      <c r="AI735" s="181" t="str">
        <f t="shared" si="89"/>
        <v/>
      </c>
      <c r="AJ735" s="181" t="str">
        <f t="shared" si="90"/>
        <v/>
      </c>
      <c r="AK735" s="181" t="str">
        <f t="shared" si="91"/>
        <v/>
      </c>
      <c r="AL735" s="181" t="str">
        <f t="shared" si="92"/>
        <v/>
      </c>
      <c r="AM735" s="181" t="str">
        <f t="shared" si="93"/>
        <v/>
      </c>
      <c r="AN735" s="181" t="str">
        <f t="shared" si="94"/>
        <v/>
      </c>
      <c r="AO735" s="192" t="str">
        <f t="shared" si="95"/>
        <v/>
      </c>
      <c r="AQ735" t="str">
        <f>IFERROR(LOOKUP(2,1/((C_Pavement!$A$5:$A$204&lt;&gt;"")*(C_Pavement!$A$5:$A$204&lt;=$B735)*(C_Pavement!$B$5:$B$204&gt;$B735)*(C_Pavement!$C$5:$C$204&lt;&gt;"")),ROW(C_Pavement!$C$5:$C$204)-4),"")</f>
        <v/>
      </c>
      <c r="AR735" t="str">
        <f>IF($AQ735="","",UPPER(TRIM(INDEX(C_Pavement!$C$5:$C$204,$AQ735))))</f>
        <v/>
      </c>
      <c r="AS735" t="str">
        <f>IF($AR735="","",IFERROR(MATCH($AR735,E_Rules!$A$5:$A$9,0),""))</f>
        <v/>
      </c>
      <c r="AT735" t="str">
        <f>IF($AQ735="","",IF(INDEX(C_Pavement!$D$5:$D$204,$AQ735)&lt;&gt;"",UPPER(TRIM(INDEX(C_Pavement!$D$5:$D$204,$AQ735))),IF($AS735="","",INDEX(E_Rules!$C$5:$C$9,$AS735))))</f>
        <v/>
      </c>
      <c r="AU735" t="str">
        <f>IF($AQ735="","",IF(INDEX(C_Pavement!$E$5:$E$204,$AQ735)&lt;&gt;"",IF(INDEX(C_Pavement!$E$5:$E$204,$AQ735)="-","",INDEX(C_Pavement!$E$5:$E$204,$AQ735)),IF($AS735="","",INDEX(E_Rules!$D$5:$D$9,$AS735))))</f>
        <v/>
      </c>
      <c r="AV735" t="str">
        <f>IF($AQ735="","",IF(INDEX(C_Pavement!$F$5:$F$204,$AQ735)&lt;&gt;"",IF(INDEX(C_Pavement!$F$5:$F$204,$AQ735)="-","",INDEX(C_Pavement!$F$5:$F$204,$AQ735)),IF($AS735="","",INDEX(E_Rules!$E$5:$E$9,$AS735))))</f>
        <v/>
      </c>
      <c r="AW735" t="str">
        <f>IF($AQ735="","",IF(INDEX(C_Pavement!$G$5:$G$204,$AQ735)&lt;&gt;"",IF(INDEX(C_Pavement!$G$5:$G$204,$AQ735)="-","",INDEX(C_Pavement!$G$5:$G$204,$AQ735)),IF($AS735="","",INDEX(E_Rules!$F$5:$F$9,$AS735))))</f>
        <v/>
      </c>
      <c r="AX735" t="str">
        <f>IF($AQ735="","",IF(INDEX(C_Pavement!$H$5:$H$204,$AQ735)&lt;&gt;"",IF(INDEX(C_Pavement!$H$5:$H$204,$AQ735)="-","",INDEX(C_Pavement!$H$5:$H$204,$AQ735)),IF($AS735="","",INDEX(E_Rules!$G$5:$G$9,$AS735))))</f>
        <v/>
      </c>
      <c r="AY735" t="str">
        <f>IF($AQ735="","",IF(INDEX(C_Pavement!$I$5:$I$204,$AQ735)&lt;&gt;"",IF(INDEX(C_Pavement!$I$5:$I$204,$AQ735)="-","",INDEX(C_Pavement!$I$5:$I$204,$AQ735)),IF($AS735="","",INDEX(E_Rules!$H$5:$H$9,$AS735))))</f>
        <v/>
      </c>
    </row>
    <row r="736" spans="1:51" ht="15.75" customHeight="1" x14ac:dyDescent="0.3">
      <c r="A736" s="189">
        <v>731</v>
      </c>
      <c r="B736" s="180">
        <v>36500</v>
      </c>
      <c r="C736" s="180" t="s">
        <v>1042</v>
      </c>
      <c r="D736" s="181" t="str">
        <f>IFERROR(LOOKUP(2,1/((A_Corridor!$A$5:$A$204&lt;&gt;"")*(A_Corridor!$A$5:$A$204&lt;=$B736)*(A_Corridor!$B$5:$B$204&gt;$B736)*(A_Corridor!$C$5:$C$204&lt;&gt;"")),IF(UPPER(A_Corridor!$C$5:$C$204)="Y",1,"")),"")</f>
        <v/>
      </c>
      <c r="E736" s="181" t="str">
        <f>IFERROR(LOOKUP(2,1/((A_Corridor!$A$5:$A$204&lt;&gt;"")*(A_Corridor!$A$5:$A$204&lt;=$B736)*(A_Corridor!$B$5:$B$204&gt;$B736)*(A_Corridor!$D$5:$D$204&lt;&gt;"")),IF(A_Corridor!$D$5:$D$204="-","",UPPER(A_Corridor!$D$5:$D$204))),"")</f>
        <v/>
      </c>
      <c r="F736" s="181" t="str">
        <f>IFERROR(LOOKUP(2,1/((A_Corridor!$A$5:$A$204&lt;&gt;"")*(A_Corridor!$A$5:$A$204&lt;=$B736)*(A_Corridor!$B$5:$B$204&gt;$B736)*(A_Corridor!$E$5:$E$204&lt;&gt;"")),IF(A_Corridor!$E$5:$E$204="-","",1)),"")</f>
        <v/>
      </c>
      <c r="G736" s="182" t="str">
        <f>IFERROR(LOOKUP(2,1/((A_Corridor!$A$5:$A$204&lt;&gt;"")*(A_Corridor!$A$5:$A$204&lt;=$B736)*(A_Corridor!$B$5:$B$204&gt;$B736)*(A_Corridor!$E$5:$E$204&lt;&gt;"")),IF(A_Corridor!$E$5:$E$204="-","",A_Corridor!$E$5:$E$204)),"")</f>
        <v/>
      </c>
      <c r="H736" s="182" t="str">
        <f>IFERROR(LOOKUP(2,1/((D_Points!$A$5:$A$204&lt;&gt;"")*(D_Points!$A$5:$A$204&gt;=$B736)*(D_Points!$A$5:$A$204&lt;$B736+P_Interval)*(UPPER(TRIM(D_Points!$B$5:$B$204))="GULLY")*(D_Points!$H$5:$H$204&lt;&gt;"")),D_Points!$H$5:$H$204),"")</f>
        <v/>
      </c>
      <c r="I736" s="181" t="str">
        <f>IFERROR(LOOKUP(2,1/((A_Corridor!$A$5:$A$204&lt;&gt;"")*(A_Corridor!$A$5:$A$204&lt;=$B736)*(A_Corridor!$B$5:$B$204&gt;$B736)*(A_Corridor!$F$5:$F$204&lt;&gt;"")),IF(A_Corridor!$F$5:$F$204="-","",1)),"")</f>
        <v/>
      </c>
      <c r="J736" s="182" t="str">
        <f>IFERROR(LOOKUP(2,1/((A_Corridor!$A$5:$A$204&lt;&gt;"")*(A_Corridor!$A$5:$A$204&lt;=$B736)*(A_Corridor!$B$5:$B$204&gt;$B736)*(A_Corridor!$F$5:$F$204&lt;&gt;"")),IF(A_Corridor!$F$5:$F$204="-","",A_Corridor!$F$5:$F$204)),"")</f>
        <v/>
      </c>
      <c r="K736" s="182" t="str">
        <f>IFERROR(LOOKUP(2,1/((A_Corridor!$A$5:$A$204&lt;&gt;"")*(A_Corridor!$A$5:$A$204&lt;=$B736)*(A_Corridor!$B$5:$B$204&gt;$B736)*(A_Corridor!$G$5:$G$204&lt;&gt;"")),IF(A_Corridor!$G$5:$G$204="-","",A_Corridor!$G$5:$G$204)),"")</f>
        <v/>
      </c>
      <c r="L736" s="181" t="str">
        <f>IFERROR(LOOKUP(2,1/((A_Corridor!$A$5:$A$204&lt;&gt;"")*(A_Corridor!$A$5:$A$204&lt;=$B736)*(A_Corridor!$B$5:$B$204&gt;$B736)*(A_Corridor!$H$5:$H$204&lt;&gt;"")),IF(A_Corridor!$H$5:$H$204="-","",1)),"")</f>
        <v/>
      </c>
      <c r="M736" s="182" t="str">
        <f>IFERROR(LOOKUP(2,1/((A_Corridor!$A$5:$A$204&lt;&gt;"")*(A_Corridor!$A$5:$A$204&lt;=$B736)*(A_Corridor!$B$5:$B$204&gt;$B736)*(A_Corridor!$H$5:$H$204&lt;&gt;"")),IF(A_Corridor!$H$5:$H$204="-","",A_Corridor!$H$5:$H$204)),"")</f>
        <v/>
      </c>
      <c r="N736" s="182" t="str">
        <f>IFERROR(LOOKUP(2,1/((A_Corridor!$A$5:$A$204&lt;&gt;"")*(A_Corridor!$A$5:$A$204&lt;=$B736)*(A_Corridor!$B$5:$B$204&gt;$B736)*(A_Corridor!$I$5:$I$204&lt;&gt;"")),IF(A_Corridor!$I$5:$I$204="-","",A_Corridor!$I$5:$I$204)),"")</f>
        <v/>
      </c>
      <c r="O736" s="182" t="str">
        <f>IFERROR(LOOKUP(2,1/((D_Points!$A$5:$A$204&lt;&gt;"")*(D_Points!$A$5:$A$204&gt;=$B736)*(D_Points!$A$5:$A$204&lt;$B736+P_Interval)*(UPPER(TRIM(D_Points!$B$5:$B$204))="PITCHING")*(D_Points!$H$5:$H$204&lt;&gt;"")),D_Points!$H$5:$H$204),"")</f>
        <v/>
      </c>
      <c r="P736" s="181" t="str">
        <f>IFERROR(LOOKUP(2,1/((B_Drainage!$A$5:$A$204&lt;&gt;"")*(B_Drainage!$A$5:$A$204&lt;=$B736)*(B_Drainage!$B$5:$B$204&gt;$B736)*(B_Drainage!$C$5:$C$204&lt;&gt;"")),IF(B_Drainage!$C$5:$C$204="-","",UPPER(B_Drainage!$C$5:$C$204))),"")</f>
        <v/>
      </c>
      <c r="Q736" s="181" t="str">
        <f>IFERROR(LOOKUP(2,1/((B_Drainage!$A$5:$A$204&lt;&gt;"")*(B_Drainage!$A$5:$A$204&lt;=$B736)*(B_Drainage!$B$5:$B$204&gt;$B736)*(B_Drainage!$D$5:$D$204&lt;&gt;"")),IF(B_Drainage!$D$5:$D$204="-","",UPPER(B_Drainage!$D$5:$D$204))),"")</f>
        <v/>
      </c>
      <c r="R736" s="182" t="str">
        <f>IFERROR(LOOKUP(2,1/((D_Points!$A$5:$A$204&lt;&gt;"")*(D_Points!$A$5:$A$204&gt;=$B736)*(D_Points!$A$5:$A$204&lt;$B736+P_Interval)*(RIGHT(UPPER(TRIM(D_Points!$B$5:$B$204)),8)="_CULVERT")),IF(LEFT(UPPER(TRIM(D_Points!$B$5:$B$204)),2)="EX",1,IF(LEFT(UPPER(TRIM(D_Points!$B$5:$B$204)),2)="PR",2,3))),"")</f>
        <v/>
      </c>
      <c r="S736" s="182" t="str">
        <f>IFERROR(LOOKUP(2,1/((D_Points!$A$5:$A$204&lt;&gt;"")*(D_Points!$A$5:$A$204&gt;=$B736)*(D_Points!$A$5:$A$204&lt;$B736+P_Interval)*(RIGHT(UPPER(TRIM(D_Points!$B$5:$B$204)),7)="_BRIDGE")),IF(LEFT(UPPER(TRIM(D_Points!$B$5:$B$204)),2)="EX",1,IF(LEFT(UPPER(TRIM(D_Points!$B$5:$B$204)),2)="PR",2,2))),"")</f>
        <v/>
      </c>
      <c r="T736" s="181" t="str">
        <f>IFERROR(LOOKUP(2,1/((B_Drainage!$A$5:$A$204&lt;&gt;"")*(B_Drainage!$A$5:$A$204&lt;=$B736)*(B_Drainage!$B$5:$B$204&gt;$B736)*(B_Drainage!$E$5:$E$204&lt;&gt;"")),IF(B_Drainage!$E$5:$E$204="-","",1)),"")</f>
        <v/>
      </c>
      <c r="U736" s="181" t="str">
        <f>IFERROR(LOOKUP(2,1/((B_Drainage!$A$5:$A$204&lt;&gt;"")*(B_Drainage!$A$5:$A$204&lt;=$B736)*(B_Drainage!$B$5:$B$204&gt;$B736)*(B_Drainage!$E$5:$E$204&lt;&gt;"")),IF(B_Drainage!$E$5:$E$204="-","",B_Drainage!$E$5:$E$204)),"")</f>
        <v/>
      </c>
      <c r="V736" s="181" t="str">
        <f>IFERROR(LOOKUP(2,1/((B_Drainage!$A$5:$A$204&lt;&gt;"")*(B_Drainage!$A$5:$A$204&lt;=$B736)*(B_Drainage!$B$5:$B$204&gt;$B736)*(B_Drainage!$F$5:$F$204&lt;&gt;"")),IF(B_Drainage!$F$5:$F$204="-","",1)),"")</f>
        <v/>
      </c>
      <c r="W736" s="181" t="str">
        <f>IFERROR(LOOKUP(2,1/((B_Drainage!$A$5:$A$204&lt;&gt;"")*(B_Drainage!$A$5:$A$204&lt;=$B736)*(B_Drainage!$B$5:$B$204&gt;$B736)*(B_Drainage!$F$5:$F$204&lt;&gt;"")),IF(B_Drainage!$F$5:$F$204="-","",B_Drainage!$F$5:$F$204)),"")</f>
        <v/>
      </c>
      <c r="X736" s="181" t="str">
        <f>IFERROR(LOOKUP(2,1/((B_Drainage!$A$5:$A$204&lt;&gt;"")*(B_Drainage!$A$5:$A$204&lt;=$B736)*(B_Drainage!$B$5:$B$204&gt;$B736)*(B_Drainage!$G$5:$G$204&lt;&gt;"")),IF(UPPER(B_Drainage!$G$5:$G$204)="Y",1,"")),"")</f>
        <v/>
      </c>
      <c r="Y736" s="181" t="str">
        <f>IFERROR(LOOKUP(2,1/((B_Drainage!$A$5:$A$204&lt;&gt;"")*(B_Drainage!$A$5:$A$204&lt;=$B736)*(B_Drainage!$B$5:$B$204&gt;$B736)*(B_Drainage!$H$5:$H$204&lt;&gt;"")),IF(UPPER(B_Drainage!$H$5:$H$204)="Y",1,"")),"")</f>
        <v/>
      </c>
      <c r="Z736" s="181" t="str">
        <f>IFERROR(LOOKUP(2,1/((B_Drainage!$A$5:$A$204&lt;&gt;"")*(B_Drainage!$A$5:$A$204&lt;=$B736)*(B_Drainage!$B$5:$B$204&gt;$B736)*(B_Drainage!$I$5:$I$204&lt;&gt;"")),IF(UPPER(B_Drainage!$I$5:$I$204)="Y",1,"")),"")</f>
        <v/>
      </c>
      <c r="AA736" s="181" t="str">
        <f>IFERROR(LOOKUP(2,1/((B_Drainage!$A$5:$A$204&lt;&gt;"")*(B_Drainage!$A$5:$A$204&lt;=$B736)*(B_Drainage!$B$5:$B$204&gt;$B736)*(B_Drainage!$J$5:$J$204&lt;&gt;"")),IF(UPPER(B_Drainage!$J$5:$J$204)="Y",1,"")),"")</f>
        <v/>
      </c>
      <c r="AB736" s="182" t="str">
        <f>IFERROR(LOOKUP(2,1/((B_Drainage!$A$5:$A$204&lt;&gt;"")*(B_Drainage!$A$5:$A$204&lt;=$B736)*(B_Drainage!$B$5:$B$204&gt;$B736)*(B_Drainage!$K$5:$K$204&lt;&gt;"")),IF(B_Drainage!$K$5:$K$204="-","",B_Drainage!$K$5:$K$204)),"")</f>
        <v/>
      </c>
      <c r="AC736" s="182" t="str">
        <f>IFERROR(LOOKUP(2,1/((B_Drainage!$A$5:$A$204&lt;&gt;"")*(B_Drainage!$A$5:$A$204&lt;=$B736)*(B_Drainage!$B$5:$B$204&gt;$B736)*(B_Drainage!$L$5:$L$204&lt;&gt;"")),IF(B_Drainage!$L$5:$L$204="-","",B_Drainage!$L$5:$L$204)),"")</f>
        <v/>
      </c>
      <c r="AD736" s="182" t="str">
        <f>IFERROR(LOOKUP(2,1/((D_Points!$A$5:$A$204&lt;&gt;"")*(D_Points!$A$5:$A$204&gt;=$B736)*(D_Points!$A$5:$A$204&lt;$B736+P_Interval)*(UPPER(TRIM(D_Points!$B$5:$B$204))="TURNOUT_L")*(D_Points!$H$5:$H$204&lt;&gt;"")),D_Points!$H$5:$H$204),"")</f>
        <v/>
      </c>
      <c r="AE736" s="182" t="str">
        <f>IFERROR(LOOKUP(2,1/((D_Points!$A$5:$A$204&lt;&gt;"")*(D_Points!$A$5:$A$204&gt;=$B736)*(D_Points!$A$5:$A$204&lt;$B736+P_Interval)*(UPPER(TRIM(D_Points!$B$5:$B$204))="TURNOUT_R")*(D_Points!$H$5:$H$204&lt;&gt;"")),D_Points!$H$5:$H$204),"")</f>
        <v/>
      </c>
      <c r="AF736" s="181" t="str">
        <f>IFERROR(LOOKUP(2,1/((B_Drainage!$A$5:$A$204&lt;&gt;"")*(B_Drainage!$A$5:$A$204&lt;=$B736)*(B_Drainage!$B$5:$B$204&gt;$B736)*(B_Drainage!$M$5:$M$204&lt;&gt;"")),IF(UPPER(B_Drainage!$M$5:$M$204)="Y",1,"")),"")</f>
        <v/>
      </c>
      <c r="AG736" s="181" t="str">
        <f>IFERROR(LOOKUP(2,1/((B_Drainage!$A$5:$A$204&lt;&gt;"")*(B_Drainage!$A$5:$A$204&lt;=$B736)*(B_Drainage!$B$5:$B$204&gt;$B736)*(B_Drainage!$N$5:$N$204&lt;&gt;"")),IF(UPPER(B_Drainage!$N$5:$N$204)="Y",1,"")),"")</f>
        <v/>
      </c>
      <c r="AH736" s="181" t="str">
        <f t="shared" si="88"/>
        <v/>
      </c>
      <c r="AI736" s="181" t="str">
        <f t="shared" si="89"/>
        <v/>
      </c>
      <c r="AJ736" s="181" t="str">
        <f t="shared" si="90"/>
        <v/>
      </c>
      <c r="AK736" s="181" t="str">
        <f t="shared" si="91"/>
        <v/>
      </c>
      <c r="AL736" s="181" t="str">
        <f t="shared" si="92"/>
        <v/>
      </c>
      <c r="AM736" s="181" t="str">
        <f t="shared" si="93"/>
        <v/>
      </c>
      <c r="AN736" s="181" t="str">
        <f t="shared" si="94"/>
        <v/>
      </c>
      <c r="AO736" s="192" t="str">
        <f t="shared" si="95"/>
        <v/>
      </c>
      <c r="AQ736" t="str">
        <f>IFERROR(LOOKUP(2,1/((C_Pavement!$A$5:$A$204&lt;&gt;"")*(C_Pavement!$A$5:$A$204&lt;=$B736)*(C_Pavement!$B$5:$B$204&gt;$B736)*(C_Pavement!$C$5:$C$204&lt;&gt;"")),ROW(C_Pavement!$C$5:$C$204)-4),"")</f>
        <v/>
      </c>
      <c r="AR736" t="str">
        <f>IF($AQ736="","",UPPER(TRIM(INDEX(C_Pavement!$C$5:$C$204,$AQ736))))</f>
        <v/>
      </c>
      <c r="AS736" t="str">
        <f>IF($AR736="","",IFERROR(MATCH($AR736,E_Rules!$A$5:$A$9,0),""))</f>
        <v/>
      </c>
      <c r="AT736" t="str">
        <f>IF($AQ736="","",IF(INDEX(C_Pavement!$D$5:$D$204,$AQ736)&lt;&gt;"",UPPER(TRIM(INDEX(C_Pavement!$D$5:$D$204,$AQ736))),IF($AS736="","",INDEX(E_Rules!$C$5:$C$9,$AS736))))</f>
        <v/>
      </c>
      <c r="AU736" t="str">
        <f>IF($AQ736="","",IF(INDEX(C_Pavement!$E$5:$E$204,$AQ736)&lt;&gt;"",IF(INDEX(C_Pavement!$E$5:$E$204,$AQ736)="-","",INDEX(C_Pavement!$E$5:$E$204,$AQ736)),IF($AS736="","",INDEX(E_Rules!$D$5:$D$9,$AS736))))</f>
        <v/>
      </c>
      <c r="AV736" t="str">
        <f>IF($AQ736="","",IF(INDEX(C_Pavement!$F$5:$F$204,$AQ736)&lt;&gt;"",IF(INDEX(C_Pavement!$F$5:$F$204,$AQ736)="-","",INDEX(C_Pavement!$F$5:$F$204,$AQ736)),IF($AS736="","",INDEX(E_Rules!$E$5:$E$9,$AS736))))</f>
        <v/>
      </c>
      <c r="AW736" t="str">
        <f>IF($AQ736="","",IF(INDEX(C_Pavement!$G$5:$G$204,$AQ736)&lt;&gt;"",IF(INDEX(C_Pavement!$G$5:$G$204,$AQ736)="-","",INDEX(C_Pavement!$G$5:$G$204,$AQ736)),IF($AS736="","",INDEX(E_Rules!$F$5:$F$9,$AS736))))</f>
        <v/>
      </c>
      <c r="AX736" t="str">
        <f>IF($AQ736="","",IF(INDEX(C_Pavement!$H$5:$H$204,$AQ736)&lt;&gt;"",IF(INDEX(C_Pavement!$H$5:$H$204,$AQ736)="-","",INDEX(C_Pavement!$H$5:$H$204,$AQ736)),IF($AS736="","",INDEX(E_Rules!$G$5:$G$9,$AS736))))</f>
        <v/>
      </c>
      <c r="AY736" t="str">
        <f>IF($AQ736="","",IF(INDEX(C_Pavement!$I$5:$I$204,$AQ736)&lt;&gt;"",IF(INDEX(C_Pavement!$I$5:$I$204,$AQ736)="-","",INDEX(C_Pavement!$I$5:$I$204,$AQ736)),IF($AS736="","",INDEX(E_Rules!$H$5:$H$9,$AS736))))</f>
        <v/>
      </c>
    </row>
    <row r="737" spans="1:51" ht="15.75" customHeight="1" x14ac:dyDescent="0.3">
      <c r="A737" s="189">
        <v>732</v>
      </c>
      <c r="B737" s="180">
        <v>36550</v>
      </c>
      <c r="C737" s="180" t="s">
        <v>1043</v>
      </c>
      <c r="D737" s="181" t="str">
        <f>IFERROR(LOOKUP(2,1/((A_Corridor!$A$5:$A$204&lt;&gt;"")*(A_Corridor!$A$5:$A$204&lt;=$B737)*(A_Corridor!$B$5:$B$204&gt;$B737)*(A_Corridor!$C$5:$C$204&lt;&gt;"")),IF(UPPER(A_Corridor!$C$5:$C$204)="Y",1,"")),"")</f>
        <v/>
      </c>
      <c r="E737" s="181" t="str">
        <f>IFERROR(LOOKUP(2,1/((A_Corridor!$A$5:$A$204&lt;&gt;"")*(A_Corridor!$A$5:$A$204&lt;=$B737)*(A_Corridor!$B$5:$B$204&gt;$B737)*(A_Corridor!$D$5:$D$204&lt;&gt;"")),IF(A_Corridor!$D$5:$D$204="-","",UPPER(A_Corridor!$D$5:$D$204))),"")</f>
        <v/>
      </c>
      <c r="F737" s="181" t="str">
        <f>IFERROR(LOOKUP(2,1/((A_Corridor!$A$5:$A$204&lt;&gt;"")*(A_Corridor!$A$5:$A$204&lt;=$B737)*(A_Corridor!$B$5:$B$204&gt;$B737)*(A_Corridor!$E$5:$E$204&lt;&gt;"")),IF(A_Corridor!$E$5:$E$204="-","",1)),"")</f>
        <v/>
      </c>
      <c r="G737" s="182" t="str">
        <f>IFERROR(LOOKUP(2,1/((A_Corridor!$A$5:$A$204&lt;&gt;"")*(A_Corridor!$A$5:$A$204&lt;=$B737)*(A_Corridor!$B$5:$B$204&gt;$B737)*(A_Corridor!$E$5:$E$204&lt;&gt;"")),IF(A_Corridor!$E$5:$E$204="-","",A_Corridor!$E$5:$E$204)),"")</f>
        <v/>
      </c>
      <c r="H737" s="182" t="str">
        <f>IFERROR(LOOKUP(2,1/((D_Points!$A$5:$A$204&lt;&gt;"")*(D_Points!$A$5:$A$204&gt;=$B737)*(D_Points!$A$5:$A$204&lt;$B737+P_Interval)*(UPPER(TRIM(D_Points!$B$5:$B$204))="GULLY")*(D_Points!$H$5:$H$204&lt;&gt;"")),D_Points!$H$5:$H$204),"")</f>
        <v/>
      </c>
      <c r="I737" s="181" t="str">
        <f>IFERROR(LOOKUP(2,1/((A_Corridor!$A$5:$A$204&lt;&gt;"")*(A_Corridor!$A$5:$A$204&lt;=$B737)*(A_Corridor!$B$5:$B$204&gt;$B737)*(A_Corridor!$F$5:$F$204&lt;&gt;"")),IF(A_Corridor!$F$5:$F$204="-","",1)),"")</f>
        <v/>
      </c>
      <c r="J737" s="182" t="str">
        <f>IFERROR(LOOKUP(2,1/((A_Corridor!$A$5:$A$204&lt;&gt;"")*(A_Corridor!$A$5:$A$204&lt;=$B737)*(A_Corridor!$B$5:$B$204&gt;$B737)*(A_Corridor!$F$5:$F$204&lt;&gt;"")),IF(A_Corridor!$F$5:$F$204="-","",A_Corridor!$F$5:$F$204)),"")</f>
        <v/>
      </c>
      <c r="K737" s="182" t="str">
        <f>IFERROR(LOOKUP(2,1/((A_Corridor!$A$5:$A$204&lt;&gt;"")*(A_Corridor!$A$5:$A$204&lt;=$B737)*(A_Corridor!$B$5:$B$204&gt;$B737)*(A_Corridor!$G$5:$G$204&lt;&gt;"")),IF(A_Corridor!$G$5:$G$204="-","",A_Corridor!$G$5:$G$204)),"")</f>
        <v/>
      </c>
      <c r="L737" s="181" t="str">
        <f>IFERROR(LOOKUP(2,1/((A_Corridor!$A$5:$A$204&lt;&gt;"")*(A_Corridor!$A$5:$A$204&lt;=$B737)*(A_Corridor!$B$5:$B$204&gt;$B737)*(A_Corridor!$H$5:$H$204&lt;&gt;"")),IF(A_Corridor!$H$5:$H$204="-","",1)),"")</f>
        <v/>
      </c>
      <c r="M737" s="182" t="str">
        <f>IFERROR(LOOKUP(2,1/((A_Corridor!$A$5:$A$204&lt;&gt;"")*(A_Corridor!$A$5:$A$204&lt;=$B737)*(A_Corridor!$B$5:$B$204&gt;$B737)*(A_Corridor!$H$5:$H$204&lt;&gt;"")),IF(A_Corridor!$H$5:$H$204="-","",A_Corridor!$H$5:$H$204)),"")</f>
        <v/>
      </c>
      <c r="N737" s="182" t="str">
        <f>IFERROR(LOOKUP(2,1/((A_Corridor!$A$5:$A$204&lt;&gt;"")*(A_Corridor!$A$5:$A$204&lt;=$B737)*(A_Corridor!$B$5:$B$204&gt;$B737)*(A_Corridor!$I$5:$I$204&lt;&gt;"")),IF(A_Corridor!$I$5:$I$204="-","",A_Corridor!$I$5:$I$204)),"")</f>
        <v/>
      </c>
      <c r="O737" s="182" t="str">
        <f>IFERROR(LOOKUP(2,1/((D_Points!$A$5:$A$204&lt;&gt;"")*(D_Points!$A$5:$A$204&gt;=$B737)*(D_Points!$A$5:$A$204&lt;$B737+P_Interval)*(UPPER(TRIM(D_Points!$B$5:$B$204))="PITCHING")*(D_Points!$H$5:$H$204&lt;&gt;"")),D_Points!$H$5:$H$204),"")</f>
        <v/>
      </c>
      <c r="P737" s="181" t="str">
        <f>IFERROR(LOOKUP(2,1/((B_Drainage!$A$5:$A$204&lt;&gt;"")*(B_Drainage!$A$5:$A$204&lt;=$B737)*(B_Drainage!$B$5:$B$204&gt;$B737)*(B_Drainage!$C$5:$C$204&lt;&gt;"")),IF(B_Drainage!$C$5:$C$204="-","",UPPER(B_Drainage!$C$5:$C$204))),"")</f>
        <v/>
      </c>
      <c r="Q737" s="181" t="str">
        <f>IFERROR(LOOKUP(2,1/((B_Drainage!$A$5:$A$204&lt;&gt;"")*(B_Drainage!$A$5:$A$204&lt;=$B737)*(B_Drainage!$B$5:$B$204&gt;$B737)*(B_Drainage!$D$5:$D$204&lt;&gt;"")),IF(B_Drainage!$D$5:$D$204="-","",UPPER(B_Drainage!$D$5:$D$204))),"")</f>
        <v/>
      </c>
      <c r="R737" s="182" t="str">
        <f>IFERROR(LOOKUP(2,1/((D_Points!$A$5:$A$204&lt;&gt;"")*(D_Points!$A$5:$A$204&gt;=$B737)*(D_Points!$A$5:$A$204&lt;$B737+P_Interval)*(RIGHT(UPPER(TRIM(D_Points!$B$5:$B$204)),8)="_CULVERT")),IF(LEFT(UPPER(TRIM(D_Points!$B$5:$B$204)),2)="EX",1,IF(LEFT(UPPER(TRIM(D_Points!$B$5:$B$204)),2)="PR",2,3))),"")</f>
        <v/>
      </c>
      <c r="S737" s="182" t="str">
        <f>IFERROR(LOOKUP(2,1/((D_Points!$A$5:$A$204&lt;&gt;"")*(D_Points!$A$5:$A$204&gt;=$B737)*(D_Points!$A$5:$A$204&lt;$B737+P_Interval)*(RIGHT(UPPER(TRIM(D_Points!$B$5:$B$204)),7)="_BRIDGE")),IF(LEFT(UPPER(TRIM(D_Points!$B$5:$B$204)),2)="EX",1,IF(LEFT(UPPER(TRIM(D_Points!$B$5:$B$204)),2)="PR",2,2))),"")</f>
        <v/>
      </c>
      <c r="T737" s="181" t="str">
        <f>IFERROR(LOOKUP(2,1/((B_Drainage!$A$5:$A$204&lt;&gt;"")*(B_Drainage!$A$5:$A$204&lt;=$B737)*(B_Drainage!$B$5:$B$204&gt;$B737)*(B_Drainage!$E$5:$E$204&lt;&gt;"")),IF(B_Drainage!$E$5:$E$204="-","",1)),"")</f>
        <v/>
      </c>
      <c r="U737" s="181" t="str">
        <f>IFERROR(LOOKUP(2,1/((B_Drainage!$A$5:$A$204&lt;&gt;"")*(B_Drainage!$A$5:$A$204&lt;=$B737)*(B_Drainage!$B$5:$B$204&gt;$B737)*(B_Drainage!$E$5:$E$204&lt;&gt;"")),IF(B_Drainage!$E$5:$E$204="-","",B_Drainage!$E$5:$E$204)),"")</f>
        <v/>
      </c>
      <c r="V737" s="181" t="str">
        <f>IFERROR(LOOKUP(2,1/((B_Drainage!$A$5:$A$204&lt;&gt;"")*(B_Drainage!$A$5:$A$204&lt;=$B737)*(B_Drainage!$B$5:$B$204&gt;$B737)*(B_Drainage!$F$5:$F$204&lt;&gt;"")),IF(B_Drainage!$F$5:$F$204="-","",1)),"")</f>
        <v/>
      </c>
      <c r="W737" s="181" t="str">
        <f>IFERROR(LOOKUP(2,1/((B_Drainage!$A$5:$A$204&lt;&gt;"")*(B_Drainage!$A$5:$A$204&lt;=$B737)*(B_Drainage!$B$5:$B$204&gt;$B737)*(B_Drainage!$F$5:$F$204&lt;&gt;"")),IF(B_Drainage!$F$5:$F$204="-","",B_Drainage!$F$5:$F$204)),"")</f>
        <v/>
      </c>
      <c r="X737" s="181" t="str">
        <f>IFERROR(LOOKUP(2,1/((B_Drainage!$A$5:$A$204&lt;&gt;"")*(B_Drainage!$A$5:$A$204&lt;=$B737)*(B_Drainage!$B$5:$B$204&gt;$B737)*(B_Drainage!$G$5:$G$204&lt;&gt;"")),IF(UPPER(B_Drainage!$G$5:$G$204)="Y",1,"")),"")</f>
        <v/>
      </c>
      <c r="Y737" s="181" t="str">
        <f>IFERROR(LOOKUP(2,1/((B_Drainage!$A$5:$A$204&lt;&gt;"")*(B_Drainage!$A$5:$A$204&lt;=$B737)*(B_Drainage!$B$5:$B$204&gt;$B737)*(B_Drainage!$H$5:$H$204&lt;&gt;"")),IF(UPPER(B_Drainage!$H$5:$H$204)="Y",1,"")),"")</f>
        <v/>
      </c>
      <c r="Z737" s="181" t="str">
        <f>IFERROR(LOOKUP(2,1/((B_Drainage!$A$5:$A$204&lt;&gt;"")*(B_Drainage!$A$5:$A$204&lt;=$B737)*(B_Drainage!$B$5:$B$204&gt;$B737)*(B_Drainage!$I$5:$I$204&lt;&gt;"")),IF(UPPER(B_Drainage!$I$5:$I$204)="Y",1,"")),"")</f>
        <v/>
      </c>
      <c r="AA737" s="181" t="str">
        <f>IFERROR(LOOKUP(2,1/((B_Drainage!$A$5:$A$204&lt;&gt;"")*(B_Drainage!$A$5:$A$204&lt;=$B737)*(B_Drainage!$B$5:$B$204&gt;$B737)*(B_Drainage!$J$5:$J$204&lt;&gt;"")),IF(UPPER(B_Drainage!$J$5:$J$204)="Y",1,"")),"")</f>
        <v/>
      </c>
      <c r="AB737" s="182" t="str">
        <f>IFERROR(LOOKUP(2,1/((B_Drainage!$A$5:$A$204&lt;&gt;"")*(B_Drainage!$A$5:$A$204&lt;=$B737)*(B_Drainage!$B$5:$B$204&gt;$B737)*(B_Drainage!$K$5:$K$204&lt;&gt;"")),IF(B_Drainage!$K$5:$K$204="-","",B_Drainage!$K$5:$K$204)),"")</f>
        <v/>
      </c>
      <c r="AC737" s="182" t="str">
        <f>IFERROR(LOOKUP(2,1/((B_Drainage!$A$5:$A$204&lt;&gt;"")*(B_Drainage!$A$5:$A$204&lt;=$B737)*(B_Drainage!$B$5:$B$204&gt;$B737)*(B_Drainage!$L$5:$L$204&lt;&gt;"")),IF(B_Drainage!$L$5:$L$204="-","",B_Drainage!$L$5:$L$204)),"")</f>
        <v/>
      </c>
      <c r="AD737" s="182" t="str">
        <f>IFERROR(LOOKUP(2,1/((D_Points!$A$5:$A$204&lt;&gt;"")*(D_Points!$A$5:$A$204&gt;=$B737)*(D_Points!$A$5:$A$204&lt;$B737+P_Interval)*(UPPER(TRIM(D_Points!$B$5:$B$204))="TURNOUT_L")*(D_Points!$H$5:$H$204&lt;&gt;"")),D_Points!$H$5:$H$204),"")</f>
        <v/>
      </c>
      <c r="AE737" s="182" t="str">
        <f>IFERROR(LOOKUP(2,1/((D_Points!$A$5:$A$204&lt;&gt;"")*(D_Points!$A$5:$A$204&gt;=$B737)*(D_Points!$A$5:$A$204&lt;$B737+P_Interval)*(UPPER(TRIM(D_Points!$B$5:$B$204))="TURNOUT_R")*(D_Points!$H$5:$H$204&lt;&gt;"")),D_Points!$H$5:$H$204),"")</f>
        <v/>
      </c>
      <c r="AF737" s="181" t="str">
        <f>IFERROR(LOOKUP(2,1/((B_Drainage!$A$5:$A$204&lt;&gt;"")*(B_Drainage!$A$5:$A$204&lt;=$B737)*(B_Drainage!$B$5:$B$204&gt;$B737)*(B_Drainage!$M$5:$M$204&lt;&gt;"")),IF(UPPER(B_Drainage!$M$5:$M$204)="Y",1,"")),"")</f>
        <v/>
      </c>
      <c r="AG737" s="181" t="str">
        <f>IFERROR(LOOKUP(2,1/((B_Drainage!$A$5:$A$204&lt;&gt;"")*(B_Drainage!$A$5:$A$204&lt;=$B737)*(B_Drainage!$B$5:$B$204&gt;$B737)*(B_Drainage!$N$5:$N$204&lt;&gt;"")),IF(UPPER(B_Drainage!$N$5:$N$204)="Y",1,"")),"")</f>
        <v/>
      </c>
      <c r="AH737" s="181" t="str">
        <f t="shared" si="88"/>
        <v/>
      </c>
      <c r="AI737" s="181" t="str">
        <f t="shared" si="89"/>
        <v/>
      </c>
      <c r="AJ737" s="181" t="str">
        <f t="shared" si="90"/>
        <v/>
      </c>
      <c r="AK737" s="181" t="str">
        <f t="shared" si="91"/>
        <v/>
      </c>
      <c r="AL737" s="181" t="str">
        <f t="shared" si="92"/>
        <v/>
      </c>
      <c r="AM737" s="181" t="str">
        <f t="shared" si="93"/>
        <v/>
      </c>
      <c r="AN737" s="181" t="str">
        <f t="shared" si="94"/>
        <v/>
      </c>
      <c r="AO737" s="192" t="str">
        <f t="shared" si="95"/>
        <v/>
      </c>
      <c r="AQ737" t="str">
        <f>IFERROR(LOOKUP(2,1/((C_Pavement!$A$5:$A$204&lt;&gt;"")*(C_Pavement!$A$5:$A$204&lt;=$B737)*(C_Pavement!$B$5:$B$204&gt;$B737)*(C_Pavement!$C$5:$C$204&lt;&gt;"")),ROW(C_Pavement!$C$5:$C$204)-4),"")</f>
        <v/>
      </c>
      <c r="AR737" t="str">
        <f>IF($AQ737="","",UPPER(TRIM(INDEX(C_Pavement!$C$5:$C$204,$AQ737))))</f>
        <v/>
      </c>
      <c r="AS737" t="str">
        <f>IF($AR737="","",IFERROR(MATCH($AR737,E_Rules!$A$5:$A$9,0),""))</f>
        <v/>
      </c>
      <c r="AT737" t="str">
        <f>IF($AQ737="","",IF(INDEX(C_Pavement!$D$5:$D$204,$AQ737)&lt;&gt;"",UPPER(TRIM(INDEX(C_Pavement!$D$5:$D$204,$AQ737))),IF($AS737="","",INDEX(E_Rules!$C$5:$C$9,$AS737))))</f>
        <v/>
      </c>
      <c r="AU737" t="str">
        <f>IF($AQ737="","",IF(INDEX(C_Pavement!$E$5:$E$204,$AQ737)&lt;&gt;"",IF(INDEX(C_Pavement!$E$5:$E$204,$AQ737)="-","",INDEX(C_Pavement!$E$5:$E$204,$AQ737)),IF($AS737="","",INDEX(E_Rules!$D$5:$D$9,$AS737))))</f>
        <v/>
      </c>
      <c r="AV737" t="str">
        <f>IF($AQ737="","",IF(INDEX(C_Pavement!$F$5:$F$204,$AQ737)&lt;&gt;"",IF(INDEX(C_Pavement!$F$5:$F$204,$AQ737)="-","",INDEX(C_Pavement!$F$5:$F$204,$AQ737)),IF($AS737="","",INDEX(E_Rules!$E$5:$E$9,$AS737))))</f>
        <v/>
      </c>
      <c r="AW737" t="str">
        <f>IF($AQ737="","",IF(INDEX(C_Pavement!$G$5:$G$204,$AQ737)&lt;&gt;"",IF(INDEX(C_Pavement!$G$5:$G$204,$AQ737)="-","",INDEX(C_Pavement!$G$5:$G$204,$AQ737)),IF($AS737="","",INDEX(E_Rules!$F$5:$F$9,$AS737))))</f>
        <v/>
      </c>
      <c r="AX737" t="str">
        <f>IF($AQ737="","",IF(INDEX(C_Pavement!$H$5:$H$204,$AQ737)&lt;&gt;"",IF(INDEX(C_Pavement!$H$5:$H$204,$AQ737)="-","",INDEX(C_Pavement!$H$5:$H$204,$AQ737)),IF($AS737="","",INDEX(E_Rules!$G$5:$G$9,$AS737))))</f>
        <v/>
      </c>
      <c r="AY737" t="str">
        <f>IF($AQ737="","",IF(INDEX(C_Pavement!$I$5:$I$204,$AQ737)&lt;&gt;"",IF(INDEX(C_Pavement!$I$5:$I$204,$AQ737)="-","",INDEX(C_Pavement!$I$5:$I$204,$AQ737)),IF($AS737="","",INDEX(E_Rules!$H$5:$H$9,$AS737))))</f>
        <v/>
      </c>
    </row>
    <row r="738" spans="1:51" ht="15.75" customHeight="1" x14ac:dyDescent="0.3">
      <c r="A738" s="189">
        <v>733</v>
      </c>
      <c r="B738" s="180">
        <v>36600</v>
      </c>
      <c r="C738" s="180" t="s">
        <v>1044</v>
      </c>
      <c r="D738" s="181" t="str">
        <f>IFERROR(LOOKUP(2,1/((A_Corridor!$A$5:$A$204&lt;&gt;"")*(A_Corridor!$A$5:$A$204&lt;=$B738)*(A_Corridor!$B$5:$B$204&gt;$B738)*(A_Corridor!$C$5:$C$204&lt;&gt;"")),IF(UPPER(A_Corridor!$C$5:$C$204)="Y",1,"")),"")</f>
        <v/>
      </c>
      <c r="E738" s="181" t="str">
        <f>IFERROR(LOOKUP(2,1/((A_Corridor!$A$5:$A$204&lt;&gt;"")*(A_Corridor!$A$5:$A$204&lt;=$B738)*(A_Corridor!$B$5:$B$204&gt;$B738)*(A_Corridor!$D$5:$D$204&lt;&gt;"")),IF(A_Corridor!$D$5:$D$204="-","",UPPER(A_Corridor!$D$5:$D$204))),"")</f>
        <v/>
      </c>
      <c r="F738" s="181" t="str">
        <f>IFERROR(LOOKUP(2,1/((A_Corridor!$A$5:$A$204&lt;&gt;"")*(A_Corridor!$A$5:$A$204&lt;=$B738)*(A_Corridor!$B$5:$B$204&gt;$B738)*(A_Corridor!$E$5:$E$204&lt;&gt;"")),IF(A_Corridor!$E$5:$E$204="-","",1)),"")</f>
        <v/>
      </c>
      <c r="G738" s="182" t="str">
        <f>IFERROR(LOOKUP(2,1/((A_Corridor!$A$5:$A$204&lt;&gt;"")*(A_Corridor!$A$5:$A$204&lt;=$B738)*(A_Corridor!$B$5:$B$204&gt;$B738)*(A_Corridor!$E$5:$E$204&lt;&gt;"")),IF(A_Corridor!$E$5:$E$204="-","",A_Corridor!$E$5:$E$204)),"")</f>
        <v/>
      </c>
      <c r="H738" s="182" t="str">
        <f>IFERROR(LOOKUP(2,1/((D_Points!$A$5:$A$204&lt;&gt;"")*(D_Points!$A$5:$A$204&gt;=$B738)*(D_Points!$A$5:$A$204&lt;$B738+P_Interval)*(UPPER(TRIM(D_Points!$B$5:$B$204))="GULLY")*(D_Points!$H$5:$H$204&lt;&gt;"")),D_Points!$H$5:$H$204),"")</f>
        <v/>
      </c>
      <c r="I738" s="181" t="str">
        <f>IFERROR(LOOKUP(2,1/((A_Corridor!$A$5:$A$204&lt;&gt;"")*(A_Corridor!$A$5:$A$204&lt;=$B738)*(A_Corridor!$B$5:$B$204&gt;$B738)*(A_Corridor!$F$5:$F$204&lt;&gt;"")),IF(A_Corridor!$F$5:$F$204="-","",1)),"")</f>
        <v/>
      </c>
      <c r="J738" s="182" t="str">
        <f>IFERROR(LOOKUP(2,1/((A_Corridor!$A$5:$A$204&lt;&gt;"")*(A_Corridor!$A$5:$A$204&lt;=$B738)*(A_Corridor!$B$5:$B$204&gt;$B738)*(A_Corridor!$F$5:$F$204&lt;&gt;"")),IF(A_Corridor!$F$5:$F$204="-","",A_Corridor!$F$5:$F$204)),"")</f>
        <v/>
      </c>
      <c r="K738" s="182" t="str">
        <f>IFERROR(LOOKUP(2,1/((A_Corridor!$A$5:$A$204&lt;&gt;"")*(A_Corridor!$A$5:$A$204&lt;=$B738)*(A_Corridor!$B$5:$B$204&gt;$B738)*(A_Corridor!$G$5:$G$204&lt;&gt;"")),IF(A_Corridor!$G$5:$G$204="-","",A_Corridor!$G$5:$G$204)),"")</f>
        <v/>
      </c>
      <c r="L738" s="181" t="str">
        <f>IFERROR(LOOKUP(2,1/((A_Corridor!$A$5:$A$204&lt;&gt;"")*(A_Corridor!$A$5:$A$204&lt;=$B738)*(A_Corridor!$B$5:$B$204&gt;$B738)*(A_Corridor!$H$5:$H$204&lt;&gt;"")),IF(A_Corridor!$H$5:$H$204="-","",1)),"")</f>
        <v/>
      </c>
      <c r="M738" s="182" t="str">
        <f>IFERROR(LOOKUP(2,1/((A_Corridor!$A$5:$A$204&lt;&gt;"")*(A_Corridor!$A$5:$A$204&lt;=$B738)*(A_Corridor!$B$5:$B$204&gt;$B738)*(A_Corridor!$H$5:$H$204&lt;&gt;"")),IF(A_Corridor!$H$5:$H$204="-","",A_Corridor!$H$5:$H$204)),"")</f>
        <v/>
      </c>
      <c r="N738" s="182" t="str">
        <f>IFERROR(LOOKUP(2,1/((A_Corridor!$A$5:$A$204&lt;&gt;"")*(A_Corridor!$A$5:$A$204&lt;=$B738)*(A_Corridor!$B$5:$B$204&gt;$B738)*(A_Corridor!$I$5:$I$204&lt;&gt;"")),IF(A_Corridor!$I$5:$I$204="-","",A_Corridor!$I$5:$I$204)),"")</f>
        <v/>
      </c>
      <c r="O738" s="182" t="str">
        <f>IFERROR(LOOKUP(2,1/((D_Points!$A$5:$A$204&lt;&gt;"")*(D_Points!$A$5:$A$204&gt;=$B738)*(D_Points!$A$5:$A$204&lt;$B738+P_Interval)*(UPPER(TRIM(D_Points!$B$5:$B$204))="PITCHING")*(D_Points!$H$5:$H$204&lt;&gt;"")),D_Points!$H$5:$H$204),"")</f>
        <v/>
      </c>
      <c r="P738" s="181" t="str">
        <f>IFERROR(LOOKUP(2,1/((B_Drainage!$A$5:$A$204&lt;&gt;"")*(B_Drainage!$A$5:$A$204&lt;=$B738)*(B_Drainage!$B$5:$B$204&gt;$B738)*(B_Drainage!$C$5:$C$204&lt;&gt;"")),IF(B_Drainage!$C$5:$C$204="-","",UPPER(B_Drainage!$C$5:$C$204))),"")</f>
        <v/>
      </c>
      <c r="Q738" s="181" t="str">
        <f>IFERROR(LOOKUP(2,1/((B_Drainage!$A$5:$A$204&lt;&gt;"")*(B_Drainage!$A$5:$A$204&lt;=$B738)*(B_Drainage!$B$5:$B$204&gt;$B738)*(B_Drainage!$D$5:$D$204&lt;&gt;"")),IF(B_Drainage!$D$5:$D$204="-","",UPPER(B_Drainage!$D$5:$D$204))),"")</f>
        <v/>
      </c>
      <c r="R738" s="182" t="str">
        <f>IFERROR(LOOKUP(2,1/((D_Points!$A$5:$A$204&lt;&gt;"")*(D_Points!$A$5:$A$204&gt;=$B738)*(D_Points!$A$5:$A$204&lt;$B738+P_Interval)*(RIGHT(UPPER(TRIM(D_Points!$B$5:$B$204)),8)="_CULVERT")),IF(LEFT(UPPER(TRIM(D_Points!$B$5:$B$204)),2)="EX",1,IF(LEFT(UPPER(TRIM(D_Points!$B$5:$B$204)),2)="PR",2,3))),"")</f>
        <v/>
      </c>
      <c r="S738" s="182" t="str">
        <f>IFERROR(LOOKUP(2,1/((D_Points!$A$5:$A$204&lt;&gt;"")*(D_Points!$A$5:$A$204&gt;=$B738)*(D_Points!$A$5:$A$204&lt;$B738+P_Interval)*(RIGHT(UPPER(TRIM(D_Points!$B$5:$B$204)),7)="_BRIDGE")),IF(LEFT(UPPER(TRIM(D_Points!$B$5:$B$204)),2)="EX",1,IF(LEFT(UPPER(TRIM(D_Points!$B$5:$B$204)),2)="PR",2,2))),"")</f>
        <v/>
      </c>
      <c r="T738" s="181" t="str">
        <f>IFERROR(LOOKUP(2,1/((B_Drainage!$A$5:$A$204&lt;&gt;"")*(B_Drainage!$A$5:$A$204&lt;=$B738)*(B_Drainage!$B$5:$B$204&gt;$B738)*(B_Drainage!$E$5:$E$204&lt;&gt;"")),IF(B_Drainage!$E$5:$E$204="-","",1)),"")</f>
        <v/>
      </c>
      <c r="U738" s="181" t="str">
        <f>IFERROR(LOOKUP(2,1/((B_Drainage!$A$5:$A$204&lt;&gt;"")*(B_Drainage!$A$5:$A$204&lt;=$B738)*(B_Drainage!$B$5:$B$204&gt;$B738)*(B_Drainage!$E$5:$E$204&lt;&gt;"")),IF(B_Drainage!$E$5:$E$204="-","",B_Drainage!$E$5:$E$204)),"")</f>
        <v/>
      </c>
      <c r="V738" s="181" t="str">
        <f>IFERROR(LOOKUP(2,1/((B_Drainage!$A$5:$A$204&lt;&gt;"")*(B_Drainage!$A$5:$A$204&lt;=$B738)*(B_Drainage!$B$5:$B$204&gt;$B738)*(B_Drainage!$F$5:$F$204&lt;&gt;"")),IF(B_Drainage!$F$5:$F$204="-","",1)),"")</f>
        <v/>
      </c>
      <c r="W738" s="181" t="str">
        <f>IFERROR(LOOKUP(2,1/((B_Drainage!$A$5:$A$204&lt;&gt;"")*(B_Drainage!$A$5:$A$204&lt;=$B738)*(B_Drainage!$B$5:$B$204&gt;$B738)*(B_Drainage!$F$5:$F$204&lt;&gt;"")),IF(B_Drainage!$F$5:$F$204="-","",B_Drainage!$F$5:$F$204)),"")</f>
        <v/>
      </c>
      <c r="X738" s="181" t="str">
        <f>IFERROR(LOOKUP(2,1/((B_Drainage!$A$5:$A$204&lt;&gt;"")*(B_Drainage!$A$5:$A$204&lt;=$B738)*(B_Drainage!$B$5:$B$204&gt;$B738)*(B_Drainage!$G$5:$G$204&lt;&gt;"")),IF(UPPER(B_Drainage!$G$5:$G$204)="Y",1,"")),"")</f>
        <v/>
      </c>
      <c r="Y738" s="181" t="str">
        <f>IFERROR(LOOKUP(2,1/((B_Drainage!$A$5:$A$204&lt;&gt;"")*(B_Drainage!$A$5:$A$204&lt;=$B738)*(B_Drainage!$B$5:$B$204&gt;$B738)*(B_Drainage!$H$5:$H$204&lt;&gt;"")),IF(UPPER(B_Drainage!$H$5:$H$204)="Y",1,"")),"")</f>
        <v/>
      </c>
      <c r="Z738" s="181" t="str">
        <f>IFERROR(LOOKUP(2,1/((B_Drainage!$A$5:$A$204&lt;&gt;"")*(B_Drainage!$A$5:$A$204&lt;=$B738)*(B_Drainage!$B$5:$B$204&gt;$B738)*(B_Drainage!$I$5:$I$204&lt;&gt;"")),IF(UPPER(B_Drainage!$I$5:$I$204)="Y",1,"")),"")</f>
        <v/>
      </c>
      <c r="AA738" s="181" t="str">
        <f>IFERROR(LOOKUP(2,1/((B_Drainage!$A$5:$A$204&lt;&gt;"")*(B_Drainage!$A$5:$A$204&lt;=$B738)*(B_Drainage!$B$5:$B$204&gt;$B738)*(B_Drainage!$J$5:$J$204&lt;&gt;"")),IF(UPPER(B_Drainage!$J$5:$J$204)="Y",1,"")),"")</f>
        <v/>
      </c>
      <c r="AB738" s="182" t="str">
        <f>IFERROR(LOOKUP(2,1/((B_Drainage!$A$5:$A$204&lt;&gt;"")*(B_Drainage!$A$5:$A$204&lt;=$B738)*(B_Drainage!$B$5:$B$204&gt;$B738)*(B_Drainage!$K$5:$K$204&lt;&gt;"")),IF(B_Drainage!$K$5:$K$204="-","",B_Drainage!$K$5:$K$204)),"")</f>
        <v/>
      </c>
      <c r="AC738" s="182" t="str">
        <f>IFERROR(LOOKUP(2,1/((B_Drainage!$A$5:$A$204&lt;&gt;"")*(B_Drainage!$A$5:$A$204&lt;=$B738)*(B_Drainage!$B$5:$B$204&gt;$B738)*(B_Drainage!$L$5:$L$204&lt;&gt;"")),IF(B_Drainage!$L$5:$L$204="-","",B_Drainage!$L$5:$L$204)),"")</f>
        <v/>
      </c>
      <c r="AD738" s="182" t="str">
        <f>IFERROR(LOOKUP(2,1/((D_Points!$A$5:$A$204&lt;&gt;"")*(D_Points!$A$5:$A$204&gt;=$B738)*(D_Points!$A$5:$A$204&lt;$B738+P_Interval)*(UPPER(TRIM(D_Points!$B$5:$B$204))="TURNOUT_L")*(D_Points!$H$5:$H$204&lt;&gt;"")),D_Points!$H$5:$H$204),"")</f>
        <v/>
      </c>
      <c r="AE738" s="182" t="str">
        <f>IFERROR(LOOKUP(2,1/((D_Points!$A$5:$A$204&lt;&gt;"")*(D_Points!$A$5:$A$204&gt;=$B738)*(D_Points!$A$5:$A$204&lt;$B738+P_Interval)*(UPPER(TRIM(D_Points!$B$5:$B$204))="TURNOUT_R")*(D_Points!$H$5:$H$204&lt;&gt;"")),D_Points!$H$5:$H$204),"")</f>
        <v/>
      </c>
      <c r="AF738" s="181" t="str">
        <f>IFERROR(LOOKUP(2,1/((B_Drainage!$A$5:$A$204&lt;&gt;"")*(B_Drainage!$A$5:$A$204&lt;=$B738)*(B_Drainage!$B$5:$B$204&gt;$B738)*(B_Drainage!$M$5:$M$204&lt;&gt;"")),IF(UPPER(B_Drainage!$M$5:$M$204)="Y",1,"")),"")</f>
        <v/>
      </c>
      <c r="AG738" s="181" t="str">
        <f>IFERROR(LOOKUP(2,1/((B_Drainage!$A$5:$A$204&lt;&gt;"")*(B_Drainage!$A$5:$A$204&lt;=$B738)*(B_Drainage!$B$5:$B$204&gt;$B738)*(B_Drainage!$N$5:$N$204&lt;&gt;"")),IF(UPPER(B_Drainage!$N$5:$N$204)="Y",1,"")),"")</f>
        <v/>
      </c>
      <c r="AH738" s="181" t="str">
        <f t="shared" si="88"/>
        <v/>
      </c>
      <c r="AI738" s="181" t="str">
        <f t="shared" si="89"/>
        <v/>
      </c>
      <c r="AJ738" s="181" t="str">
        <f t="shared" si="90"/>
        <v/>
      </c>
      <c r="AK738" s="181" t="str">
        <f t="shared" si="91"/>
        <v/>
      </c>
      <c r="AL738" s="181" t="str">
        <f t="shared" si="92"/>
        <v/>
      </c>
      <c r="AM738" s="181" t="str">
        <f t="shared" si="93"/>
        <v/>
      </c>
      <c r="AN738" s="181" t="str">
        <f t="shared" si="94"/>
        <v/>
      </c>
      <c r="AO738" s="192" t="str">
        <f t="shared" si="95"/>
        <v/>
      </c>
      <c r="AQ738" t="str">
        <f>IFERROR(LOOKUP(2,1/((C_Pavement!$A$5:$A$204&lt;&gt;"")*(C_Pavement!$A$5:$A$204&lt;=$B738)*(C_Pavement!$B$5:$B$204&gt;$B738)*(C_Pavement!$C$5:$C$204&lt;&gt;"")),ROW(C_Pavement!$C$5:$C$204)-4),"")</f>
        <v/>
      </c>
      <c r="AR738" t="str">
        <f>IF($AQ738="","",UPPER(TRIM(INDEX(C_Pavement!$C$5:$C$204,$AQ738))))</f>
        <v/>
      </c>
      <c r="AS738" t="str">
        <f>IF($AR738="","",IFERROR(MATCH($AR738,E_Rules!$A$5:$A$9,0),""))</f>
        <v/>
      </c>
      <c r="AT738" t="str">
        <f>IF($AQ738="","",IF(INDEX(C_Pavement!$D$5:$D$204,$AQ738)&lt;&gt;"",UPPER(TRIM(INDEX(C_Pavement!$D$5:$D$204,$AQ738))),IF($AS738="","",INDEX(E_Rules!$C$5:$C$9,$AS738))))</f>
        <v/>
      </c>
      <c r="AU738" t="str">
        <f>IF($AQ738="","",IF(INDEX(C_Pavement!$E$5:$E$204,$AQ738)&lt;&gt;"",IF(INDEX(C_Pavement!$E$5:$E$204,$AQ738)="-","",INDEX(C_Pavement!$E$5:$E$204,$AQ738)),IF($AS738="","",INDEX(E_Rules!$D$5:$D$9,$AS738))))</f>
        <v/>
      </c>
      <c r="AV738" t="str">
        <f>IF($AQ738="","",IF(INDEX(C_Pavement!$F$5:$F$204,$AQ738)&lt;&gt;"",IF(INDEX(C_Pavement!$F$5:$F$204,$AQ738)="-","",INDEX(C_Pavement!$F$5:$F$204,$AQ738)),IF($AS738="","",INDEX(E_Rules!$E$5:$E$9,$AS738))))</f>
        <v/>
      </c>
      <c r="AW738" t="str">
        <f>IF($AQ738="","",IF(INDEX(C_Pavement!$G$5:$G$204,$AQ738)&lt;&gt;"",IF(INDEX(C_Pavement!$G$5:$G$204,$AQ738)="-","",INDEX(C_Pavement!$G$5:$G$204,$AQ738)),IF($AS738="","",INDEX(E_Rules!$F$5:$F$9,$AS738))))</f>
        <v/>
      </c>
      <c r="AX738" t="str">
        <f>IF($AQ738="","",IF(INDEX(C_Pavement!$H$5:$H$204,$AQ738)&lt;&gt;"",IF(INDEX(C_Pavement!$H$5:$H$204,$AQ738)="-","",INDEX(C_Pavement!$H$5:$H$204,$AQ738)),IF($AS738="","",INDEX(E_Rules!$G$5:$G$9,$AS738))))</f>
        <v/>
      </c>
      <c r="AY738" t="str">
        <f>IF($AQ738="","",IF(INDEX(C_Pavement!$I$5:$I$204,$AQ738)&lt;&gt;"",IF(INDEX(C_Pavement!$I$5:$I$204,$AQ738)="-","",INDEX(C_Pavement!$I$5:$I$204,$AQ738)),IF($AS738="","",INDEX(E_Rules!$H$5:$H$9,$AS738))))</f>
        <v/>
      </c>
    </row>
    <row r="739" spans="1:51" ht="15.75" customHeight="1" x14ac:dyDescent="0.3">
      <c r="A739" s="189">
        <v>734</v>
      </c>
      <c r="B739" s="180">
        <v>36650</v>
      </c>
      <c r="C739" s="180" t="s">
        <v>1045</v>
      </c>
      <c r="D739" s="181" t="str">
        <f>IFERROR(LOOKUP(2,1/((A_Corridor!$A$5:$A$204&lt;&gt;"")*(A_Corridor!$A$5:$A$204&lt;=$B739)*(A_Corridor!$B$5:$B$204&gt;$B739)*(A_Corridor!$C$5:$C$204&lt;&gt;"")),IF(UPPER(A_Corridor!$C$5:$C$204)="Y",1,"")),"")</f>
        <v/>
      </c>
      <c r="E739" s="181" t="str">
        <f>IFERROR(LOOKUP(2,1/((A_Corridor!$A$5:$A$204&lt;&gt;"")*(A_Corridor!$A$5:$A$204&lt;=$B739)*(A_Corridor!$B$5:$B$204&gt;$B739)*(A_Corridor!$D$5:$D$204&lt;&gt;"")),IF(A_Corridor!$D$5:$D$204="-","",UPPER(A_Corridor!$D$5:$D$204))),"")</f>
        <v/>
      </c>
      <c r="F739" s="181" t="str">
        <f>IFERROR(LOOKUP(2,1/((A_Corridor!$A$5:$A$204&lt;&gt;"")*(A_Corridor!$A$5:$A$204&lt;=$B739)*(A_Corridor!$B$5:$B$204&gt;$B739)*(A_Corridor!$E$5:$E$204&lt;&gt;"")),IF(A_Corridor!$E$5:$E$204="-","",1)),"")</f>
        <v/>
      </c>
      <c r="G739" s="182" t="str">
        <f>IFERROR(LOOKUP(2,1/((A_Corridor!$A$5:$A$204&lt;&gt;"")*(A_Corridor!$A$5:$A$204&lt;=$B739)*(A_Corridor!$B$5:$B$204&gt;$B739)*(A_Corridor!$E$5:$E$204&lt;&gt;"")),IF(A_Corridor!$E$5:$E$204="-","",A_Corridor!$E$5:$E$204)),"")</f>
        <v/>
      </c>
      <c r="H739" s="182" t="str">
        <f>IFERROR(LOOKUP(2,1/((D_Points!$A$5:$A$204&lt;&gt;"")*(D_Points!$A$5:$A$204&gt;=$B739)*(D_Points!$A$5:$A$204&lt;$B739+P_Interval)*(UPPER(TRIM(D_Points!$B$5:$B$204))="GULLY")*(D_Points!$H$5:$H$204&lt;&gt;"")),D_Points!$H$5:$H$204),"")</f>
        <v/>
      </c>
      <c r="I739" s="181" t="str">
        <f>IFERROR(LOOKUP(2,1/((A_Corridor!$A$5:$A$204&lt;&gt;"")*(A_Corridor!$A$5:$A$204&lt;=$B739)*(A_Corridor!$B$5:$B$204&gt;$B739)*(A_Corridor!$F$5:$F$204&lt;&gt;"")),IF(A_Corridor!$F$5:$F$204="-","",1)),"")</f>
        <v/>
      </c>
      <c r="J739" s="182" t="str">
        <f>IFERROR(LOOKUP(2,1/((A_Corridor!$A$5:$A$204&lt;&gt;"")*(A_Corridor!$A$5:$A$204&lt;=$B739)*(A_Corridor!$B$5:$B$204&gt;$B739)*(A_Corridor!$F$5:$F$204&lt;&gt;"")),IF(A_Corridor!$F$5:$F$204="-","",A_Corridor!$F$5:$F$204)),"")</f>
        <v/>
      </c>
      <c r="K739" s="182" t="str">
        <f>IFERROR(LOOKUP(2,1/((A_Corridor!$A$5:$A$204&lt;&gt;"")*(A_Corridor!$A$5:$A$204&lt;=$B739)*(A_Corridor!$B$5:$B$204&gt;$B739)*(A_Corridor!$G$5:$G$204&lt;&gt;"")),IF(A_Corridor!$G$5:$G$204="-","",A_Corridor!$G$5:$G$204)),"")</f>
        <v/>
      </c>
      <c r="L739" s="181" t="str">
        <f>IFERROR(LOOKUP(2,1/((A_Corridor!$A$5:$A$204&lt;&gt;"")*(A_Corridor!$A$5:$A$204&lt;=$B739)*(A_Corridor!$B$5:$B$204&gt;$B739)*(A_Corridor!$H$5:$H$204&lt;&gt;"")),IF(A_Corridor!$H$5:$H$204="-","",1)),"")</f>
        <v/>
      </c>
      <c r="M739" s="182" t="str">
        <f>IFERROR(LOOKUP(2,1/((A_Corridor!$A$5:$A$204&lt;&gt;"")*(A_Corridor!$A$5:$A$204&lt;=$B739)*(A_Corridor!$B$5:$B$204&gt;$B739)*(A_Corridor!$H$5:$H$204&lt;&gt;"")),IF(A_Corridor!$H$5:$H$204="-","",A_Corridor!$H$5:$H$204)),"")</f>
        <v/>
      </c>
      <c r="N739" s="182" t="str">
        <f>IFERROR(LOOKUP(2,1/((A_Corridor!$A$5:$A$204&lt;&gt;"")*(A_Corridor!$A$5:$A$204&lt;=$B739)*(A_Corridor!$B$5:$B$204&gt;$B739)*(A_Corridor!$I$5:$I$204&lt;&gt;"")),IF(A_Corridor!$I$5:$I$204="-","",A_Corridor!$I$5:$I$204)),"")</f>
        <v/>
      </c>
      <c r="O739" s="182" t="str">
        <f>IFERROR(LOOKUP(2,1/((D_Points!$A$5:$A$204&lt;&gt;"")*(D_Points!$A$5:$A$204&gt;=$B739)*(D_Points!$A$5:$A$204&lt;$B739+P_Interval)*(UPPER(TRIM(D_Points!$B$5:$B$204))="PITCHING")*(D_Points!$H$5:$H$204&lt;&gt;"")),D_Points!$H$5:$H$204),"")</f>
        <v/>
      </c>
      <c r="P739" s="181" t="str">
        <f>IFERROR(LOOKUP(2,1/((B_Drainage!$A$5:$A$204&lt;&gt;"")*(B_Drainage!$A$5:$A$204&lt;=$B739)*(B_Drainage!$B$5:$B$204&gt;$B739)*(B_Drainage!$C$5:$C$204&lt;&gt;"")),IF(B_Drainage!$C$5:$C$204="-","",UPPER(B_Drainage!$C$5:$C$204))),"")</f>
        <v/>
      </c>
      <c r="Q739" s="181" t="str">
        <f>IFERROR(LOOKUP(2,1/((B_Drainage!$A$5:$A$204&lt;&gt;"")*(B_Drainage!$A$5:$A$204&lt;=$B739)*(B_Drainage!$B$5:$B$204&gt;$B739)*(B_Drainage!$D$5:$D$204&lt;&gt;"")),IF(B_Drainage!$D$5:$D$204="-","",UPPER(B_Drainage!$D$5:$D$204))),"")</f>
        <v/>
      </c>
      <c r="R739" s="182" t="str">
        <f>IFERROR(LOOKUP(2,1/((D_Points!$A$5:$A$204&lt;&gt;"")*(D_Points!$A$5:$A$204&gt;=$B739)*(D_Points!$A$5:$A$204&lt;$B739+P_Interval)*(RIGHT(UPPER(TRIM(D_Points!$B$5:$B$204)),8)="_CULVERT")),IF(LEFT(UPPER(TRIM(D_Points!$B$5:$B$204)),2)="EX",1,IF(LEFT(UPPER(TRIM(D_Points!$B$5:$B$204)),2)="PR",2,3))),"")</f>
        <v/>
      </c>
      <c r="S739" s="182" t="str">
        <f>IFERROR(LOOKUP(2,1/((D_Points!$A$5:$A$204&lt;&gt;"")*(D_Points!$A$5:$A$204&gt;=$B739)*(D_Points!$A$5:$A$204&lt;$B739+P_Interval)*(RIGHT(UPPER(TRIM(D_Points!$B$5:$B$204)),7)="_BRIDGE")),IF(LEFT(UPPER(TRIM(D_Points!$B$5:$B$204)),2)="EX",1,IF(LEFT(UPPER(TRIM(D_Points!$B$5:$B$204)),2)="PR",2,2))),"")</f>
        <v/>
      </c>
      <c r="T739" s="181" t="str">
        <f>IFERROR(LOOKUP(2,1/((B_Drainage!$A$5:$A$204&lt;&gt;"")*(B_Drainage!$A$5:$A$204&lt;=$B739)*(B_Drainage!$B$5:$B$204&gt;$B739)*(B_Drainage!$E$5:$E$204&lt;&gt;"")),IF(B_Drainage!$E$5:$E$204="-","",1)),"")</f>
        <v/>
      </c>
      <c r="U739" s="181" t="str">
        <f>IFERROR(LOOKUP(2,1/((B_Drainage!$A$5:$A$204&lt;&gt;"")*(B_Drainage!$A$5:$A$204&lt;=$B739)*(B_Drainage!$B$5:$B$204&gt;$B739)*(B_Drainage!$E$5:$E$204&lt;&gt;"")),IF(B_Drainage!$E$5:$E$204="-","",B_Drainage!$E$5:$E$204)),"")</f>
        <v/>
      </c>
      <c r="V739" s="181" t="str">
        <f>IFERROR(LOOKUP(2,1/((B_Drainage!$A$5:$A$204&lt;&gt;"")*(B_Drainage!$A$5:$A$204&lt;=$B739)*(B_Drainage!$B$5:$B$204&gt;$B739)*(B_Drainage!$F$5:$F$204&lt;&gt;"")),IF(B_Drainage!$F$5:$F$204="-","",1)),"")</f>
        <v/>
      </c>
      <c r="W739" s="181" t="str">
        <f>IFERROR(LOOKUP(2,1/((B_Drainage!$A$5:$A$204&lt;&gt;"")*(B_Drainage!$A$5:$A$204&lt;=$B739)*(B_Drainage!$B$5:$B$204&gt;$B739)*(B_Drainage!$F$5:$F$204&lt;&gt;"")),IF(B_Drainage!$F$5:$F$204="-","",B_Drainage!$F$5:$F$204)),"")</f>
        <v/>
      </c>
      <c r="X739" s="181" t="str">
        <f>IFERROR(LOOKUP(2,1/((B_Drainage!$A$5:$A$204&lt;&gt;"")*(B_Drainage!$A$5:$A$204&lt;=$B739)*(B_Drainage!$B$5:$B$204&gt;$B739)*(B_Drainage!$G$5:$G$204&lt;&gt;"")),IF(UPPER(B_Drainage!$G$5:$G$204)="Y",1,"")),"")</f>
        <v/>
      </c>
      <c r="Y739" s="181" t="str">
        <f>IFERROR(LOOKUP(2,1/((B_Drainage!$A$5:$A$204&lt;&gt;"")*(B_Drainage!$A$5:$A$204&lt;=$B739)*(B_Drainage!$B$5:$B$204&gt;$B739)*(B_Drainage!$H$5:$H$204&lt;&gt;"")),IF(UPPER(B_Drainage!$H$5:$H$204)="Y",1,"")),"")</f>
        <v/>
      </c>
      <c r="Z739" s="181" t="str">
        <f>IFERROR(LOOKUP(2,1/((B_Drainage!$A$5:$A$204&lt;&gt;"")*(B_Drainage!$A$5:$A$204&lt;=$B739)*(B_Drainage!$B$5:$B$204&gt;$B739)*(B_Drainage!$I$5:$I$204&lt;&gt;"")),IF(UPPER(B_Drainage!$I$5:$I$204)="Y",1,"")),"")</f>
        <v/>
      </c>
      <c r="AA739" s="181" t="str">
        <f>IFERROR(LOOKUP(2,1/((B_Drainage!$A$5:$A$204&lt;&gt;"")*(B_Drainage!$A$5:$A$204&lt;=$B739)*(B_Drainage!$B$5:$B$204&gt;$B739)*(B_Drainage!$J$5:$J$204&lt;&gt;"")),IF(UPPER(B_Drainage!$J$5:$J$204)="Y",1,"")),"")</f>
        <v/>
      </c>
      <c r="AB739" s="182" t="str">
        <f>IFERROR(LOOKUP(2,1/((B_Drainage!$A$5:$A$204&lt;&gt;"")*(B_Drainage!$A$5:$A$204&lt;=$B739)*(B_Drainage!$B$5:$B$204&gt;$B739)*(B_Drainage!$K$5:$K$204&lt;&gt;"")),IF(B_Drainage!$K$5:$K$204="-","",B_Drainage!$K$5:$K$204)),"")</f>
        <v/>
      </c>
      <c r="AC739" s="182" t="str">
        <f>IFERROR(LOOKUP(2,1/((B_Drainage!$A$5:$A$204&lt;&gt;"")*(B_Drainage!$A$5:$A$204&lt;=$B739)*(B_Drainage!$B$5:$B$204&gt;$B739)*(B_Drainage!$L$5:$L$204&lt;&gt;"")),IF(B_Drainage!$L$5:$L$204="-","",B_Drainage!$L$5:$L$204)),"")</f>
        <v/>
      </c>
      <c r="AD739" s="182" t="str">
        <f>IFERROR(LOOKUP(2,1/((D_Points!$A$5:$A$204&lt;&gt;"")*(D_Points!$A$5:$A$204&gt;=$B739)*(D_Points!$A$5:$A$204&lt;$B739+P_Interval)*(UPPER(TRIM(D_Points!$B$5:$B$204))="TURNOUT_L")*(D_Points!$H$5:$H$204&lt;&gt;"")),D_Points!$H$5:$H$204),"")</f>
        <v/>
      </c>
      <c r="AE739" s="182" t="str">
        <f>IFERROR(LOOKUP(2,1/((D_Points!$A$5:$A$204&lt;&gt;"")*(D_Points!$A$5:$A$204&gt;=$B739)*(D_Points!$A$5:$A$204&lt;$B739+P_Interval)*(UPPER(TRIM(D_Points!$B$5:$B$204))="TURNOUT_R")*(D_Points!$H$5:$H$204&lt;&gt;"")),D_Points!$H$5:$H$204),"")</f>
        <v/>
      </c>
      <c r="AF739" s="181" t="str">
        <f>IFERROR(LOOKUP(2,1/((B_Drainage!$A$5:$A$204&lt;&gt;"")*(B_Drainage!$A$5:$A$204&lt;=$B739)*(B_Drainage!$B$5:$B$204&gt;$B739)*(B_Drainage!$M$5:$M$204&lt;&gt;"")),IF(UPPER(B_Drainage!$M$5:$M$204)="Y",1,"")),"")</f>
        <v/>
      </c>
      <c r="AG739" s="181" t="str">
        <f>IFERROR(LOOKUP(2,1/((B_Drainage!$A$5:$A$204&lt;&gt;"")*(B_Drainage!$A$5:$A$204&lt;=$B739)*(B_Drainage!$B$5:$B$204&gt;$B739)*(B_Drainage!$N$5:$N$204&lt;&gt;"")),IF(UPPER(B_Drainage!$N$5:$N$204)="Y",1,"")),"")</f>
        <v/>
      </c>
      <c r="AH739" s="181" t="str">
        <f t="shared" si="88"/>
        <v/>
      </c>
      <c r="AI739" s="181" t="str">
        <f t="shared" si="89"/>
        <v/>
      </c>
      <c r="AJ739" s="181" t="str">
        <f t="shared" si="90"/>
        <v/>
      </c>
      <c r="AK739" s="181" t="str">
        <f t="shared" si="91"/>
        <v/>
      </c>
      <c r="AL739" s="181" t="str">
        <f t="shared" si="92"/>
        <v/>
      </c>
      <c r="AM739" s="181" t="str">
        <f t="shared" si="93"/>
        <v/>
      </c>
      <c r="AN739" s="181" t="str">
        <f t="shared" si="94"/>
        <v/>
      </c>
      <c r="AO739" s="192" t="str">
        <f t="shared" si="95"/>
        <v/>
      </c>
      <c r="AQ739" t="str">
        <f>IFERROR(LOOKUP(2,1/((C_Pavement!$A$5:$A$204&lt;&gt;"")*(C_Pavement!$A$5:$A$204&lt;=$B739)*(C_Pavement!$B$5:$B$204&gt;$B739)*(C_Pavement!$C$5:$C$204&lt;&gt;"")),ROW(C_Pavement!$C$5:$C$204)-4),"")</f>
        <v/>
      </c>
      <c r="AR739" t="str">
        <f>IF($AQ739="","",UPPER(TRIM(INDEX(C_Pavement!$C$5:$C$204,$AQ739))))</f>
        <v/>
      </c>
      <c r="AS739" t="str">
        <f>IF($AR739="","",IFERROR(MATCH($AR739,E_Rules!$A$5:$A$9,0),""))</f>
        <v/>
      </c>
      <c r="AT739" t="str">
        <f>IF($AQ739="","",IF(INDEX(C_Pavement!$D$5:$D$204,$AQ739)&lt;&gt;"",UPPER(TRIM(INDEX(C_Pavement!$D$5:$D$204,$AQ739))),IF($AS739="","",INDEX(E_Rules!$C$5:$C$9,$AS739))))</f>
        <v/>
      </c>
      <c r="AU739" t="str">
        <f>IF($AQ739="","",IF(INDEX(C_Pavement!$E$5:$E$204,$AQ739)&lt;&gt;"",IF(INDEX(C_Pavement!$E$5:$E$204,$AQ739)="-","",INDEX(C_Pavement!$E$5:$E$204,$AQ739)),IF($AS739="","",INDEX(E_Rules!$D$5:$D$9,$AS739))))</f>
        <v/>
      </c>
      <c r="AV739" t="str">
        <f>IF($AQ739="","",IF(INDEX(C_Pavement!$F$5:$F$204,$AQ739)&lt;&gt;"",IF(INDEX(C_Pavement!$F$5:$F$204,$AQ739)="-","",INDEX(C_Pavement!$F$5:$F$204,$AQ739)),IF($AS739="","",INDEX(E_Rules!$E$5:$E$9,$AS739))))</f>
        <v/>
      </c>
      <c r="AW739" t="str">
        <f>IF($AQ739="","",IF(INDEX(C_Pavement!$G$5:$G$204,$AQ739)&lt;&gt;"",IF(INDEX(C_Pavement!$G$5:$G$204,$AQ739)="-","",INDEX(C_Pavement!$G$5:$G$204,$AQ739)),IF($AS739="","",INDEX(E_Rules!$F$5:$F$9,$AS739))))</f>
        <v/>
      </c>
      <c r="AX739" t="str">
        <f>IF($AQ739="","",IF(INDEX(C_Pavement!$H$5:$H$204,$AQ739)&lt;&gt;"",IF(INDEX(C_Pavement!$H$5:$H$204,$AQ739)="-","",INDEX(C_Pavement!$H$5:$H$204,$AQ739)),IF($AS739="","",INDEX(E_Rules!$G$5:$G$9,$AS739))))</f>
        <v/>
      </c>
      <c r="AY739" t="str">
        <f>IF($AQ739="","",IF(INDEX(C_Pavement!$I$5:$I$204,$AQ739)&lt;&gt;"",IF(INDEX(C_Pavement!$I$5:$I$204,$AQ739)="-","",INDEX(C_Pavement!$I$5:$I$204,$AQ739)),IF($AS739="","",INDEX(E_Rules!$H$5:$H$9,$AS739))))</f>
        <v/>
      </c>
    </row>
    <row r="740" spans="1:51" ht="15.75" customHeight="1" x14ac:dyDescent="0.3">
      <c r="A740" s="189">
        <v>735</v>
      </c>
      <c r="B740" s="180">
        <v>36700</v>
      </c>
      <c r="C740" s="180" t="s">
        <v>1046</v>
      </c>
      <c r="D740" s="181" t="str">
        <f>IFERROR(LOOKUP(2,1/((A_Corridor!$A$5:$A$204&lt;&gt;"")*(A_Corridor!$A$5:$A$204&lt;=$B740)*(A_Corridor!$B$5:$B$204&gt;$B740)*(A_Corridor!$C$5:$C$204&lt;&gt;"")),IF(UPPER(A_Corridor!$C$5:$C$204)="Y",1,"")),"")</f>
        <v/>
      </c>
      <c r="E740" s="181" t="str">
        <f>IFERROR(LOOKUP(2,1/((A_Corridor!$A$5:$A$204&lt;&gt;"")*(A_Corridor!$A$5:$A$204&lt;=$B740)*(A_Corridor!$B$5:$B$204&gt;$B740)*(A_Corridor!$D$5:$D$204&lt;&gt;"")),IF(A_Corridor!$D$5:$D$204="-","",UPPER(A_Corridor!$D$5:$D$204))),"")</f>
        <v/>
      </c>
      <c r="F740" s="181" t="str">
        <f>IFERROR(LOOKUP(2,1/((A_Corridor!$A$5:$A$204&lt;&gt;"")*(A_Corridor!$A$5:$A$204&lt;=$B740)*(A_Corridor!$B$5:$B$204&gt;$B740)*(A_Corridor!$E$5:$E$204&lt;&gt;"")),IF(A_Corridor!$E$5:$E$204="-","",1)),"")</f>
        <v/>
      </c>
      <c r="G740" s="182" t="str">
        <f>IFERROR(LOOKUP(2,1/((A_Corridor!$A$5:$A$204&lt;&gt;"")*(A_Corridor!$A$5:$A$204&lt;=$B740)*(A_Corridor!$B$5:$B$204&gt;$B740)*(A_Corridor!$E$5:$E$204&lt;&gt;"")),IF(A_Corridor!$E$5:$E$204="-","",A_Corridor!$E$5:$E$204)),"")</f>
        <v/>
      </c>
      <c r="H740" s="182" t="str">
        <f>IFERROR(LOOKUP(2,1/((D_Points!$A$5:$A$204&lt;&gt;"")*(D_Points!$A$5:$A$204&gt;=$B740)*(D_Points!$A$5:$A$204&lt;$B740+P_Interval)*(UPPER(TRIM(D_Points!$B$5:$B$204))="GULLY")*(D_Points!$H$5:$H$204&lt;&gt;"")),D_Points!$H$5:$H$204),"")</f>
        <v/>
      </c>
      <c r="I740" s="181" t="str">
        <f>IFERROR(LOOKUP(2,1/((A_Corridor!$A$5:$A$204&lt;&gt;"")*(A_Corridor!$A$5:$A$204&lt;=$B740)*(A_Corridor!$B$5:$B$204&gt;$B740)*(A_Corridor!$F$5:$F$204&lt;&gt;"")),IF(A_Corridor!$F$5:$F$204="-","",1)),"")</f>
        <v/>
      </c>
      <c r="J740" s="182" t="str">
        <f>IFERROR(LOOKUP(2,1/((A_Corridor!$A$5:$A$204&lt;&gt;"")*(A_Corridor!$A$5:$A$204&lt;=$B740)*(A_Corridor!$B$5:$B$204&gt;$B740)*(A_Corridor!$F$5:$F$204&lt;&gt;"")),IF(A_Corridor!$F$5:$F$204="-","",A_Corridor!$F$5:$F$204)),"")</f>
        <v/>
      </c>
      <c r="K740" s="182" t="str">
        <f>IFERROR(LOOKUP(2,1/((A_Corridor!$A$5:$A$204&lt;&gt;"")*(A_Corridor!$A$5:$A$204&lt;=$B740)*(A_Corridor!$B$5:$B$204&gt;$B740)*(A_Corridor!$G$5:$G$204&lt;&gt;"")),IF(A_Corridor!$G$5:$G$204="-","",A_Corridor!$G$5:$G$204)),"")</f>
        <v/>
      </c>
      <c r="L740" s="181" t="str">
        <f>IFERROR(LOOKUP(2,1/((A_Corridor!$A$5:$A$204&lt;&gt;"")*(A_Corridor!$A$5:$A$204&lt;=$B740)*(A_Corridor!$B$5:$B$204&gt;$B740)*(A_Corridor!$H$5:$H$204&lt;&gt;"")),IF(A_Corridor!$H$5:$H$204="-","",1)),"")</f>
        <v/>
      </c>
      <c r="M740" s="182" t="str">
        <f>IFERROR(LOOKUP(2,1/((A_Corridor!$A$5:$A$204&lt;&gt;"")*(A_Corridor!$A$5:$A$204&lt;=$B740)*(A_Corridor!$B$5:$B$204&gt;$B740)*(A_Corridor!$H$5:$H$204&lt;&gt;"")),IF(A_Corridor!$H$5:$H$204="-","",A_Corridor!$H$5:$H$204)),"")</f>
        <v/>
      </c>
      <c r="N740" s="182" t="str">
        <f>IFERROR(LOOKUP(2,1/((A_Corridor!$A$5:$A$204&lt;&gt;"")*(A_Corridor!$A$5:$A$204&lt;=$B740)*(A_Corridor!$B$5:$B$204&gt;$B740)*(A_Corridor!$I$5:$I$204&lt;&gt;"")),IF(A_Corridor!$I$5:$I$204="-","",A_Corridor!$I$5:$I$204)),"")</f>
        <v/>
      </c>
      <c r="O740" s="182" t="str">
        <f>IFERROR(LOOKUP(2,1/((D_Points!$A$5:$A$204&lt;&gt;"")*(D_Points!$A$5:$A$204&gt;=$B740)*(D_Points!$A$5:$A$204&lt;$B740+P_Interval)*(UPPER(TRIM(D_Points!$B$5:$B$204))="PITCHING")*(D_Points!$H$5:$H$204&lt;&gt;"")),D_Points!$H$5:$H$204),"")</f>
        <v/>
      </c>
      <c r="P740" s="181" t="str">
        <f>IFERROR(LOOKUP(2,1/((B_Drainage!$A$5:$A$204&lt;&gt;"")*(B_Drainage!$A$5:$A$204&lt;=$B740)*(B_Drainage!$B$5:$B$204&gt;$B740)*(B_Drainage!$C$5:$C$204&lt;&gt;"")),IF(B_Drainage!$C$5:$C$204="-","",UPPER(B_Drainage!$C$5:$C$204))),"")</f>
        <v/>
      </c>
      <c r="Q740" s="181" t="str">
        <f>IFERROR(LOOKUP(2,1/((B_Drainage!$A$5:$A$204&lt;&gt;"")*(B_Drainage!$A$5:$A$204&lt;=$B740)*(B_Drainage!$B$5:$B$204&gt;$B740)*(B_Drainage!$D$5:$D$204&lt;&gt;"")),IF(B_Drainage!$D$5:$D$204="-","",UPPER(B_Drainage!$D$5:$D$204))),"")</f>
        <v/>
      </c>
      <c r="R740" s="182" t="str">
        <f>IFERROR(LOOKUP(2,1/((D_Points!$A$5:$A$204&lt;&gt;"")*(D_Points!$A$5:$A$204&gt;=$B740)*(D_Points!$A$5:$A$204&lt;$B740+P_Interval)*(RIGHT(UPPER(TRIM(D_Points!$B$5:$B$204)),8)="_CULVERT")),IF(LEFT(UPPER(TRIM(D_Points!$B$5:$B$204)),2)="EX",1,IF(LEFT(UPPER(TRIM(D_Points!$B$5:$B$204)),2)="PR",2,3))),"")</f>
        <v/>
      </c>
      <c r="S740" s="182" t="str">
        <f>IFERROR(LOOKUP(2,1/((D_Points!$A$5:$A$204&lt;&gt;"")*(D_Points!$A$5:$A$204&gt;=$B740)*(D_Points!$A$5:$A$204&lt;$B740+P_Interval)*(RIGHT(UPPER(TRIM(D_Points!$B$5:$B$204)),7)="_BRIDGE")),IF(LEFT(UPPER(TRIM(D_Points!$B$5:$B$204)),2)="EX",1,IF(LEFT(UPPER(TRIM(D_Points!$B$5:$B$204)),2)="PR",2,2))),"")</f>
        <v/>
      </c>
      <c r="T740" s="181" t="str">
        <f>IFERROR(LOOKUP(2,1/((B_Drainage!$A$5:$A$204&lt;&gt;"")*(B_Drainage!$A$5:$A$204&lt;=$B740)*(B_Drainage!$B$5:$B$204&gt;$B740)*(B_Drainage!$E$5:$E$204&lt;&gt;"")),IF(B_Drainage!$E$5:$E$204="-","",1)),"")</f>
        <v/>
      </c>
      <c r="U740" s="181" t="str">
        <f>IFERROR(LOOKUP(2,1/((B_Drainage!$A$5:$A$204&lt;&gt;"")*(B_Drainage!$A$5:$A$204&lt;=$B740)*(B_Drainage!$B$5:$B$204&gt;$B740)*(B_Drainage!$E$5:$E$204&lt;&gt;"")),IF(B_Drainage!$E$5:$E$204="-","",B_Drainage!$E$5:$E$204)),"")</f>
        <v/>
      </c>
      <c r="V740" s="181" t="str">
        <f>IFERROR(LOOKUP(2,1/((B_Drainage!$A$5:$A$204&lt;&gt;"")*(B_Drainage!$A$5:$A$204&lt;=$B740)*(B_Drainage!$B$5:$B$204&gt;$B740)*(B_Drainage!$F$5:$F$204&lt;&gt;"")),IF(B_Drainage!$F$5:$F$204="-","",1)),"")</f>
        <v/>
      </c>
      <c r="W740" s="181" t="str">
        <f>IFERROR(LOOKUP(2,1/((B_Drainage!$A$5:$A$204&lt;&gt;"")*(B_Drainage!$A$5:$A$204&lt;=$B740)*(B_Drainage!$B$5:$B$204&gt;$B740)*(B_Drainage!$F$5:$F$204&lt;&gt;"")),IF(B_Drainage!$F$5:$F$204="-","",B_Drainage!$F$5:$F$204)),"")</f>
        <v/>
      </c>
      <c r="X740" s="181" t="str">
        <f>IFERROR(LOOKUP(2,1/((B_Drainage!$A$5:$A$204&lt;&gt;"")*(B_Drainage!$A$5:$A$204&lt;=$B740)*(B_Drainage!$B$5:$B$204&gt;$B740)*(B_Drainage!$G$5:$G$204&lt;&gt;"")),IF(UPPER(B_Drainage!$G$5:$G$204)="Y",1,"")),"")</f>
        <v/>
      </c>
      <c r="Y740" s="181" t="str">
        <f>IFERROR(LOOKUP(2,1/((B_Drainage!$A$5:$A$204&lt;&gt;"")*(B_Drainage!$A$5:$A$204&lt;=$B740)*(B_Drainage!$B$5:$B$204&gt;$B740)*(B_Drainage!$H$5:$H$204&lt;&gt;"")),IF(UPPER(B_Drainage!$H$5:$H$204)="Y",1,"")),"")</f>
        <v/>
      </c>
      <c r="Z740" s="181" t="str">
        <f>IFERROR(LOOKUP(2,1/((B_Drainage!$A$5:$A$204&lt;&gt;"")*(B_Drainage!$A$5:$A$204&lt;=$B740)*(B_Drainage!$B$5:$B$204&gt;$B740)*(B_Drainage!$I$5:$I$204&lt;&gt;"")),IF(UPPER(B_Drainage!$I$5:$I$204)="Y",1,"")),"")</f>
        <v/>
      </c>
      <c r="AA740" s="181" t="str">
        <f>IFERROR(LOOKUP(2,1/((B_Drainage!$A$5:$A$204&lt;&gt;"")*(B_Drainage!$A$5:$A$204&lt;=$B740)*(B_Drainage!$B$5:$B$204&gt;$B740)*(B_Drainage!$J$5:$J$204&lt;&gt;"")),IF(UPPER(B_Drainage!$J$5:$J$204)="Y",1,"")),"")</f>
        <v/>
      </c>
      <c r="AB740" s="182" t="str">
        <f>IFERROR(LOOKUP(2,1/((B_Drainage!$A$5:$A$204&lt;&gt;"")*(B_Drainage!$A$5:$A$204&lt;=$B740)*(B_Drainage!$B$5:$B$204&gt;$B740)*(B_Drainage!$K$5:$K$204&lt;&gt;"")),IF(B_Drainage!$K$5:$K$204="-","",B_Drainage!$K$5:$K$204)),"")</f>
        <v/>
      </c>
      <c r="AC740" s="182" t="str">
        <f>IFERROR(LOOKUP(2,1/((B_Drainage!$A$5:$A$204&lt;&gt;"")*(B_Drainage!$A$5:$A$204&lt;=$B740)*(B_Drainage!$B$5:$B$204&gt;$B740)*(B_Drainage!$L$5:$L$204&lt;&gt;"")),IF(B_Drainage!$L$5:$L$204="-","",B_Drainage!$L$5:$L$204)),"")</f>
        <v/>
      </c>
      <c r="AD740" s="182" t="str">
        <f>IFERROR(LOOKUP(2,1/((D_Points!$A$5:$A$204&lt;&gt;"")*(D_Points!$A$5:$A$204&gt;=$B740)*(D_Points!$A$5:$A$204&lt;$B740+P_Interval)*(UPPER(TRIM(D_Points!$B$5:$B$204))="TURNOUT_L")*(D_Points!$H$5:$H$204&lt;&gt;"")),D_Points!$H$5:$H$204),"")</f>
        <v/>
      </c>
      <c r="AE740" s="182" t="str">
        <f>IFERROR(LOOKUP(2,1/((D_Points!$A$5:$A$204&lt;&gt;"")*(D_Points!$A$5:$A$204&gt;=$B740)*(D_Points!$A$5:$A$204&lt;$B740+P_Interval)*(UPPER(TRIM(D_Points!$B$5:$B$204))="TURNOUT_R")*(D_Points!$H$5:$H$204&lt;&gt;"")),D_Points!$H$5:$H$204),"")</f>
        <v/>
      </c>
      <c r="AF740" s="181" t="str">
        <f>IFERROR(LOOKUP(2,1/((B_Drainage!$A$5:$A$204&lt;&gt;"")*(B_Drainage!$A$5:$A$204&lt;=$B740)*(B_Drainage!$B$5:$B$204&gt;$B740)*(B_Drainage!$M$5:$M$204&lt;&gt;"")),IF(UPPER(B_Drainage!$M$5:$M$204)="Y",1,"")),"")</f>
        <v/>
      </c>
      <c r="AG740" s="181" t="str">
        <f>IFERROR(LOOKUP(2,1/((B_Drainage!$A$5:$A$204&lt;&gt;"")*(B_Drainage!$A$5:$A$204&lt;=$B740)*(B_Drainage!$B$5:$B$204&gt;$B740)*(B_Drainage!$N$5:$N$204&lt;&gt;"")),IF(UPPER(B_Drainage!$N$5:$N$204)="Y",1,"")),"")</f>
        <v/>
      </c>
      <c r="AH740" s="181" t="str">
        <f t="shared" si="88"/>
        <v/>
      </c>
      <c r="AI740" s="181" t="str">
        <f t="shared" si="89"/>
        <v/>
      </c>
      <c r="AJ740" s="181" t="str">
        <f t="shared" si="90"/>
        <v/>
      </c>
      <c r="AK740" s="181" t="str">
        <f t="shared" si="91"/>
        <v/>
      </c>
      <c r="AL740" s="181" t="str">
        <f t="shared" si="92"/>
        <v/>
      </c>
      <c r="AM740" s="181" t="str">
        <f t="shared" si="93"/>
        <v/>
      </c>
      <c r="AN740" s="181" t="str">
        <f t="shared" si="94"/>
        <v/>
      </c>
      <c r="AO740" s="192" t="str">
        <f t="shared" si="95"/>
        <v/>
      </c>
      <c r="AQ740" t="str">
        <f>IFERROR(LOOKUP(2,1/((C_Pavement!$A$5:$A$204&lt;&gt;"")*(C_Pavement!$A$5:$A$204&lt;=$B740)*(C_Pavement!$B$5:$B$204&gt;$B740)*(C_Pavement!$C$5:$C$204&lt;&gt;"")),ROW(C_Pavement!$C$5:$C$204)-4),"")</f>
        <v/>
      </c>
      <c r="AR740" t="str">
        <f>IF($AQ740="","",UPPER(TRIM(INDEX(C_Pavement!$C$5:$C$204,$AQ740))))</f>
        <v/>
      </c>
      <c r="AS740" t="str">
        <f>IF($AR740="","",IFERROR(MATCH($AR740,E_Rules!$A$5:$A$9,0),""))</f>
        <v/>
      </c>
      <c r="AT740" t="str">
        <f>IF($AQ740="","",IF(INDEX(C_Pavement!$D$5:$D$204,$AQ740)&lt;&gt;"",UPPER(TRIM(INDEX(C_Pavement!$D$5:$D$204,$AQ740))),IF($AS740="","",INDEX(E_Rules!$C$5:$C$9,$AS740))))</f>
        <v/>
      </c>
      <c r="AU740" t="str">
        <f>IF($AQ740="","",IF(INDEX(C_Pavement!$E$5:$E$204,$AQ740)&lt;&gt;"",IF(INDEX(C_Pavement!$E$5:$E$204,$AQ740)="-","",INDEX(C_Pavement!$E$5:$E$204,$AQ740)),IF($AS740="","",INDEX(E_Rules!$D$5:$D$9,$AS740))))</f>
        <v/>
      </c>
      <c r="AV740" t="str">
        <f>IF($AQ740="","",IF(INDEX(C_Pavement!$F$5:$F$204,$AQ740)&lt;&gt;"",IF(INDEX(C_Pavement!$F$5:$F$204,$AQ740)="-","",INDEX(C_Pavement!$F$5:$F$204,$AQ740)),IF($AS740="","",INDEX(E_Rules!$E$5:$E$9,$AS740))))</f>
        <v/>
      </c>
      <c r="AW740" t="str">
        <f>IF($AQ740="","",IF(INDEX(C_Pavement!$G$5:$G$204,$AQ740)&lt;&gt;"",IF(INDEX(C_Pavement!$G$5:$G$204,$AQ740)="-","",INDEX(C_Pavement!$G$5:$G$204,$AQ740)),IF($AS740="","",INDEX(E_Rules!$F$5:$F$9,$AS740))))</f>
        <v/>
      </c>
      <c r="AX740" t="str">
        <f>IF($AQ740="","",IF(INDEX(C_Pavement!$H$5:$H$204,$AQ740)&lt;&gt;"",IF(INDEX(C_Pavement!$H$5:$H$204,$AQ740)="-","",INDEX(C_Pavement!$H$5:$H$204,$AQ740)),IF($AS740="","",INDEX(E_Rules!$G$5:$G$9,$AS740))))</f>
        <v/>
      </c>
      <c r="AY740" t="str">
        <f>IF($AQ740="","",IF(INDEX(C_Pavement!$I$5:$I$204,$AQ740)&lt;&gt;"",IF(INDEX(C_Pavement!$I$5:$I$204,$AQ740)="-","",INDEX(C_Pavement!$I$5:$I$204,$AQ740)),IF($AS740="","",INDEX(E_Rules!$H$5:$H$9,$AS740))))</f>
        <v/>
      </c>
    </row>
    <row r="741" spans="1:51" ht="15.75" customHeight="1" x14ac:dyDescent="0.3">
      <c r="A741" s="189">
        <v>736</v>
      </c>
      <c r="B741" s="180">
        <v>36750</v>
      </c>
      <c r="C741" s="180" t="s">
        <v>1047</v>
      </c>
      <c r="D741" s="181" t="str">
        <f>IFERROR(LOOKUP(2,1/((A_Corridor!$A$5:$A$204&lt;&gt;"")*(A_Corridor!$A$5:$A$204&lt;=$B741)*(A_Corridor!$B$5:$B$204&gt;$B741)*(A_Corridor!$C$5:$C$204&lt;&gt;"")),IF(UPPER(A_Corridor!$C$5:$C$204)="Y",1,"")),"")</f>
        <v/>
      </c>
      <c r="E741" s="181" t="str">
        <f>IFERROR(LOOKUP(2,1/((A_Corridor!$A$5:$A$204&lt;&gt;"")*(A_Corridor!$A$5:$A$204&lt;=$B741)*(A_Corridor!$B$5:$B$204&gt;$B741)*(A_Corridor!$D$5:$D$204&lt;&gt;"")),IF(A_Corridor!$D$5:$D$204="-","",UPPER(A_Corridor!$D$5:$D$204))),"")</f>
        <v/>
      </c>
      <c r="F741" s="181" t="str">
        <f>IFERROR(LOOKUP(2,1/((A_Corridor!$A$5:$A$204&lt;&gt;"")*(A_Corridor!$A$5:$A$204&lt;=$B741)*(A_Corridor!$B$5:$B$204&gt;$B741)*(A_Corridor!$E$5:$E$204&lt;&gt;"")),IF(A_Corridor!$E$5:$E$204="-","",1)),"")</f>
        <v/>
      </c>
      <c r="G741" s="182" t="str">
        <f>IFERROR(LOOKUP(2,1/((A_Corridor!$A$5:$A$204&lt;&gt;"")*(A_Corridor!$A$5:$A$204&lt;=$B741)*(A_Corridor!$B$5:$B$204&gt;$B741)*(A_Corridor!$E$5:$E$204&lt;&gt;"")),IF(A_Corridor!$E$5:$E$204="-","",A_Corridor!$E$5:$E$204)),"")</f>
        <v/>
      </c>
      <c r="H741" s="182" t="str">
        <f>IFERROR(LOOKUP(2,1/((D_Points!$A$5:$A$204&lt;&gt;"")*(D_Points!$A$5:$A$204&gt;=$B741)*(D_Points!$A$5:$A$204&lt;$B741+P_Interval)*(UPPER(TRIM(D_Points!$B$5:$B$204))="GULLY")*(D_Points!$H$5:$H$204&lt;&gt;"")),D_Points!$H$5:$H$204),"")</f>
        <v/>
      </c>
      <c r="I741" s="181" t="str">
        <f>IFERROR(LOOKUP(2,1/((A_Corridor!$A$5:$A$204&lt;&gt;"")*(A_Corridor!$A$5:$A$204&lt;=$B741)*(A_Corridor!$B$5:$B$204&gt;$B741)*(A_Corridor!$F$5:$F$204&lt;&gt;"")),IF(A_Corridor!$F$5:$F$204="-","",1)),"")</f>
        <v/>
      </c>
      <c r="J741" s="182" t="str">
        <f>IFERROR(LOOKUP(2,1/((A_Corridor!$A$5:$A$204&lt;&gt;"")*(A_Corridor!$A$5:$A$204&lt;=$B741)*(A_Corridor!$B$5:$B$204&gt;$B741)*(A_Corridor!$F$5:$F$204&lt;&gt;"")),IF(A_Corridor!$F$5:$F$204="-","",A_Corridor!$F$5:$F$204)),"")</f>
        <v/>
      </c>
      <c r="K741" s="182" t="str">
        <f>IFERROR(LOOKUP(2,1/((A_Corridor!$A$5:$A$204&lt;&gt;"")*(A_Corridor!$A$5:$A$204&lt;=$B741)*(A_Corridor!$B$5:$B$204&gt;$B741)*(A_Corridor!$G$5:$G$204&lt;&gt;"")),IF(A_Corridor!$G$5:$G$204="-","",A_Corridor!$G$5:$G$204)),"")</f>
        <v/>
      </c>
      <c r="L741" s="181" t="str">
        <f>IFERROR(LOOKUP(2,1/((A_Corridor!$A$5:$A$204&lt;&gt;"")*(A_Corridor!$A$5:$A$204&lt;=$B741)*(A_Corridor!$B$5:$B$204&gt;$B741)*(A_Corridor!$H$5:$H$204&lt;&gt;"")),IF(A_Corridor!$H$5:$H$204="-","",1)),"")</f>
        <v/>
      </c>
      <c r="M741" s="182" t="str">
        <f>IFERROR(LOOKUP(2,1/((A_Corridor!$A$5:$A$204&lt;&gt;"")*(A_Corridor!$A$5:$A$204&lt;=$B741)*(A_Corridor!$B$5:$B$204&gt;$B741)*(A_Corridor!$H$5:$H$204&lt;&gt;"")),IF(A_Corridor!$H$5:$H$204="-","",A_Corridor!$H$5:$H$204)),"")</f>
        <v/>
      </c>
      <c r="N741" s="182" t="str">
        <f>IFERROR(LOOKUP(2,1/((A_Corridor!$A$5:$A$204&lt;&gt;"")*(A_Corridor!$A$5:$A$204&lt;=$B741)*(A_Corridor!$B$5:$B$204&gt;$B741)*(A_Corridor!$I$5:$I$204&lt;&gt;"")),IF(A_Corridor!$I$5:$I$204="-","",A_Corridor!$I$5:$I$204)),"")</f>
        <v/>
      </c>
      <c r="O741" s="182" t="str">
        <f>IFERROR(LOOKUP(2,1/((D_Points!$A$5:$A$204&lt;&gt;"")*(D_Points!$A$5:$A$204&gt;=$B741)*(D_Points!$A$5:$A$204&lt;$B741+P_Interval)*(UPPER(TRIM(D_Points!$B$5:$B$204))="PITCHING")*(D_Points!$H$5:$H$204&lt;&gt;"")),D_Points!$H$5:$H$204),"")</f>
        <v/>
      </c>
      <c r="P741" s="181" t="str">
        <f>IFERROR(LOOKUP(2,1/((B_Drainage!$A$5:$A$204&lt;&gt;"")*(B_Drainage!$A$5:$A$204&lt;=$B741)*(B_Drainage!$B$5:$B$204&gt;$B741)*(B_Drainage!$C$5:$C$204&lt;&gt;"")),IF(B_Drainage!$C$5:$C$204="-","",UPPER(B_Drainage!$C$5:$C$204))),"")</f>
        <v/>
      </c>
      <c r="Q741" s="181" t="str">
        <f>IFERROR(LOOKUP(2,1/((B_Drainage!$A$5:$A$204&lt;&gt;"")*(B_Drainage!$A$5:$A$204&lt;=$B741)*(B_Drainage!$B$5:$B$204&gt;$B741)*(B_Drainage!$D$5:$D$204&lt;&gt;"")),IF(B_Drainage!$D$5:$D$204="-","",UPPER(B_Drainage!$D$5:$D$204))),"")</f>
        <v/>
      </c>
      <c r="R741" s="182" t="str">
        <f>IFERROR(LOOKUP(2,1/((D_Points!$A$5:$A$204&lt;&gt;"")*(D_Points!$A$5:$A$204&gt;=$B741)*(D_Points!$A$5:$A$204&lt;$B741+P_Interval)*(RIGHT(UPPER(TRIM(D_Points!$B$5:$B$204)),8)="_CULVERT")),IF(LEFT(UPPER(TRIM(D_Points!$B$5:$B$204)),2)="EX",1,IF(LEFT(UPPER(TRIM(D_Points!$B$5:$B$204)),2)="PR",2,3))),"")</f>
        <v/>
      </c>
      <c r="S741" s="182" t="str">
        <f>IFERROR(LOOKUP(2,1/((D_Points!$A$5:$A$204&lt;&gt;"")*(D_Points!$A$5:$A$204&gt;=$B741)*(D_Points!$A$5:$A$204&lt;$B741+P_Interval)*(RIGHT(UPPER(TRIM(D_Points!$B$5:$B$204)),7)="_BRIDGE")),IF(LEFT(UPPER(TRIM(D_Points!$B$5:$B$204)),2)="EX",1,IF(LEFT(UPPER(TRIM(D_Points!$B$5:$B$204)),2)="PR",2,2))),"")</f>
        <v/>
      </c>
      <c r="T741" s="181" t="str">
        <f>IFERROR(LOOKUP(2,1/((B_Drainage!$A$5:$A$204&lt;&gt;"")*(B_Drainage!$A$5:$A$204&lt;=$B741)*(B_Drainage!$B$5:$B$204&gt;$B741)*(B_Drainage!$E$5:$E$204&lt;&gt;"")),IF(B_Drainage!$E$5:$E$204="-","",1)),"")</f>
        <v/>
      </c>
      <c r="U741" s="181" t="str">
        <f>IFERROR(LOOKUP(2,1/((B_Drainage!$A$5:$A$204&lt;&gt;"")*(B_Drainage!$A$5:$A$204&lt;=$B741)*(B_Drainage!$B$5:$B$204&gt;$B741)*(B_Drainage!$E$5:$E$204&lt;&gt;"")),IF(B_Drainage!$E$5:$E$204="-","",B_Drainage!$E$5:$E$204)),"")</f>
        <v/>
      </c>
      <c r="V741" s="181" t="str">
        <f>IFERROR(LOOKUP(2,1/((B_Drainage!$A$5:$A$204&lt;&gt;"")*(B_Drainage!$A$5:$A$204&lt;=$B741)*(B_Drainage!$B$5:$B$204&gt;$B741)*(B_Drainage!$F$5:$F$204&lt;&gt;"")),IF(B_Drainage!$F$5:$F$204="-","",1)),"")</f>
        <v/>
      </c>
      <c r="W741" s="181" t="str">
        <f>IFERROR(LOOKUP(2,1/((B_Drainage!$A$5:$A$204&lt;&gt;"")*(B_Drainage!$A$5:$A$204&lt;=$B741)*(B_Drainage!$B$5:$B$204&gt;$B741)*(B_Drainage!$F$5:$F$204&lt;&gt;"")),IF(B_Drainage!$F$5:$F$204="-","",B_Drainage!$F$5:$F$204)),"")</f>
        <v/>
      </c>
      <c r="X741" s="181" t="str">
        <f>IFERROR(LOOKUP(2,1/((B_Drainage!$A$5:$A$204&lt;&gt;"")*(B_Drainage!$A$5:$A$204&lt;=$B741)*(B_Drainage!$B$5:$B$204&gt;$B741)*(B_Drainage!$G$5:$G$204&lt;&gt;"")),IF(UPPER(B_Drainage!$G$5:$G$204)="Y",1,"")),"")</f>
        <v/>
      </c>
      <c r="Y741" s="181" t="str">
        <f>IFERROR(LOOKUP(2,1/((B_Drainage!$A$5:$A$204&lt;&gt;"")*(B_Drainage!$A$5:$A$204&lt;=$B741)*(B_Drainage!$B$5:$B$204&gt;$B741)*(B_Drainage!$H$5:$H$204&lt;&gt;"")),IF(UPPER(B_Drainage!$H$5:$H$204)="Y",1,"")),"")</f>
        <v/>
      </c>
      <c r="Z741" s="181" t="str">
        <f>IFERROR(LOOKUP(2,1/((B_Drainage!$A$5:$A$204&lt;&gt;"")*(B_Drainage!$A$5:$A$204&lt;=$B741)*(B_Drainage!$B$5:$B$204&gt;$B741)*(B_Drainage!$I$5:$I$204&lt;&gt;"")),IF(UPPER(B_Drainage!$I$5:$I$204)="Y",1,"")),"")</f>
        <v/>
      </c>
      <c r="AA741" s="181" t="str">
        <f>IFERROR(LOOKUP(2,1/((B_Drainage!$A$5:$A$204&lt;&gt;"")*(B_Drainage!$A$5:$A$204&lt;=$B741)*(B_Drainage!$B$5:$B$204&gt;$B741)*(B_Drainage!$J$5:$J$204&lt;&gt;"")),IF(UPPER(B_Drainage!$J$5:$J$204)="Y",1,"")),"")</f>
        <v/>
      </c>
      <c r="AB741" s="182" t="str">
        <f>IFERROR(LOOKUP(2,1/((B_Drainage!$A$5:$A$204&lt;&gt;"")*(B_Drainage!$A$5:$A$204&lt;=$B741)*(B_Drainage!$B$5:$B$204&gt;$B741)*(B_Drainage!$K$5:$K$204&lt;&gt;"")),IF(B_Drainage!$K$5:$K$204="-","",B_Drainage!$K$5:$K$204)),"")</f>
        <v/>
      </c>
      <c r="AC741" s="182" t="str">
        <f>IFERROR(LOOKUP(2,1/((B_Drainage!$A$5:$A$204&lt;&gt;"")*(B_Drainage!$A$5:$A$204&lt;=$B741)*(B_Drainage!$B$5:$B$204&gt;$B741)*(B_Drainage!$L$5:$L$204&lt;&gt;"")),IF(B_Drainage!$L$5:$L$204="-","",B_Drainage!$L$5:$L$204)),"")</f>
        <v/>
      </c>
      <c r="AD741" s="182" t="str">
        <f>IFERROR(LOOKUP(2,1/((D_Points!$A$5:$A$204&lt;&gt;"")*(D_Points!$A$5:$A$204&gt;=$B741)*(D_Points!$A$5:$A$204&lt;$B741+P_Interval)*(UPPER(TRIM(D_Points!$B$5:$B$204))="TURNOUT_L")*(D_Points!$H$5:$H$204&lt;&gt;"")),D_Points!$H$5:$H$204),"")</f>
        <v/>
      </c>
      <c r="AE741" s="182" t="str">
        <f>IFERROR(LOOKUP(2,1/((D_Points!$A$5:$A$204&lt;&gt;"")*(D_Points!$A$5:$A$204&gt;=$B741)*(D_Points!$A$5:$A$204&lt;$B741+P_Interval)*(UPPER(TRIM(D_Points!$B$5:$B$204))="TURNOUT_R")*(D_Points!$H$5:$H$204&lt;&gt;"")),D_Points!$H$5:$H$204),"")</f>
        <v/>
      </c>
      <c r="AF741" s="181" t="str">
        <f>IFERROR(LOOKUP(2,1/((B_Drainage!$A$5:$A$204&lt;&gt;"")*(B_Drainage!$A$5:$A$204&lt;=$B741)*(B_Drainage!$B$5:$B$204&gt;$B741)*(B_Drainage!$M$5:$M$204&lt;&gt;"")),IF(UPPER(B_Drainage!$M$5:$M$204)="Y",1,"")),"")</f>
        <v/>
      </c>
      <c r="AG741" s="181" t="str">
        <f>IFERROR(LOOKUP(2,1/((B_Drainage!$A$5:$A$204&lt;&gt;"")*(B_Drainage!$A$5:$A$204&lt;=$B741)*(B_Drainage!$B$5:$B$204&gt;$B741)*(B_Drainage!$N$5:$N$204&lt;&gt;"")),IF(UPPER(B_Drainage!$N$5:$N$204)="Y",1,"")),"")</f>
        <v/>
      </c>
      <c r="AH741" s="181" t="str">
        <f t="shared" si="88"/>
        <v/>
      </c>
      <c r="AI741" s="181" t="str">
        <f t="shared" si="89"/>
        <v/>
      </c>
      <c r="AJ741" s="181" t="str">
        <f t="shared" si="90"/>
        <v/>
      </c>
      <c r="AK741" s="181" t="str">
        <f t="shared" si="91"/>
        <v/>
      </c>
      <c r="AL741" s="181" t="str">
        <f t="shared" si="92"/>
        <v/>
      </c>
      <c r="AM741" s="181" t="str">
        <f t="shared" si="93"/>
        <v/>
      </c>
      <c r="AN741" s="181" t="str">
        <f t="shared" si="94"/>
        <v/>
      </c>
      <c r="AO741" s="192" t="str">
        <f t="shared" si="95"/>
        <v/>
      </c>
      <c r="AQ741" t="str">
        <f>IFERROR(LOOKUP(2,1/((C_Pavement!$A$5:$A$204&lt;&gt;"")*(C_Pavement!$A$5:$A$204&lt;=$B741)*(C_Pavement!$B$5:$B$204&gt;$B741)*(C_Pavement!$C$5:$C$204&lt;&gt;"")),ROW(C_Pavement!$C$5:$C$204)-4),"")</f>
        <v/>
      </c>
      <c r="AR741" t="str">
        <f>IF($AQ741="","",UPPER(TRIM(INDEX(C_Pavement!$C$5:$C$204,$AQ741))))</f>
        <v/>
      </c>
      <c r="AS741" t="str">
        <f>IF($AR741="","",IFERROR(MATCH($AR741,E_Rules!$A$5:$A$9,0),""))</f>
        <v/>
      </c>
      <c r="AT741" t="str">
        <f>IF($AQ741="","",IF(INDEX(C_Pavement!$D$5:$D$204,$AQ741)&lt;&gt;"",UPPER(TRIM(INDEX(C_Pavement!$D$5:$D$204,$AQ741))),IF($AS741="","",INDEX(E_Rules!$C$5:$C$9,$AS741))))</f>
        <v/>
      </c>
      <c r="AU741" t="str">
        <f>IF($AQ741="","",IF(INDEX(C_Pavement!$E$5:$E$204,$AQ741)&lt;&gt;"",IF(INDEX(C_Pavement!$E$5:$E$204,$AQ741)="-","",INDEX(C_Pavement!$E$5:$E$204,$AQ741)),IF($AS741="","",INDEX(E_Rules!$D$5:$D$9,$AS741))))</f>
        <v/>
      </c>
      <c r="AV741" t="str">
        <f>IF($AQ741="","",IF(INDEX(C_Pavement!$F$5:$F$204,$AQ741)&lt;&gt;"",IF(INDEX(C_Pavement!$F$5:$F$204,$AQ741)="-","",INDEX(C_Pavement!$F$5:$F$204,$AQ741)),IF($AS741="","",INDEX(E_Rules!$E$5:$E$9,$AS741))))</f>
        <v/>
      </c>
      <c r="AW741" t="str">
        <f>IF($AQ741="","",IF(INDEX(C_Pavement!$G$5:$G$204,$AQ741)&lt;&gt;"",IF(INDEX(C_Pavement!$G$5:$G$204,$AQ741)="-","",INDEX(C_Pavement!$G$5:$G$204,$AQ741)),IF($AS741="","",INDEX(E_Rules!$F$5:$F$9,$AS741))))</f>
        <v/>
      </c>
      <c r="AX741" t="str">
        <f>IF($AQ741="","",IF(INDEX(C_Pavement!$H$5:$H$204,$AQ741)&lt;&gt;"",IF(INDEX(C_Pavement!$H$5:$H$204,$AQ741)="-","",INDEX(C_Pavement!$H$5:$H$204,$AQ741)),IF($AS741="","",INDEX(E_Rules!$G$5:$G$9,$AS741))))</f>
        <v/>
      </c>
      <c r="AY741" t="str">
        <f>IF($AQ741="","",IF(INDEX(C_Pavement!$I$5:$I$204,$AQ741)&lt;&gt;"",IF(INDEX(C_Pavement!$I$5:$I$204,$AQ741)="-","",INDEX(C_Pavement!$I$5:$I$204,$AQ741)),IF($AS741="","",INDEX(E_Rules!$H$5:$H$9,$AS741))))</f>
        <v/>
      </c>
    </row>
    <row r="742" spans="1:51" ht="15.75" customHeight="1" x14ac:dyDescent="0.3">
      <c r="A742" s="189">
        <v>737</v>
      </c>
      <c r="B742" s="180">
        <v>36800</v>
      </c>
      <c r="C742" s="180" t="s">
        <v>1048</v>
      </c>
      <c r="D742" s="181" t="str">
        <f>IFERROR(LOOKUP(2,1/((A_Corridor!$A$5:$A$204&lt;&gt;"")*(A_Corridor!$A$5:$A$204&lt;=$B742)*(A_Corridor!$B$5:$B$204&gt;$B742)*(A_Corridor!$C$5:$C$204&lt;&gt;"")),IF(UPPER(A_Corridor!$C$5:$C$204)="Y",1,"")),"")</f>
        <v/>
      </c>
      <c r="E742" s="181" t="str">
        <f>IFERROR(LOOKUP(2,1/((A_Corridor!$A$5:$A$204&lt;&gt;"")*(A_Corridor!$A$5:$A$204&lt;=$B742)*(A_Corridor!$B$5:$B$204&gt;$B742)*(A_Corridor!$D$5:$D$204&lt;&gt;"")),IF(A_Corridor!$D$5:$D$204="-","",UPPER(A_Corridor!$D$5:$D$204))),"")</f>
        <v/>
      </c>
      <c r="F742" s="181" t="str">
        <f>IFERROR(LOOKUP(2,1/((A_Corridor!$A$5:$A$204&lt;&gt;"")*(A_Corridor!$A$5:$A$204&lt;=$B742)*(A_Corridor!$B$5:$B$204&gt;$B742)*(A_Corridor!$E$5:$E$204&lt;&gt;"")),IF(A_Corridor!$E$5:$E$204="-","",1)),"")</f>
        <v/>
      </c>
      <c r="G742" s="182" t="str">
        <f>IFERROR(LOOKUP(2,1/((A_Corridor!$A$5:$A$204&lt;&gt;"")*(A_Corridor!$A$5:$A$204&lt;=$B742)*(A_Corridor!$B$5:$B$204&gt;$B742)*(A_Corridor!$E$5:$E$204&lt;&gt;"")),IF(A_Corridor!$E$5:$E$204="-","",A_Corridor!$E$5:$E$204)),"")</f>
        <v/>
      </c>
      <c r="H742" s="182" t="str">
        <f>IFERROR(LOOKUP(2,1/((D_Points!$A$5:$A$204&lt;&gt;"")*(D_Points!$A$5:$A$204&gt;=$B742)*(D_Points!$A$5:$A$204&lt;$B742+P_Interval)*(UPPER(TRIM(D_Points!$B$5:$B$204))="GULLY")*(D_Points!$H$5:$H$204&lt;&gt;"")),D_Points!$H$5:$H$204),"")</f>
        <v/>
      </c>
      <c r="I742" s="181" t="str">
        <f>IFERROR(LOOKUP(2,1/((A_Corridor!$A$5:$A$204&lt;&gt;"")*(A_Corridor!$A$5:$A$204&lt;=$B742)*(A_Corridor!$B$5:$B$204&gt;$B742)*(A_Corridor!$F$5:$F$204&lt;&gt;"")),IF(A_Corridor!$F$5:$F$204="-","",1)),"")</f>
        <v/>
      </c>
      <c r="J742" s="182" t="str">
        <f>IFERROR(LOOKUP(2,1/((A_Corridor!$A$5:$A$204&lt;&gt;"")*(A_Corridor!$A$5:$A$204&lt;=$B742)*(A_Corridor!$B$5:$B$204&gt;$B742)*(A_Corridor!$F$5:$F$204&lt;&gt;"")),IF(A_Corridor!$F$5:$F$204="-","",A_Corridor!$F$5:$F$204)),"")</f>
        <v/>
      </c>
      <c r="K742" s="182" t="str">
        <f>IFERROR(LOOKUP(2,1/((A_Corridor!$A$5:$A$204&lt;&gt;"")*(A_Corridor!$A$5:$A$204&lt;=$B742)*(A_Corridor!$B$5:$B$204&gt;$B742)*(A_Corridor!$G$5:$G$204&lt;&gt;"")),IF(A_Corridor!$G$5:$G$204="-","",A_Corridor!$G$5:$G$204)),"")</f>
        <v/>
      </c>
      <c r="L742" s="181" t="str">
        <f>IFERROR(LOOKUP(2,1/((A_Corridor!$A$5:$A$204&lt;&gt;"")*(A_Corridor!$A$5:$A$204&lt;=$B742)*(A_Corridor!$B$5:$B$204&gt;$B742)*(A_Corridor!$H$5:$H$204&lt;&gt;"")),IF(A_Corridor!$H$5:$H$204="-","",1)),"")</f>
        <v/>
      </c>
      <c r="M742" s="182" t="str">
        <f>IFERROR(LOOKUP(2,1/((A_Corridor!$A$5:$A$204&lt;&gt;"")*(A_Corridor!$A$5:$A$204&lt;=$B742)*(A_Corridor!$B$5:$B$204&gt;$B742)*(A_Corridor!$H$5:$H$204&lt;&gt;"")),IF(A_Corridor!$H$5:$H$204="-","",A_Corridor!$H$5:$H$204)),"")</f>
        <v/>
      </c>
      <c r="N742" s="182" t="str">
        <f>IFERROR(LOOKUP(2,1/((A_Corridor!$A$5:$A$204&lt;&gt;"")*(A_Corridor!$A$5:$A$204&lt;=$B742)*(A_Corridor!$B$5:$B$204&gt;$B742)*(A_Corridor!$I$5:$I$204&lt;&gt;"")),IF(A_Corridor!$I$5:$I$204="-","",A_Corridor!$I$5:$I$204)),"")</f>
        <v/>
      </c>
      <c r="O742" s="182" t="str">
        <f>IFERROR(LOOKUP(2,1/((D_Points!$A$5:$A$204&lt;&gt;"")*(D_Points!$A$5:$A$204&gt;=$B742)*(D_Points!$A$5:$A$204&lt;$B742+P_Interval)*(UPPER(TRIM(D_Points!$B$5:$B$204))="PITCHING")*(D_Points!$H$5:$H$204&lt;&gt;"")),D_Points!$H$5:$H$204),"")</f>
        <v/>
      </c>
      <c r="P742" s="181" t="str">
        <f>IFERROR(LOOKUP(2,1/((B_Drainage!$A$5:$A$204&lt;&gt;"")*(B_Drainage!$A$5:$A$204&lt;=$B742)*(B_Drainage!$B$5:$B$204&gt;$B742)*(B_Drainage!$C$5:$C$204&lt;&gt;"")),IF(B_Drainage!$C$5:$C$204="-","",UPPER(B_Drainage!$C$5:$C$204))),"")</f>
        <v/>
      </c>
      <c r="Q742" s="181" t="str">
        <f>IFERROR(LOOKUP(2,1/((B_Drainage!$A$5:$A$204&lt;&gt;"")*(B_Drainage!$A$5:$A$204&lt;=$B742)*(B_Drainage!$B$5:$B$204&gt;$B742)*(B_Drainage!$D$5:$D$204&lt;&gt;"")),IF(B_Drainage!$D$5:$D$204="-","",UPPER(B_Drainage!$D$5:$D$204))),"")</f>
        <v/>
      </c>
      <c r="R742" s="182" t="str">
        <f>IFERROR(LOOKUP(2,1/((D_Points!$A$5:$A$204&lt;&gt;"")*(D_Points!$A$5:$A$204&gt;=$B742)*(D_Points!$A$5:$A$204&lt;$B742+P_Interval)*(RIGHT(UPPER(TRIM(D_Points!$B$5:$B$204)),8)="_CULVERT")),IF(LEFT(UPPER(TRIM(D_Points!$B$5:$B$204)),2)="EX",1,IF(LEFT(UPPER(TRIM(D_Points!$B$5:$B$204)),2)="PR",2,3))),"")</f>
        <v/>
      </c>
      <c r="S742" s="182" t="str">
        <f>IFERROR(LOOKUP(2,1/((D_Points!$A$5:$A$204&lt;&gt;"")*(D_Points!$A$5:$A$204&gt;=$B742)*(D_Points!$A$5:$A$204&lt;$B742+P_Interval)*(RIGHT(UPPER(TRIM(D_Points!$B$5:$B$204)),7)="_BRIDGE")),IF(LEFT(UPPER(TRIM(D_Points!$B$5:$B$204)),2)="EX",1,IF(LEFT(UPPER(TRIM(D_Points!$B$5:$B$204)),2)="PR",2,2))),"")</f>
        <v/>
      </c>
      <c r="T742" s="181" t="str">
        <f>IFERROR(LOOKUP(2,1/((B_Drainage!$A$5:$A$204&lt;&gt;"")*(B_Drainage!$A$5:$A$204&lt;=$B742)*(B_Drainage!$B$5:$B$204&gt;$B742)*(B_Drainage!$E$5:$E$204&lt;&gt;"")),IF(B_Drainage!$E$5:$E$204="-","",1)),"")</f>
        <v/>
      </c>
      <c r="U742" s="181" t="str">
        <f>IFERROR(LOOKUP(2,1/((B_Drainage!$A$5:$A$204&lt;&gt;"")*(B_Drainage!$A$5:$A$204&lt;=$B742)*(B_Drainage!$B$5:$B$204&gt;$B742)*(B_Drainage!$E$5:$E$204&lt;&gt;"")),IF(B_Drainage!$E$5:$E$204="-","",B_Drainage!$E$5:$E$204)),"")</f>
        <v/>
      </c>
      <c r="V742" s="181" t="str">
        <f>IFERROR(LOOKUP(2,1/((B_Drainage!$A$5:$A$204&lt;&gt;"")*(B_Drainage!$A$5:$A$204&lt;=$B742)*(B_Drainage!$B$5:$B$204&gt;$B742)*(B_Drainage!$F$5:$F$204&lt;&gt;"")),IF(B_Drainage!$F$5:$F$204="-","",1)),"")</f>
        <v/>
      </c>
      <c r="W742" s="181" t="str">
        <f>IFERROR(LOOKUP(2,1/((B_Drainage!$A$5:$A$204&lt;&gt;"")*(B_Drainage!$A$5:$A$204&lt;=$B742)*(B_Drainage!$B$5:$B$204&gt;$B742)*(B_Drainage!$F$5:$F$204&lt;&gt;"")),IF(B_Drainage!$F$5:$F$204="-","",B_Drainage!$F$5:$F$204)),"")</f>
        <v/>
      </c>
      <c r="X742" s="181" t="str">
        <f>IFERROR(LOOKUP(2,1/((B_Drainage!$A$5:$A$204&lt;&gt;"")*(B_Drainage!$A$5:$A$204&lt;=$B742)*(B_Drainage!$B$5:$B$204&gt;$B742)*(B_Drainage!$G$5:$G$204&lt;&gt;"")),IF(UPPER(B_Drainage!$G$5:$G$204)="Y",1,"")),"")</f>
        <v/>
      </c>
      <c r="Y742" s="181" t="str">
        <f>IFERROR(LOOKUP(2,1/((B_Drainage!$A$5:$A$204&lt;&gt;"")*(B_Drainage!$A$5:$A$204&lt;=$B742)*(B_Drainage!$B$5:$B$204&gt;$B742)*(B_Drainage!$H$5:$H$204&lt;&gt;"")),IF(UPPER(B_Drainage!$H$5:$H$204)="Y",1,"")),"")</f>
        <v/>
      </c>
      <c r="Z742" s="181" t="str">
        <f>IFERROR(LOOKUP(2,1/((B_Drainage!$A$5:$A$204&lt;&gt;"")*(B_Drainage!$A$5:$A$204&lt;=$B742)*(B_Drainage!$B$5:$B$204&gt;$B742)*(B_Drainage!$I$5:$I$204&lt;&gt;"")),IF(UPPER(B_Drainage!$I$5:$I$204)="Y",1,"")),"")</f>
        <v/>
      </c>
      <c r="AA742" s="181" t="str">
        <f>IFERROR(LOOKUP(2,1/((B_Drainage!$A$5:$A$204&lt;&gt;"")*(B_Drainage!$A$5:$A$204&lt;=$B742)*(B_Drainage!$B$5:$B$204&gt;$B742)*(B_Drainage!$J$5:$J$204&lt;&gt;"")),IF(UPPER(B_Drainage!$J$5:$J$204)="Y",1,"")),"")</f>
        <v/>
      </c>
      <c r="AB742" s="182" t="str">
        <f>IFERROR(LOOKUP(2,1/((B_Drainage!$A$5:$A$204&lt;&gt;"")*(B_Drainage!$A$5:$A$204&lt;=$B742)*(B_Drainage!$B$5:$B$204&gt;$B742)*(B_Drainage!$K$5:$K$204&lt;&gt;"")),IF(B_Drainage!$K$5:$K$204="-","",B_Drainage!$K$5:$K$204)),"")</f>
        <v/>
      </c>
      <c r="AC742" s="182" t="str">
        <f>IFERROR(LOOKUP(2,1/((B_Drainage!$A$5:$A$204&lt;&gt;"")*(B_Drainage!$A$5:$A$204&lt;=$B742)*(B_Drainage!$B$5:$B$204&gt;$B742)*(B_Drainage!$L$5:$L$204&lt;&gt;"")),IF(B_Drainage!$L$5:$L$204="-","",B_Drainage!$L$5:$L$204)),"")</f>
        <v/>
      </c>
      <c r="AD742" s="182" t="str">
        <f>IFERROR(LOOKUP(2,1/((D_Points!$A$5:$A$204&lt;&gt;"")*(D_Points!$A$5:$A$204&gt;=$B742)*(D_Points!$A$5:$A$204&lt;$B742+P_Interval)*(UPPER(TRIM(D_Points!$B$5:$B$204))="TURNOUT_L")*(D_Points!$H$5:$H$204&lt;&gt;"")),D_Points!$H$5:$H$204),"")</f>
        <v/>
      </c>
      <c r="AE742" s="182" t="str">
        <f>IFERROR(LOOKUP(2,1/((D_Points!$A$5:$A$204&lt;&gt;"")*(D_Points!$A$5:$A$204&gt;=$B742)*(D_Points!$A$5:$A$204&lt;$B742+P_Interval)*(UPPER(TRIM(D_Points!$B$5:$B$204))="TURNOUT_R")*(D_Points!$H$5:$H$204&lt;&gt;"")),D_Points!$H$5:$H$204),"")</f>
        <v/>
      </c>
      <c r="AF742" s="181" t="str">
        <f>IFERROR(LOOKUP(2,1/((B_Drainage!$A$5:$A$204&lt;&gt;"")*(B_Drainage!$A$5:$A$204&lt;=$B742)*(B_Drainage!$B$5:$B$204&gt;$B742)*(B_Drainage!$M$5:$M$204&lt;&gt;"")),IF(UPPER(B_Drainage!$M$5:$M$204)="Y",1,"")),"")</f>
        <v/>
      </c>
      <c r="AG742" s="181" t="str">
        <f>IFERROR(LOOKUP(2,1/((B_Drainage!$A$5:$A$204&lt;&gt;"")*(B_Drainage!$A$5:$A$204&lt;=$B742)*(B_Drainage!$B$5:$B$204&gt;$B742)*(B_Drainage!$N$5:$N$204&lt;&gt;"")),IF(UPPER(B_Drainage!$N$5:$N$204)="Y",1,"")),"")</f>
        <v/>
      </c>
      <c r="AH742" s="181" t="str">
        <f t="shared" si="88"/>
        <v/>
      </c>
      <c r="AI742" s="181" t="str">
        <f t="shared" si="89"/>
        <v/>
      </c>
      <c r="AJ742" s="181" t="str">
        <f t="shared" si="90"/>
        <v/>
      </c>
      <c r="AK742" s="181" t="str">
        <f t="shared" si="91"/>
        <v/>
      </c>
      <c r="AL742" s="181" t="str">
        <f t="shared" si="92"/>
        <v/>
      </c>
      <c r="AM742" s="181" t="str">
        <f t="shared" si="93"/>
        <v/>
      </c>
      <c r="AN742" s="181" t="str">
        <f t="shared" si="94"/>
        <v/>
      </c>
      <c r="AO742" s="192" t="str">
        <f t="shared" si="95"/>
        <v/>
      </c>
      <c r="AQ742" t="str">
        <f>IFERROR(LOOKUP(2,1/((C_Pavement!$A$5:$A$204&lt;&gt;"")*(C_Pavement!$A$5:$A$204&lt;=$B742)*(C_Pavement!$B$5:$B$204&gt;$B742)*(C_Pavement!$C$5:$C$204&lt;&gt;"")),ROW(C_Pavement!$C$5:$C$204)-4),"")</f>
        <v/>
      </c>
      <c r="AR742" t="str">
        <f>IF($AQ742="","",UPPER(TRIM(INDEX(C_Pavement!$C$5:$C$204,$AQ742))))</f>
        <v/>
      </c>
      <c r="AS742" t="str">
        <f>IF($AR742="","",IFERROR(MATCH($AR742,E_Rules!$A$5:$A$9,0),""))</f>
        <v/>
      </c>
      <c r="AT742" t="str">
        <f>IF($AQ742="","",IF(INDEX(C_Pavement!$D$5:$D$204,$AQ742)&lt;&gt;"",UPPER(TRIM(INDEX(C_Pavement!$D$5:$D$204,$AQ742))),IF($AS742="","",INDEX(E_Rules!$C$5:$C$9,$AS742))))</f>
        <v/>
      </c>
      <c r="AU742" t="str">
        <f>IF($AQ742="","",IF(INDEX(C_Pavement!$E$5:$E$204,$AQ742)&lt;&gt;"",IF(INDEX(C_Pavement!$E$5:$E$204,$AQ742)="-","",INDEX(C_Pavement!$E$5:$E$204,$AQ742)),IF($AS742="","",INDEX(E_Rules!$D$5:$D$9,$AS742))))</f>
        <v/>
      </c>
      <c r="AV742" t="str">
        <f>IF($AQ742="","",IF(INDEX(C_Pavement!$F$5:$F$204,$AQ742)&lt;&gt;"",IF(INDEX(C_Pavement!$F$5:$F$204,$AQ742)="-","",INDEX(C_Pavement!$F$5:$F$204,$AQ742)),IF($AS742="","",INDEX(E_Rules!$E$5:$E$9,$AS742))))</f>
        <v/>
      </c>
      <c r="AW742" t="str">
        <f>IF($AQ742="","",IF(INDEX(C_Pavement!$G$5:$G$204,$AQ742)&lt;&gt;"",IF(INDEX(C_Pavement!$G$5:$G$204,$AQ742)="-","",INDEX(C_Pavement!$G$5:$G$204,$AQ742)),IF($AS742="","",INDEX(E_Rules!$F$5:$F$9,$AS742))))</f>
        <v/>
      </c>
      <c r="AX742" t="str">
        <f>IF($AQ742="","",IF(INDEX(C_Pavement!$H$5:$H$204,$AQ742)&lt;&gt;"",IF(INDEX(C_Pavement!$H$5:$H$204,$AQ742)="-","",INDEX(C_Pavement!$H$5:$H$204,$AQ742)),IF($AS742="","",INDEX(E_Rules!$G$5:$G$9,$AS742))))</f>
        <v/>
      </c>
      <c r="AY742" t="str">
        <f>IF($AQ742="","",IF(INDEX(C_Pavement!$I$5:$I$204,$AQ742)&lt;&gt;"",IF(INDEX(C_Pavement!$I$5:$I$204,$AQ742)="-","",INDEX(C_Pavement!$I$5:$I$204,$AQ742)),IF($AS742="","",INDEX(E_Rules!$H$5:$H$9,$AS742))))</f>
        <v/>
      </c>
    </row>
    <row r="743" spans="1:51" ht="15.75" customHeight="1" x14ac:dyDescent="0.3">
      <c r="A743" s="189">
        <v>738</v>
      </c>
      <c r="B743" s="180">
        <v>36850</v>
      </c>
      <c r="C743" s="180" t="s">
        <v>1049</v>
      </c>
      <c r="D743" s="181" t="str">
        <f>IFERROR(LOOKUP(2,1/((A_Corridor!$A$5:$A$204&lt;&gt;"")*(A_Corridor!$A$5:$A$204&lt;=$B743)*(A_Corridor!$B$5:$B$204&gt;$B743)*(A_Corridor!$C$5:$C$204&lt;&gt;"")),IF(UPPER(A_Corridor!$C$5:$C$204)="Y",1,"")),"")</f>
        <v/>
      </c>
      <c r="E743" s="181" t="str">
        <f>IFERROR(LOOKUP(2,1/((A_Corridor!$A$5:$A$204&lt;&gt;"")*(A_Corridor!$A$5:$A$204&lt;=$B743)*(A_Corridor!$B$5:$B$204&gt;$B743)*(A_Corridor!$D$5:$D$204&lt;&gt;"")),IF(A_Corridor!$D$5:$D$204="-","",UPPER(A_Corridor!$D$5:$D$204))),"")</f>
        <v/>
      </c>
      <c r="F743" s="181" t="str">
        <f>IFERROR(LOOKUP(2,1/((A_Corridor!$A$5:$A$204&lt;&gt;"")*(A_Corridor!$A$5:$A$204&lt;=$B743)*(A_Corridor!$B$5:$B$204&gt;$B743)*(A_Corridor!$E$5:$E$204&lt;&gt;"")),IF(A_Corridor!$E$5:$E$204="-","",1)),"")</f>
        <v/>
      </c>
      <c r="G743" s="182" t="str">
        <f>IFERROR(LOOKUP(2,1/((A_Corridor!$A$5:$A$204&lt;&gt;"")*(A_Corridor!$A$5:$A$204&lt;=$B743)*(A_Corridor!$B$5:$B$204&gt;$B743)*(A_Corridor!$E$5:$E$204&lt;&gt;"")),IF(A_Corridor!$E$5:$E$204="-","",A_Corridor!$E$5:$E$204)),"")</f>
        <v/>
      </c>
      <c r="H743" s="182" t="str">
        <f>IFERROR(LOOKUP(2,1/((D_Points!$A$5:$A$204&lt;&gt;"")*(D_Points!$A$5:$A$204&gt;=$B743)*(D_Points!$A$5:$A$204&lt;$B743+P_Interval)*(UPPER(TRIM(D_Points!$B$5:$B$204))="GULLY")*(D_Points!$H$5:$H$204&lt;&gt;"")),D_Points!$H$5:$H$204),"")</f>
        <v/>
      </c>
      <c r="I743" s="181" t="str">
        <f>IFERROR(LOOKUP(2,1/((A_Corridor!$A$5:$A$204&lt;&gt;"")*(A_Corridor!$A$5:$A$204&lt;=$B743)*(A_Corridor!$B$5:$B$204&gt;$B743)*(A_Corridor!$F$5:$F$204&lt;&gt;"")),IF(A_Corridor!$F$5:$F$204="-","",1)),"")</f>
        <v/>
      </c>
      <c r="J743" s="182" t="str">
        <f>IFERROR(LOOKUP(2,1/((A_Corridor!$A$5:$A$204&lt;&gt;"")*(A_Corridor!$A$5:$A$204&lt;=$B743)*(A_Corridor!$B$5:$B$204&gt;$B743)*(A_Corridor!$F$5:$F$204&lt;&gt;"")),IF(A_Corridor!$F$5:$F$204="-","",A_Corridor!$F$5:$F$204)),"")</f>
        <v/>
      </c>
      <c r="K743" s="182" t="str">
        <f>IFERROR(LOOKUP(2,1/((A_Corridor!$A$5:$A$204&lt;&gt;"")*(A_Corridor!$A$5:$A$204&lt;=$B743)*(A_Corridor!$B$5:$B$204&gt;$B743)*(A_Corridor!$G$5:$G$204&lt;&gt;"")),IF(A_Corridor!$G$5:$G$204="-","",A_Corridor!$G$5:$G$204)),"")</f>
        <v/>
      </c>
      <c r="L743" s="181" t="str">
        <f>IFERROR(LOOKUP(2,1/((A_Corridor!$A$5:$A$204&lt;&gt;"")*(A_Corridor!$A$5:$A$204&lt;=$B743)*(A_Corridor!$B$5:$B$204&gt;$B743)*(A_Corridor!$H$5:$H$204&lt;&gt;"")),IF(A_Corridor!$H$5:$H$204="-","",1)),"")</f>
        <v/>
      </c>
      <c r="M743" s="182" t="str">
        <f>IFERROR(LOOKUP(2,1/((A_Corridor!$A$5:$A$204&lt;&gt;"")*(A_Corridor!$A$5:$A$204&lt;=$B743)*(A_Corridor!$B$5:$B$204&gt;$B743)*(A_Corridor!$H$5:$H$204&lt;&gt;"")),IF(A_Corridor!$H$5:$H$204="-","",A_Corridor!$H$5:$H$204)),"")</f>
        <v/>
      </c>
      <c r="N743" s="182" t="str">
        <f>IFERROR(LOOKUP(2,1/((A_Corridor!$A$5:$A$204&lt;&gt;"")*(A_Corridor!$A$5:$A$204&lt;=$B743)*(A_Corridor!$B$5:$B$204&gt;$B743)*(A_Corridor!$I$5:$I$204&lt;&gt;"")),IF(A_Corridor!$I$5:$I$204="-","",A_Corridor!$I$5:$I$204)),"")</f>
        <v/>
      </c>
      <c r="O743" s="182" t="str">
        <f>IFERROR(LOOKUP(2,1/((D_Points!$A$5:$A$204&lt;&gt;"")*(D_Points!$A$5:$A$204&gt;=$B743)*(D_Points!$A$5:$A$204&lt;$B743+P_Interval)*(UPPER(TRIM(D_Points!$B$5:$B$204))="PITCHING")*(D_Points!$H$5:$H$204&lt;&gt;"")),D_Points!$H$5:$H$204),"")</f>
        <v/>
      </c>
      <c r="P743" s="181" t="str">
        <f>IFERROR(LOOKUP(2,1/((B_Drainage!$A$5:$A$204&lt;&gt;"")*(B_Drainage!$A$5:$A$204&lt;=$B743)*(B_Drainage!$B$5:$B$204&gt;$B743)*(B_Drainage!$C$5:$C$204&lt;&gt;"")),IF(B_Drainage!$C$5:$C$204="-","",UPPER(B_Drainage!$C$5:$C$204))),"")</f>
        <v/>
      </c>
      <c r="Q743" s="181" t="str">
        <f>IFERROR(LOOKUP(2,1/((B_Drainage!$A$5:$A$204&lt;&gt;"")*(B_Drainage!$A$5:$A$204&lt;=$B743)*(B_Drainage!$B$5:$B$204&gt;$B743)*(B_Drainage!$D$5:$D$204&lt;&gt;"")),IF(B_Drainage!$D$5:$D$204="-","",UPPER(B_Drainage!$D$5:$D$204))),"")</f>
        <v/>
      </c>
      <c r="R743" s="182" t="str">
        <f>IFERROR(LOOKUP(2,1/((D_Points!$A$5:$A$204&lt;&gt;"")*(D_Points!$A$5:$A$204&gt;=$B743)*(D_Points!$A$5:$A$204&lt;$B743+P_Interval)*(RIGHT(UPPER(TRIM(D_Points!$B$5:$B$204)),8)="_CULVERT")),IF(LEFT(UPPER(TRIM(D_Points!$B$5:$B$204)),2)="EX",1,IF(LEFT(UPPER(TRIM(D_Points!$B$5:$B$204)),2)="PR",2,3))),"")</f>
        <v/>
      </c>
      <c r="S743" s="182" t="str">
        <f>IFERROR(LOOKUP(2,1/((D_Points!$A$5:$A$204&lt;&gt;"")*(D_Points!$A$5:$A$204&gt;=$B743)*(D_Points!$A$5:$A$204&lt;$B743+P_Interval)*(RIGHT(UPPER(TRIM(D_Points!$B$5:$B$204)),7)="_BRIDGE")),IF(LEFT(UPPER(TRIM(D_Points!$B$5:$B$204)),2)="EX",1,IF(LEFT(UPPER(TRIM(D_Points!$B$5:$B$204)),2)="PR",2,2))),"")</f>
        <v/>
      </c>
      <c r="T743" s="181" t="str">
        <f>IFERROR(LOOKUP(2,1/((B_Drainage!$A$5:$A$204&lt;&gt;"")*(B_Drainage!$A$5:$A$204&lt;=$B743)*(B_Drainage!$B$5:$B$204&gt;$B743)*(B_Drainage!$E$5:$E$204&lt;&gt;"")),IF(B_Drainage!$E$5:$E$204="-","",1)),"")</f>
        <v/>
      </c>
      <c r="U743" s="181" t="str">
        <f>IFERROR(LOOKUP(2,1/((B_Drainage!$A$5:$A$204&lt;&gt;"")*(B_Drainage!$A$5:$A$204&lt;=$B743)*(B_Drainage!$B$5:$B$204&gt;$B743)*(B_Drainage!$E$5:$E$204&lt;&gt;"")),IF(B_Drainage!$E$5:$E$204="-","",B_Drainage!$E$5:$E$204)),"")</f>
        <v/>
      </c>
      <c r="V743" s="181" t="str">
        <f>IFERROR(LOOKUP(2,1/((B_Drainage!$A$5:$A$204&lt;&gt;"")*(B_Drainage!$A$5:$A$204&lt;=$B743)*(B_Drainage!$B$5:$B$204&gt;$B743)*(B_Drainage!$F$5:$F$204&lt;&gt;"")),IF(B_Drainage!$F$5:$F$204="-","",1)),"")</f>
        <v/>
      </c>
      <c r="W743" s="181" t="str">
        <f>IFERROR(LOOKUP(2,1/((B_Drainage!$A$5:$A$204&lt;&gt;"")*(B_Drainage!$A$5:$A$204&lt;=$B743)*(B_Drainage!$B$5:$B$204&gt;$B743)*(B_Drainage!$F$5:$F$204&lt;&gt;"")),IF(B_Drainage!$F$5:$F$204="-","",B_Drainage!$F$5:$F$204)),"")</f>
        <v/>
      </c>
      <c r="X743" s="181" t="str">
        <f>IFERROR(LOOKUP(2,1/((B_Drainage!$A$5:$A$204&lt;&gt;"")*(B_Drainage!$A$5:$A$204&lt;=$B743)*(B_Drainage!$B$5:$B$204&gt;$B743)*(B_Drainage!$G$5:$G$204&lt;&gt;"")),IF(UPPER(B_Drainage!$G$5:$G$204)="Y",1,"")),"")</f>
        <v/>
      </c>
      <c r="Y743" s="181" t="str">
        <f>IFERROR(LOOKUP(2,1/((B_Drainage!$A$5:$A$204&lt;&gt;"")*(B_Drainage!$A$5:$A$204&lt;=$B743)*(B_Drainage!$B$5:$B$204&gt;$B743)*(B_Drainage!$H$5:$H$204&lt;&gt;"")),IF(UPPER(B_Drainage!$H$5:$H$204)="Y",1,"")),"")</f>
        <v/>
      </c>
      <c r="Z743" s="181" t="str">
        <f>IFERROR(LOOKUP(2,1/((B_Drainage!$A$5:$A$204&lt;&gt;"")*(B_Drainage!$A$5:$A$204&lt;=$B743)*(B_Drainage!$B$5:$B$204&gt;$B743)*(B_Drainage!$I$5:$I$204&lt;&gt;"")),IF(UPPER(B_Drainage!$I$5:$I$204)="Y",1,"")),"")</f>
        <v/>
      </c>
      <c r="AA743" s="181" t="str">
        <f>IFERROR(LOOKUP(2,1/((B_Drainage!$A$5:$A$204&lt;&gt;"")*(B_Drainage!$A$5:$A$204&lt;=$B743)*(B_Drainage!$B$5:$B$204&gt;$B743)*(B_Drainage!$J$5:$J$204&lt;&gt;"")),IF(UPPER(B_Drainage!$J$5:$J$204)="Y",1,"")),"")</f>
        <v/>
      </c>
      <c r="AB743" s="182" t="str">
        <f>IFERROR(LOOKUP(2,1/((B_Drainage!$A$5:$A$204&lt;&gt;"")*(B_Drainage!$A$5:$A$204&lt;=$B743)*(B_Drainage!$B$5:$B$204&gt;$B743)*(B_Drainage!$K$5:$K$204&lt;&gt;"")),IF(B_Drainage!$K$5:$K$204="-","",B_Drainage!$K$5:$K$204)),"")</f>
        <v/>
      </c>
      <c r="AC743" s="182" t="str">
        <f>IFERROR(LOOKUP(2,1/((B_Drainage!$A$5:$A$204&lt;&gt;"")*(B_Drainage!$A$5:$A$204&lt;=$B743)*(B_Drainage!$B$5:$B$204&gt;$B743)*(B_Drainage!$L$5:$L$204&lt;&gt;"")),IF(B_Drainage!$L$5:$L$204="-","",B_Drainage!$L$5:$L$204)),"")</f>
        <v/>
      </c>
      <c r="AD743" s="182" t="str">
        <f>IFERROR(LOOKUP(2,1/((D_Points!$A$5:$A$204&lt;&gt;"")*(D_Points!$A$5:$A$204&gt;=$B743)*(D_Points!$A$5:$A$204&lt;$B743+P_Interval)*(UPPER(TRIM(D_Points!$B$5:$B$204))="TURNOUT_L")*(D_Points!$H$5:$H$204&lt;&gt;"")),D_Points!$H$5:$H$204),"")</f>
        <v/>
      </c>
      <c r="AE743" s="182" t="str">
        <f>IFERROR(LOOKUP(2,1/((D_Points!$A$5:$A$204&lt;&gt;"")*(D_Points!$A$5:$A$204&gt;=$B743)*(D_Points!$A$5:$A$204&lt;$B743+P_Interval)*(UPPER(TRIM(D_Points!$B$5:$B$204))="TURNOUT_R")*(D_Points!$H$5:$H$204&lt;&gt;"")),D_Points!$H$5:$H$204),"")</f>
        <v/>
      </c>
      <c r="AF743" s="181" t="str">
        <f>IFERROR(LOOKUP(2,1/((B_Drainage!$A$5:$A$204&lt;&gt;"")*(B_Drainage!$A$5:$A$204&lt;=$B743)*(B_Drainage!$B$5:$B$204&gt;$B743)*(B_Drainage!$M$5:$M$204&lt;&gt;"")),IF(UPPER(B_Drainage!$M$5:$M$204)="Y",1,"")),"")</f>
        <v/>
      </c>
      <c r="AG743" s="181" t="str">
        <f>IFERROR(LOOKUP(2,1/((B_Drainage!$A$5:$A$204&lt;&gt;"")*(B_Drainage!$A$5:$A$204&lt;=$B743)*(B_Drainage!$B$5:$B$204&gt;$B743)*(B_Drainage!$N$5:$N$204&lt;&gt;"")),IF(UPPER(B_Drainage!$N$5:$N$204)="Y",1,"")),"")</f>
        <v/>
      </c>
      <c r="AH743" s="181" t="str">
        <f t="shared" si="88"/>
        <v/>
      </c>
      <c r="AI743" s="181" t="str">
        <f t="shared" si="89"/>
        <v/>
      </c>
      <c r="AJ743" s="181" t="str">
        <f t="shared" si="90"/>
        <v/>
      </c>
      <c r="AK743" s="181" t="str">
        <f t="shared" si="91"/>
        <v/>
      </c>
      <c r="AL743" s="181" t="str">
        <f t="shared" si="92"/>
        <v/>
      </c>
      <c r="AM743" s="181" t="str">
        <f t="shared" si="93"/>
        <v/>
      </c>
      <c r="AN743" s="181" t="str">
        <f t="shared" si="94"/>
        <v/>
      </c>
      <c r="AO743" s="192" t="str">
        <f t="shared" si="95"/>
        <v/>
      </c>
      <c r="AQ743" t="str">
        <f>IFERROR(LOOKUP(2,1/((C_Pavement!$A$5:$A$204&lt;&gt;"")*(C_Pavement!$A$5:$A$204&lt;=$B743)*(C_Pavement!$B$5:$B$204&gt;$B743)*(C_Pavement!$C$5:$C$204&lt;&gt;"")),ROW(C_Pavement!$C$5:$C$204)-4),"")</f>
        <v/>
      </c>
      <c r="AR743" t="str">
        <f>IF($AQ743="","",UPPER(TRIM(INDEX(C_Pavement!$C$5:$C$204,$AQ743))))</f>
        <v/>
      </c>
      <c r="AS743" t="str">
        <f>IF($AR743="","",IFERROR(MATCH($AR743,E_Rules!$A$5:$A$9,0),""))</f>
        <v/>
      </c>
      <c r="AT743" t="str">
        <f>IF($AQ743="","",IF(INDEX(C_Pavement!$D$5:$D$204,$AQ743)&lt;&gt;"",UPPER(TRIM(INDEX(C_Pavement!$D$5:$D$204,$AQ743))),IF($AS743="","",INDEX(E_Rules!$C$5:$C$9,$AS743))))</f>
        <v/>
      </c>
      <c r="AU743" t="str">
        <f>IF($AQ743="","",IF(INDEX(C_Pavement!$E$5:$E$204,$AQ743)&lt;&gt;"",IF(INDEX(C_Pavement!$E$5:$E$204,$AQ743)="-","",INDEX(C_Pavement!$E$5:$E$204,$AQ743)),IF($AS743="","",INDEX(E_Rules!$D$5:$D$9,$AS743))))</f>
        <v/>
      </c>
      <c r="AV743" t="str">
        <f>IF($AQ743="","",IF(INDEX(C_Pavement!$F$5:$F$204,$AQ743)&lt;&gt;"",IF(INDEX(C_Pavement!$F$5:$F$204,$AQ743)="-","",INDEX(C_Pavement!$F$5:$F$204,$AQ743)),IF($AS743="","",INDEX(E_Rules!$E$5:$E$9,$AS743))))</f>
        <v/>
      </c>
      <c r="AW743" t="str">
        <f>IF($AQ743="","",IF(INDEX(C_Pavement!$G$5:$G$204,$AQ743)&lt;&gt;"",IF(INDEX(C_Pavement!$G$5:$G$204,$AQ743)="-","",INDEX(C_Pavement!$G$5:$G$204,$AQ743)),IF($AS743="","",INDEX(E_Rules!$F$5:$F$9,$AS743))))</f>
        <v/>
      </c>
      <c r="AX743" t="str">
        <f>IF($AQ743="","",IF(INDEX(C_Pavement!$H$5:$H$204,$AQ743)&lt;&gt;"",IF(INDEX(C_Pavement!$H$5:$H$204,$AQ743)="-","",INDEX(C_Pavement!$H$5:$H$204,$AQ743)),IF($AS743="","",INDEX(E_Rules!$G$5:$G$9,$AS743))))</f>
        <v/>
      </c>
      <c r="AY743" t="str">
        <f>IF($AQ743="","",IF(INDEX(C_Pavement!$I$5:$I$204,$AQ743)&lt;&gt;"",IF(INDEX(C_Pavement!$I$5:$I$204,$AQ743)="-","",INDEX(C_Pavement!$I$5:$I$204,$AQ743)),IF($AS743="","",INDEX(E_Rules!$H$5:$H$9,$AS743))))</f>
        <v/>
      </c>
    </row>
    <row r="744" spans="1:51" ht="15.75" customHeight="1" x14ac:dyDescent="0.3">
      <c r="A744" s="189">
        <v>739</v>
      </c>
      <c r="B744" s="180">
        <v>36900</v>
      </c>
      <c r="C744" s="180" t="s">
        <v>1050</v>
      </c>
      <c r="D744" s="181" t="str">
        <f>IFERROR(LOOKUP(2,1/((A_Corridor!$A$5:$A$204&lt;&gt;"")*(A_Corridor!$A$5:$A$204&lt;=$B744)*(A_Corridor!$B$5:$B$204&gt;$B744)*(A_Corridor!$C$5:$C$204&lt;&gt;"")),IF(UPPER(A_Corridor!$C$5:$C$204)="Y",1,"")),"")</f>
        <v/>
      </c>
      <c r="E744" s="181" t="str">
        <f>IFERROR(LOOKUP(2,1/((A_Corridor!$A$5:$A$204&lt;&gt;"")*(A_Corridor!$A$5:$A$204&lt;=$B744)*(A_Corridor!$B$5:$B$204&gt;$B744)*(A_Corridor!$D$5:$D$204&lt;&gt;"")),IF(A_Corridor!$D$5:$D$204="-","",UPPER(A_Corridor!$D$5:$D$204))),"")</f>
        <v/>
      </c>
      <c r="F744" s="181" t="str">
        <f>IFERROR(LOOKUP(2,1/((A_Corridor!$A$5:$A$204&lt;&gt;"")*(A_Corridor!$A$5:$A$204&lt;=$B744)*(A_Corridor!$B$5:$B$204&gt;$B744)*(A_Corridor!$E$5:$E$204&lt;&gt;"")),IF(A_Corridor!$E$5:$E$204="-","",1)),"")</f>
        <v/>
      </c>
      <c r="G744" s="182" t="str">
        <f>IFERROR(LOOKUP(2,1/((A_Corridor!$A$5:$A$204&lt;&gt;"")*(A_Corridor!$A$5:$A$204&lt;=$B744)*(A_Corridor!$B$5:$B$204&gt;$B744)*(A_Corridor!$E$5:$E$204&lt;&gt;"")),IF(A_Corridor!$E$5:$E$204="-","",A_Corridor!$E$5:$E$204)),"")</f>
        <v/>
      </c>
      <c r="H744" s="182" t="str">
        <f>IFERROR(LOOKUP(2,1/((D_Points!$A$5:$A$204&lt;&gt;"")*(D_Points!$A$5:$A$204&gt;=$B744)*(D_Points!$A$5:$A$204&lt;$B744+P_Interval)*(UPPER(TRIM(D_Points!$B$5:$B$204))="GULLY")*(D_Points!$H$5:$H$204&lt;&gt;"")),D_Points!$H$5:$H$204),"")</f>
        <v/>
      </c>
      <c r="I744" s="181" t="str">
        <f>IFERROR(LOOKUP(2,1/((A_Corridor!$A$5:$A$204&lt;&gt;"")*(A_Corridor!$A$5:$A$204&lt;=$B744)*(A_Corridor!$B$5:$B$204&gt;$B744)*(A_Corridor!$F$5:$F$204&lt;&gt;"")),IF(A_Corridor!$F$5:$F$204="-","",1)),"")</f>
        <v/>
      </c>
      <c r="J744" s="182" t="str">
        <f>IFERROR(LOOKUP(2,1/((A_Corridor!$A$5:$A$204&lt;&gt;"")*(A_Corridor!$A$5:$A$204&lt;=$B744)*(A_Corridor!$B$5:$B$204&gt;$B744)*(A_Corridor!$F$5:$F$204&lt;&gt;"")),IF(A_Corridor!$F$5:$F$204="-","",A_Corridor!$F$5:$F$204)),"")</f>
        <v/>
      </c>
      <c r="K744" s="182" t="str">
        <f>IFERROR(LOOKUP(2,1/((A_Corridor!$A$5:$A$204&lt;&gt;"")*(A_Corridor!$A$5:$A$204&lt;=$B744)*(A_Corridor!$B$5:$B$204&gt;$B744)*(A_Corridor!$G$5:$G$204&lt;&gt;"")),IF(A_Corridor!$G$5:$G$204="-","",A_Corridor!$G$5:$G$204)),"")</f>
        <v/>
      </c>
      <c r="L744" s="181" t="str">
        <f>IFERROR(LOOKUP(2,1/((A_Corridor!$A$5:$A$204&lt;&gt;"")*(A_Corridor!$A$5:$A$204&lt;=$B744)*(A_Corridor!$B$5:$B$204&gt;$B744)*(A_Corridor!$H$5:$H$204&lt;&gt;"")),IF(A_Corridor!$H$5:$H$204="-","",1)),"")</f>
        <v/>
      </c>
      <c r="M744" s="182" t="str">
        <f>IFERROR(LOOKUP(2,1/((A_Corridor!$A$5:$A$204&lt;&gt;"")*(A_Corridor!$A$5:$A$204&lt;=$B744)*(A_Corridor!$B$5:$B$204&gt;$B744)*(A_Corridor!$H$5:$H$204&lt;&gt;"")),IF(A_Corridor!$H$5:$H$204="-","",A_Corridor!$H$5:$H$204)),"")</f>
        <v/>
      </c>
      <c r="N744" s="182" t="str">
        <f>IFERROR(LOOKUP(2,1/((A_Corridor!$A$5:$A$204&lt;&gt;"")*(A_Corridor!$A$5:$A$204&lt;=$B744)*(A_Corridor!$B$5:$B$204&gt;$B744)*(A_Corridor!$I$5:$I$204&lt;&gt;"")),IF(A_Corridor!$I$5:$I$204="-","",A_Corridor!$I$5:$I$204)),"")</f>
        <v/>
      </c>
      <c r="O744" s="182" t="str">
        <f>IFERROR(LOOKUP(2,1/((D_Points!$A$5:$A$204&lt;&gt;"")*(D_Points!$A$5:$A$204&gt;=$B744)*(D_Points!$A$5:$A$204&lt;$B744+P_Interval)*(UPPER(TRIM(D_Points!$B$5:$B$204))="PITCHING")*(D_Points!$H$5:$H$204&lt;&gt;"")),D_Points!$H$5:$H$204),"")</f>
        <v/>
      </c>
      <c r="P744" s="181" t="str">
        <f>IFERROR(LOOKUP(2,1/((B_Drainage!$A$5:$A$204&lt;&gt;"")*(B_Drainage!$A$5:$A$204&lt;=$B744)*(B_Drainage!$B$5:$B$204&gt;$B744)*(B_Drainage!$C$5:$C$204&lt;&gt;"")),IF(B_Drainage!$C$5:$C$204="-","",UPPER(B_Drainage!$C$5:$C$204))),"")</f>
        <v/>
      </c>
      <c r="Q744" s="181" t="str">
        <f>IFERROR(LOOKUP(2,1/((B_Drainage!$A$5:$A$204&lt;&gt;"")*(B_Drainage!$A$5:$A$204&lt;=$B744)*(B_Drainage!$B$5:$B$204&gt;$B744)*(B_Drainage!$D$5:$D$204&lt;&gt;"")),IF(B_Drainage!$D$5:$D$204="-","",UPPER(B_Drainage!$D$5:$D$204))),"")</f>
        <v/>
      </c>
      <c r="R744" s="182" t="str">
        <f>IFERROR(LOOKUP(2,1/((D_Points!$A$5:$A$204&lt;&gt;"")*(D_Points!$A$5:$A$204&gt;=$B744)*(D_Points!$A$5:$A$204&lt;$B744+P_Interval)*(RIGHT(UPPER(TRIM(D_Points!$B$5:$B$204)),8)="_CULVERT")),IF(LEFT(UPPER(TRIM(D_Points!$B$5:$B$204)),2)="EX",1,IF(LEFT(UPPER(TRIM(D_Points!$B$5:$B$204)),2)="PR",2,3))),"")</f>
        <v/>
      </c>
      <c r="S744" s="182" t="str">
        <f>IFERROR(LOOKUP(2,1/((D_Points!$A$5:$A$204&lt;&gt;"")*(D_Points!$A$5:$A$204&gt;=$B744)*(D_Points!$A$5:$A$204&lt;$B744+P_Interval)*(RIGHT(UPPER(TRIM(D_Points!$B$5:$B$204)),7)="_BRIDGE")),IF(LEFT(UPPER(TRIM(D_Points!$B$5:$B$204)),2)="EX",1,IF(LEFT(UPPER(TRIM(D_Points!$B$5:$B$204)),2)="PR",2,2))),"")</f>
        <v/>
      </c>
      <c r="T744" s="181" t="str">
        <f>IFERROR(LOOKUP(2,1/((B_Drainage!$A$5:$A$204&lt;&gt;"")*(B_Drainage!$A$5:$A$204&lt;=$B744)*(B_Drainage!$B$5:$B$204&gt;$B744)*(B_Drainage!$E$5:$E$204&lt;&gt;"")),IF(B_Drainage!$E$5:$E$204="-","",1)),"")</f>
        <v/>
      </c>
      <c r="U744" s="181" t="str">
        <f>IFERROR(LOOKUP(2,1/((B_Drainage!$A$5:$A$204&lt;&gt;"")*(B_Drainage!$A$5:$A$204&lt;=$B744)*(B_Drainage!$B$5:$B$204&gt;$B744)*(B_Drainage!$E$5:$E$204&lt;&gt;"")),IF(B_Drainage!$E$5:$E$204="-","",B_Drainage!$E$5:$E$204)),"")</f>
        <v/>
      </c>
      <c r="V744" s="181" t="str">
        <f>IFERROR(LOOKUP(2,1/((B_Drainage!$A$5:$A$204&lt;&gt;"")*(B_Drainage!$A$5:$A$204&lt;=$B744)*(B_Drainage!$B$5:$B$204&gt;$B744)*(B_Drainage!$F$5:$F$204&lt;&gt;"")),IF(B_Drainage!$F$5:$F$204="-","",1)),"")</f>
        <v/>
      </c>
      <c r="W744" s="181" t="str">
        <f>IFERROR(LOOKUP(2,1/((B_Drainage!$A$5:$A$204&lt;&gt;"")*(B_Drainage!$A$5:$A$204&lt;=$B744)*(B_Drainage!$B$5:$B$204&gt;$B744)*(B_Drainage!$F$5:$F$204&lt;&gt;"")),IF(B_Drainage!$F$5:$F$204="-","",B_Drainage!$F$5:$F$204)),"")</f>
        <v/>
      </c>
      <c r="X744" s="181" t="str">
        <f>IFERROR(LOOKUP(2,1/((B_Drainage!$A$5:$A$204&lt;&gt;"")*(B_Drainage!$A$5:$A$204&lt;=$B744)*(B_Drainage!$B$5:$B$204&gt;$B744)*(B_Drainage!$G$5:$G$204&lt;&gt;"")),IF(UPPER(B_Drainage!$G$5:$G$204)="Y",1,"")),"")</f>
        <v/>
      </c>
      <c r="Y744" s="181" t="str">
        <f>IFERROR(LOOKUP(2,1/((B_Drainage!$A$5:$A$204&lt;&gt;"")*(B_Drainage!$A$5:$A$204&lt;=$B744)*(B_Drainage!$B$5:$B$204&gt;$B744)*(B_Drainage!$H$5:$H$204&lt;&gt;"")),IF(UPPER(B_Drainage!$H$5:$H$204)="Y",1,"")),"")</f>
        <v/>
      </c>
      <c r="Z744" s="181" t="str">
        <f>IFERROR(LOOKUP(2,1/((B_Drainage!$A$5:$A$204&lt;&gt;"")*(B_Drainage!$A$5:$A$204&lt;=$B744)*(B_Drainage!$B$5:$B$204&gt;$B744)*(B_Drainage!$I$5:$I$204&lt;&gt;"")),IF(UPPER(B_Drainage!$I$5:$I$204)="Y",1,"")),"")</f>
        <v/>
      </c>
      <c r="AA744" s="181" t="str">
        <f>IFERROR(LOOKUP(2,1/((B_Drainage!$A$5:$A$204&lt;&gt;"")*(B_Drainage!$A$5:$A$204&lt;=$B744)*(B_Drainage!$B$5:$B$204&gt;$B744)*(B_Drainage!$J$5:$J$204&lt;&gt;"")),IF(UPPER(B_Drainage!$J$5:$J$204)="Y",1,"")),"")</f>
        <v/>
      </c>
      <c r="AB744" s="182" t="str">
        <f>IFERROR(LOOKUP(2,1/((B_Drainage!$A$5:$A$204&lt;&gt;"")*(B_Drainage!$A$5:$A$204&lt;=$B744)*(B_Drainage!$B$5:$B$204&gt;$B744)*(B_Drainage!$K$5:$K$204&lt;&gt;"")),IF(B_Drainage!$K$5:$K$204="-","",B_Drainage!$K$5:$K$204)),"")</f>
        <v/>
      </c>
      <c r="AC744" s="182" t="str">
        <f>IFERROR(LOOKUP(2,1/((B_Drainage!$A$5:$A$204&lt;&gt;"")*(B_Drainage!$A$5:$A$204&lt;=$B744)*(B_Drainage!$B$5:$B$204&gt;$B744)*(B_Drainage!$L$5:$L$204&lt;&gt;"")),IF(B_Drainage!$L$5:$L$204="-","",B_Drainage!$L$5:$L$204)),"")</f>
        <v/>
      </c>
      <c r="AD744" s="182" t="str">
        <f>IFERROR(LOOKUP(2,1/((D_Points!$A$5:$A$204&lt;&gt;"")*(D_Points!$A$5:$A$204&gt;=$B744)*(D_Points!$A$5:$A$204&lt;$B744+P_Interval)*(UPPER(TRIM(D_Points!$B$5:$B$204))="TURNOUT_L")*(D_Points!$H$5:$H$204&lt;&gt;"")),D_Points!$H$5:$H$204),"")</f>
        <v/>
      </c>
      <c r="AE744" s="182" t="str">
        <f>IFERROR(LOOKUP(2,1/((D_Points!$A$5:$A$204&lt;&gt;"")*(D_Points!$A$5:$A$204&gt;=$B744)*(D_Points!$A$5:$A$204&lt;$B744+P_Interval)*(UPPER(TRIM(D_Points!$B$5:$B$204))="TURNOUT_R")*(D_Points!$H$5:$H$204&lt;&gt;"")),D_Points!$H$5:$H$204),"")</f>
        <v/>
      </c>
      <c r="AF744" s="181" t="str">
        <f>IFERROR(LOOKUP(2,1/((B_Drainage!$A$5:$A$204&lt;&gt;"")*(B_Drainage!$A$5:$A$204&lt;=$B744)*(B_Drainage!$B$5:$B$204&gt;$B744)*(B_Drainage!$M$5:$M$204&lt;&gt;"")),IF(UPPER(B_Drainage!$M$5:$M$204)="Y",1,"")),"")</f>
        <v/>
      </c>
      <c r="AG744" s="181" t="str">
        <f>IFERROR(LOOKUP(2,1/((B_Drainage!$A$5:$A$204&lt;&gt;"")*(B_Drainage!$A$5:$A$204&lt;=$B744)*(B_Drainage!$B$5:$B$204&gt;$B744)*(B_Drainage!$N$5:$N$204&lt;&gt;"")),IF(UPPER(B_Drainage!$N$5:$N$204)="Y",1,"")),"")</f>
        <v/>
      </c>
      <c r="AH744" s="181" t="str">
        <f t="shared" si="88"/>
        <v/>
      </c>
      <c r="AI744" s="181" t="str">
        <f t="shared" si="89"/>
        <v/>
      </c>
      <c r="AJ744" s="181" t="str">
        <f t="shared" si="90"/>
        <v/>
      </c>
      <c r="AK744" s="181" t="str">
        <f t="shared" si="91"/>
        <v/>
      </c>
      <c r="AL744" s="181" t="str">
        <f t="shared" si="92"/>
        <v/>
      </c>
      <c r="AM744" s="181" t="str">
        <f t="shared" si="93"/>
        <v/>
      </c>
      <c r="AN744" s="181" t="str">
        <f t="shared" si="94"/>
        <v/>
      </c>
      <c r="AO744" s="192" t="str">
        <f t="shared" si="95"/>
        <v/>
      </c>
      <c r="AQ744" t="str">
        <f>IFERROR(LOOKUP(2,1/((C_Pavement!$A$5:$A$204&lt;&gt;"")*(C_Pavement!$A$5:$A$204&lt;=$B744)*(C_Pavement!$B$5:$B$204&gt;$B744)*(C_Pavement!$C$5:$C$204&lt;&gt;"")),ROW(C_Pavement!$C$5:$C$204)-4),"")</f>
        <v/>
      </c>
      <c r="AR744" t="str">
        <f>IF($AQ744="","",UPPER(TRIM(INDEX(C_Pavement!$C$5:$C$204,$AQ744))))</f>
        <v/>
      </c>
      <c r="AS744" t="str">
        <f>IF($AR744="","",IFERROR(MATCH($AR744,E_Rules!$A$5:$A$9,0),""))</f>
        <v/>
      </c>
      <c r="AT744" t="str">
        <f>IF($AQ744="","",IF(INDEX(C_Pavement!$D$5:$D$204,$AQ744)&lt;&gt;"",UPPER(TRIM(INDEX(C_Pavement!$D$5:$D$204,$AQ744))),IF($AS744="","",INDEX(E_Rules!$C$5:$C$9,$AS744))))</f>
        <v/>
      </c>
      <c r="AU744" t="str">
        <f>IF($AQ744="","",IF(INDEX(C_Pavement!$E$5:$E$204,$AQ744)&lt;&gt;"",IF(INDEX(C_Pavement!$E$5:$E$204,$AQ744)="-","",INDEX(C_Pavement!$E$5:$E$204,$AQ744)),IF($AS744="","",INDEX(E_Rules!$D$5:$D$9,$AS744))))</f>
        <v/>
      </c>
      <c r="AV744" t="str">
        <f>IF($AQ744="","",IF(INDEX(C_Pavement!$F$5:$F$204,$AQ744)&lt;&gt;"",IF(INDEX(C_Pavement!$F$5:$F$204,$AQ744)="-","",INDEX(C_Pavement!$F$5:$F$204,$AQ744)),IF($AS744="","",INDEX(E_Rules!$E$5:$E$9,$AS744))))</f>
        <v/>
      </c>
      <c r="AW744" t="str">
        <f>IF($AQ744="","",IF(INDEX(C_Pavement!$G$5:$G$204,$AQ744)&lt;&gt;"",IF(INDEX(C_Pavement!$G$5:$G$204,$AQ744)="-","",INDEX(C_Pavement!$G$5:$G$204,$AQ744)),IF($AS744="","",INDEX(E_Rules!$F$5:$F$9,$AS744))))</f>
        <v/>
      </c>
      <c r="AX744" t="str">
        <f>IF($AQ744="","",IF(INDEX(C_Pavement!$H$5:$H$204,$AQ744)&lt;&gt;"",IF(INDEX(C_Pavement!$H$5:$H$204,$AQ744)="-","",INDEX(C_Pavement!$H$5:$H$204,$AQ744)),IF($AS744="","",INDEX(E_Rules!$G$5:$G$9,$AS744))))</f>
        <v/>
      </c>
      <c r="AY744" t="str">
        <f>IF($AQ744="","",IF(INDEX(C_Pavement!$I$5:$I$204,$AQ744)&lt;&gt;"",IF(INDEX(C_Pavement!$I$5:$I$204,$AQ744)="-","",INDEX(C_Pavement!$I$5:$I$204,$AQ744)),IF($AS744="","",INDEX(E_Rules!$H$5:$H$9,$AS744))))</f>
        <v/>
      </c>
    </row>
    <row r="745" spans="1:51" ht="15.75" customHeight="1" x14ac:dyDescent="0.3">
      <c r="A745" s="189">
        <v>740</v>
      </c>
      <c r="B745" s="180">
        <v>36950</v>
      </c>
      <c r="C745" s="180" t="s">
        <v>1051</v>
      </c>
      <c r="D745" s="181" t="str">
        <f>IFERROR(LOOKUP(2,1/((A_Corridor!$A$5:$A$204&lt;&gt;"")*(A_Corridor!$A$5:$A$204&lt;=$B745)*(A_Corridor!$B$5:$B$204&gt;$B745)*(A_Corridor!$C$5:$C$204&lt;&gt;"")),IF(UPPER(A_Corridor!$C$5:$C$204)="Y",1,"")),"")</f>
        <v/>
      </c>
      <c r="E745" s="181" t="str">
        <f>IFERROR(LOOKUP(2,1/((A_Corridor!$A$5:$A$204&lt;&gt;"")*(A_Corridor!$A$5:$A$204&lt;=$B745)*(A_Corridor!$B$5:$B$204&gt;$B745)*(A_Corridor!$D$5:$D$204&lt;&gt;"")),IF(A_Corridor!$D$5:$D$204="-","",UPPER(A_Corridor!$D$5:$D$204))),"")</f>
        <v/>
      </c>
      <c r="F745" s="181" t="str">
        <f>IFERROR(LOOKUP(2,1/((A_Corridor!$A$5:$A$204&lt;&gt;"")*(A_Corridor!$A$5:$A$204&lt;=$B745)*(A_Corridor!$B$5:$B$204&gt;$B745)*(A_Corridor!$E$5:$E$204&lt;&gt;"")),IF(A_Corridor!$E$5:$E$204="-","",1)),"")</f>
        <v/>
      </c>
      <c r="G745" s="182" t="str">
        <f>IFERROR(LOOKUP(2,1/((A_Corridor!$A$5:$A$204&lt;&gt;"")*(A_Corridor!$A$5:$A$204&lt;=$B745)*(A_Corridor!$B$5:$B$204&gt;$B745)*(A_Corridor!$E$5:$E$204&lt;&gt;"")),IF(A_Corridor!$E$5:$E$204="-","",A_Corridor!$E$5:$E$204)),"")</f>
        <v/>
      </c>
      <c r="H745" s="182" t="str">
        <f>IFERROR(LOOKUP(2,1/((D_Points!$A$5:$A$204&lt;&gt;"")*(D_Points!$A$5:$A$204&gt;=$B745)*(D_Points!$A$5:$A$204&lt;$B745+P_Interval)*(UPPER(TRIM(D_Points!$B$5:$B$204))="GULLY")*(D_Points!$H$5:$H$204&lt;&gt;"")),D_Points!$H$5:$H$204),"")</f>
        <v/>
      </c>
      <c r="I745" s="181" t="str">
        <f>IFERROR(LOOKUP(2,1/((A_Corridor!$A$5:$A$204&lt;&gt;"")*(A_Corridor!$A$5:$A$204&lt;=$B745)*(A_Corridor!$B$5:$B$204&gt;$B745)*(A_Corridor!$F$5:$F$204&lt;&gt;"")),IF(A_Corridor!$F$5:$F$204="-","",1)),"")</f>
        <v/>
      </c>
      <c r="J745" s="182" t="str">
        <f>IFERROR(LOOKUP(2,1/((A_Corridor!$A$5:$A$204&lt;&gt;"")*(A_Corridor!$A$5:$A$204&lt;=$B745)*(A_Corridor!$B$5:$B$204&gt;$B745)*(A_Corridor!$F$5:$F$204&lt;&gt;"")),IF(A_Corridor!$F$5:$F$204="-","",A_Corridor!$F$5:$F$204)),"")</f>
        <v/>
      </c>
      <c r="K745" s="182" t="str">
        <f>IFERROR(LOOKUP(2,1/((A_Corridor!$A$5:$A$204&lt;&gt;"")*(A_Corridor!$A$5:$A$204&lt;=$B745)*(A_Corridor!$B$5:$B$204&gt;$B745)*(A_Corridor!$G$5:$G$204&lt;&gt;"")),IF(A_Corridor!$G$5:$G$204="-","",A_Corridor!$G$5:$G$204)),"")</f>
        <v/>
      </c>
      <c r="L745" s="181" t="str">
        <f>IFERROR(LOOKUP(2,1/((A_Corridor!$A$5:$A$204&lt;&gt;"")*(A_Corridor!$A$5:$A$204&lt;=$B745)*(A_Corridor!$B$5:$B$204&gt;$B745)*(A_Corridor!$H$5:$H$204&lt;&gt;"")),IF(A_Corridor!$H$5:$H$204="-","",1)),"")</f>
        <v/>
      </c>
      <c r="M745" s="182" t="str">
        <f>IFERROR(LOOKUP(2,1/((A_Corridor!$A$5:$A$204&lt;&gt;"")*(A_Corridor!$A$5:$A$204&lt;=$B745)*(A_Corridor!$B$5:$B$204&gt;$B745)*(A_Corridor!$H$5:$H$204&lt;&gt;"")),IF(A_Corridor!$H$5:$H$204="-","",A_Corridor!$H$5:$H$204)),"")</f>
        <v/>
      </c>
      <c r="N745" s="182" t="str">
        <f>IFERROR(LOOKUP(2,1/((A_Corridor!$A$5:$A$204&lt;&gt;"")*(A_Corridor!$A$5:$A$204&lt;=$B745)*(A_Corridor!$B$5:$B$204&gt;$B745)*(A_Corridor!$I$5:$I$204&lt;&gt;"")),IF(A_Corridor!$I$5:$I$204="-","",A_Corridor!$I$5:$I$204)),"")</f>
        <v/>
      </c>
      <c r="O745" s="182" t="str">
        <f>IFERROR(LOOKUP(2,1/((D_Points!$A$5:$A$204&lt;&gt;"")*(D_Points!$A$5:$A$204&gt;=$B745)*(D_Points!$A$5:$A$204&lt;$B745+P_Interval)*(UPPER(TRIM(D_Points!$B$5:$B$204))="PITCHING")*(D_Points!$H$5:$H$204&lt;&gt;"")),D_Points!$H$5:$H$204),"")</f>
        <v/>
      </c>
      <c r="P745" s="181" t="str">
        <f>IFERROR(LOOKUP(2,1/((B_Drainage!$A$5:$A$204&lt;&gt;"")*(B_Drainage!$A$5:$A$204&lt;=$B745)*(B_Drainage!$B$5:$B$204&gt;$B745)*(B_Drainage!$C$5:$C$204&lt;&gt;"")),IF(B_Drainage!$C$5:$C$204="-","",UPPER(B_Drainage!$C$5:$C$204))),"")</f>
        <v/>
      </c>
      <c r="Q745" s="181" t="str">
        <f>IFERROR(LOOKUP(2,1/((B_Drainage!$A$5:$A$204&lt;&gt;"")*(B_Drainage!$A$5:$A$204&lt;=$B745)*(B_Drainage!$B$5:$B$204&gt;$B745)*(B_Drainage!$D$5:$D$204&lt;&gt;"")),IF(B_Drainage!$D$5:$D$204="-","",UPPER(B_Drainage!$D$5:$D$204))),"")</f>
        <v/>
      </c>
      <c r="R745" s="182" t="str">
        <f>IFERROR(LOOKUP(2,1/((D_Points!$A$5:$A$204&lt;&gt;"")*(D_Points!$A$5:$A$204&gt;=$B745)*(D_Points!$A$5:$A$204&lt;$B745+P_Interval)*(RIGHT(UPPER(TRIM(D_Points!$B$5:$B$204)),8)="_CULVERT")),IF(LEFT(UPPER(TRIM(D_Points!$B$5:$B$204)),2)="EX",1,IF(LEFT(UPPER(TRIM(D_Points!$B$5:$B$204)),2)="PR",2,3))),"")</f>
        <v/>
      </c>
      <c r="S745" s="182" t="str">
        <f>IFERROR(LOOKUP(2,1/((D_Points!$A$5:$A$204&lt;&gt;"")*(D_Points!$A$5:$A$204&gt;=$B745)*(D_Points!$A$5:$A$204&lt;$B745+P_Interval)*(RIGHT(UPPER(TRIM(D_Points!$B$5:$B$204)),7)="_BRIDGE")),IF(LEFT(UPPER(TRIM(D_Points!$B$5:$B$204)),2)="EX",1,IF(LEFT(UPPER(TRIM(D_Points!$B$5:$B$204)),2)="PR",2,2))),"")</f>
        <v/>
      </c>
      <c r="T745" s="181" t="str">
        <f>IFERROR(LOOKUP(2,1/((B_Drainage!$A$5:$A$204&lt;&gt;"")*(B_Drainage!$A$5:$A$204&lt;=$B745)*(B_Drainage!$B$5:$B$204&gt;$B745)*(B_Drainage!$E$5:$E$204&lt;&gt;"")),IF(B_Drainage!$E$5:$E$204="-","",1)),"")</f>
        <v/>
      </c>
      <c r="U745" s="181" t="str">
        <f>IFERROR(LOOKUP(2,1/((B_Drainage!$A$5:$A$204&lt;&gt;"")*(B_Drainage!$A$5:$A$204&lt;=$B745)*(B_Drainage!$B$5:$B$204&gt;$B745)*(B_Drainage!$E$5:$E$204&lt;&gt;"")),IF(B_Drainage!$E$5:$E$204="-","",B_Drainage!$E$5:$E$204)),"")</f>
        <v/>
      </c>
      <c r="V745" s="181" t="str">
        <f>IFERROR(LOOKUP(2,1/((B_Drainage!$A$5:$A$204&lt;&gt;"")*(B_Drainage!$A$5:$A$204&lt;=$B745)*(B_Drainage!$B$5:$B$204&gt;$B745)*(B_Drainage!$F$5:$F$204&lt;&gt;"")),IF(B_Drainage!$F$5:$F$204="-","",1)),"")</f>
        <v/>
      </c>
      <c r="W745" s="181" t="str">
        <f>IFERROR(LOOKUP(2,1/((B_Drainage!$A$5:$A$204&lt;&gt;"")*(B_Drainage!$A$5:$A$204&lt;=$B745)*(B_Drainage!$B$5:$B$204&gt;$B745)*(B_Drainage!$F$5:$F$204&lt;&gt;"")),IF(B_Drainage!$F$5:$F$204="-","",B_Drainage!$F$5:$F$204)),"")</f>
        <v/>
      </c>
      <c r="X745" s="181" t="str">
        <f>IFERROR(LOOKUP(2,1/((B_Drainage!$A$5:$A$204&lt;&gt;"")*(B_Drainage!$A$5:$A$204&lt;=$B745)*(B_Drainage!$B$5:$B$204&gt;$B745)*(B_Drainage!$G$5:$G$204&lt;&gt;"")),IF(UPPER(B_Drainage!$G$5:$G$204)="Y",1,"")),"")</f>
        <v/>
      </c>
      <c r="Y745" s="181" t="str">
        <f>IFERROR(LOOKUP(2,1/((B_Drainage!$A$5:$A$204&lt;&gt;"")*(B_Drainage!$A$5:$A$204&lt;=$B745)*(B_Drainage!$B$5:$B$204&gt;$B745)*(B_Drainage!$H$5:$H$204&lt;&gt;"")),IF(UPPER(B_Drainage!$H$5:$H$204)="Y",1,"")),"")</f>
        <v/>
      </c>
      <c r="Z745" s="181" t="str">
        <f>IFERROR(LOOKUP(2,1/((B_Drainage!$A$5:$A$204&lt;&gt;"")*(B_Drainage!$A$5:$A$204&lt;=$B745)*(B_Drainage!$B$5:$B$204&gt;$B745)*(B_Drainage!$I$5:$I$204&lt;&gt;"")),IF(UPPER(B_Drainage!$I$5:$I$204)="Y",1,"")),"")</f>
        <v/>
      </c>
      <c r="AA745" s="181" t="str">
        <f>IFERROR(LOOKUP(2,1/((B_Drainage!$A$5:$A$204&lt;&gt;"")*(B_Drainage!$A$5:$A$204&lt;=$B745)*(B_Drainage!$B$5:$B$204&gt;$B745)*(B_Drainage!$J$5:$J$204&lt;&gt;"")),IF(UPPER(B_Drainage!$J$5:$J$204)="Y",1,"")),"")</f>
        <v/>
      </c>
      <c r="AB745" s="182" t="str">
        <f>IFERROR(LOOKUP(2,1/((B_Drainage!$A$5:$A$204&lt;&gt;"")*(B_Drainage!$A$5:$A$204&lt;=$B745)*(B_Drainage!$B$5:$B$204&gt;$B745)*(B_Drainage!$K$5:$K$204&lt;&gt;"")),IF(B_Drainage!$K$5:$K$204="-","",B_Drainage!$K$5:$K$204)),"")</f>
        <v/>
      </c>
      <c r="AC745" s="182" t="str">
        <f>IFERROR(LOOKUP(2,1/((B_Drainage!$A$5:$A$204&lt;&gt;"")*(B_Drainage!$A$5:$A$204&lt;=$B745)*(B_Drainage!$B$5:$B$204&gt;$B745)*(B_Drainage!$L$5:$L$204&lt;&gt;"")),IF(B_Drainage!$L$5:$L$204="-","",B_Drainage!$L$5:$L$204)),"")</f>
        <v/>
      </c>
      <c r="AD745" s="182" t="str">
        <f>IFERROR(LOOKUP(2,1/((D_Points!$A$5:$A$204&lt;&gt;"")*(D_Points!$A$5:$A$204&gt;=$B745)*(D_Points!$A$5:$A$204&lt;$B745+P_Interval)*(UPPER(TRIM(D_Points!$B$5:$B$204))="TURNOUT_L")*(D_Points!$H$5:$H$204&lt;&gt;"")),D_Points!$H$5:$H$204),"")</f>
        <v/>
      </c>
      <c r="AE745" s="182" t="str">
        <f>IFERROR(LOOKUP(2,1/((D_Points!$A$5:$A$204&lt;&gt;"")*(D_Points!$A$5:$A$204&gt;=$B745)*(D_Points!$A$5:$A$204&lt;$B745+P_Interval)*(UPPER(TRIM(D_Points!$B$5:$B$204))="TURNOUT_R")*(D_Points!$H$5:$H$204&lt;&gt;"")),D_Points!$H$5:$H$204),"")</f>
        <v/>
      </c>
      <c r="AF745" s="181" t="str">
        <f>IFERROR(LOOKUP(2,1/((B_Drainage!$A$5:$A$204&lt;&gt;"")*(B_Drainage!$A$5:$A$204&lt;=$B745)*(B_Drainage!$B$5:$B$204&gt;$B745)*(B_Drainage!$M$5:$M$204&lt;&gt;"")),IF(UPPER(B_Drainage!$M$5:$M$204)="Y",1,"")),"")</f>
        <v/>
      </c>
      <c r="AG745" s="181" t="str">
        <f>IFERROR(LOOKUP(2,1/((B_Drainage!$A$5:$A$204&lt;&gt;"")*(B_Drainage!$A$5:$A$204&lt;=$B745)*(B_Drainage!$B$5:$B$204&gt;$B745)*(B_Drainage!$N$5:$N$204&lt;&gt;"")),IF(UPPER(B_Drainage!$N$5:$N$204)="Y",1,"")),"")</f>
        <v/>
      </c>
      <c r="AH745" s="181" t="str">
        <f t="shared" si="88"/>
        <v/>
      </c>
      <c r="AI745" s="181" t="str">
        <f t="shared" si="89"/>
        <v/>
      </c>
      <c r="AJ745" s="181" t="str">
        <f t="shared" si="90"/>
        <v/>
      </c>
      <c r="AK745" s="181" t="str">
        <f t="shared" si="91"/>
        <v/>
      </c>
      <c r="AL745" s="181" t="str">
        <f t="shared" si="92"/>
        <v/>
      </c>
      <c r="AM745" s="181" t="str">
        <f t="shared" si="93"/>
        <v/>
      </c>
      <c r="AN745" s="181" t="str">
        <f t="shared" si="94"/>
        <v/>
      </c>
      <c r="AO745" s="192" t="str">
        <f t="shared" si="95"/>
        <v/>
      </c>
      <c r="AQ745" t="str">
        <f>IFERROR(LOOKUP(2,1/((C_Pavement!$A$5:$A$204&lt;&gt;"")*(C_Pavement!$A$5:$A$204&lt;=$B745)*(C_Pavement!$B$5:$B$204&gt;$B745)*(C_Pavement!$C$5:$C$204&lt;&gt;"")),ROW(C_Pavement!$C$5:$C$204)-4),"")</f>
        <v/>
      </c>
      <c r="AR745" t="str">
        <f>IF($AQ745="","",UPPER(TRIM(INDEX(C_Pavement!$C$5:$C$204,$AQ745))))</f>
        <v/>
      </c>
      <c r="AS745" t="str">
        <f>IF($AR745="","",IFERROR(MATCH($AR745,E_Rules!$A$5:$A$9,0),""))</f>
        <v/>
      </c>
      <c r="AT745" t="str">
        <f>IF($AQ745="","",IF(INDEX(C_Pavement!$D$5:$D$204,$AQ745)&lt;&gt;"",UPPER(TRIM(INDEX(C_Pavement!$D$5:$D$204,$AQ745))),IF($AS745="","",INDEX(E_Rules!$C$5:$C$9,$AS745))))</f>
        <v/>
      </c>
      <c r="AU745" t="str">
        <f>IF($AQ745="","",IF(INDEX(C_Pavement!$E$5:$E$204,$AQ745)&lt;&gt;"",IF(INDEX(C_Pavement!$E$5:$E$204,$AQ745)="-","",INDEX(C_Pavement!$E$5:$E$204,$AQ745)),IF($AS745="","",INDEX(E_Rules!$D$5:$D$9,$AS745))))</f>
        <v/>
      </c>
      <c r="AV745" t="str">
        <f>IF($AQ745="","",IF(INDEX(C_Pavement!$F$5:$F$204,$AQ745)&lt;&gt;"",IF(INDEX(C_Pavement!$F$5:$F$204,$AQ745)="-","",INDEX(C_Pavement!$F$5:$F$204,$AQ745)),IF($AS745="","",INDEX(E_Rules!$E$5:$E$9,$AS745))))</f>
        <v/>
      </c>
      <c r="AW745" t="str">
        <f>IF($AQ745="","",IF(INDEX(C_Pavement!$G$5:$G$204,$AQ745)&lt;&gt;"",IF(INDEX(C_Pavement!$G$5:$G$204,$AQ745)="-","",INDEX(C_Pavement!$G$5:$G$204,$AQ745)),IF($AS745="","",INDEX(E_Rules!$F$5:$F$9,$AS745))))</f>
        <v/>
      </c>
      <c r="AX745" t="str">
        <f>IF($AQ745="","",IF(INDEX(C_Pavement!$H$5:$H$204,$AQ745)&lt;&gt;"",IF(INDEX(C_Pavement!$H$5:$H$204,$AQ745)="-","",INDEX(C_Pavement!$H$5:$H$204,$AQ745)),IF($AS745="","",INDEX(E_Rules!$G$5:$G$9,$AS745))))</f>
        <v/>
      </c>
      <c r="AY745" t="str">
        <f>IF($AQ745="","",IF(INDEX(C_Pavement!$I$5:$I$204,$AQ745)&lt;&gt;"",IF(INDEX(C_Pavement!$I$5:$I$204,$AQ745)="-","",INDEX(C_Pavement!$I$5:$I$204,$AQ745)),IF($AS745="","",INDEX(E_Rules!$H$5:$H$9,$AS745))))</f>
        <v/>
      </c>
    </row>
    <row r="746" spans="1:51" ht="15.75" customHeight="1" x14ac:dyDescent="0.3">
      <c r="A746" s="189">
        <v>741</v>
      </c>
      <c r="B746" s="180">
        <v>37000</v>
      </c>
      <c r="C746" s="180" t="s">
        <v>1052</v>
      </c>
      <c r="D746" s="181" t="str">
        <f>IFERROR(LOOKUP(2,1/((A_Corridor!$A$5:$A$204&lt;&gt;"")*(A_Corridor!$A$5:$A$204&lt;=$B746)*(A_Corridor!$B$5:$B$204&gt;$B746)*(A_Corridor!$C$5:$C$204&lt;&gt;"")),IF(UPPER(A_Corridor!$C$5:$C$204)="Y",1,"")),"")</f>
        <v/>
      </c>
      <c r="E746" s="181" t="str">
        <f>IFERROR(LOOKUP(2,1/((A_Corridor!$A$5:$A$204&lt;&gt;"")*(A_Corridor!$A$5:$A$204&lt;=$B746)*(A_Corridor!$B$5:$B$204&gt;$B746)*(A_Corridor!$D$5:$D$204&lt;&gt;"")),IF(A_Corridor!$D$5:$D$204="-","",UPPER(A_Corridor!$D$5:$D$204))),"")</f>
        <v/>
      </c>
      <c r="F746" s="181" t="str">
        <f>IFERROR(LOOKUP(2,1/((A_Corridor!$A$5:$A$204&lt;&gt;"")*(A_Corridor!$A$5:$A$204&lt;=$B746)*(A_Corridor!$B$5:$B$204&gt;$B746)*(A_Corridor!$E$5:$E$204&lt;&gt;"")),IF(A_Corridor!$E$5:$E$204="-","",1)),"")</f>
        <v/>
      </c>
      <c r="G746" s="182" t="str">
        <f>IFERROR(LOOKUP(2,1/((A_Corridor!$A$5:$A$204&lt;&gt;"")*(A_Corridor!$A$5:$A$204&lt;=$B746)*(A_Corridor!$B$5:$B$204&gt;$B746)*(A_Corridor!$E$5:$E$204&lt;&gt;"")),IF(A_Corridor!$E$5:$E$204="-","",A_Corridor!$E$5:$E$204)),"")</f>
        <v/>
      </c>
      <c r="H746" s="182" t="str">
        <f>IFERROR(LOOKUP(2,1/((D_Points!$A$5:$A$204&lt;&gt;"")*(D_Points!$A$5:$A$204&gt;=$B746)*(D_Points!$A$5:$A$204&lt;$B746+P_Interval)*(UPPER(TRIM(D_Points!$B$5:$B$204))="GULLY")*(D_Points!$H$5:$H$204&lt;&gt;"")),D_Points!$H$5:$H$204),"")</f>
        <v/>
      </c>
      <c r="I746" s="181" t="str">
        <f>IFERROR(LOOKUP(2,1/((A_Corridor!$A$5:$A$204&lt;&gt;"")*(A_Corridor!$A$5:$A$204&lt;=$B746)*(A_Corridor!$B$5:$B$204&gt;$B746)*(A_Corridor!$F$5:$F$204&lt;&gt;"")),IF(A_Corridor!$F$5:$F$204="-","",1)),"")</f>
        <v/>
      </c>
      <c r="J746" s="182" t="str">
        <f>IFERROR(LOOKUP(2,1/((A_Corridor!$A$5:$A$204&lt;&gt;"")*(A_Corridor!$A$5:$A$204&lt;=$B746)*(A_Corridor!$B$5:$B$204&gt;$B746)*(A_Corridor!$F$5:$F$204&lt;&gt;"")),IF(A_Corridor!$F$5:$F$204="-","",A_Corridor!$F$5:$F$204)),"")</f>
        <v/>
      </c>
      <c r="K746" s="182" t="str">
        <f>IFERROR(LOOKUP(2,1/((A_Corridor!$A$5:$A$204&lt;&gt;"")*(A_Corridor!$A$5:$A$204&lt;=$B746)*(A_Corridor!$B$5:$B$204&gt;$B746)*(A_Corridor!$G$5:$G$204&lt;&gt;"")),IF(A_Corridor!$G$5:$G$204="-","",A_Corridor!$G$5:$G$204)),"")</f>
        <v/>
      </c>
      <c r="L746" s="181" t="str">
        <f>IFERROR(LOOKUP(2,1/((A_Corridor!$A$5:$A$204&lt;&gt;"")*(A_Corridor!$A$5:$A$204&lt;=$B746)*(A_Corridor!$B$5:$B$204&gt;$B746)*(A_Corridor!$H$5:$H$204&lt;&gt;"")),IF(A_Corridor!$H$5:$H$204="-","",1)),"")</f>
        <v/>
      </c>
      <c r="M746" s="182" t="str">
        <f>IFERROR(LOOKUP(2,1/((A_Corridor!$A$5:$A$204&lt;&gt;"")*(A_Corridor!$A$5:$A$204&lt;=$B746)*(A_Corridor!$B$5:$B$204&gt;$B746)*(A_Corridor!$H$5:$H$204&lt;&gt;"")),IF(A_Corridor!$H$5:$H$204="-","",A_Corridor!$H$5:$H$204)),"")</f>
        <v/>
      </c>
      <c r="N746" s="182" t="str">
        <f>IFERROR(LOOKUP(2,1/((A_Corridor!$A$5:$A$204&lt;&gt;"")*(A_Corridor!$A$5:$A$204&lt;=$B746)*(A_Corridor!$B$5:$B$204&gt;$B746)*(A_Corridor!$I$5:$I$204&lt;&gt;"")),IF(A_Corridor!$I$5:$I$204="-","",A_Corridor!$I$5:$I$204)),"")</f>
        <v/>
      </c>
      <c r="O746" s="182" t="str">
        <f>IFERROR(LOOKUP(2,1/((D_Points!$A$5:$A$204&lt;&gt;"")*(D_Points!$A$5:$A$204&gt;=$B746)*(D_Points!$A$5:$A$204&lt;$B746+P_Interval)*(UPPER(TRIM(D_Points!$B$5:$B$204))="PITCHING")*(D_Points!$H$5:$H$204&lt;&gt;"")),D_Points!$H$5:$H$204),"")</f>
        <v/>
      </c>
      <c r="P746" s="181" t="str">
        <f>IFERROR(LOOKUP(2,1/((B_Drainage!$A$5:$A$204&lt;&gt;"")*(B_Drainage!$A$5:$A$204&lt;=$B746)*(B_Drainage!$B$5:$B$204&gt;$B746)*(B_Drainage!$C$5:$C$204&lt;&gt;"")),IF(B_Drainage!$C$5:$C$204="-","",UPPER(B_Drainage!$C$5:$C$204))),"")</f>
        <v/>
      </c>
      <c r="Q746" s="181" t="str">
        <f>IFERROR(LOOKUP(2,1/((B_Drainage!$A$5:$A$204&lt;&gt;"")*(B_Drainage!$A$5:$A$204&lt;=$B746)*(B_Drainage!$B$5:$B$204&gt;$B746)*(B_Drainage!$D$5:$D$204&lt;&gt;"")),IF(B_Drainage!$D$5:$D$204="-","",UPPER(B_Drainage!$D$5:$D$204))),"")</f>
        <v/>
      </c>
      <c r="R746" s="182" t="str">
        <f>IFERROR(LOOKUP(2,1/((D_Points!$A$5:$A$204&lt;&gt;"")*(D_Points!$A$5:$A$204&gt;=$B746)*(D_Points!$A$5:$A$204&lt;$B746+P_Interval)*(RIGHT(UPPER(TRIM(D_Points!$B$5:$B$204)),8)="_CULVERT")),IF(LEFT(UPPER(TRIM(D_Points!$B$5:$B$204)),2)="EX",1,IF(LEFT(UPPER(TRIM(D_Points!$B$5:$B$204)),2)="PR",2,3))),"")</f>
        <v/>
      </c>
      <c r="S746" s="182" t="str">
        <f>IFERROR(LOOKUP(2,1/((D_Points!$A$5:$A$204&lt;&gt;"")*(D_Points!$A$5:$A$204&gt;=$B746)*(D_Points!$A$5:$A$204&lt;$B746+P_Interval)*(RIGHT(UPPER(TRIM(D_Points!$B$5:$B$204)),7)="_BRIDGE")),IF(LEFT(UPPER(TRIM(D_Points!$B$5:$B$204)),2)="EX",1,IF(LEFT(UPPER(TRIM(D_Points!$B$5:$B$204)),2)="PR",2,2))),"")</f>
        <v/>
      </c>
      <c r="T746" s="181" t="str">
        <f>IFERROR(LOOKUP(2,1/((B_Drainage!$A$5:$A$204&lt;&gt;"")*(B_Drainage!$A$5:$A$204&lt;=$B746)*(B_Drainage!$B$5:$B$204&gt;$B746)*(B_Drainage!$E$5:$E$204&lt;&gt;"")),IF(B_Drainage!$E$5:$E$204="-","",1)),"")</f>
        <v/>
      </c>
      <c r="U746" s="181" t="str">
        <f>IFERROR(LOOKUP(2,1/((B_Drainage!$A$5:$A$204&lt;&gt;"")*(B_Drainage!$A$5:$A$204&lt;=$B746)*(B_Drainage!$B$5:$B$204&gt;$B746)*(B_Drainage!$E$5:$E$204&lt;&gt;"")),IF(B_Drainage!$E$5:$E$204="-","",B_Drainage!$E$5:$E$204)),"")</f>
        <v/>
      </c>
      <c r="V746" s="181" t="str">
        <f>IFERROR(LOOKUP(2,1/((B_Drainage!$A$5:$A$204&lt;&gt;"")*(B_Drainage!$A$5:$A$204&lt;=$B746)*(B_Drainage!$B$5:$B$204&gt;$B746)*(B_Drainage!$F$5:$F$204&lt;&gt;"")),IF(B_Drainage!$F$5:$F$204="-","",1)),"")</f>
        <v/>
      </c>
      <c r="W746" s="181" t="str">
        <f>IFERROR(LOOKUP(2,1/((B_Drainage!$A$5:$A$204&lt;&gt;"")*(B_Drainage!$A$5:$A$204&lt;=$B746)*(B_Drainage!$B$5:$B$204&gt;$B746)*(B_Drainage!$F$5:$F$204&lt;&gt;"")),IF(B_Drainage!$F$5:$F$204="-","",B_Drainage!$F$5:$F$204)),"")</f>
        <v/>
      </c>
      <c r="X746" s="181" t="str">
        <f>IFERROR(LOOKUP(2,1/((B_Drainage!$A$5:$A$204&lt;&gt;"")*(B_Drainage!$A$5:$A$204&lt;=$B746)*(B_Drainage!$B$5:$B$204&gt;$B746)*(B_Drainage!$G$5:$G$204&lt;&gt;"")),IF(UPPER(B_Drainage!$G$5:$G$204)="Y",1,"")),"")</f>
        <v/>
      </c>
      <c r="Y746" s="181" t="str">
        <f>IFERROR(LOOKUP(2,1/((B_Drainage!$A$5:$A$204&lt;&gt;"")*(B_Drainage!$A$5:$A$204&lt;=$B746)*(B_Drainage!$B$5:$B$204&gt;$B746)*(B_Drainage!$H$5:$H$204&lt;&gt;"")),IF(UPPER(B_Drainage!$H$5:$H$204)="Y",1,"")),"")</f>
        <v/>
      </c>
      <c r="Z746" s="181" t="str">
        <f>IFERROR(LOOKUP(2,1/((B_Drainage!$A$5:$A$204&lt;&gt;"")*(B_Drainage!$A$5:$A$204&lt;=$B746)*(B_Drainage!$B$5:$B$204&gt;$B746)*(B_Drainage!$I$5:$I$204&lt;&gt;"")),IF(UPPER(B_Drainage!$I$5:$I$204)="Y",1,"")),"")</f>
        <v/>
      </c>
      <c r="AA746" s="181" t="str">
        <f>IFERROR(LOOKUP(2,1/((B_Drainage!$A$5:$A$204&lt;&gt;"")*(B_Drainage!$A$5:$A$204&lt;=$B746)*(B_Drainage!$B$5:$B$204&gt;$B746)*(B_Drainage!$J$5:$J$204&lt;&gt;"")),IF(UPPER(B_Drainage!$J$5:$J$204)="Y",1,"")),"")</f>
        <v/>
      </c>
      <c r="AB746" s="182" t="str">
        <f>IFERROR(LOOKUP(2,1/((B_Drainage!$A$5:$A$204&lt;&gt;"")*(B_Drainage!$A$5:$A$204&lt;=$B746)*(B_Drainage!$B$5:$B$204&gt;$B746)*(B_Drainage!$K$5:$K$204&lt;&gt;"")),IF(B_Drainage!$K$5:$K$204="-","",B_Drainage!$K$5:$K$204)),"")</f>
        <v/>
      </c>
      <c r="AC746" s="182" t="str">
        <f>IFERROR(LOOKUP(2,1/((B_Drainage!$A$5:$A$204&lt;&gt;"")*(B_Drainage!$A$5:$A$204&lt;=$B746)*(B_Drainage!$B$5:$B$204&gt;$B746)*(B_Drainage!$L$5:$L$204&lt;&gt;"")),IF(B_Drainage!$L$5:$L$204="-","",B_Drainage!$L$5:$L$204)),"")</f>
        <v/>
      </c>
      <c r="AD746" s="182" t="str">
        <f>IFERROR(LOOKUP(2,1/((D_Points!$A$5:$A$204&lt;&gt;"")*(D_Points!$A$5:$A$204&gt;=$B746)*(D_Points!$A$5:$A$204&lt;$B746+P_Interval)*(UPPER(TRIM(D_Points!$B$5:$B$204))="TURNOUT_L")*(D_Points!$H$5:$H$204&lt;&gt;"")),D_Points!$H$5:$H$204),"")</f>
        <v/>
      </c>
      <c r="AE746" s="182" t="str">
        <f>IFERROR(LOOKUP(2,1/((D_Points!$A$5:$A$204&lt;&gt;"")*(D_Points!$A$5:$A$204&gt;=$B746)*(D_Points!$A$5:$A$204&lt;$B746+P_Interval)*(UPPER(TRIM(D_Points!$B$5:$B$204))="TURNOUT_R")*(D_Points!$H$5:$H$204&lt;&gt;"")),D_Points!$H$5:$H$204),"")</f>
        <v/>
      </c>
      <c r="AF746" s="181" t="str">
        <f>IFERROR(LOOKUP(2,1/((B_Drainage!$A$5:$A$204&lt;&gt;"")*(B_Drainage!$A$5:$A$204&lt;=$B746)*(B_Drainage!$B$5:$B$204&gt;$B746)*(B_Drainage!$M$5:$M$204&lt;&gt;"")),IF(UPPER(B_Drainage!$M$5:$M$204)="Y",1,"")),"")</f>
        <v/>
      </c>
      <c r="AG746" s="181" t="str">
        <f>IFERROR(LOOKUP(2,1/((B_Drainage!$A$5:$A$204&lt;&gt;"")*(B_Drainage!$A$5:$A$204&lt;=$B746)*(B_Drainage!$B$5:$B$204&gt;$B746)*(B_Drainage!$N$5:$N$204&lt;&gt;"")),IF(UPPER(B_Drainage!$N$5:$N$204)="Y",1,"")),"")</f>
        <v/>
      </c>
      <c r="AH746" s="181" t="str">
        <f t="shared" si="88"/>
        <v/>
      </c>
      <c r="AI746" s="181" t="str">
        <f t="shared" si="89"/>
        <v/>
      </c>
      <c r="AJ746" s="181" t="str">
        <f t="shared" si="90"/>
        <v/>
      </c>
      <c r="AK746" s="181" t="str">
        <f t="shared" si="91"/>
        <v/>
      </c>
      <c r="AL746" s="181" t="str">
        <f t="shared" si="92"/>
        <v/>
      </c>
      <c r="AM746" s="181" t="str">
        <f t="shared" si="93"/>
        <v/>
      </c>
      <c r="AN746" s="181" t="str">
        <f t="shared" si="94"/>
        <v/>
      </c>
      <c r="AO746" s="192" t="str">
        <f t="shared" si="95"/>
        <v/>
      </c>
      <c r="AQ746" t="str">
        <f>IFERROR(LOOKUP(2,1/((C_Pavement!$A$5:$A$204&lt;&gt;"")*(C_Pavement!$A$5:$A$204&lt;=$B746)*(C_Pavement!$B$5:$B$204&gt;$B746)*(C_Pavement!$C$5:$C$204&lt;&gt;"")),ROW(C_Pavement!$C$5:$C$204)-4),"")</f>
        <v/>
      </c>
      <c r="AR746" t="str">
        <f>IF($AQ746="","",UPPER(TRIM(INDEX(C_Pavement!$C$5:$C$204,$AQ746))))</f>
        <v/>
      </c>
      <c r="AS746" t="str">
        <f>IF($AR746="","",IFERROR(MATCH($AR746,E_Rules!$A$5:$A$9,0),""))</f>
        <v/>
      </c>
      <c r="AT746" t="str">
        <f>IF($AQ746="","",IF(INDEX(C_Pavement!$D$5:$D$204,$AQ746)&lt;&gt;"",UPPER(TRIM(INDEX(C_Pavement!$D$5:$D$204,$AQ746))),IF($AS746="","",INDEX(E_Rules!$C$5:$C$9,$AS746))))</f>
        <v/>
      </c>
      <c r="AU746" t="str">
        <f>IF($AQ746="","",IF(INDEX(C_Pavement!$E$5:$E$204,$AQ746)&lt;&gt;"",IF(INDEX(C_Pavement!$E$5:$E$204,$AQ746)="-","",INDEX(C_Pavement!$E$5:$E$204,$AQ746)),IF($AS746="","",INDEX(E_Rules!$D$5:$D$9,$AS746))))</f>
        <v/>
      </c>
      <c r="AV746" t="str">
        <f>IF($AQ746="","",IF(INDEX(C_Pavement!$F$5:$F$204,$AQ746)&lt;&gt;"",IF(INDEX(C_Pavement!$F$5:$F$204,$AQ746)="-","",INDEX(C_Pavement!$F$5:$F$204,$AQ746)),IF($AS746="","",INDEX(E_Rules!$E$5:$E$9,$AS746))))</f>
        <v/>
      </c>
      <c r="AW746" t="str">
        <f>IF($AQ746="","",IF(INDEX(C_Pavement!$G$5:$G$204,$AQ746)&lt;&gt;"",IF(INDEX(C_Pavement!$G$5:$G$204,$AQ746)="-","",INDEX(C_Pavement!$G$5:$G$204,$AQ746)),IF($AS746="","",INDEX(E_Rules!$F$5:$F$9,$AS746))))</f>
        <v/>
      </c>
      <c r="AX746" t="str">
        <f>IF($AQ746="","",IF(INDEX(C_Pavement!$H$5:$H$204,$AQ746)&lt;&gt;"",IF(INDEX(C_Pavement!$H$5:$H$204,$AQ746)="-","",INDEX(C_Pavement!$H$5:$H$204,$AQ746)),IF($AS746="","",INDEX(E_Rules!$G$5:$G$9,$AS746))))</f>
        <v/>
      </c>
      <c r="AY746" t="str">
        <f>IF($AQ746="","",IF(INDEX(C_Pavement!$I$5:$I$204,$AQ746)&lt;&gt;"",IF(INDEX(C_Pavement!$I$5:$I$204,$AQ746)="-","",INDEX(C_Pavement!$I$5:$I$204,$AQ746)),IF($AS746="","",INDEX(E_Rules!$H$5:$H$9,$AS746))))</f>
        <v/>
      </c>
    </row>
    <row r="747" spans="1:51" ht="15.75" customHeight="1" x14ac:dyDescent="0.3">
      <c r="A747" s="189">
        <v>742</v>
      </c>
      <c r="B747" s="180">
        <v>37050</v>
      </c>
      <c r="C747" s="180" t="s">
        <v>1053</v>
      </c>
      <c r="D747" s="181" t="str">
        <f>IFERROR(LOOKUP(2,1/((A_Corridor!$A$5:$A$204&lt;&gt;"")*(A_Corridor!$A$5:$A$204&lt;=$B747)*(A_Corridor!$B$5:$B$204&gt;$B747)*(A_Corridor!$C$5:$C$204&lt;&gt;"")),IF(UPPER(A_Corridor!$C$5:$C$204)="Y",1,"")),"")</f>
        <v/>
      </c>
      <c r="E747" s="181" t="str">
        <f>IFERROR(LOOKUP(2,1/((A_Corridor!$A$5:$A$204&lt;&gt;"")*(A_Corridor!$A$5:$A$204&lt;=$B747)*(A_Corridor!$B$5:$B$204&gt;$B747)*(A_Corridor!$D$5:$D$204&lt;&gt;"")),IF(A_Corridor!$D$5:$D$204="-","",UPPER(A_Corridor!$D$5:$D$204))),"")</f>
        <v/>
      </c>
      <c r="F747" s="181" t="str">
        <f>IFERROR(LOOKUP(2,1/((A_Corridor!$A$5:$A$204&lt;&gt;"")*(A_Corridor!$A$5:$A$204&lt;=$B747)*(A_Corridor!$B$5:$B$204&gt;$B747)*(A_Corridor!$E$5:$E$204&lt;&gt;"")),IF(A_Corridor!$E$5:$E$204="-","",1)),"")</f>
        <v/>
      </c>
      <c r="G747" s="182" t="str">
        <f>IFERROR(LOOKUP(2,1/((A_Corridor!$A$5:$A$204&lt;&gt;"")*(A_Corridor!$A$5:$A$204&lt;=$B747)*(A_Corridor!$B$5:$B$204&gt;$B747)*(A_Corridor!$E$5:$E$204&lt;&gt;"")),IF(A_Corridor!$E$5:$E$204="-","",A_Corridor!$E$5:$E$204)),"")</f>
        <v/>
      </c>
      <c r="H747" s="182" t="str">
        <f>IFERROR(LOOKUP(2,1/((D_Points!$A$5:$A$204&lt;&gt;"")*(D_Points!$A$5:$A$204&gt;=$B747)*(D_Points!$A$5:$A$204&lt;$B747+P_Interval)*(UPPER(TRIM(D_Points!$B$5:$B$204))="GULLY")*(D_Points!$H$5:$H$204&lt;&gt;"")),D_Points!$H$5:$H$204),"")</f>
        <v/>
      </c>
      <c r="I747" s="181" t="str">
        <f>IFERROR(LOOKUP(2,1/((A_Corridor!$A$5:$A$204&lt;&gt;"")*(A_Corridor!$A$5:$A$204&lt;=$B747)*(A_Corridor!$B$5:$B$204&gt;$B747)*(A_Corridor!$F$5:$F$204&lt;&gt;"")),IF(A_Corridor!$F$5:$F$204="-","",1)),"")</f>
        <v/>
      </c>
      <c r="J747" s="182" t="str">
        <f>IFERROR(LOOKUP(2,1/((A_Corridor!$A$5:$A$204&lt;&gt;"")*(A_Corridor!$A$5:$A$204&lt;=$B747)*(A_Corridor!$B$5:$B$204&gt;$B747)*(A_Corridor!$F$5:$F$204&lt;&gt;"")),IF(A_Corridor!$F$5:$F$204="-","",A_Corridor!$F$5:$F$204)),"")</f>
        <v/>
      </c>
      <c r="K747" s="182" t="str">
        <f>IFERROR(LOOKUP(2,1/((A_Corridor!$A$5:$A$204&lt;&gt;"")*(A_Corridor!$A$5:$A$204&lt;=$B747)*(A_Corridor!$B$5:$B$204&gt;$B747)*(A_Corridor!$G$5:$G$204&lt;&gt;"")),IF(A_Corridor!$G$5:$G$204="-","",A_Corridor!$G$5:$G$204)),"")</f>
        <v/>
      </c>
      <c r="L747" s="181" t="str">
        <f>IFERROR(LOOKUP(2,1/((A_Corridor!$A$5:$A$204&lt;&gt;"")*(A_Corridor!$A$5:$A$204&lt;=$B747)*(A_Corridor!$B$5:$B$204&gt;$B747)*(A_Corridor!$H$5:$H$204&lt;&gt;"")),IF(A_Corridor!$H$5:$H$204="-","",1)),"")</f>
        <v/>
      </c>
      <c r="M747" s="182" t="str">
        <f>IFERROR(LOOKUP(2,1/((A_Corridor!$A$5:$A$204&lt;&gt;"")*(A_Corridor!$A$5:$A$204&lt;=$B747)*(A_Corridor!$B$5:$B$204&gt;$B747)*(A_Corridor!$H$5:$H$204&lt;&gt;"")),IF(A_Corridor!$H$5:$H$204="-","",A_Corridor!$H$5:$H$204)),"")</f>
        <v/>
      </c>
      <c r="N747" s="182" t="str">
        <f>IFERROR(LOOKUP(2,1/((A_Corridor!$A$5:$A$204&lt;&gt;"")*(A_Corridor!$A$5:$A$204&lt;=$B747)*(A_Corridor!$B$5:$B$204&gt;$B747)*(A_Corridor!$I$5:$I$204&lt;&gt;"")),IF(A_Corridor!$I$5:$I$204="-","",A_Corridor!$I$5:$I$204)),"")</f>
        <v/>
      </c>
      <c r="O747" s="182" t="str">
        <f>IFERROR(LOOKUP(2,1/((D_Points!$A$5:$A$204&lt;&gt;"")*(D_Points!$A$5:$A$204&gt;=$B747)*(D_Points!$A$5:$A$204&lt;$B747+P_Interval)*(UPPER(TRIM(D_Points!$B$5:$B$204))="PITCHING")*(D_Points!$H$5:$H$204&lt;&gt;"")),D_Points!$H$5:$H$204),"")</f>
        <v/>
      </c>
      <c r="P747" s="181" t="str">
        <f>IFERROR(LOOKUP(2,1/((B_Drainage!$A$5:$A$204&lt;&gt;"")*(B_Drainage!$A$5:$A$204&lt;=$B747)*(B_Drainage!$B$5:$B$204&gt;$B747)*(B_Drainage!$C$5:$C$204&lt;&gt;"")),IF(B_Drainage!$C$5:$C$204="-","",UPPER(B_Drainage!$C$5:$C$204))),"")</f>
        <v/>
      </c>
      <c r="Q747" s="181" t="str">
        <f>IFERROR(LOOKUP(2,1/((B_Drainage!$A$5:$A$204&lt;&gt;"")*(B_Drainage!$A$5:$A$204&lt;=$B747)*(B_Drainage!$B$5:$B$204&gt;$B747)*(B_Drainage!$D$5:$D$204&lt;&gt;"")),IF(B_Drainage!$D$5:$D$204="-","",UPPER(B_Drainage!$D$5:$D$204))),"")</f>
        <v/>
      </c>
      <c r="R747" s="182" t="str">
        <f>IFERROR(LOOKUP(2,1/((D_Points!$A$5:$A$204&lt;&gt;"")*(D_Points!$A$5:$A$204&gt;=$B747)*(D_Points!$A$5:$A$204&lt;$B747+P_Interval)*(RIGHT(UPPER(TRIM(D_Points!$B$5:$B$204)),8)="_CULVERT")),IF(LEFT(UPPER(TRIM(D_Points!$B$5:$B$204)),2)="EX",1,IF(LEFT(UPPER(TRIM(D_Points!$B$5:$B$204)),2)="PR",2,3))),"")</f>
        <v/>
      </c>
      <c r="S747" s="182" t="str">
        <f>IFERROR(LOOKUP(2,1/((D_Points!$A$5:$A$204&lt;&gt;"")*(D_Points!$A$5:$A$204&gt;=$B747)*(D_Points!$A$5:$A$204&lt;$B747+P_Interval)*(RIGHT(UPPER(TRIM(D_Points!$B$5:$B$204)),7)="_BRIDGE")),IF(LEFT(UPPER(TRIM(D_Points!$B$5:$B$204)),2)="EX",1,IF(LEFT(UPPER(TRIM(D_Points!$B$5:$B$204)),2)="PR",2,2))),"")</f>
        <v/>
      </c>
      <c r="T747" s="181" t="str">
        <f>IFERROR(LOOKUP(2,1/((B_Drainage!$A$5:$A$204&lt;&gt;"")*(B_Drainage!$A$5:$A$204&lt;=$B747)*(B_Drainage!$B$5:$B$204&gt;$B747)*(B_Drainage!$E$5:$E$204&lt;&gt;"")),IF(B_Drainage!$E$5:$E$204="-","",1)),"")</f>
        <v/>
      </c>
      <c r="U747" s="181" t="str">
        <f>IFERROR(LOOKUP(2,1/((B_Drainage!$A$5:$A$204&lt;&gt;"")*(B_Drainage!$A$5:$A$204&lt;=$B747)*(B_Drainage!$B$5:$B$204&gt;$B747)*(B_Drainage!$E$5:$E$204&lt;&gt;"")),IF(B_Drainage!$E$5:$E$204="-","",B_Drainage!$E$5:$E$204)),"")</f>
        <v/>
      </c>
      <c r="V747" s="181" t="str">
        <f>IFERROR(LOOKUP(2,1/((B_Drainage!$A$5:$A$204&lt;&gt;"")*(B_Drainage!$A$5:$A$204&lt;=$B747)*(B_Drainage!$B$5:$B$204&gt;$B747)*(B_Drainage!$F$5:$F$204&lt;&gt;"")),IF(B_Drainage!$F$5:$F$204="-","",1)),"")</f>
        <v/>
      </c>
      <c r="W747" s="181" t="str">
        <f>IFERROR(LOOKUP(2,1/((B_Drainage!$A$5:$A$204&lt;&gt;"")*(B_Drainage!$A$5:$A$204&lt;=$B747)*(B_Drainage!$B$5:$B$204&gt;$B747)*(B_Drainage!$F$5:$F$204&lt;&gt;"")),IF(B_Drainage!$F$5:$F$204="-","",B_Drainage!$F$5:$F$204)),"")</f>
        <v/>
      </c>
      <c r="X747" s="181" t="str">
        <f>IFERROR(LOOKUP(2,1/((B_Drainage!$A$5:$A$204&lt;&gt;"")*(B_Drainage!$A$5:$A$204&lt;=$B747)*(B_Drainage!$B$5:$B$204&gt;$B747)*(B_Drainage!$G$5:$G$204&lt;&gt;"")),IF(UPPER(B_Drainage!$G$5:$G$204)="Y",1,"")),"")</f>
        <v/>
      </c>
      <c r="Y747" s="181" t="str">
        <f>IFERROR(LOOKUP(2,1/((B_Drainage!$A$5:$A$204&lt;&gt;"")*(B_Drainage!$A$5:$A$204&lt;=$B747)*(B_Drainage!$B$5:$B$204&gt;$B747)*(B_Drainage!$H$5:$H$204&lt;&gt;"")),IF(UPPER(B_Drainage!$H$5:$H$204)="Y",1,"")),"")</f>
        <v/>
      </c>
      <c r="Z747" s="181" t="str">
        <f>IFERROR(LOOKUP(2,1/((B_Drainage!$A$5:$A$204&lt;&gt;"")*(B_Drainage!$A$5:$A$204&lt;=$B747)*(B_Drainage!$B$5:$B$204&gt;$B747)*(B_Drainage!$I$5:$I$204&lt;&gt;"")),IF(UPPER(B_Drainage!$I$5:$I$204)="Y",1,"")),"")</f>
        <v/>
      </c>
      <c r="AA747" s="181" t="str">
        <f>IFERROR(LOOKUP(2,1/((B_Drainage!$A$5:$A$204&lt;&gt;"")*(B_Drainage!$A$5:$A$204&lt;=$B747)*(B_Drainage!$B$5:$B$204&gt;$B747)*(B_Drainage!$J$5:$J$204&lt;&gt;"")),IF(UPPER(B_Drainage!$J$5:$J$204)="Y",1,"")),"")</f>
        <v/>
      </c>
      <c r="AB747" s="182" t="str">
        <f>IFERROR(LOOKUP(2,1/((B_Drainage!$A$5:$A$204&lt;&gt;"")*(B_Drainage!$A$5:$A$204&lt;=$B747)*(B_Drainage!$B$5:$B$204&gt;$B747)*(B_Drainage!$K$5:$K$204&lt;&gt;"")),IF(B_Drainage!$K$5:$K$204="-","",B_Drainage!$K$5:$K$204)),"")</f>
        <v/>
      </c>
      <c r="AC747" s="182" t="str">
        <f>IFERROR(LOOKUP(2,1/((B_Drainage!$A$5:$A$204&lt;&gt;"")*(B_Drainage!$A$5:$A$204&lt;=$B747)*(B_Drainage!$B$5:$B$204&gt;$B747)*(B_Drainage!$L$5:$L$204&lt;&gt;"")),IF(B_Drainage!$L$5:$L$204="-","",B_Drainage!$L$5:$L$204)),"")</f>
        <v/>
      </c>
      <c r="AD747" s="182" t="str">
        <f>IFERROR(LOOKUP(2,1/((D_Points!$A$5:$A$204&lt;&gt;"")*(D_Points!$A$5:$A$204&gt;=$B747)*(D_Points!$A$5:$A$204&lt;$B747+P_Interval)*(UPPER(TRIM(D_Points!$B$5:$B$204))="TURNOUT_L")*(D_Points!$H$5:$H$204&lt;&gt;"")),D_Points!$H$5:$H$204),"")</f>
        <v/>
      </c>
      <c r="AE747" s="182" t="str">
        <f>IFERROR(LOOKUP(2,1/((D_Points!$A$5:$A$204&lt;&gt;"")*(D_Points!$A$5:$A$204&gt;=$B747)*(D_Points!$A$5:$A$204&lt;$B747+P_Interval)*(UPPER(TRIM(D_Points!$B$5:$B$204))="TURNOUT_R")*(D_Points!$H$5:$H$204&lt;&gt;"")),D_Points!$H$5:$H$204),"")</f>
        <v/>
      </c>
      <c r="AF747" s="181" t="str">
        <f>IFERROR(LOOKUP(2,1/((B_Drainage!$A$5:$A$204&lt;&gt;"")*(B_Drainage!$A$5:$A$204&lt;=$B747)*(B_Drainage!$B$5:$B$204&gt;$B747)*(B_Drainage!$M$5:$M$204&lt;&gt;"")),IF(UPPER(B_Drainage!$M$5:$M$204)="Y",1,"")),"")</f>
        <v/>
      </c>
      <c r="AG747" s="181" t="str">
        <f>IFERROR(LOOKUP(2,1/((B_Drainage!$A$5:$A$204&lt;&gt;"")*(B_Drainage!$A$5:$A$204&lt;=$B747)*(B_Drainage!$B$5:$B$204&gt;$B747)*(B_Drainage!$N$5:$N$204&lt;&gt;"")),IF(UPPER(B_Drainage!$N$5:$N$204)="Y",1,"")),"")</f>
        <v/>
      </c>
      <c r="AH747" s="181" t="str">
        <f t="shared" si="88"/>
        <v/>
      </c>
      <c r="AI747" s="181" t="str">
        <f t="shared" si="89"/>
        <v/>
      </c>
      <c r="AJ747" s="181" t="str">
        <f t="shared" si="90"/>
        <v/>
      </c>
      <c r="AK747" s="181" t="str">
        <f t="shared" si="91"/>
        <v/>
      </c>
      <c r="AL747" s="181" t="str">
        <f t="shared" si="92"/>
        <v/>
      </c>
      <c r="AM747" s="181" t="str">
        <f t="shared" si="93"/>
        <v/>
      </c>
      <c r="AN747" s="181" t="str">
        <f t="shared" si="94"/>
        <v/>
      </c>
      <c r="AO747" s="192" t="str">
        <f t="shared" si="95"/>
        <v/>
      </c>
      <c r="AQ747" t="str">
        <f>IFERROR(LOOKUP(2,1/((C_Pavement!$A$5:$A$204&lt;&gt;"")*(C_Pavement!$A$5:$A$204&lt;=$B747)*(C_Pavement!$B$5:$B$204&gt;$B747)*(C_Pavement!$C$5:$C$204&lt;&gt;"")),ROW(C_Pavement!$C$5:$C$204)-4),"")</f>
        <v/>
      </c>
      <c r="AR747" t="str">
        <f>IF($AQ747="","",UPPER(TRIM(INDEX(C_Pavement!$C$5:$C$204,$AQ747))))</f>
        <v/>
      </c>
      <c r="AS747" t="str">
        <f>IF($AR747="","",IFERROR(MATCH($AR747,E_Rules!$A$5:$A$9,0),""))</f>
        <v/>
      </c>
      <c r="AT747" t="str">
        <f>IF($AQ747="","",IF(INDEX(C_Pavement!$D$5:$D$204,$AQ747)&lt;&gt;"",UPPER(TRIM(INDEX(C_Pavement!$D$5:$D$204,$AQ747))),IF($AS747="","",INDEX(E_Rules!$C$5:$C$9,$AS747))))</f>
        <v/>
      </c>
      <c r="AU747" t="str">
        <f>IF($AQ747="","",IF(INDEX(C_Pavement!$E$5:$E$204,$AQ747)&lt;&gt;"",IF(INDEX(C_Pavement!$E$5:$E$204,$AQ747)="-","",INDEX(C_Pavement!$E$5:$E$204,$AQ747)),IF($AS747="","",INDEX(E_Rules!$D$5:$D$9,$AS747))))</f>
        <v/>
      </c>
      <c r="AV747" t="str">
        <f>IF($AQ747="","",IF(INDEX(C_Pavement!$F$5:$F$204,$AQ747)&lt;&gt;"",IF(INDEX(C_Pavement!$F$5:$F$204,$AQ747)="-","",INDEX(C_Pavement!$F$5:$F$204,$AQ747)),IF($AS747="","",INDEX(E_Rules!$E$5:$E$9,$AS747))))</f>
        <v/>
      </c>
      <c r="AW747" t="str">
        <f>IF($AQ747="","",IF(INDEX(C_Pavement!$G$5:$G$204,$AQ747)&lt;&gt;"",IF(INDEX(C_Pavement!$G$5:$G$204,$AQ747)="-","",INDEX(C_Pavement!$G$5:$G$204,$AQ747)),IF($AS747="","",INDEX(E_Rules!$F$5:$F$9,$AS747))))</f>
        <v/>
      </c>
      <c r="AX747" t="str">
        <f>IF($AQ747="","",IF(INDEX(C_Pavement!$H$5:$H$204,$AQ747)&lt;&gt;"",IF(INDEX(C_Pavement!$H$5:$H$204,$AQ747)="-","",INDEX(C_Pavement!$H$5:$H$204,$AQ747)),IF($AS747="","",INDEX(E_Rules!$G$5:$G$9,$AS747))))</f>
        <v/>
      </c>
      <c r="AY747" t="str">
        <f>IF($AQ747="","",IF(INDEX(C_Pavement!$I$5:$I$204,$AQ747)&lt;&gt;"",IF(INDEX(C_Pavement!$I$5:$I$204,$AQ747)="-","",INDEX(C_Pavement!$I$5:$I$204,$AQ747)),IF($AS747="","",INDEX(E_Rules!$H$5:$H$9,$AS747))))</f>
        <v/>
      </c>
    </row>
    <row r="748" spans="1:51" ht="15.75" customHeight="1" x14ac:dyDescent="0.3">
      <c r="A748" s="189">
        <v>743</v>
      </c>
      <c r="B748" s="180">
        <v>37100</v>
      </c>
      <c r="C748" s="180" t="s">
        <v>1054</v>
      </c>
      <c r="D748" s="181" t="str">
        <f>IFERROR(LOOKUP(2,1/((A_Corridor!$A$5:$A$204&lt;&gt;"")*(A_Corridor!$A$5:$A$204&lt;=$B748)*(A_Corridor!$B$5:$B$204&gt;$B748)*(A_Corridor!$C$5:$C$204&lt;&gt;"")),IF(UPPER(A_Corridor!$C$5:$C$204)="Y",1,"")),"")</f>
        <v/>
      </c>
      <c r="E748" s="181" t="str">
        <f>IFERROR(LOOKUP(2,1/((A_Corridor!$A$5:$A$204&lt;&gt;"")*(A_Corridor!$A$5:$A$204&lt;=$B748)*(A_Corridor!$B$5:$B$204&gt;$B748)*(A_Corridor!$D$5:$D$204&lt;&gt;"")),IF(A_Corridor!$D$5:$D$204="-","",UPPER(A_Corridor!$D$5:$D$204))),"")</f>
        <v/>
      </c>
      <c r="F748" s="181" t="str">
        <f>IFERROR(LOOKUP(2,1/((A_Corridor!$A$5:$A$204&lt;&gt;"")*(A_Corridor!$A$5:$A$204&lt;=$B748)*(A_Corridor!$B$5:$B$204&gt;$B748)*(A_Corridor!$E$5:$E$204&lt;&gt;"")),IF(A_Corridor!$E$5:$E$204="-","",1)),"")</f>
        <v/>
      </c>
      <c r="G748" s="182" t="str">
        <f>IFERROR(LOOKUP(2,1/((A_Corridor!$A$5:$A$204&lt;&gt;"")*(A_Corridor!$A$5:$A$204&lt;=$B748)*(A_Corridor!$B$5:$B$204&gt;$B748)*(A_Corridor!$E$5:$E$204&lt;&gt;"")),IF(A_Corridor!$E$5:$E$204="-","",A_Corridor!$E$5:$E$204)),"")</f>
        <v/>
      </c>
      <c r="H748" s="182" t="str">
        <f>IFERROR(LOOKUP(2,1/((D_Points!$A$5:$A$204&lt;&gt;"")*(D_Points!$A$5:$A$204&gt;=$B748)*(D_Points!$A$5:$A$204&lt;$B748+P_Interval)*(UPPER(TRIM(D_Points!$B$5:$B$204))="GULLY")*(D_Points!$H$5:$H$204&lt;&gt;"")),D_Points!$H$5:$H$204),"")</f>
        <v/>
      </c>
      <c r="I748" s="181" t="str">
        <f>IFERROR(LOOKUP(2,1/((A_Corridor!$A$5:$A$204&lt;&gt;"")*(A_Corridor!$A$5:$A$204&lt;=$B748)*(A_Corridor!$B$5:$B$204&gt;$B748)*(A_Corridor!$F$5:$F$204&lt;&gt;"")),IF(A_Corridor!$F$5:$F$204="-","",1)),"")</f>
        <v/>
      </c>
      <c r="J748" s="182" t="str">
        <f>IFERROR(LOOKUP(2,1/((A_Corridor!$A$5:$A$204&lt;&gt;"")*(A_Corridor!$A$5:$A$204&lt;=$B748)*(A_Corridor!$B$5:$B$204&gt;$B748)*(A_Corridor!$F$5:$F$204&lt;&gt;"")),IF(A_Corridor!$F$5:$F$204="-","",A_Corridor!$F$5:$F$204)),"")</f>
        <v/>
      </c>
      <c r="K748" s="182" t="str">
        <f>IFERROR(LOOKUP(2,1/((A_Corridor!$A$5:$A$204&lt;&gt;"")*(A_Corridor!$A$5:$A$204&lt;=$B748)*(A_Corridor!$B$5:$B$204&gt;$B748)*(A_Corridor!$G$5:$G$204&lt;&gt;"")),IF(A_Corridor!$G$5:$G$204="-","",A_Corridor!$G$5:$G$204)),"")</f>
        <v/>
      </c>
      <c r="L748" s="181" t="str">
        <f>IFERROR(LOOKUP(2,1/((A_Corridor!$A$5:$A$204&lt;&gt;"")*(A_Corridor!$A$5:$A$204&lt;=$B748)*(A_Corridor!$B$5:$B$204&gt;$B748)*(A_Corridor!$H$5:$H$204&lt;&gt;"")),IF(A_Corridor!$H$5:$H$204="-","",1)),"")</f>
        <v/>
      </c>
      <c r="M748" s="182" t="str">
        <f>IFERROR(LOOKUP(2,1/((A_Corridor!$A$5:$A$204&lt;&gt;"")*(A_Corridor!$A$5:$A$204&lt;=$B748)*(A_Corridor!$B$5:$B$204&gt;$B748)*(A_Corridor!$H$5:$H$204&lt;&gt;"")),IF(A_Corridor!$H$5:$H$204="-","",A_Corridor!$H$5:$H$204)),"")</f>
        <v/>
      </c>
      <c r="N748" s="182" t="str">
        <f>IFERROR(LOOKUP(2,1/((A_Corridor!$A$5:$A$204&lt;&gt;"")*(A_Corridor!$A$5:$A$204&lt;=$B748)*(A_Corridor!$B$5:$B$204&gt;$B748)*(A_Corridor!$I$5:$I$204&lt;&gt;"")),IF(A_Corridor!$I$5:$I$204="-","",A_Corridor!$I$5:$I$204)),"")</f>
        <v/>
      </c>
      <c r="O748" s="182" t="str">
        <f>IFERROR(LOOKUP(2,1/((D_Points!$A$5:$A$204&lt;&gt;"")*(D_Points!$A$5:$A$204&gt;=$B748)*(D_Points!$A$5:$A$204&lt;$B748+P_Interval)*(UPPER(TRIM(D_Points!$B$5:$B$204))="PITCHING")*(D_Points!$H$5:$H$204&lt;&gt;"")),D_Points!$H$5:$H$204),"")</f>
        <v/>
      </c>
      <c r="P748" s="181" t="str">
        <f>IFERROR(LOOKUP(2,1/((B_Drainage!$A$5:$A$204&lt;&gt;"")*(B_Drainage!$A$5:$A$204&lt;=$B748)*(B_Drainage!$B$5:$B$204&gt;$B748)*(B_Drainage!$C$5:$C$204&lt;&gt;"")),IF(B_Drainage!$C$5:$C$204="-","",UPPER(B_Drainage!$C$5:$C$204))),"")</f>
        <v/>
      </c>
      <c r="Q748" s="181" t="str">
        <f>IFERROR(LOOKUP(2,1/((B_Drainage!$A$5:$A$204&lt;&gt;"")*(B_Drainage!$A$5:$A$204&lt;=$B748)*(B_Drainage!$B$5:$B$204&gt;$B748)*(B_Drainage!$D$5:$D$204&lt;&gt;"")),IF(B_Drainage!$D$5:$D$204="-","",UPPER(B_Drainage!$D$5:$D$204))),"")</f>
        <v/>
      </c>
      <c r="R748" s="182" t="str">
        <f>IFERROR(LOOKUP(2,1/((D_Points!$A$5:$A$204&lt;&gt;"")*(D_Points!$A$5:$A$204&gt;=$B748)*(D_Points!$A$5:$A$204&lt;$B748+P_Interval)*(RIGHT(UPPER(TRIM(D_Points!$B$5:$B$204)),8)="_CULVERT")),IF(LEFT(UPPER(TRIM(D_Points!$B$5:$B$204)),2)="EX",1,IF(LEFT(UPPER(TRIM(D_Points!$B$5:$B$204)),2)="PR",2,3))),"")</f>
        <v/>
      </c>
      <c r="S748" s="182" t="str">
        <f>IFERROR(LOOKUP(2,1/((D_Points!$A$5:$A$204&lt;&gt;"")*(D_Points!$A$5:$A$204&gt;=$B748)*(D_Points!$A$5:$A$204&lt;$B748+P_Interval)*(RIGHT(UPPER(TRIM(D_Points!$B$5:$B$204)),7)="_BRIDGE")),IF(LEFT(UPPER(TRIM(D_Points!$B$5:$B$204)),2)="EX",1,IF(LEFT(UPPER(TRIM(D_Points!$B$5:$B$204)),2)="PR",2,2))),"")</f>
        <v/>
      </c>
      <c r="T748" s="181" t="str">
        <f>IFERROR(LOOKUP(2,1/((B_Drainage!$A$5:$A$204&lt;&gt;"")*(B_Drainage!$A$5:$A$204&lt;=$B748)*(B_Drainage!$B$5:$B$204&gt;$B748)*(B_Drainage!$E$5:$E$204&lt;&gt;"")),IF(B_Drainage!$E$5:$E$204="-","",1)),"")</f>
        <v/>
      </c>
      <c r="U748" s="181" t="str">
        <f>IFERROR(LOOKUP(2,1/((B_Drainage!$A$5:$A$204&lt;&gt;"")*(B_Drainage!$A$5:$A$204&lt;=$B748)*(B_Drainage!$B$5:$B$204&gt;$B748)*(B_Drainage!$E$5:$E$204&lt;&gt;"")),IF(B_Drainage!$E$5:$E$204="-","",B_Drainage!$E$5:$E$204)),"")</f>
        <v/>
      </c>
      <c r="V748" s="181" t="str">
        <f>IFERROR(LOOKUP(2,1/((B_Drainage!$A$5:$A$204&lt;&gt;"")*(B_Drainage!$A$5:$A$204&lt;=$B748)*(B_Drainage!$B$5:$B$204&gt;$B748)*(B_Drainage!$F$5:$F$204&lt;&gt;"")),IF(B_Drainage!$F$5:$F$204="-","",1)),"")</f>
        <v/>
      </c>
      <c r="W748" s="181" t="str">
        <f>IFERROR(LOOKUP(2,1/((B_Drainage!$A$5:$A$204&lt;&gt;"")*(B_Drainage!$A$5:$A$204&lt;=$B748)*(B_Drainage!$B$5:$B$204&gt;$B748)*(B_Drainage!$F$5:$F$204&lt;&gt;"")),IF(B_Drainage!$F$5:$F$204="-","",B_Drainage!$F$5:$F$204)),"")</f>
        <v/>
      </c>
      <c r="X748" s="181" t="str">
        <f>IFERROR(LOOKUP(2,1/((B_Drainage!$A$5:$A$204&lt;&gt;"")*(B_Drainage!$A$5:$A$204&lt;=$B748)*(B_Drainage!$B$5:$B$204&gt;$B748)*(B_Drainage!$G$5:$G$204&lt;&gt;"")),IF(UPPER(B_Drainage!$G$5:$G$204)="Y",1,"")),"")</f>
        <v/>
      </c>
      <c r="Y748" s="181" t="str">
        <f>IFERROR(LOOKUP(2,1/((B_Drainage!$A$5:$A$204&lt;&gt;"")*(B_Drainage!$A$5:$A$204&lt;=$B748)*(B_Drainage!$B$5:$B$204&gt;$B748)*(B_Drainage!$H$5:$H$204&lt;&gt;"")),IF(UPPER(B_Drainage!$H$5:$H$204)="Y",1,"")),"")</f>
        <v/>
      </c>
      <c r="Z748" s="181" t="str">
        <f>IFERROR(LOOKUP(2,1/((B_Drainage!$A$5:$A$204&lt;&gt;"")*(B_Drainage!$A$5:$A$204&lt;=$B748)*(B_Drainage!$B$5:$B$204&gt;$B748)*(B_Drainage!$I$5:$I$204&lt;&gt;"")),IF(UPPER(B_Drainage!$I$5:$I$204)="Y",1,"")),"")</f>
        <v/>
      </c>
      <c r="AA748" s="181" t="str">
        <f>IFERROR(LOOKUP(2,1/((B_Drainage!$A$5:$A$204&lt;&gt;"")*(B_Drainage!$A$5:$A$204&lt;=$B748)*(B_Drainage!$B$5:$B$204&gt;$B748)*(B_Drainage!$J$5:$J$204&lt;&gt;"")),IF(UPPER(B_Drainage!$J$5:$J$204)="Y",1,"")),"")</f>
        <v/>
      </c>
      <c r="AB748" s="182" t="str">
        <f>IFERROR(LOOKUP(2,1/((B_Drainage!$A$5:$A$204&lt;&gt;"")*(B_Drainage!$A$5:$A$204&lt;=$B748)*(B_Drainage!$B$5:$B$204&gt;$B748)*(B_Drainage!$K$5:$K$204&lt;&gt;"")),IF(B_Drainage!$K$5:$K$204="-","",B_Drainage!$K$5:$K$204)),"")</f>
        <v/>
      </c>
      <c r="AC748" s="182" t="str">
        <f>IFERROR(LOOKUP(2,1/((B_Drainage!$A$5:$A$204&lt;&gt;"")*(B_Drainage!$A$5:$A$204&lt;=$B748)*(B_Drainage!$B$5:$B$204&gt;$B748)*(B_Drainage!$L$5:$L$204&lt;&gt;"")),IF(B_Drainage!$L$5:$L$204="-","",B_Drainage!$L$5:$L$204)),"")</f>
        <v/>
      </c>
      <c r="AD748" s="182" t="str">
        <f>IFERROR(LOOKUP(2,1/((D_Points!$A$5:$A$204&lt;&gt;"")*(D_Points!$A$5:$A$204&gt;=$B748)*(D_Points!$A$5:$A$204&lt;$B748+P_Interval)*(UPPER(TRIM(D_Points!$B$5:$B$204))="TURNOUT_L")*(D_Points!$H$5:$H$204&lt;&gt;"")),D_Points!$H$5:$H$204),"")</f>
        <v/>
      </c>
      <c r="AE748" s="182" t="str">
        <f>IFERROR(LOOKUP(2,1/((D_Points!$A$5:$A$204&lt;&gt;"")*(D_Points!$A$5:$A$204&gt;=$B748)*(D_Points!$A$5:$A$204&lt;$B748+P_Interval)*(UPPER(TRIM(D_Points!$B$5:$B$204))="TURNOUT_R")*(D_Points!$H$5:$H$204&lt;&gt;"")),D_Points!$H$5:$H$204),"")</f>
        <v/>
      </c>
      <c r="AF748" s="181" t="str">
        <f>IFERROR(LOOKUP(2,1/((B_Drainage!$A$5:$A$204&lt;&gt;"")*(B_Drainage!$A$5:$A$204&lt;=$B748)*(B_Drainage!$B$5:$B$204&gt;$B748)*(B_Drainage!$M$5:$M$204&lt;&gt;"")),IF(UPPER(B_Drainage!$M$5:$M$204)="Y",1,"")),"")</f>
        <v/>
      </c>
      <c r="AG748" s="181" t="str">
        <f>IFERROR(LOOKUP(2,1/((B_Drainage!$A$5:$A$204&lt;&gt;"")*(B_Drainage!$A$5:$A$204&lt;=$B748)*(B_Drainage!$B$5:$B$204&gt;$B748)*(B_Drainage!$N$5:$N$204&lt;&gt;"")),IF(UPPER(B_Drainage!$N$5:$N$204)="Y",1,"")),"")</f>
        <v/>
      </c>
      <c r="AH748" s="181" t="str">
        <f t="shared" si="88"/>
        <v/>
      </c>
      <c r="AI748" s="181" t="str">
        <f t="shared" si="89"/>
        <v/>
      </c>
      <c r="AJ748" s="181" t="str">
        <f t="shared" si="90"/>
        <v/>
      </c>
      <c r="AK748" s="181" t="str">
        <f t="shared" si="91"/>
        <v/>
      </c>
      <c r="AL748" s="181" t="str">
        <f t="shared" si="92"/>
        <v/>
      </c>
      <c r="AM748" s="181" t="str">
        <f t="shared" si="93"/>
        <v/>
      </c>
      <c r="AN748" s="181" t="str">
        <f t="shared" si="94"/>
        <v/>
      </c>
      <c r="AO748" s="192" t="str">
        <f t="shared" si="95"/>
        <v/>
      </c>
      <c r="AQ748" t="str">
        <f>IFERROR(LOOKUP(2,1/((C_Pavement!$A$5:$A$204&lt;&gt;"")*(C_Pavement!$A$5:$A$204&lt;=$B748)*(C_Pavement!$B$5:$B$204&gt;$B748)*(C_Pavement!$C$5:$C$204&lt;&gt;"")),ROW(C_Pavement!$C$5:$C$204)-4),"")</f>
        <v/>
      </c>
      <c r="AR748" t="str">
        <f>IF($AQ748="","",UPPER(TRIM(INDEX(C_Pavement!$C$5:$C$204,$AQ748))))</f>
        <v/>
      </c>
      <c r="AS748" t="str">
        <f>IF($AR748="","",IFERROR(MATCH($AR748,E_Rules!$A$5:$A$9,0),""))</f>
        <v/>
      </c>
      <c r="AT748" t="str">
        <f>IF($AQ748="","",IF(INDEX(C_Pavement!$D$5:$D$204,$AQ748)&lt;&gt;"",UPPER(TRIM(INDEX(C_Pavement!$D$5:$D$204,$AQ748))),IF($AS748="","",INDEX(E_Rules!$C$5:$C$9,$AS748))))</f>
        <v/>
      </c>
      <c r="AU748" t="str">
        <f>IF($AQ748="","",IF(INDEX(C_Pavement!$E$5:$E$204,$AQ748)&lt;&gt;"",IF(INDEX(C_Pavement!$E$5:$E$204,$AQ748)="-","",INDEX(C_Pavement!$E$5:$E$204,$AQ748)),IF($AS748="","",INDEX(E_Rules!$D$5:$D$9,$AS748))))</f>
        <v/>
      </c>
      <c r="AV748" t="str">
        <f>IF($AQ748="","",IF(INDEX(C_Pavement!$F$5:$F$204,$AQ748)&lt;&gt;"",IF(INDEX(C_Pavement!$F$5:$F$204,$AQ748)="-","",INDEX(C_Pavement!$F$5:$F$204,$AQ748)),IF($AS748="","",INDEX(E_Rules!$E$5:$E$9,$AS748))))</f>
        <v/>
      </c>
      <c r="AW748" t="str">
        <f>IF($AQ748="","",IF(INDEX(C_Pavement!$G$5:$G$204,$AQ748)&lt;&gt;"",IF(INDEX(C_Pavement!$G$5:$G$204,$AQ748)="-","",INDEX(C_Pavement!$G$5:$G$204,$AQ748)),IF($AS748="","",INDEX(E_Rules!$F$5:$F$9,$AS748))))</f>
        <v/>
      </c>
      <c r="AX748" t="str">
        <f>IF($AQ748="","",IF(INDEX(C_Pavement!$H$5:$H$204,$AQ748)&lt;&gt;"",IF(INDEX(C_Pavement!$H$5:$H$204,$AQ748)="-","",INDEX(C_Pavement!$H$5:$H$204,$AQ748)),IF($AS748="","",INDEX(E_Rules!$G$5:$G$9,$AS748))))</f>
        <v/>
      </c>
      <c r="AY748" t="str">
        <f>IF($AQ748="","",IF(INDEX(C_Pavement!$I$5:$I$204,$AQ748)&lt;&gt;"",IF(INDEX(C_Pavement!$I$5:$I$204,$AQ748)="-","",INDEX(C_Pavement!$I$5:$I$204,$AQ748)),IF($AS748="","",INDEX(E_Rules!$H$5:$H$9,$AS748))))</f>
        <v/>
      </c>
    </row>
    <row r="749" spans="1:51" ht="15.75" customHeight="1" x14ac:dyDescent="0.3">
      <c r="A749" s="189">
        <v>744</v>
      </c>
      <c r="B749" s="180">
        <v>37150</v>
      </c>
      <c r="C749" s="180" t="s">
        <v>1055</v>
      </c>
      <c r="D749" s="181" t="str">
        <f>IFERROR(LOOKUP(2,1/((A_Corridor!$A$5:$A$204&lt;&gt;"")*(A_Corridor!$A$5:$A$204&lt;=$B749)*(A_Corridor!$B$5:$B$204&gt;$B749)*(A_Corridor!$C$5:$C$204&lt;&gt;"")),IF(UPPER(A_Corridor!$C$5:$C$204)="Y",1,"")),"")</f>
        <v/>
      </c>
      <c r="E749" s="181" t="str">
        <f>IFERROR(LOOKUP(2,1/((A_Corridor!$A$5:$A$204&lt;&gt;"")*(A_Corridor!$A$5:$A$204&lt;=$B749)*(A_Corridor!$B$5:$B$204&gt;$B749)*(A_Corridor!$D$5:$D$204&lt;&gt;"")),IF(A_Corridor!$D$5:$D$204="-","",UPPER(A_Corridor!$D$5:$D$204))),"")</f>
        <v/>
      </c>
      <c r="F749" s="181" t="str">
        <f>IFERROR(LOOKUP(2,1/((A_Corridor!$A$5:$A$204&lt;&gt;"")*(A_Corridor!$A$5:$A$204&lt;=$B749)*(A_Corridor!$B$5:$B$204&gt;$B749)*(A_Corridor!$E$5:$E$204&lt;&gt;"")),IF(A_Corridor!$E$5:$E$204="-","",1)),"")</f>
        <v/>
      </c>
      <c r="G749" s="182" t="str">
        <f>IFERROR(LOOKUP(2,1/((A_Corridor!$A$5:$A$204&lt;&gt;"")*(A_Corridor!$A$5:$A$204&lt;=$B749)*(A_Corridor!$B$5:$B$204&gt;$B749)*(A_Corridor!$E$5:$E$204&lt;&gt;"")),IF(A_Corridor!$E$5:$E$204="-","",A_Corridor!$E$5:$E$204)),"")</f>
        <v/>
      </c>
      <c r="H749" s="182" t="str">
        <f>IFERROR(LOOKUP(2,1/((D_Points!$A$5:$A$204&lt;&gt;"")*(D_Points!$A$5:$A$204&gt;=$B749)*(D_Points!$A$5:$A$204&lt;$B749+P_Interval)*(UPPER(TRIM(D_Points!$B$5:$B$204))="GULLY")*(D_Points!$H$5:$H$204&lt;&gt;"")),D_Points!$H$5:$H$204),"")</f>
        <v/>
      </c>
      <c r="I749" s="181" t="str">
        <f>IFERROR(LOOKUP(2,1/((A_Corridor!$A$5:$A$204&lt;&gt;"")*(A_Corridor!$A$5:$A$204&lt;=$B749)*(A_Corridor!$B$5:$B$204&gt;$B749)*(A_Corridor!$F$5:$F$204&lt;&gt;"")),IF(A_Corridor!$F$5:$F$204="-","",1)),"")</f>
        <v/>
      </c>
      <c r="J749" s="182" t="str">
        <f>IFERROR(LOOKUP(2,1/((A_Corridor!$A$5:$A$204&lt;&gt;"")*(A_Corridor!$A$5:$A$204&lt;=$B749)*(A_Corridor!$B$5:$B$204&gt;$B749)*(A_Corridor!$F$5:$F$204&lt;&gt;"")),IF(A_Corridor!$F$5:$F$204="-","",A_Corridor!$F$5:$F$204)),"")</f>
        <v/>
      </c>
      <c r="K749" s="182" t="str">
        <f>IFERROR(LOOKUP(2,1/((A_Corridor!$A$5:$A$204&lt;&gt;"")*(A_Corridor!$A$5:$A$204&lt;=$B749)*(A_Corridor!$B$5:$B$204&gt;$B749)*(A_Corridor!$G$5:$G$204&lt;&gt;"")),IF(A_Corridor!$G$5:$G$204="-","",A_Corridor!$G$5:$G$204)),"")</f>
        <v/>
      </c>
      <c r="L749" s="181" t="str">
        <f>IFERROR(LOOKUP(2,1/((A_Corridor!$A$5:$A$204&lt;&gt;"")*(A_Corridor!$A$5:$A$204&lt;=$B749)*(A_Corridor!$B$5:$B$204&gt;$B749)*(A_Corridor!$H$5:$H$204&lt;&gt;"")),IF(A_Corridor!$H$5:$H$204="-","",1)),"")</f>
        <v/>
      </c>
      <c r="M749" s="182" t="str">
        <f>IFERROR(LOOKUP(2,1/((A_Corridor!$A$5:$A$204&lt;&gt;"")*(A_Corridor!$A$5:$A$204&lt;=$B749)*(A_Corridor!$B$5:$B$204&gt;$B749)*(A_Corridor!$H$5:$H$204&lt;&gt;"")),IF(A_Corridor!$H$5:$H$204="-","",A_Corridor!$H$5:$H$204)),"")</f>
        <v/>
      </c>
      <c r="N749" s="182" t="str">
        <f>IFERROR(LOOKUP(2,1/((A_Corridor!$A$5:$A$204&lt;&gt;"")*(A_Corridor!$A$5:$A$204&lt;=$B749)*(A_Corridor!$B$5:$B$204&gt;$B749)*(A_Corridor!$I$5:$I$204&lt;&gt;"")),IF(A_Corridor!$I$5:$I$204="-","",A_Corridor!$I$5:$I$204)),"")</f>
        <v/>
      </c>
      <c r="O749" s="182" t="str">
        <f>IFERROR(LOOKUP(2,1/((D_Points!$A$5:$A$204&lt;&gt;"")*(D_Points!$A$5:$A$204&gt;=$B749)*(D_Points!$A$5:$A$204&lt;$B749+P_Interval)*(UPPER(TRIM(D_Points!$B$5:$B$204))="PITCHING")*(D_Points!$H$5:$H$204&lt;&gt;"")),D_Points!$H$5:$H$204),"")</f>
        <v/>
      </c>
      <c r="P749" s="181" t="str">
        <f>IFERROR(LOOKUP(2,1/((B_Drainage!$A$5:$A$204&lt;&gt;"")*(B_Drainage!$A$5:$A$204&lt;=$B749)*(B_Drainage!$B$5:$B$204&gt;$B749)*(B_Drainage!$C$5:$C$204&lt;&gt;"")),IF(B_Drainage!$C$5:$C$204="-","",UPPER(B_Drainage!$C$5:$C$204))),"")</f>
        <v/>
      </c>
      <c r="Q749" s="181" t="str">
        <f>IFERROR(LOOKUP(2,1/((B_Drainage!$A$5:$A$204&lt;&gt;"")*(B_Drainage!$A$5:$A$204&lt;=$B749)*(B_Drainage!$B$5:$B$204&gt;$B749)*(B_Drainage!$D$5:$D$204&lt;&gt;"")),IF(B_Drainage!$D$5:$D$204="-","",UPPER(B_Drainage!$D$5:$D$204))),"")</f>
        <v/>
      </c>
      <c r="R749" s="182" t="str">
        <f>IFERROR(LOOKUP(2,1/((D_Points!$A$5:$A$204&lt;&gt;"")*(D_Points!$A$5:$A$204&gt;=$B749)*(D_Points!$A$5:$A$204&lt;$B749+P_Interval)*(RIGHT(UPPER(TRIM(D_Points!$B$5:$B$204)),8)="_CULVERT")),IF(LEFT(UPPER(TRIM(D_Points!$B$5:$B$204)),2)="EX",1,IF(LEFT(UPPER(TRIM(D_Points!$B$5:$B$204)),2)="PR",2,3))),"")</f>
        <v/>
      </c>
      <c r="S749" s="182" t="str">
        <f>IFERROR(LOOKUP(2,1/((D_Points!$A$5:$A$204&lt;&gt;"")*(D_Points!$A$5:$A$204&gt;=$B749)*(D_Points!$A$5:$A$204&lt;$B749+P_Interval)*(RIGHT(UPPER(TRIM(D_Points!$B$5:$B$204)),7)="_BRIDGE")),IF(LEFT(UPPER(TRIM(D_Points!$B$5:$B$204)),2)="EX",1,IF(LEFT(UPPER(TRIM(D_Points!$B$5:$B$204)),2)="PR",2,2))),"")</f>
        <v/>
      </c>
      <c r="T749" s="181" t="str">
        <f>IFERROR(LOOKUP(2,1/((B_Drainage!$A$5:$A$204&lt;&gt;"")*(B_Drainage!$A$5:$A$204&lt;=$B749)*(B_Drainage!$B$5:$B$204&gt;$B749)*(B_Drainage!$E$5:$E$204&lt;&gt;"")),IF(B_Drainage!$E$5:$E$204="-","",1)),"")</f>
        <v/>
      </c>
      <c r="U749" s="181" t="str">
        <f>IFERROR(LOOKUP(2,1/((B_Drainage!$A$5:$A$204&lt;&gt;"")*(B_Drainage!$A$5:$A$204&lt;=$B749)*(B_Drainage!$B$5:$B$204&gt;$B749)*(B_Drainage!$E$5:$E$204&lt;&gt;"")),IF(B_Drainage!$E$5:$E$204="-","",B_Drainage!$E$5:$E$204)),"")</f>
        <v/>
      </c>
      <c r="V749" s="181" t="str">
        <f>IFERROR(LOOKUP(2,1/((B_Drainage!$A$5:$A$204&lt;&gt;"")*(B_Drainage!$A$5:$A$204&lt;=$B749)*(B_Drainage!$B$5:$B$204&gt;$B749)*(B_Drainage!$F$5:$F$204&lt;&gt;"")),IF(B_Drainage!$F$5:$F$204="-","",1)),"")</f>
        <v/>
      </c>
      <c r="W749" s="181" t="str">
        <f>IFERROR(LOOKUP(2,1/((B_Drainage!$A$5:$A$204&lt;&gt;"")*(B_Drainage!$A$5:$A$204&lt;=$B749)*(B_Drainage!$B$5:$B$204&gt;$B749)*(B_Drainage!$F$5:$F$204&lt;&gt;"")),IF(B_Drainage!$F$5:$F$204="-","",B_Drainage!$F$5:$F$204)),"")</f>
        <v/>
      </c>
      <c r="X749" s="181" t="str">
        <f>IFERROR(LOOKUP(2,1/((B_Drainage!$A$5:$A$204&lt;&gt;"")*(B_Drainage!$A$5:$A$204&lt;=$B749)*(B_Drainage!$B$5:$B$204&gt;$B749)*(B_Drainage!$G$5:$G$204&lt;&gt;"")),IF(UPPER(B_Drainage!$G$5:$G$204)="Y",1,"")),"")</f>
        <v/>
      </c>
      <c r="Y749" s="181" t="str">
        <f>IFERROR(LOOKUP(2,1/((B_Drainage!$A$5:$A$204&lt;&gt;"")*(B_Drainage!$A$5:$A$204&lt;=$B749)*(B_Drainage!$B$5:$B$204&gt;$B749)*(B_Drainage!$H$5:$H$204&lt;&gt;"")),IF(UPPER(B_Drainage!$H$5:$H$204)="Y",1,"")),"")</f>
        <v/>
      </c>
      <c r="Z749" s="181" t="str">
        <f>IFERROR(LOOKUP(2,1/((B_Drainage!$A$5:$A$204&lt;&gt;"")*(B_Drainage!$A$5:$A$204&lt;=$B749)*(B_Drainage!$B$5:$B$204&gt;$B749)*(B_Drainage!$I$5:$I$204&lt;&gt;"")),IF(UPPER(B_Drainage!$I$5:$I$204)="Y",1,"")),"")</f>
        <v/>
      </c>
      <c r="AA749" s="181" t="str">
        <f>IFERROR(LOOKUP(2,1/((B_Drainage!$A$5:$A$204&lt;&gt;"")*(B_Drainage!$A$5:$A$204&lt;=$B749)*(B_Drainage!$B$5:$B$204&gt;$B749)*(B_Drainage!$J$5:$J$204&lt;&gt;"")),IF(UPPER(B_Drainage!$J$5:$J$204)="Y",1,"")),"")</f>
        <v/>
      </c>
      <c r="AB749" s="182" t="str">
        <f>IFERROR(LOOKUP(2,1/((B_Drainage!$A$5:$A$204&lt;&gt;"")*(B_Drainage!$A$5:$A$204&lt;=$B749)*(B_Drainage!$B$5:$B$204&gt;$B749)*(B_Drainage!$K$5:$K$204&lt;&gt;"")),IF(B_Drainage!$K$5:$K$204="-","",B_Drainage!$K$5:$K$204)),"")</f>
        <v/>
      </c>
      <c r="AC749" s="182" t="str">
        <f>IFERROR(LOOKUP(2,1/((B_Drainage!$A$5:$A$204&lt;&gt;"")*(B_Drainage!$A$5:$A$204&lt;=$B749)*(B_Drainage!$B$5:$B$204&gt;$B749)*(B_Drainage!$L$5:$L$204&lt;&gt;"")),IF(B_Drainage!$L$5:$L$204="-","",B_Drainage!$L$5:$L$204)),"")</f>
        <v/>
      </c>
      <c r="AD749" s="182" t="str">
        <f>IFERROR(LOOKUP(2,1/((D_Points!$A$5:$A$204&lt;&gt;"")*(D_Points!$A$5:$A$204&gt;=$B749)*(D_Points!$A$5:$A$204&lt;$B749+P_Interval)*(UPPER(TRIM(D_Points!$B$5:$B$204))="TURNOUT_L")*(D_Points!$H$5:$H$204&lt;&gt;"")),D_Points!$H$5:$H$204),"")</f>
        <v/>
      </c>
      <c r="AE749" s="182" t="str">
        <f>IFERROR(LOOKUP(2,1/((D_Points!$A$5:$A$204&lt;&gt;"")*(D_Points!$A$5:$A$204&gt;=$B749)*(D_Points!$A$5:$A$204&lt;$B749+P_Interval)*(UPPER(TRIM(D_Points!$B$5:$B$204))="TURNOUT_R")*(D_Points!$H$5:$H$204&lt;&gt;"")),D_Points!$H$5:$H$204),"")</f>
        <v/>
      </c>
      <c r="AF749" s="181" t="str">
        <f>IFERROR(LOOKUP(2,1/((B_Drainage!$A$5:$A$204&lt;&gt;"")*(B_Drainage!$A$5:$A$204&lt;=$B749)*(B_Drainage!$B$5:$B$204&gt;$B749)*(B_Drainage!$M$5:$M$204&lt;&gt;"")),IF(UPPER(B_Drainage!$M$5:$M$204)="Y",1,"")),"")</f>
        <v/>
      </c>
      <c r="AG749" s="181" t="str">
        <f>IFERROR(LOOKUP(2,1/((B_Drainage!$A$5:$A$204&lt;&gt;"")*(B_Drainage!$A$5:$A$204&lt;=$B749)*(B_Drainage!$B$5:$B$204&gt;$B749)*(B_Drainage!$N$5:$N$204&lt;&gt;"")),IF(UPPER(B_Drainage!$N$5:$N$204)="Y",1,"")),"")</f>
        <v/>
      </c>
      <c r="AH749" s="181" t="str">
        <f t="shared" si="88"/>
        <v/>
      </c>
      <c r="AI749" s="181" t="str">
        <f t="shared" si="89"/>
        <v/>
      </c>
      <c r="AJ749" s="181" t="str">
        <f t="shared" si="90"/>
        <v/>
      </c>
      <c r="AK749" s="181" t="str">
        <f t="shared" si="91"/>
        <v/>
      </c>
      <c r="AL749" s="181" t="str">
        <f t="shared" si="92"/>
        <v/>
      </c>
      <c r="AM749" s="181" t="str">
        <f t="shared" si="93"/>
        <v/>
      </c>
      <c r="AN749" s="181" t="str">
        <f t="shared" si="94"/>
        <v/>
      </c>
      <c r="AO749" s="192" t="str">
        <f t="shared" si="95"/>
        <v/>
      </c>
      <c r="AQ749" t="str">
        <f>IFERROR(LOOKUP(2,1/((C_Pavement!$A$5:$A$204&lt;&gt;"")*(C_Pavement!$A$5:$A$204&lt;=$B749)*(C_Pavement!$B$5:$B$204&gt;$B749)*(C_Pavement!$C$5:$C$204&lt;&gt;"")),ROW(C_Pavement!$C$5:$C$204)-4),"")</f>
        <v/>
      </c>
      <c r="AR749" t="str">
        <f>IF($AQ749="","",UPPER(TRIM(INDEX(C_Pavement!$C$5:$C$204,$AQ749))))</f>
        <v/>
      </c>
      <c r="AS749" t="str">
        <f>IF($AR749="","",IFERROR(MATCH($AR749,E_Rules!$A$5:$A$9,0),""))</f>
        <v/>
      </c>
      <c r="AT749" t="str">
        <f>IF($AQ749="","",IF(INDEX(C_Pavement!$D$5:$D$204,$AQ749)&lt;&gt;"",UPPER(TRIM(INDEX(C_Pavement!$D$5:$D$204,$AQ749))),IF($AS749="","",INDEX(E_Rules!$C$5:$C$9,$AS749))))</f>
        <v/>
      </c>
      <c r="AU749" t="str">
        <f>IF($AQ749="","",IF(INDEX(C_Pavement!$E$5:$E$204,$AQ749)&lt;&gt;"",IF(INDEX(C_Pavement!$E$5:$E$204,$AQ749)="-","",INDEX(C_Pavement!$E$5:$E$204,$AQ749)),IF($AS749="","",INDEX(E_Rules!$D$5:$D$9,$AS749))))</f>
        <v/>
      </c>
      <c r="AV749" t="str">
        <f>IF($AQ749="","",IF(INDEX(C_Pavement!$F$5:$F$204,$AQ749)&lt;&gt;"",IF(INDEX(C_Pavement!$F$5:$F$204,$AQ749)="-","",INDEX(C_Pavement!$F$5:$F$204,$AQ749)),IF($AS749="","",INDEX(E_Rules!$E$5:$E$9,$AS749))))</f>
        <v/>
      </c>
      <c r="AW749" t="str">
        <f>IF($AQ749="","",IF(INDEX(C_Pavement!$G$5:$G$204,$AQ749)&lt;&gt;"",IF(INDEX(C_Pavement!$G$5:$G$204,$AQ749)="-","",INDEX(C_Pavement!$G$5:$G$204,$AQ749)),IF($AS749="","",INDEX(E_Rules!$F$5:$F$9,$AS749))))</f>
        <v/>
      </c>
      <c r="AX749" t="str">
        <f>IF($AQ749="","",IF(INDEX(C_Pavement!$H$5:$H$204,$AQ749)&lt;&gt;"",IF(INDEX(C_Pavement!$H$5:$H$204,$AQ749)="-","",INDEX(C_Pavement!$H$5:$H$204,$AQ749)),IF($AS749="","",INDEX(E_Rules!$G$5:$G$9,$AS749))))</f>
        <v/>
      </c>
      <c r="AY749" t="str">
        <f>IF($AQ749="","",IF(INDEX(C_Pavement!$I$5:$I$204,$AQ749)&lt;&gt;"",IF(INDEX(C_Pavement!$I$5:$I$204,$AQ749)="-","",INDEX(C_Pavement!$I$5:$I$204,$AQ749)),IF($AS749="","",INDEX(E_Rules!$H$5:$H$9,$AS749))))</f>
        <v/>
      </c>
    </row>
    <row r="750" spans="1:51" ht="15.75" customHeight="1" x14ac:dyDescent="0.3">
      <c r="A750" s="189">
        <v>745</v>
      </c>
      <c r="B750" s="180">
        <v>37200</v>
      </c>
      <c r="C750" s="180" t="s">
        <v>1056</v>
      </c>
      <c r="D750" s="181" t="str">
        <f>IFERROR(LOOKUP(2,1/((A_Corridor!$A$5:$A$204&lt;&gt;"")*(A_Corridor!$A$5:$A$204&lt;=$B750)*(A_Corridor!$B$5:$B$204&gt;$B750)*(A_Corridor!$C$5:$C$204&lt;&gt;"")),IF(UPPER(A_Corridor!$C$5:$C$204)="Y",1,"")),"")</f>
        <v/>
      </c>
      <c r="E750" s="181" t="str">
        <f>IFERROR(LOOKUP(2,1/((A_Corridor!$A$5:$A$204&lt;&gt;"")*(A_Corridor!$A$5:$A$204&lt;=$B750)*(A_Corridor!$B$5:$B$204&gt;$B750)*(A_Corridor!$D$5:$D$204&lt;&gt;"")),IF(A_Corridor!$D$5:$D$204="-","",UPPER(A_Corridor!$D$5:$D$204))),"")</f>
        <v/>
      </c>
      <c r="F750" s="181" t="str">
        <f>IFERROR(LOOKUP(2,1/((A_Corridor!$A$5:$A$204&lt;&gt;"")*(A_Corridor!$A$5:$A$204&lt;=$B750)*(A_Corridor!$B$5:$B$204&gt;$B750)*(A_Corridor!$E$5:$E$204&lt;&gt;"")),IF(A_Corridor!$E$5:$E$204="-","",1)),"")</f>
        <v/>
      </c>
      <c r="G750" s="182" t="str">
        <f>IFERROR(LOOKUP(2,1/((A_Corridor!$A$5:$A$204&lt;&gt;"")*(A_Corridor!$A$5:$A$204&lt;=$B750)*(A_Corridor!$B$5:$B$204&gt;$B750)*(A_Corridor!$E$5:$E$204&lt;&gt;"")),IF(A_Corridor!$E$5:$E$204="-","",A_Corridor!$E$5:$E$204)),"")</f>
        <v/>
      </c>
      <c r="H750" s="182" t="str">
        <f>IFERROR(LOOKUP(2,1/((D_Points!$A$5:$A$204&lt;&gt;"")*(D_Points!$A$5:$A$204&gt;=$B750)*(D_Points!$A$5:$A$204&lt;$B750+P_Interval)*(UPPER(TRIM(D_Points!$B$5:$B$204))="GULLY")*(D_Points!$H$5:$H$204&lt;&gt;"")),D_Points!$H$5:$H$204),"")</f>
        <v/>
      </c>
      <c r="I750" s="181" t="str">
        <f>IFERROR(LOOKUP(2,1/((A_Corridor!$A$5:$A$204&lt;&gt;"")*(A_Corridor!$A$5:$A$204&lt;=$B750)*(A_Corridor!$B$5:$B$204&gt;$B750)*(A_Corridor!$F$5:$F$204&lt;&gt;"")),IF(A_Corridor!$F$5:$F$204="-","",1)),"")</f>
        <v/>
      </c>
      <c r="J750" s="182" t="str">
        <f>IFERROR(LOOKUP(2,1/((A_Corridor!$A$5:$A$204&lt;&gt;"")*(A_Corridor!$A$5:$A$204&lt;=$B750)*(A_Corridor!$B$5:$B$204&gt;$B750)*(A_Corridor!$F$5:$F$204&lt;&gt;"")),IF(A_Corridor!$F$5:$F$204="-","",A_Corridor!$F$5:$F$204)),"")</f>
        <v/>
      </c>
      <c r="K750" s="182" t="str">
        <f>IFERROR(LOOKUP(2,1/((A_Corridor!$A$5:$A$204&lt;&gt;"")*(A_Corridor!$A$5:$A$204&lt;=$B750)*(A_Corridor!$B$5:$B$204&gt;$B750)*(A_Corridor!$G$5:$G$204&lt;&gt;"")),IF(A_Corridor!$G$5:$G$204="-","",A_Corridor!$G$5:$G$204)),"")</f>
        <v/>
      </c>
      <c r="L750" s="181" t="str">
        <f>IFERROR(LOOKUP(2,1/((A_Corridor!$A$5:$A$204&lt;&gt;"")*(A_Corridor!$A$5:$A$204&lt;=$B750)*(A_Corridor!$B$5:$B$204&gt;$B750)*(A_Corridor!$H$5:$H$204&lt;&gt;"")),IF(A_Corridor!$H$5:$H$204="-","",1)),"")</f>
        <v/>
      </c>
      <c r="M750" s="182" t="str">
        <f>IFERROR(LOOKUP(2,1/((A_Corridor!$A$5:$A$204&lt;&gt;"")*(A_Corridor!$A$5:$A$204&lt;=$B750)*(A_Corridor!$B$5:$B$204&gt;$B750)*(A_Corridor!$H$5:$H$204&lt;&gt;"")),IF(A_Corridor!$H$5:$H$204="-","",A_Corridor!$H$5:$H$204)),"")</f>
        <v/>
      </c>
      <c r="N750" s="182" t="str">
        <f>IFERROR(LOOKUP(2,1/((A_Corridor!$A$5:$A$204&lt;&gt;"")*(A_Corridor!$A$5:$A$204&lt;=$B750)*(A_Corridor!$B$5:$B$204&gt;$B750)*(A_Corridor!$I$5:$I$204&lt;&gt;"")),IF(A_Corridor!$I$5:$I$204="-","",A_Corridor!$I$5:$I$204)),"")</f>
        <v/>
      </c>
      <c r="O750" s="182" t="str">
        <f>IFERROR(LOOKUP(2,1/((D_Points!$A$5:$A$204&lt;&gt;"")*(D_Points!$A$5:$A$204&gt;=$B750)*(D_Points!$A$5:$A$204&lt;$B750+P_Interval)*(UPPER(TRIM(D_Points!$B$5:$B$204))="PITCHING")*(D_Points!$H$5:$H$204&lt;&gt;"")),D_Points!$H$5:$H$204),"")</f>
        <v/>
      </c>
      <c r="P750" s="181" t="str">
        <f>IFERROR(LOOKUP(2,1/((B_Drainage!$A$5:$A$204&lt;&gt;"")*(B_Drainage!$A$5:$A$204&lt;=$B750)*(B_Drainage!$B$5:$B$204&gt;$B750)*(B_Drainage!$C$5:$C$204&lt;&gt;"")),IF(B_Drainage!$C$5:$C$204="-","",UPPER(B_Drainage!$C$5:$C$204))),"")</f>
        <v/>
      </c>
      <c r="Q750" s="181" t="str">
        <f>IFERROR(LOOKUP(2,1/((B_Drainage!$A$5:$A$204&lt;&gt;"")*(B_Drainage!$A$5:$A$204&lt;=$B750)*(B_Drainage!$B$5:$B$204&gt;$B750)*(B_Drainage!$D$5:$D$204&lt;&gt;"")),IF(B_Drainage!$D$5:$D$204="-","",UPPER(B_Drainage!$D$5:$D$204))),"")</f>
        <v/>
      </c>
      <c r="R750" s="182" t="str">
        <f>IFERROR(LOOKUP(2,1/((D_Points!$A$5:$A$204&lt;&gt;"")*(D_Points!$A$5:$A$204&gt;=$B750)*(D_Points!$A$5:$A$204&lt;$B750+P_Interval)*(RIGHT(UPPER(TRIM(D_Points!$B$5:$B$204)),8)="_CULVERT")),IF(LEFT(UPPER(TRIM(D_Points!$B$5:$B$204)),2)="EX",1,IF(LEFT(UPPER(TRIM(D_Points!$B$5:$B$204)),2)="PR",2,3))),"")</f>
        <v/>
      </c>
      <c r="S750" s="182" t="str">
        <f>IFERROR(LOOKUP(2,1/((D_Points!$A$5:$A$204&lt;&gt;"")*(D_Points!$A$5:$A$204&gt;=$B750)*(D_Points!$A$5:$A$204&lt;$B750+P_Interval)*(RIGHT(UPPER(TRIM(D_Points!$B$5:$B$204)),7)="_BRIDGE")),IF(LEFT(UPPER(TRIM(D_Points!$B$5:$B$204)),2)="EX",1,IF(LEFT(UPPER(TRIM(D_Points!$B$5:$B$204)),2)="PR",2,2))),"")</f>
        <v/>
      </c>
      <c r="T750" s="181" t="str">
        <f>IFERROR(LOOKUP(2,1/((B_Drainage!$A$5:$A$204&lt;&gt;"")*(B_Drainage!$A$5:$A$204&lt;=$B750)*(B_Drainage!$B$5:$B$204&gt;$B750)*(B_Drainage!$E$5:$E$204&lt;&gt;"")),IF(B_Drainage!$E$5:$E$204="-","",1)),"")</f>
        <v/>
      </c>
      <c r="U750" s="181" t="str">
        <f>IFERROR(LOOKUP(2,1/((B_Drainage!$A$5:$A$204&lt;&gt;"")*(B_Drainage!$A$5:$A$204&lt;=$B750)*(B_Drainage!$B$5:$B$204&gt;$B750)*(B_Drainage!$E$5:$E$204&lt;&gt;"")),IF(B_Drainage!$E$5:$E$204="-","",B_Drainage!$E$5:$E$204)),"")</f>
        <v/>
      </c>
      <c r="V750" s="181" t="str">
        <f>IFERROR(LOOKUP(2,1/((B_Drainage!$A$5:$A$204&lt;&gt;"")*(B_Drainage!$A$5:$A$204&lt;=$B750)*(B_Drainage!$B$5:$B$204&gt;$B750)*(B_Drainage!$F$5:$F$204&lt;&gt;"")),IF(B_Drainage!$F$5:$F$204="-","",1)),"")</f>
        <v/>
      </c>
      <c r="W750" s="181" t="str">
        <f>IFERROR(LOOKUP(2,1/((B_Drainage!$A$5:$A$204&lt;&gt;"")*(B_Drainage!$A$5:$A$204&lt;=$B750)*(B_Drainage!$B$5:$B$204&gt;$B750)*(B_Drainage!$F$5:$F$204&lt;&gt;"")),IF(B_Drainage!$F$5:$F$204="-","",B_Drainage!$F$5:$F$204)),"")</f>
        <v/>
      </c>
      <c r="X750" s="181" t="str">
        <f>IFERROR(LOOKUP(2,1/((B_Drainage!$A$5:$A$204&lt;&gt;"")*(B_Drainage!$A$5:$A$204&lt;=$B750)*(B_Drainage!$B$5:$B$204&gt;$B750)*(B_Drainage!$G$5:$G$204&lt;&gt;"")),IF(UPPER(B_Drainage!$G$5:$G$204)="Y",1,"")),"")</f>
        <v/>
      </c>
      <c r="Y750" s="181" t="str">
        <f>IFERROR(LOOKUP(2,1/((B_Drainage!$A$5:$A$204&lt;&gt;"")*(B_Drainage!$A$5:$A$204&lt;=$B750)*(B_Drainage!$B$5:$B$204&gt;$B750)*(B_Drainage!$H$5:$H$204&lt;&gt;"")),IF(UPPER(B_Drainage!$H$5:$H$204)="Y",1,"")),"")</f>
        <v/>
      </c>
      <c r="Z750" s="181" t="str">
        <f>IFERROR(LOOKUP(2,1/((B_Drainage!$A$5:$A$204&lt;&gt;"")*(B_Drainage!$A$5:$A$204&lt;=$B750)*(B_Drainage!$B$5:$B$204&gt;$B750)*(B_Drainage!$I$5:$I$204&lt;&gt;"")),IF(UPPER(B_Drainage!$I$5:$I$204)="Y",1,"")),"")</f>
        <v/>
      </c>
      <c r="AA750" s="181" t="str">
        <f>IFERROR(LOOKUP(2,1/((B_Drainage!$A$5:$A$204&lt;&gt;"")*(B_Drainage!$A$5:$A$204&lt;=$B750)*(B_Drainage!$B$5:$B$204&gt;$B750)*(B_Drainage!$J$5:$J$204&lt;&gt;"")),IF(UPPER(B_Drainage!$J$5:$J$204)="Y",1,"")),"")</f>
        <v/>
      </c>
      <c r="AB750" s="182" t="str">
        <f>IFERROR(LOOKUP(2,1/((B_Drainage!$A$5:$A$204&lt;&gt;"")*(B_Drainage!$A$5:$A$204&lt;=$B750)*(B_Drainage!$B$5:$B$204&gt;$B750)*(B_Drainage!$K$5:$K$204&lt;&gt;"")),IF(B_Drainage!$K$5:$K$204="-","",B_Drainage!$K$5:$K$204)),"")</f>
        <v/>
      </c>
      <c r="AC750" s="182" t="str">
        <f>IFERROR(LOOKUP(2,1/((B_Drainage!$A$5:$A$204&lt;&gt;"")*(B_Drainage!$A$5:$A$204&lt;=$B750)*(B_Drainage!$B$5:$B$204&gt;$B750)*(B_Drainage!$L$5:$L$204&lt;&gt;"")),IF(B_Drainage!$L$5:$L$204="-","",B_Drainage!$L$5:$L$204)),"")</f>
        <v/>
      </c>
      <c r="AD750" s="182" t="str">
        <f>IFERROR(LOOKUP(2,1/((D_Points!$A$5:$A$204&lt;&gt;"")*(D_Points!$A$5:$A$204&gt;=$B750)*(D_Points!$A$5:$A$204&lt;$B750+P_Interval)*(UPPER(TRIM(D_Points!$B$5:$B$204))="TURNOUT_L")*(D_Points!$H$5:$H$204&lt;&gt;"")),D_Points!$H$5:$H$204),"")</f>
        <v/>
      </c>
      <c r="AE750" s="182" t="str">
        <f>IFERROR(LOOKUP(2,1/((D_Points!$A$5:$A$204&lt;&gt;"")*(D_Points!$A$5:$A$204&gt;=$B750)*(D_Points!$A$5:$A$204&lt;$B750+P_Interval)*(UPPER(TRIM(D_Points!$B$5:$B$204))="TURNOUT_R")*(D_Points!$H$5:$H$204&lt;&gt;"")),D_Points!$H$5:$H$204),"")</f>
        <v/>
      </c>
      <c r="AF750" s="181" t="str">
        <f>IFERROR(LOOKUP(2,1/((B_Drainage!$A$5:$A$204&lt;&gt;"")*(B_Drainage!$A$5:$A$204&lt;=$B750)*(B_Drainage!$B$5:$B$204&gt;$B750)*(B_Drainage!$M$5:$M$204&lt;&gt;"")),IF(UPPER(B_Drainage!$M$5:$M$204)="Y",1,"")),"")</f>
        <v/>
      </c>
      <c r="AG750" s="181" t="str">
        <f>IFERROR(LOOKUP(2,1/((B_Drainage!$A$5:$A$204&lt;&gt;"")*(B_Drainage!$A$5:$A$204&lt;=$B750)*(B_Drainage!$B$5:$B$204&gt;$B750)*(B_Drainage!$N$5:$N$204&lt;&gt;"")),IF(UPPER(B_Drainage!$N$5:$N$204)="Y",1,"")),"")</f>
        <v/>
      </c>
      <c r="AH750" s="181" t="str">
        <f t="shared" si="88"/>
        <v/>
      </c>
      <c r="AI750" s="181" t="str">
        <f t="shared" si="89"/>
        <v/>
      </c>
      <c r="AJ750" s="181" t="str">
        <f t="shared" si="90"/>
        <v/>
      </c>
      <c r="AK750" s="181" t="str">
        <f t="shared" si="91"/>
        <v/>
      </c>
      <c r="AL750" s="181" t="str">
        <f t="shared" si="92"/>
        <v/>
      </c>
      <c r="AM750" s="181" t="str">
        <f t="shared" si="93"/>
        <v/>
      </c>
      <c r="AN750" s="181" t="str">
        <f t="shared" si="94"/>
        <v/>
      </c>
      <c r="AO750" s="192" t="str">
        <f t="shared" si="95"/>
        <v/>
      </c>
      <c r="AQ750" t="str">
        <f>IFERROR(LOOKUP(2,1/((C_Pavement!$A$5:$A$204&lt;&gt;"")*(C_Pavement!$A$5:$A$204&lt;=$B750)*(C_Pavement!$B$5:$B$204&gt;$B750)*(C_Pavement!$C$5:$C$204&lt;&gt;"")),ROW(C_Pavement!$C$5:$C$204)-4),"")</f>
        <v/>
      </c>
      <c r="AR750" t="str">
        <f>IF($AQ750="","",UPPER(TRIM(INDEX(C_Pavement!$C$5:$C$204,$AQ750))))</f>
        <v/>
      </c>
      <c r="AS750" t="str">
        <f>IF($AR750="","",IFERROR(MATCH($AR750,E_Rules!$A$5:$A$9,0),""))</f>
        <v/>
      </c>
      <c r="AT750" t="str">
        <f>IF($AQ750="","",IF(INDEX(C_Pavement!$D$5:$D$204,$AQ750)&lt;&gt;"",UPPER(TRIM(INDEX(C_Pavement!$D$5:$D$204,$AQ750))),IF($AS750="","",INDEX(E_Rules!$C$5:$C$9,$AS750))))</f>
        <v/>
      </c>
      <c r="AU750" t="str">
        <f>IF($AQ750="","",IF(INDEX(C_Pavement!$E$5:$E$204,$AQ750)&lt;&gt;"",IF(INDEX(C_Pavement!$E$5:$E$204,$AQ750)="-","",INDEX(C_Pavement!$E$5:$E$204,$AQ750)),IF($AS750="","",INDEX(E_Rules!$D$5:$D$9,$AS750))))</f>
        <v/>
      </c>
      <c r="AV750" t="str">
        <f>IF($AQ750="","",IF(INDEX(C_Pavement!$F$5:$F$204,$AQ750)&lt;&gt;"",IF(INDEX(C_Pavement!$F$5:$F$204,$AQ750)="-","",INDEX(C_Pavement!$F$5:$F$204,$AQ750)),IF($AS750="","",INDEX(E_Rules!$E$5:$E$9,$AS750))))</f>
        <v/>
      </c>
      <c r="AW750" t="str">
        <f>IF($AQ750="","",IF(INDEX(C_Pavement!$G$5:$G$204,$AQ750)&lt;&gt;"",IF(INDEX(C_Pavement!$G$5:$G$204,$AQ750)="-","",INDEX(C_Pavement!$G$5:$G$204,$AQ750)),IF($AS750="","",INDEX(E_Rules!$F$5:$F$9,$AS750))))</f>
        <v/>
      </c>
      <c r="AX750" t="str">
        <f>IF($AQ750="","",IF(INDEX(C_Pavement!$H$5:$H$204,$AQ750)&lt;&gt;"",IF(INDEX(C_Pavement!$H$5:$H$204,$AQ750)="-","",INDEX(C_Pavement!$H$5:$H$204,$AQ750)),IF($AS750="","",INDEX(E_Rules!$G$5:$G$9,$AS750))))</f>
        <v/>
      </c>
      <c r="AY750" t="str">
        <f>IF($AQ750="","",IF(INDEX(C_Pavement!$I$5:$I$204,$AQ750)&lt;&gt;"",IF(INDEX(C_Pavement!$I$5:$I$204,$AQ750)="-","",INDEX(C_Pavement!$I$5:$I$204,$AQ750)),IF($AS750="","",INDEX(E_Rules!$H$5:$H$9,$AS750))))</f>
        <v/>
      </c>
    </row>
    <row r="751" spans="1:51" ht="15.75" customHeight="1" x14ac:dyDescent="0.3">
      <c r="A751" s="189">
        <v>746</v>
      </c>
      <c r="B751" s="180">
        <v>37250</v>
      </c>
      <c r="C751" s="180" t="s">
        <v>1057</v>
      </c>
      <c r="D751" s="181" t="str">
        <f>IFERROR(LOOKUP(2,1/((A_Corridor!$A$5:$A$204&lt;&gt;"")*(A_Corridor!$A$5:$A$204&lt;=$B751)*(A_Corridor!$B$5:$B$204&gt;$B751)*(A_Corridor!$C$5:$C$204&lt;&gt;"")),IF(UPPER(A_Corridor!$C$5:$C$204)="Y",1,"")),"")</f>
        <v/>
      </c>
      <c r="E751" s="181" t="str">
        <f>IFERROR(LOOKUP(2,1/((A_Corridor!$A$5:$A$204&lt;&gt;"")*(A_Corridor!$A$5:$A$204&lt;=$B751)*(A_Corridor!$B$5:$B$204&gt;$B751)*(A_Corridor!$D$5:$D$204&lt;&gt;"")),IF(A_Corridor!$D$5:$D$204="-","",UPPER(A_Corridor!$D$5:$D$204))),"")</f>
        <v/>
      </c>
      <c r="F751" s="181" t="str">
        <f>IFERROR(LOOKUP(2,1/((A_Corridor!$A$5:$A$204&lt;&gt;"")*(A_Corridor!$A$5:$A$204&lt;=$B751)*(A_Corridor!$B$5:$B$204&gt;$B751)*(A_Corridor!$E$5:$E$204&lt;&gt;"")),IF(A_Corridor!$E$5:$E$204="-","",1)),"")</f>
        <v/>
      </c>
      <c r="G751" s="182" t="str">
        <f>IFERROR(LOOKUP(2,1/((A_Corridor!$A$5:$A$204&lt;&gt;"")*(A_Corridor!$A$5:$A$204&lt;=$B751)*(A_Corridor!$B$5:$B$204&gt;$B751)*(A_Corridor!$E$5:$E$204&lt;&gt;"")),IF(A_Corridor!$E$5:$E$204="-","",A_Corridor!$E$5:$E$204)),"")</f>
        <v/>
      </c>
      <c r="H751" s="182" t="str">
        <f>IFERROR(LOOKUP(2,1/((D_Points!$A$5:$A$204&lt;&gt;"")*(D_Points!$A$5:$A$204&gt;=$B751)*(D_Points!$A$5:$A$204&lt;$B751+P_Interval)*(UPPER(TRIM(D_Points!$B$5:$B$204))="GULLY")*(D_Points!$H$5:$H$204&lt;&gt;"")),D_Points!$H$5:$H$204),"")</f>
        <v/>
      </c>
      <c r="I751" s="181" t="str">
        <f>IFERROR(LOOKUP(2,1/((A_Corridor!$A$5:$A$204&lt;&gt;"")*(A_Corridor!$A$5:$A$204&lt;=$B751)*(A_Corridor!$B$5:$B$204&gt;$B751)*(A_Corridor!$F$5:$F$204&lt;&gt;"")),IF(A_Corridor!$F$5:$F$204="-","",1)),"")</f>
        <v/>
      </c>
      <c r="J751" s="182" t="str">
        <f>IFERROR(LOOKUP(2,1/((A_Corridor!$A$5:$A$204&lt;&gt;"")*(A_Corridor!$A$5:$A$204&lt;=$B751)*(A_Corridor!$B$5:$B$204&gt;$B751)*(A_Corridor!$F$5:$F$204&lt;&gt;"")),IF(A_Corridor!$F$5:$F$204="-","",A_Corridor!$F$5:$F$204)),"")</f>
        <v/>
      </c>
      <c r="K751" s="182" t="str">
        <f>IFERROR(LOOKUP(2,1/((A_Corridor!$A$5:$A$204&lt;&gt;"")*(A_Corridor!$A$5:$A$204&lt;=$B751)*(A_Corridor!$B$5:$B$204&gt;$B751)*(A_Corridor!$G$5:$G$204&lt;&gt;"")),IF(A_Corridor!$G$5:$G$204="-","",A_Corridor!$G$5:$G$204)),"")</f>
        <v/>
      </c>
      <c r="L751" s="181" t="str">
        <f>IFERROR(LOOKUP(2,1/((A_Corridor!$A$5:$A$204&lt;&gt;"")*(A_Corridor!$A$5:$A$204&lt;=$B751)*(A_Corridor!$B$5:$B$204&gt;$B751)*(A_Corridor!$H$5:$H$204&lt;&gt;"")),IF(A_Corridor!$H$5:$H$204="-","",1)),"")</f>
        <v/>
      </c>
      <c r="M751" s="182" t="str">
        <f>IFERROR(LOOKUP(2,1/((A_Corridor!$A$5:$A$204&lt;&gt;"")*(A_Corridor!$A$5:$A$204&lt;=$B751)*(A_Corridor!$B$5:$B$204&gt;$B751)*(A_Corridor!$H$5:$H$204&lt;&gt;"")),IF(A_Corridor!$H$5:$H$204="-","",A_Corridor!$H$5:$H$204)),"")</f>
        <v/>
      </c>
      <c r="N751" s="182" t="str">
        <f>IFERROR(LOOKUP(2,1/((A_Corridor!$A$5:$A$204&lt;&gt;"")*(A_Corridor!$A$5:$A$204&lt;=$B751)*(A_Corridor!$B$5:$B$204&gt;$B751)*(A_Corridor!$I$5:$I$204&lt;&gt;"")),IF(A_Corridor!$I$5:$I$204="-","",A_Corridor!$I$5:$I$204)),"")</f>
        <v/>
      </c>
      <c r="O751" s="182" t="str">
        <f>IFERROR(LOOKUP(2,1/((D_Points!$A$5:$A$204&lt;&gt;"")*(D_Points!$A$5:$A$204&gt;=$B751)*(D_Points!$A$5:$A$204&lt;$B751+P_Interval)*(UPPER(TRIM(D_Points!$B$5:$B$204))="PITCHING")*(D_Points!$H$5:$H$204&lt;&gt;"")),D_Points!$H$5:$H$204),"")</f>
        <v/>
      </c>
      <c r="P751" s="181" t="str">
        <f>IFERROR(LOOKUP(2,1/((B_Drainage!$A$5:$A$204&lt;&gt;"")*(B_Drainage!$A$5:$A$204&lt;=$B751)*(B_Drainage!$B$5:$B$204&gt;$B751)*(B_Drainage!$C$5:$C$204&lt;&gt;"")),IF(B_Drainage!$C$5:$C$204="-","",UPPER(B_Drainage!$C$5:$C$204))),"")</f>
        <v/>
      </c>
      <c r="Q751" s="181" t="str">
        <f>IFERROR(LOOKUP(2,1/((B_Drainage!$A$5:$A$204&lt;&gt;"")*(B_Drainage!$A$5:$A$204&lt;=$B751)*(B_Drainage!$B$5:$B$204&gt;$B751)*(B_Drainage!$D$5:$D$204&lt;&gt;"")),IF(B_Drainage!$D$5:$D$204="-","",UPPER(B_Drainage!$D$5:$D$204))),"")</f>
        <v/>
      </c>
      <c r="R751" s="182" t="str">
        <f>IFERROR(LOOKUP(2,1/((D_Points!$A$5:$A$204&lt;&gt;"")*(D_Points!$A$5:$A$204&gt;=$B751)*(D_Points!$A$5:$A$204&lt;$B751+P_Interval)*(RIGHT(UPPER(TRIM(D_Points!$B$5:$B$204)),8)="_CULVERT")),IF(LEFT(UPPER(TRIM(D_Points!$B$5:$B$204)),2)="EX",1,IF(LEFT(UPPER(TRIM(D_Points!$B$5:$B$204)),2)="PR",2,3))),"")</f>
        <v/>
      </c>
      <c r="S751" s="182" t="str">
        <f>IFERROR(LOOKUP(2,1/((D_Points!$A$5:$A$204&lt;&gt;"")*(D_Points!$A$5:$A$204&gt;=$B751)*(D_Points!$A$5:$A$204&lt;$B751+P_Interval)*(RIGHT(UPPER(TRIM(D_Points!$B$5:$B$204)),7)="_BRIDGE")),IF(LEFT(UPPER(TRIM(D_Points!$B$5:$B$204)),2)="EX",1,IF(LEFT(UPPER(TRIM(D_Points!$B$5:$B$204)),2)="PR",2,2))),"")</f>
        <v/>
      </c>
      <c r="T751" s="181" t="str">
        <f>IFERROR(LOOKUP(2,1/((B_Drainage!$A$5:$A$204&lt;&gt;"")*(B_Drainage!$A$5:$A$204&lt;=$B751)*(B_Drainage!$B$5:$B$204&gt;$B751)*(B_Drainage!$E$5:$E$204&lt;&gt;"")),IF(B_Drainage!$E$5:$E$204="-","",1)),"")</f>
        <v/>
      </c>
      <c r="U751" s="181" t="str">
        <f>IFERROR(LOOKUP(2,1/((B_Drainage!$A$5:$A$204&lt;&gt;"")*(B_Drainage!$A$5:$A$204&lt;=$B751)*(B_Drainage!$B$5:$B$204&gt;$B751)*(B_Drainage!$E$5:$E$204&lt;&gt;"")),IF(B_Drainage!$E$5:$E$204="-","",B_Drainage!$E$5:$E$204)),"")</f>
        <v/>
      </c>
      <c r="V751" s="181" t="str">
        <f>IFERROR(LOOKUP(2,1/((B_Drainage!$A$5:$A$204&lt;&gt;"")*(B_Drainage!$A$5:$A$204&lt;=$B751)*(B_Drainage!$B$5:$B$204&gt;$B751)*(B_Drainage!$F$5:$F$204&lt;&gt;"")),IF(B_Drainage!$F$5:$F$204="-","",1)),"")</f>
        <v/>
      </c>
      <c r="W751" s="181" t="str">
        <f>IFERROR(LOOKUP(2,1/((B_Drainage!$A$5:$A$204&lt;&gt;"")*(B_Drainage!$A$5:$A$204&lt;=$B751)*(B_Drainage!$B$5:$B$204&gt;$B751)*(B_Drainage!$F$5:$F$204&lt;&gt;"")),IF(B_Drainage!$F$5:$F$204="-","",B_Drainage!$F$5:$F$204)),"")</f>
        <v/>
      </c>
      <c r="X751" s="181" t="str">
        <f>IFERROR(LOOKUP(2,1/((B_Drainage!$A$5:$A$204&lt;&gt;"")*(B_Drainage!$A$5:$A$204&lt;=$B751)*(B_Drainage!$B$5:$B$204&gt;$B751)*(B_Drainage!$G$5:$G$204&lt;&gt;"")),IF(UPPER(B_Drainage!$G$5:$G$204)="Y",1,"")),"")</f>
        <v/>
      </c>
      <c r="Y751" s="181" t="str">
        <f>IFERROR(LOOKUP(2,1/((B_Drainage!$A$5:$A$204&lt;&gt;"")*(B_Drainage!$A$5:$A$204&lt;=$B751)*(B_Drainage!$B$5:$B$204&gt;$B751)*(B_Drainage!$H$5:$H$204&lt;&gt;"")),IF(UPPER(B_Drainage!$H$5:$H$204)="Y",1,"")),"")</f>
        <v/>
      </c>
      <c r="Z751" s="181" t="str">
        <f>IFERROR(LOOKUP(2,1/((B_Drainage!$A$5:$A$204&lt;&gt;"")*(B_Drainage!$A$5:$A$204&lt;=$B751)*(B_Drainage!$B$5:$B$204&gt;$B751)*(B_Drainage!$I$5:$I$204&lt;&gt;"")),IF(UPPER(B_Drainage!$I$5:$I$204)="Y",1,"")),"")</f>
        <v/>
      </c>
      <c r="AA751" s="181" t="str">
        <f>IFERROR(LOOKUP(2,1/((B_Drainage!$A$5:$A$204&lt;&gt;"")*(B_Drainage!$A$5:$A$204&lt;=$B751)*(B_Drainage!$B$5:$B$204&gt;$B751)*(B_Drainage!$J$5:$J$204&lt;&gt;"")),IF(UPPER(B_Drainage!$J$5:$J$204)="Y",1,"")),"")</f>
        <v/>
      </c>
      <c r="AB751" s="182" t="str">
        <f>IFERROR(LOOKUP(2,1/((B_Drainage!$A$5:$A$204&lt;&gt;"")*(B_Drainage!$A$5:$A$204&lt;=$B751)*(B_Drainage!$B$5:$B$204&gt;$B751)*(B_Drainage!$K$5:$K$204&lt;&gt;"")),IF(B_Drainage!$K$5:$K$204="-","",B_Drainage!$K$5:$K$204)),"")</f>
        <v/>
      </c>
      <c r="AC751" s="182" t="str">
        <f>IFERROR(LOOKUP(2,1/((B_Drainage!$A$5:$A$204&lt;&gt;"")*(B_Drainage!$A$5:$A$204&lt;=$B751)*(B_Drainage!$B$5:$B$204&gt;$B751)*(B_Drainage!$L$5:$L$204&lt;&gt;"")),IF(B_Drainage!$L$5:$L$204="-","",B_Drainage!$L$5:$L$204)),"")</f>
        <v/>
      </c>
      <c r="AD751" s="182" t="str">
        <f>IFERROR(LOOKUP(2,1/((D_Points!$A$5:$A$204&lt;&gt;"")*(D_Points!$A$5:$A$204&gt;=$B751)*(D_Points!$A$5:$A$204&lt;$B751+P_Interval)*(UPPER(TRIM(D_Points!$B$5:$B$204))="TURNOUT_L")*(D_Points!$H$5:$H$204&lt;&gt;"")),D_Points!$H$5:$H$204),"")</f>
        <v/>
      </c>
      <c r="AE751" s="182" t="str">
        <f>IFERROR(LOOKUP(2,1/((D_Points!$A$5:$A$204&lt;&gt;"")*(D_Points!$A$5:$A$204&gt;=$B751)*(D_Points!$A$5:$A$204&lt;$B751+P_Interval)*(UPPER(TRIM(D_Points!$B$5:$B$204))="TURNOUT_R")*(D_Points!$H$5:$H$204&lt;&gt;"")),D_Points!$H$5:$H$204),"")</f>
        <v/>
      </c>
      <c r="AF751" s="181" t="str">
        <f>IFERROR(LOOKUP(2,1/((B_Drainage!$A$5:$A$204&lt;&gt;"")*(B_Drainage!$A$5:$A$204&lt;=$B751)*(B_Drainage!$B$5:$B$204&gt;$B751)*(B_Drainage!$M$5:$M$204&lt;&gt;"")),IF(UPPER(B_Drainage!$M$5:$M$204)="Y",1,"")),"")</f>
        <v/>
      </c>
      <c r="AG751" s="181" t="str">
        <f>IFERROR(LOOKUP(2,1/((B_Drainage!$A$5:$A$204&lt;&gt;"")*(B_Drainage!$A$5:$A$204&lt;=$B751)*(B_Drainage!$B$5:$B$204&gt;$B751)*(B_Drainage!$N$5:$N$204&lt;&gt;"")),IF(UPPER(B_Drainage!$N$5:$N$204)="Y",1,"")),"")</f>
        <v/>
      </c>
      <c r="AH751" s="181" t="str">
        <f t="shared" si="88"/>
        <v/>
      </c>
      <c r="AI751" s="181" t="str">
        <f t="shared" si="89"/>
        <v/>
      </c>
      <c r="AJ751" s="181" t="str">
        <f t="shared" si="90"/>
        <v/>
      </c>
      <c r="AK751" s="181" t="str">
        <f t="shared" si="91"/>
        <v/>
      </c>
      <c r="AL751" s="181" t="str">
        <f t="shared" si="92"/>
        <v/>
      </c>
      <c r="AM751" s="181" t="str">
        <f t="shared" si="93"/>
        <v/>
      </c>
      <c r="AN751" s="181" t="str">
        <f t="shared" si="94"/>
        <v/>
      </c>
      <c r="AO751" s="192" t="str">
        <f t="shared" si="95"/>
        <v/>
      </c>
      <c r="AQ751" t="str">
        <f>IFERROR(LOOKUP(2,1/((C_Pavement!$A$5:$A$204&lt;&gt;"")*(C_Pavement!$A$5:$A$204&lt;=$B751)*(C_Pavement!$B$5:$B$204&gt;$B751)*(C_Pavement!$C$5:$C$204&lt;&gt;"")),ROW(C_Pavement!$C$5:$C$204)-4),"")</f>
        <v/>
      </c>
      <c r="AR751" t="str">
        <f>IF($AQ751="","",UPPER(TRIM(INDEX(C_Pavement!$C$5:$C$204,$AQ751))))</f>
        <v/>
      </c>
      <c r="AS751" t="str">
        <f>IF($AR751="","",IFERROR(MATCH($AR751,E_Rules!$A$5:$A$9,0),""))</f>
        <v/>
      </c>
      <c r="AT751" t="str">
        <f>IF($AQ751="","",IF(INDEX(C_Pavement!$D$5:$D$204,$AQ751)&lt;&gt;"",UPPER(TRIM(INDEX(C_Pavement!$D$5:$D$204,$AQ751))),IF($AS751="","",INDEX(E_Rules!$C$5:$C$9,$AS751))))</f>
        <v/>
      </c>
      <c r="AU751" t="str">
        <f>IF($AQ751="","",IF(INDEX(C_Pavement!$E$5:$E$204,$AQ751)&lt;&gt;"",IF(INDEX(C_Pavement!$E$5:$E$204,$AQ751)="-","",INDEX(C_Pavement!$E$5:$E$204,$AQ751)),IF($AS751="","",INDEX(E_Rules!$D$5:$D$9,$AS751))))</f>
        <v/>
      </c>
      <c r="AV751" t="str">
        <f>IF($AQ751="","",IF(INDEX(C_Pavement!$F$5:$F$204,$AQ751)&lt;&gt;"",IF(INDEX(C_Pavement!$F$5:$F$204,$AQ751)="-","",INDEX(C_Pavement!$F$5:$F$204,$AQ751)),IF($AS751="","",INDEX(E_Rules!$E$5:$E$9,$AS751))))</f>
        <v/>
      </c>
      <c r="AW751" t="str">
        <f>IF($AQ751="","",IF(INDEX(C_Pavement!$G$5:$G$204,$AQ751)&lt;&gt;"",IF(INDEX(C_Pavement!$G$5:$G$204,$AQ751)="-","",INDEX(C_Pavement!$G$5:$G$204,$AQ751)),IF($AS751="","",INDEX(E_Rules!$F$5:$F$9,$AS751))))</f>
        <v/>
      </c>
      <c r="AX751" t="str">
        <f>IF($AQ751="","",IF(INDEX(C_Pavement!$H$5:$H$204,$AQ751)&lt;&gt;"",IF(INDEX(C_Pavement!$H$5:$H$204,$AQ751)="-","",INDEX(C_Pavement!$H$5:$H$204,$AQ751)),IF($AS751="","",INDEX(E_Rules!$G$5:$G$9,$AS751))))</f>
        <v/>
      </c>
      <c r="AY751" t="str">
        <f>IF($AQ751="","",IF(INDEX(C_Pavement!$I$5:$I$204,$AQ751)&lt;&gt;"",IF(INDEX(C_Pavement!$I$5:$I$204,$AQ751)="-","",INDEX(C_Pavement!$I$5:$I$204,$AQ751)),IF($AS751="","",INDEX(E_Rules!$H$5:$H$9,$AS751))))</f>
        <v/>
      </c>
    </row>
    <row r="752" spans="1:51" ht="15.75" customHeight="1" x14ac:dyDescent="0.3">
      <c r="A752" s="189">
        <v>747</v>
      </c>
      <c r="B752" s="180">
        <v>37300</v>
      </c>
      <c r="C752" s="180" t="s">
        <v>1058</v>
      </c>
      <c r="D752" s="181" t="str">
        <f>IFERROR(LOOKUP(2,1/((A_Corridor!$A$5:$A$204&lt;&gt;"")*(A_Corridor!$A$5:$A$204&lt;=$B752)*(A_Corridor!$B$5:$B$204&gt;$B752)*(A_Corridor!$C$5:$C$204&lt;&gt;"")),IF(UPPER(A_Corridor!$C$5:$C$204)="Y",1,"")),"")</f>
        <v/>
      </c>
      <c r="E752" s="181" t="str">
        <f>IFERROR(LOOKUP(2,1/((A_Corridor!$A$5:$A$204&lt;&gt;"")*(A_Corridor!$A$5:$A$204&lt;=$B752)*(A_Corridor!$B$5:$B$204&gt;$B752)*(A_Corridor!$D$5:$D$204&lt;&gt;"")),IF(A_Corridor!$D$5:$D$204="-","",UPPER(A_Corridor!$D$5:$D$204))),"")</f>
        <v/>
      </c>
      <c r="F752" s="181" t="str">
        <f>IFERROR(LOOKUP(2,1/((A_Corridor!$A$5:$A$204&lt;&gt;"")*(A_Corridor!$A$5:$A$204&lt;=$B752)*(A_Corridor!$B$5:$B$204&gt;$B752)*(A_Corridor!$E$5:$E$204&lt;&gt;"")),IF(A_Corridor!$E$5:$E$204="-","",1)),"")</f>
        <v/>
      </c>
      <c r="G752" s="182" t="str">
        <f>IFERROR(LOOKUP(2,1/((A_Corridor!$A$5:$A$204&lt;&gt;"")*(A_Corridor!$A$5:$A$204&lt;=$B752)*(A_Corridor!$B$5:$B$204&gt;$B752)*(A_Corridor!$E$5:$E$204&lt;&gt;"")),IF(A_Corridor!$E$5:$E$204="-","",A_Corridor!$E$5:$E$204)),"")</f>
        <v/>
      </c>
      <c r="H752" s="182" t="str">
        <f>IFERROR(LOOKUP(2,1/((D_Points!$A$5:$A$204&lt;&gt;"")*(D_Points!$A$5:$A$204&gt;=$B752)*(D_Points!$A$5:$A$204&lt;$B752+P_Interval)*(UPPER(TRIM(D_Points!$B$5:$B$204))="GULLY")*(D_Points!$H$5:$H$204&lt;&gt;"")),D_Points!$H$5:$H$204),"")</f>
        <v/>
      </c>
      <c r="I752" s="181" t="str">
        <f>IFERROR(LOOKUP(2,1/((A_Corridor!$A$5:$A$204&lt;&gt;"")*(A_Corridor!$A$5:$A$204&lt;=$B752)*(A_Corridor!$B$5:$B$204&gt;$B752)*(A_Corridor!$F$5:$F$204&lt;&gt;"")),IF(A_Corridor!$F$5:$F$204="-","",1)),"")</f>
        <v/>
      </c>
      <c r="J752" s="182" t="str">
        <f>IFERROR(LOOKUP(2,1/((A_Corridor!$A$5:$A$204&lt;&gt;"")*(A_Corridor!$A$5:$A$204&lt;=$B752)*(A_Corridor!$B$5:$B$204&gt;$B752)*(A_Corridor!$F$5:$F$204&lt;&gt;"")),IF(A_Corridor!$F$5:$F$204="-","",A_Corridor!$F$5:$F$204)),"")</f>
        <v/>
      </c>
      <c r="K752" s="182" t="str">
        <f>IFERROR(LOOKUP(2,1/((A_Corridor!$A$5:$A$204&lt;&gt;"")*(A_Corridor!$A$5:$A$204&lt;=$B752)*(A_Corridor!$B$5:$B$204&gt;$B752)*(A_Corridor!$G$5:$G$204&lt;&gt;"")),IF(A_Corridor!$G$5:$G$204="-","",A_Corridor!$G$5:$G$204)),"")</f>
        <v/>
      </c>
      <c r="L752" s="181" t="str">
        <f>IFERROR(LOOKUP(2,1/((A_Corridor!$A$5:$A$204&lt;&gt;"")*(A_Corridor!$A$5:$A$204&lt;=$B752)*(A_Corridor!$B$5:$B$204&gt;$B752)*(A_Corridor!$H$5:$H$204&lt;&gt;"")),IF(A_Corridor!$H$5:$H$204="-","",1)),"")</f>
        <v/>
      </c>
      <c r="M752" s="182" t="str">
        <f>IFERROR(LOOKUP(2,1/((A_Corridor!$A$5:$A$204&lt;&gt;"")*(A_Corridor!$A$5:$A$204&lt;=$B752)*(A_Corridor!$B$5:$B$204&gt;$B752)*(A_Corridor!$H$5:$H$204&lt;&gt;"")),IF(A_Corridor!$H$5:$H$204="-","",A_Corridor!$H$5:$H$204)),"")</f>
        <v/>
      </c>
      <c r="N752" s="182" t="str">
        <f>IFERROR(LOOKUP(2,1/((A_Corridor!$A$5:$A$204&lt;&gt;"")*(A_Corridor!$A$5:$A$204&lt;=$B752)*(A_Corridor!$B$5:$B$204&gt;$B752)*(A_Corridor!$I$5:$I$204&lt;&gt;"")),IF(A_Corridor!$I$5:$I$204="-","",A_Corridor!$I$5:$I$204)),"")</f>
        <v/>
      </c>
      <c r="O752" s="182" t="str">
        <f>IFERROR(LOOKUP(2,1/((D_Points!$A$5:$A$204&lt;&gt;"")*(D_Points!$A$5:$A$204&gt;=$B752)*(D_Points!$A$5:$A$204&lt;$B752+P_Interval)*(UPPER(TRIM(D_Points!$B$5:$B$204))="PITCHING")*(D_Points!$H$5:$H$204&lt;&gt;"")),D_Points!$H$5:$H$204),"")</f>
        <v/>
      </c>
      <c r="P752" s="181" t="str">
        <f>IFERROR(LOOKUP(2,1/((B_Drainage!$A$5:$A$204&lt;&gt;"")*(B_Drainage!$A$5:$A$204&lt;=$B752)*(B_Drainage!$B$5:$B$204&gt;$B752)*(B_Drainage!$C$5:$C$204&lt;&gt;"")),IF(B_Drainage!$C$5:$C$204="-","",UPPER(B_Drainage!$C$5:$C$204))),"")</f>
        <v/>
      </c>
      <c r="Q752" s="181" t="str">
        <f>IFERROR(LOOKUP(2,1/((B_Drainage!$A$5:$A$204&lt;&gt;"")*(B_Drainage!$A$5:$A$204&lt;=$B752)*(B_Drainage!$B$5:$B$204&gt;$B752)*(B_Drainage!$D$5:$D$204&lt;&gt;"")),IF(B_Drainage!$D$5:$D$204="-","",UPPER(B_Drainage!$D$5:$D$204))),"")</f>
        <v/>
      </c>
      <c r="R752" s="182" t="str">
        <f>IFERROR(LOOKUP(2,1/((D_Points!$A$5:$A$204&lt;&gt;"")*(D_Points!$A$5:$A$204&gt;=$B752)*(D_Points!$A$5:$A$204&lt;$B752+P_Interval)*(RIGHT(UPPER(TRIM(D_Points!$B$5:$B$204)),8)="_CULVERT")),IF(LEFT(UPPER(TRIM(D_Points!$B$5:$B$204)),2)="EX",1,IF(LEFT(UPPER(TRIM(D_Points!$B$5:$B$204)),2)="PR",2,3))),"")</f>
        <v/>
      </c>
      <c r="S752" s="182" t="str">
        <f>IFERROR(LOOKUP(2,1/((D_Points!$A$5:$A$204&lt;&gt;"")*(D_Points!$A$5:$A$204&gt;=$B752)*(D_Points!$A$5:$A$204&lt;$B752+P_Interval)*(RIGHT(UPPER(TRIM(D_Points!$B$5:$B$204)),7)="_BRIDGE")),IF(LEFT(UPPER(TRIM(D_Points!$B$5:$B$204)),2)="EX",1,IF(LEFT(UPPER(TRIM(D_Points!$B$5:$B$204)),2)="PR",2,2))),"")</f>
        <v/>
      </c>
      <c r="T752" s="181" t="str">
        <f>IFERROR(LOOKUP(2,1/((B_Drainage!$A$5:$A$204&lt;&gt;"")*(B_Drainage!$A$5:$A$204&lt;=$B752)*(B_Drainage!$B$5:$B$204&gt;$B752)*(B_Drainage!$E$5:$E$204&lt;&gt;"")),IF(B_Drainage!$E$5:$E$204="-","",1)),"")</f>
        <v/>
      </c>
      <c r="U752" s="181" t="str">
        <f>IFERROR(LOOKUP(2,1/((B_Drainage!$A$5:$A$204&lt;&gt;"")*(B_Drainage!$A$5:$A$204&lt;=$B752)*(B_Drainage!$B$5:$B$204&gt;$B752)*(B_Drainage!$E$5:$E$204&lt;&gt;"")),IF(B_Drainage!$E$5:$E$204="-","",B_Drainage!$E$5:$E$204)),"")</f>
        <v/>
      </c>
      <c r="V752" s="181" t="str">
        <f>IFERROR(LOOKUP(2,1/((B_Drainage!$A$5:$A$204&lt;&gt;"")*(B_Drainage!$A$5:$A$204&lt;=$B752)*(B_Drainage!$B$5:$B$204&gt;$B752)*(B_Drainage!$F$5:$F$204&lt;&gt;"")),IF(B_Drainage!$F$5:$F$204="-","",1)),"")</f>
        <v/>
      </c>
      <c r="W752" s="181" t="str">
        <f>IFERROR(LOOKUP(2,1/((B_Drainage!$A$5:$A$204&lt;&gt;"")*(B_Drainage!$A$5:$A$204&lt;=$B752)*(B_Drainage!$B$5:$B$204&gt;$B752)*(B_Drainage!$F$5:$F$204&lt;&gt;"")),IF(B_Drainage!$F$5:$F$204="-","",B_Drainage!$F$5:$F$204)),"")</f>
        <v/>
      </c>
      <c r="X752" s="181" t="str">
        <f>IFERROR(LOOKUP(2,1/((B_Drainage!$A$5:$A$204&lt;&gt;"")*(B_Drainage!$A$5:$A$204&lt;=$B752)*(B_Drainage!$B$5:$B$204&gt;$B752)*(B_Drainage!$G$5:$G$204&lt;&gt;"")),IF(UPPER(B_Drainage!$G$5:$G$204)="Y",1,"")),"")</f>
        <v/>
      </c>
      <c r="Y752" s="181" t="str">
        <f>IFERROR(LOOKUP(2,1/((B_Drainage!$A$5:$A$204&lt;&gt;"")*(B_Drainage!$A$5:$A$204&lt;=$B752)*(B_Drainage!$B$5:$B$204&gt;$B752)*(B_Drainage!$H$5:$H$204&lt;&gt;"")),IF(UPPER(B_Drainage!$H$5:$H$204)="Y",1,"")),"")</f>
        <v/>
      </c>
      <c r="Z752" s="181" t="str">
        <f>IFERROR(LOOKUP(2,1/((B_Drainage!$A$5:$A$204&lt;&gt;"")*(B_Drainage!$A$5:$A$204&lt;=$B752)*(B_Drainage!$B$5:$B$204&gt;$B752)*(B_Drainage!$I$5:$I$204&lt;&gt;"")),IF(UPPER(B_Drainage!$I$5:$I$204)="Y",1,"")),"")</f>
        <v/>
      </c>
      <c r="AA752" s="181" t="str">
        <f>IFERROR(LOOKUP(2,1/((B_Drainage!$A$5:$A$204&lt;&gt;"")*(B_Drainage!$A$5:$A$204&lt;=$B752)*(B_Drainage!$B$5:$B$204&gt;$B752)*(B_Drainage!$J$5:$J$204&lt;&gt;"")),IF(UPPER(B_Drainage!$J$5:$J$204)="Y",1,"")),"")</f>
        <v/>
      </c>
      <c r="AB752" s="182" t="str">
        <f>IFERROR(LOOKUP(2,1/((B_Drainage!$A$5:$A$204&lt;&gt;"")*(B_Drainage!$A$5:$A$204&lt;=$B752)*(B_Drainage!$B$5:$B$204&gt;$B752)*(B_Drainage!$K$5:$K$204&lt;&gt;"")),IF(B_Drainage!$K$5:$K$204="-","",B_Drainage!$K$5:$K$204)),"")</f>
        <v/>
      </c>
      <c r="AC752" s="182" t="str">
        <f>IFERROR(LOOKUP(2,1/((B_Drainage!$A$5:$A$204&lt;&gt;"")*(B_Drainage!$A$5:$A$204&lt;=$B752)*(B_Drainage!$B$5:$B$204&gt;$B752)*(B_Drainage!$L$5:$L$204&lt;&gt;"")),IF(B_Drainage!$L$5:$L$204="-","",B_Drainage!$L$5:$L$204)),"")</f>
        <v/>
      </c>
      <c r="AD752" s="182" t="str">
        <f>IFERROR(LOOKUP(2,1/((D_Points!$A$5:$A$204&lt;&gt;"")*(D_Points!$A$5:$A$204&gt;=$B752)*(D_Points!$A$5:$A$204&lt;$B752+P_Interval)*(UPPER(TRIM(D_Points!$B$5:$B$204))="TURNOUT_L")*(D_Points!$H$5:$H$204&lt;&gt;"")),D_Points!$H$5:$H$204),"")</f>
        <v/>
      </c>
      <c r="AE752" s="182" t="str">
        <f>IFERROR(LOOKUP(2,1/((D_Points!$A$5:$A$204&lt;&gt;"")*(D_Points!$A$5:$A$204&gt;=$B752)*(D_Points!$A$5:$A$204&lt;$B752+P_Interval)*(UPPER(TRIM(D_Points!$B$5:$B$204))="TURNOUT_R")*(D_Points!$H$5:$H$204&lt;&gt;"")),D_Points!$H$5:$H$204),"")</f>
        <v/>
      </c>
      <c r="AF752" s="181" t="str">
        <f>IFERROR(LOOKUP(2,1/((B_Drainage!$A$5:$A$204&lt;&gt;"")*(B_Drainage!$A$5:$A$204&lt;=$B752)*(B_Drainage!$B$5:$B$204&gt;$B752)*(B_Drainage!$M$5:$M$204&lt;&gt;"")),IF(UPPER(B_Drainage!$M$5:$M$204)="Y",1,"")),"")</f>
        <v/>
      </c>
      <c r="AG752" s="181" t="str">
        <f>IFERROR(LOOKUP(2,1/((B_Drainage!$A$5:$A$204&lt;&gt;"")*(B_Drainage!$A$5:$A$204&lt;=$B752)*(B_Drainage!$B$5:$B$204&gt;$B752)*(B_Drainage!$N$5:$N$204&lt;&gt;"")),IF(UPPER(B_Drainage!$N$5:$N$204)="Y",1,"")),"")</f>
        <v/>
      </c>
      <c r="AH752" s="181" t="str">
        <f t="shared" si="88"/>
        <v/>
      </c>
      <c r="AI752" s="181" t="str">
        <f t="shared" si="89"/>
        <v/>
      </c>
      <c r="AJ752" s="181" t="str">
        <f t="shared" si="90"/>
        <v/>
      </c>
      <c r="AK752" s="181" t="str">
        <f t="shared" si="91"/>
        <v/>
      </c>
      <c r="AL752" s="181" t="str">
        <f t="shared" si="92"/>
        <v/>
      </c>
      <c r="AM752" s="181" t="str">
        <f t="shared" si="93"/>
        <v/>
      </c>
      <c r="AN752" s="181" t="str">
        <f t="shared" si="94"/>
        <v/>
      </c>
      <c r="AO752" s="192" t="str">
        <f t="shared" si="95"/>
        <v/>
      </c>
      <c r="AQ752" t="str">
        <f>IFERROR(LOOKUP(2,1/((C_Pavement!$A$5:$A$204&lt;&gt;"")*(C_Pavement!$A$5:$A$204&lt;=$B752)*(C_Pavement!$B$5:$B$204&gt;$B752)*(C_Pavement!$C$5:$C$204&lt;&gt;"")),ROW(C_Pavement!$C$5:$C$204)-4),"")</f>
        <v/>
      </c>
      <c r="AR752" t="str">
        <f>IF($AQ752="","",UPPER(TRIM(INDEX(C_Pavement!$C$5:$C$204,$AQ752))))</f>
        <v/>
      </c>
      <c r="AS752" t="str">
        <f>IF($AR752="","",IFERROR(MATCH($AR752,E_Rules!$A$5:$A$9,0),""))</f>
        <v/>
      </c>
      <c r="AT752" t="str">
        <f>IF($AQ752="","",IF(INDEX(C_Pavement!$D$5:$D$204,$AQ752)&lt;&gt;"",UPPER(TRIM(INDEX(C_Pavement!$D$5:$D$204,$AQ752))),IF($AS752="","",INDEX(E_Rules!$C$5:$C$9,$AS752))))</f>
        <v/>
      </c>
      <c r="AU752" t="str">
        <f>IF($AQ752="","",IF(INDEX(C_Pavement!$E$5:$E$204,$AQ752)&lt;&gt;"",IF(INDEX(C_Pavement!$E$5:$E$204,$AQ752)="-","",INDEX(C_Pavement!$E$5:$E$204,$AQ752)),IF($AS752="","",INDEX(E_Rules!$D$5:$D$9,$AS752))))</f>
        <v/>
      </c>
      <c r="AV752" t="str">
        <f>IF($AQ752="","",IF(INDEX(C_Pavement!$F$5:$F$204,$AQ752)&lt;&gt;"",IF(INDEX(C_Pavement!$F$5:$F$204,$AQ752)="-","",INDEX(C_Pavement!$F$5:$F$204,$AQ752)),IF($AS752="","",INDEX(E_Rules!$E$5:$E$9,$AS752))))</f>
        <v/>
      </c>
      <c r="AW752" t="str">
        <f>IF($AQ752="","",IF(INDEX(C_Pavement!$G$5:$G$204,$AQ752)&lt;&gt;"",IF(INDEX(C_Pavement!$G$5:$G$204,$AQ752)="-","",INDEX(C_Pavement!$G$5:$G$204,$AQ752)),IF($AS752="","",INDEX(E_Rules!$F$5:$F$9,$AS752))))</f>
        <v/>
      </c>
      <c r="AX752" t="str">
        <f>IF($AQ752="","",IF(INDEX(C_Pavement!$H$5:$H$204,$AQ752)&lt;&gt;"",IF(INDEX(C_Pavement!$H$5:$H$204,$AQ752)="-","",INDEX(C_Pavement!$H$5:$H$204,$AQ752)),IF($AS752="","",INDEX(E_Rules!$G$5:$G$9,$AS752))))</f>
        <v/>
      </c>
      <c r="AY752" t="str">
        <f>IF($AQ752="","",IF(INDEX(C_Pavement!$I$5:$I$204,$AQ752)&lt;&gt;"",IF(INDEX(C_Pavement!$I$5:$I$204,$AQ752)="-","",INDEX(C_Pavement!$I$5:$I$204,$AQ752)),IF($AS752="","",INDEX(E_Rules!$H$5:$H$9,$AS752))))</f>
        <v/>
      </c>
    </row>
    <row r="753" spans="1:51" ht="15.75" customHeight="1" x14ac:dyDescent="0.3">
      <c r="A753" s="189">
        <v>748</v>
      </c>
      <c r="B753" s="180">
        <v>37350</v>
      </c>
      <c r="C753" s="180" t="s">
        <v>1059</v>
      </c>
      <c r="D753" s="181" t="str">
        <f>IFERROR(LOOKUP(2,1/((A_Corridor!$A$5:$A$204&lt;&gt;"")*(A_Corridor!$A$5:$A$204&lt;=$B753)*(A_Corridor!$B$5:$B$204&gt;$B753)*(A_Corridor!$C$5:$C$204&lt;&gt;"")),IF(UPPER(A_Corridor!$C$5:$C$204)="Y",1,"")),"")</f>
        <v/>
      </c>
      <c r="E753" s="181" t="str">
        <f>IFERROR(LOOKUP(2,1/((A_Corridor!$A$5:$A$204&lt;&gt;"")*(A_Corridor!$A$5:$A$204&lt;=$B753)*(A_Corridor!$B$5:$B$204&gt;$B753)*(A_Corridor!$D$5:$D$204&lt;&gt;"")),IF(A_Corridor!$D$5:$D$204="-","",UPPER(A_Corridor!$D$5:$D$204))),"")</f>
        <v/>
      </c>
      <c r="F753" s="181" t="str">
        <f>IFERROR(LOOKUP(2,1/((A_Corridor!$A$5:$A$204&lt;&gt;"")*(A_Corridor!$A$5:$A$204&lt;=$B753)*(A_Corridor!$B$5:$B$204&gt;$B753)*(A_Corridor!$E$5:$E$204&lt;&gt;"")),IF(A_Corridor!$E$5:$E$204="-","",1)),"")</f>
        <v/>
      </c>
      <c r="G753" s="182" t="str">
        <f>IFERROR(LOOKUP(2,1/((A_Corridor!$A$5:$A$204&lt;&gt;"")*(A_Corridor!$A$5:$A$204&lt;=$B753)*(A_Corridor!$B$5:$B$204&gt;$B753)*(A_Corridor!$E$5:$E$204&lt;&gt;"")),IF(A_Corridor!$E$5:$E$204="-","",A_Corridor!$E$5:$E$204)),"")</f>
        <v/>
      </c>
      <c r="H753" s="182" t="str">
        <f>IFERROR(LOOKUP(2,1/((D_Points!$A$5:$A$204&lt;&gt;"")*(D_Points!$A$5:$A$204&gt;=$B753)*(D_Points!$A$5:$A$204&lt;$B753+P_Interval)*(UPPER(TRIM(D_Points!$B$5:$B$204))="GULLY")*(D_Points!$H$5:$H$204&lt;&gt;"")),D_Points!$H$5:$H$204),"")</f>
        <v/>
      </c>
      <c r="I753" s="181" t="str">
        <f>IFERROR(LOOKUP(2,1/((A_Corridor!$A$5:$A$204&lt;&gt;"")*(A_Corridor!$A$5:$A$204&lt;=$B753)*(A_Corridor!$B$5:$B$204&gt;$B753)*(A_Corridor!$F$5:$F$204&lt;&gt;"")),IF(A_Corridor!$F$5:$F$204="-","",1)),"")</f>
        <v/>
      </c>
      <c r="J753" s="182" t="str">
        <f>IFERROR(LOOKUP(2,1/((A_Corridor!$A$5:$A$204&lt;&gt;"")*(A_Corridor!$A$5:$A$204&lt;=$B753)*(A_Corridor!$B$5:$B$204&gt;$B753)*(A_Corridor!$F$5:$F$204&lt;&gt;"")),IF(A_Corridor!$F$5:$F$204="-","",A_Corridor!$F$5:$F$204)),"")</f>
        <v/>
      </c>
      <c r="K753" s="182" t="str">
        <f>IFERROR(LOOKUP(2,1/((A_Corridor!$A$5:$A$204&lt;&gt;"")*(A_Corridor!$A$5:$A$204&lt;=$B753)*(A_Corridor!$B$5:$B$204&gt;$B753)*(A_Corridor!$G$5:$G$204&lt;&gt;"")),IF(A_Corridor!$G$5:$G$204="-","",A_Corridor!$G$5:$G$204)),"")</f>
        <v/>
      </c>
      <c r="L753" s="181" t="str">
        <f>IFERROR(LOOKUP(2,1/((A_Corridor!$A$5:$A$204&lt;&gt;"")*(A_Corridor!$A$5:$A$204&lt;=$B753)*(A_Corridor!$B$5:$B$204&gt;$B753)*(A_Corridor!$H$5:$H$204&lt;&gt;"")),IF(A_Corridor!$H$5:$H$204="-","",1)),"")</f>
        <v/>
      </c>
      <c r="M753" s="182" t="str">
        <f>IFERROR(LOOKUP(2,1/((A_Corridor!$A$5:$A$204&lt;&gt;"")*(A_Corridor!$A$5:$A$204&lt;=$B753)*(A_Corridor!$B$5:$B$204&gt;$B753)*(A_Corridor!$H$5:$H$204&lt;&gt;"")),IF(A_Corridor!$H$5:$H$204="-","",A_Corridor!$H$5:$H$204)),"")</f>
        <v/>
      </c>
      <c r="N753" s="182" t="str">
        <f>IFERROR(LOOKUP(2,1/((A_Corridor!$A$5:$A$204&lt;&gt;"")*(A_Corridor!$A$5:$A$204&lt;=$B753)*(A_Corridor!$B$5:$B$204&gt;$B753)*(A_Corridor!$I$5:$I$204&lt;&gt;"")),IF(A_Corridor!$I$5:$I$204="-","",A_Corridor!$I$5:$I$204)),"")</f>
        <v/>
      </c>
      <c r="O753" s="182" t="str">
        <f>IFERROR(LOOKUP(2,1/((D_Points!$A$5:$A$204&lt;&gt;"")*(D_Points!$A$5:$A$204&gt;=$B753)*(D_Points!$A$5:$A$204&lt;$B753+P_Interval)*(UPPER(TRIM(D_Points!$B$5:$B$204))="PITCHING")*(D_Points!$H$5:$H$204&lt;&gt;"")),D_Points!$H$5:$H$204),"")</f>
        <v/>
      </c>
      <c r="P753" s="181" t="str">
        <f>IFERROR(LOOKUP(2,1/((B_Drainage!$A$5:$A$204&lt;&gt;"")*(B_Drainage!$A$5:$A$204&lt;=$B753)*(B_Drainage!$B$5:$B$204&gt;$B753)*(B_Drainage!$C$5:$C$204&lt;&gt;"")),IF(B_Drainage!$C$5:$C$204="-","",UPPER(B_Drainage!$C$5:$C$204))),"")</f>
        <v/>
      </c>
      <c r="Q753" s="181" t="str">
        <f>IFERROR(LOOKUP(2,1/((B_Drainage!$A$5:$A$204&lt;&gt;"")*(B_Drainage!$A$5:$A$204&lt;=$B753)*(B_Drainage!$B$5:$B$204&gt;$B753)*(B_Drainage!$D$5:$D$204&lt;&gt;"")),IF(B_Drainage!$D$5:$D$204="-","",UPPER(B_Drainage!$D$5:$D$204))),"")</f>
        <v/>
      </c>
      <c r="R753" s="182" t="str">
        <f>IFERROR(LOOKUP(2,1/((D_Points!$A$5:$A$204&lt;&gt;"")*(D_Points!$A$5:$A$204&gt;=$B753)*(D_Points!$A$5:$A$204&lt;$B753+P_Interval)*(RIGHT(UPPER(TRIM(D_Points!$B$5:$B$204)),8)="_CULVERT")),IF(LEFT(UPPER(TRIM(D_Points!$B$5:$B$204)),2)="EX",1,IF(LEFT(UPPER(TRIM(D_Points!$B$5:$B$204)),2)="PR",2,3))),"")</f>
        <v/>
      </c>
      <c r="S753" s="182" t="str">
        <f>IFERROR(LOOKUP(2,1/((D_Points!$A$5:$A$204&lt;&gt;"")*(D_Points!$A$5:$A$204&gt;=$B753)*(D_Points!$A$5:$A$204&lt;$B753+P_Interval)*(RIGHT(UPPER(TRIM(D_Points!$B$5:$B$204)),7)="_BRIDGE")),IF(LEFT(UPPER(TRIM(D_Points!$B$5:$B$204)),2)="EX",1,IF(LEFT(UPPER(TRIM(D_Points!$B$5:$B$204)),2)="PR",2,2))),"")</f>
        <v/>
      </c>
      <c r="T753" s="181" t="str">
        <f>IFERROR(LOOKUP(2,1/((B_Drainage!$A$5:$A$204&lt;&gt;"")*(B_Drainage!$A$5:$A$204&lt;=$B753)*(B_Drainage!$B$5:$B$204&gt;$B753)*(B_Drainage!$E$5:$E$204&lt;&gt;"")),IF(B_Drainage!$E$5:$E$204="-","",1)),"")</f>
        <v/>
      </c>
      <c r="U753" s="181" t="str">
        <f>IFERROR(LOOKUP(2,1/((B_Drainage!$A$5:$A$204&lt;&gt;"")*(B_Drainage!$A$5:$A$204&lt;=$B753)*(B_Drainage!$B$5:$B$204&gt;$B753)*(B_Drainage!$E$5:$E$204&lt;&gt;"")),IF(B_Drainage!$E$5:$E$204="-","",B_Drainage!$E$5:$E$204)),"")</f>
        <v/>
      </c>
      <c r="V753" s="181" t="str">
        <f>IFERROR(LOOKUP(2,1/((B_Drainage!$A$5:$A$204&lt;&gt;"")*(B_Drainage!$A$5:$A$204&lt;=$B753)*(B_Drainage!$B$5:$B$204&gt;$B753)*(B_Drainage!$F$5:$F$204&lt;&gt;"")),IF(B_Drainage!$F$5:$F$204="-","",1)),"")</f>
        <v/>
      </c>
      <c r="W753" s="181" t="str">
        <f>IFERROR(LOOKUP(2,1/((B_Drainage!$A$5:$A$204&lt;&gt;"")*(B_Drainage!$A$5:$A$204&lt;=$B753)*(B_Drainage!$B$5:$B$204&gt;$B753)*(B_Drainage!$F$5:$F$204&lt;&gt;"")),IF(B_Drainage!$F$5:$F$204="-","",B_Drainage!$F$5:$F$204)),"")</f>
        <v/>
      </c>
      <c r="X753" s="181" t="str">
        <f>IFERROR(LOOKUP(2,1/((B_Drainage!$A$5:$A$204&lt;&gt;"")*(B_Drainage!$A$5:$A$204&lt;=$B753)*(B_Drainage!$B$5:$B$204&gt;$B753)*(B_Drainage!$G$5:$G$204&lt;&gt;"")),IF(UPPER(B_Drainage!$G$5:$G$204)="Y",1,"")),"")</f>
        <v/>
      </c>
      <c r="Y753" s="181" t="str">
        <f>IFERROR(LOOKUP(2,1/((B_Drainage!$A$5:$A$204&lt;&gt;"")*(B_Drainage!$A$5:$A$204&lt;=$B753)*(B_Drainage!$B$5:$B$204&gt;$B753)*(B_Drainage!$H$5:$H$204&lt;&gt;"")),IF(UPPER(B_Drainage!$H$5:$H$204)="Y",1,"")),"")</f>
        <v/>
      </c>
      <c r="Z753" s="181" t="str">
        <f>IFERROR(LOOKUP(2,1/((B_Drainage!$A$5:$A$204&lt;&gt;"")*(B_Drainage!$A$5:$A$204&lt;=$B753)*(B_Drainage!$B$5:$B$204&gt;$B753)*(B_Drainage!$I$5:$I$204&lt;&gt;"")),IF(UPPER(B_Drainage!$I$5:$I$204)="Y",1,"")),"")</f>
        <v/>
      </c>
      <c r="AA753" s="181" t="str">
        <f>IFERROR(LOOKUP(2,1/((B_Drainage!$A$5:$A$204&lt;&gt;"")*(B_Drainage!$A$5:$A$204&lt;=$B753)*(B_Drainage!$B$5:$B$204&gt;$B753)*(B_Drainage!$J$5:$J$204&lt;&gt;"")),IF(UPPER(B_Drainage!$J$5:$J$204)="Y",1,"")),"")</f>
        <v/>
      </c>
      <c r="AB753" s="182" t="str">
        <f>IFERROR(LOOKUP(2,1/((B_Drainage!$A$5:$A$204&lt;&gt;"")*(B_Drainage!$A$5:$A$204&lt;=$B753)*(B_Drainage!$B$5:$B$204&gt;$B753)*(B_Drainage!$K$5:$K$204&lt;&gt;"")),IF(B_Drainage!$K$5:$K$204="-","",B_Drainage!$K$5:$K$204)),"")</f>
        <v/>
      </c>
      <c r="AC753" s="182" t="str">
        <f>IFERROR(LOOKUP(2,1/((B_Drainage!$A$5:$A$204&lt;&gt;"")*(B_Drainage!$A$5:$A$204&lt;=$B753)*(B_Drainage!$B$5:$B$204&gt;$B753)*(B_Drainage!$L$5:$L$204&lt;&gt;"")),IF(B_Drainage!$L$5:$L$204="-","",B_Drainage!$L$5:$L$204)),"")</f>
        <v/>
      </c>
      <c r="AD753" s="182" t="str">
        <f>IFERROR(LOOKUP(2,1/((D_Points!$A$5:$A$204&lt;&gt;"")*(D_Points!$A$5:$A$204&gt;=$B753)*(D_Points!$A$5:$A$204&lt;$B753+P_Interval)*(UPPER(TRIM(D_Points!$B$5:$B$204))="TURNOUT_L")*(D_Points!$H$5:$H$204&lt;&gt;"")),D_Points!$H$5:$H$204),"")</f>
        <v/>
      </c>
      <c r="AE753" s="182" t="str">
        <f>IFERROR(LOOKUP(2,1/((D_Points!$A$5:$A$204&lt;&gt;"")*(D_Points!$A$5:$A$204&gt;=$B753)*(D_Points!$A$5:$A$204&lt;$B753+P_Interval)*(UPPER(TRIM(D_Points!$B$5:$B$204))="TURNOUT_R")*(D_Points!$H$5:$H$204&lt;&gt;"")),D_Points!$H$5:$H$204),"")</f>
        <v/>
      </c>
      <c r="AF753" s="181" t="str">
        <f>IFERROR(LOOKUP(2,1/((B_Drainage!$A$5:$A$204&lt;&gt;"")*(B_Drainage!$A$5:$A$204&lt;=$B753)*(B_Drainage!$B$5:$B$204&gt;$B753)*(B_Drainage!$M$5:$M$204&lt;&gt;"")),IF(UPPER(B_Drainage!$M$5:$M$204)="Y",1,"")),"")</f>
        <v/>
      </c>
      <c r="AG753" s="181" t="str">
        <f>IFERROR(LOOKUP(2,1/((B_Drainage!$A$5:$A$204&lt;&gt;"")*(B_Drainage!$A$5:$A$204&lt;=$B753)*(B_Drainage!$B$5:$B$204&gt;$B753)*(B_Drainage!$N$5:$N$204&lt;&gt;"")),IF(UPPER(B_Drainage!$N$5:$N$204)="Y",1,"")),"")</f>
        <v/>
      </c>
      <c r="AH753" s="181" t="str">
        <f t="shared" si="88"/>
        <v/>
      </c>
      <c r="AI753" s="181" t="str">
        <f t="shared" si="89"/>
        <v/>
      </c>
      <c r="AJ753" s="181" t="str">
        <f t="shared" si="90"/>
        <v/>
      </c>
      <c r="AK753" s="181" t="str">
        <f t="shared" si="91"/>
        <v/>
      </c>
      <c r="AL753" s="181" t="str">
        <f t="shared" si="92"/>
        <v/>
      </c>
      <c r="AM753" s="181" t="str">
        <f t="shared" si="93"/>
        <v/>
      </c>
      <c r="AN753" s="181" t="str">
        <f t="shared" si="94"/>
        <v/>
      </c>
      <c r="AO753" s="192" t="str">
        <f t="shared" si="95"/>
        <v/>
      </c>
      <c r="AQ753" t="str">
        <f>IFERROR(LOOKUP(2,1/((C_Pavement!$A$5:$A$204&lt;&gt;"")*(C_Pavement!$A$5:$A$204&lt;=$B753)*(C_Pavement!$B$5:$B$204&gt;$B753)*(C_Pavement!$C$5:$C$204&lt;&gt;"")),ROW(C_Pavement!$C$5:$C$204)-4),"")</f>
        <v/>
      </c>
      <c r="AR753" t="str">
        <f>IF($AQ753="","",UPPER(TRIM(INDEX(C_Pavement!$C$5:$C$204,$AQ753))))</f>
        <v/>
      </c>
      <c r="AS753" t="str">
        <f>IF($AR753="","",IFERROR(MATCH($AR753,E_Rules!$A$5:$A$9,0),""))</f>
        <v/>
      </c>
      <c r="AT753" t="str">
        <f>IF($AQ753="","",IF(INDEX(C_Pavement!$D$5:$D$204,$AQ753)&lt;&gt;"",UPPER(TRIM(INDEX(C_Pavement!$D$5:$D$204,$AQ753))),IF($AS753="","",INDEX(E_Rules!$C$5:$C$9,$AS753))))</f>
        <v/>
      </c>
      <c r="AU753" t="str">
        <f>IF($AQ753="","",IF(INDEX(C_Pavement!$E$5:$E$204,$AQ753)&lt;&gt;"",IF(INDEX(C_Pavement!$E$5:$E$204,$AQ753)="-","",INDEX(C_Pavement!$E$5:$E$204,$AQ753)),IF($AS753="","",INDEX(E_Rules!$D$5:$D$9,$AS753))))</f>
        <v/>
      </c>
      <c r="AV753" t="str">
        <f>IF($AQ753="","",IF(INDEX(C_Pavement!$F$5:$F$204,$AQ753)&lt;&gt;"",IF(INDEX(C_Pavement!$F$5:$F$204,$AQ753)="-","",INDEX(C_Pavement!$F$5:$F$204,$AQ753)),IF($AS753="","",INDEX(E_Rules!$E$5:$E$9,$AS753))))</f>
        <v/>
      </c>
      <c r="AW753" t="str">
        <f>IF($AQ753="","",IF(INDEX(C_Pavement!$G$5:$G$204,$AQ753)&lt;&gt;"",IF(INDEX(C_Pavement!$G$5:$G$204,$AQ753)="-","",INDEX(C_Pavement!$G$5:$G$204,$AQ753)),IF($AS753="","",INDEX(E_Rules!$F$5:$F$9,$AS753))))</f>
        <v/>
      </c>
      <c r="AX753" t="str">
        <f>IF($AQ753="","",IF(INDEX(C_Pavement!$H$5:$H$204,$AQ753)&lt;&gt;"",IF(INDEX(C_Pavement!$H$5:$H$204,$AQ753)="-","",INDEX(C_Pavement!$H$5:$H$204,$AQ753)),IF($AS753="","",INDEX(E_Rules!$G$5:$G$9,$AS753))))</f>
        <v/>
      </c>
      <c r="AY753" t="str">
        <f>IF($AQ753="","",IF(INDEX(C_Pavement!$I$5:$I$204,$AQ753)&lt;&gt;"",IF(INDEX(C_Pavement!$I$5:$I$204,$AQ753)="-","",INDEX(C_Pavement!$I$5:$I$204,$AQ753)),IF($AS753="","",INDEX(E_Rules!$H$5:$H$9,$AS753))))</f>
        <v/>
      </c>
    </row>
    <row r="754" spans="1:51" ht="15.75" customHeight="1" x14ac:dyDescent="0.3">
      <c r="A754" s="189">
        <v>749</v>
      </c>
      <c r="B754" s="180">
        <v>37400</v>
      </c>
      <c r="C754" s="180" t="s">
        <v>1060</v>
      </c>
      <c r="D754" s="181" t="str">
        <f>IFERROR(LOOKUP(2,1/((A_Corridor!$A$5:$A$204&lt;&gt;"")*(A_Corridor!$A$5:$A$204&lt;=$B754)*(A_Corridor!$B$5:$B$204&gt;$B754)*(A_Corridor!$C$5:$C$204&lt;&gt;"")),IF(UPPER(A_Corridor!$C$5:$C$204)="Y",1,"")),"")</f>
        <v/>
      </c>
      <c r="E754" s="181" t="str">
        <f>IFERROR(LOOKUP(2,1/((A_Corridor!$A$5:$A$204&lt;&gt;"")*(A_Corridor!$A$5:$A$204&lt;=$B754)*(A_Corridor!$B$5:$B$204&gt;$B754)*(A_Corridor!$D$5:$D$204&lt;&gt;"")),IF(A_Corridor!$D$5:$D$204="-","",UPPER(A_Corridor!$D$5:$D$204))),"")</f>
        <v/>
      </c>
      <c r="F754" s="181" t="str">
        <f>IFERROR(LOOKUP(2,1/((A_Corridor!$A$5:$A$204&lt;&gt;"")*(A_Corridor!$A$5:$A$204&lt;=$B754)*(A_Corridor!$B$5:$B$204&gt;$B754)*(A_Corridor!$E$5:$E$204&lt;&gt;"")),IF(A_Corridor!$E$5:$E$204="-","",1)),"")</f>
        <v/>
      </c>
      <c r="G754" s="182" t="str">
        <f>IFERROR(LOOKUP(2,1/((A_Corridor!$A$5:$A$204&lt;&gt;"")*(A_Corridor!$A$5:$A$204&lt;=$B754)*(A_Corridor!$B$5:$B$204&gt;$B754)*(A_Corridor!$E$5:$E$204&lt;&gt;"")),IF(A_Corridor!$E$5:$E$204="-","",A_Corridor!$E$5:$E$204)),"")</f>
        <v/>
      </c>
      <c r="H754" s="182" t="str">
        <f>IFERROR(LOOKUP(2,1/((D_Points!$A$5:$A$204&lt;&gt;"")*(D_Points!$A$5:$A$204&gt;=$B754)*(D_Points!$A$5:$A$204&lt;$B754+P_Interval)*(UPPER(TRIM(D_Points!$B$5:$B$204))="GULLY")*(D_Points!$H$5:$H$204&lt;&gt;"")),D_Points!$H$5:$H$204),"")</f>
        <v/>
      </c>
      <c r="I754" s="181" t="str">
        <f>IFERROR(LOOKUP(2,1/((A_Corridor!$A$5:$A$204&lt;&gt;"")*(A_Corridor!$A$5:$A$204&lt;=$B754)*(A_Corridor!$B$5:$B$204&gt;$B754)*(A_Corridor!$F$5:$F$204&lt;&gt;"")),IF(A_Corridor!$F$5:$F$204="-","",1)),"")</f>
        <v/>
      </c>
      <c r="J754" s="182" t="str">
        <f>IFERROR(LOOKUP(2,1/((A_Corridor!$A$5:$A$204&lt;&gt;"")*(A_Corridor!$A$5:$A$204&lt;=$B754)*(A_Corridor!$B$5:$B$204&gt;$B754)*(A_Corridor!$F$5:$F$204&lt;&gt;"")),IF(A_Corridor!$F$5:$F$204="-","",A_Corridor!$F$5:$F$204)),"")</f>
        <v/>
      </c>
      <c r="K754" s="182" t="str">
        <f>IFERROR(LOOKUP(2,1/((A_Corridor!$A$5:$A$204&lt;&gt;"")*(A_Corridor!$A$5:$A$204&lt;=$B754)*(A_Corridor!$B$5:$B$204&gt;$B754)*(A_Corridor!$G$5:$G$204&lt;&gt;"")),IF(A_Corridor!$G$5:$G$204="-","",A_Corridor!$G$5:$G$204)),"")</f>
        <v/>
      </c>
      <c r="L754" s="181" t="str">
        <f>IFERROR(LOOKUP(2,1/((A_Corridor!$A$5:$A$204&lt;&gt;"")*(A_Corridor!$A$5:$A$204&lt;=$B754)*(A_Corridor!$B$5:$B$204&gt;$B754)*(A_Corridor!$H$5:$H$204&lt;&gt;"")),IF(A_Corridor!$H$5:$H$204="-","",1)),"")</f>
        <v/>
      </c>
      <c r="M754" s="182" t="str">
        <f>IFERROR(LOOKUP(2,1/((A_Corridor!$A$5:$A$204&lt;&gt;"")*(A_Corridor!$A$5:$A$204&lt;=$B754)*(A_Corridor!$B$5:$B$204&gt;$B754)*(A_Corridor!$H$5:$H$204&lt;&gt;"")),IF(A_Corridor!$H$5:$H$204="-","",A_Corridor!$H$5:$H$204)),"")</f>
        <v/>
      </c>
      <c r="N754" s="182" t="str">
        <f>IFERROR(LOOKUP(2,1/((A_Corridor!$A$5:$A$204&lt;&gt;"")*(A_Corridor!$A$5:$A$204&lt;=$B754)*(A_Corridor!$B$5:$B$204&gt;$B754)*(A_Corridor!$I$5:$I$204&lt;&gt;"")),IF(A_Corridor!$I$5:$I$204="-","",A_Corridor!$I$5:$I$204)),"")</f>
        <v/>
      </c>
      <c r="O754" s="182" t="str">
        <f>IFERROR(LOOKUP(2,1/((D_Points!$A$5:$A$204&lt;&gt;"")*(D_Points!$A$5:$A$204&gt;=$B754)*(D_Points!$A$5:$A$204&lt;$B754+P_Interval)*(UPPER(TRIM(D_Points!$B$5:$B$204))="PITCHING")*(D_Points!$H$5:$H$204&lt;&gt;"")),D_Points!$H$5:$H$204),"")</f>
        <v/>
      </c>
      <c r="P754" s="181" t="str">
        <f>IFERROR(LOOKUP(2,1/((B_Drainage!$A$5:$A$204&lt;&gt;"")*(B_Drainage!$A$5:$A$204&lt;=$B754)*(B_Drainage!$B$5:$B$204&gt;$B754)*(B_Drainage!$C$5:$C$204&lt;&gt;"")),IF(B_Drainage!$C$5:$C$204="-","",UPPER(B_Drainage!$C$5:$C$204))),"")</f>
        <v/>
      </c>
      <c r="Q754" s="181" t="str">
        <f>IFERROR(LOOKUP(2,1/((B_Drainage!$A$5:$A$204&lt;&gt;"")*(B_Drainage!$A$5:$A$204&lt;=$B754)*(B_Drainage!$B$5:$B$204&gt;$B754)*(B_Drainage!$D$5:$D$204&lt;&gt;"")),IF(B_Drainage!$D$5:$D$204="-","",UPPER(B_Drainage!$D$5:$D$204))),"")</f>
        <v/>
      </c>
      <c r="R754" s="182" t="str">
        <f>IFERROR(LOOKUP(2,1/((D_Points!$A$5:$A$204&lt;&gt;"")*(D_Points!$A$5:$A$204&gt;=$B754)*(D_Points!$A$5:$A$204&lt;$B754+P_Interval)*(RIGHT(UPPER(TRIM(D_Points!$B$5:$B$204)),8)="_CULVERT")),IF(LEFT(UPPER(TRIM(D_Points!$B$5:$B$204)),2)="EX",1,IF(LEFT(UPPER(TRIM(D_Points!$B$5:$B$204)),2)="PR",2,3))),"")</f>
        <v/>
      </c>
      <c r="S754" s="182" t="str">
        <f>IFERROR(LOOKUP(2,1/((D_Points!$A$5:$A$204&lt;&gt;"")*(D_Points!$A$5:$A$204&gt;=$B754)*(D_Points!$A$5:$A$204&lt;$B754+P_Interval)*(RIGHT(UPPER(TRIM(D_Points!$B$5:$B$204)),7)="_BRIDGE")),IF(LEFT(UPPER(TRIM(D_Points!$B$5:$B$204)),2)="EX",1,IF(LEFT(UPPER(TRIM(D_Points!$B$5:$B$204)),2)="PR",2,2))),"")</f>
        <v/>
      </c>
      <c r="T754" s="181" t="str">
        <f>IFERROR(LOOKUP(2,1/((B_Drainage!$A$5:$A$204&lt;&gt;"")*(B_Drainage!$A$5:$A$204&lt;=$B754)*(B_Drainage!$B$5:$B$204&gt;$B754)*(B_Drainage!$E$5:$E$204&lt;&gt;"")),IF(B_Drainage!$E$5:$E$204="-","",1)),"")</f>
        <v/>
      </c>
      <c r="U754" s="181" t="str">
        <f>IFERROR(LOOKUP(2,1/((B_Drainage!$A$5:$A$204&lt;&gt;"")*(B_Drainage!$A$5:$A$204&lt;=$B754)*(B_Drainage!$B$5:$B$204&gt;$B754)*(B_Drainage!$E$5:$E$204&lt;&gt;"")),IF(B_Drainage!$E$5:$E$204="-","",B_Drainage!$E$5:$E$204)),"")</f>
        <v/>
      </c>
      <c r="V754" s="181" t="str">
        <f>IFERROR(LOOKUP(2,1/((B_Drainage!$A$5:$A$204&lt;&gt;"")*(B_Drainage!$A$5:$A$204&lt;=$B754)*(B_Drainage!$B$5:$B$204&gt;$B754)*(B_Drainage!$F$5:$F$204&lt;&gt;"")),IF(B_Drainage!$F$5:$F$204="-","",1)),"")</f>
        <v/>
      </c>
      <c r="W754" s="181" t="str">
        <f>IFERROR(LOOKUP(2,1/((B_Drainage!$A$5:$A$204&lt;&gt;"")*(B_Drainage!$A$5:$A$204&lt;=$B754)*(B_Drainage!$B$5:$B$204&gt;$B754)*(B_Drainage!$F$5:$F$204&lt;&gt;"")),IF(B_Drainage!$F$5:$F$204="-","",B_Drainage!$F$5:$F$204)),"")</f>
        <v/>
      </c>
      <c r="X754" s="181" t="str">
        <f>IFERROR(LOOKUP(2,1/((B_Drainage!$A$5:$A$204&lt;&gt;"")*(B_Drainage!$A$5:$A$204&lt;=$B754)*(B_Drainage!$B$5:$B$204&gt;$B754)*(B_Drainage!$G$5:$G$204&lt;&gt;"")),IF(UPPER(B_Drainage!$G$5:$G$204)="Y",1,"")),"")</f>
        <v/>
      </c>
      <c r="Y754" s="181" t="str">
        <f>IFERROR(LOOKUP(2,1/((B_Drainage!$A$5:$A$204&lt;&gt;"")*(B_Drainage!$A$5:$A$204&lt;=$B754)*(B_Drainage!$B$5:$B$204&gt;$B754)*(B_Drainage!$H$5:$H$204&lt;&gt;"")),IF(UPPER(B_Drainage!$H$5:$H$204)="Y",1,"")),"")</f>
        <v/>
      </c>
      <c r="Z754" s="181" t="str">
        <f>IFERROR(LOOKUP(2,1/((B_Drainage!$A$5:$A$204&lt;&gt;"")*(B_Drainage!$A$5:$A$204&lt;=$B754)*(B_Drainage!$B$5:$B$204&gt;$B754)*(B_Drainage!$I$5:$I$204&lt;&gt;"")),IF(UPPER(B_Drainage!$I$5:$I$204)="Y",1,"")),"")</f>
        <v/>
      </c>
      <c r="AA754" s="181" t="str">
        <f>IFERROR(LOOKUP(2,1/((B_Drainage!$A$5:$A$204&lt;&gt;"")*(B_Drainage!$A$5:$A$204&lt;=$B754)*(B_Drainage!$B$5:$B$204&gt;$B754)*(B_Drainage!$J$5:$J$204&lt;&gt;"")),IF(UPPER(B_Drainage!$J$5:$J$204)="Y",1,"")),"")</f>
        <v/>
      </c>
      <c r="AB754" s="182" t="str">
        <f>IFERROR(LOOKUP(2,1/((B_Drainage!$A$5:$A$204&lt;&gt;"")*(B_Drainage!$A$5:$A$204&lt;=$B754)*(B_Drainage!$B$5:$B$204&gt;$B754)*(B_Drainage!$K$5:$K$204&lt;&gt;"")),IF(B_Drainage!$K$5:$K$204="-","",B_Drainage!$K$5:$K$204)),"")</f>
        <v/>
      </c>
      <c r="AC754" s="182" t="str">
        <f>IFERROR(LOOKUP(2,1/((B_Drainage!$A$5:$A$204&lt;&gt;"")*(B_Drainage!$A$5:$A$204&lt;=$B754)*(B_Drainage!$B$5:$B$204&gt;$B754)*(B_Drainage!$L$5:$L$204&lt;&gt;"")),IF(B_Drainage!$L$5:$L$204="-","",B_Drainage!$L$5:$L$204)),"")</f>
        <v/>
      </c>
      <c r="AD754" s="182" t="str">
        <f>IFERROR(LOOKUP(2,1/((D_Points!$A$5:$A$204&lt;&gt;"")*(D_Points!$A$5:$A$204&gt;=$B754)*(D_Points!$A$5:$A$204&lt;$B754+P_Interval)*(UPPER(TRIM(D_Points!$B$5:$B$204))="TURNOUT_L")*(D_Points!$H$5:$H$204&lt;&gt;"")),D_Points!$H$5:$H$204),"")</f>
        <v/>
      </c>
      <c r="AE754" s="182" t="str">
        <f>IFERROR(LOOKUP(2,1/((D_Points!$A$5:$A$204&lt;&gt;"")*(D_Points!$A$5:$A$204&gt;=$B754)*(D_Points!$A$5:$A$204&lt;$B754+P_Interval)*(UPPER(TRIM(D_Points!$B$5:$B$204))="TURNOUT_R")*(D_Points!$H$5:$H$204&lt;&gt;"")),D_Points!$H$5:$H$204),"")</f>
        <v/>
      </c>
      <c r="AF754" s="181" t="str">
        <f>IFERROR(LOOKUP(2,1/((B_Drainage!$A$5:$A$204&lt;&gt;"")*(B_Drainage!$A$5:$A$204&lt;=$B754)*(B_Drainage!$B$5:$B$204&gt;$B754)*(B_Drainage!$M$5:$M$204&lt;&gt;"")),IF(UPPER(B_Drainage!$M$5:$M$204)="Y",1,"")),"")</f>
        <v/>
      </c>
      <c r="AG754" s="181" t="str">
        <f>IFERROR(LOOKUP(2,1/((B_Drainage!$A$5:$A$204&lt;&gt;"")*(B_Drainage!$A$5:$A$204&lt;=$B754)*(B_Drainage!$B$5:$B$204&gt;$B754)*(B_Drainage!$N$5:$N$204&lt;&gt;"")),IF(UPPER(B_Drainage!$N$5:$N$204)="Y",1,"")),"")</f>
        <v/>
      </c>
      <c r="AH754" s="181" t="str">
        <f t="shared" si="88"/>
        <v/>
      </c>
      <c r="AI754" s="181" t="str">
        <f t="shared" si="89"/>
        <v/>
      </c>
      <c r="AJ754" s="181" t="str">
        <f t="shared" si="90"/>
        <v/>
      </c>
      <c r="AK754" s="181" t="str">
        <f t="shared" si="91"/>
        <v/>
      </c>
      <c r="AL754" s="181" t="str">
        <f t="shared" si="92"/>
        <v/>
      </c>
      <c r="AM754" s="181" t="str">
        <f t="shared" si="93"/>
        <v/>
      </c>
      <c r="AN754" s="181" t="str">
        <f t="shared" si="94"/>
        <v/>
      </c>
      <c r="AO754" s="192" t="str">
        <f t="shared" si="95"/>
        <v/>
      </c>
      <c r="AQ754" t="str">
        <f>IFERROR(LOOKUP(2,1/((C_Pavement!$A$5:$A$204&lt;&gt;"")*(C_Pavement!$A$5:$A$204&lt;=$B754)*(C_Pavement!$B$5:$B$204&gt;$B754)*(C_Pavement!$C$5:$C$204&lt;&gt;"")),ROW(C_Pavement!$C$5:$C$204)-4),"")</f>
        <v/>
      </c>
      <c r="AR754" t="str">
        <f>IF($AQ754="","",UPPER(TRIM(INDEX(C_Pavement!$C$5:$C$204,$AQ754))))</f>
        <v/>
      </c>
      <c r="AS754" t="str">
        <f>IF($AR754="","",IFERROR(MATCH($AR754,E_Rules!$A$5:$A$9,0),""))</f>
        <v/>
      </c>
      <c r="AT754" t="str">
        <f>IF($AQ754="","",IF(INDEX(C_Pavement!$D$5:$D$204,$AQ754)&lt;&gt;"",UPPER(TRIM(INDEX(C_Pavement!$D$5:$D$204,$AQ754))),IF($AS754="","",INDEX(E_Rules!$C$5:$C$9,$AS754))))</f>
        <v/>
      </c>
      <c r="AU754" t="str">
        <f>IF($AQ754="","",IF(INDEX(C_Pavement!$E$5:$E$204,$AQ754)&lt;&gt;"",IF(INDEX(C_Pavement!$E$5:$E$204,$AQ754)="-","",INDEX(C_Pavement!$E$5:$E$204,$AQ754)),IF($AS754="","",INDEX(E_Rules!$D$5:$D$9,$AS754))))</f>
        <v/>
      </c>
      <c r="AV754" t="str">
        <f>IF($AQ754="","",IF(INDEX(C_Pavement!$F$5:$F$204,$AQ754)&lt;&gt;"",IF(INDEX(C_Pavement!$F$5:$F$204,$AQ754)="-","",INDEX(C_Pavement!$F$5:$F$204,$AQ754)),IF($AS754="","",INDEX(E_Rules!$E$5:$E$9,$AS754))))</f>
        <v/>
      </c>
      <c r="AW754" t="str">
        <f>IF($AQ754="","",IF(INDEX(C_Pavement!$G$5:$G$204,$AQ754)&lt;&gt;"",IF(INDEX(C_Pavement!$G$5:$G$204,$AQ754)="-","",INDEX(C_Pavement!$G$5:$G$204,$AQ754)),IF($AS754="","",INDEX(E_Rules!$F$5:$F$9,$AS754))))</f>
        <v/>
      </c>
      <c r="AX754" t="str">
        <f>IF($AQ754="","",IF(INDEX(C_Pavement!$H$5:$H$204,$AQ754)&lt;&gt;"",IF(INDEX(C_Pavement!$H$5:$H$204,$AQ754)="-","",INDEX(C_Pavement!$H$5:$H$204,$AQ754)),IF($AS754="","",INDEX(E_Rules!$G$5:$G$9,$AS754))))</f>
        <v/>
      </c>
      <c r="AY754" t="str">
        <f>IF($AQ754="","",IF(INDEX(C_Pavement!$I$5:$I$204,$AQ754)&lt;&gt;"",IF(INDEX(C_Pavement!$I$5:$I$204,$AQ754)="-","",INDEX(C_Pavement!$I$5:$I$204,$AQ754)),IF($AS754="","",INDEX(E_Rules!$H$5:$H$9,$AS754))))</f>
        <v/>
      </c>
    </row>
    <row r="755" spans="1:51" ht="15.75" customHeight="1" x14ac:dyDescent="0.3">
      <c r="A755" s="189">
        <v>750</v>
      </c>
      <c r="B755" s="180">
        <v>37450</v>
      </c>
      <c r="C755" s="180" t="s">
        <v>1061</v>
      </c>
      <c r="D755" s="181" t="str">
        <f>IFERROR(LOOKUP(2,1/((A_Corridor!$A$5:$A$204&lt;&gt;"")*(A_Corridor!$A$5:$A$204&lt;=$B755)*(A_Corridor!$B$5:$B$204&gt;$B755)*(A_Corridor!$C$5:$C$204&lt;&gt;"")),IF(UPPER(A_Corridor!$C$5:$C$204)="Y",1,"")),"")</f>
        <v/>
      </c>
      <c r="E755" s="181" t="str">
        <f>IFERROR(LOOKUP(2,1/((A_Corridor!$A$5:$A$204&lt;&gt;"")*(A_Corridor!$A$5:$A$204&lt;=$B755)*(A_Corridor!$B$5:$B$204&gt;$B755)*(A_Corridor!$D$5:$D$204&lt;&gt;"")),IF(A_Corridor!$D$5:$D$204="-","",UPPER(A_Corridor!$D$5:$D$204))),"")</f>
        <v/>
      </c>
      <c r="F755" s="181" t="str">
        <f>IFERROR(LOOKUP(2,1/((A_Corridor!$A$5:$A$204&lt;&gt;"")*(A_Corridor!$A$5:$A$204&lt;=$B755)*(A_Corridor!$B$5:$B$204&gt;$B755)*(A_Corridor!$E$5:$E$204&lt;&gt;"")),IF(A_Corridor!$E$5:$E$204="-","",1)),"")</f>
        <v/>
      </c>
      <c r="G755" s="182" t="str">
        <f>IFERROR(LOOKUP(2,1/((A_Corridor!$A$5:$A$204&lt;&gt;"")*(A_Corridor!$A$5:$A$204&lt;=$B755)*(A_Corridor!$B$5:$B$204&gt;$B755)*(A_Corridor!$E$5:$E$204&lt;&gt;"")),IF(A_Corridor!$E$5:$E$204="-","",A_Corridor!$E$5:$E$204)),"")</f>
        <v/>
      </c>
      <c r="H755" s="182" t="str">
        <f>IFERROR(LOOKUP(2,1/((D_Points!$A$5:$A$204&lt;&gt;"")*(D_Points!$A$5:$A$204&gt;=$B755)*(D_Points!$A$5:$A$204&lt;$B755+P_Interval)*(UPPER(TRIM(D_Points!$B$5:$B$204))="GULLY")*(D_Points!$H$5:$H$204&lt;&gt;"")),D_Points!$H$5:$H$204),"")</f>
        <v/>
      </c>
      <c r="I755" s="181" t="str">
        <f>IFERROR(LOOKUP(2,1/((A_Corridor!$A$5:$A$204&lt;&gt;"")*(A_Corridor!$A$5:$A$204&lt;=$B755)*(A_Corridor!$B$5:$B$204&gt;$B755)*(A_Corridor!$F$5:$F$204&lt;&gt;"")),IF(A_Corridor!$F$5:$F$204="-","",1)),"")</f>
        <v/>
      </c>
      <c r="J755" s="182" t="str">
        <f>IFERROR(LOOKUP(2,1/((A_Corridor!$A$5:$A$204&lt;&gt;"")*(A_Corridor!$A$5:$A$204&lt;=$B755)*(A_Corridor!$B$5:$B$204&gt;$B755)*(A_Corridor!$F$5:$F$204&lt;&gt;"")),IF(A_Corridor!$F$5:$F$204="-","",A_Corridor!$F$5:$F$204)),"")</f>
        <v/>
      </c>
      <c r="K755" s="182" t="str">
        <f>IFERROR(LOOKUP(2,1/((A_Corridor!$A$5:$A$204&lt;&gt;"")*(A_Corridor!$A$5:$A$204&lt;=$B755)*(A_Corridor!$B$5:$B$204&gt;$B755)*(A_Corridor!$G$5:$G$204&lt;&gt;"")),IF(A_Corridor!$G$5:$G$204="-","",A_Corridor!$G$5:$G$204)),"")</f>
        <v/>
      </c>
      <c r="L755" s="181" t="str">
        <f>IFERROR(LOOKUP(2,1/((A_Corridor!$A$5:$A$204&lt;&gt;"")*(A_Corridor!$A$5:$A$204&lt;=$B755)*(A_Corridor!$B$5:$B$204&gt;$B755)*(A_Corridor!$H$5:$H$204&lt;&gt;"")),IF(A_Corridor!$H$5:$H$204="-","",1)),"")</f>
        <v/>
      </c>
      <c r="M755" s="182" t="str">
        <f>IFERROR(LOOKUP(2,1/((A_Corridor!$A$5:$A$204&lt;&gt;"")*(A_Corridor!$A$5:$A$204&lt;=$B755)*(A_Corridor!$B$5:$B$204&gt;$B755)*(A_Corridor!$H$5:$H$204&lt;&gt;"")),IF(A_Corridor!$H$5:$H$204="-","",A_Corridor!$H$5:$H$204)),"")</f>
        <v/>
      </c>
      <c r="N755" s="182" t="str">
        <f>IFERROR(LOOKUP(2,1/((A_Corridor!$A$5:$A$204&lt;&gt;"")*(A_Corridor!$A$5:$A$204&lt;=$B755)*(A_Corridor!$B$5:$B$204&gt;$B755)*(A_Corridor!$I$5:$I$204&lt;&gt;"")),IF(A_Corridor!$I$5:$I$204="-","",A_Corridor!$I$5:$I$204)),"")</f>
        <v/>
      </c>
      <c r="O755" s="182" t="str">
        <f>IFERROR(LOOKUP(2,1/((D_Points!$A$5:$A$204&lt;&gt;"")*(D_Points!$A$5:$A$204&gt;=$B755)*(D_Points!$A$5:$A$204&lt;$B755+P_Interval)*(UPPER(TRIM(D_Points!$B$5:$B$204))="PITCHING")*(D_Points!$H$5:$H$204&lt;&gt;"")),D_Points!$H$5:$H$204),"")</f>
        <v/>
      </c>
      <c r="P755" s="181" t="str">
        <f>IFERROR(LOOKUP(2,1/((B_Drainage!$A$5:$A$204&lt;&gt;"")*(B_Drainage!$A$5:$A$204&lt;=$B755)*(B_Drainage!$B$5:$B$204&gt;$B755)*(B_Drainage!$C$5:$C$204&lt;&gt;"")),IF(B_Drainage!$C$5:$C$204="-","",UPPER(B_Drainage!$C$5:$C$204))),"")</f>
        <v/>
      </c>
      <c r="Q755" s="181" t="str">
        <f>IFERROR(LOOKUP(2,1/((B_Drainage!$A$5:$A$204&lt;&gt;"")*(B_Drainage!$A$5:$A$204&lt;=$B755)*(B_Drainage!$B$5:$B$204&gt;$B755)*(B_Drainage!$D$5:$D$204&lt;&gt;"")),IF(B_Drainage!$D$5:$D$204="-","",UPPER(B_Drainage!$D$5:$D$204))),"")</f>
        <v/>
      </c>
      <c r="R755" s="182" t="str">
        <f>IFERROR(LOOKUP(2,1/((D_Points!$A$5:$A$204&lt;&gt;"")*(D_Points!$A$5:$A$204&gt;=$B755)*(D_Points!$A$5:$A$204&lt;$B755+P_Interval)*(RIGHT(UPPER(TRIM(D_Points!$B$5:$B$204)),8)="_CULVERT")),IF(LEFT(UPPER(TRIM(D_Points!$B$5:$B$204)),2)="EX",1,IF(LEFT(UPPER(TRIM(D_Points!$B$5:$B$204)),2)="PR",2,3))),"")</f>
        <v/>
      </c>
      <c r="S755" s="182" t="str">
        <f>IFERROR(LOOKUP(2,1/((D_Points!$A$5:$A$204&lt;&gt;"")*(D_Points!$A$5:$A$204&gt;=$B755)*(D_Points!$A$5:$A$204&lt;$B755+P_Interval)*(RIGHT(UPPER(TRIM(D_Points!$B$5:$B$204)),7)="_BRIDGE")),IF(LEFT(UPPER(TRIM(D_Points!$B$5:$B$204)),2)="EX",1,IF(LEFT(UPPER(TRIM(D_Points!$B$5:$B$204)),2)="PR",2,2))),"")</f>
        <v/>
      </c>
      <c r="T755" s="181" t="str">
        <f>IFERROR(LOOKUP(2,1/((B_Drainage!$A$5:$A$204&lt;&gt;"")*(B_Drainage!$A$5:$A$204&lt;=$B755)*(B_Drainage!$B$5:$B$204&gt;$B755)*(B_Drainage!$E$5:$E$204&lt;&gt;"")),IF(B_Drainage!$E$5:$E$204="-","",1)),"")</f>
        <v/>
      </c>
      <c r="U755" s="181" t="str">
        <f>IFERROR(LOOKUP(2,1/((B_Drainage!$A$5:$A$204&lt;&gt;"")*(B_Drainage!$A$5:$A$204&lt;=$B755)*(B_Drainage!$B$5:$B$204&gt;$B755)*(B_Drainage!$E$5:$E$204&lt;&gt;"")),IF(B_Drainage!$E$5:$E$204="-","",B_Drainage!$E$5:$E$204)),"")</f>
        <v/>
      </c>
      <c r="V755" s="181" t="str">
        <f>IFERROR(LOOKUP(2,1/((B_Drainage!$A$5:$A$204&lt;&gt;"")*(B_Drainage!$A$5:$A$204&lt;=$B755)*(B_Drainage!$B$5:$B$204&gt;$B755)*(B_Drainage!$F$5:$F$204&lt;&gt;"")),IF(B_Drainage!$F$5:$F$204="-","",1)),"")</f>
        <v/>
      </c>
      <c r="W755" s="181" t="str">
        <f>IFERROR(LOOKUP(2,1/((B_Drainage!$A$5:$A$204&lt;&gt;"")*(B_Drainage!$A$5:$A$204&lt;=$B755)*(B_Drainage!$B$5:$B$204&gt;$B755)*(B_Drainage!$F$5:$F$204&lt;&gt;"")),IF(B_Drainage!$F$5:$F$204="-","",B_Drainage!$F$5:$F$204)),"")</f>
        <v/>
      </c>
      <c r="X755" s="181" t="str">
        <f>IFERROR(LOOKUP(2,1/((B_Drainage!$A$5:$A$204&lt;&gt;"")*(B_Drainage!$A$5:$A$204&lt;=$B755)*(B_Drainage!$B$5:$B$204&gt;$B755)*(B_Drainage!$G$5:$G$204&lt;&gt;"")),IF(UPPER(B_Drainage!$G$5:$G$204)="Y",1,"")),"")</f>
        <v/>
      </c>
      <c r="Y755" s="181" t="str">
        <f>IFERROR(LOOKUP(2,1/((B_Drainage!$A$5:$A$204&lt;&gt;"")*(B_Drainage!$A$5:$A$204&lt;=$B755)*(B_Drainage!$B$5:$B$204&gt;$B755)*(B_Drainage!$H$5:$H$204&lt;&gt;"")),IF(UPPER(B_Drainage!$H$5:$H$204)="Y",1,"")),"")</f>
        <v/>
      </c>
      <c r="Z755" s="181" t="str">
        <f>IFERROR(LOOKUP(2,1/((B_Drainage!$A$5:$A$204&lt;&gt;"")*(B_Drainage!$A$5:$A$204&lt;=$B755)*(B_Drainage!$B$5:$B$204&gt;$B755)*(B_Drainage!$I$5:$I$204&lt;&gt;"")),IF(UPPER(B_Drainage!$I$5:$I$204)="Y",1,"")),"")</f>
        <v/>
      </c>
      <c r="AA755" s="181" t="str">
        <f>IFERROR(LOOKUP(2,1/((B_Drainage!$A$5:$A$204&lt;&gt;"")*(B_Drainage!$A$5:$A$204&lt;=$B755)*(B_Drainage!$B$5:$B$204&gt;$B755)*(B_Drainage!$J$5:$J$204&lt;&gt;"")),IF(UPPER(B_Drainage!$J$5:$J$204)="Y",1,"")),"")</f>
        <v/>
      </c>
      <c r="AB755" s="182" t="str">
        <f>IFERROR(LOOKUP(2,1/((B_Drainage!$A$5:$A$204&lt;&gt;"")*(B_Drainage!$A$5:$A$204&lt;=$B755)*(B_Drainage!$B$5:$B$204&gt;$B755)*(B_Drainage!$K$5:$K$204&lt;&gt;"")),IF(B_Drainage!$K$5:$K$204="-","",B_Drainage!$K$5:$K$204)),"")</f>
        <v/>
      </c>
      <c r="AC755" s="182" t="str">
        <f>IFERROR(LOOKUP(2,1/((B_Drainage!$A$5:$A$204&lt;&gt;"")*(B_Drainage!$A$5:$A$204&lt;=$B755)*(B_Drainage!$B$5:$B$204&gt;$B755)*(B_Drainage!$L$5:$L$204&lt;&gt;"")),IF(B_Drainage!$L$5:$L$204="-","",B_Drainage!$L$5:$L$204)),"")</f>
        <v/>
      </c>
      <c r="AD755" s="182" t="str">
        <f>IFERROR(LOOKUP(2,1/((D_Points!$A$5:$A$204&lt;&gt;"")*(D_Points!$A$5:$A$204&gt;=$B755)*(D_Points!$A$5:$A$204&lt;$B755+P_Interval)*(UPPER(TRIM(D_Points!$B$5:$B$204))="TURNOUT_L")*(D_Points!$H$5:$H$204&lt;&gt;"")),D_Points!$H$5:$H$204),"")</f>
        <v/>
      </c>
      <c r="AE755" s="182" t="str">
        <f>IFERROR(LOOKUP(2,1/((D_Points!$A$5:$A$204&lt;&gt;"")*(D_Points!$A$5:$A$204&gt;=$B755)*(D_Points!$A$5:$A$204&lt;$B755+P_Interval)*(UPPER(TRIM(D_Points!$B$5:$B$204))="TURNOUT_R")*(D_Points!$H$5:$H$204&lt;&gt;"")),D_Points!$H$5:$H$204),"")</f>
        <v/>
      </c>
      <c r="AF755" s="181" t="str">
        <f>IFERROR(LOOKUP(2,1/((B_Drainage!$A$5:$A$204&lt;&gt;"")*(B_Drainage!$A$5:$A$204&lt;=$B755)*(B_Drainage!$B$5:$B$204&gt;$B755)*(B_Drainage!$M$5:$M$204&lt;&gt;"")),IF(UPPER(B_Drainage!$M$5:$M$204)="Y",1,"")),"")</f>
        <v/>
      </c>
      <c r="AG755" s="181" t="str">
        <f>IFERROR(LOOKUP(2,1/((B_Drainage!$A$5:$A$204&lt;&gt;"")*(B_Drainage!$A$5:$A$204&lt;=$B755)*(B_Drainage!$B$5:$B$204&gt;$B755)*(B_Drainage!$N$5:$N$204&lt;&gt;"")),IF(UPPER(B_Drainage!$N$5:$N$204)="Y",1,"")),"")</f>
        <v/>
      </c>
      <c r="AH755" s="181" t="str">
        <f t="shared" si="88"/>
        <v/>
      </c>
      <c r="AI755" s="181" t="str">
        <f t="shared" si="89"/>
        <v/>
      </c>
      <c r="AJ755" s="181" t="str">
        <f t="shared" si="90"/>
        <v/>
      </c>
      <c r="AK755" s="181" t="str">
        <f t="shared" si="91"/>
        <v/>
      </c>
      <c r="AL755" s="181" t="str">
        <f t="shared" si="92"/>
        <v/>
      </c>
      <c r="AM755" s="181" t="str">
        <f t="shared" si="93"/>
        <v/>
      </c>
      <c r="AN755" s="181" t="str">
        <f t="shared" si="94"/>
        <v/>
      </c>
      <c r="AO755" s="192" t="str">
        <f t="shared" si="95"/>
        <v/>
      </c>
      <c r="AQ755" t="str">
        <f>IFERROR(LOOKUP(2,1/((C_Pavement!$A$5:$A$204&lt;&gt;"")*(C_Pavement!$A$5:$A$204&lt;=$B755)*(C_Pavement!$B$5:$B$204&gt;$B755)*(C_Pavement!$C$5:$C$204&lt;&gt;"")),ROW(C_Pavement!$C$5:$C$204)-4),"")</f>
        <v/>
      </c>
      <c r="AR755" t="str">
        <f>IF($AQ755="","",UPPER(TRIM(INDEX(C_Pavement!$C$5:$C$204,$AQ755))))</f>
        <v/>
      </c>
      <c r="AS755" t="str">
        <f>IF($AR755="","",IFERROR(MATCH($AR755,E_Rules!$A$5:$A$9,0),""))</f>
        <v/>
      </c>
      <c r="AT755" t="str">
        <f>IF($AQ755="","",IF(INDEX(C_Pavement!$D$5:$D$204,$AQ755)&lt;&gt;"",UPPER(TRIM(INDEX(C_Pavement!$D$5:$D$204,$AQ755))),IF($AS755="","",INDEX(E_Rules!$C$5:$C$9,$AS755))))</f>
        <v/>
      </c>
      <c r="AU755" t="str">
        <f>IF($AQ755="","",IF(INDEX(C_Pavement!$E$5:$E$204,$AQ755)&lt;&gt;"",IF(INDEX(C_Pavement!$E$5:$E$204,$AQ755)="-","",INDEX(C_Pavement!$E$5:$E$204,$AQ755)),IF($AS755="","",INDEX(E_Rules!$D$5:$D$9,$AS755))))</f>
        <v/>
      </c>
      <c r="AV755" t="str">
        <f>IF($AQ755="","",IF(INDEX(C_Pavement!$F$5:$F$204,$AQ755)&lt;&gt;"",IF(INDEX(C_Pavement!$F$5:$F$204,$AQ755)="-","",INDEX(C_Pavement!$F$5:$F$204,$AQ755)),IF($AS755="","",INDEX(E_Rules!$E$5:$E$9,$AS755))))</f>
        <v/>
      </c>
      <c r="AW755" t="str">
        <f>IF($AQ755="","",IF(INDEX(C_Pavement!$G$5:$G$204,$AQ755)&lt;&gt;"",IF(INDEX(C_Pavement!$G$5:$G$204,$AQ755)="-","",INDEX(C_Pavement!$G$5:$G$204,$AQ755)),IF($AS755="","",INDEX(E_Rules!$F$5:$F$9,$AS755))))</f>
        <v/>
      </c>
      <c r="AX755" t="str">
        <f>IF($AQ755="","",IF(INDEX(C_Pavement!$H$5:$H$204,$AQ755)&lt;&gt;"",IF(INDEX(C_Pavement!$H$5:$H$204,$AQ755)="-","",INDEX(C_Pavement!$H$5:$H$204,$AQ755)),IF($AS755="","",INDEX(E_Rules!$G$5:$G$9,$AS755))))</f>
        <v/>
      </c>
      <c r="AY755" t="str">
        <f>IF($AQ755="","",IF(INDEX(C_Pavement!$I$5:$I$204,$AQ755)&lt;&gt;"",IF(INDEX(C_Pavement!$I$5:$I$204,$AQ755)="-","",INDEX(C_Pavement!$I$5:$I$204,$AQ755)),IF($AS755="","",INDEX(E_Rules!$H$5:$H$9,$AS755))))</f>
        <v/>
      </c>
    </row>
    <row r="756" spans="1:51" ht="15.75" customHeight="1" x14ac:dyDescent="0.3">
      <c r="A756" s="189">
        <v>751</v>
      </c>
      <c r="B756" s="180">
        <v>37500</v>
      </c>
      <c r="C756" s="180" t="s">
        <v>1062</v>
      </c>
      <c r="D756" s="181" t="str">
        <f>IFERROR(LOOKUP(2,1/((A_Corridor!$A$5:$A$204&lt;&gt;"")*(A_Corridor!$A$5:$A$204&lt;=$B756)*(A_Corridor!$B$5:$B$204&gt;$B756)*(A_Corridor!$C$5:$C$204&lt;&gt;"")),IF(UPPER(A_Corridor!$C$5:$C$204)="Y",1,"")),"")</f>
        <v/>
      </c>
      <c r="E756" s="181" t="str">
        <f>IFERROR(LOOKUP(2,1/((A_Corridor!$A$5:$A$204&lt;&gt;"")*(A_Corridor!$A$5:$A$204&lt;=$B756)*(A_Corridor!$B$5:$B$204&gt;$B756)*(A_Corridor!$D$5:$D$204&lt;&gt;"")),IF(A_Corridor!$D$5:$D$204="-","",UPPER(A_Corridor!$D$5:$D$204))),"")</f>
        <v/>
      </c>
      <c r="F756" s="181" t="str">
        <f>IFERROR(LOOKUP(2,1/((A_Corridor!$A$5:$A$204&lt;&gt;"")*(A_Corridor!$A$5:$A$204&lt;=$B756)*(A_Corridor!$B$5:$B$204&gt;$B756)*(A_Corridor!$E$5:$E$204&lt;&gt;"")),IF(A_Corridor!$E$5:$E$204="-","",1)),"")</f>
        <v/>
      </c>
      <c r="G756" s="182" t="str">
        <f>IFERROR(LOOKUP(2,1/((A_Corridor!$A$5:$A$204&lt;&gt;"")*(A_Corridor!$A$5:$A$204&lt;=$B756)*(A_Corridor!$B$5:$B$204&gt;$B756)*(A_Corridor!$E$5:$E$204&lt;&gt;"")),IF(A_Corridor!$E$5:$E$204="-","",A_Corridor!$E$5:$E$204)),"")</f>
        <v/>
      </c>
      <c r="H756" s="182" t="str">
        <f>IFERROR(LOOKUP(2,1/((D_Points!$A$5:$A$204&lt;&gt;"")*(D_Points!$A$5:$A$204&gt;=$B756)*(D_Points!$A$5:$A$204&lt;$B756+P_Interval)*(UPPER(TRIM(D_Points!$B$5:$B$204))="GULLY")*(D_Points!$H$5:$H$204&lt;&gt;"")),D_Points!$H$5:$H$204),"")</f>
        <v/>
      </c>
      <c r="I756" s="181" t="str">
        <f>IFERROR(LOOKUP(2,1/((A_Corridor!$A$5:$A$204&lt;&gt;"")*(A_Corridor!$A$5:$A$204&lt;=$B756)*(A_Corridor!$B$5:$B$204&gt;$B756)*(A_Corridor!$F$5:$F$204&lt;&gt;"")),IF(A_Corridor!$F$5:$F$204="-","",1)),"")</f>
        <v/>
      </c>
      <c r="J756" s="182" t="str">
        <f>IFERROR(LOOKUP(2,1/((A_Corridor!$A$5:$A$204&lt;&gt;"")*(A_Corridor!$A$5:$A$204&lt;=$B756)*(A_Corridor!$B$5:$B$204&gt;$B756)*(A_Corridor!$F$5:$F$204&lt;&gt;"")),IF(A_Corridor!$F$5:$F$204="-","",A_Corridor!$F$5:$F$204)),"")</f>
        <v/>
      </c>
      <c r="K756" s="182" t="str">
        <f>IFERROR(LOOKUP(2,1/((A_Corridor!$A$5:$A$204&lt;&gt;"")*(A_Corridor!$A$5:$A$204&lt;=$B756)*(A_Corridor!$B$5:$B$204&gt;$B756)*(A_Corridor!$G$5:$G$204&lt;&gt;"")),IF(A_Corridor!$G$5:$G$204="-","",A_Corridor!$G$5:$G$204)),"")</f>
        <v/>
      </c>
      <c r="L756" s="181" t="str">
        <f>IFERROR(LOOKUP(2,1/((A_Corridor!$A$5:$A$204&lt;&gt;"")*(A_Corridor!$A$5:$A$204&lt;=$B756)*(A_Corridor!$B$5:$B$204&gt;$B756)*(A_Corridor!$H$5:$H$204&lt;&gt;"")),IF(A_Corridor!$H$5:$H$204="-","",1)),"")</f>
        <v/>
      </c>
      <c r="M756" s="182" t="str">
        <f>IFERROR(LOOKUP(2,1/((A_Corridor!$A$5:$A$204&lt;&gt;"")*(A_Corridor!$A$5:$A$204&lt;=$B756)*(A_Corridor!$B$5:$B$204&gt;$B756)*(A_Corridor!$H$5:$H$204&lt;&gt;"")),IF(A_Corridor!$H$5:$H$204="-","",A_Corridor!$H$5:$H$204)),"")</f>
        <v/>
      </c>
      <c r="N756" s="182" t="str">
        <f>IFERROR(LOOKUP(2,1/((A_Corridor!$A$5:$A$204&lt;&gt;"")*(A_Corridor!$A$5:$A$204&lt;=$B756)*(A_Corridor!$B$5:$B$204&gt;$B756)*(A_Corridor!$I$5:$I$204&lt;&gt;"")),IF(A_Corridor!$I$5:$I$204="-","",A_Corridor!$I$5:$I$204)),"")</f>
        <v/>
      </c>
      <c r="O756" s="182" t="str">
        <f>IFERROR(LOOKUP(2,1/((D_Points!$A$5:$A$204&lt;&gt;"")*(D_Points!$A$5:$A$204&gt;=$B756)*(D_Points!$A$5:$A$204&lt;$B756+P_Interval)*(UPPER(TRIM(D_Points!$B$5:$B$204))="PITCHING")*(D_Points!$H$5:$H$204&lt;&gt;"")),D_Points!$H$5:$H$204),"")</f>
        <v/>
      </c>
      <c r="P756" s="181" t="str">
        <f>IFERROR(LOOKUP(2,1/((B_Drainage!$A$5:$A$204&lt;&gt;"")*(B_Drainage!$A$5:$A$204&lt;=$B756)*(B_Drainage!$B$5:$B$204&gt;$B756)*(B_Drainage!$C$5:$C$204&lt;&gt;"")),IF(B_Drainage!$C$5:$C$204="-","",UPPER(B_Drainage!$C$5:$C$204))),"")</f>
        <v/>
      </c>
      <c r="Q756" s="181" t="str">
        <f>IFERROR(LOOKUP(2,1/((B_Drainage!$A$5:$A$204&lt;&gt;"")*(B_Drainage!$A$5:$A$204&lt;=$B756)*(B_Drainage!$B$5:$B$204&gt;$B756)*(B_Drainage!$D$5:$D$204&lt;&gt;"")),IF(B_Drainage!$D$5:$D$204="-","",UPPER(B_Drainage!$D$5:$D$204))),"")</f>
        <v/>
      </c>
      <c r="R756" s="182" t="str">
        <f>IFERROR(LOOKUP(2,1/((D_Points!$A$5:$A$204&lt;&gt;"")*(D_Points!$A$5:$A$204&gt;=$B756)*(D_Points!$A$5:$A$204&lt;$B756+P_Interval)*(RIGHT(UPPER(TRIM(D_Points!$B$5:$B$204)),8)="_CULVERT")),IF(LEFT(UPPER(TRIM(D_Points!$B$5:$B$204)),2)="EX",1,IF(LEFT(UPPER(TRIM(D_Points!$B$5:$B$204)),2)="PR",2,3))),"")</f>
        <v/>
      </c>
      <c r="S756" s="182" t="str">
        <f>IFERROR(LOOKUP(2,1/((D_Points!$A$5:$A$204&lt;&gt;"")*(D_Points!$A$5:$A$204&gt;=$B756)*(D_Points!$A$5:$A$204&lt;$B756+P_Interval)*(RIGHT(UPPER(TRIM(D_Points!$B$5:$B$204)),7)="_BRIDGE")),IF(LEFT(UPPER(TRIM(D_Points!$B$5:$B$204)),2)="EX",1,IF(LEFT(UPPER(TRIM(D_Points!$B$5:$B$204)),2)="PR",2,2))),"")</f>
        <v/>
      </c>
      <c r="T756" s="181" t="str">
        <f>IFERROR(LOOKUP(2,1/((B_Drainage!$A$5:$A$204&lt;&gt;"")*(B_Drainage!$A$5:$A$204&lt;=$B756)*(B_Drainage!$B$5:$B$204&gt;$B756)*(B_Drainage!$E$5:$E$204&lt;&gt;"")),IF(B_Drainage!$E$5:$E$204="-","",1)),"")</f>
        <v/>
      </c>
      <c r="U756" s="181" t="str">
        <f>IFERROR(LOOKUP(2,1/((B_Drainage!$A$5:$A$204&lt;&gt;"")*(B_Drainage!$A$5:$A$204&lt;=$B756)*(B_Drainage!$B$5:$B$204&gt;$B756)*(B_Drainage!$E$5:$E$204&lt;&gt;"")),IF(B_Drainage!$E$5:$E$204="-","",B_Drainage!$E$5:$E$204)),"")</f>
        <v/>
      </c>
      <c r="V756" s="181" t="str">
        <f>IFERROR(LOOKUP(2,1/((B_Drainage!$A$5:$A$204&lt;&gt;"")*(B_Drainage!$A$5:$A$204&lt;=$B756)*(B_Drainage!$B$5:$B$204&gt;$B756)*(B_Drainage!$F$5:$F$204&lt;&gt;"")),IF(B_Drainage!$F$5:$F$204="-","",1)),"")</f>
        <v/>
      </c>
      <c r="W756" s="181" t="str">
        <f>IFERROR(LOOKUP(2,1/((B_Drainage!$A$5:$A$204&lt;&gt;"")*(B_Drainage!$A$5:$A$204&lt;=$B756)*(B_Drainage!$B$5:$B$204&gt;$B756)*(B_Drainage!$F$5:$F$204&lt;&gt;"")),IF(B_Drainage!$F$5:$F$204="-","",B_Drainage!$F$5:$F$204)),"")</f>
        <v/>
      </c>
      <c r="X756" s="181" t="str">
        <f>IFERROR(LOOKUP(2,1/((B_Drainage!$A$5:$A$204&lt;&gt;"")*(B_Drainage!$A$5:$A$204&lt;=$B756)*(B_Drainage!$B$5:$B$204&gt;$B756)*(B_Drainage!$G$5:$G$204&lt;&gt;"")),IF(UPPER(B_Drainage!$G$5:$G$204)="Y",1,"")),"")</f>
        <v/>
      </c>
      <c r="Y756" s="181" t="str">
        <f>IFERROR(LOOKUP(2,1/((B_Drainage!$A$5:$A$204&lt;&gt;"")*(B_Drainage!$A$5:$A$204&lt;=$B756)*(B_Drainage!$B$5:$B$204&gt;$B756)*(B_Drainage!$H$5:$H$204&lt;&gt;"")),IF(UPPER(B_Drainage!$H$5:$H$204)="Y",1,"")),"")</f>
        <v/>
      </c>
      <c r="Z756" s="181" t="str">
        <f>IFERROR(LOOKUP(2,1/((B_Drainage!$A$5:$A$204&lt;&gt;"")*(B_Drainage!$A$5:$A$204&lt;=$B756)*(B_Drainage!$B$5:$B$204&gt;$B756)*(B_Drainage!$I$5:$I$204&lt;&gt;"")),IF(UPPER(B_Drainage!$I$5:$I$204)="Y",1,"")),"")</f>
        <v/>
      </c>
      <c r="AA756" s="181" t="str">
        <f>IFERROR(LOOKUP(2,1/((B_Drainage!$A$5:$A$204&lt;&gt;"")*(B_Drainage!$A$5:$A$204&lt;=$B756)*(B_Drainage!$B$5:$B$204&gt;$B756)*(B_Drainage!$J$5:$J$204&lt;&gt;"")),IF(UPPER(B_Drainage!$J$5:$J$204)="Y",1,"")),"")</f>
        <v/>
      </c>
      <c r="AB756" s="182" t="str">
        <f>IFERROR(LOOKUP(2,1/((B_Drainage!$A$5:$A$204&lt;&gt;"")*(B_Drainage!$A$5:$A$204&lt;=$B756)*(B_Drainage!$B$5:$B$204&gt;$B756)*(B_Drainage!$K$5:$K$204&lt;&gt;"")),IF(B_Drainage!$K$5:$K$204="-","",B_Drainage!$K$5:$K$204)),"")</f>
        <v/>
      </c>
      <c r="AC756" s="182" t="str">
        <f>IFERROR(LOOKUP(2,1/((B_Drainage!$A$5:$A$204&lt;&gt;"")*(B_Drainage!$A$5:$A$204&lt;=$B756)*(B_Drainage!$B$5:$B$204&gt;$B756)*(B_Drainage!$L$5:$L$204&lt;&gt;"")),IF(B_Drainage!$L$5:$L$204="-","",B_Drainage!$L$5:$L$204)),"")</f>
        <v/>
      </c>
      <c r="AD756" s="182" t="str">
        <f>IFERROR(LOOKUP(2,1/((D_Points!$A$5:$A$204&lt;&gt;"")*(D_Points!$A$5:$A$204&gt;=$B756)*(D_Points!$A$5:$A$204&lt;$B756+P_Interval)*(UPPER(TRIM(D_Points!$B$5:$B$204))="TURNOUT_L")*(D_Points!$H$5:$H$204&lt;&gt;"")),D_Points!$H$5:$H$204),"")</f>
        <v/>
      </c>
      <c r="AE756" s="182" t="str">
        <f>IFERROR(LOOKUP(2,1/((D_Points!$A$5:$A$204&lt;&gt;"")*(D_Points!$A$5:$A$204&gt;=$B756)*(D_Points!$A$5:$A$204&lt;$B756+P_Interval)*(UPPER(TRIM(D_Points!$B$5:$B$204))="TURNOUT_R")*(D_Points!$H$5:$H$204&lt;&gt;"")),D_Points!$H$5:$H$204),"")</f>
        <v/>
      </c>
      <c r="AF756" s="181" t="str">
        <f>IFERROR(LOOKUP(2,1/((B_Drainage!$A$5:$A$204&lt;&gt;"")*(B_Drainage!$A$5:$A$204&lt;=$B756)*(B_Drainage!$B$5:$B$204&gt;$B756)*(B_Drainage!$M$5:$M$204&lt;&gt;"")),IF(UPPER(B_Drainage!$M$5:$M$204)="Y",1,"")),"")</f>
        <v/>
      </c>
      <c r="AG756" s="181" t="str">
        <f>IFERROR(LOOKUP(2,1/((B_Drainage!$A$5:$A$204&lt;&gt;"")*(B_Drainage!$A$5:$A$204&lt;=$B756)*(B_Drainage!$B$5:$B$204&gt;$B756)*(B_Drainage!$N$5:$N$204&lt;&gt;"")),IF(UPPER(B_Drainage!$N$5:$N$204)="Y",1,"")),"")</f>
        <v/>
      </c>
      <c r="AH756" s="181" t="str">
        <f t="shared" si="88"/>
        <v/>
      </c>
      <c r="AI756" s="181" t="str">
        <f t="shared" si="89"/>
        <v/>
      </c>
      <c r="AJ756" s="181" t="str">
        <f t="shared" si="90"/>
        <v/>
      </c>
      <c r="AK756" s="181" t="str">
        <f t="shared" si="91"/>
        <v/>
      </c>
      <c r="AL756" s="181" t="str">
        <f t="shared" si="92"/>
        <v/>
      </c>
      <c r="AM756" s="181" t="str">
        <f t="shared" si="93"/>
        <v/>
      </c>
      <c r="AN756" s="181" t="str">
        <f t="shared" si="94"/>
        <v/>
      </c>
      <c r="AO756" s="192" t="str">
        <f t="shared" si="95"/>
        <v/>
      </c>
      <c r="AQ756" t="str">
        <f>IFERROR(LOOKUP(2,1/((C_Pavement!$A$5:$A$204&lt;&gt;"")*(C_Pavement!$A$5:$A$204&lt;=$B756)*(C_Pavement!$B$5:$B$204&gt;$B756)*(C_Pavement!$C$5:$C$204&lt;&gt;"")),ROW(C_Pavement!$C$5:$C$204)-4),"")</f>
        <v/>
      </c>
      <c r="AR756" t="str">
        <f>IF($AQ756="","",UPPER(TRIM(INDEX(C_Pavement!$C$5:$C$204,$AQ756))))</f>
        <v/>
      </c>
      <c r="AS756" t="str">
        <f>IF($AR756="","",IFERROR(MATCH($AR756,E_Rules!$A$5:$A$9,0),""))</f>
        <v/>
      </c>
      <c r="AT756" t="str">
        <f>IF($AQ756="","",IF(INDEX(C_Pavement!$D$5:$D$204,$AQ756)&lt;&gt;"",UPPER(TRIM(INDEX(C_Pavement!$D$5:$D$204,$AQ756))),IF($AS756="","",INDEX(E_Rules!$C$5:$C$9,$AS756))))</f>
        <v/>
      </c>
      <c r="AU756" t="str">
        <f>IF($AQ756="","",IF(INDEX(C_Pavement!$E$5:$E$204,$AQ756)&lt;&gt;"",IF(INDEX(C_Pavement!$E$5:$E$204,$AQ756)="-","",INDEX(C_Pavement!$E$5:$E$204,$AQ756)),IF($AS756="","",INDEX(E_Rules!$D$5:$D$9,$AS756))))</f>
        <v/>
      </c>
      <c r="AV756" t="str">
        <f>IF($AQ756="","",IF(INDEX(C_Pavement!$F$5:$F$204,$AQ756)&lt;&gt;"",IF(INDEX(C_Pavement!$F$5:$F$204,$AQ756)="-","",INDEX(C_Pavement!$F$5:$F$204,$AQ756)),IF($AS756="","",INDEX(E_Rules!$E$5:$E$9,$AS756))))</f>
        <v/>
      </c>
      <c r="AW756" t="str">
        <f>IF($AQ756="","",IF(INDEX(C_Pavement!$G$5:$G$204,$AQ756)&lt;&gt;"",IF(INDEX(C_Pavement!$G$5:$G$204,$AQ756)="-","",INDEX(C_Pavement!$G$5:$G$204,$AQ756)),IF($AS756="","",INDEX(E_Rules!$F$5:$F$9,$AS756))))</f>
        <v/>
      </c>
      <c r="AX756" t="str">
        <f>IF($AQ756="","",IF(INDEX(C_Pavement!$H$5:$H$204,$AQ756)&lt;&gt;"",IF(INDEX(C_Pavement!$H$5:$H$204,$AQ756)="-","",INDEX(C_Pavement!$H$5:$H$204,$AQ756)),IF($AS756="","",INDEX(E_Rules!$G$5:$G$9,$AS756))))</f>
        <v/>
      </c>
      <c r="AY756" t="str">
        <f>IF($AQ756="","",IF(INDEX(C_Pavement!$I$5:$I$204,$AQ756)&lt;&gt;"",IF(INDEX(C_Pavement!$I$5:$I$204,$AQ756)="-","",INDEX(C_Pavement!$I$5:$I$204,$AQ756)),IF($AS756="","",INDEX(E_Rules!$H$5:$H$9,$AS756))))</f>
        <v/>
      </c>
    </row>
    <row r="757" spans="1:51" ht="15.75" customHeight="1" x14ac:dyDescent="0.3">
      <c r="A757" s="189">
        <v>752</v>
      </c>
      <c r="B757" s="180">
        <v>37550</v>
      </c>
      <c r="C757" s="180" t="s">
        <v>1063</v>
      </c>
      <c r="D757" s="181" t="str">
        <f>IFERROR(LOOKUP(2,1/((A_Corridor!$A$5:$A$204&lt;&gt;"")*(A_Corridor!$A$5:$A$204&lt;=$B757)*(A_Corridor!$B$5:$B$204&gt;$B757)*(A_Corridor!$C$5:$C$204&lt;&gt;"")),IF(UPPER(A_Corridor!$C$5:$C$204)="Y",1,"")),"")</f>
        <v/>
      </c>
      <c r="E757" s="181" t="str">
        <f>IFERROR(LOOKUP(2,1/((A_Corridor!$A$5:$A$204&lt;&gt;"")*(A_Corridor!$A$5:$A$204&lt;=$B757)*(A_Corridor!$B$5:$B$204&gt;$B757)*(A_Corridor!$D$5:$D$204&lt;&gt;"")),IF(A_Corridor!$D$5:$D$204="-","",UPPER(A_Corridor!$D$5:$D$204))),"")</f>
        <v/>
      </c>
      <c r="F757" s="181" t="str">
        <f>IFERROR(LOOKUP(2,1/((A_Corridor!$A$5:$A$204&lt;&gt;"")*(A_Corridor!$A$5:$A$204&lt;=$B757)*(A_Corridor!$B$5:$B$204&gt;$B757)*(A_Corridor!$E$5:$E$204&lt;&gt;"")),IF(A_Corridor!$E$5:$E$204="-","",1)),"")</f>
        <v/>
      </c>
      <c r="G757" s="182" t="str">
        <f>IFERROR(LOOKUP(2,1/((A_Corridor!$A$5:$A$204&lt;&gt;"")*(A_Corridor!$A$5:$A$204&lt;=$B757)*(A_Corridor!$B$5:$B$204&gt;$B757)*(A_Corridor!$E$5:$E$204&lt;&gt;"")),IF(A_Corridor!$E$5:$E$204="-","",A_Corridor!$E$5:$E$204)),"")</f>
        <v/>
      </c>
      <c r="H757" s="182" t="str">
        <f>IFERROR(LOOKUP(2,1/((D_Points!$A$5:$A$204&lt;&gt;"")*(D_Points!$A$5:$A$204&gt;=$B757)*(D_Points!$A$5:$A$204&lt;$B757+P_Interval)*(UPPER(TRIM(D_Points!$B$5:$B$204))="GULLY")*(D_Points!$H$5:$H$204&lt;&gt;"")),D_Points!$H$5:$H$204),"")</f>
        <v/>
      </c>
      <c r="I757" s="181" t="str">
        <f>IFERROR(LOOKUP(2,1/((A_Corridor!$A$5:$A$204&lt;&gt;"")*(A_Corridor!$A$5:$A$204&lt;=$B757)*(A_Corridor!$B$5:$B$204&gt;$B757)*(A_Corridor!$F$5:$F$204&lt;&gt;"")),IF(A_Corridor!$F$5:$F$204="-","",1)),"")</f>
        <v/>
      </c>
      <c r="J757" s="182" t="str">
        <f>IFERROR(LOOKUP(2,1/((A_Corridor!$A$5:$A$204&lt;&gt;"")*(A_Corridor!$A$5:$A$204&lt;=$B757)*(A_Corridor!$B$5:$B$204&gt;$B757)*(A_Corridor!$F$5:$F$204&lt;&gt;"")),IF(A_Corridor!$F$5:$F$204="-","",A_Corridor!$F$5:$F$204)),"")</f>
        <v/>
      </c>
      <c r="K757" s="182" t="str">
        <f>IFERROR(LOOKUP(2,1/((A_Corridor!$A$5:$A$204&lt;&gt;"")*(A_Corridor!$A$5:$A$204&lt;=$B757)*(A_Corridor!$B$5:$B$204&gt;$B757)*(A_Corridor!$G$5:$G$204&lt;&gt;"")),IF(A_Corridor!$G$5:$G$204="-","",A_Corridor!$G$5:$G$204)),"")</f>
        <v/>
      </c>
      <c r="L757" s="181" t="str">
        <f>IFERROR(LOOKUP(2,1/((A_Corridor!$A$5:$A$204&lt;&gt;"")*(A_Corridor!$A$5:$A$204&lt;=$B757)*(A_Corridor!$B$5:$B$204&gt;$B757)*(A_Corridor!$H$5:$H$204&lt;&gt;"")),IF(A_Corridor!$H$5:$H$204="-","",1)),"")</f>
        <v/>
      </c>
      <c r="M757" s="182" t="str">
        <f>IFERROR(LOOKUP(2,1/((A_Corridor!$A$5:$A$204&lt;&gt;"")*(A_Corridor!$A$5:$A$204&lt;=$B757)*(A_Corridor!$B$5:$B$204&gt;$B757)*(A_Corridor!$H$5:$H$204&lt;&gt;"")),IF(A_Corridor!$H$5:$H$204="-","",A_Corridor!$H$5:$H$204)),"")</f>
        <v/>
      </c>
      <c r="N757" s="182" t="str">
        <f>IFERROR(LOOKUP(2,1/((A_Corridor!$A$5:$A$204&lt;&gt;"")*(A_Corridor!$A$5:$A$204&lt;=$B757)*(A_Corridor!$B$5:$B$204&gt;$B757)*(A_Corridor!$I$5:$I$204&lt;&gt;"")),IF(A_Corridor!$I$5:$I$204="-","",A_Corridor!$I$5:$I$204)),"")</f>
        <v/>
      </c>
      <c r="O757" s="182" t="str">
        <f>IFERROR(LOOKUP(2,1/((D_Points!$A$5:$A$204&lt;&gt;"")*(D_Points!$A$5:$A$204&gt;=$B757)*(D_Points!$A$5:$A$204&lt;$B757+P_Interval)*(UPPER(TRIM(D_Points!$B$5:$B$204))="PITCHING")*(D_Points!$H$5:$H$204&lt;&gt;"")),D_Points!$H$5:$H$204),"")</f>
        <v/>
      </c>
      <c r="P757" s="181" t="str">
        <f>IFERROR(LOOKUP(2,1/((B_Drainage!$A$5:$A$204&lt;&gt;"")*(B_Drainage!$A$5:$A$204&lt;=$B757)*(B_Drainage!$B$5:$B$204&gt;$B757)*(B_Drainage!$C$5:$C$204&lt;&gt;"")),IF(B_Drainage!$C$5:$C$204="-","",UPPER(B_Drainage!$C$5:$C$204))),"")</f>
        <v/>
      </c>
      <c r="Q757" s="181" t="str">
        <f>IFERROR(LOOKUP(2,1/((B_Drainage!$A$5:$A$204&lt;&gt;"")*(B_Drainage!$A$5:$A$204&lt;=$B757)*(B_Drainage!$B$5:$B$204&gt;$B757)*(B_Drainage!$D$5:$D$204&lt;&gt;"")),IF(B_Drainage!$D$5:$D$204="-","",UPPER(B_Drainage!$D$5:$D$204))),"")</f>
        <v/>
      </c>
      <c r="R757" s="182" t="str">
        <f>IFERROR(LOOKUP(2,1/((D_Points!$A$5:$A$204&lt;&gt;"")*(D_Points!$A$5:$A$204&gt;=$B757)*(D_Points!$A$5:$A$204&lt;$B757+P_Interval)*(RIGHT(UPPER(TRIM(D_Points!$B$5:$B$204)),8)="_CULVERT")),IF(LEFT(UPPER(TRIM(D_Points!$B$5:$B$204)),2)="EX",1,IF(LEFT(UPPER(TRIM(D_Points!$B$5:$B$204)),2)="PR",2,3))),"")</f>
        <v/>
      </c>
      <c r="S757" s="182" t="str">
        <f>IFERROR(LOOKUP(2,1/((D_Points!$A$5:$A$204&lt;&gt;"")*(D_Points!$A$5:$A$204&gt;=$B757)*(D_Points!$A$5:$A$204&lt;$B757+P_Interval)*(RIGHT(UPPER(TRIM(D_Points!$B$5:$B$204)),7)="_BRIDGE")),IF(LEFT(UPPER(TRIM(D_Points!$B$5:$B$204)),2)="EX",1,IF(LEFT(UPPER(TRIM(D_Points!$B$5:$B$204)),2)="PR",2,2))),"")</f>
        <v/>
      </c>
      <c r="T757" s="181" t="str">
        <f>IFERROR(LOOKUP(2,1/((B_Drainage!$A$5:$A$204&lt;&gt;"")*(B_Drainage!$A$5:$A$204&lt;=$B757)*(B_Drainage!$B$5:$B$204&gt;$B757)*(B_Drainage!$E$5:$E$204&lt;&gt;"")),IF(B_Drainage!$E$5:$E$204="-","",1)),"")</f>
        <v/>
      </c>
      <c r="U757" s="181" t="str">
        <f>IFERROR(LOOKUP(2,1/((B_Drainage!$A$5:$A$204&lt;&gt;"")*(B_Drainage!$A$5:$A$204&lt;=$B757)*(B_Drainage!$B$5:$B$204&gt;$B757)*(B_Drainage!$E$5:$E$204&lt;&gt;"")),IF(B_Drainage!$E$5:$E$204="-","",B_Drainage!$E$5:$E$204)),"")</f>
        <v/>
      </c>
      <c r="V757" s="181" t="str">
        <f>IFERROR(LOOKUP(2,1/((B_Drainage!$A$5:$A$204&lt;&gt;"")*(B_Drainage!$A$5:$A$204&lt;=$B757)*(B_Drainage!$B$5:$B$204&gt;$B757)*(B_Drainage!$F$5:$F$204&lt;&gt;"")),IF(B_Drainage!$F$5:$F$204="-","",1)),"")</f>
        <v/>
      </c>
      <c r="W757" s="181" t="str">
        <f>IFERROR(LOOKUP(2,1/((B_Drainage!$A$5:$A$204&lt;&gt;"")*(B_Drainage!$A$5:$A$204&lt;=$B757)*(B_Drainage!$B$5:$B$204&gt;$B757)*(B_Drainage!$F$5:$F$204&lt;&gt;"")),IF(B_Drainage!$F$5:$F$204="-","",B_Drainage!$F$5:$F$204)),"")</f>
        <v/>
      </c>
      <c r="X757" s="181" t="str">
        <f>IFERROR(LOOKUP(2,1/((B_Drainage!$A$5:$A$204&lt;&gt;"")*(B_Drainage!$A$5:$A$204&lt;=$B757)*(B_Drainage!$B$5:$B$204&gt;$B757)*(B_Drainage!$G$5:$G$204&lt;&gt;"")),IF(UPPER(B_Drainage!$G$5:$G$204)="Y",1,"")),"")</f>
        <v/>
      </c>
      <c r="Y757" s="181" t="str">
        <f>IFERROR(LOOKUP(2,1/((B_Drainage!$A$5:$A$204&lt;&gt;"")*(B_Drainage!$A$5:$A$204&lt;=$B757)*(B_Drainage!$B$5:$B$204&gt;$B757)*(B_Drainage!$H$5:$H$204&lt;&gt;"")),IF(UPPER(B_Drainage!$H$5:$H$204)="Y",1,"")),"")</f>
        <v/>
      </c>
      <c r="Z757" s="181" t="str">
        <f>IFERROR(LOOKUP(2,1/((B_Drainage!$A$5:$A$204&lt;&gt;"")*(B_Drainage!$A$5:$A$204&lt;=$B757)*(B_Drainage!$B$5:$B$204&gt;$B757)*(B_Drainage!$I$5:$I$204&lt;&gt;"")),IF(UPPER(B_Drainage!$I$5:$I$204)="Y",1,"")),"")</f>
        <v/>
      </c>
      <c r="AA757" s="181" t="str">
        <f>IFERROR(LOOKUP(2,1/((B_Drainage!$A$5:$A$204&lt;&gt;"")*(B_Drainage!$A$5:$A$204&lt;=$B757)*(B_Drainage!$B$5:$B$204&gt;$B757)*(B_Drainage!$J$5:$J$204&lt;&gt;"")),IF(UPPER(B_Drainage!$J$5:$J$204)="Y",1,"")),"")</f>
        <v/>
      </c>
      <c r="AB757" s="182" t="str">
        <f>IFERROR(LOOKUP(2,1/((B_Drainage!$A$5:$A$204&lt;&gt;"")*(B_Drainage!$A$5:$A$204&lt;=$B757)*(B_Drainage!$B$5:$B$204&gt;$B757)*(B_Drainage!$K$5:$K$204&lt;&gt;"")),IF(B_Drainage!$K$5:$K$204="-","",B_Drainage!$K$5:$K$204)),"")</f>
        <v/>
      </c>
      <c r="AC757" s="182" t="str">
        <f>IFERROR(LOOKUP(2,1/((B_Drainage!$A$5:$A$204&lt;&gt;"")*(B_Drainage!$A$5:$A$204&lt;=$B757)*(B_Drainage!$B$5:$B$204&gt;$B757)*(B_Drainage!$L$5:$L$204&lt;&gt;"")),IF(B_Drainage!$L$5:$L$204="-","",B_Drainage!$L$5:$L$204)),"")</f>
        <v/>
      </c>
      <c r="AD757" s="182" t="str">
        <f>IFERROR(LOOKUP(2,1/((D_Points!$A$5:$A$204&lt;&gt;"")*(D_Points!$A$5:$A$204&gt;=$B757)*(D_Points!$A$5:$A$204&lt;$B757+P_Interval)*(UPPER(TRIM(D_Points!$B$5:$B$204))="TURNOUT_L")*(D_Points!$H$5:$H$204&lt;&gt;"")),D_Points!$H$5:$H$204),"")</f>
        <v/>
      </c>
      <c r="AE757" s="182" t="str">
        <f>IFERROR(LOOKUP(2,1/((D_Points!$A$5:$A$204&lt;&gt;"")*(D_Points!$A$5:$A$204&gt;=$B757)*(D_Points!$A$5:$A$204&lt;$B757+P_Interval)*(UPPER(TRIM(D_Points!$B$5:$B$204))="TURNOUT_R")*(D_Points!$H$5:$H$204&lt;&gt;"")),D_Points!$H$5:$H$204),"")</f>
        <v/>
      </c>
      <c r="AF757" s="181" t="str">
        <f>IFERROR(LOOKUP(2,1/((B_Drainage!$A$5:$A$204&lt;&gt;"")*(B_Drainage!$A$5:$A$204&lt;=$B757)*(B_Drainage!$B$5:$B$204&gt;$B757)*(B_Drainage!$M$5:$M$204&lt;&gt;"")),IF(UPPER(B_Drainage!$M$5:$M$204)="Y",1,"")),"")</f>
        <v/>
      </c>
      <c r="AG757" s="181" t="str">
        <f>IFERROR(LOOKUP(2,1/((B_Drainage!$A$5:$A$204&lt;&gt;"")*(B_Drainage!$A$5:$A$204&lt;=$B757)*(B_Drainage!$B$5:$B$204&gt;$B757)*(B_Drainage!$N$5:$N$204&lt;&gt;"")),IF(UPPER(B_Drainage!$N$5:$N$204)="Y",1,"")),"")</f>
        <v/>
      </c>
      <c r="AH757" s="181" t="str">
        <f t="shared" si="88"/>
        <v/>
      </c>
      <c r="AI757" s="181" t="str">
        <f t="shared" si="89"/>
        <v/>
      </c>
      <c r="AJ757" s="181" t="str">
        <f t="shared" si="90"/>
        <v/>
      </c>
      <c r="AK757" s="181" t="str">
        <f t="shared" si="91"/>
        <v/>
      </c>
      <c r="AL757" s="181" t="str">
        <f t="shared" si="92"/>
        <v/>
      </c>
      <c r="AM757" s="181" t="str">
        <f t="shared" si="93"/>
        <v/>
      </c>
      <c r="AN757" s="181" t="str">
        <f t="shared" si="94"/>
        <v/>
      </c>
      <c r="AO757" s="192" t="str">
        <f t="shared" si="95"/>
        <v/>
      </c>
      <c r="AQ757" t="str">
        <f>IFERROR(LOOKUP(2,1/((C_Pavement!$A$5:$A$204&lt;&gt;"")*(C_Pavement!$A$5:$A$204&lt;=$B757)*(C_Pavement!$B$5:$B$204&gt;$B757)*(C_Pavement!$C$5:$C$204&lt;&gt;"")),ROW(C_Pavement!$C$5:$C$204)-4),"")</f>
        <v/>
      </c>
      <c r="AR757" t="str">
        <f>IF($AQ757="","",UPPER(TRIM(INDEX(C_Pavement!$C$5:$C$204,$AQ757))))</f>
        <v/>
      </c>
      <c r="AS757" t="str">
        <f>IF($AR757="","",IFERROR(MATCH($AR757,E_Rules!$A$5:$A$9,0),""))</f>
        <v/>
      </c>
      <c r="AT757" t="str">
        <f>IF($AQ757="","",IF(INDEX(C_Pavement!$D$5:$D$204,$AQ757)&lt;&gt;"",UPPER(TRIM(INDEX(C_Pavement!$D$5:$D$204,$AQ757))),IF($AS757="","",INDEX(E_Rules!$C$5:$C$9,$AS757))))</f>
        <v/>
      </c>
      <c r="AU757" t="str">
        <f>IF($AQ757="","",IF(INDEX(C_Pavement!$E$5:$E$204,$AQ757)&lt;&gt;"",IF(INDEX(C_Pavement!$E$5:$E$204,$AQ757)="-","",INDEX(C_Pavement!$E$5:$E$204,$AQ757)),IF($AS757="","",INDEX(E_Rules!$D$5:$D$9,$AS757))))</f>
        <v/>
      </c>
      <c r="AV757" t="str">
        <f>IF($AQ757="","",IF(INDEX(C_Pavement!$F$5:$F$204,$AQ757)&lt;&gt;"",IF(INDEX(C_Pavement!$F$5:$F$204,$AQ757)="-","",INDEX(C_Pavement!$F$5:$F$204,$AQ757)),IF($AS757="","",INDEX(E_Rules!$E$5:$E$9,$AS757))))</f>
        <v/>
      </c>
      <c r="AW757" t="str">
        <f>IF($AQ757="","",IF(INDEX(C_Pavement!$G$5:$G$204,$AQ757)&lt;&gt;"",IF(INDEX(C_Pavement!$G$5:$G$204,$AQ757)="-","",INDEX(C_Pavement!$G$5:$G$204,$AQ757)),IF($AS757="","",INDEX(E_Rules!$F$5:$F$9,$AS757))))</f>
        <v/>
      </c>
      <c r="AX757" t="str">
        <f>IF($AQ757="","",IF(INDEX(C_Pavement!$H$5:$H$204,$AQ757)&lt;&gt;"",IF(INDEX(C_Pavement!$H$5:$H$204,$AQ757)="-","",INDEX(C_Pavement!$H$5:$H$204,$AQ757)),IF($AS757="","",INDEX(E_Rules!$G$5:$G$9,$AS757))))</f>
        <v/>
      </c>
      <c r="AY757" t="str">
        <f>IF($AQ757="","",IF(INDEX(C_Pavement!$I$5:$I$204,$AQ757)&lt;&gt;"",IF(INDEX(C_Pavement!$I$5:$I$204,$AQ757)="-","",INDEX(C_Pavement!$I$5:$I$204,$AQ757)),IF($AS757="","",INDEX(E_Rules!$H$5:$H$9,$AS757))))</f>
        <v/>
      </c>
    </row>
    <row r="758" spans="1:51" ht="15.75" customHeight="1" x14ac:dyDescent="0.3">
      <c r="A758" s="189">
        <v>753</v>
      </c>
      <c r="B758" s="180">
        <v>37600</v>
      </c>
      <c r="C758" s="180" t="s">
        <v>1064</v>
      </c>
      <c r="D758" s="181" t="str">
        <f>IFERROR(LOOKUP(2,1/((A_Corridor!$A$5:$A$204&lt;&gt;"")*(A_Corridor!$A$5:$A$204&lt;=$B758)*(A_Corridor!$B$5:$B$204&gt;$B758)*(A_Corridor!$C$5:$C$204&lt;&gt;"")),IF(UPPER(A_Corridor!$C$5:$C$204)="Y",1,"")),"")</f>
        <v/>
      </c>
      <c r="E758" s="181" t="str">
        <f>IFERROR(LOOKUP(2,1/((A_Corridor!$A$5:$A$204&lt;&gt;"")*(A_Corridor!$A$5:$A$204&lt;=$B758)*(A_Corridor!$B$5:$B$204&gt;$B758)*(A_Corridor!$D$5:$D$204&lt;&gt;"")),IF(A_Corridor!$D$5:$D$204="-","",UPPER(A_Corridor!$D$5:$D$204))),"")</f>
        <v/>
      </c>
      <c r="F758" s="181" t="str">
        <f>IFERROR(LOOKUP(2,1/((A_Corridor!$A$5:$A$204&lt;&gt;"")*(A_Corridor!$A$5:$A$204&lt;=$B758)*(A_Corridor!$B$5:$B$204&gt;$B758)*(A_Corridor!$E$5:$E$204&lt;&gt;"")),IF(A_Corridor!$E$5:$E$204="-","",1)),"")</f>
        <v/>
      </c>
      <c r="G758" s="182" t="str">
        <f>IFERROR(LOOKUP(2,1/((A_Corridor!$A$5:$A$204&lt;&gt;"")*(A_Corridor!$A$5:$A$204&lt;=$B758)*(A_Corridor!$B$5:$B$204&gt;$B758)*(A_Corridor!$E$5:$E$204&lt;&gt;"")),IF(A_Corridor!$E$5:$E$204="-","",A_Corridor!$E$5:$E$204)),"")</f>
        <v/>
      </c>
      <c r="H758" s="182" t="str">
        <f>IFERROR(LOOKUP(2,1/((D_Points!$A$5:$A$204&lt;&gt;"")*(D_Points!$A$5:$A$204&gt;=$B758)*(D_Points!$A$5:$A$204&lt;$B758+P_Interval)*(UPPER(TRIM(D_Points!$B$5:$B$204))="GULLY")*(D_Points!$H$5:$H$204&lt;&gt;"")),D_Points!$H$5:$H$204),"")</f>
        <v/>
      </c>
      <c r="I758" s="181" t="str">
        <f>IFERROR(LOOKUP(2,1/((A_Corridor!$A$5:$A$204&lt;&gt;"")*(A_Corridor!$A$5:$A$204&lt;=$B758)*(A_Corridor!$B$5:$B$204&gt;$B758)*(A_Corridor!$F$5:$F$204&lt;&gt;"")),IF(A_Corridor!$F$5:$F$204="-","",1)),"")</f>
        <v/>
      </c>
      <c r="J758" s="182" t="str">
        <f>IFERROR(LOOKUP(2,1/((A_Corridor!$A$5:$A$204&lt;&gt;"")*(A_Corridor!$A$5:$A$204&lt;=$B758)*(A_Corridor!$B$5:$B$204&gt;$B758)*(A_Corridor!$F$5:$F$204&lt;&gt;"")),IF(A_Corridor!$F$5:$F$204="-","",A_Corridor!$F$5:$F$204)),"")</f>
        <v/>
      </c>
      <c r="K758" s="182" t="str">
        <f>IFERROR(LOOKUP(2,1/((A_Corridor!$A$5:$A$204&lt;&gt;"")*(A_Corridor!$A$5:$A$204&lt;=$B758)*(A_Corridor!$B$5:$B$204&gt;$B758)*(A_Corridor!$G$5:$G$204&lt;&gt;"")),IF(A_Corridor!$G$5:$G$204="-","",A_Corridor!$G$5:$G$204)),"")</f>
        <v/>
      </c>
      <c r="L758" s="181" t="str">
        <f>IFERROR(LOOKUP(2,1/((A_Corridor!$A$5:$A$204&lt;&gt;"")*(A_Corridor!$A$5:$A$204&lt;=$B758)*(A_Corridor!$B$5:$B$204&gt;$B758)*(A_Corridor!$H$5:$H$204&lt;&gt;"")),IF(A_Corridor!$H$5:$H$204="-","",1)),"")</f>
        <v/>
      </c>
      <c r="M758" s="182" t="str">
        <f>IFERROR(LOOKUP(2,1/((A_Corridor!$A$5:$A$204&lt;&gt;"")*(A_Corridor!$A$5:$A$204&lt;=$B758)*(A_Corridor!$B$5:$B$204&gt;$B758)*(A_Corridor!$H$5:$H$204&lt;&gt;"")),IF(A_Corridor!$H$5:$H$204="-","",A_Corridor!$H$5:$H$204)),"")</f>
        <v/>
      </c>
      <c r="N758" s="182" t="str">
        <f>IFERROR(LOOKUP(2,1/((A_Corridor!$A$5:$A$204&lt;&gt;"")*(A_Corridor!$A$5:$A$204&lt;=$B758)*(A_Corridor!$B$5:$B$204&gt;$B758)*(A_Corridor!$I$5:$I$204&lt;&gt;"")),IF(A_Corridor!$I$5:$I$204="-","",A_Corridor!$I$5:$I$204)),"")</f>
        <v/>
      </c>
      <c r="O758" s="182" t="str">
        <f>IFERROR(LOOKUP(2,1/((D_Points!$A$5:$A$204&lt;&gt;"")*(D_Points!$A$5:$A$204&gt;=$B758)*(D_Points!$A$5:$A$204&lt;$B758+P_Interval)*(UPPER(TRIM(D_Points!$B$5:$B$204))="PITCHING")*(D_Points!$H$5:$H$204&lt;&gt;"")),D_Points!$H$5:$H$204),"")</f>
        <v/>
      </c>
      <c r="P758" s="181" t="str">
        <f>IFERROR(LOOKUP(2,1/((B_Drainage!$A$5:$A$204&lt;&gt;"")*(B_Drainage!$A$5:$A$204&lt;=$B758)*(B_Drainage!$B$5:$B$204&gt;$B758)*(B_Drainage!$C$5:$C$204&lt;&gt;"")),IF(B_Drainage!$C$5:$C$204="-","",UPPER(B_Drainage!$C$5:$C$204))),"")</f>
        <v/>
      </c>
      <c r="Q758" s="181" t="str">
        <f>IFERROR(LOOKUP(2,1/((B_Drainage!$A$5:$A$204&lt;&gt;"")*(B_Drainage!$A$5:$A$204&lt;=$B758)*(B_Drainage!$B$5:$B$204&gt;$B758)*(B_Drainage!$D$5:$D$204&lt;&gt;"")),IF(B_Drainage!$D$5:$D$204="-","",UPPER(B_Drainage!$D$5:$D$204))),"")</f>
        <v/>
      </c>
      <c r="R758" s="182" t="str">
        <f>IFERROR(LOOKUP(2,1/((D_Points!$A$5:$A$204&lt;&gt;"")*(D_Points!$A$5:$A$204&gt;=$B758)*(D_Points!$A$5:$A$204&lt;$B758+P_Interval)*(RIGHT(UPPER(TRIM(D_Points!$B$5:$B$204)),8)="_CULVERT")),IF(LEFT(UPPER(TRIM(D_Points!$B$5:$B$204)),2)="EX",1,IF(LEFT(UPPER(TRIM(D_Points!$B$5:$B$204)),2)="PR",2,3))),"")</f>
        <v/>
      </c>
      <c r="S758" s="182" t="str">
        <f>IFERROR(LOOKUP(2,1/((D_Points!$A$5:$A$204&lt;&gt;"")*(D_Points!$A$5:$A$204&gt;=$B758)*(D_Points!$A$5:$A$204&lt;$B758+P_Interval)*(RIGHT(UPPER(TRIM(D_Points!$B$5:$B$204)),7)="_BRIDGE")),IF(LEFT(UPPER(TRIM(D_Points!$B$5:$B$204)),2)="EX",1,IF(LEFT(UPPER(TRIM(D_Points!$B$5:$B$204)),2)="PR",2,2))),"")</f>
        <v/>
      </c>
      <c r="T758" s="181" t="str">
        <f>IFERROR(LOOKUP(2,1/((B_Drainage!$A$5:$A$204&lt;&gt;"")*(B_Drainage!$A$5:$A$204&lt;=$B758)*(B_Drainage!$B$5:$B$204&gt;$B758)*(B_Drainage!$E$5:$E$204&lt;&gt;"")),IF(B_Drainage!$E$5:$E$204="-","",1)),"")</f>
        <v/>
      </c>
      <c r="U758" s="181" t="str">
        <f>IFERROR(LOOKUP(2,1/((B_Drainage!$A$5:$A$204&lt;&gt;"")*(B_Drainage!$A$5:$A$204&lt;=$B758)*(B_Drainage!$B$5:$B$204&gt;$B758)*(B_Drainage!$E$5:$E$204&lt;&gt;"")),IF(B_Drainage!$E$5:$E$204="-","",B_Drainage!$E$5:$E$204)),"")</f>
        <v/>
      </c>
      <c r="V758" s="181" t="str">
        <f>IFERROR(LOOKUP(2,1/((B_Drainage!$A$5:$A$204&lt;&gt;"")*(B_Drainage!$A$5:$A$204&lt;=$B758)*(B_Drainage!$B$5:$B$204&gt;$B758)*(B_Drainage!$F$5:$F$204&lt;&gt;"")),IF(B_Drainage!$F$5:$F$204="-","",1)),"")</f>
        <v/>
      </c>
      <c r="W758" s="181" t="str">
        <f>IFERROR(LOOKUP(2,1/((B_Drainage!$A$5:$A$204&lt;&gt;"")*(B_Drainage!$A$5:$A$204&lt;=$B758)*(B_Drainage!$B$5:$B$204&gt;$B758)*(B_Drainage!$F$5:$F$204&lt;&gt;"")),IF(B_Drainage!$F$5:$F$204="-","",B_Drainage!$F$5:$F$204)),"")</f>
        <v/>
      </c>
      <c r="X758" s="181" t="str">
        <f>IFERROR(LOOKUP(2,1/((B_Drainage!$A$5:$A$204&lt;&gt;"")*(B_Drainage!$A$5:$A$204&lt;=$B758)*(B_Drainage!$B$5:$B$204&gt;$B758)*(B_Drainage!$G$5:$G$204&lt;&gt;"")),IF(UPPER(B_Drainage!$G$5:$G$204)="Y",1,"")),"")</f>
        <v/>
      </c>
      <c r="Y758" s="181" t="str">
        <f>IFERROR(LOOKUP(2,1/((B_Drainage!$A$5:$A$204&lt;&gt;"")*(B_Drainage!$A$5:$A$204&lt;=$B758)*(B_Drainage!$B$5:$B$204&gt;$B758)*(B_Drainage!$H$5:$H$204&lt;&gt;"")),IF(UPPER(B_Drainage!$H$5:$H$204)="Y",1,"")),"")</f>
        <v/>
      </c>
      <c r="Z758" s="181" t="str">
        <f>IFERROR(LOOKUP(2,1/((B_Drainage!$A$5:$A$204&lt;&gt;"")*(B_Drainage!$A$5:$A$204&lt;=$B758)*(B_Drainage!$B$5:$B$204&gt;$B758)*(B_Drainage!$I$5:$I$204&lt;&gt;"")),IF(UPPER(B_Drainage!$I$5:$I$204)="Y",1,"")),"")</f>
        <v/>
      </c>
      <c r="AA758" s="181" t="str">
        <f>IFERROR(LOOKUP(2,1/((B_Drainage!$A$5:$A$204&lt;&gt;"")*(B_Drainage!$A$5:$A$204&lt;=$B758)*(B_Drainage!$B$5:$B$204&gt;$B758)*(B_Drainage!$J$5:$J$204&lt;&gt;"")),IF(UPPER(B_Drainage!$J$5:$J$204)="Y",1,"")),"")</f>
        <v/>
      </c>
      <c r="AB758" s="182" t="str">
        <f>IFERROR(LOOKUP(2,1/((B_Drainage!$A$5:$A$204&lt;&gt;"")*(B_Drainage!$A$5:$A$204&lt;=$B758)*(B_Drainage!$B$5:$B$204&gt;$B758)*(B_Drainage!$K$5:$K$204&lt;&gt;"")),IF(B_Drainage!$K$5:$K$204="-","",B_Drainage!$K$5:$K$204)),"")</f>
        <v/>
      </c>
      <c r="AC758" s="182" t="str">
        <f>IFERROR(LOOKUP(2,1/((B_Drainage!$A$5:$A$204&lt;&gt;"")*(B_Drainage!$A$5:$A$204&lt;=$B758)*(B_Drainage!$B$5:$B$204&gt;$B758)*(B_Drainage!$L$5:$L$204&lt;&gt;"")),IF(B_Drainage!$L$5:$L$204="-","",B_Drainage!$L$5:$L$204)),"")</f>
        <v/>
      </c>
      <c r="AD758" s="182" t="str">
        <f>IFERROR(LOOKUP(2,1/((D_Points!$A$5:$A$204&lt;&gt;"")*(D_Points!$A$5:$A$204&gt;=$B758)*(D_Points!$A$5:$A$204&lt;$B758+P_Interval)*(UPPER(TRIM(D_Points!$B$5:$B$204))="TURNOUT_L")*(D_Points!$H$5:$H$204&lt;&gt;"")),D_Points!$H$5:$H$204),"")</f>
        <v/>
      </c>
      <c r="AE758" s="182" t="str">
        <f>IFERROR(LOOKUP(2,1/((D_Points!$A$5:$A$204&lt;&gt;"")*(D_Points!$A$5:$A$204&gt;=$B758)*(D_Points!$A$5:$A$204&lt;$B758+P_Interval)*(UPPER(TRIM(D_Points!$B$5:$B$204))="TURNOUT_R")*(D_Points!$H$5:$H$204&lt;&gt;"")),D_Points!$H$5:$H$204),"")</f>
        <v/>
      </c>
      <c r="AF758" s="181" t="str">
        <f>IFERROR(LOOKUP(2,1/((B_Drainage!$A$5:$A$204&lt;&gt;"")*(B_Drainage!$A$5:$A$204&lt;=$B758)*(B_Drainage!$B$5:$B$204&gt;$B758)*(B_Drainage!$M$5:$M$204&lt;&gt;"")),IF(UPPER(B_Drainage!$M$5:$M$204)="Y",1,"")),"")</f>
        <v/>
      </c>
      <c r="AG758" s="181" t="str">
        <f>IFERROR(LOOKUP(2,1/((B_Drainage!$A$5:$A$204&lt;&gt;"")*(B_Drainage!$A$5:$A$204&lt;=$B758)*(B_Drainage!$B$5:$B$204&gt;$B758)*(B_Drainage!$N$5:$N$204&lt;&gt;"")),IF(UPPER(B_Drainage!$N$5:$N$204)="Y",1,"")),"")</f>
        <v/>
      </c>
      <c r="AH758" s="181" t="str">
        <f t="shared" si="88"/>
        <v/>
      </c>
      <c r="AI758" s="181" t="str">
        <f t="shared" si="89"/>
        <v/>
      </c>
      <c r="AJ758" s="181" t="str">
        <f t="shared" si="90"/>
        <v/>
      </c>
      <c r="AK758" s="181" t="str">
        <f t="shared" si="91"/>
        <v/>
      </c>
      <c r="AL758" s="181" t="str">
        <f t="shared" si="92"/>
        <v/>
      </c>
      <c r="AM758" s="181" t="str">
        <f t="shared" si="93"/>
        <v/>
      </c>
      <c r="AN758" s="181" t="str">
        <f t="shared" si="94"/>
        <v/>
      </c>
      <c r="AO758" s="192" t="str">
        <f t="shared" si="95"/>
        <v/>
      </c>
      <c r="AQ758" t="str">
        <f>IFERROR(LOOKUP(2,1/((C_Pavement!$A$5:$A$204&lt;&gt;"")*(C_Pavement!$A$5:$A$204&lt;=$B758)*(C_Pavement!$B$5:$B$204&gt;$B758)*(C_Pavement!$C$5:$C$204&lt;&gt;"")),ROW(C_Pavement!$C$5:$C$204)-4),"")</f>
        <v/>
      </c>
      <c r="AR758" t="str">
        <f>IF($AQ758="","",UPPER(TRIM(INDEX(C_Pavement!$C$5:$C$204,$AQ758))))</f>
        <v/>
      </c>
      <c r="AS758" t="str">
        <f>IF($AR758="","",IFERROR(MATCH($AR758,E_Rules!$A$5:$A$9,0),""))</f>
        <v/>
      </c>
      <c r="AT758" t="str">
        <f>IF($AQ758="","",IF(INDEX(C_Pavement!$D$5:$D$204,$AQ758)&lt;&gt;"",UPPER(TRIM(INDEX(C_Pavement!$D$5:$D$204,$AQ758))),IF($AS758="","",INDEX(E_Rules!$C$5:$C$9,$AS758))))</f>
        <v/>
      </c>
      <c r="AU758" t="str">
        <f>IF($AQ758="","",IF(INDEX(C_Pavement!$E$5:$E$204,$AQ758)&lt;&gt;"",IF(INDEX(C_Pavement!$E$5:$E$204,$AQ758)="-","",INDEX(C_Pavement!$E$5:$E$204,$AQ758)),IF($AS758="","",INDEX(E_Rules!$D$5:$D$9,$AS758))))</f>
        <v/>
      </c>
      <c r="AV758" t="str">
        <f>IF($AQ758="","",IF(INDEX(C_Pavement!$F$5:$F$204,$AQ758)&lt;&gt;"",IF(INDEX(C_Pavement!$F$5:$F$204,$AQ758)="-","",INDEX(C_Pavement!$F$5:$F$204,$AQ758)),IF($AS758="","",INDEX(E_Rules!$E$5:$E$9,$AS758))))</f>
        <v/>
      </c>
      <c r="AW758" t="str">
        <f>IF($AQ758="","",IF(INDEX(C_Pavement!$G$5:$G$204,$AQ758)&lt;&gt;"",IF(INDEX(C_Pavement!$G$5:$G$204,$AQ758)="-","",INDEX(C_Pavement!$G$5:$G$204,$AQ758)),IF($AS758="","",INDEX(E_Rules!$F$5:$F$9,$AS758))))</f>
        <v/>
      </c>
      <c r="AX758" t="str">
        <f>IF($AQ758="","",IF(INDEX(C_Pavement!$H$5:$H$204,$AQ758)&lt;&gt;"",IF(INDEX(C_Pavement!$H$5:$H$204,$AQ758)="-","",INDEX(C_Pavement!$H$5:$H$204,$AQ758)),IF($AS758="","",INDEX(E_Rules!$G$5:$G$9,$AS758))))</f>
        <v/>
      </c>
      <c r="AY758" t="str">
        <f>IF($AQ758="","",IF(INDEX(C_Pavement!$I$5:$I$204,$AQ758)&lt;&gt;"",IF(INDEX(C_Pavement!$I$5:$I$204,$AQ758)="-","",INDEX(C_Pavement!$I$5:$I$204,$AQ758)),IF($AS758="","",INDEX(E_Rules!$H$5:$H$9,$AS758))))</f>
        <v/>
      </c>
    </row>
    <row r="759" spans="1:51" ht="15.75" customHeight="1" x14ac:dyDescent="0.3">
      <c r="A759" s="189">
        <v>754</v>
      </c>
      <c r="B759" s="180">
        <v>37650</v>
      </c>
      <c r="C759" s="180" t="s">
        <v>1065</v>
      </c>
      <c r="D759" s="181" t="str">
        <f>IFERROR(LOOKUP(2,1/((A_Corridor!$A$5:$A$204&lt;&gt;"")*(A_Corridor!$A$5:$A$204&lt;=$B759)*(A_Corridor!$B$5:$B$204&gt;$B759)*(A_Corridor!$C$5:$C$204&lt;&gt;"")),IF(UPPER(A_Corridor!$C$5:$C$204)="Y",1,"")),"")</f>
        <v/>
      </c>
      <c r="E759" s="181" t="str">
        <f>IFERROR(LOOKUP(2,1/((A_Corridor!$A$5:$A$204&lt;&gt;"")*(A_Corridor!$A$5:$A$204&lt;=$B759)*(A_Corridor!$B$5:$B$204&gt;$B759)*(A_Corridor!$D$5:$D$204&lt;&gt;"")),IF(A_Corridor!$D$5:$D$204="-","",UPPER(A_Corridor!$D$5:$D$204))),"")</f>
        <v/>
      </c>
      <c r="F759" s="181" t="str">
        <f>IFERROR(LOOKUP(2,1/((A_Corridor!$A$5:$A$204&lt;&gt;"")*(A_Corridor!$A$5:$A$204&lt;=$B759)*(A_Corridor!$B$5:$B$204&gt;$B759)*(A_Corridor!$E$5:$E$204&lt;&gt;"")),IF(A_Corridor!$E$5:$E$204="-","",1)),"")</f>
        <v/>
      </c>
      <c r="G759" s="182" t="str">
        <f>IFERROR(LOOKUP(2,1/((A_Corridor!$A$5:$A$204&lt;&gt;"")*(A_Corridor!$A$5:$A$204&lt;=$B759)*(A_Corridor!$B$5:$B$204&gt;$B759)*(A_Corridor!$E$5:$E$204&lt;&gt;"")),IF(A_Corridor!$E$5:$E$204="-","",A_Corridor!$E$5:$E$204)),"")</f>
        <v/>
      </c>
      <c r="H759" s="182" t="str">
        <f>IFERROR(LOOKUP(2,1/((D_Points!$A$5:$A$204&lt;&gt;"")*(D_Points!$A$5:$A$204&gt;=$B759)*(D_Points!$A$5:$A$204&lt;$B759+P_Interval)*(UPPER(TRIM(D_Points!$B$5:$B$204))="GULLY")*(D_Points!$H$5:$H$204&lt;&gt;"")),D_Points!$H$5:$H$204),"")</f>
        <v/>
      </c>
      <c r="I759" s="181" t="str">
        <f>IFERROR(LOOKUP(2,1/((A_Corridor!$A$5:$A$204&lt;&gt;"")*(A_Corridor!$A$5:$A$204&lt;=$B759)*(A_Corridor!$B$5:$B$204&gt;$B759)*(A_Corridor!$F$5:$F$204&lt;&gt;"")),IF(A_Corridor!$F$5:$F$204="-","",1)),"")</f>
        <v/>
      </c>
      <c r="J759" s="182" t="str">
        <f>IFERROR(LOOKUP(2,1/((A_Corridor!$A$5:$A$204&lt;&gt;"")*(A_Corridor!$A$5:$A$204&lt;=$B759)*(A_Corridor!$B$5:$B$204&gt;$B759)*(A_Corridor!$F$5:$F$204&lt;&gt;"")),IF(A_Corridor!$F$5:$F$204="-","",A_Corridor!$F$5:$F$204)),"")</f>
        <v/>
      </c>
      <c r="K759" s="182" t="str">
        <f>IFERROR(LOOKUP(2,1/((A_Corridor!$A$5:$A$204&lt;&gt;"")*(A_Corridor!$A$5:$A$204&lt;=$B759)*(A_Corridor!$B$5:$B$204&gt;$B759)*(A_Corridor!$G$5:$G$204&lt;&gt;"")),IF(A_Corridor!$G$5:$G$204="-","",A_Corridor!$G$5:$G$204)),"")</f>
        <v/>
      </c>
      <c r="L759" s="181" t="str">
        <f>IFERROR(LOOKUP(2,1/((A_Corridor!$A$5:$A$204&lt;&gt;"")*(A_Corridor!$A$5:$A$204&lt;=$B759)*(A_Corridor!$B$5:$B$204&gt;$B759)*(A_Corridor!$H$5:$H$204&lt;&gt;"")),IF(A_Corridor!$H$5:$H$204="-","",1)),"")</f>
        <v/>
      </c>
      <c r="M759" s="182" t="str">
        <f>IFERROR(LOOKUP(2,1/((A_Corridor!$A$5:$A$204&lt;&gt;"")*(A_Corridor!$A$5:$A$204&lt;=$B759)*(A_Corridor!$B$5:$B$204&gt;$B759)*(A_Corridor!$H$5:$H$204&lt;&gt;"")),IF(A_Corridor!$H$5:$H$204="-","",A_Corridor!$H$5:$H$204)),"")</f>
        <v/>
      </c>
      <c r="N759" s="182" t="str">
        <f>IFERROR(LOOKUP(2,1/((A_Corridor!$A$5:$A$204&lt;&gt;"")*(A_Corridor!$A$5:$A$204&lt;=$B759)*(A_Corridor!$B$5:$B$204&gt;$B759)*(A_Corridor!$I$5:$I$204&lt;&gt;"")),IF(A_Corridor!$I$5:$I$204="-","",A_Corridor!$I$5:$I$204)),"")</f>
        <v/>
      </c>
      <c r="O759" s="182" t="str">
        <f>IFERROR(LOOKUP(2,1/((D_Points!$A$5:$A$204&lt;&gt;"")*(D_Points!$A$5:$A$204&gt;=$B759)*(D_Points!$A$5:$A$204&lt;$B759+P_Interval)*(UPPER(TRIM(D_Points!$B$5:$B$204))="PITCHING")*(D_Points!$H$5:$H$204&lt;&gt;"")),D_Points!$H$5:$H$204),"")</f>
        <v/>
      </c>
      <c r="P759" s="181" t="str">
        <f>IFERROR(LOOKUP(2,1/((B_Drainage!$A$5:$A$204&lt;&gt;"")*(B_Drainage!$A$5:$A$204&lt;=$B759)*(B_Drainage!$B$5:$B$204&gt;$B759)*(B_Drainage!$C$5:$C$204&lt;&gt;"")),IF(B_Drainage!$C$5:$C$204="-","",UPPER(B_Drainage!$C$5:$C$204))),"")</f>
        <v/>
      </c>
      <c r="Q759" s="181" t="str">
        <f>IFERROR(LOOKUP(2,1/((B_Drainage!$A$5:$A$204&lt;&gt;"")*(B_Drainage!$A$5:$A$204&lt;=$B759)*(B_Drainage!$B$5:$B$204&gt;$B759)*(B_Drainage!$D$5:$D$204&lt;&gt;"")),IF(B_Drainage!$D$5:$D$204="-","",UPPER(B_Drainage!$D$5:$D$204))),"")</f>
        <v/>
      </c>
      <c r="R759" s="182" t="str">
        <f>IFERROR(LOOKUP(2,1/((D_Points!$A$5:$A$204&lt;&gt;"")*(D_Points!$A$5:$A$204&gt;=$B759)*(D_Points!$A$5:$A$204&lt;$B759+P_Interval)*(RIGHT(UPPER(TRIM(D_Points!$B$5:$B$204)),8)="_CULVERT")),IF(LEFT(UPPER(TRIM(D_Points!$B$5:$B$204)),2)="EX",1,IF(LEFT(UPPER(TRIM(D_Points!$B$5:$B$204)),2)="PR",2,3))),"")</f>
        <v/>
      </c>
      <c r="S759" s="182" t="str">
        <f>IFERROR(LOOKUP(2,1/((D_Points!$A$5:$A$204&lt;&gt;"")*(D_Points!$A$5:$A$204&gt;=$B759)*(D_Points!$A$5:$A$204&lt;$B759+P_Interval)*(RIGHT(UPPER(TRIM(D_Points!$B$5:$B$204)),7)="_BRIDGE")),IF(LEFT(UPPER(TRIM(D_Points!$B$5:$B$204)),2)="EX",1,IF(LEFT(UPPER(TRIM(D_Points!$B$5:$B$204)),2)="PR",2,2))),"")</f>
        <v/>
      </c>
      <c r="T759" s="181" t="str">
        <f>IFERROR(LOOKUP(2,1/((B_Drainage!$A$5:$A$204&lt;&gt;"")*(B_Drainage!$A$5:$A$204&lt;=$B759)*(B_Drainage!$B$5:$B$204&gt;$B759)*(B_Drainage!$E$5:$E$204&lt;&gt;"")),IF(B_Drainage!$E$5:$E$204="-","",1)),"")</f>
        <v/>
      </c>
      <c r="U759" s="181" t="str">
        <f>IFERROR(LOOKUP(2,1/((B_Drainage!$A$5:$A$204&lt;&gt;"")*(B_Drainage!$A$5:$A$204&lt;=$B759)*(B_Drainage!$B$5:$B$204&gt;$B759)*(B_Drainage!$E$5:$E$204&lt;&gt;"")),IF(B_Drainage!$E$5:$E$204="-","",B_Drainage!$E$5:$E$204)),"")</f>
        <v/>
      </c>
      <c r="V759" s="181" t="str">
        <f>IFERROR(LOOKUP(2,1/((B_Drainage!$A$5:$A$204&lt;&gt;"")*(B_Drainage!$A$5:$A$204&lt;=$B759)*(B_Drainage!$B$5:$B$204&gt;$B759)*(B_Drainage!$F$5:$F$204&lt;&gt;"")),IF(B_Drainage!$F$5:$F$204="-","",1)),"")</f>
        <v/>
      </c>
      <c r="W759" s="181" t="str">
        <f>IFERROR(LOOKUP(2,1/((B_Drainage!$A$5:$A$204&lt;&gt;"")*(B_Drainage!$A$5:$A$204&lt;=$B759)*(B_Drainage!$B$5:$B$204&gt;$B759)*(B_Drainage!$F$5:$F$204&lt;&gt;"")),IF(B_Drainage!$F$5:$F$204="-","",B_Drainage!$F$5:$F$204)),"")</f>
        <v/>
      </c>
      <c r="X759" s="181" t="str">
        <f>IFERROR(LOOKUP(2,1/((B_Drainage!$A$5:$A$204&lt;&gt;"")*(B_Drainage!$A$5:$A$204&lt;=$B759)*(B_Drainage!$B$5:$B$204&gt;$B759)*(B_Drainage!$G$5:$G$204&lt;&gt;"")),IF(UPPER(B_Drainage!$G$5:$G$204)="Y",1,"")),"")</f>
        <v/>
      </c>
      <c r="Y759" s="181" t="str">
        <f>IFERROR(LOOKUP(2,1/((B_Drainage!$A$5:$A$204&lt;&gt;"")*(B_Drainage!$A$5:$A$204&lt;=$B759)*(B_Drainage!$B$5:$B$204&gt;$B759)*(B_Drainage!$H$5:$H$204&lt;&gt;"")),IF(UPPER(B_Drainage!$H$5:$H$204)="Y",1,"")),"")</f>
        <v/>
      </c>
      <c r="Z759" s="181" t="str">
        <f>IFERROR(LOOKUP(2,1/((B_Drainage!$A$5:$A$204&lt;&gt;"")*(B_Drainage!$A$5:$A$204&lt;=$B759)*(B_Drainage!$B$5:$B$204&gt;$B759)*(B_Drainage!$I$5:$I$204&lt;&gt;"")),IF(UPPER(B_Drainage!$I$5:$I$204)="Y",1,"")),"")</f>
        <v/>
      </c>
      <c r="AA759" s="181" t="str">
        <f>IFERROR(LOOKUP(2,1/((B_Drainage!$A$5:$A$204&lt;&gt;"")*(B_Drainage!$A$5:$A$204&lt;=$B759)*(B_Drainage!$B$5:$B$204&gt;$B759)*(B_Drainage!$J$5:$J$204&lt;&gt;"")),IF(UPPER(B_Drainage!$J$5:$J$204)="Y",1,"")),"")</f>
        <v/>
      </c>
      <c r="AB759" s="182" t="str">
        <f>IFERROR(LOOKUP(2,1/((B_Drainage!$A$5:$A$204&lt;&gt;"")*(B_Drainage!$A$5:$A$204&lt;=$B759)*(B_Drainage!$B$5:$B$204&gt;$B759)*(B_Drainage!$K$5:$K$204&lt;&gt;"")),IF(B_Drainage!$K$5:$K$204="-","",B_Drainage!$K$5:$K$204)),"")</f>
        <v/>
      </c>
      <c r="AC759" s="182" t="str">
        <f>IFERROR(LOOKUP(2,1/((B_Drainage!$A$5:$A$204&lt;&gt;"")*(B_Drainage!$A$5:$A$204&lt;=$B759)*(B_Drainage!$B$5:$B$204&gt;$B759)*(B_Drainage!$L$5:$L$204&lt;&gt;"")),IF(B_Drainage!$L$5:$L$204="-","",B_Drainage!$L$5:$L$204)),"")</f>
        <v/>
      </c>
      <c r="AD759" s="182" t="str">
        <f>IFERROR(LOOKUP(2,1/((D_Points!$A$5:$A$204&lt;&gt;"")*(D_Points!$A$5:$A$204&gt;=$B759)*(D_Points!$A$5:$A$204&lt;$B759+P_Interval)*(UPPER(TRIM(D_Points!$B$5:$B$204))="TURNOUT_L")*(D_Points!$H$5:$H$204&lt;&gt;"")),D_Points!$H$5:$H$204),"")</f>
        <v/>
      </c>
      <c r="AE759" s="182" t="str">
        <f>IFERROR(LOOKUP(2,1/((D_Points!$A$5:$A$204&lt;&gt;"")*(D_Points!$A$5:$A$204&gt;=$B759)*(D_Points!$A$5:$A$204&lt;$B759+P_Interval)*(UPPER(TRIM(D_Points!$B$5:$B$204))="TURNOUT_R")*(D_Points!$H$5:$H$204&lt;&gt;"")),D_Points!$H$5:$H$204),"")</f>
        <v/>
      </c>
      <c r="AF759" s="181" t="str">
        <f>IFERROR(LOOKUP(2,1/((B_Drainage!$A$5:$A$204&lt;&gt;"")*(B_Drainage!$A$5:$A$204&lt;=$B759)*(B_Drainage!$B$5:$B$204&gt;$B759)*(B_Drainage!$M$5:$M$204&lt;&gt;"")),IF(UPPER(B_Drainage!$M$5:$M$204)="Y",1,"")),"")</f>
        <v/>
      </c>
      <c r="AG759" s="181" t="str">
        <f>IFERROR(LOOKUP(2,1/((B_Drainage!$A$5:$A$204&lt;&gt;"")*(B_Drainage!$A$5:$A$204&lt;=$B759)*(B_Drainage!$B$5:$B$204&gt;$B759)*(B_Drainage!$N$5:$N$204&lt;&gt;"")),IF(UPPER(B_Drainage!$N$5:$N$204)="Y",1,"")),"")</f>
        <v/>
      </c>
      <c r="AH759" s="181" t="str">
        <f t="shared" si="88"/>
        <v/>
      </c>
      <c r="AI759" s="181" t="str">
        <f t="shared" si="89"/>
        <v/>
      </c>
      <c r="AJ759" s="181" t="str">
        <f t="shared" si="90"/>
        <v/>
      </c>
      <c r="AK759" s="181" t="str">
        <f t="shared" si="91"/>
        <v/>
      </c>
      <c r="AL759" s="181" t="str">
        <f t="shared" si="92"/>
        <v/>
      </c>
      <c r="AM759" s="181" t="str">
        <f t="shared" si="93"/>
        <v/>
      </c>
      <c r="AN759" s="181" t="str">
        <f t="shared" si="94"/>
        <v/>
      </c>
      <c r="AO759" s="192" t="str">
        <f t="shared" si="95"/>
        <v/>
      </c>
      <c r="AQ759" t="str">
        <f>IFERROR(LOOKUP(2,1/((C_Pavement!$A$5:$A$204&lt;&gt;"")*(C_Pavement!$A$5:$A$204&lt;=$B759)*(C_Pavement!$B$5:$B$204&gt;$B759)*(C_Pavement!$C$5:$C$204&lt;&gt;"")),ROW(C_Pavement!$C$5:$C$204)-4),"")</f>
        <v/>
      </c>
      <c r="AR759" t="str">
        <f>IF($AQ759="","",UPPER(TRIM(INDEX(C_Pavement!$C$5:$C$204,$AQ759))))</f>
        <v/>
      </c>
      <c r="AS759" t="str">
        <f>IF($AR759="","",IFERROR(MATCH($AR759,E_Rules!$A$5:$A$9,0),""))</f>
        <v/>
      </c>
      <c r="AT759" t="str">
        <f>IF($AQ759="","",IF(INDEX(C_Pavement!$D$5:$D$204,$AQ759)&lt;&gt;"",UPPER(TRIM(INDEX(C_Pavement!$D$5:$D$204,$AQ759))),IF($AS759="","",INDEX(E_Rules!$C$5:$C$9,$AS759))))</f>
        <v/>
      </c>
      <c r="AU759" t="str">
        <f>IF($AQ759="","",IF(INDEX(C_Pavement!$E$5:$E$204,$AQ759)&lt;&gt;"",IF(INDEX(C_Pavement!$E$5:$E$204,$AQ759)="-","",INDEX(C_Pavement!$E$5:$E$204,$AQ759)),IF($AS759="","",INDEX(E_Rules!$D$5:$D$9,$AS759))))</f>
        <v/>
      </c>
      <c r="AV759" t="str">
        <f>IF($AQ759="","",IF(INDEX(C_Pavement!$F$5:$F$204,$AQ759)&lt;&gt;"",IF(INDEX(C_Pavement!$F$5:$F$204,$AQ759)="-","",INDEX(C_Pavement!$F$5:$F$204,$AQ759)),IF($AS759="","",INDEX(E_Rules!$E$5:$E$9,$AS759))))</f>
        <v/>
      </c>
      <c r="AW759" t="str">
        <f>IF($AQ759="","",IF(INDEX(C_Pavement!$G$5:$G$204,$AQ759)&lt;&gt;"",IF(INDEX(C_Pavement!$G$5:$G$204,$AQ759)="-","",INDEX(C_Pavement!$G$5:$G$204,$AQ759)),IF($AS759="","",INDEX(E_Rules!$F$5:$F$9,$AS759))))</f>
        <v/>
      </c>
      <c r="AX759" t="str">
        <f>IF($AQ759="","",IF(INDEX(C_Pavement!$H$5:$H$204,$AQ759)&lt;&gt;"",IF(INDEX(C_Pavement!$H$5:$H$204,$AQ759)="-","",INDEX(C_Pavement!$H$5:$H$204,$AQ759)),IF($AS759="","",INDEX(E_Rules!$G$5:$G$9,$AS759))))</f>
        <v/>
      </c>
      <c r="AY759" t="str">
        <f>IF($AQ759="","",IF(INDEX(C_Pavement!$I$5:$I$204,$AQ759)&lt;&gt;"",IF(INDEX(C_Pavement!$I$5:$I$204,$AQ759)="-","",INDEX(C_Pavement!$I$5:$I$204,$AQ759)),IF($AS759="","",INDEX(E_Rules!$H$5:$H$9,$AS759))))</f>
        <v/>
      </c>
    </row>
    <row r="760" spans="1:51" ht="15.75" customHeight="1" x14ac:dyDescent="0.3">
      <c r="A760" s="189">
        <v>755</v>
      </c>
      <c r="B760" s="180">
        <v>37700</v>
      </c>
      <c r="C760" s="180" t="s">
        <v>1066</v>
      </c>
      <c r="D760" s="181" t="str">
        <f>IFERROR(LOOKUP(2,1/((A_Corridor!$A$5:$A$204&lt;&gt;"")*(A_Corridor!$A$5:$A$204&lt;=$B760)*(A_Corridor!$B$5:$B$204&gt;$B760)*(A_Corridor!$C$5:$C$204&lt;&gt;"")),IF(UPPER(A_Corridor!$C$5:$C$204)="Y",1,"")),"")</f>
        <v/>
      </c>
      <c r="E760" s="181" t="str">
        <f>IFERROR(LOOKUP(2,1/((A_Corridor!$A$5:$A$204&lt;&gt;"")*(A_Corridor!$A$5:$A$204&lt;=$B760)*(A_Corridor!$B$5:$B$204&gt;$B760)*(A_Corridor!$D$5:$D$204&lt;&gt;"")),IF(A_Corridor!$D$5:$D$204="-","",UPPER(A_Corridor!$D$5:$D$204))),"")</f>
        <v/>
      </c>
      <c r="F760" s="181" t="str">
        <f>IFERROR(LOOKUP(2,1/((A_Corridor!$A$5:$A$204&lt;&gt;"")*(A_Corridor!$A$5:$A$204&lt;=$B760)*(A_Corridor!$B$5:$B$204&gt;$B760)*(A_Corridor!$E$5:$E$204&lt;&gt;"")),IF(A_Corridor!$E$5:$E$204="-","",1)),"")</f>
        <v/>
      </c>
      <c r="G760" s="182" t="str">
        <f>IFERROR(LOOKUP(2,1/((A_Corridor!$A$5:$A$204&lt;&gt;"")*(A_Corridor!$A$5:$A$204&lt;=$B760)*(A_Corridor!$B$5:$B$204&gt;$B760)*(A_Corridor!$E$5:$E$204&lt;&gt;"")),IF(A_Corridor!$E$5:$E$204="-","",A_Corridor!$E$5:$E$204)),"")</f>
        <v/>
      </c>
      <c r="H760" s="182" t="str">
        <f>IFERROR(LOOKUP(2,1/((D_Points!$A$5:$A$204&lt;&gt;"")*(D_Points!$A$5:$A$204&gt;=$B760)*(D_Points!$A$5:$A$204&lt;$B760+P_Interval)*(UPPER(TRIM(D_Points!$B$5:$B$204))="GULLY")*(D_Points!$H$5:$H$204&lt;&gt;"")),D_Points!$H$5:$H$204),"")</f>
        <v/>
      </c>
      <c r="I760" s="181" t="str">
        <f>IFERROR(LOOKUP(2,1/((A_Corridor!$A$5:$A$204&lt;&gt;"")*(A_Corridor!$A$5:$A$204&lt;=$B760)*(A_Corridor!$B$5:$B$204&gt;$B760)*(A_Corridor!$F$5:$F$204&lt;&gt;"")),IF(A_Corridor!$F$5:$F$204="-","",1)),"")</f>
        <v/>
      </c>
      <c r="J760" s="182" t="str">
        <f>IFERROR(LOOKUP(2,1/((A_Corridor!$A$5:$A$204&lt;&gt;"")*(A_Corridor!$A$5:$A$204&lt;=$B760)*(A_Corridor!$B$5:$B$204&gt;$B760)*(A_Corridor!$F$5:$F$204&lt;&gt;"")),IF(A_Corridor!$F$5:$F$204="-","",A_Corridor!$F$5:$F$204)),"")</f>
        <v/>
      </c>
      <c r="K760" s="182" t="str">
        <f>IFERROR(LOOKUP(2,1/((A_Corridor!$A$5:$A$204&lt;&gt;"")*(A_Corridor!$A$5:$A$204&lt;=$B760)*(A_Corridor!$B$5:$B$204&gt;$B760)*(A_Corridor!$G$5:$G$204&lt;&gt;"")),IF(A_Corridor!$G$5:$G$204="-","",A_Corridor!$G$5:$G$204)),"")</f>
        <v/>
      </c>
      <c r="L760" s="181" t="str">
        <f>IFERROR(LOOKUP(2,1/((A_Corridor!$A$5:$A$204&lt;&gt;"")*(A_Corridor!$A$5:$A$204&lt;=$B760)*(A_Corridor!$B$5:$B$204&gt;$B760)*(A_Corridor!$H$5:$H$204&lt;&gt;"")),IF(A_Corridor!$H$5:$H$204="-","",1)),"")</f>
        <v/>
      </c>
      <c r="M760" s="182" t="str">
        <f>IFERROR(LOOKUP(2,1/((A_Corridor!$A$5:$A$204&lt;&gt;"")*(A_Corridor!$A$5:$A$204&lt;=$B760)*(A_Corridor!$B$5:$B$204&gt;$B760)*(A_Corridor!$H$5:$H$204&lt;&gt;"")),IF(A_Corridor!$H$5:$H$204="-","",A_Corridor!$H$5:$H$204)),"")</f>
        <v/>
      </c>
      <c r="N760" s="182" t="str">
        <f>IFERROR(LOOKUP(2,1/((A_Corridor!$A$5:$A$204&lt;&gt;"")*(A_Corridor!$A$5:$A$204&lt;=$B760)*(A_Corridor!$B$5:$B$204&gt;$B760)*(A_Corridor!$I$5:$I$204&lt;&gt;"")),IF(A_Corridor!$I$5:$I$204="-","",A_Corridor!$I$5:$I$204)),"")</f>
        <v/>
      </c>
      <c r="O760" s="182" t="str">
        <f>IFERROR(LOOKUP(2,1/((D_Points!$A$5:$A$204&lt;&gt;"")*(D_Points!$A$5:$A$204&gt;=$B760)*(D_Points!$A$5:$A$204&lt;$B760+P_Interval)*(UPPER(TRIM(D_Points!$B$5:$B$204))="PITCHING")*(D_Points!$H$5:$H$204&lt;&gt;"")),D_Points!$H$5:$H$204),"")</f>
        <v/>
      </c>
      <c r="P760" s="181" t="str">
        <f>IFERROR(LOOKUP(2,1/((B_Drainage!$A$5:$A$204&lt;&gt;"")*(B_Drainage!$A$5:$A$204&lt;=$B760)*(B_Drainage!$B$5:$B$204&gt;$B760)*(B_Drainage!$C$5:$C$204&lt;&gt;"")),IF(B_Drainage!$C$5:$C$204="-","",UPPER(B_Drainage!$C$5:$C$204))),"")</f>
        <v/>
      </c>
      <c r="Q760" s="181" t="str">
        <f>IFERROR(LOOKUP(2,1/((B_Drainage!$A$5:$A$204&lt;&gt;"")*(B_Drainage!$A$5:$A$204&lt;=$B760)*(B_Drainage!$B$5:$B$204&gt;$B760)*(B_Drainage!$D$5:$D$204&lt;&gt;"")),IF(B_Drainage!$D$5:$D$204="-","",UPPER(B_Drainage!$D$5:$D$204))),"")</f>
        <v/>
      </c>
      <c r="R760" s="182" t="str">
        <f>IFERROR(LOOKUP(2,1/((D_Points!$A$5:$A$204&lt;&gt;"")*(D_Points!$A$5:$A$204&gt;=$B760)*(D_Points!$A$5:$A$204&lt;$B760+P_Interval)*(RIGHT(UPPER(TRIM(D_Points!$B$5:$B$204)),8)="_CULVERT")),IF(LEFT(UPPER(TRIM(D_Points!$B$5:$B$204)),2)="EX",1,IF(LEFT(UPPER(TRIM(D_Points!$B$5:$B$204)),2)="PR",2,3))),"")</f>
        <v/>
      </c>
      <c r="S760" s="182" t="str">
        <f>IFERROR(LOOKUP(2,1/((D_Points!$A$5:$A$204&lt;&gt;"")*(D_Points!$A$5:$A$204&gt;=$B760)*(D_Points!$A$5:$A$204&lt;$B760+P_Interval)*(RIGHT(UPPER(TRIM(D_Points!$B$5:$B$204)),7)="_BRIDGE")),IF(LEFT(UPPER(TRIM(D_Points!$B$5:$B$204)),2)="EX",1,IF(LEFT(UPPER(TRIM(D_Points!$B$5:$B$204)),2)="PR",2,2))),"")</f>
        <v/>
      </c>
      <c r="T760" s="181" t="str">
        <f>IFERROR(LOOKUP(2,1/((B_Drainage!$A$5:$A$204&lt;&gt;"")*(B_Drainage!$A$5:$A$204&lt;=$B760)*(B_Drainage!$B$5:$B$204&gt;$B760)*(B_Drainage!$E$5:$E$204&lt;&gt;"")),IF(B_Drainage!$E$5:$E$204="-","",1)),"")</f>
        <v/>
      </c>
      <c r="U760" s="181" t="str">
        <f>IFERROR(LOOKUP(2,1/((B_Drainage!$A$5:$A$204&lt;&gt;"")*(B_Drainage!$A$5:$A$204&lt;=$B760)*(B_Drainage!$B$5:$B$204&gt;$B760)*(B_Drainage!$E$5:$E$204&lt;&gt;"")),IF(B_Drainage!$E$5:$E$204="-","",B_Drainage!$E$5:$E$204)),"")</f>
        <v/>
      </c>
      <c r="V760" s="181" t="str">
        <f>IFERROR(LOOKUP(2,1/((B_Drainage!$A$5:$A$204&lt;&gt;"")*(B_Drainage!$A$5:$A$204&lt;=$B760)*(B_Drainage!$B$5:$B$204&gt;$B760)*(B_Drainage!$F$5:$F$204&lt;&gt;"")),IF(B_Drainage!$F$5:$F$204="-","",1)),"")</f>
        <v/>
      </c>
      <c r="W760" s="181" t="str">
        <f>IFERROR(LOOKUP(2,1/((B_Drainage!$A$5:$A$204&lt;&gt;"")*(B_Drainage!$A$5:$A$204&lt;=$B760)*(B_Drainage!$B$5:$B$204&gt;$B760)*(B_Drainage!$F$5:$F$204&lt;&gt;"")),IF(B_Drainage!$F$5:$F$204="-","",B_Drainage!$F$5:$F$204)),"")</f>
        <v/>
      </c>
      <c r="X760" s="181" t="str">
        <f>IFERROR(LOOKUP(2,1/((B_Drainage!$A$5:$A$204&lt;&gt;"")*(B_Drainage!$A$5:$A$204&lt;=$B760)*(B_Drainage!$B$5:$B$204&gt;$B760)*(B_Drainage!$G$5:$G$204&lt;&gt;"")),IF(UPPER(B_Drainage!$G$5:$G$204)="Y",1,"")),"")</f>
        <v/>
      </c>
      <c r="Y760" s="181" t="str">
        <f>IFERROR(LOOKUP(2,1/((B_Drainage!$A$5:$A$204&lt;&gt;"")*(B_Drainage!$A$5:$A$204&lt;=$B760)*(B_Drainage!$B$5:$B$204&gt;$B760)*(B_Drainage!$H$5:$H$204&lt;&gt;"")),IF(UPPER(B_Drainage!$H$5:$H$204)="Y",1,"")),"")</f>
        <v/>
      </c>
      <c r="Z760" s="181" t="str">
        <f>IFERROR(LOOKUP(2,1/((B_Drainage!$A$5:$A$204&lt;&gt;"")*(B_Drainage!$A$5:$A$204&lt;=$B760)*(B_Drainage!$B$5:$B$204&gt;$B760)*(B_Drainage!$I$5:$I$204&lt;&gt;"")),IF(UPPER(B_Drainage!$I$5:$I$204)="Y",1,"")),"")</f>
        <v/>
      </c>
      <c r="AA760" s="181" t="str">
        <f>IFERROR(LOOKUP(2,1/((B_Drainage!$A$5:$A$204&lt;&gt;"")*(B_Drainage!$A$5:$A$204&lt;=$B760)*(B_Drainage!$B$5:$B$204&gt;$B760)*(B_Drainage!$J$5:$J$204&lt;&gt;"")),IF(UPPER(B_Drainage!$J$5:$J$204)="Y",1,"")),"")</f>
        <v/>
      </c>
      <c r="AB760" s="182" t="str">
        <f>IFERROR(LOOKUP(2,1/((B_Drainage!$A$5:$A$204&lt;&gt;"")*(B_Drainage!$A$5:$A$204&lt;=$B760)*(B_Drainage!$B$5:$B$204&gt;$B760)*(B_Drainage!$K$5:$K$204&lt;&gt;"")),IF(B_Drainage!$K$5:$K$204="-","",B_Drainage!$K$5:$K$204)),"")</f>
        <v/>
      </c>
      <c r="AC760" s="182" t="str">
        <f>IFERROR(LOOKUP(2,1/((B_Drainage!$A$5:$A$204&lt;&gt;"")*(B_Drainage!$A$5:$A$204&lt;=$B760)*(B_Drainage!$B$5:$B$204&gt;$B760)*(B_Drainage!$L$5:$L$204&lt;&gt;"")),IF(B_Drainage!$L$5:$L$204="-","",B_Drainage!$L$5:$L$204)),"")</f>
        <v/>
      </c>
      <c r="AD760" s="182" t="str">
        <f>IFERROR(LOOKUP(2,1/((D_Points!$A$5:$A$204&lt;&gt;"")*(D_Points!$A$5:$A$204&gt;=$B760)*(D_Points!$A$5:$A$204&lt;$B760+P_Interval)*(UPPER(TRIM(D_Points!$B$5:$B$204))="TURNOUT_L")*(D_Points!$H$5:$H$204&lt;&gt;"")),D_Points!$H$5:$H$204),"")</f>
        <v/>
      </c>
      <c r="AE760" s="182" t="str">
        <f>IFERROR(LOOKUP(2,1/((D_Points!$A$5:$A$204&lt;&gt;"")*(D_Points!$A$5:$A$204&gt;=$B760)*(D_Points!$A$5:$A$204&lt;$B760+P_Interval)*(UPPER(TRIM(D_Points!$B$5:$B$204))="TURNOUT_R")*(D_Points!$H$5:$H$204&lt;&gt;"")),D_Points!$H$5:$H$204),"")</f>
        <v/>
      </c>
      <c r="AF760" s="181" t="str">
        <f>IFERROR(LOOKUP(2,1/((B_Drainage!$A$5:$A$204&lt;&gt;"")*(B_Drainage!$A$5:$A$204&lt;=$B760)*(B_Drainage!$B$5:$B$204&gt;$B760)*(B_Drainage!$M$5:$M$204&lt;&gt;"")),IF(UPPER(B_Drainage!$M$5:$M$204)="Y",1,"")),"")</f>
        <v/>
      </c>
      <c r="AG760" s="181" t="str">
        <f>IFERROR(LOOKUP(2,1/((B_Drainage!$A$5:$A$204&lt;&gt;"")*(B_Drainage!$A$5:$A$204&lt;=$B760)*(B_Drainage!$B$5:$B$204&gt;$B760)*(B_Drainage!$N$5:$N$204&lt;&gt;"")),IF(UPPER(B_Drainage!$N$5:$N$204)="Y",1,"")),"")</f>
        <v/>
      </c>
      <c r="AH760" s="181" t="str">
        <f t="shared" si="88"/>
        <v/>
      </c>
      <c r="AI760" s="181" t="str">
        <f t="shared" si="89"/>
        <v/>
      </c>
      <c r="AJ760" s="181" t="str">
        <f t="shared" si="90"/>
        <v/>
      </c>
      <c r="AK760" s="181" t="str">
        <f t="shared" si="91"/>
        <v/>
      </c>
      <c r="AL760" s="181" t="str">
        <f t="shared" si="92"/>
        <v/>
      </c>
      <c r="AM760" s="181" t="str">
        <f t="shared" si="93"/>
        <v/>
      </c>
      <c r="AN760" s="181" t="str">
        <f t="shared" si="94"/>
        <v/>
      </c>
      <c r="AO760" s="192" t="str">
        <f t="shared" si="95"/>
        <v/>
      </c>
      <c r="AQ760" t="str">
        <f>IFERROR(LOOKUP(2,1/((C_Pavement!$A$5:$A$204&lt;&gt;"")*(C_Pavement!$A$5:$A$204&lt;=$B760)*(C_Pavement!$B$5:$B$204&gt;$B760)*(C_Pavement!$C$5:$C$204&lt;&gt;"")),ROW(C_Pavement!$C$5:$C$204)-4),"")</f>
        <v/>
      </c>
      <c r="AR760" t="str">
        <f>IF($AQ760="","",UPPER(TRIM(INDEX(C_Pavement!$C$5:$C$204,$AQ760))))</f>
        <v/>
      </c>
      <c r="AS760" t="str">
        <f>IF($AR760="","",IFERROR(MATCH($AR760,E_Rules!$A$5:$A$9,0),""))</f>
        <v/>
      </c>
      <c r="AT760" t="str">
        <f>IF($AQ760="","",IF(INDEX(C_Pavement!$D$5:$D$204,$AQ760)&lt;&gt;"",UPPER(TRIM(INDEX(C_Pavement!$D$5:$D$204,$AQ760))),IF($AS760="","",INDEX(E_Rules!$C$5:$C$9,$AS760))))</f>
        <v/>
      </c>
      <c r="AU760" t="str">
        <f>IF($AQ760="","",IF(INDEX(C_Pavement!$E$5:$E$204,$AQ760)&lt;&gt;"",IF(INDEX(C_Pavement!$E$5:$E$204,$AQ760)="-","",INDEX(C_Pavement!$E$5:$E$204,$AQ760)),IF($AS760="","",INDEX(E_Rules!$D$5:$D$9,$AS760))))</f>
        <v/>
      </c>
      <c r="AV760" t="str">
        <f>IF($AQ760="","",IF(INDEX(C_Pavement!$F$5:$F$204,$AQ760)&lt;&gt;"",IF(INDEX(C_Pavement!$F$5:$F$204,$AQ760)="-","",INDEX(C_Pavement!$F$5:$F$204,$AQ760)),IF($AS760="","",INDEX(E_Rules!$E$5:$E$9,$AS760))))</f>
        <v/>
      </c>
      <c r="AW760" t="str">
        <f>IF($AQ760="","",IF(INDEX(C_Pavement!$G$5:$G$204,$AQ760)&lt;&gt;"",IF(INDEX(C_Pavement!$G$5:$G$204,$AQ760)="-","",INDEX(C_Pavement!$G$5:$G$204,$AQ760)),IF($AS760="","",INDEX(E_Rules!$F$5:$F$9,$AS760))))</f>
        <v/>
      </c>
      <c r="AX760" t="str">
        <f>IF($AQ760="","",IF(INDEX(C_Pavement!$H$5:$H$204,$AQ760)&lt;&gt;"",IF(INDEX(C_Pavement!$H$5:$H$204,$AQ760)="-","",INDEX(C_Pavement!$H$5:$H$204,$AQ760)),IF($AS760="","",INDEX(E_Rules!$G$5:$G$9,$AS760))))</f>
        <v/>
      </c>
      <c r="AY760" t="str">
        <f>IF($AQ760="","",IF(INDEX(C_Pavement!$I$5:$I$204,$AQ760)&lt;&gt;"",IF(INDEX(C_Pavement!$I$5:$I$204,$AQ760)="-","",INDEX(C_Pavement!$I$5:$I$204,$AQ760)),IF($AS760="","",INDEX(E_Rules!$H$5:$H$9,$AS760))))</f>
        <v/>
      </c>
    </row>
    <row r="761" spans="1:51" ht="15.75" customHeight="1" x14ac:dyDescent="0.3">
      <c r="A761" s="189">
        <v>756</v>
      </c>
      <c r="B761" s="180">
        <v>37750</v>
      </c>
      <c r="C761" s="180" t="s">
        <v>1067</v>
      </c>
      <c r="D761" s="181" t="str">
        <f>IFERROR(LOOKUP(2,1/((A_Corridor!$A$5:$A$204&lt;&gt;"")*(A_Corridor!$A$5:$A$204&lt;=$B761)*(A_Corridor!$B$5:$B$204&gt;$B761)*(A_Corridor!$C$5:$C$204&lt;&gt;"")),IF(UPPER(A_Corridor!$C$5:$C$204)="Y",1,"")),"")</f>
        <v/>
      </c>
      <c r="E761" s="181" t="str">
        <f>IFERROR(LOOKUP(2,1/((A_Corridor!$A$5:$A$204&lt;&gt;"")*(A_Corridor!$A$5:$A$204&lt;=$B761)*(A_Corridor!$B$5:$B$204&gt;$B761)*(A_Corridor!$D$5:$D$204&lt;&gt;"")),IF(A_Corridor!$D$5:$D$204="-","",UPPER(A_Corridor!$D$5:$D$204))),"")</f>
        <v/>
      </c>
      <c r="F761" s="181" t="str">
        <f>IFERROR(LOOKUP(2,1/((A_Corridor!$A$5:$A$204&lt;&gt;"")*(A_Corridor!$A$5:$A$204&lt;=$B761)*(A_Corridor!$B$5:$B$204&gt;$B761)*(A_Corridor!$E$5:$E$204&lt;&gt;"")),IF(A_Corridor!$E$5:$E$204="-","",1)),"")</f>
        <v/>
      </c>
      <c r="G761" s="182" t="str">
        <f>IFERROR(LOOKUP(2,1/((A_Corridor!$A$5:$A$204&lt;&gt;"")*(A_Corridor!$A$5:$A$204&lt;=$B761)*(A_Corridor!$B$5:$B$204&gt;$B761)*(A_Corridor!$E$5:$E$204&lt;&gt;"")),IF(A_Corridor!$E$5:$E$204="-","",A_Corridor!$E$5:$E$204)),"")</f>
        <v/>
      </c>
      <c r="H761" s="182" t="str">
        <f>IFERROR(LOOKUP(2,1/((D_Points!$A$5:$A$204&lt;&gt;"")*(D_Points!$A$5:$A$204&gt;=$B761)*(D_Points!$A$5:$A$204&lt;$B761+P_Interval)*(UPPER(TRIM(D_Points!$B$5:$B$204))="GULLY")*(D_Points!$H$5:$H$204&lt;&gt;"")),D_Points!$H$5:$H$204),"")</f>
        <v/>
      </c>
      <c r="I761" s="181" t="str">
        <f>IFERROR(LOOKUP(2,1/((A_Corridor!$A$5:$A$204&lt;&gt;"")*(A_Corridor!$A$5:$A$204&lt;=$B761)*(A_Corridor!$B$5:$B$204&gt;$B761)*(A_Corridor!$F$5:$F$204&lt;&gt;"")),IF(A_Corridor!$F$5:$F$204="-","",1)),"")</f>
        <v/>
      </c>
      <c r="J761" s="182" t="str">
        <f>IFERROR(LOOKUP(2,1/((A_Corridor!$A$5:$A$204&lt;&gt;"")*(A_Corridor!$A$5:$A$204&lt;=$B761)*(A_Corridor!$B$5:$B$204&gt;$B761)*(A_Corridor!$F$5:$F$204&lt;&gt;"")),IF(A_Corridor!$F$5:$F$204="-","",A_Corridor!$F$5:$F$204)),"")</f>
        <v/>
      </c>
      <c r="K761" s="182" t="str">
        <f>IFERROR(LOOKUP(2,1/((A_Corridor!$A$5:$A$204&lt;&gt;"")*(A_Corridor!$A$5:$A$204&lt;=$B761)*(A_Corridor!$B$5:$B$204&gt;$B761)*(A_Corridor!$G$5:$G$204&lt;&gt;"")),IF(A_Corridor!$G$5:$G$204="-","",A_Corridor!$G$5:$G$204)),"")</f>
        <v/>
      </c>
      <c r="L761" s="181" t="str">
        <f>IFERROR(LOOKUP(2,1/((A_Corridor!$A$5:$A$204&lt;&gt;"")*(A_Corridor!$A$5:$A$204&lt;=$B761)*(A_Corridor!$B$5:$B$204&gt;$B761)*(A_Corridor!$H$5:$H$204&lt;&gt;"")),IF(A_Corridor!$H$5:$H$204="-","",1)),"")</f>
        <v/>
      </c>
      <c r="M761" s="182" t="str">
        <f>IFERROR(LOOKUP(2,1/((A_Corridor!$A$5:$A$204&lt;&gt;"")*(A_Corridor!$A$5:$A$204&lt;=$B761)*(A_Corridor!$B$5:$B$204&gt;$B761)*(A_Corridor!$H$5:$H$204&lt;&gt;"")),IF(A_Corridor!$H$5:$H$204="-","",A_Corridor!$H$5:$H$204)),"")</f>
        <v/>
      </c>
      <c r="N761" s="182" t="str">
        <f>IFERROR(LOOKUP(2,1/((A_Corridor!$A$5:$A$204&lt;&gt;"")*(A_Corridor!$A$5:$A$204&lt;=$B761)*(A_Corridor!$B$5:$B$204&gt;$B761)*(A_Corridor!$I$5:$I$204&lt;&gt;"")),IF(A_Corridor!$I$5:$I$204="-","",A_Corridor!$I$5:$I$204)),"")</f>
        <v/>
      </c>
      <c r="O761" s="182" t="str">
        <f>IFERROR(LOOKUP(2,1/((D_Points!$A$5:$A$204&lt;&gt;"")*(D_Points!$A$5:$A$204&gt;=$B761)*(D_Points!$A$5:$A$204&lt;$B761+P_Interval)*(UPPER(TRIM(D_Points!$B$5:$B$204))="PITCHING")*(D_Points!$H$5:$H$204&lt;&gt;"")),D_Points!$H$5:$H$204),"")</f>
        <v/>
      </c>
      <c r="P761" s="181" t="str">
        <f>IFERROR(LOOKUP(2,1/((B_Drainage!$A$5:$A$204&lt;&gt;"")*(B_Drainage!$A$5:$A$204&lt;=$B761)*(B_Drainage!$B$5:$B$204&gt;$B761)*(B_Drainage!$C$5:$C$204&lt;&gt;"")),IF(B_Drainage!$C$5:$C$204="-","",UPPER(B_Drainage!$C$5:$C$204))),"")</f>
        <v/>
      </c>
      <c r="Q761" s="181" t="str">
        <f>IFERROR(LOOKUP(2,1/((B_Drainage!$A$5:$A$204&lt;&gt;"")*(B_Drainage!$A$5:$A$204&lt;=$B761)*(B_Drainage!$B$5:$B$204&gt;$B761)*(B_Drainage!$D$5:$D$204&lt;&gt;"")),IF(B_Drainage!$D$5:$D$204="-","",UPPER(B_Drainage!$D$5:$D$204))),"")</f>
        <v/>
      </c>
      <c r="R761" s="182" t="str">
        <f>IFERROR(LOOKUP(2,1/((D_Points!$A$5:$A$204&lt;&gt;"")*(D_Points!$A$5:$A$204&gt;=$B761)*(D_Points!$A$5:$A$204&lt;$B761+P_Interval)*(RIGHT(UPPER(TRIM(D_Points!$B$5:$B$204)),8)="_CULVERT")),IF(LEFT(UPPER(TRIM(D_Points!$B$5:$B$204)),2)="EX",1,IF(LEFT(UPPER(TRIM(D_Points!$B$5:$B$204)),2)="PR",2,3))),"")</f>
        <v/>
      </c>
      <c r="S761" s="182" t="str">
        <f>IFERROR(LOOKUP(2,1/((D_Points!$A$5:$A$204&lt;&gt;"")*(D_Points!$A$5:$A$204&gt;=$B761)*(D_Points!$A$5:$A$204&lt;$B761+P_Interval)*(RIGHT(UPPER(TRIM(D_Points!$B$5:$B$204)),7)="_BRIDGE")),IF(LEFT(UPPER(TRIM(D_Points!$B$5:$B$204)),2)="EX",1,IF(LEFT(UPPER(TRIM(D_Points!$B$5:$B$204)),2)="PR",2,2))),"")</f>
        <v/>
      </c>
      <c r="T761" s="181" t="str">
        <f>IFERROR(LOOKUP(2,1/((B_Drainage!$A$5:$A$204&lt;&gt;"")*(B_Drainage!$A$5:$A$204&lt;=$B761)*(B_Drainage!$B$5:$B$204&gt;$B761)*(B_Drainage!$E$5:$E$204&lt;&gt;"")),IF(B_Drainage!$E$5:$E$204="-","",1)),"")</f>
        <v/>
      </c>
      <c r="U761" s="181" t="str">
        <f>IFERROR(LOOKUP(2,1/((B_Drainage!$A$5:$A$204&lt;&gt;"")*(B_Drainage!$A$5:$A$204&lt;=$B761)*(B_Drainage!$B$5:$B$204&gt;$B761)*(B_Drainage!$E$5:$E$204&lt;&gt;"")),IF(B_Drainage!$E$5:$E$204="-","",B_Drainage!$E$5:$E$204)),"")</f>
        <v/>
      </c>
      <c r="V761" s="181" t="str">
        <f>IFERROR(LOOKUP(2,1/((B_Drainage!$A$5:$A$204&lt;&gt;"")*(B_Drainage!$A$5:$A$204&lt;=$B761)*(B_Drainage!$B$5:$B$204&gt;$B761)*(B_Drainage!$F$5:$F$204&lt;&gt;"")),IF(B_Drainage!$F$5:$F$204="-","",1)),"")</f>
        <v/>
      </c>
      <c r="W761" s="181" t="str">
        <f>IFERROR(LOOKUP(2,1/((B_Drainage!$A$5:$A$204&lt;&gt;"")*(B_Drainage!$A$5:$A$204&lt;=$B761)*(B_Drainage!$B$5:$B$204&gt;$B761)*(B_Drainage!$F$5:$F$204&lt;&gt;"")),IF(B_Drainage!$F$5:$F$204="-","",B_Drainage!$F$5:$F$204)),"")</f>
        <v/>
      </c>
      <c r="X761" s="181" t="str">
        <f>IFERROR(LOOKUP(2,1/((B_Drainage!$A$5:$A$204&lt;&gt;"")*(B_Drainage!$A$5:$A$204&lt;=$B761)*(B_Drainage!$B$5:$B$204&gt;$B761)*(B_Drainage!$G$5:$G$204&lt;&gt;"")),IF(UPPER(B_Drainage!$G$5:$G$204)="Y",1,"")),"")</f>
        <v/>
      </c>
      <c r="Y761" s="181" t="str">
        <f>IFERROR(LOOKUP(2,1/((B_Drainage!$A$5:$A$204&lt;&gt;"")*(B_Drainage!$A$5:$A$204&lt;=$B761)*(B_Drainage!$B$5:$B$204&gt;$B761)*(B_Drainage!$H$5:$H$204&lt;&gt;"")),IF(UPPER(B_Drainage!$H$5:$H$204)="Y",1,"")),"")</f>
        <v/>
      </c>
      <c r="Z761" s="181" t="str">
        <f>IFERROR(LOOKUP(2,1/((B_Drainage!$A$5:$A$204&lt;&gt;"")*(B_Drainage!$A$5:$A$204&lt;=$B761)*(B_Drainage!$B$5:$B$204&gt;$B761)*(B_Drainage!$I$5:$I$204&lt;&gt;"")),IF(UPPER(B_Drainage!$I$5:$I$204)="Y",1,"")),"")</f>
        <v/>
      </c>
      <c r="AA761" s="181" t="str">
        <f>IFERROR(LOOKUP(2,1/((B_Drainage!$A$5:$A$204&lt;&gt;"")*(B_Drainage!$A$5:$A$204&lt;=$B761)*(B_Drainage!$B$5:$B$204&gt;$B761)*(B_Drainage!$J$5:$J$204&lt;&gt;"")),IF(UPPER(B_Drainage!$J$5:$J$204)="Y",1,"")),"")</f>
        <v/>
      </c>
      <c r="AB761" s="182" t="str">
        <f>IFERROR(LOOKUP(2,1/((B_Drainage!$A$5:$A$204&lt;&gt;"")*(B_Drainage!$A$5:$A$204&lt;=$B761)*(B_Drainage!$B$5:$B$204&gt;$B761)*(B_Drainage!$K$5:$K$204&lt;&gt;"")),IF(B_Drainage!$K$5:$K$204="-","",B_Drainage!$K$5:$K$204)),"")</f>
        <v/>
      </c>
      <c r="AC761" s="182" t="str">
        <f>IFERROR(LOOKUP(2,1/((B_Drainage!$A$5:$A$204&lt;&gt;"")*(B_Drainage!$A$5:$A$204&lt;=$B761)*(B_Drainage!$B$5:$B$204&gt;$B761)*(B_Drainage!$L$5:$L$204&lt;&gt;"")),IF(B_Drainage!$L$5:$L$204="-","",B_Drainage!$L$5:$L$204)),"")</f>
        <v/>
      </c>
      <c r="AD761" s="182" t="str">
        <f>IFERROR(LOOKUP(2,1/((D_Points!$A$5:$A$204&lt;&gt;"")*(D_Points!$A$5:$A$204&gt;=$B761)*(D_Points!$A$5:$A$204&lt;$B761+P_Interval)*(UPPER(TRIM(D_Points!$B$5:$B$204))="TURNOUT_L")*(D_Points!$H$5:$H$204&lt;&gt;"")),D_Points!$H$5:$H$204),"")</f>
        <v/>
      </c>
      <c r="AE761" s="182" t="str">
        <f>IFERROR(LOOKUP(2,1/((D_Points!$A$5:$A$204&lt;&gt;"")*(D_Points!$A$5:$A$204&gt;=$B761)*(D_Points!$A$5:$A$204&lt;$B761+P_Interval)*(UPPER(TRIM(D_Points!$B$5:$B$204))="TURNOUT_R")*(D_Points!$H$5:$H$204&lt;&gt;"")),D_Points!$H$5:$H$204),"")</f>
        <v/>
      </c>
      <c r="AF761" s="181" t="str">
        <f>IFERROR(LOOKUP(2,1/((B_Drainage!$A$5:$A$204&lt;&gt;"")*(B_Drainage!$A$5:$A$204&lt;=$B761)*(B_Drainage!$B$5:$B$204&gt;$B761)*(B_Drainage!$M$5:$M$204&lt;&gt;"")),IF(UPPER(B_Drainage!$M$5:$M$204)="Y",1,"")),"")</f>
        <v/>
      </c>
      <c r="AG761" s="181" t="str">
        <f>IFERROR(LOOKUP(2,1/((B_Drainage!$A$5:$A$204&lt;&gt;"")*(B_Drainage!$A$5:$A$204&lt;=$B761)*(B_Drainage!$B$5:$B$204&gt;$B761)*(B_Drainage!$N$5:$N$204&lt;&gt;"")),IF(UPPER(B_Drainage!$N$5:$N$204)="Y",1,"")),"")</f>
        <v/>
      </c>
      <c r="AH761" s="181" t="str">
        <f t="shared" si="88"/>
        <v/>
      </c>
      <c r="AI761" s="181" t="str">
        <f t="shared" si="89"/>
        <v/>
      </c>
      <c r="AJ761" s="181" t="str">
        <f t="shared" si="90"/>
        <v/>
      </c>
      <c r="AK761" s="181" t="str">
        <f t="shared" si="91"/>
        <v/>
      </c>
      <c r="AL761" s="181" t="str">
        <f t="shared" si="92"/>
        <v/>
      </c>
      <c r="AM761" s="181" t="str">
        <f t="shared" si="93"/>
        <v/>
      </c>
      <c r="AN761" s="181" t="str">
        <f t="shared" si="94"/>
        <v/>
      </c>
      <c r="AO761" s="192" t="str">
        <f t="shared" si="95"/>
        <v/>
      </c>
      <c r="AQ761" t="str">
        <f>IFERROR(LOOKUP(2,1/((C_Pavement!$A$5:$A$204&lt;&gt;"")*(C_Pavement!$A$5:$A$204&lt;=$B761)*(C_Pavement!$B$5:$B$204&gt;$B761)*(C_Pavement!$C$5:$C$204&lt;&gt;"")),ROW(C_Pavement!$C$5:$C$204)-4),"")</f>
        <v/>
      </c>
      <c r="AR761" t="str">
        <f>IF($AQ761="","",UPPER(TRIM(INDEX(C_Pavement!$C$5:$C$204,$AQ761))))</f>
        <v/>
      </c>
      <c r="AS761" t="str">
        <f>IF($AR761="","",IFERROR(MATCH($AR761,E_Rules!$A$5:$A$9,0),""))</f>
        <v/>
      </c>
      <c r="AT761" t="str">
        <f>IF($AQ761="","",IF(INDEX(C_Pavement!$D$5:$D$204,$AQ761)&lt;&gt;"",UPPER(TRIM(INDEX(C_Pavement!$D$5:$D$204,$AQ761))),IF($AS761="","",INDEX(E_Rules!$C$5:$C$9,$AS761))))</f>
        <v/>
      </c>
      <c r="AU761" t="str">
        <f>IF($AQ761="","",IF(INDEX(C_Pavement!$E$5:$E$204,$AQ761)&lt;&gt;"",IF(INDEX(C_Pavement!$E$5:$E$204,$AQ761)="-","",INDEX(C_Pavement!$E$5:$E$204,$AQ761)),IF($AS761="","",INDEX(E_Rules!$D$5:$D$9,$AS761))))</f>
        <v/>
      </c>
      <c r="AV761" t="str">
        <f>IF($AQ761="","",IF(INDEX(C_Pavement!$F$5:$F$204,$AQ761)&lt;&gt;"",IF(INDEX(C_Pavement!$F$5:$F$204,$AQ761)="-","",INDEX(C_Pavement!$F$5:$F$204,$AQ761)),IF($AS761="","",INDEX(E_Rules!$E$5:$E$9,$AS761))))</f>
        <v/>
      </c>
      <c r="AW761" t="str">
        <f>IF($AQ761="","",IF(INDEX(C_Pavement!$G$5:$G$204,$AQ761)&lt;&gt;"",IF(INDEX(C_Pavement!$G$5:$G$204,$AQ761)="-","",INDEX(C_Pavement!$G$5:$G$204,$AQ761)),IF($AS761="","",INDEX(E_Rules!$F$5:$F$9,$AS761))))</f>
        <v/>
      </c>
      <c r="AX761" t="str">
        <f>IF($AQ761="","",IF(INDEX(C_Pavement!$H$5:$H$204,$AQ761)&lt;&gt;"",IF(INDEX(C_Pavement!$H$5:$H$204,$AQ761)="-","",INDEX(C_Pavement!$H$5:$H$204,$AQ761)),IF($AS761="","",INDEX(E_Rules!$G$5:$G$9,$AS761))))</f>
        <v/>
      </c>
      <c r="AY761" t="str">
        <f>IF($AQ761="","",IF(INDEX(C_Pavement!$I$5:$I$204,$AQ761)&lt;&gt;"",IF(INDEX(C_Pavement!$I$5:$I$204,$AQ761)="-","",INDEX(C_Pavement!$I$5:$I$204,$AQ761)),IF($AS761="","",INDEX(E_Rules!$H$5:$H$9,$AS761))))</f>
        <v/>
      </c>
    </row>
    <row r="762" spans="1:51" ht="15.75" customHeight="1" x14ac:dyDescent="0.3">
      <c r="A762" s="189">
        <v>757</v>
      </c>
      <c r="B762" s="180">
        <v>37800</v>
      </c>
      <c r="C762" s="180" t="s">
        <v>1068</v>
      </c>
      <c r="D762" s="181" t="str">
        <f>IFERROR(LOOKUP(2,1/((A_Corridor!$A$5:$A$204&lt;&gt;"")*(A_Corridor!$A$5:$A$204&lt;=$B762)*(A_Corridor!$B$5:$B$204&gt;$B762)*(A_Corridor!$C$5:$C$204&lt;&gt;"")),IF(UPPER(A_Corridor!$C$5:$C$204)="Y",1,"")),"")</f>
        <v/>
      </c>
      <c r="E762" s="181" t="str">
        <f>IFERROR(LOOKUP(2,1/((A_Corridor!$A$5:$A$204&lt;&gt;"")*(A_Corridor!$A$5:$A$204&lt;=$B762)*(A_Corridor!$B$5:$B$204&gt;$B762)*(A_Corridor!$D$5:$D$204&lt;&gt;"")),IF(A_Corridor!$D$5:$D$204="-","",UPPER(A_Corridor!$D$5:$D$204))),"")</f>
        <v/>
      </c>
      <c r="F762" s="181" t="str">
        <f>IFERROR(LOOKUP(2,1/((A_Corridor!$A$5:$A$204&lt;&gt;"")*(A_Corridor!$A$5:$A$204&lt;=$B762)*(A_Corridor!$B$5:$B$204&gt;$B762)*(A_Corridor!$E$5:$E$204&lt;&gt;"")),IF(A_Corridor!$E$5:$E$204="-","",1)),"")</f>
        <v/>
      </c>
      <c r="G762" s="182" t="str">
        <f>IFERROR(LOOKUP(2,1/((A_Corridor!$A$5:$A$204&lt;&gt;"")*(A_Corridor!$A$5:$A$204&lt;=$B762)*(A_Corridor!$B$5:$B$204&gt;$B762)*(A_Corridor!$E$5:$E$204&lt;&gt;"")),IF(A_Corridor!$E$5:$E$204="-","",A_Corridor!$E$5:$E$204)),"")</f>
        <v/>
      </c>
      <c r="H762" s="182" t="str">
        <f>IFERROR(LOOKUP(2,1/((D_Points!$A$5:$A$204&lt;&gt;"")*(D_Points!$A$5:$A$204&gt;=$B762)*(D_Points!$A$5:$A$204&lt;$B762+P_Interval)*(UPPER(TRIM(D_Points!$B$5:$B$204))="GULLY")*(D_Points!$H$5:$H$204&lt;&gt;"")),D_Points!$H$5:$H$204),"")</f>
        <v/>
      </c>
      <c r="I762" s="181" t="str">
        <f>IFERROR(LOOKUP(2,1/((A_Corridor!$A$5:$A$204&lt;&gt;"")*(A_Corridor!$A$5:$A$204&lt;=$B762)*(A_Corridor!$B$5:$B$204&gt;$B762)*(A_Corridor!$F$5:$F$204&lt;&gt;"")),IF(A_Corridor!$F$5:$F$204="-","",1)),"")</f>
        <v/>
      </c>
      <c r="J762" s="182" t="str">
        <f>IFERROR(LOOKUP(2,1/((A_Corridor!$A$5:$A$204&lt;&gt;"")*(A_Corridor!$A$5:$A$204&lt;=$B762)*(A_Corridor!$B$5:$B$204&gt;$B762)*(A_Corridor!$F$5:$F$204&lt;&gt;"")),IF(A_Corridor!$F$5:$F$204="-","",A_Corridor!$F$5:$F$204)),"")</f>
        <v/>
      </c>
      <c r="K762" s="182" t="str">
        <f>IFERROR(LOOKUP(2,1/((A_Corridor!$A$5:$A$204&lt;&gt;"")*(A_Corridor!$A$5:$A$204&lt;=$B762)*(A_Corridor!$B$5:$B$204&gt;$B762)*(A_Corridor!$G$5:$G$204&lt;&gt;"")),IF(A_Corridor!$G$5:$G$204="-","",A_Corridor!$G$5:$G$204)),"")</f>
        <v/>
      </c>
      <c r="L762" s="181" t="str">
        <f>IFERROR(LOOKUP(2,1/((A_Corridor!$A$5:$A$204&lt;&gt;"")*(A_Corridor!$A$5:$A$204&lt;=$B762)*(A_Corridor!$B$5:$B$204&gt;$B762)*(A_Corridor!$H$5:$H$204&lt;&gt;"")),IF(A_Corridor!$H$5:$H$204="-","",1)),"")</f>
        <v/>
      </c>
      <c r="M762" s="182" t="str">
        <f>IFERROR(LOOKUP(2,1/((A_Corridor!$A$5:$A$204&lt;&gt;"")*(A_Corridor!$A$5:$A$204&lt;=$B762)*(A_Corridor!$B$5:$B$204&gt;$B762)*(A_Corridor!$H$5:$H$204&lt;&gt;"")),IF(A_Corridor!$H$5:$H$204="-","",A_Corridor!$H$5:$H$204)),"")</f>
        <v/>
      </c>
      <c r="N762" s="182" t="str">
        <f>IFERROR(LOOKUP(2,1/((A_Corridor!$A$5:$A$204&lt;&gt;"")*(A_Corridor!$A$5:$A$204&lt;=$B762)*(A_Corridor!$B$5:$B$204&gt;$B762)*(A_Corridor!$I$5:$I$204&lt;&gt;"")),IF(A_Corridor!$I$5:$I$204="-","",A_Corridor!$I$5:$I$204)),"")</f>
        <v/>
      </c>
      <c r="O762" s="182" t="str">
        <f>IFERROR(LOOKUP(2,1/((D_Points!$A$5:$A$204&lt;&gt;"")*(D_Points!$A$5:$A$204&gt;=$B762)*(D_Points!$A$5:$A$204&lt;$B762+P_Interval)*(UPPER(TRIM(D_Points!$B$5:$B$204))="PITCHING")*(D_Points!$H$5:$H$204&lt;&gt;"")),D_Points!$H$5:$H$204),"")</f>
        <v/>
      </c>
      <c r="P762" s="181" t="str">
        <f>IFERROR(LOOKUP(2,1/((B_Drainage!$A$5:$A$204&lt;&gt;"")*(B_Drainage!$A$5:$A$204&lt;=$B762)*(B_Drainage!$B$5:$B$204&gt;$B762)*(B_Drainage!$C$5:$C$204&lt;&gt;"")),IF(B_Drainage!$C$5:$C$204="-","",UPPER(B_Drainage!$C$5:$C$204))),"")</f>
        <v/>
      </c>
      <c r="Q762" s="181" t="str">
        <f>IFERROR(LOOKUP(2,1/((B_Drainage!$A$5:$A$204&lt;&gt;"")*(B_Drainage!$A$5:$A$204&lt;=$B762)*(B_Drainage!$B$5:$B$204&gt;$B762)*(B_Drainage!$D$5:$D$204&lt;&gt;"")),IF(B_Drainage!$D$5:$D$204="-","",UPPER(B_Drainage!$D$5:$D$204))),"")</f>
        <v/>
      </c>
      <c r="R762" s="182" t="str">
        <f>IFERROR(LOOKUP(2,1/((D_Points!$A$5:$A$204&lt;&gt;"")*(D_Points!$A$5:$A$204&gt;=$B762)*(D_Points!$A$5:$A$204&lt;$B762+P_Interval)*(RIGHT(UPPER(TRIM(D_Points!$B$5:$B$204)),8)="_CULVERT")),IF(LEFT(UPPER(TRIM(D_Points!$B$5:$B$204)),2)="EX",1,IF(LEFT(UPPER(TRIM(D_Points!$B$5:$B$204)),2)="PR",2,3))),"")</f>
        <v/>
      </c>
      <c r="S762" s="182" t="str">
        <f>IFERROR(LOOKUP(2,1/((D_Points!$A$5:$A$204&lt;&gt;"")*(D_Points!$A$5:$A$204&gt;=$B762)*(D_Points!$A$5:$A$204&lt;$B762+P_Interval)*(RIGHT(UPPER(TRIM(D_Points!$B$5:$B$204)),7)="_BRIDGE")),IF(LEFT(UPPER(TRIM(D_Points!$B$5:$B$204)),2)="EX",1,IF(LEFT(UPPER(TRIM(D_Points!$B$5:$B$204)),2)="PR",2,2))),"")</f>
        <v/>
      </c>
      <c r="T762" s="181" t="str">
        <f>IFERROR(LOOKUP(2,1/((B_Drainage!$A$5:$A$204&lt;&gt;"")*(B_Drainage!$A$5:$A$204&lt;=$B762)*(B_Drainage!$B$5:$B$204&gt;$B762)*(B_Drainage!$E$5:$E$204&lt;&gt;"")),IF(B_Drainage!$E$5:$E$204="-","",1)),"")</f>
        <v/>
      </c>
      <c r="U762" s="181" t="str">
        <f>IFERROR(LOOKUP(2,1/((B_Drainage!$A$5:$A$204&lt;&gt;"")*(B_Drainage!$A$5:$A$204&lt;=$B762)*(B_Drainage!$B$5:$B$204&gt;$B762)*(B_Drainage!$E$5:$E$204&lt;&gt;"")),IF(B_Drainage!$E$5:$E$204="-","",B_Drainage!$E$5:$E$204)),"")</f>
        <v/>
      </c>
      <c r="V762" s="181" t="str">
        <f>IFERROR(LOOKUP(2,1/((B_Drainage!$A$5:$A$204&lt;&gt;"")*(B_Drainage!$A$5:$A$204&lt;=$B762)*(B_Drainage!$B$5:$B$204&gt;$B762)*(B_Drainage!$F$5:$F$204&lt;&gt;"")),IF(B_Drainage!$F$5:$F$204="-","",1)),"")</f>
        <v/>
      </c>
      <c r="W762" s="181" t="str">
        <f>IFERROR(LOOKUP(2,1/((B_Drainage!$A$5:$A$204&lt;&gt;"")*(B_Drainage!$A$5:$A$204&lt;=$B762)*(B_Drainage!$B$5:$B$204&gt;$B762)*(B_Drainage!$F$5:$F$204&lt;&gt;"")),IF(B_Drainage!$F$5:$F$204="-","",B_Drainage!$F$5:$F$204)),"")</f>
        <v/>
      </c>
      <c r="X762" s="181" t="str">
        <f>IFERROR(LOOKUP(2,1/((B_Drainage!$A$5:$A$204&lt;&gt;"")*(B_Drainage!$A$5:$A$204&lt;=$B762)*(B_Drainage!$B$5:$B$204&gt;$B762)*(B_Drainage!$G$5:$G$204&lt;&gt;"")),IF(UPPER(B_Drainage!$G$5:$G$204)="Y",1,"")),"")</f>
        <v/>
      </c>
      <c r="Y762" s="181" t="str">
        <f>IFERROR(LOOKUP(2,1/((B_Drainage!$A$5:$A$204&lt;&gt;"")*(B_Drainage!$A$5:$A$204&lt;=$B762)*(B_Drainage!$B$5:$B$204&gt;$B762)*(B_Drainage!$H$5:$H$204&lt;&gt;"")),IF(UPPER(B_Drainage!$H$5:$H$204)="Y",1,"")),"")</f>
        <v/>
      </c>
      <c r="Z762" s="181" t="str">
        <f>IFERROR(LOOKUP(2,1/((B_Drainage!$A$5:$A$204&lt;&gt;"")*(B_Drainage!$A$5:$A$204&lt;=$B762)*(B_Drainage!$B$5:$B$204&gt;$B762)*(B_Drainage!$I$5:$I$204&lt;&gt;"")),IF(UPPER(B_Drainage!$I$5:$I$204)="Y",1,"")),"")</f>
        <v/>
      </c>
      <c r="AA762" s="181" t="str">
        <f>IFERROR(LOOKUP(2,1/((B_Drainage!$A$5:$A$204&lt;&gt;"")*(B_Drainage!$A$5:$A$204&lt;=$B762)*(B_Drainage!$B$5:$B$204&gt;$B762)*(B_Drainage!$J$5:$J$204&lt;&gt;"")),IF(UPPER(B_Drainage!$J$5:$J$204)="Y",1,"")),"")</f>
        <v/>
      </c>
      <c r="AB762" s="182" t="str">
        <f>IFERROR(LOOKUP(2,1/((B_Drainage!$A$5:$A$204&lt;&gt;"")*(B_Drainage!$A$5:$A$204&lt;=$B762)*(B_Drainage!$B$5:$B$204&gt;$B762)*(B_Drainage!$K$5:$K$204&lt;&gt;"")),IF(B_Drainage!$K$5:$K$204="-","",B_Drainage!$K$5:$K$204)),"")</f>
        <v/>
      </c>
      <c r="AC762" s="182" t="str">
        <f>IFERROR(LOOKUP(2,1/((B_Drainage!$A$5:$A$204&lt;&gt;"")*(B_Drainage!$A$5:$A$204&lt;=$B762)*(B_Drainage!$B$5:$B$204&gt;$B762)*(B_Drainage!$L$5:$L$204&lt;&gt;"")),IF(B_Drainage!$L$5:$L$204="-","",B_Drainage!$L$5:$L$204)),"")</f>
        <v/>
      </c>
      <c r="AD762" s="182" t="str">
        <f>IFERROR(LOOKUP(2,1/((D_Points!$A$5:$A$204&lt;&gt;"")*(D_Points!$A$5:$A$204&gt;=$B762)*(D_Points!$A$5:$A$204&lt;$B762+P_Interval)*(UPPER(TRIM(D_Points!$B$5:$B$204))="TURNOUT_L")*(D_Points!$H$5:$H$204&lt;&gt;"")),D_Points!$H$5:$H$204),"")</f>
        <v/>
      </c>
      <c r="AE762" s="182" t="str">
        <f>IFERROR(LOOKUP(2,1/((D_Points!$A$5:$A$204&lt;&gt;"")*(D_Points!$A$5:$A$204&gt;=$B762)*(D_Points!$A$5:$A$204&lt;$B762+P_Interval)*(UPPER(TRIM(D_Points!$B$5:$B$204))="TURNOUT_R")*(D_Points!$H$5:$H$204&lt;&gt;"")),D_Points!$H$5:$H$204),"")</f>
        <v/>
      </c>
      <c r="AF762" s="181" t="str">
        <f>IFERROR(LOOKUP(2,1/((B_Drainage!$A$5:$A$204&lt;&gt;"")*(B_Drainage!$A$5:$A$204&lt;=$B762)*(B_Drainage!$B$5:$B$204&gt;$B762)*(B_Drainage!$M$5:$M$204&lt;&gt;"")),IF(UPPER(B_Drainage!$M$5:$M$204)="Y",1,"")),"")</f>
        <v/>
      </c>
      <c r="AG762" s="181" t="str">
        <f>IFERROR(LOOKUP(2,1/((B_Drainage!$A$5:$A$204&lt;&gt;"")*(B_Drainage!$A$5:$A$204&lt;=$B762)*(B_Drainage!$B$5:$B$204&gt;$B762)*(B_Drainage!$N$5:$N$204&lt;&gt;"")),IF(UPPER(B_Drainage!$N$5:$N$204)="Y",1,"")),"")</f>
        <v/>
      </c>
      <c r="AH762" s="181" t="str">
        <f t="shared" si="88"/>
        <v/>
      </c>
      <c r="AI762" s="181" t="str">
        <f t="shared" si="89"/>
        <v/>
      </c>
      <c r="AJ762" s="181" t="str">
        <f t="shared" si="90"/>
        <v/>
      </c>
      <c r="AK762" s="181" t="str">
        <f t="shared" si="91"/>
        <v/>
      </c>
      <c r="AL762" s="181" t="str">
        <f t="shared" si="92"/>
        <v/>
      </c>
      <c r="AM762" s="181" t="str">
        <f t="shared" si="93"/>
        <v/>
      </c>
      <c r="AN762" s="181" t="str">
        <f t="shared" si="94"/>
        <v/>
      </c>
      <c r="AO762" s="192" t="str">
        <f t="shared" si="95"/>
        <v/>
      </c>
      <c r="AQ762" t="str">
        <f>IFERROR(LOOKUP(2,1/((C_Pavement!$A$5:$A$204&lt;&gt;"")*(C_Pavement!$A$5:$A$204&lt;=$B762)*(C_Pavement!$B$5:$B$204&gt;$B762)*(C_Pavement!$C$5:$C$204&lt;&gt;"")),ROW(C_Pavement!$C$5:$C$204)-4),"")</f>
        <v/>
      </c>
      <c r="AR762" t="str">
        <f>IF($AQ762="","",UPPER(TRIM(INDEX(C_Pavement!$C$5:$C$204,$AQ762))))</f>
        <v/>
      </c>
      <c r="AS762" t="str">
        <f>IF($AR762="","",IFERROR(MATCH($AR762,E_Rules!$A$5:$A$9,0),""))</f>
        <v/>
      </c>
      <c r="AT762" t="str">
        <f>IF($AQ762="","",IF(INDEX(C_Pavement!$D$5:$D$204,$AQ762)&lt;&gt;"",UPPER(TRIM(INDEX(C_Pavement!$D$5:$D$204,$AQ762))),IF($AS762="","",INDEX(E_Rules!$C$5:$C$9,$AS762))))</f>
        <v/>
      </c>
      <c r="AU762" t="str">
        <f>IF($AQ762="","",IF(INDEX(C_Pavement!$E$5:$E$204,$AQ762)&lt;&gt;"",IF(INDEX(C_Pavement!$E$5:$E$204,$AQ762)="-","",INDEX(C_Pavement!$E$5:$E$204,$AQ762)),IF($AS762="","",INDEX(E_Rules!$D$5:$D$9,$AS762))))</f>
        <v/>
      </c>
      <c r="AV762" t="str">
        <f>IF($AQ762="","",IF(INDEX(C_Pavement!$F$5:$F$204,$AQ762)&lt;&gt;"",IF(INDEX(C_Pavement!$F$5:$F$204,$AQ762)="-","",INDEX(C_Pavement!$F$5:$F$204,$AQ762)),IF($AS762="","",INDEX(E_Rules!$E$5:$E$9,$AS762))))</f>
        <v/>
      </c>
      <c r="AW762" t="str">
        <f>IF($AQ762="","",IF(INDEX(C_Pavement!$G$5:$G$204,$AQ762)&lt;&gt;"",IF(INDEX(C_Pavement!$G$5:$G$204,$AQ762)="-","",INDEX(C_Pavement!$G$5:$G$204,$AQ762)),IF($AS762="","",INDEX(E_Rules!$F$5:$F$9,$AS762))))</f>
        <v/>
      </c>
      <c r="AX762" t="str">
        <f>IF($AQ762="","",IF(INDEX(C_Pavement!$H$5:$H$204,$AQ762)&lt;&gt;"",IF(INDEX(C_Pavement!$H$5:$H$204,$AQ762)="-","",INDEX(C_Pavement!$H$5:$H$204,$AQ762)),IF($AS762="","",INDEX(E_Rules!$G$5:$G$9,$AS762))))</f>
        <v/>
      </c>
      <c r="AY762" t="str">
        <f>IF($AQ762="","",IF(INDEX(C_Pavement!$I$5:$I$204,$AQ762)&lt;&gt;"",IF(INDEX(C_Pavement!$I$5:$I$204,$AQ762)="-","",INDEX(C_Pavement!$I$5:$I$204,$AQ762)),IF($AS762="","",INDEX(E_Rules!$H$5:$H$9,$AS762))))</f>
        <v/>
      </c>
    </row>
    <row r="763" spans="1:51" ht="15.75" customHeight="1" x14ac:dyDescent="0.3">
      <c r="A763" s="189">
        <v>758</v>
      </c>
      <c r="B763" s="180">
        <v>37850</v>
      </c>
      <c r="C763" s="180" t="s">
        <v>1069</v>
      </c>
      <c r="D763" s="181" t="str">
        <f>IFERROR(LOOKUP(2,1/((A_Corridor!$A$5:$A$204&lt;&gt;"")*(A_Corridor!$A$5:$A$204&lt;=$B763)*(A_Corridor!$B$5:$B$204&gt;$B763)*(A_Corridor!$C$5:$C$204&lt;&gt;"")),IF(UPPER(A_Corridor!$C$5:$C$204)="Y",1,"")),"")</f>
        <v/>
      </c>
      <c r="E763" s="181" t="str">
        <f>IFERROR(LOOKUP(2,1/((A_Corridor!$A$5:$A$204&lt;&gt;"")*(A_Corridor!$A$5:$A$204&lt;=$B763)*(A_Corridor!$B$5:$B$204&gt;$B763)*(A_Corridor!$D$5:$D$204&lt;&gt;"")),IF(A_Corridor!$D$5:$D$204="-","",UPPER(A_Corridor!$D$5:$D$204))),"")</f>
        <v/>
      </c>
      <c r="F763" s="181" t="str">
        <f>IFERROR(LOOKUP(2,1/((A_Corridor!$A$5:$A$204&lt;&gt;"")*(A_Corridor!$A$5:$A$204&lt;=$B763)*(A_Corridor!$B$5:$B$204&gt;$B763)*(A_Corridor!$E$5:$E$204&lt;&gt;"")),IF(A_Corridor!$E$5:$E$204="-","",1)),"")</f>
        <v/>
      </c>
      <c r="G763" s="182" t="str">
        <f>IFERROR(LOOKUP(2,1/((A_Corridor!$A$5:$A$204&lt;&gt;"")*(A_Corridor!$A$5:$A$204&lt;=$B763)*(A_Corridor!$B$5:$B$204&gt;$B763)*(A_Corridor!$E$5:$E$204&lt;&gt;"")),IF(A_Corridor!$E$5:$E$204="-","",A_Corridor!$E$5:$E$204)),"")</f>
        <v/>
      </c>
      <c r="H763" s="182" t="str">
        <f>IFERROR(LOOKUP(2,1/((D_Points!$A$5:$A$204&lt;&gt;"")*(D_Points!$A$5:$A$204&gt;=$B763)*(D_Points!$A$5:$A$204&lt;$B763+P_Interval)*(UPPER(TRIM(D_Points!$B$5:$B$204))="GULLY")*(D_Points!$H$5:$H$204&lt;&gt;"")),D_Points!$H$5:$H$204),"")</f>
        <v/>
      </c>
      <c r="I763" s="181" t="str">
        <f>IFERROR(LOOKUP(2,1/((A_Corridor!$A$5:$A$204&lt;&gt;"")*(A_Corridor!$A$5:$A$204&lt;=$B763)*(A_Corridor!$B$5:$B$204&gt;$B763)*(A_Corridor!$F$5:$F$204&lt;&gt;"")),IF(A_Corridor!$F$5:$F$204="-","",1)),"")</f>
        <v/>
      </c>
      <c r="J763" s="182" t="str">
        <f>IFERROR(LOOKUP(2,1/((A_Corridor!$A$5:$A$204&lt;&gt;"")*(A_Corridor!$A$5:$A$204&lt;=$B763)*(A_Corridor!$B$5:$B$204&gt;$B763)*(A_Corridor!$F$5:$F$204&lt;&gt;"")),IF(A_Corridor!$F$5:$F$204="-","",A_Corridor!$F$5:$F$204)),"")</f>
        <v/>
      </c>
      <c r="K763" s="182" t="str">
        <f>IFERROR(LOOKUP(2,1/((A_Corridor!$A$5:$A$204&lt;&gt;"")*(A_Corridor!$A$5:$A$204&lt;=$B763)*(A_Corridor!$B$5:$B$204&gt;$B763)*(A_Corridor!$G$5:$G$204&lt;&gt;"")),IF(A_Corridor!$G$5:$G$204="-","",A_Corridor!$G$5:$G$204)),"")</f>
        <v/>
      </c>
      <c r="L763" s="181" t="str">
        <f>IFERROR(LOOKUP(2,1/((A_Corridor!$A$5:$A$204&lt;&gt;"")*(A_Corridor!$A$5:$A$204&lt;=$B763)*(A_Corridor!$B$5:$B$204&gt;$B763)*(A_Corridor!$H$5:$H$204&lt;&gt;"")),IF(A_Corridor!$H$5:$H$204="-","",1)),"")</f>
        <v/>
      </c>
      <c r="M763" s="182" t="str">
        <f>IFERROR(LOOKUP(2,1/((A_Corridor!$A$5:$A$204&lt;&gt;"")*(A_Corridor!$A$5:$A$204&lt;=$B763)*(A_Corridor!$B$5:$B$204&gt;$B763)*(A_Corridor!$H$5:$H$204&lt;&gt;"")),IF(A_Corridor!$H$5:$H$204="-","",A_Corridor!$H$5:$H$204)),"")</f>
        <v/>
      </c>
      <c r="N763" s="182" t="str">
        <f>IFERROR(LOOKUP(2,1/((A_Corridor!$A$5:$A$204&lt;&gt;"")*(A_Corridor!$A$5:$A$204&lt;=$B763)*(A_Corridor!$B$5:$B$204&gt;$B763)*(A_Corridor!$I$5:$I$204&lt;&gt;"")),IF(A_Corridor!$I$5:$I$204="-","",A_Corridor!$I$5:$I$204)),"")</f>
        <v/>
      </c>
      <c r="O763" s="182" t="str">
        <f>IFERROR(LOOKUP(2,1/((D_Points!$A$5:$A$204&lt;&gt;"")*(D_Points!$A$5:$A$204&gt;=$B763)*(D_Points!$A$5:$A$204&lt;$B763+P_Interval)*(UPPER(TRIM(D_Points!$B$5:$B$204))="PITCHING")*(D_Points!$H$5:$H$204&lt;&gt;"")),D_Points!$H$5:$H$204),"")</f>
        <v/>
      </c>
      <c r="P763" s="181" t="str">
        <f>IFERROR(LOOKUP(2,1/((B_Drainage!$A$5:$A$204&lt;&gt;"")*(B_Drainage!$A$5:$A$204&lt;=$B763)*(B_Drainage!$B$5:$B$204&gt;$B763)*(B_Drainage!$C$5:$C$204&lt;&gt;"")),IF(B_Drainage!$C$5:$C$204="-","",UPPER(B_Drainage!$C$5:$C$204))),"")</f>
        <v/>
      </c>
      <c r="Q763" s="181" t="str">
        <f>IFERROR(LOOKUP(2,1/((B_Drainage!$A$5:$A$204&lt;&gt;"")*(B_Drainage!$A$5:$A$204&lt;=$B763)*(B_Drainage!$B$5:$B$204&gt;$B763)*(B_Drainage!$D$5:$D$204&lt;&gt;"")),IF(B_Drainage!$D$5:$D$204="-","",UPPER(B_Drainage!$D$5:$D$204))),"")</f>
        <v/>
      </c>
      <c r="R763" s="182" t="str">
        <f>IFERROR(LOOKUP(2,1/((D_Points!$A$5:$A$204&lt;&gt;"")*(D_Points!$A$5:$A$204&gt;=$B763)*(D_Points!$A$5:$A$204&lt;$B763+P_Interval)*(RIGHT(UPPER(TRIM(D_Points!$B$5:$B$204)),8)="_CULVERT")),IF(LEFT(UPPER(TRIM(D_Points!$B$5:$B$204)),2)="EX",1,IF(LEFT(UPPER(TRIM(D_Points!$B$5:$B$204)),2)="PR",2,3))),"")</f>
        <v/>
      </c>
      <c r="S763" s="182" t="str">
        <f>IFERROR(LOOKUP(2,1/((D_Points!$A$5:$A$204&lt;&gt;"")*(D_Points!$A$5:$A$204&gt;=$B763)*(D_Points!$A$5:$A$204&lt;$B763+P_Interval)*(RIGHT(UPPER(TRIM(D_Points!$B$5:$B$204)),7)="_BRIDGE")),IF(LEFT(UPPER(TRIM(D_Points!$B$5:$B$204)),2)="EX",1,IF(LEFT(UPPER(TRIM(D_Points!$B$5:$B$204)),2)="PR",2,2))),"")</f>
        <v/>
      </c>
      <c r="T763" s="181" t="str">
        <f>IFERROR(LOOKUP(2,1/((B_Drainage!$A$5:$A$204&lt;&gt;"")*(B_Drainage!$A$5:$A$204&lt;=$B763)*(B_Drainage!$B$5:$B$204&gt;$B763)*(B_Drainage!$E$5:$E$204&lt;&gt;"")),IF(B_Drainage!$E$5:$E$204="-","",1)),"")</f>
        <v/>
      </c>
      <c r="U763" s="181" t="str">
        <f>IFERROR(LOOKUP(2,1/((B_Drainage!$A$5:$A$204&lt;&gt;"")*(B_Drainage!$A$5:$A$204&lt;=$B763)*(B_Drainage!$B$5:$B$204&gt;$B763)*(B_Drainage!$E$5:$E$204&lt;&gt;"")),IF(B_Drainage!$E$5:$E$204="-","",B_Drainage!$E$5:$E$204)),"")</f>
        <v/>
      </c>
      <c r="V763" s="181" t="str">
        <f>IFERROR(LOOKUP(2,1/((B_Drainage!$A$5:$A$204&lt;&gt;"")*(B_Drainage!$A$5:$A$204&lt;=$B763)*(B_Drainage!$B$5:$B$204&gt;$B763)*(B_Drainage!$F$5:$F$204&lt;&gt;"")),IF(B_Drainage!$F$5:$F$204="-","",1)),"")</f>
        <v/>
      </c>
      <c r="W763" s="181" t="str">
        <f>IFERROR(LOOKUP(2,1/((B_Drainage!$A$5:$A$204&lt;&gt;"")*(B_Drainage!$A$5:$A$204&lt;=$B763)*(B_Drainage!$B$5:$B$204&gt;$B763)*(B_Drainage!$F$5:$F$204&lt;&gt;"")),IF(B_Drainage!$F$5:$F$204="-","",B_Drainage!$F$5:$F$204)),"")</f>
        <v/>
      </c>
      <c r="X763" s="181" t="str">
        <f>IFERROR(LOOKUP(2,1/((B_Drainage!$A$5:$A$204&lt;&gt;"")*(B_Drainage!$A$5:$A$204&lt;=$B763)*(B_Drainage!$B$5:$B$204&gt;$B763)*(B_Drainage!$G$5:$G$204&lt;&gt;"")),IF(UPPER(B_Drainage!$G$5:$G$204)="Y",1,"")),"")</f>
        <v/>
      </c>
      <c r="Y763" s="181" t="str">
        <f>IFERROR(LOOKUP(2,1/((B_Drainage!$A$5:$A$204&lt;&gt;"")*(B_Drainage!$A$5:$A$204&lt;=$B763)*(B_Drainage!$B$5:$B$204&gt;$B763)*(B_Drainage!$H$5:$H$204&lt;&gt;"")),IF(UPPER(B_Drainage!$H$5:$H$204)="Y",1,"")),"")</f>
        <v/>
      </c>
      <c r="Z763" s="181" t="str">
        <f>IFERROR(LOOKUP(2,1/((B_Drainage!$A$5:$A$204&lt;&gt;"")*(B_Drainage!$A$5:$A$204&lt;=$B763)*(B_Drainage!$B$5:$B$204&gt;$B763)*(B_Drainage!$I$5:$I$204&lt;&gt;"")),IF(UPPER(B_Drainage!$I$5:$I$204)="Y",1,"")),"")</f>
        <v/>
      </c>
      <c r="AA763" s="181" t="str">
        <f>IFERROR(LOOKUP(2,1/((B_Drainage!$A$5:$A$204&lt;&gt;"")*(B_Drainage!$A$5:$A$204&lt;=$B763)*(B_Drainage!$B$5:$B$204&gt;$B763)*(B_Drainage!$J$5:$J$204&lt;&gt;"")),IF(UPPER(B_Drainage!$J$5:$J$204)="Y",1,"")),"")</f>
        <v/>
      </c>
      <c r="AB763" s="182" t="str">
        <f>IFERROR(LOOKUP(2,1/((B_Drainage!$A$5:$A$204&lt;&gt;"")*(B_Drainage!$A$5:$A$204&lt;=$B763)*(B_Drainage!$B$5:$B$204&gt;$B763)*(B_Drainage!$K$5:$K$204&lt;&gt;"")),IF(B_Drainage!$K$5:$K$204="-","",B_Drainage!$K$5:$K$204)),"")</f>
        <v/>
      </c>
      <c r="AC763" s="182" t="str">
        <f>IFERROR(LOOKUP(2,1/((B_Drainage!$A$5:$A$204&lt;&gt;"")*(B_Drainage!$A$5:$A$204&lt;=$B763)*(B_Drainage!$B$5:$B$204&gt;$B763)*(B_Drainage!$L$5:$L$204&lt;&gt;"")),IF(B_Drainage!$L$5:$L$204="-","",B_Drainage!$L$5:$L$204)),"")</f>
        <v/>
      </c>
      <c r="AD763" s="182" t="str">
        <f>IFERROR(LOOKUP(2,1/((D_Points!$A$5:$A$204&lt;&gt;"")*(D_Points!$A$5:$A$204&gt;=$B763)*(D_Points!$A$5:$A$204&lt;$B763+P_Interval)*(UPPER(TRIM(D_Points!$B$5:$B$204))="TURNOUT_L")*(D_Points!$H$5:$H$204&lt;&gt;"")),D_Points!$H$5:$H$204),"")</f>
        <v/>
      </c>
      <c r="AE763" s="182" t="str">
        <f>IFERROR(LOOKUP(2,1/((D_Points!$A$5:$A$204&lt;&gt;"")*(D_Points!$A$5:$A$204&gt;=$B763)*(D_Points!$A$5:$A$204&lt;$B763+P_Interval)*(UPPER(TRIM(D_Points!$B$5:$B$204))="TURNOUT_R")*(D_Points!$H$5:$H$204&lt;&gt;"")),D_Points!$H$5:$H$204),"")</f>
        <v/>
      </c>
      <c r="AF763" s="181" t="str">
        <f>IFERROR(LOOKUP(2,1/((B_Drainage!$A$5:$A$204&lt;&gt;"")*(B_Drainage!$A$5:$A$204&lt;=$B763)*(B_Drainage!$B$5:$B$204&gt;$B763)*(B_Drainage!$M$5:$M$204&lt;&gt;"")),IF(UPPER(B_Drainage!$M$5:$M$204)="Y",1,"")),"")</f>
        <v/>
      </c>
      <c r="AG763" s="181" t="str">
        <f>IFERROR(LOOKUP(2,1/((B_Drainage!$A$5:$A$204&lt;&gt;"")*(B_Drainage!$A$5:$A$204&lt;=$B763)*(B_Drainage!$B$5:$B$204&gt;$B763)*(B_Drainage!$N$5:$N$204&lt;&gt;"")),IF(UPPER(B_Drainage!$N$5:$N$204)="Y",1,"")),"")</f>
        <v/>
      </c>
      <c r="AH763" s="181" t="str">
        <f t="shared" si="88"/>
        <v/>
      </c>
      <c r="AI763" s="181" t="str">
        <f t="shared" si="89"/>
        <v/>
      </c>
      <c r="AJ763" s="181" t="str">
        <f t="shared" si="90"/>
        <v/>
      </c>
      <c r="AK763" s="181" t="str">
        <f t="shared" si="91"/>
        <v/>
      </c>
      <c r="AL763" s="181" t="str">
        <f t="shared" si="92"/>
        <v/>
      </c>
      <c r="AM763" s="181" t="str">
        <f t="shared" si="93"/>
        <v/>
      </c>
      <c r="AN763" s="181" t="str">
        <f t="shared" si="94"/>
        <v/>
      </c>
      <c r="AO763" s="192" t="str">
        <f t="shared" si="95"/>
        <v/>
      </c>
      <c r="AQ763" t="str">
        <f>IFERROR(LOOKUP(2,1/((C_Pavement!$A$5:$A$204&lt;&gt;"")*(C_Pavement!$A$5:$A$204&lt;=$B763)*(C_Pavement!$B$5:$B$204&gt;$B763)*(C_Pavement!$C$5:$C$204&lt;&gt;"")),ROW(C_Pavement!$C$5:$C$204)-4),"")</f>
        <v/>
      </c>
      <c r="AR763" t="str">
        <f>IF($AQ763="","",UPPER(TRIM(INDEX(C_Pavement!$C$5:$C$204,$AQ763))))</f>
        <v/>
      </c>
      <c r="AS763" t="str">
        <f>IF($AR763="","",IFERROR(MATCH($AR763,E_Rules!$A$5:$A$9,0),""))</f>
        <v/>
      </c>
      <c r="AT763" t="str">
        <f>IF($AQ763="","",IF(INDEX(C_Pavement!$D$5:$D$204,$AQ763)&lt;&gt;"",UPPER(TRIM(INDEX(C_Pavement!$D$5:$D$204,$AQ763))),IF($AS763="","",INDEX(E_Rules!$C$5:$C$9,$AS763))))</f>
        <v/>
      </c>
      <c r="AU763" t="str">
        <f>IF($AQ763="","",IF(INDEX(C_Pavement!$E$5:$E$204,$AQ763)&lt;&gt;"",IF(INDEX(C_Pavement!$E$5:$E$204,$AQ763)="-","",INDEX(C_Pavement!$E$5:$E$204,$AQ763)),IF($AS763="","",INDEX(E_Rules!$D$5:$D$9,$AS763))))</f>
        <v/>
      </c>
      <c r="AV763" t="str">
        <f>IF($AQ763="","",IF(INDEX(C_Pavement!$F$5:$F$204,$AQ763)&lt;&gt;"",IF(INDEX(C_Pavement!$F$5:$F$204,$AQ763)="-","",INDEX(C_Pavement!$F$5:$F$204,$AQ763)),IF($AS763="","",INDEX(E_Rules!$E$5:$E$9,$AS763))))</f>
        <v/>
      </c>
      <c r="AW763" t="str">
        <f>IF($AQ763="","",IF(INDEX(C_Pavement!$G$5:$G$204,$AQ763)&lt;&gt;"",IF(INDEX(C_Pavement!$G$5:$G$204,$AQ763)="-","",INDEX(C_Pavement!$G$5:$G$204,$AQ763)),IF($AS763="","",INDEX(E_Rules!$F$5:$F$9,$AS763))))</f>
        <v/>
      </c>
      <c r="AX763" t="str">
        <f>IF($AQ763="","",IF(INDEX(C_Pavement!$H$5:$H$204,$AQ763)&lt;&gt;"",IF(INDEX(C_Pavement!$H$5:$H$204,$AQ763)="-","",INDEX(C_Pavement!$H$5:$H$204,$AQ763)),IF($AS763="","",INDEX(E_Rules!$G$5:$G$9,$AS763))))</f>
        <v/>
      </c>
      <c r="AY763" t="str">
        <f>IF($AQ763="","",IF(INDEX(C_Pavement!$I$5:$I$204,$AQ763)&lt;&gt;"",IF(INDEX(C_Pavement!$I$5:$I$204,$AQ763)="-","",INDEX(C_Pavement!$I$5:$I$204,$AQ763)),IF($AS763="","",INDEX(E_Rules!$H$5:$H$9,$AS763))))</f>
        <v/>
      </c>
    </row>
    <row r="764" spans="1:51" ht="15.75" customHeight="1" x14ac:dyDescent="0.3">
      <c r="A764" s="189">
        <v>759</v>
      </c>
      <c r="B764" s="180">
        <v>37900</v>
      </c>
      <c r="C764" s="180" t="s">
        <v>1070</v>
      </c>
      <c r="D764" s="181" t="str">
        <f>IFERROR(LOOKUP(2,1/((A_Corridor!$A$5:$A$204&lt;&gt;"")*(A_Corridor!$A$5:$A$204&lt;=$B764)*(A_Corridor!$B$5:$B$204&gt;$B764)*(A_Corridor!$C$5:$C$204&lt;&gt;"")),IF(UPPER(A_Corridor!$C$5:$C$204)="Y",1,"")),"")</f>
        <v/>
      </c>
      <c r="E764" s="181" t="str">
        <f>IFERROR(LOOKUP(2,1/((A_Corridor!$A$5:$A$204&lt;&gt;"")*(A_Corridor!$A$5:$A$204&lt;=$B764)*(A_Corridor!$B$5:$B$204&gt;$B764)*(A_Corridor!$D$5:$D$204&lt;&gt;"")),IF(A_Corridor!$D$5:$D$204="-","",UPPER(A_Corridor!$D$5:$D$204))),"")</f>
        <v/>
      </c>
      <c r="F764" s="181" t="str">
        <f>IFERROR(LOOKUP(2,1/((A_Corridor!$A$5:$A$204&lt;&gt;"")*(A_Corridor!$A$5:$A$204&lt;=$B764)*(A_Corridor!$B$5:$B$204&gt;$B764)*(A_Corridor!$E$5:$E$204&lt;&gt;"")),IF(A_Corridor!$E$5:$E$204="-","",1)),"")</f>
        <v/>
      </c>
      <c r="G764" s="182" t="str">
        <f>IFERROR(LOOKUP(2,1/((A_Corridor!$A$5:$A$204&lt;&gt;"")*(A_Corridor!$A$5:$A$204&lt;=$B764)*(A_Corridor!$B$5:$B$204&gt;$B764)*(A_Corridor!$E$5:$E$204&lt;&gt;"")),IF(A_Corridor!$E$5:$E$204="-","",A_Corridor!$E$5:$E$204)),"")</f>
        <v/>
      </c>
      <c r="H764" s="182" t="str">
        <f>IFERROR(LOOKUP(2,1/((D_Points!$A$5:$A$204&lt;&gt;"")*(D_Points!$A$5:$A$204&gt;=$B764)*(D_Points!$A$5:$A$204&lt;$B764+P_Interval)*(UPPER(TRIM(D_Points!$B$5:$B$204))="GULLY")*(D_Points!$H$5:$H$204&lt;&gt;"")),D_Points!$H$5:$H$204),"")</f>
        <v/>
      </c>
      <c r="I764" s="181" t="str">
        <f>IFERROR(LOOKUP(2,1/((A_Corridor!$A$5:$A$204&lt;&gt;"")*(A_Corridor!$A$5:$A$204&lt;=$B764)*(A_Corridor!$B$5:$B$204&gt;$B764)*(A_Corridor!$F$5:$F$204&lt;&gt;"")),IF(A_Corridor!$F$5:$F$204="-","",1)),"")</f>
        <v/>
      </c>
      <c r="J764" s="182" t="str">
        <f>IFERROR(LOOKUP(2,1/((A_Corridor!$A$5:$A$204&lt;&gt;"")*(A_Corridor!$A$5:$A$204&lt;=$B764)*(A_Corridor!$B$5:$B$204&gt;$B764)*(A_Corridor!$F$5:$F$204&lt;&gt;"")),IF(A_Corridor!$F$5:$F$204="-","",A_Corridor!$F$5:$F$204)),"")</f>
        <v/>
      </c>
      <c r="K764" s="182" t="str">
        <f>IFERROR(LOOKUP(2,1/((A_Corridor!$A$5:$A$204&lt;&gt;"")*(A_Corridor!$A$5:$A$204&lt;=$B764)*(A_Corridor!$B$5:$B$204&gt;$B764)*(A_Corridor!$G$5:$G$204&lt;&gt;"")),IF(A_Corridor!$G$5:$G$204="-","",A_Corridor!$G$5:$G$204)),"")</f>
        <v/>
      </c>
      <c r="L764" s="181" t="str">
        <f>IFERROR(LOOKUP(2,1/((A_Corridor!$A$5:$A$204&lt;&gt;"")*(A_Corridor!$A$5:$A$204&lt;=$B764)*(A_Corridor!$B$5:$B$204&gt;$B764)*(A_Corridor!$H$5:$H$204&lt;&gt;"")),IF(A_Corridor!$H$5:$H$204="-","",1)),"")</f>
        <v/>
      </c>
      <c r="M764" s="182" t="str">
        <f>IFERROR(LOOKUP(2,1/((A_Corridor!$A$5:$A$204&lt;&gt;"")*(A_Corridor!$A$5:$A$204&lt;=$B764)*(A_Corridor!$B$5:$B$204&gt;$B764)*(A_Corridor!$H$5:$H$204&lt;&gt;"")),IF(A_Corridor!$H$5:$H$204="-","",A_Corridor!$H$5:$H$204)),"")</f>
        <v/>
      </c>
      <c r="N764" s="182" t="str">
        <f>IFERROR(LOOKUP(2,1/((A_Corridor!$A$5:$A$204&lt;&gt;"")*(A_Corridor!$A$5:$A$204&lt;=$B764)*(A_Corridor!$B$5:$B$204&gt;$B764)*(A_Corridor!$I$5:$I$204&lt;&gt;"")),IF(A_Corridor!$I$5:$I$204="-","",A_Corridor!$I$5:$I$204)),"")</f>
        <v/>
      </c>
      <c r="O764" s="182" t="str">
        <f>IFERROR(LOOKUP(2,1/((D_Points!$A$5:$A$204&lt;&gt;"")*(D_Points!$A$5:$A$204&gt;=$B764)*(D_Points!$A$5:$A$204&lt;$B764+P_Interval)*(UPPER(TRIM(D_Points!$B$5:$B$204))="PITCHING")*(D_Points!$H$5:$H$204&lt;&gt;"")),D_Points!$H$5:$H$204),"")</f>
        <v/>
      </c>
      <c r="P764" s="181" t="str">
        <f>IFERROR(LOOKUP(2,1/((B_Drainage!$A$5:$A$204&lt;&gt;"")*(B_Drainage!$A$5:$A$204&lt;=$B764)*(B_Drainage!$B$5:$B$204&gt;$B764)*(B_Drainage!$C$5:$C$204&lt;&gt;"")),IF(B_Drainage!$C$5:$C$204="-","",UPPER(B_Drainage!$C$5:$C$204))),"")</f>
        <v/>
      </c>
      <c r="Q764" s="181" t="str">
        <f>IFERROR(LOOKUP(2,1/((B_Drainage!$A$5:$A$204&lt;&gt;"")*(B_Drainage!$A$5:$A$204&lt;=$B764)*(B_Drainage!$B$5:$B$204&gt;$B764)*(B_Drainage!$D$5:$D$204&lt;&gt;"")),IF(B_Drainage!$D$5:$D$204="-","",UPPER(B_Drainage!$D$5:$D$204))),"")</f>
        <v/>
      </c>
      <c r="R764" s="182" t="str">
        <f>IFERROR(LOOKUP(2,1/((D_Points!$A$5:$A$204&lt;&gt;"")*(D_Points!$A$5:$A$204&gt;=$B764)*(D_Points!$A$5:$A$204&lt;$B764+P_Interval)*(RIGHT(UPPER(TRIM(D_Points!$B$5:$B$204)),8)="_CULVERT")),IF(LEFT(UPPER(TRIM(D_Points!$B$5:$B$204)),2)="EX",1,IF(LEFT(UPPER(TRIM(D_Points!$B$5:$B$204)),2)="PR",2,3))),"")</f>
        <v/>
      </c>
      <c r="S764" s="182" t="str">
        <f>IFERROR(LOOKUP(2,1/((D_Points!$A$5:$A$204&lt;&gt;"")*(D_Points!$A$5:$A$204&gt;=$B764)*(D_Points!$A$5:$A$204&lt;$B764+P_Interval)*(RIGHT(UPPER(TRIM(D_Points!$B$5:$B$204)),7)="_BRIDGE")),IF(LEFT(UPPER(TRIM(D_Points!$B$5:$B$204)),2)="EX",1,IF(LEFT(UPPER(TRIM(D_Points!$B$5:$B$204)),2)="PR",2,2))),"")</f>
        <v/>
      </c>
      <c r="T764" s="181" t="str">
        <f>IFERROR(LOOKUP(2,1/((B_Drainage!$A$5:$A$204&lt;&gt;"")*(B_Drainage!$A$5:$A$204&lt;=$B764)*(B_Drainage!$B$5:$B$204&gt;$B764)*(B_Drainage!$E$5:$E$204&lt;&gt;"")),IF(B_Drainage!$E$5:$E$204="-","",1)),"")</f>
        <v/>
      </c>
      <c r="U764" s="181" t="str">
        <f>IFERROR(LOOKUP(2,1/((B_Drainage!$A$5:$A$204&lt;&gt;"")*(B_Drainage!$A$5:$A$204&lt;=$B764)*(B_Drainage!$B$5:$B$204&gt;$B764)*(B_Drainage!$E$5:$E$204&lt;&gt;"")),IF(B_Drainage!$E$5:$E$204="-","",B_Drainage!$E$5:$E$204)),"")</f>
        <v/>
      </c>
      <c r="V764" s="181" t="str">
        <f>IFERROR(LOOKUP(2,1/((B_Drainage!$A$5:$A$204&lt;&gt;"")*(B_Drainage!$A$5:$A$204&lt;=$B764)*(B_Drainage!$B$5:$B$204&gt;$B764)*(B_Drainage!$F$5:$F$204&lt;&gt;"")),IF(B_Drainage!$F$5:$F$204="-","",1)),"")</f>
        <v/>
      </c>
      <c r="W764" s="181" t="str">
        <f>IFERROR(LOOKUP(2,1/((B_Drainage!$A$5:$A$204&lt;&gt;"")*(B_Drainage!$A$5:$A$204&lt;=$B764)*(B_Drainage!$B$5:$B$204&gt;$B764)*(B_Drainage!$F$5:$F$204&lt;&gt;"")),IF(B_Drainage!$F$5:$F$204="-","",B_Drainage!$F$5:$F$204)),"")</f>
        <v/>
      </c>
      <c r="X764" s="181" t="str">
        <f>IFERROR(LOOKUP(2,1/((B_Drainage!$A$5:$A$204&lt;&gt;"")*(B_Drainage!$A$5:$A$204&lt;=$B764)*(B_Drainage!$B$5:$B$204&gt;$B764)*(B_Drainage!$G$5:$G$204&lt;&gt;"")),IF(UPPER(B_Drainage!$G$5:$G$204)="Y",1,"")),"")</f>
        <v/>
      </c>
      <c r="Y764" s="181" t="str">
        <f>IFERROR(LOOKUP(2,1/((B_Drainage!$A$5:$A$204&lt;&gt;"")*(B_Drainage!$A$5:$A$204&lt;=$B764)*(B_Drainage!$B$5:$B$204&gt;$B764)*(B_Drainage!$H$5:$H$204&lt;&gt;"")),IF(UPPER(B_Drainage!$H$5:$H$204)="Y",1,"")),"")</f>
        <v/>
      </c>
      <c r="Z764" s="181" t="str">
        <f>IFERROR(LOOKUP(2,1/((B_Drainage!$A$5:$A$204&lt;&gt;"")*(B_Drainage!$A$5:$A$204&lt;=$B764)*(B_Drainage!$B$5:$B$204&gt;$B764)*(B_Drainage!$I$5:$I$204&lt;&gt;"")),IF(UPPER(B_Drainage!$I$5:$I$204)="Y",1,"")),"")</f>
        <v/>
      </c>
      <c r="AA764" s="181" t="str">
        <f>IFERROR(LOOKUP(2,1/((B_Drainage!$A$5:$A$204&lt;&gt;"")*(B_Drainage!$A$5:$A$204&lt;=$B764)*(B_Drainage!$B$5:$B$204&gt;$B764)*(B_Drainage!$J$5:$J$204&lt;&gt;"")),IF(UPPER(B_Drainage!$J$5:$J$204)="Y",1,"")),"")</f>
        <v/>
      </c>
      <c r="AB764" s="182" t="str">
        <f>IFERROR(LOOKUP(2,1/((B_Drainage!$A$5:$A$204&lt;&gt;"")*(B_Drainage!$A$5:$A$204&lt;=$B764)*(B_Drainage!$B$5:$B$204&gt;$B764)*(B_Drainage!$K$5:$K$204&lt;&gt;"")),IF(B_Drainage!$K$5:$K$204="-","",B_Drainage!$K$5:$K$204)),"")</f>
        <v/>
      </c>
      <c r="AC764" s="182" t="str">
        <f>IFERROR(LOOKUP(2,1/((B_Drainage!$A$5:$A$204&lt;&gt;"")*(B_Drainage!$A$5:$A$204&lt;=$B764)*(B_Drainage!$B$5:$B$204&gt;$B764)*(B_Drainage!$L$5:$L$204&lt;&gt;"")),IF(B_Drainage!$L$5:$L$204="-","",B_Drainage!$L$5:$L$204)),"")</f>
        <v/>
      </c>
      <c r="AD764" s="182" t="str">
        <f>IFERROR(LOOKUP(2,1/((D_Points!$A$5:$A$204&lt;&gt;"")*(D_Points!$A$5:$A$204&gt;=$B764)*(D_Points!$A$5:$A$204&lt;$B764+P_Interval)*(UPPER(TRIM(D_Points!$B$5:$B$204))="TURNOUT_L")*(D_Points!$H$5:$H$204&lt;&gt;"")),D_Points!$H$5:$H$204),"")</f>
        <v/>
      </c>
      <c r="AE764" s="182" t="str">
        <f>IFERROR(LOOKUP(2,1/((D_Points!$A$5:$A$204&lt;&gt;"")*(D_Points!$A$5:$A$204&gt;=$B764)*(D_Points!$A$5:$A$204&lt;$B764+P_Interval)*(UPPER(TRIM(D_Points!$B$5:$B$204))="TURNOUT_R")*(D_Points!$H$5:$H$204&lt;&gt;"")),D_Points!$H$5:$H$204),"")</f>
        <v/>
      </c>
      <c r="AF764" s="181" t="str">
        <f>IFERROR(LOOKUP(2,1/((B_Drainage!$A$5:$A$204&lt;&gt;"")*(B_Drainage!$A$5:$A$204&lt;=$B764)*(B_Drainage!$B$5:$B$204&gt;$B764)*(B_Drainage!$M$5:$M$204&lt;&gt;"")),IF(UPPER(B_Drainage!$M$5:$M$204)="Y",1,"")),"")</f>
        <v/>
      </c>
      <c r="AG764" s="181" t="str">
        <f>IFERROR(LOOKUP(2,1/((B_Drainage!$A$5:$A$204&lt;&gt;"")*(B_Drainage!$A$5:$A$204&lt;=$B764)*(B_Drainage!$B$5:$B$204&gt;$B764)*(B_Drainage!$N$5:$N$204&lt;&gt;"")),IF(UPPER(B_Drainage!$N$5:$N$204)="Y",1,"")),"")</f>
        <v/>
      </c>
      <c r="AH764" s="181" t="str">
        <f t="shared" si="88"/>
        <v/>
      </c>
      <c r="AI764" s="181" t="str">
        <f t="shared" si="89"/>
        <v/>
      </c>
      <c r="AJ764" s="181" t="str">
        <f t="shared" si="90"/>
        <v/>
      </c>
      <c r="AK764" s="181" t="str">
        <f t="shared" si="91"/>
        <v/>
      </c>
      <c r="AL764" s="181" t="str">
        <f t="shared" si="92"/>
        <v/>
      </c>
      <c r="AM764" s="181" t="str">
        <f t="shared" si="93"/>
        <v/>
      </c>
      <c r="AN764" s="181" t="str">
        <f t="shared" si="94"/>
        <v/>
      </c>
      <c r="AO764" s="192" t="str">
        <f t="shared" si="95"/>
        <v/>
      </c>
      <c r="AQ764" t="str">
        <f>IFERROR(LOOKUP(2,1/((C_Pavement!$A$5:$A$204&lt;&gt;"")*(C_Pavement!$A$5:$A$204&lt;=$B764)*(C_Pavement!$B$5:$B$204&gt;$B764)*(C_Pavement!$C$5:$C$204&lt;&gt;"")),ROW(C_Pavement!$C$5:$C$204)-4),"")</f>
        <v/>
      </c>
      <c r="AR764" t="str">
        <f>IF($AQ764="","",UPPER(TRIM(INDEX(C_Pavement!$C$5:$C$204,$AQ764))))</f>
        <v/>
      </c>
      <c r="AS764" t="str">
        <f>IF($AR764="","",IFERROR(MATCH($AR764,E_Rules!$A$5:$A$9,0),""))</f>
        <v/>
      </c>
      <c r="AT764" t="str">
        <f>IF($AQ764="","",IF(INDEX(C_Pavement!$D$5:$D$204,$AQ764)&lt;&gt;"",UPPER(TRIM(INDEX(C_Pavement!$D$5:$D$204,$AQ764))),IF($AS764="","",INDEX(E_Rules!$C$5:$C$9,$AS764))))</f>
        <v/>
      </c>
      <c r="AU764" t="str">
        <f>IF($AQ764="","",IF(INDEX(C_Pavement!$E$5:$E$204,$AQ764)&lt;&gt;"",IF(INDEX(C_Pavement!$E$5:$E$204,$AQ764)="-","",INDEX(C_Pavement!$E$5:$E$204,$AQ764)),IF($AS764="","",INDEX(E_Rules!$D$5:$D$9,$AS764))))</f>
        <v/>
      </c>
      <c r="AV764" t="str">
        <f>IF($AQ764="","",IF(INDEX(C_Pavement!$F$5:$F$204,$AQ764)&lt;&gt;"",IF(INDEX(C_Pavement!$F$5:$F$204,$AQ764)="-","",INDEX(C_Pavement!$F$5:$F$204,$AQ764)),IF($AS764="","",INDEX(E_Rules!$E$5:$E$9,$AS764))))</f>
        <v/>
      </c>
      <c r="AW764" t="str">
        <f>IF($AQ764="","",IF(INDEX(C_Pavement!$G$5:$G$204,$AQ764)&lt;&gt;"",IF(INDEX(C_Pavement!$G$5:$G$204,$AQ764)="-","",INDEX(C_Pavement!$G$5:$G$204,$AQ764)),IF($AS764="","",INDEX(E_Rules!$F$5:$F$9,$AS764))))</f>
        <v/>
      </c>
      <c r="AX764" t="str">
        <f>IF($AQ764="","",IF(INDEX(C_Pavement!$H$5:$H$204,$AQ764)&lt;&gt;"",IF(INDEX(C_Pavement!$H$5:$H$204,$AQ764)="-","",INDEX(C_Pavement!$H$5:$H$204,$AQ764)),IF($AS764="","",INDEX(E_Rules!$G$5:$G$9,$AS764))))</f>
        <v/>
      </c>
      <c r="AY764" t="str">
        <f>IF($AQ764="","",IF(INDEX(C_Pavement!$I$5:$I$204,$AQ764)&lt;&gt;"",IF(INDEX(C_Pavement!$I$5:$I$204,$AQ764)="-","",INDEX(C_Pavement!$I$5:$I$204,$AQ764)),IF($AS764="","",INDEX(E_Rules!$H$5:$H$9,$AS764))))</f>
        <v/>
      </c>
    </row>
    <row r="765" spans="1:51" ht="15.75" customHeight="1" x14ac:dyDescent="0.3">
      <c r="A765" s="189">
        <v>760</v>
      </c>
      <c r="B765" s="180">
        <v>37950</v>
      </c>
      <c r="C765" s="180" t="s">
        <v>1071</v>
      </c>
      <c r="D765" s="181" t="str">
        <f>IFERROR(LOOKUP(2,1/((A_Corridor!$A$5:$A$204&lt;&gt;"")*(A_Corridor!$A$5:$A$204&lt;=$B765)*(A_Corridor!$B$5:$B$204&gt;$B765)*(A_Corridor!$C$5:$C$204&lt;&gt;"")),IF(UPPER(A_Corridor!$C$5:$C$204)="Y",1,"")),"")</f>
        <v/>
      </c>
      <c r="E765" s="181" t="str">
        <f>IFERROR(LOOKUP(2,1/((A_Corridor!$A$5:$A$204&lt;&gt;"")*(A_Corridor!$A$5:$A$204&lt;=$B765)*(A_Corridor!$B$5:$B$204&gt;$B765)*(A_Corridor!$D$5:$D$204&lt;&gt;"")),IF(A_Corridor!$D$5:$D$204="-","",UPPER(A_Corridor!$D$5:$D$204))),"")</f>
        <v/>
      </c>
      <c r="F765" s="181" t="str">
        <f>IFERROR(LOOKUP(2,1/((A_Corridor!$A$5:$A$204&lt;&gt;"")*(A_Corridor!$A$5:$A$204&lt;=$B765)*(A_Corridor!$B$5:$B$204&gt;$B765)*(A_Corridor!$E$5:$E$204&lt;&gt;"")),IF(A_Corridor!$E$5:$E$204="-","",1)),"")</f>
        <v/>
      </c>
      <c r="G765" s="182" t="str">
        <f>IFERROR(LOOKUP(2,1/((A_Corridor!$A$5:$A$204&lt;&gt;"")*(A_Corridor!$A$5:$A$204&lt;=$B765)*(A_Corridor!$B$5:$B$204&gt;$B765)*(A_Corridor!$E$5:$E$204&lt;&gt;"")),IF(A_Corridor!$E$5:$E$204="-","",A_Corridor!$E$5:$E$204)),"")</f>
        <v/>
      </c>
      <c r="H765" s="182" t="str">
        <f>IFERROR(LOOKUP(2,1/((D_Points!$A$5:$A$204&lt;&gt;"")*(D_Points!$A$5:$A$204&gt;=$B765)*(D_Points!$A$5:$A$204&lt;$B765+P_Interval)*(UPPER(TRIM(D_Points!$B$5:$B$204))="GULLY")*(D_Points!$H$5:$H$204&lt;&gt;"")),D_Points!$H$5:$H$204),"")</f>
        <v/>
      </c>
      <c r="I765" s="181" t="str">
        <f>IFERROR(LOOKUP(2,1/((A_Corridor!$A$5:$A$204&lt;&gt;"")*(A_Corridor!$A$5:$A$204&lt;=$B765)*(A_Corridor!$B$5:$B$204&gt;$B765)*(A_Corridor!$F$5:$F$204&lt;&gt;"")),IF(A_Corridor!$F$5:$F$204="-","",1)),"")</f>
        <v/>
      </c>
      <c r="J765" s="182" t="str">
        <f>IFERROR(LOOKUP(2,1/((A_Corridor!$A$5:$A$204&lt;&gt;"")*(A_Corridor!$A$5:$A$204&lt;=$B765)*(A_Corridor!$B$5:$B$204&gt;$B765)*(A_Corridor!$F$5:$F$204&lt;&gt;"")),IF(A_Corridor!$F$5:$F$204="-","",A_Corridor!$F$5:$F$204)),"")</f>
        <v/>
      </c>
      <c r="K765" s="182" t="str">
        <f>IFERROR(LOOKUP(2,1/((A_Corridor!$A$5:$A$204&lt;&gt;"")*(A_Corridor!$A$5:$A$204&lt;=$B765)*(A_Corridor!$B$5:$B$204&gt;$B765)*(A_Corridor!$G$5:$G$204&lt;&gt;"")),IF(A_Corridor!$G$5:$G$204="-","",A_Corridor!$G$5:$G$204)),"")</f>
        <v/>
      </c>
      <c r="L765" s="181" t="str">
        <f>IFERROR(LOOKUP(2,1/((A_Corridor!$A$5:$A$204&lt;&gt;"")*(A_Corridor!$A$5:$A$204&lt;=$B765)*(A_Corridor!$B$5:$B$204&gt;$B765)*(A_Corridor!$H$5:$H$204&lt;&gt;"")),IF(A_Corridor!$H$5:$H$204="-","",1)),"")</f>
        <v/>
      </c>
      <c r="M765" s="182" t="str">
        <f>IFERROR(LOOKUP(2,1/((A_Corridor!$A$5:$A$204&lt;&gt;"")*(A_Corridor!$A$5:$A$204&lt;=$B765)*(A_Corridor!$B$5:$B$204&gt;$B765)*(A_Corridor!$H$5:$H$204&lt;&gt;"")),IF(A_Corridor!$H$5:$H$204="-","",A_Corridor!$H$5:$H$204)),"")</f>
        <v/>
      </c>
      <c r="N765" s="182" t="str">
        <f>IFERROR(LOOKUP(2,1/((A_Corridor!$A$5:$A$204&lt;&gt;"")*(A_Corridor!$A$5:$A$204&lt;=$B765)*(A_Corridor!$B$5:$B$204&gt;$B765)*(A_Corridor!$I$5:$I$204&lt;&gt;"")),IF(A_Corridor!$I$5:$I$204="-","",A_Corridor!$I$5:$I$204)),"")</f>
        <v/>
      </c>
      <c r="O765" s="182" t="str">
        <f>IFERROR(LOOKUP(2,1/((D_Points!$A$5:$A$204&lt;&gt;"")*(D_Points!$A$5:$A$204&gt;=$B765)*(D_Points!$A$5:$A$204&lt;$B765+P_Interval)*(UPPER(TRIM(D_Points!$B$5:$B$204))="PITCHING")*(D_Points!$H$5:$H$204&lt;&gt;"")),D_Points!$H$5:$H$204),"")</f>
        <v/>
      </c>
      <c r="P765" s="181" t="str">
        <f>IFERROR(LOOKUP(2,1/((B_Drainage!$A$5:$A$204&lt;&gt;"")*(B_Drainage!$A$5:$A$204&lt;=$B765)*(B_Drainage!$B$5:$B$204&gt;$B765)*(B_Drainage!$C$5:$C$204&lt;&gt;"")),IF(B_Drainage!$C$5:$C$204="-","",UPPER(B_Drainage!$C$5:$C$204))),"")</f>
        <v/>
      </c>
      <c r="Q765" s="181" t="str">
        <f>IFERROR(LOOKUP(2,1/((B_Drainage!$A$5:$A$204&lt;&gt;"")*(B_Drainage!$A$5:$A$204&lt;=$B765)*(B_Drainage!$B$5:$B$204&gt;$B765)*(B_Drainage!$D$5:$D$204&lt;&gt;"")),IF(B_Drainage!$D$5:$D$204="-","",UPPER(B_Drainage!$D$5:$D$204))),"")</f>
        <v/>
      </c>
      <c r="R765" s="182" t="str">
        <f>IFERROR(LOOKUP(2,1/((D_Points!$A$5:$A$204&lt;&gt;"")*(D_Points!$A$5:$A$204&gt;=$B765)*(D_Points!$A$5:$A$204&lt;$B765+P_Interval)*(RIGHT(UPPER(TRIM(D_Points!$B$5:$B$204)),8)="_CULVERT")),IF(LEFT(UPPER(TRIM(D_Points!$B$5:$B$204)),2)="EX",1,IF(LEFT(UPPER(TRIM(D_Points!$B$5:$B$204)),2)="PR",2,3))),"")</f>
        <v/>
      </c>
      <c r="S765" s="182" t="str">
        <f>IFERROR(LOOKUP(2,1/((D_Points!$A$5:$A$204&lt;&gt;"")*(D_Points!$A$5:$A$204&gt;=$B765)*(D_Points!$A$5:$A$204&lt;$B765+P_Interval)*(RIGHT(UPPER(TRIM(D_Points!$B$5:$B$204)),7)="_BRIDGE")),IF(LEFT(UPPER(TRIM(D_Points!$B$5:$B$204)),2)="EX",1,IF(LEFT(UPPER(TRIM(D_Points!$B$5:$B$204)),2)="PR",2,2))),"")</f>
        <v/>
      </c>
      <c r="T765" s="181" t="str">
        <f>IFERROR(LOOKUP(2,1/((B_Drainage!$A$5:$A$204&lt;&gt;"")*(B_Drainage!$A$5:$A$204&lt;=$B765)*(B_Drainage!$B$5:$B$204&gt;$B765)*(B_Drainage!$E$5:$E$204&lt;&gt;"")),IF(B_Drainage!$E$5:$E$204="-","",1)),"")</f>
        <v/>
      </c>
      <c r="U765" s="181" t="str">
        <f>IFERROR(LOOKUP(2,1/((B_Drainage!$A$5:$A$204&lt;&gt;"")*(B_Drainage!$A$5:$A$204&lt;=$B765)*(B_Drainage!$B$5:$B$204&gt;$B765)*(B_Drainage!$E$5:$E$204&lt;&gt;"")),IF(B_Drainage!$E$5:$E$204="-","",B_Drainage!$E$5:$E$204)),"")</f>
        <v/>
      </c>
      <c r="V765" s="181" t="str">
        <f>IFERROR(LOOKUP(2,1/((B_Drainage!$A$5:$A$204&lt;&gt;"")*(B_Drainage!$A$5:$A$204&lt;=$B765)*(B_Drainage!$B$5:$B$204&gt;$B765)*(B_Drainage!$F$5:$F$204&lt;&gt;"")),IF(B_Drainage!$F$5:$F$204="-","",1)),"")</f>
        <v/>
      </c>
      <c r="W765" s="181" t="str">
        <f>IFERROR(LOOKUP(2,1/((B_Drainage!$A$5:$A$204&lt;&gt;"")*(B_Drainage!$A$5:$A$204&lt;=$B765)*(B_Drainage!$B$5:$B$204&gt;$B765)*(B_Drainage!$F$5:$F$204&lt;&gt;"")),IF(B_Drainage!$F$5:$F$204="-","",B_Drainage!$F$5:$F$204)),"")</f>
        <v/>
      </c>
      <c r="X765" s="181" t="str">
        <f>IFERROR(LOOKUP(2,1/((B_Drainage!$A$5:$A$204&lt;&gt;"")*(B_Drainage!$A$5:$A$204&lt;=$B765)*(B_Drainage!$B$5:$B$204&gt;$B765)*(B_Drainage!$G$5:$G$204&lt;&gt;"")),IF(UPPER(B_Drainage!$G$5:$G$204)="Y",1,"")),"")</f>
        <v/>
      </c>
      <c r="Y765" s="181" t="str">
        <f>IFERROR(LOOKUP(2,1/((B_Drainage!$A$5:$A$204&lt;&gt;"")*(B_Drainage!$A$5:$A$204&lt;=$B765)*(B_Drainage!$B$5:$B$204&gt;$B765)*(B_Drainage!$H$5:$H$204&lt;&gt;"")),IF(UPPER(B_Drainage!$H$5:$H$204)="Y",1,"")),"")</f>
        <v/>
      </c>
      <c r="Z765" s="181" t="str">
        <f>IFERROR(LOOKUP(2,1/((B_Drainage!$A$5:$A$204&lt;&gt;"")*(B_Drainage!$A$5:$A$204&lt;=$B765)*(B_Drainage!$B$5:$B$204&gt;$B765)*(B_Drainage!$I$5:$I$204&lt;&gt;"")),IF(UPPER(B_Drainage!$I$5:$I$204)="Y",1,"")),"")</f>
        <v/>
      </c>
      <c r="AA765" s="181" t="str">
        <f>IFERROR(LOOKUP(2,1/((B_Drainage!$A$5:$A$204&lt;&gt;"")*(B_Drainage!$A$5:$A$204&lt;=$B765)*(B_Drainage!$B$5:$B$204&gt;$B765)*(B_Drainage!$J$5:$J$204&lt;&gt;"")),IF(UPPER(B_Drainage!$J$5:$J$204)="Y",1,"")),"")</f>
        <v/>
      </c>
      <c r="AB765" s="182" t="str">
        <f>IFERROR(LOOKUP(2,1/((B_Drainage!$A$5:$A$204&lt;&gt;"")*(B_Drainage!$A$5:$A$204&lt;=$B765)*(B_Drainage!$B$5:$B$204&gt;$B765)*(B_Drainage!$K$5:$K$204&lt;&gt;"")),IF(B_Drainage!$K$5:$K$204="-","",B_Drainage!$K$5:$K$204)),"")</f>
        <v/>
      </c>
      <c r="AC765" s="182" t="str">
        <f>IFERROR(LOOKUP(2,1/((B_Drainage!$A$5:$A$204&lt;&gt;"")*(B_Drainage!$A$5:$A$204&lt;=$B765)*(B_Drainage!$B$5:$B$204&gt;$B765)*(B_Drainage!$L$5:$L$204&lt;&gt;"")),IF(B_Drainage!$L$5:$L$204="-","",B_Drainage!$L$5:$L$204)),"")</f>
        <v/>
      </c>
      <c r="AD765" s="182" t="str">
        <f>IFERROR(LOOKUP(2,1/((D_Points!$A$5:$A$204&lt;&gt;"")*(D_Points!$A$5:$A$204&gt;=$B765)*(D_Points!$A$5:$A$204&lt;$B765+P_Interval)*(UPPER(TRIM(D_Points!$B$5:$B$204))="TURNOUT_L")*(D_Points!$H$5:$H$204&lt;&gt;"")),D_Points!$H$5:$H$204),"")</f>
        <v/>
      </c>
      <c r="AE765" s="182" t="str">
        <f>IFERROR(LOOKUP(2,1/((D_Points!$A$5:$A$204&lt;&gt;"")*(D_Points!$A$5:$A$204&gt;=$B765)*(D_Points!$A$5:$A$204&lt;$B765+P_Interval)*(UPPER(TRIM(D_Points!$B$5:$B$204))="TURNOUT_R")*(D_Points!$H$5:$H$204&lt;&gt;"")),D_Points!$H$5:$H$204),"")</f>
        <v/>
      </c>
      <c r="AF765" s="181" t="str">
        <f>IFERROR(LOOKUP(2,1/((B_Drainage!$A$5:$A$204&lt;&gt;"")*(B_Drainage!$A$5:$A$204&lt;=$B765)*(B_Drainage!$B$5:$B$204&gt;$B765)*(B_Drainage!$M$5:$M$204&lt;&gt;"")),IF(UPPER(B_Drainage!$M$5:$M$204)="Y",1,"")),"")</f>
        <v/>
      </c>
      <c r="AG765" s="181" t="str">
        <f>IFERROR(LOOKUP(2,1/((B_Drainage!$A$5:$A$204&lt;&gt;"")*(B_Drainage!$A$5:$A$204&lt;=$B765)*(B_Drainage!$B$5:$B$204&gt;$B765)*(B_Drainage!$N$5:$N$204&lt;&gt;"")),IF(UPPER(B_Drainage!$N$5:$N$204)="Y",1,"")),"")</f>
        <v/>
      </c>
      <c r="AH765" s="181" t="str">
        <f t="shared" si="88"/>
        <v/>
      </c>
      <c r="AI765" s="181" t="str">
        <f t="shared" si="89"/>
        <v/>
      </c>
      <c r="AJ765" s="181" t="str">
        <f t="shared" si="90"/>
        <v/>
      </c>
      <c r="AK765" s="181" t="str">
        <f t="shared" si="91"/>
        <v/>
      </c>
      <c r="AL765" s="181" t="str">
        <f t="shared" si="92"/>
        <v/>
      </c>
      <c r="AM765" s="181" t="str">
        <f t="shared" si="93"/>
        <v/>
      </c>
      <c r="AN765" s="181" t="str">
        <f t="shared" si="94"/>
        <v/>
      </c>
      <c r="AO765" s="192" t="str">
        <f t="shared" si="95"/>
        <v/>
      </c>
      <c r="AQ765" t="str">
        <f>IFERROR(LOOKUP(2,1/((C_Pavement!$A$5:$A$204&lt;&gt;"")*(C_Pavement!$A$5:$A$204&lt;=$B765)*(C_Pavement!$B$5:$B$204&gt;$B765)*(C_Pavement!$C$5:$C$204&lt;&gt;"")),ROW(C_Pavement!$C$5:$C$204)-4),"")</f>
        <v/>
      </c>
      <c r="AR765" t="str">
        <f>IF($AQ765="","",UPPER(TRIM(INDEX(C_Pavement!$C$5:$C$204,$AQ765))))</f>
        <v/>
      </c>
      <c r="AS765" t="str">
        <f>IF($AR765="","",IFERROR(MATCH($AR765,E_Rules!$A$5:$A$9,0),""))</f>
        <v/>
      </c>
      <c r="AT765" t="str">
        <f>IF($AQ765="","",IF(INDEX(C_Pavement!$D$5:$D$204,$AQ765)&lt;&gt;"",UPPER(TRIM(INDEX(C_Pavement!$D$5:$D$204,$AQ765))),IF($AS765="","",INDEX(E_Rules!$C$5:$C$9,$AS765))))</f>
        <v/>
      </c>
      <c r="AU765" t="str">
        <f>IF($AQ765="","",IF(INDEX(C_Pavement!$E$5:$E$204,$AQ765)&lt;&gt;"",IF(INDEX(C_Pavement!$E$5:$E$204,$AQ765)="-","",INDEX(C_Pavement!$E$5:$E$204,$AQ765)),IF($AS765="","",INDEX(E_Rules!$D$5:$D$9,$AS765))))</f>
        <v/>
      </c>
      <c r="AV765" t="str">
        <f>IF($AQ765="","",IF(INDEX(C_Pavement!$F$5:$F$204,$AQ765)&lt;&gt;"",IF(INDEX(C_Pavement!$F$5:$F$204,$AQ765)="-","",INDEX(C_Pavement!$F$5:$F$204,$AQ765)),IF($AS765="","",INDEX(E_Rules!$E$5:$E$9,$AS765))))</f>
        <v/>
      </c>
      <c r="AW765" t="str">
        <f>IF($AQ765="","",IF(INDEX(C_Pavement!$G$5:$G$204,$AQ765)&lt;&gt;"",IF(INDEX(C_Pavement!$G$5:$G$204,$AQ765)="-","",INDEX(C_Pavement!$G$5:$G$204,$AQ765)),IF($AS765="","",INDEX(E_Rules!$F$5:$F$9,$AS765))))</f>
        <v/>
      </c>
      <c r="AX765" t="str">
        <f>IF($AQ765="","",IF(INDEX(C_Pavement!$H$5:$H$204,$AQ765)&lt;&gt;"",IF(INDEX(C_Pavement!$H$5:$H$204,$AQ765)="-","",INDEX(C_Pavement!$H$5:$H$204,$AQ765)),IF($AS765="","",INDEX(E_Rules!$G$5:$G$9,$AS765))))</f>
        <v/>
      </c>
      <c r="AY765" t="str">
        <f>IF($AQ765="","",IF(INDEX(C_Pavement!$I$5:$I$204,$AQ765)&lt;&gt;"",IF(INDEX(C_Pavement!$I$5:$I$204,$AQ765)="-","",INDEX(C_Pavement!$I$5:$I$204,$AQ765)),IF($AS765="","",INDEX(E_Rules!$H$5:$H$9,$AS765))))</f>
        <v/>
      </c>
    </row>
    <row r="766" spans="1:51" ht="15.75" customHeight="1" x14ac:dyDescent="0.3">
      <c r="A766" s="189">
        <v>761</v>
      </c>
      <c r="B766" s="180">
        <v>38000</v>
      </c>
      <c r="C766" s="180" t="s">
        <v>1072</v>
      </c>
      <c r="D766" s="181" t="str">
        <f>IFERROR(LOOKUP(2,1/((A_Corridor!$A$5:$A$204&lt;&gt;"")*(A_Corridor!$A$5:$A$204&lt;=$B766)*(A_Corridor!$B$5:$B$204&gt;$B766)*(A_Corridor!$C$5:$C$204&lt;&gt;"")),IF(UPPER(A_Corridor!$C$5:$C$204)="Y",1,"")),"")</f>
        <v/>
      </c>
      <c r="E766" s="181" t="str">
        <f>IFERROR(LOOKUP(2,1/((A_Corridor!$A$5:$A$204&lt;&gt;"")*(A_Corridor!$A$5:$A$204&lt;=$B766)*(A_Corridor!$B$5:$B$204&gt;$B766)*(A_Corridor!$D$5:$D$204&lt;&gt;"")),IF(A_Corridor!$D$5:$D$204="-","",UPPER(A_Corridor!$D$5:$D$204))),"")</f>
        <v/>
      </c>
      <c r="F766" s="181" t="str">
        <f>IFERROR(LOOKUP(2,1/((A_Corridor!$A$5:$A$204&lt;&gt;"")*(A_Corridor!$A$5:$A$204&lt;=$B766)*(A_Corridor!$B$5:$B$204&gt;$B766)*(A_Corridor!$E$5:$E$204&lt;&gt;"")),IF(A_Corridor!$E$5:$E$204="-","",1)),"")</f>
        <v/>
      </c>
      <c r="G766" s="182" t="str">
        <f>IFERROR(LOOKUP(2,1/((A_Corridor!$A$5:$A$204&lt;&gt;"")*(A_Corridor!$A$5:$A$204&lt;=$B766)*(A_Corridor!$B$5:$B$204&gt;$B766)*(A_Corridor!$E$5:$E$204&lt;&gt;"")),IF(A_Corridor!$E$5:$E$204="-","",A_Corridor!$E$5:$E$204)),"")</f>
        <v/>
      </c>
      <c r="H766" s="182" t="str">
        <f>IFERROR(LOOKUP(2,1/((D_Points!$A$5:$A$204&lt;&gt;"")*(D_Points!$A$5:$A$204&gt;=$B766)*(D_Points!$A$5:$A$204&lt;$B766+P_Interval)*(UPPER(TRIM(D_Points!$B$5:$B$204))="GULLY")*(D_Points!$H$5:$H$204&lt;&gt;"")),D_Points!$H$5:$H$204),"")</f>
        <v/>
      </c>
      <c r="I766" s="181" t="str">
        <f>IFERROR(LOOKUP(2,1/((A_Corridor!$A$5:$A$204&lt;&gt;"")*(A_Corridor!$A$5:$A$204&lt;=$B766)*(A_Corridor!$B$5:$B$204&gt;$B766)*(A_Corridor!$F$5:$F$204&lt;&gt;"")),IF(A_Corridor!$F$5:$F$204="-","",1)),"")</f>
        <v/>
      </c>
      <c r="J766" s="182" t="str">
        <f>IFERROR(LOOKUP(2,1/((A_Corridor!$A$5:$A$204&lt;&gt;"")*(A_Corridor!$A$5:$A$204&lt;=$B766)*(A_Corridor!$B$5:$B$204&gt;$B766)*(A_Corridor!$F$5:$F$204&lt;&gt;"")),IF(A_Corridor!$F$5:$F$204="-","",A_Corridor!$F$5:$F$204)),"")</f>
        <v/>
      </c>
      <c r="K766" s="182" t="str">
        <f>IFERROR(LOOKUP(2,1/((A_Corridor!$A$5:$A$204&lt;&gt;"")*(A_Corridor!$A$5:$A$204&lt;=$B766)*(A_Corridor!$B$5:$B$204&gt;$B766)*(A_Corridor!$G$5:$G$204&lt;&gt;"")),IF(A_Corridor!$G$5:$G$204="-","",A_Corridor!$G$5:$G$204)),"")</f>
        <v/>
      </c>
      <c r="L766" s="181" t="str">
        <f>IFERROR(LOOKUP(2,1/((A_Corridor!$A$5:$A$204&lt;&gt;"")*(A_Corridor!$A$5:$A$204&lt;=$B766)*(A_Corridor!$B$5:$B$204&gt;$B766)*(A_Corridor!$H$5:$H$204&lt;&gt;"")),IF(A_Corridor!$H$5:$H$204="-","",1)),"")</f>
        <v/>
      </c>
      <c r="M766" s="182" t="str">
        <f>IFERROR(LOOKUP(2,1/((A_Corridor!$A$5:$A$204&lt;&gt;"")*(A_Corridor!$A$5:$A$204&lt;=$B766)*(A_Corridor!$B$5:$B$204&gt;$B766)*(A_Corridor!$H$5:$H$204&lt;&gt;"")),IF(A_Corridor!$H$5:$H$204="-","",A_Corridor!$H$5:$H$204)),"")</f>
        <v/>
      </c>
      <c r="N766" s="182" t="str">
        <f>IFERROR(LOOKUP(2,1/((A_Corridor!$A$5:$A$204&lt;&gt;"")*(A_Corridor!$A$5:$A$204&lt;=$B766)*(A_Corridor!$B$5:$B$204&gt;$B766)*(A_Corridor!$I$5:$I$204&lt;&gt;"")),IF(A_Corridor!$I$5:$I$204="-","",A_Corridor!$I$5:$I$204)),"")</f>
        <v/>
      </c>
      <c r="O766" s="182" t="str">
        <f>IFERROR(LOOKUP(2,1/((D_Points!$A$5:$A$204&lt;&gt;"")*(D_Points!$A$5:$A$204&gt;=$B766)*(D_Points!$A$5:$A$204&lt;$B766+P_Interval)*(UPPER(TRIM(D_Points!$B$5:$B$204))="PITCHING")*(D_Points!$H$5:$H$204&lt;&gt;"")),D_Points!$H$5:$H$204),"")</f>
        <v/>
      </c>
      <c r="P766" s="181" t="str">
        <f>IFERROR(LOOKUP(2,1/((B_Drainage!$A$5:$A$204&lt;&gt;"")*(B_Drainage!$A$5:$A$204&lt;=$B766)*(B_Drainage!$B$5:$B$204&gt;$B766)*(B_Drainage!$C$5:$C$204&lt;&gt;"")),IF(B_Drainage!$C$5:$C$204="-","",UPPER(B_Drainage!$C$5:$C$204))),"")</f>
        <v/>
      </c>
      <c r="Q766" s="181" t="str">
        <f>IFERROR(LOOKUP(2,1/((B_Drainage!$A$5:$A$204&lt;&gt;"")*(B_Drainage!$A$5:$A$204&lt;=$B766)*(B_Drainage!$B$5:$B$204&gt;$B766)*(B_Drainage!$D$5:$D$204&lt;&gt;"")),IF(B_Drainage!$D$5:$D$204="-","",UPPER(B_Drainage!$D$5:$D$204))),"")</f>
        <v/>
      </c>
      <c r="R766" s="182" t="str">
        <f>IFERROR(LOOKUP(2,1/((D_Points!$A$5:$A$204&lt;&gt;"")*(D_Points!$A$5:$A$204&gt;=$B766)*(D_Points!$A$5:$A$204&lt;$B766+P_Interval)*(RIGHT(UPPER(TRIM(D_Points!$B$5:$B$204)),8)="_CULVERT")),IF(LEFT(UPPER(TRIM(D_Points!$B$5:$B$204)),2)="EX",1,IF(LEFT(UPPER(TRIM(D_Points!$B$5:$B$204)),2)="PR",2,3))),"")</f>
        <v/>
      </c>
      <c r="S766" s="182" t="str">
        <f>IFERROR(LOOKUP(2,1/((D_Points!$A$5:$A$204&lt;&gt;"")*(D_Points!$A$5:$A$204&gt;=$B766)*(D_Points!$A$5:$A$204&lt;$B766+P_Interval)*(RIGHT(UPPER(TRIM(D_Points!$B$5:$B$204)),7)="_BRIDGE")),IF(LEFT(UPPER(TRIM(D_Points!$B$5:$B$204)),2)="EX",1,IF(LEFT(UPPER(TRIM(D_Points!$B$5:$B$204)),2)="PR",2,2))),"")</f>
        <v/>
      </c>
      <c r="T766" s="181" t="str">
        <f>IFERROR(LOOKUP(2,1/((B_Drainage!$A$5:$A$204&lt;&gt;"")*(B_Drainage!$A$5:$A$204&lt;=$B766)*(B_Drainage!$B$5:$B$204&gt;$B766)*(B_Drainage!$E$5:$E$204&lt;&gt;"")),IF(B_Drainage!$E$5:$E$204="-","",1)),"")</f>
        <v/>
      </c>
      <c r="U766" s="181" t="str">
        <f>IFERROR(LOOKUP(2,1/((B_Drainage!$A$5:$A$204&lt;&gt;"")*(B_Drainage!$A$5:$A$204&lt;=$B766)*(B_Drainage!$B$5:$B$204&gt;$B766)*(B_Drainage!$E$5:$E$204&lt;&gt;"")),IF(B_Drainage!$E$5:$E$204="-","",B_Drainage!$E$5:$E$204)),"")</f>
        <v/>
      </c>
      <c r="V766" s="181" t="str">
        <f>IFERROR(LOOKUP(2,1/((B_Drainage!$A$5:$A$204&lt;&gt;"")*(B_Drainage!$A$5:$A$204&lt;=$B766)*(B_Drainage!$B$5:$B$204&gt;$B766)*(B_Drainage!$F$5:$F$204&lt;&gt;"")),IF(B_Drainage!$F$5:$F$204="-","",1)),"")</f>
        <v/>
      </c>
      <c r="W766" s="181" t="str">
        <f>IFERROR(LOOKUP(2,1/((B_Drainage!$A$5:$A$204&lt;&gt;"")*(B_Drainage!$A$5:$A$204&lt;=$B766)*(B_Drainage!$B$5:$B$204&gt;$B766)*(B_Drainage!$F$5:$F$204&lt;&gt;"")),IF(B_Drainage!$F$5:$F$204="-","",B_Drainage!$F$5:$F$204)),"")</f>
        <v/>
      </c>
      <c r="X766" s="181" t="str">
        <f>IFERROR(LOOKUP(2,1/((B_Drainage!$A$5:$A$204&lt;&gt;"")*(B_Drainage!$A$5:$A$204&lt;=$B766)*(B_Drainage!$B$5:$B$204&gt;$B766)*(B_Drainage!$G$5:$G$204&lt;&gt;"")),IF(UPPER(B_Drainage!$G$5:$G$204)="Y",1,"")),"")</f>
        <v/>
      </c>
      <c r="Y766" s="181" t="str">
        <f>IFERROR(LOOKUP(2,1/((B_Drainage!$A$5:$A$204&lt;&gt;"")*(B_Drainage!$A$5:$A$204&lt;=$B766)*(B_Drainage!$B$5:$B$204&gt;$B766)*(B_Drainage!$H$5:$H$204&lt;&gt;"")),IF(UPPER(B_Drainage!$H$5:$H$204)="Y",1,"")),"")</f>
        <v/>
      </c>
      <c r="Z766" s="181" t="str">
        <f>IFERROR(LOOKUP(2,1/((B_Drainage!$A$5:$A$204&lt;&gt;"")*(B_Drainage!$A$5:$A$204&lt;=$B766)*(B_Drainage!$B$5:$B$204&gt;$B766)*(B_Drainage!$I$5:$I$204&lt;&gt;"")),IF(UPPER(B_Drainage!$I$5:$I$204)="Y",1,"")),"")</f>
        <v/>
      </c>
      <c r="AA766" s="181" t="str">
        <f>IFERROR(LOOKUP(2,1/((B_Drainage!$A$5:$A$204&lt;&gt;"")*(B_Drainage!$A$5:$A$204&lt;=$B766)*(B_Drainage!$B$5:$B$204&gt;$B766)*(B_Drainage!$J$5:$J$204&lt;&gt;"")),IF(UPPER(B_Drainage!$J$5:$J$204)="Y",1,"")),"")</f>
        <v/>
      </c>
      <c r="AB766" s="182" t="str">
        <f>IFERROR(LOOKUP(2,1/((B_Drainage!$A$5:$A$204&lt;&gt;"")*(B_Drainage!$A$5:$A$204&lt;=$B766)*(B_Drainage!$B$5:$B$204&gt;$B766)*(B_Drainage!$K$5:$K$204&lt;&gt;"")),IF(B_Drainage!$K$5:$K$204="-","",B_Drainage!$K$5:$K$204)),"")</f>
        <v/>
      </c>
      <c r="AC766" s="182" t="str">
        <f>IFERROR(LOOKUP(2,1/((B_Drainage!$A$5:$A$204&lt;&gt;"")*(B_Drainage!$A$5:$A$204&lt;=$B766)*(B_Drainage!$B$5:$B$204&gt;$B766)*(B_Drainage!$L$5:$L$204&lt;&gt;"")),IF(B_Drainage!$L$5:$L$204="-","",B_Drainage!$L$5:$L$204)),"")</f>
        <v/>
      </c>
      <c r="AD766" s="182" t="str">
        <f>IFERROR(LOOKUP(2,1/((D_Points!$A$5:$A$204&lt;&gt;"")*(D_Points!$A$5:$A$204&gt;=$B766)*(D_Points!$A$5:$A$204&lt;$B766+P_Interval)*(UPPER(TRIM(D_Points!$B$5:$B$204))="TURNOUT_L")*(D_Points!$H$5:$H$204&lt;&gt;"")),D_Points!$H$5:$H$204),"")</f>
        <v/>
      </c>
      <c r="AE766" s="182" t="str">
        <f>IFERROR(LOOKUP(2,1/((D_Points!$A$5:$A$204&lt;&gt;"")*(D_Points!$A$5:$A$204&gt;=$B766)*(D_Points!$A$5:$A$204&lt;$B766+P_Interval)*(UPPER(TRIM(D_Points!$B$5:$B$204))="TURNOUT_R")*(D_Points!$H$5:$H$204&lt;&gt;"")),D_Points!$H$5:$H$204),"")</f>
        <v/>
      </c>
      <c r="AF766" s="181" t="str">
        <f>IFERROR(LOOKUP(2,1/((B_Drainage!$A$5:$A$204&lt;&gt;"")*(B_Drainage!$A$5:$A$204&lt;=$B766)*(B_Drainage!$B$5:$B$204&gt;$B766)*(B_Drainage!$M$5:$M$204&lt;&gt;"")),IF(UPPER(B_Drainage!$M$5:$M$204)="Y",1,"")),"")</f>
        <v/>
      </c>
      <c r="AG766" s="181" t="str">
        <f>IFERROR(LOOKUP(2,1/((B_Drainage!$A$5:$A$204&lt;&gt;"")*(B_Drainage!$A$5:$A$204&lt;=$B766)*(B_Drainage!$B$5:$B$204&gt;$B766)*(B_Drainage!$N$5:$N$204&lt;&gt;"")),IF(UPPER(B_Drainage!$N$5:$N$204)="Y",1,"")),"")</f>
        <v/>
      </c>
      <c r="AH766" s="181" t="str">
        <f t="shared" si="88"/>
        <v/>
      </c>
      <c r="AI766" s="181" t="str">
        <f t="shared" si="89"/>
        <v/>
      </c>
      <c r="AJ766" s="181" t="str">
        <f t="shared" si="90"/>
        <v/>
      </c>
      <c r="AK766" s="181" t="str">
        <f t="shared" si="91"/>
        <v/>
      </c>
      <c r="AL766" s="181" t="str">
        <f t="shared" si="92"/>
        <v/>
      </c>
      <c r="AM766" s="181" t="str">
        <f t="shared" si="93"/>
        <v/>
      </c>
      <c r="AN766" s="181" t="str">
        <f t="shared" si="94"/>
        <v/>
      </c>
      <c r="AO766" s="192" t="str">
        <f t="shared" si="95"/>
        <v/>
      </c>
      <c r="AQ766" t="str">
        <f>IFERROR(LOOKUP(2,1/((C_Pavement!$A$5:$A$204&lt;&gt;"")*(C_Pavement!$A$5:$A$204&lt;=$B766)*(C_Pavement!$B$5:$B$204&gt;$B766)*(C_Pavement!$C$5:$C$204&lt;&gt;"")),ROW(C_Pavement!$C$5:$C$204)-4),"")</f>
        <v/>
      </c>
      <c r="AR766" t="str">
        <f>IF($AQ766="","",UPPER(TRIM(INDEX(C_Pavement!$C$5:$C$204,$AQ766))))</f>
        <v/>
      </c>
      <c r="AS766" t="str">
        <f>IF($AR766="","",IFERROR(MATCH($AR766,E_Rules!$A$5:$A$9,0),""))</f>
        <v/>
      </c>
      <c r="AT766" t="str">
        <f>IF($AQ766="","",IF(INDEX(C_Pavement!$D$5:$D$204,$AQ766)&lt;&gt;"",UPPER(TRIM(INDEX(C_Pavement!$D$5:$D$204,$AQ766))),IF($AS766="","",INDEX(E_Rules!$C$5:$C$9,$AS766))))</f>
        <v/>
      </c>
      <c r="AU766" t="str">
        <f>IF($AQ766="","",IF(INDEX(C_Pavement!$E$5:$E$204,$AQ766)&lt;&gt;"",IF(INDEX(C_Pavement!$E$5:$E$204,$AQ766)="-","",INDEX(C_Pavement!$E$5:$E$204,$AQ766)),IF($AS766="","",INDEX(E_Rules!$D$5:$D$9,$AS766))))</f>
        <v/>
      </c>
      <c r="AV766" t="str">
        <f>IF($AQ766="","",IF(INDEX(C_Pavement!$F$5:$F$204,$AQ766)&lt;&gt;"",IF(INDEX(C_Pavement!$F$5:$F$204,$AQ766)="-","",INDEX(C_Pavement!$F$5:$F$204,$AQ766)),IF($AS766="","",INDEX(E_Rules!$E$5:$E$9,$AS766))))</f>
        <v/>
      </c>
      <c r="AW766" t="str">
        <f>IF($AQ766="","",IF(INDEX(C_Pavement!$G$5:$G$204,$AQ766)&lt;&gt;"",IF(INDEX(C_Pavement!$G$5:$G$204,$AQ766)="-","",INDEX(C_Pavement!$G$5:$G$204,$AQ766)),IF($AS766="","",INDEX(E_Rules!$F$5:$F$9,$AS766))))</f>
        <v/>
      </c>
      <c r="AX766" t="str">
        <f>IF($AQ766="","",IF(INDEX(C_Pavement!$H$5:$H$204,$AQ766)&lt;&gt;"",IF(INDEX(C_Pavement!$H$5:$H$204,$AQ766)="-","",INDEX(C_Pavement!$H$5:$H$204,$AQ766)),IF($AS766="","",INDEX(E_Rules!$G$5:$G$9,$AS766))))</f>
        <v/>
      </c>
      <c r="AY766" t="str">
        <f>IF($AQ766="","",IF(INDEX(C_Pavement!$I$5:$I$204,$AQ766)&lt;&gt;"",IF(INDEX(C_Pavement!$I$5:$I$204,$AQ766)="-","",INDEX(C_Pavement!$I$5:$I$204,$AQ766)),IF($AS766="","",INDEX(E_Rules!$H$5:$H$9,$AS766))))</f>
        <v/>
      </c>
    </row>
    <row r="767" spans="1:51" ht="15.75" customHeight="1" x14ac:dyDescent="0.3">
      <c r="A767" s="189">
        <v>762</v>
      </c>
      <c r="B767" s="180">
        <v>38050</v>
      </c>
      <c r="C767" s="180" t="s">
        <v>1073</v>
      </c>
      <c r="D767" s="181" t="str">
        <f>IFERROR(LOOKUP(2,1/((A_Corridor!$A$5:$A$204&lt;&gt;"")*(A_Corridor!$A$5:$A$204&lt;=$B767)*(A_Corridor!$B$5:$B$204&gt;$B767)*(A_Corridor!$C$5:$C$204&lt;&gt;"")),IF(UPPER(A_Corridor!$C$5:$C$204)="Y",1,"")),"")</f>
        <v/>
      </c>
      <c r="E767" s="181" t="str">
        <f>IFERROR(LOOKUP(2,1/((A_Corridor!$A$5:$A$204&lt;&gt;"")*(A_Corridor!$A$5:$A$204&lt;=$B767)*(A_Corridor!$B$5:$B$204&gt;$B767)*(A_Corridor!$D$5:$D$204&lt;&gt;"")),IF(A_Corridor!$D$5:$D$204="-","",UPPER(A_Corridor!$D$5:$D$204))),"")</f>
        <v/>
      </c>
      <c r="F767" s="181" t="str">
        <f>IFERROR(LOOKUP(2,1/((A_Corridor!$A$5:$A$204&lt;&gt;"")*(A_Corridor!$A$5:$A$204&lt;=$B767)*(A_Corridor!$B$5:$B$204&gt;$B767)*(A_Corridor!$E$5:$E$204&lt;&gt;"")),IF(A_Corridor!$E$5:$E$204="-","",1)),"")</f>
        <v/>
      </c>
      <c r="G767" s="182" t="str">
        <f>IFERROR(LOOKUP(2,1/((A_Corridor!$A$5:$A$204&lt;&gt;"")*(A_Corridor!$A$5:$A$204&lt;=$B767)*(A_Corridor!$B$5:$B$204&gt;$B767)*(A_Corridor!$E$5:$E$204&lt;&gt;"")),IF(A_Corridor!$E$5:$E$204="-","",A_Corridor!$E$5:$E$204)),"")</f>
        <v/>
      </c>
      <c r="H767" s="182" t="str">
        <f>IFERROR(LOOKUP(2,1/((D_Points!$A$5:$A$204&lt;&gt;"")*(D_Points!$A$5:$A$204&gt;=$B767)*(D_Points!$A$5:$A$204&lt;$B767+P_Interval)*(UPPER(TRIM(D_Points!$B$5:$B$204))="GULLY")*(D_Points!$H$5:$H$204&lt;&gt;"")),D_Points!$H$5:$H$204),"")</f>
        <v/>
      </c>
      <c r="I767" s="181" t="str">
        <f>IFERROR(LOOKUP(2,1/((A_Corridor!$A$5:$A$204&lt;&gt;"")*(A_Corridor!$A$5:$A$204&lt;=$B767)*(A_Corridor!$B$5:$B$204&gt;$B767)*(A_Corridor!$F$5:$F$204&lt;&gt;"")),IF(A_Corridor!$F$5:$F$204="-","",1)),"")</f>
        <v/>
      </c>
      <c r="J767" s="182" t="str">
        <f>IFERROR(LOOKUP(2,1/((A_Corridor!$A$5:$A$204&lt;&gt;"")*(A_Corridor!$A$5:$A$204&lt;=$B767)*(A_Corridor!$B$5:$B$204&gt;$B767)*(A_Corridor!$F$5:$F$204&lt;&gt;"")),IF(A_Corridor!$F$5:$F$204="-","",A_Corridor!$F$5:$F$204)),"")</f>
        <v/>
      </c>
      <c r="K767" s="182" t="str">
        <f>IFERROR(LOOKUP(2,1/((A_Corridor!$A$5:$A$204&lt;&gt;"")*(A_Corridor!$A$5:$A$204&lt;=$B767)*(A_Corridor!$B$5:$B$204&gt;$B767)*(A_Corridor!$G$5:$G$204&lt;&gt;"")),IF(A_Corridor!$G$5:$G$204="-","",A_Corridor!$G$5:$G$204)),"")</f>
        <v/>
      </c>
      <c r="L767" s="181" t="str">
        <f>IFERROR(LOOKUP(2,1/((A_Corridor!$A$5:$A$204&lt;&gt;"")*(A_Corridor!$A$5:$A$204&lt;=$B767)*(A_Corridor!$B$5:$B$204&gt;$B767)*(A_Corridor!$H$5:$H$204&lt;&gt;"")),IF(A_Corridor!$H$5:$H$204="-","",1)),"")</f>
        <v/>
      </c>
      <c r="M767" s="182" t="str">
        <f>IFERROR(LOOKUP(2,1/((A_Corridor!$A$5:$A$204&lt;&gt;"")*(A_Corridor!$A$5:$A$204&lt;=$B767)*(A_Corridor!$B$5:$B$204&gt;$B767)*(A_Corridor!$H$5:$H$204&lt;&gt;"")),IF(A_Corridor!$H$5:$H$204="-","",A_Corridor!$H$5:$H$204)),"")</f>
        <v/>
      </c>
      <c r="N767" s="182" t="str">
        <f>IFERROR(LOOKUP(2,1/((A_Corridor!$A$5:$A$204&lt;&gt;"")*(A_Corridor!$A$5:$A$204&lt;=$B767)*(A_Corridor!$B$5:$B$204&gt;$B767)*(A_Corridor!$I$5:$I$204&lt;&gt;"")),IF(A_Corridor!$I$5:$I$204="-","",A_Corridor!$I$5:$I$204)),"")</f>
        <v/>
      </c>
      <c r="O767" s="182" t="str">
        <f>IFERROR(LOOKUP(2,1/((D_Points!$A$5:$A$204&lt;&gt;"")*(D_Points!$A$5:$A$204&gt;=$B767)*(D_Points!$A$5:$A$204&lt;$B767+P_Interval)*(UPPER(TRIM(D_Points!$B$5:$B$204))="PITCHING")*(D_Points!$H$5:$H$204&lt;&gt;"")),D_Points!$H$5:$H$204),"")</f>
        <v/>
      </c>
      <c r="P767" s="181" t="str">
        <f>IFERROR(LOOKUP(2,1/((B_Drainage!$A$5:$A$204&lt;&gt;"")*(B_Drainage!$A$5:$A$204&lt;=$B767)*(B_Drainage!$B$5:$B$204&gt;$B767)*(B_Drainage!$C$5:$C$204&lt;&gt;"")),IF(B_Drainage!$C$5:$C$204="-","",UPPER(B_Drainage!$C$5:$C$204))),"")</f>
        <v/>
      </c>
      <c r="Q767" s="181" t="str">
        <f>IFERROR(LOOKUP(2,1/((B_Drainage!$A$5:$A$204&lt;&gt;"")*(B_Drainage!$A$5:$A$204&lt;=$B767)*(B_Drainage!$B$5:$B$204&gt;$B767)*(B_Drainage!$D$5:$D$204&lt;&gt;"")),IF(B_Drainage!$D$5:$D$204="-","",UPPER(B_Drainage!$D$5:$D$204))),"")</f>
        <v/>
      </c>
      <c r="R767" s="182" t="str">
        <f>IFERROR(LOOKUP(2,1/((D_Points!$A$5:$A$204&lt;&gt;"")*(D_Points!$A$5:$A$204&gt;=$B767)*(D_Points!$A$5:$A$204&lt;$B767+P_Interval)*(RIGHT(UPPER(TRIM(D_Points!$B$5:$B$204)),8)="_CULVERT")),IF(LEFT(UPPER(TRIM(D_Points!$B$5:$B$204)),2)="EX",1,IF(LEFT(UPPER(TRIM(D_Points!$B$5:$B$204)),2)="PR",2,3))),"")</f>
        <v/>
      </c>
      <c r="S767" s="182" t="str">
        <f>IFERROR(LOOKUP(2,1/((D_Points!$A$5:$A$204&lt;&gt;"")*(D_Points!$A$5:$A$204&gt;=$B767)*(D_Points!$A$5:$A$204&lt;$B767+P_Interval)*(RIGHT(UPPER(TRIM(D_Points!$B$5:$B$204)),7)="_BRIDGE")),IF(LEFT(UPPER(TRIM(D_Points!$B$5:$B$204)),2)="EX",1,IF(LEFT(UPPER(TRIM(D_Points!$B$5:$B$204)),2)="PR",2,2))),"")</f>
        <v/>
      </c>
      <c r="T767" s="181" t="str">
        <f>IFERROR(LOOKUP(2,1/((B_Drainage!$A$5:$A$204&lt;&gt;"")*(B_Drainage!$A$5:$A$204&lt;=$B767)*(B_Drainage!$B$5:$B$204&gt;$B767)*(B_Drainage!$E$5:$E$204&lt;&gt;"")),IF(B_Drainage!$E$5:$E$204="-","",1)),"")</f>
        <v/>
      </c>
      <c r="U767" s="181" t="str">
        <f>IFERROR(LOOKUP(2,1/((B_Drainage!$A$5:$A$204&lt;&gt;"")*(B_Drainage!$A$5:$A$204&lt;=$B767)*(B_Drainage!$B$5:$B$204&gt;$B767)*(B_Drainage!$E$5:$E$204&lt;&gt;"")),IF(B_Drainage!$E$5:$E$204="-","",B_Drainage!$E$5:$E$204)),"")</f>
        <v/>
      </c>
      <c r="V767" s="181" t="str">
        <f>IFERROR(LOOKUP(2,1/((B_Drainage!$A$5:$A$204&lt;&gt;"")*(B_Drainage!$A$5:$A$204&lt;=$B767)*(B_Drainage!$B$5:$B$204&gt;$B767)*(B_Drainage!$F$5:$F$204&lt;&gt;"")),IF(B_Drainage!$F$5:$F$204="-","",1)),"")</f>
        <v/>
      </c>
      <c r="W767" s="181" t="str">
        <f>IFERROR(LOOKUP(2,1/((B_Drainage!$A$5:$A$204&lt;&gt;"")*(B_Drainage!$A$5:$A$204&lt;=$B767)*(B_Drainage!$B$5:$B$204&gt;$B767)*(B_Drainage!$F$5:$F$204&lt;&gt;"")),IF(B_Drainage!$F$5:$F$204="-","",B_Drainage!$F$5:$F$204)),"")</f>
        <v/>
      </c>
      <c r="X767" s="181" t="str">
        <f>IFERROR(LOOKUP(2,1/((B_Drainage!$A$5:$A$204&lt;&gt;"")*(B_Drainage!$A$5:$A$204&lt;=$B767)*(B_Drainage!$B$5:$B$204&gt;$B767)*(B_Drainage!$G$5:$G$204&lt;&gt;"")),IF(UPPER(B_Drainage!$G$5:$G$204)="Y",1,"")),"")</f>
        <v/>
      </c>
      <c r="Y767" s="181" t="str">
        <f>IFERROR(LOOKUP(2,1/((B_Drainage!$A$5:$A$204&lt;&gt;"")*(B_Drainage!$A$5:$A$204&lt;=$B767)*(B_Drainage!$B$5:$B$204&gt;$B767)*(B_Drainage!$H$5:$H$204&lt;&gt;"")),IF(UPPER(B_Drainage!$H$5:$H$204)="Y",1,"")),"")</f>
        <v/>
      </c>
      <c r="Z767" s="181" t="str">
        <f>IFERROR(LOOKUP(2,1/((B_Drainage!$A$5:$A$204&lt;&gt;"")*(B_Drainage!$A$5:$A$204&lt;=$B767)*(B_Drainage!$B$5:$B$204&gt;$B767)*(B_Drainage!$I$5:$I$204&lt;&gt;"")),IF(UPPER(B_Drainage!$I$5:$I$204)="Y",1,"")),"")</f>
        <v/>
      </c>
      <c r="AA767" s="181" t="str">
        <f>IFERROR(LOOKUP(2,1/((B_Drainage!$A$5:$A$204&lt;&gt;"")*(B_Drainage!$A$5:$A$204&lt;=$B767)*(B_Drainage!$B$5:$B$204&gt;$B767)*(B_Drainage!$J$5:$J$204&lt;&gt;"")),IF(UPPER(B_Drainage!$J$5:$J$204)="Y",1,"")),"")</f>
        <v/>
      </c>
      <c r="AB767" s="182" t="str">
        <f>IFERROR(LOOKUP(2,1/((B_Drainage!$A$5:$A$204&lt;&gt;"")*(B_Drainage!$A$5:$A$204&lt;=$B767)*(B_Drainage!$B$5:$B$204&gt;$B767)*(B_Drainage!$K$5:$K$204&lt;&gt;"")),IF(B_Drainage!$K$5:$K$204="-","",B_Drainage!$K$5:$K$204)),"")</f>
        <v/>
      </c>
      <c r="AC767" s="182" t="str">
        <f>IFERROR(LOOKUP(2,1/((B_Drainage!$A$5:$A$204&lt;&gt;"")*(B_Drainage!$A$5:$A$204&lt;=$B767)*(B_Drainage!$B$5:$B$204&gt;$B767)*(B_Drainage!$L$5:$L$204&lt;&gt;"")),IF(B_Drainage!$L$5:$L$204="-","",B_Drainage!$L$5:$L$204)),"")</f>
        <v/>
      </c>
      <c r="AD767" s="182" t="str">
        <f>IFERROR(LOOKUP(2,1/((D_Points!$A$5:$A$204&lt;&gt;"")*(D_Points!$A$5:$A$204&gt;=$B767)*(D_Points!$A$5:$A$204&lt;$B767+P_Interval)*(UPPER(TRIM(D_Points!$B$5:$B$204))="TURNOUT_L")*(D_Points!$H$5:$H$204&lt;&gt;"")),D_Points!$H$5:$H$204),"")</f>
        <v/>
      </c>
      <c r="AE767" s="182" t="str">
        <f>IFERROR(LOOKUP(2,1/((D_Points!$A$5:$A$204&lt;&gt;"")*(D_Points!$A$5:$A$204&gt;=$B767)*(D_Points!$A$5:$A$204&lt;$B767+P_Interval)*(UPPER(TRIM(D_Points!$B$5:$B$204))="TURNOUT_R")*(D_Points!$H$5:$H$204&lt;&gt;"")),D_Points!$H$5:$H$204),"")</f>
        <v/>
      </c>
      <c r="AF767" s="181" t="str">
        <f>IFERROR(LOOKUP(2,1/((B_Drainage!$A$5:$A$204&lt;&gt;"")*(B_Drainage!$A$5:$A$204&lt;=$B767)*(B_Drainage!$B$5:$B$204&gt;$B767)*(B_Drainage!$M$5:$M$204&lt;&gt;"")),IF(UPPER(B_Drainage!$M$5:$M$204)="Y",1,"")),"")</f>
        <v/>
      </c>
      <c r="AG767" s="181" t="str">
        <f>IFERROR(LOOKUP(2,1/((B_Drainage!$A$5:$A$204&lt;&gt;"")*(B_Drainage!$A$5:$A$204&lt;=$B767)*(B_Drainage!$B$5:$B$204&gt;$B767)*(B_Drainage!$N$5:$N$204&lt;&gt;"")),IF(UPPER(B_Drainage!$N$5:$N$204)="Y",1,"")),"")</f>
        <v/>
      </c>
      <c r="AH767" s="181" t="str">
        <f t="shared" si="88"/>
        <v/>
      </c>
      <c r="AI767" s="181" t="str">
        <f t="shared" si="89"/>
        <v/>
      </c>
      <c r="AJ767" s="181" t="str">
        <f t="shared" si="90"/>
        <v/>
      </c>
      <c r="AK767" s="181" t="str">
        <f t="shared" si="91"/>
        <v/>
      </c>
      <c r="AL767" s="181" t="str">
        <f t="shared" si="92"/>
        <v/>
      </c>
      <c r="AM767" s="181" t="str">
        <f t="shared" si="93"/>
        <v/>
      </c>
      <c r="AN767" s="181" t="str">
        <f t="shared" si="94"/>
        <v/>
      </c>
      <c r="AO767" s="192" t="str">
        <f t="shared" si="95"/>
        <v/>
      </c>
      <c r="AQ767" t="str">
        <f>IFERROR(LOOKUP(2,1/((C_Pavement!$A$5:$A$204&lt;&gt;"")*(C_Pavement!$A$5:$A$204&lt;=$B767)*(C_Pavement!$B$5:$B$204&gt;$B767)*(C_Pavement!$C$5:$C$204&lt;&gt;"")),ROW(C_Pavement!$C$5:$C$204)-4),"")</f>
        <v/>
      </c>
      <c r="AR767" t="str">
        <f>IF($AQ767="","",UPPER(TRIM(INDEX(C_Pavement!$C$5:$C$204,$AQ767))))</f>
        <v/>
      </c>
      <c r="AS767" t="str">
        <f>IF($AR767="","",IFERROR(MATCH($AR767,E_Rules!$A$5:$A$9,0),""))</f>
        <v/>
      </c>
      <c r="AT767" t="str">
        <f>IF($AQ767="","",IF(INDEX(C_Pavement!$D$5:$D$204,$AQ767)&lt;&gt;"",UPPER(TRIM(INDEX(C_Pavement!$D$5:$D$204,$AQ767))),IF($AS767="","",INDEX(E_Rules!$C$5:$C$9,$AS767))))</f>
        <v/>
      </c>
      <c r="AU767" t="str">
        <f>IF($AQ767="","",IF(INDEX(C_Pavement!$E$5:$E$204,$AQ767)&lt;&gt;"",IF(INDEX(C_Pavement!$E$5:$E$204,$AQ767)="-","",INDEX(C_Pavement!$E$5:$E$204,$AQ767)),IF($AS767="","",INDEX(E_Rules!$D$5:$D$9,$AS767))))</f>
        <v/>
      </c>
      <c r="AV767" t="str">
        <f>IF($AQ767="","",IF(INDEX(C_Pavement!$F$5:$F$204,$AQ767)&lt;&gt;"",IF(INDEX(C_Pavement!$F$5:$F$204,$AQ767)="-","",INDEX(C_Pavement!$F$5:$F$204,$AQ767)),IF($AS767="","",INDEX(E_Rules!$E$5:$E$9,$AS767))))</f>
        <v/>
      </c>
      <c r="AW767" t="str">
        <f>IF($AQ767="","",IF(INDEX(C_Pavement!$G$5:$G$204,$AQ767)&lt;&gt;"",IF(INDEX(C_Pavement!$G$5:$G$204,$AQ767)="-","",INDEX(C_Pavement!$G$5:$G$204,$AQ767)),IF($AS767="","",INDEX(E_Rules!$F$5:$F$9,$AS767))))</f>
        <v/>
      </c>
      <c r="AX767" t="str">
        <f>IF($AQ767="","",IF(INDEX(C_Pavement!$H$5:$H$204,$AQ767)&lt;&gt;"",IF(INDEX(C_Pavement!$H$5:$H$204,$AQ767)="-","",INDEX(C_Pavement!$H$5:$H$204,$AQ767)),IF($AS767="","",INDEX(E_Rules!$G$5:$G$9,$AS767))))</f>
        <v/>
      </c>
      <c r="AY767" t="str">
        <f>IF($AQ767="","",IF(INDEX(C_Pavement!$I$5:$I$204,$AQ767)&lt;&gt;"",IF(INDEX(C_Pavement!$I$5:$I$204,$AQ767)="-","",INDEX(C_Pavement!$I$5:$I$204,$AQ767)),IF($AS767="","",INDEX(E_Rules!$H$5:$H$9,$AS767))))</f>
        <v/>
      </c>
    </row>
    <row r="768" spans="1:51" ht="15.75" customHeight="1" x14ac:dyDescent="0.3">
      <c r="A768" s="189">
        <v>763</v>
      </c>
      <c r="B768" s="180">
        <v>38100</v>
      </c>
      <c r="C768" s="180" t="s">
        <v>1074</v>
      </c>
      <c r="D768" s="181" t="str">
        <f>IFERROR(LOOKUP(2,1/((A_Corridor!$A$5:$A$204&lt;&gt;"")*(A_Corridor!$A$5:$A$204&lt;=$B768)*(A_Corridor!$B$5:$B$204&gt;$B768)*(A_Corridor!$C$5:$C$204&lt;&gt;"")),IF(UPPER(A_Corridor!$C$5:$C$204)="Y",1,"")),"")</f>
        <v/>
      </c>
      <c r="E768" s="181" t="str">
        <f>IFERROR(LOOKUP(2,1/((A_Corridor!$A$5:$A$204&lt;&gt;"")*(A_Corridor!$A$5:$A$204&lt;=$B768)*(A_Corridor!$B$5:$B$204&gt;$B768)*(A_Corridor!$D$5:$D$204&lt;&gt;"")),IF(A_Corridor!$D$5:$D$204="-","",UPPER(A_Corridor!$D$5:$D$204))),"")</f>
        <v/>
      </c>
      <c r="F768" s="181" t="str">
        <f>IFERROR(LOOKUP(2,1/((A_Corridor!$A$5:$A$204&lt;&gt;"")*(A_Corridor!$A$5:$A$204&lt;=$B768)*(A_Corridor!$B$5:$B$204&gt;$B768)*(A_Corridor!$E$5:$E$204&lt;&gt;"")),IF(A_Corridor!$E$5:$E$204="-","",1)),"")</f>
        <v/>
      </c>
      <c r="G768" s="182" t="str">
        <f>IFERROR(LOOKUP(2,1/((A_Corridor!$A$5:$A$204&lt;&gt;"")*(A_Corridor!$A$5:$A$204&lt;=$B768)*(A_Corridor!$B$5:$B$204&gt;$B768)*(A_Corridor!$E$5:$E$204&lt;&gt;"")),IF(A_Corridor!$E$5:$E$204="-","",A_Corridor!$E$5:$E$204)),"")</f>
        <v/>
      </c>
      <c r="H768" s="182" t="str">
        <f>IFERROR(LOOKUP(2,1/((D_Points!$A$5:$A$204&lt;&gt;"")*(D_Points!$A$5:$A$204&gt;=$B768)*(D_Points!$A$5:$A$204&lt;$B768+P_Interval)*(UPPER(TRIM(D_Points!$B$5:$B$204))="GULLY")*(D_Points!$H$5:$H$204&lt;&gt;"")),D_Points!$H$5:$H$204),"")</f>
        <v/>
      </c>
      <c r="I768" s="181" t="str">
        <f>IFERROR(LOOKUP(2,1/((A_Corridor!$A$5:$A$204&lt;&gt;"")*(A_Corridor!$A$5:$A$204&lt;=$B768)*(A_Corridor!$B$5:$B$204&gt;$B768)*(A_Corridor!$F$5:$F$204&lt;&gt;"")),IF(A_Corridor!$F$5:$F$204="-","",1)),"")</f>
        <v/>
      </c>
      <c r="J768" s="182" t="str">
        <f>IFERROR(LOOKUP(2,1/((A_Corridor!$A$5:$A$204&lt;&gt;"")*(A_Corridor!$A$5:$A$204&lt;=$B768)*(A_Corridor!$B$5:$B$204&gt;$B768)*(A_Corridor!$F$5:$F$204&lt;&gt;"")),IF(A_Corridor!$F$5:$F$204="-","",A_Corridor!$F$5:$F$204)),"")</f>
        <v/>
      </c>
      <c r="K768" s="182" t="str">
        <f>IFERROR(LOOKUP(2,1/((A_Corridor!$A$5:$A$204&lt;&gt;"")*(A_Corridor!$A$5:$A$204&lt;=$B768)*(A_Corridor!$B$5:$B$204&gt;$B768)*(A_Corridor!$G$5:$G$204&lt;&gt;"")),IF(A_Corridor!$G$5:$G$204="-","",A_Corridor!$G$5:$G$204)),"")</f>
        <v/>
      </c>
      <c r="L768" s="181" t="str">
        <f>IFERROR(LOOKUP(2,1/((A_Corridor!$A$5:$A$204&lt;&gt;"")*(A_Corridor!$A$5:$A$204&lt;=$B768)*(A_Corridor!$B$5:$B$204&gt;$B768)*(A_Corridor!$H$5:$H$204&lt;&gt;"")),IF(A_Corridor!$H$5:$H$204="-","",1)),"")</f>
        <v/>
      </c>
      <c r="M768" s="182" t="str">
        <f>IFERROR(LOOKUP(2,1/((A_Corridor!$A$5:$A$204&lt;&gt;"")*(A_Corridor!$A$5:$A$204&lt;=$B768)*(A_Corridor!$B$5:$B$204&gt;$B768)*(A_Corridor!$H$5:$H$204&lt;&gt;"")),IF(A_Corridor!$H$5:$H$204="-","",A_Corridor!$H$5:$H$204)),"")</f>
        <v/>
      </c>
      <c r="N768" s="182" t="str">
        <f>IFERROR(LOOKUP(2,1/((A_Corridor!$A$5:$A$204&lt;&gt;"")*(A_Corridor!$A$5:$A$204&lt;=$B768)*(A_Corridor!$B$5:$B$204&gt;$B768)*(A_Corridor!$I$5:$I$204&lt;&gt;"")),IF(A_Corridor!$I$5:$I$204="-","",A_Corridor!$I$5:$I$204)),"")</f>
        <v/>
      </c>
      <c r="O768" s="182" t="str">
        <f>IFERROR(LOOKUP(2,1/((D_Points!$A$5:$A$204&lt;&gt;"")*(D_Points!$A$5:$A$204&gt;=$B768)*(D_Points!$A$5:$A$204&lt;$B768+P_Interval)*(UPPER(TRIM(D_Points!$B$5:$B$204))="PITCHING")*(D_Points!$H$5:$H$204&lt;&gt;"")),D_Points!$H$5:$H$204),"")</f>
        <v/>
      </c>
      <c r="P768" s="181" t="str">
        <f>IFERROR(LOOKUP(2,1/((B_Drainage!$A$5:$A$204&lt;&gt;"")*(B_Drainage!$A$5:$A$204&lt;=$B768)*(B_Drainage!$B$5:$B$204&gt;$B768)*(B_Drainage!$C$5:$C$204&lt;&gt;"")),IF(B_Drainage!$C$5:$C$204="-","",UPPER(B_Drainage!$C$5:$C$204))),"")</f>
        <v/>
      </c>
      <c r="Q768" s="181" t="str">
        <f>IFERROR(LOOKUP(2,1/((B_Drainage!$A$5:$A$204&lt;&gt;"")*(B_Drainage!$A$5:$A$204&lt;=$B768)*(B_Drainage!$B$5:$B$204&gt;$B768)*(B_Drainage!$D$5:$D$204&lt;&gt;"")),IF(B_Drainage!$D$5:$D$204="-","",UPPER(B_Drainage!$D$5:$D$204))),"")</f>
        <v/>
      </c>
      <c r="R768" s="182" t="str">
        <f>IFERROR(LOOKUP(2,1/((D_Points!$A$5:$A$204&lt;&gt;"")*(D_Points!$A$5:$A$204&gt;=$B768)*(D_Points!$A$5:$A$204&lt;$B768+P_Interval)*(RIGHT(UPPER(TRIM(D_Points!$B$5:$B$204)),8)="_CULVERT")),IF(LEFT(UPPER(TRIM(D_Points!$B$5:$B$204)),2)="EX",1,IF(LEFT(UPPER(TRIM(D_Points!$B$5:$B$204)),2)="PR",2,3))),"")</f>
        <v/>
      </c>
      <c r="S768" s="182" t="str">
        <f>IFERROR(LOOKUP(2,1/((D_Points!$A$5:$A$204&lt;&gt;"")*(D_Points!$A$5:$A$204&gt;=$B768)*(D_Points!$A$5:$A$204&lt;$B768+P_Interval)*(RIGHT(UPPER(TRIM(D_Points!$B$5:$B$204)),7)="_BRIDGE")),IF(LEFT(UPPER(TRIM(D_Points!$B$5:$B$204)),2)="EX",1,IF(LEFT(UPPER(TRIM(D_Points!$B$5:$B$204)),2)="PR",2,2))),"")</f>
        <v/>
      </c>
      <c r="T768" s="181" t="str">
        <f>IFERROR(LOOKUP(2,1/((B_Drainage!$A$5:$A$204&lt;&gt;"")*(B_Drainage!$A$5:$A$204&lt;=$B768)*(B_Drainage!$B$5:$B$204&gt;$B768)*(B_Drainage!$E$5:$E$204&lt;&gt;"")),IF(B_Drainage!$E$5:$E$204="-","",1)),"")</f>
        <v/>
      </c>
      <c r="U768" s="181" t="str">
        <f>IFERROR(LOOKUP(2,1/((B_Drainage!$A$5:$A$204&lt;&gt;"")*(B_Drainage!$A$5:$A$204&lt;=$B768)*(B_Drainage!$B$5:$B$204&gt;$B768)*(B_Drainage!$E$5:$E$204&lt;&gt;"")),IF(B_Drainage!$E$5:$E$204="-","",B_Drainage!$E$5:$E$204)),"")</f>
        <v/>
      </c>
      <c r="V768" s="181" t="str">
        <f>IFERROR(LOOKUP(2,1/((B_Drainage!$A$5:$A$204&lt;&gt;"")*(B_Drainage!$A$5:$A$204&lt;=$B768)*(B_Drainage!$B$5:$B$204&gt;$B768)*(B_Drainage!$F$5:$F$204&lt;&gt;"")),IF(B_Drainage!$F$5:$F$204="-","",1)),"")</f>
        <v/>
      </c>
      <c r="W768" s="181" t="str">
        <f>IFERROR(LOOKUP(2,1/((B_Drainage!$A$5:$A$204&lt;&gt;"")*(B_Drainage!$A$5:$A$204&lt;=$B768)*(B_Drainage!$B$5:$B$204&gt;$B768)*(B_Drainage!$F$5:$F$204&lt;&gt;"")),IF(B_Drainage!$F$5:$F$204="-","",B_Drainage!$F$5:$F$204)),"")</f>
        <v/>
      </c>
      <c r="X768" s="181" t="str">
        <f>IFERROR(LOOKUP(2,1/((B_Drainage!$A$5:$A$204&lt;&gt;"")*(B_Drainage!$A$5:$A$204&lt;=$B768)*(B_Drainage!$B$5:$B$204&gt;$B768)*(B_Drainage!$G$5:$G$204&lt;&gt;"")),IF(UPPER(B_Drainage!$G$5:$G$204)="Y",1,"")),"")</f>
        <v/>
      </c>
      <c r="Y768" s="181" t="str">
        <f>IFERROR(LOOKUP(2,1/((B_Drainage!$A$5:$A$204&lt;&gt;"")*(B_Drainage!$A$5:$A$204&lt;=$B768)*(B_Drainage!$B$5:$B$204&gt;$B768)*(B_Drainage!$H$5:$H$204&lt;&gt;"")),IF(UPPER(B_Drainage!$H$5:$H$204)="Y",1,"")),"")</f>
        <v/>
      </c>
      <c r="Z768" s="181" t="str">
        <f>IFERROR(LOOKUP(2,1/((B_Drainage!$A$5:$A$204&lt;&gt;"")*(B_Drainage!$A$5:$A$204&lt;=$B768)*(B_Drainage!$B$5:$B$204&gt;$B768)*(B_Drainage!$I$5:$I$204&lt;&gt;"")),IF(UPPER(B_Drainage!$I$5:$I$204)="Y",1,"")),"")</f>
        <v/>
      </c>
      <c r="AA768" s="181" t="str">
        <f>IFERROR(LOOKUP(2,1/((B_Drainage!$A$5:$A$204&lt;&gt;"")*(B_Drainage!$A$5:$A$204&lt;=$B768)*(B_Drainage!$B$5:$B$204&gt;$B768)*(B_Drainage!$J$5:$J$204&lt;&gt;"")),IF(UPPER(B_Drainage!$J$5:$J$204)="Y",1,"")),"")</f>
        <v/>
      </c>
      <c r="AB768" s="182" t="str">
        <f>IFERROR(LOOKUP(2,1/((B_Drainage!$A$5:$A$204&lt;&gt;"")*(B_Drainage!$A$5:$A$204&lt;=$B768)*(B_Drainage!$B$5:$B$204&gt;$B768)*(B_Drainage!$K$5:$K$204&lt;&gt;"")),IF(B_Drainage!$K$5:$K$204="-","",B_Drainage!$K$5:$K$204)),"")</f>
        <v/>
      </c>
      <c r="AC768" s="182" t="str">
        <f>IFERROR(LOOKUP(2,1/((B_Drainage!$A$5:$A$204&lt;&gt;"")*(B_Drainage!$A$5:$A$204&lt;=$B768)*(B_Drainage!$B$5:$B$204&gt;$B768)*(B_Drainage!$L$5:$L$204&lt;&gt;"")),IF(B_Drainage!$L$5:$L$204="-","",B_Drainage!$L$5:$L$204)),"")</f>
        <v/>
      </c>
      <c r="AD768" s="182" t="str">
        <f>IFERROR(LOOKUP(2,1/((D_Points!$A$5:$A$204&lt;&gt;"")*(D_Points!$A$5:$A$204&gt;=$B768)*(D_Points!$A$5:$A$204&lt;$B768+P_Interval)*(UPPER(TRIM(D_Points!$B$5:$B$204))="TURNOUT_L")*(D_Points!$H$5:$H$204&lt;&gt;"")),D_Points!$H$5:$H$204),"")</f>
        <v/>
      </c>
      <c r="AE768" s="182" t="str">
        <f>IFERROR(LOOKUP(2,1/((D_Points!$A$5:$A$204&lt;&gt;"")*(D_Points!$A$5:$A$204&gt;=$B768)*(D_Points!$A$5:$A$204&lt;$B768+P_Interval)*(UPPER(TRIM(D_Points!$B$5:$B$204))="TURNOUT_R")*(D_Points!$H$5:$H$204&lt;&gt;"")),D_Points!$H$5:$H$204),"")</f>
        <v/>
      </c>
      <c r="AF768" s="181" t="str">
        <f>IFERROR(LOOKUP(2,1/((B_Drainage!$A$5:$A$204&lt;&gt;"")*(B_Drainage!$A$5:$A$204&lt;=$B768)*(B_Drainage!$B$5:$B$204&gt;$B768)*(B_Drainage!$M$5:$M$204&lt;&gt;"")),IF(UPPER(B_Drainage!$M$5:$M$204)="Y",1,"")),"")</f>
        <v/>
      </c>
      <c r="AG768" s="181" t="str">
        <f>IFERROR(LOOKUP(2,1/((B_Drainage!$A$5:$A$204&lt;&gt;"")*(B_Drainage!$A$5:$A$204&lt;=$B768)*(B_Drainage!$B$5:$B$204&gt;$B768)*(B_Drainage!$N$5:$N$204&lt;&gt;"")),IF(UPPER(B_Drainage!$N$5:$N$204)="Y",1,"")),"")</f>
        <v/>
      </c>
      <c r="AH768" s="181" t="str">
        <f t="shared" si="88"/>
        <v/>
      </c>
      <c r="AI768" s="181" t="str">
        <f t="shared" si="89"/>
        <v/>
      </c>
      <c r="AJ768" s="181" t="str">
        <f t="shared" si="90"/>
        <v/>
      </c>
      <c r="AK768" s="181" t="str">
        <f t="shared" si="91"/>
        <v/>
      </c>
      <c r="AL768" s="181" t="str">
        <f t="shared" si="92"/>
        <v/>
      </c>
      <c r="AM768" s="181" t="str">
        <f t="shared" si="93"/>
        <v/>
      </c>
      <c r="AN768" s="181" t="str">
        <f t="shared" si="94"/>
        <v/>
      </c>
      <c r="AO768" s="192" t="str">
        <f t="shared" si="95"/>
        <v/>
      </c>
      <c r="AQ768" t="str">
        <f>IFERROR(LOOKUP(2,1/((C_Pavement!$A$5:$A$204&lt;&gt;"")*(C_Pavement!$A$5:$A$204&lt;=$B768)*(C_Pavement!$B$5:$B$204&gt;$B768)*(C_Pavement!$C$5:$C$204&lt;&gt;"")),ROW(C_Pavement!$C$5:$C$204)-4),"")</f>
        <v/>
      </c>
      <c r="AR768" t="str">
        <f>IF($AQ768="","",UPPER(TRIM(INDEX(C_Pavement!$C$5:$C$204,$AQ768))))</f>
        <v/>
      </c>
      <c r="AS768" t="str">
        <f>IF($AR768="","",IFERROR(MATCH($AR768,E_Rules!$A$5:$A$9,0),""))</f>
        <v/>
      </c>
      <c r="AT768" t="str">
        <f>IF($AQ768="","",IF(INDEX(C_Pavement!$D$5:$D$204,$AQ768)&lt;&gt;"",UPPER(TRIM(INDEX(C_Pavement!$D$5:$D$204,$AQ768))),IF($AS768="","",INDEX(E_Rules!$C$5:$C$9,$AS768))))</f>
        <v/>
      </c>
      <c r="AU768" t="str">
        <f>IF($AQ768="","",IF(INDEX(C_Pavement!$E$5:$E$204,$AQ768)&lt;&gt;"",IF(INDEX(C_Pavement!$E$5:$E$204,$AQ768)="-","",INDEX(C_Pavement!$E$5:$E$204,$AQ768)),IF($AS768="","",INDEX(E_Rules!$D$5:$D$9,$AS768))))</f>
        <v/>
      </c>
      <c r="AV768" t="str">
        <f>IF($AQ768="","",IF(INDEX(C_Pavement!$F$5:$F$204,$AQ768)&lt;&gt;"",IF(INDEX(C_Pavement!$F$5:$F$204,$AQ768)="-","",INDEX(C_Pavement!$F$5:$F$204,$AQ768)),IF($AS768="","",INDEX(E_Rules!$E$5:$E$9,$AS768))))</f>
        <v/>
      </c>
      <c r="AW768" t="str">
        <f>IF($AQ768="","",IF(INDEX(C_Pavement!$G$5:$G$204,$AQ768)&lt;&gt;"",IF(INDEX(C_Pavement!$G$5:$G$204,$AQ768)="-","",INDEX(C_Pavement!$G$5:$G$204,$AQ768)),IF($AS768="","",INDEX(E_Rules!$F$5:$F$9,$AS768))))</f>
        <v/>
      </c>
      <c r="AX768" t="str">
        <f>IF($AQ768="","",IF(INDEX(C_Pavement!$H$5:$H$204,$AQ768)&lt;&gt;"",IF(INDEX(C_Pavement!$H$5:$H$204,$AQ768)="-","",INDEX(C_Pavement!$H$5:$H$204,$AQ768)),IF($AS768="","",INDEX(E_Rules!$G$5:$G$9,$AS768))))</f>
        <v/>
      </c>
      <c r="AY768" t="str">
        <f>IF($AQ768="","",IF(INDEX(C_Pavement!$I$5:$I$204,$AQ768)&lt;&gt;"",IF(INDEX(C_Pavement!$I$5:$I$204,$AQ768)="-","",INDEX(C_Pavement!$I$5:$I$204,$AQ768)),IF($AS768="","",INDEX(E_Rules!$H$5:$H$9,$AS768))))</f>
        <v/>
      </c>
    </row>
    <row r="769" spans="1:51" ht="15.75" customHeight="1" x14ac:dyDescent="0.3">
      <c r="A769" s="189">
        <v>764</v>
      </c>
      <c r="B769" s="180">
        <v>38150</v>
      </c>
      <c r="C769" s="180" t="s">
        <v>1075</v>
      </c>
      <c r="D769" s="181" t="str">
        <f>IFERROR(LOOKUP(2,1/((A_Corridor!$A$5:$A$204&lt;&gt;"")*(A_Corridor!$A$5:$A$204&lt;=$B769)*(A_Corridor!$B$5:$B$204&gt;$B769)*(A_Corridor!$C$5:$C$204&lt;&gt;"")),IF(UPPER(A_Corridor!$C$5:$C$204)="Y",1,"")),"")</f>
        <v/>
      </c>
      <c r="E769" s="181" t="str">
        <f>IFERROR(LOOKUP(2,1/((A_Corridor!$A$5:$A$204&lt;&gt;"")*(A_Corridor!$A$5:$A$204&lt;=$B769)*(A_Corridor!$B$5:$B$204&gt;$B769)*(A_Corridor!$D$5:$D$204&lt;&gt;"")),IF(A_Corridor!$D$5:$D$204="-","",UPPER(A_Corridor!$D$5:$D$204))),"")</f>
        <v/>
      </c>
      <c r="F769" s="181" t="str">
        <f>IFERROR(LOOKUP(2,1/((A_Corridor!$A$5:$A$204&lt;&gt;"")*(A_Corridor!$A$5:$A$204&lt;=$B769)*(A_Corridor!$B$5:$B$204&gt;$B769)*(A_Corridor!$E$5:$E$204&lt;&gt;"")),IF(A_Corridor!$E$5:$E$204="-","",1)),"")</f>
        <v/>
      </c>
      <c r="G769" s="182" t="str">
        <f>IFERROR(LOOKUP(2,1/((A_Corridor!$A$5:$A$204&lt;&gt;"")*(A_Corridor!$A$5:$A$204&lt;=$B769)*(A_Corridor!$B$5:$B$204&gt;$B769)*(A_Corridor!$E$5:$E$204&lt;&gt;"")),IF(A_Corridor!$E$5:$E$204="-","",A_Corridor!$E$5:$E$204)),"")</f>
        <v/>
      </c>
      <c r="H769" s="182" t="str">
        <f>IFERROR(LOOKUP(2,1/((D_Points!$A$5:$A$204&lt;&gt;"")*(D_Points!$A$5:$A$204&gt;=$B769)*(D_Points!$A$5:$A$204&lt;$B769+P_Interval)*(UPPER(TRIM(D_Points!$B$5:$B$204))="GULLY")*(D_Points!$H$5:$H$204&lt;&gt;"")),D_Points!$H$5:$H$204),"")</f>
        <v/>
      </c>
      <c r="I769" s="181" t="str">
        <f>IFERROR(LOOKUP(2,1/((A_Corridor!$A$5:$A$204&lt;&gt;"")*(A_Corridor!$A$5:$A$204&lt;=$B769)*(A_Corridor!$B$5:$B$204&gt;$B769)*(A_Corridor!$F$5:$F$204&lt;&gt;"")),IF(A_Corridor!$F$5:$F$204="-","",1)),"")</f>
        <v/>
      </c>
      <c r="J769" s="182" t="str">
        <f>IFERROR(LOOKUP(2,1/((A_Corridor!$A$5:$A$204&lt;&gt;"")*(A_Corridor!$A$5:$A$204&lt;=$B769)*(A_Corridor!$B$5:$B$204&gt;$B769)*(A_Corridor!$F$5:$F$204&lt;&gt;"")),IF(A_Corridor!$F$5:$F$204="-","",A_Corridor!$F$5:$F$204)),"")</f>
        <v/>
      </c>
      <c r="K769" s="182" t="str">
        <f>IFERROR(LOOKUP(2,1/((A_Corridor!$A$5:$A$204&lt;&gt;"")*(A_Corridor!$A$5:$A$204&lt;=$B769)*(A_Corridor!$B$5:$B$204&gt;$B769)*(A_Corridor!$G$5:$G$204&lt;&gt;"")),IF(A_Corridor!$G$5:$G$204="-","",A_Corridor!$G$5:$G$204)),"")</f>
        <v/>
      </c>
      <c r="L769" s="181" t="str">
        <f>IFERROR(LOOKUP(2,1/((A_Corridor!$A$5:$A$204&lt;&gt;"")*(A_Corridor!$A$5:$A$204&lt;=$B769)*(A_Corridor!$B$5:$B$204&gt;$B769)*(A_Corridor!$H$5:$H$204&lt;&gt;"")),IF(A_Corridor!$H$5:$H$204="-","",1)),"")</f>
        <v/>
      </c>
      <c r="M769" s="182" t="str">
        <f>IFERROR(LOOKUP(2,1/((A_Corridor!$A$5:$A$204&lt;&gt;"")*(A_Corridor!$A$5:$A$204&lt;=$B769)*(A_Corridor!$B$5:$B$204&gt;$B769)*(A_Corridor!$H$5:$H$204&lt;&gt;"")),IF(A_Corridor!$H$5:$H$204="-","",A_Corridor!$H$5:$H$204)),"")</f>
        <v/>
      </c>
      <c r="N769" s="182" t="str">
        <f>IFERROR(LOOKUP(2,1/((A_Corridor!$A$5:$A$204&lt;&gt;"")*(A_Corridor!$A$5:$A$204&lt;=$B769)*(A_Corridor!$B$5:$B$204&gt;$B769)*(A_Corridor!$I$5:$I$204&lt;&gt;"")),IF(A_Corridor!$I$5:$I$204="-","",A_Corridor!$I$5:$I$204)),"")</f>
        <v/>
      </c>
      <c r="O769" s="182" t="str">
        <f>IFERROR(LOOKUP(2,1/((D_Points!$A$5:$A$204&lt;&gt;"")*(D_Points!$A$5:$A$204&gt;=$B769)*(D_Points!$A$5:$A$204&lt;$B769+P_Interval)*(UPPER(TRIM(D_Points!$B$5:$B$204))="PITCHING")*(D_Points!$H$5:$H$204&lt;&gt;"")),D_Points!$H$5:$H$204),"")</f>
        <v/>
      </c>
      <c r="P769" s="181" t="str">
        <f>IFERROR(LOOKUP(2,1/((B_Drainage!$A$5:$A$204&lt;&gt;"")*(B_Drainage!$A$5:$A$204&lt;=$B769)*(B_Drainage!$B$5:$B$204&gt;$B769)*(B_Drainage!$C$5:$C$204&lt;&gt;"")),IF(B_Drainage!$C$5:$C$204="-","",UPPER(B_Drainage!$C$5:$C$204))),"")</f>
        <v/>
      </c>
      <c r="Q769" s="181" t="str">
        <f>IFERROR(LOOKUP(2,1/((B_Drainage!$A$5:$A$204&lt;&gt;"")*(B_Drainage!$A$5:$A$204&lt;=$B769)*(B_Drainage!$B$5:$B$204&gt;$B769)*(B_Drainage!$D$5:$D$204&lt;&gt;"")),IF(B_Drainage!$D$5:$D$204="-","",UPPER(B_Drainage!$D$5:$D$204))),"")</f>
        <v/>
      </c>
      <c r="R769" s="182" t="str">
        <f>IFERROR(LOOKUP(2,1/((D_Points!$A$5:$A$204&lt;&gt;"")*(D_Points!$A$5:$A$204&gt;=$B769)*(D_Points!$A$5:$A$204&lt;$B769+P_Interval)*(RIGHT(UPPER(TRIM(D_Points!$B$5:$B$204)),8)="_CULVERT")),IF(LEFT(UPPER(TRIM(D_Points!$B$5:$B$204)),2)="EX",1,IF(LEFT(UPPER(TRIM(D_Points!$B$5:$B$204)),2)="PR",2,3))),"")</f>
        <v/>
      </c>
      <c r="S769" s="182" t="str">
        <f>IFERROR(LOOKUP(2,1/((D_Points!$A$5:$A$204&lt;&gt;"")*(D_Points!$A$5:$A$204&gt;=$B769)*(D_Points!$A$5:$A$204&lt;$B769+P_Interval)*(RIGHT(UPPER(TRIM(D_Points!$B$5:$B$204)),7)="_BRIDGE")),IF(LEFT(UPPER(TRIM(D_Points!$B$5:$B$204)),2)="EX",1,IF(LEFT(UPPER(TRIM(D_Points!$B$5:$B$204)),2)="PR",2,2))),"")</f>
        <v/>
      </c>
      <c r="T769" s="181" t="str">
        <f>IFERROR(LOOKUP(2,1/((B_Drainage!$A$5:$A$204&lt;&gt;"")*(B_Drainage!$A$5:$A$204&lt;=$B769)*(B_Drainage!$B$5:$B$204&gt;$B769)*(B_Drainage!$E$5:$E$204&lt;&gt;"")),IF(B_Drainage!$E$5:$E$204="-","",1)),"")</f>
        <v/>
      </c>
      <c r="U769" s="181" t="str">
        <f>IFERROR(LOOKUP(2,1/((B_Drainage!$A$5:$A$204&lt;&gt;"")*(B_Drainage!$A$5:$A$204&lt;=$B769)*(B_Drainage!$B$5:$B$204&gt;$B769)*(B_Drainage!$E$5:$E$204&lt;&gt;"")),IF(B_Drainage!$E$5:$E$204="-","",B_Drainage!$E$5:$E$204)),"")</f>
        <v/>
      </c>
      <c r="V769" s="181" t="str">
        <f>IFERROR(LOOKUP(2,1/((B_Drainage!$A$5:$A$204&lt;&gt;"")*(B_Drainage!$A$5:$A$204&lt;=$B769)*(B_Drainage!$B$5:$B$204&gt;$B769)*(B_Drainage!$F$5:$F$204&lt;&gt;"")),IF(B_Drainage!$F$5:$F$204="-","",1)),"")</f>
        <v/>
      </c>
      <c r="W769" s="181" t="str">
        <f>IFERROR(LOOKUP(2,1/((B_Drainage!$A$5:$A$204&lt;&gt;"")*(B_Drainage!$A$5:$A$204&lt;=$B769)*(B_Drainage!$B$5:$B$204&gt;$B769)*(B_Drainage!$F$5:$F$204&lt;&gt;"")),IF(B_Drainage!$F$5:$F$204="-","",B_Drainage!$F$5:$F$204)),"")</f>
        <v/>
      </c>
      <c r="X769" s="181" t="str">
        <f>IFERROR(LOOKUP(2,1/((B_Drainage!$A$5:$A$204&lt;&gt;"")*(B_Drainage!$A$5:$A$204&lt;=$B769)*(B_Drainage!$B$5:$B$204&gt;$B769)*(B_Drainage!$G$5:$G$204&lt;&gt;"")),IF(UPPER(B_Drainage!$G$5:$G$204)="Y",1,"")),"")</f>
        <v/>
      </c>
      <c r="Y769" s="181" t="str">
        <f>IFERROR(LOOKUP(2,1/((B_Drainage!$A$5:$A$204&lt;&gt;"")*(B_Drainage!$A$5:$A$204&lt;=$B769)*(B_Drainage!$B$5:$B$204&gt;$B769)*(B_Drainage!$H$5:$H$204&lt;&gt;"")),IF(UPPER(B_Drainage!$H$5:$H$204)="Y",1,"")),"")</f>
        <v/>
      </c>
      <c r="Z769" s="181" t="str">
        <f>IFERROR(LOOKUP(2,1/((B_Drainage!$A$5:$A$204&lt;&gt;"")*(B_Drainage!$A$5:$A$204&lt;=$B769)*(B_Drainage!$B$5:$B$204&gt;$B769)*(B_Drainage!$I$5:$I$204&lt;&gt;"")),IF(UPPER(B_Drainage!$I$5:$I$204)="Y",1,"")),"")</f>
        <v/>
      </c>
      <c r="AA769" s="181" t="str">
        <f>IFERROR(LOOKUP(2,1/((B_Drainage!$A$5:$A$204&lt;&gt;"")*(B_Drainage!$A$5:$A$204&lt;=$B769)*(B_Drainage!$B$5:$B$204&gt;$B769)*(B_Drainage!$J$5:$J$204&lt;&gt;"")),IF(UPPER(B_Drainage!$J$5:$J$204)="Y",1,"")),"")</f>
        <v/>
      </c>
      <c r="AB769" s="182" t="str">
        <f>IFERROR(LOOKUP(2,1/((B_Drainage!$A$5:$A$204&lt;&gt;"")*(B_Drainage!$A$5:$A$204&lt;=$B769)*(B_Drainage!$B$5:$B$204&gt;$B769)*(B_Drainage!$K$5:$K$204&lt;&gt;"")),IF(B_Drainage!$K$5:$K$204="-","",B_Drainage!$K$5:$K$204)),"")</f>
        <v/>
      </c>
      <c r="AC769" s="182" t="str">
        <f>IFERROR(LOOKUP(2,1/((B_Drainage!$A$5:$A$204&lt;&gt;"")*(B_Drainage!$A$5:$A$204&lt;=$B769)*(B_Drainage!$B$5:$B$204&gt;$B769)*(B_Drainage!$L$5:$L$204&lt;&gt;"")),IF(B_Drainage!$L$5:$L$204="-","",B_Drainage!$L$5:$L$204)),"")</f>
        <v/>
      </c>
      <c r="AD769" s="182" t="str">
        <f>IFERROR(LOOKUP(2,1/((D_Points!$A$5:$A$204&lt;&gt;"")*(D_Points!$A$5:$A$204&gt;=$B769)*(D_Points!$A$5:$A$204&lt;$B769+P_Interval)*(UPPER(TRIM(D_Points!$B$5:$B$204))="TURNOUT_L")*(D_Points!$H$5:$H$204&lt;&gt;"")),D_Points!$H$5:$H$204),"")</f>
        <v/>
      </c>
      <c r="AE769" s="182" t="str">
        <f>IFERROR(LOOKUP(2,1/((D_Points!$A$5:$A$204&lt;&gt;"")*(D_Points!$A$5:$A$204&gt;=$B769)*(D_Points!$A$5:$A$204&lt;$B769+P_Interval)*(UPPER(TRIM(D_Points!$B$5:$B$204))="TURNOUT_R")*(D_Points!$H$5:$H$204&lt;&gt;"")),D_Points!$H$5:$H$204),"")</f>
        <v/>
      </c>
      <c r="AF769" s="181" t="str">
        <f>IFERROR(LOOKUP(2,1/((B_Drainage!$A$5:$A$204&lt;&gt;"")*(B_Drainage!$A$5:$A$204&lt;=$B769)*(B_Drainage!$B$5:$B$204&gt;$B769)*(B_Drainage!$M$5:$M$204&lt;&gt;"")),IF(UPPER(B_Drainage!$M$5:$M$204)="Y",1,"")),"")</f>
        <v/>
      </c>
      <c r="AG769" s="181" t="str">
        <f>IFERROR(LOOKUP(2,1/((B_Drainage!$A$5:$A$204&lt;&gt;"")*(B_Drainage!$A$5:$A$204&lt;=$B769)*(B_Drainage!$B$5:$B$204&gt;$B769)*(B_Drainage!$N$5:$N$204&lt;&gt;"")),IF(UPPER(B_Drainage!$N$5:$N$204)="Y",1,"")),"")</f>
        <v/>
      </c>
      <c r="AH769" s="181" t="str">
        <f t="shared" si="88"/>
        <v/>
      </c>
      <c r="AI769" s="181" t="str">
        <f t="shared" si="89"/>
        <v/>
      </c>
      <c r="AJ769" s="181" t="str">
        <f t="shared" si="90"/>
        <v/>
      </c>
      <c r="AK769" s="181" t="str">
        <f t="shared" si="91"/>
        <v/>
      </c>
      <c r="AL769" s="181" t="str">
        <f t="shared" si="92"/>
        <v/>
      </c>
      <c r="AM769" s="181" t="str">
        <f t="shared" si="93"/>
        <v/>
      </c>
      <c r="AN769" s="181" t="str">
        <f t="shared" si="94"/>
        <v/>
      </c>
      <c r="AO769" s="192" t="str">
        <f t="shared" si="95"/>
        <v/>
      </c>
      <c r="AQ769" t="str">
        <f>IFERROR(LOOKUP(2,1/((C_Pavement!$A$5:$A$204&lt;&gt;"")*(C_Pavement!$A$5:$A$204&lt;=$B769)*(C_Pavement!$B$5:$B$204&gt;$B769)*(C_Pavement!$C$5:$C$204&lt;&gt;"")),ROW(C_Pavement!$C$5:$C$204)-4),"")</f>
        <v/>
      </c>
      <c r="AR769" t="str">
        <f>IF($AQ769="","",UPPER(TRIM(INDEX(C_Pavement!$C$5:$C$204,$AQ769))))</f>
        <v/>
      </c>
      <c r="AS769" t="str">
        <f>IF($AR769="","",IFERROR(MATCH($AR769,E_Rules!$A$5:$A$9,0),""))</f>
        <v/>
      </c>
      <c r="AT769" t="str">
        <f>IF($AQ769="","",IF(INDEX(C_Pavement!$D$5:$D$204,$AQ769)&lt;&gt;"",UPPER(TRIM(INDEX(C_Pavement!$D$5:$D$204,$AQ769))),IF($AS769="","",INDEX(E_Rules!$C$5:$C$9,$AS769))))</f>
        <v/>
      </c>
      <c r="AU769" t="str">
        <f>IF($AQ769="","",IF(INDEX(C_Pavement!$E$5:$E$204,$AQ769)&lt;&gt;"",IF(INDEX(C_Pavement!$E$5:$E$204,$AQ769)="-","",INDEX(C_Pavement!$E$5:$E$204,$AQ769)),IF($AS769="","",INDEX(E_Rules!$D$5:$D$9,$AS769))))</f>
        <v/>
      </c>
      <c r="AV769" t="str">
        <f>IF($AQ769="","",IF(INDEX(C_Pavement!$F$5:$F$204,$AQ769)&lt;&gt;"",IF(INDEX(C_Pavement!$F$5:$F$204,$AQ769)="-","",INDEX(C_Pavement!$F$5:$F$204,$AQ769)),IF($AS769="","",INDEX(E_Rules!$E$5:$E$9,$AS769))))</f>
        <v/>
      </c>
      <c r="AW769" t="str">
        <f>IF($AQ769="","",IF(INDEX(C_Pavement!$G$5:$G$204,$AQ769)&lt;&gt;"",IF(INDEX(C_Pavement!$G$5:$G$204,$AQ769)="-","",INDEX(C_Pavement!$G$5:$G$204,$AQ769)),IF($AS769="","",INDEX(E_Rules!$F$5:$F$9,$AS769))))</f>
        <v/>
      </c>
      <c r="AX769" t="str">
        <f>IF($AQ769="","",IF(INDEX(C_Pavement!$H$5:$H$204,$AQ769)&lt;&gt;"",IF(INDEX(C_Pavement!$H$5:$H$204,$AQ769)="-","",INDEX(C_Pavement!$H$5:$H$204,$AQ769)),IF($AS769="","",INDEX(E_Rules!$G$5:$G$9,$AS769))))</f>
        <v/>
      </c>
      <c r="AY769" t="str">
        <f>IF($AQ769="","",IF(INDEX(C_Pavement!$I$5:$I$204,$AQ769)&lt;&gt;"",IF(INDEX(C_Pavement!$I$5:$I$204,$AQ769)="-","",INDEX(C_Pavement!$I$5:$I$204,$AQ769)),IF($AS769="","",INDEX(E_Rules!$H$5:$H$9,$AS769))))</f>
        <v/>
      </c>
    </row>
    <row r="770" spans="1:51" ht="15.75" customHeight="1" x14ac:dyDescent="0.3">
      <c r="A770" s="189">
        <v>765</v>
      </c>
      <c r="B770" s="180">
        <v>38200</v>
      </c>
      <c r="C770" s="180" t="s">
        <v>1076</v>
      </c>
      <c r="D770" s="181" t="str">
        <f>IFERROR(LOOKUP(2,1/((A_Corridor!$A$5:$A$204&lt;&gt;"")*(A_Corridor!$A$5:$A$204&lt;=$B770)*(A_Corridor!$B$5:$B$204&gt;$B770)*(A_Corridor!$C$5:$C$204&lt;&gt;"")),IF(UPPER(A_Corridor!$C$5:$C$204)="Y",1,"")),"")</f>
        <v/>
      </c>
      <c r="E770" s="181" t="str">
        <f>IFERROR(LOOKUP(2,1/((A_Corridor!$A$5:$A$204&lt;&gt;"")*(A_Corridor!$A$5:$A$204&lt;=$B770)*(A_Corridor!$B$5:$B$204&gt;$B770)*(A_Corridor!$D$5:$D$204&lt;&gt;"")),IF(A_Corridor!$D$5:$D$204="-","",UPPER(A_Corridor!$D$5:$D$204))),"")</f>
        <v/>
      </c>
      <c r="F770" s="181" t="str">
        <f>IFERROR(LOOKUP(2,1/((A_Corridor!$A$5:$A$204&lt;&gt;"")*(A_Corridor!$A$5:$A$204&lt;=$B770)*(A_Corridor!$B$5:$B$204&gt;$B770)*(A_Corridor!$E$5:$E$204&lt;&gt;"")),IF(A_Corridor!$E$5:$E$204="-","",1)),"")</f>
        <v/>
      </c>
      <c r="G770" s="182" t="str">
        <f>IFERROR(LOOKUP(2,1/((A_Corridor!$A$5:$A$204&lt;&gt;"")*(A_Corridor!$A$5:$A$204&lt;=$B770)*(A_Corridor!$B$5:$B$204&gt;$B770)*(A_Corridor!$E$5:$E$204&lt;&gt;"")),IF(A_Corridor!$E$5:$E$204="-","",A_Corridor!$E$5:$E$204)),"")</f>
        <v/>
      </c>
      <c r="H770" s="182" t="str">
        <f>IFERROR(LOOKUP(2,1/((D_Points!$A$5:$A$204&lt;&gt;"")*(D_Points!$A$5:$A$204&gt;=$B770)*(D_Points!$A$5:$A$204&lt;$B770+P_Interval)*(UPPER(TRIM(D_Points!$B$5:$B$204))="GULLY")*(D_Points!$H$5:$H$204&lt;&gt;"")),D_Points!$H$5:$H$204),"")</f>
        <v/>
      </c>
      <c r="I770" s="181" t="str">
        <f>IFERROR(LOOKUP(2,1/((A_Corridor!$A$5:$A$204&lt;&gt;"")*(A_Corridor!$A$5:$A$204&lt;=$B770)*(A_Corridor!$B$5:$B$204&gt;$B770)*(A_Corridor!$F$5:$F$204&lt;&gt;"")),IF(A_Corridor!$F$5:$F$204="-","",1)),"")</f>
        <v/>
      </c>
      <c r="J770" s="182" t="str">
        <f>IFERROR(LOOKUP(2,1/((A_Corridor!$A$5:$A$204&lt;&gt;"")*(A_Corridor!$A$5:$A$204&lt;=$B770)*(A_Corridor!$B$5:$B$204&gt;$B770)*(A_Corridor!$F$5:$F$204&lt;&gt;"")),IF(A_Corridor!$F$5:$F$204="-","",A_Corridor!$F$5:$F$204)),"")</f>
        <v/>
      </c>
      <c r="K770" s="182" t="str">
        <f>IFERROR(LOOKUP(2,1/((A_Corridor!$A$5:$A$204&lt;&gt;"")*(A_Corridor!$A$5:$A$204&lt;=$B770)*(A_Corridor!$B$5:$B$204&gt;$B770)*(A_Corridor!$G$5:$G$204&lt;&gt;"")),IF(A_Corridor!$G$5:$G$204="-","",A_Corridor!$G$5:$G$204)),"")</f>
        <v/>
      </c>
      <c r="L770" s="181" t="str">
        <f>IFERROR(LOOKUP(2,1/((A_Corridor!$A$5:$A$204&lt;&gt;"")*(A_Corridor!$A$5:$A$204&lt;=$B770)*(A_Corridor!$B$5:$B$204&gt;$B770)*(A_Corridor!$H$5:$H$204&lt;&gt;"")),IF(A_Corridor!$H$5:$H$204="-","",1)),"")</f>
        <v/>
      </c>
      <c r="M770" s="182" t="str">
        <f>IFERROR(LOOKUP(2,1/((A_Corridor!$A$5:$A$204&lt;&gt;"")*(A_Corridor!$A$5:$A$204&lt;=$B770)*(A_Corridor!$B$5:$B$204&gt;$B770)*(A_Corridor!$H$5:$H$204&lt;&gt;"")),IF(A_Corridor!$H$5:$H$204="-","",A_Corridor!$H$5:$H$204)),"")</f>
        <v/>
      </c>
      <c r="N770" s="182" t="str">
        <f>IFERROR(LOOKUP(2,1/((A_Corridor!$A$5:$A$204&lt;&gt;"")*(A_Corridor!$A$5:$A$204&lt;=$B770)*(A_Corridor!$B$5:$B$204&gt;$B770)*(A_Corridor!$I$5:$I$204&lt;&gt;"")),IF(A_Corridor!$I$5:$I$204="-","",A_Corridor!$I$5:$I$204)),"")</f>
        <v/>
      </c>
      <c r="O770" s="182" t="str">
        <f>IFERROR(LOOKUP(2,1/((D_Points!$A$5:$A$204&lt;&gt;"")*(D_Points!$A$5:$A$204&gt;=$B770)*(D_Points!$A$5:$A$204&lt;$B770+P_Interval)*(UPPER(TRIM(D_Points!$B$5:$B$204))="PITCHING")*(D_Points!$H$5:$H$204&lt;&gt;"")),D_Points!$H$5:$H$204),"")</f>
        <v/>
      </c>
      <c r="P770" s="181" t="str">
        <f>IFERROR(LOOKUP(2,1/((B_Drainage!$A$5:$A$204&lt;&gt;"")*(B_Drainage!$A$5:$A$204&lt;=$B770)*(B_Drainage!$B$5:$B$204&gt;$B770)*(B_Drainage!$C$5:$C$204&lt;&gt;"")),IF(B_Drainage!$C$5:$C$204="-","",UPPER(B_Drainage!$C$5:$C$204))),"")</f>
        <v/>
      </c>
      <c r="Q770" s="181" t="str">
        <f>IFERROR(LOOKUP(2,1/((B_Drainage!$A$5:$A$204&lt;&gt;"")*(B_Drainage!$A$5:$A$204&lt;=$B770)*(B_Drainage!$B$5:$B$204&gt;$B770)*(B_Drainage!$D$5:$D$204&lt;&gt;"")),IF(B_Drainage!$D$5:$D$204="-","",UPPER(B_Drainage!$D$5:$D$204))),"")</f>
        <v/>
      </c>
      <c r="R770" s="182" t="str">
        <f>IFERROR(LOOKUP(2,1/((D_Points!$A$5:$A$204&lt;&gt;"")*(D_Points!$A$5:$A$204&gt;=$B770)*(D_Points!$A$5:$A$204&lt;$B770+P_Interval)*(RIGHT(UPPER(TRIM(D_Points!$B$5:$B$204)),8)="_CULVERT")),IF(LEFT(UPPER(TRIM(D_Points!$B$5:$B$204)),2)="EX",1,IF(LEFT(UPPER(TRIM(D_Points!$B$5:$B$204)),2)="PR",2,3))),"")</f>
        <v/>
      </c>
      <c r="S770" s="182" t="str">
        <f>IFERROR(LOOKUP(2,1/((D_Points!$A$5:$A$204&lt;&gt;"")*(D_Points!$A$5:$A$204&gt;=$B770)*(D_Points!$A$5:$A$204&lt;$B770+P_Interval)*(RIGHT(UPPER(TRIM(D_Points!$B$5:$B$204)),7)="_BRIDGE")),IF(LEFT(UPPER(TRIM(D_Points!$B$5:$B$204)),2)="EX",1,IF(LEFT(UPPER(TRIM(D_Points!$B$5:$B$204)),2)="PR",2,2))),"")</f>
        <v/>
      </c>
      <c r="T770" s="181" t="str">
        <f>IFERROR(LOOKUP(2,1/((B_Drainage!$A$5:$A$204&lt;&gt;"")*(B_Drainage!$A$5:$A$204&lt;=$B770)*(B_Drainage!$B$5:$B$204&gt;$B770)*(B_Drainage!$E$5:$E$204&lt;&gt;"")),IF(B_Drainage!$E$5:$E$204="-","",1)),"")</f>
        <v/>
      </c>
      <c r="U770" s="181" t="str">
        <f>IFERROR(LOOKUP(2,1/((B_Drainage!$A$5:$A$204&lt;&gt;"")*(B_Drainage!$A$5:$A$204&lt;=$B770)*(B_Drainage!$B$5:$B$204&gt;$B770)*(B_Drainage!$E$5:$E$204&lt;&gt;"")),IF(B_Drainage!$E$5:$E$204="-","",B_Drainage!$E$5:$E$204)),"")</f>
        <v/>
      </c>
      <c r="V770" s="181" t="str">
        <f>IFERROR(LOOKUP(2,1/((B_Drainage!$A$5:$A$204&lt;&gt;"")*(B_Drainage!$A$5:$A$204&lt;=$B770)*(B_Drainage!$B$5:$B$204&gt;$B770)*(B_Drainage!$F$5:$F$204&lt;&gt;"")),IF(B_Drainage!$F$5:$F$204="-","",1)),"")</f>
        <v/>
      </c>
      <c r="W770" s="181" t="str">
        <f>IFERROR(LOOKUP(2,1/((B_Drainage!$A$5:$A$204&lt;&gt;"")*(B_Drainage!$A$5:$A$204&lt;=$B770)*(B_Drainage!$B$5:$B$204&gt;$B770)*(B_Drainage!$F$5:$F$204&lt;&gt;"")),IF(B_Drainage!$F$5:$F$204="-","",B_Drainage!$F$5:$F$204)),"")</f>
        <v/>
      </c>
      <c r="X770" s="181" t="str">
        <f>IFERROR(LOOKUP(2,1/((B_Drainage!$A$5:$A$204&lt;&gt;"")*(B_Drainage!$A$5:$A$204&lt;=$B770)*(B_Drainage!$B$5:$B$204&gt;$B770)*(B_Drainage!$G$5:$G$204&lt;&gt;"")),IF(UPPER(B_Drainage!$G$5:$G$204)="Y",1,"")),"")</f>
        <v/>
      </c>
      <c r="Y770" s="181" t="str">
        <f>IFERROR(LOOKUP(2,1/((B_Drainage!$A$5:$A$204&lt;&gt;"")*(B_Drainage!$A$5:$A$204&lt;=$B770)*(B_Drainage!$B$5:$B$204&gt;$B770)*(B_Drainage!$H$5:$H$204&lt;&gt;"")),IF(UPPER(B_Drainage!$H$5:$H$204)="Y",1,"")),"")</f>
        <v/>
      </c>
      <c r="Z770" s="181" t="str">
        <f>IFERROR(LOOKUP(2,1/((B_Drainage!$A$5:$A$204&lt;&gt;"")*(B_Drainage!$A$5:$A$204&lt;=$B770)*(B_Drainage!$B$5:$B$204&gt;$B770)*(B_Drainage!$I$5:$I$204&lt;&gt;"")),IF(UPPER(B_Drainage!$I$5:$I$204)="Y",1,"")),"")</f>
        <v/>
      </c>
      <c r="AA770" s="181" t="str">
        <f>IFERROR(LOOKUP(2,1/((B_Drainage!$A$5:$A$204&lt;&gt;"")*(B_Drainage!$A$5:$A$204&lt;=$B770)*(B_Drainage!$B$5:$B$204&gt;$B770)*(B_Drainage!$J$5:$J$204&lt;&gt;"")),IF(UPPER(B_Drainage!$J$5:$J$204)="Y",1,"")),"")</f>
        <v/>
      </c>
      <c r="AB770" s="182" t="str">
        <f>IFERROR(LOOKUP(2,1/((B_Drainage!$A$5:$A$204&lt;&gt;"")*(B_Drainage!$A$5:$A$204&lt;=$B770)*(B_Drainage!$B$5:$B$204&gt;$B770)*(B_Drainage!$K$5:$K$204&lt;&gt;"")),IF(B_Drainage!$K$5:$K$204="-","",B_Drainage!$K$5:$K$204)),"")</f>
        <v/>
      </c>
      <c r="AC770" s="182" t="str">
        <f>IFERROR(LOOKUP(2,1/((B_Drainage!$A$5:$A$204&lt;&gt;"")*(B_Drainage!$A$5:$A$204&lt;=$B770)*(B_Drainage!$B$5:$B$204&gt;$B770)*(B_Drainage!$L$5:$L$204&lt;&gt;"")),IF(B_Drainage!$L$5:$L$204="-","",B_Drainage!$L$5:$L$204)),"")</f>
        <v/>
      </c>
      <c r="AD770" s="182" t="str">
        <f>IFERROR(LOOKUP(2,1/((D_Points!$A$5:$A$204&lt;&gt;"")*(D_Points!$A$5:$A$204&gt;=$B770)*(D_Points!$A$5:$A$204&lt;$B770+P_Interval)*(UPPER(TRIM(D_Points!$B$5:$B$204))="TURNOUT_L")*(D_Points!$H$5:$H$204&lt;&gt;"")),D_Points!$H$5:$H$204),"")</f>
        <v/>
      </c>
      <c r="AE770" s="182" t="str">
        <f>IFERROR(LOOKUP(2,1/((D_Points!$A$5:$A$204&lt;&gt;"")*(D_Points!$A$5:$A$204&gt;=$B770)*(D_Points!$A$5:$A$204&lt;$B770+P_Interval)*(UPPER(TRIM(D_Points!$B$5:$B$204))="TURNOUT_R")*(D_Points!$H$5:$H$204&lt;&gt;"")),D_Points!$H$5:$H$204),"")</f>
        <v/>
      </c>
      <c r="AF770" s="181" t="str">
        <f>IFERROR(LOOKUP(2,1/((B_Drainage!$A$5:$A$204&lt;&gt;"")*(B_Drainage!$A$5:$A$204&lt;=$B770)*(B_Drainage!$B$5:$B$204&gt;$B770)*(B_Drainage!$M$5:$M$204&lt;&gt;"")),IF(UPPER(B_Drainage!$M$5:$M$204)="Y",1,"")),"")</f>
        <v/>
      </c>
      <c r="AG770" s="181" t="str">
        <f>IFERROR(LOOKUP(2,1/((B_Drainage!$A$5:$A$204&lt;&gt;"")*(B_Drainage!$A$5:$A$204&lt;=$B770)*(B_Drainage!$B$5:$B$204&gt;$B770)*(B_Drainage!$N$5:$N$204&lt;&gt;"")),IF(UPPER(B_Drainage!$N$5:$N$204)="Y",1,"")),"")</f>
        <v/>
      </c>
      <c r="AH770" s="181" t="str">
        <f t="shared" si="88"/>
        <v/>
      </c>
      <c r="AI770" s="181" t="str">
        <f t="shared" si="89"/>
        <v/>
      </c>
      <c r="AJ770" s="181" t="str">
        <f t="shared" si="90"/>
        <v/>
      </c>
      <c r="AK770" s="181" t="str">
        <f t="shared" si="91"/>
        <v/>
      </c>
      <c r="AL770" s="181" t="str">
        <f t="shared" si="92"/>
        <v/>
      </c>
      <c r="AM770" s="181" t="str">
        <f t="shared" si="93"/>
        <v/>
      </c>
      <c r="AN770" s="181" t="str">
        <f t="shared" si="94"/>
        <v/>
      </c>
      <c r="AO770" s="192" t="str">
        <f t="shared" si="95"/>
        <v/>
      </c>
      <c r="AQ770" t="str">
        <f>IFERROR(LOOKUP(2,1/((C_Pavement!$A$5:$A$204&lt;&gt;"")*(C_Pavement!$A$5:$A$204&lt;=$B770)*(C_Pavement!$B$5:$B$204&gt;$B770)*(C_Pavement!$C$5:$C$204&lt;&gt;"")),ROW(C_Pavement!$C$5:$C$204)-4),"")</f>
        <v/>
      </c>
      <c r="AR770" t="str">
        <f>IF($AQ770="","",UPPER(TRIM(INDEX(C_Pavement!$C$5:$C$204,$AQ770))))</f>
        <v/>
      </c>
      <c r="AS770" t="str">
        <f>IF($AR770="","",IFERROR(MATCH($AR770,E_Rules!$A$5:$A$9,0),""))</f>
        <v/>
      </c>
      <c r="AT770" t="str">
        <f>IF($AQ770="","",IF(INDEX(C_Pavement!$D$5:$D$204,$AQ770)&lt;&gt;"",UPPER(TRIM(INDEX(C_Pavement!$D$5:$D$204,$AQ770))),IF($AS770="","",INDEX(E_Rules!$C$5:$C$9,$AS770))))</f>
        <v/>
      </c>
      <c r="AU770" t="str">
        <f>IF($AQ770="","",IF(INDEX(C_Pavement!$E$5:$E$204,$AQ770)&lt;&gt;"",IF(INDEX(C_Pavement!$E$5:$E$204,$AQ770)="-","",INDEX(C_Pavement!$E$5:$E$204,$AQ770)),IF($AS770="","",INDEX(E_Rules!$D$5:$D$9,$AS770))))</f>
        <v/>
      </c>
      <c r="AV770" t="str">
        <f>IF($AQ770="","",IF(INDEX(C_Pavement!$F$5:$F$204,$AQ770)&lt;&gt;"",IF(INDEX(C_Pavement!$F$5:$F$204,$AQ770)="-","",INDEX(C_Pavement!$F$5:$F$204,$AQ770)),IF($AS770="","",INDEX(E_Rules!$E$5:$E$9,$AS770))))</f>
        <v/>
      </c>
      <c r="AW770" t="str">
        <f>IF($AQ770="","",IF(INDEX(C_Pavement!$G$5:$G$204,$AQ770)&lt;&gt;"",IF(INDEX(C_Pavement!$G$5:$G$204,$AQ770)="-","",INDEX(C_Pavement!$G$5:$G$204,$AQ770)),IF($AS770="","",INDEX(E_Rules!$F$5:$F$9,$AS770))))</f>
        <v/>
      </c>
      <c r="AX770" t="str">
        <f>IF($AQ770="","",IF(INDEX(C_Pavement!$H$5:$H$204,$AQ770)&lt;&gt;"",IF(INDEX(C_Pavement!$H$5:$H$204,$AQ770)="-","",INDEX(C_Pavement!$H$5:$H$204,$AQ770)),IF($AS770="","",INDEX(E_Rules!$G$5:$G$9,$AS770))))</f>
        <v/>
      </c>
      <c r="AY770" t="str">
        <f>IF($AQ770="","",IF(INDEX(C_Pavement!$I$5:$I$204,$AQ770)&lt;&gt;"",IF(INDEX(C_Pavement!$I$5:$I$204,$AQ770)="-","",INDEX(C_Pavement!$I$5:$I$204,$AQ770)),IF($AS770="","",INDEX(E_Rules!$H$5:$H$9,$AS770))))</f>
        <v/>
      </c>
    </row>
    <row r="771" spans="1:51" ht="15.75" customHeight="1" x14ac:dyDescent="0.3">
      <c r="A771" s="189">
        <v>766</v>
      </c>
      <c r="B771" s="180">
        <v>38250</v>
      </c>
      <c r="C771" s="180" t="s">
        <v>1077</v>
      </c>
      <c r="D771" s="181" t="str">
        <f>IFERROR(LOOKUP(2,1/((A_Corridor!$A$5:$A$204&lt;&gt;"")*(A_Corridor!$A$5:$A$204&lt;=$B771)*(A_Corridor!$B$5:$B$204&gt;$B771)*(A_Corridor!$C$5:$C$204&lt;&gt;"")),IF(UPPER(A_Corridor!$C$5:$C$204)="Y",1,"")),"")</f>
        <v/>
      </c>
      <c r="E771" s="181" t="str">
        <f>IFERROR(LOOKUP(2,1/((A_Corridor!$A$5:$A$204&lt;&gt;"")*(A_Corridor!$A$5:$A$204&lt;=$B771)*(A_Corridor!$B$5:$B$204&gt;$B771)*(A_Corridor!$D$5:$D$204&lt;&gt;"")),IF(A_Corridor!$D$5:$D$204="-","",UPPER(A_Corridor!$D$5:$D$204))),"")</f>
        <v/>
      </c>
      <c r="F771" s="181" t="str">
        <f>IFERROR(LOOKUP(2,1/((A_Corridor!$A$5:$A$204&lt;&gt;"")*(A_Corridor!$A$5:$A$204&lt;=$B771)*(A_Corridor!$B$5:$B$204&gt;$B771)*(A_Corridor!$E$5:$E$204&lt;&gt;"")),IF(A_Corridor!$E$5:$E$204="-","",1)),"")</f>
        <v/>
      </c>
      <c r="G771" s="182" t="str">
        <f>IFERROR(LOOKUP(2,1/((A_Corridor!$A$5:$A$204&lt;&gt;"")*(A_Corridor!$A$5:$A$204&lt;=$B771)*(A_Corridor!$B$5:$B$204&gt;$B771)*(A_Corridor!$E$5:$E$204&lt;&gt;"")),IF(A_Corridor!$E$5:$E$204="-","",A_Corridor!$E$5:$E$204)),"")</f>
        <v/>
      </c>
      <c r="H771" s="182" t="str">
        <f>IFERROR(LOOKUP(2,1/((D_Points!$A$5:$A$204&lt;&gt;"")*(D_Points!$A$5:$A$204&gt;=$B771)*(D_Points!$A$5:$A$204&lt;$B771+P_Interval)*(UPPER(TRIM(D_Points!$B$5:$B$204))="GULLY")*(D_Points!$H$5:$H$204&lt;&gt;"")),D_Points!$H$5:$H$204),"")</f>
        <v/>
      </c>
      <c r="I771" s="181" t="str">
        <f>IFERROR(LOOKUP(2,1/((A_Corridor!$A$5:$A$204&lt;&gt;"")*(A_Corridor!$A$5:$A$204&lt;=$B771)*(A_Corridor!$B$5:$B$204&gt;$B771)*(A_Corridor!$F$5:$F$204&lt;&gt;"")),IF(A_Corridor!$F$5:$F$204="-","",1)),"")</f>
        <v/>
      </c>
      <c r="J771" s="182" t="str">
        <f>IFERROR(LOOKUP(2,1/((A_Corridor!$A$5:$A$204&lt;&gt;"")*(A_Corridor!$A$5:$A$204&lt;=$B771)*(A_Corridor!$B$5:$B$204&gt;$B771)*(A_Corridor!$F$5:$F$204&lt;&gt;"")),IF(A_Corridor!$F$5:$F$204="-","",A_Corridor!$F$5:$F$204)),"")</f>
        <v/>
      </c>
      <c r="K771" s="182" t="str">
        <f>IFERROR(LOOKUP(2,1/((A_Corridor!$A$5:$A$204&lt;&gt;"")*(A_Corridor!$A$5:$A$204&lt;=$B771)*(A_Corridor!$B$5:$B$204&gt;$B771)*(A_Corridor!$G$5:$G$204&lt;&gt;"")),IF(A_Corridor!$G$5:$G$204="-","",A_Corridor!$G$5:$G$204)),"")</f>
        <v/>
      </c>
      <c r="L771" s="181" t="str">
        <f>IFERROR(LOOKUP(2,1/((A_Corridor!$A$5:$A$204&lt;&gt;"")*(A_Corridor!$A$5:$A$204&lt;=$B771)*(A_Corridor!$B$5:$B$204&gt;$B771)*(A_Corridor!$H$5:$H$204&lt;&gt;"")),IF(A_Corridor!$H$5:$H$204="-","",1)),"")</f>
        <v/>
      </c>
      <c r="M771" s="182" t="str">
        <f>IFERROR(LOOKUP(2,1/((A_Corridor!$A$5:$A$204&lt;&gt;"")*(A_Corridor!$A$5:$A$204&lt;=$B771)*(A_Corridor!$B$5:$B$204&gt;$B771)*(A_Corridor!$H$5:$H$204&lt;&gt;"")),IF(A_Corridor!$H$5:$H$204="-","",A_Corridor!$H$5:$H$204)),"")</f>
        <v/>
      </c>
      <c r="N771" s="182" t="str">
        <f>IFERROR(LOOKUP(2,1/((A_Corridor!$A$5:$A$204&lt;&gt;"")*(A_Corridor!$A$5:$A$204&lt;=$B771)*(A_Corridor!$B$5:$B$204&gt;$B771)*(A_Corridor!$I$5:$I$204&lt;&gt;"")),IF(A_Corridor!$I$5:$I$204="-","",A_Corridor!$I$5:$I$204)),"")</f>
        <v/>
      </c>
      <c r="O771" s="182" t="str">
        <f>IFERROR(LOOKUP(2,1/((D_Points!$A$5:$A$204&lt;&gt;"")*(D_Points!$A$5:$A$204&gt;=$B771)*(D_Points!$A$5:$A$204&lt;$B771+P_Interval)*(UPPER(TRIM(D_Points!$B$5:$B$204))="PITCHING")*(D_Points!$H$5:$H$204&lt;&gt;"")),D_Points!$H$5:$H$204),"")</f>
        <v/>
      </c>
      <c r="P771" s="181" t="str">
        <f>IFERROR(LOOKUP(2,1/((B_Drainage!$A$5:$A$204&lt;&gt;"")*(B_Drainage!$A$5:$A$204&lt;=$B771)*(B_Drainage!$B$5:$B$204&gt;$B771)*(B_Drainage!$C$5:$C$204&lt;&gt;"")),IF(B_Drainage!$C$5:$C$204="-","",UPPER(B_Drainage!$C$5:$C$204))),"")</f>
        <v/>
      </c>
      <c r="Q771" s="181" t="str">
        <f>IFERROR(LOOKUP(2,1/((B_Drainage!$A$5:$A$204&lt;&gt;"")*(B_Drainage!$A$5:$A$204&lt;=$B771)*(B_Drainage!$B$5:$B$204&gt;$B771)*(B_Drainage!$D$5:$D$204&lt;&gt;"")),IF(B_Drainage!$D$5:$D$204="-","",UPPER(B_Drainage!$D$5:$D$204))),"")</f>
        <v/>
      </c>
      <c r="R771" s="182" t="str">
        <f>IFERROR(LOOKUP(2,1/((D_Points!$A$5:$A$204&lt;&gt;"")*(D_Points!$A$5:$A$204&gt;=$B771)*(D_Points!$A$5:$A$204&lt;$B771+P_Interval)*(RIGHT(UPPER(TRIM(D_Points!$B$5:$B$204)),8)="_CULVERT")),IF(LEFT(UPPER(TRIM(D_Points!$B$5:$B$204)),2)="EX",1,IF(LEFT(UPPER(TRIM(D_Points!$B$5:$B$204)),2)="PR",2,3))),"")</f>
        <v/>
      </c>
      <c r="S771" s="182" t="str">
        <f>IFERROR(LOOKUP(2,1/((D_Points!$A$5:$A$204&lt;&gt;"")*(D_Points!$A$5:$A$204&gt;=$B771)*(D_Points!$A$5:$A$204&lt;$B771+P_Interval)*(RIGHT(UPPER(TRIM(D_Points!$B$5:$B$204)),7)="_BRIDGE")),IF(LEFT(UPPER(TRIM(D_Points!$B$5:$B$204)),2)="EX",1,IF(LEFT(UPPER(TRIM(D_Points!$B$5:$B$204)),2)="PR",2,2))),"")</f>
        <v/>
      </c>
      <c r="T771" s="181" t="str">
        <f>IFERROR(LOOKUP(2,1/((B_Drainage!$A$5:$A$204&lt;&gt;"")*(B_Drainage!$A$5:$A$204&lt;=$B771)*(B_Drainage!$B$5:$B$204&gt;$B771)*(B_Drainage!$E$5:$E$204&lt;&gt;"")),IF(B_Drainage!$E$5:$E$204="-","",1)),"")</f>
        <v/>
      </c>
      <c r="U771" s="181" t="str">
        <f>IFERROR(LOOKUP(2,1/((B_Drainage!$A$5:$A$204&lt;&gt;"")*(B_Drainage!$A$5:$A$204&lt;=$B771)*(B_Drainage!$B$5:$B$204&gt;$B771)*(B_Drainage!$E$5:$E$204&lt;&gt;"")),IF(B_Drainage!$E$5:$E$204="-","",B_Drainage!$E$5:$E$204)),"")</f>
        <v/>
      </c>
      <c r="V771" s="181" t="str">
        <f>IFERROR(LOOKUP(2,1/((B_Drainage!$A$5:$A$204&lt;&gt;"")*(B_Drainage!$A$5:$A$204&lt;=$B771)*(B_Drainage!$B$5:$B$204&gt;$B771)*(B_Drainage!$F$5:$F$204&lt;&gt;"")),IF(B_Drainage!$F$5:$F$204="-","",1)),"")</f>
        <v/>
      </c>
      <c r="W771" s="181" t="str">
        <f>IFERROR(LOOKUP(2,1/((B_Drainage!$A$5:$A$204&lt;&gt;"")*(B_Drainage!$A$5:$A$204&lt;=$B771)*(B_Drainage!$B$5:$B$204&gt;$B771)*(B_Drainage!$F$5:$F$204&lt;&gt;"")),IF(B_Drainage!$F$5:$F$204="-","",B_Drainage!$F$5:$F$204)),"")</f>
        <v/>
      </c>
      <c r="X771" s="181" t="str">
        <f>IFERROR(LOOKUP(2,1/((B_Drainage!$A$5:$A$204&lt;&gt;"")*(B_Drainage!$A$5:$A$204&lt;=$B771)*(B_Drainage!$B$5:$B$204&gt;$B771)*(B_Drainage!$G$5:$G$204&lt;&gt;"")),IF(UPPER(B_Drainage!$G$5:$G$204)="Y",1,"")),"")</f>
        <v/>
      </c>
      <c r="Y771" s="181" t="str">
        <f>IFERROR(LOOKUP(2,1/((B_Drainage!$A$5:$A$204&lt;&gt;"")*(B_Drainage!$A$5:$A$204&lt;=$B771)*(B_Drainage!$B$5:$B$204&gt;$B771)*(B_Drainage!$H$5:$H$204&lt;&gt;"")),IF(UPPER(B_Drainage!$H$5:$H$204)="Y",1,"")),"")</f>
        <v/>
      </c>
      <c r="Z771" s="181" t="str">
        <f>IFERROR(LOOKUP(2,1/((B_Drainage!$A$5:$A$204&lt;&gt;"")*(B_Drainage!$A$5:$A$204&lt;=$B771)*(B_Drainage!$B$5:$B$204&gt;$B771)*(B_Drainage!$I$5:$I$204&lt;&gt;"")),IF(UPPER(B_Drainage!$I$5:$I$204)="Y",1,"")),"")</f>
        <v/>
      </c>
      <c r="AA771" s="181" t="str">
        <f>IFERROR(LOOKUP(2,1/((B_Drainage!$A$5:$A$204&lt;&gt;"")*(B_Drainage!$A$5:$A$204&lt;=$B771)*(B_Drainage!$B$5:$B$204&gt;$B771)*(B_Drainage!$J$5:$J$204&lt;&gt;"")),IF(UPPER(B_Drainage!$J$5:$J$204)="Y",1,"")),"")</f>
        <v/>
      </c>
      <c r="AB771" s="182" t="str">
        <f>IFERROR(LOOKUP(2,1/((B_Drainage!$A$5:$A$204&lt;&gt;"")*(B_Drainage!$A$5:$A$204&lt;=$B771)*(B_Drainage!$B$5:$B$204&gt;$B771)*(B_Drainage!$K$5:$K$204&lt;&gt;"")),IF(B_Drainage!$K$5:$K$204="-","",B_Drainage!$K$5:$K$204)),"")</f>
        <v/>
      </c>
      <c r="AC771" s="182" t="str">
        <f>IFERROR(LOOKUP(2,1/((B_Drainage!$A$5:$A$204&lt;&gt;"")*(B_Drainage!$A$5:$A$204&lt;=$B771)*(B_Drainage!$B$5:$B$204&gt;$B771)*(B_Drainage!$L$5:$L$204&lt;&gt;"")),IF(B_Drainage!$L$5:$L$204="-","",B_Drainage!$L$5:$L$204)),"")</f>
        <v/>
      </c>
      <c r="AD771" s="182" t="str">
        <f>IFERROR(LOOKUP(2,1/((D_Points!$A$5:$A$204&lt;&gt;"")*(D_Points!$A$5:$A$204&gt;=$B771)*(D_Points!$A$5:$A$204&lt;$B771+P_Interval)*(UPPER(TRIM(D_Points!$B$5:$B$204))="TURNOUT_L")*(D_Points!$H$5:$H$204&lt;&gt;"")),D_Points!$H$5:$H$204),"")</f>
        <v/>
      </c>
      <c r="AE771" s="182" t="str">
        <f>IFERROR(LOOKUP(2,1/((D_Points!$A$5:$A$204&lt;&gt;"")*(D_Points!$A$5:$A$204&gt;=$B771)*(D_Points!$A$5:$A$204&lt;$B771+P_Interval)*(UPPER(TRIM(D_Points!$B$5:$B$204))="TURNOUT_R")*(D_Points!$H$5:$H$204&lt;&gt;"")),D_Points!$H$5:$H$204),"")</f>
        <v/>
      </c>
      <c r="AF771" s="181" t="str">
        <f>IFERROR(LOOKUP(2,1/((B_Drainage!$A$5:$A$204&lt;&gt;"")*(B_Drainage!$A$5:$A$204&lt;=$B771)*(B_Drainage!$B$5:$B$204&gt;$B771)*(B_Drainage!$M$5:$M$204&lt;&gt;"")),IF(UPPER(B_Drainage!$M$5:$M$204)="Y",1,"")),"")</f>
        <v/>
      </c>
      <c r="AG771" s="181" t="str">
        <f>IFERROR(LOOKUP(2,1/((B_Drainage!$A$5:$A$204&lt;&gt;"")*(B_Drainage!$A$5:$A$204&lt;=$B771)*(B_Drainage!$B$5:$B$204&gt;$B771)*(B_Drainage!$N$5:$N$204&lt;&gt;"")),IF(UPPER(B_Drainage!$N$5:$N$204)="Y",1,"")),"")</f>
        <v/>
      </c>
      <c r="AH771" s="181" t="str">
        <f t="shared" si="88"/>
        <v/>
      </c>
      <c r="AI771" s="181" t="str">
        <f t="shared" si="89"/>
        <v/>
      </c>
      <c r="AJ771" s="181" t="str">
        <f t="shared" si="90"/>
        <v/>
      </c>
      <c r="AK771" s="181" t="str">
        <f t="shared" si="91"/>
        <v/>
      </c>
      <c r="AL771" s="181" t="str">
        <f t="shared" si="92"/>
        <v/>
      </c>
      <c r="AM771" s="181" t="str">
        <f t="shared" si="93"/>
        <v/>
      </c>
      <c r="AN771" s="181" t="str">
        <f t="shared" si="94"/>
        <v/>
      </c>
      <c r="AO771" s="192" t="str">
        <f t="shared" si="95"/>
        <v/>
      </c>
      <c r="AQ771" t="str">
        <f>IFERROR(LOOKUP(2,1/((C_Pavement!$A$5:$A$204&lt;&gt;"")*(C_Pavement!$A$5:$A$204&lt;=$B771)*(C_Pavement!$B$5:$B$204&gt;$B771)*(C_Pavement!$C$5:$C$204&lt;&gt;"")),ROW(C_Pavement!$C$5:$C$204)-4),"")</f>
        <v/>
      </c>
      <c r="AR771" t="str">
        <f>IF($AQ771="","",UPPER(TRIM(INDEX(C_Pavement!$C$5:$C$204,$AQ771))))</f>
        <v/>
      </c>
      <c r="AS771" t="str">
        <f>IF($AR771="","",IFERROR(MATCH($AR771,E_Rules!$A$5:$A$9,0),""))</f>
        <v/>
      </c>
      <c r="AT771" t="str">
        <f>IF($AQ771="","",IF(INDEX(C_Pavement!$D$5:$D$204,$AQ771)&lt;&gt;"",UPPER(TRIM(INDEX(C_Pavement!$D$5:$D$204,$AQ771))),IF($AS771="","",INDEX(E_Rules!$C$5:$C$9,$AS771))))</f>
        <v/>
      </c>
      <c r="AU771" t="str">
        <f>IF($AQ771="","",IF(INDEX(C_Pavement!$E$5:$E$204,$AQ771)&lt;&gt;"",IF(INDEX(C_Pavement!$E$5:$E$204,$AQ771)="-","",INDEX(C_Pavement!$E$5:$E$204,$AQ771)),IF($AS771="","",INDEX(E_Rules!$D$5:$D$9,$AS771))))</f>
        <v/>
      </c>
      <c r="AV771" t="str">
        <f>IF($AQ771="","",IF(INDEX(C_Pavement!$F$5:$F$204,$AQ771)&lt;&gt;"",IF(INDEX(C_Pavement!$F$5:$F$204,$AQ771)="-","",INDEX(C_Pavement!$F$5:$F$204,$AQ771)),IF($AS771="","",INDEX(E_Rules!$E$5:$E$9,$AS771))))</f>
        <v/>
      </c>
      <c r="AW771" t="str">
        <f>IF($AQ771="","",IF(INDEX(C_Pavement!$G$5:$G$204,$AQ771)&lt;&gt;"",IF(INDEX(C_Pavement!$G$5:$G$204,$AQ771)="-","",INDEX(C_Pavement!$G$5:$G$204,$AQ771)),IF($AS771="","",INDEX(E_Rules!$F$5:$F$9,$AS771))))</f>
        <v/>
      </c>
      <c r="AX771" t="str">
        <f>IF($AQ771="","",IF(INDEX(C_Pavement!$H$5:$H$204,$AQ771)&lt;&gt;"",IF(INDEX(C_Pavement!$H$5:$H$204,$AQ771)="-","",INDEX(C_Pavement!$H$5:$H$204,$AQ771)),IF($AS771="","",INDEX(E_Rules!$G$5:$G$9,$AS771))))</f>
        <v/>
      </c>
      <c r="AY771" t="str">
        <f>IF($AQ771="","",IF(INDEX(C_Pavement!$I$5:$I$204,$AQ771)&lt;&gt;"",IF(INDEX(C_Pavement!$I$5:$I$204,$AQ771)="-","",INDEX(C_Pavement!$I$5:$I$204,$AQ771)),IF($AS771="","",INDEX(E_Rules!$H$5:$H$9,$AS771))))</f>
        <v/>
      </c>
    </row>
    <row r="772" spans="1:51" ht="15.75" customHeight="1" x14ac:dyDescent="0.3">
      <c r="A772" s="189">
        <v>767</v>
      </c>
      <c r="B772" s="180">
        <v>38300</v>
      </c>
      <c r="C772" s="180" t="s">
        <v>1078</v>
      </c>
      <c r="D772" s="181" t="str">
        <f>IFERROR(LOOKUP(2,1/((A_Corridor!$A$5:$A$204&lt;&gt;"")*(A_Corridor!$A$5:$A$204&lt;=$B772)*(A_Corridor!$B$5:$B$204&gt;$B772)*(A_Corridor!$C$5:$C$204&lt;&gt;"")),IF(UPPER(A_Corridor!$C$5:$C$204)="Y",1,"")),"")</f>
        <v/>
      </c>
      <c r="E772" s="181" t="str">
        <f>IFERROR(LOOKUP(2,1/((A_Corridor!$A$5:$A$204&lt;&gt;"")*(A_Corridor!$A$5:$A$204&lt;=$B772)*(A_Corridor!$B$5:$B$204&gt;$B772)*(A_Corridor!$D$5:$D$204&lt;&gt;"")),IF(A_Corridor!$D$5:$D$204="-","",UPPER(A_Corridor!$D$5:$D$204))),"")</f>
        <v/>
      </c>
      <c r="F772" s="181" t="str">
        <f>IFERROR(LOOKUP(2,1/((A_Corridor!$A$5:$A$204&lt;&gt;"")*(A_Corridor!$A$5:$A$204&lt;=$B772)*(A_Corridor!$B$5:$B$204&gt;$B772)*(A_Corridor!$E$5:$E$204&lt;&gt;"")),IF(A_Corridor!$E$5:$E$204="-","",1)),"")</f>
        <v/>
      </c>
      <c r="G772" s="182" t="str">
        <f>IFERROR(LOOKUP(2,1/((A_Corridor!$A$5:$A$204&lt;&gt;"")*(A_Corridor!$A$5:$A$204&lt;=$B772)*(A_Corridor!$B$5:$B$204&gt;$B772)*(A_Corridor!$E$5:$E$204&lt;&gt;"")),IF(A_Corridor!$E$5:$E$204="-","",A_Corridor!$E$5:$E$204)),"")</f>
        <v/>
      </c>
      <c r="H772" s="182" t="str">
        <f>IFERROR(LOOKUP(2,1/((D_Points!$A$5:$A$204&lt;&gt;"")*(D_Points!$A$5:$A$204&gt;=$B772)*(D_Points!$A$5:$A$204&lt;$B772+P_Interval)*(UPPER(TRIM(D_Points!$B$5:$B$204))="GULLY")*(D_Points!$H$5:$H$204&lt;&gt;"")),D_Points!$H$5:$H$204),"")</f>
        <v/>
      </c>
      <c r="I772" s="181" t="str">
        <f>IFERROR(LOOKUP(2,1/((A_Corridor!$A$5:$A$204&lt;&gt;"")*(A_Corridor!$A$5:$A$204&lt;=$B772)*(A_Corridor!$B$5:$B$204&gt;$B772)*(A_Corridor!$F$5:$F$204&lt;&gt;"")),IF(A_Corridor!$F$5:$F$204="-","",1)),"")</f>
        <v/>
      </c>
      <c r="J772" s="182" t="str">
        <f>IFERROR(LOOKUP(2,1/((A_Corridor!$A$5:$A$204&lt;&gt;"")*(A_Corridor!$A$5:$A$204&lt;=$B772)*(A_Corridor!$B$5:$B$204&gt;$B772)*(A_Corridor!$F$5:$F$204&lt;&gt;"")),IF(A_Corridor!$F$5:$F$204="-","",A_Corridor!$F$5:$F$204)),"")</f>
        <v/>
      </c>
      <c r="K772" s="182" t="str">
        <f>IFERROR(LOOKUP(2,1/((A_Corridor!$A$5:$A$204&lt;&gt;"")*(A_Corridor!$A$5:$A$204&lt;=$B772)*(A_Corridor!$B$5:$B$204&gt;$B772)*(A_Corridor!$G$5:$G$204&lt;&gt;"")),IF(A_Corridor!$G$5:$G$204="-","",A_Corridor!$G$5:$G$204)),"")</f>
        <v/>
      </c>
      <c r="L772" s="181" t="str">
        <f>IFERROR(LOOKUP(2,1/((A_Corridor!$A$5:$A$204&lt;&gt;"")*(A_Corridor!$A$5:$A$204&lt;=$B772)*(A_Corridor!$B$5:$B$204&gt;$B772)*(A_Corridor!$H$5:$H$204&lt;&gt;"")),IF(A_Corridor!$H$5:$H$204="-","",1)),"")</f>
        <v/>
      </c>
      <c r="M772" s="182" t="str">
        <f>IFERROR(LOOKUP(2,1/((A_Corridor!$A$5:$A$204&lt;&gt;"")*(A_Corridor!$A$5:$A$204&lt;=$B772)*(A_Corridor!$B$5:$B$204&gt;$B772)*(A_Corridor!$H$5:$H$204&lt;&gt;"")),IF(A_Corridor!$H$5:$H$204="-","",A_Corridor!$H$5:$H$204)),"")</f>
        <v/>
      </c>
      <c r="N772" s="182" t="str">
        <f>IFERROR(LOOKUP(2,1/((A_Corridor!$A$5:$A$204&lt;&gt;"")*(A_Corridor!$A$5:$A$204&lt;=$B772)*(A_Corridor!$B$5:$B$204&gt;$B772)*(A_Corridor!$I$5:$I$204&lt;&gt;"")),IF(A_Corridor!$I$5:$I$204="-","",A_Corridor!$I$5:$I$204)),"")</f>
        <v/>
      </c>
      <c r="O772" s="182" t="str">
        <f>IFERROR(LOOKUP(2,1/((D_Points!$A$5:$A$204&lt;&gt;"")*(D_Points!$A$5:$A$204&gt;=$B772)*(D_Points!$A$5:$A$204&lt;$B772+P_Interval)*(UPPER(TRIM(D_Points!$B$5:$B$204))="PITCHING")*(D_Points!$H$5:$H$204&lt;&gt;"")),D_Points!$H$5:$H$204),"")</f>
        <v/>
      </c>
      <c r="P772" s="181" t="str">
        <f>IFERROR(LOOKUP(2,1/((B_Drainage!$A$5:$A$204&lt;&gt;"")*(B_Drainage!$A$5:$A$204&lt;=$B772)*(B_Drainage!$B$5:$B$204&gt;$B772)*(B_Drainage!$C$5:$C$204&lt;&gt;"")),IF(B_Drainage!$C$5:$C$204="-","",UPPER(B_Drainage!$C$5:$C$204))),"")</f>
        <v/>
      </c>
      <c r="Q772" s="181" t="str">
        <f>IFERROR(LOOKUP(2,1/((B_Drainage!$A$5:$A$204&lt;&gt;"")*(B_Drainage!$A$5:$A$204&lt;=$B772)*(B_Drainage!$B$5:$B$204&gt;$B772)*(B_Drainage!$D$5:$D$204&lt;&gt;"")),IF(B_Drainage!$D$5:$D$204="-","",UPPER(B_Drainage!$D$5:$D$204))),"")</f>
        <v/>
      </c>
      <c r="R772" s="182" t="str">
        <f>IFERROR(LOOKUP(2,1/((D_Points!$A$5:$A$204&lt;&gt;"")*(D_Points!$A$5:$A$204&gt;=$B772)*(D_Points!$A$5:$A$204&lt;$B772+P_Interval)*(RIGHT(UPPER(TRIM(D_Points!$B$5:$B$204)),8)="_CULVERT")),IF(LEFT(UPPER(TRIM(D_Points!$B$5:$B$204)),2)="EX",1,IF(LEFT(UPPER(TRIM(D_Points!$B$5:$B$204)),2)="PR",2,3))),"")</f>
        <v/>
      </c>
      <c r="S772" s="182" t="str">
        <f>IFERROR(LOOKUP(2,1/((D_Points!$A$5:$A$204&lt;&gt;"")*(D_Points!$A$5:$A$204&gt;=$B772)*(D_Points!$A$5:$A$204&lt;$B772+P_Interval)*(RIGHT(UPPER(TRIM(D_Points!$B$5:$B$204)),7)="_BRIDGE")),IF(LEFT(UPPER(TRIM(D_Points!$B$5:$B$204)),2)="EX",1,IF(LEFT(UPPER(TRIM(D_Points!$B$5:$B$204)),2)="PR",2,2))),"")</f>
        <v/>
      </c>
      <c r="T772" s="181" t="str">
        <f>IFERROR(LOOKUP(2,1/((B_Drainage!$A$5:$A$204&lt;&gt;"")*(B_Drainage!$A$5:$A$204&lt;=$B772)*(B_Drainage!$B$5:$B$204&gt;$B772)*(B_Drainage!$E$5:$E$204&lt;&gt;"")),IF(B_Drainage!$E$5:$E$204="-","",1)),"")</f>
        <v/>
      </c>
      <c r="U772" s="181" t="str">
        <f>IFERROR(LOOKUP(2,1/((B_Drainage!$A$5:$A$204&lt;&gt;"")*(B_Drainage!$A$5:$A$204&lt;=$B772)*(B_Drainage!$B$5:$B$204&gt;$B772)*(B_Drainage!$E$5:$E$204&lt;&gt;"")),IF(B_Drainage!$E$5:$E$204="-","",B_Drainage!$E$5:$E$204)),"")</f>
        <v/>
      </c>
      <c r="V772" s="181" t="str">
        <f>IFERROR(LOOKUP(2,1/((B_Drainage!$A$5:$A$204&lt;&gt;"")*(B_Drainage!$A$5:$A$204&lt;=$B772)*(B_Drainage!$B$5:$B$204&gt;$B772)*(B_Drainage!$F$5:$F$204&lt;&gt;"")),IF(B_Drainage!$F$5:$F$204="-","",1)),"")</f>
        <v/>
      </c>
      <c r="W772" s="181" t="str">
        <f>IFERROR(LOOKUP(2,1/((B_Drainage!$A$5:$A$204&lt;&gt;"")*(B_Drainage!$A$5:$A$204&lt;=$B772)*(B_Drainage!$B$5:$B$204&gt;$B772)*(B_Drainage!$F$5:$F$204&lt;&gt;"")),IF(B_Drainage!$F$5:$F$204="-","",B_Drainage!$F$5:$F$204)),"")</f>
        <v/>
      </c>
      <c r="X772" s="181" t="str">
        <f>IFERROR(LOOKUP(2,1/((B_Drainage!$A$5:$A$204&lt;&gt;"")*(B_Drainage!$A$5:$A$204&lt;=$B772)*(B_Drainage!$B$5:$B$204&gt;$B772)*(B_Drainage!$G$5:$G$204&lt;&gt;"")),IF(UPPER(B_Drainage!$G$5:$G$204)="Y",1,"")),"")</f>
        <v/>
      </c>
      <c r="Y772" s="181" t="str">
        <f>IFERROR(LOOKUP(2,1/((B_Drainage!$A$5:$A$204&lt;&gt;"")*(B_Drainage!$A$5:$A$204&lt;=$B772)*(B_Drainage!$B$5:$B$204&gt;$B772)*(B_Drainage!$H$5:$H$204&lt;&gt;"")),IF(UPPER(B_Drainage!$H$5:$H$204)="Y",1,"")),"")</f>
        <v/>
      </c>
      <c r="Z772" s="181" t="str">
        <f>IFERROR(LOOKUP(2,1/((B_Drainage!$A$5:$A$204&lt;&gt;"")*(B_Drainage!$A$5:$A$204&lt;=$B772)*(B_Drainage!$B$5:$B$204&gt;$B772)*(B_Drainage!$I$5:$I$204&lt;&gt;"")),IF(UPPER(B_Drainage!$I$5:$I$204)="Y",1,"")),"")</f>
        <v/>
      </c>
      <c r="AA772" s="181" t="str">
        <f>IFERROR(LOOKUP(2,1/((B_Drainage!$A$5:$A$204&lt;&gt;"")*(B_Drainage!$A$5:$A$204&lt;=$B772)*(B_Drainage!$B$5:$B$204&gt;$B772)*(B_Drainage!$J$5:$J$204&lt;&gt;"")),IF(UPPER(B_Drainage!$J$5:$J$204)="Y",1,"")),"")</f>
        <v/>
      </c>
      <c r="AB772" s="182" t="str">
        <f>IFERROR(LOOKUP(2,1/((B_Drainage!$A$5:$A$204&lt;&gt;"")*(B_Drainage!$A$5:$A$204&lt;=$B772)*(B_Drainage!$B$5:$B$204&gt;$B772)*(B_Drainage!$K$5:$K$204&lt;&gt;"")),IF(B_Drainage!$K$5:$K$204="-","",B_Drainage!$K$5:$K$204)),"")</f>
        <v/>
      </c>
      <c r="AC772" s="182" t="str">
        <f>IFERROR(LOOKUP(2,1/((B_Drainage!$A$5:$A$204&lt;&gt;"")*(B_Drainage!$A$5:$A$204&lt;=$B772)*(B_Drainage!$B$5:$B$204&gt;$B772)*(B_Drainage!$L$5:$L$204&lt;&gt;"")),IF(B_Drainage!$L$5:$L$204="-","",B_Drainage!$L$5:$L$204)),"")</f>
        <v/>
      </c>
      <c r="AD772" s="182" t="str">
        <f>IFERROR(LOOKUP(2,1/((D_Points!$A$5:$A$204&lt;&gt;"")*(D_Points!$A$5:$A$204&gt;=$B772)*(D_Points!$A$5:$A$204&lt;$B772+P_Interval)*(UPPER(TRIM(D_Points!$B$5:$B$204))="TURNOUT_L")*(D_Points!$H$5:$H$204&lt;&gt;"")),D_Points!$H$5:$H$204),"")</f>
        <v/>
      </c>
      <c r="AE772" s="182" t="str">
        <f>IFERROR(LOOKUP(2,1/((D_Points!$A$5:$A$204&lt;&gt;"")*(D_Points!$A$5:$A$204&gt;=$B772)*(D_Points!$A$5:$A$204&lt;$B772+P_Interval)*(UPPER(TRIM(D_Points!$B$5:$B$204))="TURNOUT_R")*(D_Points!$H$5:$H$204&lt;&gt;"")),D_Points!$H$5:$H$204),"")</f>
        <v/>
      </c>
      <c r="AF772" s="181" t="str">
        <f>IFERROR(LOOKUP(2,1/((B_Drainage!$A$5:$A$204&lt;&gt;"")*(B_Drainage!$A$5:$A$204&lt;=$B772)*(B_Drainage!$B$5:$B$204&gt;$B772)*(B_Drainage!$M$5:$M$204&lt;&gt;"")),IF(UPPER(B_Drainage!$M$5:$M$204)="Y",1,"")),"")</f>
        <v/>
      </c>
      <c r="AG772" s="181" t="str">
        <f>IFERROR(LOOKUP(2,1/((B_Drainage!$A$5:$A$204&lt;&gt;"")*(B_Drainage!$A$5:$A$204&lt;=$B772)*(B_Drainage!$B$5:$B$204&gt;$B772)*(B_Drainage!$N$5:$N$204&lt;&gt;"")),IF(UPPER(B_Drainage!$N$5:$N$204)="Y",1,"")),"")</f>
        <v/>
      </c>
      <c r="AH772" s="181" t="str">
        <f t="shared" si="88"/>
        <v/>
      </c>
      <c r="AI772" s="181" t="str">
        <f t="shared" si="89"/>
        <v/>
      </c>
      <c r="AJ772" s="181" t="str">
        <f t="shared" si="90"/>
        <v/>
      </c>
      <c r="AK772" s="181" t="str">
        <f t="shared" si="91"/>
        <v/>
      </c>
      <c r="AL772" s="181" t="str">
        <f t="shared" si="92"/>
        <v/>
      </c>
      <c r="AM772" s="181" t="str">
        <f t="shared" si="93"/>
        <v/>
      </c>
      <c r="AN772" s="181" t="str">
        <f t="shared" si="94"/>
        <v/>
      </c>
      <c r="AO772" s="192" t="str">
        <f t="shared" si="95"/>
        <v/>
      </c>
      <c r="AQ772" t="str">
        <f>IFERROR(LOOKUP(2,1/((C_Pavement!$A$5:$A$204&lt;&gt;"")*(C_Pavement!$A$5:$A$204&lt;=$B772)*(C_Pavement!$B$5:$B$204&gt;$B772)*(C_Pavement!$C$5:$C$204&lt;&gt;"")),ROW(C_Pavement!$C$5:$C$204)-4),"")</f>
        <v/>
      </c>
      <c r="AR772" t="str">
        <f>IF($AQ772="","",UPPER(TRIM(INDEX(C_Pavement!$C$5:$C$204,$AQ772))))</f>
        <v/>
      </c>
      <c r="AS772" t="str">
        <f>IF($AR772="","",IFERROR(MATCH($AR772,E_Rules!$A$5:$A$9,0),""))</f>
        <v/>
      </c>
      <c r="AT772" t="str">
        <f>IF($AQ772="","",IF(INDEX(C_Pavement!$D$5:$D$204,$AQ772)&lt;&gt;"",UPPER(TRIM(INDEX(C_Pavement!$D$5:$D$204,$AQ772))),IF($AS772="","",INDEX(E_Rules!$C$5:$C$9,$AS772))))</f>
        <v/>
      </c>
      <c r="AU772" t="str">
        <f>IF($AQ772="","",IF(INDEX(C_Pavement!$E$5:$E$204,$AQ772)&lt;&gt;"",IF(INDEX(C_Pavement!$E$5:$E$204,$AQ772)="-","",INDEX(C_Pavement!$E$5:$E$204,$AQ772)),IF($AS772="","",INDEX(E_Rules!$D$5:$D$9,$AS772))))</f>
        <v/>
      </c>
      <c r="AV772" t="str">
        <f>IF($AQ772="","",IF(INDEX(C_Pavement!$F$5:$F$204,$AQ772)&lt;&gt;"",IF(INDEX(C_Pavement!$F$5:$F$204,$AQ772)="-","",INDEX(C_Pavement!$F$5:$F$204,$AQ772)),IF($AS772="","",INDEX(E_Rules!$E$5:$E$9,$AS772))))</f>
        <v/>
      </c>
      <c r="AW772" t="str">
        <f>IF($AQ772="","",IF(INDEX(C_Pavement!$G$5:$G$204,$AQ772)&lt;&gt;"",IF(INDEX(C_Pavement!$G$5:$G$204,$AQ772)="-","",INDEX(C_Pavement!$G$5:$G$204,$AQ772)),IF($AS772="","",INDEX(E_Rules!$F$5:$F$9,$AS772))))</f>
        <v/>
      </c>
      <c r="AX772" t="str">
        <f>IF($AQ772="","",IF(INDEX(C_Pavement!$H$5:$H$204,$AQ772)&lt;&gt;"",IF(INDEX(C_Pavement!$H$5:$H$204,$AQ772)="-","",INDEX(C_Pavement!$H$5:$H$204,$AQ772)),IF($AS772="","",INDEX(E_Rules!$G$5:$G$9,$AS772))))</f>
        <v/>
      </c>
      <c r="AY772" t="str">
        <f>IF($AQ772="","",IF(INDEX(C_Pavement!$I$5:$I$204,$AQ772)&lt;&gt;"",IF(INDEX(C_Pavement!$I$5:$I$204,$AQ772)="-","",INDEX(C_Pavement!$I$5:$I$204,$AQ772)),IF($AS772="","",INDEX(E_Rules!$H$5:$H$9,$AS772))))</f>
        <v/>
      </c>
    </row>
    <row r="773" spans="1:51" ht="15.75" customHeight="1" x14ac:dyDescent="0.3">
      <c r="A773" s="189">
        <v>768</v>
      </c>
      <c r="B773" s="180">
        <v>38350</v>
      </c>
      <c r="C773" s="180" t="s">
        <v>1079</v>
      </c>
      <c r="D773" s="181" t="str">
        <f>IFERROR(LOOKUP(2,1/((A_Corridor!$A$5:$A$204&lt;&gt;"")*(A_Corridor!$A$5:$A$204&lt;=$B773)*(A_Corridor!$B$5:$B$204&gt;$B773)*(A_Corridor!$C$5:$C$204&lt;&gt;"")),IF(UPPER(A_Corridor!$C$5:$C$204)="Y",1,"")),"")</f>
        <v/>
      </c>
      <c r="E773" s="181" t="str">
        <f>IFERROR(LOOKUP(2,1/((A_Corridor!$A$5:$A$204&lt;&gt;"")*(A_Corridor!$A$5:$A$204&lt;=$B773)*(A_Corridor!$B$5:$B$204&gt;$B773)*(A_Corridor!$D$5:$D$204&lt;&gt;"")),IF(A_Corridor!$D$5:$D$204="-","",UPPER(A_Corridor!$D$5:$D$204))),"")</f>
        <v/>
      </c>
      <c r="F773" s="181" t="str">
        <f>IFERROR(LOOKUP(2,1/((A_Corridor!$A$5:$A$204&lt;&gt;"")*(A_Corridor!$A$5:$A$204&lt;=$B773)*(A_Corridor!$B$5:$B$204&gt;$B773)*(A_Corridor!$E$5:$E$204&lt;&gt;"")),IF(A_Corridor!$E$5:$E$204="-","",1)),"")</f>
        <v/>
      </c>
      <c r="G773" s="182" t="str">
        <f>IFERROR(LOOKUP(2,1/((A_Corridor!$A$5:$A$204&lt;&gt;"")*(A_Corridor!$A$5:$A$204&lt;=$B773)*(A_Corridor!$B$5:$B$204&gt;$B773)*(A_Corridor!$E$5:$E$204&lt;&gt;"")),IF(A_Corridor!$E$5:$E$204="-","",A_Corridor!$E$5:$E$204)),"")</f>
        <v/>
      </c>
      <c r="H773" s="182" t="str">
        <f>IFERROR(LOOKUP(2,1/((D_Points!$A$5:$A$204&lt;&gt;"")*(D_Points!$A$5:$A$204&gt;=$B773)*(D_Points!$A$5:$A$204&lt;$B773+P_Interval)*(UPPER(TRIM(D_Points!$B$5:$B$204))="GULLY")*(D_Points!$H$5:$H$204&lt;&gt;"")),D_Points!$H$5:$H$204),"")</f>
        <v/>
      </c>
      <c r="I773" s="181" t="str">
        <f>IFERROR(LOOKUP(2,1/((A_Corridor!$A$5:$A$204&lt;&gt;"")*(A_Corridor!$A$5:$A$204&lt;=$B773)*(A_Corridor!$B$5:$B$204&gt;$B773)*(A_Corridor!$F$5:$F$204&lt;&gt;"")),IF(A_Corridor!$F$5:$F$204="-","",1)),"")</f>
        <v/>
      </c>
      <c r="J773" s="182" t="str">
        <f>IFERROR(LOOKUP(2,1/((A_Corridor!$A$5:$A$204&lt;&gt;"")*(A_Corridor!$A$5:$A$204&lt;=$B773)*(A_Corridor!$B$5:$B$204&gt;$B773)*(A_Corridor!$F$5:$F$204&lt;&gt;"")),IF(A_Corridor!$F$5:$F$204="-","",A_Corridor!$F$5:$F$204)),"")</f>
        <v/>
      </c>
      <c r="K773" s="182" t="str">
        <f>IFERROR(LOOKUP(2,1/((A_Corridor!$A$5:$A$204&lt;&gt;"")*(A_Corridor!$A$5:$A$204&lt;=$B773)*(A_Corridor!$B$5:$B$204&gt;$B773)*(A_Corridor!$G$5:$G$204&lt;&gt;"")),IF(A_Corridor!$G$5:$G$204="-","",A_Corridor!$G$5:$G$204)),"")</f>
        <v/>
      </c>
      <c r="L773" s="181" t="str">
        <f>IFERROR(LOOKUP(2,1/((A_Corridor!$A$5:$A$204&lt;&gt;"")*(A_Corridor!$A$5:$A$204&lt;=$B773)*(A_Corridor!$B$5:$B$204&gt;$B773)*(A_Corridor!$H$5:$H$204&lt;&gt;"")),IF(A_Corridor!$H$5:$H$204="-","",1)),"")</f>
        <v/>
      </c>
      <c r="M773" s="182" t="str">
        <f>IFERROR(LOOKUP(2,1/((A_Corridor!$A$5:$A$204&lt;&gt;"")*(A_Corridor!$A$5:$A$204&lt;=$B773)*(A_Corridor!$B$5:$B$204&gt;$B773)*(A_Corridor!$H$5:$H$204&lt;&gt;"")),IF(A_Corridor!$H$5:$H$204="-","",A_Corridor!$H$5:$H$204)),"")</f>
        <v/>
      </c>
      <c r="N773" s="182" t="str">
        <f>IFERROR(LOOKUP(2,1/((A_Corridor!$A$5:$A$204&lt;&gt;"")*(A_Corridor!$A$5:$A$204&lt;=$B773)*(A_Corridor!$B$5:$B$204&gt;$B773)*(A_Corridor!$I$5:$I$204&lt;&gt;"")),IF(A_Corridor!$I$5:$I$204="-","",A_Corridor!$I$5:$I$204)),"")</f>
        <v/>
      </c>
      <c r="O773" s="182" t="str">
        <f>IFERROR(LOOKUP(2,1/((D_Points!$A$5:$A$204&lt;&gt;"")*(D_Points!$A$5:$A$204&gt;=$B773)*(D_Points!$A$5:$A$204&lt;$B773+P_Interval)*(UPPER(TRIM(D_Points!$B$5:$B$204))="PITCHING")*(D_Points!$H$5:$H$204&lt;&gt;"")),D_Points!$H$5:$H$204),"")</f>
        <v/>
      </c>
      <c r="P773" s="181" t="str">
        <f>IFERROR(LOOKUP(2,1/((B_Drainage!$A$5:$A$204&lt;&gt;"")*(B_Drainage!$A$5:$A$204&lt;=$B773)*(B_Drainage!$B$5:$B$204&gt;$B773)*(B_Drainage!$C$5:$C$204&lt;&gt;"")),IF(B_Drainage!$C$5:$C$204="-","",UPPER(B_Drainage!$C$5:$C$204))),"")</f>
        <v/>
      </c>
      <c r="Q773" s="181" t="str">
        <f>IFERROR(LOOKUP(2,1/((B_Drainage!$A$5:$A$204&lt;&gt;"")*(B_Drainage!$A$5:$A$204&lt;=$B773)*(B_Drainage!$B$5:$B$204&gt;$B773)*(B_Drainage!$D$5:$D$204&lt;&gt;"")),IF(B_Drainage!$D$5:$D$204="-","",UPPER(B_Drainage!$D$5:$D$204))),"")</f>
        <v/>
      </c>
      <c r="R773" s="182" t="str">
        <f>IFERROR(LOOKUP(2,1/((D_Points!$A$5:$A$204&lt;&gt;"")*(D_Points!$A$5:$A$204&gt;=$B773)*(D_Points!$A$5:$A$204&lt;$B773+P_Interval)*(RIGHT(UPPER(TRIM(D_Points!$B$5:$B$204)),8)="_CULVERT")),IF(LEFT(UPPER(TRIM(D_Points!$B$5:$B$204)),2)="EX",1,IF(LEFT(UPPER(TRIM(D_Points!$B$5:$B$204)),2)="PR",2,3))),"")</f>
        <v/>
      </c>
      <c r="S773" s="182" t="str">
        <f>IFERROR(LOOKUP(2,1/((D_Points!$A$5:$A$204&lt;&gt;"")*(D_Points!$A$5:$A$204&gt;=$B773)*(D_Points!$A$5:$A$204&lt;$B773+P_Interval)*(RIGHT(UPPER(TRIM(D_Points!$B$5:$B$204)),7)="_BRIDGE")),IF(LEFT(UPPER(TRIM(D_Points!$B$5:$B$204)),2)="EX",1,IF(LEFT(UPPER(TRIM(D_Points!$B$5:$B$204)),2)="PR",2,2))),"")</f>
        <v/>
      </c>
      <c r="T773" s="181" t="str">
        <f>IFERROR(LOOKUP(2,1/((B_Drainage!$A$5:$A$204&lt;&gt;"")*(B_Drainage!$A$5:$A$204&lt;=$B773)*(B_Drainage!$B$5:$B$204&gt;$B773)*(B_Drainage!$E$5:$E$204&lt;&gt;"")),IF(B_Drainage!$E$5:$E$204="-","",1)),"")</f>
        <v/>
      </c>
      <c r="U773" s="181" t="str">
        <f>IFERROR(LOOKUP(2,1/((B_Drainage!$A$5:$A$204&lt;&gt;"")*(B_Drainage!$A$5:$A$204&lt;=$B773)*(B_Drainage!$B$5:$B$204&gt;$B773)*(B_Drainage!$E$5:$E$204&lt;&gt;"")),IF(B_Drainage!$E$5:$E$204="-","",B_Drainage!$E$5:$E$204)),"")</f>
        <v/>
      </c>
      <c r="V773" s="181" t="str">
        <f>IFERROR(LOOKUP(2,1/((B_Drainage!$A$5:$A$204&lt;&gt;"")*(B_Drainage!$A$5:$A$204&lt;=$B773)*(B_Drainage!$B$5:$B$204&gt;$B773)*(B_Drainage!$F$5:$F$204&lt;&gt;"")),IF(B_Drainage!$F$5:$F$204="-","",1)),"")</f>
        <v/>
      </c>
      <c r="W773" s="181" t="str">
        <f>IFERROR(LOOKUP(2,1/((B_Drainage!$A$5:$A$204&lt;&gt;"")*(B_Drainage!$A$5:$A$204&lt;=$B773)*(B_Drainage!$B$5:$B$204&gt;$B773)*(B_Drainage!$F$5:$F$204&lt;&gt;"")),IF(B_Drainage!$F$5:$F$204="-","",B_Drainage!$F$5:$F$204)),"")</f>
        <v/>
      </c>
      <c r="X773" s="181" t="str">
        <f>IFERROR(LOOKUP(2,1/((B_Drainage!$A$5:$A$204&lt;&gt;"")*(B_Drainage!$A$5:$A$204&lt;=$B773)*(B_Drainage!$B$5:$B$204&gt;$B773)*(B_Drainage!$G$5:$G$204&lt;&gt;"")),IF(UPPER(B_Drainage!$G$5:$G$204)="Y",1,"")),"")</f>
        <v/>
      </c>
      <c r="Y773" s="181" t="str">
        <f>IFERROR(LOOKUP(2,1/((B_Drainage!$A$5:$A$204&lt;&gt;"")*(B_Drainage!$A$5:$A$204&lt;=$B773)*(B_Drainage!$B$5:$B$204&gt;$B773)*(B_Drainage!$H$5:$H$204&lt;&gt;"")),IF(UPPER(B_Drainage!$H$5:$H$204)="Y",1,"")),"")</f>
        <v/>
      </c>
      <c r="Z773" s="181" t="str">
        <f>IFERROR(LOOKUP(2,1/((B_Drainage!$A$5:$A$204&lt;&gt;"")*(B_Drainage!$A$5:$A$204&lt;=$B773)*(B_Drainage!$B$5:$B$204&gt;$B773)*(B_Drainage!$I$5:$I$204&lt;&gt;"")),IF(UPPER(B_Drainage!$I$5:$I$204)="Y",1,"")),"")</f>
        <v/>
      </c>
      <c r="AA773" s="181" t="str">
        <f>IFERROR(LOOKUP(2,1/((B_Drainage!$A$5:$A$204&lt;&gt;"")*(B_Drainage!$A$5:$A$204&lt;=$B773)*(B_Drainage!$B$5:$B$204&gt;$B773)*(B_Drainage!$J$5:$J$204&lt;&gt;"")),IF(UPPER(B_Drainage!$J$5:$J$204)="Y",1,"")),"")</f>
        <v/>
      </c>
      <c r="AB773" s="182" t="str">
        <f>IFERROR(LOOKUP(2,1/((B_Drainage!$A$5:$A$204&lt;&gt;"")*(B_Drainage!$A$5:$A$204&lt;=$B773)*(B_Drainage!$B$5:$B$204&gt;$B773)*(B_Drainage!$K$5:$K$204&lt;&gt;"")),IF(B_Drainage!$K$5:$K$204="-","",B_Drainage!$K$5:$K$204)),"")</f>
        <v/>
      </c>
      <c r="AC773" s="182" t="str">
        <f>IFERROR(LOOKUP(2,1/((B_Drainage!$A$5:$A$204&lt;&gt;"")*(B_Drainage!$A$5:$A$204&lt;=$B773)*(B_Drainage!$B$5:$B$204&gt;$B773)*(B_Drainage!$L$5:$L$204&lt;&gt;"")),IF(B_Drainage!$L$5:$L$204="-","",B_Drainage!$L$5:$L$204)),"")</f>
        <v/>
      </c>
      <c r="AD773" s="182" t="str">
        <f>IFERROR(LOOKUP(2,1/((D_Points!$A$5:$A$204&lt;&gt;"")*(D_Points!$A$5:$A$204&gt;=$B773)*(D_Points!$A$5:$A$204&lt;$B773+P_Interval)*(UPPER(TRIM(D_Points!$B$5:$B$204))="TURNOUT_L")*(D_Points!$H$5:$H$204&lt;&gt;"")),D_Points!$H$5:$H$204),"")</f>
        <v/>
      </c>
      <c r="AE773" s="182" t="str">
        <f>IFERROR(LOOKUP(2,1/((D_Points!$A$5:$A$204&lt;&gt;"")*(D_Points!$A$5:$A$204&gt;=$B773)*(D_Points!$A$5:$A$204&lt;$B773+P_Interval)*(UPPER(TRIM(D_Points!$B$5:$B$204))="TURNOUT_R")*(D_Points!$H$5:$H$204&lt;&gt;"")),D_Points!$H$5:$H$204),"")</f>
        <v/>
      </c>
      <c r="AF773" s="181" t="str">
        <f>IFERROR(LOOKUP(2,1/((B_Drainage!$A$5:$A$204&lt;&gt;"")*(B_Drainage!$A$5:$A$204&lt;=$B773)*(B_Drainage!$B$5:$B$204&gt;$B773)*(B_Drainage!$M$5:$M$204&lt;&gt;"")),IF(UPPER(B_Drainage!$M$5:$M$204)="Y",1,"")),"")</f>
        <v/>
      </c>
      <c r="AG773" s="181" t="str">
        <f>IFERROR(LOOKUP(2,1/((B_Drainage!$A$5:$A$204&lt;&gt;"")*(B_Drainage!$A$5:$A$204&lt;=$B773)*(B_Drainage!$B$5:$B$204&gt;$B773)*(B_Drainage!$N$5:$N$204&lt;&gt;"")),IF(UPPER(B_Drainage!$N$5:$N$204)="Y",1,"")),"")</f>
        <v/>
      </c>
      <c r="AH773" s="181" t="str">
        <f t="shared" si="88"/>
        <v/>
      </c>
      <c r="AI773" s="181" t="str">
        <f t="shared" si="89"/>
        <v/>
      </c>
      <c r="AJ773" s="181" t="str">
        <f t="shared" si="90"/>
        <v/>
      </c>
      <c r="AK773" s="181" t="str">
        <f t="shared" si="91"/>
        <v/>
      </c>
      <c r="AL773" s="181" t="str">
        <f t="shared" si="92"/>
        <v/>
      </c>
      <c r="AM773" s="181" t="str">
        <f t="shared" si="93"/>
        <v/>
      </c>
      <c r="AN773" s="181" t="str">
        <f t="shared" si="94"/>
        <v/>
      </c>
      <c r="AO773" s="192" t="str">
        <f t="shared" si="95"/>
        <v/>
      </c>
      <c r="AQ773" t="str">
        <f>IFERROR(LOOKUP(2,1/((C_Pavement!$A$5:$A$204&lt;&gt;"")*(C_Pavement!$A$5:$A$204&lt;=$B773)*(C_Pavement!$B$5:$B$204&gt;$B773)*(C_Pavement!$C$5:$C$204&lt;&gt;"")),ROW(C_Pavement!$C$5:$C$204)-4),"")</f>
        <v/>
      </c>
      <c r="AR773" t="str">
        <f>IF($AQ773="","",UPPER(TRIM(INDEX(C_Pavement!$C$5:$C$204,$AQ773))))</f>
        <v/>
      </c>
      <c r="AS773" t="str">
        <f>IF($AR773="","",IFERROR(MATCH($AR773,E_Rules!$A$5:$A$9,0),""))</f>
        <v/>
      </c>
      <c r="AT773" t="str">
        <f>IF($AQ773="","",IF(INDEX(C_Pavement!$D$5:$D$204,$AQ773)&lt;&gt;"",UPPER(TRIM(INDEX(C_Pavement!$D$5:$D$204,$AQ773))),IF($AS773="","",INDEX(E_Rules!$C$5:$C$9,$AS773))))</f>
        <v/>
      </c>
      <c r="AU773" t="str">
        <f>IF($AQ773="","",IF(INDEX(C_Pavement!$E$5:$E$204,$AQ773)&lt;&gt;"",IF(INDEX(C_Pavement!$E$5:$E$204,$AQ773)="-","",INDEX(C_Pavement!$E$5:$E$204,$AQ773)),IF($AS773="","",INDEX(E_Rules!$D$5:$D$9,$AS773))))</f>
        <v/>
      </c>
      <c r="AV773" t="str">
        <f>IF($AQ773="","",IF(INDEX(C_Pavement!$F$5:$F$204,$AQ773)&lt;&gt;"",IF(INDEX(C_Pavement!$F$5:$F$204,$AQ773)="-","",INDEX(C_Pavement!$F$5:$F$204,$AQ773)),IF($AS773="","",INDEX(E_Rules!$E$5:$E$9,$AS773))))</f>
        <v/>
      </c>
      <c r="AW773" t="str">
        <f>IF($AQ773="","",IF(INDEX(C_Pavement!$G$5:$G$204,$AQ773)&lt;&gt;"",IF(INDEX(C_Pavement!$G$5:$G$204,$AQ773)="-","",INDEX(C_Pavement!$G$5:$G$204,$AQ773)),IF($AS773="","",INDEX(E_Rules!$F$5:$F$9,$AS773))))</f>
        <v/>
      </c>
      <c r="AX773" t="str">
        <f>IF($AQ773="","",IF(INDEX(C_Pavement!$H$5:$H$204,$AQ773)&lt;&gt;"",IF(INDEX(C_Pavement!$H$5:$H$204,$AQ773)="-","",INDEX(C_Pavement!$H$5:$H$204,$AQ773)),IF($AS773="","",INDEX(E_Rules!$G$5:$G$9,$AS773))))</f>
        <v/>
      </c>
      <c r="AY773" t="str">
        <f>IF($AQ773="","",IF(INDEX(C_Pavement!$I$5:$I$204,$AQ773)&lt;&gt;"",IF(INDEX(C_Pavement!$I$5:$I$204,$AQ773)="-","",INDEX(C_Pavement!$I$5:$I$204,$AQ773)),IF($AS773="","",INDEX(E_Rules!$H$5:$H$9,$AS773))))</f>
        <v/>
      </c>
    </row>
    <row r="774" spans="1:51" ht="15.75" customHeight="1" x14ac:dyDescent="0.3">
      <c r="A774" s="189">
        <v>769</v>
      </c>
      <c r="B774" s="180">
        <v>38400</v>
      </c>
      <c r="C774" s="180" t="s">
        <v>1080</v>
      </c>
      <c r="D774" s="181" t="str">
        <f>IFERROR(LOOKUP(2,1/((A_Corridor!$A$5:$A$204&lt;&gt;"")*(A_Corridor!$A$5:$A$204&lt;=$B774)*(A_Corridor!$B$5:$B$204&gt;$B774)*(A_Corridor!$C$5:$C$204&lt;&gt;"")),IF(UPPER(A_Corridor!$C$5:$C$204)="Y",1,"")),"")</f>
        <v/>
      </c>
      <c r="E774" s="181" t="str">
        <f>IFERROR(LOOKUP(2,1/((A_Corridor!$A$5:$A$204&lt;&gt;"")*(A_Corridor!$A$5:$A$204&lt;=$B774)*(A_Corridor!$B$5:$B$204&gt;$B774)*(A_Corridor!$D$5:$D$204&lt;&gt;"")),IF(A_Corridor!$D$5:$D$204="-","",UPPER(A_Corridor!$D$5:$D$204))),"")</f>
        <v/>
      </c>
      <c r="F774" s="181" t="str">
        <f>IFERROR(LOOKUP(2,1/((A_Corridor!$A$5:$A$204&lt;&gt;"")*(A_Corridor!$A$5:$A$204&lt;=$B774)*(A_Corridor!$B$5:$B$204&gt;$B774)*(A_Corridor!$E$5:$E$204&lt;&gt;"")),IF(A_Corridor!$E$5:$E$204="-","",1)),"")</f>
        <v/>
      </c>
      <c r="G774" s="182" t="str">
        <f>IFERROR(LOOKUP(2,1/((A_Corridor!$A$5:$A$204&lt;&gt;"")*(A_Corridor!$A$5:$A$204&lt;=$B774)*(A_Corridor!$B$5:$B$204&gt;$B774)*(A_Corridor!$E$5:$E$204&lt;&gt;"")),IF(A_Corridor!$E$5:$E$204="-","",A_Corridor!$E$5:$E$204)),"")</f>
        <v/>
      </c>
      <c r="H774" s="182" t="str">
        <f>IFERROR(LOOKUP(2,1/((D_Points!$A$5:$A$204&lt;&gt;"")*(D_Points!$A$5:$A$204&gt;=$B774)*(D_Points!$A$5:$A$204&lt;$B774+P_Interval)*(UPPER(TRIM(D_Points!$B$5:$B$204))="GULLY")*(D_Points!$H$5:$H$204&lt;&gt;"")),D_Points!$H$5:$H$204),"")</f>
        <v/>
      </c>
      <c r="I774" s="181" t="str">
        <f>IFERROR(LOOKUP(2,1/((A_Corridor!$A$5:$A$204&lt;&gt;"")*(A_Corridor!$A$5:$A$204&lt;=$B774)*(A_Corridor!$B$5:$B$204&gt;$B774)*(A_Corridor!$F$5:$F$204&lt;&gt;"")),IF(A_Corridor!$F$5:$F$204="-","",1)),"")</f>
        <v/>
      </c>
      <c r="J774" s="182" t="str">
        <f>IFERROR(LOOKUP(2,1/((A_Corridor!$A$5:$A$204&lt;&gt;"")*(A_Corridor!$A$5:$A$204&lt;=$B774)*(A_Corridor!$B$5:$B$204&gt;$B774)*(A_Corridor!$F$5:$F$204&lt;&gt;"")),IF(A_Corridor!$F$5:$F$204="-","",A_Corridor!$F$5:$F$204)),"")</f>
        <v/>
      </c>
      <c r="K774" s="182" t="str">
        <f>IFERROR(LOOKUP(2,1/((A_Corridor!$A$5:$A$204&lt;&gt;"")*(A_Corridor!$A$5:$A$204&lt;=$B774)*(A_Corridor!$B$5:$B$204&gt;$B774)*(A_Corridor!$G$5:$G$204&lt;&gt;"")),IF(A_Corridor!$G$5:$G$204="-","",A_Corridor!$G$5:$G$204)),"")</f>
        <v/>
      </c>
      <c r="L774" s="181" t="str">
        <f>IFERROR(LOOKUP(2,1/((A_Corridor!$A$5:$A$204&lt;&gt;"")*(A_Corridor!$A$5:$A$204&lt;=$B774)*(A_Corridor!$B$5:$B$204&gt;$B774)*(A_Corridor!$H$5:$H$204&lt;&gt;"")),IF(A_Corridor!$H$5:$H$204="-","",1)),"")</f>
        <v/>
      </c>
      <c r="M774" s="182" t="str">
        <f>IFERROR(LOOKUP(2,1/((A_Corridor!$A$5:$A$204&lt;&gt;"")*(A_Corridor!$A$5:$A$204&lt;=$B774)*(A_Corridor!$B$5:$B$204&gt;$B774)*(A_Corridor!$H$5:$H$204&lt;&gt;"")),IF(A_Corridor!$H$5:$H$204="-","",A_Corridor!$H$5:$H$204)),"")</f>
        <v/>
      </c>
      <c r="N774" s="182" t="str">
        <f>IFERROR(LOOKUP(2,1/((A_Corridor!$A$5:$A$204&lt;&gt;"")*(A_Corridor!$A$5:$A$204&lt;=$B774)*(A_Corridor!$B$5:$B$204&gt;$B774)*(A_Corridor!$I$5:$I$204&lt;&gt;"")),IF(A_Corridor!$I$5:$I$204="-","",A_Corridor!$I$5:$I$204)),"")</f>
        <v/>
      </c>
      <c r="O774" s="182" t="str">
        <f>IFERROR(LOOKUP(2,1/((D_Points!$A$5:$A$204&lt;&gt;"")*(D_Points!$A$5:$A$204&gt;=$B774)*(D_Points!$A$5:$A$204&lt;$B774+P_Interval)*(UPPER(TRIM(D_Points!$B$5:$B$204))="PITCHING")*(D_Points!$H$5:$H$204&lt;&gt;"")),D_Points!$H$5:$H$204),"")</f>
        <v/>
      </c>
      <c r="P774" s="181" t="str">
        <f>IFERROR(LOOKUP(2,1/((B_Drainage!$A$5:$A$204&lt;&gt;"")*(B_Drainage!$A$5:$A$204&lt;=$B774)*(B_Drainage!$B$5:$B$204&gt;$B774)*(B_Drainage!$C$5:$C$204&lt;&gt;"")),IF(B_Drainage!$C$5:$C$204="-","",UPPER(B_Drainage!$C$5:$C$204))),"")</f>
        <v/>
      </c>
      <c r="Q774" s="181" t="str">
        <f>IFERROR(LOOKUP(2,1/((B_Drainage!$A$5:$A$204&lt;&gt;"")*(B_Drainage!$A$5:$A$204&lt;=$B774)*(B_Drainage!$B$5:$B$204&gt;$B774)*(B_Drainage!$D$5:$D$204&lt;&gt;"")),IF(B_Drainage!$D$5:$D$204="-","",UPPER(B_Drainage!$D$5:$D$204))),"")</f>
        <v/>
      </c>
      <c r="R774" s="182" t="str">
        <f>IFERROR(LOOKUP(2,1/((D_Points!$A$5:$A$204&lt;&gt;"")*(D_Points!$A$5:$A$204&gt;=$B774)*(D_Points!$A$5:$A$204&lt;$B774+P_Interval)*(RIGHT(UPPER(TRIM(D_Points!$B$5:$B$204)),8)="_CULVERT")),IF(LEFT(UPPER(TRIM(D_Points!$B$5:$B$204)),2)="EX",1,IF(LEFT(UPPER(TRIM(D_Points!$B$5:$B$204)),2)="PR",2,3))),"")</f>
        <v/>
      </c>
      <c r="S774" s="182" t="str">
        <f>IFERROR(LOOKUP(2,1/((D_Points!$A$5:$A$204&lt;&gt;"")*(D_Points!$A$5:$A$204&gt;=$B774)*(D_Points!$A$5:$A$204&lt;$B774+P_Interval)*(RIGHT(UPPER(TRIM(D_Points!$B$5:$B$204)),7)="_BRIDGE")),IF(LEFT(UPPER(TRIM(D_Points!$B$5:$B$204)),2)="EX",1,IF(LEFT(UPPER(TRIM(D_Points!$B$5:$B$204)),2)="PR",2,2))),"")</f>
        <v/>
      </c>
      <c r="T774" s="181" t="str">
        <f>IFERROR(LOOKUP(2,1/((B_Drainage!$A$5:$A$204&lt;&gt;"")*(B_Drainage!$A$5:$A$204&lt;=$B774)*(B_Drainage!$B$5:$B$204&gt;$B774)*(B_Drainage!$E$5:$E$204&lt;&gt;"")),IF(B_Drainage!$E$5:$E$204="-","",1)),"")</f>
        <v/>
      </c>
      <c r="U774" s="181" t="str">
        <f>IFERROR(LOOKUP(2,1/((B_Drainage!$A$5:$A$204&lt;&gt;"")*(B_Drainage!$A$5:$A$204&lt;=$B774)*(B_Drainage!$B$5:$B$204&gt;$B774)*(B_Drainage!$E$5:$E$204&lt;&gt;"")),IF(B_Drainage!$E$5:$E$204="-","",B_Drainage!$E$5:$E$204)),"")</f>
        <v/>
      </c>
      <c r="V774" s="181" t="str">
        <f>IFERROR(LOOKUP(2,1/((B_Drainage!$A$5:$A$204&lt;&gt;"")*(B_Drainage!$A$5:$A$204&lt;=$B774)*(B_Drainage!$B$5:$B$204&gt;$B774)*(B_Drainage!$F$5:$F$204&lt;&gt;"")),IF(B_Drainage!$F$5:$F$204="-","",1)),"")</f>
        <v/>
      </c>
      <c r="W774" s="181" t="str">
        <f>IFERROR(LOOKUP(2,1/((B_Drainage!$A$5:$A$204&lt;&gt;"")*(B_Drainage!$A$5:$A$204&lt;=$B774)*(B_Drainage!$B$5:$B$204&gt;$B774)*(B_Drainage!$F$5:$F$204&lt;&gt;"")),IF(B_Drainage!$F$5:$F$204="-","",B_Drainage!$F$5:$F$204)),"")</f>
        <v/>
      </c>
      <c r="X774" s="181" t="str">
        <f>IFERROR(LOOKUP(2,1/((B_Drainage!$A$5:$A$204&lt;&gt;"")*(B_Drainage!$A$5:$A$204&lt;=$B774)*(B_Drainage!$B$5:$B$204&gt;$B774)*(B_Drainage!$G$5:$G$204&lt;&gt;"")),IF(UPPER(B_Drainage!$G$5:$G$204)="Y",1,"")),"")</f>
        <v/>
      </c>
      <c r="Y774" s="181" t="str">
        <f>IFERROR(LOOKUP(2,1/((B_Drainage!$A$5:$A$204&lt;&gt;"")*(B_Drainage!$A$5:$A$204&lt;=$B774)*(B_Drainage!$B$5:$B$204&gt;$B774)*(B_Drainage!$H$5:$H$204&lt;&gt;"")),IF(UPPER(B_Drainage!$H$5:$H$204)="Y",1,"")),"")</f>
        <v/>
      </c>
      <c r="Z774" s="181" t="str">
        <f>IFERROR(LOOKUP(2,1/((B_Drainage!$A$5:$A$204&lt;&gt;"")*(B_Drainage!$A$5:$A$204&lt;=$B774)*(B_Drainage!$B$5:$B$204&gt;$B774)*(B_Drainage!$I$5:$I$204&lt;&gt;"")),IF(UPPER(B_Drainage!$I$5:$I$204)="Y",1,"")),"")</f>
        <v/>
      </c>
      <c r="AA774" s="181" t="str">
        <f>IFERROR(LOOKUP(2,1/((B_Drainage!$A$5:$A$204&lt;&gt;"")*(B_Drainage!$A$5:$A$204&lt;=$B774)*(B_Drainage!$B$5:$B$204&gt;$B774)*(B_Drainage!$J$5:$J$204&lt;&gt;"")),IF(UPPER(B_Drainage!$J$5:$J$204)="Y",1,"")),"")</f>
        <v/>
      </c>
      <c r="AB774" s="182" t="str">
        <f>IFERROR(LOOKUP(2,1/((B_Drainage!$A$5:$A$204&lt;&gt;"")*(B_Drainage!$A$5:$A$204&lt;=$B774)*(B_Drainage!$B$5:$B$204&gt;$B774)*(B_Drainage!$K$5:$K$204&lt;&gt;"")),IF(B_Drainage!$K$5:$K$204="-","",B_Drainage!$K$5:$K$204)),"")</f>
        <v/>
      </c>
      <c r="AC774" s="182" t="str">
        <f>IFERROR(LOOKUP(2,1/((B_Drainage!$A$5:$A$204&lt;&gt;"")*(B_Drainage!$A$5:$A$204&lt;=$B774)*(B_Drainage!$B$5:$B$204&gt;$B774)*(B_Drainage!$L$5:$L$204&lt;&gt;"")),IF(B_Drainage!$L$5:$L$204="-","",B_Drainage!$L$5:$L$204)),"")</f>
        <v/>
      </c>
      <c r="AD774" s="182" t="str">
        <f>IFERROR(LOOKUP(2,1/((D_Points!$A$5:$A$204&lt;&gt;"")*(D_Points!$A$5:$A$204&gt;=$B774)*(D_Points!$A$5:$A$204&lt;$B774+P_Interval)*(UPPER(TRIM(D_Points!$B$5:$B$204))="TURNOUT_L")*(D_Points!$H$5:$H$204&lt;&gt;"")),D_Points!$H$5:$H$204),"")</f>
        <v/>
      </c>
      <c r="AE774" s="182" t="str">
        <f>IFERROR(LOOKUP(2,1/((D_Points!$A$5:$A$204&lt;&gt;"")*(D_Points!$A$5:$A$204&gt;=$B774)*(D_Points!$A$5:$A$204&lt;$B774+P_Interval)*(UPPER(TRIM(D_Points!$B$5:$B$204))="TURNOUT_R")*(D_Points!$H$5:$H$204&lt;&gt;"")),D_Points!$H$5:$H$204),"")</f>
        <v/>
      </c>
      <c r="AF774" s="181" t="str">
        <f>IFERROR(LOOKUP(2,1/((B_Drainage!$A$5:$A$204&lt;&gt;"")*(B_Drainage!$A$5:$A$204&lt;=$B774)*(B_Drainage!$B$5:$B$204&gt;$B774)*(B_Drainage!$M$5:$M$204&lt;&gt;"")),IF(UPPER(B_Drainage!$M$5:$M$204)="Y",1,"")),"")</f>
        <v/>
      </c>
      <c r="AG774" s="181" t="str">
        <f>IFERROR(LOOKUP(2,1/((B_Drainage!$A$5:$A$204&lt;&gt;"")*(B_Drainage!$A$5:$A$204&lt;=$B774)*(B_Drainage!$B$5:$B$204&gt;$B774)*(B_Drainage!$N$5:$N$204&lt;&gt;"")),IF(UPPER(B_Drainage!$N$5:$N$204)="Y",1,"")),"")</f>
        <v/>
      </c>
      <c r="AH774" s="181" t="str">
        <f t="shared" ref="AH774:AH837" si="96">IF($AT774="BLADE",1,"")</f>
        <v/>
      </c>
      <c r="AI774" s="181" t="str">
        <f t="shared" ref="AI774:AI837" si="97">IF($AT774="RESHAPE",1,"")</f>
        <v/>
      </c>
      <c r="AJ774" s="181" t="str">
        <f t="shared" ref="AJ774:AJ837" si="98">IF($AT774="SCARIFY",1,"")</f>
        <v/>
      </c>
      <c r="AK774" s="181" t="str">
        <f t="shared" ref="AK774:AK837" si="99">$AU774</f>
        <v/>
      </c>
      <c r="AL774" s="181" t="str">
        <f t="shared" ref="AL774:AL837" si="100">$AV774</f>
        <v/>
      </c>
      <c r="AM774" s="181" t="str">
        <f t="shared" ref="AM774:AM837" si="101">IF(OR(UPPER($AW774)="Y",$AW774=1),1,"")</f>
        <v/>
      </c>
      <c r="AN774" s="181" t="str">
        <f t="shared" ref="AN774:AN837" si="102">IF(OR(UPPER($AX774)="Y",$AX774=1),1,"")</f>
        <v/>
      </c>
      <c r="AO774" s="192" t="str">
        <f t="shared" ref="AO774:AO837" si="103">IF(OR(UPPER($AY774)="Y",$AY774=1),1,"")</f>
        <v/>
      </c>
      <c r="AQ774" t="str">
        <f>IFERROR(LOOKUP(2,1/((C_Pavement!$A$5:$A$204&lt;&gt;"")*(C_Pavement!$A$5:$A$204&lt;=$B774)*(C_Pavement!$B$5:$B$204&gt;$B774)*(C_Pavement!$C$5:$C$204&lt;&gt;"")),ROW(C_Pavement!$C$5:$C$204)-4),"")</f>
        <v/>
      </c>
      <c r="AR774" t="str">
        <f>IF($AQ774="","",UPPER(TRIM(INDEX(C_Pavement!$C$5:$C$204,$AQ774))))</f>
        <v/>
      </c>
      <c r="AS774" t="str">
        <f>IF($AR774="","",IFERROR(MATCH($AR774,E_Rules!$A$5:$A$9,0),""))</f>
        <v/>
      </c>
      <c r="AT774" t="str">
        <f>IF($AQ774="","",IF(INDEX(C_Pavement!$D$5:$D$204,$AQ774)&lt;&gt;"",UPPER(TRIM(INDEX(C_Pavement!$D$5:$D$204,$AQ774))),IF($AS774="","",INDEX(E_Rules!$C$5:$C$9,$AS774))))</f>
        <v/>
      </c>
      <c r="AU774" t="str">
        <f>IF($AQ774="","",IF(INDEX(C_Pavement!$E$5:$E$204,$AQ774)&lt;&gt;"",IF(INDEX(C_Pavement!$E$5:$E$204,$AQ774)="-","",INDEX(C_Pavement!$E$5:$E$204,$AQ774)),IF($AS774="","",INDEX(E_Rules!$D$5:$D$9,$AS774))))</f>
        <v/>
      </c>
      <c r="AV774" t="str">
        <f>IF($AQ774="","",IF(INDEX(C_Pavement!$F$5:$F$204,$AQ774)&lt;&gt;"",IF(INDEX(C_Pavement!$F$5:$F$204,$AQ774)="-","",INDEX(C_Pavement!$F$5:$F$204,$AQ774)),IF($AS774="","",INDEX(E_Rules!$E$5:$E$9,$AS774))))</f>
        <v/>
      </c>
      <c r="AW774" t="str">
        <f>IF($AQ774="","",IF(INDEX(C_Pavement!$G$5:$G$204,$AQ774)&lt;&gt;"",IF(INDEX(C_Pavement!$G$5:$G$204,$AQ774)="-","",INDEX(C_Pavement!$G$5:$G$204,$AQ774)),IF($AS774="","",INDEX(E_Rules!$F$5:$F$9,$AS774))))</f>
        <v/>
      </c>
      <c r="AX774" t="str">
        <f>IF($AQ774="","",IF(INDEX(C_Pavement!$H$5:$H$204,$AQ774)&lt;&gt;"",IF(INDEX(C_Pavement!$H$5:$H$204,$AQ774)="-","",INDEX(C_Pavement!$H$5:$H$204,$AQ774)),IF($AS774="","",INDEX(E_Rules!$G$5:$G$9,$AS774))))</f>
        <v/>
      </c>
      <c r="AY774" t="str">
        <f>IF($AQ774="","",IF(INDEX(C_Pavement!$I$5:$I$204,$AQ774)&lt;&gt;"",IF(INDEX(C_Pavement!$I$5:$I$204,$AQ774)="-","",INDEX(C_Pavement!$I$5:$I$204,$AQ774)),IF($AS774="","",INDEX(E_Rules!$H$5:$H$9,$AS774))))</f>
        <v/>
      </c>
    </row>
    <row r="775" spans="1:51" ht="15.75" customHeight="1" x14ac:dyDescent="0.3">
      <c r="A775" s="189">
        <v>770</v>
      </c>
      <c r="B775" s="180">
        <v>38450</v>
      </c>
      <c r="C775" s="180" t="s">
        <v>1081</v>
      </c>
      <c r="D775" s="181" t="str">
        <f>IFERROR(LOOKUP(2,1/((A_Corridor!$A$5:$A$204&lt;&gt;"")*(A_Corridor!$A$5:$A$204&lt;=$B775)*(A_Corridor!$B$5:$B$204&gt;$B775)*(A_Corridor!$C$5:$C$204&lt;&gt;"")),IF(UPPER(A_Corridor!$C$5:$C$204)="Y",1,"")),"")</f>
        <v/>
      </c>
      <c r="E775" s="181" t="str">
        <f>IFERROR(LOOKUP(2,1/((A_Corridor!$A$5:$A$204&lt;&gt;"")*(A_Corridor!$A$5:$A$204&lt;=$B775)*(A_Corridor!$B$5:$B$204&gt;$B775)*(A_Corridor!$D$5:$D$204&lt;&gt;"")),IF(A_Corridor!$D$5:$D$204="-","",UPPER(A_Corridor!$D$5:$D$204))),"")</f>
        <v/>
      </c>
      <c r="F775" s="181" t="str">
        <f>IFERROR(LOOKUP(2,1/((A_Corridor!$A$5:$A$204&lt;&gt;"")*(A_Corridor!$A$5:$A$204&lt;=$B775)*(A_Corridor!$B$5:$B$204&gt;$B775)*(A_Corridor!$E$5:$E$204&lt;&gt;"")),IF(A_Corridor!$E$5:$E$204="-","",1)),"")</f>
        <v/>
      </c>
      <c r="G775" s="182" t="str">
        <f>IFERROR(LOOKUP(2,1/((A_Corridor!$A$5:$A$204&lt;&gt;"")*(A_Corridor!$A$5:$A$204&lt;=$B775)*(A_Corridor!$B$5:$B$204&gt;$B775)*(A_Corridor!$E$5:$E$204&lt;&gt;"")),IF(A_Corridor!$E$5:$E$204="-","",A_Corridor!$E$5:$E$204)),"")</f>
        <v/>
      </c>
      <c r="H775" s="182" t="str">
        <f>IFERROR(LOOKUP(2,1/((D_Points!$A$5:$A$204&lt;&gt;"")*(D_Points!$A$5:$A$204&gt;=$B775)*(D_Points!$A$5:$A$204&lt;$B775+P_Interval)*(UPPER(TRIM(D_Points!$B$5:$B$204))="GULLY")*(D_Points!$H$5:$H$204&lt;&gt;"")),D_Points!$H$5:$H$204),"")</f>
        <v/>
      </c>
      <c r="I775" s="181" t="str">
        <f>IFERROR(LOOKUP(2,1/((A_Corridor!$A$5:$A$204&lt;&gt;"")*(A_Corridor!$A$5:$A$204&lt;=$B775)*(A_Corridor!$B$5:$B$204&gt;$B775)*(A_Corridor!$F$5:$F$204&lt;&gt;"")),IF(A_Corridor!$F$5:$F$204="-","",1)),"")</f>
        <v/>
      </c>
      <c r="J775" s="182" t="str">
        <f>IFERROR(LOOKUP(2,1/((A_Corridor!$A$5:$A$204&lt;&gt;"")*(A_Corridor!$A$5:$A$204&lt;=$B775)*(A_Corridor!$B$5:$B$204&gt;$B775)*(A_Corridor!$F$5:$F$204&lt;&gt;"")),IF(A_Corridor!$F$5:$F$204="-","",A_Corridor!$F$5:$F$204)),"")</f>
        <v/>
      </c>
      <c r="K775" s="182" t="str">
        <f>IFERROR(LOOKUP(2,1/((A_Corridor!$A$5:$A$204&lt;&gt;"")*(A_Corridor!$A$5:$A$204&lt;=$B775)*(A_Corridor!$B$5:$B$204&gt;$B775)*(A_Corridor!$G$5:$G$204&lt;&gt;"")),IF(A_Corridor!$G$5:$G$204="-","",A_Corridor!$G$5:$G$204)),"")</f>
        <v/>
      </c>
      <c r="L775" s="181" t="str">
        <f>IFERROR(LOOKUP(2,1/((A_Corridor!$A$5:$A$204&lt;&gt;"")*(A_Corridor!$A$5:$A$204&lt;=$B775)*(A_Corridor!$B$5:$B$204&gt;$B775)*(A_Corridor!$H$5:$H$204&lt;&gt;"")),IF(A_Corridor!$H$5:$H$204="-","",1)),"")</f>
        <v/>
      </c>
      <c r="M775" s="182" t="str">
        <f>IFERROR(LOOKUP(2,1/((A_Corridor!$A$5:$A$204&lt;&gt;"")*(A_Corridor!$A$5:$A$204&lt;=$B775)*(A_Corridor!$B$5:$B$204&gt;$B775)*(A_Corridor!$H$5:$H$204&lt;&gt;"")),IF(A_Corridor!$H$5:$H$204="-","",A_Corridor!$H$5:$H$204)),"")</f>
        <v/>
      </c>
      <c r="N775" s="182" t="str">
        <f>IFERROR(LOOKUP(2,1/((A_Corridor!$A$5:$A$204&lt;&gt;"")*(A_Corridor!$A$5:$A$204&lt;=$B775)*(A_Corridor!$B$5:$B$204&gt;$B775)*(A_Corridor!$I$5:$I$204&lt;&gt;"")),IF(A_Corridor!$I$5:$I$204="-","",A_Corridor!$I$5:$I$204)),"")</f>
        <v/>
      </c>
      <c r="O775" s="182" t="str">
        <f>IFERROR(LOOKUP(2,1/((D_Points!$A$5:$A$204&lt;&gt;"")*(D_Points!$A$5:$A$204&gt;=$B775)*(D_Points!$A$5:$A$204&lt;$B775+P_Interval)*(UPPER(TRIM(D_Points!$B$5:$B$204))="PITCHING")*(D_Points!$H$5:$H$204&lt;&gt;"")),D_Points!$H$5:$H$204),"")</f>
        <v/>
      </c>
      <c r="P775" s="181" t="str">
        <f>IFERROR(LOOKUP(2,1/((B_Drainage!$A$5:$A$204&lt;&gt;"")*(B_Drainage!$A$5:$A$204&lt;=$B775)*(B_Drainage!$B$5:$B$204&gt;$B775)*(B_Drainage!$C$5:$C$204&lt;&gt;"")),IF(B_Drainage!$C$5:$C$204="-","",UPPER(B_Drainage!$C$5:$C$204))),"")</f>
        <v/>
      </c>
      <c r="Q775" s="181" t="str">
        <f>IFERROR(LOOKUP(2,1/((B_Drainage!$A$5:$A$204&lt;&gt;"")*(B_Drainage!$A$5:$A$204&lt;=$B775)*(B_Drainage!$B$5:$B$204&gt;$B775)*(B_Drainage!$D$5:$D$204&lt;&gt;"")),IF(B_Drainage!$D$5:$D$204="-","",UPPER(B_Drainage!$D$5:$D$204))),"")</f>
        <v/>
      </c>
      <c r="R775" s="182" t="str">
        <f>IFERROR(LOOKUP(2,1/((D_Points!$A$5:$A$204&lt;&gt;"")*(D_Points!$A$5:$A$204&gt;=$B775)*(D_Points!$A$5:$A$204&lt;$B775+P_Interval)*(RIGHT(UPPER(TRIM(D_Points!$B$5:$B$204)),8)="_CULVERT")),IF(LEFT(UPPER(TRIM(D_Points!$B$5:$B$204)),2)="EX",1,IF(LEFT(UPPER(TRIM(D_Points!$B$5:$B$204)),2)="PR",2,3))),"")</f>
        <v/>
      </c>
      <c r="S775" s="182" t="str">
        <f>IFERROR(LOOKUP(2,1/((D_Points!$A$5:$A$204&lt;&gt;"")*(D_Points!$A$5:$A$204&gt;=$B775)*(D_Points!$A$5:$A$204&lt;$B775+P_Interval)*(RIGHT(UPPER(TRIM(D_Points!$B$5:$B$204)),7)="_BRIDGE")),IF(LEFT(UPPER(TRIM(D_Points!$B$5:$B$204)),2)="EX",1,IF(LEFT(UPPER(TRIM(D_Points!$B$5:$B$204)),2)="PR",2,2))),"")</f>
        <v/>
      </c>
      <c r="T775" s="181" t="str">
        <f>IFERROR(LOOKUP(2,1/((B_Drainage!$A$5:$A$204&lt;&gt;"")*(B_Drainage!$A$5:$A$204&lt;=$B775)*(B_Drainage!$B$5:$B$204&gt;$B775)*(B_Drainage!$E$5:$E$204&lt;&gt;"")),IF(B_Drainage!$E$5:$E$204="-","",1)),"")</f>
        <v/>
      </c>
      <c r="U775" s="181" t="str">
        <f>IFERROR(LOOKUP(2,1/((B_Drainage!$A$5:$A$204&lt;&gt;"")*(B_Drainage!$A$5:$A$204&lt;=$B775)*(B_Drainage!$B$5:$B$204&gt;$B775)*(B_Drainage!$E$5:$E$204&lt;&gt;"")),IF(B_Drainage!$E$5:$E$204="-","",B_Drainage!$E$5:$E$204)),"")</f>
        <v/>
      </c>
      <c r="V775" s="181" t="str">
        <f>IFERROR(LOOKUP(2,1/((B_Drainage!$A$5:$A$204&lt;&gt;"")*(B_Drainage!$A$5:$A$204&lt;=$B775)*(B_Drainage!$B$5:$B$204&gt;$B775)*(B_Drainage!$F$5:$F$204&lt;&gt;"")),IF(B_Drainage!$F$5:$F$204="-","",1)),"")</f>
        <v/>
      </c>
      <c r="W775" s="181" t="str">
        <f>IFERROR(LOOKUP(2,1/((B_Drainage!$A$5:$A$204&lt;&gt;"")*(B_Drainage!$A$5:$A$204&lt;=$B775)*(B_Drainage!$B$5:$B$204&gt;$B775)*(B_Drainage!$F$5:$F$204&lt;&gt;"")),IF(B_Drainage!$F$5:$F$204="-","",B_Drainage!$F$5:$F$204)),"")</f>
        <v/>
      </c>
      <c r="X775" s="181" t="str">
        <f>IFERROR(LOOKUP(2,1/((B_Drainage!$A$5:$A$204&lt;&gt;"")*(B_Drainage!$A$5:$A$204&lt;=$B775)*(B_Drainage!$B$5:$B$204&gt;$B775)*(B_Drainage!$G$5:$G$204&lt;&gt;"")),IF(UPPER(B_Drainage!$G$5:$G$204)="Y",1,"")),"")</f>
        <v/>
      </c>
      <c r="Y775" s="181" t="str">
        <f>IFERROR(LOOKUP(2,1/((B_Drainage!$A$5:$A$204&lt;&gt;"")*(B_Drainage!$A$5:$A$204&lt;=$B775)*(B_Drainage!$B$5:$B$204&gt;$B775)*(B_Drainage!$H$5:$H$204&lt;&gt;"")),IF(UPPER(B_Drainage!$H$5:$H$204)="Y",1,"")),"")</f>
        <v/>
      </c>
      <c r="Z775" s="181" t="str">
        <f>IFERROR(LOOKUP(2,1/((B_Drainage!$A$5:$A$204&lt;&gt;"")*(B_Drainage!$A$5:$A$204&lt;=$B775)*(B_Drainage!$B$5:$B$204&gt;$B775)*(B_Drainage!$I$5:$I$204&lt;&gt;"")),IF(UPPER(B_Drainage!$I$5:$I$204)="Y",1,"")),"")</f>
        <v/>
      </c>
      <c r="AA775" s="181" t="str">
        <f>IFERROR(LOOKUP(2,1/((B_Drainage!$A$5:$A$204&lt;&gt;"")*(B_Drainage!$A$5:$A$204&lt;=$B775)*(B_Drainage!$B$5:$B$204&gt;$B775)*(B_Drainage!$J$5:$J$204&lt;&gt;"")),IF(UPPER(B_Drainage!$J$5:$J$204)="Y",1,"")),"")</f>
        <v/>
      </c>
      <c r="AB775" s="182" t="str">
        <f>IFERROR(LOOKUP(2,1/((B_Drainage!$A$5:$A$204&lt;&gt;"")*(B_Drainage!$A$5:$A$204&lt;=$B775)*(B_Drainage!$B$5:$B$204&gt;$B775)*(B_Drainage!$K$5:$K$204&lt;&gt;"")),IF(B_Drainage!$K$5:$K$204="-","",B_Drainage!$K$5:$K$204)),"")</f>
        <v/>
      </c>
      <c r="AC775" s="182" t="str">
        <f>IFERROR(LOOKUP(2,1/((B_Drainage!$A$5:$A$204&lt;&gt;"")*(B_Drainage!$A$5:$A$204&lt;=$B775)*(B_Drainage!$B$5:$B$204&gt;$B775)*(B_Drainage!$L$5:$L$204&lt;&gt;"")),IF(B_Drainage!$L$5:$L$204="-","",B_Drainage!$L$5:$L$204)),"")</f>
        <v/>
      </c>
      <c r="AD775" s="182" t="str">
        <f>IFERROR(LOOKUP(2,1/((D_Points!$A$5:$A$204&lt;&gt;"")*(D_Points!$A$5:$A$204&gt;=$B775)*(D_Points!$A$5:$A$204&lt;$B775+P_Interval)*(UPPER(TRIM(D_Points!$B$5:$B$204))="TURNOUT_L")*(D_Points!$H$5:$H$204&lt;&gt;"")),D_Points!$H$5:$H$204),"")</f>
        <v/>
      </c>
      <c r="AE775" s="182" t="str">
        <f>IFERROR(LOOKUP(2,1/((D_Points!$A$5:$A$204&lt;&gt;"")*(D_Points!$A$5:$A$204&gt;=$B775)*(D_Points!$A$5:$A$204&lt;$B775+P_Interval)*(UPPER(TRIM(D_Points!$B$5:$B$204))="TURNOUT_R")*(D_Points!$H$5:$H$204&lt;&gt;"")),D_Points!$H$5:$H$204),"")</f>
        <v/>
      </c>
      <c r="AF775" s="181" t="str">
        <f>IFERROR(LOOKUP(2,1/((B_Drainage!$A$5:$A$204&lt;&gt;"")*(B_Drainage!$A$5:$A$204&lt;=$B775)*(B_Drainage!$B$5:$B$204&gt;$B775)*(B_Drainage!$M$5:$M$204&lt;&gt;"")),IF(UPPER(B_Drainage!$M$5:$M$204)="Y",1,"")),"")</f>
        <v/>
      </c>
      <c r="AG775" s="181" t="str">
        <f>IFERROR(LOOKUP(2,1/((B_Drainage!$A$5:$A$204&lt;&gt;"")*(B_Drainage!$A$5:$A$204&lt;=$B775)*(B_Drainage!$B$5:$B$204&gt;$B775)*(B_Drainage!$N$5:$N$204&lt;&gt;"")),IF(UPPER(B_Drainage!$N$5:$N$204)="Y",1,"")),"")</f>
        <v/>
      </c>
      <c r="AH775" s="181" t="str">
        <f t="shared" si="96"/>
        <v/>
      </c>
      <c r="AI775" s="181" t="str">
        <f t="shared" si="97"/>
        <v/>
      </c>
      <c r="AJ775" s="181" t="str">
        <f t="shared" si="98"/>
        <v/>
      </c>
      <c r="AK775" s="181" t="str">
        <f t="shared" si="99"/>
        <v/>
      </c>
      <c r="AL775" s="181" t="str">
        <f t="shared" si="100"/>
        <v/>
      </c>
      <c r="AM775" s="181" t="str">
        <f t="shared" si="101"/>
        <v/>
      </c>
      <c r="AN775" s="181" t="str">
        <f t="shared" si="102"/>
        <v/>
      </c>
      <c r="AO775" s="192" t="str">
        <f t="shared" si="103"/>
        <v/>
      </c>
      <c r="AQ775" t="str">
        <f>IFERROR(LOOKUP(2,1/((C_Pavement!$A$5:$A$204&lt;&gt;"")*(C_Pavement!$A$5:$A$204&lt;=$B775)*(C_Pavement!$B$5:$B$204&gt;$B775)*(C_Pavement!$C$5:$C$204&lt;&gt;"")),ROW(C_Pavement!$C$5:$C$204)-4),"")</f>
        <v/>
      </c>
      <c r="AR775" t="str">
        <f>IF($AQ775="","",UPPER(TRIM(INDEX(C_Pavement!$C$5:$C$204,$AQ775))))</f>
        <v/>
      </c>
      <c r="AS775" t="str">
        <f>IF($AR775="","",IFERROR(MATCH($AR775,E_Rules!$A$5:$A$9,0),""))</f>
        <v/>
      </c>
      <c r="AT775" t="str">
        <f>IF($AQ775="","",IF(INDEX(C_Pavement!$D$5:$D$204,$AQ775)&lt;&gt;"",UPPER(TRIM(INDEX(C_Pavement!$D$5:$D$204,$AQ775))),IF($AS775="","",INDEX(E_Rules!$C$5:$C$9,$AS775))))</f>
        <v/>
      </c>
      <c r="AU775" t="str">
        <f>IF($AQ775="","",IF(INDEX(C_Pavement!$E$5:$E$204,$AQ775)&lt;&gt;"",IF(INDEX(C_Pavement!$E$5:$E$204,$AQ775)="-","",INDEX(C_Pavement!$E$5:$E$204,$AQ775)),IF($AS775="","",INDEX(E_Rules!$D$5:$D$9,$AS775))))</f>
        <v/>
      </c>
      <c r="AV775" t="str">
        <f>IF($AQ775="","",IF(INDEX(C_Pavement!$F$5:$F$204,$AQ775)&lt;&gt;"",IF(INDEX(C_Pavement!$F$5:$F$204,$AQ775)="-","",INDEX(C_Pavement!$F$5:$F$204,$AQ775)),IF($AS775="","",INDEX(E_Rules!$E$5:$E$9,$AS775))))</f>
        <v/>
      </c>
      <c r="AW775" t="str">
        <f>IF($AQ775="","",IF(INDEX(C_Pavement!$G$5:$G$204,$AQ775)&lt;&gt;"",IF(INDEX(C_Pavement!$G$5:$G$204,$AQ775)="-","",INDEX(C_Pavement!$G$5:$G$204,$AQ775)),IF($AS775="","",INDEX(E_Rules!$F$5:$F$9,$AS775))))</f>
        <v/>
      </c>
      <c r="AX775" t="str">
        <f>IF($AQ775="","",IF(INDEX(C_Pavement!$H$5:$H$204,$AQ775)&lt;&gt;"",IF(INDEX(C_Pavement!$H$5:$H$204,$AQ775)="-","",INDEX(C_Pavement!$H$5:$H$204,$AQ775)),IF($AS775="","",INDEX(E_Rules!$G$5:$G$9,$AS775))))</f>
        <v/>
      </c>
      <c r="AY775" t="str">
        <f>IF($AQ775="","",IF(INDEX(C_Pavement!$I$5:$I$204,$AQ775)&lt;&gt;"",IF(INDEX(C_Pavement!$I$5:$I$204,$AQ775)="-","",INDEX(C_Pavement!$I$5:$I$204,$AQ775)),IF($AS775="","",INDEX(E_Rules!$H$5:$H$9,$AS775))))</f>
        <v/>
      </c>
    </row>
    <row r="776" spans="1:51" ht="15.75" customHeight="1" x14ac:dyDescent="0.3">
      <c r="A776" s="189">
        <v>771</v>
      </c>
      <c r="B776" s="180">
        <v>38500</v>
      </c>
      <c r="C776" s="180" t="s">
        <v>1082</v>
      </c>
      <c r="D776" s="181" t="str">
        <f>IFERROR(LOOKUP(2,1/((A_Corridor!$A$5:$A$204&lt;&gt;"")*(A_Corridor!$A$5:$A$204&lt;=$B776)*(A_Corridor!$B$5:$B$204&gt;$B776)*(A_Corridor!$C$5:$C$204&lt;&gt;"")),IF(UPPER(A_Corridor!$C$5:$C$204)="Y",1,"")),"")</f>
        <v/>
      </c>
      <c r="E776" s="181" t="str">
        <f>IFERROR(LOOKUP(2,1/((A_Corridor!$A$5:$A$204&lt;&gt;"")*(A_Corridor!$A$5:$A$204&lt;=$B776)*(A_Corridor!$B$5:$B$204&gt;$B776)*(A_Corridor!$D$5:$D$204&lt;&gt;"")),IF(A_Corridor!$D$5:$D$204="-","",UPPER(A_Corridor!$D$5:$D$204))),"")</f>
        <v/>
      </c>
      <c r="F776" s="181" t="str">
        <f>IFERROR(LOOKUP(2,1/((A_Corridor!$A$5:$A$204&lt;&gt;"")*(A_Corridor!$A$5:$A$204&lt;=$B776)*(A_Corridor!$B$5:$B$204&gt;$B776)*(A_Corridor!$E$5:$E$204&lt;&gt;"")),IF(A_Corridor!$E$5:$E$204="-","",1)),"")</f>
        <v/>
      </c>
      <c r="G776" s="182" t="str">
        <f>IFERROR(LOOKUP(2,1/((A_Corridor!$A$5:$A$204&lt;&gt;"")*(A_Corridor!$A$5:$A$204&lt;=$B776)*(A_Corridor!$B$5:$B$204&gt;$B776)*(A_Corridor!$E$5:$E$204&lt;&gt;"")),IF(A_Corridor!$E$5:$E$204="-","",A_Corridor!$E$5:$E$204)),"")</f>
        <v/>
      </c>
      <c r="H776" s="182" t="str">
        <f>IFERROR(LOOKUP(2,1/((D_Points!$A$5:$A$204&lt;&gt;"")*(D_Points!$A$5:$A$204&gt;=$B776)*(D_Points!$A$5:$A$204&lt;$B776+P_Interval)*(UPPER(TRIM(D_Points!$B$5:$B$204))="GULLY")*(D_Points!$H$5:$H$204&lt;&gt;"")),D_Points!$H$5:$H$204),"")</f>
        <v/>
      </c>
      <c r="I776" s="181" t="str">
        <f>IFERROR(LOOKUP(2,1/((A_Corridor!$A$5:$A$204&lt;&gt;"")*(A_Corridor!$A$5:$A$204&lt;=$B776)*(A_Corridor!$B$5:$B$204&gt;$B776)*(A_Corridor!$F$5:$F$204&lt;&gt;"")),IF(A_Corridor!$F$5:$F$204="-","",1)),"")</f>
        <v/>
      </c>
      <c r="J776" s="182" t="str">
        <f>IFERROR(LOOKUP(2,1/((A_Corridor!$A$5:$A$204&lt;&gt;"")*(A_Corridor!$A$5:$A$204&lt;=$B776)*(A_Corridor!$B$5:$B$204&gt;$B776)*(A_Corridor!$F$5:$F$204&lt;&gt;"")),IF(A_Corridor!$F$5:$F$204="-","",A_Corridor!$F$5:$F$204)),"")</f>
        <v/>
      </c>
      <c r="K776" s="182" t="str">
        <f>IFERROR(LOOKUP(2,1/((A_Corridor!$A$5:$A$204&lt;&gt;"")*(A_Corridor!$A$5:$A$204&lt;=$B776)*(A_Corridor!$B$5:$B$204&gt;$B776)*(A_Corridor!$G$5:$G$204&lt;&gt;"")),IF(A_Corridor!$G$5:$G$204="-","",A_Corridor!$G$5:$G$204)),"")</f>
        <v/>
      </c>
      <c r="L776" s="181" t="str">
        <f>IFERROR(LOOKUP(2,1/((A_Corridor!$A$5:$A$204&lt;&gt;"")*(A_Corridor!$A$5:$A$204&lt;=$B776)*(A_Corridor!$B$5:$B$204&gt;$B776)*(A_Corridor!$H$5:$H$204&lt;&gt;"")),IF(A_Corridor!$H$5:$H$204="-","",1)),"")</f>
        <v/>
      </c>
      <c r="M776" s="182" t="str">
        <f>IFERROR(LOOKUP(2,1/((A_Corridor!$A$5:$A$204&lt;&gt;"")*(A_Corridor!$A$5:$A$204&lt;=$B776)*(A_Corridor!$B$5:$B$204&gt;$B776)*(A_Corridor!$H$5:$H$204&lt;&gt;"")),IF(A_Corridor!$H$5:$H$204="-","",A_Corridor!$H$5:$H$204)),"")</f>
        <v/>
      </c>
      <c r="N776" s="182" t="str">
        <f>IFERROR(LOOKUP(2,1/((A_Corridor!$A$5:$A$204&lt;&gt;"")*(A_Corridor!$A$5:$A$204&lt;=$B776)*(A_Corridor!$B$5:$B$204&gt;$B776)*(A_Corridor!$I$5:$I$204&lt;&gt;"")),IF(A_Corridor!$I$5:$I$204="-","",A_Corridor!$I$5:$I$204)),"")</f>
        <v/>
      </c>
      <c r="O776" s="182" t="str">
        <f>IFERROR(LOOKUP(2,1/((D_Points!$A$5:$A$204&lt;&gt;"")*(D_Points!$A$5:$A$204&gt;=$B776)*(D_Points!$A$5:$A$204&lt;$B776+P_Interval)*(UPPER(TRIM(D_Points!$B$5:$B$204))="PITCHING")*(D_Points!$H$5:$H$204&lt;&gt;"")),D_Points!$H$5:$H$204),"")</f>
        <v/>
      </c>
      <c r="P776" s="181" t="str">
        <f>IFERROR(LOOKUP(2,1/((B_Drainage!$A$5:$A$204&lt;&gt;"")*(B_Drainage!$A$5:$A$204&lt;=$B776)*(B_Drainage!$B$5:$B$204&gt;$B776)*(B_Drainage!$C$5:$C$204&lt;&gt;"")),IF(B_Drainage!$C$5:$C$204="-","",UPPER(B_Drainage!$C$5:$C$204))),"")</f>
        <v/>
      </c>
      <c r="Q776" s="181" t="str">
        <f>IFERROR(LOOKUP(2,1/((B_Drainage!$A$5:$A$204&lt;&gt;"")*(B_Drainage!$A$5:$A$204&lt;=$B776)*(B_Drainage!$B$5:$B$204&gt;$B776)*(B_Drainage!$D$5:$D$204&lt;&gt;"")),IF(B_Drainage!$D$5:$D$204="-","",UPPER(B_Drainage!$D$5:$D$204))),"")</f>
        <v/>
      </c>
      <c r="R776" s="182" t="str">
        <f>IFERROR(LOOKUP(2,1/((D_Points!$A$5:$A$204&lt;&gt;"")*(D_Points!$A$5:$A$204&gt;=$B776)*(D_Points!$A$5:$A$204&lt;$B776+P_Interval)*(RIGHT(UPPER(TRIM(D_Points!$B$5:$B$204)),8)="_CULVERT")),IF(LEFT(UPPER(TRIM(D_Points!$B$5:$B$204)),2)="EX",1,IF(LEFT(UPPER(TRIM(D_Points!$B$5:$B$204)),2)="PR",2,3))),"")</f>
        <v/>
      </c>
      <c r="S776" s="182" t="str">
        <f>IFERROR(LOOKUP(2,1/((D_Points!$A$5:$A$204&lt;&gt;"")*(D_Points!$A$5:$A$204&gt;=$B776)*(D_Points!$A$5:$A$204&lt;$B776+P_Interval)*(RIGHT(UPPER(TRIM(D_Points!$B$5:$B$204)),7)="_BRIDGE")),IF(LEFT(UPPER(TRIM(D_Points!$B$5:$B$204)),2)="EX",1,IF(LEFT(UPPER(TRIM(D_Points!$B$5:$B$204)),2)="PR",2,2))),"")</f>
        <v/>
      </c>
      <c r="T776" s="181" t="str">
        <f>IFERROR(LOOKUP(2,1/((B_Drainage!$A$5:$A$204&lt;&gt;"")*(B_Drainage!$A$5:$A$204&lt;=$B776)*(B_Drainage!$B$5:$B$204&gt;$B776)*(B_Drainage!$E$5:$E$204&lt;&gt;"")),IF(B_Drainage!$E$5:$E$204="-","",1)),"")</f>
        <v/>
      </c>
      <c r="U776" s="181" t="str">
        <f>IFERROR(LOOKUP(2,1/((B_Drainage!$A$5:$A$204&lt;&gt;"")*(B_Drainage!$A$5:$A$204&lt;=$B776)*(B_Drainage!$B$5:$B$204&gt;$B776)*(B_Drainage!$E$5:$E$204&lt;&gt;"")),IF(B_Drainage!$E$5:$E$204="-","",B_Drainage!$E$5:$E$204)),"")</f>
        <v/>
      </c>
      <c r="V776" s="181" t="str">
        <f>IFERROR(LOOKUP(2,1/((B_Drainage!$A$5:$A$204&lt;&gt;"")*(B_Drainage!$A$5:$A$204&lt;=$B776)*(B_Drainage!$B$5:$B$204&gt;$B776)*(B_Drainage!$F$5:$F$204&lt;&gt;"")),IF(B_Drainage!$F$5:$F$204="-","",1)),"")</f>
        <v/>
      </c>
      <c r="W776" s="181" t="str">
        <f>IFERROR(LOOKUP(2,1/((B_Drainage!$A$5:$A$204&lt;&gt;"")*(B_Drainage!$A$5:$A$204&lt;=$B776)*(B_Drainage!$B$5:$B$204&gt;$B776)*(B_Drainage!$F$5:$F$204&lt;&gt;"")),IF(B_Drainage!$F$5:$F$204="-","",B_Drainage!$F$5:$F$204)),"")</f>
        <v/>
      </c>
      <c r="X776" s="181" t="str">
        <f>IFERROR(LOOKUP(2,1/((B_Drainage!$A$5:$A$204&lt;&gt;"")*(B_Drainage!$A$5:$A$204&lt;=$B776)*(B_Drainage!$B$5:$B$204&gt;$B776)*(B_Drainage!$G$5:$G$204&lt;&gt;"")),IF(UPPER(B_Drainage!$G$5:$G$204)="Y",1,"")),"")</f>
        <v/>
      </c>
      <c r="Y776" s="181" t="str">
        <f>IFERROR(LOOKUP(2,1/((B_Drainage!$A$5:$A$204&lt;&gt;"")*(B_Drainage!$A$5:$A$204&lt;=$B776)*(B_Drainage!$B$5:$B$204&gt;$B776)*(B_Drainage!$H$5:$H$204&lt;&gt;"")),IF(UPPER(B_Drainage!$H$5:$H$204)="Y",1,"")),"")</f>
        <v/>
      </c>
      <c r="Z776" s="181" t="str">
        <f>IFERROR(LOOKUP(2,1/((B_Drainage!$A$5:$A$204&lt;&gt;"")*(B_Drainage!$A$5:$A$204&lt;=$B776)*(B_Drainage!$B$5:$B$204&gt;$B776)*(B_Drainage!$I$5:$I$204&lt;&gt;"")),IF(UPPER(B_Drainage!$I$5:$I$204)="Y",1,"")),"")</f>
        <v/>
      </c>
      <c r="AA776" s="181" t="str">
        <f>IFERROR(LOOKUP(2,1/((B_Drainage!$A$5:$A$204&lt;&gt;"")*(B_Drainage!$A$5:$A$204&lt;=$B776)*(B_Drainage!$B$5:$B$204&gt;$B776)*(B_Drainage!$J$5:$J$204&lt;&gt;"")),IF(UPPER(B_Drainage!$J$5:$J$204)="Y",1,"")),"")</f>
        <v/>
      </c>
      <c r="AB776" s="182" t="str">
        <f>IFERROR(LOOKUP(2,1/((B_Drainage!$A$5:$A$204&lt;&gt;"")*(B_Drainage!$A$5:$A$204&lt;=$B776)*(B_Drainage!$B$5:$B$204&gt;$B776)*(B_Drainage!$K$5:$K$204&lt;&gt;"")),IF(B_Drainage!$K$5:$K$204="-","",B_Drainage!$K$5:$K$204)),"")</f>
        <v/>
      </c>
      <c r="AC776" s="182" t="str">
        <f>IFERROR(LOOKUP(2,1/((B_Drainage!$A$5:$A$204&lt;&gt;"")*(B_Drainage!$A$5:$A$204&lt;=$B776)*(B_Drainage!$B$5:$B$204&gt;$B776)*(B_Drainage!$L$5:$L$204&lt;&gt;"")),IF(B_Drainage!$L$5:$L$204="-","",B_Drainage!$L$5:$L$204)),"")</f>
        <v/>
      </c>
      <c r="AD776" s="182" t="str">
        <f>IFERROR(LOOKUP(2,1/((D_Points!$A$5:$A$204&lt;&gt;"")*(D_Points!$A$5:$A$204&gt;=$B776)*(D_Points!$A$5:$A$204&lt;$B776+P_Interval)*(UPPER(TRIM(D_Points!$B$5:$B$204))="TURNOUT_L")*(D_Points!$H$5:$H$204&lt;&gt;"")),D_Points!$H$5:$H$204),"")</f>
        <v/>
      </c>
      <c r="AE776" s="182" t="str">
        <f>IFERROR(LOOKUP(2,1/((D_Points!$A$5:$A$204&lt;&gt;"")*(D_Points!$A$5:$A$204&gt;=$B776)*(D_Points!$A$5:$A$204&lt;$B776+P_Interval)*(UPPER(TRIM(D_Points!$B$5:$B$204))="TURNOUT_R")*(D_Points!$H$5:$H$204&lt;&gt;"")),D_Points!$H$5:$H$204),"")</f>
        <v/>
      </c>
      <c r="AF776" s="181" t="str">
        <f>IFERROR(LOOKUP(2,1/((B_Drainage!$A$5:$A$204&lt;&gt;"")*(B_Drainage!$A$5:$A$204&lt;=$B776)*(B_Drainage!$B$5:$B$204&gt;$B776)*(B_Drainage!$M$5:$M$204&lt;&gt;"")),IF(UPPER(B_Drainage!$M$5:$M$204)="Y",1,"")),"")</f>
        <v/>
      </c>
      <c r="AG776" s="181" t="str">
        <f>IFERROR(LOOKUP(2,1/((B_Drainage!$A$5:$A$204&lt;&gt;"")*(B_Drainage!$A$5:$A$204&lt;=$B776)*(B_Drainage!$B$5:$B$204&gt;$B776)*(B_Drainage!$N$5:$N$204&lt;&gt;"")),IF(UPPER(B_Drainage!$N$5:$N$204)="Y",1,"")),"")</f>
        <v/>
      </c>
      <c r="AH776" s="181" t="str">
        <f t="shared" si="96"/>
        <v/>
      </c>
      <c r="AI776" s="181" t="str">
        <f t="shared" si="97"/>
        <v/>
      </c>
      <c r="AJ776" s="181" t="str">
        <f t="shared" si="98"/>
        <v/>
      </c>
      <c r="AK776" s="181" t="str">
        <f t="shared" si="99"/>
        <v/>
      </c>
      <c r="AL776" s="181" t="str">
        <f t="shared" si="100"/>
        <v/>
      </c>
      <c r="AM776" s="181" t="str">
        <f t="shared" si="101"/>
        <v/>
      </c>
      <c r="AN776" s="181" t="str">
        <f t="shared" si="102"/>
        <v/>
      </c>
      <c r="AO776" s="192" t="str">
        <f t="shared" si="103"/>
        <v/>
      </c>
      <c r="AQ776" t="str">
        <f>IFERROR(LOOKUP(2,1/((C_Pavement!$A$5:$A$204&lt;&gt;"")*(C_Pavement!$A$5:$A$204&lt;=$B776)*(C_Pavement!$B$5:$B$204&gt;$B776)*(C_Pavement!$C$5:$C$204&lt;&gt;"")),ROW(C_Pavement!$C$5:$C$204)-4),"")</f>
        <v/>
      </c>
      <c r="AR776" t="str">
        <f>IF($AQ776="","",UPPER(TRIM(INDEX(C_Pavement!$C$5:$C$204,$AQ776))))</f>
        <v/>
      </c>
      <c r="AS776" t="str">
        <f>IF($AR776="","",IFERROR(MATCH($AR776,E_Rules!$A$5:$A$9,0),""))</f>
        <v/>
      </c>
      <c r="AT776" t="str">
        <f>IF($AQ776="","",IF(INDEX(C_Pavement!$D$5:$D$204,$AQ776)&lt;&gt;"",UPPER(TRIM(INDEX(C_Pavement!$D$5:$D$204,$AQ776))),IF($AS776="","",INDEX(E_Rules!$C$5:$C$9,$AS776))))</f>
        <v/>
      </c>
      <c r="AU776" t="str">
        <f>IF($AQ776="","",IF(INDEX(C_Pavement!$E$5:$E$204,$AQ776)&lt;&gt;"",IF(INDEX(C_Pavement!$E$5:$E$204,$AQ776)="-","",INDEX(C_Pavement!$E$5:$E$204,$AQ776)),IF($AS776="","",INDEX(E_Rules!$D$5:$D$9,$AS776))))</f>
        <v/>
      </c>
      <c r="AV776" t="str">
        <f>IF($AQ776="","",IF(INDEX(C_Pavement!$F$5:$F$204,$AQ776)&lt;&gt;"",IF(INDEX(C_Pavement!$F$5:$F$204,$AQ776)="-","",INDEX(C_Pavement!$F$5:$F$204,$AQ776)),IF($AS776="","",INDEX(E_Rules!$E$5:$E$9,$AS776))))</f>
        <v/>
      </c>
      <c r="AW776" t="str">
        <f>IF($AQ776="","",IF(INDEX(C_Pavement!$G$5:$G$204,$AQ776)&lt;&gt;"",IF(INDEX(C_Pavement!$G$5:$G$204,$AQ776)="-","",INDEX(C_Pavement!$G$5:$G$204,$AQ776)),IF($AS776="","",INDEX(E_Rules!$F$5:$F$9,$AS776))))</f>
        <v/>
      </c>
      <c r="AX776" t="str">
        <f>IF($AQ776="","",IF(INDEX(C_Pavement!$H$5:$H$204,$AQ776)&lt;&gt;"",IF(INDEX(C_Pavement!$H$5:$H$204,$AQ776)="-","",INDEX(C_Pavement!$H$5:$H$204,$AQ776)),IF($AS776="","",INDEX(E_Rules!$G$5:$G$9,$AS776))))</f>
        <v/>
      </c>
      <c r="AY776" t="str">
        <f>IF($AQ776="","",IF(INDEX(C_Pavement!$I$5:$I$204,$AQ776)&lt;&gt;"",IF(INDEX(C_Pavement!$I$5:$I$204,$AQ776)="-","",INDEX(C_Pavement!$I$5:$I$204,$AQ776)),IF($AS776="","",INDEX(E_Rules!$H$5:$H$9,$AS776))))</f>
        <v/>
      </c>
    </row>
    <row r="777" spans="1:51" ht="15.75" customHeight="1" x14ac:dyDescent="0.3">
      <c r="A777" s="189">
        <v>772</v>
      </c>
      <c r="B777" s="180">
        <v>38550</v>
      </c>
      <c r="C777" s="180" t="s">
        <v>1083</v>
      </c>
      <c r="D777" s="181" t="str">
        <f>IFERROR(LOOKUP(2,1/((A_Corridor!$A$5:$A$204&lt;&gt;"")*(A_Corridor!$A$5:$A$204&lt;=$B777)*(A_Corridor!$B$5:$B$204&gt;$B777)*(A_Corridor!$C$5:$C$204&lt;&gt;"")),IF(UPPER(A_Corridor!$C$5:$C$204)="Y",1,"")),"")</f>
        <v/>
      </c>
      <c r="E777" s="181" t="str">
        <f>IFERROR(LOOKUP(2,1/((A_Corridor!$A$5:$A$204&lt;&gt;"")*(A_Corridor!$A$5:$A$204&lt;=$B777)*(A_Corridor!$B$5:$B$204&gt;$B777)*(A_Corridor!$D$5:$D$204&lt;&gt;"")),IF(A_Corridor!$D$5:$D$204="-","",UPPER(A_Corridor!$D$5:$D$204))),"")</f>
        <v/>
      </c>
      <c r="F777" s="181" t="str">
        <f>IFERROR(LOOKUP(2,1/((A_Corridor!$A$5:$A$204&lt;&gt;"")*(A_Corridor!$A$5:$A$204&lt;=$B777)*(A_Corridor!$B$5:$B$204&gt;$B777)*(A_Corridor!$E$5:$E$204&lt;&gt;"")),IF(A_Corridor!$E$5:$E$204="-","",1)),"")</f>
        <v/>
      </c>
      <c r="G777" s="182" t="str">
        <f>IFERROR(LOOKUP(2,1/((A_Corridor!$A$5:$A$204&lt;&gt;"")*(A_Corridor!$A$5:$A$204&lt;=$B777)*(A_Corridor!$B$5:$B$204&gt;$B777)*(A_Corridor!$E$5:$E$204&lt;&gt;"")),IF(A_Corridor!$E$5:$E$204="-","",A_Corridor!$E$5:$E$204)),"")</f>
        <v/>
      </c>
      <c r="H777" s="182" t="str">
        <f>IFERROR(LOOKUP(2,1/((D_Points!$A$5:$A$204&lt;&gt;"")*(D_Points!$A$5:$A$204&gt;=$B777)*(D_Points!$A$5:$A$204&lt;$B777+P_Interval)*(UPPER(TRIM(D_Points!$B$5:$B$204))="GULLY")*(D_Points!$H$5:$H$204&lt;&gt;"")),D_Points!$H$5:$H$204),"")</f>
        <v/>
      </c>
      <c r="I777" s="181" t="str">
        <f>IFERROR(LOOKUP(2,1/((A_Corridor!$A$5:$A$204&lt;&gt;"")*(A_Corridor!$A$5:$A$204&lt;=$B777)*(A_Corridor!$B$5:$B$204&gt;$B777)*(A_Corridor!$F$5:$F$204&lt;&gt;"")),IF(A_Corridor!$F$5:$F$204="-","",1)),"")</f>
        <v/>
      </c>
      <c r="J777" s="182" t="str">
        <f>IFERROR(LOOKUP(2,1/((A_Corridor!$A$5:$A$204&lt;&gt;"")*(A_Corridor!$A$5:$A$204&lt;=$B777)*(A_Corridor!$B$5:$B$204&gt;$B777)*(A_Corridor!$F$5:$F$204&lt;&gt;"")),IF(A_Corridor!$F$5:$F$204="-","",A_Corridor!$F$5:$F$204)),"")</f>
        <v/>
      </c>
      <c r="K777" s="182" t="str">
        <f>IFERROR(LOOKUP(2,1/((A_Corridor!$A$5:$A$204&lt;&gt;"")*(A_Corridor!$A$5:$A$204&lt;=$B777)*(A_Corridor!$B$5:$B$204&gt;$B777)*(A_Corridor!$G$5:$G$204&lt;&gt;"")),IF(A_Corridor!$G$5:$G$204="-","",A_Corridor!$G$5:$G$204)),"")</f>
        <v/>
      </c>
      <c r="L777" s="181" t="str">
        <f>IFERROR(LOOKUP(2,1/((A_Corridor!$A$5:$A$204&lt;&gt;"")*(A_Corridor!$A$5:$A$204&lt;=$B777)*(A_Corridor!$B$5:$B$204&gt;$B777)*(A_Corridor!$H$5:$H$204&lt;&gt;"")),IF(A_Corridor!$H$5:$H$204="-","",1)),"")</f>
        <v/>
      </c>
      <c r="M777" s="182" t="str">
        <f>IFERROR(LOOKUP(2,1/((A_Corridor!$A$5:$A$204&lt;&gt;"")*(A_Corridor!$A$5:$A$204&lt;=$B777)*(A_Corridor!$B$5:$B$204&gt;$B777)*(A_Corridor!$H$5:$H$204&lt;&gt;"")),IF(A_Corridor!$H$5:$H$204="-","",A_Corridor!$H$5:$H$204)),"")</f>
        <v/>
      </c>
      <c r="N777" s="182" t="str">
        <f>IFERROR(LOOKUP(2,1/((A_Corridor!$A$5:$A$204&lt;&gt;"")*(A_Corridor!$A$5:$A$204&lt;=$B777)*(A_Corridor!$B$5:$B$204&gt;$B777)*(A_Corridor!$I$5:$I$204&lt;&gt;"")),IF(A_Corridor!$I$5:$I$204="-","",A_Corridor!$I$5:$I$204)),"")</f>
        <v/>
      </c>
      <c r="O777" s="182" t="str">
        <f>IFERROR(LOOKUP(2,1/((D_Points!$A$5:$A$204&lt;&gt;"")*(D_Points!$A$5:$A$204&gt;=$B777)*(D_Points!$A$5:$A$204&lt;$B777+P_Interval)*(UPPER(TRIM(D_Points!$B$5:$B$204))="PITCHING")*(D_Points!$H$5:$H$204&lt;&gt;"")),D_Points!$H$5:$H$204),"")</f>
        <v/>
      </c>
      <c r="P777" s="181" t="str">
        <f>IFERROR(LOOKUP(2,1/((B_Drainage!$A$5:$A$204&lt;&gt;"")*(B_Drainage!$A$5:$A$204&lt;=$B777)*(B_Drainage!$B$5:$B$204&gt;$B777)*(B_Drainage!$C$5:$C$204&lt;&gt;"")),IF(B_Drainage!$C$5:$C$204="-","",UPPER(B_Drainage!$C$5:$C$204))),"")</f>
        <v/>
      </c>
      <c r="Q777" s="181" t="str">
        <f>IFERROR(LOOKUP(2,1/((B_Drainage!$A$5:$A$204&lt;&gt;"")*(B_Drainage!$A$5:$A$204&lt;=$B777)*(B_Drainage!$B$5:$B$204&gt;$B777)*(B_Drainage!$D$5:$D$204&lt;&gt;"")),IF(B_Drainage!$D$5:$D$204="-","",UPPER(B_Drainage!$D$5:$D$204))),"")</f>
        <v/>
      </c>
      <c r="R777" s="182" t="str">
        <f>IFERROR(LOOKUP(2,1/((D_Points!$A$5:$A$204&lt;&gt;"")*(D_Points!$A$5:$A$204&gt;=$B777)*(D_Points!$A$5:$A$204&lt;$B777+P_Interval)*(RIGHT(UPPER(TRIM(D_Points!$B$5:$B$204)),8)="_CULVERT")),IF(LEFT(UPPER(TRIM(D_Points!$B$5:$B$204)),2)="EX",1,IF(LEFT(UPPER(TRIM(D_Points!$B$5:$B$204)),2)="PR",2,3))),"")</f>
        <v/>
      </c>
      <c r="S777" s="182" t="str">
        <f>IFERROR(LOOKUP(2,1/((D_Points!$A$5:$A$204&lt;&gt;"")*(D_Points!$A$5:$A$204&gt;=$B777)*(D_Points!$A$5:$A$204&lt;$B777+P_Interval)*(RIGHT(UPPER(TRIM(D_Points!$B$5:$B$204)),7)="_BRIDGE")),IF(LEFT(UPPER(TRIM(D_Points!$B$5:$B$204)),2)="EX",1,IF(LEFT(UPPER(TRIM(D_Points!$B$5:$B$204)),2)="PR",2,2))),"")</f>
        <v/>
      </c>
      <c r="T777" s="181" t="str">
        <f>IFERROR(LOOKUP(2,1/((B_Drainage!$A$5:$A$204&lt;&gt;"")*(B_Drainage!$A$5:$A$204&lt;=$B777)*(B_Drainage!$B$5:$B$204&gt;$B777)*(B_Drainage!$E$5:$E$204&lt;&gt;"")),IF(B_Drainage!$E$5:$E$204="-","",1)),"")</f>
        <v/>
      </c>
      <c r="U777" s="181" t="str">
        <f>IFERROR(LOOKUP(2,1/((B_Drainage!$A$5:$A$204&lt;&gt;"")*(B_Drainage!$A$5:$A$204&lt;=$B777)*(B_Drainage!$B$5:$B$204&gt;$B777)*(B_Drainage!$E$5:$E$204&lt;&gt;"")),IF(B_Drainage!$E$5:$E$204="-","",B_Drainage!$E$5:$E$204)),"")</f>
        <v/>
      </c>
      <c r="V777" s="181" t="str">
        <f>IFERROR(LOOKUP(2,1/((B_Drainage!$A$5:$A$204&lt;&gt;"")*(B_Drainage!$A$5:$A$204&lt;=$B777)*(B_Drainage!$B$5:$B$204&gt;$B777)*(B_Drainage!$F$5:$F$204&lt;&gt;"")),IF(B_Drainage!$F$5:$F$204="-","",1)),"")</f>
        <v/>
      </c>
      <c r="W777" s="181" t="str">
        <f>IFERROR(LOOKUP(2,1/((B_Drainage!$A$5:$A$204&lt;&gt;"")*(B_Drainage!$A$5:$A$204&lt;=$B777)*(B_Drainage!$B$5:$B$204&gt;$B777)*(B_Drainage!$F$5:$F$204&lt;&gt;"")),IF(B_Drainage!$F$5:$F$204="-","",B_Drainage!$F$5:$F$204)),"")</f>
        <v/>
      </c>
      <c r="X777" s="181" t="str">
        <f>IFERROR(LOOKUP(2,1/((B_Drainage!$A$5:$A$204&lt;&gt;"")*(B_Drainage!$A$5:$A$204&lt;=$B777)*(B_Drainage!$B$5:$B$204&gt;$B777)*(B_Drainage!$G$5:$G$204&lt;&gt;"")),IF(UPPER(B_Drainage!$G$5:$G$204)="Y",1,"")),"")</f>
        <v/>
      </c>
      <c r="Y777" s="181" t="str">
        <f>IFERROR(LOOKUP(2,1/((B_Drainage!$A$5:$A$204&lt;&gt;"")*(B_Drainage!$A$5:$A$204&lt;=$B777)*(B_Drainage!$B$5:$B$204&gt;$B777)*(B_Drainage!$H$5:$H$204&lt;&gt;"")),IF(UPPER(B_Drainage!$H$5:$H$204)="Y",1,"")),"")</f>
        <v/>
      </c>
      <c r="Z777" s="181" t="str">
        <f>IFERROR(LOOKUP(2,1/((B_Drainage!$A$5:$A$204&lt;&gt;"")*(B_Drainage!$A$5:$A$204&lt;=$B777)*(B_Drainage!$B$5:$B$204&gt;$B777)*(B_Drainage!$I$5:$I$204&lt;&gt;"")),IF(UPPER(B_Drainage!$I$5:$I$204)="Y",1,"")),"")</f>
        <v/>
      </c>
      <c r="AA777" s="181" t="str">
        <f>IFERROR(LOOKUP(2,1/((B_Drainage!$A$5:$A$204&lt;&gt;"")*(B_Drainage!$A$5:$A$204&lt;=$B777)*(B_Drainage!$B$5:$B$204&gt;$B777)*(B_Drainage!$J$5:$J$204&lt;&gt;"")),IF(UPPER(B_Drainage!$J$5:$J$204)="Y",1,"")),"")</f>
        <v/>
      </c>
      <c r="AB777" s="182" t="str">
        <f>IFERROR(LOOKUP(2,1/((B_Drainage!$A$5:$A$204&lt;&gt;"")*(B_Drainage!$A$5:$A$204&lt;=$B777)*(B_Drainage!$B$5:$B$204&gt;$B777)*(B_Drainage!$K$5:$K$204&lt;&gt;"")),IF(B_Drainage!$K$5:$K$204="-","",B_Drainage!$K$5:$K$204)),"")</f>
        <v/>
      </c>
      <c r="AC777" s="182" t="str">
        <f>IFERROR(LOOKUP(2,1/((B_Drainage!$A$5:$A$204&lt;&gt;"")*(B_Drainage!$A$5:$A$204&lt;=$B777)*(B_Drainage!$B$5:$B$204&gt;$B777)*(B_Drainage!$L$5:$L$204&lt;&gt;"")),IF(B_Drainage!$L$5:$L$204="-","",B_Drainage!$L$5:$L$204)),"")</f>
        <v/>
      </c>
      <c r="AD777" s="182" t="str">
        <f>IFERROR(LOOKUP(2,1/((D_Points!$A$5:$A$204&lt;&gt;"")*(D_Points!$A$5:$A$204&gt;=$B777)*(D_Points!$A$5:$A$204&lt;$B777+P_Interval)*(UPPER(TRIM(D_Points!$B$5:$B$204))="TURNOUT_L")*(D_Points!$H$5:$H$204&lt;&gt;"")),D_Points!$H$5:$H$204),"")</f>
        <v/>
      </c>
      <c r="AE777" s="182" t="str">
        <f>IFERROR(LOOKUP(2,1/((D_Points!$A$5:$A$204&lt;&gt;"")*(D_Points!$A$5:$A$204&gt;=$B777)*(D_Points!$A$5:$A$204&lt;$B777+P_Interval)*(UPPER(TRIM(D_Points!$B$5:$B$204))="TURNOUT_R")*(D_Points!$H$5:$H$204&lt;&gt;"")),D_Points!$H$5:$H$204),"")</f>
        <v/>
      </c>
      <c r="AF777" s="181" t="str">
        <f>IFERROR(LOOKUP(2,1/((B_Drainage!$A$5:$A$204&lt;&gt;"")*(B_Drainage!$A$5:$A$204&lt;=$B777)*(B_Drainage!$B$5:$B$204&gt;$B777)*(B_Drainage!$M$5:$M$204&lt;&gt;"")),IF(UPPER(B_Drainage!$M$5:$M$204)="Y",1,"")),"")</f>
        <v/>
      </c>
      <c r="AG777" s="181" t="str">
        <f>IFERROR(LOOKUP(2,1/((B_Drainage!$A$5:$A$204&lt;&gt;"")*(B_Drainage!$A$5:$A$204&lt;=$B777)*(B_Drainage!$B$5:$B$204&gt;$B777)*(B_Drainage!$N$5:$N$204&lt;&gt;"")),IF(UPPER(B_Drainage!$N$5:$N$204)="Y",1,"")),"")</f>
        <v/>
      </c>
      <c r="AH777" s="181" t="str">
        <f t="shared" si="96"/>
        <v/>
      </c>
      <c r="AI777" s="181" t="str">
        <f t="shared" si="97"/>
        <v/>
      </c>
      <c r="AJ777" s="181" t="str">
        <f t="shared" si="98"/>
        <v/>
      </c>
      <c r="AK777" s="181" t="str">
        <f t="shared" si="99"/>
        <v/>
      </c>
      <c r="AL777" s="181" t="str">
        <f t="shared" si="100"/>
        <v/>
      </c>
      <c r="AM777" s="181" t="str">
        <f t="shared" si="101"/>
        <v/>
      </c>
      <c r="AN777" s="181" t="str">
        <f t="shared" si="102"/>
        <v/>
      </c>
      <c r="AO777" s="192" t="str">
        <f t="shared" si="103"/>
        <v/>
      </c>
      <c r="AQ777" t="str">
        <f>IFERROR(LOOKUP(2,1/((C_Pavement!$A$5:$A$204&lt;&gt;"")*(C_Pavement!$A$5:$A$204&lt;=$B777)*(C_Pavement!$B$5:$B$204&gt;$B777)*(C_Pavement!$C$5:$C$204&lt;&gt;"")),ROW(C_Pavement!$C$5:$C$204)-4),"")</f>
        <v/>
      </c>
      <c r="AR777" t="str">
        <f>IF($AQ777="","",UPPER(TRIM(INDEX(C_Pavement!$C$5:$C$204,$AQ777))))</f>
        <v/>
      </c>
      <c r="AS777" t="str">
        <f>IF($AR777="","",IFERROR(MATCH($AR777,E_Rules!$A$5:$A$9,0),""))</f>
        <v/>
      </c>
      <c r="AT777" t="str">
        <f>IF($AQ777="","",IF(INDEX(C_Pavement!$D$5:$D$204,$AQ777)&lt;&gt;"",UPPER(TRIM(INDEX(C_Pavement!$D$5:$D$204,$AQ777))),IF($AS777="","",INDEX(E_Rules!$C$5:$C$9,$AS777))))</f>
        <v/>
      </c>
      <c r="AU777" t="str">
        <f>IF($AQ777="","",IF(INDEX(C_Pavement!$E$5:$E$204,$AQ777)&lt;&gt;"",IF(INDEX(C_Pavement!$E$5:$E$204,$AQ777)="-","",INDEX(C_Pavement!$E$5:$E$204,$AQ777)),IF($AS777="","",INDEX(E_Rules!$D$5:$D$9,$AS777))))</f>
        <v/>
      </c>
      <c r="AV777" t="str">
        <f>IF($AQ777="","",IF(INDEX(C_Pavement!$F$5:$F$204,$AQ777)&lt;&gt;"",IF(INDEX(C_Pavement!$F$5:$F$204,$AQ777)="-","",INDEX(C_Pavement!$F$5:$F$204,$AQ777)),IF($AS777="","",INDEX(E_Rules!$E$5:$E$9,$AS777))))</f>
        <v/>
      </c>
      <c r="AW777" t="str">
        <f>IF($AQ777="","",IF(INDEX(C_Pavement!$G$5:$G$204,$AQ777)&lt;&gt;"",IF(INDEX(C_Pavement!$G$5:$G$204,$AQ777)="-","",INDEX(C_Pavement!$G$5:$G$204,$AQ777)),IF($AS777="","",INDEX(E_Rules!$F$5:$F$9,$AS777))))</f>
        <v/>
      </c>
      <c r="AX777" t="str">
        <f>IF($AQ777="","",IF(INDEX(C_Pavement!$H$5:$H$204,$AQ777)&lt;&gt;"",IF(INDEX(C_Pavement!$H$5:$H$204,$AQ777)="-","",INDEX(C_Pavement!$H$5:$H$204,$AQ777)),IF($AS777="","",INDEX(E_Rules!$G$5:$G$9,$AS777))))</f>
        <v/>
      </c>
      <c r="AY777" t="str">
        <f>IF($AQ777="","",IF(INDEX(C_Pavement!$I$5:$I$204,$AQ777)&lt;&gt;"",IF(INDEX(C_Pavement!$I$5:$I$204,$AQ777)="-","",INDEX(C_Pavement!$I$5:$I$204,$AQ777)),IF($AS777="","",INDEX(E_Rules!$H$5:$H$9,$AS777))))</f>
        <v/>
      </c>
    </row>
    <row r="778" spans="1:51" ht="15.75" customHeight="1" x14ac:dyDescent="0.3">
      <c r="A778" s="189">
        <v>773</v>
      </c>
      <c r="B778" s="180">
        <v>38600</v>
      </c>
      <c r="C778" s="180" t="s">
        <v>1084</v>
      </c>
      <c r="D778" s="181" t="str">
        <f>IFERROR(LOOKUP(2,1/((A_Corridor!$A$5:$A$204&lt;&gt;"")*(A_Corridor!$A$5:$A$204&lt;=$B778)*(A_Corridor!$B$5:$B$204&gt;$B778)*(A_Corridor!$C$5:$C$204&lt;&gt;"")),IF(UPPER(A_Corridor!$C$5:$C$204)="Y",1,"")),"")</f>
        <v/>
      </c>
      <c r="E778" s="181" t="str">
        <f>IFERROR(LOOKUP(2,1/((A_Corridor!$A$5:$A$204&lt;&gt;"")*(A_Corridor!$A$5:$A$204&lt;=$B778)*(A_Corridor!$B$5:$B$204&gt;$B778)*(A_Corridor!$D$5:$D$204&lt;&gt;"")),IF(A_Corridor!$D$5:$D$204="-","",UPPER(A_Corridor!$D$5:$D$204))),"")</f>
        <v/>
      </c>
      <c r="F778" s="181" t="str">
        <f>IFERROR(LOOKUP(2,1/((A_Corridor!$A$5:$A$204&lt;&gt;"")*(A_Corridor!$A$5:$A$204&lt;=$B778)*(A_Corridor!$B$5:$B$204&gt;$B778)*(A_Corridor!$E$5:$E$204&lt;&gt;"")),IF(A_Corridor!$E$5:$E$204="-","",1)),"")</f>
        <v/>
      </c>
      <c r="G778" s="182" t="str">
        <f>IFERROR(LOOKUP(2,1/((A_Corridor!$A$5:$A$204&lt;&gt;"")*(A_Corridor!$A$5:$A$204&lt;=$B778)*(A_Corridor!$B$5:$B$204&gt;$B778)*(A_Corridor!$E$5:$E$204&lt;&gt;"")),IF(A_Corridor!$E$5:$E$204="-","",A_Corridor!$E$5:$E$204)),"")</f>
        <v/>
      </c>
      <c r="H778" s="182" t="str">
        <f>IFERROR(LOOKUP(2,1/((D_Points!$A$5:$A$204&lt;&gt;"")*(D_Points!$A$5:$A$204&gt;=$B778)*(D_Points!$A$5:$A$204&lt;$B778+P_Interval)*(UPPER(TRIM(D_Points!$B$5:$B$204))="GULLY")*(D_Points!$H$5:$H$204&lt;&gt;"")),D_Points!$H$5:$H$204),"")</f>
        <v/>
      </c>
      <c r="I778" s="181" t="str">
        <f>IFERROR(LOOKUP(2,1/((A_Corridor!$A$5:$A$204&lt;&gt;"")*(A_Corridor!$A$5:$A$204&lt;=$B778)*(A_Corridor!$B$5:$B$204&gt;$B778)*(A_Corridor!$F$5:$F$204&lt;&gt;"")),IF(A_Corridor!$F$5:$F$204="-","",1)),"")</f>
        <v/>
      </c>
      <c r="J778" s="182" t="str">
        <f>IFERROR(LOOKUP(2,1/((A_Corridor!$A$5:$A$204&lt;&gt;"")*(A_Corridor!$A$5:$A$204&lt;=$B778)*(A_Corridor!$B$5:$B$204&gt;$B778)*(A_Corridor!$F$5:$F$204&lt;&gt;"")),IF(A_Corridor!$F$5:$F$204="-","",A_Corridor!$F$5:$F$204)),"")</f>
        <v/>
      </c>
      <c r="K778" s="182" t="str">
        <f>IFERROR(LOOKUP(2,1/((A_Corridor!$A$5:$A$204&lt;&gt;"")*(A_Corridor!$A$5:$A$204&lt;=$B778)*(A_Corridor!$B$5:$B$204&gt;$B778)*(A_Corridor!$G$5:$G$204&lt;&gt;"")),IF(A_Corridor!$G$5:$G$204="-","",A_Corridor!$G$5:$G$204)),"")</f>
        <v/>
      </c>
      <c r="L778" s="181" t="str">
        <f>IFERROR(LOOKUP(2,1/((A_Corridor!$A$5:$A$204&lt;&gt;"")*(A_Corridor!$A$5:$A$204&lt;=$B778)*(A_Corridor!$B$5:$B$204&gt;$B778)*(A_Corridor!$H$5:$H$204&lt;&gt;"")),IF(A_Corridor!$H$5:$H$204="-","",1)),"")</f>
        <v/>
      </c>
      <c r="M778" s="182" t="str">
        <f>IFERROR(LOOKUP(2,1/((A_Corridor!$A$5:$A$204&lt;&gt;"")*(A_Corridor!$A$5:$A$204&lt;=$B778)*(A_Corridor!$B$5:$B$204&gt;$B778)*(A_Corridor!$H$5:$H$204&lt;&gt;"")),IF(A_Corridor!$H$5:$H$204="-","",A_Corridor!$H$5:$H$204)),"")</f>
        <v/>
      </c>
      <c r="N778" s="182" t="str">
        <f>IFERROR(LOOKUP(2,1/((A_Corridor!$A$5:$A$204&lt;&gt;"")*(A_Corridor!$A$5:$A$204&lt;=$B778)*(A_Corridor!$B$5:$B$204&gt;$B778)*(A_Corridor!$I$5:$I$204&lt;&gt;"")),IF(A_Corridor!$I$5:$I$204="-","",A_Corridor!$I$5:$I$204)),"")</f>
        <v/>
      </c>
      <c r="O778" s="182" t="str">
        <f>IFERROR(LOOKUP(2,1/((D_Points!$A$5:$A$204&lt;&gt;"")*(D_Points!$A$5:$A$204&gt;=$B778)*(D_Points!$A$5:$A$204&lt;$B778+P_Interval)*(UPPER(TRIM(D_Points!$B$5:$B$204))="PITCHING")*(D_Points!$H$5:$H$204&lt;&gt;"")),D_Points!$H$5:$H$204),"")</f>
        <v/>
      </c>
      <c r="P778" s="181" t="str">
        <f>IFERROR(LOOKUP(2,1/((B_Drainage!$A$5:$A$204&lt;&gt;"")*(B_Drainage!$A$5:$A$204&lt;=$B778)*(B_Drainage!$B$5:$B$204&gt;$B778)*(B_Drainage!$C$5:$C$204&lt;&gt;"")),IF(B_Drainage!$C$5:$C$204="-","",UPPER(B_Drainage!$C$5:$C$204))),"")</f>
        <v/>
      </c>
      <c r="Q778" s="181" t="str">
        <f>IFERROR(LOOKUP(2,1/((B_Drainage!$A$5:$A$204&lt;&gt;"")*(B_Drainage!$A$5:$A$204&lt;=$B778)*(B_Drainage!$B$5:$B$204&gt;$B778)*(B_Drainage!$D$5:$D$204&lt;&gt;"")),IF(B_Drainage!$D$5:$D$204="-","",UPPER(B_Drainage!$D$5:$D$204))),"")</f>
        <v/>
      </c>
      <c r="R778" s="182" t="str">
        <f>IFERROR(LOOKUP(2,1/((D_Points!$A$5:$A$204&lt;&gt;"")*(D_Points!$A$5:$A$204&gt;=$B778)*(D_Points!$A$5:$A$204&lt;$B778+P_Interval)*(RIGHT(UPPER(TRIM(D_Points!$B$5:$B$204)),8)="_CULVERT")),IF(LEFT(UPPER(TRIM(D_Points!$B$5:$B$204)),2)="EX",1,IF(LEFT(UPPER(TRIM(D_Points!$B$5:$B$204)),2)="PR",2,3))),"")</f>
        <v/>
      </c>
      <c r="S778" s="182" t="str">
        <f>IFERROR(LOOKUP(2,1/((D_Points!$A$5:$A$204&lt;&gt;"")*(D_Points!$A$5:$A$204&gt;=$B778)*(D_Points!$A$5:$A$204&lt;$B778+P_Interval)*(RIGHT(UPPER(TRIM(D_Points!$B$5:$B$204)),7)="_BRIDGE")),IF(LEFT(UPPER(TRIM(D_Points!$B$5:$B$204)),2)="EX",1,IF(LEFT(UPPER(TRIM(D_Points!$B$5:$B$204)),2)="PR",2,2))),"")</f>
        <v/>
      </c>
      <c r="T778" s="181" t="str">
        <f>IFERROR(LOOKUP(2,1/((B_Drainage!$A$5:$A$204&lt;&gt;"")*(B_Drainage!$A$5:$A$204&lt;=$B778)*(B_Drainage!$B$5:$B$204&gt;$B778)*(B_Drainage!$E$5:$E$204&lt;&gt;"")),IF(B_Drainage!$E$5:$E$204="-","",1)),"")</f>
        <v/>
      </c>
      <c r="U778" s="181" t="str">
        <f>IFERROR(LOOKUP(2,1/((B_Drainage!$A$5:$A$204&lt;&gt;"")*(B_Drainage!$A$5:$A$204&lt;=$B778)*(B_Drainage!$B$5:$B$204&gt;$B778)*(B_Drainage!$E$5:$E$204&lt;&gt;"")),IF(B_Drainage!$E$5:$E$204="-","",B_Drainage!$E$5:$E$204)),"")</f>
        <v/>
      </c>
      <c r="V778" s="181" t="str">
        <f>IFERROR(LOOKUP(2,1/((B_Drainage!$A$5:$A$204&lt;&gt;"")*(B_Drainage!$A$5:$A$204&lt;=$B778)*(B_Drainage!$B$5:$B$204&gt;$B778)*(B_Drainage!$F$5:$F$204&lt;&gt;"")),IF(B_Drainage!$F$5:$F$204="-","",1)),"")</f>
        <v/>
      </c>
      <c r="W778" s="181" t="str">
        <f>IFERROR(LOOKUP(2,1/((B_Drainage!$A$5:$A$204&lt;&gt;"")*(B_Drainage!$A$5:$A$204&lt;=$B778)*(B_Drainage!$B$5:$B$204&gt;$B778)*(B_Drainage!$F$5:$F$204&lt;&gt;"")),IF(B_Drainage!$F$5:$F$204="-","",B_Drainage!$F$5:$F$204)),"")</f>
        <v/>
      </c>
      <c r="X778" s="181" t="str">
        <f>IFERROR(LOOKUP(2,1/((B_Drainage!$A$5:$A$204&lt;&gt;"")*(B_Drainage!$A$5:$A$204&lt;=$B778)*(B_Drainage!$B$5:$B$204&gt;$B778)*(B_Drainage!$G$5:$G$204&lt;&gt;"")),IF(UPPER(B_Drainage!$G$5:$G$204)="Y",1,"")),"")</f>
        <v/>
      </c>
      <c r="Y778" s="181" t="str">
        <f>IFERROR(LOOKUP(2,1/((B_Drainage!$A$5:$A$204&lt;&gt;"")*(B_Drainage!$A$5:$A$204&lt;=$B778)*(B_Drainage!$B$5:$B$204&gt;$B778)*(B_Drainage!$H$5:$H$204&lt;&gt;"")),IF(UPPER(B_Drainage!$H$5:$H$204)="Y",1,"")),"")</f>
        <v/>
      </c>
      <c r="Z778" s="181" t="str">
        <f>IFERROR(LOOKUP(2,1/((B_Drainage!$A$5:$A$204&lt;&gt;"")*(B_Drainage!$A$5:$A$204&lt;=$B778)*(B_Drainage!$B$5:$B$204&gt;$B778)*(B_Drainage!$I$5:$I$204&lt;&gt;"")),IF(UPPER(B_Drainage!$I$5:$I$204)="Y",1,"")),"")</f>
        <v/>
      </c>
      <c r="AA778" s="181" t="str">
        <f>IFERROR(LOOKUP(2,1/((B_Drainage!$A$5:$A$204&lt;&gt;"")*(B_Drainage!$A$5:$A$204&lt;=$B778)*(B_Drainage!$B$5:$B$204&gt;$B778)*(B_Drainage!$J$5:$J$204&lt;&gt;"")),IF(UPPER(B_Drainage!$J$5:$J$204)="Y",1,"")),"")</f>
        <v/>
      </c>
      <c r="AB778" s="182" t="str">
        <f>IFERROR(LOOKUP(2,1/((B_Drainage!$A$5:$A$204&lt;&gt;"")*(B_Drainage!$A$5:$A$204&lt;=$B778)*(B_Drainage!$B$5:$B$204&gt;$B778)*(B_Drainage!$K$5:$K$204&lt;&gt;"")),IF(B_Drainage!$K$5:$K$204="-","",B_Drainage!$K$5:$K$204)),"")</f>
        <v/>
      </c>
      <c r="AC778" s="182" t="str">
        <f>IFERROR(LOOKUP(2,1/((B_Drainage!$A$5:$A$204&lt;&gt;"")*(B_Drainage!$A$5:$A$204&lt;=$B778)*(B_Drainage!$B$5:$B$204&gt;$B778)*(B_Drainage!$L$5:$L$204&lt;&gt;"")),IF(B_Drainage!$L$5:$L$204="-","",B_Drainage!$L$5:$L$204)),"")</f>
        <v/>
      </c>
      <c r="AD778" s="182" t="str">
        <f>IFERROR(LOOKUP(2,1/((D_Points!$A$5:$A$204&lt;&gt;"")*(D_Points!$A$5:$A$204&gt;=$B778)*(D_Points!$A$5:$A$204&lt;$B778+P_Interval)*(UPPER(TRIM(D_Points!$B$5:$B$204))="TURNOUT_L")*(D_Points!$H$5:$H$204&lt;&gt;"")),D_Points!$H$5:$H$204),"")</f>
        <v/>
      </c>
      <c r="AE778" s="182" t="str">
        <f>IFERROR(LOOKUP(2,1/((D_Points!$A$5:$A$204&lt;&gt;"")*(D_Points!$A$5:$A$204&gt;=$B778)*(D_Points!$A$5:$A$204&lt;$B778+P_Interval)*(UPPER(TRIM(D_Points!$B$5:$B$204))="TURNOUT_R")*(D_Points!$H$5:$H$204&lt;&gt;"")),D_Points!$H$5:$H$204),"")</f>
        <v/>
      </c>
      <c r="AF778" s="181" t="str">
        <f>IFERROR(LOOKUP(2,1/((B_Drainage!$A$5:$A$204&lt;&gt;"")*(B_Drainage!$A$5:$A$204&lt;=$B778)*(B_Drainage!$B$5:$B$204&gt;$B778)*(B_Drainage!$M$5:$M$204&lt;&gt;"")),IF(UPPER(B_Drainage!$M$5:$M$204)="Y",1,"")),"")</f>
        <v/>
      </c>
      <c r="AG778" s="181" t="str">
        <f>IFERROR(LOOKUP(2,1/((B_Drainage!$A$5:$A$204&lt;&gt;"")*(B_Drainage!$A$5:$A$204&lt;=$B778)*(B_Drainage!$B$5:$B$204&gt;$B778)*(B_Drainage!$N$5:$N$204&lt;&gt;"")),IF(UPPER(B_Drainage!$N$5:$N$204)="Y",1,"")),"")</f>
        <v/>
      </c>
      <c r="AH778" s="181" t="str">
        <f t="shared" si="96"/>
        <v/>
      </c>
      <c r="AI778" s="181" t="str">
        <f t="shared" si="97"/>
        <v/>
      </c>
      <c r="AJ778" s="181" t="str">
        <f t="shared" si="98"/>
        <v/>
      </c>
      <c r="AK778" s="181" t="str">
        <f t="shared" si="99"/>
        <v/>
      </c>
      <c r="AL778" s="181" t="str">
        <f t="shared" si="100"/>
        <v/>
      </c>
      <c r="AM778" s="181" t="str">
        <f t="shared" si="101"/>
        <v/>
      </c>
      <c r="AN778" s="181" t="str">
        <f t="shared" si="102"/>
        <v/>
      </c>
      <c r="AO778" s="192" t="str">
        <f t="shared" si="103"/>
        <v/>
      </c>
      <c r="AQ778" t="str">
        <f>IFERROR(LOOKUP(2,1/((C_Pavement!$A$5:$A$204&lt;&gt;"")*(C_Pavement!$A$5:$A$204&lt;=$B778)*(C_Pavement!$B$5:$B$204&gt;$B778)*(C_Pavement!$C$5:$C$204&lt;&gt;"")),ROW(C_Pavement!$C$5:$C$204)-4),"")</f>
        <v/>
      </c>
      <c r="AR778" t="str">
        <f>IF($AQ778="","",UPPER(TRIM(INDEX(C_Pavement!$C$5:$C$204,$AQ778))))</f>
        <v/>
      </c>
      <c r="AS778" t="str">
        <f>IF($AR778="","",IFERROR(MATCH($AR778,E_Rules!$A$5:$A$9,0),""))</f>
        <v/>
      </c>
      <c r="AT778" t="str">
        <f>IF($AQ778="","",IF(INDEX(C_Pavement!$D$5:$D$204,$AQ778)&lt;&gt;"",UPPER(TRIM(INDEX(C_Pavement!$D$5:$D$204,$AQ778))),IF($AS778="","",INDEX(E_Rules!$C$5:$C$9,$AS778))))</f>
        <v/>
      </c>
      <c r="AU778" t="str">
        <f>IF($AQ778="","",IF(INDEX(C_Pavement!$E$5:$E$204,$AQ778)&lt;&gt;"",IF(INDEX(C_Pavement!$E$5:$E$204,$AQ778)="-","",INDEX(C_Pavement!$E$5:$E$204,$AQ778)),IF($AS778="","",INDEX(E_Rules!$D$5:$D$9,$AS778))))</f>
        <v/>
      </c>
      <c r="AV778" t="str">
        <f>IF($AQ778="","",IF(INDEX(C_Pavement!$F$5:$F$204,$AQ778)&lt;&gt;"",IF(INDEX(C_Pavement!$F$5:$F$204,$AQ778)="-","",INDEX(C_Pavement!$F$5:$F$204,$AQ778)),IF($AS778="","",INDEX(E_Rules!$E$5:$E$9,$AS778))))</f>
        <v/>
      </c>
      <c r="AW778" t="str">
        <f>IF($AQ778="","",IF(INDEX(C_Pavement!$G$5:$G$204,$AQ778)&lt;&gt;"",IF(INDEX(C_Pavement!$G$5:$G$204,$AQ778)="-","",INDEX(C_Pavement!$G$5:$G$204,$AQ778)),IF($AS778="","",INDEX(E_Rules!$F$5:$F$9,$AS778))))</f>
        <v/>
      </c>
      <c r="AX778" t="str">
        <f>IF($AQ778="","",IF(INDEX(C_Pavement!$H$5:$H$204,$AQ778)&lt;&gt;"",IF(INDEX(C_Pavement!$H$5:$H$204,$AQ778)="-","",INDEX(C_Pavement!$H$5:$H$204,$AQ778)),IF($AS778="","",INDEX(E_Rules!$G$5:$G$9,$AS778))))</f>
        <v/>
      </c>
      <c r="AY778" t="str">
        <f>IF($AQ778="","",IF(INDEX(C_Pavement!$I$5:$I$204,$AQ778)&lt;&gt;"",IF(INDEX(C_Pavement!$I$5:$I$204,$AQ778)="-","",INDEX(C_Pavement!$I$5:$I$204,$AQ778)),IF($AS778="","",INDEX(E_Rules!$H$5:$H$9,$AS778))))</f>
        <v/>
      </c>
    </row>
    <row r="779" spans="1:51" ht="15.75" customHeight="1" x14ac:dyDescent="0.3">
      <c r="A779" s="189">
        <v>774</v>
      </c>
      <c r="B779" s="180">
        <v>38650</v>
      </c>
      <c r="C779" s="180" t="s">
        <v>1085</v>
      </c>
      <c r="D779" s="181" t="str">
        <f>IFERROR(LOOKUP(2,1/((A_Corridor!$A$5:$A$204&lt;&gt;"")*(A_Corridor!$A$5:$A$204&lt;=$B779)*(A_Corridor!$B$5:$B$204&gt;$B779)*(A_Corridor!$C$5:$C$204&lt;&gt;"")),IF(UPPER(A_Corridor!$C$5:$C$204)="Y",1,"")),"")</f>
        <v/>
      </c>
      <c r="E779" s="181" t="str">
        <f>IFERROR(LOOKUP(2,1/((A_Corridor!$A$5:$A$204&lt;&gt;"")*(A_Corridor!$A$5:$A$204&lt;=$B779)*(A_Corridor!$B$5:$B$204&gt;$B779)*(A_Corridor!$D$5:$D$204&lt;&gt;"")),IF(A_Corridor!$D$5:$D$204="-","",UPPER(A_Corridor!$D$5:$D$204))),"")</f>
        <v/>
      </c>
      <c r="F779" s="181" t="str">
        <f>IFERROR(LOOKUP(2,1/((A_Corridor!$A$5:$A$204&lt;&gt;"")*(A_Corridor!$A$5:$A$204&lt;=$B779)*(A_Corridor!$B$5:$B$204&gt;$B779)*(A_Corridor!$E$5:$E$204&lt;&gt;"")),IF(A_Corridor!$E$5:$E$204="-","",1)),"")</f>
        <v/>
      </c>
      <c r="G779" s="182" t="str">
        <f>IFERROR(LOOKUP(2,1/((A_Corridor!$A$5:$A$204&lt;&gt;"")*(A_Corridor!$A$5:$A$204&lt;=$B779)*(A_Corridor!$B$5:$B$204&gt;$B779)*(A_Corridor!$E$5:$E$204&lt;&gt;"")),IF(A_Corridor!$E$5:$E$204="-","",A_Corridor!$E$5:$E$204)),"")</f>
        <v/>
      </c>
      <c r="H779" s="182" t="str">
        <f>IFERROR(LOOKUP(2,1/((D_Points!$A$5:$A$204&lt;&gt;"")*(D_Points!$A$5:$A$204&gt;=$B779)*(D_Points!$A$5:$A$204&lt;$B779+P_Interval)*(UPPER(TRIM(D_Points!$B$5:$B$204))="GULLY")*(D_Points!$H$5:$H$204&lt;&gt;"")),D_Points!$H$5:$H$204),"")</f>
        <v/>
      </c>
      <c r="I779" s="181" t="str">
        <f>IFERROR(LOOKUP(2,1/((A_Corridor!$A$5:$A$204&lt;&gt;"")*(A_Corridor!$A$5:$A$204&lt;=$B779)*(A_Corridor!$B$5:$B$204&gt;$B779)*(A_Corridor!$F$5:$F$204&lt;&gt;"")),IF(A_Corridor!$F$5:$F$204="-","",1)),"")</f>
        <v/>
      </c>
      <c r="J779" s="182" t="str">
        <f>IFERROR(LOOKUP(2,1/((A_Corridor!$A$5:$A$204&lt;&gt;"")*(A_Corridor!$A$5:$A$204&lt;=$B779)*(A_Corridor!$B$5:$B$204&gt;$B779)*(A_Corridor!$F$5:$F$204&lt;&gt;"")),IF(A_Corridor!$F$5:$F$204="-","",A_Corridor!$F$5:$F$204)),"")</f>
        <v/>
      </c>
      <c r="K779" s="182" t="str">
        <f>IFERROR(LOOKUP(2,1/((A_Corridor!$A$5:$A$204&lt;&gt;"")*(A_Corridor!$A$5:$A$204&lt;=$B779)*(A_Corridor!$B$5:$B$204&gt;$B779)*(A_Corridor!$G$5:$G$204&lt;&gt;"")),IF(A_Corridor!$G$5:$G$204="-","",A_Corridor!$G$5:$G$204)),"")</f>
        <v/>
      </c>
      <c r="L779" s="181" t="str">
        <f>IFERROR(LOOKUP(2,1/((A_Corridor!$A$5:$A$204&lt;&gt;"")*(A_Corridor!$A$5:$A$204&lt;=$B779)*(A_Corridor!$B$5:$B$204&gt;$B779)*(A_Corridor!$H$5:$H$204&lt;&gt;"")),IF(A_Corridor!$H$5:$H$204="-","",1)),"")</f>
        <v/>
      </c>
      <c r="M779" s="182" t="str">
        <f>IFERROR(LOOKUP(2,1/((A_Corridor!$A$5:$A$204&lt;&gt;"")*(A_Corridor!$A$5:$A$204&lt;=$B779)*(A_Corridor!$B$5:$B$204&gt;$B779)*(A_Corridor!$H$5:$H$204&lt;&gt;"")),IF(A_Corridor!$H$5:$H$204="-","",A_Corridor!$H$5:$H$204)),"")</f>
        <v/>
      </c>
      <c r="N779" s="182" t="str">
        <f>IFERROR(LOOKUP(2,1/((A_Corridor!$A$5:$A$204&lt;&gt;"")*(A_Corridor!$A$5:$A$204&lt;=$B779)*(A_Corridor!$B$5:$B$204&gt;$B779)*(A_Corridor!$I$5:$I$204&lt;&gt;"")),IF(A_Corridor!$I$5:$I$204="-","",A_Corridor!$I$5:$I$204)),"")</f>
        <v/>
      </c>
      <c r="O779" s="182" t="str">
        <f>IFERROR(LOOKUP(2,1/((D_Points!$A$5:$A$204&lt;&gt;"")*(D_Points!$A$5:$A$204&gt;=$B779)*(D_Points!$A$5:$A$204&lt;$B779+P_Interval)*(UPPER(TRIM(D_Points!$B$5:$B$204))="PITCHING")*(D_Points!$H$5:$H$204&lt;&gt;"")),D_Points!$H$5:$H$204),"")</f>
        <v/>
      </c>
      <c r="P779" s="181" t="str">
        <f>IFERROR(LOOKUP(2,1/((B_Drainage!$A$5:$A$204&lt;&gt;"")*(B_Drainage!$A$5:$A$204&lt;=$B779)*(B_Drainage!$B$5:$B$204&gt;$B779)*(B_Drainage!$C$5:$C$204&lt;&gt;"")),IF(B_Drainage!$C$5:$C$204="-","",UPPER(B_Drainage!$C$5:$C$204))),"")</f>
        <v/>
      </c>
      <c r="Q779" s="181" t="str">
        <f>IFERROR(LOOKUP(2,1/((B_Drainage!$A$5:$A$204&lt;&gt;"")*(B_Drainage!$A$5:$A$204&lt;=$B779)*(B_Drainage!$B$5:$B$204&gt;$B779)*(B_Drainage!$D$5:$D$204&lt;&gt;"")),IF(B_Drainage!$D$5:$D$204="-","",UPPER(B_Drainage!$D$5:$D$204))),"")</f>
        <v/>
      </c>
      <c r="R779" s="182" t="str">
        <f>IFERROR(LOOKUP(2,1/((D_Points!$A$5:$A$204&lt;&gt;"")*(D_Points!$A$5:$A$204&gt;=$B779)*(D_Points!$A$5:$A$204&lt;$B779+P_Interval)*(RIGHT(UPPER(TRIM(D_Points!$B$5:$B$204)),8)="_CULVERT")),IF(LEFT(UPPER(TRIM(D_Points!$B$5:$B$204)),2)="EX",1,IF(LEFT(UPPER(TRIM(D_Points!$B$5:$B$204)),2)="PR",2,3))),"")</f>
        <v/>
      </c>
      <c r="S779" s="182" t="str">
        <f>IFERROR(LOOKUP(2,1/((D_Points!$A$5:$A$204&lt;&gt;"")*(D_Points!$A$5:$A$204&gt;=$B779)*(D_Points!$A$5:$A$204&lt;$B779+P_Interval)*(RIGHT(UPPER(TRIM(D_Points!$B$5:$B$204)),7)="_BRIDGE")),IF(LEFT(UPPER(TRIM(D_Points!$B$5:$B$204)),2)="EX",1,IF(LEFT(UPPER(TRIM(D_Points!$B$5:$B$204)),2)="PR",2,2))),"")</f>
        <v/>
      </c>
      <c r="T779" s="181" t="str">
        <f>IFERROR(LOOKUP(2,1/((B_Drainage!$A$5:$A$204&lt;&gt;"")*(B_Drainage!$A$5:$A$204&lt;=$B779)*(B_Drainage!$B$5:$B$204&gt;$B779)*(B_Drainage!$E$5:$E$204&lt;&gt;"")),IF(B_Drainage!$E$5:$E$204="-","",1)),"")</f>
        <v/>
      </c>
      <c r="U779" s="181" t="str">
        <f>IFERROR(LOOKUP(2,1/((B_Drainage!$A$5:$A$204&lt;&gt;"")*(B_Drainage!$A$5:$A$204&lt;=$B779)*(B_Drainage!$B$5:$B$204&gt;$B779)*(B_Drainage!$E$5:$E$204&lt;&gt;"")),IF(B_Drainage!$E$5:$E$204="-","",B_Drainage!$E$5:$E$204)),"")</f>
        <v/>
      </c>
      <c r="V779" s="181" t="str">
        <f>IFERROR(LOOKUP(2,1/((B_Drainage!$A$5:$A$204&lt;&gt;"")*(B_Drainage!$A$5:$A$204&lt;=$B779)*(B_Drainage!$B$5:$B$204&gt;$B779)*(B_Drainage!$F$5:$F$204&lt;&gt;"")),IF(B_Drainage!$F$5:$F$204="-","",1)),"")</f>
        <v/>
      </c>
      <c r="W779" s="181" t="str">
        <f>IFERROR(LOOKUP(2,1/((B_Drainage!$A$5:$A$204&lt;&gt;"")*(B_Drainage!$A$5:$A$204&lt;=$B779)*(B_Drainage!$B$5:$B$204&gt;$B779)*(B_Drainage!$F$5:$F$204&lt;&gt;"")),IF(B_Drainage!$F$5:$F$204="-","",B_Drainage!$F$5:$F$204)),"")</f>
        <v/>
      </c>
      <c r="X779" s="181" t="str">
        <f>IFERROR(LOOKUP(2,1/((B_Drainage!$A$5:$A$204&lt;&gt;"")*(B_Drainage!$A$5:$A$204&lt;=$B779)*(B_Drainage!$B$5:$B$204&gt;$B779)*(B_Drainage!$G$5:$G$204&lt;&gt;"")),IF(UPPER(B_Drainage!$G$5:$G$204)="Y",1,"")),"")</f>
        <v/>
      </c>
      <c r="Y779" s="181" t="str">
        <f>IFERROR(LOOKUP(2,1/((B_Drainage!$A$5:$A$204&lt;&gt;"")*(B_Drainage!$A$5:$A$204&lt;=$B779)*(B_Drainage!$B$5:$B$204&gt;$B779)*(B_Drainage!$H$5:$H$204&lt;&gt;"")),IF(UPPER(B_Drainage!$H$5:$H$204)="Y",1,"")),"")</f>
        <v/>
      </c>
      <c r="Z779" s="181" t="str">
        <f>IFERROR(LOOKUP(2,1/((B_Drainage!$A$5:$A$204&lt;&gt;"")*(B_Drainage!$A$5:$A$204&lt;=$B779)*(B_Drainage!$B$5:$B$204&gt;$B779)*(B_Drainage!$I$5:$I$204&lt;&gt;"")),IF(UPPER(B_Drainage!$I$5:$I$204)="Y",1,"")),"")</f>
        <v/>
      </c>
      <c r="AA779" s="181" t="str">
        <f>IFERROR(LOOKUP(2,1/((B_Drainage!$A$5:$A$204&lt;&gt;"")*(B_Drainage!$A$5:$A$204&lt;=$B779)*(B_Drainage!$B$5:$B$204&gt;$B779)*(B_Drainage!$J$5:$J$204&lt;&gt;"")),IF(UPPER(B_Drainage!$J$5:$J$204)="Y",1,"")),"")</f>
        <v/>
      </c>
      <c r="AB779" s="182" t="str">
        <f>IFERROR(LOOKUP(2,1/((B_Drainage!$A$5:$A$204&lt;&gt;"")*(B_Drainage!$A$5:$A$204&lt;=$B779)*(B_Drainage!$B$5:$B$204&gt;$B779)*(B_Drainage!$K$5:$K$204&lt;&gt;"")),IF(B_Drainage!$K$5:$K$204="-","",B_Drainage!$K$5:$K$204)),"")</f>
        <v/>
      </c>
      <c r="AC779" s="182" t="str">
        <f>IFERROR(LOOKUP(2,1/((B_Drainage!$A$5:$A$204&lt;&gt;"")*(B_Drainage!$A$5:$A$204&lt;=$B779)*(B_Drainage!$B$5:$B$204&gt;$B779)*(B_Drainage!$L$5:$L$204&lt;&gt;"")),IF(B_Drainage!$L$5:$L$204="-","",B_Drainage!$L$5:$L$204)),"")</f>
        <v/>
      </c>
      <c r="AD779" s="182" t="str">
        <f>IFERROR(LOOKUP(2,1/((D_Points!$A$5:$A$204&lt;&gt;"")*(D_Points!$A$5:$A$204&gt;=$B779)*(D_Points!$A$5:$A$204&lt;$B779+P_Interval)*(UPPER(TRIM(D_Points!$B$5:$B$204))="TURNOUT_L")*(D_Points!$H$5:$H$204&lt;&gt;"")),D_Points!$H$5:$H$204),"")</f>
        <v/>
      </c>
      <c r="AE779" s="182" t="str">
        <f>IFERROR(LOOKUP(2,1/((D_Points!$A$5:$A$204&lt;&gt;"")*(D_Points!$A$5:$A$204&gt;=$B779)*(D_Points!$A$5:$A$204&lt;$B779+P_Interval)*(UPPER(TRIM(D_Points!$B$5:$B$204))="TURNOUT_R")*(D_Points!$H$5:$H$204&lt;&gt;"")),D_Points!$H$5:$H$204),"")</f>
        <v/>
      </c>
      <c r="AF779" s="181" t="str">
        <f>IFERROR(LOOKUP(2,1/((B_Drainage!$A$5:$A$204&lt;&gt;"")*(B_Drainage!$A$5:$A$204&lt;=$B779)*(B_Drainage!$B$5:$B$204&gt;$B779)*(B_Drainage!$M$5:$M$204&lt;&gt;"")),IF(UPPER(B_Drainage!$M$5:$M$204)="Y",1,"")),"")</f>
        <v/>
      </c>
      <c r="AG779" s="181" t="str">
        <f>IFERROR(LOOKUP(2,1/((B_Drainage!$A$5:$A$204&lt;&gt;"")*(B_Drainage!$A$5:$A$204&lt;=$B779)*(B_Drainage!$B$5:$B$204&gt;$B779)*(B_Drainage!$N$5:$N$204&lt;&gt;"")),IF(UPPER(B_Drainage!$N$5:$N$204)="Y",1,"")),"")</f>
        <v/>
      </c>
      <c r="AH779" s="181" t="str">
        <f t="shared" si="96"/>
        <v/>
      </c>
      <c r="AI779" s="181" t="str">
        <f t="shared" si="97"/>
        <v/>
      </c>
      <c r="AJ779" s="181" t="str">
        <f t="shared" si="98"/>
        <v/>
      </c>
      <c r="AK779" s="181" t="str">
        <f t="shared" si="99"/>
        <v/>
      </c>
      <c r="AL779" s="181" t="str">
        <f t="shared" si="100"/>
        <v/>
      </c>
      <c r="AM779" s="181" t="str">
        <f t="shared" si="101"/>
        <v/>
      </c>
      <c r="AN779" s="181" t="str">
        <f t="shared" si="102"/>
        <v/>
      </c>
      <c r="AO779" s="192" t="str">
        <f t="shared" si="103"/>
        <v/>
      </c>
      <c r="AQ779" t="str">
        <f>IFERROR(LOOKUP(2,1/((C_Pavement!$A$5:$A$204&lt;&gt;"")*(C_Pavement!$A$5:$A$204&lt;=$B779)*(C_Pavement!$B$5:$B$204&gt;$B779)*(C_Pavement!$C$5:$C$204&lt;&gt;"")),ROW(C_Pavement!$C$5:$C$204)-4),"")</f>
        <v/>
      </c>
      <c r="AR779" t="str">
        <f>IF($AQ779="","",UPPER(TRIM(INDEX(C_Pavement!$C$5:$C$204,$AQ779))))</f>
        <v/>
      </c>
      <c r="AS779" t="str">
        <f>IF($AR779="","",IFERROR(MATCH($AR779,E_Rules!$A$5:$A$9,0),""))</f>
        <v/>
      </c>
      <c r="AT779" t="str">
        <f>IF($AQ779="","",IF(INDEX(C_Pavement!$D$5:$D$204,$AQ779)&lt;&gt;"",UPPER(TRIM(INDEX(C_Pavement!$D$5:$D$204,$AQ779))),IF($AS779="","",INDEX(E_Rules!$C$5:$C$9,$AS779))))</f>
        <v/>
      </c>
      <c r="AU779" t="str">
        <f>IF($AQ779="","",IF(INDEX(C_Pavement!$E$5:$E$204,$AQ779)&lt;&gt;"",IF(INDEX(C_Pavement!$E$5:$E$204,$AQ779)="-","",INDEX(C_Pavement!$E$5:$E$204,$AQ779)),IF($AS779="","",INDEX(E_Rules!$D$5:$D$9,$AS779))))</f>
        <v/>
      </c>
      <c r="AV779" t="str">
        <f>IF($AQ779="","",IF(INDEX(C_Pavement!$F$5:$F$204,$AQ779)&lt;&gt;"",IF(INDEX(C_Pavement!$F$5:$F$204,$AQ779)="-","",INDEX(C_Pavement!$F$5:$F$204,$AQ779)),IF($AS779="","",INDEX(E_Rules!$E$5:$E$9,$AS779))))</f>
        <v/>
      </c>
      <c r="AW779" t="str">
        <f>IF($AQ779="","",IF(INDEX(C_Pavement!$G$5:$G$204,$AQ779)&lt;&gt;"",IF(INDEX(C_Pavement!$G$5:$G$204,$AQ779)="-","",INDEX(C_Pavement!$G$5:$G$204,$AQ779)),IF($AS779="","",INDEX(E_Rules!$F$5:$F$9,$AS779))))</f>
        <v/>
      </c>
      <c r="AX779" t="str">
        <f>IF($AQ779="","",IF(INDEX(C_Pavement!$H$5:$H$204,$AQ779)&lt;&gt;"",IF(INDEX(C_Pavement!$H$5:$H$204,$AQ779)="-","",INDEX(C_Pavement!$H$5:$H$204,$AQ779)),IF($AS779="","",INDEX(E_Rules!$G$5:$G$9,$AS779))))</f>
        <v/>
      </c>
      <c r="AY779" t="str">
        <f>IF($AQ779="","",IF(INDEX(C_Pavement!$I$5:$I$204,$AQ779)&lt;&gt;"",IF(INDEX(C_Pavement!$I$5:$I$204,$AQ779)="-","",INDEX(C_Pavement!$I$5:$I$204,$AQ779)),IF($AS779="","",INDEX(E_Rules!$H$5:$H$9,$AS779))))</f>
        <v/>
      </c>
    </row>
    <row r="780" spans="1:51" ht="15.75" customHeight="1" x14ac:dyDescent="0.3">
      <c r="A780" s="189">
        <v>775</v>
      </c>
      <c r="B780" s="180">
        <v>38700</v>
      </c>
      <c r="C780" s="180" t="s">
        <v>1086</v>
      </c>
      <c r="D780" s="181" t="str">
        <f>IFERROR(LOOKUP(2,1/((A_Corridor!$A$5:$A$204&lt;&gt;"")*(A_Corridor!$A$5:$A$204&lt;=$B780)*(A_Corridor!$B$5:$B$204&gt;$B780)*(A_Corridor!$C$5:$C$204&lt;&gt;"")),IF(UPPER(A_Corridor!$C$5:$C$204)="Y",1,"")),"")</f>
        <v/>
      </c>
      <c r="E780" s="181" t="str">
        <f>IFERROR(LOOKUP(2,1/((A_Corridor!$A$5:$A$204&lt;&gt;"")*(A_Corridor!$A$5:$A$204&lt;=$B780)*(A_Corridor!$B$5:$B$204&gt;$B780)*(A_Corridor!$D$5:$D$204&lt;&gt;"")),IF(A_Corridor!$D$5:$D$204="-","",UPPER(A_Corridor!$D$5:$D$204))),"")</f>
        <v/>
      </c>
      <c r="F780" s="181" t="str">
        <f>IFERROR(LOOKUP(2,1/((A_Corridor!$A$5:$A$204&lt;&gt;"")*(A_Corridor!$A$5:$A$204&lt;=$B780)*(A_Corridor!$B$5:$B$204&gt;$B780)*(A_Corridor!$E$5:$E$204&lt;&gt;"")),IF(A_Corridor!$E$5:$E$204="-","",1)),"")</f>
        <v/>
      </c>
      <c r="G780" s="182" t="str">
        <f>IFERROR(LOOKUP(2,1/((A_Corridor!$A$5:$A$204&lt;&gt;"")*(A_Corridor!$A$5:$A$204&lt;=$B780)*(A_Corridor!$B$5:$B$204&gt;$B780)*(A_Corridor!$E$5:$E$204&lt;&gt;"")),IF(A_Corridor!$E$5:$E$204="-","",A_Corridor!$E$5:$E$204)),"")</f>
        <v/>
      </c>
      <c r="H780" s="182" t="str">
        <f>IFERROR(LOOKUP(2,1/((D_Points!$A$5:$A$204&lt;&gt;"")*(D_Points!$A$5:$A$204&gt;=$B780)*(D_Points!$A$5:$A$204&lt;$B780+P_Interval)*(UPPER(TRIM(D_Points!$B$5:$B$204))="GULLY")*(D_Points!$H$5:$H$204&lt;&gt;"")),D_Points!$H$5:$H$204),"")</f>
        <v/>
      </c>
      <c r="I780" s="181" t="str">
        <f>IFERROR(LOOKUP(2,1/((A_Corridor!$A$5:$A$204&lt;&gt;"")*(A_Corridor!$A$5:$A$204&lt;=$B780)*(A_Corridor!$B$5:$B$204&gt;$B780)*(A_Corridor!$F$5:$F$204&lt;&gt;"")),IF(A_Corridor!$F$5:$F$204="-","",1)),"")</f>
        <v/>
      </c>
      <c r="J780" s="182" t="str">
        <f>IFERROR(LOOKUP(2,1/((A_Corridor!$A$5:$A$204&lt;&gt;"")*(A_Corridor!$A$5:$A$204&lt;=$B780)*(A_Corridor!$B$5:$B$204&gt;$B780)*(A_Corridor!$F$5:$F$204&lt;&gt;"")),IF(A_Corridor!$F$5:$F$204="-","",A_Corridor!$F$5:$F$204)),"")</f>
        <v/>
      </c>
      <c r="K780" s="182" t="str">
        <f>IFERROR(LOOKUP(2,1/((A_Corridor!$A$5:$A$204&lt;&gt;"")*(A_Corridor!$A$5:$A$204&lt;=$B780)*(A_Corridor!$B$5:$B$204&gt;$B780)*(A_Corridor!$G$5:$G$204&lt;&gt;"")),IF(A_Corridor!$G$5:$G$204="-","",A_Corridor!$G$5:$G$204)),"")</f>
        <v/>
      </c>
      <c r="L780" s="181" t="str">
        <f>IFERROR(LOOKUP(2,1/((A_Corridor!$A$5:$A$204&lt;&gt;"")*(A_Corridor!$A$5:$A$204&lt;=$B780)*(A_Corridor!$B$5:$B$204&gt;$B780)*(A_Corridor!$H$5:$H$204&lt;&gt;"")),IF(A_Corridor!$H$5:$H$204="-","",1)),"")</f>
        <v/>
      </c>
      <c r="M780" s="182" t="str">
        <f>IFERROR(LOOKUP(2,1/((A_Corridor!$A$5:$A$204&lt;&gt;"")*(A_Corridor!$A$5:$A$204&lt;=$B780)*(A_Corridor!$B$5:$B$204&gt;$B780)*(A_Corridor!$H$5:$H$204&lt;&gt;"")),IF(A_Corridor!$H$5:$H$204="-","",A_Corridor!$H$5:$H$204)),"")</f>
        <v/>
      </c>
      <c r="N780" s="182" t="str">
        <f>IFERROR(LOOKUP(2,1/((A_Corridor!$A$5:$A$204&lt;&gt;"")*(A_Corridor!$A$5:$A$204&lt;=$B780)*(A_Corridor!$B$5:$B$204&gt;$B780)*(A_Corridor!$I$5:$I$204&lt;&gt;"")),IF(A_Corridor!$I$5:$I$204="-","",A_Corridor!$I$5:$I$204)),"")</f>
        <v/>
      </c>
      <c r="O780" s="182" t="str">
        <f>IFERROR(LOOKUP(2,1/((D_Points!$A$5:$A$204&lt;&gt;"")*(D_Points!$A$5:$A$204&gt;=$B780)*(D_Points!$A$5:$A$204&lt;$B780+P_Interval)*(UPPER(TRIM(D_Points!$B$5:$B$204))="PITCHING")*(D_Points!$H$5:$H$204&lt;&gt;"")),D_Points!$H$5:$H$204),"")</f>
        <v/>
      </c>
      <c r="P780" s="181" t="str">
        <f>IFERROR(LOOKUP(2,1/((B_Drainage!$A$5:$A$204&lt;&gt;"")*(B_Drainage!$A$5:$A$204&lt;=$B780)*(B_Drainage!$B$5:$B$204&gt;$B780)*(B_Drainage!$C$5:$C$204&lt;&gt;"")),IF(B_Drainage!$C$5:$C$204="-","",UPPER(B_Drainage!$C$5:$C$204))),"")</f>
        <v/>
      </c>
      <c r="Q780" s="181" t="str">
        <f>IFERROR(LOOKUP(2,1/((B_Drainage!$A$5:$A$204&lt;&gt;"")*(B_Drainage!$A$5:$A$204&lt;=$B780)*(B_Drainage!$B$5:$B$204&gt;$B780)*(B_Drainage!$D$5:$D$204&lt;&gt;"")),IF(B_Drainage!$D$5:$D$204="-","",UPPER(B_Drainage!$D$5:$D$204))),"")</f>
        <v/>
      </c>
      <c r="R780" s="182" t="str">
        <f>IFERROR(LOOKUP(2,1/((D_Points!$A$5:$A$204&lt;&gt;"")*(D_Points!$A$5:$A$204&gt;=$B780)*(D_Points!$A$5:$A$204&lt;$B780+P_Interval)*(RIGHT(UPPER(TRIM(D_Points!$B$5:$B$204)),8)="_CULVERT")),IF(LEFT(UPPER(TRIM(D_Points!$B$5:$B$204)),2)="EX",1,IF(LEFT(UPPER(TRIM(D_Points!$B$5:$B$204)),2)="PR",2,3))),"")</f>
        <v/>
      </c>
      <c r="S780" s="182" t="str">
        <f>IFERROR(LOOKUP(2,1/((D_Points!$A$5:$A$204&lt;&gt;"")*(D_Points!$A$5:$A$204&gt;=$B780)*(D_Points!$A$5:$A$204&lt;$B780+P_Interval)*(RIGHT(UPPER(TRIM(D_Points!$B$5:$B$204)),7)="_BRIDGE")),IF(LEFT(UPPER(TRIM(D_Points!$B$5:$B$204)),2)="EX",1,IF(LEFT(UPPER(TRIM(D_Points!$B$5:$B$204)),2)="PR",2,2))),"")</f>
        <v/>
      </c>
      <c r="T780" s="181" t="str">
        <f>IFERROR(LOOKUP(2,1/((B_Drainage!$A$5:$A$204&lt;&gt;"")*(B_Drainage!$A$5:$A$204&lt;=$B780)*(B_Drainage!$B$5:$B$204&gt;$B780)*(B_Drainage!$E$5:$E$204&lt;&gt;"")),IF(B_Drainage!$E$5:$E$204="-","",1)),"")</f>
        <v/>
      </c>
      <c r="U780" s="181" t="str">
        <f>IFERROR(LOOKUP(2,1/((B_Drainage!$A$5:$A$204&lt;&gt;"")*(B_Drainage!$A$5:$A$204&lt;=$B780)*(B_Drainage!$B$5:$B$204&gt;$B780)*(B_Drainage!$E$5:$E$204&lt;&gt;"")),IF(B_Drainage!$E$5:$E$204="-","",B_Drainage!$E$5:$E$204)),"")</f>
        <v/>
      </c>
      <c r="V780" s="181" t="str">
        <f>IFERROR(LOOKUP(2,1/((B_Drainage!$A$5:$A$204&lt;&gt;"")*(B_Drainage!$A$5:$A$204&lt;=$B780)*(B_Drainage!$B$5:$B$204&gt;$B780)*(B_Drainage!$F$5:$F$204&lt;&gt;"")),IF(B_Drainage!$F$5:$F$204="-","",1)),"")</f>
        <v/>
      </c>
      <c r="W780" s="181" t="str">
        <f>IFERROR(LOOKUP(2,1/((B_Drainage!$A$5:$A$204&lt;&gt;"")*(B_Drainage!$A$5:$A$204&lt;=$B780)*(B_Drainage!$B$5:$B$204&gt;$B780)*(B_Drainage!$F$5:$F$204&lt;&gt;"")),IF(B_Drainage!$F$5:$F$204="-","",B_Drainage!$F$5:$F$204)),"")</f>
        <v/>
      </c>
      <c r="X780" s="181" t="str">
        <f>IFERROR(LOOKUP(2,1/((B_Drainage!$A$5:$A$204&lt;&gt;"")*(B_Drainage!$A$5:$A$204&lt;=$B780)*(B_Drainage!$B$5:$B$204&gt;$B780)*(B_Drainage!$G$5:$G$204&lt;&gt;"")),IF(UPPER(B_Drainage!$G$5:$G$204)="Y",1,"")),"")</f>
        <v/>
      </c>
      <c r="Y780" s="181" t="str">
        <f>IFERROR(LOOKUP(2,1/((B_Drainage!$A$5:$A$204&lt;&gt;"")*(B_Drainage!$A$5:$A$204&lt;=$B780)*(B_Drainage!$B$5:$B$204&gt;$B780)*(B_Drainage!$H$5:$H$204&lt;&gt;"")),IF(UPPER(B_Drainage!$H$5:$H$204)="Y",1,"")),"")</f>
        <v/>
      </c>
      <c r="Z780" s="181" t="str">
        <f>IFERROR(LOOKUP(2,1/((B_Drainage!$A$5:$A$204&lt;&gt;"")*(B_Drainage!$A$5:$A$204&lt;=$B780)*(B_Drainage!$B$5:$B$204&gt;$B780)*(B_Drainage!$I$5:$I$204&lt;&gt;"")),IF(UPPER(B_Drainage!$I$5:$I$204)="Y",1,"")),"")</f>
        <v/>
      </c>
      <c r="AA780" s="181" t="str">
        <f>IFERROR(LOOKUP(2,1/((B_Drainage!$A$5:$A$204&lt;&gt;"")*(B_Drainage!$A$5:$A$204&lt;=$B780)*(B_Drainage!$B$5:$B$204&gt;$B780)*(B_Drainage!$J$5:$J$204&lt;&gt;"")),IF(UPPER(B_Drainage!$J$5:$J$204)="Y",1,"")),"")</f>
        <v/>
      </c>
      <c r="AB780" s="182" t="str">
        <f>IFERROR(LOOKUP(2,1/((B_Drainage!$A$5:$A$204&lt;&gt;"")*(B_Drainage!$A$5:$A$204&lt;=$B780)*(B_Drainage!$B$5:$B$204&gt;$B780)*(B_Drainage!$K$5:$K$204&lt;&gt;"")),IF(B_Drainage!$K$5:$K$204="-","",B_Drainage!$K$5:$K$204)),"")</f>
        <v/>
      </c>
      <c r="AC780" s="182" t="str">
        <f>IFERROR(LOOKUP(2,1/((B_Drainage!$A$5:$A$204&lt;&gt;"")*(B_Drainage!$A$5:$A$204&lt;=$B780)*(B_Drainage!$B$5:$B$204&gt;$B780)*(B_Drainage!$L$5:$L$204&lt;&gt;"")),IF(B_Drainage!$L$5:$L$204="-","",B_Drainage!$L$5:$L$204)),"")</f>
        <v/>
      </c>
      <c r="AD780" s="182" t="str">
        <f>IFERROR(LOOKUP(2,1/((D_Points!$A$5:$A$204&lt;&gt;"")*(D_Points!$A$5:$A$204&gt;=$B780)*(D_Points!$A$5:$A$204&lt;$B780+P_Interval)*(UPPER(TRIM(D_Points!$B$5:$B$204))="TURNOUT_L")*(D_Points!$H$5:$H$204&lt;&gt;"")),D_Points!$H$5:$H$204),"")</f>
        <v/>
      </c>
      <c r="AE780" s="182" t="str">
        <f>IFERROR(LOOKUP(2,1/((D_Points!$A$5:$A$204&lt;&gt;"")*(D_Points!$A$5:$A$204&gt;=$B780)*(D_Points!$A$5:$A$204&lt;$B780+P_Interval)*(UPPER(TRIM(D_Points!$B$5:$B$204))="TURNOUT_R")*(D_Points!$H$5:$H$204&lt;&gt;"")),D_Points!$H$5:$H$204),"")</f>
        <v/>
      </c>
      <c r="AF780" s="181" t="str">
        <f>IFERROR(LOOKUP(2,1/((B_Drainage!$A$5:$A$204&lt;&gt;"")*(B_Drainage!$A$5:$A$204&lt;=$B780)*(B_Drainage!$B$5:$B$204&gt;$B780)*(B_Drainage!$M$5:$M$204&lt;&gt;"")),IF(UPPER(B_Drainage!$M$5:$M$204)="Y",1,"")),"")</f>
        <v/>
      </c>
      <c r="AG780" s="181" t="str">
        <f>IFERROR(LOOKUP(2,1/((B_Drainage!$A$5:$A$204&lt;&gt;"")*(B_Drainage!$A$5:$A$204&lt;=$B780)*(B_Drainage!$B$5:$B$204&gt;$B780)*(B_Drainage!$N$5:$N$204&lt;&gt;"")),IF(UPPER(B_Drainage!$N$5:$N$204)="Y",1,"")),"")</f>
        <v/>
      </c>
      <c r="AH780" s="181" t="str">
        <f t="shared" si="96"/>
        <v/>
      </c>
      <c r="AI780" s="181" t="str">
        <f t="shared" si="97"/>
        <v/>
      </c>
      <c r="AJ780" s="181" t="str">
        <f t="shared" si="98"/>
        <v/>
      </c>
      <c r="AK780" s="181" t="str">
        <f t="shared" si="99"/>
        <v/>
      </c>
      <c r="AL780" s="181" t="str">
        <f t="shared" si="100"/>
        <v/>
      </c>
      <c r="AM780" s="181" t="str">
        <f t="shared" si="101"/>
        <v/>
      </c>
      <c r="AN780" s="181" t="str">
        <f t="shared" si="102"/>
        <v/>
      </c>
      <c r="AO780" s="192" t="str">
        <f t="shared" si="103"/>
        <v/>
      </c>
      <c r="AQ780" t="str">
        <f>IFERROR(LOOKUP(2,1/((C_Pavement!$A$5:$A$204&lt;&gt;"")*(C_Pavement!$A$5:$A$204&lt;=$B780)*(C_Pavement!$B$5:$B$204&gt;$B780)*(C_Pavement!$C$5:$C$204&lt;&gt;"")),ROW(C_Pavement!$C$5:$C$204)-4),"")</f>
        <v/>
      </c>
      <c r="AR780" t="str">
        <f>IF($AQ780="","",UPPER(TRIM(INDEX(C_Pavement!$C$5:$C$204,$AQ780))))</f>
        <v/>
      </c>
      <c r="AS780" t="str">
        <f>IF($AR780="","",IFERROR(MATCH($AR780,E_Rules!$A$5:$A$9,0),""))</f>
        <v/>
      </c>
      <c r="AT780" t="str">
        <f>IF($AQ780="","",IF(INDEX(C_Pavement!$D$5:$D$204,$AQ780)&lt;&gt;"",UPPER(TRIM(INDEX(C_Pavement!$D$5:$D$204,$AQ780))),IF($AS780="","",INDEX(E_Rules!$C$5:$C$9,$AS780))))</f>
        <v/>
      </c>
      <c r="AU780" t="str">
        <f>IF($AQ780="","",IF(INDEX(C_Pavement!$E$5:$E$204,$AQ780)&lt;&gt;"",IF(INDEX(C_Pavement!$E$5:$E$204,$AQ780)="-","",INDEX(C_Pavement!$E$5:$E$204,$AQ780)),IF($AS780="","",INDEX(E_Rules!$D$5:$D$9,$AS780))))</f>
        <v/>
      </c>
      <c r="AV780" t="str">
        <f>IF($AQ780="","",IF(INDEX(C_Pavement!$F$5:$F$204,$AQ780)&lt;&gt;"",IF(INDEX(C_Pavement!$F$5:$F$204,$AQ780)="-","",INDEX(C_Pavement!$F$5:$F$204,$AQ780)),IF($AS780="","",INDEX(E_Rules!$E$5:$E$9,$AS780))))</f>
        <v/>
      </c>
      <c r="AW780" t="str">
        <f>IF($AQ780="","",IF(INDEX(C_Pavement!$G$5:$G$204,$AQ780)&lt;&gt;"",IF(INDEX(C_Pavement!$G$5:$G$204,$AQ780)="-","",INDEX(C_Pavement!$G$5:$G$204,$AQ780)),IF($AS780="","",INDEX(E_Rules!$F$5:$F$9,$AS780))))</f>
        <v/>
      </c>
      <c r="AX780" t="str">
        <f>IF($AQ780="","",IF(INDEX(C_Pavement!$H$5:$H$204,$AQ780)&lt;&gt;"",IF(INDEX(C_Pavement!$H$5:$H$204,$AQ780)="-","",INDEX(C_Pavement!$H$5:$H$204,$AQ780)),IF($AS780="","",INDEX(E_Rules!$G$5:$G$9,$AS780))))</f>
        <v/>
      </c>
      <c r="AY780" t="str">
        <f>IF($AQ780="","",IF(INDEX(C_Pavement!$I$5:$I$204,$AQ780)&lt;&gt;"",IF(INDEX(C_Pavement!$I$5:$I$204,$AQ780)="-","",INDEX(C_Pavement!$I$5:$I$204,$AQ780)),IF($AS780="","",INDEX(E_Rules!$H$5:$H$9,$AS780))))</f>
        <v/>
      </c>
    </row>
    <row r="781" spans="1:51" ht="15.75" customHeight="1" x14ac:dyDescent="0.3">
      <c r="A781" s="189">
        <v>776</v>
      </c>
      <c r="B781" s="180">
        <v>38750</v>
      </c>
      <c r="C781" s="180" t="s">
        <v>1087</v>
      </c>
      <c r="D781" s="181" t="str">
        <f>IFERROR(LOOKUP(2,1/((A_Corridor!$A$5:$A$204&lt;&gt;"")*(A_Corridor!$A$5:$A$204&lt;=$B781)*(A_Corridor!$B$5:$B$204&gt;$B781)*(A_Corridor!$C$5:$C$204&lt;&gt;"")),IF(UPPER(A_Corridor!$C$5:$C$204)="Y",1,"")),"")</f>
        <v/>
      </c>
      <c r="E781" s="181" t="str">
        <f>IFERROR(LOOKUP(2,1/((A_Corridor!$A$5:$A$204&lt;&gt;"")*(A_Corridor!$A$5:$A$204&lt;=$B781)*(A_Corridor!$B$5:$B$204&gt;$B781)*(A_Corridor!$D$5:$D$204&lt;&gt;"")),IF(A_Corridor!$D$5:$D$204="-","",UPPER(A_Corridor!$D$5:$D$204))),"")</f>
        <v/>
      </c>
      <c r="F781" s="181" t="str">
        <f>IFERROR(LOOKUP(2,1/((A_Corridor!$A$5:$A$204&lt;&gt;"")*(A_Corridor!$A$5:$A$204&lt;=$B781)*(A_Corridor!$B$5:$B$204&gt;$B781)*(A_Corridor!$E$5:$E$204&lt;&gt;"")),IF(A_Corridor!$E$5:$E$204="-","",1)),"")</f>
        <v/>
      </c>
      <c r="G781" s="182" t="str">
        <f>IFERROR(LOOKUP(2,1/((A_Corridor!$A$5:$A$204&lt;&gt;"")*(A_Corridor!$A$5:$A$204&lt;=$B781)*(A_Corridor!$B$5:$B$204&gt;$B781)*(A_Corridor!$E$5:$E$204&lt;&gt;"")),IF(A_Corridor!$E$5:$E$204="-","",A_Corridor!$E$5:$E$204)),"")</f>
        <v/>
      </c>
      <c r="H781" s="182" t="str">
        <f>IFERROR(LOOKUP(2,1/((D_Points!$A$5:$A$204&lt;&gt;"")*(D_Points!$A$5:$A$204&gt;=$B781)*(D_Points!$A$5:$A$204&lt;$B781+P_Interval)*(UPPER(TRIM(D_Points!$B$5:$B$204))="GULLY")*(D_Points!$H$5:$H$204&lt;&gt;"")),D_Points!$H$5:$H$204),"")</f>
        <v/>
      </c>
      <c r="I781" s="181" t="str">
        <f>IFERROR(LOOKUP(2,1/((A_Corridor!$A$5:$A$204&lt;&gt;"")*(A_Corridor!$A$5:$A$204&lt;=$B781)*(A_Corridor!$B$5:$B$204&gt;$B781)*(A_Corridor!$F$5:$F$204&lt;&gt;"")),IF(A_Corridor!$F$5:$F$204="-","",1)),"")</f>
        <v/>
      </c>
      <c r="J781" s="182" t="str">
        <f>IFERROR(LOOKUP(2,1/((A_Corridor!$A$5:$A$204&lt;&gt;"")*(A_Corridor!$A$5:$A$204&lt;=$B781)*(A_Corridor!$B$5:$B$204&gt;$B781)*(A_Corridor!$F$5:$F$204&lt;&gt;"")),IF(A_Corridor!$F$5:$F$204="-","",A_Corridor!$F$5:$F$204)),"")</f>
        <v/>
      </c>
      <c r="K781" s="182" t="str">
        <f>IFERROR(LOOKUP(2,1/((A_Corridor!$A$5:$A$204&lt;&gt;"")*(A_Corridor!$A$5:$A$204&lt;=$B781)*(A_Corridor!$B$5:$B$204&gt;$B781)*(A_Corridor!$G$5:$G$204&lt;&gt;"")),IF(A_Corridor!$G$5:$G$204="-","",A_Corridor!$G$5:$G$204)),"")</f>
        <v/>
      </c>
      <c r="L781" s="181" t="str">
        <f>IFERROR(LOOKUP(2,1/((A_Corridor!$A$5:$A$204&lt;&gt;"")*(A_Corridor!$A$5:$A$204&lt;=$B781)*(A_Corridor!$B$5:$B$204&gt;$B781)*(A_Corridor!$H$5:$H$204&lt;&gt;"")),IF(A_Corridor!$H$5:$H$204="-","",1)),"")</f>
        <v/>
      </c>
      <c r="M781" s="182" t="str">
        <f>IFERROR(LOOKUP(2,1/((A_Corridor!$A$5:$A$204&lt;&gt;"")*(A_Corridor!$A$5:$A$204&lt;=$B781)*(A_Corridor!$B$5:$B$204&gt;$B781)*(A_Corridor!$H$5:$H$204&lt;&gt;"")),IF(A_Corridor!$H$5:$H$204="-","",A_Corridor!$H$5:$H$204)),"")</f>
        <v/>
      </c>
      <c r="N781" s="182" t="str">
        <f>IFERROR(LOOKUP(2,1/((A_Corridor!$A$5:$A$204&lt;&gt;"")*(A_Corridor!$A$5:$A$204&lt;=$B781)*(A_Corridor!$B$5:$B$204&gt;$B781)*(A_Corridor!$I$5:$I$204&lt;&gt;"")),IF(A_Corridor!$I$5:$I$204="-","",A_Corridor!$I$5:$I$204)),"")</f>
        <v/>
      </c>
      <c r="O781" s="182" t="str">
        <f>IFERROR(LOOKUP(2,1/((D_Points!$A$5:$A$204&lt;&gt;"")*(D_Points!$A$5:$A$204&gt;=$B781)*(D_Points!$A$5:$A$204&lt;$B781+P_Interval)*(UPPER(TRIM(D_Points!$B$5:$B$204))="PITCHING")*(D_Points!$H$5:$H$204&lt;&gt;"")),D_Points!$H$5:$H$204),"")</f>
        <v/>
      </c>
      <c r="P781" s="181" t="str">
        <f>IFERROR(LOOKUP(2,1/((B_Drainage!$A$5:$A$204&lt;&gt;"")*(B_Drainage!$A$5:$A$204&lt;=$B781)*(B_Drainage!$B$5:$B$204&gt;$B781)*(B_Drainage!$C$5:$C$204&lt;&gt;"")),IF(B_Drainage!$C$5:$C$204="-","",UPPER(B_Drainage!$C$5:$C$204))),"")</f>
        <v/>
      </c>
      <c r="Q781" s="181" t="str">
        <f>IFERROR(LOOKUP(2,1/((B_Drainage!$A$5:$A$204&lt;&gt;"")*(B_Drainage!$A$5:$A$204&lt;=$B781)*(B_Drainage!$B$5:$B$204&gt;$B781)*(B_Drainage!$D$5:$D$204&lt;&gt;"")),IF(B_Drainage!$D$5:$D$204="-","",UPPER(B_Drainage!$D$5:$D$204))),"")</f>
        <v/>
      </c>
      <c r="R781" s="182" t="str">
        <f>IFERROR(LOOKUP(2,1/((D_Points!$A$5:$A$204&lt;&gt;"")*(D_Points!$A$5:$A$204&gt;=$B781)*(D_Points!$A$5:$A$204&lt;$B781+P_Interval)*(RIGHT(UPPER(TRIM(D_Points!$B$5:$B$204)),8)="_CULVERT")),IF(LEFT(UPPER(TRIM(D_Points!$B$5:$B$204)),2)="EX",1,IF(LEFT(UPPER(TRIM(D_Points!$B$5:$B$204)),2)="PR",2,3))),"")</f>
        <v/>
      </c>
      <c r="S781" s="182" t="str">
        <f>IFERROR(LOOKUP(2,1/((D_Points!$A$5:$A$204&lt;&gt;"")*(D_Points!$A$5:$A$204&gt;=$B781)*(D_Points!$A$5:$A$204&lt;$B781+P_Interval)*(RIGHT(UPPER(TRIM(D_Points!$B$5:$B$204)),7)="_BRIDGE")),IF(LEFT(UPPER(TRIM(D_Points!$B$5:$B$204)),2)="EX",1,IF(LEFT(UPPER(TRIM(D_Points!$B$5:$B$204)),2)="PR",2,2))),"")</f>
        <v/>
      </c>
      <c r="T781" s="181" t="str">
        <f>IFERROR(LOOKUP(2,1/((B_Drainage!$A$5:$A$204&lt;&gt;"")*(B_Drainage!$A$5:$A$204&lt;=$B781)*(B_Drainage!$B$5:$B$204&gt;$B781)*(B_Drainage!$E$5:$E$204&lt;&gt;"")),IF(B_Drainage!$E$5:$E$204="-","",1)),"")</f>
        <v/>
      </c>
      <c r="U781" s="181" t="str">
        <f>IFERROR(LOOKUP(2,1/((B_Drainage!$A$5:$A$204&lt;&gt;"")*(B_Drainage!$A$5:$A$204&lt;=$B781)*(B_Drainage!$B$5:$B$204&gt;$B781)*(B_Drainage!$E$5:$E$204&lt;&gt;"")),IF(B_Drainage!$E$5:$E$204="-","",B_Drainage!$E$5:$E$204)),"")</f>
        <v/>
      </c>
      <c r="V781" s="181" t="str">
        <f>IFERROR(LOOKUP(2,1/((B_Drainage!$A$5:$A$204&lt;&gt;"")*(B_Drainage!$A$5:$A$204&lt;=$B781)*(B_Drainage!$B$5:$B$204&gt;$B781)*(B_Drainage!$F$5:$F$204&lt;&gt;"")),IF(B_Drainage!$F$5:$F$204="-","",1)),"")</f>
        <v/>
      </c>
      <c r="W781" s="181" t="str">
        <f>IFERROR(LOOKUP(2,1/((B_Drainage!$A$5:$A$204&lt;&gt;"")*(B_Drainage!$A$5:$A$204&lt;=$B781)*(B_Drainage!$B$5:$B$204&gt;$B781)*(B_Drainage!$F$5:$F$204&lt;&gt;"")),IF(B_Drainage!$F$5:$F$204="-","",B_Drainage!$F$5:$F$204)),"")</f>
        <v/>
      </c>
      <c r="X781" s="181" t="str">
        <f>IFERROR(LOOKUP(2,1/((B_Drainage!$A$5:$A$204&lt;&gt;"")*(B_Drainage!$A$5:$A$204&lt;=$B781)*(B_Drainage!$B$5:$B$204&gt;$B781)*(B_Drainage!$G$5:$G$204&lt;&gt;"")),IF(UPPER(B_Drainage!$G$5:$G$204)="Y",1,"")),"")</f>
        <v/>
      </c>
      <c r="Y781" s="181" t="str">
        <f>IFERROR(LOOKUP(2,1/((B_Drainage!$A$5:$A$204&lt;&gt;"")*(B_Drainage!$A$5:$A$204&lt;=$B781)*(B_Drainage!$B$5:$B$204&gt;$B781)*(B_Drainage!$H$5:$H$204&lt;&gt;"")),IF(UPPER(B_Drainage!$H$5:$H$204)="Y",1,"")),"")</f>
        <v/>
      </c>
      <c r="Z781" s="181" t="str">
        <f>IFERROR(LOOKUP(2,1/((B_Drainage!$A$5:$A$204&lt;&gt;"")*(B_Drainage!$A$5:$A$204&lt;=$B781)*(B_Drainage!$B$5:$B$204&gt;$B781)*(B_Drainage!$I$5:$I$204&lt;&gt;"")),IF(UPPER(B_Drainage!$I$5:$I$204)="Y",1,"")),"")</f>
        <v/>
      </c>
      <c r="AA781" s="181" t="str">
        <f>IFERROR(LOOKUP(2,1/((B_Drainage!$A$5:$A$204&lt;&gt;"")*(B_Drainage!$A$5:$A$204&lt;=$B781)*(B_Drainage!$B$5:$B$204&gt;$B781)*(B_Drainage!$J$5:$J$204&lt;&gt;"")),IF(UPPER(B_Drainage!$J$5:$J$204)="Y",1,"")),"")</f>
        <v/>
      </c>
      <c r="AB781" s="182" t="str">
        <f>IFERROR(LOOKUP(2,1/((B_Drainage!$A$5:$A$204&lt;&gt;"")*(B_Drainage!$A$5:$A$204&lt;=$B781)*(B_Drainage!$B$5:$B$204&gt;$B781)*(B_Drainage!$K$5:$K$204&lt;&gt;"")),IF(B_Drainage!$K$5:$K$204="-","",B_Drainage!$K$5:$K$204)),"")</f>
        <v/>
      </c>
      <c r="AC781" s="182" t="str">
        <f>IFERROR(LOOKUP(2,1/((B_Drainage!$A$5:$A$204&lt;&gt;"")*(B_Drainage!$A$5:$A$204&lt;=$B781)*(B_Drainage!$B$5:$B$204&gt;$B781)*(B_Drainage!$L$5:$L$204&lt;&gt;"")),IF(B_Drainage!$L$5:$L$204="-","",B_Drainage!$L$5:$L$204)),"")</f>
        <v/>
      </c>
      <c r="AD781" s="182" t="str">
        <f>IFERROR(LOOKUP(2,1/((D_Points!$A$5:$A$204&lt;&gt;"")*(D_Points!$A$5:$A$204&gt;=$B781)*(D_Points!$A$5:$A$204&lt;$B781+P_Interval)*(UPPER(TRIM(D_Points!$B$5:$B$204))="TURNOUT_L")*(D_Points!$H$5:$H$204&lt;&gt;"")),D_Points!$H$5:$H$204),"")</f>
        <v/>
      </c>
      <c r="AE781" s="182" t="str">
        <f>IFERROR(LOOKUP(2,1/((D_Points!$A$5:$A$204&lt;&gt;"")*(D_Points!$A$5:$A$204&gt;=$B781)*(D_Points!$A$5:$A$204&lt;$B781+P_Interval)*(UPPER(TRIM(D_Points!$B$5:$B$204))="TURNOUT_R")*(D_Points!$H$5:$H$204&lt;&gt;"")),D_Points!$H$5:$H$204),"")</f>
        <v/>
      </c>
      <c r="AF781" s="181" t="str">
        <f>IFERROR(LOOKUP(2,1/((B_Drainage!$A$5:$A$204&lt;&gt;"")*(B_Drainage!$A$5:$A$204&lt;=$B781)*(B_Drainage!$B$5:$B$204&gt;$B781)*(B_Drainage!$M$5:$M$204&lt;&gt;"")),IF(UPPER(B_Drainage!$M$5:$M$204)="Y",1,"")),"")</f>
        <v/>
      </c>
      <c r="AG781" s="181" t="str">
        <f>IFERROR(LOOKUP(2,1/((B_Drainage!$A$5:$A$204&lt;&gt;"")*(B_Drainage!$A$5:$A$204&lt;=$B781)*(B_Drainage!$B$5:$B$204&gt;$B781)*(B_Drainage!$N$5:$N$204&lt;&gt;"")),IF(UPPER(B_Drainage!$N$5:$N$204)="Y",1,"")),"")</f>
        <v/>
      </c>
      <c r="AH781" s="181" t="str">
        <f t="shared" si="96"/>
        <v/>
      </c>
      <c r="AI781" s="181" t="str">
        <f t="shared" si="97"/>
        <v/>
      </c>
      <c r="AJ781" s="181" t="str">
        <f t="shared" si="98"/>
        <v/>
      </c>
      <c r="AK781" s="181" t="str">
        <f t="shared" si="99"/>
        <v/>
      </c>
      <c r="AL781" s="181" t="str">
        <f t="shared" si="100"/>
        <v/>
      </c>
      <c r="AM781" s="181" t="str">
        <f t="shared" si="101"/>
        <v/>
      </c>
      <c r="AN781" s="181" t="str">
        <f t="shared" si="102"/>
        <v/>
      </c>
      <c r="AO781" s="192" t="str">
        <f t="shared" si="103"/>
        <v/>
      </c>
      <c r="AQ781" t="str">
        <f>IFERROR(LOOKUP(2,1/((C_Pavement!$A$5:$A$204&lt;&gt;"")*(C_Pavement!$A$5:$A$204&lt;=$B781)*(C_Pavement!$B$5:$B$204&gt;$B781)*(C_Pavement!$C$5:$C$204&lt;&gt;"")),ROW(C_Pavement!$C$5:$C$204)-4),"")</f>
        <v/>
      </c>
      <c r="AR781" t="str">
        <f>IF($AQ781="","",UPPER(TRIM(INDEX(C_Pavement!$C$5:$C$204,$AQ781))))</f>
        <v/>
      </c>
      <c r="AS781" t="str">
        <f>IF($AR781="","",IFERROR(MATCH($AR781,E_Rules!$A$5:$A$9,0),""))</f>
        <v/>
      </c>
      <c r="AT781" t="str">
        <f>IF($AQ781="","",IF(INDEX(C_Pavement!$D$5:$D$204,$AQ781)&lt;&gt;"",UPPER(TRIM(INDEX(C_Pavement!$D$5:$D$204,$AQ781))),IF($AS781="","",INDEX(E_Rules!$C$5:$C$9,$AS781))))</f>
        <v/>
      </c>
      <c r="AU781" t="str">
        <f>IF($AQ781="","",IF(INDEX(C_Pavement!$E$5:$E$204,$AQ781)&lt;&gt;"",IF(INDEX(C_Pavement!$E$5:$E$204,$AQ781)="-","",INDEX(C_Pavement!$E$5:$E$204,$AQ781)),IF($AS781="","",INDEX(E_Rules!$D$5:$D$9,$AS781))))</f>
        <v/>
      </c>
      <c r="AV781" t="str">
        <f>IF($AQ781="","",IF(INDEX(C_Pavement!$F$5:$F$204,$AQ781)&lt;&gt;"",IF(INDEX(C_Pavement!$F$5:$F$204,$AQ781)="-","",INDEX(C_Pavement!$F$5:$F$204,$AQ781)),IF($AS781="","",INDEX(E_Rules!$E$5:$E$9,$AS781))))</f>
        <v/>
      </c>
      <c r="AW781" t="str">
        <f>IF($AQ781="","",IF(INDEX(C_Pavement!$G$5:$G$204,$AQ781)&lt;&gt;"",IF(INDEX(C_Pavement!$G$5:$G$204,$AQ781)="-","",INDEX(C_Pavement!$G$5:$G$204,$AQ781)),IF($AS781="","",INDEX(E_Rules!$F$5:$F$9,$AS781))))</f>
        <v/>
      </c>
      <c r="AX781" t="str">
        <f>IF($AQ781="","",IF(INDEX(C_Pavement!$H$5:$H$204,$AQ781)&lt;&gt;"",IF(INDEX(C_Pavement!$H$5:$H$204,$AQ781)="-","",INDEX(C_Pavement!$H$5:$H$204,$AQ781)),IF($AS781="","",INDEX(E_Rules!$G$5:$G$9,$AS781))))</f>
        <v/>
      </c>
      <c r="AY781" t="str">
        <f>IF($AQ781="","",IF(INDEX(C_Pavement!$I$5:$I$204,$AQ781)&lt;&gt;"",IF(INDEX(C_Pavement!$I$5:$I$204,$AQ781)="-","",INDEX(C_Pavement!$I$5:$I$204,$AQ781)),IF($AS781="","",INDEX(E_Rules!$H$5:$H$9,$AS781))))</f>
        <v/>
      </c>
    </row>
    <row r="782" spans="1:51" ht="15.75" customHeight="1" x14ac:dyDescent="0.3">
      <c r="A782" s="189">
        <v>777</v>
      </c>
      <c r="B782" s="180">
        <v>38800</v>
      </c>
      <c r="C782" s="180" t="s">
        <v>1088</v>
      </c>
      <c r="D782" s="181" t="str">
        <f>IFERROR(LOOKUP(2,1/((A_Corridor!$A$5:$A$204&lt;&gt;"")*(A_Corridor!$A$5:$A$204&lt;=$B782)*(A_Corridor!$B$5:$B$204&gt;$B782)*(A_Corridor!$C$5:$C$204&lt;&gt;"")),IF(UPPER(A_Corridor!$C$5:$C$204)="Y",1,"")),"")</f>
        <v/>
      </c>
      <c r="E782" s="181" t="str">
        <f>IFERROR(LOOKUP(2,1/((A_Corridor!$A$5:$A$204&lt;&gt;"")*(A_Corridor!$A$5:$A$204&lt;=$B782)*(A_Corridor!$B$5:$B$204&gt;$B782)*(A_Corridor!$D$5:$D$204&lt;&gt;"")),IF(A_Corridor!$D$5:$D$204="-","",UPPER(A_Corridor!$D$5:$D$204))),"")</f>
        <v/>
      </c>
      <c r="F782" s="181" t="str">
        <f>IFERROR(LOOKUP(2,1/((A_Corridor!$A$5:$A$204&lt;&gt;"")*(A_Corridor!$A$5:$A$204&lt;=$B782)*(A_Corridor!$B$5:$B$204&gt;$B782)*(A_Corridor!$E$5:$E$204&lt;&gt;"")),IF(A_Corridor!$E$5:$E$204="-","",1)),"")</f>
        <v/>
      </c>
      <c r="G782" s="182" t="str">
        <f>IFERROR(LOOKUP(2,1/((A_Corridor!$A$5:$A$204&lt;&gt;"")*(A_Corridor!$A$5:$A$204&lt;=$B782)*(A_Corridor!$B$5:$B$204&gt;$B782)*(A_Corridor!$E$5:$E$204&lt;&gt;"")),IF(A_Corridor!$E$5:$E$204="-","",A_Corridor!$E$5:$E$204)),"")</f>
        <v/>
      </c>
      <c r="H782" s="182" t="str">
        <f>IFERROR(LOOKUP(2,1/((D_Points!$A$5:$A$204&lt;&gt;"")*(D_Points!$A$5:$A$204&gt;=$B782)*(D_Points!$A$5:$A$204&lt;$B782+P_Interval)*(UPPER(TRIM(D_Points!$B$5:$B$204))="GULLY")*(D_Points!$H$5:$H$204&lt;&gt;"")),D_Points!$H$5:$H$204),"")</f>
        <v/>
      </c>
      <c r="I782" s="181" t="str">
        <f>IFERROR(LOOKUP(2,1/((A_Corridor!$A$5:$A$204&lt;&gt;"")*(A_Corridor!$A$5:$A$204&lt;=$B782)*(A_Corridor!$B$5:$B$204&gt;$B782)*(A_Corridor!$F$5:$F$204&lt;&gt;"")),IF(A_Corridor!$F$5:$F$204="-","",1)),"")</f>
        <v/>
      </c>
      <c r="J782" s="182" t="str">
        <f>IFERROR(LOOKUP(2,1/((A_Corridor!$A$5:$A$204&lt;&gt;"")*(A_Corridor!$A$5:$A$204&lt;=$B782)*(A_Corridor!$B$5:$B$204&gt;$B782)*(A_Corridor!$F$5:$F$204&lt;&gt;"")),IF(A_Corridor!$F$5:$F$204="-","",A_Corridor!$F$5:$F$204)),"")</f>
        <v/>
      </c>
      <c r="K782" s="182" t="str">
        <f>IFERROR(LOOKUP(2,1/((A_Corridor!$A$5:$A$204&lt;&gt;"")*(A_Corridor!$A$5:$A$204&lt;=$B782)*(A_Corridor!$B$5:$B$204&gt;$B782)*(A_Corridor!$G$5:$G$204&lt;&gt;"")),IF(A_Corridor!$G$5:$G$204="-","",A_Corridor!$G$5:$G$204)),"")</f>
        <v/>
      </c>
      <c r="L782" s="181" t="str">
        <f>IFERROR(LOOKUP(2,1/((A_Corridor!$A$5:$A$204&lt;&gt;"")*(A_Corridor!$A$5:$A$204&lt;=$B782)*(A_Corridor!$B$5:$B$204&gt;$B782)*(A_Corridor!$H$5:$H$204&lt;&gt;"")),IF(A_Corridor!$H$5:$H$204="-","",1)),"")</f>
        <v/>
      </c>
      <c r="M782" s="182" t="str">
        <f>IFERROR(LOOKUP(2,1/((A_Corridor!$A$5:$A$204&lt;&gt;"")*(A_Corridor!$A$5:$A$204&lt;=$B782)*(A_Corridor!$B$5:$B$204&gt;$B782)*(A_Corridor!$H$5:$H$204&lt;&gt;"")),IF(A_Corridor!$H$5:$H$204="-","",A_Corridor!$H$5:$H$204)),"")</f>
        <v/>
      </c>
      <c r="N782" s="182" t="str">
        <f>IFERROR(LOOKUP(2,1/((A_Corridor!$A$5:$A$204&lt;&gt;"")*(A_Corridor!$A$5:$A$204&lt;=$B782)*(A_Corridor!$B$5:$B$204&gt;$B782)*(A_Corridor!$I$5:$I$204&lt;&gt;"")),IF(A_Corridor!$I$5:$I$204="-","",A_Corridor!$I$5:$I$204)),"")</f>
        <v/>
      </c>
      <c r="O782" s="182" t="str">
        <f>IFERROR(LOOKUP(2,1/((D_Points!$A$5:$A$204&lt;&gt;"")*(D_Points!$A$5:$A$204&gt;=$B782)*(D_Points!$A$5:$A$204&lt;$B782+P_Interval)*(UPPER(TRIM(D_Points!$B$5:$B$204))="PITCHING")*(D_Points!$H$5:$H$204&lt;&gt;"")),D_Points!$H$5:$H$204),"")</f>
        <v/>
      </c>
      <c r="P782" s="181" t="str">
        <f>IFERROR(LOOKUP(2,1/((B_Drainage!$A$5:$A$204&lt;&gt;"")*(B_Drainage!$A$5:$A$204&lt;=$B782)*(B_Drainage!$B$5:$B$204&gt;$B782)*(B_Drainage!$C$5:$C$204&lt;&gt;"")),IF(B_Drainage!$C$5:$C$204="-","",UPPER(B_Drainage!$C$5:$C$204))),"")</f>
        <v/>
      </c>
      <c r="Q782" s="181" t="str">
        <f>IFERROR(LOOKUP(2,1/((B_Drainage!$A$5:$A$204&lt;&gt;"")*(B_Drainage!$A$5:$A$204&lt;=$B782)*(B_Drainage!$B$5:$B$204&gt;$B782)*(B_Drainage!$D$5:$D$204&lt;&gt;"")),IF(B_Drainage!$D$5:$D$204="-","",UPPER(B_Drainage!$D$5:$D$204))),"")</f>
        <v/>
      </c>
      <c r="R782" s="182" t="str">
        <f>IFERROR(LOOKUP(2,1/((D_Points!$A$5:$A$204&lt;&gt;"")*(D_Points!$A$5:$A$204&gt;=$B782)*(D_Points!$A$5:$A$204&lt;$B782+P_Interval)*(RIGHT(UPPER(TRIM(D_Points!$B$5:$B$204)),8)="_CULVERT")),IF(LEFT(UPPER(TRIM(D_Points!$B$5:$B$204)),2)="EX",1,IF(LEFT(UPPER(TRIM(D_Points!$B$5:$B$204)),2)="PR",2,3))),"")</f>
        <v/>
      </c>
      <c r="S782" s="182" t="str">
        <f>IFERROR(LOOKUP(2,1/((D_Points!$A$5:$A$204&lt;&gt;"")*(D_Points!$A$5:$A$204&gt;=$B782)*(D_Points!$A$5:$A$204&lt;$B782+P_Interval)*(RIGHT(UPPER(TRIM(D_Points!$B$5:$B$204)),7)="_BRIDGE")),IF(LEFT(UPPER(TRIM(D_Points!$B$5:$B$204)),2)="EX",1,IF(LEFT(UPPER(TRIM(D_Points!$B$5:$B$204)),2)="PR",2,2))),"")</f>
        <v/>
      </c>
      <c r="T782" s="181" t="str">
        <f>IFERROR(LOOKUP(2,1/((B_Drainage!$A$5:$A$204&lt;&gt;"")*(B_Drainage!$A$5:$A$204&lt;=$B782)*(B_Drainage!$B$5:$B$204&gt;$B782)*(B_Drainage!$E$5:$E$204&lt;&gt;"")),IF(B_Drainage!$E$5:$E$204="-","",1)),"")</f>
        <v/>
      </c>
      <c r="U782" s="181" t="str">
        <f>IFERROR(LOOKUP(2,1/((B_Drainage!$A$5:$A$204&lt;&gt;"")*(B_Drainage!$A$5:$A$204&lt;=$B782)*(B_Drainage!$B$5:$B$204&gt;$B782)*(B_Drainage!$E$5:$E$204&lt;&gt;"")),IF(B_Drainage!$E$5:$E$204="-","",B_Drainage!$E$5:$E$204)),"")</f>
        <v/>
      </c>
      <c r="V782" s="181" t="str">
        <f>IFERROR(LOOKUP(2,1/((B_Drainage!$A$5:$A$204&lt;&gt;"")*(B_Drainage!$A$5:$A$204&lt;=$B782)*(B_Drainage!$B$5:$B$204&gt;$B782)*(B_Drainage!$F$5:$F$204&lt;&gt;"")),IF(B_Drainage!$F$5:$F$204="-","",1)),"")</f>
        <v/>
      </c>
      <c r="W782" s="181" t="str">
        <f>IFERROR(LOOKUP(2,1/((B_Drainage!$A$5:$A$204&lt;&gt;"")*(B_Drainage!$A$5:$A$204&lt;=$B782)*(B_Drainage!$B$5:$B$204&gt;$B782)*(B_Drainage!$F$5:$F$204&lt;&gt;"")),IF(B_Drainage!$F$5:$F$204="-","",B_Drainage!$F$5:$F$204)),"")</f>
        <v/>
      </c>
      <c r="X782" s="181" t="str">
        <f>IFERROR(LOOKUP(2,1/((B_Drainage!$A$5:$A$204&lt;&gt;"")*(B_Drainage!$A$5:$A$204&lt;=$B782)*(B_Drainage!$B$5:$B$204&gt;$B782)*(B_Drainage!$G$5:$G$204&lt;&gt;"")),IF(UPPER(B_Drainage!$G$5:$G$204)="Y",1,"")),"")</f>
        <v/>
      </c>
      <c r="Y782" s="181" t="str">
        <f>IFERROR(LOOKUP(2,1/((B_Drainage!$A$5:$A$204&lt;&gt;"")*(B_Drainage!$A$5:$A$204&lt;=$B782)*(B_Drainage!$B$5:$B$204&gt;$B782)*(B_Drainage!$H$5:$H$204&lt;&gt;"")),IF(UPPER(B_Drainage!$H$5:$H$204)="Y",1,"")),"")</f>
        <v/>
      </c>
      <c r="Z782" s="181" t="str">
        <f>IFERROR(LOOKUP(2,1/((B_Drainage!$A$5:$A$204&lt;&gt;"")*(B_Drainage!$A$5:$A$204&lt;=$B782)*(B_Drainage!$B$5:$B$204&gt;$B782)*(B_Drainage!$I$5:$I$204&lt;&gt;"")),IF(UPPER(B_Drainage!$I$5:$I$204)="Y",1,"")),"")</f>
        <v/>
      </c>
      <c r="AA782" s="181" t="str">
        <f>IFERROR(LOOKUP(2,1/((B_Drainage!$A$5:$A$204&lt;&gt;"")*(B_Drainage!$A$5:$A$204&lt;=$B782)*(B_Drainage!$B$5:$B$204&gt;$B782)*(B_Drainage!$J$5:$J$204&lt;&gt;"")),IF(UPPER(B_Drainage!$J$5:$J$204)="Y",1,"")),"")</f>
        <v/>
      </c>
      <c r="AB782" s="182" t="str">
        <f>IFERROR(LOOKUP(2,1/((B_Drainage!$A$5:$A$204&lt;&gt;"")*(B_Drainage!$A$5:$A$204&lt;=$B782)*(B_Drainage!$B$5:$B$204&gt;$B782)*(B_Drainage!$K$5:$K$204&lt;&gt;"")),IF(B_Drainage!$K$5:$K$204="-","",B_Drainage!$K$5:$K$204)),"")</f>
        <v/>
      </c>
      <c r="AC782" s="182" t="str">
        <f>IFERROR(LOOKUP(2,1/((B_Drainage!$A$5:$A$204&lt;&gt;"")*(B_Drainage!$A$5:$A$204&lt;=$B782)*(B_Drainage!$B$5:$B$204&gt;$B782)*(B_Drainage!$L$5:$L$204&lt;&gt;"")),IF(B_Drainage!$L$5:$L$204="-","",B_Drainage!$L$5:$L$204)),"")</f>
        <v/>
      </c>
      <c r="AD782" s="182" t="str">
        <f>IFERROR(LOOKUP(2,1/((D_Points!$A$5:$A$204&lt;&gt;"")*(D_Points!$A$5:$A$204&gt;=$B782)*(D_Points!$A$5:$A$204&lt;$B782+P_Interval)*(UPPER(TRIM(D_Points!$B$5:$B$204))="TURNOUT_L")*(D_Points!$H$5:$H$204&lt;&gt;"")),D_Points!$H$5:$H$204),"")</f>
        <v/>
      </c>
      <c r="AE782" s="182" t="str">
        <f>IFERROR(LOOKUP(2,1/((D_Points!$A$5:$A$204&lt;&gt;"")*(D_Points!$A$5:$A$204&gt;=$B782)*(D_Points!$A$5:$A$204&lt;$B782+P_Interval)*(UPPER(TRIM(D_Points!$B$5:$B$204))="TURNOUT_R")*(D_Points!$H$5:$H$204&lt;&gt;"")),D_Points!$H$5:$H$204),"")</f>
        <v/>
      </c>
      <c r="AF782" s="181" t="str">
        <f>IFERROR(LOOKUP(2,1/((B_Drainage!$A$5:$A$204&lt;&gt;"")*(B_Drainage!$A$5:$A$204&lt;=$B782)*(B_Drainage!$B$5:$B$204&gt;$B782)*(B_Drainage!$M$5:$M$204&lt;&gt;"")),IF(UPPER(B_Drainage!$M$5:$M$204)="Y",1,"")),"")</f>
        <v/>
      </c>
      <c r="AG782" s="181" t="str">
        <f>IFERROR(LOOKUP(2,1/((B_Drainage!$A$5:$A$204&lt;&gt;"")*(B_Drainage!$A$5:$A$204&lt;=$B782)*(B_Drainage!$B$5:$B$204&gt;$B782)*(B_Drainage!$N$5:$N$204&lt;&gt;"")),IF(UPPER(B_Drainage!$N$5:$N$204)="Y",1,"")),"")</f>
        <v/>
      </c>
      <c r="AH782" s="181" t="str">
        <f t="shared" si="96"/>
        <v/>
      </c>
      <c r="AI782" s="181" t="str">
        <f t="shared" si="97"/>
        <v/>
      </c>
      <c r="AJ782" s="181" t="str">
        <f t="shared" si="98"/>
        <v/>
      </c>
      <c r="AK782" s="181" t="str">
        <f t="shared" si="99"/>
        <v/>
      </c>
      <c r="AL782" s="181" t="str">
        <f t="shared" si="100"/>
        <v/>
      </c>
      <c r="AM782" s="181" t="str">
        <f t="shared" si="101"/>
        <v/>
      </c>
      <c r="AN782" s="181" t="str">
        <f t="shared" si="102"/>
        <v/>
      </c>
      <c r="AO782" s="192" t="str">
        <f t="shared" si="103"/>
        <v/>
      </c>
      <c r="AQ782" t="str">
        <f>IFERROR(LOOKUP(2,1/((C_Pavement!$A$5:$A$204&lt;&gt;"")*(C_Pavement!$A$5:$A$204&lt;=$B782)*(C_Pavement!$B$5:$B$204&gt;$B782)*(C_Pavement!$C$5:$C$204&lt;&gt;"")),ROW(C_Pavement!$C$5:$C$204)-4),"")</f>
        <v/>
      </c>
      <c r="AR782" t="str">
        <f>IF($AQ782="","",UPPER(TRIM(INDEX(C_Pavement!$C$5:$C$204,$AQ782))))</f>
        <v/>
      </c>
      <c r="AS782" t="str">
        <f>IF($AR782="","",IFERROR(MATCH($AR782,E_Rules!$A$5:$A$9,0),""))</f>
        <v/>
      </c>
      <c r="AT782" t="str">
        <f>IF($AQ782="","",IF(INDEX(C_Pavement!$D$5:$D$204,$AQ782)&lt;&gt;"",UPPER(TRIM(INDEX(C_Pavement!$D$5:$D$204,$AQ782))),IF($AS782="","",INDEX(E_Rules!$C$5:$C$9,$AS782))))</f>
        <v/>
      </c>
      <c r="AU782" t="str">
        <f>IF($AQ782="","",IF(INDEX(C_Pavement!$E$5:$E$204,$AQ782)&lt;&gt;"",IF(INDEX(C_Pavement!$E$5:$E$204,$AQ782)="-","",INDEX(C_Pavement!$E$5:$E$204,$AQ782)),IF($AS782="","",INDEX(E_Rules!$D$5:$D$9,$AS782))))</f>
        <v/>
      </c>
      <c r="AV782" t="str">
        <f>IF($AQ782="","",IF(INDEX(C_Pavement!$F$5:$F$204,$AQ782)&lt;&gt;"",IF(INDEX(C_Pavement!$F$5:$F$204,$AQ782)="-","",INDEX(C_Pavement!$F$5:$F$204,$AQ782)),IF($AS782="","",INDEX(E_Rules!$E$5:$E$9,$AS782))))</f>
        <v/>
      </c>
      <c r="AW782" t="str">
        <f>IF($AQ782="","",IF(INDEX(C_Pavement!$G$5:$G$204,$AQ782)&lt;&gt;"",IF(INDEX(C_Pavement!$G$5:$G$204,$AQ782)="-","",INDEX(C_Pavement!$G$5:$G$204,$AQ782)),IF($AS782="","",INDEX(E_Rules!$F$5:$F$9,$AS782))))</f>
        <v/>
      </c>
      <c r="AX782" t="str">
        <f>IF($AQ782="","",IF(INDEX(C_Pavement!$H$5:$H$204,$AQ782)&lt;&gt;"",IF(INDEX(C_Pavement!$H$5:$H$204,$AQ782)="-","",INDEX(C_Pavement!$H$5:$H$204,$AQ782)),IF($AS782="","",INDEX(E_Rules!$G$5:$G$9,$AS782))))</f>
        <v/>
      </c>
      <c r="AY782" t="str">
        <f>IF($AQ782="","",IF(INDEX(C_Pavement!$I$5:$I$204,$AQ782)&lt;&gt;"",IF(INDEX(C_Pavement!$I$5:$I$204,$AQ782)="-","",INDEX(C_Pavement!$I$5:$I$204,$AQ782)),IF($AS782="","",INDEX(E_Rules!$H$5:$H$9,$AS782))))</f>
        <v/>
      </c>
    </row>
    <row r="783" spans="1:51" ht="15.75" customHeight="1" x14ac:dyDescent="0.3">
      <c r="A783" s="189">
        <v>778</v>
      </c>
      <c r="B783" s="180">
        <v>38850</v>
      </c>
      <c r="C783" s="180" t="s">
        <v>1089</v>
      </c>
      <c r="D783" s="181" t="str">
        <f>IFERROR(LOOKUP(2,1/((A_Corridor!$A$5:$A$204&lt;&gt;"")*(A_Corridor!$A$5:$A$204&lt;=$B783)*(A_Corridor!$B$5:$B$204&gt;$B783)*(A_Corridor!$C$5:$C$204&lt;&gt;"")),IF(UPPER(A_Corridor!$C$5:$C$204)="Y",1,"")),"")</f>
        <v/>
      </c>
      <c r="E783" s="181" t="str">
        <f>IFERROR(LOOKUP(2,1/((A_Corridor!$A$5:$A$204&lt;&gt;"")*(A_Corridor!$A$5:$A$204&lt;=$B783)*(A_Corridor!$B$5:$B$204&gt;$B783)*(A_Corridor!$D$5:$D$204&lt;&gt;"")),IF(A_Corridor!$D$5:$D$204="-","",UPPER(A_Corridor!$D$5:$D$204))),"")</f>
        <v/>
      </c>
      <c r="F783" s="181" t="str">
        <f>IFERROR(LOOKUP(2,1/((A_Corridor!$A$5:$A$204&lt;&gt;"")*(A_Corridor!$A$5:$A$204&lt;=$B783)*(A_Corridor!$B$5:$B$204&gt;$B783)*(A_Corridor!$E$5:$E$204&lt;&gt;"")),IF(A_Corridor!$E$5:$E$204="-","",1)),"")</f>
        <v/>
      </c>
      <c r="G783" s="182" t="str">
        <f>IFERROR(LOOKUP(2,1/((A_Corridor!$A$5:$A$204&lt;&gt;"")*(A_Corridor!$A$5:$A$204&lt;=$B783)*(A_Corridor!$B$5:$B$204&gt;$B783)*(A_Corridor!$E$5:$E$204&lt;&gt;"")),IF(A_Corridor!$E$5:$E$204="-","",A_Corridor!$E$5:$E$204)),"")</f>
        <v/>
      </c>
      <c r="H783" s="182" t="str">
        <f>IFERROR(LOOKUP(2,1/((D_Points!$A$5:$A$204&lt;&gt;"")*(D_Points!$A$5:$A$204&gt;=$B783)*(D_Points!$A$5:$A$204&lt;$B783+P_Interval)*(UPPER(TRIM(D_Points!$B$5:$B$204))="GULLY")*(D_Points!$H$5:$H$204&lt;&gt;"")),D_Points!$H$5:$H$204),"")</f>
        <v/>
      </c>
      <c r="I783" s="181" t="str">
        <f>IFERROR(LOOKUP(2,1/((A_Corridor!$A$5:$A$204&lt;&gt;"")*(A_Corridor!$A$5:$A$204&lt;=$B783)*(A_Corridor!$B$5:$B$204&gt;$B783)*(A_Corridor!$F$5:$F$204&lt;&gt;"")),IF(A_Corridor!$F$5:$F$204="-","",1)),"")</f>
        <v/>
      </c>
      <c r="J783" s="182" t="str">
        <f>IFERROR(LOOKUP(2,1/((A_Corridor!$A$5:$A$204&lt;&gt;"")*(A_Corridor!$A$5:$A$204&lt;=$B783)*(A_Corridor!$B$5:$B$204&gt;$B783)*(A_Corridor!$F$5:$F$204&lt;&gt;"")),IF(A_Corridor!$F$5:$F$204="-","",A_Corridor!$F$5:$F$204)),"")</f>
        <v/>
      </c>
      <c r="K783" s="182" t="str">
        <f>IFERROR(LOOKUP(2,1/((A_Corridor!$A$5:$A$204&lt;&gt;"")*(A_Corridor!$A$5:$A$204&lt;=$B783)*(A_Corridor!$B$5:$B$204&gt;$B783)*(A_Corridor!$G$5:$G$204&lt;&gt;"")),IF(A_Corridor!$G$5:$G$204="-","",A_Corridor!$G$5:$G$204)),"")</f>
        <v/>
      </c>
      <c r="L783" s="181" t="str">
        <f>IFERROR(LOOKUP(2,1/((A_Corridor!$A$5:$A$204&lt;&gt;"")*(A_Corridor!$A$5:$A$204&lt;=$B783)*(A_Corridor!$B$5:$B$204&gt;$B783)*(A_Corridor!$H$5:$H$204&lt;&gt;"")),IF(A_Corridor!$H$5:$H$204="-","",1)),"")</f>
        <v/>
      </c>
      <c r="M783" s="182" t="str">
        <f>IFERROR(LOOKUP(2,1/((A_Corridor!$A$5:$A$204&lt;&gt;"")*(A_Corridor!$A$5:$A$204&lt;=$B783)*(A_Corridor!$B$5:$B$204&gt;$B783)*(A_Corridor!$H$5:$H$204&lt;&gt;"")),IF(A_Corridor!$H$5:$H$204="-","",A_Corridor!$H$5:$H$204)),"")</f>
        <v/>
      </c>
      <c r="N783" s="182" t="str">
        <f>IFERROR(LOOKUP(2,1/((A_Corridor!$A$5:$A$204&lt;&gt;"")*(A_Corridor!$A$5:$A$204&lt;=$B783)*(A_Corridor!$B$5:$B$204&gt;$B783)*(A_Corridor!$I$5:$I$204&lt;&gt;"")),IF(A_Corridor!$I$5:$I$204="-","",A_Corridor!$I$5:$I$204)),"")</f>
        <v/>
      </c>
      <c r="O783" s="182" t="str">
        <f>IFERROR(LOOKUP(2,1/((D_Points!$A$5:$A$204&lt;&gt;"")*(D_Points!$A$5:$A$204&gt;=$B783)*(D_Points!$A$5:$A$204&lt;$B783+P_Interval)*(UPPER(TRIM(D_Points!$B$5:$B$204))="PITCHING")*(D_Points!$H$5:$H$204&lt;&gt;"")),D_Points!$H$5:$H$204),"")</f>
        <v/>
      </c>
      <c r="P783" s="181" t="str">
        <f>IFERROR(LOOKUP(2,1/((B_Drainage!$A$5:$A$204&lt;&gt;"")*(B_Drainage!$A$5:$A$204&lt;=$B783)*(B_Drainage!$B$5:$B$204&gt;$B783)*(B_Drainage!$C$5:$C$204&lt;&gt;"")),IF(B_Drainage!$C$5:$C$204="-","",UPPER(B_Drainage!$C$5:$C$204))),"")</f>
        <v/>
      </c>
      <c r="Q783" s="181" t="str">
        <f>IFERROR(LOOKUP(2,1/((B_Drainage!$A$5:$A$204&lt;&gt;"")*(B_Drainage!$A$5:$A$204&lt;=$B783)*(B_Drainage!$B$5:$B$204&gt;$B783)*(B_Drainage!$D$5:$D$204&lt;&gt;"")),IF(B_Drainage!$D$5:$D$204="-","",UPPER(B_Drainage!$D$5:$D$204))),"")</f>
        <v/>
      </c>
      <c r="R783" s="182" t="str">
        <f>IFERROR(LOOKUP(2,1/((D_Points!$A$5:$A$204&lt;&gt;"")*(D_Points!$A$5:$A$204&gt;=$B783)*(D_Points!$A$5:$A$204&lt;$B783+P_Interval)*(RIGHT(UPPER(TRIM(D_Points!$B$5:$B$204)),8)="_CULVERT")),IF(LEFT(UPPER(TRIM(D_Points!$B$5:$B$204)),2)="EX",1,IF(LEFT(UPPER(TRIM(D_Points!$B$5:$B$204)),2)="PR",2,3))),"")</f>
        <v/>
      </c>
      <c r="S783" s="182" t="str">
        <f>IFERROR(LOOKUP(2,1/((D_Points!$A$5:$A$204&lt;&gt;"")*(D_Points!$A$5:$A$204&gt;=$B783)*(D_Points!$A$5:$A$204&lt;$B783+P_Interval)*(RIGHT(UPPER(TRIM(D_Points!$B$5:$B$204)),7)="_BRIDGE")),IF(LEFT(UPPER(TRIM(D_Points!$B$5:$B$204)),2)="EX",1,IF(LEFT(UPPER(TRIM(D_Points!$B$5:$B$204)),2)="PR",2,2))),"")</f>
        <v/>
      </c>
      <c r="T783" s="181" t="str">
        <f>IFERROR(LOOKUP(2,1/((B_Drainage!$A$5:$A$204&lt;&gt;"")*(B_Drainage!$A$5:$A$204&lt;=$B783)*(B_Drainage!$B$5:$B$204&gt;$B783)*(B_Drainage!$E$5:$E$204&lt;&gt;"")),IF(B_Drainage!$E$5:$E$204="-","",1)),"")</f>
        <v/>
      </c>
      <c r="U783" s="181" t="str">
        <f>IFERROR(LOOKUP(2,1/((B_Drainage!$A$5:$A$204&lt;&gt;"")*(B_Drainage!$A$5:$A$204&lt;=$B783)*(B_Drainage!$B$5:$B$204&gt;$B783)*(B_Drainage!$E$5:$E$204&lt;&gt;"")),IF(B_Drainage!$E$5:$E$204="-","",B_Drainage!$E$5:$E$204)),"")</f>
        <v/>
      </c>
      <c r="V783" s="181" t="str">
        <f>IFERROR(LOOKUP(2,1/((B_Drainage!$A$5:$A$204&lt;&gt;"")*(B_Drainage!$A$5:$A$204&lt;=$B783)*(B_Drainage!$B$5:$B$204&gt;$B783)*(B_Drainage!$F$5:$F$204&lt;&gt;"")),IF(B_Drainage!$F$5:$F$204="-","",1)),"")</f>
        <v/>
      </c>
      <c r="W783" s="181" t="str">
        <f>IFERROR(LOOKUP(2,1/((B_Drainage!$A$5:$A$204&lt;&gt;"")*(B_Drainage!$A$5:$A$204&lt;=$B783)*(B_Drainage!$B$5:$B$204&gt;$B783)*(B_Drainage!$F$5:$F$204&lt;&gt;"")),IF(B_Drainage!$F$5:$F$204="-","",B_Drainage!$F$5:$F$204)),"")</f>
        <v/>
      </c>
      <c r="X783" s="181" t="str">
        <f>IFERROR(LOOKUP(2,1/((B_Drainage!$A$5:$A$204&lt;&gt;"")*(B_Drainage!$A$5:$A$204&lt;=$B783)*(B_Drainage!$B$5:$B$204&gt;$B783)*(B_Drainage!$G$5:$G$204&lt;&gt;"")),IF(UPPER(B_Drainage!$G$5:$G$204)="Y",1,"")),"")</f>
        <v/>
      </c>
      <c r="Y783" s="181" t="str">
        <f>IFERROR(LOOKUP(2,1/((B_Drainage!$A$5:$A$204&lt;&gt;"")*(B_Drainage!$A$5:$A$204&lt;=$B783)*(B_Drainage!$B$5:$B$204&gt;$B783)*(B_Drainage!$H$5:$H$204&lt;&gt;"")),IF(UPPER(B_Drainage!$H$5:$H$204)="Y",1,"")),"")</f>
        <v/>
      </c>
      <c r="Z783" s="181" t="str">
        <f>IFERROR(LOOKUP(2,1/((B_Drainage!$A$5:$A$204&lt;&gt;"")*(B_Drainage!$A$5:$A$204&lt;=$B783)*(B_Drainage!$B$5:$B$204&gt;$B783)*(B_Drainage!$I$5:$I$204&lt;&gt;"")),IF(UPPER(B_Drainage!$I$5:$I$204)="Y",1,"")),"")</f>
        <v/>
      </c>
      <c r="AA783" s="181" t="str">
        <f>IFERROR(LOOKUP(2,1/((B_Drainage!$A$5:$A$204&lt;&gt;"")*(B_Drainage!$A$5:$A$204&lt;=$B783)*(B_Drainage!$B$5:$B$204&gt;$B783)*(B_Drainage!$J$5:$J$204&lt;&gt;"")),IF(UPPER(B_Drainage!$J$5:$J$204)="Y",1,"")),"")</f>
        <v/>
      </c>
      <c r="AB783" s="182" t="str">
        <f>IFERROR(LOOKUP(2,1/((B_Drainage!$A$5:$A$204&lt;&gt;"")*(B_Drainage!$A$5:$A$204&lt;=$B783)*(B_Drainage!$B$5:$B$204&gt;$B783)*(B_Drainage!$K$5:$K$204&lt;&gt;"")),IF(B_Drainage!$K$5:$K$204="-","",B_Drainage!$K$5:$K$204)),"")</f>
        <v/>
      </c>
      <c r="AC783" s="182" t="str">
        <f>IFERROR(LOOKUP(2,1/((B_Drainage!$A$5:$A$204&lt;&gt;"")*(B_Drainage!$A$5:$A$204&lt;=$B783)*(B_Drainage!$B$5:$B$204&gt;$B783)*(B_Drainage!$L$5:$L$204&lt;&gt;"")),IF(B_Drainage!$L$5:$L$204="-","",B_Drainage!$L$5:$L$204)),"")</f>
        <v/>
      </c>
      <c r="AD783" s="182" t="str">
        <f>IFERROR(LOOKUP(2,1/((D_Points!$A$5:$A$204&lt;&gt;"")*(D_Points!$A$5:$A$204&gt;=$B783)*(D_Points!$A$5:$A$204&lt;$B783+P_Interval)*(UPPER(TRIM(D_Points!$B$5:$B$204))="TURNOUT_L")*(D_Points!$H$5:$H$204&lt;&gt;"")),D_Points!$H$5:$H$204),"")</f>
        <v/>
      </c>
      <c r="AE783" s="182" t="str">
        <f>IFERROR(LOOKUP(2,1/((D_Points!$A$5:$A$204&lt;&gt;"")*(D_Points!$A$5:$A$204&gt;=$B783)*(D_Points!$A$5:$A$204&lt;$B783+P_Interval)*(UPPER(TRIM(D_Points!$B$5:$B$204))="TURNOUT_R")*(D_Points!$H$5:$H$204&lt;&gt;"")),D_Points!$H$5:$H$204),"")</f>
        <v/>
      </c>
      <c r="AF783" s="181" t="str">
        <f>IFERROR(LOOKUP(2,1/((B_Drainage!$A$5:$A$204&lt;&gt;"")*(B_Drainage!$A$5:$A$204&lt;=$B783)*(B_Drainage!$B$5:$B$204&gt;$B783)*(B_Drainage!$M$5:$M$204&lt;&gt;"")),IF(UPPER(B_Drainage!$M$5:$M$204)="Y",1,"")),"")</f>
        <v/>
      </c>
      <c r="AG783" s="181" t="str">
        <f>IFERROR(LOOKUP(2,1/((B_Drainage!$A$5:$A$204&lt;&gt;"")*(B_Drainage!$A$5:$A$204&lt;=$B783)*(B_Drainage!$B$5:$B$204&gt;$B783)*(B_Drainage!$N$5:$N$204&lt;&gt;"")),IF(UPPER(B_Drainage!$N$5:$N$204)="Y",1,"")),"")</f>
        <v/>
      </c>
      <c r="AH783" s="181" t="str">
        <f t="shared" si="96"/>
        <v/>
      </c>
      <c r="AI783" s="181" t="str">
        <f t="shared" si="97"/>
        <v/>
      </c>
      <c r="AJ783" s="181" t="str">
        <f t="shared" si="98"/>
        <v/>
      </c>
      <c r="AK783" s="181" t="str">
        <f t="shared" si="99"/>
        <v/>
      </c>
      <c r="AL783" s="181" t="str">
        <f t="shared" si="100"/>
        <v/>
      </c>
      <c r="AM783" s="181" t="str">
        <f t="shared" si="101"/>
        <v/>
      </c>
      <c r="AN783" s="181" t="str">
        <f t="shared" si="102"/>
        <v/>
      </c>
      <c r="AO783" s="192" t="str">
        <f t="shared" si="103"/>
        <v/>
      </c>
      <c r="AQ783" t="str">
        <f>IFERROR(LOOKUP(2,1/((C_Pavement!$A$5:$A$204&lt;&gt;"")*(C_Pavement!$A$5:$A$204&lt;=$B783)*(C_Pavement!$B$5:$B$204&gt;$B783)*(C_Pavement!$C$5:$C$204&lt;&gt;"")),ROW(C_Pavement!$C$5:$C$204)-4),"")</f>
        <v/>
      </c>
      <c r="AR783" t="str">
        <f>IF($AQ783="","",UPPER(TRIM(INDEX(C_Pavement!$C$5:$C$204,$AQ783))))</f>
        <v/>
      </c>
      <c r="AS783" t="str">
        <f>IF($AR783="","",IFERROR(MATCH($AR783,E_Rules!$A$5:$A$9,0),""))</f>
        <v/>
      </c>
      <c r="AT783" t="str">
        <f>IF($AQ783="","",IF(INDEX(C_Pavement!$D$5:$D$204,$AQ783)&lt;&gt;"",UPPER(TRIM(INDEX(C_Pavement!$D$5:$D$204,$AQ783))),IF($AS783="","",INDEX(E_Rules!$C$5:$C$9,$AS783))))</f>
        <v/>
      </c>
      <c r="AU783" t="str">
        <f>IF($AQ783="","",IF(INDEX(C_Pavement!$E$5:$E$204,$AQ783)&lt;&gt;"",IF(INDEX(C_Pavement!$E$5:$E$204,$AQ783)="-","",INDEX(C_Pavement!$E$5:$E$204,$AQ783)),IF($AS783="","",INDEX(E_Rules!$D$5:$D$9,$AS783))))</f>
        <v/>
      </c>
      <c r="AV783" t="str">
        <f>IF($AQ783="","",IF(INDEX(C_Pavement!$F$5:$F$204,$AQ783)&lt;&gt;"",IF(INDEX(C_Pavement!$F$5:$F$204,$AQ783)="-","",INDEX(C_Pavement!$F$5:$F$204,$AQ783)),IF($AS783="","",INDEX(E_Rules!$E$5:$E$9,$AS783))))</f>
        <v/>
      </c>
      <c r="AW783" t="str">
        <f>IF($AQ783="","",IF(INDEX(C_Pavement!$G$5:$G$204,$AQ783)&lt;&gt;"",IF(INDEX(C_Pavement!$G$5:$G$204,$AQ783)="-","",INDEX(C_Pavement!$G$5:$G$204,$AQ783)),IF($AS783="","",INDEX(E_Rules!$F$5:$F$9,$AS783))))</f>
        <v/>
      </c>
      <c r="AX783" t="str">
        <f>IF($AQ783="","",IF(INDEX(C_Pavement!$H$5:$H$204,$AQ783)&lt;&gt;"",IF(INDEX(C_Pavement!$H$5:$H$204,$AQ783)="-","",INDEX(C_Pavement!$H$5:$H$204,$AQ783)),IF($AS783="","",INDEX(E_Rules!$G$5:$G$9,$AS783))))</f>
        <v/>
      </c>
      <c r="AY783" t="str">
        <f>IF($AQ783="","",IF(INDEX(C_Pavement!$I$5:$I$204,$AQ783)&lt;&gt;"",IF(INDEX(C_Pavement!$I$5:$I$204,$AQ783)="-","",INDEX(C_Pavement!$I$5:$I$204,$AQ783)),IF($AS783="","",INDEX(E_Rules!$H$5:$H$9,$AS783))))</f>
        <v/>
      </c>
    </row>
    <row r="784" spans="1:51" ht="15.75" customHeight="1" x14ac:dyDescent="0.3">
      <c r="A784" s="189">
        <v>779</v>
      </c>
      <c r="B784" s="180">
        <v>38900</v>
      </c>
      <c r="C784" s="180" t="s">
        <v>1090</v>
      </c>
      <c r="D784" s="181" t="str">
        <f>IFERROR(LOOKUP(2,1/((A_Corridor!$A$5:$A$204&lt;&gt;"")*(A_Corridor!$A$5:$A$204&lt;=$B784)*(A_Corridor!$B$5:$B$204&gt;$B784)*(A_Corridor!$C$5:$C$204&lt;&gt;"")),IF(UPPER(A_Corridor!$C$5:$C$204)="Y",1,"")),"")</f>
        <v/>
      </c>
      <c r="E784" s="181" t="str">
        <f>IFERROR(LOOKUP(2,1/((A_Corridor!$A$5:$A$204&lt;&gt;"")*(A_Corridor!$A$5:$A$204&lt;=$B784)*(A_Corridor!$B$5:$B$204&gt;$B784)*(A_Corridor!$D$5:$D$204&lt;&gt;"")),IF(A_Corridor!$D$5:$D$204="-","",UPPER(A_Corridor!$D$5:$D$204))),"")</f>
        <v/>
      </c>
      <c r="F784" s="181" t="str">
        <f>IFERROR(LOOKUP(2,1/((A_Corridor!$A$5:$A$204&lt;&gt;"")*(A_Corridor!$A$5:$A$204&lt;=$B784)*(A_Corridor!$B$5:$B$204&gt;$B784)*(A_Corridor!$E$5:$E$204&lt;&gt;"")),IF(A_Corridor!$E$5:$E$204="-","",1)),"")</f>
        <v/>
      </c>
      <c r="G784" s="182" t="str">
        <f>IFERROR(LOOKUP(2,1/((A_Corridor!$A$5:$A$204&lt;&gt;"")*(A_Corridor!$A$5:$A$204&lt;=$B784)*(A_Corridor!$B$5:$B$204&gt;$B784)*(A_Corridor!$E$5:$E$204&lt;&gt;"")),IF(A_Corridor!$E$5:$E$204="-","",A_Corridor!$E$5:$E$204)),"")</f>
        <v/>
      </c>
      <c r="H784" s="182" t="str">
        <f>IFERROR(LOOKUP(2,1/((D_Points!$A$5:$A$204&lt;&gt;"")*(D_Points!$A$5:$A$204&gt;=$B784)*(D_Points!$A$5:$A$204&lt;$B784+P_Interval)*(UPPER(TRIM(D_Points!$B$5:$B$204))="GULLY")*(D_Points!$H$5:$H$204&lt;&gt;"")),D_Points!$H$5:$H$204),"")</f>
        <v/>
      </c>
      <c r="I784" s="181" t="str">
        <f>IFERROR(LOOKUP(2,1/((A_Corridor!$A$5:$A$204&lt;&gt;"")*(A_Corridor!$A$5:$A$204&lt;=$B784)*(A_Corridor!$B$5:$B$204&gt;$B784)*(A_Corridor!$F$5:$F$204&lt;&gt;"")),IF(A_Corridor!$F$5:$F$204="-","",1)),"")</f>
        <v/>
      </c>
      <c r="J784" s="182" t="str">
        <f>IFERROR(LOOKUP(2,1/((A_Corridor!$A$5:$A$204&lt;&gt;"")*(A_Corridor!$A$5:$A$204&lt;=$B784)*(A_Corridor!$B$5:$B$204&gt;$B784)*(A_Corridor!$F$5:$F$204&lt;&gt;"")),IF(A_Corridor!$F$5:$F$204="-","",A_Corridor!$F$5:$F$204)),"")</f>
        <v/>
      </c>
      <c r="K784" s="182" t="str">
        <f>IFERROR(LOOKUP(2,1/((A_Corridor!$A$5:$A$204&lt;&gt;"")*(A_Corridor!$A$5:$A$204&lt;=$B784)*(A_Corridor!$B$5:$B$204&gt;$B784)*(A_Corridor!$G$5:$G$204&lt;&gt;"")),IF(A_Corridor!$G$5:$G$204="-","",A_Corridor!$G$5:$G$204)),"")</f>
        <v/>
      </c>
      <c r="L784" s="181" t="str">
        <f>IFERROR(LOOKUP(2,1/((A_Corridor!$A$5:$A$204&lt;&gt;"")*(A_Corridor!$A$5:$A$204&lt;=$B784)*(A_Corridor!$B$5:$B$204&gt;$B784)*(A_Corridor!$H$5:$H$204&lt;&gt;"")),IF(A_Corridor!$H$5:$H$204="-","",1)),"")</f>
        <v/>
      </c>
      <c r="M784" s="182" t="str">
        <f>IFERROR(LOOKUP(2,1/((A_Corridor!$A$5:$A$204&lt;&gt;"")*(A_Corridor!$A$5:$A$204&lt;=$B784)*(A_Corridor!$B$5:$B$204&gt;$B784)*(A_Corridor!$H$5:$H$204&lt;&gt;"")),IF(A_Corridor!$H$5:$H$204="-","",A_Corridor!$H$5:$H$204)),"")</f>
        <v/>
      </c>
      <c r="N784" s="182" t="str">
        <f>IFERROR(LOOKUP(2,1/((A_Corridor!$A$5:$A$204&lt;&gt;"")*(A_Corridor!$A$5:$A$204&lt;=$B784)*(A_Corridor!$B$5:$B$204&gt;$B784)*(A_Corridor!$I$5:$I$204&lt;&gt;"")),IF(A_Corridor!$I$5:$I$204="-","",A_Corridor!$I$5:$I$204)),"")</f>
        <v/>
      </c>
      <c r="O784" s="182" t="str">
        <f>IFERROR(LOOKUP(2,1/((D_Points!$A$5:$A$204&lt;&gt;"")*(D_Points!$A$5:$A$204&gt;=$B784)*(D_Points!$A$5:$A$204&lt;$B784+P_Interval)*(UPPER(TRIM(D_Points!$B$5:$B$204))="PITCHING")*(D_Points!$H$5:$H$204&lt;&gt;"")),D_Points!$H$5:$H$204),"")</f>
        <v/>
      </c>
      <c r="P784" s="181" t="str">
        <f>IFERROR(LOOKUP(2,1/((B_Drainage!$A$5:$A$204&lt;&gt;"")*(B_Drainage!$A$5:$A$204&lt;=$B784)*(B_Drainage!$B$5:$B$204&gt;$B784)*(B_Drainage!$C$5:$C$204&lt;&gt;"")),IF(B_Drainage!$C$5:$C$204="-","",UPPER(B_Drainage!$C$5:$C$204))),"")</f>
        <v/>
      </c>
      <c r="Q784" s="181" t="str">
        <f>IFERROR(LOOKUP(2,1/((B_Drainage!$A$5:$A$204&lt;&gt;"")*(B_Drainage!$A$5:$A$204&lt;=$B784)*(B_Drainage!$B$5:$B$204&gt;$B784)*(B_Drainage!$D$5:$D$204&lt;&gt;"")),IF(B_Drainage!$D$5:$D$204="-","",UPPER(B_Drainage!$D$5:$D$204))),"")</f>
        <v/>
      </c>
      <c r="R784" s="182" t="str">
        <f>IFERROR(LOOKUP(2,1/((D_Points!$A$5:$A$204&lt;&gt;"")*(D_Points!$A$5:$A$204&gt;=$B784)*(D_Points!$A$5:$A$204&lt;$B784+P_Interval)*(RIGHT(UPPER(TRIM(D_Points!$B$5:$B$204)),8)="_CULVERT")),IF(LEFT(UPPER(TRIM(D_Points!$B$5:$B$204)),2)="EX",1,IF(LEFT(UPPER(TRIM(D_Points!$B$5:$B$204)),2)="PR",2,3))),"")</f>
        <v/>
      </c>
      <c r="S784" s="182" t="str">
        <f>IFERROR(LOOKUP(2,1/((D_Points!$A$5:$A$204&lt;&gt;"")*(D_Points!$A$5:$A$204&gt;=$B784)*(D_Points!$A$5:$A$204&lt;$B784+P_Interval)*(RIGHT(UPPER(TRIM(D_Points!$B$5:$B$204)),7)="_BRIDGE")),IF(LEFT(UPPER(TRIM(D_Points!$B$5:$B$204)),2)="EX",1,IF(LEFT(UPPER(TRIM(D_Points!$B$5:$B$204)),2)="PR",2,2))),"")</f>
        <v/>
      </c>
      <c r="T784" s="181" t="str">
        <f>IFERROR(LOOKUP(2,1/((B_Drainage!$A$5:$A$204&lt;&gt;"")*(B_Drainage!$A$5:$A$204&lt;=$B784)*(B_Drainage!$B$5:$B$204&gt;$B784)*(B_Drainage!$E$5:$E$204&lt;&gt;"")),IF(B_Drainage!$E$5:$E$204="-","",1)),"")</f>
        <v/>
      </c>
      <c r="U784" s="181" t="str">
        <f>IFERROR(LOOKUP(2,1/((B_Drainage!$A$5:$A$204&lt;&gt;"")*(B_Drainage!$A$5:$A$204&lt;=$B784)*(B_Drainage!$B$5:$B$204&gt;$B784)*(B_Drainage!$E$5:$E$204&lt;&gt;"")),IF(B_Drainage!$E$5:$E$204="-","",B_Drainage!$E$5:$E$204)),"")</f>
        <v/>
      </c>
      <c r="V784" s="181" t="str">
        <f>IFERROR(LOOKUP(2,1/((B_Drainage!$A$5:$A$204&lt;&gt;"")*(B_Drainage!$A$5:$A$204&lt;=$B784)*(B_Drainage!$B$5:$B$204&gt;$B784)*(B_Drainage!$F$5:$F$204&lt;&gt;"")),IF(B_Drainage!$F$5:$F$204="-","",1)),"")</f>
        <v/>
      </c>
      <c r="W784" s="181" t="str">
        <f>IFERROR(LOOKUP(2,1/((B_Drainage!$A$5:$A$204&lt;&gt;"")*(B_Drainage!$A$5:$A$204&lt;=$B784)*(B_Drainage!$B$5:$B$204&gt;$B784)*(B_Drainage!$F$5:$F$204&lt;&gt;"")),IF(B_Drainage!$F$5:$F$204="-","",B_Drainage!$F$5:$F$204)),"")</f>
        <v/>
      </c>
      <c r="X784" s="181" t="str">
        <f>IFERROR(LOOKUP(2,1/((B_Drainage!$A$5:$A$204&lt;&gt;"")*(B_Drainage!$A$5:$A$204&lt;=$B784)*(B_Drainage!$B$5:$B$204&gt;$B784)*(B_Drainage!$G$5:$G$204&lt;&gt;"")),IF(UPPER(B_Drainage!$G$5:$G$204)="Y",1,"")),"")</f>
        <v/>
      </c>
      <c r="Y784" s="181" t="str">
        <f>IFERROR(LOOKUP(2,1/((B_Drainage!$A$5:$A$204&lt;&gt;"")*(B_Drainage!$A$5:$A$204&lt;=$B784)*(B_Drainage!$B$5:$B$204&gt;$B784)*(B_Drainage!$H$5:$H$204&lt;&gt;"")),IF(UPPER(B_Drainage!$H$5:$H$204)="Y",1,"")),"")</f>
        <v/>
      </c>
      <c r="Z784" s="181" t="str">
        <f>IFERROR(LOOKUP(2,1/((B_Drainage!$A$5:$A$204&lt;&gt;"")*(B_Drainage!$A$5:$A$204&lt;=$B784)*(B_Drainage!$B$5:$B$204&gt;$B784)*(B_Drainage!$I$5:$I$204&lt;&gt;"")),IF(UPPER(B_Drainage!$I$5:$I$204)="Y",1,"")),"")</f>
        <v/>
      </c>
      <c r="AA784" s="181" t="str">
        <f>IFERROR(LOOKUP(2,1/((B_Drainage!$A$5:$A$204&lt;&gt;"")*(B_Drainage!$A$5:$A$204&lt;=$B784)*(B_Drainage!$B$5:$B$204&gt;$B784)*(B_Drainage!$J$5:$J$204&lt;&gt;"")),IF(UPPER(B_Drainage!$J$5:$J$204)="Y",1,"")),"")</f>
        <v/>
      </c>
      <c r="AB784" s="182" t="str">
        <f>IFERROR(LOOKUP(2,1/((B_Drainage!$A$5:$A$204&lt;&gt;"")*(B_Drainage!$A$5:$A$204&lt;=$B784)*(B_Drainage!$B$5:$B$204&gt;$B784)*(B_Drainage!$K$5:$K$204&lt;&gt;"")),IF(B_Drainage!$K$5:$K$204="-","",B_Drainage!$K$5:$K$204)),"")</f>
        <v/>
      </c>
      <c r="AC784" s="182" t="str">
        <f>IFERROR(LOOKUP(2,1/((B_Drainage!$A$5:$A$204&lt;&gt;"")*(B_Drainage!$A$5:$A$204&lt;=$B784)*(B_Drainage!$B$5:$B$204&gt;$B784)*(B_Drainage!$L$5:$L$204&lt;&gt;"")),IF(B_Drainage!$L$5:$L$204="-","",B_Drainage!$L$5:$L$204)),"")</f>
        <v/>
      </c>
      <c r="AD784" s="182" t="str">
        <f>IFERROR(LOOKUP(2,1/((D_Points!$A$5:$A$204&lt;&gt;"")*(D_Points!$A$5:$A$204&gt;=$B784)*(D_Points!$A$5:$A$204&lt;$B784+P_Interval)*(UPPER(TRIM(D_Points!$B$5:$B$204))="TURNOUT_L")*(D_Points!$H$5:$H$204&lt;&gt;"")),D_Points!$H$5:$H$204),"")</f>
        <v/>
      </c>
      <c r="AE784" s="182" t="str">
        <f>IFERROR(LOOKUP(2,1/((D_Points!$A$5:$A$204&lt;&gt;"")*(D_Points!$A$5:$A$204&gt;=$B784)*(D_Points!$A$5:$A$204&lt;$B784+P_Interval)*(UPPER(TRIM(D_Points!$B$5:$B$204))="TURNOUT_R")*(D_Points!$H$5:$H$204&lt;&gt;"")),D_Points!$H$5:$H$204),"")</f>
        <v/>
      </c>
      <c r="AF784" s="181" t="str">
        <f>IFERROR(LOOKUP(2,1/((B_Drainage!$A$5:$A$204&lt;&gt;"")*(B_Drainage!$A$5:$A$204&lt;=$B784)*(B_Drainage!$B$5:$B$204&gt;$B784)*(B_Drainage!$M$5:$M$204&lt;&gt;"")),IF(UPPER(B_Drainage!$M$5:$M$204)="Y",1,"")),"")</f>
        <v/>
      </c>
      <c r="AG784" s="181" t="str">
        <f>IFERROR(LOOKUP(2,1/((B_Drainage!$A$5:$A$204&lt;&gt;"")*(B_Drainage!$A$5:$A$204&lt;=$B784)*(B_Drainage!$B$5:$B$204&gt;$B784)*(B_Drainage!$N$5:$N$204&lt;&gt;"")),IF(UPPER(B_Drainage!$N$5:$N$204)="Y",1,"")),"")</f>
        <v/>
      </c>
      <c r="AH784" s="181" t="str">
        <f t="shared" si="96"/>
        <v/>
      </c>
      <c r="AI784" s="181" t="str">
        <f t="shared" si="97"/>
        <v/>
      </c>
      <c r="AJ784" s="181" t="str">
        <f t="shared" si="98"/>
        <v/>
      </c>
      <c r="AK784" s="181" t="str">
        <f t="shared" si="99"/>
        <v/>
      </c>
      <c r="AL784" s="181" t="str">
        <f t="shared" si="100"/>
        <v/>
      </c>
      <c r="AM784" s="181" t="str">
        <f t="shared" si="101"/>
        <v/>
      </c>
      <c r="AN784" s="181" t="str">
        <f t="shared" si="102"/>
        <v/>
      </c>
      <c r="AO784" s="192" t="str">
        <f t="shared" si="103"/>
        <v/>
      </c>
      <c r="AQ784" t="str">
        <f>IFERROR(LOOKUP(2,1/((C_Pavement!$A$5:$A$204&lt;&gt;"")*(C_Pavement!$A$5:$A$204&lt;=$B784)*(C_Pavement!$B$5:$B$204&gt;$B784)*(C_Pavement!$C$5:$C$204&lt;&gt;"")),ROW(C_Pavement!$C$5:$C$204)-4),"")</f>
        <v/>
      </c>
      <c r="AR784" t="str">
        <f>IF($AQ784="","",UPPER(TRIM(INDEX(C_Pavement!$C$5:$C$204,$AQ784))))</f>
        <v/>
      </c>
      <c r="AS784" t="str">
        <f>IF($AR784="","",IFERROR(MATCH($AR784,E_Rules!$A$5:$A$9,0),""))</f>
        <v/>
      </c>
      <c r="AT784" t="str">
        <f>IF($AQ784="","",IF(INDEX(C_Pavement!$D$5:$D$204,$AQ784)&lt;&gt;"",UPPER(TRIM(INDEX(C_Pavement!$D$5:$D$204,$AQ784))),IF($AS784="","",INDEX(E_Rules!$C$5:$C$9,$AS784))))</f>
        <v/>
      </c>
      <c r="AU784" t="str">
        <f>IF($AQ784="","",IF(INDEX(C_Pavement!$E$5:$E$204,$AQ784)&lt;&gt;"",IF(INDEX(C_Pavement!$E$5:$E$204,$AQ784)="-","",INDEX(C_Pavement!$E$5:$E$204,$AQ784)),IF($AS784="","",INDEX(E_Rules!$D$5:$D$9,$AS784))))</f>
        <v/>
      </c>
      <c r="AV784" t="str">
        <f>IF($AQ784="","",IF(INDEX(C_Pavement!$F$5:$F$204,$AQ784)&lt;&gt;"",IF(INDEX(C_Pavement!$F$5:$F$204,$AQ784)="-","",INDEX(C_Pavement!$F$5:$F$204,$AQ784)),IF($AS784="","",INDEX(E_Rules!$E$5:$E$9,$AS784))))</f>
        <v/>
      </c>
      <c r="AW784" t="str">
        <f>IF($AQ784="","",IF(INDEX(C_Pavement!$G$5:$G$204,$AQ784)&lt;&gt;"",IF(INDEX(C_Pavement!$G$5:$G$204,$AQ784)="-","",INDEX(C_Pavement!$G$5:$G$204,$AQ784)),IF($AS784="","",INDEX(E_Rules!$F$5:$F$9,$AS784))))</f>
        <v/>
      </c>
      <c r="AX784" t="str">
        <f>IF($AQ784="","",IF(INDEX(C_Pavement!$H$5:$H$204,$AQ784)&lt;&gt;"",IF(INDEX(C_Pavement!$H$5:$H$204,$AQ784)="-","",INDEX(C_Pavement!$H$5:$H$204,$AQ784)),IF($AS784="","",INDEX(E_Rules!$G$5:$G$9,$AS784))))</f>
        <v/>
      </c>
      <c r="AY784" t="str">
        <f>IF($AQ784="","",IF(INDEX(C_Pavement!$I$5:$I$204,$AQ784)&lt;&gt;"",IF(INDEX(C_Pavement!$I$5:$I$204,$AQ784)="-","",INDEX(C_Pavement!$I$5:$I$204,$AQ784)),IF($AS784="","",INDEX(E_Rules!$H$5:$H$9,$AS784))))</f>
        <v/>
      </c>
    </row>
    <row r="785" spans="1:51" ht="15.75" customHeight="1" x14ac:dyDescent="0.3">
      <c r="A785" s="189">
        <v>780</v>
      </c>
      <c r="B785" s="180">
        <v>38950</v>
      </c>
      <c r="C785" s="180" t="s">
        <v>1091</v>
      </c>
      <c r="D785" s="181" t="str">
        <f>IFERROR(LOOKUP(2,1/((A_Corridor!$A$5:$A$204&lt;&gt;"")*(A_Corridor!$A$5:$A$204&lt;=$B785)*(A_Corridor!$B$5:$B$204&gt;$B785)*(A_Corridor!$C$5:$C$204&lt;&gt;"")),IF(UPPER(A_Corridor!$C$5:$C$204)="Y",1,"")),"")</f>
        <v/>
      </c>
      <c r="E785" s="181" t="str">
        <f>IFERROR(LOOKUP(2,1/((A_Corridor!$A$5:$A$204&lt;&gt;"")*(A_Corridor!$A$5:$A$204&lt;=$B785)*(A_Corridor!$B$5:$B$204&gt;$B785)*(A_Corridor!$D$5:$D$204&lt;&gt;"")),IF(A_Corridor!$D$5:$D$204="-","",UPPER(A_Corridor!$D$5:$D$204))),"")</f>
        <v/>
      </c>
      <c r="F785" s="181" t="str">
        <f>IFERROR(LOOKUP(2,1/((A_Corridor!$A$5:$A$204&lt;&gt;"")*(A_Corridor!$A$5:$A$204&lt;=$B785)*(A_Corridor!$B$5:$B$204&gt;$B785)*(A_Corridor!$E$5:$E$204&lt;&gt;"")),IF(A_Corridor!$E$5:$E$204="-","",1)),"")</f>
        <v/>
      </c>
      <c r="G785" s="182" t="str">
        <f>IFERROR(LOOKUP(2,1/((A_Corridor!$A$5:$A$204&lt;&gt;"")*(A_Corridor!$A$5:$A$204&lt;=$B785)*(A_Corridor!$B$5:$B$204&gt;$B785)*(A_Corridor!$E$5:$E$204&lt;&gt;"")),IF(A_Corridor!$E$5:$E$204="-","",A_Corridor!$E$5:$E$204)),"")</f>
        <v/>
      </c>
      <c r="H785" s="182" t="str">
        <f>IFERROR(LOOKUP(2,1/((D_Points!$A$5:$A$204&lt;&gt;"")*(D_Points!$A$5:$A$204&gt;=$B785)*(D_Points!$A$5:$A$204&lt;$B785+P_Interval)*(UPPER(TRIM(D_Points!$B$5:$B$204))="GULLY")*(D_Points!$H$5:$H$204&lt;&gt;"")),D_Points!$H$5:$H$204),"")</f>
        <v/>
      </c>
      <c r="I785" s="181" t="str">
        <f>IFERROR(LOOKUP(2,1/((A_Corridor!$A$5:$A$204&lt;&gt;"")*(A_Corridor!$A$5:$A$204&lt;=$B785)*(A_Corridor!$B$5:$B$204&gt;$B785)*(A_Corridor!$F$5:$F$204&lt;&gt;"")),IF(A_Corridor!$F$5:$F$204="-","",1)),"")</f>
        <v/>
      </c>
      <c r="J785" s="182" t="str">
        <f>IFERROR(LOOKUP(2,1/((A_Corridor!$A$5:$A$204&lt;&gt;"")*(A_Corridor!$A$5:$A$204&lt;=$B785)*(A_Corridor!$B$5:$B$204&gt;$B785)*(A_Corridor!$F$5:$F$204&lt;&gt;"")),IF(A_Corridor!$F$5:$F$204="-","",A_Corridor!$F$5:$F$204)),"")</f>
        <v/>
      </c>
      <c r="K785" s="182" t="str">
        <f>IFERROR(LOOKUP(2,1/((A_Corridor!$A$5:$A$204&lt;&gt;"")*(A_Corridor!$A$5:$A$204&lt;=$B785)*(A_Corridor!$B$5:$B$204&gt;$B785)*(A_Corridor!$G$5:$G$204&lt;&gt;"")),IF(A_Corridor!$G$5:$G$204="-","",A_Corridor!$G$5:$G$204)),"")</f>
        <v/>
      </c>
      <c r="L785" s="181" t="str">
        <f>IFERROR(LOOKUP(2,1/((A_Corridor!$A$5:$A$204&lt;&gt;"")*(A_Corridor!$A$5:$A$204&lt;=$B785)*(A_Corridor!$B$5:$B$204&gt;$B785)*(A_Corridor!$H$5:$H$204&lt;&gt;"")),IF(A_Corridor!$H$5:$H$204="-","",1)),"")</f>
        <v/>
      </c>
      <c r="M785" s="182" t="str">
        <f>IFERROR(LOOKUP(2,1/((A_Corridor!$A$5:$A$204&lt;&gt;"")*(A_Corridor!$A$5:$A$204&lt;=$B785)*(A_Corridor!$B$5:$B$204&gt;$B785)*(A_Corridor!$H$5:$H$204&lt;&gt;"")),IF(A_Corridor!$H$5:$H$204="-","",A_Corridor!$H$5:$H$204)),"")</f>
        <v/>
      </c>
      <c r="N785" s="182" t="str">
        <f>IFERROR(LOOKUP(2,1/((A_Corridor!$A$5:$A$204&lt;&gt;"")*(A_Corridor!$A$5:$A$204&lt;=$B785)*(A_Corridor!$B$5:$B$204&gt;$B785)*(A_Corridor!$I$5:$I$204&lt;&gt;"")),IF(A_Corridor!$I$5:$I$204="-","",A_Corridor!$I$5:$I$204)),"")</f>
        <v/>
      </c>
      <c r="O785" s="182" t="str">
        <f>IFERROR(LOOKUP(2,1/((D_Points!$A$5:$A$204&lt;&gt;"")*(D_Points!$A$5:$A$204&gt;=$B785)*(D_Points!$A$5:$A$204&lt;$B785+P_Interval)*(UPPER(TRIM(D_Points!$B$5:$B$204))="PITCHING")*(D_Points!$H$5:$H$204&lt;&gt;"")),D_Points!$H$5:$H$204),"")</f>
        <v/>
      </c>
      <c r="P785" s="181" t="str">
        <f>IFERROR(LOOKUP(2,1/((B_Drainage!$A$5:$A$204&lt;&gt;"")*(B_Drainage!$A$5:$A$204&lt;=$B785)*(B_Drainage!$B$5:$B$204&gt;$B785)*(B_Drainage!$C$5:$C$204&lt;&gt;"")),IF(B_Drainage!$C$5:$C$204="-","",UPPER(B_Drainage!$C$5:$C$204))),"")</f>
        <v/>
      </c>
      <c r="Q785" s="181" t="str">
        <f>IFERROR(LOOKUP(2,1/((B_Drainage!$A$5:$A$204&lt;&gt;"")*(B_Drainage!$A$5:$A$204&lt;=$B785)*(B_Drainage!$B$5:$B$204&gt;$B785)*(B_Drainage!$D$5:$D$204&lt;&gt;"")),IF(B_Drainage!$D$5:$D$204="-","",UPPER(B_Drainage!$D$5:$D$204))),"")</f>
        <v/>
      </c>
      <c r="R785" s="182" t="str">
        <f>IFERROR(LOOKUP(2,1/((D_Points!$A$5:$A$204&lt;&gt;"")*(D_Points!$A$5:$A$204&gt;=$B785)*(D_Points!$A$5:$A$204&lt;$B785+P_Interval)*(RIGHT(UPPER(TRIM(D_Points!$B$5:$B$204)),8)="_CULVERT")),IF(LEFT(UPPER(TRIM(D_Points!$B$5:$B$204)),2)="EX",1,IF(LEFT(UPPER(TRIM(D_Points!$B$5:$B$204)),2)="PR",2,3))),"")</f>
        <v/>
      </c>
      <c r="S785" s="182" t="str">
        <f>IFERROR(LOOKUP(2,1/((D_Points!$A$5:$A$204&lt;&gt;"")*(D_Points!$A$5:$A$204&gt;=$B785)*(D_Points!$A$5:$A$204&lt;$B785+P_Interval)*(RIGHT(UPPER(TRIM(D_Points!$B$5:$B$204)),7)="_BRIDGE")),IF(LEFT(UPPER(TRIM(D_Points!$B$5:$B$204)),2)="EX",1,IF(LEFT(UPPER(TRIM(D_Points!$B$5:$B$204)),2)="PR",2,2))),"")</f>
        <v/>
      </c>
      <c r="T785" s="181" t="str">
        <f>IFERROR(LOOKUP(2,1/((B_Drainage!$A$5:$A$204&lt;&gt;"")*(B_Drainage!$A$5:$A$204&lt;=$B785)*(B_Drainage!$B$5:$B$204&gt;$B785)*(B_Drainage!$E$5:$E$204&lt;&gt;"")),IF(B_Drainage!$E$5:$E$204="-","",1)),"")</f>
        <v/>
      </c>
      <c r="U785" s="181" t="str">
        <f>IFERROR(LOOKUP(2,1/((B_Drainage!$A$5:$A$204&lt;&gt;"")*(B_Drainage!$A$5:$A$204&lt;=$B785)*(B_Drainage!$B$5:$B$204&gt;$B785)*(B_Drainage!$E$5:$E$204&lt;&gt;"")),IF(B_Drainage!$E$5:$E$204="-","",B_Drainage!$E$5:$E$204)),"")</f>
        <v/>
      </c>
      <c r="V785" s="181" t="str">
        <f>IFERROR(LOOKUP(2,1/((B_Drainage!$A$5:$A$204&lt;&gt;"")*(B_Drainage!$A$5:$A$204&lt;=$B785)*(B_Drainage!$B$5:$B$204&gt;$B785)*(B_Drainage!$F$5:$F$204&lt;&gt;"")),IF(B_Drainage!$F$5:$F$204="-","",1)),"")</f>
        <v/>
      </c>
      <c r="W785" s="181" t="str">
        <f>IFERROR(LOOKUP(2,1/((B_Drainage!$A$5:$A$204&lt;&gt;"")*(B_Drainage!$A$5:$A$204&lt;=$B785)*(B_Drainage!$B$5:$B$204&gt;$B785)*(B_Drainage!$F$5:$F$204&lt;&gt;"")),IF(B_Drainage!$F$5:$F$204="-","",B_Drainage!$F$5:$F$204)),"")</f>
        <v/>
      </c>
      <c r="X785" s="181" t="str">
        <f>IFERROR(LOOKUP(2,1/((B_Drainage!$A$5:$A$204&lt;&gt;"")*(B_Drainage!$A$5:$A$204&lt;=$B785)*(B_Drainage!$B$5:$B$204&gt;$B785)*(B_Drainage!$G$5:$G$204&lt;&gt;"")),IF(UPPER(B_Drainage!$G$5:$G$204)="Y",1,"")),"")</f>
        <v/>
      </c>
      <c r="Y785" s="181" t="str">
        <f>IFERROR(LOOKUP(2,1/((B_Drainage!$A$5:$A$204&lt;&gt;"")*(B_Drainage!$A$5:$A$204&lt;=$B785)*(B_Drainage!$B$5:$B$204&gt;$B785)*(B_Drainage!$H$5:$H$204&lt;&gt;"")),IF(UPPER(B_Drainage!$H$5:$H$204)="Y",1,"")),"")</f>
        <v/>
      </c>
      <c r="Z785" s="181" t="str">
        <f>IFERROR(LOOKUP(2,1/((B_Drainage!$A$5:$A$204&lt;&gt;"")*(B_Drainage!$A$5:$A$204&lt;=$B785)*(B_Drainage!$B$5:$B$204&gt;$B785)*(B_Drainage!$I$5:$I$204&lt;&gt;"")),IF(UPPER(B_Drainage!$I$5:$I$204)="Y",1,"")),"")</f>
        <v/>
      </c>
      <c r="AA785" s="181" t="str">
        <f>IFERROR(LOOKUP(2,1/((B_Drainage!$A$5:$A$204&lt;&gt;"")*(B_Drainage!$A$5:$A$204&lt;=$B785)*(B_Drainage!$B$5:$B$204&gt;$B785)*(B_Drainage!$J$5:$J$204&lt;&gt;"")),IF(UPPER(B_Drainage!$J$5:$J$204)="Y",1,"")),"")</f>
        <v/>
      </c>
      <c r="AB785" s="182" t="str">
        <f>IFERROR(LOOKUP(2,1/((B_Drainage!$A$5:$A$204&lt;&gt;"")*(B_Drainage!$A$5:$A$204&lt;=$B785)*(B_Drainage!$B$5:$B$204&gt;$B785)*(B_Drainage!$K$5:$K$204&lt;&gt;"")),IF(B_Drainage!$K$5:$K$204="-","",B_Drainage!$K$5:$K$204)),"")</f>
        <v/>
      </c>
      <c r="AC785" s="182" t="str">
        <f>IFERROR(LOOKUP(2,1/((B_Drainage!$A$5:$A$204&lt;&gt;"")*(B_Drainage!$A$5:$A$204&lt;=$B785)*(B_Drainage!$B$5:$B$204&gt;$B785)*(B_Drainage!$L$5:$L$204&lt;&gt;"")),IF(B_Drainage!$L$5:$L$204="-","",B_Drainage!$L$5:$L$204)),"")</f>
        <v/>
      </c>
      <c r="AD785" s="182" t="str">
        <f>IFERROR(LOOKUP(2,1/((D_Points!$A$5:$A$204&lt;&gt;"")*(D_Points!$A$5:$A$204&gt;=$B785)*(D_Points!$A$5:$A$204&lt;$B785+P_Interval)*(UPPER(TRIM(D_Points!$B$5:$B$204))="TURNOUT_L")*(D_Points!$H$5:$H$204&lt;&gt;"")),D_Points!$H$5:$H$204),"")</f>
        <v/>
      </c>
      <c r="AE785" s="182" t="str">
        <f>IFERROR(LOOKUP(2,1/((D_Points!$A$5:$A$204&lt;&gt;"")*(D_Points!$A$5:$A$204&gt;=$B785)*(D_Points!$A$5:$A$204&lt;$B785+P_Interval)*(UPPER(TRIM(D_Points!$B$5:$B$204))="TURNOUT_R")*(D_Points!$H$5:$H$204&lt;&gt;"")),D_Points!$H$5:$H$204),"")</f>
        <v/>
      </c>
      <c r="AF785" s="181" t="str">
        <f>IFERROR(LOOKUP(2,1/((B_Drainage!$A$5:$A$204&lt;&gt;"")*(B_Drainage!$A$5:$A$204&lt;=$B785)*(B_Drainage!$B$5:$B$204&gt;$B785)*(B_Drainage!$M$5:$M$204&lt;&gt;"")),IF(UPPER(B_Drainage!$M$5:$M$204)="Y",1,"")),"")</f>
        <v/>
      </c>
      <c r="AG785" s="181" t="str">
        <f>IFERROR(LOOKUP(2,1/((B_Drainage!$A$5:$A$204&lt;&gt;"")*(B_Drainage!$A$5:$A$204&lt;=$B785)*(B_Drainage!$B$5:$B$204&gt;$B785)*(B_Drainage!$N$5:$N$204&lt;&gt;"")),IF(UPPER(B_Drainage!$N$5:$N$204)="Y",1,"")),"")</f>
        <v/>
      </c>
      <c r="AH785" s="181" t="str">
        <f t="shared" si="96"/>
        <v/>
      </c>
      <c r="AI785" s="181" t="str">
        <f t="shared" si="97"/>
        <v/>
      </c>
      <c r="AJ785" s="181" t="str">
        <f t="shared" si="98"/>
        <v/>
      </c>
      <c r="AK785" s="181" t="str">
        <f t="shared" si="99"/>
        <v/>
      </c>
      <c r="AL785" s="181" t="str">
        <f t="shared" si="100"/>
        <v/>
      </c>
      <c r="AM785" s="181" t="str">
        <f t="shared" si="101"/>
        <v/>
      </c>
      <c r="AN785" s="181" t="str">
        <f t="shared" si="102"/>
        <v/>
      </c>
      <c r="AO785" s="192" t="str">
        <f t="shared" si="103"/>
        <v/>
      </c>
      <c r="AQ785" t="str">
        <f>IFERROR(LOOKUP(2,1/((C_Pavement!$A$5:$A$204&lt;&gt;"")*(C_Pavement!$A$5:$A$204&lt;=$B785)*(C_Pavement!$B$5:$B$204&gt;$B785)*(C_Pavement!$C$5:$C$204&lt;&gt;"")),ROW(C_Pavement!$C$5:$C$204)-4),"")</f>
        <v/>
      </c>
      <c r="AR785" t="str">
        <f>IF($AQ785="","",UPPER(TRIM(INDEX(C_Pavement!$C$5:$C$204,$AQ785))))</f>
        <v/>
      </c>
      <c r="AS785" t="str">
        <f>IF($AR785="","",IFERROR(MATCH($AR785,E_Rules!$A$5:$A$9,0),""))</f>
        <v/>
      </c>
      <c r="AT785" t="str">
        <f>IF($AQ785="","",IF(INDEX(C_Pavement!$D$5:$D$204,$AQ785)&lt;&gt;"",UPPER(TRIM(INDEX(C_Pavement!$D$5:$D$204,$AQ785))),IF($AS785="","",INDEX(E_Rules!$C$5:$C$9,$AS785))))</f>
        <v/>
      </c>
      <c r="AU785" t="str">
        <f>IF($AQ785="","",IF(INDEX(C_Pavement!$E$5:$E$204,$AQ785)&lt;&gt;"",IF(INDEX(C_Pavement!$E$5:$E$204,$AQ785)="-","",INDEX(C_Pavement!$E$5:$E$204,$AQ785)),IF($AS785="","",INDEX(E_Rules!$D$5:$D$9,$AS785))))</f>
        <v/>
      </c>
      <c r="AV785" t="str">
        <f>IF($AQ785="","",IF(INDEX(C_Pavement!$F$5:$F$204,$AQ785)&lt;&gt;"",IF(INDEX(C_Pavement!$F$5:$F$204,$AQ785)="-","",INDEX(C_Pavement!$F$5:$F$204,$AQ785)),IF($AS785="","",INDEX(E_Rules!$E$5:$E$9,$AS785))))</f>
        <v/>
      </c>
      <c r="AW785" t="str">
        <f>IF($AQ785="","",IF(INDEX(C_Pavement!$G$5:$G$204,$AQ785)&lt;&gt;"",IF(INDEX(C_Pavement!$G$5:$G$204,$AQ785)="-","",INDEX(C_Pavement!$G$5:$G$204,$AQ785)),IF($AS785="","",INDEX(E_Rules!$F$5:$F$9,$AS785))))</f>
        <v/>
      </c>
      <c r="AX785" t="str">
        <f>IF($AQ785="","",IF(INDEX(C_Pavement!$H$5:$H$204,$AQ785)&lt;&gt;"",IF(INDEX(C_Pavement!$H$5:$H$204,$AQ785)="-","",INDEX(C_Pavement!$H$5:$H$204,$AQ785)),IF($AS785="","",INDEX(E_Rules!$G$5:$G$9,$AS785))))</f>
        <v/>
      </c>
      <c r="AY785" t="str">
        <f>IF($AQ785="","",IF(INDEX(C_Pavement!$I$5:$I$204,$AQ785)&lt;&gt;"",IF(INDEX(C_Pavement!$I$5:$I$204,$AQ785)="-","",INDEX(C_Pavement!$I$5:$I$204,$AQ785)),IF($AS785="","",INDEX(E_Rules!$H$5:$H$9,$AS785))))</f>
        <v/>
      </c>
    </row>
    <row r="786" spans="1:51" ht="15.75" customHeight="1" x14ac:dyDescent="0.3">
      <c r="A786" s="189">
        <v>781</v>
      </c>
      <c r="B786" s="180">
        <v>39000</v>
      </c>
      <c r="C786" s="180" t="s">
        <v>1092</v>
      </c>
      <c r="D786" s="181" t="str">
        <f>IFERROR(LOOKUP(2,1/((A_Corridor!$A$5:$A$204&lt;&gt;"")*(A_Corridor!$A$5:$A$204&lt;=$B786)*(A_Corridor!$B$5:$B$204&gt;$B786)*(A_Corridor!$C$5:$C$204&lt;&gt;"")),IF(UPPER(A_Corridor!$C$5:$C$204)="Y",1,"")),"")</f>
        <v/>
      </c>
      <c r="E786" s="181" t="str">
        <f>IFERROR(LOOKUP(2,1/((A_Corridor!$A$5:$A$204&lt;&gt;"")*(A_Corridor!$A$5:$A$204&lt;=$B786)*(A_Corridor!$B$5:$B$204&gt;$B786)*(A_Corridor!$D$5:$D$204&lt;&gt;"")),IF(A_Corridor!$D$5:$D$204="-","",UPPER(A_Corridor!$D$5:$D$204))),"")</f>
        <v/>
      </c>
      <c r="F786" s="181" t="str">
        <f>IFERROR(LOOKUP(2,1/((A_Corridor!$A$5:$A$204&lt;&gt;"")*(A_Corridor!$A$5:$A$204&lt;=$B786)*(A_Corridor!$B$5:$B$204&gt;$B786)*(A_Corridor!$E$5:$E$204&lt;&gt;"")),IF(A_Corridor!$E$5:$E$204="-","",1)),"")</f>
        <v/>
      </c>
      <c r="G786" s="182" t="str">
        <f>IFERROR(LOOKUP(2,1/((A_Corridor!$A$5:$A$204&lt;&gt;"")*(A_Corridor!$A$5:$A$204&lt;=$B786)*(A_Corridor!$B$5:$B$204&gt;$B786)*(A_Corridor!$E$5:$E$204&lt;&gt;"")),IF(A_Corridor!$E$5:$E$204="-","",A_Corridor!$E$5:$E$204)),"")</f>
        <v/>
      </c>
      <c r="H786" s="182" t="str">
        <f>IFERROR(LOOKUP(2,1/((D_Points!$A$5:$A$204&lt;&gt;"")*(D_Points!$A$5:$A$204&gt;=$B786)*(D_Points!$A$5:$A$204&lt;$B786+P_Interval)*(UPPER(TRIM(D_Points!$B$5:$B$204))="GULLY")*(D_Points!$H$5:$H$204&lt;&gt;"")),D_Points!$H$5:$H$204),"")</f>
        <v/>
      </c>
      <c r="I786" s="181" t="str">
        <f>IFERROR(LOOKUP(2,1/((A_Corridor!$A$5:$A$204&lt;&gt;"")*(A_Corridor!$A$5:$A$204&lt;=$B786)*(A_Corridor!$B$5:$B$204&gt;$B786)*(A_Corridor!$F$5:$F$204&lt;&gt;"")),IF(A_Corridor!$F$5:$F$204="-","",1)),"")</f>
        <v/>
      </c>
      <c r="J786" s="182" t="str">
        <f>IFERROR(LOOKUP(2,1/((A_Corridor!$A$5:$A$204&lt;&gt;"")*(A_Corridor!$A$5:$A$204&lt;=$B786)*(A_Corridor!$B$5:$B$204&gt;$B786)*(A_Corridor!$F$5:$F$204&lt;&gt;"")),IF(A_Corridor!$F$5:$F$204="-","",A_Corridor!$F$5:$F$204)),"")</f>
        <v/>
      </c>
      <c r="K786" s="182" t="str">
        <f>IFERROR(LOOKUP(2,1/((A_Corridor!$A$5:$A$204&lt;&gt;"")*(A_Corridor!$A$5:$A$204&lt;=$B786)*(A_Corridor!$B$5:$B$204&gt;$B786)*(A_Corridor!$G$5:$G$204&lt;&gt;"")),IF(A_Corridor!$G$5:$G$204="-","",A_Corridor!$G$5:$G$204)),"")</f>
        <v/>
      </c>
      <c r="L786" s="181" t="str">
        <f>IFERROR(LOOKUP(2,1/((A_Corridor!$A$5:$A$204&lt;&gt;"")*(A_Corridor!$A$5:$A$204&lt;=$B786)*(A_Corridor!$B$5:$B$204&gt;$B786)*(A_Corridor!$H$5:$H$204&lt;&gt;"")),IF(A_Corridor!$H$5:$H$204="-","",1)),"")</f>
        <v/>
      </c>
      <c r="M786" s="182" t="str">
        <f>IFERROR(LOOKUP(2,1/((A_Corridor!$A$5:$A$204&lt;&gt;"")*(A_Corridor!$A$5:$A$204&lt;=$B786)*(A_Corridor!$B$5:$B$204&gt;$B786)*(A_Corridor!$H$5:$H$204&lt;&gt;"")),IF(A_Corridor!$H$5:$H$204="-","",A_Corridor!$H$5:$H$204)),"")</f>
        <v/>
      </c>
      <c r="N786" s="182" t="str">
        <f>IFERROR(LOOKUP(2,1/((A_Corridor!$A$5:$A$204&lt;&gt;"")*(A_Corridor!$A$5:$A$204&lt;=$B786)*(A_Corridor!$B$5:$B$204&gt;$B786)*(A_Corridor!$I$5:$I$204&lt;&gt;"")),IF(A_Corridor!$I$5:$I$204="-","",A_Corridor!$I$5:$I$204)),"")</f>
        <v/>
      </c>
      <c r="O786" s="182" t="str">
        <f>IFERROR(LOOKUP(2,1/((D_Points!$A$5:$A$204&lt;&gt;"")*(D_Points!$A$5:$A$204&gt;=$B786)*(D_Points!$A$5:$A$204&lt;$B786+P_Interval)*(UPPER(TRIM(D_Points!$B$5:$B$204))="PITCHING")*(D_Points!$H$5:$H$204&lt;&gt;"")),D_Points!$H$5:$H$204),"")</f>
        <v/>
      </c>
      <c r="P786" s="181" t="str">
        <f>IFERROR(LOOKUP(2,1/((B_Drainage!$A$5:$A$204&lt;&gt;"")*(B_Drainage!$A$5:$A$204&lt;=$B786)*(B_Drainage!$B$5:$B$204&gt;$B786)*(B_Drainage!$C$5:$C$204&lt;&gt;"")),IF(B_Drainage!$C$5:$C$204="-","",UPPER(B_Drainage!$C$5:$C$204))),"")</f>
        <v/>
      </c>
      <c r="Q786" s="181" t="str">
        <f>IFERROR(LOOKUP(2,1/((B_Drainage!$A$5:$A$204&lt;&gt;"")*(B_Drainage!$A$5:$A$204&lt;=$B786)*(B_Drainage!$B$5:$B$204&gt;$B786)*(B_Drainage!$D$5:$D$204&lt;&gt;"")),IF(B_Drainage!$D$5:$D$204="-","",UPPER(B_Drainage!$D$5:$D$204))),"")</f>
        <v/>
      </c>
      <c r="R786" s="182" t="str">
        <f>IFERROR(LOOKUP(2,1/((D_Points!$A$5:$A$204&lt;&gt;"")*(D_Points!$A$5:$A$204&gt;=$B786)*(D_Points!$A$5:$A$204&lt;$B786+P_Interval)*(RIGHT(UPPER(TRIM(D_Points!$B$5:$B$204)),8)="_CULVERT")),IF(LEFT(UPPER(TRIM(D_Points!$B$5:$B$204)),2)="EX",1,IF(LEFT(UPPER(TRIM(D_Points!$B$5:$B$204)),2)="PR",2,3))),"")</f>
        <v/>
      </c>
      <c r="S786" s="182" t="str">
        <f>IFERROR(LOOKUP(2,1/((D_Points!$A$5:$A$204&lt;&gt;"")*(D_Points!$A$5:$A$204&gt;=$B786)*(D_Points!$A$5:$A$204&lt;$B786+P_Interval)*(RIGHT(UPPER(TRIM(D_Points!$B$5:$B$204)),7)="_BRIDGE")),IF(LEFT(UPPER(TRIM(D_Points!$B$5:$B$204)),2)="EX",1,IF(LEFT(UPPER(TRIM(D_Points!$B$5:$B$204)),2)="PR",2,2))),"")</f>
        <v/>
      </c>
      <c r="T786" s="181" t="str">
        <f>IFERROR(LOOKUP(2,1/((B_Drainage!$A$5:$A$204&lt;&gt;"")*(B_Drainage!$A$5:$A$204&lt;=$B786)*(B_Drainage!$B$5:$B$204&gt;$B786)*(B_Drainage!$E$5:$E$204&lt;&gt;"")),IF(B_Drainage!$E$5:$E$204="-","",1)),"")</f>
        <v/>
      </c>
      <c r="U786" s="181" t="str">
        <f>IFERROR(LOOKUP(2,1/((B_Drainage!$A$5:$A$204&lt;&gt;"")*(B_Drainage!$A$5:$A$204&lt;=$B786)*(B_Drainage!$B$5:$B$204&gt;$B786)*(B_Drainage!$E$5:$E$204&lt;&gt;"")),IF(B_Drainage!$E$5:$E$204="-","",B_Drainage!$E$5:$E$204)),"")</f>
        <v/>
      </c>
      <c r="V786" s="181" t="str">
        <f>IFERROR(LOOKUP(2,1/((B_Drainage!$A$5:$A$204&lt;&gt;"")*(B_Drainage!$A$5:$A$204&lt;=$B786)*(B_Drainage!$B$5:$B$204&gt;$B786)*(B_Drainage!$F$5:$F$204&lt;&gt;"")),IF(B_Drainage!$F$5:$F$204="-","",1)),"")</f>
        <v/>
      </c>
      <c r="W786" s="181" t="str">
        <f>IFERROR(LOOKUP(2,1/((B_Drainage!$A$5:$A$204&lt;&gt;"")*(B_Drainage!$A$5:$A$204&lt;=$B786)*(B_Drainage!$B$5:$B$204&gt;$B786)*(B_Drainage!$F$5:$F$204&lt;&gt;"")),IF(B_Drainage!$F$5:$F$204="-","",B_Drainage!$F$5:$F$204)),"")</f>
        <v/>
      </c>
      <c r="X786" s="181" t="str">
        <f>IFERROR(LOOKUP(2,1/((B_Drainage!$A$5:$A$204&lt;&gt;"")*(B_Drainage!$A$5:$A$204&lt;=$B786)*(B_Drainage!$B$5:$B$204&gt;$B786)*(B_Drainage!$G$5:$G$204&lt;&gt;"")),IF(UPPER(B_Drainage!$G$5:$G$204)="Y",1,"")),"")</f>
        <v/>
      </c>
      <c r="Y786" s="181" t="str">
        <f>IFERROR(LOOKUP(2,1/((B_Drainage!$A$5:$A$204&lt;&gt;"")*(B_Drainage!$A$5:$A$204&lt;=$B786)*(B_Drainage!$B$5:$B$204&gt;$B786)*(B_Drainage!$H$5:$H$204&lt;&gt;"")),IF(UPPER(B_Drainage!$H$5:$H$204)="Y",1,"")),"")</f>
        <v/>
      </c>
      <c r="Z786" s="181" t="str">
        <f>IFERROR(LOOKUP(2,1/((B_Drainage!$A$5:$A$204&lt;&gt;"")*(B_Drainage!$A$5:$A$204&lt;=$B786)*(B_Drainage!$B$5:$B$204&gt;$B786)*(B_Drainage!$I$5:$I$204&lt;&gt;"")),IF(UPPER(B_Drainage!$I$5:$I$204)="Y",1,"")),"")</f>
        <v/>
      </c>
      <c r="AA786" s="181" t="str">
        <f>IFERROR(LOOKUP(2,1/((B_Drainage!$A$5:$A$204&lt;&gt;"")*(B_Drainage!$A$5:$A$204&lt;=$B786)*(B_Drainage!$B$5:$B$204&gt;$B786)*(B_Drainage!$J$5:$J$204&lt;&gt;"")),IF(UPPER(B_Drainage!$J$5:$J$204)="Y",1,"")),"")</f>
        <v/>
      </c>
      <c r="AB786" s="182" t="str">
        <f>IFERROR(LOOKUP(2,1/((B_Drainage!$A$5:$A$204&lt;&gt;"")*(B_Drainage!$A$5:$A$204&lt;=$B786)*(B_Drainage!$B$5:$B$204&gt;$B786)*(B_Drainage!$K$5:$K$204&lt;&gt;"")),IF(B_Drainage!$K$5:$K$204="-","",B_Drainage!$K$5:$K$204)),"")</f>
        <v/>
      </c>
      <c r="AC786" s="182" t="str">
        <f>IFERROR(LOOKUP(2,1/((B_Drainage!$A$5:$A$204&lt;&gt;"")*(B_Drainage!$A$5:$A$204&lt;=$B786)*(B_Drainage!$B$5:$B$204&gt;$B786)*(B_Drainage!$L$5:$L$204&lt;&gt;"")),IF(B_Drainage!$L$5:$L$204="-","",B_Drainage!$L$5:$L$204)),"")</f>
        <v/>
      </c>
      <c r="AD786" s="182" t="str">
        <f>IFERROR(LOOKUP(2,1/((D_Points!$A$5:$A$204&lt;&gt;"")*(D_Points!$A$5:$A$204&gt;=$B786)*(D_Points!$A$5:$A$204&lt;$B786+P_Interval)*(UPPER(TRIM(D_Points!$B$5:$B$204))="TURNOUT_L")*(D_Points!$H$5:$H$204&lt;&gt;"")),D_Points!$H$5:$H$204),"")</f>
        <v/>
      </c>
      <c r="AE786" s="182" t="str">
        <f>IFERROR(LOOKUP(2,1/((D_Points!$A$5:$A$204&lt;&gt;"")*(D_Points!$A$5:$A$204&gt;=$B786)*(D_Points!$A$5:$A$204&lt;$B786+P_Interval)*(UPPER(TRIM(D_Points!$B$5:$B$204))="TURNOUT_R")*(D_Points!$H$5:$H$204&lt;&gt;"")),D_Points!$H$5:$H$204),"")</f>
        <v/>
      </c>
      <c r="AF786" s="181" t="str">
        <f>IFERROR(LOOKUP(2,1/((B_Drainage!$A$5:$A$204&lt;&gt;"")*(B_Drainage!$A$5:$A$204&lt;=$B786)*(B_Drainage!$B$5:$B$204&gt;$B786)*(B_Drainage!$M$5:$M$204&lt;&gt;"")),IF(UPPER(B_Drainage!$M$5:$M$204)="Y",1,"")),"")</f>
        <v/>
      </c>
      <c r="AG786" s="181" t="str">
        <f>IFERROR(LOOKUP(2,1/((B_Drainage!$A$5:$A$204&lt;&gt;"")*(B_Drainage!$A$5:$A$204&lt;=$B786)*(B_Drainage!$B$5:$B$204&gt;$B786)*(B_Drainage!$N$5:$N$204&lt;&gt;"")),IF(UPPER(B_Drainage!$N$5:$N$204)="Y",1,"")),"")</f>
        <v/>
      </c>
      <c r="AH786" s="181" t="str">
        <f t="shared" si="96"/>
        <v/>
      </c>
      <c r="AI786" s="181" t="str">
        <f t="shared" si="97"/>
        <v/>
      </c>
      <c r="AJ786" s="181" t="str">
        <f t="shared" si="98"/>
        <v/>
      </c>
      <c r="AK786" s="181" t="str">
        <f t="shared" si="99"/>
        <v/>
      </c>
      <c r="AL786" s="181" t="str">
        <f t="shared" si="100"/>
        <v/>
      </c>
      <c r="AM786" s="181" t="str">
        <f t="shared" si="101"/>
        <v/>
      </c>
      <c r="AN786" s="181" t="str">
        <f t="shared" si="102"/>
        <v/>
      </c>
      <c r="AO786" s="192" t="str">
        <f t="shared" si="103"/>
        <v/>
      </c>
      <c r="AQ786" t="str">
        <f>IFERROR(LOOKUP(2,1/((C_Pavement!$A$5:$A$204&lt;&gt;"")*(C_Pavement!$A$5:$A$204&lt;=$B786)*(C_Pavement!$B$5:$B$204&gt;$B786)*(C_Pavement!$C$5:$C$204&lt;&gt;"")),ROW(C_Pavement!$C$5:$C$204)-4),"")</f>
        <v/>
      </c>
      <c r="AR786" t="str">
        <f>IF($AQ786="","",UPPER(TRIM(INDEX(C_Pavement!$C$5:$C$204,$AQ786))))</f>
        <v/>
      </c>
      <c r="AS786" t="str">
        <f>IF($AR786="","",IFERROR(MATCH($AR786,E_Rules!$A$5:$A$9,0),""))</f>
        <v/>
      </c>
      <c r="AT786" t="str">
        <f>IF($AQ786="","",IF(INDEX(C_Pavement!$D$5:$D$204,$AQ786)&lt;&gt;"",UPPER(TRIM(INDEX(C_Pavement!$D$5:$D$204,$AQ786))),IF($AS786="","",INDEX(E_Rules!$C$5:$C$9,$AS786))))</f>
        <v/>
      </c>
      <c r="AU786" t="str">
        <f>IF($AQ786="","",IF(INDEX(C_Pavement!$E$5:$E$204,$AQ786)&lt;&gt;"",IF(INDEX(C_Pavement!$E$5:$E$204,$AQ786)="-","",INDEX(C_Pavement!$E$5:$E$204,$AQ786)),IF($AS786="","",INDEX(E_Rules!$D$5:$D$9,$AS786))))</f>
        <v/>
      </c>
      <c r="AV786" t="str">
        <f>IF($AQ786="","",IF(INDEX(C_Pavement!$F$5:$F$204,$AQ786)&lt;&gt;"",IF(INDEX(C_Pavement!$F$5:$F$204,$AQ786)="-","",INDEX(C_Pavement!$F$5:$F$204,$AQ786)),IF($AS786="","",INDEX(E_Rules!$E$5:$E$9,$AS786))))</f>
        <v/>
      </c>
      <c r="AW786" t="str">
        <f>IF($AQ786="","",IF(INDEX(C_Pavement!$G$5:$G$204,$AQ786)&lt;&gt;"",IF(INDEX(C_Pavement!$G$5:$G$204,$AQ786)="-","",INDEX(C_Pavement!$G$5:$G$204,$AQ786)),IF($AS786="","",INDEX(E_Rules!$F$5:$F$9,$AS786))))</f>
        <v/>
      </c>
      <c r="AX786" t="str">
        <f>IF($AQ786="","",IF(INDEX(C_Pavement!$H$5:$H$204,$AQ786)&lt;&gt;"",IF(INDEX(C_Pavement!$H$5:$H$204,$AQ786)="-","",INDEX(C_Pavement!$H$5:$H$204,$AQ786)),IF($AS786="","",INDEX(E_Rules!$G$5:$G$9,$AS786))))</f>
        <v/>
      </c>
      <c r="AY786" t="str">
        <f>IF($AQ786="","",IF(INDEX(C_Pavement!$I$5:$I$204,$AQ786)&lt;&gt;"",IF(INDEX(C_Pavement!$I$5:$I$204,$AQ786)="-","",INDEX(C_Pavement!$I$5:$I$204,$AQ786)),IF($AS786="","",INDEX(E_Rules!$H$5:$H$9,$AS786))))</f>
        <v/>
      </c>
    </row>
    <row r="787" spans="1:51" ht="15.75" customHeight="1" x14ac:dyDescent="0.3">
      <c r="A787" s="189">
        <v>782</v>
      </c>
      <c r="B787" s="180">
        <v>39050</v>
      </c>
      <c r="C787" s="180" t="s">
        <v>1093</v>
      </c>
      <c r="D787" s="181" t="str">
        <f>IFERROR(LOOKUP(2,1/((A_Corridor!$A$5:$A$204&lt;&gt;"")*(A_Corridor!$A$5:$A$204&lt;=$B787)*(A_Corridor!$B$5:$B$204&gt;$B787)*(A_Corridor!$C$5:$C$204&lt;&gt;"")),IF(UPPER(A_Corridor!$C$5:$C$204)="Y",1,"")),"")</f>
        <v/>
      </c>
      <c r="E787" s="181" t="str">
        <f>IFERROR(LOOKUP(2,1/((A_Corridor!$A$5:$A$204&lt;&gt;"")*(A_Corridor!$A$5:$A$204&lt;=$B787)*(A_Corridor!$B$5:$B$204&gt;$B787)*(A_Corridor!$D$5:$D$204&lt;&gt;"")),IF(A_Corridor!$D$5:$D$204="-","",UPPER(A_Corridor!$D$5:$D$204))),"")</f>
        <v/>
      </c>
      <c r="F787" s="181" t="str">
        <f>IFERROR(LOOKUP(2,1/((A_Corridor!$A$5:$A$204&lt;&gt;"")*(A_Corridor!$A$5:$A$204&lt;=$B787)*(A_Corridor!$B$5:$B$204&gt;$B787)*(A_Corridor!$E$5:$E$204&lt;&gt;"")),IF(A_Corridor!$E$5:$E$204="-","",1)),"")</f>
        <v/>
      </c>
      <c r="G787" s="182" t="str">
        <f>IFERROR(LOOKUP(2,1/((A_Corridor!$A$5:$A$204&lt;&gt;"")*(A_Corridor!$A$5:$A$204&lt;=$B787)*(A_Corridor!$B$5:$B$204&gt;$B787)*(A_Corridor!$E$5:$E$204&lt;&gt;"")),IF(A_Corridor!$E$5:$E$204="-","",A_Corridor!$E$5:$E$204)),"")</f>
        <v/>
      </c>
      <c r="H787" s="182" t="str">
        <f>IFERROR(LOOKUP(2,1/((D_Points!$A$5:$A$204&lt;&gt;"")*(D_Points!$A$5:$A$204&gt;=$B787)*(D_Points!$A$5:$A$204&lt;$B787+P_Interval)*(UPPER(TRIM(D_Points!$B$5:$B$204))="GULLY")*(D_Points!$H$5:$H$204&lt;&gt;"")),D_Points!$H$5:$H$204),"")</f>
        <v/>
      </c>
      <c r="I787" s="181" t="str">
        <f>IFERROR(LOOKUP(2,1/((A_Corridor!$A$5:$A$204&lt;&gt;"")*(A_Corridor!$A$5:$A$204&lt;=$B787)*(A_Corridor!$B$5:$B$204&gt;$B787)*(A_Corridor!$F$5:$F$204&lt;&gt;"")),IF(A_Corridor!$F$5:$F$204="-","",1)),"")</f>
        <v/>
      </c>
      <c r="J787" s="182" t="str">
        <f>IFERROR(LOOKUP(2,1/((A_Corridor!$A$5:$A$204&lt;&gt;"")*(A_Corridor!$A$5:$A$204&lt;=$B787)*(A_Corridor!$B$5:$B$204&gt;$B787)*(A_Corridor!$F$5:$F$204&lt;&gt;"")),IF(A_Corridor!$F$5:$F$204="-","",A_Corridor!$F$5:$F$204)),"")</f>
        <v/>
      </c>
      <c r="K787" s="182" t="str">
        <f>IFERROR(LOOKUP(2,1/((A_Corridor!$A$5:$A$204&lt;&gt;"")*(A_Corridor!$A$5:$A$204&lt;=$B787)*(A_Corridor!$B$5:$B$204&gt;$B787)*(A_Corridor!$G$5:$G$204&lt;&gt;"")),IF(A_Corridor!$G$5:$G$204="-","",A_Corridor!$G$5:$G$204)),"")</f>
        <v/>
      </c>
      <c r="L787" s="181" t="str">
        <f>IFERROR(LOOKUP(2,1/((A_Corridor!$A$5:$A$204&lt;&gt;"")*(A_Corridor!$A$5:$A$204&lt;=$B787)*(A_Corridor!$B$5:$B$204&gt;$B787)*(A_Corridor!$H$5:$H$204&lt;&gt;"")),IF(A_Corridor!$H$5:$H$204="-","",1)),"")</f>
        <v/>
      </c>
      <c r="M787" s="182" t="str">
        <f>IFERROR(LOOKUP(2,1/((A_Corridor!$A$5:$A$204&lt;&gt;"")*(A_Corridor!$A$5:$A$204&lt;=$B787)*(A_Corridor!$B$5:$B$204&gt;$B787)*(A_Corridor!$H$5:$H$204&lt;&gt;"")),IF(A_Corridor!$H$5:$H$204="-","",A_Corridor!$H$5:$H$204)),"")</f>
        <v/>
      </c>
      <c r="N787" s="182" t="str">
        <f>IFERROR(LOOKUP(2,1/((A_Corridor!$A$5:$A$204&lt;&gt;"")*(A_Corridor!$A$5:$A$204&lt;=$B787)*(A_Corridor!$B$5:$B$204&gt;$B787)*(A_Corridor!$I$5:$I$204&lt;&gt;"")),IF(A_Corridor!$I$5:$I$204="-","",A_Corridor!$I$5:$I$204)),"")</f>
        <v/>
      </c>
      <c r="O787" s="182" t="str">
        <f>IFERROR(LOOKUP(2,1/((D_Points!$A$5:$A$204&lt;&gt;"")*(D_Points!$A$5:$A$204&gt;=$B787)*(D_Points!$A$5:$A$204&lt;$B787+P_Interval)*(UPPER(TRIM(D_Points!$B$5:$B$204))="PITCHING")*(D_Points!$H$5:$H$204&lt;&gt;"")),D_Points!$H$5:$H$204),"")</f>
        <v/>
      </c>
      <c r="P787" s="181" t="str">
        <f>IFERROR(LOOKUP(2,1/((B_Drainage!$A$5:$A$204&lt;&gt;"")*(B_Drainage!$A$5:$A$204&lt;=$B787)*(B_Drainage!$B$5:$B$204&gt;$B787)*(B_Drainage!$C$5:$C$204&lt;&gt;"")),IF(B_Drainage!$C$5:$C$204="-","",UPPER(B_Drainage!$C$5:$C$204))),"")</f>
        <v/>
      </c>
      <c r="Q787" s="181" t="str">
        <f>IFERROR(LOOKUP(2,1/((B_Drainage!$A$5:$A$204&lt;&gt;"")*(B_Drainage!$A$5:$A$204&lt;=$B787)*(B_Drainage!$B$5:$B$204&gt;$B787)*(B_Drainage!$D$5:$D$204&lt;&gt;"")),IF(B_Drainage!$D$5:$D$204="-","",UPPER(B_Drainage!$D$5:$D$204))),"")</f>
        <v/>
      </c>
      <c r="R787" s="182" t="str">
        <f>IFERROR(LOOKUP(2,1/((D_Points!$A$5:$A$204&lt;&gt;"")*(D_Points!$A$5:$A$204&gt;=$B787)*(D_Points!$A$5:$A$204&lt;$B787+P_Interval)*(RIGHT(UPPER(TRIM(D_Points!$B$5:$B$204)),8)="_CULVERT")),IF(LEFT(UPPER(TRIM(D_Points!$B$5:$B$204)),2)="EX",1,IF(LEFT(UPPER(TRIM(D_Points!$B$5:$B$204)),2)="PR",2,3))),"")</f>
        <v/>
      </c>
      <c r="S787" s="182" t="str">
        <f>IFERROR(LOOKUP(2,1/((D_Points!$A$5:$A$204&lt;&gt;"")*(D_Points!$A$5:$A$204&gt;=$B787)*(D_Points!$A$5:$A$204&lt;$B787+P_Interval)*(RIGHT(UPPER(TRIM(D_Points!$B$5:$B$204)),7)="_BRIDGE")),IF(LEFT(UPPER(TRIM(D_Points!$B$5:$B$204)),2)="EX",1,IF(LEFT(UPPER(TRIM(D_Points!$B$5:$B$204)),2)="PR",2,2))),"")</f>
        <v/>
      </c>
      <c r="T787" s="181" t="str">
        <f>IFERROR(LOOKUP(2,1/((B_Drainage!$A$5:$A$204&lt;&gt;"")*(B_Drainage!$A$5:$A$204&lt;=$B787)*(B_Drainage!$B$5:$B$204&gt;$B787)*(B_Drainage!$E$5:$E$204&lt;&gt;"")),IF(B_Drainage!$E$5:$E$204="-","",1)),"")</f>
        <v/>
      </c>
      <c r="U787" s="181" t="str">
        <f>IFERROR(LOOKUP(2,1/((B_Drainage!$A$5:$A$204&lt;&gt;"")*(B_Drainage!$A$5:$A$204&lt;=$B787)*(B_Drainage!$B$5:$B$204&gt;$B787)*(B_Drainage!$E$5:$E$204&lt;&gt;"")),IF(B_Drainage!$E$5:$E$204="-","",B_Drainage!$E$5:$E$204)),"")</f>
        <v/>
      </c>
      <c r="V787" s="181" t="str">
        <f>IFERROR(LOOKUP(2,1/((B_Drainage!$A$5:$A$204&lt;&gt;"")*(B_Drainage!$A$5:$A$204&lt;=$B787)*(B_Drainage!$B$5:$B$204&gt;$B787)*(B_Drainage!$F$5:$F$204&lt;&gt;"")),IF(B_Drainage!$F$5:$F$204="-","",1)),"")</f>
        <v/>
      </c>
      <c r="W787" s="181" t="str">
        <f>IFERROR(LOOKUP(2,1/((B_Drainage!$A$5:$A$204&lt;&gt;"")*(B_Drainage!$A$5:$A$204&lt;=$B787)*(B_Drainage!$B$5:$B$204&gt;$B787)*(B_Drainage!$F$5:$F$204&lt;&gt;"")),IF(B_Drainage!$F$5:$F$204="-","",B_Drainage!$F$5:$F$204)),"")</f>
        <v/>
      </c>
      <c r="X787" s="181" t="str">
        <f>IFERROR(LOOKUP(2,1/((B_Drainage!$A$5:$A$204&lt;&gt;"")*(B_Drainage!$A$5:$A$204&lt;=$B787)*(B_Drainage!$B$5:$B$204&gt;$B787)*(B_Drainage!$G$5:$G$204&lt;&gt;"")),IF(UPPER(B_Drainage!$G$5:$G$204)="Y",1,"")),"")</f>
        <v/>
      </c>
      <c r="Y787" s="181" t="str">
        <f>IFERROR(LOOKUP(2,1/((B_Drainage!$A$5:$A$204&lt;&gt;"")*(B_Drainage!$A$5:$A$204&lt;=$B787)*(B_Drainage!$B$5:$B$204&gt;$B787)*(B_Drainage!$H$5:$H$204&lt;&gt;"")),IF(UPPER(B_Drainage!$H$5:$H$204)="Y",1,"")),"")</f>
        <v/>
      </c>
      <c r="Z787" s="181" t="str">
        <f>IFERROR(LOOKUP(2,1/((B_Drainage!$A$5:$A$204&lt;&gt;"")*(B_Drainage!$A$5:$A$204&lt;=$B787)*(B_Drainage!$B$5:$B$204&gt;$B787)*(B_Drainage!$I$5:$I$204&lt;&gt;"")),IF(UPPER(B_Drainage!$I$5:$I$204)="Y",1,"")),"")</f>
        <v/>
      </c>
      <c r="AA787" s="181" t="str">
        <f>IFERROR(LOOKUP(2,1/((B_Drainage!$A$5:$A$204&lt;&gt;"")*(B_Drainage!$A$5:$A$204&lt;=$B787)*(B_Drainage!$B$5:$B$204&gt;$B787)*(B_Drainage!$J$5:$J$204&lt;&gt;"")),IF(UPPER(B_Drainage!$J$5:$J$204)="Y",1,"")),"")</f>
        <v/>
      </c>
      <c r="AB787" s="182" t="str">
        <f>IFERROR(LOOKUP(2,1/((B_Drainage!$A$5:$A$204&lt;&gt;"")*(B_Drainage!$A$5:$A$204&lt;=$B787)*(B_Drainage!$B$5:$B$204&gt;$B787)*(B_Drainage!$K$5:$K$204&lt;&gt;"")),IF(B_Drainage!$K$5:$K$204="-","",B_Drainage!$K$5:$K$204)),"")</f>
        <v/>
      </c>
      <c r="AC787" s="182" t="str">
        <f>IFERROR(LOOKUP(2,1/((B_Drainage!$A$5:$A$204&lt;&gt;"")*(B_Drainage!$A$5:$A$204&lt;=$B787)*(B_Drainage!$B$5:$B$204&gt;$B787)*(B_Drainage!$L$5:$L$204&lt;&gt;"")),IF(B_Drainage!$L$5:$L$204="-","",B_Drainage!$L$5:$L$204)),"")</f>
        <v/>
      </c>
      <c r="AD787" s="182" t="str">
        <f>IFERROR(LOOKUP(2,1/((D_Points!$A$5:$A$204&lt;&gt;"")*(D_Points!$A$5:$A$204&gt;=$B787)*(D_Points!$A$5:$A$204&lt;$B787+P_Interval)*(UPPER(TRIM(D_Points!$B$5:$B$204))="TURNOUT_L")*(D_Points!$H$5:$H$204&lt;&gt;"")),D_Points!$H$5:$H$204),"")</f>
        <v/>
      </c>
      <c r="AE787" s="182" t="str">
        <f>IFERROR(LOOKUP(2,1/((D_Points!$A$5:$A$204&lt;&gt;"")*(D_Points!$A$5:$A$204&gt;=$B787)*(D_Points!$A$5:$A$204&lt;$B787+P_Interval)*(UPPER(TRIM(D_Points!$B$5:$B$204))="TURNOUT_R")*(D_Points!$H$5:$H$204&lt;&gt;"")),D_Points!$H$5:$H$204),"")</f>
        <v/>
      </c>
      <c r="AF787" s="181" t="str">
        <f>IFERROR(LOOKUP(2,1/((B_Drainage!$A$5:$A$204&lt;&gt;"")*(B_Drainage!$A$5:$A$204&lt;=$B787)*(B_Drainage!$B$5:$B$204&gt;$B787)*(B_Drainage!$M$5:$M$204&lt;&gt;"")),IF(UPPER(B_Drainage!$M$5:$M$204)="Y",1,"")),"")</f>
        <v/>
      </c>
      <c r="AG787" s="181" t="str">
        <f>IFERROR(LOOKUP(2,1/((B_Drainage!$A$5:$A$204&lt;&gt;"")*(B_Drainage!$A$5:$A$204&lt;=$B787)*(B_Drainage!$B$5:$B$204&gt;$B787)*(B_Drainage!$N$5:$N$204&lt;&gt;"")),IF(UPPER(B_Drainage!$N$5:$N$204)="Y",1,"")),"")</f>
        <v/>
      </c>
      <c r="AH787" s="181" t="str">
        <f t="shared" si="96"/>
        <v/>
      </c>
      <c r="AI787" s="181" t="str">
        <f t="shared" si="97"/>
        <v/>
      </c>
      <c r="AJ787" s="181" t="str">
        <f t="shared" si="98"/>
        <v/>
      </c>
      <c r="AK787" s="181" t="str">
        <f t="shared" si="99"/>
        <v/>
      </c>
      <c r="AL787" s="181" t="str">
        <f t="shared" si="100"/>
        <v/>
      </c>
      <c r="AM787" s="181" t="str">
        <f t="shared" si="101"/>
        <v/>
      </c>
      <c r="AN787" s="181" t="str">
        <f t="shared" si="102"/>
        <v/>
      </c>
      <c r="AO787" s="192" t="str">
        <f t="shared" si="103"/>
        <v/>
      </c>
      <c r="AQ787" t="str">
        <f>IFERROR(LOOKUP(2,1/((C_Pavement!$A$5:$A$204&lt;&gt;"")*(C_Pavement!$A$5:$A$204&lt;=$B787)*(C_Pavement!$B$5:$B$204&gt;$B787)*(C_Pavement!$C$5:$C$204&lt;&gt;"")),ROW(C_Pavement!$C$5:$C$204)-4),"")</f>
        <v/>
      </c>
      <c r="AR787" t="str">
        <f>IF($AQ787="","",UPPER(TRIM(INDEX(C_Pavement!$C$5:$C$204,$AQ787))))</f>
        <v/>
      </c>
      <c r="AS787" t="str">
        <f>IF($AR787="","",IFERROR(MATCH($AR787,E_Rules!$A$5:$A$9,0),""))</f>
        <v/>
      </c>
      <c r="AT787" t="str">
        <f>IF($AQ787="","",IF(INDEX(C_Pavement!$D$5:$D$204,$AQ787)&lt;&gt;"",UPPER(TRIM(INDEX(C_Pavement!$D$5:$D$204,$AQ787))),IF($AS787="","",INDEX(E_Rules!$C$5:$C$9,$AS787))))</f>
        <v/>
      </c>
      <c r="AU787" t="str">
        <f>IF($AQ787="","",IF(INDEX(C_Pavement!$E$5:$E$204,$AQ787)&lt;&gt;"",IF(INDEX(C_Pavement!$E$5:$E$204,$AQ787)="-","",INDEX(C_Pavement!$E$5:$E$204,$AQ787)),IF($AS787="","",INDEX(E_Rules!$D$5:$D$9,$AS787))))</f>
        <v/>
      </c>
      <c r="AV787" t="str">
        <f>IF($AQ787="","",IF(INDEX(C_Pavement!$F$5:$F$204,$AQ787)&lt;&gt;"",IF(INDEX(C_Pavement!$F$5:$F$204,$AQ787)="-","",INDEX(C_Pavement!$F$5:$F$204,$AQ787)),IF($AS787="","",INDEX(E_Rules!$E$5:$E$9,$AS787))))</f>
        <v/>
      </c>
      <c r="AW787" t="str">
        <f>IF($AQ787="","",IF(INDEX(C_Pavement!$G$5:$G$204,$AQ787)&lt;&gt;"",IF(INDEX(C_Pavement!$G$5:$G$204,$AQ787)="-","",INDEX(C_Pavement!$G$5:$G$204,$AQ787)),IF($AS787="","",INDEX(E_Rules!$F$5:$F$9,$AS787))))</f>
        <v/>
      </c>
      <c r="AX787" t="str">
        <f>IF($AQ787="","",IF(INDEX(C_Pavement!$H$5:$H$204,$AQ787)&lt;&gt;"",IF(INDEX(C_Pavement!$H$5:$H$204,$AQ787)="-","",INDEX(C_Pavement!$H$5:$H$204,$AQ787)),IF($AS787="","",INDEX(E_Rules!$G$5:$G$9,$AS787))))</f>
        <v/>
      </c>
      <c r="AY787" t="str">
        <f>IF($AQ787="","",IF(INDEX(C_Pavement!$I$5:$I$204,$AQ787)&lt;&gt;"",IF(INDEX(C_Pavement!$I$5:$I$204,$AQ787)="-","",INDEX(C_Pavement!$I$5:$I$204,$AQ787)),IF($AS787="","",INDEX(E_Rules!$H$5:$H$9,$AS787))))</f>
        <v/>
      </c>
    </row>
    <row r="788" spans="1:51" ht="15.75" customHeight="1" x14ac:dyDescent="0.3">
      <c r="A788" s="189">
        <v>783</v>
      </c>
      <c r="B788" s="180">
        <v>39100</v>
      </c>
      <c r="C788" s="180" t="s">
        <v>1094</v>
      </c>
      <c r="D788" s="181" t="str">
        <f>IFERROR(LOOKUP(2,1/((A_Corridor!$A$5:$A$204&lt;&gt;"")*(A_Corridor!$A$5:$A$204&lt;=$B788)*(A_Corridor!$B$5:$B$204&gt;$B788)*(A_Corridor!$C$5:$C$204&lt;&gt;"")),IF(UPPER(A_Corridor!$C$5:$C$204)="Y",1,"")),"")</f>
        <v/>
      </c>
      <c r="E788" s="181" t="str">
        <f>IFERROR(LOOKUP(2,1/((A_Corridor!$A$5:$A$204&lt;&gt;"")*(A_Corridor!$A$5:$A$204&lt;=$B788)*(A_Corridor!$B$5:$B$204&gt;$B788)*(A_Corridor!$D$5:$D$204&lt;&gt;"")),IF(A_Corridor!$D$5:$D$204="-","",UPPER(A_Corridor!$D$5:$D$204))),"")</f>
        <v/>
      </c>
      <c r="F788" s="181" t="str">
        <f>IFERROR(LOOKUP(2,1/((A_Corridor!$A$5:$A$204&lt;&gt;"")*(A_Corridor!$A$5:$A$204&lt;=$B788)*(A_Corridor!$B$5:$B$204&gt;$B788)*(A_Corridor!$E$5:$E$204&lt;&gt;"")),IF(A_Corridor!$E$5:$E$204="-","",1)),"")</f>
        <v/>
      </c>
      <c r="G788" s="182" t="str">
        <f>IFERROR(LOOKUP(2,1/((A_Corridor!$A$5:$A$204&lt;&gt;"")*(A_Corridor!$A$5:$A$204&lt;=$B788)*(A_Corridor!$B$5:$B$204&gt;$B788)*(A_Corridor!$E$5:$E$204&lt;&gt;"")),IF(A_Corridor!$E$5:$E$204="-","",A_Corridor!$E$5:$E$204)),"")</f>
        <v/>
      </c>
      <c r="H788" s="182" t="str">
        <f>IFERROR(LOOKUP(2,1/((D_Points!$A$5:$A$204&lt;&gt;"")*(D_Points!$A$5:$A$204&gt;=$B788)*(D_Points!$A$5:$A$204&lt;$B788+P_Interval)*(UPPER(TRIM(D_Points!$B$5:$B$204))="GULLY")*(D_Points!$H$5:$H$204&lt;&gt;"")),D_Points!$H$5:$H$204),"")</f>
        <v/>
      </c>
      <c r="I788" s="181" t="str">
        <f>IFERROR(LOOKUP(2,1/((A_Corridor!$A$5:$A$204&lt;&gt;"")*(A_Corridor!$A$5:$A$204&lt;=$B788)*(A_Corridor!$B$5:$B$204&gt;$B788)*(A_Corridor!$F$5:$F$204&lt;&gt;"")),IF(A_Corridor!$F$5:$F$204="-","",1)),"")</f>
        <v/>
      </c>
      <c r="J788" s="182" t="str">
        <f>IFERROR(LOOKUP(2,1/((A_Corridor!$A$5:$A$204&lt;&gt;"")*(A_Corridor!$A$5:$A$204&lt;=$B788)*(A_Corridor!$B$5:$B$204&gt;$B788)*(A_Corridor!$F$5:$F$204&lt;&gt;"")),IF(A_Corridor!$F$5:$F$204="-","",A_Corridor!$F$5:$F$204)),"")</f>
        <v/>
      </c>
      <c r="K788" s="182" t="str">
        <f>IFERROR(LOOKUP(2,1/((A_Corridor!$A$5:$A$204&lt;&gt;"")*(A_Corridor!$A$5:$A$204&lt;=$B788)*(A_Corridor!$B$5:$B$204&gt;$B788)*(A_Corridor!$G$5:$G$204&lt;&gt;"")),IF(A_Corridor!$G$5:$G$204="-","",A_Corridor!$G$5:$G$204)),"")</f>
        <v/>
      </c>
      <c r="L788" s="181" t="str">
        <f>IFERROR(LOOKUP(2,1/((A_Corridor!$A$5:$A$204&lt;&gt;"")*(A_Corridor!$A$5:$A$204&lt;=$B788)*(A_Corridor!$B$5:$B$204&gt;$B788)*(A_Corridor!$H$5:$H$204&lt;&gt;"")),IF(A_Corridor!$H$5:$H$204="-","",1)),"")</f>
        <v/>
      </c>
      <c r="M788" s="182" t="str">
        <f>IFERROR(LOOKUP(2,1/((A_Corridor!$A$5:$A$204&lt;&gt;"")*(A_Corridor!$A$5:$A$204&lt;=$B788)*(A_Corridor!$B$5:$B$204&gt;$B788)*(A_Corridor!$H$5:$H$204&lt;&gt;"")),IF(A_Corridor!$H$5:$H$204="-","",A_Corridor!$H$5:$H$204)),"")</f>
        <v/>
      </c>
      <c r="N788" s="182" t="str">
        <f>IFERROR(LOOKUP(2,1/((A_Corridor!$A$5:$A$204&lt;&gt;"")*(A_Corridor!$A$5:$A$204&lt;=$B788)*(A_Corridor!$B$5:$B$204&gt;$B788)*(A_Corridor!$I$5:$I$204&lt;&gt;"")),IF(A_Corridor!$I$5:$I$204="-","",A_Corridor!$I$5:$I$204)),"")</f>
        <v/>
      </c>
      <c r="O788" s="182" t="str">
        <f>IFERROR(LOOKUP(2,1/((D_Points!$A$5:$A$204&lt;&gt;"")*(D_Points!$A$5:$A$204&gt;=$B788)*(D_Points!$A$5:$A$204&lt;$B788+P_Interval)*(UPPER(TRIM(D_Points!$B$5:$B$204))="PITCHING")*(D_Points!$H$5:$H$204&lt;&gt;"")),D_Points!$H$5:$H$204),"")</f>
        <v/>
      </c>
      <c r="P788" s="181" t="str">
        <f>IFERROR(LOOKUP(2,1/((B_Drainage!$A$5:$A$204&lt;&gt;"")*(B_Drainage!$A$5:$A$204&lt;=$B788)*(B_Drainage!$B$5:$B$204&gt;$B788)*(B_Drainage!$C$5:$C$204&lt;&gt;"")),IF(B_Drainage!$C$5:$C$204="-","",UPPER(B_Drainage!$C$5:$C$204))),"")</f>
        <v/>
      </c>
      <c r="Q788" s="181" t="str">
        <f>IFERROR(LOOKUP(2,1/((B_Drainage!$A$5:$A$204&lt;&gt;"")*(B_Drainage!$A$5:$A$204&lt;=$B788)*(B_Drainage!$B$5:$B$204&gt;$B788)*(B_Drainage!$D$5:$D$204&lt;&gt;"")),IF(B_Drainage!$D$5:$D$204="-","",UPPER(B_Drainage!$D$5:$D$204))),"")</f>
        <v/>
      </c>
      <c r="R788" s="182" t="str">
        <f>IFERROR(LOOKUP(2,1/((D_Points!$A$5:$A$204&lt;&gt;"")*(D_Points!$A$5:$A$204&gt;=$B788)*(D_Points!$A$5:$A$204&lt;$B788+P_Interval)*(RIGHT(UPPER(TRIM(D_Points!$B$5:$B$204)),8)="_CULVERT")),IF(LEFT(UPPER(TRIM(D_Points!$B$5:$B$204)),2)="EX",1,IF(LEFT(UPPER(TRIM(D_Points!$B$5:$B$204)),2)="PR",2,3))),"")</f>
        <v/>
      </c>
      <c r="S788" s="182" t="str">
        <f>IFERROR(LOOKUP(2,1/((D_Points!$A$5:$A$204&lt;&gt;"")*(D_Points!$A$5:$A$204&gt;=$B788)*(D_Points!$A$5:$A$204&lt;$B788+P_Interval)*(RIGHT(UPPER(TRIM(D_Points!$B$5:$B$204)),7)="_BRIDGE")),IF(LEFT(UPPER(TRIM(D_Points!$B$5:$B$204)),2)="EX",1,IF(LEFT(UPPER(TRIM(D_Points!$B$5:$B$204)),2)="PR",2,2))),"")</f>
        <v/>
      </c>
      <c r="T788" s="181" t="str">
        <f>IFERROR(LOOKUP(2,1/((B_Drainage!$A$5:$A$204&lt;&gt;"")*(B_Drainage!$A$5:$A$204&lt;=$B788)*(B_Drainage!$B$5:$B$204&gt;$B788)*(B_Drainage!$E$5:$E$204&lt;&gt;"")),IF(B_Drainage!$E$5:$E$204="-","",1)),"")</f>
        <v/>
      </c>
      <c r="U788" s="181" t="str">
        <f>IFERROR(LOOKUP(2,1/((B_Drainage!$A$5:$A$204&lt;&gt;"")*(B_Drainage!$A$5:$A$204&lt;=$B788)*(B_Drainage!$B$5:$B$204&gt;$B788)*(B_Drainage!$E$5:$E$204&lt;&gt;"")),IF(B_Drainage!$E$5:$E$204="-","",B_Drainage!$E$5:$E$204)),"")</f>
        <v/>
      </c>
      <c r="V788" s="181" t="str">
        <f>IFERROR(LOOKUP(2,1/((B_Drainage!$A$5:$A$204&lt;&gt;"")*(B_Drainage!$A$5:$A$204&lt;=$B788)*(B_Drainage!$B$5:$B$204&gt;$B788)*(B_Drainage!$F$5:$F$204&lt;&gt;"")),IF(B_Drainage!$F$5:$F$204="-","",1)),"")</f>
        <v/>
      </c>
      <c r="W788" s="181" t="str">
        <f>IFERROR(LOOKUP(2,1/((B_Drainage!$A$5:$A$204&lt;&gt;"")*(B_Drainage!$A$5:$A$204&lt;=$B788)*(B_Drainage!$B$5:$B$204&gt;$B788)*(B_Drainage!$F$5:$F$204&lt;&gt;"")),IF(B_Drainage!$F$5:$F$204="-","",B_Drainage!$F$5:$F$204)),"")</f>
        <v/>
      </c>
      <c r="X788" s="181" t="str">
        <f>IFERROR(LOOKUP(2,1/((B_Drainage!$A$5:$A$204&lt;&gt;"")*(B_Drainage!$A$5:$A$204&lt;=$B788)*(B_Drainage!$B$5:$B$204&gt;$B788)*(B_Drainage!$G$5:$G$204&lt;&gt;"")),IF(UPPER(B_Drainage!$G$5:$G$204)="Y",1,"")),"")</f>
        <v/>
      </c>
      <c r="Y788" s="181" t="str">
        <f>IFERROR(LOOKUP(2,1/((B_Drainage!$A$5:$A$204&lt;&gt;"")*(B_Drainage!$A$5:$A$204&lt;=$B788)*(B_Drainage!$B$5:$B$204&gt;$B788)*(B_Drainage!$H$5:$H$204&lt;&gt;"")),IF(UPPER(B_Drainage!$H$5:$H$204)="Y",1,"")),"")</f>
        <v/>
      </c>
      <c r="Z788" s="181" t="str">
        <f>IFERROR(LOOKUP(2,1/((B_Drainage!$A$5:$A$204&lt;&gt;"")*(B_Drainage!$A$5:$A$204&lt;=$B788)*(B_Drainage!$B$5:$B$204&gt;$B788)*(B_Drainage!$I$5:$I$204&lt;&gt;"")),IF(UPPER(B_Drainage!$I$5:$I$204)="Y",1,"")),"")</f>
        <v/>
      </c>
      <c r="AA788" s="181" t="str">
        <f>IFERROR(LOOKUP(2,1/((B_Drainage!$A$5:$A$204&lt;&gt;"")*(B_Drainage!$A$5:$A$204&lt;=$B788)*(B_Drainage!$B$5:$B$204&gt;$B788)*(B_Drainage!$J$5:$J$204&lt;&gt;"")),IF(UPPER(B_Drainage!$J$5:$J$204)="Y",1,"")),"")</f>
        <v/>
      </c>
      <c r="AB788" s="182" t="str">
        <f>IFERROR(LOOKUP(2,1/((B_Drainage!$A$5:$A$204&lt;&gt;"")*(B_Drainage!$A$5:$A$204&lt;=$B788)*(B_Drainage!$B$5:$B$204&gt;$B788)*(B_Drainage!$K$5:$K$204&lt;&gt;"")),IF(B_Drainage!$K$5:$K$204="-","",B_Drainage!$K$5:$K$204)),"")</f>
        <v/>
      </c>
      <c r="AC788" s="182" t="str">
        <f>IFERROR(LOOKUP(2,1/((B_Drainage!$A$5:$A$204&lt;&gt;"")*(B_Drainage!$A$5:$A$204&lt;=$B788)*(B_Drainage!$B$5:$B$204&gt;$B788)*(B_Drainage!$L$5:$L$204&lt;&gt;"")),IF(B_Drainage!$L$5:$L$204="-","",B_Drainage!$L$5:$L$204)),"")</f>
        <v/>
      </c>
      <c r="AD788" s="182" t="str">
        <f>IFERROR(LOOKUP(2,1/((D_Points!$A$5:$A$204&lt;&gt;"")*(D_Points!$A$5:$A$204&gt;=$B788)*(D_Points!$A$5:$A$204&lt;$B788+P_Interval)*(UPPER(TRIM(D_Points!$B$5:$B$204))="TURNOUT_L")*(D_Points!$H$5:$H$204&lt;&gt;"")),D_Points!$H$5:$H$204),"")</f>
        <v/>
      </c>
      <c r="AE788" s="182" t="str">
        <f>IFERROR(LOOKUP(2,1/((D_Points!$A$5:$A$204&lt;&gt;"")*(D_Points!$A$5:$A$204&gt;=$B788)*(D_Points!$A$5:$A$204&lt;$B788+P_Interval)*(UPPER(TRIM(D_Points!$B$5:$B$204))="TURNOUT_R")*(D_Points!$H$5:$H$204&lt;&gt;"")),D_Points!$H$5:$H$204),"")</f>
        <v/>
      </c>
      <c r="AF788" s="181" t="str">
        <f>IFERROR(LOOKUP(2,1/((B_Drainage!$A$5:$A$204&lt;&gt;"")*(B_Drainage!$A$5:$A$204&lt;=$B788)*(B_Drainage!$B$5:$B$204&gt;$B788)*(B_Drainage!$M$5:$M$204&lt;&gt;"")),IF(UPPER(B_Drainage!$M$5:$M$204)="Y",1,"")),"")</f>
        <v/>
      </c>
      <c r="AG788" s="181" t="str">
        <f>IFERROR(LOOKUP(2,1/((B_Drainage!$A$5:$A$204&lt;&gt;"")*(B_Drainage!$A$5:$A$204&lt;=$B788)*(B_Drainage!$B$5:$B$204&gt;$B788)*(B_Drainage!$N$5:$N$204&lt;&gt;"")),IF(UPPER(B_Drainage!$N$5:$N$204)="Y",1,"")),"")</f>
        <v/>
      </c>
      <c r="AH788" s="181" t="str">
        <f t="shared" si="96"/>
        <v/>
      </c>
      <c r="AI788" s="181" t="str">
        <f t="shared" si="97"/>
        <v/>
      </c>
      <c r="AJ788" s="181" t="str">
        <f t="shared" si="98"/>
        <v/>
      </c>
      <c r="AK788" s="181" t="str">
        <f t="shared" si="99"/>
        <v/>
      </c>
      <c r="AL788" s="181" t="str">
        <f t="shared" si="100"/>
        <v/>
      </c>
      <c r="AM788" s="181" t="str">
        <f t="shared" si="101"/>
        <v/>
      </c>
      <c r="AN788" s="181" t="str">
        <f t="shared" si="102"/>
        <v/>
      </c>
      <c r="AO788" s="192" t="str">
        <f t="shared" si="103"/>
        <v/>
      </c>
      <c r="AQ788" t="str">
        <f>IFERROR(LOOKUP(2,1/((C_Pavement!$A$5:$A$204&lt;&gt;"")*(C_Pavement!$A$5:$A$204&lt;=$B788)*(C_Pavement!$B$5:$B$204&gt;$B788)*(C_Pavement!$C$5:$C$204&lt;&gt;"")),ROW(C_Pavement!$C$5:$C$204)-4),"")</f>
        <v/>
      </c>
      <c r="AR788" t="str">
        <f>IF($AQ788="","",UPPER(TRIM(INDEX(C_Pavement!$C$5:$C$204,$AQ788))))</f>
        <v/>
      </c>
      <c r="AS788" t="str">
        <f>IF($AR788="","",IFERROR(MATCH($AR788,E_Rules!$A$5:$A$9,0),""))</f>
        <v/>
      </c>
      <c r="AT788" t="str">
        <f>IF($AQ788="","",IF(INDEX(C_Pavement!$D$5:$D$204,$AQ788)&lt;&gt;"",UPPER(TRIM(INDEX(C_Pavement!$D$5:$D$204,$AQ788))),IF($AS788="","",INDEX(E_Rules!$C$5:$C$9,$AS788))))</f>
        <v/>
      </c>
      <c r="AU788" t="str">
        <f>IF($AQ788="","",IF(INDEX(C_Pavement!$E$5:$E$204,$AQ788)&lt;&gt;"",IF(INDEX(C_Pavement!$E$5:$E$204,$AQ788)="-","",INDEX(C_Pavement!$E$5:$E$204,$AQ788)),IF($AS788="","",INDEX(E_Rules!$D$5:$D$9,$AS788))))</f>
        <v/>
      </c>
      <c r="AV788" t="str">
        <f>IF($AQ788="","",IF(INDEX(C_Pavement!$F$5:$F$204,$AQ788)&lt;&gt;"",IF(INDEX(C_Pavement!$F$5:$F$204,$AQ788)="-","",INDEX(C_Pavement!$F$5:$F$204,$AQ788)),IF($AS788="","",INDEX(E_Rules!$E$5:$E$9,$AS788))))</f>
        <v/>
      </c>
      <c r="AW788" t="str">
        <f>IF($AQ788="","",IF(INDEX(C_Pavement!$G$5:$G$204,$AQ788)&lt;&gt;"",IF(INDEX(C_Pavement!$G$5:$G$204,$AQ788)="-","",INDEX(C_Pavement!$G$5:$G$204,$AQ788)),IF($AS788="","",INDEX(E_Rules!$F$5:$F$9,$AS788))))</f>
        <v/>
      </c>
      <c r="AX788" t="str">
        <f>IF($AQ788="","",IF(INDEX(C_Pavement!$H$5:$H$204,$AQ788)&lt;&gt;"",IF(INDEX(C_Pavement!$H$5:$H$204,$AQ788)="-","",INDEX(C_Pavement!$H$5:$H$204,$AQ788)),IF($AS788="","",INDEX(E_Rules!$G$5:$G$9,$AS788))))</f>
        <v/>
      </c>
      <c r="AY788" t="str">
        <f>IF($AQ788="","",IF(INDEX(C_Pavement!$I$5:$I$204,$AQ788)&lt;&gt;"",IF(INDEX(C_Pavement!$I$5:$I$204,$AQ788)="-","",INDEX(C_Pavement!$I$5:$I$204,$AQ788)),IF($AS788="","",INDEX(E_Rules!$H$5:$H$9,$AS788))))</f>
        <v/>
      </c>
    </row>
    <row r="789" spans="1:51" ht="15.75" customHeight="1" x14ac:dyDescent="0.3">
      <c r="A789" s="189">
        <v>784</v>
      </c>
      <c r="B789" s="180">
        <v>39150</v>
      </c>
      <c r="C789" s="180" t="s">
        <v>1095</v>
      </c>
      <c r="D789" s="181" t="str">
        <f>IFERROR(LOOKUP(2,1/((A_Corridor!$A$5:$A$204&lt;&gt;"")*(A_Corridor!$A$5:$A$204&lt;=$B789)*(A_Corridor!$B$5:$B$204&gt;$B789)*(A_Corridor!$C$5:$C$204&lt;&gt;"")),IF(UPPER(A_Corridor!$C$5:$C$204)="Y",1,"")),"")</f>
        <v/>
      </c>
      <c r="E789" s="181" t="str">
        <f>IFERROR(LOOKUP(2,1/((A_Corridor!$A$5:$A$204&lt;&gt;"")*(A_Corridor!$A$5:$A$204&lt;=$B789)*(A_Corridor!$B$5:$B$204&gt;$B789)*(A_Corridor!$D$5:$D$204&lt;&gt;"")),IF(A_Corridor!$D$5:$D$204="-","",UPPER(A_Corridor!$D$5:$D$204))),"")</f>
        <v/>
      </c>
      <c r="F789" s="181" t="str">
        <f>IFERROR(LOOKUP(2,1/((A_Corridor!$A$5:$A$204&lt;&gt;"")*(A_Corridor!$A$5:$A$204&lt;=$B789)*(A_Corridor!$B$5:$B$204&gt;$B789)*(A_Corridor!$E$5:$E$204&lt;&gt;"")),IF(A_Corridor!$E$5:$E$204="-","",1)),"")</f>
        <v/>
      </c>
      <c r="G789" s="182" t="str">
        <f>IFERROR(LOOKUP(2,1/((A_Corridor!$A$5:$A$204&lt;&gt;"")*(A_Corridor!$A$5:$A$204&lt;=$B789)*(A_Corridor!$B$5:$B$204&gt;$B789)*(A_Corridor!$E$5:$E$204&lt;&gt;"")),IF(A_Corridor!$E$5:$E$204="-","",A_Corridor!$E$5:$E$204)),"")</f>
        <v/>
      </c>
      <c r="H789" s="182" t="str">
        <f>IFERROR(LOOKUP(2,1/((D_Points!$A$5:$A$204&lt;&gt;"")*(D_Points!$A$5:$A$204&gt;=$B789)*(D_Points!$A$5:$A$204&lt;$B789+P_Interval)*(UPPER(TRIM(D_Points!$B$5:$B$204))="GULLY")*(D_Points!$H$5:$H$204&lt;&gt;"")),D_Points!$H$5:$H$204),"")</f>
        <v/>
      </c>
      <c r="I789" s="181" t="str">
        <f>IFERROR(LOOKUP(2,1/((A_Corridor!$A$5:$A$204&lt;&gt;"")*(A_Corridor!$A$5:$A$204&lt;=$B789)*(A_Corridor!$B$5:$B$204&gt;$B789)*(A_Corridor!$F$5:$F$204&lt;&gt;"")),IF(A_Corridor!$F$5:$F$204="-","",1)),"")</f>
        <v/>
      </c>
      <c r="J789" s="182" t="str">
        <f>IFERROR(LOOKUP(2,1/((A_Corridor!$A$5:$A$204&lt;&gt;"")*(A_Corridor!$A$5:$A$204&lt;=$B789)*(A_Corridor!$B$5:$B$204&gt;$B789)*(A_Corridor!$F$5:$F$204&lt;&gt;"")),IF(A_Corridor!$F$5:$F$204="-","",A_Corridor!$F$5:$F$204)),"")</f>
        <v/>
      </c>
      <c r="K789" s="182" t="str">
        <f>IFERROR(LOOKUP(2,1/((A_Corridor!$A$5:$A$204&lt;&gt;"")*(A_Corridor!$A$5:$A$204&lt;=$B789)*(A_Corridor!$B$5:$B$204&gt;$B789)*(A_Corridor!$G$5:$G$204&lt;&gt;"")),IF(A_Corridor!$G$5:$G$204="-","",A_Corridor!$G$5:$G$204)),"")</f>
        <v/>
      </c>
      <c r="L789" s="181" t="str">
        <f>IFERROR(LOOKUP(2,1/((A_Corridor!$A$5:$A$204&lt;&gt;"")*(A_Corridor!$A$5:$A$204&lt;=$B789)*(A_Corridor!$B$5:$B$204&gt;$B789)*(A_Corridor!$H$5:$H$204&lt;&gt;"")),IF(A_Corridor!$H$5:$H$204="-","",1)),"")</f>
        <v/>
      </c>
      <c r="M789" s="182" t="str">
        <f>IFERROR(LOOKUP(2,1/((A_Corridor!$A$5:$A$204&lt;&gt;"")*(A_Corridor!$A$5:$A$204&lt;=$B789)*(A_Corridor!$B$5:$B$204&gt;$B789)*(A_Corridor!$H$5:$H$204&lt;&gt;"")),IF(A_Corridor!$H$5:$H$204="-","",A_Corridor!$H$5:$H$204)),"")</f>
        <v/>
      </c>
      <c r="N789" s="182" t="str">
        <f>IFERROR(LOOKUP(2,1/((A_Corridor!$A$5:$A$204&lt;&gt;"")*(A_Corridor!$A$5:$A$204&lt;=$B789)*(A_Corridor!$B$5:$B$204&gt;$B789)*(A_Corridor!$I$5:$I$204&lt;&gt;"")),IF(A_Corridor!$I$5:$I$204="-","",A_Corridor!$I$5:$I$204)),"")</f>
        <v/>
      </c>
      <c r="O789" s="182" t="str">
        <f>IFERROR(LOOKUP(2,1/((D_Points!$A$5:$A$204&lt;&gt;"")*(D_Points!$A$5:$A$204&gt;=$B789)*(D_Points!$A$5:$A$204&lt;$B789+P_Interval)*(UPPER(TRIM(D_Points!$B$5:$B$204))="PITCHING")*(D_Points!$H$5:$H$204&lt;&gt;"")),D_Points!$H$5:$H$204),"")</f>
        <v/>
      </c>
      <c r="P789" s="181" t="str">
        <f>IFERROR(LOOKUP(2,1/((B_Drainage!$A$5:$A$204&lt;&gt;"")*(B_Drainage!$A$5:$A$204&lt;=$B789)*(B_Drainage!$B$5:$B$204&gt;$B789)*(B_Drainage!$C$5:$C$204&lt;&gt;"")),IF(B_Drainage!$C$5:$C$204="-","",UPPER(B_Drainage!$C$5:$C$204))),"")</f>
        <v/>
      </c>
      <c r="Q789" s="181" t="str">
        <f>IFERROR(LOOKUP(2,1/((B_Drainage!$A$5:$A$204&lt;&gt;"")*(B_Drainage!$A$5:$A$204&lt;=$B789)*(B_Drainage!$B$5:$B$204&gt;$B789)*(B_Drainage!$D$5:$D$204&lt;&gt;"")),IF(B_Drainage!$D$5:$D$204="-","",UPPER(B_Drainage!$D$5:$D$204))),"")</f>
        <v/>
      </c>
      <c r="R789" s="182" t="str">
        <f>IFERROR(LOOKUP(2,1/((D_Points!$A$5:$A$204&lt;&gt;"")*(D_Points!$A$5:$A$204&gt;=$B789)*(D_Points!$A$5:$A$204&lt;$B789+P_Interval)*(RIGHT(UPPER(TRIM(D_Points!$B$5:$B$204)),8)="_CULVERT")),IF(LEFT(UPPER(TRIM(D_Points!$B$5:$B$204)),2)="EX",1,IF(LEFT(UPPER(TRIM(D_Points!$B$5:$B$204)),2)="PR",2,3))),"")</f>
        <v/>
      </c>
      <c r="S789" s="182" t="str">
        <f>IFERROR(LOOKUP(2,1/((D_Points!$A$5:$A$204&lt;&gt;"")*(D_Points!$A$5:$A$204&gt;=$B789)*(D_Points!$A$5:$A$204&lt;$B789+P_Interval)*(RIGHT(UPPER(TRIM(D_Points!$B$5:$B$204)),7)="_BRIDGE")),IF(LEFT(UPPER(TRIM(D_Points!$B$5:$B$204)),2)="EX",1,IF(LEFT(UPPER(TRIM(D_Points!$B$5:$B$204)),2)="PR",2,2))),"")</f>
        <v/>
      </c>
      <c r="T789" s="181" t="str">
        <f>IFERROR(LOOKUP(2,1/((B_Drainage!$A$5:$A$204&lt;&gt;"")*(B_Drainage!$A$5:$A$204&lt;=$B789)*(B_Drainage!$B$5:$B$204&gt;$B789)*(B_Drainage!$E$5:$E$204&lt;&gt;"")),IF(B_Drainage!$E$5:$E$204="-","",1)),"")</f>
        <v/>
      </c>
      <c r="U789" s="181" t="str">
        <f>IFERROR(LOOKUP(2,1/((B_Drainage!$A$5:$A$204&lt;&gt;"")*(B_Drainage!$A$5:$A$204&lt;=$B789)*(B_Drainage!$B$5:$B$204&gt;$B789)*(B_Drainage!$E$5:$E$204&lt;&gt;"")),IF(B_Drainage!$E$5:$E$204="-","",B_Drainage!$E$5:$E$204)),"")</f>
        <v/>
      </c>
      <c r="V789" s="181" t="str">
        <f>IFERROR(LOOKUP(2,1/((B_Drainage!$A$5:$A$204&lt;&gt;"")*(B_Drainage!$A$5:$A$204&lt;=$B789)*(B_Drainage!$B$5:$B$204&gt;$B789)*(B_Drainage!$F$5:$F$204&lt;&gt;"")),IF(B_Drainage!$F$5:$F$204="-","",1)),"")</f>
        <v/>
      </c>
      <c r="W789" s="181" t="str">
        <f>IFERROR(LOOKUP(2,1/((B_Drainage!$A$5:$A$204&lt;&gt;"")*(B_Drainage!$A$5:$A$204&lt;=$B789)*(B_Drainage!$B$5:$B$204&gt;$B789)*(B_Drainage!$F$5:$F$204&lt;&gt;"")),IF(B_Drainage!$F$5:$F$204="-","",B_Drainage!$F$5:$F$204)),"")</f>
        <v/>
      </c>
      <c r="X789" s="181" t="str">
        <f>IFERROR(LOOKUP(2,1/((B_Drainage!$A$5:$A$204&lt;&gt;"")*(B_Drainage!$A$5:$A$204&lt;=$B789)*(B_Drainage!$B$5:$B$204&gt;$B789)*(B_Drainage!$G$5:$G$204&lt;&gt;"")),IF(UPPER(B_Drainage!$G$5:$G$204)="Y",1,"")),"")</f>
        <v/>
      </c>
      <c r="Y789" s="181" t="str">
        <f>IFERROR(LOOKUP(2,1/((B_Drainage!$A$5:$A$204&lt;&gt;"")*(B_Drainage!$A$5:$A$204&lt;=$B789)*(B_Drainage!$B$5:$B$204&gt;$B789)*(B_Drainage!$H$5:$H$204&lt;&gt;"")),IF(UPPER(B_Drainage!$H$5:$H$204)="Y",1,"")),"")</f>
        <v/>
      </c>
      <c r="Z789" s="181" t="str">
        <f>IFERROR(LOOKUP(2,1/((B_Drainage!$A$5:$A$204&lt;&gt;"")*(B_Drainage!$A$5:$A$204&lt;=$B789)*(B_Drainage!$B$5:$B$204&gt;$B789)*(B_Drainage!$I$5:$I$204&lt;&gt;"")),IF(UPPER(B_Drainage!$I$5:$I$204)="Y",1,"")),"")</f>
        <v/>
      </c>
      <c r="AA789" s="181" t="str">
        <f>IFERROR(LOOKUP(2,1/((B_Drainage!$A$5:$A$204&lt;&gt;"")*(B_Drainage!$A$5:$A$204&lt;=$B789)*(B_Drainage!$B$5:$B$204&gt;$B789)*(B_Drainage!$J$5:$J$204&lt;&gt;"")),IF(UPPER(B_Drainage!$J$5:$J$204)="Y",1,"")),"")</f>
        <v/>
      </c>
      <c r="AB789" s="182" t="str">
        <f>IFERROR(LOOKUP(2,1/((B_Drainage!$A$5:$A$204&lt;&gt;"")*(B_Drainage!$A$5:$A$204&lt;=$B789)*(B_Drainage!$B$5:$B$204&gt;$B789)*(B_Drainage!$K$5:$K$204&lt;&gt;"")),IF(B_Drainage!$K$5:$K$204="-","",B_Drainage!$K$5:$K$204)),"")</f>
        <v/>
      </c>
      <c r="AC789" s="182" t="str">
        <f>IFERROR(LOOKUP(2,1/((B_Drainage!$A$5:$A$204&lt;&gt;"")*(B_Drainage!$A$5:$A$204&lt;=$B789)*(B_Drainage!$B$5:$B$204&gt;$B789)*(B_Drainage!$L$5:$L$204&lt;&gt;"")),IF(B_Drainage!$L$5:$L$204="-","",B_Drainage!$L$5:$L$204)),"")</f>
        <v/>
      </c>
      <c r="AD789" s="182" t="str">
        <f>IFERROR(LOOKUP(2,1/((D_Points!$A$5:$A$204&lt;&gt;"")*(D_Points!$A$5:$A$204&gt;=$B789)*(D_Points!$A$5:$A$204&lt;$B789+P_Interval)*(UPPER(TRIM(D_Points!$B$5:$B$204))="TURNOUT_L")*(D_Points!$H$5:$H$204&lt;&gt;"")),D_Points!$H$5:$H$204),"")</f>
        <v/>
      </c>
      <c r="AE789" s="182" t="str">
        <f>IFERROR(LOOKUP(2,1/((D_Points!$A$5:$A$204&lt;&gt;"")*(D_Points!$A$5:$A$204&gt;=$B789)*(D_Points!$A$5:$A$204&lt;$B789+P_Interval)*(UPPER(TRIM(D_Points!$B$5:$B$204))="TURNOUT_R")*(D_Points!$H$5:$H$204&lt;&gt;"")),D_Points!$H$5:$H$204),"")</f>
        <v/>
      </c>
      <c r="AF789" s="181" t="str">
        <f>IFERROR(LOOKUP(2,1/((B_Drainage!$A$5:$A$204&lt;&gt;"")*(B_Drainage!$A$5:$A$204&lt;=$B789)*(B_Drainage!$B$5:$B$204&gt;$B789)*(B_Drainage!$M$5:$M$204&lt;&gt;"")),IF(UPPER(B_Drainage!$M$5:$M$204)="Y",1,"")),"")</f>
        <v/>
      </c>
      <c r="AG789" s="181" t="str">
        <f>IFERROR(LOOKUP(2,1/((B_Drainage!$A$5:$A$204&lt;&gt;"")*(B_Drainage!$A$5:$A$204&lt;=$B789)*(B_Drainage!$B$5:$B$204&gt;$B789)*(B_Drainage!$N$5:$N$204&lt;&gt;"")),IF(UPPER(B_Drainage!$N$5:$N$204)="Y",1,"")),"")</f>
        <v/>
      </c>
      <c r="AH789" s="181" t="str">
        <f t="shared" si="96"/>
        <v/>
      </c>
      <c r="AI789" s="181" t="str">
        <f t="shared" si="97"/>
        <v/>
      </c>
      <c r="AJ789" s="181" t="str">
        <f t="shared" si="98"/>
        <v/>
      </c>
      <c r="AK789" s="181" t="str">
        <f t="shared" si="99"/>
        <v/>
      </c>
      <c r="AL789" s="181" t="str">
        <f t="shared" si="100"/>
        <v/>
      </c>
      <c r="AM789" s="181" t="str">
        <f t="shared" si="101"/>
        <v/>
      </c>
      <c r="AN789" s="181" t="str">
        <f t="shared" si="102"/>
        <v/>
      </c>
      <c r="AO789" s="192" t="str">
        <f t="shared" si="103"/>
        <v/>
      </c>
      <c r="AQ789" t="str">
        <f>IFERROR(LOOKUP(2,1/((C_Pavement!$A$5:$A$204&lt;&gt;"")*(C_Pavement!$A$5:$A$204&lt;=$B789)*(C_Pavement!$B$5:$B$204&gt;$B789)*(C_Pavement!$C$5:$C$204&lt;&gt;"")),ROW(C_Pavement!$C$5:$C$204)-4),"")</f>
        <v/>
      </c>
      <c r="AR789" t="str">
        <f>IF($AQ789="","",UPPER(TRIM(INDEX(C_Pavement!$C$5:$C$204,$AQ789))))</f>
        <v/>
      </c>
      <c r="AS789" t="str">
        <f>IF($AR789="","",IFERROR(MATCH($AR789,E_Rules!$A$5:$A$9,0),""))</f>
        <v/>
      </c>
      <c r="AT789" t="str">
        <f>IF($AQ789="","",IF(INDEX(C_Pavement!$D$5:$D$204,$AQ789)&lt;&gt;"",UPPER(TRIM(INDEX(C_Pavement!$D$5:$D$204,$AQ789))),IF($AS789="","",INDEX(E_Rules!$C$5:$C$9,$AS789))))</f>
        <v/>
      </c>
      <c r="AU789" t="str">
        <f>IF($AQ789="","",IF(INDEX(C_Pavement!$E$5:$E$204,$AQ789)&lt;&gt;"",IF(INDEX(C_Pavement!$E$5:$E$204,$AQ789)="-","",INDEX(C_Pavement!$E$5:$E$204,$AQ789)),IF($AS789="","",INDEX(E_Rules!$D$5:$D$9,$AS789))))</f>
        <v/>
      </c>
      <c r="AV789" t="str">
        <f>IF($AQ789="","",IF(INDEX(C_Pavement!$F$5:$F$204,$AQ789)&lt;&gt;"",IF(INDEX(C_Pavement!$F$5:$F$204,$AQ789)="-","",INDEX(C_Pavement!$F$5:$F$204,$AQ789)),IF($AS789="","",INDEX(E_Rules!$E$5:$E$9,$AS789))))</f>
        <v/>
      </c>
      <c r="AW789" t="str">
        <f>IF($AQ789="","",IF(INDEX(C_Pavement!$G$5:$G$204,$AQ789)&lt;&gt;"",IF(INDEX(C_Pavement!$G$5:$G$204,$AQ789)="-","",INDEX(C_Pavement!$G$5:$G$204,$AQ789)),IF($AS789="","",INDEX(E_Rules!$F$5:$F$9,$AS789))))</f>
        <v/>
      </c>
      <c r="AX789" t="str">
        <f>IF($AQ789="","",IF(INDEX(C_Pavement!$H$5:$H$204,$AQ789)&lt;&gt;"",IF(INDEX(C_Pavement!$H$5:$H$204,$AQ789)="-","",INDEX(C_Pavement!$H$5:$H$204,$AQ789)),IF($AS789="","",INDEX(E_Rules!$G$5:$G$9,$AS789))))</f>
        <v/>
      </c>
      <c r="AY789" t="str">
        <f>IF($AQ789="","",IF(INDEX(C_Pavement!$I$5:$I$204,$AQ789)&lt;&gt;"",IF(INDEX(C_Pavement!$I$5:$I$204,$AQ789)="-","",INDEX(C_Pavement!$I$5:$I$204,$AQ789)),IF($AS789="","",INDEX(E_Rules!$H$5:$H$9,$AS789))))</f>
        <v/>
      </c>
    </row>
    <row r="790" spans="1:51" ht="15.75" customHeight="1" x14ac:dyDescent="0.3">
      <c r="A790" s="189">
        <v>785</v>
      </c>
      <c r="B790" s="180">
        <v>39200</v>
      </c>
      <c r="C790" s="180" t="s">
        <v>1096</v>
      </c>
      <c r="D790" s="181" t="str">
        <f>IFERROR(LOOKUP(2,1/((A_Corridor!$A$5:$A$204&lt;&gt;"")*(A_Corridor!$A$5:$A$204&lt;=$B790)*(A_Corridor!$B$5:$B$204&gt;$B790)*(A_Corridor!$C$5:$C$204&lt;&gt;"")),IF(UPPER(A_Corridor!$C$5:$C$204)="Y",1,"")),"")</f>
        <v/>
      </c>
      <c r="E790" s="181" t="str">
        <f>IFERROR(LOOKUP(2,1/((A_Corridor!$A$5:$A$204&lt;&gt;"")*(A_Corridor!$A$5:$A$204&lt;=$B790)*(A_Corridor!$B$5:$B$204&gt;$B790)*(A_Corridor!$D$5:$D$204&lt;&gt;"")),IF(A_Corridor!$D$5:$D$204="-","",UPPER(A_Corridor!$D$5:$D$204))),"")</f>
        <v/>
      </c>
      <c r="F790" s="181" t="str">
        <f>IFERROR(LOOKUP(2,1/((A_Corridor!$A$5:$A$204&lt;&gt;"")*(A_Corridor!$A$5:$A$204&lt;=$B790)*(A_Corridor!$B$5:$B$204&gt;$B790)*(A_Corridor!$E$5:$E$204&lt;&gt;"")),IF(A_Corridor!$E$5:$E$204="-","",1)),"")</f>
        <v/>
      </c>
      <c r="G790" s="182" t="str">
        <f>IFERROR(LOOKUP(2,1/((A_Corridor!$A$5:$A$204&lt;&gt;"")*(A_Corridor!$A$5:$A$204&lt;=$B790)*(A_Corridor!$B$5:$B$204&gt;$B790)*(A_Corridor!$E$5:$E$204&lt;&gt;"")),IF(A_Corridor!$E$5:$E$204="-","",A_Corridor!$E$5:$E$204)),"")</f>
        <v/>
      </c>
      <c r="H790" s="182" t="str">
        <f>IFERROR(LOOKUP(2,1/((D_Points!$A$5:$A$204&lt;&gt;"")*(D_Points!$A$5:$A$204&gt;=$B790)*(D_Points!$A$5:$A$204&lt;$B790+P_Interval)*(UPPER(TRIM(D_Points!$B$5:$B$204))="GULLY")*(D_Points!$H$5:$H$204&lt;&gt;"")),D_Points!$H$5:$H$204),"")</f>
        <v/>
      </c>
      <c r="I790" s="181" t="str">
        <f>IFERROR(LOOKUP(2,1/((A_Corridor!$A$5:$A$204&lt;&gt;"")*(A_Corridor!$A$5:$A$204&lt;=$B790)*(A_Corridor!$B$5:$B$204&gt;$B790)*(A_Corridor!$F$5:$F$204&lt;&gt;"")),IF(A_Corridor!$F$5:$F$204="-","",1)),"")</f>
        <v/>
      </c>
      <c r="J790" s="182" t="str">
        <f>IFERROR(LOOKUP(2,1/((A_Corridor!$A$5:$A$204&lt;&gt;"")*(A_Corridor!$A$5:$A$204&lt;=$B790)*(A_Corridor!$B$5:$B$204&gt;$B790)*(A_Corridor!$F$5:$F$204&lt;&gt;"")),IF(A_Corridor!$F$5:$F$204="-","",A_Corridor!$F$5:$F$204)),"")</f>
        <v/>
      </c>
      <c r="K790" s="182" t="str">
        <f>IFERROR(LOOKUP(2,1/((A_Corridor!$A$5:$A$204&lt;&gt;"")*(A_Corridor!$A$5:$A$204&lt;=$B790)*(A_Corridor!$B$5:$B$204&gt;$B790)*(A_Corridor!$G$5:$G$204&lt;&gt;"")),IF(A_Corridor!$G$5:$G$204="-","",A_Corridor!$G$5:$G$204)),"")</f>
        <v/>
      </c>
      <c r="L790" s="181" t="str">
        <f>IFERROR(LOOKUP(2,1/((A_Corridor!$A$5:$A$204&lt;&gt;"")*(A_Corridor!$A$5:$A$204&lt;=$B790)*(A_Corridor!$B$5:$B$204&gt;$B790)*(A_Corridor!$H$5:$H$204&lt;&gt;"")),IF(A_Corridor!$H$5:$H$204="-","",1)),"")</f>
        <v/>
      </c>
      <c r="M790" s="182" t="str">
        <f>IFERROR(LOOKUP(2,1/((A_Corridor!$A$5:$A$204&lt;&gt;"")*(A_Corridor!$A$5:$A$204&lt;=$B790)*(A_Corridor!$B$5:$B$204&gt;$B790)*(A_Corridor!$H$5:$H$204&lt;&gt;"")),IF(A_Corridor!$H$5:$H$204="-","",A_Corridor!$H$5:$H$204)),"")</f>
        <v/>
      </c>
      <c r="N790" s="182" t="str">
        <f>IFERROR(LOOKUP(2,1/((A_Corridor!$A$5:$A$204&lt;&gt;"")*(A_Corridor!$A$5:$A$204&lt;=$B790)*(A_Corridor!$B$5:$B$204&gt;$B790)*(A_Corridor!$I$5:$I$204&lt;&gt;"")),IF(A_Corridor!$I$5:$I$204="-","",A_Corridor!$I$5:$I$204)),"")</f>
        <v/>
      </c>
      <c r="O790" s="182" t="str">
        <f>IFERROR(LOOKUP(2,1/((D_Points!$A$5:$A$204&lt;&gt;"")*(D_Points!$A$5:$A$204&gt;=$B790)*(D_Points!$A$5:$A$204&lt;$B790+P_Interval)*(UPPER(TRIM(D_Points!$B$5:$B$204))="PITCHING")*(D_Points!$H$5:$H$204&lt;&gt;"")),D_Points!$H$5:$H$204),"")</f>
        <v/>
      </c>
      <c r="P790" s="181" t="str">
        <f>IFERROR(LOOKUP(2,1/((B_Drainage!$A$5:$A$204&lt;&gt;"")*(B_Drainage!$A$5:$A$204&lt;=$B790)*(B_Drainage!$B$5:$B$204&gt;$B790)*(B_Drainage!$C$5:$C$204&lt;&gt;"")),IF(B_Drainage!$C$5:$C$204="-","",UPPER(B_Drainage!$C$5:$C$204))),"")</f>
        <v/>
      </c>
      <c r="Q790" s="181" t="str">
        <f>IFERROR(LOOKUP(2,1/((B_Drainage!$A$5:$A$204&lt;&gt;"")*(B_Drainage!$A$5:$A$204&lt;=$B790)*(B_Drainage!$B$5:$B$204&gt;$B790)*(B_Drainage!$D$5:$D$204&lt;&gt;"")),IF(B_Drainage!$D$5:$D$204="-","",UPPER(B_Drainage!$D$5:$D$204))),"")</f>
        <v/>
      </c>
      <c r="R790" s="182" t="str">
        <f>IFERROR(LOOKUP(2,1/((D_Points!$A$5:$A$204&lt;&gt;"")*(D_Points!$A$5:$A$204&gt;=$B790)*(D_Points!$A$5:$A$204&lt;$B790+P_Interval)*(RIGHT(UPPER(TRIM(D_Points!$B$5:$B$204)),8)="_CULVERT")),IF(LEFT(UPPER(TRIM(D_Points!$B$5:$B$204)),2)="EX",1,IF(LEFT(UPPER(TRIM(D_Points!$B$5:$B$204)),2)="PR",2,3))),"")</f>
        <v/>
      </c>
      <c r="S790" s="182" t="str">
        <f>IFERROR(LOOKUP(2,1/((D_Points!$A$5:$A$204&lt;&gt;"")*(D_Points!$A$5:$A$204&gt;=$B790)*(D_Points!$A$5:$A$204&lt;$B790+P_Interval)*(RIGHT(UPPER(TRIM(D_Points!$B$5:$B$204)),7)="_BRIDGE")),IF(LEFT(UPPER(TRIM(D_Points!$B$5:$B$204)),2)="EX",1,IF(LEFT(UPPER(TRIM(D_Points!$B$5:$B$204)),2)="PR",2,2))),"")</f>
        <v/>
      </c>
      <c r="T790" s="181" t="str">
        <f>IFERROR(LOOKUP(2,1/((B_Drainage!$A$5:$A$204&lt;&gt;"")*(B_Drainage!$A$5:$A$204&lt;=$B790)*(B_Drainage!$B$5:$B$204&gt;$B790)*(B_Drainage!$E$5:$E$204&lt;&gt;"")),IF(B_Drainage!$E$5:$E$204="-","",1)),"")</f>
        <v/>
      </c>
      <c r="U790" s="181" t="str">
        <f>IFERROR(LOOKUP(2,1/((B_Drainage!$A$5:$A$204&lt;&gt;"")*(B_Drainage!$A$5:$A$204&lt;=$B790)*(B_Drainage!$B$5:$B$204&gt;$B790)*(B_Drainage!$E$5:$E$204&lt;&gt;"")),IF(B_Drainage!$E$5:$E$204="-","",B_Drainage!$E$5:$E$204)),"")</f>
        <v/>
      </c>
      <c r="V790" s="181" t="str">
        <f>IFERROR(LOOKUP(2,1/((B_Drainage!$A$5:$A$204&lt;&gt;"")*(B_Drainage!$A$5:$A$204&lt;=$B790)*(B_Drainage!$B$5:$B$204&gt;$B790)*(B_Drainage!$F$5:$F$204&lt;&gt;"")),IF(B_Drainage!$F$5:$F$204="-","",1)),"")</f>
        <v/>
      </c>
      <c r="W790" s="181" t="str">
        <f>IFERROR(LOOKUP(2,1/((B_Drainage!$A$5:$A$204&lt;&gt;"")*(B_Drainage!$A$5:$A$204&lt;=$B790)*(B_Drainage!$B$5:$B$204&gt;$B790)*(B_Drainage!$F$5:$F$204&lt;&gt;"")),IF(B_Drainage!$F$5:$F$204="-","",B_Drainage!$F$5:$F$204)),"")</f>
        <v/>
      </c>
      <c r="X790" s="181" t="str">
        <f>IFERROR(LOOKUP(2,1/((B_Drainage!$A$5:$A$204&lt;&gt;"")*(B_Drainage!$A$5:$A$204&lt;=$B790)*(B_Drainage!$B$5:$B$204&gt;$B790)*(B_Drainage!$G$5:$G$204&lt;&gt;"")),IF(UPPER(B_Drainage!$G$5:$G$204)="Y",1,"")),"")</f>
        <v/>
      </c>
      <c r="Y790" s="181" t="str">
        <f>IFERROR(LOOKUP(2,1/((B_Drainage!$A$5:$A$204&lt;&gt;"")*(B_Drainage!$A$5:$A$204&lt;=$B790)*(B_Drainage!$B$5:$B$204&gt;$B790)*(B_Drainage!$H$5:$H$204&lt;&gt;"")),IF(UPPER(B_Drainage!$H$5:$H$204)="Y",1,"")),"")</f>
        <v/>
      </c>
      <c r="Z790" s="181" t="str">
        <f>IFERROR(LOOKUP(2,1/((B_Drainage!$A$5:$A$204&lt;&gt;"")*(B_Drainage!$A$5:$A$204&lt;=$B790)*(B_Drainage!$B$5:$B$204&gt;$B790)*(B_Drainage!$I$5:$I$204&lt;&gt;"")),IF(UPPER(B_Drainage!$I$5:$I$204)="Y",1,"")),"")</f>
        <v/>
      </c>
      <c r="AA790" s="181" t="str">
        <f>IFERROR(LOOKUP(2,1/((B_Drainage!$A$5:$A$204&lt;&gt;"")*(B_Drainage!$A$5:$A$204&lt;=$B790)*(B_Drainage!$B$5:$B$204&gt;$B790)*(B_Drainage!$J$5:$J$204&lt;&gt;"")),IF(UPPER(B_Drainage!$J$5:$J$204)="Y",1,"")),"")</f>
        <v/>
      </c>
      <c r="AB790" s="182" t="str">
        <f>IFERROR(LOOKUP(2,1/((B_Drainage!$A$5:$A$204&lt;&gt;"")*(B_Drainage!$A$5:$A$204&lt;=$B790)*(B_Drainage!$B$5:$B$204&gt;$B790)*(B_Drainage!$K$5:$K$204&lt;&gt;"")),IF(B_Drainage!$K$5:$K$204="-","",B_Drainage!$K$5:$K$204)),"")</f>
        <v/>
      </c>
      <c r="AC790" s="182" t="str">
        <f>IFERROR(LOOKUP(2,1/((B_Drainage!$A$5:$A$204&lt;&gt;"")*(B_Drainage!$A$5:$A$204&lt;=$B790)*(B_Drainage!$B$5:$B$204&gt;$B790)*(B_Drainage!$L$5:$L$204&lt;&gt;"")),IF(B_Drainage!$L$5:$L$204="-","",B_Drainage!$L$5:$L$204)),"")</f>
        <v/>
      </c>
      <c r="AD790" s="182" t="str">
        <f>IFERROR(LOOKUP(2,1/((D_Points!$A$5:$A$204&lt;&gt;"")*(D_Points!$A$5:$A$204&gt;=$B790)*(D_Points!$A$5:$A$204&lt;$B790+P_Interval)*(UPPER(TRIM(D_Points!$B$5:$B$204))="TURNOUT_L")*(D_Points!$H$5:$H$204&lt;&gt;"")),D_Points!$H$5:$H$204),"")</f>
        <v/>
      </c>
      <c r="AE790" s="182" t="str">
        <f>IFERROR(LOOKUP(2,1/((D_Points!$A$5:$A$204&lt;&gt;"")*(D_Points!$A$5:$A$204&gt;=$B790)*(D_Points!$A$5:$A$204&lt;$B790+P_Interval)*(UPPER(TRIM(D_Points!$B$5:$B$204))="TURNOUT_R")*(D_Points!$H$5:$H$204&lt;&gt;"")),D_Points!$H$5:$H$204),"")</f>
        <v/>
      </c>
      <c r="AF790" s="181" t="str">
        <f>IFERROR(LOOKUP(2,1/((B_Drainage!$A$5:$A$204&lt;&gt;"")*(B_Drainage!$A$5:$A$204&lt;=$B790)*(B_Drainage!$B$5:$B$204&gt;$B790)*(B_Drainage!$M$5:$M$204&lt;&gt;"")),IF(UPPER(B_Drainage!$M$5:$M$204)="Y",1,"")),"")</f>
        <v/>
      </c>
      <c r="AG790" s="181" t="str">
        <f>IFERROR(LOOKUP(2,1/((B_Drainage!$A$5:$A$204&lt;&gt;"")*(B_Drainage!$A$5:$A$204&lt;=$B790)*(B_Drainage!$B$5:$B$204&gt;$B790)*(B_Drainage!$N$5:$N$204&lt;&gt;"")),IF(UPPER(B_Drainage!$N$5:$N$204)="Y",1,"")),"")</f>
        <v/>
      </c>
      <c r="AH790" s="181" t="str">
        <f t="shared" si="96"/>
        <v/>
      </c>
      <c r="AI790" s="181" t="str">
        <f t="shared" si="97"/>
        <v/>
      </c>
      <c r="AJ790" s="181" t="str">
        <f t="shared" si="98"/>
        <v/>
      </c>
      <c r="AK790" s="181" t="str">
        <f t="shared" si="99"/>
        <v/>
      </c>
      <c r="AL790" s="181" t="str">
        <f t="shared" si="100"/>
        <v/>
      </c>
      <c r="AM790" s="181" t="str">
        <f t="shared" si="101"/>
        <v/>
      </c>
      <c r="AN790" s="181" t="str">
        <f t="shared" si="102"/>
        <v/>
      </c>
      <c r="AO790" s="192" t="str">
        <f t="shared" si="103"/>
        <v/>
      </c>
      <c r="AQ790" t="str">
        <f>IFERROR(LOOKUP(2,1/((C_Pavement!$A$5:$A$204&lt;&gt;"")*(C_Pavement!$A$5:$A$204&lt;=$B790)*(C_Pavement!$B$5:$B$204&gt;$B790)*(C_Pavement!$C$5:$C$204&lt;&gt;"")),ROW(C_Pavement!$C$5:$C$204)-4),"")</f>
        <v/>
      </c>
      <c r="AR790" t="str">
        <f>IF($AQ790="","",UPPER(TRIM(INDEX(C_Pavement!$C$5:$C$204,$AQ790))))</f>
        <v/>
      </c>
      <c r="AS790" t="str">
        <f>IF($AR790="","",IFERROR(MATCH($AR790,E_Rules!$A$5:$A$9,0),""))</f>
        <v/>
      </c>
      <c r="AT790" t="str">
        <f>IF($AQ790="","",IF(INDEX(C_Pavement!$D$5:$D$204,$AQ790)&lt;&gt;"",UPPER(TRIM(INDEX(C_Pavement!$D$5:$D$204,$AQ790))),IF($AS790="","",INDEX(E_Rules!$C$5:$C$9,$AS790))))</f>
        <v/>
      </c>
      <c r="AU790" t="str">
        <f>IF($AQ790="","",IF(INDEX(C_Pavement!$E$5:$E$204,$AQ790)&lt;&gt;"",IF(INDEX(C_Pavement!$E$5:$E$204,$AQ790)="-","",INDEX(C_Pavement!$E$5:$E$204,$AQ790)),IF($AS790="","",INDEX(E_Rules!$D$5:$D$9,$AS790))))</f>
        <v/>
      </c>
      <c r="AV790" t="str">
        <f>IF($AQ790="","",IF(INDEX(C_Pavement!$F$5:$F$204,$AQ790)&lt;&gt;"",IF(INDEX(C_Pavement!$F$5:$F$204,$AQ790)="-","",INDEX(C_Pavement!$F$5:$F$204,$AQ790)),IF($AS790="","",INDEX(E_Rules!$E$5:$E$9,$AS790))))</f>
        <v/>
      </c>
      <c r="AW790" t="str">
        <f>IF($AQ790="","",IF(INDEX(C_Pavement!$G$5:$G$204,$AQ790)&lt;&gt;"",IF(INDEX(C_Pavement!$G$5:$G$204,$AQ790)="-","",INDEX(C_Pavement!$G$5:$G$204,$AQ790)),IF($AS790="","",INDEX(E_Rules!$F$5:$F$9,$AS790))))</f>
        <v/>
      </c>
      <c r="AX790" t="str">
        <f>IF($AQ790="","",IF(INDEX(C_Pavement!$H$5:$H$204,$AQ790)&lt;&gt;"",IF(INDEX(C_Pavement!$H$5:$H$204,$AQ790)="-","",INDEX(C_Pavement!$H$5:$H$204,$AQ790)),IF($AS790="","",INDEX(E_Rules!$G$5:$G$9,$AS790))))</f>
        <v/>
      </c>
      <c r="AY790" t="str">
        <f>IF($AQ790="","",IF(INDEX(C_Pavement!$I$5:$I$204,$AQ790)&lt;&gt;"",IF(INDEX(C_Pavement!$I$5:$I$204,$AQ790)="-","",INDEX(C_Pavement!$I$5:$I$204,$AQ790)),IF($AS790="","",INDEX(E_Rules!$H$5:$H$9,$AS790))))</f>
        <v/>
      </c>
    </row>
    <row r="791" spans="1:51" ht="15.75" customHeight="1" x14ac:dyDescent="0.3">
      <c r="A791" s="189">
        <v>786</v>
      </c>
      <c r="B791" s="180">
        <v>39250</v>
      </c>
      <c r="C791" s="180" t="s">
        <v>1097</v>
      </c>
      <c r="D791" s="181" t="str">
        <f>IFERROR(LOOKUP(2,1/((A_Corridor!$A$5:$A$204&lt;&gt;"")*(A_Corridor!$A$5:$A$204&lt;=$B791)*(A_Corridor!$B$5:$B$204&gt;$B791)*(A_Corridor!$C$5:$C$204&lt;&gt;"")),IF(UPPER(A_Corridor!$C$5:$C$204)="Y",1,"")),"")</f>
        <v/>
      </c>
      <c r="E791" s="181" t="str">
        <f>IFERROR(LOOKUP(2,1/((A_Corridor!$A$5:$A$204&lt;&gt;"")*(A_Corridor!$A$5:$A$204&lt;=$B791)*(A_Corridor!$B$5:$B$204&gt;$B791)*(A_Corridor!$D$5:$D$204&lt;&gt;"")),IF(A_Corridor!$D$5:$D$204="-","",UPPER(A_Corridor!$D$5:$D$204))),"")</f>
        <v/>
      </c>
      <c r="F791" s="181" t="str">
        <f>IFERROR(LOOKUP(2,1/((A_Corridor!$A$5:$A$204&lt;&gt;"")*(A_Corridor!$A$5:$A$204&lt;=$B791)*(A_Corridor!$B$5:$B$204&gt;$B791)*(A_Corridor!$E$5:$E$204&lt;&gt;"")),IF(A_Corridor!$E$5:$E$204="-","",1)),"")</f>
        <v/>
      </c>
      <c r="G791" s="182" t="str">
        <f>IFERROR(LOOKUP(2,1/((A_Corridor!$A$5:$A$204&lt;&gt;"")*(A_Corridor!$A$5:$A$204&lt;=$B791)*(A_Corridor!$B$5:$B$204&gt;$B791)*(A_Corridor!$E$5:$E$204&lt;&gt;"")),IF(A_Corridor!$E$5:$E$204="-","",A_Corridor!$E$5:$E$204)),"")</f>
        <v/>
      </c>
      <c r="H791" s="182" t="str">
        <f>IFERROR(LOOKUP(2,1/((D_Points!$A$5:$A$204&lt;&gt;"")*(D_Points!$A$5:$A$204&gt;=$B791)*(D_Points!$A$5:$A$204&lt;$B791+P_Interval)*(UPPER(TRIM(D_Points!$B$5:$B$204))="GULLY")*(D_Points!$H$5:$H$204&lt;&gt;"")),D_Points!$H$5:$H$204),"")</f>
        <v/>
      </c>
      <c r="I791" s="181" t="str">
        <f>IFERROR(LOOKUP(2,1/((A_Corridor!$A$5:$A$204&lt;&gt;"")*(A_Corridor!$A$5:$A$204&lt;=$B791)*(A_Corridor!$B$5:$B$204&gt;$B791)*(A_Corridor!$F$5:$F$204&lt;&gt;"")),IF(A_Corridor!$F$5:$F$204="-","",1)),"")</f>
        <v/>
      </c>
      <c r="J791" s="182" t="str">
        <f>IFERROR(LOOKUP(2,1/((A_Corridor!$A$5:$A$204&lt;&gt;"")*(A_Corridor!$A$5:$A$204&lt;=$B791)*(A_Corridor!$B$5:$B$204&gt;$B791)*(A_Corridor!$F$5:$F$204&lt;&gt;"")),IF(A_Corridor!$F$5:$F$204="-","",A_Corridor!$F$5:$F$204)),"")</f>
        <v/>
      </c>
      <c r="K791" s="182" t="str">
        <f>IFERROR(LOOKUP(2,1/((A_Corridor!$A$5:$A$204&lt;&gt;"")*(A_Corridor!$A$5:$A$204&lt;=$B791)*(A_Corridor!$B$5:$B$204&gt;$B791)*(A_Corridor!$G$5:$G$204&lt;&gt;"")),IF(A_Corridor!$G$5:$G$204="-","",A_Corridor!$G$5:$G$204)),"")</f>
        <v/>
      </c>
      <c r="L791" s="181" t="str">
        <f>IFERROR(LOOKUP(2,1/((A_Corridor!$A$5:$A$204&lt;&gt;"")*(A_Corridor!$A$5:$A$204&lt;=$B791)*(A_Corridor!$B$5:$B$204&gt;$B791)*(A_Corridor!$H$5:$H$204&lt;&gt;"")),IF(A_Corridor!$H$5:$H$204="-","",1)),"")</f>
        <v/>
      </c>
      <c r="M791" s="182" t="str">
        <f>IFERROR(LOOKUP(2,1/((A_Corridor!$A$5:$A$204&lt;&gt;"")*(A_Corridor!$A$5:$A$204&lt;=$B791)*(A_Corridor!$B$5:$B$204&gt;$B791)*(A_Corridor!$H$5:$H$204&lt;&gt;"")),IF(A_Corridor!$H$5:$H$204="-","",A_Corridor!$H$5:$H$204)),"")</f>
        <v/>
      </c>
      <c r="N791" s="182" t="str">
        <f>IFERROR(LOOKUP(2,1/((A_Corridor!$A$5:$A$204&lt;&gt;"")*(A_Corridor!$A$5:$A$204&lt;=$B791)*(A_Corridor!$B$5:$B$204&gt;$B791)*(A_Corridor!$I$5:$I$204&lt;&gt;"")),IF(A_Corridor!$I$5:$I$204="-","",A_Corridor!$I$5:$I$204)),"")</f>
        <v/>
      </c>
      <c r="O791" s="182" t="str">
        <f>IFERROR(LOOKUP(2,1/((D_Points!$A$5:$A$204&lt;&gt;"")*(D_Points!$A$5:$A$204&gt;=$B791)*(D_Points!$A$5:$A$204&lt;$B791+P_Interval)*(UPPER(TRIM(D_Points!$B$5:$B$204))="PITCHING")*(D_Points!$H$5:$H$204&lt;&gt;"")),D_Points!$H$5:$H$204),"")</f>
        <v/>
      </c>
      <c r="P791" s="181" t="str">
        <f>IFERROR(LOOKUP(2,1/((B_Drainage!$A$5:$A$204&lt;&gt;"")*(B_Drainage!$A$5:$A$204&lt;=$B791)*(B_Drainage!$B$5:$B$204&gt;$B791)*(B_Drainage!$C$5:$C$204&lt;&gt;"")),IF(B_Drainage!$C$5:$C$204="-","",UPPER(B_Drainage!$C$5:$C$204))),"")</f>
        <v/>
      </c>
      <c r="Q791" s="181" t="str">
        <f>IFERROR(LOOKUP(2,1/((B_Drainage!$A$5:$A$204&lt;&gt;"")*(B_Drainage!$A$5:$A$204&lt;=$B791)*(B_Drainage!$B$5:$B$204&gt;$B791)*(B_Drainage!$D$5:$D$204&lt;&gt;"")),IF(B_Drainage!$D$5:$D$204="-","",UPPER(B_Drainage!$D$5:$D$204))),"")</f>
        <v/>
      </c>
      <c r="R791" s="182" t="str">
        <f>IFERROR(LOOKUP(2,1/((D_Points!$A$5:$A$204&lt;&gt;"")*(D_Points!$A$5:$A$204&gt;=$B791)*(D_Points!$A$5:$A$204&lt;$B791+P_Interval)*(RIGHT(UPPER(TRIM(D_Points!$B$5:$B$204)),8)="_CULVERT")),IF(LEFT(UPPER(TRIM(D_Points!$B$5:$B$204)),2)="EX",1,IF(LEFT(UPPER(TRIM(D_Points!$B$5:$B$204)),2)="PR",2,3))),"")</f>
        <v/>
      </c>
      <c r="S791" s="182" t="str">
        <f>IFERROR(LOOKUP(2,1/((D_Points!$A$5:$A$204&lt;&gt;"")*(D_Points!$A$5:$A$204&gt;=$B791)*(D_Points!$A$5:$A$204&lt;$B791+P_Interval)*(RIGHT(UPPER(TRIM(D_Points!$B$5:$B$204)),7)="_BRIDGE")),IF(LEFT(UPPER(TRIM(D_Points!$B$5:$B$204)),2)="EX",1,IF(LEFT(UPPER(TRIM(D_Points!$B$5:$B$204)),2)="PR",2,2))),"")</f>
        <v/>
      </c>
      <c r="T791" s="181" t="str">
        <f>IFERROR(LOOKUP(2,1/((B_Drainage!$A$5:$A$204&lt;&gt;"")*(B_Drainage!$A$5:$A$204&lt;=$B791)*(B_Drainage!$B$5:$B$204&gt;$B791)*(B_Drainage!$E$5:$E$204&lt;&gt;"")),IF(B_Drainage!$E$5:$E$204="-","",1)),"")</f>
        <v/>
      </c>
      <c r="U791" s="181" t="str">
        <f>IFERROR(LOOKUP(2,1/((B_Drainage!$A$5:$A$204&lt;&gt;"")*(B_Drainage!$A$5:$A$204&lt;=$B791)*(B_Drainage!$B$5:$B$204&gt;$B791)*(B_Drainage!$E$5:$E$204&lt;&gt;"")),IF(B_Drainage!$E$5:$E$204="-","",B_Drainage!$E$5:$E$204)),"")</f>
        <v/>
      </c>
      <c r="V791" s="181" t="str">
        <f>IFERROR(LOOKUP(2,1/((B_Drainage!$A$5:$A$204&lt;&gt;"")*(B_Drainage!$A$5:$A$204&lt;=$B791)*(B_Drainage!$B$5:$B$204&gt;$B791)*(B_Drainage!$F$5:$F$204&lt;&gt;"")),IF(B_Drainage!$F$5:$F$204="-","",1)),"")</f>
        <v/>
      </c>
      <c r="W791" s="181" t="str">
        <f>IFERROR(LOOKUP(2,1/((B_Drainage!$A$5:$A$204&lt;&gt;"")*(B_Drainage!$A$5:$A$204&lt;=$B791)*(B_Drainage!$B$5:$B$204&gt;$B791)*(B_Drainage!$F$5:$F$204&lt;&gt;"")),IF(B_Drainage!$F$5:$F$204="-","",B_Drainage!$F$5:$F$204)),"")</f>
        <v/>
      </c>
      <c r="X791" s="181" t="str">
        <f>IFERROR(LOOKUP(2,1/((B_Drainage!$A$5:$A$204&lt;&gt;"")*(B_Drainage!$A$5:$A$204&lt;=$B791)*(B_Drainage!$B$5:$B$204&gt;$B791)*(B_Drainage!$G$5:$G$204&lt;&gt;"")),IF(UPPER(B_Drainage!$G$5:$G$204)="Y",1,"")),"")</f>
        <v/>
      </c>
      <c r="Y791" s="181" t="str">
        <f>IFERROR(LOOKUP(2,1/((B_Drainage!$A$5:$A$204&lt;&gt;"")*(B_Drainage!$A$5:$A$204&lt;=$B791)*(B_Drainage!$B$5:$B$204&gt;$B791)*(B_Drainage!$H$5:$H$204&lt;&gt;"")),IF(UPPER(B_Drainage!$H$5:$H$204)="Y",1,"")),"")</f>
        <v/>
      </c>
      <c r="Z791" s="181" t="str">
        <f>IFERROR(LOOKUP(2,1/((B_Drainage!$A$5:$A$204&lt;&gt;"")*(B_Drainage!$A$5:$A$204&lt;=$B791)*(B_Drainage!$B$5:$B$204&gt;$B791)*(B_Drainage!$I$5:$I$204&lt;&gt;"")),IF(UPPER(B_Drainage!$I$5:$I$204)="Y",1,"")),"")</f>
        <v/>
      </c>
      <c r="AA791" s="181" t="str">
        <f>IFERROR(LOOKUP(2,1/((B_Drainage!$A$5:$A$204&lt;&gt;"")*(B_Drainage!$A$5:$A$204&lt;=$B791)*(B_Drainage!$B$5:$B$204&gt;$B791)*(B_Drainage!$J$5:$J$204&lt;&gt;"")),IF(UPPER(B_Drainage!$J$5:$J$204)="Y",1,"")),"")</f>
        <v/>
      </c>
      <c r="AB791" s="182" t="str">
        <f>IFERROR(LOOKUP(2,1/((B_Drainage!$A$5:$A$204&lt;&gt;"")*(B_Drainage!$A$5:$A$204&lt;=$B791)*(B_Drainage!$B$5:$B$204&gt;$B791)*(B_Drainage!$K$5:$K$204&lt;&gt;"")),IF(B_Drainage!$K$5:$K$204="-","",B_Drainage!$K$5:$K$204)),"")</f>
        <v/>
      </c>
      <c r="AC791" s="182" t="str">
        <f>IFERROR(LOOKUP(2,1/((B_Drainage!$A$5:$A$204&lt;&gt;"")*(B_Drainage!$A$5:$A$204&lt;=$B791)*(B_Drainage!$B$5:$B$204&gt;$B791)*(B_Drainage!$L$5:$L$204&lt;&gt;"")),IF(B_Drainage!$L$5:$L$204="-","",B_Drainage!$L$5:$L$204)),"")</f>
        <v/>
      </c>
      <c r="AD791" s="182" t="str">
        <f>IFERROR(LOOKUP(2,1/((D_Points!$A$5:$A$204&lt;&gt;"")*(D_Points!$A$5:$A$204&gt;=$B791)*(D_Points!$A$5:$A$204&lt;$B791+P_Interval)*(UPPER(TRIM(D_Points!$B$5:$B$204))="TURNOUT_L")*(D_Points!$H$5:$H$204&lt;&gt;"")),D_Points!$H$5:$H$204),"")</f>
        <v/>
      </c>
      <c r="AE791" s="182" t="str">
        <f>IFERROR(LOOKUP(2,1/((D_Points!$A$5:$A$204&lt;&gt;"")*(D_Points!$A$5:$A$204&gt;=$B791)*(D_Points!$A$5:$A$204&lt;$B791+P_Interval)*(UPPER(TRIM(D_Points!$B$5:$B$204))="TURNOUT_R")*(D_Points!$H$5:$H$204&lt;&gt;"")),D_Points!$H$5:$H$204),"")</f>
        <v/>
      </c>
      <c r="AF791" s="181" t="str">
        <f>IFERROR(LOOKUP(2,1/((B_Drainage!$A$5:$A$204&lt;&gt;"")*(B_Drainage!$A$5:$A$204&lt;=$B791)*(B_Drainage!$B$5:$B$204&gt;$B791)*(B_Drainage!$M$5:$M$204&lt;&gt;"")),IF(UPPER(B_Drainage!$M$5:$M$204)="Y",1,"")),"")</f>
        <v/>
      </c>
      <c r="AG791" s="181" t="str">
        <f>IFERROR(LOOKUP(2,1/((B_Drainage!$A$5:$A$204&lt;&gt;"")*(B_Drainage!$A$5:$A$204&lt;=$B791)*(B_Drainage!$B$5:$B$204&gt;$B791)*(B_Drainage!$N$5:$N$204&lt;&gt;"")),IF(UPPER(B_Drainage!$N$5:$N$204)="Y",1,"")),"")</f>
        <v/>
      </c>
      <c r="AH791" s="181" t="str">
        <f t="shared" si="96"/>
        <v/>
      </c>
      <c r="AI791" s="181" t="str">
        <f t="shared" si="97"/>
        <v/>
      </c>
      <c r="AJ791" s="181" t="str">
        <f t="shared" si="98"/>
        <v/>
      </c>
      <c r="AK791" s="181" t="str">
        <f t="shared" si="99"/>
        <v/>
      </c>
      <c r="AL791" s="181" t="str">
        <f t="shared" si="100"/>
        <v/>
      </c>
      <c r="AM791" s="181" t="str">
        <f t="shared" si="101"/>
        <v/>
      </c>
      <c r="AN791" s="181" t="str">
        <f t="shared" si="102"/>
        <v/>
      </c>
      <c r="AO791" s="192" t="str">
        <f t="shared" si="103"/>
        <v/>
      </c>
      <c r="AQ791" t="str">
        <f>IFERROR(LOOKUP(2,1/((C_Pavement!$A$5:$A$204&lt;&gt;"")*(C_Pavement!$A$5:$A$204&lt;=$B791)*(C_Pavement!$B$5:$B$204&gt;$B791)*(C_Pavement!$C$5:$C$204&lt;&gt;"")),ROW(C_Pavement!$C$5:$C$204)-4),"")</f>
        <v/>
      </c>
      <c r="AR791" t="str">
        <f>IF($AQ791="","",UPPER(TRIM(INDEX(C_Pavement!$C$5:$C$204,$AQ791))))</f>
        <v/>
      </c>
      <c r="AS791" t="str">
        <f>IF($AR791="","",IFERROR(MATCH($AR791,E_Rules!$A$5:$A$9,0),""))</f>
        <v/>
      </c>
      <c r="AT791" t="str">
        <f>IF($AQ791="","",IF(INDEX(C_Pavement!$D$5:$D$204,$AQ791)&lt;&gt;"",UPPER(TRIM(INDEX(C_Pavement!$D$5:$D$204,$AQ791))),IF($AS791="","",INDEX(E_Rules!$C$5:$C$9,$AS791))))</f>
        <v/>
      </c>
      <c r="AU791" t="str">
        <f>IF($AQ791="","",IF(INDEX(C_Pavement!$E$5:$E$204,$AQ791)&lt;&gt;"",IF(INDEX(C_Pavement!$E$5:$E$204,$AQ791)="-","",INDEX(C_Pavement!$E$5:$E$204,$AQ791)),IF($AS791="","",INDEX(E_Rules!$D$5:$D$9,$AS791))))</f>
        <v/>
      </c>
      <c r="AV791" t="str">
        <f>IF($AQ791="","",IF(INDEX(C_Pavement!$F$5:$F$204,$AQ791)&lt;&gt;"",IF(INDEX(C_Pavement!$F$5:$F$204,$AQ791)="-","",INDEX(C_Pavement!$F$5:$F$204,$AQ791)),IF($AS791="","",INDEX(E_Rules!$E$5:$E$9,$AS791))))</f>
        <v/>
      </c>
      <c r="AW791" t="str">
        <f>IF($AQ791="","",IF(INDEX(C_Pavement!$G$5:$G$204,$AQ791)&lt;&gt;"",IF(INDEX(C_Pavement!$G$5:$G$204,$AQ791)="-","",INDEX(C_Pavement!$G$5:$G$204,$AQ791)),IF($AS791="","",INDEX(E_Rules!$F$5:$F$9,$AS791))))</f>
        <v/>
      </c>
      <c r="AX791" t="str">
        <f>IF($AQ791="","",IF(INDEX(C_Pavement!$H$5:$H$204,$AQ791)&lt;&gt;"",IF(INDEX(C_Pavement!$H$5:$H$204,$AQ791)="-","",INDEX(C_Pavement!$H$5:$H$204,$AQ791)),IF($AS791="","",INDEX(E_Rules!$G$5:$G$9,$AS791))))</f>
        <v/>
      </c>
      <c r="AY791" t="str">
        <f>IF($AQ791="","",IF(INDEX(C_Pavement!$I$5:$I$204,$AQ791)&lt;&gt;"",IF(INDEX(C_Pavement!$I$5:$I$204,$AQ791)="-","",INDEX(C_Pavement!$I$5:$I$204,$AQ791)),IF($AS791="","",INDEX(E_Rules!$H$5:$H$9,$AS791))))</f>
        <v/>
      </c>
    </row>
    <row r="792" spans="1:51" ht="15.75" customHeight="1" x14ac:dyDescent="0.3">
      <c r="A792" s="189">
        <v>787</v>
      </c>
      <c r="B792" s="180">
        <v>39300</v>
      </c>
      <c r="C792" s="180" t="s">
        <v>1098</v>
      </c>
      <c r="D792" s="181" t="str">
        <f>IFERROR(LOOKUP(2,1/((A_Corridor!$A$5:$A$204&lt;&gt;"")*(A_Corridor!$A$5:$A$204&lt;=$B792)*(A_Corridor!$B$5:$B$204&gt;$B792)*(A_Corridor!$C$5:$C$204&lt;&gt;"")),IF(UPPER(A_Corridor!$C$5:$C$204)="Y",1,"")),"")</f>
        <v/>
      </c>
      <c r="E792" s="181" t="str">
        <f>IFERROR(LOOKUP(2,1/((A_Corridor!$A$5:$A$204&lt;&gt;"")*(A_Corridor!$A$5:$A$204&lt;=$B792)*(A_Corridor!$B$5:$B$204&gt;$B792)*(A_Corridor!$D$5:$D$204&lt;&gt;"")),IF(A_Corridor!$D$5:$D$204="-","",UPPER(A_Corridor!$D$5:$D$204))),"")</f>
        <v/>
      </c>
      <c r="F792" s="181" t="str">
        <f>IFERROR(LOOKUP(2,1/((A_Corridor!$A$5:$A$204&lt;&gt;"")*(A_Corridor!$A$5:$A$204&lt;=$B792)*(A_Corridor!$B$5:$B$204&gt;$B792)*(A_Corridor!$E$5:$E$204&lt;&gt;"")),IF(A_Corridor!$E$5:$E$204="-","",1)),"")</f>
        <v/>
      </c>
      <c r="G792" s="182" t="str">
        <f>IFERROR(LOOKUP(2,1/((A_Corridor!$A$5:$A$204&lt;&gt;"")*(A_Corridor!$A$5:$A$204&lt;=$B792)*(A_Corridor!$B$5:$B$204&gt;$B792)*(A_Corridor!$E$5:$E$204&lt;&gt;"")),IF(A_Corridor!$E$5:$E$204="-","",A_Corridor!$E$5:$E$204)),"")</f>
        <v/>
      </c>
      <c r="H792" s="182" t="str">
        <f>IFERROR(LOOKUP(2,1/((D_Points!$A$5:$A$204&lt;&gt;"")*(D_Points!$A$5:$A$204&gt;=$B792)*(D_Points!$A$5:$A$204&lt;$B792+P_Interval)*(UPPER(TRIM(D_Points!$B$5:$B$204))="GULLY")*(D_Points!$H$5:$H$204&lt;&gt;"")),D_Points!$H$5:$H$204),"")</f>
        <v/>
      </c>
      <c r="I792" s="181" t="str">
        <f>IFERROR(LOOKUP(2,1/((A_Corridor!$A$5:$A$204&lt;&gt;"")*(A_Corridor!$A$5:$A$204&lt;=$B792)*(A_Corridor!$B$5:$B$204&gt;$B792)*(A_Corridor!$F$5:$F$204&lt;&gt;"")),IF(A_Corridor!$F$5:$F$204="-","",1)),"")</f>
        <v/>
      </c>
      <c r="J792" s="182" t="str">
        <f>IFERROR(LOOKUP(2,1/((A_Corridor!$A$5:$A$204&lt;&gt;"")*(A_Corridor!$A$5:$A$204&lt;=$B792)*(A_Corridor!$B$5:$B$204&gt;$B792)*(A_Corridor!$F$5:$F$204&lt;&gt;"")),IF(A_Corridor!$F$5:$F$204="-","",A_Corridor!$F$5:$F$204)),"")</f>
        <v/>
      </c>
      <c r="K792" s="182" t="str">
        <f>IFERROR(LOOKUP(2,1/((A_Corridor!$A$5:$A$204&lt;&gt;"")*(A_Corridor!$A$5:$A$204&lt;=$B792)*(A_Corridor!$B$5:$B$204&gt;$B792)*(A_Corridor!$G$5:$G$204&lt;&gt;"")),IF(A_Corridor!$G$5:$G$204="-","",A_Corridor!$G$5:$G$204)),"")</f>
        <v/>
      </c>
      <c r="L792" s="181" t="str">
        <f>IFERROR(LOOKUP(2,1/((A_Corridor!$A$5:$A$204&lt;&gt;"")*(A_Corridor!$A$5:$A$204&lt;=$B792)*(A_Corridor!$B$5:$B$204&gt;$B792)*(A_Corridor!$H$5:$H$204&lt;&gt;"")),IF(A_Corridor!$H$5:$H$204="-","",1)),"")</f>
        <v/>
      </c>
      <c r="M792" s="182" t="str">
        <f>IFERROR(LOOKUP(2,1/((A_Corridor!$A$5:$A$204&lt;&gt;"")*(A_Corridor!$A$5:$A$204&lt;=$B792)*(A_Corridor!$B$5:$B$204&gt;$B792)*(A_Corridor!$H$5:$H$204&lt;&gt;"")),IF(A_Corridor!$H$5:$H$204="-","",A_Corridor!$H$5:$H$204)),"")</f>
        <v/>
      </c>
      <c r="N792" s="182" t="str">
        <f>IFERROR(LOOKUP(2,1/((A_Corridor!$A$5:$A$204&lt;&gt;"")*(A_Corridor!$A$5:$A$204&lt;=$B792)*(A_Corridor!$B$5:$B$204&gt;$B792)*(A_Corridor!$I$5:$I$204&lt;&gt;"")),IF(A_Corridor!$I$5:$I$204="-","",A_Corridor!$I$5:$I$204)),"")</f>
        <v/>
      </c>
      <c r="O792" s="182" t="str">
        <f>IFERROR(LOOKUP(2,1/((D_Points!$A$5:$A$204&lt;&gt;"")*(D_Points!$A$5:$A$204&gt;=$B792)*(D_Points!$A$5:$A$204&lt;$B792+P_Interval)*(UPPER(TRIM(D_Points!$B$5:$B$204))="PITCHING")*(D_Points!$H$5:$H$204&lt;&gt;"")),D_Points!$H$5:$H$204),"")</f>
        <v/>
      </c>
      <c r="P792" s="181" t="str">
        <f>IFERROR(LOOKUP(2,1/((B_Drainage!$A$5:$A$204&lt;&gt;"")*(B_Drainage!$A$5:$A$204&lt;=$B792)*(B_Drainage!$B$5:$B$204&gt;$B792)*(B_Drainage!$C$5:$C$204&lt;&gt;"")),IF(B_Drainage!$C$5:$C$204="-","",UPPER(B_Drainage!$C$5:$C$204))),"")</f>
        <v/>
      </c>
      <c r="Q792" s="181" t="str">
        <f>IFERROR(LOOKUP(2,1/((B_Drainage!$A$5:$A$204&lt;&gt;"")*(B_Drainage!$A$5:$A$204&lt;=$B792)*(B_Drainage!$B$5:$B$204&gt;$B792)*(B_Drainage!$D$5:$D$204&lt;&gt;"")),IF(B_Drainage!$D$5:$D$204="-","",UPPER(B_Drainage!$D$5:$D$204))),"")</f>
        <v/>
      </c>
      <c r="R792" s="182" t="str">
        <f>IFERROR(LOOKUP(2,1/((D_Points!$A$5:$A$204&lt;&gt;"")*(D_Points!$A$5:$A$204&gt;=$B792)*(D_Points!$A$5:$A$204&lt;$B792+P_Interval)*(RIGHT(UPPER(TRIM(D_Points!$B$5:$B$204)),8)="_CULVERT")),IF(LEFT(UPPER(TRIM(D_Points!$B$5:$B$204)),2)="EX",1,IF(LEFT(UPPER(TRIM(D_Points!$B$5:$B$204)),2)="PR",2,3))),"")</f>
        <v/>
      </c>
      <c r="S792" s="182" t="str">
        <f>IFERROR(LOOKUP(2,1/((D_Points!$A$5:$A$204&lt;&gt;"")*(D_Points!$A$5:$A$204&gt;=$B792)*(D_Points!$A$5:$A$204&lt;$B792+P_Interval)*(RIGHT(UPPER(TRIM(D_Points!$B$5:$B$204)),7)="_BRIDGE")),IF(LEFT(UPPER(TRIM(D_Points!$B$5:$B$204)),2)="EX",1,IF(LEFT(UPPER(TRIM(D_Points!$B$5:$B$204)),2)="PR",2,2))),"")</f>
        <v/>
      </c>
      <c r="T792" s="181" t="str">
        <f>IFERROR(LOOKUP(2,1/((B_Drainage!$A$5:$A$204&lt;&gt;"")*(B_Drainage!$A$5:$A$204&lt;=$B792)*(B_Drainage!$B$5:$B$204&gt;$B792)*(B_Drainage!$E$5:$E$204&lt;&gt;"")),IF(B_Drainage!$E$5:$E$204="-","",1)),"")</f>
        <v/>
      </c>
      <c r="U792" s="181" t="str">
        <f>IFERROR(LOOKUP(2,1/((B_Drainage!$A$5:$A$204&lt;&gt;"")*(B_Drainage!$A$5:$A$204&lt;=$B792)*(B_Drainage!$B$5:$B$204&gt;$B792)*(B_Drainage!$E$5:$E$204&lt;&gt;"")),IF(B_Drainage!$E$5:$E$204="-","",B_Drainage!$E$5:$E$204)),"")</f>
        <v/>
      </c>
      <c r="V792" s="181" t="str">
        <f>IFERROR(LOOKUP(2,1/((B_Drainage!$A$5:$A$204&lt;&gt;"")*(B_Drainage!$A$5:$A$204&lt;=$B792)*(B_Drainage!$B$5:$B$204&gt;$B792)*(B_Drainage!$F$5:$F$204&lt;&gt;"")),IF(B_Drainage!$F$5:$F$204="-","",1)),"")</f>
        <v/>
      </c>
      <c r="W792" s="181" t="str">
        <f>IFERROR(LOOKUP(2,1/((B_Drainage!$A$5:$A$204&lt;&gt;"")*(B_Drainage!$A$5:$A$204&lt;=$B792)*(B_Drainage!$B$5:$B$204&gt;$B792)*(B_Drainage!$F$5:$F$204&lt;&gt;"")),IF(B_Drainage!$F$5:$F$204="-","",B_Drainage!$F$5:$F$204)),"")</f>
        <v/>
      </c>
      <c r="X792" s="181" t="str">
        <f>IFERROR(LOOKUP(2,1/((B_Drainage!$A$5:$A$204&lt;&gt;"")*(B_Drainage!$A$5:$A$204&lt;=$B792)*(B_Drainage!$B$5:$B$204&gt;$B792)*(B_Drainage!$G$5:$G$204&lt;&gt;"")),IF(UPPER(B_Drainage!$G$5:$G$204)="Y",1,"")),"")</f>
        <v/>
      </c>
      <c r="Y792" s="181" t="str">
        <f>IFERROR(LOOKUP(2,1/((B_Drainage!$A$5:$A$204&lt;&gt;"")*(B_Drainage!$A$5:$A$204&lt;=$B792)*(B_Drainage!$B$5:$B$204&gt;$B792)*(B_Drainage!$H$5:$H$204&lt;&gt;"")),IF(UPPER(B_Drainage!$H$5:$H$204)="Y",1,"")),"")</f>
        <v/>
      </c>
      <c r="Z792" s="181" t="str">
        <f>IFERROR(LOOKUP(2,1/((B_Drainage!$A$5:$A$204&lt;&gt;"")*(B_Drainage!$A$5:$A$204&lt;=$B792)*(B_Drainage!$B$5:$B$204&gt;$B792)*(B_Drainage!$I$5:$I$204&lt;&gt;"")),IF(UPPER(B_Drainage!$I$5:$I$204)="Y",1,"")),"")</f>
        <v/>
      </c>
      <c r="AA792" s="181" t="str">
        <f>IFERROR(LOOKUP(2,1/((B_Drainage!$A$5:$A$204&lt;&gt;"")*(B_Drainage!$A$5:$A$204&lt;=$B792)*(B_Drainage!$B$5:$B$204&gt;$B792)*(B_Drainage!$J$5:$J$204&lt;&gt;"")),IF(UPPER(B_Drainage!$J$5:$J$204)="Y",1,"")),"")</f>
        <v/>
      </c>
      <c r="AB792" s="182" t="str">
        <f>IFERROR(LOOKUP(2,1/((B_Drainage!$A$5:$A$204&lt;&gt;"")*(B_Drainage!$A$5:$A$204&lt;=$B792)*(B_Drainage!$B$5:$B$204&gt;$B792)*(B_Drainage!$K$5:$K$204&lt;&gt;"")),IF(B_Drainage!$K$5:$K$204="-","",B_Drainage!$K$5:$K$204)),"")</f>
        <v/>
      </c>
      <c r="AC792" s="182" t="str">
        <f>IFERROR(LOOKUP(2,1/((B_Drainage!$A$5:$A$204&lt;&gt;"")*(B_Drainage!$A$5:$A$204&lt;=$B792)*(B_Drainage!$B$5:$B$204&gt;$B792)*(B_Drainage!$L$5:$L$204&lt;&gt;"")),IF(B_Drainage!$L$5:$L$204="-","",B_Drainage!$L$5:$L$204)),"")</f>
        <v/>
      </c>
      <c r="AD792" s="182" t="str">
        <f>IFERROR(LOOKUP(2,1/((D_Points!$A$5:$A$204&lt;&gt;"")*(D_Points!$A$5:$A$204&gt;=$B792)*(D_Points!$A$5:$A$204&lt;$B792+P_Interval)*(UPPER(TRIM(D_Points!$B$5:$B$204))="TURNOUT_L")*(D_Points!$H$5:$H$204&lt;&gt;"")),D_Points!$H$5:$H$204),"")</f>
        <v/>
      </c>
      <c r="AE792" s="182" t="str">
        <f>IFERROR(LOOKUP(2,1/((D_Points!$A$5:$A$204&lt;&gt;"")*(D_Points!$A$5:$A$204&gt;=$B792)*(D_Points!$A$5:$A$204&lt;$B792+P_Interval)*(UPPER(TRIM(D_Points!$B$5:$B$204))="TURNOUT_R")*(D_Points!$H$5:$H$204&lt;&gt;"")),D_Points!$H$5:$H$204),"")</f>
        <v/>
      </c>
      <c r="AF792" s="181" t="str">
        <f>IFERROR(LOOKUP(2,1/((B_Drainage!$A$5:$A$204&lt;&gt;"")*(B_Drainage!$A$5:$A$204&lt;=$B792)*(B_Drainage!$B$5:$B$204&gt;$B792)*(B_Drainage!$M$5:$M$204&lt;&gt;"")),IF(UPPER(B_Drainage!$M$5:$M$204)="Y",1,"")),"")</f>
        <v/>
      </c>
      <c r="AG792" s="181" t="str">
        <f>IFERROR(LOOKUP(2,1/((B_Drainage!$A$5:$A$204&lt;&gt;"")*(B_Drainage!$A$5:$A$204&lt;=$B792)*(B_Drainage!$B$5:$B$204&gt;$B792)*(B_Drainage!$N$5:$N$204&lt;&gt;"")),IF(UPPER(B_Drainage!$N$5:$N$204)="Y",1,"")),"")</f>
        <v/>
      </c>
      <c r="AH792" s="181" t="str">
        <f t="shared" si="96"/>
        <v/>
      </c>
      <c r="AI792" s="181" t="str">
        <f t="shared" si="97"/>
        <v/>
      </c>
      <c r="AJ792" s="181" t="str">
        <f t="shared" si="98"/>
        <v/>
      </c>
      <c r="AK792" s="181" t="str">
        <f t="shared" si="99"/>
        <v/>
      </c>
      <c r="AL792" s="181" t="str">
        <f t="shared" si="100"/>
        <v/>
      </c>
      <c r="AM792" s="181" t="str">
        <f t="shared" si="101"/>
        <v/>
      </c>
      <c r="AN792" s="181" t="str">
        <f t="shared" si="102"/>
        <v/>
      </c>
      <c r="AO792" s="192" t="str">
        <f t="shared" si="103"/>
        <v/>
      </c>
      <c r="AQ792" t="str">
        <f>IFERROR(LOOKUP(2,1/((C_Pavement!$A$5:$A$204&lt;&gt;"")*(C_Pavement!$A$5:$A$204&lt;=$B792)*(C_Pavement!$B$5:$B$204&gt;$B792)*(C_Pavement!$C$5:$C$204&lt;&gt;"")),ROW(C_Pavement!$C$5:$C$204)-4),"")</f>
        <v/>
      </c>
      <c r="AR792" t="str">
        <f>IF($AQ792="","",UPPER(TRIM(INDEX(C_Pavement!$C$5:$C$204,$AQ792))))</f>
        <v/>
      </c>
      <c r="AS792" t="str">
        <f>IF($AR792="","",IFERROR(MATCH($AR792,E_Rules!$A$5:$A$9,0),""))</f>
        <v/>
      </c>
      <c r="AT792" t="str">
        <f>IF($AQ792="","",IF(INDEX(C_Pavement!$D$5:$D$204,$AQ792)&lt;&gt;"",UPPER(TRIM(INDEX(C_Pavement!$D$5:$D$204,$AQ792))),IF($AS792="","",INDEX(E_Rules!$C$5:$C$9,$AS792))))</f>
        <v/>
      </c>
      <c r="AU792" t="str">
        <f>IF($AQ792="","",IF(INDEX(C_Pavement!$E$5:$E$204,$AQ792)&lt;&gt;"",IF(INDEX(C_Pavement!$E$5:$E$204,$AQ792)="-","",INDEX(C_Pavement!$E$5:$E$204,$AQ792)),IF($AS792="","",INDEX(E_Rules!$D$5:$D$9,$AS792))))</f>
        <v/>
      </c>
      <c r="AV792" t="str">
        <f>IF($AQ792="","",IF(INDEX(C_Pavement!$F$5:$F$204,$AQ792)&lt;&gt;"",IF(INDEX(C_Pavement!$F$5:$F$204,$AQ792)="-","",INDEX(C_Pavement!$F$5:$F$204,$AQ792)),IF($AS792="","",INDEX(E_Rules!$E$5:$E$9,$AS792))))</f>
        <v/>
      </c>
      <c r="AW792" t="str">
        <f>IF($AQ792="","",IF(INDEX(C_Pavement!$G$5:$G$204,$AQ792)&lt;&gt;"",IF(INDEX(C_Pavement!$G$5:$G$204,$AQ792)="-","",INDEX(C_Pavement!$G$5:$G$204,$AQ792)),IF($AS792="","",INDEX(E_Rules!$F$5:$F$9,$AS792))))</f>
        <v/>
      </c>
      <c r="AX792" t="str">
        <f>IF($AQ792="","",IF(INDEX(C_Pavement!$H$5:$H$204,$AQ792)&lt;&gt;"",IF(INDEX(C_Pavement!$H$5:$H$204,$AQ792)="-","",INDEX(C_Pavement!$H$5:$H$204,$AQ792)),IF($AS792="","",INDEX(E_Rules!$G$5:$G$9,$AS792))))</f>
        <v/>
      </c>
      <c r="AY792" t="str">
        <f>IF($AQ792="","",IF(INDEX(C_Pavement!$I$5:$I$204,$AQ792)&lt;&gt;"",IF(INDEX(C_Pavement!$I$5:$I$204,$AQ792)="-","",INDEX(C_Pavement!$I$5:$I$204,$AQ792)),IF($AS792="","",INDEX(E_Rules!$H$5:$H$9,$AS792))))</f>
        <v/>
      </c>
    </row>
    <row r="793" spans="1:51" ht="15.75" customHeight="1" x14ac:dyDescent="0.3">
      <c r="A793" s="189">
        <v>788</v>
      </c>
      <c r="B793" s="180">
        <v>39350</v>
      </c>
      <c r="C793" s="180" t="s">
        <v>1099</v>
      </c>
      <c r="D793" s="181" t="str">
        <f>IFERROR(LOOKUP(2,1/((A_Corridor!$A$5:$A$204&lt;&gt;"")*(A_Corridor!$A$5:$A$204&lt;=$B793)*(A_Corridor!$B$5:$B$204&gt;$B793)*(A_Corridor!$C$5:$C$204&lt;&gt;"")),IF(UPPER(A_Corridor!$C$5:$C$204)="Y",1,"")),"")</f>
        <v/>
      </c>
      <c r="E793" s="181" t="str">
        <f>IFERROR(LOOKUP(2,1/((A_Corridor!$A$5:$A$204&lt;&gt;"")*(A_Corridor!$A$5:$A$204&lt;=$B793)*(A_Corridor!$B$5:$B$204&gt;$B793)*(A_Corridor!$D$5:$D$204&lt;&gt;"")),IF(A_Corridor!$D$5:$D$204="-","",UPPER(A_Corridor!$D$5:$D$204))),"")</f>
        <v/>
      </c>
      <c r="F793" s="181" t="str">
        <f>IFERROR(LOOKUP(2,1/((A_Corridor!$A$5:$A$204&lt;&gt;"")*(A_Corridor!$A$5:$A$204&lt;=$B793)*(A_Corridor!$B$5:$B$204&gt;$B793)*(A_Corridor!$E$5:$E$204&lt;&gt;"")),IF(A_Corridor!$E$5:$E$204="-","",1)),"")</f>
        <v/>
      </c>
      <c r="G793" s="182" t="str">
        <f>IFERROR(LOOKUP(2,1/((A_Corridor!$A$5:$A$204&lt;&gt;"")*(A_Corridor!$A$5:$A$204&lt;=$B793)*(A_Corridor!$B$5:$B$204&gt;$B793)*(A_Corridor!$E$5:$E$204&lt;&gt;"")),IF(A_Corridor!$E$5:$E$204="-","",A_Corridor!$E$5:$E$204)),"")</f>
        <v/>
      </c>
      <c r="H793" s="182" t="str">
        <f>IFERROR(LOOKUP(2,1/((D_Points!$A$5:$A$204&lt;&gt;"")*(D_Points!$A$5:$A$204&gt;=$B793)*(D_Points!$A$5:$A$204&lt;$B793+P_Interval)*(UPPER(TRIM(D_Points!$B$5:$B$204))="GULLY")*(D_Points!$H$5:$H$204&lt;&gt;"")),D_Points!$H$5:$H$204),"")</f>
        <v/>
      </c>
      <c r="I793" s="181" t="str">
        <f>IFERROR(LOOKUP(2,1/((A_Corridor!$A$5:$A$204&lt;&gt;"")*(A_Corridor!$A$5:$A$204&lt;=$B793)*(A_Corridor!$B$5:$B$204&gt;$B793)*(A_Corridor!$F$5:$F$204&lt;&gt;"")),IF(A_Corridor!$F$5:$F$204="-","",1)),"")</f>
        <v/>
      </c>
      <c r="J793" s="182" t="str">
        <f>IFERROR(LOOKUP(2,1/((A_Corridor!$A$5:$A$204&lt;&gt;"")*(A_Corridor!$A$5:$A$204&lt;=$B793)*(A_Corridor!$B$5:$B$204&gt;$B793)*(A_Corridor!$F$5:$F$204&lt;&gt;"")),IF(A_Corridor!$F$5:$F$204="-","",A_Corridor!$F$5:$F$204)),"")</f>
        <v/>
      </c>
      <c r="K793" s="182" t="str">
        <f>IFERROR(LOOKUP(2,1/((A_Corridor!$A$5:$A$204&lt;&gt;"")*(A_Corridor!$A$5:$A$204&lt;=$B793)*(A_Corridor!$B$5:$B$204&gt;$B793)*(A_Corridor!$G$5:$G$204&lt;&gt;"")),IF(A_Corridor!$G$5:$G$204="-","",A_Corridor!$G$5:$G$204)),"")</f>
        <v/>
      </c>
      <c r="L793" s="181" t="str">
        <f>IFERROR(LOOKUP(2,1/((A_Corridor!$A$5:$A$204&lt;&gt;"")*(A_Corridor!$A$5:$A$204&lt;=$B793)*(A_Corridor!$B$5:$B$204&gt;$B793)*(A_Corridor!$H$5:$H$204&lt;&gt;"")),IF(A_Corridor!$H$5:$H$204="-","",1)),"")</f>
        <v/>
      </c>
      <c r="M793" s="182" t="str">
        <f>IFERROR(LOOKUP(2,1/((A_Corridor!$A$5:$A$204&lt;&gt;"")*(A_Corridor!$A$5:$A$204&lt;=$B793)*(A_Corridor!$B$5:$B$204&gt;$B793)*(A_Corridor!$H$5:$H$204&lt;&gt;"")),IF(A_Corridor!$H$5:$H$204="-","",A_Corridor!$H$5:$H$204)),"")</f>
        <v/>
      </c>
      <c r="N793" s="182" t="str">
        <f>IFERROR(LOOKUP(2,1/((A_Corridor!$A$5:$A$204&lt;&gt;"")*(A_Corridor!$A$5:$A$204&lt;=$B793)*(A_Corridor!$B$5:$B$204&gt;$B793)*(A_Corridor!$I$5:$I$204&lt;&gt;"")),IF(A_Corridor!$I$5:$I$204="-","",A_Corridor!$I$5:$I$204)),"")</f>
        <v/>
      </c>
      <c r="O793" s="182" t="str">
        <f>IFERROR(LOOKUP(2,1/((D_Points!$A$5:$A$204&lt;&gt;"")*(D_Points!$A$5:$A$204&gt;=$B793)*(D_Points!$A$5:$A$204&lt;$B793+P_Interval)*(UPPER(TRIM(D_Points!$B$5:$B$204))="PITCHING")*(D_Points!$H$5:$H$204&lt;&gt;"")),D_Points!$H$5:$H$204),"")</f>
        <v/>
      </c>
      <c r="P793" s="181" t="str">
        <f>IFERROR(LOOKUP(2,1/((B_Drainage!$A$5:$A$204&lt;&gt;"")*(B_Drainage!$A$5:$A$204&lt;=$B793)*(B_Drainage!$B$5:$B$204&gt;$B793)*(B_Drainage!$C$5:$C$204&lt;&gt;"")),IF(B_Drainage!$C$5:$C$204="-","",UPPER(B_Drainage!$C$5:$C$204))),"")</f>
        <v/>
      </c>
      <c r="Q793" s="181" t="str">
        <f>IFERROR(LOOKUP(2,1/((B_Drainage!$A$5:$A$204&lt;&gt;"")*(B_Drainage!$A$5:$A$204&lt;=$B793)*(B_Drainage!$B$5:$B$204&gt;$B793)*(B_Drainage!$D$5:$D$204&lt;&gt;"")),IF(B_Drainage!$D$5:$D$204="-","",UPPER(B_Drainage!$D$5:$D$204))),"")</f>
        <v/>
      </c>
      <c r="R793" s="182" t="str">
        <f>IFERROR(LOOKUP(2,1/((D_Points!$A$5:$A$204&lt;&gt;"")*(D_Points!$A$5:$A$204&gt;=$B793)*(D_Points!$A$5:$A$204&lt;$B793+P_Interval)*(RIGHT(UPPER(TRIM(D_Points!$B$5:$B$204)),8)="_CULVERT")),IF(LEFT(UPPER(TRIM(D_Points!$B$5:$B$204)),2)="EX",1,IF(LEFT(UPPER(TRIM(D_Points!$B$5:$B$204)),2)="PR",2,3))),"")</f>
        <v/>
      </c>
      <c r="S793" s="182" t="str">
        <f>IFERROR(LOOKUP(2,1/((D_Points!$A$5:$A$204&lt;&gt;"")*(D_Points!$A$5:$A$204&gt;=$B793)*(D_Points!$A$5:$A$204&lt;$B793+P_Interval)*(RIGHT(UPPER(TRIM(D_Points!$B$5:$B$204)),7)="_BRIDGE")),IF(LEFT(UPPER(TRIM(D_Points!$B$5:$B$204)),2)="EX",1,IF(LEFT(UPPER(TRIM(D_Points!$B$5:$B$204)),2)="PR",2,2))),"")</f>
        <v/>
      </c>
      <c r="T793" s="181" t="str">
        <f>IFERROR(LOOKUP(2,1/((B_Drainage!$A$5:$A$204&lt;&gt;"")*(B_Drainage!$A$5:$A$204&lt;=$B793)*(B_Drainage!$B$5:$B$204&gt;$B793)*(B_Drainage!$E$5:$E$204&lt;&gt;"")),IF(B_Drainage!$E$5:$E$204="-","",1)),"")</f>
        <v/>
      </c>
      <c r="U793" s="181" t="str">
        <f>IFERROR(LOOKUP(2,1/((B_Drainage!$A$5:$A$204&lt;&gt;"")*(B_Drainage!$A$5:$A$204&lt;=$B793)*(B_Drainage!$B$5:$B$204&gt;$B793)*(B_Drainage!$E$5:$E$204&lt;&gt;"")),IF(B_Drainage!$E$5:$E$204="-","",B_Drainage!$E$5:$E$204)),"")</f>
        <v/>
      </c>
      <c r="V793" s="181" t="str">
        <f>IFERROR(LOOKUP(2,1/((B_Drainage!$A$5:$A$204&lt;&gt;"")*(B_Drainage!$A$5:$A$204&lt;=$B793)*(B_Drainage!$B$5:$B$204&gt;$B793)*(B_Drainage!$F$5:$F$204&lt;&gt;"")),IF(B_Drainage!$F$5:$F$204="-","",1)),"")</f>
        <v/>
      </c>
      <c r="W793" s="181" t="str">
        <f>IFERROR(LOOKUP(2,1/((B_Drainage!$A$5:$A$204&lt;&gt;"")*(B_Drainage!$A$5:$A$204&lt;=$B793)*(B_Drainage!$B$5:$B$204&gt;$B793)*(B_Drainage!$F$5:$F$204&lt;&gt;"")),IF(B_Drainage!$F$5:$F$204="-","",B_Drainage!$F$5:$F$204)),"")</f>
        <v/>
      </c>
      <c r="X793" s="181" t="str">
        <f>IFERROR(LOOKUP(2,1/((B_Drainage!$A$5:$A$204&lt;&gt;"")*(B_Drainage!$A$5:$A$204&lt;=$B793)*(B_Drainage!$B$5:$B$204&gt;$B793)*(B_Drainage!$G$5:$G$204&lt;&gt;"")),IF(UPPER(B_Drainage!$G$5:$G$204)="Y",1,"")),"")</f>
        <v/>
      </c>
      <c r="Y793" s="181" t="str">
        <f>IFERROR(LOOKUP(2,1/((B_Drainage!$A$5:$A$204&lt;&gt;"")*(B_Drainage!$A$5:$A$204&lt;=$B793)*(B_Drainage!$B$5:$B$204&gt;$B793)*(B_Drainage!$H$5:$H$204&lt;&gt;"")),IF(UPPER(B_Drainage!$H$5:$H$204)="Y",1,"")),"")</f>
        <v/>
      </c>
      <c r="Z793" s="181" t="str">
        <f>IFERROR(LOOKUP(2,1/((B_Drainage!$A$5:$A$204&lt;&gt;"")*(B_Drainage!$A$5:$A$204&lt;=$B793)*(B_Drainage!$B$5:$B$204&gt;$B793)*(B_Drainage!$I$5:$I$204&lt;&gt;"")),IF(UPPER(B_Drainage!$I$5:$I$204)="Y",1,"")),"")</f>
        <v/>
      </c>
      <c r="AA793" s="181" t="str">
        <f>IFERROR(LOOKUP(2,1/((B_Drainage!$A$5:$A$204&lt;&gt;"")*(B_Drainage!$A$5:$A$204&lt;=$B793)*(B_Drainage!$B$5:$B$204&gt;$B793)*(B_Drainage!$J$5:$J$204&lt;&gt;"")),IF(UPPER(B_Drainage!$J$5:$J$204)="Y",1,"")),"")</f>
        <v/>
      </c>
      <c r="AB793" s="182" t="str">
        <f>IFERROR(LOOKUP(2,1/((B_Drainage!$A$5:$A$204&lt;&gt;"")*(B_Drainage!$A$5:$A$204&lt;=$B793)*(B_Drainage!$B$5:$B$204&gt;$B793)*(B_Drainage!$K$5:$K$204&lt;&gt;"")),IF(B_Drainage!$K$5:$K$204="-","",B_Drainage!$K$5:$K$204)),"")</f>
        <v/>
      </c>
      <c r="AC793" s="182" t="str">
        <f>IFERROR(LOOKUP(2,1/((B_Drainage!$A$5:$A$204&lt;&gt;"")*(B_Drainage!$A$5:$A$204&lt;=$B793)*(B_Drainage!$B$5:$B$204&gt;$B793)*(B_Drainage!$L$5:$L$204&lt;&gt;"")),IF(B_Drainage!$L$5:$L$204="-","",B_Drainage!$L$5:$L$204)),"")</f>
        <v/>
      </c>
      <c r="AD793" s="182" t="str">
        <f>IFERROR(LOOKUP(2,1/((D_Points!$A$5:$A$204&lt;&gt;"")*(D_Points!$A$5:$A$204&gt;=$B793)*(D_Points!$A$5:$A$204&lt;$B793+P_Interval)*(UPPER(TRIM(D_Points!$B$5:$B$204))="TURNOUT_L")*(D_Points!$H$5:$H$204&lt;&gt;"")),D_Points!$H$5:$H$204),"")</f>
        <v/>
      </c>
      <c r="AE793" s="182" t="str">
        <f>IFERROR(LOOKUP(2,1/((D_Points!$A$5:$A$204&lt;&gt;"")*(D_Points!$A$5:$A$204&gt;=$B793)*(D_Points!$A$5:$A$204&lt;$B793+P_Interval)*(UPPER(TRIM(D_Points!$B$5:$B$204))="TURNOUT_R")*(D_Points!$H$5:$H$204&lt;&gt;"")),D_Points!$H$5:$H$204),"")</f>
        <v/>
      </c>
      <c r="AF793" s="181" t="str">
        <f>IFERROR(LOOKUP(2,1/((B_Drainage!$A$5:$A$204&lt;&gt;"")*(B_Drainage!$A$5:$A$204&lt;=$B793)*(B_Drainage!$B$5:$B$204&gt;$B793)*(B_Drainage!$M$5:$M$204&lt;&gt;"")),IF(UPPER(B_Drainage!$M$5:$M$204)="Y",1,"")),"")</f>
        <v/>
      </c>
      <c r="AG793" s="181" t="str">
        <f>IFERROR(LOOKUP(2,1/((B_Drainage!$A$5:$A$204&lt;&gt;"")*(B_Drainage!$A$5:$A$204&lt;=$B793)*(B_Drainage!$B$5:$B$204&gt;$B793)*(B_Drainage!$N$5:$N$204&lt;&gt;"")),IF(UPPER(B_Drainage!$N$5:$N$204)="Y",1,"")),"")</f>
        <v/>
      </c>
      <c r="AH793" s="181" t="str">
        <f t="shared" si="96"/>
        <v/>
      </c>
      <c r="AI793" s="181" t="str">
        <f t="shared" si="97"/>
        <v/>
      </c>
      <c r="AJ793" s="181" t="str">
        <f t="shared" si="98"/>
        <v/>
      </c>
      <c r="AK793" s="181" t="str">
        <f t="shared" si="99"/>
        <v/>
      </c>
      <c r="AL793" s="181" t="str">
        <f t="shared" si="100"/>
        <v/>
      </c>
      <c r="AM793" s="181" t="str">
        <f t="shared" si="101"/>
        <v/>
      </c>
      <c r="AN793" s="181" t="str">
        <f t="shared" si="102"/>
        <v/>
      </c>
      <c r="AO793" s="192" t="str">
        <f t="shared" si="103"/>
        <v/>
      </c>
      <c r="AQ793" t="str">
        <f>IFERROR(LOOKUP(2,1/((C_Pavement!$A$5:$A$204&lt;&gt;"")*(C_Pavement!$A$5:$A$204&lt;=$B793)*(C_Pavement!$B$5:$B$204&gt;$B793)*(C_Pavement!$C$5:$C$204&lt;&gt;"")),ROW(C_Pavement!$C$5:$C$204)-4),"")</f>
        <v/>
      </c>
      <c r="AR793" t="str">
        <f>IF($AQ793="","",UPPER(TRIM(INDEX(C_Pavement!$C$5:$C$204,$AQ793))))</f>
        <v/>
      </c>
      <c r="AS793" t="str">
        <f>IF($AR793="","",IFERROR(MATCH($AR793,E_Rules!$A$5:$A$9,0),""))</f>
        <v/>
      </c>
      <c r="AT793" t="str">
        <f>IF($AQ793="","",IF(INDEX(C_Pavement!$D$5:$D$204,$AQ793)&lt;&gt;"",UPPER(TRIM(INDEX(C_Pavement!$D$5:$D$204,$AQ793))),IF($AS793="","",INDEX(E_Rules!$C$5:$C$9,$AS793))))</f>
        <v/>
      </c>
      <c r="AU793" t="str">
        <f>IF($AQ793="","",IF(INDEX(C_Pavement!$E$5:$E$204,$AQ793)&lt;&gt;"",IF(INDEX(C_Pavement!$E$5:$E$204,$AQ793)="-","",INDEX(C_Pavement!$E$5:$E$204,$AQ793)),IF($AS793="","",INDEX(E_Rules!$D$5:$D$9,$AS793))))</f>
        <v/>
      </c>
      <c r="AV793" t="str">
        <f>IF($AQ793="","",IF(INDEX(C_Pavement!$F$5:$F$204,$AQ793)&lt;&gt;"",IF(INDEX(C_Pavement!$F$5:$F$204,$AQ793)="-","",INDEX(C_Pavement!$F$5:$F$204,$AQ793)),IF($AS793="","",INDEX(E_Rules!$E$5:$E$9,$AS793))))</f>
        <v/>
      </c>
      <c r="AW793" t="str">
        <f>IF($AQ793="","",IF(INDEX(C_Pavement!$G$5:$G$204,$AQ793)&lt;&gt;"",IF(INDEX(C_Pavement!$G$5:$G$204,$AQ793)="-","",INDEX(C_Pavement!$G$5:$G$204,$AQ793)),IF($AS793="","",INDEX(E_Rules!$F$5:$F$9,$AS793))))</f>
        <v/>
      </c>
      <c r="AX793" t="str">
        <f>IF($AQ793="","",IF(INDEX(C_Pavement!$H$5:$H$204,$AQ793)&lt;&gt;"",IF(INDEX(C_Pavement!$H$5:$H$204,$AQ793)="-","",INDEX(C_Pavement!$H$5:$H$204,$AQ793)),IF($AS793="","",INDEX(E_Rules!$G$5:$G$9,$AS793))))</f>
        <v/>
      </c>
      <c r="AY793" t="str">
        <f>IF($AQ793="","",IF(INDEX(C_Pavement!$I$5:$I$204,$AQ793)&lt;&gt;"",IF(INDEX(C_Pavement!$I$5:$I$204,$AQ793)="-","",INDEX(C_Pavement!$I$5:$I$204,$AQ793)),IF($AS793="","",INDEX(E_Rules!$H$5:$H$9,$AS793))))</f>
        <v/>
      </c>
    </row>
    <row r="794" spans="1:51" ht="15.75" customHeight="1" x14ac:dyDescent="0.3">
      <c r="A794" s="189">
        <v>789</v>
      </c>
      <c r="B794" s="180">
        <v>39400</v>
      </c>
      <c r="C794" s="180" t="s">
        <v>1100</v>
      </c>
      <c r="D794" s="181" t="str">
        <f>IFERROR(LOOKUP(2,1/((A_Corridor!$A$5:$A$204&lt;&gt;"")*(A_Corridor!$A$5:$A$204&lt;=$B794)*(A_Corridor!$B$5:$B$204&gt;$B794)*(A_Corridor!$C$5:$C$204&lt;&gt;"")),IF(UPPER(A_Corridor!$C$5:$C$204)="Y",1,"")),"")</f>
        <v/>
      </c>
      <c r="E794" s="181" t="str">
        <f>IFERROR(LOOKUP(2,1/((A_Corridor!$A$5:$A$204&lt;&gt;"")*(A_Corridor!$A$5:$A$204&lt;=$B794)*(A_Corridor!$B$5:$B$204&gt;$B794)*(A_Corridor!$D$5:$D$204&lt;&gt;"")),IF(A_Corridor!$D$5:$D$204="-","",UPPER(A_Corridor!$D$5:$D$204))),"")</f>
        <v/>
      </c>
      <c r="F794" s="181" t="str">
        <f>IFERROR(LOOKUP(2,1/((A_Corridor!$A$5:$A$204&lt;&gt;"")*(A_Corridor!$A$5:$A$204&lt;=$B794)*(A_Corridor!$B$5:$B$204&gt;$B794)*(A_Corridor!$E$5:$E$204&lt;&gt;"")),IF(A_Corridor!$E$5:$E$204="-","",1)),"")</f>
        <v/>
      </c>
      <c r="G794" s="182" t="str">
        <f>IFERROR(LOOKUP(2,1/((A_Corridor!$A$5:$A$204&lt;&gt;"")*(A_Corridor!$A$5:$A$204&lt;=$B794)*(A_Corridor!$B$5:$B$204&gt;$B794)*(A_Corridor!$E$5:$E$204&lt;&gt;"")),IF(A_Corridor!$E$5:$E$204="-","",A_Corridor!$E$5:$E$204)),"")</f>
        <v/>
      </c>
      <c r="H794" s="182" t="str">
        <f>IFERROR(LOOKUP(2,1/((D_Points!$A$5:$A$204&lt;&gt;"")*(D_Points!$A$5:$A$204&gt;=$B794)*(D_Points!$A$5:$A$204&lt;$B794+P_Interval)*(UPPER(TRIM(D_Points!$B$5:$B$204))="GULLY")*(D_Points!$H$5:$H$204&lt;&gt;"")),D_Points!$H$5:$H$204),"")</f>
        <v/>
      </c>
      <c r="I794" s="181" t="str">
        <f>IFERROR(LOOKUP(2,1/((A_Corridor!$A$5:$A$204&lt;&gt;"")*(A_Corridor!$A$5:$A$204&lt;=$B794)*(A_Corridor!$B$5:$B$204&gt;$B794)*(A_Corridor!$F$5:$F$204&lt;&gt;"")),IF(A_Corridor!$F$5:$F$204="-","",1)),"")</f>
        <v/>
      </c>
      <c r="J794" s="182" t="str">
        <f>IFERROR(LOOKUP(2,1/((A_Corridor!$A$5:$A$204&lt;&gt;"")*(A_Corridor!$A$5:$A$204&lt;=$B794)*(A_Corridor!$B$5:$B$204&gt;$B794)*(A_Corridor!$F$5:$F$204&lt;&gt;"")),IF(A_Corridor!$F$5:$F$204="-","",A_Corridor!$F$5:$F$204)),"")</f>
        <v/>
      </c>
      <c r="K794" s="182" t="str">
        <f>IFERROR(LOOKUP(2,1/((A_Corridor!$A$5:$A$204&lt;&gt;"")*(A_Corridor!$A$5:$A$204&lt;=$B794)*(A_Corridor!$B$5:$B$204&gt;$B794)*(A_Corridor!$G$5:$G$204&lt;&gt;"")),IF(A_Corridor!$G$5:$G$204="-","",A_Corridor!$G$5:$G$204)),"")</f>
        <v/>
      </c>
      <c r="L794" s="181" t="str">
        <f>IFERROR(LOOKUP(2,1/((A_Corridor!$A$5:$A$204&lt;&gt;"")*(A_Corridor!$A$5:$A$204&lt;=$B794)*(A_Corridor!$B$5:$B$204&gt;$B794)*(A_Corridor!$H$5:$H$204&lt;&gt;"")),IF(A_Corridor!$H$5:$H$204="-","",1)),"")</f>
        <v/>
      </c>
      <c r="M794" s="182" t="str">
        <f>IFERROR(LOOKUP(2,1/((A_Corridor!$A$5:$A$204&lt;&gt;"")*(A_Corridor!$A$5:$A$204&lt;=$B794)*(A_Corridor!$B$5:$B$204&gt;$B794)*(A_Corridor!$H$5:$H$204&lt;&gt;"")),IF(A_Corridor!$H$5:$H$204="-","",A_Corridor!$H$5:$H$204)),"")</f>
        <v/>
      </c>
      <c r="N794" s="182" t="str">
        <f>IFERROR(LOOKUP(2,1/((A_Corridor!$A$5:$A$204&lt;&gt;"")*(A_Corridor!$A$5:$A$204&lt;=$B794)*(A_Corridor!$B$5:$B$204&gt;$B794)*(A_Corridor!$I$5:$I$204&lt;&gt;"")),IF(A_Corridor!$I$5:$I$204="-","",A_Corridor!$I$5:$I$204)),"")</f>
        <v/>
      </c>
      <c r="O794" s="182" t="str">
        <f>IFERROR(LOOKUP(2,1/((D_Points!$A$5:$A$204&lt;&gt;"")*(D_Points!$A$5:$A$204&gt;=$B794)*(D_Points!$A$5:$A$204&lt;$B794+P_Interval)*(UPPER(TRIM(D_Points!$B$5:$B$204))="PITCHING")*(D_Points!$H$5:$H$204&lt;&gt;"")),D_Points!$H$5:$H$204),"")</f>
        <v/>
      </c>
      <c r="P794" s="181" t="str">
        <f>IFERROR(LOOKUP(2,1/((B_Drainage!$A$5:$A$204&lt;&gt;"")*(B_Drainage!$A$5:$A$204&lt;=$B794)*(B_Drainage!$B$5:$B$204&gt;$B794)*(B_Drainage!$C$5:$C$204&lt;&gt;"")),IF(B_Drainage!$C$5:$C$204="-","",UPPER(B_Drainage!$C$5:$C$204))),"")</f>
        <v/>
      </c>
      <c r="Q794" s="181" t="str">
        <f>IFERROR(LOOKUP(2,1/((B_Drainage!$A$5:$A$204&lt;&gt;"")*(B_Drainage!$A$5:$A$204&lt;=$B794)*(B_Drainage!$B$5:$B$204&gt;$B794)*(B_Drainage!$D$5:$D$204&lt;&gt;"")),IF(B_Drainage!$D$5:$D$204="-","",UPPER(B_Drainage!$D$5:$D$204))),"")</f>
        <v/>
      </c>
      <c r="R794" s="182" t="str">
        <f>IFERROR(LOOKUP(2,1/((D_Points!$A$5:$A$204&lt;&gt;"")*(D_Points!$A$5:$A$204&gt;=$B794)*(D_Points!$A$5:$A$204&lt;$B794+P_Interval)*(RIGHT(UPPER(TRIM(D_Points!$B$5:$B$204)),8)="_CULVERT")),IF(LEFT(UPPER(TRIM(D_Points!$B$5:$B$204)),2)="EX",1,IF(LEFT(UPPER(TRIM(D_Points!$B$5:$B$204)),2)="PR",2,3))),"")</f>
        <v/>
      </c>
      <c r="S794" s="182" t="str">
        <f>IFERROR(LOOKUP(2,1/((D_Points!$A$5:$A$204&lt;&gt;"")*(D_Points!$A$5:$A$204&gt;=$B794)*(D_Points!$A$5:$A$204&lt;$B794+P_Interval)*(RIGHT(UPPER(TRIM(D_Points!$B$5:$B$204)),7)="_BRIDGE")),IF(LEFT(UPPER(TRIM(D_Points!$B$5:$B$204)),2)="EX",1,IF(LEFT(UPPER(TRIM(D_Points!$B$5:$B$204)),2)="PR",2,2))),"")</f>
        <v/>
      </c>
      <c r="T794" s="181" t="str">
        <f>IFERROR(LOOKUP(2,1/((B_Drainage!$A$5:$A$204&lt;&gt;"")*(B_Drainage!$A$5:$A$204&lt;=$B794)*(B_Drainage!$B$5:$B$204&gt;$B794)*(B_Drainage!$E$5:$E$204&lt;&gt;"")),IF(B_Drainage!$E$5:$E$204="-","",1)),"")</f>
        <v/>
      </c>
      <c r="U794" s="181" t="str">
        <f>IFERROR(LOOKUP(2,1/((B_Drainage!$A$5:$A$204&lt;&gt;"")*(B_Drainage!$A$5:$A$204&lt;=$B794)*(B_Drainage!$B$5:$B$204&gt;$B794)*(B_Drainage!$E$5:$E$204&lt;&gt;"")),IF(B_Drainage!$E$5:$E$204="-","",B_Drainage!$E$5:$E$204)),"")</f>
        <v/>
      </c>
      <c r="V794" s="181" t="str">
        <f>IFERROR(LOOKUP(2,1/((B_Drainage!$A$5:$A$204&lt;&gt;"")*(B_Drainage!$A$5:$A$204&lt;=$B794)*(B_Drainage!$B$5:$B$204&gt;$B794)*(B_Drainage!$F$5:$F$204&lt;&gt;"")),IF(B_Drainage!$F$5:$F$204="-","",1)),"")</f>
        <v/>
      </c>
      <c r="W794" s="181" t="str">
        <f>IFERROR(LOOKUP(2,1/((B_Drainage!$A$5:$A$204&lt;&gt;"")*(B_Drainage!$A$5:$A$204&lt;=$B794)*(B_Drainage!$B$5:$B$204&gt;$B794)*(B_Drainage!$F$5:$F$204&lt;&gt;"")),IF(B_Drainage!$F$5:$F$204="-","",B_Drainage!$F$5:$F$204)),"")</f>
        <v/>
      </c>
      <c r="X794" s="181" t="str">
        <f>IFERROR(LOOKUP(2,1/((B_Drainage!$A$5:$A$204&lt;&gt;"")*(B_Drainage!$A$5:$A$204&lt;=$B794)*(B_Drainage!$B$5:$B$204&gt;$B794)*(B_Drainage!$G$5:$G$204&lt;&gt;"")),IF(UPPER(B_Drainage!$G$5:$G$204)="Y",1,"")),"")</f>
        <v/>
      </c>
      <c r="Y794" s="181" t="str">
        <f>IFERROR(LOOKUP(2,1/((B_Drainage!$A$5:$A$204&lt;&gt;"")*(B_Drainage!$A$5:$A$204&lt;=$B794)*(B_Drainage!$B$5:$B$204&gt;$B794)*(B_Drainage!$H$5:$H$204&lt;&gt;"")),IF(UPPER(B_Drainage!$H$5:$H$204)="Y",1,"")),"")</f>
        <v/>
      </c>
      <c r="Z794" s="181" t="str">
        <f>IFERROR(LOOKUP(2,1/((B_Drainage!$A$5:$A$204&lt;&gt;"")*(B_Drainage!$A$5:$A$204&lt;=$B794)*(B_Drainage!$B$5:$B$204&gt;$B794)*(B_Drainage!$I$5:$I$204&lt;&gt;"")),IF(UPPER(B_Drainage!$I$5:$I$204)="Y",1,"")),"")</f>
        <v/>
      </c>
      <c r="AA794" s="181" t="str">
        <f>IFERROR(LOOKUP(2,1/((B_Drainage!$A$5:$A$204&lt;&gt;"")*(B_Drainage!$A$5:$A$204&lt;=$B794)*(B_Drainage!$B$5:$B$204&gt;$B794)*(B_Drainage!$J$5:$J$204&lt;&gt;"")),IF(UPPER(B_Drainage!$J$5:$J$204)="Y",1,"")),"")</f>
        <v/>
      </c>
      <c r="AB794" s="182" t="str">
        <f>IFERROR(LOOKUP(2,1/((B_Drainage!$A$5:$A$204&lt;&gt;"")*(B_Drainage!$A$5:$A$204&lt;=$B794)*(B_Drainage!$B$5:$B$204&gt;$B794)*(B_Drainage!$K$5:$K$204&lt;&gt;"")),IF(B_Drainage!$K$5:$K$204="-","",B_Drainage!$K$5:$K$204)),"")</f>
        <v/>
      </c>
      <c r="AC794" s="182" t="str">
        <f>IFERROR(LOOKUP(2,1/((B_Drainage!$A$5:$A$204&lt;&gt;"")*(B_Drainage!$A$5:$A$204&lt;=$B794)*(B_Drainage!$B$5:$B$204&gt;$B794)*(B_Drainage!$L$5:$L$204&lt;&gt;"")),IF(B_Drainage!$L$5:$L$204="-","",B_Drainage!$L$5:$L$204)),"")</f>
        <v/>
      </c>
      <c r="AD794" s="182" t="str">
        <f>IFERROR(LOOKUP(2,1/((D_Points!$A$5:$A$204&lt;&gt;"")*(D_Points!$A$5:$A$204&gt;=$B794)*(D_Points!$A$5:$A$204&lt;$B794+P_Interval)*(UPPER(TRIM(D_Points!$B$5:$B$204))="TURNOUT_L")*(D_Points!$H$5:$H$204&lt;&gt;"")),D_Points!$H$5:$H$204),"")</f>
        <v/>
      </c>
      <c r="AE794" s="182" t="str">
        <f>IFERROR(LOOKUP(2,1/((D_Points!$A$5:$A$204&lt;&gt;"")*(D_Points!$A$5:$A$204&gt;=$B794)*(D_Points!$A$5:$A$204&lt;$B794+P_Interval)*(UPPER(TRIM(D_Points!$B$5:$B$204))="TURNOUT_R")*(D_Points!$H$5:$H$204&lt;&gt;"")),D_Points!$H$5:$H$204),"")</f>
        <v/>
      </c>
      <c r="AF794" s="181" t="str">
        <f>IFERROR(LOOKUP(2,1/((B_Drainage!$A$5:$A$204&lt;&gt;"")*(B_Drainage!$A$5:$A$204&lt;=$B794)*(B_Drainage!$B$5:$B$204&gt;$B794)*(B_Drainage!$M$5:$M$204&lt;&gt;"")),IF(UPPER(B_Drainage!$M$5:$M$204)="Y",1,"")),"")</f>
        <v/>
      </c>
      <c r="AG794" s="181" t="str">
        <f>IFERROR(LOOKUP(2,1/((B_Drainage!$A$5:$A$204&lt;&gt;"")*(B_Drainage!$A$5:$A$204&lt;=$B794)*(B_Drainage!$B$5:$B$204&gt;$B794)*(B_Drainage!$N$5:$N$204&lt;&gt;"")),IF(UPPER(B_Drainage!$N$5:$N$204)="Y",1,"")),"")</f>
        <v/>
      </c>
      <c r="AH794" s="181" t="str">
        <f t="shared" si="96"/>
        <v/>
      </c>
      <c r="AI794" s="181" t="str">
        <f t="shared" si="97"/>
        <v/>
      </c>
      <c r="AJ794" s="181" t="str">
        <f t="shared" si="98"/>
        <v/>
      </c>
      <c r="AK794" s="181" t="str">
        <f t="shared" si="99"/>
        <v/>
      </c>
      <c r="AL794" s="181" t="str">
        <f t="shared" si="100"/>
        <v/>
      </c>
      <c r="AM794" s="181" t="str">
        <f t="shared" si="101"/>
        <v/>
      </c>
      <c r="AN794" s="181" t="str">
        <f t="shared" si="102"/>
        <v/>
      </c>
      <c r="AO794" s="192" t="str">
        <f t="shared" si="103"/>
        <v/>
      </c>
      <c r="AQ794" t="str">
        <f>IFERROR(LOOKUP(2,1/((C_Pavement!$A$5:$A$204&lt;&gt;"")*(C_Pavement!$A$5:$A$204&lt;=$B794)*(C_Pavement!$B$5:$B$204&gt;$B794)*(C_Pavement!$C$5:$C$204&lt;&gt;"")),ROW(C_Pavement!$C$5:$C$204)-4),"")</f>
        <v/>
      </c>
      <c r="AR794" t="str">
        <f>IF($AQ794="","",UPPER(TRIM(INDEX(C_Pavement!$C$5:$C$204,$AQ794))))</f>
        <v/>
      </c>
      <c r="AS794" t="str">
        <f>IF($AR794="","",IFERROR(MATCH($AR794,E_Rules!$A$5:$A$9,0),""))</f>
        <v/>
      </c>
      <c r="AT794" t="str">
        <f>IF($AQ794="","",IF(INDEX(C_Pavement!$D$5:$D$204,$AQ794)&lt;&gt;"",UPPER(TRIM(INDEX(C_Pavement!$D$5:$D$204,$AQ794))),IF($AS794="","",INDEX(E_Rules!$C$5:$C$9,$AS794))))</f>
        <v/>
      </c>
      <c r="AU794" t="str">
        <f>IF($AQ794="","",IF(INDEX(C_Pavement!$E$5:$E$204,$AQ794)&lt;&gt;"",IF(INDEX(C_Pavement!$E$5:$E$204,$AQ794)="-","",INDEX(C_Pavement!$E$5:$E$204,$AQ794)),IF($AS794="","",INDEX(E_Rules!$D$5:$D$9,$AS794))))</f>
        <v/>
      </c>
      <c r="AV794" t="str">
        <f>IF($AQ794="","",IF(INDEX(C_Pavement!$F$5:$F$204,$AQ794)&lt;&gt;"",IF(INDEX(C_Pavement!$F$5:$F$204,$AQ794)="-","",INDEX(C_Pavement!$F$5:$F$204,$AQ794)),IF($AS794="","",INDEX(E_Rules!$E$5:$E$9,$AS794))))</f>
        <v/>
      </c>
      <c r="AW794" t="str">
        <f>IF($AQ794="","",IF(INDEX(C_Pavement!$G$5:$G$204,$AQ794)&lt;&gt;"",IF(INDEX(C_Pavement!$G$5:$G$204,$AQ794)="-","",INDEX(C_Pavement!$G$5:$G$204,$AQ794)),IF($AS794="","",INDEX(E_Rules!$F$5:$F$9,$AS794))))</f>
        <v/>
      </c>
      <c r="AX794" t="str">
        <f>IF($AQ794="","",IF(INDEX(C_Pavement!$H$5:$H$204,$AQ794)&lt;&gt;"",IF(INDEX(C_Pavement!$H$5:$H$204,$AQ794)="-","",INDEX(C_Pavement!$H$5:$H$204,$AQ794)),IF($AS794="","",INDEX(E_Rules!$G$5:$G$9,$AS794))))</f>
        <v/>
      </c>
      <c r="AY794" t="str">
        <f>IF($AQ794="","",IF(INDEX(C_Pavement!$I$5:$I$204,$AQ794)&lt;&gt;"",IF(INDEX(C_Pavement!$I$5:$I$204,$AQ794)="-","",INDEX(C_Pavement!$I$5:$I$204,$AQ794)),IF($AS794="","",INDEX(E_Rules!$H$5:$H$9,$AS794))))</f>
        <v/>
      </c>
    </row>
    <row r="795" spans="1:51" ht="15.75" customHeight="1" x14ac:dyDescent="0.3">
      <c r="A795" s="189">
        <v>790</v>
      </c>
      <c r="B795" s="180">
        <v>39450</v>
      </c>
      <c r="C795" s="180" t="s">
        <v>1101</v>
      </c>
      <c r="D795" s="181" t="str">
        <f>IFERROR(LOOKUP(2,1/((A_Corridor!$A$5:$A$204&lt;&gt;"")*(A_Corridor!$A$5:$A$204&lt;=$B795)*(A_Corridor!$B$5:$B$204&gt;$B795)*(A_Corridor!$C$5:$C$204&lt;&gt;"")),IF(UPPER(A_Corridor!$C$5:$C$204)="Y",1,"")),"")</f>
        <v/>
      </c>
      <c r="E795" s="181" t="str">
        <f>IFERROR(LOOKUP(2,1/((A_Corridor!$A$5:$A$204&lt;&gt;"")*(A_Corridor!$A$5:$A$204&lt;=$B795)*(A_Corridor!$B$5:$B$204&gt;$B795)*(A_Corridor!$D$5:$D$204&lt;&gt;"")),IF(A_Corridor!$D$5:$D$204="-","",UPPER(A_Corridor!$D$5:$D$204))),"")</f>
        <v/>
      </c>
      <c r="F795" s="181" t="str">
        <f>IFERROR(LOOKUP(2,1/((A_Corridor!$A$5:$A$204&lt;&gt;"")*(A_Corridor!$A$5:$A$204&lt;=$B795)*(A_Corridor!$B$5:$B$204&gt;$B795)*(A_Corridor!$E$5:$E$204&lt;&gt;"")),IF(A_Corridor!$E$5:$E$204="-","",1)),"")</f>
        <v/>
      </c>
      <c r="G795" s="182" t="str">
        <f>IFERROR(LOOKUP(2,1/((A_Corridor!$A$5:$A$204&lt;&gt;"")*(A_Corridor!$A$5:$A$204&lt;=$B795)*(A_Corridor!$B$5:$B$204&gt;$B795)*(A_Corridor!$E$5:$E$204&lt;&gt;"")),IF(A_Corridor!$E$5:$E$204="-","",A_Corridor!$E$5:$E$204)),"")</f>
        <v/>
      </c>
      <c r="H795" s="182" t="str">
        <f>IFERROR(LOOKUP(2,1/((D_Points!$A$5:$A$204&lt;&gt;"")*(D_Points!$A$5:$A$204&gt;=$B795)*(D_Points!$A$5:$A$204&lt;$B795+P_Interval)*(UPPER(TRIM(D_Points!$B$5:$B$204))="GULLY")*(D_Points!$H$5:$H$204&lt;&gt;"")),D_Points!$H$5:$H$204),"")</f>
        <v/>
      </c>
      <c r="I795" s="181" t="str">
        <f>IFERROR(LOOKUP(2,1/((A_Corridor!$A$5:$A$204&lt;&gt;"")*(A_Corridor!$A$5:$A$204&lt;=$B795)*(A_Corridor!$B$5:$B$204&gt;$B795)*(A_Corridor!$F$5:$F$204&lt;&gt;"")),IF(A_Corridor!$F$5:$F$204="-","",1)),"")</f>
        <v/>
      </c>
      <c r="J795" s="182" t="str">
        <f>IFERROR(LOOKUP(2,1/((A_Corridor!$A$5:$A$204&lt;&gt;"")*(A_Corridor!$A$5:$A$204&lt;=$B795)*(A_Corridor!$B$5:$B$204&gt;$B795)*(A_Corridor!$F$5:$F$204&lt;&gt;"")),IF(A_Corridor!$F$5:$F$204="-","",A_Corridor!$F$5:$F$204)),"")</f>
        <v/>
      </c>
      <c r="K795" s="182" t="str">
        <f>IFERROR(LOOKUP(2,1/((A_Corridor!$A$5:$A$204&lt;&gt;"")*(A_Corridor!$A$5:$A$204&lt;=$B795)*(A_Corridor!$B$5:$B$204&gt;$B795)*(A_Corridor!$G$5:$G$204&lt;&gt;"")),IF(A_Corridor!$G$5:$G$204="-","",A_Corridor!$G$5:$G$204)),"")</f>
        <v/>
      </c>
      <c r="L795" s="181" t="str">
        <f>IFERROR(LOOKUP(2,1/((A_Corridor!$A$5:$A$204&lt;&gt;"")*(A_Corridor!$A$5:$A$204&lt;=$B795)*(A_Corridor!$B$5:$B$204&gt;$B795)*(A_Corridor!$H$5:$H$204&lt;&gt;"")),IF(A_Corridor!$H$5:$H$204="-","",1)),"")</f>
        <v/>
      </c>
      <c r="M795" s="182" t="str">
        <f>IFERROR(LOOKUP(2,1/((A_Corridor!$A$5:$A$204&lt;&gt;"")*(A_Corridor!$A$5:$A$204&lt;=$B795)*(A_Corridor!$B$5:$B$204&gt;$B795)*(A_Corridor!$H$5:$H$204&lt;&gt;"")),IF(A_Corridor!$H$5:$H$204="-","",A_Corridor!$H$5:$H$204)),"")</f>
        <v/>
      </c>
      <c r="N795" s="182" t="str">
        <f>IFERROR(LOOKUP(2,1/((A_Corridor!$A$5:$A$204&lt;&gt;"")*(A_Corridor!$A$5:$A$204&lt;=$B795)*(A_Corridor!$B$5:$B$204&gt;$B795)*(A_Corridor!$I$5:$I$204&lt;&gt;"")),IF(A_Corridor!$I$5:$I$204="-","",A_Corridor!$I$5:$I$204)),"")</f>
        <v/>
      </c>
      <c r="O795" s="182" t="str">
        <f>IFERROR(LOOKUP(2,1/((D_Points!$A$5:$A$204&lt;&gt;"")*(D_Points!$A$5:$A$204&gt;=$B795)*(D_Points!$A$5:$A$204&lt;$B795+P_Interval)*(UPPER(TRIM(D_Points!$B$5:$B$204))="PITCHING")*(D_Points!$H$5:$H$204&lt;&gt;"")),D_Points!$H$5:$H$204),"")</f>
        <v/>
      </c>
      <c r="P795" s="181" t="str">
        <f>IFERROR(LOOKUP(2,1/((B_Drainage!$A$5:$A$204&lt;&gt;"")*(B_Drainage!$A$5:$A$204&lt;=$B795)*(B_Drainage!$B$5:$B$204&gt;$B795)*(B_Drainage!$C$5:$C$204&lt;&gt;"")),IF(B_Drainage!$C$5:$C$204="-","",UPPER(B_Drainage!$C$5:$C$204))),"")</f>
        <v/>
      </c>
      <c r="Q795" s="181" t="str">
        <f>IFERROR(LOOKUP(2,1/((B_Drainage!$A$5:$A$204&lt;&gt;"")*(B_Drainage!$A$5:$A$204&lt;=$B795)*(B_Drainage!$B$5:$B$204&gt;$B795)*(B_Drainage!$D$5:$D$204&lt;&gt;"")),IF(B_Drainage!$D$5:$D$204="-","",UPPER(B_Drainage!$D$5:$D$204))),"")</f>
        <v/>
      </c>
      <c r="R795" s="182" t="str">
        <f>IFERROR(LOOKUP(2,1/((D_Points!$A$5:$A$204&lt;&gt;"")*(D_Points!$A$5:$A$204&gt;=$B795)*(D_Points!$A$5:$A$204&lt;$B795+P_Interval)*(RIGHT(UPPER(TRIM(D_Points!$B$5:$B$204)),8)="_CULVERT")),IF(LEFT(UPPER(TRIM(D_Points!$B$5:$B$204)),2)="EX",1,IF(LEFT(UPPER(TRIM(D_Points!$B$5:$B$204)),2)="PR",2,3))),"")</f>
        <v/>
      </c>
      <c r="S795" s="182" t="str">
        <f>IFERROR(LOOKUP(2,1/((D_Points!$A$5:$A$204&lt;&gt;"")*(D_Points!$A$5:$A$204&gt;=$B795)*(D_Points!$A$5:$A$204&lt;$B795+P_Interval)*(RIGHT(UPPER(TRIM(D_Points!$B$5:$B$204)),7)="_BRIDGE")),IF(LEFT(UPPER(TRIM(D_Points!$B$5:$B$204)),2)="EX",1,IF(LEFT(UPPER(TRIM(D_Points!$B$5:$B$204)),2)="PR",2,2))),"")</f>
        <v/>
      </c>
      <c r="T795" s="181" t="str">
        <f>IFERROR(LOOKUP(2,1/((B_Drainage!$A$5:$A$204&lt;&gt;"")*(B_Drainage!$A$5:$A$204&lt;=$B795)*(B_Drainage!$B$5:$B$204&gt;$B795)*(B_Drainage!$E$5:$E$204&lt;&gt;"")),IF(B_Drainage!$E$5:$E$204="-","",1)),"")</f>
        <v/>
      </c>
      <c r="U795" s="181" t="str">
        <f>IFERROR(LOOKUP(2,1/((B_Drainage!$A$5:$A$204&lt;&gt;"")*(B_Drainage!$A$5:$A$204&lt;=$B795)*(B_Drainage!$B$5:$B$204&gt;$B795)*(B_Drainage!$E$5:$E$204&lt;&gt;"")),IF(B_Drainage!$E$5:$E$204="-","",B_Drainage!$E$5:$E$204)),"")</f>
        <v/>
      </c>
      <c r="V795" s="181" t="str">
        <f>IFERROR(LOOKUP(2,1/((B_Drainage!$A$5:$A$204&lt;&gt;"")*(B_Drainage!$A$5:$A$204&lt;=$B795)*(B_Drainage!$B$5:$B$204&gt;$B795)*(B_Drainage!$F$5:$F$204&lt;&gt;"")),IF(B_Drainage!$F$5:$F$204="-","",1)),"")</f>
        <v/>
      </c>
      <c r="W795" s="181" t="str">
        <f>IFERROR(LOOKUP(2,1/((B_Drainage!$A$5:$A$204&lt;&gt;"")*(B_Drainage!$A$5:$A$204&lt;=$B795)*(B_Drainage!$B$5:$B$204&gt;$B795)*(B_Drainage!$F$5:$F$204&lt;&gt;"")),IF(B_Drainage!$F$5:$F$204="-","",B_Drainage!$F$5:$F$204)),"")</f>
        <v/>
      </c>
      <c r="X795" s="181" t="str">
        <f>IFERROR(LOOKUP(2,1/((B_Drainage!$A$5:$A$204&lt;&gt;"")*(B_Drainage!$A$5:$A$204&lt;=$B795)*(B_Drainage!$B$5:$B$204&gt;$B795)*(B_Drainage!$G$5:$G$204&lt;&gt;"")),IF(UPPER(B_Drainage!$G$5:$G$204)="Y",1,"")),"")</f>
        <v/>
      </c>
      <c r="Y795" s="181" t="str">
        <f>IFERROR(LOOKUP(2,1/((B_Drainage!$A$5:$A$204&lt;&gt;"")*(B_Drainage!$A$5:$A$204&lt;=$B795)*(B_Drainage!$B$5:$B$204&gt;$B795)*(B_Drainage!$H$5:$H$204&lt;&gt;"")),IF(UPPER(B_Drainage!$H$5:$H$204)="Y",1,"")),"")</f>
        <v/>
      </c>
      <c r="Z795" s="181" t="str">
        <f>IFERROR(LOOKUP(2,1/((B_Drainage!$A$5:$A$204&lt;&gt;"")*(B_Drainage!$A$5:$A$204&lt;=$B795)*(B_Drainage!$B$5:$B$204&gt;$B795)*(B_Drainage!$I$5:$I$204&lt;&gt;"")),IF(UPPER(B_Drainage!$I$5:$I$204)="Y",1,"")),"")</f>
        <v/>
      </c>
      <c r="AA795" s="181" t="str">
        <f>IFERROR(LOOKUP(2,1/((B_Drainage!$A$5:$A$204&lt;&gt;"")*(B_Drainage!$A$5:$A$204&lt;=$B795)*(B_Drainage!$B$5:$B$204&gt;$B795)*(B_Drainage!$J$5:$J$204&lt;&gt;"")),IF(UPPER(B_Drainage!$J$5:$J$204)="Y",1,"")),"")</f>
        <v/>
      </c>
      <c r="AB795" s="182" t="str">
        <f>IFERROR(LOOKUP(2,1/((B_Drainage!$A$5:$A$204&lt;&gt;"")*(B_Drainage!$A$5:$A$204&lt;=$B795)*(B_Drainage!$B$5:$B$204&gt;$B795)*(B_Drainage!$K$5:$K$204&lt;&gt;"")),IF(B_Drainage!$K$5:$K$204="-","",B_Drainage!$K$5:$K$204)),"")</f>
        <v/>
      </c>
      <c r="AC795" s="182" t="str">
        <f>IFERROR(LOOKUP(2,1/((B_Drainage!$A$5:$A$204&lt;&gt;"")*(B_Drainage!$A$5:$A$204&lt;=$B795)*(B_Drainage!$B$5:$B$204&gt;$B795)*(B_Drainage!$L$5:$L$204&lt;&gt;"")),IF(B_Drainage!$L$5:$L$204="-","",B_Drainage!$L$5:$L$204)),"")</f>
        <v/>
      </c>
      <c r="AD795" s="182" t="str">
        <f>IFERROR(LOOKUP(2,1/((D_Points!$A$5:$A$204&lt;&gt;"")*(D_Points!$A$5:$A$204&gt;=$B795)*(D_Points!$A$5:$A$204&lt;$B795+P_Interval)*(UPPER(TRIM(D_Points!$B$5:$B$204))="TURNOUT_L")*(D_Points!$H$5:$H$204&lt;&gt;"")),D_Points!$H$5:$H$204),"")</f>
        <v/>
      </c>
      <c r="AE795" s="182" t="str">
        <f>IFERROR(LOOKUP(2,1/((D_Points!$A$5:$A$204&lt;&gt;"")*(D_Points!$A$5:$A$204&gt;=$B795)*(D_Points!$A$5:$A$204&lt;$B795+P_Interval)*(UPPER(TRIM(D_Points!$B$5:$B$204))="TURNOUT_R")*(D_Points!$H$5:$H$204&lt;&gt;"")),D_Points!$H$5:$H$204),"")</f>
        <v/>
      </c>
      <c r="AF795" s="181" t="str">
        <f>IFERROR(LOOKUP(2,1/((B_Drainage!$A$5:$A$204&lt;&gt;"")*(B_Drainage!$A$5:$A$204&lt;=$B795)*(B_Drainage!$B$5:$B$204&gt;$B795)*(B_Drainage!$M$5:$M$204&lt;&gt;"")),IF(UPPER(B_Drainage!$M$5:$M$204)="Y",1,"")),"")</f>
        <v/>
      </c>
      <c r="AG795" s="181" t="str">
        <f>IFERROR(LOOKUP(2,1/((B_Drainage!$A$5:$A$204&lt;&gt;"")*(B_Drainage!$A$5:$A$204&lt;=$B795)*(B_Drainage!$B$5:$B$204&gt;$B795)*(B_Drainage!$N$5:$N$204&lt;&gt;"")),IF(UPPER(B_Drainage!$N$5:$N$204)="Y",1,"")),"")</f>
        <v/>
      </c>
      <c r="AH795" s="181" t="str">
        <f t="shared" si="96"/>
        <v/>
      </c>
      <c r="AI795" s="181" t="str">
        <f t="shared" si="97"/>
        <v/>
      </c>
      <c r="AJ795" s="181" t="str">
        <f t="shared" si="98"/>
        <v/>
      </c>
      <c r="AK795" s="181" t="str">
        <f t="shared" si="99"/>
        <v/>
      </c>
      <c r="AL795" s="181" t="str">
        <f t="shared" si="100"/>
        <v/>
      </c>
      <c r="AM795" s="181" t="str">
        <f t="shared" si="101"/>
        <v/>
      </c>
      <c r="AN795" s="181" t="str">
        <f t="shared" si="102"/>
        <v/>
      </c>
      <c r="AO795" s="192" t="str">
        <f t="shared" si="103"/>
        <v/>
      </c>
      <c r="AQ795" t="str">
        <f>IFERROR(LOOKUP(2,1/((C_Pavement!$A$5:$A$204&lt;&gt;"")*(C_Pavement!$A$5:$A$204&lt;=$B795)*(C_Pavement!$B$5:$B$204&gt;$B795)*(C_Pavement!$C$5:$C$204&lt;&gt;"")),ROW(C_Pavement!$C$5:$C$204)-4),"")</f>
        <v/>
      </c>
      <c r="AR795" t="str">
        <f>IF($AQ795="","",UPPER(TRIM(INDEX(C_Pavement!$C$5:$C$204,$AQ795))))</f>
        <v/>
      </c>
      <c r="AS795" t="str">
        <f>IF($AR795="","",IFERROR(MATCH($AR795,E_Rules!$A$5:$A$9,0),""))</f>
        <v/>
      </c>
      <c r="AT795" t="str">
        <f>IF($AQ795="","",IF(INDEX(C_Pavement!$D$5:$D$204,$AQ795)&lt;&gt;"",UPPER(TRIM(INDEX(C_Pavement!$D$5:$D$204,$AQ795))),IF($AS795="","",INDEX(E_Rules!$C$5:$C$9,$AS795))))</f>
        <v/>
      </c>
      <c r="AU795" t="str">
        <f>IF($AQ795="","",IF(INDEX(C_Pavement!$E$5:$E$204,$AQ795)&lt;&gt;"",IF(INDEX(C_Pavement!$E$5:$E$204,$AQ795)="-","",INDEX(C_Pavement!$E$5:$E$204,$AQ795)),IF($AS795="","",INDEX(E_Rules!$D$5:$D$9,$AS795))))</f>
        <v/>
      </c>
      <c r="AV795" t="str">
        <f>IF($AQ795="","",IF(INDEX(C_Pavement!$F$5:$F$204,$AQ795)&lt;&gt;"",IF(INDEX(C_Pavement!$F$5:$F$204,$AQ795)="-","",INDEX(C_Pavement!$F$5:$F$204,$AQ795)),IF($AS795="","",INDEX(E_Rules!$E$5:$E$9,$AS795))))</f>
        <v/>
      </c>
      <c r="AW795" t="str">
        <f>IF($AQ795="","",IF(INDEX(C_Pavement!$G$5:$G$204,$AQ795)&lt;&gt;"",IF(INDEX(C_Pavement!$G$5:$G$204,$AQ795)="-","",INDEX(C_Pavement!$G$5:$G$204,$AQ795)),IF($AS795="","",INDEX(E_Rules!$F$5:$F$9,$AS795))))</f>
        <v/>
      </c>
      <c r="AX795" t="str">
        <f>IF($AQ795="","",IF(INDEX(C_Pavement!$H$5:$H$204,$AQ795)&lt;&gt;"",IF(INDEX(C_Pavement!$H$5:$H$204,$AQ795)="-","",INDEX(C_Pavement!$H$5:$H$204,$AQ795)),IF($AS795="","",INDEX(E_Rules!$G$5:$G$9,$AS795))))</f>
        <v/>
      </c>
      <c r="AY795" t="str">
        <f>IF($AQ795="","",IF(INDEX(C_Pavement!$I$5:$I$204,$AQ795)&lt;&gt;"",IF(INDEX(C_Pavement!$I$5:$I$204,$AQ795)="-","",INDEX(C_Pavement!$I$5:$I$204,$AQ795)),IF($AS795="","",INDEX(E_Rules!$H$5:$H$9,$AS795))))</f>
        <v/>
      </c>
    </row>
    <row r="796" spans="1:51" ht="15.75" customHeight="1" x14ac:dyDescent="0.3">
      <c r="A796" s="189">
        <v>791</v>
      </c>
      <c r="B796" s="180">
        <v>39500</v>
      </c>
      <c r="C796" s="180" t="s">
        <v>1102</v>
      </c>
      <c r="D796" s="181" t="str">
        <f>IFERROR(LOOKUP(2,1/((A_Corridor!$A$5:$A$204&lt;&gt;"")*(A_Corridor!$A$5:$A$204&lt;=$B796)*(A_Corridor!$B$5:$B$204&gt;$B796)*(A_Corridor!$C$5:$C$204&lt;&gt;"")),IF(UPPER(A_Corridor!$C$5:$C$204)="Y",1,"")),"")</f>
        <v/>
      </c>
      <c r="E796" s="181" t="str">
        <f>IFERROR(LOOKUP(2,1/((A_Corridor!$A$5:$A$204&lt;&gt;"")*(A_Corridor!$A$5:$A$204&lt;=$B796)*(A_Corridor!$B$5:$B$204&gt;$B796)*(A_Corridor!$D$5:$D$204&lt;&gt;"")),IF(A_Corridor!$D$5:$D$204="-","",UPPER(A_Corridor!$D$5:$D$204))),"")</f>
        <v/>
      </c>
      <c r="F796" s="181" t="str">
        <f>IFERROR(LOOKUP(2,1/((A_Corridor!$A$5:$A$204&lt;&gt;"")*(A_Corridor!$A$5:$A$204&lt;=$B796)*(A_Corridor!$B$5:$B$204&gt;$B796)*(A_Corridor!$E$5:$E$204&lt;&gt;"")),IF(A_Corridor!$E$5:$E$204="-","",1)),"")</f>
        <v/>
      </c>
      <c r="G796" s="182" t="str">
        <f>IFERROR(LOOKUP(2,1/((A_Corridor!$A$5:$A$204&lt;&gt;"")*(A_Corridor!$A$5:$A$204&lt;=$B796)*(A_Corridor!$B$5:$B$204&gt;$B796)*(A_Corridor!$E$5:$E$204&lt;&gt;"")),IF(A_Corridor!$E$5:$E$204="-","",A_Corridor!$E$5:$E$204)),"")</f>
        <v/>
      </c>
      <c r="H796" s="182" t="str">
        <f>IFERROR(LOOKUP(2,1/((D_Points!$A$5:$A$204&lt;&gt;"")*(D_Points!$A$5:$A$204&gt;=$B796)*(D_Points!$A$5:$A$204&lt;$B796+P_Interval)*(UPPER(TRIM(D_Points!$B$5:$B$204))="GULLY")*(D_Points!$H$5:$H$204&lt;&gt;"")),D_Points!$H$5:$H$204),"")</f>
        <v/>
      </c>
      <c r="I796" s="181" t="str">
        <f>IFERROR(LOOKUP(2,1/((A_Corridor!$A$5:$A$204&lt;&gt;"")*(A_Corridor!$A$5:$A$204&lt;=$B796)*(A_Corridor!$B$5:$B$204&gt;$B796)*(A_Corridor!$F$5:$F$204&lt;&gt;"")),IF(A_Corridor!$F$5:$F$204="-","",1)),"")</f>
        <v/>
      </c>
      <c r="J796" s="182" t="str">
        <f>IFERROR(LOOKUP(2,1/((A_Corridor!$A$5:$A$204&lt;&gt;"")*(A_Corridor!$A$5:$A$204&lt;=$B796)*(A_Corridor!$B$5:$B$204&gt;$B796)*(A_Corridor!$F$5:$F$204&lt;&gt;"")),IF(A_Corridor!$F$5:$F$204="-","",A_Corridor!$F$5:$F$204)),"")</f>
        <v/>
      </c>
      <c r="K796" s="182" t="str">
        <f>IFERROR(LOOKUP(2,1/((A_Corridor!$A$5:$A$204&lt;&gt;"")*(A_Corridor!$A$5:$A$204&lt;=$B796)*(A_Corridor!$B$5:$B$204&gt;$B796)*(A_Corridor!$G$5:$G$204&lt;&gt;"")),IF(A_Corridor!$G$5:$G$204="-","",A_Corridor!$G$5:$G$204)),"")</f>
        <v/>
      </c>
      <c r="L796" s="181" t="str">
        <f>IFERROR(LOOKUP(2,1/((A_Corridor!$A$5:$A$204&lt;&gt;"")*(A_Corridor!$A$5:$A$204&lt;=$B796)*(A_Corridor!$B$5:$B$204&gt;$B796)*(A_Corridor!$H$5:$H$204&lt;&gt;"")),IF(A_Corridor!$H$5:$H$204="-","",1)),"")</f>
        <v/>
      </c>
      <c r="M796" s="182" t="str">
        <f>IFERROR(LOOKUP(2,1/((A_Corridor!$A$5:$A$204&lt;&gt;"")*(A_Corridor!$A$5:$A$204&lt;=$B796)*(A_Corridor!$B$5:$B$204&gt;$B796)*(A_Corridor!$H$5:$H$204&lt;&gt;"")),IF(A_Corridor!$H$5:$H$204="-","",A_Corridor!$H$5:$H$204)),"")</f>
        <v/>
      </c>
      <c r="N796" s="182" t="str">
        <f>IFERROR(LOOKUP(2,1/((A_Corridor!$A$5:$A$204&lt;&gt;"")*(A_Corridor!$A$5:$A$204&lt;=$B796)*(A_Corridor!$B$5:$B$204&gt;$B796)*(A_Corridor!$I$5:$I$204&lt;&gt;"")),IF(A_Corridor!$I$5:$I$204="-","",A_Corridor!$I$5:$I$204)),"")</f>
        <v/>
      </c>
      <c r="O796" s="182" t="str">
        <f>IFERROR(LOOKUP(2,1/((D_Points!$A$5:$A$204&lt;&gt;"")*(D_Points!$A$5:$A$204&gt;=$B796)*(D_Points!$A$5:$A$204&lt;$B796+P_Interval)*(UPPER(TRIM(D_Points!$B$5:$B$204))="PITCHING")*(D_Points!$H$5:$H$204&lt;&gt;"")),D_Points!$H$5:$H$204),"")</f>
        <v/>
      </c>
      <c r="P796" s="181" t="str">
        <f>IFERROR(LOOKUP(2,1/((B_Drainage!$A$5:$A$204&lt;&gt;"")*(B_Drainage!$A$5:$A$204&lt;=$B796)*(B_Drainage!$B$5:$B$204&gt;$B796)*(B_Drainage!$C$5:$C$204&lt;&gt;"")),IF(B_Drainage!$C$5:$C$204="-","",UPPER(B_Drainage!$C$5:$C$204))),"")</f>
        <v/>
      </c>
      <c r="Q796" s="181" t="str">
        <f>IFERROR(LOOKUP(2,1/((B_Drainage!$A$5:$A$204&lt;&gt;"")*(B_Drainage!$A$5:$A$204&lt;=$B796)*(B_Drainage!$B$5:$B$204&gt;$B796)*(B_Drainage!$D$5:$D$204&lt;&gt;"")),IF(B_Drainage!$D$5:$D$204="-","",UPPER(B_Drainage!$D$5:$D$204))),"")</f>
        <v/>
      </c>
      <c r="R796" s="182" t="str">
        <f>IFERROR(LOOKUP(2,1/((D_Points!$A$5:$A$204&lt;&gt;"")*(D_Points!$A$5:$A$204&gt;=$B796)*(D_Points!$A$5:$A$204&lt;$B796+P_Interval)*(RIGHT(UPPER(TRIM(D_Points!$B$5:$B$204)),8)="_CULVERT")),IF(LEFT(UPPER(TRIM(D_Points!$B$5:$B$204)),2)="EX",1,IF(LEFT(UPPER(TRIM(D_Points!$B$5:$B$204)),2)="PR",2,3))),"")</f>
        <v/>
      </c>
      <c r="S796" s="182" t="str">
        <f>IFERROR(LOOKUP(2,1/((D_Points!$A$5:$A$204&lt;&gt;"")*(D_Points!$A$5:$A$204&gt;=$B796)*(D_Points!$A$5:$A$204&lt;$B796+P_Interval)*(RIGHT(UPPER(TRIM(D_Points!$B$5:$B$204)),7)="_BRIDGE")),IF(LEFT(UPPER(TRIM(D_Points!$B$5:$B$204)),2)="EX",1,IF(LEFT(UPPER(TRIM(D_Points!$B$5:$B$204)),2)="PR",2,2))),"")</f>
        <v/>
      </c>
      <c r="T796" s="181" t="str">
        <f>IFERROR(LOOKUP(2,1/((B_Drainage!$A$5:$A$204&lt;&gt;"")*(B_Drainage!$A$5:$A$204&lt;=$B796)*(B_Drainage!$B$5:$B$204&gt;$B796)*(B_Drainage!$E$5:$E$204&lt;&gt;"")),IF(B_Drainage!$E$5:$E$204="-","",1)),"")</f>
        <v/>
      </c>
      <c r="U796" s="181" t="str">
        <f>IFERROR(LOOKUP(2,1/((B_Drainage!$A$5:$A$204&lt;&gt;"")*(B_Drainage!$A$5:$A$204&lt;=$B796)*(B_Drainage!$B$5:$B$204&gt;$B796)*(B_Drainage!$E$5:$E$204&lt;&gt;"")),IF(B_Drainage!$E$5:$E$204="-","",B_Drainage!$E$5:$E$204)),"")</f>
        <v/>
      </c>
      <c r="V796" s="181" t="str">
        <f>IFERROR(LOOKUP(2,1/((B_Drainage!$A$5:$A$204&lt;&gt;"")*(B_Drainage!$A$5:$A$204&lt;=$B796)*(B_Drainage!$B$5:$B$204&gt;$B796)*(B_Drainage!$F$5:$F$204&lt;&gt;"")),IF(B_Drainage!$F$5:$F$204="-","",1)),"")</f>
        <v/>
      </c>
      <c r="W796" s="181" t="str">
        <f>IFERROR(LOOKUP(2,1/((B_Drainage!$A$5:$A$204&lt;&gt;"")*(B_Drainage!$A$5:$A$204&lt;=$B796)*(B_Drainage!$B$5:$B$204&gt;$B796)*(B_Drainage!$F$5:$F$204&lt;&gt;"")),IF(B_Drainage!$F$5:$F$204="-","",B_Drainage!$F$5:$F$204)),"")</f>
        <v/>
      </c>
      <c r="X796" s="181" t="str">
        <f>IFERROR(LOOKUP(2,1/((B_Drainage!$A$5:$A$204&lt;&gt;"")*(B_Drainage!$A$5:$A$204&lt;=$B796)*(B_Drainage!$B$5:$B$204&gt;$B796)*(B_Drainage!$G$5:$G$204&lt;&gt;"")),IF(UPPER(B_Drainage!$G$5:$G$204)="Y",1,"")),"")</f>
        <v/>
      </c>
      <c r="Y796" s="181" t="str">
        <f>IFERROR(LOOKUP(2,1/((B_Drainage!$A$5:$A$204&lt;&gt;"")*(B_Drainage!$A$5:$A$204&lt;=$B796)*(B_Drainage!$B$5:$B$204&gt;$B796)*(B_Drainage!$H$5:$H$204&lt;&gt;"")),IF(UPPER(B_Drainage!$H$5:$H$204)="Y",1,"")),"")</f>
        <v/>
      </c>
      <c r="Z796" s="181" t="str">
        <f>IFERROR(LOOKUP(2,1/((B_Drainage!$A$5:$A$204&lt;&gt;"")*(B_Drainage!$A$5:$A$204&lt;=$B796)*(B_Drainage!$B$5:$B$204&gt;$B796)*(B_Drainage!$I$5:$I$204&lt;&gt;"")),IF(UPPER(B_Drainage!$I$5:$I$204)="Y",1,"")),"")</f>
        <v/>
      </c>
      <c r="AA796" s="181" t="str">
        <f>IFERROR(LOOKUP(2,1/((B_Drainage!$A$5:$A$204&lt;&gt;"")*(B_Drainage!$A$5:$A$204&lt;=$B796)*(B_Drainage!$B$5:$B$204&gt;$B796)*(B_Drainage!$J$5:$J$204&lt;&gt;"")),IF(UPPER(B_Drainage!$J$5:$J$204)="Y",1,"")),"")</f>
        <v/>
      </c>
      <c r="AB796" s="182" t="str">
        <f>IFERROR(LOOKUP(2,1/((B_Drainage!$A$5:$A$204&lt;&gt;"")*(B_Drainage!$A$5:$A$204&lt;=$B796)*(B_Drainage!$B$5:$B$204&gt;$B796)*(B_Drainage!$K$5:$K$204&lt;&gt;"")),IF(B_Drainage!$K$5:$K$204="-","",B_Drainage!$K$5:$K$204)),"")</f>
        <v/>
      </c>
      <c r="AC796" s="182" t="str">
        <f>IFERROR(LOOKUP(2,1/((B_Drainage!$A$5:$A$204&lt;&gt;"")*(B_Drainage!$A$5:$A$204&lt;=$B796)*(B_Drainage!$B$5:$B$204&gt;$B796)*(B_Drainage!$L$5:$L$204&lt;&gt;"")),IF(B_Drainage!$L$5:$L$204="-","",B_Drainage!$L$5:$L$204)),"")</f>
        <v/>
      </c>
      <c r="AD796" s="182" t="str">
        <f>IFERROR(LOOKUP(2,1/((D_Points!$A$5:$A$204&lt;&gt;"")*(D_Points!$A$5:$A$204&gt;=$B796)*(D_Points!$A$5:$A$204&lt;$B796+P_Interval)*(UPPER(TRIM(D_Points!$B$5:$B$204))="TURNOUT_L")*(D_Points!$H$5:$H$204&lt;&gt;"")),D_Points!$H$5:$H$204),"")</f>
        <v/>
      </c>
      <c r="AE796" s="182" t="str">
        <f>IFERROR(LOOKUP(2,1/((D_Points!$A$5:$A$204&lt;&gt;"")*(D_Points!$A$5:$A$204&gt;=$B796)*(D_Points!$A$5:$A$204&lt;$B796+P_Interval)*(UPPER(TRIM(D_Points!$B$5:$B$204))="TURNOUT_R")*(D_Points!$H$5:$H$204&lt;&gt;"")),D_Points!$H$5:$H$204),"")</f>
        <v/>
      </c>
      <c r="AF796" s="181" t="str">
        <f>IFERROR(LOOKUP(2,1/((B_Drainage!$A$5:$A$204&lt;&gt;"")*(B_Drainage!$A$5:$A$204&lt;=$B796)*(B_Drainage!$B$5:$B$204&gt;$B796)*(B_Drainage!$M$5:$M$204&lt;&gt;"")),IF(UPPER(B_Drainage!$M$5:$M$204)="Y",1,"")),"")</f>
        <v/>
      </c>
      <c r="AG796" s="181" t="str">
        <f>IFERROR(LOOKUP(2,1/((B_Drainage!$A$5:$A$204&lt;&gt;"")*(B_Drainage!$A$5:$A$204&lt;=$B796)*(B_Drainage!$B$5:$B$204&gt;$B796)*(B_Drainage!$N$5:$N$204&lt;&gt;"")),IF(UPPER(B_Drainage!$N$5:$N$204)="Y",1,"")),"")</f>
        <v/>
      </c>
      <c r="AH796" s="181" t="str">
        <f t="shared" si="96"/>
        <v/>
      </c>
      <c r="AI796" s="181" t="str">
        <f t="shared" si="97"/>
        <v/>
      </c>
      <c r="AJ796" s="181" t="str">
        <f t="shared" si="98"/>
        <v/>
      </c>
      <c r="AK796" s="181" t="str">
        <f t="shared" si="99"/>
        <v/>
      </c>
      <c r="AL796" s="181" t="str">
        <f t="shared" si="100"/>
        <v/>
      </c>
      <c r="AM796" s="181" t="str">
        <f t="shared" si="101"/>
        <v/>
      </c>
      <c r="AN796" s="181" t="str">
        <f t="shared" si="102"/>
        <v/>
      </c>
      <c r="AO796" s="192" t="str">
        <f t="shared" si="103"/>
        <v/>
      </c>
      <c r="AQ796" t="str">
        <f>IFERROR(LOOKUP(2,1/((C_Pavement!$A$5:$A$204&lt;&gt;"")*(C_Pavement!$A$5:$A$204&lt;=$B796)*(C_Pavement!$B$5:$B$204&gt;$B796)*(C_Pavement!$C$5:$C$204&lt;&gt;"")),ROW(C_Pavement!$C$5:$C$204)-4),"")</f>
        <v/>
      </c>
      <c r="AR796" t="str">
        <f>IF($AQ796="","",UPPER(TRIM(INDEX(C_Pavement!$C$5:$C$204,$AQ796))))</f>
        <v/>
      </c>
      <c r="AS796" t="str">
        <f>IF($AR796="","",IFERROR(MATCH($AR796,E_Rules!$A$5:$A$9,0),""))</f>
        <v/>
      </c>
      <c r="AT796" t="str">
        <f>IF($AQ796="","",IF(INDEX(C_Pavement!$D$5:$D$204,$AQ796)&lt;&gt;"",UPPER(TRIM(INDEX(C_Pavement!$D$5:$D$204,$AQ796))),IF($AS796="","",INDEX(E_Rules!$C$5:$C$9,$AS796))))</f>
        <v/>
      </c>
      <c r="AU796" t="str">
        <f>IF($AQ796="","",IF(INDEX(C_Pavement!$E$5:$E$204,$AQ796)&lt;&gt;"",IF(INDEX(C_Pavement!$E$5:$E$204,$AQ796)="-","",INDEX(C_Pavement!$E$5:$E$204,$AQ796)),IF($AS796="","",INDEX(E_Rules!$D$5:$D$9,$AS796))))</f>
        <v/>
      </c>
      <c r="AV796" t="str">
        <f>IF($AQ796="","",IF(INDEX(C_Pavement!$F$5:$F$204,$AQ796)&lt;&gt;"",IF(INDEX(C_Pavement!$F$5:$F$204,$AQ796)="-","",INDEX(C_Pavement!$F$5:$F$204,$AQ796)),IF($AS796="","",INDEX(E_Rules!$E$5:$E$9,$AS796))))</f>
        <v/>
      </c>
      <c r="AW796" t="str">
        <f>IF($AQ796="","",IF(INDEX(C_Pavement!$G$5:$G$204,$AQ796)&lt;&gt;"",IF(INDEX(C_Pavement!$G$5:$G$204,$AQ796)="-","",INDEX(C_Pavement!$G$5:$G$204,$AQ796)),IF($AS796="","",INDEX(E_Rules!$F$5:$F$9,$AS796))))</f>
        <v/>
      </c>
      <c r="AX796" t="str">
        <f>IF($AQ796="","",IF(INDEX(C_Pavement!$H$5:$H$204,$AQ796)&lt;&gt;"",IF(INDEX(C_Pavement!$H$5:$H$204,$AQ796)="-","",INDEX(C_Pavement!$H$5:$H$204,$AQ796)),IF($AS796="","",INDEX(E_Rules!$G$5:$G$9,$AS796))))</f>
        <v/>
      </c>
      <c r="AY796" t="str">
        <f>IF($AQ796="","",IF(INDEX(C_Pavement!$I$5:$I$204,$AQ796)&lt;&gt;"",IF(INDEX(C_Pavement!$I$5:$I$204,$AQ796)="-","",INDEX(C_Pavement!$I$5:$I$204,$AQ796)),IF($AS796="","",INDEX(E_Rules!$H$5:$H$9,$AS796))))</f>
        <v/>
      </c>
    </row>
    <row r="797" spans="1:51" ht="15.75" customHeight="1" x14ac:dyDescent="0.3">
      <c r="A797" s="189">
        <v>792</v>
      </c>
      <c r="B797" s="180">
        <v>39550</v>
      </c>
      <c r="C797" s="180" t="s">
        <v>1103</v>
      </c>
      <c r="D797" s="181" t="str">
        <f>IFERROR(LOOKUP(2,1/((A_Corridor!$A$5:$A$204&lt;&gt;"")*(A_Corridor!$A$5:$A$204&lt;=$B797)*(A_Corridor!$B$5:$B$204&gt;$B797)*(A_Corridor!$C$5:$C$204&lt;&gt;"")),IF(UPPER(A_Corridor!$C$5:$C$204)="Y",1,"")),"")</f>
        <v/>
      </c>
      <c r="E797" s="181" t="str">
        <f>IFERROR(LOOKUP(2,1/((A_Corridor!$A$5:$A$204&lt;&gt;"")*(A_Corridor!$A$5:$A$204&lt;=$B797)*(A_Corridor!$B$5:$B$204&gt;$B797)*(A_Corridor!$D$5:$D$204&lt;&gt;"")),IF(A_Corridor!$D$5:$D$204="-","",UPPER(A_Corridor!$D$5:$D$204))),"")</f>
        <v/>
      </c>
      <c r="F797" s="181" t="str">
        <f>IFERROR(LOOKUP(2,1/((A_Corridor!$A$5:$A$204&lt;&gt;"")*(A_Corridor!$A$5:$A$204&lt;=$B797)*(A_Corridor!$B$5:$B$204&gt;$B797)*(A_Corridor!$E$5:$E$204&lt;&gt;"")),IF(A_Corridor!$E$5:$E$204="-","",1)),"")</f>
        <v/>
      </c>
      <c r="G797" s="182" t="str">
        <f>IFERROR(LOOKUP(2,1/((A_Corridor!$A$5:$A$204&lt;&gt;"")*(A_Corridor!$A$5:$A$204&lt;=$B797)*(A_Corridor!$B$5:$B$204&gt;$B797)*(A_Corridor!$E$5:$E$204&lt;&gt;"")),IF(A_Corridor!$E$5:$E$204="-","",A_Corridor!$E$5:$E$204)),"")</f>
        <v/>
      </c>
      <c r="H797" s="182" t="str">
        <f>IFERROR(LOOKUP(2,1/((D_Points!$A$5:$A$204&lt;&gt;"")*(D_Points!$A$5:$A$204&gt;=$B797)*(D_Points!$A$5:$A$204&lt;$B797+P_Interval)*(UPPER(TRIM(D_Points!$B$5:$B$204))="GULLY")*(D_Points!$H$5:$H$204&lt;&gt;"")),D_Points!$H$5:$H$204),"")</f>
        <v/>
      </c>
      <c r="I797" s="181" t="str">
        <f>IFERROR(LOOKUP(2,1/((A_Corridor!$A$5:$A$204&lt;&gt;"")*(A_Corridor!$A$5:$A$204&lt;=$B797)*(A_Corridor!$B$5:$B$204&gt;$B797)*(A_Corridor!$F$5:$F$204&lt;&gt;"")),IF(A_Corridor!$F$5:$F$204="-","",1)),"")</f>
        <v/>
      </c>
      <c r="J797" s="182" t="str">
        <f>IFERROR(LOOKUP(2,1/((A_Corridor!$A$5:$A$204&lt;&gt;"")*(A_Corridor!$A$5:$A$204&lt;=$B797)*(A_Corridor!$B$5:$B$204&gt;$B797)*(A_Corridor!$F$5:$F$204&lt;&gt;"")),IF(A_Corridor!$F$5:$F$204="-","",A_Corridor!$F$5:$F$204)),"")</f>
        <v/>
      </c>
      <c r="K797" s="182" t="str">
        <f>IFERROR(LOOKUP(2,1/((A_Corridor!$A$5:$A$204&lt;&gt;"")*(A_Corridor!$A$5:$A$204&lt;=$B797)*(A_Corridor!$B$5:$B$204&gt;$B797)*(A_Corridor!$G$5:$G$204&lt;&gt;"")),IF(A_Corridor!$G$5:$G$204="-","",A_Corridor!$G$5:$G$204)),"")</f>
        <v/>
      </c>
      <c r="L797" s="181" t="str">
        <f>IFERROR(LOOKUP(2,1/((A_Corridor!$A$5:$A$204&lt;&gt;"")*(A_Corridor!$A$5:$A$204&lt;=$B797)*(A_Corridor!$B$5:$B$204&gt;$B797)*(A_Corridor!$H$5:$H$204&lt;&gt;"")),IF(A_Corridor!$H$5:$H$204="-","",1)),"")</f>
        <v/>
      </c>
      <c r="M797" s="182" t="str">
        <f>IFERROR(LOOKUP(2,1/((A_Corridor!$A$5:$A$204&lt;&gt;"")*(A_Corridor!$A$5:$A$204&lt;=$B797)*(A_Corridor!$B$5:$B$204&gt;$B797)*(A_Corridor!$H$5:$H$204&lt;&gt;"")),IF(A_Corridor!$H$5:$H$204="-","",A_Corridor!$H$5:$H$204)),"")</f>
        <v/>
      </c>
      <c r="N797" s="182" t="str">
        <f>IFERROR(LOOKUP(2,1/((A_Corridor!$A$5:$A$204&lt;&gt;"")*(A_Corridor!$A$5:$A$204&lt;=$B797)*(A_Corridor!$B$5:$B$204&gt;$B797)*(A_Corridor!$I$5:$I$204&lt;&gt;"")),IF(A_Corridor!$I$5:$I$204="-","",A_Corridor!$I$5:$I$204)),"")</f>
        <v/>
      </c>
      <c r="O797" s="182" t="str">
        <f>IFERROR(LOOKUP(2,1/((D_Points!$A$5:$A$204&lt;&gt;"")*(D_Points!$A$5:$A$204&gt;=$B797)*(D_Points!$A$5:$A$204&lt;$B797+P_Interval)*(UPPER(TRIM(D_Points!$B$5:$B$204))="PITCHING")*(D_Points!$H$5:$H$204&lt;&gt;"")),D_Points!$H$5:$H$204),"")</f>
        <v/>
      </c>
      <c r="P797" s="181" t="str">
        <f>IFERROR(LOOKUP(2,1/((B_Drainage!$A$5:$A$204&lt;&gt;"")*(B_Drainage!$A$5:$A$204&lt;=$B797)*(B_Drainage!$B$5:$B$204&gt;$B797)*(B_Drainage!$C$5:$C$204&lt;&gt;"")),IF(B_Drainage!$C$5:$C$204="-","",UPPER(B_Drainage!$C$5:$C$204))),"")</f>
        <v/>
      </c>
      <c r="Q797" s="181" t="str">
        <f>IFERROR(LOOKUP(2,1/((B_Drainage!$A$5:$A$204&lt;&gt;"")*(B_Drainage!$A$5:$A$204&lt;=$B797)*(B_Drainage!$B$5:$B$204&gt;$B797)*(B_Drainage!$D$5:$D$204&lt;&gt;"")),IF(B_Drainage!$D$5:$D$204="-","",UPPER(B_Drainage!$D$5:$D$204))),"")</f>
        <v/>
      </c>
      <c r="R797" s="182" t="str">
        <f>IFERROR(LOOKUP(2,1/((D_Points!$A$5:$A$204&lt;&gt;"")*(D_Points!$A$5:$A$204&gt;=$B797)*(D_Points!$A$5:$A$204&lt;$B797+P_Interval)*(RIGHT(UPPER(TRIM(D_Points!$B$5:$B$204)),8)="_CULVERT")),IF(LEFT(UPPER(TRIM(D_Points!$B$5:$B$204)),2)="EX",1,IF(LEFT(UPPER(TRIM(D_Points!$B$5:$B$204)),2)="PR",2,3))),"")</f>
        <v/>
      </c>
      <c r="S797" s="182" t="str">
        <f>IFERROR(LOOKUP(2,1/((D_Points!$A$5:$A$204&lt;&gt;"")*(D_Points!$A$5:$A$204&gt;=$B797)*(D_Points!$A$5:$A$204&lt;$B797+P_Interval)*(RIGHT(UPPER(TRIM(D_Points!$B$5:$B$204)),7)="_BRIDGE")),IF(LEFT(UPPER(TRIM(D_Points!$B$5:$B$204)),2)="EX",1,IF(LEFT(UPPER(TRIM(D_Points!$B$5:$B$204)),2)="PR",2,2))),"")</f>
        <v/>
      </c>
      <c r="T797" s="181" t="str">
        <f>IFERROR(LOOKUP(2,1/((B_Drainage!$A$5:$A$204&lt;&gt;"")*(B_Drainage!$A$5:$A$204&lt;=$B797)*(B_Drainage!$B$5:$B$204&gt;$B797)*(B_Drainage!$E$5:$E$204&lt;&gt;"")),IF(B_Drainage!$E$5:$E$204="-","",1)),"")</f>
        <v/>
      </c>
      <c r="U797" s="181" t="str">
        <f>IFERROR(LOOKUP(2,1/((B_Drainage!$A$5:$A$204&lt;&gt;"")*(B_Drainage!$A$5:$A$204&lt;=$B797)*(B_Drainage!$B$5:$B$204&gt;$B797)*(B_Drainage!$E$5:$E$204&lt;&gt;"")),IF(B_Drainage!$E$5:$E$204="-","",B_Drainage!$E$5:$E$204)),"")</f>
        <v/>
      </c>
      <c r="V797" s="181" t="str">
        <f>IFERROR(LOOKUP(2,1/((B_Drainage!$A$5:$A$204&lt;&gt;"")*(B_Drainage!$A$5:$A$204&lt;=$B797)*(B_Drainage!$B$5:$B$204&gt;$B797)*(B_Drainage!$F$5:$F$204&lt;&gt;"")),IF(B_Drainage!$F$5:$F$204="-","",1)),"")</f>
        <v/>
      </c>
      <c r="W797" s="181" t="str">
        <f>IFERROR(LOOKUP(2,1/((B_Drainage!$A$5:$A$204&lt;&gt;"")*(B_Drainage!$A$5:$A$204&lt;=$B797)*(B_Drainage!$B$5:$B$204&gt;$B797)*(B_Drainage!$F$5:$F$204&lt;&gt;"")),IF(B_Drainage!$F$5:$F$204="-","",B_Drainage!$F$5:$F$204)),"")</f>
        <v/>
      </c>
      <c r="X797" s="181" t="str">
        <f>IFERROR(LOOKUP(2,1/((B_Drainage!$A$5:$A$204&lt;&gt;"")*(B_Drainage!$A$5:$A$204&lt;=$B797)*(B_Drainage!$B$5:$B$204&gt;$B797)*(B_Drainage!$G$5:$G$204&lt;&gt;"")),IF(UPPER(B_Drainage!$G$5:$G$204)="Y",1,"")),"")</f>
        <v/>
      </c>
      <c r="Y797" s="181" t="str">
        <f>IFERROR(LOOKUP(2,1/((B_Drainage!$A$5:$A$204&lt;&gt;"")*(B_Drainage!$A$5:$A$204&lt;=$B797)*(B_Drainage!$B$5:$B$204&gt;$B797)*(B_Drainage!$H$5:$H$204&lt;&gt;"")),IF(UPPER(B_Drainage!$H$5:$H$204)="Y",1,"")),"")</f>
        <v/>
      </c>
      <c r="Z797" s="181" t="str">
        <f>IFERROR(LOOKUP(2,1/((B_Drainage!$A$5:$A$204&lt;&gt;"")*(B_Drainage!$A$5:$A$204&lt;=$B797)*(B_Drainage!$B$5:$B$204&gt;$B797)*(B_Drainage!$I$5:$I$204&lt;&gt;"")),IF(UPPER(B_Drainage!$I$5:$I$204)="Y",1,"")),"")</f>
        <v/>
      </c>
      <c r="AA797" s="181" t="str">
        <f>IFERROR(LOOKUP(2,1/((B_Drainage!$A$5:$A$204&lt;&gt;"")*(B_Drainage!$A$5:$A$204&lt;=$B797)*(B_Drainage!$B$5:$B$204&gt;$B797)*(B_Drainage!$J$5:$J$204&lt;&gt;"")),IF(UPPER(B_Drainage!$J$5:$J$204)="Y",1,"")),"")</f>
        <v/>
      </c>
      <c r="AB797" s="182" t="str">
        <f>IFERROR(LOOKUP(2,1/((B_Drainage!$A$5:$A$204&lt;&gt;"")*(B_Drainage!$A$5:$A$204&lt;=$B797)*(B_Drainage!$B$5:$B$204&gt;$B797)*(B_Drainage!$K$5:$K$204&lt;&gt;"")),IF(B_Drainage!$K$5:$K$204="-","",B_Drainage!$K$5:$K$204)),"")</f>
        <v/>
      </c>
      <c r="AC797" s="182" t="str">
        <f>IFERROR(LOOKUP(2,1/((B_Drainage!$A$5:$A$204&lt;&gt;"")*(B_Drainage!$A$5:$A$204&lt;=$B797)*(B_Drainage!$B$5:$B$204&gt;$B797)*(B_Drainage!$L$5:$L$204&lt;&gt;"")),IF(B_Drainage!$L$5:$L$204="-","",B_Drainage!$L$5:$L$204)),"")</f>
        <v/>
      </c>
      <c r="AD797" s="182" t="str">
        <f>IFERROR(LOOKUP(2,1/((D_Points!$A$5:$A$204&lt;&gt;"")*(D_Points!$A$5:$A$204&gt;=$B797)*(D_Points!$A$5:$A$204&lt;$B797+P_Interval)*(UPPER(TRIM(D_Points!$B$5:$B$204))="TURNOUT_L")*(D_Points!$H$5:$H$204&lt;&gt;"")),D_Points!$H$5:$H$204),"")</f>
        <v/>
      </c>
      <c r="AE797" s="182" t="str">
        <f>IFERROR(LOOKUP(2,1/((D_Points!$A$5:$A$204&lt;&gt;"")*(D_Points!$A$5:$A$204&gt;=$B797)*(D_Points!$A$5:$A$204&lt;$B797+P_Interval)*(UPPER(TRIM(D_Points!$B$5:$B$204))="TURNOUT_R")*(D_Points!$H$5:$H$204&lt;&gt;"")),D_Points!$H$5:$H$204),"")</f>
        <v/>
      </c>
      <c r="AF797" s="181" t="str">
        <f>IFERROR(LOOKUP(2,1/((B_Drainage!$A$5:$A$204&lt;&gt;"")*(B_Drainage!$A$5:$A$204&lt;=$B797)*(B_Drainage!$B$5:$B$204&gt;$B797)*(B_Drainage!$M$5:$M$204&lt;&gt;"")),IF(UPPER(B_Drainage!$M$5:$M$204)="Y",1,"")),"")</f>
        <v/>
      </c>
      <c r="AG797" s="181" t="str">
        <f>IFERROR(LOOKUP(2,1/((B_Drainage!$A$5:$A$204&lt;&gt;"")*(B_Drainage!$A$5:$A$204&lt;=$B797)*(B_Drainage!$B$5:$B$204&gt;$B797)*(B_Drainage!$N$5:$N$204&lt;&gt;"")),IF(UPPER(B_Drainage!$N$5:$N$204)="Y",1,"")),"")</f>
        <v/>
      </c>
      <c r="AH797" s="181" t="str">
        <f t="shared" si="96"/>
        <v/>
      </c>
      <c r="AI797" s="181" t="str">
        <f t="shared" si="97"/>
        <v/>
      </c>
      <c r="AJ797" s="181" t="str">
        <f t="shared" si="98"/>
        <v/>
      </c>
      <c r="AK797" s="181" t="str">
        <f t="shared" si="99"/>
        <v/>
      </c>
      <c r="AL797" s="181" t="str">
        <f t="shared" si="100"/>
        <v/>
      </c>
      <c r="AM797" s="181" t="str">
        <f t="shared" si="101"/>
        <v/>
      </c>
      <c r="AN797" s="181" t="str">
        <f t="shared" si="102"/>
        <v/>
      </c>
      <c r="AO797" s="192" t="str">
        <f t="shared" si="103"/>
        <v/>
      </c>
      <c r="AQ797" t="str">
        <f>IFERROR(LOOKUP(2,1/((C_Pavement!$A$5:$A$204&lt;&gt;"")*(C_Pavement!$A$5:$A$204&lt;=$B797)*(C_Pavement!$B$5:$B$204&gt;$B797)*(C_Pavement!$C$5:$C$204&lt;&gt;"")),ROW(C_Pavement!$C$5:$C$204)-4),"")</f>
        <v/>
      </c>
      <c r="AR797" t="str">
        <f>IF($AQ797="","",UPPER(TRIM(INDEX(C_Pavement!$C$5:$C$204,$AQ797))))</f>
        <v/>
      </c>
      <c r="AS797" t="str">
        <f>IF($AR797="","",IFERROR(MATCH($AR797,E_Rules!$A$5:$A$9,0),""))</f>
        <v/>
      </c>
      <c r="AT797" t="str">
        <f>IF($AQ797="","",IF(INDEX(C_Pavement!$D$5:$D$204,$AQ797)&lt;&gt;"",UPPER(TRIM(INDEX(C_Pavement!$D$5:$D$204,$AQ797))),IF($AS797="","",INDEX(E_Rules!$C$5:$C$9,$AS797))))</f>
        <v/>
      </c>
      <c r="AU797" t="str">
        <f>IF($AQ797="","",IF(INDEX(C_Pavement!$E$5:$E$204,$AQ797)&lt;&gt;"",IF(INDEX(C_Pavement!$E$5:$E$204,$AQ797)="-","",INDEX(C_Pavement!$E$5:$E$204,$AQ797)),IF($AS797="","",INDEX(E_Rules!$D$5:$D$9,$AS797))))</f>
        <v/>
      </c>
      <c r="AV797" t="str">
        <f>IF($AQ797="","",IF(INDEX(C_Pavement!$F$5:$F$204,$AQ797)&lt;&gt;"",IF(INDEX(C_Pavement!$F$5:$F$204,$AQ797)="-","",INDEX(C_Pavement!$F$5:$F$204,$AQ797)),IF($AS797="","",INDEX(E_Rules!$E$5:$E$9,$AS797))))</f>
        <v/>
      </c>
      <c r="AW797" t="str">
        <f>IF($AQ797="","",IF(INDEX(C_Pavement!$G$5:$G$204,$AQ797)&lt;&gt;"",IF(INDEX(C_Pavement!$G$5:$G$204,$AQ797)="-","",INDEX(C_Pavement!$G$5:$G$204,$AQ797)),IF($AS797="","",INDEX(E_Rules!$F$5:$F$9,$AS797))))</f>
        <v/>
      </c>
      <c r="AX797" t="str">
        <f>IF($AQ797="","",IF(INDEX(C_Pavement!$H$5:$H$204,$AQ797)&lt;&gt;"",IF(INDEX(C_Pavement!$H$5:$H$204,$AQ797)="-","",INDEX(C_Pavement!$H$5:$H$204,$AQ797)),IF($AS797="","",INDEX(E_Rules!$G$5:$G$9,$AS797))))</f>
        <v/>
      </c>
      <c r="AY797" t="str">
        <f>IF($AQ797="","",IF(INDEX(C_Pavement!$I$5:$I$204,$AQ797)&lt;&gt;"",IF(INDEX(C_Pavement!$I$5:$I$204,$AQ797)="-","",INDEX(C_Pavement!$I$5:$I$204,$AQ797)),IF($AS797="","",INDEX(E_Rules!$H$5:$H$9,$AS797))))</f>
        <v/>
      </c>
    </row>
    <row r="798" spans="1:51" ht="15.75" customHeight="1" x14ac:dyDescent="0.3">
      <c r="A798" s="189">
        <v>793</v>
      </c>
      <c r="B798" s="180">
        <v>39600</v>
      </c>
      <c r="C798" s="180" t="s">
        <v>1104</v>
      </c>
      <c r="D798" s="181" t="str">
        <f>IFERROR(LOOKUP(2,1/((A_Corridor!$A$5:$A$204&lt;&gt;"")*(A_Corridor!$A$5:$A$204&lt;=$B798)*(A_Corridor!$B$5:$B$204&gt;$B798)*(A_Corridor!$C$5:$C$204&lt;&gt;"")),IF(UPPER(A_Corridor!$C$5:$C$204)="Y",1,"")),"")</f>
        <v/>
      </c>
      <c r="E798" s="181" t="str">
        <f>IFERROR(LOOKUP(2,1/((A_Corridor!$A$5:$A$204&lt;&gt;"")*(A_Corridor!$A$5:$A$204&lt;=$B798)*(A_Corridor!$B$5:$B$204&gt;$B798)*(A_Corridor!$D$5:$D$204&lt;&gt;"")),IF(A_Corridor!$D$5:$D$204="-","",UPPER(A_Corridor!$D$5:$D$204))),"")</f>
        <v/>
      </c>
      <c r="F798" s="181" t="str">
        <f>IFERROR(LOOKUP(2,1/((A_Corridor!$A$5:$A$204&lt;&gt;"")*(A_Corridor!$A$5:$A$204&lt;=$B798)*(A_Corridor!$B$5:$B$204&gt;$B798)*(A_Corridor!$E$5:$E$204&lt;&gt;"")),IF(A_Corridor!$E$5:$E$204="-","",1)),"")</f>
        <v/>
      </c>
      <c r="G798" s="182" t="str">
        <f>IFERROR(LOOKUP(2,1/((A_Corridor!$A$5:$A$204&lt;&gt;"")*(A_Corridor!$A$5:$A$204&lt;=$B798)*(A_Corridor!$B$5:$B$204&gt;$B798)*(A_Corridor!$E$5:$E$204&lt;&gt;"")),IF(A_Corridor!$E$5:$E$204="-","",A_Corridor!$E$5:$E$204)),"")</f>
        <v/>
      </c>
      <c r="H798" s="182" t="str">
        <f>IFERROR(LOOKUP(2,1/((D_Points!$A$5:$A$204&lt;&gt;"")*(D_Points!$A$5:$A$204&gt;=$B798)*(D_Points!$A$5:$A$204&lt;$B798+P_Interval)*(UPPER(TRIM(D_Points!$B$5:$B$204))="GULLY")*(D_Points!$H$5:$H$204&lt;&gt;"")),D_Points!$H$5:$H$204),"")</f>
        <v/>
      </c>
      <c r="I798" s="181" t="str">
        <f>IFERROR(LOOKUP(2,1/((A_Corridor!$A$5:$A$204&lt;&gt;"")*(A_Corridor!$A$5:$A$204&lt;=$B798)*(A_Corridor!$B$5:$B$204&gt;$B798)*(A_Corridor!$F$5:$F$204&lt;&gt;"")),IF(A_Corridor!$F$5:$F$204="-","",1)),"")</f>
        <v/>
      </c>
      <c r="J798" s="182" t="str">
        <f>IFERROR(LOOKUP(2,1/((A_Corridor!$A$5:$A$204&lt;&gt;"")*(A_Corridor!$A$5:$A$204&lt;=$B798)*(A_Corridor!$B$5:$B$204&gt;$B798)*(A_Corridor!$F$5:$F$204&lt;&gt;"")),IF(A_Corridor!$F$5:$F$204="-","",A_Corridor!$F$5:$F$204)),"")</f>
        <v/>
      </c>
      <c r="K798" s="182" t="str">
        <f>IFERROR(LOOKUP(2,1/((A_Corridor!$A$5:$A$204&lt;&gt;"")*(A_Corridor!$A$5:$A$204&lt;=$B798)*(A_Corridor!$B$5:$B$204&gt;$B798)*(A_Corridor!$G$5:$G$204&lt;&gt;"")),IF(A_Corridor!$G$5:$G$204="-","",A_Corridor!$G$5:$G$204)),"")</f>
        <v/>
      </c>
      <c r="L798" s="181" t="str">
        <f>IFERROR(LOOKUP(2,1/((A_Corridor!$A$5:$A$204&lt;&gt;"")*(A_Corridor!$A$5:$A$204&lt;=$B798)*(A_Corridor!$B$5:$B$204&gt;$B798)*(A_Corridor!$H$5:$H$204&lt;&gt;"")),IF(A_Corridor!$H$5:$H$204="-","",1)),"")</f>
        <v/>
      </c>
      <c r="M798" s="182" t="str">
        <f>IFERROR(LOOKUP(2,1/((A_Corridor!$A$5:$A$204&lt;&gt;"")*(A_Corridor!$A$5:$A$204&lt;=$B798)*(A_Corridor!$B$5:$B$204&gt;$B798)*(A_Corridor!$H$5:$H$204&lt;&gt;"")),IF(A_Corridor!$H$5:$H$204="-","",A_Corridor!$H$5:$H$204)),"")</f>
        <v/>
      </c>
      <c r="N798" s="182" t="str">
        <f>IFERROR(LOOKUP(2,1/((A_Corridor!$A$5:$A$204&lt;&gt;"")*(A_Corridor!$A$5:$A$204&lt;=$B798)*(A_Corridor!$B$5:$B$204&gt;$B798)*(A_Corridor!$I$5:$I$204&lt;&gt;"")),IF(A_Corridor!$I$5:$I$204="-","",A_Corridor!$I$5:$I$204)),"")</f>
        <v/>
      </c>
      <c r="O798" s="182" t="str">
        <f>IFERROR(LOOKUP(2,1/((D_Points!$A$5:$A$204&lt;&gt;"")*(D_Points!$A$5:$A$204&gt;=$B798)*(D_Points!$A$5:$A$204&lt;$B798+P_Interval)*(UPPER(TRIM(D_Points!$B$5:$B$204))="PITCHING")*(D_Points!$H$5:$H$204&lt;&gt;"")),D_Points!$H$5:$H$204),"")</f>
        <v/>
      </c>
      <c r="P798" s="181" t="str">
        <f>IFERROR(LOOKUP(2,1/((B_Drainage!$A$5:$A$204&lt;&gt;"")*(B_Drainage!$A$5:$A$204&lt;=$B798)*(B_Drainage!$B$5:$B$204&gt;$B798)*(B_Drainage!$C$5:$C$204&lt;&gt;"")),IF(B_Drainage!$C$5:$C$204="-","",UPPER(B_Drainage!$C$5:$C$204))),"")</f>
        <v/>
      </c>
      <c r="Q798" s="181" t="str">
        <f>IFERROR(LOOKUP(2,1/((B_Drainage!$A$5:$A$204&lt;&gt;"")*(B_Drainage!$A$5:$A$204&lt;=$B798)*(B_Drainage!$B$5:$B$204&gt;$B798)*(B_Drainage!$D$5:$D$204&lt;&gt;"")),IF(B_Drainage!$D$5:$D$204="-","",UPPER(B_Drainage!$D$5:$D$204))),"")</f>
        <v/>
      </c>
      <c r="R798" s="182" t="str">
        <f>IFERROR(LOOKUP(2,1/((D_Points!$A$5:$A$204&lt;&gt;"")*(D_Points!$A$5:$A$204&gt;=$B798)*(D_Points!$A$5:$A$204&lt;$B798+P_Interval)*(RIGHT(UPPER(TRIM(D_Points!$B$5:$B$204)),8)="_CULVERT")),IF(LEFT(UPPER(TRIM(D_Points!$B$5:$B$204)),2)="EX",1,IF(LEFT(UPPER(TRIM(D_Points!$B$5:$B$204)),2)="PR",2,3))),"")</f>
        <v/>
      </c>
      <c r="S798" s="182" t="str">
        <f>IFERROR(LOOKUP(2,1/((D_Points!$A$5:$A$204&lt;&gt;"")*(D_Points!$A$5:$A$204&gt;=$B798)*(D_Points!$A$5:$A$204&lt;$B798+P_Interval)*(RIGHT(UPPER(TRIM(D_Points!$B$5:$B$204)),7)="_BRIDGE")),IF(LEFT(UPPER(TRIM(D_Points!$B$5:$B$204)),2)="EX",1,IF(LEFT(UPPER(TRIM(D_Points!$B$5:$B$204)),2)="PR",2,2))),"")</f>
        <v/>
      </c>
      <c r="T798" s="181" t="str">
        <f>IFERROR(LOOKUP(2,1/((B_Drainage!$A$5:$A$204&lt;&gt;"")*(B_Drainage!$A$5:$A$204&lt;=$B798)*(B_Drainage!$B$5:$B$204&gt;$B798)*(B_Drainage!$E$5:$E$204&lt;&gt;"")),IF(B_Drainage!$E$5:$E$204="-","",1)),"")</f>
        <v/>
      </c>
      <c r="U798" s="181" t="str">
        <f>IFERROR(LOOKUP(2,1/((B_Drainage!$A$5:$A$204&lt;&gt;"")*(B_Drainage!$A$5:$A$204&lt;=$B798)*(B_Drainage!$B$5:$B$204&gt;$B798)*(B_Drainage!$E$5:$E$204&lt;&gt;"")),IF(B_Drainage!$E$5:$E$204="-","",B_Drainage!$E$5:$E$204)),"")</f>
        <v/>
      </c>
      <c r="V798" s="181" t="str">
        <f>IFERROR(LOOKUP(2,1/((B_Drainage!$A$5:$A$204&lt;&gt;"")*(B_Drainage!$A$5:$A$204&lt;=$B798)*(B_Drainage!$B$5:$B$204&gt;$B798)*(B_Drainage!$F$5:$F$204&lt;&gt;"")),IF(B_Drainage!$F$5:$F$204="-","",1)),"")</f>
        <v/>
      </c>
      <c r="W798" s="181" t="str">
        <f>IFERROR(LOOKUP(2,1/((B_Drainage!$A$5:$A$204&lt;&gt;"")*(B_Drainage!$A$5:$A$204&lt;=$B798)*(B_Drainage!$B$5:$B$204&gt;$B798)*(B_Drainage!$F$5:$F$204&lt;&gt;"")),IF(B_Drainage!$F$5:$F$204="-","",B_Drainage!$F$5:$F$204)),"")</f>
        <v/>
      </c>
      <c r="X798" s="181" t="str">
        <f>IFERROR(LOOKUP(2,1/((B_Drainage!$A$5:$A$204&lt;&gt;"")*(B_Drainage!$A$5:$A$204&lt;=$B798)*(B_Drainage!$B$5:$B$204&gt;$B798)*(B_Drainage!$G$5:$G$204&lt;&gt;"")),IF(UPPER(B_Drainage!$G$5:$G$204)="Y",1,"")),"")</f>
        <v/>
      </c>
      <c r="Y798" s="181" t="str">
        <f>IFERROR(LOOKUP(2,1/((B_Drainage!$A$5:$A$204&lt;&gt;"")*(B_Drainage!$A$5:$A$204&lt;=$B798)*(B_Drainage!$B$5:$B$204&gt;$B798)*(B_Drainage!$H$5:$H$204&lt;&gt;"")),IF(UPPER(B_Drainage!$H$5:$H$204)="Y",1,"")),"")</f>
        <v/>
      </c>
      <c r="Z798" s="181" t="str">
        <f>IFERROR(LOOKUP(2,1/((B_Drainage!$A$5:$A$204&lt;&gt;"")*(B_Drainage!$A$5:$A$204&lt;=$B798)*(B_Drainage!$B$5:$B$204&gt;$B798)*(B_Drainage!$I$5:$I$204&lt;&gt;"")),IF(UPPER(B_Drainage!$I$5:$I$204)="Y",1,"")),"")</f>
        <v/>
      </c>
      <c r="AA798" s="181" t="str">
        <f>IFERROR(LOOKUP(2,1/((B_Drainage!$A$5:$A$204&lt;&gt;"")*(B_Drainage!$A$5:$A$204&lt;=$B798)*(B_Drainage!$B$5:$B$204&gt;$B798)*(B_Drainage!$J$5:$J$204&lt;&gt;"")),IF(UPPER(B_Drainage!$J$5:$J$204)="Y",1,"")),"")</f>
        <v/>
      </c>
      <c r="AB798" s="182" t="str">
        <f>IFERROR(LOOKUP(2,1/((B_Drainage!$A$5:$A$204&lt;&gt;"")*(B_Drainage!$A$5:$A$204&lt;=$B798)*(B_Drainage!$B$5:$B$204&gt;$B798)*(B_Drainage!$K$5:$K$204&lt;&gt;"")),IF(B_Drainage!$K$5:$K$204="-","",B_Drainage!$K$5:$K$204)),"")</f>
        <v/>
      </c>
      <c r="AC798" s="182" t="str">
        <f>IFERROR(LOOKUP(2,1/((B_Drainage!$A$5:$A$204&lt;&gt;"")*(B_Drainage!$A$5:$A$204&lt;=$B798)*(B_Drainage!$B$5:$B$204&gt;$B798)*(B_Drainage!$L$5:$L$204&lt;&gt;"")),IF(B_Drainage!$L$5:$L$204="-","",B_Drainage!$L$5:$L$204)),"")</f>
        <v/>
      </c>
      <c r="AD798" s="182" t="str">
        <f>IFERROR(LOOKUP(2,1/((D_Points!$A$5:$A$204&lt;&gt;"")*(D_Points!$A$5:$A$204&gt;=$B798)*(D_Points!$A$5:$A$204&lt;$B798+P_Interval)*(UPPER(TRIM(D_Points!$B$5:$B$204))="TURNOUT_L")*(D_Points!$H$5:$H$204&lt;&gt;"")),D_Points!$H$5:$H$204),"")</f>
        <v/>
      </c>
      <c r="AE798" s="182" t="str">
        <f>IFERROR(LOOKUP(2,1/((D_Points!$A$5:$A$204&lt;&gt;"")*(D_Points!$A$5:$A$204&gt;=$B798)*(D_Points!$A$5:$A$204&lt;$B798+P_Interval)*(UPPER(TRIM(D_Points!$B$5:$B$204))="TURNOUT_R")*(D_Points!$H$5:$H$204&lt;&gt;"")),D_Points!$H$5:$H$204),"")</f>
        <v/>
      </c>
      <c r="AF798" s="181" t="str">
        <f>IFERROR(LOOKUP(2,1/((B_Drainage!$A$5:$A$204&lt;&gt;"")*(B_Drainage!$A$5:$A$204&lt;=$B798)*(B_Drainage!$B$5:$B$204&gt;$B798)*(B_Drainage!$M$5:$M$204&lt;&gt;"")),IF(UPPER(B_Drainage!$M$5:$M$204)="Y",1,"")),"")</f>
        <v/>
      </c>
      <c r="AG798" s="181" t="str">
        <f>IFERROR(LOOKUP(2,1/((B_Drainage!$A$5:$A$204&lt;&gt;"")*(B_Drainage!$A$5:$A$204&lt;=$B798)*(B_Drainage!$B$5:$B$204&gt;$B798)*(B_Drainage!$N$5:$N$204&lt;&gt;"")),IF(UPPER(B_Drainage!$N$5:$N$204)="Y",1,"")),"")</f>
        <v/>
      </c>
      <c r="AH798" s="181" t="str">
        <f t="shared" si="96"/>
        <v/>
      </c>
      <c r="AI798" s="181" t="str">
        <f t="shared" si="97"/>
        <v/>
      </c>
      <c r="AJ798" s="181" t="str">
        <f t="shared" si="98"/>
        <v/>
      </c>
      <c r="AK798" s="181" t="str">
        <f t="shared" si="99"/>
        <v/>
      </c>
      <c r="AL798" s="181" t="str">
        <f t="shared" si="100"/>
        <v/>
      </c>
      <c r="AM798" s="181" t="str">
        <f t="shared" si="101"/>
        <v/>
      </c>
      <c r="AN798" s="181" t="str">
        <f t="shared" si="102"/>
        <v/>
      </c>
      <c r="AO798" s="192" t="str">
        <f t="shared" si="103"/>
        <v/>
      </c>
      <c r="AQ798" t="str">
        <f>IFERROR(LOOKUP(2,1/((C_Pavement!$A$5:$A$204&lt;&gt;"")*(C_Pavement!$A$5:$A$204&lt;=$B798)*(C_Pavement!$B$5:$B$204&gt;$B798)*(C_Pavement!$C$5:$C$204&lt;&gt;"")),ROW(C_Pavement!$C$5:$C$204)-4),"")</f>
        <v/>
      </c>
      <c r="AR798" t="str">
        <f>IF($AQ798="","",UPPER(TRIM(INDEX(C_Pavement!$C$5:$C$204,$AQ798))))</f>
        <v/>
      </c>
      <c r="AS798" t="str">
        <f>IF($AR798="","",IFERROR(MATCH($AR798,E_Rules!$A$5:$A$9,0),""))</f>
        <v/>
      </c>
      <c r="AT798" t="str">
        <f>IF($AQ798="","",IF(INDEX(C_Pavement!$D$5:$D$204,$AQ798)&lt;&gt;"",UPPER(TRIM(INDEX(C_Pavement!$D$5:$D$204,$AQ798))),IF($AS798="","",INDEX(E_Rules!$C$5:$C$9,$AS798))))</f>
        <v/>
      </c>
      <c r="AU798" t="str">
        <f>IF($AQ798="","",IF(INDEX(C_Pavement!$E$5:$E$204,$AQ798)&lt;&gt;"",IF(INDEX(C_Pavement!$E$5:$E$204,$AQ798)="-","",INDEX(C_Pavement!$E$5:$E$204,$AQ798)),IF($AS798="","",INDEX(E_Rules!$D$5:$D$9,$AS798))))</f>
        <v/>
      </c>
      <c r="AV798" t="str">
        <f>IF($AQ798="","",IF(INDEX(C_Pavement!$F$5:$F$204,$AQ798)&lt;&gt;"",IF(INDEX(C_Pavement!$F$5:$F$204,$AQ798)="-","",INDEX(C_Pavement!$F$5:$F$204,$AQ798)),IF($AS798="","",INDEX(E_Rules!$E$5:$E$9,$AS798))))</f>
        <v/>
      </c>
      <c r="AW798" t="str">
        <f>IF($AQ798="","",IF(INDEX(C_Pavement!$G$5:$G$204,$AQ798)&lt;&gt;"",IF(INDEX(C_Pavement!$G$5:$G$204,$AQ798)="-","",INDEX(C_Pavement!$G$5:$G$204,$AQ798)),IF($AS798="","",INDEX(E_Rules!$F$5:$F$9,$AS798))))</f>
        <v/>
      </c>
      <c r="AX798" t="str">
        <f>IF($AQ798="","",IF(INDEX(C_Pavement!$H$5:$H$204,$AQ798)&lt;&gt;"",IF(INDEX(C_Pavement!$H$5:$H$204,$AQ798)="-","",INDEX(C_Pavement!$H$5:$H$204,$AQ798)),IF($AS798="","",INDEX(E_Rules!$G$5:$G$9,$AS798))))</f>
        <v/>
      </c>
      <c r="AY798" t="str">
        <f>IF($AQ798="","",IF(INDEX(C_Pavement!$I$5:$I$204,$AQ798)&lt;&gt;"",IF(INDEX(C_Pavement!$I$5:$I$204,$AQ798)="-","",INDEX(C_Pavement!$I$5:$I$204,$AQ798)),IF($AS798="","",INDEX(E_Rules!$H$5:$H$9,$AS798))))</f>
        <v/>
      </c>
    </row>
    <row r="799" spans="1:51" ht="15.75" customHeight="1" x14ac:dyDescent="0.3">
      <c r="A799" s="189">
        <v>794</v>
      </c>
      <c r="B799" s="180">
        <v>39650</v>
      </c>
      <c r="C799" s="180" t="s">
        <v>1105</v>
      </c>
      <c r="D799" s="181" t="str">
        <f>IFERROR(LOOKUP(2,1/((A_Corridor!$A$5:$A$204&lt;&gt;"")*(A_Corridor!$A$5:$A$204&lt;=$B799)*(A_Corridor!$B$5:$B$204&gt;$B799)*(A_Corridor!$C$5:$C$204&lt;&gt;"")),IF(UPPER(A_Corridor!$C$5:$C$204)="Y",1,"")),"")</f>
        <v/>
      </c>
      <c r="E799" s="181" t="str">
        <f>IFERROR(LOOKUP(2,1/((A_Corridor!$A$5:$A$204&lt;&gt;"")*(A_Corridor!$A$5:$A$204&lt;=$B799)*(A_Corridor!$B$5:$B$204&gt;$B799)*(A_Corridor!$D$5:$D$204&lt;&gt;"")),IF(A_Corridor!$D$5:$D$204="-","",UPPER(A_Corridor!$D$5:$D$204))),"")</f>
        <v/>
      </c>
      <c r="F799" s="181" t="str">
        <f>IFERROR(LOOKUP(2,1/((A_Corridor!$A$5:$A$204&lt;&gt;"")*(A_Corridor!$A$5:$A$204&lt;=$B799)*(A_Corridor!$B$5:$B$204&gt;$B799)*(A_Corridor!$E$5:$E$204&lt;&gt;"")),IF(A_Corridor!$E$5:$E$204="-","",1)),"")</f>
        <v/>
      </c>
      <c r="G799" s="182" t="str">
        <f>IFERROR(LOOKUP(2,1/((A_Corridor!$A$5:$A$204&lt;&gt;"")*(A_Corridor!$A$5:$A$204&lt;=$B799)*(A_Corridor!$B$5:$B$204&gt;$B799)*(A_Corridor!$E$5:$E$204&lt;&gt;"")),IF(A_Corridor!$E$5:$E$204="-","",A_Corridor!$E$5:$E$204)),"")</f>
        <v/>
      </c>
      <c r="H799" s="182" t="str">
        <f>IFERROR(LOOKUP(2,1/((D_Points!$A$5:$A$204&lt;&gt;"")*(D_Points!$A$5:$A$204&gt;=$B799)*(D_Points!$A$5:$A$204&lt;$B799+P_Interval)*(UPPER(TRIM(D_Points!$B$5:$B$204))="GULLY")*(D_Points!$H$5:$H$204&lt;&gt;"")),D_Points!$H$5:$H$204),"")</f>
        <v/>
      </c>
      <c r="I799" s="181" t="str">
        <f>IFERROR(LOOKUP(2,1/((A_Corridor!$A$5:$A$204&lt;&gt;"")*(A_Corridor!$A$5:$A$204&lt;=$B799)*(A_Corridor!$B$5:$B$204&gt;$B799)*(A_Corridor!$F$5:$F$204&lt;&gt;"")),IF(A_Corridor!$F$5:$F$204="-","",1)),"")</f>
        <v/>
      </c>
      <c r="J799" s="182" t="str">
        <f>IFERROR(LOOKUP(2,1/((A_Corridor!$A$5:$A$204&lt;&gt;"")*(A_Corridor!$A$5:$A$204&lt;=$B799)*(A_Corridor!$B$5:$B$204&gt;$B799)*(A_Corridor!$F$5:$F$204&lt;&gt;"")),IF(A_Corridor!$F$5:$F$204="-","",A_Corridor!$F$5:$F$204)),"")</f>
        <v/>
      </c>
      <c r="K799" s="182" t="str">
        <f>IFERROR(LOOKUP(2,1/((A_Corridor!$A$5:$A$204&lt;&gt;"")*(A_Corridor!$A$5:$A$204&lt;=$B799)*(A_Corridor!$B$5:$B$204&gt;$B799)*(A_Corridor!$G$5:$G$204&lt;&gt;"")),IF(A_Corridor!$G$5:$G$204="-","",A_Corridor!$G$5:$G$204)),"")</f>
        <v/>
      </c>
      <c r="L799" s="181" t="str">
        <f>IFERROR(LOOKUP(2,1/((A_Corridor!$A$5:$A$204&lt;&gt;"")*(A_Corridor!$A$5:$A$204&lt;=$B799)*(A_Corridor!$B$5:$B$204&gt;$B799)*(A_Corridor!$H$5:$H$204&lt;&gt;"")),IF(A_Corridor!$H$5:$H$204="-","",1)),"")</f>
        <v/>
      </c>
      <c r="M799" s="182" t="str">
        <f>IFERROR(LOOKUP(2,1/((A_Corridor!$A$5:$A$204&lt;&gt;"")*(A_Corridor!$A$5:$A$204&lt;=$B799)*(A_Corridor!$B$5:$B$204&gt;$B799)*(A_Corridor!$H$5:$H$204&lt;&gt;"")),IF(A_Corridor!$H$5:$H$204="-","",A_Corridor!$H$5:$H$204)),"")</f>
        <v/>
      </c>
      <c r="N799" s="182" t="str">
        <f>IFERROR(LOOKUP(2,1/((A_Corridor!$A$5:$A$204&lt;&gt;"")*(A_Corridor!$A$5:$A$204&lt;=$B799)*(A_Corridor!$B$5:$B$204&gt;$B799)*(A_Corridor!$I$5:$I$204&lt;&gt;"")),IF(A_Corridor!$I$5:$I$204="-","",A_Corridor!$I$5:$I$204)),"")</f>
        <v/>
      </c>
      <c r="O799" s="182" t="str">
        <f>IFERROR(LOOKUP(2,1/((D_Points!$A$5:$A$204&lt;&gt;"")*(D_Points!$A$5:$A$204&gt;=$B799)*(D_Points!$A$5:$A$204&lt;$B799+P_Interval)*(UPPER(TRIM(D_Points!$B$5:$B$204))="PITCHING")*(D_Points!$H$5:$H$204&lt;&gt;"")),D_Points!$H$5:$H$204),"")</f>
        <v/>
      </c>
      <c r="P799" s="181" t="str">
        <f>IFERROR(LOOKUP(2,1/((B_Drainage!$A$5:$A$204&lt;&gt;"")*(B_Drainage!$A$5:$A$204&lt;=$B799)*(B_Drainage!$B$5:$B$204&gt;$B799)*(B_Drainage!$C$5:$C$204&lt;&gt;"")),IF(B_Drainage!$C$5:$C$204="-","",UPPER(B_Drainage!$C$5:$C$204))),"")</f>
        <v/>
      </c>
      <c r="Q799" s="181" t="str">
        <f>IFERROR(LOOKUP(2,1/((B_Drainage!$A$5:$A$204&lt;&gt;"")*(B_Drainage!$A$5:$A$204&lt;=$B799)*(B_Drainage!$B$5:$B$204&gt;$B799)*(B_Drainage!$D$5:$D$204&lt;&gt;"")),IF(B_Drainage!$D$5:$D$204="-","",UPPER(B_Drainage!$D$5:$D$204))),"")</f>
        <v/>
      </c>
      <c r="R799" s="182" t="str">
        <f>IFERROR(LOOKUP(2,1/((D_Points!$A$5:$A$204&lt;&gt;"")*(D_Points!$A$5:$A$204&gt;=$B799)*(D_Points!$A$5:$A$204&lt;$B799+P_Interval)*(RIGHT(UPPER(TRIM(D_Points!$B$5:$B$204)),8)="_CULVERT")),IF(LEFT(UPPER(TRIM(D_Points!$B$5:$B$204)),2)="EX",1,IF(LEFT(UPPER(TRIM(D_Points!$B$5:$B$204)),2)="PR",2,3))),"")</f>
        <v/>
      </c>
      <c r="S799" s="182" t="str">
        <f>IFERROR(LOOKUP(2,1/((D_Points!$A$5:$A$204&lt;&gt;"")*(D_Points!$A$5:$A$204&gt;=$B799)*(D_Points!$A$5:$A$204&lt;$B799+P_Interval)*(RIGHT(UPPER(TRIM(D_Points!$B$5:$B$204)),7)="_BRIDGE")),IF(LEFT(UPPER(TRIM(D_Points!$B$5:$B$204)),2)="EX",1,IF(LEFT(UPPER(TRIM(D_Points!$B$5:$B$204)),2)="PR",2,2))),"")</f>
        <v/>
      </c>
      <c r="T799" s="181" t="str">
        <f>IFERROR(LOOKUP(2,1/((B_Drainage!$A$5:$A$204&lt;&gt;"")*(B_Drainage!$A$5:$A$204&lt;=$B799)*(B_Drainage!$B$5:$B$204&gt;$B799)*(B_Drainage!$E$5:$E$204&lt;&gt;"")),IF(B_Drainage!$E$5:$E$204="-","",1)),"")</f>
        <v/>
      </c>
      <c r="U799" s="181" t="str">
        <f>IFERROR(LOOKUP(2,1/((B_Drainage!$A$5:$A$204&lt;&gt;"")*(B_Drainage!$A$5:$A$204&lt;=$B799)*(B_Drainage!$B$5:$B$204&gt;$B799)*(B_Drainage!$E$5:$E$204&lt;&gt;"")),IF(B_Drainage!$E$5:$E$204="-","",B_Drainage!$E$5:$E$204)),"")</f>
        <v/>
      </c>
      <c r="V799" s="181" t="str">
        <f>IFERROR(LOOKUP(2,1/((B_Drainage!$A$5:$A$204&lt;&gt;"")*(B_Drainage!$A$5:$A$204&lt;=$B799)*(B_Drainage!$B$5:$B$204&gt;$B799)*(B_Drainage!$F$5:$F$204&lt;&gt;"")),IF(B_Drainage!$F$5:$F$204="-","",1)),"")</f>
        <v/>
      </c>
      <c r="W799" s="181" t="str">
        <f>IFERROR(LOOKUP(2,1/((B_Drainage!$A$5:$A$204&lt;&gt;"")*(B_Drainage!$A$5:$A$204&lt;=$B799)*(B_Drainage!$B$5:$B$204&gt;$B799)*(B_Drainage!$F$5:$F$204&lt;&gt;"")),IF(B_Drainage!$F$5:$F$204="-","",B_Drainage!$F$5:$F$204)),"")</f>
        <v/>
      </c>
      <c r="X799" s="181" t="str">
        <f>IFERROR(LOOKUP(2,1/((B_Drainage!$A$5:$A$204&lt;&gt;"")*(B_Drainage!$A$5:$A$204&lt;=$B799)*(B_Drainage!$B$5:$B$204&gt;$B799)*(B_Drainage!$G$5:$G$204&lt;&gt;"")),IF(UPPER(B_Drainage!$G$5:$G$204)="Y",1,"")),"")</f>
        <v/>
      </c>
      <c r="Y799" s="181" t="str">
        <f>IFERROR(LOOKUP(2,1/((B_Drainage!$A$5:$A$204&lt;&gt;"")*(B_Drainage!$A$5:$A$204&lt;=$B799)*(B_Drainage!$B$5:$B$204&gt;$B799)*(B_Drainage!$H$5:$H$204&lt;&gt;"")),IF(UPPER(B_Drainage!$H$5:$H$204)="Y",1,"")),"")</f>
        <v/>
      </c>
      <c r="Z799" s="181" t="str">
        <f>IFERROR(LOOKUP(2,1/((B_Drainage!$A$5:$A$204&lt;&gt;"")*(B_Drainage!$A$5:$A$204&lt;=$B799)*(B_Drainage!$B$5:$B$204&gt;$B799)*(B_Drainage!$I$5:$I$204&lt;&gt;"")),IF(UPPER(B_Drainage!$I$5:$I$204)="Y",1,"")),"")</f>
        <v/>
      </c>
      <c r="AA799" s="181" t="str">
        <f>IFERROR(LOOKUP(2,1/((B_Drainage!$A$5:$A$204&lt;&gt;"")*(B_Drainage!$A$5:$A$204&lt;=$B799)*(B_Drainage!$B$5:$B$204&gt;$B799)*(B_Drainage!$J$5:$J$204&lt;&gt;"")),IF(UPPER(B_Drainage!$J$5:$J$204)="Y",1,"")),"")</f>
        <v/>
      </c>
      <c r="AB799" s="182" t="str">
        <f>IFERROR(LOOKUP(2,1/((B_Drainage!$A$5:$A$204&lt;&gt;"")*(B_Drainage!$A$5:$A$204&lt;=$B799)*(B_Drainage!$B$5:$B$204&gt;$B799)*(B_Drainage!$K$5:$K$204&lt;&gt;"")),IF(B_Drainage!$K$5:$K$204="-","",B_Drainage!$K$5:$K$204)),"")</f>
        <v/>
      </c>
      <c r="AC799" s="182" t="str">
        <f>IFERROR(LOOKUP(2,1/((B_Drainage!$A$5:$A$204&lt;&gt;"")*(B_Drainage!$A$5:$A$204&lt;=$B799)*(B_Drainage!$B$5:$B$204&gt;$B799)*(B_Drainage!$L$5:$L$204&lt;&gt;"")),IF(B_Drainage!$L$5:$L$204="-","",B_Drainage!$L$5:$L$204)),"")</f>
        <v/>
      </c>
      <c r="AD799" s="182" t="str">
        <f>IFERROR(LOOKUP(2,1/((D_Points!$A$5:$A$204&lt;&gt;"")*(D_Points!$A$5:$A$204&gt;=$B799)*(D_Points!$A$5:$A$204&lt;$B799+P_Interval)*(UPPER(TRIM(D_Points!$B$5:$B$204))="TURNOUT_L")*(D_Points!$H$5:$H$204&lt;&gt;"")),D_Points!$H$5:$H$204),"")</f>
        <v/>
      </c>
      <c r="AE799" s="182" t="str">
        <f>IFERROR(LOOKUP(2,1/((D_Points!$A$5:$A$204&lt;&gt;"")*(D_Points!$A$5:$A$204&gt;=$B799)*(D_Points!$A$5:$A$204&lt;$B799+P_Interval)*(UPPER(TRIM(D_Points!$B$5:$B$204))="TURNOUT_R")*(D_Points!$H$5:$H$204&lt;&gt;"")),D_Points!$H$5:$H$204),"")</f>
        <v/>
      </c>
      <c r="AF799" s="181" t="str">
        <f>IFERROR(LOOKUP(2,1/((B_Drainage!$A$5:$A$204&lt;&gt;"")*(B_Drainage!$A$5:$A$204&lt;=$B799)*(B_Drainage!$B$5:$B$204&gt;$B799)*(B_Drainage!$M$5:$M$204&lt;&gt;"")),IF(UPPER(B_Drainage!$M$5:$M$204)="Y",1,"")),"")</f>
        <v/>
      </c>
      <c r="AG799" s="181" t="str">
        <f>IFERROR(LOOKUP(2,1/((B_Drainage!$A$5:$A$204&lt;&gt;"")*(B_Drainage!$A$5:$A$204&lt;=$B799)*(B_Drainage!$B$5:$B$204&gt;$B799)*(B_Drainage!$N$5:$N$204&lt;&gt;"")),IF(UPPER(B_Drainage!$N$5:$N$204)="Y",1,"")),"")</f>
        <v/>
      </c>
      <c r="AH799" s="181" t="str">
        <f t="shared" si="96"/>
        <v/>
      </c>
      <c r="AI799" s="181" t="str">
        <f t="shared" si="97"/>
        <v/>
      </c>
      <c r="AJ799" s="181" t="str">
        <f t="shared" si="98"/>
        <v/>
      </c>
      <c r="AK799" s="181" t="str">
        <f t="shared" si="99"/>
        <v/>
      </c>
      <c r="AL799" s="181" t="str">
        <f t="shared" si="100"/>
        <v/>
      </c>
      <c r="AM799" s="181" t="str">
        <f t="shared" si="101"/>
        <v/>
      </c>
      <c r="AN799" s="181" t="str">
        <f t="shared" si="102"/>
        <v/>
      </c>
      <c r="AO799" s="192" t="str">
        <f t="shared" si="103"/>
        <v/>
      </c>
      <c r="AQ799" t="str">
        <f>IFERROR(LOOKUP(2,1/((C_Pavement!$A$5:$A$204&lt;&gt;"")*(C_Pavement!$A$5:$A$204&lt;=$B799)*(C_Pavement!$B$5:$B$204&gt;$B799)*(C_Pavement!$C$5:$C$204&lt;&gt;"")),ROW(C_Pavement!$C$5:$C$204)-4),"")</f>
        <v/>
      </c>
      <c r="AR799" t="str">
        <f>IF($AQ799="","",UPPER(TRIM(INDEX(C_Pavement!$C$5:$C$204,$AQ799))))</f>
        <v/>
      </c>
      <c r="AS799" t="str">
        <f>IF($AR799="","",IFERROR(MATCH($AR799,E_Rules!$A$5:$A$9,0),""))</f>
        <v/>
      </c>
      <c r="AT799" t="str">
        <f>IF($AQ799="","",IF(INDEX(C_Pavement!$D$5:$D$204,$AQ799)&lt;&gt;"",UPPER(TRIM(INDEX(C_Pavement!$D$5:$D$204,$AQ799))),IF($AS799="","",INDEX(E_Rules!$C$5:$C$9,$AS799))))</f>
        <v/>
      </c>
      <c r="AU799" t="str">
        <f>IF($AQ799="","",IF(INDEX(C_Pavement!$E$5:$E$204,$AQ799)&lt;&gt;"",IF(INDEX(C_Pavement!$E$5:$E$204,$AQ799)="-","",INDEX(C_Pavement!$E$5:$E$204,$AQ799)),IF($AS799="","",INDEX(E_Rules!$D$5:$D$9,$AS799))))</f>
        <v/>
      </c>
      <c r="AV799" t="str">
        <f>IF($AQ799="","",IF(INDEX(C_Pavement!$F$5:$F$204,$AQ799)&lt;&gt;"",IF(INDEX(C_Pavement!$F$5:$F$204,$AQ799)="-","",INDEX(C_Pavement!$F$5:$F$204,$AQ799)),IF($AS799="","",INDEX(E_Rules!$E$5:$E$9,$AS799))))</f>
        <v/>
      </c>
      <c r="AW799" t="str">
        <f>IF($AQ799="","",IF(INDEX(C_Pavement!$G$5:$G$204,$AQ799)&lt;&gt;"",IF(INDEX(C_Pavement!$G$5:$G$204,$AQ799)="-","",INDEX(C_Pavement!$G$5:$G$204,$AQ799)),IF($AS799="","",INDEX(E_Rules!$F$5:$F$9,$AS799))))</f>
        <v/>
      </c>
      <c r="AX799" t="str">
        <f>IF($AQ799="","",IF(INDEX(C_Pavement!$H$5:$H$204,$AQ799)&lt;&gt;"",IF(INDEX(C_Pavement!$H$5:$H$204,$AQ799)="-","",INDEX(C_Pavement!$H$5:$H$204,$AQ799)),IF($AS799="","",INDEX(E_Rules!$G$5:$G$9,$AS799))))</f>
        <v/>
      </c>
      <c r="AY799" t="str">
        <f>IF($AQ799="","",IF(INDEX(C_Pavement!$I$5:$I$204,$AQ799)&lt;&gt;"",IF(INDEX(C_Pavement!$I$5:$I$204,$AQ799)="-","",INDEX(C_Pavement!$I$5:$I$204,$AQ799)),IF($AS799="","",INDEX(E_Rules!$H$5:$H$9,$AS799))))</f>
        <v/>
      </c>
    </row>
    <row r="800" spans="1:51" ht="15.75" customHeight="1" x14ac:dyDescent="0.3">
      <c r="A800" s="189">
        <v>795</v>
      </c>
      <c r="B800" s="180">
        <v>39700</v>
      </c>
      <c r="C800" s="180" t="s">
        <v>1106</v>
      </c>
      <c r="D800" s="181" t="str">
        <f>IFERROR(LOOKUP(2,1/((A_Corridor!$A$5:$A$204&lt;&gt;"")*(A_Corridor!$A$5:$A$204&lt;=$B800)*(A_Corridor!$B$5:$B$204&gt;$B800)*(A_Corridor!$C$5:$C$204&lt;&gt;"")),IF(UPPER(A_Corridor!$C$5:$C$204)="Y",1,"")),"")</f>
        <v/>
      </c>
      <c r="E800" s="181" t="str">
        <f>IFERROR(LOOKUP(2,1/((A_Corridor!$A$5:$A$204&lt;&gt;"")*(A_Corridor!$A$5:$A$204&lt;=$B800)*(A_Corridor!$B$5:$B$204&gt;$B800)*(A_Corridor!$D$5:$D$204&lt;&gt;"")),IF(A_Corridor!$D$5:$D$204="-","",UPPER(A_Corridor!$D$5:$D$204))),"")</f>
        <v/>
      </c>
      <c r="F800" s="181" t="str">
        <f>IFERROR(LOOKUP(2,1/((A_Corridor!$A$5:$A$204&lt;&gt;"")*(A_Corridor!$A$5:$A$204&lt;=$B800)*(A_Corridor!$B$5:$B$204&gt;$B800)*(A_Corridor!$E$5:$E$204&lt;&gt;"")),IF(A_Corridor!$E$5:$E$204="-","",1)),"")</f>
        <v/>
      </c>
      <c r="G800" s="182" t="str">
        <f>IFERROR(LOOKUP(2,1/((A_Corridor!$A$5:$A$204&lt;&gt;"")*(A_Corridor!$A$5:$A$204&lt;=$B800)*(A_Corridor!$B$5:$B$204&gt;$B800)*(A_Corridor!$E$5:$E$204&lt;&gt;"")),IF(A_Corridor!$E$5:$E$204="-","",A_Corridor!$E$5:$E$204)),"")</f>
        <v/>
      </c>
      <c r="H800" s="182" t="str">
        <f>IFERROR(LOOKUP(2,1/((D_Points!$A$5:$A$204&lt;&gt;"")*(D_Points!$A$5:$A$204&gt;=$B800)*(D_Points!$A$5:$A$204&lt;$B800+P_Interval)*(UPPER(TRIM(D_Points!$B$5:$B$204))="GULLY")*(D_Points!$H$5:$H$204&lt;&gt;"")),D_Points!$H$5:$H$204),"")</f>
        <v/>
      </c>
      <c r="I800" s="181" t="str">
        <f>IFERROR(LOOKUP(2,1/((A_Corridor!$A$5:$A$204&lt;&gt;"")*(A_Corridor!$A$5:$A$204&lt;=$B800)*(A_Corridor!$B$5:$B$204&gt;$B800)*(A_Corridor!$F$5:$F$204&lt;&gt;"")),IF(A_Corridor!$F$5:$F$204="-","",1)),"")</f>
        <v/>
      </c>
      <c r="J800" s="182" t="str">
        <f>IFERROR(LOOKUP(2,1/((A_Corridor!$A$5:$A$204&lt;&gt;"")*(A_Corridor!$A$5:$A$204&lt;=$B800)*(A_Corridor!$B$5:$B$204&gt;$B800)*(A_Corridor!$F$5:$F$204&lt;&gt;"")),IF(A_Corridor!$F$5:$F$204="-","",A_Corridor!$F$5:$F$204)),"")</f>
        <v/>
      </c>
      <c r="K800" s="182" t="str">
        <f>IFERROR(LOOKUP(2,1/((A_Corridor!$A$5:$A$204&lt;&gt;"")*(A_Corridor!$A$5:$A$204&lt;=$B800)*(A_Corridor!$B$5:$B$204&gt;$B800)*(A_Corridor!$G$5:$G$204&lt;&gt;"")),IF(A_Corridor!$G$5:$G$204="-","",A_Corridor!$G$5:$G$204)),"")</f>
        <v/>
      </c>
      <c r="L800" s="181" t="str">
        <f>IFERROR(LOOKUP(2,1/((A_Corridor!$A$5:$A$204&lt;&gt;"")*(A_Corridor!$A$5:$A$204&lt;=$B800)*(A_Corridor!$B$5:$B$204&gt;$B800)*(A_Corridor!$H$5:$H$204&lt;&gt;"")),IF(A_Corridor!$H$5:$H$204="-","",1)),"")</f>
        <v/>
      </c>
      <c r="M800" s="182" t="str">
        <f>IFERROR(LOOKUP(2,1/((A_Corridor!$A$5:$A$204&lt;&gt;"")*(A_Corridor!$A$5:$A$204&lt;=$B800)*(A_Corridor!$B$5:$B$204&gt;$B800)*(A_Corridor!$H$5:$H$204&lt;&gt;"")),IF(A_Corridor!$H$5:$H$204="-","",A_Corridor!$H$5:$H$204)),"")</f>
        <v/>
      </c>
      <c r="N800" s="182" t="str">
        <f>IFERROR(LOOKUP(2,1/((A_Corridor!$A$5:$A$204&lt;&gt;"")*(A_Corridor!$A$5:$A$204&lt;=$B800)*(A_Corridor!$B$5:$B$204&gt;$B800)*(A_Corridor!$I$5:$I$204&lt;&gt;"")),IF(A_Corridor!$I$5:$I$204="-","",A_Corridor!$I$5:$I$204)),"")</f>
        <v/>
      </c>
      <c r="O800" s="182" t="str">
        <f>IFERROR(LOOKUP(2,1/((D_Points!$A$5:$A$204&lt;&gt;"")*(D_Points!$A$5:$A$204&gt;=$B800)*(D_Points!$A$5:$A$204&lt;$B800+P_Interval)*(UPPER(TRIM(D_Points!$B$5:$B$204))="PITCHING")*(D_Points!$H$5:$H$204&lt;&gt;"")),D_Points!$H$5:$H$204),"")</f>
        <v/>
      </c>
      <c r="P800" s="181" t="str">
        <f>IFERROR(LOOKUP(2,1/((B_Drainage!$A$5:$A$204&lt;&gt;"")*(B_Drainage!$A$5:$A$204&lt;=$B800)*(B_Drainage!$B$5:$B$204&gt;$B800)*(B_Drainage!$C$5:$C$204&lt;&gt;"")),IF(B_Drainage!$C$5:$C$204="-","",UPPER(B_Drainage!$C$5:$C$204))),"")</f>
        <v/>
      </c>
      <c r="Q800" s="181" t="str">
        <f>IFERROR(LOOKUP(2,1/((B_Drainage!$A$5:$A$204&lt;&gt;"")*(B_Drainage!$A$5:$A$204&lt;=$B800)*(B_Drainage!$B$5:$B$204&gt;$B800)*(B_Drainage!$D$5:$D$204&lt;&gt;"")),IF(B_Drainage!$D$5:$D$204="-","",UPPER(B_Drainage!$D$5:$D$204))),"")</f>
        <v/>
      </c>
      <c r="R800" s="182" t="str">
        <f>IFERROR(LOOKUP(2,1/((D_Points!$A$5:$A$204&lt;&gt;"")*(D_Points!$A$5:$A$204&gt;=$B800)*(D_Points!$A$5:$A$204&lt;$B800+P_Interval)*(RIGHT(UPPER(TRIM(D_Points!$B$5:$B$204)),8)="_CULVERT")),IF(LEFT(UPPER(TRIM(D_Points!$B$5:$B$204)),2)="EX",1,IF(LEFT(UPPER(TRIM(D_Points!$B$5:$B$204)),2)="PR",2,3))),"")</f>
        <v/>
      </c>
      <c r="S800" s="182" t="str">
        <f>IFERROR(LOOKUP(2,1/((D_Points!$A$5:$A$204&lt;&gt;"")*(D_Points!$A$5:$A$204&gt;=$B800)*(D_Points!$A$5:$A$204&lt;$B800+P_Interval)*(RIGHT(UPPER(TRIM(D_Points!$B$5:$B$204)),7)="_BRIDGE")),IF(LEFT(UPPER(TRIM(D_Points!$B$5:$B$204)),2)="EX",1,IF(LEFT(UPPER(TRIM(D_Points!$B$5:$B$204)),2)="PR",2,2))),"")</f>
        <v/>
      </c>
      <c r="T800" s="181" t="str">
        <f>IFERROR(LOOKUP(2,1/((B_Drainage!$A$5:$A$204&lt;&gt;"")*(B_Drainage!$A$5:$A$204&lt;=$B800)*(B_Drainage!$B$5:$B$204&gt;$B800)*(B_Drainage!$E$5:$E$204&lt;&gt;"")),IF(B_Drainage!$E$5:$E$204="-","",1)),"")</f>
        <v/>
      </c>
      <c r="U800" s="181" t="str">
        <f>IFERROR(LOOKUP(2,1/((B_Drainage!$A$5:$A$204&lt;&gt;"")*(B_Drainage!$A$5:$A$204&lt;=$B800)*(B_Drainage!$B$5:$B$204&gt;$B800)*(B_Drainage!$E$5:$E$204&lt;&gt;"")),IF(B_Drainage!$E$5:$E$204="-","",B_Drainage!$E$5:$E$204)),"")</f>
        <v/>
      </c>
      <c r="V800" s="181" t="str">
        <f>IFERROR(LOOKUP(2,1/((B_Drainage!$A$5:$A$204&lt;&gt;"")*(B_Drainage!$A$5:$A$204&lt;=$B800)*(B_Drainage!$B$5:$B$204&gt;$B800)*(B_Drainage!$F$5:$F$204&lt;&gt;"")),IF(B_Drainage!$F$5:$F$204="-","",1)),"")</f>
        <v/>
      </c>
      <c r="W800" s="181" t="str">
        <f>IFERROR(LOOKUP(2,1/((B_Drainage!$A$5:$A$204&lt;&gt;"")*(B_Drainage!$A$5:$A$204&lt;=$B800)*(B_Drainage!$B$5:$B$204&gt;$B800)*(B_Drainage!$F$5:$F$204&lt;&gt;"")),IF(B_Drainage!$F$5:$F$204="-","",B_Drainage!$F$5:$F$204)),"")</f>
        <v/>
      </c>
      <c r="X800" s="181" t="str">
        <f>IFERROR(LOOKUP(2,1/((B_Drainage!$A$5:$A$204&lt;&gt;"")*(B_Drainage!$A$5:$A$204&lt;=$B800)*(B_Drainage!$B$5:$B$204&gt;$B800)*(B_Drainage!$G$5:$G$204&lt;&gt;"")),IF(UPPER(B_Drainage!$G$5:$G$204)="Y",1,"")),"")</f>
        <v/>
      </c>
      <c r="Y800" s="181" t="str">
        <f>IFERROR(LOOKUP(2,1/((B_Drainage!$A$5:$A$204&lt;&gt;"")*(B_Drainage!$A$5:$A$204&lt;=$B800)*(B_Drainage!$B$5:$B$204&gt;$B800)*(B_Drainage!$H$5:$H$204&lt;&gt;"")),IF(UPPER(B_Drainage!$H$5:$H$204)="Y",1,"")),"")</f>
        <v/>
      </c>
      <c r="Z800" s="181" t="str">
        <f>IFERROR(LOOKUP(2,1/((B_Drainage!$A$5:$A$204&lt;&gt;"")*(B_Drainage!$A$5:$A$204&lt;=$B800)*(B_Drainage!$B$5:$B$204&gt;$B800)*(B_Drainage!$I$5:$I$204&lt;&gt;"")),IF(UPPER(B_Drainage!$I$5:$I$204)="Y",1,"")),"")</f>
        <v/>
      </c>
      <c r="AA800" s="181" t="str">
        <f>IFERROR(LOOKUP(2,1/((B_Drainage!$A$5:$A$204&lt;&gt;"")*(B_Drainage!$A$5:$A$204&lt;=$B800)*(B_Drainage!$B$5:$B$204&gt;$B800)*(B_Drainage!$J$5:$J$204&lt;&gt;"")),IF(UPPER(B_Drainage!$J$5:$J$204)="Y",1,"")),"")</f>
        <v/>
      </c>
      <c r="AB800" s="182" t="str">
        <f>IFERROR(LOOKUP(2,1/((B_Drainage!$A$5:$A$204&lt;&gt;"")*(B_Drainage!$A$5:$A$204&lt;=$B800)*(B_Drainage!$B$5:$B$204&gt;$B800)*(B_Drainage!$K$5:$K$204&lt;&gt;"")),IF(B_Drainage!$K$5:$K$204="-","",B_Drainage!$K$5:$K$204)),"")</f>
        <v/>
      </c>
      <c r="AC800" s="182" t="str">
        <f>IFERROR(LOOKUP(2,1/((B_Drainage!$A$5:$A$204&lt;&gt;"")*(B_Drainage!$A$5:$A$204&lt;=$B800)*(B_Drainage!$B$5:$B$204&gt;$B800)*(B_Drainage!$L$5:$L$204&lt;&gt;"")),IF(B_Drainage!$L$5:$L$204="-","",B_Drainage!$L$5:$L$204)),"")</f>
        <v/>
      </c>
      <c r="AD800" s="182" t="str">
        <f>IFERROR(LOOKUP(2,1/((D_Points!$A$5:$A$204&lt;&gt;"")*(D_Points!$A$5:$A$204&gt;=$B800)*(D_Points!$A$5:$A$204&lt;$B800+P_Interval)*(UPPER(TRIM(D_Points!$B$5:$B$204))="TURNOUT_L")*(D_Points!$H$5:$H$204&lt;&gt;"")),D_Points!$H$5:$H$204),"")</f>
        <v/>
      </c>
      <c r="AE800" s="182" t="str">
        <f>IFERROR(LOOKUP(2,1/((D_Points!$A$5:$A$204&lt;&gt;"")*(D_Points!$A$5:$A$204&gt;=$B800)*(D_Points!$A$5:$A$204&lt;$B800+P_Interval)*(UPPER(TRIM(D_Points!$B$5:$B$204))="TURNOUT_R")*(D_Points!$H$5:$H$204&lt;&gt;"")),D_Points!$H$5:$H$204),"")</f>
        <v/>
      </c>
      <c r="AF800" s="181" t="str">
        <f>IFERROR(LOOKUP(2,1/((B_Drainage!$A$5:$A$204&lt;&gt;"")*(B_Drainage!$A$5:$A$204&lt;=$B800)*(B_Drainage!$B$5:$B$204&gt;$B800)*(B_Drainage!$M$5:$M$204&lt;&gt;"")),IF(UPPER(B_Drainage!$M$5:$M$204)="Y",1,"")),"")</f>
        <v/>
      </c>
      <c r="AG800" s="181" t="str">
        <f>IFERROR(LOOKUP(2,1/((B_Drainage!$A$5:$A$204&lt;&gt;"")*(B_Drainage!$A$5:$A$204&lt;=$B800)*(B_Drainage!$B$5:$B$204&gt;$B800)*(B_Drainage!$N$5:$N$204&lt;&gt;"")),IF(UPPER(B_Drainage!$N$5:$N$204)="Y",1,"")),"")</f>
        <v/>
      </c>
      <c r="AH800" s="181" t="str">
        <f t="shared" si="96"/>
        <v/>
      </c>
      <c r="AI800" s="181" t="str">
        <f t="shared" si="97"/>
        <v/>
      </c>
      <c r="AJ800" s="181" t="str">
        <f t="shared" si="98"/>
        <v/>
      </c>
      <c r="AK800" s="181" t="str">
        <f t="shared" si="99"/>
        <v/>
      </c>
      <c r="AL800" s="181" t="str">
        <f t="shared" si="100"/>
        <v/>
      </c>
      <c r="AM800" s="181" t="str">
        <f t="shared" si="101"/>
        <v/>
      </c>
      <c r="AN800" s="181" t="str">
        <f t="shared" si="102"/>
        <v/>
      </c>
      <c r="AO800" s="192" t="str">
        <f t="shared" si="103"/>
        <v/>
      </c>
      <c r="AQ800" t="str">
        <f>IFERROR(LOOKUP(2,1/((C_Pavement!$A$5:$A$204&lt;&gt;"")*(C_Pavement!$A$5:$A$204&lt;=$B800)*(C_Pavement!$B$5:$B$204&gt;$B800)*(C_Pavement!$C$5:$C$204&lt;&gt;"")),ROW(C_Pavement!$C$5:$C$204)-4),"")</f>
        <v/>
      </c>
      <c r="AR800" t="str">
        <f>IF($AQ800="","",UPPER(TRIM(INDEX(C_Pavement!$C$5:$C$204,$AQ800))))</f>
        <v/>
      </c>
      <c r="AS800" t="str">
        <f>IF($AR800="","",IFERROR(MATCH($AR800,E_Rules!$A$5:$A$9,0),""))</f>
        <v/>
      </c>
      <c r="AT800" t="str">
        <f>IF($AQ800="","",IF(INDEX(C_Pavement!$D$5:$D$204,$AQ800)&lt;&gt;"",UPPER(TRIM(INDEX(C_Pavement!$D$5:$D$204,$AQ800))),IF($AS800="","",INDEX(E_Rules!$C$5:$C$9,$AS800))))</f>
        <v/>
      </c>
      <c r="AU800" t="str">
        <f>IF($AQ800="","",IF(INDEX(C_Pavement!$E$5:$E$204,$AQ800)&lt;&gt;"",IF(INDEX(C_Pavement!$E$5:$E$204,$AQ800)="-","",INDEX(C_Pavement!$E$5:$E$204,$AQ800)),IF($AS800="","",INDEX(E_Rules!$D$5:$D$9,$AS800))))</f>
        <v/>
      </c>
      <c r="AV800" t="str">
        <f>IF($AQ800="","",IF(INDEX(C_Pavement!$F$5:$F$204,$AQ800)&lt;&gt;"",IF(INDEX(C_Pavement!$F$5:$F$204,$AQ800)="-","",INDEX(C_Pavement!$F$5:$F$204,$AQ800)),IF($AS800="","",INDEX(E_Rules!$E$5:$E$9,$AS800))))</f>
        <v/>
      </c>
      <c r="AW800" t="str">
        <f>IF($AQ800="","",IF(INDEX(C_Pavement!$G$5:$G$204,$AQ800)&lt;&gt;"",IF(INDEX(C_Pavement!$G$5:$G$204,$AQ800)="-","",INDEX(C_Pavement!$G$5:$G$204,$AQ800)),IF($AS800="","",INDEX(E_Rules!$F$5:$F$9,$AS800))))</f>
        <v/>
      </c>
      <c r="AX800" t="str">
        <f>IF($AQ800="","",IF(INDEX(C_Pavement!$H$5:$H$204,$AQ800)&lt;&gt;"",IF(INDEX(C_Pavement!$H$5:$H$204,$AQ800)="-","",INDEX(C_Pavement!$H$5:$H$204,$AQ800)),IF($AS800="","",INDEX(E_Rules!$G$5:$G$9,$AS800))))</f>
        <v/>
      </c>
      <c r="AY800" t="str">
        <f>IF($AQ800="","",IF(INDEX(C_Pavement!$I$5:$I$204,$AQ800)&lt;&gt;"",IF(INDEX(C_Pavement!$I$5:$I$204,$AQ800)="-","",INDEX(C_Pavement!$I$5:$I$204,$AQ800)),IF($AS800="","",INDEX(E_Rules!$H$5:$H$9,$AS800))))</f>
        <v/>
      </c>
    </row>
    <row r="801" spans="1:51" ht="15.75" customHeight="1" x14ac:dyDescent="0.3">
      <c r="A801" s="189">
        <v>796</v>
      </c>
      <c r="B801" s="180">
        <v>39750</v>
      </c>
      <c r="C801" s="180" t="s">
        <v>1107</v>
      </c>
      <c r="D801" s="181" t="str">
        <f>IFERROR(LOOKUP(2,1/((A_Corridor!$A$5:$A$204&lt;&gt;"")*(A_Corridor!$A$5:$A$204&lt;=$B801)*(A_Corridor!$B$5:$B$204&gt;$B801)*(A_Corridor!$C$5:$C$204&lt;&gt;"")),IF(UPPER(A_Corridor!$C$5:$C$204)="Y",1,"")),"")</f>
        <v/>
      </c>
      <c r="E801" s="181" t="str">
        <f>IFERROR(LOOKUP(2,1/((A_Corridor!$A$5:$A$204&lt;&gt;"")*(A_Corridor!$A$5:$A$204&lt;=$B801)*(A_Corridor!$B$5:$B$204&gt;$B801)*(A_Corridor!$D$5:$D$204&lt;&gt;"")),IF(A_Corridor!$D$5:$D$204="-","",UPPER(A_Corridor!$D$5:$D$204))),"")</f>
        <v/>
      </c>
      <c r="F801" s="181" t="str">
        <f>IFERROR(LOOKUP(2,1/((A_Corridor!$A$5:$A$204&lt;&gt;"")*(A_Corridor!$A$5:$A$204&lt;=$B801)*(A_Corridor!$B$5:$B$204&gt;$B801)*(A_Corridor!$E$5:$E$204&lt;&gt;"")),IF(A_Corridor!$E$5:$E$204="-","",1)),"")</f>
        <v/>
      </c>
      <c r="G801" s="182" t="str">
        <f>IFERROR(LOOKUP(2,1/((A_Corridor!$A$5:$A$204&lt;&gt;"")*(A_Corridor!$A$5:$A$204&lt;=$B801)*(A_Corridor!$B$5:$B$204&gt;$B801)*(A_Corridor!$E$5:$E$204&lt;&gt;"")),IF(A_Corridor!$E$5:$E$204="-","",A_Corridor!$E$5:$E$204)),"")</f>
        <v/>
      </c>
      <c r="H801" s="182" t="str">
        <f>IFERROR(LOOKUP(2,1/((D_Points!$A$5:$A$204&lt;&gt;"")*(D_Points!$A$5:$A$204&gt;=$B801)*(D_Points!$A$5:$A$204&lt;$B801+P_Interval)*(UPPER(TRIM(D_Points!$B$5:$B$204))="GULLY")*(D_Points!$H$5:$H$204&lt;&gt;"")),D_Points!$H$5:$H$204),"")</f>
        <v/>
      </c>
      <c r="I801" s="181" t="str">
        <f>IFERROR(LOOKUP(2,1/((A_Corridor!$A$5:$A$204&lt;&gt;"")*(A_Corridor!$A$5:$A$204&lt;=$B801)*(A_Corridor!$B$5:$B$204&gt;$B801)*(A_Corridor!$F$5:$F$204&lt;&gt;"")),IF(A_Corridor!$F$5:$F$204="-","",1)),"")</f>
        <v/>
      </c>
      <c r="J801" s="182" t="str">
        <f>IFERROR(LOOKUP(2,1/((A_Corridor!$A$5:$A$204&lt;&gt;"")*(A_Corridor!$A$5:$A$204&lt;=$B801)*(A_Corridor!$B$5:$B$204&gt;$B801)*(A_Corridor!$F$5:$F$204&lt;&gt;"")),IF(A_Corridor!$F$5:$F$204="-","",A_Corridor!$F$5:$F$204)),"")</f>
        <v/>
      </c>
      <c r="K801" s="182" t="str">
        <f>IFERROR(LOOKUP(2,1/((A_Corridor!$A$5:$A$204&lt;&gt;"")*(A_Corridor!$A$5:$A$204&lt;=$B801)*(A_Corridor!$B$5:$B$204&gt;$B801)*(A_Corridor!$G$5:$G$204&lt;&gt;"")),IF(A_Corridor!$G$5:$G$204="-","",A_Corridor!$G$5:$G$204)),"")</f>
        <v/>
      </c>
      <c r="L801" s="181" t="str">
        <f>IFERROR(LOOKUP(2,1/((A_Corridor!$A$5:$A$204&lt;&gt;"")*(A_Corridor!$A$5:$A$204&lt;=$B801)*(A_Corridor!$B$5:$B$204&gt;$B801)*(A_Corridor!$H$5:$H$204&lt;&gt;"")),IF(A_Corridor!$H$5:$H$204="-","",1)),"")</f>
        <v/>
      </c>
      <c r="M801" s="182" t="str">
        <f>IFERROR(LOOKUP(2,1/((A_Corridor!$A$5:$A$204&lt;&gt;"")*(A_Corridor!$A$5:$A$204&lt;=$B801)*(A_Corridor!$B$5:$B$204&gt;$B801)*(A_Corridor!$H$5:$H$204&lt;&gt;"")),IF(A_Corridor!$H$5:$H$204="-","",A_Corridor!$H$5:$H$204)),"")</f>
        <v/>
      </c>
      <c r="N801" s="182" t="str">
        <f>IFERROR(LOOKUP(2,1/((A_Corridor!$A$5:$A$204&lt;&gt;"")*(A_Corridor!$A$5:$A$204&lt;=$B801)*(A_Corridor!$B$5:$B$204&gt;$B801)*(A_Corridor!$I$5:$I$204&lt;&gt;"")),IF(A_Corridor!$I$5:$I$204="-","",A_Corridor!$I$5:$I$204)),"")</f>
        <v/>
      </c>
      <c r="O801" s="182" t="str">
        <f>IFERROR(LOOKUP(2,1/((D_Points!$A$5:$A$204&lt;&gt;"")*(D_Points!$A$5:$A$204&gt;=$B801)*(D_Points!$A$5:$A$204&lt;$B801+P_Interval)*(UPPER(TRIM(D_Points!$B$5:$B$204))="PITCHING")*(D_Points!$H$5:$H$204&lt;&gt;"")),D_Points!$H$5:$H$204),"")</f>
        <v/>
      </c>
      <c r="P801" s="181" t="str">
        <f>IFERROR(LOOKUP(2,1/((B_Drainage!$A$5:$A$204&lt;&gt;"")*(B_Drainage!$A$5:$A$204&lt;=$B801)*(B_Drainage!$B$5:$B$204&gt;$B801)*(B_Drainage!$C$5:$C$204&lt;&gt;"")),IF(B_Drainage!$C$5:$C$204="-","",UPPER(B_Drainage!$C$5:$C$204))),"")</f>
        <v/>
      </c>
      <c r="Q801" s="181" t="str">
        <f>IFERROR(LOOKUP(2,1/((B_Drainage!$A$5:$A$204&lt;&gt;"")*(B_Drainage!$A$5:$A$204&lt;=$B801)*(B_Drainage!$B$5:$B$204&gt;$B801)*(B_Drainage!$D$5:$D$204&lt;&gt;"")),IF(B_Drainage!$D$5:$D$204="-","",UPPER(B_Drainage!$D$5:$D$204))),"")</f>
        <v/>
      </c>
      <c r="R801" s="182" t="str">
        <f>IFERROR(LOOKUP(2,1/((D_Points!$A$5:$A$204&lt;&gt;"")*(D_Points!$A$5:$A$204&gt;=$B801)*(D_Points!$A$5:$A$204&lt;$B801+P_Interval)*(RIGHT(UPPER(TRIM(D_Points!$B$5:$B$204)),8)="_CULVERT")),IF(LEFT(UPPER(TRIM(D_Points!$B$5:$B$204)),2)="EX",1,IF(LEFT(UPPER(TRIM(D_Points!$B$5:$B$204)),2)="PR",2,3))),"")</f>
        <v/>
      </c>
      <c r="S801" s="182" t="str">
        <f>IFERROR(LOOKUP(2,1/((D_Points!$A$5:$A$204&lt;&gt;"")*(D_Points!$A$5:$A$204&gt;=$B801)*(D_Points!$A$5:$A$204&lt;$B801+P_Interval)*(RIGHT(UPPER(TRIM(D_Points!$B$5:$B$204)),7)="_BRIDGE")),IF(LEFT(UPPER(TRIM(D_Points!$B$5:$B$204)),2)="EX",1,IF(LEFT(UPPER(TRIM(D_Points!$B$5:$B$204)),2)="PR",2,2))),"")</f>
        <v/>
      </c>
      <c r="T801" s="181" t="str">
        <f>IFERROR(LOOKUP(2,1/((B_Drainage!$A$5:$A$204&lt;&gt;"")*(B_Drainage!$A$5:$A$204&lt;=$B801)*(B_Drainage!$B$5:$B$204&gt;$B801)*(B_Drainage!$E$5:$E$204&lt;&gt;"")),IF(B_Drainage!$E$5:$E$204="-","",1)),"")</f>
        <v/>
      </c>
      <c r="U801" s="181" t="str">
        <f>IFERROR(LOOKUP(2,1/((B_Drainage!$A$5:$A$204&lt;&gt;"")*(B_Drainage!$A$5:$A$204&lt;=$B801)*(B_Drainage!$B$5:$B$204&gt;$B801)*(B_Drainage!$E$5:$E$204&lt;&gt;"")),IF(B_Drainage!$E$5:$E$204="-","",B_Drainage!$E$5:$E$204)),"")</f>
        <v/>
      </c>
      <c r="V801" s="181" t="str">
        <f>IFERROR(LOOKUP(2,1/((B_Drainage!$A$5:$A$204&lt;&gt;"")*(B_Drainage!$A$5:$A$204&lt;=$B801)*(B_Drainage!$B$5:$B$204&gt;$B801)*(B_Drainage!$F$5:$F$204&lt;&gt;"")),IF(B_Drainage!$F$5:$F$204="-","",1)),"")</f>
        <v/>
      </c>
      <c r="W801" s="181" t="str">
        <f>IFERROR(LOOKUP(2,1/((B_Drainage!$A$5:$A$204&lt;&gt;"")*(B_Drainage!$A$5:$A$204&lt;=$B801)*(B_Drainage!$B$5:$B$204&gt;$B801)*(B_Drainage!$F$5:$F$204&lt;&gt;"")),IF(B_Drainage!$F$5:$F$204="-","",B_Drainage!$F$5:$F$204)),"")</f>
        <v/>
      </c>
      <c r="X801" s="181" t="str">
        <f>IFERROR(LOOKUP(2,1/((B_Drainage!$A$5:$A$204&lt;&gt;"")*(B_Drainage!$A$5:$A$204&lt;=$B801)*(B_Drainage!$B$5:$B$204&gt;$B801)*(B_Drainage!$G$5:$G$204&lt;&gt;"")),IF(UPPER(B_Drainage!$G$5:$G$204)="Y",1,"")),"")</f>
        <v/>
      </c>
      <c r="Y801" s="181" t="str">
        <f>IFERROR(LOOKUP(2,1/((B_Drainage!$A$5:$A$204&lt;&gt;"")*(B_Drainage!$A$5:$A$204&lt;=$B801)*(B_Drainage!$B$5:$B$204&gt;$B801)*(B_Drainage!$H$5:$H$204&lt;&gt;"")),IF(UPPER(B_Drainage!$H$5:$H$204)="Y",1,"")),"")</f>
        <v/>
      </c>
      <c r="Z801" s="181" t="str">
        <f>IFERROR(LOOKUP(2,1/((B_Drainage!$A$5:$A$204&lt;&gt;"")*(B_Drainage!$A$5:$A$204&lt;=$B801)*(B_Drainage!$B$5:$B$204&gt;$B801)*(B_Drainage!$I$5:$I$204&lt;&gt;"")),IF(UPPER(B_Drainage!$I$5:$I$204)="Y",1,"")),"")</f>
        <v/>
      </c>
      <c r="AA801" s="181" t="str">
        <f>IFERROR(LOOKUP(2,1/((B_Drainage!$A$5:$A$204&lt;&gt;"")*(B_Drainage!$A$5:$A$204&lt;=$B801)*(B_Drainage!$B$5:$B$204&gt;$B801)*(B_Drainage!$J$5:$J$204&lt;&gt;"")),IF(UPPER(B_Drainage!$J$5:$J$204)="Y",1,"")),"")</f>
        <v/>
      </c>
      <c r="AB801" s="182" t="str">
        <f>IFERROR(LOOKUP(2,1/((B_Drainage!$A$5:$A$204&lt;&gt;"")*(B_Drainage!$A$5:$A$204&lt;=$B801)*(B_Drainage!$B$5:$B$204&gt;$B801)*(B_Drainage!$K$5:$K$204&lt;&gt;"")),IF(B_Drainage!$K$5:$K$204="-","",B_Drainage!$K$5:$K$204)),"")</f>
        <v/>
      </c>
      <c r="AC801" s="182" t="str">
        <f>IFERROR(LOOKUP(2,1/((B_Drainage!$A$5:$A$204&lt;&gt;"")*(B_Drainage!$A$5:$A$204&lt;=$B801)*(B_Drainage!$B$5:$B$204&gt;$B801)*(B_Drainage!$L$5:$L$204&lt;&gt;"")),IF(B_Drainage!$L$5:$L$204="-","",B_Drainage!$L$5:$L$204)),"")</f>
        <v/>
      </c>
      <c r="AD801" s="182" t="str">
        <f>IFERROR(LOOKUP(2,1/((D_Points!$A$5:$A$204&lt;&gt;"")*(D_Points!$A$5:$A$204&gt;=$B801)*(D_Points!$A$5:$A$204&lt;$B801+P_Interval)*(UPPER(TRIM(D_Points!$B$5:$B$204))="TURNOUT_L")*(D_Points!$H$5:$H$204&lt;&gt;"")),D_Points!$H$5:$H$204),"")</f>
        <v/>
      </c>
      <c r="AE801" s="182" t="str">
        <f>IFERROR(LOOKUP(2,1/((D_Points!$A$5:$A$204&lt;&gt;"")*(D_Points!$A$5:$A$204&gt;=$B801)*(D_Points!$A$5:$A$204&lt;$B801+P_Interval)*(UPPER(TRIM(D_Points!$B$5:$B$204))="TURNOUT_R")*(D_Points!$H$5:$H$204&lt;&gt;"")),D_Points!$H$5:$H$204),"")</f>
        <v/>
      </c>
      <c r="AF801" s="181" t="str">
        <f>IFERROR(LOOKUP(2,1/((B_Drainage!$A$5:$A$204&lt;&gt;"")*(B_Drainage!$A$5:$A$204&lt;=$B801)*(B_Drainage!$B$5:$B$204&gt;$B801)*(B_Drainage!$M$5:$M$204&lt;&gt;"")),IF(UPPER(B_Drainage!$M$5:$M$204)="Y",1,"")),"")</f>
        <v/>
      </c>
      <c r="AG801" s="181" t="str">
        <f>IFERROR(LOOKUP(2,1/((B_Drainage!$A$5:$A$204&lt;&gt;"")*(B_Drainage!$A$5:$A$204&lt;=$B801)*(B_Drainage!$B$5:$B$204&gt;$B801)*(B_Drainage!$N$5:$N$204&lt;&gt;"")),IF(UPPER(B_Drainage!$N$5:$N$204)="Y",1,"")),"")</f>
        <v/>
      </c>
      <c r="AH801" s="181" t="str">
        <f t="shared" si="96"/>
        <v/>
      </c>
      <c r="AI801" s="181" t="str">
        <f t="shared" si="97"/>
        <v/>
      </c>
      <c r="AJ801" s="181" t="str">
        <f t="shared" si="98"/>
        <v/>
      </c>
      <c r="AK801" s="181" t="str">
        <f t="shared" si="99"/>
        <v/>
      </c>
      <c r="AL801" s="181" t="str">
        <f t="shared" si="100"/>
        <v/>
      </c>
      <c r="AM801" s="181" t="str">
        <f t="shared" si="101"/>
        <v/>
      </c>
      <c r="AN801" s="181" t="str">
        <f t="shared" si="102"/>
        <v/>
      </c>
      <c r="AO801" s="192" t="str">
        <f t="shared" si="103"/>
        <v/>
      </c>
      <c r="AQ801" t="str">
        <f>IFERROR(LOOKUP(2,1/((C_Pavement!$A$5:$A$204&lt;&gt;"")*(C_Pavement!$A$5:$A$204&lt;=$B801)*(C_Pavement!$B$5:$B$204&gt;$B801)*(C_Pavement!$C$5:$C$204&lt;&gt;"")),ROW(C_Pavement!$C$5:$C$204)-4),"")</f>
        <v/>
      </c>
      <c r="AR801" t="str">
        <f>IF($AQ801="","",UPPER(TRIM(INDEX(C_Pavement!$C$5:$C$204,$AQ801))))</f>
        <v/>
      </c>
      <c r="AS801" t="str">
        <f>IF($AR801="","",IFERROR(MATCH($AR801,E_Rules!$A$5:$A$9,0),""))</f>
        <v/>
      </c>
      <c r="AT801" t="str">
        <f>IF($AQ801="","",IF(INDEX(C_Pavement!$D$5:$D$204,$AQ801)&lt;&gt;"",UPPER(TRIM(INDEX(C_Pavement!$D$5:$D$204,$AQ801))),IF($AS801="","",INDEX(E_Rules!$C$5:$C$9,$AS801))))</f>
        <v/>
      </c>
      <c r="AU801" t="str">
        <f>IF($AQ801="","",IF(INDEX(C_Pavement!$E$5:$E$204,$AQ801)&lt;&gt;"",IF(INDEX(C_Pavement!$E$5:$E$204,$AQ801)="-","",INDEX(C_Pavement!$E$5:$E$204,$AQ801)),IF($AS801="","",INDEX(E_Rules!$D$5:$D$9,$AS801))))</f>
        <v/>
      </c>
      <c r="AV801" t="str">
        <f>IF($AQ801="","",IF(INDEX(C_Pavement!$F$5:$F$204,$AQ801)&lt;&gt;"",IF(INDEX(C_Pavement!$F$5:$F$204,$AQ801)="-","",INDEX(C_Pavement!$F$5:$F$204,$AQ801)),IF($AS801="","",INDEX(E_Rules!$E$5:$E$9,$AS801))))</f>
        <v/>
      </c>
      <c r="AW801" t="str">
        <f>IF($AQ801="","",IF(INDEX(C_Pavement!$G$5:$G$204,$AQ801)&lt;&gt;"",IF(INDEX(C_Pavement!$G$5:$G$204,$AQ801)="-","",INDEX(C_Pavement!$G$5:$G$204,$AQ801)),IF($AS801="","",INDEX(E_Rules!$F$5:$F$9,$AS801))))</f>
        <v/>
      </c>
      <c r="AX801" t="str">
        <f>IF($AQ801="","",IF(INDEX(C_Pavement!$H$5:$H$204,$AQ801)&lt;&gt;"",IF(INDEX(C_Pavement!$H$5:$H$204,$AQ801)="-","",INDEX(C_Pavement!$H$5:$H$204,$AQ801)),IF($AS801="","",INDEX(E_Rules!$G$5:$G$9,$AS801))))</f>
        <v/>
      </c>
      <c r="AY801" t="str">
        <f>IF($AQ801="","",IF(INDEX(C_Pavement!$I$5:$I$204,$AQ801)&lt;&gt;"",IF(INDEX(C_Pavement!$I$5:$I$204,$AQ801)="-","",INDEX(C_Pavement!$I$5:$I$204,$AQ801)),IF($AS801="","",INDEX(E_Rules!$H$5:$H$9,$AS801))))</f>
        <v/>
      </c>
    </row>
    <row r="802" spans="1:51" ht="15.75" customHeight="1" x14ac:dyDescent="0.3">
      <c r="A802" s="189">
        <v>797</v>
      </c>
      <c r="B802" s="180">
        <v>39800</v>
      </c>
      <c r="C802" s="180" t="s">
        <v>1108</v>
      </c>
      <c r="D802" s="181" t="str">
        <f>IFERROR(LOOKUP(2,1/((A_Corridor!$A$5:$A$204&lt;&gt;"")*(A_Corridor!$A$5:$A$204&lt;=$B802)*(A_Corridor!$B$5:$B$204&gt;$B802)*(A_Corridor!$C$5:$C$204&lt;&gt;"")),IF(UPPER(A_Corridor!$C$5:$C$204)="Y",1,"")),"")</f>
        <v/>
      </c>
      <c r="E802" s="181" t="str">
        <f>IFERROR(LOOKUP(2,1/((A_Corridor!$A$5:$A$204&lt;&gt;"")*(A_Corridor!$A$5:$A$204&lt;=$B802)*(A_Corridor!$B$5:$B$204&gt;$B802)*(A_Corridor!$D$5:$D$204&lt;&gt;"")),IF(A_Corridor!$D$5:$D$204="-","",UPPER(A_Corridor!$D$5:$D$204))),"")</f>
        <v/>
      </c>
      <c r="F802" s="181" t="str">
        <f>IFERROR(LOOKUP(2,1/((A_Corridor!$A$5:$A$204&lt;&gt;"")*(A_Corridor!$A$5:$A$204&lt;=$B802)*(A_Corridor!$B$5:$B$204&gt;$B802)*(A_Corridor!$E$5:$E$204&lt;&gt;"")),IF(A_Corridor!$E$5:$E$204="-","",1)),"")</f>
        <v/>
      </c>
      <c r="G802" s="182" t="str">
        <f>IFERROR(LOOKUP(2,1/((A_Corridor!$A$5:$A$204&lt;&gt;"")*(A_Corridor!$A$5:$A$204&lt;=$B802)*(A_Corridor!$B$5:$B$204&gt;$B802)*(A_Corridor!$E$5:$E$204&lt;&gt;"")),IF(A_Corridor!$E$5:$E$204="-","",A_Corridor!$E$5:$E$204)),"")</f>
        <v/>
      </c>
      <c r="H802" s="182" t="str">
        <f>IFERROR(LOOKUP(2,1/((D_Points!$A$5:$A$204&lt;&gt;"")*(D_Points!$A$5:$A$204&gt;=$B802)*(D_Points!$A$5:$A$204&lt;$B802+P_Interval)*(UPPER(TRIM(D_Points!$B$5:$B$204))="GULLY")*(D_Points!$H$5:$H$204&lt;&gt;"")),D_Points!$H$5:$H$204),"")</f>
        <v/>
      </c>
      <c r="I802" s="181" t="str">
        <f>IFERROR(LOOKUP(2,1/((A_Corridor!$A$5:$A$204&lt;&gt;"")*(A_Corridor!$A$5:$A$204&lt;=$B802)*(A_Corridor!$B$5:$B$204&gt;$B802)*(A_Corridor!$F$5:$F$204&lt;&gt;"")),IF(A_Corridor!$F$5:$F$204="-","",1)),"")</f>
        <v/>
      </c>
      <c r="J802" s="182" t="str">
        <f>IFERROR(LOOKUP(2,1/((A_Corridor!$A$5:$A$204&lt;&gt;"")*(A_Corridor!$A$5:$A$204&lt;=$B802)*(A_Corridor!$B$5:$B$204&gt;$B802)*(A_Corridor!$F$5:$F$204&lt;&gt;"")),IF(A_Corridor!$F$5:$F$204="-","",A_Corridor!$F$5:$F$204)),"")</f>
        <v/>
      </c>
      <c r="K802" s="182" t="str">
        <f>IFERROR(LOOKUP(2,1/((A_Corridor!$A$5:$A$204&lt;&gt;"")*(A_Corridor!$A$5:$A$204&lt;=$B802)*(A_Corridor!$B$5:$B$204&gt;$B802)*(A_Corridor!$G$5:$G$204&lt;&gt;"")),IF(A_Corridor!$G$5:$G$204="-","",A_Corridor!$G$5:$G$204)),"")</f>
        <v/>
      </c>
      <c r="L802" s="181" t="str">
        <f>IFERROR(LOOKUP(2,1/((A_Corridor!$A$5:$A$204&lt;&gt;"")*(A_Corridor!$A$5:$A$204&lt;=$B802)*(A_Corridor!$B$5:$B$204&gt;$B802)*(A_Corridor!$H$5:$H$204&lt;&gt;"")),IF(A_Corridor!$H$5:$H$204="-","",1)),"")</f>
        <v/>
      </c>
      <c r="M802" s="182" t="str">
        <f>IFERROR(LOOKUP(2,1/((A_Corridor!$A$5:$A$204&lt;&gt;"")*(A_Corridor!$A$5:$A$204&lt;=$B802)*(A_Corridor!$B$5:$B$204&gt;$B802)*(A_Corridor!$H$5:$H$204&lt;&gt;"")),IF(A_Corridor!$H$5:$H$204="-","",A_Corridor!$H$5:$H$204)),"")</f>
        <v/>
      </c>
      <c r="N802" s="182" t="str">
        <f>IFERROR(LOOKUP(2,1/((A_Corridor!$A$5:$A$204&lt;&gt;"")*(A_Corridor!$A$5:$A$204&lt;=$B802)*(A_Corridor!$B$5:$B$204&gt;$B802)*(A_Corridor!$I$5:$I$204&lt;&gt;"")),IF(A_Corridor!$I$5:$I$204="-","",A_Corridor!$I$5:$I$204)),"")</f>
        <v/>
      </c>
      <c r="O802" s="182" t="str">
        <f>IFERROR(LOOKUP(2,1/((D_Points!$A$5:$A$204&lt;&gt;"")*(D_Points!$A$5:$A$204&gt;=$B802)*(D_Points!$A$5:$A$204&lt;$B802+P_Interval)*(UPPER(TRIM(D_Points!$B$5:$B$204))="PITCHING")*(D_Points!$H$5:$H$204&lt;&gt;"")),D_Points!$H$5:$H$204),"")</f>
        <v/>
      </c>
      <c r="P802" s="181" t="str">
        <f>IFERROR(LOOKUP(2,1/((B_Drainage!$A$5:$A$204&lt;&gt;"")*(B_Drainage!$A$5:$A$204&lt;=$B802)*(B_Drainage!$B$5:$B$204&gt;$B802)*(B_Drainage!$C$5:$C$204&lt;&gt;"")),IF(B_Drainage!$C$5:$C$204="-","",UPPER(B_Drainage!$C$5:$C$204))),"")</f>
        <v/>
      </c>
      <c r="Q802" s="181" t="str">
        <f>IFERROR(LOOKUP(2,1/((B_Drainage!$A$5:$A$204&lt;&gt;"")*(B_Drainage!$A$5:$A$204&lt;=$B802)*(B_Drainage!$B$5:$B$204&gt;$B802)*(B_Drainage!$D$5:$D$204&lt;&gt;"")),IF(B_Drainage!$D$5:$D$204="-","",UPPER(B_Drainage!$D$5:$D$204))),"")</f>
        <v/>
      </c>
      <c r="R802" s="182" t="str">
        <f>IFERROR(LOOKUP(2,1/((D_Points!$A$5:$A$204&lt;&gt;"")*(D_Points!$A$5:$A$204&gt;=$B802)*(D_Points!$A$5:$A$204&lt;$B802+P_Interval)*(RIGHT(UPPER(TRIM(D_Points!$B$5:$B$204)),8)="_CULVERT")),IF(LEFT(UPPER(TRIM(D_Points!$B$5:$B$204)),2)="EX",1,IF(LEFT(UPPER(TRIM(D_Points!$B$5:$B$204)),2)="PR",2,3))),"")</f>
        <v/>
      </c>
      <c r="S802" s="182" t="str">
        <f>IFERROR(LOOKUP(2,1/((D_Points!$A$5:$A$204&lt;&gt;"")*(D_Points!$A$5:$A$204&gt;=$B802)*(D_Points!$A$5:$A$204&lt;$B802+P_Interval)*(RIGHT(UPPER(TRIM(D_Points!$B$5:$B$204)),7)="_BRIDGE")),IF(LEFT(UPPER(TRIM(D_Points!$B$5:$B$204)),2)="EX",1,IF(LEFT(UPPER(TRIM(D_Points!$B$5:$B$204)),2)="PR",2,2))),"")</f>
        <v/>
      </c>
      <c r="T802" s="181" t="str">
        <f>IFERROR(LOOKUP(2,1/((B_Drainage!$A$5:$A$204&lt;&gt;"")*(B_Drainage!$A$5:$A$204&lt;=$B802)*(B_Drainage!$B$5:$B$204&gt;$B802)*(B_Drainage!$E$5:$E$204&lt;&gt;"")),IF(B_Drainage!$E$5:$E$204="-","",1)),"")</f>
        <v/>
      </c>
      <c r="U802" s="181" t="str">
        <f>IFERROR(LOOKUP(2,1/((B_Drainage!$A$5:$A$204&lt;&gt;"")*(B_Drainage!$A$5:$A$204&lt;=$B802)*(B_Drainage!$B$5:$B$204&gt;$B802)*(B_Drainage!$E$5:$E$204&lt;&gt;"")),IF(B_Drainage!$E$5:$E$204="-","",B_Drainage!$E$5:$E$204)),"")</f>
        <v/>
      </c>
      <c r="V802" s="181" t="str">
        <f>IFERROR(LOOKUP(2,1/((B_Drainage!$A$5:$A$204&lt;&gt;"")*(B_Drainage!$A$5:$A$204&lt;=$B802)*(B_Drainage!$B$5:$B$204&gt;$B802)*(B_Drainage!$F$5:$F$204&lt;&gt;"")),IF(B_Drainage!$F$5:$F$204="-","",1)),"")</f>
        <v/>
      </c>
      <c r="W802" s="181" t="str">
        <f>IFERROR(LOOKUP(2,1/((B_Drainage!$A$5:$A$204&lt;&gt;"")*(B_Drainage!$A$5:$A$204&lt;=$B802)*(B_Drainage!$B$5:$B$204&gt;$B802)*(B_Drainage!$F$5:$F$204&lt;&gt;"")),IF(B_Drainage!$F$5:$F$204="-","",B_Drainage!$F$5:$F$204)),"")</f>
        <v/>
      </c>
      <c r="X802" s="181" t="str">
        <f>IFERROR(LOOKUP(2,1/((B_Drainage!$A$5:$A$204&lt;&gt;"")*(B_Drainage!$A$5:$A$204&lt;=$B802)*(B_Drainage!$B$5:$B$204&gt;$B802)*(B_Drainage!$G$5:$G$204&lt;&gt;"")),IF(UPPER(B_Drainage!$G$5:$G$204)="Y",1,"")),"")</f>
        <v/>
      </c>
      <c r="Y802" s="181" t="str">
        <f>IFERROR(LOOKUP(2,1/((B_Drainage!$A$5:$A$204&lt;&gt;"")*(B_Drainage!$A$5:$A$204&lt;=$B802)*(B_Drainage!$B$5:$B$204&gt;$B802)*(B_Drainage!$H$5:$H$204&lt;&gt;"")),IF(UPPER(B_Drainage!$H$5:$H$204)="Y",1,"")),"")</f>
        <v/>
      </c>
      <c r="Z802" s="181" t="str">
        <f>IFERROR(LOOKUP(2,1/((B_Drainage!$A$5:$A$204&lt;&gt;"")*(B_Drainage!$A$5:$A$204&lt;=$B802)*(B_Drainage!$B$5:$B$204&gt;$B802)*(B_Drainage!$I$5:$I$204&lt;&gt;"")),IF(UPPER(B_Drainage!$I$5:$I$204)="Y",1,"")),"")</f>
        <v/>
      </c>
      <c r="AA802" s="181" t="str">
        <f>IFERROR(LOOKUP(2,1/((B_Drainage!$A$5:$A$204&lt;&gt;"")*(B_Drainage!$A$5:$A$204&lt;=$B802)*(B_Drainage!$B$5:$B$204&gt;$B802)*(B_Drainage!$J$5:$J$204&lt;&gt;"")),IF(UPPER(B_Drainage!$J$5:$J$204)="Y",1,"")),"")</f>
        <v/>
      </c>
      <c r="AB802" s="182" t="str">
        <f>IFERROR(LOOKUP(2,1/((B_Drainage!$A$5:$A$204&lt;&gt;"")*(B_Drainage!$A$5:$A$204&lt;=$B802)*(B_Drainage!$B$5:$B$204&gt;$B802)*(B_Drainage!$K$5:$K$204&lt;&gt;"")),IF(B_Drainage!$K$5:$K$204="-","",B_Drainage!$K$5:$K$204)),"")</f>
        <v/>
      </c>
      <c r="AC802" s="182" t="str">
        <f>IFERROR(LOOKUP(2,1/((B_Drainage!$A$5:$A$204&lt;&gt;"")*(B_Drainage!$A$5:$A$204&lt;=$B802)*(B_Drainage!$B$5:$B$204&gt;$B802)*(B_Drainage!$L$5:$L$204&lt;&gt;"")),IF(B_Drainage!$L$5:$L$204="-","",B_Drainage!$L$5:$L$204)),"")</f>
        <v/>
      </c>
      <c r="AD802" s="182" t="str">
        <f>IFERROR(LOOKUP(2,1/((D_Points!$A$5:$A$204&lt;&gt;"")*(D_Points!$A$5:$A$204&gt;=$B802)*(D_Points!$A$5:$A$204&lt;$B802+P_Interval)*(UPPER(TRIM(D_Points!$B$5:$B$204))="TURNOUT_L")*(D_Points!$H$5:$H$204&lt;&gt;"")),D_Points!$H$5:$H$204),"")</f>
        <v/>
      </c>
      <c r="AE802" s="182" t="str">
        <f>IFERROR(LOOKUP(2,1/((D_Points!$A$5:$A$204&lt;&gt;"")*(D_Points!$A$5:$A$204&gt;=$B802)*(D_Points!$A$5:$A$204&lt;$B802+P_Interval)*(UPPER(TRIM(D_Points!$B$5:$B$204))="TURNOUT_R")*(D_Points!$H$5:$H$204&lt;&gt;"")),D_Points!$H$5:$H$204),"")</f>
        <v/>
      </c>
      <c r="AF802" s="181" t="str">
        <f>IFERROR(LOOKUP(2,1/((B_Drainage!$A$5:$A$204&lt;&gt;"")*(B_Drainage!$A$5:$A$204&lt;=$B802)*(B_Drainage!$B$5:$B$204&gt;$B802)*(B_Drainage!$M$5:$M$204&lt;&gt;"")),IF(UPPER(B_Drainage!$M$5:$M$204)="Y",1,"")),"")</f>
        <v/>
      </c>
      <c r="AG802" s="181" t="str">
        <f>IFERROR(LOOKUP(2,1/((B_Drainage!$A$5:$A$204&lt;&gt;"")*(B_Drainage!$A$5:$A$204&lt;=$B802)*(B_Drainage!$B$5:$B$204&gt;$B802)*(B_Drainage!$N$5:$N$204&lt;&gt;"")),IF(UPPER(B_Drainage!$N$5:$N$204)="Y",1,"")),"")</f>
        <v/>
      </c>
      <c r="AH802" s="181" t="str">
        <f t="shared" si="96"/>
        <v/>
      </c>
      <c r="AI802" s="181" t="str">
        <f t="shared" si="97"/>
        <v/>
      </c>
      <c r="AJ802" s="181" t="str">
        <f t="shared" si="98"/>
        <v/>
      </c>
      <c r="AK802" s="181" t="str">
        <f t="shared" si="99"/>
        <v/>
      </c>
      <c r="AL802" s="181" t="str">
        <f t="shared" si="100"/>
        <v/>
      </c>
      <c r="AM802" s="181" t="str">
        <f t="shared" si="101"/>
        <v/>
      </c>
      <c r="AN802" s="181" t="str">
        <f t="shared" si="102"/>
        <v/>
      </c>
      <c r="AO802" s="192" t="str">
        <f t="shared" si="103"/>
        <v/>
      </c>
      <c r="AQ802" t="str">
        <f>IFERROR(LOOKUP(2,1/((C_Pavement!$A$5:$A$204&lt;&gt;"")*(C_Pavement!$A$5:$A$204&lt;=$B802)*(C_Pavement!$B$5:$B$204&gt;$B802)*(C_Pavement!$C$5:$C$204&lt;&gt;"")),ROW(C_Pavement!$C$5:$C$204)-4),"")</f>
        <v/>
      </c>
      <c r="AR802" t="str">
        <f>IF($AQ802="","",UPPER(TRIM(INDEX(C_Pavement!$C$5:$C$204,$AQ802))))</f>
        <v/>
      </c>
      <c r="AS802" t="str">
        <f>IF($AR802="","",IFERROR(MATCH($AR802,E_Rules!$A$5:$A$9,0),""))</f>
        <v/>
      </c>
      <c r="AT802" t="str">
        <f>IF($AQ802="","",IF(INDEX(C_Pavement!$D$5:$D$204,$AQ802)&lt;&gt;"",UPPER(TRIM(INDEX(C_Pavement!$D$5:$D$204,$AQ802))),IF($AS802="","",INDEX(E_Rules!$C$5:$C$9,$AS802))))</f>
        <v/>
      </c>
      <c r="AU802" t="str">
        <f>IF($AQ802="","",IF(INDEX(C_Pavement!$E$5:$E$204,$AQ802)&lt;&gt;"",IF(INDEX(C_Pavement!$E$5:$E$204,$AQ802)="-","",INDEX(C_Pavement!$E$5:$E$204,$AQ802)),IF($AS802="","",INDEX(E_Rules!$D$5:$D$9,$AS802))))</f>
        <v/>
      </c>
      <c r="AV802" t="str">
        <f>IF($AQ802="","",IF(INDEX(C_Pavement!$F$5:$F$204,$AQ802)&lt;&gt;"",IF(INDEX(C_Pavement!$F$5:$F$204,$AQ802)="-","",INDEX(C_Pavement!$F$5:$F$204,$AQ802)),IF($AS802="","",INDEX(E_Rules!$E$5:$E$9,$AS802))))</f>
        <v/>
      </c>
      <c r="AW802" t="str">
        <f>IF($AQ802="","",IF(INDEX(C_Pavement!$G$5:$G$204,$AQ802)&lt;&gt;"",IF(INDEX(C_Pavement!$G$5:$G$204,$AQ802)="-","",INDEX(C_Pavement!$G$5:$G$204,$AQ802)),IF($AS802="","",INDEX(E_Rules!$F$5:$F$9,$AS802))))</f>
        <v/>
      </c>
      <c r="AX802" t="str">
        <f>IF($AQ802="","",IF(INDEX(C_Pavement!$H$5:$H$204,$AQ802)&lt;&gt;"",IF(INDEX(C_Pavement!$H$5:$H$204,$AQ802)="-","",INDEX(C_Pavement!$H$5:$H$204,$AQ802)),IF($AS802="","",INDEX(E_Rules!$G$5:$G$9,$AS802))))</f>
        <v/>
      </c>
      <c r="AY802" t="str">
        <f>IF($AQ802="","",IF(INDEX(C_Pavement!$I$5:$I$204,$AQ802)&lt;&gt;"",IF(INDEX(C_Pavement!$I$5:$I$204,$AQ802)="-","",INDEX(C_Pavement!$I$5:$I$204,$AQ802)),IF($AS802="","",INDEX(E_Rules!$H$5:$H$9,$AS802))))</f>
        <v/>
      </c>
    </row>
    <row r="803" spans="1:51" ht="15.75" customHeight="1" x14ac:dyDescent="0.3">
      <c r="A803" s="189">
        <v>798</v>
      </c>
      <c r="B803" s="180">
        <v>39850</v>
      </c>
      <c r="C803" s="180" t="s">
        <v>1109</v>
      </c>
      <c r="D803" s="181" t="str">
        <f>IFERROR(LOOKUP(2,1/((A_Corridor!$A$5:$A$204&lt;&gt;"")*(A_Corridor!$A$5:$A$204&lt;=$B803)*(A_Corridor!$B$5:$B$204&gt;$B803)*(A_Corridor!$C$5:$C$204&lt;&gt;"")),IF(UPPER(A_Corridor!$C$5:$C$204)="Y",1,"")),"")</f>
        <v/>
      </c>
      <c r="E803" s="181" t="str">
        <f>IFERROR(LOOKUP(2,1/((A_Corridor!$A$5:$A$204&lt;&gt;"")*(A_Corridor!$A$5:$A$204&lt;=$B803)*(A_Corridor!$B$5:$B$204&gt;$B803)*(A_Corridor!$D$5:$D$204&lt;&gt;"")),IF(A_Corridor!$D$5:$D$204="-","",UPPER(A_Corridor!$D$5:$D$204))),"")</f>
        <v/>
      </c>
      <c r="F803" s="181" t="str">
        <f>IFERROR(LOOKUP(2,1/((A_Corridor!$A$5:$A$204&lt;&gt;"")*(A_Corridor!$A$5:$A$204&lt;=$B803)*(A_Corridor!$B$5:$B$204&gt;$B803)*(A_Corridor!$E$5:$E$204&lt;&gt;"")),IF(A_Corridor!$E$5:$E$204="-","",1)),"")</f>
        <v/>
      </c>
      <c r="G803" s="182" t="str">
        <f>IFERROR(LOOKUP(2,1/((A_Corridor!$A$5:$A$204&lt;&gt;"")*(A_Corridor!$A$5:$A$204&lt;=$B803)*(A_Corridor!$B$5:$B$204&gt;$B803)*(A_Corridor!$E$5:$E$204&lt;&gt;"")),IF(A_Corridor!$E$5:$E$204="-","",A_Corridor!$E$5:$E$204)),"")</f>
        <v/>
      </c>
      <c r="H803" s="182" t="str">
        <f>IFERROR(LOOKUP(2,1/((D_Points!$A$5:$A$204&lt;&gt;"")*(D_Points!$A$5:$A$204&gt;=$B803)*(D_Points!$A$5:$A$204&lt;$B803+P_Interval)*(UPPER(TRIM(D_Points!$B$5:$B$204))="GULLY")*(D_Points!$H$5:$H$204&lt;&gt;"")),D_Points!$H$5:$H$204),"")</f>
        <v/>
      </c>
      <c r="I803" s="181" t="str">
        <f>IFERROR(LOOKUP(2,1/((A_Corridor!$A$5:$A$204&lt;&gt;"")*(A_Corridor!$A$5:$A$204&lt;=$B803)*(A_Corridor!$B$5:$B$204&gt;$B803)*(A_Corridor!$F$5:$F$204&lt;&gt;"")),IF(A_Corridor!$F$5:$F$204="-","",1)),"")</f>
        <v/>
      </c>
      <c r="J803" s="182" t="str">
        <f>IFERROR(LOOKUP(2,1/((A_Corridor!$A$5:$A$204&lt;&gt;"")*(A_Corridor!$A$5:$A$204&lt;=$B803)*(A_Corridor!$B$5:$B$204&gt;$B803)*(A_Corridor!$F$5:$F$204&lt;&gt;"")),IF(A_Corridor!$F$5:$F$204="-","",A_Corridor!$F$5:$F$204)),"")</f>
        <v/>
      </c>
      <c r="K803" s="182" t="str">
        <f>IFERROR(LOOKUP(2,1/((A_Corridor!$A$5:$A$204&lt;&gt;"")*(A_Corridor!$A$5:$A$204&lt;=$B803)*(A_Corridor!$B$5:$B$204&gt;$B803)*(A_Corridor!$G$5:$G$204&lt;&gt;"")),IF(A_Corridor!$G$5:$G$204="-","",A_Corridor!$G$5:$G$204)),"")</f>
        <v/>
      </c>
      <c r="L803" s="181" t="str">
        <f>IFERROR(LOOKUP(2,1/((A_Corridor!$A$5:$A$204&lt;&gt;"")*(A_Corridor!$A$5:$A$204&lt;=$B803)*(A_Corridor!$B$5:$B$204&gt;$B803)*(A_Corridor!$H$5:$H$204&lt;&gt;"")),IF(A_Corridor!$H$5:$H$204="-","",1)),"")</f>
        <v/>
      </c>
      <c r="M803" s="182" t="str">
        <f>IFERROR(LOOKUP(2,1/((A_Corridor!$A$5:$A$204&lt;&gt;"")*(A_Corridor!$A$5:$A$204&lt;=$B803)*(A_Corridor!$B$5:$B$204&gt;$B803)*(A_Corridor!$H$5:$H$204&lt;&gt;"")),IF(A_Corridor!$H$5:$H$204="-","",A_Corridor!$H$5:$H$204)),"")</f>
        <v/>
      </c>
      <c r="N803" s="182" t="str">
        <f>IFERROR(LOOKUP(2,1/((A_Corridor!$A$5:$A$204&lt;&gt;"")*(A_Corridor!$A$5:$A$204&lt;=$B803)*(A_Corridor!$B$5:$B$204&gt;$B803)*(A_Corridor!$I$5:$I$204&lt;&gt;"")),IF(A_Corridor!$I$5:$I$204="-","",A_Corridor!$I$5:$I$204)),"")</f>
        <v/>
      </c>
      <c r="O803" s="182" t="str">
        <f>IFERROR(LOOKUP(2,1/((D_Points!$A$5:$A$204&lt;&gt;"")*(D_Points!$A$5:$A$204&gt;=$B803)*(D_Points!$A$5:$A$204&lt;$B803+P_Interval)*(UPPER(TRIM(D_Points!$B$5:$B$204))="PITCHING")*(D_Points!$H$5:$H$204&lt;&gt;"")),D_Points!$H$5:$H$204),"")</f>
        <v/>
      </c>
      <c r="P803" s="181" t="str">
        <f>IFERROR(LOOKUP(2,1/((B_Drainage!$A$5:$A$204&lt;&gt;"")*(B_Drainage!$A$5:$A$204&lt;=$B803)*(B_Drainage!$B$5:$B$204&gt;$B803)*(B_Drainage!$C$5:$C$204&lt;&gt;"")),IF(B_Drainage!$C$5:$C$204="-","",UPPER(B_Drainage!$C$5:$C$204))),"")</f>
        <v/>
      </c>
      <c r="Q803" s="181" t="str">
        <f>IFERROR(LOOKUP(2,1/((B_Drainage!$A$5:$A$204&lt;&gt;"")*(B_Drainage!$A$5:$A$204&lt;=$B803)*(B_Drainage!$B$5:$B$204&gt;$B803)*(B_Drainage!$D$5:$D$204&lt;&gt;"")),IF(B_Drainage!$D$5:$D$204="-","",UPPER(B_Drainage!$D$5:$D$204))),"")</f>
        <v/>
      </c>
      <c r="R803" s="182" t="str">
        <f>IFERROR(LOOKUP(2,1/((D_Points!$A$5:$A$204&lt;&gt;"")*(D_Points!$A$5:$A$204&gt;=$B803)*(D_Points!$A$5:$A$204&lt;$B803+P_Interval)*(RIGHT(UPPER(TRIM(D_Points!$B$5:$B$204)),8)="_CULVERT")),IF(LEFT(UPPER(TRIM(D_Points!$B$5:$B$204)),2)="EX",1,IF(LEFT(UPPER(TRIM(D_Points!$B$5:$B$204)),2)="PR",2,3))),"")</f>
        <v/>
      </c>
      <c r="S803" s="182" t="str">
        <f>IFERROR(LOOKUP(2,1/((D_Points!$A$5:$A$204&lt;&gt;"")*(D_Points!$A$5:$A$204&gt;=$B803)*(D_Points!$A$5:$A$204&lt;$B803+P_Interval)*(RIGHT(UPPER(TRIM(D_Points!$B$5:$B$204)),7)="_BRIDGE")),IF(LEFT(UPPER(TRIM(D_Points!$B$5:$B$204)),2)="EX",1,IF(LEFT(UPPER(TRIM(D_Points!$B$5:$B$204)),2)="PR",2,2))),"")</f>
        <v/>
      </c>
      <c r="T803" s="181" t="str">
        <f>IFERROR(LOOKUP(2,1/((B_Drainage!$A$5:$A$204&lt;&gt;"")*(B_Drainage!$A$5:$A$204&lt;=$B803)*(B_Drainage!$B$5:$B$204&gt;$B803)*(B_Drainage!$E$5:$E$204&lt;&gt;"")),IF(B_Drainage!$E$5:$E$204="-","",1)),"")</f>
        <v/>
      </c>
      <c r="U803" s="181" t="str">
        <f>IFERROR(LOOKUP(2,1/((B_Drainage!$A$5:$A$204&lt;&gt;"")*(B_Drainage!$A$5:$A$204&lt;=$B803)*(B_Drainage!$B$5:$B$204&gt;$B803)*(B_Drainage!$E$5:$E$204&lt;&gt;"")),IF(B_Drainage!$E$5:$E$204="-","",B_Drainage!$E$5:$E$204)),"")</f>
        <v/>
      </c>
      <c r="V803" s="181" t="str">
        <f>IFERROR(LOOKUP(2,1/((B_Drainage!$A$5:$A$204&lt;&gt;"")*(B_Drainage!$A$5:$A$204&lt;=$B803)*(B_Drainage!$B$5:$B$204&gt;$B803)*(B_Drainage!$F$5:$F$204&lt;&gt;"")),IF(B_Drainage!$F$5:$F$204="-","",1)),"")</f>
        <v/>
      </c>
      <c r="W803" s="181" t="str">
        <f>IFERROR(LOOKUP(2,1/((B_Drainage!$A$5:$A$204&lt;&gt;"")*(B_Drainage!$A$5:$A$204&lt;=$B803)*(B_Drainage!$B$5:$B$204&gt;$B803)*(B_Drainage!$F$5:$F$204&lt;&gt;"")),IF(B_Drainage!$F$5:$F$204="-","",B_Drainage!$F$5:$F$204)),"")</f>
        <v/>
      </c>
      <c r="X803" s="181" t="str">
        <f>IFERROR(LOOKUP(2,1/((B_Drainage!$A$5:$A$204&lt;&gt;"")*(B_Drainage!$A$5:$A$204&lt;=$B803)*(B_Drainage!$B$5:$B$204&gt;$B803)*(B_Drainage!$G$5:$G$204&lt;&gt;"")),IF(UPPER(B_Drainage!$G$5:$G$204)="Y",1,"")),"")</f>
        <v/>
      </c>
      <c r="Y803" s="181" t="str">
        <f>IFERROR(LOOKUP(2,1/((B_Drainage!$A$5:$A$204&lt;&gt;"")*(B_Drainage!$A$5:$A$204&lt;=$B803)*(B_Drainage!$B$5:$B$204&gt;$B803)*(B_Drainage!$H$5:$H$204&lt;&gt;"")),IF(UPPER(B_Drainage!$H$5:$H$204)="Y",1,"")),"")</f>
        <v/>
      </c>
      <c r="Z803" s="181" t="str">
        <f>IFERROR(LOOKUP(2,1/((B_Drainage!$A$5:$A$204&lt;&gt;"")*(B_Drainage!$A$5:$A$204&lt;=$B803)*(B_Drainage!$B$5:$B$204&gt;$B803)*(B_Drainage!$I$5:$I$204&lt;&gt;"")),IF(UPPER(B_Drainage!$I$5:$I$204)="Y",1,"")),"")</f>
        <v/>
      </c>
      <c r="AA803" s="181" t="str">
        <f>IFERROR(LOOKUP(2,1/((B_Drainage!$A$5:$A$204&lt;&gt;"")*(B_Drainage!$A$5:$A$204&lt;=$B803)*(B_Drainage!$B$5:$B$204&gt;$B803)*(B_Drainage!$J$5:$J$204&lt;&gt;"")),IF(UPPER(B_Drainage!$J$5:$J$204)="Y",1,"")),"")</f>
        <v/>
      </c>
      <c r="AB803" s="182" t="str">
        <f>IFERROR(LOOKUP(2,1/((B_Drainage!$A$5:$A$204&lt;&gt;"")*(B_Drainage!$A$5:$A$204&lt;=$B803)*(B_Drainage!$B$5:$B$204&gt;$B803)*(B_Drainage!$K$5:$K$204&lt;&gt;"")),IF(B_Drainage!$K$5:$K$204="-","",B_Drainage!$K$5:$K$204)),"")</f>
        <v/>
      </c>
      <c r="AC803" s="182" t="str">
        <f>IFERROR(LOOKUP(2,1/((B_Drainage!$A$5:$A$204&lt;&gt;"")*(B_Drainage!$A$5:$A$204&lt;=$B803)*(B_Drainage!$B$5:$B$204&gt;$B803)*(B_Drainage!$L$5:$L$204&lt;&gt;"")),IF(B_Drainage!$L$5:$L$204="-","",B_Drainage!$L$5:$L$204)),"")</f>
        <v/>
      </c>
      <c r="AD803" s="182" t="str">
        <f>IFERROR(LOOKUP(2,1/((D_Points!$A$5:$A$204&lt;&gt;"")*(D_Points!$A$5:$A$204&gt;=$B803)*(D_Points!$A$5:$A$204&lt;$B803+P_Interval)*(UPPER(TRIM(D_Points!$B$5:$B$204))="TURNOUT_L")*(D_Points!$H$5:$H$204&lt;&gt;"")),D_Points!$H$5:$H$204),"")</f>
        <v/>
      </c>
      <c r="AE803" s="182" t="str">
        <f>IFERROR(LOOKUP(2,1/((D_Points!$A$5:$A$204&lt;&gt;"")*(D_Points!$A$5:$A$204&gt;=$B803)*(D_Points!$A$5:$A$204&lt;$B803+P_Interval)*(UPPER(TRIM(D_Points!$B$5:$B$204))="TURNOUT_R")*(D_Points!$H$5:$H$204&lt;&gt;"")),D_Points!$H$5:$H$204),"")</f>
        <v/>
      </c>
      <c r="AF803" s="181" t="str">
        <f>IFERROR(LOOKUP(2,1/((B_Drainage!$A$5:$A$204&lt;&gt;"")*(B_Drainage!$A$5:$A$204&lt;=$B803)*(B_Drainage!$B$5:$B$204&gt;$B803)*(B_Drainage!$M$5:$M$204&lt;&gt;"")),IF(UPPER(B_Drainage!$M$5:$M$204)="Y",1,"")),"")</f>
        <v/>
      </c>
      <c r="AG803" s="181" t="str">
        <f>IFERROR(LOOKUP(2,1/((B_Drainage!$A$5:$A$204&lt;&gt;"")*(B_Drainage!$A$5:$A$204&lt;=$B803)*(B_Drainage!$B$5:$B$204&gt;$B803)*(B_Drainage!$N$5:$N$204&lt;&gt;"")),IF(UPPER(B_Drainage!$N$5:$N$204)="Y",1,"")),"")</f>
        <v/>
      </c>
      <c r="AH803" s="181" t="str">
        <f t="shared" si="96"/>
        <v/>
      </c>
      <c r="AI803" s="181" t="str">
        <f t="shared" si="97"/>
        <v/>
      </c>
      <c r="AJ803" s="181" t="str">
        <f t="shared" si="98"/>
        <v/>
      </c>
      <c r="AK803" s="181" t="str">
        <f t="shared" si="99"/>
        <v/>
      </c>
      <c r="AL803" s="181" t="str">
        <f t="shared" si="100"/>
        <v/>
      </c>
      <c r="AM803" s="181" t="str">
        <f t="shared" si="101"/>
        <v/>
      </c>
      <c r="AN803" s="181" t="str">
        <f t="shared" si="102"/>
        <v/>
      </c>
      <c r="AO803" s="192" t="str">
        <f t="shared" si="103"/>
        <v/>
      </c>
      <c r="AQ803" t="str">
        <f>IFERROR(LOOKUP(2,1/((C_Pavement!$A$5:$A$204&lt;&gt;"")*(C_Pavement!$A$5:$A$204&lt;=$B803)*(C_Pavement!$B$5:$B$204&gt;$B803)*(C_Pavement!$C$5:$C$204&lt;&gt;"")),ROW(C_Pavement!$C$5:$C$204)-4),"")</f>
        <v/>
      </c>
      <c r="AR803" t="str">
        <f>IF($AQ803="","",UPPER(TRIM(INDEX(C_Pavement!$C$5:$C$204,$AQ803))))</f>
        <v/>
      </c>
      <c r="AS803" t="str">
        <f>IF($AR803="","",IFERROR(MATCH($AR803,E_Rules!$A$5:$A$9,0),""))</f>
        <v/>
      </c>
      <c r="AT803" t="str">
        <f>IF($AQ803="","",IF(INDEX(C_Pavement!$D$5:$D$204,$AQ803)&lt;&gt;"",UPPER(TRIM(INDEX(C_Pavement!$D$5:$D$204,$AQ803))),IF($AS803="","",INDEX(E_Rules!$C$5:$C$9,$AS803))))</f>
        <v/>
      </c>
      <c r="AU803" t="str">
        <f>IF($AQ803="","",IF(INDEX(C_Pavement!$E$5:$E$204,$AQ803)&lt;&gt;"",IF(INDEX(C_Pavement!$E$5:$E$204,$AQ803)="-","",INDEX(C_Pavement!$E$5:$E$204,$AQ803)),IF($AS803="","",INDEX(E_Rules!$D$5:$D$9,$AS803))))</f>
        <v/>
      </c>
      <c r="AV803" t="str">
        <f>IF($AQ803="","",IF(INDEX(C_Pavement!$F$5:$F$204,$AQ803)&lt;&gt;"",IF(INDEX(C_Pavement!$F$5:$F$204,$AQ803)="-","",INDEX(C_Pavement!$F$5:$F$204,$AQ803)),IF($AS803="","",INDEX(E_Rules!$E$5:$E$9,$AS803))))</f>
        <v/>
      </c>
      <c r="AW803" t="str">
        <f>IF($AQ803="","",IF(INDEX(C_Pavement!$G$5:$G$204,$AQ803)&lt;&gt;"",IF(INDEX(C_Pavement!$G$5:$G$204,$AQ803)="-","",INDEX(C_Pavement!$G$5:$G$204,$AQ803)),IF($AS803="","",INDEX(E_Rules!$F$5:$F$9,$AS803))))</f>
        <v/>
      </c>
      <c r="AX803" t="str">
        <f>IF($AQ803="","",IF(INDEX(C_Pavement!$H$5:$H$204,$AQ803)&lt;&gt;"",IF(INDEX(C_Pavement!$H$5:$H$204,$AQ803)="-","",INDEX(C_Pavement!$H$5:$H$204,$AQ803)),IF($AS803="","",INDEX(E_Rules!$G$5:$G$9,$AS803))))</f>
        <v/>
      </c>
      <c r="AY803" t="str">
        <f>IF($AQ803="","",IF(INDEX(C_Pavement!$I$5:$I$204,$AQ803)&lt;&gt;"",IF(INDEX(C_Pavement!$I$5:$I$204,$AQ803)="-","",INDEX(C_Pavement!$I$5:$I$204,$AQ803)),IF($AS803="","",INDEX(E_Rules!$H$5:$H$9,$AS803))))</f>
        <v/>
      </c>
    </row>
    <row r="804" spans="1:51" ht="15.75" customHeight="1" x14ac:dyDescent="0.3">
      <c r="A804" s="189">
        <v>799</v>
      </c>
      <c r="B804" s="180">
        <v>39900</v>
      </c>
      <c r="C804" s="180" t="s">
        <v>1110</v>
      </c>
      <c r="D804" s="181" t="str">
        <f>IFERROR(LOOKUP(2,1/((A_Corridor!$A$5:$A$204&lt;&gt;"")*(A_Corridor!$A$5:$A$204&lt;=$B804)*(A_Corridor!$B$5:$B$204&gt;$B804)*(A_Corridor!$C$5:$C$204&lt;&gt;"")),IF(UPPER(A_Corridor!$C$5:$C$204)="Y",1,"")),"")</f>
        <v/>
      </c>
      <c r="E804" s="181" t="str">
        <f>IFERROR(LOOKUP(2,1/((A_Corridor!$A$5:$A$204&lt;&gt;"")*(A_Corridor!$A$5:$A$204&lt;=$B804)*(A_Corridor!$B$5:$B$204&gt;$B804)*(A_Corridor!$D$5:$D$204&lt;&gt;"")),IF(A_Corridor!$D$5:$D$204="-","",UPPER(A_Corridor!$D$5:$D$204))),"")</f>
        <v/>
      </c>
      <c r="F804" s="181" t="str">
        <f>IFERROR(LOOKUP(2,1/((A_Corridor!$A$5:$A$204&lt;&gt;"")*(A_Corridor!$A$5:$A$204&lt;=$B804)*(A_Corridor!$B$5:$B$204&gt;$B804)*(A_Corridor!$E$5:$E$204&lt;&gt;"")),IF(A_Corridor!$E$5:$E$204="-","",1)),"")</f>
        <v/>
      </c>
      <c r="G804" s="182" t="str">
        <f>IFERROR(LOOKUP(2,1/((A_Corridor!$A$5:$A$204&lt;&gt;"")*(A_Corridor!$A$5:$A$204&lt;=$B804)*(A_Corridor!$B$5:$B$204&gt;$B804)*(A_Corridor!$E$5:$E$204&lt;&gt;"")),IF(A_Corridor!$E$5:$E$204="-","",A_Corridor!$E$5:$E$204)),"")</f>
        <v/>
      </c>
      <c r="H804" s="182" t="str">
        <f>IFERROR(LOOKUP(2,1/((D_Points!$A$5:$A$204&lt;&gt;"")*(D_Points!$A$5:$A$204&gt;=$B804)*(D_Points!$A$5:$A$204&lt;$B804+P_Interval)*(UPPER(TRIM(D_Points!$B$5:$B$204))="GULLY")*(D_Points!$H$5:$H$204&lt;&gt;"")),D_Points!$H$5:$H$204),"")</f>
        <v/>
      </c>
      <c r="I804" s="181" t="str">
        <f>IFERROR(LOOKUP(2,1/((A_Corridor!$A$5:$A$204&lt;&gt;"")*(A_Corridor!$A$5:$A$204&lt;=$B804)*(A_Corridor!$B$5:$B$204&gt;$B804)*(A_Corridor!$F$5:$F$204&lt;&gt;"")),IF(A_Corridor!$F$5:$F$204="-","",1)),"")</f>
        <v/>
      </c>
      <c r="J804" s="182" t="str">
        <f>IFERROR(LOOKUP(2,1/((A_Corridor!$A$5:$A$204&lt;&gt;"")*(A_Corridor!$A$5:$A$204&lt;=$B804)*(A_Corridor!$B$5:$B$204&gt;$B804)*(A_Corridor!$F$5:$F$204&lt;&gt;"")),IF(A_Corridor!$F$5:$F$204="-","",A_Corridor!$F$5:$F$204)),"")</f>
        <v/>
      </c>
      <c r="K804" s="182" t="str">
        <f>IFERROR(LOOKUP(2,1/((A_Corridor!$A$5:$A$204&lt;&gt;"")*(A_Corridor!$A$5:$A$204&lt;=$B804)*(A_Corridor!$B$5:$B$204&gt;$B804)*(A_Corridor!$G$5:$G$204&lt;&gt;"")),IF(A_Corridor!$G$5:$G$204="-","",A_Corridor!$G$5:$G$204)),"")</f>
        <v/>
      </c>
      <c r="L804" s="181" t="str">
        <f>IFERROR(LOOKUP(2,1/((A_Corridor!$A$5:$A$204&lt;&gt;"")*(A_Corridor!$A$5:$A$204&lt;=$B804)*(A_Corridor!$B$5:$B$204&gt;$B804)*(A_Corridor!$H$5:$H$204&lt;&gt;"")),IF(A_Corridor!$H$5:$H$204="-","",1)),"")</f>
        <v/>
      </c>
      <c r="M804" s="182" t="str">
        <f>IFERROR(LOOKUP(2,1/((A_Corridor!$A$5:$A$204&lt;&gt;"")*(A_Corridor!$A$5:$A$204&lt;=$B804)*(A_Corridor!$B$5:$B$204&gt;$B804)*(A_Corridor!$H$5:$H$204&lt;&gt;"")),IF(A_Corridor!$H$5:$H$204="-","",A_Corridor!$H$5:$H$204)),"")</f>
        <v/>
      </c>
      <c r="N804" s="182" t="str">
        <f>IFERROR(LOOKUP(2,1/((A_Corridor!$A$5:$A$204&lt;&gt;"")*(A_Corridor!$A$5:$A$204&lt;=$B804)*(A_Corridor!$B$5:$B$204&gt;$B804)*(A_Corridor!$I$5:$I$204&lt;&gt;"")),IF(A_Corridor!$I$5:$I$204="-","",A_Corridor!$I$5:$I$204)),"")</f>
        <v/>
      </c>
      <c r="O804" s="182" t="str">
        <f>IFERROR(LOOKUP(2,1/((D_Points!$A$5:$A$204&lt;&gt;"")*(D_Points!$A$5:$A$204&gt;=$B804)*(D_Points!$A$5:$A$204&lt;$B804+P_Interval)*(UPPER(TRIM(D_Points!$B$5:$B$204))="PITCHING")*(D_Points!$H$5:$H$204&lt;&gt;"")),D_Points!$H$5:$H$204),"")</f>
        <v/>
      </c>
      <c r="P804" s="181" t="str">
        <f>IFERROR(LOOKUP(2,1/((B_Drainage!$A$5:$A$204&lt;&gt;"")*(B_Drainage!$A$5:$A$204&lt;=$B804)*(B_Drainage!$B$5:$B$204&gt;$B804)*(B_Drainage!$C$5:$C$204&lt;&gt;"")),IF(B_Drainage!$C$5:$C$204="-","",UPPER(B_Drainage!$C$5:$C$204))),"")</f>
        <v/>
      </c>
      <c r="Q804" s="181" t="str">
        <f>IFERROR(LOOKUP(2,1/((B_Drainage!$A$5:$A$204&lt;&gt;"")*(B_Drainage!$A$5:$A$204&lt;=$B804)*(B_Drainage!$B$5:$B$204&gt;$B804)*(B_Drainage!$D$5:$D$204&lt;&gt;"")),IF(B_Drainage!$D$5:$D$204="-","",UPPER(B_Drainage!$D$5:$D$204))),"")</f>
        <v/>
      </c>
      <c r="R804" s="182" t="str">
        <f>IFERROR(LOOKUP(2,1/((D_Points!$A$5:$A$204&lt;&gt;"")*(D_Points!$A$5:$A$204&gt;=$B804)*(D_Points!$A$5:$A$204&lt;$B804+P_Interval)*(RIGHT(UPPER(TRIM(D_Points!$B$5:$B$204)),8)="_CULVERT")),IF(LEFT(UPPER(TRIM(D_Points!$B$5:$B$204)),2)="EX",1,IF(LEFT(UPPER(TRIM(D_Points!$B$5:$B$204)),2)="PR",2,3))),"")</f>
        <v/>
      </c>
      <c r="S804" s="182" t="str">
        <f>IFERROR(LOOKUP(2,1/((D_Points!$A$5:$A$204&lt;&gt;"")*(D_Points!$A$5:$A$204&gt;=$B804)*(D_Points!$A$5:$A$204&lt;$B804+P_Interval)*(RIGHT(UPPER(TRIM(D_Points!$B$5:$B$204)),7)="_BRIDGE")),IF(LEFT(UPPER(TRIM(D_Points!$B$5:$B$204)),2)="EX",1,IF(LEFT(UPPER(TRIM(D_Points!$B$5:$B$204)),2)="PR",2,2))),"")</f>
        <v/>
      </c>
      <c r="T804" s="181" t="str">
        <f>IFERROR(LOOKUP(2,1/((B_Drainage!$A$5:$A$204&lt;&gt;"")*(B_Drainage!$A$5:$A$204&lt;=$B804)*(B_Drainage!$B$5:$B$204&gt;$B804)*(B_Drainage!$E$5:$E$204&lt;&gt;"")),IF(B_Drainage!$E$5:$E$204="-","",1)),"")</f>
        <v/>
      </c>
      <c r="U804" s="181" t="str">
        <f>IFERROR(LOOKUP(2,1/((B_Drainage!$A$5:$A$204&lt;&gt;"")*(B_Drainage!$A$5:$A$204&lt;=$B804)*(B_Drainage!$B$5:$B$204&gt;$B804)*(B_Drainage!$E$5:$E$204&lt;&gt;"")),IF(B_Drainage!$E$5:$E$204="-","",B_Drainage!$E$5:$E$204)),"")</f>
        <v/>
      </c>
      <c r="V804" s="181" t="str">
        <f>IFERROR(LOOKUP(2,1/((B_Drainage!$A$5:$A$204&lt;&gt;"")*(B_Drainage!$A$5:$A$204&lt;=$B804)*(B_Drainage!$B$5:$B$204&gt;$B804)*(B_Drainage!$F$5:$F$204&lt;&gt;"")),IF(B_Drainage!$F$5:$F$204="-","",1)),"")</f>
        <v/>
      </c>
      <c r="W804" s="181" t="str">
        <f>IFERROR(LOOKUP(2,1/((B_Drainage!$A$5:$A$204&lt;&gt;"")*(B_Drainage!$A$5:$A$204&lt;=$B804)*(B_Drainage!$B$5:$B$204&gt;$B804)*(B_Drainage!$F$5:$F$204&lt;&gt;"")),IF(B_Drainage!$F$5:$F$204="-","",B_Drainage!$F$5:$F$204)),"")</f>
        <v/>
      </c>
      <c r="X804" s="181" t="str">
        <f>IFERROR(LOOKUP(2,1/((B_Drainage!$A$5:$A$204&lt;&gt;"")*(B_Drainage!$A$5:$A$204&lt;=$B804)*(B_Drainage!$B$5:$B$204&gt;$B804)*(B_Drainage!$G$5:$G$204&lt;&gt;"")),IF(UPPER(B_Drainage!$G$5:$G$204)="Y",1,"")),"")</f>
        <v/>
      </c>
      <c r="Y804" s="181" t="str">
        <f>IFERROR(LOOKUP(2,1/((B_Drainage!$A$5:$A$204&lt;&gt;"")*(B_Drainage!$A$5:$A$204&lt;=$B804)*(B_Drainage!$B$5:$B$204&gt;$B804)*(B_Drainage!$H$5:$H$204&lt;&gt;"")),IF(UPPER(B_Drainage!$H$5:$H$204)="Y",1,"")),"")</f>
        <v/>
      </c>
      <c r="Z804" s="181" t="str">
        <f>IFERROR(LOOKUP(2,1/((B_Drainage!$A$5:$A$204&lt;&gt;"")*(B_Drainage!$A$5:$A$204&lt;=$B804)*(B_Drainage!$B$5:$B$204&gt;$B804)*(B_Drainage!$I$5:$I$204&lt;&gt;"")),IF(UPPER(B_Drainage!$I$5:$I$204)="Y",1,"")),"")</f>
        <v/>
      </c>
      <c r="AA804" s="181" t="str">
        <f>IFERROR(LOOKUP(2,1/((B_Drainage!$A$5:$A$204&lt;&gt;"")*(B_Drainage!$A$5:$A$204&lt;=$B804)*(B_Drainage!$B$5:$B$204&gt;$B804)*(B_Drainage!$J$5:$J$204&lt;&gt;"")),IF(UPPER(B_Drainage!$J$5:$J$204)="Y",1,"")),"")</f>
        <v/>
      </c>
      <c r="AB804" s="182" t="str">
        <f>IFERROR(LOOKUP(2,1/((B_Drainage!$A$5:$A$204&lt;&gt;"")*(B_Drainage!$A$5:$A$204&lt;=$B804)*(B_Drainage!$B$5:$B$204&gt;$B804)*(B_Drainage!$K$5:$K$204&lt;&gt;"")),IF(B_Drainage!$K$5:$K$204="-","",B_Drainage!$K$5:$K$204)),"")</f>
        <v/>
      </c>
      <c r="AC804" s="182" t="str">
        <f>IFERROR(LOOKUP(2,1/((B_Drainage!$A$5:$A$204&lt;&gt;"")*(B_Drainage!$A$5:$A$204&lt;=$B804)*(B_Drainage!$B$5:$B$204&gt;$B804)*(B_Drainage!$L$5:$L$204&lt;&gt;"")),IF(B_Drainage!$L$5:$L$204="-","",B_Drainage!$L$5:$L$204)),"")</f>
        <v/>
      </c>
      <c r="AD804" s="182" t="str">
        <f>IFERROR(LOOKUP(2,1/((D_Points!$A$5:$A$204&lt;&gt;"")*(D_Points!$A$5:$A$204&gt;=$B804)*(D_Points!$A$5:$A$204&lt;$B804+P_Interval)*(UPPER(TRIM(D_Points!$B$5:$B$204))="TURNOUT_L")*(D_Points!$H$5:$H$204&lt;&gt;"")),D_Points!$H$5:$H$204),"")</f>
        <v/>
      </c>
      <c r="AE804" s="182" t="str">
        <f>IFERROR(LOOKUP(2,1/((D_Points!$A$5:$A$204&lt;&gt;"")*(D_Points!$A$5:$A$204&gt;=$B804)*(D_Points!$A$5:$A$204&lt;$B804+P_Interval)*(UPPER(TRIM(D_Points!$B$5:$B$204))="TURNOUT_R")*(D_Points!$H$5:$H$204&lt;&gt;"")),D_Points!$H$5:$H$204),"")</f>
        <v/>
      </c>
      <c r="AF804" s="181" t="str">
        <f>IFERROR(LOOKUP(2,1/((B_Drainage!$A$5:$A$204&lt;&gt;"")*(B_Drainage!$A$5:$A$204&lt;=$B804)*(B_Drainage!$B$5:$B$204&gt;$B804)*(B_Drainage!$M$5:$M$204&lt;&gt;"")),IF(UPPER(B_Drainage!$M$5:$M$204)="Y",1,"")),"")</f>
        <v/>
      </c>
      <c r="AG804" s="181" t="str">
        <f>IFERROR(LOOKUP(2,1/((B_Drainage!$A$5:$A$204&lt;&gt;"")*(B_Drainage!$A$5:$A$204&lt;=$B804)*(B_Drainage!$B$5:$B$204&gt;$B804)*(B_Drainage!$N$5:$N$204&lt;&gt;"")),IF(UPPER(B_Drainage!$N$5:$N$204)="Y",1,"")),"")</f>
        <v/>
      </c>
      <c r="AH804" s="181" t="str">
        <f t="shared" si="96"/>
        <v/>
      </c>
      <c r="AI804" s="181" t="str">
        <f t="shared" si="97"/>
        <v/>
      </c>
      <c r="AJ804" s="181" t="str">
        <f t="shared" si="98"/>
        <v/>
      </c>
      <c r="AK804" s="181" t="str">
        <f t="shared" si="99"/>
        <v/>
      </c>
      <c r="AL804" s="181" t="str">
        <f t="shared" si="100"/>
        <v/>
      </c>
      <c r="AM804" s="181" t="str">
        <f t="shared" si="101"/>
        <v/>
      </c>
      <c r="AN804" s="181" t="str">
        <f t="shared" si="102"/>
        <v/>
      </c>
      <c r="AO804" s="192" t="str">
        <f t="shared" si="103"/>
        <v/>
      </c>
      <c r="AQ804" t="str">
        <f>IFERROR(LOOKUP(2,1/((C_Pavement!$A$5:$A$204&lt;&gt;"")*(C_Pavement!$A$5:$A$204&lt;=$B804)*(C_Pavement!$B$5:$B$204&gt;$B804)*(C_Pavement!$C$5:$C$204&lt;&gt;"")),ROW(C_Pavement!$C$5:$C$204)-4),"")</f>
        <v/>
      </c>
      <c r="AR804" t="str">
        <f>IF($AQ804="","",UPPER(TRIM(INDEX(C_Pavement!$C$5:$C$204,$AQ804))))</f>
        <v/>
      </c>
      <c r="AS804" t="str">
        <f>IF($AR804="","",IFERROR(MATCH($AR804,E_Rules!$A$5:$A$9,0),""))</f>
        <v/>
      </c>
      <c r="AT804" t="str">
        <f>IF($AQ804="","",IF(INDEX(C_Pavement!$D$5:$D$204,$AQ804)&lt;&gt;"",UPPER(TRIM(INDEX(C_Pavement!$D$5:$D$204,$AQ804))),IF($AS804="","",INDEX(E_Rules!$C$5:$C$9,$AS804))))</f>
        <v/>
      </c>
      <c r="AU804" t="str">
        <f>IF($AQ804="","",IF(INDEX(C_Pavement!$E$5:$E$204,$AQ804)&lt;&gt;"",IF(INDEX(C_Pavement!$E$5:$E$204,$AQ804)="-","",INDEX(C_Pavement!$E$5:$E$204,$AQ804)),IF($AS804="","",INDEX(E_Rules!$D$5:$D$9,$AS804))))</f>
        <v/>
      </c>
      <c r="AV804" t="str">
        <f>IF($AQ804="","",IF(INDEX(C_Pavement!$F$5:$F$204,$AQ804)&lt;&gt;"",IF(INDEX(C_Pavement!$F$5:$F$204,$AQ804)="-","",INDEX(C_Pavement!$F$5:$F$204,$AQ804)),IF($AS804="","",INDEX(E_Rules!$E$5:$E$9,$AS804))))</f>
        <v/>
      </c>
      <c r="AW804" t="str">
        <f>IF($AQ804="","",IF(INDEX(C_Pavement!$G$5:$G$204,$AQ804)&lt;&gt;"",IF(INDEX(C_Pavement!$G$5:$G$204,$AQ804)="-","",INDEX(C_Pavement!$G$5:$G$204,$AQ804)),IF($AS804="","",INDEX(E_Rules!$F$5:$F$9,$AS804))))</f>
        <v/>
      </c>
      <c r="AX804" t="str">
        <f>IF($AQ804="","",IF(INDEX(C_Pavement!$H$5:$H$204,$AQ804)&lt;&gt;"",IF(INDEX(C_Pavement!$H$5:$H$204,$AQ804)="-","",INDEX(C_Pavement!$H$5:$H$204,$AQ804)),IF($AS804="","",INDEX(E_Rules!$G$5:$G$9,$AS804))))</f>
        <v/>
      </c>
      <c r="AY804" t="str">
        <f>IF($AQ804="","",IF(INDEX(C_Pavement!$I$5:$I$204,$AQ804)&lt;&gt;"",IF(INDEX(C_Pavement!$I$5:$I$204,$AQ804)="-","",INDEX(C_Pavement!$I$5:$I$204,$AQ804)),IF($AS804="","",INDEX(E_Rules!$H$5:$H$9,$AS804))))</f>
        <v/>
      </c>
    </row>
    <row r="805" spans="1:51" ht="15.75" customHeight="1" x14ac:dyDescent="0.3">
      <c r="A805" s="189">
        <v>800</v>
      </c>
      <c r="B805" s="180">
        <v>39950</v>
      </c>
      <c r="C805" s="180" t="s">
        <v>1111</v>
      </c>
      <c r="D805" s="181" t="str">
        <f>IFERROR(LOOKUP(2,1/((A_Corridor!$A$5:$A$204&lt;&gt;"")*(A_Corridor!$A$5:$A$204&lt;=$B805)*(A_Corridor!$B$5:$B$204&gt;$B805)*(A_Corridor!$C$5:$C$204&lt;&gt;"")),IF(UPPER(A_Corridor!$C$5:$C$204)="Y",1,"")),"")</f>
        <v/>
      </c>
      <c r="E805" s="181" t="str">
        <f>IFERROR(LOOKUP(2,1/((A_Corridor!$A$5:$A$204&lt;&gt;"")*(A_Corridor!$A$5:$A$204&lt;=$B805)*(A_Corridor!$B$5:$B$204&gt;$B805)*(A_Corridor!$D$5:$D$204&lt;&gt;"")),IF(A_Corridor!$D$5:$D$204="-","",UPPER(A_Corridor!$D$5:$D$204))),"")</f>
        <v/>
      </c>
      <c r="F805" s="181" t="str">
        <f>IFERROR(LOOKUP(2,1/((A_Corridor!$A$5:$A$204&lt;&gt;"")*(A_Corridor!$A$5:$A$204&lt;=$B805)*(A_Corridor!$B$5:$B$204&gt;$B805)*(A_Corridor!$E$5:$E$204&lt;&gt;"")),IF(A_Corridor!$E$5:$E$204="-","",1)),"")</f>
        <v/>
      </c>
      <c r="G805" s="182" t="str">
        <f>IFERROR(LOOKUP(2,1/((A_Corridor!$A$5:$A$204&lt;&gt;"")*(A_Corridor!$A$5:$A$204&lt;=$B805)*(A_Corridor!$B$5:$B$204&gt;$B805)*(A_Corridor!$E$5:$E$204&lt;&gt;"")),IF(A_Corridor!$E$5:$E$204="-","",A_Corridor!$E$5:$E$204)),"")</f>
        <v/>
      </c>
      <c r="H805" s="182" t="str">
        <f>IFERROR(LOOKUP(2,1/((D_Points!$A$5:$A$204&lt;&gt;"")*(D_Points!$A$5:$A$204&gt;=$B805)*(D_Points!$A$5:$A$204&lt;$B805+P_Interval)*(UPPER(TRIM(D_Points!$B$5:$B$204))="GULLY")*(D_Points!$H$5:$H$204&lt;&gt;"")),D_Points!$H$5:$H$204),"")</f>
        <v/>
      </c>
      <c r="I805" s="181" t="str">
        <f>IFERROR(LOOKUP(2,1/((A_Corridor!$A$5:$A$204&lt;&gt;"")*(A_Corridor!$A$5:$A$204&lt;=$B805)*(A_Corridor!$B$5:$B$204&gt;$B805)*(A_Corridor!$F$5:$F$204&lt;&gt;"")),IF(A_Corridor!$F$5:$F$204="-","",1)),"")</f>
        <v/>
      </c>
      <c r="J805" s="182" t="str">
        <f>IFERROR(LOOKUP(2,1/((A_Corridor!$A$5:$A$204&lt;&gt;"")*(A_Corridor!$A$5:$A$204&lt;=$B805)*(A_Corridor!$B$5:$B$204&gt;$B805)*(A_Corridor!$F$5:$F$204&lt;&gt;"")),IF(A_Corridor!$F$5:$F$204="-","",A_Corridor!$F$5:$F$204)),"")</f>
        <v/>
      </c>
      <c r="K805" s="182" t="str">
        <f>IFERROR(LOOKUP(2,1/((A_Corridor!$A$5:$A$204&lt;&gt;"")*(A_Corridor!$A$5:$A$204&lt;=$B805)*(A_Corridor!$B$5:$B$204&gt;$B805)*(A_Corridor!$G$5:$G$204&lt;&gt;"")),IF(A_Corridor!$G$5:$G$204="-","",A_Corridor!$G$5:$G$204)),"")</f>
        <v/>
      </c>
      <c r="L805" s="181" t="str">
        <f>IFERROR(LOOKUP(2,1/((A_Corridor!$A$5:$A$204&lt;&gt;"")*(A_Corridor!$A$5:$A$204&lt;=$B805)*(A_Corridor!$B$5:$B$204&gt;$B805)*(A_Corridor!$H$5:$H$204&lt;&gt;"")),IF(A_Corridor!$H$5:$H$204="-","",1)),"")</f>
        <v/>
      </c>
      <c r="M805" s="182" t="str">
        <f>IFERROR(LOOKUP(2,1/((A_Corridor!$A$5:$A$204&lt;&gt;"")*(A_Corridor!$A$5:$A$204&lt;=$B805)*(A_Corridor!$B$5:$B$204&gt;$B805)*(A_Corridor!$H$5:$H$204&lt;&gt;"")),IF(A_Corridor!$H$5:$H$204="-","",A_Corridor!$H$5:$H$204)),"")</f>
        <v/>
      </c>
      <c r="N805" s="182" t="str">
        <f>IFERROR(LOOKUP(2,1/((A_Corridor!$A$5:$A$204&lt;&gt;"")*(A_Corridor!$A$5:$A$204&lt;=$B805)*(A_Corridor!$B$5:$B$204&gt;$B805)*(A_Corridor!$I$5:$I$204&lt;&gt;"")),IF(A_Corridor!$I$5:$I$204="-","",A_Corridor!$I$5:$I$204)),"")</f>
        <v/>
      </c>
      <c r="O805" s="182" t="str">
        <f>IFERROR(LOOKUP(2,1/((D_Points!$A$5:$A$204&lt;&gt;"")*(D_Points!$A$5:$A$204&gt;=$B805)*(D_Points!$A$5:$A$204&lt;$B805+P_Interval)*(UPPER(TRIM(D_Points!$B$5:$B$204))="PITCHING")*(D_Points!$H$5:$H$204&lt;&gt;"")),D_Points!$H$5:$H$204),"")</f>
        <v/>
      </c>
      <c r="P805" s="181" t="str">
        <f>IFERROR(LOOKUP(2,1/((B_Drainage!$A$5:$A$204&lt;&gt;"")*(B_Drainage!$A$5:$A$204&lt;=$B805)*(B_Drainage!$B$5:$B$204&gt;$B805)*(B_Drainage!$C$5:$C$204&lt;&gt;"")),IF(B_Drainage!$C$5:$C$204="-","",UPPER(B_Drainage!$C$5:$C$204))),"")</f>
        <v/>
      </c>
      <c r="Q805" s="181" t="str">
        <f>IFERROR(LOOKUP(2,1/((B_Drainage!$A$5:$A$204&lt;&gt;"")*(B_Drainage!$A$5:$A$204&lt;=$B805)*(B_Drainage!$B$5:$B$204&gt;$B805)*(B_Drainage!$D$5:$D$204&lt;&gt;"")),IF(B_Drainage!$D$5:$D$204="-","",UPPER(B_Drainage!$D$5:$D$204))),"")</f>
        <v/>
      </c>
      <c r="R805" s="182" t="str">
        <f>IFERROR(LOOKUP(2,1/((D_Points!$A$5:$A$204&lt;&gt;"")*(D_Points!$A$5:$A$204&gt;=$B805)*(D_Points!$A$5:$A$204&lt;$B805+P_Interval)*(RIGHT(UPPER(TRIM(D_Points!$B$5:$B$204)),8)="_CULVERT")),IF(LEFT(UPPER(TRIM(D_Points!$B$5:$B$204)),2)="EX",1,IF(LEFT(UPPER(TRIM(D_Points!$B$5:$B$204)),2)="PR",2,3))),"")</f>
        <v/>
      </c>
      <c r="S805" s="182" t="str">
        <f>IFERROR(LOOKUP(2,1/((D_Points!$A$5:$A$204&lt;&gt;"")*(D_Points!$A$5:$A$204&gt;=$B805)*(D_Points!$A$5:$A$204&lt;$B805+P_Interval)*(RIGHT(UPPER(TRIM(D_Points!$B$5:$B$204)),7)="_BRIDGE")),IF(LEFT(UPPER(TRIM(D_Points!$B$5:$B$204)),2)="EX",1,IF(LEFT(UPPER(TRIM(D_Points!$B$5:$B$204)),2)="PR",2,2))),"")</f>
        <v/>
      </c>
      <c r="T805" s="181" t="str">
        <f>IFERROR(LOOKUP(2,1/((B_Drainage!$A$5:$A$204&lt;&gt;"")*(B_Drainage!$A$5:$A$204&lt;=$B805)*(B_Drainage!$B$5:$B$204&gt;$B805)*(B_Drainage!$E$5:$E$204&lt;&gt;"")),IF(B_Drainage!$E$5:$E$204="-","",1)),"")</f>
        <v/>
      </c>
      <c r="U805" s="181" t="str">
        <f>IFERROR(LOOKUP(2,1/((B_Drainage!$A$5:$A$204&lt;&gt;"")*(B_Drainage!$A$5:$A$204&lt;=$B805)*(B_Drainage!$B$5:$B$204&gt;$B805)*(B_Drainage!$E$5:$E$204&lt;&gt;"")),IF(B_Drainage!$E$5:$E$204="-","",B_Drainage!$E$5:$E$204)),"")</f>
        <v/>
      </c>
      <c r="V805" s="181" t="str">
        <f>IFERROR(LOOKUP(2,1/((B_Drainage!$A$5:$A$204&lt;&gt;"")*(B_Drainage!$A$5:$A$204&lt;=$B805)*(B_Drainage!$B$5:$B$204&gt;$B805)*(B_Drainage!$F$5:$F$204&lt;&gt;"")),IF(B_Drainage!$F$5:$F$204="-","",1)),"")</f>
        <v/>
      </c>
      <c r="W805" s="181" t="str">
        <f>IFERROR(LOOKUP(2,1/((B_Drainage!$A$5:$A$204&lt;&gt;"")*(B_Drainage!$A$5:$A$204&lt;=$B805)*(B_Drainage!$B$5:$B$204&gt;$B805)*(B_Drainage!$F$5:$F$204&lt;&gt;"")),IF(B_Drainage!$F$5:$F$204="-","",B_Drainage!$F$5:$F$204)),"")</f>
        <v/>
      </c>
      <c r="X805" s="181" t="str">
        <f>IFERROR(LOOKUP(2,1/((B_Drainage!$A$5:$A$204&lt;&gt;"")*(B_Drainage!$A$5:$A$204&lt;=$B805)*(B_Drainage!$B$5:$B$204&gt;$B805)*(B_Drainage!$G$5:$G$204&lt;&gt;"")),IF(UPPER(B_Drainage!$G$5:$G$204)="Y",1,"")),"")</f>
        <v/>
      </c>
      <c r="Y805" s="181" t="str">
        <f>IFERROR(LOOKUP(2,1/((B_Drainage!$A$5:$A$204&lt;&gt;"")*(B_Drainage!$A$5:$A$204&lt;=$B805)*(B_Drainage!$B$5:$B$204&gt;$B805)*(B_Drainage!$H$5:$H$204&lt;&gt;"")),IF(UPPER(B_Drainage!$H$5:$H$204)="Y",1,"")),"")</f>
        <v/>
      </c>
      <c r="Z805" s="181" t="str">
        <f>IFERROR(LOOKUP(2,1/((B_Drainage!$A$5:$A$204&lt;&gt;"")*(B_Drainage!$A$5:$A$204&lt;=$B805)*(B_Drainage!$B$5:$B$204&gt;$B805)*(B_Drainage!$I$5:$I$204&lt;&gt;"")),IF(UPPER(B_Drainage!$I$5:$I$204)="Y",1,"")),"")</f>
        <v/>
      </c>
      <c r="AA805" s="181" t="str">
        <f>IFERROR(LOOKUP(2,1/((B_Drainage!$A$5:$A$204&lt;&gt;"")*(B_Drainage!$A$5:$A$204&lt;=$B805)*(B_Drainage!$B$5:$B$204&gt;$B805)*(B_Drainage!$J$5:$J$204&lt;&gt;"")),IF(UPPER(B_Drainage!$J$5:$J$204)="Y",1,"")),"")</f>
        <v/>
      </c>
      <c r="AB805" s="182" t="str">
        <f>IFERROR(LOOKUP(2,1/((B_Drainage!$A$5:$A$204&lt;&gt;"")*(B_Drainage!$A$5:$A$204&lt;=$B805)*(B_Drainage!$B$5:$B$204&gt;$B805)*(B_Drainage!$K$5:$K$204&lt;&gt;"")),IF(B_Drainage!$K$5:$K$204="-","",B_Drainage!$K$5:$K$204)),"")</f>
        <v/>
      </c>
      <c r="AC805" s="182" t="str">
        <f>IFERROR(LOOKUP(2,1/((B_Drainage!$A$5:$A$204&lt;&gt;"")*(B_Drainage!$A$5:$A$204&lt;=$B805)*(B_Drainage!$B$5:$B$204&gt;$B805)*(B_Drainage!$L$5:$L$204&lt;&gt;"")),IF(B_Drainage!$L$5:$L$204="-","",B_Drainage!$L$5:$L$204)),"")</f>
        <v/>
      </c>
      <c r="AD805" s="182" t="str">
        <f>IFERROR(LOOKUP(2,1/((D_Points!$A$5:$A$204&lt;&gt;"")*(D_Points!$A$5:$A$204&gt;=$B805)*(D_Points!$A$5:$A$204&lt;$B805+P_Interval)*(UPPER(TRIM(D_Points!$B$5:$B$204))="TURNOUT_L")*(D_Points!$H$5:$H$204&lt;&gt;"")),D_Points!$H$5:$H$204),"")</f>
        <v/>
      </c>
      <c r="AE805" s="182" t="str">
        <f>IFERROR(LOOKUP(2,1/((D_Points!$A$5:$A$204&lt;&gt;"")*(D_Points!$A$5:$A$204&gt;=$B805)*(D_Points!$A$5:$A$204&lt;$B805+P_Interval)*(UPPER(TRIM(D_Points!$B$5:$B$204))="TURNOUT_R")*(D_Points!$H$5:$H$204&lt;&gt;"")),D_Points!$H$5:$H$204),"")</f>
        <v/>
      </c>
      <c r="AF805" s="181" t="str">
        <f>IFERROR(LOOKUP(2,1/((B_Drainage!$A$5:$A$204&lt;&gt;"")*(B_Drainage!$A$5:$A$204&lt;=$B805)*(B_Drainage!$B$5:$B$204&gt;$B805)*(B_Drainage!$M$5:$M$204&lt;&gt;"")),IF(UPPER(B_Drainage!$M$5:$M$204)="Y",1,"")),"")</f>
        <v/>
      </c>
      <c r="AG805" s="181" t="str">
        <f>IFERROR(LOOKUP(2,1/((B_Drainage!$A$5:$A$204&lt;&gt;"")*(B_Drainage!$A$5:$A$204&lt;=$B805)*(B_Drainage!$B$5:$B$204&gt;$B805)*(B_Drainage!$N$5:$N$204&lt;&gt;"")),IF(UPPER(B_Drainage!$N$5:$N$204)="Y",1,"")),"")</f>
        <v/>
      </c>
      <c r="AH805" s="181" t="str">
        <f t="shared" si="96"/>
        <v/>
      </c>
      <c r="AI805" s="181" t="str">
        <f t="shared" si="97"/>
        <v/>
      </c>
      <c r="AJ805" s="181" t="str">
        <f t="shared" si="98"/>
        <v/>
      </c>
      <c r="AK805" s="181" t="str">
        <f t="shared" si="99"/>
        <v/>
      </c>
      <c r="AL805" s="181" t="str">
        <f t="shared" si="100"/>
        <v/>
      </c>
      <c r="AM805" s="181" t="str">
        <f t="shared" si="101"/>
        <v/>
      </c>
      <c r="AN805" s="181" t="str">
        <f t="shared" si="102"/>
        <v/>
      </c>
      <c r="AO805" s="192" t="str">
        <f t="shared" si="103"/>
        <v/>
      </c>
      <c r="AQ805" t="str">
        <f>IFERROR(LOOKUP(2,1/((C_Pavement!$A$5:$A$204&lt;&gt;"")*(C_Pavement!$A$5:$A$204&lt;=$B805)*(C_Pavement!$B$5:$B$204&gt;$B805)*(C_Pavement!$C$5:$C$204&lt;&gt;"")),ROW(C_Pavement!$C$5:$C$204)-4),"")</f>
        <v/>
      </c>
      <c r="AR805" t="str">
        <f>IF($AQ805="","",UPPER(TRIM(INDEX(C_Pavement!$C$5:$C$204,$AQ805))))</f>
        <v/>
      </c>
      <c r="AS805" t="str">
        <f>IF($AR805="","",IFERROR(MATCH($AR805,E_Rules!$A$5:$A$9,0),""))</f>
        <v/>
      </c>
      <c r="AT805" t="str">
        <f>IF($AQ805="","",IF(INDEX(C_Pavement!$D$5:$D$204,$AQ805)&lt;&gt;"",UPPER(TRIM(INDEX(C_Pavement!$D$5:$D$204,$AQ805))),IF($AS805="","",INDEX(E_Rules!$C$5:$C$9,$AS805))))</f>
        <v/>
      </c>
      <c r="AU805" t="str">
        <f>IF($AQ805="","",IF(INDEX(C_Pavement!$E$5:$E$204,$AQ805)&lt;&gt;"",IF(INDEX(C_Pavement!$E$5:$E$204,$AQ805)="-","",INDEX(C_Pavement!$E$5:$E$204,$AQ805)),IF($AS805="","",INDEX(E_Rules!$D$5:$D$9,$AS805))))</f>
        <v/>
      </c>
      <c r="AV805" t="str">
        <f>IF($AQ805="","",IF(INDEX(C_Pavement!$F$5:$F$204,$AQ805)&lt;&gt;"",IF(INDEX(C_Pavement!$F$5:$F$204,$AQ805)="-","",INDEX(C_Pavement!$F$5:$F$204,$AQ805)),IF($AS805="","",INDEX(E_Rules!$E$5:$E$9,$AS805))))</f>
        <v/>
      </c>
      <c r="AW805" t="str">
        <f>IF($AQ805="","",IF(INDEX(C_Pavement!$G$5:$G$204,$AQ805)&lt;&gt;"",IF(INDEX(C_Pavement!$G$5:$G$204,$AQ805)="-","",INDEX(C_Pavement!$G$5:$G$204,$AQ805)),IF($AS805="","",INDEX(E_Rules!$F$5:$F$9,$AS805))))</f>
        <v/>
      </c>
      <c r="AX805" t="str">
        <f>IF($AQ805="","",IF(INDEX(C_Pavement!$H$5:$H$204,$AQ805)&lt;&gt;"",IF(INDEX(C_Pavement!$H$5:$H$204,$AQ805)="-","",INDEX(C_Pavement!$H$5:$H$204,$AQ805)),IF($AS805="","",INDEX(E_Rules!$G$5:$G$9,$AS805))))</f>
        <v/>
      </c>
      <c r="AY805" t="str">
        <f>IF($AQ805="","",IF(INDEX(C_Pavement!$I$5:$I$204,$AQ805)&lt;&gt;"",IF(INDEX(C_Pavement!$I$5:$I$204,$AQ805)="-","",INDEX(C_Pavement!$I$5:$I$204,$AQ805)),IF($AS805="","",INDEX(E_Rules!$H$5:$H$9,$AS805))))</f>
        <v/>
      </c>
    </row>
    <row r="806" spans="1:51" ht="15.75" customHeight="1" x14ac:dyDescent="0.3">
      <c r="A806" s="189">
        <v>801</v>
      </c>
      <c r="B806" s="180">
        <v>40000</v>
      </c>
      <c r="C806" s="180" t="s">
        <v>1112</v>
      </c>
      <c r="D806" s="181" t="str">
        <f>IFERROR(LOOKUP(2,1/((A_Corridor!$A$5:$A$204&lt;&gt;"")*(A_Corridor!$A$5:$A$204&lt;=$B806)*(A_Corridor!$B$5:$B$204&gt;$B806)*(A_Corridor!$C$5:$C$204&lt;&gt;"")),IF(UPPER(A_Corridor!$C$5:$C$204)="Y",1,"")),"")</f>
        <v/>
      </c>
      <c r="E806" s="181" t="str">
        <f>IFERROR(LOOKUP(2,1/((A_Corridor!$A$5:$A$204&lt;&gt;"")*(A_Corridor!$A$5:$A$204&lt;=$B806)*(A_Corridor!$B$5:$B$204&gt;$B806)*(A_Corridor!$D$5:$D$204&lt;&gt;"")),IF(A_Corridor!$D$5:$D$204="-","",UPPER(A_Corridor!$D$5:$D$204))),"")</f>
        <v/>
      </c>
      <c r="F806" s="181" t="str">
        <f>IFERROR(LOOKUP(2,1/((A_Corridor!$A$5:$A$204&lt;&gt;"")*(A_Corridor!$A$5:$A$204&lt;=$B806)*(A_Corridor!$B$5:$B$204&gt;$B806)*(A_Corridor!$E$5:$E$204&lt;&gt;"")),IF(A_Corridor!$E$5:$E$204="-","",1)),"")</f>
        <v/>
      </c>
      <c r="G806" s="182" t="str">
        <f>IFERROR(LOOKUP(2,1/((A_Corridor!$A$5:$A$204&lt;&gt;"")*(A_Corridor!$A$5:$A$204&lt;=$B806)*(A_Corridor!$B$5:$B$204&gt;$B806)*(A_Corridor!$E$5:$E$204&lt;&gt;"")),IF(A_Corridor!$E$5:$E$204="-","",A_Corridor!$E$5:$E$204)),"")</f>
        <v/>
      </c>
      <c r="H806" s="182" t="str">
        <f>IFERROR(LOOKUP(2,1/((D_Points!$A$5:$A$204&lt;&gt;"")*(D_Points!$A$5:$A$204&gt;=$B806)*(D_Points!$A$5:$A$204&lt;$B806+P_Interval)*(UPPER(TRIM(D_Points!$B$5:$B$204))="GULLY")*(D_Points!$H$5:$H$204&lt;&gt;"")),D_Points!$H$5:$H$204),"")</f>
        <v/>
      </c>
      <c r="I806" s="181" t="str">
        <f>IFERROR(LOOKUP(2,1/((A_Corridor!$A$5:$A$204&lt;&gt;"")*(A_Corridor!$A$5:$A$204&lt;=$B806)*(A_Corridor!$B$5:$B$204&gt;$B806)*(A_Corridor!$F$5:$F$204&lt;&gt;"")),IF(A_Corridor!$F$5:$F$204="-","",1)),"")</f>
        <v/>
      </c>
      <c r="J806" s="182" t="str">
        <f>IFERROR(LOOKUP(2,1/((A_Corridor!$A$5:$A$204&lt;&gt;"")*(A_Corridor!$A$5:$A$204&lt;=$B806)*(A_Corridor!$B$5:$B$204&gt;$B806)*(A_Corridor!$F$5:$F$204&lt;&gt;"")),IF(A_Corridor!$F$5:$F$204="-","",A_Corridor!$F$5:$F$204)),"")</f>
        <v/>
      </c>
      <c r="K806" s="182" t="str">
        <f>IFERROR(LOOKUP(2,1/((A_Corridor!$A$5:$A$204&lt;&gt;"")*(A_Corridor!$A$5:$A$204&lt;=$B806)*(A_Corridor!$B$5:$B$204&gt;$B806)*(A_Corridor!$G$5:$G$204&lt;&gt;"")),IF(A_Corridor!$G$5:$G$204="-","",A_Corridor!$G$5:$G$204)),"")</f>
        <v/>
      </c>
      <c r="L806" s="181" t="str">
        <f>IFERROR(LOOKUP(2,1/((A_Corridor!$A$5:$A$204&lt;&gt;"")*(A_Corridor!$A$5:$A$204&lt;=$B806)*(A_Corridor!$B$5:$B$204&gt;$B806)*(A_Corridor!$H$5:$H$204&lt;&gt;"")),IF(A_Corridor!$H$5:$H$204="-","",1)),"")</f>
        <v/>
      </c>
      <c r="M806" s="182" t="str">
        <f>IFERROR(LOOKUP(2,1/((A_Corridor!$A$5:$A$204&lt;&gt;"")*(A_Corridor!$A$5:$A$204&lt;=$B806)*(A_Corridor!$B$5:$B$204&gt;$B806)*(A_Corridor!$H$5:$H$204&lt;&gt;"")),IF(A_Corridor!$H$5:$H$204="-","",A_Corridor!$H$5:$H$204)),"")</f>
        <v/>
      </c>
      <c r="N806" s="182" t="str">
        <f>IFERROR(LOOKUP(2,1/((A_Corridor!$A$5:$A$204&lt;&gt;"")*(A_Corridor!$A$5:$A$204&lt;=$B806)*(A_Corridor!$B$5:$B$204&gt;$B806)*(A_Corridor!$I$5:$I$204&lt;&gt;"")),IF(A_Corridor!$I$5:$I$204="-","",A_Corridor!$I$5:$I$204)),"")</f>
        <v/>
      </c>
      <c r="O806" s="182" t="str">
        <f>IFERROR(LOOKUP(2,1/((D_Points!$A$5:$A$204&lt;&gt;"")*(D_Points!$A$5:$A$204&gt;=$B806)*(D_Points!$A$5:$A$204&lt;$B806+P_Interval)*(UPPER(TRIM(D_Points!$B$5:$B$204))="PITCHING")*(D_Points!$H$5:$H$204&lt;&gt;"")),D_Points!$H$5:$H$204),"")</f>
        <v/>
      </c>
      <c r="P806" s="181" t="str">
        <f>IFERROR(LOOKUP(2,1/((B_Drainage!$A$5:$A$204&lt;&gt;"")*(B_Drainage!$A$5:$A$204&lt;=$B806)*(B_Drainage!$B$5:$B$204&gt;$B806)*(B_Drainage!$C$5:$C$204&lt;&gt;"")),IF(B_Drainage!$C$5:$C$204="-","",UPPER(B_Drainage!$C$5:$C$204))),"")</f>
        <v/>
      </c>
      <c r="Q806" s="181" t="str">
        <f>IFERROR(LOOKUP(2,1/((B_Drainage!$A$5:$A$204&lt;&gt;"")*(B_Drainage!$A$5:$A$204&lt;=$B806)*(B_Drainage!$B$5:$B$204&gt;$B806)*(B_Drainage!$D$5:$D$204&lt;&gt;"")),IF(B_Drainage!$D$5:$D$204="-","",UPPER(B_Drainage!$D$5:$D$204))),"")</f>
        <v/>
      </c>
      <c r="R806" s="182" t="str">
        <f>IFERROR(LOOKUP(2,1/((D_Points!$A$5:$A$204&lt;&gt;"")*(D_Points!$A$5:$A$204&gt;=$B806)*(D_Points!$A$5:$A$204&lt;$B806+P_Interval)*(RIGHT(UPPER(TRIM(D_Points!$B$5:$B$204)),8)="_CULVERT")),IF(LEFT(UPPER(TRIM(D_Points!$B$5:$B$204)),2)="EX",1,IF(LEFT(UPPER(TRIM(D_Points!$B$5:$B$204)),2)="PR",2,3))),"")</f>
        <v/>
      </c>
      <c r="S806" s="182" t="str">
        <f>IFERROR(LOOKUP(2,1/((D_Points!$A$5:$A$204&lt;&gt;"")*(D_Points!$A$5:$A$204&gt;=$B806)*(D_Points!$A$5:$A$204&lt;$B806+P_Interval)*(RIGHT(UPPER(TRIM(D_Points!$B$5:$B$204)),7)="_BRIDGE")),IF(LEFT(UPPER(TRIM(D_Points!$B$5:$B$204)),2)="EX",1,IF(LEFT(UPPER(TRIM(D_Points!$B$5:$B$204)),2)="PR",2,2))),"")</f>
        <v/>
      </c>
      <c r="T806" s="181" t="str">
        <f>IFERROR(LOOKUP(2,1/((B_Drainage!$A$5:$A$204&lt;&gt;"")*(B_Drainage!$A$5:$A$204&lt;=$B806)*(B_Drainage!$B$5:$B$204&gt;$B806)*(B_Drainage!$E$5:$E$204&lt;&gt;"")),IF(B_Drainage!$E$5:$E$204="-","",1)),"")</f>
        <v/>
      </c>
      <c r="U806" s="181" t="str">
        <f>IFERROR(LOOKUP(2,1/((B_Drainage!$A$5:$A$204&lt;&gt;"")*(B_Drainage!$A$5:$A$204&lt;=$B806)*(B_Drainage!$B$5:$B$204&gt;$B806)*(B_Drainage!$E$5:$E$204&lt;&gt;"")),IF(B_Drainage!$E$5:$E$204="-","",B_Drainage!$E$5:$E$204)),"")</f>
        <v/>
      </c>
      <c r="V806" s="181" t="str">
        <f>IFERROR(LOOKUP(2,1/((B_Drainage!$A$5:$A$204&lt;&gt;"")*(B_Drainage!$A$5:$A$204&lt;=$B806)*(B_Drainage!$B$5:$B$204&gt;$B806)*(B_Drainage!$F$5:$F$204&lt;&gt;"")),IF(B_Drainage!$F$5:$F$204="-","",1)),"")</f>
        <v/>
      </c>
      <c r="W806" s="181" t="str">
        <f>IFERROR(LOOKUP(2,1/((B_Drainage!$A$5:$A$204&lt;&gt;"")*(B_Drainage!$A$5:$A$204&lt;=$B806)*(B_Drainage!$B$5:$B$204&gt;$B806)*(B_Drainage!$F$5:$F$204&lt;&gt;"")),IF(B_Drainage!$F$5:$F$204="-","",B_Drainage!$F$5:$F$204)),"")</f>
        <v/>
      </c>
      <c r="X806" s="181" t="str">
        <f>IFERROR(LOOKUP(2,1/((B_Drainage!$A$5:$A$204&lt;&gt;"")*(B_Drainage!$A$5:$A$204&lt;=$B806)*(B_Drainage!$B$5:$B$204&gt;$B806)*(B_Drainage!$G$5:$G$204&lt;&gt;"")),IF(UPPER(B_Drainage!$G$5:$G$204)="Y",1,"")),"")</f>
        <v/>
      </c>
      <c r="Y806" s="181" t="str">
        <f>IFERROR(LOOKUP(2,1/((B_Drainage!$A$5:$A$204&lt;&gt;"")*(B_Drainage!$A$5:$A$204&lt;=$B806)*(B_Drainage!$B$5:$B$204&gt;$B806)*(B_Drainage!$H$5:$H$204&lt;&gt;"")),IF(UPPER(B_Drainage!$H$5:$H$204)="Y",1,"")),"")</f>
        <v/>
      </c>
      <c r="Z806" s="181" t="str">
        <f>IFERROR(LOOKUP(2,1/((B_Drainage!$A$5:$A$204&lt;&gt;"")*(B_Drainage!$A$5:$A$204&lt;=$B806)*(B_Drainage!$B$5:$B$204&gt;$B806)*(B_Drainage!$I$5:$I$204&lt;&gt;"")),IF(UPPER(B_Drainage!$I$5:$I$204)="Y",1,"")),"")</f>
        <v/>
      </c>
      <c r="AA806" s="181" t="str">
        <f>IFERROR(LOOKUP(2,1/((B_Drainage!$A$5:$A$204&lt;&gt;"")*(B_Drainage!$A$5:$A$204&lt;=$B806)*(B_Drainage!$B$5:$B$204&gt;$B806)*(B_Drainage!$J$5:$J$204&lt;&gt;"")),IF(UPPER(B_Drainage!$J$5:$J$204)="Y",1,"")),"")</f>
        <v/>
      </c>
      <c r="AB806" s="182" t="str">
        <f>IFERROR(LOOKUP(2,1/((B_Drainage!$A$5:$A$204&lt;&gt;"")*(B_Drainage!$A$5:$A$204&lt;=$B806)*(B_Drainage!$B$5:$B$204&gt;$B806)*(B_Drainage!$K$5:$K$204&lt;&gt;"")),IF(B_Drainage!$K$5:$K$204="-","",B_Drainage!$K$5:$K$204)),"")</f>
        <v/>
      </c>
      <c r="AC806" s="182" t="str">
        <f>IFERROR(LOOKUP(2,1/((B_Drainage!$A$5:$A$204&lt;&gt;"")*(B_Drainage!$A$5:$A$204&lt;=$B806)*(B_Drainage!$B$5:$B$204&gt;$B806)*(B_Drainage!$L$5:$L$204&lt;&gt;"")),IF(B_Drainage!$L$5:$L$204="-","",B_Drainage!$L$5:$L$204)),"")</f>
        <v/>
      </c>
      <c r="AD806" s="182" t="str">
        <f>IFERROR(LOOKUP(2,1/((D_Points!$A$5:$A$204&lt;&gt;"")*(D_Points!$A$5:$A$204&gt;=$B806)*(D_Points!$A$5:$A$204&lt;$B806+P_Interval)*(UPPER(TRIM(D_Points!$B$5:$B$204))="TURNOUT_L")*(D_Points!$H$5:$H$204&lt;&gt;"")),D_Points!$H$5:$H$204),"")</f>
        <v/>
      </c>
      <c r="AE806" s="182" t="str">
        <f>IFERROR(LOOKUP(2,1/((D_Points!$A$5:$A$204&lt;&gt;"")*(D_Points!$A$5:$A$204&gt;=$B806)*(D_Points!$A$5:$A$204&lt;$B806+P_Interval)*(UPPER(TRIM(D_Points!$B$5:$B$204))="TURNOUT_R")*(D_Points!$H$5:$H$204&lt;&gt;"")),D_Points!$H$5:$H$204),"")</f>
        <v/>
      </c>
      <c r="AF806" s="181" t="str">
        <f>IFERROR(LOOKUP(2,1/((B_Drainage!$A$5:$A$204&lt;&gt;"")*(B_Drainage!$A$5:$A$204&lt;=$B806)*(B_Drainage!$B$5:$B$204&gt;$B806)*(B_Drainage!$M$5:$M$204&lt;&gt;"")),IF(UPPER(B_Drainage!$M$5:$M$204)="Y",1,"")),"")</f>
        <v/>
      </c>
      <c r="AG806" s="181" t="str">
        <f>IFERROR(LOOKUP(2,1/((B_Drainage!$A$5:$A$204&lt;&gt;"")*(B_Drainage!$A$5:$A$204&lt;=$B806)*(B_Drainage!$B$5:$B$204&gt;$B806)*(B_Drainage!$N$5:$N$204&lt;&gt;"")),IF(UPPER(B_Drainage!$N$5:$N$204)="Y",1,"")),"")</f>
        <v/>
      </c>
      <c r="AH806" s="181" t="str">
        <f t="shared" si="96"/>
        <v/>
      </c>
      <c r="AI806" s="181" t="str">
        <f t="shared" si="97"/>
        <v/>
      </c>
      <c r="AJ806" s="181" t="str">
        <f t="shared" si="98"/>
        <v/>
      </c>
      <c r="AK806" s="181" t="str">
        <f t="shared" si="99"/>
        <v/>
      </c>
      <c r="AL806" s="181" t="str">
        <f t="shared" si="100"/>
        <v/>
      </c>
      <c r="AM806" s="181" t="str">
        <f t="shared" si="101"/>
        <v/>
      </c>
      <c r="AN806" s="181" t="str">
        <f t="shared" si="102"/>
        <v/>
      </c>
      <c r="AO806" s="192" t="str">
        <f t="shared" si="103"/>
        <v/>
      </c>
      <c r="AQ806" t="str">
        <f>IFERROR(LOOKUP(2,1/((C_Pavement!$A$5:$A$204&lt;&gt;"")*(C_Pavement!$A$5:$A$204&lt;=$B806)*(C_Pavement!$B$5:$B$204&gt;$B806)*(C_Pavement!$C$5:$C$204&lt;&gt;"")),ROW(C_Pavement!$C$5:$C$204)-4),"")</f>
        <v/>
      </c>
      <c r="AR806" t="str">
        <f>IF($AQ806="","",UPPER(TRIM(INDEX(C_Pavement!$C$5:$C$204,$AQ806))))</f>
        <v/>
      </c>
      <c r="AS806" t="str">
        <f>IF($AR806="","",IFERROR(MATCH($AR806,E_Rules!$A$5:$A$9,0),""))</f>
        <v/>
      </c>
      <c r="AT806" t="str">
        <f>IF($AQ806="","",IF(INDEX(C_Pavement!$D$5:$D$204,$AQ806)&lt;&gt;"",UPPER(TRIM(INDEX(C_Pavement!$D$5:$D$204,$AQ806))),IF($AS806="","",INDEX(E_Rules!$C$5:$C$9,$AS806))))</f>
        <v/>
      </c>
      <c r="AU806" t="str">
        <f>IF($AQ806="","",IF(INDEX(C_Pavement!$E$5:$E$204,$AQ806)&lt;&gt;"",IF(INDEX(C_Pavement!$E$5:$E$204,$AQ806)="-","",INDEX(C_Pavement!$E$5:$E$204,$AQ806)),IF($AS806="","",INDEX(E_Rules!$D$5:$D$9,$AS806))))</f>
        <v/>
      </c>
      <c r="AV806" t="str">
        <f>IF($AQ806="","",IF(INDEX(C_Pavement!$F$5:$F$204,$AQ806)&lt;&gt;"",IF(INDEX(C_Pavement!$F$5:$F$204,$AQ806)="-","",INDEX(C_Pavement!$F$5:$F$204,$AQ806)),IF($AS806="","",INDEX(E_Rules!$E$5:$E$9,$AS806))))</f>
        <v/>
      </c>
      <c r="AW806" t="str">
        <f>IF($AQ806="","",IF(INDEX(C_Pavement!$G$5:$G$204,$AQ806)&lt;&gt;"",IF(INDEX(C_Pavement!$G$5:$G$204,$AQ806)="-","",INDEX(C_Pavement!$G$5:$G$204,$AQ806)),IF($AS806="","",INDEX(E_Rules!$F$5:$F$9,$AS806))))</f>
        <v/>
      </c>
      <c r="AX806" t="str">
        <f>IF($AQ806="","",IF(INDEX(C_Pavement!$H$5:$H$204,$AQ806)&lt;&gt;"",IF(INDEX(C_Pavement!$H$5:$H$204,$AQ806)="-","",INDEX(C_Pavement!$H$5:$H$204,$AQ806)),IF($AS806="","",INDEX(E_Rules!$G$5:$G$9,$AS806))))</f>
        <v/>
      </c>
      <c r="AY806" t="str">
        <f>IF($AQ806="","",IF(INDEX(C_Pavement!$I$5:$I$204,$AQ806)&lt;&gt;"",IF(INDEX(C_Pavement!$I$5:$I$204,$AQ806)="-","",INDEX(C_Pavement!$I$5:$I$204,$AQ806)),IF($AS806="","",INDEX(E_Rules!$H$5:$H$9,$AS806))))</f>
        <v/>
      </c>
    </row>
    <row r="807" spans="1:51" ht="15.75" customHeight="1" x14ac:dyDescent="0.3">
      <c r="A807" s="189">
        <v>802</v>
      </c>
      <c r="B807" s="180">
        <v>40050</v>
      </c>
      <c r="C807" s="180" t="s">
        <v>1113</v>
      </c>
      <c r="D807" s="181" t="str">
        <f>IFERROR(LOOKUP(2,1/((A_Corridor!$A$5:$A$204&lt;&gt;"")*(A_Corridor!$A$5:$A$204&lt;=$B807)*(A_Corridor!$B$5:$B$204&gt;$B807)*(A_Corridor!$C$5:$C$204&lt;&gt;"")),IF(UPPER(A_Corridor!$C$5:$C$204)="Y",1,"")),"")</f>
        <v/>
      </c>
      <c r="E807" s="181" t="str">
        <f>IFERROR(LOOKUP(2,1/((A_Corridor!$A$5:$A$204&lt;&gt;"")*(A_Corridor!$A$5:$A$204&lt;=$B807)*(A_Corridor!$B$5:$B$204&gt;$B807)*(A_Corridor!$D$5:$D$204&lt;&gt;"")),IF(A_Corridor!$D$5:$D$204="-","",UPPER(A_Corridor!$D$5:$D$204))),"")</f>
        <v/>
      </c>
      <c r="F807" s="181" t="str">
        <f>IFERROR(LOOKUP(2,1/((A_Corridor!$A$5:$A$204&lt;&gt;"")*(A_Corridor!$A$5:$A$204&lt;=$B807)*(A_Corridor!$B$5:$B$204&gt;$B807)*(A_Corridor!$E$5:$E$204&lt;&gt;"")),IF(A_Corridor!$E$5:$E$204="-","",1)),"")</f>
        <v/>
      </c>
      <c r="G807" s="182" t="str">
        <f>IFERROR(LOOKUP(2,1/((A_Corridor!$A$5:$A$204&lt;&gt;"")*(A_Corridor!$A$5:$A$204&lt;=$B807)*(A_Corridor!$B$5:$B$204&gt;$B807)*(A_Corridor!$E$5:$E$204&lt;&gt;"")),IF(A_Corridor!$E$5:$E$204="-","",A_Corridor!$E$5:$E$204)),"")</f>
        <v/>
      </c>
      <c r="H807" s="182" t="str">
        <f>IFERROR(LOOKUP(2,1/((D_Points!$A$5:$A$204&lt;&gt;"")*(D_Points!$A$5:$A$204&gt;=$B807)*(D_Points!$A$5:$A$204&lt;$B807+P_Interval)*(UPPER(TRIM(D_Points!$B$5:$B$204))="GULLY")*(D_Points!$H$5:$H$204&lt;&gt;"")),D_Points!$H$5:$H$204),"")</f>
        <v/>
      </c>
      <c r="I807" s="181" t="str">
        <f>IFERROR(LOOKUP(2,1/((A_Corridor!$A$5:$A$204&lt;&gt;"")*(A_Corridor!$A$5:$A$204&lt;=$B807)*(A_Corridor!$B$5:$B$204&gt;$B807)*(A_Corridor!$F$5:$F$204&lt;&gt;"")),IF(A_Corridor!$F$5:$F$204="-","",1)),"")</f>
        <v/>
      </c>
      <c r="J807" s="182" t="str">
        <f>IFERROR(LOOKUP(2,1/((A_Corridor!$A$5:$A$204&lt;&gt;"")*(A_Corridor!$A$5:$A$204&lt;=$B807)*(A_Corridor!$B$5:$B$204&gt;$B807)*(A_Corridor!$F$5:$F$204&lt;&gt;"")),IF(A_Corridor!$F$5:$F$204="-","",A_Corridor!$F$5:$F$204)),"")</f>
        <v/>
      </c>
      <c r="K807" s="182" t="str">
        <f>IFERROR(LOOKUP(2,1/((A_Corridor!$A$5:$A$204&lt;&gt;"")*(A_Corridor!$A$5:$A$204&lt;=$B807)*(A_Corridor!$B$5:$B$204&gt;$B807)*(A_Corridor!$G$5:$G$204&lt;&gt;"")),IF(A_Corridor!$G$5:$G$204="-","",A_Corridor!$G$5:$G$204)),"")</f>
        <v/>
      </c>
      <c r="L807" s="181" t="str">
        <f>IFERROR(LOOKUP(2,1/((A_Corridor!$A$5:$A$204&lt;&gt;"")*(A_Corridor!$A$5:$A$204&lt;=$B807)*(A_Corridor!$B$5:$B$204&gt;$B807)*(A_Corridor!$H$5:$H$204&lt;&gt;"")),IF(A_Corridor!$H$5:$H$204="-","",1)),"")</f>
        <v/>
      </c>
      <c r="M807" s="182" t="str">
        <f>IFERROR(LOOKUP(2,1/((A_Corridor!$A$5:$A$204&lt;&gt;"")*(A_Corridor!$A$5:$A$204&lt;=$B807)*(A_Corridor!$B$5:$B$204&gt;$B807)*(A_Corridor!$H$5:$H$204&lt;&gt;"")),IF(A_Corridor!$H$5:$H$204="-","",A_Corridor!$H$5:$H$204)),"")</f>
        <v/>
      </c>
      <c r="N807" s="182" t="str">
        <f>IFERROR(LOOKUP(2,1/((A_Corridor!$A$5:$A$204&lt;&gt;"")*(A_Corridor!$A$5:$A$204&lt;=$B807)*(A_Corridor!$B$5:$B$204&gt;$B807)*(A_Corridor!$I$5:$I$204&lt;&gt;"")),IF(A_Corridor!$I$5:$I$204="-","",A_Corridor!$I$5:$I$204)),"")</f>
        <v/>
      </c>
      <c r="O807" s="182" t="str">
        <f>IFERROR(LOOKUP(2,1/((D_Points!$A$5:$A$204&lt;&gt;"")*(D_Points!$A$5:$A$204&gt;=$B807)*(D_Points!$A$5:$A$204&lt;$B807+P_Interval)*(UPPER(TRIM(D_Points!$B$5:$B$204))="PITCHING")*(D_Points!$H$5:$H$204&lt;&gt;"")),D_Points!$H$5:$H$204),"")</f>
        <v/>
      </c>
      <c r="P807" s="181" t="str">
        <f>IFERROR(LOOKUP(2,1/((B_Drainage!$A$5:$A$204&lt;&gt;"")*(B_Drainage!$A$5:$A$204&lt;=$B807)*(B_Drainage!$B$5:$B$204&gt;$B807)*(B_Drainage!$C$5:$C$204&lt;&gt;"")),IF(B_Drainage!$C$5:$C$204="-","",UPPER(B_Drainage!$C$5:$C$204))),"")</f>
        <v/>
      </c>
      <c r="Q807" s="181" t="str">
        <f>IFERROR(LOOKUP(2,1/((B_Drainage!$A$5:$A$204&lt;&gt;"")*(B_Drainage!$A$5:$A$204&lt;=$B807)*(B_Drainage!$B$5:$B$204&gt;$B807)*(B_Drainage!$D$5:$D$204&lt;&gt;"")),IF(B_Drainage!$D$5:$D$204="-","",UPPER(B_Drainage!$D$5:$D$204))),"")</f>
        <v/>
      </c>
      <c r="R807" s="182" t="str">
        <f>IFERROR(LOOKUP(2,1/((D_Points!$A$5:$A$204&lt;&gt;"")*(D_Points!$A$5:$A$204&gt;=$B807)*(D_Points!$A$5:$A$204&lt;$B807+P_Interval)*(RIGHT(UPPER(TRIM(D_Points!$B$5:$B$204)),8)="_CULVERT")),IF(LEFT(UPPER(TRIM(D_Points!$B$5:$B$204)),2)="EX",1,IF(LEFT(UPPER(TRIM(D_Points!$B$5:$B$204)),2)="PR",2,3))),"")</f>
        <v/>
      </c>
      <c r="S807" s="182" t="str">
        <f>IFERROR(LOOKUP(2,1/((D_Points!$A$5:$A$204&lt;&gt;"")*(D_Points!$A$5:$A$204&gt;=$B807)*(D_Points!$A$5:$A$204&lt;$B807+P_Interval)*(RIGHT(UPPER(TRIM(D_Points!$B$5:$B$204)),7)="_BRIDGE")),IF(LEFT(UPPER(TRIM(D_Points!$B$5:$B$204)),2)="EX",1,IF(LEFT(UPPER(TRIM(D_Points!$B$5:$B$204)),2)="PR",2,2))),"")</f>
        <v/>
      </c>
      <c r="T807" s="181" t="str">
        <f>IFERROR(LOOKUP(2,1/((B_Drainage!$A$5:$A$204&lt;&gt;"")*(B_Drainage!$A$5:$A$204&lt;=$B807)*(B_Drainage!$B$5:$B$204&gt;$B807)*(B_Drainage!$E$5:$E$204&lt;&gt;"")),IF(B_Drainage!$E$5:$E$204="-","",1)),"")</f>
        <v/>
      </c>
      <c r="U807" s="181" t="str">
        <f>IFERROR(LOOKUP(2,1/((B_Drainage!$A$5:$A$204&lt;&gt;"")*(B_Drainage!$A$5:$A$204&lt;=$B807)*(B_Drainage!$B$5:$B$204&gt;$B807)*(B_Drainage!$E$5:$E$204&lt;&gt;"")),IF(B_Drainage!$E$5:$E$204="-","",B_Drainage!$E$5:$E$204)),"")</f>
        <v/>
      </c>
      <c r="V807" s="181" t="str">
        <f>IFERROR(LOOKUP(2,1/((B_Drainage!$A$5:$A$204&lt;&gt;"")*(B_Drainage!$A$5:$A$204&lt;=$B807)*(B_Drainage!$B$5:$B$204&gt;$B807)*(B_Drainage!$F$5:$F$204&lt;&gt;"")),IF(B_Drainage!$F$5:$F$204="-","",1)),"")</f>
        <v/>
      </c>
      <c r="W807" s="181" t="str">
        <f>IFERROR(LOOKUP(2,1/((B_Drainage!$A$5:$A$204&lt;&gt;"")*(B_Drainage!$A$5:$A$204&lt;=$B807)*(B_Drainage!$B$5:$B$204&gt;$B807)*(B_Drainage!$F$5:$F$204&lt;&gt;"")),IF(B_Drainage!$F$5:$F$204="-","",B_Drainage!$F$5:$F$204)),"")</f>
        <v/>
      </c>
      <c r="X807" s="181" t="str">
        <f>IFERROR(LOOKUP(2,1/((B_Drainage!$A$5:$A$204&lt;&gt;"")*(B_Drainage!$A$5:$A$204&lt;=$B807)*(B_Drainage!$B$5:$B$204&gt;$B807)*(B_Drainage!$G$5:$G$204&lt;&gt;"")),IF(UPPER(B_Drainage!$G$5:$G$204)="Y",1,"")),"")</f>
        <v/>
      </c>
      <c r="Y807" s="181" t="str">
        <f>IFERROR(LOOKUP(2,1/((B_Drainage!$A$5:$A$204&lt;&gt;"")*(B_Drainage!$A$5:$A$204&lt;=$B807)*(B_Drainage!$B$5:$B$204&gt;$B807)*(B_Drainage!$H$5:$H$204&lt;&gt;"")),IF(UPPER(B_Drainage!$H$5:$H$204)="Y",1,"")),"")</f>
        <v/>
      </c>
      <c r="Z807" s="181" t="str">
        <f>IFERROR(LOOKUP(2,1/((B_Drainage!$A$5:$A$204&lt;&gt;"")*(B_Drainage!$A$5:$A$204&lt;=$B807)*(B_Drainage!$B$5:$B$204&gt;$B807)*(B_Drainage!$I$5:$I$204&lt;&gt;"")),IF(UPPER(B_Drainage!$I$5:$I$204)="Y",1,"")),"")</f>
        <v/>
      </c>
      <c r="AA807" s="181" t="str">
        <f>IFERROR(LOOKUP(2,1/((B_Drainage!$A$5:$A$204&lt;&gt;"")*(B_Drainage!$A$5:$A$204&lt;=$B807)*(B_Drainage!$B$5:$B$204&gt;$B807)*(B_Drainage!$J$5:$J$204&lt;&gt;"")),IF(UPPER(B_Drainage!$J$5:$J$204)="Y",1,"")),"")</f>
        <v/>
      </c>
      <c r="AB807" s="182" t="str">
        <f>IFERROR(LOOKUP(2,1/((B_Drainage!$A$5:$A$204&lt;&gt;"")*(B_Drainage!$A$5:$A$204&lt;=$B807)*(B_Drainage!$B$5:$B$204&gt;$B807)*(B_Drainage!$K$5:$K$204&lt;&gt;"")),IF(B_Drainage!$K$5:$K$204="-","",B_Drainage!$K$5:$K$204)),"")</f>
        <v/>
      </c>
      <c r="AC807" s="182" t="str">
        <f>IFERROR(LOOKUP(2,1/((B_Drainage!$A$5:$A$204&lt;&gt;"")*(B_Drainage!$A$5:$A$204&lt;=$B807)*(B_Drainage!$B$5:$B$204&gt;$B807)*(B_Drainage!$L$5:$L$204&lt;&gt;"")),IF(B_Drainage!$L$5:$L$204="-","",B_Drainage!$L$5:$L$204)),"")</f>
        <v/>
      </c>
      <c r="AD807" s="182" t="str">
        <f>IFERROR(LOOKUP(2,1/((D_Points!$A$5:$A$204&lt;&gt;"")*(D_Points!$A$5:$A$204&gt;=$B807)*(D_Points!$A$5:$A$204&lt;$B807+P_Interval)*(UPPER(TRIM(D_Points!$B$5:$B$204))="TURNOUT_L")*(D_Points!$H$5:$H$204&lt;&gt;"")),D_Points!$H$5:$H$204),"")</f>
        <v/>
      </c>
      <c r="AE807" s="182" t="str">
        <f>IFERROR(LOOKUP(2,1/((D_Points!$A$5:$A$204&lt;&gt;"")*(D_Points!$A$5:$A$204&gt;=$B807)*(D_Points!$A$5:$A$204&lt;$B807+P_Interval)*(UPPER(TRIM(D_Points!$B$5:$B$204))="TURNOUT_R")*(D_Points!$H$5:$H$204&lt;&gt;"")),D_Points!$H$5:$H$204),"")</f>
        <v/>
      </c>
      <c r="AF807" s="181" t="str">
        <f>IFERROR(LOOKUP(2,1/((B_Drainage!$A$5:$A$204&lt;&gt;"")*(B_Drainage!$A$5:$A$204&lt;=$B807)*(B_Drainage!$B$5:$B$204&gt;$B807)*(B_Drainage!$M$5:$M$204&lt;&gt;"")),IF(UPPER(B_Drainage!$M$5:$M$204)="Y",1,"")),"")</f>
        <v/>
      </c>
      <c r="AG807" s="181" t="str">
        <f>IFERROR(LOOKUP(2,1/((B_Drainage!$A$5:$A$204&lt;&gt;"")*(B_Drainage!$A$5:$A$204&lt;=$B807)*(B_Drainage!$B$5:$B$204&gt;$B807)*(B_Drainage!$N$5:$N$204&lt;&gt;"")),IF(UPPER(B_Drainage!$N$5:$N$204)="Y",1,"")),"")</f>
        <v/>
      </c>
      <c r="AH807" s="181" t="str">
        <f t="shared" si="96"/>
        <v/>
      </c>
      <c r="AI807" s="181" t="str">
        <f t="shared" si="97"/>
        <v/>
      </c>
      <c r="AJ807" s="181" t="str">
        <f t="shared" si="98"/>
        <v/>
      </c>
      <c r="AK807" s="181" t="str">
        <f t="shared" si="99"/>
        <v/>
      </c>
      <c r="AL807" s="181" t="str">
        <f t="shared" si="100"/>
        <v/>
      </c>
      <c r="AM807" s="181" t="str">
        <f t="shared" si="101"/>
        <v/>
      </c>
      <c r="AN807" s="181" t="str">
        <f t="shared" si="102"/>
        <v/>
      </c>
      <c r="AO807" s="192" t="str">
        <f t="shared" si="103"/>
        <v/>
      </c>
      <c r="AQ807" t="str">
        <f>IFERROR(LOOKUP(2,1/((C_Pavement!$A$5:$A$204&lt;&gt;"")*(C_Pavement!$A$5:$A$204&lt;=$B807)*(C_Pavement!$B$5:$B$204&gt;$B807)*(C_Pavement!$C$5:$C$204&lt;&gt;"")),ROW(C_Pavement!$C$5:$C$204)-4),"")</f>
        <v/>
      </c>
      <c r="AR807" t="str">
        <f>IF($AQ807="","",UPPER(TRIM(INDEX(C_Pavement!$C$5:$C$204,$AQ807))))</f>
        <v/>
      </c>
      <c r="AS807" t="str">
        <f>IF($AR807="","",IFERROR(MATCH($AR807,E_Rules!$A$5:$A$9,0),""))</f>
        <v/>
      </c>
      <c r="AT807" t="str">
        <f>IF($AQ807="","",IF(INDEX(C_Pavement!$D$5:$D$204,$AQ807)&lt;&gt;"",UPPER(TRIM(INDEX(C_Pavement!$D$5:$D$204,$AQ807))),IF($AS807="","",INDEX(E_Rules!$C$5:$C$9,$AS807))))</f>
        <v/>
      </c>
      <c r="AU807" t="str">
        <f>IF($AQ807="","",IF(INDEX(C_Pavement!$E$5:$E$204,$AQ807)&lt;&gt;"",IF(INDEX(C_Pavement!$E$5:$E$204,$AQ807)="-","",INDEX(C_Pavement!$E$5:$E$204,$AQ807)),IF($AS807="","",INDEX(E_Rules!$D$5:$D$9,$AS807))))</f>
        <v/>
      </c>
      <c r="AV807" t="str">
        <f>IF($AQ807="","",IF(INDEX(C_Pavement!$F$5:$F$204,$AQ807)&lt;&gt;"",IF(INDEX(C_Pavement!$F$5:$F$204,$AQ807)="-","",INDEX(C_Pavement!$F$5:$F$204,$AQ807)),IF($AS807="","",INDEX(E_Rules!$E$5:$E$9,$AS807))))</f>
        <v/>
      </c>
      <c r="AW807" t="str">
        <f>IF($AQ807="","",IF(INDEX(C_Pavement!$G$5:$G$204,$AQ807)&lt;&gt;"",IF(INDEX(C_Pavement!$G$5:$G$204,$AQ807)="-","",INDEX(C_Pavement!$G$5:$G$204,$AQ807)),IF($AS807="","",INDEX(E_Rules!$F$5:$F$9,$AS807))))</f>
        <v/>
      </c>
      <c r="AX807" t="str">
        <f>IF($AQ807="","",IF(INDEX(C_Pavement!$H$5:$H$204,$AQ807)&lt;&gt;"",IF(INDEX(C_Pavement!$H$5:$H$204,$AQ807)="-","",INDEX(C_Pavement!$H$5:$H$204,$AQ807)),IF($AS807="","",INDEX(E_Rules!$G$5:$G$9,$AS807))))</f>
        <v/>
      </c>
      <c r="AY807" t="str">
        <f>IF($AQ807="","",IF(INDEX(C_Pavement!$I$5:$I$204,$AQ807)&lt;&gt;"",IF(INDEX(C_Pavement!$I$5:$I$204,$AQ807)="-","",INDEX(C_Pavement!$I$5:$I$204,$AQ807)),IF($AS807="","",INDEX(E_Rules!$H$5:$H$9,$AS807))))</f>
        <v/>
      </c>
    </row>
    <row r="808" spans="1:51" ht="15.75" customHeight="1" x14ac:dyDescent="0.3">
      <c r="A808" s="189">
        <v>803</v>
      </c>
      <c r="B808" s="180">
        <v>40100</v>
      </c>
      <c r="C808" s="180" t="s">
        <v>1114</v>
      </c>
      <c r="D808" s="181" t="str">
        <f>IFERROR(LOOKUP(2,1/((A_Corridor!$A$5:$A$204&lt;&gt;"")*(A_Corridor!$A$5:$A$204&lt;=$B808)*(A_Corridor!$B$5:$B$204&gt;$B808)*(A_Corridor!$C$5:$C$204&lt;&gt;"")),IF(UPPER(A_Corridor!$C$5:$C$204)="Y",1,"")),"")</f>
        <v/>
      </c>
      <c r="E808" s="181" t="str">
        <f>IFERROR(LOOKUP(2,1/((A_Corridor!$A$5:$A$204&lt;&gt;"")*(A_Corridor!$A$5:$A$204&lt;=$B808)*(A_Corridor!$B$5:$B$204&gt;$B808)*(A_Corridor!$D$5:$D$204&lt;&gt;"")),IF(A_Corridor!$D$5:$D$204="-","",UPPER(A_Corridor!$D$5:$D$204))),"")</f>
        <v/>
      </c>
      <c r="F808" s="181" t="str">
        <f>IFERROR(LOOKUP(2,1/((A_Corridor!$A$5:$A$204&lt;&gt;"")*(A_Corridor!$A$5:$A$204&lt;=$B808)*(A_Corridor!$B$5:$B$204&gt;$B808)*(A_Corridor!$E$5:$E$204&lt;&gt;"")),IF(A_Corridor!$E$5:$E$204="-","",1)),"")</f>
        <v/>
      </c>
      <c r="G808" s="182" t="str">
        <f>IFERROR(LOOKUP(2,1/((A_Corridor!$A$5:$A$204&lt;&gt;"")*(A_Corridor!$A$5:$A$204&lt;=$B808)*(A_Corridor!$B$5:$B$204&gt;$B808)*(A_Corridor!$E$5:$E$204&lt;&gt;"")),IF(A_Corridor!$E$5:$E$204="-","",A_Corridor!$E$5:$E$204)),"")</f>
        <v/>
      </c>
      <c r="H808" s="182" t="str">
        <f>IFERROR(LOOKUP(2,1/((D_Points!$A$5:$A$204&lt;&gt;"")*(D_Points!$A$5:$A$204&gt;=$B808)*(D_Points!$A$5:$A$204&lt;$B808+P_Interval)*(UPPER(TRIM(D_Points!$B$5:$B$204))="GULLY")*(D_Points!$H$5:$H$204&lt;&gt;"")),D_Points!$H$5:$H$204),"")</f>
        <v/>
      </c>
      <c r="I808" s="181" t="str">
        <f>IFERROR(LOOKUP(2,1/((A_Corridor!$A$5:$A$204&lt;&gt;"")*(A_Corridor!$A$5:$A$204&lt;=$B808)*(A_Corridor!$B$5:$B$204&gt;$B808)*(A_Corridor!$F$5:$F$204&lt;&gt;"")),IF(A_Corridor!$F$5:$F$204="-","",1)),"")</f>
        <v/>
      </c>
      <c r="J808" s="182" t="str">
        <f>IFERROR(LOOKUP(2,1/((A_Corridor!$A$5:$A$204&lt;&gt;"")*(A_Corridor!$A$5:$A$204&lt;=$B808)*(A_Corridor!$B$5:$B$204&gt;$B808)*(A_Corridor!$F$5:$F$204&lt;&gt;"")),IF(A_Corridor!$F$5:$F$204="-","",A_Corridor!$F$5:$F$204)),"")</f>
        <v/>
      </c>
      <c r="K808" s="182" t="str">
        <f>IFERROR(LOOKUP(2,1/((A_Corridor!$A$5:$A$204&lt;&gt;"")*(A_Corridor!$A$5:$A$204&lt;=$B808)*(A_Corridor!$B$5:$B$204&gt;$B808)*(A_Corridor!$G$5:$G$204&lt;&gt;"")),IF(A_Corridor!$G$5:$G$204="-","",A_Corridor!$G$5:$G$204)),"")</f>
        <v/>
      </c>
      <c r="L808" s="181" t="str">
        <f>IFERROR(LOOKUP(2,1/((A_Corridor!$A$5:$A$204&lt;&gt;"")*(A_Corridor!$A$5:$A$204&lt;=$B808)*(A_Corridor!$B$5:$B$204&gt;$B808)*(A_Corridor!$H$5:$H$204&lt;&gt;"")),IF(A_Corridor!$H$5:$H$204="-","",1)),"")</f>
        <v/>
      </c>
      <c r="M808" s="182" t="str">
        <f>IFERROR(LOOKUP(2,1/((A_Corridor!$A$5:$A$204&lt;&gt;"")*(A_Corridor!$A$5:$A$204&lt;=$B808)*(A_Corridor!$B$5:$B$204&gt;$B808)*(A_Corridor!$H$5:$H$204&lt;&gt;"")),IF(A_Corridor!$H$5:$H$204="-","",A_Corridor!$H$5:$H$204)),"")</f>
        <v/>
      </c>
      <c r="N808" s="182" t="str">
        <f>IFERROR(LOOKUP(2,1/((A_Corridor!$A$5:$A$204&lt;&gt;"")*(A_Corridor!$A$5:$A$204&lt;=$B808)*(A_Corridor!$B$5:$B$204&gt;$B808)*(A_Corridor!$I$5:$I$204&lt;&gt;"")),IF(A_Corridor!$I$5:$I$204="-","",A_Corridor!$I$5:$I$204)),"")</f>
        <v/>
      </c>
      <c r="O808" s="182" t="str">
        <f>IFERROR(LOOKUP(2,1/((D_Points!$A$5:$A$204&lt;&gt;"")*(D_Points!$A$5:$A$204&gt;=$B808)*(D_Points!$A$5:$A$204&lt;$B808+P_Interval)*(UPPER(TRIM(D_Points!$B$5:$B$204))="PITCHING")*(D_Points!$H$5:$H$204&lt;&gt;"")),D_Points!$H$5:$H$204),"")</f>
        <v/>
      </c>
      <c r="P808" s="181" t="str">
        <f>IFERROR(LOOKUP(2,1/((B_Drainage!$A$5:$A$204&lt;&gt;"")*(B_Drainage!$A$5:$A$204&lt;=$B808)*(B_Drainage!$B$5:$B$204&gt;$B808)*(B_Drainage!$C$5:$C$204&lt;&gt;"")),IF(B_Drainage!$C$5:$C$204="-","",UPPER(B_Drainage!$C$5:$C$204))),"")</f>
        <v/>
      </c>
      <c r="Q808" s="181" t="str">
        <f>IFERROR(LOOKUP(2,1/((B_Drainage!$A$5:$A$204&lt;&gt;"")*(B_Drainage!$A$5:$A$204&lt;=$B808)*(B_Drainage!$B$5:$B$204&gt;$B808)*(B_Drainage!$D$5:$D$204&lt;&gt;"")),IF(B_Drainage!$D$5:$D$204="-","",UPPER(B_Drainage!$D$5:$D$204))),"")</f>
        <v/>
      </c>
      <c r="R808" s="182" t="str">
        <f>IFERROR(LOOKUP(2,1/((D_Points!$A$5:$A$204&lt;&gt;"")*(D_Points!$A$5:$A$204&gt;=$B808)*(D_Points!$A$5:$A$204&lt;$B808+P_Interval)*(RIGHT(UPPER(TRIM(D_Points!$B$5:$B$204)),8)="_CULVERT")),IF(LEFT(UPPER(TRIM(D_Points!$B$5:$B$204)),2)="EX",1,IF(LEFT(UPPER(TRIM(D_Points!$B$5:$B$204)),2)="PR",2,3))),"")</f>
        <v/>
      </c>
      <c r="S808" s="182" t="str">
        <f>IFERROR(LOOKUP(2,1/((D_Points!$A$5:$A$204&lt;&gt;"")*(D_Points!$A$5:$A$204&gt;=$B808)*(D_Points!$A$5:$A$204&lt;$B808+P_Interval)*(RIGHT(UPPER(TRIM(D_Points!$B$5:$B$204)),7)="_BRIDGE")),IF(LEFT(UPPER(TRIM(D_Points!$B$5:$B$204)),2)="EX",1,IF(LEFT(UPPER(TRIM(D_Points!$B$5:$B$204)),2)="PR",2,2))),"")</f>
        <v/>
      </c>
      <c r="T808" s="181" t="str">
        <f>IFERROR(LOOKUP(2,1/((B_Drainage!$A$5:$A$204&lt;&gt;"")*(B_Drainage!$A$5:$A$204&lt;=$B808)*(B_Drainage!$B$5:$B$204&gt;$B808)*(B_Drainage!$E$5:$E$204&lt;&gt;"")),IF(B_Drainage!$E$5:$E$204="-","",1)),"")</f>
        <v/>
      </c>
      <c r="U808" s="181" t="str">
        <f>IFERROR(LOOKUP(2,1/((B_Drainage!$A$5:$A$204&lt;&gt;"")*(B_Drainage!$A$5:$A$204&lt;=$B808)*(B_Drainage!$B$5:$B$204&gt;$B808)*(B_Drainage!$E$5:$E$204&lt;&gt;"")),IF(B_Drainage!$E$5:$E$204="-","",B_Drainage!$E$5:$E$204)),"")</f>
        <v/>
      </c>
      <c r="V808" s="181" t="str">
        <f>IFERROR(LOOKUP(2,1/((B_Drainage!$A$5:$A$204&lt;&gt;"")*(B_Drainage!$A$5:$A$204&lt;=$B808)*(B_Drainage!$B$5:$B$204&gt;$B808)*(B_Drainage!$F$5:$F$204&lt;&gt;"")),IF(B_Drainage!$F$5:$F$204="-","",1)),"")</f>
        <v/>
      </c>
      <c r="W808" s="181" t="str">
        <f>IFERROR(LOOKUP(2,1/((B_Drainage!$A$5:$A$204&lt;&gt;"")*(B_Drainage!$A$5:$A$204&lt;=$B808)*(B_Drainage!$B$5:$B$204&gt;$B808)*(B_Drainage!$F$5:$F$204&lt;&gt;"")),IF(B_Drainage!$F$5:$F$204="-","",B_Drainage!$F$5:$F$204)),"")</f>
        <v/>
      </c>
      <c r="X808" s="181" t="str">
        <f>IFERROR(LOOKUP(2,1/((B_Drainage!$A$5:$A$204&lt;&gt;"")*(B_Drainage!$A$5:$A$204&lt;=$B808)*(B_Drainage!$B$5:$B$204&gt;$B808)*(B_Drainage!$G$5:$G$204&lt;&gt;"")),IF(UPPER(B_Drainage!$G$5:$G$204)="Y",1,"")),"")</f>
        <v/>
      </c>
      <c r="Y808" s="181" t="str">
        <f>IFERROR(LOOKUP(2,1/((B_Drainage!$A$5:$A$204&lt;&gt;"")*(B_Drainage!$A$5:$A$204&lt;=$B808)*(B_Drainage!$B$5:$B$204&gt;$B808)*(B_Drainage!$H$5:$H$204&lt;&gt;"")),IF(UPPER(B_Drainage!$H$5:$H$204)="Y",1,"")),"")</f>
        <v/>
      </c>
      <c r="Z808" s="181" t="str">
        <f>IFERROR(LOOKUP(2,1/((B_Drainage!$A$5:$A$204&lt;&gt;"")*(B_Drainage!$A$5:$A$204&lt;=$B808)*(B_Drainage!$B$5:$B$204&gt;$B808)*(B_Drainage!$I$5:$I$204&lt;&gt;"")),IF(UPPER(B_Drainage!$I$5:$I$204)="Y",1,"")),"")</f>
        <v/>
      </c>
      <c r="AA808" s="181" t="str">
        <f>IFERROR(LOOKUP(2,1/((B_Drainage!$A$5:$A$204&lt;&gt;"")*(B_Drainage!$A$5:$A$204&lt;=$B808)*(B_Drainage!$B$5:$B$204&gt;$B808)*(B_Drainage!$J$5:$J$204&lt;&gt;"")),IF(UPPER(B_Drainage!$J$5:$J$204)="Y",1,"")),"")</f>
        <v/>
      </c>
      <c r="AB808" s="182" t="str">
        <f>IFERROR(LOOKUP(2,1/((B_Drainage!$A$5:$A$204&lt;&gt;"")*(B_Drainage!$A$5:$A$204&lt;=$B808)*(B_Drainage!$B$5:$B$204&gt;$B808)*(B_Drainage!$K$5:$K$204&lt;&gt;"")),IF(B_Drainage!$K$5:$K$204="-","",B_Drainage!$K$5:$K$204)),"")</f>
        <v/>
      </c>
      <c r="AC808" s="182" t="str">
        <f>IFERROR(LOOKUP(2,1/((B_Drainage!$A$5:$A$204&lt;&gt;"")*(B_Drainage!$A$5:$A$204&lt;=$B808)*(B_Drainage!$B$5:$B$204&gt;$B808)*(B_Drainage!$L$5:$L$204&lt;&gt;"")),IF(B_Drainage!$L$5:$L$204="-","",B_Drainage!$L$5:$L$204)),"")</f>
        <v/>
      </c>
      <c r="AD808" s="182" t="str">
        <f>IFERROR(LOOKUP(2,1/((D_Points!$A$5:$A$204&lt;&gt;"")*(D_Points!$A$5:$A$204&gt;=$B808)*(D_Points!$A$5:$A$204&lt;$B808+P_Interval)*(UPPER(TRIM(D_Points!$B$5:$B$204))="TURNOUT_L")*(D_Points!$H$5:$H$204&lt;&gt;"")),D_Points!$H$5:$H$204),"")</f>
        <v/>
      </c>
      <c r="AE808" s="182" t="str">
        <f>IFERROR(LOOKUP(2,1/((D_Points!$A$5:$A$204&lt;&gt;"")*(D_Points!$A$5:$A$204&gt;=$B808)*(D_Points!$A$5:$A$204&lt;$B808+P_Interval)*(UPPER(TRIM(D_Points!$B$5:$B$204))="TURNOUT_R")*(D_Points!$H$5:$H$204&lt;&gt;"")),D_Points!$H$5:$H$204),"")</f>
        <v/>
      </c>
      <c r="AF808" s="181" t="str">
        <f>IFERROR(LOOKUP(2,1/((B_Drainage!$A$5:$A$204&lt;&gt;"")*(B_Drainage!$A$5:$A$204&lt;=$B808)*(B_Drainage!$B$5:$B$204&gt;$B808)*(B_Drainage!$M$5:$M$204&lt;&gt;"")),IF(UPPER(B_Drainage!$M$5:$M$204)="Y",1,"")),"")</f>
        <v/>
      </c>
      <c r="AG808" s="181" t="str">
        <f>IFERROR(LOOKUP(2,1/((B_Drainage!$A$5:$A$204&lt;&gt;"")*(B_Drainage!$A$5:$A$204&lt;=$B808)*(B_Drainage!$B$5:$B$204&gt;$B808)*(B_Drainage!$N$5:$N$204&lt;&gt;"")),IF(UPPER(B_Drainage!$N$5:$N$204)="Y",1,"")),"")</f>
        <v/>
      </c>
      <c r="AH808" s="181" t="str">
        <f t="shared" si="96"/>
        <v/>
      </c>
      <c r="AI808" s="181" t="str">
        <f t="shared" si="97"/>
        <v/>
      </c>
      <c r="AJ808" s="181" t="str">
        <f t="shared" si="98"/>
        <v/>
      </c>
      <c r="AK808" s="181" t="str">
        <f t="shared" si="99"/>
        <v/>
      </c>
      <c r="AL808" s="181" t="str">
        <f t="shared" si="100"/>
        <v/>
      </c>
      <c r="AM808" s="181" t="str">
        <f t="shared" si="101"/>
        <v/>
      </c>
      <c r="AN808" s="181" t="str">
        <f t="shared" si="102"/>
        <v/>
      </c>
      <c r="AO808" s="192" t="str">
        <f t="shared" si="103"/>
        <v/>
      </c>
      <c r="AQ808" t="str">
        <f>IFERROR(LOOKUP(2,1/((C_Pavement!$A$5:$A$204&lt;&gt;"")*(C_Pavement!$A$5:$A$204&lt;=$B808)*(C_Pavement!$B$5:$B$204&gt;$B808)*(C_Pavement!$C$5:$C$204&lt;&gt;"")),ROW(C_Pavement!$C$5:$C$204)-4),"")</f>
        <v/>
      </c>
      <c r="AR808" t="str">
        <f>IF($AQ808="","",UPPER(TRIM(INDEX(C_Pavement!$C$5:$C$204,$AQ808))))</f>
        <v/>
      </c>
      <c r="AS808" t="str">
        <f>IF($AR808="","",IFERROR(MATCH($AR808,E_Rules!$A$5:$A$9,0),""))</f>
        <v/>
      </c>
      <c r="AT808" t="str">
        <f>IF($AQ808="","",IF(INDEX(C_Pavement!$D$5:$D$204,$AQ808)&lt;&gt;"",UPPER(TRIM(INDEX(C_Pavement!$D$5:$D$204,$AQ808))),IF($AS808="","",INDEX(E_Rules!$C$5:$C$9,$AS808))))</f>
        <v/>
      </c>
      <c r="AU808" t="str">
        <f>IF($AQ808="","",IF(INDEX(C_Pavement!$E$5:$E$204,$AQ808)&lt;&gt;"",IF(INDEX(C_Pavement!$E$5:$E$204,$AQ808)="-","",INDEX(C_Pavement!$E$5:$E$204,$AQ808)),IF($AS808="","",INDEX(E_Rules!$D$5:$D$9,$AS808))))</f>
        <v/>
      </c>
      <c r="AV808" t="str">
        <f>IF($AQ808="","",IF(INDEX(C_Pavement!$F$5:$F$204,$AQ808)&lt;&gt;"",IF(INDEX(C_Pavement!$F$5:$F$204,$AQ808)="-","",INDEX(C_Pavement!$F$5:$F$204,$AQ808)),IF($AS808="","",INDEX(E_Rules!$E$5:$E$9,$AS808))))</f>
        <v/>
      </c>
      <c r="AW808" t="str">
        <f>IF($AQ808="","",IF(INDEX(C_Pavement!$G$5:$G$204,$AQ808)&lt;&gt;"",IF(INDEX(C_Pavement!$G$5:$G$204,$AQ808)="-","",INDEX(C_Pavement!$G$5:$G$204,$AQ808)),IF($AS808="","",INDEX(E_Rules!$F$5:$F$9,$AS808))))</f>
        <v/>
      </c>
      <c r="AX808" t="str">
        <f>IF($AQ808="","",IF(INDEX(C_Pavement!$H$5:$H$204,$AQ808)&lt;&gt;"",IF(INDEX(C_Pavement!$H$5:$H$204,$AQ808)="-","",INDEX(C_Pavement!$H$5:$H$204,$AQ808)),IF($AS808="","",INDEX(E_Rules!$G$5:$G$9,$AS808))))</f>
        <v/>
      </c>
      <c r="AY808" t="str">
        <f>IF($AQ808="","",IF(INDEX(C_Pavement!$I$5:$I$204,$AQ808)&lt;&gt;"",IF(INDEX(C_Pavement!$I$5:$I$204,$AQ808)="-","",INDEX(C_Pavement!$I$5:$I$204,$AQ808)),IF($AS808="","",INDEX(E_Rules!$H$5:$H$9,$AS808))))</f>
        <v/>
      </c>
    </row>
    <row r="809" spans="1:51" ht="15.75" customHeight="1" x14ac:dyDescent="0.3">
      <c r="A809" s="189">
        <v>804</v>
      </c>
      <c r="B809" s="180">
        <v>40150</v>
      </c>
      <c r="C809" s="180" t="s">
        <v>1115</v>
      </c>
      <c r="D809" s="181" t="str">
        <f>IFERROR(LOOKUP(2,1/((A_Corridor!$A$5:$A$204&lt;&gt;"")*(A_Corridor!$A$5:$A$204&lt;=$B809)*(A_Corridor!$B$5:$B$204&gt;$B809)*(A_Corridor!$C$5:$C$204&lt;&gt;"")),IF(UPPER(A_Corridor!$C$5:$C$204)="Y",1,"")),"")</f>
        <v/>
      </c>
      <c r="E809" s="181" t="str">
        <f>IFERROR(LOOKUP(2,1/((A_Corridor!$A$5:$A$204&lt;&gt;"")*(A_Corridor!$A$5:$A$204&lt;=$B809)*(A_Corridor!$B$5:$B$204&gt;$B809)*(A_Corridor!$D$5:$D$204&lt;&gt;"")),IF(A_Corridor!$D$5:$D$204="-","",UPPER(A_Corridor!$D$5:$D$204))),"")</f>
        <v/>
      </c>
      <c r="F809" s="181" t="str">
        <f>IFERROR(LOOKUP(2,1/((A_Corridor!$A$5:$A$204&lt;&gt;"")*(A_Corridor!$A$5:$A$204&lt;=$B809)*(A_Corridor!$B$5:$B$204&gt;$B809)*(A_Corridor!$E$5:$E$204&lt;&gt;"")),IF(A_Corridor!$E$5:$E$204="-","",1)),"")</f>
        <v/>
      </c>
      <c r="G809" s="182" t="str">
        <f>IFERROR(LOOKUP(2,1/((A_Corridor!$A$5:$A$204&lt;&gt;"")*(A_Corridor!$A$5:$A$204&lt;=$B809)*(A_Corridor!$B$5:$B$204&gt;$B809)*(A_Corridor!$E$5:$E$204&lt;&gt;"")),IF(A_Corridor!$E$5:$E$204="-","",A_Corridor!$E$5:$E$204)),"")</f>
        <v/>
      </c>
      <c r="H809" s="182" t="str">
        <f>IFERROR(LOOKUP(2,1/((D_Points!$A$5:$A$204&lt;&gt;"")*(D_Points!$A$5:$A$204&gt;=$B809)*(D_Points!$A$5:$A$204&lt;$B809+P_Interval)*(UPPER(TRIM(D_Points!$B$5:$B$204))="GULLY")*(D_Points!$H$5:$H$204&lt;&gt;"")),D_Points!$H$5:$H$204),"")</f>
        <v/>
      </c>
      <c r="I809" s="181" t="str">
        <f>IFERROR(LOOKUP(2,1/((A_Corridor!$A$5:$A$204&lt;&gt;"")*(A_Corridor!$A$5:$A$204&lt;=$B809)*(A_Corridor!$B$5:$B$204&gt;$B809)*(A_Corridor!$F$5:$F$204&lt;&gt;"")),IF(A_Corridor!$F$5:$F$204="-","",1)),"")</f>
        <v/>
      </c>
      <c r="J809" s="182" t="str">
        <f>IFERROR(LOOKUP(2,1/((A_Corridor!$A$5:$A$204&lt;&gt;"")*(A_Corridor!$A$5:$A$204&lt;=$B809)*(A_Corridor!$B$5:$B$204&gt;$B809)*(A_Corridor!$F$5:$F$204&lt;&gt;"")),IF(A_Corridor!$F$5:$F$204="-","",A_Corridor!$F$5:$F$204)),"")</f>
        <v/>
      </c>
      <c r="K809" s="182" t="str">
        <f>IFERROR(LOOKUP(2,1/((A_Corridor!$A$5:$A$204&lt;&gt;"")*(A_Corridor!$A$5:$A$204&lt;=$B809)*(A_Corridor!$B$5:$B$204&gt;$B809)*(A_Corridor!$G$5:$G$204&lt;&gt;"")),IF(A_Corridor!$G$5:$G$204="-","",A_Corridor!$G$5:$G$204)),"")</f>
        <v/>
      </c>
      <c r="L809" s="181" t="str">
        <f>IFERROR(LOOKUP(2,1/((A_Corridor!$A$5:$A$204&lt;&gt;"")*(A_Corridor!$A$5:$A$204&lt;=$B809)*(A_Corridor!$B$5:$B$204&gt;$B809)*(A_Corridor!$H$5:$H$204&lt;&gt;"")),IF(A_Corridor!$H$5:$H$204="-","",1)),"")</f>
        <v/>
      </c>
      <c r="M809" s="182" t="str">
        <f>IFERROR(LOOKUP(2,1/((A_Corridor!$A$5:$A$204&lt;&gt;"")*(A_Corridor!$A$5:$A$204&lt;=$B809)*(A_Corridor!$B$5:$B$204&gt;$B809)*(A_Corridor!$H$5:$H$204&lt;&gt;"")),IF(A_Corridor!$H$5:$H$204="-","",A_Corridor!$H$5:$H$204)),"")</f>
        <v/>
      </c>
      <c r="N809" s="182" t="str">
        <f>IFERROR(LOOKUP(2,1/((A_Corridor!$A$5:$A$204&lt;&gt;"")*(A_Corridor!$A$5:$A$204&lt;=$B809)*(A_Corridor!$B$5:$B$204&gt;$B809)*(A_Corridor!$I$5:$I$204&lt;&gt;"")),IF(A_Corridor!$I$5:$I$204="-","",A_Corridor!$I$5:$I$204)),"")</f>
        <v/>
      </c>
      <c r="O809" s="182" t="str">
        <f>IFERROR(LOOKUP(2,1/((D_Points!$A$5:$A$204&lt;&gt;"")*(D_Points!$A$5:$A$204&gt;=$B809)*(D_Points!$A$5:$A$204&lt;$B809+P_Interval)*(UPPER(TRIM(D_Points!$B$5:$B$204))="PITCHING")*(D_Points!$H$5:$H$204&lt;&gt;"")),D_Points!$H$5:$H$204),"")</f>
        <v/>
      </c>
      <c r="P809" s="181" t="str">
        <f>IFERROR(LOOKUP(2,1/((B_Drainage!$A$5:$A$204&lt;&gt;"")*(B_Drainage!$A$5:$A$204&lt;=$B809)*(B_Drainage!$B$5:$B$204&gt;$B809)*(B_Drainage!$C$5:$C$204&lt;&gt;"")),IF(B_Drainage!$C$5:$C$204="-","",UPPER(B_Drainage!$C$5:$C$204))),"")</f>
        <v/>
      </c>
      <c r="Q809" s="181" t="str">
        <f>IFERROR(LOOKUP(2,1/((B_Drainage!$A$5:$A$204&lt;&gt;"")*(B_Drainage!$A$5:$A$204&lt;=$B809)*(B_Drainage!$B$5:$B$204&gt;$B809)*(B_Drainage!$D$5:$D$204&lt;&gt;"")),IF(B_Drainage!$D$5:$D$204="-","",UPPER(B_Drainage!$D$5:$D$204))),"")</f>
        <v/>
      </c>
      <c r="R809" s="182" t="str">
        <f>IFERROR(LOOKUP(2,1/((D_Points!$A$5:$A$204&lt;&gt;"")*(D_Points!$A$5:$A$204&gt;=$B809)*(D_Points!$A$5:$A$204&lt;$B809+P_Interval)*(RIGHT(UPPER(TRIM(D_Points!$B$5:$B$204)),8)="_CULVERT")),IF(LEFT(UPPER(TRIM(D_Points!$B$5:$B$204)),2)="EX",1,IF(LEFT(UPPER(TRIM(D_Points!$B$5:$B$204)),2)="PR",2,3))),"")</f>
        <v/>
      </c>
      <c r="S809" s="182" t="str">
        <f>IFERROR(LOOKUP(2,1/((D_Points!$A$5:$A$204&lt;&gt;"")*(D_Points!$A$5:$A$204&gt;=$B809)*(D_Points!$A$5:$A$204&lt;$B809+P_Interval)*(RIGHT(UPPER(TRIM(D_Points!$B$5:$B$204)),7)="_BRIDGE")),IF(LEFT(UPPER(TRIM(D_Points!$B$5:$B$204)),2)="EX",1,IF(LEFT(UPPER(TRIM(D_Points!$B$5:$B$204)),2)="PR",2,2))),"")</f>
        <v/>
      </c>
      <c r="T809" s="181" t="str">
        <f>IFERROR(LOOKUP(2,1/((B_Drainage!$A$5:$A$204&lt;&gt;"")*(B_Drainage!$A$5:$A$204&lt;=$B809)*(B_Drainage!$B$5:$B$204&gt;$B809)*(B_Drainage!$E$5:$E$204&lt;&gt;"")),IF(B_Drainage!$E$5:$E$204="-","",1)),"")</f>
        <v/>
      </c>
      <c r="U809" s="181" t="str">
        <f>IFERROR(LOOKUP(2,1/((B_Drainage!$A$5:$A$204&lt;&gt;"")*(B_Drainage!$A$5:$A$204&lt;=$B809)*(B_Drainage!$B$5:$B$204&gt;$B809)*(B_Drainage!$E$5:$E$204&lt;&gt;"")),IF(B_Drainage!$E$5:$E$204="-","",B_Drainage!$E$5:$E$204)),"")</f>
        <v/>
      </c>
      <c r="V809" s="181" t="str">
        <f>IFERROR(LOOKUP(2,1/((B_Drainage!$A$5:$A$204&lt;&gt;"")*(B_Drainage!$A$5:$A$204&lt;=$B809)*(B_Drainage!$B$5:$B$204&gt;$B809)*(B_Drainage!$F$5:$F$204&lt;&gt;"")),IF(B_Drainage!$F$5:$F$204="-","",1)),"")</f>
        <v/>
      </c>
      <c r="W809" s="181" t="str">
        <f>IFERROR(LOOKUP(2,1/((B_Drainage!$A$5:$A$204&lt;&gt;"")*(B_Drainage!$A$5:$A$204&lt;=$B809)*(B_Drainage!$B$5:$B$204&gt;$B809)*(B_Drainage!$F$5:$F$204&lt;&gt;"")),IF(B_Drainage!$F$5:$F$204="-","",B_Drainage!$F$5:$F$204)),"")</f>
        <v/>
      </c>
      <c r="X809" s="181" t="str">
        <f>IFERROR(LOOKUP(2,1/((B_Drainage!$A$5:$A$204&lt;&gt;"")*(B_Drainage!$A$5:$A$204&lt;=$B809)*(B_Drainage!$B$5:$B$204&gt;$B809)*(B_Drainage!$G$5:$G$204&lt;&gt;"")),IF(UPPER(B_Drainage!$G$5:$G$204)="Y",1,"")),"")</f>
        <v/>
      </c>
      <c r="Y809" s="181" t="str">
        <f>IFERROR(LOOKUP(2,1/((B_Drainage!$A$5:$A$204&lt;&gt;"")*(B_Drainage!$A$5:$A$204&lt;=$B809)*(B_Drainage!$B$5:$B$204&gt;$B809)*(B_Drainage!$H$5:$H$204&lt;&gt;"")),IF(UPPER(B_Drainage!$H$5:$H$204)="Y",1,"")),"")</f>
        <v/>
      </c>
      <c r="Z809" s="181" t="str">
        <f>IFERROR(LOOKUP(2,1/((B_Drainage!$A$5:$A$204&lt;&gt;"")*(B_Drainage!$A$5:$A$204&lt;=$B809)*(B_Drainage!$B$5:$B$204&gt;$B809)*(B_Drainage!$I$5:$I$204&lt;&gt;"")),IF(UPPER(B_Drainage!$I$5:$I$204)="Y",1,"")),"")</f>
        <v/>
      </c>
      <c r="AA809" s="181" t="str">
        <f>IFERROR(LOOKUP(2,1/((B_Drainage!$A$5:$A$204&lt;&gt;"")*(B_Drainage!$A$5:$A$204&lt;=$B809)*(B_Drainage!$B$5:$B$204&gt;$B809)*(B_Drainage!$J$5:$J$204&lt;&gt;"")),IF(UPPER(B_Drainage!$J$5:$J$204)="Y",1,"")),"")</f>
        <v/>
      </c>
      <c r="AB809" s="182" t="str">
        <f>IFERROR(LOOKUP(2,1/((B_Drainage!$A$5:$A$204&lt;&gt;"")*(B_Drainage!$A$5:$A$204&lt;=$B809)*(B_Drainage!$B$5:$B$204&gt;$B809)*(B_Drainage!$K$5:$K$204&lt;&gt;"")),IF(B_Drainage!$K$5:$K$204="-","",B_Drainage!$K$5:$K$204)),"")</f>
        <v/>
      </c>
      <c r="AC809" s="182" t="str">
        <f>IFERROR(LOOKUP(2,1/((B_Drainage!$A$5:$A$204&lt;&gt;"")*(B_Drainage!$A$5:$A$204&lt;=$B809)*(B_Drainage!$B$5:$B$204&gt;$B809)*(B_Drainage!$L$5:$L$204&lt;&gt;"")),IF(B_Drainage!$L$5:$L$204="-","",B_Drainage!$L$5:$L$204)),"")</f>
        <v/>
      </c>
      <c r="AD809" s="182" t="str">
        <f>IFERROR(LOOKUP(2,1/((D_Points!$A$5:$A$204&lt;&gt;"")*(D_Points!$A$5:$A$204&gt;=$B809)*(D_Points!$A$5:$A$204&lt;$B809+P_Interval)*(UPPER(TRIM(D_Points!$B$5:$B$204))="TURNOUT_L")*(D_Points!$H$5:$H$204&lt;&gt;"")),D_Points!$H$5:$H$204),"")</f>
        <v/>
      </c>
      <c r="AE809" s="182" t="str">
        <f>IFERROR(LOOKUP(2,1/((D_Points!$A$5:$A$204&lt;&gt;"")*(D_Points!$A$5:$A$204&gt;=$B809)*(D_Points!$A$5:$A$204&lt;$B809+P_Interval)*(UPPER(TRIM(D_Points!$B$5:$B$204))="TURNOUT_R")*(D_Points!$H$5:$H$204&lt;&gt;"")),D_Points!$H$5:$H$204),"")</f>
        <v/>
      </c>
      <c r="AF809" s="181" t="str">
        <f>IFERROR(LOOKUP(2,1/((B_Drainage!$A$5:$A$204&lt;&gt;"")*(B_Drainage!$A$5:$A$204&lt;=$B809)*(B_Drainage!$B$5:$B$204&gt;$B809)*(B_Drainage!$M$5:$M$204&lt;&gt;"")),IF(UPPER(B_Drainage!$M$5:$M$204)="Y",1,"")),"")</f>
        <v/>
      </c>
      <c r="AG809" s="181" t="str">
        <f>IFERROR(LOOKUP(2,1/((B_Drainage!$A$5:$A$204&lt;&gt;"")*(B_Drainage!$A$5:$A$204&lt;=$B809)*(B_Drainage!$B$5:$B$204&gt;$B809)*(B_Drainage!$N$5:$N$204&lt;&gt;"")),IF(UPPER(B_Drainage!$N$5:$N$204)="Y",1,"")),"")</f>
        <v/>
      </c>
      <c r="AH809" s="181" t="str">
        <f t="shared" si="96"/>
        <v/>
      </c>
      <c r="AI809" s="181" t="str">
        <f t="shared" si="97"/>
        <v/>
      </c>
      <c r="AJ809" s="181" t="str">
        <f t="shared" si="98"/>
        <v/>
      </c>
      <c r="AK809" s="181" t="str">
        <f t="shared" si="99"/>
        <v/>
      </c>
      <c r="AL809" s="181" t="str">
        <f t="shared" si="100"/>
        <v/>
      </c>
      <c r="AM809" s="181" t="str">
        <f t="shared" si="101"/>
        <v/>
      </c>
      <c r="AN809" s="181" t="str">
        <f t="shared" si="102"/>
        <v/>
      </c>
      <c r="AO809" s="192" t="str">
        <f t="shared" si="103"/>
        <v/>
      </c>
      <c r="AQ809" t="str">
        <f>IFERROR(LOOKUP(2,1/((C_Pavement!$A$5:$A$204&lt;&gt;"")*(C_Pavement!$A$5:$A$204&lt;=$B809)*(C_Pavement!$B$5:$B$204&gt;$B809)*(C_Pavement!$C$5:$C$204&lt;&gt;"")),ROW(C_Pavement!$C$5:$C$204)-4),"")</f>
        <v/>
      </c>
      <c r="AR809" t="str">
        <f>IF($AQ809="","",UPPER(TRIM(INDEX(C_Pavement!$C$5:$C$204,$AQ809))))</f>
        <v/>
      </c>
      <c r="AS809" t="str">
        <f>IF($AR809="","",IFERROR(MATCH($AR809,E_Rules!$A$5:$A$9,0),""))</f>
        <v/>
      </c>
      <c r="AT809" t="str">
        <f>IF($AQ809="","",IF(INDEX(C_Pavement!$D$5:$D$204,$AQ809)&lt;&gt;"",UPPER(TRIM(INDEX(C_Pavement!$D$5:$D$204,$AQ809))),IF($AS809="","",INDEX(E_Rules!$C$5:$C$9,$AS809))))</f>
        <v/>
      </c>
      <c r="AU809" t="str">
        <f>IF($AQ809="","",IF(INDEX(C_Pavement!$E$5:$E$204,$AQ809)&lt;&gt;"",IF(INDEX(C_Pavement!$E$5:$E$204,$AQ809)="-","",INDEX(C_Pavement!$E$5:$E$204,$AQ809)),IF($AS809="","",INDEX(E_Rules!$D$5:$D$9,$AS809))))</f>
        <v/>
      </c>
      <c r="AV809" t="str">
        <f>IF($AQ809="","",IF(INDEX(C_Pavement!$F$5:$F$204,$AQ809)&lt;&gt;"",IF(INDEX(C_Pavement!$F$5:$F$204,$AQ809)="-","",INDEX(C_Pavement!$F$5:$F$204,$AQ809)),IF($AS809="","",INDEX(E_Rules!$E$5:$E$9,$AS809))))</f>
        <v/>
      </c>
      <c r="AW809" t="str">
        <f>IF($AQ809="","",IF(INDEX(C_Pavement!$G$5:$G$204,$AQ809)&lt;&gt;"",IF(INDEX(C_Pavement!$G$5:$G$204,$AQ809)="-","",INDEX(C_Pavement!$G$5:$G$204,$AQ809)),IF($AS809="","",INDEX(E_Rules!$F$5:$F$9,$AS809))))</f>
        <v/>
      </c>
      <c r="AX809" t="str">
        <f>IF($AQ809="","",IF(INDEX(C_Pavement!$H$5:$H$204,$AQ809)&lt;&gt;"",IF(INDEX(C_Pavement!$H$5:$H$204,$AQ809)="-","",INDEX(C_Pavement!$H$5:$H$204,$AQ809)),IF($AS809="","",INDEX(E_Rules!$G$5:$G$9,$AS809))))</f>
        <v/>
      </c>
      <c r="AY809" t="str">
        <f>IF($AQ809="","",IF(INDEX(C_Pavement!$I$5:$I$204,$AQ809)&lt;&gt;"",IF(INDEX(C_Pavement!$I$5:$I$204,$AQ809)="-","",INDEX(C_Pavement!$I$5:$I$204,$AQ809)),IF($AS809="","",INDEX(E_Rules!$H$5:$H$9,$AS809))))</f>
        <v/>
      </c>
    </row>
    <row r="810" spans="1:51" ht="15.75" customHeight="1" x14ac:dyDescent="0.3">
      <c r="A810" s="189">
        <v>805</v>
      </c>
      <c r="B810" s="180">
        <v>40200</v>
      </c>
      <c r="C810" s="180" t="s">
        <v>1116</v>
      </c>
      <c r="D810" s="181" t="str">
        <f>IFERROR(LOOKUP(2,1/((A_Corridor!$A$5:$A$204&lt;&gt;"")*(A_Corridor!$A$5:$A$204&lt;=$B810)*(A_Corridor!$B$5:$B$204&gt;$B810)*(A_Corridor!$C$5:$C$204&lt;&gt;"")),IF(UPPER(A_Corridor!$C$5:$C$204)="Y",1,"")),"")</f>
        <v/>
      </c>
      <c r="E810" s="181" t="str">
        <f>IFERROR(LOOKUP(2,1/((A_Corridor!$A$5:$A$204&lt;&gt;"")*(A_Corridor!$A$5:$A$204&lt;=$B810)*(A_Corridor!$B$5:$B$204&gt;$B810)*(A_Corridor!$D$5:$D$204&lt;&gt;"")),IF(A_Corridor!$D$5:$D$204="-","",UPPER(A_Corridor!$D$5:$D$204))),"")</f>
        <v/>
      </c>
      <c r="F810" s="181" t="str">
        <f>IFERROR(LOOKUP(2,1/((A_Corridor!$A$5:$A$204&lt;&gt;"")*(A_Corridor!$A$5:$A$204&lt;=$B810)*(A_Corridor!$B$5:$B$204&gt;$B810)*(A_Corridor!$E$5:$E$204&lt;&gt;"")),IF(A_Corridor!$E$5:$E$204="-","",1)),"")</f>
        <v/>
      </c>
      <c r="G810" s="182" t="str">
        <f>IFERROR(LOOKUP(2,1/((A_Corridor!$A$5:$A$204&lt;&gt;"")*(A_Corridor!$A$5:$A$204&lt;=$B810)*(A_Corridor!$B$5:$B$204&gt;$B810)*(A_Corridor!$E$5:$E$204&lt;&gt;"")),IF(A_Corridor!$E$5:$E$204="-","",A_Corridor!$E$5:$E$204)),"")</f>
        <v/>
      </c>
      <c r="H810" s="182" t="str">
        <f>IFERROR(LOOKUP(2,1/((D_Points!$A$5:$A$204&lt;&gt;"")*(D_Points!$A$5:$A$204&gt;=$B810)*(D_Points!$A$5:$A$204&lt;$B810+P_Interval)*(UPPER(TRIM(D_Points!$B$5:$B$204))="GULLY")*(D_Points!$H$5:$H$204&lt;&gt;"")),D_Points!$H$5:$H$204),"")</f>
        <v/>
      </c>
      <c r="I810" s="181" t="str">
        <f>IFERROR(LOOKUP(2,1/((A_Corridor!$A$5:$A$204&lt;&gt;"")*(A_Corridor!$A$5:$A$204&lt;=$B810)*(A_Corridor!$B$5:$B$204&gt;$B810)*(A_Corridor!$F$5:$F$204&lt;&gt;"")),IF(A_Corridor!$F$5:$F$204="-","",1)),"")</f>
        <v/>
      </c>
      <c r="J810" s="182" t="str">
        <f>IFERROR(LOOKUP(2,1/((A_Corridor!$A$5:$A$204&lt;&gt;"")*(A_Corridor!$A$5:$A$204&lt;=$B810)*(A_Corridor!$B$5:$B$204&gt;$B810)*(A_Corridor!$F$5:$F$204&lt;&gt;"")),IF(A_Corridor!$F$5:$F$204="-","",A_Corridor!$F$5:$F$204)),"")</f>
        <v/>
      </c>
      <c r="K810" s="182" t="str">
        <f>IFERROR(LOOKUP(2,1/((A_Corridor!$A$5:$A$204&lt;&gt;"")*(A_Corridor!$A$5:$A$204&lt;=$B810)*(A_Corridor!$B$5:$B$204&gt;$B810)*(A_Corridor!$G$5:$G$204&lt;&gt;"")),IF(A_Corridor!$G$5:$G$204="-","",A_Corridor!$G$5:$G$204)),"")</f>
        <v/>
      </c>
      <c r="L810" s="181" t="str">
        <f>IFERROR(LOOKUP(2,1/((A_Corridor!$A$5:$A$204&lt;&gt;"")*(A_Corridor!$A$5:$A$204&lt;=$B810)*(A_Corridor!$B$5:$B$204&gt;$B810)*(A_Corridor!$H$5:$H$204&lt;&gt;"")),IF(A_Corridor!$H$5:$H$204="-","",1)),"")</f>
        <v/>
      </c>
      <c r="M810" s="182" t="str">
        <f>IFERROR(LOOKUP(2,1/((A_Corridor!$A$5:$A$204&lt;&gt;"")*(A_Corridor!$A$5:$A$204&lt;=$B810)*(A_Corridor!$B$5:$B$204&gt;$B810)*(A_Corridor!$H$5:$H$204&lt;&gt;"")),IF(A_Corridor!$H$5:$H$204="-","",A_Corridor!$H$5:$H$204)),"")</f>
        <v/>
      </c>
      <c r="N810" s="182" t="str">
        <f>IFERROR(LOOKUP(2,1/((A_Corridor!$A$5:$A$204&lt;&gt;"")*(A_Corridor!$A$5:$A$204&lt;=$B810)*(A_Corridor!$B$5:$B$204&gt;$B810)*(A_Corridor!$I$5:$I$204&lt;&gt;"")),IF(A_Corridor!$I$5:$I$204="-","",A_Corridor!$I$5:$I$204)),"")</f>
        <v/>
      </c>
      <c r="O810" s="182" t="str">
        <f>IFERROR(LOOKUP(2,1/((D_Points!$A$5:$A$204&lt;&gt;"")*(D_Points!$A$5:$A$204&gt;=$B810)*(D_Points!$A$5:$A$204&lt;$B810+P_Interval)*(UPPER(TRIM(D_Points!$B$5:$B$204))="PITCHING")*(D_Points!$H$5:$H$204&lt;&gt;"")),D_Points!$H$5:$H$204),"")</f>
        <v/>
      </c>
      <c r="P810" s="181" t="str">
        <f>IFERROR(LOOKUP(2,1/((B_Drainage!$A$5:$A$204&lt;&gt;"")*(B_Drainage!$A$5:$A$204&lt;=$B810)*(B_Drainage!$B$5:$B$204&gt;$B810)*(B_Drainage!$C$5:$C$204&lt;&gt;"")),IF(B_Drainage!$C$5:$C$204="-","",UPPER(B_Drainage!$C$5:$C$204))),"")</f>
        <v/>
      </c>
      <c r="Q810" s="181" t="str">
        <f>IFERROR(LOOKUP(2,1/((B_Drainage!$A$5:$A$204&lt;&gt;"")*(B_Drainage!$A$5:$A$204&lt;=$B810)*(B_Drainage!$B$5:$B$204&gt;$B810)*(B_Drainage!$D$5:$D$204&lt;&gt;"")),IF(B_Drainage!$D$5:$D$204="-","",UPPER(B_Drainage!$D$5:$D$204))),"")</f>
        <v/>
      </c>
      <c r="R810" s="182" t="str">
        <f>IFERROR(LOOKUP(2,1/((D_Points!$A$5:$A$204&lt;&gt;"")*(D_Points!$A$5:$A$204&gt;=$B810)*(D_Points!$A$5:$A$204&lt;$B810+P_Interval)*(RIGHT(UPPER(TRIM(D_Points!$B$5:$B$204)),8)="_CULVERT")),IF(LEFT(UPPER(TRIM(D_Points!$B$5:$B$204)),2)="EX",1,IF(LEFT(UPPER(TRIM(D_Points!$B$5:$B$204)),2)="PR",2,3))),"")</f>
        <v/>
      </c>
      <c r="S810" s="182" t="str">
        <f>IFERROR(LOOKUP(2,1/((D_Points!$A$5:$A$204&lt;&gt;"")*(D_Points!$A$5:$A$204&gt;=$B810)*(D_Points!$A$5:$A$204&lt;$B810+P_Interval)*(RIGHT(UPPER(TRIM(D_Points!$B$5:$B$204)),7)="_BRIDGE")),IF(LEFT(UPPER(TRIM(D_Points!$B$5:$B$204)),2)="EX",1,IF(LEFT(UPPER(TRIM(D_Points!$B$5:$B$204)),2)="PR",2,2))),"")</f>
        <v/>
      </c>
      <c r="T810" s="181" t="str">
        <f>IFERROR(LOOKUP(2,1/((B_Drainage!$A$5:$A$204&lt;&gt;"")*(B_Drainage!$A$5:$A$204&lt;=$B810)*(B_Drainage!$B$5:$B$204&gt;$B810)*(B_Drainage!$E$5:$E$204&lt;&gt;"")),IF(B_Drainage!$E$5:$E$204="-","",1)),"")</f>
        <v/>
      </c>
      <c r="U810" s="181" t="str">
        <f>IFERROR(LOOKUP(2,1/((B_Drainage!$A$5:$A$204&lt;&gt;"")*(B_Drainage!$A$5:$A$204&lt;=$B810)*(B_Drainage!$B$5:$B$204&gt;$B810)*(B_Drainage!$E$5:$E$204&lt;&gt;"")),IF(B_Drainage!$E$5:$E$204="-","",B_Drainage!$E$5:$E$204)),"")</f>
        <v/>
      </c>
      <c r="V810" s="181" t="str">
        <f>IFERROR(LOOKUP(2,1/((B_Drainage!$A$5:$A$204&lt;&gt;"")*(B_Drainage!$A$5:$A$204&lt;=$B810)*(B_Drainage!$B$5:$B$204&gt;$B810)*(B_Drainage!$F$5:$F$204&lt;&gt;"")),IF(B_Drainage!$F$5:$F$204="-","",1)),"")</f>
        <v/>
      </c>
      <c r="W810" s="181" t="str">
        <f>IFERROR(LOOKUP(2,1/((B_Drainage!$A$5:$A$204&lt;&gt;"")*(B_Drainage!$A$5:$A$204&lt;=$B810)*(B_Drainage!$B$5:$B$204&gt;$B810)*(B_Drainage!$F$5:$F$204&lt;&gt;"")),IF(B_Drainage!$F$5:$F$204="-","",B_Drainage!$F$5:$F$204)),"")</f>
        <v/>
      </c>
      <c r="X810" s="181" t="str">
        <f>IFERROR(LOOKUP(2,1/((B_Drainage!$A$5:$A$204&lt;&gt;"")*(B_Drainage!$A$5:$A$204&lt;=$B810)*(B_Drainage!$B$5:$B$204&gt;$B810)*(B_Drainage!$G$5:$G$204&lt;&gt;"")),IF(UPPER(B_Drainage!$G$5:$G$204)="Y",1,"")),"")</f>
        <v/>
      </c>
      <c r="Y810" s="181" t="str">
        <f>IFERROR(LOOKUP(2,1/((B_Drainage!$A$5:$A$204&lt;&gt;"")*(B_Drainage!$A$5:$A$204&lt;=$B810)*(B_Drainage!$B$5:$B$204&gt;$B810)*(B_Drainage!$H$5:$H$204&lt;&gt;"")),IF(UPPER(B_Drainage!$H$5:$H$204)="Y",1,"")),"")</f>
        <v/>
      </c>
      <c r="Z810" s="181" t="str">
        <f>IFERROR(LOOKUP(2,1/((B_Drainage!$A$5:$A$204&lt;&gt;"")*(B_Drainage!$A$5:$A$204&lt;=$B810)*(B_Drainage!$B$5:$B$204&gt;$B810)*(B_Drainage!$I$5:$I$204&lt;&gt;"")),IF(UPPER(B_Drainage!$I$5:$I$204)="Y",1,"")),"")</f>
        <v/>
      </c>
      <c r="AA810" s="181" t="str">
        <f>IFERROR(LOOKUP(2,1/((B_Drainage!$A$5:$A$204&lt;&gt;"")*(B_Drainage!$A$5:$A$204&lt;=$B810)*(B_Drainage!$B$5:$B$204&gt;$B810)*(B_Drainage!$J$5:$J$204&lt;&gt;"")),IF(UPPER(B_Drainage!$J$5:$J$204)="Y",1,"")),"")</f>
        <v/>
      </c>
      <c r="AB810" s="182" t="str">
        <f>IFERROR(LOOKUP(2,1/((B_Drainage!$A$5:$A$204&lt;&gt;"")*(B_Drainage!$A$5:$A$204&lt;=$B810)*(B_Drainage!$B$5:$B$204&gt;$B810)*(B_Drainage!$K$5:$K$204&lt;&gt;"")),IF(B_Drainage!$K$5:$K$204="-","",B_Drainage!$K$5:$K$204)),"")</f>
        <v/>
      </c>
      <c r="AC810" s="182" t="str">
        <f>IFERROR(LOOKUP(2,1/((B_Drainage!$A$5:$A$204&lt;&gt;"")*(B_Drainage!$A$5:$A$204&lt;=$B810)*(B_Drainage!$B$5:$B$204&gt;$B810)*(B_Drainage!$L$5:$L$204&lt;&gt;"")),IF(B_Drainage!$L$5:$L$204="-","",B_Drainage!$L$5:$L$204)),"")</f>
        <v/>
      </c>
      <c r="AD810" s="182" t="str">
        <f>IFERROR(LOOKUP(2,1/((D_Points!$A$5:$A$204&lt;&gt;"")*(D_Points!$A$5:$A$204&gt;=$B810)*(D_Points!$A$5:$A$204&lt;$B810+P_Interval)*(UPPER(TRIM(D_Points!$B$5:$B$204))="TURNOUT_L")*(D_Points!$H$5:$H$204&lt;&gt;"")),D_Points!$H$5:$H$204),"")</f>
        <v/>
      </c>
      <c r="AE810" s="182" t="str">
        <f>IFERROR(LOOKUP(2,1/((D_Points!$A$5:$A$204&lt;&gt;"")*(D_Points!$A$5:$A$204&gt;=$B810)*(D_Points!$A$5:$A$204&lt;$B810+P_Interval)*(UPPER(TRIM(D_Points!$B$5:$B$204))="TURNOUT_R")*(D_Points!$H$5:$H$204&lt;&gt;"")),D_Points!$H$5:$H$204),"")</f>
        <v/>
      </c>
      <c r="AF810" s="181" t="str">
        <f>IFERROR(LOOKUP(2,1/((B_Drainage!$A$5:$A$204&lt;&gt;"")*(B_Drainage!$A$5:$A$204&lt;=$B810)*(B_Drainage!$B$5:$B$204&gt;$B810)*(B_Drainage!$M$5:$M$204&lt;&gt;"")),IF(UPPER(B_Drainage!$M$5:$M$204)="Y",1,"")),"")</f>
        <v/>
      </c>
      <c r="AG810" s="181" t="str">
        <f>IFERROR(LOOKUP(2,1/((B_Drainage!$A$5:$A$204&lt;&gt;"")*(B_Drainage!$A$5:$A$204&lt;=$B810)*(B_Drainage!$B$5:$B$204&gt;$B810)*(B_Drainage!$N$5:$N$204&lt;&gt;"")),IF(UPPER(B_Drainage!$N$5:$N$204)="Y",1,"")),"")</f>
        <v/>
      </c>
      <c r="AH810" s="181" t="str">
        <f t="shared" si="96"/>
        <v/>
      </c>
      <c r="AI810" s="181" t="str">
        <f t="shared" si="97"/>
        <v/>
      </c>
      <c r="AJ810" s="181" t="str">
        <f t="shared" si="98"/>
        <v/>
      </c>
      <c r="AK810" s="181" t="str">
        <f t="shared" si="99"/>
        <v/>
      </c>
      <c r="AL810" s="181" t="str">
        <f t="shared" si="100"/>
        <v/>
      </c>
      <c r="AM810" s="181" t="str">
        <f t="shared" si="101"/>
        <v/>
      </c>
      <c r="AN810" s="181" t="str">
        <f t="shared" si="102"/>
        <v/>
      </c>
      <c r="AO810" s="192" t="str">
        <f t="shared" si="103"/>
        <v/>
      </c>
      <c r="AQ810" t="str">
        <f>IFERROR(LOOKUP(2,1/((C_Pavement!$A$5:$A$204&lt;&gt;"")*(C_Pavement!$A$5:$A$204&lt;=$B810)*(C_Pavement!$B$5:$B$204&gt;$B810)*(C_Pavement!$C$5:$C$204&lt;&gt;"")),ROW(C_Pavement!$C$5:$C$204)-4),"")</f>
        <v/>
      </c>
      <c r="AR810" t="str">
        <f>IF($AQ810="","",UPPER(TRIM(INDEX(C_Pavement!$C$5:$C$204,$AQ810))))</f>
        <v/>
      </c>
      <c r="AS810" t="str">
        <f>IF($AR810="","",IFERROR(MATCH($AR810,E_Rules!$A$5:$A$9,0),""))</f>
        <v/>
      </c>
      <c r="AT810" t="str">
        <f>IF($AQ810="","",IF(INDEX(C_Pavement!$D$5:$D$204,$AQ810)&lt;&gt;"",UPPER(TRIM(INDEX(C_Pavement!$D$5:$D$204,$AQ810))),IF($AS810="","",INDEX(E_Rules!$C$5:$C$9,$AS810))))</f>
        <v/>
      </c>
      <c r="AU810" t="str">
        <f>IF($AQ810="","",IF(INDEX(C_Pavement!$E$5:$E$204,$AQ810)&lt;&gt;"",IF(INDEX(C_Pavement!$E$5:$E$204,$AQ810)="-","",INDEX(C_Pavement!$E$5:$E$204,$AQ810)),IF($AS810="","",INDEX(E_Rules!$D$5:$D$9,$AS810))))</f>
        <v/>
      </c>
      <c r="AV810" t="str">
        <f>IF($AQ810="","",IF(INDEX(C_Pavement!$F$5:$F$204,$AQ810)&lt;&gt;"",IF(INDEX(C_Pavement!$F$5:$F$204,$AQ810)="-","",INDEX(C_Pavement!$F$5:$F$204,$AQ810)),IF($AS810="","",INDEX(E_Rules!$E$5:$E$9,$AS810))))</f>
        <v/>
      </c>
      <c r="AW810" t="str">
        <f>IF($AQ810="","",IF(INDEX(C_Pavement!$G$5:$G$204,$AQ810)&lt;&gt;"",IF(INDEX(C_Pavement!$G$5:$G$204,$AQ810)="-","",INDEX(C_Pavement!$G$5:$G$204,$AQ810)),IF($AS810="","",INDEX(E_Rules!$F$5:$F$9,$AS810))))</f>
        <v/>
      </c>
      <c r="AX810" t="str">
        <f>IF($AQ810="","",IF(INDEX(C_Pavement!$H$5:$H$204,$AQ810)&lt;&gt;"",IF(INDEX(C_Pavement!$H$5:$H$204,$AQ810)="-","",INDEX(C_Pavement!$H$5:$H$204,$AQ810)),IF($AS810="","",INDEX(E_Rules!$G$5:$G$9,$AS810))))</f>
        <v/>
      </c>
      <c r="AY810" t="str">
        <f>IF($AQ810="","",IF(INDEX(C_Pavement!$I$5:$I$204,$AQ810)&lt;&gt;"",IF(INDEX(C_Pavement!$I$5:$I$204,$AQ810)="-","",INDEX(C_Pavement!$I$5:$I$204,$AQ810)),IF($AS810="","",INDEX(E_Rules!$H$5:$H$9,$AS810))))</f>
        <v/>
      </c>
    </row>
    <row r="811" spans="1:51" ht="15.75" customHeight="1" x14ac:dyDescent="0.3">
      <c r="A811" s="189">
        <v>806</v>
      </c>
      <c r="B811" s="180">
        <v>40250</v>
      </c>
      <c r="C811" s="180" t="s">
        <v>1117</v>
      </c>
      <c r="D811" s="181" t="str">
        <f>IFERROR(LOOKUP(2,1/((A_Corridor!$A$5:$A$204&lt;&gt;"")*(A_Corridor!$A$5:$A$204&lt;=$B811)*(A_Corridor!$B$5:$B$204&gt;$B811)*(A_Corridor!$C$5:$C$204&lt;&gt;"")),IF(UPPER(A_Corridor!$C$5:$C$204)="Y",1,"")),"")</f>
        <v/>
      </c>
      <c r="E811" s="181" t="str">
        <f>IFERROR(LOOKUP(2,1/((A_Corridor!$A$5:$A$204&lt;&gt;"")*(A_Corridor!$A$5:$A$204&lt;=$B811)*(A_Corridor!$B$5:$B$204&gt;$B811)*(A_Corridor!$D$5:$D$204&lt;&gt;"")),IF(A_Corridor!$D$5:$D$204="-","",UPPER(A_Corridor!$D$5:$D$204))),"")</f>
        <v/>
      </c>
      <c r="F811" s="181" t="str">
        <f>IFERROR(LOOKUP(2,1/((A_Corridor!$A$5:$A$204&lt;&gt;"")*(A_Corridor!$A$5:$A$204&lt;=$B811)*(A_Corridor!$B$5:$B$204&gt;$B811)*(A_Corridor!$E$5:$E$204&lt;&gt;"")),IF(A_Corridor!$E$5:$E$204="-","",1)),"")</f>
        <v/>
      </c>
      <c r="G811" s="182" t="str">
        <f>IFERROR(LOOKUP(2,1/((A_Corridor!$A$5:$A$204&lt;&gt;"")*(A_Corridor!$A$5:$A$204&lt;=$B811)*(A_Corridor!$B$5:$B$204&gt;$B811)*(A_Corridor!$E$5:$E$204&lt;&gt;"")),IF(A_Corridor!$E$5:$E$204="-","",A_Corridor!$E$5:$E$204)),"")</f>
        <v/>
      </c>
      <c r="H811" s="182" t="str">
        <f>IFERROR(LOOKUP(2,1/((D_Points!$A$5:$A$204&lt;&gt;"")*(D_Points!$A$5:$A$204&gt;=$B811)*(D_Points!$A$5:$A$204&lt;$B811+P_Interval)*(UPPER(TRIM(D_Points!$B$5:$B$204))="GULLY")*(D_Points!$H$5:$H$204&lt;&gt;"")),D_Points!$H$5:$H$204),"")</f>
        <v/>
      </c>
      <c r="I811" s="181" t="str">
        <f>IFERROR(LOOKUP(2,1/((A_Corridor!$A$5:$A$204&lt;&gt;"")*(A_Corridor!$A$5:$A$204&lt;=$B811)*(A_Corridor!$B$5:$B$204&gt;$B811)*(A_Corridor!$F$5:$F$204&lt;&gt;"")),IF(A_Corridor!$F$5:$F$204="-","",1)),"")</f>
        <v/>
      </c>
      <c r="J811" s="182" t="str">
        <f>IFERROR(LOOKUP(2,1/((A_Corridor!$A$5:$A$204&lt;&gt;"")*(A_Corridor!$A$5:$A$204&lt;=$B811)*(A_Corridor!$B$5:$B$204&gt;$B811)*(A_Corridor!$F$5:$F$204&lt;&gt;"")),IF(A_Corridor!$F$5:$F$204="-","",A_Corridor!$F$5:$F$204)),"")</f>
        <v/>
      </c>
      <c r="K811" s="182" t="str">
        <f>IFERROR(LOOKUP(2,1/((A_Corridor!$A$5:$A$204&lt;&gt;"")*(A_Corridor!$A$5:$A$204&lt;=$B811)*(A_Corridor!$B$5:$B$204&gt;$B811)*(A_Corridor!$G$5:$G$204&lt;&gt;"")),IF(A_Corridor!$G$5:$G$204="-","",A_Corridor!$G$5:$G$204)),"")</f>
        <v/>
      </c>
      <c r="L811" s="181" t="str">
        <f>IFERROR(LOOKUP(2,1/((A_Corridor!$A$5:$A$204&lt;&gt;"")*(A_Corridor!$A$5:$A$204&lt;=$B811)*(A_Corridor!$B$5:$B$204&gt;$B811)*(A_Corridor!$H$5:$H$204&lt;&gt;"")),IF(A_Corridor!$H$5:$H$204="-","",1)),"")</f>
        <v/>
      </c>
      <c r="M811" s="182" t="str">
        <f>IFERROR(LOOKUP(2,1/((A_Corridor!$A$5:$A$204&lt;&gt;"")*(A_Corridor!$A$5:$A$204&lt;=$B811)*(A_Corridor!$B$5:$B$204&gt;$B811)*(A_Corridor!$H$5:$H$204&lt;&gt;"")),IF(A_Corridor!$H$5:$H$204="-","",A_Corridor!$H$5:$H$204)),"")</f>
        <v/>
      </c>
      <c r="N811" s="182" t="str">
        <f>IFERROR(LOOKUP(2,1/((A_Corridor!$A$5:$A$204&lt;&gt;"")*(A_Corridor!$A$5:$A$204&lt;=$B811)*(A_Corridor!$B$5:$B$204&gt;$B811)*(A_Corridor!$I$5:$I$204&lt;&gt;"")),IF(A_Corridor!$I$5:$I$204="-","",A_Corridor!$I$5:$I$204)),"")</f>
        <v/>
      </c>
      <c r="O811" s="182" t="str">
        <f>IFERROR(LOOKUP(2,1/((D_Points!$A$5:$A$204&lt;&gt;"")*(D_Points!$A$5:$A$204&gt;=$B811)*(D_Points!$A$5:$A$204&lt;$B811+P_Interval)*(UPPER(TRIM(D_Points!$B$5:$B$204))="PITCHING")*(D_Points!$H$5:$H$204&lt;&gt;"")),D_Points!$H$5:$H$204),"")</f>
        <v/>
      </c>
      <c r="P811" s="181" t="str">
        <f>IFERROR(LOOKUP(2,1/((B_Drainage!$A$5:$A$204&lt;&gt;"")*(B_Drainage!$A$5:$A$204&lt;=$B811)*(B_Drainage!$B$5:$B$204&gt;$B811)*(B_Drainage!$C$5:$C$204&lt;&gt;"")),IF(B_Drainage!$C$5:$C$204="-","",UPPER(B_Drainage!$C$5:$C$204))),"")</f>
        <v/>
      </c>
      <c r="Q811" s="181" t="str">
        <f>IFERROR(LOOKUP(2,1/((B_Drainage!$A$5:$A$204&lt;&gt;"")*(B_Drainage!$A$5:$A$204&lt;=$B811)*(B_Drainage!$B$5:$B$204&gt;$B811)*(B_Drainage!$D$5:$D$204&lt;&gt;"")),IF(B_Drainage!$D$5:$D$204="-","",UPPER(B_Drainage!$D$5:$D$204))),"")</f>
        <v/>
      </c>
      <c r="R811" s="182" t="str">
        <f>IFERROR(LOOKUP(2,1/((D_Points!$A$5:$A$204&lt;&gt;"")*(D_Points!$A$5:$A$204&gt;=$B811)*(D_Points!$A$5:$A$204&lt;$B811+P_Interval)*(RIGHT(UPPER(TRIM(D_Points!$B$5:$B$204)),8)="_CULVERT")),IF(LEFT(UPPER(TRIM(D_Points!$B$5:$B$204)),2)="EX",1,IF(LEFT(UPPER(TRIM(D_Points!$B$5:$B$204)),2)="PR",2,3))),"")</f>
        <v/>
      </c>
      <c r="S811" s="182" t="str">
        <f>IFERROR(LOOKUP(2,1/((D_Points!$A$5:$A$204&lt;&gt;"")*(D_Points!$A$5:$A$204&gt;=$B811)*(D_Points!$A$5:$A$204&lt;$B811+P_Interval)*(RIGHT(UPPER(TRIM(D_Points!$B$5:$B$204)),7)="_BRIDGE")),IF(LEFT(UPPER(TRIM(D_Points!$B$5:$B$204)),2)="EX",1,IF(LEFT(UPPER(TRIM(D_Points!$B$5:$B$204)),2)="PR",2,2))),"")</f>
        <v/>
      </c>
      <c r="T811" s="181" t="str">
        <f>IFERROR(LOOKUP(2,1/((B_Drainage!$A$5:$A$204&lt;&gt;"")*(B_Drainage!$A$5:$A$204&lt;=$B811)*(B_Drainage!$B$5:$B$204&gt;$B811)*(B_Drainage!$E$5:$E$204&lt;&gt;"")),IF(B_Drainage!$E$5:$E$204="-","",1)),"")</f>
        <v/>
      </c>
      <c r="U811" s="181" t="str">
        <f>IFERROR(LOOKUP(2,1/((B_Drainage!$A$5:$A$204&lt;&gt;"")*(B_Drainage!$A$5:$A$204&lt;=$B811)*(B_Drainage!$B$5:$B$204&gt;$B811)*(B_Drainage!$E$5:$E$204&lt;&gt;"")),IF(B_Drainage!$E$5:$E$204="-","",B_Drainage!$E$5:$E$204)),"")</f>
        <v/>
      </c>
      <c r="V811" s="181" t="str">
        <f>IFERROR(LOOKUP(2,1/((B_Drainage!$A$5:$A$204&lt;&gt;"")*(B_Drainage!$A$5:$A$204&lt;=$B811)*(B_Drainage!$B$5:$B$204&gt;$B811)*(B_Drainage!$F$5:$F$204&lt;&gt;"")),IF(B_Drainage!$F$5:$F$204="-","",1)),"")</f>
        <v/>
      </c>
      <c r="W811" s="181" t="str">
        <f>IFERROR(LOOKUP(2,1/((B_Drainage!$A$5:$A$204&lt;&gt;"")*(B_Drainage!$A$5:$A$204&lt;=$B811)*(B_Drainage!$B$5:$B$204&gt;$B811)*(B_Drainage!$F$5:$F$204&lt;&gt;"")),IF(B_Drainage!$F$5:$F$204="-","",B_Drainage!$F$5:$F$204)),"")</f>
        <v/>
      </c>
      <c r="X811" s="181" t="str">
        <f>IFERROR(LOOKUP(2,1/((B_Drainage!$A$5:$A$204&lt;&gt;"")*(B_Drainage!$A$5:$A$204&lt;=$B811)*(B_Drainage!$B$5:$B$204&gt;$B811)*(B_Drainage!$G$5:$G$204&lt;&gt;"")),IF(UPPER(B_Drainage!$G$5:$G$204)="Y",1,"")),"")</f>
        <v/>
      </c>
      <c r="Y811" s="181" t="str">
        <f>IFERROR(LOOKUP(2,1/((B_Drainage!$A$5:$A$204&lt;&gt;"")*(B_Drainage!$A$5:$A$204&lt;=$B811)*(B_Drainage!$B$5:$B$204&gt;$B811)*(B_Drainage!$H$5:$H$204&lt;&gt;"")),IF(UPPER(B_Drainage!$H$5:$H$204)="Y",1,"")),"")</f>
        <v/>
      </c>
      <c r="Z811" s="181" t="str">
        <f>IFERROR(LOOKUP(2,1/((B_Drainage!$A$5:$A$204&lt;&gt;"")*(B_Drainage!$A$5:$A$204&lt;=$B811)*(B_Drainage!$B$5:$B$204&gt;$B811)*(B_Drainage!$I$5:$I$204&lt;&gt;"")),IF(UPPER(B_Drainage!$I$5:$I$204)="Y",1,"")),"")</f>
        <v/>
      </c>
      <c r="AA811" s="181" t="str">
        <f>IFERROR(LOOKUP(2,1/((B_Drainage!$A$5:$A$204&lt;&gt;"")*(B_Drainage!$A$5:$A$204&lt;=$B811)*(B_Drainage!$B$5:$B$204&gt;$B811)*(B_Drainage!$J$5:$J$204&lt;&gt;"")),IF(UPPER(B_Drainage!$J$5:$J$204)="Y",1,"")),"")</f>
        <v/>
      </c>
      <c r="AB811" s="182" t="str">
        <f>IFERROR(LOOKUP(2,1/((B_Drainage!$A$5:$A$204&lt;&gt;"")*(B_Drainage!$A$5:$A$204&lt;=$B811)*(B_Drainage!$B$5:$B$204&gt;$B811)*(B_Drainage!$K$5:$K$204&lt;&gt;"")),IF(B_Drainage!$K$5:$K$204="-","",B_Drainage!$K$5:$K$204)),"")</f>
        <v/>
      </c>
      <c r="AC811" s="182" t="str">
        <f>IFERROR(LOOKUP(2,1/((B_Drainage!$A$5:$A$204&lt;&gt;"")*(B_Drainage!$A$5:$A$204&lt;=$B811)*(B_Drainage!$B$5:$B$204&gt;$B811)*(B_Drainage!$L$5:$L$204&lt;&gt;"")),IF(B_Drainage!$L$5:$L$204="-","",B_Drainage!$L$5:$L$204)),"")</f>
        <v/>
      </c>
      <c r="AD811" s="182" t="str">
        <f>IFERROR(LOOKUP(2,1/((D_Points!$A$5:$A$204&lt;&gt;"")*(D_Points!$A$5:$A$204&gt;=$B811)*(D_Points!$A$5:$A$204&lt;$B811+P_Interval)*(UPPER(TRIM(D_Points!$B$5:$B$204))="TURNOUT_L")*(D_Points!$H$5:$H$204&lt;&gt;"")),D_Points!$H$5:$H$204),"")</f>
        <v/>
      </c>
      <c r="AE811" s="182" t="str">
        <f>IFERROR(LOOKUP(2,1/((D_Points!$A$5:$A$204&lt;&gt;"")*(D_Points!$A$5:$A$204&gt;=$B811)*(D_Points!$A$5:$A$204&lt;$B811+P_Interval)*(UPPER(TRIM(D_Points!$B$5:$B$204))="TURNOUT_R")*(D_Points!$H$5:$H$204&lt;&gt;"")),D_Points!$H$5:$H$204),"")</f>
        <v/>
      </c>
      <c r="AF811" s="181" t="str">
        <f>IFERROR(LOOKUP(2,1/((B_Drainage!$A$5:$A$204&lt;&gt;"")*(B_Drainage!$A$5:$A$204&lt;=$B811)*(B_Drainage!$B$5:$B$204&gt;$B811)*(B_Drainage!$M$5:$M$204&lt;&gt;"")),IF(UPPER(B_Drainage!$M$5:$M$204)="Y",1,"")),"")</f>
        <v/>
      </c>
      <c r="AG811" s="181" t="str">
        <f>IFERROR(LOOKUP(2,1/((B_Drainage!$A$5:$A$204&lt;&gt;"")*(B_Drainage!$A$5:$A$204&lt;=$B811)*(B_Drainage!$B$5:$B$204&gt;$B811)*(B_Drainage!$N$5:$N$204&lt;&gt;"")),IF(UPPER(B_Drainage!$N$5:$N$204)="Y",1,"")),"")</f>
        <v/>
      </c>
      <c r="AH811" s="181" t="str">
        <f t="shared" si="96"/>
        <v/>
      </c>
      <c r="AI811" s="181" t="str">
        <f t="shared" si="97"/>
        <v/>
      </c>
      <c r="AJ811" s="181" t="str">
        <f t="shared" si="98"/>
        <v/>
      </c>
      <c r="AK811" s="181" t="str">
        <f t="shared" si="99"/>
        <v/>
      </c>
      <c r="AL811" s="181" t="str">
        <f t="shared" si="100"/>
        <v/>
      </c>
      <c r="AM811" s="181" t="str">
        <f t="shared" si="101"/>
        <v/>
      </c>
      <c r="AN811" s="181" t="str">
        <f t="shared" si="102"/>
        <v/>
      </c>
      <c r="AO811" s="192" t="str">
        <f t="shared" si="103"/>
        <v/>
      </c>
      <c r="AQ811" t="str">
        <f>IFERROR(LOOKUP(2,1/((C_Pavement!$A$5:$A$204&lt;&gt;"")*(C_Pavement!$A$5:$A$204&lt;=$B811)*(C_Pavement!$B$5:$B$204&gt;$B811)*(C_Pavement!$C$5:$C$204&lt;&gt;"")),ROW(C_Pavement!$C$5:$C$204)-4),"")</f>
        <v/>
      </c>
      <c r="AR811" t="str">
        <f>IF($AQ811="","",UPPER(TRIM(INDEX(C_Pavement!$C$5:$C$204,$AQ811))))</f>
        <v/>
      </c>
      <c r="AS811" t="str">
        <f>IF($AR811="","",IFERROR(MATCH($AR811,E_Rules!$A$5:$A$9,0),""))</f>
        <v/>
      </c>
      <c r="AT811" t="str">
        <f>IF($AQ811="","",IF(INDEX(C_Pavement!$D$5:$D$204,$AQ811)&lt;&gt;"",UPPER(TRIM(INDEX(C_Pavement!$D$5:$D$204,$AQ811))),IF($AS811="","",INDEX(E_Rules!$C$5:$C$9,$AS811))))</f>
        <v/>
      </c>
      <c r="AU811" t="str">
        <f>IF($AQ811="","",IF(INDEX(C_Pavement!$E$5:$E$204,$AQ811)&lt;&gt;"",IF(INDEX(C_Pavement!$E$5:$E$204,$AQ811)="-","",INDEX(C_Pavement!$E$5:$E$204,$AQ811)),IF($AS811="","",INDEX(E_Rules!$D$5:$D$9,$AS811))))</f>
        <v/>
      </c>
      <c r="AV811" t="str">
        <f>IF($AQ811="","",IF(INDEX(C_Pavement!$F$5:$F$204,$AQ811)&lt;&gt;"",IF(INDEX(C_Pavement!$F$5:$F$204,$AQ811)="-","",INDEX(C_Pavement!$F$5:$F$204,$AQ811)),IF($AS811="","",INDEX(E_Rules!$E$5:$E$9,$AS811))))</f>
        <v/>
      </c>
      <c r="AW811" t="str">
        <f>IF($AQ811="","",IF(INDEX(C_Pavement!$G$5:$G$204,$AQ811)&lt;&gt;"",IF(INDEX(C_Pavement!$G$5:$G$204,$AQ811)="-","",INDEX(C_Pavement!$G$5:$G$204,$AQ811)),IF($AS811="","",INDEX(E_Rules!$F$5:$F$9,$AS811))))</f>
        <v/>
      </c>
      <c r="AX811" t="str">
        <f>IF($AQ811="","",IF(INDEX(C_Pavement!$H$5:$H$204,$AQ811)&lt;&gt;"",IF(INDEX(C_Pavement!$H$5:$H$204,$AQ811)="-","",INDEX(C_Pavement!$H$5:$H$204,$AQ811)),IF($AS811="","",INDEX(E_Rules!$G$5:$G$9,$AS811))))</f>
        <v/>
      </c>
      <c r="AY811" t="str">
        <f>IF($AQ811="","",IF(INDEX(C_Pavement!$I$5:$I$204,$AQ811)&lt;&gt;"",IF(INDEX(C_Pavement!$I$5:$I$204,$AQ811)="-","",INDEX(C_Pavement!$I$5:$I$204,$AQ811)),IF($AS811="","",INDEX(E_Rules!$H$5:$H$9,$AS811))))</f>
        <v/>
      </c>
    </row>
    <row r="812" spans="1:51" ht="15.75" customHeight="1" x14ac:dyDescent="0.3">
      <c r="A812" s="189">
        <v>807</v>
      </c>
      <c r="B812" s="180">
        <v>40300</v>
      </c>
      <c r="C812" s="180" t="s">
        <v>1118</v>
      </c>
      <c r="D812" s="181" t="str">
        <f>IFERROR(LOOKUP(2,1/((A_Corridor!$A$5:$A$204&lt;&gt;"")*(A_Corridor!$A$5:$A$204&lt;=$B812)*(A_Corridor!$B$5:$B$204&gt;$B812)*(A_Corridor!$C$5:$C$204&lt;&gt;"")),IF(UPPER(A_Corridor!$C$5:$C$204)="Y",1,"")),"")</f>
        <v/>
      </c>
      <c r="E812" s="181" t="str">
        <f>IFERROR(LOOKUP(2,1/((A_Corridor!$A$5:$A$204&lt;&gt;"")*(A_Corridor!$A$5:$A$204&lt;=$B812)*(A_Corridor!$B$5:$B$204&gt;$B812)*(A_Corridor!$D$5:$D$204&lt;&gt;"")),IF(A_Corridor!$D$5:$D$204="-","",UPPER(A_Corridor!$D$5:$D$204))),"")</f>
        <v/>
      </c>
      <c r="F812" s="181" t="str">
        <f>IFERROR(LOOKUP(2,1/((A_Corridor!$A$5:$A$204&lt;&gt;"")*(A_Corridor!$A$5:$A$204&lt;=$B812)*(A_Corridor!$B$5:$B$204&gt;$B812)*(A_Corridor!$E$5:$E$204&lt;&gt;"")),IF(A_Corridor!$E$5:$E$204="-","",1)),"")</f>
        <v/>
      </c>
      <c r="G812" s="182" t="str">
        <f>IFERROR(LOOKUP(2,1/((A_Corridor!$A$5:$A$204&lt;&gt;"")*(A_Corridor!$A$5:$A$204&lt;=$B812)*(A_Corridor!$B$5:$B$204&gt;$B812)*(A_Corridor!$E$5:$E$204&lt;&gt;"")),IF(A_Corridor!$E$5:$E$204="-","",A_Corridor!$E$5:$E$204)),"")</f>
        <v/>
      </c>
      <c r="H812" s="182" t="str">
        <f>IFERROR(LOOKUP(2,1/((D_Points!$A$5:$A$204&lt;&gt;"")*(D_Points!$A$5:$A$204&gt;=$B812)*(D_Points!$A$5:$A$204&lt;$B812+P_Interval)*(UPPER(TRIM(D_Points!$B$5:$B$204))="GULLY")*(D_Points!$H$5:$H$204&lt;&gt;"")),D_Points!$H$5:$H$204),"")</f>
        <v/>
      </c>
      <c r="I812" s="181" t="str">
        <f>IFERROR(LOOKUP(2,1/((A_Corridor!$A$5:$A$204&lt;&gt;"")*(A_Corridor!$A$5:$A$204&lt;=$B812)*(A_Corridor!$B$5:$B$204&gt;$B812)*(A_Corridor!$F$5:$F$204&lt;&gt;"")),IF(A_Corridor!$F$5:$F$204="-","",1)),"")</f>
        <v/>
      </c>
      <c r="J812" s="182" t="str">
        <f>IFERROR(LOOKUP(2,1/((A_Corridor!$A$5:$A$204&lt;&gt;"")*(A_Corridor!$A$5:$A$204&lt;=$B812)*(A_Corridor!$B$5:$B$204&gt;$B812)*(A_Corridor!$F$5:$F$204&lt;&gt;"")),IF(A_Corridor!$F$5:$F$204="-","",A_Corridor!$F$5:$F$204)),"")</f>
        <v/>
      </c>
      <c r="K812" s="182" t="str">
        <f>IFERROR(LOOKUP(2,1/((A_Corridor!$A$5:$A$204&lt;&gt;"")*(A_Corridor!$A$5:$A$204&lt;=$B812)*(A_Corridor!$B$5:$B$204&gt;$B812)*(A_Corridor!$G$5:$G$204&lt;&gt;"")),IF(A_Corridor!$G$5:$G$204="-","",A_Corridor!$G$5:$G$204)),"")</f>
        <v/>
      </c>
      <c r="L812" s="181" t="str">
        <f>IFERROR(LOOKUP(2,1/((A_Corridor!$A$5:$A$204&lt;&gt;"")*(A_Corridor!$A$5:$A$204&lt;=$B812)*(A_Corridor!$B$5:$B$204&gt;$B812)*(A_Corridor!$H$5:$H$204&lt;&gt;"")),IF(A_Corridor!$H$5:$H$204="-","",1)),"")</f>
        <v/>
      </c>
      <c r="M812" s="182" t="str">
        <f>IFERROR(LOOKUP(2,1/((A_Corridor!$A$5:$A$204&lt;&gt;"")*(A_Corridor!$A$5:$A$204&lt;=$B812)*(A_Corridor!$B$5:$B$204&gt;$B812)*(A_Corridor!$H$5:$H$204&lt;&gt;"")),IF(A_Corridor!$H$5:$H$204="-","",A_Corridor!$H$5:$H$204)),"")</f>
        <v/>
      </c>
      <c r="N812" s="182" t="str">
        <f>IFERROR(LOOKUP(2,1/((A_Corridor!$A$5:$A$204&lt;&gt;"")*(A_Corridor!$A$5:$A$204&lt;=$B812)*(A_Corridor!$B$5:$B$204&gt;$B812)*(A_Corridor!$I$5:$I$204&lt;&gt;"")),IF(A_Corridor!$I$5:$I$204="-","",A_Corridor!$I$5:$I$204)),"")</f>
        <v/>
      </c>
      <c r="O812" s="182" t="str">
        <f>IFERROR(LOOKUP(2,1/((D_Points!$A$5:$A$204&lt;&gt;"")*(D_Points!$A$5:$A$204&gt;=$B812)*(D_Points!$A$5:$A$204&lt;$B812+P_Interval)*(UPPER(TRIM(D_Points!$B$5:$B$204))="PITCHING")*(D_Points!$H$5:$H$204&lt;&gt;"")),D_Points!$H$5:$H$204),"")</f>
        <v/>
      </c>
      <c r="P812" s="181" t="str">
        <f>IFERROR(LOOKUP(2,1/((B_Drainage!$A$5:$A$204&lt;&gt;"")*(B_Drainage!$A$5:$A$204&lt;=$B812)*(B_Drainage!$B$5:$B$204&gt;$B812)*(B_Drainage!$C$5:$C$204&lt;&gt;"")),IF(B_Drainage!$C$5:$C$204="-","",UPPER(B_Drainage!$C$5:$C$204))),"")</f>
        <v/>
      </c>
      <c r="Q812" s="181" t="str">
        <f>IFERROR(LOOKUP(2,1/((B_Drainage!$A$5:$A$204&lt;&gt;"")*(B_Drainage!$A$5:$A$204&lt;=$B812)*(B_Drainage!$B$5:$B$204&gt;$B812)*(B_Drainage!$D$5:$D$204&lt;&gt;"")),IF(B_Drainage!$D$5:$D$204="-","",UPPER(B_Drainage!$D$5:$D$204))),"")</f>
        <v/>
      </c>
      <c r="R812" s="182" t="str">
        <f>IFERROR(LOOKUP(2,1/((D_Points!$A$5:$A$204&lt;&gt;"")*(D_Points!$A$5:$A$204&gt;=$B812)*(D_Points!$A$5:$A$204&lt;$B812+P_Interval)*(RIGHT(UPPER(TRIM(D_Points!$B$5:$B$204)),8)="_CULVERT")),IF(LEFT(UPPER(TRIM(D_Points!$B$5:$B$204)),2)="EX",1,IF(LEFT(UPPER(TRIM(D_Points!$B$5:$B$204)),2)="PR",2,3))),"")</f>
        <v/>
      </c>
      <c r="S812" s="182" t="str">
        <f>IFERROR(LOOKUP(2,1/((D_Points!$A$5:$A$204&lt;&gt;"")*(D_Points!$A$5:$A$204&gt;=$B812)*(D_Points!$A$5:$A$204&lt;$B812+P_Interval)*(RIGHT(UPPER(TRIM(D_Points!$B$5:$B$204)),7)="_BRIDGE")),IF(LEFT(UPPER(TRIM(D_Points!$B$5:$B$204)),2)="EX",1,IF(LEFT(UPPER(TRIM(D_Points!$B$5:$B$204)),2)="PR",2,2))),"")</f>
        <v/>
      </c>
      <c r="T812" s="181" t="str">
        <f>IFERROR(LOOKUP(2,1/((B_Drainage!$A$5:$A$204&lt;&gt;"")*(B_Drainage!$A$5:$A$204&lt;=$B812)*(B_Drainage!$B$5:$B$204&gt;$B812)*(B_Drainage!$E$5:$E$204&lt;&gt;"")),IF(B_Drainage!$E$5:$E$204="-","",1)),"")</f>
        <v/>
      </c>
      <c r="U812" s="181" t="str">
        <f>IFERROR(LOOKUP(2,1/((B_Drainage!$A$5:$A$204&lt;&gt;"")*(B_Drainage!$A$5:$A$204&lt;=$B812)*(B_Drainage!$B$5:$B$204&gt;$B812)*(B_Drainage!$E$5:$E$204&lt;&gt;"")),IF(B_Drainage!$E$5:$E$204="-","",B_Drainage!$E$5:$E$204)),"")</f>
        <v/>
      </c>
      <c r="V812" s="181" t="str">
        <f>IFERROR(LOOKUP(2,1/((B_Drainage!$A$5:$A$204&lt;&gt;"")*(B_Drainage!$A$5:$A$204&lt;=$B812)*(B_Drainage!$B$5:$B$204&gt;$B812)*(B_Drainage!$F$5:$F$204&lt;&gt;"")),IF(B_Drainage!$F$5:$F$204="-","",1)),"")</f>
        <v/>
      </c>
      <c r="W812" s="181" t="str">
        <f>IFERROR(LOOKUP(2,1/((B_Drainage!$A$5:$A$204&lt;&gt;"")*(B_Drainage!$A$5:$A$204&lt;=$B812)*(B_Drainage!$B$5:$B$204&gt;$B812)*(B_Drainage!$F$5:$F$204&lt;&gt;"")),IF(B_Drainage!$F$5:$F$204="-","",B_Drainage!$F$5:$F$204)),"")</f>
        <v/>
      </c>
      <c r="X812" s="181" t="str">
        <f>IFERROR(LOOKUP(2,1/((B_Drainage!$A$5:$A$204&lt;&gt;"")*(B_Drainage!$A$5:$A$204&lt;=$B812)*(B_Drainage!$B$5:$B$204&gt;$B812)*(B_Drainage!$G$5:$G$204&lt;&gt;"")),IF(UPPER(B_Drainage!$G$5:$G$204)="Y",1,"")),"")</f>
        <v/>
      </c>
      <c r="Y812" s="181" t="str">
        <f>IFERROR(LOOKUP(2,1/((B_Drainage!$A$5:$A$204&lt;&gt;"")*(B_Drainage!$A$5:$A$204&lt;=$B812)*(B_Drainage!$B$5:$B$204&gt;$B812)*(B_Drainage!$H$5:$H$204&lt;&gt;"")),IF(UPPER(B_Drainage!$H$5:$H$204)="Y",1,"")),"")</f>
        <v/>
      </c>
      <c r="Z812" s="181" t="str">
        <f>IFERROR(LOOKUP(2,1/((B_Drainage!$A$5:$A$204&lt;&gt;"")*(B_Drainage!$A$5:$A$204&lt;=$B812)*(B_Drainage!$B$5:$B$204&gt;$B812)*(B_Drainage!$I$5:$I$204&lt;&gt;"")),IF(UPPER(B_Drainage!$I$5:$I$204)="Y",1,"")),"")</f>
        <v/>
      </c>
      <c r="AA812" s="181" t="str">
        <f>IFERROR(LOOKUP(2,1/((B_Drainage!$A$5:$A$204&lt;&gt;"")*(B_Drainage!$A$5:$A$204&lt;=$B812)*(B_Drainage!$B$5:$B$204&gt;$B812)*(B_Drainage!$J$5:$J$204&lt;&gt;"")),IF(UPPER(B_Drainage!$J$5:$J$204)="Y",1,"")),"")</f>
        <v/>
      </c>
      <c r="AB812" s="182" t="str">
        <f>IFERROR(LOOKUP(2,1/((B_Drainage!$A$5:$A$204&lt;&gt;"")*(B_Drainage!$A$5:$A$204&lt;=$B812)*(B_Drainage!$B$5:$B$204&gt;$B812)*(B_Drainage!$K$5:$K$204&lt;&gt;"")),IF(B_Drainage!$K$5:$K$204="-","",B_Drainage!$K$5:$K$204)),"")</f>
        <v/>
      </c>
      <c r="AC812" s="182" t="str">
        <f>IFERROR(LOOKUP(2,1/((B_Drainage!$A$5:$A$204&lt;&gt;"")*(B_Drainage!$A$5:$A$204&lt;=$B812)*(B_Drainage!$B$5:$B$204&gt;$B812)*(B_Drainage!$L$5:$L$204&lt;&gt;"")),IF(B_Drainage!$L$5:$L$204="-","",B_Drainage!$L$5:$L$204)),"")</f>
        <v/>
      </c>
      <c r="AD812" s="182" t="str">
        <f>IFERROR(LOOKUP(2,1/((D_Points!$A$5:$A$204&lt;&gt;"")*(D_Points!$A$5:$A$204&gt;=$B812)*(D_Points!$A$5:$A$204&lt;$B812+P_Interval)*(UPPER(TRIM(D_Points!$B$5:$B$204))="TURNOUT_L")*(D_Points!$H$5:$H$204&lt;&gt;"")),D_Points!$H$5:$H$204),"")</f>
        <v/>
      </c>
      <c r="AE812" s="182" t="str">
        <f>IFERROR(LOOKUP(2,1/((D_Points!$A$5:$A$204&lt;&gt;"")*(D_Points!$A$5:$A$204&gt;=$B812)*(D_Points!$A$5:$A$204&lt;$B812+P_Interval)*(UPPER(TRIM(D_Points!$B$5:$B$204))="TURNOUT_R")*(D_Points!$H$5:$H$204&lt;&gt;"")),D_Points!$H$5:$H$204),"")</f>
        <v/>
      </c>
      <c r="AF812" s="181" t="str">
        <f>IFERROR(LOOKUP(2,1/((B_Drainage!$A$5:$A$204&lt;&gt;"")*(B_Drainage!$A$5:$A$204&lt;=$B812)*(B_Drainage!$B$5:$B$204&gt;$B812)*(B_Drainage!$M$5:$M$204&lt;&gt;"")),IF(UPPER(B_Drainage!$M$5:$M$204)="Y",1,"")),"")</f>
        <v/>
      </c>
      <c r="AG812" s="181" t="str">
        <f>IFERROR(LOOKUP(2,1/((B_Drainage!$A$5:$A$204&lt;&gt;"")*(B_Drainage!$A$5:$A$204&lt;=$B812)*(B_Drainage!$B$5:$B$204&gt;$B812)*(B_Drainage!$N$5:$N$204&lt;&gt;"")),IF(UPPER(B_Drainage!$N$5:$N$204)="Y",1,"")),"")</f>
        <v/>
      </c>
      <c r="AH812" s="181" t="str">
        <f t="shared" si="96"/>
        <v/>
      </c>
      <c r="AI812" s="181" t="str">
        <f t="shared" si="97"/>
        <v/>
      </c>
      <c r="AJ812" s="181" t="str">
        <f t="shared" si="98"/>
        <v/>
      </c>
      <c r="AK812" s="181" t="str">
        <f t="shared" si="99"/>
        <v/>
      </c>
      <c r="AL812" s="181" t="str">
        <f t="shared" si="100"/>
        <v/>
      </c>
      <c r="AM812" s="181" t="str">
        <f t="shared" si="101"/>
        <v/>
      </c>
      <c r="AN812" s="181" t="str">
        <f t="shared" si="102"/>
        <v/>
      </c>
      <c r="AO812" s="192" t="str">
        <f t="shared" si="103"/>
        <v/>
      </c>
      <c r="AQ812" t="str">
        <f>IFERROR(LOOKUP(2,1/((C_Pavement!$A$5:$A$204&lt;&gt;"")*(C_Pavement!$A$5:$A$204&lt;=$B812)*(C_Pavement!$B$5:$B$204&gt;$B812)*(C_Pavement!$C$5:$C$204&lt;&gt;"")),ROW(C_Pavement!$C$5:$C$204)-4),"")</f>
        <v/>
      </c>
      <c r="AR812" t="str">
        <f>IF($AQ812="","",UPPER(TRIM(INDEX(C_Pavement!$C$5:$C$204,$AQ812))))</f>
        <v/>
      </c>
      <c r="AS812" t="str">
        <f>IF($AR812="","",IFERROR(MATCH($AR812,E_Rules!$A$5:$A$9,0),""))</f>
        <v/>
      </c>
      <c r="AT812" t="str">
        <f>IF($AQ812="","",IF(INDEX(C_Pavement!$D$5:$D$204,$AQ812)&lt;&gt;"",UPPER(TRIM(INDEX(C_Pavement!$D$5:$D$204,$AQ812))),IF($AS812="","",INDEX(E_Rules!$C$5:$C$9,$AS812))))</f>
        <v/>
      </c>
      <c r="AU812" t="str">
        <f>IF($AQ812="","",IF(INDEX(C_Pavement!$E$5:$E$204,$AQ812)&lt;&gt;"",IF(INDEX(C_Pavement!$E$5:$E$204,$AQ812)="-","",INDEX(C_Pavement!$E$5:$E$204,$AQ812)),IF($AS812="","",INDEX(E_Rules!$D$5:$D$9,$AS812))))</f>
        <v/>
      </c>
      <c r="AV812" t="str">
        <f>IF($AQ812="","",IF(INDEX(C_Pavement!$F$5:$F$204,$AQ812)&lt;&gt;"",IF(INDEX(C_Pavement!$F$5:$F$204,$AQ812)="-","",INDEX(C_Pavement!$F$5:$F$204,$AQ812)),IF($AS812="","",INDEX(E_Rules!$E$5:$E$9,$AS812))))</f>
        <v/>
      </c>
      <c r="AW812" t="str">
        <f>IF($AQ812="","",IF(INDEX(C_Pavement!$G$5:$G$204,$AQ812)&lt;&gt;"",IF(INDEX(C_Pavement!$G$5:$G$204,$AQ812)="-","",INDEX(C_Pavement!$G$5:$G$204,$AQ812)),IF($AS812="","",INDEX(E_Rules!$F$5:$F$9,$AS812))))</f>
        <v/>
      </c>
      <c r="AX812" t="str">
        <f>IF($AQ812="","",IF(INDEX(C_Pavement!$H$5:$H$204,$AQ812)&lt;&gt;"",IF(INDEX(C_Pavement!$H$5:$H$204,$AQ812)="-","",INDEX(C_Pavement!$H$5:$H$204,$AQ812)),IF($AS812="","",INDEX(E_Rules!$G$5:$G$9,$AS812))))</f>
        <v/>
      </c>
      <c r="AY812" t="str">
        <f>IF($AQ812="","",IF(INDEX(C_Pavement!$I$5:$I$204,$AQ812)&lt;&gt;"",IF(INDEX(C_Pavement!$I$5:$I$204,$AQ812)="-","",INDEX(C_Pavement!$I$5:$I$204,$AQ812)),IF($AS812="","",INDEX(E_Rules!$H$5:$H$9,$AS812))))</f>
        <v/>
      </c>
    </row>
    <row r="813" spans="1:51" ht="15.75" customHeight="1" x14ac:dyDescent="0.3">
      <c r="A813" s="189">
        <v>808</v>
      </c>
      <c r="B813" s="180">
        <v>40350</v>
      </c>
      <c r="C813" s="180" t="s">
        <v>1119</v>
      </c>
      <c r="D813" s="181" t="str">
        <f>IFERROR(LOOKUP(2,1/((A_Corridor!$A$5:$A$204&lt;&gt;"")*(A_Corridor!$A$5:$A$204&lt;=$B813)*(A_Corridor!$B$5:$B$204&gt;$B813)*(A_Corridor!$C$5:$C$204&lt;&gt;"")),IF(UPPER(A_Corridor!$C$5:$C$204)="Y",1,"")),"")</f>
        <v/>
      </c>
      <c r="E813" s="181" t="str">
        <f>IFERROR(LOOKUP(2,1/((A_Corridor!$A$5:$A$204&lt;&gt;"")*(A_Corridor!$A$5:$A$204&lt;=$B813)*(A_Corridor!$B$5:$B$204&gt;$B813)*(A_Corridor!$D$5:$D$204&lt;&gt;"")),IF(A_Corridor!$D$5:$D$204="-","",UPPER(A_Corridor!$D$5:$D$204))),"")</f>
        <v/>
      </c>
      <c r="F813" s="181" t="str">
        <f>IFERROR(LOOKUP(2,1/((A_Corridor!$A$5:$A$204&lt;&gt;"")*(A_Corridor!$A$5:$A$204&lt;=$B813)*(A_Corridor!$B$5:$B$204&gt;$B813)*(A_Corridor!$E$5:$E$204&lt;&gt;"")),IF(A_Corridor!$E$5:$E$204="-","",1)),"")</f>
        <v/>
      </c>
      <c r="G813" s="182" t="str">
        <f>IFERROR(LOOKUP(2,1/((A_Corridor!$A$5:$A$204&lt;&gt;"")*(A_Corridor!$A$5:$A$204&lt;=$B813)*(A_Corridor!$B$5:$B$204&gt;$B813)*(A_Corridor!$E$5:$E$204&lt;&gt;"")),IF(A_Corridor!$E$5:$E$204="-","",A_Corridor!$E$5:$E$204)),"")</f>
        <v/>
      </c>
      <c r="H813" s="182" t="str">
        <f>IFERROR(LOOKUP(2,1/((D_Points!$A$5:$A$204&lt;&gt;"")*(D_Points!$A$5:$A$204&gt;=$B813)*(D_Points!$A$5:$A$204&lt;$B813+P_Interval)*(UPPER(TRIM(D_Points!$B$5:$B$204))="GULLY")*(D_Points!$H$5:$H$204&lt;&gt;"")),D_Points!$H$5:$H$204),"")</f>
        <v/>
      </c>
      <c r="I813" s="181" t="str">
        <f>IFERROR(LOOKUP(2,1/((A_Corridor!$A$5:$A$204&lt;&gt;"")*(A_Corridor!$A$5:$A$204&lt;=$B813)*(A_Corridor!$B$5:$B$204&gt;$B813)*(A_Corridor!$F$5:$F$204&lt;&gt;"")),IF(A_Corridor!$F$5:$F$204="-","",1)),"")</f>
        <v/>
      </c>
      <c r="J813" s="182" t="str">
        <f>IFERROR(LOOKUP(2,1/((A_Corridor!$A$5:$A$204&lt;&gt;"")*(A_Corridor!$A$5:$A$204&lt;=$B813)*(A_Corridor!$B$5:$B$204&gt;$B813)*(A_Corridor!$F$5:$F$204&lt;&gt;"")),IF(A_Corridor!$F$5:$F$204="-","",A_Corridor!$F$5:$F$204)),"")</f>
        <v/>
      </c>
      <c r="K813" s="182" t="str">
        <f>IFERROR(LOOKUP(2,1/((A_Corridor!$A$5:$A$204&lt;&gt;"")*(A_Corridor!$A$5:$A$204&lt;=$B813)*(A_Corridor!$B$5:$B$204&gt;$B813)*(A_Corridor!$G$5:$G$204&lt;&gt;"")),IF(A_Corridor!$G$5:$G$204="-","",A_Corridor!$G$5:$G$204)),"")</f>
        <v/>
      </c>
      <c r="L813" s="181" t="str">
        <f>IFERROR(LOOKUP(2,1/((A_Corridor!$A$5:$A$204&lt;&gt;"")*(A_Corridor!$A$5:$A$204&lt;=$B813)*(A_Corridor!$B$5:$B$204&gt;$B813)*(A_Corridor!$H$5:$H$204&lt;&gt;"")),IF(A_Corridor!$H$5:$H$204="-","",1)),"")</f>
        <v/>
      </c>
      <c r="M813" s="182" t="str">
        <f>IFERROR(LOOKUP(2,1/((A_Corridor!$A$5:$A$204&lt;&gt;"")*(A_Corridor!$A$5:$A$204&lt;=$B813)*(A_Corridor!$B$5:$B$204&gt;$B813)*(A_Corridor!$H$5:$H$204&lt;&gt;"")),IF(A_Corridor!$H$5:$H$204="-","",A_Corridor!$H$5:$H$204)),"")</f>
        <v/>
      </c>
      <c r="N813" s="182" t="str">
        <f>IFERROR(LOOKUP(2,1/((A_Corridor!$A$5:$A$204&lt;&gt;"")*(A_Corridor!$A$5:$A$204&lt;=$B813)*(A_Corridor!$B$5:$B$204&gt;$B813)*(A_Corridor!$I$5:$I$204&lt;&gt;"")),IF(A_Corridor!$I$5:$I$204="-","",A_Corridor!$I$5:$I$204)),"")</f>
        <v/>
      </c>
      <c r="O813" s="182" t="str">
        <f>IFERROR(LOOKUP(2,1/((D_Points!$A$5:$A$204&lt;&gt;"")*(D_Points!$A$5:$A$204&gt;=$B813)*(D_Points!$A$5:$A$204&lt;$B813+P_Interval)*(UPPER(TRIM(D_Points!$B$5:$B$204))="PITCHING")*(D_Points!$H$5:$H$204&lt;&gt;"")),D_Points!$H$5:$H$204),"")</f>
        <v/>
      </c>
      <c r="P813" s="181" t="str">
        <f>IFERROR(LOOKUP(2,1/((B_Drainage!$A$5:$A$204&lt;&gt;"")*(B_Drainage!$A$5:$A$204&lt;=$B813)*(B_Drainage!$B$5:$B$204&gt;$B813)*(B_Drainage!$C$5:$C$204&lt;&gt;"")),IF(B_Drainage!$C$5:$C$204="-","",UPPER(B_Drainage!$C$5:$C$204))),"")</f>
        <v/>
      </c>
      <c r="Q813" s="181" t="str">
        <f>IFERROR(LOOKUP(2,1/((B_Drainage!$A$5:$A$204&lt;&gt;"")*(B_Drainage!$A$5:$A$204&lt;=$B813)*(B_Drainage!$B$5:$B$204&gt;$B813)*(B_Drainage!$D$5:$D$204&lt;&gt;"")),IF(B_Drainage!$D$5:$D$204="-","",UPPER(B_Drainage!$D$5:$D$204))),"")</f>
        <v/>
      </c>
      <c r="R813" s="182" t="str">
        <f>IFERROR(LOOKUP(2,1/((D_Points!$A$5:$A$204&lt;&gt;"")*(D_Points!$A$5:$A$204&gt;=$B813)*(D_Points!$A$5:$A$204&lt;$B813+P_Interval)*(RIGHT(UPPER(TRIM(D_Points!$B$5:$B$204)),8)="_CULVERT")),IF(LEFT(UPPER(TRIM(D_Points!$B$5:$B$204)),2)="EX",1,IF(LEFT(UPPER(TRIM(D_Points!$B$5:$B$204)),2)="PR",2,3))),"")</f>
        <v/>
      </c>
      <c r="S813" s="182" t="str">
        <f>IFERROR(LOOKUP(2,1/((D_Points!$A$5:$A$204&lt;&gt;"")*(D_Points!$A$5:$A$204&gt;=$B813)*(D_Points!$A$5:$A$204&lt;$B813+P_Interval)*(RIGHT(UPPER(TRIM(D_Points!$B$5:$B$204)),7)="_BRIDGE")),IF(LEFT(UPPER(TRIM(D_Points!$B$5:$B$204)),2)="EX",1,IF(LEFT(UPPER(TRIM(D_Points!$B$5:$B$204)),2)="PR",2,2))),"")</f>
        <v/>
      </c>
      <c r="T813" s="181" t="str">
        <f>IFERROR(LOOKUP(2,1/((B_Drainage!$A$5:$A$204&lt;&gt;"")*(B_Drainage!$A$5:$A$204&lt;=$B813)*(B_Drainage!$B$5:$B$204&gt;$B813)*(B_Drainage!$E$5:$E$204&lt;&gt;"")),IF(B_Drainage!$E$5:$E$204="-","",1)),"")</f>
        <v/>
      </c>
      <c r="U813" s="181" t="str">
        <f>IFERROR(LOOKUP(2,1/((B_Drainage!$A$5:$A$204&lt;&gt;"")*(B_Drainage!$A$5:$A$204&lt;=$B813)*(B_Drainage!$B$5:$B$204&gt;$B813)*(B_Drainage!$E$5:$E$204&lt;&gt;"")),IF(B_Drainage!$E$5:$E$204="-","",B_Drainage!$E$5:$E$204)),"")</f>
        <v/>
      </c>
      <c r="V813" s="181" t="str">
        <f>IFERROR(LOOKUP(2,1/((B_Drainage!$A$5:$A$204&lt;&gt;"")*(B_Drainage!$A$5:$A$204&lt;=$B813)*(B_Drainage!$B$5:$B$204&gt;$B813)*(B_Drainage!$F$5:$F$204&lt;&gt;"")),IF(B_Drainage!$F$5:$F$204="-","",1)),"")</f>
        <v/>
      </c>
      <c r="W813" s="181" t="str">
        <f>IFERROR(LOOKUP(2,1/((B_Drainage!$A$5:$A$204&lt;&gt;"")*(B_Drainage!$A$5:$A$204&lt;=$B813)*(B_Drainage!$B$5:$B$204&gt;$B813)*(B_Drainage!$F$5:$F$204&lt;&gt;"")),IF(B_Drainage!$F$5:$F$204="-","",B_Drainage!$F$5:$F$204)),"")</f>
        <v/>
      </c>
      <c r="X813" s="181" t="str">
        <f>IFERROR(LOOKUP(2,1/((B_Drainage!$A$5:$A$204&lt;&gt;"")*(B_Drainage!$A$5:$A$204&lt;=$B813)*(B_Drainage!$B$5:$B$204&gt;$B813)*(B_Drainage!$G$5:$G$204&lt;&gt;"")),IF(UPPER(B_Drainage!$G$5:$G$204)="Y",1,"")),"")</f>
        <v/>
      </c>
      <c r="Y813" s="181" t="str">
        <f>IFERROR(LOOKUP(2,1/((B_Drainage!$A$5:$A$204&lt;&gt;"")*(B_Drainage!$A$5:$A$204&lt;=$B813)*(B_Drainage!$B$5:$B$204&gt;$B813)*(B_Drainage!$H$5:$H$204&lt;&gt;"")),IF(UPPER(B_Drainage!$H$5:$H$204)="Y",1,"")),"")</f>
        <v/>
      </c>
      <c r="Z813" s="181" t="str">
        <f>IFERROR(LOOKUP(2,1/((B_Drainage!$A$5:$A$204&lt;&gt;"")*(B_Drainage!$A$5:$A$204&lt;=$B813)*(B_Drainage!$B$5:$B$204&gt;$B813)*(B_Drainage!$I$5:$I$204&lt;&gt;"")),IF(UPPER(B_Drainage!$I$5:$I$204)="Y",1,"")),"")</f>
        <v/>
      </c>
      <c r="AA813" s="181" t="str">
        <f>IFERROR(LOOKUP(2,1/((B_Drainage!$A$5:$A$204&lt;&gt;"")*(B_Drainage!$A$5:$A$204&lt;=$B813)*(B_Drainage!$B$5:$B$204&gt;$B813)*(B_Drainage!$J$5:$J$204&lt;&gt;"")),IF(UPPER(B_Drainage!$J$5:$J$204)="Y",1,"")),"")</f>
        <v/>
      </c>
      <c r="AB813" s="182" t="str">
        <f>IFERROR(LOOKUP(2,1/((B_Drainage!$A$5:$A$204&lt;&gt;"")*(B_Drainage!$A$5:$A$204&lt;=$B813)*(B_Drainage!$B$5:$B$204&gt;$B813)*(B_Drainage!$K$5:$K$204&lt;&gt;"")),IF(B_Drainage!$K$5:$K$204="-","",B_Drainage!$K$5:$K$204)),"")</f>
        <v/>
      </c>
      <c r="AC813" s="182" t="str">
        <f>IFERROR(LOOKUP(2,1/((B_Drainage!$A$5:$A$204&lt;&gt;"")*(B_Drainage!$A$5:$A$204&lt;=$B813)*(B_Drainage!$B$5:$B$204&gt;$B813)*(B_Drainage!$L$5:$L$204&lt;&gt;"")),IF(B_Drainage!$L$5:$L$204="-","",B_Drainage!$L$5:$L$204)),"")</f>
        <v/>
      </c>
      <c r="AD813" s="182" t="str">
        <f>IFERROR(LOOKUP(2,1/((D_Points!$A$5:$A$204&lt;&gt;"")*(D_Points!$A$5:$A$204&gt;=$B813)*(D_Points!$A$5:$A$204&lt;$B813+P_Interval)*(UPPER(TRIM(D_Points!$B$5:$B$204))="TURNOUT_L")*(D_Points!$H$5:$H$204&lt;&gt;"")),D_Points!$H$5:$H$204),"")</f>
        <v/>
      </c>
      <c r="AE813" s="182" t="str">
        <f>IFERROR(LOOKUP(2,1/((D_Points!$A$5:$A$204&lt;&gt;"")*(D_Points!$A$5:$A$204&gt;=$B813)*(D_Points!$A$5:$A$204&lt;$B813+P_Interval)*(UPPER(TRIM(D_Points!$B$5:$B$204))="TURNOUT_R")*(D_Points!$H$5:$H$204&lt;&gt;"")),D_Points!$H$5:$H$204),"")</f>
        <v/>
      </c>
      <c r="AF813" s="181" t="str">
        <f>IFERROR(LOOKUP(2,1/((B_Drainage!$A$5:$A$204&lt;&gt;"")*(B_Drainage!$A$5:$A$204&lt;=$B813)*(B_Drainage!$B$5:$B$204&gt;$B813)*(B_Drainage!$M$5:$M$204&lt;&gt;"")),IF(UPPER(B_Drainage!$M$5:$M$204)="Y",1,"")),"")</f>
        <v/>
      </c>
      <c r="AG813" s="181" t="str">
        <f>IFERROR(LOOKUP(2,1/((B_Drainage!$A$5:$A$204&lt;&gt;"")*(B_Drainage!$A$5:$A$204&lt;=$B813)*(B_Drainage!$B$5:$B$204&gt;$B813)*(B_Drainage!$N$5:$N$204&lt;&gt;"")),IF(UPPER(B_Drainage!$N$5:$N$204)="Y",1,"")),"")</f>
        <v/>
      </c>
      <c r="AH813" s="181" t="str">
        <f t="shared" si="96"/>
        <v/>
      </c>
      <c r="AI813" s="181" t="str">
        <f t="shared" si="97"/>
        <v/>
      </c>
      <c r="AJ813" s="181" t="str">
        <f t="shared" si="98"/>
        <v/>
      </c>
      <c r="AK813" s="181" t="str">
        <f t="shared" si="99"/>
        <v/>
      </c>
      <c r="AL813" s="181" t="str">
        <f t="shared" si="100"/>
        <v/>
      </c>
      <c r="AM813" s="181" t="str">
        <f t="shared" si="101"/>
        <v/>
      </c>
      <c r="AN813" s="181" t="str">
        <f t="shared" si="102"/>
        <v/>
      </c>
      <c r="AO813" s="192" t="str">
        <f t="shared" si="103"/>
        <v/>
      </c>
      <c r="AQ813" t="str">
        <f>IFERROR(LOOKUP(2,1/((C_Pavement!$A$5:$A$204&lt;&gt;"")*(C_Pavement!$A$5:$A$204&lt;=$B813)*(C_Pavement!$B$5:$B$204&gt;$B813)*(C_Pavement!$C$5:$C$204&lt;&gt;"")),ROW(C_Pavement!$C$5:$C$204)-4),"")</f>
        <v/>
      </c>
      <c r="AR813" t="str">
        <f>IF($AQ813="","",UPPER(TRIM(INDEX(C_Pavement!$C$5:$C$204,$AQ813))))</f>
        <v/>
      </c>
      <c r="AS813" t="str">
        <f>IF($AR813="","",IFERROR(MATCH($AR813,E_Rules!$A$5:$A$9,0),""))</f>
        <v/>
      </c>
      <c r="AT813" t="str">
        <f>IF($AQ813="","",IF(INDEX(C_Pavement!$D$5:$D$204,$AQ813)&lt;&gt;"",UPPER(TRIM(INDEX(C_Pavement!$D$5:$D$204,$AQ813))),IF($AS813="","",INDEX(E_Rules!$C$5:$C$9,$AS813))))</f>
        <v/>
      </c>
      <c r="AU813" t="str">
        <f>IF($AQ813="","",IF(INDEX(C_Pavement!$E$5:$E$204,$AQ813)&lt;&gt;"",IF(INDEX(C_Pavement!$E$5:$E$204,$AQ813)="-","",INDEX(C_Pavement!$E$5:$E$204,$AQ813)),IF($AS813="","",INDEX(E_Rules!$D$5:$D$9,$AS813))))</f>
        <v/>
      </c>
      <c r="AV813" t="str">
        <f>IF($AQ813="","",IF(INDEX(C_Pavement!$F$5:$F$204,$AQ813)&lt;&gt;"",IF(INDEX(C_Pavement!$F$5:$F$204,$AQ813)="-","",INDEX(C_Pavement!$F$5:$F$204,$AQ813)),IF($AS813="","",INDEX(E_Rules!$E$5:$E$9,$AS813))))</f>
        <v/>
      </c>
      <c r="AW813" t="str">
        <f>IF($AQ813="","",IF(INDEX(C_Pavement!$G$5:$G$204,$AQ813)&lt;&gt;"",IF(INDEX(C_Pavement!$G$5:$G$204,$AQ813)="-","",INDEX(C_Pavement!$G$5:$G$204,$AQ813)),IF($AS813="","",INDEX(E_Rules!$F$5:$F$9,$AS813))))</f>
        <v/>
      </c>
      <c r="AX813" t="str">
        <f>IF($AQ813="","",IF(INDEX(C_Pavement!$H$5:$H$204,$AQ813)&lt;&gt;"",IF(INDEX(C_Pavement!$H$5:$H$204,$AQ813)="-","",INDEX(C_Pavement!$H$5:$H$204,$AQ813)),IF($AS813="","",INDEX(E_Rules!$G$5:$G$9,$AS813))))</f>
        <v/>
      </c>
      <c r="AY813" t="str">
        <f>IF($AQ813="","",IF(INDEX(C_Pavement!$I$5:$I$204,$AQ813)&lt;&gt;"",IF(INDEX(C_Pavement!$I$5:$I$204,$AQ813)="-","",INDEX(C_Pavement!$I$5:$I$204,$AQ813)),IF($AS813="","",INDEX(E_Rules!$H$5:$H$9,$AS813))))</f>
        <v/>
      </c>
    </row>
    <row r="814" spans="1:51" ht="15.75" customHeight="1" x14ac:dyDescent="0.3">
      <c r="A814" s="189">
        <v>809</v>
      </c>
      <c r="B814" s="180">
        <v>40400</v>
      </c>
      <c r="C814" s="180" t="s">
        <v>1120</v>
      </c>
      <c r="D814" s="181" t="str">
        <f>IFERROR(LOOKUP(2,1/((A_Corridor!$A$5:$A$204&lt;&gt;"")*(A_Corridor!$A$5:$A$204&lt;=$B814)*(A_Corridor!$B$5:$B$204&gt;$B814)*(A_Corridor!$C$5:$C$204&lt;&gt;"")),IF(UPPER(A_Corridor!$C$5:$C$204)="Y",1,"")),"")</f>
        <v/>
      </c>
      <c r="E814" s="181" t="str">
        <f>IFERROR(LOOKUP(2,1/((A_Corridor!$A$5:$A$204&lt;&gt;"")*(A_Corridor!$A$5:$A$204&lt;=$B814)*(A_Corridor!$B$5:$B$204&gt;$B814)*(A_Corridor!$D$5:$D$204&lt;&gt;"")),IF(A_Corridor!$D$5:$D$204="-","",UPPER(A_Corridor!$D$5:$D$204))),"")</f>
        <v/>
      </c>
      <c r="F814" s="181" t="str">
        <f>IFERROR(LOOKUP(2,1/((A_Corridor!$A$5:$A$204&lt;&gt;"")*(A_Corridor!$A$5:$A$204&lt;=$B814)*(A_Corridor!$B$5:$B$204&gt;$B814)*(A_Corridor!$E$5:$E$204&lt;&gt;"")),IF(A_Corridor!$E$5:$E$204="-","",1)),"")</f>
        <v/>
      </c>
      <c r="G814" s="182" t="str">
        <f>IFERROR(LOOKUP(2,1/((A_Corridor!$A$5:$A$204&lt;&gt;"")*(A_Corridor!$A$5:$A$204&lt;=$B814)*(A_Corridor!$B$5:$B$204&gt;$B814)*(A_Corridor!$E$5:$E$204&lt;&gt;"")),IF(A_Corridor!$E$5:$E$204="-","",A_Corridor!$E$5:$E$204)),"")</f>
        <v/>
      </c>
      <c r="H814" s="182" t="str">
        <f>IFERROR(LOOKUP(2,1/((D_Points!$A$5:$A$204&lt;&gt;"")*(D_Points!$A$5:$A$204&gt;=$B814)*(D_Points!$A$5:$A$204&lt;$B814+P_Interval)*(UPPER(TRIM(D_Points!$B$5:$B$204))="GULLY")*(D_Points!$H$5:$H$204&lt;&gt;"")),D_Points!$H$5:$H$204),"")</f>
        <v/>
      </c>
      <c r="I814" s="181" t="str">
        <f>IFERROR(LOOKUP(2,1/((A_Corridor!$A$5:$A$204&lt;&gt;"")*(A_Corridor!$A$5:$A$204&lt;=$B814)*(A_Corridor!$B$5:$B$204&gt;$B814)*(A_Corridor!$F$5:$F$204&lt;&gt;"")),IF(A_Corridor!$F$5:$F$204="-","",1)),"")</f>
        <v/>
      </c>
      <c r="J814" s="182" t="str">
        <f>IFERROR(LOOKUP(2,1/((A_Corridor!$A$5:$A$204&lt;&gt;"")*(A_Corridor!$A$5:$A$204&lt;=$B814)*(A_Corridor!$B$5:$B$204&gt;$B814)*(A_Corridor!$F$5:$F$204&lt;&gt;"")),IF(A_Corridor!$F$5:$F$204="-","",A_Corridor!$F$5:$F$204)),"")</f>
        <v/>
      </c>
      <c r="K814" s="182" t="str">
        <f>IFERROR(LOOKUP(2,1/((A_Corridor!$A$5:$A$204&lt;&gt;"")*(A_Corridor!$A$5:$A$204&lt;=$B814)*(A_Corridor!$B$5:$B$204&gt;$B814)*(A_Corridor!$G$5:$G$204&lt;&gt;"")),IF(A_Corridor!$G$5:$G$204="-","",A_Corridor!$G$5:$G$204)),"")</f>
        <v/>
      </c>
      <c r="L814" s="181" t="str">
        <f>IFERROR(LOOKUP(2,1/((A_Corridor!$A$5:$A$204&lt;&gt;"")*(A_Corridor!$A$5:$A$204&lt;=$B814)*(A_Corridor!$B$5:$B$204&gt;$B814)*(A_Corridor!$H$5:$H$204&lt;&gt;"")),IF(A_Corridor!$H$5:$H$204="-","",1)),"")</f>
        <v/>
      </c>
      <c r="M814" s="182" t="str">
        <f>IFERROR(LOOKUP(2,1/((A_Corridor!$A$5:$A$204&lt;&gt;"")*(A_Corridor!$A$5:$A$204&lt;=$B814)*(A_Corridor!$B$5:$B$204&gt;$B814)*(A_Corridor!$H$5:$H$204&lt;&gt;"")),IF(A_Corridor!$H$5:$H$204="-","",A_Corridor!$H$5:$H$204)),"")</f>
        <v/>
      </c>
      <c r="N814" s="182" t="str">
        <f>IFERROR(LOOKUP(2,1/((A_Corridor!$A$5:$A$204&lt;&gt;"")*(A_Corridor!$A$5:$A$204&lt;=$B814)*(A_Corridor!$B$5:$B$204&gt;$B814)*(A_Corridor!$I$5:$I$204&lt;&gt;"")),IF(A_Corridor!$I$5:$I$204="-","",A_Corridor!$I$5:$I$204)),"")</f>
        <v/>
      </c>
      <c r="O814" s="182" t="str">
        <f>IFERROR(LOOKUP(2,1/((D_Points!$A$5:$A$204&lt;&gt;"")*(D_Points!$A$5:$A$204&gt;=$B814)*(D_Points!$A$5:$A$204&lt;$B814+P_Interval)*(UPPER(TRIM(D_Points!$B$5:$B$204))="PITCHING")*(D_Points!$H$5:$H$204&lt;&gt;"")),D_Points!$H$5:$H$204),"")</f>
        <v/>
      </c>
      <c r="P814" s="181" t="str">
        <f>IFERROR(LOOKUP(2,1/((B_Drainage!$A$5:$A$204&lt;&gt;"")*(B_Drainage!$A$5:$A$204&lt;=$B814)*(B_Drainage!$B$5:$B$204&gt;$B814)*(B_Drainage!$C$5:$C$204&lt;&gt;"")),IF(B_Drainage!$C$5:$C$204="-","",UPPER(B_Drainage!$C$5:$C$204))),"")</f>
        <v/>
      </c>
      <c r="Q814" s="181" t="str">
        <f>IFERROR(LOOKUP(2,1/((B_Drainage!$A$5:$A$204&lt;&gt;"")*(B_Drainage!$A$5:$A$204&lt;=$B814)*(B_Drainage!$B$5:$B$204&gt;$B814)*(B_Drainage!$D$5:$D$204&lt;&gt;"")),IF(B_Drainage!$D$5:$D$204="-","",UPPER(B_Drainage!$D$5:$D$204))),"")</f>
        <v/>
      </c>
      <c r="R814" s="182" t="str">
        <f>IFERROR(LOOKUP(2,1/((D_Points!$A$5:$A$204&lt;&gt;"")*(D_Points!$A$5:$A$204&gt;=$B814)*(D_Points!$A$5:$A$204&lt;$B814+P_Interval)*(RIGHT(UPPER(TRIM(D_Points!$B$5:$B$204)),8)="_CULVERT")),IF(LEFT(UPPER(TRIM(D_Points!$B$5:$B$204)),2)="EX",1,IF(LEFT(UPPER(TRIM(D_Points!$B$5:$B$204)),2)="PR",2,3))),"")</f>
        <v/>
      </c>
      <c r="S814" s="182" t="str">
        <f>IFERROR(LOOKUP(2,1/((D_Points!$A$5:$A$204&lt;&gt;"")*(D_Points!$A$5:$A$204&gt;=$B814)*(D_Points!$A$5:$A$204&lt;$B814+P_Interval)*(RIGHT(UPPER(TRIM(D_Points!$B$5:$B$204)),7)="_BRIDGE")),IF(LEFT(UPPER(TRIM(D_Points!$B$5:$B$204)),2)="EX",1,IF(LEFT(UPPER(TRIM(D_Points!$B$5:$B$204)),2)="PR",2,2))),"")</f>
        <v/>
      </c>
      <c r="T814" s="181" t="str">
        <f>IFERROR(LOOKUP(2,1/((B_Drainage!$A$5:$A$204&lt;&gt;"")*(B_Drainage!$A$5:$A$204&lt;=$B814)*(B_Drainage!$B$5:$B$204&gt;$B814)*(B_Drainage!$E$5:$E$204&lt;&gt;"")),IF(B_Drainage!$E$5:$E$204="-","",1)),"")</f>
        <v/>
      </c>
      <c r="U814" s="181" t="str">
        <f>IFERROR(LOOKUP(2,1/((B_Drainage!$A$5:$A$204&lt;&gt;"")*(B_Drainage!$A$5:$A$204&lt;=$B814)*(B_Drainage!$B$5:$B$204&gt;$B814)*(B_Drainage!$E$5:$E$204&lt;&gt;"")),IF(B_Drainage!$E$5:$E$204="-","",B_Drainage!$E$5:$E$204)),"")</f>
        <v/>
      </c>
      <c r="V814" s="181" t="str">
        <f>IFERROR(LOOKUP(2,1/((B_Drainage!$A$5:$A$204&lt;&gt;"")*(B_Drainage!$A$5:$A$204&lt;=$B814)*(B_Drainage!$B$5:$B$204&gt;$B814)*(B_Drainage!$F$5:$F$204&lt;&gt;"")),IF(B_Drainage!$F$5:$F$204="-","",1)),"")</f>
        <v/>
      </c>
      <c r="W814" s="181" t="str">
        <f>IFERROR(LOOKUP(2,1/((B_Drainage!$A$5:$A$204&lt;&gt;"")*(B_Drainage!$A$5:$A$204&lt;=$B814)*(B_Drainage!$B$5:$B$204&gt;$B814)*(B_Drainage!$F$5:$F$204&lt;&gt;"")),IF(B_Drainage!$F$5:$F$204="-","",B_Drainage!$F$5:$F$204)),"")</f>
        <v/>
      </c>
      <c r="X814" s="181" t="str">
        <f>IFERROR(LOOKUP(2,1/((B_Drainage!$A$5:$A$204&lt;&gt;"")*(B_Drainage!$A$5:$A$204&lt;=$B814)*(B_Drainage!$B$5:$B$204&gt;$B814)*(B_Drainage!$G$5:$G$204&lt;&gt;"")),IF(UPPER(B_Drainage!$G$5:$G$204)="Y",1,"")),"")</f>
        <v/>
      </c>
      <c r="Y814" s="181" t="str">
        <f>IFERROR(LOOKUP(2,1/((B_Drainage!$A$5:$A$204&lt;&gt;"")*(B_Drainage!$A$5:$A$204&lt;=$B814)*(B_Drainage!$B$5:$B$204&gt;$B814)*(B_Drainage!$H$5:$H$204&lt;&gt;"")),IF(UPPER(B_Drainage!$H$5:$H$204)="Y",1,"")),"")</f>
        <v/>
      </c>
      <c r="Z814" s="181" t="str">
        <f>IFERROR(LOOKUP(2,1/((B_Drainage!$A$5:$A$204&lt;&gt;"")*(B_Drainage!$A$5:$A$204&lt;=$B814)*(B_Drainage!$B$5:$B$204&gt;$B814)*(B_Drainage!$I$5:$I$204&lt;&gt;"")),IF(UPPER(B_Drainage!$I$5:$I$204)="Y",1,"")),"")</f>
        <v/>
      </c>
      <c r="AA814" s="181" t="str">
        <f>IFERROR(LOOKUP(2,1/((B_Drainage!$A$5:$A$204&lt;&gt;"")*(B_Drainage!$A$5:$A$204&lt;=$B814)*(B_Drainage!$B$5:$B$204&gt;$B814)*(B_Drainage!$J$5:$J$204&lt;&gt;"")),IF(UPPER(B_Drainage!$J$5:$J$204)="Y",1,"")),"")</f>
        <v/>
      </c>
      <c r="AB814" s="182" t="str">
        <f>IFERROR(LOOKUP(2,1/((B_Drainage!$A$5:$A$204&lt;&gt;"")*(B_Drainage!$A$5:$A$204&lt;=$B814)*(B_Drainage!$B$5:$B$204&gt;$B814)*(B_Drainage!$K$5:$K$204&lt;&gt;"")),IF(B_Drainage!$K$5:$K$204="-","",B_Drainage!$K$5:$K$204)),"")</f>
        <v/>
      </c>
      <c r="AC814" s="182" t="str">
        <f>IFERROR(LOOKUP(2,1/((B_Drainage!$A$5:$A$204&lt;&gt;"")*(B_Drainage!$A$5:$A$204&lt;=$B814)*(B_Drainage!$B$5:$B$204&gt;$B814)*(B_Drainage!$L$5:$L$204&lt;&gt;"")),IF(B_Drainage!$L$5:$L$204="-","",B_Drainage!$L$5:$L$204)),"")</f>
        <v/>
      </c>
      <c r="AD814" s="182" t="str">
        <f>IFERROR(LOOKUP(2,1/((D_Points!$A$5:$A$204&lt;&gt;"")*(D_Points!$A$5:$A$204&gt;=$B814)*(D_Points!$A$5:$A$204&lt;$B814+P_Interval)*(UPPER(TRIM(D_Points!$B$5:$B$204))="TURNOUT_L")*(D_Points!$H$5:$H$204&lt;&gt;"")),D_Points!$H$5:$H$204),"")</f>
        <v/>
      </c>
      <c r="AE814" s="182" t="str">
        <f>IFERROR(LOOKUP(2,1/((D_Points!$A$5:$A$204&lt;&gt;"")*(D_Points!$A$5:$A$204&gt;=$B814)*(D_Points!$A$5:$A$204&lt;$B814+P_Interval)*(UPPER(TRIM(D_Points!$B$5:$B$204))="TURNOUT_R")*(D_Points!$H$5:$H$204&lt;&gt;"")),D_Points!$H$5:$H$204),"")</f>
        <v/>
      </c>
      <c r="AF814" s="181" t="str">
        <f>IFERROR(LOOKUP(2,1/((B_Drainage!$A$5:$A$204&lt;&gt;"")*(B_Drainage!$A$5:$A$204&lt;=$B814)*(B_Drainage!$B$5:$B$204&gt;$B814)*(B_Drainage!$M$5:$M$204&lt;&gt;"")),IF(UPPER(B_Drainage!$M$5:$M$204)="Y",1,"")),"")</f>
        <v/>
      </c>
      <c r="AG814" s="181" t="str">
        <f>IFERROR(LOOKUP(2,1/((B_Drainage!$A$5:$A$204&lt;&gt;"")*(B_Drainage!$A$5:$A$204&lt;=$B814)*(B_Drainage!$B$5:$B$204&gt;$B814)*(B_Drainage!$N$5:$N$204&lt;&gt;"")),IF(UPPER(B_Drainage!$N$5:$N$204)="Y",1,"")),"")</f>
        <v/>
      </c>
      <c r="AH814" s="181" t="str">
        <f t="shared" si="96"/>
        <v/>
      </c>
      <c r="AI814" s="181" t="str">
        <f t="shared" si="97"/>
        <v/>
      </c>
      <c r="AJ814" s="181" t="str">
        <f t="shared" si="98"/>
        <v/>
      </c>
      <c r="AK814" s="181" t="str">
        <f t="shared" si="99"/>
        <v/>
      </c>
      <c r="AL814" s="181" t="str">
        <f t="shared" si="100"/>
        <v/>
      </c>
      <c r="AM814" s="181" t="str">
        <f t="shared" si="101"/>
        <v/>
      </c>
      <c r="AN814" s="181" t="str">
        <f t="shared" si="102"/>
        <v/>
      </c>
      <c r="AO814" s="192" t="str">
        <f t="shared" si="103"/>
        <v/>
      </c>
      <c r="AQ814" t="str">
        <f>IFERROR(LOOKUP(2,1/((C_Pavement!$A$5:$A$204&lt;&gt;"")*(C_Pavement!$A$5:$A$204&lt;=$B814)*(C_Pavement!$B$5:$B$204&gt;$B814)*(C_Pavement!$C$5:$C$204&lt;&gt;"")),ROW(C_Pavement!$C$5:$C$204)-4),"")</f>
        <v/>
      </c>
      <c r="AR814" t="str">
        <f>IF($AQ814="","",UPPER(TRIM(INDEX(C_Pavement!$C$5:$C$204,$AQ814))))</f>
        <v/>
      </c>
      <c r="AS814" t="str">
        <f>IF($AR814="","",IFERROR(MATCH($AR814,E_Rules!$A$5:$A$9,0),""))</f>
        <v/>
      </c>
      <c r="AT814" t="str">
        <f>IF($AQ814="","",IF(INDEX(C_Pavement!$D$5:$D$204,$AQ814)&lt;&gt;"",UPPER(TRIM(INDEX(C_Pavement!$D$5:$D$204,$AQ814))),IF($AS814="","",INDEX(E_Rules!$C$5:$C$9,$AS814))))</f>
        <v/>
      </c>
      <c r="AU814" t="str">
        <f>IF($AQ814="","",IF(INDEX(C_Pavement!$E$5:$E$204,$AQ814)&lt;&gt;"",IF(INDEX(C_Pavement!$E$5:$E$204,$AQ814)="-","",INDEX(C_Pavement!$E$5:$E$204,$AQ814)),IF($AS814="","",INDEX(E_Rules!$D$5:$D$9,$AS814))))</f>
        <v/>
      </c>
      <c r="AV814" t="str">
        <f>IF($AQ814="","",IF(INDEX(C_Pavement!$F$5:$F$204,$AQ814)&lt;&gt;"",IF(INDEX(C_Pavement!$F$5:$F$204,$AQ814)="-","",INDEX(C_Pavement!$F$5:$F$204,$AQ814)),IF($AS814="","",INDEX(E_Rules!$E$5:$E$9,$AS814))))</f>
        <v/>
      </c>
      <c r="AW814" t="str">
        <f>IF($AQ814="","",IF(INDEX(C_Pavement!$G$5:$G$204,$AQ814)&lt;&gt;"",IF(INDEX(C_Pavement!$G$5:$G$204,$AQ814)="-","",INDEX(C_Pavement!$G$5:$G$204,$AQ814)),IF($AS814="","",INDEX(E_Rules!$F$5:$F$9,$AS814))))</f>
        <v/>
      </c>
      <c r="AX814" t="str">
        <f>IF($AQ814="","",IF(INDEX(C_Pavement!$H$5:$H$204,$AQ814)&lt;&gt;"",IF(INDEX(C_Pavement!$H$5:$H$204,$AQ814)="-","",INDEX(C_Pavement!$H$5:$H$204,$AQ814)),IF($AS814="","",INDEX(E_Rules!$G$5:$G$9,$AS814))))</f>
        <v/>
      </c>
      <c r="AY814" t="str">
        <f>IF($AQ814="","",IF(INDEX(C_Pavement!$I$5:$I$204,$AQ814)&lt;&gt;"",IF(INDEX(C_Pavement!$I$5:$I$204,$AQ814)="-","",INDEX(C_Pavement!$I$5:$I$204,$AQ814)),IF($AS814="","",INDEX(E_Rules!$H$5:$H$9,$AS814))))</f>
        <v/>
      </c>
    </row>
    <row r="815" spans="1:51" ht="15.75" customHeight="1" x14ac:dyDescent="0.3">
      <c r="A815" s="189">
        <v>810</v>
      </c>
      <c r="B815" s="180">
        <v>40450</v>
      </c>
      <c r="C815" s="180" t="s">
        <v>1121</v>
      </c>
      <c r="D815" s="181" t="str">
        <f>IFERROR(LOOKUP(2,1/((A_Corridor!$A$5:$A$204&lt;&gt;"")*(A_Corridor!$A$5:$A$204&lt;=$B815)*(A_Corridor!$B$5:$B$204&gt;$B815)*(A_Corridor!$C$5:$C$204&lt;&gt;"")),IF(UPPER(A_Corridor!$C$5:$C$204)="Y",1,"")),"")</f>
        <v/>
      </c>
      <c r="E815" s="181" t="str">
        <f>IFERROR(LOOKUP(2,1/((A_Corridor!$A$5:$A$204&lt;&gt;"")*(A_Corridor!$A$5:$A$204&lt;=$B815)*(A_Corridor!$B$5:$B$204&gt;$B815)*(A_Corridor!$D$5:$D$204&lt;&gt;"")),IF(A_Corridor!$D$5:$D$204="-","",UPPER(A_Corridor!$D$5:$D$204))),"")</f>
        <v/>
      </c>
      <c r="F815" s="181" t="str">
        <f>IFERROR(LOOKUP(2,1/((A_Corridor!$A$5:$A$204&lt;&gt;"")*(A_Corridor!$A$5:$A$204&lt;=$B815)*(A_Corridor!$B$5:$B$204&gt;$B815)*(A_Corridor!$E$5:$E$204&lt;&gt;"")),IF(A_Corridor!$E$5:$E$204="-","",1)),"")</f>
        <v/>
      </c>
      <c r="G815" s="182" t="str">
        <f>IFERROR(LOOKUP(2,1/((A_Corridor!$A$5:$A$204&lt;&gt;"")*(A_Corridor!$A$5:$A$204&lt;=$B815)*(A_Corridor!$B$5:$B$204&gt;$B815)*(A_Corridor!$E$5:$E$204&lt;&gt;"")),IF(A_Corridor!$E$5:$E$204="-","",A_Corridor!$E$5:$E$204)),"")</f>
        <v/>
      </c>
      <c r="H815" s="182" t="str">
        <f>IFERROR(LOOKUP(2,1/((D_Points!$A$5:$A$204&lt;&gt;"")*(D_Points!$A$5:$A$204&gt;=$B815)*(D_Points!$A$5:$A$204&lt;$B815+P_Interval)*(UPPER(TRIM(D_Points!$B$5:$B$204))="GULLY")*(D_Points!$H$5:$H$204&lt;&gt;"")),D_Points!$H$5:$H$204),"")</f>
        <v/>
      </c>
      <c r="I815" s="181" t="str">
        <f>IFERROR(LOOKUP(2,1/((A_Corridor!$A$5:$A$204&lt;&gt;"")*(A_Corridor!$A$5:$A$204&lt;=$B815)*(A_Corridor!$B$5:$B$204&gt;$B815)*(A_Corridor!$F$5:$F$204&lt;&gt;"")),IF(A_Corridor!$F$5:$F$204="-","",1)),"")</f>
        <v/>
      </c>
      <c r="J815" s="182" t="str">
        <f>IFERROR(LOOKUP(2,1/((A_Corridor!$A$5:$A$204&lt;&gt;"")*(A_Corridor!$A$5:$A$204&lt;=$B815)*(A_Corridor!$B$5:$B$204&gt;$B815)*(A_Corridor!$F$5:$F$204&lt;&gt;"")),IF(A_Corridor!$F$5:$F$204="-","",A_Corridor!$F$5:$F$204)),"")</f>
        <v/>
      </c>
      <c r="K815" s="182" t="str">
        <f>IFERROR(LOOKUP(2,1/((A_Corridor!$A$5:$A$204&lt;&gt;"")*(A_Corridor!$A$5:$A$204&lt;=$B815)*(A_Corridor!$B$5:$B$204&gt;$B815)*(A_Corridor!$G$5:$G$204&lt;&gt;"")),IF(A_Corridor!$G$5:$G$204="-","",A_Corridor!$G$5:$G$204)),"")</f>
        <v/>
      </c>
      <c r="L815" s="181" t="str">
        <f>IFERROR(LOOKUP(2,1/((A_Corridor!$A$5:$A$204&lt;&gt;"")*(A_Corridor!$A$5:$A$204&lt;=$B815)*(A_Corridor!$B$5:$B$204&gt;$B815)*(A_Corridor!$H$5:$H$204&lt;&gt;"")),IF(A_Corridor!$H$5:$H$204="-","",1)),"")</f>
        <v/>
      </c>
      <c r="M815" s="182" t="str">
        <f>IFERROR(LOOKUP(2,1/((A_Corridor!$A$5:$A$204&lt;&gt;"")*(A_Corridor!$A$5:$A$204&lt;=$B815)*(A_Corridor!$B$5:$B$204&gt;$B815)*(A_Corridor!$H$5:$H$204&lt;&gt;"")),IF(A_Corridor!$H$5:$H$204="-","",A_Corridor!$H$5:$H$204)),"")</f>
        <v/>
      </c>
      <c r="N815" s="182" t="str">
        <f>IFERROR(LOOKUP(2,1/((A_Corridor!$A$5:$A$204&lt;&gt;"")*(A_Corridor!$A$5:$A$204&lt;=$B815)*(A_Corridor!$B$5:$B$204&gt;$B815)*(A_Corridor!$I$5:$I$204&lt;&gt;"")),IF(A_Corridor!$I$5:$I$204="-","",A_Corridor!$I$5:$I$204)),"")</f>
        <v/>
      </c>
      <c r="O815" s="182" t="str">
        <f>IFERROR(LOOKUP(2,1/((D_Points!$A$5:$A$204&lt;&gt;"")*(D_Points!$A$5:$A$204&gt;=$B815)*(D_Points!$A$5:$A$204&lt;$B815+P_Interval)*(UPPER(TRIM(D_Points!$B$5:$B$204))="PITCHING")*(D_Points!$H$5:$H$204&lt;&gt;"")),D_Points!$H$5:$H$204),"")</f>
        <v/>
      </c>
      <c r="P815" s="181" t="str">
        <f>IFERROR(LOOKUP(2,1/((B_Drainage!$A$5:$A$204&lt;&gt;"")*(B_Drainage!$A$5:$A$204&lt;=$B815)*(B_Drainage!$B$5:$B$204&gt;$B815)*(B_Drainage!$C$5:$C$204&lt;&gt;"")),IF(B_Drainage!$C$5:$C$204="-","",UPPER(B_Drainage!$C$5:$C$204))),"")</f>
        <v/>
      </c>
      <c r="Q815" s="181" t="str">
        <f>IFERROR(LOOKUP(2,1/((B_Drainage!$A$5:$A$204&lt;&gt;"")*(B_Drainage!$A$5:$A$204&lt;=$B815)*(B_Drainage!$B$5:$B$204&gt;$B815)*(B_Drainage!$D$5:$D$204&lt;&gt;"")),IF(B_Drainage!$D$5:$D$204="-","",UPPER(B_Drainage!$D$5:$D$204))),"")</f>
        <v/>
      </c>
      <c r="R815" s="182" t="str">
        <f>IFERROR(LOOKUP(2,1/((D_Points!$A$5:$A$204&lt;&gt;"")*(D_Points!$A$5:$A$204&gt;=$B815)*(D_Points!$A$5:$A$204&lt;$B815+P_Interval)*(RIGHT(UPPER(TRIM(D_Points!$B$5:$B$204)),8)="_CULVERT")),IF(LEFT(UPPER(TRIM(D_Points!$B$5:$B$204)),2)="EX",1,IF(LEFT(UPPER(TRIM(D_Points!$B$5:$B$204)),2)="PR",2,3))),"")</f>
        <v/>
      </c>
      <c r="S815" s="182" t="str">
        <f>IFERROR(LOOKUP(2,1/((D_Points!$A$5:$A$204&lt;&gt;"")*(D_Points!$A$5:$A$204&gt;=$B815)*(D_Points!$A$5:$A$204&lt;$B815+P_Interval)*(RIGHT(UPPER(TRIM(D_Points!$B$5:$B$204)),7)="_BRIDGE")),IF(LEFT(UPPER(TRIM(D_Points!$B$5:$B$204)),2)="EX",1,IF(LEFT(UPPER(TRIM(D_Points!$B$5:$B$204)),2)="PR",2,2))),"")</f>
        <v/>
      </c>
      <c r="T815" s="181" t="str">
        <f>IFERROR(LOOKUP(2,1/((B_Drainage!$A$5:$A$204&lt;&gt;"")*(B_Drainage!$A$5:$A$204&lt;=$B815)*(B_Drainage!$B$5:$B$204&gt;$B815)*(B_Drainage!$E$5:$E$204&lt;&gt;"")),IF(B_Drainage!$E$5:$E$204="-","",1)),"")</f>
        <v/>
      </c>
      <c r="U815" s="181" t="str">
        <f>IFERROR(LOOKUP(2,1/((B_Drainage!$A$5:$A$204&lt;&gt;"")*(B_Drainage!$A$5:$A$204&lt;=$B815)*(B_Drainage!$B$5:$B$204&gt;$B815)*(B_Drainage!$E$5:$E$204&lt;&gt;"")),IF(B_Drainage!$E$5:$E$204="-","",B_Drainage!$E$5:$E$204)),"")</f>
        <v/>
      </c>
      <c r="V815" s="181" t="str">
        <f>IFERROR(LOOKUP(2,1/((B_Drainage!$A$5:$A$204&lt;&gt;"")*(B_Drainage!$A$5:$A$204&lt;=$B815)*(B_Drainage!$B$5:$B$204&gt;$B815)*(B_Drainage!$F$5:$F$204&lt;&gt;"")),IF(B_Drainage!$F$5:$F$204="-","",1)),"")</f>
        <v/>
      </c>
      <c r="W815" s="181" t="str">
        <f>IFERROR(LOOKUP(2,1/((B_Drainage!$A$5:$A$204&lt;&gt;"")*(B_Drainage!$A$5:$A$204&lt;=$B815)*(B_Drainage!$B$5:$B$204&gt;$B815)*(B_Drainage!$F$5:$F$204&lt;&gt;"")),IF(B_Drainage!$F$5:$F$204="-","",B_Drainage!$F$5:$F$204)),"")</f>
        <v/>
      </c>
      <c r="X815" s="181" t="str">
        <f>IFERROR(LOOKUP(2,1/((B_Drainage!$A$5:$A$204&lt;&gt;"")*(B_Drainage!$A$5:$A$204&lt;=$B815)*(B_Drainage!$B$5:$B$204&gt;$B815)*(B_Drainage!$G$5:$G$204&lt;&gt;"")),IF(UPPER(B_Drainage!$G$5:$G$204)="Y",1,"")),"")</f>
        <v/>
      </c>
      <c r="Y815" s="181" t="str">
        <f>IFERROR(LOOKUP(2,1/((B_Drainage!$A$5:$A$204&lt;&gt;"")*(B_Drainage!$A$5:$A$204&lt;=$B815)*(B_Drainage!$B$5:$B$204&gt;$B815)*(B_Drainage!$H$5:$H$204&lt;&gt;"")),IF(UPPER(B_Drainage!$H$5:$H$204)="Y",1,"")),"")</f>
        <v/>
      </c>
      <c r="Z815" s="181" t="str">
        <f>IFERROR(LOOKUP(2,1/((B_Drainage!$A$5:$A$204&lt;&gt;"")*(B_Drainage!$A$5:$A$204&lt;=$B815)*(B_Drainage!$B$5:$B$204&gt;$B815)*(B_Drainage!$I$5:$I$204&lt;&gt;"")),IF(UPPER(B_Drainage!$I$5:$I$204)="Y",1,"")),"")</f>
        <v/>
      </c>
      <c r="AA815" s="181" t="str">
        <f>IFERROR(LOOKUP(2,1/((B_Drainage!$A$5:$A$204&lt;&gt;"")*(B_Drainage!$A$5:$A$204&lt;=$B815)*(B_Drainage!$B$5:$B$204&gt;$B815)*(B_Drainage!$J$5:$J$204&lt;&gt;"")),IF(UPPER(B_Drainage!$J$5:$J$204)="Y",1,"")),"")</f>
        <v/>
      </c>
      <c r="AB815" s="182" t="str">
        <f>IFERROR(LOOKUP(2,1/((B_Drainage!$A$5:$A$204&lt;&gt;"")*(B_Drainage!$A$5:$A$204&lt;=$B815)*(B_Drainage!$B$5:$B$204&gt;$B815)*(B_Drainage!$K$5:$K$204&lt;&gt;"")),IF(B_Drainage!$K$5:$K$204="-","",B_Drainage!$K$5:$K$204)),"")</f>
        <v/>
      </c>
      <c r="AC815" s="182" t="str">
        <f>IFERROR(LOOKUP(2,1/((B_Drainage!$A$5:$A$204&lt;&gt;"")*(B_Drainage!$A$5:$A$204&lt;=$B815)*(B_Drainage!$B$5:$B$204&gt;$B815)*(B_Drainage!$L$5:$L$204&lt;&gt;"")),IF(B_Drainage!$L$5:$L$204="-","",B_Drainage!$L$5:$L$204)),"")</f>
        <v/>
      </c>
      <c r="AD815" s="182" t="str">
        <f>IFERROR(LOOKUP(2,1/((D_Points!$A$5:$A$204&lt;&gt;"")*(D_Points!$A$5:$A$204&gt;=$B815)*(D_Points!$A$5:$A$204&lt;$B815+P_Interval)*(UPPER(TRIM(D_Points!$B$5:$B$204))="TURNOUT_L")*(D_Points!$H$5:$H$204&lt;&gt;"")),D_Points!$H$5:$H$204),"")</f>
        <v/>
      </c>
      <c r="AE815" s="182" t="str">
        <f>IFERROR(LOOKUP(2,1/((D_Points!$A$5:$A$204&lt;&gt;"")*(D_Points!$A$5:$A$204&gt;=$B815)*(D_Points!$A$5:$A$204&lt;$B815+P_Interval)*(UPPER(TRIM(D_Points!$B$5:$B$204))="TURNOUT_R")*(D_Points!$H$5:$H$204&lt;&gt;"")),D_Points!$H$5:$H$204),"")</f>
        <v/>
      </c>
      <c r="AF815" s="181" t="str">
        <f>IFERROR(LOOKUP(2,1/((B_Drainage!$A$5:$A$204&lt;&gt;"")*(B_Drainage!$A$5:$A$204&lt;=$B815)*(B_Drainage!$B$5:$B$204&gt;$B815)*(B_Drainage!$M$5:$M$204&lt;&gt;"")),IF(UPPER(B_Drainage!$M$5:$M$204)="Y",1,"")),"")</f>
        <v/>
      </c>
      <c r="AG815" s="181" t="str">
        <f>IFERROR(LOOKUP(2,1/((B_Drainage!$A$5:$A$204&lt;&gt;"")*(B_Drainage!$A$5:$A$204&lt;=$B815)*(B_Drainage!$B$5:$B$204&gt;$B815)*(B_Drainage!$N$5:$N$204&lt;&gt;"")),IF(UPPER(B_Drainage!$N$5:$N$204)="Y",1,"")),"")</f>
        <v/>
      </c>
      <c r="AH815" s="181" t="str">
        <f t="shared" si="96"/>
        <v/>
      </c>
      <c r="AI815" s="181" t="str">
        <f t="shared" si="97"/>
        <v/>
      </c>
      <c r="AJ815" s="181" t="str">
        <f t="shared" si="98"/>
        <v/>
      </c>
      <c r="AK815" s="181" t="str">
        <f t="shared" si="99"/>
        <v/>
      </c>
      <c r="AL815" s="181" t="str">
        <f t="shared" si="100"/>
        <v/>
      </c>
      <c r="AM815" s="181" t="str">
        <f t="shared" si="101"/>
        <v/>
      </c>
      <c r="AN815" s="181" t="str">
        <f t="shared" si="102"/>
        <v/>
      </c>
      <c r="AO815" s="192" t="str">
        <f t="shared" si="103"/>
        <v/>
      </c>
      <c r="AQ815" t="str">
        <f>IFERROR(LOOKUP(2,1/((C_Pavement!$A$5:$A$204&lt;&gt;"")*(C_Pavement!$A$5:$A$204&lt;=$B815)*(C_Pavement!$B$5:$B$204&gt;$B815)*(C_Pavement!$C$5:$C$204&lt;&gt;"")),ROW(C_Pavement!$C$5:$C$204)-4),"")</f>
        <v/>
      </c>
      <c r="AR815" t="str">
        <f>IF($AQ815="","",UPPER(TRIM(INDEX(C_Pavement!$C$5:$C$204,$AQ815))))</f>
        <v/>
      </c>
      <c r="AS815" t="str">
        <f>IF($AR815="","",IFERROR(MATCH($AR815,E_Rules!$A$5:$A$9,0),""))</f>
        <v/>
      </c>
      <c r="AT815" t="str">
        <f>IF($AQ815="","",IF(INDEX(C_Pavement!$D$5:$D$204,$AQ815)&lt;&gt;"",UPPER(TRIM(INDEX(C_Pavement!$D$5:$D$204,$AQ815))),IF($AS815="","",INDEX(E_Rules!$C$5:$C$9,$AS815))))</f>
        <v/>
      </c>
      <c r="AU815" t="str">
        <f>IF($AQ815="","",IF(INDEX(C_Pavement!$E$5:$E$204,$AQ815)&lt;&gt;"",IF(INDEX(C_Pavement!$E$5:$E$204,$AQ815)="-","",INDEX(C_Pavement!$E$5:$E$204,$AQ815)),IF($AS815="","",INDEX(E_Rules!$D$5:$D$9,$AS815))))</f>
        <v/>
      </c>
      <c r="AV815" t="str">
        <f>IF($AQ815="","",IF(INDEX(C_Pavement!$F$5:$F$204,$AQ815)&lt;&gt;"",IF(INDEX(C_Pavement!$F$5:$F$204,$AQ815)="-","",INDEX(C_Pavement!$F$5:$F$204,$AQ815)),IF($AS815="","",INDEX(E_Rules!$E$5:$E$9,$AS815))))</f>
        <v/>
      </c>
      <c r="AW815" t="str">
        <f>IF($AQ815="","",IF(INDEX(C_Pavement!$G$5:$G$204,$AQ815)&lt;&gt;"",IF(INDEX(C_Pavement!$G$5:$G$204,$AQ815)="-","",INDEX(C_Pavement!$G$5:$G$204,$AQ815)),IF($AS815="","",INDEX(E_Rules!$F$5:$F$9,$AS815))))</f>
        <v/>
      </c>
      <c r="AX815" t="str">
        <f>IF($AQ815="","",IF(INDEX(C_Pavement!$H$5:$H$204,$AQ815)&lt;&gt;"",IF(INDEX(C_Pavement!$H$5:$H$204,$AQ815)="-","",INDEX(C_Pavement!$H$5:$H$204,$AQ815)),IF($AS815="","",INDEX(E_Rules!$G$5:$G$9,$AS815))))</f>
        <v/>
      </c>
      <c r="AY815" t="str">
        <f>IF($AQ815="","",IF(INDEX(C_Pavement!$I$5:$I$204,$AQ815)&lt;&gt;"",IF(INDEX(C_Pavement!$I$5:$I$204,$AQ815)="-","",INDEX(C_Pavement!$I$5:$I$204,$AQ815)),IF($AS815="","",INDEX(E_Rules!$H$5:$H$9,$AS815))))</f>
        <v/>
      </c>
    </row>
    <row r="816" spans="1:51" ht="15.75" customHeight="1" x14ac:dyDescent="0.3">
      <c r="A816" s="189">
        <v>811</v>
      </c>
      <c r="B816" s="180">
        <v>40500</v>
      </c>
      <c r="C816" s="180" t="s">
        <v>1122</v>
      </c>
      <c r="D816" s="181" t="str">
        <f>IFERROR(LOOKUP(2,1/((A_Corridor!$A$5:$A$204&lt;&gt;"")*(A_Corridor!$A$5:$A$204&lt;=$B816)*(A_Corridor!$B$5:$B$204&gt;$B816)*(A_Corridor!$C$5:$C$204&lt;&gt;"")),IF(UPPER(A_Corridor!$C$5:$C$204)="Y",1,"")),"")</f>
        <v/>
      </c>
      <c r="E816" s="181" t="str">
        <f>IFERROR(LOOKUP(2,1/((A_Corridor!$A$5:$A$204&lt;&gt;"")*(A_Corridor!$A$5:$A$204&lt;=$B816)*(A_Corridor!$B$5:$B$204&gt;$B816)*(A_Corridor!$D$5:$D$204&lt;&gt;"")),IF(A_Corridor!$D$5:$D$204="-","",UPPER(A_Corridor!$D$5:$D$204))),"")</f>
        <v/>
      </c>
      <c r="F816" s="181" t="str">
        <f>IFERROR(LOOKUP(2,1/((A_Corridor!$A$5:$A$204&lt;&gt;"")*(A_Corridor!$A$5:$A$204&lt;=$B816)*(A_Corridor!$B$5:$B$204&gt;$B816)*(A_Corridor!$E$5:$E$204&lt;&gt;"")),IF(A_Corridor!$E$5:$E$204="-","",1)),"")</f>
        <v/>
      </c>
      <c r="G816" s="182" t="str">
        <f>IFERROR(LOOKUP(2,1/((A_Corridor!$A$5:$A$204&lt;&gt;"")*(A_Corridor!$A$5:$A$204&lt;=$B816)*(A_Corridor!$B$5:$B$204&gt;$B816)*(A_Corridor!$E$5:$E$204&lt;&gt;"")),IF(A_Corridor!$E$5:$E$204="-","",A_Corridor!$E$5:$E$204)),"")</f>
        <v/>
      </c>
      <c r="H816" s="182" t="str">
        <f>IFERROR(LOOKUP(2,1/((D_Points!$A$5:$A$204&lt;&gt;"")*(D_Points!$A$5:$A$204&gt;=$B816)*(D_Points!$A$5:$A$204&lt;$B816+P_Interval)*(UPPER(TRIM(D_Points!$B$5:$B$204))="GULLY")*(D_Points!$H$5:$H$204&lt;&gt;"")),D_Points!$H$5:$H$204),"")</f>
        <v/>
      </c>
      <c r="I816" s="181" t="str">
        <f>IFERROR(LOOKUP(2,1/((A_Corridor!$A$5:$A$204&lt;&gt;"")*(A_Corridor!$A$5:$A$204&lt;=$B816)*(A_Corridor!$B$5:$B$204&gt;$B816)*(A_Corridor!$F$5:$F$204&lt;&gt;"")),IF(A_Corridor!$F$5:$F$204="-","",1)),"")</f>
        <v/>
      </c>
      <c r="J816" s="182" t="str">
        <f>IFERROR(LOOKUP(2,1/((A_Corridor!$A$5:$A$204&lt;&gt;"")*(A_Corridor!$A$5:$A$204&lt;=$B816)*(A_Corridor!$B$5:$B$204&gt;$B816)*(A_Corridor!$F$5:$F$204&lt;&gt;"")),IF(A_Corridor!$F$5:$F$204="-","",A_Corridor!$F$5:$F$204)),"")</f>
        <v/>
      </c>
      <c r="K816" s="182" t="str">
        <f>IFERROR(LOOKUP(2,1/((A_Corridor!$A$5:$A$204&lt;&gt;"")*(A_Corridor!$A$5:$A$204&lt;=$B816)*(A_Corridor!$B$5:$B$204&gt;$B816)*(A_Corridor!$G$5:$G$204&lt;&gt;"")),IF(A_Corridor!$G$5:$G$204="-","",A_Corridor!$G$5:$G$204)),"")</f>
        <v/>
      </c>
      <c r="L816" s="181" t="str">
        <f>IFERROR(LOOKUP(2,1/((A_Corridor!$A$5:$A$204&lt;&gt;"")*(A_Corridor!$A$5:$A$204&lt;=$B816)*(A_Corridor!$B$5:$B$204&gt;$B816)*(A_Corridor!$H$5:$H$204&lt;&gt;"")),IF(A_Corridor!$H$5:$H$204="-","",1)),"")</f>
        <v/>
      </c>
      <c r="M816" s="182" t="str">
        <f>IFERROR(LOOKUP(2,1/((A_Corridor!$A$5:$A$204&lt;&gt;"")*(A_Corridor!$A$5:$A$204&lt;=$B816)*(A_Corridor!$B$5:$B$204&gt;$B816)*(A_Corridor!$H$5:$H$204&lt;&gt;"")),IF(A_Corridor!$H$5:$H$204="-","",A_Corridor!$H$5:$H$204)),"")</f>
        <v/>
      </c>
      <c r="N816" s="182" t="str">
        <f>IFERROR(LOOKUP(2,1/((A_Corridor!$A$5:$A$204&lt;&gt;"")*(A_Corridor!$A$5:$A$204&lt;=$B816)*(A_Corridor!$B$5:$B$204&gt;$B816)*(A_Corridor!$I$5:$I$204&lt;&gt;"")),IF(A_Corridor!$I$5:$I$204="-","",A_Corridor!$I$5:$I$204)),"")</f>
        <v/>
      </c>
      <c r="O816" s="182" t="str">
        <f>IFERROR(LOOKUP(2,1/((D_Points!$A$5:$A$204&lt;&gt;"")*(D_Points!$A$5:$A$204&gt;=$B816)*(D_Points!$A$5:$A$204&lt;$B816+P_Interval)*(UPPER(TRIM(D_Points!$B$5:$B$204))="PITCHING")*(D_Points!$H$5:$H$204&lt;&gt;"")),D_Points!$H$5:$H$204),"")</f>
        <v/>
      </c>
      <c r="P816" s="181" t="str">
        <f>IFERROR(LOOKUP(2,1/((B_Drainage!$A$5:$A$204&lt;&gt;"")*(B_Drainage!$A$5:$A$204&lt;=$B816)*(B_Drainage!$B$5:$B$204&gt;$B816)*(B_Drainage!$C$5:$C$204&lt;&gt;"")),IF(B_Drainage!$C$5:$C$204="-","",UPPER(B_Drainage!$C$5:$C$204))),"")</f>
        <v/>
      </c>
      <c r="Q816" s="181" t="str">
        <f>IFERROR(LOOKUP(2,1/((B_Drainage!$A$5:$A$204&lt;&gt;"")*(B_Drainage!$A$5:$A$204&lt;=$B816)*(B_Drainage!$B$5:$B$204&gt;$B816)*(B_Drainage!$D$5:$D$204&lt;&gt;"")),IF(B_Drainage!$D$5:$D$204="-","",UPPER(B_Drainage!$D$5:$D$204))),"")</f>
        <v/>
      </c>
      <c r="R816" s="182" t="str">
        <f>IFERROR(LOOKUP(2,1/((D_Points!$A$5:$A$204&lt;&gt;"")*(D_Points!$A$5:$A$204&gt;=$B816)*(D_Points!$A$5:$A$204&lt;$B816+P_Interval)*(RIGHT(UPPER(TRIM(D_Points!$B$5:$B$204)),8)="_CULVERT")),IF(LEFT(UPPER(TRIM(D_Points!$B$5:$B$204)),2)="EX",1,IF(LEFT(UPPER(TRIM(D_Points!$B$5:$B$204)),2)="PR",2,3))),"")</f>
        <v/>
      </c>
      <c r="S816" s="182" t="str">
        <f>IFERROR(LOOKUP(2,1/((D_Points!$A$5:$A$204&lt;&gt;"")*(D_Points!$A$5:$A$204&gt;=$B816)*(D_Points!$A$5:$A$204&lt;$B816+P_Interval)*(RIGHT(UPPER(TRIM(D_Points!$B$5:$B$204)),7)="_BRIDGE")),IF(LEFT(UPPER(TRIM(D_Points!$B$5:$B$204)),2)="EX",1,IF(LEFT(UPPER(TRIM(D_Points!$B$5:$B$204)),2)="PR",2,2))),"")</f>
        <v/>
      </c>
      <c r="T816" s="181" t="str">
        <f>IFERROR(LOOKUP(2,1/((B_Drainage!$A$5:$A$204&lt;&gt;"")*(B_Drainage!$A$5:$A$204&lt;=$B816)*(B_Drainage!$B$5:$B$204&gt;$B816)*(B_Drainage!$E$5:$E$204&lt;&gt;"")),IF(B_Drainage!$E$5:$E$204="-","",1)),"")</f>
        <v/>
      </c>
      <c r="U816" s="181" t="str">
        <f>IFERROR(LOOKUP(2,1/((B_Drainage!$A$5:$A$204&lt;&gt;"")*(B_Drainage!$A$5:$A$204&lt;=$B816)*(B_Drainage!$B$5:$B$204&gt;$B816)*(B_Drainage!$E$5:$E$204&lt;&gt;"")),IF(B_Drainage!$E$5:$E$204="-","",B_Drainage!$E$5:$E$204)),"")</f>
        <v/>
      </c>
      <c r="V816" s="181" t="str">
        <f>IFERROR(LOOKUP(2,1/((B_Drainage!$A$5:$A$204&lt;&gt;"")*(B_Drainage!$A$5:$A$204&lt;=$B816)*(B_Drainage!$B$5:$B$204&gt;$B816)*(B_Drainage!$F$5:$F$204&lt;&gt;"")),IF(B_Drainage!$F$5:$F$204="-","",1)),"")</f>
        <v/>
      </c>
      <c r="W816" s="181" t="str">
        <f>IFERROR(LOOKUP(2,1/((B_Drainage!$A$5:$A$204&lt;&gt;"")*(B_Drainage!$A$5:$A$204&lt;=$B816)*(B_Drainage!$B$5:$B$204&gt;$B816)*(B_Drainage!$F$5:$F$204&lt;&gt;"")),IF(B_Drainage!$F$5:$F$204="-","",B_Drainage!$F$5:$F$204)),"")</f>
        <v/>
      </c>
      <c r="X816" s="181" t="str">
        <f>IFERROR(LOOKUP(2,1/((B_Drainage!$A$5:$A$204&lt;&gt;"")*(B_Drainage!$A$5:$A$204&lt;=$B816)*(B_Drainage!$B$5:$B$204&gt;$B816)*(B_Drainage!$G$5:$G$204&lt;&gt;"")),IF(UPPER(B_Drainage!$G$5:$G$204)="Y",1,"")),"")</f>
        <v/>
      </c>
      <c r="Y816" s="181" t="str">
        <f>IFERROR(LOOKUP(2,1/((B_Drainage!$A$5:$A$204&lt;&gt;"")*(B_Drainage!$A$5:$A$204&lt;=$B816)*(B_Drainage!$B$5:$B$204&gt;$B816)*(B_Drainage!$H$5:$H$204&lt;&gt;"")),IF(UPPER(B_Drainage!$H$5:$H$204)="Y",1,"")),"")</f>
        <v/>
      </c>
      <c r="Z816" s="181" t="str">
        <f>IFERROR(LOOKUP(2,1/((B_Drainage!$A$5:$A$204&lt;&gt;"")*(B_Drainage!$A$5:$A$204&lt;=$B816)*(B_Drainage!$B$5:$B$204&gt;$B816)*(B_Drainage!$I$5:$I$204&lt;&gt;"")),IF(UPPER(B_Drainage!$I$5:$I$204)="Y",1,"")),"")</f>
        <v/>
      </c>
      <c r="AA816" s="181" t="str">
        <f>IFERROR(LOOKUP(2,1/((B_Drainage!$A$5:$A$204&lt;&gt;"")*(B_Drainage!$A$5:$A$204&lt;=$B816)*(B_Drainage!$B$5:$B$204&gt;$B816)*(B_Drainage!$J$5:$J$204&lt;&gt;"")),IF(UPPER(B_Drainage!$J$5:$J$204)="Y",1,"")),"")</f>
        <v/>
      </c>
      <c r="AB816" s="182" t="str">
        <f>IFERROR(LOOKUP(2,1/((B_Drainage!$A$5:$A$204&lt;&gt;"")*(B_Drainage!$A$5:$A$204&lt;=$B816)*(B_Drainage!$B$5:$B$204&gt;$B816)*(B_Drainage!$K$5:$K$204&lt;&gt;"")),IF(B_Drainage!$K$5:$K$204="-","",B_Drainage!$K$5:$K$204)),"")</f>
        <v/>
      </c>
      <c r="AC816" s="182" t="str">
        <f>IFERROR(LOOKUP(2,1/((B_Drainage!$A$5:$A$204&lt;&gt;"")*(B_Drainage!$A$5:$A$204&lt;=$B816)*(B_Drainage!$B$5:$B$204&gt;$B816)*(B_Drainage!$L$5:$L$204&lt;&gt;"")),IF(B_Drainage!$L$5:$L$204="-","",B_Drainage!$L$5:$L$204)),"")</f>
        <v/>
      </c>
      <c r="AD816" s="182" t="str">
        <f>IFERROR(LOOKUP(2,1/((D_Points!$A$5:$A$204&lt;&gt;"")*(D_Points!$A$5:$A$204&gt;=$B816)*(D_Points!$A$5:$A$204&lt;$B816+P_Interval)*(UPPER(TRIM(D_Points!$B$5:$B$204))="TURNOUT_L")*(D_Points!$H$5:$H$204&lt;&gt;"")),D_Points!$H$5:$H$204),"")</f>
        <v/>
      </c>
      <c r="AE816" s="182" t="str">
        <f>IFERROR(LOOKUP(2,1/((D_Points!$A$5:$A$204&lt;&gt;"")*(D_Points!$A$5:$A$204&gt;=$B816)*(D_Points!$A$5:$A$204&lt;$B816+P_Interval)*(UPPER(TRIM(D_Points!$B$5:$B$204))="TURNOUT_R")*(D_Points!$H$5:$H$204&lt;&gt;"")),D_Points!$H$5:$H$204),"")</f>
        <v/>
      </c>
      <c r="AF816" s="181" t="str">
        <f>IFERROR(LOOKUP(2,1/((B_Drainage!$A$5:$A$204&lt;&gt;"")*(B_Drainage!$A$5:$A$204&lt;=$B816)*(B_Drainage!$B$5:$B$204&gt;$B816)*(B_Drainage!$M$5:$M$204&lt;&gt;"")),IF(UPPER(B_Drainage!$M$5:$M$204)="Y",1,"")),"")</f>
        <v/>
      </c>
      <c r="AG816" s="181" t="str">
        <f>IFERROR(LOOKUP(2,1/((B_Drainage!$A$5:$A$204&lt;&gt;"")*(B_Drainage!$A$5:$A$204&lt;=$B816)*(B_Drainage!$B$5:$B$204&gt;$B816)*(B_Drainage!$N$5:$N$204&lt;&gt;"")),IF(UPPER(B_Drainage!$N$5:$N$204)="Y",1,"")),"")</f>
        <v/>
      </c>
      <c r="AH816" s="181" t="str">
        <f t="shared" si="96"/>
        <v/>
      </c>
      <c r="AI816" s="181" t="str">
        <f t="shared" si="97"/>
        <v/>
      </c>
      <c r="AJ816" s="181" t="str">
        <f t="shared" si="98"/>
        <v/>
      </c>
      <c r="AK816" s="181" t="str">
        <f t="shared" si="99"/>
        <v/>
      </c>
      <c r="AL816" s="181" t="str">
        <f t="shared" si="100"/>
        <v/>
      </c>
      <c r="AM816" s="181" t="str">
        <f t="shared" si="101"/>
        <v/>
      </c>
      <c r="AN816" s="181" t="str">
        <f t="shared" si="102"/>
        <v/>
      </c>
      <c r="AO816" s="192" t="str">
        <f t="shared" si="103"/>
        <v/>
      </c>
      <c r="AQ816" t="str">
        <f>IFERROR(LOOKUP(2,1/((C_Pavement!$A$5:$A$204&lt;&gt;"")*(C_Pavement!$A$5:$A$204&lt;=$B816)*(C_Pavement!$B$5:$B$204&gt;$B816)*(C_Pavement!$C$5:$C$204&lt;&gt;"")),ROW(C_Pavement!$C$5:$C$204)-4),"")</f>
        <v/>
      </c>
      <c r="AR816" t="str">
        <f>IF($AQ816="","",UPPER(TRIM(INDEX(C_Pavement!$C$5:$C$204,$AQ816))))</f>
        <v/>
      </c>
      <c r="AS816" t="str">
        <f>IF($AR816="","",IFERROR(MATCH($AR816,E_Rules!$A$5:$A$9,0),""))</f>
        <v/>
      </c>
      <c r="AT816" t="str">
        <f>IF($AQ816="","",IF(INDEX(C_Pavement!$D$5:$D$204,$AQ816)&lt;&gt;"",UPPER(TRIM(INDEX(C_Pavement!$D$5:$D$204,$AQ816))),IF($AS816="","",INDEX(E_Rules!$C$5:$C$9,$AS816))))</f>
        <v/>
      </c>
      <c r="AU816" t="str">
        <f>IF($AQ816="","",IF(INDEX(C_Pavement!$E$5:$E$204,$AQ816)&lt;&gt;"",IF(INDEX(C_Pavement!$E$5:$E$204,$AQ816)="-","",INDEX(C_Pavement!$E$5:$E$204,$AQ816)),IF($AS816="","",INDEX(E_Rules!$D$5:$D$9,$AS816))))</f>
        <v/>
      </c>
      <c r="AV816" t="str">
        <f>IF($AQ816="","",IF(INDEX(C_Pavement!$F$5:$F$204,$AQ816)&lt;&gt;"",IF(INDEX(C_Pavement!$F$5:$F$204,$AQ816)="-","",INDEX(C_Pavement!$F$5:$F$204,$AQ816)),IF($AS816="","",INDEX(E_Rules!$E$5:$E$9,$AS816))))</f>
        <v/>
      </c>
      <c r="AW816" t="str">
        <f>IF($AQ816="","",IF(INDEX(C_Pavement!$G$5:$G$204,$AQ816)&lt;&gt;"",IF(INDEX(C_Pavement!$G$5:$G$204,$AQ816)="-","",INDEX(C_Pavement!$G$5:$G$204,$AQ816)),IF($AS816="","",INDEX(E_Rules!$F$5:$F$9,$AS816))))</f>
        <v/>
      </c>
      <c r="AX816" t="str">
        <f>IF($AQ816="","",IF(INDEX(C_Pavement!$H$5:$H$204,$AQ816)&lt;&gt;"",IF(INDEX(C_Pavement!$H$5:$H$204,$AQ816)="-","",INDEX(C_Pavement!$H$5:$H$204,$AQ816)),IF($AS816="","",INDEX(E_Rules!$G$5:$G$9,$AS816))))</f>
        <v/>
      </c>
      <c r="AY816" t="str">
        <f>IF($AQ816="","",IF(INDEX(C_Pavement!$I$5:$I$204,$AQ816)&lt;&gt;"",IF(INDEX(C_Pavement!$I$5:$I$204,$AQ816)="-","",INDEX(C_Pavement!$I$5:$I$204,$AQ816)),IF($AS816="","",INDEX(E_Rules!$H$5:$H$9,$AS816))))</f>
        <v/>
      </c>
    </row>
    <row r="817" spans="1:51" ht="15.75" customHeight="1" x14ac:dyDescent="0.3">
      <c r="A817" s="189">
        <v>812</v>
      </c>
      <c r="B817" s="180">
        <v>40550</v>
      </c>
      <c r="C817" s="180" t="s">
        <v>1123</v>
      </c>
      <c r="D817" s="181" t="str">
        <f>IFERROR(LOOKUP(2,1/((A_Corridor!$A$5:$A$204&lt;&gt;"")*(A_Corridor!$A$5:$A$204&lt;=$B817)*(A_Corridor!$B$5:$B$204&gt;$B817)*(A_Corridor!$C$5:$C$204&lt;&gt;"")),IF(UPPER(A_Corridor!$C$5:$C$204)="Y",1,"")),"")</f>
        <v/>
      </c>
      <c r="E817" s="181" t="str">
        <f>IFERROR(LOOKUP(2,1/((A_Corridor!$A$5:$A$204&lt;&gt;"")*(A_Corridor!$A$5:$A$204&lt;=$B817)*(A_Corridor!$B$5:$B$204&gt;$B817)*(A_Corridor!$D$5:$D$204&lt;&gt;"")),IF(A_Corridor!$D$5:$D$204="-","",UPPER(A_Corridor!$D$5:$D$204))),"")</f>
        <v/>
      </c>
      <c r="F817" s="181" t="str">
        <f>IFERROR(LOOKUP(2,1/((A_Corridor!$A$5:$A$204&lt;&gt;"")*(A_Corridor!$A$5:$A$204&lt;=$B817)*(A_Corridor!$B$5:$B$204&gt;$B817)*(A_Corridor!$E$5:$E$204&lt;&gt;"")),IF(A_Corridor!$E$5:$E$204="-","",1)),"")</f>
        <v/>
      </c>
      <c r="G817" s="182" t="str">
        <f>IFERROR(LOOKUP(2,1/((A_Corridor!$A$5:$A$204&lt;&gt;"")*(A_Corridor!$A$5:$A$204&lt;=$B817)*(A_Corridor!$B$5:$B$204&gt;$B817)*(A_Corridor!$E$5:$E$204&lt;&gt;"")),IF(A_Corridor!$E$5:$E$204="-","",A_Corridor!$E$5:$E$204)),"")</f>
        <v/>
      </c>
      <c r="H817" s="182" t="str">
        <f>IFERROR(LOOKUP(2,1/((D_Points!$A$5:$A$204&lt;&gt;"")*(D_Points!$A$5:$A$204&gt;=$B817)*(D_Points!$A$5:$A$204&lt;$B817+P_Interval)*(UPPER(TRIM(D_Points!$B$5:$B$204))="GULLY")*(D_Points!$H$5:$H$204&lt;&gt;"")),D_Points!$H$5:$H$204),"")</f>
        <v/>
      </c>
      <c r="I817" s="181" t="str">
        <f>IFERROR(LOOKUP(2,1/((A_Corridor!$A$5:$A$204&lt;&gt;"")*(A_Corridor!$A$5:$A$204&lt;=$B817)*(A_Corridor!$B$5:$B$204&gt;$B817)*(A_Corridor!$F$5:$F$204&lt;&gt;"")),IF(A_Corridor!$F$5:$F$204="-","",1)),"")</f>
        <v/>
      </c>
      <c r="J817" s="182" t="str">
        <f>IFERROR(LOOKUP(2,1/((A_Corridor!$A$5:$A$204&lt;&gt;"")*(A_Corridor!$A$5:$A$204&lt;=$B817)*(A_Corridor!$B$5:$B$204&gt;$B817)*(A_Corridor!$F$5:$F$204&lt;&gt;"")),IF(A_Corridor!$F$5:$F$204="-","",A_Corridor!$F$5:$F$204)),"")</f>
        <v/>
      </c>
      <c r="K817" s="182" t="str">
        <f>IFERROR(LOOKUP(2,1/((A_Corridor!$A$5:$A$204&lt;&gt;"")*(A_Corridor!$A$5:$A$204&lt;=$B817)*(A_Corridor!$B$5:$B$204&gt;$B817)*(A_Corridor!$G$5:$G$204&lt;&gt;"")),IF(A_Corridor!$G$5:$G$204="-","",A_Corridor!$G$5:$G$204)),"")</f>
        <v/>
      </c>
      <c r="L817" s="181" t="str">
        <f>IFERROR(LOOKUP(2,1/((A_Corridor!$A$5:$A$204&lt;&gt;"")*(A_Corridor!$A$5:$A$204&lt;=$B817)*(A_Corridor!$B$5:$B$204&gt;$B817)*(A_Corridor!$H$5:$H$204&lt;&gt;"")),IF(A_Corridor!$H$5:$H$204="-","",1)),"")</f>
        <v/>
      </c>
      <c r="M817" s="182" t="str">
        <f>IFERROR(LOOKUP(2,1/((A_Corridor!$A$5:$A$204&lt;&gt;"")*(A_Corridor!$A$5:$A$204&lt;=$B817)*(A_Corridor!$B$5:$B$204&gt;$B817)*(A_Corridor!$H$5:$H$204&lt;&gt;"")),IF(A_Corridor!$H$5:$H$204="-","",A_Corridor!$H$5:$H$204)),"")</f>
        <v/>
      </c>
      <c r="N817" s="182" t="str">
        <f>IFERROR(LOOKUP(2,1/((A_Corridor!$A$5:$A$204&lt;&gt;"")*(A_Corridor!$A$5:$A$204&lt;=$B817)*(A_Corridor!$B$5:$B$204&gt;$B817)*(A_Corridor!$I$5:$I$204&lt;&gt;"")),IF(A_Corridor!$I$5:$I$204="-","",A_Corridor!$I$5:$I$204)),"")</f>
        <v/>
      </c>
      <c r="O817" s="182" t="str">
        <f>IFERROR(LOOKUP(2,1/((D_Points!$A$5:$A$204&lt;&gt;"")*(D_Points!$A$5:$A$204&gt;=$B817)*(D_Points!$A$5:$A$204&lt;$B817+P_Interval)*(UPPER(TRIM(D_Points!$B$5:$B$204))="PITCHING")*(D_Points!$H$5:$H$204&lt;&gt;"")),D_Points!$H$5:$H$204),"")</f>
        <v/>
      </c>
      <c r="P817" s="181" t="str">
        <f>IFERROR(LOOKUP(2,1/((B_Drainage!$A$5:$A$204&lt;&gt;"")*(B_Drainage!$A$5:$A$204&lt;=$B817)*(B_Drainage!$B$5:$B$204&gt;$B817)*(B_Drainage!$C$5:$C$204&lt;&gt;"")),IF(B_Drainage!$C$5:$C$204="-","",UPPER(B_Drainage!$C$5:$C$204))),"")</f>
        <v/>
      </c>
      <c r="Q817" s="181" t="str">
        <f>IFERROR(LOOKUP(2,1/((B_Drainage!$A$5:$A$204&lt;&gt;"")*(B_Drainage!$A$5:$A$204&lt;=$B817)*(B_Drainage!$B$5:$B$204&gt;$B817)*(B_Drainage!$D$5:$D$204&lt;&gt;"")),IF(B_Drainage!$D$5:$D$204="-","",UPPER(B_Drainage!$D$5:$D$204))),"")</f>
        <v/>
      </c>
      <c r="R817" s="182" t="str">
        <f>IFERROR(LOOKUP(2,1/((D_Points!$A$5:$A$204&lt;&gt;"")*(D_Points!$A$5:$A$204&gt;=$B817)*(D_Points!$A$5:$A$204&lt;$B817+P_Interval)*(RIGHT(UPPER(TRIM(D_Points!$B$5:$B$204)),8)="_CULVERT")),IF(LEFT(UPPER(TRIM(D_Points!$B$5:$B$204)),2)="EX",1,IF(LEFT(UPPER(TRIM(D_Points!$B$5:$B$204)),2)="PR",2,3))),"")</f>
        <v/>
      </c>
      <c r="S817" s="182" t="str">
        <f>IFERROR(LOOKUP(2,1/((D_Points!$A$5:$A$204&lt;&gt;"")*(D_Points!$A$5:$A$204&gt;=$B817)*(D_Points!$A$5:$A$204&lt;$B817+P_Interval)*(RIGHT(UPPER(TRIM(D_Points!$B$5:$B$204)),7)="_BRIDGE")),IF(LEFT(UPPER(TRIM(D_Points!$B$5:$B$204)),2)="EX",1,IF(LEFT(UPPER(TRIM(D_Points!$B$5:$B$204)),2)="PR",2,2))),"")</f>
        <v/>
      </c>
      <c r="T817" s="181" t="str">
        <f>IFERROR(LOOKUP(2,1/((B_Drainage!$A$5:$A$204&lt;&gt;"")*(B_Drainage!$A$5:$A$204&lt;=$B817)*(B_Drainage!$B$5:$B$204&gt;$B817)*(B_Drainage!$E$5:$E$204&lt;&gt;"")),IF(B_Drainage!$E$5:$E$204="-","",1)),"")</f>
        <v/>
      </c>
      <c r="U817" s="181" t="str">
        <f>IFERROR(LOOKUP(2,1/((B_Drainage!$A$5:$A$204&lt;&gt;"")*(B_Drainage!$A$5:$A$204&lt;=$B817)*(B_Drainage!$B$5:$B$204&gt;$B817)*(B_Drainage!$E$5:$E$204&lt;&gt;"")),IF(B_Drainage!$E$5:$E$204="-","",B_Drainage!$E$5:$E$204)),"")</f>
        <v/>
      </c>
      <c r="V817" s="181" t="str">
        <f>IFERROR(LOOKUP(2,1/((B_Drainage!$A$5:$A$204&lt;&gt;"")*(B_Drainage!$A$5:$A$204&lt;=$B817)*(B_Drainage!$B$5:$B$204&gt;$B817)*(B_Drainage!$F$5:$F$204&lt;&gt;"")),IF(B_Drainage!$F$5:$F$204="-","",1)),"")</f>
        <v/>
      </c>
      <c r="W817" s="181" t="str">
        <f>IFERROR(LOOKUP(2,1/((B_Drainage!$A$5:$A$204&lt;&gt;"")*(B_Drainage!$A$5:$A$204&lt;=$B817)*(B_Drainage!$B$5:$B$204&gt;$B817)*(B_Drainage!$F$5:$F$204&lt;&gt;"")),IF(B_Drainage!$F$5:$F$204="-","",B_Drainage!$F$5:$F$204)),"")</f>
        <v/>
      </c>
      <c r="X817" s="181" t="str">
        <f>IFERROR(LOOKUP(2,1/((B_Drainage!$A$5:$A$204&lt;&gt;"")*(B_Drainage!$A$5:$A$204&lt;=$B817)*(B_Drainage!$B$5:$B$204&gt;$B817)*(B_Drainage!$G$5:$G$204&lt;&gt;"")),IF(UPPER(B_Drainage!$G$5:$G$204)="Y",1,"")),"")</f>
        <v/>
      </c>
      <c r="Y817" s="181" t="str">
        <f>IFERROR(LOOKUP(2,1/((B_Drainage!$A$5:$A$204&lt;&gt;"")*(B_Drainage!$A$5:$A$204&lt;=$B817)*(B_Drainage!$B$5:$B$204&gt;$B817)*(B_Drainage!$H$5:$H$204&lt;&gt;"")),IF(UPPER(B_Drainage!$H$5:$H$204)="Y",1,"")),"")</f>
        <v/>
      </c>
      <c r="Z817" s="181" t="str">
        <f>IFERROR(LOOKUP(2,1/((B_Drainage!$A$5:$A$204&lt;&gt;"")*(B_Drainage!$A$5:$A$204&lt;=$B817)*(B_Drainage!$B$5:$B$204&gt;$B817)*(B_Drainage!$I$5:$I$204&lt;&gt;"")),IF(UPPER(B_Drainage!$I$5:$I$204)="Y",1,"")),"")</f>
        <v/>
      </c>
      <c r="AA817" s="181" t="str">
        <f>IFERROR(LOOKUP(2,1/((B_Drainage!$A$5:$A$204&lt;&gt;"")*(B_Drainage!$A$5:$A$204&lt;=$B817)*(B_Drainage!$B$5:$B$204&gt;$B817)*(B_Drainage!$J$5:$J$204&lt;&gt;"")),IF(UPPER(B_Drainage!$J$5:$J$204)="Y",1,"")),"")</f>
        <v/>
      </c>
      <c r="AB817" s="182" t="str">
        <f>IFERROR(LOOKUP(2,1/((B_Drainage!$A$5:$A$204&lt;&gt;"")*(B_Drainage!$A$5:$A$204&lt;=$B817)*(B_Drainage!$B$5:$B$204&gt;$B817)*(B_Drainage!$K$5:$K$204&lt;&gt;"")),IF(B_Drainage!$K$5:$K$204="-","",B_Drainage!$K$5:$K$204)),"")</f>
        <v/>
      </c>
      <c r="AC817" s="182" t="str">
        <f>IFERROR(LOOKUP(2,1/((B_Drainage!$A$5:$A$204&lt;&gt;"")*(B_Drainage!$A$5:$A$204&lt;=$B817)*(B_Drainage!$B$5:$B$204&gt;$B817)*(B_Drainage!$L$5:$L$204&lt;&gt;"")),IF(B_Drainage!$L$5:$L$204="-","",B_Drainage!$L$5:$L$204)),"")</f>
        <v/>
      </c>
      <c r="AD817" s="182" t="str">
        <f>IFERROR(LOOKUP(2,1/((D_Points!$A$5:$A$204&lt;&gt;"")*(D_Points!$A$5:$A$204&gt;=$B817)*(D_Points!$A$5:$A$204&lt;$B817+P_Interval)*(UPPER(TRIM(D_Points!$B$5:$B$204))="TURNOUT_L")*(D_Points!$H$5:$H$204&lt;&gt;"")),D_Points!$H$5:$H$204),"")</f>
        <v/>
      </c>
      <c r="AE817" s="182" t="str">
        <f>IFERROR(LOOKUP(2,1/((D_Points!$A$5:$A$204&lt;&gt;"")*(D_Points!$A$5:$A$204&gt;=$B817)*(D_Points!$A$5:$A$204&lt;$B817+P_Interval)*(UPPER(TRIM(D_Points!$B$5:$B$204))="TURNOUT_R")*(D_Points!$H$5:$H$204&lt;&gt;"")),D_Points!$H$5:$H$204),"")</f>
        <v/>
      </c>
      <c r="AF817" s="181" t="str">
        <f>IFERROR(LOOKUP(2,1/((B_Drainage!$A$5:$A$204&lt;&gt;"")*(B_Drainage!$A$5:$A$204&lt;=$B817)*(B_Drainage!$B$5:$B$204&gt;$B817)*(B_Drainage!$M$5:$M$204&lt;&gt;"")),IF(UPPER(B_Drainage!$M$5:$M$204)="Y",1,"")),"")</f>
        <v/>
      </c>
      <c r="AG817" s="181" t="str">
        <f>IFERROR(LOOKUP(2,1/((B_Drainage!$A$5:$A$204&lt;&gt;"")*(B_Drainage!$A$5:$A$204&lt;=$B817)*(B_Drainage!$B$5:$B$204&gt;$B817)*(B_Drainage!$N$5:$N$204&lt;&gt;"")),IF(UPPER(B_Drainage!$N$5:$N$204)="Y",1,"")),"")</f>
        <v/>
      </c>
      <c r="AH817" s="181" t="str">
        <f t="shared" si="96"/>
        <v/>
      </c>
      <c r="AI817" s="181" t="str">
        <f t="shared" si="97"/>
        <v/>
      </c>
      <c r="AJ817" s="181" t="str">
        <f t="shared" si="98"/>
        <v/>
      </c>
      <c r="AK817" s="181" t="str">
        <f t="shared" si="99"/>
        <v/>
      </c>
      <c r="AL817" s="181" t="str">
        <f t="shared" si="100"/>
        <v/>
      </c>
      <c r="AM817" s="181" t="str">
        <f t="shared" si="101"/>
        <v/>
      </c>
      <c r="AN817" s="181" t="str">
        <f t="shared" si="102"/>
        <v/>
      </c>
      <c r="AO817" s="192" t="str">
        <f t="shared" si="103"/>
        <v/>
      </c>
      <c r="AQ817" t="str">
        <f>IFERROR(LOOKUP(2,1/((C_Pavement!$A$5:$A$204&lt;&gt;"")*(C_Pavement!$A$5:$A$204&lt;=$B817)*(C_Pavement!$B$5:$B$204&gt;$B817)*(C_Pavement!$C$5:$C$204&lt;&gt;"")),ROW(C_Pavement!$C$5:$C$204)-4),"")</f>
        <v/>
      </c>
      <c r="AR817" t="str">
        <f>IF($AQ817="","",UPPER(TRIM(INDEX(C_Pavement!$C$5:$C$204,$AQ817))))</f>
        <v/>
      </c>
      <c r="AS817" t="str">
        <f>IF($AR817="","",IFERROR(MATCH($AR817,E_Rules!$A$5:$A$9,0),""))</f>
        <v/>
      </c>
      <c r="AT817" t="str">
        <f>IF($AQ817="","",IF(INDEX(C_Pavement!$D$5:$D$204,$AQ817)&lt;&gt;"",UPPER(TRIM(INDEX(C_Pavement!$D$5:$D$204,$AQ817))),IF($AS817="","",INDEX(E_Rules!$C$5:$C$9,$AS817))))</f>
        <v/>
      </c>
      <c r="AU817" t="str">
        <f>IF($AQ817="","",IF(INDEX(C_Pavement!$E$5:$E$204,$AQ817)&lt;&gt;"",IF(INDEX(C_Pavement!$E$5:$E$204,$AQ817)="-","",INDEX(C_Pavement!$E$5:$E$204,$AQ817)),IF($AS817="","",INDEX(E_Rules!$D$5:$D$9,$AS817))))</f>
        <v/>
      </c>
      <c r="AV817" t="str">
        <f>IF($AQ817="","",IF(INDEX(C_Pavement!$F$5:$F$204,$AQ817)&lt;&gt;"",IF(INDEX(C_Pavement!$F$5:$F$204,$AQ817)="-","",INDEX(C_Pavement!$F$5:$F$204,$AQ817)),IF($AS817="","",INDEX(E_Rules!$E$5:$E$9,$AS817))))</f>
        <v/>
      </c>
      <c r="AW817" t="str">
        <f>IF($AQ817="","",IF(INDEX(C_Pavement!$G$5:$G$204,$AQ817)&lt;&gt;"",IF(INDEX(C_Pavement!$G$5:$G$204,$AQ817)="-","",INDEX(C_Pavement!$G$5:$G$204,$AQ817)),IF($AS817="","",INDEX(E_Rules!$F$5:$F$9,$AS817))))</f>
        <v/>
      </c>
      <c r="AX817" t="str">
        <f>IF($AQ817="","",IF(INDEX(C_Pavement!$H$5:$H$204,$AQ817)&lt;&gt;"",IF(INDEX(C_Pavement!$H$5:$H$204,$AQ817)="-","",INDEX(C_Pavement!$H$5:$H$204,$AQ817)),IF($AS817="","",INDEX(E_Rules!$G$5:$G$9,$AS817))))</f>
        <v/>
      </c>
      <c r="AY817" t="str">
        <f>IF($AQ817="","",IF(INDEX(C_Pavement!$I$5:$I$204,$AQ817)&lt;&gt;"",IF(INDEX(C_Pavement!$I$5:$I$204,$AQ817)="-","",INDEX(C_Pavement!$I$5:$I$204,$AQ817)),IF($AS817="","",INDEX(E_Rules!$H$5:$H$9,$AS817))))</f>
        <v/>
      </c>
    </row>
    <row r="818" spans="1:51" ht="15.75" customHeight="1" x14ac:dyDescent="0.3">
      <c r="A818" s="189">
        <v>813</v>
      </c>
      <c r="B818" s="180">
        <v>40600</v>
      </c>
      <c r="C818" s="180" t="s">
        <v>1124</v>
      </c>
      <c r="D818" s="181" t="str">
        <f>IFERROR(LOOKUP(2,1/((A_Corridor!$A$5:$A$204&lt;&gt;"")*(A_Corridor!$A$5:$A$204&lt;=$B818)*(A_Corridor!$B$5:$B$204&gt;$B818)*(A_Corridor!$C$5:$C$204&lt;&gt;"")),IF(UPPER(A_Corridor!$C$5:$C$204)="Y",1,"")),"")</f>
        <v/>
      </c>
      <c r="E818" s="181" t="str">
        <f>IFERROR(LOOKUP(2,1/((A_Corridor!$A$5:$A$204&lt;&gt;"")*(A_Corridor!$A$5:$A$204&lt;=$B818)*(A_Corridor!$B$5:$B$204&gt;$B818)*(A_Corridor!$D$5:$D$204&lt;&gt;"")),IF(A_Corridor!$D$5:$D$204="-","",UPPER(A_Corridor!$D$5:$D$204))),"")</f>
        <v/>
      </c>
      <c r="F818" s="181" t="str">
        <f>IFERROR(LOOKUP(2,1/((A_Corridor!$A$5:$A$204&lt;&gt;"")*(A_Corridor!$A$5:$A$204&lt;=$B818)*(A_Corridor!$B$5:$B$204&gt;$B818)*(A_Corridor!$E$5:$E$204&lt;&gt;"")),IF(A_Corridor!$E$5:$E$204="-","",1)),"")</f>
        <v/>
      </c>
      <c r="G818" s="182" t="str">
        <f>IFERROR(LOOKUP(2,1/((A_Corridor!$A$5:$A$204&lt;&gt;"")*(A_Corridor!$A$5:$A$204&lt;=$B818)*(A_Corridor!$B$5:$B$204&gt;$B818)*(A_Corridor!$E$5:$E$204&lt;&gt;"")),IF(A_Corridor!$E$5:$E$204="-","",A_Corridor!$E$5:$E$204)),"")</f>
        <v/>
      </c>
      <c r="H818" s="182" t="str">
        <f>IFERROR(LOOKUP(2,1/((D_Points!$A$5:$A$204&lt;&gt;"")*(D_Points!$A$5:$A$204&gt;=$B818)*(D_Points!$A$5:$A$204&lt;$B818+P_Interval)*(UPPER(TRIM(D_Points!$B$5:$B$204))="GULLY")*(D_Points!$H$5:$H$204&lt;&gt;"")),D_Points!$H$5:$H$204),"")</f>
        <v/>
      </c>
      <c r="I818" s="181" t="str">
        <f>IFERROR(LOOKUP(2,1/((A_Corridor!$A$5:$A$204&lt;&gt;"")*(A_Corridor!$A$5:$A$204&lt;=$B818)*(A_Corridor!$B$5:$B$204&gt;$B818)*(A_Corridor!$F$5:$F$204&lt;&gt;"")),IF(A_Corridor!$F$5:$F$204="-","",1)),"")</f>
        <v/>
      </c>
      <c r="J818" s="182" t="str">
        <f>IFERROR(LOOKUP(2,1/((A_Corridor!$A$5:$A$204&lt;&gt;"")*(A_Corridor!$A$5:$A$204&lt;=$B818)*(A_Corridor!$B$5:$B$204&gt;$B818)*(A_Corridor!$F$5:$F$204&lt;&gt;"")),IF(A_Corridor!$F$5:$F$204="-","",A_Corridor!$F$5:$F$204)),"")</f>
        <v/>
      </c>
      <c r="K818" s="182" t="str">
        <f>IFERROR(LOOKUP(2,1/((A_Corridor!$A$5:$A$204&lt;&gt;"")*(A_Corridor!$A$5:$A$204&lt;=$B818)*(A_Corridor!$B$5:$B$204&gt;$B818)*(A_Corridor!$G$5:$G$204&lt;&gt;"")),IF(A_Corridor!$G$5:$G$204="-","",A_Corridor!$G$5:$G$204)),"")</f>
        <v/>
      </c>
      <c r="L818" s="181" t="str">
        <f>IFERROR(LOOKUP(2,1/((A_Corridor!$A$5:$A$204&lt;&gt;"")*(A_Corridor!$A$5:$A$204&lt;=$B818)*(A_Corridor!$B$5:$B$204&gt;$B818)*(A_Corridor!$H$5:$H$204&lt;&gt;"")),IF(A_Corridor!$H$5:$H$204="-","",1)),"")</f>
        <v/>
      </c>
      <c r="M818" s="182" t="str">
        <f>IFERROR(LOOKUP(2,1/((A_Corridor!$A$5:$A$204&lt;&gt;"")*(A_Corridor!$A$5:$A$204&lt;=$B818)*(A_Corridor!$B$5:$B$204&gt;$B818)*(A_Corridor!$H$5:$H$204&lt;&gt;"")),IF(A_Corridor!$H$5:$H$204="-","",A_Corridor!$H$5:$H$204)),"")</f>
        <v/>
      </c>
      <c r="N818" s="182" t="str">
        <f>IFERROR(LOOKUP(2,1/((A_Corridor!$A$5:$A$204&lt;&gt;"")*(A_Corridor!$A$5:$A$204&lt;=$B818)*(A_Corridor!$B$5:$B$204&gt;$B818)*(A_Corridor!$I$5:$I$204&lt;&gt;"")),IF(A_Corridor!$I$5:$I$204="-","",A_Corridor!$I$5:$I$204)),"")</f>
        <v/>
      </c>
      <c r="O818" s="182" t="str">
        <f>IFERROR(LOOKUP(2,1/((D_Points!$A$5:$A$204&lt;&gt;"")*(D_Points!$A$5:$A$204&gt;=$B818)*(D_Points!$A$5:$A$204&lt;$B818+P_Interval)*(UPPER(TRIM(D_Points!$B$5:$B$204))="PITCHING")*(D_Points!$H$5:$H$204&lt;&gt;"")),D_Points!$H$5:$H$204),"")</f>
        <v/>
      </c>
      <c r="P818" s="181" t="str">
        <f>IFERROR(LOOKUP(2,1/((B_Drainage!$A$5:$A$204&lt;&gt;"")*(B_Drainage!$A$5:$A$204&lt;=$B818)*(B_Drainage!$B$5:$B$204&gt;$B818)*(B_Drainage!$C$5:$C$204&lt;&gt;"")),IF(B_Drainage!$C$5:$C$204="-","",UPPER(B_Drainage!$C$5:$C$204))),"")</f>
        <v/>
      </c>
      <c r="Q818" s="181" t="str">
        <f>IFERROR(LOOKUP(2,1/((B_Drainage!$A$5:$A$204&lt;&gt;"")*(B_Drainage!$A$5:$A$204&lt;=$B818)*(B_Drainage!$B$5:$B$204&gt;$B818)*(B_Drainage!$D$5:$D$204&lt;&gt;"")),IF(B_Drainage!$D$5:$D$204="-","",UPPER(B_Drainage!$D$5:$D$204))),"")</f>
        <v/>
      </c>
      <c r="R818" s="182" t="str">
        <f>IFERROR(LOOKUP(2,1/((D_Points!$A$5:$A$204&lt;&gt;"")*(D_Points!$A$5:$A$204&gt;=$B818)*(D_Points!$A$5:$A$204&lt;$B818+P_Interval)*(RIGHT(UPPER(TRIM(D_Points!$B$5:$B$204)),8)="_CULVERT")),IF(LEFT(UPPER(TRIM(D_Points!$B$5:$B$204)),2)="EX",1,IF(LEFT(UPPER(TRIM(D_Points!$B$5:$B$204)),2)="PR",2,3))),"")</f>
        <v/>
      </c>
      <c r="S818" s="182" t="str">
        <f>IFERROR(LOOKUP(2,1/((D_Points!$A$5:$A$204&lt;&gt;"")*(D_Points!$A$5:$A$204&gt;=$B818)*(D_Points!$A$5:$A$204&lt;$B818+P_Interval)*(RIGHT(UPPER(TRIM(D_Points!$B$5:$B$204)),7)="_BRIDGE")),IF(LEFT(UPPER(TRIM(D_Points!$B$5:$B$204)),2)="EX",1,IF(LEFT(UPPER(TRIM(D_Points!$B$5:$B$204)),2)="PR",2,2))),"")</f>
        <v/>
      </c>
      <c r="T818" s="181" t="str">
        <f>IFERROR(LOOKUP(2,1/((B_Drainage!$A$5:$A$204&lt;&gt;"")*(B_Drainage!$A$5:$A$204&lt;=$B818)*(B_Drainage!$B$5:$B$204&gt;$B818)*(B_Drainage!$E$5:$E$204&lt;&gt;"")),IF(B_Drainage!$E$5:$E$204="-","",1)),"")</f>
        <v/>
      </c>
      <c r="U818" s="181" t="str">
        <f>IFERROR(LOOKUP(2,1/((B_Drainage!$A$5:$A$204&lt;&gt;"")*(B_Drainage!$A$5:$A$204&lt;=$B818)*(B_Drainage!$B$5:$B$204&gt;$B818)*(B_Drainage!$E$5:$E$204&lt;&gt;"")),IF(B_Drainage!$E$5:$E$204="-","",B_Drainage!$E$5:$E$204)),"")</f>
        <v/>
      </c>
      <c r="V818" s="181" t="str">
        <f>IFERROR(LOOKUP(2,1/((B_Drainage!$A$5:$A$204&lt;&gt;"")*(B_Drainage!$A$5:$A$204&lt;=$B818)*(B_Drainage!$B$5:$B$204&gt;$B818)*(B_Drainage!$F$5:$F$204&lt;&gt;"")),IF(B_Drainage!$F$5:$F$204="-","",1)),"")</f>
        <v/>
      </c>
      <c r="W818" s="181" t="str">
        <f>IFERROR(LOOKUP(2,1/((B_Drainage!$A$5:$A$204&lt;&gt;"")*(B_Drainage!$A$5:$A$204&lt;=$B818)*(B_Drainage!$B$5:$B$204&gt;$B818)*(B_Drainage!$F$5:$F$204&lt;&gt;"")),IF(B_Drainage!$F$5:$F$204="-","",B_Drainage!$F$5:$F$204)),"")</f>
        <v/>
      </c>
      <c r="X818" s="181" t="str">
        <f>IFERROR(LOOKUP(2,1/((B_Drainage!$A$5:$A$204&lt;&gt;"")*(B_Drainage!$A$5:$A$204&lt;=$B818)*(B_Drainage!$B$5:$B$204&gt;$B818)*(B_Drainage!$G$5:$G$204&lt;&gt;"")),IF(UPPER(B_Drainage!$G$5:$G$204)="Y",1,"")),"")</f>
        <v/>
      </c>
      <c r="Y818" s="181" t="str">
        <f>IFERROR(LOOKUP(2,1/((B_Drainage!$A$5:$A$204&lt;&gt;"")*(B_Drainage!$A$5:$A$204&lt;=$B818)*(B_Drainage!$B$5:$B$204&gt;$B818)*(B_Drainage!$H$5:$H$204&lt;&gt;"")),IF(UPPER(B_Drainage!$H$5:$H$204)="Y",1,"")),"")</f>
        <v/>
      </c>
      <c r="Z818" s="181" t="str">
        <f>IFERROR(LOOKUP(2,1/((B_Drainage!$A$5:$A$204&lt;&gt;"")*(B_Drainage!$A$5:$A$204&lt;=$B818)*(B_Drainage!$B$5:$B$204&gt;$B818)*(B_Drainage!$I$5:$I$204&lt;&gt;"")),IF(UPPER(B_Drainage!$I$5:$I$204)="Y",1,"")),"")</f>
        <v/>
      </c>
      <c r="AA818" s="181" t="str">
        <f>IFERROR(LOOKUP(2,1/((B_Drainage!$A$5:$A$204&lt;&gt;"")*(B_Drainage!$A$5:$A$204&lt;=$B818)*(B_Drainage!$B$5:$B$204&gt;$B818)*(B_Drainage!$J$5:$J$204&lt;&gt;"")),IF(UPPER(B_Drainage!$J$5:$J$204)="Y",1,"")),"")</f>
        <v/>
      </c>
      <c r="AB818" s="182" t="str">
        <f>IFERROR(LOOKUP(2,1/((B_Drainage!$A$5:$A$204&lt;&gt;"")*(B_Drainage!$A$5:$A$204&lt;=$B818)*(B_Drainage!$B$5:$B$204&gt;$B818)*(B_Drainage!$K$5:$K$204&lt;&gt;"")),IF(B_Drainage!$K$5:$K$204="-","",B_Drainage!$K$5:$K$204)),"")</f>
        <v/>
      </c>
      <c r="AC818" s="182" t="str">
        <f>IFERROR(LOOKUP(2,1/((B_Drainage!$A$5:$A$204&lt;&gt;"")*(B_Drainage!$A$5:$A$204&lt;=$B818)*(B_Drainage!$B$5:$B$204&gt;$B818)*(B_Drainage!$L$5:$L$204&lt;&gt;"")),IF(B_Drainage!$L$5:$L$204="-","",B_Drainage!$L$5:$L$204)),"")</f>
        <v/>
      </c>
      <c r="AD818" s="182" t="str">
        <f>IFERROR(LOOKUP(2,1/((D_Points!$A$5:$A$204&lt;&gt;"")*(D_Points!$A$5:$A$204&gt;=$B818)*(D_Points!$A$5:$A$204&lt;$B818+P_Interval)*(UPPER(TRIM(D_Points!$B$5:$B$204))="TURNOUT_L")*(D_Points!$H$5:$H$204&lt;&gt;"")),D_Points!$H$5:$H$204),"")</f>
        <v/>
      </c>
      <c r="AE818" s="182" t="str">
        <f>IFERROR(LOOKUP(2,1/((D_Points!$A$5:$A$204&lt;&gt;"")*(D_Points!$A$5:$A$204&gt;=$B818)*(D_Points!$A$5:$A$204&lt;$B818+P_Interval)*(UPPER(TRIM(D_Points!$B$5:$B$204))="TURNOUT_R")*(D_Points!$H$5:$H$204&lt;&gt;"")),D_Points!$H$5:$H$204),"")</f>
        <v/>
      </c>
      <c r="AF818" s="181" t="str">
        <f>IFERROR(LOOKUP(2,1/((B_Drainage!$A$5:$A$204&lt;&gt;"")*(B_Drainage!$A$5:$A$204&lt;=$B818)*(B_Drainage!$B$5:$B$204&gt;$B818)*(B_Drainage!$M$5:$M$204&lt;&gt;"")),IF(UPPER(B_Drainage!$M$5:$M$204)="Y",1,"")),"")</f>
        <v/>
      </c>
      <c r="AG818" s="181" t="str">
        <f>IFERROR(LOOKUP(2,1/((B_Drainage!$A$5:$A$204&lt;&gt;"")*(B_Drainage!$A$5:$A$204&lt;=$B818)*(B_Drainage!$B$5:$B$204&gt;$B818)*(B_Drainage!$N$5:$N$204&lt;&gt;"")),IF(UPPER(B_Drainage!$N$5:$N$204)="Y",1,"")),"")</f>
        <v/>
      </c>
      <c r="AH818" s="181" t="str">
        <f t="shared" si="96"/>
        <v/>
      </c>
      <c r="AI818" s="181" t="str">
        <f t="shared" si="97"/>
        <v/>
      </c>
      <c r="AJ818" s="181" t="str">
        <f t="shared" si="98"/>
        <v/>
      </c>
      <c r="AK818" s="181" t="str">
        <f t="shared" si="99"/>
        <v/>
      </c>
      <c r="AL818" s="181" t="str">
        <f t="shared" si="100"/>
        <v/>
      </c>
      <c r="AM818" s="181" t="str">
        <f t="shared" si="101"/>
        <v/>
      </c>
      <c r="AN818" s="181" t="str">
        <f t="shared" si="102"/>
        <v/>
      </c>
      <c r="AO818" s="192" t="str">
        <f t="shared" si="103"/>
        <v/>
      </c>
      <c r="AQ818" t="str">
        <f>IFERROR(LOOKUP(2,1/((C_Pavement!$A$5:$A$204&lt;&gt;"")*(C_Pavement!$A$5:$A$204&lt;=$B818)*(C_Pavement!$B$5:$B$204&gt;$B818)*(C_Pavement!$C$5:$C$204&lt;&gt;"")),ROW(C_Pavement!$C$5:$C$204)-4),"")</f>
        <v/>
      </c>
      <c r="AR818" t="str">
        <f>IF($AQ818="","",UPPER(TRIM(INDEX(C_Pavement!$C$5:$C$204,$AQ818))))</f>
        <v/>
      </c>
      <c r="AS818" t="str">
        <f>IF($AR818="","",IFERROR(MATCH($AR818,E_Rules!$A$5:$A$9,0),""))</f>
        <v/>
      </c>
      <c r="AT818" t="str">
        <f>IF($AQ818="","",IF(INDEX(C_Pavement!$D$5:$D$204,$AQ818)&lt;&gt;"",UPPER(TRIM(INDEX(C_Pavement!$D$5:$D$204,$AQ818))),IF($AS818="","",INDEX(E_Rules!$C$5:$C$9,$AS818))))</f>
        <v/>
      </c>
      <c r="AU818" t="str">
        <f>IF($AQ818="","",IF(INDEX(C_Pavement!$E$5:$E$204,$AQ818)&lt;&gt;"",IF(INDEX(C_Pavement!$E$5:$E$204,$AQ818)="-","",INDEX(C_Pavement!$E$5:$E$204,$AQ818)),IF($AS818="","",INDEX(E_Rules!$D$5:$D$9,$AS818))))</f>
        <v/>
      </c>
      <c r="AV818" t="str">
        <f>IF($AQ818="","",IF(INDEX(C_Pavement!$F$5:$F$204,$AQ818)&lt;&gt;"",IF(INDEX(C_Pavement!$F$5:$F$204,$AQ818)="-","",INDEX(C_Pavement!$F$5:$F$204,$AQ818)),IF($AS818="","",INDEX(E_Rules!$E$5:$E$9,$AS818))))</f>
        <v/>
      </c>
      <c r="AW818" t="str">
        <f>IF($AQ818="","",IF(INDEX(C_Pavement!$G$5:$G$204,$AQ818)&lt;&gt;"",IF(INDEX(C_Pavement!$G$5:$G$204,$AQ818)="-","",INDEX(C_Pavement!$G$5:$G$204,$AQ818)),IF($AS818="","",INDEX(E_Rules!$F$5:$F$9,$AS818))))</f>
        <v/>
      </c>
      <c r="AX818" t="str">
        <f>IF($AQ818="","",IF(INDEX(C_Pavement!$H$5:$H$204,$AQ818)&lt;&gt;"",IF(INDEX(C_Pavement!$H$5:$H$204,$AQ818)="-","",INDEX(C_Pavement!$H$5:$H$204,$AQ818)),IF($AS818="","",INDEX(E_Rules!$G$5:$G$9,$AS818))))</f>
        <v/>
      </c>
      <c r="AY818" t="str">
        <f>IF($AQ818="","",IF(INDEX(C_Pavement!$I$5:$I$204,$AQ818)&lt;&gt;"",IF(INDEX(C_Pavement!$I$5:$I$204,$AQ818)="-","",INDEX(C_Pavement!$I$5:$I$204,$AQ818)),IF($AS818="","",INDEX(E_Rules!$H$5:$H$9,$AS818))))</f>
        <v/>
      </c>
    </row>
    <row r="819" spans="1:51" ht="15.75" customHeight="1" x14ac:dyDescent="0.3">
      <c r="A819" s="189">
        <v>814</v>
      </c>
      <c r="B819" s="180">
        <v>40650</v>
      </c>
      <c r="C819" s="180" t="s">
        <v>1125</v>
      </c>
      <c r="D819" s="181" t="str">
        <f>IFERROR(LOOKUP(2,1/((A_Corridor!$A$5:$A$204&lt;&gt;"")*(A_Corridor!$A$5:$A$204&lt;=$B819)*(A_Corridor!$B$5:$B$204&gt;$B819)*(A_Corridor!$C$5:$C$204&lt;&gt;"")),IF(UPPER(A_Corridor!$C$5:$C$204)="Y",1,"")),"")</f>
        <v/>
      </c>
      <c r="E819" s="181" t="str">
        <f>IFERROR(LOOKUP(2,1/((A_Corridor!$A$5:$A$204&lt;&gt;"")*(A_Corridor!$A$5:$A$204&lt;=$B819)*(A_Corridor!$B$5:$B$204&gt;$B819)*(A_Corridor!$D$5:$D$204&lt;&gt;"")),IF(A_Corridor!$D$5:$D$204="-","",UPPER(A_Corridor!$D$5:$D$204))),"")</f>
        <v/>
      </c>
      <c r="F819" s="181" t="str">
        <f>IFERROR(LOOKUP(2,1/((A_Corridor!$A$5:$A$204&lt;&gt;"")*(A_Corridor!$A$5:$A$204&lt;=$B819)*(A_Corridor!$B$5:$B$204&gt;$B819)*(A_Corridor!$E$5:$E$204&lt;&gt;"")),IF(A_Corridor!$E$5:$E$204="-","",1)),"")</f>
        <v/>
      </c>
      <c r="G819" s="182" t="str">
        <f>IFERROR(LOOKUP(2,1/((A_Corridor!$A$5:$A$204&lt;&gt;"")*(A_Corridor!$A$5:$A$204&lt;=$B819)*(A_Corridor!$B$5:$B$204&gt;$B819)*(A_Corridor!$E$5:$E$204&lt;&gt;"")),IF(A_Corridor!$E$5:$E$204="-","",A_Corridor!$E$5:$E$204)),"")</f>
        <v/>
      </c>
      <c r="H819" s="182" t="str">
        <f>IFERROR(LOOKUP(2,1/((D_Points!$A$5:$A$204&lt;&gt;"")*(D_Points!$A$5:$A$204&gt;=$B819)*(D_Points!$A$5:$A$204&lt;$B819+P_Interval)*(UPPER(TRIM(D_Points!$B$5:$B$204))="GULLY")*(D_Points!$H$5:$H$204&lt;&gt;"")),D_Points!$H$5:$H$204),"")</f>
        <v/>
      </c>
      <c r="I819" s="181" t="str">
        <f>IFERROR(LOOKUP(2,1/((A_Corridor!$A$5:$A$204&lt;&gt;"")*(A_Corridor!$A$5:$A$204&lt;=$B819)*(A_Corridor!$B$5:$B$204&gt;$B819)*(A_Corridor!$F$5:$F$204&lt;&gt;"")),IF(A_Corridor!$F$5:$F$204="-","",1)),"")</f>
        <v/>
      </c>
      <c r="J819" s="182" t="str">
        <f>IFERROR(LOOKUP(2,1/((A_Corridor!$A$5:$A$204&lt;&gt;"")*(A_Corridor!$A$5:$A$204&lt;=$B819)*(A_Corridor!$B$5:$B$204&gt;$B819)*(A_Corridor!$F$5:$F$204&lt;&gt;"")),IF(A_Corridor!$F$5:$F$204="-","",A_Corridor!$F$5:$F$204)),"")</f>
        <v/>
      </c>
      <c r="K819" s="182" t="str">
        <f>IFERROR(LOOKUP(2,1/((A_Corridor!$A$5:$A$204&lt;&gt;"")*(A_Corridor!$A$5:$A$204&lt;=$B819)*(A_Corridor!$B$5:$B$204&gt;$B819)*(A_Corridor!$G$5:$G$204&lt;&gt;"")),IF(A_Corridor!$G$5:$G$204="-","",A_Corridor!$G$5:$G$204)),"")</f>
        <v/>
      </c>
      <c r="L819" s="181" t="str">
        <f>IFERROR(LOOKUP(2,1/((A_Corridor!$A$5:$A$204&lt;&gt;"")*(A_Corridor!$A$5:$A$204&lt;=$B819)*(A_Corridor!$B$5:$B$204&gt;$B819)*(A_Corridor!$H$5:$H$204&lt;&gt;"")),IF(A_Corridor!$H$5:$H$204="-","",1)),"")</f>
        <v/>
      </c>
      <c r="M819" s="182" t="str">
        <f>IFERROR(LOOKUP(2,1/((A_Corridor!$A$5:$A$204&lt;&gt;"")*(A_Corridor!$A$5:$A$204&lt;=$B819)*(A_Corridor!$B$5:$B$204&gt;$B819)*(A_Corridor!$H$5:$H$204&lt;&gt;"")),IF(A_Corridor!$H$5:$H$204="-","",A_Corridor!$H$5:$H$204)),"")</f>
        <v/>
      </c>
      <c r="N819" s="182" t="str">
        <f>IFERROR(LOOKUP(2,1/((A_Corridor!$A$5:$A$204&lt;&gt;"")*(A_Corridor!$A$5:$A$204&lt;=$B819)*(A_Corridor!$B$5:$B$204&gt;$B819)*(A_Corridor!$I$5:$I$204&lt;&gt;"")),IF(A_Corridor!$I$5:$I$204="-","",A_Corridor!$I$5:$I$204)),"")</f>
        <v/>
      </c>
      <c r="O819" s="182" t="str">
        <f>IFERROR(LOOKUP(2,1/((D_Points!$A$5:$A$204&lt;&gt;"")*(D_Points!$A$5:$A$204&gt;=$B819)*(D_Points!$A$5:$A$204&lt;$B819+P_Interval)*(UPPER(TRIM(D_Points!$B$5:$B$204))="PITCHING")*(D_Points!$H$5:$H$204&lt;&gt;"")),D_Points!$H$5:$H$204),"")</f>
        <v/>
      </c>
      <c r="P819" s="181" t="str">
        <f>IFERROR(LOOKUP(2,1/((B_Drainage!$A$5:$A$204&lt;&gt;"")*(B_Drainage!$A$5:$A$204&lt;=$B819)*(B_Drainage!$B$5:$B$204&gt;$B819)*(B_Drainage!$C$5:$C$204&lt;&gt;"")),IF(B_Drainage!$C$5:$C$204="-","",UPPER(B_Drainage!$C$5:$C$204))),"")</f>
        <v/>
      </c>
      <c r="Q819" s="181" t="str">
        <f>IFERROR(LOOKUP(2,1/((B_Drainage!$A$5:$A$204&lt;&gt;"")*(B_Drainage!$A$5:$A$204&lt;=$B819)*(B_Drainage!$B$5:$B$204&gt;$B819)*(B_Drainage!$D$5:$D$204&lt;&gt;"")),IF(B_Drainage!$D$5:$D$204="-","",UPPER(B_Drainage!$D$5:$D$204))),"")</f>
        <v/>
      </c>
      <c r="R819" s="182" t="str">
        <f>IFERROR(LOOKUP(2,1/((D_Points!$A$5:$A$204&lt;&gt;"")*(D_Points!$A$5:$A$204&gt;=$B819)*(D_Points!$A$5:$A$204&lt;$B819+P_Interval)*(RIGHT(UPPER(TRIM(D_Points!$B$5:$B$204)),8)="_CULVERT")),IF(LEFT(UPPER(TRIM(D_Points!$B$5:$B$204)),2)="EX",1,IF(LEFT(UPPER(TRIM(D_Points!$B$5:$B$204)),2)="PR",2,3))),"")</f>
        <v/>
      </c>
      <c r="S819" s="182" t="str">
        <f>IFERROR(LOOKUP(2,1/((D_Points!$A$5:$A$204&lt;&gt;"")*(D_Points!$A$5:$A$204&gt;=$B819)*(D_Points!$A$5:$A$204&lt;$B819+P_Interval)*(RIGHT(UPPER(TRIM(D_Points!$B$5:$B$204)),7)="_BRIDGE")),IF(LEFT(UPPER(TRIM(D_Points!$B$5:$B$204)),2)="EX",1,IF(LEFT(UPPER(TRIM(D_Points!$B$5:$B$204)),2)="PR",2,2))),"")</f>
        <v/>
      </c>
      <c r="T819" s="181" t="str">
        <f>IFERROR(LOOKUP(2,1/((B_Drainage!$A$5:$A$204&lt;&gt;"")*(B_Drainage!$A$5:$A$204&lt;=$B819)*(B_Drainage!$B$5:$B$204&gt;$B819)*(B_Drainage!$E$5:$E$204&lt;&gt;"")),IF(B_Drainage!$E$5:$E$204="-","",1)),"")</f>
        <v/>
      </c>
      <c r="U819" s="181" t="str">
        <f>IFERROR(LOOKUP(2,1/((B_Drainage!$A$5:$A$204&lt;&gt;"")*(B_Drainage!$A$5:$A$204&lt;=$B819)*(B_Drainage!$B$5:$B$204&gt;$B819)*(B_Drainage!$E$5:$E$204&lt;&gt;"")),IF(B_Drainage!$E$5:$E$204="-","",B_Drainage!$E$5:$E$204)),"")</f>
        <v/>
      </c>
      <c r="V819" s="181" t="str">
        <f>IFERROR(LOOKUP(2,1/((B_Drainage!$A$5:$A$204&lt;&gt;"")*(B_Drainage!$A$5:$A$204&lt;=$B819)*(B_Drainage!$B$5:$B$204&gt;$B819)*(B_Drainage!$F$5:$F$204&lt;&gt;"")),IF(B_Drainage!$F$5:$F$204="-","",1)),"")</f>
        <v/>
      </c>
      <c r="W819" s="181" t="str">
        <f>IFERROR(LOOKUP(2,1/((B_Drainage!$A$5:$A$204&lt;&gt;"")*(B_Drainage!$A$5:$A$204&lt;=$B819)*(B_Drainage!$B$5:$B$204&gt;$B819)*(B_Drainage!$F$5:$F$204&lt;&gt;"")),IF(B_Drainage!$F$5:$F$204="-","",B_Drainage!$F$5:$F$204)),"")</f>
        <v/>
      </c>
      <c r="X819" s="181" t="str">
        <f>IFERROR(LOOKUP(2,1/((B_Drainage!$A$5:$A$204&lt;&gt;"")*(B_Drainage!$A$5:$A$204&lt;=$B819)*(B_Drainage!$B$5:$B$204&gt;$B819)*(B_Drainage!$G$5:$G$204&lt;&gt;"")),IF(UPPER(B_Drainage!$G$5:$G$204)="Y",1,"")),"")</f>
        <v/>
      </c>
      <c r="Y819" s="181" t="str">
        <f>IFERROR(LOOKUP(2,1/((B_Drainage!$A$5:$A$204&lt;&gt;"")*(B_Drainage!$A$5:$A$204&lt;=$B819)*(B_Drainage!$B$5:$B$204&gt;$B819)*(B_Drainage!$H$5:$H$204&lt;&gt;"")),IF(UPPER(B_Drainage!$H$5:$H$204)="Y",1,"")),"")</f>
        <v/>
      </c>
      <c r="Z819" s="181" t="str">
        <f>IFERROR(LOOKUP(2,1/((B_Drainage!$A$5:$A$204&lt;&gt;"")*(B_Drainage!$A$5:$A$204&lt;=$B819)*(B_Drainage!$B$5:$B$204&gt;$B819)*(B_Drainage!$I$5:$I$204&lt;&gt;"")),IF(UPPER(B_Drainage!$I$5:$I$204)="Y",1,"")),"")</f>
        <v/>
      </c>
      <c r="AA819" s="181" t="str">
        <f>IFERROR(LOOKUP(2,1/((B_Drainage!$A$5:$A$204&lt;&gt;"")*(B_Drainage!$A$5:$A$204&lt;=$B819)*(B_Drainage!$B$5:$B$204&gt;$B819)*(B_Drainage!$J$5:$J$204&lt;&gt;"")),IF(UPPER(B_Drainage!$J$5:$J$204)="Y",1,"")),"")</f>
        <v/>
      </c>
      <c r="AB819" s="182" t="str">
        <f>IFERROR(LOOKUP(2,1/((B_Drainage!$A$5:$A$204&lt;&gt;"")*(B_Drainage!$A$5:$A$204&lt;=$B819)*(B_Drainage!$B$5:$B$204&gt;$B819)*(B_Drainage!$K$5:$K$204&lt;&gt;"")),IF(B_Drainage!$K$5:$K$204="-","",B_Drainage!$K$5:$K$204)),"")</f>
        <v/>
      </c>
      <c r="AC819" s="182" t="str">
        <f>IFERROR(LOOKUP(2,1/((B_Drainage!$A$5:$A$204&lt;&gt;"")*(B_Drainage!$A$5:$A$204&lt;=$B819)*(B_Drainage!$B$5:$B$204&gt;$B819)*(B_Drainage!$L$5:$L$204&lt;&gt;"")),IF(B_Drainage!$L$5:$L$204="-","",B_Drainage!$L$5:$L$204)),"")</f>
        <v/>
      </c>
      <c r="AD819" s="182" t="str">
        <f>IFERROR(LOOKUP(2,1/((D_Points!$A$5:$A$204&lt;&gt;"")*(D_Points!$A$5:$A$204&gt;=$B819)*(D_Points!$A$5:$A$204&lt;$B819+P_Interval)*(UPPER(TRIM(D_Points!$B$5:$B$204))="TURNOUT_L")*(D_Points!$H$5:$H$204&lt;&gt;"")),D_Points!$H$5:$H$204),"")</f>
        <v/>
      </c>
      <c r="AE819" s="182" t="str">
        <f>IFERROR(LOOKUP(2,1/((D_Points!$A$5:$A$204&lt;&gt;"")*(D_Points!$A$5:$A$204&gt;=$B819)*(D_Points!$A$5:$A$204&lt;$B819+P_Interval)*(UPPER(TRIM(D_Points!$B$5:$B$204))="TURNOUT_R")*(D_Points!$H$5:$H$204&lt;&gt;"")),D_Points!$H$5:$H$204),"")</f>
        <v/>
      </c>
      <c r="AF819" s="181" t="str">
        <f>IFERROR(LOOKUP(2,1/((B_Drainage!$A$5:$A$204&lt;&gt;"")*(B_Drainage!$A$5:$A$204&lt;=$B819)*(B_Drainage!$B$5:$B$204&gt;$B819)*(B_Drainage!$M$5:$M$204&lt;&gt;"")),IF(UPPER(B_Drainage!$M$5:$M$204)="Y",1,"")),"")</f>
        <v/>
      </c>
      <c r="AG819" s="181" t="str">
        <f>IFERROR(LOOKUP(2,1/((B_Drainage!$A$5:$A$204&lt;&gt;"")*(B_Drainage!$A$5:$A$204&lt;=$B819)*(B_Drainage!$B$5:$B$204&gt;$B819)*(B_Drainage!$N$5:$N$204&lt;&gt;"")),IF(UPPER(B_Drainage!$N$5:$N$204)="Y",1,"")),"")</f>
        <v/>
      </c>
      <c r="AH819" s="181" t="str">
        <f t="shared" si="96"/>
        <v/>
      </c>
      <c r="AI819" s="181" t="str">
        <f t="shared" si="97"/>
        <v/>
      </c>
      <c r="AJ819" s="181" t="str">
        <f t="shared" si="98"/>
        <v/>
      </c>
      <c r="AK819" s="181" t="str">
        <f t="shared" si="99"/>
        <v/>
      </c>
      <c r="AL819" s="181" t="str">
        <f t="shared" si="100"/>
        <v/>
      </c>
      <c r="AM819" s="181" t="str">
        <f t="shared" si="101"/>
        <v/>
      </c>
      <c r="AN819" s="181" t="str">
        <f t="shared" si="102"/>
        <v/>
      </c>
      <c r="AO819" s="192" t="str">
        <f t="shared" si="103"/>
        <v/>
      </c>
      <c r="AQ819" t="str">
        <f>IFERROR(LOOKUP(2,1/((C_Pavement!$A$5:$A$204&lt;&gt;"")*(C_Pavement!$A$5:$A$204&lt;=$B819)*(C_Pavement!$B$5:$B$204&gt;$B819)*(C_Pavement!$C$5:$C$204&lt;&gt;"")),ROW(C_Pavement!$C$5:$C$204)-4),"")</f>
        <v/>
      </c>
      <c r="AR819" t="str">
        <f>IF($AQ819="","",UPPER(TRIM(INDEX(C_Pavement!$C$5:$C$204,$AQ819))))</f>
        <v/>
      </c>
      <c r="AS819" t="str">
        <f>IF($AR819="","",IFERROR(MATCH($AR819,E_Rules!$A$5:$A$9,0),""))</f>
        <v/>
      </c>
      <c r="AT819" t="str">
        <f>IF($AQ819="","",IF(INDEX(C_Pavement!$D$5:$D$204,$AQ819)&lt;&gt;"",UPPER(TRIM(INDEX(C_Pavement!$D$5:$D$204,$AQ819))),IF($AS819="","",INDEX(E_Rules!$C$5:$C$9,$AS819))))</f>
        <v/>
      </c>
      <c r="AU819" t="str">
        <f>IF($AQ819="","",IF(INDEX(C_Pavement!$E$5:$E$204,$AQ819)&lt;&gt;"",IF(INDEX(C_Pavement!$E$5:$E$204,$AQ819)="-","",INDEX(C_Pavement!$E$5:$E$204,$AQ819)),IF($AS819="","",INDEX(E_Rules!$D$5:$D$9,$AS819))))</f>
        <v/>
      </c>
      <c r="AV819" t="str">
        <f>IF($AQ819="","",IF(INDEX(C_Pavement!$F$5:$F$204,$AQ819)&lt;&gt;"",IF(INDEX(C_Pavement!$F$5:$F$204,$AQ819)="-","",INDEX(C_Pavement!$F$5:$F$204,$AQ819)),IF($AS819="","",INDEX(E_Rules!$E$5:$E$9,$AS819))))</f>
        <v/>
      </c>
      <c r="AW819" t="str">
        <f>IF($AQ819="","",IF(INDEX(C_Pavement!$G$5:$G$204,$AQ819)&lt;&gt;"",IF(INDEX(C_Pavement!$G$5:$G$204,$AQ819)="-","",INDEX(C_Pavement!$G$5:$G$204,$AQ819)),IF($AS819="","",INDEX(E_Rules!$F$5:$F$9,$AS819))))</f>
        <v/>
      </c>
      <c r="AX819" t="str">
        <f>IF($AQ819="","",IF(INDEX(C_Pavement!$H$5:$H$204,$AQ819)&lt;&gt;"",IF(INDEX(C_Pavement!$H$5:$H$204,$AQ819)="-","",INDEX(C_Pavement!$H$5:$H$204,$AQ819)),IF($AS819="","",INDEX(E_Rules!$G$5:$G$9,$AS819))))</f>
        <v/>
      </c>
      <c r="AY819" t="str">
        <f>IF($AQ819="","",IF(INDEX(C_Pavement!$I$5:$I$204,$AQ819)&lt;&gt;"",IF(INDEX(C_Pavement!$I$5:$I$204,$AQ819)="-","",INDEX(C_Pavement!$I$5:$I$204,$AQ819)),IF($AS819="","",INDEX(E_Rules!$H$5:$H$9,$AS819))))</f>
        <v/>
      </c>
    </row>
    <row r="820" spans="1:51" ht="15.75" customHeight="1" x14ac:dyDescent="0.3">
      <c r="A820" s="189">
        <v>815</v>
      </c>
      <c r="B820" s="180">
        <v>40700</v>
      </c>
      <c r="C820" s="180" t="s">
        <v>1126</v>
      </c>
      <c r="D820" s="181" t="str">
        <f>IFERROR(LOOKUP(2,1/((A_Corridor!$A$5:$A$204&lt;&gt;"")*(A_Corridor!$A$5:$A$204&lt;=$B820)*(A_Corridor!$B$5:$B$204&gt;$B820)*(A_Corridor!$C$5:$C$204&lt;&gt;"")),IF(UPPER(A_Corridor!$C$5:$C$204)="Y",1,"")),"")</f>
        <v/>
      </c>
      <c r="E820" s="181" t="str">
        <f>IFERROR(LOOKUP(2,1/((A_Corridor!$A$5:$A$204&lt;&gt;"")*(A_Corridor!$A$5:$A$204&lt;=$B820)*(A_Corridor!$B$5:$B$204&gt;$B820)*(A_Corridor!$D$5:$D$204&lt;&gt;"")),IF(A_Corridor!$D$5:$D$204="-","",UPPER(A_Corridor!$D$5:$D$204))),"")</f>
        <v/>
      </c>
      <c r="F820" s="181" t="str">
        <f>IFERROR(LOOKUP(2,1/((A_Corridor!$A$5:$A$204&lt;&gt;"")*(A_Corridor!$A$5:$A$204&lt;=$B820)*(A_Corridor!$B$5:$B$204&gt;$B820)*(A_Corridor!$E$5:$E$204&lt;&gt;"")),IF(A_Corridor!$E$5:$E$204="-","",1)),"")</f>
        <v/>
      </c>
      <c r="G820" s="182" t="str">
        <f>IFERROR(LOOKUP(2,1/((A_Corridor!$A$5:$A$204&lt;&gt;"")*(A_Corridor!$A$5:$A$204&lt;=$B820)*(A_Corridor!$B$5:$B$204&gt;$B820)*(A_Corridor!$E$5:$E$204&lt;&gt;"")),IF(A_Corridor!$E$5:$E$204="-","",A_Corridor!$E$5:$E$204)),"")</f>
        <v/>
      </c>
      <c r="H820" s="182" t="str">
        <f>IFERROR(LOOKUP(2,1/((D_Points!$A$5:$A$204&lt;&gt;"")*(D_Points!$A$5:$A$204&gt;=$B820)*(D_Points!$A$5:$A$204&lt;$B820+P_Interval)*(UPPER(TRIM(D_Points!$B$5:$B$204))="GULLY")*(D_Points!$H$5:$H$204&lt;&gt;"")),D_Points!$H$5:$H$204),"")</f>
        <v/>
      </c>
      <c r="I820" s="181" t="str">
        <f>IFERROR(LOOKUP(2,1/((A_Corridor!$A$5:$A$204&lt;&gt;"")*(A_Corridor!$A$5:$A$204&lt;=$B820)*(A_Corridor!$B$5:$B$204&gt;$B820)*(A_Corridor!$F$5:$F$204&lt;&gt;"")),IF(A_Corridor!$F$5:$F$204="-","",1)),"")</f>
        <v/>
      </c>
      <c r="J820" s="182" t="str">
        <f>IFERROR(LOOKUP(2,1/((A_Corridor!$A$5:$A$204&lt;&gt;"")*(A_Corridor!$A$5:$A$204&lt;=$B820)*(A_Corridor!$B$5:$B$204&gt;$B820)*(A_Corridor!$F$5:$F$204&lt;&gt;"")),IF(A_Corridor!$F$5:$F$204="-","",A_Corridor!$F$5:$F$204)),"")</f>
        <v/>
      </c>
      <c r="K820" s="182" t="str">
        <f>IFERROR(LOOKUP(2,1/((A_Corridor!$A$5:$A$204&lt;&gt;"")*(A_Corridor!$A$5:$A$204&lt;=$B820)*(A_Corridor!$B$5:$B$204&gt;$B820)*(A_Corridor!$G$5:$G$204&lt;&gt;"")),IF(A_Corridor!$G$5:$G$204="-","",A_Corridor!$G$5:$G$204)),"")</f>
        <v/>
      </c>
      <c r="L820" s="181" t="str">
        <f>IFERROR(LOOKUP(2,1/((A_Corridor!$A$5:$A$204&lt;&gt;"")*(A_Corridor!$A$5:$A$204&lt;=$B820)*(A_Corridor!$B$5:$B$204&gt;$B820)*(A_Corridor!$H$5:$H$204&lt;&gt;"")),IF(A_Corridor!$H$5:$H$204="-","",1)),"")</f>
        <v/>
      </c>
      <c r="M820" s="182" t="str">
        <f>IFERROR(LOOKUP(2,1/((A_Corridor!$A$5:$A$204&lt;&gt;"")*(A_Corridor!$A$5:$A$204&lt;=$B820)*(A_Corridor!$B$5:$B$204&gt;$B820)*(A_Corridor!$H$5:$H$204&lt;&gt;"")),IF(A_Corridor!$H$5:$H$204="-","",A_Corridor!$H$5:$H$204)),"")</f>
        <v/>
      </c>
      <c r="N820" s="182" t="str">
        <f>IFERROR(LOOKUP(2,1/((A_Corridor!$A$5:$A$204&lt;&gt;"")*(A_Corridor!$A$5:$A$204&lt;=$B820)*(A_Corridor!$B$5:$B$204&gt;$B820)*(A_Corridor!$I$5:$I$204&lt;&gt;"")),IF(A_Corridor!$I$5:$I$204="-","",A_Corridor!$I$5:$I$204)),"")</f>
        <v/>
      </c>
      <c r="O820" s="182" t="str">
        <f>IFERROR(LOOKUP(2,1/((D_Points!$A$5:$A$204&lt;&gt;"")*(D_Points!$A$5:$A$204&gt;=$B820)*(D_Points!$A$5:$A$204&lt;$B820+P_Interval)*(UPPER(TRIM(D_Points!$B$5:$B$204))="PITCHING")*(D_Points!$H$5:$H$204&lt;&gt;"")),D_Points!$H$5:$H$204),"")</f>
        <v/>
      </c>
      <c r="P820" s="181" t="str">
        <f>IFERROR(LOOKUP(2,1/((B_Drainage!$A$5:$A$204&lt;&gt;"")*(B_Drainage!$A$5:$A$204&lt;=$B820)*(B_Drainage!$B$5:$B$204&gt;$B820)*(B_Drainage!$C$5:$C$204&lt;&gt;"")),IF(B_Drainage!$C$5:$C$204="-","",UPPER(B_Drainage!$C$5:$C$204))),"")</f>
        <v/>
      </c>
      <c r="Q820" s="181" t="str">
        <f>IFERROR(LOOKUP(2,1/((B_Drainage!$A$5:$A$204&lt;&gt;"")*(B_Drainage!$A$5:$A$204&lt;=$B820)*(B_Drainage!$B$5:$B$204&gt;$B820)*(B_Drainage!$D$5:$D$204&lt;&gt;"")),IF(B_Drainage!$D$5:$D$204="-","",UPPER(B_Drainage!$D$5:$D$204))),"")</f>
        <v/>
      </c>
      <c r="R820" s="182" t="str">
        <f>IFERROR(LOOKUP(2,1/((D_Points!$A$5:$A$204&lt;&gt;"")*(D_Points!$A$5:$A$204&gt;=$B820)*(D_Points!$A$5:$A$204&lt;$B820+P_Interval)*(RIGHT(UPPER(TRIM(D_Points!$B$5:$B$204)),8)="_CULVERT")),IF(LEFT(UPPER(TRIM(D_Points!$B$5:$B$204)),2)="EX",1,IF(LEFT(UPPER(TRIM(D_Points!$B$5:$B$204)),2)="PR",2,3))),"")</f>
        <v/>
      </c>
      <c r="S820" s="182" t="str">
        <f>IFERROR(LOOKUP(2,1/((D_Points!$A$5:$A$204&lt;&gt;"")*(D_Points!$A$5:$A$204&gt;=$B820)*(D_Points!$A$5:$A$204&lt;$B820+P_Interval)*(RIGHT(UPPER(TRIM(D_Points!$B$5:$B$204)),7)="_BRIDGE")),IF(LEFT(UPPER(TRIM(D_Points!$B$5:$B$204)),2)="EX",1,IF(LEFT(UPPER(TRIM(D_Points!$B$5:$B$204)),2)="PR",2,2))),"")</f>
        <v/>
      </c>
      <c r="T820" s="181" t="str">
        <f>IFERROR(LOOKUP(2,1/((B_Drainage!$A$5:$A$204&lt;&gt;"")*(B_Drainage!$A$5:$A$204&lt;=$B820)*(B_Drainage!$B$5:$B$204&gt;$B820)*(B_Drainage!$E$5:$E$204&lt;&gt;"")),IF(B_Drainage!$E$5:$E$204="-","",1)),"")</f>
        <v/>
      </c>
      <c r="U820" s="181" t="str">
        <f>IFERROR(LOOKUP(2,1/((B_Drainage!$A$5:$A$204&lt;&gt;"")*(B_Drainage!$A$5:$A$204&lt;=$B820)*(B_Drainage!$B$5:$B$204&gt;$B820)*(B_Drainage!$E$5:$E$204&lt;&gt;"")),IF(B_Drainage!$E$5:$E$204="-","",B_Drainage!$E$5:$E$204)),"")</f>
        <v/>
      </c>
      <c r="V820" s="181" t="str">
        <f>IFERROR(LOOKUP(2,1/((B_Drainage!$A$5:$A$204&lt;&gt;"")*(B_Drainage!$A$5:$A$204&lt;=$B820)*(B_Drainage!$B$5:$B$204&gt;$B820)*(B_Drainage!$F$5:$F$204&lt;&gt;"")),IF(B_Drainage!$F$5:$F$204="-","",1)),"")</f>
        <v/>
      </c>
      <c r="W820" s="181" t="str">
        <f>IFERROR(LOOKUP(2,1/((B_Drainage!$A$5:$A$204&lt;&gt;"")*(B_Drainage!$A$5:$A$204&lt;=$B820)*(B_Drainage!$B$5:$B$204&gt;$B820)*(B_Drainage!$F$5:$F$204&lt;&gt;"")),IF(B_Drainage!$F$5:$F$204="-","",B_Drainage!$F$5:$F$204)),"")</f>
        <v/>
      </c>
      <c r="X820" s="181" t="str">
        <f>IFERROR(LOOKUP(2,1/((B_Drainage!$A$5:$A$204&lt;&gt;"")*(B_Drainage!$A$5:$A$204&lt;=$B820)*(B_Drainage!$B$5:$B$204&gt;$B820)*(B_Drainage!$G$5:$G$204&lt;&gt;"")),IF(UPPER(B_Drainage!$G$5:$G$204)="Y",1,"")),"")</f>
        <v/>
      </c>
      <c r="Y820" s="181" t="str">
        <f>IFERROR(LOOKUP(2,1/((B_Drainage!$A$5:$A$204&lt;&gt;"")*(B_Drainage!$A$5:$A$204&lt;=$B820)*(B_Drainage!$B$5:$B$204&gt;$B820)*(B_Drainage!$H$5:$H$204&lt;&gt;"")),IF(UPPER(B_Drainage!$H$5:$H$204)="Y",1,"")),"")</f>
        <v/>
      </c>
      <c r="Z820" s="181" t="str">
        <f>IFERROR(LOOKUP(2,1/((B_Drainage!$A$5:$A$204&lt;&gt;"")*(B_Drainage!$A$5:$A$204&lt;=$B820)*(B_Drainage!$B$5:$B$204&gt;$B820)*(B_Drainage!$I$5:$I$204&lt;&gt;"")),IF(UPPER(B_Drainage!$I$5:$I$204)="Y",1,"")),"")</f>
        <v/>
      </c>
      <c r="AA820" s="181" t="str">
        <f>IFERROR(LOOKUP(2,1/((B_Drainage!$A$5:$A$204&lt;&gt;"")*(B_Drainage!$A$5:$A$204&lt;=$B820)*(B_Drainage!$B$5:$B$204&gt;$B820)*(B_Drainage!$J$5:$J$204&lt;&gt;"")),IF(UPPER(B_Drainage!$J$5:$J$204)="Y",1,"")),"")</f>
        <v/>
      </c>
      <c r="AB820" s="182" t="str">
        <f>IFERROR(LOOKUP(2,1/((B_Drainage!$A$5:$A$204&lt;&gt;"")*(B_Drainage!$A$5:$A$204&lt;=$B820)*(B_Drainage!$B$5:$B$204&gt;$B820)*(B_Drainage!$K$5:$K$204&lt;&gt;"")),IF(B_Drainage!$K$5:$K$204="-","",B_Drainage!$K$5:$K$204)),"")</f>
        <v/>
      </c>
      <c r="AC820" s="182" t="str">
        <f>IFERROR(LOOKUP(2,1/((B_Drainage!$A$5:$A$204&lt;&gt;"")*(B_Drainage!$A$5:$A$204&lt;=$B820)*(B_Drainage!$B$5:$B$204&gt;$B820)*(B_Drainage!$L$5:$L$204&lt;&gt;"")),IF(B_Drainage!$L$5:$L$204="-","",B_Drainage!$L$5:$L$204)),"")</f>
        <v/>
      </c>
      <c r="AD820" s="182" t="str">
        <f>IFERROR(LOOKUP(2,1/((D_Points!$A$5:$A$204&lt;&gt;"")*(D_Points!$A$5:$A$204&gt;=$B820)*(D_Points!$A$5:$A$204&lt;$B820+P_Interval)*(UPPER(TRIM(D_Points!$B$5:$B$204))="TURNOUT_L")*(D_Points!$H$5:$H$204&lt;&gt;"")),D_Points!$H$5:$H$204),"")</f>
        <v/>
      </c>
      <c r="AE820" s="182" t="str">
        <f>IFERROR(LOOKUP(2,1/((D_Points!$A$5:$A$204&lt;&gt;"")*(D_Points!$A$5:$A$204&gt;=$B820)*(D_Points!$A$5:$A$204&lt;$B820+P_Interval)*(UPPER(TRIM(D_Points!$B$5:$B$204))="TURNOUT_R")*(D_Points!$H$5:$H$204&lt;&gt;"")),D_Points!$H$5:$H$204),"")</f>
        <v/>
      </c>
      <c r="AF820" s="181" t="str">
        <f>IFERROR(LOOKUP(2,1/((B_Drainage!$A$5:$A$204&lt;&gt;"")*(B_Drainage!$A$5:$A$204&lt;=$B820)*(B_Drainage!$B$5:$B$204&gt;$B820)*(B_Drainage!$M$5:$M$204&lt;&gt;"")),IF(UPPER(B_Drainage!$M$5:$M$204)="Y",1,"")),"")</f>
        <v/>
      </c>
      <c r="AG820" s="181" t="str">
        <f>IFERROR(LOOKUP(2,1/((B_Drainage!$A$5:$A$204&lt;&gt;"")*(B_Drainage!$A$5:$A$204&lt;=$B820)*(B_Drainage!$B$5:$B$204&gt;$B820)*(B_Drainage!$N$5:$N$204&lt;&gt;"")),IF(UPPER(B_Drainage!$N$5:$N$204)="Y",1,"")),"")</f>
        <v/>
      </c>
      <c r="AH820" s="181" t="str">
        <f t="shared" si="96"/>
        <v/>
      </c>
      <c r="AI820" s="181" t="str">
        <f t="shared" si="97"/>
        <v/>
      </c>
      <c r="AJ820" s="181" t="str">
        <f t="shared" si="98"/>
        <v/>
      </c>
      <c r="AK820" s="181" t="str">
        <f t="shared" si="99"/>
        <v/>
      </c>
      <c r="AL820" s="181" t="str">
        <f t="shared" si="100"/>
        <v/>
      </c>
      <c r="AM820" s="181" t="str">
        <f t="shared" si="101"/>
        <v/>
      </c>
      <c r="AN820" s="181" t="str">
        <f t="shared" si="102"/>
        <v/>
      </c>
      <c r="AO820" s="192" t="str">
        <f t="shared" si="103"/>
        <v/>
      </c>
      <c r="AQ820" t="str">
        <f>IFERROR(LOOKUP(2,1/((C_Pavement!$A$5:$A$204&lt;&gt;"")*(C_Pavement!$A$5:$A$204&lt;=$B820)*(C_Pavement!$B$5:$B$204&gt;$B820)*(C_Pavement!$C$5:$C$204&lt;&gt;"")),ROW(C_Pavement!$C$5:$C$204)-4),"")</f>
        <v/>
      </c>
      <c r="AR820" t="str">
        <f>IF($AQ820="","",UPPER(TRIM(INDEX(C_Pavement!$C$5:$C$204,$AQ820))))</f>
        <v/>
      </c>
      <c r="AS820" t="str">
        <f>IF($AR820="","",IFERROR(MATCH($AR820,E_Rules!$A$5:$A$9,0),""))</f>
        <v/>
      </c>
      <c r="AT820" t="str">
        <f>IF($AQ820="","",IF(INDEX(C_Pavement!$D$5:$D$204,$AQ820)&lt;&gt;"",UPPER(TRIM(INDEX(C_Pavement!$D$5:$D$204,$AQ820))),IF($AS820="","",INDEX(E_Rules!$C$5:$C$9,$AS820))))</f>
        <v/>
      </c>
      <c r="AU820" t="str">
        <f>IF($AQ820="","",IF(INDEX(C_Pavement!$E$5:$E$204,$AQ820)&lt;&gt;"",IF(INDEX(C_Pavement!$E$5:$E$204,$AQ820)="-","",INDEX(C_Pavement!$E$5:$E$204,$AQ820)),IF($AS820="","",INDEX(E_Rules!$D$5:$D$9,$AS820))))</f>
        <v/>
      </c>
      <c r="AV820" t="str">
        <f>IF($AQ820="","",IF(INDEX(C_Pavement!$F$5:$F$204,$AQ820)&lt;&gt;"",IF(INDEX(C_Pavement!$F$5:$F$204,$AQ820)="-","",INDEX(C_Pavement!$F$5:$F$204,$AQ820)),IF($AS820="","",INDEX(E_Rules!$E$5:$E$9,$AS820))))</f>
        <v/>
      </c>
      <c r="AW820" t="str">
        <f>IF($AQ820="","",IF(INDEX(C_Pavement!$G$5:$G$204,$AQ820)&lt;&gt;"",IF(INDEX(C_Pavement!$G$5:$G$204,$AQ820)="-","",INDEX(C_Pavement!$G$5:$G$204,$AQ820)),IF($AS820="","",INDEX(E_Rules!$F$5:$F$9,$AS820))))</f>
        <v/>
      </c>
      <c r="AX820" t="str">
        <f>IF($AQ820="","",IF(INDEX(C_Pavement!$H$5:$H$204,$AQ820)&lt;&gt;"",IF(INDEX(C_Pavement!$H$5:$H$204,$AQ820)="-","",INDEX(C_Pavement!$H$5:$H$204,$AQ820)),IF($AS820="","",INDEX(E_Rules!$G$5:$G$9,$AS820))))</f>
        <v/>
      </c>
      <c r="AY820" t="str">
        <f>IF($AQ820="","",IF(INDEX(C_Pavement!$I$5:$I$204,$AQ820)&lt;&gt;"",IF(INDEX(C_Pavement!$I$5:$I$204,$AQ820)="-","",INDEX(C_Pavement!$I$5:$I$204,$AQ820)),IF($AS820="","",INDEX(E_Rules!$H$5:$H$9,$AS820))))</f>
        <v/>
      </c>
    </row>
    <row r="821" spans="1:51" ht="15.75" customHeight="1" x14ac:dyDescent="0.3">
      <c r="A821" s="189">
        <v>816</v>
      </c>
      <c r="B821" s="180">
        <v>40750</v>
      </c>
      <c r="C821" s="180" t="s">
        <v>1127</v>
      </c>
      <c r="D821" s="181" t="str">
        <f>IFERROR(LOOKUP(2,1/((A_Corridor!$A$5:$A$204&lt;&gt;"")*(A_Corridor!$A$5:$A$204&lt;=$B821)*(A_Corridor!$B$5:$B$204&gt;$B821)*(A_Corridor!$C$5:$C$204&lt;&gt;"")),IF(UPPER(A_Corridor!$C$5:$C$204)="Y",1,"")),"")</f>
        <v/>
      </c>
      <c r="E821" s="181" t="str">
        <f>IFERROR(LOOKUP(2,1/((A_Corridor!$A$5:$A$204&lt;&gt;"")*(A_Corridor!$A$5:$A$204&lt;=$B821)*(A_Corridor!$B$5:$B$204&gt;$B821)*(A_Corridor!$D$5:$D$204&lt;&gt;"")),IF(A_Corridor!$D$5:$D$204="-","",UPPER(A_Corridor!$D$5:$D$204))),"")</f>
        <v/>
      </c>
      <c r="F821" s="181" t="str">
        <f>IFERROR(LOOKUP(2,1/((A_Corridor!$A$5:$A$204&lt;&gt;"")*(A_Corridor!$A$5:$A$204&lt;=$B821)*(A_Corridor!$B$5:$B$204&gt;$B821)*(A_Corridor!$E$5:$E$204&lt;&gt;"")),IF(A_Corridor!$E$5:$E$204="-","",1)),"")</f>
        <v/>
      </c>
      <c r="G821" s="182" t="str">
        <f>IFERROR(LOOKUP(2,1/((A_Corridor!$A$5:$A$204&lt;&gt;"")*(A_Corridor!$A$5:$A$204&lt;=$B821)*(A_Corridor!$B$5:$B$204&gt;$B821)*(A_Corridor!$E$5:$E$204&lt;&gt;"")),IF(A_Corridor!$E$5:$E$204="-","",A_Corridor!$E$5:$E$204)),"")</f>
        <v/>
      </c>
      <c r="H821" s="182" t="str">
        <f>IFERROR(LOOKUP(2,1/((D_Points!$A$5:$A$204&lt;&gt;"")*(D_Points!$A$5:$A$204&gt;=$B821)*(D_Points!$A$5:$A$204&lt;$B821+P_Interval)*(UPPER(TRIM(D_Points!$B$5:$B$204))="GULLY")*(D_Points!$H$5:$H$204&lt;&gt;"")),D_Points!$H$5:$H$204),"")</f>
        <v/>
      </c>
      <c r="I821" s="181" t="str">
        <f>IFERROR(LOOKUP(2,1/((A_Corridor!$A$5:$A$204&lt;&gt;"")*(A_Corridor!$A$5:$A$204&lt;=$B821)*(A_Corridor!$B$5:$B$204&gt;$B821)*(A_Corridor!$F$5:$F$204&lt;&gt;"")),IF(A_Corridor!$F$5:$F$204="-","",1)),"")</f>
        <v/>
      </c>
      <c r="J821" s="182" t="str">
        <f>IFERROR(LOOKUP(2,1/((A_Corridor!$A$5:$A$204&lt;&gt;"")*(A_Corridor!$A$5:$A$204&lt;=$B821)*(A_Corridor!$B$5:$B$204&gt;$B821)*(A_Corridor!$F$5:$F$204&lt;&gt;"")),IF(A_Corridor!$F$5:$F$204="-","",A_Corridor!$F$5:$F$204)),"")</f>
        <v/>
      </c>
      <c r="K821" s="182" t="str">
        <f>IFERROR(LOOKUP(2,1/((A_Corridor!$A$5:$A$204&lt;&gt;"")*(A_Corridor!$A$5:$A$204&lt;=$B821)*(A_Corridor!$B$5:$B$204&gt;$B821)*(A_Corridor!$G$5:$G$204&lt;&gt;"")),IF(A_Corridor!$G$5:$G$204="-","",A_Corridor!$G$5:$G$204)),"")</f>
        <v/>
      </c>
      <c r="L821" s="181" t="str">
        <f>IFERROR(LOOKUP(2,1/((A_Corridor!$A$5:$A$204&lt;&gt;"")*(A_Corridor!$A$5:$A$204&lt;=$B821)*(A_Corridor!$B$5:$B$204&gt;$B821)*(A_Corridor!$H$5:$H$204&lt;&gt;"")),IF(A_Corridor!$H$5:$H$204="-","",1)),"")</f>
        <v/>
      </c>
      <c r="M821" s="182" t="str">
        <f>IFERROR(LOOKUP(2,1/((A_Corridor!$A$5:$A$204&lt;&gt;"")*(A_Corridor!$A$5:$A$204&lt;=$B821)*(A_Corridor!$B$5:$B$204&gt;$B821)*(A_Corridor!$H$5:$H$204&lt;&gt;"")),IF(A_Corridor!$H$5:$H$204="-","",A_Corridor!$H$5:$H$204)),"")</f>
        <v/>
      </c>
      <c r="N821" s="182" t="str">
        <f>IFERROR(LOOKUP(2,1/((A_Corridor!$A$5:$A$204&lt;&gt;"")*(A_Corridor!$A$5:$A$204&lt;=$B821)*(A_Corridor!$B$5:$B$204&gt;$B821)*(A_Corridor!$I$5:$I$204&lt;&gt;"")),IF(A_Corridor!$I$5:$I$204="-","",A_Corridor!$I$5:$I$204)),"")</f>
        <v/>
      </c>
      <c r="O821" s="182" t="str">
        <f>IFERROR(LOOKUP(2,1/((D_Points!$A$5:$A$204&lt;&gt;"")*(D_Points!$A$5:$A$204&gt;=$B821)*(D_Points!$A$5:$A$204&lt;$B821+P_Interval)*(UPPER(TRIM(D_Points!$B$5:$B$204))="PITCHING")*(D_Points!$H$5:$H$204&lt;&gt;"")),D_Points!$H$5:$H$204),"")</f>
        <v/>
      </c>
      <c r="P821" s="181" t="str">
        <f>IFERROR(LOOKUP(2,1/((B_Drainage!$A$5:$A$204&lt;&gt;"")*(B_Drainage!$A$5:$A$204&lt;=$B821)*(B_Drainage!$B$5:$B$204&gt;$B821)*(B_Drainage!$C$5:$C$204&lt;&gt;"")),IF(B_Drainage!$C$5:$C$204="-","",UPPER(B_Drainage!$C$5:$C$204))),"")</f>
        <v/>
      </c>
      <c r="Q821" s="181" t="str">
        <f>IFERROR(LOOKUP(2,1/((B_Drainage!$A$5:$A$204&lt;&gt;"")*(B_Drainage!$A$5:$A$204&lt;=$B821)*(B_Drainage!$B$5:$B$204&gt;$B821)*(B_Drainage!$D$5:$D$204&lt;&gt;"")),IF(B_Drainage!$D$5:$D$204="-","",UPPER(B_Drainage!$D$5:$D$204))),"")</f>
        <v/>
      </c>
      <c r="R821" s="182" t="str">
        <f>IFERROR(LOOKUP(2,1/((D_Points!$A$5:$A$204&lt;&gt;"")*(D_Points!$A$5:$A$204&gt;=$B821)*(D_Points!$A$5:$A$204&lt;$B821+P_Interval)*(RIGHT(UPPER(TRIM(D_Points!$B$5:$B$204)),8)="_CULVERT")),IF(LEFT(UPPER(TRIM(D_Points!$B$5:$B$204)),2)="EX",1,IF(LEFT(UPPER(TRIM(D_Points!$B$5:$B$204)),2)="PR",2,3))),"")</f>
        <v/>
      </c>
      <c r="S821" s="182" t="str">
        <f>IFERROR(LOOKUP(2,1/((D_Points!$A$5:$A$204&lt;&gt;"")*(D_Points!$A$5:$A$204&gt;=$B821)*(D_Points!$A$5:$A$204&lt;$B821+P_Interval)*(RIGHT(UPPER(TRIM(D_Points!$B$5:$B$204)),7)="_BRIDGE")),IF(LEFT(UPPER(TRIM(D_Points!$B$5:$B$204)),2)="EX",1,IF(LEFT(UPPER(TRIM(D_Points!$B$5:$B$204)),2)="PR",2,2))),"")</f>
        <v/>
      </c>
      <c r="T821" s="181" t="str">
        <f>IFERROR(LOOKUP(2,1/((B_Drainage!$A$5:$A$204&lt;&gt;"")*(B_Drainage!$A$5:$A$204&lt;=$B821)*(B_Drainage!$B$5:$B$204&gt;$B821)*(B_Drainage!$E$5:$E$204&lt;&gt;"")),IF(B_Drainage!$E$5:$E$204="-","",1)),"")</f>
        <v/>
      </c>
      <c r="U821" s="181" t="str">
        <f>IFERROR(LOOKUP(2,1/((B_Drainage!$A$5:$A$204&lt;&gt;"")*(B_Drainage!$A$5:$A$204&lt;=$B821)*(B_Drainage!$B$5:$B$204&gt;$B821)*(B_Drainage!$E$5:$E$204&lt;&gt;"")),IF(B_Drainage!$E$5:$E$204="-","",B_Drainage!$E$5:$E$204)),"")</f>
        <v/>
      </c>
      <c r="V821" s="181" t="str">
        <f>IFERROR(LOOKUP(2,1/((B_Drainage!$A$5:$A$204&lt;&gt;"")*(B_Drainage!$A$5:$A$204&lt;=$B821)*(B_Drainage!$B$5:$B$204&gt;$B821)*(B_Drainage!$F$5:$F$204&lt;&gt;"")),IF(B_Drainage!$F$5:$F$204="-","",1)),"")</f>
        <v/>
      </c>
      <c r="W821" s="181" t="str">
        <f>IFERROR(LOOKUP(2,1/((B_Drainage!$A$5:$A$204&lt;&gt;"")*(B_Drainage!$A$5:$A$204&lt;=$B821)*(B_Drainage!$B$5:$B$204&gt;$B821)*(B_Drainage!$F$5:$F$204&lt;&gt;"")),IF(B_Drainage!$F$5:$F$204="-","",B_Drainage!$F$5:$F$204)),"")</f>
        <v/>
      </c>
      <c r="X821" s="181" t="str">
        <f>IFERROR(LOOKUP(2,1/((B_Drainage!$A$5:$A$204&lt;&gt;"")*(B_Drainage!$A$5:$A$204&lt;=$B821)*(B_Drainage!$B$5:$B$204&gt;$B821)*(B_Drainage!$G$5:$G$204&lt;&gt;"")),IF(UPPER(B_Drainage!$G$5:$G$204)="Y",1,"")),"")</f>
        <v/>
      </c>
      <c r="Y821" s="181" t="str">
        <f>IFERROR(LOOKUP(2,1/((B_Drainage!$A$5:$A$204&lt;&gt;"")*(B_Drainage!$A$5:$A$204&lt;=$B821)*(B_Drainage!$B$5:$B$204&gt;$B821)*(B_Drainage!$H$5:$H$204&lt;&gt;"")),IF(UPPER(B_Drainage!$H$5:$H$204)="Y",1,"")),"")</f>
        <v/>
      </c>
      <c r="Z821" s="181" t="str">
        <f>IFERROR(LOOKUP(2,1/((B_Drainage!$A$5:$A$204&lt;&gt;"")*(B_Drainage!$A$5:$A$204&lt;=$B821)*(B_Drainage!$B$5:$B$204&gt;$B821)*(B_Drainage!$I$5:$I$204&lt;&gt;"")),IF(UPPER(B_Drainage!$I$5:$I$204)="Y",1,"")),"")</f>
        <v/>
      </c>
      <c r="AA821" s="181" t="str">
        <f>IFERROR(LOOKUP(2,1/((B_Drainage!$A$5:$A$204&lt;&gt;"")*(B_Drainage!$A$5:$A$204&lt;=$B821)*(B_Drainage!$B$5:$B$204&gt;$B821)*(B_Drainage!$J$5:$J$204&lt;&gt;"")),IF(UPPER(B_Drainage!$J$5:$J$204)="Y",1,"")),"")</f>
        <v/>
      </c>
      <c r="AB821" s="182" t="str">
        <f>IFERROR(LOOKUP(2,1/((B_Drainage!$A$5:$A$204&lt;&gt;"")*(B_Drainage!$A$5:$A$204&lt;=$B821)*(B_Drainage!$B$5:$B$204&gt;$B821)*(B_Drainage!$K$5:$K$204&lt;&gt;"")),IF(B_Drainage!$K$5:$K$204="-","",B_Drainage!$K$5:$K$204)),"")</f>
        <v/>
      </c>
      <c r="AC821" s="182" t="str">
        <f>IFERROR(LOOKUP(2,1/((B_Drainage!$A$5:$A$204&lt;&gt;"")*(B_Drainage!$A$5:$A$204&lt;=$B821)*(B_Drainage!$B$5:$B$204&gt;$B821)*(B_Drainage!$L$5:$L$204&lt;&gt;"")),IF(B_Drainage!$L$5:$L$204="-","",B_Drainage!$L$5:$L$204)),"")</f>
        <v/>
      </c>
      <c r="AD821" s="182" t="str">
        <f>IFERROR(LOOKUP(2,1/((D_Points!$A$5:$A$204&lt;&gt;"")*(D_Points!$A$5:$A$204&gt;=$B821)*(D_Points!$A$5:$A$204&lt;$B821+P_Interval)*(UPPER(TRIM(D_Points!$B$5:$B$204))="TURNOUT_L")*(D_Points!$H$5:$H$204&lt;&gt;"")),D_Points!$H$5:$H$204),"")</f>
        <v/>
      </c>
      <c r="AE821" s="182" t="str">
        <f>IFERROR(LOOKUP(2,1/((D_Points!$A$5:$A$204&lt;&gt;"")*(D_Points!$A$5:$A$204&gt;=$B821)*(D_Points!$A$5:$A$204&lt;$B821+P_Interval)*(UPPER(TRIM(D_Points!$B$5:$B$204))="TURNOUT_R")*(D_Points!$H$5:$H$204&lt;&gt;"")),D_Points!$H$5:$H$204),"")</f>
        <v/>
      </c>
      <c r="AF821" s="181" t="str">
        <f>IFERROR(LOOKUP(2,1/((B_Drainage!$A$5:$A$204&lt;&gt;"")*(B_Drainage!$A$5:$A$204&lt;=$B821)*(B_Drainage!$B$5:$B$204&gt;$B821)*(B_Drainage!$M$5:$M$204&lt;&gt;"")),IF(UPPER(B_Drainage!$M$5:$M$204)="Y",1,"")),"")</f>
        <v/>
      </c>
      <c r="AG821" s="181" t="str">
        <f>IFERROR(LOOKUP(2,1/((B_Drainage!$A$5:$A$204&lt;&gt;"")*(B_Drainage!$A$5:$A$204&lt;=$B821)*(B_Drainage!$B$5:$B$204&gt;$B821)*(B_Drainage!$N$5:$N$204&lt;&gt;"")),IF(UPPER(B_Drainage!$N$5:$N$204)="Y",1,"")),"")</f>
        <v/>
      </c>
      <c r="AH821" s="181" t="str">
        <f t="shared" si="96"/>
        <v/>
      </c>
      <c r="AI821" s="181" t="str">
        <f t="shared" si="97"/>
        <v/>
      </c>
      <c r="AJ821" s="181" t="str">
        <f t="shared" si="98"/>
        <v/>
      </c>
      <c r="AK821" s="181" t="str">
        <f t="shared" si="99"/>
        <v/>
      </c>
      <c r="AL821" s="181" t="str">
        <f t="shared" si="100"/>
        <v/>
      </c>
      <c r="AM821" s="181" t="str">
        <f t="shared" si="101"/>
        <v/>
      </c>
      <c r="AN821" s="181" t="str">
        <f t="shared" si="102"/>
        <v/>
      </c>
      <c r="AO821" s="192" t="str">
        <f t="shared" si="103"/>
        <v/>
      </c>
      <c r="AQ821" t="str">
        <f>IFERROR(LOOKUP(2,1/((C_Pavement!$A$5:$A$204&lt;&gt;"")*(C_Pavement!$A$5:$A$204&lt;=$B821)*(C_Pavement!$B$5:$B$204&gt;$B821)*(C_Pavement!$C$5:$C$204&lt;&gt;"")),ROW(C_Pavement!$C$5:$C$204)-4),"")</f>
        <v/>
      </c>
      <c r="AR821" t="str">
        <f>IF($AQ821="","",UPPER(TRIM(INDEX(C_Pavement!$C$5:$C$204,$AQ821))))</f>
        <v/>
      </c>
      <c r="AS821" t="str">
        <f>IF($AR821="","",IFERROR(MATCH($AR821,E_Rules!$A$5:$A$9,0),""))</f>
        <v/>
      </c>
      <c r="AT821" t="str">
        <f>IF($AQ821="","",IF(INDEX(C_Pavement!$D$5:$D$204,$AQ821)&lt;&gt;"",UPPER(TRIM(INDEX(C_Pavement!$D$5:$D$204,$AQ821))),IF($AS821="","",INDEX(E_Rules!$C$5:$C$9,$AS821))))</f>
        <v/>
      </c>
      <c r="AU821" t="str">
        <f>IF($AQ821="","",IF(INDEX(C_Pavement!$E$5:$E$204,$AQ821)&lt;&gt;"",IF(INDEX(C_Pavement!$E$5:$E$204,$AQ821)="-","",INDEX(C_Pavement!$E$5:$E$204,$AQ821)),IF($AS821="","",INDEX(E_Rules!$D$5:$D$9,$AS821))))</f>
        <v/>
      </c>
      <c r="AV821" t="str">
        <f>IF($AQ821="","",IF(INDEX(C_Pavement!$F$5:$F$204,$AQ821)&lt;&gt;"",IF(INDEX(C_Pavement!$F$5:$F$204,$AQ821)="-","",INDEX(C_Pavement!$F$5:$F$204,$AQ821)),IF($AS821="","",INDEX(E_Rules!$E$5:$E$9,$AS821))))</f>
        <v/>
      </c>
      <c r="AW821" t="str">
        <f>IF($AQ821="","",IF(INDEX(C_Pavement!$G$5:$G$204,$AQ821)&lt;&gt;"",IF(INDEX(C_Pavement!$G$5:$G$204,$AQ821)="-","",INDEX(C_Pavement!$G$5:$G$204,$AQ821)),IF($AS821="","",INDEX(E_Rules!$F$5:$F$9,$AS821))))</f>
        <v/>
      </c>
      <c r="AX821" t="str">
        <f>IF($AQ821="","",IF(INDEX(C_Pavement!$H$5:$H$204,$AQ821)&lt;&gt;"",IF(INDEX(C_Pavement!$H$5:$H$204,$AQ821)="-","",INDEX(C_Pavement!$H$5:$H$204,$AQ821)),IF($AS821="","",INDEX(E_Rules!$G$5:$G$9,$AS821))))</f>
        <v/>
      </c>
      <c r="AY821" t="str">
        <f>IF($AQ821="","",IF(INDEX(C_Pavement!$I$5:$I$204,$AQ821)&lt;&gt;"",IF(INDEX(C_Pavement!$I$5:$I$204,$AQ821)="-","",INDEX(C_Pavement!$I$5:$I$204,$AQ821)),IF($AS821="","",INDEX(E_Rules!$H$5:$H$9,$AS821))))</f>
        <v/>
      </c>
    </row>
    <row r="822" spans="1:51" ht="15.75" customHeight="1" x14ac:dyDescent="0.3">
      <c r="A822" s="189">
        <v>817</v>
      </c>
      <c r="B822" s="180">
        <v>40800</v>
      </c>
      <c r="C822" s="180" t="s">
        <v>1128</v>
      </c>
      <c r="D822" s="181" t="str">
        <f>IFERROR(LOOKUP(2,1/((A_Corridor!$A$5:$A$204&lt;&gt;"")*(A_Corridor!$A$5:$A$204&lt;=$B822)*(A_Corridor!$B$5:$B$204&gt;$B822)*(A_Corridor!$C$5:$C$204&lt;&gt;"")),IF(UPPER(A_Corridor!$C$5:$C$204)="Y",1,"")),"")</f>
        <v/>
      </c>
      <c r="E822" s="181" t="str">
        <f>IFERROR(LOOKUP(2,1/((A_Corridor!$A$5:$A$204&lt;&gt;"")*(A_Corridor!$A$5:$A$204&lt;=$B822)*(A_Corridor!$B$5:$B$204&gt;$B822)*(A_Corridor!$D$5:$D$204&lt;&gt;"")),IF(A_Corridor!$D$5:$D$204="-","",UPPER(A_Corridor!$D$5:$D$204))),"")</f>
        <v/>
      </c>
      <c r="F822" s="181" t="str">
        <f>IFERROR(LOOKUP(2,1/((A_Corridor!$A$5:$A$204&lt;&gt;"")*(A_Corridor!$A$5:$A$204&lt;=$B822)*(A_Corridor!$B$5:$B$204&gt;$B822)*(A_Corridor!$E$5:$E$204&lt;&gt;"")),IF(A_Corridor!$E$5:$E$204="-","",1)),"")</f>
        <v/>
      </c>
      <c r="G822" s="182" t="str">
        <f>IFERROR(LOOKUP(2,1/((A_Corridor!$A$5:$A$204&lt;&gt;"")*(A_Corridor!$A$5:$A$204&lt;=$B822)*(A_Corridor!$B$5:$B$204&gt;$B822)*(A_Corridor!$E$5:$E$204&lt;&gt;"")),IF(A_Corridor!$E$5:$E$204="-","",A_Corridor!$E$5:$E$204)),"")</f>
        <v/>
      </c>
      <c r="H822" s="182" t="str">
        <f>IFERROR(LOOKUP(2,1/((D_Points!$A$5:$A$204&lt;&gt;"")*(D_Points!$A$5:$A$204&gt;=$B822)*(D_Points!$A$5:$A$204&lt;$B822+P_Interval)*(UPPER(TRIM(D_Points!$B$5:$B$204))="GULLY")*(D_Points!$H$5:$H$204&lt;&gt;"")),D_Points!$H$5:$H$204),"")</f>
        <v/>
      </c>
      <c r="I822" s="181" t="str">
        <f>IFERROR(LOOKUP(2,1/((A_Corridor!$A$5:$A$204&lt;&gt;"")*(A_Corridor!$A$5:$A$204&lt;=$B822)*(A_Corridor!$B$5:$B$204&gt;$B822)*(A_Corridor!$F$5:$F$204&lt;&gt;"")),IF(A_Corridor!$F$5:$F$204="-","",1)),"")</f>
        <v/>
      </c>
      <c r="J822" s="182" t="str">
        <f>IFERROR(LOOKUP(2,1/((A_Corridor!$A$5:$A$204&lt;&gt;"")*(A_Corridor!$A$5:$A$204&lt;=$B822)*(A_Corridor!$B$5:$B$204&gt;$B822)*(A_Corridor!$F$5:$F$204&lt;&gt;"")),IF(A_Corridor!$F$5:$F$204="-","",A_Corridor!$F$5:$F$204)),"")</f>
        <v/>
      </c>
      <c r="K822" s="182" t="str">
        <f>IFERROR(LOOKUP(2,1/((A_Corridor!$A$5:$A$204&lt;&gt;"")*(A_Corridor!$A$5:$A$204&lt;=$B822)*(A_Corridor!$B$5:$B$204&gt;$B822)*(A_Corridor!$G$5:$G$204&lt;&gt;"")),IF(A_Corridor!$G$5:$G$204="-","",A_Corridor!$G$5:$G$204)),"")</f>
        <v/>
      </c>
      <c r="L822" s="181" t="str">
        <f>IFERROR(LOOKUP(2,1/((A_Corridor!$A$5:$A$204&lt;&gt;"")*(A_Corridor!$A$5:$A$204&lt;=$B822)*(A_Corridor!$B$5:$B$204&gt;$B822)*(A_Corridor!$H$5:$H$204&lt;&gt;"")),IF(A_Corridor!$H$5:$H$204="-","",1)),"")</f>
        <v/>
      </c>
      <c r="M822" s="182" t="str">
        <f>IFERROR(LOOKUP(2,1/((A_Corridor!$A$5:$A$204&lt;&gt;"")*(A_Corridor!$A$5:$A$204&lt;=$B822)*(A_Corridor!$B$5:$B$204&gt;$B822)*(A_Corridor!$H$5:$H$204&lt;&gt;"")),IF(A_Corridor!$H$5:$H$204="-","",A_Corridor!$H$5:$H$204)),"")</f>
        <v/>
      </c>
      <c r="N822" s="182" t="str">
        <f>IFERROR(LOOKUP(2,1/((A_Corridor!$A$5:$A$204&lt;&gt;"")*(A_Corridor!$A$5:$A$204&lt;=$B822)*(A_Corridor!$B$5:$B$204&gt;$B822)*(A_Corridor!$I$5:$I$204&lt;&gt;"")),IF(A_Corridor!$I$5:$I$204="-","",A_Corridor!$I$5:$I$204)),"")</f>
        <v/>
      </c>
      <c r="O822" s="182" t="str">
        <f>IFERROR(LOOKUP(2,1/((D_Points!$A$5:$A$204&lt;&gt;"")*(D_Points!$A$5:$A$204&gt;=$B822)*(D_Points!$A$5:$A$204&lt;$B822+P_Interval)*(UPPER(TRIM(D_Points!$B$5:$B$204))="PITCHING")*(D_Points!$H$5:$H$204&lt;&gt;"")),D_Points!$H$5:$H$204),"")</f>
        <v/>
      </c>
      <c r="P822" s="181" t="str">
        <f>IFERROR(LOOKUP(2,1/((B_Drainage!$A$5:$A$204&lt;&gt;"")*(B_Drainage!$A$5:$A$204&lt;=$B822)*(B_Drainage!$B$5:$B$204&gt;$B822)*(B_Drainage!$C$5:$C$204&lt;&gt;"")),IF(B_Drainage!$C$5:$C$204="-","",UPPER(B_Drainage!$C$5:$C$204))),"")</f>
        <v/>
      </c>
      <c r="Q822" s="181" t="str">
        <f>IFERROR(LOOKUP(2,1/((B_Drainage!$A$5:$A$204&lt;&gt;"")*(B_Drainage!$A$5:$A$204&lt;=$B822)*(B_Drainage!$B$5:$B$204&gt;$B822)*(B_Drainage!$D$5:$D$204&lt;&gt;"")),IF(B_Drainage!$D$5:$D$204="-","",UPPER(B_Drainage!$D$5:$D$204))),"")</f>
        <v/>
      </c>
      <c r="R822" s="182" t="str">
        <f>IFERROR(LOOKUP(2,1/((D_Points!$A$5:$A$204&lt;&gt;"")*(D_Points!$A$5:$A$204&gt;=$B822)*(D_Points!$A$5:$A$204&lt;$B822+P_Interval)*(RIGHT(UPPER(TRIM(D_Points!$B$5:$B$204)),8)="_CULVERT")),IF(LEFT(UPPER(TRIM(D_Points!$B$5:$B$204)),2)="EX",1,IF(LEFT(UPPER(TRIM(D_Points!$B$5:$B$204)),2)="PR",2,3))),"")</f>
        <v/>
      </c>
      <c r="S822" s="182" t="str">
        <f>IFERROR(LOOKUP(2,1/((D_Points!$A$5:$A$204&lt;&gt;"")*(D_Points!$A$5:$A$204&gt;=$B822)*(D_Points!$A$5:$A$204&lt;$B822+P_Interval)*(RIGHT(UPPER(TRIM(D_Points!$B$5:$B$204)),7)="_BRIDGE")),IF(LEFT(UPPER(TRIM(D_Points!$B$5:$B$204)),2)="EX",1,IF(LEFT(UPPER(TRIM(D_Points!$B$5:$B$204)),2)="PR",2,2))),"")</f>
        <v/>
      </c>
      <c r="T822" s="181" t="str">
        <f>IFERROR(LOOKUP(2,1/((B_Drainage!$A$5:$A$204&lt;&gt;"")*(B_Drainage!$A$5:$A$204&lt;=$B822)*(B_Drainage!$B$5:$B$204&gt;$B822)*(B_Drainage!$E$5:$E$204&lt;&gt;"")),IF(B_Drainage!$E$5:$E$204="-","",1)),"")</f>
        <v/>
      </c>
      <c r="U822" s="181" t="str">
        <f>IFERROR(LOOKUP(2,1/((B_Drainage!$A$5:$A$204&lt;&gt;"")*(B_Drainage!$A$5:$A$204&lt;=$B822)*(B_Drainage!$B$5:$B$204&gt;$B822)*(B_Drainage!$E$5:$E$204&lt;&gt;"")),IF(B_Drainage!$E$5:$E$204="-","",B_Drainage!$E$5:$E$204)),"")</f>
        <v/>
      </c>
      <c r="V822" s="181" t="str">
        <f>IFERROR(LOOKUP(2,1/((B_Drainage!$A$5:$A$204&lt;&gt;"")*(B_Drainage!$A$5:$A$204&lt;=$B822)*(B_Drainage!$B$5:$B$204&gt;$B822)*(B_Drainage!$F$5:$F$204&lt;&gt;"")),IF(B_Drainage!$F$5:$F$204="-","",1)),"")</f>
        <v/>
      </c>
      <c r="W822" s="181" t="str">
        <f>IFERROR(LOOKUP(2,1/((B_Drainage!$A$5:$A$204&lt;&gt;"")*(B_Drainage!$A$5:$A$204&lt;=$B822)*(B_Drainage!$B$5:$B$204&gt;$B822)*(B_Drainage!$F$5:$F$204&lt;&gt;"")),IF(B_Drainage!$F$5:$F$204="-","",B_Drainage!$F$5:$F$204)),"")</f>
        <v/>
      </c>
      <c r="X822" s="181" t="str">
        <f>IFERROR(LOOKUP(2,1/((B_Drainage!$A$5:$A$204&lt;&gt;"")*(B_Drainage!$A$5:$A$204&lt;=$B822)*(B_Drainage!$B$5:$B$204&gt;$B822)*(B_Drainage!$G$5:$G$204&lt;&gt;"")),IF(UPPER(B_Drainage!$G$5:$G$204)="Y",1,"")),"")</f>
        <v/>
      </c>
      <c r="Y822" s="181" t="str">
        <f>IFERROR(LOOKUP(2,1/((B_Drainage!$A$5:$A$204&lt;&gt;"")*(B_Drainage!$A$5:$A$204&lt;=$B822)*(B_Drainage!$B$5:$B$204&gt;$B822)*(B_Drainage!$H$5:$H$204&lt;&gt;"")),IF(UPPER(B_Drainage!$H$5:$H$204)="Y",1,"")),"")</f>
        <v/>
      </c>
      <c r="Z822" s="181" t="str">
        <f>IFERROR(LOOKUP(2,1/((B_Drainage!$A$5:$A$204&lt;&gt;"")*(B_Drainage!$A$5:$A$204&lt;=$B822)*(B_Drainage!$B$5:$B$204&gt;$B822)*(B_Drainage!$I$5:$I$204&lt;&gt;"")),IF(UPPER(B_Drainage!$I$5:$I$204)="Y",1,"")),"")</f>
        <v/>
      </c>
      <c r="AA822" s="181" t="str">
        <f>IFERROR(LOOKUP(2,1/((B_Drainage!$A$5:$A$204&lt;&gt;"")*(B_Drainage!$A$5:$A$204&lt;=$B822)*(B_Drainage!$B$5:$B$204&gt;$B822)*(B_Drainage!$J$5:$J$204&lt;&gt;"")),IF(UPPER(B_Drainage!$J$5:$J$204)="Y",1,"")),"")</f>
        <v/>
      </c>
      <c r="AB822" s="182" t="str">
        <f>IFERROR(LOOKUP(2,1/((B_Drainage!$A$5:$A$204&lt;&gt;"")*(B_Drainage!$A$5:$A$204&lt;=$B822)*(B_Drainage!$B$5:$B$204&gt;$B822)*(B_Drainage!$K$5:$K$204&lt;&gt;"")),IF(B_Drainage!$K$5:$K$204="-","",B_Drainage!$K$5:$K$204)),"")</f>
        <v/>
      </c>
      <c r="AC822" s="182" t="str">
        <f>IFERROR(LOOKUP(2,1/((B_Drainage!$A$5:$A$204&lt;&gt;"")*(B_Drainage!$A$5:$A$204&lt;=$B822)*(B_Drainage!$B$5:$B$204&gt;$B822)*(B_Drainage!$L$5:$L$204&lt;&gt;"")),IF(B_Drainage!$L$5:$L$204="-","",B_Drainage!$L$5:$L$204)),"")</f>
        <v/>
      </c>
      <c r="AD822" s="182" t="str">
        <f>IFERROR(LOOKUP(2,1/((D_Points!$A$5:$A$204&lt;&gt;"")*(D_Points!$A$5:$A$204&gt;=$B822)*(D_Points!$A$5:$A$204&lt;$B822+P_Interval)*(UPPER(TRIM(D_Points!$B$5:$B$204))="TURNOUT_L")*(D_Points!$H$5:$H$204&lt;&gt;"")),D_Points!$H$5:$H$204),"")</f>
        <v/>
      </c>
      <c r="AE822" s="182" t="str">
        <f>IFERROR(LOOKUP(2,1/((D_Points!$A$5:$A$204&lt;&gt;"")*(D_Points!$A$5:$A$204&gt;=$B822)*(D_Points!$A$5:$A$204&lt;$B822+P_Interval)*(UPPER(TRIM(D_Points!$B$5:$B$204))="TURNOUT_R")*(D_Points!$H$5:$H$204&lt;&gt;"")),D_Points!$H$5:$H$204),"")</f>
        <v/>
      </c>
      <c r="AF822" s="181" t="str">
        <f>IFERROR(LOOKUP(2,1/((B_Drainage!$A$5:$A$204&lt;&gt;"")*(B_Drainage!$A$5:$A$204&lt;=$B822)*(B_Drainage!$B$5:$B$204&gt;$B822)*(B_Drainage!$M$5:$M$204&lt;&gt;"")),IF(UPPER(B_Drainage!$M$5:$M$204)="Y",1,"")),"")</f>
        <v/>
      </c>
      <c r="AG822" s="181" t="str">
        <f>IFERROR(LOOKUP(2,1/((B_Drainage!$A$5:$A$204&lt;&gt;"")*(B_Drainage!$A$5:$A$204&lt;=$B822)*(B_Drainage!$B$5:$B$204&gt;$B822)*(B_Drainage!$N$5:$N$204&lt;&gt;"")),IF(UPPER(B_Drainage!$N$5:$N$204)="Y",1,"")),"")</f>
        <v/>
      </c>
      <c r="AH822" s="181" t="str">
        <f t="shared" si="96"/>
        <v/>
      </c>
      <c r="AI822" s="181" t="str">
        <f t="shared" si="97"/>
        <v/>
      </c>
      <c r="AJ822" s="181" t="str">
        <f t="shared" si="98"/>
        <v/>
      </c>
      <c r="AK822" s="181" t="str">
        <f t="shared" si="99"/>
        <v/>
      </c>
      <c r="AL822" s="181" t="str">
        <f t="shared" si="100"/>
        <v/>
      </c>
      <c r="AM822" s="181" t="str">
        <f t="shared" si="101"/>
        <v/>
      </c>
      <c r="AN822" s="181" t="str">
        <f t="shared" si="102"/>
        <v/>
      </c>
      <c r="AO822" s="192" t="str">
        <f t="shared" si="103"/>
        <v/>
      </c>
      <c r="AQ822" t="str">
        <f>IFERROR(LOOKUP(2,1/((C_Pavement!$A$5:$A$204&lt;&gt;"")*(C_Pavement!$A$5:$A$204&lt;=$B822)*(C_Pavement!$B$5:$B$204&gt;$B822)*(C_Pavement!$C$5:$C$204&lt;&gt;"")),ROW(C_Pavement!$C$5:$C$204)-4),"")</f>
        <v/>
      </c>
      <c r="AR822" t="str">
        <f>IF($AQ822="","",UPPER(TRIM(INDEX(C_Pavement!$C$5:$C$204,$AQ822))))</f>
        <v/>
      </c>
      <c r="AS822" t="str">
        <f>IF($AR822="","",IFERROR(MATCH($AR822,E_Rules!$A$5:$A$9,0),""))</f>
        <v/>
      </c>
      <c r="AT822" t="str">
        <f>IF($AQ822="","",IF(INDEX(C_Pavement!$D$5:$D$204,$AQ822)&lt;&gt;"",UPPER(TRIM(INDEX(C_Pavement!$D$5:$D$204,$AQ822))),IF($AS822="","",INDEX(E_Rules!$C$5:$C$9,$AS822))))</f>
        <v/>
      </c>
      <c r="AU822" t="str">
        <f>IF($AQ822="","",IF(INDEX(C_Pavement!$E$5:$E$204,$AQ822)&lt;&gt;"",IF(INDEX(C_Pavement!$E$5:$E$204,$AQ822)="-","",INDEX(C_Pavement!$E$5:$E$204,$AQ822)),IF($AS822="","",INDEX(E_Rules!$D$5:$D$9,$AS822))))</f>
        <v/>
      </c>
      <c r="AV822" t="str">
        <f>IF($AQ822="","",IF(INDEX(C_Pavement!$F$5:$F$204,$AQ822)&lt;&gt;"",IF(INDEX(C_Pavement!$F$5:$F$204,$AQ822)="-","",INDEX(C_Pavement!$F$5:$F$204,$AQ822)),IF($AS822="","",INDEX(E_Rules!$E$5:$E$9,$AS822))))</f>
        <v/>
      </c>
      <c r="AW822" t="str">
        <f>IF($AQ822="","",IF(INDEX(C_Pavement!$G$5:$G$204,$AQ822)&lt;&gt;"",IF(INDEX(C_Pavement!$G$5:$G$204,$AQ822)="-","",INDEX(C_Pavement!$G$5:$G$204,$AQ822)),IF($AS822="","",INDEX(E_Rules!$F$5:$F$9,$AS822))))</f>
        <v/>
      </c>
      <c r="AX822" t="str">
        <f>IF($AQ822="","",IF(INDEX(C_Pavement!$H$5:$H$204,$AQ822)&lt;&gt;"",IF(INDEX(C_Pavement!$H$5:$H$204,$AQ822)="-","",INDEX(C_Pavement!$H$5:$H$204,$AQ822)),IF($AS822="","",INDEX(E_Rules!$G$5:$G$9,$AS822))))</f>
        <v/>
      </c>
      <c r="AY822" t="str">
        <f>IF($AQ822="","",IF(INDEX(C_Pavement!$I$5:$I$204,$AQ822)&lt;&gt;"",IF(INDEX(C_Pavement!$I$5:$I$204,$AQ822)="-","",INDEX(C_Pavement!$I$5:$I$204,$AQ822)),IF($AS822="","",INDEX(E_Rules!$H$5:$H$9,$AS822))))</f>
        <v/>
      </c>
    </row>
    <row r="823" spans="1:51" ht="15.75" customHeight="1" x14ac:dyDescent="0.3">
      <c r="A823" s="189">
        <v>818</v>
      </c>
      <c r="B823" s="180">
        <v>40850</v>
      </c>
      <c r="C823" s="180" t="s">
        <v>1129</v>
      </c>
      <c r="D823" s="181" t="str">
        <f>IFERROR(LOOKUP(2,1/((A_Corridor!$A$5:$A$204&lt;&gt;"")*(A_Corridor!$A$5:$A$204&lt;=$B823)*(A_Corridor!$B$5:$B$204&gt;$B823)*(A_Corridor!$C$5:$C$204&lt;&gt;"")),IF(UPPER(A_Corridor!$C$5:$C$204)="Y",1,"")),"")</f>
        <v/>
      </c>
      <c r="E823" s="181" t="str">
        <f>IFERROR(LOOKUP(2,1/((A_Corridor!$A$5:$A$204&lt;&gt;"")*(A_Corridor!$A$5:$A$204&lt;=$B823)*(A_Corridor!$B$5:$B$204&gt;$B823)*(A_Corridor!$D$5:$D$204&lt;&gt;"")),IF(A_Corridor!$D$5:$D$204="-","",UPPER(A_Corridor!$D$5:$D$204))),"")</f>
        <v/>
      </c>
      <c r="F823" s="181" t="str">
        <f>IFERROR(LOOKUP(2,1/((A_Corridor!$A$5:$A$204&lt;&gt;"")*(A_Corridor!$A$5:$A$204&lt;=$B823)*(A_Corridor!$B$5:$B$204&gt;$B823)*(A_Corridor!$E$5:$E$204&lt;&gt;"")),IF(A_Corridor!$E$5:$E$204="-","",1)),"")</f>
        <v/>
      </c>
      <c r="G823" s="182" t="str">
        <f>IFERROR(LOOKUP(2,1/((A_Corridor!$A$5:$A$204&lt;&gt;"")*(A_Corridor!$A$5:$A$204&lt;=$B823)*(A_Corridor!$B$5:$B$204&gt;$B823)*(A_Corridor!$E$5:$E$204&lt;&gt;"")),IF(A_Corridor!$E$5:$E$204="-","",A_Corridor!$E$5:$E$204)),"")</f>
        <v/>
      </c>
      <c r="H823" s="182" t="str">
        <f>IFERROR(LOOKUP(2,1/((D_Points!$A$5:$A$204&lt;&gt;"")*(D_Points!$A$5:$A$204&gt;=$B823)*(D_Points!$A$5:$A$204&lt;$B823+P_Interval)*(UPPER(TRIM(D_Points!$B$5:$B$204))="GULLY")*(D_Points!$H$5:$H$204&lt;&gt;"")),D_Points!$H$5:$H$204),"")</f>
        <v/>
      </c>
      <c r="I823" s="181" t="str">
        <f>IFERROR(LOOKUP(2,1/((A_Corridor!$A$5:$A$204&lt;&gt;"")*(A_Corridor!$A$5:$A$204&lt;=$B823)*(A_Corridor!$B$5:$B$204&gt;$B823)*(A_Corridor!$F$5:$F$204&lt;&gt;"")),IF(A_Corridor!$F$5:$F$204="-","",1)),"")</f>
        <v/>
      </c>
      <c r="J823" s="182" t="str">
        <f>IFERROR(LOOKUP(2,1/((A_Corridor!$A$5:$A$204&lt;&gt;"")*(A_Corridor!$A$5:$A$204&lt;=$B823)*(A_Corridor!$B$5:$B$204&gt;$B823)*(A_Corridor!$F$5:$F$204&lt;&gt;"")),IF(A_Corridor!$F$5:$F$204="-","",A_Corridor!$F$5:$F$204)),"")</f>
        <v/>
      </c>
      <c r="K823" s="182" t="str">
        <f>IFERROR(LOOKUP(2,1/((A_Corridor!$A$5:$A$204&lt;&gt;"")*(A_Corridor!$A$5:$A$204&lt;=$B823)*(A_Corridor!$B$5:$B$204&gt;$B823)*(A_Corridor!$G$5:$G$204&lt;&gt;"")),IF(A_Corridor!$G$5:$G$204="-","",A_Corridor!$G$5:$G$204)),"")</f>
        <v/>
      </c>
      <c r="L823" s="181" t="str">
        <f>IFERROR(LOOKUP(2,1/((A_Corridor!$A$5:$A$204&lt;&gt;"")*(A_Corridor!$A$5:$A$204&lt;=$B823)*(A_Corridor!$B$5:$B$204&gt;$B823)*(A_Corridor!$H$5:$H$204&lt;&gt;"")),IF(A_Corridor!$H$5:$H$204="-","",1)),"")</f>
        <v/>
      </c>
      <c r="M823" s="182" t="str">
        <f>IFERROR(LOOKUP(2,1/((A_Corridor!$A$5:$A$204&lt;&gt;"")*(A_Corridor!$A$5:$A$204&lt;=$B823)*(A_Corridor!$B$5:$B$204&gt;$B823)*(A_Corridor!$H$5:$H$204&lt;&gt;"")),IF(A_Corridor!$H$5:$H$204="-","",A_Corridor!$H$5:$H$204)),"")</f>
        <v/>
      </c>
      <c r="N823" s="182" t="str">
        <f>IFERROR(LOOKUP(2,1/((A_Corridor!$A$5:$A$204&lt;&gt;"")*(A_Corridor!$A$5:$A$204&lt;=$B823)*(A_Corridor!$B$5:$B$204&gt;$B823)*(A_Corridor!$I$5:$I$204&lt;&gt;"")),IF(A_Corridor!$I$5:$I$204="-","",A_Corridor!$I$5:$I$204)),"")</f>
        <v/>
      </c>
      <c r="O823" s="182" t="str">
        <f>IFERROR(LOOKUP(2,1/((D_Points!$A$5:$A$204&lt;&gt;"")*(D_Points!$A$5:$A$204&gt;=$B823)*(D_Points!$A$5:$A$204&lt;$B823+P_Interval)*(UPPER(TRIM(D_Points!$B$5:$B$204))="PITCHING")*(D_Points!$H$5:$H$204&lt;&gt;"")),D_Points!$H$5:$H$204),"")</f>
        <v/>
      </c>
      <c r="P823" s="181" t="str">
        <f>IFERROR(LOOKUP(2,1/((B_Drainage!$A$5:$A$204&lt;&gt;"")*(B_Drainage!$A$5:$A$204&lt;=$B823)*(B_Drainage!$B$5:$B$204&gt;$B823)*(B_Drainage!$C$5:$C$204&lt;&gt;"")),IF(B_Drainage!$C$5:$C$204="-","",UPPER(B_Drainage!$C$5:$C$204))),"")</f>
        <v/>
      </c>
      <c r="Q823" s="181" t="str">
        <f>IFERROR(LOOKUP(2,1/((B_Drainage!$A$5:$A$204&lt;&gt;"")*(B_Drainage!$A$5:$A$204&lt;=$B823)*(B_Drainage!$B$5:$B$204&gt;$B823)*(B_Drainage!$D$5:$D$204&lt;&gt;"")),IF(B_Drainage!$D$5:$D$204="-","",UPPER(B_Drainage!$D$5:$D$204))),"")</f>
        <v/>
      </c>
      <c r="R823" s="182" t="str">
        <f>IFERROR(LOOKUP(2,1/((D_Points!$A$5:$A$204&lt;&gt;"")*(D_Points!$A$5:$A$204&gt;=$B823)*(D_Points!$A$5:$A$204&lt;$B823+P_Interval)*(RIGHT(UPPER(TRIM(D_Points!$B$5:$B$204)),8)="_CULVERT")),IF(LEFT(UPPER(TRIM(D_Points!$B$5:$B$204)),2)="EX",1,IF(LEFT(UPPER(TRIM(D_Points!$B$5:$B$204)),2)="PR",2,3))),"")</f>
        <v/>
      </c>
      <c r="S823" s="182" t="str">
        <f>IFERROR(LOOKUP(2,1/((D_Points!$A$5:$A$204&lt;&gt;"")*(D_Points!$A$5:$A$204&gt;=$B823)*(D_Points!$A$5:$A$204&lt;$B823+P_Interval)*(RIGHT(UPPER(TRIM(D_Points!$B$5:$B$204)),7)="_BRIDGE")),IF(LEFT(UPPER(TRIM(D_Points!$B$5:$B$204)),2)="EX",1,IF(LEFT(UPPER(TRIM(D_Points!$B$5:$B$204)),2)="PR",2,2))),"")</f>
        <v/>
      </c>
      <c r="T823" s="181" t="str">
        <f>IFERROR(LOOKUP(2,1/((B_Drainage!$A$5:$A$204&lt;&gt;"")*(B_Drainage!$A$5:$A$204&lt;=$B823)*(B_Drainage!$B$5:$B$204&gt;$B823)*(B_Drainage!$E$5:$E$204&lt;&gt;"")),IF(B_Drainage!$E$5:$E$204="-","",1)),"")</f>
        <v/>
      </c>
      <c r="U823" s="181" t="str">
        <f>IFERROR(LOOKUP(2,1/((B_Drainage!$A$5:$A$204&lt;&gt;"")*(B_Drainage!$A$5:$A$204&lt;=$B823)*(B_Drainage!$B$5:$B$204&gt;$B823)*(B_Drainage!$E$5:$E$204&lt;&gt;"")),IF(B_Drainage!$E$5:$E$204="-","",B_Drainage!$E$5:$E$204)),"")</f>
        <v/>
      </c>
      <c r="V823" s="181" t="str">
        <f>IFERROR(LOOKUP(2,1/((B_Drainage!$A$5:$A$204&lt;&gt;"")*(B_Drainage!$A$5:$A$204&lt;=$B823)*(B_Drainage!$B$5:$B$204&gt;$B823)*(B_Drainage!$F$5:$F$204&lt;&gt;"")),IF(B_Drainage!$F$5:$F$204="-","",1)),"")</f>
        <v/>
      </c>
      <c r="W823" s="181" t="str">
        <f>IFERROR(LOOKUP(2,1/((B_Drainage!$A$5:$A$204&lt;&gt;"")*(B_Drainage!$A$5:$A$204&lt;=$B823)*(B_Drainage!$B$5:$B$204&gt;$B823)*(B_Drainage!$F$5:$F$204&lt;&gt;"")),IF(B_Drainage!$F$5:$F$204="-","",B_Drainage!$F$5:$F$204)),"")</f>
        <v/>
      </c>
      <c r="X823" s="181" t="str">
        <f>IFERROR(LOOKUP(2,1/((B_Drainage!$A$5:$A$204&lt;&gt;"")*(B_Drainage!$A$5:$A$204&lt;=$B823)*(B_Drainage!$B$5:$B$204&gt;$B823)*(B_Drainage!$G$5:$G$204&lt;&gt;"")),IF(UPPER(B_Drainage!$G$5:$G$204)="Y",1,"")),"")</f>
        <v/>
      </c>
      <c r="Y823" s="181" t="str">
        <f>IFERROR(LOOKUP(2,1/((B_Drainage!$A$5:$A$204&lt;&gt;"")*(B_Drainage!$A$5:$A$204&lt;=$B823)*(B_Drainage!$B$5:$B$204&gt;$B823)*(B_Drainage!$H$5:$H$204&lt;&gt;"")),IF(UPPER(B_Drainage!$H$5:$H$204)="Y",1,"")),"")</f>
        <v/>
      </c>
      <c r="Z823" s="181" t="str">
        <f>IFERROR(LOOKUP(2,1/((B_Drainage!$A$5:$A$204&lt;&gt;"")*(B_Drainage!$A$5:$A$204&lt;=$B823)*(B_Drainage!$B$5:$B$204&gt;$B823)*(B_Drainage!$I$5:$I$204&lt;&gt;"")),IF(UPPER(B_Drainage!$I$5:$I$204)="Y",1,"")),"")</f>
        <v/>
      </c>
      <c r="AA823" s="181" t="str">
        <f>IFERROR(LOOKUP(2,1/((B_Drainage!$A$5:$A$204&lt;&gt;"")*(B_Drainage!$A$5:$A$204&lt;=$B823)*(B_Drainage!$B$5:$B$204&gt;$B823)*(B_Drainage!$J$5:$J$204&lt;&gt;"")),IF(UPPER(B_Drainage!$J$5:$J$204)="Y",1,"")),"")</f>
        <v/>
      </c>
      <c r="AB823" s="182" t="str">
        <f>IFERROR(LOOKUP(2,1/((B_Drainage!$A$5:$A$204&lt;&gt;"")*(B_Drainage!$A$5:$A$204&lt;=$B823)*(B_Drainage!$B$5:$B$204&gt;$B823)*(B_Drainage!$K$5:$K$204&lt;&gt;"")),IF(B_Drainage!$K$5:$K$204="-","",B_Drainage!$K$5:$K$204)),"")</f>
        <v/>
      </c>
      <c r="AC823" s="182" t="str">
        <f>IFERROR(LOOKUP(2,1/((B_Drainage!$A$5:$A$204&lt;&gt;"")*(B_Drainage!$A$5:$A$204&lt;=$B823)*(B_Drainage!$B$5:$B$204&gt;$B823)*(B_Drainage!$L$5:$L$204&lt;&gt;"")),IF(B_Drainage!$L$5:$L$204="-","",B_Drainage!$L$5:$L$204)),"")</f>
        <v/>
      </c>
      <c r="AD823" s="182" t="str">
        <f>IFERROR(LOOKUP(2,1/((D_Points!$A$5:$A$204&lt;&gt;"")*(D_Points!$A$5:$A$204&gt;=$B823)*(D_Points!$A$5:$A$204&lt;$B823+P_Interval)*(UPPER(TRIM(D_Points!$B$5:$B$204))="TURNOUT_L")*(D_Points!$H$5:$H$204&lt;&gt;"")),D_Points!$H$5:$H$204),"")</f>
        <v/>
      </c>
      <c r="AE823" s="182" t="str">
        <f>IFERROR(LOOKUP(2,1/((D_Points!$A$5:$A$204&lt;&gt;"")*(D_Points!$A$5:$A$204&gt;=$B823)*(D_Points!$A$5:$A$204&lt;$B823+P_Interval)*(UPPER(TRIM(D_Points!$B$5:$B$204))="TURNOUT_R")*(D_Points!$H$5:$H$204&lt;&gt;"")),D_Points!$H$5:$H$204),"")</f>
        <v/>
      </c>
      <c r="AF823" s="181" t="str">
        <f>IFERROR(LOOKUP(2,1/((B_Drainage!$A$5:$A$204&lt;&gt;"")*(B_Drainage!$A$5:$A$204&lt;=$B823)*(B_Drainage!$B$5:$B$204&gt;$B823)*(B_Drainage!$M$5:$M$204&lt;&gt;"")),IF(UPPER(B_Drainage!$M$5:$M$204)="Y",1,"")),"")</f>
        <v/>
      </c>
      <c r="AG823" s="181" t="str">
        <f>IFERROR(LOOKUP(2,1/((B_Drainage!$A$5:$A$204&lt;&gt;"")*(B_Drainage!$A$5:$A$204&lt;=$B823)*(B_Drainage!$B$5:$B$204&gt;$B823)*(B_Drainage!$N$5:$N$204&lt;&gt;"")),IF(UPPER(B_Drainage!$N$5:$N$204)="Y",1,"")),"")</f>
        <v/>
      </c>
      <c r="AH823" s="181" t="str">
        <f t="shared" si="96"/>
        <v/>
      </c>
      <c r="AI823" s="181" t="str">
        <f t="shared" si="97"/>
        <v/>
      </c>
      <c r="AJ823" s="181" t="str">
        <f t="shared" si="98"/>
        <v/>
      </c>
      <c r="AK823" s="181" t="str">
        <f t="shared" si="99"/>
        <v/>
      </c>
      <c r="AL823" s="181" t="str">
        <f t="shared" si="100"/>
        <v/>
      </c>
      <c r="AM823" s="181" t="str">
        <f t="shared" si="101"/>
        <v/>
      </c>
      <c r="AN823" s="181" t="str">
        <f t="shared" si="102"/>
        <v/>
      </c>
      <c r="AO823" s="192" t="str">
        <f t="shared" si="103"/>
        <v/>
      </c>
      <c r="AQ823" t="str">
        <f>IFERROR(LOOKUP(2,1/((C_Pavement!$A$5:$A$204&lt;&gt;"")*(C_Pavement!$A$5:$A$204&lt;=$B823)*(C_Pavement!$B$5:$B$204&gt;$B823)*(C_Pavement!$C$5:$C$204&lt;&gt;"")),ROW(C_Pavement!$C$5:$C$204)-4),"")</f>
        <v/>
      </c>
      <c r="AR823" t="str">
        <f>IF($AQ823="","",UPPER(TRIM(INDEX(C_Pavement!$C$5:$C$204,$AQ823))))</f>
        <v/>
      </c>
      <c r="AS823" t="str">
        <f>IF($AR823="","",IFERROR(MATCH($AR823,E_Rules!$A$5:$A$9,0),""))</f>
        <v/>
      </c>
      <c r="AT823" t="str">
        <f>IF($AQ823="","",IF(INDEX(C_Pavement!$D$5:$D$204,$AQ823)&lt;&gt;"",UPPER(TRIM(INDEX(C_Pavement!$D$5:$D$204,$AQ823))),IF($AS823="","",INDEX(E_Rules!$C$5:$C$9,$AS823))))</f>
        <v/>
      </c>
      <c r="AU823" t="str">
        <f>IF($AQ823="","",IF(INDEX(C_Pavement!$E$5:$E$204,$AQ823)&lt;&gt;"",IF(INDEX(C_Pavement!$E$5:$E$204,$AQ823)="-","",INDEX(C_Pavement!$E$5:$E$204,$AQ823)),IF($AS823="","",INDEX(E_Rules!$D$5:$D$9,$AS823))))</f>
        <v/>
      </c>
      <c r="AV823" t="str">
        <f>IF($AQ823="","",IF(INDEX(C_Pavement!$F$5:$F$204,$AQ823)&lt;&gt;"",IF(INDEX(C_Pavement!$F$5:$F$204,$AQ823)="-","",INDEX(C_Pavement!$F$5:$F$204,$AQ823)),IF($AS823="","",INDEX(E_Rules!$E$5:$E$9,$AS823))))</f>
        <v/>
      </c>
      <c r="AW823" t="str">
        <f>IF($AQ823="","",IF(INDEX(C_Pavement!$G$5:$G$204,$AQ823)&lt;&gt;"",IF(INDEX(C_Pavement!$G$5:$G$204,$AQ823)="-","",INDEX(C_Pavement!$G$5:$G$204,$AQ823)),IF($AS823="","",INDEX(E_Rules!$F$5:$F$9,$AS823))))</f>
        <v/>
      </c>
      <c r="AX823" t="str">
        <f>IF($AQ823="","",IF(INDEX(C_Pavement!$H$5:$H$204,$AQ823)&lt;&gt;"",IF(INDEX(C_Pavement!$H$5:$H$204,$AQ823)="-","",INDEX(C_Pavement!$H$5:$H$204,$AQ823)),IF($AS823="","",INDEX(E_Rules!$G$5:$G$9,$AS823))))</f>
        <v/>
      </c>
      <c r="AY823" t="str">
        <f>IF($AQ823="","",IF(INDEX(C_Pavement!$I$5:$I$204,$AQ823)&lt;&gt;"",IF(INDEX(C_Pavement!$I$5:$I$204,$AQ823)="-","",INDEX(C_Pavement!$I$5:$I$204,$AQ823)),IF($AS823="","",INDEX(E_Rules!$H$5:$H$9,$AS823))))</f>
        <v/>
      </c>
    </row>
    <row r="824" spans="1:51" ht="15.75" customHeight="1" x14ac:dyDescent="0.3">
      <c r="A824" s="189">
        <v>819</v>
      </c>
      <c r="B824" s="180">
        <v>40900</v>
      </c>
      <c r="C824" s="180" t="s">
        <v>1130</v>
      </c>
      <c r="D824" s="181" t="str">
        <f>IFERROR(LOOKUP(2,1/((A_Corridor!$A$5:$A$204&lt;&gt;"")*(A_Corridor!$A$5:$A$204&lt;=$B824)*(A_Corridor!$B$5:$B$204&gt;$B824)*(A_Corridor!$C$5:$C$204&lt;&gt;"")),IF(UPPER(A_Corridor!$C$5:$C$204)="Y",1,"")),"")</f>
        <v/>
      </c>
      <c r="E824" s="181" t="str">
        <f>IFERROR(LOOKUP(2,1/((A_Corridor!$A$5:$A$204&lt;&gt;"")*(A_Corridor!$A$5:$A$204&lt;=$B824)*(A_Corridor!$B$5:$B$204&gt;$B824)*(A_Corridor!$D$5:$D$204&lt;&gt;"")),IF(A_Corridor!$D$5:$D$204="-","",UPPER(A_Corridor!$D$5:$D$204))),"")</f>
        <v/>
      </c>
      <c r="F824" s="181" t="str">
        <f>IFERROR(LOOKUP(2,1/((A_Corridor!$A$5:$A$204&lt;&gt;"")*(A_Corridor!$A$5:$A$204&lt;=$B824)*(A_Corridor!$B$5:$B$204&gt;$B824)*(A_Corridor!$E$5:$E$204&lt;&gt;"")),IF(A_Corridor!$E$5:$E$204="-","",1)),"")</f>
        <v/>
      </c>
      <c r="G824" s="182" t="str">
        <f>IFERROR(LOOKUP(2,1/((A_Corridor!$A$5:$A$204&lt;&gt;"")*(A_Corridor!$A$5:$A$204&lt;=$B824)*(A_Corridor!$B$5:$B$204&gt;$B824)*(A_Corridor!$E$5:$E$204&lt;&gt;"")),IF(A_Corridor!$E$5:$E$204="-","",A_Corridor!$E$5:$E$204)),"")</f>
        <v/>
      </c>
      <c r="H824" s="182" t="str">
        <f>IFERROR(LOOKUP(2,1/((D_Points!$A$5:$A$204&lt;&gt;"")*(D_Points!$A$5:$A$204&gt;=$B824)*(D_Points!$A$5:$A$204&lt;$B824+P_Interval)*(UPPER(TRIM(D_Points!$B$5:$B$204))="GULLY")*(D_Points!$H$5:$H$204&lt;&gt;"")),D_Points!$H$5:$H$204),"")</f>
        <v/>
      </c>
      <c r="I824" s="181" t="str">
        <f>IFERROR(LOOKUP(2,1/((A_Corridor!$A$5:$A$204&lt;&gt;"")*(A_Corridor!$A$5:$A$204&lt;=$B824)*(A_Corridor!$B$5:$B$204&gt;$B824)*(A_Corridor!$F$5:$F$204&lt;&gt;"")),IF(A_Corridor!$F$5:$F$204="-","",1)),"")</f>
        <v/>
      </c>
      <c r="J824" s="182" t="str">
        <f>IFERROR(LOOKUP(2,1/((A_Corridor!$A$5:$A$204&lt;&gt;"")*(A_Corridor!$A$5:$A$204&lt;=$B824)*(A_Corridor!$B$5:$B$204&gt;$B824)*(A_Corridor!$F$5:$F$204&lt;&gt;"")),IF(A_Corridor!$F$5:$F$204="-","",A_Corridor!$F$5:$F$204)),"")</f>
        <v/>
      </c>
      <c r="K824" s="182" t="str">
        <f>IFERROR(LOOKUP(2,1/((A_Corridor!$A$5:$A$204&lt;&gt;"")*(A_Corridor!$A$5:$A$204&lt;=$B824)*(A_Corridor!$B$5:$B$204&gt;$B824)*(A_Corridor!$G$5:$G$204&lt;&gt;"")),IF(A_Corridor!$G$5:$G$204="-","",A_Corridor!$G$5:$G$204)),"")</f>
        <v/>
      </c>
      <c r="L824" s="181" t="str">
        <f>IFERROR(LOOKUP(2,1/((A_Corridor!$A$5:$A$204&lt;&gt;"")*(A_Corridor!$A$5:$A$204&lt;=$B824)*(A_Corridor!$B$5:$B$204&gt;$B824)*(A_Corridor!$H$5:$H$204&lt;&gt;"")),IF(A_Corridor!$H$5:$H$204="-","",1)),"")</f>
        <v/>
      </c>
      <c r="M824" s="182" t="str">
        <f>IFERROR(LOOKUP(2,1/((A_Corridor!$A$5:$A$204&lt;&gt;"")*(A_Corridor!$A$5:$A$204&lt;=$B824)*(A_Corridor!$B$5:$B$204&gt;$B824)*(A_Corridor!$H$5:$H$204&lt;&gt;"")),IF(A_Corridor!$H$5:$H$204="-","",A_Corridor!$H$5:$H$204)),"")</f>
        <v/>
      </c>
      <c r="N824" s="182" t="str">
        <f>IFERROR(LOOKUP(2,1/((A_Corridor!$A$5:$A$204&lt;&gt;"")*(A_Corridor!$A$5:$A$204&lt;=$B824)*(A_Corridor!$B$5:$B$204&gt;$B824)*(A_Corridor!$I$5:$I$204&lt;&gt;"")),IF(A_Corridor!$I$5:$I$204="-","",A_Corridor!$I$5:$I$204)),"")</f>
        <v/>
      </c>
      <c r="O824" s="182" t="str">
        <f>IFERROR(LOOKUP(2,1/((D_Points!$A$5:$A$204&lt;&gt;"")*(D_Points!$A$5:$A$204&gt;=$B824)*(D_Points!$A$5:$A$204&lt;$B824+P_Interval)*(UPPER(TRIM(D_Points!$B$5:$B$204))="PITCHING")*(D_Points!$H$5:$H$204&lt;&gt;"")),D_Points!$H$5:$H$204),"")</f>
        <v/>
      </c>
      <c r="P824" s="181" t="str">
        <f>IFERROR(LOOKUP(2,1/((B_Drainage!$A$5:$A$204&lt;&gt;"")*(B_Drainage!$A$5:$A$204&lt;=$B824)*(B_Drainage!$B$5:$B$204&gt;$B824)*(B_Drainage!$C$5:$C$204&lt;&gt;"")),IF(B_Drainage!$C$5:$C$204="-","",UPPER(B_Drainage!$C$5:$C$204))),"")</f>
        <v/>
      </c>
      <c r="Q824" s="181" t="str">
        <f>IFERROR(LOOKUP(2,1/((B_Drainage!$A$5:$A$204&lt;&gt;"")*(B_Drainage!$A$5:$A$204&lt;=$B824)*(B_Drainage!$B$5:$B$204&gt;$B824)*(B_Drainage!$D$5:$D$204&lt;&gt;"")),IF(B_Drainage!$D$5:$D$204="-","",UPPER(B_Drainage!$D$5:$D$204))),"")</f>
        <v/>
      </c>
      <c r="R824" s="182" t="str">
        <f>IFERROR(LOOKUP(2,1/((D_Points!$A$5:$A$204&lt;&gt;"")*(D_Points!$A$5:$A$204&gt;=$B824)*(D_Points!$A$5:$A$204&lt;$B824+P_Interval)*(RIGHT(UPPER(TRIM(D_Points!$B$5:$B$204)),8)="_CULVERT")),IF(LEFT(UPPER(TRIM(D_Points!$B$5:$B$204)),2)="EX",1,IF(LEFT(UPPER(TRIM(D_Points!$B$5:$B$204)),2)="PR",2,3))),"")</f>
        <v/>
      </c>
      <c r="S824" s="182" t="str">
        <f>IFERROR(LOOKUP(2,1/((D_Points!$A$5:$A$204&lt;&gt;"")*(D_Points!$A$5:$A$204&gt;=$B824)*(D_Points!$A$5:$A$204&lt;$B824+P_Interval)*(RIGHT(UPPER(TRIM(D_Points!$B$5:$B$204)),7)="_BRIDGE")),IF(LEFT(UPPER(TRIM(D_Points!$B$5:$B$204)),2)="EX",1,IF(LEFT(UPPER(TRIM(D_Points!$B$5:$B$204)),2)="PR",2,2))),"")</f>
        <v/>
      </c>
      <c r="T824" s="181" t="str">
        <f>IFERROR(LOOKUP(2,1/((B_Drainage!$A$5:$A$204&lt;&gt;"")*(B_Drainage!$A$5:$A$204&lt;=$B824)*(B_Drainage!$B$5:$B$204&gt;$B824)*(B_Drainage!$E$5:$E$204&lt;&gt;"")),IF(B_Drainage!$E$5:$E$204="-","",1)),"")</f>
        <v/>
      </c>
      <c r="U824" s="181" t="str">
        <f>IFERROR(LOOKUP(2,1/((B_Drainage!$A$5:$A$204&lt;&gt;"")*(B_Drainage!$A$5:$A$204&lt;=$B824)*(B_Drainage!$B$5:$B$204&gt;$B824)*(B_Drainage!$E$5:$E$204&lt;&gt;"")),IF(B_Drainage!$E$5:$E$204="-","",B_Drainage!$E$5:$E$204)),"")</f>
        <v/>
      </c>
      <c r="V824" s="181" t="str">
        <f>IFERROR(LOOKUP(2,1/((B_Drainage!$A$5:$A$204&lt;&gt;"")*(B_Drainage!$A$5:$A$204&lt;=$B824)*(B_Drainage!$B$5:$B$204&gt;$B824)*(B_Drainage!$F$5:$F$204&lt;&gt;"")),IF(B_Drainage!$F$5:$F$204="-","",1)),"")</f>
        <v/>
      </c>
      <c r="W824" s="181" t="str">
        <f>IFERROR(LOOKUP(2,1/((B_Drainage!$A$5:$A$204&lt;&gt;"")*(B_Drainage!$A$5:$A$204&lt;=$B824)*(B_Drainage!$B$5:$B$204&gt;$B824)*(B_Drainage!$F$5:$F$204&lt;&gt;"")),IF(B_Drainage!$F$5:$F$204="-","",B_Drainage!$F$5:$F$204)),"")</f>
        <v/>
      </c>
      <c r="X824" s="181" t="str">
        <f>IFERROR(LOOKUP(2,1/((B_Drainage!$A$5:$A$204&lt;&gt;"")*(B_Drainage!$A$5:$A$204&lt;=$B824)*(B_Drainage!$B$5:$B$204&gt;$B824)*(B_Drainage!$G$5:$G$204&lt;&gt;"")),IF(UPPER(B_Drainage!$G$5:$G$204)="Y",1,"")),"")</f>
        <v/>
      </c>
      <c r="Y824" s="181" t="str">
        <f>IFERROR(LOOKUP(2,1/((B_Drainage!$A$5:$A$204&lt;&gt;"")*(B_Drainage!$A$5:$A$204&lt;=$B824)*(B_Drainage!$B$5:$B$204&gt;$B824)*(B_Drainage!$H$5:$H$204&lt;&gt;"")),IF(UPPER(B_Drainage!$H$5:$H$204)="Y",1,"")),"")</f>
        <v/>
      </c>
      <c r="Z824" s="181" t="str">
        <f>IFERROR(LOOKUP(2,1/((B_Drainage!$A$5:$A$204&lt;&gt;"")*(B_Drainage!$A$5:$A$204&lt;=$B824)*(B_Drainage!$B$5:$B$204&gt;$B824)*(B_Drainage!$I$5:$I$204&lt;&gt;"")),IF(UPPER(B_Drainage!$I$5:$I$204)="Y",1,"")),"")</f>
        <v/>
      </c>
      <c r="AA824" s="181" t="str">
        <f>IFERROR(LOOKUP(2,1/((B_Drainage!$A$5:$A$204&lt;&gt;"")*(B_Drainage!$A$5:$A$204&lt;=$B824)*(B_Drainage!$B$5:$B$204&gt;$B824)*(B_Drainage!$J$5:$J$204&lt;&gt;"")),IF(UPPER(B_Drainage!$J$5:$J$204)="Y",1,"")),"")</f>
        <v/>
      </c>
      <c r="AB824" s="182" t="str">
        <f>IFERROR(LOOKUP(2,1/((B_Drainage!$A$5:$A$204&lt;&gt;"")*(B_Drainage!$A$5:$A$204&lt;=$B824)*(B_Drainage!$B$5:$B$204&gt;$B824)*(B_Drainage!$K$5:$K$204&lt;&gt;"")),IF(B_Drainage!$K$5:$K$204="-","",B_Drainage!$K$5:$K$204)),"")</f>
        <v/>
      </c>
      <c r="AC824" s="182" t="str">
        <f>IFERROR(LOOKUP(2,1/((B_Drainage!$A$5:$A$204&lt;&gt;"")*(B_Drainage!$A$5:$A$204&lt;=$B824)*(B_Drainage!$B$5:$B$204&gt;$B824)*(B_Drainage!$L$5:$L$204&lt;&gt;"")),IF(B_Drainage!$L$5:$L$204="-","",B_Drainage!$L$5:$L$204)),"")</f>
        <v/>
      </c>
      <c r="AD824" s="182" t="str">
        <f>IFERROR(LOOKUP(2,1/((D_Points!$A$5:$A$204&lt;&gt;"")*(D_Points!$A$5:$A$204&gt;=$B824)*(D_Points!$A$5:$A$204&lt;$B824+P_Interval)*(UPPER(TRIM(D_Points!$B$5:$B$204))="TURNOUT_L")*(D_Points!$H$5:$H$204&lt;&gt;"")),D_Points!$H$5:$H$204),"")</f>
        <v/>
      </c>
      <c r="AE824" s="182" t="str">
        <f>IFERROR(LOOKUP(2,1/((D_Points!$A$5:$A$204&lt;&gt;"")*(D_Points!$A$5:$A$204&gt;=$B824)*(D_Points!$A$5:$A$204&lt;$B824+P_Interval)*(UPPER(TRIM(D_Points!$B$5:$B$204))="TURNOUT_R")*(D_Points!$H$5:$H$204&lt;&gt;"")),D_Points!$H$5:$H$204),"")</f>
        <v/>
      </c>
      <c r="AF824" s="181" t="str">
        <f>IFERROR(LOOKUP(2,1/((B_Drainage!$A$5:$A$204&lt;&gt;"")*(B_Drainage!$A$5:$A$204&lt;=$B824)*(B_Drainage!$B$5:$B$204&gt;$B824)*(B_Drainage!$M$5:$M$204&lt;&gt;"")),IF(UPPER(B_Drainage!$M$5:$M$204)="Y",1,"")),"")</f>
        <v/>
      </c>
      <c r="AG824" s="181" t="str">
        <f>IFERROR(LOOKUP(2,1/((B_Drainage!$A$5:$A$204&lt;&gt;"")*(B_Drainage!$A$5:$A$204&lt;=$B824)*(B_Drainage!$B$5:$B$204&gt;$B824)*(B_Drainage!$N$5:$N$204&lt;&gt;"")),IF(UPPER(B_Drainage!$N$5:$N$204)="Y",1,"")),"")</f>
        <v/>
      </c>
      <c r="AH824" s="181" t="str">
        <f t="shared" si="96"/>
        <v/>
      </c>
      <c r="AI824" s="181" t="str">
        <f t="shared" si="97"/>
        <v/>
      </c>
      <c r="AJ824" s="181" t="str">
        <f t="shared" si="98"/>
        <v/>
      </c>
      <c r="AK824" s="181" t="str">
        <f t="shared" si="99"/>
        <v/>
      </c>
      <c r="AL824" s="181" t="str">
        <f t="shared" si="100"/>
        <v/>
      </c>
      <c r="AM824" s="181" t="str">
        <f t="shared" si="101"/>
        <v/>
      </c>
      <c r="AN824" s="181" t="str">
        <f t="shared" si="102"/>
        <v/>
      </c>
      <c r="AO824" s="192" t="str">
        <f t="shared" si="103"/>
        <v/>
      </c>
      <c r="AQ824" t="str">
        <f>IFERROR(LOOKUP(2,1/((C_Pavement!$A$5:$A$204&lt;&gt;"")*(C_Pavement!$A$5:$A$204&lt;=$B824)*(C_Pavement!$B$5:$B$204&gt;$B824)*(C_Pavement!$C$5:$C$204&lt;&gt;"")),ROW(C_Pavement!$C$5:$C$204)-4),"")</f>
        <v/>
      </c>
      <c r="AR824" t="str">
        <f>IF($AQ824="","",UPPER(TRIM(INDEX(C_Pavement!$C$5:$C$204,$AQ824))))</f>
        <v/>
      </c>
      <c r="AS824" t="str">
        <f>IF($AR824="","",IFERROR(MATCH($AR824,E_Rules!$A$5:$A$9,0),""))</f>
        <v/>
      </c>
      <c r="AT824" t="str">
        <f>IF($AQ824="","",IF(INDEX(C_Pavement!$D$5:$D$204,$AQ824)&lt;&gt;"",UPPER(TRIM(INDEX(C_Pavement!$D$5:$D$204,$AQ824))),IF($AS824="","",INDEX(E_Rules!$C$5:$C$9,$AS824))))</f>
        <v/>
      </c>
      <c r="AU824" t="str">
        <f>IF($AQ824="","",IF(INDEX(C_Pavement!$E$5:$E$204,$AQ824)&lt;&gt;"",IF(INDEX(C_Pavement!$E$5:$E$204,$AQ824)="-","",INDEX(C_Pavement!$E$5:$E$204,$AQ824)),IF($AS824="","",INDEX(E_Rules!$D$5:$D$9,$AS824))))</f>
        <v/>
      </c>
      <c r="AV824" t="str">
        <f>IF($AQ824="","",IF(INDEX(C_Pavement!$F$5:$F$204,$AQ824)&lt;&gt;"",IF(INDEX(C_Pavement!$F$5:$F$204,$AQ824)="-","",INDEX(C_Pavement!$F$5:$F$204,$AQ824)),IF($AS824="","",INDEX(E_Rules!$E$5:$E$9,$AS824))))</f>
        <v/>
      </c>
      <c r="AW824" t="str">
        <f>IF($AQ824="","",IF(INDEX(C_Pavement!$G$5:$G$204,$AQ824)&lt;&gt;"",IF(INDEX(C_Pavement!$G$5:$G$204,$AQ824)="-","",INDEX(C_Pavement!$G$5:$G$204,$AQ824)),IF($AS824="","",INDEX(E_Rules!$F$5:$F$9,$AS824))))</f>
        <v/>
      </c>
      <c r="AX824" t="str">
        <f>IF($AQ824="","",IF(INDEX(C_Pavement!$H$5:$H$204,$AQ824)&lt;&gt;"",IF(INDEX(C_Pavement!$H$5:$H$204,$AQ824)="-","",INDEX(C_Pavement!$H$5:$H$204,$AQ824)),IF($AS824="","",INDEX(E_Rules!$G$5:$G$9,$AS824))))</f>
        <v/>
      </c>
      <c r="AY824" t="str">
        <f>IF($AQ824="","",IF(INDEX(C_Pavement!$I$5:$I$204,$AQ824)&lt;&gt;"",IF(INDEX(C_Pavement!$I$5:$I$204,$AQ824)="-","",INDEX(C_Pavement!$I$5:$I$204,$AQ824)),IF($AS824="","",INDEX(E_Rules!$H$5:$H$9,$AS824))))</f>
        <v/>
      </c>
    </row>
    <row r="825" spans="1:51" ht="15.75" customHeight="1" x14ac:dyDescent="0.3">
      <c r="A825" s="189">
        <v>820</v>
      </c>
      <c r="B825" s="180">
        <v>40950</v>
      </c>
      <c r="C825" s="180" t="s">
        <v>1131</v>
      </c>
      <c r="D825" s="181" t="str">
        <f>IFERROR(LOOKUP(2,1/((A_Corridor!$A$5:$A$204&lt;&gt;"")*(A_Corridor!$A$5:$A$204&lt;=$B825)*(A_Corridor!$B$5:$B$204&gt;$B825)*(A_Corridor!$C$5:$C$204&lt;&gt;"")),IF(UPPER(A_Corridor!$C$5:$C$204)="Y",1,"")),"")</f>
        <v/>
      </c>
      <c r="E825" s="181" t="str">
        <f>IFERROR(LOOKUP(2,1/((A_Corridor!$A$5:$A$204&lt;&gt;"")*(A_Corridor!$A$5:$A$204&lt;=$B825)*(A_Corridor!$B$5:$B$204&gt;$B825)*(A_Corridor!$D$5:$D$204&lt;&gt;"")),IF(A_Corridor!$D$5:$D$204="-","",UPPER(A_Corridor!$D$5:$D$204))),"")</f>
        <v/>
      </c>
      <c r="F825" s="181" t="str">
        <f>IFERROR(LOOKUP(2,1/((A_Corridor!$A$5:$A$204&lt;&gt;"")*(A_Corridor!$A$5:$A$204&lt;=$B825)*(A_Corridor!$B$5:$B$204&gt;$B825)*(A_Corridor!$E$5:$E$204&lt;&gt;"")),IF(A_Corridor!$E$5:$E$204="-","",1)),"")</f>
        <v/>
      </c>
      <c r="G825" s="182" t="str">
        <f>IFERROR(LOOKUP(2,1/((A_Corridor!$A$5:$A$204&lt;&gt;"")*(A_Corridor!$A$5:$A$204&lt;=$B825)*(A_Corridor!$B$5:$B$204&gt;$B825)*(A_Corridor!$E$5:$E$204&lt;&gt;"")),IF(A_Corridor!$E$5:$E$204="-","",A_Corridor!$E$5:$E$204)),"")</f>
        <v/>
      </c>
      <c r="H825" s="182" t="str">
        <f>IFERROR(LOOKUP(2,1/((D_Points!$A$5:$A$204&lt;&gt;"")*(D_Points!$A$5:$A$204&gt;=$B825)*(D_Points!$A$5:$A$204&lt;$B825+P_Interval)*(UPPER(TRIM(D_Points!$B$5:$B$204))="GULLY")*(D_Points!$H$5:$H$204&lt;&gt;"")),D_Points!$H$5:$H$204),"")</f>
        <v/>
      </c>
      <c r="I825" s="181" t="str">
        <f>IFERROR(LOOKUP(2,1/((A_Corridor!$A$5:$A$204&lt;&gt;"")*(A_Corridor!$A$5:$A$204&lt;=$B825)*(A_Corridor!$B$5:$B$204&gt;$B825)*(A_Corridor!$F$5:$F$204&lt;&gt;"")),IF(A_Corridor!$F$5:$F$204="-","",1)),"")</f>
        <v/>
      </c>
      <c r="J825" s="182" t="str">
        <f>IFERROR(LOOKUP(2,1/((A_Corridor!$A$5:$A$204&lt;&gt;"")*(A_Corridor!$A$5:$A$204&lt;=$B825)*(A_Corridor!$B$5:$B$204&gt;$B825)*(A_Corridor!$F$5:$F$204&lt;&gt;"")),IF(A_Corridor!$F$5:$F$204="-","",A_Corridor!$F$5:$F$204)),"")</f>
        <v/>
      </c>
      <c r="K825" s="182" t="str">
        <f>IFERROR(LOOKUP(2,1/((A_Corridor!$A$5:$A$204&lt;&gt;"")*(A_Corridor!$A$5:$A$204&lt;=$B825)*(A_Corridor!$B$5:$B$204&gt;$B825)*(A_Corridor!$G$5:$G$204&lt;&gt;"")),IF(A_Corridor!$G$5:$G$204="-","",A_Corridor!$G$5:$G$204)),"")</f>
        <v/>
      </c>
      <c r="L825" s="181" t="str">
        <f>IFERROR(LOOKUP(2,1/((A_Corridor!$A$5:$A$204&lt;&gt;"")*(A_Corridor!$A$5:$A$204&lt;=$B825)*(A_Corridor!$B$5:$B$204&gt;$B825)*(A_Corridor!$H$5:$H$204&lt;&gt;"")),IF(A_Corridor!$H$5:$H$204="-","",1)),"")</f>
        <v/>
      </c>
      <c r="M825" s="182" t="str">
        <f>IFERROR(LOOKUP(2,1/((A_Corridor!$A$5:$A$204&lt;&gt;"")*(A_Corridor!$A$5:$A$204&lt;=$B825)*(A_Corridor!$B$5:$B$204&gt;$B825)*(A_Corridor!$H$5:$H$204&lt;&gt;"")),IF(A_Corridor!$H$5:$H$204="-","",A_Corridor!$H$5:$H$204)),"")</f>
        <v/>
      </c>
      <c r="N825" s="182" t="str">
        <f>IFERROR(LOOKUP(2,1/((A_Corridor!$A$5:$A$204&lt;&gt;"")*(A_Corridor!$A$5:$A$204&lt;=$B825)*(A_Corridor!$B$5:$B$204&gt;$B825)*(A_Corridor!$I$5:$I$204&lt;&gt;"")),IF(A_Corridor!$I$5:$I$204="-","",A_Corridor!$I$5:$I$204)),"")</f>
        <v/>
      </c>
      <c r="O825" s="182" t="str">
        <f>IFERROR(LOOKUP(2,1/((D_Points!$A$5:$A$204&lt;&gt;"")*(D_Points!$A$5:$A$204&gt;=$B825)*(D_Points!$A$5:$A$204&lt;$B825+P_Interval)*(UPPER(TRIM(D_Points!$B$5:$B$204))="PITCHING")*(D_Points!$H$5:$H$204&lt;&gt;"")),D_Points!$H$5:$H$204),"")</f>
        <v/>
      </c>
      <c r="P825" s="181" t="str">
        <f>IFERROR(LOOKUP(2,1/((B_Drainage!$A$5:$A$204&lt;&gt;"")*(B_Drainage!$A$5:$A$204&lt;=$B825)*(B_Drainage!$B$5:$B$204&gt;$B825)*(B_Drainage!$C$5:$C$204&lt;&gt;"")),IF(B_Drainage!$C$5:$C$204="-","",UPPER(B_Drainage!$C$5:$C$204))),"")</f>
        <v/>
      </c>
      <c r="Q825" s="181" t="str">
        <f>IFERROR(LOOKUP(2,1/((B_Drainage!$A$5:$A$204&lt;&gt;"")*(B_Drainage!$A$5:$A$204&lt;=$B825)*(B_Drainage!$B$5:$B$204&gt;$B825)*(B_Drainage!$D$5:$D$204&lt;&gt;"")),IF(B_Drainage!$D$5:$D$204="-","",UPPER(B_Drainage!$D$5:$D$204))),"")</f>
        <v/>
      </c>
      <c r="R825" s="182" t="str">
        <f>IFERROR(LOOKUP(2,1/((D_Points!$A$5:$A$204&lt;&gt;"")*(D_Points!$A$5:$A$204&gt;=$B825)*(D_Points!$A$5:$A$204&lt;$B825+P_Interval)*(RIGHT(UPPER(TRIM(D_Points!$B$5:$B$204)),8)="_CULVERT")),IF(LEFT(UPPER(TRIM(D_Points!$B$5:$B$204)),2)="EX",1,IF(LEFT(UPPER(TRIM(D_Points!$B$5:$B$204)),2)="PR",2,3))),"")</f>
        <v/>
      </c>
      <c r="S825" s="182" t="str">
        <f>IFERROR(LOOKUP(2,1/((D_Points!$A$5:$A$204&lt;&gt;"")*(D_Points!$A$5:$A$204&gt;=$B825)*(D_Points!$A$5:$A$204&lt;$B825+P_Interval)*(RIGHT(UPPER(TRIM(D_Points!$B$5:$B$204)),7)="_BRIDGE")),IF(LEFT(UPPER(TRIM(D_Points!$B$5:$B$204)),2)="EX",1,IF(LEFT(UPPER(TRIM(D_Points!$B$5:$B$204)),2)="PR",2,2))),"")</f>
        <v/>
      </c>
      <c r="T825" s="181" t="str">
        <f>IFERROR(LOOKUP(2,1/((B_Drainage!$A$5:$A$204&lt;&gt;"")*(B_Drainage!$A$5:$A$204&lt;=$B825)*(B_Drainage!$B$5:$B$204&gt;$B825)*(B_Drainage!$E$5:$E$204&lt;&gt;"")),IF(B_Drainage!$E$5:$E$204="-","",1)),"")</f>
        <v/>
      </c>
      <c r="U825" s="181" t="str">
        <f>IFERROR(LOOKUP(2,1/((B_Drainage!$A$5:$A$204&lt;&gt;"")*(B_Drainage!$A$5:$A$204&lt;=$B825)*(B_Drainage!$B$5:$B$204&gt;$B825)*(B_Drainage!$E$5:$E$204&lt;&gt;"")),IF(B_Drainage!$E$5:$E$204="-","",B_Drainage!$E$5:$E$204)),"")</f>
        <v/>
      </c>
      <c r="V825" s="181" t="str">
        <f>IFERROR(LOOKUP(2,1/((B_Drainage!$A$5:$A$204&lt;&gt;"")*(B_Drainage!$A$5:$A$204&lt;=$B825)*(B_Drainage!$B$5:$B$204&gt;$B825)*(B_Drainage!$F$5:$F$204&lt;&gt;"")),IF(B_Drainage!$F$5:$F$204="-","",1)),"")</f>
        <v/>
      </c>
      <c r="W825" s="181" t="str">
        <f>IFERROR(LOOKUP(2,1/((B_Drainage!$A$5:$A$204&lt;&gt;"")*(B_Drainage!$A$5:$A$204&lt;=$B825)*(B_Drainage!$B$5:$B$204&gt;$B825)*(B_Drainage!$F$5:$F$204&lt;&gt;"")),IF(B_Drainage!$F$5:$F$204="-","",B_Drainage!$F$5:$F$204)),"")</f>
        <v/>
      </c>
      <c r="X825" s="181" t="str">
        <f>IFERROR(LOOKUP(2,1/((B_Drainage!$A$5:$A$204&lt;&gt;"")*(B_Drainage!$A$5:$A$204&lt;=$B825)*(B_Drainage!$B$5:$B$204&gt;$B825)*(B_Drainage!$G$5:$G$204&lt;&gt;"")),IF(UPPER(B_Drainage!$G$5:$G$204)="Y",1,"")),"")</f>
        <v/>
      </c>
      <c r="Y825" s="181" t="str">
        <f>IFERROR(LOOKUP(2,1/((B_Drainage!$A$5:$A$204&lt;&gt;"")*(B_Drainage!$A$5:$A$204&lt;=$B825)*(B_Drainage!$B$5:$B$204&gt;$B825)*(B_Drainage!$H$5:$H$204&lt;&gt;"")),IF(UPPER(B_Drainage!$H$5:$H$204)="Y",1,"")),"")</f>
        <v/>
      </c>
      <c r="Z825" s="181" t="str">
        <f>IFERROR(LOOKUP(2,1/((B_Drainage!$A$5:$A$204&lt;&gt;"")*(B_Drainage!$A$5:$A$204&lt;=$B825)*(B_Drainage!$B$5:$B$204&gt;$B825)*(B_Drainage!$I$5:$I$204&lt;&gt;"")),IF(UPPER(B_Drainage!$I$5:$I$204)="Y",1,"")),"")</f>
        <v/>
      </c>
      <c r="AA825" s="181" t="str">
        <f>IFERROR(LOOKUP(2,1/((B_Drainage!$A$5:$A$204&lt;&gt;"")*(B_Drainage!$A$5:$A$204&lt;=$B825)*(B_Drainage!$B$5:$B$204&gt;$B825)*(B_Drainage!$J$5:$J$204&lt;&gt;"")),IF(UPPER(B_Drainage!$J$5:$J$204)="Y",1,"")),"")</f>
        <v/>
      </c>
      <c r="AB825" s="182" t="str">
        <f>IFERROR(LOOKUP(2,1/((B_Drainage!$A$5:$A$204&lt;&gt;"")*(B_Drainage!$A$5:$A$204&lt;=$B825)*(B_Drainage!$B$5:$B$204&gt;$B825)*(B_Drainage!$K$5:$K$204&lt;&gt;"")),IF(B_Drainage!$K$5:$K$204="-","",B_Drainage!$K$5:$K$204)),"")</f>
        <v/>
      </c>
      <c r="AC825" s="182" t="str">
        <f>IFERROR(LOOKUP(2,1/((B_Drainage!$A$5:$A$204&lt;&gt;"")*(B_Drainage!$A$5:$A$204&lt;=$B825)*(B_Drainage!$B$5:$B$204&gt;$B825)*(B_Drainage!$L$5:$L$204&lt;&gt;"")),IF(B_Drainage!$L$5:$L$204="-","",B_Drainage!$L$5:$L$204)),"")</f>
        <v/>
      </c>
      <c r="AD825" s="182" t="str">
        <f>IFERROR(LOOKUP(2,1/((D_Points!$A$5:$A$204&lt;&gt;"")*(D_Points!$A$5:$A$204&gt;=$B825)*(D_Points!$A$5:$A$204&lt;$B825+P_Interval)*(UPPER(TRIM(D_Points!$B$5:$B$204))="TURNOUT_L")*(D_Points!$H$5:$H$204&lt;&gt;"")),D_Points!$H$5:$H$204),"")</f>
        <v/>
      </c>
      <c r="AE825" s="182" t="str">
        <f>IFERROR(LOOKUP(2,1/((D_Points!$A$5:$A$204&lt;&gt;"")*(D_Points!$A$5:$A$204&gt;=$B825)*(D_Points!$A$5:$A$204&lt;$B825+P_Interval)*(UPPER(TRIM(D_Points!$B$5:$B$204))="TURNOUT_R")*(D_Points!$H$5:$H$204&lt;&gt;"")),D_Points!$H$5:$H$204),"")</f>
        <v/>
      </c>
      <c r="AF825" s="181" t="str">
        <f>IFERROR(LOOKUP(2,1/((B_Drainage!$A$5:$A$204&lt;&gt;"")*(B_Drainage!$A$5:$A$204&lt;=$B825)*(B_Drainage!$B$5:$B$204&gt;$B825)*(B_Drainage!$M$5:$M$204&lt;&gt;"")),IF(UPPER(B_Drainage!$M$5:$M$204)="Y",1,"")),"")</f>
        <v/>
      </c>
      <c r="AG825" s="181" t="str">
        <f>IFERROR(LOOKUP(2,1/((B_Drainage!$A$5:$A$204&lt;&gt;"")*(B_Drainage!$A$5:$A$204&lt;=$B825)*(B_Drainage!$B$5:$B$204&gt;$B825)*(B_Drainage!$N$5:$N$204&lt;&gt;"")),IF(UPPER(B_Drainage!$N$5:$N$204)="Y",1,"")),"")</f>
        <v/>
      </c>
      <c r="AH825" s="181" t="str">
        <f t="shared" si="96"/>
        <v/>
      </c>
      <c r="AI825" s="181" t="str">
        <f t="shared" si="97"/>
        <v/>
      </c>
      <c r="AJ825" s="181" t="str">
        <f t="shared" si="98"/>
        <v/>
      </c>
      <c r="AK825" s="181" t="str">
        <f t="shared" si="99"/>
        <v/>
      </c>
      <c r="AL825" s="181" t="str">
        <f t="shared" si="100"/>
        <v/>
      </c>
      <c r="AM825" s="181" t="str">
        <f t="shared" si="101"/>
        <v/>
      </c>
      <c r="AN825" s="181" t="str">
        <f t="shared" si="102"/>
        <v/>
      </c>
      <c r="AO825" s="192" t="str">
        <f t="shared" si="103"/>
        <v/>
      </c>
      <c r="AQ825" t="str">
        <f>IFERROR(LOOKUP(2,1/((C_Pavement!$A$5:$A$204&lt;&gt;"")*(C_Pavement!$A$5:$A$204&lt;=$B825)*(C_Pavement!$B$5:$B$204&gt;$B825)*(C_Pavement!$C$5:$C$204&lt;&gt;"")),ROW(C_Pavement!$C$5:$C$204)-4),"")</f>
        <v/>
      </c>
      <c r="AR825" t="str">
        <f>IF($AQ825="","",UPPER(TRIM(INDEX(C_Pavement!$C$5:$C$204,$AQ825))))</f>
        <v/>
      </c>
      <c r="AS825" t="str">
        <f>IF($AR825="","",IFERROR(MATCH($AR825,E_Rules!$A$5:$A$9,0),""))</f>
        <v/>
      </c>
      <c r="AT825" t="str">
        <f>IF($AQ825="","",IF(INDEX(C_Pavement!$D$5:$D$204,$AQ825)&lt;&gt;"",UPPER(TRIM(INDEX(C_Pavement!$D$5:$D$204,$AQ825))),IF($AS825="","",INDEX(E_Rules!$C$5:$C$9,$AS825))))</f>
        <v/>
      </c>
      <c r="AU825" t="str">
        <f>IF($AQ825="","",IF(INDEX(C_Pavement!$E$5:$E$204,$AQ825)&lt;&gt;"",IF(INDEX(C_Pavement!$E$5:$E$204,$AQ825)="-","",INDEX(C_Pavement!$E$5:$E$204,$AQ825)),IF($AS825="","",INDEX(E_Rules!$D$5:$D$9,$AS825))))</f>
        <v/>
      </c>
      <c r="AV825" t="str">
        <f>IF($AQ825="","",IF(INDEX(C_Pavement!$F$5:$F$204,$AQ825)&lt;&gt;"",IF(INDEX(C_Pavement!$F$5:$F$204,$AQ825)="-","",INDEX(C_Pavement!$F$5:$F$204,$AQ825)),IF($AS825="","",INDEX(E_Rules!$E$5:$E$9,$AS825))))</f>
        <v/>
      </c>
      <c r="AW825" t="str">
        <f>IF($AQ825="","",IF(INDEX(C_Pavement!$G$5:$G$204,$AQ825)&lt;&gt;"",IF(INDEX(C_Pavement!$G$5:$G$204,$AQ825)="-","",INDEX(C_Pavement!$G$5:$G$204,$AQ825)),IF($AS825="","",INDEX(E_Rules!$F$5:$F$9,$AS825))))</f>
        <v/>
      </c>
      <c r="AX825" t="str">
        <f>IF($AQ825="","",IF(INDEX(C_Pavement!$H$5:$H$204,$AQ825)&lt;&gt;"",IF(INDEX(C_Pavement!$H$5:$H$204,$AQ825)="-","",INDEX(C_Pavement!$H$5:$H$204,$AQ825)),IF($AS825="","",INDEX(E_Rules!$G$5:$G$9,$AS825))))</f>
        <v/>
      </c>
      <c r="AY825" t="str">
        <f>IF($AQ825="","",IF(INDEX(C_Pavement!$I$5:$I$204,$AQ825)&lt;&gt;"",IF(INDEX(C_Pavement!$I$5:$I$204,$AQ825)="-","",INDEX(C_Pavement!$I$5:$I$204,$AQ825)),IF($AS825="","",INDEX(E_Rules!$H$5:$H$9,$AS825))))</f>
        <v/>
      </c>
    </row>
    <row r="826" spans="1:51" ht="15.75" customHeight="1" x14ac:dyDescent="0.3">
      <c r="A826" s="189">
        <v>821</v>
      </c>
      <c r="B826" s="180">
        <v>41000</v>
      </c>
      <c r="C826" s="180" t="s">
        <v>1132</v>
      </c>
      <c r="D826" s="181" t="str">
        <f>IFERROR(LOOKUP(2,1/((A_Corridor!$A$5:$A$204&lt;&gt;"")*(A_Corridor!$A$5:$A$204&lt;=$B826)*(A_Corridor!$B$5:$B$204&gt;$B826)*(A_Corridor!$C$5:$C$204&lt;&gt;"")),IF(UPPER(A_Corridor!$C$5:$C$204)="Y",1,"")),"")</f>
        <v/>
      </c>
      <c r="E826" s="181" t="str">
        <f>IFERROR(LOOKUP(2,1/((A_Corridor!$A$5:$A$204&lt;&gt;"")*(A_Corridor!$A$5:$A$204&lt;=$B826)*(A_Corridor!$B$5:$B$204&gt;$B826)*(A_Corridor!$D$5:$D$204&lt;&gt;"")),IF(A_Corridor!$D$5:$D$204="-","",UPPER(A_Corridor!$D$5:$D$204))),"")</f>
        <v/>
      </c>
      <c r="F826" s="181" t="str">
        <f>IFERROR(LOOKUP(2,1/((A_Corridor!$A$5:$A$204&lt;&gt;"")*(A_Corridor!$A$5:$A$204&lt;=$B826)*(A_Corridor!$B$5:$B$204&gt;$B826)*(A_Corridor!$E$5:$E$204&lt;&gt;"")),IF(A_Corridor!$E$5:$E$204="-","",1)),"")</f>
        <v/>
      </c>
      <c r="G826" s="182" t="str">
        <f>IFERROR(LOOKUP(2,1/((A_Corridor!$A$5:$A$204&lt;&gt;"")*(A_Corridor!$A$5:$A$204&lt;=$B826)*(A_Corridor!$B$5:$B$204&gt;$B826)*(A_Corridor!$E$5:$E$204&lt;&gt;"")),IF(A_Corridor!$E$5:$E$204="-","",A_Corridor!$E$5:$E$204)),"")</f>
        <v/>
      </c>
      <c r="H826" s="182" t="str">
        <f>IFERROR(LOOKUP(2,1/((D_Points!$A$5:$A$204&lt;&gt;"")*(D_Points!$A$5:$A$204&gt;=$B826)*(D_Points!$A$5:$A$204&lt;$B826+P_Interval)*(UPPER(TRIM(D_Points!$B$5:$B$204))="GULLY")*(D_Points!$H$5:$H$204&lt;&gt;"")),D_Points!$H$5:$H$204),"")</f>
        <v/>
      </c>
      <c r="I826" s="181" t="str">
        <f>IFERROR(LOOKUP(2,1/((A_Corridor!$A$5:$A$204&lt;&gt;"")*(A_Corridor!$A$5:$A$204&lt;=$B826)*(A_Corridor!$B$5:$B$204&gt;$B826)*(A_Corridor!$F$5:$F$204&lt;&gt;"")),IF(A_Corridor!$F$5:$F$204="-","",1)),"")</f>
        <v/>
      </c>
      <c r="J826" s="182" t="str">
        <f>IFERROR(LOOKUP(2,1/((A_Corridor!$A$5:$A$204&lt;&gt;"")*(A_Corridor!$A$5:$A$204&lt;=$B826)*(A_Corridor!$B$5:$B$204&gt;$B826)*(A_Corridor!$F$5:$F$204&lt;&gt;"")),IF(A_Corridor!$F$5:$F$204="-","",A_Corridor!$F$5:$F$204)),"")</f>
        <v/>
      </c>
      <c r="K826" s="182" t="str">
        <f>IFERROR(LOOKUP(2,1/((A_Corridor!$A$5:$A$204&lt;&gt;"")*(A_Corridor!$A$5:$A$204&lt;=$B826)*(A_Corridor!$B$5:$B$204&gt;$B826)*(A_Corridor!$G$5:$G$204&lt;&gt;"")),IF(A_Corridor!$G$5:$G$204="-","",A_Corridor!$G$5:$G$204)),"")</f>
        <v/>
      </c>
      <c r="L826" s="181" t="str">
        <f>IFERROR(LOOKUP(2,1/((A_Corridor!$A$5:$A$204&lt;&gt;"")*(A_Corridor!$A$5:$A$204&lt;=$B826)*(A_Corridor!$B$5:$B$204&gt;$B826)*(A_Corridor!$H$5:$H$204&lt;&gt;"")),IF(A_Corridor!$H$5:$H$204="-","",1)),"")</f>
        <v/>
      </c>
      <c r="M826" s="182" t="str">
        <f>IFERROR(LOOKUP(2,1/((A_Corridor!$A$5:$A$204&lt;&gt;"")*(A_Corridor!$A$5:$A$204&lt;=$B826)*(A_Corridor!$B$5:$B$204&gt;$B826)*(A_Corridor!$H$5:$H$204&lt;&gt;"")),IF(A_Corridor!$H$5:$H$204="-","",A_Corridor!$H$5:$H$204)),"")</f>
        <v/>
      </c>
      <c r="N826" s="182" t="str">
        <f>IFERROR(LOOKUP(2,1/((A_Corridor!$A$5:$A$204&lt;&gt;"")*(A_Corridor!$A$5:$A$204&lt;=$B826)*(A_Corridor!$B$5:$B$204&gt;$B826)*(A_Corridor!$I$5:$I$204&lt;&gt;"")),IF(A_Corridor!$I$5:$I$204="-","",A_Corridor!$I$5:$I$204)),"")</f>
        <v/>
      </c>
      <c r="O826" s="182" t="str">
        <f>IFERROR(LOOKUP(2,1/((D_Points!$A$5:$A$204&lt;&gt;"")*(D_Points!$A$5:$A$204&gt;=$B826)*(D_Points!$A$5:$A$204&lt;$B826+P_Interval)*(UPPER(TRIM(D_Points!$B$5:$B$204))="PITCHING")*(D_Points!$H$5:$H$204&lt;&gt;"")),D_Points!$H$5:$H$204),"")</f>
        <v/>
      </c>
      <c r="P826" s="181" t="str">
        <f>IFERROR(LOOKUP(2,1/((B_Drainage!$A$5:$A$204&lt;&gt;"")*(B_Drainage!$A$5:$A$204&lt;=$B826)*(B_Drainage!$B$5:$B$204&gt;$B826)*(B_Drainage!$C$5:$C$204&lt;&gt;"")),IF(B_Drainage!$C$5:$C$204="-","",UPPER(B_Drainage!$C$5:$C$204))),"")</f>
        <v/>
      </c>
      <c r="Q826" s="181" t="str">
        <f>IFERROR(LOOKUP(2,1/((B_Drainage!$A$5:$A$204&lt;&gt;"")*(B_Drainage!$A$5:$A$204&lt;=$B826)*(B_Drainage!$B$5:$B$204&gt;$B826)*(B_Drainage!$D$5:$D$204&lt;&gt;"")),IF(B_Drainage!$D$5:$D$204="-","",UPPER(B_Drainage!$D$5:$D$204))),"")</f>
        <v/>
      </c>
      <c r="R826" s="182" t="str">
        <f>IFERROR(LOOKUP(2,1/((D_Points!$A$5:$A$204&lt;&gt;"")*(D_Points!$A$5:$A$204&gt;=$B826)*(D_Points!$A$5:$A$204&lt;$B826+P_Interval)*(RIGHT(UPPER(TRIM(D_Points!$B$5:$B$204)),8)="_CULVERT")),IF(LEFT(UPPER(TRIM(D_Points!$B$5:$B$204)),2)="EX",1,IF(LEFT(UPPER(TRIM(D_Points!$B$5:$B$204)),2)="PR",2,3))),"")</f>
        <v/>
      </c>
      <c r="S826" s="182" t="str">
        <f>IFERROR(LOOKUP(2,1/((D_Points!$A$5:$A$204&lt;&gt;"")*(D_Points!$A$5:$A$204&gt;=$B826)*(D_Points!$A$5:$A$204&lt;$B826+P_Interval)*(RIGHT(UPPER(TRIM(D_Points!$B$5:$B$204)),7)="_BRIDGE")),IF(LEFT(UPPER(TRIM(D_Points!$B$5:$B$204)),2)="EX",1,IF(LEFT(UPPER(TRIM(D_Points!$B$5:$B$204)),2)="PR",2,2))),"")</f>
        <v/>
      </c>
      <c r="T826" s="181" t="str">
        <f>IFERROR(LOOKUP(2,1/((B_Drainage!$A$5:$A$204&lt;&gt;"")*(B_Drainage!$A$5:$A$204&lt;=$B826)*(B_Drainage!$B$5:$B$204&gt;$B826)*(B_Drainage!$E$5:$E$204&lt;&gt;"")),IF(B_Drainage!$E$5:$E$204="-","",1)),"")</f>
        <v/>
      </c>
      <c r="U826" s="181" t="str">
        <f>IFERROR(LOOKUP(2,1/((B_Drainage!$A$5:$A$204&lt;&gt;"")*(B_Drainage!$A$5:$A$204&lt;=$B826)*(B_Drainage!$B$5:$B$204&gt;$B826)*(B_Drainage!$E$5:$E$204&lt;&gt;"")),IF(B_Drainage!$E$5:$E$204="-","",B_Drainage!$E$5:$E$204)),"")</f>
        <v/>
      </c>
      <c r="V826" s="181" t="str">
        <f>IFERROR(LOOKUP(2,1/((B_Drainage!$A$5:$A$204&lt;&gt;"")*(B_Drainage!$A$5:$A$204&lt;=$B826)*(B_Drainage!$B$5:$B$204&gt;$B826)*(B_Drainage!$F$5:$F$204&lt;&gt;"")),IF(B_Drainage!$F$5:$F$204="-","",1)),"")</f>
        <v/>
      </c>
      <c r="W826" s="181" t="str">
        <f>IFERROR(LOOKUP(2,1/((B_Drainage!$A$5:$A$204&lt;&gt;"")*(B_Drainage!$A$5:$A$204&lt;=$B826)*(B_Drainage!$B$5:$B$204&gt;$B826)*(B_Drainage!$F$5:$F$204&lt;&gt;"")),IF(B_Drainage!$F$5:$F$204="-","",B_Drainage!$F$5:$F$204)),"")</f>
        <v/>
      </c>
      <c r="X826" s="181" t="str">
        <f>IFERROR(LOOKUP(2,1/((B_Drainage!$A$5:$A$204&lt;&gt;"")*(B_Drainage!$A$5:$A$204&lt;=$B826)*(B_Drainage!$B$5:$B$204&gt;$B826)*(B_Drainage!$G$5:$G$204&lt;&gt;"")),IF(UPPER(B_Drainage!$G$5:$G$204)="Y",1,"")),"")</f>
        <v/>
      </c>
      <c r="Y826" s="181" t="str">
        <f>IFERROR(LOOKUP(2,1/((B_Drainage!$A$5:$A$204&lt;&gt;"")*(B_Drainage!$A$5:$A$204&lt;=$B826)*(B_Drainage!$B$5:$B$204&gt;$B826)*(B_Drainage!$H$5:$H$204&lt;&gt;"")),IF(UPPER(B_Drainage!$H$5:$H$204)="Y",1,"")),"")</f>
        <v/>
      </c>
      <c r="Z826" s="181" t="str">
        <f>IFERROR(LOOKUP(2,1/((B_Drainage!$A$5:$A$204&lt;&gt;"")*(B_Drainage!$A$5:$A$204&lt;=$B826)*(B_Drainage!$B$5:$B$204&gt;$B826)*(B_Drainage!$I$5:$I$204&lt;&gt;"")),IF(UPPER(B_Drainage!$I$5:$I$204)="Y",1,"")),"")</f>
        <v/>
      </c>
      <c r="AA826" s="181" t="str">
        <f>IFERROR(LOOKUP(2,1/((B_Drainage!$A$5:$A$204&lt;&gt;"")*(B_Drainage!$A$5:$A$204&lt;=$B826)*(B_Drainage!$B$5:$B$204&gt;$B826)*(B_Drainage!$J$5:$J$204&lt;&gt;"")),IF(UPPER(B_Drainage!$J$5:$J$204)="Y",1,"")),"")</f>
        <v/>
      </c>
      <c r="AB826" s="182" t="str">
        <f>IFERROR(LOOKUP(2,1/((B_Drainage!$A$5:$A$204&lt;&gt;"")*(B_Drainage!$A$5:$A$204&lt;=$B826)*(B_Drainage!$B$5:$B$204&gt;$B826)*(B_Drainage!$K$5:$K$204&lt;&gt;"")),IF(B_Drainage!$K$5:$K$204="-","",B_Drainage!$K$5:$K$204)),"")</f>
        <v/>
      </c>
      <c r="AC826" s="182" t="str">
        <f>IFERROR(LOOKUP(2,1/((B_Drainage!$A$5:$A$204&lt;&gt;"")*(B_Drainage!$A$5:$A$204&lt;=$B826)*(B_Drainage!$B$5:$B$204&gt;$B826)*(B_Drainage!$L$5:$L$204&lt;&gt;"")),IF(B_Drainage!$L$5:$L$204="-","",B_Drainage!$L$5:$L$204)),"")</f>
        <v/>
      </c>
      <c r="AD826" s="182" t="str">
        <f>IFERROR(LOOKUP(2,1/((D_Points!$A$5:$A$204&lt;&gt;"")*(D_Points!$A$5:$A$204&gt;=$B826)*(D_Points!$A$5:$A$204&lt;$B826+P_Interval)*(UPPER(TRIM(D_Points!$B$5:$B$204))="TURNOUT_L")*(D_Points!$H$5:$H$204&lt;&gt;"")),D_Points!$H$5:$H$204),"")</f>
        <v/>
      </c>
      <c r="AE826" s="182" t="str">
        <f>IFERROR(LOOKUP(2,1/((D_Points!$A$5:$A$204&lt;&gt;"")*(D_Points!$A$5:$A$204&gt;=$B826)*(D_Points!$A$5:$A$204&lt;$B826+P_Interval)*(UPPER(TRIM(D_Points!$B$5:$B$204))="TURNOUT_R")*(D_Points!$H$5:$H$204&lt;&gt;"")),D_Points!$H$5:$H$204),"")</f>
        <v/>
      </c>
      <c r="AF826" s="181" t="str">
        <f>IFERROR(LOOKUP(2,1/((B_Drainage!$A$5:$A$204&lt;&gt;"")*(B_Drainage!$A$5:$A$204&lt;=$B826)*(B_Drainage!$B$5:$B$204&gt;$B826)*(B_Drainage!$M$5:$M$204&lt;&gt;"")),IF(UPPER(B_Drainage!$M$5:$M$204)="Y",1,"")),"")</f>
        <v/>
      </c>
      <c r="AG826" s="181" t="str">
        <f>IFERROR(LOOKUP(2,1/((B_Drainage!$A$5:$A$204&lt;&gt;"")*(B_Drainage!$A$5:$A$204&lt;=$B826)*(B_Drainage!$B$5:$B$204&gt;$B826)*(B_Drainage!$N$5:$N$204&lt;&gt;"")),IF(UPPER(B_Drainage!$N$5:$N$204)="Y",1,"")),"")</f>
        <v/>
      </c>
      <c r="AH826" s="181" t="str">
        <f t="shared" si="96"/>
        <v/>
      </c>
      <c r="AI826" s="181" t="str">
        <f t="shared" si="97"/>
        <v/>
      </c>
      <c r="AJ826" s="181" t="str">
        <f t="shared" si="98"/>
        <v/>
      </c>
      <c r="AK826" s="181" t="str">
        <f t="shared" si="99"/>
        <v/>
      </c>
      <c r="AL826" s="181" t="str">
        <f t="shared" si="100"/>
        <v/>
      </c>
      <c r="AM826" s="181" t="str">
        <f t="shared" si="101"/>
        <v/>
      </c>
      <c r="AN826" s="181" t="str">
        <f t="shared" si="102"/>
        <v/>
      </c>
      <c r="AO826" s="192" t="str">
        <f t="shared" si="103"/>
        <v/>
      </c>
      <c r="AQ826" t="str">
        <f>IFERROR(LOOKUP(2,1/((C_Pavement!$A$5:$A$204&lt;&gt;"")*(C_Pavement!$A$5:$A$204&lt;=$B826)*(C_Pavement!$B$5:$B$204&gt;$B826)*(C_Pavement!$C$5:$C$204&lt;&gt;"")),ROW(C_Pavement!$C$5:$C$204)-4),"")</f>
        <v/>
      </c>
      <c r="AR826" t="str">
        <f>IF($AQ826="","",UPPER(TRIM(INDEX(C_Pavement!$C$5:$C$204,$AQ826))))</f>
        <v/>
      </c>
      <c r="AS826" t="str">
        <f>IF($AR826="","",IFERROR(MATCH($AR826,E_Rules!$A$5:$A$9,0),""))</f>
        <v/>
      </c>
      <c r="AT826" t="str">
        <f>IF($AQ826="","",IF(INDEX(C_Pavement!$D$5:$D$204,$AQ826)&lt;&gt;"",UPPER(TRIM(INDEX(C_Pavement!$D$5:$D$204,$AQ826))),IF($AS826="","",INDEX(E_Rules!$C$5:$C$9,$AS826))))</f>
        <v/>
      </c>
      <c r="AU826" t="str">
        <f>IF($AQ826="","",IF(INDEX(C_Pavement!$E$5:$E$204,$AQ826)&lt;&gt;"",IF(INDEX(C_Pavement!$E$5:$E$204,$AQ826)="-","",INDEX(C_Pavement!$E$5:$E$204,$AQ826)),IF($AS826="","",INDEX(E_Rules!$D$5:$D$9,$AS826))))</f>
        <v/>
      </c>
      <c r="AV826" t="str">
        <f>IF($AQ826="","",IF(INDEX(C_Pavement!$F$5:$F$204,$AQ826)&lt;&gt;"",IF(INDEX(C_Pavement!$F$5:$F$204,$AQ826)="-","",INDEX(C_Pavement!$F$5:$F$204,$AQ826)),IF($AS826="","",INDEX(E_Rules!$E$5:$E$9,$AS826))))</f>
        <v/>
      </c>
      <c r="AW826" t="str">
        <f>IF($AQ826="","",IF(INDEX(C_Pavement!$G$5:$G$204,$AQ826)&lt;&gt;"",IF(INDEX(C_Pavement!$G$5:$G$204,$AQ826)="-","",INDEX(C_Pavement!$G$5:$G$204,$AQ826)),IF($AS826="","",INDEX(E_Rules!$F$5:$F$9,$AS826))))</f>
        <v/>
      </c>
      <c r="AX826" t="str">
        <f>IF($AQ826="","",IF(INDEX(C_Pavement!$H$5:$H$204,$AQ826)&lt;&gt;"",IF(INDEX(C_Pavement!$H$5:$H$204,$AQ826)="-","",INDEX(C_Pavement!$H$5:$H$204,$AQ826)),IF($AS826="","",INDEX(E_Rules!$G$5:$G$9,$AS826))))</f>
        <v/>
      </c>
      <c r="AY826" t="str">
        <f>IF($AQ826="","",IF(INDEX(C_Pavement!$I$5:$I$204,$AQ826)&lt;&gt;"",IF(INDEX(C_Pavement!$I$5:$I$204,$AQ826)="-","",INDEX(C_Pavement!$I$5:$I$204,$AQ826)),IF($AS826="","",INDEX(E_Rules!$H$5:$H$9,$AS826))))</f>
        <v/>
      </c>
    </row>
    <row r="827" spans="1:51" ht="15.75" customHeight="1" x14ac:dyDescent="0.3">
      <c r="A827" s="189">
        <v>822</v>
      </c>
      <c r="B827" s="180">
        <v>41050</v>
      </c>
      <c r="C827" s="180" t="s">
        <v>1133</v>
      </c>
      <c r="D827" s="181" t="str">
        <f>IFERROR(LOOKUP(2,1/((A_Corridor!$A$5:$A$204&lt;&gt;"")*(A_Corridor!$A$5:$A$204&lt;=$B827)*(A_Corridor!$B$5:$B$204&gt;$B827)*(A_Corridor!$C$5:$C$204&lt;&gt;"")),IF(UPPER(A_Corridor!$C$5:$C$204)="Y",1,"")),"")</f>
        <v/>
      </c>
      <c r="E827" s="181" t="str">
        <f>IFERROR(LOOKUP(2,1/((A_Corridor!$A$5:$A$204&lt;&gt;"")*(A_Corridor!$A$5:$A$204&lt;=$B827)*(A_Corridor!$B$5:$B$204&gt;$B827)*(A_Corridor!$D$5:$D$204&lt;&gt;"")),IF(A_Corridor!$D$5:$D$204="-","",UPPER(A_Corridor!$D$5:$D$204))),"")</f>
        <v/>
      </c>
      <c r="F827" s="181" t="str">
        <f>IFERROR(LOOKUP(2,1/((A_Corridor!$A$5:$A$204&lt;&gt;"")*(A_Corridor!$A$5:$A$204&lt;=$B827)*(A_Corridor!$B$5:$B$204&gt;$B827)*(A_Corridor!$E$5:$E$204&lt;&gt;"")),IF(A_Corridor!$E$5:$E$204="-","",1)),"")</f>
        <v/>
      </c>
      <c r="G827" s="182" t="str">
        <f>IFERROR(LOOKUP(2,1/((A_Corridor!$A$5:$A$204&lt;&gt;"")*(A_Corridor!$A$5:$A$204&lt;=$B827)*(A_Corridor!$B$5:$B$204&gt;$B827)*(A_Corridor!$E$5:$E$204&lt;&gt;"")),IF(A_Corridor!$E$5:$E$204="-","",A_Corridor!$E$5:$E$204)),"")</f>
        <v/>
      </c>
      <c r="H827" s="182" t="str">
        <f>IFERROR(LOOKUP(2,1/((D_Points!$A$5:$A$204&lt;&gt;"")*(D_Points!$A$5:$A$204&gt;=$B827)*(D_Points!$A$5:$A$204&lt;$B827+P_Interval)*(UPPER(TRIM(D_Points!$B$5:$B$204))="GULLY")*(D_Points!$H$5:$H$204&lt;&gt;"")),D_Points!$H$5:$H$204),"")</f>
        <v/>
      </c>
      <c r="I827" s="181" t="str">
        <f>IFERROR(LOOKUP(2,1/((A_Corridor!$A$5:$A$204&lt;&gt;"")*(A_Corridor!$A$5:$A$204&lt;=$B827)*(A_Corridor!$B$5:$B$204&gt;$B827)*(A_Corridor!$F$5:$F$204&lt;&gt;"")),IF(A_Corridor!$F$5:$F$204="-","",1)),"")</f>
        <v/>
      </c>
      <c r="J827" s="182" t="str">
        <f>IFERROR(LOOKUP(2,1/((A_Corridor!$A$5:$A$204&lt;&gt;"")*(A_Corridor!$A$5:$A$204&lt;=$B827)*(A_Corridor!$B$5:$B$204&gt;$B827)*(A_Corridor!$F$5:$F$204&lt;&gt;"")),IF(A_Corridor!$F$5:$F$204="-","",A_Corridor!$F$5:$F$204)),"")</f>
        <v/>
      </c>
      <c r="K827" s="182" t="str">
        <f>IFERROR(LOOKUP(2,1/((A_Corridor!$A$5:$A$204&lt;&gt;"")*(A_Corridor!$A$5:$A$204&lt;=$B827)*(A_Corridor!$B$5:$B$204&gt;$B827)*(A_Corridor!$G$5:$G$204&lt;&gt;"")),IF(A_Corridor!$G$5:$G$204="-","",A_Corridor!$G$5:$G$204)),"")</f>
        <v/>
      </c>
      <c r="L827" s="181" t="str">
        <f>IFERROR(LOOKUP(2,1/((A_Corridor!$A$5:$A$204&lt;&gt;"")*(A_Corridor!$A$5:$A$204&lt;=$B827)*(A_Corridor!$B$5:$B$204&gt;$B827)*(A_Corridor!$H$5:$H$204&lt;&gt;"")),IF(A_Corridor!$H$5:$H$204="-","",1)),"")</f>
        <v/>
      </c>
      <c r="M827" s="182" t="str">
        <f>IFERROR(LOOKUP(2,1/((A_Corridor!$A$5:$A$204&lt;&gt;"")*(A_Corridor!$A$5:$A$204&lt;=$B827)*(A_Corridor!$B$5:$B$204&gt;$B827)*(A_Corridor!$H$5:$H$204&lt;&gt;"")),IF(A_Corridor!$H$5:$H$204="-","",A_Corridor!$H$5:$H$204)),"")</f>
        <v/>
      </c>
      <c r="N827" s="182" t="str">
        <f>IFERROR(LOOKUP(2,1/((A_Corridor!$A$5:$A$204&lt;&gt;"")*(A_Corridor!$A$5:$A$204&lt;=$B827)*(A_Corridor!$B$5:$B$204&gt;$B827)*(A_Corridor!$I$5:$I$204&lt;&gt;"")),IF(A_Corridor!$I$5:$I$204="-","",A_Corridor!$I$5:$I$204)),"")</f>
        <v/>
      </c>
      <c r="O827" s="182" t="str">
        <f>IFERROR(LOOKUP(2,1/((D_Points!$A$5:$A$204&lt;&gt;"")*(D_Points!$A$5:$A$204&gt;=$B827)*(D_Points!$A$5:$A$204&lt;$B827+P_Interval)*(UPPER(TRIM(D_Points!$B$5:$B$204))="PITCHING")*(D_Points!$H$5:$H$204&lt;&gt;"")),D_Points!$H$5:$H$204),"")</f>
        <v/>
      </c>
      <c r="P827" s="181" t="str">
        <f>IFERROR(LOOKUP(2,1/((B_Drainage!$A$5:$A$204&lt;&gt;"")*(B_Drainage!$A$5:$A$204&lt;=$B827)*(B_Drainage!$B$5:$B$204&gt;$B827)*(B_Drainage!$C$5:$C$204&lt;&gt;"")),IF(B_Drainage!$C$5:$C$204="-","",UPPER(B_Drainage!$C$5:$C$204))),"")</f>
        <v/>
      </c>
      <c r="Q827" s="181" t="str">
        <f>IFERROR(LOOKUP(2,1/((B_Drainage!$A$5:$A$204&lt;&gt;"")*(B_Drainage!$A$5:$A$204&lt;=$B827)*(B_Drainage!$B$5:$B$204&gt;$B827)*(B_Drainage!$D$5:$D$204&lt;&gt;"")),IF(B_Drainage!$D$5:$D$204="-","",UPPER(B_Drainage!$D$5:$D$204))),"")</f>
        <v/>
      </c>
      <c r="R827" s="182" t="str">
        <f>IFERROR(LOOKUP(2,1/((D_Points!$A$5:$A$204&lt;&gt;"")*(D_Points!$A$5:$A$204&gt;=$B827)*(D_Points!$A$5:$A$204&lt;$B827+P_Interval)*(RIGHT(UPPER(TRIM(D_Points!$B$5:$B$204)),8)="_CULVERT")),IF(LEFT(UPPER(TRIM(D_Points!$B$5:$B$204)),2)="EX",1,IF(LEFT(UPPER(TRIM(D_Points!$B$5:$B$204)),2)="PR",2,3))),"")</f>
        <v/>
      </c>
      <c r="S827" s="182" t="str">
        <f>IFERROR(LOOKUP(2,1/((D_Points!$A$5:$A$204&lt;&gt;"")*(D_Points!$A$5:$A$204&gt;=$B827)*(D_Points!$A$5:$A$204&lt;$B827+P_Interval)*(RIGHT(UPPER(TRIM(D_Points!$B$5:$B$204)),7)="_BRIDGE")),IF(LEFT(UPPER(TRIM(D_Points!$B$5:$B$204)),2)="EX",1,IF(LEFT(UPPER(TRIM(D_Points!$B$5:$B$204)),2)="PR",2,2))),"")</f>
        <v/>
      </c>
      <c r="T827" s="181" t="str">
        <f>IFERROR(LOOKUP(2,1/((B_Drainage!$A$5:$A$204&lt;&gt;"")*(B_Drainage!$A$5:$A$204&lt;=$B827)*(B_Drainage!$B$5:$B$204&gt;$B827)*(B_Drainage!$E$5:$E$204&lt;&gt;"")),IF(B_Drainage!$E$5:$E$204="-","",1)),"")</f>
        <v/>
      </c>
      <c r="U827" s="181" t="str">
        <f>IFERROR(LOOKUP(2,1/((B_Drainage!$A$5:$A$204&lt;&gt;"")*(B_Drainage!$A$5:$A$204&lt;=$B827)*(B_Drainage!$B$5:$B$204&gt;$B827)*(B_Drainage!$E$5:$E$204&lt;&gt;"")),IF(B_Drainage!$E$5:$E$204="-","",B_Drainage!$E$5:$E$204)),"")</f>
        <v/>
      </c>
      <c r="V827" s="181" t="str">
        <f>IFERROR(LOOKUP(2,1/((B_Drainage!$A$5:$A$204&lt;&gt;"")*(B_Drainage!$A$5:$A$204&lt;=$B827)*(B_Drainage!$B$5:$B$204&gt;$B827)*(B_Drainage!$F$5:$F$204&lt;&gt;"")),IF(B_Drainage!$F$5:$F$204="-","",1)),"")</f>
        <v/>
      </c>
      <c r="W827" s="181" t="str">
        <f>IFERROR(LOOKUP(2,1/((B_Drainage!$A$5:$A$204&lt;&gt;"")*(B_Drainage!$A$5:$A$204&lt;=$B827)*(B_Drainage!$B$5:$B$204&gt;$B827)*(B_Drainage!$F$5:$F$204&lt;&gt;"")),IF(B_Drainage!$F$5:$F$204="-","",B_Drainage!$F$5:$F$204)),"")</f>
        <v/>
      </c>
      <c r="X827" s="181" t="str">
        <f>IFERROR(LOOKUP(2,1/((B_Drainage!$A$5:$A$204&lt;&gt;"")*(B_Drainage!$A$5:$A$204&lt;=$B827)*(B_Drainage!$B$5:$B$204&gt;$B827)*(B_Drainage!$G$5:$G$204&lt;&gt;"")),IF(UPPER(B_Drainage!$G$5:$G$204)="Y",1,"")),"")</f>
        <v/>
      </c>
      <c r="Y827" s="181" t="str">
        <f>IFERROR(LOOKUP(2,1/((B_Drainage!$A$5:$A$204&lt;&gt;"")*(B_Drainage!$A$5:$A$204&lt;=$B827)*(B_Drainage!$B$5:$B$204&gt;$B827)*(B_Drainage!$H$5:$H$204&lt;&gt;"")),IF(UPPER(B_Drainage!$H$5:$H$204)="Y",1,"")),"")</f>
        <v/>
      </c>
      <c r="Z827" s="181" t="str">
        <f>IFERROR(LOOKUP(2,1/((B_Drainage!$A$5:$A$204&lt;&gt;"")*(B_Drainage!$A$5:$A$204&lt;=$B827)*(B_Drainage!$B$5:$B$204&gt;$B827)*(B_Drainage!$I$5:$I$204&lt;&gt;"")),IF(UPPER(B_Drainage!$I$5:$I$204)="Y",1,"")),"")</f>
        <v/>
      </c>
      <c r="AA827" s="181" t="str">
        <f>IFERROR(LOOKUP(2,1/((B_Drainage!$A$5:$A$204&lt;&gt;"")*(B_Drainage!$A$5:$A$204&lt;=$B827)*(B_Drainage!$B$5:$B$204&gt;$B827)*(B_Drainage!$J$5:$J$204&lt;&gt;"")),IF(UPPER(B_Drainage!$J$5:$J$204)="Y",1,"")),"")</f>
        <v/>
      </c>
      <c r="AB827" s="182" t="str">
        <f>IFERROR(LOOKUP(2,1/((B_Drainage!$A$5:$A$204&lt;&gt;"")*(B_Drainage!$A$5:$A$204&lt;=$B827)*(B_Drainage!$B$5:$B$204&gt;$B827)*(B_Drainage!$K$5:$K$204&lt;&gt;"")),IF(B_Drainage!$K$5:$K$204="-","",B_Drainage!$K$5:$K$204)),"")</f>
        <v/>
      </c>
      <c r="AC827" s="182" t="str">
        <f>IFERROR(LOOKUP(2,1/((B_Drainage!$A$5:$A$204&lt;&gt;"")*(B_Drainage!$A$5:$A$204&lt;=$B827)*(B_Drainage!$B$5:$B$204&gt;$B827)*(B_Drainage!$L$5:$L$204&lt;&gt;"")),IF(B_Drainage!$L$5:$L$204="-","",B_Drainage!$L$5:$L$204)),"")</f>
        <v/>
      </c>
      <c r="AD827" s="182" t="str">
        <f>IFERROR(LOOKUP(2,1/((D_Points!$A$5:$A$204&lt;&gt;"")*(D_Points!$A$5:$A$204&gt;=$B827)*(D_Points!$A$5:$A$204&lt;$B827+P_Interval)*(UPPER(TRIM(D_Points!$B$5:$B$204))="TURNOUT_L")*(D_Points!$H$5:$H$204&lt;&gt;"")),D_Points!$H$5:$H$204),"")</f>
        <v/>
      </c>
      <c r="AE827" s="182" t="str">
        <f>IFERROR(LOOKUP(2,1/((D_Points!$A$5:$A$204&lt;&gt;"")*(D_Points!$A$5:$A$204&gt;=$B827)*(D_Points!$A$5:$A$204&lt;$B827+P_Interval)*(UPPER(TRIM(D_Points!$B$5:$B$204))="TURNOUT_R")*(D_Points!$H$5:$H$204&lt;&gt;"")),D_Points!$H$5:$H$204),"")</f>
        <v/>
      </c>
      <c r="AF827" s="181" t="str">
        <f>IFERROR(LOOKUP(2,1/((B_Drainage!$A$5:$A$204&lt;&gt;"")*(B_Drainage!$A$5:$A$204&lt;=$B827)*(B_Drainage!$B$5:$B$204&gt;$B827)*(B_Drainage!$M$5:$M$204&lt;&gt;"")),IF(UPPER(B_Drainage!$M$5:$M$204)="Y",1,"")),"")</f>
        <v/>
      </c>
      <c r="AG827" s="181" t="str">
        <f>IFERROR(LOOKUP(2,1/((B_Drainage!$A$5:$A$204&lt;&gt;"")*(B_Drainage!$A$5:$A$204&lt;=$B827)*(B_Drainage!$B$5:$B$204&gt;$B827)*(B_Drainage!$N$5:$N$204&lt;&gt;"")),IF(UPPER(B_Drainage!$N$5:$N$204)="Y",1,"")),"")</f>
        <v/>
      </c>
      <c r="AH827" s="181" t="str">
        <f t="shared" si="96"/>
        <v/>
      </c>
      <c r="AI827" s="181" t="str">
        <f t="shared" si="97"/>
        <v/>
      </c>
      <c r="AJ827" s="181" t="str">
        <f t="shared" si="98"/>
        <v/>
      </c>
      <c r="AK827" s="181" t="str">
        <f t="shared" si="99"/>
        <v/>
      </c>
      <c r="AL827" s="181" t="str">
        <f t="shared" si="100"/>
        <v/>
      </c>
      <c r="AM827" s="181" t="str">
        <f t="shared" si="101"/>
        <v/>
      </c>
      <c r="AN827" s="181" t="str">
        <f t="shared" si="102"/>
        <v/>
      </c>
      <c r="AO827" s="192" t="str">
        <f t="shared" si="103"/>
        <v/>
      </c>
      <c r="AQ827" t="str">
        <f>IFERROR(LOOKUP(2,1/((C_Pavement!$A$5:$A$204&lt;&gt;"")*(C_Pavement!$A$5:$A$204&lt;=$B827)*(C_Pavement!$B$5:$B$204&gt;$B827)*(C_Pavement!$C$5:$C$204&lt;&gt;"")),ROW(C_Pavement!$C$5:$C$204)-4),"")</f>
        <v/>
      </c>
      <c r="AR827" t="str">
        <f>IF($AQ827="","",UPPER(TRIM(INDEX(C_Pavement!$C$5:$C$204,$AQ827))))</f>
        <v/>
      </c>
      <c r="AS827" t="str">
        <f>IF($AR827="","",IFERROR(MATCH($AR827,E_Rules!$A$5:$A$9,0),""))</f>
        <v/>
      </c>
      <c r="AT827" t="str">
        <f>IF($AQ827="","",IF(INDEX(C_Pavement!$D$5:$D$204,$AQ827)&lt;&gt;"",UPPER(TRIM(INDEX(C_Pavement!$D$5:$D$204,$AQ827))),IF($AS827="","",INDEX(E_Rules!$C$5:$C$9,$AS827))))</f>
        <v/>
      </c>
      <c r="AU827" t="str">
        <f>IF($AQ827="","",IF(INDEX(C_Pavement!$E$5:$E$204,$AQ827)&lt;&gt;"",IF(INDEX(C_Pavement!$E$5:$E$204,$AQ827)="-","",INDEX(C_Pavement!$E$5:$E$204,$AQ827)),IF($AS827="","",INDEX(E_Rules!$D$5:$D$9,$AS827))))</f>
        <v/>
      </c>
      <c r="AV827" t="str">
        <f>IF($AQ827="","",IF(INDEX(C_Pavement!$F$5:$F$204,$AQ827)&lt;&gt;"",IF(INDEX(C_Pavement!$F$5:$F$204,$AQ827)="-","",INDEX(C_Pavement!$F$5:$F$204,$AQ827)),IF($AS827="","",INDEX(E_Rules!$E$5:$E$9,$AS827))))</f>
        <v/>
      </c>
      <c r="AW827" t="str">
        <f>IF($AQ827="","",IF(INDEX(C_Pavement!$G$5:$G$204,$AQ827)&lt;&gt;"",IF(INDEX(C_Pavement!$G$5:$G$204,$AQ827)="-","",INDEX(C_Pavement!$G$5:$G$204,$AQ827)),IF($AS827="","",INDEX(E_Rules!$F$5:$F$9,$AS827))))</f>
        <v/>
      </c>
      <c r="AX827" t="str">
        <f>IF($AQ827="","",IF(INDEX(C_Pavement!$H$5:$H$204,$AQ827)&lt;&gt;"",IF(INDEX(C_Pavement!$H$5:$H$204,$AQ827)="-","",INDEX(C_Pavement!$H$5:$H$204,$AQ827)),IF($AS827="","",INDEX(E_Rules!$G$5:$G$9,$AS827))))</f>
        <v/>
      </c>
      <c r="AY827" t="str">
        <f>IF($AQ827="","",IF(INDEX(C_Pavement!$I$5:$I$204,$AQ827)&lt;&gt;"",IF(INDEX(C_Pavement!$I$5:$I$204,$AQ827)="-","",INDEX(C_Pavement!$I$5:$I$204,$AQ827)),IF($AS827="","",INDEX(E_Rules!$H$5:$H$9,$AS827))))</f>
        <v/>
      </c>
    </row>
    <row r="828" spans="1:51" ht="15.75" customHeight="1" x14ac:dyDescent="0.3">
      <c r="A828" s="189">
        <v>823</v>
      </c>
      <c r="B828" s="180">
        <v>41100</v>
      </c>
      <c r="C828" s="180" t="s">
        <v>1134</v>
      </c>
      <c r="D828" s="181" t="str">
        <f>IFERROR(LOOKUP(2,1/((A_Corridor!$A$5:$A$204&lt;&gt;"")*(A_Corridor!$A$5:$A$204&lt;=$B828)*(A_Corridor!$B$5:$B$204&gt;$B828)*(A_Corridor!$C$5:$C$204&lt;&gt;"")),IF(UPPER(A_Corridor!$C$5:$C$204)="Y",1,"")),"")</f>
        <v/>
      </c>
      <c r="E828" s="181" t="str">
        <f>IFERROR(LOOKUP(2,1/((A_Corridor!$A$5:$A$204&lt;&gt;"")*(A_Corridor!$A$5:$A$204&lt;=$B828)*(A_Corridor!$B$5:$B$204&gt;$B828)*(A_Corridor!$D$5:$D$204&lt;&gt;"")),IF(A_Corridor!$D$5:$D$204="-","",UPPER(A_Corridor!$D$5:$D$204))),"")</f>
        <v/>
      </c>
      <c r="F828" s="181" t="str">
        <f>IFERROR(LOOKUP(2,1/((A_Corridor!$A$5:$A$204&lt;&gt;"")*(A_Corridor!$A$5:$A$204&lt;=$B828)*(A_Corridor!$B$5:$B$204&gt;$B828)*(A_Corridor!$E$5:$E$204&lt;&gt;"")),IF(A_Corridor!$E$5:$E$204="-","",1)),"")</f>
        <v/>
      </c>
      <c r="G828" s="182" t="str">
        <f>IFERROR(LOOKUP(2,1/((A_Corridor!$A$5:$A$204&lt;&gt;"")*(A_Corridor!$A$5:$A$204&lt;=$B828)*(A_Corridor!$B$5:$B$204&gt;$B828)*(A_Corridor!$E$5:$E$204&lt;&gt;"")),IF(A_Corridor!$E$5:$E$204="-","",A_Corridor!$E$5:$E$204)),"")</f>
        <v/>
      </c>
      <c r="H828" s="182" t="str">
        <f>IFERROR(LOOKUP(2,1/((D_Points!$A$5:$A$204&lt;&gt;"")*(D_Points!$A$5:$A$204&gt;=$B828)*(D_Points!$A$5:$A$204&lt;$B828+P_Interval)*(UPPER(TRIM(D_Points!$B$5:$B$204))="GULLY")*(D_Points!$H$5:$H$204&lt;&gt;"")),D_Points!$H$5:$H$204),"")</f>
        <v/>
      </c>
      <c r="I828" s="181" t="str">
        <f>IFERROR(LOOKUP(2,1/((A_Corridor!$A$5:$A$204&lt;&gt;"")*(A_Corridor!$A$5:$A$204&lt;=$B828)*(A_Corridor!$B$5:$B$204&gt;$B828)*(A_Corridor!$F$5:$F$204&lt;&gt;"")),IF(A_Corridor!$F$5:$F$204="-","",1)),"")</f>
        <v/>
      </c>
      <c r="J828" s="182" t="str">
        <f>IFERROR(LOOKUP(2,1/((A_Corridor!$A$5:$A$204&lt;&gt;"")*(A_Corridor!$A$5:$A$204&lt;=$B828)*(A_Corridor!$B$5:$B$204&gt;$B828)*(A_Corridor!$F$5:$F$204&lt;&gt;"")),IF(A_Corridor!$F$5:$F$204="-","",A_Corridor!$F$5:$F$204)),"")</f>
        <v/>
      </c>
      <c r="K828" s="182" t="str">
        <f>IFERROR(LOOKUP(2,1/((A_Corridor!$A$5:$A$204&lt;&gt;"")*(A_Corridor!$A$5:$A$204&lt;=$B828)*(A_Corridor!$B$5:$B$204&gt;$B828)*(A_Corridor!$G$5:$G$204&lt;&gt;"")),IF(A_Corridor!$G$5:$G$204="-","",A_Corridor!$G$5:$G$204)),"")</f>
        <v/>
      </c>
      <c r="L828" s="181" t="str">
        <f>IFERROR(LOOKUP(2,1/((A_Corridor!$A$5:$A$204&lt;&gt;"")*(A_Corridor!$A$5:$A$204&lt;=$B828)*(A_Corridor!$B$5:$B$204&gt;$B828)*(A_Corridor!$H$5:$H$204&lt;&gt;"")),IF(A_Corridor!$H$5:$H$204="-","",1)),"")</f>
        <v/>
      </c>
      <c r="M828" s="182" t="str">
        <f>IFERROR(LOOKUP(2,1/((A_Corridor!$A$5:$A$204&lt;&gt;"")*(A_Corridor!$A$5:$A$204&lt;=$B828)*(A_Corridor!$B$5:$B$204&gt;$B828)*(A_Corridor!$H$5:$H$204&lt;&gt;"")),IF(A_Corridor!$H$5:$H$204="-","",A_Corridor!$H$5:$H$204)),"")</f>
        <v/>
      </c>
      <c r="N828" s="182" t="str">
        <f>IFERROR(LOOKUP(2,1/((A_Corridor!$A$5:$A$204&lt;&gt;"")*(A_Corridor!$A$5:$A$204&lt;=$B828)*(A_Corridor!$B$5:$B$204&gt;$B828)*(A_Corridor!$I$5:$I$204&lt;&gt;"")),IF(A_Corridor!$I$5:$I$204="-","",A_Corridor!$I$5:$I$204)),"")</f>
        <v/>
      </c>
      <c r="O828" s="182" t="str">
        <f>IFERROR(LOOKUP(2,1/((D_Points!$A$5:$A$204&lt;&gt;"")*(D_Points!$A$5:$A$204&gt;=$B828)*(D_Points!$A$5:$A$204&lt;$B828+P_Interval)*(UPPER(TRIM(D_Points!$B$5:$B$204))="PITCHING")*(D_Points!$H$5:$H$204&lt;&gt;"")),D_Points!$H$5:$H$204),"")</f>
        <v/>
      </c>
      <c r="P828" s="181" t="str">
        <f>IFERROR(LOOKUP(2,1/((B_Drainage!$A$5:$A$204&lt;&gt;"")*(B_Drainage!$A$5:$A$204&lt;=$B828)*(B_Drainage!$B$5:$B$204&gt;$B828)*(B_Drainage!$C$5:$C$204&lt;&gt;"")),IF(B_Drainage!$C$5:$C$204="-","",UPPER(B_Drainage!$C$5:$C$204))),"")</f>
        <v/>
      </c>
      <c r="Q828" s="181" t="str">
        <f>IFERROR(LOOKUP(2,1/((B_Drainage!$A$5:$A$204&lt;&gt;"")*(B_Drainage!$A$5:$A$204&lt;=$B828)*(B_Drainage!$B$5:$B$204&gt;$B828)*(B_Drainage!$D$5:$D$204&lt;&gt;"")),IF(B_Drainage!$D$5:$D$204="-","",UPPER(B_Drainage!$D$5:$D$204))),"")</f>
        <v/>
      </c>
      <c r="R828" s="182" t="str">
        <f>IFERROR(LOOKUP(2,1/((D_Points!$A$5:$A$204&lt;&gt;"")*(D_Points!$A$5:$A$204&gt;=$B828)*(D_Points!$A$5:$A$204&lt;$B828+P_Interval)*(RIGHT(UPPER(TRIM(D_Points!$B$5:$B$204)),8)="_CULVERT")),IF(LEFT(UPPER(TRIM(D_Points!$B$5:$B$204)),2)="EX",1,IF(LEFT(UPPER(TRIM(D_Points!$B$5:$B$204)),2)="PR",2,3))),"")</f>
        <v/>
      </c>
      <c r="S828" s="182" t="str">
        <f>IFERROR(LOOKUP(2,1/((D_Points!$A$5:$A$204&lt;&gt;"")*(D_Points!$A$5:$A$204&gt;=$B828)*(D_Points!$A$5:$A$204&lt;$B828+P_Interval)*(RIGHT(UPPER(TRIM(D_Points!$B$5:$B$204)),7)="_BRIDGE")),IF(LEFT(UPPER(TRIM(D_Points!$B$5:$B$204)),2)="EX",1,IF(LEFT(UPPER(TRIM(D_Points!$B$5:$B$204)),2)="PR",2,2))),"")</f>
        <v/>
      </c>
      <c r="T828" s="181" t="str">
        <f>IFERROR(LOOKUP(2,1/((B_Drainage!$A$5:$A$204&lt;&gt;"")*(B_Drainage!$A$5:$A$204&lt;=$B828)*(B_Drainage!$B$5:$B$204&gt;$B828)*(B_Drainage!$E$5:$E$204&lt;&gt;"")),IF(B_Drainage!$E$5:$E$204="-","",1)),"")</f>
        <v/>
      </c>
      <c r="U828" s="181" t="str">
        <f>IFERROR(LOOKUP(2,1/((B_Drainage!$A$5:$A$204&lt;&gt;"")*(B_Drainage!$A$5:$A$204&lt;=$B828)*(B_Drainage!$B$5:$B$204&gt;$B828)*(B_Drainage!$E$5:$E$204&lt;&gt;"")),IF(B_Drainage!$E$5:$E$204="-","",B_Drainage!$E$5:$E$204)),"")</f>
        <v/>
      </c>
      <c r="V828" s="181" t="str">
        <f>IFERROR(LOOKUP(2,1/((B_Drainage!$A$5:$A$204&lt;&gt;"")*(B_Drainage!$A$5:$A$204&lt;=$B828)*(B_Drainage!$B$5:$B$204&gt;$B828)*(B_Drainage!$F$5:$F$204&lt;&gt;"")),IF(B_Drainage!$F$5:$F$204="-","",1)),"")</f>
        <v/>
      </c>
      <c r="W828" s="181" t="str">
        <f>IFERROR(LOOKUP(2,1/((B_Drainage!$A$5:$A$204&lt;&gt;"")*(B_Drainage!$A$5:$A$204&lt;=$B828)*(B_Drainage!$B$5:$B$204&gt;$B828)*(B_Drainage!$F$5:$F$204&lt;&gt;"")),IF(B_Drainage!$F$5:$F$204="-","",B_Drainage!$F$5:$F$204)),"")</f>
        <v/>
      </c>
      <c r="X828" s="181" t="str">
        <f>IFERROR(LOOKUP(2,1/((B_Drainage!$A$5:$A$204&lt;&gt;"")*(B_Drainage!$A$5:$A$204&lt;=$B828)*(B_Drainage!$B$5:$B$204&gt;$B828)*(B_Drainage!$G$5:$G$204&lt;&gt;"")),IF(UPPER(B_Drainage!$G$5:$G$204)="Y",1,"")),"")</f>
        <v/>
      </c>
      <c r="Y828" s="181" t="str">
        <f>IFERROR(LOOKUP(2,1/((B_Drainage!$A$5:$A$204&lt;&gt;"")*(B_Drainage!$A$5:$A$204&lt;=$B828)*(B_Drainage!$B$5:$B$204&gt;$B828)*(B_Drainage!$H$5:$H$204&lt;&gt;"")),IF(UPPER(B_Drainage!$H$5:$H$204)="Y",1,"")),"")</f>
        <v/>
      </c>
      <c r="Z828" s="181" t="str">
        <f>IFERROR(LOOKUP(2,1/((B_Drainage!$A$5:$A$204&lt;&gt;"")*(B_Drainage!$A$5:$A$204&lt;=$B828)*(B_Drainage!$B$5:$B$204&gt;$B828)*(B_Drainage!$I$5:$I$204&lt;&gt;"")),IF(UPPER(B_Drainage!$I$5:$I$204)="Y",1,"")),"")</f>
        <v/>
      </c>
      <c r="AA828" s="181" t="str">
        <f>IFERROR(LOOKUP(2,1/((B_Drainage!$A$5:$A$204&lt;&gt;"")*(B_Drainage!$A$5:$A$204&lt;=$B828)*(B_Drainage!$B$5:$B$204&gt;$B828)*(B_Drainage!$J$5:$J$204&lt;&gt;"")),IF(UPPER(B_Drainage!$J$5:$J$204)="Y",1,"")),"")</f>
        <v/>
      </c>
      <c r="AB828" s="182" t="str">
        <f>IFERROR(LOOKUP(2,1/((B_Drainage!$A$5:$A$204&lt;&gt;"")*(B_Drainage!$A$5:$A$204&lt;=$B828)*(B_Drainage!$B$5:$B$204&gt;$B828)*(B_Drainage!$K$5:$K$204&lt;&gt;"")),IF(B_Drainage!$K$5:$K$204="-","",B_Drainage!$K$5:$K$204)),"")</f>
        <v/>
      </c>
      <c r="AC828" s="182" t="str">
        <f>IFERROR(LOOKUP(2,1/((B_Drainage!$A$5:$A$204&lt;&gt;"")*(B_Drainage!$A$5:$A$204&lt;=$B828)*(B_Drainage!$B$5:$B$204&gt;$B828)*(B_Drainage!$L$5:$L$204&lt;&gt;"")),IF(B_Drainage!$L$5:$L$204="-","",B_Drainage!$L$5:$L$204)),"")</f>
        <v/>
      </c>
      <c r="AD828" s="182" t="str">
        <f>IFERROR(LOOKUP(2,1/((D_Points!$A$5:$A$204&lt;&gt;"")*(D_Points!$A$5:$A$204&gt;=$B828)*(D_Points!$A$5:$A$204&lt;$B828+P_Interval)*(UPPER(TRIM(D_Points!$B$5:$B$204))="TURNOUT_L")*(D_Points!$H$5:$H$204&lt;&gt;"")),D_Points!$H$5:$H$204),"")</f>
        <v/>
      </c>
      <c r="AE828" s="182" t="str">
        <f>IFERROR(LOOKUP(2,1/((D_Points!$A$5:$A$204&lt;&gt;"")*(D_Points!$A$5:$A$204&gt;=$B828)*(D_Points!$A$5:$A$204&lt;$B828+P_Interval)*(UPPER(TRIM(D_Points!$B$5:$B$204))="TURNOUT_R")*(D_Points!$H$5:$H$204&lt;&gt;"")),D_Points!$H$5:$H$204),"")</f>
        <v/>
      </c>
      <c r="AF828" s="181" t="str">
        <f>IFERROR(LOOKUP(2,1/((B_Drainage!$A$5:$A$204&lt;&gt;"")*(B_Drainage!$A$5:$A$204&lt;=$B828)*(B_Drainage!$B$5:$B$204&gt;$B828)*(B_Drainage!$M$5:$M$204&lt;&gt;"")),IF(UPPER(B_Drainage!$M$5:$M$204)="Y",1,"")),"")</f>
        <v/>
      </c>
      <c r="AG828" s="181" t="str">
        <f>IFERROR(LOOKUP(2,1/((B_Drainage!$A$5:$A$204&lt;&gt;"")*(B_Drainage!$A$5:$A$204&lt;=$B828)*(B_Drainage!$B$5:$B$204&gt;$B828)*(B_Drainage!$N$5:$N$204&lt;&gt;"")),IF(UPPER(B_Drainage!$N$5:$N$204)="Y",1,"")),"")</f>
        <v/>
      </c>
      <c r="AH828" s="181" t="str">
        <f t="shared" si="96"/>
        <v/>
      </c>
      <c r="AI828" s="181" t="str">
        <f t="shared" si="97"/>
        <v/>
      </c>
      <c r="AJ828" s="181" t="str">
        <f t="shared" si="98"/>
        <v/>
      </c>
      <c r="AK828" s="181" t="str">
        <f t="shared" si="99"/>
        <v/>
      </c>
      <c r="AL828" s="181" t="str">
        <f t="shared" si="100"/>
        <v/>
      </c>
      <c r="AM828" s="181" t="str">
        <f t="shared" si="101"/>
        <v/>
      </c>
      <c r="AN828" s="181" t="str">
        <f t="shared" si="102"/>
        <v/>
      </c>
      <c r="AO828" s="192" t="str">
        <f t="shared" si="103"/>
        <v/>
      </c>
      <c r="AQ828" t="str">
        <f>IFERROR(LOOKUP(2,1/((C_Pavement!$A$5:$A$204&lt;&gt;"")*(C_Pavement!$A$5:$A$204&lt;=$B828)*(C_Pavement!$B$5:$B$204&gt;$B828)*(C_Pavement!$C$5:$C$204&lt;&gt;"")),ROW(C_Pavement!$C$5:$C$204)-4),"")</f>
        <v/>
      </c>
      <c r="AR828" t="str">
        <f>IF($AQ828="","",UPPER(TRIM(INDEX(C_Pavement!$C$5:$C$204,$AQ828))))</f>
        <v/>
      </c>
      <c r="AS828" t="str">
        <f>IF($AR828="","",IFERROR(MATCH($AR828,E_Rules!$A$5:$A$9,0),""))</f>
        <v/>
      </c>
      <c r="AT828" t="str">
        <f>IF($AQ828="","",IF(INDEX(C_Pavement!$D$5:$D$204,$AQ828)&lt;&gt;"",UPPER(TRIM(INDEX(C_Pavement!$D$5:$D$204,$AQ828))),IF($AS828="","",INDEX(E_Rules!$C$5:$C$9,$AS828))))</f>
        <v/>
      </c>
      <c r="AU828" t="str">
        <f>IF($AQ828="","",IF(INDEX(C_Pavement!$E$5:$E$204,$AQ828)&lt;&gt;"",IF(INDEX(C_Pavement!$E$5:$E$204,$AQ828)="-","",INDEX(C_Pavement!$E$5:$E$204,$AQ828)),IF($AS828="","",INDEX(E_Rules!$D$5:$D$9,$AS828))))</f>
        <v/>
      </c>
      <c r="AV828" t="str">
        <f>IF($AQ828="","",IF(INDEX(C_Pavement!$F$5:$F$204,$AQ828)&lt;&gt;"",IF(INDEX(C_Pavement!$F$5:$F$204,$AQ828)="-","",INDEX(C_Pavement!$F$5:$F$204,$AQ828)),IF($AS828="","",INDEX(E_Rules!$E$5:$E$9,$AS828))))</f>
        <v/>
      </c>
      <c r="AW828" t="str">
        <f>IF($AQ828="","",IF(INDEX(C_Pavement!$G$5:$G$204,$AQ828)&lt;&gt;"",IF(INDEX(C_Pavement!$G$5:$G$204,$AQ828)="-","",INDEX(C_Pavement!$G$5:$G$204,$AQ828)),IF($AS828="","",INDEX(E_Rules!$F$5:$F$9,$AS828))))</f>
        <v/>
      </c>
      <c r="AX828" t="str">
        <f>IF($AQ828="","",IF(INDEX(C_Pavement!$H$5:$H$204,$AQ828)&lt;&gt;"",IF(INDEX(C_Pavement!$H$5:$H$204,$AQ828)="-","",INDEX(C_Pavement!$H$5:$H$204,$AQ828)),IF($AS828="","",INDEX(E_Rules!$G$5:$G$9,$AS828))))</f>
        <v/>
      </c>
      <c r="AY828" t="str">
        <f>IF($AQ828="","",IF(INDEX(C_Pavement!$I$5:$I$204,$AQ828)&lt;&gt;"",IF(INDEX(C_Pavement!$I$5:$I$204,$AQ828)="-","",INDEX(C_Pavement!$I$5:$I$204,$AQ828)),IF($AS828="","",INDEX(E_Rules!$H$5:$H$9,$AS828))))</f>
        <v/>
      </c>
    </row>
    <row r="829" spans="1:51" ht="15.75" customHeight="1" x14ac:dyDescent="0.3">
      <c r="A829" s="189">
        <v>824</v>
      </c>
      <c r="B829" s="180">
        <v>41150</v>
      </c>
      <c r="C829" s="180" t="s">
        <v>1135</v>
      </c>
      <c r="D829" s="181" t="str">
        <f>IFERROR(LOOKUP(2,1/((A_Corridor!$A$5:$A$204&lt;&gt;"")*(A_Corridor!$A$5:$A$204&lt;=$B829)*(A_Corridor!$B$5:$B$204&gt;$B829)*(A_Corridor!$C$5:$C$204&lt;&gt;"")),IF(UPPER(A_Corridor!$C$5:$C$204)="Y",1,"")),"")</f>
        <v/>
      </c>
      <c r="E829" s="181" t="str">
        <f>IFERROR(LOOKUP(2,1/((A_Corridor!$A$5:$A$204&lt;&gt;"")*(A_Corridor!$A$5:$A$204&lt;=$B829)*(A_Corridor!$B$5:$B$204&gt;$B829)*(A_Corridor!$D$5:$D$204&lt;&gt;"")),IF(A_Corridor!$D$5:$D$204="-","",UPPER(A_Corridor!$D$5:$D$204))),"")</f>
        <v/>
      </c>
      <c r="F829" s="181" t="str">
        <f>IFERROR(LOOKUP(2,1/((A_Corridor!$A$5:$A$204&lt;&gt;"")*(A_Corridor!$A$5:$A$204&lt;=$B829)*(A_Corridor!$B$5:$B$204&gt;$B829)*(A_Corridor!$E$5:$E$204&lt;&gt;"")),IF(A_Corridor!$E$5:$E$204="-","",1)),"")</f>
        <v/>
      </c>
      <c r="G829" s="182" t="str">
        <f>IFERROR(LOOKUP(2,1/((A_Corridor!$A$5:$A$204&lt;&gt;"")*(A_Corridor!$A$5:$A$204&lt;=$B829)*(A_Corridor!$B$5:$B$204&gt;$B829)*(A_Corridor!$E$5:$E$204&lt;&gt;"")),IF(A_Corridor!$E$5:$E$204="-","",A_Corridor!$E$5:$E$204)),"")</f>
        <v/>
      </c>
      <c r="H829" s="182" t="str">
        <f>IFERROR(LOOKUP(2,1/((D_Points!$A$5:$A$204&lt;&gt;"")*(D_Points!$A$5:$A$204&gt;=$B829)*(D_Points!$A$5:$A$204&lt;$B829+P_Interval)*(UPPER(TRIM(D_Points!$B$5:$B$204))="GULLY")*(D_Points!$H$5:$H$204&lt;&gt;"")),D_Points!$H$5:$H$204),"")</f>
        <v/>
      </c>
      <c r="I829" s="181" t="str">
        <f>IFERROR(LOOKUP(2,1/((A_Corridor!$A$5:$A$204&lt;&gt;"")*(A_Corridor!$A$5:$A$204&lt;=$B829)*(A_Corridor!$B$5:$B$204&gt;$B829)*(A_Corridor!$F$5:$F$204&lt;&gt;"")),IF(A_Corridor!$F$5:$F$204="-","",1)),"")</f>
        <v/>
      </c>
      <c r="J829" s="182" t="str">
        <f>IFERROR(LOOKUP(2,1/((A_Corridor!$A$5:$A$204&lt;&gt;"")*(A_Corridor!$A$5:$A$204&lt;=$B829)*(A_Corridor!$B$5:$B$204&gt;$B829)*(A_Corridor!$F$5:$F$204&lt;&gt;"")),IF(A_Corridor!$F$5:$F$204="-","",A_Corridor!$F$5:$F$204)),"")</f>
        <v/>
      </c>
      <c r="K829" s="182" t="str">
        <f>IFERROR(LOOKUP(2,1/((A_Corridor!$A$5:$A$204&lt;&gt;"")*(A_Corridor!$A$5:$A$204&lt;=$B829)*(A_Corridor!$B$5:$B$204&gt;$B829)*(A_Corridor!$G$5:$G$204&lt;&gt;"")),IF(A_Corridor!$G$5:$G$204="-","",A_Corridor!$G$5:$G$204)),"")</f>
        <v/>
      </c>
      <c r="L829" s="181" t="str">
        <f>IFERROR(LOOKUP(2,1/((A_Corridor!$A$5:$A$204&lt;&gt;"")*(A_Corridor!$A$5:$A$204&lt;=$B829)*(A_Corridor!$B$5:$B$204&gt;$B829)*(A_Corridor!$H$5:$H$204&lt;&gt;"")),IF(A_Corridor!$H$5:$H$204="-","",1)),"")</f>
        <v/>
      </c>
      <c r="M829" s="182" t="str">
        <f>IFERROR(LOOKUP(2,1/((A_Corridor!$A$5:$A$204&lt;&gt;"")*(A_Corridor!$A$5:$A$204&lt;=$B829)*(A_Corridor!$B$5:$B$204&gt;$B829)*(A_Corridor!$H$5:$H$204&lt;&gt;"")),IF(A_Corridor!$H$5:$H$204="-","",A_Corridor!$H$5:$H$204)),"")</f>
        <v/>
      </c>
      <c r="N829" s="182" t="str">
        <f>IFERROR(LOOKUP(2,1/((A_Corridor!$A$5:$A$204&lt;&gt;"")*(A_Corridor!$A$5:$A$204&lt;=$B829)*(A_Corridor!$B$5:$B$204&gt;$B829)*(A_Corridor!$I$5:$I$204&lt;&gt;"")),IF(A_Corridor!$I$5:$I$204="-","",A_Corridor!$I$5:$I$204)),"")</f>
        <v/>
      </c>
      <c r="O829" s="182" t="str">
        <f>IFERROR(LOOKUP(2,1/((D_Points!$A$5:$A$204&lt;&gt;"")*(D_Points!$A$5:$A$204&gt;=$B829)*(D_Points!$A$5:$A$204&lt;$B829+P_Interval)*(UPPER(TRIM(D_Points!$B$5:$B$204))="PITCHING")*(D_Points!$H$5:$H$204&lt;&gt;"")),D_Points!$H$5:$H$204),"")</f>
        <v/>
      </c>
      <c r="P829" s="181" t="str">
        <f>IFERROR(LOOKUP(2,1/((B_Drainage!$A$5:$A$204&lt;&gt;"")*(B_Drainage!$A$5:$A$204&lt;=$B829)*(B_Drainage!$B$5:$B$204&gt;$B829)*(B_Drainage!$C$5:$C$204&lt;&gt;"")),IF(B_Drainage!$C$5:$C$204="-","",UPPER(B_Drainage!$C$5:$C$204))),"")</f>
        <v/>
      </c>
      <c r="Q829" s="181" t="str">
        <f>IFERROR(LOOKUP(2,1/((B_Drainage!$A$5:$A$204&lt;&gt;"")*(B_Drainage!$A$5:$A$204&lt;=$B829)*(B_Drainage!$B$5:$B$204&gt;$B829)*(B_Drainage!$D$5:$D$204&lt;&gt;"")),IF(B_Drainage!$D$5:$D$204="-","",UPPER(B_Drainage!$D$5:$D$204))),"")</f>
        <v/>
      </c>
      <c r="R829" s="182" t="str">
        <f>IFERROR(LOOKUP(2,1/((D_Points!$A$5:$A$204&lt;&gt;"")*(D_Points!$A$5:$A$204&gt;=$B829)*(D_Points!$A$5:$A$204&lt;$B829+P_Interval)*(RIGHT(UPPER(TRIM(D_Points!$B$5:$B$204)),8)="_CULVERT")),IF(LEFT(UPPER(TRIM(D_Points!$B$5:$B$204)),2)="EX",1,IF(LEFT(UPPER(TRIM(D_Points!$B$5:$B$204)),2)="PR",2,3))),"")</f>
        <v/>
      </c>
      <c r="S829" s="182" t="str">
        <f>IFERROR(LOOKUP(2,1/((D_Points!$A$5:$A$204&lt;&gt;"")*(D_Points!$A$5:$A$204&gt;=$B829)*(D_Points!$A$5:$A$204&lt;$B829+P_Interval)*(RIGHT(UPPER(TRIM(D_Points!$B$5:$B$204)),7)="_BRIDGE")),IF(LEFT(UPPER(TRIM(D_Points!$B$5:$B$204)),2)="EX",1,IF(LEFT(UPPER(TRIM(D_Points!$B$5:$B$204)),2)="PR",2,2))),"")</f>
        <v/>
      </c>
      <c r="T829" s="181" t="str">
        <f>IFERROR(LOOKUP(2,1/((B_Drainage!$A$5:$A$204&lt;&gt;"")*(B_Drainage!$A$5:$A$204&lt;=$B829)*(B_Drainage!$B$5:$B$204&gt;$B829)*(B_Drainage!$E$5:$E$204&lt;&gt;"")),IF(B_Drainage!$E$5:$E$204="-","",1)),"")</f>
        <v/>
      </c>
      <c r="U829" s="181" t="str">
        <f>IFERROR(LOOKUP(2,1/((B_Drainage!$A$5:$A$204&lt;&gt;"")*(B_Drainage!$A$5:$A$204&lt;=$B829)*(B_Drainage!$B$5:$B$204&gt;$B829)*(B_Drainage!$E$5:$E$204&lt;&gt;"")),IF(B_Drainage!$E$5:$E$204="-","",B_Drainage!$E$5:$E$204)),"")</f>
        <v/>
      </c>
      <c r="V829" s="181" t="str">
        <f>IFERROR(LOOKUP(2,1/((B_Drainage!$A$5:$A$204&lt;&gt;"")*(B_Drainage!$A$5:$A$204&lt;=$B829)*(B_Drainage!$B$5:$B$204&gt;$B829)*(B_Drainage!$F$5:$F$204&lt;&gt;"")),IF(B_Drainage!$F$5:$F$204="-","",1)),"")</f>
        <v/>
      </c>
      <c r="W829" s="181" t="str">
        <f>IFERROR(LOOKUP(2,1/((B_Drainage!$A$5:$A$204&lt;&gt;"")*(B_Drainage!$A$5:$A$204&lt;=$B829)*(B_Drainage!$B$5:$B$204&gt;$B829)*(B_Drainage!$F$5:$F$204&lt;&gt;"")),IF(B_Drainage!$F$5:$F$204="-","",B_Drainage!$F$5:$F$204)),"")</f>
        <v/>
      </c>
      <c r="X829" s="181" t="str">
        <f>IFERROR(LOOKUP(2,1/((B_Drainage!$A$5:$A$204&lt;&gt;"")*(B_Drainage!$A$5:$A$204&lt;=$B829)*(B_Drainage!$B$5:$B$204&gt;$B829)*(B_Drainage!$G$5:$G$204&lt;&gt;"")),IF(UPPER(B_Drainage!$G$5:$G$204)="Y",1,"")),"")</f>
        <v/>
      </c>
      <c r="Y829" s="181" t="str">
        <f>IFERROR(LOOKUP(2,1/((B_Drainage!$A$5:$A$204&lt;&gt;"")*(B_Drainage!$A$5:$A$204&lt;=$B829)*(B_Drainage!$B$5:$B$204&gt;$B829)*(B_Drainage!$H$5:$H$204&lt;&gt;"")),IF(UPPER(B_Drainage!$H$5:$H$204)="Y",1,"")),"")</f>
        <v/>
      </c>
      <c r="Z829" s="181" t="str">
        <f>IFERROR(LOOKUP(2,1/((B_Drainage!$A$5:$A$204&lt;&gt;"")*(B_Drainage!$A$5:$A$204&lt;=$B829)*(B_Drainage!$B$5:$B$204&gt;$B829)*(B_Drainage!$I$5:$I$204&lt;&gt;"")),IF(UPPER(B_Drainage!$I$5:$I$204)="Y",1,"")),"")</f>
        <v/>
      </c>
      <c r="AA829" s="181" t="str">
        <f>IFERROR(LOOKUP(2,1/((B_Drainage!$A$5:$A$204&lt;&gt;"")*(B_Drainage!$A$5:$A$204&lt;=$B829)*(B_Drainage!$B$5:$B$204&gt;$B829)*(B_Drainage!$J$5:$J$204&lt;&gt;"")),IF(UPPER(B_Drainage!$J$5:$J$204)="Y",1,"")),"")</f>
        <v/>
      </c>
      <c r="AB829" s="182" t="str">
        <f>IFERROR(LOOKUP(2,1/((B_Drainage!$A$5:$A$204&lt;&gt;"")*(B_Drainage!$A$5:$A$204&lt;=$B829)*(B_Drainage!$B$5:$B$204&gt;$B829)*(B_Drainage!$K$5:$K$204&lt;&gt;"")),IF(B_Drainage!$K$5:$K$204="-","",B_Drainage!$K$5:$K$204)),"")</f>
        <v/>
      </c>
      <c r="AC829" s="182" t="str">
        <f>IFERROR(LOOKUP(2,1/((B_Drainage!$A$5:$A$204&lt;&gt;"")*(B_Drainage!$A$5:$A$204&lt;=$B829)*(B_Drainage!$B$5:$B$204&gt;$B829)*(B_Drainage!$L$5:$L$204&lt;&gt;"")),IF(B_Drainage!$L$5:$L$204="-","",B_Drainage!$L$5:$L$204)),"")</f>
        <v/>
      </c>
      <c r="AD829" s="182" t="str">
        <f>IFERROR(LOOKUP(2,1/((D_Points!$A$5:$A$204&lt;&gt;"")*(D_Points!$A$5:$A$204&gt;=$B829)*(D_Points!$A$5:$A$204&lt;$B829+P_Interval)*(UPPER(TRIM(D_Points!$B$5:$B$204))="TURNOUT_L")*(D_Points!$H$5:$H$204&lt;&gt;"")),D_Points!$H$5:$H$204),"")</f>
        <v/>
      </c>
      <c r="AE829" s="182" t="str">
        <f>IFERROR(LOOKUP(2,1/((D_Points!$A$5:$A$204&lt;&gt;"")*(D_Points!$A$5:$A$204&gt;=$B829)*(D_Points!$A$5:$A$204&lt;$B829+P_Interval)*(UPPER(TRIM(D_Points!$B$5:$B$204))="TURNOUT_R")*(D_Points!$H$5:$H$204&lt;&gt;"")),D_Points!$H$5:$H$204),"")</f>
        <v/>
      </c>
      <c r="AF829" s="181" t="str">
        <f>IFERROR(LOOKUP(2,1/((B_Drainage!$A$5:$A$204&lt;&gt;"")*(B_Drainage!$A$5:$A$204&lt;=$B829)*(B_Drainage!$B$5:$B$204&gt;$B829)*(B_Drainage!$M$5:$M$204&lt;&gt;"")),IF(UPPER(B_Drainage!$M$5:$M$204)="Y",1,"")),"")</f>
        <v/>
      </c>
      <c r="AG829" s="181" t="str">
        <f>IFERROR(LOOKUP(2,1/((B_Drainage!$A$5:$A$204&lt;&gt;"")*(B_Drainage!$A$5:$A$204&lt;=$B829)*(B_Drainage!$B$5:$B$204&gt;$B829)*(B_Drainage!$N$5:$N$204&lt;&gt;"")),IF(UPPER(B_Drainage!$N$5:$N$204)="Y",1,"")),"")</f>
        <v/>
      </c>
      <c r="AH829" s="181" t="str">
        <f t="shared" si="96"/>
        <v/>
      </c>
      <c r="AI829" s="181" t="str">
        <f t="shared" si="97"/>
        <v/>
      </c>
      <c r="AJ829" s="181" t="str">
        <f t="shared" si="98"/>
        <v/>
      </c>
      <c r="AK829" s="181" t="str">
        <f t="shared" si="99"/>
        <v/>
      </c>
      <c r="AL829" s="181" t="str">
        <f t="shared" si="100"/>
        <v/>
      </c>
      <c r="AM829" s="181" t="str">
        <f t="shared" si="101"/>
        <v/>
      </c>
      <c r="AN829" s="181" t="str">
        <f t="shared" si="102"/>
        <v/>
      </c>
      <c r="AO829" s="192" t="str">
        <f t="shared" si="103"/>
        <v/>
      </c>
      <c r="AQ829" t="str">
        <f>IFERROR(LOOKUP(2,1/((C_Pavement!$A$5:$A$204&lt;&gt;"")*(C_Pavement!$A$5:$A$204&lt;=$B829)*(C_Pavement!$B$5:$B$204&gt;$B829)*(C_Pavement!$C$5:$C$204&lt;&gt;"")),ROW(C_Pavement!$C$5:$C$204)-4),"")</f>
        <v/>
      </c>
      <c r="AR829" t="str">
        <f>IF($AQ829="","",UPPER(TRIM(INDEX(C_Pavement!$C$5:$C$204,$AQ829))))</f>
        <v/>
      </c>
      <c r="AS829" t="str">
        <f>IF($AR829="","",IFERROR(MATCH($AR829,E_Rules!$A$5:$A$9,0),""))</f>
        <v/>
      </c>
      <c r="AT829" t="str">
        <f>IF($AQ829="","",IF(INDEX(C_Pavement!$D$5:$D$204,$AQ829)&lt;&gt;"",UPPER(TRIM(INDEX(C_Pavement!$D$5:$D$204,$AQ829))),IF($AS829="","",INDEX(E_Rules!$C$5:$C$9,$AS829))))</f>
        <v/>
      </c>
      <c r="AU829" t="str">
        <f>IF($AQ829="","",IF(INDEX(C_Pavement!$E$5:$E$204,$AQ829)&lt;&gt;"",IF(INDEX(C_Pavement!$E$5:$E$204,$AQ829)="-","",INDEX(C_Pavement!$E$5:$E$204,$AQ829)),IF($AS829="","",INDEX(E_Rules!$D$5:$D$9,$AS829))))</f>
        <v/>
      </c>
      <c r="AV829" t="str">
        <f>IF($AQ829="","",IF(INDEX(C_Pavement!$F$5:$F$204,$AQ829)&lt;&gt;"",IF(INDEX(C_Pavement!$F$5:$F$204,$AQ829)="-","",INDEX(C_Pavement!$F$5:$F$204,$AQ829)),IF($AS829="","",INDEX(E_Rules!$E$5:$E$9,$AS829))))</f>
        <v/>
      </c>
      <c r="AW829" t="str">
        <f>IF($AQ829="","",IF(INDEX(C_Pavement!$G$5:$G$204,$AQ829)&lt;&gt;"",IF(INDEX(C_Pavement!$G$5:$G$204,$AQ829)="-","",INDEX(C_Pavement!$G$5:$G$204,$AQ829)),IF($AS829="","",INDEX(E_Rules!$F$5:$F$9,$AS829))))</f>
        <v/>
      </c>
      <c r="AX829" t="str">
        <f>IF($AQ829="","",IF(INDEX(C_Pavement!$H$5:$H$204,$AQ829)&lt;&gt;"",IF(INDEX(C_Pavement!$H$5:$H$204,$AQ829)="-","",INDEX(C_Pavement!$H$5:$H$204,$AQ829)),IF($AS829="","",INDEX(E_Rules!$G$5:$G$9,$AS829))))</f>
        <v/>
      </c>
      <c r="AY829" t="str">
        <f>IF($AQ829="","",IF(INDEX(C_Pavement!$I$5:$I$204,$AQ829)&lt;&gt;"",IF(INDEX(C_Pavement!$I$5:$I$204,$AQ829)="-","",INDEX(C_Pavement!$I$5:$I$204,$AQ829)),IF($AS829="","",INDEX(E_Rules!$H$5:$H$9,$AS829))))</f>
        <v/>
      </c>
    </row>
    <row r="830" spans="1:51" ht="15.75" customHeight="1" x14ac:dyDescent="0.3">
      <c r="A830" s="189">
        <v>825</v>
      </c>
      <c r="B830" s="180">
        <v>41200</v>
      </c>
      <c r="C830" s="180" t="s">
        <v>1136</v>
      </c>
      <c r="D830" s="181" t="str">
        <f>IFERROR(LOOKUP(2,1/((A_Corridor!$A$5:$A$204&lt;&gt;"")*(A_Corridor!$A$5:$A$204&lt;=$B830)*(A_Corridor!$B$5:$B$204&gt;$B830)*(A_Corridor!$C$5:$C$204&lt;&gt;"")),IF(UPPER(A_Corridor!$C$5:$C$204)="Y",1,"")),"")</f>
        <v/>
      </c>
      <c r="E830" s="181" t="str">
        <f>IFERROR(LOOKUP(2,1/((A_Corridor!$A$5:$A$204&lt;&gt;"")*(A_Corridor!$A$5:$A$204&lt;=$B830)*(A_Corridor!$B$5:$B$204&gt;$B830)*(A_Corridor!$D$5:$D$204&lt;&gt;"")),IF(A_Corridor!$D$5:$D$204="-","",UPPER(A_Corridor!$D$5:$D$204))),"")</f>
        <v/>
      </c>
      <c r="F830" s="181" t="str">
        <f>IFERROR(LOOKUP(2,1/((A_Corridor!$A$5:$A$204&lt;&gt;"")*(A_Corridor!$A$5:$A$204&lt;=$B830)*(A_Corridor!$B$5:$B$204&gt;$B830)*(A_Corridor!$E$5:$E$204&lt;&gt;"")),IF(A_Corridor!$E$5:$E$204="-","",1)),"")</f>
        <v/>
      </c>
      <c r="G830" s="182" t="str">
        <f>IFERROR(LOOKUP(2,1/((A_Corridor!$A$5:$A$204&lt;&gt;"")*(A_Corridor!$A$5:$A$204&lt;=$B830)*(A_Corridor!$B$5:$B$204&gt;$B830)*(A_Corridor!$E$5:$E$204&lt;&gt;"")),IF(A_Corridor!$E$5:$E$204="-","",A_Corridor!$E$5:$E$204)),"")</f>
        <v/>
      </c>
      <c r="H830" s="182" t="str">
        <f>IFERROR(LOOKUP(2,1/((D_Points!$A$5:$A$204&lt;&gt;"")*(D_Points!$A$5:$A$204&gt;=$B830)*(D_Points!$A$5:$A$204&lt;$B830+P_Interval)*(UPPER(TRIM(D_Points!$B$5:$B$204))="GULLY")*(D_Points!$H$5:$H$204&lt;&gt;"")),D_Points!$H$5:$H$204),"")</f>
        <v/>
      </c>
      <c r="I830" s="181" t="str">
        <f>IFERROR(LOOKUP(2,1/((A_Corridor!$A$5:$A$204&lt;&gt;"")*(A_Corridor!$A$5:$A$204&lt;=$B830)*(A_Corridor!$B$5:$B$204&gt;$B830)*(A_Corridor!$F$5:$F$204&lt;&gt;"")),IF(A_Corridor!$F$5:$F$204="-","",1)),"")</f>
        <v/>
      </c>
      <c r="J830" s="182" t="str">
        <f>IFERROR(LOOKUP(2,1/((A_Corridor!$A$5:$A$204&lt;&gt;"")*(A_Corridor!$A$5:$A$204&lt;=$B830)*(A_Corridor!$B$5:$B$204&gt;$B830)*(A_Corridor!$F$5:$F$204&lt;&gt;"")),IF(A_Corridor!$F$5:$F$204="-","",A_Corridor!$F$5:$F$204)),"")</f>
        <v/>
      </c>
      <c r="K830" s="182" t="str">
        <f>IFERROR(LOOKUP(2,1/((A_Corridor!$A$5:$A$204&lt;&gt;"")*(A_Corridor!$A$5:$A$204&lt;=$B830)*(A_Corridor!$B$5:$B$204&gt;$B830)*(A_Corridor!$G$5:$G$204&lt;&gt;"")),IF(A_Corridor!$G$5:$G$204="-","",A_Corridor!$G$5:$G$204)),"")</f>
        <v/>
      </c>
      <c r="L830" s="181" t="str">
        <f>IFERROR(LOOKUP(2,1/((A_Corridor!$A$5:$A$204&lt;&gt;"")*(A_Corridor!$A$5:$A$204&lt;=$B830)*(A_Corridor!$B$5:$B$204&gt;$B830)*(A_Corridor!$H$5:$H$204&lt;&gt;"")),IF(A_Corridor!$H$5:$H$204="-","",1)),"")</f>
        <v/>
      </c>
      <c r="M830" s="182" t="str">
        <f>IFERROR(LOOKUP(2,1/((A_Corridor!$A$5:$A$204&lt;&gt;"")*(A_Corridor!$A$5:$A$204&lt;=$B830)*(A_Corridor!$B$5:$B$204&gt;$B830)*(A_Corridor!$H$5:$H$204&lt;&gt;"")),IF(A_Corridor!$H$5:$H$204="-","",A_Corridor!$H$5:$H$204)),"")</f>
        <v/>
      </c>
      <c r="N830" s="182" t="str">
        <f>IFERROR(LOOKUP(2,1/((A_Corridor!$A$5:$A$204&lt;&gt;"")*(A_Corridor!$A$5:$A$204&lt;=$B830)*(A_Corridor!$B$5:$B$204&gt;$B830)*(A_Corridor!$I$5:$I$204&lt;&gt;"")),IF(A_Corridor!$I$5:$I$204="-","",A_Corridor!$I$5:$I$204)),"")</f>
        <v/>
      </c>
      <c r="O830" s="182" t="str">
        <f>IFERROR(LOOKUP(2,1/((D_Points!$A$5:$A$204&lt;&gt;"")*(D_Points!$A$5:$A$204&gt;=$B830)*(D_Points!$A$5:$A$204&lt;$B830+P_Interval)*(UPPER(TRIM(D_Points!$B$5:$B$204))="PITCHING")*(D_Points!$H$5:$H$204&lt;&gt;"")),D_Points!$H$5:$H$204),"")</f>
        <v/>
      </c>
      <c r="P830" s="181" t="str">
        <f>IFERROR(LOOKUP(2,1/((B_Drainage!$A$5:$A$204&lt;&gt;"")*(B_Drainage!$A$5:$A$204&lt;=$B830)*(B_Drainage!$B$5:$B$204&gt;$B830)*(B_Drainage!$C$5:$C$204&lt;&gt;"")),IF(B_Drainage!$C$5:$C$204="-","",UPPER(B_Drainage!$C$5:$C$204))),"")</f>
        <v/>
      </c>
      <c r="Q830" s="181" t="str">
        <f>IFERROR(LOOKUP(2,1/((B_Drainage!$A$5:$A$204&lt;&gt;"")*(B_Drainage!$A$5:$A$204&lt;=$B830)*(B_Drainage!$B$5:$B$204&gt;$B830)*(B_Drainage!$D$5:$D$204&lt;&gt;"")),IF(B_Drainage!$D$5:$D$204="-","",UPPER(B_Drainage!$D$5:$D$204))),"")</f>
        <v/>
      </c>
      <c r="R830" s="182" t="str">
        <f>IFERROR(LOOKUP(2,1/((D_Points!$A$5:$A$204&lt;&gt;"")*(D_Points!$A$5:$A$204&gt;=$B830)*(D_Points!$A$5:$A$204&lt;$B830+P_Interval)*(RIGHT(UPPER(TRIM(D_Points!$B$5:$B$204)),8)="_CULVERT")),IF(LEFT(UPPER(TRIM(D_Points!$B$5:$B$204)),2)="EX",1,IF(LEFT(UPPER(TRIM(D_Points!$B$5:$B$204)),2)="PR",2,3))),"")</f>
        <v/>
      </c>
      <c r="S830" s="182" t="str">
        <f>IFERROR(LOOKUP(2,1/((D_Points!$A$5:$A$204&lt;&gt;"")*(D_Points!$A$5:$A$204&gt;=$B830)*(D_Points!$A$5:$A$204&lt;$B830+P_Interval)*(RIGHT(UPPER(TRIM(D_Points!$B$5:$B$204)),7)="_BRIDGE")),IF(LEFT(UPPER(TRIM(D_Points!$B$5:$B$204)),2)="EX",1,IF(LEFT(UPPER(TRIM(D_Points!$B$5:$B$204)),2)="PR",2,2))),"")</f>
        <v/>
      </c>
      <c r="T830" s="181" t="str">
        <f>IFERROR(LOOKUP(2,1/((B_Drainage!$A$5:$A$204&lt;&gt;"")*(B_Drainage!$A$5:$A$204&lt;=$B830)*(B_Drainage!$B$5:$B$204&gt;$B830)*(B_Drainage!$E$5:$E$204&lt;&gt;"")),IF(B_Drainage!$E$5:$E$204="-","",1)),"")</f>
        <v/>
      </c>
      <c r="U830" s="181" t="str">
        <f>IFERROR(LOOKUP(2,1/((B_Drainage!$A$5:$A$204&lt;&gt;"")*(B_Drainage!$A$5:$A$204&lt;=$B830)*(B_Drainage!$B$5:$B$204&gt;$B830)*(B_Drainage!$E$5:$E$204&lt;&gt;"")),IF(B_Drainage!$E$5:$E$204="-","",B_Drainage!$E$5:$E$204)),"")</f>
        <v/>
      </c>
      <c r="V830" s="181" t="str">
        <f>IFERROR(LOOKUP(2,1/((B_Drainage!$A$5:$A$204&lt;&gt;"")*(B_Drainage!$A$5:$A$204&lt;=$B830)*(B_Drainage!$B$5:$B$204&gt;$B830)*(B_Drainage!$F$5:$F$204&lt;&gt;"")),IF(B_Drainage!$F$5:$F$204="-","",1)),"")</f>
        <v/>
      </c>
      <c r="W830" s="181" t="str">
        <f>IFERROR(LOOKUP(2,1/((B_Drainage!$A$5:$A$204&lt;&gt;"")*(B_Drainage!$A$5:$A$204&lt;=$B830)*(B_Drainage!$B$5:$B$204&gt;$B830)*(B_Drainage!$F$5:$F$204&lt;&gt;"")),IF(B_Drainage!$F$5:$F$204="-","",B_Drainage!$F$5:$F$204)),"")</f>
        <v/>
      </c>
      <c r="X830" s="181" t="str">
        <f>IFERROR(LOOKUP(2,1/((B_Drainage!$A$5:$A$204&lt;&gt;"")*(B_Drainage!$A$5:$A$204&lt;=$B830)*(B_Drainage!$B$5:$B$204&gt;$B830)*(B_Drainage!$G$5:$G$204&lt;&gt;"")),IF(UPPER(B_Drainage!$G$5:$G$204)="Y",1,"")),"")</f>
        <v/>
      </c>
      <c r="Y830" s="181" t="str">
        <f>IFERROR(LOOKUP(2,1/((B_Drainage!$A$5:$A$204&lt;&gt;"")*(B_Drainage!$A$5:$A$204&lt;=$B830)*(B_Drainage!$B$5:$B$204&gt;$B830)*(B_Drainage!$H$5:$H$204&lt;&gt;"")),IF(UPPER(B_Drainage!$H$5:$H$204)="Y",1,"")),"")</f>
        <v/>
      </c>
      <c r="Z830" s="181" t="str">
        <f>IFERROR(LOOKUP(2,1/((B_Drainage!$A$5:$A$204&lt;&gt;"")*(B_Drainage!$A$5:$A$204&lt;=$B830)*(B_Drainage!$B$5:$B$204&gt;$B830)*(B_Drainage!$I$5:$I$204&lt;&gt;"")),IF(UPPER(B_Drainage!$I$5:$I$204)="Y",1,"")),"")</f>
        <v/>
      </c>
      <c r="AA830" s="181" t="str">
        <f>IFERROR(LOOKUP(2,1/((B_Drainage!$A$5:$A$204&lt;&gt;"")*(B_Drainage!$A$5:$A$204&lt;=$B830)*(B_Drainage!$B$5:$B$204&gt;$B830)*(B_Drainage!$J$5:$J$204&lt;&gt;"")),IF(UPPER(B_Drainage!$J$5:$J$204)="Y",1,"")),"")</f>
        <v/>
      </c>
      <c r="AB830" s="182" t="str">
        <f>IFERROR(LOOKUP(2,1/((B_Drainage!$A$5:$A$204&lt;&gt;"")*(B_Drainage!$A$5:$A$204&lt;=$B830)*(B_Drainage!$B$5:$B$204&gt;$B830)*(B_Drainage!$K$5:$K$204&lt;&gt;"")),IF(B_Drainage!$K$5:$K$204="-","",B_Drainage!$K$5:$K$204)),"")</f>
        <v/>
      </c>
      <c r="AC830" s="182" t="str">
        <f>IFERROR(LOOKUP(2,1/((B_Drainage!$A$5:$A$204&lt;&gt;"")*(B_Drainage!$A$5:$A$204&lt;=$B830)*(B_Drainage!$B$5:$B$204&gt;$B830)*(B_Drainage!$L$5:$L$204&lt;&gt;"")),IF(B_Drainage!$L$5:$L$204="-","",B_Drainage!$L$5:$L$204)),"")</f>
        <v/>
      </c>
      <c r="AD830" s="182" t="str">
        <f>IFERROR(LOOKUP(2,1/((D_Points!$A$5:$A$204&lt;&gt;"")*(D_Points!$A$5:$A$204&gt;=$B830)*(D_Points!$A$5:$A$204&lt;$B830+P_Interval)*(UPPER(TRIM(D_Points!$B$5:$B$204))="TURNOUT_L")*(D_Points!$H$5:$H$204&lt;&gt;"")),D_Points!$H$5:$H$204),"")</f>
        <v/>
      </c>
      <c r="AE830" s="182" t="str">
        <f>IFERROR(LOOKUP(2,1/((D_Points!$A$5:$A$204&lt;&gt;"")*(D_Points!$A$5:$A$204&gt;=$B830)*(D_Points!$A$5:$A$204&lt;$B830+P_Interval)*(UPPER(TRIM(D_Points!$B$5:$B$204))="TURNOUT_R")*(D_Points!$H$5:$H$204&lt;&gt;"")),D_Points!$H$5:$H$204),"")</f>
        <v/>
      </c>
      <c r="AF830" s="181" t="str">
        <f>IFERROR(LOOKUP(2,1/((B_Drainage!$A$5:$A$204&lt;&gt;"")*(B_Drainage!$A$5:$A$204&lt;=$B830)*(B_Drainage!$B$5:$B$204&gt;$B830)*(B_Drainage!$M$5:$M$204&lt;&gt;"")),IF(UPPER(B_Drainage!$M$5:$M$204)="Y",1,"")),"")</f>
        <v/>
      </c>
      <c r="AG830" s="181" t="str">
        <f>IFERROR(LOOKUP(2,1/((B_Drainage!$A$5:$A$204&lt;&gt;"")*(B_Drainage!$A$5:$A$204&lt;=$B830)*(B_Drainage!$B$5:$B$204&gt;$B830)*(B_Drainage!$N$5:$N$204&lt;&gt;"")),IF(UPPER(B_Drainage!$N$5:$N$204)="Y",1,"")),"")</f>
        <v/>
      </c>
      <c r="AH830" s="181" t="str">
        <f t="shared" si="96"/>
        <v/>
      </c>
      <c r="AI830" s="181" t="str">
        <f t="shared" si="97"/>
        <v/>
      </c>
      <c r="AJ830" s="181" t="str">
        <f t="shared" si="98"/>
        <v/>
      </c>
      <c r="AK830" s="181" t="str">
        <f t="shared" si="99"/>
        <v/>
      </c>
      <c r="AL830" s="181" t="str">
        <f t="shared" si="100"/>
        <v/>
      </c>
      <c r="AM830" s="181" t="str">
        <f t="shared" si="101"/>
        <v/>
      </c>
      <c r="AN830" s="181" t="str">
        <f t="shared" si="102"/>
        <v/>
      </c>
      <c r="AO830" s="192" t="str">
        <f t="shared" si="103"/>
        <v/>
      </c>
      <c r="AQ830" t="str">
        <f>IFERROR(LOOKUP(2,1/((C_Pavement!$A$5:$A$204&lt;&gt;"")*(C_Pavement!$A$5:$A$204&lt;=$B830)*(C_Pavement!$B$5:$B$204&gt;$B830)*(C_Pavement!$C$5:$C$204&lt;&gt;"")),ROW(C_Pavement!$C$5:$C$204)-4),"")</f>
        <v/>
      </c>
      <c r="AR830" t="str">
        <f>IF($AQ830="","",UPPER(TRIM(INDEX(C_Pavement!$C$5:$C$204,$AQ830))))</f>
        <v/>
      </c>
      <c r="AS830" t="str">
        <f>IF($AR830="","",IFERROR(MATCH($AR830,E_Rules!$A$5:$A$9,0),""))</f>
        <v/>
      </c>
      <c r="AT830" t="str">
        <f>IF($AQ830="","",IF(INDEX(C_Pavement!$D$5:$D$204,$AQ830)&lt;&gt;"",UPPER(TRIM(INDEX(C_Pavement!$D$5:$D$204,$AQ830))),IF($AS830="","",INDEX(E_Rules!$C$5:$C$9,$AS830))))</f>
        <v/>
      </c>
      <c r="AU830" t="str">
        <f>IF($AQ830="","",IF(INDEX(C_Pavement!$E$5:$E$204,$AQ830)&lt;&gt;"",IF(INDEX(C_Pavement!$E$5:$E$204,$AQ830)="-","",INDEX(C_Pavement!$E$5:$E$204,$AQ830)),IF($AS830="","",INDEX(E_Rules!$D$5:$D$9,$AS830))))</f>
        <v/>
      </c>
      <c r="AV830" t="str">
        <f>IF($AQ830="","",IF(INDEX(C_Pavement!$F$5:$F$204,$AQ830)&lt;&gt;"",IF(INDEX(C_Pavement!$F$5:$F$204,$AQ830)="-","",INDEX(C_Pavement!$F$5:$F$204,$AQ830)),IF($AS830="","",INDEX(E_Rules!$E$5:$E$9,$AS830))))</f>
        <v/>
      </c>
      <c r="AW830" t="str">
        <f>IF($AQ830="","",IF(INDEX(C_Pavement!$G$5:$G$204,$AQ830)&lt;&gt;"",IF(INDEX(C_Pavement!$G$5:$G$204,$AQ830)="-","",INDEX(C_Pavement!$G$5:$G$204,$AQ830)),IF($AS830="","",INDEX(E_Rules!$F$5:$F$9,$AS830))))</f>
        <v/>
      </c>
      <c r="AX830" t="str">
        <f>IF($AQ830="","",IF(INDEX(C_Pavement!$H$5:$H$204,$AQ830)&lt;&gt;"",IF(INDEX(C_Pavement!$H$5:$H$204,$AQ830)="-","",INDEX(C_Pavement!$H$5:$H$204,$AQ830)),IF($AS830="","",INDEX(E_Rules!$G$5:$G$9,$AS830))))</f>
        <v/>
      </c>
      <c r="AY830" t="str">
        <f>IF($AQ830="","",IF(INDEX(C_Pavement!$I$5:$I$204,$AQ830)&lt;&gt;"",IF(INDEX(C_Pavement!$I$5:$I$204,$AQ830)="-","",INDEX(C_Pavement!$I$5:$I$204,$AQ830)),IF($AS830="","",INDEX(E_Rules!$H$5:$H$9,$AS830))))</f>
        <v/>
      </c>
    </row>
    <row r="831" spans="1:51" ht="15.75" customHeight="1" x14ac:dyDescent="0.3">
      <c r="A831" s="189">
        <v>826</v>
      </c>
      <c r="B831" s="180">
        <v>41250</v>
      </c>
      <c r="C831" s="180" t="s">
        <v>1137</v>
      </c>
      <c r="D831" s="181" t="str">
        <f>IFERROR(LOOKUP(2,1/((A_Corridor!$A$5:$A$204&lt;&gt;"")*(A_Corridor!$A$5:$A$204&lt;=$B831)*(A_Corridor!$B$5:$B$204&gt;$B831)*(A_Corridor!$C$5:$C$204&lt;&gt;"")),IF(UPPER(A_Corridor!$C$5:$C$204)="Y",1,"")),"")</f>
        <v/>
      </c>
      <c r="E831" s="181" t="str">
        <f>IFERROR(LOOKUP(2,1/((A_Corridor!$A$5:$A$204&lt;&gt;"")*(A_Corridor!$A$5:$A$204&lt;=$B831)*(A_Corridor!$B$5:$B$204&gt;$B831)*(A_Corridor!$D$5:$D$204&lt;&gt;"")),IF(A_Corridor!$D$5:$D$204="-","",UPPER(A_Corridor!$D$5:$D$204))),"")</f>
        <v/>
      </c>
      <c r="F831" s="181" t="str">
        <f>IFERROR(LOOKUP(2,1/((A_Corridor!$A$5:$A$204&lt;&gt;"")*(A_Corridor!$A$5:$A$204&lt;=$B831)*(A_Corridor!$B$5:$B$204&gt;$B831)*(A_Corridor!$E$5:$E$204&lt;&gt;"")),IF(A_Corridor!$E$5:$E$204="-","",1)),"")</f>
        <v/>
      </c>
      <c r="G831" s="182" t="str">
        <f>IFERROR(LOOKUP(2,1/((A_Corridor!$A$5:$A$204&lt;&gt;"")*(A_Corridor!$A$5:$A$204&lt;=$B831)*(A_Corridor!$B$5:$B$204&gt;$B831)*(A_Corridor!$E$5:$E$204&lt;&gt;"")),IF(A_Corridor!$E$5:$E$204="-","",A_Corridor!$E$5:$E$204)),"")</f>
        <v/>
      </c>
      <c r="H831" s="182" t="str">
        <f>IFERROR(LOOKUP(2,1/((D_Points!$A$5:$A$204&lt;&gt;"")*(D_Points!$A$5:$A$204&gt;=$B831)*(D_Points!$A$5:$A$204&lt;$B831+P_Interval)*(UPPER(TRIM(D_Points!$B$5:$B$204))="GULLY")*(D_Points!$H$5:$H$204&lt;&gt;"")),D_Points!$H$5:$H$204),"")</f>
        <v/>
      </c>
      <c r="I831" s="181" t="str">
        <f>IFERROR(LOOKUP(2,1/((A_Corridor!$A$5:$A$204&lt;&gt;"")*(A_Corridor!$A$5:$A$204&lt;=$B831)*(A_Corridor!$B$5:$B$204&gt;$B831)*(A_Corridor!$F$5:$F$204&lt;&gt;"")),IF(A_Corridor!$F$5:$F$204="-","",1)),"")</f>
        <v/>
      </c>
      <c r="J831" s="182" t="str">
        <f>IFERROR(LOOKUP(2,1/((A_Corridor!$A$5:$A$204&lt;&gt;"")*(A_Corridor!$A$5:$A$204&lt;=$B831)*(A_Corridor!$B$5:$B$204&gt;$B831)*(A_Corridor!$F$5:$F$204&lt;&gt;"")),IF(A_Corridor!$F$5:$F$204="-","",A_Corridor!$F$5:$F$204)),"")</f>
        <v/>
      </c>
      <c r="K831" s="182" t="str">
        <f>IFERROR(LOOKUP(2,1/((A_Corridor!$A$5:$A$204&lt;&gt;"")*(A_Corridor!$A$5:$A$204&lt;=$B831)*(A_Corridor!$B$5:$B$204&gt;$B831)*(A_Corridor!$G$5:$G$204&lt;&gt;"")),IF(A_Corridor!$G$5:$G$204="-","",A_Corridor!$G$5:$G$204)),"")</f>
        <v/>
      </c>
      <c r="L831" s="181" t="str">
        <f>IFERROR(LOOKUP(2,1/((A_Corridor!$A$5:$A$204&lt;&gt;"")*(A_Corridor!$A$5:$A$204&lt;=$B831)*(A_Corridor!$B$5:$B$204&gt;$B831)*(A_Corridor!$H$5:$H$204&lt;&gt;"")),IF(A_Corridor!$H$5:$H$204="-","",1)),"")</f>
        <v/>
      </c>
      <c r="M831" s="182" t="str">
        <f>IFERROR(LOOKUP(2,1/((A_Corridor!$A$5:$A$204&lt;&gt;"")*(A_Corridor!$A$5:$A$204&lt;=$B831)*(A_Corridor!$B$5:$B$204&gt;$B831)*(A_Corridor!$H$5:$H$204&lt;&gt;"")),IF(A_Corridor!$H$5:$H$204="-","",A_Corridor!$H$5:$H$204)),"")</f>
        <v/>
      </c>
      <c r="N831" s="182" t="str">
        <f>IFERROR(LOOKUP(2,1/((A_Corridor!$A$5:$A$204&lt;&gt;"")*(A_Corridor!$A$5:$A$204&lt;=$B831)*(A_Corridor!$B$5:$B$204&gt;$B831)*(A_Corridor!$I$5:$I$204&lt;&gt;"")),IF(A_Corridor!$I$5:$I$204="-","",A_Corridor!$I$5:$I$204)),"")</f>
        <v/>
      </c>
      <c r="O831" s="182" t="str">
        <f>IFERROR(LOOKUP(2,1/((D_Points!$A$5:$A$204&lt;&gt;"")*(D_Points!$A$5:$A$204&gt;=$B831)*(D_Points!$A$5:$A$204&lt;$B831+P_Interval)*(UPPER(TRIM(D_Points!$B$5:$B$204))="PITCHING")*(D_Points!$H$5:$H$204&lt;&gt;"")),D_Points!$H$5:$H$204),"")</f>
        <v/>
      </c>
      <c r="P831" s="181" t="str">
        <f>IFERROR(LOOKUP(2,1/((B_Drainage!$A$5:$A$204&lt;&gt;"")*(B_Drainage!$A$5:$A$204&lt;=$B831)*(B_Drainage!$B$5:$B$204&gt;$B831)*(B_Drainage!$C$5:$C$204&lt;&gt;"")),IF(B_Drainage!$C$5:$C$204="-","",UPPER(B_Drainage!$C$5:$C$204))),"")</f>
        <v/>
      </c>
      <c r="Q831" s="181" t="str">
        <f>IFERROR(LOOKUP(2,1/((B_Drainage!$A$5:$A$204&lt;&gt;"")*(B_Drainage!$A$5:$A$204&lt;=$B831)*(B_Drainage!$B$5:$B$204&gt;$B831)*(B_Drainage!$D$5:$D$204&lt;&gt;"")),IF(B_Drainage!$D$5:$D$204="-","",UPPER(B_Drainage!$D$5:$D$204))),"")</f>
        <v/>
      </c>
      <c r="R831" s="182" t="str">
        <f>IFERROR(LOOKUP(2,1/((D_Points!$A$5:$A$204&lt;&gt;"")*(D_Points!$A$5:$A$204&gt;=$B831)*(D_Points!$A$5:$A$204&lt;$B831+P_Interval)*(RIGHT(UPPER(TRIM(D_Points!$B$5:$B$204)),8)="_CULVERT")),IF(LEFT(UPPER(TRIM(D_Points!$B$5:$B$204)),2)="EX",1,IF(LEFT(UPPER(TRIM(D_Points!$B$5:$B$204)),2)="PR",2,3))),"")</f>
        <v/>
      </c>
      <c r="S831" s="182" t="str">
        <f>IFERROR(LOOKUP(2,1/((D_Points!$A$5:$A$204&lt;&gt;"")*(D_Points!$A$5:$A$204&gt;=$B831)*(D_Points!$A$5:$A$204&lt;$B831+P_Interval)*(RIGHT(UPPER(TRIM(D_Points!$B$5:$B$204)),7)="_BRIDGE")),IF(LEFT(UPPER(TRIM(D_Points!$B$5:$B$204)),2)="EX",1,IF(LEFT(UPPER(TRIM(D_Points!$B$5:$B$204)),2)="PR",2,2))),"")</f>
        <v/>
      </c>
      <c r="T831" s="181" t="str">
        <f>IFERROR(LOOKUP(2,1/((B_Drainage!$A$5:$A$204&lt;&gt;"")*(B_Drainage!$A$5:$A$204&lt;=$B831)*(B_Drainage!$B$5:$B$204&gt;$B831)*(B_Drainage!$E$5:$E$204&lt;&gt;"")),IF(B_Drainage!$E$5:$E$204="-","",1)),"")</f>
        <v/>
      </c>
      <c r="U831" s="181" t="str">
        <f>IFERROR(LOOKUP(2,1/((B_Drainage!$A$5:$A$204&lt;&gt;"")*(B_Drainage!$A$5:$A$204&lt;=$B831)*(B_Drainage!$B$5:$B$204&gt;$B831)*(B_Drainage!$E$5:$E$204&lt;&gt;"")),IF(B_Drainage!$E$5:$E$204="-","",B_Drainage!$E$5:$E$204)),"")</f>
        <v/>
      </c>
      <c r="V831" s="181" t="str">
        <f>IFERROR(LOOKUP(2,1/((B_Drainage!$A$5:$A$204&lt;&gt;"")*(B_Drainage!$A$5:$A$204&lt;=$B831)*(B_Drainage!$B$5:$B$204&gt;$B831)*(B_Drainage!$F$5:$F$204&lt;&gt;"")),IF(B_Drainage!$F$5:$F$204="-","",1)),"")</f>
        <v/>
      </c>
      <c r="W831" s="181" t="str">
        <f>IFERROR(LOOKUP(2,1/((B_Drainage!$A$5:$A$204&lt;&gt;"")*(B_Drainage!$A$5:$A$204&lt;=$B831)*(B_Drainage!$B$5:$B$204&gt;$B831)*(B_Drainage!$F$5:$F$204&lt;&gt;"")),IF(B_Drainage!$F$5:$F$204="-","",B_Drainage!$F$5:$F$204)),"")</f>
        <v/>
      </c>
      <c r="X831" s="181" t="str">
        <f>IFERROR(LOOKUP(2,1/((B_Drainage!$A$5:$A$204&lt;&gt;"")*(B_Drainage!$A$5:$A$204&lt;=$B831)*(B_Drainage!$B$5:$B$204&gt;$B831)*(B_Drainage!$G$5:$G$204&lt;&gt;"")),IF(UPPER(B_Drainage!$G$5:$G$204)="Y",1,"")),"")</f>
        <v/>
      </c>
      <c r="Y831" s="181" t="str">
        <f>IFERROR(LOOKUP(2,1/((B_Drainage!$A$5:$A$204&lt;&gt;"")*(B_Drainage!$A$5:$A$204&lt;=$B831)*(B_Drainage!$B$5:$B$204&gt;$B831)*(B_Drainage!$H$5:$H$204&lt;&gt;"")),IF(UPPER(B_Drainage!$H$5:$H$204)="Y",1,"")),"")</f>
        <v/>
      </c>
      <c r="Z831" s="181" t="str">
        <f>IFERROR(LOOKUP(2,1/((B_Drainage!$A$5:$A$204&lt;&gt;"")*(B_Drainage!$A$5:$A$204&lt;=$B831)*(B_Drainage!$B$5:$B$204&gt;$B831)*(B_Drainage!$I$5:$I$204&lt;&gt;"")),IF(UPPER(B_Drainage!$I$5:$I$204)="Y",1,"")),"")</f>
        <v/>
      </c>
      <c r="AA831" s="181" t="str">
        <f>IFERROR(LOOKUP(2,1/((B_Drainage!$A$5:$A$204&lt;&gt;"")*(B_Drainage!$A$5:$A$204&lt;=$B831)*(B_Drainage!$B$5:$B$204&gt;$B831)*(B_Drainage!$J$5:$J$204&lt;&gt;"")),IF(UPPER(B_Drainage!$J$5:$J$204)="Y",1,"")),"")</f>
        <v/>
      </c>
      <c r="AB831" s="182" t="str">
        <f>IFERROR(LOOKUP(2,1/((B_Drainage!$A$5:$A$204&lt;&gt;"")*(B_Drainage!$A$5:$A$204&lt;=$B831)*(B_Drainage!$B$5:$B$204&gt;$B831)*(B_Drainage!$K$5:$K$204&lt;&gt;"")),IF(B_Drainage!$K$5:$K$204="-","",B_Drainage!$K$5:$K$204)),"")</f>
        <v/>
      </c>
      <c r="AC831" s="182" t="str">
        <f>IFERROR(LOOKUP(2,1/((B_Drainage!$A$5:$A$204&lt;&gt;"")*(B_Drainage!$A$5:$A$204&lt;=$B831)*(B_Drainage!$B$5:$B$204&gt;$B831)*(B_Drainage!$L$5:$L$204&lt;&gt;"")),IF(B_Drainage!$L$5:$L$204="-","",B_Drainage!$L$5:$L$204)),"")</f>
        <v/>
      </c>
      <c r="AD831" s="182" t="str">
        <f>IFERROR(LOOKUP(2,1/((D_Points!$A$5:$A$204&lt;&gt;"")*(D_Points!$A$5:$A$204&gt;=$B831)*(D_Points!$A$5:$A$204&lt;$B831+P_Interval)*(UPPER(TRIM(D_Points!$B$5:$B$204))="TURNOUT_L")*(D_Points!$H$5:$H$204&lt;&gt;"")),D_Points!$H$5:$H$204),"")</f>
        <v/>
      </c>
      <c r="AE831" s="182" t="str">
        <f>IFERROR(LOOKUP(2,1/((D_Points!$A$5:$A$204&lt;&gt;"")*(D_Points!$A$5:$A$204&gt;=$B831)*(D_Points!$A$5:$A$204&lt;$B831+P_Interval)*(UPPER(TRIM(D_Points!$B$5:$B$204))="TURNOUT_R")*(D_Points!$H$5:$H$204&lt;&gt;"")),D_Points!$H$5:$H$204),"")</f>
        <v/>
      </c>
      <c r="AF831" s="181" t="str">
        <f>IFERROR(LOOKUP(2,1/((B_Drainage!$A$5:$A$204&lt;&gt;"")*(B_Drainage!$A$5:$A$204&lt;=$B831)*(B_Drainage!$B$5:$B$204&gt;$B831)*(B_Drainage!$M$5:$M$204&lt;&gt;"")),IF(UPPER(B_Drainage!$M$5:$M$204)="Y",1,"")),"")</f>
        <v/>
      </c>
      <c r="AG831" s="181" t="str">
        <f>IFERROR(LOOKUP(2,1/((B_Drainage!$A$5:$A$204&lt;&gt;"")*(B_Drainage!$A$5:$A$204&lt;=$B831)*(B_Drainage!$B$5:$B$204&gt;$B831)*(B_Drainage!$N$5:$N$204&lt;&gt;"")),IF(UPPER(B_Drainage!$N$5:$N$204)="Y",1,"")),"")</f>
        <v/>
      </c>
      <c r="AH831" s="181" t="str">
        <f t="shared" si="96"/>
        <v/>
      </c>
      <c r="AI831" s="181" t="str">
        <f t="shared" si="97"/>
        <v/>
      </c>
      <c r="AJ831" s="181" t="str">
        <f t="shared" si="98"/>
        <v/>
      </c>
      <c r="AK831" s="181" t="str">
        <f t="shared" si="99"/>
        <v/>
      </c>
      <c r="AL831" s="181" t="str">
        <f t="shared" si="100"/>
        <v/>
      </c>
      <c r="AM831" s="181" t="str">
        <f t="shared" si="101"/>
        <v/>
      </c>
      <c r="AN831" s="181" t="str">
        <f t="shared" si="102"/>
        <v/>
      </c>
      <c r="AO831" s="192" t="str">
        <f t="shared" si="103"/>
        <v/>
      </c>
      <c r="AQ831" t="str">
        <f>IFERROR(LOOKUP(2,1/((C_Pavement!$A$5:$A$204&lt;&gt;"")*(C_Pavement!$A$5:$A$204&lt;=$B831)*(C_Pavement!$B$5:$B$204&gt;$B831)*(C_Pavement!$C$5:$C$204&lt;&gt;"")),ROW(C_Pavement!$C$5:$C$204)-4),"")</f>
        <v/>
      </c>
      <c r="AR831" t="str">
        <f>IF($AQ831="","",UPPER(TRIM(INDEX(C_Pavement!$C$5:$C$204,$AQ831))))</f>
        <v/>
      </c>
      <c r="AS831" t="str">
        <f>IF($AR831="","",IFERROR(MATCH($AR831,E_Rules!$A$5:$A$9,0),""))</f>
        <v/>
      </c>
      <c r="AT831" t="str">
        <f>IF($AQ831="","",IF(INDEX(C_Pavement!$D$5:$D$204,$AQ831)&lt;&gt;"",UPPER(TRIM(INDEX(C_Pavement!$D$5:$D$204,$AQ831))),IF($AS831="","",INDEX(E_Rules!$C$5:$C$9,$AS831))))</f>
        <v/>
      </c>
      <c r="AU831" t="str">
        <f>IF($AQ831="","",IF(INDEX(C_Pavement!$E$5:$E$204,$AQ831)&lt;&gt;"",IF(INDEX(C_Pavement!$E$5:$E$204,$AQ831)="-","",INDEX(C_Pavement!$E$5:$E$204,$AQ831)),IF($AS831="","",INDEX(E_Rules!$D$5:$D$9,$AS831))))</f>
        <v/>
      </c>
      <c r="AV831" t="str">
        <f>IF($AQ831="","",IF(INDEX(C_Pavement!$F$5:$F$204,$AQ831)&lt;&gt;"",IF(INDEX(C_Pavement!$F$5:$F$204,$AQ831)="-","",INDEX(C_Pavement!$F$5:$F$204,$AQ831)),IF($AS831="","",INDEX(E_Rules!$E$5:$E$9,$AS831))))</f>
        <v/>
      </c>
      <c r="AW831" t="str">
        <f>IF($AQ831="","",IF(INDEX(C_Pavement!$G$5:$G$204,$AQ831)&lt;&gt;"",IF(INDEX(C_Pavement!$G$5:$G$204,$AQ831)="-","",INDEX(C_Pavement!$G$5:$G$204,$AQ831)),IF($AS831="","",INDEX(E_Rules!$F$5:$F$9,$AS831))))</f>
        <v/>
      </c>
      <c r="AX831" t="str">
        <f>IF($AQ831="","",IF(INDEX(C_Pavement!$H$5:$H$204,$AQ831)&lt;&gt;"",IF(INDEX(C_Pavement!$H$5:$H$204,$AQ831)="-","",INDEX(C_Pavement!$H$5:$H$204,$AQ831)),IF($AS831="","",INDEX(E_Rules!$G$5:$G$9,$AS831))))</f>
        <v/>
      </c>
      <c r="AY831" t="str">
        <f>IF($AQ831="","",IF(INDEX(C_Pavement!$I$5:$I$204,$AQ831)&lt;&gt;"",IF(INDEX(C_Pavement!$I$5:$I$204,$AQ831)="-","",INDEX(C_Pavement!$I$5:$I$204,$AQ831)),IF($AS831="","",INDEX(E_Rules!$H$5:$H$9,$AS831))))</f>
        <v/>
      </c>
    </row>
    <row r="832" spans="1:51" ht="15.75" customHeight="1" x14ac:dyDescent="0.3">
      <c r="A832" s="189">
        <v>827</v>
      </c>
      <c r="B832" s="180">
        <v>41300</v>
      </c>
      <c r="C832" s="180" t="s">
        <v>1138</v>
      </c>
      <c r="D832" s="181" t="str">
        <f>IFERROR(LOOKUP(2,1/((A_Corridor!$A$5:$A$204&lt;&gt;"")*(A_Corridor!$A$5:$A$204&lt;=$B832)*(A_Corridor!$B$5:$B$204&gt;$B832)*(A_Corridor!$C$5:$C$204&lt;&gt;"")),IF(UPPER(A_Corridor!$C$5:$C$204)="Y",1,"")),"")</f>
        <v/>
      </c>
      <c r="E832" s="181" t="str">
        <f>IFERROR(LOOKUP(2,1/((A_Corridor!$A$5:$A$204&lt;&gt;"")*(A_Corridor!$A$5:$A$204&lt;=$B832)*(A_Corridor!$B$5:$B$204&gt;$B832)*(A_Corridor!$D$5:$D$204&lt;&gt;"")),IF(A_Corridor!$D$5:$D$204="-","",UPPER(A_Corridor!$D$5:$D$204))),"")</f>
        <v/>
      </c>
      <c r="F832" s="181" t="str">
        <f>IFERROR(LOOKUP(2,1/((A_Corridor!$A$5:$A$204&lt;&gt;"")*(A_Corridor!$A$5:$A$204&lt;=$B832)*(A_Corridor!$B$5:$B$204&gt;$B832)*(A_Corridor!$E$5:$E$204&lt;&gt;"")),IF(A_Corridor!$E$5:$E$204="-","",1)),"")</f>
        <v/>
      </c>
      <c r="G832" s="182" t="str">
        <f>IFERROR(LOOKUP(2,1/((A_Corridor!$A$5:$A$204&lt;&gt;"")*(A_Corridor!$A$5:$A$204&lt;=$B832)*(A_Corridor!$B$5:$B$204&gt;$B832)*(A_Corridor!$E$5:$E$204&lt;&gt;"")),IF(A_Corridor!$E$5:$E$204="-","",A_Corridor!$E$5:$E$204)),"")</f>
        <v/>
      </c>
      <c r="H832" s="182" t="str">
        <f>IFERROR(LOOKUP(2,1/((D_Points!$A$5:$A$204&lt;&gt;"")*(D_Points!$A$5:$A$204&gt;=$B832)*(D_Points!$A$5:$A$204&lt;$B832+P_Interval)*(UPPER(TRIM(D_Points!$B$5:$B$204))="GULLY")*(D_Points!$H$5:$H$204&lt;&gt;"")),D_Points!$H$5:$H$204),"")</f>
        <v/>
      </c>
      <c r="I832" s="181" t="str">
        <f>IFERROR(LOOKUP(2,1/((A_Corridor!$A$5:$A$204&lt;&gt;"")*(A_Corridor!$A$5:$A$204&lt;=$B832)*(A_Corridor!$B$5:$B$204&gt;$B832)*(A_Corridor!$F$5:$F$204&lt;&gt;"")),IF(A_Corridor!$F$5:$F$204="-","",1)),"")</f>
        <v/>
      </c>
      <c r="J832" s="182" t="str">
        <f>IFERROR(LOOKUP(2,1/((A_Corridor!$A$5:$A$204&lt;&gt;"")*(A_Corridor!$A$5:$A$204&lt;=$B832)*(A_Corridor!$B$5:$B$204&gt;$B832)*(A_Corridor!$F$5:$F$204&lt;&gt;"")),IF(A_Corridor!$F$5:$F$204="-","",A_Corridor!$F$5:$F$204)),"")</f>
        <v/>
      </c>
      <c r="K832" s="182" t="str">
        <f>IFERROR(LOOKUP(2,1/((A_Corridor!$A$5:$A$204&lt;&gt;"")*(A_Corridor!$A$5:$A$204&lt;=$B832)*(A_Corridor!$B$5:$B$204&gt;$B832)*(A_Corridor!$G$5:$G$204&lt;&gt;"")),IF(A_Corridor!$G$5:$G$204="-","",A_Corridor!$G$5:$G$204)),"")</f>
        <v/>
      </c>
      <c r="L832" s="181" t="str">
        <f>IFERROR(LOOKUP(2,1/((A_Corridor!$A$5:$A$204&lt;&gt;"")*(A_Corridor!$A$5:$A$204&lt;=$B832)*(A_Corridor!$B$5:$B$204&gt;$B832)*(A_Corridor!$H$5:$H$204&lt;&gt;"")),IF(A_Corridor!$H$5:$H$204="-","",1)),"")</f>
        <v/>
      </c>
      <c r="M832" s="182" t="str">
        <f>IFERROR(LOOKUP(2,1/((A_Corridor!$A$5:$A$204&lt;&gt;"")*(A_Corridor!$A$5:$A$204&lt;=$B832)*(A_Corridor!$B$5:$B$204&gt;$B832)*(A_Corridor!$H$5:$H$204&lt;&gt;"")),IF(A_Corridor!$H$5:$H$204="-","",A_Corridor!$H$5:$H$204)),"")</f>
        <v/>
      </c>
      <c r="N832" s="182" t="str">
        <f>IFERROR(LOOKUP(2,1/((A_Corridor!$A$5:$A$204&lt;&gt;"")*(A_Corridor!$A$5:$A$204&lt;=$B832)*(A_Corridor!$B$5:$B$204&gt;$B832)*(A_Corridor!$I$5:$I$204&lt;&gt;"")),IF(A_Corridor!$I$5:$I$204="-","",A_Corridor!$I$5:$I$204)),"")</f>
        <v/>
      </c>
      <c r="O832" s="182" t="str">
        <f>IFERROR(LOOKUP(2,1/((D_Points!$A$5:$A$204&lt;&gt;"")*(D_Points!$A$5:$A$204&gt;=$B832)*(D_Points!$A$5:$A$204&lt;$B832+P_Interval)*(UPPER(TRIM(D_Points!$B$5:$B$204))="PITCHING")*(D_Points!$H$5:$H$204&lt;&gt;"")),D_Points!$H$5:$H$204),"")</f>
        <v/>
      </c>
      <c r="P832" s="181" t="str">
        <f>IFERROR(LOOKUP(2,1/((B_Drainage!$A$5:$A$204&lt;&gt;"")*(B_Drainage!$A$5:$A$204&lt;=$B832)*(B_Drainage!$B$5:$B$204&gt;$B832)*(B_Drainage!$C$5:$C$204&lt;&gt;"")),IF(B_Drainage!$C$5:$C$204="-","",UPPER(B_Drainage!$C$5:$C$204))),"")</f>
        <v/>
      </c>
      <c r="Q832" s="181" t="str">
        <f>IFERROR(LOOKUP(2,1/((B_Drainage!$A$5:$A$204&lt;&gt;"")*(B_Drainage!$A$5:$A$204&lt;=$B832)*(B_Drainage!$B$5:$B$204&gt;$B832)*(B_Drainage!$D$5:$D$204&lt;&gt;"")),IF(B_Drainage!$D$5:$D$204="-","",UPPER(B_Drainage!$D$5:$D$204))),"")</f>
        <v/>
      </c>
      <c r="R832" s="182" t="str">
        <f>IFERROR(LOOKUP(2,1/((D_Points!$A$5:$A$204&lt;&gt;"")*(D_Points!$A$5:$A$204&gt;=$B832)*(D_Points!$A$5:$A$204&lt;$B832+P_Interval)*(RIGHT(UPPER(TRIM(D_Points!$B$5:$B$204)),8)="_CULVERT")),IF(LEFT(UPPER(TRIM(D_Points!$B$5:$B$204)),2)="EX",1,IF(LEFT(UPPER(TRIM(D_Points!$B$5:$B$204)),2)="PR",2,3))),"")</f>
        <v/>
      </c>
      <c r="S832" s="182" t="str">
        <f>IFERROR(LOOKUP(2,1/((D_Points!$A$5:$A$204&lt;&gt;"")*(D_Points!$A$5:$A$204&gt;=$B832)*(D_Points!$A$5:$A$204&lt;$B832+P_Interval)*(RIGHT(UPPER(TRIM(D_Points!$B$5:$B$204)),7)="_BRIDGE")),IF(LEFT(UPPER(TRIM(D_Points!$B$5:$B$204)),2)="EX",1,IF(LEFT(UPPER(TRIM(D_Points!$B$5:$B$204)),2)="PR",2,2))),"")</f>
        <v/>
      </c>
      <c r="T832" s="181" t="str">
        <f>IFERROR(LOOKUP(2,1/((B_Drainage!$A$5:$A$204&lt;&gt;"")*(B_Drainage!$A$5:$A$204&lt;=$B832)*(B_Drainage!$B$5:$B$204&gt;$B832)*(B_Drainage!$E$5:$E$204&lt;&gt;"")),IF(B_Drainage!$E$5:$E$204="-","",1)),"")</f>
        <v/>
      </c>
      <c r="U832" s="181" t="str">
        <f>IFERROR(LOOKUP(2,1/((B_Drainage!$A$5:$A$204&lt;&gt;"")*(B_Drainage!$A$5:$A$204&lt;=$B832)*(B_Drainage!$B$5:$B$204&gt;$B832)*(B_Drainage!$E$5:$E$204&lt;&gt;"")),IF(B_Drainage!$E$5:$E$204="-","",B_Drainage!$E$5:$E$204)),"")</f>
        <v/>
      </c>
      <c r="V832" s="181" t="str">
        <f>IFERROR(LOOKUP(2,1/((B_Drainage!$A$5:$A$204&lt;&gt;"")*(B_Drainage!$A$5:$A$204&lt;=$B832)*(B_Drainage!$B$5:$B$204&gt;$B832)*(B_Drainage!$F$5:$F$204&lt;&gt;"")),IF(B_Drainage!$F$5:$F$204="-","",1)),"")</f>
        <v/>
      </c>
      <c r="W832" s="181" t="str">
        <f>IFERROR(LOOKUP(2,1/((B_Drainage!$A$5:$A$204&lt;&gt;"")*(B_Drainage!$A$5:$A$204&lt;=$B832)*(B_Drainage!$B$5:$B$204&gt;$B832)*(B_Drainage!$F$5:$F$204&lt;&gt;"")),IF(B_Drainage!$F$5:$F$204="-","",B_Drainage!$F$5:$F$204)),"")</f>
        <v/>
      </c>
      <c r="X832" s="181" t="str">
        <f>IFERROR(LOOKUP(2,1/((B_Drainage!$A$5:$A$204&lt;&gt;"")*(B_Drainage!$A$5:$A$204&lt;=$B832)*(B_Drainage!$B$5:$B$204&gt;$B832)*(B_Drainage!$G$5:$G$204&lt;&gt;"")),IF(UPPER(B_Drainage!$G$5:$G$204)="Y",1,"")),"")</f>
        <v/>
      </c>
      <c r="Y832" s="181" t="str">
        <f>IFERROR(LOOKUP(2,1/((B_Drainage!$A$5:$A$204&lt;&gt;"")*(B_Drainage!$A$5:$A$204&lt;=$B832)*(B_Drainage!$B$5:$B$204&gt;$B832)*(B_Drainage!$H$5:$H$204&lt;&gt;"")),IF(UPPER(B_Drainage!$H$5:$H$204)="Y",1,"")),"")</f>
        <v/>
      </c>
      <c r="Z832" s="181" t="str">
        <f>IFERROR(LOOKUP(2,1/((B_Drainage!$A$5:$A$204&lt;&gt;"")*(B_Drainage!$A$5:$A$204&lt;=$B832)*(B_Drainage!$B$5:$B$204&gt;$B832)*(B_Drainage!$I$5:$I$204&lt;&gt;"")),IF(UPPER(B_Drainage!$I$5:$I$204)="Y",1,"")),"")</f>
        <v/>
      </c>
      <c r="AA832" s="181" t="str">
        <f>IFERROR(LOOKUP(2,1/((B_Drainage!$A$5:$A$204&lt;&gt;"")*(B_Drainage!$A$5:$A$204&lt;=$B832)*(B_Drainage!$B$5:$B$204&gt;$B832)*(B_Drainage!$J$5:$J$204&lt;&gt;"")),IF(UPPER(B_Drainage!$J$5:$J$204)="Y",1,"")),"")</f>
        <v/>
      </c>
      <c r="AB832" s="182" t="str">
        <f>IFERROR(LOOKUP(2,1/((B_Drainage!$A$5:$A$204&lt;&gt;"")*(B_Drainage!$A$5:$A$204&lt;=$B832)*(B_Drainage!$B$5:$B$204&gt;$B832)*(B_Drainage!$K$5:$K$204&lt;&gt;"")),IF(B_Drainage!$K$5:$K$204="-","",B_Drainage!$K$5:$K$204)),"")</f>
        <v/>
      </c>
      <c r="AC832" s="182" t="str">
        <f>IFERROR(LOOKUP(2,1/((B_Drainage!$A$5:$A$204&lt;&gt;"")*(B_Drainage!$A$5:$A$204&lt;=$B832)*(B_Drainage!$B$5:$B$204&gt;$B832)*(B_Drainage!$L$5:$L$204&lt;&gt;"")),IF(B_Drainage!$L$5:$L$204="-","",B_Drainage!$L$5:$L$204)),"")</f>
        <v/>
      </c>
      <c r="AD832" s="182" t="str">
        <f>IFERROR(LOOKUP(2,1/((D_Points!$A$5:$A$204&lt;&gt;"")*(D_Points!$A$5:$A$204&gt;=$B832)*(D_Points!$A$5:$A$204&lt;$B832+P_Interval)*(UPPER(TRIM(D_Points!$B$5:$B$204))="TURNOUT_L")*(D_Points!$H$5:$H$204&lt;&gt;"")),D_Points!$H$5:$H$204),"")</f>
        <v/>
      </c>
      <c r="AE832" s="182" t="str">
        <f>IFERROR(LOOKUP(2,1/((D_Points!$A$5:$A$204&lt;&gt;"")*(D_Points!$A$5:$A$204&gt;=$B832)*(D_Points!$A$5:$A$204&lt;$B832+P_Interval)*(UPPER(TRIM(D_Points!$B$5:$B$204))="TURNOUT_R")*(D_Points!$H$5:$H$204&lt;&gt;"")),D_Points!$H$5:$H$204),"")</f>
        <v/>
      </c>
      <c r="AF832" s="181" t="str">
        <f>IFERROR(LOOKUP(2,1/((B_Drainage!$A$5:$A$204&lt;&gt;"")*(B_Drainage!$A$5:$A$204&lt;=$B832)*(B_Drainage!$B$5:$B$204&gt;$B832)*(B_Drainage!$M$5:$M$204&lt;&gt;"")),IF(UPPER(B_Drainage!$M$5:$M$204)="Y",1,"")),"")</f>
        <v/>
      </c>
      <c r="AG832" s="181" t="str">
        <f>IFERROR(LOOKUP(2,1/((B_Drainage!$A$5:$A$204&lt;&gt;"")*(B_Drainage!$A$5:$A$204&lt;=$B832)*(B_Drainage!$B$5:$B$204&gt;$B832)*(B_Drainage!$N$5:$N$204&lt;&gt;"")),IF(UPPER(B_Drainage!$N$5:$N$204)="Y",1,"")),"")</f>
        <v/>
      </c>
      <c r="AH832" s="181" t="str">
        <f t="shared" si="96"/>
        <v/>
      </c>
      <c r="AI832" s="181" t="str">
        <f t="shared" si="97"/>
        <v/>
      </c>
      <c r="AJ832" s="181" t="str">
        <f t="shared" si="98"/>
        <v/>
      </c>
      <c r="AK832" s="181" t="str">
        <f t="shared" si="99"/>
        <v/>
      </c>
      <c r="AL832" s="181" t="str">
        <f t="shared" si="100"/>
        <v/>
      </c>
      <c r="AM832" s="181" t="str">
        <f t="shared" si="101"/>
        <v/>
      </c>
      <c r="AN832" s="181" t="str">
        <f t="shared" si="102"/>
        <v/>
      </c>
      <c r="AO832" s="192" t="str">
        <f t="shared" si="103"/>
        <v/>
      </c>
      <c r="AQ832" t="str">
        <f>IFERROR(LOOKUP(2,1/((C_Pavement!$A$5:$A$204&lt;&gt;"")*(C_Pavement!$A$5:$A$204&lt;=$B832)*(C_Pavement!$B$5:$B$204&gt;$B832)*(C_Pavement!$C$5:$C$204&lt;&gt;"")),ROW(C_Pavement!$C$5:$C$204)-4),"")</f>
        <v/>
      </c>
      <c r="AR832" t="str">
        <f>IF($AQ832="","",UPPER(TRIM(INDEX(C_Pavement!$C$5:$C$204,$AQ832))))</f>
        <v/>
      </c>
      <c r="AS832" t="str">
        <f>IF($AR832="","",IFERROR(MATCH($AR832,E_Rules!$A$5:$A$9,0),""))</f>
        <v/>
      </c>
      <c r="AT832" t="str">
        <f>IF($AQ832="","",IF(INDEX(C_Pavement!$D$5:$D$204,$AQ832)&lt;&gt;"",UPPER(TRIM(INDEX(C_Pavement!$D$5:$D$204,$AQ832))),IF($AS832="","",INDEX(E_Rules!$C$5:$C$9,$AS832))))</f>
        <v/>
      </c>
      <c r="AU832" t="str">
        <f>IF($AQ832="","",IF(INDEX(C_Pavement!$E$5:$E$204,$AQ832)&lt;&gt;"",IF(INDEX(C_Pavement!$E$5:$E$204,$AQ832)="-","",INDEX(C_Pavement!$E$5:$E$204,$AQ832)),IF($AS832="","",INDEX(E_Rules!$D$5:$D$9,$AS832))))</f>
        <v/>
      </c>
      <c r="AV832" t="str">
        <f>IF($AQ832="","",IF(INDEX(C_Pavement!$F$5:$F$204,$AQ832)&lt;&gt;"",IF(INDEX(C_Pavement!$F$5:$F$204,$AQ832)="-","",INDEX(C_Pavement!$F$5:$F$204,$AQ832)),IF($AS832="","",INDEX(E_Rules!$E$5:$E$9,$AS832))))</f>
        <v/>
      </c>
      <c r="AW832" t="str">
        <f>IF($AQ832="","",IF(INDEX(C_Pavement!$G$5:$G$204,$AQ832)&lt;&gt;"",IF(INDEX(C_Pavement!$G$5:$G$204,$AQ832)="-","",INDEX(C_Pavement!$G$5:$G$204,$AQ832)),IF($AS832="","",INDEX(E_Rules!$F$5:$F$9,$AS832))))</f>
        <v/>
      </c>
      <c r="AX832" t="str">
        <f>IF($AQ832="","",IF(INDEX(C_Pavement!$H$5:$H$204,$AQ832)&lt;&gt;"",IF(INDEX(C_Pavement!$H$5:$H$204,$AQ832)="-","",INDEX(C_Pavement!$H$5:$H$204,$AQ832)),IF($AS832="","",INDEX(E_Rules!$G$5:$G$9,$AS832))))</f>
        <v/>
      </c>
      <c r="AY832" t="str">
        <f>IF($AQ832="","",IF(INDEX(C_Pavement!$I$5:$I$204,$AQ832)&lt;&gt;"",IF(INDEX(C_Pavement!$I$5:$I$204,$AQ832)="-","",INDEX(C_Pavement!$I$5:$I$204,$AQ832)),IF($AS832="","",INDEX(E_Rules!$H$5:$H$9,$AS832))))</f>
        <v/>
      </c>
    </row>
    <row r="833" spans="1:51" ht="15.75" customHeight="1" x14ac:dyDescent="0.3">
      <c r="A833" s="189">
        <v>828</v>
      </c>
      <c r="B833" s="180">
        <v>41350</v>
      </c>
      <c r="C833" s="180" t="s">
        <v>1139</v>
      </c>
      <c r="D833" s="181" t="str">
        <f>IFERROR(LOOKUP(2,1/((A_Corridor!$A$5:$A$204&lt;&gt;"")*(A_Corridor!$A$5:$A$204&lt;=$B833)*(A_Corridor!$B$5:$B$204&gt;$B833)*(A_Corridor!$C$5:$C$204&lt;&gt;"")),IF(UPPER(A_Corridor!$C$5:$C$204)="Y",1,"")),"")</f>
        <v/>
      </c>
      <c r="E833" s="181" t="str">
        <f>IFERROR(LOOKUP(2,1/((A_Corridor!$A$5:$A$204&lt;&gt;"")*(A_Corridor!$A$5:$A$204&lt;=$B833)*(A_Corridor!$B$5:$B$204&gt;$B833)*(A_Corridor!$D$5:$D$204&lt;&gt;"")),IF(A_Corridor!$D$5:$D$204="-","",UPPER(A_Corridor!$D$5:$D$204))),"")</f>
        <v/>
      </c>
      <c r="F833" s="181" t="str">
        <f>IFERROR(LOOKUP(2,1/((A_Corridor!$A$5:$A$204&lt;&gt;"")*(A_Corridor!$A$5:$A$204&lt;=$B833)*(A_Corridor!$B$5:$B$204&gt;$B833)*(A_Corridor!$E$5:$E$204&lt;&gt;"")),IF(A_Corridor!$E$5:$E$204="-","",1)),"")</f>
        <v/>
      </c>
      <c r="G833" s="182" t="str">
        <f>IFERROR(LOOKUP(2,1/((A_Corridor!$A$5:$A$204&lt;&gt;"")*(A_Corridor!$A$5:$A$204&lt;=$B833)*(A_Corridor!$B$5:$B$204&gt;$B833)*(A_Corridor!$E$5:$E$204&lt;&gt;"")),IF(A_Corridor!$E$5:$E$204="-","",A_Corridor!$E$5:$E$204)),"")</f>
        <v/>
      </c>
      <c r="H833" s="182" t="str">
        <f>IFERROR(LOOKUP(2,1/((D_Points!$A$5:$A$204&lt;&gt;"")*(D_Points!$A$5:$A$204&gt;=$B833)*(D_Points!$A$5:$A$204&lt;$B833+P_Interval)*(UPPER(TRIM(D_Points!$B$5:$B$204))="GULLY")*(D_Points!$H$5:$H$204&lt;&gt;"")),D_Points!$H$5:$H$204),"")</f>
        <v/>
      </c>
      <c r="I833" s="181" t="str">
        <f>IFERROR(LOOKUP(2,1/((A_Corridor!$A$5:$A$204&lt;&gt;"")*(A_Corridor!$A$5:$A$204&lt;=$B833)*(A_Corridor!$B$5:$B$204&gt;$B833)*(A_Corridor!$F$5:$F$204&lt;&gt;"")),IF(A_Corridor!$F$5:$F$204="-","",1)),"")</f>
        <v/>
      </c>
      <c r="J833" s="182" t="str">
        <f>IFERROR(LOOKUP(2,1/((A_Corridor!$A$5:$A$204&lt;&gt;"")*(A_Corridor!$A$5:$A$204&lt;=$B833)*(A_Corridor!$B$5:$B$204&gt;$B833)*(A_Corridor!$F$5:$F$204&lt;&gt;"")),IF(A_Corridor!$F$5:$F$204="-","",A_Corridor!$F$5:$F$204)),"")</f>
        <v/>
      </c>
      <c r="K833" s="182" t="str">
        <f>IFERROR(LOOKUP(2,1/((A_Corridor!$A$5:$A$204&lt;&gt;"")*(A_Corridor!$A$5:$A$204&lt;=$B833)*(A_Corridor!$B$5:$B$204&gt;$B833)*(A_Corridor!$G$5:$G$204&lt;&gt;"")),IF(A_Corridor!$G$5:$G$204="-","",A_Corridor!$G$5:$G$204)),"")</f>
        <v/>
      </c>
      <c r="L833" s="181" t="str">
        <f>IFERROR(LOOKUP(2,1/((A_Corridor!$A$5:$A$204&lt;&gt;"")*(A_Corridor!$A$5:$A$204&lt;=$B833)*(A_Corridor!$B$5:$B$204&gt;$B833)*(A_Corridor!$H$5:$H$204&lt;&gt;"")),IF(A_Corridor!$H$5:$H$204="-","",1)),"")</f>
        <v/>
      </c>
      <c r="M833" s="182" t="str">
        <f>IFERROR(LOOKUP(2,1/((A_Corridor!$A$5:$A$204&lt;&gt;"")*(A_Corridor!$A$5:$A$204&lt;=$B833)*(A_Corridor!$B$5:$B$204&gt;$B833)*(A_Corridor!$H$5:$H$204&lt;&gt;"")),IF(A_Corridor!$H$5:$H$204="-","",A_Corridor!$H$5:$H$204)),"")</f>
        <v/>
      </c>
      <c r="N833" s="182" t="str">
        <f>IFERROR(LOOKUP(2,1/((A_Corridor!$A$5:$A$204&lt;&gt;"")*(A_Corridor!$A$5:$A$204&lt;=$B833)*(A_Corridor!$B$5:$B$204&gt;$B833)*(A_Corridor!$I$5:$I$204&lt;&gt;"")),IF(A_Corridor!$I$5:$I$204="-","",A_Corridor!$I$5:$I$204)),"")</f>
        <v/>
      </c>
      <c r="O833" s="182" t="str">
        <f>IFERROR(LOOKUP(2,1/((D_Points!$A$5:$A$204&lt;&gt;"")*(D_Points!$A$5:$A$204&gt;=$B833)*(D_Points!$A$5:$A$204&lt;$B833+P_Interval)*(UPPER(TRIM(D_Points!$B$5:$B$204))="PITCHING")*(D_Points!$H$5:$H$204&lt;&gt;"")),D_Points!$H$5:$H$204),"")</f>
        <v/>
      </c>
      <c r="P833" s="181" t="str">
        <f>IFERROR(LOOKUP(2,1/((B_Drainage!$A$5:$A$204&lt;&gt;"")*(B_Drainage!$A$5:$A$204&lt;=$B833)*(B_Drainage!$B$5:$B$204&gt;$B833)*(B_Drainage!$C$5:$C$204&lt;&gt;"")),IF(B_Drainage!$C$5:$C$204="-","",UPPER(B_Drainage!$C$5:$C$204))),"")</f>
        <v/>
      </c>
      <c r="Q833" s="181" t="str">
        <f>IFERROR(LOOKUP(2,1/((B_Drainage!$A$5:$A$204&lt;&gt;"")*(B_Drainage!$A$5:$A$204&lt;=$B833)*(B_Drainage!$B$5:$B$204&gt;$B833)*(B_Drainage!$D$5:$D$204&lt;&gt;"")),IF(B_Drainage!$D$5:$D$204="-","",UPPER(B_Drainage!$D$5:$D$204))),"")</f>
        <v/>
      </c>
      <c r="R833" s="182" t="str">
        <f>IFERROR(LOOKUP(2,1/((D_Points!$A$5:$A$204&lt;&gt;"")*(D_Points!$A$5:$A$204&gt;=$B833)*(D_Points!$A$5:$A$204&lt;$B833+P_Interval)*(RIGHT(UPPER(TRIM(D_Points!$B$5:$B$204)),8)="_CULVERT")),IF(LEFT(UPPER(TRIM(D_Points!$B$5:$B$204)),2)="EX",1,IF(LEFT(UPPER(TRIM(D_Points!$B$5:$B$204)),2)="PR",2,3))),"")</f>
        <v/>
      </c>
      <c r="S833" s="182" t="str">
        <f>IFERROR(LOOKUP(2,1/((D_Points!$A$5:$A$204&lt;&gt;"")*(D_Points!$A$5:$A$204&gt;=$B833)*(D_Points!$A$5:$A$204&lt;$B833+P_Interval)*(RIGHT(UPPER(TRIM(D_Points!$B$5:$B$204)),7)="_BRIDGE")),IF(LEFT(UPPER(TRIM(D_Points!$B$5:$B$204)),2)="EX",1,IF(LEFT(UPPER(TRIM(D_Points!$B$5:$B$204)),2)="PR",2,2))),"")</f>
        <v/>
      </c>
      <c r="T833" s="181" t="str">
        <f>IFERROR(LOOKUP(2,1/((B_Drainage!$A$5:$A$204&lt;&gt;"")*(B_Drainage!$A$5:$A$204&lt;=$B833)*(B_Drainage!$B$5:$B$204&gt;$B833)*(B_Drainage!$E$5:$E$204&lt;&gt;"")),IF(B_Drainage!$E$5:$E$204="-","",1)),"")</f>
        <v/>
      </c>
      <c r="U833" s="181" t="str">
        <f>IFERROR(LOOKUP(2,1/((B_Drainage!$A$5:$A$204&lt;&gt;"")*(B_Drainage!$A$5:$A$204&lt;=$B833)*(B_Drainage!$B$5:$B$204&gt;$B833)*(B_Drainage!$E$5:$E$204&lt;&gt;"")),IF(B_Drainage!$E$5:$E$204="-","",B_Drainage!$E$5:$E$204)),"")</f>
        <v/>
      </c>
      <c r="V833" s="181" t="str">
        <f>IFERROR(LOOKUP(2,1/((B_Drainage!$A$5:$A$204&lt;&gt;"")*(B_Drainage!$A$5:$A$204&lt;=$B833)*(B_Drainage!$B$5:$B$204&gt;$B833)*(B_Drainage!$F$5:$F$204&lt;&gt;"")),IF(B_Drainage!$F$5:$F$204="-","",1)),"")</f>
        <v/>
      </c>
      <c r="W833" s="181" t="str">
        <f>IFERROR(LOOKUP(2,1/((B_Drainage!$A$5:$A$204&lt;&gt;"")*(B_Drainage!$A$5:$A$204&lt;=$B833)*(B_Drainage!$B$5:$B$204&gt;$B833)*(B_Drainage!$F$5:$F$204&lt;&gt;"")),IF(B_Drainage!$F$5:$F$204="-","",B_Drainage!$F$5:$F$204)),"")</f>
        <v/>
      </c>
      <c r="X833" s="181" t="str">
        <f>IFERROR(LOOKUP(2,1/((B_Drainage!$A$5:$A$204&lt;&gt;"")*(B_Drainage!$A$5:$A$204&lt;=$B833)*(B_Drainage!$B$5:$B$204&gt;$B833)*(B_Drainage!$G$5:$G$204&lt;&gt;"")),IF(UPPER(B_Drainage!$G$5:$G$204)="Y",1,"")),"")</f>
        <v/>
      </c>
      <c r="Y833" s="181" t="str">
        <f>IFERROR(LOOKUP(2,1/((B_Drainage!$A$5:$A$204&lt;&gt;"")*(B_Drainage!$A$5:$A$204&lt;=$B833)*(B_Drainage!$B$5:$B$204&gt;$B833)*(B_Drainage!$H$5:$H$204&lt;&gt;"")),IF(UPPER(B_Drainage!$H$5:$H$204)="Y",1,"")),"")</f>
        <v/>
      </c>
      <c r="Z833" s="181" t="str">
        <f>IFERROR(LOOKUP(2,1/((B_Drainage!$A$5:$A$204&lt;&gt;"")*(B_Drainage!$A$5:$A$204&lt;=$B833)*(B_Drainage!$B$5:$B$204&gt;$B833)*(B_Drainage!$I$5:$I$204&lt;&gt;"")),IF(UPPER(B_Drainage!$I$5:$I$204)="Y",1,"")),"")</f>
        <v/>
      </c>
      <c r="AA833" s="181" t="str">
        <f>IFERROR(LOOKUP(2,1/((B_Drainage!$A$5:$A$204&lt;&gt;"")*(B_Drainage!$A$5:$A$204&lt;=$B833)*(B_Drainage!$B$5:$B$204&gt;$B833)*(B_Drainage!$J$5:$J$204&lt;&gt;"")),IF(UPPER(B_Drainage!$J$5:$J$204)="Y",1,"")),"")</f>
        <v/>
      </c>
      <c r="AB833" s="182" t="str">
        <f>IFERROR(LOOKUP(2,1/((B_Drainage!$A$5:$A$204&lt;&gt;"")*(B_Drainage!$A$5:$A$204&lt;=$B833)*(B_Drainage!$B$5:$B$204&gt;$B833)*(B_Drainage!$K$5:$K$204&lt;&gt;"")),IF(B_Drainage!$K$5:$K$204="-","",B_Drainage!$K$5:$K$204)),"")</f>
        <v/>
      </c>
      <c r="AC833" s="182" t="str">
        <f>IFERROR(LOOKUP(2,1/((B_Drainage!$A$5:$A$204&lt;&gt;"")*(B_Drainage!$A$5:$A$204&lt;=$B833)*(B_Drainage!$B$5:$B$204&gt;$B833)*(B_Drainage!$L$5:$L$204&lt;&gt;"")),IF(B_Drainage!$L$5:$L$204="-","",B_Drainage!$L$5:$L$204)),"")</f>
        <v/>
      </c>
      <c r="AD833" s="182" t="str">
        <f>IFERROR(LOOKUP(2,1/((D_Points!$A$5:$A$204&lt;&gt;"")*(D_Points!$A$5:$A$204&gt;=$B833)*(D_Points!$A$5:$A$204&lt;$B833+P_Interval)*(UPPER(TRIM(D_Points!$B$5:$B$204))="TURNOUT_L")*(D_Points!$H$5:$H$204&lt;&gt;"")),D_Points!$H$5:$H$204),"")</f>
        <v/>
      </c>
      <c r="AE833" s="182" t="str">
        <f>IFERROR(LOOKUP(2,1/((D_Points!$A$5:$A$204&lt;&gt;"")*(D_Points!$A$5:$A$204&gt;=$B833)*(D_Points!$A$5:$A$204&lt;$B833+P_Interval)*(UPPER(TRIM(D_Points!$B$5:$B$204))="TURNOUT_R")*(D_Points!$H$5:$H$204&lt;&gt;"")),D_Points!$H$5:$H$204),"")</f>
        <v/>
      </c>
      <c r="AF833" s="181" t="str">
        <f>IFERROR(LOOKUP(2,1/((B_Drainage!$A$5:$A$204&lt;&gt;"")*(B_Drainage!$A$5:$A$204&lt;=$B833)*(B_Drainage!$B$5:$B$204&gt;$B833)*(B_Drainage!$M$5:$M$204&lt;&gt;"")),IF(UPPER(B_Drainage!$M$5:$M$204)="Y",1,"")),"")</f>
        <v/>
      </c>
      <c r="AG833" s="181" t="str">
        <f>IFERROR(LOOKUP(2,1/((B_Drainage!$A$5:$A$204&lt;&gt;"")*(B_Drainage!$A$5:$A$204&lt;=$B833)*(B_Drainage!$B$5:$B$204&gt;$B833)*(B_Drainage!$N$5:$N$204&lt;&gt;"")),IF(UPPER(B_Drainage!$N$5:$N$204)="Y",1,"")),"")</f>
        <v/>
      </c>
      <c r="AH833" s="181" t="str">
        <f t="shared" si="96"/>
        <v/>
      </c>
      <c r="AI833" s="181" t="str">
        <f t="shared" si="97"/>
        <v/>
      </c>
      <c r="AJ833" s="181" t="str">
        <f t="shared" si="98"/>
        <v/>
      </c>
      <c r="AK833" s="181" t="str">
        <f t="shared" si="99"/>
        <v/>
      </c>
      <c r="AL833" s="181" t="str">
        <f t="shared" si="100"/>
        <v/>
      </c>
      <c r="AM833" s="181" t="str">
        <f t="shared" si="101"/>
        <v/>
      </c>
      <c r="AN833" s="181" t="str">
        <f t="shared" si="102"/>
        <v/>
      </c>
      <c r="AO833" s="192" t="str">
        <f t="shared" si="103"/>
        <v/>
      </c>
      <c r="AQ833" t="str">
        <f>IFERROR(LOOKUP(2,1/((C_Pavement!$A$5:$A$204&lt;&gt;"")*(C_Pavement!$A$5:$A$204&lt;=$B833)*(C_Pavement!$B$5:$B$204&gt;$B833)*(C_Pavement!$C$5:$C$204&lt;&gt;"")),ROW(C_Pavement!$C$5:$C$204)-4),"")</f>
        <v/>
      </c>
      <c r="AR833" t="str">
        <f>IF($AQ833="","",UPPER(TRIM(INDEX(C_Pavement!$C$5:$C$204,$AQ833))))</f>
        <v/>
      </c>
      <c r="AS833" t="str">
        <f>IF($AR833="","",IFERROR(MATCH($AR833,E_Rules!$A$5:$A$9,0),""))</f>
        <v/>
      </c>
      <c r="AT833" t="str">
        <f>IF($AQ833="","",IF(INDEX(C_Pavement!$D$5:$D$204,$AQ833)&lt;&gt;"",UPPER(TRIM(INDEX(C_Pavement!$D$5:$D$204,$AQ833))),IF($AS833="","",INDEX(E_Rules!$C$5:$C$9,$AS833))))</f>
        <v/>
      </c>
      <c r="AU833" t="str">
        <f>IF($AQ833="","",IF(INDEX(C_Pavement!$E$5:$E$204,$AQ833)&lt;&gt;"",IF(INDEX(C_Pavement!$E$5:$E$204,$AQ833)="-","",INDEX(C_Pavement!$E$5:$E$204,$AQ833)),IF($AS833="","",INDEX(E_Rules!$D$5:$D$9,$AS833))))</f>
        <v/>
      </c>
      <c r="AV833" t="str">
        <f>IF($AQ833="","",IF(INDEX(C_Pavement!$F$5:$F$204,$AQ833)&lt;&gt;"",IF(INDEX(C_Pavement!$F$5:$F$204,$AQ833)="-","",INDEX(C_Pavement!$F$5:$F$204,$AQ833)),IF($AS833="","",INDEX(E_Rules!$E$5:$E$9,$AS833))))</f>
        <v/>
      </c>
      <c r="AW833" t="str">
        <f>IF($AQ833="","",IF(INDEX(C_Pavement!$G$5:$G$204,$AQ833)&lt;&gt;"",IF(INDEX(C_Pavement!$G$5:$G$204,$AQ833)="-","",INDEX(C_Pavement!$G$5:$G$204,$AQ833)),IF($AS833="","",INDEX(E_Rules!$F$5:$F$9,$AS833))))</f>
        <v/>
      </c>
      <c r="AX833" t="str">
        <f>IF($AQ833="","",IF(INDEX(C_Pavement!$H$5:$H$204,$AQ833)&lt;&gt;"",IF(INDEX(C_Pavement!$H$5:$H$204,$AQ833)="-","",INDEX(C_Pavement!$H$5:$H$204,$AQ833)),IF($AS833="","",INDEX(E_Rules!$G$5:$G$9,$AS833))))</f>
        <v/>
      </c>
      <c r="AY833" t="str">
        <f>IF($AQ833="","",IF(INDEX(C_Pavement!$I$5:$I$204,$AQ833)&lt;&gt;"",IF(INDEX(C_Pavement!$I$5:$I$204,$AQ833)="-","",INDEX(C_Pavement!$I$5:$I$204,$AQ833)),IF($AS833="","",INDEX(E_Rules!$H$5:$H$9,$AS833))))</f>
        <v/>
      </c>
    </row>
    <row r="834" spans="1:51" ht="15.75" customHeight="1" x14ac:dyDescent="0.3">
      <c r="A834" s="189">
        <v>829</v>
      </c>
      <c r="B834" s="180">
        <v>41400</v>
      </c>
      <c r="C834" s="180" t="s">
        <v>1140</v>
      </c>
      <c r="D834" s="181" t="str">
        <f>IFERROR(LOOKUP(2,1/((A_Corridor!$A$5:$A$204&lt;&gt;"")*(A_Corridor!$A$5:$A$204&lt;=$B834)*(A_Corridor!$B$5:$B$204&gt;$B834)*(A_Corridor!$C$5:$C$204&lt;&gt;"")),IF(UPPER(A_Corridor!$C$5:$C$204)="Y",1,"")),"")</f>
        <v/>
      </c>
      <c r="E834" s="181" t="str">
        <f>IFERROR(LOOKUP(2,1/((A_Corridor!$A$5:$A$204&lt;&gt;"")*(A_Corridor!$A$5:$A$204&lt;=$B834)*(A_Corridor!$B$5:$B$204&gt;$B834)*(A_Corridor!$D$5:$D$204&lt;&gt;"")),IF(A_Corridor!$D$5:$D$204="-","",UPPER(A_Corridor!$D$5:$D$204))),"")</f>
        <v/>
      </c>
      <c r="F834" s="181" t="str">
        <f>IFERROR(LOOKUP(2,1/((A_Corridor!$A$5:$A$204&lt;&gt;"")*(A_Corridor!$A$5:$A$204&lt;=$B834)*(A_Corridor!$B$5:$B$204&gt;$B834)*(A_Corridor!$E$5:$E$204&lt;&gt;"")),IF(A_Corridor!$E$5:$E$204="-","",1)),"")</f>
        <v/>
      </c>
      <c r="G834" s="182" t="str">
        <f>IFERROR(LOOKUP(2,1/((A_Corridor!$A$5:$A$204&lt;&gt;"")*(A_Corridor!$A$5:$A$204&lt;=$B834)*(A_Corridor!$B$5:$B$204&gt;$B834)*(A_Corridor!$E$5:$E$204&lt;&gt;"")),IF(A_Corridor!$E$5:$E$204="-","",A_Corridor!$E$5:$E$204)),"")</f>
        <v/>
      </c>
      <c r="H834" s="182" t="str">
        <f>IFERROR(LOOKUP(2,1/((D_Points!$A$5:$A$204&lt;&gt;"")*(D_Points!$A$5:$A$204&gt;=$B834)*(D_Points!$A$5:$A$204&lt;$B834+P_Interval)*(UPPER(TRIM(D_Points!$B$5:$B$204))="GULLY")*(D_Points!$H$5:$H$204&lt;&gt;"")),D_Points!$H$5:$H$204),"")</f>
        <v/>
      </c>
      <c r="I834" s="181" t="str">
        <f>IFERROR(LOOKUP(2,1/((A_Corridor!$A$5:$A$204&lt;&gt;"")*(A_Corridor!$A$5:$A$204&lt;=$B834)*(A_Corridor!$B$5:$B$204&gt;$B834)*(A_Corridor!$F$5:$F$204&lt;&gt;"")),IF(A_Corridor!$F$5:$F$204="-","",1)),"")</f>
        <v/>
      </c>
      <c r="J834" s="182" t="str">
        <f>IFERROR(LOOKUP(2,1/((A_Corridor!$A$5:$A$204&lt;&gt;"")*(A_Corridor!$A$5:$A$204&lt;=$B834)*(A_Corridor!$B$5:$B$204&gt;$B834)*(A_Corridor!$F$5:$F$204&lt;&gt;"")),IF(A_Corridor!$F$5:$F$204="-","",A_Corridor!$F$5:$F$204)),"")</f>
        <v/>
      </c>
      <c r="K834" s="182" t="str">
        <f>IFERROR(LOOKUP(2,1/((A_Corridor!$A$5:$A$204&lt;&gt;"")*(A_Corridor!$A$5:$A$204&lt;=$B834)*(A_Corridor!$B$5:$B$204&gt;$B834)*(A_Corridor!$G$5:$G$204&lt;&gt;"")),IF(A_Corridor!$G$5:$G$204="-","",A_Corridor!$G$5:$G$204)),"")</f>
        <v/>
      </c>
      <c r="L834" s="181" t="str">
        <f>IFERROR(LOOKUP(2,1/((A_Corridor!$A$5:$A$204&lt;&gt;"")*(A_Corridor!$A$5:$A$204&lt;=$B834)*(A_Corridor!$B$5:$B$204&gt;$B834)*(A_Corridor!$H$5:$H$204&lt;&gt;"")),IF(A_Corridor!$H$5:$H$204="-","",1)),"")</f>
        <v/>
      </c>
      <c r="M834" s="182" t="str">
        <f>IFERROR(LOOKUP(2,1/((A_Corridor!$A$5:$A$204&lt;&gt;"")*(A_Corridor!$A$5:$A$204&lt;=$B834)*(A_Corridor!$B$5:$B$204&gt;$B834)*(A_Corridor!$H$5:$H$204&lt;&gt;"")),IF(A_Corridor!$H$5:$H$204="-","",A_Corridor!$H$5:$H$204)),"")</f>
        <v/>
      </c>
      <c r="N834" s="182" t="str">
        <f>IFERROR(LOOKUP(2,1/((A_Corridor!$A$5:$A$204&lt;&gt;"")*(A_Corridor!$A$5:$A$204&lt;=$B834)*(A_Corridor!$B$5:$B$204&gt;$B834)*(A_Corridor!$I$5:$I$204&lt;&gt;"")),IF(A_Corridor!$I$5:$I$204="-","",A_Corridor!$I$5:$I$204)),"")</f>
        <v/>
      </c>
      <c r="O834" s="182" t="str">
        <f>IFERROR(LOOKUP(2,1/((D_Points!$A$5:$A$204&lt;&gt;"")*(D_Points!$A$5:$A$204&gt;=$B834)*(D_Points!$A$5:$A$204&lt;$B834+P_Interval)*(UPPER(TRIM(D_Points!$B$5:$B$204))="PITCHING")*(D_Points!$H$5:$H$204&lt;&gt;"")),D_Points!$H$5:$H$204),"")</f>
        <v/>
      </c>
      <c r="P834" s="181" t="str">
        <f>IFERROR(LOOKUP(2,1/((B_Drainage!$A$5:$A$204&lt;&gt;"")*(B_Drainage!$A$5:$A$204&lt;=$B834)*(B_Drainage!$B$5:$B$204&gt;$B834)*(B_Drainage!$C$5:$C$204&lt;&gt;"")),IF(B_Drainage!$C$5:$C$204="-","",UPPER(B_Drainage!$C$5:$C$204))),"")</f>
        <v/>
      </c>
      <c r="Q834" s="181" t="str">
        <f>IFERROR(LOOKUP(2,1/((B_Drainage!$A$5:$A$204&lt;&gt;"")*(B_Drainage!$A$5:$A$204&lt;=$B834)*(B_Drainage!$B$5:$B$204&gt;$B834)*(B_Drainage!$D$5:$D$204&lt;&gt;"")),IF(B_Drainage!$D$5:$D$204="-","",UPPER(B_Drainage!$D$5:$D$204))),"")</f>
        <v/>
      </c>
      <c r="R834" s="182" t="str">
        <f>IFERROR(LOOKUP(2,1/((D_Points!$A$5:$A$204&lt;&gt;"")*(D_Points!$A$5:$A$204&gt;=$B834)*(D_Points!$A$5:$A$204&lt;$B834+P_Interval)*(RIGHT(UPPER(TRIM(D_Points!$B$5:$B$204)),8)="_CULVERT")),IF(LEFT(UPPER(TRIM(D_Points!$B$5:$B$204)),2)="EX",1,IF(LEFT(UPPER(TRIM(D_Points!$B$5:$B$204)),2)="PR",2,3))),"")</f>
        <v/>
      </c>
      <c r="S834" s="182" t="str">
        <f>IFERROR(LOOKUP(2,1/((D_Points!$A$5:$A$204&lt;&gt;"")*(D_Points!$A$5:$A$204&gt;=$B834)*(D_Points!$A$5:$A$204&lt;$B834+P_Interval)*(RIGHT(UPPER(TRIM(D_Points!$B$5:$B$204)),7)="_BRIDGE")),IF(LEFT(UPPER(TRIM(D_Points!$B$5:$B$204)),2)="EX",1,IF(LEFT(UPPER(TRIM(D_Points!$B$5:$B$204)),2)="PR",2,2))),"")</f>
        <v/>
      </c>
      <c r="T834" s="181" t="str">
        <f>IFERROR(LOOKUP(2,1/((B_Drainage!$A$5:$A$204&lt;&gt;"")*(B_Drainage!$A$5:$A$204&lt;=$B834)*(B_Drainage!$B$5:$B$204&gt;$B834)*(B_Drainage!$E$5:$E$204&lt;&gt;"")),IF(B_Drainage!$E$5:$E$204="-","",1)),"")</f>
        <v/>
      </c>
      <c r="U834" s="181" t="str">
        <f>IFERROR(LOOKUP(2,1/((B_Drainage!$A$5:$A$204&lt;&gt;"")*(B_Drainage!$A$5:$A$204&lt;=$B834)*(B_Drainage!$B$5:$B$204&gt;$B834)*(B_Drainage!$E$5:$E$204&lt;&gt;"")),IF(B_Drainage!$E$5:$E$204="-","",B_Drainage!$E$5:$E$204)),"")</f>
        <v/>
      </c>
      <c r="V834" s="181" t="str">
        <f>IFERROR(LOOKUP(2,1/((B_Drainage!$A$5:$A$204&lt;&gt;"")*(B_Drainage!$A$5:$A$204&lt;=$B834)*(B_Drainage!$B$5:$B$204&gt;$B834)*(B_Drainage!$F$5:$F$204&lt;&gt;"")),IF(B_Drainage!$F$5:$F$204="-","",1)),"")</f>
        <v/>
      </c>
      <c r="W834" s="181" t="str">
        <f>IFERROR(LOOKUP(2,1/((B_Drainage!$A$5:$A$204&lt;&gt;"")*(B_Drainage!$A$5:$A$204&lt;=$B834)*(B_Drainage!$B$5:$B$204&gt;$B834)*(B_Drainage!$F$5:$F$204&lt;&gt;"")),IF(B_Drainage!$F$5:$F$204="-","",B_Drainage!$F$5:$F$204)),"")</f>
        <v/>
      </c>
      <c r="X834" s="181" t="str">
        <f>IFERROR(LOOKUP(2,1/((B_Drainage!$A$5:$A$204&lt;&gt;"")*(B_Drainage!$A$5:$A$204&lt;=$B834)*(B_Drainage!$B$5:$B$204&gt;$B834)*(B_Drainage!$G$5:$G$204&lt;&gt;"")),IF(UPPER(B_Drainage!$G$5:$G$204)="Y",1,"")),"")</f>
        <v/>
      </c>
      <c r="Y834" s="181" t="str">
        <f>IFERROR(LOOKUP(2,1/((B_Drainage!$A$5:$A$204&lt;&gt;"")*(B_Drainage!$A$5:$A$204&lt;=$B834)*(B_Drainage!$B$5:$B$204&gt;$B834)*(B_Drainage!$H$5:$H$204&lt;&gt;"")),IF(UPPER(B_Drainage!$H$5:$H$204)="Y",1,"")),"")</f>
        <v/>
      </c>
      <c r="Z834" s="181" t="str">
        <f>IFERROR(LOOKUP(2,1/((B_Drainage!$A$5:$A$204&lt;&gt;"")*(B_Drainage!$A$5:$A$204&lt;=$B834)*(B_Drainage!$B$5:$B$204&gt;$B834)*(B_Drainage!$I$5:$I$204&lt;&gt;"")),IF(UPPER(B_Drainage!$I$5:$I$204)="Y",1,"")),"")</f>
        <v/>
      </c>
      <c r="AA834" s="181" t="str">
        <f>IFERROR(LOOKUP(2,1/((B_Drainage!$A$5:$A$204&lt;&gt;"")*(B_Drainage!$A$5:$A$204&lt;=$B834)*(B_Drainage!$B$5:$B$204&gt;$B834)*(B_Drainage!$J$5:$J$204&lt;&gt;"")),IF(UPPER(B_Drainage!$J$5:$J$204)="Y",1,"")),"")</f>
        <v/>
      </c>
      <c r="AB834" s="182" t="str">
        <f>IFERROR(LOOKUP(2,1/((B_Drainage!$A$5:$A$204&lt;&gt;"")*(B_Drainage!$A$5:$A$204&lt;=$B834)*(B_Drainage!$B$5:$B$204&gt;$B834)*(B_Drainage!$K$5:$K$204&lt;&gt;"")),IF(B_Drainage!$K$5:$K$204="-","",B_Drainage!$K$5:$K$204)),"")</f>
        <v/>
      </c>
      <c r="AC834" s="182" t="str">
        <f>IFERROR(LOOKUP(2,1/((B_Drainage!$A$5:$A$204&lt;&gt;"")*(B_Drainage!$A$5:$A$204&lt;=$B834)*(B_Drainage!$B$5:$B$204&gt;$B834)*(B_Drainage!$L$5:$L$204&lt;&gt;"")),IF(B_Drainage!$L$5:$L$204="-","",B_Drainage!$L$5:$L$204)),"")</f>
        <v/>
      </c>
      <c r="AD834" s="182" t="str">
        <f>IFERROR(LOOKUP(2,1/((D_Points!$A$5:$A$204&lt;&gt;"")*(D_Points!$A$5:$A$204&gt;=$B834)*(D_Points!$A$5:$A$204&lt;$B834+P_Interval)*(UPPER(TRIM(D_Points!$B$5:$B$204))="TURNOUT_L")*(D_Points!$H$5:$H$204&lt;&gt;"")),D_Points!$H$5:$H$204),"")</f>
        <v/>
      </c>
      <c r="AE834" s="182" t="str">
        <f>IFERROR(LOOKUP(2,1/((D_Points!$A$5:$A$204&lt;&gt;"")*(D_Points!$A$5:$A$204&gt;=$B834)*(D_Points!$A$5:$A$204&lt;$B834+P_Interval)*(UPPER(TRIM(D_Points!$B$5:$B$204))="TURNOUT_R")*(D_Points!$H$5:$H$204&lt;&gt;"")),D_Points!$H$5:$H$204),"")</f>
        <v/>
      </c>
      <c r="AF834" s="181" t="str">
        <f>IFERROR(LOOKUP(2,1/((B_Drainage!$A$5:$A$204&lt;&gt;"")*(B_Drainage!$A$5:$A$204&lt;=$B834)*(B_Drainage!$B$5:$B$204&gt;$B834)*(B_Drainage!$M$5:$M$204&lt;&gt;"")),IF(UPPER(B_Drainage!$M$5:$M$204)="Y",1,"")),"")</f>
        <v/>
      </c>
      <c r="AG834" s="181" t="str">
        <f>IFERROR(LOOKUP(2,1/((B_Drainage!$A$5:$A$204&lt;&gt;"")*(B_Drainage!$A$5:$A$204&lt;=$B834)*(B_Drainage!$B$5:$B$204&gt;$B834)*(B_Drainage!$N$5:$N$204&lt;&gt;"")),IF(UPPER(B_Drainage!$N$5:$N$204)="Y",1,"")),"")</f>
        <v/>
      </c>
      <c r="AH834" s="181" t="str">
        <f t="shared" si="96"/>
        <v/>
      </c>
      <c r="AI834" s="181" t="str">
        <f t="shared" si="97"/>
        <v/>
      </c>
      <c r="AJ834" s="181" t="str">
        <f t="shared" si="98"/>
        <v/>
      </c>
      <c r="AK834" s="181" t="str">
        <f t="shared" si="99"/>
        <v/>
      </c>
      <c r="AL834" s="181" t="str">
        <f t="shared" si="100"/>
        <v/>
      </c>
      <c r="AM834" s="181" t="str">
        <f t="shared" si="101"/>
        <v/>
      </c>
      <c r="AN834" s="181" t="str">
        <f t="shared" si="102"/>
        <v/>
      </c>
      <c r="AO834" s="192" t="str">
        <f t="shared" si="103"/>
        <v/>
      </c>
      <c r="AQ834" t="str">
        <f>IFERROR(LOOKUP(2,1/((C_Pavement!$A$5:$A$204&lt;&gt;"")*(C_Pavement!$A$5:$A$204&lt;=$B834)*(C_Pavement!$B$5:$B$204&gt;$B834)*(C_Pavement!$C$5:$C$204&lt;&gt;"")),ROW(C_Pavement!$C$5:$C$204)-4),"")</f>
        <v/>
      </c>
      <c r="AR834" t="str">
        <f>IF($AQ834="","",UPPER(TRIM(INDEX(C_Pavement!$C$5:$C$204,$AQ834))))</f>
        <v/>
      </c>
      <c r="AS834" t="str">
        <f>IF($AR834="","",IFERROR(MATCH($AR834,E_Rules!$A$5:$A$9,0),""))</f>
        <v/>
      </c>
      <c r="AT834" t="str">
        <f>IF($AQ834="","",IF(INDEX(C_Pavement!$D$5:$D$204,$AQ834)&lt;&gt;"",UPPER(TRIM(INDEX(C_Pavement!$D$5:$D$204,$AQ834))),IF($AS834="","",INDEX(E_Rules!$C$5:$C$9,$AS834))))</f>
        <v/>
      </c>
      <c r="AU834" t="str">
        <f>IF($AQ834="","",IF(INDEX(C_Pavement!$E$5:$E$204,$AQ834)&lt;&gt;"",IF(INDEX(C_Pavement!$E$5:$E$204,$AQ834)="-","",INDEX(C_Pavement!$E$5:$E$204,$AQ834)),IF($AS834="","",INDEX(E_Rules!$D$5:$D$9,$AS834))))</f>
        <v/>
      </c>
      <c r="AV834" t="str">
        <f>IF($AQ834="","",IF(INDEX(C_Pavement!$F$5:$F$204,$AQ834)&lt;&gt;"",IF(INDEX(C_Pavement!$F$5:$F$204,$AQ834)="-","",INDEX(C_Pavement!$F$5:$F$204,$AQ834)),IF($AS834="","",INDEX(E_Rules!$E$5:$E$9,$AS834))))</f>
        <v/>
      </c>
      <c r="AW834" t="str">
        <f>IF($AQ834="","",IF(INDEX(C_Pavement!$G$5:$G$204,$AQ834)&lt;&gt;"",IF(INDEX(C_Pavement!$G$5:$G$204,$AQ834)="-","",INDEX(C_Pavement!$G$5:$G$204,$AQ834)),IF($AS834="","",INDEX(E_Rules!$F$5:$F$9,$AS834))))</f>
        <v/>
      </c>
      <c r="AX834" t="str">
        <f>IF($AQ834="","",IF(INDEX(C_Pavement!$H$5:$H$204,$AQ834)&lt;&gt;"",IF(INDEX(C_Pavement!$H$5:$H$204,$AQ834)="-","",INDEX(C_Pavement!$H$5:$H$204,$AQ834)),IF($AS834="","",INDEX(E_Rules!$G$5:$G$9,$AS834))))</f>
        <v/>
      </c>
      <c r="AY834" t="str">
        <f>IF($AQ834="","",IF(INDEX(C_Pavement!$I$5:$I$204,$AQ834)&lt;&gt;"",IF(INDEX(C_Pavement!$I$5:$I$204,$AQ834)="-","",INDEX(C_Pavement!$I$5:$I$204,$AQ834)),IF($AS834="","",INDEX(E_Rules!$H$5:$H$9,$AS834))))</f>
        <v/>
      </c>
    </row>
    <row r="835" spans="1:51" ht="15.75" customHeight="1" x14ac:dyDescent="0.3">
      <c r="A835" s="189">
        <v>830</v>
      </c>
      <c r="B835" s="180">
        <v>41450</v>
      </c>
      <c r="C835" s="180" t="s">
        <v>1141</v>
      </c>
      <c r="D835" s="181" t="str">
        <f>IFERROR(LOOKUP(2,1/((A_Corridor!$A$5:$A$204&lt;&gt;"")*(A_Corridor!$A$5:$A$204&lt;=$B835)*(A_Corridor!$B$5:$B$204&gt;$B835)*(A_Corridor!$C$5:$C$204&lt;&gt;"")),IF(UPPER(A_Corridor!$C$5:$C$204)="Y",1,"")),"")</f>
        <v/>
      </c>
      <c r="E835" s="181" t="str">
        <f>IFERROR(LOOKUP(2,1/((A_Corridor!$A$5:$A$204&lt;&gt;"")*(A_Corridor!$A$5:$A$204&lt;=$B835)*(A_Corridor!$B$5:$B$204&gt;$B835)*(A_Corridor!$D$5:$D$204&lt;&gt;"")),IF(A_Corridor!$D$5:$D$204="-","",UPPER(A_Corridor!$D$5:$D$204))),"")</f>
        <v/>
      </c>
      <c r="F835" s="181" t="str">
        <f>IFERROR(LOOKUP(2,1/((A_Corridor!$A$5:$A$204&lt;&gt;"")*(A_Corridor!$A$5:$A$204&lt;=$B835)*(A_Corridor!$B$5:$B$204&gt;$B835)*(A_Corridor!$E$5:$E$204&lt;&gt;"")),IF(A_Corridor!$E$5:$E$204="-","",1)),"")</f>
        <v/>
      </c>
      <c r="G835" s="182" t="str">
        <f>IFERROR(LOOKUP(2,1/((A_Corridor!$A$5:$A$204&lt;&gt;"")*(A_Corridor!$A$5:$A$204&lt;=$B835)*(A_Corridor!$B$5:$B$204&gt;$B835)*(A_Corridor!$E$5:$E$204&lt;&gt;"")),IF(A_Corridor!$E$5:$E$204="-","",A_Corridor!$E$5:$E$204)),"")</f>
        <v/>
      </c>
      <c r="H835" s="182" t="str">
        <f>IFERROR(LOOKUP(2,1/((D_Points!$A$5:$A$204&lt;&gt;"")*(D_Points!$A$5:$A$204&gt;=$B835)*(D_Points!$A$5:$A$204&lt;$B835+P_Interval)*(UPPER(TRIM(D_Points!$B$5:$B$204))="GULLY")*(D_Points!$H$5:$H$204&lt;&gt;"")),D_Points!$H$5:$H$204),"")</f>
        <v/>
      </c>
      <c r="I835" s="181" t="str">
        <f>IFERROR(LOOKUP(2,1/((A_Corridor!$A$5:$A$204&lt;&gt;"")*(A_Corridor!$A$5:$A$204&lt;=$B835)*(A_Corridor!$B$5:$B$204&gt;$B835)*(A_Corridor!$F$5:$F$204&lt;&gt;"")),IF(A_Corridor!$F$5:$F$204="-","",1)),"")</f>
        <v/>
      </c>
      <c r="J835" s="182" t="str">
        <f>IFERROR(LOOKUP(2,1/((A_Corridor!$A$5:$A$204&lt;&gt;"")*(A_Corridor!$A$5:$A$204&lt;=$B835)*(A_Corridor!$B$5:$B$204&gt;$B835)*(A_Corridor!$F$5:$F$204&lt;&gt;"")),IF(A_Corridor!$F$5:$F$204="-","",A_Corridor!$F$5:$F$204)),"")</f>
        <v/>
      </c>
      <c r="K835" s="182" t="str">
        <f>IFERROR(LOOKUP(2,1/((A_Corridor!$A$5:$A$204&lt;&gt;"")*(A_Corridor!$A$5:$A$204&lt;=$B835)*(A_Corridor!$B$5:$B$204&gt;$B835)*(A_Corridor!$G$5:$G$204&lt;&gt;"")),IF(A_Corridor!$G$5:$G$204="-","",A_Corridor!$G$5:$G$204)),"")</f>
        <v/>
      </c>
      <c r="L835" s="181" t="str">
        <f>IFERROR(LOOKUP(2,1/((A_Corridor!$A$5:$A$204&lt;&gt;"")*(A_Corridor!$A$5:$A$204&lt;=$B835)*(A_Corridor!$B$5:$B$204&gt;$B835)*(A_Corridor!$H$5:$H$204&lt;&gt;"")),IF(A_Corridor!$H$5:$H$204="-","",1)),"")</f>
        <v/>
      </c>
      <c r="M835" s="182" t="str">
        <f>IFERROR(LOOKUP(2,1/((A_Corridor!$A$5:$A$204&lt;&gt;"")*(A_Corridor!$A$5:$A$204&lt;=$B835)*(A_Corridor!$B$5:$B$204&gt;$B835)*(A_Corridor!$H$5:$H$204&lt;&gt;"")),IF(A_Corridor!$H$5:$H$204="-","",A_Corridor!$H$5:$H$204)),"")</f>
        <v/>
      </c>
      <c r="N835" s="182" t="str">
        <f>IFERROR(LOOKUP(2,1/((A_Corridor!$A$5:$A$204&lt;&gt;"")*(A_Corridor!$A$5:$A$204&lt;=$B835)*(A_Corridor!$B$5:$B$204&gt;$B835)*(A_Corridor!$I$5:$I$204&lt;&gt;"")),IF(A_Corridor!$I$5:$I$204="-","",A_Corridor!$I$5:$I$204)),"")</f>
        <v/>
      </c>
      <c r="O835" s="182" t="str">
        <f>IFERROR(LOOKUP(2,1/((D_Points!$A$5:$A$204&lt;&gt;"")*(D_Points!$A$5:$A$204&gt;=$B835)*(D_Points!$A$5:$A$204&lt;$B835+P_Interval)*(UPPER(TRIM(D_Points!$B$5:$B$204))="PITCHING")*(D_Points!$H$5:$H$204&lt;&gt;"")),D_Points!$H$5:$H$204),"")</f>
        <v/>
      </c>
      <c r="P835" s="181" t="str">
        <f>IFERROR(LOOKUP(2,1/((B_Drainage!$A$5:$A$204&lt;&gt;"")*(B_Drainage!$A$5:$A$204&lt;=$B835)*(B_Drainage!$B$5:$B$204&gt;$B835)*(B_Drainage!$C$5:$C$204&lt;&gt;"")),IF(B_Drainage!$C$5:$C$204="-","",UPPER(B_Drainage!$C$5:$C$204))),"")</f>
        <v/>
      </c>
      <c r="Q835" s="181" t="str">
        <f>IFERROR(LOOKUP(2,1/((B_Drainage!$A$5:$A$204&lt;&gt;"")*(B_Drainage!$A$5:$A$204&lt;=$B835)*(B_Drainage!$B$5:$B$204&gt;$B835)*(B_Drainage!$D$5:$D$204&lt;&gt;"")),IF(B_Drainage!$D$5:$D$204="-","",UPPER(B_Drainage!$D$5:$D$204))),"")</f>
        <v/>
      </c>
      <c r="R835" s="182" t="str">
        <f>IFERROR(LOOKUP(2,1/((D_Points!$A$5:$A$204&lt;&gt;"")*(D_Points!$A$5:$A$204&gt;=$B835)*(D_Points!$A$5:$A$204&lt;$B835+P_Interval)*(RIGHT(UPPER(TRIM(D_Points!$B$5:$B$204)),8)="_CULVERT")),IF(LEFT(UPPER(TRIM(D_Points!$B$5:$B$204)),2)="EX",1,IF(LEFT(UPPER(TRIM(D_Points!$B$5:$B$204)),2)="PR",2,3))),"")</f>
        <v/>
      </c>
      <c r="S835" s="182" t="str">
        <f>IFERROR(LOOKUP(2,1/((D_Points!$A$5:$A$204&lt;&gt;"")*(D_Points!$A$5:$A$204&gt;=$B835)*(D_Points!$A$5:$A$204&lt;$B835+P_Interval)*(RIGHT(UPPER(TRIM(D_Points!$B$5:$B$204)),7)="_BRIDGE")),IF(LEFT(UPPER(TRIM(D_Points!$B$5:$B$204)),2)="EX",1,IF(LEFT(UPPER(TRIM(D_Points!$B$5:$B$204)),2)="PR",2,2))),"")</f>
        <v/>
      </c>
      <c r="T835" s="181" t="str">
        <f>IFERROR(LOOKUP(2,1/((B_Drainage!$A$5:$A$204&lt;&gt;"")*(B_Drainage!$A$5:$A$204&lt;=$B835)*(B_Drainage!$B$5:$B$204&gt;$B835)*(B_Drainage!$E$5:$E$204&lt;&gt;"")),IF(B_Drainage!$E$5:$E$204="-","",1)),"")</f>
        <v/>
      </c>
      <c r="U835" s="181" t="str">
        <f>IFERROR(LOOKUP(2,1/((B_Drainage!$A$5:$A$204&lt;&gt;"")*(B_Drainage!$A$5:$A$204&lt;=$B835)*(B_Drainage!$B$5:$B$204&gt;$B835)*(B_Drainage!$E$5:$E$204&lt;&gt;"")),IF(B_Drainage!$E$5:$E$204="-","",B_Drainage!$E$5:$E$204)),"")</f>
        <v/>
      </c>
      <c r="V835" s="181" t="str">
        <f>IFERROR(LOOKUP(2,1/((B_Drainage!$A$5:$A$204&lt;&gt;"")*(B_Drainage!$A$5:$A$204&lt;=$B835)*(B_Drainage!$B$5:$B$204&gt;$B835)*(B_Drainage!$F$5:$F$204&lt;&gt;"")),IF(B_Drainage!$F$5:$F$204="-","",1)),"")</f>
        <v/>
      </c>
      <c r="W835" s="181" t="str">
        <f>IFERROR(LOOKUP(2,1/((B_Drainage!$A$5:$A$204&lt;&gt;"")*(B_Drainage!$A$5:$A$204&lt;=$B835)*(B_Drainage!$B$5:$B$204&gt;$B835)*(B_Drainage!$F$5:$F$204&lt;&gt;"")),IF(B_Drainage!$F$5:$F$204="-","",B_Drainage!$F$5:$F$204)),"")</f>
        <v/>
      </c>
      <c r="X835" s="181" t="str">
        <f>IFERROR(LOOKUP(2,1/((B_Drainage!$A$5:$A$204&lt;&gt;"")*(B_Drainage!$A$5:$A$204&lt;=$B835)*(B_Drainage!$B$5:$B$204&gt;$B835)*(B_Drainage!$G$5:$G$204&lt;&gt;"")),IF(UPPER(B_Drainage!$G$5:$G$204)="Y",1,"")),"")</f>
        <v/>
      </c>
      <c r="Y835" s="181" t="str">
        <f>IFERROR(LOOKUP(2,1/((B_Drainage!$A$5:$A$204&lt;&gt;"")*(B_Drainage!$A$5:$A$204&lt;=$B835)*(B_Drainage!$B$5:$B$204&gt;$B835)*(B_Drainage!$H$5:$H$204&lt;&gt;"")),IF(UPPER(B_Drainage!$H$5:$H$204)="Y",1,"")),"")</f>
        <v/>
      </c>
      <c r="Z835" s="181" t="str">
        <f>IFERROR(LOOKUP(2,1/((B_Drainage!$A$5:$A$204&lt;&gt;"")*(B_Drainage!$A$5:$A$204&lt;=$B835)*(B_Drainage!$B$5:$B$204&gt;$B835)*(B_Drainage!$I$5:$I$204&lt;&gt;"")),IF(UPPER(B_Drainage!$I$5:$I$204)="Y",1,"")),"")</f>
        <v/>
      </c>
      <c r="AA835" s="181" t="str">
        <f>IFERROR(LOOKUP(2,1/((B_Drainage!$A$5:$A$204&lt;&gt;"")*(B_Drainage!$A$5:$A$204&lt;=$B835)*(B_Drainage!$B$5:$B$204&gt;$B835)*(B_Drainage!$J$5:$J$204&lt;&gt;"")),IF(UPPER(B_Drainage!$J$5:$J$204)="Y",1,"")),"")</f>
        <v/>
      </c>
      <c r="AB835" s="182" t="str">
        <f>IFERROR(LOOKUP(2,1/((B_Drainage!$A$5:$A$204&lt;&gt;"")*(B_Drainage!$A$5:$A$204&lt;=$B835)*(B_Drainage!$B$5:$B$204&gt;$B835)*(B_Drainage!$K$5:$K$204&lt;&gt;"")),IF(B_Drainage!$K$5:$K$204="-","",B_Drainage!$K$5:$K$204)),"")</f>
        <v/>
      </c>
      <c r="AC835" s="182" t="str">
        <f>IFERROR(LOOKUP(2,1/((B_Drainage!$A$5:$A$204&lt;&gt;"")*(B_Drainage!$A$5:$A$204&lt;=$B835)*(B_Drainage!$B$5:$B$204&gt;$B835)*(B_Drainage!$L$5:$L$204&lt;&gt;"")),IF(B_Drainage!$L$5:$L$204="-","",B_Drainage!$L$5:$L$204)),"")</f>
        <v/>
      </c>
      <c r="AD835" s="182" t="str">
        <f>IFERROR(LOOKUP(2,1/((D_Points!$A$5:$A$204&lt;&gt;"")*(D_Points!$A$5:$A$204&gt;=$B835)*(D_Points!$A$5:$A$204&lt;$B835+P_Interval)*(UPPER(TRIM(D_Points!$B$5:$B$204))="TURNOUT_L")*(D_Points!$H$5:$H$204&lt;&gt;"")),D_Points!$H$5:$H$204),"")</f>
        <v/>
      </c>
      <c r="AE835" s="182" t="str">
        <f>IFERROR(LOOKUP(2,1/((D_Points!$A$5:$A$204&lt;&gt;"")*(D_Points!$A$5:$A$204&gt;=$B835)*(D_Points!$A$5:$A$204&lt;$B835+P_Interval)*(UPPER(TRIM(D_Points!$B$5:$B$204))="TURNOUT_R")*(D_Points!$H$5:$H$204&lt;&gt;"")),D_Points!$H$5:$H$204),"")</f>
        <v/>
      </c>
      <c r="AF835" s="181" t="str">
        <f>IFERROR(LOOKUP(2,1/((B_Drainage!$A$5:$A$204&lt;&gt;"")*(B_Drainage!$A$5:$A$204&lt;=$B835)*(B_Drainage!$B$5:$B$204&gt;$B835)*(B_Drainage!$M$5:$M$204&lt;&gt;"")),IF(UPPER(B_Drainage!$M$5:$M$204)="Y",1,"")),"")</f>
        <v/>
      </c>
      <c r="AG835" s="181" t="str">
        <f>IFERROR(LOOKUP(2,1/((B_Drainage!$A$5:$A$204&lt;&gt;"")*(B_Drainage!$A$5:$A$204&lt;=$B835)*(B_Drainage!$B$5:$B$204&gt;$B835)*(B_Drainage!$N$5:$N$204&lt;&gt;"")),IF(UPPER(B_Drainage!$N$5:$N$204)="Y",1,"")),"")</f>
        <v/>
      </c>
      <c r="AH835" s="181" t="str">
        <f t="shared" si="96"/>
        <v/>
      </c>
      <c r="AI835" s="181" t="str">
        <f t="shared" si="97"/>
        <v/>
      </c>
      <c r="AJ835" s="181" t="str">
        <f t="shared" si="98"/>
        <v/>
      </c>
      <c r="AK835" s="181" t="str">
        <f t="shared" si="99"/>
        <v/>
      </c>
      <c r="AL835" s="181" t="str">
        <f t="shared" si="100"/>
        <v/>
      </c>
      <c r="AM835" s="181" t="str">
        <f t="shared" si="101"/>
        <v/>
      </c>
      <c r="AN835" s="181" t="str">
        <f t="shared" si="102"/>
        <v/>
      </c>
      <c r="AO835" s="192" t="str">
        <f t="shared" si="103"/>
        <v/>
      </c>
      <c r="AQ835" t="str">
        <f>IFERROR(LOOKUP(2,1/((C_Pavement!$A$5:$A$204&lt;&gt;"")*(C_Pavement!$A$5:$A$204&lt;=$B835)*(C_Pavement!$B$5:$B$204&gt;$B835)*(C_Pavement!$C$5:$C$204&lt;&gt;"")),ROW(C_Pavement!$C$5:$C$204)-4),"")</f>
        <v/>
      </c>
      <c r="AR835" t="str">
        <f>IF($AQ835="","",UPPER(TRIM(INDEX(C_Pavement!$C$5:$C$204,$AQ835))))</f>
        <v/>
      </c>
      <c r="AS835" t="str">
        <f>IF($AR835="","",IFERROR(MATCH($AR835,E_Rules!$A$5:$A$9,0),""))</f>
        <v/>
      </c>
      <c r="AT835" t="str">
        <f>IF($AQ835="","",IF(INDEX(C_Pavement!$D$5:$D$204,$AQ835)&lt;&gt;"",UPPER(TRIM(INDEX(C_Pavement!$D$5:$D$204,$AQ835))),IF($AS835="","",INDEX(E_Rules!$C$5:$C$9,$AS835))))</f>
        <v/>
      </c>
      <c r="AU835" t="str">
        <f>IF($AQ835="","",IF(INDEX(C_Pavement!$E$5:$E$204,$AQ835)&lt;&gt;"",IF(INDEX(C_Pavement!$E$5:$E$204,$AQ835)="-","",INDEX(C_Pavement!$E$5:$E$204,$AQ835)),IF($AS835="","",INDEX(E_Rules!$D$5:$D$9,$AS835))))</f>
        <v/>
      </c>
      <c r="AV835" t="str">
        <f>IF($AQ835="","",IF(INDEX(C_Pavement!$F$5:$F$204,$AQ835)&lt;&gt;"",IF(INDEX(C_Pavement!$F$5:$F$204,$AQ835)="-","",INDEX(C_Pavement!$F$5:$F$204,$AQ835)),IF($AS835="","",INDEX(E_Rules!$E$5:$E$9,$AS835))))</f>
        <v/>
      </c>
      <c r="AW835" t="str">
        <f>IF($AQ835="","",IF(INDEX(C_Pavement!$G$5:$G$204,$AQ835)&lt;&gt;"",IF(INDEX(C_Pavement!$G$5:$G$204,$AQ835)="-","",INDEX(C_Pavement!$G$5:$G$204,$AQ835)),IF($AS835="","",INDEX(E_Rules!$F$5:$F$9,$AS835))))</f>
        <v/>
      </c>
      <c r="AX835" t="str">
        <f>IF($AQ835="","",IF(INDEX(C_Pavement!$H$5:$H$204,$AQ835)&lt;&gt;"",IF(INDEX(C_Pavement!$H$5:$H$204,$AQ835)="-","",INDEX(C_Pavement!$H$5:$H$204,$AQ835)),IF($AS835="","",INDEX(E_Rules!$G$5:$G$9,$AS835))))</f>
        <v/>
      </c>
      <c r="AY835" t="str">
        <f>IF($AQ835="","",IF(INDEX(C_Pavement!$I$5:$I$204,$AQ835)&lt;&gt;"",IF(INDEX(C_Pavement!$I$5:$I$204,$AQ835)="-","",INDEX(C_Pavement!$I$5:$I$204,$AQ835)),IF($AS835="","",INDEX(E_Rules!$H$5:$H$9,$AS835))))</f>
        <v/>
      </c>
    </row>
    <row r="836" spans="1:51" ht="15.75" customHeight="1" x14ac:dyDescent="0.3">
      <c r="A836" s="189">
        <v>831</v>
      </c>
      <c r="B836" s="180">
        <v>41500</v>
      </c>
      <c r="C836" s="180" t="s">
        <v>1142</v>
      </c>
      <c r="D836" s="181" t="str">
        <f>IFERROR(LOOKUP(2,1/((A_Corridor!$A$5:$A$204&lt;&gt;"")*(A_Corridor!$A$5:$A$204&lt;=$B836)*(A_Corridor!$B$5:$B$204&gt;$B836)*(A_Corridor!$C$5:$C$204&lt;&gt;"")),IF(UPPER(A_Corridor!$C$5:$C$204)="Y",1,"")),"")</f>
        <v/>
      </c>
      <c r="E836" s="181" t="str">
        <f>IFERROR(LOOKUP(2,1/((A_Corridor!$A$5:$A$204&lt;&gt;"")*(A_Corridor!$A$5:$A$204&lt;=$B836)*(A_Corridor!$B$5:$B$204&gt;$B836)*(A_Corridor!$D$5:$D$204&lt;&gt;"")),IF(A_Corridor!$D$5:$D$204="-","",UPPER(A_Corridor!$D$5:$D$204))),"")</f>
        <v/>
      </c>
      <c r="F836" s="181" t="str">
        <f>IFERROR(LOOKUP(2,1/((A_Corridor!$A$5:$A$204&lt;&gt;"")*(A_Corridor!$A$5:$A$204&lt;=$B836)*(A_Corridor!$B$5:$B$204&gt;$B836)*(A_Corridor!$E$5:$E$204&lt;&gt;"")),IF(A_Corridor!$E$5:$E$204="-","",1)),"")</f>
        <v/>
      </c>
      <c r="G836" s="182" t="str">
        <f>IFERROR(LOOKUP(2,1/((A_Corridor!$A$5:$A$204&lt;&gt;"")*(A_Corridor!$A$5:$A$204&lt;=$B836)*(A_Corridor!$B$5:$B$204&gt;$B836)*(A_Corridor!$E$5:$E$204&lt;&gt;"")),IF(A_Corridor!$E$5:$E$204="-","",A_Corridor!$E$5:$E$204)),"")</f>
        <v/>
      </c>
      <c r="H836" s="182" t="str">
        <f>IFERROR(LOOKUP(2,1/((D_Points!$A$5:$A$204&lt;&gt;"")*(D_Points!$A$5:$A$204&gt;=$B836)*(D_Points!$A$5:$A$204&lt;$B836+P_Interval)*(UPPER(TRIM(D_Points!$B$5:$B$204))="GULLY")*(D_Points!$H$5:$H$204&lt;&gt;"")),D_Points!$H$5:$H$204),"")</f>
        <v/>
      </c>
      <c r="I836" s="181" t="str">
        <f>IFERROR(LOOKUP(2,1/((A_Corridor!$A$5:$A$204&lt;&gt;"")*(A_Corridor!$A$5:$A$204&lt;=$B836)*(A_Corridor!$B$5:$B$204&gt;$B836)*(A_Corridor!$F$5:$F$204&lt;&gt;"")),IF(A_Corridor!$F$5:$F$204="-","",1)),"")</f>
        <v/>
      </c>
      <c r="J836" s="182" t="str">
        <f>IFERROR(LOOKUP(2,1/((A_Corridor!$A$5:$A$204&lt;&gt;"")*(A_Corridor!$A$5:$A$204&lt;=$B836)*(A_Corridor!$B$5:$B$204&gt;$B836)*(A_Corridor!$F$5:$F$204&lt;&gt;"")),IF(A_Corridor!$F$5:$F$204="-","",A_Corridor!$F$5:$F$204)),"")</f>
        <v/>
      </c>
      <c r="K836" s="182" t="str">
        <f>IFERROR(LOOKUP(2,1/((A_Corridor!$A$5:$A$204&lt;&gt;"")*(A_Corridor!$A$5:$A$204&lt;=$B836)*(A_Corridor!$B$5:$B$204&gt;$B836)*(A_Corridor!$G$5:$G$204&lt;&gt;"")),IF(A_Corridor!$G$5:$G$204="-","",A_Corridor!$G$5:$G$204)),"")</f>
        <v/>
      </c>
      <c r="L836" s="181" t="str">
        <f>IFERROR(LOOKUP(2,1/((A_Corridor!$A$5:$A$204&lt;&gt;"")*(A_Corridor!$A$5:$A$204&lt;=$B836)*(A_Corridor!$B$5:$B$204&gt;$B836)*(A_Corridor!$H$5:$H$204&lt;&gt;"")),IF(A_Corridor!$H$5:$H$204="-","",1)),"")</f>
        <v/>
      </c>
      <c r="M836" s="182" t="str">
        <f>IFERROR(LOOKUP(2,1/((A_Corridor!$A$5:$A$204&lt;&gt;"")*(A_Corridor!$A$5:$A$204&lt;=$B836)*(A_Corridor!$B$5:$B$204&gt;$B836)*(A_Corridor!$H$5:$H$204&lt;&gt;"")),IF(A_Corridor!$H$5:$H$204="-","",A_Corridor!$H$5:$H$204)),"")</f>
        <v/>
      </c>
      <c r="N836" s="182" t="str">
        <f>IFERROR(LOOKUP(2,1/((A_Corridor!$A$5:$A$204&lt;&gt;"")*(A_Corridor!$A$5:$A$204&lt;=$B836)*(A_Corridor!$B$5:$B$204&gt;$B836)*(A_Corridor!$I$5:$I$204&lt;&gt;"")),IF(A_Corridor!$I$5:$I$204="-","",A_Corridor!$I$5:$I$204)),"")</f>
        <v/>
      </c>
      <c r="O836" s="182" t="str">
        <f>IFERROR(LOOKUP(2,1/((D_Points!$A$5:$A$204&lt;&gt;"")*(D_Points!$A$5:$A$204&gt;=$B836)*(D_Points!$A$5:$A$204&lt;$B836+P_Interval)*(UPPER(TRIM(D_Points!$B$5:$B$204))="PITCHING")*(D_Points!$H$5:$H$204&lt;&gt;"")),D_Points!$H$5:$H$204),"")</f>
        <v/>
      </c>
      <c r="P836" s="181" t="str">
        <f>IFERROR(LOOKUP(2,1/((B_Drainage!$A$5:$A$204&lt;&gt;"")*(B_Drainage!$A$5:$A$204&lt;=$B836)*(B_Drainage!$B$5:$B$204&gt;$B836)*(B_Drainage!$C$5:$C$204&lt;&gt;"")),IF(B_Drainage!$C$5:$C$204="-","",UPPER(B_Drainage!$C$5:$C$204))),"")</f>
        <v/>
      </c>
      <c r="Q836" s="181" t="str">
        <f>IFERROR(LOOKUP(2,1/((B_Drainage!$A$5:$A$204&lt;&gt;"")*(B_Drainage!$A$5:$A$204&lt;=$B836)*(B_Drainage!$B$5:$B$204&gt;$B836)*(B_Drainage!$D$5:$D$204&lt;&gt;"")),IF(B_Drainage!$D$5:$D$204="-","",UPPER(B_Drainage!$D$5:$D$204))),"")</f>
        <v/>
      </c>
      <c r="R836" s="182" t="str">
        <f>IFERROR(LOOKUP(2,1/((D_Points!$A$5:$A$204&lt;&gt;"")*(D_Points!$A$5:$A$204&gt;=$B836)*(D_Points!$A$5:$A$204&lt;$B836+P_Interval)*(RIGHT(UPPER(TRIM(D_Points!$B$5:$B$204)),8)="_CULVERT")),IF(LEFT(UPPER(TRIM(D_Points!$B$5:$B$204)),2)="EX",1,IF(LEFT(UPPER(TRIM(D_Points!$B$5:$B$204)),2)="PR",2,3))),"")</f>
        <v/>
      </c>
      <c r="S836" s="182" t="str">
        <f>IFERROR(LOOKUP(2,1/((D_Points!$A$5:$A$204&lt;&gt;"")*(D_Points!$A$5:$A$204&gt;=$B836)*(D_Points!$A$5:$A$204&lt;$B836+P_Interval)*(RIGHT(UPPER(TRIM(D_Points!$B$5:$B$204)),7)="_BRIDGE")),IF(LEFT(UPPER(TRIM(D_Points!$B$5:$B$204)),2)="EX",1,IF(LEFT(UPPER(TRIM(D_Points!$B$5:$B$204)),2)="PR",2,2))),"")</f>
        <v/>
      </c>
      <c r="T836" s="181" t="str">
        <f>IFERROR(LOOKUP(2,1/((B_Drainage!$A$5:$A$204&lt;&gt;"")*(B_Drainage!$A$5:$A$204&lt;=$B836)*(B_Drainage!$B$5:$B$204&gt;$B836)*(B_Drainage!$E$5:$E$204&lt;&gt;"")),IF(B_Drainage!$E$5:$E$204="-","",1)),"")</f>
        <v/>
      </c>
      <c r="U836" s="181" t="str">
        <f>IFERROR(LOOKUP(2,1/((B_Drainage!$A$5:$A$204&lt;&gt;"")*(B_Drainage!$A$5:$A$204&lt;=$B836)*(B_Drainage!$B$5:$B$204&gt;$B836)*(B_Drainage!$E$5:$E$204&lt;&gt;"")),IF(B_Drainage!$E$5:$E$204="-","",B_Drainage!$E$5:$E$204)),"")</f>
        <v/>
      </c>
      <c r="V836" s="181" t="str">
        <f>IFERROR(LOOKUP(2,1/((B_Drainage!$A$5:$A$204&lt;&gt;"")*(B_Drainage!$A$5:$A$204&lt;=$B836)*(B_Drainage!$B$5:$B$204&gt;$B836)*(B_Drainage!$F$5:$F$204&lt;&gt;"")),IF(B_Drainage!$F$5:$F$204="-","",1)),"")</f>
        <v/>
      </c>
      <c r="W836" s="181" t="str">
        <f>IFERROR(LOOKUP(2,1/((B_Drainage!$A$5:$A$204&lt;&gt;"")*(B_Drainage!$A$5:$A$204&lt;=$B836)*(B_Drainage!$B$5:$B$204&gt;$B836)*(B_Drainage!$F$5:$F$204&lt;&gt;"")),IF(B_Drainage!$F$5:$F$204="-","",B_Drainage!$F$5:$F$204)),"")</f>
        <v/>
      </c>
      <c r="X836" s="181" t="str">
        <f>IFERROR(LOOKUP(2,1/((B_Drainage!$A$5:$A$204&lt;&gt;"")*(B_Drainage!$A$5:$A$204&lt;=$B836)*(B_Drainage!$B$5:$B$204&gt;$B836)*(B_Drainage!$G$5:$G$204&lt;&gt;"")),IF(UPPER(B_Drainage!$G$5:$G$204)="Y",1,"")),"")</f>
        <v/>
      </c>
      <c r="Y836" s="181" t="str">
        <f>IFERROR(LOOKUP(2,1/((B_Drainage!$A$5:$A$204&lt;&gt;"")*(B_Drainage!$A$5:$A$204&lt;=$B836)*(B_Drainage!$B$5:$B$204&gt;$B836)*(B_Drainage!$H$5:$H$204&lt;&gt;"")),IF(UPPER(B_Drainage!$H$5:$H$204)="Y",1,"")),"")</f>
        <v/>
      </c>
      <c r="Z836" s="181" t="str">
        <f>IFERROR(LOOKUP(2,1/((B_Drainage!$A$5:$A$204&lt;&gt;"")*(B_Drainage!$A$5:$A$204&lt;=$B836)*(B_Drainage!$B$5:$B$204&gt;$B836)*(B_Drainage!$I$5:$I$204&lt;&gt;"")),IF(UPPER(B_Drainage!$I$5:$I$204)="Y",1,"")),"")</f>
        <v/>
      </c>
      <c r="AA836" s="181" t="str">
        <f>IFERROR(LOOKUP(2,1/((B_Drainage!$A$5:$A$204&lt;&gt;"")*(B_Drainage!$A$5:$A$204&lt;=$B836)*(B_Drainage!$B$5:$B$204&gt;$B836)*(B_Drainage!$J$5:$J$204&lt;&gt;"")),IF(UPPER(B_Drainage!$J$5:$J$204)="Y",1,"")),"")</f>
        <v/>
      </c>
      <c r="AB836" s="182" t="str">
        <f>IFERROR(LOOKUP(2,1/((B_Drainage!$A$5:$A$204&lt;&gt;"")*(B_Drainage!$A$5:$A$204&lt;=$B836)*(B_Drainage!$B$5:$B$204&gt;$B836)*(B_Drainage!$K$5:$K$204&lt;&gt;"")),IF(B_Drainage!$K$5:$K$204="-","",B_Drainage!$K$5:$K$204)),"")</f>
        <v/>
      </c>
      <c r="AC836" s="182" t="str">
        <f>IFERROR(LOOKUP(2,1/((B_Drainage!$A$5:$A$204&lt;&gt;"")*(B_Drainage!$A$5:$A$204&lt;=$B836)*(B_Drainage!$B$5:$B$204&gt;$B836)*(B_Drainage!$L$5:$L$204&lt;&gt;"")),IF(B_Drainage!$L$5:$L$204="-","",B_Drainage!$L$5:$L$204)),"")</f>
        <v/>
      </c>
      <c r="AD836" s="182" t="str">
        <f>IFERROR(LOOKUP(2,1/((D_Points!$A$5:$A$204&lt;&gt;"")*(D_Points!$A$5:$A$204&gt;=$B836)*(D_Points!$A$5:$A$204&lt;$B836+P_Interval)*(UPPER(TRIM(D_Points!$B$5:$B$204))="TURNOUT_L")*(D_Points!$H$5:$H$204&lt;&gt;"")),D_Points!$H$5:$H$204),"")</f>
        <v/>
      </c>
      <c r="AE836" s="182" t="str">
        <f>IFERROR(LOOKUP(2,1/((D_Points!$A$5:$A$204&lt;&gt;"")*(D_Points!$A$5:$A$204&gt;=$B836)*(D_Points!$A$5:$A$204&lt;$B836+P_Interval)*(UPPER(TRIM(D_Points!$B$5:$B$204))="TURNOUT_R")*(D_Points!$H$5:$H$204&lt;&gt;"")),D_Points!$H$5:$H$204),"")</f>
        <v/>
      </c>
      <c r="AF836" s="181" t="str">
        <f>IFERROR(LOOKUP(2,1/((B_Drainage!$A$5:$A$204&lt;&gt;"")*(B_Drainage!$A$5:$A$204&lt;=$B836)*(B_Drainage!$B$5:$B$204&gt;$B836)*(B_Drainage!$M$5:$M$204&lt;&gt;"")),IF(UPPER(B_Drainage!$M$5:$M$204)="Y",1,"")),"")</f>
        <v/>
      </c>
      <c r="AG836" s="181" t="str">
        <f>IFERROR(LOOKUP(2,1/((B_Drainage!$A$5:$A$204&lt;&gt;"")*(B_Drainage!$A$5:$A$204&lt;=$B836)*(B_Drainage!$B$5:$B$204&gt;$B836)*(B_Drainage!$N$5:$N$204&lt;&gt;"")),IF(UPPER(B_Drainage!$N$5:$N$204)="Y",1,"")),"")</f>
        <v/>
      </c>
      <c r="AH836" s="181" t="str">
        <f t="shared" si="96"/>
        <v/>
      </c>
      <c r="AI836" s="181" t="str">
        <f t="shared" si="97"/>
        <v/>
      </c>
      <c r="AJ836" s="181" t="str">
        <f t="shared" si="98"/>
        <v/>
      </c>
      <c r="AK836" s="181" t="str">
        <f t="shared" si="99"/>
        <v/>
      </c>
      <c r="AL836" s="181" t="str">
        <f t="shared" si="100"/>
        <v/>
      </c>
      <c r="AM836" s="181" t="str">
        <f t="shared" si="101"/>
        <v/>
      </c>
      <c r="AN836" s="181" t="str">
        <f t="shared" si="102"/>
        <v/>
      </c>
      <c r="AO836" s="192" t="str">
        <f t="shared" si="103"/>
        <v/>
      </c>
      <c r="AQ836" t="str">
        <f>IFERROR(LOOKUP(2,1/((C_Pavement!$A$5:$A$204&lt;&gt;"")*(C_Pavement!$A$5:$A$204&lt;=$B836)*(C_Pavement!$B$5:$B$204&gt;$B836)*(C_Pavement!$C$5:$C$204&lt;&gt;"")),ROW(C_Pavement!$C$5:$C$204)-4),"")</f>
        <v/>
      </c>
      <c r="AR836" t="str">
        <f>IF($AQ836="","",UPPER(TRIM(INDEX(C_Pavement!$C$5:$C$204,$AQ836))))</f>
        <v/>
      </c>
      <c r="AS836" t="str">
        <f>IF($AR836="","",IFERROR(MATCH($AR836,E_Rules!$A$5:$A$9,0),""))</f>
        <v/>
      </c>
      <c r="AT836" t="str">
        <f>IF($AQ836="","",IF(INDEX(C_Pavement!$D$5:$D$204,$AQ836)&lt;&gt;"",UPPER(TRIM(INDEX(C_Pavement!$D$5:$D$204,$AQ836))),IF($AS836="","",INDEX(E_Rules!$C$5:$C$9,$AS836))))</f>
        <v/>
      </c>
      <c r="AU836" t="str">
        <f>IF($AQ836="","",IF(INDEX(C_Pavement!$E$5:$E$204,$AQ836)&lt;&gt;"",IF(INDEX(C_Pavement!$E$5:$E$204,$AQ836)="-","",INDEX(C_Pavement!$E$5:$E$204,$AQ836)),IF($AS836="","",INDEX(E_Rules!$D$5:$D$9,$AS836))))</f>
        <v/>
      </c>
      <c r="AV836" t="str">
        <f>IF($AQ836="","",IF(INDEX(C_Pavement!$F$5:$F$204,$AQ836)&lt;&gt;"",IF(INDEX(C_Pavement!$F$5:$F$204,$AQ836)="-","",INDEX(C_Pavement!$F$5:$F$204,$AQ836)),IF($AS836="","",INDEX(E_Rules!$E$5:$E$9,$AS836))))</f>
        <v/>
      </c>
      <c r="AW836" t="str">
        <f>IF($AQ836="","",IF(INDEX(C_Pavement!$G$5:$G$204,$AQ836)&lt;&gt;"",IF(INDEX(C_Pavement!$G$5:$G$204,$AQ836)="-","",INDEX(C_Pavement!$G$5:$G$204,$AQ836)),IF($AS836="","",INDEX(E_Rules!$F$5:$F$9,$AS836))))</f>
        <v/>
      </c>
      <c r="AX836" t="str">
        <f>IF($AQ836="","",IF(INDEX(C_Pavement!$H$5:$H$204,$AQ836)&lt;&gt;"",IF(INDEX(C_Pavement!$H$5:$H$204,$AQ836)="-","",INDEX(C_Pavement!$H$5:$H$204,$AQ836)),IF($AS836="","",INDEX(E_Rules!$G$5:$G$9,$AS836))))</f>
        <v/>
      </c>
      <c r="AY836" t="str">
        <f>IF($AQ836="","",IF(INDEX(C_Pavement!$I$5:$I$204,$AQ836)&lt;&gt;"",IF(INDEX(C_Pavement!$I$5:$I$204,$AQ836)="-","",INDEX(C_Pavement!$I$5:$I$204,$AQ836)),IF($AS836="","",INDEX(E_Rules!$H$5:$H$9,$AS836))))</f>
        <v/>
      </c>
    </row>
    <row r="837" spans="1:51" ht="15.75" customHeight="1" x14ac:dyDescent="0.3">
      <c r="A837" s="189">
        <v>832</v>
      </c>
      <c r="B837" s="180">
        <v>41550</v>
      </c>
      <c r="C837" s="180" t="s">
        <v>1143</v>
      </c>
      <c r="D837" s="181" t="str">
        <f>IFERROR(LOOKUP(2,1/((A_Corridor!$A$5:$A$204&lt;&gt;"")*(A_Corridor!$A$5:$A$204&lt;=$B837)*(A_Corridor!$B$5:$B$204&gt;$B837)*(A_Corridor!$C$5:$C$204&lt;&gt;"")),IF(UPPER(A_Corridor!$C$5:$C$204)="Y",1,"")),"")</f>
        <v/>
      </c>
      <c r="E837" s="181" t="str">
        <f>IFERROR(LOOKUP(2,1/((A_Corridor!$A$5:$A$204&lt;&gt;"")*(A_Corridor!$A$5:$A$204&lt;=$B837)*(A_Corridor!$B$5:$B$204&gt;$B837)*(A_Corridor!$D$5:$D$204&lt;&gt;"")),IF(A_Corridor!$D$5:$D$204="-","",UPPER(A_Corridor!$D$5:$D$204))),"")</f>
        <v/>
      </c>
      <c r="F837" s="181" t="str">
        <f>IFERROR(LOOKUP(2,1/((A_Corridor!$A$5:$A$204&lt;&gt;"")*(A_Corridor!$A$5:$A$204&lt;=$B837)*(A_Corridor!$B$5:$B$204&gt;$B837)*(A_Corridor!$E$5:$E$204&lt;&gt;"")),IF(A_Corridor!$E$5:$E$204="-","",1)),"")</f>
        <v/>
      </c>
      <c r="G837" s="182" t="str">
        <f>IFERROR(LOOKUP(2,1/((A_Corridor!$A$5:$A$204&lt;&gt;"")*(A_Corridor!$A$5:$A$204&lt;=$B837)*(A_Corridor!$B$5:$B$204&gt;$B837)*(A_Corridor!$E$5:$E$204&lt;&gt;"")),IF(A_Corridor!$E$5:$E$204="-","",A_Corridor!$E$5:$E$204)),"")</f>
        <v/>
      </c>
      <c r="H837" s="182" t="str">
        <f>IFERROR(LOOKUP(2,1/((D_Points!$A$5:$A$204&lt;&gt;"")*(D_Points!$A$5:$A$204&gt;=$B837)*(D_Points!$A$5:$A$204&lt;$B837+P_Interval)*(UPPER(TRIM(D_Points!$B$5:$B$204))="GULLY")*(D_Points!$H$5:$H$204&lt;&gt;"")),D_Points!$H$5:$H$204),"")</f>
        <v/>
      </c>
      <c r="I837" s="181" t="str">
        <f>IFERROR(LOOKUP(2,1/((A_Corridor!$A$5:$A$204&lt;&gt;"")*(A_Corridor!$A$5:$A$204&lt;=$B837)*(A_Corridor!$B$5:$B$204&gt;$B837)*(A_Corridor!$F$5:$F$204&lt;&gt;"")),IF(A_Corridor!$F$5:$F$204="-","",1)),"")</f>
        <v/>
      </c>
      <c r="J837" s="182" t="str">
        <f>IFERROR(LOOKUP(2,1/((A_Corridor!$A$5:$A$204&lt;&gt;"")*(A_Corridor!$A$5:$A$204&lt;=$B837)*(A_Corridor!$B$5:$B$204&gt;$B837)*(A_Corridor!$F$5:$F$204&lt;&gt;"")),IF(A_Corridor!$F$5:$F$204="-","",A_Corridor!$F$5:$F$204)),"")</f>
        <v/>
      </c>
      <c r="K837" s="182" t="str">
        <f>IFERROR(LOOKUP(2,1/((A_Corridor!$A$5:$A$204&lt;&gt;"")*(A_Corridor!$A$5:$A$204&lt;=$B837)*(A_Corridor!$B$5:$B$204&gt;$B837)*(A_Corridor!$G$5:$G$204&lt;&gt;"")),IF(A_Corridor!$G$5:$G$204="-","",A_Corridor!$G$5:$G$204)),"")</f>
        <v/>
      </c>
      <c r="L837" s="181" t="str">
        <f>IFERROR(LOOKUP(2,1/((A_Corridor!$A$5:$A$204&lt;&gt;"")*(A_Corridor!$A$5:$A$204&lt;=$B837)*(A_Corridor!$B$5:$B$204&gt;$B837)*(A_Corridor!$H$5:$H$204&lt;&gt;"")),IF(A_Corridor!$H$5:$H$204="-","",1)),"")</f>
        <v/>
      </c>
      <c r="M837" s="182" t="str">
        <f>IFERROR(LOOKUP(2,1/((A_Corridor!$A$5:$A$204&lt;&gt;"")*(A_Corridor!$A$5:$A$204&lt;=$B837)*(A_Corridor!$B$5:$B$204&gt;$B837)*(A_Corridor!$H$5:$H$204&lt;&gt;"")),IF(A_Corridor!$H$5:$H$204="-","",A_Corridor!$H$5:$H$204)),"")</f>
        <v/>
      </c>
      <c r="N837" s="182" t="str">
        <f>IFERROR(LOOKUP(2,1/((A_Corridor!$A$5:$A$204&lt;&gt;"")*(A_Corridor!$A$5:$A$204&lt;=$B837)*(A_Corridor!$B$5:$B$204&gt;$B837)*(A_Corridor!$I$5:$I$204&lt;&gt;"")),IF(A_Corridor!$I$5:$I$204="-","",A_Corridor!$I$5:$I$204)),"")</f>
        <v/>
      </c>
      <c r="O837" s="182" t="str">
        <f>IFERROR(LOOKUP(2,1/((D_Points!$A$5:$A$204&lt;&gt;"")*(D_Points!$A$5:$A$204&gt;=$B837)*(D_Points!$A$5:$A$204&lt;$B837+P_Interval)*(UPPER(TRIM(D_Points!$B$5:$B$204))="PITCHING")*(D_Points!$H$5:$H$204&lt;&gt;"")),D_Points!$H$5:$H$204),"")</f>
        <v/>
      </c>
      <c r="P837" s="181" t="str">
        <f>IFERROR(LOOKUP(2,1/((B_Drainage!$A$5:$A$204&lt;&gt;"")*(B_Drainage!$A$5:$A$204&lt;=$B837)*(B_Drainage!$B$5:$B$204&gt;$B837)*(B_Drainage!$C$5:$C$204&lt;&gt;"")),IF(B_Drainage!$C$5:$C$204="-","",UPPER(B_Drainage!$C$5:$C$204))),"")</f>
        <v/>
      </c>
      <c r="Q837" s="181" t="str">
        <f>IFERROR(LOOKUP(2,1/((B_Drainage!$A$5:$A$204&lt;&gt;"")*(B_Drainage!$A$5:$A$204&lt;=$B837)*(B_Drainage!$B$5:$B$204&gt;$B837)*(B_Drainage!$D$5:$D$204&lt;&gt;"")),IF(B_Drainage!$D$5:$D$204="-","",UPPER(B_Drainage!$D$5:$D$204))),"")</f>
        <v/>
      </c>
      <c r="R837" s="182" t="str">
        <f>IFERROR(LOOKUP(2,1/((D_Points!$A$5:$A$204&lt;&gt;"")*(D_Points!$A$5:$A$204&gt;=$B837)*(D_Points!$A$5:$A$204&lt;$B837+P_Interval)*(RIGHT(UPPER(TRIM(D_Points!$B$5:$B$204)),8)="_CULVERT")),IF(LEFT(UPPER(TRIM(D_Points!$B$5:$B$204)),2)="EX",1,IF(LEFT(UPPER(TRIM(D_Points!$B$5:$B$204)),2)="PR",2,3))),"")</f>
        <v/>
      </c>
      <c r="S837" s="182" t="str">
        <f>IFERROR(LOOKUP(2,1/((D_Points!$A$5:$A$204&lt;&gt;"")*(D_Points!$A$5:$A$204&gt;=$B837)*(D_Points!$A$5:$A$204&lt;$B837+P_Interval)*(RIGHT(UPPER(TRIM(D_Points!$B$5:$B$204)),7)="_BRIDGE")),IF(LEFT(UPPER(TRIM(D_Points!$B$5:$B$204)),2)="EX",1,IF(LEFT(UPPER(TRIM(D_Points!$B$5:$B$204)),2)="PR",2,2))),"")</f>
        <v/>
      </c>
      <c r="T837" s="181" t="str">
        <f>IFERROR(LOOKUP(2,1/((B_Drainage!$A$5:$A$204&lt;&gt;"")*(B_Drainage!$A$5:$A$204&lt;=$B837)*(B_Drainage!$B$5:$B$204&gt;$B837)*(B_Drainage!$E$5:$E$204&lt;&gt;"")),IF(B_Drainage!$E$5:$E$204="-","",1)),"")</f>
        <v/>
      </c>
      <c r="U837" s="181" t="str">
        <f>IFERROR(LOOKUP(2,1/((B_Drainage!$A$5:$A$204&lt;&gt;"")*(B_Drainage!$A$5:$A$204&lt;=$B837)*(B_Drainage!$B$5:$B$204&gt;$B837)*(B_Drainage!$E$5:$E$204&lt;&gt;"")),IF(B_Drainage!$E$5:$E$204="-","",B_Drainage!$E$5:$E$204)),"")</f>
        <v/>
      </c>
      <c r="V837" s="181" t="str">
        <f>IFERROR(LOOKUP(2,1/((B_Drainage!$A$5:$A$204&lt;&gt;"")*(B_Drainage!$A$5:$A$204&lt;=$B837)*(B_Drainage!$B$5:$B$204&gt;$B837)*(B_Drainage!$F$5:$F$204&lt;&gt;"")),IF(B_Drainage!$F$5:$F$204="-","",1)),"")</f>
        <v/>
      </c>
      <c r="W837" s="181" t="str">
        <f>IFERROR(LOOKUP(2,1/((B_Drainage!$A$5:$A$204&lt;&gt;"")*(B_Drainage!$A$5:$A$204&lt;=$B837)*(B_Drainage!$B$5:$B$204&gt;$B837)*(B_Drainage!$F$5:$F$204&lt;&gt;"")),IF(B_Drainage!$F$5:$F$204="-","",B_Drainage!$F$5:$F$204)),"")</f>
        <v/>
      </c>
      <c r="X837" s="181" t="str">
        <f>IFERROR(LOOKUP(2,1/((B_Drainage!$A$5:$A$204&lt;&gt;"")*(B_Drainage!$A$5:$A$204&lt;=$B837)*(B_Drainage!$B$5:$B$204&gt;$B837)*(B_Drainage!$G$5:$G$204&lt;&gt;"")),IF(UPPER(B_Drainage!$G$5:$G$204)="Y",1,"")),"")</f>
        <v/>
      </c>
      <c r="Y837" s="181" t="str">
        <f>IFERROR(LOOKUP(2,1/((B_Drainage!$A$5:$A$204&lt;&gt;"")*(B_Drainage!$A$5:$A$204&lt;=$B837)*(B_Drainage!$B$5:$B$204&gt;$B837)*(B_Drainage!$H$5:$H$204&lt;&gt;"")),IF(UPPER(B_Drainage!$H$5:$H$204)="Y",1,"")),"")</f>
        <v/>
      </c>
      <c r="Z837" s="181" t="str">
        <f>IFERROR(LOOKUP(2,1/((B_Drainage!$A$5:$A$204&lt;&gt;"")*(B_Drainage!$A$5:$A$204&lt;=$B837)*(B_Drainage!$B$5:$B$204&gt;$B837)*(B_Drainage!$I$5:$I$204&lt;&gt;"")),IF(UPPER(B_Drainage!$I$5:$I$204)="Y",1,"")),"")</f>
        <v/>
      </c>
      <c r="AA837" s="181" t="str">
        <f>IFERROR(LOOKUP(2,1/((B_Drainage!$A$5:$A$204&lt;&gt;"")*(B_Drainage!$A$5:$A$204&lt;=$B837)*(B_Drainage!$B$5:$B$204&gt;$B837)*(B_Drainage!$J$5:$J$204&lt;&gt;"")),IF(UPPER(B_Drainage!$J$5:$J$204)="Y",1,"")),"")</f>
        <v/>
      </c>
      <c r="AB837" s="182" t="str">
        <f>IFERROR(LOOKUP(2,1/((B_Drainage!$A$5:$A$204&lt;&gt;"")*(B_Drainage!$A$5:$A$204&lt;=$B837)*(B_Drainage!$B$5:$B$204&gt;$B837)*(B_Drainage!$K$5:$K$204&lt;&gt;"")),IF(B_Drainage!$K$5:$K$204="-","",B_Drainage!$K$5:$K$204)),"")</f>
        <v/>
      </c>
      <c r="AC837" s="182" t="str">
        <f>IFERROR(LOOKUP(2,1/((B_Drainage!$A$5:$A$204&lt;&gt;"")*(B_Drainage!$A$5:$A$204&lt;=$B837)*(B_Drainage!$B$5:$B$204&gt;$B837)*(B_Drainage!$L$5:$L$204&lt;&gt;"")),IF(B_Drainage!$L$5:$L$204="-","",B_Drainage!$L$5:$L$204)),"")</f>
        <v/>
      </c>
      <c r="AD837" s="182" t="str">
        <f>IFERROR(LOOKUP(2,1/((D_Points!$A$5:$A$204&lt;&gt;"")*(D_Points!$A$5:$A$204&gt;=$B837)*(D_Points!$A$5:$A$204&lt;$B837+P_Interval)*(UPPER(TRIM(D_Points!$B$5:$B$204))="TURNOUT_L")*(D_Points!$H$5:$H$204&lt;&gt;"")),D_Points!$H$5:$H$204),"")</f>
        <v/>
      </c>
      <c r="AE837" s="182" t="str">
        <f>IFERROR(LOOKUP(2,1/((D_Points!$A$5:$A$204&lt;&gt;"")*(D_Points!$A$5:$A$204&gt;=$B837)*(D_Points!$A$5:$A$204&lt;$B837+P_Interval)*(UPPER(TRIM(D_Points!$B$5:$B$204))="TURNOUT_R")*(D_Points!$H$5:$H$204&lt;&gt;"")),D_Points!$H$5:$H$204),"")</f>
        <v/>
      </c>
      <c r="AF837" s="181" t="str">
        <f>IFERROR(LOOKUP(2,1/((B_Drainage!$A$5:$A$204&lt;&gt;"")*(B_Drainage!$A$5:$A$204&lt;=$B837)*(B_Drainage!$B$5:$B$204&gt;$B837)*(B_Drainage!$M$5:$M$204&lt;&gt;"")),IF(UPPER(B_Drainage!$M$5:$M$204)="Y",1,"")),"")</f>
        <v/>
      </c>
      <c r="AG837" s="181" t="str">
        <f>IFERROR(LOOKUP(2,1/((B_Drainage!$A$5:$A$204&lt;&gt;"")*(B_Drainage!$A$5:$A$204&lt;=$B837)*(B_Drainage!$B$5:$B$204&gt;$B837)*(B_Drainage!$N$5:$N$204&lt;&gt;"")),IF(UPPER(B_Drainage!$N$5:$N$204)="Y",1,"")),"")</f>
        <v/>
      </c>
      <c r="AH837" s="181" t="str">
        <f t="shared" si="96"/>
        <v/>
      </c>
      <c r="AI837" s="181" t="str">
        <f t="shared" si="97"/>
        <v/>
      </c>
      <c r="AJ837" s="181" t="str">
        <f t="shared" si="98"/>
        <v/>
      </c>
      <c r="AK837" s="181" t="str">
        <f t="shared" si="99"/>
        <v/>
      </c>
      <c r="AL837" s="181" t="str">
        <f t="shared" si="100"/>
        <v/>
      </c>
      <c r="AM837" s="181" t="str">
        <f t="shared" si="101"/>
        <v/>
      </c>
      <c r="AN837" s="181" t="str">
        <f t="shared" si="102"/>
        <v/>
      </c>
      <c r="AO837" s="192" t="str">
        <f t="shared" si="103"/>
        <v/>
      </c>
      <c r="AQ837" t="str">
        <f>IFERROR(LOOKUP(2,1/((C_Pavement!$A$5:$A$204&lt;&gt;"")*(C_Pavement!$A$5:$A$204&lt;=$B837)*(C_Pavement!$B$5:$B$204&gt;$B837)*(C_Pavement!$C$5:$C$204&lt;&gt;"")),ROW(C_Pavement!$C$5:$C$204)-4),"")</f>
        <v/>
      </c>
      <c r="AR837" t="str">
        <f>IF($AQ837="","",UPPER(TRIM(INDEX(C_Pavement!$C$5:$C$204,$AQ837))))</f>
        <v/>
      </c>
      <c r="AS837" t="str">
        <f>IF($AR837="","",IFERROR(MATCH($AR837,E_Rules!$A$5:$A$9,0),""))</f>
        <v/>
      </c>
      <c r="AT837" t="str">
        <f>IF($AQ837="","",IF(INDEX(C_Pavement!$D$5:$D$204,$AQ837)&lt;&gt;"",UPPER(TRIM(INDEX(C_Pavement!$D$5:$D$204,$AQ837))),IF($AS837="","",INDEX(E_Rules!$C$5:$C$9,$AS837))))</f>
        <v/>
      </c>
      <c r="AU837" t="str">
        <f>IF($AQ837="","",IF(INDEX(C_Pavement!$E$5:$E$204,$AQ837)&lt;&gt;"",IF(INDEX(C_Pavement!$E$5:$E$204,$AQ837)="-","",INDEX(C_Pavement!$E$5:$E$204,$AQ837)),IF($AS837="","",INDEX(E_Rules!$D$5:$D$9,$AS837))))</f>
        <v/>
      </c>
      <c r="AV837" t="str">
        <f>IF($AQ837="","",IF(INDEX(C_Pavement!$F$5:$F$204,$AQ837)&lt;&gt;"",IF(INDEX(C_Pavement!$F$5:$F$204,$AQ837)="-","",INDEX(C_Pavement!$F$5:$F$204,$AQ837)),IF($AS837="","",INDEX(E_Rules!$E$5:$E$9,$AS837))))</f>
        <v/>
      </c>
      <c r="AW837" t="str">
        <f>IF($AQ837="","",IF(INDEX(C_Pavement!$G$5:$G$204,$AQ837)&lt;&gt;"",IF(INDEX(C_Pavement!$G$5:$G$204,$AQ837)="-","",INDEX(C_Pavement!$G$5:$G$204,$AQ837)),IF($AS837="","",INDEX(E_Rules!$F$5:$F$9,$AS837))))</f>
        <v/>
      </c>
      <c r="AX837" t="str">
        <f>IF($AQ837="","",IF(INDEX(C_Pavement!$H$5:$H$204,$AQ837)&lt;&gt;"",IF(INDEX(C_Pavement!$H$5:$H$204,$AQ837)="-","",INDEX(C_Pavement!$H$5:$H$204,$AQ837)),IF($AS837="","",INDEX(E_Rules!$G$5:$G$9,$AS837))))</f>
        <v/>
      </c>
      <c r="AY837" t="str">
        <f>IF($AQ837="","",IF(INDEX(C_Pavement!$I$5:$I$204,$AQ837)&lt;&gt;"",IF(INDEX(C_Pavement!$I$5:$I$204,$AQ837)="-","",INDEX(C_Pavement!$I$5:$I$204,$AQ837)),IF($AS837="","",INDEX(E_Rules!$H$5:$H$9,$AS837))))</f>
        <v/>
      </c>
    </row>
    <row r="838" spans="1:51" ht="15.75" customHeight="1" x14ac:dyDescent="0.3">
      <c r="A838" s="189">
        <v>833</v>
      </c>
      <c r="B838" s="180">
        <v>41600</v>
      </c>
      <c r="C838" s="180" t="s">
        <v>1144</v>
      </c>
      <c r="D838" s="181" t="str">
        <f>IFERROR(LOOKUP(2,1/((A_Corridor!$A$5:$A$204&lt;&gt;"")*(A_Corridor!$A$5:$A$204&lt;=$B838)*(A_Corridor!$B$5:$B$204&gt;$B838)*(A_Corridor!$C$5:$C$204&lt;&gt;"")),IF(UPPER(A_Corridor!$C$5:$C$204)="Y",1,"")),"")</f>
        <v/>
      </c>
      <c r="E838" s="181" t="str">
        <f>IFERROR(LOOKUP(2,1/((A_Corridor!$A$5:$A$204&lt;&gt;"")*(A_Corridor!$A$5:$A$204&lt;=$B838)*(A_Corridor!$B$5:$B$204&gt;$B838)*(A_Corridor!$D$5:$D$204&lt;&gt;"")),IF(A_Corridor!$D$5:$D$204="-","",UPPER(A_Corridor!$D$5:$D$204))),"")</f>
        <v/>
      </c>
      <c r="F838" s="181" t="str">
        <f>IFERROR(LOOKUP(2,1/((A_Corridor!$A$5:$A$204&lt;&gt;"")*(A_Corridor!$A$5:$A$204&lt;=$B838)*(A_Corridor!$B$5:$B$204&gt;$B838)*(A_Corridor!$E$5:$E$204&lt;&gt;"")),IF(A_Corridor!$E$5:$E$204="-","",1)),"")</f>
        <v/>
      </c>
      <c r="G838" s="182" t="str">
        <f>IFERROR(LOOKUP(2,1/((A_Corridor!$A$5:$A$204&lt;&gt;"")*(A_Corridor!$A$5:$A$204&lt;=$B838)*(A_Corridor!$B$5:$B$204&gt;$B838)*(A_Corridor!$E$5:$E$204&lt;&gt;"")),IF(A_Corridor!$E$5:$E$204="-","",A_Corridor!$E$5:$E$204)),"")</f>
        <v/>
      </c>
      <c r="H838" s="182" t="str">
        <f>IFERROR(LOOKUP(2,1/((D_Points!$A$5:$A$204&lt;&gt;"")*(D_Points!$A$5:$A$204&gt;=$B838)*(D_Points!$A$5:$A$204&lt;$B838+P_Interval)*(UPPER(TRIM(D_Points!$B$5:$B$204))="GULLY")*(D_Points!$H$5:$H$204&lt;&gt;"")),D_Points!$H$5:$H$204),"")</f>
        <v/>
      </c>
      <c r="I838" s="181" t="str">
        <f>IFERROR(LOOKUP(2,1/((A_Corridor!$A$5:$A$204&lt;&gt;"")*(A_Corridor!$A$5:$A$204&lt;=$B838)*(A_Corridor!$B$5:$B$204&gt;$B838)*(A_Corridor!$F$5:$F$204&lt;&gt;"")),IF(A_Corridor!$F$5:$F$204="-","",1)),"")</f>
        <v/>
      </c>
      <c r="J838" s="182" t="str">
        <f>IFERROR(LOOKUP(2,1/((A_Corridor!$A$5:$A$204&lt;&gt;"")*(A_Corridor!$A$5:$A$204&lt;=$B838)*(A_Corridor!$B$5:$B$204&gt;$B838)*(A_Corridor!$F$5:$F$204&lt;&gt;"")),IF(A_Corridor!$F$5:$F$204="-","",A_Corridor!$F$5:$F$204)),"")</f>
        <v/>
      </c>
      <c r="K838" s="182" t="str">
        <f>IFERROR(LOOKUP(2,1/((A_Corridor!$A$5:$A$204&lt;&gt;"")*(A_Corridor!$A$5:$A$204&lt;=$B838)*(A_Corridor!$B$5:$B$204&gt;$B838)*(A_Corridor!$G$5:$G$204&lt;&gt;"")),IF(A_Corridor!$G$5:$G$204="-","",A_Corridor!$G$5:$G$204)),"")</f>
        <v/>
      </c>
      <c r="L838" s="181" t="str">
        <f>IFERROR(LOOKUP(2,1/((A_Corridor!$A$5:$A$204&lt;&gt;"")*(A_Corridor!$A$5:$A$204&lt;=$B838)*(A_Corridor!$B$5:$B$204&gt;$B838)*(A_Corridor!$H$5:$H$204&lt;&gt;"")),IF(A_Corridor!$H$5:$H$204="-","",1)),"")</f>
        <v/>
      </c>
      <c r="M838" s="182" t="str">
        <f>IFERROR(LOOKUP(2,1/((A_Corridor!$A$5:$A$204&lt;&gt;"")*(A_Corridor!$A$5:$A$204&lt;=$B838)*(A_Corridor!$B$5:$B$204&gt;$B838)*(A_Corridor!$H$5:$H$204&lt;&gt;"")),IF(A_Corridor!$H$5:$H$204="-","",A_Corridor!$H$5:$H$204)),"")</f>
        <v/>
      </c>
      <c r="N838" s="182" t="str">
        <f>IFERROR(LOOKUP(2,1/((A_Corridor!$A$5:$A$204&lt;&gt;"")*(A_Corridor!$A$5:$A$204&lt;=$B838)*(A_Corridor!$B$5:$B$204&gt;$B838)*(A_Corridor!$I$5:$I$204&lt;&gt;"")),IF(A_Corridor!$I$5:$I$204="-","",A_Corridor!$I$5:$I$204)),"")</f>
        <v/>
      </c>
      <c r="O838" s="182" t="str">
        <f>IFERROR(LOOKUP(2,1/((D_Points!$A$5:$A$204&lt;&gt;"")*(D_Points!$A$5:$A$204&gt;=$B838)*(D_Points!$A$5:$A$204&lt;$B838+P_Interval)*(UPPER(TRIM(D_Points!$B$5:$B$204))="PITCHING")*(D_Points!$H$5:$H$204&lt;&gt;"")),D_Points!$H$5:$H$204),"")</f>
        <v/>
      </c>
      <c r="P838" s="181" t="str">
        <f>IFERROR(LOOKUP(2,1/((B_Drainage!$A$5:$A$204&lt;&gt;"")*(B_Drainage!$A$5:$A$204&lt;=$B838)*(B_Drainage!$B$5:$B$204&gt;$B838)*(B_Drainage!$C$5:$C$204&lt;&gt;"")),IF(B_Drainage!$C$5:$C$204="-","",UPPER(B_Drainage!$C$5:$C$204))),"")</f>
        <v/>
      </c>
      <c r="Q838" s="181" t="str">
        <f>IFERROR(LOOKUP(2,1/((B_Drainage!$A$5:$A$204&lt;&gt;"")*(B_Drainage!$A$5:$A$204&lt;=$B838)*(B_Drainage!$B$5:$B$204&gt;$B838)*(B_Drainage!$D$5:$D$204&lt;&gt;"")),IF(B_Drainage!$D$5:$D$204="-","",UPPER(B_Drainage!$D$5:$D$204))),"")</f>
        <v/>
      </c>
      <c r="R838" s="182" t="str">
        <f>IFERROR(LOOKUP(2,1/((D_Points!$A$5:$A$204&lt;&gt;"")*(D_Points!$A$5:$A$204&gt;=$B838)*(D_Points!$A$5:$A$204&lt;$B838+P_Interval)*(RIGHT(UPPER(TRIM(D_Points!$B$5:$B$204)),8)="_CULVERT")),IF(LEFT(UPPER(TRIM(D_Points!$B$5:$B$204)),2)="EX",1,IF(LEFT(UPPER(TRIM(D_Points!$B$5:$B$204)),2)="PR",2,3))),"")</f>
        <v/>
      </c>
      <c r="S838" s="182" t="str">
        <f>IFERROR(LOOKUP(2,1/((D_Points!$A$5:$A$204&lt;&gt;"")*(D_Points!$A$5:$A$204&gt;=$B838)*(D_Points!$A$5:$A$204&lt;$B838+P_Interval)*(RIGHT(UPPER(TRIM(D_Points!$B$5:$B$204)),7)="_BRIDGE")),IF(LEFT(UPPER(TRIM(D_Points!$B$5:$B$204)),2)="EX",1,IF(LEFT(UPPER(TRIM(D_Points!$B$5:$B$204)),2)="PR",2,2))),"")</f>
        <v/>
      </c>
      <c r="T838" s="181" t="str">
        <f>IFERROR(LOOKUP(2,1/((B_Drainage!$A$5:$A$204&lt;&gt;"")*(B_Drainage!$A$5:$A$204&lt;=$B838)*(B_Drainage!$B$5:$B$204&gt;$B838)*(B_Drainage!$E$5:$E$204&lt;&gt;"")),IF(B_Drainage!$E$5:$E$204="-","",1)),"")</f>
        <v/>
      </c>
      <c r="U838" s="181" t="str">
        <f>IFERROR(LOOKUP(2,1/((B_Drainage!$A$5:$A$204&lt;&gt;"")*(B_Drainage!$A$5:$A$204&lt;=$B838)*(B_Drainage!$B$5:$B$204&gt;$B838)*(B_Drainage!$E$5:$E$204&lt;&gt;"")),IF(B_Drainage!$E$5:$E$204="-","",B_Drainage!$E$5:$E$204)),"")</f>
        <v/>
      </c>
      <c r="V838" s="181" t="str">
        <f>IFERROR(LOOKUP(2,1/((B_Drainage!$A$5:$A$204&lt;&gt;"")*(B_Drainage!$A$5:$A$204&lt;=$B838)*(B_Drainage!$B$5:$B$204&gt;$B838)*(B_Drainage!$F$5:$F$204&lt;&gt;"")),IF(B_Drainage!$F$5:$F$204="-","",1)),"")</f>
        <v/>
      </c>
      <c r="W838" s="181" t="str">
        <f>IFERROR(LOOKUP(2,1/((B_Drainage!$A$5:$A$204&lt;&gt;"")*(B_Drainage!$A$5:$A$204&lt;=$B838)*(B_Drainage!$B$5:$B$204&gt;$B838)*(B_Drainage!$F$5:$F$204&lt;&gt;"")),IF(B_Drainage!$F$5:$F$204="-","",B_Drainage!$F$5:$F$204)),"")</f>
        <v/>
      </c>
      <c r="X838" s="181" t="str">
        <f>IFERROR(LOOKUP(2,1/((B_Drainage!$A$5:$A$204&lt;&gt;"")*(B_Drainage!$A$5:$A$204&lt;=$B838)*(B_Drainage!$B$5:$B$204&gt;$B838)*(B_Drainage!$G$5:$G$204&lt;&gt;"")),IF(UPPER(B_Drainage!$G$5:$G$204)="Y",1,"")),"")</f>
        <v/>
      </c>
      <c r="Y838" s="181" t="str">
        <f>IFERROR(LOOKUP(2,1/((B_Drainage!$A$5:$A$204&lt;&gt;"")*(B_Drainage!$A$5:$A$204&lt;=$B838)*(B_Drainage!$B$5:$B$204&gt;$B838)*(B_Drainage!$H$5:$H$204&lt;&gt;"")),IF(UPPER(B_Drainage!$H$5:$H$204)="Y",1,"")),"")</f>
        <v/>
      </c>
      <c r="Z838" s="181" t="str">
        <f>IFERROR(LOOKUP(2,1/((B_Drainage!$A$5:$A$204&lt;&gt;"")*(B_Drainage!$A$5:$A$204&lt;=$B838)*(B_Drainage!$B$5:$B$204&gt;$B838)*(B_Drainage!$I$5:$I$204&lt;&gt;"")),IF(UPPER(B_Drainage!$I$5:$I$204)="Y",1,"")),"")</f>
        <v/>
      </c>
      <c r="AA838" s="181" t="str">
        <f>IFERROR(LOOKUP(2,1/((B_Drainage!$A$5:$A$204&lt;&gt;"")*(B_Drainage!$A$5:$A$204&lt;=$B838)*(B_Drainage!$B$5:$B$204&gt;$B838)*(B_Drainage!$J$5:$J$204&lt;&gt;"")),IF(UPPER(B_Drainage!$J$5:$J$204)="Y",1,"")),"")</f>
        <v/>
      </c>
      <c r="AB838" s="182" t="str">
        <f>IFERROR(LOOKUP(2,1/((B_Drainage!$A$5:$A$204&lt;&gt;"")*(B_Drainage!$A$5:$A$204&lt;=$B838)*(B_Drainage!$B$5:$B$204&gt;$B838)*(B_Drainage!$K$5:$K$204&lt;&gt;"")),IF(B_Drainage!$K$5:$K$204="-","",B_Drainage!$K$5:$K$204)),"")</f>
        <v/>
      </c>
      <c r="AC838" s="182" t="str">
        <f>IFERROR(LOOKUP(2,1/((B_Drainage!$A$5:$A$204&lt;&gt;"")*(B_Drainage!$A$5:$A$204&lt;=$B838)*(B_Drainage!$B$5:$B$204&gt;$B838)*(B_Drainage!$L$5:$L$204&lt;&gt;"")),IF(B_Drainage!$L$5:$L$204="-","",B_Drainage!$L$5:$L$204)),"")</f>
        <v/>
      </c>
      <c r="AD838" s="182" t="str">
        <f>IFERROR(LOOKUP(2,1/((D_Points!$A$5:$A$204&lt;&gt;"")*(D_Points!$A$5:$A$204&gt;=$B838)*(D_Points!$A$5:$A$204&lt;$B838+P_Interval)*(UPPER(TRIM(D_Points!$B$5:$B$204))="TURNOUT_L")*(D_Points!$H$5:$H$204&lt;&gt;"")),D_Points!$H$5:$H$204),"")</f>
        <v/>
      </c>
      <c r="AE838" s="182" t="str">
        <f>IFERROR(LOOKUP(2,1/((D_Points!$A$5:$A$204&lt;&gt;"")*(D_Points!$A$5:$A$204&gt;=$B838)*(D_Points!$A$5:$A$204&lt;$B838+P_Interval)*(UPPER(TRIM(D_Points!$B$5:$B$204))="TURNOUT_R")*(D_Points!$H$5:$H$204&lt;&gt;"")),D_Points!$H$5:$H$204),"")</f>
        <v/>
      </c>
      <c r="AF838" s="181" t="str">
        <f>IFERROR(LOOKUP(2,1/((B_Drainage!$A$5:$A$204&lt;&gt;"")*(B_Drainage!$A$5:$A$204&lt;=$B838)*(B_Drainage!$B$5:$B$204&gt;$B838)*(B_Drainage!$M$5:$M$204&lt;&gt;"")),IF(UPPER(B_Drainage!$M$5:$M$204)="Y",1,"")),"")</f>
        <v/>
      </c>
      <c r="AG838" s="181" t="str">
        <f>IFERROR(LOOKUP(2,1/((B_Drainage!$A$5:$A$204&lt;&gt;"")*(B_Drainage!$A$5:$A$204&lt;=$B838)*(B_Drainage!$B$5:$B$204&gt;$B838)*(B_Drainage!$N$5:$N$204&lt;&gt;"")),IF(UPPER(B_Drainage!$N$5:$N$204)="Y",1,"")),"")</f>
        <v/>
      </c>
      <c r="AH838" s="181" t="str">
        <f t="shared" ref="AH838:AH901" si="104">IF($AT838="BLADE",1,"")</f>
        <v/>
      </c>
      <c r="AI838" s="181" t="str">
        <f t="shared" ref="AI838:AI901" si="105">IF($AT838="RESHAPE",1,"")</f>
        <v/>
      </c>
      <c r="AJ838" s="181" t="str">
        <f t="shared" ref="AJ838:AJ901" si="106">IF($AT838="SCARIFY",1,"")</f>
        <v/>
      </c>
      <c r="AK838" s="181" t="str">
        <f t="shared" ref="AK838:AK901" si="107">$AU838</f>
        <v/>
      </c>
      <c r="AL838" s="181" t="str">
        <f t="shared" ref="AL838:AL901" si="108">$AV838</f>
        <v/>
      </c>
      <c r="AM838" s="181" t="str">
        <f t="shared" ref="AM838:AM901" si="109">IF(OR(UPPER($AW838)="Y",$AW838=1),1,"")</f>
        <v/>
      </c>
      <c r="AN838" s="181" t="str">
        <f t="shared" ref="AN838:AN901" si="110">IF(OR(UPPER($AX838)="Y",$AX838=1),1,"")</f>
        <v/>
      </c>
      <c r="AO838" s="192" t="str">
        <f t="shared" ref="AO838:AO901" si="111">IF(OR(UPPER($AY838)="Y",$AY838=1),1,"")</f>
        <v/>
      </c>
      <c r="AQ838" t="str">
        <f>IFERROR(LOOKUP(2,1/((C_Pavement!$A$5:$A$204&lt;&gt;"")*(C_Pavement!$A$5:$A$204&lt;=$B838)*(C_Pavement!$B$5:$B$204&gt;$B838)*(C_Pavement!$C$5:$C$204&lt;&gt;"")),ROW(C_Pavement!$C$5:$C$204)-4),"")</f>
        <v/>
      </c>
      <c r="AR838" t="str">
        <f>IF($AQ838="","",UPPER(TRIM(INDEX(C_Pavement!$C$5:$C$204,$AQ838))))</f>
        <v/>
      </c>
      <c r="AS838" t="str">
        <f>IF($AR838="","",IFERROR(MATCH($AR838,E_Rules!$A$5:$A$9,0),""))</f>
        <v/>
      </c>
      <c r="AT838" t="str">
        <f>IF($AQ838="","",IF(INDEX(C_Pavement!$D$5:$D$204,$AQ838)&lt;&gt;"",UPPER(TRIM(INDEX(C_Pavement!$D$5:$D$204,$AQ838))),IF($AS838="","",INDEX(E_Rules!$C$5:$C$9,$AS838))))</f>
        <v/>
      </c>
      <c r="AU838" t="str">
        <f>IF($AQ838="","",IF(INDEX(C_Pavement!$E$5:$E$204,$AQ838)&lt;&gt;"",IF(INDEX(C_Pavement!$E$5:$E$204,$AQ838)="-","",INDEX(C_Pavement!$E$5:$E$204,$AQ838)),IF($AS838="","",INDEX(E_Rules!$D$5:$D$9,$AS838))))</f>
        <v/>
      </c>
      <c r="AV838" t="str">
        <f>IF($AQ838="","",IF(INDEX(C_Pavement!$F$5:$F$204,$AQ838)&lt;&gt;"",IF(INDEX(C_Pavement!$F$5:$F$204,$AQ838)="-","",INDEX(C_Pavement!$F$5:$F$204,$AQ838)),IF($AS838="","",INDEX(E_Rules!$E$5:$E$9,$AS838))))</f>
        <v/>
      </c>
      <c r="AW838" t="str">
        <f>IF($AQ838="","",IF(INDEX(C_Pavement!$G$5:$G$204,$AQ838)&lt;&gt;"",IF(INDEX(C_Pavement!$G$5:$G$204,$AQ838)="-","",INDEX(C_Pavement!$G$5:$G$204,$AQ838)),IF($AS838="","",INDEX(E_Rules!$F$5:$F$9,$AS838))))</f>
        <v/>
      </c>
      <c r="AX838" t="str">
        <f>IF($AQ838="","",IF(INDEX(C_Pavement!$H$5:$H$204,$AQ838)&lt;&gt;"",IF(INDEX(C_Pavement!$H$5:$H$204,$AQ838)="-","",INDEX(C_Pavement!$H$5:$H$204,$AQ838)),IF($AS838="","",INDEX(E_Rules!$G$5:$G$9,$AS838))))</f>
        <v/>
      </c>
      <c r="AY838" t="str">
        <f>IF($AQ838="","",IF(INDEX(C_Pavement!$I$5:$I$204,$AQ838)&lt;&gt;"",IF(INDEX(C_Pavement!$I$5:$I$204,$AQ838)="-","",INDEX(C_Pavement!$I$5:$I$204,$AQ838)),IF($AS838="","",INDEX(E_Rules!$H$5:$H$9,$AS838))))</f>
        <v/>
      </c>
    </row>
    <row r="839" spans="1:51" ht="15.75" customHeight="1" x14ac:dyDescent="0.3">
      <c r="A839" s="189">
        <v>834</v>
      </c>
      <c r="B839" s="180">
        <v>41650</v>
      </c>
      <c r="C839" s="180" t="s">
        <v>1145</v>
      </c>
      <c r="D839" s="181" t="str">
        <f>IFERROR(LOOKUP(2,1/((A_Corridor!$A$5:$A$204&lt;&gt;"")*(A_Corridor!$A$5:$A$204&lt;=$B839)*(A_Corridor!$B$5:$B$204&gt;$B839)*(A_Corridor!$C$5:$C$204&lt;&gt;"")),IF(UPPER(A_Corridor!$C$5:$C$204)="Y",1,"")),"")</f>
        <v/>
      </c>
      <c r="E839" s="181" t="str">
        <f>IFERROR(LOOKUP(2,1/((A_Corridor!$A$5:$A$204&lt;&gt;"")*(A_Corridor!$A$5:$A$204&lt;=$B839)*(A_Corridor!$B$5:$B$204&gt;$B839)*(A_Corridor!$D$5:$D$204&lt;&gt;"")),IF(A_Corridor!$D$5:$D$204="-","",UPPER(A_Corridor!$D$5:$D$204))),"")</f>
        <v/>
      </c>
      <c r="F839" s="181" t="str">
        <f>IFERROR(LOOKUP(2,1/((A_Corridor!$A$5:$A$204&lt;&gt;"")*(A_Corridor!$A$5:$A$204&lt;=$B839)*(A_Corridor!$B$5:$B$204&gt;$B839)*(A_Corridor!$E$5:$E$204&lt;&gt;"")),IF(A_Corridor!$E$5:$E$204="-","",1)),"")</f>
        <v/>
      </c>
      <c r="G839" s="182" t="str">
        <f>IFERROR(LOOKUP(2,1/((A_Corridor!$A$5:$A$204&lt;&gt;"")*(A_Corridor!$A$5:$A$204&lt;=$B839)*(A_Corridor!$B$5:$B$204&gt;$B839)*(A_Corridor!$E$5:$E$204&lt;&gt;"")),IF(A_Corridor!$E$5:$E$204="-","",A_Corridor!$E$5:$E$204)),"")</f>
        <v/>
      </c>
      <c r="H839" s="182" t="str">
        <f>IFERROR(LOOKUP(2,1/((D_Points!$A$5:$A$204&lt;&gt;"")*(D_Points!$A$5:$A$204&gt;=$B839)*(D_Points!$A$5:$A$204&lt;$B839+P_Interval)*(UPPER(TRIM(D_Points!$B$5:$B$204))="GULLY")*(D_Points!$H$5:$H$204&lt;&gt;"")),D_Points!$H$5:$H$204),"")</f>
        <v/>
      </c>
      <c r="I839" s="181" t="str">
        <f>IFERROR(LOOKUP(2,1/((A_Corridor!$A$5:$A$204&lt;&gt;"")*(A_Corridor!$A$5:$A$204&lt;=$B839)*(A_Corridor!$B$5:$B$204&gt;$B839)*(A_Corridor!$F$5:$F$204&lt;&gt;"")),IF(A_Corridor!$F$5:$F$204="-","",1)),"")</f>
        <v/>
      </c>
      <c r="J839" s="182" t="str">
        <f>IFERROR(LOOKUP(2,1/((A_Corridor!$A$5:$A$204&lt;&gt;"")*(A_Corridor!$A$5:$A$204&lt;=$B839)*(A_Corridor!$B$5:$B$204&gt;$B839)*(A_Corridor!$F$5:$F$204&lt;&gt;"")),IF(A_Corridor!$F$5:$F$204="-","",A_Corridor!$F$5:$F$204)),"")</f>
        <v/>
      </c>
      <c r="K839" s="182" t="str">
        <f>IFERROR(LOOKUP(2,1/((A_Corridor!$A$5:$A$204&lt;&gt;"")*(A_Corridor!$A$5:$A$204&lt;=$B839)*(A_Corridor!$B$5:$B$204&gt;$B839)*(A_Corridor!$G$5:$G$204&lt;&gt;"")),IF(A_Corridor!$G$5:$G$204="-","",A_Corridor!$G$5:$G$204)),"")</f>
        <v/>
      </c>
      <c r="L839" s="181" t="str">
        <f>IFERROR(LOOKUP(2,1/((A_Corridor!$A$5:$A$204&lt;&gt;"")*(A_Corridor!$A$5:$A$204&lt;=$B839)*(A_Corridor!$B$5:$B$204&gt;$B839)*(A_Corridor!$H$5:$H$204&lt;&gt;"")),IF(A_Corridor!$H$5:$H$204="-","",1)),"")</f>
        <v/>
      </c>
      <c r="M839" s="182" t="str">
        <f>IFERROR(LOOKUP(2,1/((A_Corridor!$A$5:$A$204&lt;&gt;"")*(A_Corridor!$A$5:$A$204&lt;=$B839)*(A_Corridor!$B$5:$B$204&gt;$B839)*(A_Corridor!$H$5:$H$204&lt;&gt;"")),IF(A_Corridor!$H$5:$H$204="-","",A_Corridor!$H$5:$H$204)),"")</f>
        <v/>
      </c>
      <c r="N839" s="182" t="str">
        <f>IFERROR(LOOKUP(2,1/((A_Corridor!$A$5:$A$204&lt;&gt;"")*(A_Corridor!$A$5:$A$204&lt;=$B839)*(A_Corridor!$B$5:$B$204&gt;$B839)*(A_Corridor!$I$5:$I$204&lt;&gt;"")),IF(A_Corridor!$I$5:$I$204="-","",A_Corridor!$I$5:$I$204)),"")</f>
        <v/>
      </c>
      <c r="O839" s="182" t="str">
        <f>IFERROR(LOOKUP(2,1/((D_Points!$A$5:$A$204&lt;&gt;"")*(D_Points!$A$5:$A$204&gt;=$B839)*(D_Points!$A$5:$A$204&lt;$B839+P_Interval)*(UPPER(TRIM(D_Points!$B$5:$B$204))="PITCHING")*(D_Points!$H$5:$H$204&lt;&gt;"")),D_Points!$H$5:$H$204),"")</f>
        <v/>
      </c>
      <c r="P839" s="181" t="str">
        <f>IFERROR(LOOKUP(2,1/((B_Drainage!$A$5:$A$204&lt;&gt;"")*(B_Drainage!$A$5:$A$204&lt;=$B839)*(B_Drainage!$B$5:$B$204&gt;$B839)*(B_Drainage!$C$5:$C$204&lt;&gt;"")),IF(B_Drainage!$C$5:$C$204="-","",UPPER(B_Drainage!$C$5:$C$204))),"")</f>
        <v/>
      </c>
      <c r="Q839" s="181" t="str">
        <f>IFERROR(LOOKUP(2,1/((B_Drainage!$A$5:$A$204&lt;&gt;"")*(B_Drainage!$A$5:$A$204&lt;=$B839)*(B_Drainage!$B$5:$B$204&gt;$B839)*(B_Drainage!$D$5:$D$204&lt;&gt;"")),IF(B_Drainage!$D$5:$D$204="-","",UPPER(B_Drainage!$D$5:$D$204))),"")</f>
        <v/>
      </c>
      <c r="R839" s="182" t="str">
        <f>IFERROR(LOOKUP(2,1/((D_Points!$A$5:$A$204&lt;&gt;"")*(D_Points!$A$5:$A$204&gt;=$B839)*(D_Points!$A$5:$A$204&lt;$B839+P_Interval)*(RIGHT(UPPER(TRIM(D_Points!$B$5:$B$204)),8)="_CULVERT")),IF(LEFT(UPPER(TRIM(D_Points!$B$5:$B$204)),2)="EX",1,IF(LEFT(UPPER(TRIM(D_Points!$B$5:$B$204)),2)="PR",2,3))),"")</f>
        <v/>
      </c>
      <c r="S839" s="182" t="str">
        <f>IFERROR(LOOKUP(2,1/((D_Points!$A$5:$A$204&lt;&gt;"")*(D_Points!$A$5:$A$204&gt;=$B839)*(D_Points!$A$5:$A$204&lt;$B839+P_Interval)*(RIGHT(UPPER(TRIM(D_Points!$B$5:$B$204)),7)="_BRIDGE")),IF(LEFT(UPPER(TRIM(D_Points!$B$5:$B$204)),2)="EX",1,IF(LEFT(UPPER(TRIM(D_Points!$B$5:$B$204)),2)="PR",2,2))),"")</f>
        <v/>
      </c>
      <c r="T839" s="181" t="str">
        <f>IFERROR(LOOKUP(2,1/((B_Drainage!$A$5:$A$204&lt;&gt;"")*(B_Drainage!$A$5:$A$204&lt;=$B839)*(B_Drainage!$B$5:$B$204&gt;$B839)*(B_Drainage!$E$5:$E$204&lt;&gt;"")),IF(B_Drainage!$E$5:$E$204="-","",1)),"")</f>
        <v/>
      </c>
      <c r="U839" s="181" t="str">
        <f>IFERROR(LOOKUP(2,1/((B_Drainage!$A$5:$A$204&lt;&gt;"")*(B_Drainage!$A$5:$A$204&lt;=$B839)*(B_Drainage!$B$5:$B$204&gt;$B839)*(B_Drainage!$E$5:$E$204&lt;&gt;"")),IF(B_Drainage!$E$5:$E$204="-","",B_Drainage!$E$5:$E$204)),"")</f>
        <v/>
      </c>
      <c r="V839" s="181" t="str">
        <f>IFERROR(LOOKUP(2,1/((B_Drainage!$A$5:$A$204&lt;&gt;"")*(B_Drainage!$A$5:$A$204&lt;=$B839)*(B_Drainage!$B$5:$B$204&gt;$B839)*(B_Drainage!$F$5:$F$204&lt;&gt;"")),IF(B_Drainage!$F$5:$F$204="-","",1)),"")</f>
        <v/>
      </c>
      <c r="W839" s="181" t="str">
        <f>IFERROR(LOOKUP(2,1/((B_Drainage!$A$5:$A$204&lt;&gt;"")*(B_Drainage!$A$5:$A$204&lt;=$B839)*(B_Drainage!$B$5:$B$204&gt;$B839)*(B_Drainage!$F$5:$F$204&lt;&gt;"")),IF(B_Drainage!$F$5:$F$204="-","",B_Drainage!$F$5:$F$204)),"")</f>
        <v/>
      </c>
      <c r="X839" s="181" t="str">
        <f>IFERROR(LOOKUP(2,1/((B_Drainage!$A$5:$A$204&lt;&gt;"")*(B_Drainage!$A$5:$A$204&lt;=$B839)*(B_Drainage!$B$5:$B$204&gt;$B839)*(B_Drainage!$G$5:$G$204&lt;&gt;"")),IF(UPPER(B_Drainage!$G$5:$G$204)="Y",1,"")),"")</f>
        <v/>
      </c>
      <c r="Y839" s="181" t="str">
        <f>IFERROR(LOOKUP(2,1/((B_Drainage!$A$5:$A$204&lt;&gt;"")*(B_Drainage!$A$5:$A$204&lt;=$B839)*(B_Drainage!$B$5:$B$204&gt;$B839)*(B_Drainage!$H$5:$H$204&lt;&gt;"")),IF(UPPER(B_Drainage!$H$5:$H$204)="Y",1,"")),"")</f>
        <v/>
      </c>
      <c r="Z839" s="181" t="str">
        <f>IFERROR(LOOKUP(2,1/((B_Drainage!$A$5:$A$204&lt;&gt;"")*(B_Drainage!$A$5:$A$204&lt;=$B839)*(B_Drainage!$B$5:$B$204&gt;$B839)*(B_Drainage!$I$5:$I$204&lt;&gt;"")),IF(UPPER(B_Drainage!$I$5:$I$204)="Y",1,"")),"")</f>
        <v/>
      </c>
      <c r="AA839" s="181" t="str">
        <f>IFERROR(LOOKUP(2,1/((B_Drainage!$A$5:$A$204&lt;&gt;"")*(B_Drainage!$A$5:$A$204&lt;=$B839)*(B_Drainage!$B$5:$B$204&gt;$B839)*(B_Drainage!$J$5:$J$204&lt;&gt;"")),IF(UPPER(B_Drainage!$J$5:$J$204)="Y",1,"")),"")</f>
        <v/>
      </c>
      <c r="AB839" s="182" t="str">
        <f>IFERROR(LOOKUP(2,1/((B_Drainage!$A$5:$A$204&lt;&gt;"")*(B_Drainage!$A$5:$A$204&lt;=$B839)*(B_Drainage!$B$5:$B$204&gt;$B839)*(B_Drainage!$K$5:$K$204&lt;&gt;"")),IF(B_Drainage!$K$5:$K$204="-","",B_Drainage!$K$5:$K$204)),"")</f>
        <v/>
      </c>
      <c r="AC839" s="182" t="str">
        <f>IFERROR(LOOKUP(2,1/((B_Drainage!$A$5:$A$204&lt;&gt;"")*(B_Drainage!$A$5:$A$204&lt;=$B839)*(B_Drainage!$B$5:$B$204&gt;$B839)*(B_Drainage!$L$5:$L$204&lt;&gt;"")),IF(B_Drainage!$L$5:$L$204="-","",B_Drainage!$L$5:$L$204)),"")</f>
        <v/>
      </c>
      <c r="AD839" s="182" t="str">
        <f>IFERROR(LOOKUP(2,1/((D_Points!$A$5:$A$204&lt;&gt;"")*(D_Points!$A$5:$A$204&gt;=$B839)*(D_Points!$A$5:$A$204&lt;$B839+P_Interval)*(UPPER(TRIM(D_Points!$B$5:$B$204))="TURNOUT_L")*(D_Points!$H$5:$H$204&lt;&gt;"")),D_Points!$H$5:$H$204),"")</f>
        <v/>
      </c>
      <c r="AE839" s="182" t="str">
        <f>IFERROR(LOOKUP(2,1/((D_Points!$A$5:$A$204&lt;&gt;"")*(D_Points!$A$5:$A$204&gt;=$B839)*(D_Points!$A$5:$A$204&lt;$B839+P_Interval)*(UPPER(TRIM(D_Points!$B$5:$B$204))="TURNOUT_R")*(D_Points!$H$5:$H$204&lt;&gt;"")),D_Points!$H$5:$H$204),"")</f>
        <v/>
      </c>
      <c r="AF839" s="181" t="str">
        <f>IFERROR(LOOKUP(2,1/((B_Drainage!$A$5:$A$204&lt;&gt;"")*(B_Drainage!$A$5:$A$204&lt;=$B839)*(B_Drainage!$B$5:$B$204&gt;$B839)*(B_Drainage!$M$5:$M$204&lt;&gt;"")),IF(UPPER(B_Drainage!$M$5:$M$204)="Y",1,"")),"")</f>
        <v/>
      </c>
      <c r="AG839" s="181" t="str">
        <f>IFERROR(LOOKUP(2,1/((B_Drainage!$A$5:$A$204&lt;&gt;"")*(B_Drainage!$A$5:$A$204&lt;=$B839)*(B_Drainage!$B$5:$B$204&gt;$B839)*(B_Drainage!$N$5:$N$204&lt;&gt;"")),IF(UPPER(B_Drainage!$N$5:$N$204)="Y",1,"")),"")</f>
        <v/>
      </c>
      <c r="AH839" s="181" t="str">
        <f t="shared" si="104"/>
        <v/>
      </c>
      <c r="AI839" s="181" t="str">
        <f t="shared" si="105"/>
        <v/>
      </c>
      <c r="AJ839" s="181" t="str">
        <f t="shared" si="106"/>
        <v/>
      </c>
      <c r="AK839" s="181" t="str">
        <f t="shared" si="107"/>
        <v/>
      </c>
      <c r="AL839" s="181" t="str">
        <f t="shared" si="108"/>
        <v/>
      </c>
      <c r="AM839" s="181" t="str">
        <f t="shared" si="109"/>
        <v/>
      </c>
      <c r="AN839" s="181" t="str">
        <f t="shared" si="110"/>
        <v/>
      </c>
      <c r="AO839" s="192" t="str">
        <f t="shared" si="111"/>
        <v/>
      </c>
      <c r="AQ839" t="str">
        <f>IFERROR(LOOKUP(2,1/((C_Pavement!$A$5:$A$204&lt;&gt;"")*(C_Pavement!$A$5:$A$204&lt;=$B839)*(C_Pavement!$B$5:$B$204&gt;$B839)*(C_Pavement!$C$5:$C$204&lt;&gt;"")),ROW(C_Pavement!$C$5:$C$204)-4),"")</f>
        <v/>
      </c>
      <c r="AR839" t="str">
        <f>IF($AQ839="","",UPPER(TRIM(INDEX(C_Pavement!$C$5:$C$204,$AQ839))))</f>
        <v/>
      </c>
      <c r="AS839" t="str">
        <f>IF($AR839="","",IFERROR(MATCH($AR839,E_Rules!$A$5:$A$9,0),""))</f>
        <v/>
      </c>
      <c r="AT839" t="str">
        <f>IF($AQ839="","",IF(INDEX(C_Pavement!$D$5:$D$204,$AQ839)&lt;&gt;"",UPPER(TRIM(INDEX(C_Pavement!$D$5:$D$204,$AQ839))),IF($AS839="","",INDEX(E_Rules!$C$5:$C$9,$AS839))))</f>
        <v/>
      </c>
      <c r="AU839" t="str">
        <f>IF($AQ839="","",IF(INDEX(C_Pavement!$E$5:$E$204,$AQ839)&lt;&gt;"",IF(INDEX(C_Pavement!$E$5:$E$204,$AQ839)="-","",INDEX(C_Pavement!$E$5:$E$204,$AQ839)),IF($AS839="","",INDEX(E_Rules!$D$5:$D$9,$AS839))))</f>
        <v/>
      </c>
      <c r="AV839" t="str">
        <f>IF($AQ839="","",IF(INDEX(C_Pavement!$F$5:$F$204,$AQ839)&lt;&gt;"",IF(INDEX(C_Pavement!$F$5:$F$204,$AQ839)="-","",INDEX(C_Pavement!$F$5:$F$204,$AQ839)),IF($AS839="","",INDEX(E_Rules!$E$5:$E$9,$AS839))))</f>
        <v/>
      </c>
      <c r="AW839" t="str">
        <f>IF($AQ839="","",IF(INDEX(C_Pavement!$G$5:$G$204,$AQ839)&lt;&gt;"",IF(INDEX(C_Pavement!$G$5:$G$204,$AQ839)="-","",INDEX(C_Pavement!$G$5:$G$204,$AQ839)),IF($AS839="","",INDEX(E_Rules!$F$5:$F$9,$AS839))))</f>
        <v/>
      </c>
      <c r="AX839" t="str">
        <f>IF($AQ839="","",IF(INDEX(C_Pavement!$H$5:$H$204,$AQ839)&lt;&gt;"",IF(INDEX(C_Pavement!$H$5:$H$204,$AQ839)="-","",INDEX(C_Pavement!$H$5:$H$204,$AQ839)),IF($AS839="","",INDEX(E_Rules!$G$5:$G$9,$AS839))))</f>
        <v/>
      </c>
      <c r="AY839" t="str">
        <f>IF($AQ839="","",IF(INDEX(C_Pavement!$I$5:$I$204,$AQ839)&lt;&gt;"",IF(INDEX(C_Pavement!$I$5:$I$204,$AQ839)="-","",INDEX(C_Pavement!$I$5:$I$204,$AQ839)),IF($AS839="","",INDEX(E_Rules!$H$5:$H$9,$AS839))))</f>
        <v/>
      </c>
    </row>
    <row r="840" spans="1:51" ht="15.75" customHeight="1" x14ac:dyDescent="0.3">
      <c r="A840" s="189">
        <v>835</v>
      </c>
      <c r="B840" s="180">
        <v>41700</v>
      </c>
      <c r="C840" s="180" t="s">
        <v>1146</v>
      </c>
      <c r="D840" s="181" t="str">
        <f>IFERROR(LOOKUP(2,1/((A_Corridor!$A$5:$A$204&lt;&gt;"")*(A_Corridor!$A$5:$A$204&lt;=$B840)*(A_Corridor!$B$5:$B$204&gt;$B840)*(A_Corridor!$C$5:$C$204&lt;&gt;"")),IF(UPPER(A_Corridor!$C$5:$C$204)="Y",1,"")),"")</f>
        <v/>
      </c>
      <c r="E840" s="181" t="str">
        <f>IFERROR(LOOKUP(2,1/((A_Corridor!$A$5:$A$204&lt;&gt;"")*(A_Corridor!$A$5:$A$204&lt;=$B840)*(A_Corridor!$B$5:$B$204&gt;$B840)*(A_Corridor!$D$5:$D$204&lt;&gt;"")),IF(A_Corridor!$D$5:$D$204="-","",UPPER(A_Corridor!$D$5:$D$204))),"")</f>
        <v/>
      </c>
      <c r="F840" s="181" t="str">
        <f>IFERROR(LOOKUP(2,1/((A_Corridor!$A$5:$A$204&lt;&gt;"")*(A_Corridor!$A$5:$A$204&lt;=$B840)*(A_Corridor!$B$5:$B$204&gt;$B840)*(A_Corridor!$E$5:$E$204&lt;&gt;"")),IF(A_Corridor!$E$5:$E$204="-","",1)),"")</f>
        <v/>
      </c>
      <c r="G840" s="182" t="str">
        <f>IFERROR(LOOKUP(2,1/((A_Corridor!$A$5:$A$204&lt;&gt;"")*(A_Corridor!$A$5:$A$204&lt;=$B840)*(A_Corridor!$B$5:$B$204&gt;$B840)*(A_Corridor!$E$5:$E$204&lt;&gt;"")),IF(A_Corridor!$E$5:$E$204="-","",A_Corridor!$E$5:$E$204)),"")</f>
        <v/>
      </c>
      <c r="H840" s="182" t="str">
        <f>IFERROR(LOOKUP(2,1/((D_Points!$A$5:$A$204&lt;&gt;"")*(D_Points!$A$5:$A$204&gt;=$B840)*(D_Points!$A$5:$A$204&lt;$B840+P_Interval)*(UPPER(TRIM(D_Points!$B$5:$B$204))="GULLY")*(D_Points!$H$5:$H$204&lt;&gt;"")),D_Points!$H$5:$H$204),"")</f>
        <v/>
      </c>
      <c r="I840" s="181" t="str">
        <f>IFERROR(LOOKUP(2,1/((A_Corridor!$A$5:$A$204&lt;&gt;"")*(A_Corridor!$A$5:$A$204&lt;=$B840)*(A_Corridor!$B$5:$B$204&gt;$B840)*(A_Corridor!$F$5:$F$204&lt;&gt;"")),IF(A_Corridor!$F$5:$F$204="-","",1)),"")</f>
        <v/>
      </c>
      <c r="J840" s="182" t="str">
        <f>IFERROR(LOOKUP(2,1/((A_Corridor!$A$5:$A$204&lt;&gt;"")*(A_Corridor!$A$5:$A$204&lt;=$B840)*(A_Corridor!$B$5:$B$204&gt;$B840)*(A_Corridor!$F$5:$F$204&lt;&gt;"")),IF(A_Corridor!$F$5:$F$204="-","",A_Corridor!$F$5:$F$204)),"")</f>
        <v/>
      </c>
      <c r="K840" s="182" t="str">
        <f>IFERROR(LOOKUP(2,1/((A_Corridor!$A$5:$A$204&lt;&gt;"")*(A_Corridor!$A$5:$A$204&lt;=$B840)*(A_Corridor!$B$5:$B$204&gt;$B840)*(A_Corridor!$G$5:$G$204&lt;&gt;"")),IF(A_Corridor!$G$5:$G$204="-","",A_Corridor!$G$5:$G$204)),"")</f>
        <v/>
      </c>
      <c r="L840" s="181" t="str">
        <f>IFERROR(LOOKUP(2,1/((A_Corridor!$A$5:$A$204&lt;&gt;"")*(A_Corridor!$A$5:$A$204&lt;=$B840)*(A_Corridor!$B$5:$B$204&gt;$B840)*(A_Corridor!$H$5:$H$204&lt;&gt;"")),IF(A_Corridor!$H$5:$H$204="-","",1)),"")</f>
        <v/>
      </c>
      <c r="M840" s="182" t="str">
        <f>IFERROR(LOOKUP(2,1/((A_Corridor!$A$5:$A$204&lt;&gt;"")*(A_Corridor!$A$5:$A$204&lt;=$B840)*(A_Corridor!$B$5:$B$204&gt;$B840)*(A_Corridor!$H$5:$H$204&lt;&gt;"")),IF(A_Corridor!$H$5:$H$204="-","",A_Corridor!$H$5:$H$204)),"")</f>
        <v/>
      </c>
      <c r="N840" s="182" t="str">
        <f>IFERROR(LOOKUP(2,1/((A_Corridor!$A$5:$A$204&lt;&gt;"")*(A_Corridor!$A$5:$A$204&lt;=$B840)*(A_Corridor!$B$5:$B$204&gt;$B840)*(A_Corridor!$I$5:$I$204&lt;&gt;"")),IF(A_Corridor!$I$5:$I$204="-","",A_Corridor!$I$5:$I$204)),"")</f>
        <v/>
      </c>
      <c r="O840" s="182" t="str">
        <f>IFERROR(LOOKUP(2,1/((D_Points!$A$5:$A$204&lt;&gt;"")*(D_Points!$A$5:$A$204&gt;=$B840)*(D_Points!$A$5:$A$204&lt;$B840+P_Interval)*(UPPER(TRIM(D_Points!$B$5:$B$204))="PITCHING")*(D_Points!$H$5:$H$204&lt;&gt;"")),D_Points!$H$5:$H$204),"")</f>
        <v/>
      </c>
      <c r="P840" s="181" t="str">
        <f>IFERROR(LOOKUP(2,1/((B_Drainage!$A$5:$A$204&lt;&gt;"")*(B_Drainage!$A$5:$A$204&lt;=$B840)*(B_Drainage!$B$5:$B$204&gt;$B840)*(B_Drainage!$C$5:$C$204&lt;&gt;"")),IF(B_Drainage!$C$5:$C$204="-","",UPPER(B_Drainage!$C$5:$C$204))),"")</f>
        <v/>
      </c>
      <c r="Q840" s="181" t="str">
        <f>IFERROR(LOOKUP(2,1/((B_Drainage!$A$5:$A$204&lt;&gt;"")*(B_Drainage!$A$5:$A$204&lt;=$B840)*(B_Drainage!$B$5:$B$204&gt;$B840)*(B_Drainage!$D$5:$D$204&lt;&gt;"")),IF(B_Drainage!$D$5:$D$204="-","",UPPER(B_Drainage!$D$5:$D$204))),"")</f>
        <v/>
      </c>
      <c r="R840" s="182" t="str">
        <f>IFERROR(LOOKUP(2,1/((D_Points!$A$5:$A$204&lt;&gt;"")*(D_Points!$A$5:$A$204&gt;=$B840)*(D_Points!$A$5:$A$204&lt;$B840+P_Interval)*(RIGHT(UPPER(TRIM(D_Points!$B$5:$B$204)),8)="_CULVERT")),IF(LEFT(UPPER(TRIM(D_Points!$B$5:$B$204)),2)="EX",1,IF(LEFT(UPPER(TRIM(D_Points!$B$5:$B$204)),2)="PR",2,3))),"")</f>
        <v/>
      </c>
      <c r="S840" s="182" t="str">
        <f>IFERROR(LOOKUP(2,1/((D_Points!$A$5:$A$204&lt;&gt;"")*(D_Points!$A$5:$A$204&gt;=$B840)*(D_Points!$A$5:$A$204&lt;$B840+P_Interval)*(RIGHT(UPPER(TRIM(D_Points!$B$5:$B$204)),7)="_BRIDGE")),IF(LEFT(UPPER(TRIM(D_Points!$B$5:$B$204)),2)="EX",1,IF(LEFT(UPPER(TRIM(D_Points!$B$5:$B$204)),2)="PR",2,2))),"")</f>
        <v/>
      </c>
      <c r="T840" s="181" t="str">
        <f>IFERROR(LOOKUP(2,1/((B_Drainage!$A$5:$A$204&lt;&gt;"")*(B_Drainage!$A$5:$A$204&lt;=$B840)*(B_Drainage!$B$5:$B$204&gt;$B840)*(B_Drainage!$E$5:$E$204&lt;&gt;"")),IF(B_Drainage!$E$5:$E$204="-","",1)),"")</f>
        <v/>
      </c>
      <c r="U840" s="181" t="str">
        <f>IFERROR(LOOKUP(2,1/((B_Drainage!$A$5:$A$204&lt;&gt;"")*(B_Drainage!$A$5:$A$204&lt;=$B840)*(B_Drainage!$B$5:$B$204&gt;$B840)*(B_Drainage!$E$5:$E$204&lt;&gt;"")),IF(B_Drainage!$E$5:$E$204="-","",B_Drainage!$E$5:$E$204)),"")</f>
        <v/>
      </c>
      <c r="V840" s="181" t="str">
        <f>IFERROR(LOOKUP(2,1/((B_Drainage!$A$5:$A$204&lt;&gt;"")*(B_Drainage!$A$5:$A$204&lt;=$B840)*(B_Drainage!$B$5:$B$204&gt;$B840)*(B_Drainage!$F$5:$F$204&lt;&gt;"")),IF(B_Drainage!$F$5:$F$204="-","",1)),"")</f>
        <v/>
      </c>
      <c r="W840" s="181" t="str">
        <f>IFERROR(LOOKUP(2,1/((B_Drainage!$A$5:$A$204&lt;&gt;"")*(B_Drainage!$A$5:$A$204&lt;=$B840)*(B_Drainage!$B$5:$B$204&gt;$B840)*(B_Drainage!$F$5:$F$204&lt;&gt;"")),IF(B_Drainage!$F$5:$F$204="-","",B_Drainage!$F$5:$F$204)),"")</f>
        <v/>
      </c>
      <c r="X840" s="181" t="str">
        <f>IFERROR(LOOKUP(2,1/((B_Drainage!$A$5:$A$204&lt;&gt;"")*(B_Drainage!$A$5:$A$204&lt;=$B840)*(B_Drainage!$B$5:$B$204&gt;$B840)*(B_Drainage!$G$5:$G$204&lt;&gt;"")),IF(UPPER(B_Drainage!$G$5:$G$204)="Y",1,"")),"")</f>
        <v/>
      </c>
      <c r="Y840" s="181" t="str">
        <f>IFERROR(LOOKUP(2,1/((B_Drainage!$A$5:$A$204&lt;&gt;"")*(B_Drainage!$A$5:$A$204&lt;=$B840)*(B_Drainage!$B$5:$B$204&gt;$B840)*(B_Drainage!$H$5:$H$204&lt;&gt;"")),IF(UPPER(B_Drainage!$H$5:$H$204)="Y",1,"")),"")</f>
        <v/>
      </c>
      <c r="Z840" s="181" t="str">
        <f>IFERROR(LOOKUP(2,1/((B_Drainage!$A$5:$A$204&lt;&gt;"")*(B_Drainage!$A$5:$A$204&lt;=$B840)*(B_Drainage!$B$5:$B$204&gt;$B840)*(B_Drainage!$I$5:$I$204&lt;&gt;"")),IF(UPPER(B_Drainage!$I$5:$I$204)="Y",1,"")),"")</f>
        <v/>
      </c>
      <c r="AA840" s="181" t="str">
        <f>IFERROR(LOOKUP(2,1/((B_Drainage!$A$5:$A$204&lt;&gt;"")*(B_Drainage!$A$5:$A$204&lt;=$B840)*(B_Drainage!$B$5:$B$204&gt;$B840)*(B_Drainage!$J$5:$J$204&lt;&gt;"")),IF(UPPER(B_Drainage!$J$5:$J$204)="Y",1,"")),"")</f>
        <v/>
      </c>
      <c r="AB840" s="182" t="str">
        <f>IFERROR(LOOKUP(2,1/((B_Drainage!$A$5:$A$204&lt;&gt;"")*(B_Drainage!$A$5:$A$204&lt;=$B840)*(B_Drainage!$B$5:$B$204&gt;$B840)*(B_Drainage!$K$5:$K$204&lt;&gt;"")),IF(B_Drainage!$K$5:$K$204="-","",B_Drainage!$K$5:$K$204)),"")</f>
        <v/>
      </c>
      <c r="AC840" s="182" t="str">
        <f>IFERROR(LOOKUP(2,1/((B_Drainage!$A$5:$A$204&lt;&gt;"")*(B_Drainage!$A$5:$A$204&lt;=$B840)*(B_Drainage!$B$5:$B$204&gt;$B840)*(B_Drainage!$L$5:$L$204&lt;&gt;"")),IF(B_Drainage!$L$5:$L$204="-","",B_Drainage!$L$5:$L$204)),"")</f>
        <v/>
      </c>
      <c r="AD840" s="182" t="str">
        <f>IFERROR(LOOKUP(2,1/((D_Points!$A$5:$A$204&lt;&gt;"")*(D_Points!$A$5:$A$204&gt;=$B840)*(D_Points!$A$5:$A$204&lt;$B840+P_Interval)*(UPPER(TRIM(D_Points!$B$5:$B$204))="TURNOUT_L")*(D_Points!$H$5:$H$204&lt;&gt;"")),D_Points!$H$5:$H$204),"")</f>
        <v/>
      </c>
      <c r="AE840" s="182" t="str">
        <f>IFERROR(LOOKUP(2,1/((D_Points!$A$5:$A$204&lt;&gt;"")*(D_Points!$A$5:$A$204&gt;=$B840)*(D_Points!$A$5:$A$204&lt;$B840+P_Interval)*(UPPER(TRIM(D_Points!$B$5:$B$204))="TURNOUT_R")*(D_Points!$H$5:$H$204&lt;&gt;"")),D_Points!$H$5:$H$204),"")</f>
        <v/>
      </c>
      <c r="AF840" s="181" t="str">
        <f>IFERROR(LOOKUP(2,1/((B_Drainage!$A$5:$A$204&lt;&gt;"")*(B_Drainage!$A$5:$A$204&lt;=$B840)*(B_Drainage!$B$5:$B$204&gt;$B840)*(B_Drainage!$M$5:$M$204&lt;&gt;"")),IF(UPPER(B_Drainage!$M$5:$M$204)="Y",1,"")),"")</f>
        <v/>
      </c>
      <c r="AG840" s="181" t="str">
        <f>IFERROR(LOOKUP(2,1/((B_Drainage!$A$5:$A$204&lt;&gt;"")*(B_Drainage!$A$5:$A$204&lt;=$B840)*(B_Drainage!$B$5:$B$204&gt;$B840)*(B_Drainage!$N$5:$N$204&lt;&gt;"")),IF(UPPER(B_Drainage!$N$5:$N$204)="Y",1,"")),"")</f>
        <v/>
      </c>
      <c r="AH840" s="181" t="str">
        <f t="shared" si="104"/>
        <v/>
      </c>
      <c r="AI840" s="181" t="str">
        <f t="shared" si="105"/>
        <v/>
      </c>
      <c r="AJ840" s="181" t="str">
        <f t="shared" si="106"/>
        <v/>
      </c>
      <c r="AK840" s="181" t="str">
        <f t="shared" si="107"/>
        <v/>
      </c>
      <c r="AL840" s="181" t="str">
        <f t="shared" si="108"/>
        <v/>
      </c>
      <c r="AM840" s="181" t="str">
        <f t="shared" si="109"/>
        <v/>
      </c>
      <c r="AN840" s="181" t="str">
        <f t="shared" si="110"/>
        <v/>
      </c>
      <c r="AO840" s="192" t="str">
        <f t="shared" si="111"/>
        <v/>
      </c>
      <c r="AQ840" t="str">
        <f>IFERROR(LOOKUP(2,1/((C_Pavement!$A$5:$A$204&lt;&gt;"")*(C_Pavement!$A$5:$A$204&lt;=$B840)*(C_Pavement!$B$5:$B$204&gt;$B840)*(C_Pavement!$C$5:$C$204&lt;&gt;"")),ROW(C_Pavement!$C$5:$C$204)-4),"")</f>
        <v/>
      </c>
      <c r="AR840" t="str">
        <f>IF($AQ840="","",UPPER(TRIM(INDEX(C_Pavement!$C$5:$C$204,$AQ840))))</f>
        <v/>
      </c>
      <c r="AS840" t="str">
        <f>IF($AR840="","",IFERROR(MATCH($AR840,E_Rules!$A$5:$A$9,0),""))</f>
        <v/>
      </c>
      <c r="AT840" t="str">
        <f>IF($AQ840="","",IF(INDEX(C_Pavement!$D$5:$D$204,$AQ840)&lt;&gt;"",UPPER(TRIM(INDEX(C_Pavement!$D$5:$D$204,$AQ840))),IF($AS840="","",INDEX(E_Rules!$C$5:$C$9,$AS840))))</f>
        <v/>
      </c>
      <c r="AU840" t="str">
        <f>IF($AQ840="","",IF(INDEX(C_Pavement!$E$5:$E$204,$AQ840)&lt;&gt;"",IF(INDEX(C_Pavement!$E$5:$E$204,$AQ840)="-","",INDEX(C_Pavement!$E$5:$E$204,$AQ840)),IF($AS840="","",INDEX(E_Rules!$D$5:$D$9,$AS840))))</f>
        <v/>
      </c>
      <c r="AV840" t="str">
        <f>IF($AQ840="","",IF(INDEX(C_Pavement!$F$5:$F$204,$AQ840)&lt;&gt;"",IF(INDEX(C_Pavement!$F$5:$F$204,$AQ840)="-","",INDEX(C_Pavement!$F$5:$F$204,$AQ840)),IF($AS840="","",INDEX(E_Rules!$E$5:$E$9,$AS840))))</f>
        <v/>
      </c>
      <c r="AW840" t="str">
        <f>IF($AQ840="","",IF(INDEX(C_Pavement!$G$5:$G$204,$AQ840)&lt;&gt;"",IF(INDEX(C_Pavement!$G$5:$G$204,$AQ840)="-","",INDEX(C_Pavement!$G$5:$G$204,$AQ840)),IF($AS840="","",INDEX(E_Rules!$F$5:$F$9,$AS840))))</f>
        <v/>
      </c>
      <c r="AX840" t="str">
        <f>IF($AQ840="","",IF(INDEX(C_Pavement!$H$5:$H$204,$AQ840)&lt;&gt;"",IF(INDEX(C_Pavement!$H$5:$H$204,$AQ840)="-","",INDEX(C_Pavement!$H$5:$H$204,$AQ840)),IF($AS840="","",INDEX(E_Rules!$G$5:$G$9,$AS840))))</f>
        <v/>
      </c>
      <c r="AY840" t="str">
        <f>IF($AQ840="","",IF(INDEX(C_Pavement!$I$5:$I$204,$AQ840)&lt;&gt;"",IF(INDEX(C_Pavement!$I$5:$I$204,$AQ840)="-","",INDEX(C_Pavement!$I$5:$I$204,$AQ840)),IF($AS840="","",INDEX(E_Rules!$H$5:$H$9,$AS840))))</f>
        <v/>
      </c>
    </row>
    <row r="841" spans="1:51" ht="15.75" customHeight="1" x14ac:dyDescent="0.3">
      <c r="A841" s="189">
        <v>836</v>
      </c>
      <c r="B841" s="180">
        <v>41750</v>
      </c>
      <c r="C841" s="180" t="s">
        <v>1147</v>
      </c>
      <c r="D841" s="181" t="str">
        <f>IFERROR(LOOKUP(2,1/((A_Corridor!$A$5:$A$204&lt;&gt;"")*(A_Corridor!$A$5:$A$204&lt;=$B841)*(A_Corridor!$B$5:$B$204&gt;$B841)*(A_Corridor!$C$5:$C$204&lt;&gt;"")),IF(UPPER(A_Corridor!$C$5:$C$204)="Y",1,"")),"")</f>
        <v/>
      </c>
      <c r="E841" s="181" t="str">
        <f>IFERROR(LOOKUP(2,1/((A_Corridor!$A$5:$A$204&lt;&gt;"")*(A_Corridor!$A$5:$A$204&lt;=$B841)*(A_Corridor!$B$5:$B$204&gt;$B841)*(A_Corridor!$D$5:$D$204&lt;&gt;"")),IF(A_Corridor!$D$5:$D$204="-","",UPPER(A_Corridor!$D$5:$D$204))),"")</f>
        <v/>
      </c>
      <c r="F841" s="181" t="str">
        <f>IFERROR(LOOKUP(2,1/((A_Corridor!$A$5:$A$204&lt;&gt;"")*(A_Corridor!$A$5:$A$204&lt;=$B841)*(A_Corridor!$B$5:$B$204&gt;$B841)*(A_Corridor!$E$5:$E$204&lt;&gt;"")),IF(A_Corridor!$E$5:$E$204="-","",1)),"")</f>
        <v/>
      </c>
      <c r="G841" s="182" t="str">
        <f>IFERROR(LOOKUP(2,1/((A_Corridor!$A$5:$A$204&lt;&gt;"")*(A_Corridor!$A$5:$A$204&lt;=$B841)*(A_Corridor!$B$5:$B$204&gt;$B841)*(A_Corridor!$E$5:$E$204&lt;&gt;"")),IF(A_Corridor!$E$5:$E$204="-","",A_Corridor!$E$5:$E$204)),"")</f>
        <v/>
      </c>
      <c r="H841" s="182" t="str">
        <f>IFERROR(LOOKUP(2,1/((D_Points!$A$5:$A$204&lt;&gt;"")*(D_Points!$A$5:$A$204&gt;=$B841)*(D_Points!$A$5:$A$204&lt;$B841+P_Interval)*(UPPER(TRIM(D_Points!$B$5:$B$204))="GULLY")*(D_Points!$H$5:$H$204&lt;&gt;"")),D_Points!$H$5:$H$204),"")</f>
        <v/>
      </c>
      <c r="I841" s="181" t="str">
        <f>IFERROR(LOOKUP(2,1/((A_Corridor!$A$5:$A$204&lt;&gt;"")*(A_Corridor!$A$5:$A$204&lt;=$B841)*(A_Corridor!$B$5:$B$204&gt;$B841)*(A_Corridor!$F$5:$F$204&lt;&gt;"")),IF(A_Corridor!$F$5:$F$204="-","",1)),"")</f>
        <v/>
      </c>
      <c r="J841" s="182" t="str">
        <f>IFERROR(LOOKUP(2,1/((A_Corridor!$A$5:$A$204&lt;&gt;"")*(A_Corridor!$A$5:$A$204&lt;=$B841)*(A_Corridor!$B$5:$B$204&gt;$B841)*(A_Corridor!$F$5:$F$204&lt;&gt;"")),IF(A_Corridor!$F$5:$F$204="-","",A_Corridor!$F$5:$F$204)),"")</f>
        <v/>
      </c>
      <c r="K841" s="182" t="str">
        <f>IFERROR(LOOKUP(2,1/((A_Corridor!$A$5:$A$204&lt;&gt;"")*(A_Corridor!$A$5:$A$204&lt;=$B841)*(A_Corridor!$B$5:$B$204&gt;$B841)*(A_Corridor!$G$5:$G$204&lt;&gt;"")),IF(A_Corridor!$G$5:$G$204="-","",A_Corridor!$G$5:$G$204)),"")</f>
        <v/>
      </c>
      <c r="L841" s="181" t="str">
        <f>IFERROR(LOOKUP(2,1/((A_Corridor!$A$5:$A$204&lt;&gt;"")*(A_Corridor!$A$5:$A$204&lt;=$B841)*(A_Corridor!$B$5:$B$204&gt;$B841)*(A_Corridor!$H$5:$H$204&lt;&gt;"")),IF(A_Corridor!$H$5:$H$204="-","",1)),"")</f>
        <v/>
      </c>
      <c r="M841" s="182" t="str">
        <f>IFERROR(LOOKUP(2,1/((A_Corridor!$A$5:$A$204&lt;&gt;"")*(A_Corridor!$A$5:$A$204&lt;=$B841)*(A_Corridor!$B$5:$B$204&gt;$B841)*(A_Corridor!$H$5:$H$204&lt;&gt;"")),IF(A_Corridor!$H$5:$H$204="-","",A_Corridor!$H$5:$H$204)),"")</f>
        <v/>
      </c>
      <c r="N841" s="182" t="str">
        <f>IFERROR(LOOKUP(2,1/((A_Corridor!$A$5:$A$204&lt;&gt;"")*(A_Corridor!$A$5:$A$204&lt;=$B841)*(A_Corridor!$B$5:$B$204&gt;$B841)*(A_Corridor!$I$5:$I$204&lt;&gt;"")),IF(A_Corridor!$I$5:$I$204="-","",A_Corridor!$I$5:$I$204)),"")</f>
        <v/>
      </c>
      <c r="O841" s="182" t="str">
        <f>IFERROR(LOOKUP(2,1/((D_Points!$A$5:$A$204&lt;&gt;"")*(D_Points!$A$5:$A$204&gt;=$B841)*(D_Points!$A$5:$A$204&lt;$B841+P_Interval)*(UPPER(TRIM(D_Points!$B$5:$B$204))="PITCHING")*(D_Points!$H$5:$H$204&lt;&gt;"")),D_Points!$H$5:$H$204),"")</f>
        <v/>
      </c>
      <c r="P841" s="181" t="str">
        <f>IFERROR(LOOKUP(2,1/((B_Drainage!$A$5:$A$204&lt;&gt;"")*(B_Drainage!$A$5:$A$204&lt;=$B841)*(B_Drainage!$B$5:$B$204&gt;$B841)*(B_Drainage!$C$5:$C$204&lt;&gt;"")),IF(B_Drainage!$C$5:$C$204="-","",UPPER(B_Drainage!$C$5:$C$204))),"")</f>
        <v/>
      </c>
      <c r="Q841" s="181" t="str">
        <f>IFERROR(LOOKUP(2,1/((B_Drainage!$A$5:$A$204&lt;&gt;"")*(B_Drainage!$A$5:$A$204&lt;=$B841)*(B_Drainage!$B$5:$B$204&gt;$B841)*(B_Drainage!$D$5:$D$204&lt;&gt;"")),IF(B_Drainage!$D$5:$D$204="-","",UPPER(B_Drainage!$D$5:$D$204))),"")</f>
        <v/>
      </c>
      <c r="R841" s="182" t="str">
        <f>IFERROR(LOOKUP(2,1/((D_Points!$A$5:$A$204&lt;&gt;"")*(D_Points!$A$5:$A$204&gt;=$B841)*(D_Points!$A$5:$A$204&lt;$B841+P_Interval)*(RIGHT(UPPER(TRIM(D_Points!$B$5:$B$204)),8)="_CULVERT")),IF(LEFT(UPPER(TRIM(D_Points!$B$5:$B$204)),2)="EX",1,IF(LEFT(UPPER(TRIM(D_Points!$B$5:$B$204)),2)="PR",2,3))),"")</f>
        <v/>
      </c>
      <c r="S841" s="182" t="str">
        <f>IFERROR(LOOKUP(2,1/((D_Points!$A$5:$A$204&lt;&gt;"")*(D_Points!$A$5:$A$204&gt;=$B841)*(D_Points!$A$5:$A$204&lt;$B841+P_Interval)*(RIGHT(UPPER(TRIM(D_Points!$B$5:$B$204)),7)="_BRIDGE")),IF(LEFT(UPPER(TRIM(D_Points!$B$5:$B$204)),2)="EX",1,IF(LEFT(UPPER(TRIM(D_Points!$B$5:$B$204)),2)="PR",2,2))),"")</f>
        <v/>
      </c>
      <c r="T841" s="181" t="str">
        <f>IFERROR(LOOKUP(2,1/((B_Drainage!$A$5:$A$204&lt;&gt;"")*(B_Drainage!$A$5:$A$204&lt;=$B841)*(B_Drainage!$B$5:$B$204&gt;$B841)*(B_Drainage!$E$5:$E$204&lt;&gt;"")),IF(B_Drainage!$E$5:$E$204="-","",1)),"")</f>
        <v/>
      </c>
      <c r="U841" s="181" t="str">
        <f>IFERROR(LOOKUP(2,1/((B_Drainage!$A$5:$A$204&lt;&gt;"")*(B_Drainage!$A$5:$A$204&lt;=$B841)*(B_Drainage!$B$5:$B$204&gt;$B841)*(B_Drainage!$E$5:$E$204&lt;&gt;"")),IF(B_Drainage!$E$5:$E$204="-","",B_Drainage!$E$5:$E$204)),"")</f>
        <v/>
      </c>
      <c r="V841" s="181" t="str">
        <f>IFERROR(LOOKUP(2,1/((B_Drainage!$A$5:$A$204&lt;&gt;"")*(B_Drainage!$A$5:$A$204&lt;=$B841)*(B_Drainage!$B$5:$B$204&gt;$B841)*(B_Drainage!$F$5:$F$204&lt;&gt;"")),IF(B_Drainage!$F$5:$F$204="-","",1)),"")</f>
        <v/>
      </c>
      <c r="W841" s="181" t="str">
        <f>IFERROR(LOOKUP(2,1/((B_Drainage!$A$5:$A$204&lt;&gt;"")*(B_Drainage!$A$5:$A$204&lt;=$B841)*(B_Drainage!$B$5:$B$204&gt;$B841)*(B_Drainage!$F$5:$F$204&lt;&gt;"")),IF(B_Drainage!$F$5:$F$204="-","",B_Drainage!$F$5:$F$204)),"")</f>
        <v/>
      </c>
      <c r="X841" s="181" t="str">
        <f>IFERROR(LOOKUP(2,1/((B_Drainage!$A$5:$A$204&lt;&gt;"")*(B_Drainage!$A$5:$A$204&lt;=$B841)*(B_Drainage!$B$5:$B$204&gt;$B841)*(B_Drainage!$G$5:$G$204&lt;&gt;"")),IF(UPPER(B_Drainage!$G$5:$G$204)="Y",1,"")),"")</f>
        <v/>
      </c>
      <c r="Y841" s="181" t="str">
        <f>IFERROR(LOOKUP(2,1/((B_Drainage!$A$5:$A$204&lt;&gt;"")*(B_Drainage!$A$5:$A$204&lt;=$B841)*(B_Drainage!$B$5:$B$204&gt;$B841)*(B_Drainage!$H$5:$H$204&lt;&gt;"")),IF(UPPER(B_Drainage!$H$5:$H$204)="Y",1,"")),"")</f>
        <v/>
      </c>
      <c r="Z841" s="181" t="str">
        <f>IFERROR(LOOKUP(2,1/((B_Drainage!$A$5:$A$204&lt;&gt;"")*(B_Drainage!$A$5:$A$204&lt;=$B841)*(B_Drainage!$B$5:$B$204&gt;$B841)*(B_Drainage!$I$5:$I$204&lt;&gt;"")),IF(UPPER(B_Drainage!$I$5:$I$204)="Y",1,"")),"")</f>
        <v/>
      </c>
      <c r="AA841" s="181" t="str">
        <f>IFERROR(LOOKUP(2,1/((B_Drainage!$A$5:$A$204&lt;&gt;"")*(B_Drainage!$A$5:$A$204&lt;=$B841)*(B_Drainage!$B$5:$B$204&gt;$B841)*(B_Drainage!$J$5:$J$204&lt;&gt;"")),IF(UPPER(B_Drainage!$J$5:$J$204)="Y",1,"")),"")</f>
        <v/>
      </c>
      <c r="AB841" s="182" t="str">
        <f>IFERROR(LOOKUP(2,1/((B_Drainage!$A$5:$A$204&lt;&gt;"")*(B_Drainage!$A$5:$A$204&lt;=$B841)*(B_Drainage!$B$5:$B$204&gt;$B841)*(B_Drainage!$K$5:$K$204&lt;&gt;"")),IF(B_Drainage!$K$5:$K$204="-","",B_Drainage!$K$5:$K$204)),"")</f>
        <v/>
      </c>
      <c r="AC841" s="182" t="str">
        <f>IFERROR(LOOKUP(2,1/((B_Drainage!$A$5:$A$204&lt;&gt;"")*(B_Drainage!$A$5:$A$204&lt;=$B841)*(B_Drainage!$B$5:$B$204&gt;$B841)*(B_Drainage!$L$5:$L$204&lt;&gt;"")),IF(B_Drainage!$L$5:$L$204="-","",B_Drainage!$L$5:$L$204)),"")</f>
        <v/>
      </c>
      <c r="AD841" s="182" t="str">
        <f>IFERROR(LOOKUP(2,1/((D_Points!$A$5:$A$204&lt;&gt;"")*(D_Points!$A$5:$A$204&gt;=$B841)*(D_Points!$A$5:$A$204&lt;$B841+P_Interval)*(UPPER(TRIM(D_Points!$B$5:$B$204))="TURNOUT_L")*(D_Points!$H$5:$H$204&lt;&gt;"")),D_Points!$H$5:$H$204),"")</f>
        <v/>
      </c>
      <c r="AE841" s="182" t="str">
        <f>IFERROR(LOOKUP(2,1/((D_Points!$A$5:$A$204&lt;&gt;"")*(D_Points!$A$5:$A$204&gt;=$B841)*(D_Points!$A$5:$A$204&lt;$B841+P_Interval)*(UPPER(TRIM(D_Points!$B$5:$B$204))="TURNOUT_R")*(D_Points!$H$5:$H$204&lt;&gt;"")),D_Points!$H$5:$H$204),"")</f>
        <v/>
      </c>
      <c r="AF841" s="181" t="str">
        <f>IFERROR(LOOKUP(2,1/((B_Drainage!$A$5:$A$204&lt;&gt;"")*(B_Drainage!$A$5:$A$204&lt;=$B841)*(B_Drainage!$B$5:$B$204&gt;$B841)*(B_Drainage!$M$5:$M$204&lt;&gt;"")),IF(UPPER(B_Drainage!$M$5:$M$204)="Y",1,"")),"")</f>
        <v/>
      </c>
      <c r="AG841" s="181" t="str">
        <f>IFERROR(LOOKUP(2,1/((B_Drainage!$A$5:$A$204&lt;&gt;"")*(B_Drainage!$A$5:$A$204&lt;=$B841)*(B_Drainage!$B$5:$B$204&gt;$B841)*(B_Drainage!$N$5:$N$204&lt;&gt;"")),IF(UPPER(B_Drainage!$N$5:$N$204)="Y",1,"")),"")</f>
        <v/>
      </c>
      <c r="AH841" s="181" t="str">
        <f t="shared" si="104"/>
        <v/>
      </c>
      <c r="AI841" s="181" t="str">
        <f t="shared" si="105"/>
        <v/>
      </c>
      <c r="AJ841" s="181" t="str">
        <f t="shared" si="106"/>
        <v/>
      </c>
      <c r="AK841" s="181" t="str">
        <f t="shared" si="107"/>
        <v/>
      </c>
      <c r="AL841" s="181" t="str">
        <f t="shared" si="108"/>
        <v/>
      </c>
      <c r="AM841" s="181" t="str">
        <f t="shared" si="109"/>
        <v/>
      </c>
      <c r="AN841" s="181" t="str">
        <f t="shared" si="110"/>
        <v/>
      </c>
      <c r="AO841" s="192" t="str">
        <f t="shared" si="111"/>
        <v/>
      </c>
      <c r="AQ841" t="str">
        <f>IFERROR(LOOKUP(2,1/((C_Pavement!$A$5:$A$204&lt;&gt;"")*(C_Pavement!$A$5:$A$204&lt;=$B841)*(C_Pavement!$B$5:$B$204&gt;$B841)*(C_Pavement!$C$5:$C$204&lt;&gt;"")),ROW(C_Pavement!$C$5:$C$204)-4),"")</f>
        <v/>
      </c>
      <c r="AR841" t="str">
        <f>IF($AQ841="","",UPPER(TRIM(INDEX(C_Pavement!$C$5:$C$204,$AQ841))))</f>
        <v/>
      </c>
      <c r="AS841" t="str">
        <f>IF($AR841="","",IFERROR(MATCH($AR841,E_Rules!$A$5:$A$9,0),""))</f>
        <v/>
      </c>
      <c r="AT841" t="str">
        <f>IF($AQ841="","",IF(INDEX(C_Pavement!$D$5:$D$204,$AQ841)&lt;&gt;"",UPPER(TRIM(INDEX(C_Pavement!$D$5:$D$204,$AQ841))),IF($AS841="","",INDEX(E_Rules!$C$5:$C$9,$AS841))))</f>
        <v/>
      </c>
      <c r="AU841" t="str">
        <f>IF($AQ841="","",IF(INDEX(C_Pavement!$E$5:$E$204,$AQ841)&lt;&gt;"",IF(INDEX(C_Pavement!$E$5:$E$204,$AQ841)="-","",INDEX(C_Pavement!$E$5:$E$204,$AQ841)),IF($AS841="","",INDEX(E_Rules!$D$5:$D$9,$AS841))))</f>
        <v/>
      </c>
      <c r="AV841" t="str">
        <f>IF($AQ841="","",IF(INDEX(C_Pavement!$F$5:$F$204,$AQ841)&lt;&gt;"",IF(INDEX(C_Pavement!$F$5:$F$204,$AQ841)="-","",INDEX(C_Pavement!$F$5:$F$204,$AQ841)),IF($AS841="","",INDEX(E_Rules!$E$5:$E$9,$AS841))))</f>
        <v/>
      </c>
      <c r="AW841" t="str">
        <f>IF($AQ841="","",IF(INDEX(C_Pavement!$G$5:$G$204,$AQ841)&lt;&gt;"",IF(INDEX(C_Pavement!$G$5:$G$204,$AQ841)="-","",INDEX(C_Pavement!$G$5:$G$204,$AQ841)),IF($AS841="","",INDEX(E_Rules!$F$5:$F$9,$AS841))))</f>
        <v/>
      </c>
      <c r="AX841" t="str">
        <f>IF($AQ841="","",IF(INDEX(C_Pavement!$H$5:$H$204,$AQ841)&lt;&gt;"",IF(INDEX(C_Pavement!$H$5:$H$204,$AQ841)="-","",INDEX(C_Pavement!$H$5:$H$204,$AQ841)),IF($AS841="","",INDEX(E_Rules!$G$5:$G$9,$AS841))))</f>
        <v/>
      </c>
      <c r="AY841" t="str">
        <f>IF($AQ841="","",IF(INDEX(C_Pavement!$I$5:$I$204,$AQ841)&lt;&gt;"",IF(INDEX(C_Pavement!$I$5:$I$204,$AQ841)="-","",INDEX(C_Pavement!$I$5:$I$204,$AQ841)),IF($AS841="","",INDEX(E_Rules!$H$5:$H$9,$AS841))))</f>
        <v/>
      </c>
    </row>
    <row r="842" spans="1:51" ht="15.75" customHeight="1" x14ac:dyDescent="0.3">
      <c r="A842" s="189">
        <v>837</v>
      </c>
      <c r="B842" s="180">
        <v>41800</v>
      </c>
      <c r="C842" s="180" t="s">
        <v>1148</v>
      </c>
      <c r="D842" s="181" t="str">
        <f>IFERROR(LOOKUP(2,1/((A_Corridor!$A$5:$A$204&lt;&gt;"")*(A_Corridor!$A$5:$A$204&lt;=$B842)*(A_Corridor!$B$5:$B$204&gt;$B842)*(A_Corridor!$C$5:$C$204&lt;&gt;"")),IF(UPPER(A_Corridor!$C$5:$C$204)="Y",1,"")),"")</f>
        <v/>
      </c>
      <c r="E842" s="181" t="str">
        <f>IFERROR(LOOKUP(2,1/((A_Corridor!$A$5:$A$204&lt;&gt;"")*(A_Corridor!$A$5:$A$204&lt;=$B842)*(A_Corridor!$B$5:$B$204&gt;$B842)*(A_Corridor!$D$5:$D$204&lt;&gt;"")),IF(A_Corridor!$D$5:$D$204="-","",UPPER(A_Corridor!$D$5:$D$204))),"")</f>
        <v/>
      </c>
      <c r="F842" s="181" t="str">
        <f>IFERROR(LOOKUP(2,1/((A_Corridor!$A$5:$A$204&lt;&gt;"")*(A_Corridor!$A$5:$A$204&lt;=$B842)*(A_Corridor!$B$5:$B$204&gt;$B842)*(A_Corridor!$E$5:$E$204&lt;&gt;"")),IF(A_Corridor!$E$5:$E$204="-","",1)),"")</f>
        <v/>
      </c>
      <c r="G842" s="182" t="str">
        <f>IFERROR(LOOKUP(2,1/((A_Corridor!$A$5:$A$204&lt;&gt;"")*(A_Corridor!$A$5:$A$204&lt;=$B842)*(A_Corridor!$B$5:$B$204&gt;$B842)*(A_Corridor!$E$5:$E$204&lt;&gt;"")),IF(A_Corridor!$E$5:$E$204="-","",A_Corridor!$E$5:$E$204)),"")</f>
        <v/>
      </c>
      <c r="H842" s="182" t="str">
        <f>IFERROR(LOOKUP(2,1/((D_Points!$A$5:$A$204&lt;&gt;"")*(D_Points!$A$5:$A$204&gt;=$B842)*(D_Points!$A$5:$A$204&lt;$B842+P_Interval)*(UPPER(TRIM(D_Points!$B$5:$B$204))="GULLY")*(D_Points!$H$5:$H$204&lt;&gt;"")),D_Points!$H$5:$H$204),"")</f>
        <v/>
      </c>
      <c r="I842" s="181" t="str">
        <f>IFERROR(LOOKUP(2,1/((A_Corridor!$A$5:$A$204&lt;&gt;"")*(A_Corridor!$A$5:$A$204&lt;=$B842)*(A_Corridor!$B$5:$B$204&gt;$B842)*(A_Corridor!$F$5:$F$204&lt;&gt;"")),IF(A_Corridor!$F$5:$F$204="-","",1)),"")</f>
        <v/>
      </c>
      <c r="J842" s="182" t="str">
        <f>IFERROR(LOOKUP(2,1/((A_Corridor!$A$5:$A$204&lt;&gt;"")*(A_Corridor!$A$5:$A$204&lt;=$B842)*(A_Corridor!$B$5:$B$204&gt;$B842)*(A_Corridor!$F$5:$F$204&lt;&gt;"")),IF(A_Corridor!$F$5:$F$204="-","",A_Corridor!$F$5:$F$204)),"")</f>
        <v/>
      </c>
      <c r="K842" s="182" t="str">
        <f>IFERROR(LOOKUP(2,1/((A_Corridor!$A$5:$A$204&lt;&gt;"")*(A_Corridor!$A$5:$A$204&lt;=$B842)*(A_Corridor!$B$5:$B$204&gt;$B842)*(A_Corridor!$G$5:$G$204&lt;&gt;"")),IF(A_Corridor!$G$5:$G$204="-","",A_Corridor!$G$5:$G$204)),"")</f>
        <v/>
      </c>
      <c r="L842" s="181" t="str">
        <f>IFERROR(LOOKUP(2,1/((A_Corridor!$A$5:$A$204&lt;&gt;"")*(A_Corridor!$A$5:$A$204&lt;=$B842)*(A_Corridor!$B$5:$B$204&gt;$B842)*(A_Corridor!$H$5:$H$204&lt;&gt;"")),IF(A_Corridor!$H$5:$H$204="-","",1)),"")</f>
        <v/>
      </c>
      <c r="M842" s="182" t="str">
        <f>IFERROR(LOOKUP(2,1/((A_Corridor!$A$5:$A$204&lt;&gt;"")*(A_Corridor!$A$5:$A$204&lt;=$B842)*(A_Corridor!$B$5:$B$204&gt;$B842)*(A_Corridor!$H$5:$H$204&lt;&gt;"")),IF(A_Corridor!$H$5:$H$204="-","",A_Corridor!$H$5:$H$204)),"")</f>
        <v/>
      </c>
      <c r="N842" s="182" t="str">
        <f>IFERROR(LOOKUP(2,1/((A_Corridor!$A$5:$A$204&lt;&gt;"")*(A_Corridor!$A$5:$A$204&lt;=$B842)*(A_Corridor!$B$5:$B$204&gt;$B842)*(A_Corridor!$I$5:$I$204&lt;&gt;"")),IF(A_Corridor!$I$5:$I$204="-","",A_Corridor!$I$5:$I$204)),"")</f>
        <v/>
      </c>
      <c r="O842" s="182" t="str">
        <f>IFERROR(LOOKUP(2,1/((D_Points!$A$5:$A$204&lt;&gt;"")*(D_Points!$A$5:$A$204&gt;=$B842)*(D_Points!$A$5:$A$204&lt;$B842+P_Interval)*(UPPER(TRIM(D_Points!$B$5:$B$204))="PITCHING")*(D_Points!$H$5:$H$204&lt;&gt;"")),D_Points!$H$5:$H$204),"")</f>
        <v/>
      </c>
      <c r="P842" s="181" t="str">
        <f>IFERROR(LOOKUP(2,1/((B_Drainage!$A$5:$A$204&lt;&gt;"")*(B_Drainage!$A$5:$A$204&lt;=$B842)*(B_Drainage!$B$5:$B$204&gt;$B842)*(B_Drainage!$C$5:$C$204&lt;&gt;"")),IF(B_Drainage!$C$5:$C$204="-","",UPPER(B_Drainage!$C$5:$C$204))),"")</f>
        <v/>
      </c>
      <c r="Q842" s="181" t="str">
        <f>IFERROR(LOOKUP(2,1/((B_Drainage!$A$5:$A$204&lt;&gt;"")*(B_Drainage!$A$5:$A$204&lt;=$B842)*(B_Drainage!$B$5:$B$204&gt;$B842)*(B_Drainage!$D$5:$D$204&lt;&gt;"")),IF(B_Drainage!$D$5:$D$204="-","",UPPER(B_Drainage!$D$5:$D$204))),"")</f>
        <v/>
      </c>
      <c r="R842" s="182" t="str">
        <f>IFERROR(LOOKUP(2,1/((D_Points!$A$5:$A$204&lt;&gt;"")*(D_Points!$A$5:$A$204&gt;=$B842)*(D_Points!$A$5:$A$204&lt;$B842+P_Interval)*(RIGHT(UPPER(TRIM(D_Points!$B$5:$B$204)),8)="_CULVERT")),IF(LEFT(UPPER(TRIM(D_Points!$B$5:$B$204)),2)="EX",1,IF(LEFT(UPPER(TRIM(D_Points!$B$5:$B$204)),2)="PR",2,3))),"")</f>
        <v/>
      </c>
      <c r="S842" s="182" t="str">
        <f>IFERROR(LOOKUP(2,1/((D_Points!$A$5:$A$204&lt;&gt;"")*(D_Points!$A$5:$A$204&gt;=$B842)*(D_Points!$A$5:$A$204&lt;$B842+P_Interval)*(RIGHT(UPPER(TRIM(D_Points!$B$5:$B$204)),7)="_BRIDGE")),IF(LEFT(UPPER(TRIM(D_Points!$B$5:$B$204)),2)="EX",1,IF(LEFT(UPPER(TRIM(D_Points!$B$5:$B$204)),2)="PR",2,2))),"")</f>
        <v/>
      </c>
      <c r="T842" s="181" t="str">
        <f>IFERROR(LOOKUP(2,1/((B_Drainage!$A$5:$A$204&lt;&gt;"")*(B_Drainage!$A$5:$A$204&lt;=$B842)*(B_Drainage!$B$5:$B$204&gt;$B842)*(B_Drainage!$E$5:$E$204&lt;&gt;"")),IF(B_Drainage!$E$5:$E$204="-","",1)),"")</f>
        <v/>
      </c>
      <c r="U842" s="181" t="str">
        <f>IFERROR(LOOKUP(2,1/((B_Drainage!$A$5:$A$204&lt;&gt;"")*(B_Drainage!$A$5:$A$204&lt;=$B842)*(B_Drainage!$B$5:$B$204&gt;$B842)*(B_Drainage!$E$5:$E$204&lt;&gt;"")),IF(B_Drainage!$E$5:$E$204="-","",B_Drainage!$E$5:$E$204)),"")</f>
        <v/>
      </c>
      <c r="V842" s="181" t="str">
        <f>IFERROR(LOOKUP(2,1/((B_Drainage!$A$5:$A$204&lt;&gt;"")*(B_Drainage!$A$5:$A$204&lt;=$B842)*(B_Drainage!$B$5:$B$204&gt;$B842)*(B_Drainage!$F$5:$F$204&lt;&gt;"")),IF(B_Drainage!$F$5:$F$204="-","",1)),"")</f>
        <v/>
      </c>
      <c r="W842" s="181" t="str">
        <f>IFERROR(LOOKUP(2,1/((B_Drainage!$A$5:$A$204&lt;&gt;"")*(B_Drainage!$A$5:$A$204&lt;=$B842)*(B_Drainage!$B$5:$B$204&gt;$B842)*(B_Drainage!$F$5:$F$204&lt;&gt;"")),IF(B_Drainage!$F$5:$F$204="-","",B_Drainage!$F$5:$F$204)),"")</f>
        <v/>
      </c>
      <c r="X842" s="181" t="str">
        <f>IFERROR(LOOKUP(2,1/((B_Drainage!$A$5:$A$204&lt;&gt;"")*(B_Drainage!$A$5:$A$204&lt;=$B842)*(B_Drainage!$B$5:$B$204&gt;$B842)*(B_Drainage!$G$5:$G$204&lt;&gt;"")),IF(UPPER(B_Drainage!$G$5:$G$204)="Y",1,"")),"")</f>
        <v/>
      </c>
      <c r="Y842" s="181" t="str">
        <f>IFERROR(LOOKUP(2,1/((B_Drainage!$A$5:$A$204&lt;&gt;"")*(B_Drainage!$A$5:$A$204&lt;=$B842)*(B_Drainage!$B$5:$B$204&gt;$B842)*(B_Drainage!$H$5:$H$204&lt;&gt;"")),IF(UPPER(B_Drainage!$H$5:$H$204)="Y",1,"")),"")</f>
        <v/>
      </c>
      <c r="Z842" s="181" t="str">
        <f>IFERROR(LOOKUP(2,1/((B_Drainage!$A$5:$A$204&lt;&gt;"")*(B_Drainage!$A$5:$A$204&lt;=$B842)*(B_Drainage!$B$5:$B$204&gt;$B842)*(B_Drainage!$I$5:$I$204&lt;&gt;"")),IF(UPPER(B_Drainage!$I$5:$I$204)="Y",1,"")),"")</f>
        <v/>
      </c>
      <c r="AA842" s="181" t="str">
        <f>IFERROR(LOOKUP(2,1/((B_Drainage!$A$5:$A$204&lt;&gt;"")*(B_Drainage!$A$5:$A$204&lt;=$B842)*(B_Drainage!$B$5:$B$204&gt;$B842)*(B_Drainage!$J$5:$J$204&lt;&gt;"")),IF(UPPER(B_Drainage!$J$5:$J$204)="Y",1,"")),"")</f>
        <v/>
      </c>
      <c r="AB842" s="182" t="str">
        <f>IFERROR(LOOKUP(2,1/((B_Drainage!$A$5:$A$204&lt;&gt;"")*(B_Drainage!$A$5:$A$204&lt;=$B842)*(B_Drainage!$B$5:$B$204&gt;$B842)*(B_Drainage!$K$5:$K$204&lt;&gt;"")),IF(B_Drainage!$K$5:$K$204="-","",B_Drainage!$K$5:$K$204)),"")</f>
        <v/>
      </c>
      <c r="AC842" s="182" t="str">
        <f>IFERROR(LOOKUP(2,1/((B_Drainage!$A$5:$A$204&lt;&gt;"")*(B_Drainage!$A$5:$A$204&lt;=$B842)*(B_Drainage!$B$5:$B$204&gt;$B842)*(B_Drainage!$L$5:$L$204&lt;&gt;"")),IF(B_Drainage!$L$5:$L$204="-","",B_Drainage!$L$5:$L$204)),"")</f>
        <v/>
      </c>
      <c r="AD842" s="182" t="str">
        <f>IFERROR(LOOKUP(2,1/((D_Points!$A$5:$A$204&lt;&gt;"")*(D_Points!$A$5:$A$204&gt;=$B842)*(D_Points!$A$5:$A$204&lt;$B842+P_Interval)*(UPPER(TRIM(D_Points!$B$5:$B$204))="TURNOUT_L")*(D_Points!$H$5:$H$204&lt;&gt;"")),D_Points!$H$5:$H$204),"")</f>
        <v/>
      </c>
      <c r="AE842" s="182" t="str">
        <f>IFERROR(LOOKUP(2,1/((D_Points!$A$5:$A$204&lt;&gt;"")*(D_Points!$A$5:$A$204&gt;=$B842)*(D_Points!$A$5:$A$204&lt;$B842+P_Interval)*(UPPER(TRIM(D_Points!$B$5:$B$204))="TURNOUT_R")*(D_Points!$H$5:$H$204&lt;&gt;"")),D_Points!$H$5:$H$204),"")</f>
        <v/>
      </c>
      <c r="AF842" s="181" t="str">
        <f>IFERROR(LOOKUP(2,1/((B_Drainage!$A$5:$A$204&lt;&gt;"")*(B_Drainage!$A$5:$A$204&lt;=$B842)*(B_Drainage!$B$5:$B$204&gt;$B842)*(B_Drainage!$M$5:$M$204&lt;&gt;"")),IF(UPPER(B_Drainage!$M$5:$M$204)="Y",1,"")),"")</f>
        <v/>
      </c>
      <c r="AG842" s="181" t="str">
        <f>IFERROR(LOOKUP(2,1/((B_Drainage!$A$5:$A$204&lt;&gt;"")*(B_Drainage!$A$5:$A$204&lt;=$B842)*(B_Drainage!$B$5:$B$204&gt;$B842)*(B_Drainage!$N$5:$N$204&lt;&gt;"")),IF(UPPER(B_Drainage!$N$5:$N$204)="Y",1,"")),"")</f>
        <v/>
      </c>
      <c r="AH842" s="181" t="str">
        <f t="shared" si="104"/>
        <v/>
      </c>
      <c r="AI842" s="181" t="str">
        <f t="shared" si="105"/>
        <v/>
      </c>
      <c r="AJ842" s="181" t="str">
        <f t="shared" si="106"/>
        <v/>
      </c>
      <c r="AK842" s="181" t="str">
        <f t="shared" si="107"/>
        <v/>
      </c>
      <c r="AL842" s="181" t="str">
        <f t="shared" si="108"/>
        <v/>
      </c>
      <c r="AM842" s="181" t="str">
        <f t="shared" si="109"/>
        <v/>
      </c>
      <c r="AN842" s="181" t="str">
        <f t="shared" si="110"/>
        <v/>
      </c>
      <c r="AO842" s="192" t="str">
        <f t="shared" si="111"/>
        <v/>
      </c>
      <c r="AQ842" t="str">
        <f>IFERROR(LOOKUP(2,1/((C_Pavement!$A$5:$A$204&lt;&gt;"")*(C_Pavement!$A$5:$A$204&lt;=$B842)*(C_Pavement!$B$5:$B$204&gt;$B842)*(C_Pavement!$C$5:$C$204&lt;&gt;"")),ROW(C_Pavement!$C$5:$C$204)-4),"")</f>
        <v/>
      </c>
      <c r="AR842" t="str">
        <f>IF($AQ842="","",UPPER(TRIM(INDEX(C_Pavement!$C$5:$C$204,$AQ842))))</f>
        <v/>
      </c>
      <c r="AS842" t="str">
        <f>IF($AR842="","",IFERROR(MATCH($AR842,E_Rules!$A$5:$A$9,0),""))</f>
        <v/>
      </c>
      <c r="AT842" t="str">
        <f>IF($AQ842="","",IF(INDEX(C_Pavement!$D$5:$D$204,$AQ842)&lt;&gt;"",UPPER(TRIM(INDEX(C_Pavement!$D$5:$D$204,$AQ842))),IF($AS842="","",INDEX(E_Rules!$C$5:$C$9,$AS842))))</f>
        <v/>
      </c>
      <c r="AU842" t="str">
        <f>IF($AQ842="","",IF(INDEX(C_Pavement!$E$5:$E$204,$AQ842)&lt;&gt;"",IF(INDEX(C_Pavement!$E$5:$E$204,$AQ842)="-","",INDEX(C_Pavement!$E$5:$E$204,$AQ842)),IF($AS842="","",INDEX(E_Rules!$D$5:$D$9,$AS842))))</f>
        <v/>
      </c>
      <c r="AV842" t="str">
        <f>IF($AQ842="","",IF(INDEX(C_Pavement!$F$5:$F$204,$AQ842)&lt;&gt;"",IF(INDEX(C_Pavement!$F$5:$F$204,$AQ842)="-","",INDEX(C_Pavement!$F$5:$F$204,$AQ842)),IF($AS842="","",INDEX(E_Rules!$E$5:$E$9,$AS842))))</f>
        <v/>
      </c>
      <c r="AW842" t="str">
        <f>IF($AQ842="","",IF(INDEX(C_Pavement!$G$5:$G$204,$AQ842)&lt;&gt;"",IF(INDEX(C_Pavement!$G$5:$G$204,$AQ842)="-","",INDEX(C_Pavement!$G$5:$G$204,$AQ842)),IF($AS842="","",INDEX(E_Rules!$F$5:$F$9,$AS842))))</f>
        <v/>
      </c>
      <c r="AX842" t="str">
        <f>IF($AQ842="","",IF(INDEX(C_Pavement!$H$5:$H$204,$AQ842)&lt;&gt;"",IF(INDEX(C_Pavement!$H$5:$H$204,$AQ842)="-","",INDEX(C_Pavement!$H$5:$H$204,$AQ842)),IF($AS842="","",INDEX(E_Rules!$G$5:$G$9,$AS842))))</f>
        <v/>
      </c>
      <c r="AY842" t="str">
        <f>IF($AQ842="","",IF(INDEX(C_Pavement!$I$5:$I$204,$AQ842)&lt;&gt;"",IF(INDEX(C_Pavement!$I$5:$I$204,$AQ842)="-","",INDEX(C_Pavement!$I$5:$I$204,$AQ842)),IF($AS842="","",INDEX(E_Rules!$H$5:$H$9,$AS842))))</f>
        <v/>
      </c>
    </row>
    <row r="843" spans="1:51" ht="15.75" customHeight="1" x14ac:dyDescent="0.3">
      <c r="A843" s="189">
        <v>838</v>
      </c>
      <c r="B843" s="180">
        <v>41850</v>
      </c>
      <c r="C843" s="180" t="s">
        <v>1149</v>
      </c>
      <c r="D843" s="181" t="str">
        <f>IFERROR(LOOKUP(2,1/((A_Corridor!$A$5:$A$204&lt;&gt;"")*(A_Corridor!$A$5:$A$204&lt;=$B843)*(A_Corridor!$B$5:$B$204&gt;$B843)*(A_Corridor!$C$5:$C$204&lt;&gt;"")),IF(UPPER(A_Corridor!$C$5:$C$204)="Y",1,"")),"")</f>
        <v/>
      </c>
      <c r="E843" s="181" t="str">
        <f>IFERROR(LOOKUP(2,1/((A_Corridor!$A$5:$A$204&lt;&gt;"")*(A_Corridor!$A$5:$A$204&lt;=$B843)*(A_Corridor!$B$5:$B$204&gt;$B843)*(A_Corridor!$D$5:$D$204&lt;&gt;"")),IF(A_Corridor!$D$5:$D$204="-","",UPPER(A_Corridor!$D$5:$D$204))),"")</f>
        <v/>
      </c>
      <c r="F843" s="181" t="str">
        <f>IFERROR(LOOKUP(2,1/((A_Corridor!$A$5:$A$204&lt;&gt;"")*(A_Corridor!$A$5:$A$204&lt;=$B843)*(A_Corridor!$B$5:$B$204&gt;$B843)*(A_Corridor!$E$5:$E$204&lt;&gt;"")),IF(A_Corridor!$E$5:$E$204="-","",1)),"")</f>
        <v/>
      </c>
      <c r="G843" s="182" t="str">
        <f>IFERROR(LOOKUP(2,1/((A_Corridor!$A$5:$A$204&lt;&gt;"")*(A_Corridor!$A$5:$A$204&lt;=$B843)*(A_Corridor!$B$5:$B$204&gt;$B843)*(A_Corridor!$E$5:$E$204&lt;&gt;"")),IF(A_Corridor!$E$5:$E$204="-","",A_Corridor!$E$5:$E$204)),"")</f>
        <v/>
      </c>
      <c r="H843" s="182" t="str">
        <f>IFERROR(LOOKUP(2,1/((D_Points!$A$5:$A$204&lt;&gt;"")*(D_Points!$A$5:$A$204&gt;=$B843)*(D_Points!$A$5:$A$204&lt;$B843+P_Interval)*(UPPER(TRIM(D_Points!$B$5:$B$204))="GULLY")*(D_Points!$H$5:$H$204&lt;&gt;"")),D_Points!$H$5:$H$204),"")</f>
        <v/>
      </c>
      <c r="I843" s="181" t="str">
        <f>IFERROR(LOOKUP(2,1/((A_Corridor!$A$5:$A$204&lt;&gt;"")*(A_Corridor!$A$5:$A$204&lt;=$B843)*(A_Corridor!$B$5:$B$204&gt;$B843)*(A_Corridor!$F$5:$F$204&lt;&gt;"")),IF(A_Corridor!$F$5:$F$204="-","",1)),"")</f>
        <v/>
      </c>
      <c r="J843" s="182" t="str">
        <f>IFERROR(LOOKUP(2,1/((A_Corridor!$A$5:$A$204&lt;&gt;"")*(A_Corridor!$A$5:$A$204&lt;=$B843)*(A_Corridor!$B$5:$B$204&gt;$B843)*(A_Corridor!$F$5:$F$204&lt;&gt;"")),IF(A_Corridor!$F$5:$F$204="-","",A_Corridor!$F$5:$F$204)),"")</f>
        <v/>
      </c>
      <c r="K843" s="182" t="str">
        <f>IFERROR(LOOKUP(2,1/((A_Corridor!$A$5:$A$204&lt;&gt;"")*(A_Corridor!$A$5:$A$204&lt;=$B843)*(A_Corridor!$B$5:$B$204&gt;$B843)*(A_Corridor!$G$5:$G$204&lt;&gt;"")),IF(A_Corridor!$G$5:$G$204="-","",A_Corridor!$G$5:$G$204)),"")</f>
        <v/>
      </c>
      <c r="L843" s="181" t="str">
        <f>IFERROR(LOOKUP(2,1/((A_Corridor!$A$5:$A$204&lt;&gt;"")*(A_Corridor!$A$5:$A$204&lt;=$B843)*(A_Corridor!$B$5:$B$204&gt;$B843)*(A_Corridor!$H$5:$H$204&lt;&gt;"")),IF(A_Corridor!$H$5:$H$204="-","",1)),"")</f>
        <v/>
      </c>
      <c r="M843" s="182" t="str">
        <f>IFERROR(LOOKUP(2,1/((A_Corridor!$A$5:$A$204&lt;&gt;"")*(A_Corridor!$A$5:$A$204&lt;=$B843)*(A_Corridor!$B$5:$B$204&gt;$B843)*(A_Corridor!$H$5:$H$204&lt;&gt;"")),IF(A_Corridor!$H$5:$H$204="-","",A_Corridor!$H$5:$H$204)),"")</f>
        <v/>
      </c>
      <c r="N843" s="182" t="str">
        <f>IFERROR(LOOKUP(2,1/((A_Corridor!$A$5:$A$204&lt;&gt;"")*(A_Corridor!$A$5:$A$204&lt;=$B843)*(A_Corridor!$B$5:$B$204&gt;$B843)*(A_Corridor!$I$5:$I$204&lt;&gt;"")),IF(A_Corridor!$I$5:$I$204="-","",A_Corridor!$I$5:$I$204)),"")</f>
        <v/>
      </c>
      <c r="O843" s="182" t="str">
        <f>IFERROR(LOOKUP(2,1/((D_Points!$A$5:$A$204&lt;&gt;"")*(D_Points!$A$5:$A$204&gt;=$B843)*(D_Points!$A$5:$A$204&lt;$B843+P_Interval)*(UPPER(TRIM(D_Points!$B$5:$B$204))="PITCHING")*(D_Points!$H$5:$H$204&lt;&gt;"")),D_Points!$H$5:$H$204),"")</f>
        <v/>
      </c>
      <c r="P843" s="181" t="str">
        <f>IFERROR(LOOKUP(2,1/((B_Drainage!$A$5:$A$204&lt;&gt;"")*(B_Drainage!$A$5:$A$204&lt;=$B843)*(B_Drainage!$B$5:$B$204&gt;$B843)*(B_Drainage!$C$5:$C$204&lt;&gt;"")),IF(B_Drainage!$C$5:$C$204="-","",UPPER(B_Drainage!$C$5:$C$204))),"")</f>
        <v/>
      </c>
      <c r="Q843" s="181" t="str">
        <f>IFERROR(LOOKUP(2,1/((B_Drainage!$A$5:$A$204&lt;&gt;"")*(B_Drainage!$A$5:$A$204&lt;=$B843)*(B_Drainage!$B$5:$B$204&gt;$B843)*(B_Drainage!$D$5:$D$204&lt;&gt;"")),IF(B_Drainage!$D$5:$D$204="-","",UPPER(B_Drainage!$D$5:$D$204))),"")</f>
        <v/>
      </c>
      <c r="R843" s="182" t="str">
        <f>IFERROR(LOOKUP(2,1/((D_Points!$A$5:$A$204&lt;&gt;"")*(D_Points!$A$5:$A$204&gt;=$B843)*(D_Points!$A$5:$A$204&lt;$B843+P_Interval)*(RIGHT(UPPER(TRIM(D_Points!$B$5:$B$204)),8)="_CULVERT")),IF(LEFT(UPPER(TRIM(D_Points!$B$5:$B$204)),2)="EX",1,IF(LEFT(UPPER(TRIM(D_Points!$B$5:$B$204)),2)="PR",2,3))),"")</f>
        <v/>
      </c>
      <c r="S843" s="182" t="str">
        <f>IFERROR(LOOKUP(2,1/((D_Points!$A$5:$A$204&lt;&gt;"")*(D_Points!$A$5:$A$204&gt;=$B843)*(D_Points!$A$5:$A$204&lt;$B843+P_Interval)*(RIGHT(UPPER(TRIM(D_Points!$B$5:$B$204)),7)="_BRIDGE")),IF(LEFT(UPPER(TRIM(D_Points!$B$5:$B$204)),2)="EX",1,IF(LEFT(UPPER(TRIM(D_Points!$B$5:$B$204)),2)="PR",2,2))),"")</f>
        <v/>
      </c>
      <c r="T843" s="181" t="str">
        <f>IFERROR(LOOKUP(2,1/((B_Drainage!$A$5:$A$204&lt;&gt;"")*(B_Drainage!$A$5:$A$204&lt;=$B843)*(B_Drainage!$B$5:$B$204&gt;$B843)*(B_Drainage!$E$5:$E$204&lt;&gt;"")),IF(B_Drainage!$E$5:$E$204="-","",1)),"")</f>
        <v/>
      </c>
      <c r="U843" s="181" t="str">
        <f>IFERROR(LOOKUP(2,1/((B_Drainage!$A$5:$A$204&lt;&gt;"")*(B_Drainage!$A$5:$A$204&lt;=$B843)*(B_Drainage!$B$5:$B$204&gt;$B843)*(B_Drainage!$E$5:$E$204&lt;&gt;"")),IF(B_Drainage!$E$5:$E$204="-","",B_Drainage!$E$5:$E$204)),"")</f>
        <v/>
      </c>
      <c r="V843" s="181" t="str">
        <f>IFERROR(LOOKUP(2,1/((B_Drainage!$A$5:$A$204&lt;&gt;"")*(B_Drainage!$A$5:$A$204&lt;=$B843)*(B_Drainage!$B$5:$B$204&gt;$B843)*(B_Drainage!$F$5:$F$204&lt;&gt;"")),IF(B_Drainage!$F$5:$F$204="-","",1)),"")</f>
        <v/>
      </c>
      <c r="W843" s="181" t="str">
        <f>IFERROR(LOOKUP(2,1/((B_Drainage!$A$5:$A$204&lt;&gt;"")*(B_Drainage!$A$5:$A$204&lt;=$B843)*(B_Drainage!$B$5:$B$204&gt;$B843)*(B_Drainage!$F$5:$F$204&lt;&gt;"")),IF(B_Drainage!$F$5:$F$204="-","",B_Drainage!$F$5:$F$204)),"")</f>
        <v/>
      </c>
      <c r="X843" s="181" t="str">
        <f>IFERROR(LOOKUP(2,1/((B_Drainage!$A$5:$A$204&lt;&gt;"")*(B_Drainage!$A$5:$A$204&lt;=$B843)*(B_Drainage!$B$5:$B$204&gt;$B843)*(B_Drainage!$G$5:$G$204&lt;&gt;"")),IF(UPPER(B_Drainage!$G$5:$G$204)="Y",1,"")),"")</f>
        <v/>
      </c>
      <c r="Y843" s="181" t="str">
        <f>IFERROR(LOOKUP(2,1/((B_Drainage!$A$5:$A$204&lt;&gt;"")*(B_Drainage!$A$5:$A$204&lt;=$B843)*(B_Drainage!$B$5:$B$204&gt;$B843)*(B_Drainage!$H$5:$H$204&lt;&gt;"")),IF(UPPER(B_Drainage!$H$5:$H$204)="Y",1,"")),"")</f>
        <v/>
      </c>
      <c r="Z843" s="181" t="str">
        <f>IFERROR(LOOKUP(2,1/((B_Drainage!$A$5:$A$204&lt;&gt;"")*(B_Drainage!$A$5:$A$204&lt;=$B843)*(B_Drainage!$B$5:$B$204&gt;$B843)*(B_Drainage!$I$5:$I$204&lt;&gt;"")),IF(UPPER(B_Drainage!$I$5:$I$204)="Y",1,"")),"")</f>
        <v/>
      </c>
      <c r="AA843" s="181" t="str">
        <f>IFERROR(LOOKUP(2,1/((B_Drainage!$A$5:$A$204&lt;&gt;"")*(B_Drainage!$A$5:$A$204&lt;=$B843)*(B_Drainage!$B$5:$B$204&gt;$B843)*(B_Drainage!$J$5:$J$204&lt;&gt;"")),IF(UPPER(B_Drainage!$J$5:$J$204)="Y",1,"")),"")</f>
        <v/>
      </c>
      <c r="AB843" s="182" t="str">
        <f>IFERROR(LOOKUP(2,1/((B_Drainage!$A$5:$A$204&lt;&gt;"")*(B_Drainage!$A$5:$A$204&lt;=$B843)*(B_Drainage!$B$5:$B$204&gt;$B843)*(B_Drainage!$K$5:$K$204&lt;&gt;"")),IF(B_Drainage!$K$5:$K$204="-","",B_Drainage!$K$5:$K$204)),"")</f>
        <v/>
      </c>
      <c r="AC843" s="182" t="str">
        <f>IFERROR(LOOKUP(2,1/((B_Drainage!$A$5:$A$204&lt;&gt;"")*(B_Drainage!$A$5:$A$204&lt;=$B843)*(B_Drainage!$B$5:$B$204&gt;$B843)*(B_Drainage!$L$5:$L$204&lt;&gt;"")),IF(B_Drainage!$L$5:$L$204="-","",B_Drainage!$L$5:$L$204)),"")</f>
        <v/>
      </c>
      <c r="AD843" s="182" t="str">
        <f>IFERROR(LOOKUP(2,1/((D_Points!$A$5:$A$204&lt;&gt;"")*(D_Points!$A$5:$A$204&gt;=$B843)*(D_Points!$A$5:$A$204&lt;$B843+P_Interval)*(UPPER(TRIM(D_Points!$B$5:$B$204))="TURNOUT_L")*(D_Points!$H$5:$H$204&lt;&gt;"")),D_Points!$H$5:$H$204),"")</f>
        <v/>
      </c>
      <c r="AE843" s="182" t="str">
        <f>IFERROR(LOOKUP(2,1/((D_Points!$A$5:$A$204&lt;&gt;"")*(D_Points!$A$5:$A$204&gt;=$B843)*(D_Points!$A$5:$A$204&lt;$B843+P_Interval)*(UPPER(TRIM(D_Points!$B$5:$B$204))="TURNOUT_R")*(D_Points!$H$5:$H$204&lt;&gt;"")),D_Points!$H$5:$H$204),"")</f>
        <v/>
      </c>
      <c r="AF843" s="181" t="str">
        <f>IFERROR(LOOKUP(2,1/((B_Drainage!$A$5:$A$204&lt;&gt;"")*(B_Drainage!$A$5:$A$204&lt;=$B843)*(B_Drainage!$B$5:$B$204&gt;$B843)*(B_Drainage!$M$5:$M$204&lt;&gt;"")),IF(UPPER(B_Drainage!$M$5:$M$204)="Y",1,"")),"")</f>
        <v/>
      </c>
      <c r="AG843" s="181" t="str">
        <f>IFERROR(LOOKUP(2,1/((B_Drainage!$A$5:$A$204&lt;&gt;"")*(B_Drainage!$A$5:$A$204&lt;=$B843)*(B_Drainage!$B$5:$B$204&gt;$B843)*(B_Drainage!$N$5:$N$204&lt;&gt;"")),IF(UPPER(B_Drainage!$N$5:$N$204)="Y",1,"")),"")</f>
        <v/>
      </c>
      <c r="AH843" s="181" t="str">
        <f t="shared" si="104"/>
        <v/>
      </c>
      <c r="AI843" s="181" t="str">
        <f t="shared" si="105"/>
        <v/>
      </c>
      <c r="AJ843" s="181" t="str">
        <f t="shared" si="106"/>
        <v/>
      </c>
      <c r="AK843" s="181" t="str">
        <f t="shared" si="107"/>
        <v/>
      </c>
      <c r="AL843" s="181" t="str">
        <f t="shared" si="108"/>
        <v/>
      </c>
      <c r="AM843" s="181" t="str">
        <f t="shared" si="109"/>
        <v/>
      </c>
      <c r="AN843" s="181" t="str">
        <f t="shared" si="110"/>
        <v/>
      </c>
      <c r="AO843" s="192" t="str">
        <f t="shared" si="111"/>
        <v/>
      </c>
      <c r="AQ843" t="str">
        <f>IFERROR(LOOKUP(2,1/((C_Pavement!$A$5:$A$204&lt;&gt;"")*(C_Pavement!$A$5:$A$204&lt;=$B843)*(C_Pavement!$B$5:$B$204&gt;$B843)*(C_Pavement!$C$5:$C$204&lt;&gt;"")),ROW(C_Pavement!$C$5:$C$204)-4),"")</f>
        <v/>
      </c>
      <c r="AR843" t="str">
        <f>IF($AQ843="","",UPPER(TRIM(INDEX(C_Pavement!$C$5:$C$204,$AQ843))))</f>
        <v/>
      </c>
      <c r="AS843" t="str">
        <f>IF($AR843="","",IFERROR(MATCH($AR843,E_Rules!$A$5:$A$9,0),""))</f>
        <v/>
      </c>
      <c r="AT843" t="str">
        <f>IF($AQ843="","",IF(INDEX(C_Pavement!$D$5:$D$204,$AQ843)&lt;&gt;"",UPPER(TRIM(INDEX(C_Pavement!$D$5:$D$204,$AQ843))),IF($AS843="","",INDEX(E_Rules!$C$5:$C$9,$AS843))))</f>
        <v/>
      </c>
      <c r="AU843" t="str">
        <f>IF($AQ843="","",IF(INDEX(C_Pavement!$E$5:$E$204,$AQ843)&lt;&gt;"",IF(INDEX(C_Pavement!$E$5:$E$204,$AQ843)="-","",INDEX(C_Pavement!$E$5:$E$204,$AQ843)),IF($AS843="","",INDEX(E_Rules!$D$5:$D$9,$AS843))))</f>
        <v/>
      </c>
      <c r="AV843" t="str">
        <f>IF($AQ843="","",IF(INDEX(C_Pavement!$F$5:$F$204,$AQ843)&lt;&gt;"",IF(INDEX(C_Pavement!$F$5:$F$204,$AQ843)="-","",INDEX(C_Pavement!$F$5:$F$204,$AQ843)),IF($AS843="","",INDEX(E_Rules!$E$5:$E$9,$AS843))))</f>
        <v/>
      </c>
      <c r="AW843" t="str">
        <f>IF($AQ843="","",IF(INDEX(C_Pavement!$G$5:$G$204,$AQ843)&lt;&gt;"",IF(INDEX(C_Pavement!$G$5:$G$204,$AQ843)="-","",INDEX(C_Pavement!$G$5:$G$204,$AQ843)),IF($AS843="","",INDEX(E_Rules!$F$5:$F$9,$AS843))))</f>
        <v/>
      </c>
      <c r="AX843" t="str">
        <f>IF($AQ843="","",IF(INDEX(C_Pavement!$H$5:$H$204,$AQ843)&lt;&gt;"",IF(INDEX(C_Pavement!$H$5:$H$204,$AQ843)="-","",INDEX(C_Pavement!$H$5:$H$204,$AQ843)),IF($AS843="","",INDEX(E_Rules!$G$5:$G$9,$AS843))))</f>
        <v/>
      </c>
      <c r="AY843" t="str">
        <f>IF($AQ843="","",IF(INDEX(C_Pavement!$I$5:$I$204,$AQ843)&lt;&gt;"",IF(INDEX(C_Pavement!$I$5:$I$204,$AQ843)="-","",INDEX(C_Pavement!$I$5:$I$204,$AQ843)),IF($AS843="","",INDEX(E_Rules!$H$5:$H$9,$AS843))))</f>
        <v/>
      </c>
    </row>
    <row r="844" spans="1:51" ht="15.75" customHeight="1" x14ac:dyDescent="0.3">
      <c r="A844" s="189">
        <v>839</v>
      </c>
      <c r="B844" s="180">
        <v>41900</v>
      </c>
      <c r="C844" s="180" t="s">
        <v>1150</v>
      </c>
      <c r="D844" s="181" t="str">
        <f>IFERROR(LOOKUP(2,1/((A_Corridor!$A$5:$A$204&lt;&gt;"")*(A_Corridor!$A$5:$A$204&lt;=$B844)*(A_Corridor!$B$5:$B$204&gt;$B844)*(A_Corridor!$C$5:$C$204&lt;&gt;"")),IF(UPPER(A_Corridor!$C$5:$C$204)="Y",1,"")),"")</f>
        <v/>
      </c>
      <c r="E844" s="181" t="str">
        <f>IFERROR(LOOKUP(2,1/((A_Corridor!$A$5:$A$204&lt;&gt;"")*(A_Corridor!$A$5:$A$204&lt;=$B844)*(A_Corridor!$B$5:$B$204&gt;$B844)*(A_Corridor!$D$5:$D$204&lt;&gt;"")),IF(A_Corridor!$D$5:$D$204="-","",UPPER(A_Corridor!$D$5:$D$204))),"")</f>
        <v/>
      </c>
      <c r="F844" s="181" t="str">
        <f>IFERROR(LOOKUP(2,1/((A_Corridor!$A$5:$A$204&lt;&gt;"")*(A_Corridor!$A$5:$A$204&lt;=$B844)*(A_Corridor!$B$5:$B$204&gt;$B844)*(A_Corridor!$E$5:$E$204&lt;&gt;"")),IF(A_Corridor!$E$5:$E$204="-","",1)),"")</f>
        <v/>
      </c>
      <c r="G844" s="182" t="str">
        <f>IFERROR(LOOKUP(2,1/((A_Corridor!$A$5:$A$204&lt;&gt;"")*(A_Corridor!$A$5:$A$204&lt;=$B844)*(A_Corridor!$B$5:$B$204&gt;$B844)*(A_Corridor!$E$5:$E$204&lt;&gt;"")),IF(A_Corridor!$E$5:$E$204="-","",A_Corridor!$E$5:$E$204)),"")</f>
        <v/>
      </c>
      <c r="H844" s="182" t="str">
        <f>IFERROR(LOOKUP(2,1/((D_Points!$A$5:$A$204&lt;&gt;"")*(D_Points!$A$5:$A$204&gt;=$B844)*(D_Points!$A$5:$A$204&lt;$B844+P_Interval)*(UPPER(TRIM(D_Points!$B$5:$B$204))="GULLY")*(D_Points!$H$5:$H$204&lt;&gt;"")),D_Points!$H$5:$H$204),"")</f>
        <v/>
      </c>
      <c r="I844" s="181" t="str">
        <f>IFERROR(LOOKUP(2,1/((A_Corridor!$A$5:$A$204&lt;&gt;"")*(A_Corridor!$A$5:$A$204&lt;=$B844)*(A_Corridor!$B$5:$B$204&gt;$B844)*(A_Corridor!$F$5:$F$204&lt;&gt;"")),IF(A_Corridor!$F$5:$F$204="-","",1)),"")</f>
        <v/>
      </c>
      <c r="J844" s="182" t="str">
        <f>IFERROR(LOOKUP(2,1/((A_Corridor!$A$5:$A$204&lt;&gt;"")*(A_Corridor!$A$5:$A$204&lt;=$B844)*(A_Corridor!$B$5:$B$204&gt;$B844)*(A_Corridor!$F$5:$F$204&lt;&gt;"")),IF(A_Corridor!$F$5:$F$204="-","",A_Corridor!$F$5:$F$204)),"")</f>
        <v/>
      </c>
      <c r="K844" s="182" t="str">
        <f>IFERROR(LOOKUP(2,1/((A_Corridor!$A$5:$A$204&lt;&gt;"")*(A_Corridor!$A$5:$A$204&lt;=$B844)*(A_Corridor!$B$5:$B$204&gt;$B844)*(A_Corridor!$G$5:$G$204&lt;&gt;"")),IF(A_Corridor!$G$5:$G$204="-","",A_Corridor!$G$5:$G$204)),"")</f>
        <v/>
      </c>
      <c r="L844" s="181" t="str">
        <f>IFERROR(LOOKUP(2,1/((A_Corridor!$A$5:$A$204&lt;&gt;"")*(A_Corridor!$A$5:$A$204&lt;=$B844)*(A_Corridor!$B$5:$B$204&gt;$B844)*(A_Corridor!$H$5:$H$204&lt;&gt;"")),IF(A_Corridor!$H$5:$H$204="-","",1)),"")</f>
        <v/>
      </c>
      <c r="M844" s="182" t="str">
        <f>IFERROR(LOOKUP(2,1/((A_Corridor!$A$5:$A$204&lt;&gt;"")*(A_Corridor!$A$5:$A$204&lt;=$B844)*(A_Corridor!$B$5:$B$204&gt;$B844)*(A_Corridor!$H$5:$H$204&lt;&gt;"")),IF(A_Corridor!$H$5:$H$204="-","",A_Corridor!$H$5:$H$204)),"")</f>
        <v/>
      </c>
      <c r="N844" s="182" t="str">
        <f>IFERROR(LOOKUP(2,1/((A_Corridor!$A$5:$A$204&lt;&gt;"")*(A_Corridor!$A$5:$A$204&lt;=$B844)*(A_Corridor!$B$5:$B$204&gt;$B844)*(A_Corridor!$I$5:$I$204&lt;&gt;"")),IF(A_Corridor!$I$5:$I$204="-","",A_Corridor!$I$5:$I$204)),"")</f>
        <v/>
      </c>
      <c r="O844" s="182" t="str">
        <f>IFERROR(LOOKUP(2,1/((D_Points!$A$5:$A$204&lt;&gt;"")*(D_Points!$A$5:$A$204&gt;=$B844)*(D_Points!$A$5:$A$204&lt;$B844+P_Interval)*(UPPER(TRIM(D_Points!$B$5:$B$204))="PITCHING")*(D_Points!$H$5:$H$204&lt;&gt;"")),D_Points!$H$5:$H$204),"")</f>
        <v/>
      </c>
      <c r="P844" s="181" t="str">
        <f>IFERROR(LOOKUP(2,1/((B_Drainage!$A$5:$A$204&lt;&gt;"")*(B_Drainage!$A$5:$A$204&lt;=$B844)*(B_Drainage!$B$5:$B$204&gt;$B844)*(B_Drainage!$C$5:$C$204&lt;&gt;"")),IF(B_Drainage!$C$5:$C$204="-","",UPPER(B_Drainage!$C$5:$C$204))),"")</f>
        <v/>
      </c>
      <c r="Q844" s="181" t="str">
        <f>IFERROR(LOOKUP(2,1/((B_Drainage!$A$5:$A$204&lt;&gt;"")*(B_Drainage!$A$5:$A$204&lt;=$B844)*(B_Drainage!$B$5:$B$204&gt;$B844)*(B_Drainage!$D$5:$D$204&lt;&gt;"")),IF(B_Drainage!$D$5:$D$204="-","",UPPER(B_Drainage!$D$5:$D$204))),"")</f>
        <v/>
      </c>
      <c r="R844" s="182" t="str">
        <f>IFERROR(LOOKUP(2,1/((D_Points!$A$5:$A$204&lt;&gt;"")*(D_Points!$A$5:$A$204&gt;=$B844)*(D_Points!$A$5:$A$204&lt;$B844+P_Interval)*(RIGHT(UPPER(TRIM(D_Points!$B$5:$B$204)),8)="_CULVERT")),IF(LEFT(UPPER(TRIM(D_Points!$B$5:$B$204)),2)="EX",1,IF(LEFT(UPPER(TRIM(D_Points!$B$5:$B$204)),2)="PR",2,3))),"")</f>
        <v/>
      </c>
      <c r="S844" s="182" t="str">
        <f>IFERROR(LOOKUP(2,1/((D_Points!$A$5:$A$204&lt;&gt;"")*(D_Points!$A$5:$A$204&gt;=$B844)*(D_Points!$A$5:$A$204&lt;$B844+P_Interval)*(RIGHT(UPPER(TRIM(D_Points!$B$5:$B$204)),7)="_BRIDGE")),IF(LEFT(UPPER(TRIM(D_Points!$B$5:$B$204)),2)="EX",1,IF(LEFT(UPPER(TRIM(D_Points!$B$5:$B$204)),2)="PR",2,2))),"")</f>
        <v/>
      </c>
      <c r="T844" s="181" t="str">
        <f>IFERROR(LOOKUP(2,1/((B_Drainage!$A$5:$A$204&lt;&gt;"")*(B_Drainage!$A$5:$A$204&lt;=$B844)*(B_Drainage!$B$5:$B$204&gt;$B844)*(B_Drainage!$E$5:$E$204&lt;&gt;"")),IF(B_Drainage!$E$5:$E$204="-","",1)),"")</f>
        <v/>
      </c>
      <c r="U844" s="181" t="str">
        <f>IFERROR(LOOKUP(2,1/((B_Drainage!$A$5:$A$204&lt;&gt;"")*(B_Drainage!$A$5:$A$204&lt;=$B844)*(B_Drainage!$B$5:$B$204&gt;$B844)*(B_Drainage!$E$5:$E$204&lt;&gt;"")),IF(B_Drainage!$E$5:$E$204="-","",B_Drainage!$E$5:$E$204)),"")</f>
        <v/>
      </c>
      <c r="V844" s="181" t="str">
        <f>IFERROR(LOOKUP(2,1/((B_Drainage!$A$5:$A$204&lt;&gt;"")*(B_Drainage!$A$5:$A$204&lt;=$B844)*(B_Drainage!$B$5:$B$204&gt;$B844)*(B_Drainage!$F$5:$F$204&lt;&gt;"")),IF(B_Drainage!$F$5:$F$204="-","",1)),"")</f>
        <v/>
      </c>
      <c r="W844" s="181" t="str">
        <f>IFERROR(LOOKUP(2,1/((B_Drainage!$A$5:$A$204&lt;&gt;"")*(B_Drainage!$A$5:$A$204&lt;=$B844)*(B_Drainage!$B$5:$B$204&gt;$B844)*(B_Drainage!$F$5:$F$204&lt;&gt;"")),IF(B_Drainage!$F$5:$F$204="-","",B_Drainage!$F$5:$F$204)),"")</f>
        <v/>
      </c>
      <c r="X844" s="181" t="str">
        <f>IFERROR(LOOKUP(2,1/((B_Drainage!$A$5:$A$204&lt;&gt;"")*(B_Drainage!$A$5:$A$204&lt;=$B844)*(B_Drainage!$B$5:$B$204&gt;$B844)*(B_Drainage!$G$5:$G$204&lt;&gt;"")),IF(UPPER(B_Drainage!$G$5:$G$204)="Y",1,"")),"")</f>
        <v/>
      </c>
      <c r="Y844" s="181" t="str">
        <f>IFERROR(LOOKUP(2,1/((B_Drainage!$A$5:$A$204&lt;&gt;"")*(B_Drainage!$A$5:$A$204&lt;=$B844)*(B_Drainage!$B$5:$B$204&gt;$B844)*(B_Drainage!$H$5:$H$204&lt;&gt;"")),IF(UPPER(B_Drainage!$H$5:$H$204)="Y",1,"")),"")</f>
        <v/>
      </c>
      <c r="Z844" s="181" t="str">
        <f>IFERROR(LOOKUP(2,1/((B_Drainage!$A$5:$A$204&lt;&gt;"")*(B_Drainage!$A$5:$A$204&lt;=$B844)*(B_Drainage!$B$5:$B$204&gt;$B844)*(B_Drainage!$I$5:$I$204&lt;&gt;"")),IF(UPPER(B_Drainage!$I$5:$I$204)="Y",1,"")),"")</f>
        <v/>
      </c>
      <c r="AA844" s="181" t="str">
        <f>IFERROR(LOOKUP(2,1/((B_Drainage!$A$5:$A$204&lt;&gt;"")*(B_Drainage!$A$5:$A$204&lt;=$B844)*(B_Drainage!$B$5:$B$204&gt;$B844)*(B_Drainage!$J$5:$J$204&lt;&gt;"")),IF(UPPER(B_Drainage!$J$5:$J$204)="Y",1,"")),"")</f>
        <v/>
      </c>
      <c r="AB844" s="182" t="str">
        <f>IFERROR(LOOKUP(2,1/((B_Drainage!$A$5:$A$204&lt;&gt;"")*(B_Drainage!$A$5:$A$204&lt;=$B844)*(B_Drainage!$B$5:$B$204&gt;$B844)*(B_Drainage!$K$5:$K$204&lt;&gt;"")),IF(B_Drainage!$K$5:$K$204="-","",B_Drainage!$K$5:$K$204)),"")</f>
        <v/>
      </c>
      <c r="AC844" s="182" t="str">
        <f>IFERROR(LOOKUP(2,1/((B_Drainage!$A$5:$A$204&lt;&gt;"")*(B_Drainage!$A$5:$A$204&lt;=$B844)*(B_Drainage!$B$5:$B$204&gt;$B844)*(B_Drainage!$L$5:$L$204&lt;&gt;"")),IF(B_Drainage!$L$5:$L$204="-","",B_Drainage!$L$5:$L$204)),"")</f>
        <v/>
      </c>
      <c r="AD844" s="182" t="str">
        <f>IFERROR(LOOKUP(2,1/((D_Points!$A$5:$A$204&lt;&gt;"")*(D_Points!$A$5:$A$204&gt;=$B844)*(D_Points!$A$5:$A$204&lt;$B844+P_Interval)*(UPPER(TRIM(D_Points!$B$5:$B$204))="TURNOUT_L")*(D_Points!$H$5:$H$204&lt;&gt;"")),D_Points!$H$5:$H$204),"")</f>
        <v/>
      </c>
      <c r="AE844" s="182" t="str">
        <f>IFERROR(LOOKUP(2,1/((D_Points!$A$5:$A$204&lt;&gt;"")*(D_Points!$A$5:$A$204&gt;=$B844)*(D_Points!$A$5:$A$204&lt;$B844+P_Interval)*(UPPER(TRIM(D_Points!$B$5:$B$204))="TURNOUT_R")*(D_Points!$H$5:$H$204&lt;&gt;"")),D_Points!$H$5:$H$204),"")</f>
        <v/>
      </c>
      <c r="AF844" s="181" t="str">
        <f>IFERROR(LOOKUP(2,1/((B_Drainage!$A$5:$A$204&lt;&gt;"")*(B_Drainage!$A$5:$A$204&lt;=$B844)*(B_Drainage!$B$5:$B$204&gt;$B844)*(B_Drainage!$M$5:$M$204&lt;&gt;"")),IF(UPPER(B_Drainage!$M$5:$M$204)="Y",1,"")),"")</f>
        <v/>
      </c>
      <c r="AG844" s="181" t="str">
        <f>IFERROR(LOOKUP(2,1/((B_Drainage!$A$5:$A$204&lt;&gt;"")*(B_Drainage!$A$5:$A$204&lt;=$B844)*(B_Drainage!$B$5:$B$204&gt;$B844)*(B_Drainage!$N$5:$N$204&lt;&gt;"")),IF(UPPER(B_Drainage!$N$5:$N$204)="Y",1,"")),"")</f>
        <v/>
      </c>
      <c r="AH844" s="181" t="str">
        <f t="shared" si="104"/>
        <v/>
      </c>
      <c r="AI844" s="181" t="str">
        <f t="shared" si="105"/>
        <v/>
      </c>
      <c r="AJ844" s="181" t="str">
        <f t="shared" si="106"/>
        <v/>
      </c>
      <c r="AK844" s="181" t="str">
        <f t="shared" si="107"/>
        <v/>
      </c>
      <c r="AL844" s="181" t="str">
        <f t="shared" si="108"/>
        <v/>
      </c>
      <c r="AM844" s="181" t="str">
        <f t="shared" si="109"/>
        <v/>
      </c>
      <c r="AN844" s="181" t="str">
        <f t="shared" si="110"/>
        <v/>
      </c>
      <c r="AO844" s="192" t="str">
        <f t="shared" si="111"/>
        <v/>
      </c>
      <c r="AQ844" t="str">
        <f>IFERROR(LOOKUP(2,1/((C_Pavement!$A$5:$A$204&lt;&gt;"")*(C_Pavement!$A$5:$A$204&lt;=$B844)*(C_Pavement!$B$5:$B$204&gt;$B844)*(C_Pavement!$C$5:$C$204&lt;&gt;"")),ROW(C_Pavement!$C$5:$C$204)-4),"")</f>
        <v/>
      </c>
      <c r="AR844" t="str">
        <f>IF($AQ844="","",UPPER(TRIM(INDEX(C_Pavement!$C$5:$C$204,$AQ844))))</f>
        <v/>
      </c>
      <c r="AS844" t="str">
        <f>IF($AR844="","",IFERROR(MATCH($AR844,E_Rules!$A$5:$A$9,0),""))</f>
        <v/>
      </c>
      <c r="AT844" t="str">
        <f>IF($AQ844="","",IF(INDEX(C_Pavement!$D$5:$D$204,$AQ844)&lt;&gt;"",UPPER(TRIM(INDEX(C_Pavement!$D$5:$D$204,$AQ844))),IF($AS844="","",INDEX(E_Rules!$C$5:$C$9,$AS844))))</f>
        <v/>
      </c>
      <c r="AU844" t="str">
        <f>IF($AQ844="","",IF(INDEX(C_Pavement!$E$5:$E$204,$AQ844)&lt;&gt;"",IF(INDEX(C_Pavement!$E$5:$E$204,$AQ844)="-","",INDEX(C_Pavement!$E$5:$E$204,$AQ844)),IF($AS844="","",INDEX(E_Rules!$D$5:$D$9,$AS844))))</f>
        <v/>
      </c>
      <c r="AV844" t="str">
        <f>IF($AQ844="","",IF(INDEX(C_Pavement!$F$5:$F$204,$AQ844)&lt;&gt;"",IF(INDEX(C_Pavement!$F$5:$F$204,$AQ844)="-","",INDEX(C_Pavement!$F$5:$F$204,$AQ844)),IF($AS844="","",INDEX(E_Rules!$E$5:$E$9,$AS844))))</f>
        <v/>
      </c>
      <c r="AW844" t="str">
        <f>IF($AQ844="","",IF(INDEX(C_Pavement!$G$5:$G$204,$AQ844)&lt;&gt;"",IF(INDEX(C_Pavement!$G$5:$G$204,$AQ844)="-","",INDEX(C_Pavement!$G$5:$G$204,$AQ844)),IF($AS844="","",INDEX(E_Rules!$F$5:$F$9,$AS844))))</f>
        <v/>
      </c>
      <c r="AX844" t="str">
        <f>IF($AQ844="","",IF(INDEX(C_Pavement!$H$5:$H$204,$AQ844)&lt;&gt;"",IF(INDEX(C_Pavement!$H$5:$H$204,$AQ844)="-","",INDEX(C_Pavement!$H$5:$H$204,$AQ844)),IF($AS844="","",INDEX(E_Rules!$G$5:$G$9,$AS844))))</f>
        <v/>
      </c>
      <c r="AY844" t="str">
        <f>IF($AQ844="","",IF(INDEX(C_Pavement!$I$5:$I$204,$AQ844)&lt;&gt;"",IF(INDEX(C_Pavement!$I$5:$I$204,$AQ844)="-","",INDEX(C_Pavement!$I$5:$I$204,$AQ844)),IF($AS844="","",INDEX(E_Rules!$H$5:$H$9,$AS844))))</f>
        <v/>
      </c>
    </row>
    <row r="845" spans="1:51" ht="15.75" customHeight="1" x14ac:dyDescent="0.3">
      <c r="A845" s="189">
        <v>840</v>
      </c>
      <c r="B845" s="180">
        <v>41950</v>
      </c>
      <c r="C845" s="180" t="s">
        <v>1151</v>
      </c>
      <c r="D845" s="181" t="str">
        <f>IFERROR(LOOKUP(2,1/((A_Corridor!$A$5:$A$204&lt;&gt;"")*(A_Corridor!$A$5:$A$204&lt;=$B845)*(A_Corridor!$B$5:$B$204&gt;$B845)*(A_Corridor!$C$5:$C$204&lt;&gt;"")),IF(UPPER(A_Corridor!$C$5:$C$204)="Y",1,"")),"")</f>
        <v/>
      </c>
      <c r="E845" s="181" t="str">
        <f>IFERROR(LOOKUP(2,1/((A_Corridor!$A$5:$A$204&lt;&gt;"")*(A_Corridor!$A$5:$A$204&lt;=$B845)*(A_Corridor!$B$5:$B$204&gt;$B845)*(A_Corridor!$D$5:$D$204&lt;&gt;"")),IF(A_Corridor!$D$5:$D$204="-","",UPPER(A_Corridor!$D$5:$D$204))),"")</f>
        <v/>
      </c>
      <c r="F845" s="181" t="str">
        <f>IFERROR(LOOKUP(2,1/((A_Corridor!$A$5:$A$204&lt;&gt;"")*(A_Corridor!$A$5:$A$204&lt;=$B845)*(A_Corridor!$B$5:$B$204&gt;$B845)*(A_Corridor!$E$5:$E$204&lt;&gt;"")),IF(A_Corridor!$E$5:$E$204="-","",1)),"")</f>
        <v/>
      </c>
      <c r="G845" s="182" t="str">
        <f>IFERROR(LOOKUP(2,1/((A_Corridor!$A$5:$A$204&lt;&gt;"")*(A_Corridor!$A$5:$A$204&lt;=$B845)*(A_Corridor!$B$5:$B$204&gt;$B845)*(A_Corridor!$E$5:$E$204&lt;&gt;"")),IF(A_Corridor!$E$5:$E$204="-","",A_Corridor!$E$5:$E$204)),"")</f>
        <v/>
      </c>
      <c r="H845" s="182" t="str">
        <f>IFERROR(LOOKUP(2,1/((D_Points!$A$5:$A$204&lt;&gt;"")*(D_Points!$A$5:$A$204&gt;=$B845)*(D_Points!$A$5:$A$204&lt;$B845+P_Interval)*(UPPER(TRIM(D_Points!$B$5:$B$204))="GULLY")*(D_Points!$H$5:$H$204&lt;&gt;"")),D_Points!$H$5:$H$204),"")</f>
        <v/>
      </c>
      <c r="I845" s="181" t="str">
        <f>IFERROR(LOOKUP(2,1/((A_Corridor!$A$5:$A$204&lt;&gt;"")*(A_Corridor!$A$5:$A$204&lt;=$B845)*(A_Corridor!$B$5:$B$204&gt;$B845)*(A_Corridor!$F$5:$F$204&lt;&gt;"")),IF(A_Corridor!$F$5:$F$204="-","",1)),"")</f>
        <v/>
      </c>
      <c r="J845" s="182" t="str">
        <f>IFERROR(LOOKUP(2,1/((A_Corridor!$A$5:$A$204&lt;&gt;"")*(A_Corridor!$A$5:$A$204&lt;=$B845)*(A_Corridor!$B$5:$B$204&gt;$B845)*(A_Corridor!$F$5:$F$204&lt;&gt;"")),IF(A_Corridor!$F$5:$F$204="-","",A_Corridor!$F$5:$F$204)),"")</f>
        <v/>
      </c>
      <c r="K845" s="182" t="str">
        <f>IFERROR(LOOKUP(2,1/((A_Corridor!$A$5:$A$204&lt;&gt;"")*(A_Corridor!$A$5:$A$204&lt;=$B845)*(A_Corridor!$B$5:$B$204&gt;$B845)*(A_Corridor!$G$5:$G$204&lt;&gt;"")),IF(A_Corridor!$G$5:$G$204="-","",A_Corridor!$G$5:$G$204)),"")</f>
        <v/>
      </c>
      <c r="L845" s="181" t="str">
        <f>IFERROR(LOOKUP(2,1/((A_Corridor!$A$5:$A$204&lt;&gt;"")*(A_Corridor!$A$5:$A$204&lt;=$B845)*(A_Corridor!$B$5:$B$204&gt;$B845)*(A_Corridor!$H$5:$H$204&lt;&gt;"")),IF(A_Corridor!$H$5:$H$204="-","",1)),"")</f>
        <v/>
      </c>
      <c r="M845" s="182" t="str">
        <f>IFERROR(LOOKUP(2,1/((A_Corridor!$A$5:$A$204&lt;&gt;"")*(A_Corridor!$A$5:$A$204&lt;=$B845)*(A_Corridor!$B$5:$B$204&gt;$B845)*(A_Corridor!$H$5:$H$204&lt;&gt;"")),IF(A_Corridor!$H$5:$H$204="-","",A_Corridor!$H$5:$H$204)),"")</f>
        <v/>
      </c>
      <c r="N845" s="182" t="str">
        <f>IFERROR(LOOKUP(2,1/((A_Corridor!$A$5:$A$204&lt;&gt;"")*(A_Corridor!$A$5:$A$204&lt;=$B845)*(A_Corridor!$B$5:$B$204&gt;$B845)*(A_Corridor!$I$5:$I$204&lt;&gt;"")),IF(A_Corridor!$I$5:$I$204="-","",A_Corridor!$I$5:$I$204)),"")</f>
        <v/>
      </c>
      <c r="O845" s="182" t="str">
        <f>IFERROR(LOOKUP(2,1/((D_Points!$A$5:$A$204&lt;&gt;"")*(D_Points!$A$5:$A$204&gt;=$B845)*(D_Points!$A$5:$A$204&lt;$B845+P_Interval)*(UPPER(TRIM(D_Points!$B$5:$B$204))="PITCHING")*(D_Points!$H$5:$H$204&lt;&gt;"")),D_Points!$H$5:$H$204),"")</f>
        <v/>
      </c>
      <c r="P845" s="181" t="str">
        <f>IFERROR(LOOKUP(2,1/((B_Drainage!$A$5:$A$204&lt;&gt;"")*(B_Drainage!$A$5:$A$204&lt;=$B845)*(B_Drainage!$B$5:$B$204&gt;$B845)*(B_Drainage!$C$5:$C$204&lt;&gt;"")),IF(B_Drainage!$C$5:$C$204="-","",UPPER(B_Drainage!$C$5:$C$204))),"")</f>
        <v/>
      </c>
      <c r="Q845" s="181" t="str">
        <f>IFERROR(LOOKUP(2,1/((B_Drainage!$A$5:$A$204&lt;&gt;"")*(B_Drainage!$A$5:$A$204&lt;=$B845)*(B_Drainage!$B$5:$B$204&gt;$B845)*(B_Drainage!$D$5:$D$204&lt;&gt;"")),IF(B_Drainage!$D$5:$D$204="-","",UPPER(B_Drainage!$D$5:$D$204))),"")</f>
        <v/>
      </c>
      <c r="R845" s="182" t="str">
        <f>IFERROR(LOOKUP(2,1/((D_Points!$A$5:$A$204&lt;&gt;"")*(D_Points!$A$5:$A$204&gt;=$B845)*(D_Points!$A$5:$A$204&lt;$B845+P_Interval)*(RIGHT(UPPER(TRIM(D_Points!$B$5:$B$204)),8)="_CULVERT")),IF(LEFT(UPPER(TRIM(D_Points!$B$5:$B$204)),2)="EX",1,IF(LEFT(UPPER(TRIM(D_Points!$B$5:$B$204)),2)="PR",2,3))),"")</f>
        <v/>
      </c>
      <c r="S845" s="182" t="str">
        <f>IFERROR(LOOKUP(2,1/((D_Points!$A$5:$A$204&lt;&gt;"")*(D_Points!$A$5:$A$204&gt;=$B845)*(D_Points!$A$5:$A$204&lt;$B845+P_Interval)*(RIGHT(UPPER(TRIM(D_Points!$B$5:$B$204)),7)="_BRIDGE")),IF(LEFT(UPPER(TRIM(D_Points!$B$5:$B$204)),2)="EX",1,IF(LEFT(UPPER(TRIM(D_Points!$B$5:$B$204)),2)="PR",2,2))),"")</f>
        <v/>
      </c>
      <c r="T845" s="181" t="str">
        <f>IFERROR(LOOKUP(2,1/((B_Drainage!$A$5:$A$204&lt;&gt;"")*(B_Drainage!$A$5:$A$204&lt;=$B845)*(B_Drainage!$B$5:$B$204&gt;$B845)*(B_Drainage!$E$5:$E$204&lt;&gt;"")),IF(B_Drainage!$E$5:$E$204="-","",1)),"")</f>
        <v/>
      </c>
      <c r="U845" s="181" t="str">
        <f>IFERROR(LOOKUP(2,1/((B_Drainage!$A$5:$A$204&lt;&gt;"")*(B_Drainage!$A$5:$A$204&lt;=$B845)*(B_Drainage!$B$5:$B$204&gt;$B845)*(B_Drainage!$E$5:$E$204&lt;&gt;"")),IF(B_Drainage!$E$5:$E$204="-","",B_Drainage!$E$5:$E$204)),"")</f>
        <v/>
      </c>
      <c r="V845" s="181" t="str">
        <f>IFERROR(LOOKUP(2,1/((B_Drainage!$A$5:$A$204&lt;&gt;"")*(B_Drainage!$A$5:$A$204&lt;=$B845)*(B_Drainage!$B$5:$B$204&gt;$B845)*(B_Drainage!$F$5:$F$204&lt;&gt;"")),IF(B_Drainage!$F$5:$F$204="-","",1)),"")</f>
        <v/>
      </c>
      <c r="W845" s="181" t="str">
        <f>IFERROR(LOOKUP(2,1/((B_Drainage!$A$5:$A$204&lt;&gt;"")*(B_Drainage!$A$5:$A$204&lt;=$B845)*(B_Drainage!$B$5:$B$204&gt;$B845)*(B_Drainage!$F$5:$F$204&lt;&gt;"")),IF(B_Drainage!$F$5:$F$204="-","",B_Drainage!$F$5:$F$204)),"")</f>
        <v/>
      </c>
      <c r="X845" s="181" t="str">
        <f>IFERROR(LOOKUP(2,1/((B_Drainage!$A$5:$A$204&lt;&gt;"")*(B_Drainage!$A$5:$A$204&lt;=$B845)*(B_Drainage!$B$5:$B$204&gt;$B845)*(B_Drainage!$G$5:$G$204&lt;&gt;"")),IF(UPPER(B_Drainage!$G$5:$G$204)="Y",1,"")),"")</f>
        <v/>
      </c>
      <c r="Y845" s="181" t="str">
        <f>IFERROR(LOOKUP(2,1/((B_Drainage!$A$5:$A$204&lt;&gt;"")*(B_Drainage!$A$5:$A$204&lt;=$B845)*(B_Drainage!$B$5:$B$204&gt;$B845)*(B_Drainage!$H$5:$H$204&lt;&gt;"")),IF(UPPER(B_Drainage!$H$5:$H$204)="Y",1,"")),"")</f>
        <v/>
      </c>
      <c r="Z845" s="181" t="str">
        <f>IFERROR(LOOKUP(2,1/((B_Drainage!$A$5:$A$204&lt;&gt;"")*(B_Drainage!$A$5:$A$204&lt;=$B845)*(B_Drainage!$B$5:$B$204&gt;$B845)*(B_Drainage!$I$5:$I$204&lt;&gt;"")),IF(UPPER(B_Drainage!$I$5:$I$204)="Y",1,"")),"")</f>
        <v/>
      </c>
      <c r="AA845" s="181" t="str">
        <f>IFERROR(LOOKUP(2,1/((B_Drainage!$A$5:$A$204&lt;&gt;"")*(B_Drainage!$A$5:$A$204&lt;=$B845)*(B_Drainage!$B$5:$B$204&gt;$B845)*(B_Drainage!$J$5:$J$204&lt;&gt;"")),IF(UPPER(B_Drainage!$J$5:$J$204)="Y",1,"")),"")</f>
        <v/>
      </c>
      <c r="AB845" s="182" t="str">
        <f>IFERROR(LOOKUP(2,1/((B_Drainage!$A$5:$A$204&lt;&gt;"")*(B_Drainage!$A$5:$A$204&lt;=$B845)*(B_Drainage!$B$5:$B$204&gt;$B845)*(B_Drainage!$K$5:$K$204&lt;&gt;"")),IF(B_Drainage!$K$5:$K$204="-","",B_Drainage!$K$5:$K$204)),"")</f>
        <v/>
      </c>
      <c r="AC845" s="182" t="str">
        <f>IFERROR(LOOKUP(2,1/((B_Drainage!$A$5:$A$204&lt;&gt;"")*(B_Drainage!$A$5:$A$204&lt;=$B845)*(B_Drainage!$B$5:$B$204&gt;$B845)*(B_Drainage!$L$5:$L$204&lt;&gt;"")),IF(B_Drainage!$L$5:$L$204="-","",B_Drainage!$L$5:$L$204)),"")</f>
        <v/>
      </c>
      <c r="AD845" s="182" t="str">
        <f>IFERROR(LOOKUP(2,1/((D_Points!$A$5:$A$204&lt;&gt;"")*(D_Points!$A$5:$A$204&gt;=$B845)*(D_Points!$A$5:$A$204&lt;$B845+P_Interval)*(UPPER(TRIM(D_Points!$B$5:$B$204))="TURNOUT_L")*(D_Points!$H$5:$H$204&lt;&gt;"")),D_Points!$H$5:$H$204),"")</f>
        <v/>
      </c>
      <c r="AE845" s="182" t="str">
        <f>IFERROR(LOOKUP(2,1/((D_Points!$A$5:$A$204&lt;&gt;"")*(D_Points!$A$5:$A$204&gt;=$B845)*(D_Points!$A$5:$A$204&lt;$B845+P_Interval)*(UPPER(TRIM(D_Points!$B$5:$B$204))="TURNOUT_R")*(D_Points!$H$5:$H$204&lt;&gt;"")),D_Points!$H$5:$H$204),"")</f>
        <v/>
      </c>
      <c r="AF845" s="181" t="str">
        <f>IFERROR(LOOKUP(2,1/((B_Drainage!$A$5:$A$204&lt;&gt;"")*(B_Drainage!$A$5:$A$204&lt;=$B845)*(B_Drainage!$B$5:$B$204&gt;$B845)*(B_Drainage!$M$5:$M$204&lt;&gt;"")),IF(UPPER(B_Drainage!$M$5:$M$204)="Y",1,"")),"")</f>
        <v/>
      </c>
      <c r="AG845" s="181" t="str">
        <f>IFERROR(LOOKUP(2,1/((B_Drainage!$A$5:$A$204&lt;&gt;"")*(B_Drainage!$A$5:$A$204&lt;=$B845)*(B_Drainage!$B$5:$B$204&gt;$B845)*(B_Drainage!$N$5:$N$204&lt;&gt;"")),IF(UPPER(B_Drainage!$N$5:$N$204)="Y",1,"")),"")</f>
        <v/>
      </c>
      <c r="AH845" s="181" t="str">
        <f t="shared" si="104"/>
        <v/>
      </c>
      <c r="AI845" s="181" t="str">
        <f t="shared" si="105"/>
        <v/>
      </c>
      <c r="AJ845" s="181" t="str">
        <f t="shared" si="106"/>
        <v/>
      </c>
      <c r="AK845" s="181" t="str">
        <f t="shared" si="107"/>
        <v/>
      </c>
      <c r="AL845" s="181" t="str">
        <f t="shared" si="108"/>
        <v/>
      </c>
      <c r="AM845" s="181" t="str">
        <f t="shared" si="109"/>
        <v/>
      </c>
      <c r="AN845" s="181" t="str">
        <f t="shared" si="110"/>
        <v/>
      </c>
      <c r="AO845" s="192" t="str">
        <f t="shared" si="111"/>
        <v/>
      </c>
      <c r="AQ845" t="str">
        <f>IFERROR(LOOKUP(2,1/((C_Pavement!$A$5:$A$204&lt;&gt;"")*(C_Pavement!$A$5:$A$204&lt;=$B845)*(C_Pavement!$B$5:$B$204&gt;$B845)*(C_Pavement!$C$5:$C$204&lt;&gt;"")),ROW(C_Pavement!$C$5:$C$204)-4),"")</f>
        <v/>
      </c>
      <c r="AR845" t="str">
        <f>IF($AQ845="","",UPPER(TRIM(INDEX(C_Pavement!$C$5:$C$204,$AQ845))))</f>
        <v/>
      </c>
      <c r="AS845" t="str">
        <f>IF($AR845="","",IFERROR(MATCH($AR845,E_Rules!$A$5:$A$9,0),""))</f>
        <v/>
      </c>
      <c r="AT845" t="str">
        <f>IF($AQ845="","",IF(INDEX(C_Pavement!$D$5:$D$204,$AQ845)&lt;&gt;"",UPPER(TRIM(INDEX(C_Pavement!$D$5:$D$204,$AQ845))),IF($AS845="","",INDEX(E_Rules!$C$5:$C$9,$AS845))))</f>
        <v/>
      </c>
      <c r="AU845" t="str">
        <f>IF($AQ845="","",IF(INDEX(C_Pavement!$E$5:$E$204,$AQ845)&lt;&gt;"",IF(INDEX(C_Pavement!$E$5:$E$204,$AQ845)="-","",INDEX(C_Pavement!$E$5:$E$204,$AQ845)),IF($AS845="","",INDEX(E_Rules!$D$5:$D$9,$AS845))))</f>
        <v/>
      </c>
      <c r="AV845" t="str">
        <f>IF($AQ845="","",IF(INDEX(C_Pavement!$F$5:$F$204,$AQ845)&lt;&gt;"",IF(INDEX(C_Pavement!$F$5:$F$204,$AQ845)="-","",INDEX(C_Pavement!$F$5:$F$204,$AQ845)),IF($AS845="","",INDEX(E_Rules!$E$5:$E$9,$AS845))))</f>
        <v/>
      </c>
      <c r="AW845" t="str">
        <f>IF($AQ845="","",IF(INDEX(C_Pavement!$G$5:$G$204,$AQ845)&lt;&gt;"",IF(INDEX(C_Pavement!$G$5:$G$204,$AQ845)="-","",INDEX(C_Pavement!$G$5:$G$204,$AQ845)),IF($AS845="","",INDEX(E_Rules!$F$5:$F$9,$AS845))))</f>
        <v/>
      </c>
      <c r="AX845" t="str">
        <f>IF($AQ845="","",IF(INDEX(C_Pavement!$H$5:$H$204,$AQ845)&lt;&gt;"",IF(INDEX(C_Pavement!$H$5:$H$204,$AQ845)="-","",INDEX(C_Pavement!$H$5:$H$204,$AQ845)),IF($AS845="","",INDEX(E_Rules!$G$5:$G$9,$AS845))))</f>
        <v/>
      </c>
      <c r="AY845" t="str">
        <f>IF($AQ845="","",IF(INDEX(C_Pavement!$I$5:$I$204,$AQ845)&lt;&gt;"",IF(INDEX(C_Pavement!$I$5:$I$204,$AQ845)="-","",INDEX(C_Pavement!$I$5:$I$204,$AQ845)),IF($AS845="","",INDEX(E_Rules!$H$5:$H$9,$AS845))))</f>
        <v/>
      </c>
    </row>
    <row r="846" spans="1:51" ht="15.75" customHeight="1" x14ac:dyDescent="0.3">
      <c r="A846" s="189">
        <v>841</v>
      </c>
      <c r="B846" s="180">
        <v>42000</v>
      </c>
      <c r="C846" s="180" t="s">
        <v>1152</v>
      </c>
      <c r="D846" s="181" t="str">
        <f>IFERROR(LOOKUP(2,1/((A_Corridor!$A$5:$A$204&lt;&gt;"")*(A_Corridor!$A$5:$A$204&lt;=$B846)*(A_Corridor!$B$5:$B$204&gt;$B846)*(A_Corridor!$C$5:$C$204&lt;&gt;"")),IF(UPPER(A_Corridor!$C$5:$C$204)="Y",1,"")),"")</f>
        <v/>
      </c>
      <c r="E846" s="181" t="str">
        <f>IFERROR(LOOKUP(2,1/((A_Corridor!$A$5:$A$204&lt;&gt;"")*(A_Corridor!$A$5:$A$204&lt;=$B846)*(A_Corridor!$B$5:$B$204&gt;$B846)*(A_Corridor!$D$5:$D$204&lt;&gt;"")),IF(A_Corridor!$D$5:$D$204="-","",UPPER(A_Corridor!$D$5:$D$204))),"")</f>
        <v/>
      </c>
      <c r="F846" s="181" t="str">
        <f>IFERROR(LOOKUP(2,1/((A_Corridor!$A$5:$A$204&lt;&gt;"")*(A_Corridor!$A$5:$A$204&lt;=$B846)*(A_Corridor!$B$5:$B$204&gt;$B846)*(A_Corridor!$E$5:$E$204&lt;&gt;"")),IF(A_Corridor!$E$5:$E$204="-","",1)),"")</f>
        <v/>
      </c>
      <c r="G846" s="182" t="str">
        <f>IFERROR(LOOKUP(2,1/((A_Corridor!$A$5:$A$204&lt;&gt;"")*(A_Corridor!$A$5:$A$204&lt;=$B846)*(A_Corridor!$B$5:$B$204&gt;$B846)*(A_Corridor!$E$5:$E$204&lt;&gt;"")),IF(A_Corridor!$E$5:$E$204="-","",A_Corridor!$E$5:$E$204)),"")</f>
        <v/>
      </c>
      <c r="H846" s="182" t="str">
        <f>IFERROR(LOOKUP(2,1/((D_Points!$A$5:$A$204&lt;&gt;"")*(D_Points!$A$5:$A$204&gt;=$B846)*(D_Points!$A$5:$A$204&lt;$B846+P_Interval)*(UPPER(TRIM(D_Points!$B$5:$B$204))="GULLY")*(D_Points!$H$5:$H$204&lt;&gt;"")),D_Points!$H$5:$H$204),"")</f>
        <v/>
      </c>
      <c r="I846" s="181" t="str">
        <f>IFERROR(LOOKUP(2,1/((A_Corridor!$A$5:$A$204&lt;&gt;"")*(A_Corridor!$A$5:$A$204&lt;=$B846)*(A_Corridor!$B$5:$B$204&gt;$B846)*(A_Corridor!$F$5:$F$204&lt;&gt;"")),IF(A_Corridor!$F$5:$F$204="-","",1)),"")</f>
        <v/>
      </c>
      <c r="J846" s="182" t="str">
        <f>IFERROR(LOOKUP(2,1/((A_Corridor!$A$5:$A$204&lt;&gt;"")*(A_Corridor!$A$5:$A$204&lt;=$B846)*(A_Corridor!$B$5:$B$204&gt;$B846)*(A_Corridor!$F$5:$F$204&lt;&gt;"")),IF(A_Corridor!$F$5:$F$204="-","",A_Corridor!$F$5:$F$204)),"")</f>
        <v/>
      </c>
      <c r="K846" s="182" t="str">
        <f>IFERROR(LOOKUP(2,1/((A_Corridor!$A$5:$A$204&lt;&gt;"")*(A_Corridor!$A$5:$A$204&lt;=$B846)*(A_Corridor!$B$5:$B$204&gt;$B846)*(A_Corridor!$G$5:$G$204&lt;&gt;"")),IF(A_Corridor!$G$5:$G$204="-","",A_Corridor!$G$5:$G$204)),"")</f>
        <v/>
      </c>
      <c r="L846" s="181" t="str">
        <f>IFERROR(LOOKUP(2,1/((A_Corridor!$A$5:$A$204&lt;&gt;"")*(A_Corridor!$A$5:$A$204&lt;=$B846)*(A_Corridor!$B$5:$B$204&gt;$B846)*(A_Corridor!$H$5:$H$204&lt;&gt;"")),IF(A_Corridor!$H$5:$H$204="-","",1)),"")</f>
        <v/>
      </c>
      <c r="M846" s="182" t="str">
        <f>IFERROR(LOOKUP(2,1/((A_Corridor!$A$5:$A$204&lt;&gt;"")*(A_Corridor!$A$5:$A$204&lt;=$B846)*(A_Corridor!$B$5:$B$204&gt;$B846)*(A_Corridor!$H$5:$H$204&lt;&gt;"")),IF(A_Corridor!$H$5:$H$204="-","",A_Corridor!$H$5:$H$204)),"")</f>
        <v/>
      </c>
      <c r="N846" s="182" t="str">
        <f>IFERROR(LOOKUP(2,1/((A_Corridor!$A$5:$A$204&lt;&gt;"")*(A_Corridor!$A$5:$A$204&lt;=$B846)*(A_Corridor!$B$5:$B$204&gt;$B846)*(A_Corridor!$I$5:$I$204&lt;&gt;"")),IF(A_Corridor!$I$5:$I$204="-","",A_Corridor!$I$5:$I$204)),"")</f>
        <v/>
      </c>
      <c r="O846" s="182" t="str">
        <f>IFERROR(LOOKUP(2,1/((D_Points!$A$5:$A$204&lt;&gt;"")*(D_Points!$A$5:$A$204&gt;=$B846)*(D_Points!$A$5:$A$204&lt;$B846+P_Interval)*(UPPER(TRIM(D_Points!$B$5:$B$204))="PITCHING")*(D_Points!$H$5:$H$204&lt;&gt;"")),D_Points!$H$5:$H$204),"")</f>
        <v/>
      </c>
      <c r="P846" s="181" t="str">
        <f>IFERROR(LOOKUP(2,1/((B_Drainage!$A$5:$A$204&lt;&gt;"")*(B_Drainage!$A$5:$A$204&lt;=$B846)*(B_Drainage!$B$5:$B$204&gt;$B846)*(B_Drainage!$C$5:$C$204&lt;&gt;"")),IF(B_Drainage!$C$5:$C$204="-","",UPPER(B_Drainage!$C$5:$C$204))),"")</f>
        <v/>
      </c>
      <c r="Q846" s="181" t="str">
        <f>IFERROR(LOOKUP(2,1/((B_Drainage!$A$5:$A$204&lt;&gt;"")*(B_Drainage!$A$5:$A$204&lt;=$B846)*(B_Drainage!$B$5:$B$204&gt;$B846)*(B_Drainage!$D$5:$D$204&lt;&gt;"")),IF(B_Drainage!$D$5:$D$204="-","",UPPER(B_Drainage!$D$5:$D$204))),"")</f>
        <v/>
      </c>
      <c r="R846" s="182" t="str">
        <f>IFERROR(LOOKUP(2,1/((D_Points!$A$5:$A$204&lt;&gt;"")*(D_Points!$A$5:$A$204&gt;=$B846)*(D_Points!$A$5:$A$204&lt;$B846+P_Interval)*(RIGHT(UPPER(TRIM(D_Points!$B$5:$B$204)),8)="_CULVERT")),IF(LEFT(UPPER(TRIM(D_Points!$B$5:$B$204)),2)="EX",1,IF(LEFT(UPPER(TRIM(D_Points!$B$5:$B$204)),2)="PR",2,3))),"")</f>
        <v/>
      </c>
      <c r="S846" s="182" t="str">
        <f>IFERROR(LOOKUP(2,1/((D_Points!$A$5:$A$204&lt;&gt;"")*(D_Points!$A$5:$A$204&gt;=$B846)*(D_Points!$A$5:$A$204&lt;$B846+P_Interval)*(RIGHT(UPPER(TRIM(D_Points!$B$5:$B$204)),7)="_BRIDGE")),IF(LEFT(UPPER(TRIM(D_Points!$B$5:$B$204)),2)="EX",1,IF(LEFT(UPPER(TRIM(D_Points!$B$5:$B$204)),2)="PR",2,2))),"")</f>
        <v/>
      </c>
      <c r="T846" s="181" t="str">
        <f>IFERROR(LOOKUP(2,1/((B_Drainage!$A$5:$A$204&lt;&gt;"")*(B_Drainage!$A$5:$A$204&lt;=$B846)*(B_Drainage!$B$5:$B$204&gt;$B846)*(B_Drainage!$E$5:$E$204&lt;&gt;"")),IF(B_Drainage!$E$5:$E$204="-","",1)),"")</f>
        <v/>
      </c>
      <c r="U846" s="181" t="str">
        <f>IFERROR(LOOKUP(2,1/((B_Drainage!$A$5:$A$204&lt;&gt;"")*(B_Drainage!$A$5:$A$204&lt;=$B846)*(B_Drainage!$B$5:$B$204&gt;$B846)*(B_Drainage!$E$5:$E$204&lt;&gt;"")),IF(B_Drainage!$E$5:$E$204="-","",B_Drainage!$E$5:$E$204)),"")</f>
        <v/>
      </c>
      <c r="V846" s="181" t="str">
        <f>IFERROR(LOOKUP(2,1/((B_Drainage!$A$5:$A$204&lt;&gt;"")*(B_Drainage!$A$5:$A$204&lt;=$B846)*(B_Drainage!$B$5:$B$204&gt;$B846)*(B_Drainage!$F$5:$F$204&lt;&gt;"")),IF(B_Drainage!$F$5:$F$204="-","",1)),"")</f>
        <v/>
      </c>
      <c r="W846" s="181" t="str">
        <f>IFERROR(LOOKUP(2,1/((B_Drainage!$A$5:$A$204&lt;&gt;"")*(B_Drainage!$A$5:$A$204&lt;=$B846)*(B_Drainage!$B$5:$B$204&gt;$B846)*(B_Drainage!$F$5:$F$204&lt;&gt;"")),IF(B_Drainage!$F$5:$F$204="-","",B_Drainage!$F$5:$F$204)),"")</f>
        <v/>
      </c>
      <c r="X846" s="181" t="str">
        <f>IFERROR(LOOKUP(2,1/((B_Drainage!$A$5:$A$204&lt;&gt;"")*(B_Drainage!$A$5:$A$204&lt;=$B846)*(B_Drainage!$B$5:$B$204&gt;$B846)*(B_Drainage!$G$5:$G$204&lt;&gt;"")),IF(UPPER(B_Drainage!$G$5:$G$204)="Y",1,"")),"")</f>
        <v/>
      </c>
      <c r="Y846" s="181" t="str">
        <f>IFERROR(LOOKUP(2,1/((B_Drainage!$A$5:$A$204&lt;&gt;"")*(B_Drainage!$A$5:$A$204&lt;=$B846)*(B_Drainage!$B$5:$B$204&gt;$B846)*(B_Drainage!$H$5:$H$204&lt;&gt;"")),IF(UPPER(B_Drainage!$H$5:$H$204)="Y",1,"")),"")</f>
        <v/>
      </c>
      <c r="Z846" s="181" t="str">
        <f>IFERROR(LOOKUP(2,1/((B_Drainage!$A$5:$A$204&lt;&gt;"")*(B_Drainage!$A$5:$A$204&lt;=$B846)*(B_Drainage!$B$5:$B$204&gt;$B846)*(B_Drainage!$I$5:$I$204&lt;&gt;"")),IF(UPPER(B_Drainage!$I$5:$I$204)="Y",1,"")),"")</f>
        <v/>
      </c>
      <c r="AA846" s="181" t="str">
        <f>IFERROR(LOOKUP(2,1/((B_Drainage!$A$5:$A$204&lt;&gt;"")*(B_Drainage!$A$5:$A$204&lt;=$B846)*(B_Drainage!$B$5:$B$204&gt;$B846)*(B_Drainage!$J$5:$J$204&lt;&gt;"")),IF(UPPER(B_Drainage!$J$5:$J$204)="Y",1,"")),"")</f>
        <v/>
      </c>
      <c r="AB846" s="182" t="str">
        <f>IFERROR(LOOKUP(2,1/((B_Drainage!$A$5:$A$204&lt;&gt;"")*(B_Drainage!$A$5:$A$204&lt;=$B846)*(B_Drainage!$B$5:$B$204&gt;$B846)*(B_Drainage!$K$5:$K$204&lt;&gt;"")),IF(B_Drainage!$K$5:$K$204="-","",B_Drainage!$K$5:$K$204)),"")</f>
        <v/>
      </c>
      <c r="AC846" s="182" t="str">
        <f>IFERROR(LOOKUP(2,1/((B_Drainage!$A$5:$A$204&lt;&gt;"")*(B_Drainage!$A$5:$A$204&lt;=$B846)*(B_Drainage!$B$5:$B$204&gt;$B846)*(B_Drainage!$L$5:$L$204&lt;&gt;"")),IF(B_Drainage!$L$5:$L$204="-","",B_Drainage!$L$5:$L$204)),"")</f>
        <v/>
      </c>
      <c r="AD846" s="182" t="str">
        <f>IFERROR(LOOKUP(2,1/((D_Points!$A$5:$A$204&lt;&gt;"")*(D_Points!$A$5:$A$204&gt;=$B846)*(D_Points!$A$5:$A$204&lt;$B846+P_Interval)*(UPPER(TRIM(D_Points!$B$5:$B$204))="TURNOUT_L")*(D_Points!$H$5:$H$204&lt;&gt;"")),D_Points!$H$5:$H$204),"")</f>
        <v/>
      </c>
      <c r="AE846" s="182" t="str">
        <f>IFERROR(LOOKUP(2,1/((D_Points!$A$5:$A$204&lt;&gt;"")*(D_Points!$A$5:$A$204&gt;=$B846)*(D_Points!$A$5:$A$204&lt;$B846+P_Interval)*(UPPER(TRIM(D_Points!$B$5:$B$204))="TURNOUT_R")*(D_Points!$H$5:$H$204&lt;&gt;"")),D_Points!$H$5:$H$204),"")</f>
        <v/>
      </c>
      <c r="AF846" s="181" t="str">
        <f>IFERROR(LOOKUP(2,1/((B_Drainage!$A$5:$A$204&lt;&gt;"")*(B_Drainage!$A$5:$A$204&lt;=$B846)*(B_Drainage!$B$5:$B$204&gt;$B846)*(B_Drainage!$M$5:$M$204&lt;&gt;"")),IF(UPPER(B_Drainage!$M$5:$M$204)="Y",1,"")),"")</f>
        <v/>
      </c>
      <c r="AG846" s="181" t="str">
        <f>IFERROR(LOOKUP(2,1/((B_Drainage!$A$5:$A$204&lt;&gt;"")*(B_Drainage!$A$5:$A$204&lt;=$B846)*(B_Drainage!$B$5:$B$204&gt;$B846)*(B_Drainage!$N$5:$N$204&lt;&gt;"")),IF(UPPER(B_Drainage!$N$5:$N$204)="Y",1,"")),"")</f>
        <v/>
      </c>
      <c r="AH846" s="181" t="str">
        <f t="shared" si="104"/>
        <v/>
      </c>
      <c r="AI846" s="181" t="str">
        <f t="shared" si="105"/>
        <v/>
      </c>
      <c r="AJ846" s="181" t="str">
        <f t="shared" si="106"/>
        <v/>
      </c>
      <c r="AK846" s="181" t="str">
        <f t="shared" si="107"/>
        <v/>
      </c>
      <c r="AL846" s="181" t="str">
        <f t="shared" si="108"/>
        <v/>
      </c>
      <c r="AM846" s="181" t="str">
        <f t="shared" si="109"/>
        <v/>
      </c>
      <c r="AN846" s="181" t="str">
        <f t="shared" si="110"/>
        <v/>
      </c>
      <c r="AO846" s="192" t="str">
        <f t="shared" si="111"/>
        <v/>
      </c>
      <c r="AQ846" t="str">
        <f>IFERROR(LOOKUP(2,1/((C_Pavement!$A$5:$A$204&lt;&gt;"")*(C_Pavement!$A$5:$A$204&lt;=$B846)*(C_Pavement!$B$5:$B$204&gt;$B846)*(C_Pavement!$C$5:$C$204&lt;&gt;"")),ROW(C_Pavement!$C$5:$C$204)-4),"")</f>
        <v/>
      </c>
      <c r="AR846" t="str">
        <f>IF($AQ846="","",UPPER(TRIM(INDEX(C_Pavement!$C$5:$C$204,$AQ846))))</f>
        <v/>
      </c>
      <c r="AS846" t="str">
        <f>IF($AR846="","",IFERROR(MATCH($AR846,E_Rules!$A$5:$A$9,0),""))</f>
        <v/>
      </c>
      <c r="AT846" t="str">
        <f>IF($AQ846="","",IF(INDEX(C_Pavement!$D$5:$D$204,$AQ846)&lt;&gt;"",UPPER(TRIM(INDEX(C_Pavement!$D$5:$D$204,$AQ846))),IF($AS846="","",INDEX(E_Rules!$C$5:$C$9,$AS846))))</f>
        <v/>
      </c>
      <c r="AU846" t="str">
        <f>IF($AQ846="","",IF(INDEX(C_Pavement!$E$5:$E$204,$AQ846)&lt;&gt;"",IF(INDEX(C_Pavement!$E$5:$E$204,$AQ846)="-","",INDEX(C_Pavement!$E$5:$E$204,$AQ846)),IF($AS846="","",INDEX(E_Rules!$D$5:$D$9,$AS846))))</f>
        <v/>
      </c>
      <c r="AV846" t="str">
        <f>IF($AQ846="","",IF(INDEX(C_Pavement!$F$5:$F$204,$AQ846)&lt;&gt;"",IF(INDEX(C_Pavement!$F$5:$F$204,$AQ846)="-","",INDEX(C_Pavement!$F$5:$F$204,$AQ846)),IF($AS846="","",INDEX(E_Rules!$E$5:$E$9,$AS846))))</f>
        <v/>
      </c>
      <c r="AW846" t="str">
        <f>IF($AQ846="","",IF(INDEX(C_Pavement!$G$5:$G$204,$AQ846)&lt;&gt;"",IF(INDEX(C_Pavement!$G$5:$G$204,$AQ846)="-","",INDEX(C_Pavement!$G$5:$G$204,$AQ846)),IF($AS846="","",INDEX(E_Rules!$F$5:$F$9,$AS846))))</f>
        <v/>
      </c>
      <c r="AX846" t="str">
        <f>IF($AQ846="","",IF(INDEX(C_Pavement!$H$5:$H$204,$AQ846)&lt;&gt;"",IF(INDEX(C_Pavement!$H$5:$H$204,$AQ846)="-","",INDEX(C_Pavement!$H$5:$H$204,$AQ846)),IF($AS846="","",INDEX(E_Rules!$G$5:$G$9,$AS846))))</f>
        <v/>
      </c>
      <c r="AY846" t="str">
        <f>IF($AQ846="","",IF(INDEX(C_Pavement!$I$5:$I$204,$AQ846)&lt;&gt;"",IF(INDEX(C_Pavement!$I$5:$I$204,$AQ846)="-","",INDEX(C_Pavement!$I$5:$I$204,$AQ846)),IF($AS846="","",INDEX(E_Rules!$H$5:$H$9,$AS846))))</f>
        <v/>
      </c>
    </row>
    <row r="847" spans="1:51" ht="15.75" customHeight="1" x14ac:dyDescent="0.3">
      <c r="A847" s="189">
        <v>842</v>
      </c>
      <c r="B847" s="180">
        <v>42050</v>
      </c>
      <c r="C847" s="180" t="s">
        <v>1153</v>
      </c>
      <c r="D847" s="181" t="str">
        <f>IFERROR(LOOKUP(2,1/((A_Corridor!$A$5:$A$204&lt;&gt;"")*(A_Corridor!$A$5:$A$204&lt;=$B847)*(A_Corridor!$B$5:$B$204&gt;$B847)*(A_Corridor!$C$5:$C$204&lt;&gt;"")),IF(UPPER(A_Corridor!$C$5:$C$204)="Y",1,"")),"")</f>
        <v/>
      </c>
      <c r="E847" s="181" t="str">
        <f>IFERROR(LOOKUP(2,1/((A_Corridor!$A$5:$A$204&lt;&gt;"")*(A_Corridor!$A$5:$A$204&lt;=$B847)*(A_Corridor!$B$5:$B$204&gt;$B847)*(A_Corridor!$D$5:$D$204&lt;&gt;"")),IF(A_Corridor!$D$5:$D$204="-","",UPPER(A_Corridor!$D$5:$D$204))),"")</f>
        <v/>
      </c>
      <c r="F847" s="181" t="str">
        <f>IFERROR(LOOKUP(2,1/((A_Corridor!$A$5:$A$204&lt;&gt;"")*(A_Corridor!$A$5:$A$204&lt;=$B847)*(A_Corridor!$B$5:$B$204&gt;$B847)*(A_Corridor!$E$5:$E$204&lt;&gt;"")),IF(A_Corridor!$E$5:$E$204="-","",1)),"")</f>
        <v/>
      </c>
      <c r="G847" s="182" t="str">
        <f>IFERROR(LOOKUP(2,1/((A_Corridor!$A$5:$A$204&lt;&gt;"")*(A_Corridor!$A$5:$A$204&lt;=$B847)*(A_Corridor!$B$5:$B$204&gt;$B847)*(A_Corridor!$E$5:$E$204&lt;&gt;"")),IF(A_Corridor!$E$5:$E$204="-","",A_Corridor!$E$5:$E$204)),"")</f>
        <v/>
      </c>
      <c r="H847" s="182" t="str">
        <f>IFERROR(LOOKUP(2,1/((D_Points!$A$5:$A$204&lt;&gt;"")*(D_Points!$A$5:$A$204&gt;=$B847)*(D_Points!$A$5:$A$204&lt;$B847+P_Interval)*(UPPER(TRIM(D_Points!$B$5:$B$204))="GULLY")*(D_Points!$H$5:$H$204&lt;&gt;"")),D_Points!$H$5:$H$204),"")</f>
        <v/>
      </c>
      <c r="I847" s="181" t="str">
        <f>IFERROR(LOOKUP(2,1/((A_Corridor!$A$5:$A$204&lt;&gt;"")*(A_Corridor!$A$5:$A$204&lt;=$B847)*(A_Corridor!$B$5:$B$204&gt;$B847)*(A_Corridor!$F$5:$F$204&lt;&gt;"")),IF(A_Corridor!$F$5:$F$204="-","",1)),"")</f>
        <v/>
      </c>
      <c r="J847" s="182" t="str">
        <f>IFERROR(LOOKUP(2,1/((A_Corridor!$A$5:$A$204&lt;&gt;"")*(A_Corridor!$A$5:$A$204&lt;=$B847)*(A_Corridor!$B$5:$B$204&gt;$B847)*(A_Corridor!$F$5:$F$204&lt;&gt;"")),IF(A_Corridor!$F$5:$F$204="-","",A_Corridor!$F$5:$F$204)),"")</f>
        <v/>
      </c>
      <c r="K847" s="182" t="str">
        <f>IFERROR(LOOKUP(2,1/((A_Corridor!$A$5:$A$204&lt;&gt;"")*(A_Corridor!$A$5:$A$204&lt;=$B847)*(A_Corridor!$B$5:$B$204&gt;$B847)*(A_Corridor!$G$5:$G$204&lt;&gt;"")),IF(A_Corridor!$G$5:$G$204="-","",A_Corridor!$G$5:$G$204)),"")</f>
        <v/>
      </c>
      <c r="L847" s="181" t="str">
        <f>IFERROR(LOOKUP(2,1/((A_Corridor!$A$5:$A$204&lt;&gt;"")*(A_Corridor!$A$5:$A$204&lt;=$B847)*(A_Corridor!$B$5:$B$204&gt;$B847)*(A_Corridor!$H$5:$H$204&lt;&gt;"")),IF(A_Corridor!$H$5:$H$204="-","",1)),"")</f>
        <v/>
      </c>
      <c r="M847" s="182" t="str">
        <f>IFERROR(LOOKUP(2,1/((A_Corridor!$A$5:$A$204&lt;&gt;"")*(A_Corridor!$A$5:$A$204&lt;=$B847)*(A_Corridor!$B$5:$B$204&gt;$B847)*(A_Corridor!$H$5:$H$204&lt;&gt;"")),IF(A_Corridor!$H$5:$H$204="-","",A_Corridor!$H$5:$H$204)),"")</f>
        <v/>
      </c>
      <c r="N847" s="182" t="str">
        <f>IFERROR(LOOKUP(2,1/((A_Corridor!$A$5:$A$204&lt;&gt;"")*(A_Corridor!$A$5:$A$204&lt;=$B847)*(A_Corridor!$B$5:$B$204&gt;$B847)*(A_Corridor!$I$5:$I$204&lt;&gt;"")),IF(A_Corridor!$I$5:$I$204="-","",A_Corridor!$I$5:$I$204)),"")</f>
        <v/>
      </c>
      <c r="O847" s="182" t="str">
        <f>IFERROR(LOOKUP(2,1/((D_Points!$A$5:$A$204&lt;&gt;"")*(D_Points!$A$5:$A$204&gt;=$B847)*(D_Points!$A$5:$A$204&lt;$B847+P_Interval)*(UPPER(TRIM(D_Points!$B$5:$B$204))="PITCHING")*(D_Points!$H$5:$H$204&lt;&gt;"")),D_Points!$H$5:$H$204),"")</f>
        <v/>
      </c>
      <c r="P847" s="181" t="str">
        <f>IFERROR(LOOKUP(2,1/((B_Drainage!$A$5:$A$204&lt;&gt;"")*(B_Drainage!$A$5:$A$204&lt;=$B847)*(B_Drainage!$B$5:$B$204&gt;$B847)*(B_Drainage!$C$5:$C$204&lt;&gt;"")),IF(B_Drainage!$C$5:$C$204="-","",UPPER(B_Drainage!$C$5:$C$204))),"")</f>
        <v/>
      </c>
      <c r="Q847" s="181" t="str">
        <f>IFERROR(LOOKUP(2,1/((B_Drainage!$A$5:$A$204&lt;&gt;"")*(B_Drainage!$A$5:$A$204&lt;=$B847)*(B_Drainage!$B$5:$B$204&gt;$B847)*(B_Drainage!$D$5:$D$204&lt;&gt;"")),IF(B_Drainage!$D$5:$D$204="-","",UPPER(B_Drainage!$D$5:$D$204))),"")</f>
        <v/>
      </c>
      <c r="R847" s="182" t="str">
        <f>IFERROR(LOOKUP(2,1/((D_Points!$A$5:$A$204&lt;&gt;"")*(D_Points!$A$5:$A$204&gt;=$B847)*(D_Points!$A$5:$A$204&lt;$B847+P_Interval)*(RIGHT(UPPER(TRIM(D_Points!$B$5:$B$204)),8)="_CULVERT")),IF(LEFT(UPPER(TRIM(D_Points!$B$5:$B$204)),2)="EX",1,IF(LEFT(UPPER(TRIM(D_Points!$B$5:$B$204)),2)="PR",2,3))),"")</f>
        <v/>
      </c>
      <c r="S847" s="182" t="str">
        <f>IFERROR(LOOKUP(2,1/((D_Points!$A$5:$A$204&lt;&gt;"")*(D_Points!$A$5:$A$204&gt;=$B847)*(D_Points!$A$5:$A$204&lt;$B847+P_Interval)*(RIGHT(UPPER(TRIM(D_Points!$B$5:$B$204)),7)="_BRIDGE")),IF(LEFT(UPPER(TRIM(D_Points!$B$5:$B$204)),2)="EX",1,IF(LEFT(UPPER(TRIM(D_Points!$B$5:$B$204)),2)="PR",2,2))),"")</f>
        <v/>
      </c>
      <c r="T847" s="181" t="str">
        <f>IFERROR(LOOKUP(2,1/((B_Drainage!$A$5:$A$204&lt;&gt;"")*(B_Drainage!$A$5:$A$204&lt;=$B847)*(B_Drainage!$B$5:$B$204&gt;$B847)*(B_Drainage!$E$5:$E$204&lt;&gt;"")),IF(B_Drainage!$E$5:$E$204="-","",1)),"")</f>
        <v/>
      </c>
      <c r="U847" s="181" t="str">
        <f>IFERROR(LOOKUP(2,1/((B_Drainage!$A$5:$A$204&lt;&gt;"")*(B_Drainage!$A$5:$A$204&lt;=$B847)*(B_Drainage!$B$5:$B$204&gt;$B847)*(B_Drainage!$E$5:$E$204&lt;&gt;"")),IF(B_Drainage!$E$5:$E$204="-","",B_Drainage!$E$5:$E$204)),"")</f>
        <v/>
      </c>
      <c r="V847" s="181" t="str">
        <f>IFERROR(LOOKUP(2,1/((B_Drainage!$A$5:$A$204&lt;&gt;"")*(B_Drainage!$A$5:$A$204&lt;=$B847)*(B_Drainage!$B$5:$B$204&gt;$B847)*(B_Drainage!$F$5:$F$204&lt;&gt;"")),IF(B_Drainage!$F$5:$F$204="-","",1)),"")</f>
        <v/>
      </c>
      <c r="W847" s="181" t="str">
        <f>IFERROR(LOOKUP(2,1/((B_Drainage!$A$5:$A$204&lt;&gt;"")*(B_Drainage!$A$5:$A$204&lt;=$B847)*(B_Drainage!$B$5:$B$204&gt;$B847)*(B_Drainage!$F$5:$F$204&lt;&gt;"")),IF(B_Drainage!$F$5:$F$204="-","",B_Drainage!$F$5:$F$204)),"")</f>
        <v/>
      </c>
      <c r="X847" s="181" t="str">
        <f>IFERROR(LOOKUP(2,1/((B_Drainage!$A$5:$A$204&lt;&gt;"")*(B_Drainage!$A$5:$A$204&lt;=$B847)*(B_Drainage!$B$5:$B$204&gt;$B847)*(B_Drainage!$G$5:$G$204&lt;&gt;"")),IF(UPPER(B_Drainage!$G$5:$G$204)="Y",1,"")),"")</f>
        <v/>
      </c>
      <c r="Y847" s="181" t="str">
        <f>IFERROR(LOOKUP(2,1/((B_Drainage!$A$5:$A$204&lt;&gt;"")*(B_Drainage!$A$5:$A$204&lt;=$B847)*(B_Drainage!$B$5:$B$204&gt;$B847)*(B_Drainage!$H$5:$H$204&lt;&gt;"")),IF(UPPER(B_Drainage!$H$5:$H$204)="Y",1,"")),"")</f>
        <v/>
      </c>
      <c r="Z847" s="181" t="str">
        <f>IFERROR(LOOKUP(2,1/((B_Drainage!$A$5:$A$204&lt;&gt;"")*(B_Drainage!$A$5:$A$204&lt;=$B847)*(B_Drainage!$B$5:$B$204&gt;$B847)*(B_Drainage!$I$5:$I$204&lt;&gt;"")),IF(UPPER(B_Drainage!$I$5:$I$204)="Y",1,"")),"")</f>
        <v/>
      </c>
      <c r="AA847" s="181" t="str">
        <f>IFERROR(LOOKUP(2,1/((B_Drainage!$A$5:$A$204&lt;&gt;"")*(B_Drainage!$A$5:$A$204&lt;=$B847)*(B_Drainage!$B$5:$B$204&gt;$B847)*(B_Drainage!$J$5:$J$204&lt;&gt;"")),IF(UPPER(B_Drainage!$J$5:$J$204)="Y",1,"")),"")</f>
        <v/>
      </c>
      <c r="AB847" s="182" t="str">
        <f>IFERROR(LOOKUP(2,1/((B_Drainage!$A$5:$A$204&lt;&gt;"")*(B_Drainage!$A$5:$A$204&lt;=$B847)*(B_Drainage!$B$5:$B$204&gt;$B847)*(B_Drainage!$K$5:$K$204&lt;&gt;"")),IF(B_Drainage!$K$5:$K$204="-","",B_Drainage!$K$5:$K$204)),"")</f>
        <v/>
      </c>
      <c r="AC847" s="182" t="str">
        <f>IFERROR(LOOKUP(2,1/((B_Drainage!$A$5:$A$204&lt;&gt;"")*(B_Drainage!$A$5:$A$204&lt;=$B847)*(B_Drainage!$B$5:$B$204&gt;$B847)*(B_Drainage!$L$5:$L$204&lt;&gt;"")),IF(B_Drainage!$L$5:$L$204="-","",B_Drainage!$L$5:$L$204)),"")</f>
        <v/>
      </c>
      <c r="AD847" s="182" t="str">
        <f>IFERROR(LOOKUP(2,1/((D_Points!$A$5:$A$204&lt;&gt;"")*(D_Points!$A$5:$A$204&gt;=$B847)*(D_Points!$A$5:$A$204&lt;$B847+P_Interval)*(UPPER(TRIM(D_Points!$B$5:$B$204))="TURNOUT_L")*(D_Points!$H$5:$H$204&lt;&gt;"")),D_Points!$H$5:$H$204),"")</f>
        <v/>
      </c>
      <c r="AE847" s="182" t="str">
        <f>IFERROR(LOOKUP(2,1/((D_Points!$A$5:$A$204&lt;&gt;"")*(D_Points!$A$5:$A$204&gt;=$B847)*(D_Points!$A$5:$A$204&lt;$B847+P_Interval)*(UPPER(TRIM(D_Points!$B$5:$B$204))="TURNOUT_R")*(D_Points!$H$5:$H$204&lt;&gt;"")),D_Points!$H$5:$H$204),"")</f>
        <v/>
      </c>
      <c r="AF847" s="181" t="str">
        <f>IFERROR(LOOKUP(2,1/((B_Drainage!$A$5:$A$204&lt;&gt;"")*(B_Drainage!$A$5:$A$204&lt;=$B847)*(B_Drainage!$B$5:$B$204&gt;$B847)*(B_Drainage!$M$5:$M$204&lt;&gt;"")),IF(UPPER(B_Drainage!$M$5:$M$204)="Y",1,"")),"")</f>
        <v/>
      </c>
      <c r="AG847" s="181" t="str">
        <f>IFERROR(LOOKUP(2,1/((B_Drainage!$A$5:$A$204&lt;&gt;"")*(B_Drainage!$A$5:$A$204&lt;=$B847)*(B_Drainage!$B$5:$B$204&gt;$B847)*(B_Drainage!$N$5:$N$204&lt;&gt;"")),IF(UPPER(B_Drainage!$N$5:$N$204)="Y",1,"")),"")</f>
        <v/>
      </c>
      <c r="AH847" s="181" t="str">
        <f t="shared" si="104"/>
        <v/>
      </c>
      <c r="AI847" s="181" t="str">
        <f t="shared" si="105"/>
        <v/>
      </c>
      <c r="AJ847" s="181" t="str">
        <f t="shared" si="106"/>
        <v/>
      </c>
      <c r="AK847" s="181" t="str">
        <f t="shared" si="107"/>
        <v/>
      </c>
      <c r="AL847" s="181" t="str">
        <f t="shared" si="108"/>
        <v/>
      </c>
      <c r="AM847" s="181" t="str">
        <f t="shared" si="109"/>
        <v/>
      </c>
      <c r="AN847" s="181" t="str">
        <f t="shared" si="110"/>
        <v/>
      </c>
      <c r="AO847" s="192" t="str">
        <f t="shared" si="111"/>
        <v/>
      </c>
      <c r="AQ847" t="str">
        <f>IFERROR(LOOKUP(2,1/((C_Pavement!$A$5:$A$204&lt;&gt;"")*(C_Pavement!$A$5:$A$204&lt;=$B847)*(C_Pavement!$B$5:$B$204&gt;$B847)*(C_Pavement!$C$5:$C$204&lt;&gt;"")),ROW(C_Pavement!$C$5:$C$204)-4),"")</f>
        <v/>
      </c>
      <c r="AR847" t="str">
        <f>IF($AQ847="","",UPPER(TRIM(INDEX(C_Pavement!$C$5:$C$204,$AQ847))))</f>
        <v/>
      </c>
      <c r="AS847" t="str">
        <f>IF($AR847="","",IFERROR(MATCH($AR847,E_Rules!$A$5:$A$9,0),""))</f>
        <v/>
      </c>
      <c r="AT847" t="str">
        <f>IF($AQ847="","",IF(INDEX(C_Pavement!$D$5:$D$204,$AQ847)&lt;&gt;"",UPPER(TRIM(INDEX(C_Pavement!$D$5:$D$204,$AQ847))),IF($AS847="","",INDEX(E_Rules!$C$5:$C$9,$AS847))))</f>
        <v/>
      </c>
      <c r="AU847" t="str">
        <f>IF($AQ847="","",IF(INDEX(C_Pavement!$E$5:$E$204,$AQ847)&lt;&gt;"",IF(INDEX(C_Pavement!$E$5:$E$204,$AQ847)="-","",INDEX(C_Pavement!$E$5:$E$204,$AQ847)),IF($AS847="","",INDEX(E_Rules!$D$5:$D$9,$AS847))))</f>
        <v/>
      </c>
      <c r="AV847" t="str">
        <f>IF($AQ847="","",IF(INDEX(C_Pavement!$F$5:$F$204,$AQ847)&lt;&gt;"",IF(INDEX(C_Pavement!$F$5:$F$204,$AQ847)="-","",INDEX(C_Pavement!$F$5:$F$204,$AQ847)),IF($AS847="","",INDEX(E_Rules!$E$5:$E$9,$AS847))))</f>
        <v/>
      </c>
      <c r="AW847" t="str">
        <f>IF($AQ847="","",IF(INDEX(C_Pavement!$G$5:$G$204,$AQ847)&lt;&gt;"",IF(INDEX(C_Pavement!$G$5:$G$204,$AQ847)="-","",INDEX(C_Pavement!$G$5:$G$204,$AQ847)),IF($AS847="","",INDEX(E_Rules!$F$5:$F$9,$AS847))))</f>
        <v/>
      </c>
      <c r="AX847" t="str">
        <f>IF($AQ847="","",IF(INDEX(C_Pavement!$H$5:$H$204,$AQ847)&lt;&gt;"",IF(INDEX(C_Pavement!$H$5:$H$204,$AQ847)="-","",INDEX(C_Pavement!$H$5:$H$204,$AQ847)),IF($AS847="","",INDEX(E_Rules!$G$5:$G$9,$AS847))))</f>
        <v/>
      </c>
      <c r="AY847" t="str">
        <f>IF($AQ847="","",IF(INDEX(C_Pavement!$I$5:$I$204,$AQ847)&lt;&gt;"",IF(INDEX(C_Pavement!$I$5:$I$204,$AQ847)="-","",INDEX(C_Pavement!$I$5:$I$204,$AQ847)),IF($AS847="","",INDEX(E_Rules!$H$5:$H$9,$AS847))))</f>
        <v/>
      </c>
    </row>
    <row r="848" spans="1:51" ht="15.75" customHeight="1" x14ac:dyDescent="0.3">
      <c r="A848" s="189">
        <v>843</v>
      </c>
      <c r="B848" s="180">
        <v>42100</v>
      </c>
      <c r="C848" s="180" t="s">
        <v>1154</v>
      </c>
      <c r="D848" s="181" t="str">
        <f>IFERROR(LOOKUP(2,1/((A_Corridor!$A$5:$A$204&lt;&gt;"")*(A_Corridor!$A$5:$A$204&lt;=$B848)*(A_Corridor!$B$5:$B$204&gt;$B848)*(A_Corridor!$C$5:$C$204&lt;&gt;"")),IF(UPPER(A_Corridor!$C$5:$C$204)="Y",1,"")),"")</f>
        <v/>
      </c>
      <c r="E848" s="181" t="str">
        <f>IFERROR(LOOKUP(2,1/((A_Corridor!$A$5:$A$204&lt;&gt;"")*(A_Corridor!$A$5:$A$204&lt;=$B848)*(A_Corridor!$B$5:$B$204&gt;$B848)*(A_Corridor!$D$5:$D$204&lt;&gt;"")),IF(A_Corridor!$D$5:$D$204="-","",UPPER(A_Corridor!$D$5:$D$204))),"")</f>
        <v/>
      </c>
      <c r="F848" s="181" t="str">
        <f>IFERROR(LOOKUP(2,1/((A_Corridor!$A$5:$A$204&lt;&gt;"")*(A_Corridor!$A$5:$A$204&lt;=$B848)*(A_Corridor!$B$5:$B$204&gt;$B848)*(A_Corridor!$E$5:$E$204&lt;&gt;"")),IF(A_Corridor!$E$5:$E$204="-","",1)),"")</f>
        <v/>
      </c>
      <c r="G848" s="182" t="str">
        <f>IFERROR(LOOKUP(2,1/((A_Corridor!$A$5:$A$204&lt;&gt;"")*(A_Corridor!$A$5:$A$204&lt;=$B848)*(A_Corridor!$B$5:$B$204&gt;$B848)*(A_Corridor!$E$5:$E$204&lt;&gt;"")),IF(A_Corridor!$E$5:$E$204="-","",A_Corridor!$E$5:$E$204)),"")</f>
        <v/>
      </c>
      <c r="H848" s="182" t="str">
        <f>IFERROR(LOOKUP(2,1/((D_Points!$A$5:$A$204&lt;&gt;"")*(D_Points!$A$5:$A$204&gt;=$B848)*(D_Points!$A$5:$A$204&lt;$B848+P_Interval)*(UPPER(TRIM(D_Points!$B$5:$B$204))="GULLY")*(D_Points!$H$5:$H$204&lt;&gt;"")),D_Points!$H$5:$H$204),"")</f>
        <v/>
      </c>
      <c r="I848" s="181" t="str">
        <f>IFERROR(LOOKUP(2,1/((A_Corridor!$A$5:$A$204&lt;&gt;"")*(A_Corridor!$A$5:$A$204&lt;=$B848)*(A_Corridor!$B$5:$B$204&gt;$B848)*(A_Corridor!$F$5:$F$204&lt;&gt;"")),IF(A_Corridor!$F$5:$F$204="-","",1)),"")</f>
        <v/>
      </c>
      <c r="J848" s="182" t="str">
        <f>IFERROR(LOOKUP(2,1/((A_Corridor!$A$5:$A$204&lt;&gt;"")*(A_Corridor!$A$5:$A$204&lt;=$B848)*(A_Corridor!$B$5:$B$204&gt;$B848)*(A_Corridor!$F$5:$F$204&lt;&gt;"")),IF(A_Corridor!$F$5:$F$204="-","",A_Corridor!$F$5:$F$204)),"")</f>
        <v/>
      </c>
      <c r="K848" s="182" t="str">
        <f>IFERROR(LOOKUP(2,1/((A_Corridor!$A$5:$A$204&lt;&gt;"")*(A_Corridor!$A$5:$A$204&lt;=$B848)*(A_Corridor!$B$5:$B$204&gt;$B848)*(A_Corridor!$G$5:$G$204&lt;&gt;"")),IF(A_Corridor!$G$5:$G$204="-","",A_Corridor!$G$5:$G$204)),"")</f>
        <v/>
      </c>
      <c r="L848" s="181" t="str">
        <f>IFERROR(LOOKUP(2,1/((A_Corridor!$A$5:$A$204&lt;&gt;"")*(A_Corridor!$A$5:$A$204&lt;=$B848)*(A_Corridor!$B$5:$B$204&gt;$B848)*(A_Corridor!$H$5:$H$204&lt;&gt;"")),IF(A_Corridor!$H$5:$H$204="-","",1)),"")</f>
        <v/>
      </c>
      <c r="M848" s="182" t="str">
        <f>IFERROR(LOOKUP(2,1/((A_Corridor!$A$5:$A$204&lt;&gt;"")*(A_Corridor!$A$5:$A$204&lt;=$B848)*(A_Corridor!$B$5:$B$204&gt;$B848)*(A_Corridor!$H$5:$H$204&lt;&gt;"")),IF(A_Corridor!$H$5:$H$204="-","",A_Corridor!$H$5:$H$204)),"")</f>
        <v/>
      </c>
      <c r="N848" s="182" t="str">
        <f>IFERROR(LOOKUP(2,1/((A_Corridor!$A$5:$A$204&lt;&gt;"")*(A_Corridor!$A$5:$A$204&lt;=$B848)*(A_Corridor!$B$5:$B$204&gt;$B848)*(A_Corridor!$I$5:$I$204&lt;&gt;"")),IF(A_Corridor!$I$5:$I$204="-","",A_Corridor!$I$5:$I$204)),"")</f>
        <v/>
      </c>
      <c r="O848" s="182" t="str">
        <f>IFERROR(LOOKUP(2,1/((D_Points!$A$5:$A$204&lt;&gt;"")*(D_Points!$A$5:$A$204&gt;=$B848)*(D_Points!$A$5:$A$204&lt;$B848+P_Interval)*(UPPER(TRIM(D_Points!$B$5:$B$204))="PITCHING")*(D_Points!$H$5:$H$204&lt;&gt;"")),D_Points!$H$5:$H$204),"")</f>
        <v/>
      </c>
      <c r="P848" s="181" t="str">
        <f>IFERROR(LOOKUP(2,1/((B_Drainage!$A$5:$A$204&lt;&gt;"")*(B_Drainage!$A$5:$A$204&lt;=$B848)*(B_Drainage!$B$5:$B$204&gt;$B848)*(B_Drainage!$C$5:$C$204&lt;&gt;"")),IF(B_Drainage!$C$5:$C$204="-","",UPPER(B_Drainage!$C$5:$C$204))),"")</f>
        <v/>
      </c>
      <c r="Q848" s="181" t="str">
        <f>IFERROR(LOOKUP(2,1/((B_Drainage!$A$5:$A$204&lt;&gt;"")*(B_Drainage!$A$5:$A$204&lt;=$B848)*(B_Drainage!$B$5:$B$204&gt;$B848)*(B_Drainage!$D$5:$D$204&lt;&gt;"")),IF(B_Drainage!$D$5:$D$204="-","",UPPER(B_Drainage!$D$5:$D$204))),"")</f>
        <v/>
      </c>
      <c r="R848" s="182" t="str">
        <f>IFERROR(LOOKUP(2,1/((D_Points!$A$5:$A$204&lt;&gt;"")*(D_Points!$A$5:$A$204&gt;=$B848)*(D_Points!$A$5:$A$204&lt;$B848+P_Interval)*(RIGHT(UPPER(TRIM(D_Points!$B$5:$B$204)),8)="_CULVERT")),IF(LEFT(UPPER(TRIM(D_Points!$B$5:$B$204)),2)="EX",1,IF(LEFT(UPPER(TRIM(D_Points!$B$5:$B$204)),2)="PR",2,3))),"")</f>
        <v/>
      </c>
      <c r="S848" s="182" t="str">
        <f>IFERROR(LOOKUP(2,1/((D_Points!$A$5:$A$204&lt;&gt;"")*(D_Points!$A$5:$A$204&gt;=$B848)*(D_Points!$A$5:$A$204&lt;$B848+P_Interval)*(RIGHT(UPPER(TRIM(D_Points!$B$5:$B$204)),7)="_BRIDGE")),IF(LEFT(UPPER(TRIM(D_Points!$B$5:$B$204)),2)="EX",1,IF(LEFT(UPPER(TRIM(D_Points!$B$5:$B$204)),2)="PR",2,2))),"")</f>
        <v/>
      </c>
      <c r="T848" s="181" t="str">
        <f>IFERROR(LOOKUP(2,1/((B_Drainage!$A$5:$A$204&lt;&gt;"")*(B_Drainage!$A$5:$A$204&lt;=$B848)*(B_Drainage!$B$5:$B$204&gt;$B848)*(B_Drainage!$E$5:$E$204&lt;&gt;"")),IF(B_Drainage!$E$5:$E$204="-","",1)),"")</f>
        <v/>
      </c>
      <c r="U848" s="181" t="str">
        <f>IFERROR(LOOKUP(2,1/((B_Drainage!$A$5:$A$204&lt;&gt;"")*(B_Drainage!$A$5:$A$204&lt;=$B848)*(B_Drainage!$B$5:$B$204&gt;$B848)*(B_Drainage!$E$5:$E$204&lt;&gt;"")),IF(B_Drainage!$E$5:$E$204="-","",B_Drainage!$E$5:$E$204)),"")</f>
        <v/>
      </c>
      <c r="V848" s="181" t="str">
        <f>IFERROR(LOOKUP(2,1/((B_Drainage!$A$5:$A$204&lt;&gt;"")*(B_Drainage!$A$5:$A$204&lt;=$B848)*(B_Drainage!$B$5:$B$204&gt;$B848)*(B_Drainage!$F$5:$F$204&lt;&gt;"")),IF(B_Drainage!$F$5:$F$204="-","",1)),"")</f>
        <v/>
      </c>
      <c r="W848" s="181" t="str">
        <f>IFERROR(LOOKUP(2,1/((B_Drainage!$A$5:$A$204&lt;&gt;"")*(B_Drainage!$A$5:$A$204&lt;=$B848)*(B_Drainage!$B$5:$B$204&gt;$B848)*(B_Drainage!$F$5:$F$204&lt;&gt;"")),IF(B_Drainage!$F$5:$F$204="-","",B_Drainage!$F$5:$F$204)),"")</f>
        <v/>
      </c>
      <c r="X848" s="181" t="str">
        <f>IFERROR(LOOKUP(2,1/((B_Drainage!$A$5:$A$204&lt;&gt;"")*(B_Drainage!$A$5:$A$204&lt;=$B848)*(B_Drainage!$B$5:$B$204&gt;$B848)*(B_Drainage!$G$5:$G$204&lt;&gt;"")),IF(UPPER(B_Drainage!$G$5:$G$204)="Y",1,"")),"")</f>
        <v/>
      </c>
      <c r="Y848" s="181" t="str">
        <f>IFERROR(LOOKUP(2,1/((B_Drainage!$A$5:$A$204&lt;&gt;"")*(B_Drainage!$A$5:$A$204&lt;=$B848)*(B_Drainage!$B$5:$B$204&gt;$B848)*(B_Drainage!$H$5:$H$204&lt;&gt;"")),IF(UPPER(B_Drainage!$H$5:$H$204)="Y",1,"")),"")</f>
        <v/>
      </c>
      <c r="Z848" s="181" t="str">
        <f>IFERROR(LOOKUP(2,1/((B_Drainage!$A$5:$A$204&lt;&gt;"")*(B_Drainage!$A$5:$A$204&lt;=$B848)*(B_Drainage!$B$5:$B$204&gt;$B848)*(B_Drainage!$I$5:$I$204&lt;&gt;"")),IF(UPPER(B_Drainage!$I$5:$I$204)="Y",1,"")),"")</f>
        <v/>
      </c>
      <c r="AA848" s="181" t="str">
        <f>IFERROR(LOOKUP(2,1/((B_Drainage!$A$5:$A$204&lt;&gt;"")*(B_Drainage!$A$5:$A$204&lt;=$B848)*(B_Drainage!$B$5:$B$204&gt;$B848)*(B_Drainage!$J$5:$J$204&lt;&gt;"")),IF(UPPER(B_Drainage!$J$5:$J$204)="Y",1,"")),"")</f>
        <v/>
      </c>
      <c r="AB848" s="182" t="str">
        <f>IFERROR(LOOKUP(2,1/((B_Drainage!$A$5:$A$204&lt;&gt;"")*(B_Drainage!$A$5:$A$204&lt;=$B848)*(B_Drainage!$B$5:$B$204&gt;$B848)*(B_Drainage!$K$5:$K$204&lt;&gt;"")),IF(B_Drainage!$K$5:$K$204="-","",B_Drainage!$K$5:$K$204)),"")</f>
        <v/>
      </c>
      <c r="AC848" s="182" t="str">
        <f>IFERROR(LOOKUP(2,1/((B_Drainage!$A$5:$A$204&lt;&gt;"")*(B_Drainage!$A$5:$A$204&lt;=$B848)*(B_Drainage!$B$5:$B$204&gt;$B848)*(B_Drainage!$L$5:$L$204&lt;&gt;"")),IF(B_Drainage!$L$5:$L$204="-","",B_Drainage!$L$5:$L$204)),"")</f>
        <v/>
      </c>
      <c r="AD848" s="182" t="str">
        <f>IFERROR(LOOKUP(2,1/((D_Points!$A$5:$A$204&lt;&gt;"")*(D_Points!$A$5:$A$204&gt;=$B848)*(D_Points!$A$5:$A$204&lt;$B848+P_Interval)*(UPPER(TRIM(D_Points!$B$5:$B$204))="TURNOUT_L")*(D_Points!$H$5:$H$204&lt;&gt;"")),D_Points!$H$5:$H$204),"")</f>
        <v/>
      </c>
      <c r="AE848" s="182" t="str">
        <f>IFERROR(LOOKUP(2,1/((D_Points!$A$5:$A$204&lt;&gt;"")*(D_Points!$A$5:$A$204&gt;=$B848)*(D_Points!$A$5:$A$204&lt;$B848+P_Interval)*(UPPER(TRIM(D_Points!$B$5:$B$204))="TURNOUT_R")*(D_Points!$H$5:$H$204&lt;&gt;"")),D_Points!$H$5:$H$204),"")</f>
        <v/>
      </c>
      <c r="AF848" s="181" t="str">
        <f>IFERROR(LOOKUP(2,1/((B_Drainage!$A$5:$A$204&lt;&gt;"")*(B_Drainage!$A$5:$A$204&lt;=$B848)*(B_Drainage!$B$5:$B$204&gt;$B848)*(B_Drainage!$M$5:$M$204&lt;&gt;"")),IF(UPPER(B_Drainage!$M$5:$M$204)="Y",1,"")),"")</f>
        <v/>
      </c>
      <c r="AG848" s="181" t="str">
        <f>IFERROR(LOOKUP(2,1/((B_Drainage!$A$5:$A$204&lt;&gt;"")*(B_Drainage!$A$5:$A$204&lt;=$B848)*(B_Drainage!$B$5:$B$204&gt;$B848)*(B_Drainage!$N$5:$N$204&lt;&gt;"")),IF(UPPER(B_Drainage!$N$5:$N$204)="Y",1,"")),"")</f>
        <v/>
      </c>
      <c r="AH848" s="181" t="str">
        <f t="shared" si="104"/>
        <v/>
      </c>
      <c r="AI848" s="181" t="str">
        <f t="shared" si="105"/>
        <v/>
      </c>
      <c r="AJ848" s="181" t="str">
        <f t="shared" si="106"/>
        <v/>
      </c>
      <c r="AK848" s="181" t="str">
        <f t="shared" si="107"/>
        <v/>
      </c>
      <c r="AL848" s="181" t="str">
        <f t="shared" si="108"/>
        <v/>
      </c>
      <c r="AM848" s="181" t="str">
        <f t="shared" si="109"/>
        <v/>
      </c>
      <c r="AN848" s="181" t="str">
        <f t="shared" si="110"/>
        <v/>
      </c>
      <c r="AO848" s="192" t="str">
        <f t="shared" si="111"/>
        <v/>
      </c>
      <c r="AQ848" t="str">
        <f>IFERROR(LOOKUP(2,1/((C_Pavement!$A$5:$A$204&lt;&gt;"")*(C_Pavement!$A$5:$A$204&lt;=$B848)*(C_Pavement!$B$5:$B$204&gt;$B848)*(C_Pavement!$C$5:$C$204&lt;&gt;"")),ROW(C_Pavement!$C$5:$C$204)-4),"")</f>
        <v/>
      </c>
      <c r="AR848" t="str">
        <f>IF($AQ848="","",UPPER(TRIM(INDEX(C_Pavement!$C$5:$C$204,$AQ848))))</f>
        <v/>
      </c>
      <c r="AS848" t="str">
        <f>IF($AR848="","",IFERROR(MATCH($AR848,E_Rules!$A$5:$A$9,0),""))</f>
        <v/>
      </c>
      <c r="AT848" t="str">
        <f>IF($AQ848="","",IF(INDEX(C_Pavement!$D$5:$D$204,$AQ848)&lt;&gt;"",UPPER(TRIM(INDEX(C_Pavement!$D$5:$D$204,$AQ848))),IF($AS848="","",INDEX(E_Rules!$C$5:$C$9,$AS848))))</f>
        <v/>
      </c>
      <c r="AU848" t="str">
        <f>IF($AQ848="","",IF(INDEX(C_Pavement!$E$5:$E$204,$AQ848)&lt;&gt;"",IF(INDEX(C_Pavement!$E$5:$E$204,$AQ848)="-","",INDEX(C_Pavement!$E$5:$E$204,$AQ848)),IF($AS848="","",INDEX(E_Rules!$D$5:$D$9,$AS848))))</f>
        <v/>
      </c>
      <c r="AV848" t="str">
        <f>IF($AQ848="","",IF(INDEX(C_Pavement!$F$5:$F$204,$AQ848)&lt;&gt;"",IF(INDEX(C_Pavement!$F$5:$F$204,$AQ848)="-","",INDEX(C_Pavement!$F$5:$F$204,$AQ848)),IF($AS848="","",INDEX(E_Rules!$E$5:$E$9,$AS848))))</f>
        <v/>
      </c>
      <c r="AW848" t="str">
        <f>IF($AQ848="","",IF(INDEX(C_Pavement!$G$5:$G$204,$AQ848)&lt;&gt;"",IF(INDEX(C_Pavement!$G$5:$G$204,$AQ848)="-","",INDEX(C_Pavement!$G$5:$G$204,$AQ848)),IF($AS848="","",INDEX(E_Rules!$F$5:$F$9,$AS848))))</f>
        <v/>
      </c>
      <c r="AX848" t="str">
        <f>IF($AQ848="","",IF(INDEX(C_Pavement!$H$5:$H$204,$AQ848)&lt;&gt;"",IF(INDEX(C_Pavement!$H$5:$H$204,$AQ848)="-","",INDEX(C_Pavement!$H$5:$H$204,$AQ848)),IF($AS848="","",INDEX(E_Rules!$G$5:$G$9,$AS848))))</f>
        <v/>
      </c>
      <c r="AY848" t="str">
        <f>IF($AQ848="","",IF(INDEX(C_Pavement!$I$5:$I$204,$AQ848)&lt;&gt;"",IF(INDEX(C_Pavement!$I$5:$I$204,$AQ848)="-","",INDEX(C_Pavement!$I$5:$I$204,$AQ848)),IF($AS848="","",INDEX(E_Rules!$H$5:$H$9,$AS848))))</f>
        <v/>
      </c>
    </row>
    <row r="849" spans="1:51" ht="15.75" customHeight="1" x14ac:dyDescent="0.3">
      <c r="A849" s="189">
        <v>844</v>
      </c>
      <c r="B849" s="180">
        <v>42150</v>
      </c>
      <c r="C849" s="180" t="s">
        <v>1155</v>
      </c>
      <c r="D849" s="181" t="str">
        <f>IFERROR(LOOKUP(2,1/((A_Corridor!$A$5:$A$204&lt;&gt;"")*(A_Corridor!$A$5:$A$204&lt;=$B849)*(A_Corridor!$B$5:$B$204&gt;$B849)*(A_Corridor!$C$5:$C$204&lt;&gt;"")),IF(UPPER(A_Corridor!$C$5:$C$204)="Y",1,"")),"")</f>
        <v/>
      </c>
      <c r="E849" s="181" t="str">
        <f>IFERROR(LOOKUP(2,1/((A_Corridor!$A$5:$A$204&lt;&gt;"")*(A_Corridor!$A$5:$A$204&lt;=$B849)*(A_Corridor!$B$5:$B$204&gt;$B849)*(A_Corridor!$D$5:$D$204&lt;&gt;"")),IF(A_Corridor!$D$5:$D$204="-","",UPPER(A_Corridor!$D$5:$D$204))),"")</f>
        <v/>
      </c>
      <c r="F849" s="181" t="str">
        <f>IFERROR(LOOKUP(2,1/((A_Corridor!$A$5:$A$204&lt;&gt;"")*(A_Corridor!$A$5:$A$204&lt;=$B849)*(A_Corridor!$B$5:$B$204&gt;$B849)*(A_Corridor!$E$5:$E$204&lt;&gt;"")),IF(A_Corridor!$E$5:$E$204="-","",1)),"")</f>
        <v/>
      </c>
      <c r="G849" s="182" t="str">
        <f>IFERROR(LOOKUP(2,1/((A_Corridor!$A$5:$A$204&lt;&gt;"")*(A_Corridor!$A$5:$A$204&lt;=$B849)*(A_Corridor!$B$5:$B$204&gt;$B849)*(A_Corridor!$E$5:$E$204&lt;&gt;"")),IF(A_Corridor!$E$5:$E$204="-","",A_Corridor!$E$5:$E$204)),"")</f>
        <v/>
      </c>
      <c r="H849" s="182" t="str">
        <f>IFERROR(LOOKUP(2,1/((D_Points!$A$5:$A$204&lt;&gt;"")*(D_Points!$A$5:$A$204&gt;=$B849)*(D_Points!$A$5:$A$204&lt;$B849+P_Interval)*(UPPER(TRIM(D_Points!$B$5:$B$204))="GULLY")*(D_Points!$H$5:$H$204&lt;&gt;"")),D_Points!$H$5:$H$204),"")</f>
        <v/>
      </c>
      <c r="I849" s="181" t="str">
        <f>IFERROR(LOOKUP(2,1/((A_Corridor!$A$5:$A$204&lt;&gt;"")*(A_Corridor!$A$5:$A$204&lt;=$B849)*(A_Corridor!$B$5:$B$204&gt;$B849)*(A_Corridor!$F$5:$F$204&lt;&gt;"")),IF(A_Corridor!$F$5:$F$204="-","",1)),"")</f>
        <v/>
      </c>
      <c r="J849" s="182" t="str">
        <f>IFERROR(LOOKUP(2,1/((A_Corridor!$A$5:$A$204&lt;&gt;"")*(A_Corridor!$A$5:$A$204&lt;=$B849)*(A_Corridor!$B$5:$B$204&gt;$B849)*(A_Corridor!$F$5:$F$204&lt;&gt;"")),IF(A_Corridor!$F$5:$F$204="-","",A_Corridor!$F$5:$F$204)),"")</f>
        <v/>
      </c>
      <c r="K849" s="182" t="str">
        <f>IFERROR(LOOKUP(2,1/((A_Corridor!$A$5:$A$204&lt;&gt;"")*(A_Corridor!$A$5:$A$204&lt;=$B849)*(A_Corridor!$B$5:$B$204&gt;$B849)*(A_Corridor!$G$5:$G$204&lt;&gt;"")),IF(A_Corridor!$G$5:$G$204="-","",A_Corridor!$G$5:$G$204)),"")</f>
        <v/>
      </c>
      <c r="L849" s="181" t="str">
        <f>IFERROR(LOOKUP(2,1/((A_Corridor!$A$5:$A$204&lt;&gt;"")*(A_Corridor!$A$5:$A$204&lt;=$B849)*(A_Corridor!$B$5:$B$204&gt;$B849)*(A_Corridor!$H$5:$H$204&lt;&gt;"")),IF(A_Corridor!$H$5:$H$204="-","",1)),"")</f>
        <v/>
      </c>
      <c r="M849" s="182" t="str">
        <f>IFERROR(LOOKUP(2,1/((A_Corridor!$A$5:$A$204&lt;&gt;"")*(A_Corridor!$A$5:$A$204&lt;=$B849)*(A_Corridor!$B$5:$B$204&gt;$B849)*(A_Corridor!$H$5:$H$204&lt;&gt;"")),IF(A_Corridor!$H$5:$H$204="-","",A_Corridor!$H$5:$H$204)),"")</f>
        <v/>
      </c>
      <c r="N849" s="182" t="str">
        <f>IFERROR(LOOKUP(2,1/((A_Corridor!$A$5:$A$204&lt;&gt;"")*(A_Corridor!$A$5:$A$204&lt;=$B849)*(A_Corridor!$B$5:$B$204&gt;$B849)*(A_Corridor!$I$5:$I$204&lt;&gt;"")),IF(A_Corridor!$I$5:$I$204="-","",A_Corridor!$I$5:$I$204)),"")</f>
        <v/>
      </c>
      <c r="O849" s="182" t="str">
        <f>IFERROR(LOOKUP(2,1/((D_Points!$A$5:$A$204&lt;&gt;"")*(D_Points!$A$5:$A$204&gt;=$B849)*(D_Points!$A$5:$A$204&lt;$B849+P_Interval)*(UPPER(TRIM(D_Points!$B$5:$B$204))="PITCHING")*(D_Points!$H$5:$H$204&lt;&gt;"")),D_Points!$H$5:$H$204),"")</f>
        <v/>
      </c>
      <c r="P849" s="181" t="str">
        <f>IFERROR(LOOKUP(2,1/((B_Drainage!$A$5:$A$204&lt;&gt;"")*(B_Drainage!$A$5:$A$204&lt;=$B849)*(B_Drainage!$B$5:$B$204&gt;$B849)*(B_Drainage!$C$5:$C$204&lt;&gt;"")),IF(B_Drainage!$C$5:$C$204="-","",UPPER(B_Drainage!$C$5:$C$204))),"")</f>
        <v/>
      </c>
      <c r="Q849" s="181" t="str">
        <f>IFERROR(LOOKUP(2,1/((B_Drainage!$A$5:$A$204&lt;&gt;"")*(B_Drainage!$A$5:$A$204&lt;=$B849)*(B_Drainage!$B$5:$B$204&gt;$B849)*(B_Drainage!$D$5:$D$204&lt;&gt;"")),IF(B_Drainage!$D$5:$D$204="-","",UPPER(B_Drainage!$D$5:$D$204))),"")</f>
        <v/>
      </c>
      <c r="R849" s="182" t="str">
        <f>IFERROR(LOOKUP(2,1/((D_Points!$A$5:$A$204&lt;&gt;"")*(D_Points!$A$5:$A$204&gt;=$B849)*(D_Points!$A$5:$A$204&lt;$B849+P_Interval)*(RIGHT(UPPER(TRIM(D_Points!$B$5:$B$204)),8)="_CULVERT")),IF(LEFT(UPPER(TRIM(D_Points!$B$5:$B$204)),2)="EX",1,IF(LEFT(UPPER(TRIM(D_Points!$B$5:$B$204)),2)="PR",2,3))),"")</f>
        <v/>
      </c>
      <c r="S849" s="182" t="str">
        <f>IFERROR(LOOKUP(2,1/((D_Points!$A$5:$A$204&lt;&gt;"")*(D_Points!$A$5:$A$204&gt;=$B849)*(D_Points!$A$5:$A$204&lt;$B849+P_Interval)*(RIGHT(UPPER(TRIM(D_Points!$B$5:$B$204)),7)="_BRIDGE")),IF(LEFT(UPPER(TRIM(D_Points!$B$5:$B$204)),2)="EX",1,IF(LEFT(UPPER(TRIM(D_Points!$B$5:$B$204)),2)="PR",2,2))),"")</f>
        <v/>
      </c>
      <c r="T849" s="181" t="str">
        <f>IFERROR(LOOKUP(2,1/((B_Drainage!$A$5:$A$204&lt;&gt;"")*(B_Drainage!$A$5:$A$204&lt;=$B849)*(B_Drainage!$B$5:$B$204&gt;$B849)*(B_Drainage!$E$5:$E$204&lt;&gt;"")),IF(B_Drainage!$E$5:$E$204="-","",1)),"")</f>
        <v/>
      </c>
      <c r="U849" s="181" t="str">
        <f>IFERROR(LOOKUP(2,1/((B_Drainage!$A$5:$A$204&lt;&gt;"")*(B_Drainage!$A$5:$A$204&lt;=$B849)*(B_Drainage!$B$5:$B$204&gt;$B849)*(B_Drainage!$E$5:$E$204&lt;&gt;"")),IF(B_Drainage!$E$5:$E$204="-","",B_Drainage!$E$5:$E$204)),"")</f>
        <v/>
      </c>
      <c r="V849" s="181" t="str">
        <f>IFERROR(LOOKUP(2,1/((B_Drainage!$A$5:$A$204&lt;&gt;"")*(B_Drainage!$A$5:$A$204&lt;=$B849)*(B_Drainage!$B$5:$B$204&gt;$B849)*(B_Drainage!$F$5:$F$204&lt;&gt;"")),IF(B_Drainage!$F$5:$F$204="-","",1)),"")</f>
        <v/>
      </c>
      <c r="W849" s="181" t="str">
        <f>IFERROR(LOOKUP(2,1/((B_Drainage!$A$5:$A$204&lt;&gt;"")*(B_Drainage!$A$5:$A$204&lt;=$B849)*(B_Drainage!$B$5:$B$204&gt;$B849)*(B_Drainage!$F$5:$F$204&lt;&gt;"")),IF(B_Drainage!$F$5:$F$204="-","",B_Drainage!$F$5:$F$204)),"")</f>
        <v/>
      </c>
      <c r="X849" s="181" t="str">
        <f>IFERROR(LOOKUP(2,1/((B_Drainage!$A$5:$A$204&lt;&gt;"")*(B_Drainage!$A$5:$A$204&lt;=$B849)*(B_Drainage!$B$5:$B$204&gt;$B849)*(B_Drainage!$G$5:$G$204&lt;&gt;"")),IF(UPPER(B_Drainage!$G$5:$G$204)="Y",1,"")),"")</f>
        <v/>
      </c>
      <c r="Y849" s="181" t="str">
        <f>IFERROR(LOOKUP(2,1/((B_Drainage!$A$5:$A$204&lt;&gt;"")*(B_Drainage!$A$5:$A$204&lt;=$B849)*(B_Drainage!$B$5:$B$204&gt;$B849)*(B_Drainage!$H$5:$H$204&lt;&gt;"")),IF(UPPER(B_Drainage!$H$5:$H$204)="Y",1,"")),"")</f>
        <v/>
      </c>
      <c r="Z849" s="181" t="str">
        <f>IFERROR(LOOKUP(2,1/((B_Drainage!$A$5:$A$204&lt;&gt;"")*(B_Drainage!$A$5:$A$204&lt;=$B849)*(B_Drainage!$B$5:$B$204&gt;$B849)*(B_Drainage!$I$5:$I$204&lt;&gt;"")),IF(UPPER(B_Drainage!$I$5:$I$204)="Y",1,"")),"")</f>
        <v/>
      </c>
      <c r="AA849" s="181" t="str">
        <f>IFERROR(LOOKUP(2,1/((B_Drainage!$A$5:$A$204&lt;&gt;"")*(B_Drainage!$A$5:$A$204&lt;=$B849)*(B_Drainage!$B$5:$B$204&gt;$B849)*(B_Drainage!$J$5:$J$204&lt;&gt;"")),IF(UPPER(B_Drainage!$J$5:$J$204)="Y",1,"")),"")</f>
        <v/>
      </c>
      <c r="AB849" s="182" t="str">
        <f>IFERROR(LOOKUP(2,1/((B_Drainage!$A$5:$A$204&lt;&gt;"")*(B_Drainage!$A$5:$A$204&lt;=$B849)*(B_Drainage!$B$5:$B$204&gt;$B849)*(B_Drainage!$K$5:$K$204&lt;&gt;"")),IF(B_Drainage!$K$5:$K$204="-","",B_Drainage!$K$5:$K$204)),"")</f>
        <v/>
      </c>
      <c r="AC849" s="182" t="str">
        <f>IFERROR(LOOKUP(2,1/((B_Drainage!$A$5:$A$204&lt;&gt;"")*(B_Drainage!$A$5:$A$204&lt;=$B849)*(B_Drainage!$B$5:$B$204&gt;$B849)*(B_Drainage!$L$5:$L$204&lt;&gt;"")),IF(B_Drainage!$L$5:$L$204="-","",B_Drainage!$L$5:$L$204)),"")</f>
        <v/>
      </c>
      <c r="AD849" s="182" t="str">
        <f>IFERROR(LOOKUP(2,1/((D_Points!$A$5:$A$204&lt;&gt;"")*(D_Points!$A$5:$A$204&gt;=$B849)*(D_Points!$A$5:$A$204&lt;$B849+P_Interval)*(UPPER(TRIM(D_Points!$B$5:$B$204))="TURNOUT_L")*(D_Points!$H$5:$H$204&lt;&gt;"")),D_Points!$H$5:$H$204),"")</f>
        <v/>
      </c>
      <c r="AE849" s="182" t="str">
        <f>IFERROR(LOOKUP(2,1/((D_Points!$A$5:$A$204&lt;&gt;"")*(D_Points!$A$5:$A$204&gt;=$B849)*(D_Points!$A$5:$A$204&lt;$B849+P_Interval)*(UPPER(TRIM(D_Points!$B$5:$B$204))="TURNOUT_R")*(D_Points!$H$5:$H$204&lt;&gt;"")),D_Points!$H$5:$H$204),"")</f>
        <v/>
      </c>
      <c r="AF849" s="181" t="str">
        <f>IFERROR(LOOKUP(2,1/((B_Drainage!$A$5:$A$204&lt;&gt;"")*(B_Drainage!$A$5:$A$204&lt;=$B849)*(B_Drainage!$B$5:$B$204&gt;$B849)*(B_Drainage!$M$5:$M$204&lt;&gt;"")),IF(UPPER(B_Drainage!$M$5:$M$204)="Y",1,"")),"")</f>
        <v/>
      </c>
      <c r="AG849" s="181" t="str">
        <f>IFERROR(LOOKUP(2,1/((B_Drainage!$A$5:$A$204&lt;&gt;"")*(B_Drainage!$A$5:$A$204&lt;=$B849)*(B_Drainage!$B$5:$B$204&gt;$B849)*(B_Drainage!$N$5:$N$204&lt;&gt;"")),IF(UPPER(B_Drainage!$N$5:$N$204)="Y",1,"")),"")</f>
        <v/>
      </c>
      <c r="AH849" s="181" t="str">
        <f t="shared" si="104"/>
        <v/>
      </c>
      <c r="AI849" s="181" t="str">
        <f t="shared" si="105"/>
        <v/>
      </c>
      <c r="AJ849" s="181" t="str">
        <f t="shared" si="106"/>
        <v/>
      </c>
      <c r="AK849" s="181" t="str">
        <f t="shared" si="107"/>
        <v/>
      </c>
      <c r="AL849" s="181" t="str">
        <f t="shared" si="108"/>
        <v/>
      </c>
      <c r="AM849" s="181" t="str">
        <f t="shared" si="109"/>
        <v/>
      </c>
      <c r="AN849" s="181" t="str">
        <f t="shared" si="110"/>
        <v/>
      </c>
      <c r="AO849" s="192" t="str">
        <f t="shared" si="111"/>
        <v/>
      </c>
      <c r="AQ849" t="str">
        <f>IFERROR(LOOKUP(2,1/((C_Pavement!$A$5:$A$204&lt;&gt;"")*(C_Pavement!$A$5:$A$204&lt;=$B849)*(C_Pavement!$B$5:$B$204&gt;$B849)*(C_Pavement!$C$5:$C$204&lt;&gt;"")),ROW(C_Pavement!$C$5:$C$204)-4),"")</f>
        <v/>
      </c>
      <c r="AR849" t="str">
        <f>IF($AQ849="","",UPPER(TRIM(INDEX(C_Pavement!$C$5:$C$204,$AQ849))))</f>
        <v/>
      </c>
      <c r="AS849" t="str">
        <f>IF($AR849="","",IFERROR(MATCH($AR849,E_Rules!$A$5:$A$9,0),""))</f>
        <v/>
      </c>
      <c r="AT849" t="str">
        <f>IF($AQ849="","",IF(INDEX(C_Pavement!$D$5:$D$204,$AQ849)&lt;&gt;"",UPPER(TRIM(INDEX(C_Pavement!$D$5:$D$204,$AQ849))),IF($AS849="","",INDEX(E_Rules!$C$5:$C$9,$AS849))))</f>
        <v/>
      </c>
      <c r="AU849" t="str">
        <f>IF($AQ849="","",IF(INDEX(C_Pavement!$E$5:$E$204,$AQ849)&lt;&gt;"",IF(INDEX(C_Pavement!$E$5:$E$204,$AQ849)="-","",INDEX(C_Pavement!$E$5:$E$204,$AQ849)),IF($AS849="","",INDEX(E_Rules!$D$5:$D$9,$AS849))))</f>
        <v/>
      </c>
      <c r="AV849" t="str">
        <f>IF($AQ849="","",IF(INDEX(C_Pavement!$F$5:$F$204,$AQ849)&lt;&gt;"",IF(INDEX(C_Pavement!$F$5:$F$204,$AQ849)="-","",INDEX(C_Pavement!$F$5:$F$204,$AQ849)),IF($AS849="","",INDEX(E_Rules!$E$5:$E$9,$AS849))))</f>
        <v/>
      </c>
      <c r="AW849" t="str">
        <f>IF($AQ849="","",IF(INDEX(C_Pavement!$G$5:$G$204,$AQ849)&lt;&gt;"",IF(INDEX(C_Pavement!$G$5:$G$204,$AQ849)="-","",INDEX(C_Pavement!$G$5:$G$204,$AQ849)),IF($AS849="","",INDEX(E_Rules!$F$5:$F$9,$AS849))))</f>
        <v/>
      </c>
      <c r="AX849" t="str">
        <f>IF($AQ849="","",IF(INDEX(C_Pavement!$H$5:$H$204,$AQ849)&lt;&gt;"",IF(INDEX(C_Pavement!$H$5:$H$204,$AQ849)="-","",INDEX(C_Pavement!$H$5:$H$204,$AQ849)),IF($AS849="","",INDEX(E_Rules!$G$5:$G$9,$AS849))))</f>
        <v/>
      </c>
      <c r="AY849" t="str">
        <f>IF($AQ849="","",IF(INDEX(C_Pavement!$I$5:$I$204,$AQ849)&lt;&gt;"",IF(INDEX(C_Pavement!$I$5:$I$204,$AQ849)="-","",INDEX(C_Pavement!$I$5:$I$204,$AQ849)),IF($AS849="","",INDEX(E_Rules!$H$5:$H$9,$AS849))))</f>
        <v/>
      </c>
    </row>
    <row r="850" spans="1:51" ht="15.75" customHeight="1" x14ac:dyDescent="0.3">
      <c r="A850" s="189">
        <v>845</v>
      </c>
      <c r="B850" s="180">
        <v>42200</v>
      </c>
      <c r="C850" s="180" t="s">
        <v>1156</v>
      </c>
      <c r="D850" s="181" t="str">
        <f>IFERROR(LOOKUP(2,1/((A_Corridor!$A$5:$A$204&lt;&gt;"")*(A_Corridor!$A$5:$A$204&lt;=$B850)*(A_Corridor!$B$5:$B$204&gt;$B850)*(A_Corridor!$C$5:$C$204&lt;&gt;"")),IF(UPPER(A_Corridor!$C$5:$C$204)="Y",1,"")),"")</f>
        <v/>
      </c>
      <c r="E850" s="181" t="str">
        <f>IFERROR(LOOKUP(2,1/((A_Corridor!$A$5:$A$204&lt;&gt;"")*(A_Corridor!$A$5:$A$204&lt;=$B850)*(A_Corridor!$B$5:$B$204&gt;$B850)*(A_Corridor!$D$5:$D$204&lt;&gt;"")),IF(A_Corridor!$D$5:$D$204="-","",UPPER(A_Corridor!$D$5:$D$204))),"")</f>
        <v/>
      </c>
      <c r="F850" s="181" t="str">
        <f>IFERROR(LOOKUP(2,1/((A_Corridor!$A$5:$A$204&lt;&gt;"")*(A_Corridor!$A$5:$A$204&lt;=$B850)*(A_Corridor!$B$5:$B$204&gt;$B850)*(A_Corridor!$E$5:$E$204&lt;&gt;"")),IF(A_Corridor!$E$5:$E$204="-","",1)),"")</f>
        <v/>
      </c>
      <c r="G850" s="182" t="str">
        <f>IFERROR(LOOKUP(2,1/((A_Corridor!$A$5:$A$204&lt;&gt;"")*(A_Corridor!$A$5:$A$204&lt;=$B850)*(A_Corridor!$B$5:$B$204&gt;$B850)*(A_Corridor!$E$5:$E$204&lt;&gt;"")),IF(A_Corridor!$E$5:$E$204="-","",A_Corridor!$E$5:$E$204)),"")</f>
        <v/>
      </c>
      <c r="H850" s="182" t="str">
        <f>IFERROR(LOOKUP(2,1/((D_Points!$A$5:$A$204&lt;&gt;"")*(D_Points!$A$5:$A$204&gt;=$B850)*(D_Points!$A$5:$A$204&lt;$B850+P_Interval)*(UPPER(TRIM(D_Points!$B$5:$B$204))="GULLY")*(D_Points!$H$5:$H$204&lt;&gt;"")),D_Points!$H$5:$H$204),"")</f>
        <v/>
      </c>
      <c r="I850" s="181" t="str">
        <f>IFERROR(LOOKUP(2,1/((A_Corridor!$A$5:$A$204&lt;&gt;"")*(A_Corridor!$A$5:$A$204&lt;=$B850)*(A_Corridor!$B$5:$B$204&gt;$B850)*(A_Corridor!$F$5:$F$204&lt;&gt;"")),IF(A_Corridor!$F$5:$F$204="-","",1)),"")</f>
        <v/>
      </c>
      <c r="J850" s="182" t="str">
        <f>IFERROR(LOOKUP(2,1/((A_Corridor!$A$5:$A$204&lt;&gt;"")*(A_Corridor!$A$5:$A$204&lt;=$B850)*(A_Corridor!$B$5:$B$204&gt;$B850)*(A_Corridor!$F$5:$F$204&lt;&gt;"")),IF(A_Corridor!$F$5:$F$204="-","",A_Corridor!$F$5:$F$204)),"")</f>
        <v/>
      </c>
      <c r="K850" s="182" t="str">
        <f>IFERROR(LOOKUP(2,1/((A_Corridor!$A$5:$A$204&lt;&gt;"")*(A_Corridor!$A$5:$A$204&lt;=$B850)*(A_Corridor!$B$5:$B$204&gt;$B850)*(A_Corridor!$G$5:$G$204&lt;&gt;"")),IF(A_Corridor!$G$5:$G$204="-","",A_Corridor!$G$5:$G$204)),"")</f>
        <v/>
      </c>
      <c r="L850" s="181" t="str">
        <f>IFERROR(LOOKUP(2,1/((A_Corridor!$A$5:$A$204&lt;&gt;"")*(A_Corridor!$A$5:$A$204&lt;=$B850)*(A_Corridor!$B$5:$B$204&gt;$B850)*(A_Corridor!$H$5:$H$204&lt;&gt;"")),IF(A_Corridor!$H$5:$H$204="-","",1)),"")</f>
        <v/>
      </c>
      <c r="M850" s="182" t="str">
        <f>IFERROR(LOOKUP(2,1/((A_Corridor!$A$5:$A$204&lt;&gt;"")*(A_Corridor!$A$5:$A$204&lt;=$B850)*(A_Corridor!$B$5:$B$204&gt;$B850)*(A_Corridor!$H$5:$H$204&lt;&gt;"")),IF(A_Corridor!$H$5:$H$204="-","",A_Corridor!$H$5:$H$204)),"")</f>
        <v/>
      </c>
      <c r="N850" s="182" t="str">
        <f>IFERROR(LOOKUP(2,1/((A_Corridor!$A$5:$A$204&lt;&gt;"")*(A_Corridor!$A$5:$A$204&lt;=$B850)*(A_Corridor!$B$5:$B$204&gt;$B850)*(A_Corridor!$I$5:$I$204&lt;&gt;"")),IF(A_Corridor!$I$5:$I$204="-","",A_Corridor!$I$5:$I$204)),"")</f>
        <v/>
      </c>
      <c r="O850" s="182" t="str">
        <f>IFERROR(LOOKUP(2,1/((D_Points!$A$5:$A$204&lt;&gt;"")*(D_Points!$A$5:$A$204&gt;=$B850)*(D_Points!$A$5:$A$204&lt;$B850+P_Interval)*(UPPER(TRIM(D_Points!$B$5:$B$204))="PITCHING")*(D_Points!$H$5:$H$204&lt;&gt;"")),D_Points!$H$5:$H$204),"")</f>
        <v/>
      </c>
      <c r="P850" s="181" t="str">
        <f>IFERROR(LOOKUP(2,1/((B_Drainage!$A$5:$A$204&lt;&gt;"")*(B_Drainage!$A$5:$A$204&lt;=$B850)*(B_Drainage!$B$5:$B$204&gt;$B850)*(B_Drainage!$C$5:$C$204&lt;&gt;"")),IF(B_Drainage!$C$5:$C$204="-","",UPPER(B_Drainage!$C$5:$C$204))),"")</f>
        <v/>
      </c>
      <c r="Q850" s="181" t="str">
        <f>IFERROR(LOOKUP(2,1/((B_Drainage!$A$5:$A$204&lt;&gt;"")*(B_Drainage!$A$5:$A$204&lt;=$B850)*(B_Drainage!$B$5:$B$204&gt;$B850)*(B_Drainage!$D$5:$D$204&lt;&gt;"")),IF(B_Drainage!$D$5:$D$204="-","",UPPER(B_Drainage!$D$5:$D$204))),"")</f>
        <v/>
      </c>
      <c r="R850" s="182" t="str">
        <f>IFERROR(LOOKUP(2,1/((D_Points!$A$5:$A$204&lt;&gt;"")*(D_Points!$A$5:$A$204&gt;=$B850)*(D_Points!$A$5:$A$204&lt;$B850+P_Interval)*(RIGHT(UPPER(TRIM(D_Points!$B$5:$B$204)),8)="_CULVERT")),IF(LEFT(UPPER(TRIM(D_Points!$B$5:$B$204)),2)="EX",1,IF(LEFT(UPPER(TRIM(D_Points!$B$5:$B$204)),2)="PR",2,3))),"")</f>
        <v/>
      </c>
      <c r="S850" s="182" t="str">
        <f>IFERROR(LOOKUP(2,1/((D_Points!$A$5:$A$204&lt;&gt;"")*(D_Points!$A$5:$A$204&gt;=$B850)*(D_Points!$A$5:$A$204&lt;$B850+P_Interval)*(RIGHT(UPPER(TRIM(D_Points!$B$5:$B$204)),7)="_BRIDGE")),IF(LEFT(UPPER(TRIM(D_Points!$B$5:$B$204)),2)="EX",1,IF(LEFT(UPPER(TRIM(D_Points!$B$5:$B$204)),2)="PR",2,2))),"")</f>
        <v/>
      </c>
      <c r="T850" s="181" t="str">
        <f>IFERROR(LOOKUP(2,1/((B_Drainage!$A$5:$A$204&lt;&gt;"")*(B_Drainage!$A$5:$A$204&lt;=$B850)*(B_Drainage!$B$5:$B$204&gt;$B850)*(B_Drainage!$E$5:$E$204&lt;&gt;"")),IF(B_Drainage!$E$5:$E$204="-","",1)),"")</f>
        <v/>
      </c>
      <c r="U850" s="181" t="str">
        <f>IFERROR(LOOKUP(2,1/((B_Drainage!$A$5:$A$204&lt;&gt;"")*(B_Drainage!$A$5:$A$204&lt;=$B850)*(B_Drainage!$B$5:$B$204&gt;$B850)*(B_Drainage!$E$5:$E$204&lt;&gt;"")),IF(B_Drainage!$E$5:$E$204="-","",B_Drainage!$E$5:$E$204)),"")</f>
        <v/>
      </c>
      <c r="V850" s="181" t="str">
        <f>IFERROR(LOOKUP(2,1/((B_Drainage!$A$5:$A$204&lt;&gt;"")*(B_Drainage!$A$5:$A$204&lt;=$B850)*(B_Drainage!$B$5:$B$204&gt;$B850)*(B_Drainage!$F$5:$F$204&lt;&gt;"")),IF(B_Drainage!$F$5:$F$204="-","",1)),"")</f>
        <v/>
      </c>
      <c r="W850" s="181" t="str">
        <f>IFERROR(LOOKUP(2,1/((B_Drainage!$A$5:$A$204&lt;&gt;"")*(B_Drainage!$A$5:$A$204&lt;=$B850)*(B_Drainage!$B$5:$B$204&gt;$B850)*(B_Drainage!$F$5:$F$204&lt;&gt;"")),IF(B_Drainage!$F$5:$F$204="-","",B_Drainage!$F$5:$F$204)),"")</f>
        <v/>
      </c>
      <c r="X850" s="181" t="str">
        <f>IFERROR(LOOKUP(2,1/((B_Drainage!$A$5:$A$204&lt;&gt;"")*(B_Drainage!$A$5:$A$204&lt;=$B850)*(B_Drainage!$B$5:$B$204&gt;$B850)*(B_Drainage!$G$5:$G$204&lt;&gt;"")),IF(UPPER(B_Drainage!$G$5:$G$204)="Y",1,"")),"")</f>
        <v/>
      </c>
      <c r="Y850" s="181" t="str">
        <f>IFERROR(LOOKUP(2,1/((B_Drainage!$A$5:$A$204&lt;&gt;"")*(B_Drainage!$A$5:$A$204&lt;=$B850)*(B_Drainage!$B$5:$B$204&gt;$B850)*(B_Drainage!$H$5:$H$204&lt;&gt;"")),IF(UPPER(B_Drainage!$H$5:$H$204)="Y",1,"")),"")</f>
        <v/>
      </c>
      <c r="Z850" s="181" t="str">
        <f>IFERROR(LOOKUP(2,1/((B_Drainage!$A$5:$A$204&lt;&gt;"")*(B_Drainage!$A$5:$A$204&lt;=$B850)*(B_Drainage!$B$5:$B$204&gt;$B850)*(B_Drainage!$I$5:$I$204&lt;&gt;"")),IF(UPPER(B_Drainage!$I$5:$I$204)="Y",1,"")),"")</f>
        <v/>
      </c>
      <c r="AA850" s="181" t="str">
        <f>IFERROR(LOOKUP(2,1/((B_Drainage!$A$5:$A$204&lt;&gt;"")*(B_Drainage!$A$5:$A$204&lt;=$B850)*(B_Drainage!$B$5:$B$204&gt;$B850)*(B_Drainage!$J$5:$J$204&lt;&gt;"")),IF(UPPER(B_Drainage!$J$5:$J$204)="Y",1,"")),"")</f>
        <v/>
      </c>
      <c r="AB850" s="182" t="str">
        <f>IFERROR(LOOKUP(2,1/((B_Drainage!$A$5:$A$204&lt;&gt;"")*(B_Drainage!$A$5:$A$204&lt;=$B850)*(B_Drainage!$B$5:$B$204&gt;$B850)*(B_Drainage!$K$5:$K$204&lt;&gt;"")),IF(B_Drainage!$K$5:$K$204="-","",B_Drainage!$K$5:$K$204)),"")</f>
        <v/>
      </c>
      <c r="AC850" s="182" t="str">
        <f>IFERROR(LOOKUP(2,1/((B_Drainage!$A$5:$A$204&lt;&gt;"")*(B_Drainage!$A$5:$A$204&lt;=$B850)*(B_Drainage!$B$5:$B$204&gt;$B850)*(B_Drainage!$L$5:$L$204&lt;&gt;"")),IF(B_Drainage!$L$5:$L$204="-","",B_Drainage!$L$5:$L$204)),"")</f>
        <v/>
      </c>
      <c r="AD850" s="182" t="str">
        <f>IFERROR(LOOKUP(2,1/((D_Points!$A$5:$A$204&lt;&gt;"")*(D_Points!$A$5:$A$204&gt;=$B850)*(D_Points!$A$5:$A$204&lt;$B850+P_Interval)*(UPPER(TRIM(D_Points!$B$5:$B$204))="TURNOUT_L")*(D_Points!$H$5:$H$204&lt;&gt;"")),D_Points!$H$5:$H$204),"")</f>
        <v/>
      </c>
      <c r="AE850" s="182" t="str">
        <f>IFERROR(LOOKUP(2,1/((D_Points!$A$5:$A$204&lt;&gt;"")*(D_Points!$A$5:$A$204&gt;=$B850)*(D_Points!$A$5:$A$204&lt;$B850+P_Interval)*(UPPER(TRIM(D_Points!$B$5:$B$204))="TURNOUT_R")*(D_Points!$H$5:$H$204&lt;&gt;"")),D_Points!$H$5:$H$204),"")</f>
        <v/>
      </c>
      <c r="AF850" s="181" t="str">
        <f>IFERROR(LOOKUP(2,1/((B_Drainage!$A$5:$A$204&lt;&gt;"")*(B_Drainage!$A$5:$A$204&lt;=$B850)*(B_Drainage!$B$5:$B$204&gt;$B850)*(B_Drainage!$M$5:$M$204&lt;&gt;"")),IF(UPPER(B_Drainage!$M$5:$M$204)="Y",1,"")),"")</f>
        <v/>
      </c>
      <c r="AG850" s="181" t="str">
        <f>IFERROR(LOOKUP(2,1/((B_Drainage!$A$5:$A$204&lt;&gt;"")*(B_Drainage!$A$5:$A$204&lt;=$B850)*(B_Drainage!$B$5:$B$204&gt;$B850)*(B_Drainage!$N$5:$N$204&lt;&gt;"")),IF(UPPER(B_Drainage!$N$5:$N$204)="Y",1,"")),"")</f>
        <v/>
      </c>
      <c r="AH850" s="181" t="str">
        <f t="shared" si="104"/>
        <v/>
      </c>
      <c r="AI850" s="181" t="str">
        <f t="shared" si="105"/>
        <v/>
      </c>
      <c r="AJ850" s="181" t="str">
        <f t="shared" si="106"/>
        <v/>
      </c>
      <c r="AK850" s="181" t="str">
        <f t="shared" si="107"/>
        <v/>
      </c>
      <c r="AL850" s="181" t="str">
        <f t="shared" si="108"/>
        <v/>
      </c>
      <c r="AM850" s="181" t="str">
        <f t="shared" si="109"/>
        <v/>
      </c>
      <c r="AN850" s="181" t="str">
        <f t="shared" si="110"/>
        <v/>
      </c>
      <c r="AO850" s="192" t="str">
        <f t="shared" si="111"/>
        <v/>
      </c>
      <c r="AQ850" t="str">
        <f>IFERROR(LOOKUP(2,1/((C_Pavement!$A$5:$A$204&lt;&gt;"")*(C_Pavement!$A$5:$A$204&lt;=$B850)*(C_Pavement!$B$5:$B$204&gt;$B850)*(C_Pavement!$C$5:$C$204&lt;&gt;"")),ROW(C_Pavement!$C$5:$C$204)-4),"")</f>
        <v/>
      </c>
      <c r="AR850" t="str">
        <f>IF($AQ850="","",UPPER(TRIM(INDEX(C_Pavement!$C$5:$C$204,$AQ850))))</f>
        <v/>
      </c>
      <c r="AS850" t="str">
        <f>IF($AR850="","",IFERROR(MATCH($AR850,E_Rules!$A$5:$A$9,0),""))</f>
        <v/>
      </c>
      <c r="AT850" t="str">
        <f>IF($AQ850="","",IF(INDEX(C_Pavement!$D$5:$D$204,$AQ850)&lt;&gt;"",UPPER(TRIM(INDEX(C_Pavement!$D$5:$D$204,$AQ850))),IF($AS850="","",INDEX(E_Rules!$C$5:$C$9,$AS850))))</f>
        <v/>
      </c>
      <c r="AU850" t="str">
        <f>IF($AQ850="","",IF(INDEX(C_Pavement!$E$5:$E$204,$AQ850)&lt;&gt;"",IF(INDEX(C_Pavement!$E$5:$E$204,$AQ850)="-","",INDEX(C_Pavement!$E$5:$E$204,$AQ850)),IF($AS850="","",INDEX(E_Rules!$D$5:$D$9,$AS850))))</f>
        <v/>
      </c>
      <c r="AV850" t="str">
        <f>IF($AQ850="","",IF(INDEX(C_Pavement!$F$5:$F$204,$AQ850)&lt;&gt;"",IF(INDEX(C_Pavement!$F$5:$F$204,$AQ850)="-","",INDEX(C_Pavement!$F$5:$F$204,$AQ850)),IF($AS850="","",INDEX(E_Rules!$E$5:$E$9,$AS850))))</f>
        <v/>
      </c>
      <c r="AW850" t="str">
        <f>IF($AQ850="","",IF(INDEX(C_Pavement!$G$5:$G$204,$AQ850)&lt;&gt;"",IF(INDEX(C_Pavement!$G$5:$G$204,$AQ850)="-","",INDEX(C_Pavement!$G$5:$G$204,$AQ850)),IF($AS850="","",INDEX(E_Rules!$F$5:$F$9,$AS850))))</f>
        <v/>
      </c>
      <c r="AX850" t="str">
        <f>IF($AQ850="","",IF(INDEX(C_Pavement!$H$5:$H$204,$AQ850)&lt;&gt;"",IF(INDEX(C_Pavement!$H$5:$H$204,$AQ850)="-","",INDEX(C_Pavement!$H$5:$H$204,$AQ850)),IF($AS850="","",INDEX(E_Rules!$G$5:$G$9,$AS850))))</f>
        <v/>
      </c>
      <c r="AY850" t="str">
        <f>IF($AQ850="","",IF(INDEX(C_Pavement!$I$5:$I$204,$AQ850)&lt;&gt;"",IF(INDEX(C_Pavement!$I$5:$I$204,$AQ850)="-","",INDEX(C_Pavement!$I$5:$I$204,$AQ850)),IF($AS850="","",INDEX(E_Rules!$H$5:$H$9,$AS850))))</f>
        <v/>
      </c>
    </row>
    <row r="851" spans="1:51" ht="15.75" customHeight="1" x14ac:dyDescent="0.3">
      <c r="A851" s="189">
        <v>846</v>
      </c>
      <c r="B851" s="180">
        <v>42250</v>
      </c>
      <c r="C851" s="180" t="s">
        <v>1157</v>
      </c>
      <c r="D851" s="181" t="str">
        <f>IFERROR(LOOKUP(2,1/((A_Corridor!$A$5:$A$204&lt;&gt;"")*(A_Corridor!$A$5:$A$204&lt;=$B851)*(A_Corridor!$B$5:$B$204&gt;$B851)*(A_Corridor!$C$5:$C$204&lt;&gt;"")),IF(UPPER(A_Corridor!$C$5:$C$204)="Y",1,"")),"")</f>
        <v/>
      </c>
      <c r="E851" s="181" t="str">
        <f>IFERROR(LOOKUP(2,1/((A_Corridor!$A$5:$A$204&lt;&gt;"")*(A_Corridor!$A$5:$A$204&lt;=$B851)*(A_Corridor!$B$5:$B$204&gt;$B851)*(A_Corridor!$D$5:$D$204&lt;&gt;"")),IF(A_Corridor!$D$5:$D$204="-","",UPPER(A_Corridor!$D$5:$D$204))),"")</f>
        <v/>
      </c>
      <c r="F851" s="181" t="str">
        <f>IFERROR(LOOKUP(2,1/((A_Corridor!$A$5:$A$204&lt;&gt;"")*(A_Corridor!$A$5:$A$204&lt;=$B851)*(A_Corridor!$B$5:$B$204&gt;$B851)*(A_Corridor!$E$5:$E$204&lt;&gt;"")),IF(A_Corridor!$E$5:$E$204="-","",1)),"")</f>
        <v/>
      </c>
      <c r="G851" s="182" t="str">
        <f>IFERROR(LOOKUP(2,1/((A_Corridor!$A$5:$A$204&lt;&gt;"")*(A_Corridor!$A$5:$A$204&lt;=$B851)*(A_Corridor!$B$5:$B$204&gt;$B851)*(A_Corridor!$E$5:$E$204&lt;&gt;"")),IF(A_Corridor!$E$5:$E$204="-","",A_Corridor!$E$5:$E$204)),"")</f>
        <v/>
      </c>
      <c r="H851" s="182" t="str">
        <f>IFERROR(LOOKUP(2,1/((D_Points!$A$5:$A$204&lt;&gt;"")*(D_Points!$A$5:$A$204&gt;=$B851)*(D_Points!$A$5:$A$204&lt;$B851+P_Interval)*(UPPER(TRIM(D_Points!$B$5:$B$204))="GULLY")*(D_Points!$H$5:$H$204&lt;&gt;"")),D_Points!$H$5:$H$204),"")</f>
        <v/>
      </c>
      <c r="I851" s="181" t="str">
        <f>IFERROR(LOOKUP(2,1/((A_Corridor!$A$5:$A$204&lt;&gt;"")*(A_Corridor!$A$5:$A$204&lt;=$B851)*(A_Corridor!$B$5:$B$204&gt;$B851)*(A_Corridor!$F$5:$F$204&lt;&gt;"")),IF(A_Corridor!$F$5:$F$204="-","",1)),"")</f>
        <v/>
      </c>
      <c r="J851" s="182" t="str">
        <f>IFERROR(LOOKUP(2,1/((A_Corridor!$A$5:$A$204&lt;&gt;"")*(A_Corridor!$A$5:$A$204&lt;=$B851)*(A_Corridor!$B$5:$B$204&gt;$B851)*(A_Corridor!$F$5:$F$204&lt;&gt;"")),IF(A_Corridor!$F$5:$F$204="-","",A_Corridor!$F$5:$F$204)),"")</f>
        <v/>
      </c>
      <c r="K851" s="182" t="str">
        <f>IFERROR(LOOKUP(2,1/((A_Corridor!$A$5:$A$204&lt;&gt;"")*(A_Corridor!$A$5:$A$204&lt;=$B851)*(A_Corridor!$B$5:$B$204&gt;$B851)*(A_Corridor!$G$5:$G$204&lt;&gt;"")),IF(A_Corridor!$G$5:$G$204="-","",A_Corridor!$G$5:$G$204)),"")</f>
        <v/>
      </c>
      <c r="L851" s="181" t="str">
        <f>IFERROR(LOOKUP(2,1/((A_Corridor!$A$5:$A$204&lt;&gt;"")*(A_Corridor!$A$5:$A$204&lt;=$B851)*(A_Corridor!$B$5:$B$204&gt;$B851)*(A_Corridor!$H$5:$H$204&lt;&gt;"")),IF(A_Corridor!$H$5:$H$204="-","",1)),"")</f>
        <v/>
      </c>
      <c r="M851" s="182" t="str">
        <f>IFERROR(LOOKUP(2,1/((A_Corridor!$A$5:$A$204&lt;&gt;"")*(A_Corridor!$A$5:$A$204&lt;=$B851)*(A_Corridor!$B$5:$B$204&gt;$B851)*(A_Corridor!$H$5:$H$204&lt;&gt;"")),IF(A_Corridor!$H$5:$H$204="-","",A_Corridor!$H$5:$H$204)),"")</f>
        <v/>
      </c>
      <c r="N851" s="182" t="str">
        <f>IFERROR(LOOKUP(2,1/((A_Corridor!$A$5:$A$204&lt;&gt;"")*(A_Corridor!$A$5:$A$204&lt;=$B851)*(A_Corridor!$B$5:$B$204&gt;$B851)*(A_Corridor!$I$5:$I$204&lt;&gt;"")),IF(A_Corridor!$I$5:$I$204="-","",A_Corridor!$I$5:$I$204)),"")</f>
        <v/>
      </c>
      <c r="O851" s="182" t="str">
        <f>IFERROR(LOOKUP(2,1/((D_Points!$A$5:$A$204&lt;&gt;"")*(D_Points!$A$5:$A$204&gt;=$B851)*(D_Points!$A$5:$A$204&lt;$B851+P_Interval)*(UPPER(TRIM(D_Points!$B$5:$B$204))="PITCHING")*(D_Points!$H$5:$H$204&lt;&gt;"")),D_Points!$H$5:$H$204),"")</f>
        <v/>
      </c>
      <c r="P851" s="181" t="str">
        <f>IFERROR(LOOKUP(2,1/((B_Drainage!$A$5:$A$204&lt;&gt;"")*(B_Drainage!$A$5:$A$204&lt;=$B851)*(B_Drainage!$B$5:$B$204&gt;$B851)*(B_Drainage!$C$5:$C$204&lt;&gt;"")),IF(B_Drainage!$C$5:$C$204="-","",UPPER(B_Drainage!$C$5:$C$204))),"")</f>
        <v/>
      </c>
      <c r="Q851" s="181" t="str">
        <f>IFERROR(LOOKUP(2,1/((B_Drainage!$A$5:$A$204&lt;&gt;"")*(B_Drainage!$A$5:$A$204&lt;=$B851)*(B_Drainage!$B$5:$B$204&gt;$B851)*(B_Drainage!$D$5:$D$204&lt;&gt;"")),IF(B_Drainage!$D$5:$D$204="-","",UPPER(B_Drainage!$D$5:$D$204))),"")</f>
        <v/>
      </c>
      <c r="R851" s="182" t="str">
        <f>IFERROR(LOOKUP(2,1/((D_Points!$A$5:$A$204&lt;&gt;"")*(D_Points!$A$5:$A$204&gt;=$B851)*(D_Points!$A$5:$A$204&lt;$B851+P_Interval)*(RIGHT(UPPER(TRIM(D_Points!$B$5:$B$204)),8)="_CULVERT")),IF(LEFT(UPPER(TRIM(D_Points!$B$5:$B$204)),2)="EX",1,IF(LEFT(UPPER(TRIM(D_Points!$B$5:$B$204)),2)="PR",2,3))),"")</f>
        <v/>
      </c>
      <c r="S851" s="182" t="str">
        <f>IFERROR(LOOKUP(2,1/((D_Points!$A$5:$A$204&lt;&gt;"")*(D_Points!$A$5:$A$204&gt;=$B851)*(D_Points!$A$5:$A$204&lt;$B851+P_Interval)*(RIGHT(UPPER(TRIM(D_Points!$B$5:$B$204)),7)="_BRIDGE")),IF(LEFT(UPPER(TRIM(D_Points!$B$5:$B$204)),2)="EX",1,IF(LEFT(UPPER(TRIM(D_Points!$B$5:$B$204)),2)="PR",2,2))),"")</f>
        <v/>
      </c>
      <c r="T851" s="181" t="str">
        <f>IFERROR(LOOKUP(2,1/((B_Drainage!$A$5:$A$204&lt;&gt;"")*(B_Drainage!$A$5:$A$204&lt;=$B851)*(B_Drainage!$B$5:$B$204&gt;$B851)*(B_Drainage!$E$5:$E$204&lt;&gt;"")),IF(B_Drainage!$E$5:$E$204="-","",1)),"")</f>
        <v/>
      </c>
      <c r="U851" s="181" t="str">
        <f>IFERROR(LOOKUP(2,1/((B_Drainage!$A$5:$A$204&lt;&gt;"")*(B_Drainage!$A$5:$A$204&lt;=$B851)*(B_Drainage!$B$5:$B$204&gt;$B851)*(B_Drainage!$E$5:$E$204&lt;&gt;"")),IF(B_Drainage!$E$5:$E$204="-","",B_Drainage!$E$5:$E$204)),"")</f>
        <v/>
      </c>
      <c r="V851" s="181" t="str">
        <f>IFERROR(LOOKUP(2,1/((B_Drainage!$A$5:$A$204&lt;&gt;"")*(B_Drainage!$A$5:$A$204&lt;=$B851)*(B_Drainage!$B$5:$B$204&gt;$B851)*(B_Drainage!$F$5:$F$204&lt;&gt;"")),IF(B_Drainage!$F$5:$F$204="-","",1)),"")</f>
        <v/>
      </c>
      <c r="W851" s="181" t="str">
        <f>IFERROR(LOOKUP(2,1/((B_Drainage!$A$5:$A$204&lt;&gt;"")*(B_Drainage!$A$5:$A$204&lt;=$B851)*(B_Drainage!$B$5:$B$204&gt;$B851)*(B_Drainage!$F$5:$F$204&lt;&gt;"")),IF(B_Drainage!$F$5:$F$204="-","",B_Drainage!$F$5:$F$204)),"")</f>
        <v/>
      </c>
      <c r="X851" s="181" t="str">
        <f>IFERROR(LOOKUP(2,1/((B_Drainage!$A$5:$A$204&lt;&gt;"")*(B_Drainage!$A$5:$A$204&lt;=$B851)*(B_Drainage!$B$5:$B$204&gt;$B851)*(B_Drainage!$G$5:$G$204&lt;&gt;"")),IF(UPPER(B_Drainage!$G$5:$G$204)="Y",1,"")),"")</f>
        <v/>
      </c>
      <c r="Y851" s="181" t="str">
        <f>IFERROR(LOOKUP(2,1/((B_Drainage!$A$5:$A$204&lt;&gt;"")*(B_Drainage!$A$5:$A$204&lt;=$B851)*(B_Drainage!$B$5:$B$204&gt;$B851)*(B_Drainage!$H$5:$H$204&lt;&gt;"")),IF(UPPER(B_Drainage!$H$5:$H$204)="Y",1,"")),"")</f>
        <v/>
      </c>
      <c r="Z851" s="181" t="str">
        <f>IFERROR(LOOKUP(2,1/((B_Drainage!$A$5:$A$204&lt;&gt;"")*(B_Drainage!$A$5:$A$204&lt;=$B851)*(B_Drainage!$B$5:$B$204&gt;$B851)*(B_Drainage!$I$5:$I$204&lt;&gt;"")),IF(UPPER(B_Drainage!$I$5:$I$204)="Y",1,"")),"")</f>
        <v/>
      </c>
      <c r="AA851" s="181" t="str">
        <f>IFERROR(LOOKUP(2,1/((B_Drainage!$A$5:$A$204&lt;&gt;"")*(B_Drainage!$A$5:$A$204&lt;=$B851)*(B_Drainage!$B$5:$B$204&gt;$B851)*(B_Drainage!$J$5:$J$204&lt;&gt;"")),IF(UPPER(B_Drainage!$J$5:$J$204)="Y",1,"")),"")</f>
        <v/>
      </c>
      <c r="AB851" s="182" t="str">
        <f>IFERROR(LOOKUP(2,1/((B_Drainage!$A$5:$A$204&lt;&gt;"")*(B_Drainage!$A$5:$A$204&lt;=$B851)*(B_Drainage!$B$5:$B$204&gt;$B851)*(B_Drainage!$K$5:$K$204&lt;&gt;"")),IF(B_Drainage!$K$5:$K$204="-","",B_Drainage!$K$5:$K$204)),"")</f>
        <v/>
      </c>
      <c r="AC851" s="182" t="str">
        <f>IFERROR(LOOKUP(2,1/((B_Drainage!$A$5:$A$204&lt;&gt;"")*(B_Drainage!$A$5:$A$204&lt;=$B851)*(B_Drainage!$B$5:$B$204&gt;$B851)*(B_Drainage!$L$5:$L$204&lt;&gt;"")),IF(B_Drainage!$L$5:$L$204="-","",B_Drainage!$L$5:$L$204)),"")</f>
        <v/>
      </c>
      <c r="AD851" s="182" t="str">
        <f>IFERROR(LOOKUP(2,1/((D_Points!$A$5:$A$204&lt;&gt;"")*(D_Points!$A$5:$A$204&gt;=$B851)*(D_Points!$A$5:$A$204&lt;$B851+P_Interval)*(UPPER(TRIM(D_Points!$B$5:$B$204))="TURNOUT_L")*(D_Points!$H$5:$H$204&lt;&gt;"")),D_Points!$H$5:$H$204),"")</f>
        <v/>
      </c>
      <c r="AE851" s="182" t="str">
        <f>IFERROR(LOOKUP(2,1/((D_Points!$A$5:$A$204&lt;&gt;"")*(D_Points!$A$5:$A$204&gt;=$B851)*(D_Points!$A$5:$A$204&lt;$B851+P_Interval)*(UPPER(TRIM(D_Points!$B$5:$B$204))="TURNOUT_R")*(D_Points!$H$5:$H$204&lt;&gt;"")),D_Points!$H$5:$H$204),"")</f>
        <v/>
      </c>
      <c r="AF851" s="181" t="str">
        <f>IFERROR(LOOKUP(2,1/((B_Drainage!$A$5:$A$204&lt;&gt;"")*(B_Drainage!$A$5:$A$204&lt;=$B851)*(B_Drainage!$B$5:$B$204&gt;$B851)*(B_Drainage!$M$5:$M$204&lt;&gt;"")),IF(UPPER(B_Drainage!$M$5:$M$204)="Y",1,"")),"")</f>
        <v/>
      </c>
      <c r="AG851" s="181" t="str">
        <f>IFERROR(LOOKUP(2,1/((B_Drainage!$A$5:$A$204&lt;&gt;"")*(B_Drainage!$A$5:$A$204&lt;=$B851)*(B_Drainage!$B$5:$B$204&gt;$B851)*(B_Drainage!$N$5:$N$204&lt;&gt;"")),IF(UPPER(B_Drainage!$N$5:$N$204)="Y",1,"")),"")</f>
        <v/>
      </c>
      <c r="AH851" s="181" t="str">
        <f t="shared" si="104"/>
        <v/>
      </c>
      <c r="AI851" s="181" t="str">
        <f t="shared" si="105"/>
        <v/>
      </c>
      <c r="AJ851" s="181" t="str">
        <f t="shared" si="106"/>
        <v/>
      </c>
      <c r="AK851" s="181" t="str">
        <f t="shared" si="107"/>
        <v/>
      </c>
      <c r="AL851" s="181" t="str">
        <f t="shared" si="108"/>
        <v/>
      </c>
      <c r="AM851" s="181" t="str">
        <f t="shared" si="109"/>
        <v/>
      </c>
      <c r="AN851" s="181" t="str">
        <f t="shared" si="110"/>
        <v/>
      </c>
      <c r="AO851" s="192" t="str">
        <f t="shared" si="111"/>
        <v/>
      </c>
      <c r="AQ851" t="str">
        <f>IFERROR(LOOKUP(2,1/((C_Pavement!$A$5:$A$204&lt;&gt;"")*(C_Pavement!$A$5:$A$204&lt;=$B851)*(C_Pavement!$B$5:$B$204&gt;$B851)*(C_Pavement!$C$5:$C$204&lt;&gt;"")),ROW(C_Pavement!$C$5:$C$204)-4),"")</f>
        <v/>
      </c>
      <c r="AR851" t="str">
        <f>IF($AQ851="","",UPPER(TRIM(INDEX(C_Pavement!$C$5:$C$204,$AQ851))))</f>
        <v/>
      </c>
      <c r="AS851" t="str">
        <f>IF($AR851="","",IFERROR(MATCH($AR851,E_Rules!$A$5:$A$9,0),""))</f>
        <v/>
      </c>
      <c r="AT851" t="str">
        <f>IF($AQ851="","",IF(INDEX(C_Pavement!$D$5:$D$204,$AQ851)&lt;&gt;"",UPPER(TRIM(INDEX(C_Pavement!$D$5:$D$204,$AQ851))),IF($AS851="","",INDEX(E_Rules!$C$5:$C$9,$AS851))))</f>
        <v/>
      </c>
      <c r="AU851" t="str">
        <f>IF($AQ851="","",IF(INDEX(C_Pavement!$E$5:$E$204,$AQ851)&lt;&gt;"",IF(INDEX(C_Pavement!$E$5:$E$204,$AQ851)="-","",INDEX(C_Pavement!$E$5:$E$204,$AQ851)),IF($AS851="","",INDEX(E_Rules!$D$5:$D$9,$AS851))))</f>
        <v/>
      </c>
      <c r="AV851" t="str">
        <f>IF($AQ851="","",IF(INDEX(C_Pavement!$F$5:$F$204,$AQ851)&lt;&gt;"",IF(INDEX(C_Pavement!$F$5:$F$204,$AQ851)="-","",INDEX(C_Pavement!$F$5:$F$204,$AQ851)),IF($AS851="","",INDEX(E_Rules!$E$5:$E$9,$AS851))))</f>
        <v/>
      </c>
      <c r="AW851" t="str">
        <f>IF($AQ851="","",IF(INDEX(C_Pavement!$G$5:$G$204,$AQ851)&lt;&gt;"",IF(INDEX(C_Pavement!$G$5:$G$204,$AQ851)="-","",INDEX(C_Pavement!$G$5:$G$204,$AQ851)),IF($AS851="","",INDEX(E_Rules!$F$5:$F$9,$AS851))))</f>
        <v/>
      </c>
      <c r="AX851" t="str">
        <f>IF($AQ851="","",IF(INDEX(C_Pavement!$H$5:$H$204,$AQ851)&lt;&gt;"",IF(INDEX(C_Pavement!$H$5:$H$204,$AQ851)="-","",INDEX(C_Pavement!$H$5:$H$204,$AQ851)),IF($AS851="","",INDEX(E_Rules!$G$5:$G$9,$AS851))))</f>
        <v/>
      </c>
      <c r="AY851" t="str">
        <f>IF($AQ851="","",IF(INDEX(C_Pavement!$I$5:$I$204,$AQ851)&lt;&gt;"",IF(INDEX(C_Pavement!$I$5:$I$204,$AQ851)="-","",INDEX(C_Pavement!$I$5:$I$204,$AQ851)),IF($AS851="","",INDEX(E_Rules!$H$5:$H$9,$AS851))))</f>
        <v/>
      </c>
    </row>
    <row r="852" spans="1:51" ht="15.75" customHeight="1" x14ac:dyDescent="0.3">
      <c r="A852" s="189">
        <v>847</v>
      </c>
      <c r="B852" s="180">
        <v>42300</v>
      </c>
      <c r="C852" s="180" t="s">
        <v>1158</v>
      </c>
      <c r="D852" s="181" t="str">
        <f>IFERROR(LOOKUP(2,1/((A_Corridor!$A$5:$A$204&lt;&gt;"")*(A_Corridor!$A$5:$A$204&lt;=$B852)*(A_Corridor!$B$5:$B$204&gt;$B852)*(A_Corridor!$C$5:$C$204&lt;&gt;"")),IF(UPPER(A_Corridor!$C$5:$C$204)="Y",1,"")),"")</f>
        <v/>
      </c>
      <c r="E852" s="181" t="str">
        <f>IFERROR(LOOKUP(2,1/((A_Corridor!$A$5:$A$204&lt;&gt;"")*(A_Corridor!$A$5:$A$204&lt;=$B852)*(A_Corridor!$B$5:$B$204&gt;$B852)*(A_Corridor!$D$5:$D$204&lt;&gt;"")),IF(A_Corridor!$D$5:$D$204="-","",UPPER(A_Corridor!$D$5:$D$204))),"")</f>
        <v/>
      </c>
      <c r="F852" s="181" t="str">
        <f>IFERROR(LOOKUP(2,1/((A_Corridor!$A$5:$A$204&lt;&gt;"")*(A_Corridor!$A$5:$A$204&lt;=$B852)*(A_Corridor!$B$5:$B$204&gt;$B852)*(A_Corridor!$E$5:$E$204&lt;&gt;"")),IF(A_Corridor!$E$5:$E$204="-","",1)),"")</f>
        <v/>
      </c>
      <c r="G852" s="182" t="str">
        <f>IFERROR(LOOKUP(2,1/((A_Corridor!$A$5:$A$204&lt;&gt;"")*(A_Corridor!$A$5:$A$204&lt;=$B852)*(A_Corridor!$B$5:$B$204&gt;$B852)*(A_Corridor!$E$5:$E$204&lt;&gt;"")),IF(A_Corridor!$E$5:$E$204="-","",A_Corridor!$E$5:$E$204)),"")</f>
        <v/>
      </c>
      <c r="H852" s="182" t="str">
        <f>IFERROR(LOOKUP(2,1/((D_Points!$A$5:$A$204&lt;&gt;"")*(D_Points!$A$5:$A$204&gt;=$B852)*(D_Points!$A$5:$A$204&lt;$B852+P_Interval)*(UPPER(TRIM(D_Points!$B$5:$B$204))="GULLY")*(D_Points!$H$5:$H$204&lt;&gt;"")),D_Points!$H$5:$H$204),"")</f>
        <v/>
      </c>
      <c r="I852" s="181" t="str">
        <f>IFERROR(LOOKUP(2,1/((A_Corridor!$A$5:$A$204&lt;&gt;"")*(A_Corridor!$A$5:$A$204&lt;=$B852)*(A_Corridor!$B$5:$B$204&gt;$B852)*(A_Corridor!$F$5:$F$204&lt;&gt;"")),IF(A_Corridor!$F$5:$F$204="-","",1)),"")</f>
        <v/>
      </c>
      <c r="J852" s="182" t="str">
        <f>IFERROR(LOOKUP(2,1/((A_Corridor!$A$5:$A$204&lt;&gt;"")*(A_Corridor!$A$5:$A$204&lt;=$B852)*(A_Corridor!$B$5:$B$204&gt;$B852)*(A_Corridor!$F$5:$F$204&lt;&gt;"")),IF(A_Corridor!$F$5:$F$204="-","",A_Corridor!$F$5:$F$204)),"")</f>
        <v/>
      </c>
      <c r="K852" s="182" t="str">
        <f>IFERROR(LOOKUP(2,1/((A_Corridor!$A$5:$A$204&lt;&gt;"")*(A_Corridor!$A$5:$A$204&lt;=$B852)*(A_Corridor!$B$5:$B$204&gt;$B852)*(A_Corridor!$G$5:$G$204&lt;&gt;"")),IF(A_Corridor!$G$5:$G$204="-","",A_Corridor!$G$5:$G$204)),"")</f>
        <v/>
      </c>
      <c r="L852" s="181" t="str">
        <f>IFERROR(LOOKUP(2,1/((A_Corridor!$A$5:$A$204&lt;&gt;"")*(A_Corridor!$A$5:$A$204&lt;=$B852)*(A_Corridor!$B$5:$B$204&gt;$B852)*(A_Corridor!$H$5:$H$204&lt;&gt;"")),IF(A_Corridor!$H$5:$H$204="-","",1)),"")</f>
        <v/>
      </c>
      <c r="M852" s="182" t="str">
        <f>IFERROR(LOOKUP(2,1/((A_Corridor!$A$5:$A$204&lt;&gt;"")*(A_Corridor!$A$5:$A$204&lt;=$B852)*(A_Corridor!$B$5:$B$204&gt;$B852)*(A_Corridor!$H$5:$H$204&lt;&gt;"")),IF(A_Corridor!$H$5:$H$204="-","",A_Corridor!$H$5:$H$204)),"")</f>
        <v/>
      </c>
      <c r="N852" s="182" t="str">
        <f>IFERROR(LOOKUP(2,1/((A_Corridor!$A$5:$A$204&lt;&gt;"")*(A_Corridor!$A$5:$A$204&lt;=$B852)*(A_Corridor!$B$5:$B$204&gt;$B852)*(A_Corridor!$I$5:$I$204&lt;&gt;"")),IF(A_Corridor!$I$5:$I$204="-","",A_Corridor!$I$5:$I$204)),"")</f>
        <v/>
      </c>
      <c r="O852" s="182" t="str">
        <f>IFERROR(LOOKUP(2,1/((D_Points!$A$5:$A$204&lt;&gt;"")*(D_Points!$A$5:$A$204&gt;=$B852)*(D_Points!$A$5:$A$204&lt;$B852+P_Interval)*(UPPER(TRIM(D_Points!$B$5:$B$204))="PITCHING")*(D_Points!$H$5:$H$204&lt;&gt;"")),D_Points!$H$5:$H$204),"")</f>
        <v/>
      </c>
      <c r="P852" s="181" t="str">
        <f>IFERROR(LOOKUP(2,1/((B_Drainage!$A$5:$A$204&lt;&gt;"")*(B_Drainage!$A$5:$A$204&lt;=$B852)*(B_Drainage!$B$5:$B$204&gt;$B852)*(B_Drainage!$C$5:$C$204&lt;&gt;"")),IF(B_Drainage!$C$5:$C$204="-","",UPPER(B_Drainage!$C$5:$C$204))),"")</f>
        <v/>
      </c>
      <c r="Q852" s="181" t="str">
        <f>IFERROR(LOOKUP(2,1/((B_Drainage!$A$5:$A$204&lt;&gt;"")*(B_Drainage!$A$5:$A$204&lt;=$B852)*(B_Drainage!$B$5:$B$204&gt;$B852)*(B_Drainage!$D$5:$D$204&lt;&gt;"")),IF(B_Drainage!$D$5:$D$204="-","",UPPER(B_Drainage!$D$5:$D$204))),"")</f>
        <v/>
      </c>
      <c r="R852" s="182" t="str">
        <f>IFERROR(LOOKUP(2,1/((D_Points!$A$5:$A$204&lt;&gt;"")*(D_Points!$A$5:$A$204&gt;=$B852)*(D_Points!$A$5:$A$204&lt;$B852+P_Interval)*(RIGHT(UPPER(TRIM(D_Points!$B$5:$B$204)),8)="_CULVERT")),IF(LEFT(UPPER(TRIM(D_Points!$B$5:$B$204)),2)="EX",1,IF(LEFT(UPPER(TRIM(D_Points!$B$5:$B$204)),2)="PR",2,3))),"")</f>
        <v/>
      </c>
      <c r="S852" s="182" t="str">
        <f>IFERROR(LOOKUP(2,1/((D_Points!$A$5:$A$204&lt;&gt;"")*(D_Points!$A$5:$A$204&gt;=$B852)*(D_Points!$A$5:$A$204&lt;$B852+P_Interval)*(RIGHT(UPPER(TRIM(D_Points!$B$5:$B$204)),7)="_BRIDGE")),IF(LEFT(UPPER(TRIM(D_Points!$B$5:$B$204)),2)="EX",1,IF(LEFT(UPPER(TRIM(D_Points!$B$5:$B$204)),2)="PR",2,2))),"")</f>
        <v/>
      </c>
      <c r="T852" s="181" t="str">
        <f>IFERROR(LOOKUP(2,1/((B_Drainage!$A$5:$A$204&lt;&gt;"")*(B_Drainage!$A$5:$A$204&lt;=$B852)*(B_Drainage!$B$5:$B$204&gt;$B852)*(B_Drainage!$E$5:$E$204&lt;&gt;"")),IF(B_Drainage!$E$5:$E$204="-","",1)),"")</f>
        <v/>
      </c>
      <c r="U852" s="181" t="str">
        <f>IFERROR(LOOKUP(2,1/((B_Drainage!$A$5:$A$204&lt;&gt;"")*(B_Drainage!$A$5:$A$204&lt;=$B852)*(B_Drainage!$B$5:$B$204&gt;$B852)*(B_Drainage!$E$5:$E$204&lt;&gt;"")),IF(B_Drainage!$E$5:$E$204="-","",B_Drainage!$E$5:$E$204)),"")</f>
        <v/>
      </c>
      <c r="V852" s="181" t="str">
        <f>IFERROR(LOOKUP(2,1/((B_Drainage!$A$5:$A$204&lt;&gt;"")*(B_Drainage!$A$5:$A$204&lt;=$B852)*(B_Drainage!$B$5:$B$204&gt;$B852)*(B_Drainage!$F$5:$F$204&lt;&gt;"")),IF(B_Drainage!$F$5:$F$204="-","",1)),"")</f>
        <v/>
      </c>
      <c r="W852" s="181" t="str">
        <f>IFERROR(LOOKUP(2,1/((B_Drainage!$A$5:$A$204&lt;&gt;"")*(B_Drainage!$A$5:$A$204&lt;=$B852)*(B_Drainage!$B$5:$B$204&gt;$B852)*(B_Drainage!$F$5:$F$204&lt;&gt;"")),IF(B_Drainage!$F$5:$F$204="-","",B_Drainage!$F$5:$F$204)),"")</f>
        <v/>
      </c>
      <c r="X852" s="181" t="str">
        <f>IFERROR(LOOKUP(2,1/((B_Drainage!$A$5:$A$204&lt;&gt;"")*(B_Drainage!$A$5:$A$204&lt;=$B852)*(B_Drainage!$B$5:$B$204&gt;$B852)*(B_Drainage!$G$5:$G$204&lt;&gt;"")),IF(UPPER(B_Drainage!$G$5:$G$204)="Y",1,"")),"")</f>
        <v/>
      </c>
      <c r="Y852" s="181" t="str">
        <f>IFERROR(LOOKUP(2,1/((B_Drainage!$A$5:$A$204&lt;&gt;"")*(B_Drainage!$A$5:$A$204&lt;=$B852)*(B_Drainage!$B$5:$B$204&gt;$B852)*(B_Drainage!$H$5:$H$204&lt;&gt;"")),IF(UPPER(B_Drainage!$H$5:$H$204)="Y",1,"")),"")</f>
        <v/>
      </c>
      <c r="Z852" s="181" t="str">
        <f>IFERROR(LOOKUP(2,1/((B_Drainage!$A$5:$A$204&lt;&gt;"")*(B_Drainage!$A$5:$A$204&lt;=$B852)*(B_Drainage!$B$5:$B$204&gt;$B852)*(B_Drainage!$I$5:$I$204&lt;&gt;"")),IF(UPPER(B_Drainage!$I$5:$I$204)="Y",1,"")),"")</f>
        <v/>
      </c>
      <c r="AA852" s="181" t="str">
        <f>IFERROR(LOOKUP(2,1/((B_Drainage!$A$5:$A$204&lt;&gt;"")*(B_Drainage!$A$5:$A$204&lt;=$B852)*(B_Drainage!$B$5:$B$204&gt;$B852)*(B_Drainage!$J$5:$J$204&lt;&gt;"")),IF(UPPER(B_Drainage!$J$5:$J$204)="Y",1,"")),"")</f>
        <v/>
      </c>
      <c r="AB852" s="182" t="str">
        <f>IFERROR(LOOKUP(2,1/((B_Drainage!$A$5:$A$204&lt;&gt;"")*(B_Drainage!$A$5:$A$204&lt;=$B852)*(B_Drainage!$B$5:$B$204&gt;$B852)*(B_Drainage!$K$5:$K$204&lt;&gt;"")),IF(B_Drainage!$K$5:$K$204="-","",B_Drainage!$K$5:$K$204)),"")</f>
        <v/>
      </c>
      <c r="AC852" s="182" t="str">
        <f>IFERROR(LOOKUP(2,1/((B_Drainage!$A$5:$A$204&lt;&gt;"")*(B_Drainage!$A$5:$A$204&lt;=$B852)*(B_Drainage!$B$5:$B$204&gt;$B852)*(B_Drainage!$L$5:$L$204&lt;&gt;"")),IF(B_Drainage!$L$5:$L$204="-","",B_Drainage!$L$5:$L$204)),"")</f>
        <v/>
      </c>
      <c r="AD852" s="182" t="str">
        <f>IFERROR(LOOKUP(2,1/((D_Points!$A$5:$A$204&lt;&gt;"")*(D_Points!$A$5:$A$204&gt;=$B852)*(D_Points!$A$5:$A$204&lt;$B852+P_Interval)*(UPPER(TRIM(D_Points!$B$5:$B$204))="TURNOUT_L")*(D_Points!$H$5:$H$204&lt;&gt;"")),D_Points!$H$5:$H$204),"")</f>
        <v/>
      </c>
      <c r="AE852" s="182" t="str">
        <f>IFERROR(LOOKUP(2,1/((D_Points!$A$5:$A$204&lt;&gt;"")*(D_Points!$A$5:$A$204&gt;=$B852)*(D_Points!$A$5:$A$204&lt;$B852+P_Interval)*(UPPER(TRIM(D_Points!$B$5:$B$204))="TURNOUT_R")*(D_Points!$H$5:$H$204&lt;&gt;"")),D_Points!$H$5:$H$204),"")</f>
        <v/>
      </c>
      <c r="AF852" s="181" t="str">
        <f>IFERROR(LOOKUP(2,1/((B_Drainage!$A$5:$A$204&lt;&gt;"")*(B_Drainage!$A$5:$A$204&lt;=$B852)*(B_Drainage!$B$5:$B$204&gt;$B852)*(B_Drainage!$M$5:$M$204&lt;&gt;"")),IF(UPPER(B_Drainage!$M$5:$M$204)="Y",1,"")),"")</f>
        <v/>
      </c>
      <c r="AG852" s="181" t="str">
        <f>IFERROR(LOOKUP(2,1/((B_Drainage!$A$5:$A$204&lt;&gt;"")*(B_Drainage!$A$5:$A$204&lt;=$B852)*(B_Drainage!$B$5:$B$204&gt;$B852)*(B_Drainage!$N$5:$N$204&lt;&gt;"")),IF(UPPER(B_Drainage!$N$5:$N$204)="Y",1,"")),"")</f>
        <v/>
      </c>
      <c r="AH852" s="181" t="str">
        <f t="shared" si="104"/>
        <v/>
      </c>
      <c r="AI852" s="181" t="str">
        <f t="shared" si="105"/>
        <v/>
      </c>
      <c r="AJ852" s="181" t="str">
        <f t="shared" si="106"/>
        <v/>
      </c>
      <c r="AK852" s="181" t="str">
        <f t="shared" si="107"/>
        <v/>
      </c>
      <c r="AL852" s="181" t="str">
        <f t="shared" si="108"/>
        <v/>
      </c>
      <c r="AM852" s="181" t="str">
        <f t="shared" si="109"/>
        <v/>
      </c>
      <c r="AN852" s="181" t="str">
        <f t="shared" si="110"/>
        <v/>
      </c>
      <c r="AO852" s="192" t="str">
        <f t="shared" si="111"/>
        <v/>
      </c>
      <c r="AQ852" t="str">
        <f>IFERROR(LOOKUP(2,1/((C_Pavement!$A$5:$A$204&lt;&gt;"")*(C_Pavement!$A$5:$A$204&lt;=$B852)*(C_Pavement!$B$5:$B$204&gt;$B852)*(C_Pavement!$C$5:$C$204&lt;&gt;"")),ROW(C_Pavement!$C$5:$C$204)-4),"")</f>
        <v/>
      </c>
      <c r="AR852" t="str">
        <f>IF($AQ852="","",UPPER(TRIM(INDEX(C_Pavement!$C$5:$C$204,$AQ852))))</f>
        <v/>
      </c>
      <c r="AS852" t="str">
        <f>IF($AR852="","",IFERROR(MATCH($AR852,E_Rules!$A$5:$A$9,0),""))</f>
        <v/>
      </c>
      <c r="AT852" t="str">
        <f>IF($AQ852="","",IF(INDEX(C_Pavement!$D$5:$D$204,$AQ852)&lt;&gt;"",UPPER(TRIM(INDEX(C_Pavement!$D$5:$D$204,$AQ852))),IF($AS852="","",INDEX(E_Rules!$C$5:$C$9,$AS852))))</f>
        <v/>
      </c>
      <c r="AU852" t="str">
        <f>IF($AQ852="","",IF(INDEX(C_Pavement!$E$5:$E$204,$AQ852)&lt;&gt;"",IF(INDEX(C_Pavement!$E$5:$E$204,$AQ852)="-","",INDEX(C_Pavement!$E$5:$E$204,$AQ852)),IF($AS852="","",INDEX(E_Rules!$D$5:$D$9,$AS852))))</f>
        <v/>
      </c>
      <c r="AV852" t="str">
        <f>IF($AQ852="","",IF(INDEX(C_Pavement!$F$5:$F$204,$AQ852)&lt;&gt;"",IF(INDEX(C_Pavement!$F$5:$F$204,$AQ852)="-","",INDEX(C_Pavement!$F$5:$F$204,$AQ852)),IF($AS852="","",INDEX(E_Rules!$E$5:$E$9,$AS852))))</f>
        <v/>
      </c>
      <c r="AW852" t="str">
        <f>IF($AQ852="","",IF(INDEX(C_Pavement!$G$5:$G$204,$AQ852)&lt;&gt;"",IF(INDEX(C_Pavement!$G$5:$G$204,$AQ852)="-","",INDEX(C_Pavement!$G$5:$G$204,$AQ852)),IF($AS852="","",INDEX(E_Rules!$F$5:$F$9,$AS852))))</f>
        <v/>
      </c>
      <c r="AX852" t="str">
        <f>IF($AQ852="","",IF(INDEX(C_Pavement!$H$5:$H$204,$AQ852)&lt;&gt;"",IF(INDEX(C_Pavement!$H$5:$H$204,$AQ852)="-","",INDEX(C_Pavement!$H$5:$H$204,$AQ852)),IF($AS852="","",INDEX(E_Rules!$G$5:$G$9,$AS852))))</f>
        <v/>
      </c>
      <c r="AY852" t="str">
        <f>IF($AQ852="","",IF(INDEX(C_Pavement!$I$5:$I$204,$AQ852)&lt;&gt;"",IF(INDEX(C_Pavement!$I$5:$I$204,$AQ852)="-","",INDEX(C_Pavement!$I$5:$I$204,$AQ852)),IF($AS852="","",INDEX(E_Rules!$H$5:$H$9,$AS852))))</f>
        <v/>
      </c>
    </row>
    <row r="853" spans="1:51" ht="15.75" customHeight="1" x14ac:dyDescent="0.3">
      <c r="A853" s="189">
        <v>848</v>
      </c>
      <c r="B853" s="180">
        <v>42350</v>
      </c>
      <c r="C853" s="180" t="s">
        <v>1159</v>
      </c>
      <c r="D853" s="181" t="str">
        <f>IFERROR(LOOKUP(2,1/((A_Corridor!$A$5:$A$204&lt;&gt;"")*(A_Corridor!$A$5:$A$204&lt;=$B853)*(A_Corridor!$B$5:$B$204&gt;$B853)*(A_Corridor!$C$5:$C$204&lt;&gt;"")),IF(UPPER(A_Corridor!$C$5:$C$204)="Y",1,"")),"")</f>
        <v/>
      </c>
      <c r="E853" s="181" t="str">
        <f>IFERROR(LOOKUP(2,1/((A_Corridor!$A$5:$A$204&lt;&gt;"")*(A_Corridor!$A$5:$A$204&lt;=$B853)*(A_Corridor!$B$5:$B$204&gt;$B853)*(A_Corridor!$D$5:$D$204&lt;&gt;"")),IF(A_Corridor!$D$5:$D$204="-","",UPPER(A_Corridor!$D$5:$D$204))),"")</f>
        <v/>
      </c>
      <c r="F853" s="181" t="str">
        <f>IFERROR(LOOKUP(2,1/((A_Corridor!$A$5:$A$204&lt;&gt;"")*(A_Corridor!$A$5:$A$204&lt;=$B853)*(A_Corridor!$B$5:$B$204&gt;$B853)*(A_Corridor!$E$5:$E$204&lt;&gt;"")),IF(A_Corridor!$E$5:$E$204="-","",1)),"")</f>
        <v/>
      </c>
      <c r="G853" s="182" t="str">
        <f>IFERROR(LOOKUP(2,1/((A_Corridor!$A$5:$A$204&lt;&gt;"")*(A_Corridor!$A$5:$A$204&lt;=$B853)*(A_Corridor!$B$5:$B$204&gt;$B853)*(A_Corridor!$E$5:$E$204&lt;&gt;"")),IF(A_Corridor!$E$5:$E$204="-","",A_Corridor!$E$5:$E$204)),"")</f>
        <v/>
      </c>
      <c r="H853" s="182" t="str">
        <f>IFERROR(LOOKUP(2,1/((D_Points!$A$5:$A$204&lt;&gt;"")*(D_Points!$A$5:$A$204&gt;=$B853)*(D_Points!$A$5:$A$204&lt;$B853+P_Interval)*(UPPER(TRIM(D_Points!$B$5:$B$204))="GULLY")*(D_Points!$H$5:$H$204&lt;&gt;"")),D_Points!$H$5:$H$204),"")</f>
        <v/>
      </c>
      <c r="I853" s="181" t="str">
        <f>IFERROR(LOOKUP(2,1/((A_Corridor!$A$5:$A$204&lt;&gt;"")*(A_Corridor!$A$5:$A$204&lt;=$B853)*(A_Corridor!$B$5:$B$204&gt;$B853)*(A_Corridor!$F$5:$F$204&lt;&gt;"")),IF(A_Corridor!$F$5:$F$204="-","",1)),"")</f>
        <v/>
      </c>
      <c r="J853" s="182" t="str">
        <f>IFERROR(LOOKUP(2,1/((A_Corridor!$A$5:$A$204&lt;&gt;"")*(A_Corridor!$A$5:$A$204&lt;=$B853)*(A_Corridor!$B$5:$B$204&gt;$B853)*(A_Corridor!$F$5:$F$204&lt;&gt;"")),IF(A_Corridor!$F$5:$F$204="-","",A_Corridor!$F$5:$F$204)),"")</f>
        <v/>
      </c>
      <c r="K853" s="182" t="str">
        <f>IFERROR(LOOKUP(2,1/((A_Corridor!$A$5:$A$204&lt;&gt;"")*(A_Corridor!$A$5:$A$204&lt;=$B853)*(A_Corridor!$B$5:$B$204&gt;$B853)*(A_Corridor!$G$5:$G$204&lt;&gt;"")),IF(A_Corridor!$G$5:$G$204="-","",A_Corridor!$G$5:$G$204)),"")</f>
        <v/>
      </c>
      <c r="L853" s="181" t="str">
        <f>IFERROR(LOOKUP(2,1/((A_Corridor!$A$5:$A$204&lt;&gt;"")*(A_Corridor!$A$5:$A$204&lt;=$B853)*(A_Corridor!$B$5:$B$204&gt;$B853)*(A_Corridor!$H$5:$H$204&lt;&gt;"")),IF(A_Corridor!$H$5:$H$204="-","",1)),"")</f>
        <v/>
      </c>
      <c r="M853" s="182" t="str">
        <f>IFERROR(LOOKUP(2,1/((A_Corridor!$A$5:$A$204&lt;&gt;"")*(A_Corridor!$A$5:$A$204&lt;=$B853)*(A_Corridor!$B$5:$B$204&gt;$B853)*(A_Corridor!$H$5:$H$204&lt;&gt;"")),IF(A_Corridor!$H$5:$H$204="-","",A_Corridor!$H$5:$H$204)),"")</f>
        <v/>
      </c>
      <c r="N853" s="182" t="str">
        <f>IFERROR(LOOKUP(2,1/((A_Corridor!$A$5:$A$204&lt;&gt;"")*(A_Corridor!$A$5:$A$204&lt;=$B853)*(A_Corridor!$B$5:$B$204&gt;$B853)*(A_Corridor!$I$5:$I$204&lt;&gt;"")),IF(A_Corridor!$I$5:$I$204="-","",A_Corridor!$I$5:$I$204)),"")</f>
        <v/>
      </c>
      <c r="O853" s="182" t="str">
        <f>IFERROR(LOOKUP(2,1/((D_Points!$A$5:$A$204&lt;&gt;"")*(D_Points!$A$5:$A$204&gt;=$B853)*(D_Points!$A$5:$A$204&lt;$B853+P_Interval)*(UPPER(TRIM(D_Points!$B$5:$B$204))="PITCHING")*(D_Points!$H$5:$H$204&lt;&gt;"")),D_Points!$H$5:$H$204),"")</f>
        <v/>
      </c>
      <c r="P853" s="181" t="str">
        <f>IFERROR(LOOKUP(2,1/((B_Drainage!$A$5:$A$204&lt;&gt;"")*(B_Drainage!$A$5:$A$204&lt;=$B853)*(B_Drainage!$B$5:$B$204&gt;$B853)*(B_Drainage!$C$5:$C$204&lt;&gt;"")),IF(B_Drainage!$C$5:$C$204="-","",UPPER(B_Drainage!$C$5:$C$204))),"")</f>
        <v/>
      </c>
      <c r="Q853" s="181" t="str">
        <f>IFERROR(LOOKUP(2,1/((B_Drainage!$A$5:$A$204&lt;&gt;"")*(B_Drainage!$A$5:$A$204&lt;=$B853)*(B_Drainage!$B$5:$B$204&gt;$B853)*(B_Drainage!$D$5:$D$204&lt;&gt;"")),IF(B_Drainage!$D$5:$D$204="-","",UPPER(B_Drainage!$D$5:$D$204))),"")</f>
        <v/>
      </c>
      <c r="R853" s="182" t="str">
        <f>IFERROR(LOOKUP(2,1/((D_Points!$A$5:$A$204&lt;&gt;"")*(D_Points!$A$5:$A$204&gt;=$B853)*(D_Points!$A$5:$A$204&lt;$B853+P_Interval)*(RIGHT(UPPER(TRIM(D_Points!$B$5:$B$204)),8)="_CULVERT")),IF(LEFT(UPPER(TRIM(D_Points!$B$5:$B$204)),2)="EX",1,IF(LEFT(UPPER(TRIM(D_Points!$B$5:$B$204)),2)="PR",2,3))),"")</f>
        <v/>
      </c>
      <c r="S853" s="182" t="str">
        <f>IFERROR(LOOKUP(2,1/((D_Points!$A$5:$A$204&lt;&gt;"")*(D_Points!$A$5:$A$204&gt;=$B853)*(D_Points!$A$5:$A$204&lt;$B853+P_Interval)*(RIGHT(UPPER(TRIM(D_Points!$B$5:$B$204)),7)="_BRIDGE")),IF(LEFT(UPPER(TRIM(D_Points!$B$5:$B$204)),2)="EX",1,IF(LEFT(UPPER(TRIM(D_Points!$B$5:$B$204)),2)="PR",2,2))),"")</f>
        <v/>
      </c>
      <c r="T853" s="181" t="str">
        <f>IFERROR(LOOKUP(2,1/((B_Drainage!$A$5:$A$204&lt;&gt;"")*(B_Drainage!$A$5:$A$204&lt;=$B853)*(B_Drainage!$B$5:$B$204&gt;$B853)*(B_Drainage!$E$5:$E$204&lt;&gt;"")),IF(B_Drainage!$E$5:$E$204="-","",1)),"")</f>
        <v/>
      </c>
      <c r="U853" s="181" t="str">
        <f>IFERROR(LOOKUP(2,1/((B_Drainage!$A$5:$A$204&lt;&gt;"")*(B_Drainage!$A$5:$A$204&lt;=$B853)*(B_Drainage!$B$5:$B$204&gt;$B853)*(B_Drainage!$E$5:$E$204&lt;&gt;"")),IF(B_Drainage!$E$5:$E$204="-","",B_Drainage!$E$5:$E$204)),"")</f>
        <v/>
      </c>
      <c r="V853" s="181" t="str">
        <f>IFERROR(LOOKUP(2,1/((B_Drainage!$A$5:$A$204&lt;&gt;"")*(B_Drainage!$A$5:$A$204&lt;=$B853)*(B_Drainage!$B$5:$B$204&gt;$B853)*(B_Drainage!$F$5:$F$204&lt;&gt;"")),IF(B_Drainage!$F$5:$F$204="-","",1)),"")</f>
        <v/>
      </c>
      <c r="W853" s="181" t="str">
        <f>IFERROR(LOOKUP(2,1/((B_Drainage!$A$5:$A$204&lt;&gt;"")*(B_Drainage!$A$5:$A$204&lt;=$B853)*(B_Drainage!$B$5:$B$204&gt;$B853)*(B_Drainage!$F$5:$F$204&lt;&gt;"")),IF(B_Drainage!$F$5:$F$204="-","",B_Drainage!$F$5:$F$204)),"")</f>
        <v/>
      </c>
      <c r="X853" s="181" t="str">
        <f>IFERROR(LOOKUP(2,1/((B_Drainage!$A$5:$A$204&lt;&gt;"")*(B_Drainage!$A$5:$A$204&lt;=$B853)*(B_Drainage!$B$5:$B$204&gt;$B853)*(B_Drainage!$G$5:$G$204&lt;&gt;"")),IF(UPPER(B_Drainage!$G$5:$G$204)="Y",1,"")),"")</f>
        <v/>
      </c>
      <c r="Y853" s="181" t="str">
        <f>IFERROR(LOOKUP(2,1/((B_Drainage!$A$5:$A$204&lt;&gt;"")*(B_Drainage!$A$5:$A$204&lt;=$B853)*(B_Drainage!$B$5:$B$204&gt;$B853)*(B_Drainage!$H$5:$H$204&lt;&gt;"")),IF(UPPER(B_Drainage!$H$5:$H$204)="Y",1,"")),"")</f>
        <v/>
      </c>
      <c r="Z853" s="181" t="str">
        <f>IFERROR(LOOKUP(2,1/((B_Drainage!$A$5:$A$204&lt;&gt;"")*(B_Drainage!$A$5:$A$204&lt;=$B853)*(B_Drainage!$B$5:$B$204&gt;$B853)*(B_Drainage!$I$5:$I$204&lt;&gt;"")),IF(UPPER(B_Drainage!$I$5:$I$204)="Y",1,"")),"")</f>
        <v/>
      </c>
      <c r="AA853" s="181" t="str">
        <f>IFERROR(LOOKUP(2,1/((B_Drainage!$A$5:$A$204&lt;&gt;"")*(B_Drainage!$A$5:$A$204&lt;=$B853)*(B_Drainage!$B$5:$B$204&gt;$B853)*(B_Drainage!$J$5:$J$204&lt;&gt;"")),IF(UPPER(B_Drainage!$J$5:$J$204)="Y",1,"")),"")</f>
        <v/>
      </c>
      <c r="AB853" s="182" t="str">
        <f>IFERROR(LOOKUP(2,1/((B_Drainage!$A$5:$A$204&lt;&gt;"")*(B_Drainage!$A$5:$A$204&lt;=$B853)*(B_Drainage!$B$5:$B$204&gt;$B853)*(B_Drainage!$K$5:$K$204&lt;&gt;"")),IF(B_Drainage!$K$5:$K$204="-","",B_Drainage!$K$5:$K$204)),"")</f>
        <v/>
      </c>
      <c r="AC853" s="182" t="str">
        <f>IFERROR(LOOKUP(2,1/((B_Drainage!$A$5:$A$204&lt;&gt;"")*(B_Drainage!$A$5:$A$204&lt;=$B853)*(B_Drainage!$B$5:$B$204&gt;$B853)*(B_Drainage!$L$5:$L$204&lt;&gt;"")),IF(B_Drainage!$L$5:$L$204="-","",B_Drainage!$L$5:$L$204)),"")</f>
        <v/>
      </c>
      <c r="AD853" s="182" t="str">
        <f>IFERROR(LOOKUP(2,1/((D_Points!$A$5:$A$204&lt;&gt;"")*(D_Points!$A$5:$A$204&gt;=$B853)*(D_Points!$A$5:$A$204&lt;$B853+P_Interval)*(UPPER(TRIM(D_Points!$B$5:$B$204))="TURNOUT_L")*(D_Points!$H$5:$H$204&lt;&gt;"")),D_Points!$H$5:$H$204),"")</f>
        <v/>
      </c>
      <c r="AE853" s="182" t="str">
        <f>IFERROR(LOOKUP(2,1/((D_Points!$A$5:$A$204&lt;&gt;"")*(D_Points!$A$5:$A$204&gt;=$B853)*(D_Points!$A$5:$A$204&lt;$B853+P_Interval)*(UPPER(TRIM(D_Points!$B$5:$B$204))="TURNOUT_R")*(D_Points!$H$5:$H$204&lt;&gt;"")),D_Points!$H$5:$H$204),"")</f>
        <v/>
      </c>
      <c r="AF853" s="181" t="str">
        <f>IFERROR(LOOKUP(2,1/((B_Drainage!$A$5:$A$204&lt;&gt;"")*(B_Drainage!$A$5:$A$204&lt;=$B853)*(B_Drainage!$B$5:$B$204&gt;$B853)*(B_Drainage!$M$5:$M$204&lt;&gt;"")),IF(UPPER(B_Drainage!$M$5:$M$204)="Y",1,"")),"")</f>
        <v/>
      </c>
      <c r="AG853" s="181" t="str">
        <f>IFERROR(LOOKUP(2,1/((B_Drainage!$A$5:$A$204&lt;&gt;"")*(B_Drainage!$A$5:$A$204&lt;=$B853)*(B_Drainage!$B$5:$B$204&gt;$B853)*(B_Drainage!$N$5:$N$204&lt;&gt;"")),IF(UPPER(B_Drainage!$N$5:$N$204)="Y",1,"")),"")</f>
        <v/>
      </c>
      <c r="AH853" s="181" t="str">
        <f t="shared" si="104"/>
        <v/>
      </c>
      <c r="AI853" s="181" t="str">
        <f t="shared" si="105"/>
        <v/>
      </c>
      <c r="AJ853" s="181" t="str">
        <f t="shared" si="106"/>
        <v/>
      </c>
      <c r="AK853" s="181" t="str">
        <f t="shared" si="107"/>
        <v/>
      </c>
      <c r="AL853" s="181" t="str">
        <f t="shared" si="108"/>
        <v/>
      </c>
      <c r="AM853" s="181" t="str">
        <f t="shared" si="109"/>
        <v/>
      </c>
      <c r="AN853" s="181" t="str">
        <f t="shared" si="110"/>
        <v/>
      </c>
      <c r="AO853" s="192" t="str">
        <f t="shared" si="111"/>
        <v/>
      </c>
      <c r="AQ853" t="str">
        <f>IFERROR(LOOKUP(2,1/((C_Pavement!$A$5:$A$204&lt;&gt;"")*(C_Pavement!$A$5:$A$204&lt;=$B853)*(C_Pavement!$B$5:$B$204&gt;$B853)*(C_Pavement!$C$5:$C$204&lt;&gt;"")),ROW(C_Pavement!$C$5:$C$204)-4),"")</f>
        <v/>
      </c>
      <c r="AR853" t="str">
        <f>IF($AQ853="","",UPPER(TRIM(INDEX(C_Pavement!$C$5:$C$204,$AQ853))))</f>
        <v/>
      </c>
      <c r="AS853" t="str">
        <f>IF($AR853="","",IFERROR(MATCH($AR853,E_Rules!$A$5:$A$9,0),""))</f>
        <v/>
      </c>
      <c r="AT853" t="str">
        <f>IF($AQ853="","",IF(INDEX(C_Pavement!$D$5:$D$204,$AQ853)&lt;&gt;"",UPPER(TRIM(INDEX(C_Pavement!$D$5:$D$204,$AQ853))),IF($AS853="","",INDEX(E_Rules!$C$5:$C$9,$AS853))))</f>
        <v/>
      </c>
      <c r="AU853" t="str">
        <f>IF($AQ853="","",IF(INDEX(C_Pavement!$E$5:$E$204,$AQ853)&lt;&gt;"",IF(INDEX(C_Pavement!$E$5:$E$204,$AQ853)="-","",INDEX(C_Pavement!$E$5:$E$204,$AQ853)),IF($AS853="","",INDEX(E_Rules!$D$5:$D$9,$AS853))))</f>
        <v/>
      </c>
      <c r="AV853" t="str">
        <f>IF($AQ853="","",IF(INDEX(C_Pavement!$F$5:$F$204,$AQ853)&lt;&gt;"",IF(INDEX(C_Pavement!$F$5:$F$204,$AQ853)="-","",INDEX(C_Pavement!$F$5:$F$204,$AQ853)),IF($AS853="","",INDEX(E_Rules!$E$5:$E$9,$AS853))))</f>
        <v/>
      </c>
      <c r="AW853" t="str">
        <f>IF($AQ853="","",IF(INDEX(C_Pavement!$G$5:$G$204,$AQ853)&lt;&gt;"",IF(INDEX(C_Pavement!$G$5:$G$204,$AQ853)="-","",INDEX(C_Pavement!$G$5:$G$204,$AQ853)),IF($AS853="","",INDEX(E_Rules!$F$5:$F$9,$AS853))))</f>
        <v/>
      </c>
      <c r="AX853" t="str">
        <f>IF($AQ853="","",IF(INDEX(C_Pavement!$H$5:$H$204,$AQ853)&lt;&gt;"",IF(INDEX(C_Pavement!$H$5:$H$204,$AQ853)="-","",INDEX(C_Pavement!$H$5:$H$204,$AQ853)),IF($AS853="","",INDEX(E_Rules!$G$5:$G$9,$AS853))))</f>
        <v/>
      </c>
      <c r="AY853" t="str">
        <f>IF($AQ853="","",IF(INDEX(C_Pavement!$I$5:$I$204,$AQ853)&lt;&gt;"",IF(INDEX(C_Pavement!$I$5:$I$204,$AQ853)="-","",INDEX(C_Pavement!$I$5:$I$204,$AQ853)),IF($AS853="","",INDEX(E_Rules!$H$5:$H$9,$AS853))))</f>
        <v/>
      </c>
    </row>
    <row r="854" spans="1:51" ht="15.75" customHeight="1" x14ac:dyDescent="0.3">
      <c r="A854" s="189">
        <v>849</v>
      </c>
      <c r="B854" s="180">
        <v>42400</v>
      </c>
      <c r="C854" s="180" t="s">
        <v>1160</v>
      </c>
      <c r="D854" s="181" t="str">
        <f>IFERROR(LOOKUP(2,1/((A_Corridor!$A$5:$A$204&lt;&gt;"")*(A_Corridor!$A$5:$A$204&lt;=$B854)*(A_Corridor!$B$5:$B$204&gt;$B854)*(A_Corridor!$C$5:$C$204&lt;&gt;"")),IF(UPPER(A_Corridor!$C$5:$C$204)="Y",1,"")),"")</f>
        <v/>
      </c>
      <c r="E854" s="181" t="str">
        <f>IFERROR(LOOKUP(2,1/((A_Corridor!$A$5:$A$204&lt;&gt;"")*(A_Corridor!$A$5:$A$204&lt;=$B854)*(A_Corridor!$B$5:$B$204&gt;$B854)*(A_Corridor!$D$5:$D$204&lt;&gt;"")),IF(A_Corridor!$D$5:$D$204="-","",UPPER(A_Corridor!$D$5:$D$204))),"")</f>
        <v/>
      </c>
      <c r="F854" s="181" t="str">
        <f>IFERROR(LOOKUP(2,1/((A_Corridor!$A$5:$A$204&lt;&gt;"")*(A_Corridor!$A$5:$A$204&lt;=$B854)*(A_Corridor!$B$5:$B$204&gt;$B854)*(A_Corridor!$E$5:$E$204&lt;&gt;"")),IF(A_Corridor!$E$5:$E$204="-","",1)),"")</f>
        <v/>
      </c>
      <c r="G854" s="182" t="str">
        <f>IFERROR(LOOKUP(2,1/((A_Corridor!$A$5:$A$204&lt;&gt;"")*(A_Corridor!$A$5:$A$204&lt;=$B854)*(A_Corridor!$B$5:$B$204&gt;$B854)*(A_Corridor!$E$5:$E$204&lt;&gt;"")),IF(A_Corridor!$E$5:$E$204="-","",A_Corridor!$E$5:$E$204)),"")</f>
        <v/>
      </c>
      <c r="H854" s="182" t="str">
        <f>IFERROR(LOOKUP(2,1/((D_Points!$A$5:$A$204&lt;&gt;"")*(D_Points!$A$5:$A$204&gt;=$B854)*(D_Points!$A$5:$A$204&lt;$B854+P_Interval)*(UPPER(TRIM(D_Points!$B$5:$B$204))="GULLY")*(D_Points!$H$5:$H$204&lt;&gt;"")),D_Points!$H$5:$H$204),"")</f>
        <v/>
      </c>
      <c r="I854" s="181" t="str">
        <f>IFERROR(LOOKUP(2,1/((A_Corridor!$A$5:$A$204&lt;&gt;"")*(A_Corridor!$A$5:$A$204&lt;=$B854)*(A_Corridor!$B$5:$B$204&gt;$B854)*(A_Corridor!$F$5:$F$204&lt;&gt;"")),IF(A_Corridor!$F$5:$F$204="-","",1)),"")</f>
        <v/>
      </c>
      <c r="J854" s="182" t="str">
        <f>IFERROR(LOOKUP(2,1/((A_Corridor!$A$5:$A$204&lt;&gt;"")*(A_Corridor!$A$5:$A$204&lt;=$B854)*(A_Corridor!$B$5:$B$204&gt;$B854)*(A_Corridor!$F$5:$F$204&lt;&gt;"")),IF(A_Corridor!$F$5:$F$204="-","",A_Corridor!$F$5:$F$204)),"")</f>
        <v/>
      </c>
      <c r="K854" s="182" t="str">
        <f>IFERROR(LOOKUP(2,1/((A_Corridor!$A$5:$A$204&lt;&gt;"")*(A_Corridor!$A$5:$A$204&lt;=$B854)*(A_Corridor!$B$5:$B$204&gt;$B854)*(A_Corridor!$G$5:$G$204&lt;&gt;"")),IF(A_Corridor!$G$5:$G$204="-","",A_Corridor!$G$5:$G$204)),"")</f>
        <v/>
      </c>
      <c r="L854" s="181" t="str">
        <f>IFERROR(LOOKUP(2,1/((A_Corridor!$A$5:$A$204&lt;&gt;"")*(A_Corridor!$A$5:$A$204&lt;=$B854)*(A_Corridor!$B$5:$B$204&gt;$B854)*(A_Corridor!$H$5:$H$204&lt;&gt;"")),IF(A_Corridor!$H$5:$H$204="-","",1)),"")</f>
        <v/>
      </c>
      <c r="M854" s="182" t="str">
        <f>IFERROR(LOOKUP(2,1/((A_Corridor!$A$5:$A$204&lt;&gt;"")*(A_Corridor!$A$5:$A$204&lt;=$B854)*(A_Corridor!$B$5:$B$204&gt;$B854)*(A_Corridor!$H$5:$H$204&lt;&gt;"")),IF(A_Corridor!$H$5:$H$204="-","",A_Corridor!$H$5:$H$204)),"")</f>
        <v/>
      </c>
      <c r="N854" s="182" t="str">
        <f>IFERROR(LOOKUP(2,1/((A_Corridor!$A$5:$A$204&lt;&gt;"")*(A_Corridor!$A$5:$A$204&lt;=$B854)*(A_Corridor!$B$5:$B$204&gt;$B854)*(A_Corridor!$I$5:$I$204&lt;&gt;"")),IF(A_Corridor!$I$5:$I$204="-","",A_Corridor!$I$5:$I$204)),"")</f>
        <v/>
      </c>
      <c r="O854" s="182" t="str">
        <f>IFERROR(LOOKUP(2,1/((D_Points!$A$5:$A$204&lt;&gt;"")*(D_Points!$A$5:$A$204&gt;=$B854)*(D_Points!$A$5:$A$204&lt;$B854+P_Interval)*(UPPER(TRIM(D_Points!$B$5:$B$204))="PITCHING")*(D_Points!$H$5:$H$204&lt;&gt;"")),D_Points!$H$5:$H$204),"")</f>
        <v/>
      </c>
      <c r="P854" s="181" t="str">
        <f>IFERROR(LOOKUP(2,1/((B_Drainage!$A$5:$A$204&lt;&gt;"")*(B_Drainage!$A$5:$A$204&lt;=$B854)*(B_Drainage!$B$5:$B$204&gt;$B854)*(B_Drainage!$C$5:$C$204&lt;&gt;"")),IF(B_Drainage!$C$5:$C$204="-","",UPPER(B_Drainage!$C$5:$C$204))),"")</f>
        <v/>
      </c>
      <c r="Q854" s="181" t="str">
        <f>IFERROR(LOOKUP(2,1/((B_Drainage!$A$5:$A$204&lt;&gt;"")*(B_Drainage!$A$5:$A$204&lt;=$B854)*(B_Drainage!$B$5:$B$204&gt;$B854)*(B_Drainage!$D$5:$D$204&lt;&gt;"")),IF(B_Drainage!$D$5:$D$204="-","",UPPER(B_Drainage!$D$5:$D$204))),"")</f>
        <v/>
      </c>
      <c r="R854" s="182" t="str">
        <f>IFERROR(LOOKUP(2,1/((D_Points!$A$5:$A$204&lt;&gt;"")*(D_Points!$A$5:$A$204&gt;=$B854)*(D_Points!$A$5:$A$204&lt;$B854+P_Interval)*(RIGHT(UPPER(TRIM(D_Points!$B$5:$B$204)),8)="_CULVERT")),IF(LEFT(UPPER(TRIM(D_Points!$B$5:$B$204)),2)="EX",1,IF(LEFT(UPPER(TRIM(D_Points!$B$5:$B$204)),2)="PR",2,3))),"")</f>
        <v/>
      </c>
      <c r="S854" s="182" t="str">
        <f>IFERROR(LOOKUP(2,1/((D_Points!$A$5:$A$204&lt;&gt;"")*(D_Points!$A$5:$A$204&gt;=$B854)*(D_Points!$A$5:$A$204&lt;$B854+P_Interval)*(RIGHT(UPPER(TRIM(D_Points!$B$5:$B$204)),7)="_BRIDGE")),IF(LEFT(UPPER(TRIM(D_Points!$B$5:$B$204)),2)="EX",1,IF(LEFT(UPPER(TRIM(D_Points!$B$5:$B$204)),2)="PR",2,2))),"")</f>
        <v/>
      </c>
      <c r="T854" s="181" t="str">
        <f>IFERROR(LOOKUP(2,1/((B_Drainage!$A$5:$A$204&lt;&gt;"")*(B_Drainage!$A$5:$A$204&lt;=$B854)*(B_Drainage!$B$5:$B$204&gt;$B854)*(B_Drainage!$E$5:$E$204&lt;&gt;"")),IF(B_Drainage!$E$5:$E$204="-","",1)),"")</f>
        <v/>
      </c>
      <c r="U854" s="181" t="str">
        <f>IFERROR(LOOKUP(2,1/((B_Drainage!$A$5:$A$204&lt;&gt;"")*(B_Drainage!$A$5:$A$204&lt;=$B854)*(B_Drainage!$B$5:$B$204&gt;$B854)*(B_Drainage!$E$5:$E$204&lt;&gt;"")),IF(B_Drainage!$E$5:$E$204="-","",B_Drainage!$E$5:$E$204)),"")</f>
        <v/>
      </c>
      <c r="V854" s="181" t="str">
        <f>IFERROR(LOOKUP(2,1/((B_Drainage!$A$5:$A$204&lt;&gt;"")*(B_Drainage!$A$5:$A$204&lt;=$B854)*(B_Drainage!$B$5:$B$204&gt;$B854)*(B_Drainage!$F$5:$F$204&lt;&gt;"")),IF(B_Drainage!$F$5:$F$204="-","",1)),"")</f>
        <v/>
      </c>
      <c r="W854" s="181" t="str">
        <f>IFERROR(LOOKUP(2,1/((B_Drainage!$A$5:$A$204&lt;&gt;"")*(B_Drainage!$A$5:$A$204&lt;=$B854)*(B_Drainage!$B$5:$B$204&gt;$B854)*(B_Drainage!$F$5:$F$204&lt;&gt;"")),IF(B_Drainage!$F$5:$F$204="-","",B_Drainage!$F$5:$F$204)),"")</f>
        <v/>
      </c>
      <c r="X854" s="181" t="str">
        <f>IFERROR(LOOKUP(2,1/((B_Drainage!$A$5:$A$204&lt;&gt;"")*(B_Drainage!$A$5:$A$204&lt;=$B854)*(B_Drainage!$B$5:$B$204&gt;$B854)*(B_Drainage!$G$5:$G$204&lt;&gt;"")),IF(UPPER(B_Drainage!$G$5:$G$204)="Y",1,"")),"")</f>
        <v/>
      </c>
      <c r="Y854" s="181" t="str">
        <f>IFERROR(LOOKUP(2,1/((B_Drainage!$A$5:$A$204&lt;&gt;"")*(B_Drainage!$A$5:$A$204&lt;=$B854)*(B_Drainage!$B$5:$B$204&gt;$B854)*(B_Drainage!$H$5:$H$204&lt;&gt;"")),IF(UPPER(B_Drainage!$H$5:$H$204)="Y",1,"")),"")</f>
        <v/>
      </c>
      <c r="Z854" s="181" t="str">
        <f>IFERROR(LOOKUP(2,1/((B_Drainage!$A$5:$A$204&lt;&gt;"")*(B_Drainage!$A$5:$A$204&lt;=$B854)*(B_Drainage!$B$5:$B$204&gt;$B854)*(B_Drainage!$I$5:$I$204&lt;&gt;"")),IF(UPPER(B_Drainage!$I$5:$I$204)="Y",1,"")),"")</f>
        <v/>
      </c>
      <c r="AA854" s="181" t="str">
        <f>IFERROR(LOOKUP(2,1/((B_Drainage!$A$5:$A$204&lt;&gt;"")*(B_Drainage!$A$5:$A$204&lt;=$B854)*(B_Drainage!$B$5:$B$204&gt;$B854)*(B_Drainage!$J$5:$J$204&lt;&gt;"")),IF(UPPER(B_Drainage!$J$5:$J$204)="Y",1,"")),"")</f>
        <v/>
      </c>
      <c r="AB854" s="182" t="str">
        <f>IFERROR(LOOKUP(2,1/((B_Drainage!$A$5:$A$204&lt;&gt;"")*(B_Drainage!$A$5:$A$204&lt;=$B854)*(B_Drainage!$B$5:$B$204&gt;$B854)*(B_Drainage!$K$5:$K$204&lt;&gt;"")),IF(B_Drainage!$K$5:$K$204="-","",B_Drainage!$K$5:$K$204)),"")</f>
        <v/>
      </c>
      <c r="AC854" s="182" t="str">
        <f>IFERROR(LOOKUP(2,1/((B_Drainage!$A$5:$A$204&lt;&gt;"")*(B_Drainage!$A$5:$A$204&lt;=$B854)*(B_Drainage!$B$5:$B$204&gt;$B854)*(B_Drainage!$L$5:$L$204&lt;&gt;"")),IF(B_Drainage!$L$5:$L$204="-","",B_Drainage!$L$5:$L$204)),"")</f>
        <v/>
      </c>
      <c r="AD854" s="182" t="str">
        <f>IFERROR(LOOKUP(2,1/((D_Points!$A$5:$A$204&lt;&gt;"")*(D_Points!$A$5:$A$204&gt;=$B854)*(D_Points!$A$5:$A$204&lt;$B854+P_Interval)*(UPPER(TRIM(D_Points!$B$5:$B$204))="TURNOUT_L")*(D_Points!$H$5:$H$204&lt;&gt;"")),D_Points!$H$5:$H$204),"")</f>
        <v/>
      </c>
      <c r="AE854" s="182" t="str">
        <f>IFERROR(LOOKUP(2,1/((D_Points!$A$5:$A$204&lt;&gt;"")*(D_Points!$A$5:$A$204&gt;=$B854)*(D_Points!$A$5:$A$204&lt;$B854+P_Interval)*(UPPER(TRIM(D_Points!$B$5:$B$204))="TURNOUT_R")*(D_Points!$H$5:$H$204&lt;&gt;"")),D_Points!$H$5:$H$204),"")</f>
        <v/>
      </c>
      <c r="AF854" s="181" t="str">
        <f>IFERROR(LOOKUP(2,1/((B_Drainage!$A$5:$A$204&lt;&gt;"")*(B_Drainage!$A$5:$A$204&lt;=$B854)*(B_Drainage!$B$5:$B$204&gt;$B854)*(B_Drainage!$M$5:$M$204&lt;&gt;"")),IF(UPPER(B_Drainage!$M$5:$M$204)="Y",1,"")),"")</f>
        <v/>
      </c>
      <c r="AG854" s="181" t="str">
        <f>IFERROR(LOOKUP(2,1/((B_Drainage!$A$5:$A$204&lt;&gt;"")*(B_Drainage!$A$5:$A$204&lt;=$B854)*(B_Drainage!$B$5:$B$204&gt;$B854)*(B_Drainage!$N$5:$N$204&lt;&gt;"")),IF(UPPER(B_Drainage!$N$5:$N$204)="Y",1,"")),"")</f>
        <v/>
      </c>
      <c r="AH854" s="181" t="str">
        <f t="shared" si="104"/>
        <v/>
      </c>
      <c r="AI854" s="181" t="str">
        <f t="shared" si="105"/>
        <v/>
      </c>
      <c r="AJ854" s="181" t="str">
        <f t="shared" si="106"/>
        <v/>
      </c>
      <c r="AK854" s="181" t="str">
        <f t="shared" si="107"/>
        <v/>
      </c>
      <c r="AL854" s="181" t="str">
        <f t="shared" si="108"/>
        <v/>
      </c>
      <c r="AM854" s="181" t="str">
        <f t="shared" si="109"/>
        <v/>
      </c>
      <c r="AN854" s="181" t="str">
        <f t="shared" si="110"/>
        <v/>
      </c>
      <c r="AO854" s="192" t="str">
        <f t="shared" si="111"/>
        <v/>
      </c>
      <c r="AQ854" t="str">
        <f>IFERROR(LOOKUP(2,1/((C_Pavement!$A$5:$A$204&lt;&gt;"")*(C_Pavement!$A$5:$A$204&lt;=$B854)*(C_Pavement!$B$5:$B$204&gt;$B854)*(C_Pavement!$C$5:$C$204&lt;&gt;"")),ROW(C_Pavement!$C$5:$C$204)-4),"")</f>
        <v/>
      </c>
      <c r="AR854" t="str">
        <f>IF($AQ854="","",UPPER(TRIM(INDEX(C_Pavement!$C$5:$C$204,$AQ854))))</f>
        <v/>
      </c>
      <c r="AS854" t="str">
        <f>IF($AR854="","",IFERROR(MATCH($AR854,E_Rules!$A$5:$A$9,0),""))</f>
        <v/>
      </c>
      <c r="AT854" t="str">
        <f>IF($AQ854="","",IF(INDEX(C_Pavement!$D$5:$D$204,$AQ854)&lt;&gt;"",UPPER(TRIM(INDEX(C_Pavement!$D$5:$D$204,$AQ854))),IF($AS854="","",INDEX(E_Rules!$C$5:$C$9,$AS854))))</f>
        <v/>
      </c>
      <c r="AU854" t="str">
        <f>IF($AQ854="","",IF(INDEX(C_Pavement!$E$5:$E$204,$AQ854)&lt;&gt;"",IF(INDEX(C_Pavement!$E$5:$E$204,$AQ854)="-","",INDEX(C_Pavement!$E$5:$E$204,$AQ854)),IF($AS854="","",INDEX(E_Rules!$D$5:$D$9,$AS854))))</f>
        <v/>
      </c>
      <c r="AV854" t="str">
        <f>IF($AQ854="","",IF(INDEX(C_Pavement!$F$5:$F$204,$AQ854)&lt;&gt;"",IF(INDEX(C_Pavement!$F$5:$F$204,$AQ854)="-","",INDEX(C_Pavement!$F$5:$F$204,$AQ854)),IF($AS854="","",INDEX(E_Rules!$E$5:$E$9,$AS854))))</f>
        <v/>
      </c>
      <c r="AW854" t="str">
        <f>IF($AQ854="","",IF(INDEX(C_Pavement!$G$5:$G$204,$AQ854)&lt;&gt;"",IF(INDEX(C_Pavement!$G$5:$G$204,$AQ854)="-","",INDEX(C_Pavement!$G$5:$G$204,$AQ854)),IF($AS854="","",INDEX(E_Rules!$F$5:$F$9,$AS854))))</f>
        <v/>
      </c>
      <c r="AX854" t="str">
        <f>IF($AQ854="","",IF(INDEX(C_Pavement!$H$5:$H$204,$AQ854)&lt;&gt;"",IF(INDEX(C_Pavement!$H$5:$H$204,$AQ854)="-","",INDEX(C_Pavement!$H$5:$H$204,$AQ854)),IF($AS854="","",INDEX(E_Rules!$G$5:$G$9,$AS854))))</f>
        <v/>
      </c>
      <c r="AY854" t="str">
        <f>IF($AQ854="","",IF(INDEX(C_Pavement!$I$5:$I$204,$AQ854)&lt;&gt;"",IF(INDEX(C_Pavement!$I$5:$I$204,$AQ854)="-","",INDEX(C_Pavement!$I$5:$I$204,$AQ854)),IF($AS854="","",INDEX(E_Rules!$H$5:$H$9,$AS854))))</f>
        <v/>
      </c>
    </row>
    <row r="855" spans="1:51" ht="15.75" customHeight="1" x14ac:dyDescent="0.3">
      <c r="A855" s="189">
        <v>850</v>
      </c>
      <c r="B855" s="180">
        <v>42450</v>
      </c>
      <c r="C855" s="180" t="s">
        <v>1161</v>
      </c>
      <c r="D855" s="181" t="str">
        <f>IFERROR(LOOKUP(2,1/((A_Corridor!$A$5:$A$204&lt;&gt;"")*(A_Corridor!$A$5:$A$204&lt;=$B855)*(A_Corridor!$B$5:$B$204&gt;$B855)*(A_Corridor!$C$5:$C$204&lt;&gt;"")),IF(UPPER(A_Corridor!$C$5:$C$204)="Y",1,"")),"")</f>
        <v/>
      </c>
      <c r="E855" s="181" t="str">
        <f>IFERROR(LOOKUP(2,1/((A_Corridor!$A$5:$A$204&lt;&gt;"")*(A_Corridor!$A$5:$A$204&lt;=$B855)*(A_Corridor!$B$5:$B$204&gt;$B855)*(A_Corridor!$D$5:$D$204&lt;&gt;"")),IF(A_Corridor!$D$5:$D$204="-","",UPPER(A_Corridor!$D$5:$D$204))),"")</f>
        <v/>
      </c>
      <c r="F855" s="181" t="str">
        <f>IFERROR(LOOKUP(2,1/((A_Corridor!$A$5:$A$204&lt;&gt;"")*(A_Corridor!$A$5:$A$204&lt;=$B855)*(A_Corridor!$B$5:$B$204&gt;$B855)*(A_Corridor!$E$5:$E$204&lt;&gt;"")),IF(A_Corridor!$E$5:$E$204="-","",1)),"")</f>
        <v/>
      </c>
      <c r="G855" s="182" t="str">
        <f>IFERROR(LOOKUP(2,1/((A_Corridor!$A$5:$A$204&lt;&gt;"")*(A_Corridor!$A$5:$A$204&lt;=$B855)*(A_Corridor!$B$5:$B$204&gt;$B855)*(A_Corridor!$E$5:$E$204&lt;&gt;"")),IF(A_Corridor!$E$5:$E$204="-","",A_Corridor!$E$5:$E$204)),"")</f>
        <v/>
      </c>
      <c r="H855" s="182" t="str">
        <f>IFERROR(LOOKUP(2,1/((D_Points!$A$5:$A$204&lt;&gt;"")*(D_Points!$A$5:$A$204&gt;=$B855)*(D_Points!$A$5:$A$204&lt;$B855+P_Interval)*(UPPER(TRIM(D_Points!$B$5:$B$204))="GULLY")*(D_Points!$H$5:$H$204&lt;&gt;"")),D_Points!$H$5:$H$204),"")</f>
        <v/>
      </c>
      <c r="I855" s="181" t="str">
        <f>IFERROR(LOOKUP(2,1/((A_Corridor!$A$5:$A$204&lt;&gt;"")*(A_Corridor!$A$5:$A$204&lt;=$B855)*(A_Corridor!$B$5:$B$204&gt;$B855)*(A_Corridor!$F$5:$F$204&lt;&gt;"")),IF(A_Corridor!$F$5:$F$204="-","",1)),"")</f>
        <v/>
      </c>
      <c r="J855" s="182" t="str">
        <f>IFERROR(LOOKUP(2,1/((A_Corridor!$A$5:$A$204&lt;&gt;"")*(A_Corridor!$A$5:$A$204&lt;=$B855)*(A_Corridor!$B$5:$B$204&gt;$B855)*(A_Corridor!$F$5:$F$204&lt;&gt;"")),IF(A_Corridor!$F$5:$F$204="-","",A_Corridor!$F$5:$F$204)),"")</f>
        <v/>
      </c>
      <c r="K855" s="182" t="str">
        <f>IFERROR(LOOKUP(2,1/((A_Corridor!$A$5:$A$204&lt;&gt;"")*(A_Corridor!$A$5:$A$204&lt;=$B855)*(A_Corridor!$B$5:$B$204&gt;$B855)*(A_Corridor!$G$5:$G$204&lt;&gt;"")),IF(A_Corridor!$G$5:$G$204="-","",A_Corridor!$G$5:$G$204)),"")</f>
        <v/>
      </c>
      <c r="L855" s="181" t="str">
        <f>IFERROR(LOOKUP(2,1/((A_Corridor!$A$5:$A$204&lt;&gt;"")*(A_Corridor!$A$5:$A$204&lt;=$B855)*(A_Corridor!$B$5:$B$204&gt;$B855)*(A_Corridor!$H$5:$H$204&lt;&gt;"")),IF(A_Corridor!$H$5:$H$204="-","",1)),"")</f>
        <v/>
      </c>
      <c r="M855" s="182" t="str">
        <f>IFERROR(LOOKUP(2,1/((A_Corridor!$A$5:$A$204&lt;&gt;"")*(A_Corridor!$A$5:$A$204&lt;=$B855)*(A_Corridor!$B$5:$B$204&gt;$B855)*(A_Corridor!$H$5:$H$204&lt;&gt;"")),IF(A_Corridor!$H$5:$H$204="-","",A_Corridor!$H$5:$H$204)),"")</f>
        <v/>
      </c>
      <c r="N855" s="182" t="str">
        <f>IFERROR(LOOKUP(2,1/((A_Corridor!$A$5:$A$204&lt;&gt;"")*(A_Corridor!$A$5:$A$204&lt;=$B855)*(A_Corridor!$B$5:$B$204&gt;$B855)*(A_Corridor!$I$5:$I$204&lt;&gt;"")),IF(A_Corridor!$I$5:$I$204="-","",A_Corridor!$I$5:$I$204)),"")</f>
        <v/>
      </c>
      <c r="O855" s="182" t="str">
        <f>IFERROR(LOOKUP(2,1/((D_Points!$A$5:$A$204&lt;&gt;"")*(D_Points!$A$5:$A$204&gt;=$B855)*(D_Points!$A$5:$A$204&lt;$B855+P_Interval)*(UPPER(TRIM(D_Points!$B$5:$B$204))="PITCHING")*(D_Points!$H$5:$H$204&lt;&gt;"")),D_Points!$H$5:$H$204),"")</f>
        <v/>
      </c>
      <c r="P855" s="181" t="str">
        <f>IFERROR(LOOKUP(2,1/((B_Drainage!$A$5:$A$204&lt;&gt;"")*(B_Drainage!$A$5:$A$204&lt;=$B855)*(B_Drainage!$B$5:$B$204&gt;$B855)*(B_Drainage!$C$5:$C$204&lt;&gt;"")),IF(B_Drainage!$C$5:$C$204="-","",UPPER(B_Drainage!$C$5:$C$204))),"")</f>
        <v/>
      </c>
      <c r="Q855" s="181" t="str">
        <f>IFERROR(LOOKUP(2,1/((B_Drainage!$A$5:$A$204&lt;&gt;"")*(B_Drainage!$A$5:$A$204&lt;=$B855)*(B_Drainage!$B$5:$B$204&gt;$B855)*(B_Drainage!$D$5:$D$204&lt;&gt;"")),IF(B_Drainage!$D$5:$D$204="-","",UPPER(B_Drainage!$D$5:$D$204))),"")</f>
        <v/>
      </c>
      <c r="R855" s="182" t="str">
        <f>IFERROR(LOOKUP(2,1/((D_Points!$A$5:$A$204&lt;&gt;"")*(D_Points!$A$5:$A$204&gt;=$B855)*(D_Points!$A$5:$A$204&lt;$B855+P_Interval)*(RIGHT(UPPER(TRIM(D_Points!$B$5:$B$204)),8)="_CULVERT")),IF(LEFT(UPPER(TRIM(D_Points!$B$5:$B$204)),2)="EX",1,IF(LEFT(UPPER(TRIM(D_Points!$B$5:$B$204)),2)="PR",2,3))),"")</f>
        <v/>
      </c>
      <c r="S855" s="182" t="str">
        <f>IFERROR(LOOKUP(2,1/((D_Points!$A$5:$A$204&lt;&gt;"")*(D_Points!$A$5:$A$204&gt;=$B855)*(D_Points!$A$5:$A$204&lt;$B855+P_Interval)*(RIGHT(UPPER(TRIM(D_Points!$B$5:$B$204)),7)="_BRIDGE")),IF(LEFT(UPPER(TRIM(D_Points!$B$5:$B$204)),2)="EX",1,IF(LEFT(UPPER(TRIM(D_Points!$B$5:$B$204)),2)="PR",2,2))),"")</f>
        <v/>
      </c>
      <c r="T855" s="181" t="str">
        <f>IFERROR(LOOKUP(2,1/((B_Drainage!$A$5:$A$204&lt;&gt;"")*(B_Drainage!$A$5:$A$204&lt;=$B855)*(B_Drainage!$B$5:$B$204&gt;$B855)*(B_Drainage!$E$5:$E$204&lt;&gt;"")),IF(B_Drainage!$E$5:$E$204="-","",1)),"")</f>
        <v/>
      </c>
      <c r="U855" s="181" t="str">
        <f>IFERROR(LOOKUP(2,1/((B_Drainage!$A$5:$A$204&lt;&gt;"")*(B_Drainage!$A$5:$A$204&lt;=$B855)*(B_Drainage!$B$5:$B$204&gt;$B855)*(B_Drainage!$E$5:$E$204&lt;&gt;"")),IF(B_Drainage!$E$5:$E$204="-","",B_Drainage!$E$5:$E$204)),"")</f>
        <v/>
      </c>
      <c r="V855" s="181" t="str">
        <f>IFERROR(LOOKUP(2,1/((B_Drainage!$A$5:$A$204&lt;&gt;"")*(B_Drainage!$A$5:$A$204&lt;=$B855)*(B_Drainage!$B$5:$B$204&gt;$B855)*(B_Drainage!$F$5:$F$204&lt;&gt;"")),IF(B_Drainage!$F$5:$F$204="-","",1)),"")</f>
        <v/>
      </c>
      <c r="W855" s="181" t="str">
        <f>IFERROR(LOOKUP(2,1/((B_Drainage!$A$5:$A$204&lt;&gt;"")*(B_Drainage!$A$5:$A$204&lt;=$B855)*(B_Drainage!$B$5:$B$204&gt;$B855)*(B_Drainage!$F$5:$F$204&lt;&gt;"")),IF(B_Drainage!$F$5:$F$204="-","",B_Drainage!$F$5:$F$204)),"")</f>
        <v/>
      </c>
      <c r="X855" s="181" t="str">
        <f>IFERROR(LOOKUP(2,1/((B_Drainage!$A$5:$A$204&lt;&gt;"")*(B_Drainage!$A$5:$A$204&lt;=$B855)*(B_Drainage!$B$5:$B$204&gt;$B855)*(B_Drainage!$G$5:$G$204&lt;&gt;"")),IF(UPPER(B_Drainage!$G$5:$G$204)="Y",1,"")),"")</f>
        <v/>
      </c>
      <c r="Y855" s="181" t="str">
        <f>IFERROR(LOOKUP(2,1/((B_Drainage!$A$5:$A$204&lt;&gt;"")*(B_Drainage!$A$5:$A$204&lt;=$B855)*(B_Drainage!$B$5:$B$204&gt;$B855)*(B_Drainage!$H$5:$H$204&lt;&gt;"")),IF(UPPER(B_Drainage!$H$5:$H$204)="Y",1,"")),"")</f>
        <v/>
      </c>
      <c r="Z855" s="181" t="str">
        <f>IFERROR(LOOKUP(2,1/((B_Drainage!$A$5:$A$204&lt;&gt;"")*(B_Drainage!$A$5:$A$204&lt;=$B855)*(B_Drainage!$B$5:$B$204&gt;$B855)*(B_Drainage!$I$5:$I$204&lt;&gt;"")),IF(UPPER(B_Drainage!$I$5:$I$204)="Y",1,"")),"")</f>
        <v/>
      </c>
      <c r="AA855" s="181" t="str">
        <f>IFERROR(LOOKUP(2,1/((B_Drainage!$A$5:$A$204&lt;&gt;"")*(B_Drainage!$A$5:$A$204&lt;=$B855)*(B_Drainage!$B$5:$B$204&gt;$B855)*(B_Drainage!$J$5:$J$204&lt;&gt;"")),IF(UPPER(B_Drainage!$J$5:$J$204)="Y",1,"")),"")</f>
        <v/>
      </c>
      <c r="AB855" s="182" t="str">
        <f>IFERROR(LOOKUP(2,1/((B_Drainage!$A$5:$A$204&lt;&gt;"")*(B_Drainage!$A$5:$A$204&lt;=$B855)*(B_Drainage!$B$5:$B$204&gt;$B855)*(B_Drainage!$K$5:$K$204&lt;&gt;"")),IF(B_Drainage!$K$5:$K$204="-","",B_Drainage!$K$5:$K$204)),"")</f>
        <v/>
      </c>
      <c r="AC855" s="182" t="str">
        <f>IFERROR(LOOKUP(2,1/((B_Drainage!$A$5:$A$204&lt;&gt;"")*(B_Drainage!$A$5:$A$204&lt;=$B855)*(B_Drainage!$B$5:$B$204&gt;$B855)*(B_Drainage!$L$5:$L$204&lt;&gt;"")),IF(B_Drainage!$L$5:$L$204="-","",B_Drainage!$L$5:$L$204)),"")</f>
        <v/>
      </c>
      <c r="AD855" s="182" t="str">
        <f>IFERROR(LOOKUP(2,1/((D_Points!$A$5:$A$204&lt;&gt;"")*(D_Points!$A$5:$A$204&gt;=$B855)*(D_Points!$A$5:$A$204&lt;$B855+P_Interval)*(UPPER(TRIM(D_Points!$B$5:$B$204))="TURNOUT_L")*(D_Points!$H$5:$H$204&lt;&gt;"")),D_Points!$H$5:$H$204),"")</f>
        <v/>
      </c>
      <c r="AE855" s="182" t="str">
        <f>IFERROR(LOOKUP(2,1/((D_Points!$A$5:$A$204&lt;&gt;"")*(D_Points!$A$5:$A$204&gt;=$B855)*(D_Points!$A$5:$A$204&lt;$B855+P_Interval)*(UPPER(TRIM(D_Points!$B$5:$B$204))="TURNOUT_R")*(D_Points!$H$5:$H$204&lt;&gt;"")),D_Points!$H$5:$H$204),"")</f>
        <v/>
      </c>
      <c r="AF855" s="181" t="str">
        <f>IFERROR(LOOKUP(2,1/((B_Drainage!$A$5:$A$204&lt;&gt;"")*(B_Drainage!$A$5:$A$204&lt;=$B855)*(B_Drainage!$B$5:$B$204&gt;$B855)*(B_Drainage!$M$5:$M$204&lt;&gt;"")),IF(UPPER(B_Drainage!$M$5:$M$204)="Y",1,"")),"")</f>
        <v/>
      </c>
      <c r="AG855" s="181" t="str">
        <f>IFERROR(LOOKUP(2,1/((B_Drainage!$A$5:$A$204&lt;&gt;"")*(B_Drainage!$A$5:$A$204&lt;=$B855)*(B_Drainage!$B$5:$B$204&gt;$B855)*(B_Drainage!$N$5:$N$204&lt;&gt;"")),IF(UPPER(B_Drainage!$N$5:$N$204)="Y",1,"")),"")</f>
        <v/>
      </c>
      <c r="AH855" s="181" t="str">
        <f t="shared" si="104"/>
        <v/>
      </c>
      <c r="AI855" s="181" t="str">
        <f t="shared" si="105"/>
        <v/>
      </c>
      <c r="AJ855" s="181" t="str">
        <f t="shared" si="106"/>
        <v/>
      </c>
      <c r="AK855" s="181" t="str">
        <f t="shared" si="107"/>
        <v/>
      </c>
      <c r="AL855" s="181" t="str">
        <f t="shared" si="108"/>
        <v/>
      </c>
      <c r="AM855" s="181" t="str">
        <f t="shared" si="109"/>
        <v/>
      </c>
      <c r="AN855" s="181" t="str">
        <f t="shared" si="110"/>
        <v/>
      </c>
      <c r="AO855" s="192" t="str">
        <f t="shared" si="111"/>
        <v/>
      </c>
      <c r="AQ855" t="str">
        <f>IFERROR(LOOKUP(2,1/((C_Pavement!$A$5:$A$204&lt;&gt;"")*(C_Pavement!$A$5:$A$204&lt;=$B855)*(C_Pavement!$B$5:$B$204&gt;$B855)*(C_Pavement!$C$5:$C$204&lt;&gt;"")),ROW(C_Pavement!$C$5:$C$204)-4),"")</f>
        <v/>
      </c>
      <c r="AR855" t="str">
        <f>IF($AQ855="","",UPPER(TRIM(INDEX(C_Pavement!$C$5:$C$204,$AQ855))))</f>
        <v/>
      </c>
      <c r="AS855" t="str">
        <f>IF($AR855="","",IFERROR(MATCH($AR855,E_Rules!$A$5:$A$9,0),""))</f>
        <v/>
      </c>
      <c r="AT855" t="str">
        <f>IF($AQ855="","",IF(INDEX(C_Pavement!$D$5:$D$204,$AQ855)&lt;&gt;"",UPPER(TRIM(INDEX(C_Pavement!$D$5:$D$204,$AQ855))),IF($AS855="","",INDEX(E_Rules!$C$5:$C$9,$AS855))))</f>
        <v/>
      </c>
      <c r="AU855" t="str">
        <f>IF($AQ855="","",IF(INDEX(C_Pavement!$E$5:$E$204,$AQ855)&lt;&gt;"",IF(INDEX(C_Pavement!$E$5:$E$204,$AQ855)="-","",INDEX(C_Pavement!$E$5:$E$204,$AQ855)),IF($AS855="","",INDEX(E_Rules!$D$5:$D$9,$AS855))))</f>
        <v/>
      </c>
      <c r="AV855" t="str">
        <f>IF($AQ855="","",IF(INDEX(C_Pavement!$F$5:$F$204,$AQ855)&lt;&gt;"",IF(INDEX(C_Pavement!$F$5:$F$204,$AQ855)="-","",INDEX(C_Pavement!$F$5:$F$204,$AQ855)),IF($AS855="","",INDEX(E_Rules!$E$5:$E$9,$AS855))))</f>
        <v/>
      </c>
      <c r="AW855" t="str">
        <f>IF($AQ855="","",IF(INDEX(C_Pavement!$G$5:$G$204,$AQ855)&lt;&gt;"",IF(INDEX(C_Pavement!$G$5:$G$204,$AQ855)="-","",INDEX(C_Pavement!$G$5:$G$204,$AQ855)),IF($AS855="","",INDEX(E_Rules!$F$5:$F$9,$AS855))))</f>
        <v/>
      </c>
      <c r="AX855" t="str">
        <f>IF($AQ855="","",IF(INDEX(C_Pavement!$H$5:$H$204,$AQ855)&lt;&gt;"",IF(INDEX(C_Pavement!$H$5:$H$204,$AQ855)="-","",INDEX(C_Pavement!$H$5:$H$204,$AQ855)),IF($AS855="","",INDEX(E_Rules!$G$5:$G$9,$AS855))))</f>
        <v/>
      </c>
      <c r="AY855" t="str">
        <f>IF($AQ855="","",IF(INDEX(C_Pavement!$I$5:$I$204,$AQ855)&lt;&gt;"",IF(INDEX(C_Pavement!$I$5:$I$204,$AQ855)="-","",INDEX(C_Pavement!$I$5:$I$204,$AQ855)),IF($AS855="","",INDEX(E_Rules!$H$5:$H$9,$AS855))))</f>
        <v/>
      </c>
    </row>
    <row r="856" spans="1:51" ht="15.75" customHeight="1" x14ac:dyDescent="0.3">
      <c r="A856" s="189">
        <v>851</v>
      </c>
      <c r="B856" s="180">
        <v>42500</v>
      </c>
      <c r="C856" s="180" t="s">
        <v>1162</v>
      </c>
      <c r="D856" s="181" t="str">
        <f>IFERROR(LOOKUP(2,1/((A_Corridor!$A$5:$A$204&lt;&gt;"")*(A_Corridor!$A$5:$A$204&lt;=$B856)*(A_Corridor!$B$5:$B$204&gt;$B856)*(A_Corridor!$C$5:$C$204&lt;&gt;"")),IF(UPPER(A_Corridor!$C$5:$C$204)="Y",1,"")),"")</f>
        <v/>
      </c>
      <c r="E856" s="181" t="str">
        <f>IFERROR(LOOKUP(2,1/((A_Corridor!$A$5:$A$204&lt;&gt;"")*(A_Corridor!$A$5:$A$204&lt;=$B856)*(A_Corridor!$B$5:$B$204&gt;$B856)*(A_Corridor!$D$5:$D$204&lt;&gt;"")),IF(A_Corridor!$D$5:$D$204="-","",UPPER(A_Corridor!$D$5:$D$204))),"")</f>
        <v/>
      </c>
      <c r="F856" s="181" t="str">
        <f>IFERROR(LOOKUP(2,1/((A_Corridor!$A$5:$A$204&lt;&gt;"")*(A_Corridor!$A$5:$A$204&lt;=$B856)*(A_Corridor!$B$5:$B$204&gt;$B856)*(A_Corridor!$E$5:$E$204&lt;&gt;"")),IF(A_Corridor!$E$5:$E$204="-","",1)),"")</f>
        <v/>
      </c>
      <c r="G856" s="182" t="str">
        <f>IFERROR(LOOKUP(2,1/((A_Corridor!$A$5:$A$204&lt;&gt;"")*(A_Corridor!$A$5:$A$204&lt;=$B856)*(A_Corridor!$B$5:$B$204&gt;$B856)*(A_Corridor!$E$5:$E$204&lt;&gt;"")),IF(A_Corridor!$E$5:$E$204="-","",A_Corridor!$E$5:$E$204)),"")</f>
        <v/>
      </c>
      <c r="H856" s="182" t="str">
        <f>IFERROR(LOOKUP(2,1/((D_Points!$A$5:$A$204&lt;&gt;"")*(D_Points!$A$5:$A$204&gt;=$B856)*(D_Points!$A$5:$A$204&lt;$B856+P_Interval)*(UPPER(TRIM(D_Points!$B$5:$B$204))="GULLY")*(D_Points!$H$5:$H$204&lt;&gt;"")),D_Points!$H$5:$H$204),"")</f>
        <v/>
      </c>
      <c r="I856" s="181" t="str">
        <f>IFERROR(LOOKUP(2,1/((A_Corridor!$A$5:$A$204&lt;&gt;"")*(A_Corridor!$A$5:$A$204&lt;=$B856)*(A_Corridor!$B$5:$B$204&gt;$B856)*(A_Corridor!$F$5:$F$204&lt;&gt;"")),IF(A_Corridor!$F$5:$F$204="-","",1)),"")</f>
        <v/>
      </c>
      <c r="J856" s="182" t="str">
        <f>IFERROR(LOOKUP(2,1/((A_Corridor!$A$5:$A$204&lt;&gt;"")*(A_Corridor!$A$5:$A$204&lt;=$B856)*(A_Corridor!$B$5:$B$204&gt;$B856)*(A_Corridor!$F$5:$F$204&lt;&gt;"")),IF(A_Corridor!$F$5:$F$204="-","",A_Corridor!$F$5:$F$204)),"")</f>
        <v/>
      </c>
      <c r="K856" s="182" t="str">
        <f>IFERROR(LOOKUP(2,1/((A_Corridor!$A$5:$A$204&lt;&gt;"")*(A_Corridor!$A$5:$A$204&lt;=$B856)*(A_Corridor!$B$5:$B$204&gt;$B856)*(A_Corridor!$G$5:$G$204&lt;&gt;"")),IF(A_Corridor!$G$5:$G$204="-","",A_Corridor!$G$5:$G$204)),"")</f>
        <v/>
      </c>
      <c r="L856" s="181" t="str">
        <f>IFERROR(LOOKUP(2,1/((A_Corridor!$A$5:$A$204&lt;&gt;"")*(A_Corridor!$A$5:$A$204&lt;=$B856)*(A_Corridor!$B$5:$B$204&gt;$B856)*(A_Corridor!$H$5:$H$204&lt;&gt;"")),IF(A_Corridor!$H$5:$H$204="-","",1)),"")</f>
        <v/>
      </c>
      <c r="M856" s="182" t="str">
        <f>IFERROR(LOOKUP(2,1/((A_Corridor!$A$5:$A$204&lt;&gt;"")*(A_Corridor!$A$5:$A$204&lt;=$B856)*(A_Corridor!$B$5:$B$204&gt;$B856)*(A_Corridor!$H$5:$H$204&lt;&gt;"")),IF(A_Corridor!$H$5:$H$204="-","",A_Corridor!$H$5:$H$204)),"")</f>
        <v/>
      </c>
      <c r="N856" s="182" t="str">
        <f>IFERROR(LOOKUP(2,1/((A_Corridor!$A$5:$A$204&lt;&gt;"")*(A_Corridor!$A$5:$A$204&lt;=$B856)*(A_Corridor!$B$5:$B$204&gt;$B856)*(A_Corridor!$I$5:$I$204&lt;&gt;"")),IF(A_Corridor!$I$5:$I$204="-","",A_Corridor!$I$5:$I$204)),"")</f>
        <v/>
      </c>
      <c r="O856" s="182" t="str">
        <f>IFERROR(LOOKUP(2,1/((D_Points!$A$5:$A$204&lt;&gt;"")*(D_Points!$A$5:$A$204&gt;=$B856)*(D_Points!$A$5:$A$204&lt;$B856+P_Interval)*(UPPER(TRIM(D_Points!$B$5:$B$204))="PITCHING")*(D_Points!$H$5:$H$204&lt;&gt;"")),D_Points!$H$5:$H$204),"")</f>
        <v/>
      </c>
      <c r="P856" s="181" t="str">
        <f>IFERROR(LOOKUP(2,1/((B_Drainage!$A$5:$A$204&lt;&gt;"")*(B_Drainage!$A$5:$A$204&lt;=$B856)*(B_Drainage!$B$5:$B$204&gt;$B856)*(B_Drainage!$C$5:$C$204&lt;&gt;"")),IF(B_Drainage!$C$5:$C$204="-","",UPPER(B_Drainage!$C$5:$C$204))),"")</f>
        <v/>
      </c>
      <c r="Q856" s="181" t="str">
        <f>IFERROR(LOOKUP(2,1/((B_Drainage!$A$5:$A$204&lt;&gt;"")*(B_Drainage!$A$5:$A$204&lt;=$B856)*(B_Drainage!$B$5:$B$204&gt;$B856)*(B_Drainage!$D$5:$D$204&lt;&gt;"")),IF(B_Drainage!$D$5:$D$204="-","",UPPER(B_Drainage!$D$5:$D$204))),"")</f>
        <v/>
      </c>
      <c r="R856" s="182" t="str">
        <f>IFERROR(LOOKUP(2,1/((D_Points!$A$5:$A$204&lt;&gt;"")*(D_Points!$A$5:$A$204&gt;=$B856)*(D_Points!$A$5:$A$204&lt;$B856+P_Interval)*(RIGHT(UPPER(TRIM(D_Points!$B$5:$B$204)),8)="_CULVERT")),IF(LEFT(UPPER(TRIM(D_Points!$B$5:$B$204)),2)="EX",1,IF(LEFT(UPPER(TRIM(D_Points!$B$5:$B$204)),2)="PR",2,3))),"")</f>
        <v/>
      </c>
      <c r="S856" s="182" t="str">
        <f>IFERROR(LOOKUP(2,1/((D_Points!$A$5:$A$204&lt;&gt;"")*(D_Points!$A$5:$A$204&gt;=$B856)*(D_Points!$A$5:$A$204&lt;$B856+P_Interval)*(RIGHT(UPPER(TRIM(D_Points!$B$5:$B$204)),7)="_BRIDGE")),IF(LEFT(UPPER(TRIM(D_Points!$B$5:$B$204)),2)="EX",1,IF(LEFT(UPPER(TRIM(D_Points!$B$5:$B$204)),2)="PR",2,2))),"")</f>
        <v/>
      </c>
      <c r="T856" s="181" t="str">
        <f>IFERROR(LOOKUP(2,1/((B_Drainage!$A$5:$A$204&lt;&gt;"")*(B_Drainage!$A$5:$A$204&lt;=$B856)*(B_Drainage!$B$5:$B$204&gt;$B856)*(B_Drainage!$E$5:$E$204&lt;&gt;"")),IF(B_Drainage!$E$5:$E$204="-","",1)),"")</f>
        <v/>
      </c>
      <c r="U856" s="181" t="str">
        <f>IFERROR(LOOKUP(2,1/((B_Drainage!$A$5:$A$204&lt;&gt;"")*(B_Drainage!$A$5:$A$204&lt;=$B856)*(B_Drainage!$B$5:$B$204&gt;$B856)*(B_Drainage!$E$5:$E$204&lt;&gt;"")),IF(B_Drainage!$E$5:$E$204="-","",B_Drainage!$E$5:$E$204)),"")</f>
        <v/>
      </c>
      <c r="V856" s="181" t="str">
        <f>IFERROR(LOOKUP(2,1/((B_Drainage!$A$5:$A$204&lt;&gt;"")*(B_Drainage!$A$5:$A$204&lt;=$B856)*(B_Drainage!$B$5:$B$204&gt;$B856)*(B_Drainage!$F$5:$F$204&lt;&gt;"")),IF(B_Drainage!$F$5:$F$204="-","",1)),"")</f>
        <v/>
      </c>
      <c r="W856" s="181" t="str">
        <f>IFERROR(LOOKUP(2,1/((B_Drainage!$A$5:$A$204&lt;&gt;"")*(B_Drainage!$A$5:$A$204&lt;=$B856)*(B_Drainage!$B$5:$B$204&gt;$B856)*(B_Drainage!$F$5:$F$204&lt;&gt;"")),IF(B_Drainage!$F$5:$F$204="-","",B_Drainage!$F$5:$F$204)),"")</f>
        <v/>
      </c>
      <c r="X856" s="181" t="str">
        <f>IFERROR(LOOKUP(2,1/((B_Drainage!$A$5:$A$204&lt;&gt;"")*(B_Drainage!$A$5:$A$204&lt;=$B856)*(B_Drainage!$B$5:$B$204&gt;$B856)*(B_Drainage!$G$5:$G$204&lt;&gt;"")),IF(UPPER(B_Drainage!$G$5:$G$204)="Y",1,"")),"")</f>
        <v/>
      </c>
      <c r="Y856" s="181" t="str">
        <f>IFERROR(LOOKUP(2,1/((B_Drainage!$A$5:$A$204&lt;&gt;"")*(B_Drainage!$A$5:$A$204&lt;=$B856)*(B_Drainage!$B$5:$B$204&gt;$B856)*(B_Drainage!$H$5:$H$204&lt;&gt;"")),IF(UPPER(B_Drainage!$H$5:$H$204)="Y",1,"")),"")</f>
        <v/>
      </c>
      <c r="Z856" s="181" t="str">
        <f>IFERROR(LOOKUP(2,1/((B_Drainage!$A$5:$A$204&lt;&gt;"")*(B_Drainage!$A$5:$A$204&lt;=$B856)*(B_Drainage!$B$5:$B$204&gt;$B856)*(B_Drainage!$I$5:$I$204&lt;&gt;"")),IF(UPPER(B_Drainage!$I$5:$I$204)="Y",1,"")),"")</f>
        <v/>
      </c>
      <c r="AA856" s="181" t="str">
        <f>IFERROR(LOOKUP(2,1/((B_Drainage!$A$5:$A$204&lt;&gt;"")*(B_Drainage!$A$5:$A$204&lt;=$B856)*(B_Drainage!$B$5:$B$204&gt;$B856)*(B_Drainage!$J$5:$J$204&lt;&gt;"")),IF(UPPER(B_Drainage!$J$5:$J$204)="Y",1,"")),"")</f>
        <v/>
      </c>
      <c r="AB856" s="182" t="str">
        <f>IFERROR(LOOKUP(2,1/((B_Drainage!$A$5:$A$204&lt;&gt;"")*(B_Drainage!$A$5:$A$204&lt;=$B856)*(B_Drainage!$B$5:$B$204&gt;$B856)*(B_Drainage!$K$5:$K$204&lt;&gt;"")),IF(B_Drainage!$K$5:$K$204="-","",B_Drainage!$K$5:$K$204)),"")</f>
        <v/>
      </c>
      <c r="AC856" s="182" t="str">
        <f>IFERROR(LOOKUP(2,1/((B_Drainage!$A$5:$A$204&lt;&gt;"")*(B_Drainage!$A$5:$A$204&lt;=$B856)*(B_Drainage!$B$5:$B$204&gt;$B856)*(B_Drainage!$L$5:$L$204&lt;&gt;"")),IF(B_Drainage!$L$5:$L$204="-","",B_Drainage!$L$5:$L$204)),"")</f>
        <v/>
      </c>
      <c r="AD856" s="182" t="str">
        <f>IFERROR(LOOKUP(2,1/((D_Points!$A$5:$A$204&lt;&gt;"")*(D_Points!$A$5:$A$204&gt;=$B856)*(D_Points!$A$5:$A$204&lt;$B856+P_Interval)*(UPPER(TRIM(D_Points!$B$5:$B$204))="TURNOUT_L")*(D_Points!$H$5:$H$204&lt;&gt;"")),D_Points!$H$5:$H$204),"")</f>
        <v/>
      </c>
      <c r="AE856" s="182" t="str">
        <f>IFERROR(LOOKUP(2,1/((D_Points!$A$5:$A$204&lt;&gt;"")*(D_Points!$A$5:$A$204&gt;=$B856)*(D_Points!$A$5:$A$204&lt;$B856+P_Interval)*(UPPER(TRIM(D_Points!$B$5:$B$204))="TURNOUT_R")*(D_Points!$H$5:$H$204&lt;&gt;"")),D_Points!$H$5:$H$204),"")</f>
        <v/>
      </c>
      <c r="AF856" s="181" t="str">
        <f>IFERROR(LOOKUP(2,1/((B_Drainage!$A$5:$A$204&lt;&gt;"")*(B_Drainage!$A$5:$A$204&lt;=$B856)*(B_Drainage!$B$5:$B$204&gt;$B856)*(B_Drainage!$M$5:$M$204&lt;&gt;"")),IF(UPPER(B_Drainage!$M$5:$M$204)="Y",1,"")),"")</f>
        <v/>
      </c>
      <c r="AG856" s="181" t="str">
        <f>IFERROR(LOOKUP(2,1/((B_Drainage!$A$5:$A$204&lt;&gt;"")*(B_Drainage!$A$5:$A$204&lt;=$B856)*(B_Drainage!$B$5:$B$204&gt;$B856)*(B_Drainage!$N$5:$N$204&lt;&gt;"")),IF(UPPER(B_Drainage!$N$5:$N$204)="Y",1,"")),"")</f>
        <v/>
      </c>
      <c r="AH856" s="181" t="str">
        <f t="shared" si="104"/>
        <v/>
      </c>
      <c r="AI856" s="181" t="str">
        <f t="shared" si="105"/>
        <v/>
      </c>
      <c r="AJ856" s="181" t="str">
        <f t="shared" si="106"/>
        <v/>
      </c>
      <c r="AK856" s="181" t="str">
        <f t="shared" si="107"/>
        <v/>
      </c>
      <c r="AL856" s="181" t="str">
        <f t="shared" si="108"/>
        <v/>
      </c>
      <c r="AM856" s="181" t="str">
        <f t="shared" si="109"/>
        <v/>
      </c>
      <c r="AN856" s="181" t="str">
        <f t="shared" si="110"/>
        <v/>
      </c>
      <c r="AO856" s="192" t="str">
        <f t="shared" si="111"/>
        <v/>
      </c>
      <c r="AQ856" t="str">
        <f>IFERROR(LOOKUP(2,1/((C_Pavement!$A$5:$A$204&lt;&gt;"")*(C_Pavement!$A$5:$A$204&lt;=$B856)*(C_Pavement!$B$5:$B$204&gt;$B856)*(C_Pavement!$C$5:$C$204&lt;&gt;"")),ROW(C_Pavement!$C$5:$C$204)-4),"")</f>
        <v/>
      </c>
      <c r="AR856" t="str">
        <f>IF($AQ856="","",UPPER(TRIM(INDEX(C_Pavement!$C$5:$C$204,$AQ856))))</f>
        <v/>
      </c>
      <c r="AS856" t="str">
        <f>IF($AR856="","",IFERROR(MATCH($AR856,E_Rules!$A$5:$A$9,0),""))</f>
        <v/>
      </c>
      <c r="AT856" t="str">
        <f>IF($AQ856="","",IF(INDEX(C_Pavement!$D$5:$D$204,$AQ856)&lt;&gt;"",UPPER(TRIM(INDEX(C_Pavement!$D$5:$D$204,$AQ856))),IF($AS856="","",INDEX(E_Rules!$C$5:$C$9,$AS856))))</f>
        <v/>
      </c>
      <c r="AU856" t="str">
        <f>IF($AQ856="","",IF(INDEX(C_Pavement!$E$5:$E$204,$AQ856)&lt;&gt;"",IF(INDEX(C_Pavement!$E$5:$E$204,$AQ856)="-","",INDEX(C_Pavement!$E$5:$E$204,$AQ856)),IF($AS856="","",INDEX(E_Rules!$D$5:$D$9,$AS856))))</f>
        <v/>
      </c>
      <c r="AV856" t="str">
        <f>IF($AQ856="","",IF(INDEX(C_Pavement!$F$5:$F$204,$AQ856)&lt;&gt;"",IF(INDEX(C_Pavement!$F$5:$F$204,$AQ856)="-","",INDEX(C_Pavement!$F$5:$F$204,$AQ856)),IF($AS856="","",INDEX(E_Rules!$E$5:$E$9,$AS856))))</f>
        <v/>
      </c>
      <c r="AW856" t="str">
        <f>IF($AQ856="","",IF(INDEX(C_Pavement!$G$5:$G$204,$AQ856)&lt;&gt;"",IF(INDEX(C_Pavement!$G$5:$G$204,$AQ856)="-","",INDEX(C_Pavement!$G$5:$G$204,$AQ856)),IF($AS856="","",INDEX(E_Rules!$F$5:$F$9,$AS856))))</f>
        <v/>
      </c>
      <c r="AX856" t="str">
        <f>IF($AQ856="","",IF(INDEX(C_Pavement!$H$5:$H$204,$AQ856)&lt;&gt;"",IF(INDEX(C_Pavement!$H$5:$H$204,$AQ856)="-","",INDEX(C_Pavement!$H$5:$H$204,$AQ856)),IF($AS856="","",INDEX(E_Rules!$G$5:$G$9,$AS856))))</f>
        <v/>
      </c>
      <c r="AY856" t="str">
        <f>IF($AQ856="","",IF(INDEX(C_Pavement!$I$5:$I$204,$AQ856)&lt;&gt;"",IF(INDEX(C_Pavement!$I$5:$I$204,$AQ856)="-","",INDEX(C_Pavement!$I$5:$I$204,$AQ856)),IF($AS856="","",INDEX(E_Rules!$H$5:$H$9,$AS856))))</f>
        <v/>
      </c>
    </row>
    <row r="857" spans="1:51" ht="15.75" customHeight="1" x14ac:dyDescent="0.3">
      <c r="A857" s="189">
        <v>852</v>
      </c>
      <c r="B857" s="180">
        <v>42550</v>
      </c>
      <c r="C857" s="180" t="s">
        <v>1163</v>
      </c>
      <c r="D857" s="181" t="str">
        <f>IFERROR(LOOKUP(2,1/((A_Corridor!$A$5:$A$204&lt;&gt;"")*(A_Corridor!$A$5:$A$204&lt;=$B857)*(A_Corridor!$B$5:$B$204&gt;$B857)*(A_Corridor!$C$5:$C$204&lt;&gt;"")),IF(UPPER(A_Corridor!$C$5:$C$204)="Y",1,"")),"")</f>
        <v/>
      </c>
      <c r="E857" s="181" t="str">
        <f>IFERROR(LOOKUP(2,1/((A_Corridor!$A$5:$A$204&lt;&gt;"")*(A_Corridor!$A$5:$A$204&lt;=$B857)*(A_Corridor!$B$5:$B$204&gt;$B857)*(A_Corridor!$D$5:$D$204&lt;&gt;"")),IF(A_Corridor!$D$5:$D$204="-","",UPPER(A_Corridor!$D$5:$D$204))),"")</f>
        <v/>
      </c>
      <c r="F857" s="181" t="str">
        <f>IFERROR(LOOKUP(2,1/((A_Corridor!$A$5:$A$204&lt;&gt;"")*(A_Corridor!$A$5:$A$204&lt;=$B857)*(A_Corridor!$B$5:$B$204&gt;$B857)*(A_Corridor!$E$5:$E$204&lt;&gt;"")),IF(A_Corridor!$E$5:$E$204="-","",1)),"")</f>
        <v/>
      </c>
      <c r="G857" s="182" t="str">
        <f>IFERROR(LOOKUP(2,1/((A_Corridor!$A$5:$A$204&lt;&gt;"")*(A_Corridor!$A$5:$A$204&lt;=$B857)*(A_Corridor!$B$5:$B$204&gt;$B857)*(A_Corridor!$E$5:$E$204&lt;&gt;"")),IF(A_Corridor!$E$5:$E$204="-","",A_Corridor!$E$5:$E$204)),"")</f>
        <v/>
      </c>
      <c r="H857" s="182" t="str">
        <f>IFERROR(LOOKUP(2,1/((D_Points!$A$5:$A$204&lt;&gt;"")*(D_Points!$A$5:$A$204&gt;=$B857)*(D_Points!$A$5:$A$204&lt;$B857+P_Interval)*(UPPER(TRIM(D_Points!$B$5:$B$204))="GULLY")*(D_Points!$H$5:$H$204&lt;&gt;"")),D_Points!$H$5:$H$204),"")</f>
        <v/>
      </c>
      <c r="I857" s="181" t="str">
        <f>IFERROR(LOOKUP(2,1/((A_Corridor!$A$5:$A$204&lt;&gt;"")*(A_Corridor!$A$5:$A$204&lt;=$B857)*(A_Corridor!$B$5:$B$204&gt;$B857)*(A_Corridor!$F$5:$F$204&lt;&gt;"")),IF(A_Corridor!$F$5:$F$204="-","",1)),"")</f>
        <v/>
      </c>
      <c r="J857" s="182" t="str">
        <f>IFERROR(LOOKUP(2,1/((A_Corridor!$A$5:$A$204&lt;&gt;"")*(A_Corridor!$A$5:$A$204&lt;=$B857)*(A_Corridor!$B$5:$B$204&gt;$B857)*(A_Corridor!$F$5:$F$204&lt;&gt;"")),IF(A_Corridor!$F$5:$F$204="-","",A_Corridor!$F$5:$F$204)),"")</f>
        <v/>
      </c>
      <c r="K857" s="182" t="str">
        <f>IFERROR(LOOKUP(2,1/((A_Corridor!$A$5:$A$204&lt;&gt;"")*(A_Corridor!$A$5:$A$204&lt;=$B857)*(A_Corridor!$B$5:$B$204&gt;$B857)*(A_Corridor!$G$5:$G$204&lt;&gt;"")),IF(A_Corridor!$G$5:$G$204="-","",A_Corridor!$G$5:$G$204)),"")</f>
        <v/>
      </c>
      <c r="L857" s="181" t="str">
        <f>IFERROR(LOOKUP(2,1/((A_Corridor!$A$5:$A$204&lt;&gt;"")*(A_Corridor!$A$5:$A$204&lt;=$B857)*(A_Corridor!$B$5:$B$204&gt;$B857)*(A_Corridor!$H$5:$H$204&lt;&gt;"")),IF(A_Corridor!$H$5:$H$204="-","",1)),"")</f>
        <v/>
      </c>
      <c r="M857" s="182" t="str">
        <f>IFERROR(LOOKUP(2,1/((A_Corridor!$A$5:$A$204&lt;&gt;"")*(A_Corridor!$A$5:$A$204&lt;=$B857)*(A_Corridor!$B$5:$B$204&gt;$B857)*(A_Corridor!$H$5:$H$204&lt;&gt;"")),IF(A_Corridor!$H$5:$H$204="-","",A_Corridor!$H$5:$H$204)),"")</f>
        <v/>
      </c>
      <c r="N857" s="182" t="str">
        <f>IFERROR(LOOKUP(2,1/((A_Corridor!$A$5:$A$204&lt;&gt;"")*(A_Corridor!$A$5:$A$204&lt;=$B857)*(A_Corridor!$B$5:$B$204&gt;$B857)*(A_Corridor!$I$5:$I$204&lt;&gt;"")),IF(A_Corridor!$I$5:$I$204="-","",A_Corridor!$I$5:$I$204)),"")</f>
        <v/>
      </c>
      <c r="O857" s="182" t="str">
        <f>IFERROR(LOOKUP(2,1/((D_Points!$A$5:$A$204&lt;&gt;"")*(D_Points!$A$5:$A$204&gt;=$B857)*(D_Points!$A$5:$A$204&lt;$B857+P_Interval)*(UPPER(TRIM(D_Points!$B$5:$B$204))="PITCHING")*(D_Points!$H$5:$H$204&lt;&gt;"")),D_Points!$H$5:$H$204),"")</f>
        <v/>
      </c>
      <c r="P857" s="181" t="str">
        <f>IFERROR(LOOKUP(2,1/((B_Drainage!$A$5:$A$204&lt;&gt;"")*(B_Drainage!$A$5:$A$204&lt;=$B857)*(B_Drainage!$B$5:$B$204&gt;$B857)*(B_Drainage!$C$5:$C$204&lt;&gt;"")),IF(B_Drainage!$C$5:$C$204="-","",UPPER(B_Drainage!$C$5:$C$204))),"")</f>
        <v/>
      </c>
      <c r="Q857" s="181" t="str">
        <f>IFERROR(LOOKUP(2,1/((B_Drainage!$A$5:$A$204&lt;&gt;"")*(B_Drainage!$A$5:$A$204&lt;=$B857)*(B_Drainage!$B$5:$B$204&gt;$B857)*(B_Drainage!$D$5:$D$204&lt;&gt;"")),IF(B_Drainage!$D$5:$D$204="-","",UPPER(B_Drainage!$D$5:$D$204))),"")</f>
        <v/>
      </c>
      <c r="R857" s="182" t="str">
        <f>IFERROR(LOOKUP(2,1/((D_Points!$A$5:$A$204&lt;&gt;"")*(D_Points!$A$5:$A$204&gt;=$B857)*(D_Points!$A$5:$A$204&lt;$B857+P_Interval)*(RIGHT(UPPER(TRIM(D_Points!$B$5:$B$204)),8)="_CULVERT")),IF(LEFT(UPPER(TRIM(D_Points!$B$5:$B$204)),2)="EX",1,IF(LEFT(UPPER(TRIM(D_Points!$B$5:$B$204)),2)="PR",2,3))),"")</f>
        <v/>
      </c>
      <c r="S857" s="182" t="str">
        <f>IFERROR(LOOKUP(2,1/((D_Points!$A$5:$A$204&lt;&gt;"")*(D_Points!$A$5:$A$204&gt;=$B857)*(D_Points!$A$5:$A$204&lt;$B857+P_Interval)*(RIGHT(UPPER(TRIM(D_Points!$B$5:$B$204)),7)="_BRIDGE")),IF(LEFT(UPPER(TRIM(D_Points!$B$5:$B$204)),2)="EX",1,IF(LEFT(UPPER(TRIM(D_Points!$B$5:$B$204)),2)="PR",2,2))),"")</f>
        <v/>
      </c>
      <c r="T857" s="181" t="str">
        <f>IFERROR(LOOKUP(2,1/((B_Drainage!$A$5:$A$204&lt;&gt;"")*(B_Drainage!$A$5:$A$204&lt;=$B857)*(B_Drainage!$B$5:$B$204&gt;$B857)*(B_Drainage!$E$5:$E$204&lt;&gt;"")),IF(B_Drainage!$E$5:$E$204="-","",1)),"")</f>
        <v/>
      </c>
      <c r="U857" s="181" t="str">
        <f>IFERROR(LOOKUP(2,1/((B_Drainage!$A$5:$A$204&lt;&gt;"")*(B_Drainage!$A$5:$A$204&lt;=$B857)*(B_Drainage!$B$5:$B$204&gt;$B857)*(B_Drainage!$E$5:$E$204&lt;&gt;"")),IF(B_Drainage!$E$5:$E$204="-","",B_Drainage!$E$5:$E$204)),"")</f>
        <v/>
      </c>
      <c r="V857" s="181" t="str">
        <f>IFERROR(LOOKUP(2,1/((B_Drainage!$A$5:$A$204&lt;&gt;"")*(B_Drainage!$A$5:$A$204&lt;=$B857)*(B_Drainage!$B$5:$B$204&gt;$B857)*(B_Drainage!$F$5:$F$204&lt;&gt;"")),IF(B_Drainage!$F$5:$F$204="-","",1)),"")</f>
        <v/>
      </c>
      <c r="W857" s="181" t="str">
        <f>IFERROR(LOOKUP(2,1/((B_Drainage!$A$5:$A$204&lt;&gt;"")*(B_Drainage!$A$5:$A$204&lt;=$B857)*(B_Drainage!$B$5:$B$204&gt;$B857)*(B_Drainage!$F$5:$F$204&lt;&gt;"")),IF(B_Drainage!$F$5:$F$204="-","",B_Drainage!$F$5:$F$204)),"")</f>
        <v/>
      </c>
      <c r="X857" s="181" t="str">
        <f>IFERROR(LOOKUP(2,1/((B_Drainage!$A$5:$A$204&lt;&gt;"")*(B_Drainage!$A$5:$A$204&lt;=$B857)*(B_Drainage!$B$5:$B$204&gt;$B857)*(B_Drainage!$G$5:$G$204&lt;&gt;"")),IF(UPPER(B_Drainage!$G$5:$G$204)="Y",1,"")),"")</f>
        <v/>
      </c>
      <c r="Y857" s="181" t="str">
        <f>IFERROR(LOOKUP(2,1/((B_Drainage!$A$5:$A$204&lt;&gt;"")*(B_Drainage!$A$5:$A$204&lt;=$B857)*(B_Drainage!$B$5:$B$204&gt;$B857)*(B_Drainage!$H$5:$H$204&lt;&gt;"")),IF(UPPER(B_Drainage!$H$5:$H$204)="Y",1,"")),"")</f>
        <v/>
      </c>
      <c r="Z857" s="181" t="str">
        <f>IFERROR(LOOKUP(2,1/((B_Drainage!$A$5:$A$204&lt;&gt;"")*(B_Drainage!$A$5:$A$204&lt;=$B857)*(B_Drainage!$B$5:$B$204&gt;$B857)*(B_Drainage!$I$5:$I$204&lt;&gt;"")),IF(UPPER(B_Drainage!$I$5:$I$204)="Y",1,"")),"")</f>
        <v/>
      </c>
      <c r="AA857" s="181" t="str">
        <f>IFERROR(LOOKUP(2,1/((B_Drainage!$A$5:$A$204&lt;&gt;"")*(B_Drainage!$A$5:$A$204&lt;=$B857)*(B_Drainage!$B$5:$B$204&gt;$B857)*(B_Drainage!$J$5:$J$204&lt;&gt;"")),IF(UPPER(B_Drainage!$J$5:$J$204)="Y",1,"")),"")</f>
        <v/>
      </c>
      <c r="AB857" s="182" t="str">
        <f>IFERROR(LOOKUP(2,1/((B_Drainage!$A$5:$A$204&lt;&gt;"")*(B_Drainage!$A$5:$A$204&lt;=$B857)*(B_Drainage!$B$5:$B$204&gt;$B857)*(B_Drainage!$K$5:$K$204&lt;&gt;"")),IF(B_Drainage!$K$5:$K$204="-","",B_Drainage!$K$5:$K$204)),"")</f>
        <v/>
      </c>
      <c r="AC857" s="182" t="str">
        <f>IFERROR(LOOKUP(2,1/((B_Drainage!$A$5:$A$204&lt;&gt;"")*(B_Drainage!$A$5:$A$204&lt;=$B857)*(B_Drainage!$B$5:$B$204&gt;$B857)*(B_Drainage!$L$5:$L$204&lt;&gt;"")),IF(B_Drainage!$L$5:$L$204="-","",B_Drainage!$L$5:$L$204)),"")</f>
        <v/>
      </c>
      <c r="AD857" s="182" t="str">
        <f>IFERROR(LOOKUP(2,1/((D_Points!$A$5:$A$204&lt;&gt;"")*(D_Points!$A$5:$A$204&gt;=$B857)*(D_Points!$A$5:$A$204&lt;$B857+P_Interval)*(UPPER(TRIM(D_Points!$B$5:$B$204))="TURNOUT_L")*(D_Points!$H$5:$H$204&lt;&gt;"")),D_Points!$H$5:$H$204),"")</f>
        <v/>
      </c>
      <c r="AE857" s="182" t="str">
        <f>IFERROR(LOOKUP(2,1/((D_Points!$A$5:$A$204&lt;&gt;"")*(D_Points!$A$5:$A$204&gt;=$B857)*(D_Points!$A$5:$A$204&lt;$B857+P_Interval)*(UPPER(TRIM(D_Points!$B$5:$B$204))="TURNOUT_R")*(D_Points!$H$5:$H$204&lt;&gt;"")),D_Points!$H$5:$H$204),"")</f>
        <v/>
      </c>
      <c r="AF857" s="181" t="str">
        <f>IFERROR(LOOKUP(2,1/((B_Drainage!$A$5:$A$204&lt;&gt;"")*(B_Drainage!$A$5:$A$204&lt;=$B857)*(B_Drainage!$B$5:$B$204&gt;$B857)*(B_Drainage!$M$5:$M$204&lt;&gt;"")),IF(UPPER(B_Drainage!$M$5:$M$204)="Y",1,"")),"")</f>
        <v/>
      </c>
      <c r="AG857" s="181" t="str">
        <f>IFERROR(LOOKUP(2,1/((B_Drainage!$A$5:$A$204&lt;&gt;"")*(B_Drainage!$A$5:$A$204&lt;=$B857)*(B_Drainage!$B$5:$B$204&gt;$B857)*(B_Drainage!$N$5:$N$204&lt;&gt;"")),IF(UPPER(B_Drainage!$N$5:$N$204)="Y",1,"")),"")</f>
        <v/>
      </c>
      <c r="AH857" s="181" t="str">
        <f t="shared" si="104"/>
        <v/>
      </c>
      <c r="AI857" s="181" t="str">
        <f t="shared" si="105"/>
        <v/>
      </c>
      <c r="AJ857" s="181" t="str">
        <f t="shared" si="106"/>
        <v/>
      </c>
      <c r="AK857" s="181" t="str">
        <f t="shared" si="107"/>
        <v/>
      </c>
      <c r="AL857" s="181" t="str">
        <f t="shared" si="108"/>
        <v/>
      </c>
      <c r="AM857" s="181" t="str">
        <f t="shared" si="109"/>
        <v/>
      </c>
      <c r="AN857" s="181" t="str">
        <f t="shared" si="110"/>
        <v/>
      </c>
      <c r="AO857" s="192" t="str">
        <f t="shared" si="111"/>
        <v/>
      </c>
      <c r="AQ857" t="str">
        <f>IFERROR(LOOKUP(2,1/((C_Pavement!$A$5:$A$204&lt;&gt;"")*(C_Pavement!$A$5:$A$204&lt;=$B857)*(C_Pavement!$B$5:$B$204&gt;$B857)*(C_Pavement!$C$5:$C$204&lt;&gt;"")),ROW(C_Pavement!$C$5:$C$204)-4),"")</f>
        <v/>
      </c>
      <c r="AR857" t="str">
        <f>IF($AQ857="","",UPPER(TRIM(INDEX(C_Pavement!$C$5:$C$204,$AQ857))))</f>
        <v/>
      </c>
      <c r="AS857" t="str">
        <f>IF($AR857="","",IFERROR(MATCH($AR857,E_Rules!$A$5:$A$9,0),""))</f>
        <v/>
      </c>
      <c r="AT857" t="str">
        <f>IF($AQ857="","",IF(INDEX(C_Pavement!$D$5:$D$204,$AQ857)&lt;&gt;"",UPPER(TRIM(INDEX(C_Pavement!$D$5:$D$204,$AQ857))),IF($AS857="","",INDEX(E_Rules!$C$5:$C$9,$AS857))))</f>
        <v/>
      </c>
      <c r="AU857" t="str">
        <f>IF($AQ857="","",IF(INDEX(C_Pavement!$E$5:$E$204,$AQ857)&lt;&gt;"",IF(INDEX(C_Pavement!$E$5:$E$204,$AQ857)="-","",INDEX(C_Pavement!$E$5:$E$204,$AQ857)),IF($AS857="","",INDEX(E_Rules!$D$5:$D$9,$AS857))))</f>
        <v/>
      </c>
      <c r="AV857" t="str">
        <f>IF($AQ857="","",IF(INDEX(C_Pavement!$F$5:$F$204,$AQ857)&lt;&gt;"",IF(INDEX(C_Pavement!$F$5:$F$204,$AQ857)="-","",INDEX(C_Pavement!$F$5:$F$204,$AQ857)),IF($AS857="","",INDEX(E_Rules!$E$5:$E$9,$AS857))))</f>
        <v/>
      </c>
      <c r="AW857" t="str">
        <f>IF($AQ857="","",IF(INDEX(C_Pavement!$G$5:$G$204,$AQ857)&lt;&gt;"",IF(INDEX(C_Pavement!$G$5:$G$204,$AQ857)="-","",INDEX(C_Pavement!$G$5:$G$204,$AQ857)),IF($AS857="","",INDEX(E_Rules!$F$5:$F$9,$AS857))))</f>
        <v/>
      </c>
      <c r="AX857" t="str">
        <f>IF($AQ857="","",IF(INDEX(C_Pavement!$H$5:$H$204,$AQ857)&lt;&gt;"",IF(INDEX(C_Pavement!$H$5:$H$204,$AQ857)="-","",INDEX(C_Pavement!$H$5:$H$204,$AQ857)),IF($AS857="","",INDEX(E_Rules!$G$5:$G$9,$AS857))))</f>
        <v/>
      </c>
      <c r="AY857" t="str">
        <f>IF($AQ857="","",IF(INDEX(C_Pavement!$I$5:$I$204,$AQ857)&lt;&gt;"",IF(INDEX(C_Pavement!$I$5:$I$204,$AQ857)="-","",INDEX(C_Pavement!$I$5:$I$204,$AQ857)),IF($AS857="","",INDEX(E_Rules!$H$5:$H$9,$AS857))))</f>
        <v/>
      </c>
    </row>
    <row r="858" spans="1:51" ht="15.75" customHeight="1" x14ac:dyDescent="0.3">
      <c r="A858" s="189">
        <v>853</v>
      </c>
      <c r="B858" s="180">
        <v>42600</v>
      </c>
      <c r="C858" s="180" t="s">
        <v>1164</v>
      </c>
      <c r="D858" s="181" t="str">
        <f>IFERROR(LOOKUP(2,1/((A_Corridor!$A$5:$A$204&lt;&gt;"")*(A_Corridor!$A$5:$A$204&lt;=$B858)*(A_Corridor!$B$5:$B$204&gt;$B858)*(A_Corridor!$C$5:$C$204&lt;&gt;"")),IF(UPPER(A_Corridor!$C$5:$C$204)="Y",1,"")),"")</f>
        <v/>
      </c>
      <c r="E858" s="181" t="str">
        <f>IFERROR(LOOKUP(2,1/((A_Corridor!$A$5:$A$204&lt;&gt;"")*(A_Corridor!$A$5:$A$204&lt;=$B858)*(A_Corridor!$B$5:$B$204&gt;$B858)*(A_Corridor!$D$5:$D$204&lt;&gt;"")),IF(A_Corridor!$D$5:$D$204="-","",UPPER(A_Corridor!$D$5:$D$204))),"")</f>
        <v/>
      </c>
      <c r="F858" s="181" t="str">
        <f>IFERROR(LOOKUP(2,1/((A_Corridor!$A$5:$A$204&lt;&gt;"")*(A_Corridor!$A$5:$A$204&lt;=$B858)*(A_Corridor!$B$5:$B$204&gt;$B858)*(A_Corridor!$E$5:$E$204&lt;&gt;"")),IF(A_Corridor!$E$5:$E$204="-","",1)),"")</f>
        <v/>
      </c>
      <c r="G858" s="182" t="str">
        <f>IFERROR(LOOKUP(2,1/((A_Corridor!$A$5:$A$204&lt;&gt;"")*(A_Corridor!$A$5:$A$204&lt;=$B858)*(A_Corridor!$B$5:$B$204&gt;$B858)*(A_Corridor!$E$5:$E$204&lt;&gt;"")),IF(A_Corridor!$E$5:$E$204="-","",A_Corridor!$E$5:$E$204)),"")</f>
        <v/>
      </c>
      <c r="H858" s="182" t="str">
        <f>IFERROR(LOOKUP(2,1/((D_Points!$A$5:$A$204&lt;&gt;"")*(D_Points!$A$5:$A$204&gt;=$B858)*(D_Points!$A$5:$A$204&lt;$B858+P_Interval)*(UPPER(TRIM(D_Points!$B$5:$B$204))="GULLY")*(D_Points!$H$5:$H$204&lt;&gt;"")),D_Points!$H$5:$H$204),"")</f>
        <v/>
      </c>
      <c r="I858" s="181" t="str">
        <f>IFERROR(LOOKUP(2,1/((A_Corridor!$A$5:$A$204&lt;&gt;"")*(A_Corridor!$A$5:$A$204&lt;=$B858)*(A_Corridor!$B$5:$B$204&gt;$B858)*(A_Corridor!$F$5:$F$204&lt;&gt;"")),IF(A_Corridor!$F$5:$F$204="-","",1)),"")</f>
        <v/>
      </c>
      <c r="J858" s="182" t="str">
        <f>IFERROR(LOOKUP(2,1/((A_Corridor!$A$5:$A$204&lt;&gt;"")*(A_Corridor!$A$5:$A$204&lt;=$B858)*(A_Corridor!$B$5:$B$204&gt;$B858)*(A_Corridor!$F$5:$F$204&lt;&gt;"")),IF(A_Corridor!$F$5:$F$204="-","",A_Corridor!$F$5:$F$204)),"")</f>
        <v/>
      </c>
      <c r="K858" s="182" t="str">
        <f>IFERROR(LOOKUP(2,1/((A_Corridor!$A$5:$A$204&lt;&gt;"")*(A_Corridor!$A$5:$A$204&lt;=$B858)*(A_Corridor!$B$5:$B$204&gt;$B858)*(A_Corridor!$G$5:$G$204&lt;&gt;"")),IF(A_Corridor!$G$5:$G$204="-","",A_Corridor!$G$5:$G$204)),"")</f>
        <v/>
      </c>
      <c r="L858" s="181" t="str">
        <f>IFERROR(LOOKUP(2,1/((A_Corridor!$A$5:$A$204&lt;&gt;"")*(A_Corridor!$A$5:$A$204&lt;=$B858)*(A_Corridor!$B$5:$B$204&gt;$B858)*(A_Corridor!$H$5:$H$204&lt;&gt;"")),IF(A_Corridor!$H$5:$H$204="-","",1)),"")</f>
        <v/>
      </c>
      <c r="M858" s="182" t="str">
        <f>IFERROR(LOOKUP(2,1/((A_Corridor!$A$5:$A$204&lt;&gt;"")*(A_Corridor!$A$5:$A$204&lt;=$B858)*(A_Corridor!$B$5:$B$204&gt;$B858)*(A_Corridor!$H$5:$H$204&lt;&gt;"")),IF(A_Corridor!$H$5:$H$204="-","",A_Corridor!$H$5:$H$204)),"")</f>
        <v/>
      </c>
      <c r="N858" s="182" t="str">
        <f>IFERROR(LOOKUP(2,1/((A_Corridor!$A$5:$A$204&lt;&gt;"")*(A_Corridor!$A$5:$A$204&lt;=$B858)*(A_Corridor!$B$5:$B$204&gt;$B858)*(A_Corridor!$I$5:$I$204&lt;&gt;"")),IF(A_Corridor!$I$5:$I$204="-","",A_Corridor!$I$5:$I$204)),"")</f>
        <v/>
      </c>
      <c r="O858" s="182" t="str">
        <f>IFERROR(LOOKUP(2,1/((D_Points!$A$5:$A$204&lt;&gt;"")*(D_Points!$A$5:$A$204&gt;=$B858)*(D_Points!$A$5:$A$204&lt;$B858+P_Interval)*(UPPER(TRIM(D_Points!$B$5:$B$204))="PITCHING")*(D_Points!$H$5:$H$204&lt;&gt;"")),D_Points!$H$5:$H$204),"")</f>
        <v/>
      </c>
      <c r="P858" s="181" t="str">
        <f>IFERROR(LOOKUP(2,1/((B_Drainage!$A$5:$A$204&lt;&gt;"")*(B_Drainage!$A$5:$A$204&lt;=$B858)*(B_Drainage!$B$5:$B$204&gt;$B858)*(B_Drainage!$C$5:$C$204&lt;&gt;"")),IF(B_Drainage!$C$5:$C$204="-","",UPPER(B_Drainage!$C$5:$C$204))),"")</f>
        <v/>
      </c>
      <c r="Q858" s="181" t="str">
        <f>IFERROR(LOOKUP(2,1/((B_Drainage!$A$5:$A$204&lt;&gt;"")*(B_Drainage!$A$5:$A$204&lt;=$B858)*(B_Drainage!$B$5:$B$204&gt;$B858)*(B_Drainage!$D$5:$D$204&lt;&gt;"")),IF(B_Drainage!$D$5:$D$204="-","",UPPER(B_Drainage!$D$5:$D$204))),"")</f>
        <v/>
      </c>
      <c r="R858" s="182" t="str">
        <f>IFERROR(LOOKUP(2,1/((D_Points!$A$5:$A$204&lt;&gt;"")*(D_Points!$A$5:$A$204&gt;=$B858)*(D_Points!$A$5:$A$204&lt;$B858+P_Interval)*(RIGHT(UPPER(TRIM(D_Points!$B$5:$B$204)),8)="_CULVERT")),IF(LEFT(UPPER(TRIM(D_Points!$B$5:$B$204)),2)="EX",1,IF(LEFT(UPPER(TRIM(D_Points!$B$5:$B$204)),2)="PR",2,3))),"")</f>
        <v/>
      </c>
      <c r="S858" s="182" t="str">
        <f>IFERROR(LOOKUP(2,1/((D_Points!$A$5:$A$204&lt;&gt;"")*(D_Points!$A$5:$A$204&gt;=$B858)*(D_Points!$A$5:$A$204&lt;$B858+P_Interval)*(RIGHT(UPPER(TRIM(D_Points!$B$5:$B$204)),7)="_BRIDGE")),IF(LEFT(UPPER(TRIM(D_Points!$B$5:$B$204)),2)="EX",1,IF(LEFT(UPPER(TRIM(D_Points!$B$5:$B$204)),2)="PR",2,2))),"")</f>
        <v/>
      </c>
      <c r="T858" s="181" t="str">
        <f>IFERROR(LOOKUP(2,1/((B_Drainage!$A$5:$A$204&lt;&gt;"")*(B_Drainage!$A$5:$A$204&lt;=$B858)*(B_Drainage!$B$5:$B$204&gt;$B858)*(B_Drainage!$E$5:$E$204&lt;&gt;"")),IF(B_Drainage!$E$5:$E$204="-","",1)),"")</f>
        <v/>
      </c>
      <c r="U858" s="181" t="str">
        <f>IFERROR(LOOKUP(2,1/((B_Drainage!$A$5:$A$204&lt;&gt;"")*(B_Drainage!$A$5:$A$204&lt;=$B858)*(B_Drainage!$B$5:$B$204&gt;$B858)*(B_Drainage!$E$5:$E$204&lt;&gt;"")),IF(B_Drainage!$E$5:$E$204="-","",B_Drainage!$E$5:$E$204)),"")</f>
        <v/>
      </c>
      <c r="V858" s="181" t="str">
        <f>IFERROR(LOOKUP(2,1/((B_Drainage!$A$5:$A$204&lt;&gt;"")*(B_Drainage!$A$5:$A$204&lt;=$B858)*(B_Drainage!$B$5:$B$204&gt;$B858)*(B_Drainage!$F$5:$F$204&lt;&gt;"")),IF(B_Drainage!$F$5:$F$204="-","",1)),"")</f>
        <v/>
      </c>
      <c r="W858" s="181" t="str">
        <f>IFERROR(LOOKUP(2,1/((B_Drainage!$A$5:$A$204&lt;&gt;"")*(B_Drainage!$A$5:$A$204&lt;=$B858)*(B_Drainage!$B$5:$B$204&gt;$B858)*(B_Drainage!$F$5:$F$204&lt;&gt;"")),IF(B_Drainage!$F$5:$F$204="-","",B_Drainage!$F$5:$F$204)),"")</f>
        <v/>
      </c>
      <c r="X858" s="181" t="str">
        <f>IFERROR(LOOKUP(2,1/((B_Drainage!$A$5:$A$204&lt;&gt;"")*(B_Drainage!$A$5:$A$204&lt;=$B858)*(B_Drainage!$B$5:$B$204&gt;$B858)*(B_Drainage!$G$5:$G$204&lt;&gt;"")),IF(UPPER(B_Drainage!$G$5:$G$204)="Y",1,"")),"")</f>
        <v/>
      </c>
      <c r="Y858" s="181" t="str">
        <f>IFERROR(LOOKUP(2,1/((B_Drainage!$A$5:$A$204&lt;&gt;"")*(B_Drainage!$A$5:$A$204&lt;=$B858)*(B_Drainage!$B$5:$B$204&gt;$B858)*(B_Drainage!$H$5:$H$204&lt;&gt;"")),IF(UPPER(B_Drainage!$H$5:$H$204)="Y",1,"")),"")</f>
        <v/>
      </c>
      <c r="Z858" s="181" t="str">
        <f>IFERROR(LOOKUP(2,1/((B_Drainage!$A$5:$A$204&lt;&gt;"")*(B_Drainage!$A$5:$A$204&lt;=$B858)*(B_Drainage!$B$5:$B$204&gt;$B858)*(B_Drainage!$I$5:$I$204&lt;&gt;"")),IF(UPPER(B_Drainage!$I$5:$I$204)="Y",1,"")),"")</f>
        <v/>
      </c>
      <c r="AA858" s="181" t="str">
        <f>IFERROR(LOOKUP(2,1/((B_Drainage!$A$5:$A$204&lt;&gt;"")*(B_Drainage!$A$5:$A$204&lt;=$B858)*(B_Drainage!$B$5:$B$204&gt;$B858)*(B_Drainage!$J$5:$J$204&lt;&gt;"")),IF(UPPER(B_Drainage!$J$5:$J$204)="Y",1,"")),"")</f>
        <v/>
      </c>
      <c r="AB858" s="182" t="str">
        <f>IFERROR(LOOKUP(2,1/((B_Drainage!$A$5:$A$204&lt;&gt;"")*(B_Drainage!$A$5:$A$204&lt;=$B858)*(B_Drainage!$B$5:$B$204&gt;$B858)*(B_Drainage!$K$5:$K$204&lt;&gt;"")),IF(B_Drainage!$K$5:$K$204="-","",B_Drainage!$K$5:$K$204)),"")</f>
        <v/>
      </c>
      <c r="AC858" s="182" t="str">
        <f>IFERROR(LOOKUP(2,1/((B_Drainage!$A$5:$A$204&lt;&gt;"")*(B_Drainage!$A$5:$A$204&lt;=$B858)*(B_Drainage!$B$5:$B$204&gt;$B858)*(B_Drainage!$L$5:$L$204&lt;&gt;"")),IF(B_Drainage!$L$5:$L$204="-","",B_Drainage!$L$5:$L$204)),"")</f>
        <v/>
      </c>
      <c r="AD858" s="182" t="str">
        <f>IFERROR(LOOKUP(2,1/((D_Points!$A$5:$A$204&lt;&gt;"")*(D_Points!$A$5:$A$204&gt;=$B858)*(D_Points!$A$5:$A$204&lt;$B858+P_Interval)*(UPPER(TRIM(D_Points!$B$5:$B$204))="TURNOUT_L")*(D_Points!$H$5:$H$204&lt;&gt;"")),D_Points!$H$5:$H$204),"")</f>
        <v/>
      </c>
      <c r="AE858" s="182" t="str">
        <f>IFERROR(LOOKUP(2,1/((D_Points!$A$5:$A$204&lt;&gt;"")*(D_Points!$A$5:$A$204&gt;=$B858)*(D_Points!$A$5:$A$204&lt;$B858+P_Interval)*(UPPER(TRIM(D_Points!$B$5:$B$204))="TURNOUT_R")*(D_Points!$H$5:$H$204&lt;&gt;"")),D_Points!$H$5:$H$204),"")</f>
        <v/>
      </c>
      <c r="AF858" s="181" t="str">
        <f>IFERROR(LOOKUP(2,1/((B_Drainage!$A$5:$A$204&lt;&gt;"")*(B_Drainage!$A$5:$A$204&lt;=$B858)*(B_Drainage!$B$5:$B$204&gt;$B858)*(B_Drainage!$M$5:$M$204&lt;&gt;"")),IF(UPPER(B_Drainage!$M$5:$M$204)="Y",1,"")),"")</f>
        <v/>
      </c>
      <c r="AG858" s="181" t="str">
        <f>IFERROR(LOOKUP(2,1/((B_Drainage!$A$5:$A$204&lt;&gt;"")*(B_Drainage!$A$5:$A$204&lt;=$B858)*(B_Drainage!$B$5:$B$204&gt;$B858)*(B_Drainage!$N$5:$N$204&lt;&gt;"")),IF(UPPER(B_Drainage!$N$5:$N$204)="Y",1,"")),"")</f>
        <v/>
      </c>
      <c r="AH858" s="181" t="str">
        <f t="shared" si="104"/>
        <v/>
      </c>
      <c r="AI858" s="181" t="str">
        <f t="shared" si="105"/>
        <v/>
      </c>
      <c r="AJ858" s="181" t="str">
        <f t="shared" si="106"/>
        <v/>
      </c>
      <c r="AK858" s="181" t="str">
        <f t="shared" si="107"/>
        <v/>
      </c>
      <c r="AL858" s="181" t="str">
        <f t="shared" si="108"/>
        <v/>
      </c>
      <c r="AM858" s="181" t="str">
        <f t="shared" si="109"/>
        <v/>
      </c>
      <c r="AN858" s="181" t="str">
        <f t="shared" si="110"/>
        <v/>
      </c>
      <c r="AO858" s="192" t="str">
        <f t="shared" si="111"/>
        <v/>
      </c>
      <c r="AQ858" t="str">
        <f>IFERROR(LOOKUP(2,1/((C_Pavement!$A$5:$A$204&lt;&gt;"")*(C_Pavement!$A$5:$A$204&lt;=$B858)*(C_Pavement!$B$5:$B$204&gt;$B858)*(C_Pavement!$C$5:$C$204&lt;&gt;"")),ROW(C_Pavement!$C$5:$C$204)-4),"")</f>
        <v/>
      </c>
      <c r="AR858" t="str">
        <f>IF($AQ858="","",UPPER(TRIM(INDEX(C_Pavement!$C$5:$C$204,$AQ858))))</f>
        <v/>
      </c>
      <c r="AS858" t="str">
        <f>IF($AR858="","",IFERROR(MATCH($AR858,E_Rules!$A$5:$A$9,0),""))</f>
        <v/>
      </c>
      <c r="AT858" t="str">
        <f>IF($AQ858="","",IF(INDEX(C_Pavement!$D$5:$D$204,$AQ858)&lt;&gt;"",UPPER(TRIM(INDEX(C_Pavement!$D$5:$D$204,$AQ858))),IF($AS858="","",INDEX(E_Rules!$C$5:$C$9,$AS858))))</f>
        <v/>
      </c>
      <c r="AU858" t="str">
        <f>IF($AQ858="","",IF(INDEX(C_Pavement!$E$5:$E$204,$AQ858)&lt;&gt;"",IF(INDEX(C_Pavement!$E$5:$E$204,$AQ858)="-","",INDEX(C_Pavement!$E$5:$E$204,$AQ858)),IF($AS858="","",INDEX(E_Rules!$D$5:$D$9,$AS858))))</f>
        <v/>
      </c>
      <c r="AV858" t="str">
        <f>IF($AQ858="","",IF(INDEX(C_Pavement!$F$5:$F$204,$AQ858)&lt;&gt;"",IF(INDEX(C_Pavement!$F$5:$F$204,$AQ858)="-","",INDEX(C_Pavement!$F$5:$F$204,$AQ858)),IF($AS858="","",INDEX(E_Rules!$E$5:$E$9,$AS858))))</f>
        <v/>
      </c>
      <c r="AW858" t="str">
        <f>IF($AQ858="","",IF(INDEX(C_Pavement!$G$5:$G$204,$AQ858)&lt;&gt;"",IF(INDEX(C_Pavement!$G$5:$G$204,$AQ858)="-","",INDEX(C_Pavement!$G$5:$G$204,$AQ858)),IF($AS858="","",INDEX(E_Rules!$F$5:$F$9,$AS858))))</f>
        <v/>
      </c>
      <c r="AX858" t="str">
        <f>IF($AQ858="","",IF(INDEX(C_Pavement!$H$5:$H$204,$AQ858)&lt;&gt;"",IF(INDEX(C_Pavement!$H$5:$H$204,$AQ858)="-","",INDEX(C_Pavement!$H$5:$H$204,$AQ858)),IF($AS858="","",INDEX(E_Rules!$G$5:$G$9,$AS858))))</f>
        <v/>
      </c>
      <c r="AY858" t="str">
        <f>IF($AQ858="","",IF(INDEX(C_Pavement!$I$5:$I$204,$AQ858)&lt;&gt;"",IF(INDEX(C_Pavement!$I$5:$I$204,$AQ858)="-","",INDEX(C_Pavement!$I$5:$I$204,$AQ858)),IF($AS858="","",INDEX(E_Rules!$H$5:$H$9,$AS858))))</f>
        <v/>
      </c>
    </row>
    <row r="859" spans="1:51" ht="15.75" customHeight="1" x14ac:dyDescent="0.3">
      <c r="A859" s="189">
        <v>854</v>
      </c>
      <c r="B859" s="180">
        <v>42650</v>
      </c>
      <c r="C859" s="180" t="s">
        <v>1165</v>
      </c>
      <c r="D859" s="181" t="str">
        <f>IFERROR(LOOKUP(2,1/((A_Corridor!$A$5:$A$204&lt;&gt;"")*(A_Corridor!$A$5:$A$204&lt;=$B859)*(A_Corridor!$B$5:$B$204&gt;$B859)*(A_Corridor!$C$5:$C$204&lt;&gt;"")),IF(UPPER(A_Corridor!$C$5:$C$204)="Y",1,"")),"")</f>
        <v/>
      </c>
      <c r="E859" s="181" t="str">
        <f>IFERROR(LOOKUP(2,1/((A_Corridor!$A$5:$A$204&lt;&gt;"")*(A_Corridor!$A$5:$A$204&lt;=$B859)*(A_Corridor!$B$5:$B$204&gt;$B859)*(A_Corridor!$D$5:$D$204&lt;&gt;"")),IF(A_Corridor!$D$5:$D$204="-","",UPPER(A_Corridor!$D$5:$D$204))),"")</f>
        <v/>
      </c>
      <c r="F859" s="181" t="str">
        <f>IFERROR(LOOKUP(2,1/((A_Corridor!$A$5:$A$204&lt;&gt;"")*(A_Corridor!$A$5:$A$204&lt;=$B859)*(A_Corridor!$B$5:$B$204&gt;$B859)*(A_Corridor!$E$5:$E$204&lt;&gt;"")),IF(A_Corridor!$E$5:$E$204="-","",1)),"")</f>
        <v/>
      </c>
      <c r="G859" s="182" t="str">
        <f>IFERROR(LOOKUP(2,1/((A_Corridor!$A$5:$A$204&lt;&gt;"")*(A_Corridor!$A$5:$A$204&lt;=$B859)*(A_Corridor!$B$5:$B$204&gt;$B859)*(A_Corridor!$E$5:$E$204&lt;&gt;"")),IF(A_Corridor!$E$5:$E$204="-","",A_Corridor!$E$5:$E$204)),"")</f>
        <v/>
      </c>
      <c r="H859" s="182" t="str">
        <f>IFERROR(LOOKUP(2,1/((D_Points!$A$5:$A$204&lt;&gt;"")*(D_Points!$A$5:$A$204&gt;=$B859)*(D_Points!$A$5:$A$204&lt;$B859+P_Interval)*(UPPER(TRIM(D_Points!$B$5:$B$204))="GULLY")*(D_Points!$H$5:$H$204&lt;&gt;"")),D_Points!$H$5:$H$204),"")</f>
        <v/>
      </c>
      <c r="I859" s="181" t="str">
        <f>IFERROR(LOOKUP(2,1/((A_Corridor!$A$5:$A$204&lt;&gt;"")*(A_Corridor!$A$5:$A$204&lt;=$B859)*(A_Corridor!$B$5:$B$204&gt;$B859)*(A_Corridor!$F$5:$F$204&lt;&gt;"")),IF(A_Corridor!$F$5:$F$204="-","",1)),"")</f>
        <v/>
      </c>
      <c r="J859" s="182" t="str">
        <f>IFERROR(LOOKUP(2,1/((A_Corridor!$A$5:$A$204&lt;&gt;"")*(A_Corridor!$A$5:$A$204&lt;=$B859)*(A_Corridor!$B$5:$B$204&gt;$B859)*(A_Corridor!$F$5:$F$204&lt;&gt;"")),IF(A_Corridor!$F$5:$F$204="-","",A_Corridor!$F$5:$F$204)),"")</f>
        <v/>
      </c>
      <c r="K859" s="182" t="str">
        <f>IFERROR(LOOKUP(2,1/((A_Corridor!$A$5:$A$204&lt;&gt;"")*(A_Corridor!$A$5:$A$204&lt;=$B859)*(A_Corridor!$B$5:$B$204&gt;$B859)*(A_Corridor!$G$5:$G$204&lt;&gt;"")),IF(A_Corridor!$G$5:$G$204="-","",A_Corridor!$G$5:$G$204)),"")</f>
        <v/>
      </c>
      <c r="L859" s="181" t="str">
        <f>IFERROR(LOOKUP(2,1/((A_Corridor!$A$5:$A$204&lt;&gt;"")*(A_Corridor!$A$5:$A$204&lt;=$B859)*(A_Corridor!$B$5:$B$204&gt;$B859)*(A_Corridor!$H$5:$H$204&lt;&gt;"")),IF(A_Corridor!$H$5:$H$204="-","",1)),"")</f>
        <v/>
      </c>
      <c r="M859" s="182" t="str">
        <f>IFERROR(LOOKUP(2,1/((A_Corridor!$A$5:$A$204&lt;&gt;"")*(A_Corridor!$A$5:$A$204&lt;=$B859)*(A_Corridor!$B$5:$B$204&gt;$B859)*(A_Corridor!$H$5:$H$204&lt;&gt;"")),IF(A_Corridor!$H$5:$H$204="-","",A_Corridor!$H$5:$H$204)),"")</f>
        <v/>
      </c>
      <c r="N859" s="182" t="str">
        <f>IFERROR(LOOKUP(2,1/((A_Corridor!$A$5:$A$204&lt;&gt;"")*(A_Corridor!$A$5:$A$204&lt;=$B859)*(A_Corridor!$B$5:$B$204&gt;$B859)*(A_Corridor!$I$5:$I$204&lt;&gt;"")),IF(A_Corridor!$I$5:$I$204="-","",A_Corridor!$I$5:$I$204)),"")</f>
        <v/>
      </c>
      <c r="O859" s="182" t="str">
        <f>IFERROR(LOOKUP(2,1/((D_Points!$A$5:$A$204&lt;&gt;"")*(D_Points!$A$5:$A$204&gt;=$B859)*(D_Points!$A$5:$A$204&lt;$B859+P_Interval)*(UPPER(TRIM(D_Points!$B$5:$B$204))="PITCHING")*(D_Points!$H$5:$H$204&lt;&gt;"")),D_Points!$H$5:$H$204),"")</f>
        <v/>
      </c>
      <c r="P859" s="181" t="str">
        <f>IFERROR(LOOKUP(2,1/((B_Drainage!$A$5:$A$204&lt;&gt;"")*(B_Drainage!$A$5:$A$204&lt;=$B859)*(B_Drainage!$B$5:$B$204&gt;$B859)*(B_Drainage!$C$5:$C$204&lt;&gt;"")),IF(B_Drainage!$C$5:$C$204="-","",UPPER(B_Drainage!$C$5:$C$204))),"")</f>
        <v/>
      </c>
      <c r="Q859" s="181" t="str">
        <f>IFERROR(LOOKUP(2,1/((B_Drainage!$A$5:$A$204&lt;&gt;"")*(B_Drainage!$A$5:$A$204&lt;=$B859)*(B_Drainage!$B$5:$B$204&gt;$B859)*(B_Drainage!$D$5:$D$204&lt;&gt;"")),IF(B_Drainage!$D$5:$D$204="-","",UPPER(B_Drainage!$D$5:$D$204))),"")</f>
        <v/>
      </c>
      <c r="R859" s="182" t="str">
        <f>IFERROR(LOOKUP(2,1/((D_Points!$A$5:$A$204&lt;&gt;"")*(D_Points!$A$5:$A$204&gt;=$B859)*(D_Points!$A$5:$A$204&lt;$B859+P_Interval)*(RIGHT(UPPER(TRIM(D_Points!$B$5:$B$204)),8)="_CULVERT")),IF(LEFT(UPPER(TRIM(D_Points!$B$5:$B$204)),2)="EX",1,IF(LEFT(UPPER(TRIM(D_Points!$B$5:$B$204)),2)="PR",2,3))),"")</f>
        <v/>
      </c>
      <c r="S859" s="182" t="str">
        <f>IFERROR(LOOKUP(2,1/((D_Points!$A$5:$A$204&lt;&gt;"")*(D_Points!$A$5:$A$204&gt;=$B859)*(D_Points!$A$5:$A$204&lt;$B859+P_Interval)*(RIGHT(UPPER(TRIM(D_Points!$B$5:$B$204)),7)="_BRIDGE")),IF(LEFT(UPPER(TRIM(D_Points!$B$5:$B$204)),2)="EX",1,IF(LEFT(UPPER(TRIM(D_Points!$B$5:$B$204)),2)="PR",2,2))),"")</f>
        <v/>
      </c>
      <c r="T859" s="181" t="str">
        <f>IFERROR(LOOKUP(2,1/((B_Drainage!$A$5:$A$204&lt;&gt;"")*(B_Drainage!$A$5:$A$204&lt;=$B859)*(B_Drainage!$B$5:$B$204&gt;$B859)*(B_Drainage!$E$5:$E$204&lt;&gt;"")),IF(B_Drainage!$E$5:$E$204="-","",1)),"")</f>
        <v/>
      </c>
      <c r="U859" s="181" t="str">
        <f>IFERROR(LOOKUP(2,1/((B_Drainage!$A$5:$A$204&lt;&gt;"")*(B_Drainage!$A$5:$A$204&lt;=$B859)*(B_Drainage!$B$5:$B$204&gt;$B859)*(B_Drainage!$E$5:$E$204&lt;&gt;"")),IF(B_Drainage!$E$5:$E$204="-","",B_Drainage!$E$5:$E$204)),"")</f>
        <v/>
      </c>
      <c r="V859" s="181" t="str">
        <f>IFERROR(LOOKUP(2,1/((B_Drainage!$A$5:$A$204&lt;&gt;"")*(B_Drainage!$A$5:$A$204&lt;=$B859)*(B_Drainage!$B$5:$B$204&gt;$B859)*(B_Drainage!$F$5:$F$204&lt;&gt;"")),IF(B_Drainage!$F$5:$F$204="-","",1)),"")</f>
        <v/>
      </c>
      <c r="W859" s="181" t="str">
        <f>IFERROR(LOOKUP(2,1/((B_Drainage!$A$5:$A$204&lt;&gt;"")*(B_Drainage!$A$5:$A$204&lt;=$B859)*(B_Drainage!$B$5:$B$204&gt;$B859)*(B_Drainage!$F$5:$F$204&lt;&gt;"")),IF(B_Drainage!$F$5:$F$204="-","",B_Drainage!$F$5:$F$204)),"")</f>
        <v/>
      </c>
      <c r="X859" s="181" t="str">
        <f>IFERROR(LOOKUP(2,1/((B_Drainage!$A$5:$A$204&lt;&gt;"")*(B_Drainage!$A$5:$A$204&lt;=$B859)*(B_Drainage!$B$5:$B$204&gt;$B859)*(B_Drainage!$G$5:$G$204&lt;&gt;"")),IF(UPPER(B_Drainage!$G$5:$G$204)="Y",1,"")),"")</f>
        <v/>
      </c>
      <c r="Y859" s="181" t="str">
        <f>IFERROR(LOOKUP(2,1/((B_Drainage!$A$5:$A$204&lt;&gt;"")*(B_Drainage!$A$5:$A$204&lt;=$B859)*(B_Drainage!$B$5:$B$204&gt;$B859)*(B_Drainage!$H$5:$H$204&lt;&gt;"")),IF(UPPER(B_Drainage!$H$5:$H$204)="Y",1,"")),"")</f>
        <v/>
      </c>
      <c r="Z859" s="181" t="str">
        <f>IFERROR(LOOKUP(2,1/((B_Drainage!$A$5:$A$204&lt;&gt;"")*(B_Drainage!$A$5:$A$204&lt;=$B859)*(B_Drainage!$B$5:$B$204&gt;$B859)*(B_Drainage!$I$5:$I$204&lt;&gt;"")),IF(UPPER(B_Drainage!$I$5:$I$204)="Y",1,"")),"")</f>
        <v/>
      </c>
      <c r="AA859" s="181" t="str">
        <f>IFERROR(LOOKUP(2,1/((B_Drainage!$A$5:$A$204&lt;&gt;"")*(B_Drainage!$A$5:$A$204&lt;=$B859)*(B_Drainage!$B$5:$B$204&gt;$B859)*(B_Drainage!$J$5:$J$204&lt;&gt;"")),IF(UPPER(B_Drainage!$J$5:$J$204)="Y",1,"")),"")</f>
        <v/>
      </c>
      <c r="AB859" s="182" t="str">
        <f>IFERROR(LOOKUP(2,1/((B_Drainage!$A$5:$A$204&lt;&gt;"")*(B_Drainage!$A$5:$A$204&lt;=$B859)*(B_Drainage!$B$5:$B$204&gt;$B859)*(B_Drainage!$K$5:$K$204&lt;&gt;"")),IF(B_Drainage!$K$5:$K$204="-","",B_Drainage!$K$5:$K$204)),"")</f>
        <v/>
      </c>
      <c r="AC859" s="182" t="str">
        <f>IFERROR(LOOKUP(2,1/((B_Drainage!$A$5:$A$204&lt;&gt;"")*(B_Drainage!$A$5:$A$204&lt;=$B859)*(B_Drainage!$B$5:$B$204&gt;$B859)*(B_Drainage!$L$5:$L$204&lt;&gt;"")),IF(B_Drainage!$L$5:$L$204="-","",B_Drainage!$L$5:$L$204)),"")</f>
        <v/>
      </c>
      <c r="AD859" s="182" t="str">
        <f>IFERROR(LOOKUP(2,1/((D_Points!$A$5:$A$204&lt;&gt;"")*(D_Points!$A$5:$A$204&gt;=$B859)*(D_Points!$A$5:$A$204&lt;$B859+P_Interval)*(UPPER(TRIM(D_Points!$B$5:$B$204))="TURNOUT_L")*(D_Points!$H$5:$H$204&lt;&gt;"")),D_Points!$H$5:$H$204),"")</f>
        <v/>
      </c>
      <c r="AE859" s="182" t="str">
        <f>IFERROR(LOOKUP(2,1/((D_Points!$A$5:$A$204&lt;&gt;"")*(D_Points!$A$5:$A$204&gt;=$B859)*(D_Points!$A$5:$A$204&lt;$B859+P_Interval)*(UPPER(TRIM(D_Points!$B$5:$B$204))="TURNOUT_R")*(D_Points!$H$5:$H$204&lt;&gt;"")),D_Points!$H$5:$H$204),"")</f>
        <v/>
      </c>
      <c r="AF859" s="181" t="str">
        <f>IFERROR(LOOKUP(2,1/((B_Drainage!$A$5:$A$204&lt;&gt;"")*(B_Drainage!$A$5:$A$204&lt;=$B859)*(B_Drainage!$B$5:$B$204&gt;$B859)*(B_Drainage!$M$5:$M$204&lt;&gt;"")),IF(UPPER(B_Drainage!$M$5:$M$204)="Y",1,"")),"")</f>
        <v/>
      </c>
      <c r="AG859" s="181" t="str">
        <f>IFERROR(LOOKUP(2,1/((B_Drainage!$A$5:$A$204&lt;&gt;"")*(B_Drainage!$A$5:$A$204&lt;=$B859)*(B_Drainage!$B$5:$B$204&gt;$B859)*(B_Drainage!$N$5:$N$204&lt;&gt;"")),IF(UPPER(B_Drainage!$N$5:$N$204)="Y",1,"")),"")</f>
        <v/>
      </c>
      <c r="AH859" s="181" t="str">
        <f t="shared" si="104"/>
        <v/>
      </c>
      <c r="AI859" s="181" t="str">
        <f t="shared" si="105"/>
        <v/>
      </c>
      <c r="AJ859" s="181" t="str">
        <f t="shared" si="106"/>
        <v/>
      </c>
      <c r="AK859" s="181" t="str">
        <f t="shared" si="107"/>
        <v/>
      </c>
      <c r="AL859" s="181" t="str">
        <f t="shared" si="108"/>
        <v/>
      </c>
      <c r="AM859" s="181" t="str">
        <f t="shared" si="109"/>
        <v/>
      </c>
      <c r="AN859" s="181" t="str">
        <f t="shared" si="110"/>
        <v/>
      </c>
      <c r="AO859" s="192" t="str">
        <f t="shared" si="111"/>
        <v/>
      </c>
      <c r="AQ859" t="str">
        <f>IFERROR(LOOKUP(2,1/((C_Pavement!$A$5:$A$204&lt;&gt;"")*(C_Pavement!$A$5:$A$204&lt;=$B859)*(C_Pavement!$B$5:$B$204&gt;$B859)*(C_Pavement!$C$5:$C$204&lt;&gt;"")),ROW(C_Pavement!$C$5:$C$204)-4),"")</f>
        <v/>
      </c>
      <c r="AR859" t="str">
        <f>IF($AQ859="","",UPPER(TRIM(INDEX(C_Pavement!$C$5:$C$204,$AQ859))))</f>
        <v/>
      </c>
      <c r="AS859" t="str">
        <f>IF($AR859="","",IFERROR(MATCH($AR859,E_Rules!$A$5:$A$9,0),""))</f>
        <v/>
      </c>
      <c r="AT859" t="str">
        <f>IF($AQ859="","",IF(INDEX(C_Pavement!$D$5:$D$204,$AQ859)&lt;&gt;"",UPPER(TRIM(INDEX(C_Pavement!$D$5:$D$204,$AQ859))),IF($AS859="","",INDEX(E_Rules!$C$5:$C$9,$AS859))))</f>
        <v/>
      </c>
      <c r="AU859" t="str">
        <f>IF($AQ859="","",IF(INDEX(C_Pavement!$E$5:$E$204,$AQ859)&lt;&gt;"",IF(INDEX(C_Pavement!$E$5:$E$204,$AQ859)="-","",INDEX(C_Pavement!$E$5:$E$204,$AQ859)),IF($AS859="","",INDEX(E_Rules!$D$5:$D$9,$AS859))))</f>
        <v/>
      </c>
      <c r="AV859" t="str">
        <f>IF($AQ859="","",IF(INDEX(C_Pavement!$F$5:$F$204,$AQ859)&lt;&gt;"",IF(INDEX(C_Pavement!$F$5:$F$204,$AQ859)="-","",INDEX(C_Pavement!$F$5:$F$204,$AQ859)),IF($AS859="","",INDEX(E_Rules!$E$5:$E$9,$AS859))))</f>
        <v/>
      </c>
      <c r="AW859" t="str">
        <f>IF($AQ859="","",IF(INDEX(C_Pavement!$G$5:$G$204,$AQ859)&lt;&gt;"",IF(INDEX(C_Pavement!$G$5:$G$204,$AQ859)="-","",INDEX(C_Pavement!$G$5:$G$204,$AQ859)),IF($AS859="","",INDEX(E_Rules!$F$5:$F$9,$AS859))))</f>
        <v/>
      </c>
      <c r="AX859" t="str">
        <f>IF($AQ859="","",IF(INDEX(C_Pavement!$H$5:$H$204,$AQ859)&lt;&gt;"",IF(INDEX(C_Pavement!$H$5:$H$204,$AQ859)="-","",INDEX(C_Pavement!$H$5:$H$204,$AQ859)),IF($AS859="","",INDEX(E_Rules!$G$5:$G$9,$AS859))))</f>
        <v/>
      </c>
      <c r="AY859" t="str">
        <f>IF($AQ859="","",IF(INDEX(C_Pavement!$I$5:$I$204,$AQ859)&lt;&gt;"",IF(INDEX(C_Pavement!$I$5:$I$204,$AQ859)="-","",INDEX(C_Pavement!$I$5:$I$204,$AQ859)),IF($AS859="","",INDEX(E_Rules!$H$5:$H$9,$AS859))))</f>
        <v/>
      </c>
    </row>
    <row r="860" spans="1:51" ht="15.75" customHeight="1" x14ac:dyDescent="0.3">
      <c r="A860" s="189">
        <v>855</v>
      </c>
      <c r="B860" s="180">
        <v>42700</v>
      </c>
      <c r="C860" s="180" t="s">
        <v>1166</v>
      </c>
      <c r="D860" s="181" t="str">
        <f>IFERROR(LOOKUP(2,1/((A_Corridor!$A$5:$A$204&lt;&gt;"")*(A_Corridor!$A$5:$A$204&lt;=$B860)*(A_Corridor!$B$5:$B$204&gt;$B860)*(A_Corridor!$C$5:$C$204&lt;&gt;"")),IF(UPPER(A_Corridor!$C$5:$C$204)="Y",1,"")),"")</f>
        <v/>
      </c>
      <c r="E860" s="181" t="str">
        <f>IFERROR(LOOKUP(2,1/((A_Corridor!$A$5:$A$204&lt;&gt;"")*(A_Corridor!$A$5:$A$204&lt;=$B860)*(A_Corridor!$B$5:$B$204&gt;$B860)*(A_Corridor!$D$5:$D$204&lt;&gt;"")),IF(A_Corridor!$D$5:$D$204="-","",UPPER(A_Corridor!$D$5:$D$204))),"")</f>
        <v/>
      </c>
      <c r="F860" s="181" t="str">
        <f>IFERROR(LOOKUP(2,1/((A_Corridor!$A$5:$A$204&lt;&gt;"")*(A_Corridor!$A$5:$A$204&lt;=$B860)*(A_Corridor!$B$5:$B$204&gt;$B860)*(A_Corridor!$E$5:$E$204&lt;&gt;"")),IF(A_Corridor!$E$5:$E$204="-","",1)),"")</f>
        <v/>
      </c>
      <c r="G860" s="182" t="str">
        <f>IFERROR(LOOKUP(2,1/((A_Corridor!$A$5:$A$204&lt;&gt;"")*(A_Corridor!$A$5:$A$204&lt;=$B860)*(A_Corridor!$B$5:$B$204&gt;$B860)*(A_Corridor!$E$5:$E$204&lt;&gt;"")),IF(A_Corridor!$E$5:$E$204="-","",A_Corridor!$E$5:$E$204)),"")</f>
        <v/>
      </c>
      <c r="H860" s="182" t="str">
        <f>IFERROR(LOOKUP(2,1/((D_Points!$A$5:$A$204&lt;&gt;"")*(D_Points!$A$5:$A$204&gt;=$B860)*(D_Points!$A$5:$A$204&lt;$B860+P_Interval)*(UPPER(TRIM(D_Points!$B$5:$B$204))="GULLY")*(D_Points!$H$5:$H$204&lt;&gt;"")),D_Points!$H$5:$H$204),"")</f>
        <v/>
      </c>
      <c r="I860" s="181" t="str">
        <f>IFERROR(LOOKUP(2,1/((A_Corridor!$A$5:$A$204&lt;&gt;"")*(A_Corridor!$A$5:$A$204&lt;=$B860)*(A_Corridor!$B$5:$B$204&gt;$B860)*(A_Corridor!$F$5:$F$204&lt;&gt;"")),IF(A_Corridor!$F$5:$F$204="-","",1)),"")</f>
        <v/>
      </c>
      <c r="J860" s="182" t="str">
        <f>IFERROR(LOOKUP(2,1/((A_Corridor!$A$5:$A$204&lt;&gt;"")*(A_Corridor!$A$5:$A$204&lt;=$B860)*(A_Corridor!$B$5:$B$204&gt;$B860)*(A_Corridor!$F$5:$F$204&lt;&gt;"")),IF(A_Corridor!$F$5:$F$204="-","",A_Corridor!$F$5:$F$204)),"")</f>
        <v/>
      </c>
      <c r="K860" s="182" t="str">
        <f>IFERROR(LOOKUP(2,1/((A_Corridor!$A$5:$A$204&lt;&gt;"")*(A_Corridor!$A$5:$A$204&lt;=$B860)*(A_Corridor!$B$5:$B$204&gt;$B860)*(A_Corridor!$G$5:$G$204&lt;&gt;"")),IF(A_Corridor!$G$5:$G$204="-","",A_Corridor!$G$5:$G$204)),"")</f>
        <v/>
      </c>
      <c r="L860" s="181" t="str">
        <f>IFERROR(LOOKUP(2,1/((A_Corridor!$A$5:$A$204&lt;&gt;"")*(A_Corridor!$A$5:$A$204&lt;=$B860)*(A_Corridor!$B$5:$B$204&gt;$B860)*(A_Corridor!$H$5:$H$204&lt;&gt;"")),IF(A_Corridor!$H$5:$H$204="-","",1)),"")</f>
        <v/>
      </c>
      <c r="M860" s="182" t="str">
        <f>IFERROR(LOOKUP(2,1/((A_Corridor!$A$5:$A$204&lt;&gt;"")*(A_Corridor!$A$5:$A$204&lt;=$B860)*(A_Corridor!$B$5:$B$204&gt;$B860)*(A_Corridor!$H$5:$H$204&lt;&gt;"")),IF(A_Corridor!$H$5:$H$204="-","",A_Corridor!$H$5:$H$204)),"")</f>
        <v/>
      </c>
      <c r="N860" s="182" t="str">
        <f>IFERROR(LOOKUP(2,1/((A_Corridor!$A$5:$A$204&lt;&gt;"")*(A_Corridor!$A$5:$A$204&lt;=$B860)*(A_Corridor!$B$5:$B$204&gt;$B860)*(A_Corridor!$I$5:$I$204&lt;&gt;"")),IF(A_Corridor!$I$5:$I$204="-","",A_Corridor!$I$5:$I$204)),"")</f>
        <v/>
      </c>
      <c r="O860" s="182" t="str">
        <f>IFERROR(LOOKUP(2,1/((D_Points!$A$5:$A$204&lt;&gt;"")*(D_Points!$A$5:$A$204&gt;=$B860)*(D_Points!$A$5:$A$204&lt;$B860+P_Interval)*(UPPER(TRIM(D_Points!$B$5:$B$204))="PITCHING")*(D_Points!$H$5:$H$204&lt;&gt;"")),D_Points!$H$5:$H$204),"")</f>
        <v/>
      </c>
      <c r="P860" s="181" t="str">
        <f>IFERROR(LOOKUP(2,1/((B_Drainage!$A$5:$A$204&lt;&gt;"")*(B_Drainage!$A$5:$A$204&lt;=$B860)*(B_Drainage!$B$5:$B$204&gt;$B860)*(B_Drainage!$C$5:$C$204&lt;&gt;"")),IF(B_Drainage!$C$5:$C$204="-","",UPPER(B_Drainage!$C$5:$C$204))),"")</f>
        <v/>
      </c>
      <c r="Q860" s="181" t="str">
        <f>IFERROR(LOOKUP(2,1/((B_Drainage!$A$5:$A$204&lt;&gt;"")*(B_Drainage!$A$5:$A$204&lt;=$B860)*(B_Drainage!$B$5:$B$204&gt;$B860)*(B_Drainage!$D$5:$D$204&lt;&gt;"")),IF(B_Drainage!$D$5:$D$204="-","",UPPER(B_Drainage!$D$5:$D$204))),"")</f>
        <v/>
      </c>
      <c r="R860" s="182" t="str">
        <f>IFERROR(LOOKUP(2,1/((D_Points!$A$5:$A$204&lt;&gt;"")*(D_Points!$A$5:$A$204&gt;=$B860)*(D_Points!$A$5:$A$204&lt;$B860+P_Interval)*(RIGHT(UPPER(TRIM(D_Points!$B$5:$B$204)),8)="_CULVERT")),IF(LEFT(UPPER(TRIM(D_Points!$B$5:$B$204)),2)="EX",1,IF(LEFT(UPPER(TRIM(D_Points!$B$5:$B$204)),2)="PR",2,3))),"")</f>
        <v/>
      </c>
      <c r="S860" s="182" t="str">
        <f>IFERROR(LOOKUP(2,1/((D_Points!$A$5:$A$204&lt;&gt;"")*(D_Points!$A$5:$A$204&gt;=$B860)*(D_Points!$A$5:$A$204&lt;$B860+P_Interval)*(RIGHT(UPPER(TRIM(D_Points!$B$5:$B$204)),7)="_BRIDGE")),IF(LEFT(UPPER(TRIM(D_Points!$B$5:$B$204)),2)="EX",1,IF(LEFT(UPPER(TRIM(D_Points!$B$5:$B$204)),2)="PR",2,2))),"")</f>
        <v/>
      </c>
      <c r="T860" s="181" t="str">
        <f>IFERROR(LOOKUP(2,1/((B_Drainage!$A$5:$A$204&lt;&gt;"")*(B_Drainage!$A$5:$A$204&lt;=$B860)*(B_Drainage!$B$5:$B$204&gt;$B860)*(B_Drainage!$E$5:$E$204&lt;&gt;"")),IF(B_Drainage!$E$5:$E$204="-","",1)),"")</f>
        <v/>
      </c>
      <c r="U860" s="181" t="str">
        <f>IFERROR(LOOKUP(2,1/((B_Drainage!$A$5:$A$204&lt;&gt;"")*(B_Drainage!$A$5:$A$204&lt;=$B860)*(B_Drainage!$B$5:$B$204&gt;$B860)*(B_Drainage!$E$5:$E$204&lt;&gt;"")),IF(B_Drainage!$E$5:$E$204="-","",B_Drainage!$E$5:$E$204)),"")</f>
        <v/>
      </c>
      <c r="V860" s="181" t="str">
        <f>IFERROR(LOOKUP(2,1/((B_Drainage!$A$5:$A$204&lt;&gt;"")*(B_Drainage!$A$5:$A$204&lt;=$B860)*(B_Drainage!$B$5:$B$204&gt;$B860)*(B_Drainage!$F$5:$F$204&lt;&gt;"")),IF(B_Drainage!$F$5:$F$204="-","",1)),"")</f>
        <v/>
      </c>
      <c r="W860" s="181" t="str">
        <f>IFERROR(LOOKUP(2,1/((B_Drainage!$A$5:$A$204&lt;&gt;"")*(B_Drainage!$A$5:$A$204&lt;=$B860)*(B_Drainage!$B$5:$B$204&gt;$B860)*(B_Drainage!$F$5:$F$204&lt;&gt;"")),IF(B_Drainage!$F$5:$F$204="-","",B_Drainage!$F$5:$F$204)),"")</f>
        <v/>
      </c>
      <c r="X860" s="181" t="str">
        <f>IFERROR(LOOKUP(2,1/((B_Drainage!$A$5:$A$204&lt;&gt;"")*(B_Drainage!$A$5:$A$204&lt;=$B860)*(B_Drainage!$B$5:$B$204&gt;$B860)*(B_Drainage!$G$5:$G$204&lt;&gt;"")),IF(UPPER(B_Drainage!$G$5:$G$204)="Y",1,"")),"")</f>
        <v/>
      </c>
      <c r="Y860" s="181" t="str">
        <f>IFERROR(LOOKUP(2,1/((B_Drainage!$A$5:$A$204&lt;&gt;"")*(B_Drainage!$A$5:$A$204&lt;=$B860)*(B_Drainage!$B$5:$B$204&gt;$B860)*(B_Drainage!$H$5:$H$204&lt;&gt;"")),IF(UPPER(B_Drainage!$H$5:$H$204)="Y",1,"")),"")</f>
        <v/>
      </c>
      <c r="Z860" s="181" t="str">
        <f>IFERROR(LOOKUP(2,1/((B_Drainage!$A$5:$A$204&lt;&gt;"")*(B_Drainage!$A$5:$A$204&lt;=$B860)*(B_Drainage!$B$5:$B$204&gt;$B860)*(B_Drainage!$I$5:$I$204&lt;&gt;"")),IF(UPPER(B_Drainage!$I$5:$I$204)="Y",1,"")),"")</f>
        <v/>
      </c>
      <c r="AA860" s="181" t="str">
        <f>IFERROR(LOOKUP(2,1/((B_Drainage!$A$5:$A$204&lt;&gt;"")*(B_Drainage!$A$5:$A$204&lt;=$B860)*(B_Drainage!$B$5:$B$204&gt;$B860)*(B_Drainage!$J$5:$J$204&lt;&gt;"")),IF(UPPER(B_Drainage!$J$5:$J$204)="Y",1,"")),"")</f>
        <v/>
      </c>
      <c r="AB860" s="182" t="str">
        <f>IFERROR(LOOKUP(2,1/((B_Drainage!$A$5:$A$204&lt;&gt;"")*(B_Drainage!$A$5:$A$204&lt;=$B860)*(B_Drainage!$B$5:$B$204&gt;$B860)*(B_Drainage!$K$5:$K$204&lt;&gt;"")),IF(B_Drainage!$K$5:$K$204="-","",B_Drainage!$K$5:$K$204)),"")</f>
        <v/>
      </c>
      <c r="AC860" s="182" t="str">
        <f>IFERROR(LOOKUP(2,1/((B_Drainage!$A$5:$A$204&lt;&gt;"")*(B_Drainage!$A$5:$A$204&lt;=$B860)*(B_Drainage!$B$5:$B$204&gt;$B860)*(B_Drainage!$L$5:$L$204&lt;&gt;"")),IF(B_Drainage!$L$5:$L$204="-","",B_Drainage!$L$5:$L$204)),"")</f>
        <v/>
      </c>
      <c r="AD860" s="182" t="str">
        <f>IFERROR(LOOKUP(2,1/((D_Points!$A$5:$A$204&lt;&gt;"")*(D_Points!$A$5:$A$204&gt;=$B860)*(D_Points!$A$5:$A$204&lt;$B860+P_Interval)*(UPPER(TRIM(D_Points!$B$5:$B$204))="TURNOUT_L")*(D_Points!$H$5:$H$204&lt;&gt;"")),D_Points!$H$5:$H$204),"")</f>
        <v/>
      </c>
      <c r="AE860" s="182" t="str">
        <f>IFERROR(LOOKUP(2,1/((D_Points!$A$5:$A$204&lt;&gt;"")*(D_Points!$A$5:$A$204&gt;=$B860)*(D_Points!$A$5:$A$204&lt;$B860+P_Interval)*(UPPER(TRIM(D_Points!$B$5:$B$204))="TURNOUT_R")*(D_Points!$H$5:$H$204&lt;&gt;"")),D_Points!$H$5:$H$204),"")</f>
        <v/>
      </c>
      <c r="AF860" s="181" t="str">
        <f>IFERROR(LOOKUP(2,1/((B_Drainage!$A$5:$A$204&lt;&gt;"")*(B_Drainage!$A$5:$A$204&lt;=$B860)*(B_Drainage!$B$5:$B$204&gt;$B860)*(B_Drainage!$M$5:$M$204&lt;&gt;"")),IF(UPPER(B_Drainage!$M$5:$M$204)="Y",1,"")),"")</f>
        <v/>
      </c>
      <c r="AG860" s="181" t="str">
        <f>IFERROR(LOOKUP(2,1/((B_Drainage!$A$5:$A$204&lt;&gt;"")*(B_Drainage!$A$5:$A$204&lt;=$B860)*(B_Drainage!$B$5:$B$204&gt;$B860)*(B_Drainage!$N$5:$N$204&lt;&gt;"")),IF(UPPER(B_Drainage!$N$5:$N$204)="Y",1,"")),"")</f>
        <v/>
      </c>
      <c r="AH860" s="181" t="str">
        <f t="shared" si="104"/>
        <v/>
      </c>
      <c r="AI860" s="181" t="str">
        <f t="shared" si="105"/>
        <v/>
      </c>
      <c r="AJ860" s="181" t="str">
        <f t="shared" si="106"/>
        <v/>
      </c>
      <c r="AK860" s="181" t="str">
        <f t="shared" si="107"/>
        <v/>
      </c>
      <c r="AL860" s="181" t="str">
        <f t="shared" si="108"/>
        <v/>
      </c>
      <c r="AM860" s="181" t="str">
        <f t="shared" si="109"/>
        <v/>
      </c>
      <c r="AN860" s="181" t="str">
        <f t="shared" si="110"/>
        <v/>
      </c>
      <c r="AO860" s="192" t="str">
        <f t="shared" si="111"/>
        <v/>
      </c>
      <c r="AQ860" t="str">
        <f>IFERROR(LOOKUP(2,1/((C_Pavement!$A$5:$A$204&lt;&gt;"")*(C_Pavement!$A$5:$A$204&lt;=$B860)*(C_Pavement!$B$5:$B$204&gt;$B860)*(C_Pavement!$C$5:$C$204&lt;&gt;"")),ROW(C_Pavement!$C$5:$C$204)-4),"")</f>
        <v/>
      </c>
      <c r="AR860" t="str">
        <f>IF($AQ860="","",UPPER(TRIM(INDEX(C_Pavement!$C$5:$C$204,$AQ860))))</f>
        <v/>
      </c>
      <c r="AS860" t="str">
        <f>IF($AR860="","",IFERROR(MATCH($AR860,E_Rules!$A$5:$A$9,0),""))</f>
        <v/>
      </c>
      <c r="AT860" t="str">
        <f>IF($AQ860="","",IF(INDEX(C_Pavement!$D$5:$D$204,$AQ860)&lt;&gt;"",UPPER(TRIM(INDEX(C_Pavement!$D$5:$D$204,$AQ860))),IF($AS860="","",INDEX(E_Rules!$C$5:$C$9,$AS860))))</f>
        <v/>
      </c>
      <c r="AU860" t="str">
        <f>IF($AQ860="","",IF(INDEX(C_Pavement!$E$5:$E$204,$AQ860)&lt;&gt;"",IF(INDEX(C_Pavement!$E$5:$E$204,$AQ860)="-","",INDEX(C_Pavement!$E$5:$E$204,$AQ860)),IF($AS860="","",INDEX(E_Rules!$D$5:$D$9,$AS860))))</f>
        <v/>
      </c>
      <c r="AV860" t="str">
        <f>IF($AQ860="","",IF(INDEX(C_Pavement!$F$5:$F$204,$AQ860)&lt;&gt;"",IF(INDEX(C_Pavement!$F$5:$F$204,$AQ860)="-","",INDEX(C_Pavement!$F$5:$F$204,$AQ860)),IF($AS860="","",INDEX(E_Rules!$E$5:$E$9,$AS860))))</f>
        <v/>
      </c>
      <c r="AW860" t="str">
        <f>IF($AQ860="","",IF(INDEX(C_Pavement!$G$5:$G$204,$AQ860)&lt;&gt;"",IF(INDEX(C_Pavement!$G$5:$G$204,$AQ860)="-","",INDEX(C_Pavement!$G$5:$G$204,$AQ860)),IF($AS860="","",INDEX(E_Rules!$F$5:$F$9,$AS860))))</f>
        <v/>
      </c>
      <c r="AX860" t="str">
        <f>IF($AQ860="","",IF(INDEX(C_Pavement!$H$5:$H$204,$AQ860)&lt;&gt;"",IF(INDEX(C_Pavement!$H$5:$H$204,$AQ860)="-","",INDEX(C_Pavement!$H$5:$H$204,$AQ860)),IF($AS860="","",INDEX(E_Rules!$G$5:$G$9,$AS860))))</f>
        <v/>
      </c>
      <c r="AY860" t="str">
        <f>IF($AQ860="","",IF(INDEX(C_Pavement!$I$5:$I$204,$AQ860)&lt;&gt;"",IF(INDEX(C_Pavement!$I$5:$I$204,$AQ860)="-","",INDEX(C_Pavement!$I$5:$I$204,$AQ860)),IF($AS860="","",INDEX(E_Rules!$H$5:$H$9,$AS860))))</f>
        <v/>
      </c>
    </row>
    <row r="861" spans="1:51" ht="15.75" customHeight="1" x14ac:dyDescent="0.3">
      <c r="A861" s="189">
        <v>856</v>
      </c>
      <c r="B861" s="180">
        <v>42750</v>
      </c>
      <c r="C861" s="180" t="s">
        <v>1167</v>
      </c>
      <c r="D861" s="181" t="str">
        <f>IFERROR(LOOKUP(2,1/((A_Corridor!$A$5:$A$204&lt;&gt;"")*(A_Corridor!$A$5:$A$204&lt;=$B861)*(A_Corridor!$B$5:$B$204&gt;$B861)*(A_Corridor!$C$5:$C$204&lt;&gt;"")),IF(UPPER(A_Corridor!$C$5:$C$204)="Y",1,"")),"")</f>
        <v/>
      </c>
      <c r="E861" s="181" t="str">
        <f>IFERROR(LOOKUP(2,1/((A_Corridor!$A$5:$A$204&lt;&gt;"")*(A_Corridor!$A$5:$A$204&lt;=$B861)*(A_Corridor!$B$5:$B$204&gt;$B861)*(A_Corridor!$D$5:$D$204&lt;&gt;"")),IF(A_Corridor!$D$5:$D$204="-","",UPPER(A_Corridor!$D$5:$D$204))),"")</f>
        <v/>
      </c>
      <c r="F861" s="181" t="str">
        <f>IFERROR(LOOKUP(2,1/((A_Corridor!$A$5:$A$204&lt;&gt;"")*(A_Corridor!$A$5:$A$204&lt;=$B861)*(A_Corridor!$B$5:$B$204&gt;$B861)*(A_Corridor!$E$5:$E$204&lt;&gt;"")),IF(A_Corridor!$E$5:$E$204="-","",1)),"")</f>
        <v/>
      </c>
      <c r="G861" s="182" t="str">
        <f>IFERROR(LOOKUP(2,1/((A_Corridor!$A$5:$A$204&lt;&gt;"")*(A_Corridor!$A$5:$A$204&lt;=$B861)*(A_Corridor!$B$5:$B$204&gt;$B861)*(A_Corridor!$E$5:$E$204&lt;&gt;"")),IF(A_Corridor!$E$5:$E$204="-","",A_Corridor!$E$5:$E$204)),"")</f>
        <v/>
      </c>
      <c r="H861" s="182" t="str">
        <f>IFERROR(LOOKUP(2,1/((D_Points!$A$5:$A$204&lt;&gt;"")*(D_Points!$A$5:$A$204&gt;=$B861)*(D_Points!$A$5:$A$204&lt;$B861+P_Interval)*(UPPER(TRIM(D_Points!$B$5:$B$204))="GULLY")*(D_Points!$H$5:$H$204&lt;&gt;"")),D_Points!$H$5:$H$204),"")</f>
        <v/>
      </c>
      <c r="I861" s="181" t="str">
        <f>IFERROR(LOOKUP(2,1/((A_Corridor!$A$5:$A$204&lt;&gt;"")*(A_Corridor!$A$5:$A$204&lt;=$B861)*(A_Corridor!$B$5:$B$204&gt;$B861)*(A_Corridor!$F$5:$F$204&lt;&gt;"")),IF(A_Corridor!$F$5:$F$204="-","",1)),"")</f>
        <v/>
      </c>
      <c r="J861" s="182" t="str">
        <f>IFERROR(LOOKUP(2,1/((A_Corridor!$A$5:$A$204&lt;&gt;"")*(A_Corridor!$A$5:$A$204&lt;=$B861)*(A_Corridor!$B$5:$B$204&gt;$B861)*(A_Corridor!$F$5:$F$204&lt;&gt;"")),IF(A_Corridor!$F$5:$F$204="-","",A_Corridor!$F$5:$F$204)),"")</f>
        <v/>
      </c>
      <c r="K861" s="182" t="str">
        <f>IFERROR(LOOKUP(2,1/((A_Corridor!$A$5:$A$204&lt;&gt;"")*(A_Corridor!$A$5:$A$204&lt;=$B861)*(A_Corridor!$B$5:$B$204&gt;$B861)*(A_Corridor!$G$5:$G$204&lt;&gt;"")),IF(A_Corridor!$G$5:$G$204="-","",A_Corridor!$G$5:$G$204)),"")</f>
        <v/>
      </c>
      <c r="L861" s="181" t="str">
        <f>IFERROR(LOOKUP(2,1/((A_Corridor!$A$5:$A$204&lt;&gt;"")*(A_Corridor!$A$5:$A$204&lt;=$B861)*(A_Corridor!$B$5:$B$204&gt;$B861)*(A_Corridor!$H$5:$H$204&lt;&gt;"")),IF(A_Corridor!$H$5:$H$204="-","",1)),"")</f>
        <v/>
      </c>
      <c r="M861" s="182" t="str">
        <f>IFERROR(LOOKUP(2,1/((A_Corridor!$A$5:$A$204&lt;&gt;"")*(A_Corridor!$A$5:$A$204&lt;=$B861)*(A_Corridor!$B$5:$B$204&gt;$B861)*(A_Corridor!$H$5:$H$204&lt;&gt;"")),IF(A_Corridor!$H$5:$H$204="-","",A_Corridor!$H$5:$H$204)),"")</f>
        <v/>
      </c>
      <c r="N861" s="182" t="str">
        <f>IFERROR(LOOKUP(2,1/((A_Corridor!$A$5:$A$204&lt;&gt;"")*(A_Corridor!$A$5:$A$204&lt;=$B861)*(A_Corridor!$B$5:$B$204&gt;$B861)*(A_Corridor!$I$5:$I$204&lt;&gt;"")),IF(A_Corridor!$I$5:$I$204="-","",A_Corridor!$I$5:$I$204)),"")</f>
        <v/>
      </c>
      <c r="O861" s="182" t="str">
        <f>IFERROR(LOOKUP(2,1/((D_Points!$A$5:$A$204&lt;&gt;"")*(D_Points!$A$5:$A$204&gt;=$B861)*(D_Points!$A$5:$A$204&lt;$B861+P_Interval)*(UPPER(TRIM(D_Points!$B$5:$B$204))="PITCHING")*(D_Points!$H$5:$H$204&lt;&gt;"")),D_Points!$H$5:$H$204),"")</f>
        <v/>
      </c>
      <c r="P861" s="181" t="str">
        <f>IFERROR(LOOKUP(2,1/((B_Drainage!$A$5:$A$204&lt;&gt;"")*(B_Drainage!$A$5:$A$204&lt;=$B861)*(B_Drainage!$B$5:$B$204&gt;$B861)*(B_Drainage!$C$5:$C$204&lt;&gt;"")),IF(B_Drainage!$C$5:$C$204="-","",UPPER(B_Drainage!$C$5:$C$204))),"")</f>
        <v/>
      </c>
      <c r="Q861" s="181" t="str">
        <f>IFERROR(LOOKUP(2,1/((B_Drainage!$A$5:$A$204&lt;&gt;"")*(B_Drainage!$A$5:$A$204&lt;=$B861)*(B_Drainage!$B$5:$B$204&gt;$B861)*(B_Drainage!$D$5:$D$204&lt;&gt;"")),IF(B_Drainage!$D$5:$D$204="-","",UPPER(B_Drainage!$D$5:$D$204))),"")</f>
        <v/>
      </c>
      <c r="R861" s="182" t="str">
        <f>IFERROR(LOOKUP(2,1/((D_Points!$A$5:$A$204&lt;&gt;"")*(D_Points!$A$5:$A$204&gt;=$B861)*(D_Points!$A$5:$A$204&lt;$B861+P_Interval)*(RIGHT(UPPER(TRIM(D_Points!$B$5:$B$204)),8)="_CULVERT")),IF(LEFT(UPPER(TRIM(D_Points!$B$5:$B$204)),2)="EX",1,IF(LEFT(UPPER(TRIM(D_Points!$B$5:$B$204)),2)="PR",2,3))),"")</f>
        <v/>
      </c>
      <c r="S861" s="182" t="str">
        <f>IFERROR(LOOKUP(2,1/((D_Points!$A$5:$A$204&lt;&gt;"")*(D_Points!$A$5:$A$204&gt;=$B861)*(D_Points!$A$5:$A$204&lt;$B861+P_Interval)*(RIGHT(UPPER(TRIM(D_Points!$B$5:$B$204)),7)="_BRIDGE")),IF(LEFT(UPPER(TRIM(D_Points!$B$5:$B$204)),2)="EX",1,IF(LEFT(UPPER(TRIM(D_Points!$B$5:$B$204)),2)="PR",2,2))),"")</f>
        <v/>
      </c>
      <c r="T861" s="181" t="str">
        <f>IFERROR(LOOKUP(2,1/((B_Drainage!$A$5:$A$204&lt;&gt;"")*(B_Drainage!$A$5:$A$204&lt;=$B861)*(B_Drainage!$B$5:$B$204&gt;$B861)*(B_Drainage!$E$5:$E$204&lt;&gt;"")),IF(B_Drainage!$E$5:$E$204="-","",1)),"")</f>
        <v/>
      </c>
      <c r="U861" s="181" t="str">
        <f>IFERROR(LOOKUP(2,1/((B_Drainage!$A$5:$A$204&lt;&gt;"")*(B_Drainage!$A$5:$A$204&lt;=$B861)*(B_Drainage!$B$5:$B$204&gt;$B861)*(B_Drainage!$E$5:$E$204&lt;&gt;"")),IF(B_Drainage!$E$5:$E$204="-","",B_Drainage!$E$5:$E$204)),"")</f>
        <v/>
      </c>
      <c r="V861" s="181" t="str">
        <f>IFERROR(LOOKUP(2,1/((B_Drainage!$A$5:$A$204&lt;&gt;"")*(B_Drainage!$A$5:$A$204&lt;=$B861)*(B_Drainage!$B$5:$B$204&gt;$B861)*(B_Drainage!$F$5:$F$204&lt;&gt;"")),IF(B_Drainage!$F$5:$F$204="-","",1)),"")</f>
        <v/>
      </c>
      <c r="W861" s="181" t="str">
        <f>IFERROR(LOOKUP(2,1/((B_Drainage!$A$5:$A$204&lt;&gt;"")*(B_Drainage!$A$5:$A$204&lt;=$B861)*(B_Drainage!$B$5:$B$204&gt;$B861)*(B_Drainage!$F$5:$F$204&lt;&gt;"")),IF(B_Drainage!$F$5:$F$204="-","",B_Drainage!$F$5:$F$204)),"")</f>
        <v/>
      </c>
      <c r="X861" s="181" t="str">
        <f>IFERROR(LOOKUP(2,1/((B_Drainage!$A$5:$A$204&lt;&gt;"")*(B_Drainage!$A$5:$A$204&lt;=$B861)*(B_Drainage!$B$5:$B$204&gt;$B861)*(B_Drainage!$G$5:$G$204&lt;&gt;"")),IF(UPPER(B_Drainage!$G$5:$G$204)="Y",1,"")),"")</f>
        <v/>
      </c>
      <c r="Y861" s="181" t="str">
        <f>IFERROR(LOOKUP(2,1/((B_Drainage!$A$5:$A$204&lt;&gt;"")*(B_Drainage!$A$5:$A$204&lt;=$B861)*(B_Drainage!$B$5:$B$204&gt;$B861)*(B_Drainage!$H$5:$H$204&lt;&gt;"")),IF(UPPER(B_Drainage!$H$5:$H$204)="Y",1,"")),"")</f>
        <v/>
      </c>
      <c r="Z861" s="181" t="str">
        <f>IFERROR(LOOKUP(2,1/((B_Drainage!$A$5:$A$204&lt;&gt;"")*(B_Drainage!$A$5:$A$204&lt;=$B861)*(B_Drainage!$B$5:$B$204&gt;$B861)*(B_Drainage!$I$5:$I$204&lt;&gt;"")),IF(UPPER(B_Drainage!$I$5:$I$204)="Y",1,"")),"")</f>
        <v/>
      </c>
      <c r="AA861" s="181" t="str">
        <f>IFERROR(LOOKUP(2,1/((B_Drainage!$A$5:$A$204&lt;&gt;"")*(B_Drainage!$A$5:$A$204&lt;=$B861)*(B_Drainage!$B$5:$B$204&gt;$B861)*(B_Drainage!$J$5:$J$204&lt;&gt;"")),IF(UPPER(B_Drainage!$J$5:$J$204)="Y",1,"")),"")</f>
        <v/>
      </c>
      <c r="AB861" s="182" t="str">
        <f>IFERROR(LOOKUP(2,1/((B_Drainage!$A$5:$A$204&lt;&gt;"")*(B_Drainage!$A$5:$A$204&lt;=$B861)*(B_Drainage!$B$5:$B$204&gt;$B861)*(B_Drainage!$K$5:$K$204&lt;&gt;"")),IF(B_Drainage!$K$5:$K$204="-","",B_Drainage!$K$5:$K$204)),"")</f>
        <v/>
      </c>
      <c r="AC861" s="182" t="str">
        <f>IFERROR(LOOKUP(2,1/((B_Drainage!$A$5:$A$204&lt;&gt;"")*(B_Drainage!$A$5:$A$204&lt;=$B861)*(B_Drainage!$B$5:$B$204&gt;$B861)*(B_Drainage!$L$5:$L$204&lt;&gt;"")),IF(B_Drainage!$L$5:$L$204="-","",B_Drainage!$L$5:$L$204)),"")</f>
        <v/>
      </c>
      <c r="AD861" s="182" t="str">
        <f>IFERROR(LOOKUP(2,1/((D_Points!$A$5:$A$204&lt;&gt;"")*(D_Points!$A$5:$A$204&gt;=$B861)*(D_Points!$A$5:$A$204&lt;$B861+P_Interval)*(UPPER(TRIM(D_Points!$B$5:$B$204))="TURNOUT_L")*(D_Points!$H$5:$H$204&lt;&gt;"")),D_Points!$H$5:$H$204),"")</f>
        <v/>
      </c>
      <c r="AE861" s="182" t="str">
        <f>IFERROR(LOOKUP(2,1/((D_Points!$A$5:$A$204&lt;&gt;"")*(D_Points!$A$5:$A$204&gt;=$B861)*(D_Points!$A$5:$A$204&lt;$B861+P_Interval)*(UPPER(TRIM(D_Points!$B$5:$B$204))="TURNOUT_R")*(D_Points!$H$5:$H$204&lt;&gt;"")),D_Points!$H$5:$H$204),"")</f>
        <v/>
      </c>
      <c r="AF861" s="181" t="str">
        <f>IFERROR(LOOKUP(2,1/((B_Drainage!$A$5:$A$204&lt;&gt;"")*(B_Drainage!$A$5:$A$204&lt;=$B861)*(B_Drainage!$B$5:$B$204&gt;$B861)*(B_Drainage!$M$5:$M$204&lt;&gt;"")),IF(UPPER(B_Drainage!$M$5:$M$204)="Y",1,"")),"")</f>
        <v/>
      </c>
      <c r="AG861" s="181" t="str">
        <f>IFERROR(LOOKUP(2,1/((B_Drainage!$A$5:$A$204&lt;&gt;"")*(B_Drainage!$A$5:$A$204&lt;=$B861)*(B_Drainage!$B$5:$B$204&gt;$B861)*(B_Drainage!$N$5:$N$204&lt;&gt;"")),IF(UPPER(B_Drainage!$N$5:$N$204)="Y",1,"")),"")</f>
        <v/>
      </c>
      <c r="AH861" s="181" t="str">
        <f t="shared" si="104"/>
        <v/>
      </c>
      <c r="AI861" s="181" t="str">
        <f t="shared" si="105"/>
        <v/>
      </c>
      <c r="AJ861" s="181" t="str">
        <f t="shared" si="106"/>
        <v/>
      </c>
      <c r="AK861" s="181" t="str">
        <f t="shared" si="107"/>
        <v/>
      </c>
      <c r="AL861" s="181" t="str">
        <f t="shared" si="108"/>
        <v/>
      </c>
      <c r="AM861" s="181" t="str">
        <f t="shared" si="109"/>
        <v/>
      </c>
      <c r="AN861" s="181" t="str">
        <f t="shared" si="110"/>
        <v/>
      </c>
      <c r="AO861" s="192" t="str">
        <f t="shared" si="111"/>
        <v/>
      </c>
      <c r="AQ861" t="str">
        <f>IFERROR(LOOKUP(2,1/((C_Pavement!$A$5:$A$204&lt;&gt;"")*(C_Pavement!$A$5:$A$204&lt;=$B861)*(C_Pavement!$B$5:$B$204&gt;$B861)*(C_Pavement!$C$5:$C$204&lt;&gt;"")),ROW(C_Pavement!$C$5:$C$204)-4),"")</f>
        <v/>
      </c>
      <c r="AR861" t="str">
        <f>IF($AQ861="","",UPPER(TRIM(INDEX(C_Pavement!$C$5:$C$204,$AQ861))))</f>
        <v/>
      </c>
      <c r="AS861" t="str">
        <f>IF($AR861="","",IFERROR(MATCH($AR861,E_Rules!$A$5:$A$9,0),""))</f>
        <v/>
      </c>
      <c r="AT861" t="str">
        <f>IF($AQ861="","",IF(INDEX(C_Pavement!$D$5:$D$204,$AQ861)&lt;&gt;"",UPPER(TRIM(INDEX(C_Pavement!$D$5:$D$204,$AQ861))),IF($AS861="","",INDEX(E_Rules!$C$5:$C$9,$AS861))))</f>
        <v/>
      </c>
      <c r="AU861" t="str">
        <f>IF($AQ861="","",IF(INDEX(C_Pavement!$E$5:$E$204,$AQ861)&lt;&gt;"",IF(INDEX(C_Pavement!$E$5:$E$204,$AQ861)="-","",INDEX(C_Pavement!$E$5:$E$204,$AQ861)),IF($AS861="","",INDEX(E_Rules!$D$5:$D$9,$AS861))))</f>
        <v/>
      </c>
      <c r="AV861" t="str">
        <f>IF($AQ861="","",IF(INDEX(C_Pavement!$F$5:$F$204,$AQ861)&lt;&gt;"",IF(INDEX(C_Pavement!$F$5:$F$204,$AQ861)="-","",INDEX(C_Pavement!$F$5:$F$204,$AQ861)),IF($AS861="","",INDEX(E_Rules!$E$5:$E$9,$AS861))))</f>
        <v/>
      </c>
      <c r="AW861" t="str">
        <f>IF($AQ861="","",IF(INDEX(C_Pavement!$G$5:$G$204,$AQ861)&lt;&gt;"",IF(INDEX(C_Pavement!$G$5:$G$204,$AQ861)="-","",INDEX(C_Pavement!$G$5:$G$204,$AQ861)),IF($AS861="","",INDEX(E_Rules!$F$5:$F$9,$AS861))))</f>
        <v/>
      </c>
      <c r="AX861" t="str">
        <f>IF($AQ861="","",IF(INDEX(C_Pavement!$H$5:$H$204,$AQ861)&lt;&gt;"",IF(INDEX(C_Pavement!$H$5:$H$204,$AQ861)="-","",INDEX(C_Pavement!$H$5:$H$204,$AQ861)),IF($AS861="","",INDEX(E_Rules!$G$5:$G$9,$AS861))))</f>
        <v/>
      </c>
      <c r="AY861" t="str">
        <f>IF($AQ861="","",IF(INDEX(C_Pavement!$I$5:$I$204,$AQ861)&lt;&gt;"",IF(INDEX(C_Pavement!$I$5:$I$204,$AQ861)="-","",INDEX(C_Pavement!$I$5:$I$204,$AQ861)),IF($AS861="","",INDEX(E_Rules!$H$5:$H$9,$AS861))))</f>
        <v/>
      </c>
    </row>
    <row r="862" spans="1:51" ht="15.75" customHeight="1" x14ac:dyDescent="0.3">
      <c r="A862" s="189">
        <v>857</v>
      </c>
      <c r="B862" s="180">
        <v>42800</v>
      </c>
      <c r="C862" s="180" t="s">
        <v>1168</v>
      </c>
      <c r="D862" s="181" t="str">
        <f>IFERROR(LOOKUP(2,1/((A_Corridor!$A$5:$A$204&lt;&gt;"")*(A_Corridor!$A$5:$A$204&lt;=$B862)*(A_Corridor!$B$5:$B$204&gt;$B862)*(A_Corridor!$C$5:$C$204&lt;&gt;"")),IF(UPPER(A_Corridor!$C$5:$C$204)="Y",1,"")),"")</f>
        <v/>
      </c>
      <c r="E862" s="181" t="str">
        <f>IFERROR(LOOKUP(2,1/((A_Corridor!$A$5:$A$204&lt;&gt;"")*(A_Corridor!$A$5:$A$204&lt;=$B862)*(A_Corridor!$B$5:$B$204&gt;$B862)*(A_Corridor!$D$5:$D$204&lt;&gt;"")),IF(A_Corridor!$D$5:$D$204="-","",UPPER(A_Corridor!$D$5:$D$204))),"")</f>
        <v/>
      </c>
      <c r="F862" s="181" t="str">
        <f>IFERROR(LOOKUP(2,1/((A_Corridor!$A$5:$A$204&lt;&gt;"")*(A_Corridor!$A$5:$A$204&lt;=$B862)*(A_Corridor!$B$5:$B$204&gt;$B862)*(A_Corridor!$E$5:$E$204&lt;&gt;"")),IF(A_Corridor!$E$5:$E$204="-","",1)),"")</f>
        <v/>
      </c>
      <c r="G862" s="182" t="str">
        <f>IFERROR(LOOKUP(2,1/((A_Corridor!$A$5:$A$204&lt;&gt;"")*(A_Corridor!$A$5:$A$204&lt;=$B862)*(A_Corridor!$B$5:$B$204&gt;$B862)*(A_Corridor!$E$5:$E$204&lt;&gt;"")),IF(A_Corridor!$E$5:$E$204="-","",A_Corridor!$E$5:$E$204)),"")</f>
        <v/>
      </c>
      <c r="H862" s="182" t="str">
        <f>IFERROR(LOOKUP(2,1/((D_Points!$A$5:$A$204&lt;&gt;"")*(D_Points!$A$5:$A$204&gt;=$B862)*(D_Points!$A$5:$A$204&lt;$B862+P_Interval)*(UPPER(TRIM(D_Points!$B$5:$B$204))="GULLY")*(D_Points!$H$5:$H$204&lt;&gt;"")),D_Points!$H$5:$H$204),"")</f>
        <v/>
      </c>
      <c r="I862" s="181" t="str">
        <f>IFERROR(LOOKUP(2,1/((A_Corridor!$A$5:$A$204&lt;&gt;"")*(A_Corridor!$A$5:$A$204&lt;=$B862)*(A_Corridor!$B$5:$B$204&gt;$B862)*(A_Corridor!$F$5:$F$204&lt;&gt;"")),IF(A_Corridor!$F$5:$F$204="-","",1)),"")</f>
        <v/>
      </c>
      <c r="J862" s="182" t="str">
        <f>IFERROR(LOOKUP(2,1/((A_Corridor!$A$5:$A$204&lt;&gt;"")*(A_Corridor!$A$5:$A$204&lt;=$B862)*(A_Corridor!$B$5:$B$204&gt;$B862)*(A_Corridor!$F$5:$F$204&lt;&gt;"")),IF(A_Corridor!$F$5:$F$204="-","",A_Corridor!$F$5:$F$204)),"")</f>
        <v/>
      </c>
      <c r="K862" s="182" t="str">
        <f>IFERROR(LOOKUP(2,1/((A_Corridor!$A$5:$A$204&lt;&gt;"")*(A_Corridor!$A$5:$A$204&lt;=$B862)*(A_Corridor!$B$5:$B$204&gt;$B862)*(A_Corridor!$G$5:$G$204&lt;&gt;"")),IF(A_Corridor!$G$5:$G$204="-","",A_Corridor!$G$5:$G$204)),"")</f>
        <v/>
      </c>
      <c r="L862" s="181" t="str">
        <f>IFERROR(LOOKUP(2,1/((A_Corridor!$A$5:$A$204&lt;&gt;"")*(A_Corridor!$A$5:$A$204&lt;=$B862)*(A_Corridor!$B$5:$B$204&gt;$B862)*(A_Corridor!$H$5:$H$204&lt;&gt;"")),IF(A_Corridor!$H$5:$H$204="-","",1)),"")</f>
        <v/>
      </c>
      <c r="M862" s="182" t="str">
        <f>IFERROR(LOOKUP(2,1/((A_Corridor!$A$5:$A$204&lt;&gt;"")*(A_Corridor!$A$5:$A$204&lt;=$B862)*(A_Corridor!$B$5:$B$204&gt;$B862)*(A_Corridor!$H$5:$H$204&lt;&gt;"")),IF(A_Corridor!$H$5:$H$204="-","",A_Corridor!$H$5:$H$204)),"")</f>
        <v/>
      </c>
      <c r="N862" s="182" t="str">
        <f>IFERROR(LOOKUP(2,1/((A_Corridor!$A$5:$A$204&lt;&gt;"")*(A_Corridor!$A$5:$A$204&lt;=$B862)*(A_Corridor!$B$5:$B$204&gt;$B862)*(A_Corridor!$I$5:$I$204&lt;&gt;"")),IF(A_Corridor!$I$5:$I$204="-","",A_Corridor!$I$5:$I$204)),"")</f>
        <v/>
      </c>
      <c r="O862" s="182" t="str">
        <f>IFERROR(LOOKUP(2,1/((D_Points!$A$5:$A$204&lt;&gt;"")*(D_Points!$A$5:$A$204&gt;=$B862)*(D_Points!$A$5:$A$204&lt;$B862+P_Interval)*(UPPER(TRIM(D_Points!$B$5:$B$204))="PITCHING")*(D_Points!$H$5:$H$204&lt;&gt;"")),D_Points!$H$5:$H$204),"")</f>
        <v/>
      </c>
      <c r="P862" s="181" t="str">
        <f>IFERROR(LOOKUP(2,1/((B_Drainage!$A$5:$A$204&lt;&gt;"")*(B_Drainage!$A$5:$A$204&lt;=$B862)*(B_Drainage!$B$5:$B$204&gt;$B862)*(B_Drainage!$C$5:$C$204&lt;&gt;"")),IF(B_Drainage!$C$5:$C$204="-","",UPPER(B_Drainage!$C$5:$C$204))),"")</f>
        <v/>
      </c>
      <c r="Q862" s="181" t="str">
        <f>IFERROR(LOOKUP(2,1/((B_Drainage!$A$5:$A$204&lt;&gt;"")*(B_Drainage!$A$5:$A$204&lt;=$B862)*(B_Drainage!$B$5:$B$204&gt;$B862)*(B_Drainage!$D$5:$D$204&lt;&gt;"")),IF(B_Drainage!$D$5:$D$204="-","",UPPER(B_Drainage!$D$5:$D$204))),"")</f>
        <v/>
      </c>
      <c r="R862" s="182" t="str">
        <f>IFERROR(LOOKUP(2,1/((D_Points!$A$5:$A$204&lt;&gt;"")*(D_Points!$A$5:$A$204&gt;=$B862)*(D_Points!$A$5:$A$204&lt;$B862+P_Interval)*(RIGHT(UPPER(TRIM(D_Points!$B$5:$B$204)),8)="_CULVERT")),IF(LEFT(UPPER(TRIM(D_Points!$B$5:$B$204)),2)="EX",1,IF(LEFT(UPPER(TRIM(D_Points!$B$5:$B$204)),2)="PR",2,3))),"")</f>
        <v/>
      </c>
      <c r="S862" s="182" t="str">
        <f>IFERROR(LOOKUP(2,1/((D_Points!$A$5:$A$204&lt;&gt;"")*(D_Points!$A$5:$A$204&gt;=$B862)*(D_Points!$A$5:$A$204&lt;$B862+P_Interval)*(RIGHT(UPPER(TRIM(D_Points!$B$5:$B$204)),7)="_BRIDGE")),IF(LEFT(UPPER(TRIM(D_Points!$B$5:$B$204)),2)="EX",1,IF(LEFT(UPPER(TRIM(D_Points!$B$5:$B$204)),2)="PR",2,2))),"")</f>
        <v/>
      </c>
      <c r="T862" s="181" t="str">
        <f>IFERROR(LOOKUP(2,1/((B_Drainage!$A$5:$A$204&lt;&gt;"")*(B_Drainage!$A$5:$A$204&lt;=$B862)*(B_Drainage!$B$5:$B$204&gt;$B862)*(B_Drainage!$E$5:$E$204&lt;&gt;"")),IF(B_Drainage!$E$5:$E$204="-","",1)),"")</f>
        <v/>
      </c>
      <c r="U862" s="181" t="str">
        <f>IFERROR(LOOKUP(2,1/((B_Drainage!$A$5:$A$204&lt;&gt;"")*(B_Drainage!$A$5:$A$204&lt;=$B862)*(B_Drainage!$B$5:$B$204&gt;$B862)*(B_Drainage!$E$5:$E$204&lt;&gt;"")),IF(B_Drainage!$E$5:$E$204="-","",B_Drainage!$E$5:$E$204)),"")</f>
        <v/>
      </c>
      <c r="V862" s="181" t="str">
        <f>IFERROR(LOOKUP(2,1/((B_Drainage!$A$5:$A$204&lt;&gt;"")*(B_Drainage!$A$5:$A$204&lt;=$B862)*(B_Drainage!$B$5:$B$204&gt;$B862)*(B_Drainage!$F$5:$F$204&lt;&gt;"")),IF(B_Drainage!$F$5:$F$204="-","",1)),"")</f>
        <v/>
      </c>
      <c r="W862" s="181" t="str">
        <f>IFERROR(LOOKUP(2,1/((B_Drainage!$A$5:$A$204&lt;&gt;"")*(B_Drainage!$A$5:$A$204&lt;=$B862)*(B_Drainage!$B$5:$B$204&gt;$B862)*(B_Drainage!$F$5:$F$204&lt;&gt;"")),IF(B_Drainage!$F$5:$F$204="-","",B_Drainage!$F$5:$F$204)),"")</f>
        <v/>
      </c>
      <c r="X862" s="181" t="str">
        <f>IFERROR(LOOKUP(2,1/((B_Drainage!$A$5:$A$204&lt;&gt;"")*(B_Drainage!$A$5:$A$204&lt;=$B862)*(B_Drainage!$B$5:$B$204&gt;$B862)*(B_Drainage!$G$5:$G$204&lt;&gt;"")),IF(UPPER(B_Drainage!$G$5:$G$204)="Y",1,"")),"")</f>
        <v/>
      </c>
      <c r="Y862" s="181" t="str">
        <f>IFERROR(LOOKUP(2,1/((B_Drainage!$A$5:$A$204&lt;&gt;"")*(B_Drainage!$A$5:$A$204&lt;=$B862)*(B_Drainage!$B$5:$B$204&gt;$B862)*(B_Drainage!$H$5:$H$204&lt;&gt;"")),IF(UPPER(B_Drainage!$H$5:$H$204)="Y",1,"")),"")</f>
        <v/>
      </c>
      <c r="Z862" s="181" t="str">
        <f>IFERROR(LOOKUP(2,1/((B_Drainage!$A$5:$A$204&lt;&gt;"")*(B_Drainage!$A$5:$A$204&lt;=$B862)*(B_Drainage!$B$5:$B$204&gt;$B862)*(B_Drainage!$I$5:$I$204&lt;&gt;"")),IF(UPPER(B_Drainage!$I$5:$I$204)="Y",1,"")),"")</f>
        <v/>
      </c>
      <c r="AA862" s="181" t="str">
        <f>IFERROR(LOOKUP(2,1/((B_Drainage!$A$5:$A$204&lt;&gt;"")*(B_Drainage!$A$5:$A$204&lt;=$B862)*(B_Drainage!$B$5:$B$204&gt;$B862)*(B_Drainage!$J$5:$J$204&lt;&gt;"")),IF(UPPER(B_Drainage!$J$5:$J$204)="Y",1,"")),"")</f>
        <v/>
      </c>
      <c r="AB862" s="182" t="str">
        <f>IFERROR(LOOKUP(2,1/((B_Drainage!$A$5:$A$204&lt;&gt;"")*(B_Drainage!$A$5:$A$204&lt;=$B862)*(B_Drainage!$B$5:$B$204&gt;$B862)*(B_Drainage!$K$5:$K$204&lt;&gt;"")),IF(B_Drainage!$K$5:$K$204="-","",B_Drainage!$K$5:$K$204)),"")</f>
        <v/>
      </c>
      <c r="AC862" s="182" t="str">
        <f>IFERROR(LOOKUP(2,1/((B_Drainage!$A$5:$A$204&lt;&gt;"")*(B_Drainage!$A$5:$A$204&lt;=$B862)*(B_Drainage!$B$5:$B$204&gt;$B862)*(B_Drainage!$L$5:$L$204&lt;&gt;"")),IF(B_Drainage!$L$5:$L$204="-","",B_Drainage!$L$5:$L$204)),"")</f>
        <v/>
      </c>
      <c r="AD862" s="182" t="str">
        <f>IFERROR(LOOKUP(2,1/((D_Points!$A$5:$A$204&lt;&gt;"")*(D_Points!$A$5:$A$204&gt;=$B862)*(D_Points!$A$5:$A$204&lt;$B862+P_Interval)*(UPPER(TRIM(D_Points!$B$5:$B$204))="TURNOUT_L")*(D_Points!$H$5:$H$204&lt;&gt;"")),D_Points!$H$5:$H$204),"")</f>
        <v/>
      </c>
      <c r="AE862" s="182" t="str">
        <f>IFERROR(LOOKUP(2,1/((D_Points!$A$5:$A$204&lt;&gt;"")*(D_Points!$A$5:$A$204&gt;=$B862)*(D_Points!$A$5:$A$204&lt;$B862+P_Interval)*(UPPER(TRIM(D_Points!$B$5:$B$204))="TURNOUT_R")*(D_Points!$H$5:$H$204&lt;&gt;"")),D_Points!$H$5:$H$204),"")</f>
        <v/>
      </c>
      <c r="AF862" s="181" t="str">
        <f>IFERROR(LOOKUP(2,1/((B_Drainage!$A$5:$A$204&lt;&gt;"")*(B_Drainage!$A$5:$A$204&lt;=$B862)*(B_Drainage!$B$5:$B$204&gt;$B862)*(B_Drainage!$M$5:$M$204&lt;&gt;"")),IF(UPPER(B_Drainage!$M$5:$M$204)="Y",1,"")),"")</f>
        <v/>
      </c>
      <c r="AG862" s="181" t="str">
        <f>IFERROR(LOOKUP(2,1/((B_Drainage!$A$5:$A$204&lt;&gt;"")*(B_Drainage!$A$5:$A$204&lt;=$B862)*(B_Drainage!$B$5:$B$204&gt;$B862)*(B_Drainage!$N$5:$N$204&lt;&gt;"")),IF(UPPER(B_Drainage!$N$5:$N$204)="Y",1,"")),"")</f>
        <v/>
      </c>
      <c r="AH862" s="181" t="str">
        <f t="shared" si="104"/>
        <v/>
      </c>
      <c r="AI862" s="181" t="str">
        <f t="shared" si="105"/>
        <v/>
      </c>
      <c r="AJ862" s="181" t="str">
        <f t="shared" si="106"/>
        <v/>
      </c>
      <c r="AK862" s="181" t="str">
        <f t="shared" si="107"/>
        <v/>
      </c>
      <c r="AL862" s="181" t="str">
        <f t="shared" si="108"/>
        <v/>
      </c>
      <c r="AM862" s="181" t="str">
        <f t="shared" si="109"/>
        <v/>
      </c>
      <c r="AN862" s="181" t="str">
        <f t="shared" si="110"/>
        <v/>
      </c>
      <c r="AO862" s="192" t="str">
        <f t="shared" si="111"/>
        <v/>
      </c>
      <c r="AQ862" t="str">
        <f>IFERROR(LOOKUP(2,1/((C_Pavement!$A$5:$A$204&lt;&gt;"")*(C_Pavement!$A$5:$A$204&lt;=$B862)*(C_Pavement!$B$5:$B$204&gt;$B862)*(C_Pavement!$C$5:$C$204&lt;&gt;"")),ROW(C_Pavement!$C$5:$C$204)-4),"")</f>
        <v/>
      </c>
      <c r="AR862" t="str">
        <f>IF($AQ862="","",UPPER(TRIM(INDEX(C_Pavement!$C$5:$C$204,$AQ862))))</f>
        <v/>
      </c>
      <c r="AS862" t="str">
        <f>IF($AR862="","",IFERROR(MATCH($AR862,E_Rules!$A$5:$A$9,0),""))</f>
        <v/>
      </c>
      <c r="AT862" t="str">
        <f>IF($AQ862="","",IF(INDEX(C_Pavement!$D$5:$D$204,$AQ862)&lt;&gt;"",UPPER(TRIM(INDEX(C_Pavement!$D$5:$D$204,$AQ862))),IF($AS862="","",INDEX(E_Rules!$C$5:$C$9,$AS862))))</f>
        <v/>
      </c>
      <c r="AU862" t="str">
        <f>IF($AQ862="","",IF(INDEX(C_Pavement!$E$5:$E$204,$AQ862)&lt;&gt;"",IF(INDEX(C_Pavement!$E$5:$E$204,$AQ862)="-","",INDEX(C_Pavement!$E$5:$E$204,$AQ862)),IF($AS862="","",INDEX(E_Rules!$D$5:$D$9,$AS862))))</f>
        <v/>
      </c>
      <c r="AV862" t="str">
        <f>IF($AQ862="","",IF(INDEX(C_Pavement!$F$5:$F$204,$AQ862)&lt;&gt;"",IF(INDEX(C_Pavement!$F$5:$F$204,$AQ862)="-","",INDEX(C_Pavement!$F$5:$F$204,$AQ862)),IF($AS862="","",INDEX(E_Rules!$E$5:$E$9,$AS862))))</f>
        <v/>
      </c>
      <c r="AW862" t="str">
        <f>IF($AQ862="","",IF(INDEX(C_Pavement!$G$5:$G$204,$AQ862)&lt;&gt;"",IF(INDEX(C_Pavement!$G$5:$G$204,$AQ862)="-","",INDEX(C_Pavement!$G$5:$G$204,$AQ862)),IF($AS862="","",INDEX(E_Rules!$F$5:$F$9,$AS862))))</f>
        <v/>
      </c>
      <c r="AX862" t="str">
        <f>IF($AQ862="","",IF(INDEX(C_Pavement!$H$5:$H$204,$AQ862)&lt;&gt;"",IF(INDEX(C_Pavement!$H$5:$H$204,$AQ862)="-","",INDEX(C_Pavement!$H$5:$H$204,$AQ862)),IF($AS862="","",INDEX(E_Rules!$G$5:$G$9,$AS862))))</f>
        <v/>
      </c>
      <c r="AY862" t="str">
        <f>IF($AQ862="","",IF(INDEX(C_Pavement!$I$5:$I$204,$AQ862)&lt;&gt;"",IF(INDEX(C_Pavement!$I$5:$I$204,$AQ862)="-","",INDEX(C_Pavement!$I$5:$I$204,$AQ862)),IF($AS862="","",INDEX(E_Rules!$H$5:$H$9,$AS862))))</f>
        <v/>
      </c>
    </row>
    <row r="863" spans="1:51" ht="15.75" customHeight="1" x14ac:dyDescent="0.3">
      <c r="A863" s="189">
        <v>858</v>
      </c>
      <c r="B863" s="180">
        <v>42850</v>
      </c>
      <c r="C863" s="180" t="s">
        <v>1169</v>
      </c>
      <c r="D863" s="181" t="str">
        <f>IFERROR(LOOKUP(2,1/((A_Corridor!$A$5:$A$204&lt;&gt;"")*(A_Corridor!$A$5:$A$204&lt;=$B863)*(A_Corridor!$B$5:$B$204&gt;$B863)*(A_Corridor!$C$5:$C$204&lt;&gt;"")),IF(UPPER(A_Corridor!$C$5:$C$204)="Y",1,"")),"")</f>
        <v/>
      </c>
      <c r="E863" s="181" t="str">
        <f>IFERROR(LOOKUP(2,1/((A_Corridor!$A$5:$A$204&lt;&gt;"")*(A_Corridor!$A$5:$A$204&lt;=$B863)*(A_Corridor!$B$5:$B$204&gt;$B863)*(A_Corridor!$D$5:$D$204&lt;&gt;"")),IF(A_Corridor!$D$5:$D$204="-","",UPPER(A_Corridor!$D$5:$D$204))),"")</f>
        <v/>
      </c>
      <c r="F863" s="181" t="str">
        <f>IFERROR(LOOKUP(2,1/((A_Corridor!$A$5:$A$204&lt;&gt;"")*(A_Corridor!$A$5:$A$204&lt;=$B863)*(A_Corridor!$B$5:$B$204&gt;$B863)*(A_Corridor!$E$5:$E$204&lt;&gt;"")),IF(A_Corridor!$E$5:$E$204="-","",1)),"")</f>
        <v/>
      </c>
      <c r="G863" s="182" t="str">
        <f>IFERROR(LOOKUP(2,1/((A_Corridor!$A$5:$A$204&lt;&gt;"")*(A_Corridor!$A$5:$A$204&lt;=$B863)*(A_Corridor!$B$5:$B$204&gt;$B863)*(A_Corridor!$E$5:$E$204&lt;&gt;"")),IF(A_Corridor!$E$5:$E$204="-","",A_Corridor!$E$5:$E$204)),"")</f>
        <v/>
      </c>
      <c r="H863" s="182" t="str">
        <f>IFERROR(LOOKUP(2,1/((D_Points!$A$5:$A$204&lt;&gt;"")*(D_Points!$A$5:$A$204&gt;=$B863)*(D_Points!$A$5:$A$204&lt;$B863+P_Interval)*(UPPER(TRIM(D_Points!$B$5:$B$204))="GULLY")*(D_Points!$H$5:$H$204&lt;&gt;"")),D_Points!$H$5:$H$204),"")</f>
        <v/>
      </c>
      <c r="I863" s="181" t="str">
        <f>IFERROR(LOOKUP(2,1/((A_Corridor!$A$5:$A$204&lt;&gt;"")*(A_Corridor!$A$5:$A$204&lt;=$B863)*(A_Corridor!$B$5:$B$204&gt;$B863)*(A_Corridor!$F$5:$F$204&lt;&gt;"")),IF(A_Corridor!$F$5:$F$204="-","",1)),"")</f>
        <v/>
      </c>
      <c r="J863" s="182" t="str">
        <f>IFERROR(LOOKUP(2,1/((A_Corridor!$A$5:$A$204&lt;&gt;"")*(A_Corridor!$A$5:$A$204&lt;=$B863)*(A_Corridor!$B$5:$B$204&gt;$B863)*(A_Corridor!$F$5:$F$204&lt;&gt;"")),IF(A_Corridor!$F$5:$F$204="-","",A_Corridor!$F$5:$F$204)),"")</f>
        <v/>
      </c>
      <c r="K863" s="182" t="str">
        <f>IFERROR(LOOKUP(2,1/((A_Corridor!$A$5:$A$204&lt;&gt;"")*(A_Corridor!$A$5:$A$204&lt;=$B863)*(A_Corridor!$B$5:$B$204&gt;$B863)*(A_Corridor!$G$5:$G$204&lt;&gt;"")),IF(A_Corridor!$G$5:$G$204="-","",A_Corridor!$G$5:$G$204)),"")</f>
        <v/>
      </c>
      <c r="L863" s="181" t="str">
        <f>IFERROR(LOOKUP(2,1/((A_Corridor!$A$5:$A$204&lt;&gt;"")*(A_Corridor!$A$5:$A$204&lt;=$B863)*(A_Corridor!$B$5:$B$204&gt;$B863)*(A_Corridor!$H$5:$H$204&lt;&gt;"")),IF(A_Corridor!$H$5:$H$204="-","",1)),"")</f>
        <v/>
      </c>
      <c r="M863" s="182" t="str">
        <f>IFERROR(LOOKUP(2,1/((A_Corridor!$A$5:$A$204&lt;&gt;"")*(A_Corridor!$A$5:$A$204&lt;=$B863)*(A_Corridor!$B$5:$B$204&gt;$B863)*(A_Corridor!$H$5:$H$204&lt;&gt;"")),IF(A_Corridor!$H$5:$H$204="-","",A_Corridor!$H$5:$H$204)),"")</f>
        <v/>
      </c>
      <c r="N863" s="182" t="str">
        <f>IFERROR(LOOKUP(2,1/((A_Corridor!$A$5:$A$204&lt;&gt;"")*(A_Corridor!$A$5:$A$204&lt;=$B863)*(A_Corridor!$B$5:$B$204&gt;$B863)*(A_Corridor!$I$5:$I$204&lt;&gt;"")),IF(A_Corridor!$I$5:$I$204="-","",A_Corridor!$I$5:$I$204)),"")</f>
        <v/>
      </c>
      <c r="O863" s="182" t="str">
        <f>IFERROR(LOOKUP(2,1/((D_Points!$A$5:$A$204&lt;&gt;"")*(D_Points!$A$5:$A$204&gt;=$B863)*(D_Points!$A$5:$A$204&lt;$B863+P_Interval)*(UPPER(TRIM(D_Points!$B$5:$B$204))="PITCHING")*(D_Points!$H$5:$H$204&lt;&gt;"")),D_Points!$H$5:$H$204),"")</f>
        <v/>
      </c>
      <c r="P863" s="181" t="str">
        <f>IFERROR(LOOKUP(2,1/((B_Drainage!$A$5:$A$204&lt;&gt;"")*(B_Drainage!$A$5:$A$204&lt;=$B863)*(B_Drainage!$B$5:$B$204&gt;$B863)*(B_Drainage!$C$5:$C$204&lt;&gt;"")),IF(B_Drainage!$C$5:$C$204="-","",UPPER(B_Drainage!$C$5:$C$204))),"")</f>
        <v/>
      </c>
      <c r="Q863" s="181" t="str">
        <f>IFERROR(LOOKUP(2,1/((B_Drainage!$A$5:$A$204&lt;&gt;"")*(B_Drainage!$A$5:$A$204&lt;=$B863)*(B_Drainage!$B$5:$B$204&gt;$B863)*(B_Drainage!$D$5:$D$204&lt;&gt;"")),IF(B_Drainage!$D$5:$D$204="-","",UPPER(B_Drainage!$D$5:$D$204))),"")</f>
        <v/>
      </c>
      <c r="R863" s="182" t="str">
        <f>IFERROR(LOOKUP(2,1/((D_Points!$A$5:$A$204&lt;&gt;"")*(D_Points!$A$5:$A$204&gt;=$B863)*(D_Points!$A$5:$A$204&lt;$B863+P_Interval)*(RIGHT(UPPER(TRIM(D_Points!$B$5:$B$204)),8)="_CULVERT")),IF(LEFT(UPPER(TRIM(D_Points!$B$5:$B$204)),2)="EX",1,IF(LEFT(UPPER(TRIM(D_Points!$B$5:$B$204)),2)="PR",2,3))),"")</f>
        <v/>
      </c>
      <c r="S863" s="182" t="str">
        <f>IFERROR(LOOKUP(2,1/((D_Points!$A$5:$A$204&lt;&gt;"")*(D_Points!$A$5:$A$204&gt;=$B863)*(D_Points!$A$5:$A$204&lt;$B863+P_Interval)*(RIGHT(UPPER(TRIM(D_Points!$B$5:$B$204)),7)="_BRIDGE")),IF(LEFT(UPPER(TRIM(D_Points!$B$5:$B$204)),2)="EX",1,IF(LEFT(UPPER(TRIM(D_Points!$B$5:$B$204)),2)="PR",2,2))),"")</f>
        <v/>
      </c>
      <c r="T863" s="181" t="str">
        <f>IFERROR(LOOKUP(2,1/((B_Drainage!$A$5:$A$204&lt;&gt;"")*(B_Drainage!$A$5:$A$204&lt;=$B863)*(B_Drainage!$B$5:$B$204&gt;$B863)*(B_Drainage!$E$5:$E$204&lt;&gt;"")),IF(B_Drainage!$E$5:$E$204="-","",1)),"")</f>
        <v/>
      </c>
      <c r="U863" s="181" t="str">
        <f>IFERROR(LOOKUP(2,1/((B_Drainage!$A$5:$A$204&lt;&gt;"")*(B_Drainage!$A$5:$A$204&lt;=$B863)*(B_Drainage!$B$5:$B$204&gt;$B863)*(B_Drainage!$E$5:$E$204&lt;&gt;"")),IF(B_Drainage!$E$5:$E$204="-","",B_Drainage!$E$5:$E$204)),"")</f>
        <v/>
      </c>
      <c r="V863" s="181" t="str">
        <f>IFERROR(LOOKUP(2,1/((B_Drainage!$A$5:$A$204&lt;&gt;"")*(B_Drainage!$A$5:$A$204&lt;=$B863)*(B_Drainage!$B$5:$B$204&gt;$B863)*(B_Drainage!$F$5:$F$204&lt;&gt;"")),IF(B_Drainage!$F$5:$F$204="-","",1)),"")</f>
        <v/>
      </c>
      <c r="W863" s="181" t="str">
        <f>IFERROR(LOOKUP(2,1/((B_Drainage!$A$5:$A$204&lt;&gt;"")*(B_Drainage!$A$5:$A$204&lt;=$B863)*(B_Drainage!$B$5:$B$204&gt;$B863)*(B_Drainage!$F$5:$F$204&lt;&gt;"")),IF(B_Drainage!$F$5:$F$204="-","",B_Drainage!$F$5:$F$204)),"")</f>
        <v/>
      </c>
      <c r="X863" s="181" t="str">
        <f>IFERROR(LOOKUP(2,1/((B_Drainage!$A$5:$A$204&lt;&gt;"")*(B_Drainage!$A$5:$A$204&lt;=$B863)*(B_Drainage!$B$5:$B$204&gt;$B863)*(B_Drainage!$G$5:$G$204&lt;&gt;"")),IF(UPPER(B_Drainage!$G$5:$G$204)="Y",1,"")),"")</f>
        <v/>
      </c>
      <c r="Y863" s="181" t="str">
        <f>IFERROR(LOOKUP(2,1/((B_Drainage!$A$5:$A$204&lt;&gt;"")*(B_Drainage!$A$5:$A$204&lt;=$B863)*(B_Drainage!$B$5:$B$204&gt;$B863)*(B_Drainage!$H$5:$H$204&lt;&gt;"")),IF(UPPER(B_Drainage!$H$5:$H$204)="Y",1,"")),"")</f>
        <v/>
      </c>
      <c r="Z863" s="181" t="str">
        <f>IFERROR(LOOKUP(2,1/((B_Drainage!$A$5:$A$204&lt;&gt;"")*(B_Drainage!$A$5:$A$204&lt;=$B863)*(B_Drainage!$B$5:$B$204&gt;$B863)*(B_Drainage!$I$5:$I$204&lt;&gt;"")),IF(UPPER(B_Drainage!$I$5:$I$204)="Y",1,"")),"")</f>
        <v/>
      </c>
      <c r="AA863" s="181" t="str">
        <f>IFERROR(LOOKUP(2,1/((B_Drainage!$A$5:$A$204&lt;&gt;"")*(B_Drainage!$A$5:$A$204&lt;=$B863)*(B_Drainage!$B$5:$B$204&gt;$B863)*(B_Drainage!$J$5:$J$204&lt;&gt;"")),IF(UPPER(B_Drainage!$J$5:$J$204)="Y",1,"")),"")</f>
        <v/>
      </c>
      <c r="AB863" s="182" t="str">
        <f>IFERROR(LOOKUP(2,1/((B_Drainage!$A$5:$A$204&lt;&gt;"")*(B_Drainage!$A$5:$A$204&lt;=$B863)*(B_Drainage!$B$5:$B$204&gt;$B863)*(B_Drainage!$K$5:$K$204&lt;&gt;"")),IF(B_Drainage!$K$5:$K$204="-","",B_Drainage!$K$5:$K$204)),"")</f>
        <v/>
      </c>
      <c r="AC863" s="182" t="str">
        <f>IFERROR(LOOKUP(2,1/((B_Drainage!$A$5:$A$204&lt;&gt;"")*(B_Drainage!$A$5:$A$204&lt;=$B863)*(B_Drainage!$B$5:$B$204&gt;$B863)*(B_Drainage!$L$5:$L$204&lt;&gt;"")),IF(B_Drainage!$L$5:$L$204="-","",B_Drainage!$L$5:$L$204)),"")</f>
        <v/>
      </c>
      <c r="AD863" s="182" t="str">
        <f>IFERROR(LOOKUP(2,1/((D_Points!$A$5:$A$204&lt;&gt;"")*(D_Points!$A$5:$A$204&gt;=$B863)*(D_Points!$A$5:$A$204&lt;$B863+P_Interval)*(UPPER(TRIM(D_Points!$B$5:$B$204))="TURNOUT_L")*(D_Points!$H$5:$H$204&lt;&gt;"")),D_Points!$H$5:$H$204),"")</f>
        <v/>
      </c>
      <c r="AE863" s="182" t="str">
        <f>IFERROR(LOOKUP(2,1/((D_Points!$A$5:$A$204&lt;&gt;"")*(D_Points!$A$5:$A$204&gt;=$B863)*(D_Points!$A$5:$A$204&lt;$B863+P_Interval)*(UPPER(TRIM(D_Points!$B$5:$B$204))="TURNOUT_R")*(D_Points!$H$5:$H$204&lt;&gt;"")),D_Points!$H$5:$H$204),"")</f>
        <v/>
      </c>
      <c r="AF863" s="181" t="str">
        <f>IFERROR(LOOKUP(2,1/((B_Drainage!$A$5:$A$204&lt;&gt;"")*(B_Drainage!$A$5:$A$204&lt;=$B863)*(B_Drainage!$B$5:$B$204&gt;$B863)*(B_Drainage!$M$5:$M$204&lt;&gt;"")),IF(UPPER(B_Drainage!$M$5:$M$204)="Y",1,"")),"")</f>
        <v/>
      </c>
      <c r="AG863" s="181" t="str">
        <f>IFERROR(LOOKUP(2,1/((B_Drainage!$A$5:$A$204&lt;&gt;"")*(B_Drainage!$A$5:$A$204&lt;=$B863)*(B_Drainage!$B$5:$B$204&gt;$B863)*(B_Drainage!$N$5:$N$204&lt;&gt;"")),IF(UPPER(B_Drainage!$N$5:$N$204)="Y",1,"")),"")</f>
        <v/>
      </c>
      <c r="AH863" s="181" t="str">
        <f t="shared" si="104"/>
        <v/>
      </c>
      <c r="AI863" s="181" t="str">
        <f t="shared" si="105"/>
        <v/>
      </c>
      <c r="AJ863" s="181" t="str">
        <f t="shared" si="106"/>
        <v/>
      </c>
      <c r="AK863" s="181" t="str">
        <f t="shared" si="107"/>
        <v/>
      </c>
      <c r="AL863" s="181" t="str">
        <f t="shared" si="108"/>
        <v/>
      </c>
      <c r="AM863" s="181" t="str">
        <f t="shared" si="109"/>
        <v/>
      </c>
      <c r="AN863" s="181" t="str">
        <f t="shared" si="110"/>
        <v/>
      </c>
      <c r="AO863" s="192" t="str">
        <f t="shared" si="111"/>
        <v/>
      </c>
      <c r="AQ863" t="str">
        <f>IFERROR(LOOKUP(2,1/((C_Pavement!$A$5:$A$204&lt;&gt;"")*(C_Pavement!$A$5:$A$204&lt;=$B863)*(C_Pavement!$B$5:$B$204&gt;$B863)*(C_Pavement!$C$5:$C$204&lt;&gt;"")),ROW(C_Pavement!$C$5:$C$204)-4),"")</f>
        <v/>
      </c>
      <c r="AR863" t="str">
        <f>IF($AQ863="","",UPPER(TRIM(INDEX(C_Pavement!$C$5:$C$204,$AQ863))))</f>
        <v/>
      </c>
      <c r="AS863" t="str">
        <f>IF($AR863="","",IFERROR(MATCH($AR863,E_Rules!$A$5:$A$9,0),""))</f>
        <v/>
      </c>
      <c r="AT863" t="str">
        <f>IF($AQ863="","",IF(INDEX(C_Pavement!$D$5:$D$204,$AQ863)&lt;&gt;"",UPPER(TRIM(INDEX(C_Pavement!$D$5:$D$204,$AQ863))),IF($AS863="","",INDEX(E_Rules!$C$5:$C$9,$AS863))))</f>
        <v/>
      </c>
      <c r="AU863" t="str">
        <f>IF($AQ863="","",IF(INDEX(C_Pavement!$E$5:$E$204,$AQ863)&lt;&gt;"",IF(INDEX(C_Pavement!$E$5:$E$204,$AQ863)="-","",INDEX(C_Pavement!$E$5:$E$204,$AQ863)),IF($AS863="","",INDEX(E_Rules!$D$5:$D$9,$AS863))))</f>
        <v/>
      </c>
      <c r="AV863" t="str">
        <f>IF($AQ863="","",IF(INDEX(C_Pavement!$F$5:$F$204,$AQ863)&lt;&gt;"",IF(INDEX(C_Pavement!$F$5:$F$204,$AQ863)="-","",INDEX(C_Pavement!$F$5:$F$204,$AQ863)),IF($AS863="","",INDEX(E_Rules!$E$5:$E$9,$AS863))))</f>
        <v/>
      </c>
      <c r="AW863" t="str">
        <f>IF($AQ863="","",IF(INDEX(C_Pavement!$G$5:$G$204,$AQ863)&lt;&gt;"",IF(INDEX(C_Pavement!$G$5:$G$204,$AQ863)="-","",INDEX(C_Pavement!$G$5:$G$204,$AQ863)),IF($AS863="","",INDEX(E_Rules!$F$5:$F$9,$AS863))))</f>
        <v/>
      </c>
      <c r="AX863" t="str">
        <f>IF($AQ863="","",IF(INDEX(C_Pavement!$H$5:$H$204,$AQ863)&lt;&gt;"",IF(INDEX(C_Pavement!$H$5:$H$204,$AQ863)="-","",INDEX(C_Pavement!$H$5:$H$204,$AQ863)),IF($AS863="","",INDEX(E_Rules!$G$5:$G$9,$AS863))))</f>
        <v/>
      </c>
      <c r="AY863" t="str">
        <f>IF($AQ863="","",IF(INDEX(C_Pavement!$I$5:$I$204,$AQ863)&lt;&gt;"",IF(INDEX(C_Pavement!$I$5:$I$204,$AQ863)="-","",INDEX(C_Pavement!$I$5:$I$204,$AQ863)),IF($AS863="","",INDEX(E_Rules!$H$5:$H$9,$AS863))))</f>
        <v/>
      </c>
    </row>
    <row r="864" spans="1:51" ht="15.75" customHeight="1" x14ac:dyDescent="0.3">
      <c r="A864" s="189">
        <v>859</v>
      </c>
      <c r="B864" s="180">
        <v>42900</v>
      </c>
      <c r="C864" s="180" t="s">
        <v>1170</v>
      </c>
      <c r="D864" s="181" t="str">
        <f>IFERROR(LOOKUP(2,1/((A_Corridor!$A$5:$A$204&lt;&gt;"")*(A_Corridor!$A$5:$A$204&lt;=$B864)*(A_Corridor!$B$5:$B$204&gt;$B864)*(A_Corridor!$C$5:$C$204&lt;&gt;"")),IF(UPPER(A_Corridor!$C$5:$C$204)="Y",1,"")),"")</f>
        <v/>
      </c>
      <c r="E864" s="181" t="str">
        <f>IFERROR(LOOKUP(2,1/((A_Corridor!$A$5:$A$204&lt;&gt;"")*(A_Corridor!$A$5:$A$204&lt;=$B864)*(A_Corridor!$B$5:$B$204&gt;$B864)*(A_Corridor!$D$5:$D$204&lt;&gt;"")),IF(A_Corridor!$D$5:$D$204="-","",UPPER(A_Corridor!$D$5:$D$204))),"")</f>
        <v/>
      </c>
      <c r="F864" s="181" t="str">
        <f>IFERROR(LOOKUP(2,1/((A_Corridor!$A$5:$A$204&lt;&gt;"")*(A_Corridor!$A$5:$A$204&lt;=$B864)*(A_Corridor!$B$5:$B$204&gt;$B864)*(A_Corridor!$E$5:$E$204&lt;&gt;"")),IF(A_Corridor!$E$5:$E$204="-","",1)),"")</f>
        <v/>
      </c>
      <c r="G864" s="182" t="str">
        <f>IFERROR(LOOKUP(2,1/((A_Corridor!$A$5:$A$204&lt;&gt;"")*(A_Corridor!$A$5:$A$204&lt;=$B864)*(A_Corridor!$B$5:$B$204&gt;$B864)*(A_Corridor!$E$5:$E$204&lt;&gt;"")),IF(A_Corridor!$E$5:$E$204="-","",A_Corridor!$E$5:$E$204)),"")</f>
        <v/>
      </c>
      <c r="H864" s="182" t="str">
        <f>IFERROR(LOOKUP(2,1/((D_Points!$A$5:$A$204&lt;&gt;"")*(D_Points!$A$5:$A$204&gt;=$B864)*(D_Points!$A$5:$A$204&lt;$B864+P_Interval)*(UPPER(TRIM(D_Points!$B$5:$B$204))="GULLY")*(D_Points!$H$5:$H$204&lt;&gt;"")),D_Points!$H$5:$H$204),"")</f>
        <v/>
      </c>
      <c r="I864" s="181" t="str">
        <f>IFERROR(LOOKUP(2,1/((A_Corridor!$A$5:$A$204&lt;&gt;"")*(A_Corridor!$A$5:$A$204&lt;=$B864)*(A_Corridor!$B$5:$B$204&gt;$B864)*(A_Corridor!$F$5:$F$204&lt;&gt;"")),IF(A_Corridor!$F$5:$F$204="-","",1)),"")</f>
        <v/>
      </c>
      <c r="J864" s="182" t="str">
        <f>IFERROR(LOOKUP(2,1/((A_Corridor!$A$5:$A$204&lt;&gt;"")*(A_Corridor!$A$5:$A$204&lt;=$B864)*(A_Corridor!$B$5:$B$204&gt;$B864)*(A_Corridor!$F$5:$F$204&lt;&gt;"")),IF(A_Corridor!$F$5:$F$204="-","",A_Corridor!$F$5:$F$204)),"")</f>
        <v/>
      </c>
      <c r="K864" s="182" t="str">
        <f>IFERROR(LOOKUP(2,1/((A_Corridor!$A$5:$A$204&lt;&gt;"")*(A_Corridor!$A$5:$A$204&lt;=$B864)*(A_Corridor!$B$5:$B$204&gt;$B864)*(A_Corridor!$G$5:$G$204&lt;&gt;"")),IF(A_Corridor!$G$5:$G$204="-","",A_Corridor!$G$5:$G$204)),"")</f>
        <v/>
      </c>
      <c r="L864" s="181" t="str">
        <f>IFERROR(LOOKUP(2,1/((A_Corridor!$A$5:$A$204&lt;&gt;"")*(A_Corridor!$A$5:$A$204&lt;=$B864)*(A_Corridor!$B$5:$B$204&gt;$B864)*(A_Corridor!$H$5:$H$204&lt;&gt;"")),IF(A_Corridor!$H$5:$H$204="-","",1)),"")</f>
        <v/>
      </c>
      <c r="M864" s="182" t="str">
        <f>IFERROR(LOOKUP(2,1/((A_Corridor!$A$5:$A$204&lt;&gt;"")*(A_Corridor!$A$5:$A$204&lt;=$B864)*(A_Corridor!$B$5:$B$204&gt;$B864)*(A_Corridor!$H$5:$H$204&lt;&gt;"")),IF(A_Corridor!$H$5:$H$204="-","",A_Corridor!$H$5:$H$204)),"")</f>
        <v/>
      </c>
      <c r="N864" s="182" t="str">
        <f>IFERROR(LOOKUP(2,1/((A_Corridor!$A$5:$A$204&lt;&gt;"")*(A_Corridor!$A$5:$A$204&lt;=$B864)*(A_Corridor!$B$5:$B$204&gt;$B864)*(A_Corridor!$I$5:$I$204&lt;&gt;"")),IF(A_Corridor!$I$5:$I$204="-","",A_Corridor!$I$5:$I$204)),"")</f>
        <v/>
      </c>
      <c r="O864" s="182" t="str">
        <f>IFERROR(LOOKUP(2,1/((D_Points!$A$5:$A$204&lt;&gt;"")*(D_Points!$A$5:$A$204&gt;=$B864)*(D_Points!$A$5:$A$204&lt;$B864+P_Interval)*(UPPER(TRIM(D_Points!$B$5:$B$204))="PITCHING")*(D_Points!$H$5:$H$204&lt;&gt;"")),D_Points!$H$5:$H$204),"")</f>
        <v/>
      </c>
      <c r="P864" s="181" t="str">
        <f>IFERROR(LOOKUP(2,1/((B_Drainage!$A$5:$A$204&lt;&gt;"")*(B_Drainage!$A$5:$A$204&lt;=$B864)*(B_Drainage!$B$5:$B$204&gt;$B864)*(B_Drainage!$C$5:$C$204&lt;&gt;"")),IF(B_Drainage!$C$5:$C$204="-","",UPPER(B_Drainage!$C$5:$C$204))),"")</f>
        <v/>
      </c>
      <c r="Q864" s="181" t="str">
        <f>IFERROR(LOOKUP(2,1/((B_Drainage!$A$5:$A$204&lt;&gt;"")*(B_Drainage!$A$5:$A$204&lt;=$B864)*(B_Drainage!$B$5:$B$204&gt;$B864)*(B_Drainage!$D$5:$D$204&lt;&gt;"")),IF(B_Drainage!$D$5:$D$204="-","",UPPER(B_Drainage!$D$5:$D$204))),"")</f>
        <v/>
      </c>
      <c r="R864" s="182" t="str">
        <f>IFERROR(LOOKUP(2,1/((D_Points!$A$5:$A$204&lt;&gt;"")*(D_Points!$A$5:$A$204&gt;=$B864)*(D_Points!$A$5:$A$204&lt;$B864+P_Interval)*(RIGHT(UPPER(TRIM(D_Points!$B$5:$B$204)),8)="_CULVERT")),IF(LEFT(UPPER(TRIM(D_Points!$B$5:$B$204)),2)="EX",1,IF(LEFT(UPPER(TRIM(D_Points!$B$5:$B$204)),2)="PR",2,3))),"")</f>
        <v/>
      </c>
      <c r="S864" s="182" t="str">
        <f>IFERROR(LOOKUP(2,1/((D_Points!$A$5:$A$204&lt;&gt;"")*(D_Points!$A$5:$A$204&gt;=$B864)*(D_Points!$A$5:$A$204&lt;$B864+P_Interval)*(RIGHT(UPPER(TRIM(D_Points!$B$5:$B$204)),7)="_BRIDGE")),IF(LEFT(UPPER(TRIM(D_Points!$B$5:$B$204)),2)="EX",1,IF(LEFT(UPPER(TRIM(D_Points!$B$5:$B$204)),2)="PR",2,2))),"")</f>
        <v/>
      </c>
      <c r="T864" s="181" t="str">
        <f>IFERROR(LOOKUP(2,1/((B_Drainage!$A$5:$A$204&lt;&gt;"")*(B_Drainage!$A$5:$A$204&lt;=$B864)*(B_Drainage!$B$5:$B$204&gt;$B864)*(B_Drainage!$E$5:$E$204&lt;&gt;"")),IF(B_Drainage!$E$5:$E$204="-","",1)),"")</f>
        <v/>
      </c>
      <c r="U864" s="181" t="str">
        <f>IFERROR(LOOKUP(2,1/((B_Drainage!$A$5:$A$204&lt;&gt;"")*(B_Drainage!$A$5:$A$204&lt;=$B864)*(B_Drainage!$B$5:$B$204&gt;$B864)*(B_Drainage!$E$5:$E$204&lt;&gt;"")),IF(B_Drainage!$E$5:$E$204="-","",B_Drainage!$E$5:$E$204)),"")</f>
        <v/>
      </c>
      <c r="V864" s="181" t="str">
        <f>IFERROR(LOOKUP(2,1/((B_Drainage!$A$5:$A$204&lt;&gt;"")*(B_Drainage!$A$5:$A$204&lt;=$B864)*(B_Drainage!$B$5:$B$204&gt;$B864)*(B_Drainage!$F$5:$F$204&lt;&gt;"")),IF(B_Drainage!$F$5:$F$204="-","",1)),"")</f>
        <v/>
      </c>
      <c r="W864" s="181" t="str">
        <f>IFERROR(LOOKUP(2,1/((B_Drainage!$A$5:$A$204&lt;&gt;"")*(B_Drainage!$A$5:$A$204&lt;=$B864)*(B_Drainage!$B$5:$B$204&gt;$B864)*(B_Drainage!$F$5:$F$204&lt;&gt;"")),IF(B_Drainage!$F$5:$F$204="-","",B_Drainage!$F$5:$F$204)),"")</f>
        <v/>
      </c>
      <c r="X864" s="181" t="str">
        <f>IFERROR(LOOKUP(2,1/((B_Drainage!$A$5:$A$204&lt;&gt;"")*(B_Drainage!$A$5:$A$204&lt;=$B864)*(B_Drainage!$B$5:$B$204&gt;$B864)*(B_Drainage!$G$5:$G$204&lt;&gt;"")),IF(UPPER(B_Drainage!$G$5:$G$204)="Y",1,"")),"")</f>
        <v/>
      </c>
      <c r="Y864" s="181" t="str">
        <f>IFERROR(LOOKUP(2,1/((B_Drainage!$A$5:$A$204&lt;&gt;"")*(B_Drainage!$A$5:$A$204&lt;=$B864)*(B_Drainage!$B$5:$B$204&gt;$B864)*(B_Drainage!$H$5:$H$204&lt;&gt;"")),IF(UPPER(B_Drainage!$H$5:$H$204)="Y",1,"")),"")</f>
        <v/>
      </c>
      <c r="Z864" s="181" t="str">
        <f>IFERROR(LOOKUP(2,1/((B_Drainage!$A$5:$A$204&lt;&gt;"")*(B_Drainage!$A$5:$A$204&lt;=$B864)*(B_Drainage!$B$5:$B$204&gt;$B864)*(B_Drainage!$I$5:$I$204&lt;&gt;"")),IF(UPPER(B_Drainage!$I$5:$I$204)="Y",1,"")),"")</f>
        <v/>
      </c>
      <c r="AA864" s="181" t="str">
        <f>IFERROR(LOOKUP(2,1/((B_Drainage!$A$5:$A$204&lt;&gt;"")*(B_Drainage!$A$5:$A$204&lt;=$B864)*(B_Drainage!$B$5:$B$204&gt;$B864)*(B_Drainage!$J$5:$J$204&lt;&gt;"")),IF(UPPER(B_Drainage!$J$5:$J$204)="Y",1,"")),"")</f>
        <v/>
      </c>
      <c r="AB864" s="182" t="str">
        <f>IFERROR(LOOKUP(2,1/((B_Drainage!$A$5:$A$204&lt;&gt;"")*(B_Drainage!$A$5:$A$204&lt;=$B864)*(B_Drainage!$B$5:$B$204&gt;$B864)*(B_Drainage!$K$5:$K$204&lt;&gt;"")),IF(B_Drainage!$K$5:$K$204="-","",B_Drainage!$K$5:$K$204)),"")</f>
        <v/>
      </c>
      <c r="AC864" s="182" t="str">
        <f>IFERROR(LOOKUP(2,1/((B_Drainage!$A$5:$A$204&lt;&gt;"")*(B_Drainage!$A$5:$A$204&lt;=$B864)*(B_Drainage!$B$5:$B$204&gt;$B864)*(B_Drainage!$L$5:$L$204&lt;&gt;"")),IF(B_Drainage!$L$5:$L$204="-","",B_Drainage!$L$5:$L$204)),"")</f>
        <v/>
      </c>
      <c r="AD864" s="182" t="str">
        <f>IFERROR(LOOKUP(2,1/((D_Points!$A$5:$A$204&lt;&gt;"")*(D_Points!$A$5:$A$204&gt;=$B864)*(D_Points!$A$5:$A$204&lt;$B864+P_Interval)*(UPPER(TRIM(D_Points!$B$5:$B$204))="TURNOUT_L")*(D_Points!$H$5:$H$204&lt;&gt;"")),D_Points!$H$5:$H$204),"")</f>
        <v/>
      </c>
      <c r="AE864" s="182" t="str">
        <f>IFERROR(LOOKUP(2,1/((D_Points!$A$5:$A$204&lt;&gt;"")*(D_Points!$A$5:$A$204&gt;=$B864)*(D_Points!$A$5:$A$204&lt;$B864+P_Interval)*(UPPER(TRIM(D_Points!$B$5:$B$204))="TURNOUT_R")*(D_Points!$H$5:$H$204&lt;&gt;"")),D_Points!$H$5:$H$204),"")</f>
        <v/>
      </c>
      <c r="AF864" s="181" t="str">
        <f>IFERROR(LOOKUP(2,1/((B_Drainage!$A$5:$A$204&lt;&gt;"")*(B_Drainage!$A$5:$A$204&lt;=$B864)*(B_Drainage!$B$5:$B$204&gt;$B864)*(B_Drainage!$M$5:$M$204&lt;&gt;"")),IF(UPPER(B_Drainage!$M$5:$M$204)="Y",1,"")),"")</f>
        <v/>
      </c>
      <c r="AG864" s="181" t="str">
        <f>IFERROR(LOOKUP(2,1/((B_Drainage!$A$5:$A$204&lt;&gt;"")*(B_Drainage!$A$5:$A$204&lt;=$B864)*(B_Drainage!$B$5:$B$204&gt;$B864)*(B_Drainage!$N$5:$N$204&lt;&gt;"")),IF(UPPER(B_Drainage!$N$5:$N$204)="Y",1,"")),"")</f>
        <v/>
      </c>
      <c r="AH864" s="181" t="str">
        <f t="shared" si="104"/>
        <v/>
      </c>
      <c r="AI864" s="181" t="str">
        <f t="shared" si="105"/>
        <v/>
      </c>
      <c r="AJ864" s="181" t="str">
        <f t="shared" si="106"/>
        <v/>
      </c>
      <c r="AK864" s="181" t="str">
        <f t="shared" si="107"/>
        <v/>
      </c>
      <c r="AL864" s="181" t="str">
        <f t="shared" si="108"/>
        <v/>
      </c>
      <c r="AM864" s="181" t="str">
        <f t="shared" si="109"/>
        <v/>
      </c>
      <c r="AN864" s="181" t="str">
        <f t="shared" si="110"/>
        <v/>
      </c>
      <c r="AO864" s="192" t="str">
        <f t="shared" si="111"/>
        <v/>
      </c>
      <c r="AQ864" t="str">
        <f>IFERROR(LOOKUP(2,1/((C_Pavement!$A$5:$A$204&lt;&gt;"")*(C_Pavement!$A$5:$A$204&lt;=$B864)*(C_Pavement!$B$5:$B$204&gt;$B864)*(C_Pavement!$C$5:$C$204&lt;&gt;"")),ROW(C_Pavement!$C$5:$C$204)-4),"")</f>
        <v/>
      </c>
      <c r="AR864" t="str">
        <f>IF($AQ864="","",UPPER(TRIM(INDEX(C_Pavement!$C$5:$C$204,$AQ864))))</f>
        <v/>
      </c>
      <c r="AS864" t="str">
        <f>IF($AR864="","",IFERROR(MATCH($AR864,E_Rules!$A$5:$A$9,0),""))</f>
        <v/>
      </c>
      <c r="AT864" t="str">
        <f>IF($AQ864="","",IF(INDEX(C_Pavement!$D$5:$D$204,$AQ864)&lt;&gt;"",UPPER(TRIM(INDEX(C_Pavement!$D$5:$D$204,$AQ864))),IF($AS864="","",INDEX(E_Rules!$C$5:$C$9,$AS864))))</f>
        <v/>
      </c>
      <c r="AU864" t="str">
        <f>IF($AQ864="","",IF(INDEX(C_Pavement!$E$5:$E$204,$AQ864)&lt;&gt;"",IF(INDEX(C_Pavement!$E$5:$E$204,$AQ864)="-","",INDEX(C_Pavement!$E$5:$E$204,$AQ864)),IF($AS864="","",INDEX(E_Rules!$D$5:$D$9,$AS864))))</f>
        <v/>
      </c>
      <c r="AV864" t="str">
        <f>IF($AQ864="","",IF(INDEX(C_Pavement!$F$5:$F$204,$AQ864)&lt;&gt;"",IF(INDEX(C_Pavement!$F$5:$F$204,$AQ864)="-","",INDEX(C_Pavement!$F$5:$F$204,$AQ864)),IF($AS864="","",INDEX(E_Rules!$E$5:$E$9,$AS864))))</f>
        <v/>
      </c>
      <c r="AW864" t="str">
        <f>IF($AQ864="","",IF(INDEX(C_Pavement!$G$5:$G$204,$AQ864)&lt;&gt;"",IF(INDEX(C_Pavement!$G$5:$G$204,$AQ864)="-","",INDEX(C_Pavement!$G$5:$G$204,$AQ864)),IF($AS864="","",INDEX(E_Rules!$F$5:$F$9,$AS864))))</f>
        <v/>
      </c>
      <c r="AX864" t="str">
        <f>IF($AQ864="","",IF(INDEX(C_Pavement!$H$5:$H$204,$AQ864)&lt;&gt;"",IF(INDEX(C_Pavement!$H$5:$H$204,$AQ864)="-","",INDEX(C_Pavement!$H$5:$H$204,$AQ864)),IF($AS864="","",INDEX(E_Rules!$G$5:$G$9,$AS864))))</f>
        <v/>
      </c>
      <c r="AY864" t="str">
        <f>IF($AQ864="","",IF(INDEX(C_Pavement!$I$5:$I$204,$AQ864)&lt;&gt;"",IF(INDEX(C_Pavement!$I$5:$I$204,$AQ864)="-","",INDEX(C_Pavement!$I$5:$I$204,$AQ864)),IF($AS864="","",INDEX(E_Rules!$H$5:$H$9,$AS864))))</f>
        <v/>
      </c>
    </row>
    <row r="865" spans="1:51" ht="15.75" customHeight="1" x14ac:dyDescent="0.3">
      <c r="A865" s="189">
        <v>860</v>
      </c>
      <c r="B865" s="180">
        <v>42950</v>
      </c>
      <c r="C865" s="180" t="s">
        <v>1171</v>
      </c>
      <c r="D865" s="181" t="str">
        <f>IFERROR(LOOKUP(2,1/((A_Corridor!$A$5:$A$204&lt;&gt;"")*(A_Corridor!$A$5:$A$204&lt;=$B865)*(A_Corridor!$B$5:$B$204&gt;$B865)*(A_Corridor!$C$5:$C$204&lt;&gt;"")),IF(UPPER(A_Corridor!$C$5:$C$204)="Y",1,"")),"")</f>
        <v/>
      </c>
      <c r="E865" s="181" t="str">
        <f>IFERROR(LOOKUP(2,1/((A_Corridor!$A$5:$A$204&lt;&gt;"")*(A_Corridor!$A$5:$A$204&lt;=$B865)*(A_Corridor!$B$5:$B$204&gt;$B865)*(A_Corridor!$D$5:$D$204&lt;&gt;"")),IF(A_Corridor!$D$5:$D$204="-","",UPPER(A_Corridor!$D$5:$D$204))),"")</f>
        <v/>
      </c>
      <c r="F865" s="181" t="str">
        <f>IFERROR(LOOKUP(2,1/((A_Corridor!$A$5:$A$204&lt;&gt;"")*(A_Corridor!$A$5:$A$204&lt;=$B865)*(A_Corridor!$B$5:$B$204&gt;$B865)*(A_Corridor!$E$5:$E$204&lt;&gt;"")),IF(A_Corridor!$E$5:$E$204="-","",1)),"")</f>
        <v/>
      </c>
      <c r="G865" s="182" t="str">
        <f>IFERROR(LOOKUP(2,1/((A_Corridor!$A$5:$A$204&lt;&gt;"")*(A_Corridor!$A$5:$A$204&lt;=$B865)*(A_Corridor!$B$5:$B$204&gt;$B865)*(A_Corridor!$E$5:$E$204&lt;&gt;"")),IF(A_Corridor!$E$5:$E$204="-","",A_Corridor!$E$5:$E$204)),"")</f>
        <v/>
      </c>
      <c r="H865" s="182" t="str">
        <f>IFERROR(LOOKUP(2,1/((D_Points!$A$5:$A$204&lt;&gt;"")*(D_Points!$A$5:$A$204&gt;=$B865)*(D_Points!$A$5:$A$204&lt;$B865+P_Interval)*(UPPER(TRIM(D_Points!$B$5:$B$204))="GULLY")*(D_Points!$H$5:$H$204&lt;&gt;"")),D_Points!$H$5:$H$204),"")</f>
        <v/>
      </c>
      <c r="I865" s="181" t="str">
        <f>IFERROR(LOOKUP(2,1/((A_Corridor!$A$5:$A$204&lt;&gt;"")*(A_Corridor!$A$5:$A$204&lt;=$B865)*(A_Corridor!$B$5:$B$204&gt;$B865)*(A_Corridor!$F$5:$F$204&lt;&gt;"")),IF(A_Corridor!$F$5:$F$204="-","",1)),"")</f>
        <v/>
      </c>
      <c r="J865" s="182" t="str">
        <f>IFERROR(LOOKUP(2,1/((A_Corridor!$A$5:$A$204&lt;&gt;"")*(A_Corridor!$A$5:$A$204&lt;=$B865)*(A_Corridor!$B$5:$B$204&gt;$B865)*(A_Corridor!$F$5:$F$204&lt;&gt;"")),IF(A_Corridor!$F$5:$F$204="-","",A_Corridor!$F$5:$F$204)),"")</f>
        <v/>
      </c>
      <c r="K865" s="182" t="str">
        <f>IFERROR(LOOKUP(2,1/((A_Corridor!$A$5:$A$204&lt;&gt;"")*(A_Corridor!$A$5:$A$204&lt;=$B865)*(A_Corridor!$B$5:$B$204&gt;$B865)*(A_Corridor!$G$5:$G$204&lt;&gt;"")),IF(A_Corridor!$G$5:$G$204="-","",A_Corridor!$G$5:$G$204)),"")</f>
        <v/>
      </c>
      <c r="L865" s="181" t="str">
        <f>IFERROR(LOOKUP(2,1/((A_Corridor!$A$5:$A$204&lt;&gt;"")*(A_Corridor!$A$5:$A$204&lt;=$B865)*(A_Corridor!$B$5:$B$204&gt;$B865)*(A_Corridor!$H$5:$H$204&lt;&gt;"")),IF(A_Corridor!$H$5:$H$204="-","",1)),"")</f>
        <v/>
      </c>
      <c r="M865" s="182" t="str">
        <f>IFERROR(LOOKUP(2,1/((A_Corridor!$A$5:$A$204&lt;&gt;"")*(A_Corridor!$A$5:$A$204&lt;=$B865)*(A_Corridor!$B$5:$B$204&gt;$B865)*(A_Corridor!$H$5:$H$204&lt;&gt;"")),IF(A_Corridor!$H$5:$H$204="-","",A_Corridor!$H$5:$H$204)),"")</f>
        <v/>
      </c>
      <c r="N865" s="182" t="str">
        <f>IFERROR(LOOKUP(2,1/((A_Corridor!$A$5:$A$204&lt;&gt;"")*(A_Corridor!$A$5:$A$204&lt;=$B865)*(A_Corridor!$B$5:$B$204&gt;$B865)*(A_Corridor!$I$5:$I$204&lt;&gt;"")),IF(A_Corridor!$I$5:$I$204="-","",A_Corridor!$I$5:$I$204)),"")</f>
        <v/>
      </c>
      <c r="O865" s="182" t="str">
        <f>IFERROR(LOOKUP(2,1/((D_Points!$A$5:$A$204&lt;&gt;"")*(D_Points!$A$5:$A$204&gt;=$B865)*(D_Points!$A$5:$A$204&lt;$B865+P_Interval)*(UPPER(TRIM(D_Points!$B$5:$B$204))="PITCHING")*(D_Points!$H$5:$H$204&lt;&gt;"")),D_Points!$H$5:$H$204),"")</f>
        <v/>
      </c>
      <c r="P865" s="181" t="str">
        <f>IFERROR(LOOKUP(2,1/((B_Drainage!$A$5:$A$204&lt;&gt;"")*(B_Drainage!$A$5:$A$204&lt;=$B865)*(B_Drainage!$B$5:$B$204&gt;$B865)*(B_Drainage!$C$5:$C$204&lt;&gt;"")),IF(B_Drainage!$C$5:$C$204="-","",UPPER(B_Drainage!$C$5:$C$204))),"")</f>
        <v/>
      </c>
      <c r="Q865" s="181" t="str">
        <f>IFERROR(LOOKUP(2,1/((B_Drainage!$A$5:$A$204&lt;&gt;"")*(B_Drainage!$A$5:$A$204&lt;=$B865)*(B_Drainage!$B$5:$B$204&gt;$B865)*(B_Drainage!$D$5:$D$204&lt;&gt;"")),IF(B_Drainage!$D$5:$D$204="-","",UPPER(B_Drainage!$D$5:$D$204))),"")</f>
        <v/>
      </c>
      <c r="R865" s="182" t="str">
        <f>IFERROR(LOOKUP(2,1/((D_Points!$A$5:$A$204&lt;&gt;"")*(D_Points!$A$5:$A$204&gt;=$B865)*(D_Points!$A$5:$A$204&lt;$B865+P_Interval)*(RIGHT(UPPER(TRIM(D_Points!$B$5:$B$204)),8)="_CULVERT")),IF(LEFT(UPPER(TRIM(D_Points!$B$5:$B$204)),2)="EX",1,IF(LEFT(UPPER(TRIM(D_Points!$B$5:$B$204)),2)="PR",2,3))),"")</f>
        <v/>
      </c>
      <c r="S865" s="182" t="str">
        <f>IFERROR(LOOKUP(2,1/((D_Points!$A$5:$A$204&lt;&gt;"")*(D_Points!$A$5:$A$204&gt;=$B865)*(D_Points!$A$5:$A$204&lt;$B865+P_Interval)*(RIGHT(UPPER(TRIM(D_Points!$B$5:$B$204)),7)="_BRIDGE")),IF(LEFT(UPPER(TRIM(D_Points!$B$5:$B$204)),2)="EX",1,IF(LEFT(UPPER(TRIM(D_Points!$B$5:$B$204)),2)="PR",2,2))),"")</f>
        <v/>
      </c>
      <c r="T865" s="181" t="str">
        <f>IFERROR(LOOKUP(2,1/((B_Drainage!$A$5:$A$204&lt;&gt;"")*(B_Drainage!$A$5:$A$204&lt;=$B865)*(B_Drainage!$B$5:$B$204&gt;$B865)*(B_Drainage!$E$5:$E$204&lt;&gt;"")),IF(B_Drainage!$E$5:$E$204="-","",1)),"")</f>
        <v/>
      </c>
      <c r="U865" s="181" t="str">
        <f>IFERROR(LOOKUP(2,1/((B_Drainage!$A$5:$A$204&lt;&gt;"")*(B_Drainage!$A$5:$A$204&lt;=$B865)*(B_Drainage!$B$5:$B$204&gt;$B865)*(B_Drainage!$E$5:$E$204&lt;&gt;"")),IF(B_Drainage!$E$5:$E$204="-","",B_Drainage!$E$5:$E$204)),"")</f>
        <v/>
      </c>
      <c r="V865" s="181" t="str">
        <f>IFERROR(LOOKUP(2,1/((B_Drainage!$A$5:$A$204&lt;&gt;"")*(B_Drainage!$A$5:$A$204&lt;=$B865)*(B_Drainage!$B$5:$B$204&gt;$B865)*(B_Drainage!$F$5:$F$204&lt;&gt;"")),IF(B_Drainage!$F$5:$F$204="-","",1)),"")</f>
        <v/>
      </c>
      <c r="W865" s="181" t="str">
        <f>IFERROR(LOOKUP(2,1/((B_Drainage!$A$5:$A$204&lt;&gt;"")*(B_Drainage!$A$5:$A$204&lt;=$B865)*(B_Drainage!$B$5:$B$204&gt;$B865)*(B_Drainage!$F$5:$F$204&lt;&gt;"")),IF(B_Drainage!$F$5:$F$204="-","",B_Drainage!$F$5:$F$204)),"")</f>
        <v/>
      </c>
      <c r="X865" s="181" t="str">
        <f>IFERROR(LOOKUP(2,1/((B_Drainage!$A$5:$A$204&lt;&gt;"")*(B_Drainage!$A$5:$A$204&lt;=$B865)*(B_Drainage!$B$5:$B$204&gt;$B865)*(B_Drainage!$G$5:$G$204&lt;&gt;"")),IF(UPPER(B_Drainage!$G$5:$G$204)="Y",1,"")),"")</f>
        <v/>
      </c>
      <c r="Y865" s="181" t="str">
        <f>IFERROR(LOOKUP(2,1/((B_Drainage!$A$5:$A$204&lt;&gt;"")*(B_Drainage!$A$5:$A$204&lt;=$B865)*(B_Drainage!$B$5:$B$204&gt;$B865)*(B_Drainage!$H$5:$H$204&lt;&gt;"")),IF(UPPER(B_Drainage!$H$5:$H$204)="Y",1,"")),"")</f>
        <v/>
      </c>
      <c r="Z865" s="181" t="str">
        <f>IFERROR(LOOKUP(2,1/((B_Drainage!$A$5:$A$204&lt;&gt;"")*(B_Drainage!$A$5:$A$204&lt;=$B865)*(B_Drainage!$B$5:$B$204&gt;$B865)*(B_Drainage!$I$5:$I$204&lt;&gt;"")),IF(UPPER(B_Drainage!$I$5:$I$204)="Y",1,"")),"")</f>
        <v/>
      </c>
      <c r="AA865" s="181" t="str">
        <f>IFERROR(LOOKUP(2,1/((B_Drainage!$A$5:$A$204&lt;&gt;"")*(B_Drainage!$A$5:$A$204&lt;=$B865)*(B_Drainage!$B$5:$B$204&gt;$B865)*(B_Drainage!$J$5:$J$204&lt;&gt;"")),IF(UPPER(B_Drainage!$J$5:$J$204)="Y",1,"")),"")</f>
        <v/>
      </c>
      <c r="AB865" s="182" t="str">
        <f>IFERROR(LOOKUP(2,1/((B_Drainage!$A$5:$A$204&lt;&gt;"")*(B_Drainage!$A$5:$A$204&lt;=$B865)*(B_Drainage!$B$5:$B$204&gt;$B865)*(B_Drainage!$K$5:$K$204&lt;&gt;"")),IF(B_Drainage!$K$5:$K$204="-","",B_Drainage!$K$5:$K$204)),"")</f>
        <v/>
      </c>
      <c r="AC865" s="182" t="str">
        <f>IFERROR(LOOKUP(2,1/((B_Drainage!$A$5:$A$204&lt;&gt;"")*(B_Drainage!$A$5:$A$204&lt;=$B865)*(B_Drainage!$B$5:$B$204&gt;$B865)*(B_Drainage!$L$5:$L$204&lt;&gt;"")),IF(B_Drainage!$L$5:$L$204="-","",B_Drainage!$L$5:$L$204)),"")</f>
        <v/>
      </c>
      <c r="AD865" s="182" t="str">
        <f>IFERROR(LOOKUP(2,1/((D_Points!$A$5:$A$204&lt;&gt;"")*(D_Points!$A$5:$A$204&gt;=$B865)*(D_Points!$A$5:$A$204&lt;$B865+P_Interval)*(UPPER(TRIM(D_Points!$B$5:$B$204))="TURNOUT_L")*(D_Points!$H$5:$H$204&lt;&gt;"")),D_Points!$H$5:$H$204),"")</f>
        <v/>
      </c>
      <c r="AE865" s="182" t="str">
        <f>IFERROR(LOOKUP(2,1/((D_Points!$A$5:$A$204&lt;&gt;"")*(D_Points!$A$5:$A$204&gt;=$B865)*(D_Points!$A$5:$A$204&lt;$B865+P_Interval)*(UPPER(TRIM(D_Points!$B$5:$B$204))="TURNOUT_R")*(D_Points!$H$5:$H$204&lt;&gt;"")),D_Points!$H$5:$H$204),"")</f>
        <v/>
      </c>
      <c r="AF865" s="181" t="str">
        <f>IFERROR(LOOKUP(2,1/((B_Drainage!$A$5:$A$204&lt;&gt;"")*(B_Drainage!$A$5:$A$204&lt;=$B865)*(B_Drainage!$B$5:$B$204&gt;$B865)*(B_Drainage!$M$5:$M$204&lt;&gt;"")),IF(UPPER(B_Drainage!$M$5:$M$204)="Y",1,"")),"")</f>
        <v/>
      </c>
      <c r="AG865" s="181" t="str">
        <f>IFERROR(LOOKUP(2,1/((B_Drainage!$A$5:$A$204&lt;&gt;"")*(B_Drainage!$A$5:$A$204&lt;=$B865)*(B_Drainage!$B$5:$B$204&gt;$B865)*(B_Drainage!$N$5:$N$204&lt;&gt;"")),IF(UPPER(B_Drainage!$N$5:$N$204)="Y",1,"")),"")</f>
        <v/>
      </c>
      <c r="AH865" s="181" t="str">
        <f t="shared" si="104"/>
        <v/>
      </c>
      <c r="AI865" s="181" t="str">
        <f t="shared" si="105"/>
        <v/>
      </c>
      <c r="AJ865" s="181" t="str">
        <f t="shared" si="106"/>
        <v/>
      </c>
      <c r="AK865" s="181" t="str">
        <f t="shared" si="107"/>
        <v/>
      </c>
      <c r="AL865" s="181" t="str">
        <f t="shared" si="108"/>
        <v/>
      </c>
      <c r="AM865" s="181" t="str">
        <f t="shared" si="109"/>
        <v/>
      </c>
      <c r="AN865" s="181" t="str">
        <f t="shared" si="110"/>
        <v/>
      </c>
      <c r="AO865" s="192" t="str">
        <f t="shared" si="111"/>
        <v/>
      </c>
      <c r="AQ865" t="str">
        <f>IFERROR(LOOKUP(2,1/((C_Pavement!$A$5:$A$204&lt;&gt;"")*(C_Pavement!$A$5:$A$204&lt;=$B865)*(C_Pavement!$B$5:$B$204&gt;$B865)*(C_Pavement!$C$5:$C$204&lt;&gt;"")),ROW(C_Pavement!$C$5:$C$204)-4),"")</f>
        <v/>
      </c>
      <c r="AR865" t="str">
        <f>IF($AQ865="","",UPPER(TRIM(INDEX(C_Pavement!$C$5:$C$204,$AQ865))))</f>
        <v/>
      </c>
      <c r="AS865" t="str">
        <f>IF($AR865="","",IFERROR(MATCH($AR865,E_Rules!$A$5:$A$9,0),""))</f>
        <v/>
      </c>
      <c r="AT865" t="str">
        <f>IF($AQ865="","",IF(INDEX(C_Pavement!$D$5:$D$204,$AQ865)&lt;&gt;"",UPPER(TRIM(INDEX(C_Pavement!$D$5:$D$204,$AQ865))),IF($AS865="","",INDEX(E_Rules!$C$5:$C$9,$AS865))))</f>
        <v/>
      </c>
      <c r="AU865" t="str">
        <f>IF($AQ865="","",IF(INDEX(C_Pavement!$E$5:$E$204,$AQ865)&lt;&gt;"",IF(INDEX(C_Pavement!$E$5:$E$204,$AQ865)="-","",INDEX(C_Pavement!$E$5:$E$204,$AQ865)),IF($AS865="","",INDEX(E_Rules!$D$5:$D$9,$AS865))))</f>
        <v/>
      </c>
      <c r="AV865" t="str">
        <f>IF($AQ865="","",IF(INDEX(C_Pavement!$F$5:$F$204,$AQ865)&lt;&gt;"",IF(INDEX(C_Pavement!$F$5:$F$204,$AQ865)="-","",INDEX(C_Pavement!$F$5:$F$204,$AQ865)),IF($AS865="","",INDEX(E_Rules!$E$5:$E$9,$AS865))))</f>
        <v/>
      </c>
      <c r="AW865" t="str">
        <f>IF($AQ865="","",IF(INDEX(C_Pavement!$G$5:$G$204,$AQ865)&lt;&gt;"",IF(INDEX(C_Pavement!$G$5:$G$204,$AQ865)="-","",INDEX(C_Pavement!$G$5:$G$204,$AQ865)),IF($AS865="","",INDEX(E_Rules!$F$5:$F$9,$AS865))))</f>
        <v/>
      </c>
      <c r="AX865" t="str">
        <f>IF($AQ865="","",IF(INDEX(C_Pavement!$H$5:$H$204,$AQ865)&lt;&gt;"",IF(INDEX(C_Pavement!$H$5:$H$204,$AQ865)="-","",INDEX(C_Pavement!$H$5:$H$204,$AQ865)),IF($AS865="","",INDEX(E_Rules!$G$5:$G$9,$AS865))))</f>
        <v/>
      </c>
      <c r="AY865" t="str">
        <f>IF($AQ865="","",IF(INDEX(C_Pavement!$I$5:$I$204,$AQ865)&lt;&gt;"",IF(INDEX(C_Pavement!$I$5:$I$204,$AQ865)="-","",INDEX(C_Pavement!$I$5:$I$204,$AQ865)),IF($AS865="","",INDEX(E_Rules!$H$5:$H$9,$AS865))))</f>
        <v/>
      </c>
    </row>
    <row r="866" spans="1:51" ht="15.75" customHeight="1" x14ac:dyDescent="0.3">
      <c r="A866" s="189">
        <v>861</v>
      </c>
      <c r="B866" s="180">
        <v>43000</v>
      </c>
      <c r="C866" s="180" t="s">
        <v>1172</v>
      </c>
      <c r="D866" s="181" t="str">
        <f>IFERROR(LOOKUP(2,1/((A_Corridor!$A$5:$A$204&lt;&gt;"")*(A_Corridor!$A$5:$A$204&lt;=$B866)*(A_Corridor!$B$5:$B$204&gt;$B866)*(A_Corridor!$C$5:$C$204&lt;&gt;"")),IF(UPPER(A_Corridor!$C$5:$C$204)="Y",1,"")),"")</f>
        <v/>
      </c>
      <c r="E866" s="181" t="str">
        <f>IFERROR(LOOKUP(2,1/((A_Corridor!$A$5:$A$204&lt;&gt;"")*(A_Corridor!$A$5:$A$204&lt;=$B866)*(A_Corridor!$B$5:$B$204&gt;$B866)*(A_Corridor!$D$5:$D$204&lt;&gt;"")),IF(A_Corridor!$D$5:$D$204="-","",UPPER(A_Corridor!$D$5:$D$204))),"")</f>
        <v/>
      </c>
      <c r="F866" s="181" t="str">
        <f>IFERROR(LOOKUP(2,1/((A_Corridor!$A$5:$A$204&lt;&gt;"")*(A_Corridor!$A$5:$A$204&lt;=$B866)*(A_Corridor!$B$5:$B$204&gt;$B866)*(A_Corridor!$E$5:$E$204&lt;&gt;"")),IF(A_Corridor!$E$5:$E$204="-","",1)),"")</f>
        <v/>
      </c>
      <c r="G866" s="182" t="str">
        <f>IFERROR(LOOKUP(2,1/((A_Corridor!$A$5:$A$204&lt;&gt;"")*(A_Corridor!$A$5:$A$204&lt;=$B866)*(A_Corridor!$B$5:$B$204&gt;$B866)*(A_Corridor!$E$5:$E$204&lt;&gt;"")),IF(A_Corridor!$E$5:$E$204="-","",A_Corridor!$E$5:$E$204)),"")</f>
        <v/>
      </c>
      <c r="H866" s="182" t="str">
        <f>IFERROR(LOOKUP(2,1/((D_Points!$A$5:$A$204&lt;&gt;"")*(D_Points!$A$5:$A$204&gt;=$B866)*(D_Points!$A$5:$A$204&lt;$B866+P_Interval)*(UPPER(TRIM(D_Points!$B$5:$B$204))="GULLY")*(D_Points!$H$5:$H$204&lt;&gt;"")),D_Points!$H$5:$H$204),"")</f>
        <v/>
      </c>
      <c r="I866" s="181" t="str">
        <f>IFERROR(LOOKUP(2,1/((A_Corridor!$A$5:$A$204&lt;&gt;"")*(A_Corridor!$A$5:$A$204&lt;=$B866)*(A_Corridor!$B$5:$B$204&gt;$B866)*(A_Corridor!$F$5:$F$204&lt;&gt;"")),IF(A_Corridor!$F$5:$F$204="-","",1)),"")</f>
        <v/>
      </c>
      <c r="J866" s="182" t="str">
        <f>IFERROR(LOOKUP(2,1/((A_Corridor!$A$5:$A$204&lt;&gt;"")*(A_Corridor!$A$5:$A$204&lt;=$B866)*(A_Corridor!$B$5:$B$204&gt;$B866)*(A_Corridor!$F$5:$F$204&lt;&gt;"")),IF(A_Corridor!$F$5:$F$204="-","",A_Corridor!$F$5:$F$204)),"")</f>
        <v/>
      </c>
      <c r="K866" s="182" t="str">
        <f>IFERROR(LOOKUP(2,1/((A_Corridor!$A$5:$A$204&lt;&gt;"")*(A_Corridor!$A$5:$A$204&lt;=$B866)*(A_Corridor!$B$5:$B$204&gt;$B866)*(A_Corridor!$G$5:$G$204&lt;&gt;"")),IF(A_Corridor!$G$5:$G$204="-","",A_Corridor!$G$5:$G$204)),"")</f>
        <v/>
      </c>
      <c r="L866" s="181" t="str">
        <f>IFERROR(LOOKUP(2,1/((A_Corridor!$A$5:$A$204&lt;&gt;"")*(A_Corridor!$A$5:$A$204&lt;=$B866)*(A_Corridor!$B$5:$B$204&gt;$B866)*(A_Corridor!$H$5:$H$204&lt;&gt;"")),IF(A_Corridor!$H$5:$H$204="-","",1)),"")</f>
        <v/>
      </c>
      <c r="M866" s="182" t="str">
        <f>IFERROR(LOOKUP(2,1/((A_Corridor!$A$5:$A$204&lt;&gt;"")*(A_Corridor!$A$5:$A$204&lt;=$B866)*(A_Corridor!$B$5:$B$204&gt;$B866)*(A_Corridor!$H$5:$H$204&lt;&gt;"")),IF(A_Corridor!$H$5:$H$204="-","",A_Corridor!$H$5:$H$204)),"")</f>
        <v/>
      </c>
      <c r="N866" s="182" t="str">
        <f>IFERROR(LOOKUP(2,1/((A_Corridor!$A$5:$A$204&lt;&gt;"")*(A_Corridor!$A$5:$A$204&lt;=$B866)*(A_Corridor!$B$5:$B$204&gt;$B866)*(A_Corridor!$I$5:$I$204&lt;&gt;"")),IF(A_Corridor!$I$5:$I$204="-","",A_Corridor!$I$5:$I$204)),"")</f>
        <v/>
      </c>
      <c r="O866" s="182" t="str">
        <f>IFERROR(LOOKUP(2,1/((D_Points!$A$5:$A$204&lt;&gt;"")*(D_Points!$A$5:$A$204&gt;=$B866)*(D_Points!$A$5:$A$204&lt;$B866+P_Interval)*(UPPER(TRIM(D_Points!$B$5:$B$204))="PITCHING")*(D_Points!$H$5:$H$204&lt;&gt;"")),D_Points!$H$5:$H$204),"")</f>
        <v/>
      </c>
      <c r="P866" s="181" t="str">
        <f>IFERROR(LOOKUP(2,1/((B_Drainage!$A$5:$A$204&lt;&gt;"")*(B_Drainage!$A$5:$A$204&lt;=$B866)*(B_Drainage!$B$5:$B$204&gt;$B866)*(B_Drainage!$C$5:$C$204&lt;&gt;"")),IF(B_Drainage!$C$5:$C$204="-","",UPPER(B_Drainage!$C$5:$C$204))),"")</f>
        <v/>
      </c>
      <c r="Q866" s="181" t="str">
        <f>IFERROR(LOOKUP(2,1/((B_Drainage!$A$5:$A$204&lt;&gt;"")*(B_Drainage!$A$5:$A$204&lt;=$B866)*(B_Drainage!$B$5:$B$204&gt;$B866)*(B_Drainage!$D$5:$D$204&lt;&gt;"")),IF(B_Drainage!$D$5:$D$204="-","",UPPER(B_Drainage!$D$5:$D$204))),"")</f>
        <v/>
      </c>
      <c r="R866" s="182" t="str">
        <f>IFERROR(LOOKUP(2,1/((D_Points!$A$5:$A$204&lt;&gt;"")*(D_Points!$A$5:$A$204&gt;=$B866)*(D_Points!$A$5:$A$204&lt;$B866+P_Interval)*(RIGHT(UPPER(TRIM(D_Points!$B$5:$B$204)),8)="_CULVERT")),IF(LEFT(UPPER(TRIM(D_Points!$B$5:$B$204)),2)="EX",1,IF(LEFT(UPPER(TRIM(D_Points!$B$5:$B$204)),2)="PR",2,3))),"")</f>
        <v/>
      </c>
      <c r="S866" s="182" t="str">
        <f>IFERROR(LOOKUP(2,1/((D_Points!$A$5:$A$204&lt;&gt;"")*(D_Points!$A$5:$A$204&gt;=$B866)*(D_Points!$A$5:$A$204&lt;$B866+P_Interval)*(RIGHT(UPPER(TRIM(D_Points!$B$5:$B$204)),7)="_BRIDGE")),IF(LEFT(UPPER(TRIM(D_Points!$B$5:$B$204)),2)="EX",1,IF(LEFT(UPPER(TRIM(D_Points!$B$5:$B$204)),2)="PR",2,2))),"")</f>
        <v/>
      </c>
      <c r="T866" s="181" t="str">
        <f>IFERROR(LOOKUP(2,1/((B_Drainage!$A$5:$A$204&lt;&gt;"")*(B_Drainage!$A$5:$A$204&lt;=$B866)*(B_Drainage!$B$5:$B$204&gt;$B866)*(B_Drainage!$E$5:$E$204&lt;&gt;"")),IF(B_Drainage!$E$5:$E$204="-","",1)),"")</f>
        <v/>
      </c>
      <c r="U866" s="181" t="str">
        <f>IFERROR(LOOKUP(2,1/((B_Drainage!$A$5:$A$204&lt;&gt;"")*(B_Drainage!$A$5:$A$204&lt;=$B866)*(B_Drainage!$B$5:$B$204&gt;$B866)*(B_Drainage!$E$5:$E$204&lt;&gt;"")),IF(B_Drainage!$E$5:$E$204="-","",B_Drainage!$E$5:$E$204)),"")</f>
        <v/>
      </c>
      <c r="V866" s="181" t="str">
        <f>IFERROR(LOOKUP(2,1/((B_Drainage!$A$5:$A$204&lt;&gt;"")*(B_Drainage!$A$5:$A$204&lt;=$B866)*(B_Drainage!$B$5:$B$204&gt;$B866)*(B_Drainage!$F$5:$F$204&lt;&gt;"")),IF(B_Drainage!$F$5:$F$204="-","",1)),"")</f>
        <v/>
      </c>
      <c r="W866" s="181" t="str">
        <f>IFERROR(LOOKUP(2,1/((B_Drainage!$A$5:$A$204&lt;&gt;"")*(B_Drainage!$A$5:$A$204&lt;=$B866)*(B_Drainage!$B$5:$B$204&gt;$B866)*(B_Drainage!$F$5:$F$204&lt;&gt;"")),IF(B_Drainage!$F$5:$F$204="-","",B_Drainage!$F$5:$F$204)),"")</f>
        <v/>
      </c>
      <c r="X866" s="181" t="str">
        <f>IFERROR(LOOKUP(2,1/((B_Drainage!$A$5:$A$204&lt;&gt;"")*(B_Drainage!$A$5:$A$204&lt;=$B866)*(B_Drainage!$B$5:$B$204&gt;$B866)*(B_Drainage!$G$5:$G$204&lt;&gt;"")),IF(UPPER(B_Drainage!$G$5:$G$204)="Y",1,"")),"")</f>
        <v/>
      </c>
      <c r="Y866" s="181" t="str">
        <f>IFERROR(LOOKUP(2,1/((B_Drainage!$A$5:$A$204&lt;&gt;"")*(B_Drainage!$A$5:$A$204&lt;=$B866)*(B_Drainage!$B$5:$B$204&gt;$B866)*(B_Drainage!$H$5:$H$204&lt;&gt;"")),IF(UPPER(B_Drainage!$H$5:$H$204)="Y",1,"")),"")</f>
        <v/>
      </c>
      <c r="Z866" s="181" t="str">
        <f>IFERROR(LOOKUP(2,1/((B_Drainage!$A$5:$A$204&lt;&gt;"")*(B_Drainage!$A$5:$A$204&lt;=$B866)*(B_Drainage!$B$5:$B$204&gt;$B866)*(B_Drainage!$I$5:$I$204&lt;&gt;"")),IF(UPPER(B_Drainage!$I$5:$I$204)="Y",1,"")),"")</f>
        <v/>
      </c>
      <c r="AA866" s="181" t="str">
        <f>IFERROR(LOOKUP(2,1/((B_Drainage!$A$5:$A$204&lt;&gt;"")*(B_Drainage!$A$5:$A$204&lt;=$B866)*(B_Drainage!$B$5:$B$204&gt;$B866)*(B_Drainage!$J$5:$J$204&lt;&gt;"")),IF(UPPER(B_Drainage!$J$5:$J$204)="Y",1,"")),"")</f>
        <v/>
      </c>
      <c r="AB866" s="182" t="str">
        <f>IFERROR(LOOKUP(2,1/((B_Drainage!$A$5:$A$204&lt;&gt;"")*(B_Drainage!$A$5:$A$204&lt;=$B866)*(B_Drainage!$B$5:$B$204&gt;$B866)*(B_Drainage!$K$5:$K$204&lt;&gt;"")),IF(B_Drainage!$K$5:$K$204="-","",B_Drainage!$K$5:$K$204)),"")</f>
        <v/>
      </c>
      <c r="AC866" s="182" t="str">
        <f>IFERROR(LOOKUP(2,1/((B_Drainage!$A$5:$A$204&lt;&gt;"")*(B_Drainage!$A$5:$A$204&lt;=$B866)*(B_Drainage!$B$5:$B$204&gt;$B866)*(B_Drainage!$L$5:$L$204&lt;&gt;"")),IF(B_Drainage!$L$5:$L$204="-","",B_Drainage!$L$5:$L$204)),"")</f>
        <v/>
      </c>
      <c r="AD866" s="182" t="str">
        <f>IFERROR(LOOKUP(2,1/((D_Points!$A$5:$A$204&lt;&gt;"")*(D_Points!$A$5:$A$204&gt;=$B866)*(D_Points!$A$5:$A$204&lt;$B866+P_Interval)*(UPPER(TRIM(D_Points!$B$5:$B$204))="TURNOUT_L")*(D_Points!$H$5:$H$204&lt;&gt;"")),D_Points!$H$5:$H$204),"")</f>
        <v/>
      </c>
      <c r="AE866" s="182" t="str">
        <f>IFERROR(LOOKUP(2,1/((D_Points!$A$5:$A$204&lt;&gt;"")*(D_Points!$A$5:$A$204&gt;=$B866)*(D_Points!$A$5:$A$204&lt;$B866+P_Interval)*(UPPER(TRIM(D_Points!$B$5:$B$204))="TURNOUT_R")*(D_Points!$H$5:$H$204&lt;&gt;"")),D_Points!$H$5:$H$204),"")</f>
        <v/>
      </c>
      <c r="AF866" s="181" t="str">
        <f>IFERROR(LOOKUP(2,1/((B_Drainage!$A$5:$A$204&lt;&gt;"")*(B_Drainage!$A$5:$A$204&lt;=$B866)*(B_Drainage!$B$5:$B$204&gt;$B866)*(B_Drainage!$M$5:$M$204&lt;&gt;"")),IF(UPPER(B_Drainage!$M$5:$M$204)="Y",1,"")),"")</f>
        <v/>
      </c>
      <c r="AG866" s="181" t="str">
        <f>IFERROR(LOOKUP(2,1/((B_Drainage!$A$5:$A$204&lt;&gt;"")*(B_Drainage!$A$5:$A$204&lt;=$B866)*(B_Drainage!$B$5:$B$204&gt;$B866)*(B_Drainage!$N$5:$N$204&lt;&gt;"")),IF(UPPER(B_Drainage!$N$5:$N$204)="Y",1,"")),"")</f>
        <v/>
      </c>
      <c r="AH866" s="181" t="str">
        <f t="shared" si="104"/>
        <v/>
      </c>
      <c r="AI866" s="181" t="str">
        <f t="shared" si="105"/>
        <v/>
      </c>
      <c r="AJ866" s="181" t="str">
        <f t="shared" si="106"/>
        <v/>
      </c>
      <c r="AK866" s="181" t="str">
        <f t="shared" si="107"/>
        <v/>
      </c>
      <c r="AL866" s="181" t="str">
        <f t="shared" si="108"/>
        <v/>
      </c>
      <c r="AM866" s="181" t="str">
        <f t="shared" si="109"/>
        <v/>
      </c>
      <c r="AN866" s="181" t="str">
        <f t="shared" si="110"/>
        <v/>
      </c>
      <c r="AO866" s="192" t="str">
        <f t="shared" si="111"/>
        <v/>
      </c>
      <c r="AQ866" t="str">
        <f>IFERROR(LOOKUP(2,1/((C_Pavement!$A$5:$A$204&lt;&gt;"")*(C_Pavement!$A$5:$A$204&lt;=$B866)*(C_Pavement!$B$5:$B$204&gt;$B866)*(C_Pavement!$C$5:$C$204&lt;&gt;"")),ROW(C_Pavement!$C$5:$C$204)-4),"")</f>
        <v/>
      </c>
      <c r="AR866" t="str">
        <f>IF($AQ866="","",UPPER(TRIM(INDEX(C_Pavement!$C$5:$C$204,$AQ866))))</f>
        <v/>
      </c>
      <c r="AS866" t="str">
        <f>IF($AR866="","",IFERROR(MATCH($AR866,E_Rules!$A$5:$A$9,0),""))</f>
        <v/>
      </c>
      <c r="AT866" t="str">
        <f>IF($AQ866="","",IF(INDEX(C_Pavement!$D$5:$D$204,$AQ866)&lt;&gt;"",UPPER(TRIM(INDEX(C_Pavement!$D$5:$D$204,$AQ866))),IF($AS866="","",INDEX(E_Rules!$C$5:$C$9,$AS866))))</f>
        <v/>
      </c>
      <c r="AU866" t="str">
        <f>IF($AQ866="","",IF(INDEX(C_Pavement!$E$5:$E$204,$AQ866)&lt;&gt;"",IF(INDEX(C_Pavement!$E$5:$E$204,$AQ866)="-","",INDEX(C_Pavement!$E$5:$E$204,$AQ866)),IF($AS866="","",INDEX(E_Rules!$D$5:$D$9,$AS866))))</f>
        <v/>
      </c>
      <c r="AV866" t="str">
        <f>IF($AQ866="","",IF(INDEX(C_Pavement!$F$5:$F$204,$AQ866)&lt;&gt;"",IF(INDEX(C_Pavement!$F$5:$F$204,$AQ866)="-","",INDEX(C_Pavement!$F$5:$F$204,$AQ866)),IF($AS866="","",INDEX(E_Rules!$E$5:$E$9,$AS866))))</f>
        <v/>
      </c>
      <c r="AW866" t="str">
        <f>IF($AQ866="","",IF(INDEX(C_Pavement!$G$5:$G$204,$AQ866)&lt;&gt;"",IF(INDEX(C_Pavement!$G$5:$G$204,$AQ866)="-","",INDEX(C_Pavement!$G$5:$G$204,$AQ866)),IF($AS866="","",INDEX(E_Rules!$F$5:$F$9,$AS866))))</f>
        <v/>
      </c>
      <c r="AX866" t="str">
        <f>IF($AQ866="","",IF(INDEX(C_Pavement!$H$5:$H$204,$AQ866)&lt;&gt;"",IF(INDEX(C_Pavement!$H$5:$H$204,$AQ866)="-","",INDEX(C_Pavement!$H$5:$H$204,$AQ866)),IF($AS866="","",INDEX(E_Rules!$G$5:$G$9,$AS866))))</f>
        <v/>
      </c>
      <c r="AY866" t="str">
        <f>IF($AQ866="","",IF(INDEX(C_Pavement!$I$5:$I$204,$AQ866)&lt;&gt;"",IF(INDEX(C_Pavement!$I$5:$I$204,$AQ866)="-","",INDEX(C_Pavement!$I$5:$I$204,$AQ866)),IF($AS866="","",INDEX(E_Rules!$H$5:$H$9,$AS866))))</f>
        <v/>
      </c>
    </row>
    <row r="867" spans="1:51" ht="15.75" customHeight="1" x14ac:dyDescent="0.3">
      <c r="A867" s="189">
        <v>862</v>
      </c>
      <c r="B867" s="180">
        <v>43050</v>
      </c>
      <c r="C867" s="180" t="s">
        <v>1173</v>
      </c>
      <c r="D867" s="181" t="str">
        <f>IFERROR(LOOKUP(2,1/((A_Corridor!$A$5:$A$204&lt;&gt;"")*(A_Corridor!$A$5:$A$204&lt;=$B867)*(A_Corridor!$B$5:$B$204&gt;$B867)*(A_Corridor!$C$5:$C$204&lt;&gt;"")),IF(UPPER(A_Corridor!$C$5:$C$204)="Y",1,"")),"")</f>
        <v/>
      </c>
      <c r="E867" s="181" t="str">
        <f>IFERROR(LOOKUP(2,1/((A_Corridor!$A$5:$A$204&lt;&gt;"")*(A_Corridor!$A$5:$A$204&lt;=$B867)*(A_Corridor!$B$5:$B$204&gt;$B867)*(A_Corridor!$D$5:$D$204&lt;&gt;"")),IF(A_Corridor!$D$5:$D$204="-","",UPPER(A_Corridor!$D$5:$D$204))),"")</f>
        <v/>
      </c>
      <c r="F867" s="181" t="str">
        <f>IFERROR(LOOKUP(2,1/((A_Corridor!$A$5:$A$204&lt;&gt;"")*(A_Corridor!$A$5:$A$204&lt;=$B867)*(A_Corridor!$B$5:$B$204&gt;$B867)*(A_Corridor!$E$5:$E$204&lt;&gt;"")),IF(A_Corridor!$E$5:$E$204="-","",1)),"")</f>
        <v/>
      </c>
      <c r="G867" s="182" t="str">
        <f>IFERROR(LOOKUP(2,1/((A_Corridor!$A$5:$A$204&lt;&gt;"")*(A_Corridor!$A$5:$A$204&lt;=$B867)*(A_Corridor!$B$5:$B$204&gt;$B867)*(A_Corridor!$E$5:$E$204&lt;&gt;"")),IF(A_Corridor!$E$5:$E$204="-","",A_Corridor!$E$5:$E$204)),"")</f>
        <v/>
      </c>
      <c r="H867" s="182" t="str">
        <f>IFERROR(LOOKUP(2,1/((D_Points!$A$5:$A$204&lt;&gt;"")*(D_Points!$A$5:$A$204&gt;=$B867)*(D_Points!$A$5:$A$204&lt;$B867+P_Interval)*(UPPER(TRIM(D_Points!$B$5:$B$204))="GULLY")*(D_Points!$H$5:$H$204&lt;&gt;"")),D_Points!$H$5:$H$204),"")</f>
        <v/>
      </c>
      <c r="I867" s="181" t="str">
        <f>IFERROR(LOOKUP(2,1/((A_Corridor!$A$5:$A$204&lt;&gt;"")*(A_Corridor!$A$5:$A$204&lt;=$B867)*(A_Corridor!$B$5:$B$204&gt;$B867)*(A_Corridor!$F$5:$F$204&lt;&gt;"")),IF(A_Corridor!$F$5:$F$204="-","",1)),"")</f>
        <v/>
      </c>
      <c r="J867" s="182" t="str">
        <f>IFERROR(LOOKUP(2,1/((A_Corridor!$A$5:$A$204&lt;&gt;"")*(A_Corridor!$A$5:$A$204&lt;=$B867)*(A_Corridor!$B$5:$B$204&gt;$B867)*(A_Corridor!$F$5:$F$204&lt;&gt;"")),IF(A_Corridor!$F$5:$F$204="-","",A_Corridor!$F$5:$F$204)),"")</f>
        <v/>
      </c>
      <c r="K867" s="182" t="str">
        <f>IFERROR(LOOKUP(2,1/((A_Corridor!$A$5:$A$204&lt;&gt;"")*(A_Corridor!$A$5:$A$204&lt;=$B867)*(A_Corridor!$B$5:$B$204&gt;$B867)*(A_Corridor!$G$5:$G$204&lt;&gt;"")),IF(A_Corridor!$G$5:$G$204="-","",A_Corridor!$G$5:$G$204)),"")</f>
        <v/>
      </c>
      <c r="L867" s="181" t="str">
        <f>IFERROR(LOOKUP(2,1/((A_Corridor!$A$5:$A$204&lt;&gt;"")*(A_Corridor!$A$5:$A$204&lt;=$B867)*(A_Corridor!$B$5:$B$204&gt;$B867)*(A_Corridor!$H$5:$H$204&lt;&gt;"")),IF(A_Corridor!$H$5:$H$204="-","",1)),"")</f>
        <v/>
      </c>
      <c r="M867" s="182" t="str">
        <f>IFERROR(LOOKUP(2,1/((A_Corridor!$A$5:$A$204&lt;&gt;"")*(A_Corridor!$A$5:$A$204&lt;=$B867)*(A_Corridor!$B$5:$B$204&gt;$B867)*(A_Corridor!$H$5:$H$204&lt;&gt;"")),IF(A_Corridor!$H$5:$H$204="-","",A_Corridor!$H$5:$H$204)),"")</f>
        <v/>
      </c>
      <c r="N867" s="182" t="str">
        <f>IFERROR(LOOKUP(2,1/((A_Corridor!$A$5:$A$204&lt;&gt;"")*(A_Corridor!$A$5:$A$204&lt;=$B867)*(A_Corridor!$B$5:$B$204&gt;$B867)*(A_Corridor!$I$5:$I$204&lt;&gt;"")),IF(A_Corridor!$I$5:$I$204="-","",A_Corridor!$I$5:$I$204)),"")</f>
        <v/>
      </c>
      <c r="O867" s="182" t="str">
        <f>IFERROR(LOOKUP(2,1/((D_Points!$A$5:$A$204&lt;&gt;"")*(D_Points!$A$5:$A$204&gt;=$B867)*(D_Points!$A$5:$A$204&lt;$B867+P_Interval)*(UPPER(TRIM(D_Points!$B$5:$B$204))="PITCHING")*(D_Points!$H$5:$H$204&lt;&gt;"")),D_Points!$H$5:$H$204),"")</f>
        <v/>
      </c>
      <c r="P867" s="181" t="str">
        <f>IFERROR(LOOKUP(2,1/((B_Drainage!$A$5:$A$204&lt;&gt;"")*(B_Drainage!$A$5:$A$204&lt;=$B867)*(B_Drainage!$B$5:$B$204&gt;$B867)*(B_Drainage!$C$5:$C$204&lt;&gt;"")),IF(B_Drainage!$C$5:$C$204="-","",UPPER(B_Drainage!$C$5:$C$204))),"")</f>
        <v/>
      </c>
      <c r="Q867" s="181" t="str">
        <f>IFERROR(LOOKUP(2,1/((B_Drainage!$A$5:$A$204&lt;&gt;"")*(B_Drainage!$A$5:$A$204&lt;=$B867)*(B_Drainage!$B$5:$B$204&gt;$B867)*(B_Drainage!$D$5:$D$204&lt;&gt;"")),IF(B_Drainage!$D$5:$D$204="-","",UPPER(B_Drainage!$D$5:$D$204))),"")</f>
        <v/>
      </c>
      <c r="R867" s="182" t="str">
        <f>IFERROR(LOOKUP(2,1/((D_Points!$A$5:$A$204&lt;&gt;"")*(D_Points!$A$5:$A$204&gt;=$B867)*(D_Points!$A$5:$A$204&lt;$B867+P_Interval)*(RIGHT(UPPER(TRIM(D_Points!$B$5:$B$204)),8)="_CULVERT")),IF(LEFT(UPPER(TRIM(D_Points!$B$5:$B$204)),2)="EX",1,IF(LEFT(UPPER(TRIM(D_Points!$B$5:$B$204)),2)="PR",2,3))),"")</f>
        <v/>
      </c>
      <c r="S867" s="182" t="str">
        <f>IFERROR(LOOKUP(2,1/((D_Points!$A$5:$A$204&lt;&gt;"")*(D_Points!$A$5:$A$204&gt;=$B867)*(D_Points!$A$5:$A$204&lt;$B867+P_Interval)*(RIGHT(UPPER(TRIM(D_Points!$B$5:$B$204)),7)="_BRIDGE")),IF(LEFT(UPPER(TRIM(D_Points!$B$5:$B$204)),2)="EX",1,IF(LEFT(UPPER(TRIM(D_Points!$B$5:$B$204)),2)="PR",2,2))),"")</f>
        <v/>
      </c>
      <c r="T867" s="181" t="str">
        <f>IFERROR(LOOKUP(2,1/((B_Drainage!$A$5:$A$204&lt;&gt;"")*(B_Drainage!$A$5:$A$204&lt;=$B867)*(B_Drainage!$B$5:$B$204&gt;$B867)*(B_Drainage!$E$5:$E$204&lt;&gt;"")),IF(B_Drainage!$E$5:$E$204="-","",1)),"")</f>
        <v/>
      </c>
      <c r="U867" s="181" t="str">
        <f>IFERROR(LOOKUP(2,1/((B_Drainage!$A$5:$A$204&lt;&gt;"")*(B_Drainage!$A$5:$A$204&lt;=$B867)*(B_Drainage!$B$5:$B$204&gt;$B867)*(B_Drainage!$E$5:$E$204&lt;&gt;"")),IF(B_Drainage!$E$5:$E$204="-","",B_Drainage!$E$5:$E$204)),"")</f>
        <v/>
      </c>
      <c r="V867" s="181" t="str">
        <f>IFERROR(LOOKUP(2,1/((B_Drainage!$A$5:$A$204&lt;&gt;"")*(B_Drainage!$A$5:$A$204&lt;=$B867)*(B_Drainage!$B$5:$B$204&gt;$B867)*(B_Drainage!$F$5:$F$204&lt;&gt;"")),IF(B_Drainage!$F$5:$F$204="-","",1)),"")</f>
        <v/>
      </c>
      <c r="W867" s="181" t="str">
        <f>IFERROR(LOOKUP(2,1/((B_Drainage!$A$5:$A$204&lt;&gt;"")*(B_Drainage!$A$5:$A$204&lt;=$B867)*(B_Drainage!$B$5:$B$204&gt;$B867)*(B_Drainage!$F$5:$F$204&lt;&gt;"")),IF(B_Drainage!$F$5:$F$204="-","",B_Drainage!$F$5:$F$204)),"")</f>
        <v/>
      </c>
      <c r="X867" s="181" t="str">
        <f>IFERROR(LOOKUP(2,1/((B_Drainage!$A$5:$A$204&lt;&gt;"")*(B_Drainage!$A$5:$A$204&lt;=$B867)*(B_Drainage!$B$5:$B$204&gt;$B867)*(B_Drainage!$G$5:$G$204&lt;&gt;"")),IF(UPPER(B_Drainage!$G$5:$G$204)="Y",1,"")),"")</f>
        <v/>
      </c>
      <c r="Y867" s="181" t="str">
        <f>IFERROR(LOOKUP(2,1/((B_Drainage!$A$5:$A$204&lt;&gt;"")*(B_Drainage!$A$5:$A$204&lt;=$B867)*(B_Drainage!$B$5:$B$204&gt;$B867)*(B_Drainage!$H$5:$H$204&lt;&gt;"")),IF(UPPER(B_Drainage!$H$5:$H$204)="Y",1,"")),"")</f>
        <v/>
      </c>
      <c r="Z867" s="181" t="str">
        <f>IFERROR(LOOKUP(2,1/((B_Drainage!$A$5:$A$204&lt;&gt;"")*(B_Drainage!$A$5:$A$204&lt;=$B867)*(B_Drainage!$B$5:$B$204&gt;$B867)*(B_Drainage!$I$5:$I$204&lt;&gt;"")),IF(UPPER(B_Drainage!$I$5:$I$204)="Y",1,"")),"")</f>
        <v/>
      </c>
      <c r="AA867" s="181" t="str">
        <f>IFERROR(LOOKUP(2,1/((B_Drainage!$A$5:$A$204&lt;&gt;"")*(B_Drainage!$A$5:$A$204&lt;=$B867)*(B_Drainage!$B$5:$B$204&gt;$B867)*(B_Drainage!$J$5:$J$204&lt;&gt;"")),IF(UPPER(B_Drainage!$J$5:$J$204)="Y",1,"")),"")</f>
        <v/>
      </c>
      <c r="AB867" s="182" t="str">
        <f>IFERROR(LOOKUP(2,1/((B_Drainage!$A$5:$A$204&lt;&gt;"")*(B_Drainage!$A$5:$A$204&lt;=$B867)*(B_Drainage!$B$5:$B$204&gt;$B867)*(B_Drainage!$K$5:$K$204&lt;&gt;"")),IF(B_Drainage!$K$5:$K$204="-","",B_Drainage!$K$5:$K$204)),"")</f>
        <v/>
      </c>
      <c r="AC867" s="182" t="str">
        <f>IFERROR(LOOKUP(2,1/((B_Drainage!$A$5:$A$204&lt;&gt;"")*(B_Drainage!$A$5:$A$204&lt;=$B867)*(B_Drainage!$B$5:$B$204&gt;$B867)*(B_Drainage!$L$5:$L$204&lt;&gt;"")),IF(B_Drainage!$L$5:$L$204="-","",B_Drainage!$L$5:$L$204)),"")</f>
        <v/>
      </c>
      <c r="AD867" s="182" t="str">
        <f>IFERROR(LOOKUP(2,1/((D_Points!$A$5:$A$204&lt;&gt;"")*(D_Points!$A$5:$A$204&gt;=$B867)*(D_Points!$A$5:$A$204&lt;$B867+P_Interval)*(UPPER(TRIM(D_Points!$B$5:$B$204))="TURNOUT_L")*(D_Points!$H$5:$H$204&lt;&gt;"")),D_Points!$H$5:$H$204),"")</f>
        <v/>
      </c>
      <c r="AE867" s="182" t="str">
        <f>IFERROR(LOOKUP(2,1/((D_Points!$A$5:$A$204&lt;&gt;"")*(D_Points!$A$5:$A$204&gt;=$B867)*(D_Points!$A$5:$A$204&lt;$B867+P_Interval)*(UPPER(TRIM(D_Points!$B$5:$B$204))="TURNOUT_R")*(D_Points!$H$5:$H$204&lt;&gt;"")),D_Points!$H$5:$H$204),"")</f>
        <v/>
      </c>
      <c r="AF867" s="181" t="str">
        <f>IFERROR(LOOKUP(2,1/((B_Drainage!$A$5:$A$204&lt;&gt;"")*(B_Drainage!$A$5:$A$204&lt;=$B867)*(B_Drainage!$B$5:$B$204&gt;$B867)*(B_Drainage!$M$5:$M$204&lt;&gt;"")),IF(UPPER(B_Drainage!$M$5:$M$204)="Y",1,"")),"")</f>
        <v/>
      </c>
      <c r="AG867" s="181" t="str">
        <f>IFERROR(LOOKUP(2,1/((B_Drainage!$A$5:$A$204&lt;&gt;"")*(B_Drainage!$A$5:$A$204&lt;=$B867)*(B_Drainage!$B$5:$B$204&gt;$B867)*(B_Drainage!$N$5:$N$204&lt;&gt;"")),IF(UPPER(B_Drainage!$N$5:$N$204)="Y",1,"")),"")</f>
        <v/>
      </c>
      <c r="AH867" s="181" t="str">
        <f t="shared" si="104"/>
        <v/>
      </c>
      <c r="AI867" s="181" t="str">
        <f t="shared" si="105"/>
        <v/>
      </c>
      <c r="AJ867" s="181" t="str">
        <f t="shared" si="106"/>
        <v/>
      </c>
      <c r="AK867" s="181" t="str">
        <f t="shared" si="107"/>
        <v/>
      </c>
      <c r="AL867" s="181" t="str">
        <f t="shared" si="108"/>
        <v/>
      </c>
      <c r="AM867" s="181" t="str">
        <f t="shared" si="109"/>
        <v/>
      </c>
      <c r="AN867" s="181" t="str">
        <f t="shared" si="110"/>
        <v/>
      </c>
      <c r="AO867" s="192" t="str">
        <f t="shared" si="111"/>
        <v/>
      </c>
      <c r="AQ867" t="str">
        <f>IFERROR(LOOKUP(2,1/((C_Pavement!$A$5:$A$204&lt;&gt;"")*(C_Pavement!$A$5:$A$204&lt;=$B867)*(C_Pavement!$B$5:$B$204&gt;$B867)*(C_Pavement!$C$5:$C$204&lt;&gt;"")),ROW(C_Pavement!$C$5:$C$204)-4),"")</f>
        <v/>
      </c>
      <c r="AR867" t="str">
        <f>IF($AQ867="","",UPPER(TRIM(INDEX(C_Pavement!$C$5:$C$204,$AQ867))))</f>
        <v/>
      </c>
      <c r="AS867" t="str">
        <f>IF($AR867="","",IFERROR(MATCH($AR867,E_Rules!$A$5:$A$9,0),""))</f>
        <v/>
      </c>
      <c r="AT867" t="str">
        <f>IF($AQ867="","",IF(INDEX(C_Pavement!$D$5:$D$204,$AQ867)&lt;&gt;"",UPPER(TRIM(INDEX(C_Pavement!$D$5:$D$204,$AQ867))),IF($AS867="","",INDEX(E_Rules!$C$5:$C$9,$AS867))))</f>
        <v/>
      </c>
      <c r="AU867" t="str">
        <f>IF($AQ867="","",IF(INDEX(C_Pavement!$E$5:$E$204,$AQ867)&lt;&gt;"",IF(INDEX(C_Pavement!$E$5:$E$204,$AQ867)="-","",INDEX(C_Pavement!$E$5:$E$204,$AQ867)),IF($AS867="","",INDEX(E_Rules!$D$5:$D$9,$AS867))))</f>
        <v/>
      </c>
      <c r="AV867" t="str">
        <f>IF($AQ867="","",IF(INDEX(C_Pavement!$F$5:$F$204,$AQ867)&lt;&gt;"",IF(INDEX(C_Pavement!$F$5:$F$204,$AQ867)="-","",INDEX(C_Pavement!$F$5:$F$204,$AQ867)),IF($AS867="","",INDEX(E_Rules!$E$5:$E$9,$AS867))))</f>
        <v/>
      </c>
      <c r="AW867" t="str">
        <f>IF($AQ867="","",IF(INDEX(C_Pavement!$G$5:$G$204,$AQ867)&lt;&gt;"",IF(INDEX(C_Pavement!$G$5:$G$204,$AQ867)="-","",INDEX(C_Pavement!$G$5:$G$204,$AQ867)),IF($AS867="","",INDEX(E_Rules!$F$5:$F$9,$AS867))))</f>
        <v/>
      </c>
      <c r="AX867" t="str">
        <f>IF($AQ867="","",IF(INDEX(C_Pavement!$H$5:$H$204,$AQ867)&lt;&gt;"",IF(INDEX(C_Pavement!$H$5:$H$204,$AQ867)="-","",INDEX(C_Pavement!$H$5:$H$204,$AQ867)),IF($AS867="","",INDEX(E_Rules!$G$5:$G$9,$AS867))))</f>
        <v/>
      </c>
      <c r="AY867" t="str">
        <f>IF($AQ867="","",IF(INDEX(C_Pavement!$I$5:$I$204,$AQ867)&lt;&gt;"",IF(INDEX(C_Pavement!$I$5:$I$204,$AQ867)="-","",INDEX(C_Pavement!$I$5:$I$204,$AQ867)),IF($AS867="","",INDEX(E_Rules!$H$5:$H$9,$AS867))))</f>
        <v/>
      </c>
    </row>
    <row r="868" spans="1:51" ht="15.75" customHeight="1" x14ac:dyDescent="0.3">
      <c r="A868" s="189">
        <v>863</v>
      </c>
      <c r="B868" s="180">
        <v>43100</v>
      </c>
      <c r="C868" s="180" t="s">
        <v>1174</v>
      </c>
      <c r="D868" s="181" t="str">
        <f>IFERROR(LOOKUP(2,1/((A_Corridor!$A$5:$A$204&lt;&gt;"")*(A_Corridor!$A$5:$A$204&lt;=$B868)*(A_Corridor!$B$5:$B$204&gt;$B868)*(A_Corridor!$C$5:$C$204&lt;&gt;"")),IF(UPPER(A_Corridor!$C$5:$C$204)="Y",1,"")),"")</f>
        <v/>
      </c>
      <c r="E868" s="181" t="str">
        <f>IFERROR(LOOKUP(2,1/((A_Corridor!$A$5:$A$204&lt;&gt;"")*(A_Corridor!$A$5:$A$204&lt;=$B868)*(A_Corridor!$B$5:$B$204&gt;$B868)*(A_Corridor!$D$5:$D$204&lt;&gt;"")),IF(A_Corridor!$D$5:$D$204="-","",UPPER(A_Corridor!$D$5:$D$204))),"")</f>
        <v/>
      </c>
      <c r="F868" s="181" t="str">
        <f>IFERROR(LOOKUP(2,1/((A_Corridor!$A$5:$A$204&lt;&gt;"")*(A_Corridor!$A$5:$A$204&lt;=$B868)*(A_Corridor!$B$5:$B$204&gt;$B868)*(A_Corridor!$E$5:$E$204&lt;&gt;"")),IF(A_Corridor!$E$5:$E$204="-","",1)),"")</f>
        <v/>
      </c>
      <c r="G868" s="182" t="str">
        <f>IFERROR(LOOKUP(2,1/((A_Corridor!$A$5:$A$204&lt;&gt;"")*(A_Corridor!$A$5:$A$204&lt;=$B868)*(A_Corridor!$B$5:$B$204&gt;$B868)*(A_Corridor!$E$5:$E$204&lt;&gt;"")),IF(A_Corridor!$E$5:$E$204="-","",A_Corridor!$E$5:$E$204)),"")</f>
        <v/>
      </c>
      <c r="H868" s="182" t="str">
        <f>IFERROR(LOOKUP(2,1/((D_Points!$A$5:$A$204&lt;&gt;"")*(D_Points!$A$5:$A$204&gt;=$B868)*(D_Points!$A$5:$A$204&lt;$B868+P_Interval)*(UPPER(TRIM(D_Points!$B$5:$B$204))="GULLY")*(D_Points!$H$5:$H$204&lt;&gt;"")),D_Points!$H$5:$H$204),"")</f>
        <v/>
      </c>
      <c r="I868" s="181" t="str">
        <f>IFERROR(LOOKUP(2,1/((A_Corridor!$A$5:$A$204&lt;&gt;"")*(A_Corridor!$A$5:$A$204&lt;=$B868)*(A_Corridor!$B$5:$B$204&gt;$B868)*(A_Corridor!$F$5:$F$204&lt;&gt;"")),IF(A_Corridor!$F$5:$F$204="-","",1)),"")</f>
        <v/>
      </c>
      <c r="J868" s="182" t="str">
        <f>IFERROR(LOOKUP(2,1/((A_Corridor!$A$5:$A$204&lt;&gt;"")*(A_Corridor!$A$5:$A$204&lt;=$B868)*(A_Corridor!$B$5:$B$204&gt;$B868)*(A_Corridor!$F$5:$F$204&lt;&gt;"")),IF(A_Corridor!$F$5:$F$204="-","",A_Corridor!$F$5:$F$204)),"")</f>
        <v/>
      </c>
      <c r="K868" s="182" t="str">
        <f>IFERROR(LOOKUP(2,1/((A_Corridor!$A$5:$A$204&lt;&gt;"")*(A_Corridor!$A$5:$A$204&lt;=$B868)*(A_Corridor!$B$5:$B$204&gt;$B868)*(A_Corridor!$G$5:$G$204&lt;&gt;"")),IF(A_Corridor!$G$5:$G$204="-","",A_Corridor!$G$5:$G$204)),"")</f>
        <v/>
      </c>
      <c r="L868" s="181" t="str">
        <f>IFERROR(LOOKUP(2,1/((A_Corridor!$A$5:$A$204&lt;&gt;"")*(A_Corridor!$A$5:$A$204&lt;=$B868)*(A_Corridor!$B$5:$B$204&gt;$B868)*(A_Corridor!$H$5:$H$204&lt;&gt;"")),IF(A_Corridor!$H$5:$H$204="-","",1)),"")</f>
        <v/>
      </c>
      <c r="M868" s="182" t="str">
        <f>IFERROR(LOOKUP(2,1/((A_Corridor!$A$5:$A$204&lt;&gt;"")*(A_Corridor!$A$5:$A$204&lt;=$B868)*(A_Corridor!$B$5:$B$204&gt;$B868)*(A_Corridor!$H$5:$H$204&lt;&gt;"")),IF(A_Corridor!$H$5:$H$204="-","",A_Corridor!$H$5:$H$204)),"")</f>
        <v/>
      </c>
      <c r="N868" s="182" t="str">
        <f>IFERROR(LOOKUP(2,1/((A_Corridor!$A$5:$A$204&lt;&gt;"")*(A_Corridor!$A$5:$A$204&lt;=$B868)*(A_Corridor!$B$5:$B$204&gt;$B868)*(A_Corridor!$I$5:$I$204&lt;&gt;"")),IF(A_Corridor!$I$5:$I$204="-","",A_Corridor!$I$5:$I$204)),"")</f>
        <v/>
      </c>
      <c r="O868" s="182" t="str">
        <f>IFERROR(LOOKUP(2,1/((D_Points!$A$5:$A$204&lt;&gt;"")*(D_Points!$A$5:$A$204&gt;=$B868)*(D_Points!$A$5:$A$204&lt;$B868+P_Interval)*(UPPER(TRIM(D_Points!$B$5:$B$204))="PITCHING")*(D_Points!$H$5:$H$204&lt;&gt;"")),D_Points!$H$5:$H$204),"")</f>
        <v/>
      </c>
      <c r="P868" s="181" t="str">
        <f>IFERROR(LOOKUP(2,1/((B_Drainage!$A$5:$A$204&lt;&gt;"")*(B_Drainage!$A$5:$A$204&lt;=$B868)*(B_Drainage!$B$5:$B$204&gt;$B868)*(B_Drainage!$C$5:$C$204&lt;&gt;"")),IF(B_Drainage!$C$5:$C$204="-","",UPPER(B_Drainage!$C$5:$C$204))),"")</f>
        <v/>
      </c>
      <c r="Q868" s="181" t="str">
        <f>IFERROR(LOOKUP(2,1/((B_Drainage!$A$5:$A$204&lt;&gt;"")*(B_Drainage!$A$5:$A$204&lt;=$B868)*(B_Drainage!$B$5:$B$204&gt;$B868)*(B_Drainage!$D$5:$D$204&lt;&gt;"")),IF(B_Drainage!$D$5:$D$204="-","",UPPER(B_Drainage!$D$5:$D$204))),"")</f>
        <v/>
      </c>
      <c r="R868" s="182" t="str">
        <f>IFERROR(LOOKUP(2,1/((D_Points!$A$5:$A$204&lt;&gt;"")*(D_Points!$A$5:$A$204&gt;=$B868)*(D_Points!$A$5:$A$204&lt;$B868+P_Interval)*(RIGHT(UPPER(TRIM(D_Points!$B$5:$B$204)),8)="_CULVERT")),IF(LEFT(UPPER(TRIM(D_Points!$B$5:$B$204)),2)="EX",1,IF(LEFT(UPPER(TRIM(D_Points!$B$5:$B$204)),2)="PR",2,3))),"")</f>
        <v/>
      </c>
      <c r="S868" s="182" t="str">
        <f>IFERROR(LOOKUP(2,1/((D_Points!$A$5:$A$204&lt;&gt;"")*(D_Points!$A$5:$A$204&gt;=$B868)*(D_Points!$A$5:$A$204&lt;$B868+P_Interval)*(RIGHT(UPPER(TRIM(D_Points!$B$5:$B$204)),7)="_BRIDGE")),IF(LEFT(UPPER(TRIM(D_Points!$B$5:$B$204)),2)="EX",1,IF(LEFT(UPPER(TRIM(D_Points!$B$5:$B$204)),2)="PR",2,2))),"")</f>
        <v/>
      </c>
      <c r="T868" s="181" t="str">
        <f>IFERROR(LOOKUP(2,1/((B_Drainage!$A$5:$A$204&lt;&gt;"")*(B_Drainage!$A$5:$A$204&lt;=$B868)*(B_Drainage!$B$5:$B$204&gt;$B868)*(B_Drainage!$E$5:$E$204&lt;&gt;"")),IF(B_Drainage!$E$5:$E$204="-","",1)),"")</f>
        <v/>
      </c>
      <c r="U868" s="181" t="str">
        <f>IFERROR(LOOKUP(2,1/((B_Drainage!$A$5:$A$204&lt;&gt;"")*(B_Drainage!$A$5:$A$204&lt;=$B868)*(B_Drainage!$B$5:$B$204&gt;$B868)*(B_Drainage!$E$5:$E$204&lt;&gt;"")),IF(B_Drainage!$E$5:$E$204="-","",B_Drainage!$E$5:$E$204)),"")</f>
        <v/>
      </c>
      <c r="V868" s="181" t="str">
        <f>IFERROR(LOOKUP(2,1/((B_Drainage!$A$5:$A$204&lt;&gt;"")*(B_Drainage!$A$5:$A$204&lt;=$B868)*(B_Drainage!$B$5:$B$204&gt;$B868)*(B_Drainage!$F$5:$F$204&lt;&gt;"")),IF(B_Drainage!$F$5:$F$204="-","",1)),"")</f>
        <v/>
      </c>
      <c r="W868" s="181" t="str">
        <f>IFERROR(LOOKUP(2,1/((B_Drainage!$A$5:$A$204&lt;&gt;"")*(B_Drainage!$A$5:$A$204&lt;=$B868)*(B_Drainage!$B$5:$B$204&gt;$B868)*(B_Drainage!$F$5:$F$204&lt;&gt;"")),IF(B_Drainage!$F$5:$F$204="-","",B_Drainage!$F$5:$F$204)),"")</f>
        <v/>
      </c>
      <c r="X868" s="181" t="str">
        <f>IFERROR(LOOKUP(2,1/((B_Drainage!$A$5:$A$204&lt;&gt;"")*(B_Drainage!$A$5:$A$204&lt;=$B868)*(B_Drainage!$B$5:$B$204&gt;$B868)*(B_Drainage!$G$5:$G$204&lt;&gt;"")),IF(UPPER(B_Drainage!$G$5:$G$204)="Y",1,"")),"")</f>
        <v/>
      </c>
      <c r="Y868" s="181" t="str">
        <f>IFERROR(LOOKUP(2,1/((B_Drainage!$A$5:$A$204&lt;&gt;"")*(B_Drainage!$A$5:$A$204&lt;=$B868)*(B_Drainage!$B$5:$B$204&gt;$B868)*(B_Drainage!$H$5:$H$204&lt;&gt;"")),IF(UPPER(B_Drainage!$H$5:$H$204)="Y",1,"")),"")</f>
        <v/>
      </c>
      <c r="Z868" s="181" t="str">
        <f>IFERROR(LOOKUP(2,1/((B_Drainage!$A$5:$A$204&lt;&gt;"")*(B_Drainage!$A$5:$A$204&lt;=$B868)*(B_Drainage!$B$5:$B$204&gt;$B868)*(B_Drainage!$I$5:$I$204&lt;&gt;"")),IF(UPPER(B_Drainage!$I$5:$I$204)="Y",1,"")),"")</f>
        <v/>
      </c>
      <c r="AA868" s="181" t="str">
        <f>IFERROR(LOOKUP(2,1/((B_Drainage!$A$5:$A$204&lt;&gt;"")*(B_Drainage!$A$5:$A$204&lt;=$B868)*(B_Drainage!$B$5:$B$204&gt;$B868)*(B_Drainage!$J$5:$J$204&lt;&gt;"")),IF(UPPER(B_Drainage!$J$5:$J$204)="Y",1,"")),"")</f>
        <v/>
      </c>
      <c r="AB868" s="182" t="str">
        <f>IFERROR(LOOKUP(2,1/((B_Drainage!$A$5:$A$204&lt;&gt;"")*(B_Drainage!$A$5:$A$204&lt;=$B868)*(B_Drainage!$B$5:$B$204&gt;$B868)*(B_Drainage!$K$5:$K$204&lt;&gt;"")),IF(B_Drainage!$K$5:$K$204="-","",B_Drainage!$K$5:$K$204)),"")</f>
        <v/>
      </c>
      <c r="AC868" s="182" t="str">
        <f>IFERROR(LOOKUP(2,1/((B_Drainage!$A$5:$A$204&lt;&gt;"")*(B_Drainage!$A$5:$A$204&lt;=$B868)*(B_Drainage!$B$5:$B$204&gt;$B868)*(B_Drainage!$L$5:$L$204&lt;&gt;"")),IF(B_Drainage!$L$5:$L$204="-","",B_Drainage!$L$5:$L$204)),"")</f>
        <v/>
      </c>
      <c r="AD868" s="182" t="str">
        <f>IFERROR(LOOKUP(2,1/((D_Points!$A$5:$A$204&lt;&gt;"")*(D_Points!$A$5:$A$204&gt;=$B868)*(D_Points!$A$5:$A$204&lt;$B868+P_Interval)*(UPPER(TRIM(D_Points!$B$5:$B$204))="TURNOUT_L")*(D_Points!$H$5:$H$204&lt;&gt;"")),D_Points!$H$5:$H$204),"")</f>
        <v/>
      </c>
      <c r="AE868" s="182" t="str">
        <f>IFERROR(LOOKUP(2,1/((D_Points!$A$5:$A$204&lt;&gt;"")*(D_Points!$A$5:$A$204&gt;=$B868)*(D_Points!$A$5:$A$204&lt;$B868+P_Interval)*(UPPER(TRIM(D_Points!$B$5:$B$204))="TURNOUT_R")*(D_Points!$H$5:$H$204&lt;&gt;"")),D_Points!$H$5:$H$204),"")</f>
        <v/>
      </c>
      <c r="AF868" s="181" t="str">
        <f>IFERROR(LOOKUP(2,1/((B_Drainage!$A$5:$A$204&lt;&gt;"")*(B_Drainage!$A$5:$A$204&lt;=$B868)*(B_Drainage!$B$5:$B$204&gt;$B868)*(B_Drainage!$M$5:$M$204&lt;&gt;"")),IF(UPPER(B_Drainage!$M$5:$M$204)="Y",1,"")),"")</f>
        <v/>
      </c>
      <c r="AG868" s="181" t="str">
        <f>IFERROR(LOOKUP(2,1/((B_Drainage!$A$5:$A$204&lt;&gt;"")*(B_Drainage!$A$5:$A$204&lt;=$B868)*(B_Drainage!$B$5:$B$204&gt;$B868)*(B_Drainage!$N$5:$N$204&lt;&gt;"")),IF(UPPER(B_Drainage!$N$5:$N$204)="Y",1,"")),"")</f>
        <v/>
      </c>
      <c r="AH868" s="181" t="str">
        <f t="shared" si="104"/>
        <v/>
      </c>
      <c r="AI868" s="181" t="str">
        <f t="shared" si="105"/>
        <v/>
      </c>
      <c r="AJ868" s="181" t="str">
        <f t="shared" si="106"/>
        <v/>
      </c>
      <c r="AK868" s="181" t="str">
        <f t="shared" si="107"/>
        <v/>
      </c>
      <c r="AL868" s="181" t="str">
        <f t="shared" si="108"/>
        <v/>
      </c>
      <c r="AM868" s="181" t="str">
        <f t="shared" si="109"/>
        <v/>
      </c>
      <c r="AN868" s="181" t="str">
        <f t="shared" si="110"/>
        <v/>
      </c>
      <c r="AO868" s="192" t="str">
        <f t="shared" si="111"/>
        <v/>
      </c>
      <c r="AQ868" t="str">
        <f>IFERROR(LOOKUP(2,1/((C_Pavement!$A$5:$A$204&lt;&gt;"")*(C_Pavement!$A$5:$A$204&lt;=$B868)*(C_Pavement!$B$5:$B$204&gt;$B868)*(C_Pavement!$C$5:$C$204&lt;&gt;"")),ROW(C_Pavement!$C$5:$C$204)-4),"")</f>
        <v/>
      </c>
      <c r="AR868" t="str">
        <f>IF($AQ868="","",UPPER(TRIM(INDEX(C_Pavement!$C$5:$C$204,$AQ868))))</f>
        <v/>
      </c>
      <c r="AS868" t="str">
        <f>IF($AR868="","",IFERROR(MATCH($AR868,E_Rules!$A$5:$A$9,0),""))</f>
        <v/>
      </c>
      <c r="AT868" t="str">
        <f>IF($AQ868="","",IF(INDEX(C_Pavement!$D$5:$D$204,$AQ868)&lt;&gt;"",UPPER(TRIM(INDEX(C_Pavement!$D$5:$D$204,$AQ868))),IF($AS868="","",INDEX(E_Rules!$C$5:$C$9,$AS868))))</f>
        <v/>
      </c>
      <c r="AU868" t="str">
        <f>IF($AQ868="","",IF(INDEX(C_Pavement!$E$5:$E$204,$AQ868)&lt;&gt;"",IF(INDEX(C_Pavement!$E$5:$E$204,$AQ868)="-","",INDEX(C_Pavement!$E$5:$E$204,$AQ868)),IF($AS868="","",INDEX(E_Rules!$D$5:$D$9,$AS868))))</f>
        <v/>
      </c>
      <c r="AV868" t="str">
        <f>IF($AQ868="","",IF(INDEX(C_Pavement!$F$5:$F$204,$AQ868)&lt;&gt;"",IF(INDEX(C_Pavement!$F$5:$F$204,$AQ868)="-","",INDEX(C_Pavement!$F$5:$F$204,$AQ868)),IF($AS868="","",INDEX(E_Rules!$E$5:$E$9,$AS868))))</f>
        <v/>
      </c>
      <c r="AW868" t="str">
        <f>IF($AQ868="","",IF(INDEX(C_Pavement!$G$5:$G$204,$AQ868)&lt;&gt;"",IF(INDEX(C_Pavement!$G$5:$G$204,$AQ868)="-","",INDEX(C_Pavement!$G$5:$G$204,$AQ868)),IF($AS868="","",INDEX(E_Rules!$F$5:$F$9,$AS868))))</f>
        <v/>
      </c>
      <c r="AX868" t="str">
        <f>IF($AQ868="","",IF(INDEX(C_Pavement!$H$5:$H$204,$AQ868)&lt;&gt;"",IF(INDEX(C_Pavement!$H$5:$H$204,$AQ868)="-","",INDEX(C_Pavement!$H$5:$H$204,$AQ868)),IF($AS868="","",INDEX(E_Rules!$G$5:$G$9,$AS868))))</f>
        <v/>
      </c>
      <c r="AY868" t="str">
        <f>IF($AQ868="","",IF(INDEX(C_Pavement!$I$5:$I$204,$AQ868)&lt;&gt;"",IF(INDEX(C_Pavement!$I$5:$I$204,$AQ868)="-","",INDEX(C_Pavement!$I$5:$I$204,$AQ868)),IF($AS868="","",INDEX(E_Rules!$H$5:$H$9,$AS868))))</f>
        <v/>
      </c>
    </row>
    <row r="869" spans="1:51" ht="15.75" customHeight="1" x14ac:dyDescent="0.3">
      <c r="A869" s="189">
        <v>864</v>
      </c>
      <c r="B869" s="180">
        <v>43150</v>
      </c>
      <c r="C869" s="180" t="s">
        <v>1175</v>
      </c>
      <c r="D869" s="181" t="str">
        <f>IFERROR(LOOKUP(2,1/((A_Corridor!$A$5:$A$204&lt;&gt;"")*(A_Corridor!$A$5:$A$204&lt;=$B869)*(A_Corridor!$B$5:$B$204&gt;$B869)*(A_Corridor!$C$5:$C$204&lt;&gt;"")),IF(UPPER(A_Corridor!$C$5:$C$204)="Y",1,"")),"")</f>
        <v/>
      </c>
      <c r="E869" s="181" t="str">
        <f>IFERROR(LOOKUP(2,1/((A_Corridor!$A$5:$A$204&lt;&gt;"")*(A_Corridor!$A$5:$A$204&lt;=$B869)*(A_Corridor!$B$5:$B$204&gt;$B869)*(A_Corridor!$D$5:$D$204&lt;&gt;"")),IF(A_Corridor!$D$5:$D$204="-","",UPPER(A_Corridor!$D$5:$D$204))),"")</f>
        <v/>
      </c>
      <c r="F869" s="181" t="str">
        <f>IFERROR(LOOKUP(2,1/((A_Corridor!$A$5:$A$204&lt;&gt;"")*(A_Corridor!$A$5:$A$204&lt;=$B869)*(A_Corridor!$B$5:$B$204&gt;$B869)*(A_Corridor!$E$5:$E$204&lt;&gt;"")),IF(A_Corridor!$E$5:$E$204="-","",1)),"")</f>
        <v/>
      </c>
      <c r="G869" s="182" t="str">
        <f>IFERROR(LOOKUP(2,1/((A_Corridor!$A$5:$A$204&lt;&gt;"")*(A_Corridor!$A$5:$A$204&lt;=$B869)*(A_Corridor!$B$5:$B$204&gt;$B869)*(A_Corridor!$E$5:$E$204&lt;&gt;"")),IF(A_Corridor!$E$5:$E$204="-","",A_Corridor!$E$5:$E$204)),"")</f>
        <v/>
      </c>
      <c r="H869" s="182" t="str">
        <f>IFERROR(LOOKUP(2,1/((D_Points!$A$5:$A$204&lt;&gt;"")*(D_Points!$A$5:$A$204&gt;=$B869)*(D_Points!$A$5:$A$204&lt;$B869+P_Interval)*(UPPER(TRIM(D_Points!$B$5:$B$204))="GULLY")*(D_Points!$H$5:$H$204&lt;&gt;"")),D_Points!$H$5:$H$204),"")</f>
        <v/>
      </c>
      <c r="I869" s="181" t="str">
        <f>IFERROR(LOOKUP(2,1/((A_Corridor!$A$5:$A$204&lt;&gt;"")*(A_Corridor!$A$5:$A$204&lt;=$B869)*(A_Corridor!$B$5:$B$204&gt;$B869)*(A_Corridor!$F$5:$F$204&lt;&gt;"")),IF(A_Corridor!$F$5:$F$204="-","",1)),"")</f>
        <v/>
      </c>
      <c r="J869" s="182" t="str">
        <f>IFERROR(LOOKUP(2,1/((A_Corridor!$A$5:$A$204&lt;&gt;"")*(A_Corridor!$A$5:$A$204&lt;=$B869)*(A_Corridor!$B$5:$B$204&gt;$B869)*(A_Corridor!$F$5:$F$204&lt;&gt;"")),IF(A_Corridor!$F$5:$F$204="-","",A_Corridor!$F$5:$F$204)),"")</f>
        <v/>
      </c>
      <c r="K869" s="182" t="str">
        <f>IFERROR(LOOKUP(2,1/((A_Corridor!$A$5:$A$204&lt;&gt;"")*(A_Corridor!$A$5:$A$204&lt;=$B869)*(A_Corridor!$B$5:$B$204&gt;$B869)*(A_Corridor!$G$5:$G$204&lt;&gt;"")),IF(A_Corridor!$G$5:$G$204="-","",A_Corridor!$G$5:$G$204)),"")</f>
        <v/>
      </c>
      <c r="L869" s="181" t="str">
        <f>IFERROR(LOOKUP(2,1/((A_Corridor!$A$5:$A$204&lt;&gt;"")*(A_Corridor!$A$5:$A$204&lt;=$B869)*(A_Corridor!$B$5:$B$204&gt;$B869)*(A_Corridor!$H$5:$H$204&lt;&gt;"")),IF(A_Corridor!$H$5:$H$204="-","",1)),"")</f>
        <v/>
      </c>
      <c r="M869" s="182" t="str">
        <f>IFERROR(LOOKUP(2,1/((A_Corridor!$A$5:$A$204&lt;&gt;"")*(A_Corridor!$A$5:$A$204&lt;=$B869)*(A_Corridor!$B$5:$B$204&gt;$B869)*(A_Corridor!$H$5:$H$204&lt;&gt;"")),IF(A_Corridor!$H$5:$H$204="-","",A_Corridor!$H$5:$H$204)),"")</f>
        <v/>
      </c>
      <c r="N869" s="182" t="str">
        <f>IFERROR(LOOKUP(2,1/((A_Corridor!$A$5:$A$204&lt;&gt;"")*(A_Corridor!$A$5:$A$204&lt;=$B869)*(A_Corridor!$B$5:$B$204&gt;$B869)*(A_Corridor!$I$5:$I$204&lt;&gt;"")),IF(A_Corridor!$I$5:$I$204="-","",A_Corridor!$I$5:$I$204)),"")</f>
        <v/>
      </c>
      <c r="O869" s="182" t="str">
        <f>IFERROR(LOOKUP(2,1/((D_Points!$A$5:$A$204&lt;&gt;"")*(D_Points!$A$5:$A$204&gt;=$B869)*(D_Points!$A$5:$A$204&lt;$B869+P_Interval)*(UPPER(TRIM(D_Points!$B$5:$B$204))="PITCHING")*(D_Points!$H$5:$H$204&lt;&gt;"")),D_Points!$H$5:$H$204),"")</f>
        <v/>
      </c>
      <c r="P869" s="181" t="str">
        <f>IFERROR(LOOKUP(2,1/((B_Drainage!$A$5:$A$204&lt;&gt;"")*(B_Drainage!$A$5:$A$204&lt;=$B869)*(B_Drainage!$B$5:$B$204&gt;$B869)*(B_Drainage!$C$5:$C$204&lt;&gt;"")),IF(B_Drainage!$C$5:$C$204="-","",UPPER(B_Drainage!$C$5:$C$204))),"")</f>
        <v/>
      </c>
      <c r="Q869" s="181" t="str">
        <f>IFERROR(LOOKUP(2,1/((B_Drainage!$A$5:$A$204&lt;&gt;"")*(B_Drainage!$A$5:$A$204&lt;=$B869)*(B_Drainage!$B$5:$B$204&gt;$B869)*(B_Drainage!$D$5:$D$204&lt;&gt;"")),IF(B_Drainage!$D$5:$D$204="-","",UPPER(B_Drainage!$D$5:$D$204))),"")</f>
        <v/>
      </c>
      <c r="R869" s="182" t="str">
        <f>IFERROR(LOOKUP(2,1/((D_Points!$A$5:$A$204&lt;&gt;"")*(D_Points!$A$5:$A$204&gt;=$B869)*(D_Points!$A$5:$A$204&lt;$B869+P_Interval)*(RIGHT(UPPER(TRIM(D_Points!$B$5:$B$204)),8)="_CULVERT")),IF(LEFT(UPPER(TRIM(D_Points!$B$5:$B$204)),2)="EX",1,IF(LEFT(UPPER(TRIM(D_Points!$B$5:$B$204)),2)="PR",2,3))),"")</f>
        <v/>
      </c>
      <c r="S869" s="182" t="str">
        <f>IFERROR(LOOKUP(2,1/((D_Points!$A$5:$A$204&lt;&gt;"")*(D_Points!$A$5:$A$204&gt;=$B869)*(D_Points!$A$5:$A$204&lt;$B869+P_Interval)*(RIGHT(UPPER(TRIM(D_Points!$B$5:$B$204)),7)="_BRIDGE")),IF(LEFT(UPPER(TRIM(D_Points!$B$5:$B$204)),2)="EX",1,IF(LEFT(UPPER(TRIM(D_Points!$B$5:$B$204)),2)="PR",2,2))),"")</f>
        <v/>
      </c>
      <c r="T869" s="181" t="str">
        <f>IFERROR(LOOKUP(2,1/((B_Drainage!$A$5:$A$204&lt;&gt;"")*(B_Drainage!$A$5:$A$204&lt;=$B869)*(B_Drainage!$B$5:$B$204&gt;$B869)*(B_Drainage!$E$5:$E$204&lt;&gt;"")),IF(B_Drainage!$E$5:$E$204="-","",1)),"")</f>
        <v/>
      </c>
      <c r="U869" s="181" t="str">
        <f>IFERROR(LOOKUP(2,1/((B_Drainage!$A$5:$A$204&lt;&gt;"")*(B_Drainage!$A$5:$A$204&lt;=$B869)*(B_Drainage!$B$5:$B$204&gt;$B869)*(B_Drainage!$E$5:$E$204&lt;&gt;"")),IF(B_Drainage!$E$5:$E$204="-","",B_Drainage!$E$5:$E$204)),"")</f>
        <v/>
      </c>
      <c r="V869" s="181" t="str">
        <f>IFERROR(LOOKUP(2,1/((B_Drainage!$A$5:$A$204&lt;&gt;"")*(B_Drainage!$A$5:$A$204&lt;=$B869)*(B_Drainage!$B$5:$B$204&gt;$B869)*(B_Drainage!$F$5:$F$204&lt;&gt;"")),IF(B_Drainage!$F$5:$F$204="-","",1)),"")</f>
        <v/>
      </c>
      <c r="W869" s="181" t="str">
        <f>IFERROR(LOOKUP(2,1/((B_Drainage!$A$5:$A$204&lt;&gt;"")*(B_Drainage!$A$5:$A$204&lt;=$B869)*(B_Drainage!$B$5:$B$204&gt;$B869)*(B_Drainage!$F$5:$F$204&lt;&gt;"")),IF(B_Drainage!$F$5:$F$204="-","",B_Drainage!$F$5:$F$204)),"")</f>
        <v/>
      </c>
      <c r="X869" s="181" t="str">
        <f>IFERROR(LOOKUP(2,1/((B_Drainage!$A$5:$A$204&lt;&gt;"")*(B_Drainage!$A$5:$A$204&lt;=$B869)*(B_Drainage!$B$5:$B$204&gt;$B869)*(B_Drainage!$G$5:$G$204&lt;&gt;"")),IF(UPPER(B_Drainage!$G$5:$G$204)="Y",1,"")),"")</f>
        <v/>
      </c>
      <c r="Y869" s="181" t="str">
        <f>IFERROR(LOOKUP(2,1/((B_Drainage!$A$5:$A$204&lt;&gt;"")*(B_Drainage!$A$5:$A$204&lt;=$B869)*(B_Drainage!$B$5:$B$204&gt;$B869)*(B_Drainage!$H$5:$H$204&lt;&gt;"")),IF(UPPER(B_Drainage!$H$5:$H$204)="Y",1,"")),"")</f>
        <v/>
      </c>
      <c r="Z869" s="181" t="str">
        <f>IFERROR(LOOKUP(2,1/((B_Drainage!$A$5:$A$204&lt;&gt;"")*(B_Drainage!$A$5:$A$204&lt;=$B869)*(B_Drainage!$B$5:$B$204&gt;$B869)*(B_Drainage!$I$5:$I$204&lt;&gt;"")),IF(UPPER(B_Drainage!$I$5:$I$204)="Y",1,"")),"")</f>
        <v/>
      </c>
      <c r="AA869" s="181" t="str">
        <f>IFERROR(LOOKUP(2,1/((B_Drainage!$A$5:$A$204&lt;&gt;"")*(B_Drainage!$A$5:$A$204&lt;=$B869)*(B_Drainage!$B$5:$B$204&gt;$B869)*(B_Drainage!$J$5:$J$204&lt;&gt;"")),IF(UPPER(B_Drainage!$J$5:$J$204)="Y",1,"")),"")</f>
        <v/>
      </c>
      <c r="AB869" s="182" t="str">
        <f>IFERROR(LOOKUP(2,1/((B_Drainage!$A$5:$A$204&lt;&gt;"")*(B_Drainage!$A$5:$A$204&lt;=$B869)*(B_Drainage!$B$5:$B$204&gt;$B869)*(B_Drainage!$K$5:$K$204&lt;&gt;"")),IF(B_Drainage!$K$5:$K$204="-","",B_Drainage!$K$5:$K$204)),"")</f>
        <v/>
      </c>
      <c r="AC869" s="182" t="str">
        <f>IFERROR(LOOKUP(2,1/((B_Drainage!$A$5:$A$204&lt;&gt;"")*(B_Drainage!$A$5:$A$204&lt;=$B869)*(B_Drainage!$B$5:$B$204&gt;$B869)*(B_Drainage!$L$5:$L$204&lt;&gt;"")),IF(B_Drainage!$L$5:$L$204="-","",B_Drainage!$L$5:$L$204)),"")</f>
        <v/>
      </c>
      <c r="AD869" s="182" t="str">
        <f>IFERROR(LOOKUP(2,1/((D_Points!$A$5:$A$204&lt;&gt;"")*(D_Points!$A$5:$A$204&gt;=$B869)*(D_Points!$A$5:$A$204&lt;$B869+P_Interval)*(UPPER(TRIM(D_Points!$B$5:$B$204))="TURNOUT_L")*(D_Points!$H$5:$H$204&lt;&gt;"")),D_Points!$H$5:$H$204),"")</f>
        <v/>
      </c>
      <c r="AE869" s="182" t="str">
        <f>IFERROR(LOOKUP(2,1/((D_Points!$A$5:$A$204&lt;&gt;"")*(D_Points!$A$5:$A$204&gt;=$B869)*(D_Points!$A$5:$A$204&lt;$B869+P_Interval)*(UPPER(TRIM(D_Points!$B$5:$B$204))="TURNOUT_R")*(D_Points!$H$5:$H$204&lt;&gt;"")),D_Points!$H$5:$H$204),"")</f>
        <v/>
      </c>
      <c r="AF869" s="181" t="str">
        <f>IFERROR(LOOKUP(2,1/((B_Drainage!$A$5:$A$204&lt;&gt;"")*(B_Drainage!$A$5:$A$204&lt;=$B869)*(B_Drainage!$B$5:$B$204&gt;$B869)*(B_Drainage!$M$5:$M$204&lt;&gt;"")),IF(UPPER(B_Drainage!$M$5:$M$204)="Y",1,"")),"")</f>
        <v/>
      </c>
      <c r="AG869" s="181" t="str">
        <f>IFERROR(LOOKUP(2,1/((B_Drainage!$A$5:$A$204&lt;&gt;"")*(B_Drainage!$A$5:$A$204&lt;=$B869)*(B_Drainage!$B$5:$B$204&gt;$B869)*(B_Drainage!$N$5:$N$204&lt;&gt;"")),IF(UPPER(B_Drainage!$N$5:$N$204)="Y",1,"")),"")</f>
        <v/>
      </c>
      <c r="AH869" s="181" t="str">
        <f t="shared" si="104"/>
        <v/>
      </c>
      <c r="AI869" s="181" t="str">
        <f t="shared" si="105"/>
        <v/>
      </c>
      <c r="AJ869" s="181" t="str">
        <f t="shared" si="106"/>
        <v/>
      </c>
      <c r="AK869" s="181" t="str">
        <f t="shared" si="107"/>
        <v/>
      </c>
      <c r="AL869" s="181" t="str">
        <f t="shared" si="108"/>
        <v/>
      </c>
      <c r="AM869" s="181" t="str">
        <f t="shared" si="109"/>
        <v/>
      </c>
      <c r="AN869" s="181" t="str">
        <f t="shared" si="110"/>
        <v/>
      </c>
      <c r="AO869" s="192" t="str">
        <f t="shared" si="111"/>
        <v/>
      </c>
      <c r="AQ869" t="str">
        <f>IFERROR(LOOKUP(2,1/((C_Pavement!$A$5:$A$204&lt;&gt;"")*(C_Pavement!$A$5:$A$204&lt;=$B869)*(C_Pavement!$B$5:$B$204&gt;$B869)*(C_Pavement!$C$5:$C$204&lt;&gt;"")),ROW(C_Pavement!$C$5:$C$204)-4),"")</f>
        <v/>
      </c>
      <c r="AR869" t="str">
        <f>IF($AQ869="","",UPPER(TRIM(INDEX(C_Pavement!$C$5:$C$204,$AQ869))))</f>
        <v/>
      </c>
      <c r="AS869" t="str">
        <f>IF($AR869="","",IFERROR(MATCH($AR869,E_Rules!$A$5:$A$9,0),""))</f>
        <v/>
      </c>
      <c r="AT869" t="str">
        <f>IF($AQ869="","",IF(INDEX(C_Pavement!$D$5:$D$204,$AQ869)&lt;&gt;"",UPPER(TRIM(INDEX(C_Pavement!$D$5:$D$204,$AQ869))),IF($AS869="","",INDEX(E_Rules!$C$5:$C$9,$AS869))))</f>
        <v/>
      </c>
      <c r="AU869" t="str">
        <f>IF($AQ869="","",IF(INDEX(C_Pavement!$E$5:$E$204,$AQ869)&lt;&gt;"",IF(INDEX(C_Pavement!$E$5:$E$204,$AQ869)="-","",INDEX(C_Pavement!$E$5:$E$204,$AQ869)),IF($AS869="","",INDEX(E_Rules!$D$5:$D$9,$AS869))))</f>
        <v/>
      </c>
      <c r="AV869" t="str">
        <f>IF($AQ869="","",IF(INDEX(C_Pavement!$F$5:$F$204,$AQ869)&lt;&gt;"",IF(INDEX(C_Pavement!$F$5:$F$204,$AQ869)="-","",INDEX(C_Pavement!$F$5:$F$204,$AQ869)),IF($AS869="","",INDEX(E_Rules!$E$5:$E$9,$AS869))))</f>
        <v/>
      </c>
      <c r="AW869" t="str">
        <f>IF($AQ869="","",IF(INDEX(C_Pavement!$G$5:$G$204,$AQ869)&lt;&gt;"",IF(INDEX(C_Pavement!$G$5:$G$204,$AQ869)="-","",INDEX(C_Pavement!$G$5:$G$204,$AQ869)),IF($AS869="","",INDEX(E_Rules!$F$5:$F$9,$AS869))))</f>
        <v/>
      </c>
      <c r="AX869" t="str">
        <f>IF($AQ869="","",IF(INDEX(C_Pavement!$H$5:$H$204,$AQ869)&lt;&gt;"",IF(INDEX(C_Pavement!$H$5:$H$204,$AQ869)="-","",INDEX(C_Pavement!$H$5:$H$204,$AQ869)),IF($AS869="","",INDEX(E_Rules!$G$5:$G$9,$AS869))))</f>
        <v/>
      </c>
      <c r="AY869" t="str">
        <f>IF($AQ869="","",IF(INDEX(C_Pavement!$I$5:$I$204,$AQ869)&lt;&gt;"",IF(INDEX(C_Pavement!$I$5:$I$204,$AQ869)="-","",INDEX(C_Pavement!$I$5:$I$204,$AQ869)),IF($AS869="","",INDEX(E_Rules!$H$5:$H$9,$AS869))))</f>
        <v/>
      </c>
    </row>
    <row r="870" spans="1:51" ht="15.75" customHeight="1" x14ac:dyDescent="0.3">
      <c r="A870" s="189">
        <v>865</v>
      </c>
      <c r="B870" s="180">
        <v>43200</v>
      </c>
      <c r="C870" s="180" t="s">
        <v>1176</v>
      </c>
      <c r="D870" s="181" t="str">
        <f>IFERROR(LOOKUP(2,1/((A_Corridor!$A$5:$A$204&lt;&gt;"")*(A_Corridor!$A$5:$A$204&lt;=$B870)*(A_Corridor!$B$5:$B$204&gt;$B870)*(A_Corridor!$C$5:$C$204&lt;&gt;"")),IF(UPPER(A_Corridor!$C$5:$C$204)="Y",1,"")),"")</f>
        <v/>
      </c>
      <c r="E870" s="181" t="str">
        <f>IFERROR(LOOKUP(2,1/((A_Corridor!$A$5:$A$204&lt;&gt;"")*(A_Corridor!$A$5:$A$204&lt;=$B870)*(A_Corridor!$B$5:$B$204&gt;$B870)*(A_Corridor!$D$5:$D$204&lt;&gt;"")),IF(A_Corridor!$D$5:$D$204="-","",UPPER(A_Corridor!$D$5:$D$204))),"")</f>
        <v/>
      </c>
      <c r="F870" s="181" t="str">
        <f>IFERROR(LOOKUP(2,1/((A_Corridor!$A$5:$A$204&lt;&gt;"")*(A_Corridor!$A$5:$A$204&lt;=$B870)*(A_Corridor!$B$5:$B$204&gt;$B870)*(A_Corridor!$E$5:$E$204&lt;&gt;"")),IF(A_Corridor!$E$5:$E$204="-","",1)),"")</f>
        <v/>
      </c>
      <c r="G870" s="182" t="str">
        <f>IFERROR(LOOKUP(2,1/((A_Corridor!$A$5:$A$204&lt;&gt;"")*(A_Corridor!$A$5:$A$204&lt;=$B870)*(A_Corridor!$B$5:$B$204&gt;$B870)*(A_Corridor!$E$5:$E$204&lt;&gt;"")),IF(A_Corridor!$E$5:$E$204="-","",A_Corridor!$E$5:$E$204)),"")</f>
        <v/>
      </c>
      <c r="H870" s="182" t="str">
        <f>IFERROR(LOOKUP(2,1/((D_Points!$A$5:$A$204&lt;&gt;"")*(D_Points!$A$5:$A$204&gt;=$B870)*(D_Points!$A$5:$A$204&lt;$B870+P_Interval)*(UPPER(TRIM(D_Points!$B$5:$B$204))="GULLY")*(D_Points!$H$5:$H$204&lt;&gt;"")),D_Points!$H$5:$H$204),"")</f>
        <v/>
      </c>
      <c r="I870" s="181" t="str">
        <f>IFERROR(LOOKUP(2,1/((A_Corridor!$A$5:$A$204&lt;&gt;"")*(A_Corridor!$A$5:$A$204&lt;=$B870)*(A_Corridor!$B$5:$B$204&gt;$B870)*(A_Corridor!$F$5:$F$204&lt;&gt;"")),IF(A_Corridor!$F$5:$F$204="-","",1)),"")</f>
        <v/>
      </c>
      <c r="J870" s="182" t="str">
        <f>IFERROR(LOOKUP(2,1/((A_Corridor!$A$5:$A$204&lt;&gt;"")*(A_Corridor!$A$5:$A$204&lt;=$B870)*(A_Corridor!$B$5:$B$204&gt;$B870)*(A_Corridor!$F$5:$F$204&lt;&gt;"")),IF(A_Corridor!$F$5:$F$204="-","",A_Corridor!$F$5:$F$204)),"")</f>
        <v/>
      </c>
      <c r="K870" s="182" t="str">
        <f>IFERROR(LOOKUP(2,1/((A_Corridor!$A$5:$A$204&lt;&gt;"")*(A_Corridor!$A$5:$A$204&lt;=$B870)*(A_Corridor!$B$5:$B$204&gt;$B870)*(A_Corridor!$G$5:$G$204&lt;&gt;"")),IF(A_Corridor!$G$5:$G$204="-","",A_Corridor!$G$5:$G$204)),"")</f>
        <v/>
      </c>
      <c r="L870" s="181" t="str">
        <f>IFERROR(LOOKUP(2,1/((A_Corridor!$A$5:$A$204&lt;&gt;"")*(A_Corridor!$A$5:$A$204&lt;=$B870)*(A_Corridor!$B$5:$B$204&gt;$B870)*(A_Corridor!$H$5:$H$204&lt;&gt;"")),IF(A_Corridor!$H$5:$H$204="-","",1)),"")</f>
        <v/>
      </c>
      <c r="M870" s="182" t="str">
        <f>IFERROR(LOOKUP(2,1/((A_Corridor!$A$5:$A$204&lt;&gt;"")*(A_Corridor!$A$5:$A$204&lt;=$B870)*(A_Corridor!$B$5:$B$204&gt;$B870)*(A_Corridor!$H$5:$H$204&lt;&gt;"")),IF(A_Corridor!$H$5:$H$204="-","",A_Corridor!$H$5:$H$204)),"")</f>
        <v/>
      </c>
      <c r="N870" s="182" t="str">
        <f>IFERROR(LOOKUP(2,1/((A_Corridor!$A$5:$A$204&lt;&gt;"")*(A_Corridor!$A$5:$A$204&lt;=$B870)*(A_Corridor!$B$5:$B$204&gt;$B870)*(A_Corridor!$I$5:$I$204&lt;&gt;"")),IF(A_Corridor!$I$5:$I$204="-","",A_Corridor!$I$5:$I$204)),"")</f>
        <v/>
      </c>
      <c r="O870" s="182" t="str">
        <f>IFERROR(LOOKUP(2,1/((D_Points!$A$5:$A$204&lt;&gt;"")*(D_Points!$A$5:$A$204&gt;=$B870)*(D_Points!$A$5:$A$204&lt;$B870+P_Interval)*(UPPER(TRIM(D_Points!$B$5:$B$204))="PITCHING")*(D_Points!$H$5:$H$204&lt;&gt;"")),D_Points!$H$5:$H$204),"")</f>
        <v/>
      </c>
      <c r="P870" s="181" t="str">
        <f>IFERROR(LOOKUP(2,1/((B_Drainage!$A$5:$A$204&lt;&gt;"")*(B_Drainage!$A$5:$A$204&lt;=$B870)*(B_Drainage!$B$5:$B$204&gt;$B870)*(B_Drainage!$C$5:$C$204&lt;&gt;"")),IF(B_Drainage!$C$5:$C$204="-","",UPPER(B_Drainage!$C$5:$C$204))),"")</f>
        <v/>
      </c>
      <c r="Q870" s="181" t="str">
        <f>IFERROR(LOOKUP(2,1/((B_Drainage!$A$5:$A$204&lt;&gt;"")*(B_Drainage!$A$5:$A$204&lt;=$B870)*(B_Drainage!$B$5:$B$204&gt;$B870)*(B_Drainage!$D$5:$D$204&lt;&gt;"")),IF(B_Drainage!$D$5:$D$204="-","",UPPER(B_Drainage!$D$5:$D$204))),"")</f>
        <v/>
      </c>
      <c r="R870" s="182" t="str">
        <f>IFERROR(LOOKUP(2,1/((D_Points!$A$5:$A$204&lt;&gt;"")*(D_Points!$A$5:$A$204&gt;=$B870)*(D_Points!$A$5:$A$204&lt;$B870+P_Interval)*(RIGHT(UPPER(TRIM(D_Points!$B$5:$B$204)),8)="_CULVERT")),IF(LEFT(UPPER(TRIM(D_Points!$B$5:$B$204)),2)="EX",1,IF(LEFT(UPPER(TRIM(D_Points!$B$5:$B$204)),2)="PR",2,3))),"")</f>
        <v/>
      </c>
      <c r="S870" s="182" t="str">
        <f>IFERROR(LOOKUP(2,1/((D_Points!$A$5:$A$204&lt;&gt;"")*(D_Points!$A$5:$A$204&gt;=$B870)*(D_Points!$A$5:$A$204&lt;$B870+P_Interval)*(RIGHT(UPPER(TRIM(D_Points!$B$5:$B$204)),7)="_BRIDGE")),IF(LEFT(UPPER(TRIM(D_Points!$B$5:$B$204)),2)="EX",1,IF(LEFT(UPPER(TRIM(D_Points!$B$5:$B$204)),2)="PR",2,2))),"")</f>
        <v/>
      </c>
      <c r="T870" s="181" t="str">
        <f>IFERROR(LOOKUP(2,1/((B_Drainage!$A$5:$A$204&lt;&gt;"")*(B_Drainage!$A$5:$A$204&lt;=$B870)*(B_Drainage!$B$5:$B$204&gt;$B870)*(B_Drainage!$E$5:$E$204&lt;&gt;"")),IF(B_Drainage!$E$5:$E$204="-","",1)),"")</f>
        <v/>
      </c>
      <c r="U870" s="181" t="str">
        <f>IFERROR(LOOKUP(2,1/((B_Drainage!$A$5:$A$204&lt;&gt;"")*(B_Drainage!$A$5:$A$204&lt;=$B870)*(B_Drainage!$B$5:$B$204&gt;$B870)*(B_Drainage!$E$5:$E$204&lt;&gt;"")),IF(B_Drainage!$E$5:$E$204="-","",B_Drainage!$E$5:$E$204)),"")</f>
        <v/>
      </c>
      <c r="V870" s="181" t="str">
        <f>IFERROR(LOOKUP(2,1/((B_Drainage!$A$5:$A$204&lt;&gt;"")*(B_Drainage!$A$5:$A$204&lt;=$B870)*(B_Drainage!$B$5:$B$204&gt;$B870)*(B_Drainage!$F$5:$F$204&lt;&gt;"")),IF(B_Drainage!$F$5:$F$204="-","",1)),"")</f>
        <v/>
      </c>
      <c r="W870" s="181" t="str">
        <f>IFERROR(LOOKUP(2,1/((B_Drainage!$A$5:$A$204&lt;&gt;"")*(B_Drainage!$A$5:$A$204&lt;=$B870)*(B_Drainage!$B$5:$B$204&gt;$B870)*(B_Drainage!$F$5:$F$204&lt;&gt;"")),IF(B_Drainage!$F$5:$F$204="-","",B_Drainage!$F$5:$F$204)),"")</f>
        <v/>
      </c>
      <c r="X870" s="181" t="str">
        <f>IFERROR(LOOKUP(2,1/((B_Drainage!$A$5:$A$204&lt;&gt;"")*(B_Drainage!$A$5:$A$204&lt;=$B870)*(B_Drainage!$B$5:$B$204&gt;$B870)*(B_Drainage!$G$5:$G$204&lt;&gt;"")),IF(UPPER(B_Drainage!$G$5:$G$204)="Y",1,"")),"")</f>
        <v/>
      </c>
      <c r="Y870" s="181" t="str">
        <f>IFERROR(LOOKUP(2,1/((B_Drainage!$A$5:$A$204&lt;&gt;"")*(B_Drainage!$A$5:$A$204&lt;=$B870)*(B_Drainage!$B$5:$B$204&gt;$B870)*(B_Drainage!$H$5:$H$204&lt;&gt;"")),IF(UPPER(B_Drainage!$H$5:$H$204)="Y",1,"")),"")</f>
        <v/>
      </c>
      <c r="Z870" s="181" t="str">
        <f>IFERROR(LOOKUP(2,1/((B_Drainage!$A$5:$A$204&lt;&gt;"")*(B_Drainage!$A$5:$A$204&lt;=$B870)*(B_Drainage!$B$5:$B$204&gt;$B870)*(B_Drainage!$I$5:$I$204&lt;&gt;"")),IF(UPPER(B_Drainage!$I$5:$I$204)="Y",1,"")),"")</f>
        <v/>
      </c>
      <c r="AA870" s="181" t="str">
        <f>IFERROR(LOOKUP(2,1/((B_Drainage!$A$5:$A$204&lt;&gt;"")*(B_Drainage!$A$5:$A$204&lt;=$B870)*(B_Drainage!$B$5:$B$204&gt;$B870)*(B_Drainage!$J$5:$J$204&lt;&gt;"")),IF(UPPER(B_Drainage!$J$5:$J$204)="Y",1,"")),"")</f>
        <v/>
      </c>
      <c r="AB870" s="182" t="str">
        <f>IFERROR(LOOKUP(2,1/((B_Drainage!$A$5:$A$204&lt;&gt;"")*(B_Drainage!$A$5:$A$204&lt;=$B870)*(B_Drainage!$B$5:$B$204&gt;$B870)*(B_Drainage!$K$5:$K$204&lt;&gt;"")),IF(B_Drainage!$K$5:$K$204="-","",B_Drainage!$K$5:$K$204)),"")</f>
        <v/>
      </c>
      <c r="AC870" s="182" t="str">
        <f>IFERROR(LOOKUP(2,1/((B_Drainage!$A$5:$A$204&lt;&gt;"")*(B_Drainage!$A$5:$A$204&lt;=$B870)*(B_Drainage!$B$5:$B$204&gt;$B870)*(B_Drainage!$L$5:$L$204&lt;&gt;"")),IF(B_Drainage!$L$5:$L$204="-","",B_Drainage!$L$5:$L$204)),"")</f>
        <v/>
      </c>
      <c r="AD870" s="182" t="str">
        <f>IFERROR(LOOKUP(2,1/((D_Points!$A$5:$A$204&lt;&gt;"")*(D_Points!$A$5:$A$204&gt;=$B870)*(D_Points!$A$5:$A$204&lt;$B870+P_Interval)*(UPPER(TRIM(D_Points!$B$5:$B$204))="TURNOUT_L")*(D_Points!$H$5:$H$204&lt;&gt;"")),D_Points!$H$5:$H$204),"")</f>
        <v/>
      </c>
      <c r="AE870" s="182" t="str">
        <f>IFERROR(LOOKUP(2,1/((D_Points!$A$5:$A$204&lt;&gt;"")*(D_Points!$A$5:$A$204&gt;=$B870)*(D_Points!$A$5:$A$204&lt;$B870+P_Interval)*(UPPER(TRIM(D_Points!$B$5:$B$204))="TURNOUT_R")*(D_Points!$H$5:$H$204&lt;&gt;"")),D_Points!$H$5:$H$204),"")</f>
        <v/>
      </c>
      <c r="AF870" s="181" t="str">
        <f>IFERROR(LOOKUP(2,1/((B_Drainage!$A$5:$A$204&lt;&gt;"")*(B_Drainage!$A$5:$A$204&lt;=$B870)*(B_Drainage!$B$5:$B$204&gt;$B870)*(B_Drainage!$M$5:$M$204&lt;&gt;"")),IF(UPPER(B_Drainage!$M$5:$M$204)="Y",1,"")),"")</f>
        <v/>
      </c>
      <c r="AG870" s="181" t="str">
        <f>IFERROR(LOOKUP(2,1/((B_Drainage!$A$5:$A$204&lt;&gt;"")*(B_Drainage!$A$5:$A$204&lt;=$B870)*(B_Drainage!$B$5:$B$204&gt;$B870)*(B_Drainage!$N$5:$N$204&lt;&gt;"")),IF(UPPER(B_Drainage!$N$5:$N$204)="Y",1,"")),"")</f>
        <v/>
      </c>
      <c r="AH870" s="181" t="str">
        <f t="shared" si="104"/>
        <v/>
      </c>
      <c r="AI870" s="181" t="str">
        <f t="shared" si="105"/>
        <v/>
      </c>
      <c r="AJ870" s="181" t="str">
        <f t="shared" si="106"/>
        <v/>
      </c>
      <c r="AK870" s="181" t="str">
        <f t="shared" si="107"/>
        <v/>
      </c>
      <c r="AL870" s="181" t="str">
        <f t="shared" si="108"/>
        <v/>
      </c>
      <c r="AM870" s="181" t="str">
        <f t="shared" si="109"/>
        <v/>
      </c>
      <c r="AN870" s="181" t="str">
        <f t="shared" si="110"/>
        <v/>
      </c>
      <c r="AO870" s="192" t="str">
        <f t="shared" si="111"/>
        <v/>
      </c>
      <c r="AQ870" t="str">
        <f>IFERROR(LOOKUP(2,1/((C_Pavement!$A$5:$A$204&lt;&gt;"")*(C_Pavement!$A$5:$A$204&lt;=$B870)*(C_Pavement!$B$5:$B$204&gt;$B870)*(C_Pavement!$C$5:$C$204&lt;&gt;"")),ROW(C_Pavement!$C$5:$C$204)-4),"")</f>
        <v/>
      </c>
      <c r="AR870" t="str">
        <f>IF($AQ870="","",UPPER(TRIM(INDEX(C_Pavement!$C$5:$C$204,$AQ870))))</f>
        <v/>
      </c>
      <c r="AS870" t="str">
        <f>IF($AR870="","",IFERROR(MATCH($AR870,E_Rules!$A$5:$A$9,0),""))</f>
        <v/>
      </c>
      <c r="AT870" t="str">
        <f>IF($AQ870="","",IF(INDEX(C_Pavement!$D$5:$D$204,$AQ870)&lt;&gt;"",UPPER(TRIM(INDEX(C_Pavement!$D$5:$D$204,$AQ870))),IF($AS870="","",INDEX(E_Rules!$C$5:$C$9,$AS870))))</f>
        <v/>
      </c>
      <c r="AU870" t="str">
        <f>IF($AQ870="","",IF(INDEX(C_Pavement!$E$5:$E$204,$AQ870)&lt;&gt;"",IF(INDEX(C_Pavement!$E$5:$E$204,$AQ870)="-","",INDEX(C_Pavement!$E$5:$E$204,$AQ870)),IF($AS870="","",INDEX(E_Rules!$D$5:$D$9,$AS870))))</f>
        <v/>
      </c>
      <c r="AV870" t="str">
        <f>IF($AQ870="","",IF(INDEX(C_Pavement!$F$5:$F$204,$AQ870)&lt;&gt;"",IF(INDEX(C_Pavement!$F$5:$F$204,$AQ870)="-","",INDEX(C_Pavement!$F$5:$F$204,$AQ870)),IF($AS870="","",INDEX(E_Rules!$E$5:$E$9,$AS870))))</f>
        <v/>
      </c>
      <c r="AW870" t="str">
        <f>IF($AQ870="","",IF(INDEX(C_Pavement!$G$5:$G$204,$AQ870)&lt;&gt;"",IF(INDEX(C_Pavement!$G$5:$G$204,$AQ870)="-","",INDEX(C_Pavement!$G$5:$G$204,$AQ870)),IF($AS870="","",INDEX(E_Rules!$F$5:$F$9,$AS870))))</f>
        <v/>
      </c>
      <c r="AX870" t="str">
        <f>IF($AQ870="","",IF(INDEX(C_Pavement!$H$5:$H$204,$AQ870)&lt;&gt;"",IF(INDEX(C_Pavement!$H$5:$H$204,$AQ870)="-","",INDEX(C_Pavement!$H$5:$H$204,$AQ870)),IF($AS870="","",INDEX(E_Rules!$G$5:$G$9,$AS870))))</f>
        <v/>
      </c>
      <c r="AY870" t="str">
        <f>IF($AQ870="","",IF(INDEX(C_Pavement!$I$5:$I$204,$AQ870)&lt;&gt;"",IF(INDEX(C_Pavement!$I$5:$I$204,$AQ870)="-","",INDEX(C_Pavement!$I$5:$I$204,$AQ870)),IF($AS870="","",INDEX(E_Rules!$H$5:$H$9,$AS870))))</f>
        <v/>
      </c>
    </row>
    <row r="871" spans="1:51" ht="15.75" customHeight="1" x14ac:dyDescent="0.3">
      <c r="A871" s="189">
        <v>866</v>
      </c>
      <c r="B871" s="180">
        <v>43250</v>
      </c>
      <c r="C871" s="180" t="s">
        <v>1177</v>
      </c>
      <c r="D871" s="181" t="str">
        <f>IFERROR(LOOKUP(2,1/((A_Corridor!$A$5:$A$204&lt;&gt;"")*(A_Corridor!$A$5:$A$204&lt;=$B871)*(A_Corridor!$B$5:$B$204&gt;$B871)*(A_Corridor!$C$5:$C$204&lt;&gt;"")),IF(UPPER(A_Corridor!$C$5:$C$204)="Y",1,"")),"")</f>
        <v/>
      </c>
      <c r="E871" s="181" t="str">
        <f>IFERROR(LOOKUP(2,1/((A_Corridor!$A$5:$A$204&lt;&gt;"")*(A_Corridor!$A$5:$A$204&lt;=$B871)*(A_Corridor!$B$5:$B$204&gt;$B871)*(A_Corridor!$D$5:$D$204&lt;&gt;"")),IF(A_Corridor!$D$5:$D$204="-","",UPPER(A_Corridor!$D$5:$D$204))),"")</f>
        <v/>
      </c>
      <c r="F871" s="181" t="str">
        <f>IFERROR(LOOKUP(2,1/((A_Corridor!$A$5:$A$204&lt;&gt;"")*(A_Corridor!$A$5:$A$204&lt;=$B871)*(A_Corridor!$B$5:$B$204&gt;$B871)*(A_Corridor!$E$5:$E$204&lt;&gt;"")),IF(A_Corridor!$E$5:$E$204="-","",1)),"")</f>
        <v/>
      </c>
      <c r="G871" s="182" t="str">
        <f>IFERROR(LOOKUP(2,1/((A_Corridor!$A$5:$A$204&lt;&gt;"")*(A_Corridor!$A$5:$A$204&lt;=$B871)*(A_Corridor!$B$5:$B$204&gt;$B871)*(A_Corridor!$E$5:$E$204&lt;&gt;"")),IF(A_Corridor!$E$5:$E$204="-","",A_Corridor!$E$5:$E$204)),"")</f>
        <v/>
      </c>
      <c r="H871" s="182" t="str">
        <f>IFERROR(LOOKUP(2,1/((D_Points!$A$5:$A$204&lt;&gt;"")*(D_Points!$A$5:$A$204&gt;=$B871)*(D_Points!$A$5:$A$204&lt;$B871+P_Interval)*(UPPER(TRIM(D_Points!$B$5:$B$204))="GULLY")*(D_Points!$H$5:$H$204&lt;&gt;"")),D_Points!$H$5:$H$204),"")</f>
        <v/>
      </c>
      <c r="I871" s="181" t="str">
        <f>IFERROR(LOOKUP(2,1/((A_Corridor!$A$5:$A$204&lt;&gt;"")*(A_Corridor!$A$5:$A$204&lt;=$B871)*(A_Corridor!$B$5:$B$204&gt;$B871)*(A_Corridor!$F$5:$F$204&lt;&gt;"")),IF(A_Corridor!$F$5:$F$204="-","",1)),"")</f>
        <v/>
      </c>
      <c r="J871" s="182" t="str">
        <f>IFERROR(LOOKUP(2,1/((A_Corridor!$A$5:$A$204&lt;&gt;"")*(A_Corridor!$A$5:$A$204&lt;=$B871)*(A_Corridor!$B$5:$B$204&gt;$B871)*(A_Corridor!$F$5:$F$204&lt;&gt;"")),IF(A_Corridor!$F$5:$F$204="-","",A_Corridor!$F$5:$F$204)),"")</f>
        <v/>
      </c>
      <c r="K871" s="182" t="str">
        <f>IFERROR(LOOKUP(2,1/((A_Corridor!$A$5:$A$204&lt;&gt;"")*(A_Corridor!$A$5:$A$204&lt;=$B871)*(A_Corridor!$B$5:$B$204&gt;$B871)*(A_Corridor!$G$5:$G$204&lt;&gt;"")),IF(A_Corridor!$G$5:$G$204="-","",A_Corridor!$G$5:$G$204)),"")</f>
        <v/>
      </c>
      <c r="L871" s="181" t="str">
        <f>IFERROR(LOOKUP(2,1/((A_Corridor!$A$5:$A$204&lt;&gt;"")*(A_Corridor!$A$5:$A$204&lt;=$B871)*(A_Corridor!$B$5:$B$204&gt;$B871)*(A_Corridor!$H$5:$H$204&lt;&gt;"")),IF(A_Corridor!$H$5:$H$204="-","",1)),"")</f>
        <v/>
      </c>
      <c r="M871" s="182" t="str">
        <f>IFERROR(LOOKUP(2,1/((A_Corridor!$A$5:$A$204&lt;&gt;"")*(A_Corridor!$A$5:$A$204&lt;=$B871)*(A_Corridor!$B$5:$B$204&gt;$B871)*(A_Corridor!$H$5:$H$204&lt;&gt;"")),IF(A_Corridor!$H$5:$H$204="-","",A_Corridor!$H$5:$H$204)),"")</f>
        <v/>
      </c>
      <c r="N871" s="182" t="str">
        <f>IFERROR(LOOKUP(2,1/((A_Corridor!$A$5:$A$204&lt;&gt;"")*(A_Corridor!$A$5:$A$204&lt;=$B871)*(A_Corridor!$B$5:$B$204&gt;$B871)*(A_Corridor!$I$5:$I$204&lt;&gt;"")),IF(A_Corridor!$I$5:$I$204="-","",A_Corridor!$I$5:$I$204)),"")</f>
        <v/>
      </c>
      <c r="O871" s="182" t="str">
        <f>IFERROR(LOOKUP(2,1/((D_Points!$A$5:$A$204&lt;&gt;"")*(D_Points!$A$5:$A$204&gt;=$B871)*(D_Points!$A$5:$A$204&lt;$B871+P_Interval)*(UPPER(TRIM(D_Points!$B$5:$B$204))="PITCHING")*(D_Points!$H$5:$H$204&lt;&gt;"")),D_Points!$H$5:$H$204),"")</f>
        <v/>
      </c>
      <c r="P871" s="181" t="str">
        <f>IFERROR(LOOKUP(2,1/((B_Drainage!$A$5:$A$204&lt;&gt;"")*(B_Drainage!$A$5:$A$204&lt;=$B871)*(B_Drainage!$B$5:$B$204&gt;$B871)*(B_Drainage!$C$5:$C$204&lt;&gt;"")),IF(B_Drainage!$C$5:$C$204="-","",UPPER(B_Drainage!$C$5:$C$204))),"")</f>
        <v/>
      </c>
      <c r="Q871" s="181" t="str">
        <f>IFERROR(LOOKUP(2,1/((B_Drainage!$A$5:$A$204&lt;&gt;"")*(B_Drainage!$A$5:$A$204&lt;=$B871)*(B_Drainage!$B$5:$B$204&gt;$B871)*(B_Drainage!$D$5:$D$204&lt;&gt;"")),IF(B_Drainage!$D$5:$D$204="-","",UPPER(B_Drainage!$D$5:$D$204))),"")</f>
        <v/>
      </c>
      <c r="R871" s="182" t="str">
        <f>IFERROR(LOOKUP(2,1/((D_Points!$A$5:$A$204&lt;&gt;"")*(D_Points!$A$5:$A$204&gt;=$B871)*(D_Points!$A$5:$A$204&lt;$B871+P_Interval)*(RIGHT(UPPER(TRIM(D_Points!$B$5:$B$204)),8)="_CULVERT")),IF(LEFT(UPPER(TRIM(D_Points!$B$5:$B$204)),2)="EX",1,IF(LEFT(UPPER(TRIM(D_Points!$B$5:$B$204)),2)="PR",2,3))),"")</f>
        <v/>
      </c>
      <c r="S871" s="182" t="str">
        <f>IFERROR(LOOKUP(2,1/((D_Points!$A$5:$A$204&lt;&gt;"")*(D_Points!$A$5:$A$204&gt;=$B871)*(D_Points!$A$5:$A$204&lt;$B871+P_Interval)*(RIGHT(UPPER(TRIM(D_Points!$B$5:$B$204)),7)="_BRIDGE")),IF(LEFT(UPPER(TRIM(D_Points!$B$5:$B$204)),2)="EX",1,IF(LEFT(UPPER(TRIM(D_Points!$B$5:$B$204)),2)="PR",2,2))),"")</f>
        <v/>
      </c>
      <c r="T871" s="181" t="str">
        <f>IFERROR(LOOKUP(2,1/((B_Drainage!$A$5:$A$204&lt;&gt;"")*(B_Drainage!$A$5:$A$204&lt;=$B871)*(B_Drainage!$B$5:$B$204&gt;$B871)*(B_Drainage!$E$5:$E$204&lt;&gt;"")),IF(B_Drainage!$E$5:$E$204="-","",1)),"")</f>
        <v/>
      </c>
      <c r="U871" s="181" t="str">
        <f>IFERROR(LOOKUP(2,1/((B_Drainage!$A$5:$A$204&lt;&gt;"")*(B_Drainage!$A$5:$A$204&lt;=$B871)*(B_Drainage!$B$5:$B$204&gt;$B871)*(B_Drainage!$E$5:$E$204&lt;&gt;"")),IF(B_Drainage!$E$5:$E$204="-","",B_Drainage!$E$5:$E$204)),"")</f>
        <v/>
      </c>
      <c r="V871" s="181" t="str">
        <f>IFERROR(LOOKUP(2,1/((B_Drainage!$A$5:$A$204&lt;&gt;"")*(B_Drainage!$A$5:$A$204&lt;=$B871)*(B_Drainage!$B$5:$B$204&gt;$B871)*(B_Drainage!$F$5:$F$204&lt;&gt;"")),IF(B_Drainage!$F$5:$F$204="-","",1)),"")</f>
        <v/>
      </c>
      <c r="W871" s="181" t="str">
        <f>IFERROR(LOOKUP(2,1/((B_Drainage!$A$5:$A$204&lt;&gt;"")*(B_Drainage!$A$5:$A$204&lt;=$B871)*(B_Drainage!$B$5:$B$204&gt;$B871)*(B_Drainage!$F$5:$F$204&lt;&gt;"")),IF(B_Drainage!$F$5:$F$204="-","",B_Drainage!$F$5:$F$204)),"")</f>
        <v/>
      </c>
      <c r="X871" s="181" t="str">
        <f>IFERROR(LOOKUP(2,1/((B_Drainage!$A$5:$A$204&lt;&gt;"")*(B_Drainage!$A$5:$A$204&lt;=$B871)*(B_Drainage!$B$5:$B$204&gt;$B871)*(B_Drainage!$G$5:$G$204&lt;&gt;"")),IF(UPPER(B_Drainage!$G$5:$G$204)="Y",1,"")),"")</f>
        <v/>
      </c>
      <c r="Y871" s="181" t="str">
        <f>IFERROR(LOOKUP(2,1/((B_Drainage!$A$5:$A$204&lt;&gt;"")*(B_Drainage!$A$5:$A$204&lt;=$B871)*(B_Drainage!$B$5:$B$204&gt;$B871)*(B_Drainage!$H$5:$H$204&lt;&gt;"")),IF(UPPER(B_Drainage!$H$5:$H$204)="Y",1,"")),"")</f>
        <v/>
      </c>
      <c r="Z871" s="181" t="str">
        <f>IFERROR(LOOKUP(2,1/((B_Drainage!$A$5:$A$204&lt;&gt;"")*(B_Drainage!$A$5:$A$204&lt;=$B871)*(B_Drainage!$B$5:$B$204&gt;$B871)*(B_Drainage!$I$5:$I$204&lt;&gt;"")),IF(UPPER(B_Drainage!$I$5:$I$204)="Y",1,"")),"")</f>
        <v/>
      </c>
      <c r="AA871" s="181" t="str">
        <f>IFERROR(LOOKUP(2,1/((B_Drainage!$A$5:$A$204&lt;&gt;"")*(B_Drainage!$A$5:$A$204&lt;=$B871)*(B_Drainage!$B$5:$B$204&gt;$B871)*(B_Drainage!$J$5:$J$204&lt;&gt;"")),IF(UPPER(B_Drainage!$J$5:$J$204)="Y",1,"")),"")</f>
        <v/>
      </c>
      <c r="AB871" s="182" t="str">
        <f>IFERROR(LOOKUP(2,1/((B_Drainage!$A$5:$A$204&lt;&gt;"")*(B_Drainage!$A$5:$A$204&lt;=$B871)*(B_Drainage!$B$5:$B$204&gt;$B871)*(B_Drainage!$K$5:$K$204&lt;&gt;"")),IF(B_Drainage!$K$5:$K$204="-","",B_Drainage!$K$5:$K$204)),"")</f>
        <v/>
      </c>
      <c r="AC871" s="182" t="str">
        <f>IFERROR(LOOKUP(2,1/((B_Drainage!$A$5:$A$204&lt;&gt;"")*(B_Drainage!$A$5:$A$204&lt;=$B871)*(B_Drainage!$B$5:$B$204&gt;$B871)*(B_Drainage!$L$5:$L$204&lt;&gt;"")),IF(B_Drainage!$L$5:$L$204="-","",B_Drainage!$L$5:$L$204)),"")</f>
        <v/>
      </c>
      <c r="AD871" s="182" t="str">
        <f>IFERROR(LOOKUP(2,1/((D_Points!$A$5:$A$204&lt;&gt;"")*(D_Points!$A$5:$A$204&gt;=$B871)*(D_Points!$A$5:$A$204&lt;$B871+P_Interval)*(UPPER(TRIM(D_Points!$B$5:$B$204))="TURNOUT_L")*(D_Points!$H$5:$H$204&lt;&gt;"")),D_Points!$H$5:$H$204),"")</f>
        <v/>
      </c>
      <c r="AE871" s="182" t="str">
        <f>IFERROR(LOOKUP(2,1/((D_Points!$A$5:$A$204&lt;&gt;"")*(D_Points!$A$5:$A$204&gt;=$B871)*(D_Points!$A$5:$A$204&lt;$B871+P_Interval)*(UPPER(TRIM(D_Points!$B$5:$B$204))="TURNOUT_R")*(D_Points!$H$5:$H$204&lt;&gt;"")),D_Points!$H$5:$H$204),"")</f>
        <v/>
      </c>
      <c r="AF871" s="181" t="str">
        <f>IFERROR(LOOKUP(2,1/((B_Drainage!$A$5:$A$204&lt;&gt;"")*(B_Drainage!$A$5:$A$204&lt;=$B871)*(B_Drainage!$B$5:$B$204&gt;$B871)*(B_Drainage!$M$5:$M$204&lt;&gt;"")),IF(UPPER(B_Drainage!$M$5:$M$204)="Y",1,"")),"")</f>
        <v/>
      </c>
      <c r="AG871" s="181" t="str">
        <f>IFERROR(LOOKUP(2,1/((B_Drainage!$A$5:$A$204&lt;&gt;"")*(B_Drainage!$A$5:$A$204&lt;=$B871)*(B_Drainage!$B$5:$B$204&gt;$B871)*(B_Drainage!$N$5:$N$204&lt;&gt;"")),IF(UPPER(B_Drainage!$N$5:$N$204)="Y",1,"")),"")</f>
        <v/>
      </c>
      <c r="AH871" s="181" t="str">
        <f t="shared" si="104"/>
        <v/>
      </c>
      <c r="AI871" s="181" t="str">
        <f t="shared" si="105"/>
        <v/>
      </c>
      <c r="AJ871" s="181" t="str">
        <f t="shared" si="106"/>
        <v/>
      </c>
      <c r="AK871" s="181" t="str">
        <f t="shared" si="107"/>
        <v/>
      </c>
      <c r="AL871" s="181" t="str">
        <f t="shared" si="108"/>
        <v/>
      </c>
      <c r="AM871" s="181" t="str">
        <f t="shared" si="109"/>
        <v/>
      </c>
      <c r="AN871" s="181" t="str">
        <f t="shared" si="110"/>
        <v/>
      </c>
      <c r="AO871" s="192" t="str">
        <f t="shared" si="111"/>
        <v/>
      </c>
      <c r="AQ871" t="str">
        <f>IFERROR(LOOKUP(2,1/((C_Pavement!$A$5:$A$204&lt;&gt;"")*(C_Pavement!$A$5:$A$204&lt;=$B871)*(C_Pavement!$B$5:$B$204&gt;$B871)*(C_Pavement!$C$5:$C$204&lt;&gt;"")),ROW(C_Pavement!$C$5:$C$204)-4),"")</f>
        <v/>
      </c>
      <c r="AR871" t="str">
        <f>IF($AQ871="","",UPPER(TRIM(INDEX(C_Pavement!$C$5:$C$204,$AQ871))))</f>
        <v/>
      </c>
      <c r="AS871" t="str">
        <f>IF($AR871="","",IFERROR(MATCH($AR871,E_Rules!$A$5:$A$9,0),""))</f>
        <v/>
      </c>
      <c r="AT871" t="str">
        <f>IF($AQ871="","",IF(INDEX(C_Pavement!$D$5:$D$204,$AQ871)&lt;&gt;"",UPPER(TRIM(INDEX(C_Pavement!$D$5:$D$204,$AQ871))),IF($AS871="","",INDEX(E_Rules!$C$5:$C$9,$AS871))))</f>
        <v/>
      </c>
      <c r="AU871" t="str">
        <f>IF($AQ871="","",IF(INDEX(C_Pavement!$E$5:$E$204,$AQ871)&lt;&gt;"",IF(INDEX(C_Pavement!$E$5:$E$204,$AQ871)="-","",INDEX(C_Pavement!$E$5:$E$204,$AQ871)),IF($AS871="","",INDEX(E_Rules!$D$5:$D$9,$AS871))))</f>
        <v/>
      </c>
      <c r="AV871" t="str">
        <f>IF($AQ871="","",IF(INDEX(C_Pavement!$F$5:$F$204,$AQ871)&lt;&gt;"",IF(INDEX(C_Pavement!$F$5:$F$204,$AQ871)="-","",INDEX(C_Pavement!$F$5:$F$204,$AQ871)),IF($AS871="","",INDEX(E_Rules!$E$5:$E$9,$AS871))))</f>
        <v/>
      </c>
      <c r="AW871" t="str">
        <f>IF($AQ871="","",IF(INDEX(C_Pavement!$G$5:$G$204,$AQ871)&lt;&gt;"",IF(INDEX(C_Pavement!$G$5:$G$204,$AQ871)="-","",INDEX(C_Pavement!$G$5:$G$204,$AQ871)),IF($AS871="","",INDEX(E_Rules!$F$5:$F$9,$AS871))))</f>
        <v/>
      </c>
      <c r="AX871" t="str">
        <f>IF($AQ871="","",IF(INDEX(C_Pavement!$H$5:$H$204,$AQ871)&lt;&gt;"",IF(INDEX(C_Pavement!$H$5:$H$204,$AQ871)="-","",INDEX(C_Pavement!$H$5:$H$204,$AQ871)),IF($AS871="","",INDEX(E_Rules!$G$5:$G$9,$AS871))))</f>
        <v/>
      </c>
      <c r="AY871" t="str">
        <f>IF($AQ871="","",IF(INDEX(C_Pavement!$I$5:$I$204,$AQ871)&lt;&gt;"",IF(INDEX(C_Pavement!$I$5:$I$204,$AQ871)="-","",INDEX(C_Pavement!$I$5:$I$204,$AQ871)),IF($AS871="","",INDEX(E_Rules!$H$5:$H$9,$AS871))))</f>
        <v/>
      </c>
    </row>
    <row r="872" spans="1:51" ht="15.75" customHeight="1" x14ac:dyDescent="0.3">
      <c r="A872" s="189">
        <v>867</v>
      </c>
      <c r="B872" s="180">
        <v>43300</v>
      </c>
      <c r="C872" s="180" t="s">
        <v>1178</v>
      </c>
      <c r="D872" s="181" t="str">
        <f>IFERROR(LOOKUP(2,1/((A_Corridor!$A$5:$A$204&lt;&gt;"")*(A_Corridor!$A$5:$A$204&lt;=$B872)*(A_Corridor!$B$5:$B$204&gt;$B872)*(A_Corridor!$C$5:$C$204&lt;&gt;"")),IF(UPPER(A_Corridor!$C$5:$C$204)="Y",1,"")),"")</f>
        <v/>
      </c>
      <c r="E872" s="181" t="str">
        <f>IFERROR(LOOKUP(2,1/((A_Corridor!$A$5:$A$204&lt;&gt;"")*(A_Corridor!$A$5:$A$204&lt;=$B872)*(A_Corridor!$B$5:$B$204&gt;$B872)*(A_Corridor!$D$5:$D$204&lt;&gt;"")),IF(A_Corridor!$D$5:$D$204="-","",UPPER(A_Corridor!$D$5:$D$204))),"")</f>
        <v/>
      </c>
      <c r="F872" s="181" t="str">
        <f>IFERROR(LOOKUP(2,1/((A_Corridor!$A$5:$A$204&lt;&gt;"")*(A_Corridor!$A$5:$A$204&lt;=$B872)*(A_Corridor!$B$5:$B$204&gt;$B872)*(A_Corridor!$E$5:$E$204&lt;&gt;"")),IF(A_Corridor!$E$5:$E$204="-","",1)),"")</f>
        <v/>
      </c>
      <c r="G872" s="182" t="str">
        <f>IFERROR(LOOKUP(2,1/((A_Corridor!$A$5:$A$204&lt;&gt;"")*(A_Corridor!$A$5:$A$204&lt;=$B872)*(A_Corridor!$B$5:$B$204&gt;$B872)*(A_Corridor!$E$5:$E$204&lt;&gt;"")),IF(A_Corridor!$E$5:$E$204="-","",A_Corridor!$E$5:$E$204)),"")</f>
        <v/>
      </c>
      <c r="H872" s="182" t="str">
        <f>IFERROR(LOOKUP(2,1/((D_Points!$A$5:$A$204&lt;&gt;"")*(D_Points!$A$5:$A$204&gt;=$B872)*(D_Points!$A$5:$A$204&lt;$B872+P_Interval)*(UPPER(TRIM(D_Points!$B$5:$B$204))="GULLY")*(D_Points!$H$5:$H$204&lt;&gt;"")),D_Points!$H$5:$H$204),"")</f>
        <v/>
      </c>
      <c r="I872" s="181" t="str">
        <f>IFERROR(LOOKUP(2,1/((A_Corridor!$A$5:$A$204&lt;&gt;"")*(A_Corridor!$A$5:$A$204&lt;=$B872)*(A_Corridor!$B$5:$B$204&gt;$B872)*(A_Corridor!$F$5:$F$204&lt;&gt;"")),IF(A_Corridor!$F$5:$F$204="-","",1)),"")</f>
        <v/>
      </c>
      <c r="J872" s="182" t="str">
        <f>IFERROR(LOOKUP(2,1/((A_Corridor!$A$5:$A$204&lt;&gt;"")*(A_Corridor!$A$5:$A$204&lt;=$B872)*(A_Corridor!$B$5:$B$204&gt;$B872)*(A_Corridor!$F$5:$F$204&lt;&gt;"")),IF(A_Corridor!$F$5:$F$204="-","",A_Corridor!$F$5:$F$204)),"")</f>
        <v/>
      </c>
      <c r="K872" s="182" t="str">
        <f>IFERROR(LOOKUP(2,1/((A_Corridor!$A$5:$A$204&lt;&gt;"")*(A_Corridor!$A$5:$A$204&lt;=$B872)*(A_Corridor!$B$5:$B$204&gt;$B872)*(A_Corridor!$G$5:$G$204&lt;&gt;"")),IF(A_Corridor!$G$5:$G$204="-","",A_Corridor!$G$5:$G$204)),"")</f>
        <v/>
      </c>
      <c r="L872" s="181" t="str">
        <f>IFERROR(LOOKUP(2,1/((A_Corridor!$A$5:$A$204&lt;&gt;"")*(A_Corridor!$A$5:$A$204&lt;=$B872)*(A_Corridor!$B$5:$B$204&gt;$B872)*(A_Corridor!$H$5:$H$204&lt;&gt;"")),IF(A_Corridor!$H$5:$H$204="-","",1)),"")</f>
        <v/>
      </c>
      <c r="M872" s="182" t="str">
        <f>IFERROR(LOOKUP(2,1/((A_Corridor!$A$5:$A$204&lt;&gt;"")*(A_Corridor!$A$5:$A$204&lt;=$B872)*(A_Corridor!$B$5:$B$204&gt;$B872)*(A_Corridor!$H$5:$H$204&lt;&gt;"")),IF(A_Corridor!$H$5:$H$204="-","",A_Corridor!$H$5:$H$204)),"")</f>
        <v/>
      </c>
      <c r="N872" s="182" t="str">
        <f>IFERROR(LOOKUP(2,1/((A_Corridor!$A$5:$A$204&lt;&gt;"")*(A_Corridor!$A$5:$A$204&lt;=$B872)*(A_Corridor!$B$5:$B$204&gt;$B872)*(A_Corridor!$I$5:$I$204&lt;&gt;"")),IF(A_Corridor!$I$5:$I$204="-","",A_Corridor!$I$5:$I$204)),"")</f>
        <v/>
      </c>
      <c r="O872" s="182" t="str">
        <f>IFERROR(LOOKUP(2,1/((D_Points!$A$5:$A$204&lt;&gt;"")*(D_Points!$A$5:$A$204&gt;=$B872)*(D_Points!$A$5:$A$204&lt;$B872+P_Interval)*(UPPER(TRIM(D_Points!$B$5:$B$204))="PITCHING")*(D_Points!$H$5:$H$204&lt;&gt;"")),D_Points!$H$5:$H$204),"")</f>
        <v/>
      </c>
      <c r="P872" s="181" t="str">
        <f>IFERROR(LOOKUP(2,1/((B_Drainage!$A$5:$A$204&lt;&gt;"")*(B_Drainage!$A$5:$A$204&lt;=$B872)*(B_Drainage!$B$5:$B$204&gt;$B872)*(B_Drainage!$C$5:$C$204&lt;&gt;"")),IF(B_Drainage!$C$5:$C$204="-","",UPPER(B_Drainage!$C$5:$C$204))),"")</f>
        <v/>
      </c>
      <c r="Q872" s="181" t="str">
        <f>IFERROR(LOOKUP(2,1/((B_Drainage!$A$5:$A$204&lt;&gt;"")*(B_Drainage!$A$5:$A$204&lt;=$B872)*(B_Drainage!$B$5:$B$204&gt;$B872)*(B_Drainage!$D$5:$D$204&lt;&gt;"")),IF(B_Drainage!$D$5:$D$204="-","",UPPER(B_Drainage!$D$5:$D$204))),"")</f>
        <v/>
      </c>
      <c r="R872" s="182" t="str">
        <f>IFERROR(LOOKUP(2,1/((D_Points!$A$5:$A$204&lt;&gt;"")*(D_Points!$A$5:$A$204&gt;=$B872)*(D_Points!$A$5:$A$204&lt;$B872+P_Interval)*(RIGHT(UPPER(TRIM(D_Points!$B$5:$B$204)),8)="_CULVERT")),IF(LEFT(UPPER(TRIM(D_Points!$B$5:$B$204)),2)="EX",1,IF(LEFT(UPPER(TRIM(D_Points!$B$5:$B$204)),2)="PR",2,3))),"")</f>
        <v/>
      </c>
      <c r="S872" s="182" t="str">
        <f>IFERROR(LOOKUP(2,1/((D_Points!$A$5:$A$204&lt;&gt;"")*(D_Points!$A$5:$A$204&gt;=$B872)*(D_Points!$A$5:$A$204&lt;$B872+P_Interval)*(RIGHT(UPPER(TRIM(D_Points!$B$5:$B$204)),7)="_BRIDGE")),IF(LEFT(UPPER(TRIM(D_Points!$B$5:$B$204)),2)="EX",1,IF(LEFT(UPPER(TRIM(D_Points!$B$5:$B$204)),2)="PR",2,2))),"")</f>
        <v/>
      </c>
      <c r="T872" s="181" t="str">
        <f>IFERROR(LOOKUP(2,1/((B_Drainage!$A$5:$A$204&lt;&gt;"")*(B_Drainage!$A$5:$A$204&lt;=$B872)*(B_Drainage!$B$5:$B$204&gt;$B872)*(B_Drainage!$E$5:$E$204&lt;&gt;"")),IF(B_Drainage!$E$5:$E$204="-","",1)),"")</f>
        <v/>
      </c>
      <c r="U872" s="181" t="str">
        <f>IFERROR(LOOKUP(2,1/((B_Drainage!$A$5:$A$204&lt;&gt;"")*(B_Drainage!$A$5:$A$204&lt;=$B872)*(B_Drainage!$B$5:$B$204&gt;$B872)*(B_Drainage!$E$5:$E$204&lt;&gt;"")),IF(B_Drainage!$E$5:$E$204="-","",B_Drainage!$E$5:$E$204)),"")</f>
        <v/>
      </c>
      <c r="V872" s="181" t="str">
        <f>IFERROR(LOOKUP(2,1/((B_Drainage!$A$5:$A$204&lt;&gt;"")*(B_Drainage!$A$5:$A$204&lt;=$B872)*(B_Drainage!$B$5:$B$204&gt;$B872)*(B_Drainage!$F$5:$F$204&lt;&gt;"")),IF(B_Drainage!$F$5:$F$204="-","",1)),"")</f>
        <v/>
      </c>
      <c r="W872" s="181" t="str">
        <f>IFERROR(LOOKUP(2,1/((B_Drainage!$A$5:$A$204&lt;&gt;"")*(B_Drainage!$A$5:$A$204&lt;=$B872)*(B_Drainage!$B$5:$B$204&gt;$B872)*(B_Drainage!$F$5:$F$204&lt;&gt;"")),IF(B_Drainage!$F$5:$F$204="-","",B_Drainage!$F$5:$F$204)),"")</f>
        <v/>
      </c>
      <c r="X872" s="181" t="str">
        <f>IFERROR(LOOKUP(2,1/((B_Drainage!$A$5:$A$204&lt;&gt;"")*(B_Drainage!$A$5:$A$204&lt;=$B872)*(B_Drainage!$B$5:$B$204&gt;$B872)*(B_Drainage!$G$5:$G$204&lt;&gt;"")),IF(UPPER(B_Drainage!$G$5:$G$204)="Y",1,"")),"")</f>
        <v/>
      </c>
      <c r="Y872" s="181" t="str">
        <f>IFERROR(LOOKUP(2,1/((B_Drainage!$A$5:$A$204&lt;&gt;"")*(B_Drainage!$A$5:$A$204&lt;=$B872)*(B_Drainage!$B$5:$B$204&gt;$B872)*(B_Drainage!$H$5:$H$204&lt;&gt;"")),IF(UPPER(B_Drainage!$H$5:$H$204)="Y",1,"")),"")</f>
        <v/>
      </c>
      <c r="Z872" s="181" t="str">
        <f>IFERROR(LOOKUP(2,1/((B_Drainage!$A$5:$A$204&lt;&gt;"")*(B_Drainage!$A$5:$A$204&lt;=$B872)*(B_Drainage!$B$5:$B$204&gt;$B872)*(B_Drainage!$I$5:$I$204&lt;&gt;"")),IF(UPPER(B_Drainage!$I$5:$I$204)="Y",1,"")),"")</f>
        <v/>
      </c>
      <c r="AA872" s="181" t="str">
        <f>IFERROR(LOOKUP(2,1/((B_Drainage!$A$5:$A$204&lt;&gt;"")*(B_Drainage!$A$5:$A$204&lt;=$B872)*(B_Drainage!$B$5:$B$204&gt;$B872)*(B_Drainage!$J$5:$J$204&lt;&gt;"")),IF(UPPER(B_Drainage!$J$5:$J$204)="Y",1,"")),"")</f>
        <v/>
      </c>
      <c r="AB872" s="182" t="str">
        <f>IFERROR(LOOKUP(2,1/((B_Drainage!$A$5:$A$204&lt;&gt;"")*(B_Drainage!$A$5:$A$204&lt;=$B872)*(B_Drainage!$B$5:$B$204&gt;$B872)*(B_Drainage!$K$5:$K$204&lt;&gt;"")),IF(B_Drainage!$K$5:$K$204="-","",B_Drainage!$K$5:$K$204)),"")</f>
        <v/>
      </c>
      <c r="AC872" s="182" t="str">
        <f>IFERROR(LOOKUP(2,1/((B_Drainage!$A$5:$A$204&lt;&gt;"")*(B_Drainage!$A$5:$A$204&lt;=$B872)*(B_Drainage!$B$5:$B$204&gt;$B872)*(B_Drainage!$L$5:$L$204&lt;&gt;"")),IF(B_Drainage!$L$5:$L$204="-","",B_Drainage!$L$5:$L$204)),"")</f>
        <v/>
      </c>
      <c r="AD872" s="182" t="str">
        <f>IFERROR(LOOKUP(2,1/((D_Points!$A$5:$A$204&lt;&gt;"")*(D_Points!$A$5:$A$204&gt;=$B872)*(D_Points!$A$5:$A$204&lt;$B872+P_Interval)*(UPPER(TRIM(D_Points!$B$5:$B$204))="TURNOUT_L")*(D_Points!$H$5:$H$204&lt;&gt;"")),D_Points!$H$5:$H$204),"")</f>
        <v/>
      </c>
      <c r="AE872" s="182" t="str">
        <f>IFERROR(LOOKUP(2,1/((D_Points!$A$5:$A$204&lt;&gt;"")*(D_Points!$A$5:$A$204&gt;=$B872)*(D_Points!$A$5:$A$204&lt;$B872+P_Interval)*(UPPER(TRIM(D_Points!$B$5:$B$204))="TURNOUT_R")*(D_Points!$H$5:$H$204&lt;&gt;"")),D_Points!$H$5:$H$204),"")</f>
        <v/>
      </c>
      <c r="AF872" s="181" t="str">
        <f>IFERROR(LOOKUP(2,1/((B_Drainage!$A$5:$A$204&lt;&gt;"")*(B_Drainage!$A$5:$A$204&lt;=$B872)*(B_Drainage!$B$5:$B$204&gt;$B872)*(B_Drainage!$M$5:$M$204&lt;&gt;"")),IF(UPPER(B_Drainage!$M$5:$M$204)="Y",1,"")),"")</f>
        <v/>
      </c>
      <c r="AG872" s="181" t="str">
        <f>IFERROR(LOOKUP(2,1/((B_Drainage!$A$5:$A$204&lt;&gt;"")*(B_Drainage!$A$5:$A$204&lt;=$B872)*(B_Drainage!$B$5:$B$204&gt;$B872)*(B_Drainage!$N$5:$N$204&lt;&gt;"")),IF(UPPER(B_Drainage!$N$5:$N$204)="Y",1,"")),"")</f>
        <v/>
      </c>
      <c r="AH872" s="181" t="str">
        <f t="shared" si="104"/>
        <v/>
      </c>
      <c r="AI872" s="181" t="str">
        <f t="shared" si="105"/>
        <v/>
      </c>
      <c r="AJ872" s="181" t="str">
        <f t="shared" si="106"/>
        <v/>
      </c>
      <c r="AK872" s="181" t="str">
        <f t="shared" si="107"/>
        <v/>
      </c>
      <c r="AL872" s="181" t="str">
        <f t="shared" si="108"/>
        <v/>
      </c>
      <c r="AM872" s="181" t="str">
        <f t="shared" si="109"/>
        <v/>
      </c>
      <c r="AN872" s="181" t="str">
        <f t="shared" si="110"/>
        <v/>
      </c>
      <c r="AO872" s="192" t="str">
        <f t="shared" si="111"/>
        <v/>
      </c>
      <c r="AQ872" t="str">
        <f>IFERROR(LOOKUP(2,1/((C_Pavement!$A$5:$A$204&lt;&gt;"")*(C_Pavement!$A$5:$A$204&lt;=$B872)*(C_Pavement!$B$5:$B$204&gt;$B872)*(C_Pavement!$C$5:$C$204&lt;&gt;"")),ROW(C_Pavement!$C$5:$C$204)-4),"")</f>
        <v/>
      </c>
      <c r="AR872" t="str">
        <f>IF($AQ872="","",UPPER(TRIM(INDEX(C_Pavement!$C$5:$C$204,$AQ872))))</f>
        <v/>
      </c>
      <c r="AS872" t="str">
        <f>IF($AR872="","",IFERROR(MATCH($AR872,E_Rules!$A$5:$A$9,0),""))</f>
        <v/>
      </c>
      <c r="AT872" t="str">
        <f>IF($AQ872="","",IF(INDEX(C_Pavement!$D$5:$D$204,$AQ872)&lt;&gt;"",UPPER(TRIM(INDEX(C_Pavement!$D$5:$D$204,$AQ872))),IF($AS872="","",INDEX(E_Rules!$C$5:$C$9,$AS872))))</f>
        <v/>
      </c>
      <c r="AU872" t="str">
        <f>IF($AQ872="","",IF(INDEX(C_Pavement!$E$5:$E$204,$AQ872)&lt;&gt;"",IF(INDEX(C_Pavement!$E$5:$E$204,$AQ872)="-","",INDEX(C_Pavement!$E$5:$E$204,$AQ872)),IF($AS872="","",INDEX(E_Rules!$D$5:$D$9,$AS872))))</f>
        <v/>
      </c>
      <c r="AV872" t="str">
        <f>IF($AQ872="","",IF(INDEX(C_Pavement!$F$5:$F$204,$AQ872)&lt;&gt;"",IF(INDEX(C_Pavement!$F$5:$F$204,$AQ872)="-","",INDEX(C_Pavement!$F$5:$F$204,$AQ872)),IF($AS872="","",INDEX(E_Rules!$E$5:$E$9,$AS872))))</f>
        <v/>
      </c>
      <c r="AW872" t="str">
        <f>IF($AQ872="","",IF(INDEX(C_Pavement!$G$5:$G$204,$AQ872)&lt;&gt;"",IF(INDEX(C_Pavement!$G$5:$G$204,$AQ872)="-","",INDEX(C_Pavement!$G$5:$G$204,$AQ872)),IF($AS872="","",INDEX(E_Rules!$F$5:$F$9,$AS872))))</f>
        <v/>
      </c>
      <c r="AX872" t="str">
        <f>IF($AQ872="","",IF(INDEX(C_Pavement!$H$5:$H$204,$AQ872)&lt;&gt;"",IF(INDEX(C_Pavement!$H$5:$H$204,$AQ872)="-","",INDEX(C_Pavement!$H$5:$H$204,$AQ872)),IF($AS872="","",INDEX(E_Rules!$G$5:$G$9,$AS872))))</f>
        <v/>
      </c>
      <c r="AY872" t="str">
        <f>IF($AQ872="","",IF(INDEX(C_Pavement!$I$5:$I$204,$AQ872)&lt;&gt;"",IF(INDEX(C_Pavement!$I$5:$I$204,$AQ872)="-","",INDEX(C_Pavement!$I$5:$I$204,$AQ872)),IF($AS872="","",INDEX(E_Rules!$H$5:$H$9,$AS872))))</f>
        <v/>
      </c>
    </row>
    <row r="873" spans="1:51" ht="15.75" customHeight="1" x14ac:dyDescent="0.3">
      <c r="A873" s="189">
        <v>868</v>
      </c>
      <c r="B873" s="180">
        <v>43350</v>
      </c>
      <c r="C873" s="180" t="s">
        <v>1179</v>
      </c>
      <c r="D873" s="181" t="str">
        <f>IFERROR(LOOKUP(2,1/((A_Corridor!$A$5:$A$204&lt;&gt;"")*(A_Corridor!$A$5:$A$204&lt;=$B873)*(A_Corridor!$B$5:$B$204&gt;$B873)*(A_Corridor!$C$5:$C$204&lt;&gt;"")),IF(UPPER(A_Corridor!$C$5:$C$204)="Y",1,"")),"")</f>
        <v/>
      </c>
      <c r="E873" s="181" t="str">
        <f>IFERROR(LOOKUP(2,1/((A_Corridor!$A$5:$A$204&lt;&gt;"")*(A_Corridor!$A$5:$A$204&lt;=$B873)*(A_Corridor!$B$5:$B$204&gt;$B873)*(A_Corridor!$D$5:$D$204&lt;&gt;"")),IF(A_Corridor!$D$5:$D$204="-","",UPPER(A_Corridor!$D$5:$D$204))),"")</f>
        <v/>
      </c>
      <c r="F873" s="181" t="str">
        <f>IFERROR(LOOKUP(2,1/((A_Corridor!$A$5:$A$204&lt;&gt;"")*(A_Corridor!$A$5:$A$204&lt;=$B873)*(A_Corridor!$B$5:$B$204&gt;$B873)*(A_Corridor!$E$5:$E$204&lt;&gt;"")),IF(A_Corridor!$E$5:$E$204="-","",1)),"")</f>
        <v/>
      </c>
      <c r="G873" s="182" t="str">
        <f>IFERROR(LOOKUP(2,1/((A_Corridor!$A$5:$A$204&lt;&gt;"")*(A_Corridor!$A$5:$A$204&lt;=$B873)*(A_Corridor!$B$5:$B$204&gt;$B873)*(A_Corridor!$E$5:$E$204&lt;&gt;"")),IF(A_Corridor!$E$5:$E$204="-","",A_Corridor!$E$5:$E$204)),"")</f>
        <v/>
      </c>
      <c r="H873" s="182" t="str">
        <f>IFERROR(LOOKUP(2,1/((D_Points!$A$5:$A$204&lt;&gt;"")*(D_Points!$A$5:$A$204&gt;=$B873)*(D_Points!$A$5:$A$204&lt;$B873+P_Interval)*(UPPER(TRIM(D_Points!$B$5:$B$204))="GULLY")*(D_Points!$H$5:$H$204&lt;&gt;"")),D_Points!$H$5:$H$204),"")</f>
        <v/>
      </c>
      <c r="I873" s="181" t="str">
        <f>IFERROR(LOOKUP(2,1/((A_Corridor!$A$5:$A$204&lt;&gt;"")*(A_Corridor!$A$5:$A$204&lt;=$B873)*(A_Corridor!$B$5:$B$204&gt;$B873)*(A_Corridor!$F$5:$F$204&lt;&gt;"")),IF(A_Corridor!$F$5:$F$204="-","",1)),"")</f>
        <v/>
      </c>
      <c r="J873" s="182" t="str">
        <f>IFERROR(LOOKUP(2,1/((A_Corridor!$A$5:$A$204&lt;&gt;"")*(A_Corridor!$A$5:$A$204&lt;=$B873)*(A_Corridor!$B$5:$B$204&gt;$B873)*(A_Corridor!$F$5:$F$204&lt;&gt;"")),IF(A_Corridor!$F$5:$F$204="-","",A_Corridor!$F$5:$F$204)),"")</f>
        <v/>
      </c>
      <c r="K873" s="182" t="str">
        <f>IFERROR(LOOKUP(2,1/((A_Corridor!$A$5:$A$204&lt;&gt;"")*(A_Corridor!$A$5:$A$204&lt;=$B873)*(A_Corridor!$B$5:$B$204&gt;$B873)*(A_Corridor!$G$5:$G$204&lt;&gt;"")),IF(A_Corridor!$G$5:$G$204="-","",A_Corridor!$G$5:$G$204)),"")</f>
        <v/>
      </c>
      <c r="L873" s="181" t="str">
        <f>IFERROR(LOOKUP(2,1/((A_Corridor!$A$5:$A$204&lt;&gt;"")*(A_Corridor!$A$5:$A$204&lt;=$B873)*(A_Corridor!$B$5:$B$204&gt;$B873)*(A_Corridor!$H$5:$H$204&lt;&gt;"")),IF(A_Corridor!$H$5:$H$204="-","",1)),"")</f>
        <v/>
      </c>
      <c r="M873" s="182" t="str">
        <f>IFERROR(LOOKUP(2,1/((A_Corridor!$A$5:$A$204&lt;&gt;"")*(A_Corridor!$A$5:$A$204&lt;=$B873)*(A_Corridor!$B$5:$B$204&gt;$B873)*(A_Corridor!$H$5:$H$204&lt;&gt;"")),IF(A_Corridor!$H$5:$H$204="-","",A_Corridor!$H$5:$H$204)),"")</f>
        <v/>
      </c>
      <c r="N873" s="182" t="str">
        <f>IFERROR(LOOKUP(2,1/((A_Corridor!$A$5:$A$204&lt;&gt;"")*(A_Corridor!$A$5:$A$204&lt;=$B873)*(A_Corridor!$B$5:$B$204&gt;$B873)*(A_Corridor!$I$5:$I$204&lt;&gt;"")),IF(A_Corridor!$I$5:$I$204="-","",A_Corridor!$I$5:$I$204)),"")</f>
        <v/>
      </c>
      <c r="O873" s="182" t="str">
        <f>IFERROR(LOOKUP(2,1/((D_Points!$A$5:$A$204&lt;&gt;"")*(D_Points!$A$5:$A$204&gt;=$B873)*(D_Points!$A$5:$A$204&lt;$B873+P_Interval)*(UPPER(TRIM(D_Points!$B$5:$B$204))="PITCHING")*(D_Points!$H$5:$H$204&lt;&gt;"")),D_Points!$H$5:$H$204),"")</f>
        <v/>
      </c>
      <c r="P873" s="181" t="str">
        <f>IFERROR(LOOKUP(2,1/((B_Drainage!$A$5:$A$204&lt;&gt;"")*(B_Drainage!$A$5:$A$204&lt;=$B873)*(B_Drainage!$B$5:$B$204&gt;$B873)*(B_Drainage!$C$5:$C$204&lt;&gt;"")),IF(B_Drainage!$C$5:$C$204="-","",UPPER(B_Drainage!$C$5:$C$204))),"")</f>
        <v/>
      </c>
      <c r="Q873" s="181" t="str">
        <f>IFERROR(LOOKUP(2,1/((B_Drainage!$A$5:$A$204&lt;&gt;"")*(B_Drainage!$A$5:$A$204&lt;=$B873)*(B_Drainage!$B$5:$B$204&gt;$B873)*(B_Drainage!$D$5:$D$204&lt;&gt;"")),IF(B_Drainage!$D$5:$D$204="-","",UPPER(B_Drainage!$D$5:$D$204))),"")</f>
        <v/>
      </c>
      <c r="R873" s="182" t="str">
        <f>IFERROR(LOOKUP(2,1/((D_Points!$A$5:$A$204&lt;&gt;"")*(D_Points!$A$5:$A$204&gt;=$B873)*(D_Points!$A$5:$A$204&lt;$B873+P_Interval)*(RIGHT(UPPER(TRIM(D_Points!$B$5:$B$204)),8)="_CULVERT")),IF(LEFT(UPPER(TRIM(D_Points!$B$5:$B$204)),2)="EX",1,IF(LEFT(UPPER(TRIM(D_Points!$B$5:$B$204)),2)="PR",2,3))),"")</f>
        <v/>
      </c>
      <c r="S873" s="182" t="str">
        <f>IFERROR(LOOKUP(2,1/((D_Points!$A$5:$A$204&lt;&gt;"")*(D_Points!$A$5:$A$204&gt;=$B873)*(D_Points!$A$5:$A$204&lt;$B873+P_Interval)*(RIGHT(UPPER(TRIM(D_Points!$B$5:$B$204)),7)="_BRIDGE")),IF(LEFT(UPPER(TRIM(D_Points!$B$5:$B$204)),2)="EX",1,IF(LEFT(UPPER(TRIM(D_Points!$B$5:$B$204)),2)="PR",2,2))),"")</f>
        <v/>
      </c>
      <c r="T873" s="181" t="str">
        <f>IFERROR(LOOKUP(2,1/((B_Drainage!$A$5:$A$204&lt;&gt;"")*(B_Drainage!$A$5:$A$204&lt;=$B873)*(B_Drainage!$B$5:$B$204&gt;$B873)*(B_Drainage!$E$5:$E$204&lt;&gt;"")),IF(B_Drainage!$E$5:$E$204="-","",1)),"")</f>
        <v/>
      </c>
      <c r="U873" s="181" t="str">
        <f>IFERROR(LOOKUP(2,1/((B_Drainage!$A$5:$A$204&lt;&gt;"")*(B_Drainage!$A$5:$A$204&lt;=$B873)*(B_Drainage!$B$5:$B$204&gt;$B873)*(B_Drainage!$E$5:$E$204&lt;&gt;"")),IF(B_Drainage!$E$5:$E$204="-","",B_Drainage!$E$5:$E$204)),"")</f>
        <v/>
      </c>
      <c r="V873" s="181" t="str">
        <f>IFERROR(LOOKUP(2,1/((B_Drainage!$A$5:$A$204&lt;&gt;"")*(B_Drainage!$A$5:$A$204&lt;=$B873)*(B_Drainage!$B$5:$B$204&gt;$B873)*(B_Drainage!$F$5:$F$204&lt;&gt;"")),IF(B_Drainage!$F$5:$F$204="-","",1)),"")</f>
        <v/>
      </c>
      <c r="W873" s="181" t="str">
        <f>IFERROR(LOOKUP(2,1/((B_Drainage!$A$5:$A$204&lt;&gt;"")*(B_Drainage!$A$5:$A$204&lt;=$B873)*(B_Drainage!$B$5:$B$204&gt;$B873)*(B_Drainage!$F$5:$F$204&lt;&gt;"")),IF(B_Drainage!$F$5:$F$204="-","",B_Drainage!$F$5:$F$204)),"")</f>
        <v/>
      </c>
      <c r="X873" s="181" t="str">
        <f>IFERROR(LOOKUP(2,1/((B_Drainage!$A$5:$A$204&lt;&gt;"")*(B_Drainage!$A$5:$A$204&lt;=$B873)*(B_Drainage!$B$5:$B$204&gt;$B873)*(B_Drainage!$G$5:$G$204&lt;&gt;"")),IF(UPPER(B_Drainage!$G$5:$G$204)="Y",1,"")),"")</f>
        <v/>
      </c>
      <c r="Y873" s="181" t="str">
        <f>IFERROR(LOOKUP(2,1/((B_Drainage!$A$5:$A$204&lt;&gt;"")*(B_Drainage!$A$5:$A$204&lt;=$B873)*(B_Drainage!$B$5:$B$204&gt;$B873)*(B_Drainage!$H$5:$H$204&lt;&gt;"")),IF(UPPER(B_Drainage!$H$5:$H$204)="Y",1,"")),"")</f>
        <v/>
      </c>
      <c r="Z873" s="181" t="str">
        <f>IFERROR(LOOKUP(2,1/((B_Drainage!$A$5:$A$204&lt;&gt;"")*(B_Drainage!$A$5:$A$204&lt;=$B873)*(B_Drainage!$B$5:$B$204&gt;$B873)*(B_Drainage!$I$5:$I$204&lt;&gt;"")),IF(UPPER(B_Drainage!$I$5:$I$204)="Y",1,"")),"")</f>
        <v/>
      </c>
      <c r="AA873" s="181" t="str">
        <f>IFERROR(LOOKUP(2,1/((B_Drainage!$A$5:$A$204&lt;&gt;"")*(B_Drainage!$A$5:$A$204&lt;=$B873)*(B_Drainage!$B$5:$B$204&gt;$B873)*(B_Drainage!$J$5:$J$204&lt;&gt;"")),IF(UPPER(B_Drainage!$J$5:$J$204)="Y",1,"")),"")</f>
        <v/>
      </c>
      <c r="AB873" s="182" t="str">
        <f>IFERROR(LOOKUP(2,1/((B_Drainage!$A$5:$A$204&lt;&gt;"")*(B_Drainage!$A$5:$A$204&lt;=$B873)*(B_Drainage!$B$5:$B$204&gt;$B873)*(B_Drainage!$K$5:$K$204&lt;&gt;"")),IF(B_Drainage!$K$5:$K$204="-","",B_Drainage!$K$5:$K$204)),"")</f>
        <v/>
      </c>
      <c r="AC873" s="182" t="str">
        <f>IFERROR(LOOKUP(2,1/((B_Drainage!$A$5:$A$204&lt;&gt;"")*(B_Drainage!$A$5:$A$204&lt;=$B873)*(B_Drainage!$B$5:$B$204&gt;$B873)*(B_Drainage!$L$5:$L$204&lt;&gt;"")),IF(B_Drainage!$L$5:$L$204="-","",B_Drainage!$L$5:$L$204)),"")</f>
        <v/>
      </c>
      <c r="AD873" s="182" t="str">
        <f>IFERROR(LOOKUP(2,1/((D_Points!$A$5:$A$204&lt;&gt;"")*(D_Points!$A$5:$A$204&gt;=$B873)*(D_Points!$A$5:$A$204&lt;$B873+P_Interval)*(UPPER(TRIM(D_Points!$B$5:$B$204))="TURNOUT_L")*(D_Points!$H$5:$H$204&lt;&gt;"")),D_Points!$H$5:$H$204),"")</f>
        <v/>
      </c>
      <c r="AE873" s="182" t="str">
        <f>IFERROR(LOOKUP(2,1/((D_Points!$A$5:$A$204&lt;&gt;"")*(D_Points!$A$5:$A$204&gt;=$B873)*(D_Points!$A$5:$A$204&lt;$B873+P_Interval)*(UPPER(TRIM(D_Points!$B$5:$B$204))="TURNOUT_R")*(D_Points!$H$5:$H$204&lt;&gt;"")),D_Points!$H$5:$H$204),"")</f>
        <v/>
      </c>
      <c r="AF873" s="181" t="str">
        <f>IFERROR(LOOKUP(2,1/((B_Drainage!$A$5:$A$204&lt;&gt;"")*(B_Drainage!$A$5:$A$204&lt;=$B873)*(B_Drainage!$B$5:$B$204&gt;$B873)*(B_Drainage!$M$5:$M$204&lt;&gt;"")),IF(UPPER(B_Drainage!$M$5:$M$204)="Y",1,"")),"")</f>
        <v/>
      </c>
      <c r="AG873" s="181" t="str">
        <f>IFERROR(LOOKUP(2,1/((B_Drainage!$A$5:$A$204&lt;&gt;"")*(B_Drainage!$A$5:$A$204&lt;=$B873)*(B_Drainage!$B$5:$B$204&gt;$B873)*(B_Drainage!$N$5:$N$204&lt;&gt;"")),IF(UPPER(B_Drainage!$N$5:$N$204)="Y",1,"")),"")</f>
        <v/>
      </c>
      <c r="AH873" s="181" t="str">
        <f t="shared" si="104"/>
        <v/>
      </c>
      <c r="AI873" s="181" t="str">
        <f t="shared" si="105"/>
        <v/>
      </c>
      <c r="AJ873" s="181" t="str">
        <f t="shared" si="106"/>
        <v/>
      </c>
      <c r="AK873" s="181" t="str">
        <f t="shared" si="107"/>
        <v/>
      </c>
      <c r="AL873" s="181" t="str">
        <f t="shared" si="108"/>
        <v/>
      </c>
      <c r="AM873" s="181" t="str">
        <f t="shared" si="109"/>
        <v/>
      </c>
      <c r="AN873" s="181" t="str">
        <f t="shared" si="110"/>
        <v/>
      </c>
      <c r="AO873" s="192" t="str">
        <f t="shared" si="111"/>
        <v/>
      </c>
      <c r="AQ873" t="str">
        <f>IFERROR(LOOKUP(2,1/((C_Pavement!$A$5:$A$204&lt;&gt;"")*(C_Pavement!$A$5:$A$204&lt;=$B873)*(C_Pavement!$B$5:$B$204&gt;$B873)*(C_Pavement!$C$5:$C$204&lt;&gt;"")),ROW(C_Pavement!$C$5:$C$204)-4),"")</f>
        <v/>
      </c>
      <c r="AR873" t="str">
        <f>IF($AQ873="","",UPPER(TRIM(INDEX(C_Pavement!$C$5:$C$204,$AQ873))))</f>
        <v/>
      </c>
      <c r="AS873" t="str">
        <f>IF($AR873="","",IFERROR(MATCH($AR873,E_Rules!$A$5:$A$9,0),""))</f>
        <v/>
      </c>
      <c r="AT873" t="str">
        <f>IF($AQ873="","",IF(INDEX(C_Pavement!$D$5:$D$204,$AQ873)&lt;&gt;"",UPPER(TRIM(INDEX(C_Pavement!$D$5:$D$204,$AQ873))),IF($AS873="","",INDEX(E_Rules!$C$5:$C$9,$AS873))))</f>
        <v/>
      </c>
      <c r="AU873" t="str">
        <f>IF($AQ873="","",IF(INDEX(C_Pavement!$E$5:$E$204,$AQ873)&lt;&gt;"",IF(INDEX(C_Pavement!$E$5:$E$204,$AQ873)="-","",INDEX(C_Pavement!$E$5:$E$204,$AQ873)),IF($AS873="","",INDEX(E_Rules!$D$5:$D$9,$AS873))))</f>
        <v/>
      </c>
      <c r="AV873" t="str">
        <f>IF($AQ873="","",IF(INDEX(C_Pavement!$F$5:$F$204,$AQ873)&lt;&gt;"",IF(INDEX(C_Pavement!$F$5:$F$204,$AQ873)="-","",INDEX(C_Pavement!$F$5:$F$204,$AQ873)),IF($AS873="","",INDEX(E_Rules!$E$5:$E$9,$AS873))))</f>
        <v/>
      </c>
      <c r="AW873" t="str">
        <f>IF($AQ873="","",IF(INDEX(C_Pavement!$G$5:$G$204,$AQ873)&lt;&gt;"",IF(INDEX(C_Pavement!$G$5:$G$204,$AQ873)="-","",INDEX(C_Pavement!$G$5:$G$204,$AQ873)),IF($AS873="","",INDEX(E_Rules!$F$5:$F$9,$AS873))))</f>
        <v/>
      </c>
      <c r="AX873" t="str">
        <f>IF($AQ873="","",IF(INDEX(C_Pavement!$H$5:$H$204,$AQ873)&lt;&gt;"",IF(INDEX(C_Pavement!$H$5:$H$204,$AQ873)="-","",INDEX(C_Pavement!$H$5:$H$204,$AQ873)),IF($AS873="","",INDEX(E_Rules!$G$5:$G$9,$AS873))))</f>
        <v/>
      </c>
      <c r="AY873" t="str">
        <f>IF($AQ873="","",IF(INDEX(C_Pavement!$I$5:$I$204,$AQ873)&lt;&gt;"",IF(INDEX(C_Pavement!$I$5:$I$204,$AQ873)="-","",INDEX(C_Pavement!$I$5:$I$204,$AQ873)),IF($AS873="","",INDEX(E_Rules!$H$5:$H$9,$AS873))))</f>
        <v/>
      </c>
    </row>
    <row r="874" spans="1:51" ht="15.75" customHeight="1" x14ac:dyDescent="0.3">
      <c r="A874" s="189">
        <v>869</v>
      </c>
      <c r="B874" s="180">
        <v>43400</v>
      </c>
      <c r="C874" s="180" t="s">
        <v>1180</v>
      </c>
      <c r="D874" s="181" t="str">
        <f>IFERROR(LOOKUP(2,1/((A_Corridor!$A$5:$A$204&lt;&gt;"")*(A_Corridor!$A$5:$A$204&lt;=$B874)*(A_Corridor!$B$5:$B$204&gt;$B874)*(A_Corridor!$C$5:$C$204&lt;&gt;"")),IF(UPPER(A_Corridor!$C$5:$C$204)="Y",1,"")),"")</f>
        <v/>
      </c>
      <c r="E874" s="181" t="str">
        <f>IFERROR(LOOKUP(2,1/((A_Corridor!$A$5:$A$204&lt;&gt;"")*(A_Corridor!$A$5:$A$204&lt;=$B874)*(A_Corridor!$B$5:$B$204&gt;$B874)*(A_Corridor!$D$5:$D$204&lt;&gt;"")),IF(A_Corridor!$D$5:$D$204="-","",UPPER(A_Corridor!$D$5:$D$204))),"")</f>
        <v/>
      </c>
      <c r="F874" s="181" t="str">
        <f>IFERROR(LOOKUP(2,1/((A_Corridor!$A$5:$A$204&lt;&gt;"")*(A_Corridor!$A$5:$A$204&lt;=$B874)*(A_Corridor!$B$5:$B$204&gt;$B874)*(A_Corridor!$E$5:$E$204&lt;&gt;"")),IF(A_Corridor!$E$5:$E$204="-","",1)),"")</f>
        <v/>
      </c>
      <c r="G874" s="182" t="str">
        <f>IFERROR(LOOKUP(2,1/((A_Corridor!$A$5:$A$204&lt;&gt;"")*(A_Corridor!$A$5:$A$204&lt;=$B874)*(A_Corridor!$B$5:$B$204&gt;$B874)*(A_Corridor!$E$5:$E$204&lt;&gt;"")),IF(A_Corridor!$E$5:$E$204="-","",A_Corridor!$E$5:$E$204)),"")</f>
        <v/>
      </c>
      <c r="H874" s="182" t="str">
        <f>IFERROR(LOOKUP(2,1/((D_Points!$A$5:$A$204&lt;&gt;"")*(D_Points!$A$5:$A$204&gt;=$B874)*(D_Points!$A$5:$A$204&lt;$B874+P_Interval)*(UPPER(TRIM(D_Points!$B$5:$B$204))="GULLY")*(D_Points!$H$5:$H$204&lt;&gt;"")),D_Points!$H$5:$H$204),"")</f>
        <v/>
      </c>
      <c r="I874" s="181" t="str">
        <f>IFERROR(LOOKUP(2,1/((A_Corridor!$A$5:$A$204&lt;&gt;"")*(A_Corridor!$A$5:$A$204&lt;=$B874)*(A_Corridor!$B$5:$B$204&gt;$B874)*(A_Corridor!$F$5:$F$204&lt;&gt;"")),IF(A_Corridor!$F$5:$F$204="-","",1)),"")</f>
        <v/>
      </c>
      <c r="J874" s="182" t="str">
        <f>IFERROR(LOOKUP(2,1/((A_Corridor!$A$5:$A$204&lt;&gt;"")*(A_Corridor!$A$5:$A$204&lt;=$B874)*(A_Corridor!$B$5:$B$204&gt;$B874)*(A_Corridor!$F$5:$F$204&lt;&gt;"")),IF(A_Corridor!$F$5:$F$204="-","",A_Corridor!$F$5:$F$204)),"")</f>
        <v/>
      </c>
      <c r="K874" s="182" t="str">
        <f>IFERROR(LOOKUP(2,1/((A_Corridor!$A$5:$A$204&lt;&gt;"")*(A_Corridor!$A$5:$A$204&lt;=$B874)*(A_Corridor!$B$5:$B$204&gt;$B874)*(A_Corridor!$G$5:$G$204&lt;&gt;"")),IF(A_Corridor!$G$5:$G$204="-","",A_Corridor!$G$5:$G$204)),"")</f>
        <v/>
      </c>
      <c r="L874" s="181" t="str">
        <f>IFERROR(LOOKUP(2,1/((A_Corridor!$A$5:$A$204&lt;&gt;"")*(A_Corridor!$A$5:$A$204&lt;=$B874)*(A_Corridor!$B$5:$B$204&gt;$B874)*(A_Corridor!$H$5:$H$204&lt;&gt;"")),IF(A_Corridor!$H$5:$H$204="-","",1)),"")</f>
        <v/>
      </c>
      <c r="M874" s="182" t="str">
        <f>IFERROR(LOOKUP(2,1/((A_Corridor!$A$5:$A$204&lt;&gt;"")*(A_Corridor!$A$5:$A$204&lt;=$B874)*(A_Corridor!$B$5:$B$204&gt;$B874)*(A_Corridor!$H$5:$H$204&lt;&gt;"")),IF(A_Corridor!$H$5:$H$204="-","",A_Corridor!$H$5:$H$204)),"")</f>
        <v/>
      </c>
      <c r="N874" s="182" t="str">
        <f>IFERROR(LOOKUP(2,1/((A_Corridor!$A$5:$A$204&lt;&gt;"")*(A_Corridor!$A$5:$A$204&lt;=$B874)*(A_Corridor!$B$5:$B$204&gt;$B874)*(A_Corridor!$I$5:$I$204&lt;&gt;"")),IF(A_Corridor!$I$5:$I$204="-","",A_Corridor!$I$5:$I$204)),"")</f>
        <v/>
      </c>
      <c r="O874" s="182" t="str">
        <f>IFERROR(LOOKUP(2,1/((D_Points!$A$5:$A$204&lt;&gt;"")*(D_Points!$A$5:$A$204&gt;=$B874)*(D_Points!$A$5:$A$204&lt;$B874+P_Interval)*(UPPER(TRIM(D_Points!$B$5:$B$204))="PITCHING")*(D_Points!$H$5:$H$204&lt;&gt;"")),D_Points!$H$5:$H$204),"")</f>
        <v/>
      </c>
      <c r="P874" s="181" t="str">
        <f>IFERROR(LOOKUP(2,1/((B_Drainage!$A$5:$A$204&lt;&gt;"")*(B_Drainage!$A$5:$A$204&lt;=$B874)*(B_Drainage!$B$5:$B$204&gt;$B874)*(B_Drainage!$C$5:$C$204&lt;&gt;"")),IF(B_Drainage!$C$5:$C$204="-","",UPPER(B_Drainage!$C$5:$C$204))),"")</f>
        <v/>
      </c>
      <c r="Q874" s="181" t="str">
        <f>IFERROR(LOOKUP(2,1/((B_Drainage!$A$5:$A$204&lt;&gt;"")*(B_Drainage!$A$5:$A$204&lt;=$B874)*(B_Drainage!$B$5:$B$204&gt;$B874)*(B_Drainage!$D$5:$D$204&lt;&gt;"")),IF(B_Drainage!$D$5:$D$204="-","",UPPER(B_Drainage!$D$5:$D$204))),"")</f>
        <v/>
      </c>
      <c r="R874" s="182" t="str">
        <f>IFERROR(LOOKUP(2,1/((D_Points!$A$5:$A$204&lt;&gt;"")*(D_Points!$A$5:$A$204&gt;=$B874)*(D_Points!$A$5:$A$204&lt;$B874+P_Interval)*(RIGHT(UPPER(TRIM(D_Points!$B$5:$B$204)),8)="_CULVERT")),IF(LEFT(UPPER(TRIM(D_Points!$B$5:$B$204)),2)="EX",1,IF(LEFT(UPPER(TRIM(D_Points!$B$5:$B$204)),2)="PR",2,3))),"")</f>
        <v/>
      </c>
      <c r="S874" s="182" t="str">
        <f>IFERROR(LOOKUP(2,1/((D_Points!$A$5:$A$204&lt;&gt;"")*(D_Points!$A$5:$A$204&gt;=$B874)*(D_Points!$A$5:$A$204&lt;$B874+P_Interval)*(RIGHT(UPPER(TRIM(D_Points!$B$5:$B$204)),7)="_BRIDGE")),IF(LEFT(UPPER(TRIM(D_Points!$B$5:$B$204)),2)="EX",1,IF(LEFT(UPPER(TRIM(D_Points!$B$5:$B$204)),2)="PR",2,2))),"")</f>
        <v/>
      </c>
      <c r="T874" s="181" t="str">
        <f>IFERROR(LOOKUP(2,1/((B_Drainage!$A$5:$A$204&lt;&gt;"")*(B_Drainage!$A$5:$A$204&lt;=$B874)*(B_Drainage!$B$5:$B$204&gt;$B874)*(B_Drainage!$E$5:$E$204&lt;&gt;"")),IF(B_Drainage!$E$5:$E$204="-","",1)),"")</f>
        <v/>
      </c>
      <c r="U874" s="181" t="str">
        <f>IFERROR(LOOKUP(2,1/((B_Drainage!$A$5:$A$204&lt;&gt;"")*(B_Drainage!$A$5:$A$204&lt;=$B874)*(B_Drainage!$B$5:$B$204&gt;$B874)*(B_Drainage!$E$5:$E$204&lt;&gt;"")),IF(B_Drainage!$E$5:$E$204="-","",B_Drainage!$E$5:$E$204)),"")</f>
        <v/>
      </c>
      <c r="V874" s="181" t="str">
        <f>IFERROR(LOOKUP(2,1/((B_Drainage!$A$5:$A$204&lt;&gt;"")*(B_Drainage!$A$5:$A$204&lt;=$B874)*(B_Drainage!$B$5:$B$204&gt;$B874)*(B_Drainage!$F$5:$F$204&lt;&gt;"")),IF(B_Drainage!$F$5:$F$204="-","",1)),"")</f>
        <v/>
      </c>
      <c r="W874" s="181" t="str">
        <f>IFERROR(LOOKUP(2,1/((B_Drainage!$A$5:$A$204&lt;&gt;"")*(B_Drainage!$A$5:$A$204&lt;=$B874)*(B_Drainage!$B$5:$B$204&gt;$B874)*(B_Drainage!$F$5:$F$204&lt;&gt;"")),IF(B_Drainage!$F$5:$F$204="-","",B_Drainage!$F$5:$F$204)),"")</f>
        <v/>
      </c>
      <c r="X874" s="181" t="str">
        <f>IFERROR(LOOKUP(2,1/((B_Drainage!$A$5:$A$204&lt;&gt;"")*(B_Drainage!$A$5:$A$204&lt;=$B874)*(B_Drainage!$B$5:$B$204&gt;$B874)*(B_Drainage!$G$5:$G$204&lt;&gt;"")),IF(UPPER(B_Drainage!$G$5:$G$204)="Y",1,"")),"")</f>
        <v/>
      </c>
      <c r="Y874" s="181" t="str">
        <f>IFERROR(LOOKUP(2,1/((B_Drainage!$A$5:$A$204&lt;&gt;"")*(B_Drainage!$A$5:$A$204&lt;=$B874)*(B_Drainage!$B$5:$B$204&gt;$B874)*(B_Drainage!$H$5:$H$204&lt;&gt;"")),IF(UPPER(B_Drainage!$H$5:$H$204)="Y",1,"")),"")</f>
        <v/>
      </c>
      <c r="Z874" s="181" t="str">
        <f>IFERROR(LOOKUP(2,1/((B_Drainage!$A$5:$A$204&lt;&gt;"")*(B_Drainage!$A$5:$A$204&lt;=$B874)*(B_Drainage!$B$5:$B$204&gt;$B874)*(B_Drainage!$I$5:$I$204&lt;&gt;"")),IF(UPPER(B_Drainage!$I$5:$I$204)="Y",1,"")),"")</f>
        <v/>
      </c>
      <c r="AA874" s="181" t="str">
        <f>IFERROR(LOOKUP(2,1/((B_Drainage!$A$5:$A$204&lt;&gt;"")*(B_Drainage!$A$5:$A$204&lt;=$B874)*(B_Drainage!$B$5:$B$204&gt;$B874)*(B_Drainage!$J$5:$J$204&lt;&gt;"")),IF(UPPER(B_Drainage!$J$5:$J$204)="Y",1,"")),"")</f>
        <v/>
      </c>
      <c r="AB874" s="182" t="str">
        <f>IFERROR(LOOKUP(2,1/((B_Drainage!$A$5:$A$204&lt;&gt;"")*(B_Drainage!$A$5:$A$204&lt;=$B874)*(B_Drainage!$B$5:$B$204&gt;$B874)*(B_Drainage!$K$5:$K$204&lt;&gt;"")),IF(B_Drainage!$K$5:$K$204="-","",B_Drainage!$K$5:$K$204)),"")</f>
        <v/>
      </c>
      <c r="AC874" s="182" t="str">
        <f>IFERROR(LOOKUP(2,1/((B_Drainage!$A$5:$A$204&lt;&gt;"")*(B_Drainage!$A$5:$A$204&lt;=$B874)*(B_Drainage!$B$5:$B$204&gt;$B874)*(B_Drainage!$L$5:$L$204&lt;&gt;"")),IF(B_Drainage!$L$5:$L$204="-","",B_Drainage!$L$5:$L$204)),"")</f>
        <v/>
      </c>
      <c r="AD874" s="182" t="str">
        <f>IFERROR(LOOKUP(2,1/((D_Points!$A$5:$A$204&lt;&gt;"")*(D_Points!$A$5:$A$204&gt;=$B874)*(D_Points!$A$5:$A$204&lt;$B874+P_Interval)*(UPPER(TRIM(D_Points!$B$5:$B$204))="TURNOUT_L")*(D_Points!$H$5:$H$204&lt;&gt;"")),D_Points!$H$5:$H$204),"")</f>
        <v/>
      </c>
      <c r="AE874" s="182" t="str">
        <f>IFERROR(LOOKUP(2,1/((D_Points!$A$5:$A$204&lt;&gt;"")*(D_Points!$A$5:$A$204&gt;=$B874)*(D_Points!$A$5:$A$204&lt;$B874+P_Interval)*(UPPER(TRIM(D_Points!$B$5:$B$204))="TURNOUT_R")*(D_Points!$H$5:$H$204&lt;&gt;"")),D_Points!$H$5:$H$204),"")</f>
        <v/>
      </c>
      <c r="AF874" s="181" t="str">
        <f>IFERROR(LOOKUP(2,1/((B_Drainage!$A$5:$A$204&lt;&gt;"")*(B_Drainage!$A$5:$A$204&lt;=$B874)*(B_Drainage!$B$5:$B$204&gt;$B874)*(B_Drainage!$M$5:$M$204&lt;&gt;"")),IF(UPPER(B_Drainage!$M$5:$M$204)="Y",1,"")),"")</f>
        <v/>
      </c>
      <c r="AG874" s="181" t="str">
        <f>IFERROR(LOOKUP(2,1/((B_Drainage!$A$5:$A$204&lt;&gt;"")*(B_Drainage!$A$5:$A$204&lt;=$B874)*(B_Drainage!$B$5:$B$204&gt;$B874)*(B_Drainage!$N$5:$N$204&lt;&gt;"")),IF(UPPER(B_Drainage!$N$5:$N$204)="Y",1,"")),"")</f>
        <v/>
      </c>
      <c r="AH874" s="181" t="str">
        <f t="shared" si="104"/>
        <v/>
      </c>
      <c r="AI874" s="181" t="str">
        <f t="shared" si="105"/>
        <v/>
      </c>
      <c r="AJ874" s="181" t="str">
        <f t="shared" si="106"/>
        <v/>
      </c>
      <c r="AK874" s="181" t="str">
        <f t="shared" si="107"/>
        <v/>
      </c>
      <c r="AL874" s="181" t="str">
        <f t="shared" si="108"/>
        <v/>
      </c>
      <c r="AM874" s="181" t="str">
        <f t="shared" si="109"/>
        <v/>
      </c>
      <c r="AN874" s="181" t="str">
        <f t="shared" si="110"/>
        <v/>
      </c>
      <c r="AO874" s="192" t="str">
        <f t="shared" si="111"/>
        <v/>
      </c>
      <c r="AQ874" t="str">
        <f>IFERROR(LOOKUP(2,1/((C_Pavement!$A$5:$A$204&lt;&gt;"")*(C_Pavement!$A$5:$A$204&lt;=$B874)*(C_Pavement!$B$5:$B$204&gt;$B874)*(C_Pavement!$C$5:$C$204&lt;&gt;"")),ROW(C_Pavement!$C$5:$C$204)-4),"")</f>
        <v/>
      </c>
      <c r="AR874" t="str">
        <f>IF($AQ874="","",UPPER(TRIM(INDEX(C_Pavement!$C$5:$C$204,$AQ874))))</f>
        <v/>
      </c>
      <c r="AS874" t="str">
        <f>IF($AR874="","",IFERROR(MATCH($AR874,E_Rules!$A$5:$A$9,0),""))</f>
        <v/>
      </c>
      <c r="AT874" t="str">
        <f>IF($AQ874="","",IF(INDEX(C_Pavement!$D$5:$D$204,$AQ874)&lt;&gt;"",UPPER(TRIM(INDEX(C_Pavement!$D$5:$D$204,$AQ874))),IF($AS874="","",INDEX(E_Rules!$C$5:$C$9,$AS874))))</f>
        <v/>
      </c>
      <c r="AU874" t="str">
        <f>IF($AQ874="","",IF(INDEX(C_Pavement!$E$5:$E$204,$AQ874)&lt;&gt;"",IF(INDEX(C_Pavement!$E$5:$E$204,$AQ874)="-","",INDEX(C_Pavement!$E$5:$E$204,$AQ874)),IF($AS874="","",INDEX(E_Rules!$D$5:$D$9,$AS874))))</f>
        <v/>
      </c>
      <c r="AV874" t="str">
        <f>IF($AQ874="","",IF(INDEX(C_Pavement!$F$5:$F$204,$AQ874)&lt;&gt;"",IF(INDEX(C_Pavement!$F$5:$F$204,$AQ874)="-","",INDEX(C_Pavement!$F$5:$F$204,$AQ874)),IF($AS874="","",INDEX(E_Rules!$E$5:$E$9,$AS874))))</f>
        <v/>
      </c>
      <c r="AW874" t="str">
        <f>IF($AQ874="","",IF(INDEX(C_Pavement!$G$5:$G$204,$AQ874)&lt;&gt;"",IF(INDEX(C_Pavement!$G$5:$G$204,$AQ874)="-","",INDEX(C_Pavement!$G$5:$G$204,$AQ874)),IF($AS874="","",INDEX(E_Rules!$F$5:$F$9,$AS874))))</f>
        <v/>
      </c>
      <c r="AX874" t="str">
        <f>IF($AQ874="","",IF(INDEX(C_Pavement!$H$5:$H$204,$AQ874)&lt;&gt;"",IF(INDEX(C_Pavement!$H$5:$H$204,$AQ874)="-","",INDEX(C_Pavement!$H$5:$H$204,$AQ874)),IF($AS874="","",INDEX(E_Rules!$G$5:$G$9,$AS874))))</f>
        <v/>
      </c>
      <c r="AY874" t="str">
        <f>IF($AQ874="","",IF(INDEX(C_Pavement!$I$5:$I$204,$AQ874)&lt;&gt;"",IF(INDEX(C_Pavement!$I$5:$I$204,$AQ874)="-","",INDEX(C_Pavement!$I$5:$I$204,$AQ874)),IF($AS874="","",INDEX(E_Rules!$H$5:$H$9,$AS874))))</f>
        <v/>
      </c>
    </row>
    <row r="875" spans="1:51" ht="15.75" customHeight="1" x14ac:dyDescent="0.3">
      <c r="A875" s="189">
        <v>870</v>
      </c>
      <c r="B875" s="180">
        <v>43450</v>
      </c>
      <c r="C875" s="180" t="s">
        <v>1181</v>
      </c>
      <c r="D875" s="181" t="str">
        <f>IFERROR(LOOKUP(2,1/((A_Corridor!$A$5:$A$204&lt;&gt;"")*(A_Corridor!$A$5:$A$204&lt;=$B875)*(A_Corridor!$B$5:$B$204&gt;$B875)*(A_Corridor!$C$5:$C$204&lt;&gt;"")),IF(UPPER(A_Corridor!$C$5:$C$204)="Y",1,"")),"")</f>
        <v/>
      </c>
      <c r="E875" s="181" t="str">
        <f>IFERROR(LOOKUP(2,1/((A_Corridor!$A$5:$A$204&lt;&gt;"")*(A_Corridor!$A$5:$A$204&lt;=$B875)*(A_Corridor!$B$5:$B$204&gt;$B875)*(A_Corridor!$D$5:$D$204&lt;&gt;"")),IF(A_Corridor!$D$5:$D$204="-","",UPPER(A_Corridor!$D$5:$D$204))),"")</f>
        <v/>
      </c>
      <c r="F875" s="181" t="str">
        <f>IFERROR(LOOKUP(2,1/((A_Corridor!$A$5:$A$204&lt;&gt;"")*(A_Corridor!$A$5:$A$204&lt;=$B875)*(A_Corridor!$B$5:$B$204&gt;$B875)*(A_Corridor!$E$5:$E$204&lt;&gt;"")),IF(A_Corridor!$E$5:$E$204="-","",1)),"")</f>
        <v/>
      </c>
      <c r="G875" s="182" t="str">
        <f>IFERROR(LOOKUP(2,1/((A_Corridor!$A$5:$A$204&lt;&gt;"")*(A_Corridor!$A$5:$A$204&lt;=$B875)*(A_Corridor!$B$5:$B$204&gt;$B875)*(A_Corridor!$E$5:$E$204&lt;&gt;"")),IF(A_Corridor!$E$5:$E$204="-","",A_Corridor!$E$5:$E$204)),"")</f>
        <v/>
      </c>
      <c r="H875" s="182" t="str">
        <f>IFERROR(LOOKUP(2,1/((D_Points!$A$5:$A$204&lt;&gt;"")*(D_Points!$A$5:$A$204&gt;=$B875)*(D_Points!$A$5:$A$204&lt;$B875+P_Interval)*(UPPER(TRIM(D_Points!$B$5:$B$204))="GULLY")*(D_Points!$H$5:$H$204&lt;&gt;"")),D_Points!$H$5:$H$204),"")</f>
        <v/>
      </c>
      <c r="I875" s="181" t="str">
        <f>IFERROR(LOOKUP(2,1/((A_Corridor!$A$5:$A$204&lt;&gt;"")*(A_Corridor!$A$5:$A$204&lt;=$B875)*(A_Corridor!$B$5:$B$204&gt;$B875)*(A_Corridor!$F$5:$F$204&lt;&gt;"")),IF(A_Corridor!$F$5:$F$204="-","",1)),"")</f>
        <v/>
      </c>
      <c r="J875" s="182" t="str">
        <f>IFERROR(LOOKUP(2,1/((A_Corridor!$A$5:$A$204&lt;&gt;"")*(A_Corridor!$A$5:$A$204&lt;=$B875)*(A_Corridor!$B$5:$B$204&gt;$B875)*(A_Corridor!$F$5:$F$204&lt;&gt;"")),IF(A_Corridor!$F$5:$F$204="-","",A_Corridor!$F$5:$F$204)),"")</f>
        <v/>
      </c>
      <c r="K875" s="182" t="str">
        <f>IFERROR(LOOKUP(2,1/((A_Corridor!$A$5:$A$204&lt;&gt;"")*(A_Corridor!$A$5:$A$204&lt;=$B875)*(A_Corridor!$B$5:$B$204&gt;$B875)*(A_Corridor!$G$5:$G$204&lt;&gt;"")),IF(A_Corridor!$G$5:$G$204="-","",A_Corridor!$G$5:$G$204)),"")</f>
        <v/>
      </c>
      <c r="L875" s="181" t="str">
        <f>IFERROR(LOOKUP(2,1/((A_Corridor!$A$5:$A$204&lt;&gt;"")*(A_Corridor!$A$5:$A$204&lt;=$B875)*(A_Corridor!$B$5:$B$204&gt;$B875)*(A_Corridor!$H$5:$H$204&lt;&gt;"")),IF(A_Corridor!$H$5:$H$204="-","",1)),"")</f>
        <v/>
      </c>
      <c r="M875" s="182" t="str">
        <f>IFERROR(LOOKUP(2,1/((A_Corridor!$A$5:$A$204&lt;&gt;"")*(A_Corridor!$A$5:$A$204&lt;=$B875)*(A_Corridor!$B$5:$B$204&gt;$B875)*(A_Corridor!$H$5:$H$204&lt;&gt;"")),IF(A_Corridor!$H$5:$H$204="-","",A_Corridor!$H$5:$H$204)),"")</f>
        <v/>
      </c>
      <c r="N875" s="182" t="str">
        <f>IFERROR(LOOKUP(2,1/((A_Corridor!$A$5:$A$204&lt;&gt;"")*(A_Corridor!$A$5:$A$204&lt;=$B875)*(A_Corridor!$B$5:$B$204&gt;$B875)*(A_Corridor!$I$5:$I$204&lt;&gt;"")),IF(A_Corridor!$I$5:$I$204="-","",A_Corridor!$I$5:$I$204)),"")</f>
        <v/>
      </c>
      <c r="O875" s="182" t="str">
        <f>IFERROR(LOOKUP(2,1/((D_Points!$A$5:$A$204&lt;&gt;"")*(D_Points!$A$5:$A$204&gt;=$B875)*(D_Points!$A$5:$A$204&lt;$B875+P_Interval)*(UPPER(TRIM(D_Points!$B$5:$B$204))="PITCHING")*(D_Points!$H$5:$H$204&lt;&gt;"")),D_Points!$H$5:$H$204),"")</f>
        <v/>
      </c>
      <c r="P875" s="181" t="str">
        <f>IFERROR(LOOKUP(2,1/((B_Drainage!$A$5:$A$204&lt;&gt;"")*(B_Drainage!$A$5:$A$204&lt;=$B875)*(B_Drainage!$B$5:$B$204&gt;$B875)*(B_Drainage!$C$5:$C$204&lt;&gt;"")),IF(B_Drainage!$C$5:$C$204="-","",UPPER(B_Drainage!$C$5:$C$204))),"")</f>
        <v/>
      </c>
      <c r="Q875" s="181" t="str">
        <f>IFERROR(LOOKUP(2,1/((B_Drainage!$A$5:$A$204&lt;&gt;"")*(B_Drainage!$A$5:$A$204&lt;=$B875)*(B_Drainage!$B$5:$B$204&gt;$B875)*(B_Drainage!$D$5:$D$204&lt;&gt;"")),IF(B_Drainage!$D$5:$D$204="-","",UPPER(B_Drainage!$D$5:$D$204))),"")</f>
        <v/>
      </c>
      <c r="R875" s="182" t="str">
        <f>IFERROR(LOOKUP(2,1/((D_Points!$A$5:$A$204&lt;&gt;"")*(D_Points!$A$5:$A$204&gt;=$B875)*(D_Points!$A$5:$A$204&lt;$B875+P_Interval)*(RIGHT(UPPER(TRIM(D_Points!$B$5:$B$204)),8)="_CULVERT")),IF(LEFT(UPPER(TRIM(D_Points!$B$5:$B$204)),2)="EX",1,IF(LEFT(UPPER(TRIM(D_Points!$B$5:$B$204)),2)="PR",2,3))),"")</f>
        <v/>
      </c>
      <c r="S875" s="182" t="str">
        <f>IFERROR(LOOKUP(2,1/((D_Points!$A$5:$A$204&lt;&gt;"")*(D_Points!$A$5:$A$204&gt;=$B875)*(D_Points!$A$5:$A$204&lt;$B875+P_Interval)*(RIGHT(UPPER(TRIM(D_Points!$B$5:$B$204)),7)="_BRIDGE")),IF(LEFT(UPPER(TRIM(D_Points!$B$5:$B$204)),2)="EX",1,IF(LEFT(UPPER(TRIM(D_Points!$B$5:$B$204)),2)="PR",2,2))),"")</f>
        <v/>
      </c>
      <c r="T875" s="181" t="str">
        <f>IFERROR(LOOKUP(2,1/((B_Drainage!$A$5:$A$204&lt;&gt;"")*(B_Drainage!$A$5:$A$204&lt;=$B875)*(B_Drainage!$B$5:$B$204&gt;$B875)*(B_Drainage!$E$5:$E$204&lt;&gt;"")),IF(B_Drainage!$E$5:$E$204="-","",1)),"")</f>
        <v/>
      </c>
      <c r="U875" s="181" t="str">
        <f>IFERROR(LOOKUP(2,1/((B_Drainage!$A$5:$A$204&lt;&gt;"")*(B_Drainage!$A$5:$A$204&lt;=$B875)*(B_Drainage!$B$5:$B$204&gt;$B875)*(B_Drainage!$E$5:$E$204&lt;&gt;"")),IF(B_Drainage!$E$5:$E$204="-","",B_Drainage!$E$5:$E$204)),"")</f>
        <v/>
      </c>
      <c r="V875" s="181" t="str">
        <f>IFERROR(LOOKUP(2,1/((B_Drainage!$A$5:$A$204&lt;&gt;"")*(B_Drainage!$A$5:$A$204&lt;=$B875)*(B_Drainage!$B$5:$B$204&gt;$B875)*(B_Drainage!$F$5:$F$204&lt;&gt;"")),IF(B_Drainage!$F$5:$F$204="-","",1)),"")</f>
        <v/>
      </c>
      <c r="W875" s="181" t="str">
        <f>IFERROR(LOOKUP(2,1/((B_Drainage!$A$5:$A$204&lt;&gt;"")*(B_Drainage!$A$5:$A$204&lt;=$B875)*(B_Drainage!$B$5:$B$204&gt;$B875)*(B_Drainage!$F$5:$F$204&lt;&gt;"")),IF(B_Drainage!$F$5:$F$204="-","",B_Drainage!$F$5:$F$204)),"")</f>
        <v/>
      </c>
      <c r="X875" s="181" t="str">
        <f>IFERROR(LOOKUP(2,1/((B_Drainage!$A$5:$A$204&lt;&gt;"")*(B_Drainage!$A$5:$A$204&lt;=$B875)*(B_Drainage!$B$5:$B$204&gt;$B875)*(B_Drainage!$G$5:$G$204&lt;&gt;"")),IF(UPPER(B_Drainage!$G$5:$G$204)="Y",1,"")),"")</f>
        <v/>
      </c>
      <c r="Y875" s="181" t="str">
        <f>IFERROR(LOOKUP(2,1/((B_Drainage!$A$5:$A$204&lt;&gt;"")*(B_Drainage!$A$5:$A$204&lt;=$B875)*(B_Drainage!$B$5:$B$204&gt;$B875)*(B_Drainage!$H$5:$H$204&lt;&gt;"")),IF(UPPER(B_Drainage!$H$5:$H$204)="Y",1,"")),"")</f>
        <v/>
      </c>
      <c r="Z875" s="181" t="str">
        <f>IFERROR(LOOKUP(2,1/((B_Drainage!$A$5:$A$204&lt;&gt;"")*(B_Drainage!$A$5:$A$204&lt;=$B875)*(B_Drainage!$B$5:$B$204&gt;$B875)*(B_Drainage!$I$5:$I$204&lt;&gt;"")),IF(UPPER(B_Drainage!$I$5:$I$204)="Y",1,"")),"")</f>
        <v/>
      </c>
      <c r="AA875" s="181" t="str">
        <f>IFERROR(LOOKUP(2,1/((B_Drainage!$A$5:$A$204&lt;&gt;"")*(B_Drainage!$A$5:$A$204&lt;=$B875)*(B_Drainage!$B$5:$B$204&gt;$B875)*(B_Drainage!$J$5:$J$204&lt;&gt;"")),IF(UPPER(B_Drainage!$J$5:$J$204)="Y",1,"")),"")</f>
        <v/>
      </c>
      <c r="AB875" s="182" t="str">
        <f>IFERROR(LOOKUP(2,1/((B_Drainage!$A$5:$A$204&lt;&gt;"")*(B_Drainage!$A$5:$A$204&lt;=$B875)*(B_Drainage!$B$5:$B$204&gt;$B875)*(B_Drainage!$K$5:$K$204&lt;&gt;"")),IF(B_Drainage!$K$5:$K$204="-","",B_Drainage!$K$5:$K$204)),"")</f>
        <v/>
      </c>
      <c r="AC875" s="182" t="str">
        <f>IFERROR(LOOKUP(2,1/((B_Drainage!$A$5:$A$204&lt;&gt;"")*(B_Drainage!$A$5:$A$204&lt;=$B875)*(B_Drainage!$B$5:$B$204&gt;$B875)*(B_Drainage!$L$5:$L$204&lt;&gt;"")),IF(B_Drainage!$L$5:$L$204="-","",B_Drainage!$L$5:$L$204)),"")</f>
        <v/>
      </c>
      <c r="AD875" s="182" t="str">
        <f>IFERROR(LOOKUP(2,1/((D_Points!$A$5:$A$204&lt;&gt;"")*(D_Points!$A$5:$A$204&gt;=$B875)*(D_Points!$A$5:$A$204&lt;$B875+P_Interval)*(UPPER(TRIM(D_Points!$B$5:$B$204))="TURNOUT_L")*(D_Points!$H$5:$H$204&lt;&gt;"")),D_Points!$H$5:$H$204),"")</f>
        <v/>
      </c>
      <c r="AE875" s="182" t="str">
        <f>IFERROR(LOOKUP(2,1/((D_Points!$A$5:$A$204&lt;&gt;"")*(D_Points!$A$5:$A$204&gt;=$B875)*(D_Points!$A$5:$A$204&lt;$B875+P_Interval)*(UPPER(TRIM(D_Points!$B$5:$B$204))="TURNOUT_R")*(D_Points!$H$5:$H$204&lt;&gt;"")),D_Points!$H$5:$H$204),"")</f>
        <v/>
      </c>
      <c r="AF875" s="181" t="str">
        <f>IFERROR(LOOKUP(2,1/((B_Drainage!$A$5:$A$204&lt;&gt;"")*(B_Drainage!$A$5:$A$204&lt;=$B875)*(B_Drainage!$B$5:$B$204&gt;$B875)*(B_Drainage!$M$5:$M$204&lt;&gt;"")),IF(UPPER(B_Drainage!$M$5:$M$204)="Y",1,"")),"")</f>
        <v/>
      </c>
      <c r="AG875" s="181" t="str">
        <f>IFERROR(LOOKUP(2,1/((B_Drainage!$A$5:$A$204&lt;&gt;"")*(B_Drainage!$A$5:$A$204&lt;=$B875)*(B_Drainage!$B$5:$B$204&gt;$B875)*(B_Drainage!$N$5:$N$204&lt;&gt;"")),IF(UPPER(B_Drainage!$N$5:$N$204)="Y",1,"")),"")</f>
        <v/>
      </c>
      <c r="AH875" s="181" t="str">
        <f t="shared" si="104"/>
        <v/>
      </c>
      <c r="AI875" s="181" t="str">
        <f t="shared" si="105"/>
        <v/>
      </c>
      <c r="AJ875" s="181" t="str">
        <f t="shared" si="106"/>
        <v/>
      </c>
      <c r="AK875" s="181" t="str">
        <f t="shared" si="107"/>
        <v/>
      </c>
      <c r="AL875" s="181" t="str">
        <f t="shared" si="108"/>
        <v/>
      </c>
      <c r="AM875" s="181" t="str">
        <f t="shared" si="109"/>
        <v/>
      </c>
      <c r="AN875" s="181" t="str">
        <f t="shared" si="110"/>
        <v/>
      </c>
      <c r="AO875" s="192" t="str">
        <f t="shared" si="111"/>
        <v/>
      </c>
      <c r="AQ875" t="str">
        <f>IFERROR(LOOKUP(2,1/((C_Pavement!$A$5:$A$204&lt;&gt;"")*(C_Pavement!$A$5:$A$204&lt;=$B875)*(C_Pavement!$B$5:$B$204&gt;$B875)*(C_Pavement!$C$5:$C$204&lt;&gt;"")),ROW(C_Pavement!$C$5:$C$204)-4),"")</f>
        <v/>
      </c>
      <c r="AR875" t="str">
        <f>IF($AQ875="","",UPPER(TRIM(INDEX(C_Pavement!$C$5:$C$204,$AQ875))))</f>
        <v/>
      </c>
      <c r="AS875" t="str">
        <f>IF($AR875="","",IFERROR(MATCH($AR875,E_Rules!$A$5:$A$9,0),""))</f>
        <v/>
      </c>
      <c r="AT875" t="str">
        <f>IF($AQ875="","",IF(INDEX(C_Pavement!$D$5:$D$204,$AQ875)&lt;&gt;"",UPPER(TRIM(INDEX(C_Pavement!$D$5:$D$204,$AQ875))),IF($AS875="","",INDEX(E_Rules!$C$5:$C$9,$AS875))))</f>
        <v/>
      </c>
      <c r="AU875" t="str">
        <f>IF($AQ875="","",IF(INDEX(C_Pavement!$E$5:$E$204,$AQ875)&lt;&gt;"",IF(INDEX(C_Pavement!$E$5:$E$204,$AQ875)="-","",INDEX(C_Pavement!$E$5:$E$204,$AQ875)),IF($AS875="","",INDEX(E_Rules!$D$5:$D$9,$AS875))))</f>
        <v/>
      </c>
      <c r="AV875" t="str">
        <f>IF($AQ875="","",IF(INDEX(C_Pavement!$F$5:$F$204,$AQ875)&lt;&gt;"",IF(INDEX(C_Pavement!$F$5:$F$204,$AQ875)="-","",INDEX(C_Pavement!$F$5:$F$204,$AQ875)),IF($AS875="","",INDEX(E_Rules!$E$5:$E$9,$AS875))))</f>
        <v/>
      </c>
      <c r="AW875" t="str">
        <f>IF($AQ875="","",IF(INDEX(C_Pavement!$G$5:$G$204,$AQ875)&lt;&gt;"",IF(INDEX(C_Pavement!$G$5:$G$204,$AQ875)="-","",INDEX(C_Pavement!$G$5:$G$204,$AQ875)),IF($AS875="","",INDEX(E_Rules!$F$5:$F$9,$AS875))))</f>
        <v/>
      </c>
      <c r="AX875" t="str">
        <f>IF($AQ875="","",IF(INDEX(C_Pavement!$H$5:$H$204,$AQ875)&lt;&gt;"",IF(INDEX(C_Pavement!$H$5:$H$204,$AQ875)="-","",INDEX(C_Pavement!$H$5:$H$204,$AQ875)),IF($AS875="","",INDEX(E_Rules!$G$5:$G$9,$AS875))))</f>
        <v/>
      </c>
      <c r="AY875" t="str">
        <f>IF($AQ875="","",IF(INDEX(C_Pavement!$I$5:$I$204,$AQ875)&lt;&gt;"",IF(INDEX(C_Pavement!$I$5:$I$204,$AQ875)="-","",INDEX(C_Pavement!$I$5:$I$204,$AQ875)),IF($AS875="","",INDEX(E_Rules!$H$5:$H$9,$AS875))))</f>
        <v/>
      </c>
    </row>
    <row r="876" spans="1:51" ht="15.75" customHeight="1" x14ac:dyDescent="0.3">
      <c r="A876" s="189">
        <v>871</v>
      </c>
      <c r="B876" s="180">
        <v>43500</v>
      </c>
      <c r="C876" s="180" t="s">
        <v>1182</v>
      </c>
      <c r="D876" s="181" t="str">
        <f>IFERROR(LOOKUP(2,1/((A_Corridor!$A$5:$A$204&lt;&gt;"")*(A_Corridor!$A$5:$A$204&lt;=$B876)*(A_Corridor!$B$5:$B$204&gt;$B876)*(A_Corridor!$C$5:$C$204&lt;&gt;"")),IF(UPPER(A_Corridor!$C$5:$C$204)="Y",1,"")),"")</f>
        <v/>
      </c>
      <c r="E876" s="181" t="str">
        <f>IFERROR(LOOKUP(2,1/((A_Corridor!$A$5:$A$204&lt;&gt;"")*(A_Corridor!$A$5:$A$204&lt;=$B876)*(A_Corridor!$B$5:$B$204&gt;$B876)*(A_Corridor!$D$5:$D$204&lt;&gt;"")),IF(A_Corridor!$D$5:$D$204="-","",UPPER(A_Corridor!$D$5:$D$204))),"")</f>
        <v/>
      </c>
      <c r="F876" s="181" t="str">
        <f>IFERROR(LOOKUP(2,1/((A_Corridor!$A$5:$A$204&lt;&gt;"")*(A_Corridor!$A$5:$A$204&lt;=$B876)*(A_Corridor!$B$5:$B$204&gt;$B876)*(A_Corridor!$E$5:$E$204&lt;&gt;"")),IF(A_Corridor!$E$5:$E$204="-","",1)),"")</f>
        <v/>
      </c>
      <c r="G876" s="182" t="str">
        <f>IFERROR(LOOKUP(2,1/((A_Corridor!$A$5:$A$204&lt;&gt;"")*(A_Corridor!$A$5:$A$204&lt;=$B876)*(A_Corridor!$B$5:$B$204&gt;$B876)*(A_Corridor!$E$5:$E$204&lt;&gt;"")),IF(A_Corridor!$E$5:$E$204="-","",A_Corridor!$E$5:$E$204)),"")</f>
        <v/>
      </c>
      <c r="H876" s="182" t="str">
        <f>IFERROR(LOOKUP(2,1/((D_Points!$A$5:$A$204&lt;&gt;"")*(D_Points!$A$5:$A$204&gt;=$B876)*(D_Points!$A$5:$A$204&lt;$B876+P_Interval)*(UPPER(TRIM(D_Points!$B$5:$B$204))="GULLY")*(D_Points!$H$5:$H$204&lt;&gt;"")),D_Points!$H$5:$H$204),"")</f>
        <v/>
      </c>
      <c r="I876" s="181" t="str">
        <f>IFERROR(LOOKUP(2,1/((A_Corridor!$A$5:$A$204&lt;&gt;"")*(A_Corridor!$A$5:$A$204&lt;=$B876)*(A_Corridor!$B$5:$B$204&gt;$B876)*(A_Corridor!$F$5:$F$204&lt;&gt;"")),IF(A_Corridor!$F$5:$F$204="-","",1)),"")</f>
        <v/>
      </c>
      <c r="J876" s="182" t="str">
        <f>IFERROR(LOOKUP(2,1/((A_Corridor!$A$5:$A$204&lt;&gt;"")*(A_Corridor!$A$5:$A$204&lt;=$B876)*(A_Corridor!$B$5:$B$204&gt;$B876)*(A_Corridor!$F$5:$F$204&lt;&gt;"")),IF(A_Corridor!$F$5:$F$204="-","",A_Corridor!$F$5:$F$204)),"")</f>
        <v/>
      </c>
      <c r="K876" s="182" t="str">
        <f>IFERROR(LOOKUP(2,1/((A_Corridor!$A$5:$A$204&lt;&gt;"")*(A_Corridor!$A$5:$A$204&lt;=$B876)*(A_Corridor!$B$5:$B$204&gt;$B876)*(A_Corridor!$G$5:$G$204&lt;&gt;"")),IF(A_Corridor!$G$5:$G$204="-","",A_Corridor!$G$5:$G$204)),"")</f>
        <v/>
      </c>
      <c r="L876" s="181" t="str">
        <f>IFERROR(LOOKUP(2,1/((A_Corridor!$A$5:$A$204&lt;&gt;"")*(A_Corridor!$A$5:$A$204&lt;=$B876)*(A_Corridor!$B$5:$B$204&gt;$B876)*(A_Corridor!$H$5:$H$204&lt;&gt;"")),IF(A_Corridor!$H$5:$H$204="-","",1)),"")</f>
        <v/>
      </c>
      <c r="M876" s="182" t="str">
        <f>IFERROR(LOOKUP(2,1/((A_Corridor!$A$5:$A$204&lt;&gt;"")*(A_Corridor!$A$5:$A$204&lt;=$B876)*(A_Corridor!$B$5:$B$204&gt;$B876)*(A_Corridor!$H$5:$H$204&lt;&gt;"")),IF(A_Corridor!$H$5:$H$204="-","",A_Corridor!$H$5:$H$204)),"")</f>
        <v/>
      </c>
      <c r="N876" s="182" t="str">
        <f>IFERROR(LOOKUP(2,1/((A_Corridor!$A$5:$A$204&lt;&gt;"")*(A_Corridor!$A$5:$A$204&lt;=$B876)*(A_Corridor!$B$5:$B$204&gt;$B876)*(A_Corridor!$I$5:$I$204&lt;&gt;"")),IF(A_Corridor!$I$5:$I$204="-","",A_Corridor!$I$5:$I$204)),"")</f>
        <v/>
      </c>
      <c r="O876" s="182" t="str">
        <f>IFERROR(LOOKUP(2,1/((D_Points!$A$5:$A$204&lt;&gt;"")*(D_Points!$A$5:$A$204&gt;=$B876)*(D_Points!$A$5:$A$204&lt;$B876+P_Interval)*(UPPER(TRIM(D_Points!$B$5:$B$204))="PITCHING")*(D_Points!$H$5:$H$204&lt;&gt;"")),D_Points!$H$5:$H$204),"")</f>
        <v/>
      </c>
      <c r="P876" s="181" t="str">
        <f>IFERROR(LOOKUP(2,1/((B_Drainage!$A$5:$A$204&lt;&gt;"")*(B_Drainage!$A$5:$A$204&lt;=$B876)*(B_Drainage!$B$5:$B$204&gt;$B876)*(B_Drainage!$C$5:$C$204&lt;&gt;"")),IF(B_Drainage!$C$5:$C$204="-","",UPPER(B_Drainage!$C$5:$C$204))),"")</f>
        <v/>
      </c>
      <c r="Q876" s="181" t="str">
        <f>IFERROR(LOOKUP(2,1/((B_Drainage!$A$5:$A$204&lt;&gt;"")*(B_Drainage!$A$5:$A$204&lt;=$B876)*(B_Drainage!$B$5:$B$204&gt;$B876)*(B_Drainage!$D$5:$D$204&lt;&gt;"")),IF(B_Drainage!$D$5:$D$204="-","",UPPER(B_Drainage!$D$5:$D$204))),"")</f>
        <v/>
      </c>
      <c r="R876" s="182" t="str">
        <f>IFERROR(LOOKUP(2,1/((D_Points!$A$5:$A$204&lt;&gt;"")*(D_Points!$A$5:$A$204&gt;=$B876)*(D_Points!$A$5:$A$204&lt;$B876+P_Interval)*(RIGHT(UPPER(TRIM(D_Points!$B$5:$B$204)),8)="_CULVERT")),IF(LEFT(UPPER(TRIM(D_Points!$B$5:$B$204)),2)="EX",1,IF(LEFT(UPPER(TRIM(D_Points!$B$5:$B$204)),2)="PR",2,3))),"")</f>
        <v/>
      </c>
      <c r="S876" s="182" t="str">
        <f>IFERROR(LOOKUP(2,1/((D_Points!$A$5:$A$204&lt;&gt;"")*(D_Points!$A$5:$A$204&gt;=$B876)*(D_Points!$A$5:$A$204&lt;$B876+P_Interval)*(RIGHT(UPPER(TRIM(D_Points!$B$5:$B$204)),7)="_BRIDGE")),IF(LEFT(UPPER(TRIM(D_Points!$B$5:$B$204)),2)="EX",1,IF(LEFT(UPPER(TRIM(D_Points!$B$5:$B$204)),2)="PR",2,2))),"")</f>
        <v/>
      </c>
      <c r="T876" s="181" t="str">
        <f>IFERROR(LOOKUP(2,1/((B_Drainage!$A$5:$A$204&lt;&gt;"")*(B_Drainage!$A$5:$A$204&lt;=$B876)*(B_Drainage!$B$5:$B$204&gt;$B876)*(B_Drainage!$E$5:$E$204&lt;&gt;"")),IF(B_Drainage!$E$5:$E$204="-","",1)),"")</f>
        <v/>
      </c>
      <c r="U876" s="181" t="str">
        <f>IFERROR(LOOKUP(2,1/((B_Drainage!$A$5:$A$204&lt;&gt;"")*(B_Drainage!$A$5:$A$204&lt;=$B876)*(B_Drainage!$B$5:$B$204&gt;$B876)*(B_Drainage!$E$5:$E$204&lt;&gt;"")),IF(B_Drainage!$E$5:$E$204="-","",B_Drainage!$E$5:$E$204)),"")</f>
        <v/>
      </c>
      <c r="V876" s="181" t="str">
        <f>IFERROR(LOOKUP(2,1/((B_Drainage!$A$5:$A$204&lt;&gt;"")*(B_Drainage!$A$5:$A$204&lt;=$B876)*(B_Drainage!$B$5:$B$204&gt;$B876)*(B_Drainage!$F$5:$F$204&lt;&gt;"")),IF(B_Drainage!$F$5:$F$204="-","",1)),"")</f>
        <v/>
      </c>
      <c r="W876" s="181" t="str">
        <f>IFERROR(LOOKUP(2,1/((B_Drainage!$A$5:$A$204&lt;&gt;"")*(B_Drainage!$A$5:$A$204&lt;=$B876)*(B_Drainage!$B$5:$B$204&gt;$B876)*(B_Drainage!$F$5:$F$204&lt;&gt;"")),IF(B_Drainage!$F$5:$F$204="-","",B_Drainage!$F$5:$F$204)),"")</f>
        <v/>
      </c>
      <c r="X876" s="181" t="str">
        <f>IFERROR(LOOKUP(2,1/((B_Drainage!$A$5:$A$204&lt;&gt;"")*(B_Drainage!$A$5:$A$204&lt;=$B876)*(B_Drainage!$B$5:$B$204&gt;$B876)*(B_Drainage!$G$5:$G$204&lt;&gt;"")),IF(UPPER(B_Drainage!$G$5:$G$204)="Y",1,"")),"")</f>
        <v/>
      </c>
      <c r="Y876" s="181" t="str">
        <f>IFERROR(LOOKUP(2,1/((B_Drainage!$A$5:$A$204&lt;&gt;"")*(B_Drainage!$A$5:$A$204&lt;=$B876)*(B_Drainage!$B$5:$B$204&gt;$B876)*(B_Drainage!$H$5:$H$204&lt;&gt;"")),IF(UPPER(B_Drainage!$H$5:$H$204)="Y",1,"")),"")</f>
        <v/>
      </c>
      <c r="Z876" s="181" t="str">
        <f>IFERROR(LOOKUP(2,1/((B_Drainage!$A$5:$A$204&lt;&gt;"")*(B_Drainage!$A$5:$A$204&lt;=$B876)*(B_Drainage!$B$5:$B$204&gt;$B876)*(B_Drainage!$I$5:$I$204&lt;&gt;"")),IF(UPPER(B_Drainage!$I$5:$I$204)="Y",1,"")),"")</f>
        <v/>
      </c>
      <c r="AA876" s="181" t="str">
        <f>IFERROR(LOOKUP(2,1/((B_Drainage!$A$5:$A$204&lt;&gt;"")*(B_Drainage!$A$5:$A$204&lt;=$B876)*(B_Drainage!$B$5:$B$204&gt;$B876)*(B_Drainage!$J$5:$J$204&lt;&gt;"")),IF(UPPER(B_Drainage!$J$5:$J$204)="Y",1,"")),"")</f>
        <v/>
      </c>
      <c r="AB876" s="182" t="str">
        <f>IFERROR(LOOKUP(2,1/((B_Drainage!$A$5:$A$204&lt;&gt;"")*(B_Drainage!$A$5:$A$204&lt;=$B876)*(B_Drainage!$B$5:$B$204&gt;$B876)*(B_Drainage!$K$5:$K$204&lt;&gt;"")),IF(B_Drainage!$K$5:$K$204="-","",B_Drainage!$K$5:$K$204)),"")</f>
        <v/>
      </c>
      <c r="AC876" s="182" t="str">
        <f>IFERROR(LOOKUP(2,1/((B_Drainage!$A$5:$A$204&lt;&gt;"")*(B_Drainage!$A$5:$A$204&lt;=$B876)*(B_Drainage!$B$5:$B$204&gt;$B876)*(B_Drainage!$L$5:$L$204&lt;&gt;"")),IF(B_Drainage!$L$5:$L$204="-","",B_Drainage!$L$5:$L$204)),"")</f>
        <v/>
      </c>
      <c r="AD876" s="182" t="str">
        <f>IFERROR(LOOKUP(2,1/((D_Points!$A$5:$A$204&lt;&gt;"")*(D_Points!$A$5:$A$204&gt;=$B876)*(D_Points!$A$5:$A$204&lt;$B876+P_Interval)*(UPPER(TRIM(D_Points!$B$5:$B$204))="TURNOUT_L")*(D_Points!$H$5:$H$204&lt;&gt;"")),D_Points!$H$5:$H$204),"")</f>
        <v/>
      </c>
      <c r="AE876" s="182" t="str">
        <f>IFERROR(LOOKUP(2,1/((D_Points!$A$5:$A$204&lt;&gt;"")*(D_Points!$A$5:$A$204&gt;=$B876)*(D_Points!$A$5:$A$204&lt;$B876+P_Interval)*(UPPER(TRIM(D_Points!$B$5:$B$204))="TURNOUT_R")*(D_Points!$H$5:$H$204&lt;&gt;"")),D_Points!$H$5:$H$204),"")</f>
        <v/>
      </c>
      <c r="AF876" s="181" t="str">
        <f>IFERROR(LOOKUP(2,1/((B_Drainage!$A$5:$A$204&lt;&gt;"")*(B_Drainage!$A$5:$A$204&lt;=$B876)*(B_Drainage!$B$5:$B$204&gt;$B876)*(B_Drainage!$M$5:$M$204&lt;&gt;"")),IF(UPPER(B_Drainage!$M$5:$M$204)="Y",1,"")),"")</f>
        <v/>
      </c>
      <c r="AG876" s="181" t="str">
        <f>IFERROR(LOOKUP(2,1/((B_Drainage!$A$5:$A$204&lt;&gt;"")*(B_Drainage!$A$5:$A$204&lt;=$B876)*(B_Drainage!$B$5:$B$204&gt;$B876)*(B_Drainage!$N$5:$N$204&lt;&gt;"")),IF(UPPER(B_Drainage!$N$5:$N$204)="Y",1,"")),"")</f>
        <v/>
      </c>
      <c r="AH876" s="181" t="str">
        <f t="shared" si="104"/>
        <v/>
      </c>
      <c r="AI876" s="181" t="str">
        <f t="shared" si="105"/>
        <v/>
      </c>
      <c r="AJ876" s="181" t="str">
        <f t="shared" si="106"/>
        <v/>
      </c>
      <c r="AK876" s="181" t="str">
        <f t="shared" si="107"/>
        <v/>
      </c>
      <c r="AL876" s="181" t="str">
        <f t="shared" si="108"/>
        <v/>
      </c>
      <c r="AM876" s="181" t="str">
        <f t="shared" si="109"/>
        <v/>
      </c>
      <c r="AN876" s="181" t="str">
        <f t="shared" si="110"/>
        <v/>
      </c>
      <c r="AO876" s="192" t="str">
        <f t="shared" si="111"/>
        <v/>
      </c>
      <c r="AQ876" t="str">
        <f>IFERROR(LOOKUP(2,1/((C_Pavement!$A$5:$A$204&lt;&gt;"")*(C_Pavement!$A$5:$A$204&lt;=$B876)*(C_Pavement!$B$5:$B$204&gt;$B876)*(C_Pavement!$C$5:$C$204&lt;&gt;"")),ROW(C_Pavement!$C$5:$C$204)-4),"")</f>
        <v/>
      </c>
      <c r="AR876" t="str">
        <f>IF($AQ876="","",UPPER(TRIM(INDEX(C_Pavement!$C$5:$C$204,$AQ876))))</f>
        <v/>
      </c>
      <c r="AS876" t="str">
        <f>IF($AR876="","",IFERROR(MATCH($AR876,E_Rules!$A$5:$A$9,0),""))</f>
        <v/>
      </c>
      <c r="AT876" t="str">
        <f>IF($AQ876="","",IF(INDEX(C_Pavement!$D$5:$D$204,$AQ876)&lt;&gt;"",UPPER(TRIM(INDEX(C_Pavement!$D$5:$D$204,$AQ876))),IF($AS876="","",INDEX(E_Rules!$C$5:$C$9,$AS876))))</f>
        <v/>
      </c>
      <c r="AU876" t="str">
        <f>IF($AQ876="","",IF(INDEX(C_Pavement!$E$5:$E$204,$AQ876)&lt;&gt;"",IF(INDEX(C_Pavement!$E$5:$E$204,$AQ876)="-","",INDEX(C_Pavement!$E$5:$E$204,$AQ876)),IF($AS876="","",INDEX(E_Rules!$D$5:$D$9,$AS876))))</f>
        <v/>
      </c>
      <c r="AV876" t="str">
        <f>IF($AQ876="","",IF(INDEX(C_Pavement!$F$5:$F$204,$AQ876)&lt;&gt;"",IF(INDEX(C_Pavement!$F$5:$F$204,$AQ876)="-","",INDEX(C_Pavement!$F$5:$F$204,$AQ876)),IF($AS876="","",INDEX(E_Rules!$E$5:$E$9,$AS876))))</f>
        <v/>
      </c>
      <c r="AW876" t="str">
        <f>IF($AQ876="","",IF(INDEX(C_Pavement!$G$5:$G$204,$AQ876)&lt;&gt;"",IF(INDEX(C_Pavement!$G$5:$G$204,$AQ876)="-","",INDEX(C_Pavement!$G$5:$G$204,$AQ876)),IF($AS876="","",INDEX(E_Rules!$F$5:$F$9,$AS876))))</f>
        <v/>
      </c>
      <c r="AX876" t="str">
        <f>IF($AQ876="","",IF(INDEX(C_Pavement!$H$5:$H$204,$AQ876)&lt;&gt;"",IF(INDEX(C_Pavement!$H$5:$H$204,$AQ876)="-","",INDEX(C_Pavement!$H$5:$H$204,$AQ876)),IF($AS876="","",INDEX(E_Rules!$G$5:$G$9,$AS876))))</f>
        <v/>
      </c>
      <c r="AY876" t="str">
        <f>IF($AQ876="","",IF(INDEX(C_Pavement!$I$5:$I$204,$AQ876)&lt;&gt;"",IF(INDEX(C_Pavement!$I$5:$I$204,$AQ876)="-","",INDEX(C_Pavement!$I$5:$I$204,$AQ876)),IF($AS876="","",INDEX(E_Rules!$H$5:$H$9,$AS876))))</f>
        <v/>
      </c>
    </row>
    <row r="877" spans="1:51" ht="15.75" customHeight="1" x14ac:dyDescent="0.3">
      <c r="A877" s="189">
        <v>872</v>
      </c>
      <c r="B877" s="180">
        <v>43550</v>
      </c>
      <c r="C877" s="180" t="s">
        <v>1183</v>
      </c>
      <c r="D877" s="181" t="str">
        <f>IFERROR(LOOKUP(2,1/((A_Corridor!$A$5:$A$204&lt;&gt;"")*(A_Corridor!$A$5:$A$204&lt;=$B877)*(A_Corridor!$B$5:$B$204&gt;$B877)*(A_Corridor!$C$5:$C$204&lt;&gt;"")),IF(UPPER(A_Corridor!$C$5:$C$204)="Y",1,"")),"")</f>
        <v/>
      </c>
      <c r="E877" s="181" t="str">
        <f>IFERROR(LOOKUP(2,1/((A_Corridor!$A$5:$A$204&lt;&gt;"")*(A_Corridor!$A$5:$A$204&lt;=$B877)*(A_Corridor!$B$5:$B$204&gt;$B877)*(A_Corridor!$D$5:$D$204&lt;&gt;"")),IF(A_Corridor!$D$5:$D$204="-","",UPPER(A_Corridor!$D$5:$D$204))),"")</f>
        <v/>
      </c>
      <c r="F877" s="181" t="str">
        <f>IFERROR(LOOKUP(2,1/((A_Corridor!$A$5:$A$204&lt;&gt;"")*(A_Corridor!$A$5:$A$204&lt;=$B877)*(A_Corridor!$B$5:$B$204&gt;$B877)*(A_Corridor!$E$5:$E$204&lt;&gt;"")),IF(A_Corridor!$E$5:$E$204="-","",1)),"")</f>
        <v/>
      </c>
      <c r="G877" s="182" t="str">
        <f>IFERROR(LOOKUP(2,1/((A_Corridor!$A$5:$A$204&lt;&gt;"")*(A_Corridor!$A$5:$A$204&lt;=$B877)*(A_Corridor!$B$5:$B$204&gt;$B877)*(A_Corridor!$E$5:$E$204&lt;&gt;"")),IF(A_Corridor!$E$5:$E$204="-","",A_Corridor!$E$5:$E$204)),"")</f>
        <v/>
      </c>
      <c r="H877" s="182" t="str">
        <f>IFERROR(LOOKUP(2,1/((D_Points!$A$5:$A$204&lt;&gt;"")*(D_Points!$A$5:$A$204&gt;=$B877)*(D_Points!$A$5:$A$204&lt;$B877+P_Interval)*(UPPER(TRIM(D_Points!$B$5:$B$204))="GULLY")*(D_Points!$H$5:$H$204&lt;&gt;"")),D_Points!$H$5:$H$204),"")</f>
        <v/>
      </c>
      <c r="I877" s="181" t="str">
        <f>IFERROR(LOOKUP(2,1/((A_Corridor!$A$5:$A$204&lt;&gt;"")*(A_Corridor!$A$5:$A$204&lt;=$B877)*(A_Corridor!$B$5:$B$204&gt;$B877)*(A_Corridor!$F$5:$F$204&lt;&gt;"")),IF(A_Corridor!$F$5:$F$204="-","",1)),"")</f>
        <v/>
      </c>
      <c r="J877" s="182" t="str">
        <f>IFERROR(LOOKUP(2,1/((A_Corridor!$A$5:$A$204&lt;&gt;"")*(A_Corridor!$A$5:$A$204&lt;=$B877)*(A_Corridor!$B$5:$B$204&gt;$B877)*(A_Corridor!$F$5:$F$204&lt;&gt;"")),IF(A_Corridor!$F$5:$F$204="-","",A_Corridor!$F$5:$F$204)),"")</f>
        <v/>
      </c>
      <c r="K877" s="182" t="str">
        <f>IFERROR(LOOKUP(2,1/((A_Corridor!$A$5:$A$204&lt;&gt;"")*(A_Corridor!$A$5:$A$204&lt;=$B877)*(A_Corridor!$B$5:$B$204&gt;$B877)*(A_Corridor!$G$5:$G$204&lt;&gt;"")),IF(A_Corridor!$G$5:$G$204="-","",A_Corridor!$G$5:$G$204)),"")</f>
        <v/>
      </c>
      <c r="L877" s="181" t="str">
        <f>IFERROR(LOOKUP(2,1/((A_Corridor!$A$5:$A$204&lt;&gt;"")*(A_Corridor!$A$5:$A$204&lt;=$B877)*(A_Corridor!$B$5:$B$204&gt;$B877)*(A_Corridor!$H$5:$H$204&lt;&gt;"")),IF(A_Corridor!$H$5:$H$204="-","",1)),"")</f>
        <v/>
      </c>
      <c r="M877" s="182" t="str">
        <f>IFERROR(LOOKUP(2,1/((A_Corridor!$A$5:$A$204&lt;&gt;"")*(A_Corridor!$A$5:$A$204&lt;=$B877)*(A_Corridor!$B$5:$B$204&gt;$B877)*(A_Corridor!$H$5:$H$204&lt;&gt;"")),IF(A_Corridor!$H$5:$H$204="-","",A_Corridor!$H$5:$H$204)),"")</f>
        <v/>
      </c>
      <c r="N877" s="182" t="str">
        <f>IFERROR(LOOKUP(2,1/((A_Corridor!$A$5:$A$204&lt;&gt;"")*(A_Corridor!$A$5:$A$204&lt;=$B877)*(A_Corridor!$B$5:$B$204&gt;$B877)*(A_Corridor!$I$5:$I$204&lt;&gt;"")),IF(A_Corridor!$I$5:$I$204="-","",A_Corridor!$I$5:$I$204)),"")</f>
        <v/>
      </c>
      <c r="O877" s="182" t="str">
        <f>IFERROR(LOOKUP(2,1/((D_Points!$A$5:$A$204&lt;&gt;"")*(D_Points!$A$5:$A$204&gt;=$B877)*(D_Points!$A$5:$A$204&lt;$B877+P_Interval)*(UPPER(TRIM(D_Points!$B$5:$B$204))="PITCHING")*(D_Points!$H$5:$H$204&lt;&gt;"")),D_Points!$H$5:$H$204),"")</f>
        <v/>
      </c>
      <c r="P877" s="181" t="str">
        <f>IFERROR(LOOKUP(2,1/((B_Drainage!$A$5:$A$204&lt;&gt;"")*(B_Drainage!$A$5:$A$204&lt;=$B877)*(B_Drainage!$B$5:$B$204&gt;$B877)*(B_Drainage!$C$5:$C$204&lt;&gt;"")),IF(B_Drainage!$C$5:$C$204="-","",UPPER(B_Drainage!$C$5:$C$204))),"")</f>
        <v/>
      </c>
      <c r="Q877" s="181" t="str">
        <f>IFERROR(LOOKUP(2,1/((B_Drainage!$A$5:$A$204&lt;&gt;"")*(B_Drainage!$A$5:$A$204&lt;=$B877)*(B_Drainage!$B$5:$B$204&gt;$B877)*(B_Drainage!$D$5:$D$204&lt;&gt;"")),IF(B_Drainage!$D$5:$D$204="-","",UPPER(B_Drainage!$D$5:$D$204))),"")</f>
        <v/>
      </c>
      <c r="R877" s="182" t="str">
        <f>IFERROR(LOOKUP(2,1/((D_Points!$A$5:$A$204&lt;&gt;"")*(D_Points!$A$5:$A$204&gt;=$B877)*(D_Points!$A$5:$A$204&lt;$B877+P_Interval)*(RIGHT(UPPER(TRIM(D_Points!$B$5:$B$204)),8)="_CULVERT")),IF(LEFT(UPPER(TRIM(D_Points!$B$5:$B$204)),2)="EX",1,IF(LEFT(UPPER(TRIM(D_Points!$B$5:$B$204)),2)="PR",2,3))),"")</f>
        <v/>
      </c>
      <c r="S877" s="182" t="str">
        <f>IFERROR(LOOKUP(2,1/((D_Points!$A$5:$A$204&lt;&gt;"")*(D_Points!$A$5:$A$204&gt;=$B877)*(D_Points!$A$5:$A$204&lt;$B877+P_Interval)*(RIGHT(UPPER(TRIM(D_Points!$B$5:$B$204)),7)="_BRIDGE")),IF(LEFT(UPPER(TRIM(D_Points!$B$5:$B$204)),2)="EX",1,IF(LEFT(UPPER(TRIM(D_Points!$B$5:$B$204)),2)="PR",2,2))),"")</f>
        <v/>
      </c>
      <c r="T877" s="181" t="str">
        <f>IFERROR(LOOKUP(2,1/((B_Drainage!$A$5:$A$204&lt;&gt;"")*(B_Drainage!$A$5:$A$204&lt;=$B877)*(B_Drainage!$B$5:$B$204&gt;$B877)*(B_Drainage!$E$5:$E$204&lt;&gt;"")),IF(B_Drainage!$E$5:$E$204="-","",1)),"")</f>
        <v/>
      </c>
      <c r="U877" s="181" t="str">
        <f>IFERROR(LOOKUP(2,1/((B_Drainage!$A$5:$A$204&lt;&gt;"")*(B_Drainage!$A$5:$A$204&lt;=$B877)*(B_Drainage!$B$5:$B$204&gt;$B877)*(B_Drainage!$E$5:$E$204&lt;&gt;"")),IF(B_Drainage!$E$5:$E$204="-","",B_Drainage!$E$5:$E$204)),"")</f>
        <v/>
      </c>
      <c r="V877" s="181" t="str">
        <f>IFERROR(LOOKUP(2,1/((B_Drainage!$A$5:$A$204&lt;&gt;"")*(B_Drainage!$A$5:$A$204&lt;=$B877)*(B_Drainage!$B$5:$B$204&gt;$B877)*(B_Drainage!$F$5:$F$204&lt;&gt;"")),IF(B_Drainage!$F$5:$F$204="-","",1)),"")</f>
        <v/>
      </c>
      <c r="W877" s="181" t="str">
        <f>IFERROR(LOOKUP(2,1/((B_Drainage!$A$5:$A$204&lt;&gt;"")*(B_Drainage!$A$5:$A$204&lt;=$B877)*(B_Drainage!$B$5:$B$204&gt;$B877)*(B_Drainage!$F$5:$F$204&lt;&gt;"")),IF(B_Drainage!$F$5:$F$204="-","",B_Drainage!$F$5:$F$204)),"")</f>
        <v/>
      </c>
      <c r="X877" s="181" t="str">
        <f>IFERROR(LOOKUP(2,1/((B_Drainage!$A$5:$A$204&lt;&gt;"")*(B_Drainage!$A$5:$A$204&lt;=$B877)*(B_Drainage!$B$5:$B$204&gt;$B877)*(B_Drainage!$G$5:$G$204&lt;&gt;"")),IF(UPPER(B_Drainage!$G$5:$G$204)="Y",1,"")),"")</f>
        <v/>
      </c>
      <c r="Y877" s="181" t="str">
        <f>IFERROR(LOOKUP(2,1/((B_Drainage!$A$5:$A$204&lt;&gt;"")*(B_Drainage!$A$5:$A$204&lt;=$B877)*(B_Drainage!$B$5:$B$204&gt;$B877)*(B_Drainage!$H$5:$H$204&lt;&gt;"")),IF(UPPER(B_Drainage!$H$5:$H$204)="Y",1,"")),"")</f>
        <v/>
      </c>
      <c r="Z877" s="181" t="str">
        <f>IFERROR(LOOKUP(2,1/((B_Drainage!$A$5:$A$204&lt;&gt;"")*(B_Drainage!$A$5:$A$204&lt;=$B877)*(B_Drainage!$B$5:$B$204&gt;$B877)*(B_Drainage!$I$5:$I$204&lt;&gt;"")),IF(UPPER(B_Drainage!$I$5:$I$204)="Y",1,"")),"")</f>
        <v/>
      </c>
      <c r="AA877" s="181" t="str">
        <f>IFERROR(LOOKUP(2,1/((B_Drainage!$A$5:$A$204&lt;&gt;"")*(B_Drainage!$A$5:$A$204&lt;=$B877)*(B_Drainage!$B$5:$B$204&gt;$B877)*(B_Drainage!$J$5:$J$204&lt;&gt;"")),IF(UPPER(B_Drainage!$J$5:$J$204)="Y",1,"")),"")</f>
        <v/>
      </c>
      <c r="AB877" s="182" t="str">
        <f>IFERROR(LOOKUP(2,1/((B_Drainage!$A$5:$A$204&lt;&gt;"")*(B_Drainage!$A$5:$A$204&lt;=$B877)*(B_Drainage!$B$5:$B$204&gt;$B877)*(B_Drainage!$K$5:$K$204&lt;&gt;"")),IF(B_Drainage!$K$5:$K$204="-","",B_Drainage!$K$5:$K$204)),"")</f>
        <v/>
      </c>
      <c r="AC877" s="182" t="str">
        <f>IFERROR(LOOKUP(2,1/((B_Drainage!$A$5:$A$204&lt;&gt;"")*(B_Drainage!$A$5:$A$204&lt;=$B877)*(B_Drainage!$B$5:$B$204&gt;$B877)*(B_Drainage!$L$5:$L$204&lt;&gt;"")),IF(B_Drainage!$L$5:$L$204="-","",B_Drainage!$L$5:$L$204)),"")</f>
        <v/>
      </c>
      <c r="AD877" s="182" t="str">
        <f>IFERROR(LOOKUP(2,1/((D_Points!$A$5:$A$204&lt;&gt;"")*(D_Points!$A$5:$A$204&gt;=$B877)*(D_Points!$A$5:$A$204&lt;$B877+P_Interval)*(UPPER(TRIM(D_Points!$B$5:$B$204))="TURNOUT_L")*(D_Points!$H$5:$H$204&lt;&gt;"")),D_Points!$H$5:$H$204),"")</f>
        <v/>
      </c>
      <c r="AE877" s="182" t="str">
        <f>IFERROR(LOOKUP(2,1/((D_Points!$A$5:$A$204&lt;&gt;"")*(D_Points!$A$5:$A$204&gt;=$B877)*(D_Points!$A$5:$A$204&lt;$B877+P_Interval)*(UPPER(TRIM(D_Points!$B$5:$B$204))="TURNOUT_R")*(D_Points!$H$5:$H$204&lt;&gt;"")),D_Points!$H$5:$H$204),"")</f>
        <v/>
      </c>
      <c r="AF877" s="181" t="str">
        <f>IFERROR(LOOKUP(2,1/((B_Drainage!$A$5:$A$204&lt;&gt;"")*(B_Drainage!$A$5:$A$204&lt;=$B877)*(B_Drainage!$B$5:$B$204&gt;$B877)*(B_Drainage!$M$5:$M$204&lt;&gt;"")),IF(UPPER(B_Drainage!$M$5:$M$204)="Y",1,"")),"")</f>
        <v/>
      </c>
      <c r="AG877" s="181" t="str">
        <f>IFERROR(LOOKUP(2,1/((B_Drainage!$A$5:$A$204&lt;&gt;"")*(B_Drainage!$A$5:$A$204&lt;=$B877)*(B_Drainage!$B$5:$B$204&gt;$B877)*(B_Drainage!$N$5:$N$204&lt;&gt;"")),IF(UPPER(B_Drainage!$N$5:$N$204)="Y",1,"")),"")</f>
        <v/>
      </c>
      <c r="AH877" s="181" t="str">
        <f t="shared" si="104"/>
        <v/>
      </c>
      <c r="AI877" s="181" t="str">
        <f t="shared" si="105"/>
        <v/>
      </c>
      <c r="AJ877" s="181" t="str">
        <f t="shared" si="106"/>
        <v/>
      </c>
      <c r="AK877" s="181" t="str">
        <f t="shared" si="107"/>
        <v/>
      </c>
      <c r="AL877" s="181" t="str">
        <f t="shared" si="108"/>
        <v/>
      </c>
      <c r="AM877" s="181" t="str">
        <f t="shared" si="109"/>
        <v/>
      </c>
      <c r="AN877" s="181" t="str">
        <f t="shared" si="110"/>
        <v/>
      </c>
      <c r="AO877" s="192" t="str">
        <f t="shared" si="111"/>
        <v/>
      </c>
      <c r="AQ877" t="str">
        <f>IFERROR(LOOKUP(2,1/((C_Pavement!$A$5:$A$204&lt;&gt;"")*(C_Pavement!$A$5:$A$204&lt;=$B877)*(C_Pavement!$B$5:$B$204&gt;$B877)*(C_Pavement!$C$5:$C$204&lt;&gt;"")),ROW(C_Pavement!$C$5:$C$204)-4),"")</f>
        <v/>
      </c>
      <c r="AR877" t="str">
        <f>IF($AQ877="","",UPPER(TRIM(INDEX(C_Pavement!$C$5:$C$204,$AQ877))))</f>
        <v/>
      </c>
      <c r="AS877" t="str">
        <f>IF($AR877="","",IFERROR(MATCH($AR877,E_Rules!$A$5:$A$9,0),""))</f>
        <v/>
      </c>
      <c r="AT877" t="str">
        <f>IF($AQ877="","",IF(INDEX(C_Pavement!$D$5:$D$204,$AQ877)&lt;&gt;"",UPPER(TRIM(INDEX(C_Pavement!$D$5:$D$204,$AQ877))),IF($AS877="","",INDEX(E_Rules!$C$5:$C$9,$AS877))))</f>
        <v/>
      </c>
      <c r="AU877" t="str">
        <f>IF($AQ877="","",IF(INDEX(C_Pavement!$E$5:$E$204,$AQ877)&lt;&gt;"",IF(INDEX(C_Pavement!$E$5:$E$204,$AQ877)="-","",INDEX(C_Pavement!$E$5:$E$204,$AQ877)),IF($AS877="","",INDEX(E_Rules!$D$5:$D$9,$AS877))))</f>
        <v/>
      </c>
      <c r="AV877" t="str">
        <f>IF($AQ877="","",IF(INDEX(C_Pavement!$F$5:$F$204,$AQ877)&lt;&gt;"",IF(INDEX(C_Pavement!$F$5:$F$204,$AQ877)="-","",INDEX(C_Pavement!$F$5:$F$204,$AQ877)),IF($AS877="","",INDEX(E_Rules!$E$5:$E$9,$AS877))))</f>
        <v/>
      </c>
      <c r="AW877" t="str">
        <f>IF($AQ877="","",IF(INDEX(C_Pavement!$G$5:$G$204,$AQ877)&lt;&gt;"",IF(INDEX(C_Pavement!$G$5:$G$204,$AQ877)="-","",INDEX(C_Pavement!$G$5:$G$204,$AQ877)),IF($AS877="","",INDEX(E_Rules!$F$5:$F$9,$AS877))))</f>
        <v/>
      </c>
      <c r="AX877" t="str">
        <f>IF($AQ877="","",IF(INDEX(C_Pavement!$H$5:$H$204,$AQ877)&lt;&gt;"",IF(INDEX(C_Pavement!$H$5:$H$204,$AQ877)="-","",INDEX(C_Pavement!$H$5:$H$204,$AQ877)),IF($AS877="","",INDEX(E_Rules!$G$5:$G$9,$AS877))))</f>
        <v/>
      </c>
      <c r="AY877" t="str">
        <f>IF($AQ877="","",IF(INDEX(C_Pavement!$I$5:$I$204,$AQ877)&lt;&gt;"",IF(INDEX(C_Pavement!$I$5:$I$204,$AQ877)="-","",INDEX(C_Pavement!$I$5:$I$204,$AQ877)),IF($AS877="","",INDEX(E_Rules!$H$5:$H$9,$AS877))))</f>
        <v/>
      </c>
    </row>
    <row r="878" spans="1:51" ht="15.75" customHeight="1" x14ac:dyDescent="0.3">
      <c r="A878" s="189">
        <v>873</v>
      </c>
      <c r="B878" s="180">
        <v>43600</v>
      </c>
      <c r="C878" s="180" t="s">
        <v>1184</v>
      </c>
      <c r="D878" s="181" t="str">
        <f>IFERROR(LOOKUP(2,1/((A_Corridor!$A$5:$A$204&lt;&gt;"")*(A_Corridor!$A$5:$A$204&lt;=$B878)*(A_Corridor!$B$5:$B$204&gt;$B878)*(A_Corridor!$C$5:$C$204&lt;&gt;"")),IF(UPPER(A_Corridor!$C$5:$C$204)="Y",1,"")),"")</f>
        <v/>
      </c>
      <c r="E878" s="181" t="str">
        <f>IFERROR(LOOKUP(2,1/((A_Corridor!$A$5:$A$204&lt;&gt;"")*(A_Corridor!$A$5:$A$204&lt;=$B878)*(A_Corridor!$B$5:$B$204&gt;$B878)*(A_Corridor!$D$5:$D$204&lt;&gt;"")),IF(A_Corridor!$D$5:$D$204="-","",UPPER(A_Corridor!$D$5:$D$204))),"")</f>
        <v/>
      </c>
      <c r="F878" s="181" t="str">
        <f>IFERROR(LOOKUP(2,1/((A_Corridor!$A$5:$A$204&lt;&gt;"")*(A_Corridor!$A$5:$A$204&lt;=$B878)*(A_Corridor!$B$5:$B$204&gt;$B878)*(A_Corridor!$E$5:$E$204&lt;&gt;"")),IF(A_Corridor!$E$5:$E$204="-","",1)),"")</f>
        <v/>
      </c>
      <c r="G878" s="182" t="str">
        <f>IFERROR(LOOKUP(2,1/((A_Corridor!$A$5:$A$204&lt;&gt;"")*(A_Corridor!$A$5:$A$204&lt;=$B878)*(A_Corridor!$B$5:$B$204&gt;$B878)*(A_Corridor!$E$5:$E$204&lt;&gt;"")),IF(A_Corridor!$E$5:$E$204="-","",A_Corridor!$E$5:$E$204)),"")</f>
        <v/>
      </c>
      <c r="H878" s="182" t="str">
        <f>IFERROR(LOOKUP(2,1/((D_Points!$A$5:$A$204&lt;&gt;"")*(D_Points!$A$5:$A$204&gt;=$B878)*(D_Points!$A$5:$A$204&lt;$B878+P_Interval)*(UPPER(TRIM(D_Points!$B$5:$B$204))="GULLY")*(D_Points!$H$5:$H$204&lt;&gt;"")),D_Points!$H$5:$H$204),"")</f>
        <v/>
      </c>
      <c r="I878" s="181" t="str">
        <f>IFERROR(LOOKUP(2,1/((A_Corridor!$A$5:$A$204&lt;&gt;"")*(A_Corridor!$A$5:$A$204&lt;=$B878)*(A_Corridor!$B$5:$B$204&gt;$B878)*(A_Corridor!$F$5:$F$204&lt;&gt;"")),IF(A_Corridor!$F$5:$F$204="-","",1)),"")</f>
        <v/>
      </c>
      <c r="J878" s="182" t="str">
        <f>IFERROR(LOOKUP(2,1/((A_Corridor!$A$5:$A$204&lt;&gt;"")*(A_Corridor!$A$5:$A$204&lt;=$B878)*(A_Corridor!$B$5:$B$204&gt;$B878)*(A_Corridor!$F$5:$F$204&lt;&gt;"")),IF(A_Corridor!$F$5:$F$204="-","",A_Corridor!$F$5:$F$204)),"")</f>
        <v/>
      </c>
      <c r="K878" s="182" t="str">
        <f>IFERROR(LOOKUP(2,1/((A_Corridor!$A$5:$A$204&lt;&gt;"")*(A_Corridor!$A$5:$A$204&lt;=$B878)*(A_Corridor!$B$5:$B$204&gt;$B878)*(A_Corridor!$G$5:$G$204&lt;&gt;"")),IF(A_Corridor!$G$5:$G$204="-","",A_Corridor!$G$5:$G$204)),"")</f>
        <v/>
      </c>
      <c r="L878" s="181" t="str">
        <f>IFERROR(LOOKUP(2,1/((A_Corridor!$A$5:$A$204&lt;&gt;"")*(A_Corridor!$A$5:$A$204&lt;=$B878)*(A_Corridor!$B$5:$B$204&gt;$B878)*(A_Corridor!$H$5:$H$204&lt;&gt;"")),IF(A_Corridor!$H$5:$H$204="-","",1)),"")</f>
        <v/>
      </c>
      <c r="M878" s="182" t="str">
        <f>IFERROR(LOOKUP(2,1/((A_Corridor!$A$5:$A$204&lt;&gt;"")*(A_Corridor!$A$5:$A$204&lt;=$B878)*(A_Corridor!$B$5:$B$204&gt;$B878)*(A_Corridor!$H$5:$H$204&lt;&gt;"")),IF(A_Corridor!$H$5:$H$204="-","",A_Corridor!$H$5:$H$204)),"")</f>
        <v/>
      </c>
      <c r="N878" s="182" t="str">
        <f>IFERROR(LOOKUP(2,1/((A_Corridor!$A$5:$A$204&lt;&gt;"")*(A_Corridor!$A$5:$A$204&lt;=$B878)*(A_Corridor!$B$5:$B$204&gt;$B878)*(A_Corridor!$I$5:$I$204&lt;&gt;"")),IF(A_Corridor!$I$5:$I$204="-","",A_Corridor!$I$5:$I$204)),"")</f>
        <v/>
      </c>
      <c r="O878" s="182" t="str">
        <f>IFERROR(LOOKUP(2,1/((D_Points!$A$5:$A$204&lt;&gt;"")*(D_Points!$A$5:$A$204&gt;=$B878)*(D_Points!$A$5:$A$204&lt;$B878+P_Interval)*(UPPER(TRIM(D_Points!$B$5:$B$204))="PITCHING")*(D_Points!$H$5:$H$204&lt;&gt;"")),D_Points!$H$5:$H$204),"")</f>
        <v/>
      </c>
      <c r="P878" s="181" t="str">
        <f>IFERROR(LOOKUP(2,1/((B_Drainage!$A$5:$A$204&lt;&gt;"")*(B_Drainage!$A$5:$A$204&lt;=$B878)*(B_Drainage!$B$5:$B$204&gt;$B878)*(B_Drainage!$C$5:$C$204&lt;&gt;"")),IF(B_Drainage!$C$5:$C$204="-","",UPPER(B_Drainage!$C$5:$C$204))),"")</f>
        <v/>
      </c>
      <c r="Q878" s="181" t="str">
        <f>IFERROR(LOOKUP(2,1/((B_Drainage!$A$5:$A$204&lt;&gt;"")*(B_Drainage!$A$5:$A$204&lt;=$B878)*(B_Drainage!$B$5:$B$204&gt;$B878)*(B_Drainage!$D$5:$D$204&lt;&gt;"")),IF(B_Drainage!$D$5:$D$204="-","",UPPER(B_Drainage!$D$5:$D$204))),"")</f>
        <v/>
      </c>
      <c r="R878" s="182" t="str">
        <f>IFERROR(LOOKUP(2,1/((D_Points!$A$5:$A$204&lt;&gt;"")*(D_Points!$A$5:$A$204&gt;=$B878)*(D_Points!$A$5:$A$204&lt;$B878+P_Interval)*(RIGHT(UPPER(TRIM(D_Points!$B$5:$B$204)),8)="_CULVERT")),IF(LEFT(UPPER(TRIM(D_Points!$B$5:$B$204)),2)="EX",1,IF(LEFT(UPPER(TRIM(D_Points!$B$5:$B$204)),2)="PR",2,3))),"")</f>
        <v/>
      </c>
      <c r="S878" s="182" t="str">
        <f>IFERROR(LOOKUP(2,1/((D_Points!$A$5:$A$204&lt;&gt;"")*(D_Points!$A$5:$A$204&gt;=$B878)*(D_Points!$A$5:$A$204&lt;$B878+P_Interval)*(RIGHT(UPPER(TRIM(D_Points!$B$5:$B$204)),7)="_BRIDGE")),IF(LEFT(UPPER(TRIM(D_Points!$B$5:$B$204)),2)="EX",1,IF(LEFT(UPPER(TRIM(D_Points!$B$5:$B$204)),2)="PR",2,2))),"")</f>
        <v/>
      </c>
      <c r="T878" s="181" t="str">
        <f>IFERROR(LOOKUP(2,1/((B_Drainage!$A$5:$A$204&lt;&gt;"")*(B_Drainage!$A$5:$A$204&lt;=$B878)*(B_Drainage!$B$5:$B$204&gt;$B878)*(B_Drainage!$E$5:$E$204&lt;&gt;"")),IF(B_Drainage!$E$5:$E$204="-","",1)),"")</f>
        <v/>
      </c>
      <c r="U878" s="181" t="str">
        <f>IFERROR(LOOKUP(2,1/((B_Drainage!$A$5:$A$204&lt;&gt;"")*(B_Drainage!$A$5:$A$204&lt;=$B878)*(B_Drainage!$B$5:$B$204&gt;$B878)*(B_Drainage!$E$5:$E$204&lt;&gt;"")),IF(B_Drainage!$E$5:$E$204="-","",B_Drainage!$E$5:$E$204)),"")</f>
        <v/>
      </c>
      <c r="V878" s="181" t="str">
        <f>IFERROR(LOOKUP(2,1/((B_Drainage!$A$5:$A$204&lt;&gt;"")*(B_Drainage!$A$5:$A$204&lt;=$B878)*(B_Drainage!$B$5:$B$204&gt;$B878)*(B_Drainage!$F$5:$F$204&lt;&gt;"")),IF(B_Drainage!$F$5:$F$204="-","",1)),"")</f>
        <v/>
      </c>
      <c r="W878" s="181" t="str">
        <f>IFERROR(LOOKUP(2,1/((B_Drainage!$A$5:$A$204&lt;&gt;"")*(B_Drainage!$A$5:$A$204&lt;=$B878)*(B_Drainage!$B$5:$B$204&gt;$B878)*(B_Drainage!$F$5:$F$204&lt;&gt;"")),IF(B_Drainage!$F$5:$F$204="-","",B_Drainage!$F$5:$F$204)),"")</f>
        <v/>
      </c>
      <c r="X878" s="181" t="str">
        <f>IFERROR(LOOKUP(2,1/((B_Drainage!$A$5:$A$204&lt;&gt;"")*(B_Drainage!$A$5:$A$204&lt;=$B878)*(B_Drainage!$B$5:$B$204&gt;$B878)*(B_Drainage!$G$5:$G$204&lt;&gt;"")),IF(UPPER(B_Drainage!$G$5:$G$204)="Y",1,"")),"")</f>
        <v/>
      </c>
      <c r="Y878" s="181" t="str">
        <f>IFERROR(LOOKUP(2,1/((B_Drainage!$A$5:$A$204&lt;&gt;"")*(B_Drainage!$A$5:$A$204&lt;=$B878)*(B_Drainage!$B$5:$B$204&gt;$B878)*(B_Drainage!$H$5:$H$204&lt;&gt;"")),IF(UPPER(B_Drainage!$H$5:$H$204)="Y",1,"")),"")</f>
        <v/>
      </c>
      <c r="Z878" s="181" t="str">
        <f>IFERROR(LOOKUP(2,1/((B_Drainage!$A$5:$A$204&lt;&gt;"")*(B_Drainage!$A$5:$A$204&lt;=$B878)*(B_Drainage!$B$5:$B$204&gt;$B878)*(B_Drainage!$I$5:$I$204&lt;&gt;"")),IF(UPPER(B_Drainage!$I$5:$I$204)="Y",1,"")),"")</f>
        <v/>
      </c>
      <c r="AA878" s="181" t="str">
        <f>IFERROR(LOOKUP(2,1/((B_Drainage!$A$5:$A$204&lt;&gt;"")*(B_Drainage!$A$5:$A$204&lt;=$B878)*(B_Drainage!$B$5:$B$204&gt;$B878)*(B_Drainage!$J$5:$J$204&lt;&gt;"")),IF(UPPER(B_Drainage!$J$5:$J$204)="Y",1,"")),"")</f>
        <v/>
      </c>
      <c r="AB878" s="182" t="str">
        <f>IFERROR(LOOKUP(2,1/((B_Drainage!$A$5:$A$204&lt;&gt;"")*(B_Drainage!$A$5:$A$204&lt;=$B878)*(B_Drainage!$B$5:$B$204&gt;$B878)*(B_Drainage!$K$5:$K$204&lt;&gt;"")),IF(B_Drainage!$K$5:$K$204="-","",B_Drainage!$K$5:$K$204)),"")</f>
        <v/>
      </c>
      <c r="AC878" s="182" t="str">
        <f>IFERROR(LOOKUP(2,1/((B_Drainage!$A$5:$A$204&lt;&gt;"")*(B_Drainage!$A$5:$A$204&lt;=$B878)*(B_Drainage!$B$5:$B$204&gt;$B878)*(B_Drainage!$L$5:$L$204&lt;&gt;"")),IF(B_Drainage!$L$5:$L$204="-","",B_Drainage!$L$5:$L$204)),"")</f>
        <v/>
      </c>
      <c r="AD878" s="182" t="str">
        <f>IFERROR(LOOKUP(2,1/((D_Points!$A$5:$A$204&lt;&gt;"")*(D_Points!$A$5:$A$204&gt;=$B878)*(D_Points!$A$5:$A$204&lt;$B878+P_Interval)*(UPPER(TRIM(D_Points!$B$5:$B$204))="TURNOUT_L")*(D_Points!$H$5:$H$204&lt;&gt;"")),D_Points!$H$5:$H$204),"")</f>
        <v/>
      </c>
      <c r="AE878" s="182" t="str">
        <f>IFERROR(LOOKUP(2,1/((D_Points!$A$5:$A$204&lt;&gt;"")*(D_Points!$A$5:$A$204&gt;=$B878)*(D_Points!$A$5:$A$204&lt;$B878+P_Interval)*(UPPER(TRIM(D_Points!$B$5:$B$204))="TURNOUT_R")*(D_Points!$H$5:$H$204&lt;&gt;"")),D_Points!$H$5:$H$204),"")</f>
        <v/>
      </c>
      <c r="AF878" s="181" t="str">
        <f>IFERROR(LOOKUP(2,1/((B_Drainage!$A$5:$A$204&lt;&gt;"")*(B_Drainage!$A$5:$A$204&lt;=$B878)*(B_Drainage!$B$5:$B$204&gt;$B878)*(B_Drainage!$M$5:$M$204&lt;&gt;"")),IF(UPPER(B_Drainage!$M$5:$M$204)="Y",1,"")),"")</f>
        <v/>
      </c>
      <c r="AG878" s="181" t="str">
        <f>IFERROR(LOOKUP(2,1/((B_Drainage!$A$5:$A$204&lt;&gt;"")*(B_Drainage!$A$5:$A$204&lt;=$B878)*(B_Drainage!$B$5:$B$204&gt;$B878)*(B_Drainage!$N$5:$N$204&lt;&gt;"")),IF(UPPER(B_Drainage!$N$5:$N$204)="Y",1,"")),"")</f>
        <v/>
      </c>
      <c r="AH878" s="181" t="str">
        <f t="shared" si="104"/>
        <v/>
      </c>
      <c r="AI878" s="181" t="str">
        <f t="shared" si="105"/>
        <v/>
      </c>
      <c r="AJ878" s="181" t="str">
        <f t="shared" si="106"/>
        <v/>
      </c>
      <c r="AK878" s="181" t="str">
        <f t="shared" si="107"/>
        <v/>
      </c>
      <c r="AL878" s="181" t="str">
        <f t="shared" si="108"/>
        <v/>
      </c>
      <c r="AM878" s="181" t="str">
        <f t="shared" si="109"/>
        <v/>
      </c>
      <c r="AN878" s="181" t="str">
        <f t="shared" si="110"/>
        <v/>
      </c>
      <c r="AO878" s="192" t="str">
        <f t="shared" si="111"/>
        <v/>
      </c>
      <c r="AQ878" t="str">
        <f>IFERROR(LOOKUP(2,1/((C_Pavement!$A$5:$A$204&lt;&gt;"")*(C_Pavement!$A$5:$A$204&lt;=$B878)*(C_Pavement!$B$5:$B$204&gt;$B878)*(C_Pavement!$C$5:$C$204&lt;&gt;"")),ROW(C_Pavement!$C$5:$C$204)-4),"")</f>
        <v/>
      </c>
      <c r="AR878" t="str">
        <f>IF($AQ878="","",UPPER(TRIM(INDEX(C_Pavement!$C$5:$C$204,$AQ878))))</f>
        <v/>
      </c>
      <c r="AS878" t="str">
        <f>IF($AR878="","",IFERROR(MATCH($AR878,E_Rules!$A$5:$A$9,0),""))</f>
        <v/>
      </c>
      <c r="AT878" t="str">
        <f>IF($AQ878="","",IF(INDEX(C_Pavement!$D$5:$D$204,$AQ878)&lt;&gt;"",UPPER(TRIM(INDEX(C_Pavement!$D$5:$D$204,$AQ878))),IF($AS878="","",INDEX(E_Rules!$C$5:$C$9,$AS878))))</f>
        <v/>
      </c>
      <c r="AU878" t="str">
        <f>IF($AQ878="","",IF(INDEX(C_Pavement!$E$5:$E$204,$AQ878)&lt;&gt;"",IF(INDEX(C_Pavement!$E$5:$E$204,$AQ878)="-","",INDEX(C_Pavement!$E$5:$E$204,$AQ878)),IF($AS878="","",INDEX(E_Rules!$D$5:$D$9,$AS878))))</f>
        <v/>
      </c>
      <c r="AV878" t="str">
        <f>IF($AQ878="","",IF(INDEX(C_Pavement!$F$5:$F$204,$AQ878)&lt;&gt;"",IF(INDEX(C_Pavement!$F$5:$F$204,$AQ878)="-","",INDEX(C_Pavement!$F$5:$F$204,$AQ878)),IF($AS878="","",INDEX(E_Rules!$E$5:$E$9,$AS878))))</f>
        <v/>
      </c>
      <c r="AW878" t="str">
        <f>IF($AQ878="","",IF(INDEX(C_Pavement!$G$5:$G$204,$AQ878)&lt;&gt;"",IF(INDEX(C_Pavement!$G$5:$G$204,$AQ878)="-","",INDEX(C_Pavement!$G$5:$G$204,$AQ878)),IF($AS878="","",INDEX(E_Rules!$F$5:$F$9,$AS878))))</f>
        <v/>
      </c>
      <c r="AX878" t="str">
        <f>IF($AQ878="","",IF(INDEX(C_Pavement!$H$5:$H$204,$AQ878)&lt;&gt;"",IF(INDEX(C_Pavement!$H$5:$H$204,$AQ878)="-","",INDEX(C_Pavement!$H$5:$H$204,$AQ878)),IF($AS878="","",INDEX(E_Rules!$G$5:$G$9,$AS878))))</f>
        <v/>
      </c>
      <c r="AY878" t="str">
        <f>IF($AQ878="","",IF(INDEX(C_Pavement!$I$5:$I$204,$AQ878)&lt;&gt;"",IF(INDEX(C_Pavement!$I$5:$I$204,$AQ878)="-","",INDEX(C_Pavement!$I$5:$I$204,$AQ878)),IF($AS878="","",INDEX(E_Rules!$H$5:$H$9,$AS878))))</f>
        <v/>
      </c>
    </row>
    <row r="879" spans="1:51" ht="15.75" customHeight="1" x14ac:dyDescent="0.3">
      <c r="A879" s="189">
        <v>874</v>
      </c>
      <c r="B879" s="180">
        <v>43650</v>
      </c>
      <c r="C879" s="180" t="s">
        <v>1185</v>
      </c>
      <c r="D879" s="181" t="str">
        <f>IFERROR(LOOKUP(2,1/((A_Corridor!$A$5:$A$204&lt;&gt;"")*(A_Corridor!$A$5:$A$204&lt;=$B879)*(A_Corridor!$B$5:$B$204&gt;$B879)*(A_Corridor!$C$5:$C$204&lt;&gt;"")),IF(UPPER(A_Corridor!$C$5:$C$204)="Y",1,"")),"")</f>
        <v/>
      </c>
      <c r="E879" s="181" t="str">
        <f>IFERROR(LOOKUP(2,1/((A_Corridor!$A$5:$A$204&lt;&gt;"")*(A_Corridor!$A$5:$A$204&lt;=$B879)*(A_Corridor!$B$5:$B$204&gt;$B879)*(A_Corridor!$D$5:$D$204&lt;&gt;"")),IF(A_Corridor!$D$5:$D$204="-","",UPPER(A_Corridor!$D$5:$D$204))),"")</f>
        <v/>
      </c>
      <c r="F879" s="181" t="str">
        <f>IFERROR(LOOKUP(2,1/((A_Corridor!$A$5:$A$204&lt;&gt;"")*(A_Corridor!$A$5:$A$204&lt;=$B879)*(A_Corridor!$B$5:$B$204&gt;$B879)*(A_Corridor!$E$5:$E$204&lt;&gt;"")),IF(A_Corridor!$E$5:$E$204="-","",1)),"")</f>
        <v/>
      </c>
      <c r="G879" s="182" t="str">
        <f>IFERROR(LOOKUP(2,1/((A_Corridor!$A$5:$A$204&lt;&gt;"")*(A_Corridor!$A$5:$A$204&lt;=$B879)*(A_Corridor!$B$5:$B$204&gt;$B879)*(A_Corridor!$E$5:$E$204&lt;&gt;"")),IF(A_Corridor!$E$5:$E$204="-","",A_Corridor!$E$5:$E$204)),"")</f>
        <v/>
      </c>
      <c r="H879" s="182" t="str">
        <f>IFERROR(LOOKUP(2,1/((D_Points!$A$5:$A$204&lt;&gt;"")*(D_Points!$A$5:$A$204&gt;=$B879)*(D_Points!$A$5:$A$204&lt;$B879+P_Interval)*(UPPER(TRIM(D_Points!$B$5:$B$204))="GULLY")*(D_Points!$H$5:$H$204&lt;&gt;"")),D_Points!$H$5:$H$204),"")</f>
        <v/>
      </c>
      <c r="I879" s="181" t="str">
        <f>IFERROR(LOOKUP(2,1/((A_Corridor!$A$5:$A$204&lt;&gt;"")*(A_Corridor!$A$5:$A$204&lt;=$B879)*(A_Corridor!$B$5:$B$204&gt;$B879)*(A_Corridor!$F$5:$F$204&lt;&gt;"")),IF(A_Corridor!$F$5:$F$204="-","",1)),"")</f>
        <v/>
      </c>
      <c r="J879" s="182" t="str">
        <f>IFERROR(LOOKUP(2,1/((A_Corridor!$A$5:$A$204&lt;&gt;"")*(A_Corridor!$A$5:$A$204&lt;=$B879)*(A_Corridor!$B$5:$B$204&gt;$B879)*(A_Corridor!$F$5:$F$204&lt;&gt;"")),IF(A_Corridor!$F$5:$F$204="-","",A_Corridor!$F$5:$F$204)),"")</f>
        <v/>
      </c>
      <c r="K879" s="182" t="str">
        <f>IFERROR(LOOKUP(2,1/((A_Corridor!$A$5:$A$204&lt;&gt;"")*(A_Corridor!$A$5:$A$204&lt;=$B879)*(A_Corridor!$B$5:$B$204&gt;$B879)*(A_Corridor!$G$5:$G$204&lt;&gt;"")),IF(A_Corridor!$G$5:$G$204="-","",A_Corridor!$G$5:$G$204)),"")</f>
        <v/>
      </c>
      <c r="L879" s="181" t="str">
        <f>IFERROR(LOOKUP(2,1/((A_Corridor!$A$5:$A$204&lt;&gt;"")*(A_Corridor!$A$5:$A$204&lt;=$B879)*(A_Corridor!$B$5:$B$204&gt;$B879)*(A_Corridor!$H$5:$H$204&lt;&gt;"")),IF(A_Corridor!$H$5:$H$204="-","",1)),"")</f>
        <v/>
      </c>
      <c r="M879" s="182" t="str">
        <f>IFERROR(LOOKUP(2,1/((A_Corridor!$A$5:$A$204&lt;&gt;"")*(A_Corridor!$A$5:$A$204&lt;=$B879)*(A_Corridor!$B$5:$B$204&gt;$B879)*(A_Corridor!$H$5:$H$204&lt;&gt;"")),IF(A_Corridor!$H$5:$H$204="-","",A_Corridor!$H$5:$H$204)),"")</f>
        <v/>
      </c>
      <c r="N879" s="182" t="str">
        <f>IFERROR(LOOKUP(2,1/((A_Corridor!$A$5:$A$204&lt;&gt;"")*(A_Corridor!$A$5:$A$204&lt;=$B879)*(A_Corridor!$B$5:$B$204&gt;$B879)*(A_Corridor!$I$5:$I$204&lt;&gt;"")),IF(A_Corridor!$I$5:$I$204="-","",A_Corridor!$I$5:$I$204)),"")</f>
        <v/>
      </c>
      <c r="O879" s="182" t="str">
        <f>IFERROR(LOOKUP(2,1/((D_Points!$A$5:$A$204&lt;&gt;"")*(D_Points!$A$5:$A$204&gt;=$B879)*(D_Points!$A$5:$A$204&lt;$B879+P_Interval)*(UPPER(TRIM(D_Points!$B$5:$B$204))="PITCHING")*(D_Points!$H$5:$H$204&lt;&gt;"")),D_Points!$H$5:$H$204),"")</f>
        <v/>
      </c>
      <c r="P879" s="181" t="str">
        <f>IFERROR(LOOKUP(2,1/((B_Drainage!$A$5:$A$204&lt;&gt;"")*(B_Drainage!$A$5:$A$204&lt;=$B879)*(B_Drainage!$B$5:$B$204&gt;$B879)*(B_Drainage!$C$5:$C$204&lt;&gt;"")),IF(B_Drainage!$C$5:$C$204="-","",UPPER(B_Drainage!$C$5:$C$204))),"")</f>
        <v/>
      </c>
      <c r="Q879" s="181" t="str">
        <f>IFERROR(LOOKUP(2,1/((B_Drainage!$A$5:$A$204&lt;&gt;"")*(B_Drainage!$A$5:$A$204&lt;=$B879)*(B_Drainage!$B$5:$B$204&gt;$B879)*(B_Drainage!$D$5:$D$204&lt;&gt;"")),IF(B_Drainage!$D$5:$D$204="-","",UPPER(B_Drainage!$D$5:$D$204))),"")</f>
        <v/>
      </c>
      <c r="R879" s="182" t="str">
        <f>IFERROR(LOOKUP(2,1/((D_Points!$A$5:$A$204&lt;&gt;"")*(D_Points!$A$5:$A$204&gt;=$B879)*(D_Points!$A$5:$A$204&lt;$B879+P_Interval)*(RIGHT(UPPER(TRIM(D_Points!$B$5:$B$204)),8)="_CULVERT")),IF(LEFT(UPPER(TRIM(D_Points!$B$5:$B$204)),2)="EX",1,IF(LEFT(UPPER(TRIM(D_Points!$B$5:$B$204)),2)="PR",2,3))),"")</f>
        <v/>
      </c>
      <c r="S879" s="182" t="str">
        <f>IFERROR(LOOKUP(2,1/((D_Points!$A$5:$A$204&lt;&gt;"")*(D_Points!$A$5:$A$204&gt;=$B879)*(D_Points!$A$5:$A$204&lt;$B879+P_Interval)*(RIGHT(UPPER(TRIM(D_Points!$B$5:$B$204)),7)="_BRIDGE")),IF(LEFT(UPPER(TRIM(D_Points!$B$5:$B$204)),2)="EX",1,IF(LEFT(UPPER(TRIM(D_Points!$B$5:$B$204)),2)="PR",2,2))),"")</f>
        <v/>
      </c>
      <c r="T879" s="181" t="str">
        <f>IFERROR(LOOKUP(2,1/((B_Drainage!$A$5:$A$204&lt;&gt;"")*(B_Drainage!$A$5:$A$204&lt;=$B879)*(B_Drainage!$B$5:$B$204&gt;$B879)*(B_Drainage!$E$5:$E$204&lt;&gt;"")),IF(B_Drainage!$E$5:$E$204="-","",1)),"")</f>
        <v/>
      </c>
      <c r="U879" s="181" t="str">
        <f>IFERROR(LOOKUP(2,1/((B_Drainage!$A$5:$A$204&lt;&gt;"")*(B_Drainage!$A$5:$A$204&lt;=$B879)*(B_Drainage!$B$5:$B$204&gt;$B879)*(B_Drainage!$E$5:$E$204&lt;&gt;"")),IF(B_Drainage!$E$5:$E$204="-","",B_Drainage!$E$5:$E$204)),"")</f>
        <v/>
      </c>
      <c r="V879" s="181" t="str">
        <f>IFERROR(LOOKUP(2,1/((B_Drainage!$A$5:$A$204&lt;&gt;"")*(B_Drainage!$A$5:$A$204&lt;=$B879)*(B_Drainage!$B$5:$B$204&gt;$B879)*(B_Drainage!$F$5:$F$204&lt;&gt;"")),IF(B_Drainage!$F$5:$F$204="-","",1)),"")</f>
        <v/>
      </c>
      <c r="W879" s="181" t="str">
        <f>IFERROR(LOOKUP(2,1/((B_Drainage!$A$5:$A$204&lt;&gt;"")*(B_Drainage!$A$5:$A$204&lt;=$B879)*(B_Drainage!$B$5:$B$204&gt;$B879)*(B_Drainage!$F$5:$F$204&lt;&gt;"")),IF(B_Drainage!$F$5:$F$204="-","",B_Drainage!$F$5:$F$204)),"")</f>
        <v/>
      </c>
      <c r="X879" s="181" t="str">
        <f>IFERROR(LOOKUP(2,1/((B_Drainage!$A$5:$A$204&lt;&gt;"")*(B_Drainage!$A$5:$A$204&lt;=$B879)*(B_Drainage!$B$5:$B$204&gt;$B879)*(B_Drainage!$G$5:$G$204&lt;&gt;"")),IF(UPPER(B_Drainage!$G$5:$G$204)="Y",1,"")),"")</f>
        <v/>
      </c>
      <c r="Y879" s="181" t="str">
        <f>IFERROR(LOOKUP(2,1/((B_Drainage!$A$5:$A$204&lt;&gt;"")*(B_Drainage!$A$5:$A$204&lt;=$B879)*(B_Drainage!$B$5:$B$204&gt;$B879)*(B_Drainage!$H$5:$H$204&lt;&gt;"")),IF(UPPER(B_Drainage!$H$5:$H$204)="Y",1,"")),"")</f>
        <v/>
      </c>
      <c r="Z879" s="181" t="str">
        <f>IFERROR(LOOKUP(2,1/((B_Drainage!$A$5:$A$204&lt;&gt;"")*(B_Drainage!$A$5:$A$204&lt;=$B879)*(B_Drainage!$B$5:$B$204&gt;$B879)*(B_Drainage!$I$5:$I$204&lt;&gt;"")),IF(UPPER(B_Drainage!$I$5:$I$204)="Y",1,"")),"")</f>
        <v/>
      </c>
      <c r="AA879" s="181" t="str">
        <f>IFERROR(LOOKUP(2,1/((B_Drainage!$A$5:$A$204&lt;&gt;"")*(B_Drainage!$A$5:$A$204&lt;=$B879)*(B_Drainage!$B$5:$B$204&gt;$B879)*(B_Drainage!$J$5:$J$204&lt;&gt;"")),IF(UPPER(B_Drainage!$J$5:$J$204)="Y",1,"")),"")</f>
        <v/>
      </c>
      <c r="AB879" s="182" t="str">
        <f>IFERROR(LOOKUP(2,1/((B_Drainage!$A$5:$A$204&lt;&gt;"")*(B_Drainage!$A$5:$A$204&lt;=$B879)*(B_Drainage!$B$5:$B$204&gt;$B879)*(B_Drainage!$K$5:$K$204&lt;&gt;"")),IF(B_Drainage!$K$5:$K$204="-","",B_Drainage!$K$5:$K$204)),"")</f>
        <v/>
      </c>
      <c r="AC879" s="182" t="str">
        <f>IFERROR(LOOKUP(2,1/((B_Drainage!$A$5:$A$204&lt;&gt;"")*(B_Drainage!$A$5:$A$204&lt;=$B879)*(B_Drainage!$B$5:$B$204&gt;$B879)*(B_Drainage!$L$5:$L$204&lt;&gt;"")),IF(B_Drainage!$L$5:$L$204="-","",B_Drainage!$L$5:$L$204)),"")</f>
        <v/>
      </c>
      <c r="AD879" s="182" t="str">
        <f>IFERROR(LOOKUP(2,1/((D_Points!$A$5:$A$204&lt;&gt;"")*(D_Points!$A$5:$A$204&gt;=$B879)*(D_Points!$A$5:$A$204&lt;$B879+P_Interval)*(UPPER(TRIM(D_Points!$B$5:$B$204))="TURNOUT_L")*(D_Points!$H$5:$H$204&lt;&gt;"")),D_Points!$H$5:$H$204),"")</f>
        <v/>
      </c>
      <c r="AE879" s="182" t="str">
        <f>IFERROR(LOOKUP(2,1/((D_Points!$A$5:$A$204&lt;&gt;"")*(D_Points!$A$5:$A$204&gt;=$B879)*(D_Points!$A$5:$A$204&lt;$B879+P_Interval)*(UPPER(TRIM(D_Points!$B$5:$B$204))="TURNOUT_R")*(D_Points!$H$5:$H$204&lt;&gt;"")),D_Points!$H$5:$H$204),"")</f>
        <v/>
      </c>
      <c r="AF879" s="181" t="str">
        <f>IFERROR(LOOKUP(2,1/((B_Drainage!$A$5:$A$204&lt;&gt;"")*(B_Drainage!$A$5:$A$204&lt;=$B879)*(B_Drainage!$B$5:$B$204&gt;$B879)*(B_Drainage!$M$5:$M$204&lt;&gt;"")),IF(UPPER(B_Drainage!$M$5:$M$204)="Y",1,"")),"")</f>
        <v/>
      </c>
      <c r="AG879" s="181" t="str">
        <f>IFERROR(LOOKUP(2,1/((B_Drainage!$A$5:$A$204&lt;&gt;"")*(B_Drainage!$A$5:$A$204&lt;=$B879)*(B_Drainage!$B$5:$B$204&gt;$B879)*(B_Drainage!$N$5:$N$204&lt;&gt;"")),IF(UPPER(B_Drainage!$N$5:$N$204)="Y",1,"")),"")</f>
        <v/>
      </c>
      <c r="AH879" s="181" t="str">
        <f t="shared" si="104"/>
        <v/>
      </c>
      <c r="AI879" s="181" t="str">
        <f t="shared" si="105"/>
        <v/>
      </c>
      <c r="AJ879" s="181" t="str">
        <f t="shared" si="106"/>
        <v/>
      </c>
      <c r="AK879" s="181" t="str">
        <f t="shared" si="107"/>
        <v/>
      </c>
      <c r="AL879" s="181" t="str">
        <f t="shared" si="108"/>
        <v/>
      </c>
      <c r="AM879" s="181" t="str">
        <f t="shared" si="109"/>
        <v/>
      </c>
      <c r="AN879" s="181" t="str">
        <f t="shared" si="110"/>
        <v/>
      </c>
      <c r="AO879" s="192" t="str">
        <f t="shared" si="111"/>
        <v/>
      </c>
      <c r="AQ879" t="str">
        <f>IFERROR(LOOKUP(2,1/((C_Pavement!$A$5:$A$204&lt;&gt;"")*(C_Pavement!$A$5:$A$204&lt;=$B879)*(C_Pavement!$B$5:$B$204&gt;$B879)*(C_Pavement!$C$5:$C$204&lt;&gt;"")),ROW(C_Pavement!$C$5:$C$204)-4),"")</f>
        <v/>
      </c>
      <c r="AR879" t="str">
        <f>IF($AQ879="","",UPPER(TRIM(INDEX(C_Pavement!$C$5:$C$204,$AQ879))))</f>
        <v/>
      </c>
      <c r="AS879" t="str">
        <f>IF($AR879="","",IFERROR(MATCH($AR879,E_Rules!$A$5:$A$9,0),""))</f>
        <v/>
      </c>
      <c r="AT879" t="str">
        <f>IF($AQ879="","",IF(INDEX(C_Pavement!$D$5:$D$204,$AQ879)&lt;&gt;"",UPPER(TRIM(INDEX(C_Pavement!$D$5:$D$204,$AQ879))),IF($AS879="","",INDEX(E_Rules!$C$5:$C$9,$AS879))))</f>
        <v/>
      </c>
      <c r="AU879" t="str">
        <f>IF($AQ879="","",IF(INDEX(C_Pavement!$E$5:$E$204,$AQ879)&lt;&gt;"",IF(INDEX(C_Pavement!$E$5:$E$204,$AQ879)="-","",INDEX(C_Pavement!$E$5:$E$204,$AQ879)),IF($AS879="","",INDEX(E_Rules!$D$5:$D$9,$AS879))))</f>
        <v/>
      </c>
      <c r="AV879" t="str">
        <f>IF($AQ879="","",IF(INDEX(C_Pavement!$F$5:$F$204,$AQ879)&lt;&gt;"",IF(INDEX(C_Pavement!$F$5:$F$204,$AQ879)="-","",INDEX(C_Pavement!$F$5:$F$204,$AQ879)),IF($AS879="","",INDEX(E_Rules!$E$5:$E$9,$AS879))))</f>
        <v/>
      </c>
      <c r="AW879" t="str">
        <f>IF($AQ879="","",IF(INDEX(C_Pavement!$G$5:$G$204,$AQ879)&lt;&gt;"",IF(INDEX(C_Pavement!$G$5:$G$204,$AQ879)="-","",INDEX(C_Pavement!$G$5:$G$204,$AQ879)),IF($AS879="","",INDEX(E_Rules!$F$5:$F$9,$AS879))))</f>
        <v/>
      </c>
      <c r="AX879" t="str">
        <f>IF($AQ879="","",IF(INDEX(C_Pavement!$H$5:$H$204,$AQ879)&lt;&gt;"",IF(INDEX(C_Pavement!$H$5:$H$204,$AQ879)="-","",INDEX(C_Pavement!$H$5:$H$204,$AQ879)),IF($AS879="","",INDEX(E_Rules!$G$5:$G$9,$AS879))))</f>
        <v/>
      </c>
      <c r="AY879" t="str">
        <f>IF($AQ879="","",IF(INDEX(C_Pavement!$I$5:$I$204,$AQ879)&lt;&gt;"",IF(INDEX(C_Pavement!$I$5:$I$204,$AQ879)="-","",INDEX(C_Pavement!$I$5:$I$204,$AQ879)),IF($AS879="","",INDEX(E_Rules!$H$5:$H$9,$AS879))))</f>
        <v/>
      </c>
    </row>
    <row r="880" spans="1:51" ht="15.75" customHeight="1" x14ac:dyDescent="0.3">
      <c r="A880" s="189">
        <v>875</v>
      </c>
      <c r="B880" s="180">
        <v>43700</v>
      </c>
      <c r="C880" s="180" t="s">
        <v>1186</v>
      </c>
      <c r="D880" s="181" t="str">
        <f>IFERROR(LOOKUP(2,1/((A_Corridor!$A$5:$A$204&lt;&gt;"")*(A_Corridor!$A$5:$A$204&lt;=$B880)*(A_Corridor!$B$5:$B$204&gt;$B880)*(A_Corridor!$C$5:$C$204&lt;&gt;"")),IF(UPPER(A_Corridor!$C$5:$C$204)="Y",1,"")),"")</f>
        <v/>
      </c>
      <c r="E880" s="181" t="str">
        <f>IFERROR(LOOKUP(2,1/((A_Corridor!$A$5:$A$204&lt;&gt;"")*(A_Corridor!$A$5:$A$204&lt;=$B880)*(A_Corridor!$B$5:$B$204&gt;$B880)*(A_Corridor!$D$5:$D$204&lt;&gt;"")),IF(A_Corridor!$D$5:$D$204="-","",UPPER(A_Corridor!$D$5:$D$204))),"")</f>
        <v/>
      </c>
      <c r="F880" s="181" t="str">
        <f>IFERROR(LOOKUP(2,1/((A_Corridor!$A$5:$A$204&lt;&gt;"")*(A_Corridor!$A$5:$A$204&lt;=$B880)*(A_Corridor!$B$5:$B$204&gt;$B880)*(A_Corridor!$E$5:$E$204&lt;&gt;"")),IF(A_Corridor!$E$5:$E$204="-","",1)),"")</f>
        <v/>
      </c>
      <c r="G880" s="182" t="str">
        <f>IFERROR(LOOKUP(2,1/((A_Corridor!$A$5:$A$204&lt;&gt;"")*(A_Corridor!$A$5:$A$204&lt;=$B880)*(A_Corridor!$B$5:$B$204&gt;$B880)*(A_Corridor!$E$5:$E$204&lt;&gt;"")),IF(A_Corridor!$E$5:$E$204="-","",A_Corridor!$E$5:$E$204)),"")</f>
        <v/>
      </c>
      <c r="H880" s="182" t="str">
        <f>IFERROR(LOOKUP(2,1/((D_Points!$A$5:$A$204&lt;&gt;"")*(D_Points!$A$5:$A$204&gt;=$B880)*(D_Points!$A$5:$A$204&lt;$B880+P_Interval)*(UPPER(TRIM(D_Points!$B$5:$B$204))="GULLY")*(D_Points!$H$5:$H$204&lt;&gt;"")),D_Points!$H$5:$H$204),"")</f>
        <v/>
      </c>
      <c r="I880" s="181" t="str">
        <f>IFERROR(LOOKUP(2,1/((A_Corridor!$A$5:$A$204&lt;&gt;"")*(A_Corridor!$A$5:$A$204&lt;=$B880)*(A_Corridor!$B$5:$B$204&gt;$B880)*(A_Corridor!$F$5:$F$204&lt;&gt;"")),IF(A_Corridor!$F$5:$F$204="-","",1)),"")</f>
        <v/>
      </c>
      <c r="J880" s="182" t="str">
        <f>IFERROR(LOOKUP(2,1/((A_Corridor!$A$5:$A$204&lt;&gt;"")*(A_Corridor!$A$5:$A$204&lt;=$B880)*(A_Corridor!$B$5:$B$204&gt;$B880)*(A_Corridor!$F$5:$F$204&lt;&gt;"")),IF(A_Corridor!$F$5:$F$204="-","",A_Corridor!$F$5:$F$204)),"")</f>
        <v/>
      </c>
      <c r="K880" s="182" t="str">
        <f>IFERROR(LOOKUP(2,1/((A_Corridor!$A$5:$A$204&lt;&gt;"")*(A_Corridor!$A$5:$A$204&lt;=$B880)*(A_Corridor!$B$5:$B$204&gt;$B880)*(A_Corridor!$G$5:$G$204&lt;&gt;"")),IF(A_Corridor!$G$5:$G$204="-","",A_Corridor!$G$5:$G$204)),"")</f>
        <v/>
      </c>
      <c r="L880" s="181" t="str">
        <f>IFERROR(LOOKUP(2,1/((A_Corridor!$A$5:$A$204&lt;&gt;"")*(A_Corridor!$A$5:$A$204&lt;=$B880)*(A_Corridor!$B$5:$B$204&gt;$B880)*(A_Corridor!$H$5:$H$204&lt;&gt;"")),IF(A_Corridor!$H$5:$H$204="-","",1)),"")</f>
        <v/>
      </c>
      <c r="M880" s="182" t="str">
        <f>IFERROR(LOOKUP(2,1/((A_Corridor!$A$5:$A$204&lt;&gt;"")*(A_Corridor!$A$5:$A$204&lt;=$B880)*(A_Corridor!$B$5:$B$204&gt;$B880)*(A_Corridor!$H$5:$H$204&lt;&gt;"")),IF(A_Corridor!$H$5:$H$204="-","",A_Corridor!$H$5:$H$204)),"")</f>
        <v/>
      </c>
      <c r="N880" s="182" t="str">
        <f>IFERROR(LOOKUP(2,1/((A_Corridor!$A$5:$A$204&lt;&gt;"")*(A_Corridor!$A$5:$A$204&lt;=$B880)*(A_Corridor!$B$5:$B$204&gt;$B880)*(A_Corridor!$I$5:$I$204&lt;&gt;"")),IF(A_Corridor!$I$5:$I$204="-","",A_Corridor!$I$5:$I$204)),"")</f>
        <v/>
      </c>
      <c r="O880" s="182" t="str">
        <f>IFERROR(LOOKUP(2,1/((D_Points!$A$5:$A$204&lt;&gt;"")*(D_Points!$A$5:$A$204&gt;=$B880)*(D_Points!$A$5:$A$204&lt;$B880+P_Interval)*(UPPER(TRIM(D_Points!$B$5:$B$204))="PITCHING")*(D_Points!$H$5:$H$204&lt;&gt;"")),D_Points!$H$5:$H$204),"")</f>
        <v/>
      </c>
      <c r="P880" s="181" t="str">
        <f>IFERROR(LOOKUP(2,1/((B_Drainage!$A$5:$A$204&lt;&gt;"")*(B_Drainage!$A$5:$A$204&lt;=$B880)*(B_Drainage!$B$5:$B$204&gt;$B880)*(B_Drainage!$C$5:$C$204&lt;&gt;"")),IF(B_Drainage!$C$5:$C$204="-","",UPPER(B_Drainage!$C$5:$C$204))),"")</f>
        <v/>
      </c>
      <c r="Q880" s="181" t="str">
        <f>IFERROR(LOOKUP(2,1/((B_Drainage!$A$5:$A$204&lt;&gt;"")*(B_Drainage!$A$5:$A$204&lt;=$B880)*(B_Drainage!$B$5:$B$204&gt;$B880)*(B_Drainage!$D$5:$D$204&lt;&gt;"")),IF(B_Drainage!$D$5:$D$204="-","",UPPER(B_Drainage!$D$5:$D$204))),"")</f>
        <v/>
      </c>
      <c r="R880" s="182" t="str">
        <f>IFERROR(LOOKUP(2,1/((D_Points!$A$5:$A$204&lt;&gt;"")*(D_Points!$A$5:$A$204&gt;=$B880)*(D_Points!$A$5:$A$204&lt;$B880+P_Interval)*(RIGHT(UPPER(TRIM(D_Points!$B$5:$B$204)),8)="_CULVERT")),IF(LEFT(UPPER(TRIM(D_Points!$B$5:$B$204)),2)="EX",1,IF(LEFT(UPPER(TRIM(D_Points!$B$5:$B$204)),2)="PR",2,3))),"")</f>
        <v/>
      </c>
      <c r="S880" s="182" t="str">
        <f>IFERROR(LOOKUP(2,1/((D_Points!$A$5:$A$204&lt;&gt;"")*(D_Points!$A$5:$A$204&gt;=$B880)*(D_Points!$A$5:$A$204&lt;$B880+P_Interval)*(RIGHT(UPPER(TRIM(D_Points!$B$5:$B$204)),7)="_BRIDGE")),IF(LEFT(UPPER(TRIM(D_Points!$B$5:$B$204)),2)="EX",1,IF(LEFT(UPPER(TRIM(D_Points!$B$5:$B$204)),2)="PR",2,2))),"")</f>
        <v/>
      </c>
      <c r="T880" s="181" t="str">
        <f>IFERROR(LOOKUP(2,1/((B_Drainage!$A$5:$A$204&lt;&gt;"")*(B_Drainage!$A$5:$A$204&lt;=$B880)*(B_Drainage!$B$5:$B$204&gt;$B880)*(B_Drainage!$E$5:$E$204&lt;&gt;"")),IF(B_Drainage!$E$5:$E$204="-","",1)),"")</f>
        <v/>
      </c>
      <c r="U880" s="181" t="str">
        <f>IFERROR(LOOKUP(2,1/((B_Drainage!$A$5:$A$204&lt;&gt;"")*(B_Drainage!$A$5:$A$204&lt;=$B880)*(B_Drainage!$B$5:$B$204&gt;$B880)*(B_Drainage!$E$5:$E$204&lt;&gt;"")),IF(B_Drainage!$E$5:$E$204="-","",B_Drainage!$E$5:$E$204)),"")</f>
        <v/>
      </c>
      <c r="V880" s="181" t="str">
        <f>IFERROR(LOOKUP(2,1/((B_Drainage!$A$5:$A$204&lt;&gt;"")*(B_Drainage!$A$5:$A$204&lt;=$B880)*(B_Drainage!$B$5:$B$204&gt;$B880)*(B_Drainage!$F$5:$F$204&lt;&gt;"")),IF(B_Drainage!$F$5:$F$204="-","",1)),"")</f>
        <v/>
      </c>
      <c r="W880" s="181" t="str">
        <f>IFERROR(LOOKUP(2,1/((B_Drainage!$A$5:$A$204&lt;&gt;"")*(B_Drainage!$A$5:$A$204&lt;=$B880)*(B_Drainage!$B$5:$B$204&gt;$B880)*(B_Drainage!$F$5:$F$204&lt;&gt;"")),IF(B_Drainage!$F$5:$F$204="-","",B_Drainage!$F$5:$F$204)),"")</f>
        <v/>
      </c>
      <c r="X880" s="181" t="str">
        <f>IFERROR(LOOKUP(2,1/((B_Drainage!$A$5:$A$204&lt;&gt;"")*(B_Drainage!$A$5:$A$204&lt;=$B880)*(B_Drainage!$B$5:$B$204&gt;$B880)*(B_Drainage!$G$5:$G$204&lt;&gt;"")),IF(UPPER(B_Drainage!$G$5:$G$204)="Y",1,"")),"")</f>
        <v/>
      </c>
      <c r="Y880" s="181" t="str">
        <f>IFERROR(LOOKUP(2,1/((B_Drainage!$A$5:$A$204&lt;&gt;"")*(B_Drainage!$A$5:$A$204&lt;=$B880)*(B_Drainage!$B$5:$B$204&gt;$B880)*(B_Drainage!$H$5:$H$204&lt;&gt;"")),IF(UPPER(B_Drainage!$H$5:$H$204)="Y",1,"")),"")</f>
        <v/>
      </c>
      <c r="Z880" s="181" t="str">
        <f>IFERROR(LOOKUP(2,1/((B_Drainage!$A$5:$A$204&lt;&gt;"")*(B_Drainage!$A$5:$A$204&lt;=$B880)*(B_Drainage!$B$5:$B$204&gt;$B880)*(B_Drainage!$I$5:$I$204&lt;&gt;"")),IF(UPPER(B_Drainage!$I$5:$I$204)="Y",1,"")),"")</f>
        <v/>
      </c>
      <c r="AA880" s="181" t="str">
        <f>IFERROR(LOOKUP(2,1/((B_Drainage!$A$5:$A$204&lt;&gt;"")*(B_Drainage!$A$5:$A$204&lt;=$B880)*(B_Drainage!$B$5:$B$204&gt;$B880)*(B_Drainage!$J$5:$J$204&lt;&gt;"")),IF(UPPER(B_Drainage!$J$5:$J$204)="Y",1,"")),"")</f>
        <v/>
      </c>
      <c r="AB880" s="182" t="str">
        <f>IFERROR(LOOKUP(2,1/((B_Drainage!$A$5:$A$204&lt;&gt;"")*(B_Drainage!$A$5:$A$204&lt;=$B880)*(B_Drainage!$B$5:$B$204&gt;$B880)*(B_Drainage!$K$5:$K$204&lt;&gt;"")),IF(B_Drainage!$K$5:$K$204="-","",B_Drainage!$K$5:$K$204)),"")</f>
        <v/>
      </c>
      <c r="AC880" s="182" t="str">
        <f>IFERROR(LOOKUP(2,1/((B_Drainage!$A$5:$A$204&lt;&gt;"")*(B_Drainage!$A$5:$A$204&lt;=$B880)*(B_Drainage!$B$5:$B$204&gt;$B880)*(B_Drainage!$L$5:$L$204&lt;&gt;"")),IF(B_Drainage!$L$5:$L$204="-","",B_Drainage!$L$5:$L$204)),"")</f>
        <v/>
      </c>
      <c r="AD880" s="182" t="str">
        <f>IFERROR(LOOKUP(2,1/((D_Points!$A$5:$A$204&lt;&gt;"")*(D_Points!$A$5:$A$204&gt;=$B880)*(D_Points!$A$5:$A$204&lt;$B880+P_Interval)*(UPPER(TRIM(D_Points!$B$5:$B$204))="TURNOUT_L")*(D_Points!$H$5:$H$204&lt;&gt;"")),D_Points!$H$5:$H$204),"")</f>
        <v/>
      </c>
      <c r="AE880" s="182" t="str">
        <f>IFERROR(LOOKUP(2,1/((D_Points!$A$5:$A$204&lt;&gt;"")*(D_Points!$A$5:$A$204&gt;=$B880)*(D_Points!$A$5:$A$204&lt;$B880+P_Interval)*(UPPER(TRIM(D_Points!$B$5:$B$204))="TURNOUT_R")*(D_Points!$H$5:$H$204&lt;&gt;"")),D_Points!$H$5:$H$204),"")</f>
        <v/>
      </c>
      <c r="AF880" s="181" t="str">
        <f>IFERROR(LOOKUP(2,1/((B_Drainage!$A$5:$A$204&lt;&gt;"")*(B_Drainage!$A$5:$A$204&lt;=$B880)*(B_Drainage!$B$5:$B$204&gt;$B880)*(B_Drainage!$M$5:$M$204&lt;&gt;"")),IF(UPPER(B_Drainage!$M$5:$M$204)="Y",1,"")),"")</f>
        <v/>
      </c>
      <c r="AG880" s="181" t="str">
        <f>IFERROR(LOOKUP(2,1/((B_Drainage!$A$5:$A$204&lt;&gt;"")*(B_Drainage!$A$5:$A$204&lt;=$B880)*(B_Drainage!$B$5:$B$204&gt;$B880)*(B_Drainage!$N$5:$N$204&lt;&gt;"")),IF(UPPER(B_Drainage!$N$5:$N$204)="Y",1,"")),"")</f>
        <v/>
      </c>
      <c r="AH880" s="181" t="str">
        <f t="shared" si="104"/>
        <v/>
      </c>
      <c r="AI880" s="181" t="str">
        <f t="shared" si="105"/>
        <v/>
      </c>
      <c r="AJ880" s="181" t="str">
        <f t="shared" si="106"/>
        <v/>
      </c>
      <c r="AK880" s="181" t="str">
        <f t="shared" si="107"/>
        <v/>
      </c>
      <c r="AL880" s="181" t="str">
        <f t="shared" si="108"/>
        <v/>
      </c>
      <c r="AM880" s="181" t="str">
        <f t="shared" si="109"/>
        <v/>
      </c>
      <c r="AN880" s="181" t="str">
        <f t="shared" si="110"/>
        <v/>
      </c>
      <c r="AO880" s="192" t="str">
        <f t="shared" si="111"/>
        <v/>
      </c>
      <c r="AQ880" t="str">
        <f>IFERROR(LOOKUP(2,1/((C_Pavement!$A$5:$A$204&lt;&gt;"")*(C_Pavement!$A$5:$A$204&lt;=$B880)*(C_Pavement!$B$5:$B$204&gt;$B880)*(C_Pavement!$C$5:$C$204&lt;&gt;"")),ROW(C_Pavement!$C$5:$C$204)-4),"")</f>
        <v/>
      </c>
      <c r="AR880" t="str">
        <f>IF($AQ880="","",UPPER(TRIM(INDEX(C_Pavement!$C$5:$C$204,$AQ880))))</f>
        <v/>
      </c>
      <c r="AS880" t="str">
        <f>IF($AR880="","",IFERROR(MATCH($AR880,E_Rules!$A$5:$A$9,0),""))</f>
        <v/>
      </c>
      <c r="AT880" t="str">
        <f>IF($AQ880="","",IF(INDEX(C_Pavement!$D$5:$D$204,$AQ880)&lt;&gt;"",UPPER(TRIM(INDEX(C_Pavement!$D$5:$D$204,$AQ880))),IF($AS880="","",INDEX(E_Rules!$C$5:$C$9,$AS880))))</f>
        <v/>
      </c>
      <c r="AU880" t="str">
        <f>IF($AQ880="","",IF(INDEX(C_Pavement!$E$5:$E$204,$AQ880)&lt;&gt;"",IF(INDEX(C_Pavement!$E$5:$E$204,$AQ880)="-","",INDEX(C_Pavement!$E$5:$E$204,$AQ880)),IF($AS880="","",INDEX(E_Rules!$D$5:$D$9,$AS880))))</f>
        <v/>
      </c>
      <c r="AV880" t="str">
        <f>IF($AQ880="","",IF(INDEX(C_Pavement!$F$5:$F$204,$AQ880)&lt;&gt;"",IF(INDEX(C_Pavement!$F$5:$F$204,$AQ880)="-","",INDEX(C_Pavement!$F$5:$F$204,$AQ880)),IF($AS880="","",INDEX(E_Rules!$E$5:$E$9,$AS880))))</f>
        <v/>
      </c>
      <c r="AW880" t="str">
        <f>IF($AQ880="","",IF(INDEX(C_Pavement!$G$5:$G$204,$AQ880)&lt;&gt;"",IF(INDEX(C_Pavement!$G$5:$G$204,$AQ880)="-","",INDEX(C_Pavement!$G$5:$G$204,$AQ880)),IF($AS880="","",INDEX(E_Rules!$F$5:$F$9,$AS880))))</f>
        <v/>
      </c>
      <c r="AX880" t="str">
        <f>IF($AQ880="","",IF(INDEX(C_Pavement!$H$5:$H$204,$AQ880)&lt;&gt;"",IF(INDEX(C_Pavement!$H$5:$H$204,$AQ880)="-","",INDEX(C_Pavement!$H$5:$H$204,$AQ880)),IF($AS880="","",INDEX(E_Rules!$G$5:$G$9,$AS880))))</f>
        <v/>
      </c>
      <c r="AY880" t="str">
        <f>IF($AQ880="","",IF(INDEX(C_Pavement!$I$5:$I$204,$AQ880)&lt;&gt;"",IF(INDEX(C_Pavement!$I$5:$I$204,$AQ880)="-","",INDEX(C_Pavement!$I$5:$I$204,$AQ880)),IF($AS880="","",INDEX(E_Rules!$H$5:$H$9,$AS880))))</f>
        <v/>
      </c>
    </row>
    <row r="881" spans="1:51" ht="15.75" customHeight="1" x14ac:dyDescent="0.3">
      <c r="A881" s="189">
        <v>876</v>
      </c>
      <c r="B881" s="180">
        <v>43750</v>
      </c>
      <c r="C881" s="180" t="s">
        <v>1187</v>
      </c>
      <c r="D881" s="181" t="str">
        <f>IFERROR(LOOKUP(2,1/((A_Corridor!$A$5:$A$204&lt;&gt;"")*(A_Corridor!$A$5:$A$204&lt;=$B881)*(A_Corridor!$B$5:$B$204&gt;$B881)*(A_Corridor!$C$5:$C$204&lt;&gt;"")),IF(UPPER(A_Corridor!$C$5:$C$204)="Y",1,"")),"")</f>
        <v/>
      </c>
      <c r="E881" s="181" t="str">
        <f>IFERROR(LOOKUP(2,1/((A_Corridor!$A$5:$A$204&lt;&gt;"")*(A_Corridor!$A$5:$A$204&lt;=$B881)*(A_Corridor!$B$5:$B$204&gt;$B881)*(A_Corridor!$D$5:$D$204&lt;&gt;"")),IF(A_Corridor!$D$5:$D$204="-","",UPPER(A_Corridor!$D$5:$D$204))),"")</f>
        <v/>
      </c>
      <c r="F881" s="181" t="str">
        <f>IFERROR(LOOKUP(2,1/((A_Corridor!$A$5:$A$204&lt;&gt;"")*(A_Corridor!$A$5:$A$204&lt;=$B881)*(A_Corridor!$B$5:$B$204&gt;$B881)*(A_Corridor!$E$5:$E$204&lt;&gt;"")),IF(A_Corridor!$E$5:$E$204="-","",1)),"")</f>
        <v/>
      </c>
      <c r="G881" s="182" t="str">
        <f>IFERROR(LOOKUP(2,1/((A_Corridor!$A$5:$A$204&lt;&gt;"")*(A_Corridor!$A$5:$A$204&lt;=$B881)*(A_Corridor!$B$5:$B$204&gt;$B881)*(A_Corridor!$E$5:$E$204&lt;&gt;"")),IF(A_Corridor!$E$5:$E$204="-","",A_Corridor!$E$5:$E$204)),"")</f>
        <v/>
      </c>
      <c r="H881" s="182" t="str">
        <f>IFERROR(LOOKUP(2,1/((D_Points!$A$5:$A$204&lt;&gt;"")*(D_Points!$A$5:$A$204&gt;=$B881)*(D_Points!$A$5:$A$204&lt;$B881+P_Interval)*(UPPER(TRIM(D_Points!$B$5:$B$204))="GULLY")*(D_Points!$H$5:$H$204&lt;&gt;"")),D_Points!$H$5:$H$204),"")</f>
        <v/>
      </c>
      <c r="I881" s="181" t="str">
        <f>IFERROR(LOOKUP(2,1/((A_Corridor!$A$5:$A$204&lt;&gt;"")*(A_Corridor!$A$5:$A$204&lt;=$B881)*(A_Corridor!$B$5:$B$204&gt;$B881)*(A_Corridor!$F$5:$F$204&lt;&gt;"")),IF(A_Corridor!$F$5:$F$204="-","",1)),"")</f>
        <v/>
      </c>
      <c r="J881" s="182" t="str">
        <f>IFERROR(LOOKUP(2,1/((A_Corridor!$A$5:$A$204&lt;&gt;"")*(A_Corridor!$A$5:$A$204&lt;=$B881)*(A_Corridor!$B$5:$B$204&gt;$B881)*(A_Corridor!$F$5:$F$204&lt;&gt;"")),IF(A_Corridor!$F$5:$F$204="-","",A_Corridor!$F$5:$F$204)),"")</f>
        <v/>
      </c>
      <c r="K881" s="182" t="str">
        <f>IFERROR(LOOKUP(2,1/((A_Corridor!$A$5:$A$204&lt;&gt;"")*(A_Corridor!$A$5:$A$204&lt;=$B881)*(A_Corridor!$B$5:$B$204&gt;$B881)*(A_Corridor!$G$5:$G$204&lt;&gt;"")),IF(A_Corridor!$G$5:$G$204="-","",A_Corridor!$G$5:$G$204)),"")</f>
        <v/>
      </c>
      <c r="L881" s="181" t="str">
        <f>IFERROR(LOOKUP(2,1/((A_Corridor!$A$5:$A$204&lt;&gt;"")*(A_Corridor!$A$5:$A$204&lt;=$B881)*(A_Corridor!$B$5:$B$204&gt;$B881)*(A_Corridor!$H$5:$H$204&lt;&gt;"")),IF(A_Corridor!$H$5:$H$204="-","",1)),"")</f>
        <v/>
      </c>
      <c r="M881" s="182" t="str">
        <f>IFERROR(LOOKUP(2,1/((A_Corridor!$A$5:$A$204&lt;&gt;"")*(A_Corridor!$A$5:$A$204&lt;=$B881)*(A_Corridor!$B$5:$B$204&gt;$B881)*(A_Corridor!$H$5:$H$204&lt;&gt;"")),IF(A_Corridor!$H$5:$H$204="-","",A_Corridor!$H$5:$H$204)),"")</f>
        <v/>
      </c>
      <c r="N881" s="182" t="str">
        <f>IFERROR(LOOKUP(2,1/((A_Corridor!$A$5:$A$204&lt;&gt;"")*(A_Corridor!$A$5:$A$204&lt;=$B881)*(A_Corridor!$B$5:$B$204&gt;$B881)*(A_Corridor!$I$5:$I$204&lt;&gt;"")),IF(A_Corridor!$I$5:$I$204="-","",A_Corridor!$I$5:$I$204)),"")</f>
        <v/>
      </c>
      <c r="O881" s="182" t="str">
        <f>IFERROR(LOOKUP(2,1/((D_Points!$A$5:$A$204&lt;&gt;"")*(D_Points!$A$5:$A$204&gt;=$B881)*(D_Points!$A$5:$A$204&lt;$B881+P_Interval)*(UPPER(TRIM(D_Points!$B$5:$B$204))="PITCHING")*(D_Points!$H$5:$H$204&lt;&gt;"")),D_Points!$H$5:$H$204),"")</f>
        <v/>
      </c>
      <c r="P881" s="181" t="str">
        <f>IFERROR(LOOKUP(2,1/((B_Drainage!$A$5:$A$204&lt;&gt;"")*(B_Drainage!$A$5:$A$204&lt;=$B881)*(B_Drainage!$B$5:$B$204&gt;$B881)*(B_Drainage!$C$5:$C$204&lt;&gt;"")),IF(B_Drainage!$C$5:$C$204="-","",UPPER(B_Drainage!$C$5:$C$204))),"")</f>
        <v/>
      </c>
      <c r="Q881" s="181" t="str">
        <f>IFERROR(LOOKUP(2,1/((B_Drainage!$A$5:$A$204&lt;&gt;"")*(B_Drainage!$A$5:$A$204&lt;=$B881)*(B_Drainage!$B$5:$B$204&gt;$B881)*(B_Drainage!$D$5:$D$204&lt;&gt;"")),IF(B_Drainage!$D$5:$D$204="-","",UPPER(B_Drainage!$D$5:$D$204))),"")</f>
        <v/>
      </c>
      <c r="R881" s="182" t="str">
        <f>IFERROR(LOOKUP(2,1/((D_Points!$A$5:$A$204&lt;&gt;"")*(D_Points!$A$5:$A$204&gt;=$B881)*(D_Points!$A$5:$A$204&lt;$B881+P_Interval)*(RIGHT(UPPER(TRIM(D_Points!$B$5:$B$204)),8)="_CULVERT")),IF(LEFT(UPPER(TRIM(D_Points!$B$5:$B$204)),2)="EX",1,IF(LEFT(UPPER(TRIM(D_Points!$B$5:$B$204)),2)="PR",2,3))),"")</f>
        <v/>
      </c>
      <c r="S881" s="182" t="str">
        <f>IFERROR(LOOKUP(2,1/((D_Points!$A$5:$A$204&lt;&gt;"")*(D_Points!$A$5:$A$204&gt;=$B881)*(D_Points!$A$5:$A$204&lt;$B881+P_Interval)*(RIGHT(UPPER(TRIM(D_Points!$B$5:$B$204)),7)="_BRIDGE")),IF(LEFT(UPPER(TRIM(D_Points!$B$5:$B$204)),2)="EX",1,IF(LEFT(UPPER(TRIM(D_Points!$B$5:$B$204)),2)="PR",2,2))),"")</f>
        <v/>
      </c>
      <c r="T881" s="181" t="str">
        <f>IFERROR(LOOKUP(2,1/((B_Drainage!$A$5:$A$204&lt;&gt;"")*(B_Drainage!$A$5:$A$204&lt;=$B881)*(B_Drainage!$B$5:$B$204&gt;$B881)*(B_Drainage!$E$5:$E$204&lt;&gt;"")),IF(B_Drainage!$E$5:$E$204="-","",1)),"")</f>
        <v/>
      </c>
      <c r="U881" s="181" t="str">
        <f>IFERROR(LOOKUP(2,1/((B_Drainage!$A$5:$A$204&lt;&gt;"")*(B_Drainage!$A$5:$A$204&lt;=$B881)*(B_Drainage!$B$5:$B$204&gt;$B881)*(B_Drainage!$E$5:$E$204&lt;&gt;"")),IF(B_Drainage!$E$5:$E$204="-","",B_Drainage!$E$5:$E$204)),"")</f>
        <v/>
      </c>
      <c r="V881" s="181" t="str">
        <f>IFERROR(LOOKUP(2,1/((B_Drainage!$A$5:$A$204&lt;&gt;"")*(B_Drainage!$A$5:$A$204&lt;=$B881)*(B_Drainage!$B$5:$B$204&gt;$B881)*(B_Drainage!$F$5:$F$204&lt;&gt;"")),IF(B_Drainage!$F$5:$F$204="-","",1)),"")</f>
        <v/>
      </c>
      <c r="W881" s="181" t="str">
        <f>IFERROR(LOOKUP(2,1/((B_Drainage!$A$5:$A$204&lt;&gt;"")*(B_Drainage!$A$5:$A$204&lt;=$B881)*(B_Drainage!$B$5:$B$204&gt;$B881)*(B_Drainage!$F$5:$F$204&lt;&gt;"")),IF(B_Drainage!$F$5:$F$204="-","",B_Drainage!$F$5:$F$204)),"")</f>
        <v/>
      </c>
      <c r="X881" s="181" t="str">
        <f>IFERROR(LOOKUP(2,1/((B_Drainage!$A$5:$A$204&lt;&gt;"")*(B_Drainage!$A$5:$A$204&lt;=$B881)*(B_Drainage!$B$5:$B$204&gt;$B881)*(B_Drainage!$G$5:$G$204&lt;&gt;"")),IF(UPPER(B_Drainage!$G$5:$G$204)="Y",1,"")),"")</f>
        <v/>
      </c>
      <c r="Y881" s="181" t="str">
        <f>IFERROR(LOOKUP(2,1/((B_Drainage!$A$5:$A$204&lt;&gt;"")*(B_Drainage!$A$5:$A$204&lt;=$B881)*(B_Drainage!$B$5:$B$204&gt;$B881)*(B_Drainage!$H$5:$H$204&lt;&gt;"")),IF(UPPER(B_Drainage!$H$5:$H$204)="Y",1,"")),"")</f>
        <v/>
      </c>
      <c r="Z881" s="181" t="str">
        <f>IFERROR(LOOKUP(2,1/((B_Drainage!$A$5:$A$204&lt;&gt;"")*(B_Drainage!$A$5:$A$204&lt;=$B881)*(B_Drainage!$B$5:$B$204&gt;$B881)*(B_Drainage!$I$5:$I$204&lt;&gt;"")),IF(UPPER(B_Drainage!$I$5:$I$204)="Y",1,"")),"")</f>
        <v/>
      </c>
      <c r="AA881" s="181" t="str">
        <f>IFERROR(LOOKUP(2,1/((B_Drainage!$A$5:$A$204&lt;&gt;"")*(B_Drainage!$A$5:$A$204&lt;=$B881)*(B_Drainage!$B$5:$B$204&gt;$B881)*(B_Drainage!$J$5:$J$204&lt;&gt;"")),IF(UPPER(B_Drainage!$J$5:$J$204)="Y",1,"")),"")</f>
        <v/>
      </c>
      <c r="AB881" s="182" t="str">
        <f>IFERROR(LOOKUP(2,1/((B_Drainage!$A$5:$A$204&lt;&gt;"")*(B_Drainage!$A$5:$A$204&lt;=$B881)*(B_Drainage!$B$5:$B$204&gt;$B881)*(B_Drainage!$K$5:$K$204&lt;&gt;"")),IF(B_Drainage!$K$5:$K$204="-","",B_Drainage!$K$5:$K$204)),"")</f>
        <v/>
      </c>
      <c r="AC881" s="182" t="str">
        <f>IFERROR(LOOKUP(2,1/((B_Drainage!$A$5:$A$204&lt;&gt;"")*(B_Drainage!$A$5:$A$204&lt;=$B881)*(B_Drainage!$B$5:$B$204&gt;$B881)*(B_Drainage!$L$5:$L$204&lt;&gt;"")),IF(B_Drainage!$L$5:$L$204="-","",B_Drainage!$L$5:$L$204)),"")</f>
        <v/>
      </c>
      <c r="AD881" s="182" t="str">
        <f>IFERROR(LOOKUP(2,1/((D_Points!$A$5:$A$204&lt;&gt;"")*(D_Points!$A$5:$A$204&gt;=$B881)*(D_Points!$A$5:$A$204&lt;$B881+P_Interval)*(UPPER(TRIM(D_Points!$B$5:$B$204))="TURNOUT_L")*(D_Points!$H$5:$H$204&lt;&gt;"")),D_Points!$H$5:$H$204),"")</f>
        <v/>
      </c>
      <c r="AE881" s="182" t="str">
        <f>IFERROR(LOOKUP(2,1/((D_Points!$A$5:$A$204&lt;&gt;"")*(D_Points!$A$5:$A$204&gt;=$B881)*(D_Points!$A$5:$A$204&lt;$B881+P_Interval)*(UPPER(TRIM(D_Points!$B$5:$B$204))="TURNOUT_R")*(D_Points!$H$5:$H$204&lt;&gt;"")),D_Points!$H$5:$H$204),"")</f>
        <v/>
      </c>
      <c r="AF881" s="181" t="str">
        <f>IFERROR(LOOKUP(2,1/((B_Drainage!$A$5:$A$204&lt;&gt;"")*(B_Drainage!$A$5:$A$204&lt;=$B881)*(B_Drainage!$B$5:$B$204&gt;$B881)*(B_Drainage!$M$5:$M$204&lt;&gt;"")),IF(UPPER(B_Drainage!$M$5:$M$204)="Y",1,"")),"")</f>
        <v/>
      </c>
      <c r="AG881" s="181" t="str">
        <f>IFERROR(LOOKUP(2,1/((B_Drainage!$A$5:$A$204&lt;&gt;"")*(B_Drainage!$A$5:$A$204&lt;=$B881)*(B_Drainage!$B$5:$B$204&gt;$B881)*(B_Drainage!$N$5:$N$204&lt;&gt;"")),IF(UPPER(B_Drainage!$N$5:$N$204)="Y",1,"")),"")</f>
        <v/>
      </c>
      <c r="AH881" s="181" t="str">
        <f t="shared" si="104"/>
        <v/>
      </c>
      <c r="AI881" s="181" t="str">
        <f t="shared" si="105"/>
        <v/>
      </c>
      <c r="AJ881" s="181" t="str">
        <f t="shared" si="106"/>
        <v/>
      </c>
      <c r="AK881" s="181" t="str">
        <f t="shared" si="107"/>
        <v/>
      </c>
      <c r="AL881" s="181" t="str">
        <f t="shared" si="108"/>
        <v/>
      </c>
      <c r="AM881" s="181" t="str">
        <f t="shared" si="109"/>
        <v/>
      </c>
      <c r="AN881" s="181" t="str">
        <f t="shared" si="110"/>
        <v/>
      </c>
      <c r="AO881" s="192" t="str">
        <f t="shared" si="111"/>
        <v/>
      </c>
      <c r="AQ881" t="str">
        <f>IFERROR(LOOKUP(2,1/((C_Pavement!$A$5:$A$204&lt;&gt;"")*(C_Pavement!$A$5:$A$204&lt;=$B881)*(C_Pavement!$B$5:$B$204&gt;$B881)*(C_Pavement!$C$5:$C$204&lt;&gt;"")),ROW(C_Pavement!$C$5:$C$204)-4),"")</f>
        <v/>
      </c>
      <c r="AR881" t="str">
        <f>IF($AQ881="","",UPPER(TRIM(INDEX(C_Pavement!$C$5:$C$204,$AQ881))))</f>
        <v/>
      </c>
      <c r="AS881" t="str">
        <f>IF($AR881="","",IFERROR(MATCH($AR881,E_Rules!$A$5:$A$9,0),""))</f>
        <v/>
      </c>
      <c r="AT881" t="str">
        <f>IF($AQ881="","",IF(INDEX(C_Pavement!$D$5:$D$204,$AQ881)&lt;&gt;"",UPPER(TRIM(INDEX(C_Pavement!$D$5:$D$204,$AQ881))),IF($AS881="","",INDEX(E_Rules!$C$5:$C$9,$AS881))))</f>
        <v/>
      </c>
      <c r="AU881" t="str">
        <f>IF($AQ881="","",IF(INDEX(C_Pavement!$E$5:$E$204,$AQ881)&lt;&gt;"",IF(INDEX(C_Pavement!$E$5:$E$204,$AQ881)="-","",INDEX(C_Pavement!$E$5:$E$204,$AQ881)),IF($AS881="","",INDEX(E_Rules!$D$5:$D$9,$AS881))))</f>
        <v/>
      </c>
      <c r="AV881" t="str">
        <f>IF($AQ881="","",IF(INDEX(C_Pavement!$F$5:$F$204,$AQ881)&lt;&gt;"",IF(INDEX(C_Pavement!$F$5:$F$204,$AQ881)="-","",INDEX(C_Pavement!$F$5:$F$204,$AQ881)),IF($AS881="","",INDEX(E_Rules!$E$5:$E$9,$AS881))))</f>
        <v/>
      </c>
      <c r="AW881" t="str">
        <f>IF($AQ881="","",IF(INDEX(C_Pavement!$G$5:$G$204,$AQ881)&lt;&gt;"",IF(INDEX(C_Pavement!$G$5:$G$204,$AQ881)="-","",INDEX(C_Pavement!$G$5:$G$204,$AQ881)),IF($AS881="","",INDEX(E_Rules!$F$5:$F$9,$AS881))))</f>
        <v/>
      </c>
      <c r="AX881" t="str">
        <f>IF($AQ881="","",IF(INDEX(C_Pavement!$H$5:$H$204,$AQ881)&lt;&gt;"",IF(INDEX(C_Pavement!$H$5:$H$204,$AQ881)="-","",INDEX(C_Pavement!$H$5:$H$204,$AQ881)),IF($AS881="","",INDEX(E_Rules!$G$5:$G$9,$AS881))))</f>
        <v/>
      </c>
      <c r="AY881" t="str">
        <f>IF($AQ881="","",IF(INDEX(C_Pavement!$I$5:$I$204,$AQ881)&lt;&gt;"",IF(INDEX(C_Pavement!$I$5:$I$204,$AQ881)="-","",INDEX(C_Pavement!$I$5:$I$204,$AQ881)),IF($AS881="","",INDEX(E_Rules!$H$5:$H$9,$AS881))))</f>
        <v/>
      </c>
    </row>
    <row r="882" spans="1:51" ht="15.75" customHeight="1" x14ac:dyDescent="0.3">
      <c r="A882" s="189">
        <v>877</v>
      </c>
      <c r="B882" s="180">
        <v>43800</v>
      </c>
      <c r="C882" s="180" t="s">
        <v>1188</v>
      </c>
      <c r="D882" s="181" t="str">
        <f>IFERROR(LOOKUP(2,1/((A_Corridor!$A$5:$A$204&lt;&gt;"")*(A_Corridor!$A$5:$A$204&lt;=$B882)*(A_Corridor!$B$5:$B$204&gt;$B882)*(A_Corridor!$C$5:$C$204&lt;&gt;"")),IF(UPPER(A_Corridor!$C$5:$C$204)="Y",1,"")),"")</f>
        <v/>
      </c>
      <c r="E882" s="181" t="str">
        <f>IFERROR(LOOKUP(2,1/((A_Corridor!$A$5:$A$204&lt;&gt;"")*(A_Corridor!$A$5:$A$204&lt;=$B882)*(A_Corridor!$B$5:$B$204&gt;$B882)*(A_Corridor!$D$5:$D$204&lt;&gt;"")),IF(A_Corridor!$D$5:$D$204="-","",UPPER(A_Corridor!$D$5:$D$204))),"")</f>
        <v/>
      </c>
      <c r="F882" s="181" t="str">
        <f>IFERROR(LOOKUP(2,1/((A_Corridor!$A$5:$A$204&lt;&gt;"")*(A_Corridor!$A$5:$A$204&lt;=$B882)*(A_Corridor!$B$5:$B$204&gt;$B882)*(A_Corridor!$E$5:$E$204&lt;&gt;"")),IF(A_Corridor!$E$5:$E$204="-","",1)),"")</f>
        <v/>
      </c>
      <c r="G882" s="182" t="str">
        <f>IFERROR(LOOKUP(2,1/((A_Corridor!$A$5:$A$204&lt;&gt;"")*(A_Corridor!$A$5:$A$204&lt;=$B882)*(A_Corridor!$B$5:$B$204&gt;$B882)*(A_Corridor!$E$5:$E$204&lt;&gt;"")),IF(A_Corridor!$E$5:$E$204="-","",A_Corridor!$E$5:$E$204)),"")</f>
        <v/>
      </c>
      <c r="H882" s="182" t="str">
        <f>IFERROR(LOOKUP(2,1/((D_Points!$A$5:$A$204&lt;&gt;"")*(D_Points!$A$5:$A$204&gt;=$B882)*(D_Points!$A$5:$A$204&lt;$B882+P_Interval)*(UPPER(TRIM(D_Points!$B$5:$B$204))="GULLY")*(D_Points!$H$5:$H$204&lt;&gt;"")),D_Points!$H$5:$H$204),"")</f>
        <v/>
      </c>
      <c r="I882" s="181" t="str">
        <f>IFERROR(LOOKUP(2,1/((A_Corridor!$A$5:$A$204&lt;&gt;"")*(A_Corridor!$A$5:$A$204&lt;=$B882)*(A_Corridor!$B$5:$B$204&gt;$B882)*(A_Corridor!$F$5:$F$204&lt;&gt;"")),IF(A_Corridor!$F$5:$F$204="-","",1)),"")</f>
        <v/>
      </c>
      <c r="J882" s="182" t="str">
        <f>IFERROR(LOOKUP(2,1/((A_Corridor!$A$5:$A$204&lt;&gt;"")*(A_Corridor!$A$5:$A$204&lt;=$B882)*(A_Corridor!$B$5:$B$204&gt;$B882)*(A_Corridor!$F$5:$F$204&lt;&gt;"")),IF(A_Corridor!$F$5:$F$204="-","",A_Corridor!$F$5:$F$204)),"")</f>
        <v/>
      </c>
      <c r="K882" s="182" t="str">
        <f>IFERROR(LOOKUP(2,1/((A_Corridor!$A$5:$A$204&lt;&gt;"")*(A_Corridor!$A$5:$A$204&lt;=$B882)*(A_Corridor!$B$5:$B$204&gt;$B882)*(A_Corridor!$G$5:$G$204&lt;&gt;"")),IF(A_Corridor!$G$5:$G$204="-","",A_Corridor!$G$5:$G$204)),"")</f>
        <v/>
      </c>
      <c r="L882" s="181" t="str">
        <f>IFERROR(LOOKUP(2,1/((A_Corridor!$A$5:$A$204&lt;&gt;"")*(A_Corridor!$A$5:$A$204&lt;=$B882)*(A_Corridor!$B$5:$B$204&gt;$B882)*(A_Corridor!$H$5:$H$204&lt;&gt;"")),IF(A_Corridor!$H$5:$H$204="-","",1)),"")</f>
        <v/>
      </c>
      <c r="M882" s="182" t="str">
        <f>IFERROR(LOOKUP(2,1/((A_Corridor!$A$5:$A$204&lt;&gt;"")*(A_Corridor!$A$5:$A$204&lt;=$B882)*(A_Corridor!$B$5:$B$204&gt;$B882)*(A_Corridor!$H$5:$H$204&lt;&gt;"")),IF(A_Corridor!$H$5:$H$204="-","",A_Corridor!$H$5:$H$204)),"")</f>
        <v/>
      </c>
      <c r="N882" s="182" t="str">
        <f>IFERROR(LOOKUP(2,1/((A_Corridor!$A$5:$A$204&lt;&gt;"")*(A_Corridor!$A$5:$A$204&lt;=$B882)*(A_Corridor!$B$5:$B$204&gt;$B882)*(A_Corridor!$I$5:$I$204&lt;&gt;"")),IF(A_Corridor!$I$5:$I$204="-","",A_Corridor!$I$5:$I$204)),"")</f>
        <v/>
      </c>
      <c r="O882" s="182" t="str">
        <f>IFERROR(LOOKUP(2,1/((D_Points!$A$5:$A$204&lt;&gt;"")*(D_Points!$A$5:$A$204&gt;=$B882)*(D_Points!$A$5:$A$204&lt;$B882+P_Interval)*(UPPER(TRIM(D_Points!$B$5:$B$204))="PITCHING")*(D_Points!$H$5:$H$204&lt;&gt;"")),D_Points!$H$5:$H$204),"")</f>
        <v/>
      </c>
      <c r="P882" s="181" t="str">
        <f>IFERROR(LOOKUP(2,1/((B_Drainage!$A$5:$A$204&lt;&gt;"")*(B_Drainage!$A$5:$A$204&lt;=$B882)*(B_Drainage!$B$5:$B$204&gt;$B882)*(B_Drainage!$C$5:$C$204&lt;&gt;"")),IF(B_Drainage!$C$5:$C$204="-","",UPPER(B_Drainage!$C$5:$C$204))),"")</f>
        <v/>
      </c>
      <c r="Q882" s="181" t="str">
        <f>IFERROR(LOOKUP(2,1/((B_Drainage!$A$5:$A$204&lt;&gt;"")*(B_Drainage!$A$5:$A$204&lt;=$B882)*(B_Drainage!$B$5:$B$204&gt;$B882)*(B_Drainage!$D$5:$D$204&lt;&gt;"")),IF(B_Drainage!$D$5:$D$204="-","",UPPER(B_Drainage!$D$5:$D$204))),"")</f>
        <v/>
      </c>
      <c r="R882" s="182" t="str">
        <f>IFERROR(LOOKUP(2,1/((D_Points!$A$5:$A$204&lt;&gt;"")*(D_Points!$A$5:$A$204&gt;=$B882)*(D_Points!$A$5:$A$204&lt;$B882+P_Interval)*(RIGHT(UPPER(TRIM(D_Points!$B$5:$B$204)),8)="_CULVERT")),IF(LEFT(UPPER(TRIM(D_Points!$B$5:$B$204)),2)="EX",1,IF(LEFT(UPPER(TRIM(D_Points!$B$5:$B$204)),2)="PR",2,3))),"")</f>
        <v/>
      </c>
      <c r="S882" s="182" t="str">
        <f>IFERROR(LOOKUP(2,1/((D_Points!$A$5:$A$204&lt;&gt;"")*(D_Points!$A$5:$A$204&gt;=$B882)*(D_Points!$A$5:$A$204&lt;$B882+P_Interval)*(RIGHT(UPPER(TRIM(D_Points!$B$5:$B$204)),7)="_BRIDGE")),IF(LEFT(UPPER(TRIM(D_Points!$B$5:$B$204)),2)="EX",1,IF(LEFT(UPPER(TRIM(D_Points!$B$5:$B$204)),2)="PR",2,2))),"")</f>
        <v/>
      </c>
      <c r="T882" s="181" t="str">
        <f>IFERROR(LOOKUP(2,1/((B_Drainage!$A$5:$A$204&lt;&gt;"")*(B_Drainage!$A$5:$A$204&lt;=$B882)*(B_Drainage!$B$5:$B$204&gt;$B882)*(B_Drainage!$E$5:$E$204&lt;&gt;"")),IF(B_Drainage!$E$5:$E$204="-","",1)),"")</f>
        <v/>
      </c>
      <c r="U882" s="181" t="str">
        <f>IFERROR(LOOKUP(2,1/((B_Drainage!$A$5:$A$204&lt;&gt;"")*(B_Drainage!$A$5:$A$204&lt;=$B882)*(B_Drainage!$B$5:$B$204&gt;$B882)*(B_Drainage!$E$5:$E$204&lt;&gt;"")),IF(B_Drainage!$E$5:$E$204="-","",B_Drainage!$E$5:$E$204)),"")</f>
        <v/>
      </c>
      <c r="V882" s="181" t="str">
        <f>IFERROR(LOOKUP(2,1/((B_Drainage!$A$5:$A$204&lt;&gt;"")*(B_Drainage!$A$5:$A$204&lt;=$B882)*(B_Drainage!$B$5:$B$204&gt;$B882)*(B_Drainage!$F$5:$F$204&lt;&gt;"")),IF(B_Drainage!$F$5:$F$204="-","",1)),"")</f>
        <v/>
      </c>
      <c r="W882" s="181" t="str">
        <f>IFERROR(LOOKUP(2,1/((B_Drainage!$A$5:$A$204&lt;&gt;"")*(B_Drainage!$A$5:$A$204&lt;=$B882)*(B_Drainage!$B$5:$B$204&gt;$B882)*(B_Drainage!$F$5:$F$204&lt;&gt;"")),IF(B_Drainage!$F$5:$F$204="-","",B_Drainage!$F$5:$F$204)),"")</f>
        <v/>
      </c>
      <c r="X882" s="181" t="str">
        <f>IFERROR(LOOKUP(2,1/((B_Drainage!$A$5:$A$204&lt;&gt;"")*(B_Drainage!$A$5:$A$204&lt;=$B882)*(B_Drainage!$B$5:$B$204&gt;$B882)*(B_Drainage!$G$5:$G$204&lt;&gt;"")),IF(UPPER(B_Drainage!$G$5:$G$204)="Y",1,"")),"")</f>
        <v/>
      </c>
      <c r="Y882" s="181" t="str">
        <f>IFERROR(LOOKUP(2,1/((B_Drainage!$A$5:$A$204&lt;&gt;"")*(B_Drainage!$A$5:$A$204&lt;=$B882)*(B_Drainage!$B$5:$B$204&gt;$B882)*(B_Drainage!$H$5:$H$204&lt;&gt;"")),IF(UPPER(B_Drainage!$H$5:$H$204)="Y",1,"")),"")</f>
        <v/>
      </c>
      <c r="Z882" s="181" t="str">
        <f>IFERROR(LOOKUP(2,1/((B_Drainage!$A$5:$A$204&lt;&gt;"")*(B_Drainage!$A$5:$A$204&lt;=$B882)*(B_Drainage!$B$5:$B$204&gt;$B882)*(B_Drainage!$I$5:$I$204&lt;&gt;"")),IF(UPPER(B_Drainage!$I$5:$I$204)="Y",1,"")),"")</f>
        <v/>
      </c>
      <c r="AA882" s="181" t="str">
        <f>IFERROR(LOOKUP(2,1/((B_Drainage!$A$5:$A$204&lt;&gt;"")*(B_Drainage!$A$5:$A$204&lt;=$B882)*(B_Drainage!$B$5:$B$204&gt;$B882)*(B_Drainage!$J$5:$J$204&lt;&gt;"")),IF(UPPER(B_Drainage!$J$5:$J$204)="Y",1,"")),"")</f>
        <v/>
      </c>
      <c r="AB882" s="182" t="str">
        <f>IFERROR(LOOKUP(2,1/((B_Drainage!$A$5:$A$204&lt;&gt;"")*(B_Drainage!$A$5:$A$204&lt;=$B882)*(B_Drainage!$B$5:$B$204&gt;$B882)*(B_Drainage!$K$5:$K$204&lt;&gt;"")),IF(B_Drainage!$K$5:$K$204="-","",B_Drainage!$K$5:$K$204)),"")</f>
        <v/>
      </c>
      <c r="AC882" s="182" t="str">
        <f>IFERROR(LOOKUP(2,1/((B_Drainage!$A$5:$A$204&lt;&gt;"")*(B_Drainage!$A$5:$A$204&lt;=$B882)*(B_Drainage!$B$5:$B$204&gt;$B882)*(B_Drainage!$L$5:$L$204&lt;&gt;"")),IF(B_Drainage!$L$5:$L$204="-","",B_Drainage!$L$5:$L$204)),"")</f>
        <v/>
      </c>
      <c r="AD882" s="182" t="str">
        <f>IFERROR(LOOKUP(2,1/((D_Points!$A$5:$A$204&lt;&gt;"")*(D_Points!$A$5:$A$204&gt;=$B882)*(D_Points!$A$5:$A$204&lt;$B882+P_Interval)*(UPPER(TRIM(D_Points!$B$5:$B$204))="TURNOUT_L")*(D_Points!$H$5:$H$204&lt;&gt;"")),D_Points!$H$5:$H$204),"")</f>
        <v/>
      </c>
      <c r="AE882" s="182" t="str">
        <f>IFERROR(LOOKUP(2,1/((D_Points!$A$5:$A$204&lt;&gt;"")*(D_Points!$A$5:$A$204&gt;=$B882)*(D_Points!$A$5:$A$204&lt;$B882+P_Interval)*(UPPER(TRIM(D_Points!$B$5:$B$204))="TURNOUT_R")*(D_Points!$H$5:$H$204&lt;&gt;"")),D_Points!$H$5:$H$204),"")</f>
        <v/>
      </c>
      <c r="AF882" s="181" t="str">
        <f>IFERROR(LOOKUP(2,1/((B_Drainage!$A$5:$A$204&lt;&gt;"")*(B_Drainage!$A$5:$A$204&lt;=$B882)*(B_Drainage!$B$5:$B$204&gt;$B882)*(B_Drainage!$M$5:$M$204&lt;&gt;"")),IF(UPPER(B_Drainage!$M$5:$M$204)="Y",1,"")),"")</f>
        <v/>
      </c>
      <c r="AG882" s="181" t="str">
        <f>IFERROR(LOOKUP(2,1/((B_Drainage!$A$5:$A$204&lt;&gt;"")*(B_Drainage!$A$5:$A$204&lt;=$B882)*(B_Drainage!$B$5:$B$204&gt;$B882)*(B_Drainage!$N$5:$N$204&lt;&gt;"")),IF(UPPER(B_Drainage!$N$5:$N$204)="Y",1,"")),"")</f>
        <v/>
      </c>
      <c r="AH882" s="181" t="str">
        <f t="shared" si="104"/>
        <v/>
      </c>
      <c r="AI882" s="181" t="str">
        <f t="shared" si="105"/>
        <v/>
      </c>
      <c r="AJ882" s="181" t="str">
        <f t="shared" si="106"/>
        <v/>
      </c>
      <c r="AK882" s="181" t="str">
        <f t="shared" si="107"/>
        <v/>
      </c>
      <c r="AL882" s="181" t="str">
        <f t="shared" si="108"/>
        <v/>
      </c>
      <c r="AM882" s="181" t="str">
        <f t="shared" si="109"/>
        <v/>
      </c>
      <c r="AN882" s="181" t="str">
        <f t="shared" si="110"/>
        <v/>
      </c>
      <c r="AO882" s="192" t="str">
        <f t="shared" si="111"/>
        <v/>
      </c>
      <c r="AQ882" t="str">
        <f>IFERROR(LOOKUP(2,1/((C_Pavement!$A$5:$A$204&lt;&gt;"")*(C_Pavement!$A$5:$A$204&lt;=$B882)*(C_Pavement!$B$5:$B$204&gt;$B882)*(C_Pavement!$C$5:$C$204&lt;&gt;"")),ROW(C_Pavement!$C$5:$C$204)-4),"")</f>
        <v/>
      </c>
      <c r="AR882" t="str">
        <f>IF($AQ882="","",UPPER(TRIM(INDEX(C_Pavement!$C$5:$C$204,$AQ882))))</f>
        <v/>
      </c>
      <c r="AS882" t="str">
        <f>IF($AR882="","",IFERROR(MATCH($AR882,E_Rules!$A$5:$A$9,0),""))</f>
        <v/>
      </c>
      <c r="AT882" t="str">
        <f>IF($AQ882="","",IF(INDEX(C_Pavement!$D$5:$D$204,$AQ882)&lt;&gt;"",UPPER(TRIM(INDEX(C_Pavement!$D$5:$D$204,$AQ882))),IF($AS882="","",INDEX(E_Rules!$C$5:$C$9,$AS882))))</f>
        <v/>
      </c>
      <c r="AU882" t="str">
        <f>IF($AQ882="","",IF(INDEX(C_Pavement!$E$5:$E$204,$AQ882)&lt;&gt;"",IF(INDEX(C_Pavement!$E$5:$E$204,$AQ882)="-","",INDEX(C_Pavement!$E$5:$E$204,$AQ882)),IF($AS882="","",INDEX(E_Rules!$D$5:$D$9,$AS882))))</f>
        <v/>
      </c>
      <c r="AV882" t="str">
        <f>IF($AQ882="","",IF(INDEX(C_Pavement!$F$5:$F$204,$AQ882)&lt;&gt;"",IF(INDEX(C_Pavement!$F$5:$F$204,$AQ882)="-","",INDEX(C_Pavement!$F$5:$F$204,$AQ882)),IF($AS882="","",INDEX(E_Rules!$E$5:$E$9,$AS882))))</f>
        <v/>
      </c>
      <c r="AW882" t="str">
        <f>IF($AQ882="","",IF(INDEX(C_Pavement!$G$5:$G$204,$AQ882)&lt;&gt;"",IF(INDEX(C_Pavement!$G$5:$G$204,$AQ882)="-","",INDEX(C_Pavement!$G$5:$G$204,$AQ882)),IF($AS882="","",INDEX(E_Rules!$F$5:$F$9,$AS882))))</f>
        <v/>
      </c>
      <c r="AX882" t="str">
        <f>IF($AQ882="","",IF(INDEX(C_Pavement!$H$5:$H$204,$AQ882)&lt;&gt;"",IF(INDEX(C_Pavement!$H$5:$H$204,$AQ882)="-","",INDEX(C_Pavement!$H$5:$H$204,$AQ882)),IF($AS882="","",INDEX(E_Rules!$G$5:$G$9,$AS882))))</f>
        <v/>
      </c>
      <c r="AY882" t="str">
        <f>IF($AQ882="","",IF(INDEX(C_Pavement!$I$5:$I$204,$AQ882)&lt;&gt;"",IF(INDEX(C_Pavement!$I$5:$I$204,$AQ882)="-","",INDEX(C_Pavement!$I$5:$I$204,$AQ882)),IF($AS882="","",INDEX(E_Rules!$H$5:$H$9,$AS882))))</f>
        <v/>
      </c>
    </row>
    <row r="883" spans="1:51" ht="15.75" customHeight="1" x14ac:dyDescent="0.3">
      <c r="A883" s="189">
        <v>878</v>
      </c>
      <c r="B883" s="180">
        <v>43850</v>
      </c>
      <c r="C883" s="180" t="s">
        <v>1189</v>
      </c>
      <c r="D883" s="181" t="str">
        <f>IFERROR(LOOKUP(2,1/((A_Corridor!$A$5:$A$204&lt;&gt;"")*(A_Corridor!$A$5:$A$204&lt;=$B883)*(A_Corridor!$B$5:$B$204&gt;$B883)*(A_Corridor!$C$5:$C$204&lt;&gt;"")),IF(UPPER(A_Corridor!$C$5:$C$204)="Y",1,"")),"")</f>
        <v/>
      </c>
      <c r="E883" s="181" t="str">
        <f>IFERROR(LOOKUP(2,1/((A_Corridor!$A$5:$A$204&lt;&gt;"")*(A_Corridor!$A$5:$A$204&lt;=$B883)*(A_Corridor!$B$5:$B$204&gt;$B883)*(A_Corridor!$D$5:$D$204&lt;&gt;"")),IF(A_Corridor!$D$5:$D$204="-","",UPPER(A_Corridor!$D$5:$D$204))),"")</f>
        <v/>
      </c>
      <c r="F883" s="181" t="str">
        <f>IFERROR(LOOKUP(2,1/((A_Corridor!$A$5:$A$204&lt;&gt;"")*(A_Corridor!$A$5:$A$204&lt;=$B883)*(A_Corridor!$B$5:$B$204&gt;$B883)*(A_Corridor!$E$5:$E$204&lt;&gt;"")),IF(A_Corridor!$E$5:$E$204="-","",1)),"")</f>
        <v/>
      </c>
      <c r="G883" s="182" t="str">
        <f>IFERROR(LOOKUP(2,1/((A_Corridor!$A$5:$A$204&lt;&gt;"")*(A_Corridor!$A$5:$A$204&lt;=$B883)*(A_Corridor!$B$5:$B$204&gt;$B883)*(A_Corridor!$E$5:$E$204&lt;&gt;"")),IF(A_Corridor!$E$5:$E$204="-","",A_Corridor!$E$5:$E$204)),"")</f>
        <v/>
      </c>
      <c r="H883" s="182" t="str">
        <f>IFERROR(LOOKUP(2,1/((D_Points!$A$5:$A$204&lt;&gt;"")*(D_Points!$A$5:$A$204&gt;=$B883)*(D_Points!$A$5:$A$204&lt;$B883+P_Interval)*(UPPER(TRIM(D_Points!$B$5:$B$204))="GULLY")*(D_Points!$H$5:$H$204&lt;&gt;"")),D_Points!$H$5:$H$204),"")</f>
        <v/>
      </c>
      <c r="I883" s="181" t="str">
        <f>IFERROR(LOOKUP(2,1/((A_Corridor!$A$5:$A$204&lt;&gt;"")*(A_Corridor!$A$5:$A$204&lt;=$B883)*(A_Corridor!$B$5:$B$204&gt;$B883)*(A_Corridor!$F$5:$F$204&lt;&gt;"")),IF(A_Corridor!$F$5:$F$204="-","",1)),"")</f>
        <v/>
      </c>
      <c r="J883" s="182" t="str">
        <f>IFERROR(LOOKUP(2,1/((A_Corridor!$A$5:$A$204&lt;&gt;"")*(A_Corridor!$A$5:$A$204&lt;=$B883)*(A_Corridor!$B$5:$B$204&gt;$B883)*(A_Corridor!$F$5:$F$204&lt;&gt;"")),IF(A_Corridor!$F$5:$F$204="-","",A_Corridor!$F$5:$F$204)),"")</f>
        <v/>
      </c>
      <c r="K883" s="182" t="str">
        <f>IFERROR(LOOKUP(2,1/((A_Corridor!$A$5:$A$204&lt;&gt;"")*(A_Corridor!$A$5:$A$204&lt;=$B883)*(A_Corridor!$B$5:$B$204&gt;$B883)*(A_Corridor!$G$5:$G$204&lt;&gt;"")),IF(A_Corridor!$G$5:$G$204="-","",A_Corridor!$G$5:$G$204)),"")</f>
        <v/>
      </c>
      <c r="L883" s="181" t="str">
        <f>IFERROR(LOOKUP(2,1/((A_Corridor!$A$5:$A$204&lt;&gt;"")*(A_Corridor!$A$5:$A$204&lt;=$B883)*(A_Corridor!$B$5:$B$204&gt;$B883)*(A_Corridor!$H$5:$H$204&lt;&gt;"")),IF(A_Corridor!$H$5:$H$204="-","",1)),"")</f>
        <v/>
      </c>
      <c r="M883" s="182" t="str">
        <f>IFERROR(LOOKUP(2,1/((A_Corridor!$A$5:$A$204&lt;&gt;"")*(A_Corridor!$A$5:$A$204&lt;=$B883)*(A_Corridor!$B$5:$B$204&gt;$B883)*(A_Corridor!$H$5:$H$204&lt;&gt;"")),IF(A_Corridor!$H$5:$H$204="-","",A_Corridor!$H$5:$H$204)),"")</f>
        <v/>
      </c>
      <c r="N883" s="182" t="str">
        <f>IFERROR(LOOKUP(2,1/((A_Corridor!$A$5:$A$204&lt;&gt;"")*(A_Corridor!$A$5:$A$204&lt;=$B883)*(A_Corridor!$B$5:$B$204&gt;$B883)*(A_Corridor!$I$5:$I$204&lt;&gt;"")),IF(A_Corridor!$I$5:$I$204="-","",A_Corridor!$I$5:$I$204)),"")</f>
        <v/>
      </c>
      <c r="O883" s="182" t="str">
        <f>IFERROR(LOOKUP(2,1/((D_Points!$A$5:$A$204&lt;&gt;"")*(D_Points!$A$5:$A$204&gt;=$B883)*(D_Points!$A$5:$A$204&lt;$B883+P_Interval)*(UPPER(TRIM(D_Points!$B$5:$B$204))="PITCHING")*(D_Points!$H$5:$H$204&lt;&gt;"")),D_Points!$H$5:$H$204),"")</f>
        <v/>
      </c>
      <c r="P883" s="181" t="str">
        <f>IFERROR(LOOKUP(2,1/((B_Drainage!$A$5:$A$204&lt;&gt;"")*(B_Drainage!$A$5:$A$204&lt;=$B883)*(B_Drainage!$B$5:$B$204&gt;$B883)*(B_Drainage!$C$5:$C$204&lt;&gt;"")),IF(B_Drainage!$C$5:$C$204="-","",UPPER(B_Drainage!$C$5:$C$204))),"")</f>
        <v/>
      </c>
      <c r="Q883" s="181" t="str">
        <f>IFERROR(LOOKUP(2,1/((B_Drainage!$A$5:$A$204&lt;&gt;"")*(B_Drainage!$A$5:$A$204&lt;=$B883)*(B_Drainage!$B$5:$B$204&gt;$B883)*(B_Drainage!$D$5:$D$204&lt;&gt;"")),IF(B_Drainage!$D$5:$D$204="-","",UPPER(B_Drainage!$D$5:$D$204))),"")</f>
        <v/>
      </c>
      <c r="R883" s="182" t="str">
        <f>IFERROR(LOOKUP(2,1/((D_Points!$A$5:$A$204&lt;&gt;"")*(D_Points!$A$5:$A$204&gt;=$B883)*(D_Points!$A$5:$A$204&lt;$B883+P_Interval)*(RIGHT(UPPER(TRIM(D_Points!$B$5:$B$204)),8)="_CULVERT")),IF(LEFT(UPPER(TRIM(D_Points!$B$5:$B$204)),2)="EX",1,IF(LEFT(UPPER(TRIM(D_Points!$B$5:$B$204)),2)="PR",2,3))),"")</f>
        <v/>
      </c>
      <c r="S883" s="182" t="str">
        <f>IFERROR(LOOKUP(2,1/((D_Points!$A$5:$A$204&lt;&gt;"")*(D_Points!$A$5:$A$204&gt;=$B883)*(D_Points!$A$5:$A$204&lt;$B883+P_Interval)*(RIGHT(UPPER(TRIM(D_Points!$B$5:$B$204)),7)="_BRIDGE")),IF(LEFT(UPPER(TRIM(D_Points!$B$5:$B$204)),2)="EX",1,IF(LEFT(UPPER(TRIM(D_Points!$B$5:$B$204)),2)="PR",2,2))),"")</f>
        <v/>
      </c>
      <c r="T883" s="181" t="str">
        <f>IFERROR(LOOKUP(2,1/((B_Drainage!$A$5:$A$204&lt;&gt;"")*(B_Drainage!$A$5:$A$204&lt;=$B883)*(B_Drainage!$B$5:$B$204&gt;$B883)*(B_Drainage!$E$5:$E$204&lt;&gt;"")),IF(B_Drainage!$E$5:$E$204="-","",1)),"")</f>
        <v/>
      </c>
      <c r="U883" s="181" t="str">
        <f>IFERROR(LOOKUP(2,1/((B_Drainage!$A$5:$A$204&lt;&gt;"")*(B_Drainage!$A$5:$A$204&lt;=$B883)*(B_Drainage!$B$5:$B$204&gt;$B883)*(B_Drainage!$E$5:$E$204&lt;&gt;"")),IF(B_Drainage!$E$5:$E$204="-","",B_Drainage!$E$5:$E$204)),"")</f>
        <v/>
      </c>
      <c r="V883" s="181" t="str">
        <f>IFERROR(LOOKUP(2,1/((B_Drainage!$A$5:$A$204&lt;&gt;"")*(B_Drainage!$A$5:$A$204&lt;=$B883)*(B_Drainage!$B$5:$B$204&gt;$B883)*(B_Drainage!$F$5:$F$204&lt;&gt;"")),IF(B_Drainage!$F$5:$F$204="-","",1)),"")</f>
        <v/>
      </c>
      <c r="W883" s="181" t="str">
        <f>IFERROR(LOOKUP(2,1/((B_Drainage!$A$5:$A$204&lt;&gt;"")*(B_Drainage!$A$5:$A$204&lt;=$B883)*(B_Drainage!$B$5:$B$204&gt;$B883)*(B_Drainage!$F$5:$F$204&lt;&gt;"")),IF(B_Drainage!$F$5:$F$204="-","",B_Drainage!$F$5:$F$204)),"")</f>
        <v/>
      </c>
      <c r="X883" s="181" t="str">
        <f>IFERROR(LOOKUP(2,1/((B_Drainage!$A$5:$A$204&lt;&gt;"")*(B_Drainage!$A$5:$A$204&lt;=$B883)*(B_Drainage!$B$5:$B$204&gt;$B883)*(B_Drainage!$G$5:$G$204&lt;&gt;"")),IF(UPPER(B_Drainage!$G$5:$G$204)="Y",1,"")),"")</f>
        <v/>
      </c>
      <c r="Y883" s="181" t="str">
        <f>IFERROR(LOOKUP(2,1/((B_Drainage!$A$5:$A$204&lt;&gt;"")*(B_Drainage!$A$5:$A$204&lt;=$B883)*(B_Drainage!$B$5:$B$204&gt;$B883)*(B_Drainage!$H$5:$H$204&lt;&gt;"")),IF(UPPER(B_Drainage!$H$5:$H$204)="Y",1,"")),"")</f>
        <v/>
      </c>
      <c r="Z883" s="181" t="str">
        <f>IFERROR(LOOKUP(2,1/((B_Drainage!$A$5:$A$204&lt;&gt;"")*(B_Drainage!$A$5:$A$204&lt;=$B883)*(B_Drainage!$B$5:$B$204&gt;$B883)*(B_Drainage!$I$5:$I$204&lt;&gt;"")),IF(UPPER(B_Drainage!$I$5:$I$204)="Y",1,"")),"")</f>
        <v/>
      </c>
      <c r="AA883" s="181" t="str">
        <f>IFERROR(LOOKUP(2,1/((B_Drainage!$A$5:$A$204&lt;&gt;"")*(B_Drainage!$A$5:$A$204&lt;=$B883)*(B_Drainage!$B$5:$B$204&gt;$B883)*(B_Drainage!$J$5:$J$204&lt;&gt;"")),IF(UPPER(B_Drainage!$J$5:$J$204)="Y",1,"")),"")</f>
        <v/>
      </c>
      <c r="AB883" s="182" t="str">
        <f>IFERROR(LOOKUP(2,1/((B_Drainage!$A$5:$A$204&lt;&gt;"")*(B_Drainage!$A$5:$A$204&lt;=$B883)*(B_Drainage!$B$5:$B$204&gt;$B883)*(B_Drainage!$K$5:$K$204&lt;&gt;"")),IF(B_Drainage!$K$5:$K$204="-","",B_Drainage!$K$5:$K$204)),"")</f>
        <v/>
      </c>
      <c r="AC883" s="182" t="str">
        <f>IFERROR(LOOKUP(2,1/((B_Drainage!$A$5:$A$204&lt;&gt;"")*(B_Drainage!$A$5:$A$204&lt;=$B883)*(B_Drainage!$B$5:$B$204&gt;$B883)*(B_Drainage!$L$5:$L$204&lt;&gt;"")),IF(B_Drainage!$L$5:$L$204="-","",B_Drainage!$L$5:$L$204)),"")</f>
        <v/>
      </c>
      <c r="AD883" s="182" t="str">
        <f>IFERROR(LOOKUP(2,1/((D_Points!$A$5:$A$204&lt;&gt;"")*(D_Points!$A$5:$A$204&gt;=$B883)*(D_Points!$A$5:$A$204&lt;$B883+P_Interval)*(UPPER(TRIM(D_Points!$B$5:$B$204))="TURNOUT_L")*(D_Points!$H$5:$H$204&lt;&gt;"")),D_Points!$H$5:$H$204),"")</f>
        <v/>
      </c>
      <c r="AE883" s="182" t="str">
        <f>IFERROR(LOOKUP(2,1/((D_Points!$A$5:$A$204&lt;&gt;"")*(D_Points!$A$5:$A$204&gt;=$B883)*(D_Points!$A$5:$A$204&lt;$B883+P_Interval)*(UPPER(TRIM(D_Points!$B$5:$B$204))="TURNOUT_R")*(D_Points!$H$5:$H$204&lt;&gt;"")),D_Points!$H$5:$H$204),"")</f>
        <v/>
      </c>
      <c r="AF883" s="181" t="str">
        <f>IFERROR(LOOKUP(2,1/((B_Drainage!$A$5:$A$204&lt;&gt;"")*(B_Drainage!$A$5:$A$204&lt;=$B883)*(B_Drainage!$B$5:$B$204&gt;$B883)*(B_Drainage!$M$5:$M$204&lt;&gt;"")),IF(UPPER(B_Drainage!$M$5:$M$204)="Y",1,"")),"")</f>
        <v/>
      </c>
      <c r="AG883" s="181" t="str">
        <f>IFERROR(LOOKUP(2,1/((B_Drainage!$A$5:$A$204&lt;&gt;"")*(B_Drainage!$A$5:$A$204&lt;=$B883)*(B_Drainage!$B$5:$B$204&gt;$B883)*(B_Drainage!$N$5:$N$204&lt;&gt;"")),IF(UPPER(B_Drainage!$N$5:$N$204)="Y",1,"")),"")</f>
        <v/>
      </c>
      <c r="AH883" s="181" t="str">
        <f t="shared" si="104"/>
        <v/>
      </c>
      <c r="AI883" s="181" t="str">
        <f t="shared" si="105"/>
        <v/>
      </c>
      <c r="AJ883" s="181" t="str">
        <f t="shared" si="106"/>
        <v/>
      </c>
      <c r="AK883" s="181" t="str">
        <f t="shared" si="107"/>
        <v/>
      </c>
      <c r="AL883" s="181" t="str">
        <f t="shared" si="108"/>
        <v/>
      </c>
      <c r="AM883" s="181" t="str">
        <f t="shared" si="109"/>
        <v/>
      </c>
      <c r="AN883" s="181" t="str">
        <f t="shared" si="110"/>
        <v/>
      </c>
      <c r="AO883" s="192" t="str">
        <f t="shared" si="111"/>
        <v/>
      </c>
      <c r="AQ883" t="str">
        <f>IFERROR(LOOKUP(2,1/((C_Pavement!$A$5:$A$204&lt;&gt;"")*(C_Pavement!$A$5:$A$204&lt;=$B883)*(C_Pavement!$B$5:$B$204&gt;$B883)*(C_Pavement!$C$5:$C$204&lt;&gt;"")),ROW(C_Pavement!$C$5:$C$204)-4),"")</f>
        <v/>
      </c>
      <c r="AR883" t="str">
        <f>IF($AQ883="","",UPPER(TRIM(INDEX(C_Pavement!$C$5:$C$204,$AQ883))))</f>
        <v/>
      </c>
      <c r="AS883" t="str">
        <f>IF($AR883="","",IFERROR(MATCH($AR883,E_Rules!$A$5:$A$9,0),""))</f>
        <v/>
      </c>
      <c r="AT883" t="str">
        <f>IF($AQ883="","",IF(INDEX(C_Pavement!$D$5:$D$204,$AQ883)&lt;&gt;"",UPPER(TRIM(INDEX(C_Pavement!$D$5:$D$204,$AQ883))),IF($AS883="","",INDEX(E_Rules!$C$5:$C$9,$AS883))))</f>
        <v/>
      </c>
      <c r="AU883" t="str">
        <f>IF($AQ883="","",IF(INDEX(C_Pavement!$E$5:$E$204,$AQ883)&lt;&gt;"",IF(INDEX(C_Pavement!$E$5:$E$204,$AQ883)="-","",INDEX(C_Pavement!$E$5:$E$204,$AQ883)),IF($AS883="","",INDEX(E_Rules!$D$5:$D$9,$AS883))))</f>
        <v/>
      </c>
      <c r="AV883" t="str">
        <f>IF($AQ883="","",IF(INDEX(C_Pavement!$F$5:$F$204,$AQ883)&lt;&gt;"",IF(INDEX(C_Pavement!$F$5:$F$204,$AQ883)="-","",INDEX(C_Pavement!$F$5:$F$204,$AQ883)),IF($AS883="","",INDEX(E_Rules!$E$5:$E$9,$AS883))))</f>
        <v/>
      </c>
      <c r="AW883" t="str">
        <f>IF($AQ883="","",IF(INDEX(C_Pavement!$G$5:$G$204,$AQ883)&lt;&gt;"",IF(INDEX(C_Pavement!$G$5:$G$204,$AQ883)="-","",INDEX(C_Pavement!$G$5:$G$204,$AQ883)),IF($AS883="","",INDEX(E_Rules!$F$5:$F$9,$AS883))))</f>
        <v/>
      </c>
      <c r="AX883" t="str">
        <f>IF($AQ883="","",IF(INDEX(C_Pavement!$H$5:$H$204,$AQ883)&lt;&gt;"",IF(INDEX(C_Pavement!$H$5:$H$204,$AQ883)="-","",INDEX(C_Pavement!$H$5:$H$204,$AQ883)),IF($AS883="","",INDEX(E_Rules!$G$5:$G$9,$AS883))))</f>
        <v/>
      </c>
      <c r="AY883" t="str">
        <f>IF($AQ883="","",IF(INDEX(C_Pavement!$I$5:$I$204,$AQ883)&lt;&gt;"",IF(INDEX(C_Pavement!$I$5:$I$204,$AQ883)="-","",INDEX(C_Pavement!$I$5:$I$204,$AQ883)),IF($AS883="","",INDEX(E_Rules!$H$5:$H$9,$AS883))))</f>
        <v/>
      </c>
    </row>
    <row r="884" spans="1:51" ht="15.75" customHeight="1" x14ac:dyDescent="0.3">
      <c r="A884" s="189">
        <v>879</v>
      </c>
      <c r="B884" s="180">
        <v>43900</v>
      </c>
      <c r="C884" s="180" t="s">
        <v>1190</v>
      </c>
      <c r="D884" s="181" t="str">
        <f>IFERROR(LOOKUP(2,1/((A_Corridor!$A$5:$A$204&lt;&gt;"")*(A_Corridor!$A$5:$A$204&lt;=$B884)*(A_Corridor!$B$5:$B$204&gt;$B884)*(A_Corridor!$C$5:$C$204&lt;&gt;"")),IF(UPPER(A_Corridor!$C$5:$C$204)="Y",1,"")),"")</f>
        <v/>
      </c>
      <c r="E884" s="181" t="str">
        <f>IFERROR(LOOKUP(2,1/((A_Corridor!$A$5:$A$204&lt;&gt;"")*(A_Corridor!$A$5:$A$204&lt;=$B884)*(A_Corridor!$B$5:$B$204&gt;$B884)*(A_Corridor!$D$5:$D$204&lt;&gt;"")),IF(A_Corridor!$D$5:$D$204="-","",UPPER(A_Corridor!$D$5:$D$204))),"")</f>
        <v/>
      </c>
      <c r="F884" s="181" t="str">
        <f>IFERROR(LOOKUP(2,1/((A_Corridor!$A$5:$A$204&lt;&gt;"")*(A_Corridor!$A$5:$A$204&lt;=$B884)*(A_Corridor!$B$5:$B$204&gt;$B884)*(A_Corridor!$E$5:$E$204&lt;&gt;"")),IF(A_Corridor!$E$5:$E$204="-","",1)),"")</f>
        <v/>
      </c>
      <c r="G884" s="182" t="str">
        <f>IFERROR(LOOKUP(2,1/((A_Corridor!$A$5:$A$204&lt;&gt;"")*(A_Corridor!$A$5:$A$204&lt;=$B884)*(A_Corridor!$B$5:$B$204&gt;$B884)*(A_Corridor!$E$5:$E$204&lt;&gt;"")),IF(A_Corridor!$E$5:$E$204="-","",A_Corridor!$E$5:$E$204)),"")</f>
        <v/>
      </c>
      <c r="H884" s="182" t="str">
        <f>IFERROR(LOOKUP(2,1/((D_Points!$A$5:$A$204&lt;&gt;"")*(D_Points!$A$5:$A$204&gt;=$B884)*(D_Points!$A$5:$A$204&lt;$B884+P_Interval)*(UPPER(TRIM(D_Points!$B$5:$B$204))="GULLY")*(D_Points!$H$5:$H$204&lt;&gt;"")),D_Points!$H$5:$H$204),"")</f>
        <v/>
      </c>
      <c r="I884" s="181" t="str">
        <f>IFERROR(LOOKUP(2,1/((A_Corridor!$A$5:$A$204&lt;&gt;"")*(A_Corridor!$A$5:$A$204&lt;=$B884)*(A_Corridor!$B$5:$B$204&gt;$B884)*(A_Corridor!$F$5:$F$204&lt;&gt;"")),IF(A_Corridor!$F$5:$F$204="-","",1)),"")</f>
        <v/>
      </c>
      <c r="J884" s="182" t="str">
        <f>IFERROR(LOOKUP(2,1/((A_Corridor!$A$5:$A$204&lt;&gt;"")*(A_Corridor!$A$5:$A$204&lt;=$B884)*(A_Corridor!$B$5:$B$204&gt;$B884)*(A_Corridor!$F$5:$F$204&lt;&gt;"")),IF(A_Corridor!$F$5:$F$204="-","",A_Corridor!$F$5:$F$204)),"")</f>
        <v/>
      </c>
      <c r="K884" s="182" t="str">
        <f>IFERROR(LOOKUP(2,1/((A_Corridor!$A$5:$A$204&lt;&gt;"")*(A_Corridor!$A$5:$A$204&lt;=$B884)*(A_Corridor!$B$5:$B$204&gt;$B884)*(A_Corridor!$G$5:$G$204&lt;&gt;"")),IF(A_Corridor!$G$5:$G$204="-","",A_Corridor!$G$5:$G$204)),"")</f>
        <v/>
      </c>
      <c r="L884" s="181" t="str">
        <f>IFERROR(LOOKUP(2,1/((A_Corridor!$A$5:$A$204&lt;&gt;"")*(A_Corridor!$A$5:$A$204&lt;=$B884)*(A_Corridor!$B$5:$B$204&gt;$B884)*(A_Corridor!$H$5:$H$204&lt;&gt;"")),IF(A_Corridor!$H$5:$H$204="-","",1)),"")</f>
        <v/>
      </c>
      <c r="M884" s="182" t="str">
        <f>IFERROR(LOOKUP(2,1/((A_Corridor!$A$5:$A$204&lt;&gt;"")*(A_Corridor!$A$5:$A$204&lt;=$B884)*(A_Corridor!$B$5:$B$204&gt;$B884)*(A_Corridor!$H$5:$H$204&lt;&gt;"")),IF(A_Corridor!$H$5:$H$204="-","",A_Corridor!$H$5:$H$204)),"")</f>
        <v/>
      </c>
      <c r="N884" s="182" t="str">
        <f>IFERROR(LOOKUP(2,1/((A_Corridor!$A$5:$A$204&lt;&gt;"")*(A_Corridor!$A$5:$A$204&lt;=$B884)*(A_Corridor!$B$5:$B$204&gt;$B884)*(A_Corridor!$I$5:$I$204&lt;&gt;"")),IF(A_Corridor!$I$5:$I$204="-","",A_Corridor!$I$5:$I$204)),"")</f>
        <v/>
      </c>
      <c r="O884" s="182" t="str">
        <f>IFERROR(LOOKUP(2,1/((D_Points!$A$5:$A$204&lt;&gt;"")*(D_Points!$A$5:$A$204&gt;=$B884)*(D_Points!$A$5:$A$204&lt;$B884+P_Interval)*(UPPER(TRIM(D_Points!$B$5:$B$204))="PITCHING")*(D_Points!$H$5:$H$204&lt;&gt;"")),D_Points!$H$5:$H$204),"")</f>
        <v/>
      </c>
      <c r="P884" s="181" t="str">
        <f>IFERROR(LOOKUP(2,1/((B_Drainage!$A$5:$A$204&lt;&gt;"")*(B_Drainage!$A$5:$A$204&lt;=$B884)*(B_Drainage!$B$5:$B$204&gt;$B884)*(B_Drainage!$C$5:$C$204&lt;&gt;"")),IF(B_Drainage!$C$5:$C$204="-","",UPPER(B_Drainage!$C$5:$C$204))),"")</f>
        <v/>
      </c>
      <c r="Q884" s="181" t="str">
        <f>IFERROR(LOOKUP(2,1/((B_Drainage!$A$5:$A$204&lt;&gt;"")*(B_Drainage!$A$5:$A$204&lt;=$B884)*(B_Drainage!$B$5:$B$204&gt;$B884)*(B_Drainage!$D$5:$D$204&lt;&gt;"")),IF(B_Drainage!$D$5:$D$204="-","",UPPER(B_Drainage!$D$5:$D$204))),"")</f>
        <v/>
      </c>
      <c r="R884" s="182" t="str">
        <f>IFERROR(LOOKUP(2,1/((D_Points!$A$5:$A$204&lt;&gt;"")*(D_Points!$A$5:$A$204&gt;=$B884)*(D_Points!$A$5:$A$204&lt;$B884+P_Interval)*(RIGHT(UPPER(TRIM(D_Points!$B$5:$B$204)),8)="_CULVERT")),IF(LEFT(UPPER(TRIM(D_Points!$B$5:$B$204)),2)="EX",1,IF(LEFT(UPPER(TRIM(D_Points!$B$5:$B$204)),2)="PR",2,3))),"")</f>
        <v/>
      </c>
      <c r="S884" s="182" t="str">
        <f>IFERROR(LOOKUP(2,1/((D_Points!$A$5:$A$204&lt;&gt;"")*(D_Points!$A$5:$A$204&gt;=$B884)*(D_Points!$A$5:$A$204&lt;$B884+P_Interval)*(RIGHT(UPPER(TRIM(D_Points!$B$5:$B$204)),7)="_BRIDGE")),IF(LEFT(UPPER(TRIM(D_Points!$B$5:$B$204)),2)="EX",1,IF(LEFT(UPPER(TRIM(D_Points!$B$5:$B$204)),2)="PR",2,2))),"")</f>
        <v/>
      </c>
      <c r="T884" s="181" t="str">
        <f>IFERROR(LOOKUP(2,1/((B_Drainage!$A$5:$A$204&lt;&gt;"")*(B_Drainage!$A$5:$A$204&lt;=$B884)*(B_Drainage!$B$5:$B$204&gt;$B884)*(B_Drainage!$E$5:$E$204&lt;&gt;"")),IF(B_Drainage!$E$5:$E$204="-","",1)),"")</f>
        <v/>
      </c>
      <c r="U884" s="181" t="str">
        <f>IFERROR(LOOKUP(2,1/((B_Drainage!$A$5:$A$204&lt;&gt;"")*(B_Drainage!$A$5:$A$204&lt;=$B884)*(B_Drainage!$B$5:$B$204&gt;$B884)*(B_Drainage!$E$5:$E$204&lt;&gt;"")),IF(B_Drainage!$E$5:$E$204="-","",B_Drainage!$E$5:$E$204)),"")</f>
        <v/>
      </c>
      <c r="V884" s="181" t="str">
        <f>IFERROR(LOOKUP(2,1/((B_Drainage!$A$5:$A$204&lt;&gt;"")*(B_Drainage!$A$5:$A$204&lt;=$B884)*(B_Drainage!$B$5:$B$204&gt;$B884)*(B_Drainage!$F$5:$F$204&lt;&gt;"")),IF(B_Drainage!$F$5:$F$204="-","",1)),"")</f>
        <v/>
      </c>
      <c r="W884" s="181" t="str">
        <f>IFERROR(LOOKUP(2,1/((B_Drainage!$A$5:$A$204&lt;&gt;"")*(B_Drainage!$A$5:$A$204&lt;=$B884)*(B_Drainage!$B$5:$B$204&gt;$B884)*(B_Drainage!$F$5:$F$204&lt;&gt;"")),IF(B_Drainage!$F$5:$F$204="-","",B_Drainage!$F$5:$F$204)),"")</f>
        <v/>
      </c>
      <c r="X884" s="181" t="str">
        <f>IFERROR(LOOKUP(2,1/((B_Drainage!$A$5:$A$204&lt;&gt;"")*(B_Drainage!$A$5:$A$204&lt;=$B884)*(B_Drainage!$B$5:$B$204&gt;$B884)*(B_Drainage!$G$5:$G$204&lt;&gt;"")),IF(UPPER(B_Drainage!$G$5:$G$204)="Y",1,"")),"")</f>
        <v/>
      </c>
      <c r="Y884" s="181" t="str">
        <f>IFERROR(LOOKUP(2,1/((B_Drainage!$A$5:$A$204&lt;&gt;"")*(B_Drainage!$A$5:$A$204&lt;=$B884)*(B_Drainage!$B$5:$B$204&gt;$B884)*(B_Drainage!$H$5:$H$204&lt;&gt;"")),IF(UPPER(B_Drainage!$H$5:$H$204)="Y",1,"")),"")</f>
        <v/>
      </c>
      <c r="Z884" s="181" t="str">
        <f>IFERROR(LOOKUP(2,1/((B_Drainage!$A$5:$A$204&lt;&gt;"")*(B_Drainage!$A$5:$A$204&lt;=$B884)*(B_Drainage!$B$5:$B$204&gt;$B884)*(B_Drainage!$I$5:$I$204&lt;&gt;"")),IF(UPPER(B_Drainage!$I$5:$I$204)="Y",1,"")),"")</f>
        <v/>
      </c>
      <c r="AA884" s="181" t="str">
        <f>IFERROR(LOOKUP(2,1/((B_Drainage!$A$5:$A$204&lt;&gt;"")*(B_Drainage!$A$5:$A$204&lt;=$B884)*(B_Drainage!$B$5:$B$204&gt;$B884)*(B_Drainage!$J$5:$J$204&lt;&gt;"")),IF(UPPER(B_Drainage!$J$5:$J$204)="Y",1,"")),"")</f>
        <v/>
      </c>
      <c r="AB884" s="182" t="str">
        <f>IFERROR(LOOKUP(2,1/((B_Drainage!$A$5:$A$204&lt;&gt;"")*(B_Drainage!$A$5:$A$204&lt;=$B884)*(B_Drainage!$B$5:$B$204&gt;$B884)*(B_Drainage!$K$5:$K$204&lt;&gt;"")),IF(B_Drainage!$K$5:$K$204="-","",B_Drainage!$K$5:$K$204)),"")</f>
        <v/>
      </c>
      <c r="AC884" s="182" t="str">
        <f>IFERROR(LOOKUP(2,1/((B_Drainage!$A$5:$A$204&lt;&gt;"")*(B_Drainage!$A$5:$A$204&lt;=$B884)*(B_Drainage!$B$5:$B$204&gt;$B884)*(B_Drainage!$L$5:$L$204&lt;&gt;"")),IF(B_Drainage!$L$5:$L$204="-","",B_Drainage!$L$5:$L$204)),"")</f>
        <v/>
      </c>
      <c r="AD884" s="182" t="str">
        <f>IFERROR(LOOKUP(2,1/((D_Points!$A$5:$A$204&lt;&gt;"")*(D_Points!$A$5:$A$204&gt;=$B884)*(D_Points!$A$5:$A$204&lt;$B884+P_Interval)*(UPPER(TRIM(D_Points!$B$5:$B$204))="TURNOUT_L")*(D_Points!$H$5:$H$204&lt;&gt;"")),D_Points!$H$5:$H$204),"")</f>
        <v/>
      </c>
      <c r="AE884" s="182" t="str">
        <f>IFERROR(LOOKUP(2,1/((D_Points!$A$5:$A$204&lt;&gt;"")*(D_Points!$A$5:$A$204&gt;=$B884)*(D_Points!$A$5:$A$204&lt;$B884+P_Interval)*(UPPER(TRIM(D_Points!$B$5:$B$204))="TURNOUT_R")*(D_Points!$H$5:$H$204&lt;&gt;"")),D_Points!$H$5:$H$204),"")</f>
        <v/>
      </c>
      <c r="AF884" s="181" t="str">
        <f>IFERROR(LOOKUP(2,1/((B_Drainage!$A$5:$A$204&lt;&gt;"")*(B_Drainage!$A$5:$A$204&lt;=$B884)*(B_Drainage!$B$5:$B$204&gt;$B884)*(B_Drainage!$M$5:$M$204&lt;&gt;"")),IF(UPPER(B_Drainage!$M$5:$M$204)="Y",1,"")),"")</f>
        <v/>
      </c>
      <c r="AG884" s="181" t="str">
        <f>IFERROR(LOOKUP(2,1/((B_Drainage!$A$5:$A$204&lt;&gt;"")*(B_Drainage!$A$5:$A$204&lt;=$B884)*(B_Drainage!$B$5:$B$204&gt;$B884)*(B_Drainage!$N$5:$N$204&lt;&gt;"")),IF(UPPER(B_Drainage!$N$5:$N$204)="Y",1,"")),"")</f>
        <v/>
      </c>
      <c r="AH884" s="181" t="str">
        <f t="shared" si="104"/>
        <v/>
      </c>
      <c r="AI884" s="181" t="str">
        <f t="shared" si="105"/>
        <v/>
      </c>
      <c r="AJ884" s="181" t="str">
        <f t="shared" si="106"/>
        <v/>
      </c>
      <c r="AK884" s="181" t="str">
        <f t="shared" si="107"/>
        <v/>
      </c>
      <c r="AL884" s="181" t="str">
        <f t="shared" si="108"/>
        <v/>
      </c>
      <c r="AM884" s="181" t="str">
        <f t="shared" si="109"/>
        <v/>
      </c>
      <c r="AN884" s="181" t="str">
        <f t="shared" si="110"/>
        <v/>
      </c>
      <c r="AO884" s="192" t="str">
        <f t="shared" si="111"/>
        <v/>
      </c>
      <c r="AQ884" t="str">
        <f>IFERROR(LOOKUP(2,1/((C_Pavement!$A$5:$A$204&lt;&gt;"")*(C_Pavement!$A$5:$A$204&lt;=$B884)*(C_Pavement!$B$5:$B$204&gt;$B884)*(C_Pavement!$C$5:$C$204&lt;&gt;"")),ROW(C_Pavement!$C$5:$C$204)-4),"")</f>
        <v/>
      </c>
      <c r="AR884" t="str">
        <f>IF($AQ884="","",UPPER(TRIM(INDEX(C_Pavement!$C$5:$C$204,$AQ884))))</f>
        <v/>
      </c>
      <c r="AS884" t="str">
        <f>IF($AR884="","",IFERROR(MATCH($AR884,E_Rules!$A$5:$A$9,0),""))</f>
        <v/>
      </c>
      <c r="AT884" t="str">
        <f>IF($AQ884="","",IF(INDEX(C_Pavement!$D$5:$D$204,$AQ884)&lt;&gt;"",UPPER(TRIM(INDEX(C_Pavement!$D$5:$D$204,$AQ884))),IF($AS884="","",INDEX(E_Rules!$C$5:$C$9,$AS884))))</f>
        <v/>
      </c>
      <c r="AU884" t="str">
        <f>IF($AQ884="","",IF(INDEX(C_Pavement!$E$5:$E$204,$AQ884)&lt;&gt;"",IF(INDEX(C_Pavement!$E$5:$E$204,$AQ884)="-","",INDEX(C_Pavement!$E$5:$E$204,$AQ884)),IF($AS884="","",INDEX(E_Rules!$D$5:$D$9,$AS884))))</f>
        <v/>
      </c>
      <c r="AV884" t="str">
        <f>IF($AQ884="","",IF(INDEX(C_Pavement!$F$5:$F$204,$AQ884)&lt;&gt;"",IF(INDEX(C_Pavement!$F$5:$F$204,$AQ884)="-","",INDEX(C_Pavement!$F$5:$F$204,$AQ884)),IF($AS884="","",INDEX(E_Rules!$E$5:$E$9,$AS884))))</f>
        <v/>
      </c>
      <c r="AW884" t="str">
        <f>IF($AQ884="","",IF(INDEX(C_Pavement!$G$5:$G$204,$AQ884)&lt;&gt;"",IF(INDEX(C_Pavement!$G$5:$G$204,$AQ884)="-","",INDEX(C_Pavement!$G$5:$G$204,$AQ884)),IF($AS884="","",INDEX(E_Rules!$F$5:$F$9,$AS884))))</f>
        <v/>
      </c>
      <c r="AX884" t="str">
        <f>IF($AQ884="","",IF(INDEX(C_Pavement!$H$5:$H$204,$AQ884)&lt;&gt;"",IF(INDEX(C_Pavement!$H$5:$H$204,$AQ884)="-","",INDEX(C_Pavement!$H$5:$H$204,$AQ884)),IF($AS884="","",INDEX(E_Rules!$G$5:$G$9,$AS884))))</f>
        <v/>
      </c>
      <c r="AY884" t="str">
        <f>IF($AQ884="","",IF(INDEX(C_Pavement!$I$5:$I$204,$AQ884)&lt;&gt;"",IF(INDEX(C_Pavement!$I$5:$I$204,$AQ884)="-","",INDEX(C_Pavement!$I$5:$I$204,$AQ884)),IF($AS884="","",INDEX(E_Rules!$H$5:$H$9,$AS884))))</f>
        <v/>
      </c>
    </row>
    <row r="885" spans="1:51" ht="15.75" customHeight="1" x14ac:dyDescent="0.3">
      <c r="A885" s="189">
        <v>880</v>
      </c>
      <c r="B885" s="180">
        <v>43950</v>
      </c>
      <c r="C885" s="180" t="s">
        <v>1191</v>
      </c>
      <c r="D885" s="181" t="str">
        <f>IFERROR(LOOKUP(2,1/((A_Corridor!$A$5:$A$204&lt;&gt;"")*(A_Corridor!$A$5:$A$204&lt;=$B885)*(A_Corridor!$B$5:$B$204&gt;$B885)*(A_Corridor!$C$5:$C$204&lt;&gt;"")),IF(UPPER(A_Corridor!$C$5:$C$204)="Y",1,"")),"")</f>
        <v/>
      </c>
      <c r="E885" s="181" t="str">
        <f>IFERROR(LOOKUP(2,1/((A_Corridor!$A$5:$A$204&lt;&gt;"")*(A_Corridor!$A$5:$A$204&lt;=$B885)*(A_Corridor!$B$5:$B$204&gt;$B885)*(A_Corridor!$D$5:$D$204&lt;&gt;"")),IF(A_Corridor!$D$5:$D$204="-","",UPPER(A_Corridor!$D$5:$D$204))),"")</f>
        <v/>
      </c>
      <c r="F885" s="181" t="str">
        <f>IFERROR(LOOKUP(2,1/((A_Corridor!$A$5:$A$204&lt;&gt;"")*(A_Corridor!$A$5:$A$204&lt;=$B885)*(A_Corridor!$B$5:$B$204&gt;$B885)*(A_Corridor!$E$5:$E$204&lt;&gt;"")),IF(A_Corridor!$E$5:$E$204="-","",1)),"")</f>
        <v/>
      </c>
      <c r="G885" s="182" t="str">
        <f>IFERROR(LOOKUP(2,1/((A_Corridor!$A$5:$A$204&lt;&gt;"")*(A_Corridor!$A$5:$A$204&lt;=$B885)*(A_Corridor!$B$5:$B$204&gt;$B885)*(A_Corridor!$E$5:$E$204&lt;&gt;"")),IF(A_Corridor!$E$5:$E$204="-","",A_Corridor!$E$5:$E$204)),"")</f>
        <v/>
      </c>
      <c r="H885" s="182" t="str">
        <f>IFERROR(LOOKUP(2,1/((D_Points!$A$5:$A$204&lt;&gt;"")*(D_Points!$A$5:$A$204&gt;=$B885)*(D_Points!$A$5:$A$204&lt;$B885+P_Interval)*(UPPER(TRIM(D_Points!$B$5:$B$204))="GULLY")*(D_Points!$H$5:$H$204&lt;&gt;"")),D_Points!$H$5:$H$204),"")</f>
        <v/>
      </c>
      <c r="I885" s="181" t="str">
        <f>IFERROR(LOOKUP(2,1/((A_Corridor!$A$5:$A$204&lt;&gt;"")*(A_Corridor!$A$5:$A$204&lt;=$B885)*(A_Corridor!$B$5:$B$204&gt;$B885)*(A_Corridor!$F$5:$F$204&lt;&gt;"")),IF(A_Corridor!$F$5:$F$204="-","",1)),"")</f>
        <v/>
      </c>
      <c r="J885" s="182" t="str">
        <f>IFERROR(LOOKUP(2,1/((A_Corridor!$A$5:$A$204&lt;&gt;"")*(A_Corridor!$A$5:$A$204&lt;=$B885)*(A_Corridor!$B$5:$B$204&gt;$B885)*(A_Corridor!$F$5:$F$204&lt;&gt;"")),IF(A_Corridor!$F$5:$F$204="-","",A_Corridor!$F$5:$F$204)),"")</f>
        <v/>
      </c>
      <c r="K885" s="182" t="str">
        <f>IFERROR(LOOKUP(2,1/((A_Corridor!$A$5:$A$204&lt;&gt;"")*(A_Corridor!$A$5:$A$204&lt;=$B885)*(A_Corridor!$B$5:$B$204&gt;$B885)*(A_Corridor!$G$5:$G$204&lt;&gt;"")),IF(A_Corridor!$G$5:$G$204="-","",A_Corridor!$G$5:$G$204)),"")</f>
        <v/>
      </c>
      <c r="L885" s="181" t="str">
        <f>IFERROR(LOOKUP(2,1/((A_Corridor!$A$5:$A$204&lt;&gt;"")*(A_Corridor!$A$5:$A$204&lt;=$B885)*(A_Corridor!$B$5:$B$204&gt;$B885)*(A_Corridor!$H$5:$H$204&lt;&gt;"")),IF(A_Corridor!$H$5:$H$204="-","",1)),"")</f>
        <v/>
      </c>
      <c r="M885" s="182" t="str">
        <f>IFERROR(LOOKUP(2,1/((A_Corridor!$A$5:$A$204&lt;&gt;"")*(A_Corridor!$A$5:$A$204&lt;=$B885)*(A_Corridor!$B$5:$B$204&gt;$B885)*(A_Corridor!$H$5:$H$204&lt;&gt;"")),IF(A_Corridor!$H$5:$H$204="-","",A_Corridor!$H$5:$H$204)),"")</f>
        <v/>
      </c>
      <c r="N885" s="182" t="str">
        <f>IFERROR(LOOKUP(2,1/((A_Corridor!$A$5:$A$204&lt;&gt;"")*(A_Corridor!$A$5:$A$204&lt;=$B885)*(A_Corridor!$B$5:$B$204&gt;$B885)*(A_Corridor!$I$5:$I$204&lt;&gt;"")),IF(A_Corridor!$I$5:$I$204="-","",A_Corridor!$I$5:$I$204)),"")</f>
        <v/>
      </c>
      <c r="O885" s="182" t="str">
        <f>IFERROR(LOOKUP(2,1/((D_Points!$A$5:$A$204&lt;&gt;"")*(D_Points!$A$5:$A$204&gt;=$B885)*(D_Points!$A$5:$A$204&lt;$B885+P_Interval)*(UPPER(TRIM(D_Points!$B$5:$B$204))="PITCHING")*(D_Points!$H$5:$H$204&lt;&gt;"")),D_Points!$H$5:$H$204),"")</f>
        <v/>
      </c>
      <c r="P885" s="181" t="str">
        <f>IFERROR(LOOKUP(2,1/((B_Drainage!$A$5:$A$204&lt;&gt;"")*(B_Drainage!$A$5:$A$204&lt;=$B885)*(B_Drainage!$B$5:$B$204&gt;$B885)*(B_Drainage!$C$5:$C$204&lt;&gt;"")),IF(B_Drainage!$C$5:$C$204="-","",UPPER(B_Drainage!$C$5:$C$204))),"")</f>
        <v/>
      </c>
      <c r="Q885" s="181" t="str">
        <f>IFERROR(LOOKUP(2,1/((B_Drainage!$A$5:$A$204&lt;&gt;"")*(B_Drainage!$A$5:$A$204&lt;=$B885)*(B_Drainage!$B$5:$B$204&gt;$B885)*(B_Drainage!$D$5:$D$204&lt;&gt;"")),IF(B_Drainage!$D$5:$D$204="-","",UPPER(B_Drainage!$D$5:$D$204))),"")</f>
        <v/>
      </c>
      <c r="R885" s="182" t="str">
        <f>IFERROR(LOOKUP(2,1/((D_Points!$A$5:$A$204&lt;&gt;"")*(D_Points!$A$5:$A$204&gt;=$B885)*(D_Points!$A$5:$A$204&lt;$B885+P_Interval)*(RIGHT(UPPER(TRIM(D_Points!$B$5:$B$204)),8)="_CULVERT")),IF(LEFT(UPPER(TRIM(D_Points!$B$5:$B$204)),2)="EX",1,IF(LEFT(UPPER(TRIM(D_Points!$B$5:$B$204)),2)="PR",2,3))),"")</f>
        <v/>
      </c>
      <c r="S885" s="182" t="str">
        <f>IFERROR(LOOKUP(2,1/((D_Points!$A$5:$A$204&lt;&gt;"")*(D_Points!$A$5:$A$204&gt;=$B885)*(D_Points!$A$5:$A$204&lt;$B885+P_Interval)*(RIGHT(UPPER(TRIM(D_Points!$B$5:$B$204)),7)="_BRIDGE")),IF(LEFT(UPPER(TRIM(D_Points!$B$5:$B$204)),2)="EX",1,IF(LEFT(UPPER(TRIM(D_Points!$B$5:$B$204)),2)="PR",2,2))),"")</f>
        <v/>
      </c>
      <c r="T885" s="181" t="str">
        <f>IFERROR(LOOKUP(2,1/((B_Drainage!$A$5:$A$204&lt;&gt;"")*(B_Drainage!$A$5:$A$204&lt;=$B885)*(B_Drainage!$B$5:$B$204&gt;$B885)*(B_Drainage!$E$5:$E$204&lt;&gt;"")),IF(B_Drainage!$E$5:$E$204="-","",1)),"")</f>
        <v/>
      </c>
      <c r="U885" s="181" t="str">
        <f>IFERROR(LOOKUP(2,1/((B_Drainage!$A$5:$A$204&lt;&gt;"")*(B_Drainage!$A$5:$A$204&lt;=$B885)*(B_Drainage!$B$5:$B$204&gt;$B885)*(B_Drainage!$E$5:$E$204&lt;&gt;"")),IF(B_Drainage!$E$5:$E$204="-","",B_Drainage!$E$5:$E$204)),"")</f>
        <v/>
      </c>
      <c r="V885" s="181" t="str">
        <f>IFERROR(LOOKUP(2,1/((B_Drainage!$A$5:$A$204&lt;&gt;"")*(B_Drainage!$A$5:$A$204&lt;=$B885)*(B_Drainage!$B$5:$B$204&gt;$B885)*(B_Drainage!$F$5:$F$204&lt;&gt;"")),IF(B_Drainage!$F$5:$F$204="-","",1)),"")</f>
        <v/>
      </c>
      <c r="W885" s="181" t="str">
        <f>IFERROR(LOOKUP(2,1/((B_Drainage!$A$5:$A$204&lt;&gt;"")*(B_Drainage!$A$5:$A$204&lt;=$B885)*(B_Drainage!$B$5:$B$204&gt;$B885)*(B_Drainage!$F$5:$F$204&lt;&gt;"")),IF(B_Drainage!$F$5:$F$204="-","",B_Drainage!$F$5:$F$204)),"")</f>
        <v/>
      </c>
      <c r="X885" s="181" t="str">
        <f>IFERROR(LOOKUP(2,1/((B_Drainage!$A$5:$A$204&lt;&gt;"")*(B_Drainage!$A$5:$A$204&lt;=$B885)*(B_Drainage!$B$5:$B$204&gt;$B885)*(B_Drainage!$G$5:$G$204&lt;&gt;"")),IF(UPPER(B_Drainage!$G$5:$G$204)="Y",1,"")),"")</f>
        <v/>
      </c>
      <c r="Y885" s="181" t="str">
        <f>IFERROR(LOOKUP(2,1/((B_Drainage!$A$5:$A$204&lt;&gt;"")*(B_Drainage!$A$5:$A$204&lt;=$B885)*(B_Drainage!$B$5:$B$204&gt;$B885)*(B_Drainage!$H$5:$H$204&lt;&gt;"")),IF(UPPER(B_Drainage!$H$5:$H$204)="Y",1,"")),"")</f>
        <v/>
      </c>
      <c r="Z885" s="181" t="str">
        <f>IFERROR(LOOKUP(2,1/((B_Drainage!$A$5:$A$204&lt;&gt;"")*(B_Drainage!$A$5:$A$204&lt;=$B885)*(B_Drainage!$B$5:$B$204&gt;$B885)*(B_Drainage!$I$5:$I$204&lt;&gt;"")),IF(UPPER(B_Drainage!$I$5:$I$204)="Y",1,"")),"")</f>
        <v/>
      </c>
      <c r="AA885" s="181" t="str">
        <f>IFERROR(LOOKUP(2,1/((B_Drainage!$A$5:$A$204&lt;&gt;"")*(B_Drainage!$A$5:$A$204&lt;=$B885)*(B_Drainage!$B$5:$B$204&gt;$B885)*(B_Drainage!$J$5:$J$204&lt;&gt;"")),IF(UPPER(B_Drainage!$J$5:$J$204)="Y",1,"")),"")</f>
        <v/>
      </c>
      <c r="AB885" s="182" t="str">
        <f>IFERROR(LOOKUP(2,1/((B_Drainage!$A$5:$A$204&lt;&gt;"")*(B_Drainage!$A$5:$A$204&lt;=$B885)*(B_Drainage!$B$5:$B$204&gt;$B885)*(B_Drainage!$K$5:$K$204&lt;&gt;"")),IF(B_Drainage!$K$5:$K$204="-","",B_Drainage!$K$5:$K$204)),"")</f>
        <v/>
      </c>
      <c r="AC885" s="182" t="str">
        <f>IFERROR(LOOKUP(2,1/((B_Drainage!$A$5:$A$204&lt;&gt;"")*(B_Drainage!$A$5:$A$204&lt;=$B885)*(B_Drainage!$B$5:$B$204&gt;$B885)*(B_Drainage!$L$5:$L$204&lt;&gt;"")),IF(B_Drainage!$L$5:$L$204="-","",B_Drainage!$L$5:$L$204)),"")</f>
        <v/>
      </c>
      <c r="AD885" s="182" t="str">
        <f>IFERROR(LOOKUP(2,1/((D_Points!$A$5:$A$204&lt;&gt;"")*(D_Points!$A$5:$A$204&gt;=$B885)*(D_Points!$A$5:$A$204&lt;$B885+P_Interval)*(UPPER(TRIM(D_Points!$B$5:$B$204))="TURNOUT_L")*(D_Points!$H$5:$H$204&lt;&gt;"")),D_Points!$H$5:$H$204),"")</f>
        <v/>
      </c>
      <c r="AE885" s="182" t="str">
        <f>IFERROR(LOOKUP(2,1/((D_Points!$A$5:$A$204&lt;&gt;"")*(D_Points!$A$5:$A$204&gt;=$B885)*(D_Points!$A$5:$A$204&lt;$B885+P_Interval)*(UPPER(TRIM(D_Points!$B$5:$B$204))="TURNOUT_R")*(D_Points!$H$5:$H$204&lt;&gt;"")),D_Points!$H$5:$H$204),"")</f>
        <v/>
      </c>
      <c r="AF885" s="181" t="str">
        <f>IFERROR(LOOKUP(2,1/((B_Drainage!$A$5:$A$204&lt;&gt;"")*(B_Drainage!$A$5:$A$204&lt;=$B885)*(B_Drainage!$B$5:$B$204&gt;$B885)*(B_Drainage!$M$5:$M$204&lt;&gt;"")),IF(UPPER(B_Drainage!$M$5:$M$204)="Y",1,"")),"")</f>
        <v/>
      </c>
      <c r="AG885" s="181" t="str">
        <f>IFERROR(LOOKUP(2,1/((B_Drainage!$A$5:$A$204&lt;&gt;"")*(B_Drainage!$A$5:$A$204&lt;=$B885)*(B_Drainage!$B$5:$B$204&gt;$B885)*(B_Drainage!$N$5:$N$204&lt;&gt;"")),IF(UPPER(B_Drainage!$N$5:$N$204)="Y",1,"")),"")</f>
        <v/>
      </c>
      <c r="AH885" s="181" t="str">
        <f t="shared" si="104"/>
        <v/>
      </c>
      <c r="AI885" s="181" t="str">
        <f t="shared" si="105"/>
        <v/>
      </c>
      <c r="AJ885" s="181" t="str">
        <f t="shared" si="106"/>
        <v/>
      </c>
      <c r="AK885" s="181" t="str">
        <f t="shared" si="107"/>
        <v/>
      </c>
      <c r="AL885" s="181" t="str">
        <f t="shared" si="108"/>
        <v/>
      </c>
      <c r="AM885" s="181" t="str">
        <f t="shared" si="109"/>
        <v/>
      </c>
      <c r="AN885" s="181" t="str">
        <f t="shared" si="110"/>
        <v/>
      </c>
      <c r="AO885" s="192" t="str">
        <f t="shared" si="111"/>
        <v/>
      </c>
      <c r="AQ885" t="str">
        <f>IFERROR(LOOKUP(2,1/((C_Pavement!$A$5:$A$204&lt;&gt;"")*(C_Pavement!$A$5:$A$204&lt;=$B885)*(C_Pavement!$B$5:$B$204&gt;$B885)*(C_Pavement!$C$5:$C$204&lt;&gt;"")),ROW(C_Pavement!$C$5:$C$204)-4),"")</f>
        <v/>
      </c>
      <c r="AR885" t="str">
        <f>IF($AQ885="","",UPPER(TRIM(INDEX(C_Pavement!$C$5:$C$204,$AQ885))))</f>
        <v/>
      </c>
      <c r="AS885" t="str">
        <f>IF($AR885="","",IFERROR(MATCH($AR885,E_Rules!$A$5:$A$9,0),""))</f>
        <v/>
      </c>
      <c r="AT885" t="str">
        <f>IF($AQ885="","",IF(INDEX(C_Pavement!$D$5:$D$204,$AQ885)&lt;&gt;"",UPPER(TRIM(INDEX(C_Pavement!$D$5:$D$204,$AQ885))),IF($AS885="","",INDEX(E_Rules!$C$5:$C$9,$AS885))))</f>
        <v/>
      </c>
      <c r="AU885" t="str">
        <f>IF($AQ885="","",IF(INDEX(C_Pavement!$E$5:$E$204,$AQ885)&lt;&gt;"",IF(INDEX(C_Pavement!$E$5:$E$204,$AQ885)="-","",INDEX(C_Pavement!$E$5:$E$204,$AQ885)),IF($AS885="","",INDEX(E_Rules!$D$5:$D$9,$AS885))))</f>
        <v/>
      </c>
      <c r="AV885" t="str">
        <f>IF($AQ885="","",IF(INDEX(C_Pavement!$F$5:$F$204,$AQ885)&lt;&gt;"",IF(INDEX(C_Pavement!$F$5:$F$204,$AQ885)="-","",INDEX(C_Pavement!$F$5:$F$204,$AQ885)),IF($AS885="","",INDEX(E_Rules!$E$5:$E$9,$AS885))))</f>
        <v/>
      </c>
      <c r="AW885" t="str">
        <f>IF($AQ885="","",IF(INDEX(C_Pavement!$G$5:$G$204,$AQ885)&lt;&gt;"",IF(INDEX(C_Pavement!$G$5:$G$204,$AQ885)="-","",INDEX(C_Pavement!$G$5:$G$204,$AQ885)),IF($AS885="","",INDEX(E_Rules!$F$5:$F$9,$AS885))))</f>
        <v/>
      </c>
      <c r="AX885" t="str">
        <f>IF($AQ885="","",IF(INDEX(C_Pavement!$H$5:$H$204,$AQ885)&lt;&gt;"",IF(INDEX(C_Pavement!$H$5:$H$204,$AQ885)="-","",INDEX(C_Pavement!$H$5:$H$204,$AQ885)),IF($AS885="","",INDEX(E_Rules!$G$5:$G$9,$AS885))))</f>
        <v/>
      </c>
      <c r="AY885" t="str">
        <f>IF($AQ885="","",IF(INDEX(C_Pavement!$I$5:$I$204,$AQ885)&lt;&gt;"",IF(INDEX(C_Pavement!$I$5:$I$204,$AQ885)="-","",INDEX(C_Pavement!$I$5:$I$204,$AQ885)),IF($AS885="","",INDEX(E_Rules!$H$5:$H$9,$AS885))))</f>
        <v/>
      </c>
    </row>
    <row r="886" spans="1:51" ht="15.75" customHeight="1" x14ac:dyDescent="0.3">
      <c r="A886" s="189">
        <v>881</v>
      </c>
      <c r="B886" s="180">
        <v>44000</v>
      </c>
      <c r="C886" s="180" t="s">
        <v>1192</v>
      </c>
      <c r="D886" s="181" t="str">
        <f>IFERROR(LOOKUP(2,1/((A_Corridor!$A$5:$A$204&lt;&gt;"")*(A_Corridor!$A$5:$A$204&lt;=$B886)*(A_Corridor!$B$5:$B$204&gt;$B886)*(A_Corridor!$C$5:$C$204&lt;&gt;"")),IF(UPPER(A_Corridor!$C$5:$C$204)="Y",1,"")),"")</f>
        <v/>
      </c>
      <c r="E886" s="181" t="str">
        <f>IFERROR(LOOKUP(2,1/((A_Corridor!$A$5:$A$204&lt;&gt;"")*(A_Corridor!$A$5:$A$204&lt;=$B886)*(A_Corridor!$B$5:$B$204&gt;$B886)*(A_Corridor!$D$5:$D$204&lt;&gt;"")),IF(A_Corridor!$D$5:$D$204="-","",UPPER(A_Corridor!$D$5:$D$204))),"")</f>
        <v/>
      </c>
      <c r="F886" s="181" t="str">
        <f>IFERROR(LOOKUP(2,1/((A_Corridor!$A$5:$A$204&lt;&gt;"")*(A_Corridor!$A$5:$A$204&lt;=$B886)*(A_Corridor!$B$5:$B$204&gt;$B886)*(A_Corridor!$E$5:$E$204&lt;&gt;"")),IF(A_Corridor!$E$5:$E$204="-","",1)),"")</f>
        <v/>
      </c>
      <c r="G886" s="182" t="str">
        <f>IFERROR(LOOKUP(2,1/((A_Corridor!$A$5:$A$204&lt;&gt;"")*(A_Corridor!$A$5:$A$204&lt;=$B886)*(A_Corridor!$B$5:$B$204&gt;$B886)*(A_Corridor!$E$5:$E$204&lt;&gt;"")),IF(A_Corridor!$E$5:$E$204="-","",A_Corridor!$E$5:$E$204)),"")</f>
        <v/>
      </c>
      <c r="H886" s="182" t="str">
        <f>IFERROR(LOOKUP(2,1/((D_Points!$A$5:$A$204&lt;&gt;"")*(D_Points!$A$5:$A$204&gt;=$B886)*(D_Points!$A$5:$A$204&lt;$B886+P_Interval)*(UPPER(TRIM(D_Points!$B$5:$B$204))="GULLY")*(D_Points!$H$5:$H$204&lt;&gt;"")),D_Points!$H$5:$H$204),"")</f>
        <v/>
      </c>
      <c r="I886" s="181" t="str">
        <f>IFERROR(LOOKUP(2,1/((A_Corridor!$A$5:$A$204&lt;&gt;"")*(A_Corridor!$A$5:$A$204&lt;=$B886)*(A_Corridor!$B$5:$B$204&gt;$B886)*(A_Corridor!$F$5:$F$204&lt;&gt;"")),IF(A_Corridor!$F$5:$F$204="-","",1)),"")</f>
        <v/>
      </c>
      <c r="J886" s="182" t="str">
        <f>IFERROR(LOOKUP(2,1/((A_Corridor!$A$5:$A$204&lt;&gt;"")*(A_Corridor!$A$5:$A$204&lt;=$B886)*(A_Corridor!$B$5:$B$204&gt;$B886)*(A_Corridor!$F$5:$F$204&lt;&gt;"")),IF(A_Corridor!$F$5:$F$204="-","",A_Corridor!$F$5:$F$204)),"")</f>
        <v/>
      </c>
      <c r="K886" s="182" t="str">
        <f>IFERROR(LOOKUP(2,1/((A_Corridor!$A$5:$A$204&lt;&gt;"")*(A_Corridor!$A$5:$A$204&lt;=$B886)*(A_Corridor!$B$5:$B$204&gt;$B886)*(A_Corridor!$G$5:$G$204&lt;&gt;"")),IF(A_Corridor!$G$5:$G$204="-","",A_Corridor!$G$5:$G$204)),"")</f>
        <v/>
      </c>
      <c r="L886" s="181" t="str">
        <f>IFERROR(LOOKUP(2,1/((A_Corridor!$A$5:$A$204&lt;&gt;"")*(A_Corridor!$A$5:$A$204&lt;=$B886)*(A_Corridor!$B$5:$B$204&gt;$B886)*(A_Corridor!$H$5:$H$204&lt;&gt;"")),IF(A_Corridor!$H$5:$H$204="-","",1)),"")</f>
        <v/>
      </c>
      <c r="M886" s="182" t="str">
        <f>IFERROR(LOOKUP(2,1/((A_Corridor!$A$5:$A$204&lt;&gt;"")*(A_Corridor!$A$5:$A$204&lt;=$B886)*(A_Corridor!$B$5:$B$204&gt;$B886)*(A_Corridor!$H$5:$H$204&lt;&gt;"")),IF(A_Corridor!$H$5:$H$204="-","",A_Corridor!$H$5:$H$204)),"")</f>
        <v/>
      </c>
      <c r="N886" s="182" t="str">
        <f>IFERROR(LOOKUP(2,1/((A_Corridor!$A$5:$A$204&lt;&gt;"")*(A_Corridor!$A$5:$A$204&lt;=$B886)*(A_Corridor!$B$5:$B$204&gt;$B886)*(A_Corridor!$I$5:$I$204&lt;&gt;"")),IF(A_Corridor!$I$5:$I$204="-","",A_Corridor!$I$5:$I$204)),"")</f>
        <v/>
      </c>
      <c r="O886" s="182" t="str">
        <f>IFERROR(LOOKUP(2,1/((D_Points!$A$5:$A$204&lt;&gt;"")*(D_Points!$A$5:$A$204&gt;=$B886)*(D_Points!$A$5:$A$204&lt;$B886+P_Interval)*(UPPER(TRIM(D_Points!$B$5:$B$204))="PITCHING")*(D_Points!$H$5:$H$204&lt;&gt;"")),D_Points!$H$5:$H$204),"")</f>
        <v/>
      </c>
      <c r="P886" s="181" t="str">
        <f>IFERROR(LOOKUP(2,1/((B_Drainage!$A$5:$A$204&lt;&gt;"")*(B_Drainage!$A$5:$A$204&lt;=$B886)*(B_Drainage!$B$5:$B$204&gt;$B886)*(B_Drainage!$C$5:$C$204&lt;&gt;"")),IF(B_Drainage!$C$5:$C$204="-","",UPPER(B_Drainage!$C$5:$C$204))),"")</f>
        <v/>
      </c>
      <c r="Q886" s="181" t="str">
        <f>IFERROR(LOOKUP(2,1/((B_Drainage!$A$5:$A$204&lt;&gt;"")*(B_Drainage!$A$5:$A$204&lt;=$B886)*(B_Drainage!$B$5:$B$204&gt;$B886)*(B_Drainage!$D$5:$D$204&lt;&gt;"")),IF(B_Drainage!$D$5:$D$204="-","",UPPER(B_Drainage!$D$5:$D$204))),"")</f>
        <v/>
      </c>
      <c r="R886" s="182" t="str">
        <f>IFERROR(LOOKUP(2,1/((D_Points!$A$5:$A$204&lt;&gt;"")*(D_Points!$A$5:$A$204&gt;=$B886)*(D_Points!$A$5:$A$204&lt;$B886+P_Interval)*(RIGHT(UPPER(TRIM(D_Points!$B$5:$B$204)),8)="_CULVERT")),IF(LEFT(UPPER(TRIM(D_Points!$B$5:$B$204)),2)="EX",1,IF(LEFT(UPPER(TRIM(D_Points!$B$5:$B$204)),2)="PR",2,3))),"")</f>
        <v/>
      </c>
      <c r="S886" s="182" t="str">
        <f>IFERROR(LOOKUP(2,1/((D_Points!$A$5:$A$204&lt;&gt;"")*(D_Points!$A$5:$A$204&gt;=$B886)*(D_Points!$A$5:$A$204&lt;$B886+P_Interval)*(RIGHT(UPPER(TRIM(D_Points!$B$5:$B$204)),7)="_BRIDGE")),IF(LEFT(UPPER(TRIM(D_Points!$B$5:$B$204)),2)="EX",1,IF(LEFT(UPPER(TRIM(D_Points!$B$5:$B$204)),2)="PR",2,2))),"")</f>
        <v/>
      </c>
      <c r="T886" s="181" t="str">
        <f>IFERROR(LOOKUP(2,1/((B_Drainage!$A$5:$A$204&lt;&gt;"")*(B_Drainage!$A$5:$A$204&lt;=$B886)*(B_Drainage!$B$5:$B$204&gt;$B886)*(B_Drainage!$E$5:$E$204&lt;&gt;"")),IF(B_Drainage!$E$5:$E$204="-","",1)),"")</f>
        <v/>
      </c>
      <c r="U886" s="181" t="str">
        <f>IFERROR(LOOKUP(2,1/((B_Drainage!$A$5:$A$204&lt;&gt;"")*(B_Drainage!$A$5:$A$204&lt;=$B886)*(B_Drainage!$B$5:$B$204&gt;$B886)*(B_Drainage!$E$5:$E$204&lt;&gt;"")),IF(B_Drainage!$E$5:$E$204="-","",B_Drainage!$E$5:$E$204)),"")</f>
        <v/>
      </c>
      <c r="V886" s="181" t="str">
        <f>IFERROR(LOOKUP(2,1/((B_Drainage!$A$5:$A$204&lt;&gt;"")*(B_Drainage!$A$5:$A$204&lt;=$B886)*(B_Drainage!$B$5:$B$204&gt;$B886)*(B_Drainage!$F$5:$F$204&lt;&gt;"")),IF(B_Drainage!$F$5:$F$204="-","",1)),"")</f>
        <v/>
      </c>
      <c r="W886" s="181" t="str">
        <f>IFERROR(LOOKUP(2,1/((B_Drainage!$A$5:$A$204&lt;&gt;"")*(B_Drainage!$A$5:$A$204&lt;=$B886)*(B_Drainage!$B$5:$B$204&gt;$B886)*(B_Drainage!$F$5:$F$204&lt;&gt;"")),IF(B_Drainage!$F$5:$F$204="-","",B_Drainage!$F$5:$F$204)),"")</f>
        <v/>
      </c>
      <c r="X886" s="181" t="str">
        <f>IFERROR(LOOKUP(2,1/((B_Drainage!$A$5:$A$204&lt;&gt;"")*(B_Drainage!$A$5:$A$204&lt;=$B886)*(B_Drainage!$B$5:$B$204&gt;$B886)*(B_Drainage!$G$5:$G$204&lt;&gt;"")),IF(UPPER(B_Drainage!$G$5:$G$204)="Y",1,"")),"")</f>
        <v/>
      </c>
      <c r="Y886" s="181" t="str">
        <f>IFERROR(LOOKUP(2,1/((B_Drainage!$A$5:$A$204&lt;&gt;"")*(B_Drainage!$A$5:$A$204&lt;=$B886)*(B_Drainage!$B$5:$B$204&gt;$B886)*(B_Drainage!$H$5:$H$204&lt;&gt;"")),IF(UPPER(B_Drainage!$H$5:$H$204)="Y",1,"")),"")</f>
        <v/>
      </c>
      <c r="Z886" s="181" t="str">
        <f>IFERROR(LOOKUP(2,1/((B_Drainage!$A$5:$A$204&lt;&gt;"")*(B_Drainage!$A$5:$A$204&lt;=$B886)*(B_Drainage!$B$5:$B$204&gt;$B886)*(B_Drainage!$I$5:$I$204&lt;&gt;"")),IF(UPPER(B_Drainage!$I$5:$I$204)="Y",1,"")),"")</f>
        <v/>
      </c>
      <c r="AA886" s="181" t="str">
        <f>IFERROR(LOOKUP(2,1/((B_Drainage!$A$5:$A$204&lt;&gt;"")*(B_Drainage!$A$5:$A$204&lt;=$B886)*(B_Drainage!$B$5:$B$204&gt;$B886)*(B_Drainage!$J$5:$J$204&lt;&gt;"")),IF(UPPER(B_Drainage!$J$5:$J$204)="Y",1,"")),"")</f>
        <v/>
      </c>
      <c r="AB886" s="182" t="str">
        <f>IFERROR(LOOKUP(2,1/((B_Drainage!$A$5:$A$204&lt;&gt;"")*(B_Drainage!$A$5:$A$204&lt;=$B886)*(B_Drainage!$B$5:$B$204&gt;$B886)*(B_Drainage!$K$5:$K$204&lt;&gt;"")),IF(B_Drainage!$K$5:$K$204="-","",B_Drainage!$K$5:$K$204)),"")</f>
        <v/>
      </c>
      <c r="AC886" s="182" t="str">
        <f>IFERROR(LOOKUP(2,1/((B_Drainage!$A$5:$A$204&lt;&gt;"")*(B_Drainage!$A$5:$A$204&lt;=$B886)*(B_Drainage!$B$5:$B$204&gt;$B886)*(B_Drainage!$L$5:$L$204&lt;&gt;"")),IF(B_Drainage!$L$5:$L$204="-","",B_Drainage!$L$5:$L$204)),"")</f>
        <v/>
      </c>
      <c r="AD886" s="182" t="str">
        <f>IFERROR(LOOKUP(2,1/((D_Points!$A$5:$A$204&lt;&gt;"")*(D_Points!$A$5:$A$204&gt;=$B886)*(D_Points!$A$5:$A$204&lt;$B886+P_Interval)*(UPPER(TRIM(D_Points!$B$5:$B$204))="TURNOUT_L")*(D_Points!$H$5:$H$204&lt;&gt;"")),D_Points!$H$5:$H$204),"")</f>
        <v/>
      </c>
      <c r="AE886" s="182" t="str">
        <f>IFERROR(LOOKUP(2,1/((D_Points!$A$5:$A$204&lt;&gt;"")*(D_Points!$A$5:$A$204&gt;=$B886)*(D_Points!$A$5:$A$204&lt;$B886+P_Interval)*(UPPER(TRIM(D_Points!$B$5:$B$204))="TURNOUT_R")*(D_Points!$H$5:$H$204&lt;&gt;"")),D_Points!$H$5:$H$204),"")</f>
        <v/>
      </c>
      <c r="AF886" s="181" t="str">
        <f>IFERROR(LOOKUP(2,1/((B_Drainage!$A$5:$A$204&lt;&gt;"")*(B_Drainage!$A$5:$A$204&lt;=$B886)*(B_Drainage!$B$5:$B$204&gt;$B886)*(B_Drainage!$M$5:$M$204&lt;&gt;"")),IF(UPPER(B_Drainage!$M$5:$M$204)="Y",1,"")),"")</f>
        <v/>
      </c>
      <c r="AG886" s="181" t="str">
        <f>IFERROR(LOOKUP(2,1/((B_Drainage!$A$5:$A$204&lt;&gt;"")*(B_Drainage!$A$5:$A$204&lt;=$B886)*(B_Drainage!$B$5:$B$204&gt;$B886)*(B_Drainage!$N$5:$N$204&lt;&gt;"")),IF(UPPER(B_Drainage!$N$5:$N$204)="Y",1,"")),"")</f>
        <v/>
      </c>
      <c r="AH886" s="181" t="str">
        <f t="shared" si="104"/>
        <v/>
      </c>
      <c r="AI886" s="181" t="str">
        <f t="shared" si="105"/>
        <v/>
      </c>
      <c r="AJ886" s="181" t="str">
        <f t="shared" si="106"/>
        <v/>
      </c>
      <c r="AK886" s="181" t="str">
        <f t="shared" si="107"/>
        <v/>
      </c>
      <c r="AL886" s="181" t="str">
        <f t="shared" si="108"/>
        <v/>
      </c>
      <c r="AM886" s="181" t="str">
        <f t="shared" si="109"/>
        <v/>
      </c>
      <c r="AN886" s="181" t="str">
        <f t="shared" si="110"/>
        <v/>
      </c>
      <c r="AO886" s="192" t="str">
        <f t="shared" si="111"/>
        <v/>
      </c>
      <c r="AQ886" t="str">
        <f>IFERROR(LOOKUP(2,1/((C_Pavement!$A$5:$A$204&lt;&gt;"")*(C_Pavement!$A$5:$A$204&lt;=$B886)*(C_Pavement!$B$5:$B$204&gt;$B886)*(C_Pavement!$C$5:$C$204&lt;&gt;"")),ROW(C_Pavement!$C$5:$C$204)-4),"")</f>
        <v/>
      </c>
      <c r="AR886" t="str">
        <f>IF($AQ886="","",UPPER(TRIM(INDEX(C_Pavement!$C$5:$C$204,$AQ886))))</f>
        <v/>
      </c>
      <c r="AS886" t="str">
        <f>IF($AR886="","",IFERROR(MATCH($AR886,E_Rules!$A$5:$A$9,0),""))</f>
        <v/>
      </c>
      <c r="AT886" t="str">
        <f>IF($AQ886="","",IF(INDEX(C_Pavement!$D$5:$D$204,$AQ886)&lt;&gt;"",UPPER(TRIM(INDEX(C_Pavement!$D$5:$D$204,$AQ886))),IF($AS886="","",INDEX(E_Rules!$C$5:$C$9,$AS886))))</f>
        <v/>
      </c>
      <c r="AU886" t="str">
        <f>IF($AQ886="","",IF(INDEX(C_Pavement!$E$5:$E$204,$AQ886)&lt;&gt;"",IF(INDEX(C_Pavement!$E$5:$E$204,$AQ886)="-","",INDEX(C_Pavement!$E$5:$E$204,$AQ886)),IF($AS886="","",INDEX(E_Rules!$D$5:$D$9,$AS886))))</f>
        <v/>
      </c>
      <c r="AV886" t="str">
        <f>IF($AQ886="","",IF(INDEX(C_Pavement!$F$5:$F$204,$AQ886)&lt;&gt;"",IF(INDEX(C_Pavement!$F$5:$F$204,$AQ886)="-","",INDEX(C_Pavement!$F$5:$F$204,$AQ886)),IF($AS886="","",INDEX(E_Rules!$E$5:$E$9,$AS886))))</f>
        <v/>
      </c>
      <c r="AW886" t="str">
        <f>IF($AQ886="","",IF(INDEX(C_Pavement!$G$5:$G$204,$AQ886)&lt;&gt;"",IF(INDEX(C_Pavement!$G$5:$G$204,$AQ886)="-","",INDEX(C_Pavement!$G$5:$G$204,$AQ886)),IF($AS886="","",INDEX(E_Rules!$F$5:$F$9,$AS886))))</f>
        <v/>
      </c>
      <c r="AX886" t="str">
        <f>IF($AQ886="","",IF(INDEX(C_Pavement!$H$5:$H$204,$AQ886)&lt;&gt;"",IF(INDEX(C_Pavement!$H$5:$H$204,$AQ886)="-","",INDEX(C_Pavement!$H$5:$H$204,$AQ886)),IF($AS886="","",INDEX(E_Rules!$G$5:$G$9,$AS886))))</f>
        <v/>
      </c>
      <c r="AY886" t="str">
        <f>IF($AQ886="","",IF(INDEX(C_Pavement!$I$5:$I$204,$AQ886)&lt;&gt;"",IF(INDEX(C_Pavement!$I$5:$I$204,$AQ886)="-","",INDEX(C_Pavement!$I$5:$I$204,$AQ886)),IF($AS886="","",INDEX(E_Rules!$H$5:$H$9,$AS886))))</f>
        <v/>
      </c>
    </row>
    <row r="887" spans="1:51" ht="15.75" customHeight="1" x14ac:dyDescent="0.3">
      <c r="A887" s="189">
        <v>882</v>
      </c>
      <c r="B887" s="180">
        <v>44050</v>
      </c>
      <c r="C887" s="180" t="s">
        <v>1193</v>
      </c>
      <c r="D887" s="181" t="str">
        <f>IFERROR(LOOKUP(2,1/((A_Corridor!$A$5:$A$204&lt;&gt;"")*(A_Corridor!$A$5:$A$204&lt;=$B887)*(A_Corridor!$B$5:$B$204&gt;$B887)*(A_Corridor!$C$5:$C$204&lt;&gt;"")),IF(UPPER(A_Corridor!$C$5:$C$204)="Y",1,"")),"")</f>
        <v/>
      </c>
      <c r="E887" s="181" t="str">
        <f>IFERROR(LOOKUP(2,1/((A_Corridor!$A$5:$A$204&lt;&gt;"")*(A_Corridor!$A$5:$A$204&lt;=$B887)*(A_Corridor!$B$5:$B$204&gt;$B887)*(A_Corridor!$D$5:$D$204&lt;&gt;"")),IF(A_Corridor!$D$5:$D$204="-","",UPPER(A_Corridor!$D$5:$D$204))),"")</f>
        <v/>
      </c>
      <c r="F887" s="181" t="str">
        <f>IFERROR(LOOKUP(2,1/((A_Corridor!$A$5:$A$204&lt;&gt;"")*(A_Corridor!$A$5:$A$204&lt;=$B887)*(A_Corridor!$B$5:$B$204&gt;$B887)*(A_Corridor!$E$5:$E$204&lt;&gt;"")),IF(A_Corridor!$E$5:$E$204="-","",1)),"")</f>
        <v/>
      </c>
      <c r="G887" s="182" t="str">
        <f>IFERROR(LOOKUP(2,1/((A_Corridor!$A$5:$A$204&lt;&gt;"")*(A_Corridor!$A$5:$A$204&lt;=$B887)*(A_Corridor!$B$5:$B$204&gt;$B887)*(A_Corridor!$E$5:$E$204&lt;&gt;"")),IF(A_Corridor!$E$5:$E$204="-","",A_Corridor!$E$5:$E$204)),"")</f>
        <v/>
      </c>
      <c r="H887" s="182" t="str">
        <f>IFERROR(LOOKUP(2,1/((D_Points!$A$5:$A$204&lt;&gt;"")*(D_Points!$A$5:$A$204&gt;=$B887)*(D_Points!$A$5:$A$204&lt;$B887+P_Interval)*(UPPER(TRIM(D_Points!$B$5:$B$204))="GULLY")*(D_Points!$H$5:$H$204&lt;&gt;"")),D_Points!$H$5:$H$204),"")</f>
        <v/>
      </c>
      <c r="I887" s="181" t="str">
        <f>IFERROR(LOOKUP(2,1/((A_Corridor!$A$5:$A$204&lt;&gt;"")*(A_Corridor!$A$5:$A$204&lt;=$B887)*(A_Corridor!$B$5:$B$204&gt;$B887)*(A_Corridor!$F$5:$F$204&lt;&gt;"")),IF(A_Corridor!$F$5:$F$204="-","",1)),"")</f>
        <v/>
      </c>
      <c r="J887" s="182" t="str">
        <f>IFERROR(LOOKUP(2,1/((A_Corridor!$A$5:$A$204&lt;&gt;"")*(A_Corridor!$A$5:$A$204&lt;=$B887)*(A_Corridor!$B$5:$B$204&gt;$B887)*(A_Corridor!$F$5:$F$204&lt;&gt;"")),IF(A_Corridor!$F$5:$F$204="-","",A_Corridor!$F$5:$F$204)),"")</f>
        <v/>
      </c>
      <c r="K887" s="182" t="str">
        <f>IFERROR(LOOKUP(2,1/((A_Corridor!$A$5:$A$204&lt;&gt;"")*(A_Corridor!$A$5:$A$204&lt;=$B887)*(A_Corridor!$B$5:$B$204&gt;$B887)*(A_Corridor!$G$5:$G$204&lt;&gt;"")),IF(A_Corridor!$G$5:$G$204="-","",A_Corridor!$G$5:$G$204)),"")</f>
        <v/>
      </c>
      <c r="L887" s="181" t="str">
        <f>IFERROR(LOOKUP(2,1/((A_Corridor!$A$5:$A$204&lt;&gt;"")*(A_Corridor!$A$5:$A$204&lt;=$B887)*(A_Corridor!$B$5:$B$204&gt;$B887)*(A_Corridor!$H$5:$H$204&lt;&gt;"")),IF(A_Corridor!$H$5:$H$204="-","",1)),"")</f>
        <v/>
      </c>
      <c r="M887" s="182" t="str">
        <f>IFERROR(LOOKUP(2,1/((A_Corridor!$A$5:$A$204&lt;&gt;"")*(A_Corridor!$A$5:$A$204&lt;=$B887)*(A_Corridor!$B$5:$B$204&gt;$B887)*(A_Corridor!$H$5:$H$204&lt;&gt;"")),IF(A_Corridor!$H$5:$H$204="-","",A_Corridor!$H$5:$H$204)),"")</f>
        <v/>
      </c>
      <c r="N887" s="182" t="str">
        <f>IFERROR(LOOKUP(2,1/((A_Corridor!$A$5:$A$204&lt;&gt;"")*(A_Corridor!$A$5:$A$204&lt;=$B887)*(A_Corridor!$B$5:$B$204&gt;$B887)*(A_Corridor!$I$5:$I$204&lt;&gt;"")),IF(A_Corridor!$I$5:$I$204="-","",A_Corridor!$I$5:$I$204)),"")</f>
        <v/>
      </c>
      <c r="O887" s="182" t="str">
        <f>IFERROR(LOOKUP(2,1/((D_Points!$A$5:$A$204&lt;&gt;"")*(D_Points!$A$5:$A$204&gt;=$B887)*(D_Points!$A$5:$A$204&lt;$B887+P_Interval)*(UPPER(TRIM(D_Points!$B$5:$B$204))="PITCHING")*(D_Points!$H$5:$H$204&lt;&gt;"")),D_Points!$H$5:$H$204),"")</f>
        <v/>
      </c>
      <c r="P887" s="181" t="str">
        <f>IFERROR(LOOKUP(2,1/((B_Drainage!$A$5:$A$204&lt;&gt;"")*(B_Drainage!$A$5:$A$204&lt;=$B887)*(B_Drainage!$B$5:$B$204&gt;$B887)*(B_Drainage!$C$5:$C$204&lt;&gt;"")),IF(B_Drainage!$C$5:$C$204="-","",UPPER(B_Drainage!$C$5:$C$204))),"")</f>
        <v/>
      </c>
      <c r="Q887" s="181" t="str">
        <f>IFERROR(LOOKUP(2,1/((B_Drainage!$A$5:$A$204&lt;&gt;"")*(B_Drainage!$A$5:$A$204&lt;=$B887)*(B_Drainage!$B$5:$B$204&gt;$B887)*(B_Drainage!$D$5:$D$204&lt;&gt;"")),IF(B_Drainage!$D$5:$D$204="-","",UPPER(B_Drainage!$D$5:$D$204))),"")</f>
        <v/>
      </c>
      <c r="R887" s="182" t="str">
        <f>IFERROR(LOOKUP(2,1/((D_Points!$A$5:$A$204&lt;&gt;"")*(D_Points!$A$5:$A$204&gt;=$B887)*(D_Points!$A$5:$A$204&lt;$B887+P_Interval)*(RIGHT(UPPER(TRIM(D_Points!$B$5:$B$204)),8)="_CULVERT")),IF(LEFT(UPPER(TRIM(D_Points!$B$5:$B$204)),2)="EX",1,IF(LEFT(UPPER(TRIM(D_Points!$B$5:$B$204)),2)="PR",2,3))),"")</f>
        <v/>
      </c>
      <c r="S887" s="182" t="str">
        <f>IFERROR(LOOKUP(2,1/((D_Points!$A$5:$A$204&lt;&gt;"")*(D_Points!$A$5:$A$204&gt;=$B887)*(D_Points!$A$5:$A$204&lt;$B887+P_Interval)*(RIGHT(UPPER(TRIM(D_Points!$B$5:$B$204)),7)="_BRIDGE")),IF(LEFT(UPPER(TRIM(D_Points!$B$5:$B$204)),2)="EX",1,IF(LEFT(UPPER(TRIM(D_Points!$B$5:$B$204)),2)="PR",2,2))),"")</f>
        <v/>
      </c>
      <c r="T887" s="181" t="str">
        <f>IFERROR(LOOKUP(2,1/((B_Drainage!$A$5:$A$204&lt;&gt;"")*(B_Drainage!$A$5:$A$204&lt;=$B887)*(B_Drainage!$B$5:$B$204&gt;$B887)*(B_Drainage!$E$5:$E$204&lt;&gt;"")),IF(B_Drainage!$E$5:$E$204="-","",1)),"")</f>
        <v/>
      </c>
      <c r="U887" s="181" t="str">
        <f>IFERROR(LOOKUP(2,1/((B_Drainage!$A$5:$A$204&lt;&gt;"")*(B_Drainage!$A$5:$A$204&lt;=$B887)*(B_Drainage!$B$5:$B$204&gt;$B887)*(B_Drainage!$E$5:$E$204&lt;&gt;"")),IF(B_Drainage!$E$5:$E$204="-","",B_Drainage!$E$5:$E$204)),"")</f>
        <v/>
      </c>
      <c r="V887" s="181" t="str">
        <f>IFERROR(LOOKUP(2,1/((B_Drainage!$A$5:$A$204&lt;&gt;"")*(B_Drainage!$A$5:$A$204&lt;=$B887)*(B_Drainage!$B$5:$B$204&gt;$B887)*(B_Drainage!$F$5:$F$204&lt;&gt;"")),IF(B_Drainage!$F$5:$F$204="-","",1)),"")</f>
        <v/>
      </c>
      <c r="W887" s="181" t="str">
        <f>IFERROR(LOOKUP(2,1/((B_Drainage!$A$5:$A$204&lt;&gt;"")*(B_Drainage!$A$5:$A$204&lt;=$B887)*(B_Drainage!$B$5:$B$204&gt;$B887)*(B_Drainage!$F$5:$F$204&lt;&gt;"")),IF(B_Drainage!$F$5:$F$204="-","",B_Drainage!$F$5:$F$204)),"")</f>
        <v/>
      </c>
      <c r="X887" s="181" t="str">
        <f>IFERROR(LOOKUP(2,1/((B_Drainage!$A$5:$A$204&lt;&gt;"")*(B_Drainage!$A$5:$A$204&lt;=$B887)*(B_Drainage!$B$5:$B$204&gt;$B887)*(B_Drainage!$G$5:$G$204&lt;&gt;"")),IF(UPPER(B_Drainage!$G$5:$G$204)="Y",1,"")),"")</f>
        <v/>
      </c>
      <c r="Y887" s="181" t="str">
        <f>IFERROR(LOOKUP(2,1/((B_Drainage!$A$5:$A$204&lt;&gt;"")*(B_Drainage!$A$5:$A$204&lt;=$B887)*(B_Drainage!$B$5:$B$204&gt;$B887)*(B_Drainage!$H$5:$H$204&lt;&gt;"")),IF(UPPER(B_Drainage!$H$5:$H$204)="Y",1,"")),"")</f>
        <v/>
      </c>
      <c r="Z887" s="181" t="str">
        <f>IFERROR(LOOKUP(2,1/((B_Drainage!$A$5:$A$204&lt;&gt;"")*(B_Drainage!$A$5:$A$204&lt;=$B887)*(B_Drainage!$B$5:$B$204&gt;$B887)*(B_Drainage!$I$5:$I$204&lt;&gt;"")),IF(UPPER(B_Drainage!$I$5:$I$204)="Y",1,"")),"")</f>
        <v/>
      </c>
      <c r="AA887" s="181" t="str">
        <f>IFERROR(LOOKUP(2,1/((B_Drainage!$A$5:$A$204&lt;&gt;"")*(B_Drainage!$A$5:$A$204&lt;=$B887)*(B_Drainage!$B$5:$B$204&gt;$B887)*(B_Drainage!$J$5:$J$204&lt;&gt;"")),IF(UPPER(B_Drainage!$J$5:$J$204)="Y",1,"")),"")</f>
        <v/>
      </c>
      <c r="AB887" s="182" t="str">
        <f>IFERROR(LOOKUP(2,1/((B_Drainage!$A$5:$A$204&lt;&gt;"")*(B_Drainage!$A$5:$A$204&lt;=$B887)*(B_Drainage!$B$5:$B$204&gt;$B887)*(B_Drainage!$K$5:$K$204&lt;&gt;"")),IF(B_Drainage!$K$5:$K$204="-","",B_Drainage!$K$5:$K$204)),"")</f>
        <v/>
      </c>
      <c r="AC887" s="182" t="str">
        <f>IFERROR(LOOKUP(2,1/((B_Drainage!$A$5:$A$204&lt;&gt;"")*(B_Drainage!$A$5:$A$204&lt;=$B887)*(B_Drainage!$B$5:$B$204&gt;$B887)*(B_Drainage!$L$5:$L$204&lt;&gt;"")),IF(B_Drainage!$L$5:$L$204="-","",B_Drainage!$L$5:$L$204)),"")</f>
        <v/>
      </c>
      <c r="AD887" s="182" t="str">
        <f>IFERROR(LOOKUP(2,1/((D_Points!$A$5:$A$204&lt;&gt;"")*(D_Points!$A$5:$A$204&gt;=$B887)*(D_Points!$A$5:$A$204&lt;$B887+P_Interval)*(UPPER(TRIM(D_Points!$B$5:$B$204))="TURNOUT_L")*(D_Points!$H$5:$H$204&lt;&gt;"")),D_Points!$H$5:$H$204),"")</f>
        <v/>
      </c>
      <c r="AE887" s="182" t="str">
        <f>IFERROR(LOOKUP(2,1/((D_Points!$A$5:$A$204&lt;&gt;"")*(D_Points!$A$5:$A$204&gt;=$B887)*(D_Points!$A$5:$A$204&lt;$B887+P_Interval)*(UPPER(TRIM(D_Points!$B$5:$B$204))="TURNOUT_R")*(D_Points!$H$5:$H$204&lt;&gt;"")),D_Points!$H$5:$H$204),"")</f>
        <v/>
      </c>
      <c r="AF887" s="181" t="str">
        <f>IFERROR(LOOKUP(2,1/((B_Drainage!$A$5:$A$204&lt;&gt;"")*(B_Drainage!$A$5:$A$204&lt;=$B887)*(B_Drainage!$B$5:$B$204&gt;$B887)*(B_Drainage!$M$5:$M$204&lt;&gt;"")),IF(UPPER(B_Drainage!$M$5:$M$204)="Y",1,"")),"")</f>
        <v/>
      </c>
      <c r="AG887" s="181" t="str">
        <f>IFERROR(LOOKUP(2,1/((B_Drainage!$A$5:$A$204&lt;&gt;"")*(B_Drainage!$A$5:$A$204&lt;=$B887)*(B_Drainage!$B$5:$B$204&gt;$B887)*(B_Drainage!$N$5:$N$204&lt;&gt;"")),IF(UPPER(B_Drainage!$N$5:$N$204)="Y",1,"")),"")</f>
        <v/>
      </c>
      <c r="AH887" s="181" t="str">
        <f t="shared" si="104"/>
        <v/>
      </c>
      <c r="AI887" s="181" t="str">
        <f t="shared" si="105"/>
        <v/>
      </c>
      <c r="AJ887" s="181" t="str">
        <f t="shared" si="106"/>
        <v/>
      </c>
      <c r="AK887" s="181" t="str">
        <f t="shared" si="107"/>
        <v/>
      </c>
      <c r="AL887" s="181" t="str">
        <f t="shared" si="108"/>
        <v/>
      </c>
      <c r="AM887" s="181" t="str">
        <f t="shared" si="109"/>
        <v/>
      </c>
      <c r="AN887" s="181" t="str">
        <f t="shared" si="110"/>
        <v/>
      </c>
      <c r="AO887" s="192" t="str">
        <f t="shared" si="111"/>
        <v/>
      </c>
      <c r="AQ887" t="str">
        <f>IFERROR(LOOKUP(2,1/((C_Pavement!$A$5:$A$204&lt;&gt;"")*(C_Pavement!$A$5:$A$204&lt;=$B887)*(C_Pavement!$B$5:$B$204&gt;$B887)*(C_Pavement!$C$5:$C$204&lt;&gt;"")),ROW(C_Pavement!$C$5:$C$204)-4),"")</f>
        <v/>
      </c>
      <c r="AR887" t="str">
        <f>IF($AQ887="","",UPPER(TRIM(INDEX(C_Pavement!$C$5:$C$204,$AQ887))))</f>
        <v/>
      </c>
      <c r="AS887" t="str">
        <f>IF($AR887="","",IFERROR(MATCH($AR887,E_Rules!$A$5:$A$9,0),""))</f>
        <v/>
      </c>
      <c r="AT887" t="str">
        <f>IF($AQ887="","",IF(INDEX(C_Pavement!$D$5:$D$204,$AQ887)&lt;&gt;"",UPPER(TRIM(INDEX(C_Pavement!$D$5:$D$204,$AQ887))),IF($AS887="","",INDEX(E_Rules!$C$5:$C$9,$AS887))))</f>
        <v/>
      </c>
      <c r="AU887" t="str">
        <f>IF($AQ887="","",IF(INDEX(C_Pavement!$E$5:$E$204,$AQ887)&lt;&gt;"",IF(INDEX(C_Pavement!$E$5:$E$204,$AQ887)="-","",INDEX(C_Pavement!$E$5:$E$204,$AQ887)),IF($AS887="","",INDEX(E_Rules!$D$5:$D$9,$AS887))))</f>
        <v/>
      </c>
      <c r="AV887" t="str">
        <f>IF($AQ887="","",IF(INDEX(C_Pavement!$F$5:$F$204,$AQ887)&lt;&gt;"",IF(INDEX(C_Pavement!$F$5:$F$204,$AQ887)="-","",INDEX(C_Pavement!$F$5:$F$204,$AQ887)),IF($AS887="","",INDEX(E_Rules!$E$5:$E$9,$AS887))))</f>
        <v/>
      </c>
      <c r="AW887" t="str">
        <f>IF($AQ887="","",IF(INDEX(C_Pavement!$G$5:$G$204,$AQ887)&lt;&gt;"",IF(INDEX(C_Pavement!$G$5:$G$204,$AQ887)="-","",INDEX(C_Pavement!$G$5:$G$204,$AQ887)),IF($AS887="","",INDEX(E_Rules!$F$5:$F$9,$AS887))))</f>
        <v/>
      </c>
      <c r="AX887" t="str">
        <f>IF($AQ887="","",IF(INDEX(C_Pavement!$H$5:$H$204,$AQ887)&lt;&gt;"",IF(INDEX(C_Pavement!$H$5:$H$204,$AQ887)="-","",INDEX(C_Pavement!$H$5:$H$204,$AQ887)),IF($AS887="","",INDEX(E_Rules!$G$5:$G$9,$AS887))))</f>
        <v/>
      </c>
      <c r="AY887" t="str">
        <f>IF($AQ887="","",IF(INDEX(C_Pavement!$I$5:$I$204,$AQ887)&lt;&gt;"",IF(INDEX(C_Pavement!$I$5:$I$204,$AQ887)="-","",INDEX(C_Pavement!$I$5:$I$204,$AQ887)),IF($AS887="","",INDEX(E_Rules!$H$5:$H$9,$AS887))))</f>
        <v/>
      </c>
    </row>
    <row r="888" spans="1:51" ht="15.75" customHeight="1" x14ac:dyDescent="0.3">
      <c r="A888" s="189">
        <v>883</v>
      </c>
      <c r="B888" s="180">
        <v>44100</v>
      </c>
      <c r="C888" s="180" t="s">
        <v>1194</v>
      </c>
      <c r="D888" s="181" t="str">
        <f>IFERROR(LOOKUP(2,1/((A_Corridor!$A$5:$A$204&lt;&gt;"")*(A_Corridor!$A$5:$A$204&lt;=$B888)*(A_Corridor!$B$5:$B$204&gt;$B888)*(A_Corridor!$C$5:$C$204&lt;&gt;"")),IF(UPPER(A_Corridor!$C$5:$C$204)="Y",1,"")),"")</f>
        <v/>
      </c>
      <c r="E888" s="181" t="str">
        <f>IFERROR(LOOKUP(2,1/((A_Corridor!$A$5:$A$204&lt;&gt;"")*(A_Corridor!$A$5:$A$204&lt;=$B888)*(A_Corridor!$B$5:$B$204&gt;$B888)*(A_Corridor!$D$5:$D$204&lt;&gt;"")),IF(A_Corridor!$D$5:$D$204="-","",UPPER(A_Corridor!$D$5:$D$204))),"")</f>
        <v/>
      </c>
      <c r="F888" s="181" t="str">
        <f>IFERROR(LOOKUP(2,1/((A_Corridor!$A$5:$A$204&lt;&gt;"")*(A_Corridor!$A$5:$A$204&lt;=$B888)*(A_Corridor!$B$5:$B$204&gt;$B888)*(A_Corridor!$E$5:$E$204&lt;&gt;"")),IF(A_Corridor!$E$5:$E$204="-","",1)),"")</f>
        <v/>
      </c>
      <c r="G888" s="182" t="str">
        <f>IFERROR(LOOKUP(2,1/((A_Corridor!$A$5:$A$204&lt;&gt;"")*(A_Corridor!$A$5:$A$204&lt;=$B888)*(A_Corridor!$B$5:$B$204&gt;$B888)*(A_Corridor!$E$5:$E$204&lt;&gt;"")),IF(A_Corridor!$E$5:$E$204="-","",A_Corridor!$E$5:$E$204)),"")</f>
        <v/>
      </c>
      <c r="H888" s="182" t="str">
        <f>IFERROR(LOOKUP(2,1/((D_Points!$A$5:$A$204&lt;&gt;"")*(D_Points!$A$5:$A$204&gt;=$B888)*(D_Points!$A$5:$A$204&lt;$B888+P_Interval)*(UPPER(TRIM(D_Points!$B$5:$B$204))="GULLY")*(D_Points!$H$5:$H$204&lt;&gt;"")),D_Points!$H$5:$H$204),"")</f>
        <v/>
      </c>
      <c r="I888" s="181" t="str">
        <f>IFERROR(LOOKUP(2,1/((A_Corridor!$A$5:$A$204&lt;&gt;"")*(A_Corridor!$A$5:$A$204&lt;=$B888)*(A_Corridor!$B$5:$B$204&gt;$B888)*(A_Corridor!$F$5:$F$204&lt;&gt;"")),IF(A_Corridor!$F$5:$F$204="-","",1)),"")</f>
        <v/>
      </c>
      <c r="J888" s="182" t="str">
        <f>IFERROR(LOOKUP(2,1/((A_Corridor!$A$5:$A$204&lt;&gt;"")*(A_Corridor!$A$5:$A$204&lt;=$B888)*(A_Corridor!$B$5:$B$204&gt;$B888)*(A_Corridor!$F$5:$F$204&lt;&gt;"")),IF(A_Corridor!$F$5:$F$204="-","",A_Corridor!$F$5:$F$204)),"")</f>
        <v/>
      </c>
      <c r="K888" s="182" t="str">
        <f>IFERROR(LOOKUP(2,1/((A_Corridor!$A$5:$A$204&lt;&gt;"")*(A_Corridor!$A$5:$A$204&lt;=$B888)*(A_Corridor!$B$5:$B$204&gt;$B888)*(A_Corridor!$G$5:$G$204&lt;&gt;"")),IF(A_Corridor!$G$5:$G$204="-","",A_Corridor!$G$5:$G$204)),"")</f>
        <v/>
      </c>
      <c r="L888" s="181" t="str">
        <f>IFERROR(LOOKUP(2,1/((A_Corridor!$A$5:$A$204&lt;&gt;"")*(A_Corridor!$A$5:$A$204&lt;=$B888)*(A_Corridor!$B$5:$B$204&gt;$B888)*(A_Corridor!$H$5:$H$204&lt;&gt;"")),IF(A_Corridor!$H$5:$H$204="-","",1)),"")</f>
        <v/>
      </c>
      <c r="M888" s="182" t="str">
        <f>IFERROR(LOOKUP(2,1/((A_Corridor!$A$5:$A$204&lt;&gt;"")*(A_Corridor!$A$5:$A$204&lt;=$B888)*(A_Corridor!$B$5:$B$204&gt;$B888)*(A_Corridor!$H$5:$H$204&lt;&gt;"")),IF(A_Corridor!$H$5:$H$204="-","",A_Corridor!$H$5:$H$204)),"")</f>
        <v/>
      </c>
      <c r="N888" s="182" t="str">
        <f>IFERROR(LOOKUP(2,1/((A_Corridor!$A$5:$A$204&lt;&gt;"")*(A_Corridor!$A$5:$A$204&lt;=$B888)*(A_Corridor!$B$5:$B$204&gt;$B888)*(A_Corridor!$I$5:$I$204&lt;&gt;"")),IF(A_Corridor!$I$5:$I$204="-","",A_Corridor!$I$5:$I$204)),"")</f>
        <v/>
      </c>
      <c r="O888" s="182" t="str">
        <f>IFERROR(LOOKUP(2,1/((D_Points!$A$5:$A$204&lt;&gt;"")*(D_Points!$A$5:$A$204&gt;=$B888)*(D_Points!$A$5:$A$204&lt;$B888+P_Interval)*(UPPER(TRIM(D_Points!$B$5:$B$204))="PITCHING")*(D_Points!$H$5:$H$204&lt;&gt;"")),D_Points!$H$5:$H$204),"")</f>
        <v/>
      </c>
      <c r="P888" s="181" t="str">
        <f>IFERROR(LOOKUP(2,1/((B_Drainage!$A$5:$A$204&lt;&gt;"")*(B_Drainage!$A$5:$A$204&lt;=$B888)*(B_Drainage!$B$5:$B$204&gt;$B888)*(B_Drainage!$C$5:$C$204&lt;&gt;"")),IF(B_Drainage!$C$5:$C$204="-","",UPPER(B_Drainage!$C$5:$C$204))),"")</f>
        <v/>
      </c>
      <c r="Q888" s="181" t="str">
        <f>IFERROR(LOOKUP(2,1/((B_Drainage!$A$5:$A$204&lt;&gt;"")*(B_Drainage!$A$5:$A$204&lt;=$B888)*(B_Drainage!$B$5:$B$204&gt;$B888)*(B_Drainage!$D$5:$D$204&lt;&gt;"")),IF(B_Drainage!$D$5:$D$204="-","",UPPER(B_Drainage!$D$5:$D$204))),"")</f>
        <v/>
      </c>
      <c r="R888" s="182" t="str">
        <f>IFERROR(LOOKUP(2,1/((D_Points!$A$5:$A$204&lt;&gt;"")*(D_Points!$A$5:$A$204&gt;=$B888)*(D_Points!$A$5:$A$204&lt;$B888+P_Interval)*(RIGHT(UPPER(TRIM(D_Points!$B$5:$B$204)),8)="_CULVERT")),IF(LEFT(UPPER(TRIM(D_Points!$B$5:$B$204)),2)="EX",1,IF(LEFT(UPPER(TRIM(D_Points!$B$5:$B$204)),2)="PR",2,3))),"")</f>
        <v/>
      </c>
      <c r="S888" s="182" t="str">
        <f>IFERROR(LOOKUP(2,1/((D_Points!$A$5:$A$204&lt;&gt;"")*(D_Points!$A$5:$A$204&gt;=$B888)*(D_Points!$A$5:$A$204&lt;$B888+P_Interval)*(RIGHT(UPPER(TRIM(D_Points!$B$5:$B$204)),7)="_BRIDGE")),IF(LEFT(UPPER(TRIM(D_Points!$B$5:$B$204)),2)="EX",1,IF(LEFT(UPPER(TRIM(D_Points!$B$5:$B$204)),2)="PR",2,2))),"")</f>
        <v/>
      </c>
      <c r="T888" s="181" t="str">
        <f>IFERROR(LOOKUP(2,1/((B_Drainage!$A$5:$A$204&lt;&gt;"")*(B_Drainage!$A$5:$A$204&lt;=$B888)*(B_Drainage!$B$5:$B$204&gt;$B888)*(B_Drainage!$E$5:$E$204&lt;&gt;"")),IF(B_Drainage!$E$5:$E$204="-","",1)),"")</f>
        <v/>
      </c>
      <c r="U888" s="181" t="str">
        <f>IFERROR(LOOKUP(2,1/((B_Drainage!$A$5:$A$204&lt;&gt;"")*(B_Drainage!$A$5:$A$204&lt;=$B888)*(B_Drainage!$B$5:$B$204&gt;$B888)*(B_Drainage!$E$5:$E$204&lt;&gt;"")),IF(B_Drainage!$E$5:$E$204="-","",B_Drainage!$E$5:$E$204)),"")</f>
        <v/>
      </c>
      <c r="V888" s="181" t="str">
        <f>IFERROR(LOOKUP(2,1/((B_Drainage!$A$5:$A$204&lt;&gt;"")*(B_Drainage!$A$5:$A$204&lt;=$B888)*(B_Drainage!$B$5:$B$204&gt;$B888)*(B_Drainage!$F$5:$F$204&lt;&gt;"")),IF(B_Drainage!$F$5:$F$204="-","",1)),"")</f>
        <v/>
      </c>
      <c r="W888" s="181" t="str">
        <f>IFERROR(LOOKUP(2,1/((B_Drainage!$A$5:$A$204&lt;&gt;"")*(B_Drainage!$A$5:$A$204&lt;=$B888)*(B_Drainage!$B$5:$B$204&gt;$B888)*(B_Drainage!$F$5:$F$204&lt;&gt;"")),IF(B_Drainage!$F$5:$F$204="-","",B_Drainage!$F$5:$F$204)),"")</f>
        <v/>
      </c>
      <c r="X888" s="181" t="str">
        <f>IFERROR(LOOKUP(2,1/((B_Drainage!$A$5:$A$204&lt;&gt;"")*(B_Drainage!$A$5:$A$204&lt;=$B888)*(B_Drainage!$B$5:$B$204&gt;$B888)*(B_Drainage!$G$5:$G$204&lt;&gt;"")),IF(UPPER(B_Drainage!$G$5:$G$204)="Y",1,"")),"")</f>
        <v/>
      </c>
      <c r="Y888" s="181" t="str">
        <f>IFERROR(LOOKUP(2,1/((B_Drainage!$A$5:$A$204&lt;&gt;"")*(B_Drainage!$A$5:$A$204&lt;=$B888)*(B_Drainage!$B$5:$B$204&gt;$B888)*(B_Drainage!$H$5:$H$204&lt;&gt;"")),IF(UPPER(B_Drainage!$H$5:$H$204)="Y",1,"")),"")</f>
        <v/>
      </c>
      <c r="Z888" s="181" t="str">
        <f>IFERROR(LOOKUP(2,1/((B_Drainage!$A$5:$A$204&lt;&gt;"")*(B_Drainage!$A$5:$A$204&lt;=$B888)*(B_Drainage!$B$5:$B$204&gt;$B888)*(B_Drainage!$I$5:$I$204&lt;&gt;"")),IF(UPPER(B_Drainage!$I$5:$I$204)="Y",1,"")),"")</f>
        <v/>
      </c>
      <c r="AA888" s="181" t="str">
        <f>IFERROR(LOOKUP(2,1/((B_Drainage!$A$5:$A$204&lt;&gt;"")*(B_Drainage!$A$5:$A$204&lt;=$B888)*(B_Drainage!$B$5:$B$204&gt;$B888)*(B_Drainage!$J$5:$J$204&lt;&gt;"")),IF(UPPER(B_Drainage!$J$5:$J$204)="Y",1,"")),"")</f>
        <v/>
      </c>
      <c r="AB888" s="182" t="str">
        <f>IFERROR(LOOKUP(2,1/((B_Drainage!$A$5:$A$204&lt;&gt;"")*(B_Drainage!$A$5:$A$204&lt;=$B888)*(B_Drainage!$B$5:$B$204&gt;$B888)*(B_Drainage!$K$5:$K$204&lt;&gt;"")),IF(B_Drainage!$K$5:$K$204="-","",B_Drainage!$K$5:$K$204)),"")</f>
        <v/>
      </c>
      <c r="AC888" s="182" t="str">
        <f>IFERROR(LOOKUP(2,1/((B_Drainage!$A$5:$A$204&lt;&gt;"")*(B_Drainage!$A$5:$A$204&lt;=$B888)*(B_Drainage!$B$5:$B$204&gt;$B888)*(B_Drainage!$L$5:$L$204&lt;&gt;"")),IF(B_Drainage!$L$5:$L$204="-","",B_Drainage!$L$5:$L$204)),"")</f>
        <v/>
      </c>
      <c r="AD888" s="182" t="str">
        <f>IFERROR(LOOKUP(2,1/((D_Points!$A$5:$A$204&lt;&gt;"")*(D_Points!$A$5:$A$204&gt;=$B888)*(D_Points!$A$5:$A$204&lt;$B888+P_Interval)*(UPPER(TRIM(D_Points!$B$5:$B$204))="TURNOUT_L")*(D_Points!$H$5:$H$204&lt;&gt;"")),D_Points!$H$5:$H$204),"")</f>
        <v/>
      </c>
      <c r="AE888" s="182" t="str">
        <f>IFERROR(LOOKUP(2,1/((D_Points!$A$5:$A$204&lt;&gt;"")*(D_Points!$A$5:$A$204&gt;=$B888)*(D_Points!$A$5:$A$204&lt;$B888+P_Interval)*(UPPER(TRIM(D_Points!$B$5:$B$204))="TURNOUT_R")*(D_Points!$H$5:$H$204&lt;&gt;"")),D_Points!$H$5:$H$204),"")</f>
        <v/>
      </c>
      <c r="AF888" s="181" t="str">
        <f>IFERROR(LOOKUP(2,1/((B_Drainage!$A$5:$A$204&lt;&gt;"")*(B_Drainage!$A$5:$A$204&lt;=$B888)*(B_Drainage!$B$5:$B$204&gt;$B888)*(B_Drainage!$M$5:$M$204&lt;&gt;"")),IF(UPPER(B_Drainage!$M$5:$M$204)="Y",1,"")),"")</f>
        <v/>
      </c>
      <c r="AG888" s="181" t="str">
        <f>IFERROR(LOOKUP(2,1/((B_Drainage!$A$5:$A$204&lt;&gt;"")*(B_Drainage!$A$5:$A$204&lt;=$B888)*(B_Drainage!$B$5:$B$204&gt;$B888)*(B_Drainage!$N$5:$N$204&lt;&gt;"")),IF(UPPER(B_Drainage!$N$5:$N$204)="Y",1,"")),"")</f>
        <v/>
      </c>
      <c r="AH888" s="181" t="str">
        <f t="shared" si="104"/>
        <v/>
      </c>
      <c r="AI888" s="181" t="str">
        <f t="shared" si="105"/>
        <v/>
      </c>
      <c r="AJ888" s="181" t="str">
        <f t="shared" si="106"/>
        <v/>
      </c>
      <c r="AK888" s="181" t="str">
        <f t="shared" si="107"/>
        <v/>
      </c>
      <c r="AL888" s="181" t="str">
        <f t="shared" si="108"/>
        <v/>
      </c>
      <c r="AM888" s="181" t="str">
        <f t="shared" si="109"/>
        <v/>
      </c>
      <c r="AN888" s="181" t="str">
        <f t="shared" si="110"/>
        <v/>
      </c>
      <c r="AO888" s="192" t="str">
        <f t="shared" si="111"/>
        <v/>
      </c>
      <c r="AQ888" t="str">
        <f>IFERROR(LOOKUP(2,1/((C_Pavement!$A$5:$A$204&lt;&gt;"")*(C_Pavement!$A$5:$A$204&lt;=$B888)*(C_Pavement!$B$5:$B$204&gt;$B888)*(C_Pavement!$C$5:$C$204&lt;&gt;"")),ROW(C_Pavement!$C$5:$C$204)-4),"")</f>
        <v/>
      </c>
      <c r="AR888" t="str">
        <f>IF($AQ888="","",UPPER(TRIM(INDEX(C_Pavement!$C$5:$C$204,$AQ888))))</f>
        <v/>
      </c>
      <c r="AS888" t="str">
        <f>IF($AR888="","",IFERROR(MATCH($AR888,E_Rules!$A$5:$A$9,0),""))</f>
        <v/>
      </c>
      <c r="AT888" t="str">
        <f>IF($AQ888="","",IF(INDEX(C_Pavement!$D$5:$D$204,$AQ888)&lt;&gt;"",UPPER(TRIM(INDEX(C_Pavement!$D$5:$D$204,$AQ888))),IF($AS888="","",INDEX(E_Rules!$C$5:$C$9,$AS888))))</f>
        <v/>
      </c>
      <c r="AU888" t="str">
        <f>IF($AQ888="","",IF(INDEX(C_Pavement!$E$5:$E$204,$AQ888)&lt;&gt;"",IF(INDEX(C_Pavement!$E$5:$E$204,$AQ888)="-","",INDEX(C_Pavement!$E$5:$E$204,$AQ888)),IF($AS888="","",INDEX(E_Rules!$D$5:$D$9,$AS888))))</f>
        <v/>
      </c>
      <c r="AV888" t="str">
        <f>IF($AQ888="","",IF(INDEX(C_Pavement!$F$5:$F$204,$AQ888)&lt;&gt;"",IF(INDEX(C_Pavement!$F$5:$F$204,$AQ888)="-","",INDEX(C_Pavement!$F$5:$F$204,$AQ888)),IF($AS888="","",INDEX(E_Rules!$E$5:$E$9,$AS888))))</f>
        <v/>
      </c>
      <c r="AW888" t="str">
        <f>IF($AQ888="","",IF(INDEX(C_Pavement!$G$5:$G$204,$AQ888)&lt;&gt;"",IF(INDEX(C_Pavement!$G$5:$G$204,$AQ888)="-","",INDEX(C_Pavement!$G$5:$G$204,$AQ888)),IF($AS888="","",INDEX(E_Rules!$F$5:$F$9,$AS888))))</f>
        <v/>
      </c>
      <c r="AX888" t="str">
        <f>IF($AQ888="","",IF(INDEX(C_Pavement!$H$5:$H$204,$AQ888)&lt;&gt;"",IF(INDEX(C_Pavement!$H$5:$H$204,$AQ888)="-","",INDEX(C_Pavement!$H$5:$H$204,$AQ888)),IF($AS888="","",INDEX(E_Rules!$G$5:$G$9,$AS888))))</f>
        <v/>
      </c>
      <c r="AY888" t="str">
        <f>IF($AQ888="","",IF(INDEX(C_Pavement!$I$5:$I$204,$AQ888)&lt;&gt;"",IF(INDEX(C_Pavement!$I$5:$I$204,$AQ888)="-","",INDEX(C_Pavement!$I$5:$I$204,$AQ888)),IF($AS888="","",INDEX(E_Rules!$H$5:$H$9,$AS888))))</f>
        <v/>
      </c>
    </row>
    <row r="889" spans="1:51" ht="15.75" customHeight="1" x14ac:dyDescent="0.3">
      <c r="A889" s="189">
        <v>884</v>
      </c>
      <c r="B889" s="180">
        <v>44150</v>
      </c>
      <c r="C889" s="180" t="s">
        <v>1195</v>
      </c>
      <c r="D889" s="181" t="str">
        <f>IFERROR(LOOKUP(2,1/((A_Corridor!$A$5:$A$204&lt;&gt;"")*(A_Corridor!$A$5:$A$204&lt;=$B889)*(A_Corridor!$B$5:$B$204&gt;$B889)*(A_Corridor!$C$5:$C$204&lt;&gt;"")),IF(UPPER(A_Corridor!$C$5:$C$204)="Y",1,"")),"")</f>
        <v/>
      </c>
      <c r="E889" s="181" t="str">
        <f>IFERROR(LOOKUP(2,1/((A_Corridor!$A$5:$A$204&lt;&gt;"")*(A_Corridor!$A$5:$A$204&lt;=$B889)*(A_Corridor!$B$5:$B$204&gt;$B889)*(A_Corridor!$D$5:$D$204&lt;&gt;"")),IF(A_Corridor!$D$5:$D$204="-","",UPPER(A_Corridor!$D$5:$D$204))),"")</f>
        <v/>
      </c>
      <c r="F889" s="181" t="str">
        <f>IFERROR(LOOKUP(2,1/((A_Corridor!$A$5:$A$204&lt;&gt;"")*(A_Corridor!$A$5:$A$204&lt;=$B889)*(A_Corridor!$B$5:$B$204&gt;$B889)*(A_Corridor!$E$5:$E$204&lt;&gt;"")),IF(A_Corridor!$E$5:$E$204="-","",1)),"")</f>
        <v/>
      </c>
      <c r="G889" s="182" t="str">
        <f>IFERROR(LOOKUP(2,1/((A_Corridor!$A$5:$A$204&lt;&gt;"")*(A_Corridor!$A$5:$A$204&lt;=$B889)*(A_Corridor!$B$5:$B$204&gt;$B889)*(A_Corridor!$E$5:$E$204&lt;&gt;"")),IF(A_Corridor!$E$5:$E$204="-","",A_Corridor!$E$5:$E$204)),"")</f>
        <v/>
      </c>
      <c r="H889" s="182" t="str">
        <f>IFERROR(LOOKUP(2,1/((D_Points!$A$5:$A$204&lt;&gt;"")*(D_Points!$A$5:$A$204&gt;=$B889)*(D_Points!$A$5:$A$204&lt;$B889+P_Interval)*(UPPER(TRIM(D_Points!$B$5:$B$204))="GULLY")*(D_Points!$H$5:$H$204&lt;&gt;"")),D_Points!$H$5:$H$204),"")</f>
        <v/>
      </c>
      <c r="I889" s="181" t="str">
        <f>IFERROR(LOOKUP(2,1/((A_Corridor!$A$5:$A$204&lt;&gt;"")*(A_Corridor!$A$5:$A$204&lt;=$B889)*(A_Corridor!$B$5:$B$204&gt;$B889)*(A_Corridor!$F$5:$F$204&lt;&gt;"")),IF(A_Corridor!$F$5:$F$204="-","",1)),"")</f>
        <v/>
      </c>
      <c r="J889" s="182" t="str">
        <f>IFERROR(LOOKUP(2,1/((A_Corridor!$A$5:$A$204&lt;&gt;"")*(A_Corridor!$A$5:$A$204&lt;=$B889)*(A_Corridor!$B$5:$B$204&gt;$B889)*(A_Corridor!$F$5:$F$204&lt;&gt;"")),IF(A_Corridor!$F$5:$F$204="-","",A_Corridor!$F$5:$F$204)),"")</f>
        <v/>
      </c>
      <c r="K889" s="182" t="str">
        <f>IFERROR(LOOKUP(2,1/((A_Corridor!$A$5:$A$204&lt;&gt;"")*(A_Corridor!$A$5:$A$204&lt;=$B889)*(A_Corridor!$B$5:$B$204&gt;$B889)*(A_Corridor!$G$5:$G$204&lt;&gt;"")),IF(A_Corridor!$G$5:$G$204="-","",A_Corridor!$G$5:$G$204)),"")</f>
        <v/>
      </c>
      <c r="L889" s="181" t="str">
        <f>IFERROR(LOOKUP(2,1/((A_Corridor!$A$5:$A$204&lt;&gt;"")*(A_Corridor!$A$5:$A$204&lt;=$B889)*(A_Corridor!$B$5:$B$204&gt;$B889)*(A_Corridor!$H$5:$H$204&lt;&gt;"")),IF(A_Corridor!$H$5:$H$204="-","",1)),"")</f>
        <v/>
      </c>
      <c r="M889" s="182" t="str">
        <f>IFERROR(LOOKUP(2,1/((A_Corridor!$A$5:$A$204&lt;&gt;"")*(A_Corridor!$A$5:$A$204&lt;=$B889)*(A_Corridor!$B$5:$B$204&gt;$B889)*(A_Corridor!$H$5:$H$204&lt;&gt;"")),IF(A_Corridor!$H$5:$H$204="-","",A_Corridor!$H$5:$H$204)),"")</f>
        <v/>
      </c>
      <c r="N889" s="182" t="str">
        <f>IFERROR(LOOKUP(2,1/((A_Corridor!$A$5:$A$204&lt;&gt;"")*(A_Corridor!$A$5:$A$204&lt;=$B889)*(A_Corridor!$B$5:$B$204&gt;$B889)*(A_Corridor!$I$5:$I$204&lt;&gt;"")),IF(A_Corridor!$I$5:$I$204="-","",A_Corridor!$I$5:$I$204)),"")</f>
        <v/>
      </c>
      <c r="O889" s="182" t="str">
        <f>IFERROR(LOOKUP(2,1/((D_Points!$A$5:$A$204&lt;&gt;"")*(D_Points!$A$5:$A$204&gt;=$B889)*(D_Points!$A$5:$A$204&lt;$B889+P_Interval)*(UPPER(TRIM(D_Points!$B$5:$B$204))="PITCHING")*(D_Points!$H$5:$H$204&lt;&gt;"")),D_Points!$H$5:$H$204),"")</f>
        <v/>
      </c>
      <c r="P889" s="181" t="str">
        <f>IFERROR(LOOKUP(2,1/((B_Drainage!$A$5:$A$204&lt;&gt;"")*(B_Drainage!$A$5:$A$204&lt;=$B889)*(B_Drainage!$B$5:$B$204&gt;$B889)*(B_Drainage!$C$5:$C$204&lt;&gt;"")),IF(B_Drainage!$C$5:$C$204="-","",UPPER(B_Drainage!$C$5:$C$204))),"")</f>
        <v/>
      </c>
      <c r="Q889" s="181" t="str">
        <f>IFERROR(LOOKUP(2,1/((B_Drainage!$A$5:$A$204&lt;&gt;"")*(B_Drainage!$A$5:$A$204&lt;=$B889)*(B_Drainage!$B$5:$B$204&gt;$B889)*(B_Drainage!$D$5:$D$204&lt;&gt;"")),IF(B_Drainage!$D$5:$D$204="-","",UPPER(B_Drainage!$D$5:$D$204))),"")</f>
        <v/>
      </c>
      <c r="R889" s="182" t="str">
        <f>IFERROR(LOOKUP(2,1/((D_Points!$A$5:$A$204&lt;&gt;"")*(D_Points!$A$5:$A$204&gt;=$B889)*(D_Points!$A$5:$A$204&lt;$B889+P_Interval)*(RIGHT(UPPER(TRIM(D_Points!$B$5:$B$204)),8)="_CULVERT")),IF(LEFT(UPPER(TRIM(D_Points!$B$5:$B$204)),2)="EX",1,IF(LEFT(UPPER(TRIM(D_Points!$B$5:$B$204)),2)="PR",2,3))),"")</f>
        <v/>
      </c>
      <c r="S889" s="182" t="str">
        <f>IFERROR(LOOKUP(2,1/((D_Points!$A$5:$A$204&lt;&gt;"")*(D_Points!$A$5:$A$204&gt;=$B889)*(D_Points!$A$5:$A$204&lt;$B889+P_Interval)*(RIGHT(UPPER(TRIM(D_Points!$B$5:$B$204)),7)="_BRIDGE")),IF(LEFT(UPPER(TRIM(D_Points!$B$5:$B$204)),2)="EX",1,IF(LEFT(UPPER(TRIM(D_Points!$B$5:$B$204)),2)="PR",2,2))),"")</f>
        <v/>
      </c>
      <c r="T889" s="181" t="str">
        <f>IFERROR(LOOKUP(2,1/((B_Drainage!$A$5:$A$204&lt;&gt;"")*(B_Drainage!$A$5:$A$204&lt;=$B889)*(B_Drainage!$B$5:$B$204&gt;$B889)*(B_Drainage!$E$5:$E$204&lt;&gt;"")),IF(B_Drainage!$E$5:$E$204="-","",1)),"")</f>
        <v/>
      </c>
      <c r="U889" s="181" t="str">
        <f>IFERROR(LOOKUP(2,1/((B_Drainage!$A$5:$A$204&lt;&gt;"")*(B_Drainage!$A$5:$A$204&lt;=$B889)*(B_Drainage!$B$5:$B$204&gt;$B889)*(B_Drainage!$E$5:$E$204&lt;&gt;"")),IF(B_Drainage!$E$5:$E$204="-","",B_Drainage!$E$5:$E$204)),"")</f>
        <v/>
      </c>
      <c r="V889" s="181" t="str">
        <f>IFERROR(LOOKUP(2,1/((B_Drainage!$A$5:$A$204&lt;&gt;"")*(B_Drainage!$A$5:$A$204&lt;=$B889)*(B_Drainage!$B$5:$B$204&gt;$B889)*(B_Drainage!$F$5:$F$204&lt;&gt;"")),IF(B_Drainage!$F$5:$F$204="-","",1)),"")</f>
        <v/>
      </c>
      <c r="W889" s="181" t="str">
        <f>IFERROR(LOOKUP(2,1/((B_Drainage!$A$5:$A$204&lt;&gt;"")*(B_Drainage!$A$5:$A$204&lt;=$B889)*(B_Drainage!$B$5:$B$204&gt;$B889)*(B_Drainage!$F$5:$F$204&lt;&gt;"")),IF(B_Drainage!$F$5:$F$204="-","",B_Drainage!$F$5:$F$204)),"")</f>
        <v/>
      </c>
      <c r="X889" s="181" t="str">
        <f>IFERROR(LOOKUP(2,1/((B_Drainage!$A$5:$A$204&lt;&gt;"")*(B_Drainage!$A$5:$A$204&lt;=$B889)*(B_Drainage!$B$5:$B$204&gt;$B889)*(B_Drainage!$G$5:$G$204&lt;&gt;"")),IF(UPPER(B_Drainage!$G$5:$G$204)="Y",1,"")),"")</f>
        <v/>
      </c>
      <c r="Y889" s="181" t="str">
        <f>IFERROR(LOOKUP(2,1/((B_Drainage!$A$5:$A$204&lt;&gt;"")*(B_Drainage!$A$5:$A$204&lt;=$B889)*(B_Drainage!$B$5:$B$204&gt;$B889)*(B_Drainage!$H$5:$H$204&lt;&gt;"")),IF(UPPER(B_Drainage!$H$5:$H$204)="Y",1,"")),"")</f>
        <v/>
      </c>
      <c r="Z889" s="181" t="str">
        <f>IFERROR(LOOKUP(2,1/((B_Drainage!$A$5:$A$204&lt;&gt;"")*(B_Drainage!$A$5:$A$204&lt;=$B889)*(B_Drainage!$B$5:$B$204&gt;$B889)*(B_Drainage!$I$5:$I$204&lt;&gt;"")),IF(UPPER(B_Drainage!$I$5:$I$204)="Y",1,"")),"")</f>
        <v/>
      </c>
      <c r="AA889" s="181" t="str">
        <f>IFERROR(LOOKUP(2,1/((B_Drainage!$A$5:$A$204&lt;&gt;"")*(B_Drainage!$A$5:$A$204&lt;=$B889)*(B_Drainage!$B$5:$B$204&gt;$B889)*(B_Drainage!$J$5:$J$204&lt;&gt;"")),IF(UPPER(B_Drainage!$J$5:$J$204)="Y",1,"")),"")</f>
        <v/>
      </c>
      <c r="AB889" s="182" t="str">
        <f>IFERROR(LOOKUP(2,1/((B_Drainage!$A$5:$A$204&lt;&gt;"")*(B_Drainage!$A$5:$A$204&lt;=$B889)*(B_Drainage!$B$5:$B$204&gt;$B889)*(B_Drainage!$K$5:$K$204&lt;&gt;"")),IF(B_Drainage!$K$5:$K$204="-","",B_Drainage!$K$5:$K$204)),"")</f>
        <v/>
      </c>
      <c r="AC889" s="182" t="str">
        <f>IFERROR(LOOKUP(2,1/((B_Drainage!$A$5:$A$204&lt;&gt;"")*(B_Drainage!$A$5:$A$204&lt;=$B889)*(B_Drainage!$B$5:$B$204&gt;$B889)*(B_Drainage!$L$5:$L$204&lt;&gt;"")),IF(B_Drainage!$L$5:$L$204="-","",B_Drainage!$L$5:$L$204)),"")</f>
        <v/>
      </c>
      <c r="AD889" s="182" t="str">
        <f>IFERROR(LOOKUP(2,1/((D_Points!$A$5:$A$204&lt;&gt;"")*(D_Points!$A$5:$A$204&gt;=$B889)*(D_Points!$A$5:$A$204&lt;$B889+P_Interval)*(UPPER(TRIM(D_Points!$B$5:$B$204))="TURNOUT_L")*(D_Points!$H$5:$H$204&lt;&gt;"")),D_Points!$H$5:$H$204),"")</f>
        <v/>
      </c>
      <c r="AE889" s="182" t="str">
        <f>IFERROR(LOOKUP(2,1/((D_Points!$A$5:$A$204&lt;&gt;"")*(D_Points!$A$5:$A$204&gt;=$B889)*(D_Points!$A$5:$A$204&lt;$B889+P_Interval)*(UPPER(TRIM(D_Points!$B$5:$B$204))="TURNOUT_R")*(D_Points!$H$5:$H$204&lt;&gt;"")),D_Points!$H$5:$H$204),"")</f>
        <v/>
      </c>
      <c r="AF889" s="181" t="str">
        <f>IFERROR(LOOKUP(2,1/((B_Drainage!$A$5:$A$204&lt;&gt;"")*(B_Drainage!$A$5:$A$204&lt;=$B889)*(B_Drainage!$B$5:$B$204&gt;$B889)*(B_Drainage!$M$5:$M$204&lt;&gt;"")),IF(UPPER(B_Drainage!$M$5:$M$204)="Y",1,"")),"")</f>
        <v/>
      </c>
      <c r="AG889" s="181" t="str">
        <f>IFERROR(LOOKUP(2,1/((B_Drainage!$A$5:$A$204&lt;&gt;"")*(B_Drainage!$A$5:$A$204&lt;=$B889)*(B_Drainage!$B$5:$B$204&gt;$B889)*(B_Drainage!$N$5:$N$204&lt;&gt;"")),IF(UPPER(B_Drainage!$N$5:$N$204)="Y",1,"")),"")</f>
        <v/>
      </c>
      <c r="AH889" s="181" t="str">
        <f t="shared" si="104"/>
        <v/>
      </c>
      <c r="AI889" s="181" t="str">
        <f t="shared" si="105"/>
        <v/>
      </c>
      <c r="AJ889" s="181" t="str">
        <f t="shared" si="106"/>
        <v/>
      </c>
      <c r="AK889" s="181" t="str">
        <f t="shared" si="107"/>
        <v/>
      </c>
      <c r="AL889" s="181" t="str">
        <f t="shared" si="108"/>
        <v/>
      </c>
      <c r="AM889" s="181" t="str">
        <f t="shared" si="109"/>
        <v/>
      </c>
      <c r="AN889" s="181" t="str">
        <f t="shared" si="110"/>
        <v/>
      </c>
      <c r="AO889" s="192" t="str">
        <f t="shared" si="111"/>
        <v/>
      </c>
      <c r="AQ889" t="str">
        <f>IFERROR(LOOKUP(2,1/((C_Pavement!$A$5:$A$204&lt;&gt;"")*(C_Pavement!$A$5:$A$204&lt;=$B889)*(C_Pavement!$B$5:$B$204&gt;$B889)*(C_Pavement!$C$5:$C$204&lt;&gt;"")),ROW(C_Pavement!$C$5:$C$204)-4),"")</f>
        <v/>
      </c>
      <c r="AR889" t="str">
        <f>IF($AQ889="","",UPPER(TRIM(INDEX(C_Pavement!$C$5:$C$204,$AQ889))))</f>
        <v/>
      </c>
      <c r="AS889" t="str">
        <f>IF($AR889="","",IFERROR(MATCH($AR889,E_Rules!$A$5:$A$9,0),""))</f>
        <v/>
      </c>
      <c r="AT889" t="str">
        <f>IF($AQ889="","",IF(INDEX(C_Pavement!$D$5:$D$204,$AQ889)&lt;&gt;"",UPPER(TRIM(INDEX(C_Pavement!$D$5:$D$204,$AQ889))),IF($AS889="","",INDEX(E_Rules!$C$5:$C$9,$AS889))))</f>
        <v/>
      </c>
      <c r="AU889" t="str">
        <f>IF($AQ889="","",IF(INDEX(C_Pavement!$E$5:$E$204,$AQ889)&lt;&gt;"",IF(INDEX(C_Pavement!$E$5:$E$204,$AQ889)="-","",INDEX(C_Pavement!$E$5:$E$204,$AQ889)),IF($AS889="","",INDEX(E_Rules!$D$5:$D$9,$AS889))))</f>
        <v/>
      </c>
      <c r="AV889" t="str">
        <f>IF($AQ889="","",IF(INDEX(C_Pavement!$F$5:$F$204,$AQ889)&lt;&gt;"",IF(INDEX(C_Pavement!$F$5:$F$204,$AQ889)="-","",INDEX(C_Pavement!$F$5:$F$204,$AQ889)),IF($AS889="","",INDEX(E_Rules!$E$5:$E$9,$AS889))))</f>
        <v/>
      </c>
      <c r="AW889" t="str">
        <f>IF($AQ889="","",IF(INDEX(C_Pavement!$G$5:$G$204,$AQ889)&lt;&gt;"",IF(INDEX(C_Pavement!$G$5:$G$204,$AQ889)="-","",INDEX(C_Pavement!$G$5:$G$204,$AQ889)),IF($AS889="","",INDEX(E_Rules!$F$5:$F$9,$AS889))))</f>
        <v/>
      </c>
      <c r="AX889" t="str">
        <f>IF($AQ889="","",IF(INDEX(C_Pavement!$H$5:$H$204,$AQ889)&lt;&gt;"",IF(INDEX(C_Pavement!$H$5:$H$204,$AQ889)="-","",INDEX(C_Pavement!$H$5:$H$204,$AQ889)),IF($AS889="","",INDEX(E_Rules!$G$5:$G$9,$AS889))))</f>
        <v/>
      </c>
      <c r="AY889" t="str">
        <f>IF($AQ889="","",IF(INDEX(C_Pavement!$I$5:$I$204,$AQ889)&lt;&gt;"",IF(INDEX(C_Pavement!$I$5:$I$204,$AQ889)="-","",INDEX(C_Pavement!$I$5:$I$204,$AQ889)),IF($AS889="","",INDEX(E_Rules!$H$5:$H$9,$AS889))))</f>
        <v/>
      </c>
    </row>
    <row r="890" spans="1:51" ht="15.75" customHeight="1" x14ac:dyDescent="0.3">
      <c r="A890" s="189">
        <v>885</v>
      </c>
      <c r="B890" s="180">
        <v>44200</v>
      </c>
      <c r="C890" s="180" t="s">
        <v>1196</v>
      </c>
      <c r="D890" s="181" t="str">
        <f>IFERROR(LOOKUP(2,1/((A_Corridor!$A$5:$A$204&lt;&gt;"")*(A_Corridor!$A$5:$A$204&lt;=$B890)*(A_Corridor!$B$5:$B$204&gt;$B890)*(A_Corridor!$C$5:$C$204&lt;&gt;"")),IF(UPPER(A_Corridor!$C$5:$C$204)="Y",1,"")),"")</f>
        <v/>
      </c>
      <c r="E890" s="181" t="str">
        <f>IFERROR(LOOKUP(2,1/((A_Corridor!$A$5:$A$204&lt;&gt;"")*(A_Corridor!$A$5:$A$204&lt;=$B890)*(A_Corridor!$B$5:$B$204&gt;$B890)*(A_Corridor!$D$5:$D$204&lt;&gt;"")),IF(A_Corridor!$D$5:$D$204="-","",UPPER(A_Corridor!$D$5:$D$204))),"")</f>
        <v/>
      </c>
      <c r="F890" s="181" t="str">
        <f>IFERROR(LOOKUP(2,1/((A_Corridor!$A$5:$A$204&lt;&gt;"")*(A_Corridor!$A$5:$A$204&lt;=$B890)*(A_Corridor!$B$5:$B$204&gt;$B890)*(A_Corridor!$E$5:$E$204&lt;&gt;"")),IF(A_Corridor!$E$5:$E$204="-","",1)),"")</f>
        <v/>
      </c>
      <c r="G890" s="182" t="str">
        <f>IFERROR(LOOKUP(2,1/((A_Corridor!$A$5:$A$204&lt;&gt;"")*(A_Corridor!$A$5:$A$204&lt;=$B890)*(A_Corridor!$B$5:$B$204&gt;$B890)*(A_Corridor!$E$5:$E$204&lt;&gt;"")),IF(A_Corridor!$E$5:$E$204="-","",A_Corridor!$E$5:$E$204)),"")</f>
        <v/>
      </c>
      <c r="H890" s="182" t="str">
        <f>IFERROR(LOOKUP(2,1/((D_Points!$A$5:$A$204&lt;&gt;"")*(D_Points!$A$5:$A$204&gt;=$B890)*(D_Points!$A$5:$A$204&lt;$B890+P_Interval)*(UPPER(TRIM(D_Points!$B$5:$B$204))="GULLY")*(D_Points!$H$5:$H$204&lt;&gt;"")),D_Points!$H$5:$H$204),"")</f>
        <v/>
      </c>
      <c r="I890" s="181" t="str">
        <f>IFERROR(LOOKUP(2,1/((A_Corridor!$A$5:$A$204&lt;&gt;"")*(A_Corridor!$A$5:$A$204&lt;=$B890)*(A_Corridor!$B$5:$B$204&gt;$B890)*(A_Corridor!$F$5:$F$204&lt;&gt;"")),IF(A_Corridor!$F$5:$F$204="-","",1)),"")</f>
        <v/>
      </c>
      <c r="J890" s="182" t="str">
        <f>IFERROR(LOOKUP(2,1/((A_Corridor!$A$5:$A$204&lt;&gt;"")*(A_Corridor!$A$5:$A$204&lt;=$B890)*(A_Corridor!$B$5:$B$204&gt;$B890)*(A_Corridor!$F$5:$F$204&lt;&gt;"")),IF(A_Corridor!$F$5:$F$204="-","",A_Corridor!$F$5:$F$204)),"")</f>
        <v/>
      </c>
      <c r="K890" s="182" t="str">
        <f>IFERROR(LOOKUP(2,1/((A_Corridor!$A$5:$A$204&lt;&gt;"")*(A_Corridor!$A$5:$A$204&lt;=$B890)*(A_Corridor!$B$5:$B$204&gt;$B890)*(A_Corridor!$G$5:$G$204&lt;&gt;"")),IF(A_Corridor!$G$5:$G$204="-","",A_Corridor!$G$5:$G$204)),"")</f>
        <v/>
      </c>
      <c r="L890" s="181" t="str">
        <f>IFERROR(LOOKUP(2,1/((A_Corridor!$A$5:$A$204&lt;&gt;"")*(A_Corridor!$A$5:$A$204&lt;=$B890)*(A_Corridor!$B$5:$B$204&gt;$B890)*(A_Corridor!$H$5:$H$204&lt;&gt;"")),IF(A_Corridor!$H$5:$H$204="-","",1)),"")</f>
        <v/>
      </c>
      <c r="M890" s="182" t="str">
        <f>IFERROR(LOOKUP(2,1/((A_Corridor!$A$5:$A$204&lt;&gt;"")*(A_Corridor!$A$5:$A$204&lt;=$B890)*(A_Corridor!$B$5:$B$204&gt;$B890)*(A_Corridor!$H$5:$H$204&lt;&gt;"")),IF(A_Corridor!$H$5:$H$204="-","",A_Corridor!$H$5:$H$204)),"")</f>
        <v/>
      </c>
      <c r="N890" s="182" t="str">
        <f>IFERROR(LOOKUP(2,1/((A_Corridor!$A$5:$A$204&lt;&gt;"")*(A_Corridor!$A$5:$A$204&lt;=$B890)*(A_Corridor!$B$5:$B$204&gt;$B890)*(A_Corridor!$I$5:$I$204&lt;&gt;"")),IF(A_Corridor!$I$5:$I$204="-","",A_Corridor!$I$5:$I$204)),"")</f>
        <v/>
      </c>
      <c r="O890" s="182" t="str">
        <f>IFERROR(LOOKUP(2,1/((D_Points!$A$5:$A$204&lt;&gt;"")*(D_Points!$A$5:$A$204&gt;=$B890)*(D_Points!$A$5:$A$204&lt;$B890+P_Interval)*(UPPER(TRIM(D_Points!$B$5:$B$204))="PITCHING")*(D_Points!$H$5:$H$204&lt;&gt;"")),D_Points!$H$5:$H$204),"")</f>
        <v/>
      </c>
      <c r="P890" s="181" t="str">
        <f>IFERROR(LOOKUP(2,1/((B_Drainage!$A$5:$A$204&lt;&gt;"")*(B_Drainage!$A$5:$A$204&lt;=$B890)*(B_Drainage!$B$5:$B$204&gt;$B890)*(B_Drainage!$C$5:$C$204&lt;&gt;"")),IF(B_Drainage!$C$5:$C$204="-","",UPPER(B_Drainage!$C$5:$C$204))),"")</f>
        <v/>
      </c>
      <c r="Q890" s="181" t="str">
        <f>IFERROR(LOOKUP(2,1/((B_Drainage!$A$5:$A$204&lt;&gt;"")*(B_Drainage!$A$5:$A$204&lt;=$B890)*(B_Drainage!$B$5:$B$204&gt;$B890)*(B_Drainage!$D$5:$D$204&lt;&gt;"")),IF(B_Drainage!$D$5:$D$204="-","",UPPER(B_Drainage!$D$5:$D$204))),"")</f>
        <v/>
      </c>
      <c r="R890" s="182" t="str">
        <f>IFERROR(LOOKUP(2,1/((D_Points!$A$5:$A$204&lt;&gt;"")*(D_Points!$A$5:$A$204&gt;=$B890)*(D_Points!$A$5:$A$204&lt;$B890+P_Interval)*(RIGHT(UPPER(TRIM(D_Points!$B$5:$B$204)),8)="_CULVERT")),IF(LEFT(UPPER(TRIM(D_Points!$B$5:$B$204)),2)="EX",1,IF(LEFT(UPPER(TRIM(D_Points!$B$5:$B$204)),2)="PR",2,3))),"")</f>
        <v/>
      </c>
      <c r="S890" s="182" t="str">
        <f>IFERROR(LOOKUP(2,1/((D_Points!$A$5:$A$204&lt;&gt;"")*(D_Points!$A$5:$A$204&gt;=$B890)*(D_Points!$A$5:$A$204&lt;$B890+P_Interval)*(RIGHT(UPPER(TRIM(D_Points!$B$5:$B$204)),7)="_BRIDGE")),IF(LEFT(UPPER(TRIM(D_Points!$B$5:$B$204)),2)="EX",1,IF(LEFT(UPPER(TRIM(D_Points!$B$5:$B$204)),2)="PR",2,2))),"")</f>
        <v/>
      </c>
      <c r="T890" s="181" t="str">
        <f>IFERROR(LOOKUP(2,1/((B_Drainage!$A$5:$A$204&lt;&gt;"")*(B_Drainage!$A$5:$A$204&lt;=$B890)*(B_Drainage!$B$5:$B$204&gt;$B890)*(B_Drainage!$E$5:$E$204&lt;&gt;"")),IF(B_Drainage!$E$5:$E$204="-","",1)),"")</f>
        <v/>
      </c>
      <c r="U890" s="181" t="str">
        <f>IFERROR(LOOKUP(2,1/((B_Drainage!$A$5:$A$204&lt;&gt;"")*(B_Drainage!$A$5:$A$204&lt;=$B890)*(B_Drainage!$B$5:$B$204&gt;$B890)*(B_Drainage!$E$5:$E$204&lt;&gt;"")),IF(B_Drainage!$E$5:$E$204="-","",B_Drainage!$E$5:$E$204)),"")</f>
        <v/>
      </c>
      <c r="V890" s="181" t="str">
        <f>IFERROR(LOOKUP(2,1/((B_Drainage!$A$5:$A$204&lt;&gt;"")*(B_Drainage!$A$5:$A$204&lt;=$B890)*(B_Drainage!$B$5:$B$204&gt;$B890)*(B_Drainage!$F$5:$F$204&lt;&gt;"")),IF(B_Drainage!$F$5:$F$204="-","",1)),"")</f>
        <v/>
      </c>
      <c r="W890" s="181" t="str">
        <f>IFERROR(LOOKUP(2,1/((B_Drainage!$A$5:$A$204&lt;&gt;"")*(B_Drainage!$A$5:$A$204&lt;=$B890)*(B_Drainage!$B$5:$B$204&gt;$B890)*(B_Drainage!$F$5:$F$204&lt;&gt;"")),IF(B_Drainage!$F$5:$F$204="-","",B_Drainage!$F$5:$F$204)),"")</f>
        <v/>
      </c>
      <c r="X890" s="181" t="str">
        <f>IFERROR(LOOKUP(2,1/((B_Drainage!$A$5:$A$204&lt;&gt;"")*(B_Drainage!$A$5:$A$204&lt;=$B890)*(B_Drainage!$B$5:$B$204&gt;$B890)*(B_Drainage!$G$5:$G$204&lt;&gt;"")),IF(UPPER(B_Drainage!$G$5:$G$204)="Y",1,"")),"")</f>
        <v/>
      </c>
      <c r="Y890" s="181" t="str">
        <f>IFERROR(LOOKUP(2,1/((B_Drainage!$A$5:$A$204&lt;&gt;"")*(B_Drainage!$A$5:$A$204&lt;=$B890)*(B_Drainage!$B$5:$B$204&gt;$B890)*(B_Drainage!$H$5:$H$204&lt;&gt;"")),IF(UPPER(B_Drainage!$H$5:$H$204)="Y",1,"")),"")</f>
        <v/>
      </c>
      <c r="Z890" s="181" t="str">
        <f>IFERROR(LOOKUP(2,1/((B_Drainage!$A$5:$A$204&lt;&gt;"")*(B_Drainage!$A$5:$A$204&lt;=$B890)*(B_Drainage!$B$5:$B$204&gt;$B890)*(B_Drainage!$I$5:$I$204&lt;&gt;"")),IF(UPPER(B_Drainage!$I$5:$I$204)="Y",1,"")),"")</f>
        <v/>
      </c>
      <c r="AA890" s="181" t="str">
        <f>IFERROR(LOOKUP(2,1/((B_Drainage!$A$5:$A$204&lt;&gt;"")*(B_Drainage!$A$5:$A$204&lt;=$B890)*(B_Drainage!$B$5:$B$204&gt;$B890)*(B_Drainage!$J$5:$J$204&lt;&gt;"")),IF(UPPER(B_Drainage!$J$5:$J$204)="Y",1,"")),"")</f>
        <v/>
      </c>
      <c r="AB890" s="182" t="str">
        <f>IFERROR(LOOKUP(2,1/((B_Drainage!$A$5:$A$204&lt;&gt;"")*(B_Drainage!$A$5:$A$204&lt;=$B890)*(B_Drainage!$B$5:$B$204&gt;$B890)*(B_Drainage!$K$5:$K$204&lt;&gt;"")),IF(B_Drainage!$K$5:$K$204="-","",B_Drainage!$K$5:$K$204)),"")</f>
        <v/>
      </c>
      <c r="AC890" s="182" t="str">
        <f>IFERROR(LOOKUP(2,1/((B_Drainage!$A$5:$A$204&lt;&gt;"")*(B_Drainage!$A$5:$A$204&lt;=$B890)*(B_Drainage!$B$5:$B$204&gt;$B890)*(B_Drainage!$L$5:$L$204&lt;&gt;"")),IF(B_Drainage!$L$5:$L$204="-","",B_Drainage!$L$5:$L$204)),"")</f>
        <v/>
      </c>
      <c r="AD890" s="182" t="str">
        <f>IFERROR(LOOKUP(2,1/((D_Points!$A$5:$A$204&lt;&gt;"")*(D_Points!$A$5:$A$204&gt;=$B890)*(D_Points!$A$5:$A$204&lt;$B890+P_Interval)*(UPPER(TRIM(D_Points!$B$5:$B$204))="TURNOUT_L")*(D_Points!$H$5:$H$204&lt;&gt;"")),D_Points!$H$5:$H$204),"")</f>
        <v/>
      </c>
      <c r="AE890" s="182" t="str">
        <f>IFERROR(LOOKUP(2,1/((D_Points!$A$5:$A$204&lt;&gt;"")*(D_Points!$A$5:$A$204&gt;=$B890)*(D_Points!$A$5:$A$204&lt;$B890+P_Interval)*(UPPER(TRIM(D_Points!$B$5:$B$204))="TURNOUT_R")*(D_Points!$H$5:$H$204&lt;&gt;"")),D_Points!$H$5:$H$204),"")</f>
        <v/>
      </c>
      <c r="AF890" s="181" t="str">
        <f>IFERROR(LOOKUP(2,1/((B_Drainage!$A$5:$A$204&lt;&gt;"")*(B_Drainage!$A$5:$A$204&lt;=$B890)*(B_Drainage!$B$5:$B$204&gt;$B890)*(B_Drainage!$M$5:$M$204&lt;&gt;"")),IF(UPPER(B_Drainage!$M$5:$M$204)="Y",1,"")),"")</f>
        <v/>
      </c>
      <c r="AG890" s="181" t="str">
        <f>IFERROR(LOOKUP(2,1/((B_Drainage!$A$5:$A$204&lt;&gt;"")*(B_Drainage!$A$5:$A$204&lt;=$B890)*(B_Drainage!$B$5:$B$204&gt;$B890)*(B_Drainage!$N$5:$N$204&lt;&gt;"")),IF(UPPER(B_Drainage!$N$5:$N$204)="Y",1,"")),"")</f>
        <v/>
      </c>
      <c r="AH890" s="181" t="str">
        <f t="shared" si="104"/>
        <v/>
      </c>
      <c r="AI890" s="181" t="str">
        <f t="shared" si="105"/>
        <v/>
      </c>
      <c r="AJ890" s="181" t="str">
        <f t="shared" si="106"/>
        <v/>
      </c>
      <c r="AK890" s="181" t="str">
        <f t="shared" si="107"/>
        <v/>
      </c>
      <c r="AL890" s="181" t="str">
        <f t="shared" si="108"/>
        <v/>
      </c>
      <c r="AM890" s="181" t="str">
        <f t="shared" si="109"/>
        <v/>
      </c>
      <c r="AN890" s="181" t="str">
        <f t="shared" si="110"/>
        <v/>
      </c>
      <c r="AO890" s="192" t="str">
        <f t="shared" si="111"/>
        <v/>
      </c>
      <c r="AQ890" t="str">
        <f>IFERROR(LOOKUP(2,1/((C_Pavement!$A$5:$A$204&lt;&gt;"")*(C_Pavement!$A$5:$A$204&lt;=$B890)*(C_Pavement!$B$5:$B$204&gt;$B890)*(C_Pavement!$C$5:$C$204&lt;&gt;"")),ROW(C_Pavement!$C$5:$C$204)-4),"")</f>
        <v/>
      </c>
      <c r="AR890" t="str">
        <f>IF($AQ890="","",UPPER(TRIM(INDEX(C_Pavement!$C$5:$C$204,$AQ890))))</f>
        <v/>
      </c>
      <c r="AS890" t="str">
        <f>IF($AR890="","",IFERROR(MATCH($AR890,E_Rules!$A$5:$A$9,0),""))</f>
        <v/>
      </c>
      <c r="AT890" t="str">
        <f>IF($AQ890="","",IF(INDEX(C_Pavement!$D$5:$D$204,$AQ890)&lt;&gt;"",UPPER(TRIM(INDEX(C_Pavement!$D$5:$D$204,$AQ890))),IF($AS890="","",INDEX(E_Rules!$C$5:$C$9,$AS890))))</f>
        <v/>
      </c>
      <c r="AU890" t="str">
        <f>IF($AQ890="","",IF(INDEX(C_Pavement!$E$5:$E$204,$AQ890)&lt;&gt;"",IF(INDEX(C_Pavement!$E$5:$E$204,$AQ890)="-","",INDEX(C_Pavement!$E$5:$E$204,$AQ890)),IF($AS890="","",INDEX(E_Rules!$D$5:$D$9,$AS890))))</f>
        <v/>
      </c>
      <c r="AV890" t="str">
        <f>IF($AQ890="","",IF(INDEX(C_Pavement!$F$5:$F$204,$AQ890)&lt;&gt;"",IF(INDEX(C_Pavement!$F$5:$F$204,$AQ890)="-","",INDEX(C_Pavement!$F$5:$F$204,$AQ890)),IF($AS890="","",INDEX(E_Rules!$E$5:$E$9,$AS890))))</f>
        <v/>
      </c>
      <c r="AW890" t="str">
        <f>IF($AQ890="","",IF(INDEX(C_Pavement!$G$5:$G$204,$AQ890)&lt;&gt;"",IF(INDEX(C_Pavement!$G$5:$G$204,$AQ890)="-","",INDEX(C_Pavement!$G$5:$G$204,$AQ890)),IF($AS890="","",INDEX(E_Rules!$F$5:$F$9,$AS890))))</f>
        <v/>
      </c>
      <c r="AX890" t="str">
        <f>IF($AQ890="","",IF(INDEX(C_Pavement!$H$5:$H$204,$AQ890)&lt;&gt;"",IF(INDEX(C_Pavement!$H$5:$H$204,$AQ890)="-","",INDEX(C_Pavement!$H$5:$H$204,$AQ890)),IF($AS890="","",INDEX(E_Rules!$G$5:$G$9,$AS890))))</f>
        <v/>
      </c>
      <c r="AY890" t="str">
        <f>IF($AQ890="","",IF(INDEX(C_Pavement!$I$5:$I$204,$AQ890)&lt;&gt;"",IF(INDEX(C_Pavement!$I$5:$I$204,$AQ890)="-","",INDEX(C_Pavement!$I$5:$I$204,$AQ890)),IF($AS890="","",INDEX(E_Rules!$H$5:$H$9,$AS890))))</f>
        <v/>
      </c>
    </row>
    <row r="891" spans="1:51" ht="15.75" customHeight="1" x14ac:dyDescent="0.3">
      <c r="A891" s="189">
        <v>886</v>
      </c>
      <c r="B891" s="180">
        <v>44250</v>
      </c>
      <c r="C891" s="180" t="s">
        <v>1197</v>
      </c>
      <c r="D891" s="181" t="str">
        <f>IFERROR(LOOKUP(2,1/((A_Corridor!$A$5:$A$204&lt;&gt;"")*(A_Corridor!$A$5:$A$204&lt;=$B891)*(A_Corridor!$B$5:$B$204&gt;$B891)*(A_Corridor!$C$5:$C$204&lt;&gt;"")),IF(UPPER(A_Corridor!$C$5:$C$204)="Y",1,"")),"")</f>
        <v/>
      </c>
      <c r="E891" s="181" t="str">
        <f>IFERROR(LOOKUP(2,1/((A_Corridor!$A$5:$A$204&lt;&gt;"")*(A_Corridor!$A$5:$A$204&lt;=$B891)*(A_Corridor!$B$5:$B$204&gt;$B891)*(A_Corridor!$D$5:$D$204&lt;&gt;"")),IF(A_Corridor!$D$5:$D$204="-","",UPPER(A_Corridor!$D$5:$D$204))),"")</f>
        <v/>
      </c>
      <c r="F891" s="181" t="str">
        <f>IFERROR(LOOKUP(2,1/((A_Corridor!$A$5:$A$204&lt;&gt;"")*(A_Corridor!$A$5:$A$204&lt;=$B891)*(A_Corridor!$B$5:$B$204&gt;$B891)*(A_Corridor!$E$5:$E$204&lt;&gt;"")),IF(A_Corridor!$E$5:$E$204="-","",1)),"")</f>
        <v/>
      </c>
      <c r="G891" s="182" t="str">
        <f>IFERROR(LOOKUP(2,1/((A_Corridor!$A$5:$A$204&lt;&gt;"")*(A_Corridor!$A$5:$A$204&lt;=$B891)*(A_Corridor!$B$5:$B$204&gt;$B891)*(A_Corridor!$E$5:$E$204&lt;&gt;"")),IF(A_Corridor!$E$5:$E$204="-","",A_Corridor!$E$5:$E$204)),"")</f>
        <v/>
      </c>
      <c r="H891" s="182" t="str">
        <f>IFERROR(LOOKUP(2,1/((D_Points!$A$5:$A$204&lt;&gt;"")*(D_Points!$A$5:$A$204&gt;=$B891)*(D_Points!$A$5:$A$204&lt;$B891+P_Interval)*(UPPER(TRIM(D_Points!$B$5:$B$204))="GULLY")*(D_Points!$H$5:$H$204&lt;&gt;"")),D_Points!$H$5:$H$204),"")</f>
        <v/>
      </c>
      <c r="I891" s="181" t="str">
        <f>IFERROR(LOOKUP(2,1/((A_Corridor!$A$5:$A$204&lt;&gt;"")*(A_Corridor!$A$5:$A$204&lt;=$B891)*(A_Corridor!$B$5:$B$204&gt;$B891)*(A_Corridor!$F$5:$F$204&lt;&gt;"")),IF(A_Corridor!$F$5:$F$204="-","",1)),"")</f>
        <v/>
      </c>
      <c r="J891" s="182" t="str">
        <f>IFERROR(LOOKUP(2,1/((A_Corridor!$A$5:$A$204&lt;&gt;"")*(A_Corridor!$A$5:$A$204&lt;=$B891)*(A_Corridor!$B$5:$B$204&gt;$B891)*(A_Corridor!$F$5:$F$204&lt;&gt;"")),IF(A_Corridor!$F$5:$F$204="-","",A_Corridor!$F$5:$F$204)),"")</f>
        <v/>
      </c>
      <c r="K891" s="182" t="str">
        <f>IFERROR(LOOKUP(2,1/((A_Corridor!$A$5:$A$204&lt;&gt;"")*(A_Corridor!$A$5:$A$204&lt;=$B891)*(A_Corridor!$B$5:$B$204&gt;$B891)*(A_Corridor!$G$5:$G$204&lt;&gt;"")),IF(A_Corridor!$G$5:$G$204="-","",A_Corridor!$G$5:$G$204)),"")</f>
        <v/>
      </c>
      <c r="L891" s="181" t="str">
        <f>IFERROR(LOOKUP(2,1/((A_Corridor!$A$5:$A$204&lt;&gt;"")*(A_Corridor!$A$5:$A$204&lt;=$B891)*(A_Corridor!$B$5:$B$204&gt;$B891)*(A_Corridor!$H$5:$H$204&lt;&gt;"")),IF(A_Corridor!$H$5:$H$204="-","",1)),"")</f>
        <v/>
      </c>
      <c r="M891" s="182" t="str">
        <f>IFERROR(LOOKUP(2,1/((A_Corridor!$A$5:$A$204&lt;&gt;"")*(A_Corridor!$A$5:$A$204&lt;=$B891)*(A_Corridor!$B$5:$B$204&gt;$B891)*(A_Corridor!$H$5:$H$204&lt;&gt;"")),IF(A_Corridor!$H$5:$H$204="-","",A_Corridor!$H$5:$H$204)),"")</f>
        <v/>
      </c>
      <c r="N891" s="182" t="str">
        <f>IFERROR(LOOKUP(2,1/((A_Corridor!$A$5:$A$204&lt;&gt;"")*(A_Corridor!$A$5:$A$204&lt;=$B891)*(A_Corridor!$B$5:$B$204&gt;$B891)*(A_Corridor!$I$5:$I$204&lt;&gt;"")),IF(A_Corridor!$I$5:$I$204="-","",A_Corridor!$I$5:$I$204)),"")</f>
        <v/>
      </c>
      <c r="O891" s="182" t="str">
        <f>IFERROR(LOOKUP(2,1/((D_Points!$A$5:$A$204&lt;&gt;"")*(D_Points!$A$5:$A$204&gt;=$B891)*(D_Points!$A$5:$A$204&lt;$B891+P_Interval)*(UPPER(TRIM(D_Points!$B$5:$B$204))="PITCHING")*(D_Points!$H$5:$H$204&lt;&gt;"")),D_Points!$H$5:$H$204),"")</f>
        <v/>
      </c>
      <c r="P891" s="181" t="str">
        <f>IFERROR(LOOKUP(2,1/((B_Drainage!$A$5:$A$204&lt;&gt;"")*(B_Drainage!$A$5:$A$204&lt;=$B891)*(B_Drainage!$B$5:$B$204&gt;$B891)*(B_Drainage!$C$5:$C$204&lt;&gt;"")),IF(B_Drainage!$C$5:$C$204="-","",UPPER(B_Drainage!$C$5:$C$204))),"")</f>
        <v/>
      </c>
      <c r="Q891" s="181" t="str">
        <f>IFERROR(LOOKUP(2,1/((B_Drainage!$A$5:$A$204&lt;&gt;"")*(B_Drainage!$A$5:$A$204&lt;=$B891)*(B_Drainage!$B$5:$B$204&gt;$B891)*(B_Drainage!$D$5:$D$204&lt;&gt;"")),IF(B_Drainage!$D$5:$D$204="-","",UPPER(B_Drainage!$D$5:$D$204))),"")</f>
        <v/>
      </c>
      <c r="R891" s="182" t="str">
        <f>IFERROR(LOOKUP(2,1/((D_Points!$A$5:$A$204&lt;&gt;"")*(D_Points!$A$5:$A$204&gt;=$B891)*(D_Points!$A$5:$A$204&lt;$B891+P_Interval)*(RIGHT(UPPER(TRIM(D_Points!$B$5:$B$204)),8)="_CULVERT")),IF(LEFT(UPPER(TRIM(D_Points!$B$5:$B$204)),2)="EX",1,IF(LEFT(UPPER(TRIM(D_Points!$B$5:$B$204)),2)="PR",2,3))),"")</f>
        <v/>
      </c>
      <c r="S891" s="182" t="str">
        <f>IFERROR(LOOKUP(2,1/((D_Points!$A$5:$A$204&lt;&gt;"")*(D_Points!$A$5:$A$204&gt;=$B891)*(D_Points!$A$5:$A$204&lt;$B891+P_Interval)*(RIGHT(UPPER(TRIM(D_Points!$B$5:$B$204)),7)="_BRIDGE")),IF(LEFT(UPPER(TRIM(D_Points!$B$5:$B$204)),2)="EX",1,IF(LEFT(UPPER(TRIM(D_Points!$B$5:$B$204)),2)="PR",2,2))),"")</f>
        <v/>
      </c>
      <c r="T891" s="181" t="str">
        <f>IFERROR(LOOKUP(2,1/((B_Drainage!$A$5:$A$204&lt;&gt;"")*(B_Drainage!$A$5:$A$204&lt;=$B891)*(B_Drainage!$B$5:$B$204&gt;$B891)*(B_Drainage!$E$5:$E$204&lt;&gt;"")),IF(B_Drainage!$E$5:$E$204="-","",1)),"")</f>
        <v/>
      </c>
      <c r="U891" s="181" t="str">
        <f>IFERROR(LOOKUP(2,1/((B_Drainage!$A$5:$A$204&lt;&gt;"")*(B_Drainage!$A$5:$A$204&lt;=$B891)*(B_Drainage!$B$5:$B$204&gt;$B891)*(B_Drainage!$E$5:$E$204&lt;&gt;"")),IF(B_Drainage!$E$5:$E$204="-","",B_Drainage!$E$5:$E$204)),"")</f>
        <v/>
      </c>
      <c r="V891" s="181" t="str">
        <f>IFERROR(LOOKUP(2,1/((B_Drainage!$A$5:$A$204&lt;&gt;"")*(B_Drainage!$A$5:$A$204&lt;=$B891)*(B_Drainage!$B$5:$B$204&gt;$B891)*(B_Drainage!$F$5:$F$204&lt;&gt;"")),IF(B_Drainage!$F$5:$F$204="-","",1)),"")</f>
        <v/>
      </c>
      <c r="W891" s="181" t="str">
        <f>IFERROR(LOOKUP(2,1/((B_Drainage!$A$5:$A$204&lt;&gt;"")*(B_Drainage!$A$5:$A$204&lt;=$B891)*(B_Drainage!$B$5:$B$204&gt;$B891)*(B_Drainage!$F$5:$F$204&lt;&gt;"")),IF(B_Drainage!$F$5:$F$204="-","",B_Drainage!$F$5:$F$204)),"")</f>
        <v/>
      </c>
      <c r="X891" s="181" t="str">
        <f>IFERROR(LOOKUP(2,1/((B_Drainage!$A$5:$A$204&lt;&gt;"")*(B_Drainage!$A$5:$A$204&lt;=$B891)*(B_Drainage!$B$5:$B$204&gt;$B891)*(B_Drainage!$G$5:$G$204&lt;&gt;"")),IF(UPPER(B_Drainage!$G$5:$G$204)="Y",1,"")),"")</f>
        <v/>
      </c>
      <c r="Y891" s="181" t="str">
        <f>IFERROR(LOOKUP(2,1/((B_Drainage!$A$5:$A$204&lt;&gt;"")*(B_Drainage!$A$5:$A$204&lt;=$B891)*(B_Drainage!$B$5:$B$204&gt;$B891)*(B_Drainage!$H$5:$H$204&lt;&gt;"")),IF(UPPER(B_Drainage!$H$5:$H$204)="Y",1,"")),"")</f>
        <v/>
      </c>
      <c r="Z891" s="181" t="str">
        <f>IFERROR(LOOKUP(2,1/((B_Drainage!$A$5:$A$204&lt;&gt;"")*(B_Drainage!$A$5:$A$204&lt;=$B891)*(B_Drainage!$B$5:$B$204&gt;$B891)*(B_Drainage!$I$5:$I$204&lt;&gt;"")),IF(UPPER(B_Drainage!$I$5:$I$204)="Y",1,"")),"")</f>
        <v/>
      </c>
      <c r="AA891" s="181" t="str">
        <f>IFERROR(LOOKUP(2,1/((B_Drainage!$A$5:$A$204&lt;&gt;"")*(B_Drainage!$A$5:$A$204&lt;=$B891)*(B_Drainage!$B$5:$B$204&gt;$B891)*(B_Drainage!$J$5:$J$204&lt;&gt;"")),IF(UPPER(B_Drainage!$J$5:$J$204)="Y",1,"")),"")</f>
        <v/>
      </c>
      <c r="AB891" s="182" t="str">
        <f>IFERROR(LOOKUP(2,1/((B_Drainage!$A$5:$A$204&lt;&gt;"")*(B_Drainage!$A$5:$A$204&lt;=$B891)*(B_Drainage!$B$5:$B$204&gt;$B891)*(B_Drainage!$K$5:$K$204&lt;&gt;"")),IF(B_Drainage!$K$5:$K$204="-","",B_Drainage!$K$5:$K$204)),"")</f>
        <v/>
      </c>
      <c r="AC891" s="182" t="str">
        <f>IFERROR(LOOKUP(2,1/((B_Drainage!$A$5:$A$204&lt;&gt;"")*(B_Drainage!$A$5:$A$204&lt;=$B891)*(B_Drainage!$B$5:$B$204&gt;$B891)*(B_Drainage!$L$5:$L$204&lt;&gt;"")),IF(B_Drainage!$L$5:$L$204="-","",B_Drainage!$L$5:$L$204)),"")</f>
        <v/>
      </c>
      <c r="AD891" s="182" t="str">
        <f>IFERROR(LOOKUP(2,1/((D_Points!$A$5:$A$204&lt;&gt;"")*(D_Points!$A$5:$A$204&gt;=$B891)*(D_Points!$A$5:$A$204&lt;$B891+P_Interval)*(UPPER(TRIM(D_Points!$B$5:$B$204))="TURNOUT_L")*(D_Points!$H$5:$H$204&lt;&gt;"")),D_Points!$H$5:$H$204),"")</f>
        <v/>
      </c>
      <c r="AE891" s="182" t="str">
        <f>IFERROR(LOOKUP(2,1/((D_Points!$A$5:$A$204&lt;&gt;"")*(D_Points!$A$5:$A$204&gt;=$B891)*(D_Points!$A$5:$A$204&lt;$B891+P_Interval)*(UPPER(TRIM(D_Points!$B$5:$B$204))="TURNOUT_R")*(D_Points!$H$5:$H$204&lt;&gt;"")),D_Points!$H$5:$H$204),"")</f>
        <v/>
      </c>
      <c r="AF891" s="181" t="str">
        <f>IFERROR(LOOKUP(2,1/((B_Drainage!$A$5:$A$204&lt;&gt;"")*(B_Drainage!$A$5:$A$204&lt;=$B891)*(B_Drainage!$B$5:$B$204&gt;$B891)*(B_Drainage!$M$5:$M$204&lt;&gt;"")),IF(UPPER(B_Drainage!$M$5:$M$204)="Y",1,"")),"")</f>
        <v/>
      </c>
      <c r="AG891" s="181" t="str">
        <f>IFERROR(LOOKUP(2,1/((B_Drainage!$A$5:$A$204&lt;&gt;"")*(B_Drainage!$A$5:$A$204&lt;=$B891)*(B_Drainage!$B$5:$B$204&gt;$B891)*(B_Drainage!$N$5:$N$204&lt;&gt;"")),IF(UPPER(B_Drainage!$N$5:$N$204)="Y",1,"")),"")</f>
        <v/>
      </c>
      <c r="AH891" s="181" t="str">
        <f t="shared" si="104"/>
        <v/>
      </c>
      <c r="AI891" s="181" t="str">
        <f t="shared" si="105"/>
        <v/>
      </c>
      <c r="AJ891" s="181" t="str">
        <f t="shared" si="106"/>
        <v/>
      </c>
      <c r="AK891" s="181" t="str">
        <f t="shared" si="107"/>
        <v/>
      </c>
      <c r="AL891" s="181" t="str">
        <f t="shared" si="108"/>
        <v/>
      </c>
      <c r="AM891" s="181" t="str">
        <f t="shared" si="109"/>
        <v/>
      </c>
      <c r="AN891" s="181" t="str">
        <f t="shared" si="110"/>
        <v/>
      </c>
      <c r="AO891" s="192" t="str">
        <f t="shared" si="111"/>
        <v/>
      </c>
      <c r="AQ891" t="str">
        <f>IFERROR(LOOKUP(2,1/((C_Pavement!$A$5:$A$204&lt;&gt;"")*(C_Pavement!$A$5:$A$204&lt;=$B891)*(C_Pavement!$B$5:$B$204&gt;$B891)*(C_Pavement!$C$5:$C$204&lt;&gt;"")),ROW(C_Pavement!$C$5:$C$204)-4),"")</f>
        <v/>
      </c>
      <c r="AR891" t="str">
        <f>IF($AQ891="","",UPPER(TRIM(INDEX(C_Pavement!$C$5:$C$204,$AQ891))))</f>
        <v/>
      </c>
      <c r="AS891" t="str">
        <f>IF($AR891="","",IFERROR(MATCH($AR891,E_Rules!$A$5:$A$9,0),""))</f>
        <v/>
      </c>
      <c r="AT891" t="str">
        <f>IF($AQ891="","",IF(INDEX(C_Pavement!$D$5:$D$204,$AQ891)&lt;&gt;"",UPPER(TRIM(INDEX(C_Pavement!$D$5:$D$204,$AQ891))),IF($AS891="","",INDEX(E_Rules!$C$5:$C$9,$AS891))))</f>
        <v/>
      </c>
      <c r="AU891" t="str">
        <f>IF($AQ891="","",IF(INDEX(C_Pavement!$E$5:$E$204,$AQ891)&lt;&gt;"",IF(INDEX(C_Pavement!$E$5:$E$204,$AQ891)="-","",INDEX(C_Pavement!$E$5:$E$204,$AQ891)),IF($AS891="","",INDEX(E_Rules!$D$5:$D$9,$AS891))))</f>
        <v/>
      </c>
      <c r="AV891" t="str">
        <f>IF($AQ891="","",IF(INDEX(C_Pavement!$F$5:$F$204,$AQ891)&lt;&gt;"",IF(INDEX(C_Pavement!$F$5:$F$204,$AQ891)="-","",INDEX(C_Pavement!$F$5:$F$204,$AQ891)),IF($AS891="","",INDEX(E_Rules!$E$5:$E$9,$AS891))))</f>
        <v/>
      </c>
      <c r="AW891" t="str">
        <f>IF($AQ891="","",IF(INDEX(C_Pavement!$G$5:$G$204,$AQ891)&lt;&gt;"",IF(INDEX(C_Pavement!$G$5:$G$204,$AQ891)="-","",INDEX(C_Pavement!$G$5:$G$204,$AQ891)),IF($AS891="","",INDEX(E_Rules!$F$5:$F$9,$AS891))))</f>
        <v/>
      </c>
      <c r="AX891" t="str">
        <f>IF($AQ891="","",IF(INDEX(C_Pavement!$H$5:$H$204,$AQ891)&lt;&gt;"",IF(INDEX(C_Pavement!$H$5:$H$204,$AQ891)="-","",INDEX(C_Pavement!$H$5:$H$204,$AQ891)),IF($AS891="","",INDEX(E_Rules!$G$5:$G$9,$AS891))))</f>
        <v/>
      </c>
      <c r="AY891" t="str">
        <f>IF($AQ891="","",IF(INDEX(C_Pavement!$I$5:$I$204,$AQ891)&lt;&gt;"",IF(INDEX(C_Pavement!$I$5:$I$204,$AQ891)="-","",INDEX(C_Pavement!$I$5:$I$204,$AQ891)),IF($AS891="","",INDEX(E_Rules!$H$5:$H$9,$AS891))))</f>
        <v/>
      </c>
    </row>
    <row r="892" spans="1:51" ht="15.75" customHeight="1" x14ac:dyDescent="0.3">
      <c r="A892" s="189">
        <v>887</v>
      </c>
      <c r="B892" s="180">
        <v>44300</v>
      </c>
      <c r="C892" s="180" t="s">
        <v>1198</v>
      </c>
      <c r="D892" s="181" t="str">
        <f>IFERROR(LOOKUP(2,1/((A_Corridor!$A$5:$A$204&lt;&gt;"")*(A_Corridor!$A$5:$A$204&lt;=$B892)*(A_Corridor!$B$5:$B$204&gt;$B892)*(A_Corridor!$C$5:$C$204&lt;&gt;"")),IF(UPPER(A_Corridor!$C$5:$C$204)="Y",1,"")),"")</f>
        <v/>
      </c>
      <c r="E892" s="181" t="str">
        <f>IFERROR(LOOKUP(2,1/((A_Corridor!$A$5:$A$204&lt;&gt;"")*(A_Corridor!$A$5:$A$204&lt;=$B892)*(A_Corridor!$B$5:$B$204&gt;$B892)*(A_Corridor!$D$5:$D$204&lt;&gt;"")),IF(A_Corridor!$D$5:$D$204="-","",UPPER(A_Corridor!$D$5:$D$204))),"")</f>
        <v/>
      </c>
      <c r="F892" s="181" t="str">
        <f>IFERROR(LOOKUP(2,1/((A_Corridor!$A$5:$A$204&lt;&gt;"")*(A_Corridor!$A$5:$A$204&lt;=$B892)*(A_Corridor!$B$5:$B$204&gt;$B892)*(A_Corridor!$E$5:$E$204&lt;&gt;"")),IF(A_Corridor!$E$5:$E$204="-","",1)),"")</f>
        <v/>
      </c>
      <c r="G892" s="182" t="str">
        <f>IFERROR(LOOKUP(2,1/((A_Corridor!$A$5:$A$204&lt;&gt;"")*(A_Corridor!$A$5:$A$204&lt;=$B892)*(A_Corridor!$B$5:$B$204&gt;$B892)*(A_Corridor!$E$5:$E$204&lt;&gt;"")),IF(A_Corridor!$E$5:$E$204="-","",A_Corridor!$E$5:$E$204)),"")</f>
        <v/>
      </c>
      <c r="H892" s="182" t="str">
        <f>IFERROR(LOOKUP(2,1/((D_Points!$A$5:$A$204&lt;&gt;"")*(D_Points!$A$5:$A$204&gt;=$B892)*(D_Points!$A$5:$A$204&lt;$B892+P_Interval)*(UPPER(TRIM(D_Points!$B$5:$B$204))="GULLY")*(D_Points!$H$5:$H$204&lt;&gt;"")),D_Points!$H$5:$H$204),"")</f>
        <v/>
      </c>
      <c r="I892" s="181" t="str">
        <f>IFERROR(LOOKUP(2,1/((A_Corridor!$A$5:$A$204&lt;&gt;"")*(A_Corridor!$A$5:$A$204&lt;=$B892)*(A_Corridor!$B$5:$B$204&gt;$B892)*(A_Corridor!$F$5:$F$204&lt;&gt;"")),IF(A_Corridor!$F$5:$F$204="-","",1)),"")</f>
        <v/>
      </c>
      <c r="J892" s="182" t="str">
        <f>IFERROR(LOOKUP(2,1/((A_Corridor!$A$5:$A$204&lt;&gt;"")*(A_Corridor!$A$5:$A$204&lt;=$B892)*(A_Corridor!$B$5:$B$204&gt;$B892)*(A_Corridor!$F$5:$F$204&lt;&gt;"")),IF(A_Corridor!$F$5:$F$204="-","",A_Corridor!$F$5:$F$204)),"")</f>
        <v/>
      </c>
      <c r="K892" s="182" t="str">
        <f>IFERROR(LOOKUP(2,1/((A_Corridor!$A$5:$A$204&lt;&gt;"")*(A_Corridor!$A$5:$A$204&lt;=$B892)*(A_Corridor!$B$5:$B$204&gt;$B892)*(A_Corridor!$G$5:$G$204&lt;&gt;"")),IF(A_Corridor!$G$5:$G$204="-","",A_Corridor!$G$5:$G$204)),"")</f>
        <v/>
      </c>
      <c r="L892" s="181" t="str">
        <f>IFERROR(LOOKUP(2,1/((A_Corridor!$A$5:$A$204&lt;&gt;"")*(A_Corridor!$A$5:$A$204&lt;=$B892)*(A_Corridor!$B$5:$B$204&gt;$B892)*(A_Corridor!$H$5:$H$204&lt;&gt;"")),IF(A_Corridor!$H$5:$H$204="-","",1)),"")</f>
        <v/>
      </c>
      <c r="M892" s="182" t="str">
        <f>IFERROR(LOOKUP(2,1/((A_Corridor!$A$5:$A$204&lt;&gt;"")*(A_Corridor!$A$5:$A$204&lt;=$B892)*(A_Corridor!$B$5:$B$204&gt;$B892)*(A_Corridor!$H$5:$H$204&lt;&gt;"")),IF(A_Corridor!$H$5:$H$204="-","",A_Corridor!$H$5:$H$204)),"")</f>
        <v/>
      </c>
      <c r="N892" s="182" t="str">
        <f>IFERROR(LOOKUP(2,1/((A_Corridor!$A$5:$A$204&lt;&gt;"")*(A_Corridor!$A$5:$A$204&lt;=$B892)*(A_Corridor!$B$5:$B$204&gt;$B892)*(A_Corridor!$I$5:$I$204&lt;&gt;"")),IF(A_Corridor!$I$5:$I$204="-","",A_Corridor!$I$5:$I$204)),"")</f>
        <v/>
      </c>
      <c r="O892" s="182" t="str">
        <f>IFERROR(LOOKUP(2,1/((D_Points!$A$5:$A$204&lt;&gt;"")*(D_Points!$A$5:$A$204&gt;=$B892)*(D_Points!$A$5:$A$204&lt;$B892+P_Interval)*(UPPER(TRIM(D_Points!$B$5:$B$204))="PITCHING")*(D_Points!$H$5:$H$204&lt;&gt;"")),D_Points!$H$5:$H$204),"")</f>
        <v/>
      </c>
      <c r="P892" s="181" t="str">
        <f>IFERROR(LOOKUP(2,1/((B_Drainage!$A$5:$A$204&lt;&gt;"")*(B_Drainage!$A$5:$A$204&lt;=$B892)*(B_Drainage!$B$5:$B$204&gt;$B892)*(B_Drainage!$C$5:$C$204&lt;&gt;"")),IF(B_Drainage!$C$5:$C$204="-","",UPPER(B_Drainage!$C$5:$C$204))),"")</f>
        <v/>
      </c>
      <c r="Q892" s="181" t="str">
        <f>IFERROR(LOOKUP(2,1/((B_Drainage!$A$5:$A$204&lt;&gt;"")*(B_Drainage!$A$5:$A$204&lt;=$B892)*(B_Drainage!$B$5:$B$204&gt;$B892)*(B_Drainage!$D$5:$D$204&lt;&gt;"")),IF(B_Drainage!$D$5:$D$204="-","",UPPER(B_Drainage!$D$5:$D$204))),"")</f>
        <v/>
      </c>
      <c r="R892" s="182" t="str">
        <f>IFERROR(LOOKUP(2,1/((D_Points!$A$5:$A$204&lt;&gt;"")*(D_Points!$A$5:$A$204&gt;=$B892)*(D_Points!$A$5:$A$204&lt;$B892+P_Interval)*(RIGHT(UPPER(TRIM(D_Points!$B$5:$B$204)),8)="_CULVERT")),IF(LEFT(UPPER(TRIM(D_Points!$B$5:$B$204)),2)="EX",1,IF(LEFT(UPPER(TRIM(D_Points!$B$5:$B$204)),2)="PR",2,3))),"")</f>
        <v/>
      </c>
      <c r="S892" s="182" t="str">
        <f>IFERROR(LOOKUP(2,1/((D_Points!$A$5:$A$204&lt;&gt;"")*(D_Points!$A$5:$A$204&gt;=$B892)*(D_Points!$A$5:$A$204&lt;$B892+P_Interval)*(RIGHT(UPPER(TRIM(D_Points!$B$5:$B$204)),7)="_BRIDGE")),IF(LEFT(UPPER(TRIM(D_Points!$B$5:$B$204)),2)="EX",1,IF(LEFT(UPPER(TRIM(D_Points!$B$5:$B$204)),2)="PR",2,2))),"")</f>
        <v/>
      </c>
      <c r="T892" s="181" t="str">
        <f>IFERROR(LOOKUP(2,1/((B_Drainage!$A$5:$A$204&lt;&gt;"")*(B_Drainage!$A$5:$A$204&lt;=$B892)*(B_Drainage!$B$5:$B$204&gt;$B892)*(B_Drainage!$E$5:$E$204&lt;&gt;"")),IF(B_Drainage!$E$5:$E$204="-","",1)),"")</f>
        <v/>
      </c>
      <c r="U892" s="181" t="str">
        <f>IFERROR(LOOKUP(2,1/((B_Drainage!$A$5:$A$204&lt;&gt;"")*(B_Drainage!$A$5:$A$204&lt;=$B892)*(B_Drainage!$B$5:$B$204&gt;$B892)*(B_Drainage!$E$5:$E$204&lt;&gt;"")),IF(B_Drainage!$E$5:$E$204="-","",B_Drainage!$E$5:$E$204)),"")</f>
        <v/>
      </c>
      <c r="V892" s="181" t="str">
        <f>IFERROR(LOOKUP(2,1/((B_Drainage!$A$5:$A$204&lt;&gt;"")*(B_Drainage!$A$5:$A$204&lt;=$B892)*(B_Drainage!$B$5:$B$204&gt;$B892)*(B_Drainage!$F$5:$F$204&lt;&gt;"")),IF(B_Drainage!$F$5:$F$204="-","",1)),"")</f>
        <v/>
      </c>
      <c r="W892" s="181" t="str">
        <f>IFERROR(LOOKUP(2,1/((B_Drainage!$A$5:$A$204&lt;&gt;"")*(B_Drainage!$A$5:$A$204&lt;=$B892)*(B_Drainage!$B$5:$B$204&gt;$B892)*(B_Drainage!$F$5:$F$204&lt;&gt;"")),IF(B_Drainage!$F$5:$F$204="-","",B_Drainage!$F$5:$F$204)),"")</f>
        <v/>
      </c>
      <c r="X892" s="181" t="str">
        <f>IFERROR(LOOKUP(2,1/((B_Drainage!$A$5:$A$204&lt;&gt;"")*(B_Drainage!$A$5:$A$204&lt;=$B892)*(B_Drainage!$B$5:$B$204&gt;$B892)*(B_Drainage!$G$5:$G$204&lt;&gt;"")),IF(UPPER(B_Drainage!$G$5:$G$204)="Y",1,"")),"")</f>
        <v/>
      </c>
      <c r="Y892" s="181" t="str">
        <f>IFERROR(LOOKUP(2,1/((B_Drainage!$A$5:$A$204&lt;&gt;"")*(B_Drainage!$A$5:$A$204&lt;=$B892)*(B_Drainage!$B$5:$B$204&gt;$B892)*(B_Drainage!$H$5:$H$204&lt;&gt;"")),IF(UPPER(B_Drainage!$H$5:$H$204)="Y",1,"")),"")</f>
        <v/>
      </c>
      <c r="Z892" s="181" t="str">
        <f>IFERROR(LOOKUP(2,1/((B_Drainage!$A$5:$A$204&lt;&gt;"")*(B_Drainage!$A$5:$A$204&lt;=$B892)*(B_Drainage!$B$5:$B$204&gt;$B892)*(B_Drainage!$I$5:$I$204&lt;&gt;"")),IF(UPPER(B_Drainage!$I$5:$I$204)="Y",1,"")),"")</f>
        <v/>
      </c>
      <c r="AA892" s="181" t="str">
        <f>IFERROR(LOOKUP(2,1/((B_Drainage!$A$5:$A$204&lt;&gt;"")*(B_Drainage!$A$5:$A$204&lt;=$B892)*(B_Drainage!$B$5:$B$204&gt;$B892)*(B_Drainage!$J$5:$J$204&lt;&gt;"")),IF(UPPER(B_Drainage!$J$5:$J$204)="Y",1,"")),"")</f>
        <v/>
      </c>
      <c r="AB892" s="182" t="str">
        <f>IFERROR(LOOKUP(2,1/((B_Drainage!$A$5:$A$204&lt;&gt;"")*(B_Drainage!$A$5:$A$204&lt;=$B892)*(B_Drainage!$B$5:$B$204&gt;$B892)*(B_Drainage!$K$5:$K$204&lt;&gt;"")),IF(B_Drainage!$K$5:$K$204="-","",B_Drainage!$K$5:$K$204)),"")</f>
        <v/>
      </c>
      <c r="AC892" s="182" t="str">
        <f>IFERROR(LOOKUP(2,1/((B_Drainage!$A$5:$A$204&lt;&gt;"")*(B_Drainage!$A$5:$A$204&lt;=$B892)*(B_Drainage!$B$5:$B$204&gt;$B892)*(B_Drainage!$L$5:$L$204&lt;&gt;"")),IF(B_Drainage!$L$5:$L$204="-","",B_Drainage!$L$5:$L$204)),"")</f>
        <v/>
      </c>
      <c r="AD892" s="182" t="str">
        <f>IFERROR(LOOKUP(2,1/((D_Points!$A$5:$A$204&lt;&gt;"")*(D_Points!$A$5:$A$204&gt;=$B892)*(D_Points!$A$5:$A$204&lt;$B892+P_Interval)*(UPPER(TRIM(D_Points!$B$5:$B$204))="TURNOUT_L")*(D_Points!$H$5:$H$204&lt;&gt;"")),D_Points!$H$5:$H$204),"")</f>
        <v/>
      </c>
      <c r="AE892" s="182" t="str">
        <f>IFERROR(LOOKUP(2,1/((D_Points!$A$5:$A$204&lt;&gt;"")*(D_Points!$A$5:$A$204&gt;=$B892)*(D_Points!$A$5:$A$204&lt;$B892+P_Interval)*(UPPER(TRIM(D_Points!$B$5:$B$204))="TURNOUT_R")*(D_Points!$H$5:$H$204&lt;&gt;"")),D_Points!$H$5:$H$204),"")</f>
        <v/>
      </c>
      <c r="AF892" s="181" t="str">
        <f>IFERROR(LOOKUP(2,1/((B_Drainage!$A$5:$A$204&lt;&gt;"")*(B_Drainage!$A$5:$A$204&lt;=$B892)*(B_Drainage!$B$5:$B$204&gt;$B892)*(B_Drainage!$M$5:$M$204&lt;&gt;"")),IF(UPPER(B_Drainage!$M$5:$M$204)="Y",1,"")),"")</f>
        <v/>
      </c>
      <c r="AG892" s="181" t="str">
        <f>IFERROR(LOOKUP(2,1/((B_Drainage!$A$5:$A$204&lt;&gt;"")*(B_Drainage!$A$5:$A$204&lt;=$B892)*(B_Drainage!$B$5:$B$204&gt;$B892)*(B_Drainage!$N$5:$N$204&lt;&gt;"")),IF(UPPER(B_Drainage!$N$5:$N$204)="Y",1,"")),"")</f>
        <v/>
      </c>
      <c r="AH892" s="181" t="str">
        <f t="shared" si="104"/>
        <v/>
      </c>
      <c r="AI892" s="181" t="str">
        <f t="shared" si="105"/>
        <v/>
      </c>
      <c r="AJ892" s="181" t="str">
        <f t="shared" si="106"/>
        <v/>
      </c>
      <c r="AK892" s="181" t="str">
        <f t="shared" si="107"/>
        <v/>
      </c>
      <c r="AL892" s="181" t="str">
        <f t="shared" si="108"/>
        <v/>
      </c>
      <c r="AM892" s="181" t="str">
        <f t="shared" si="109"/>
        <v/>
      </c>
      <c r="AN892" s="181" t="str">
        <f t="shared" si="110"/>
        <v/>
      </c>
      <c r="AO892" s="192" t="str">
        <f t="shared" si="111"/>
        <v/>
      </c>
      <c r="AQ892" t="str">
        <f>IFERROR(LOOKUP(2,1/((C_Pavement!$A$5:$A$204&lt;&gt;"")*(C_Pavement!$A$5:$A$204&lt;=$B892)*(C_Pavement!$B$5:$B$204&gt;$B892)*(C_Pavement!$C$5:$C$204&lt;&gt;"")),ROW(C_Pavement!$C$5:$C$204)-4),"")</f>
        <v/>
      </c>
      <c r="AR892" t="str">
        <f>IF($AQ892="","",UPPER(TRIM(INDEX(C_Pavement!$C$5:$C$204,$AQ892))))</f>
        <v/>
      </c>
      <c r="AS892" t="str">
        <f>IF($AR892="","",IFERROR(MATCH($AR892,E_Rules!$A$5:$A$9,0),""))</f>
        <v/>
      </c>
      <c r="AT892" t="str">
        <f>IF($AQ892="","",IF(INDEX(C_Pavement!$D$5:$D$204,$AQ892)&lt;&gt;"",UPPER(TRIM(INDEX(C_Pavement!$D$5:$D$204,$AQ892))),IF($AS892="","",INDEX(E_Rules!$C$5:$C$9,$AS892))))</f>
        <v/>
      </c>
      <c r="AU892" t="str">
        <f>IF($AQ892="","",IF(INDEX(C_Pavement!$E$5:$E$204,$AQ892)&lt;&gt;"",IF(INDEX(C_Pavement!$E$5:$E$204,$AQ892)="-","",INDEX(C_Pavement!$E$5:$E$204,$AQ892)),IF($AS892="","",INDEX(E_Rules!$D$5:$D$9,$AS892))))</f>
        <v/>
      </c>
      <c r="AV892" t="str">
        <f>IF($AQ892="","",IF(INDEX(C_Pavement!$F$5:$F$204,$AQ892)&lt;&gt;"",IF(INDEX(C_Pavement!$F$5:$F$204,$AQ892)="-","",INDEX(C_Pavement!$F$5:$F$204,$AQ892)),IF($AS892="","",INDEX(E_Rules!$E$5:$E$9,$AS892))))</f>
        <v/>
      </c>
      <c r="AW892" t="str">
        <f>IF($AQ892="","",IF(INDEX(C_Pavement!$G$5:$G$204,$AQ892)&lt;&gt;"",IF(INDEX(C_Pavement!$G$5:$G$204,$AQ892)="-","",INDEX(C_Pavement!$G$5:$G$204,$AQ892)),IF($AS892="","",INDEX(E_Rules!$F$5:$F$9,$AS892))))</f>
        <v/>
      </c>
      <c r="AX892" t="str">
        <f>IF($AQ892="","",IF(INDEX(C_Pavement!$H$5:$H$204,$AQ892)&lt;&gt;"",IF(INDEX(C_Pavement!$H$5:$H$204,$AQ892)="-","",INDEX(C_Pavement!$H$5:$H$204,$AQ892)),IF($AS892="","",INDEX(E_Rules!$G$5:$G$9,$AS892))))</f>
        <v/>
      </c>
      <c r="AY892" t="str">
        <f>IF($AQ892="","",IF(INDEX(C_Pavement!$I$5:$I$204,$AQ892)&lt;&gt;"",IF(INDEX(C_Pavement!$I$5:$I$204,$AQ892)="-","",INDEX(C_Pavement!$I$5:$I$204,$AQ892)),IF($AS892="","",INDEX(E_Rules!$H$5:$H$9,$AS892))))</f>
        <v/>
      </c>
    </row>
    <row r="893" spans="1:51" ht="15.75" customHeight="1" x14ac:dyDescent="0.3">
      <c r="A893" s="189">
        <v>888</v>
      </c>
      <c r="B893" s="180">
        <v>44350</v>
      </c>
      <c r="C893" s="180" t="s">
        <v>1199</v>
      </c>
      <c r="D893" s="181" t="str">
        <f>IFERROR(LOOKUP(2,1/((A_Corridor!$A$5:$A$204&lt;&gt;"")*(A_Corridor!$A$5:$A$204&lt;=$B893)*(A_Corridor!$B$5:$B$204&gt;$B893)*(A_Corridor!$C$5:$C$204&lt;&gt;"")),IF(UPPER(A_Corridor!$C$5:$C$204)="Y",1,"")),"")</f>
        <v/>
      </c>
      <c r="E893" s="181" t="str">
        <f>IFERROR(LOOKUP(2,1/((A_Corridor!$A$5:$A$204&lt;&gt;"")*(A_Corridor!$A$5:$A$204&lt;=$B893)*(A_Corridor!$B$5:$B$204&gt;$B893)*(A_Corridor!$D$5:$D$204&lt;&gt;"")),IF(A_Corridor!$D$5:$D$204="-","",UPPER(A_Corridor!$D$5:$D$204))),"")</f>
        <v/>
      </c>
      <c r="F893" s="181" t="str">
        <f>IFERROR(LOOKUP(2,1/((A_Corridor!$A$5:$A$204&lt;&gt;"")*(A_Corridor!$A$5:$A$204&lt;=$B893)*(A_Corridor!$B$5:$B$204&gt;$B893)*(A_Corridor!$E$5:$E$204&lt;&gt;"")),IF(A_Corridor!$E$5:$E$204="-","",1)),"")</f>
        <v/>
      </c>
      <c r="G893" s="182" t="str">
        <f>IFERROR(LOOKUP(2,1/((A_Corridor!$A$5:$A$204&lt;&gt;"")*(A_Corridor!$A$5:$A$204&lt;=$B893)*(A_Corridor!$B$5:$B$204&gt;$B893)*(A_Corridor!$E$5:$E$204&lt;&gt;"")),IF(A_Corridor!$E$5:$E$204="-","",A_Corridor!$E$5:$E$204)),"")</f>
        <v/>
      </c>
      <c r="H893" s="182" t="str">
        <f>IFERROR(LOOKUP(2,1/((D_Points!$A$5:$A$204&lt;&gt;"")*(D_Points!$A$5:$A$204&gt;=$B893)*(D_Points!$A$5:$A$204&lt;$B893+P_Interval)*(UPPER(TRIM(D_Points!$B$5:$B$204))="GULLY")*(D_Points!$H$5:$H$204&lt;&gt;"")),D_Points!$H$5:$H$204),"")</f>
        <v/>
      </c>
      <c r="I893" s="181" t="str">
        <f>IFERROR(LOOKUP(2,1/((A_Corridor!$A$5:$A$204&lt;&gt;"")*(A_Corridor!$A$5:$A$204&lt;=$B893)*(A_Corridor!$B$5:$B$204&gt;$B893)*(A_Corridor!$F$5:$F$204&lt;&gt;"")),IF(A_Corridor!$F$5:$F$204="-","",1)),"")</f>
        <v/>
      </c>
      <c r="J893" s="182" t="str">
        <f>IFERROR(LOOKUP(2,1/((A_Corridor!$A$5:$A$204&lt;&gt;"")*(A_Corridor!$A$5:$A$204&lt;=$B893)*(A_Corridor!$B$5:$B$204&gt;$B893)*(A_Corridor!$F$5:$F$204&lt;&gt;"")),IF(A_Corridor!$F$5:$F$204="-","",A_Corridor!$F$5:$F$204)),"")</f>
        <v/>
      </c>
      <c r="K893" s="182" t="str">
        <f>IFERROR(LOOKUP(2,1/((A_Corridor!$A$5:$A$204&lt;&gt;"")*(A_Corridor!$A$5:$A$204&lt;=$B893)*(A_Corridor!$B$5:$B$204&gt;$B893)*(A_Corridor!$G$5:$G$204&lt;&gt;"")),IF(A_Corridor!$G$5:$G$204="-","",A_Corridor!$G$5:$G$204)),"")</f>
        <v/>
      </c>
      <c r="L893" s="181" t="str">
        <f>IFERROR(LOOKUP(2,1/((A_Corridor!$A$5:$A$204&lt;&gt;"")*(A_Corridor!$A$5:$A$204&lt;=$B893)*(A_Corridor!$B$5:$B$204&gt;$B893)*(A_Corridor!$H$5:$H$204&lt;&gt;"")),IF(A_Corridor!$H$5:$H$204="-","",1)),"")</f>
        <v/>
      </c>
      <c r="M893" s="182" t="str">
        <f>IFERROR(LOOKUP(2,1/((A_Corridor!$A$5:$A$204&lt;&gt;"")*(A_Corridor!$A$5:$A$204&lt;=$B893)*(A_Corridor!$B$5:$B$204&gt;$B893)*(A_Corridor!$H$5:$H$204&lt;&gt;"")),IF(A_Corridor!$H$5:$H$204="-","",A_Corridor!$H$5:$H$204)),"")</f>
        <v/>
      </c>
      <c r="N893" s="182" t="str">
        <f>IFERROR(LOOKUP(2,1/((A_Corridor!$A$5:$A$204&lt;&gt;"")*(A_Corridor!$A$5:$A$204&lt;=$B893)*(A_Corridor!$B$5:$B$204&gt;$B893)*(A_Corridor!$I$5:$I$204&lt;&gt;"")),IF(A_Corridor!$I$5:$I$204="-","",A_Corridor!$I$5:$I$204)),"")</f>
        <v/>
      </c>
      <c r="O893" s="182" t="str">
        <f>IFERROR(LOOKUP(2,1/((D_Points!$A$5:$A$204&lt;&gt;"")*(D_Points!$A$5:$A$204&gt;=$B893)*(D_Points!$A$5:$A$204&lt;$B893+P_Interval)*(UPPER(TRIM(D_Points!$B$5:$B$204))="PITCHING")*(D_Points!$H$5:$H$204&lt;&gt;"")),D_Points!$H$5:$H$204),"")</f>
        <v/>
      </c>
      <c r="P893" s="181" t="str">
        <f>IFERROR(LOOKUP(2,1/((B_Drainage!$A$5:$A$204&lt;&gt;"")*(B_Drainage!$A$5:$A$204&lt;=$B893)*(B_Drainage!$B$5:$B$204&gt;$B893)*(B_Drainage!$C$5:$C$204&lt;&gt;"")),IF(B_Drainage!$C$5:$C$204="-","",UPPER(B_Drainage!$C$5:$C$204))),"")</f>
        <v/>
      </c>
      <c r="Q893" s="181" t="str">
        <f>IFERROR(LOOKUP(2,1/((B_Drainage!$A$5:$A$204&lt;&gt;"")*(B_Drainage!$A$5:$A$204&lt;=$B893)*(B_Drainage!$B$5:$B$204&gt;$B893)*(B_Drainage!$D$5:$D$204&lt;&gt;"")),IF(B_Drainage!$D$5:$D$204="-","",UPPER(B_Drainage!$D$5:$D$204))),"")</f>
        <v/>
      </c>
      <c r="R893" s="182" t="str">
        <f>IFERROR(LOOKUP(2,1/((D_Points!$A$5:$A$204&lt;&gt;"")*(D_Points!$A$5:$A$204&gt;=$B893)*(D_Points!$A$5:$A$204&lt;$B893+P_Interval)*(RIGHT(UPPER(TRIM(D_Points!$B$5:$B$204)),8)="_CULVERT")),IF(LEFT(UPPER(TRIM(D_Points!$B$5:$B$204)),2)="EX",1,IF(LEFT(UPPER(TRIM(D_Points!$B$5:$B$204)),2)="PR",2,3))),"")</f>
        <v/>
      </c>
      <c r="S893" s="182" t="str">
        <f>IFERROR(LOOKUP(2,1/((D_Points!$A$5:$A$204&lt;&gt;"")*(D_Points!$A$5:$A$204&gt;=$B893)*(D_Points!$A$5:$A$204&lt;$B893+P_Interval)*(RIGHT(UPPER(TRIM(D_Points!$B$5:$B$204)),7)="_BRIDGE")),IF(LEFT(UPPER(TRIM(D_Points!$B$5:$B$204)),2)="EX",1,IF(LEFT(UPPER(TRIM(D_Points!$B$5:$B$204)),2)="PR",2,2))),"")</f>
        <v/>
      </c>
      <c r="T893" s="181" t="str">
        <f>IFERROR(LOOKUP(2,1/((B_Drainage!$A$5:$A$204&lt;&gt;"")*(B_Drainage!$A$5:$A$204&lt;=$B893)*(B_Drainage!$B$5:$B$204&gt;$B893)*(B_Drainage!$E$5:$E$204&lt;&gt;"")),IF(B_Drainage!$E$5:$E$204="-","",1)),"")</f>
        <v/>
      </c>
      <c r="U893" s="181" t="str">
        <f>IFERROR(LOOKUP(2,1/((B_Drainage!$A$5:$A$204&lt;&gt;"")*(B_Drainage!$A$5:$A$204&lt;=$B893)*(B_Drainage!$B$5:$B$204&gt;$B893)*(B_Drainage!$E$5:$E$204&lt;&gt;"")),IF(B_Drainage!$E$5:$E$204="-","",B_Drainage!$E$5:$E$204)),"")</f>
        <v/>
      </c>
      <c r="V893" s="181" t="str">
        <f>IFERROR(LOOKUP(2,1/((B_Drainage!$A$5:$A$204&lt;&gt;"")*(B_Drainage!$A$5:$A$204&lt;=$B893)*(B_Drainage!$B$5:$B$204&gt;$B893)*(B_Drainage!$F$5:$F$204&lt;&gt;"")),IF(B_Drainage!$F$5:$F$204="-","",1)),"")</f>
        <v/>
      </c>
      <c r="W893" s="181" t="str">
        <f>IFERROR(LOOKUP(2,1/((B_Drainage!$A$5:$A$204&lt;&gt;"")*(B_Drainage!$A$5:$A$204&lt;=$B893)*(B_Drainage!$B$5:$B$204&gt;$B893)*(B_Drainage!$F$5:$F$204&lt;&gt;"")),IF(B_Drainage!$F$5:$F$204="-","",B_Drainage!$F$5:$F$204)),"")</f>
        <v/>
      </c>
      <c r="X893" s="181" t="str">
        <f>IFERROR(LOOKUP(2,1/((B_Drainage!$A$5:$A$204&lt;&gt;"")*(B_Drainage!$A$5:$A$204&lt;=$B893)*(B_Drainage!$B$5:$B$204&gt;$B893)*(B_Drainage!$G$5:$G$204&lt;&gt;"")),IF(UPPER(B_Drainage!$G$5:$G$204)="Y",1,"")),"")</f>
        <v/>
      </c>
      <c r="Y893" s="181" t="str">
        <f>IFERROR(LOOKUP(2,1/((B_Drainage!$A$5:$A$204&lt;&gt;"")*(B_Drainage!$A$5:$A$204&lt;=$B893)*(B_Drainage!$B$5:$B$204&gt;$B893)*(B_Drainage!$H$5:$H$204&lt;&gt;"")),IF(UPPER(B_Drainage!$H$5:$H$204)="Y",1,"")),"")</f>
        <v/>
      </c>
      <c r="Z893" s="181" t="str">
        <f>IFERROR(LOOKUP(2,1/((B_Drainage!$A$5:$A$204&lt;&gt;"")*(B_Drainage!$A$5:$A$204&lt;=$B893)*(B_Drainage!$B$5:$B$204&gt;$B893)*(B_Drainage!$I$5:$I$204&lt;&gt;"")),IF(UPPER(B_Drainage!$I$5:$I$204)="Y",1,"")),"")</f>
        <v/>
      </c>
      <c r="AA893" s="181" t="str">
        <f>IFERROR(LOOKUP(2,1/((B_Drainage!$A$5:$A$204&lt;&gt;"")*(B_Drainage!$A$5:$A$204&lt;=$B893)*(B_Drainage!$B$5:$B$204&gt;$B893)*(B_Drainage!$J$5:$J$204&lt;&gt;"")),IF(UPPER(B_Drainage!$J$5:$J$204)="Y",1,"")),"")</f>
        <v/>
      </c>
      <c r="AB893" s="182" t="str">
        <f>IFERROR(LOOKUP(2,1/((B_Drainage!$A$5:$A$204&lt;&gt;"")*(B_Drainage!$A$5:$A$204&lt;=$B893)*(B_Drainage!$B$5:$B$204&gt;$B893)*(B_Drainage!$K$5:$K$204&lt;&gt;"")),IF(B_Drainage!$K$5:$K$204="-","",B_Drainage!$K$5:$K$204)),"")</f>
        <v/>
      </c>
      <c r="AC893" s="182" t="str">
        <f>IFERROR(LOOKUP(2,1/((B_Drainage!$A$5:$A$204&lt;&gt;"")*(B_Drainage!$A$5:$A$204&lt;=$B893)*(B_Drainage!$B$5:$B$204&gt;$B893)*(B_Drainage!$L$5:$L$204&lt;&gt;"")),IF(B_Drainage!$L$5:$L$204="-","",B_Drainage!$L$5:$L$204)),"")</f>
        <v/>
      </c>
      <c r="AD893" s="182" t="str">
        <f>IFERROR(LOOKUP(2,1/((D_Points!$A$5:$A$204&lt;&gt;"")*(D_Points!$A$5:$A$204&gt;=$B893)*(D_Points!$A$5:$A$204&lt;$B893+P_Interval)*(UPPER(TRIM(D_Points!$B$5:$B$204))="TURNOUT_L")*(D_Points!$H$5:$H$204&lt;&gt;"")),D_Points!$H$5:$H$204),"")</f>
        <v/>
      </c>
      <c r="AE893" s="182" t="str">
        <f>IFERROR(LOOKUP(2,1/((D_Points!$A$5:$A$204&lt;&gt;"")*(D_Points!$A$5:$A$204&gt;=$B893)*(D_Points!$A$5:$A$204&lt;$B893+P_Interval)*(UPPER(TRIM(D_Points!$B$5:$B$204))="TURNOUT_R")*(D_Points!$H$5:$H$204&lt;&gt;"")),D_Points!$H$5:$H$204),"")</f>
        <v/>
      </c>
      <c r="AF893" s="181" t="str">
        <f>IFERROR(LOOKUP(2,1/((B_Drainage!$A$5:$A$204&lt;&gt;"")*(B_Drainage!$A$5:$A$204&lt;=$B893)*(B_Drainage!$B$5:$B$204&gt;$B893)*(B_Drainage!$M$5:$M$204&lt;&gt;"")),IF(UPPER(B_Drainage!$M$5:$M$204)="Y",1,"")),"")</f>
        <v/>
      </c>
      <c r="AG893" s="181" t="str">
        <f>IFERROR(LOOKUP(2,1/((B_Drainage!$A$5:$A$204&lt;&gt;"")*(B_Drainage!$A$5:$A$204&lt;=$B893)*(B_Drainage!$B$5:$B$204&gt;$B893)*(B_Drainage!$N$5:$N$204&lt;&gt;"")),IF(UPPER(B_Drainage!$N$5:$N$204)="Y",1,"")),"")</f>
        <v/>
      </c>
      <c r="AH893" s="181" t="str">
        <f t="shared" si="104"/>
        <v/>
      </c>
      <c r="AI893" s="181" t="str">
        <f t="shared" si="105"/>
        <v/>
      </c>
      <c r="AJ893" s="181" t="str">
        <f t="shared" si="106"/>
        <v/>
      </c>
      <c r="AK893" s="181" t="str">
        <f t="shared" si="107"/>
        <v/>
      </c>
      <c r="AL893" s="181" t="str">
        <f t="shared" si="108"/>
        <v/>
      </c>
      <c r="AM893" s="181" t="str">
        <f t="shared" si="109"/>
        <v/>
      </c>
      <c r="AN893" s="181" t="str">
        <f t="shared" si="110"/>
        <v/>
      </c>
      <c r="AO893" s="192" t="str">
        <f t="shared" si="111"/>
        <v/>
      </c>
      <c r="AQ893" t="str">
        <f>IFERROR(LOOKUP(2,1/((C_Pavement!$A$5:$A$204&lt;&gt;"")*(C_Pavement!$A$5:$A$204&lt;=$B893)*(C_Pavement!$B$5:$B$204&gt;$B893)*(C_Pavement!$C$5:$C$204&lt;&gt;"")),ROW(C_Pavement!$C$5:$C$204)-4),"")</f>
        <v/>
      </c>
      <c r="AR893" t="str">
        <f>IF($AQ893="","",UPPER(TRIM(INDEX(C_Pavement!$C$5:$C$204,$AQ893))))</f>
        <v/>
      </c>
      <c r="AS893" t="str">
        <f>IF($AR893="","",IFERROR(MATCH($AR893,E_Rules!$A$5:$A$9,0),""))</f>
        <v/>
      </c>
      <c r="AT893" t="str">
        <f>IF($AQ893="","",IF(INDEX(C_Pavement!$D$5:$D$204,$AQ893)&lt;&gt;"",UPPER(TRIM(INDEX(C_Pavement!$D$5:$D$204,$AQ893))),IF($AS893="","",INDEX(E_Rules!$C$5:$C$9,$AS893))))</f>
        <v/>
      </c>
      <c r="AU893" t="str">
        <f>IF($AQ893="","",IF(INDEX(C_Pavement!$E$5:$E$204,$AQ893)&lt;&gt;"",IF(INDEX(C_Pavement!$E$5:$E$204,$AQ893)="-","",INDEX(C_Pavement!$E$5:$E$204,$AQ893)),IF($AS893="","",INDEX(E_Rules!$D$5:$D$9,$AS893))))</f>
        <v/>
      </c>
      <c r="AV893" t="str">
        <f>IF($AQ893="","",IF(INDEX(C_Pavement!$F$5:$F$204,$AQ893)&lt;&gt;"",IF(INDEX(C_Pavement!$F$5:$F$204,$AQ893)="-","",INDEX(C_Pavement!$F$5:$F$204,$AQ893)),IF($AS893="","",INDEX(E_Rules!$E$5:$E$9,$AS893))))</f>
        <v/>
      </c>
      <c r="AW893" t="str">
        <f>IF($AQ893="","",IF(INDEX(C_Pavement!$G$5:$G$204,$AQ893)&lt;&gt;"",IF(INDEX(C_Pavement!$G$5:$G$204,$AQ893)="-","",INDEX(C_Pavement!$G$5:$G$204,$AQ893)),IF($AS893="","",INDEX(E_Rules!$F$5:$F$9,$AS893))))</f>
        <v/>
      </c>
      <c r="AX893" t="str">
        <f>IF($AQ893="","",IF(INDEX(C_Pavement!$H$5:$H$204,$AQ893)&lt;&gt;"",IF(INDEX(C_Pavement!$H$5:$H$204,$AQ893)="-","",INDEX(C_Pavement!$H$5:$H$204,$AQ893)),IF($AS893="","",INDEX(E_Rules!$G$5:$G$9,$AS893))))</f>
        <v/>
      </c>
      <c r="AY893" t="str">
        <f>IF($AQ893="","",IF(INDEX(C_Pavement!$I$5:$I$204,$AQ893)&lt;&gt;"",IF(INDEX(C_Pavement!$I$5:$I$204,$AQ893)="-","",INDEX(C_Pavement!$I$5:$I$204,$AQ893)),IF($AS893="","",INDEX(E_Rules!$H$5:$H$9,$AS893))))</f>
        <v/>
      </c>
    </row>
    <row r="894" spans="1:51" ht="15.75" customHeight="1" x14ac:dyDescent="0.3">
      <c r="A894" s="189">
        <v>889</v>
      </c>
      <c r="B894" s="180">
        <v>44400</v>
      </c>
      <c r="C894" s="180" t="s">
        <v>1200</v>
      </c>
      <c r="D894" s="181" t="str">
        <f>IFERROR(LOOKUP(2,1/((A_Corridor!$A$5:$A$204&lt;&gt;"")*(A_Corridor!$A$5:$A$204&lt;=$B894)*(A_Corridor!$B$5:$B$204&gt;$B894)*(A_Corridor!$C$5:$C$204&lt;&gt;"")),IF(UPPER(A_Corridor!$C$5:$C$204)="Y",1,"")),"")</f>
        <v/>
      </c>
      <c r="E894" s="181" t="str">
        <f>IFERROR(LOOKUP(2,1/((A_Corridor!$A$5:$A$204&lt;&gt;"")*(A_Corridor!$A$5:$A$204&lt;=$B894)*(A_Corridor!$B$5:$B$204&gt;$B894)*(A_Corridor!$D$5:$D$204&lt;&gt;"")),IF(A_Corridor!$D$5:$D$204="-","",UPPER(A_Corridor!$D$5:$D$204))),"")</f>
        <v/>
      </c>
      <c r="F894" s="181" t="str">
        <f>IFERROR(LOOKUP(2,1/((A_Corridor!$A$5:$A$204&lt;&gt;"")*(A_Corridor!$A$5:$A$204&lt;=$B894)*(A_Corridor!$B$5:$B$204&gt;$B894)*(A_Corridor!$E$5:$E$204&lt;&gt;"")),IF(A_Corridor!$E$5:$E$204="-","",1)),"")</f>
        <v/>
      </c>
      <c r="G894" s="182" t="str">
        <f>IFERROR(LOOKUP(2,1/((A_Corridor!$A$5:$A$204&lt;&gt;"")*(A_Corridor!$A$5:$A$204&lt;=$B894)*(A_Corridor!$B$5:$B$204&gt;$B894)*(A_Corridor!$E$5:$E$204&lt;&gt;"")),IF(A_Corridor!$E$5:$E$204="-","",A_Corridor!$E$5:$E$204)),"")</f>
        <v/>
      </c>
      <c r="H894" s="182" t="str">
        <f>IFERROR(LOOKUP(2,1/((D_Points!$A$5:$A$204&lt;&gt;"")*(D_Points!$A$5:$A$204&gt;=$B894)*(D_Points!$A$5:$A$204&lt;$B894+P_Interval)*(UPPER(TRIM(D_Points!$B$5:$B$204))="GULLY")*(D_Points!$H$5:$H$204&lt;&gt;"")),D_Points!$H$5:$H$204),"")</f>
        <v/>
      </c>
      <c r="I894" s="181" t="str">
        <f>IFERROR(LOOKUP(2,1/((A_Corridor!$A$5:$A$204&lt;&gt;"")*(A_Corridor!$A$5:$A$204&lt;=$B894)*(A_Corridor!$B$5:$B$204&gt;$B894)*(A_Corridor!$F$5:$F$204&lt;&gt;"")),IF(A_Corridor!$F$5:$F$204="-","",1)),"")</f>
        <v/>
      </c>
      <c r="J894" s="182" t="str">
        <f>IFERROR(LOOKUP(2,1/((A_Corridor!$A$5:$A$204&lt;&gt;"")*(A_Corridor!$A$5:$A$204&lt;=$B894)*(A_Corridor!$B$5:$B$204&gt;$B894)*(A_Corridor!$F$5:$F$204&lt;&gt;"")),IF(A_Corridor!$F$5:$F$204="-","",A_Corridor!$F$5:$F$204)),"")</f>
        <v/>
      </c>
      <c r="K894" s="182" t="str">
        <f>IFERROR(LOOKUP(2,1/((A_Corridor!$A$5:$A$204&lt;&gt;"")*(A_Corridor!$A$5:$A$204&lt;=$B894)*(A_Corridor!$B$5:$B$204&gt;$B894)*(A_Corridor!$G$5:$G$204&lt;&gt;"")),IF(A_Corridor!$G$5:$G$204="-","",A_Corridor!$G$5:$G$204)),"")</f>
        <v/>
      </c>
      <c r="L894" s="181" t="str">
        <f>IFERROR(LOOKUP(2,1/((A_Corridor!$A$5:$A$204&lt;&gt;"")*(A_Corridor!$A$5:$A$204&lt;=$B894)*(A_Corridor!$B$5:$B$204&gt;$B894)*(A_Corridor!$H$5:$H$204&lt;&gt;"")),IF(A_Corridor!$H$5:$H$204="-","",1)),"")</f>
        <v/>
      </c>
      <c r="M894" s="182" t="str">
        <f>IFERROR(LOOKUP(2,1/((A_Corridor!$A$5:$A$204&lt;&gt;"")*(A_Corridor!$A$5:$A$204&lt;=$B894)*(A_Corridor!$B$5:$B$204&gt;$B894)*(A_Corridor!$H$5:$H$204&lt;&gt;"")),IF(A_Corridor!$H$5:$H$204="-","",A_Corridor!$H$5:$H$204)),"")</f>
        <v/>
      </c>
      <c r="N894" s="182" t="str">
        <f>IFERROR(LOOKUP(2,1/((A_Corridor!$A$5:$A$204&lt;&gt;"")*(A_Corridor!$A$5:$A$204&lt;=$B894)*(A_Corridor!$B$5:$B$204&gt;$B894)*(A_Corridor!$I$5:$I$204&lt;&gt;"")),IF(A_Corridor!$I$5:$I$204="-","",A_Corridor!$I$5:$I$204)),"")</f>
        <v/>
      </c>
      <c r="O894" s="182" t="str">
        <f>IFERROR(LOOKUP(2,1/((D_Points!$A$5:$A$204&lt;&gt;"")*(D_Points!$A$5:$A$204&gt;=$B894)*(D_Points!$A$5:$A$204&lt;$B894+P_Interval)*(UPPER(TRIM(D_Points!$B$5:$B$204))="PITCHING")*(D_Points!$H$5:$H$204&lt;&gt;"")),D_Points!$H$5:$H$204),"")</f>
        <v/>
      </c>
      <c r="P894" s="181" t="str">
        <f>IFERROR(LOOKUP(2,1/((B_Drainage!$A$5:$A$204&lt;&gt;"")*(B_Drainage!$A$5:$A$204&lt;=$B894)*(B_Drainage!$B$5:$B$204&gt;$B894)*(B_Drainage!$C$5:$C$204&lt;&gt;"")),IF(B_Drainage!$C$5:$C$204="-","",UPPER(B_Drainage!$C$5:$C$204))),"")</f>
        <v/>
      </c>
      <c r="Q894" s="181" t="str">
        <f>IFERROR(LOOKUP(2,1/((B_Drainage!$A$5:$A$204&lt;&gt;"")*(B_Drainage!$A$5:$A$204&lt;=$B894)*(B_Drainage!$B$5:$B$204&gt;$B894)*(B_Drainage!$D$5:$D$204&lt;&gt;"")),IF(B_Drainage!$D$5:$D$204="-","",UPPER(B_Drainage!$D$5:$D$204))),"")</f>
        <v/>
      </c>
      <c r="R894" s="182" t="str">
        <f>IFERROR(LOOKUP(2,1/((D_Points!$A$5:$A$204&lt;&gt;"")*(D_Points!$A$5:$A$204&gt;=$B894)*(D_Points!$A$5:$A$204&lt;$B894+P_Interval)*(RIGHT(UPPER(TRIM(D_Points!$B$5:$B$204)),8)="_CULVERT")),IF(LEFT(UPPER(TRIM(D_Points!$B$5:$B$204)),2)="EX",1,IF(LEFT(UPPER(TRIM(D_Points!$B$5:$B$204)),2)="PR",2,3))),"")</f>
        <v/>
      </c>
      <c r="S894" s="182" t="str">
        <f>IFERROR(LOOKUP(2,1/((D_Points!$A$5:$A$204&lt;&gt;"")*(D_Points!$A$5:$A$204&gt;=$B894)*(D_Points!$A$5:$A$204&lt;$B894+P_Interval)*(RIGHT(UPPER(TRIM(D_Points!$B$5:$B$204)),7)="_BRIDGE")),IF(LEFT(UPPER(TRIM(D_Points!$B$5:$B$204)),2)="EX",1,IF(LEFT(UPPER(TRIM(D_Points!$B$5:$B$204)),2)="PR",2,2))),"")</f>
        <v/>
      </c>
      <c r="T894" s="181" t="str">
        <f>IFERROR(LOOKUP(2,1/((B_Drainage!$A$5:$A$204&lt;&gt;"")*(B_Drainage!$A$5:$A$204&lt;=$B894)*(B_Drainage!$B$5:$B$204&gt;$B894)*(B_Drainage!$E$5:$E$204&lt;&gt;"")),IF(B_Drainage!$E$5:$E$204="-","",1)),"")</f>
        <v/>
      </c>
      <c r="U894" s="181" t="str">
        <f>IFERROR(LOOKUP(2,1/((B_Drainage!$A$5:$A$204&lt;&gt;"")*(B_Drainage!$A$5:$A$204&lt;=$B894)*(B_Drainage!$B$5:$B$204&gt;$B894)*(B_Drainage!$E$5:$E$204&lt;&gt;"")),IF(B_Drainage!$E$5:$E$204="-","",B_Drainage!$E$5:$E$204)),"")</f>
        <v/>
      </c>
      <c r="V894" s="181" t="str">
        <f>IFERROR(LOOKUP(2,1/((B_Drainage!$A$5:$A$204&lt;&gt;"")*(B_Drainage!$A$5:$A$204&lt;=$B894)*(B_Drainage!$B$5:$B$204&gt;$B894)*(B_Drainage!$F$5:$F$204&lt;&gt;"")),IF(B_Drainage!$F$5:$F$204="-","",1)),"")</f>
        <v/>
      </c>
      <c r="W894" s="181" t="str">
        <f>IFERROR(LOOKUP(2,1/((B_Drainage!$A$5:$A$204&lt;&gt;"")*(B_Drainage!$A$5:$A$204&lt;=$B894)*(B_Drainage!$B$5:$B$204&gt;$B894)*(B_Drainage!$F$5:$F$204&lt;&gt;"")),IF(B_Drainage!$F$5:$F$204="-","",B_Drainage!$F$5:$F$204)),"")</f>
        <v/>
      </c>
      <c r="X894" s="181" t="str">
        <f>IFERROR(LOOKUP(2,1/((B_Drainage!$A$5:$A$204&lt;&gt;"")*(B_Drainage!$A$5:$A$204&lt;=$B894)*(B_Drainage!$B$5:$B$204&gt;$B894)*(B_Drainage!$G$5:$G$204&lt;&gt;"")),IF(UPPER(B_Drainage!$G$5:$G$204)="Y",1,"")),"")</f>
        <v/>
      </c>
      <c r="Y894" s="181" t="str">
        <f>IFERROR(LOOKUP(2,1/((B_Drainage!$A$5:$A$204&lt;&gt;"")*(B_Drainage!$A$5:$A$204&lt;=$B894)*(B_Drainage!$B$5:$B$204&gt;$B894)*(B_Drainage!$H$5:$H$204&lt;&gt;"")),IF(UPPER(B_Drainage!$H$5:$H$204)="Y",1,"")),"")</f>
        <v/>
      </c>
      <c r="Z894" s="181" t="str">
        <f>IFERROR(LOOKUP(2,1/((B_Drainage!$A$5:$A$204&lt;&gt;"")*(B_Drainage!$A$5:$A$204&lt;=$B894)*(B_Drainage!$B$5:$B$204&gt;$B894)*(B_Drainage!$I$5:$I$204&lt;&gt;"")),IF(UPPER(B_Drainage!$I$5:$I$204)="Y",1,"")),"")</f>
        <v/>
      </c>
      <c r="AA894" s="181" t="str">
        <f>IFERROR(LOOKUP(2,1/((B_Drainage!$A$5:$A$204&lt;&gt;"")*(B_Drainage!$A$5:$A$204&lt;=$B894)*(B_Drainage!$B$5:$B$204&gt;$B894)*(B_Drainage!$J$5:$J$204&lt;&gt;"")),IF(UPPER(B_Drainage!$J$5:$J$204)="Y",1,"")),"")</f>
        <v/>
      </c>
      <c r="AB894" s="182" t="str">
        <f>IFERROR(LOOKUP(2,1/((B_Drainage!$A$5:$A$204&lt;&gt;"")*(B_Drainage!$A$5:$A$204&lt;=$B894)*(B_Drainage!$B$5:$B$204&gt;$B894)*(B_Drainage!$K$5:$K$204&lt;&gt;"")),IF(B_Drainage!$K$5:$K$204="-","",B_Drainage!$K$5:$K$204)),"")</f>
        <v/>
      </c>
      <c r="AC894" s="182" t="str">
        <f>IFERROR(LOOKUP(2,1/((B_Drainage!$A$5:$A$204&lt;&gt;"")*(B_Drainage!$A$5:$A$204&lt;=$B894)*(B_Drainage!$B$5:$B$204&gt;$B894)*(B_Drainage!$L$5:$L$204&lt;&gt;"")),IF(B_Drainage!$L$5:$L$204="-","",B_Drainage!$L$5:$L$204)),"")</f>
        <v/>
      </c>
      <c r="AD894" s="182" t="str">
        <f>IFERROR(LOOKUP(2,1/((D_Points!$A$5:$A$204&lt;&gt;"")*(D_Points!$A$5:$A$204&gt;=$B894)*(D_Points!$A$5:$A$204&lt;$B894+P_Interval)*(UPPER(TRIM(D_Points!$B$5:$B$204))="TURNOUT_L")*(D_Points!$H$5:$H$204&lt;&gt;"")),D_Points!$H$5:$H$204),"")</f>
        <v/>
      </c>
      <c r="AE894" s="182" t="str">
        <f>IFERROR(LOOKUP(2,1/((D_Points!$A$5:$A$204&lt;&gt;"")*(D_Points!$A$5:$A$204&gt;=$B894)*(D_Points!$A$5:$A$204&lt;$B894+P_Interval)*(UPPER(TRIM(D_Points!$B$5:$B$204))="TURNOUT_R")*(D_Points!$H$5:$H$204&lt;&gt;"")),D_Points!$H$5:$H$204),"")</f>
        <v/>
      </c>
      <c r="AF894" s="181" t="str">
        <f>IFERROR(LOOKUP(2,1/((B_Drainage!$A$5:$A$204&lt;&gt;"")*(B_Drainage!$A$5:$A$204&lt;=$B894)*(B_Drainage!$B$5:$B$204&gt;$B894)*(B_Drainage!$M$5:$M$204&lt;&gt;"")),IF(UPPER(B_Drainage!$M$5:$M$204)="Y",1,"")),"")</f>
        <v/>
      </c>
      <c r="AG894" s="181" t="str">
        <f>IFERROR(LOOKUP(2,1/((B_Drainage!$A$5:$A$204&lt;&gt;"")*(B_Drainage!$A$5:$A$204&lt;=$B894)*(B_Drainage!$B$5:$B$204&gt;$B894)*(B_Drainage!$N$5:$N$204&lt;&gt;"")),IF(UPPER(B_Drainage!$N$5:$N$204)="Y",1,"")),"")</f>
        <v/>
      </c>
      <c r="AH894" s="181" t="str">
        <f t="shared" si="104"/>
        <v/>
      </c>
      <c r="AI894" s="181" t="str">
        <f t="shared" si="105"/>
        <v/>
      </c>
      <c r="AJ894" s="181" t="str">
        <f t="shared" si="106"/>
        <v/>
      </c>
      <c r="AK894" s="181" t="str">
        <f t="shared" si="107"/>
        <v/>
      </c>
      <c r="AL894" s="181" t="str">
        <f t="shared" si="108"/>
        <v/>
      </c>
      <c r="AM894" s="181" t="str">
        <f t="shared" si="109"/>
        <v/>
      </c>
      <c r="AN894" s="181" t="str">
        <f t="shared" si="110"/>
        <v/>
      </c>
      <c r="AO894" s="192" t="str">
        <f t="shared" si="111"/>
        <v/>
      </c>
      <c r="AQ894" t="str">
        <f>IFERROR(LOOKUP(2,1/((C_Pavement!$A$5:$A$204&lt;&gt;"")*(C_Pavement!$A$5:$A$204&lt;=$B894)*(C_Pavement!$B$5:$B$204&gt;$B894)*(C_Pavement!$C$5:$C$204&lt;&gt;"")),ROW(C_Pavement!$C$5:$C$204)-4),"")</f>
        <v/>
      </c>
      <c r="AR894" t="str">
        <f>IF($AQ894="","",UPPER(TRIM(INDEX(C_Pavement!$C$5:$C$204,$AQ894))))</f>
        <v/>
      </c>
      <c r="AS894" t="str">
        <f>IF($AR894="","",IFERROR(MATCH($AR894,E_Rules!$A$5:$A$9,0),""))</f>
        <v/>
      </c>
      <c r="AT894" t="str">
        <f>IF($AQ894="","",IF(INDEX(C_Pavement!$D$5:$D$204,$AQ894)&lt;&gt;"",UPPER(TRIM(INDEX(C_Pavement!$D$5:$D$204,$AQ894))),IF($AS894="","",INDEX(E_Rules!$C$5:$C$9,$AS894))))</f>
        <v/>
      </c>
      <c r="AU894" t="str">
        <f>IF($AQ894="","",IF(INDEX(C_Pavement!$E$5:$E$204,$AQ894)&lt;&gt;"",IF(INDEX(C_Pavement!$E$5:$E$204,$AQ894)="-","",INDEX(C_Pavement!$E$5:$E$204,$AQ894)),IF($AS894="","",INDEX(E_Rules!$D$5:$D$9,$AS894))))</f>
        <v/>
      </c>
      <c r="AV894" t="str">
        <f>IF($AQ894="","",IF(INDEX(C_Pavement!$F$5:$F$204,$AQ894)&lt;&gt;"",IF(INDEX(C_Pavement!$F$5:$F$204,$AQ894)="-","",INDEX(C_Pavement!$F$5:$F$204,$AQ894)),IF($AS894="","",INDEX(E_Rules!$E$5:$E$9,$AS894))))</f>
        <v/>
      </c>
      <c r="AW894" t="str">
        <f>IF($AQ894="","",IF(INDEX(C_Pavement!$G$5:$G$204,$AQ894)&lt;&gt;"",IF(INDEX(C_Pavement!$G$5:$G$204,$AQ894)="-","",INDEX(C_Pavement!$G$5:$G$204,$AQ894)),IF($AS894="","",INDEX(E_Rules!$F$5:$F$9,$AS894))))</f>
        <v/>
      </c>
      <c r="AX894" t="str">
        <f>IF($AQ894="","",IF(INDEX(C_Pavement!$H$5:$H$204,$AQ894)&lt;&gt;"",IF(INDEX(C_Pavement!$H$5:$H$204,$AQ894)="-","",INDEX(C_Pavement!$H$5:$H$204,$AQ894)),IF($AS894="","",INDEX(E_Rules!$G$5:$G$9,$AS894))))</f>
        <v/>
      </c>
      <c r="AY894" t="str">
        <f>IF($AQ894="","",IF(INDEX(C_Pavement!$I$5:$I$204,$AQ894)&lt;&gt;"",IF(INDEX(C_Pavement!$I$5:$I$204,$AQ894)="-","",INDEX(C_Pavement!$I$5:$I$204,$AQ894)),IF($AS894="","",INDEX(E_Rules!$H$5:$H$9,$AS894))))</f>
        <v/>
      </c>
    </row>
    <row r="895" spans="1:51" ht="15.75" customHeight="1" x14ac:dyDescent="0.3">
      <c r="A895" s="189">
        <v>890</v>
      </c>
      <c r="B895" s="180">
        <v>44450</v>
      </c>
      <c r="C895" s="180" t="s">
        <v>1201</v>
      </c>
      <c r="D895" s="181" t="str">
        <f>IFERROR(LOOKUP(2,1/((A_Corridor!$A$5:$A$204&lt;&gt;"")*(A_Corridor!$A$5:$A$204&lt;=$B895)*(A_Corridor!$B$5:$B$204&gt;$B895)*(A_Corridor!$C$5:$C$204&lt;&gt;"")),IF(UPPER(A_Corridor!$C$5:$C$204)="Y",1,"")),"")</f>
        <v/>
      </c>
      <c r="E895" s="181" t="str">
        <f>IFERROR(LOOKUP(2,1/((A_Corridor!$A$5:$A$204&lt;&gt;"")*(A_Corridor!$A$5:$A$204&lt;=$B895)*(A_Corridor!$B$5:$B$204&gt;$B895)*(A_Corridor!$D$5:$D$204&lt;&gt;"")),IF(A_Corridor!$D$5:$D$204="-","",UPPER(A_Corridor!$D$5:$D$204))),"")</f>
        <v/>
      </c>
      <c r="F895" s="181" t="str">
        <f>IFERROR(LOOKUP(2,1/((A_Corridor!$A$5:$A$204&lt;&gt;"")*(A_Corridor!$A$5:$A$204&lt;=$B895)*(A_Corridor!$B$5:$B$204&gt;$B895)*(A_Corridor!$E$5:$E$204&lt;&gt;"")),IF(A_Corridor!$E$5:$E$204="-","",1)),"")</f>
        <v/>
      </c>
      <c r="G895" s="182" t="str">
        <f>IFERROR(LOOKUP(2,1/((A_Corridor!$A$5:$A$204&lt;&gt;"")*(A_Corridor!$A$5:$A$204&lt;=$B895)*(A_Corridor!$B$5:$B$204&gt;$B895)*(A_Corridor!$E$5:$E$204&lt;&gt;"")),IF(A_Corridor!$E$5:$E$204="-","",A_Corridor!$E$5:$E$204)),"")</f>
        <v/>
      </c>
      <c r="H895" s="182" t="str">
        <f>IFERROR(LOOKUP(2,1/((D_Points!$A$5:$A$204&lt;&gt;"")*(D_Points!$A$5:$A$204&gt;=$B895)*(D_Points!$A$5:$A$204&lt;$B895+P_Interval)*(UPPER(TRIM(D_Points!$B$5:$B$204))="GULLY")*(D_Points!$H$5:$H$204&lt;&gt;"")),D_Points!$H$5:$H$204),"")</f>
        <v/>
      </c>
      <c r="I895" s="181" t="str">
        <f>IFERROR(LOOKUP(2,1/((A_Corridor!$A$5:$A$204&lt;&gt;"")*(A_Corridor!$A$5:$A$204&lt;=$B895)*(A_Corridor!$B$5:$B$204&gt;$B895)*(A_Corridor!$F$5:$F$204&lt;&gt;"")),IF(A_Corridor!$F$5:$F$204="-","",1)),"")</f>
        <v/>
      </c>
      <c r="J895" s="182" t="str">
        <f>IFERROR(LOOKUP(2,1/((A_Corridor!$A$5:$A$204&lt;&gt;"")*(A_Corridor!$A$5:$A$204&lt;=$B895)*(A_Corridor!$B$5:$B$204&gt;$B895)*(A_Corridor!$F$5:$F$204&lt;&gt;"")),IF(A_Corridor!$F$5:$F$204="-","",A_Corridor!$F$5:$F$204)),"")</f>
        <v/>
      </c>
      <c r="K895" s="182" t="str">
        <f>IFERROR(LOOKUP(2,1/((A_Corridor!$A$5:$A$204&lt;&gt;"")*(A_Corridor!$A$5:$A$204&lt;=$B895)*(A_Corridor!$B$5:$B$204&gt;$B895)*(A_Corridor!$G$5:$G$204&lt;&gt;"")),IF(A_Corridor!$G$5:$G$204="-","",A_Corridor!$G$5:$G$204)),"")</f>
        <v/>
      </c>
      <c r="L895" s="181" t="str">
        <f>IFERROR(LOOKUP(2,1/((A_Corridor!$A$5:$A$204&lt;&gt;"")*(A_Corridor!$A$5:$A$204&lt;=$B895)*(A_Corridor!$B$5:$B$204&gt;$B895)*(A_Corridor!$H$5:$H$204&lt;&gt;"")),IF(A_Corridor!$H$5:$H$204="-","",1)),"")</f>
        <v/>
      </c>
      <c r="M895" s="182" t="str">
        <f>IFERROR(LOOKUP(2,1/((A_Corridor!$A$5:$A$204&lt;&gt;"")*(A_Corridor!$A$5:$A$204&lt;=$B895)*(A_Corridor!$B$5:$B$204&gt;$B895)*(A_Corridor!$H$5:$H$204&lt;&gt;"")),IF(A_Corridor!$H$5:$H$204="-","",A_Corridor!$H$5:$H$204)),"")</f>
        <v/>
      </c>
      <c r="N895" s="182" t="str">
        <f>IFERROR(LOOKUP(2,1/((A_Corridor!$A$5:$A$204&lt;&gt;"")*(A_Corridor!$A$5:$A$204&lt;=$B895)*(A_Corridor!$B$5:$B$204&gt;$B895)*(A_Corridor!$I$5:$I$204&lt;&gt;"")),IF(A_Corridor!$I$5:$I$204="-","",A_Corridor!$I$5:$I$204)),"")</f>
        <v/>
      </c>
      <c r="O895" s="182" t="str">
        <f>IFERROR(LOOKUP(2,1/((D_Points!$A$5:$A$204&lt;&gt;"")*(D_Points!$A$5:$A$204&gt;=$B895)*(D_Points!$A$5:$A$204&lt;$B895+P_Interval)*(UPPER(TRIM(D_Points!$B$5:$B$204))="PITCHING")*(D_Points!$H$5:$H$204&lt;&gt;"")),D_Points!$H$5:$H$204),"")</f>
        <v/>
      </c>
      <c r="P895" s="181" t="str">
        <f>IFERROR(LOOKUP(2,1/((B_Drainage!$A$5:$A$204&lt;&gt;"")*(B_Drainage!$A$5:$A$204&lt;=$B895)*(B_Drainage!$B$5:$B$204&gt;$B895)*(B_Drainage!$C$5:$C$204&lt;&gt;"")),IF(B_Drainage!$C$5:$C$204="-","",UPPER(B_Drainage!$C$5:$C$204))),"")</f>
        <v/>
      </c>
      <c r="Q895" s="181" t="str">
        <f>IFERROR(LOOKUP(2,1/((B_Drainage!$A$5:$A$204&lt;&gt;"")*(B_Drainage!$A$5:$A$204&lt;=$B895)*(B_Drainage!$B$5:$B$204&gt;$B895)*(B_Drainage!$D$5:$D$204&lt;&gt;"")),IF(B_Drainage!$D$5:$D$204="-","",UPPER(B_Drainage!$D$5:$D$204))),"")</f>
        <v/>
      </c>
      <c r="R895" s="182" t="str">
        <f>IFERROR(LOOKUP(2,1/((D_Points!$A$5:$A$204&lt;&gt;"")*(D_Points!$A$5:$A$204&gt;=$B895)*(D_Points!$A$5:$A$204&lt;$B895+P_Interval)*(RIGHT(UPPER(TRIM(D_Points!$B$5:$B$204)),8)="_CULVERT")),IF(LEFT(UPPER(TRIM(D_Points!$B$5:$B$204)),2)="EX",1,IF(LEFT(UPPER(TRIM(D_Points!$B$5:$B$204)),2)="PR",2,3))),"")</f>
        <v/>
      </c>
      <c r="S895" s="182" t="str">
        <f>IFERROR(LOOKUP(2,1/((D_Points!$A$5:$A$204&lt;&gt;"")*(D_Points!$A$5:$A$204&gt;=$B895)*(D_Points!$A$5:$A$204&lt;$B895+P_Interval)*(RIGHT(UPPER(TRIM(D_Points!$B$5:$B$204)),7)="_BRIDGE")),IF(LEFT(UPPER(TRIM(D_Points!$B$5:$B$204)),2)="EX",1,IF(LEFT(UPPER(TRIM(D_Points!$B$5:$B$204)),2)="PR",2,2))),"")</f>
        <v/>
      </c>
      <c r="T895" s="181" t="str">
        <f>IFERROR(LOOKUP(2,1/((B_Drainage!$A$5:$A$204&lt;&gt;"")*(B_Drainage!$A$5:$A$204&lt;=$B895)*(B_Drainage!$B$5:$B$204&gt;$B895)*(B_Drainage!$E$5:$E$204&lt;&gt;"")),IF(B_Drainage!$E$5:$E$204="-","",1)),"")</f>
        <v/>
      </c>
      <c r="U895" s="181" t="str">
        <f>IFERROR(LOOKUP(2,1/((B_Drainage!$A$5:$A$204&lt;&gt;"")*(B_Drainage!$A$5:$A$204&lt;=$B895)*(B_Drainage!$B$5:$B$204&gt;$B895)*(B_Drainage!$E$5:$E$204&lt;&gt;"")),IF(B_Drainage!$E$5:$E$204="-","",B_Drainage!$E$5:$E$204)),"")</f>
        <v/>
      </c>
      <c r="V895" s="181" t="str">
        <f>IFERROR(LOOKUP(2,1/((B_Drainage!$A$5:$A$204&lt;&gt;"")*(B_Drainage!$A$5:$A$204&lt;=$B895)*(B_Drainage!$B$5:$B$204&gt;$B895)*(B_Drainage!$F$5:$F$204&lt;&gt;"")),IF(B_Drainage!$F$5:$F$204="-","",1)),"")</f>
        <v/>
      </c>
      <c r="W895" s="181" t="str">
        <f>IFERROR(LOOKUP(2,1/((B_Drainage!$A$5:$A$204&lt;&gt;"")*(B_Drainage!$A$5:$A$204&lt;=$B895)*(B_Drainage!$B$5:$B$204&gt;$B895)*(B_Drainage!$F$5:$F$204&lt;&gt;"")),IF(B_Drainage!$F$5:$F$204="-","",B_Drainage!$F$5:$F$204)),"")</f>
        <v/>
      </c>
      <c r="X895" s="181" t="str">
        <f>IFERROR(LOOKUP(2,1/((B_Drainage!$A$5:$A$204&lt;&gt;"")*(B_Drainage!$A$5:$A$204&lt;=$B895)*(B_Drainage!$B$5:$B$204&gt;$B895)*(B_Drainage!$G$5:$G$204&lt;&gt;"")),IF(UPPER(B_Drainage!$G$5:$G$204)="Y",1,"")),"")</f>
        <v/>
      </c>
      <c r="Y895" s="181" t="str">
        <f>IFERROR(LOOKUP(2,1/((B_Drainage!$A$5:$A$204&lt;&gt;"")*(B_Drainage!$A$5:$A$204&lt;=$B895)*(B_Drainage!$B$5:$B$204&gt;$B895)*(B_Drainage!$H$5:$H$204&lt;&gt;"")),IF(UPPER(B_Drainage!$H$5:$H$204)="Y",1,"")),"")</f>
        <v/>
      </c>
      <c r="Z895" s="181" t="str">
        <f>IFERROR(LOOKUP(2,1/((B_Drainage!$A$5:$A$204&lt;&gt;"")*(B_Drainage!$A$5:$A$204&lt;=$B895)*(B_Drainage!$B$5:$B$204&gt;$B895)*(B_Drainage!$I$5:$I$204&lt;&gt;"")),IF(UPPER(B_Drainage!$I$5:$I$204)="Y",1,"")),"")</f>
        <v/>
      </c>
      <c r="AA895" s="181" t="str">
        <f>IFERROR(LOOKUP(2,1/((B_Drainage!$A$5:$A$204&lt;&gt;"")*(B_Drainage!$A$5:$A$204&lt;=$B895)*(B_Drainage!$B$5:$B$204&gt;$B895)*(B_Drainage!$J$5:$J$204&lt;&gt;"")),IF(UPPER(B_Drainage!$J$5:$J$204)="Y",1,"")),"")</f>
        <v/>
      </c>
      <c r="AB895" s="182" t="str">
        <f>IFERROR(LOOKUP(2,1/((B_Drainage!$A$5:$A$204&lt;&gt;"")*(B_Drainage!$A$5:$A$204&lt;=$B895)*(B_Drainage!$B$5:$B$204&gt;$B895)*(B_Drainage!$K$5:$K$204&lt;&gt;"")),IF(B_Drainage!$K$5:$K$204="-","",B_Drainage!$K$5:$K$204)),"")</f>
        <v/>
      </c>
      <c r="AC895" s="182" t="str">
        <f>IFERROR(LOOKUP(2,1/((B_Drainage!$A$5:$A$204&lt;&gt;"")*(B_Drainage!$A$5:$A$204&lt;=$B895)*(B_Drainage!$B$5:$B$204&gt;$B895)*(B_Drainage!$L$5:$L$204&lt;&gt;"")),IF(B_Drainage!$L$5:$L$204="-","",B_Drainage!$L$5:$L$204)),"")</f>
        <v/>
      </c>
      <c r="AD895" s="182" t="str">
        <f>IFERROR(LOOKUP(2,1/((D_Points!$A$5:$A$204&lt;&gt;"")*(D_Points!$A$5:$A$204&gt;=$B895)*(D_Points!$A$5:$A$204&lt;$B895+P_Interval)*(UPPER(TRIM(D_Points!$B$5:$B$204))="TURNOUT_L")*(D_Points!$H$5:$H$204&lt;&gt;"")),D_Points!$H$5:$H$204),"")</f>
        <v/>
      </c>
      <c r="AE895" s="182" t="str">
        <f>IFERROR(LOOKUP(2,1/((D_Points!$A$5:$A$204&lt;&gt;"")*(D_Points!$A$5:$A$204&gt;=$B895)*(D_Points!$A$5:$A$204&lt;$B895+P_Interval)*(UPPER(TRIM(D_Points!$B$5:$B$204))="TURNOUT_R")*(D_Points!$H$5:$H$204&lt;&gt;"")),D_Points!$H$5:$H$204),"")</f>
        <v/>
      </c>
      <c r="AF895" s="181" t="str">
        <f>IFERROR(LOOKUP(2,1/((B_Drainage!$A$5:$A$204&lt;&gt;"")*(B_Drainage!$A$5:$A$204&lt;=$B895)*(B_Drainage!$B$5:$B$204&gt;$B895)*(B_Drainage!$M$5:$M$204&lt;&gt;"")),IF(UPPER(B_Drainage!$M$5:$M$204)="Y",1,"")),"")</f>
        <v/>
      </c>
      <c r="AG895" s="181" t="str">
        <f>IFERROR(LOOKUP(2,1/((B_Drainage!$A$5:$A$204&lt;&gt;"")*(B_Drainage!$A$5:$A$204&lt;=$B895)*(B_Drainage!$B$5:$B$204&gt;$B895)*(B_Drainage!$N$5:$N$204&lt;&gt;"")),IF(UPPER(B_Drainage!$N$5:$N$204)="Y",1,"")),"")</f>
        <v/>
      </c>
      <c r="AH895" s="181" t="str">
        <f t="shared" si="104"/>
        <v/>
      </c>
      <c r="AI895" s="181" t="str">
        <f t="shared" si="105"/>
        <v/>
      </c>
      <c r="AJ895" s="181" t="str">
        <f t="shared" si="106"/>
        <v/>
      </c>
      <c r="AK895" s="181" t="str">
        <f t="shared" si="107"/>
        <v/>
      </c>
      <c r="AL895" s="181" t="str">
        <f t="shared" si="108"/>
        <v/>
      </c>
      <c r="AM895" s="181" t="str">
        <f t="shared" si="109"/>
        <v/>
      </c>
      <c r="AN895" s="181" t="str">
        <f t="shared" si="110"/>
        <v/>
      </c>
      <c r="AO895" s="192" t="str">
        <f t="shared" si="111"/>
        <v/>
      </c>
      <c r="AQ895" t="str">
        <f>IFERROR(LOOKUP(2,1/((C_Pavement!$A$5:$A$204&lt;&gt;"")*(C_Pavement!$A$5:$A$204&lt;=$B895)*(C_Pavement!$B$5:$B$204&gt;$B895)*(C_Pavement!$C$5:$C$204&lt;&gt;"")),ROW(C_Pavement!$C$5:$C$204)-4),"")</f>
        <v/>
      </c>
      <c r="AR895" t="str">
        <f>IF($AQ895="","",UPPER(TRIM(INDEX(C_Pavement!$C$5:$C$204,$AQ895))))</f>
        <v/>
      </c>
      <c r="AS895" t="str">
        <f>IF($AR895="","",IFERROR(MATCH($AR895,E_Rules!$A$5:$A$9,0),""))</f>
        <v/>
      </c>
      <c r="AT895" t="str">
        <f>IF($AQ895="","",IF(INDEX(C_Pavement!$D$5:$D$204,$AQ895)&lt;&gt;"",UPPER(TRIM(INDEX(C_Pavement!$D$5:$D$204,$AQ895))),IF($AS895="","",INDEX(E_Rules!$C$5:$C$9,$AS895))))</f>
        <v/>
      </c>
      <c r="AU895" t="str">
        <f>IF($AQ895="","",IF(INDEX(C_Pavement!$E$5:$E$204,$AQ895)&lt;&gt;"",IF(INDEX(C_Pavement!$E$5:$E$204,$AQ895)="-","",INDEX(C_Pavement!$E$5:$E$204,$AQ895)),IF($AS895="","",INDEX(E_Rules!$D$5:$D$9,$AS895))))</f>
        <v/>
      </c>
      <c r="AV895" t="str">
        <f>IF($AQ895="","",IF(INDEX(C_Pavement!$F$5:$F$204,$AQ895)&lt;&gt;"",IF(INDEX(C_Pavement!$F$5:$F$204,$AQ895)="-","",INDEX(C_Pavement!$F$5:$F$204,$AQ895)),IF($AS895="","",INDEX(E_Rules!$E$5:$E$9,$AS895))))</f>
        <v/>
      </c>
      <c r="AW895" t="str">
        <f>IF($AQ895="","",IF(INDEX(C_Pavement!$G$5:$G$204,$AQ895)&lt;&gt;"",IF(INDEX(C_Pavement!$G$5:$G$204,$AQ895)="-","",INDEX(C_Pavement!$G$5:$G$204,$AQ895)),IF($AS895="","",INDEX(E_Rules!$F$5:$F$9,$AS895))))</f>
        <v/>
      </c>
      <c r="AX895" t="str">
        <f>IF($AQ895="","",IF(INDEX(C_Pavement!$H$5:$H$204,$AQ895)&lt;&gt;"",IF(INDEX(C_Pavement!$H$5:$H$204,$AQ895)="-","",INDEX(C_Pavement!$H$5:$H$204,$AQ895)),IF($AS895="","",INDEX(E_Rules!$G$5:$G$9,$AS895))))</f>
        <v/>
      </c>
      <c r="AY895" t="str">
        <f>IF($AQ895="","",IF(INDEX(C_Pavement!$I$5:$I$204,$AQ895)&lt;&gt;"",IF(INDEX(C_Pavement!$I$5:$I$204,$AQ895)="-","",INDEX(C_Pavement!$I$5:$I$204,$AQ895)),IF($AS895="","",INDEX(E_Rules!$H$5:$H$9,$AS895))))</f>
        <v/>
      </c>
    </row>
    <row r="896" spans="1:51" ht="15.75" customHeight="1" x14ac:dyDescent="0.3">
      <c r="A896" s="189">
        <v>891</v>
      </c>
      <c r="B896" s="180">
        <v>44500</v>
      </c>
      <c r="C896" s="180" t="s">
        <v>1202</v>
      </c>
      <c r="D896" s="181" t="str">
        <f>IFERROR(LOOKUP(2,1/((A_Corridor!$A$5:$A$204&lt;&gt;"")*(A_Corridor!$A$5:$A$204&lt;=$B896)*(A_Corridor!$B$5:$B$204&gt;$B896)*(A_Corridor!$C$5:$C$204&lt;&gt;"")),IF(UPPER(A_Corridor!$C$5:$C$204)="Y",1,"")),"")</f>
        <v/>
      </c>
      <c r="E896" s="181" t="str">
        <f>IFERROR(LOOKUP(2,1/((A_Corridor!$A$5:$A$204&lt;&gt;"")*(A_Corridor!$A$5:$A$204&lt;=$B896)*(A_Corridor!$B$5:$B$204&gt;$B896)*(A_Corridor!$D$5:$D$204&lt;&gt;"")),IF(A_Corridor!$D$5:$D$204="-","",UPPER(A_Corridor!$D$5:$D$204))),"")</f>
        <v/>
      </c>
      <c r="F896" s="181" t="str">
        <f>IFERROR(LOOKUP(2,1/((A_Corridor!$A$5:$A$204&lt;&gt;"")*(A_Corridor!$A$5:$A$204&lt;=$B896)*(A_Corridor!$B$5:$B$204&gt;$B896)*(A_Corridor!$E$5:$E$204&lt;&gt;"")),IF(A_Corridor!$E$5:$E$204="-","",1)),"")</f>
        <v/>
      </c>
      <c r="G896" s="182" t="str">
        <f>IFERROR(LOOKUP(2,1/((A_Corridor!$A$5:$A$204&lt;&gt;"")*(A_Corridor!$A$5:$A$204&lt;=$B896)*(A_Corridor!$B$5:$B$204&gt;$B896)*(A_Corridor!$E$5:$E$204&lt;&gt;"")),IF(A_Corridor!$E$5:$E$204="-","",A_Corridor!$E$5:$E$204)),"")</f>
        <v/>
      </c>
      <c r="H896" s="182" t="str">
        <f>IFERROR(LOOKUP(2,1/((D_Points!$A$5:$A$204&lt;&gt;"")*(D_Points!$A$5:$A$204&gt;=$B896)*(D_Points!$A$5:$A$204&lt;$B896+P_Interval)*(UPPER(TRIM(D_Points!$B$5:$B$204))="GULLY")*(D_Points!$H$5:$H$204&lt;&gt;"")),D_Points!$H$5:$H$204),"")</f>
        <v/>
      </c>
      <c r="I896" s="181" t="str">
        <f>IFERROR(LOOKUP(2,1/((A_Corridor!$A$5:$A$204&lt;&gt;"")*(A_Corridor!$A$5:$A$204&lt;=$B896)*(A_Corridor!$B$5:$B$204&gt;$B896)*(A_Corridor!$F$5:$F$204&lt;&gt;"")),IF(A_Corridor!$F$5:$F$204="-","",1)),"")</f>
        <v/>
      </c>
      <c r="J896" s="182" t="str">
        <f>IFERROR(LOOKUP(2,1/((A_Corridor!$A$5:$A$204&lt;&gt;"")*(A_Corridor!$A$5:$A$204&lt;=$B896)*(A_Corridor!$B$5:$B$204&gt;$B896)*(A_Corridor!$F$5:$F$204&lt;&gt;"")),IF(A_Corridor!$F$5:$F$204="-","",A_Corridor!$F$5:$F$204)),"")</f>
        <v/>
      </c>
      <c r="K896" s="182" t="str">
        <f>IFERROR(LOOKUP(2,1/((A_Corridor!$A$5:$A$204&lt;&gt;"")*(A_Corridor!$A$5:$A$204&lt;=$B896)*(A_Corridor!$B$5:$B$204&gt;$B896)*(A_Corridor!$G$5:$G$204&lt;&gt;"")),IF(A_Corridor!$G$5:$G$204="-","",A_Corridor!$G$5:$G$204)),"")</f>
        <v/>
      </c>
      <c r="L896" s="181" t="str">
        <f>IFERROR(LOOKUP(2,1/((A_Corridor!$A$5:$A$204&lt;&gt;"")*(A_Corridor!$A$5:$A$204&lt;=$B896)*(A_Corridor!$B$5:$B$204&gt;$B896)*(A_Corridor!$H$5:$H$204&lt;&gt;"")),IF(A_Corridor!$H$5:$H$204="-","",1)),"")</f>
        <v/>
      </c>
      <c r="M896" s="182" t="str">
        <f>IFERROR(LOOKUP(2,1/((A_Corridor!$A$5:$A$204&lt;&gt;"")*(A_Corridor!$A$5:$A$204&lt;=$B896)*(A_Corridor!$B$5:$B$204&gt;$B896)*(A_Corridor!$H$5:$H$204&lt;&gt;"")),IF(A_Corridor!$H$5:$H$204="-","",A_Corridor!$H$5:$H$204)),"")</f>
        <v/>
      </c>
      <c r="N896" s="182" t="str">
        <f>IFERROR(LOOKUP(2,1/((A_Corridor!$A$5:$A$204&lt;&gt;"")*(A_Corridor!$A$5:$A$204&lt;=$B896)*(A_Corridor!$B$5:$B$204&gt;$B896)*(A_Corridor!$I$5:$I$204&lt;&gt;"")),IF(A_Corridor!$I$5:$I$204="-","",A_Corridor!$I$5:$I$204)),"")</f>
        <v/>
      </c>
      <c r="O896" s="182" t="str">
        <f>IFERROR(LOOKUP(2,1/((D_Points!$A$5:$A$204&lt;&gt;"")*(D_Points!$A$5:$A$204&gt;=$B896)*(D_Points!$A$5:$A$204&lt;$B896+P_Interval)*(UPPER(TRIM(D_Points!$B$5:$B$204))="PITCHING")*(D_Points!$H$5:$H$204&lt;&gt;"")),D_Points!$H$5:$H$204),"")</f>
        <v/>
      </c>
      <c r="P896" s="181" t="str">
        <f>IFERROR(LOOKUP(2,1/((B_Drainage!$A$5:$A$204&lt;&gt;"")*(B_Drainage!$A$5:$A$204&lt;=$B896)*(B_Drainage!$B$5:$B$204&gt;$B896)*(B_Drainage!$C$5:$C$204&lt;&gt;"")),IF(B_Drainage!$C$5:$C$204="-","",UPPER(B_Drainage!$C$5:$C$204))),"")</f>
        <v/>
      </c>
      <c r="Q896" s="181" t="str">
        <f>IFERROR(LOOKUP(2,1/((B_Drainage!$A$5:$A$204&lt;&gt;"")*(B_Drainage!$A$5:$A$204&lt;=$B896)*(B_Drainage!$B$5:$B$204&gt;$B896)*(B_Drainage!$D$5:$D$204&lt;&gt;"")),IF(B_Drainage!$D$5:$D$204="-","",UPPER(B_Drainage!$D$5:$D$204))),"")</f>
        <v/>
      </c>
      <c r="R896" s="182" t="str">
        <f>IFERROR(LOOKUP(2,1/((D_Points!$A$5:$A$204&lt;&gt;"")*(D_Points!$A$5:$A$204&gt;=$B896)*(D_Points!$A$5:$A$204&lt;$B896+P_Interval)*(RIGHT(UPPER(TRIM(D_Points!$B$5:$B$204)),8)="_CULVERT")),IF(LEFT(UPPER(TRIM(D_Points!$B$5:$B$204)),2)="EX",1,IF(LEFT(UPPER(TRIM(D_Points!$B$5:$B$204)),2)="PR",2,3))),"")</f>
        <v/>
      </c>
      <c r="S896" s="182" t="str">
        <f>IFERROR(LOOKUP(2,1/((D_Points!$A$5:$A$204&lt;&gt;"")*(D_Points!$A$5:$A$204&gt;=$B896)*(D_Points!$A$5:$A$204&lt;$B896+P_Interval)*(RIGHT(UPPER(TRIM(D_Points!$B$5:$B$204)),7)="_BRIDGE")),IF(LEFT(UPPER(TRIM(D_Points!$B$5:$B$204)),2)="EX",1,IF(LEFT(UPPER(TRIM(D_Points!$B$5:$B$204)),2)="PR",2,2))),"")</f>
        <v/>
      </c>
      <c r="T896" s="181" t="str">
        <f>IFERROR(LOOKUP(2,1/((B_Drainage!$A$5:$A$204&lt;&gt;"")*(B_Drainage!$A$5:$A$204&lt;=$B896)*(B_Drainage!$B$5:$B$204&gt;$B896)*(B_Drainage!$E$5:$E$204&lt;&gt;"")),IF(B_Drainage!$E$5:$E$204="-","",1)),"")</f>
        <v/>
      </c>
      <c r="U896" s="181" t="str">
        <f>IFERROR(LOOKUP(2,1/((B_Drainage!$A$5:$A$204&lt;&gt;"")*(B_Drainage!$A$5:$A$204&lt;=$B896)*(B_Drainage!$B$5:$B$204&gt;$B896)*(B_Drainage!$E$5:$E$204&lt;&gt;"")),IF(B_Drainage!$E$5:$E$204="-","",B_Drainage!$E$5:$E$204)),"")</f>
        <v/>
      </c>
      <c r="V896" s="181" t="str">
        <f>IFERROR(LOOKUP(2,1/((B_Drainage!$A$5:$A$204&lt;&gt;"")*(B_Drainage!$A$5:$A$204&lt;=$B896)*(B_Drainage!$B$5:$B$204&gt;$B896)*(B_Drainage!$F$5:$F$204&lt;&gt;"")),IF(B_Drainage!$F$5:$F$204="-","",1)),"")</f>
        <v/>
      </c>
      <c r="W896" s="181" t="str">
        <f>IFERROR(LOOKUP(2,1/((B_Drainage!$A$5:$A$204&lt;&gt;"")*(B_Drainage!$A$5:$A$204&lt;=$B896)*(B_Drainage!$B$5:$B$204&gt;$B896)*(B_Drainage!$F$5:$F$204&lt;&gt;"")),IF(B_Drainage!$F$5:$F$204="-","",B_Drainage!$F$5:$F$204)),"")</f>
        <v/>
      </c>
      <c r="X896" s="181" t="str">
        <f>IFERROR(LOOKUP(2,1/((B_Drainage!$A$5:$A$204&lt;&gt;"")*(B_Drainage!$A$5:$A$204&lt;=$B896)*(B_Drainage!$B$5:$B$204&gt;$B896)*(B_Drainage!$G$5:$G$204&lt;&gt;"")),IF(UPPER(B_Drainage!$G$5:$G$204)="Y",1,"")),"")</f>
        <v/>
      </c>
      <c r="Y896" s="181" t="str">
        <f>IFERROR(LOOKUP(2,1/((B_Drainage!$A$5:$A$204&lt;&gt;"")*(B_Drainage!$A$5:$A$204&lt;=$B896)*(B_Drainage!$B$5:$B$204&gt;$B896)*(B_Drainage!$H$5:$H$204&lt;&gt;"")),IF(UPPER(B_Drainage!$H$5:$H$204)="Y",1,"")),"")</f>
        <v/>
      </c>
      <c r="Z896" s="181" t="str">
        <f>IFERROR(LOOKUP(2,1/((B_Drainage!$A$5:$A$204&lt;&gt;"")*(B_Drainage!$A$5:$A$204&lt;=$B896)*(B_Drainage!$B$5:$B$204&gt;$B896)*(B_Drainage!$I$5:$I$204&lt;&gt;"")),IF(UPPER(B_Drainage!$I$5:$I$204)="Y",1,"")),"")</f>
        <v/>
      </c>
      <c r="AA896" s="181" t="str">
        <f>IFERROR(LOOKUP(2,1/((B_Drainage!$A$5:$A$204&lt;&gt;"")*(B_Drainage!$A$5:$A$204&lt;=$B896)*(B_Drainage!$B$5:$B$204&gt;$B896)*(B_Drainage!$J$5:$J$204&lt;&gt;"")),IF(UPPER(B_Drainage!$J$5:$J$204)="Y",1,"")),"")</f>
        <v/>
      </c>
      <c r="AB896" s="182" t="str">
        <f>IFERROR(LOOKUP(2,1/((B_Drainage!$A$5:$A$204&lt;&gt;"")*(B_Drainage!$A$5:$A$204&lt;=$B896)*(B_Drainage!$B$5:$B$204&gt;$B896)*(B_Drainage!$K$5:$K$204&lt;&gt;"")),IF(B_Drainage!$K$5:$K$204="-","",B_Drainage!$K$5:$K$204)),"")</f>
        <v/>
      </c>
      <c r="AC896" s="182" t="str">
        <f>IFERROR(LOOKUP(2,1/((B_Drainage!$A$5:$A$204&lt;&gt;"")*(B_Drainage!$A$5:$A$204&lt;=$B896)*(B_Drainage!$B$5:$B$204&gt;$B896)*(B_Drainage!$L$5:$L$204&lt;&gt;"")),IF(B_Drainage!$L$5:$L$204="-","",B_Drainage!$L$5:$L$204)),"")</f>
        <v/>
      </c>
      <c r="AD896" s="182" t="str">
        <f>IFERROR(LOOKUP(2,1/((D_Points!$A$5:$A$204&lt;&gt;"")*(D_Points!$A$5:$A$204&gt;=$B896)*(D_Points!$A$5:$A$204&lt;$B896+P_Interval)*(UPPER(TRIM(D_Points!$B$5:$B$204))="TURNOUT_L")*(D_Points!$H$5:$H$204&lt;&gt;"")),D_Points!$H$5:$H$204),"")</f>
        <v/>
      </c>
      <c r="AE896" s="182" t="str">
        <f>IFERROR(LOOKUP(2,1/((D_Points!$A$5:$A$204&lt;&gt;"")*(D_Points!$A$5:$A$204&gt;=$B896)*(D_Points!$A$5:$A$204&lt;$B896+P_Interval)*(UPPER(TRIM(D_Points!$B$5:$B$204))="TURNOUT_R")*(D_Points!$H$5:$H$204&lt;&gt;"")),D_Points!$H$5:$H$204),"")</f>
        <v/>
      </c>
      <c r="AF896" s="181" t="str">
        <f>IFERROR(LOOKUP(2,1/((B_Drainage!$A$5:$A$204&lt;&gt;"")*(B_Drainage!$A$5:$A$204&lt;=$B896)*(B_Drainage!$B$5:$B$204&gt;$B896)*(B_Drainage!$M$5:$M$204&lt;&gt;"")),IF(UPPER(B_Drainage!$M$5:$M$204)="Y",1,"")),"")</f>
        <v/>
      </c>
      <c r="AG896" s="181" t="str">
        <f>IFERROR(LOOKUP(2,1/((B_Drainage!$A$5:$A$204&lt;&gt;"")*(B_Drainage!$A$5:$A$204&lt;=$B896)*(B_Drainage!$B$5:$B$204&gt;$B896)*(B_Drainage!$N$5:$N$204&lt;&gt;"")),IF(UPPER(B_Drainage!$N$5:$N$204)="Y",1,"")),"")</f>
        <v/>
      </c>
      <c r="AH896" s="181" t="str">
        <f t="shared" si="104"/>
        <v/>
      </c>
      <c r="AI896" s="181" t="str">
        <f t="shared" si="105"/>
        <v/>
      </c>
      <c r="AJ896" s="181" t="str">
        <f t="shared" si="106"/>
        <v/>
      </c>
      <c r="AK896" s="181" t="str">
        <f t="shared" si="107"/>
        <v/>
      </c>
      <c r="AL896" s="181" t="str">
        <f t="shared" si="108"/>
        <v/>
      </c>
      <c r="AM896" s="181" t="str">
        <f t="shared" si="109"/>
        <v/>
      </c>
      <c r="AN896" s="181" t="str">
        <f t="shared" si="110"/>
        <v/>
      </c>
      <c r="AO896" s="192" t="str">
        <f t="shared" si="111"/>
        <v/>
      </c>
      <c r="AQ896" t="str">
        <f>IFERROR(LOOKUP(2,1/((C_Pavement!$A$5:$A$204&lt;&gt;"")*(C_Pavement!$A$5:$A$204&lt;=$B896)*(C_Pavement!$B$5:$B$204&gt;$B896)*(C_Pavement!$C$5:$C$204&lt;&gt;"")),ROW(C_Pavement!$C$5:$C$204)-4),"")</f>
        <v/>
      </c>
      <c r="AR896" t="str">
        <f>IF($AQ896="","",UPPER(TRIM(INDEX(C_Pavement!$C$5:$C$204,$AQ896))))</f>
        <v/>
      </c>
      <c r="AS896" t="str">
        <f>IF($AR896="","",IFERROR(MATCH($AR896,E_Rules!$A$5:$A$9,0),""))</f>
        <v/>
      </c>
      <c r="AT896" t="str">
        <f>IF($AQ896="","",IF(INDEX(C_Pavement!$D$5:$D$204,$AQ896)&lt;&gt;"",UPPER(TRIM(INDEX(C_Pavement!$D$5:$D$204,$AQ896))),IF($AS896="","",INDEX(E_Rules!$C$5:$C$9,$AS896))))</f>
        <v/>
      </c>
      <c r="AU896" t="str">
        <f>IF($AQ896="","",IF(INDEX(C_Pavement!$E$5:$E$204,$AQ896)&lt;&gt;"",IF(INDEX(C_Pavement!$E$5:$E$204,$AQ896)="-","",INDEX(C_Pavement!$E$5:$E$204,$AQ896)),IF($AS896="","",INDEX(E_Rules!$D$5:$D$9,$AS896))))</f>
        <v/>
      </c>
      <c r="AV896" t="str">
        <f>IF($AQ896="","",IF(INDEX(C_Pavement!$F$5:$F$204,$AQ896)&lt;&gt;"",IF(INDEX(C_Pavement!$F$5:$F$204,$AQ896)="-","",INDEX(C_Pavement!$F$5:$F$204,$AQ896)),IF($AS896="","",INDEX(E_Rules!$E$5:$E$9,$AS896))))</f>
        <v/>
      </c>
      <c r="AW896" t="str">
        <f>IF($AQ896="","",IF(INDEX(C_Pavement!$G$5:$G$204,$AQ896)&lt;&gt;"",IF(INDEX(C_Pavement!$G$5:$G$204,$AQ896)="-","",INDEX(C_Pavement!$G$5:$G$204,$AQ896)),IF($AS896="","",INDEX(E_Rules!$F$5:$F$9,$AS896))))</f>
        <v/>
      </c>
      <c r="AX896" t="str">
        <f>IF($AQ896="","",IF(INDEX(C_Pavement!$H$5:$H$204,$AQ896)&lt;&gt;"",IF(INDEX(C_Pavement!$H$5:$H$204,$AQ896)="-","",INDEX(C_Pavement!$H$5:$H$204,$AQ896)),IF($AS896="","",INDEX(E_Rules!$G$5:$G$9,$AS896))))</f>
        <v/>
      </c>
      <c r="AY896" t="str">
        <f>IF($AQ896="","",IF(INDEX(C_Pavement!$I$5:$I$204,$AQ896)&lt;&gt;"",IF(INDEX(C_Pavement!$I$5:$I$204,$AQ896)="-","",INDEX(C_Pavement!$I$5:$I$204,$AQ896)),IF($AS896="","",INDEX(E_Rules!$H$5:$H$9,$AS896))))</f>
        <v/>
      </c>
    </row>
    <row r="897" spans="1:51" ht="15.75" customHeight="1" x14ac:dyDescent="0.3">
      <c r="A897" s="189">
        <v>892</v>
      </c>
      <c r="B897" s="180">
        <v>44550</v>
      </c>
      <c r="C897" s="180" t="s">
        <v>1203</v>
      </c>
      <c r="D897" s="181" t="str">
        <f>IFERROR(LOOKUP(2,1/((A_Corridor!$A$5:$A$204&lt;&gt;"")*(A_Corridor!$A$5:$A$204&lt;=$B897)*(A_Corridor!$B$5:$B$204&gt;$B897)*(A_Corridor!$C$5:$C$204&lt;&gt;"")),IF(UPPER(A_Corridor!$C$5:$C$204)="Y",1,"")),"")</f>
        <v/>
      </c>
      <c r="E897" s="181" t="str">
        <f>IFERROR(LOOKUP(2,1/((A_Corridor!$A$5:$A$204&lt;&gt;"")*(A_Corridor!$A$5:$A$204&lt;=$B897)*(A_Corridor!$B$5:$B$204&gt;$B897)*(A_Corridor!$D$5:$D$204&lt;&gt;"")),IF(A_Corridor!$D$5:$D$204="-","",UPPER(A_Corridor!$D$5:$D$204))),"")</f>
        <v/>
      </c>
      <c r="F897" s="181" t="str">
        <f>IFERROR(LOOKUP(2,1/((A_Corridor!$A$5:$A$204&lt;&gt;"")*(A_Corridor!$A$5:$A$204&lt;=$B897)*(A_Corridor!$B$5:$B$204&gt;$B897)*(A_Corridor!$E$5:$E$204&lt;&gt;"")),IF(A_Corridor!$E$5:$E$204="-","",1)),"")</f>
        <v/>
      </c>
      <c r="G897" s="182" t="str">
        <f>IFERROR(LOOKUP(2,1/((A_Corridor!$A$5:$A$204&lt;&gt;"")*(A_Corridor!$A$5:$A$204&lt;=$B897)*(A_Corridor!$B$5:$B$204&gt;$B897)*(A_Corridor!$E$5:$E$204&lt;&gt;"")),IF(A_Corridor!$E$5:$E$204="-","",A_Corridor!$E$5:$E$204)),"")</f>
        <v/>
      </c>
      <c r="H897" s="182" t="str">
        <f>IFERROR(LOOKUP(2,1/((D_Points!$A$5:$A$204&lt;&gt;"")*(D_Points!$A$5:$A$204&gt;=$B897)*(D_Points!$A$5:$A$204&lt;$B897+P_Interval)*(UPPER(TRIM(D_Points!$B$5:$B$204))="GULLY")*(D_Points!$H$5:$H$204&lt;&gt;"")),D_Points!$H$5:$H$204),"")</f>
        <v/>
      </c>
      <c r="I897" s="181" t="str">
        <f>IFERROR(LOOKUP(2,1/((A_Corridor!$A$5:$A$204&lt;&gt;"")*(A_Corridor!$A$5:$A$204&lt;=$B897)*(A_Corridor!$B$5:$B$204&gt;$B897)*(A_Corridor!$F$5:$F$204&lt;&gt;"")),IF(A_Corridor!$F$5:$F$204="-","",1)),"")</f>
        <v/>
      </c>
      <c r="J897" s="182" t="str">
        <f>IFERROR(LOOKUP(2,1/((A_Corridor!$A$5:$A$204&lt;&gt;"")*(A_Corridor!$A$5:$A$204&lt;=$B897)*(A_Corridor!$B$5:$B$204&gt;$B897)*(A_Corridor!$F$5:$F$204&lt;&gt;"")),IF(A_Corridor!$F$5:$F$204="-","",A_Corridor!$F$5:$F$204)),"")</f>
        <v/>
      </c>
      <c r="K897" s="182" t="str">
        <f>IFERROR(LOOKUP(2,1/((A_Corridor!$A$5:$A$204&lt;&gt;"")*(A_Corridor!$A$5:$A$204&lt;=$B897)*(A_Corridor!$B$5:$B$204&gt;$B897)*(A_Corridor!$G$5:$G$204&lt;&gt;"")),IF(A_Corridor!$G$5:$G$204="-","",A_Corridor!$G$5:$G$204)),"")</f>
        <v/>
      </c>
      <c r="L897" s="181" t="str">
        <f>IFERROR(LOOKUP(2,1/((A_Corridor!$A$5:$A$204&lt;&gt;"")*(A_Corridor!$A$5:$A$204&lt;=$B897)*(A_Corridor!$B$5:$B$204&gt;$B897)*(A_Corridor!$H$5:$H$204&lt;&gt;"")),IF(A_Corridor!$H$5:$H$204="-","",1)),"")</f>
        <v/>
      </c>
      <c r="M897" s="182" t="str">
        <f>IFERROR(LOOKUP(2,1/((A_Corridor!$A$5:$A$204&lt;&gt;"")*(A_Corridor!$A$5:$A$204&lt;=$B897)*(A_Corridor!$B$5:$B$204&gt;$B897)*(A_Corridor!$H$5:$H$204&lt;&gt;"")),IF(A_Corridor!$H$5:$H$204="-","",A_Corridor!$H$5:$H$204)),"")</f>
        <v/>
      </c>
      <c r="N897" s="182" t="str">
        <f>IFERROR(LOOKUP(2,1/((A_Corridor!$A$5:$A$204&lt;&gt;"")*(A_Corridor!$A$5:$A$204&lt;=$B897)*(A_Corridor!$B$5:$B$204&gt;$B897)*(A_Corridor!$I$5:$I$204&lt;&gt;"")),IF(A_Corridor!$I$5:$I$204="-","",A_Corridor!$I$5:$I$204)),"")</f>
        <v/>
      </c>
      <c r="O897" s="182" t="str">
        <f>IFERROR(LOOKUP(2,1/((D_Points!$A$5:$A$204&lt;&gt;"")*(D_Points!$A$5:$A$204&gt;=$B897)*(D_Points!$A$5:$A$204&lt;$B897+P_Interval)*(UPPER(TRIM(D_Points!$B$5:$B$204))="PITCHING")*(D_Points!$H$5:$H$204&lt;&gt;"")),D_Points!$H$5:$H$204),"")</f>
        <v/>
      </c>
      <c r="P897" s="181" t="str">
        <f>IFERROR(LOOKUP(2,1/((B_Drainage!$A$5:$A$204&lt;&gt;"")*(B_Drainage!$A$5:$A$204&lt;=$B897)*(B_Drainage!$B$5:$B$204&gt;$B897)*(B_Drainage!$C$5:$C$204&lt;&gt;"")),IF(B_Drainage!$C$5:$C$204="-","",UPPER(B_Drainage!$C$5:$C$204))),"")</f>
        <v/>
      </c>
      <c r="Q897" s="181" t="str">
        <f>IFERROR(LOOKUP(2,1/((B_Drainage!$A$5:$A$204&lt;&gt;"")*(B_Drainage!$A$5:$A$204&lt;=$B897)*(B_Drainage!$B$5:$B$204&gt;$B897)*(B_Drainage!$D$5:$D$204&lt;&gt;"")),IF(B_Drainage!$D$5:$D$204="-","",UPPER(B_Drainage!$D$5:$D$204))),"")</f>
        <v/>
      </c>
      <c r="R897" s="182" t="str">
        <f>IFERROR(LOOKUP(2,1/((D_Points!$A$5:$A$204&lt;&gt;"")*(D_Points!$A$5:$A$204&gt;=$B897)*(D_Points!$A$5:$A$204&lt;$B897+P_Interval)*(RIGHT(UPPER(TRIM(D_Points!$B$5:$B$204)),8)="_CULVERT")),IF(LEFT(UPPER(TRIM(D_Points!$B$5:$B$204)),2)="EX",1,IF(LEFT(UPPER(TRIM(D_Points!$B$5:$B$204)),2)="PR",2,3))),"")</f>
        <v/>
      </c>
      <c r="S897" s="182" t="str">
        <f>IFERROR(LOOKUP(2,1/((D_Points!$A$5:$A$204&lt;&gt;"")*(D_Points!$A$5:$A$204&gt;=$B897)*(D_Points!$A$5:$A$204&lt;$B897+P_Interval)*(RIGHT(UPPER(TRIM(D_Points!$B$5:$B$204)),7)="_BRIDGE")),IF(LEFT(UPPER(TRIM(D_Points!$B$5:$B$204)),2)="EX",1,IF(LEFT(UPPER(TRIM(D_Points!$B$5:$B$204)),2)="PR",2,2))),"")</f>
        <v/>
      </c>
      <c r="T897" s="181" t="str">
        <f>IFERROR(LOOKUP(2,1/((B_Drainage!$A$5:$A$204&lt;&gt;"")*(B_Drainage!$A$5:$A$204&lt;=$B897)*(B_Drainage!$B$5:$B$204&gt;$B897)*(B_Drainage!$E$5:$E$204&lt;&gt;"")),IF(B_Drainage!$E$5:$E$204="-","",1)),"")</f>
        <v/>
      </c>
      <c r="U897" s="181" t="str">
        <f>IFERROR(LOOKUP(2,1/((B_Drainage!$A$5:$A$204&lt;&gt;"")*(B_Drainage!$A$5:$A$204&lt;=$B897)*(B_Drainage!$B$5:$B$204&gt;$B897)*(B_Drainage!$E$5:$E$204&lt;&gt;"")),IF(B_Drainage!$E$5:$E$204="-","",B_Drainage!$E$5:$E$204)),"")</f>
        <v/>
      </c>
      <c r="V897" s="181" t="str">
        <f>IFERROR(LOOKUP(2,1/((B_Drainage!$A$5:$A$204&lt;&gt;"")*(B_Drainage!$A$5:$A$204&lt;=$B897)*(B_Drainage!$B$5:$B$204&gt;$B897)*(B_Drainage!$F$5:$F$204&lt;&gt;"")),IF(B_Drainage!$F$5:$F$204="-","",1)),"")</f>
        <v/>
      </c>
      <c r="W897" s="181" t="str">
        <f>IFERROR(LOOKUP(2,1/((B_Drainage!$A$5:$A$204&lt;&gt;"")*(B_Drainage!$A$5:$A$204&lt;=$B897)*(B_Drainage!$B$5:$B$204&gt;$B897)*(B_Drainage!$F$5:$F$204&lt;&gt;"")),IF(B_Drainage!$F$5:$F$204="-","",B_Drainage!$F$5:$F$204)),"")</f>
        <v/>
      </c>
      <c r="X897" s="181" t="str">
        <f>IFERROR(LOOKUP(2,1/((B_Drainage!$A$5:$A$204&lt;&gt;"")*(B_Drainage!$A$5:$A$204&lt;=$B897)*(B_Drainage!$B$5:$B$204&gt;$B897)*(B_Drainage!$G$5:$G$204&lt;&gt;"")),IF(UPPER(B_Drainage!$G$5:$G$204)="Y",1,"")),"")</f>
        <v/>
      </c>
      <c r="Y897" s="181" t="str">
        <f>IFERROR(LOOKUP(2,1/((B_Drainage!$A$5:$A$204&lt;&gt;"")*(B_Drainage!$A$5:$A$204&lt;=$B897)*(B_Drainage!$B$5:$B$204&gt;$B897)*(B_Drainage!$H$5:$H$204&lt;&gt;"")),IF(UPPER(B_Drainage!$H$5:$H$204)="Y",1,"")),"")</f>
        <v/>
      </c>
      <c r="Z897" s="181" t="str">
        <f>IFERROR(LOOKUP(2,1/((B_Drainage!$A$5:$A$204&lt;&gt;"")*(B_Drainage!$A$5:$A$204&lt;=$B897)*(B_Drainage!$B$5:$B$204&gt;$B897)*(B_Drainage!$I$5:$I$204&lt;&gt;"")),IF(UPPER(B_Drainage!$I$5:$I$204)="Y",1,"")),"")</f>
        <v/>
      </c>
      <c r="AA897" s="181" t="str">
        <f>IFERROR(LOOKUP(2,1/((B_Drainage!$A$5:$A$204&lt;&gt;"")*(B_Drainage!$A$5:$A$204&lt;=$B897)*(B_Drainage!$B$5:$B$204&gt;$B897)*(B_Drainage!$J$5:$J$204&lt;&gt;"")),IF(UPPER(B_Drainage!$J$5:$J$204)="Y",1,"")),"")</f>
        <v/>
      </c>
      <c r="AB897" s="182" t="str">
        <f>IFERROR(LOOKUP(2,1/((B_Drainage!$A$5:$A$204&lt;&gt;"")*(B_Drainage!$A$5:$A$204&lt;=$B897)*(B_Drainage!$B$5:$B$204&gt;$B897)*(B_Drainage!$K$5:$K$204&lt;&gt;"")),IF(B_Drainage!$K$5:$K$204="-","",B_Drainage!$K$5:$K$204)),"")</f>
        <v/>
      </c>
      <c r="AC897" s="182" t="str">
        <f>IFERROR(LOOKUP(2,1/((B_Drainage!$A$5:$A$204&lt;&gt;"")*(B_Drainage!$A$5:$A$204&lt;=$B897)*(B_Drainage!$B$5:$B$204&gt;$B897)*(B_Drainage!$L$5:$L$204&lt;&gt;"")),IF(B_Drainage!$L$5:$L$204="-","",B_Drainage!$L$5:$L$204)),"")</f>
        <v/>
      </c>
      <c r="AD897" s="182" t="str">
        <f>IFERROR(LOOKUP(2,1/((D_Points!$A$5:$A$204&lt;&gt;"")*(D_Points!$A$5:$A$204&gt;=$B897)*(D_Points!$A$5:$A$204&lt;$B897+P_Interval)*(UPPER(TRIM(D_Points!$B$5:$B$204))="TURNOUT_L")*(D_Points!$H$5:$H$204&lt;&gt;"")),D_Points!$H$5:$H$204),"")</f>
        <v/>
      </c>
      <c r="AE897" s="182" t="str">
        <f>IFERROR(LOOKUP(2,1/((D_Points!$A$5:$A$204&lt;&gt;"")*(D_Points!$A$5:$A$204&gt;=$B897)*(D_Points!$A$5:$A$204&lt;$B897+P_Interval)*(UPPER(TRIM(D_Points!$B$5:$B$204))="TURNOUT_R")*(D_Points!$H$5:$H$204&lt;&gt;"")),D_Points!$H$5:$H$204),"")</f>
        <v/>
      </c>
      <c r="AF897" s="181" t="str">
        <f>IFERROR(LOOKUP(2,1/((B_Drainage!$A$5:$A$204&lt;&gt;"")*(B_Drainage!$A$5:$A$204&lt;=$B897)*(B_Drainage!$B$5:$B$204&gt;$B897)*(B_Drainage!$M$5:$M$204&lt;&gt;"")),IF(UPPER(B_Drainage!$M$5:$M$204)="Y",1,"")),"")</f>
        <v/>
      </c>
      <c r="AG897" s="181" t="str">
        <f>IFERROR(LOOKUP(2,1/((B_Drainage!$A$5:$A$204&lt;&gt;"")*(B_Drainage!$A$5:$A$204&lt;=$B897)*(B_Drainage!$B$5:$B$204&gt;$B897)*(B_Drainage!$N$5:$N$204&lt;&gt;"")),IF(UPPER(B_Drainage!$N$5:$N$204)="Y",1,"")),"")</f>
        <v/>
      </c>
      <c r="AH897" s="181" t="str">
        <f t="shared" si="104"/>
        <v/>
      </c>
      <c r="AI897" s="181" t="str">
        <f t="shared" si="105"/>
        <v/>
      </c>
      <c r="AJ897" s="181" t="str">
        <f t="shared" si="106"/>
        <v/>
      </c>
      <c r="AK897" s="181" t="str">
        <f t="shared" si="107"/>
        <v/>
      </c>
      <c r="AL897" s="181" t="str">
        <f t="shared" si="108"/>
        <v/>
      </c>
      <c r="AM897" s="181" t="str">
        <f t="shared" si="109"/>
        <v/>
      </c>
      <c r="AN897" s="181" t="str">
        <f t="shared" si="110"/>
        <v/>
      </c>
      <c r="AO897" s="192" t="str">
        <f t="shared" si="111"/>
        <v/>
      </c>
      <c r="AQ897" t="str">
        <f>IFERROR(LOOKUP(2,1/((C_Pavement!$A$5:$A$204&lt;&gt;"")*(C_Pavement!$A$5:$A$204&lt;=$B897)*(C_Pavement!$B$5:$B$204&gt;$B897)*(C_Pavement!$C$5:$C$204&lt;&gt;"")),ROW(C_Pavement!$C$5:$C$204)-4),"")</f>
        <v/>
      </c>
      <c r="AR897" t="str">
        <f>IF($AQ897="","",UPPER(TRIM(INDEX(C_Pavement!$C$5:$C$204,$AQ897))))</f>
        <v/>
      </c>
      <c r="AS897" t="str">
        <f>IF($AR897="","",IFERROR(MATCH($AR897,E_Rules!$A$5:$A$9,0),""))</f>
        <v/>
      </c>
      <c r="AT897" t="str">
        <f>IF($AQ897="","",IF(INDEX(C_Pavement!$D$5:$D$204,$AQ897)&lt;&gt;"",UPPER(TRIM(INDEX(C_Pavement!$D$5:$D$204,$AQ897))),IF($AS897="","",INDEX(E_Rules!$C$5:$C$9,$AS897))))</f>
        <v/>
      </c>
      <c r="AU897" t="str">
        <f>IF($AQ897="","",IF(INDEX(C_Pavement!$E$5:$E$204,$AQ897)&lt;&gt;"",IF(INDEX(C_Pavement!$E$5:$E$204,$AQ897)="-","",INDEX(C_Pavement!$E$5:$E$204,$AQ897)),IF($AS897="","",INDEX(E_Rules!$D$5:$D$9,$AS897))))</f>
        <v/>
      </c>
      <c r="AV897" t="str">
        <f>IF($AQ897="","",IF(INDEX(C_Pavement!$F$5:$F$204,$AQ897)&lt;&gt;"",IF(INDEX(C_Pavement!$F$5:$F$204,$AQ897)="-","",INDEX(C_Pavement!$F$5:$F$204,$AQ897)),IF($AS897="","",INDEX(E_Rules!$E$5:$E$9,$AS897))))</f>
        <v/>
      </c>
      <c r="AW897" t="str">
        <f>IF($AQ897="","",IF(INDEX(C_Pavement!$G$5:$G$204,$AQ897)&lt;&gt;"",IF(INDEX(C_Pavement!$G$5:$G$204,$AQ897)="-","",INDEX(C_Pavement!$G$5:$G$204,$AQ897)),IF($AS897="","",INDEX(E_Rules!$F$5:$F$9,$AS897))))</f>
        <v/>
      </c>
      <c r="AX897" t="str">
        <f>IF($AQ897="","",IF(INDEX(C_Pavement!$H$5:$H$204,$AQ897)&lt;&gt;"",IF(INDEX(C_Pavement!$H$5:$H$204,$AQ897)="-","",INDEX(C_Pavement!$H$5:$H$204,$AQ897)),IF($AS897="","",INDEX(E_Rules!$G$5:$G$9,$AS897))))</f>
        <v/>
      </c>
      <c r="AY897" t="str">
        <f>IF($AQ897="","",IF(INDEX(C_Pavement!$I$5:$I$204,$AQ897)&lt;&gt;"",IF(INDEX(C_Pavement!$I$5:$I$204,$AQ897)="-","",INDEX(C_Pavement!$I$5:$I$204,$AQ897)),IF($AS897="","",INDEX(E_Rules!$H$5:$H$9,$AS897))))</f>
        <v/>
      </c>
    </row>
    <row r="898" spans="1:51" ht="15.75" customHeight="1" x14ac:dyDescent="0.3">
      <c r="A898" s="189">
        <v>893</v>
      </c>
      <c r="B898" s="180">
        <v>44600</v>
      </c>
      <c r="C898" s="180" t="s">
        <v>1204</v>
      </c>
      <c r="D898" s="181" t="str">
        <f>IFERROR(LOOKUP(2,1/((A_Corridor!$A$5:$A$204&lt;&gt;"")*(A_Corridor!$A$5:$A$204&lt;=$B898)*(A_Corridor!$B$5:$B$204&gt;$B898)*(A_Corridor!$C$5:$C$204&lt;&gt;"")),IF(UPPER(A_Corridor!$C$5:$C$204)="Y",1,"")),"")</f>
        <v/>
      </c>
      <c r="E898" s="181" t="str">
        <f>IFERROR(LOOKUP(2,1/((A_Corridor!$A$5:$A$204&lt;&gt;"")*(A_Corridor!$A$5:$A$204&lt;=$B898)*(A_Corridor!$B$5:$B$204&gt;$B898)*(A_Corridor!$D$5:$D$204&lt;&gt;"")),IF(A_Corridor!$D$5:$D$204="-","",UPPER(A_Corridor!$D$5:$D$204))),"")</f>
        <v/>
      </c>
      <c r="F898" s="181" t="str">
        <f>IFERROR(LOOKUP(2,1/((A_Corridor!$A$5:$A$204&lt;&gt;"")*(A_Corridor!$A$5:$A$204&lt;=$B898)*(A_Corridor!$B$5:$B$204&gt;$B898)*(A_Corridor!$E$5:$E$204&lt;&gt;"")),IF(A_Corridor!$E$5:$E$204="-","",1)),"")</f>
        <v/>
      </c>
      <c r="G898" s="182" t="str">
        <f>IFERROR(LOOKUP(2,1/((A_Corridor!$A$5:$A$204&lt;&gt;"")*(A_Corridor!$A$5:$A$204&lt;=$B898)*(A_Corridor!$B$5:$B$204&gt;$B898)*(A_Corridor!$E$5:$E$204&lt;&gt;"")),IF(A_Corridor!$E$5:$E$204="-","",A_Corridor!$E$5:$E$204)),"")</f>
        <v/>
      </c>
      <c r="H898" s="182" t="str">
        <f>IFERROR(LOOKUP(2,1/((D_Points!$A$5:$A$204&lt;&gt;"")*(D_Points!$A$5:$A$204&gt;=$B898)*(D_Points!$A$5:$A$204&lt;$B898+P_Interval)*(UPPER(TRIM(D_Points!$B$5:$B$204))="GULLY")*(D_Points!$H$5:$H$204&lt;&gt;"")),D_Points!$H$5:$H$204),"")</f>
        <v/>
      </c>
      <c r="I898" s="181" t="str">
        <f>IFERROR(LOOKUP(2,1/((A_Corridor!$A$5:$A$204&lt;&gt;"")*(A_Corridor!$A$5:$A$204&lt;=$B898)*(A_Corridor!$B$5:$B$204&gt;$B898)*(A_Corridor!$F$5:$F$204&lt;&gt;"")),IF(A_Corridor!$F$5:$F$204="-","",1)),"")</f>
        <v/>
      </c>
      <c r="J898" s="182" t="str">
        <f>IFERROR(LOOKUP(2,1/((A_Corridor!$A$5:$A$204&lt;&gt;"")*(A_Corridor!$A$5:$A$204&lt;=$B898)*(A_Corridor!$B$5:$B$204&gt;$B898)*(A_Corridor!$F$5:$F$204&lt;&gt;"")),IF(A_Corridor!$F$5:$F$204="-","",A_Corridor!$F$5:$F$204)),"")</f>
        <v/>
      </c>
      <c r="K898" s="182" t="str">
        <f>IFERROR(LOOKUP(2,1/((A_Corridor!$A$5:$A$204&lt;&gt;"")*(A_Corridor!$A$5:$A$204&lt;=$B898)*(A_Corridor!$B$5:$B$204&gt;$B898)*(A_Corridor!$G$5:$G$204&lt;&gt;"")),IF(A_Corridor!$G$5:$G$204="-","",A_Corridor!$G$5:$G$204)),"")</f>
        <v/>
      </c>
      <c r="L898" s="181" t="str">
        <f>IFERROR(LOOKUP(2,1/((A_Corridor!$A$5:$A$204&lt;&gt;"")*(A_Corridor!$A$5:$A$204&lt;=$B898)*(A_Corridor!$B$5:$B$204&gt;$B898)*(A_Corridor!$H$5:$H$204&lt;&gt;"")),IF(A_Corridor!$H$5:$H$204="-","",1)),"")</f>
        <v/>
      </c>
      <c r="M898" s="182" t="str">
        <f>IFERROR(LOOKUP(2,1/((A_Corridor!$A$5:$A$204&lt;&gt;"")*(A_Corridor!$A$5:$A$204&lt;=$B898)*(A_Corridor!$B$5:$B$204&gt;$B898)*(A_Corridor!$H$5:$H$204&lt;&gt;"")),IF(A_Corridor!$H$5:$H$204="-","",A_Corridor!$H$5:$H$204)),"")</f>
        <v/>
      </c>
      <c r="N898" s="182" t="str">
        <f>IFERROR(LOOKUP(2,1/((A_Corridor!$A$5:$A$204&lt;&gt;"")*(A_Corridor!$A$5:$A$204&lt;=$B898)*(A_Corridor!$B$5:$B$204&gt;$B898)*(A_Corridor!$I$5:$I$204&lt;&gt;"")),IF(A_Corridor!$I$5:$I$204="-","",A_Corridor!$I$5:$I$204)),"")</f>
        <v/>
      </c>
      <c r="O898" s="182" t="str">
        <f>IFERROR(LOOKUP(2,1/((D_Points!$A$5:$A$204&lt;&gt;"")*(D_Points!$A$5:$A$204&gt;=$B898)*(D_Points!$A$5:$A$204&lt;$B898+P_Interval)*(UPPER(TRIM(D_Points!$B$5:$B$204))="PITCHING")*(D_Points!$H$5:$H$204&lt;&gt;"")),D_Points!$H$5:$H$204),"")</f>
        <v/>
      </c>
      <c r="P898" s="181" t="str">
        <f>IFERROR(LOOKUP(2,1/((B_Drainage!$A$5:$A$204&lt;&gt;"")*(B_Drainage!$A$5:$A$204&lt;=$B898)*(B_Drainage!$B$5:$B$204&gt;$B898)*(B_Drainage!$C$5:$C$204&lt;&gt;"")),IF(B_Drainage!$C$5:$C$204="-","",UPPER(B_Drainage!$C$5:$C$204))),"")</f>
        <v/>
      </c>
      <c r="Q898" s="181" t="str">
        <f>IFERROR(LOOKUP(2,1/((B_Drainage!$A$5:$A$204&lt;&gt;"")*(B_Drainage!$A$5:$A$204&lt;=$B898)*(B_Drainage!$B$5:$B$204&gt;$B898)*(B_Drainage!$D$5:$D$204&lt;&gt;"")),IF(B_Drainage!$D$5:$D$204="-","",UPPER(B_Drainage!$D$5:$D$204))),"")</f>
        <v/>
      </c>
      <c r="R898" s="182" t="str">
        <f>IFERROR(LOOKUP(2,1/((D_Points!$A$5:$A$204&lt;&gt;"")*(D_Points!$A$5:$A$204&gt;=$B898)*(D_Points!$A$5:$A$204&lt;$B898+P_Interval)*(RIGHT(UPPER(TRIM(D_Points!$B$5:$B$204)),8)="_CULVERT")),IF(LEFT(UPPER(TRIM(D_Points!$B$5:$B$204)),2)="EX",1,IF(LEFT(UPPER(TRIM(D_Points!$B$5:$B$204)),2)="PR",2,3))),"")</f>
        <v/>
      </c>
      <c r="S898" s="182" t="str">
        <f>IFERROR(LOOKUP(2,1/((D_Points!$A$5:$A$204&lt;&gt;"")*(D_Points!$A$5:$A$204&gt;=$B898)*(D_Points!$A$5:$A$204&lt;$B898+P_Interval)*(RIGHT(UPPER(TRIM(D_Points!$B$5:$B$204)),7)="_BRIDGE")),IF(LEFT(UPPER(TRIM(D_Points!$B$5:$B$204)),2)="EX",1,IF(LEFT(UPPER(TRIM(D_Points!$B$5:$B$204)),2)="PR",2,2))),"")</f>
        <v/>
      </c>
      <c r="T898" s="181" t="str">
        <f>IFERROR(LOOKUP(2,1/((B_Drainage!$A$5:$A$204&lt;&gt;"")*(B_Drainage!$A$5:$A$204&lt;=$B898)*(B_Drainage!$B$5:$B$204&gt;$B898)*(B_Drainage!$E$5:$E$204&lt;&gt;"")),IF(B_Drainage!$E$5:$E$204="-","",1)),"")</f>
        <v/>
      </c>
      <c r="U898" s="181" t="str">
        <f>IFERROR(LOOKUP(2,1/((B_Drainage!$A$5:$A$204&lt;&gt;"")*(B_Drainage!$A$5:$A$204&lt;=$B898)*(B_Drainage!$B$5:$B$204&gt;$B898)*(B_Drainage!$E$5:$E$204&lt;&gt;"")),IF(B_Drainage!$E$5:$E$204="-","",B_Drainage!$E$5:$E$204)),"")</f>
        <v/>
      </c>
      <c r="V898" s="181" t="str">
        <f>IFERROR(LOOKUP(2,1/((B_Drainage!$A$5:$A$204&lt;&gt;"")*(B_Drainage!$A$5:$A$204&lt;=$B898)*(B_Drainage!$B$5:$B$204&gt;$B898)*(B_Drainage!$F$5:$F$204&lt;&gt;"")),IF(B_Drainage!$F$5:$F$204="-","",1)),"")</f>
        <v/>
      </c>
      <c r="W898" s="181" t="str">
        <f>IFERROR(LOOKUP(2,1/((B_Drainage!$A$5:$A$204&lt;&gt;"")*(B_Drainage!$A$5:$A$204&lt;=$B898)*(B_Drainage!$B$5:$B$204&gt;$B898)*(B_Drainage!$F$5:$F$204&lt;&gt;"")),IF(B_Drainage!$F$5:$F$204="-","",B_Drainage!$F$5:$F$204)),"")</f>
        <v/>
      </c>
      <c r="X898" s="181" t="str">
        <f>IFERROR(LOOKUP(2,1/((B_Drainage!$A$5:$A$204&lt;&gt;"")*(B_Drainage!$A$5:$A$204&lt;=$B898)*(B_Drainage!$B$5:$B$204&gt;$B898)*(B_Drainage!$G$5:$G$204&lt;&gt;"")),IF(UPPER(B_Drainage!$G$5:$G$204)="Y",1,"")),"")</f>
        <v/>
      </c>
      <c r="Y898" s="181" t="str">
        <f>IFERROR(LOOKUP(2,1/((B_Drainage!$A$5:$A$204&lt;&gt;"")*(B_Drainage!$A$5:$A$204&lt;=$B898)*(B_Drainage!$B$5:$B$204&gt;$B898)*(B_Drainage!$H$5:$H$204&lt;&gt;"")),IF(UPPER(B_Drainage!$H$5:$H$204)="Y",1,"")),"")</f>
        <v/>
      </c>
      <c r="Z898" s="181" t="str">
        <f>IFERROR(LOOKUP(2,1/((B_Drainage!$A$5:$A$204&lt;&gt;"")*(B_Drainage!$A$5:$A$204&lt;=$B898)*(B_Drainage!$B$5:$B$204&gt;$B898)*(B_Drainage!$I$5:$I$204&lt;&gt;"")),IF(UPPER(B_Drainage!$I$5:$I$204)="Y",1,"")),"")</f>
        <v/>
      </c>
      <c r="AA898" s="181" t="str">
        <f>IFERROR(LOOKUP(2,1/((B_Drainage!$A$5:$A$204&lt;&gt;"")*(B_Drainage!$A$5:$A$204&lt;=$B898)*(B_Drainage!$B$5:$B$204&gt;$B898)*(B_Drainage!$J$5:$J$204&lt;&gt;"")),IF(UPPER(B_Drainage!$J$5:$J$204)="Y",1,"")),"")</f>
        <v/>
      </c>
      <c r="AB898" s="182" t="str">
        <f>IFERROR(LOOKUP(2,1/((B_Drainage!$A$5:$A$204&lt;&gt;"")*(B_Drainage!$A$5:$A$204&lt;=$B898)*(B_Drainage!$B$5:$B$204&gt;$B898)*(B_Drainage!$K$5:$K$204&lt;&gt;"")),IF(B_Drainage!$K$5:$K$204="-","",B_Drainage!$K$5:$K$204)),"")</f>
        <v/>
      </c>
      <c r="AC898" s="182" t="str">
        <f>IFERROR(LOOKUP(2,1/((B_Drainage!$A$5:$A$204&lt;&gt;"")*(B_Drainage!$A$5:$A$204&lt;=$B898)*(B_Drainage!$B$5:$B$204&gt;$B898)*(B_Drainage!$L$5:$L$204&lt;&gt;"")),IF(B_Drainage!$L$5:$L$204="-","",B_Drainage!$L$5:$L$204)),"")</f>
        <v/>
      </c>
      <c r="AD898" s="182" t="str">
        <f>IFERROR(LOOKUP(2,1/((D_Points!$A$5:$A$204&lt;&gt;"")*(D_Points!$A$5:$A$204&gt;=$B898)*(D_Points!$A$5:$A$204&lt;$B898+P_Interval)*(UPPER(TRIM(D_Points!$B$5:$B$204))="TURNOUT_L")*(D_Points!$H$5:$H$204&lt;&gt;"")),D_Points!$H$5:$H$204),"")</f>
        <v/>
      </c>
      <c r="AE898" s="182" t="str">
        <f>IFERROR(LOOKUP(2,1/((D_Points!$A$5:$A$204&lt;&gt;"")*(D_Points!$A$5:$A$204&gt;=$B898)*(D_Points!$A$5:$A$204&lt;$B898+P_Interval)*(UPPER(TRIM(D_Points!$B$5:$B$204))="TURNOUT_R")*(D_Points!$H$5:$H$204&lt;&gt;"")),D_Points!$H$5:$H$204),"")</f>
        <v/>
      </c>
      <c r="AF898" s="181" t="str">
        <f>IFERROR(LOOKUP(2,1/((B_Drainage!$A$5:$A$204&lt;&gt;"")*(B_Drainage!$A$5:$A$204&lt;=$B898)*(B_Drainage!$B$5:$B$204&gt;$B898)*(B_Drainage!$M$5:$M$204&lt;&gt;"")),IF(UPPER(B_Drainage!$M$5:$M$204)="Y",1,"")),"")</f>
        <v/>
      </c>
      <c r="AG898" s="181" t="str">
        <f>IFERROR(LOOKUP(2,1/((B_Drainage!$A$5:$A$204&lt;&gt;"")*(B_Drainage!$A$5:$A$204&lt;=$B898)*(B_Drainage!$B$5:$B$204&gt;$B898)*(B_Drainage!$N$5:$N$204&lt;&gt;"")),IF(UPPER(B_Drainage!$N$5:$N$204)="Y",1,"")),"")</f>
        <v/>
      </c>
      <c r="AH898" s="181" t="str">
        <f t="shared" si="104"/>
        <v/>
      </c>
      <c r="AI898" s="181" t="str">
        <f t="shared" si="105"/>
        <v/>
      </c>
      <c r="AJ898" s="181" t="str">
        <f t="shared" si="106"/>
        <v/>
      </c>
      <c r="AK898" s="181" t="str">
        <f t="shared" si="107"/>
        <v/>
      </c>
      <c r="AL898" s="181" t="str">
        <f t="shared" si="108"/>
        <v/>
      </c>
      <c r="AM898" s="181" t="str">
        <f t="shared" si="109"/>
        <v/>
      </c>
      <c r="AN898" s="181" t="str">
        <f t="shared" si="110"/>
        <v/>
      </c>
      <c r="AO898" s="192" t="str">
        <f t="shared" si="111"/>
        <v/>
      </c>
      <c r="AQ898" t="str">
        <f>IFERROR(LOOKUP(2,1/((C_Pavement!$A$5:$A$204&lt;&gt;"")*(C_Pavement!$A$5:$A$204&lt;=$B898)*(C_Pavement!$B$5:$B$204&gt;$B898)*(C_Pavement!$C$5:$C$204&lt;&gt;"")),ROW(C_Pavement!$C$5:$C$204)-4),"")</f>
        <v/>
      </c>
      <c r="AR898" t="str">
        <f>IF($AQ898="","",UPPER(TRIM(INDEX(C_Pavement!$C$5:$C$204,$AQ898))))</f>
        <v/>
      </c>
      <c r="AS898" t="str">
        <f>IF($AR898="","",IFERROR(MATCH($AR898,E_Rules!$A$5:$A$9,0),""))</f>
        <v/>
      </c>
      <c r="AT898" t="str">
        <f>IF($AQ898="","",IF(INDEX(C_Pavement!$D$5:$D$204,$AQ898)&lt;&gt;"",UPPER(TRIM(INDEX(C_Pavement!$D$5:$D$204,$AQ898))),IF($AS898="","",INDEX(E_Rules!$C$5:$C$9,$AS898))))</f>
        <v/>
      </c>
      <c r="AU898" t="str">
        <f>IF($AQ898="","",IF(INDEX(C_Pavement!$E$5:$E$204,$AQ898)&lt;&gt;"",IF(INDEX(C_Pavement!$E$5:$E$204,$AQ898)="-","",INDEX(C_Pavement!$E$5:$E$204,$AQ898)),IF($AS898="","",INDEX(E_Rules!$D$5:$D$9,$AS898))))</f>
        <v/>
      </c>
      <c r="AV898" t="str">
        <f>IF($AQ898="","",IF(INDEX(C_Pavement!$F$5:$F$204,$AQ898)&lt;&gt;"",IF(INDEX(C_Pavement!$F$5:$F$204,$AQ898)="-","",INDEX(C_Pavement!$F$5:$F$204,$AQ898)),IF($AS898="","",INDEX(E_Rules!$E$5:$E$9,$AS898))))</f>
        <v/>
      </c>
      <c r="AW898" t="str">
        <f>IF($AQ898="","",IF(INDEX(C_Pavement!$G$5:$G$204,$AQ898)&lt;&gt;"",IF(INDEX(C_Pavement!$G$5:$G$204,$AQ898)="-","",INDEX(C_Pavement!$G$5:$G$204,$AQ898)),IF($AS898="","",INDEX(E_Rules!$F$5:$F$9,$AS898))))</f>
        <v/>
      </c>
      <c r="AX898" t="str">
        <f>IF($AQ898="","",IF(INDEX(C_Pavement!$H$5:$H$204,$AQ898)&lt;&gt;"",IF(INDEX(C_Pavement!$H$5:$H$204,$AQ898)="-","",INDEX(C_Pavement!$H$5:$H$204,$AQ898)),IF($AS898="","",INDEX(E_Rules!$G$5:$G$9,$AS898))))</f>
        <v/>
      </c>
      <c r="AY898" t="str">
        <f>IF($AQ898="","",IF(INDEX(C_Pavement!$I$5:$I$204,$AQ898)&lt;&gt;"",IF(INDEX(C_Pavement!$I$5:$I$204,$AQ898)="-","",INDEX(C_Pavement!$I$5:$I$204,$AQ898)),IF($AS898="","",INDEX(E_Rules!$H$5:$H$9,$AS898))))</f>
        <v/>
      </c>
    </row>
    <row r="899" spans="1:51" ht="15.75" customHeight="1" x14ac:dyDescent="0.3">
      <c r="A899" s="189">
        <v>894</v>
      </c>
      <c r="B899" s="180">
        <v>44650</v>
      </c>
      <c r="C899" s="180" t="s">
        <v>1205</v>
      </c>
      <c r="D899" s="181" t="str">
        <f>IFERROR(LOOKUP(2,1/((A_Corridor!$A$5:$A$204&lt;&gt;"")*(A_Corridor!$A$5:$A$204&lt;=$B899)*(A_Corridor!$B$5:$B$204&gt;$B899)*(A_Corridor!$C$5:$C$204&lt;&gt;"")),IF(UPPER(A_Corridor!$C$5:$C$204)="Y",1,"")),"")</f>
        <v/>
      </c>
      <c r="E899" s="181" t="str">
        <f>IFERROR(LOOKUP(2,1/((A_Corridor!$A$5:$A$204&lt;&gt;"")*(A_Corridor!$A$5:$A$204&lt;=$B899)*(A_Corridor!$B$5:$B$204&gt;$B899)*(A_Corridor!$D$5:$D$204&lt;&gt;"")),IF(A_Corridor!$D$5:$D$204="-","",UPPER(A_Corridor!$D$5:$D$204))),"")</f>
        <v/>
      </c>
      <c r="F899" s="181" t="str">
        <f>IFERROR(LOOKUP(2,1/((A_Corridor!$A$5:$A$204&lt;&gt;"")*(A_Corridor!$A$5:$A$204&lt;=$B899)*(A_Corridor!$B$5:$B$204&gt;$B899)*(A_Corridor!$E$5:$E$204&lt;&gt;"")),IF(A_Corridor!$E$5:$E$204="-","",1)),"")</f>
        <v/>
      </c>
      <c r="G899" s="182" t="str">
        <f>IFERROR(LOOKUP(2,1/((A_Corridor!$A$5:$A$204&lt;&gt;"")*(A_Corridor!$A$5:$A$204&lt;=$B899)*(A_Corridor!$B$5:$B$204&gt;$B899)*(A_Corridor!$E$5:$E$204&lt;&gt;"")),IF(A_Corridor!$E$5:$E$204="-","",A_Corridor!$E$5:$E$204)),"")</f>
        <v/>
      </c>
      <c r="H899" s="182" t="str">
        <f>IFERROR(LOOKUP(2,1/((D_Points!$A$5:$A$204&lt;&gt;"")*(D_Points!$A$5:$A$204&gt;=$B899)*(D_Points!$A$5:$A$204&lt;$B899+P_Interval)*(UPPER(TRIM(D_Points!$B$5:$B$204))="GULLY")*(D_Points!$H$5:$H$204&lt;&gt;"")),D_Points!$H$5:$H$204),"")</f>
        <v/>
      </c>
      <c r="I899" s="181" t="str">
        <f>IFERROR(LOOKUP(2,1/((A_Corridor!$A$5:$A$204&lt;&gt;"")*(A_Corridor!$A$5:$A$204&lt;=$B899)*(A_Corridor!$B$5:$B$204&gt;$B899)*(A_Corridor!$F$5:$F$204&lt;&gt;"")),IF(A_Corridor!$F$5:$F$204="-","",1)),"")</f>
        <v/>
      </c>
      <c r="J899" s="182" t="str">
        <f>IFERROR(LOOKUP(2,1/((A_Corridor!$A$5:$A$204&lt;&gt;"")*(A_Corridor!$A$5:$A$204&lt;=$B899)*(A_Corridor!$B$5:$B$204&gt;$B899)*(A_Corridor!$F$5:$F$204&lt;&gt;"")),IF(A_Corridor!$F$5:$F$204="-","",A_Corridor!$F$5:$F$204)),"")</f>
        <v/>
      </c>
      <c r="K899" s="182" t="str">
        <f>IFERROR(LOOKUP(2,1/((A_Corridor!$A$5:$A$204&lt;&gt;"")*(A_Corridor!$A$5:$A$204&lt;=$B899)*(A_Corridor!$B$5:$B$204&gt;$B899)*(A_Corridor!$G$5:$G$204&lt;&gt;"")),IF(A_Corridor!$G$5:$G$204="-","",A_Corridor!$G$5:$G$204)),"")</f>
        <v/>
      </c>
      <c r="L899" s="181" t="str">
        <f>IFERROR(LOOKUP(2,1/((A_Corridor!$A$5:$A$204&lt;&gt;"")*(A_Corridor!$A$5:$A$204&lt;=$B899)*(A_Corridor!$B$5:$B$204&gt;$B899)*(A_Corridor!$H$5:$H$204&lt;&gt;"")),IF(A_Corridor!$H$5:$H$204="-","",1)),"")</f>
        <v/>
      </c>
      <c r="M899" s="182" t="str">
        <f>IFERROR(LOOKUP(2,1/((A_Corridor!$A$5:$A$204&lt;&gt;"")*(A_Corridor!$A$5:$A$204&lt;=$B899)*(A_Corridor!$B$5:$B$204&gt;$B899)*(A_Corridor!$H$5:$H$204&lt;&gt;"")),IF(A_Corridor!$H$5:$H$204="-","",A_Corridor!$H$5:$H$204)),"")</f>
        <v/>
      </c>
      <c r="N899" s="182" t="str">
        <f>IFERROR(LOOKUP(2,1/((A_Corridor!$A$5:$A$204&lt;&gt;"")*(A_Corridor!$A$5:$A$204&lt;=$B899)*(A_Corridor!$B$5:$B$204&gt;$B899)*(A_Corridor!$I$5:$I$204&lt;&gt;"")),IF(A_Corridor!$I$5:$I$204="-","",A_Corridor!$I$5:$I$204)),"")</f>
        <v/>
      </c>
      <c r="O899" s="182" t="str">
        <f>IFERROR(LOOKUP(2,1/((D_Points!$A$5:$A$204&lt;&gt;"")*(D_Points!$A$5:$A$204&gt;=$B899)*(D_Points!$A$5:$A$204&lt;$B899+P_Interval)*(UPPER(TRIM(D_Points!$B$5:$B$204))="PITCHING")*(D_Points!$H$5:$H$204&lt;&gt;"")),D_Points!$H$5:$H$204),"")</f>
        <v/>
      </c>
      <c r="P899" s="181" t="str">
        <f>IFERROR(LOOKUP(2,1/((B_Drainage!$A$5:$A$204&lt;&gt;"")*(B_Drainage!$A$5:$A$204&lt;=$B899)*(B_Drainage!$B$5:$B$204&gt;$B899)*(B_Drainage!$C$5:$C$204&lt;&gt;"")),IF(B_Drainage!$C$5:$C$204="-","",UPPER(B_Drainage!$C$5:$C$204))),"")</f>
        <v/>
      </c>
      <c r="Q899" s="181" t="str">
        <f>IFERROR(LOOKUP(2,1/((B_Drainage!$A$5:$A$204&lt;&gt;"")*(B_Drainage!$A$5:$A$204&lt;=$B899)*(B_Drainage!$B$5:$B$204&gt;$B899)*(B_Drainage!$D$5:$D$204&lt;&gt;"")),IF(B_Drainage!$D$5:$D$204="-","",UPPER(B_Drainage!$D$5:$D$204))),"")</f>
        <v/>
      </c>
      <c r="R899" s="182" t="str">
        <f>IFERROR(LOOKUP(2,1/((D_Points!$A$5:$A$204&lt;&gt;"")*(D_Points!$A$5:$A$204&gt;=$B899)*(D_Points!$A$5:$A$204&lt;$B899+P_Interval)*(RIGHT(UPPER(TRIM(D_Points!$B$5:$B$204)),8)="_CULVERT")),IF(LEFT(UPPER(TRIM(D_Points!$B$5:$B$204)),2)="EX",1,IF(LEFT(UPPER(TRIM(D_Points!$B$5:$B$204)),2)="PR",2,3))),"")</f>
        <v/>
      </c>
      <c r="S899" s="182" t="str">
        <f>IFERROR(LOOKUP(2,1/((D_Points!$A$5:$A$204&lt;&gt;"")*(D_Points!$A$5:$A$204&gt;=$B899)*(D_Points!$A$5:$A$204&lt;$B899+P_Interval)*(RIGHT(UPPER(TRIM(D_Points!$B$5:$B$204)),7)="_BRIDGE")),IF(LEFT(UPPER(TRIM(D_Points!$B$5:$B$204)),2)="EX",1,IF(LEFT(UPPER(TRIM(D_Points!$B$5:$B$204)),2)="PR",2,2))),"")</f>
        <v/>
      </c>
      <c r="T899" s="181" t="str">
        <f>IFERROR(LOOKUP(2,1/((B_Drainage!$A$5:$A$204&lt;&gt;"")*(B_Drainage!$A$5:$A$204&lt;=$B899)*(B_Drainage!$B$5:$B$204&gt;$B899)*(B_Drainage!$E$5:$E$204&lt;&gt;"")),IF(B_Drainage!$E$5:$E$204="-","",1)),"")</f>
        <v/>
      </c>
      <c r="U899" s="181" t="str">
        <f>IFERROR(LOOKUP(2,1/((B_Drainage!$A$5:$A$204&lt;&gt;"")*(B_Drainage!$A$5:$A$204&lt;=$B899)*(B_Drainage!$B$5:$B$204&gt;$B899)*(B_Drainage!$E$5:$E$204&lt;&gt;"")),IF(B_Drainage!$E$5:$E$204="-","",B_Drainage!$E$5:$E$204)),"")</f>
        <v/>
      </c>
      <c r="V899" s="181" t="str">
        <f>IFERROR(LOOKUP(2,1/((B_Drainage!$A$5:$A$204&lt;&gt;"")*(B_Drainage!$A$5:$A$204&lt;=$B899)*(B_Drainage!$B$5:$B$204&gt;$B899)*(B_Drainage!$F$5:$F$204&lt;&gt;"")),IF(B_Drainage!$F$5:$F$204="-","",1)),"")</f>
        <v/>
      </c>
      <c r="W899" s="181" t="str">
        <f>IFERROR(LOOKUP(2,1/((B_Drainage!$A$5:$A$204&lt;&gt;"")*(B_Drainage!$A$5:$A$204&lt;=$B899)*(B_Drainage!$B$5:$B$204&gt;$B899)*(B_Drainage!$F$5:$F$204&lt;&gt;"")),IF(B_Drainage!$F$5:$F$204="-","",B_Drainage!$F$5:$F$204)),"")</f>
        <v/>
      </c>
      <c r="X899" s="181" t="str">
        <f>IFERROR(LOOKUP(2,1/((B_Drainage!$A$5:$A$204&lt;&gt;"")*(B_Drainage!$A$5:$A$204&lt;=$B899)*(B_Drainage!$B$5:$B$204&gt;$B899)*(B_Drainage!$G$5:$G$204&lt;&gt;"")),IF(UPPER(B_Drainage!$G$5:$G$204)="Y",1,"")),"")</f>
        <v/>
      </c>
      <c r="Y899" s="181" t="str">
        <f>IFERROR(LOOKUP(2,1/((B_Drainage!$A$5:$A$204&lt;&gt;"")*(B_Drainage!$A$5:$A$204&lt;=$B899)*(B_Drainage!$B$5:$B$204&gt;$B899)*(B_Drainage!$H$5:$H$204&lt;&gt;"")),IF(UPPER(B_Drainage!$H$5:$H$204)="Y",1,"")),"")</f>
        <v/>
      </c>
      <c r="Z899" s="181" t="str">
        <f>IFERROR(LOOKUP(2,1/((B_Drainage!$A$5:$A$204&lt;&gt;"")*(B_Drainage!$A$5:$A$204&lt;=$B899)*(B_Drainage!$B$5:$B$204&gt;$B899)*(B_Drainage!$I$5:$I$204&lt;&gt;"")),IF(UPPER(B_Drainage!$I$5:$I$204)="Y",1,"")),"")</f>
        <v/>
      </c>
      <c r="AA899" s="181" t="str">
        <f>IFERROR(LOOKUP(2,1/((B_Drainage!$A$5:$A$204&lt;&gt;"")*(B_Drainage!$A$5:$A$204&lt;=$B899)*(B_Drainage!$B$5:$B$204&gt;$B899)*(B_Drainage!$J$5:$J$204&lt;&gt;"")),IF(UPPER(B_Drainage!$J$5:$J$204)="Y",1,"")),"")</f>
        <v/>
      </c>
      <c r="AB899" s="182" t="str">
        <f>IFERROR(LOOKUP(2,1/((B_Drainage!$A$5:$A$204&lt;&gt;"")*(B_Drainage!$A$5:$A$204&lt;=$B899)*(B_Drainage!$B$5:$B$204&gt;$B899)*(B_Drainage!$K$5:$K$204&lt;&gt;"")),IF(B_Drainage!$K$5:$K$204="-","",B_Drainage!$K$5:$K$204)),"")</f>
        <v/>
      </c>
      <c r="AC899" s="182" t="str">
        <f>IFERROR(LOOKUP(2,1/((B_Drainage!$A$5:$A$204&lt;&gt;"")*(B_Drainage!$A$5:$A$204&lt;=$B899)*(B_Drainage!$B$5:$B$204&gt;$B899)*(B_Drainage!$L$5:$L$204&lt;&gt;"")),IF(B_Drainage!$L$5:$L$204="-","",B_Drainage!$L$5:$L$204)),"")</f>
        <v/>
      </c>
      <c r="AD899" s="182" t="str">
        <f>IFERROR(LOOKUP(2,1/((D_Points!$A$5:$A$204&lt;&gt;"")*(D_Points!$A$5:$A$204&gt;=$B899)*(D_Points!$A$5:$A$204&lt;$B899+P_Interval)*(UPPER(TRIM(D_Points!$B$5:$B$204))="TURNOUT_L")*(D_Points!$H$5:$H$204&lt;&gt;"")),D_Points!$H$5:$H$204),"")</f>
        <v/>
      </c>
      <c r="AE899" s="182" t="str">
        <f>IFERROR(LOOKUP(2,1/((D_Points!$A$5:$A$204&lt;&gt;"")*(D_Points!$A$5:$A$204&gt;=$B899)*(D_Points!$A$5:$A$204&lt;$B899+P_Interval)*(UPPER(TRIM(D_Points!$B$5:$B$204))="TURNOUT_R")*(D_Points!$H$5:$H$204&lt;&gt;"")),D_Points!$H$5:$H$204),"")</f>
        <v/>
      </c>
      <c r="AF899" s="181" t="str">
        <f>IFERROR(LOOKUP(2,1/((B_Drainage!$A$5:$A$204&lt;&gt;"")*(B_Drainage!$A$5:$A$204&lt;=$B899)*(B_Drainage!$B$5:$B$204&gt;$B899)*(B_Drainage!$M$5:$M$204&lt;&gt;"")),IF(UPPER(B_Drainage!$M$5:$M$204)="Y",1,"")),"")</f>
        <v/>
      </c>
      <c r="AG899" s="181" t="str">
        <f>IFERROR(LOOKUP(2,1/((B_Drainage!$A$5:$A$204&lt;&gt;"")*(B_Drainage!$A$5:$A$204&lt;=$B899)*(B_Drainage!$B$5:$B$204&gt;$B899)*(B_Drainage!$N$5:$N$204&lt;&gt;"")),IF(UPPER(B_Drainage!$N$5:$N$204)="Y",1,"")),"")</f>
        <v/>
      </c>
      <c r="AH899" s="181" t="str">
        <f t="shared" si="104"/>
        <v/>
      </c>
      <c r="AI899" s="181" t="str">
        <f t="shared" si="105"/>
        <v/>
      </c>
      <c r="AJ899" s="181" t="str">
        <f t="shared" si="106"/>
        <v/>
      </c>
      <c r="AK899" s="181" t="str">
        <f t="shared" si="107"/>
        <v/>
      </c>
      <c r="AL899" s="181" t="str">
        <f t="shared" si="108"/>
        <v/>
      </c>
      <c r="AM899" s="181" t="str">
        <f t="shared" si="109"/>
        <v/>
      </c>
      <c r="AN899" s="181" t="str">
        <f t="shared" si="110"/>
        <v/>
      </c>
      <c r="AO899" s="192" t="str">
        <f t="shared" si="111"/>
        <v/>
      </c>
      <c r="AQ899" t="str">
        <f>IFERROR(LOOKUP(2,1/((C_Pavement!$A$5:$A$204&lt;&gt;"")*(C_Pavement!$A$5:$A$204&lt;=$B899)*(C_Pavement!$B$5:$B$204&gt;$B899)*(C_Pavement!$C$5:$C$204&lt;&gt;"")),ROW(C_Pavement!$C$5:$C$204)-4),"")</f>
        <v/>
      </c>
      <c r="AR899" t="str">
        <f>IF($AQ899="","",UPPER(TRIM(INDEX(C_Pavement!$C$5:$C$204,$AQ899))))</f>
        <v/>
      </c>
      <c r="AS899" t="str">
        <f>IF($AR899="","",IFERROR(MATCH($AR899,E_Rules!$A$5:$A$9,0),""))</f>
        <v/>
      </c>
      <c r="AT899" t="str">
        <f>IF($AQ899="","",IF(INDEX(C_Pavement!$D$5:$D$204,$AQ899)&lt;&gt;"",UPPER(TRIM(INDEX(C_Pavement!$D$5:$D$204,$AQ899))),IF($AS899="","",INDEX(E_Rules!$C$5:$C$9,$AS899))))</f>
        <v/>
      </c>
      <c r="AU899" t="str">
        <f>IF($AQ899="","",IF(INDEX(C_Pavement!$E$5:$E$204,$AQ899)&lt;&gt;"",IF(INDEX(C_Pavement!$E$5:$E$204,$AQ899)="-","",INDEX(C_Pavement!$E$5:$E$204,$AQ899)),IF($AS899="","",INDEX(E_Rules!$D$5:$D$9,$AS899))))</f>
        <v/>
      </c>
      <c r="AV899" t="str">
        <f>IF($AQ899="","",IF(INDEX(C_Pavement!$F$5:$F$204,$AQ899)&lt;&gt;"",IF(INDEX(C_Pavement!$F$5:$F$204,$AQ899)="-","",INDEX(C_Pavement!$F$5:$F$204,$AQ899)),IF($AS899="","",INDEX(E_Rules!$E$5:$E$9,$AS899))))</f>
        <v/>
      </c>
      <c r="AW899" t="str">
        <f>IF($AQ899="","",IF(INDEX(C_Pavement!$G$5:$G$204,$AQ899)&lt;&gt;"",IF(INDEX(C_Pavement!$G$5:$G$204,$AQ899)="-","",INDEX(C_Pavement!$G$5:$G$204,$AQ899)),IF($AS899="","",INDEX(E_Rules!$F$5:$F$9,$AS899))))</f>
        <v/>
      </c>
      <c r="AX899" t="str">
        <f>IF($AQ899="","",IF(INDEX(C_Pavement!$H$5:$H$204,$AQ899)&lt;&gt;"",IF(INDEX(C_Pavement!$H$5:$H$204,$AQ899)="-","",INDEX(C_Pavement!$H$5:$H$204,$AQ899)),IF($AS899="","",INDEX(E_Rules!$G$5:$G$9,$AS899))))</f>
        <v/>
      </c>
      <c r="AY899" t="str">
        <f>IF($AQ899="","",IF(INDEX(C_Pavement!$I$5:$I$204,$AQ899)&lt;&gt;"",IF(INDEX(C_Pavement!$I$5:$I$204,$AQ899)="-","",INDEX(C_Pavement!$I$5:$I$204,$AQ899)),IF($AS899="","",INDEX(E_Rules!$H$5:$H$9,$AS899))))</f>
        <v/>
      </c>
    </row>
    <row r="900" spans="1:51" ht="15.75" customHeight="1" x14ac:dyDescent="0.3">
      <c r="A900" s="189">
        <v>895</v>
      </c>
      <c r="B900" s="180">
        <v>44700</v>
      </c>
      <c r="C900" s="180" t="s">
        <v>1206</v>
      </c>
      <c r="D900" s="181" t="str">
        <f>IFERROR(LOOKUP(2,1/((A_Corridor!$A$5:$A$204&lt;&gt;"")*(A_Corridor!$A$5:$A$204&lt;=$B900)*(A_Corridor!$B$5:$B$204&gt;$B900)*(A_Corridor!$C$5:$C$204&lt;&gt;"")),IF(UPPER(A_Corridor!$C$5:$C$204)="Y",1,"")),"")</f>
        <v/>
      </c>
      <c r="E900" s="181" t="str">
        <f>IFERROR(LOOKUP(2,1/((A_Corridor!$A$5:$A$204&lt;&gt;"")*(A_Corridor!$A$5:$A$204&lt;=$B900)*(A_Corridor!$B$5:$B$204&gt;$B900)*(A_Corridor!$D$5:$D$204&lt;&gt;"")),IF(A_Corridor!$D$5:$D$204="-","",UPPER(A_Corridor!$D$5:$D$204))),"")</f>
        <v/>
      </c>
      <c r="F900" s="181" t="str">
        <f>IFERROR(LOOKUP(2,1/((A_Corridor!$A$5:$A$204&lt;&gt;"")*(A_Corridor!$A$5:$A$204&lt;=$B900)*(A_Corridor!$B$5:$B$204&gt;$B900)*(A_Corridor!$E$5:$E$204&lt;&gt;"")),IF(A_Corridor!$E$5:$E$204="-","",1)),"")</f>
        <v/>
      </c>
      <c r="G900" s="182" t="str">
        <f>IFERROR(LOOKUP(2,1/((A_Corridor!$A$5:$A$204&lt;&gt;"")*(A_Corridor!$A$5:$A$204&lt;=$B900)*(A_Corridor!$B$5:$B$204&gt;$B900)*(A_Corridor!$E$5:$E$204&lt;&gt;"")),IF(A_Corridor!$E$5:$E$204="-","",A_Corridor!$E$5:$E$204)),"")</f>
        <v/>
      </c>
      <c r="H900" s="182" t="str">
        <f>IFERROR(LOOKUP(2,1/((D_Points!$A$5:$A$204&lt;&gt;"")*(D_Points!$A$5:$A$204&gt;=$B900)*(D_Points!$A$5:$A$204&lt;$B900+P_Interval)*(UPPER(TRIM(D_Points!$B$5:$B$204))="GULLY")*(D_Points!$H$5:$H$204&lt;&gt;"")),D_Points!$H$5:$H$204),"")</f>
        <v/>
      </c>
      <c r="I900" s="181" t="str">
        <f>IFERROR(LOOKUP(2,1/((A_Corridor!$A$5:$A$204&lt;&gt;"")*(A_Corridor!$A$5:$A$204&lt;=$B900)*(A_Corridor!$B$5:$B$204&gt;$B900)*(A_Corridor!$F$5:$F$204&lt;&gt;"")),IF(A_Corridor!$F$5:$F$204="-","",1)),"")</f>
        <v/>
      </c>
      <c r="J900" s="182" t="str">
        <f>IFERROR(LOOKUP(2,1/((A_Corridor!$A$5:$A$204&lt;&gt;"")*(A_Corridor!$A$5:$A$204&lt;=$B900)*(A_Corridor!$B$5:$B$204&gt;$B900)*(A_Corridor!$F$5:$F$204&lt;&gt;"")),IF(A_Corridor!$F$5:$F$204="-","",A_Corridor!$F$5:$F$204)),"")</f>
        <v/>
      </c>
      <c r="K900" s="182" t="str">
        <f>IFERROR(LOOKUP(2,1/((A_Corridor!$A$5:$A$204&lt;&gt;"")*(A_Corridor!$A$5:$A$204&lt;=$B900)*(A_Corridor!$B$5:$B$204&gt;$B900)*(A_Corridor!$G$5:$G$204&lt;&gt;"")),IF(A_Corridor!$G$5:$G$204="-","",A_Corridor!$G$5:$G$204)),"")</f>
        <v/>
      </c>
      <c r="L900" s="181" t="str">
        <f>IFERROR(LOOKUP(2,1/((A_Corridor!$A$5:$A$204&lt;&gt;"")*(A_Corridor!$A$5:$A$204&lt;=$B900)*(A_Corridor!$B$5:$B$204&gt;$B900)*(A_Corridor!$H$5:$H$204&lt;&gt;"")),IF(A_Corridor!$H$5:$H$204="-","",1)),"")</f>
        <v/>
      </c>
      <c r="M900" s="182" t="str">
        <f>IFERROR(LOOKUP(2,1/((A_Corridor!$A$5:$A$204&lt;&gt;"")*(A_Corridor!$A$5:$A$204&lt;=$B900)*(A_Corridor!$B$5:$B$204&gt;$B900)*(A_Corridor!$H$5:$H$204&lt;&gt;"")),IF(A_Corridor!$H$5:$H$204="-","",A_Corridor!$H$5:$H$204)),"")</f>
        <v/>
      </c>
      <c r="N900" s="182" t="str">
        <f>IFERROR(LOOKUP(2,1/((A_Corridor!$A$5:$A$204&lt;&gt;"")*(A_Corridor!$A$5:$A$204&lt;=$B900)*(A_Corridor!$B$5:$B$204&gt;$B900)*(A_Corridor!$I$5:$I$204&lt;&gt;"")),IF(A_Corridor!$I$5:$I$204="-","",A_Corridor!$I$5:$I$204)),"")</f>
        <v/>
      </c>
      <c r="O900" s="182" t="str">
        <f>IFERROR(LOOKUP(2,1/((D_Points!$A$5:$A$204&lt;&gt;"")*(D_Points!$A$5:$A$204&gt;=$B900)*(D_Points!$A$5:$A$204&lt;$B900+P_Interval)*(UPPER(TRIM(D_Points!$B$5:$B$204))="PITCHING")*(D_Points!$H$5:$H$204&lt;&gt;"")),D_Points!$H$5:$H$204),"")</f>
        <v/>
      </c>
      <c r="P900" s="181" t="str">
        <f>IFERROR(LOOKUP(2,1/((B_Drainage!$A$5:$A$204&lt;&gt;"")*(B_Drainage!$A$5:$A$204&lt;=$B900)*(B_Drainage!$B$5:$B$204&gt;$B900)*(B_Drainage!$C$5:$C$204&lt;&gt;"")),IF(B_Drainage!$C$5:$C$204="-","",UPPER(B_Drainage!$C$5:$C$204))),"")</f>
        <v/>
      </c>
      <c r="Q900" s="181" t="str">
        <f>IFERROR(LOOKUP(2,1/((B_Drainage!$A$5:$A$204&lt;&gt;"")*(B_Drainage!$A$5:$A$204&lt;=$B900)*(B_Drainage!$B$5:$B$204&gt;$B900)*(B_Drainage!$D$5:$D$204&lt;&gt;"")),IF(B_Drainage!$D$5:$D$204="-","",UPPER(B_Drainage!$D$5:$D$204))),"")</f>
        <v/>
      </c>
      <c r="R900" s="182" t="str">
        <f>IFERROR(LOOKUP(2,1/((D_Points!$A$5:$A$204&lt;&gt;"")*(D_Points!$A$5:$A$204&gt;=$B900)*(D_Points!$A$5:$A$204&lt;$B900+P_Interval)*(RIGHT(UPPER(TRIM(D_Points!$B$5:$B$204)),8)="_CULVERT")),IF(LEFT(UPPER(TRIM(D_Points!$B$5:$B$204)),2)="EX",1,IF(LEFT(UPPER(TRIM(D_Points!$B$5:$B$204)),2)="PR",2,3))),"")</f>
        <v/>
      </c>
      <c r="S900" s="182" t="str">
        <f>IFERROR(LOOKUP(2,1/((D_Points!$A$5:$A$204&lt;&gt;"")*(D_Points!$A$5:$A$204&gt;=$B900)*(D_Points!$A$5:$A$204&lt;$B900+P_Interval)*(RIGHT(UPPER(TRIM(D_Points!$B$5:$B$204)),7)="_BRIDGE")),IF(LEFT(UPPER(TRIM(D_Points!$B$5:$B$204)),2)="EX",1,IF(LEFT(UPPER(TRIM(D_Points!$B$5:$B$204)),2)="PR",2,2))),"")</f>
        <v/>
      </c>
      <c r="T900" s="181" t="str">
        <f>IFERROR(LOOKUP(2,1/((B_Drainage!$A$5:$A$204&lt;&gt;"")*(B_Drainage!$A$5:$A$204&lt;=$B900)*(B_Drainage!$B$5:$B$204&gt;$B900)*(B_Drainage!$E$5:$E$204&lt;&gt;"")),IF(B_Drainage!$E$5:$E$204="-","",1)),"")</f>
        <v/>
      </c>
      <c r="U900" s="181" t="str">
        <f>IFERROR(LOOKUP(2,1/((B_Drainage!$A$5:$A$204&lt;&gt;"")*(B_Drainage!$A$5:$A$204&lt;=$B900)*(B_Drainage!$B$5:$B$204&gt;$B900)*(B_Drainage!$E$5:$E$204&lt;&gt;"")),IF(B_Drainage!$E$5:$E$204="-","",B_Drainage!$E$5:$E$204)),"")</f>
        <v/>
      </c>
      <c r="V900" s="181" t="str">
        <f>IFERROR(LOOKUP(2,1/((B_Drainage!$A$5:$A$204&lt;&gt;"")*(B_Drainage!$A$5:$A$204&lt;=$B900)*(B_Drainage!$B$5:$B$204&gt;$B900)*(B_Drainage!$F$5:$F$204&lt;&gt;"")),IF(B_Drainage!$F$5:$F$204="-","",1)),"")</f>
        <v/>
      </c>
      <c r="W900" s="181" t="str">
        <f>IFERROR(LOOKUP(2,1/((B_Drainage!$A$5:$A$204&lt;&gt;"")*(B_Drainage!$A$5:$A$204&lt;=$B900)*(B_Drainage!$B$5:$B$204&gt;$B900)*(B_Drainage!$F$5:$F$204&lt;&gt;"")),IF(B_Drainage!$F$5:$F$204="-","",B_Drainage!$F$5:$F$204)),"")</f>
        <v/>
      </c>
      <c r="X900" s="181" t="str">
        <f>IFERROR(LOOKUP(2,1/((B_Drainage!$A$5:$A$204&lt;&gt;"")*(B_Drainage!$A$5:$A$204&lt;=$B900)*(B_Drainage!$B$5:$B$204&gt;$B900)*(B_Drainage!$G$5:$G$204&lt;&gt;"")),IF(UPPER(B_Drainage!$G$5:$G$204)="Y",1,"")),"")</f>
        <v/>
      </c>
      <c r="Y900" s="181" t="str">
        <f>IFERROR(LOOKUP(2,1/((B_Drainage!$A$5:$A$204&lt;&gt;"")*(B_Drainage!$A$5:$A$204&lt;=$B900)*(B_Drainage!$B$5:$B$204&gt;$B900)*(B_Drainage!$H$5:$H$204&lt;&gt;"")),IF(UPPER(B_Drainage!$H$5:$H$204)="Y",1,"")),"")</f>
        <v/>
      </c>
      <c r="Z900" s="181" t="str">
        <f>IFERROR(LOOKUP(2,1/((B_Drainage!$A$5:$A$204&lt;&gt;"")*(B_Drainage!$A$5:$A$204&lt;=$B900)*(B_Drainage!$B$5:$B$204&gt;$B900)*(B_Drainage!$I$5:$I$204&lt;&gt;"")),IF(UPPER(B_Drainage!$I$5:$I$204)="Y",1,"")),"")</f>
        <v/>
      </c>
      <c r="AA900" s="181" t="str">
        <f>IFERROR(LOOKUP(2,1/((B_Drainage!$A$5:$A$204&lt;&gt;"")*(B_Drainage!$A$5:$A$204&lt;=$B900)*(B_Drainage!$B$5:$B$204&gt;$B900)*(B_Drainage!$J$5:$J$204&lt;&gt;"")),IF(UPPER(B_Drainage!$J$5:$J$204)="Y",1,"")),"")</f>
        <v/>
      </c>
      <c r="AB900" s="182" t="str">
        <f>IFERROR(LOOKUP(2,1/((B_Drainage!$A$5:$A$204&lt;&gt;"")*(B_Drainage!$A$5:$A$204&lt;=$B900)*(B_Drainage!$B$5:$B$204&gt;$B900)*(B_Drainage!$K$5:$K$204&lt;&gt;"")),IF(B_Drainage!$K$5:$K$204="-","",B_Drainage!$K$5:$K$204)),"")</f>
        <v/>
      </c>
      <c r="AC900" s="182" t="str">
        <f>IFERROR(LOOKUP(2,1/((B_Drainage!$A$5:$A$204&lt;&gt;"")*(B_Drainage!$A$5:$A$204&lt;=$B900)*(B_Drainage!$B$5:$B$204&gt;$B900)*(B_Drainage!$L$5:$L$204&lt;&gt;"")),IF(B_Drainage!$L$5:$L$204="-","",B_Drainage!$L$5:$L$204)),"")</f>
        <v/>
      </c>
      <c r="AD900" s="182" t="str">
        <f>IFERROR(LOOKUP(2,1/((D_Points!$A$5:$A$204&lt;&gt;"")*(D_Points!$A$5:$A$204&gt;=$B900)*(D_Points!$A$5:$A$204&lt;$B900+P_Interval)*(UPPER(TRIM(D_Points!$B$5:$B$204))="TURNOUT_L")*(D_Points!$H$5:$H$204&lt;&gt;"")),D_Points!$H$5:$H$204),"")</f>
        <v/>
      </c>
      <c r="AE900" s="182" t="str">
        <f>IFERROR(LOOKUP(2,1/((D_Points!$A$5:$A$204&lt;&gt;"")*(D_Points!$A$5:$A$204&gt;=$B900)*(D_Points!$A$5:$A$204&lt;$B900+P_Interval)*(UPPER(TRIM(D_Points!$B$5:$B$204))="TURNOUT_R")*(D_Points!$H$5:$H$204&lt;&gt;"")),D_Points!$H$5:$H$204),"")</f>
        <v/>
      </c>
      <c r="AF900" s="181" t="str">
        <f>IFERROR(LOOKUP(2,1/((B_Drainage!$A$5:$A$204&lt;&gt;"")*(B_Drainage!$A$5:$A$204&lt;=$B900)*(B_Drainage!$B$5:$B$204&gt;$B900)*(B_Drainage!$M$5:$M$204&lt;&gt;"")),IF(UPPER(B_Drainage!$M$5:$M$204)="Y",1,"")),"")</f>
        <v/>
      </c>
      <c r="AG900" s="181" t="str">
        <f>IFERROR(LOOKUP(2,1/((B_Drainage!$A$5:$A$204&lt;&gt;"")*(B_Drainage!$A$5:$A$204&lt;=$B900)*(B_Drainage!$B$5:$B$204&gt;$B900)*(B_Drainage!$N$5:$N$204&lt;&gt;"")),IF(UPPER(B_Drainage!$N$5:$N$204)="Y",1,"")),"")</f>
        <v/>
      </c>
      <c r="AH900" s="181" t="str">
        <f t="shared" si="104"/>
        <v/>
      </c>
      <c r="AI900" s="181" t="str">
        <f t="shared" si="105"/>
        <v/>
      </c>
      <c r="AJ900" s="181" t="str">
        <f t="shared" si="106"/>
        <v/>
      </c>
      <c r="AK900" s="181" t="str">
        <f t="shared" si="107"/>
        <v/>
      </c>
      <c r="AL900" s="181" t="str">
        <f t="shared" si="108"/>
        <v/>
      </c>
      <c r="AM900" s="181" t="str">
        <f t="shared" si="109"/>
        <v/>
      </c>
      <c r="AN900" s="181" t="str">
        <f t="shared" si="110"/>
        <v/>
      </c>
      <c r="AO900" s="192" t="str">
        <f t="shared" si="111"/>
        <v/>
      </c>
      <c r="AQ900" t="str">
        <f>IFERROR(LOOKUP(2,1/((C_Pavement!$A$5:$A$204&lt;&gt;"")*(C_Pavement!$A$5:$A$204&lt;=$B900)*(C_Pavement!$B$5:$B$204&gt;$B900)*(C_Pavement!$C$5:$C$204&lt;&gt;"")),ROW(C_Pavement!$C$5:$C$204)-4),"")</f>
        <v/>
      </c>
      <c r="AR900" t="str">
        <f>IF($AQ900="","",UPPER(TRIM(INDEX(C_Pavement!$C$5:$C$204,$AQ900))))</f>
        <v/>
      </c>
      <c r="AS900" t="str">
        <f>IF($AR900="","",IFERROR(MATCH($AR900,E_Rules!$A$5:$A$9,0),""))</f>
        <v/>
      </c>
      <c r="AT900" t="str">
        <f>IF($AQ900="","",IF(INDEX(C_Pavement!$D$5:$D$204,$AQ900)&lt;&gt;"",UPPER(TRIM(INDEX(C_Pavement!$D$5:$D$204,$AQ900))),IF($AS900="","",INDEX(E_Rules!$C$5:$C$9,$AS900))))</f>
        <v/>
      </c>
      <c r="AU900" t="str">
        <f>IF($AQ900="","",IF(INDEX(C_Pavement!$E$5:$E$204,$AQ900)&lt;&gt;"",IF(INDEX(C_Pavement!$E$5:$E$204,$AQ900)="-","",INDEX(C_Pavement!$E$5:$E$204,$AQ900)),IF($AS900="","",INDEX(E_Rules!$D$5:$D$9,$AS900))))</f>
        <v/>
      </c>
      <c r="AV900" t="str">
        <f>IF($AQ900="","",IF(INDEX(C_Pavement!$F$5:$F$204,$AQ900)&lt;&gt;"",IF(INDEX(C_Pavement!$F$5:$F$204,$AQ900)="-","",INDEX(C_Pavement!$F$5:$F$204,$AQ900)),IF($AS900="","",INDEX(E_Rules!$E$5:$E$9,$AS900))))</f>
        <v/>
      </c>
      <c r="AW900" t="str">
        <f>IF($AQ900="","",IF(INDEX(C_Pavement!$G$5:$G$204,$AQ900)&lt;&gt;"",IF(INDEX(C_Pavement!$G$5:$G$204,$AQ900)="-","",INDEX(C_Pavement!$G$5:$G$204,$AQ900)),IF($AS900="","",INDEX(E_Rules!$F$5:$F$9,$AS900))))</f>
        <v/>
      </c>
      <c r="AX900" t="str">
        <f>IF($AQ900="","",IF(INDEX(C_Pavement!$H$5:$H$204,$AQ900)&lt;&gt;"",IF(INDEX(C_Pavement!$H$5:$H$204,$AQ900)="-","",INDEX(C_Pavement!$H$5:$H$204,$AQ900)),IF($AS900="","",INDEX(E_Rules!$G$5:$G$9,$AS900))))</f>
        <v/>
      </c>
      <c r="AY900" t="str">
        <f>IF($AQ900="","",IF(INDEX(C_Pavement!$I$5:$I$204,$AQ900)&lt;&gt;"",IF(INDEX(C_Pavement!$I$5:$I$204,$AQ900)="-","",INDEX(C_Pavement!$I$5:$I$204,$AQ900)),IF($AS900="","",INDEX(E_Rules!$H$5:$H$9,$AS900))))</f>
        <v/>
      </c>
    </row>
    <row r="901" spans="1:51" ht="15.75" customHeight="1" x14ac:dyDescent="0.3">
      <c r="A901" s="189">
        <v>896</v>
      </c>
      <c r="B901" s="180">
        <v>44750</v>
      </c>
      <c r="C901" s="180" t="s">
        <v>1207</v>
      </c>
      <c r="D901" s="181" t="str">
        <f>IFERROR(LOOKUP(2,1/((A_Corridor!$A$5:$A$204&lt;&gt;"")*(A_Corridor!$A$5:$A$204&lt;=$B901)*(A_Corridor!$B$5:$B$204&gt;$B901)*(A_Corridor!$C$5:$C$204&lt;&gt;"")),IF(UPPER(A_Corridor!$C$5:$C$204)="Y",1,"")),"")</f>
        <v/>
      </c>
      <c r="E901" s="181" t="str">
        <f>IFERROR(LOOKUP(2,1/((A_Corridor!$A$5:$A$204&lt;&gt;"")*(A_Corridor!$A$5:$A$204&lt;=$B901)*(A_Corridor!$B$5:$B$204&gt;$B901)*(A_Corridor!$D$5:$D$204&lt;&gt;"")),IF(A_Corridor!$D$5:$D$204="-","",UPPER(A_Corridor!$D$5:$D$204))),"")</f>
        <v/>
      </c>
      <c r="F901" s="181" t="str">
        <f>IFERROR(LOOKUP(2,1/((A_Corridor!$A$5:$A$204&lt;&gt;"")*(A_Corridor!$A$5:$A$204&lt;=$B901)*(A_Corridor!$B$5:$B$204&gt;$B901)*(A_Corridor!$E$5:$E$204&lt;&gt;"")),IF(A_Corridor!$E$5:$E$204="-","",1)),"")</f>
        <v/>
      </c>
      <c r="G901" s="182" t="str">
        <f>IFERROR(LOOKUP(2,1/((A_Corridor!$A$5:$A$204&lt;&gt;"")*(A_Corridor!$A$5:$A$204&lt;=$B901)*(A_Corridor!$B$5:$B$204&gt;$B901)*(A_Corridor!$E$5:$E$204&lt;&gt;"")),IF(A_Corridor!$E$5:$E$204="-","",A_Corridor!$E$5:$E$204)),"")</f>
        <v/>
      </c>
      <c r="H901" s="182" t="str">
        <f>IFERROR(LOOKUP(2,1/((D_Points!$A$5:$A$204&lt;&gt;"")*(D_Points!$A$5:$A$204&gt;=$B901)*(D_Points!$A$5:$A$204&lt;$B901+P_Interval)*(UPPER(TRIM(D_Points!$B$5:$B$204))="GULLY")*(D_Points!$H$5:$H$204&lt;&gt;"")),D_Points!$H$5:$H$204),"")</f>
        <v/>
      </c>
      <c r="I901" s="181" t="str">
        <f>IFERROR(LOOKUP(2,1/((A_Corridor!$A$5:$A$204&lt;&gt;"")*(A_Corridor!$A$5:$A$204&lt;=$B901)*(A_Corridor!$B$5:$B$204&gt;$B901)*(A_Corridor!$F$5:$F$204&lt;&gt;"")),IF(A_Corridor!$F$5:$F$204="-","",1)),"")</f>
        <v/>
      </c>
      <c r="J901" s="182" t="str">
        <f>IFERROR(LOOKUP(2,1/((A_Corridor!$A$5:$A$204&lt;&gt;"")*(A_Corridor!$A$5:$A$204&lt;=$B901)*(A_Corridor!$B$5:$B$204&gt;$B901)*(A_Corridor!$F$5:$F$204&lt;&gt;"")),IF(A_Corridor!$F$5:$F$204="-","",A_Corridor!$F$5:$F$204)),"")</f>
        <v/>
      </c>
      <c r="K901" s="182" t="str">
        <f>IFERROR(LOOKUP(2,1/((A_Corridor!$A$5:$A$204&lt;&gt;"")*(A_Corridor!$A$5:$A$204&lt;=$B901)*(A_Corridor!$B$5:$B$204&gt;$B901)*(A_Corridor!$G$5:$G$204&lt;&gt;"")),IF(A_Corridor!$G$5:$G$204="-","",A_Corridor!$G$5:$G$204)),"")</f>
        <v/>
      </c>
      <c r="L901" s="181" t="str">
        <f>IFERROR(LOOKUP(2,1/((A_Corridor!$A$5:$A$204&lt;&gt;"")*(A_Corridor!$A$5:$A$204&lt;=$B901)*(A_Corridor!$B$5:$B$204&gt;$B901)*(A_Corridor!$H$5:$H$204&lt;&gt;"")),IF(A_Corridor!$H$5:$H$204="-","",1)),"")</f>
        <v/>
      </c>
      <c r="M901" s="182" t="str">
        <f>IFERROR(LOOKUP(2,1/((A_Corridor!$A$5:$A$204&lt;&gt;"")*(A_Corridor!$A$5:$A$204&lt;=$B901)*(A_Corridor!$B$5:$B$204&gt;$B901)*(A_Corridor!$H$5:$H$204&lt;&gt;"")),IF(A_Corridor!$H$5:$H$204="-","",A_Corridor!$H$5:$H$204)),"")</f>
        <v/>
      </c>
      <c r="N901" s="182" t="str">
        <f>IFERROR(LOOKUP(2,1/((A_Corridor!$A$5:$A$204&lt;&gt;"")*(A_Corridor!$A$5:$A$204&lt;=$B901)*(A_Corridor!$B$5:$B$204&gt;$B901)*(A_Corridor!$I$5:$I$204&lt;&gt;"")),IF(A_Corridor!$I$5:$I$204="-","",A_Corridor!$I$5:$I$204)),"")</f>
        <v/>
      </c>
      <c r="O901" s="182" t="str">
        <f>IFERROR(LOOKUP(2,1/((D_Points!$A$5:$A$204&lt;&gt;"")*(D_Points!$A$5:$A$204&gt;=$B901)*(D_Points!$A$5:$A$204&lt;$B901+P_Interval)*(UPPER(TRIM(D_Points!$B$5:$B$204))="PITCHING")*(D_Points!$H$5:$H$204&lt;&gt;"")),D_Points!$H$5:$H$204),"")</f>
        <v/>
      </c>
      <c r="P901" s="181" t="str">
        <f>IFERROR(LOOKUP(2,1/((B_Drainage!$A$5:$A$204&lt;&gt;"")*(B_Drainage!$A$5:$A$204&lt;=$B901)*(B_Drainage!$B$5:$B$204&gt;$B901)*(B_Drainage!$C$5:$C$204&lt;&gt;"")),IF(B_Drainage!$C$5:$C$204="-","",UPPER(B_Drainage!$C$5:$C$204))),"")</f>
        <v/>
      </c>
      <c r="Q901" s="181" t="str">
        <f>IFERROR(LOOKUP(2,1/((B_Drainage!$A$5:$A$204&lt;&gt;"")*(B_Drainage!$A$5:$A$204&lt;=$B901)*(B_Drainage!$B$5:$B$204&gt;$B901)*(B_Drainage!$D$5:$D$204&lt;&gt;"")),IF(B_Drainage!$D$5:$D$204="-","",UPPER(B_Drainage!$D$5:$D$204))),"")</f>
        <v/>
      </c>
      <c r="R901" s="182" t="str">
        <f>IFERROR(LOOKUP(2,1/((D_Points!$A$5:$A$204&lt;&gt;"")*(D_Points!$A$5:$A$204&gt;=$B901)*(D_Points!$A$5:$A$204&lt;$B901+P_Interval)*(RIGHT(UPPER(TRIM(D_Points!$B$5:$B$204)),8)="_CULVERT")),IF(LEFT(UPPER(TRIM(D_Points!$B$5:$B$204)),2)="EX",1,IF(LEFT(UPPER(TRIM(D_Points!$B$5:$B$204)),2)="PR",2,3))),"")</f>
        <v/>
      </c>
      <c r="S901" s="182" t="str">
        <f>IFERROR(LOOKUP(2,1/((D_Points!$A$5:$A$204&lt;&gt;"")*(D_Points!$A$5:$A$204&gt;=$B901)*(D_Points!$A$5:$A$204&lt;$B901+P_Interval)*(RIGHT(UPPER(TRIM(D_Points!$B$5:$B$204)),7)="_BRIDGE")),IF(LEFT(UPPER(TRIM(D_Points!$B$5:$B$204)),2)="EX",1,IF(LEFT(UPPER(TRIM(D_Points!$B$5:$B$204)),2)="PR",2,2))),"")</f>
        <v/>
      </c>
      <c r="T901" s="181" t="str">
        <f>IFERROR(LOOKUP(2,1/((B_Drainage!$A$5:$A$204&lt;&gt;"")*(B_Drainage!$A$5:$A$204&lt;=$B901)*(B_Drainage!$B$5:$B$204&gt;$B901)*(B_Drainage!$E$5:$E$204&lt;&gt;"")),IF(B_Drainage!$E$5:$E$204="-","",1)),"")</f>
        <v/>
      </c>
      <c r="U901" s="181" t="str">
        <f>IFERROR(LOOKUP(2,1/((B_Drainage!$A$5:$A$204&lt;&gt;"")*(B_Drainage!$A$5:$A$204&lt;=$B901)*(B_Drainage!$B$5:$B$204&gt;$B901)*(B_Drainage!$E$5:$E$204&lt;&gt;"")),IF(B_Drainage!$E$5:$E$204="-","",B_Drainage!$E$5:$E$204)),"")</f>
        <v/>
      </c>
      <c r="V901" s="181" t="str">
        <f>IFERROR(LOOKUP(2,1/((B_Drainage!$A$5:$A$204&lt;&gt;"")*(B_Drainage!$A$5:$A$204&lt;=$B901)*(B_Drainage!$B$5:$B$204&gt;$B901)*(B_Drainage!$F$5:$F$204&lt;&gt;"")),IF(B_Drainage!$F$5:$F$204="-","",1)),"")</f>
        <v/>
      </c>
      <c r="W901" s="181" t="str">
        <f>IFERROR(LOOKUP(2,1/((B_Drainage!$A$5:$A$204&lt;&gt;"")*(B_Drainage!$A$5:$A$204&lt;=$B901)*(B_Drainage!$B$5:$B$204&gt;$B901)*(B_Drainage!$F$5:$F$204&lt;&gt;"")),IF(B_Drainage!$F$5:$F$204="-","",B_Drainage!$F$5:$F$204)),"")</f>
        <v/>
      </c>
      <c r="X901" s="181" t="str">
        <f>IFERROR(LOOKUP(2,1/((B_Drainage!$A$5:$A$204&lt;&gt;"")*(B_Drainage!$A$5:$A$204&lt;=$B901)*(B_Drainage!$B$5:$B$204&gt;$B901)*(B_Drainage!$G$5:$G$204&lt;&gt;"")),IF(UPPER(B_Drainage!$G$5:$G$204)="Y",1,"")),"")</f>
        <v/>
      </c>
      <c r="Y901" s="181" t="str">
        <f>IFERROR(LOOKUP(2,1/((B_Drainage!$A$5:$A$204&lt;&gt;"")*(B_Drainage!$A$5:$A$204&lt;=$B901)*(B_Drainage!$B$5:$B$204&gt;$B901)*(B_Drainage!$H$5:$H$204&lt;&gt;"")),IF(UPPER(B_Drainage!$H$5:$H$204)="Y",1,"")),"")</f>
        <v/>
      </c>
      <c r="Z901" s="181" t="str">
        <f>IFERROR(LOOKUP(2,1/((B_Drainage!$A$5:$A$204&lt;&gt;"")*(B_Drainage!$A$5:$A$204&lt;=$B901)*(B_Drainage!$B$5:$B$204&gt;$B901)*(B_Drainage!$I$5:$I$204&lt;&gt;"")),IF(UPPER(B_Drainage!$I$5:$I$204)="Y",1,"")),"")</f>
        <v/>
      </c>
      <c r="AA901" s="181" t="str">
        <f>IFERROR(LOOKUP(2,1/((B_Drainage!$A$5:$A$204&lt;&gt;"")*(B_Drainage!$A$5:$A$204&lt;=$B901)*(B_Drainage!$B$5:$B$204&gt;$B901)*(B_Drainage!$J$5:$J$204&lt;&gt;"")),IF(UPPER(B_Drainage!$J$5:$J$204)="Y",1,"")),"")</f>
        <v/>
      </c>
      <c r="AB901" s="182" t="str">
        <f>IFERROR(LOOKUP(2,1/((B_Drainage!$A$5:$A$204&lt;&gt;"")*(B_Drainage!$A$5:$A$204&lt;=$B901)*(B_Drainage!$B$5:$B$204&gt;$B901)*(B_Drainage!$K$5:$K$204&lt;&gt;"")),IF(B_Drainage!$K$5:$K$204="-","",B_Drainage!$K$5:$K$204)),"")</f>
        <v/>
      </c>
      <c r="AC901" s="182" t="str">
        <f>IFERROR(LOOKUP(2,1/((B_Drainage!$A$5:$A$204&lt;&gt;"")*(B_Drainage!$A$5:$A$204&lt;=$B901)*(B_Drainage!$B$5:$B$204&gt;$B901)*(B_Drainage!$L$5:$L$204&lt;&gt;"")),IF(B_Drainage!$L$5:$L$204="-","",B_Drainage!$L$5:$L$204)),"")</f>
        <v/>
      </c>
      <c r="AD901" s="182" t="str">
        <f>IFERROR(LOOKUP(2,1/((D_Points!$A$5:$A$204&lt;&gt;"")*(D_Points!$A$5:$A$204&gt;=$B901)*(D_Points!$A$5:$A$204&lt;$B901+P_Interval)*(UPPER(TRIM(D_Points!$B$5:$B$204))="TURNOUT_L")*(D_Points!$H$5:$H$204&lt;&gt;"")),D_Points!$H$5:$H$204),"")</f>
        <v/>
      </c>
      <c r="AE901" s="182" t="str">
        <f>IFERROR(LOOKUP(2,1/((D_Points!$A$5:$A$204&lt;&gt;"")*(D_Points!$A$5:$A$204&gt;=$B901)*(D_Points!$A$5:$A$204&lt;$B901+P_Interval)*(UPPER(TRIM(D_Points!$B$5:$B$204))="TURNOUT_R")*(D_Points!$H$5:$H$204&lt;&gt;"")),D_Points!$H$5:$H$204),"")</f>
        <v/>
      </c>
      <c r="AF901" s="181" t="str">
        <f>IFERROR(LOOKUP(2,1/((B_Drainage!$A$5:$A$204&lt;&gt;"")*(B_Drainage!$A$5:$A$204&lt;=$B901)*(B_Drainage!$B$5:$B$204&gt;$B901)*(B_Drainage!$M$5:$M$204&lt;&gt;"")),IF(UPPER(B_Drainage!$M$5:$M$204)="Y",1,"")),"")</f>
        <v/>
      </c>
      <c r="AG901" s="181" t="str">
        <f>IFERROR(LOOKUP(2,1/((B_Drainage!$A$5:$A$204&lt;&gt;"")*(B_Drainage!$A$5:$A$204&lt;=$B901)*(B_Drainage!$B$5:$B$204&gt;$B901)*(B_Drainage!$N$5:$N$204&lt;&gt;"")),IF(UPPER(B_Drainage!$N$5:$N$204)="Y",1,"")),"")</f>
        <v/>
      </c>
      <c r="AH901" s="181" t="str">
        <f t="shared" si="104"/>
        <v/>
      </c>
      <c r="AI901" s="181" t="str">
        <f t="shared" si="105"/>
        <v/>
      </c>
      <c r="AJ901" s="181" t="str">
        <f t="shared" si="106"/>
        <v/>
      </c>
      <c r="AK901" s="181" t="str">
        <f t="shared" si="107"/>
        <v/>
      </c>
      <c r="AL901" s="181" t="str">
        <f t="shared" si="108"/>
        <v/>
      </c>
      <c r="AM901" s="181" t="str">
        <f t="shared" si="109"/>
        <v/>
      </c>
      <c r="AN901" s="181" t="str">
        <f t="shared" si="110"/>
        <v/>
      </c>
      <c r="AO901" s="192" t="str">
        <f t="shared" si="111"/>
        <v/>
      </c>
      <c r="AQ901" t="str">
        <f>IFERROR(LOOKUP(2,1/((C_Pavement!$A$5:$A$204&lt;&gt;"")*(C_Pavement!$A$5:$A$204&lt;=$B901)*(C_Pavement!$B$5:$B$204&gt;$B901)*(C_Pavement!$C$5:$C$204&lt;&gt;"")),ROW(C_Pavement!$C$5:$C$204)-4),"")</f>
        <v/>
      </c>
      <c r="AR901" t="str">
        <f>IF($AQ901="","",UPPER(TRIM(INDEX(C_Pavement!$C$5:$C$204,$AQ901))))</f>
        <v/>
      </c>
      <c r="AS901" t="str">
        <f>IF($AR901="","",IFERROR(MATCH($AR901,E_Rules!$A$5:$A$9,0),""))</f>
        <v/>
      </c>
      <c r="AT901" t="str">
        <f>IF($AQ901="","",IF(INDEX(C_Pavement!$D$5:$D$204,$AQ901)&lt;&gt;"",UPPER(TRIM(INDEX(C_Pavement!$D$5:$D$204,$AQ901))),IF($AS901="","",INDEX(E_Rules!$C$5:$C$9,$AS901))))</f>
        <v/>
      </c>
      <c r="AU901" t="str">
        <f>IF($AQ901="","",IF(INDEX(C_Pavement!$E$5:$E$204,$AQ901)&lt;&gt;"",IF(INDEX(C_Pavement!$E$5:$E$204,$AQ901)="-","",INDEX(C_Pavement!$E$5:$E$204,$AQ901)),IF($AS901="","",INDEX(E_Rules!$D$5:$D$9,$AS901))))</f>
        <v/>
      </c>
      <c r="AV901" t="str">
        <f>IF($AQ901="","",IF(INDEX(C_Pavement!$F$5:$F$204,$AQ901)&lt;&gt;"",IF(INDEX(C_Pavement!$F$5:$F$204,$AQ901)="-","",INDEX(C_Pavement!$F$5:$F$204,$AQ901)),IF($AS901="","",INDEX(E_Rules!$E$5:$E$9,$AS901))))</f>
        <v/>
      </c>
      <c r="AW901" t="str">
        <f>IF($AQ901="","",IF(INDEX(C_Pavement!$G$5:$G$204,$AQ901)&lt;&gt;"",IF(INDEX(C_Pavement!$G$5:$G$204,$AQ901)="-","",INDEX(C_Pavement!$G$5:$G$204,$AQ901)),IF($AS901="","",INDEX(E_Rules!$F$5:$F$9,$AS901))))</f>
        <v/>
      </c>
      <c r="AX901" t="str">
        <f>IF($AQ901="","",IF(INDEX(C_Pavement!$H$5:$H$204,$AQ901)&lt;&gt;"",IF(INDEX(C_Pavement!$H$5:$H$204,$AQ901)="-","",INDEX(C_Pavement!$H$5:$H$204,$AQ901)),IF($AS901="","",INDEX(E_Rules!$G$5:$G$9,$AS901))))</f>
        <v/>
      </c>
      <c r="AY901" t="str">
        <f>IF($AQ901="","",IF(INDEX(C_Pavement!$I$5:$I$204,$AQ901)&lt;&gt;"",IF(INDEX(C_Pavement!$I$5:$I$204,$AQ901)="-","",INDEX(C_Pavement!$I$5:$I$204,$AQ901)),IF($AS901="","",INDEX(E_Rules!$H$5:$H$9,$AS901))))</f>
        <v/>
      </c>
    </row>
    <row r="902" spans="1:51" ht="15.75" customHeight="1" x14ac:dyDescent="0.3">
      <c r="A902" s="189">
        <v>897</v>
      </c>
      <c r="B902" s="180">
        <v>44800</v>
      </c>
      <c r="C902" s="180" t="s">
        <v>1208</v>
      </c>
      <c r="D902" s="181" t="str">
        <f>IFERROR(LOOKUP(2,1/((A_Corridor!$A$5:$A$204&lt;&gt;"")*(A_Corridor!$A$5:$A$204&lt;=$B902)*(A_Corridor!$B$5:$B$204&gt;$B902)*(A_Corridor!$C$5:$C$204&lt;&gt;"")),IF(UPPER(A_Corridor!$C$5:$C$204)="Y",1,"")),"")</f>
        <v/>
      </c>
      <c r="E902" s="181" t="str">
        <f>IFERROR(LOOKUP(2,1/((A_Corridor!$A$5:$A$204&lt;&gt;"")*(A_Corridor!$A$5:$A$204&lt;=$B902)*(A_Corridor!$B$5:$B$204&gt;$B902)*(A_Corridor!$D$5:$D$204&lt;&gt;"")),IF(A_Corridor!$D$5:$D$204="-","",UPPER(A_Corridor!$D$5:$D$204))),"")</f>
        <v/>
      </c>
      <c r="F902" s="181" t="str">
        <f>IFERROR(LOOKUP(2,1/((A_Corridor!$A$5:$A$204&lt;&gt;"")*(A_Corridor!$A$5:$A$204&lt;=$B902)*(A_Corridor!$B$5:$B$204&gt;$B902)*(A_Corridor!$E$5:$E$204&lt;&gt;"")),IF(A_Corridor!$E$5:$E$204="-","",1)),"")</f>
        <v/>
      </c>
      <c r="G902" s="182" t="str">
        <f>IFERROR(LOOKUP(2,1/((A_Corridor!$A$5:$A$204&lt;&gt;"")*(A_Corridor!$A$5:$A$204&lt;=$B902)*(A_Corridor!$B$5:$B$204&gt;$B902)*(A_Corridor!$E$5:$E$204&lt;&gt;"")),IF(A_Corridor!$E$5:$E$204="-","",A_Corridor!$E$5:$E$204)),"")</f>
        <v/>
      </c>
      <c r="H902" s="182" t="str">
        <f>IFERROR(LOOKUP(2,1/((D_Points!$A$5:$A$204&lt;&gt;"")*(D_Points!$A$5:$A$204&gt;=$B902)*(D_Points!$A$5:$A$204&lt;$B902+P_Interval)*(UPPER(TRIM(D_Points!$B$5:$B$204))="GULLY")*(D_Points!$H$5:$H$204&lt;&gt;"")),D_Points!$H$5:$H$204),"")</f>
        <v/>
      </c>
      <c r="I902" s="181" t="str">
        <f>IFERROR(LOOKUP(2,1/((A_Corridor!$A$5:$A$204&lt;&gt;"")*(A_Corridor!$A$5:$A$204&lt;=$B902)*(A_Corridor!$B$5:$B$204&gt;$B902)*(A_Corridor!$F$5:$F$204&lt;&gt;"")),IF(A_Corridor!$F$5:$F$204="-","",1)),"")</f>
        <v/>
      </c>
      <c r="J902" s="182" t="str">
        <f>IFERROR(LOOKUP(2,1/((A_Corridor!$A$5:$A$204&lt;&gt;"")*(A_Corridor!$A$5:$A$204&lt;=$B902)*(A_Corridor!$B$5:$B$204&gt;$B902)*(A_Corridor!$F$5:$F$204&lt;&gt;"")),IF(A_Corridor!$F$5:$F$204="-","",A_Corridor!$F$5:$F$204)),"")</f>
        <v/>
      </c>
      <c r="K902" s="182" t="str">
        <f>IFERROR(LOOKUP(2,1/((A_Corridor!$A$5:$A$204&lt;&gt;"")*(A_Corridor!$A$5:$A$204&lt;=$B902)*(A_Corridor!$B$5:$B$204&gt;$B902)*(A_Corridor!$G$5:$G$204&lt;&gt;"")),IF(A_Corridor!$G$5:$G$204="-","",A_Corridor!$G$5:$G$204)),"")</f>
        <v/>
      </c>
      <c r="L902" s="181" t="str">
        <f>IFERROR(LOOKUP(2,1/((A_Corridor!$A$5:$A$204&lt;&gt;"")*(A_Corridor!$A$5:$A$204&lt;=$B902)*(A_Corridor!$B$5:$B$204&gt;$B902)*(A_Corridor!$H$5:$H$204&lt;&gt;"")),IF(A_Corridor!$H$5:$H$204="-","",1)),"")</f>
        <v/>
      </c>
      <c r="M902" s="182" t="str">
        <f>IFERROR(LOOKUP(2,1/((A_Corridor!$A$5:$A$204&lt;&gt;"")*(A_Corridor!$A$5:$A$204&lt;=$B902)*(A_Corridor!$B$5:$B$204&gt;$B902)*(A_Corridor!$H$5:$H$204&lt;&gt;"")),IF(A_Corridor!$H$5:$H$204="-","",A_Corridor!$H$5:$H$204)),"")</f>
        <v/>
      </c>
      <c r="N902" s="182" t="str">
        <f>IFERROR(LOOKUP(2,1/((A_Corridor!$A$5:$A$204&lt;&gt;"")*(A_Corridor!$A$5:$A$204&lt;=$B902)*(A_Corridor!$B$5:$B$204&gt;$B902)*(A_Corridor!$I$5:$I$204&lt;&gt;"")),IF(A_Corridor!$I$5:$I$204="-","",A_Corridor!$I$5:$I$204)),"")</f>
        <v/>
      </c>
      <c r="O902" s="182" t="str">
        <f>IFERROR(LOOKUP(2,1/((D_Points!$A$5:$A$204&lt;&gt;"")*(D_Points!$A$5:$A$204&gt;=$B902)*(D_Points!$A$5:$A$204&lt;$B902+P_Interval)*(UPPER(TRIM(D_Points!$B$5:$B$204))="PITCHING")*(D_Points!$H$5:$H$204&lt;&gt;"")),D_Points!$H$5:$H$204),"")</f>
        <v/>
      </c>
      <c r="P902" s="181" t="str">
        <f>IFERROR(LOOKUP(2,1/((B_Drainage!$A$5:$A$204&lt;&gt;"")*(B_Drainage!$A$5:$A$204&lt;=$B902)*(B_Drainage!$B$5:$B$204&gt;$B902)*(B_Drainage!$C$5:$C$204&lt;&gt;"")),IF(B_Drainage!$C$5:$C$204="-","",UPPER(B_Drainage!$C$5:$C$204))),"")</f>
        <v/>
      </c>
      <c r="Q902" s="181" t="str">
        <f>IFERROR(LOOKUP(2,1/((B_Drainage!$A$5:$A$204&lt;&gt;"")*(B_Drainage!$A$5:$A$204&lt;=$B902)*(B_Drainage!$B$5:$B$204&gt;$B902)*(B_Drainage!$D$5:$D$204&lt;&gt;"")),IF(B_Drainage!$D$5:$D$204="-","",UPPER(B_Drainage!$D$5:$D$204))),"")</f>
        <v/>
      </c>
      <c r="R902" s="182" t="str">
        <f>IFERROR(LOOKUP(2,1/((D_Points!$A$5:$A$204&lt;&gt;"")*(D_Points!$A$5:$A$204&gt;=$B902)*(D_Points!$A$5:$A$204&lt;$B902+P_Interval)*(RIGHT(UPPER(TRIM(D_Points!$B$5:$B$204)),8)="_CULVERT")),IF(LEFT(UPPER(TRIM(D_Points!$B$5:$B$204)),2)="EX",1,IF(LEFT(UPPER(TRIM(D_Points!$B$5:$B$204)),2)="PR",2,3))),"")</f>
        <v/>
      </c>
      <c r="S902" s="182" t="str">
        <f>IFERROR(LOOKUP(2,1/((D_Points!$A$5:$A$204&lt;&gt;"")*(D_Points!$A$5:$A$204&gt;=$B902)*(D_Points!$A$5:$A$204&lt;$B902+P_Interval)*(RIGHT(UPPER(TRIM(D_Points!$B$5:$B$204)),7)="_BRIDGE")),IF(LEFT(UPPER(TRIM(D_Points!$B$5:$B$204)),2)="EX",1,IF(LEFT(UPPER(TRIM(D_Points!$B$5:$B$204)),2)="PR",2,2))),"")</f>
        <v/>
      </c>
      <c r="T902" s="181" t="str">
        <f>IFERROR(LOOKUP(2,1/((B_Drainage!$A$5:$A$204&lt;&gt;"")*(B_Drainage!$A$5:$A$204&lt;=$B902)*(B_Drainage!$B$5:$B$204&gt;$B902)*(B_Drainage!$E$5:$E$204&lt;&gt;"")),IF(B_Drainage!$E$5:$E$204="-","",1)),"")</f>
        <v/>
      </c>
      <c r="U902" s="181" t="str">
        <f>IFERROR(LOOKUP(2,1/((B_Drainage!$A$5:$A$204&lt;&gt;"")*(B_Drainage!$A$5:$A$204&lt;=$B902)*(B_Drainage!$B$5:$B$204&gt;$B902)*(B_Drainage!$E$5:$E$204&lt;&gt;"")),IF(B_Drainage!$E$5:$E$204="-","",B_Drainage!$E$5:$E$204)),"")</f>
        <v/>
      </c>
      <c r="V902" s="181" t="str">
        <f>IFERROR(LOOKUP(2,1/((B_Drainage!$A$5:$A$204&lt;&gt;"")*(B_Drainage!$A$5:$A$204&lt;=$B902)*(B_Drainage!$B$5:$B$204&gt;$B902)*(B_Drainage!$F$5:$F$204&lt;&gt;"")),IF(B_Drainage!$F$5:$F$204="-","",1)),"")</f>
        <v/>
      </c>
      <c r="W902" s="181" t="str">
        <f>IFERROR(LOOKUP(2,1/((B_Drainage!$A$5:$A$204&lt;&gt;"")*(B_Drainage!$A$5:$A$204&lt;=$B902)*(B_Drainage!$B$5:$B$204&gt;$B902)*(B_Drainage!$F$5:$F$204&lt;&gt;"")),IF(B_Drainage!$F$5:$F$204="-","",B_Drainage!$F$5:$F$204)),"")</f>
        <v/>
      </c>
      <c r="X902" s="181" t="str">
        <f>IFERROR(LOOKUP(2,1/((B_Drainage!$A$5:$A$204&lt;&gt;"")*(B_Drainage!$A$5:$A$204&lt;=$B902)*(B_Drainage!$B$5:$B$204&gt;$B902)*(B_Drainage!$G$5:$G$204&lt;&gt;"")),IF(UPPER(B_Drainage!$G$5:$G$204)="Y",1,"")),"")</f>
        <v/>
      </c>
      <c r="Y902" s="181" t="str">
        <f>IFERROR(LOOKUP(2,1/((B_Drainage!$A$5:$A$204&lt;&gt;"")*(B_Drainage!$A$5:$A$204&lt;=$B902)*(B_Drainage!$B$5:$B$204&gt;$B902)*(B_Drainage!$H$5:$H$204&lt;&gt;"")),IF(UPPER(B_Drainage!$H$5:$H$204)="Y",1,"")),"")</f>
        <v/>
      </c>
      <c r="Z902" s="181" t="str">
        <f>IFERROR(LOOKUP(2,1/((B_Drainage!$A$5:$A$204&lt;&gt;"")*(B_Drainage!$A$5:$A$204&lt;=$B902)*(B_Drainage!$B$5:$B$204&gt;$B902)*(B_Drainage!$I$5:$I$204&lt;&gt;"")),IF(UPPER(B_Drainage!$I$5:$I$204)="Y",1,"")),"")</f>
        <v/>
      </c>
      <c r="AA902" s="181" t="str">
        <f>IFERROR(LOOKUP(2,1/((B_Drainage!$A$5:$A$204&lt;&gt;"")*(B_Drainage!$A$5:$A$204&lt;=$B902)*(B_Drainage!$B$5:$B$204&gt;$B902)*(B_Drainage!$J$5:$J$204&lt;&gt;"")),IF(UPPER(B_Drainage!$J$5:$J$204)="Y",1,"")),"")</f>
        <v/>
      </c>
      <c r="AB902" s="182" t="str">
        <f>IFERROR(LOOKUP(2,1/((B_Drainage!$A$5:$A$204&lt;&gt;"")*(B_Drainage!$A$5:$A$204&lt;=$B902)*(B_Drainage!$B$5:$B$204&gt;$B902)*(B_Drainage!$K$5:$K$204&lt;&gt;"")),IF(B_Drainage!$K$5:$K$204="-","",B_Drainage!$K$5:$K$204)),"")</f>
        <v/>
      </c>
      <c r="AC902" s="182" t="str">
        <f>IFERROR(LOOKUP(2,1/((B_Drainage!$A$5:$A$204&lt;&gt;"")*(B_Drainage!$A$5:$A$204&lt;=$B902)*(B_Drainage!$B$5:$B$204&gt;$B902)*(B_Drainage!$L$5:$L$204&lt;&gt;"")),IF(B_Drainage!$L$5:$L$204="-","",B_Drainage!$L$5:$L$204)),"")</f>
        <v/>
      </c>
      <c r="AD902" s="182" t="str">
        <f>IFERROR(LOOKUP(2,1/((D_Points!$A$5:$A$204&lt;&gt;"")*(D_Points!$A$5:$A$204&gt;=$B902)*(D_Points!$A$5:$A$204&lt;$B902+P_Interval)*(UPPER(TRIM(D_Points!$B$5:$B$204))="TURNOUT_L")*(D_Points!$H$5:$H$204&lt;&gt;"")),D_Points!$H$5:$H$204),"")</f>
        <v/>
      </c>
      <c r="AE902" s="182" t="str">
        <f>IFERROR(LOOKUP(2,1/((D_Points!$A$5:$A$204&lt;&gt;"")*(D_Points!$A$5:$A$204&gt;=$B902)*(D_Points!$A$5:$A$204&lt;$B902+P_Interval)*(UPPER(TRIM(D_Points!$B$5:$B$204))="TURNOUT_R")*(D_Points!$H$5:$H$204&lt;&gt;"")),D_Points!$H$5:$H$204),"")</f>
        <v/>
      </c>
      <c r="AF902" s="181" t="str">
        <f>IFERROR(LOOKUP(2,1/((B_Drainage!$A$5:$A$204&lt;&gt;"")*(B_Drainage!$A$5:$A$204&lt;=$B902)*(B_Drainage!$B$5:$B$204&gt;$B902)*(B_Drainage!$M$5:$M$204&lt;&gt;"")),IF(UPPER(B_Drainage!$M$5:$M$204)="Y",1,"")),"")</f>
        <v/>
      </c>
      <c r="AG902" s="181" t="str">
        <f>IFERROR(LOOKUP(2,1/((B_Drainage!$A$5:$A$204&lt;&gt;"")*(B_Drainage!$A$5:$A$204&lt;=$B902)*(B_Drainage!$B$5:$B$204&gt;$B902)*(B_Drainage!$N$5:$N$204&lt;&gt;"")),IF(UPPER(B_Drainage!$N$5:$N$204)="Y",1,"")),"")</f>
        <v/>
      </c>
      <c r="AH902" s="181" t="str">
        <f t="shared" ref="AH902:AH965" si="112">IF($AT902="BLADE",1,"")</f>
        <v/>
      </c>
      <c r="AI902" s="181" t="str">
        <f t="shared" ref="AI902:AI965" si="113">IF($AT902="RESHAPE",1,"")</f>
        <v/>
      </c>
      <c r="AJ902" s="181" t="str">
        <f t="shared" ref="AJ902:AJ965" si="114">IF($AT902="SCARIFY",1,"")</f>
        <v/>
      </c>
      <c r="AK902" s="181" t="str">
        <f t="shared" ref="AK902:AK965" si="115">$AU902</f>
        <v/>
      </c>
      <c r="AL902" s="181" t="str">
        <f t="shared" ref="AL902:AL965" si="116">$AV902</f>
        <v/>
      </c>
      <c r="AM902" s="181" t="str">
        <f t="shared" ref="AM902:AM965" si="117">IF(OR(UPPER($AW902)="Y",$AW902=1),1,"")</f>
        <v/>
      </c>
      <c r="AN902" s="181" t="str">
        <f t="shared" ref="AN902:AN965" si="118">IF(OR(UPPER($AX902)="Y",$AX902=1),1,"")</f>
        <v/>
      </c>
      <c r="AO902" s="192" t="str">
        <f t="shared" ref="AO902:AO965" si="119">IF(OR(UPPER($AY902)="Y",$AY902=1),1,"")</f>
        <v/>
      </c>
      <c r="AQ902" t="str">
        <f>IFERROR(LOOKUP(2,1/((C_Pavement!$A$5:$A$204&lt;&gt;"")*(C_Pavement!$A$5:$A$204&lt;=$B902)*(C_Pavement!$B$5:$B$204&gt;$B902)*(C_Pavement!$C$5:$C$204&lt;&gt;"")),ROW(C_Pavement!$C$5:$C$204)-4),"")</f>
        <v/>
      </c>
      <c r="AR902" t="str">
        <f>IF($AQ902="","",UPPER(TRIM(INDEX(C_Pavement!$C$5:$C$204,$AQ902))))</f>
        <v/>
      </c>
      <c r="AS902" t="str">
        <f>IF($AR902="","",IFERROR(MATCH($AR902,E_Rules!$A$5:$A$9,0),""))</f>
        <v/>
      </c>
      <c r="AT902" t="str">
        <f>IF($AQ902="","",IF(INDEX(C_Pavement!$D$5:$D$204,$AQ902)&lt;&gt;"",UPPER(TRIM(INDEX(C_Pavement!$D$5:$D$204,$AQ902))),IF($AS902="","",INDEX(E_Rules!$C$5:$C$9,$AS902))))</f>
        <v/>
      </c>
      <c r="AU902" t="str">
        <f>IF($AQ902="","",IF(INDEX(C_Pavement!$E$5:$E$204,$AQ902)&lt;&gt;"",IF(INDEX(C_Pavement!$E$5:$E$204,$AQ902)="-","",INDEX(C_Pavement!$E$5:$E$204,$AQ902)),IF($AS902="","",INDEX(E_Rules!$D$5:$D$9,$AS902))))</f>
        <v/>
      </c>
      <c r="AV902" t="str">
        <f>IF($AQ902="","",IF(INDEX(C_Pavement!$F$5:$F$204,$AQ902)&lt;&gt;"",IF(INDEX(C_Pavement!$F$5:$F$204,$AQ902)="-","",INDEX(C_Pavement!$F$5:$F$204,$AQ902)),IF($AS902="","",INDEX(E_Rules!$E$5:$E$9,$AS902))))</f>
        <v/>
      </c>
      <c r="AW902" t="str">
        <f>IF($AQ902="","",IF(INDEX(C_Pavement!$G$5:$G$204,$AQ902)&lt;&gt;"",IF(INDEX(C_Pavement!$G$5:$G$204,$AQ902)="-","",INDEX(C_Pavement!$G$5:$G$204,$AQ902)),IF($AS902="","",INDEX(E_Rules!$F$5:$F$9,$AS902))))</f>
        <v/>
      </c>
      <c r="AX902" t="str">
        <f>IF($AQ902="","",IF(INDEX(C_Pavement!$H$5:$H$204,$AQ902)&lt;&gt;"",IF(INDEX(C_Pavement!$H$5:$H$204,$AQ902)="-","",INDEX(C_Pavement!$H$5:$H$204,$AQ902)),IF($AS902="","",INDEX(E_Rules!$G$5:$G$9,$AS902))))</f>
        <v/>
      </c>
      <c r="AY902" t="str">
        <f>IF($AQ902="","",IF(INDEX(C_Pavement!$I$5:$I$204,$AQ902)&lt;&gt;"",IF(INDEX(C_Pavement!$I$5:$I$204,$AQ902)="-","",INDEX(C_Pavement!$I$5:$I$204,$AQ902)),IF($AS902="","",INDEX(E_Rules!$H$5:$H$9,$AS902))))</f>
        <v/>
      </c>
    </row>
    <row r="903" spans="1:51" ht="15.75" customHeight="1" x14ac:dyDescent="0.3">
      <c r="A903" s="189">
        <v>898</v>
      </c>
      <c r="B903" s="180">
        <v>44850</v>
      </c>
      <c r="C903" s="180" t="s">
        <v>1209</v>
      </c>
      <c r="D903" s="181" t="str">
        <f>IFERROR(LOOKUP(2,1/((A_Corridor!$A$5:$A$204&lt;&gt;"")*(A_Corridor!$A$5:$A$204&lt;=$B903)*(A_Corridor!$B$5:$B$204&gt;$B903)*(A_Corridor!$C$5:$C$204&lt;&gt;"")),IF(UPPER(A_Corridor!$C$5:$C$204)="Y",1,"")),"")</f>
        <v/>
      </c>
      <c r="E903" s="181" t="str">
        <f>IFERROR(LOOKUP(2,1/((A_Corridor!$A$5:$A$204&lt;&gt;"")*(A_Corridor!$A$5:$A$204&lt;=$B903)*(A_Corridor!$B$5:$B$204&gt;$B903)*(A_Corridor!$D$5:$D$204&lt;&gt;"")),IF(A_Corridor!$D$5:$D$204="-","",UPPER(A_Corridor!$D$5:$D$204))),"")</f>
        <v/>
      </c>
      <c r="F903" s="181" t="str">
        <f>IFERROR(LOOKUP(2,1/((A_Corridor!$A$5:$A$204&lt;&gt;"")*(A_Corridor!$A$5:$A$204&lt;=$B903)*(A_Corridor!$B$5:$B$204&gt;$B903)*(A_Corridor!$E$5:$E$204&lt;&gt;"")),IF(A_Corridor!$E$5:$E$204="-","",1)),"")</f>
        <v/>
      </c>
      <c r="G903" s="182" t="str">
        <f>IFERROR(LOOKUP(2,1/((A_Corridor!$A$5:$A$204&lt;&gt;"")*(A_Corridor!$A$5:$A$204&lt;=$B903)*(A_Corridor!$B$5:$B$204&gt;$B903)*(A_Corridor!$E$5:$E$204&lt;&gt;"")),IF(A_Corridor!$E$5:$E$204="-","",A_Corridor!$E$5:$E$204)),"")</f>
        <v/>
      </c>
      <c r="H903" s="182" t="str">
        <f>IFERROR(LOOKUP(2,1/((D_Points!$A$5:$A$204&lt;&gt;"")*(D_Points!$A$5:$A$204&gt;=$B903)*(D_Points!$A$5:$A$204&lt;$B903+P_Interval)*(UPPER(TRIM(D_Points!$B$5:$B$204))="GULLY")*(D_Points!$H$5:$H$204&lt;&gt;"")),D_Points!$H$5:$H$204),"")</f>
        <v/>
      </c>
      <c r="I903" s="181" t="str">
        <f>IFERROR(LOOKUP(2,1/((A_Corridor!$A$5:$A$204&lt;&gt;"")*(A_Corridor!$A$5:$A$204&lt;=$B903)*(A_Corridor!$B$5:$B$204&gt;$B903)*(A_Corridor!$F$5:$F$204&lt;&gt;"")),IF(A_Corridor!$F$5:$F$204="-","",1)),"")</f>
        <v/>
      </c>
      <c r="J903" s="182" t="str">
        <f>IFERROR(LOOKUP(2,1/((A_Corridor!$A$5:$A$204&lt;&gt;"")*(A_Corridor!$A$5:$A$204&lt;=$B903)*(A_Corridor!$B$5:$B$204&gt;$B903)*(A_Corridor!$F$5:$F$204&lt;&gt;"")),IF(A_Corridor!$F$5:$F$204="-","",A_Corridor!$F$5:$F$204)),"")</f>
        <v/>
      </c>
      <c r="K903" s="182" t="str">
        <f>IFERROR(LOOKUP(2,1/((A_Corridor!$A$5:$A$204&lt;&gt;"")*(A_Corridor!$A$5:$A$204&lt;=$B903)*(A_Corridor!$B$5:$B$204&gt;$B903)*(A_Corridor!$G$5:$G$204&lt;&gt;"")),IF(A_Corridor!$G$5:$G$204="-","",A_Corridor!$G$5:$G$204)),"")</f>
        <v/>
      </c>
      <c r="L903" s="181" t="str">
        <f>IFERROR(LOOKUP(2,1/((A_Corridor!$A$5:$A$204&lt;&gt;"")*(A_Corridor!$A$5:$A$204&lt;=$B903)*(A_Corridor!$B$5:$B$204&gt;$B903)*(A_Corridor!$H$5:$H$204&lt;&gt;"")),IF(A_Corridor!$H$5:$H$204="-","",1)),"")</f>
        <v/>
      </c>
      <c r="M903" s="182" t="str">
        <f>IFERROR(LOOKUP(2,1/((A_Corridor!$A$5:$A$204&lt;&gt;"")*(A_Corridor!$A$5:$A$204&lt;=$B903)*(A_Corridor!$B$5:$B$204&gt;$B903)*(A_Corridor!$H$5:$H$204&lt;&gt;"")),IF(A_Corridor!$H$5:$H$204="-","",A_Corridor!$H$5:$H$204)),"")</f>
        <v/>
      </c>
      <c r="N903" s="182" t="str">
        <f>IFERROR(LOOKUP(2,1/((A_Corridor!$A$5:$A$204&lt;&gt;"")*(A_Corridor!$A$5:$A$204&lt;=$B903)*(A_Corridor!$B$5:$B$204&gt;$B903)*(A_Corridor!$I$5:$I$204&lt;&gt;"")),IF(A_Corridor!$I$5:$I$204="-","",A_Corridor!$I$5:$I$204)),"")</f>
        <v/>
      </c>
      <c r="O903" s="182" t="str">
        <f>IFERROR(LOOKUP(2,1/((D_Points!$A$5:$A$204&lt;&gt;"")*(D_Points!$A$5:$A$204&gt;=$B903)*(D_Points!$A$5:$A$204&lt;$B903+P_Interval)*(UPPER(TRIM(D_Points!$B$5:$B$204))="PITCHING")*(D_Points!$H$5:$H$204&lt;&gt;"")),D_Points!$H$5:$H$204),"")</f>
        <v/>
      </c>
      <c r="P903" s="181" t="str">
        <f>IFERROR(LOOKUP(2,1/((B_Drainage!$A$5:$A$204&lt;&gt;"")*(B_Drainage!$A$5:$A$204&lt;=$B903)*(B_Drainage!$B$5:$B$204&gt;$B903)*(B_Drainage!$C$5:$C$204&lt;&gt;"")),IF(B_Drainage!$C$5:$C$204="-","",UPPER(B_Drainage!$C$5:$C$204))),"")</f>
        <v/>
      </c>
      <c r="Q903" s="181" t="str">
        <f>IFERROR(LOOKUP(2,1/((B_Drainage!$A$5:$A$204&lt;&gt;"")*(B_Drainage!$A$5:$A$204&lt;=$B903)*(B_Drainage!$B$5:$B$204&gt;$B903)*(B_Drainage!$D$5:$D$204&lt;&gt;"")),IF(B_Drainage!$D$5:$D$204="-","",UPPER(B_Drainage!$D$5:$D$204))),"")</f>
        <v/>
      </c>
      <c r="R903" s="182" t="str">
        <f>IFERROR(LOOKUP(2,1/((D_Points!$A$5:$A$204&lt;&gt;"")*(D_Points!$A$5:$A$204&gt;=$B903)*(D_Points!$A$5:$A$204&lt;$B903+P_Interval)*(RIGHT(UPPER(TRIM(D_Points!$B$5:$B$204)),8)="_CULVERT")),IF(LEFT(UPPER(TRIM(D_Points!$B$5:$B$204)),2)="EX",1,IF(LEFT(UPPER(TRIM(D_Points!$B$5:$B$204)),2)="PR",2,3))),"")</f>
        <v/>
      </c>
      <c r="S903" s="182" t="str">
        <f>IFERROR(LOOKUP(2,1/((D_Points!$A$5:$A$204&lt;&gt;"")*(D_Points!$A$5:$A$204&gt;=$B903)*(D_Points!$A$5:$A$204&lt;$B903+P_Interval)*(RIGHT(UPPER(TRIM(D_Points!$B$5:$B$204)),7)="_BRIDGE")),IF(LEFT(UPPER(TRIM(D_Points!$B$5:$B$204)),2)="EX",1,IF(LEFT(UPPER(TRIM(D_Points!$B$5:$B$204)),2)="PR",2,2))),"")</f>
        <v/>
      </c>
      <c r="T903" s="181" t="str">
        <f>IFERROR(LOOKUP(2,1/((B_Drainage!$A$5:$A$204&lt;&gt;"")*(B_Drainage!$A$5:$A$204&lt;=$B903)*(B_Drainage!$B$5:$B$204&gt;$B903)*(B_Drainage!$E$5:$E$204&lt;&gt;"")),IF(B_Drainage!$E$5:$E$204="-","",1)),"")</f>
        <v/>
      </c>
      <c r="U903" s="181" t="str">
        <f>IFERROR(LOOKUP(2,1/((B_Drainage!$A$5:$A$204&lt;&gt;"")*(B_Drainage!$A$5:$A$204&lt;=$B903)*(B_Drainage!$B$5:$B$204&gt;$B903)*(B_Drainage!$E$5:$E$204&lt;&gt;"")),IF(B_Drainage!$E$5:$E$204="-","",B_Drainage!$E$5:$E$204)),"")</f>
        <v/>
      </c>
      <c r="V903" s="181" t="str">
        <f>IFERROR(LOOKUP(2,1/((B_Drainage!$A$5:$A$204&lt;&gt;"")*(B_Drainage!$A$5:$A$204&lt;=$B903)*(B_Drainage!$B$5:$B$204&gt;$B903)*(B_Drainage!$F$5:$F$204&lt;&gt;"")),IF(B_Drainage!$F$5:$F$204="-","",1)),"")</f>
        <v/>
      </c>
      <c r="W903" s="181" t="str">
        <f>IFERROR(LOOKUP(2,1/((B_Drainage!$A$5:$A$204&lt;&gt;"")*(B_Drainage!$A$5:$A$204&lt;=$B903)*(B_Drainage!$B$5:$B$204&gt;$B903)*(B_Drainage!$F$5:$F$204&lt;&gt;"")),IF(B_Drainage!$F$5:$F$204="-","",B_Drainage!$F$5:$F$204)),"")</f>
        <v/>
      </c>
      <c r="X903" s="181" t="str">
        <f>IFERROR(LOOKUP(2,1/((B_Drainage!$A$5:$A$204&lt;&gt;"")*(B_Drainage!$A$5:$A$204&lt;=$B903)*(B_Drainage!$B$5:$B$204&gt;$B903)*(B_Drainage!$G$5:$G$204&lt;&gt;"")),IF(UPPER(B_Drainage!$G$5:$G$204)="Y",1,"")),"")</f>
        <v/>
      </c>
      <c r="Y903" s="181" t="str">
        <f>IFERROR(LOOKUP(2,1/((B_Drainage!$A$5:$A$204&lt;&gt;"")*(B_Drainage!$A$5:$A$204&lt;=$B903)*(B_Drainage!$B$5:$B$204&gt;$B903)*(B_Drainage!$H$5:$H$204&lt;&gt;"")),IF(UPPER(B_Drainage!$H$5:$H$204)="Y",1,"")),"")</f>
        <v/>
      </c>
      <c r="Z903" s="181" t="str">
        <f>IFERROR(LOOKUP(2,1/((B_Drainage!$A$5:$A$204&lt;&gt;"")*(B_Drainage!$A$5:$A$204&lt;=$B903)*(B_Drainage!$B$5:$B$204&gt;$B903)*(B_Drainage!$I$5:$I$204&lt;&gt;"")),IF(UPPER(B_Drainage!$I$5:$I$204)="Y",1,"")),"")</f>
        <v/>
      </c>
      <c r="AA903" s="181" t="str">
        <f>IFERROR(LOOKUP(2,1/((B_Drainage!$A$5:$A$204&lt;&gt;"")*(B_Drainage!$A$5:$A$204&lt;=$B903)*(B_Drainage!$B$5:$B$204&gt;$B903)*(B_Drainage!$J$5:$J$204&lt;&gt;"")),IF(UPPER(B_Drainage!$J$5:$J$204)="Y",1,"")),"")</f>
        <v/>
      </c>
      <c r="AB903" s="182" t="str">
        <f>IFERROR(LOOKUP(2,1/((B_Drainage!$A$5:$A$204&lt;&gt;"")*(B_Drainage!$A$5:$A$204&lt;=$B903)*(B_Drainage!$B$5:$B$204&gt;$B903)*(B_Drainage!$K$5:$K$204&lt;&gt;"")),IF(B_Drainage!$K$5:$K$204="-","",B_Drainage!$K$5:$K$204)),"")</f>
        <v/>
      </c>
      <c r="AC903" s="182" t="str">
        <f>IFERROR(LOOKUP(2,1/((B_Drainage!$A$5:$A$204&lt;&gt;"")*(B_Drainage!$A$5:$A$204&lt;=$B903)*(B_Drainage!$B$5:$B$204&gt;$B903)*(B_Drainage!$L$5:$L$204&lt;&gt;"")),IF(B_Drainage!$L$5:$L$204="-","",B_Drainage!$L$5:$L$204)),"")</f>
        <v/>
      </c>
      <c r="AD903" s="182" t="str">
        <f>IFERROR(LOOKUP(2,1/((D_Points!$A$5:$A$204&lt;&gt;"")*(D_Points!$A$5:$A$204&gt;=$B903)*(D_Points!$A$5:$A$204&lt;$B903+P_Interval)*(UPPER(TRIM(D_Points!$B$5:$B$204))="TURNOUT_L")*(D_Points!$H$5:$H$204&lt;&gt;"")),D_Points!$H$5:$H$204),"")</f>
        <v/>
      </c>
      <c r="AE903" s="182" t="str">
        <f>IFERROR(LOOKUP(2,1/((D_Points!$A$5:$A$204&lt;&gt;"")*(D_Points!$A$5:$A$204&gt;=$B903)*(D_Points!$A$5:$A$204&lt;$B903+P_Interval)*(UPPER(TRIM(D_Points!$B$5:$B$204))="TURNOUT_R")*(D_Points!$H$5:$H$204&lt;&gt;"")),D_Points!$H$5:$H$204),"")</f>
        <v/>
      </c>
      <c r="AF903" s="181" t="str">
        <f>IFERROR(LOOKUP(2,1/((B_Drainage!$A$5:$A$204&lt;&gt;"")*(B_Drainage!$A$5:$A$204&lt;=$B903)*(B_Drainage!$B$5:$B$204&gt;$B903)*(B_Drainage!$M$5:$M$204&lt;&gt;"")),IF(UPPER(B_Drainage!$M$5:$M$204)="Y",1,"")),"")</f>
        <v/>
      </c>
      <c r="AG903" s="181" t="str">
        <f>IFERROR(LOOKUP(2,1/((B_Drainage!$A$5:$A$204&lt;&gt;"")*(B_Drainage!$A$5:$A$204&lt;=$B903)*(B_Drainage!$B$5:$B$204&gt;$B903)*(B_Drainage!$N$5:$N$204&lt;&gt;"")),IF(UPPER(B_Drainage!$N$5:$N$204)="Y",1,"")),"")</f>
        <v/>
      </c>
      <c r="AH903" s="181" t="str">
        <f t="shared" si="112"/>
        <v/>
      </c>
      <c r="AI903" s="181" t="str">
        <f t="shared" si="113"/>
        <v/>
      </c>
      <c r="AJ903" s="181" t="str">
        <f t="shared" si="114"/>
        <v/>
      </c>
      <c r="AK903" s="181" t="str">
        <f t="shared" si="115"/>
        <v/>
      </c>
      <c r="AL903" s="181" t="str">
        <f t="shared" si="116"/>
        <v/>
      </c>
      <c r="AM903" s="181" t="str">
        <f t="shared" si="117"/>
        <v/>
      </c>
      <c r="AN903" s="181" t="str">
        <f t="shared" si="118"/>
        <v/>
      </c>
      <c r="AO903" s="192" t="str">
        <f t="shared" si="119"/>
        <v/>
      </c>
      <c r="AQ903" t="str">
        <f>IFERROR(LOOKUP(2,1/((C_Pavement!$A$5:$A$204&lt;&gt;"")*(C_Pavement!$A$5:$A$204&lt;=$B903)*(C_Pavement!$B$5:$B$204&gt;$B903)*(C_Pavement!$C$5:$C$204&lt;&gt;"")),ROW(C_Pavement!$C$5:$C$204)-4),"")</f>
        <v/>
      </c>
      <c r="AR903" t="str">
        <f>IF($AQ903="","",UPPER(TRIM(INDEX(C_Pavement!$C$5:$C$204,$AQ903))))</f>
        <v/>
      </c>
      <c r="AS903" t="str">
        <f>IF($AR903="","",IFERROR(MATCH($AR903,E_Rules!$A$5:$A$9,0),""))</f>
        <v/>
      </c>
      <c r="AT903" t="str">
        <f>IF($AQ903="","",IF(INDEX(C_Pavement!$D$5:$D$204,$AQ903)&lt;&gt;"",UPPER(TRIM(INDEX(C_Pavement!$D$5:$D$204,$AQ903))),IF($AS903="","",INDEX(E_Rules!$C$5:$C$9,$AS903))))</f>
        <v/>
      </c>
      <c r="AU903" t="str">
        <f>IF($AQ903="","",IF(INDEX(C_Pavement!$E$5:$E$204,$AQ903)&lt;&gt;"",IF(INDEX(C_Pavement!$E$5:$E$204,$AQ903)="-","",INDEX(C_Pavement!$E$5:$E$204,$AQ903)),IF($AS903="","",INDEX(E_Rules!$D$5:$D$9,$AS903))))</f>
        <v/>
      </c>
      <c r="AV903" t="str">
        <f>IF($AQ903="","",IF(INDEX(C_Pavement!$F$5:$F$204,$AQ903)&lt;&gt;"",IF(INDEX(C_Pavement!$F$5:$F$204,$AQ903)="-","",INDEX(C_Pavement!$F$5:$F$204,$AQ903)),IF($AS903="","",INDEX(E_Rules!$E$5:$E$9,$AS903))))</f>
        <v/>
      </c>
      <c r="AW903" t="str">
        <f>IF($AQ903="","",IF(INDEX(C_Pavement!$G$5:$G$204,$AQ903)&lt;&gt;"",IF(INDEX(C_Pavement!$G$5:$G$204,$AQ903)="-","",INDEX(C_Pavement!$G$5:$G$204,$AQ903)),IF($AS903="","",INDEX(E_Rules!$F$5:$F$9,$AS903))))</f>
        <v/>
      </c>
      <c r="AX903" t="str">
        <f>IF($AQ903="","",IF(INDEX(C_Pavement!$H$5:$H$204,$AQ903)&lt;&gt;"",IF(INDEX(C_Pavement!$H$5:$H$204,$AQ903)="-","",INDEX(C_Pavement!$H$5:$H$204,$AQ903)),IF($AS903="","",INDEX(E_Rules!$G$5:$G$9,$AS903))))</f>
        <v/>
      </c>
      <c r="AY903" t="str">
        <f>IF($AQ903="","",IF(INDEX(C_Pavement!$I$5:$I$204,$AQ903)&lt;&gt;"",IF(INDEX(C_Pavement!$I$5:$I$204,$AQ903)="-","",INDEX(C_Pavement!$I$5:$I$204,$AQ903)),IF($AS903="","",INDEX(E_Rules!$H$5:$H$9,$AS903))))</f>
        <v/>
      </c>
    </row>
    <row r="904" spans="1:51" ht="15.75" customHeight="1" x14ac:dyDescent="0.3">
      <c r="A904" s="189">
        <v>899</v>
      </c>
      <c r="B904" s="180">
        <v>44900</v>
      </c>
      <c r="C904" s="180" t="s">
        <v>1210</v>
      </c>
      <c r="D904" s="181" t="str">
        <f>IFERROR(LOOKUP(2,1/((A_Corridor!$A$5:$A$204&lt;&gt;"")*(A_Corridor!$A$5:$A$204&lt;=$B904)*(A_Corridor!$B$5:$B$204&gt;$B904)*(A_Corridor!$C$5:$C$204&lt;&gt;"")),IF(UPPER(A_Corridor!$C$5:$C$204)="Y",1,"")),"")</f>
        <v/>
      </c>
      <c r="E904" s="181" t="str">
        <f>IFERROR(LOOKUP(2,1/((A_Corridor!$A$5:$A$204&lt;&gt;"")*(A_Corridor!$A$5:$A$204&lt;=$B904)*(A_Corridor!$B$5:$B$204&gt;$B904)*(A_Corridor!$D$5:$D$204&lt;&gt;"")),IF(A_Corridor!$D$5:$D$204="-","",UPPER(A_Corridor!$D$5:$D$204))),"")</f>
        <v/>
      </c>
      <c r="F904" s="181" t="str">
        <f>IFERROR(LOOKUP(2,1/((A_Corridor!$A$5:$A$204&lt;&gt;"")*(A_Corridor!$A$5:$A$204&lt;=$B904)*(A_Corridor!$B$5:$B$204&gt;$B904)*(A_Corridor!$E$5:$E$204&lt;&gt;"")),IF(A_Corridor!$E$5:$E$204="-","",1)),"")</f>
        <v/>
      </c>
      <c r="G904" s="182" t="str">
        <f>IFERROR(LOOKUP(2,1/((A_Corridor!$A$5:$A$204&lt;&gt;"")*(A_Corridor!$A$5:$A$204&lt;=$B904)*(A_Corridor!$B$5:$B$204&gt;$B904)*(A_Corridor!$E$5:$E$204&lt;&gt;"")),IF(A_Corridor!$E$5:$E$204="-","",A_Corridor!$E$5:$E$204)),"")</f>
        <v/>
      </c>
      <c r="H904" s="182" t="str">
        <f>IFERROR(LOOKUP(2,1/((D_Points!$A$5:$A$204&lt;&gt;"")*(D_Points!$A$5:$A$204&gt;=$B904)*(D_Points!$A$5:$A$204&lt;$B904+P_Interval)*(UPPER(TRIM(D_Points!$B$5:$B$204))="GULLY")*(D_Points!$H$5:$H$204&lt;&gt;"")),D_Points!$H$5:$H$204),"")</f>
        <v/>
      </c>
      <c r="I904" s="181" t="str">
        <f>IFERROR(LOOKUP(2,1/((A_Corridor!$A$5:$A$204&lt;&gt;"")*(A_Corridor!$A$5:$A$204&lt;=$B904)*(A_Corridor!$B$5:$B$204&gt;$B904)*(A_Corridor!$F$5:$F$204&lt;&gt;"")),IF(A_Corridor!$F$5:$F$204="-","",1)),"")</f>
        <v/>
      </c>
      <c r="J904" s="182" t="str">
        <f>IFERROR(LOOKUP(2,1/((A_Corridor!$A$5:$A$204&lt;&gt;"")*(A_Corridor!$A$5:$A$204&lt;=$B904)*(A_Corridor!$B$5:$B$204&gt;$B904)*(A_Corridor!$F$5:$F$204&lt;&gt;"")),IF(A_Corridor!$F$5:$F$204="-","",A_Corridor!$F$5:$F$204)),"")</f>
        <v/>
      </c>
      <c r="K904" s="182" t="str">
        <f>IFERROR(LOOKUP(2,1/((A_Corridor!$A$5:$A$204&lt;&gt;"")*(A_Corridor!$A$5:$A$204&lt;=$B904)*(A_Corridor!$B$5:$B$204&gt;$B904)*(A_Corridor!$G$5:$G$204&lt;&gt;"")),IF(A_Corridor!$G$5:$G$204="-","",A_Corridor!$G$5:$G$204)),"")</f>
        <v/>
      </c>
      <c r="L904" s="181" t="str">
        <f>IFERROR(LOOKUP(2,1/((A_Corridor!$A$5:$A$204&lt;&gt;"")*(A_Corridor!$A$5:$A$204&lt;=$B904)*(A_Corridor!$B$5:$B$204&gt;$B904)*(A_Corridor!$H$5:$H$204&lt;&gt;"")),IF(A_Corridor!$H$5:$H$204="-","",1)),"")</f>
        <v/>
      </c>
      <c r="M904" s="182" t="str">
        <f>IFERROR(LOOKUP(2,1/((A_Corridor!$A$5:$A$204&lt;&gt;"")*(A_Corridor!$A$5:$A$204&lt;=$B904)*(A_Corridor!$B$5:$B$204&gt;$B904)*(A_Corridor!$H$5:$H$204&lt;&gt;"")),IF(A_Corridor!$H$5:$H$204="-","",A_Corridor!$H$5:$H$204)),"")</f>
        <v/>
      </c>
      <c r="N904" s="182" t="str">
        <f>IFERROR(LOOKUP(2,1/((A_Corridor!$A$5:$A$204&lt;&gt;"")*(A_Corridor!$A$5:$A$204&lt;=$B904)*(A_Corridor!$B$5:$B$204&gt;$B904)*(A_Corridor!$I$5:$I$204&lt;&gt;"")),IF(A_Corridor!$I$5:$I$204="-","",A_Corridor!$I$5:$I$204)),"")</f>
        <v/>
      </c>
      <c r="O904" s="182" t="str">
        <f>IFERROR(LOOKUP(2,1/((D_Points!$A$5:$A$204&lt;&gt;"")*(D_Points!$A$5:$A$204&gt;=$B904)*(D_Points!$A$5:$A$204&lt;$B904+P_Interval)*(UPPER(TRIM(D_Points!$B$5:$B$204))="PITCHING")*(D_Points!$H$5:$H$204&lt;&gt;"")),D_Points!$H$5:$H$204),"")</f>
        <v/>
      </c>
      <c r="P904" s="181" t="str">
        <f>IFERROR(LOOKUP(2,1/((B_Drainage!$A$5:$A$204&lt;&gt;"")*(B_Drainage!$A$5:$A$204&lt;=$B904)*(B_Drainage!$B$5:$B$204&gt;$B904)*(B_Drainage!$C$5:$C$204&lt;&gt;"")),IF(B_Drainage!$C$5:$C$204="-","",UPPER(B_Drainage!$C$5:$C$204))),"")</f>
        <v/>
      </c>
      <c r="Q904" s="181" t="str">
        <f>IFERROR(LOOKUP(2,1/((B_Drainage!$A$5:$A$204&lt;&gt;"")*(B_Drainage!$A$5:$A$204&lt;=$B904)*(B_Drainage!$B$5:$B$204&gt;$B904)*(B_Drainage!$D$5:$D$204&lt;&gt;"")),IF(B_Drainage!$D$5:$D$204="-","",UPPER(B_Drainage!$D$5:$D$204))),"")</f>
        <v/>
      </c>
      <c r="R904" s="182" t="str">
        <f>IFERROR(LOOKUP(2,1/((D_Points!$A$5:$A$204&lt;&gt;"")*(D_Points!$A$5:$A$204&gt;=$B904)*(D_Points!$A$5:$A$204&lt;$B904+P_Interval)*(RIGHT(UPPER(TRIM(D_Points!$B$5:$B$204)),8)="_CULVERT")),IF(LEFT(UPPER(TRIM(D_Points!$B$5:$B$204)),2)="EX",1,IF(LEFT(UPPER(TRIM(D_Points!$B$5:$B$204)),2)="PR",2,3))),"")</f>
        <v/>
      </c>
      <c r="S904" s="182" t="str">
        <f>IFERROR(LOOKUP(2,1/((D_Points!$A$5:$A$204&lt;&gt;"")*(D_Points!$A$5:$A$204&gt;=$B904)*(D_Points!$A$5:$A$204&lt;$B904+P_Interval)*(RIGHT(UPPER(TRIM(D_Points!$B$5:$B$204)),7)="_BRIDGE")),IF(LEFT(UPPER(TRIM(D_Points!$B$5:$B$204)),2)="EX",1,IF(LEFT(UPPER(TRIM(D_Points!$B$5:$B$204)),2)="PR",2,2))),"")</f>
        <v/>
      </c>
      <c r="T904" s="181" t="str">
        <f>IFERROR(LOOKUP(2,1/((B_Drainage!$A$5:$A$204&lt;&gt;"")*(B_Drainage!$A$5:$A$204&lt;=$B904)*(B_Drainage!$B$5:$B$204&gt;$B904)*(B_Drainage!$E$5:$E$204&lt;&gt;"")),IF(B_Drainage!$E$5:$E$204="-","",1)),"")</f>
        <v/>
      </c>
      <c r="U904" s="181" t="str">
        <f>IFERROR(LOOKUP(2,1/((B_Drainage!$A$5:$A$204&lt;&gt;"")*(B_Drainage!$A$5:$A$204&lt;=$B904)*(B_Drainage!$B$5:$B$204&gt;$B904)*(B_Drainage!$E$5:$E$204&lt;&gt;"")),IF(B_Drainage!$E$5:$E$204="-","",B_Drainage!$E$5:$E$204)),"")</f>
        <v/>
      </c>
      <c r="V904" s="181" t="str">
        <f>IFERROR(LOOKUP(2,1/((B_Drainage!$A$5:$A$204&lt;&gt;"")*(B_Drainage!$A$5:$A$204&lt;=$B904)*(B_Drainage!$B$5:$B$204&gt;$B904)*(B_Drainage!$F$5:$F$204&lt;&gt;"")),IF(B_Drainage!$F$5:$F$204="-","",1)),"")</f>
        <v/>
      </c>
      <c r="W904" s="181" t="str">
        <f>IFERROR(LOOKUP(2,1/((B_Drainage!$A$5:$A$204&lt;&gt;"")*(B_Drainage!$A$5:$A$204&lt;=$B904)*(B_Drainage!$B$5:$B$204&gt;$B904)*(B_Drainage!$F$5:$F$204&lt;&gt;"")),IF(B_Drainage!$F$5:$F$204="-","",B_Drainage!$F$5:$F$204)),"")</f>
        <v/>
      </c>
      <c r="X904" s="181" t="str">
        <f>IFERROR(LOOKUP(2,1/((B_Drainage!$A$5:$A$204&lt;&gt;"")*(B_Drainage!$A$5:$A$204&lt;=$B904)*(B_Drainage!$B$5:$B$204&gt;$B904)*(B_Drainage!$G$5:$G$204&lt;&gt;"")),IF(UPPER(B_Drainage!$G$5:$G$204)="Y",1,"")),"")</f>
        <v/>
      </c>
      <c r="Y904" s="181" t="str">
        <f>IFERROR(LOOKUP(2,1/((B_Drainage!$A$5:$A$204&lt;&gt;"")*(B_Drainage!$A$5:$A$204&lt;=$B904)*(B_Drainage!$B$5:$B$204&gt;$B904)*(B_Drainage!$H$5:$H$204&lt;&gt;"")),IF(UPPER(B_Drainage!$H$5:$H$204)="Y",1,"")),"")</f>
        <v/>
      </c>
      <c r="Z904" s="181" t="str">
        <f>IFERROR(LOOKUP(2,1/((B_Drainage!$A$5:$A$204&lt;&gt;"")*(B_Drainage!$A$5:$A$204&lt;=$B904)*(B_Drainage!$B$5:$B$204&gt;$B904)*(B_Drainage!$I$5:$I$204&lt;&gt;"")),IF(UPPER(B_Drainage!$I$5:$I$204)="Y",1,"")),"")</f>
        <v/>
      </c>
      <c r="AA904" s="181" t="str">
        <f>IFERROR(LOOKUP(2,1/((B_Drainage!$A$5:$A$204&lt;&gt;"")*(B_Drainage!$A$5:$A$204&lt;=$B904)*(B_Drainage!$B$5:$B$204&gt;$B904)*(B_Drainage!$J$5:$J$204&lt;&gt;"")),IF(UPPER(B_Drainage!$J$5:$J$204)="Y",1,"")),"")</f>
        <v/>
      </c>
      <c r="AB904" s="182" t="str">
        <f>IFERROR(LOOKUP(2,1/((B_Drainage!$A$5:$A$204&lt;&gt;"")*(B_Drainage!$A$5:$A$204&lt;=$B904)*(B_Drainage!$B$5:$B$204&gt;$B904)*(B_Drainage!$K$5:$K$204&lt;&gt;"")),IF(B_Drainage!$K$5:$K$204="-","",B_Drainage!$K$5:$K$204)),"")</f>
        <v/>
      </c>
      <c r="AC904" s="182" t="str">
        <f>IFERROR(LOOKUP(2,1/((B_Drainage!$A$5:$A$204&lt;&gt;"")*(B_Drainage!$A$5:$A$204&lt;=$B904)*(B_Drainage!$B$5:$B$204&gt;$B904)*(B_Drainage!$L$5:$L$204&lt;&gt;"")),IF(B_Drainage!$L$5:$L$204="-","",B_Drainage!$L$5:$L$204)),"")</f>
        <v/>
      </c>
      <c r="AD904" s="182" t="str">
        <f>IFERROR(LOOKUP(2,1/((D_Points!$A$5:$A$204&lt;&gt;"")*(D_Points!$A$5:$A$204&gt;=$B904)*(D_Points!$A$5:$A$204&lt;$B904+P_Interval)*(UPPER(TRIM(D_Points!$B$5:$B$204))="TURNOUT_L")*(D_Points!$H$5:$H$204&lt;&gt;"")),D_Points!$H$5:$H$204),"")</f>
        <v/>
      </c>
      <c r="AE904" s="182" t="str">
        <f>IFERROR(LOOKUP(2,1/((D_Points!$A$5:$A$204&lt;&gt;"")*(D_Points!$A$5:$A$204&gt;=$B904)*(D_Points!$A$5:$A$204&lt;$B904+P_Interval)*(UPPER(TRIM(D_Points!$B$5:$B$204))="TURNOUT_R")*(D_Points!$H$5:$H$204&lt;&gt;"")),D_Points!$H$5:$H$204),"")</f>
        <v/>
      </c>
      <c r="AF904" s="181" t="str">
        <f>IFERROR(LOOKUP(2,1/((B_Drainage!$A$5:$A$204&lt;&gt;"")*(B_Drainage!$A$5:$A$204&lt;=$B904)*(B_Drainage!$B$5:$B$204&gt;$B904)*(B_Drainage!$M$5:$M$204&lt;&gt;"")),IF(UPPER(B_Drainage!$M$5:$M$204)="Y",1,"")),"")</f>
        <v/>
      </c>
      <c r="AG904" s="181" t="str">
        <f>IFERROR(LOOKUP(2,1/((B_Drainage!$A$5:$A$204&lt;&gt;"")*(B_Drainage!$A$5:$A$204&lt;=$B904)*(B_Drainage!$B$5:$B$204&gt;$B904)*(B_Drainage!$N$5:$N$204&lt;&gt;"")),IF(UPPER(B_Drainage!$N$5:$N$204)="Y",1,"")),"")</f>
        <v/>
      </c>
      <c r="AH904" s="181" t="str">
        <f t="shared" si="112"/>
        <v/>
      </c>
      <c r="AI904" s="181" t="str">
        <f t="shared" si="113"/>
        <v/>
      </c>
      <c r="AJ904" s="181" t="str">
        <f t="shared" si="114"/>
        <v/>
      </c>
      <c r="AK904" s="181" t="str">
        <f t="shared" si="115"/>
        <v/>
      </c>
      <c r="AL904" s="181" t="str">
        <f t="shared" si="116"/>
        <v/>
      </c>
      <c r="AM904" s="181" t="str">
        <f t="shared" si="117"/>
        <v/>
      </c>
      <c r="AN904" s="181" t="str">
        <f t="shared" si="118"/>
        <v/>
      </c>
      <c r="AO904" s="192" t="str">
        <f t="shared" si="119"/>
        <v/>
      </c>
      <c r="AQ904" t="str">
        <f>IFERROR(LOOKUP(2,1/((C_Pavement!$A$5:$A$204&lt;&gt;"")*(C_Pavement!$A$5:$A$204&lt;=$B904)*(C_Pavement!$B$5:$B$204&gt;$B904)*(C_Pavement!$C$5:$C$204&lt;&gt;"")),ROW(C_Pavement!$C$5:$C$204)-4),"")</f>
        <v/>
      </c>
      <c r="AR904" t="str">
        <f>IF($AQ904="","",UPPER(TRIM(INDEX(C_Pavement!$C$5:$C$204,$AQ904))))</f>
        <v/>
      </c>
      <c r="AS904" t="str">
        <f>IF($AR904="","",IFERROR(MATCH($AR904,E_Rules!$A$5:$A$9,0),""))</f>
        <v/>
      </c>
      <c r="AT904" t="str">
        <f>IF($AQ904="","",IF(INDEX(C_Pavement!$D$5:$D$204,$AQ904)&lt;&gt;"",UPPER(TRIM(INDEX(C_Pavement!$D$5:$D$204,$AQ904))),IF($AS904="","",INDEX(E_Rules!$C$5:$C$9,$AS904))))</f>
        <v/>
      </c>
      <c r="AU904" t="str">
        <f>IF($AQ904="","",IF(INDEX(C_Pavement!$E$5:$E$204,$AQ904)&lt;&gt;"",IF(INDEX(C_Pavement!$E$5:$E$204,$AQ904)="-","",INDEX(C_Pavement!$E$5:$E$204,$AQ904)),IF($AS904="","",INDEX(E_Rules!$D$5:$D$9,$AS904))))</f>
        <v/>
      </c>
      <c r="AV904" t="str">
        <f>IF($AQ904="","",IF(INDEX(C_Pavement!$F$5:$F$204,$AQ904)&lt;&gt;"",IF(INDEX(C_Pavement!$F$5:$F$204,$AQ904)="-","",INDEX(C_Pavement!$F$5:$F$204,$AQ904)),IF($AS904="","",INDEX(E_Rules!$E$5:$E$9,$AS904))))</f>
        <v/>
      </c>
      <c r="AW904" t="str">
        <f>IF($AQ904="","",IF(INDEX(C_Pavement!$G$5:$G$204,$AQ904)&lt;&gt;"",IF(INDEX(C_Pavement!$G$5:$G$204,$AQ904)="-","",INDEX(C_Pavement!$G$5:$G$204,$AQ904)),IF($AS904="","",INDEX(E_Rules!$F$5:$F$9,$AS904))))</f>
        <v/>
      </c>
      <c r="AX904" t="str">
        <f>IF($AQ904="","",IF(INDEX(C_Pavement!$H$5:$H$204,$AQ904)&lt;&gt;"",IF(INDEX(C_Pavement!$H$5:$H$204,$AQ904)="-","",INDEX(C_Pavement!$H$5:$H$204,$AQ904)),IF($AS904="","",INDEX(E_Rules!$G$5:$G$9,$AS904))))</f>
        <v/>
      </c>
      <c r="AY904" t="str">
        <f>IF($AQ904="","",IF(INDEX(C_Pavement!$I$5:$I$204,$AQ904)&lt;&gt;"",IF(INDEX(C_Pavement!$I$5:$I$204,$AQ904)="-","",INDEX(C_Pavement!$I$5:$I$204,$AQ904)),IF($AS904="","",INDEX(E_Rules!$H$5:$H$9,$AS904))))</f>
        <v/>
      </c>
    </row>
    <row r="905" spans="1:51" ht="15.75" customHeight="1" x14ac:dyDescent="0.3">
      <c r="A905" s="189">
        <v>900</v>
      </c>
      <c r="B905" s="180">
        <v>44950</v>
      </c>
      <c r="C905" s="180" t="s">
        <v>1211</v>
      </c>
      <c r="D905" s="181" t="str">
        <f>IFERROR(LOOKUP(2,1/((A_Corridor!$A$5:$A$204&lt;&gt;"")*(A_Corridor!$A$5:$A$204&lt;=$B905)*(A_Corridor!$B$5:$B$204&gt;$B905)*(A_Corridor!$C$5:$C$204&lt;&gt;"")),IF(UPPER(A_Corridor!$C$5:$C$204)="Y",1,"")),"")</f>
        <v/>
      </c>
      <c r="E905" s="181" t="str">
        <f>IFERROR(LOOKUP(2,1/((A_Corridor!$A$5:$A$204&lt;&gt;"")*(A_Corridor!$A$5:$A$204&lt;=$B905)*(A_Corridor!$B$5:$B$204&gt;$B905)*(A_Corridor!$D$5:$D$204&lt;&gt;"")),IF(A_Corridor!$D$5:$D$204="-","",UPPER(A_Corridor!$D$5:$D$204))),"")</f>
        <v/>
      </c>
      <c r="F905" s="181" t="str">
        <f>IFERROR(LOOKUP(2,1/((A_Corridor!$A$5:$A$204&lt;&gt;"")*(A_Corridor!$A$5:$A$204&lt;=$B905)*(A_Corridor!$B$5:$B$204&gt;$B905)*(A_Corridor!$E$5:$E$204&lt;&gt;"")),IF(A_Corridor!$E$5:$E$204="-","",1)),"")</f>
        <v/>
      </c>
      <c r="G905" s="182" t="str">
        <f>IFERROR(LOOKUP(2,1/((A_Corridor!$A$5:$A$204&lt;&gt;"")*(A_Corridor!$A$5:$A$204&lt;=$B905)*(A_Corridor!$B$5:$B$204&gt;$B905)*(A_Corridor!$E$5:$E$204&lt;&gt;"")),IF(A_Corridor!$E$5:$E$204="-","",A_Corridor!$E$5:$E$204)),"")</f>
        <v/>
      </c>
      <c r="H905" s="182" t="str">
        <f>IFERROR(LOOKUP(2,1/((D_Points!$A$5:$A$204&lt;&gt;"")*(D_Points!$A$5:$A$204&gt;=$B905)*(D_Points!$A$5:$A$204&lt;$B905+P_Interval)*(UPPER(TRIM(D_Points!$B$5:$B$204))="GULLY")*(D_Points!$H$5:$H$204&lt;&gt;"")),D_Points!$H$5:$H$204),"")</f>
        <v/>
      </c>
      <c r="I905" s="181" t="str">
        <f>IFERROR(LOOKUP(2,1/((A_Corridor!$A$5:$A$204&lt;&gt;"")*(A_Corridor!$A$5:$A$204&lt;=$B905)*(A_Corridor!$B$5:$B$204&gt;$B905)*(A_Corridor!$F$5:$F$204&lt;&gt;"")),IF(A_Corridor!$F$5:$F$204="-","",1)),"")</f>
        <v/>
      </c>
      <c r="J905" s="182" t="str">
        <f>IFERROR(LOOKUP(2,1/((A_Corridor!$A$5:$A$204&lt;&gt;"")*(A_Corridor!$A$5:$A$204&lt;=$B905)*(A_Corridor!$B$5:$B$204&gt;$B905)*(A_Corridor!$F$5:$F$204&lt;&gt;"")),IF(A_Corridor!$F$5:$F$204="-","",A_Corridor!$F$5:$F$204)),"")</f>
        <v/>
      </c>
      <c r="K905" s="182" t="str">
        <f>IFERROR(LOOKUP(2,1/((A_Corridor!$A$5:$A$204&lt;&gt;"")*(A_Corridor!$A$5:$A$204&lt;=$B905)*(A_Corridor!$B$5:$B$204&gt;$B905)*(A_Corridor!$G$5:$G$204&lt;&gt;"")),IF(A_Corridor!$G$5:$G$204="-","",A_Corridor!$G$5:$G$204)),"")</f>
        <v/>
      </c>
      <c r="L905" s="181" t="str">
        <f>IFERROR(LOOKUP(2,1/((A_Corridor!$A$5:$A$204&lt;&gt;"")*(A_Corridor!$A$5:$A$204&lt;=$B905)*(A_Corridor!$B$5:$B$204&gt;$B905)*(A_Corridor!$H$5:$H$204&lt;&gt;"")),IF(A_Corridor!$H$5:$H$204="-","",1)),"")</f>
        <v/>
      </c>
      <c r="M905" s="182" t="str">
        <f>IFERROR(LOOKUP(2,1/((A_Corridor!$A$5:$A$204&lt;&gt;"")*(A_Corridor!$A$5:$A$204&lt;=$B905)*(A_Corridor!$B$5:$B$204&gt;$B905)*(A_Corridor!$H$5:$H$204&lt;&gt;"")),IF(A_Corridor!$H$5:$H$204="-","",A_Corridor!$H$5:$H$204)),"")</f>
        <v/>
      </c>
      <c r="N905" s="182" t="str">
        <f>IFERROR(LOOKUP(2,1/((A_Corridor!$A$5:$A$204&lt;&gt;"")*(A_Corridor!$A$5:$A$204&lt;=$B905)*(A_Corridor!$B$5:$B$204&gt;$B905)*(A_Corridor!$I$5:$I$204&lt;&gt;"")),IF(A_Corridor!$I$5:$I$204="-","",A_Corridor!$I$5:$I$204)),"")</f>
        <v/>
      </c>
      <c r="O905" s="182" t="str">
        <f>IFERROR(LOOKUP(2,1/((D_Points!$A$5:$A$204&lt;&gt;"")*(D_Points!$A$5:$A$204&gt;=$B905)*(D_Points!$A$5:$A$204&lt;$B905+P_Interval)*(UPPER(TRIM(D_Points!$B$5:$B$204))="PITCHING")*(D_Points!$H$5:$H$204&lt;&gt;"")),D_Points!$H$5:$H$204),"")</f>
        <v/>
      </c>
      <c r="P905" s="181" t="str">
        <f>IFERROR(LOOKUP(2,1/((B_Drainage!$A$5:$A$204&lt;&gt;"")*(B_Drainage!$A$5:$A$204&lt;=$B905)*(B_Drainage!$B$5:$B$204&gt;$B905)*(B_Drainage!$C$5:$C$204&lt;&gt;"")),IF(B_Drainage!$C$5:$C$204="-","",UPPER(B_Drainage!$C$5:$C$204))),"")</f>
        <v/>
      </c>
      <c r="Q905" s="181" t="str">
        <f>IFERROR(LOOKUP(2,1/((B_Drainage!$A$5:$A$204&lt;&gt;"")*(B_Drainage!$A$5:$A$204&lt;=$B905)*(B_Drainage!$B$5:$B$204&gt;$B905)*(B_Drainage!$D$5:$D$204&lt;&gt;"")),IF(B_Drainage!$D$5:$D$204="-","",UPPER(B_Drainage!$D$5:$D$204))),"")</f>
        <v/>
      </c>
      <c r="R905" s="182" t="str">
        <f>IFERROR(LOOKUP(2,1/((D_Points!$A$5:$A$204&lt;&gt;"")*(D_Points!$A$5:$A$204&gt;=$B905)*(D_Points!$A$5:$A$204&lt;$B905+P_Interval)*(RIGHT(UPPER(TRIM(D_Points!$B$5:$B$204)),8)="_CULVERT")),IF(LEFT(UPPER(TRIM(D_Points!$B$5:$B$204)),2)="EX",1,IF(LEFT(UPPER(TRIM(D_Points!$B$5:$B$204)),2)="PR",2,3))),"")</f>
        <v/>
      </c>
      <c r="S905" s="182" t="str">
        <f>IFERROR(LOOKUP(2,1/((D_Points!$A$5:$A$204&lt;&gt;"")*(D_Points!$A$5:$A$204&gt;=$B905)*(D_Points!$A$5:$A$204&lt;$B905+P_Interval)*(RIGHT(UPPER(TRIM(D_Points!$B$5:$B$204)),7)="_BRIDGE")),IF(LEFT(UPPER(TRIM(D_Points!$B$5:$B$204)),2)="EX",1,IF(LEFT(UPPER(TRIM(D_Points!$B$5:$B$204)),2)="PR",2,2))),"")</f>
        <v/>
      </c>
      <c r="T905" s="181" t="str">
        <f>IFERROR(LOOKUP(2,1/((B_Drainage!$A$5:$A$204&lt;&gt;"")*(B_Drainage!$A$5:$A$204&lt;=$B905)*(B_Drainage!$B$5:$B$204&gt;$B905)*(B_Drainage!$E$5:$E$204&lt;&gt;"")),IF(B_Drainage!$E$5:$E$204="-","",1)),"")</f>
        <v/>
      </c>
      <c r="U905" s="181" t="str">
        <f>IFERROR(LOOKUP(2,1/((B_Drainage!$A$5:$A$204&lt;&gt;"")*(B_Drainage!$A$5:$A$204&lt;=$B905)*(B_Drainage!$B$5:$B$204&gt;$B905)*(B_Drainage!$E$5:$E$204&lt;&gt;"")),IF(B_Drainage!$E$5:$E$204="-","",B_Drainage!$E$5:$E$204)),"")</f>
        <v/>
      </c>
      <c r="V905" s="181" t="str">
        <f>IFERROR(LOOKUP(2,1/((B_Drainage!$A$5:$A$204&lt;&gt;"")*(B_Drainage!$A$5:$A$204&lt;=$B905)*(B_Drainage!$B$5:$B$204&gt;$B905)*(B_Drainage!$F$5:$F$204&lt;&gt;"")),IF(B_Drainage!$F$5:$F$204="-","",1)),"")</f>
        <v/>
      </c>
      <c r="W905" s="181" t="str">
        <f>IFERROR(LOOKUP(2,1/((B_Drainage!$A$5:$A$204&lt;&gt;"")*(B_Drainage!$A$5:$A$204&lt;=$B905)*(B_Drainage!$B$5:$B$204&gt;$B905)*(B_Drainage!$F$5:$F$204&lt;&gt;"")),IF(B_Drainage!$F$5:$F$204="-","",B_Drainage!$F$5:$F$204)),"")</f>
        <v/>
      </c>
      <c r="X905" s="181" t="str">
        <f>IFERROR(LOOKUP(2,1/((B_Drainage!$A$5:$A$204&lt;&gt;"")*(B_Drainage!$A$5:$A$204&lt;=$B905)*(B_Drainage!$B$5:$B$204&gt;$B905)*(B_Drainage!$G$5:$G$204&lt;&gt;"")),IF(UPPER(B_Drainage!$G$5:$G$204)="Y",1,"")),"")</f>
        <v/>
      </c>
      <c r="Y905" s="181" t="str">
        <f>IFERROR(LOOKUP(2,1/((B_Drainage!$A$5:$A$204&lt;&gt;"")*(B_Drainage!$A$5:$A$204&lt;=$B905)*(B_Drainage!$B$5:$B$204&gt;$B905)*(B_Drainage!$H$5:$H$204&lt;&gt;"")),IF(UPPER(B_Drainage!$H$5:$H$204)="Y",1,"")),"")</f>
        <v/>
      </c>
      <c r="Z905" s="181" t="str">
        <f>IFERROR(LOOKUP(2,1/((B_Drainage!$A$5:$A$204&lt;&gt;"")*(B_Drainage!$A$5:$A$204&lt;=$B905)*(B_Drainage!$B$5:$B$204&gt;$B905)*(B_Drainage!$I$5:$I$204&lt;&gt;"")),IF(UPPER(B_Drainage!$I$5:$I$204)="Y",1,"")),"")</f>
        <v/>
      </c>
      <c r="AA905" s="181" t="str">
        <f>IFERROR(LOOKUP(2,1/((B_Drainage!$A$5:$A$204&lt;&gt;"")*(B_Drainage!$A$5:$A$204&lt;=$B905)*(B_Drainage!$B$5:$B$204&gt;$B905)*(B_Drainage!$J$5:$J$204&lt;&gt;"")),IF(UPPER(B_Drainage!$J$5:$J$204)="Y",1,"")),"")</f>
        <v/>
      </c>
      <c r="AB905" s="182" t="str">
        <f>IFERROR(LOOKUP(2,1/((B_Drainage!$A$5:$A$204&lt;&gt;"")*(B_Drainage!$A$5:$A$204&lt;=$B905)*(B_Drainage!$B$5:$B$204&gt;$B905)*(B_Drainage!$K$5:$K$204&lt;&gt;"")),IF(B_Drainage!$K$5:$K$204="-","",B_Drainage!$K$5:$K$204)),"")</f>
        <v/>
      </c>
      <c r="AC905" s="182" t="str">
        <f>IFERROR(LOOKUP(2,1/((B_Drainage!$A$5:$A$204&lt;&gt;"")*(B_Drainage!$A$5:$A$204&lt;=$B905)*(B_Drainage!$B$5:$B$204&gt;$B905)*(B_Drainage!$L$5:$L$204&lt;&gt;"")),IF(B_Drainage!$L$5:$L$204="-","",B_Drainage!$L$5:$L$204)),"")</f>
        <v/>
      </c>
      <c r="AD905" s="182" t="str">
        <f>IFERROR(LOOKUP(2,1/((D_Points!$A$5:$A$204&lt;&gt;"")*(D_Points!$A$5:$A$204&gt;=$B905)*(D_Points!$A$5:$A$204&lt;$B905+P_Interval)*(UPPER(TRIM(D_Points!$B$5:$B$204))="TURNOUT_L")*(D_Points!$H$5:$H$204&lt;&gt;"")),D_Points!$H$5:$H$204),"")</f>
        <v/>
      </c>
      <c r="AE905" s="182" t="str">
        <f>IFERROR(LOOKUP(2,1/((D_Points!$A$5:$A$204&lt;&gt;"")*(D_Points!$A$5:$A$204&gt;=$B905)*(D_Points!$A$5:$A$204&lt;$B905+P_Interval)*(UPPER(TRIM(D_Points!$B$5:$B$204))="TURNOUT_R")*(D_Points!$H$5:$H$204&lt;&gt;"")),D_Points!$H$5:$H$204),"")</f>
        <v/>
      </c>
      <c r="AF905" s="181" t="str">
        <f>IFERROR(LOOKUP(2,1/((B_Drainage!$A$5:$A$204&lt;&gt;"")*(B_Drainage!$A$5:$A$204&lt;=$B905)*(B_Drainage!$B$5:$B$204&gt;$B905)*(B_Drainage!$M$5:$M$204&lt;&gt;"")),IF(UPPER(B_Drainage!$M$5:$M$204)="Y",1,"")),"")</f>
        <v/>
      </c>
      <c r="AG905" s="181" t="str">
        <f>IFERROR(LOOKUP(2,1/((B_Drainage!$A$5:$A$204&lt;&gt;"")*(B_Drainage!$A$5:$A$204&lt;=$B905)*(B_Drainage!$B$5:$B$204&gt;$B905)*(B_Drainage!$N$5:$N$204&lt;&gt;"")),IF(UPPER(B_Drainage!$N$5:$N$204)="Y",1,"")),"")</f>
        <v/>
      </c>
      <c r="AH905" s="181" t="str">
        <f t="shared" si="112"/>
        <v/>
      </c>
      <c r="AI905" s="181" t="str">
        <f t="shared" si="113"/>
        <v/>
      </c>
      <c r="AJ905" s="181" t="str">
        <f t="shared" si="114"/>
        <v/>
      </c>
      <c r="AK905" s="181" t="str">
        <f t="shared" si="115"/>
        <v/>
      </c>
      <c r="AL905" s="181" t="str">
        <f t="shared" si="116"/>
        <v/>
      </c>
      <c r="AM905" s="181" t="str">
        <f t="shared" si="117"/>
        <v/>
      </c>
      <c r="AN905" s="181" t="str">
        <f t="shared" si="118"/>
        <v/>
      </c>
      <c r="AO905" s="192" t="str">
        <f t="shared" si="119"/>
        <v/>
      </c>
      <c r="AQ905" t="str">
        <f>IFERROR(LOOKUP(2,1/((C_Pavement!$A$5:$A$204&lt;&gt;"")*(C_Pavement!$A$5:$A$204&lt;=$B905)*(C_Pavement!$B$5:$B$204&gt;$B905)*(C_Pavement!$C$5:$C$204&lt;&gt;"")),ROW(C_Pavement!$C$5:$C$204)-4),"")</f>
        <v/>
      </c>
      <c r="AR905" t="str">
        <f>IF($AQ905="","",UPPER(TRIM(INDEX(C_Pavement!$C$5:$C$204,$AQ905))))</f>
        <v/>
      </c>
      <c r="AS905" t="str">
        <f>IF($AR905="","",IFERROR(MATCH($AR905,E_Rules!$A$5:$A$9,0),""))</f>
        <v/>
      </c>
      <c r="AT905" t="str">
        <f>IF($AQ905="","",IF(INDEX(C_Pavement!$D$5:$D$204,$AQ905)&lt;&gt;"",UPPER(TRIM(INDEX(C_Pavement!$D$5:$D$204,$AQ905))),IF($AS905="","",INDEX(E_Rules!$C$5:$C$9,$AS905))))</f>
        <v/>
      </c>
      <c r="AU905" t="str">
        <f>IF($AQ905="","",IF(INDEX(C_Pavement!$E$5:$E$204,$AQ905)&lt;&gt;"",IF(INDEX(C_Pavement!$E$5:$E$204,$AQ905)="-","",INDEX(C_Pavement!$E$5:$E$204,$AQ905)),IF($AS905="","",INDEX(E_Rules!$D$5:$D$9,$AS905))))</f>
        <v/>
      </c>
      <c r="AV905" t="str">
        <f>IF($AQ905="","",IF(INDEX(C_Pavement!$F$5:$F$204,$AQ905)&lt;&gt;"",IF(INDEX(C_Pavement!$F$5:$F$204,$AQ905)="-","",INDEX(C_Pavement!$F$5:$F$204,$AQ905)),IF($AS905="","",INDEX(E_Rules!$E$5:$E$9,$AS905))))</f>
        <v/>
      </c>
      <c r="AW905" t="str">
        <f>IF($AQ905="","",IF(INDEX(C_Pavement!$G$5:$G$204,$AQ905)&lt;&gt;"",IF(INDEX(C_Pavement!$G$5:$G$204,$AQ905)="-","",INDEX(C_Pavement!$G$5:$G$204,$AQ905)),IF($AS905="","",INDEX(E_Rules!$F$5:$F$9,$AS905))))</f>
        <v/>
      </c>
      <c r="AX905" t="str">
        <f>IF($AQ905="","",IF(INDEX(C_Pavement!$H$5:$H$204,$AQ905)&lt;&gt;"",IF(INDEX(C_Pavement!$H$5:$H$204,$AQ905)="-","",INDEX(C_Pavement!$H$5:$H$204,$AQ905)),IF($AS905="","",INDEX(E_Rules!$G$5:$G$9,$AS905))))</f>
        <v/>
      </c>
      <c r="AY905" t="str">
        <f>IF($AQ905="","",IF(INDEX(C_Pavement!$I$5:$I$204,$AQ905)&lt;&gt;"",IF(INDEX(C_Pavement!$I$5:$I$204,$AQ905)="-","",INDEX(C_Pavement!$I$5:$I$204,$AQ905)),IF($AS905="","",INDEX(E_Rules!$H$5:$H$9,$AS905))))</f>
        <v/>
      </c>
    </row>
    <row r="906" spans="1:51" ht="15.75" customHeight="1" x14ac:dyDescent="0.3">
      <c r="A906" s="189">
        <v>901</v>
      </c>
      <c r="B906" s="180">
        <v>45000</v>
      </c>
      <c r="C906" s="180" t="s">
        <v>1212</v>
      </c>
      <c r="D906" s="181" t="str">
        <f>IFERROR(LOOKUP(2,1/((A_Corridor!$A$5:$A$204&lt;&gt;"")*(A_Corridor!$A$5:$A$204&lt;=$B906)*(A_Corridor!$B$5:$B$204&gt;$B906)*(A_Corridor!$C$5:$C$204&lt;&gt;"")),IF(UPPER(A_Corridor!$C$5:$C$204)="Y",1,"")),"")</f>
        <v/>
      </c>
      <c r="E906" s="181" t="str">
        <f>IFERROR(LOOKUP(2,1/((A_Corridor!$A$5:$A$204&lt;&gt;"")*(A_Corridor!$A$5:$A$204&lt;=$B906)*(A_Corridor!$B$5:$B$204&gt;$B906)*(A_Corridor!$D$5:$D$204&lt;&gt;"")),IF(A_Corridor!$D$5:$D$204="-","",UPPER(A_Corridor!$D$5:$D$204))),"")</f>
        <v/>
      </c>
      <c r="F906" s="181" t="str">
        <f>IFERROR(LOOKUP(2,1/((A_Corridor!$A$5:$A$204&lt;&gt;"")*(A_Corridor!$A$5:$A$204&lt;=$B906)*(A_Corridor!$B$5:$B$204&gt;$B906)*(A_Corridor!$E$5:$E$204&lt;&gt;"")),IF(A_Corridor!$E$5:$E$204="-","",1)),"")</f>
        <v/>
      </c>
      <c r="G906" s="182" t="str">
        <f>IFERROR(LOOKUP(2,1/((A_Corridor!$A$5:$A$204&lt;&gt;"")*(A_Corridor!$A$5:$A$204&lt;=$B906)*(A_Corridor!$B$5:$B$204&gt;$B906)*(A_Corridor!$E$5:$E$204&lt;&gt;"")),IF(A_Corridor!$E$5:$E$204="-","",A_Corridor!$E$5:$E$204)),"")</f>
        <v/>
      </c>
      <c r="H906" s="182" t="str">
        <f>IFERROR(LOOKUP(2,1/((D_Points!$A$5:$A$204&lt;&gt;"")*(D_Points!$A$5:$A$204&gt;=$B906)*(D_Points!$A$5:$A$204&lt;$B906+P_Interval)*(UPPER(TRIM(D_Points!$B$5:$B$204))="GULLY")*(D_Points!$H$5:$H$204&lt;&gt;"")),D_Points!$H$5:$H$204),"")</f>
        <v/>
      </c>
      <c r="I906" s="181" t="str">
        <f>IFERROR(LOOKUP(2,1/((A_Corridor!$A$5:$A$204&lt;&gt;"")*(A_Corridor!$A$5:$A$204&lt;=$B906)*(A_Corridor!$B$5:$B$204&gt;$B906)*(A_Corridor!$F$5:$F$204&lt;&gt;"")),IF(A_Corridor!$F$5:$F$204="-","",1)),"")</f>
        <v/>
      </c>
      <c r="J906" s="182" t="str">
        <f>IFERROR(LOOKUP(2,1/((A_Corridor!$A$5:$A$204&lt;&gt;"")*(A_Corridor!$A$5:$A$204&lt;=$B906)*(A_Corridor!$B$5:$B$204&gt;$B906)*(A_Corridor!$F$5:$F$204&lt;&gt;"")),IF(A_Corridor!$F$5:$F$204="-","",A_Corridor!$F$5:$F$204)),"")</f>
        <v/>
      </c>
      <c r="K906" s="182" t="str">
        <f>IFERROR(LOOKUP(2,1/((A_Corridor!$A$5:$A$204&lt;&gt;"")*(A_Corridor!$A$5:$A$204&lt;=$B906)*(A_Corridor!$B$5:$B$204&gt;$B906)*(A_Corridor!$G$5:$G$204&lt;&gt;"")),IF(A_Corridor!$G$5:$G$204="-","",A_Corridor!$G$5:$G$204)),"")</f>
        <v/>
      </c>
      <c r="L906" s="181" t="str">
        <f>IFERROR(LOOKUP(2,1/((A_Corridor!$A$5:$A$204&lt;&gt;"")*(A_Corridor!$A$5:$A$204&lt;=$B906)*(A_Corridor!$B$5:$B$204&gt;$B906)*(A_Corridor!$H$5:$H$204&lt;&gt;"")),IF(A_Corridor!$H$5:$H$204="-","",1)),"")</f>
        <v/>
      </c>
      <c r="M906" s="182" t="str">
        <f>IFERROR(LOOKUP(2,1/((A_Corridor!$A$5:$A$204&lt;&gt;"")*(A_Corridor!$A$5:$A$204&lt;=$B906)*(A_Corridor!$B$5:$B$204&gt;$B906)*(A_Corridor!$H$5:$H$204&lt;&gt;"")),IF(A_Corridor!$H$5:$H$204="-","",A_Corridor!$H$5:$H$204)),"")</f>
        <v/>
      </c>
      <c r="N906" s="182" t="str">
        <f>IFERROR(LOOKUP(2,1/((A_Corridor!$A$5:$A$204&lt;&gt;"")*(A_Corridor!$A$5:$A$204&lt;=$B906)*(A_Corridor!$B$5:$B$204&gt;$B906)*(A_Corridor!$I$5:$I$204&lt;&gt;"")),IF(A_Corridor!$I$5:$I$204="-","",A_Corridor!$I$5:$I$204)),"")</f>
        <v/>
      </c>
      <c r="O906" s="182" t="str">
        <f>IFERROR(LOOKUP(2,1/((D_Points!$A$5:$A$204&lt;&gt;"")*(D_Points!$A$5:$A$204&gt;=$B906)*(D_Points!$A$5:$A$204&lt;$B906+P_Interval)*(UPPER(TRIM(D_Points!$B$5:$B$204))="PITCHING")*(D_Points!$H$5:$H$204&lt;&gt;"")),D_Points!$H$5:$H$204),"")</f>
        <v/>
      </c>
      <c r="P906" s="181" t="str">
        <f>IFERROR(LOOKUP(2,1/((B_Drainage!$A$5:$A$204&lt;&gt;"")*(B_Drainage!$A$5:$A$204&lt;=$B906)*(B_Drainage!$B$5:$B$204&gt;$B906)*(B_Drainage!$C$5:$C$204&lt;&gt;"")),IF(B_Drainage!$C$5:$C$204="-","",UPPER(B_Drainage!$C$5:$C$204))),"")</f>
        <v/>
      </c>
      <c r="Q906" s="181" t="str">
        <f>IFERROR(LOOKUP(2,1/((B_Drainage!$A$5:$A$204&lt;&gt;"")*(B_Drainage!$A$5:$A$204&lt;=$B906)*(B_Drainage!$B$5:$B$204&gt;$B906)*(B_Drainage!$D$5:$D$204&lt;&gt;"")),IF(B_Drainage!$D$5:$D$204="-","",UPPER(B_Drainage!$D$5:$D$204))),"")</f>
        <v/>
      </c>
      <c r="R906" s="182" t="str">
        <f>IFERROR(LOOKUP(2,1/((D_Points!$A$5:$A$204&lt;&gt;"")*(D_Points!$A$5:$A$204&gt;=$B906)*(D_Points!$A$5:$A$204&lt;$B906+P_Interval)*(RIGHT(UPPER(TRIM(D_Points!$B$5:$B$204)),8)="_CULVERT")),IF(LEFT(UPPER(TRIM(D_Points!$B$5:$B$204)),2)="EX",1,IF(LEFT(UPPER(TRIM(D_Points!$B$5:$B$204)),2)="PR",2,3))),"")</f>
        <v/>
      </c>
      <c r="S906" s="182" t="str">
        <f>IFERROR(LOOKUP(2,1/((D_Points!$A$5:$A$204&lt;&gt;"")*(D_Points!$A$5:$A$204&gt;=$B906)*(D_Points!$A$5:$A$204&lt;$B906+P_Interval)*(RIGHT(UPPER(TRIM(D_Points!$B$5:$B$204)),7)="_BRIDGE")),IF(LEFT(UPPER(TRIM(D_Points!$B$5:$B$204)),2)="EX",1,IF(LEFT(UPPER(TRIM(D_Points!$B$5:$B$204)),2)="PR",2,2))),"")</f>
        <v/>
      </c>
      <c r="T906" s="181" t="str">
        <f>IFERROR(LOOKUP(2,1/((B_Drainage!$A$5:$A$204&lt;&gt;"")*(B_Drainage!$A$5:$A$204&lt;=$B906)*(B_Drainage!$B$5:$B$204&gt;$B906)*(B_Drainage!$E$5:$E$204&lt;&gt;"")),IF(B_Drainage!$E$5:$E$204="-","",1)),"")</f>
        <v/>
      </c>
      <c r="U906" s="181" t="str">
        <f>IFERROR(LOOKUP(2,1/((B_Drainage!$A$5:$A$204&lt;&gt;"")*(B_Drainage!$A$5:$A$204&lt;=$B906)*(B_Drainage!$B$5:$B$204&gt;$B906)*(B_Drainage!$E$5:$E$204&lt;&gt;"")),IF(B_Drainage!$E$5:$E$204="-","",B_Drainage!$E$5:$E$204)),"")</f>
        <v/>
      </c>
      <c r="V906" s="181" t="str">
        <f>IFERROR(LOOKUP(2,1/((B_Drainage!$A$5:$A$204&lt;&gt;"")*(B_Drainage!$A$5:$A$204&lt;=$B906)*(B_Drainage!$B$5:$B$204&gt;$B906)*(B_Drainage!$F$5:$F$204&lt;&gt;"")),IF(B_Drainage!$F$5:$F$204="-","",1)),"")</f>
        <v/>
      </c>
      <c r="W906" s="181" t="str">
        <f>IFERROR(LOOKUP(2,1/((B_Drainage!$A$5:$A$204&lt;&gt;"")*(B_Drainage!$A$5:$A$204&lt;=$B906)*(B_Drainage!$B$5:$B$204&gt;$B906)*(B_Drainage!$F$5:$F$204&lt;&gt;"")),IF(B_Drainage!$F$5:$F$204="-","",B_Drainage!$F$5:$F$204)),"")</f>
        <v/>
      </c>
      <c r="X906" s="181" t="str">
        <f>IFERROR(LOOKUP(2,1/((B_Drainage!$A$5:$A$204&lt;&gt;"")*(B_Drainage!$A$5:$A$204&lt;=$B906)*(B_Drainage!$B$5:$B$204&gt;$B906)*(B_Drainage!$G$5:$G$204&lt;&gt;"")),IF(UPPER(B_Drainage!$G$5:$G$204)="Y",1,"")),"")</f>
        <v/>
      </c>
      <c r="Y906" s="181" t="str">
        <f>IFERROR(LOOKUP(2,1/((B_Drainage!$A$5:$A$204&lt;&gt;"")*(B_Drainage!$A$5:$A$204&lt;=$B906)*(B_Drainage!$B$5:$B$204&gt;$B906)*(B_Drainage!$H$5:$H$204&lt;&gt;"")),IF(UPPER(B_Drainage!$H$5:$H$204)="Y",1,"")),"")</f>
        <v/>
      </c>
      <c r="Z906" s="181" t="str">
        <f>IFERROR(LOOKUP(2,1/((B_Drainage!$A$5:$A$204&lt;&gt;"")*(B_Drainage!$A$5:$A$204&lt;=$B906)*(B_Drainage!$B$5:$B$204&gt;$B906)*(B_Drainage!$I$5:$I$204&lt;&gt;"")),IF(UPPER(B_Drainage!$I$5:$I$204)="Y",1,"")),"")</f>
        <v/>
      </c>
      <c r="AA906" s="181" t="str">
        <f>IFERROR(LOOKUP(2,1/((B_Drainage!$A$5:$A$204&lt;&gt;"")*(B_Drainage!$A$5:$A$204&lt;=$B906)*(B_Drainage!$B$5:$B$204&gt;$B906)*(B_Drainage!$J$5:$J$204&lt;&gt;"")),IF(UPPER(B_Drainage!$J$5:$J$204)="Y",1,"")),"")</f>
        <v/>
      </c>
      <c r="AB906" s="182" t="str">
        <f>IFERROR(LOOKUP(2,1/((B_Drainage!$A$5:$A$204&lt;&gt;"")*(B_Drainage!$A$5:$A$204&lt;=$B906)*(B_Drainage!$B$5:$B$204&gt;$B906)*(B_Drainage!$K$5:$K$204&lt;&gt;"")),IF(B_Drainage!$K$5:$K$204="-","",B_Drainage!$K$5:$K$204)),"")</f>
        <v/>
      </c>
      <c r="AC906" s="182" t="str">
        <f>IFERROR(LOOKUP(2,1/((B_Drainage!$A$5:$A$204&lt;&gt;"")*(B_Drainage!$A$5:$A$204&lt;=$B906)*(B_Drainage!$B$5:$B$204&gt;$B906)*(B_Drainage!$L$5:$L$204&lt;&gt;"")),IF(B_Drainage!$L$5:$L$204="-","",B_Drainage!$L$5:$L$204)),"")</f>
        <v/>
      </c>
      <c r="AD906" s="182" t="str">
        <f>IFERROR(LOOKUP(2,1/((D_Points!$A$5:$A$204&lt;&gt;"")*(D_Points!$A$5:$A$204&gt;=$B906)*(D_Points!$A$5:$A$204&lt;$B906+P_Interval)*(UPPER(TRIM(D_Points!$B$5:$B$204))="TURNOUT_L")*(D_Points!$H$5:$H$204&lt;&gt;"")),D_Points!$H$5:$H$204),"")</f>
        <v/>
      </c>
      <c r="AE906" s="182" t="str">
        <f>IFERROR(LOOKUP(2,1/((D_Points!$A$5:$A$204&lt;&gt;"")*(D_Points!$A$5:$A$204&gt;=$B906)*(D_Points!$A$5:$A$204&lt;$B906+P_Interval)*(UPPER(TRIM(D_Points!$B$5:$B$204))="TURNOUT_R")*(D_Points!$H$5:$H$204&lt;&gt;"")),D_Points!$H$5:$H$204),"")</f>
        <v/>
      </c>
      <c r="AF906" s="181" t="str">
        <f>IFERROR(LOOKUP(2,1/((B_Drainage!$A$5:$A$204&lt;&gt;"")*(B_Drainage!$A$5:$A$204&lt;=$B906)*(B_Drainage!$B$5:$B$204&gt;$B906)*(B_Drainage!$M$5:$M$204&lt;&gt;"")),IF(UPPER(B_Drainage!$M$5:$M$204)="Y",1,"")),"")</f>
        <v/>
      </c>
      <c r="AG906" s="181" t="str">
        <f>IFERROR(LOOKUP(2,1/((B_Drainage!$A$5:$A$204&lt;&gt;"")*(B_Drainage!$A$5:$A$204&lt;=$B906)*(B_Drainage!$B$5:$B$204&gt;$B906)*(B_Drainage!$N$5:$N$204&lt;&gt;"")),IF(UPPER(B_Drainage!$N$5:$N$204)="Y",1,"")),"")</f>
        <v/>
      </c>
      <c r="AH906" s="181" t="str">
        <f t="shared" si="112"/>
        <v/>
      </c>
      <c r="AI906" s="181" t="str">
        <f t="shared" si="113"/>
        <v/>
      </c>
      <c r="AJ906" s="181" t="str">
        <f t="shared" si="114"/>
        <v/>
      </c>
      <c r="AK906" s="181" t="str">
        <f t="shared" si="115"/>
        <v/>
      </c>
      <c r="AL906" s="181" t="str">
        <f t="shared" si="116"/>
        <v/>
      </c>
      <c r="AM906" s="181" t="str">
        <f t="shared" si="117"/>
        <v/>
      </c>
      <c r="AN906" s="181" t="str">
        <f t="shared" si="118"/>
        <v/>
      </c>
      <c r="AO906" s="192" t="str">
        <f t="shared" si="119"/>
        <v/>
      </c>
      <c r="AQ906" t="str">
        <f>IFERROR(LOOKUP(2,1/((C_Pavement!$A$5:$A$204&lt;&gt;"")*(C_Pavement!$A$5:$A$204&lt;=$B906)*(C_Pavement!$B$5:$B$204&gt;$B906)*(C_Pavement!$C$5:$C$204&lt;&gt;"")),ROW(C_Pavement!$C$5:$C$204)-4),"")</f>
        <v/>
      </c>
      <c r="AR906" t="str">
        <f>IF($AQ906="","",UPPER(TRIM(INDEX(C_Pavement!$C$5:$C$204,$AQ906))))</f>
        <v/>
      </c>
      <c r="AS906" t="str">
        <f>IF($AR906="","",IFERROR(MATCH($AR906,E_Rules!$A$5:$A$9,0),""))</f>
        <v/>
      </c>
      <c r="AT906" t="str">
        <f>IF($AQ906="","",IF(INDEX(C_Pavement!$D$5:$D$204,$AQ906)&lt;&gt;"",UPPER(TRIM(INDEX(C_Pavement!$D$5:$D$204,$AQ906))),IF($AS906="","",INDEX(E_Rules!$C$5:$C$9,$AS906))))</f>
        <v/>
      </c>
      <c r="AU906" t="str">
        <f>IF($AQ906="","",IF(INDEX(C_Pavement!$E$5:$E$204,$AQ906)&lt;&gt;"",IF(INDEX(C_Pavement!$E$5:$E$204,$AQ906)="-","",INDEX(C_Pavement!$E$5:$E$204,$AQ906)),IF($AS906="","",INDEX(E_Rules!$D$5:$D$9,$AS906))))</f>
        <v/>
      </c>
      <c r="AV906" t="str">
        <f>IF($AQ906="","",IF(INDEX(C_Pavement!$F$5:$F$204,$AQ906)&lt;&gt;"",IF(INDEX(C_Pavement!$F$5:$F$204,$AQ906)="-","",INDEX(C_Pavement!$F$5:$F$204,$AQ906)),IF($AS906="","",INDEX(E_Rules!$E$5:$E$9,$AS906))))</f>
        <v/>
      </c>
      <c r="AW906" t="str">
        <f>IF($AQ906="","",IF(INDEX(C_Pavement!$G$5:$G$204,$AQ906)&lt;&gt;"",IF(INDEX(C_Pavement!$G$5:$G$204,$AQ906)="-","",INDEX(C_Pavement!$G$5:$G$204,$AQ906)),IF($AS906="","",INDEX(E_Rules!$F$5:$F$9,$AS906))))</f>
        <v/>
      </c>
      <c r="AX906" t="str">
        <f>IF($AQ906="","",IF(INDEX(C_Pavement!$H$5:$H$204,$AQ906)&lt;&gt;"",IF(INDEX(C_Pavement!$H$5:$H$204,$AQ906)="-","",INDEX(C_Pavement!$H$5:$H$204,$AQ906)),IF($AS906="","",INDEX(E_Rules!$G$5:$G$9,$AS906))))</f>
        <v/>
      </c>
      <c r="AY906" t="str">
        <f>IF($AQ906="","",IF(INDEX(C_Pavement!$I$5:$I$204,$AQ906)&lt;&gt;"",IF(INDEX(C_Pavement!$I$5:$I$204,$AQ906)="-","",INDEX(C_Pavement!$I$5:$I$204,$AQ906)),IF($AS906="","",INDEX(E_Rules!$H$5:$H$9,$AS906))))</f>
        <v/>
      </c>
    </row>
    <row r="907" spans="1:51" ht="15.75" customHeight="1" x14ac:dyDescent="0.3">
      <c r="A907" s="189">
        <v>902</v>
      </c>
      <c r="B907" s="180">
        <v>45050</v>
      </c>
      <c r="C907" s="180" t="s">
        <v>1213</v>
      </c>
      <c r="D907" s="181" t="str">
        <f>IFERROR(LOOKUP(2,1/((A_Corridor!$A$5:$A$204&lt;&gt;"")*(A_Corridor!$A$5:$A$204&lt;=$B907)*(A_Corridor!$B$5:$B$204&gt;$B907)*(A_Corridor!$C$5:$C$204&lt;&gt;"")),IF(UPPER(A_Corridor!$C$5:$C$204)="Y",1,"")),"")</f>
        <v/>
      </c>
      <c r="E907" s="181" t="str">
        <f>IFERROR(LOOKUP(2,1/((A_Corridor!$A$5:$A$204&lt;&gt;"")*(A_Corridor!$A$5:$A$204&lt;=$B907)*(A_Corridor!$B$5:$B$204&gt;$B907)*(A_Corridor!$D$5:$D$204&lt;&gt;"")),IF(A_Corridor!$D$5:$D$204="-","",UPPER(A_Corridor!$D$5:$D$204))),"")</f>
        <v/>
      </c>
      <c r="F907" s="181" t="str">
        <f>IFERROR(LOOKUP(2,1/((A_Corridor!$A$5:$A$204&lt;&gt;"")*(A_Corridor!$A$5:$A$204&lt;=$B907)*(A_Corridor!$B$5:$B$204&gt;$B907)*(A_Corridor!$E$5:$E$204&lt;&gt;"")),IF(A_Corridor!$E$5:$E$204="-","",1)),"")</f>
        <v/>
      </c>
      <c r="G907" s="182" t="str">
        <f>IFERROR(LOOKUP(2,1/((A_Corridor!$A$5:$A$204&lt;&gt;"")*(A_Corridor!$A$5:$A$204&lt;=$B907)*(A_Corridor!$B$5:$B$204&gt;$B907)*(A_Corridor!$E$5:$E$204&lt;&gt;"")),IF(A_Corridor!$E$5:$E$204="-","",A_Corridor!$E$5:$E$204)),"")</f>
        <v/>
      </c>
      <c r="H907" s="182" t="str">
        <f>IFERROR(LOOKUP(2,1/((D_Points!$A$5:$A$204&lt;&gt;"")*(D_Points!$A$5:$A$204&gt;=$B907)*(D_Points!$A$5:$A$204&lt;$B907+P_Interval)*(UPPER(TRIM(D_Points!$B$5:$B$204))="GULLY")*(D_Points!$H$5:$H$204&lt;&gt;"")),D_Points!$H$5:$H$204),"")</f>
        <v/>
      </c>
      <c r="I907" s="181" t="str">
        <f>IFERROR(LOOKUP(2,1/((A_Corridor!$A$5:$A$204&lt;&gt;"")*(A_Corridor!$A$5:$A$204&lt;=$B907)*(A_Corridor!$B$5:$B$204&gt;$B907)*(A_Corridor!$F$5:$F$204&lt;&gt;"")),IF(A_Corridor!$F$5:$F$204="-","",1)),"")</f>
        <v/>
      </c>
      <c r="J907" s="182" t="str">
        <f>IFERROR(LOOKUP(2,1/((A_Corridor!$A$5:$A$204&lt;&gt;"")*(A_Corridor!$A$5:$A$204&lt;=$B907)*(A_Corridor!$B$5:$B$204&gt;$B907)*(A_Corridor!$F$5:$F$204&lt;&gt;"")),IF(A_Corridor!$F$5:$F$204="-","",A_Corridor!$F$5:$F$204)),"")</f>
        <v/>
      </c>
      <c r="K907" s="182" t="str">
        <f>IFERROR(LOOKUP(2,1/((A_Corridor!$A$5:$A$204&lt;&gt;"")*(A_Corridor!$A$5:$A$204&lt;=$B907)*(A_Corridor!$B$5:$B$204&gt;$B907)*(A_Corridor!$G$5:$G$204&lt;&gt;"")),IF(A_Corridor!$G$5:$G$204="-","",A_Corridor!$G$5:$G$204)),"")</f>
        <v/>
      </c>
      <c r="L907" s="181" t="str">
        <f>IFERROR(LOOKUP(2,1/((A_Corridor!$A$5:$A$204&lt;&gt;"")*(A_Corridor!$A$5:$A$204&lt;=$B907)*(A_Corridor!$B$5:$B$204&gt;$B907)*(A_Corridor!$H$5:$H$204&lt;&gt;"")),IF(A_Corridor!$H$5:$H$204="-","",1)),"")</f>
        <v/>
      </c>
      <c r="M907" s="182" t="str">
        <f>IFERROR(LOOKUP(2,1/((A_Corridor!$A$5:$A$204&lt;&gt;"")*(A_Corridor!$A$5:$A$204&lt;=$B907)*(A_Corridor!$B$5:$B$204&gt;$B907)*(A_Corridor!$H$5:$H$204&lt;&gt;"")),IF(A_Corridor!$H$5:$H$204="-","",A_Corridor!$H$5:$H$204)),"")</f>
        <v/>
      </c>
      <c r="N907" s="182" t="str">
        <f>IFERROR(LOOKUP(2,1/((A_Corridor!$A$5:$A$204&lt;&gt;"")*(A_Corridor!$A$5:$A$204&lt;=$B907)*(A_Corridor!$B$5:$B$204&gt;$B907)*(A_Corridor!$I$5:$I$204&lt;&gt;"")),IF(A_Corridor!$I$5:$I$204="-","",A_Corridor!$I$5:$I$204)),"")</f>
        <v/>
      </c>
      <c r="O907" s="182" t="str">
        <f>IFERROR(LOOKUP(2,1/((D_Points!$A$5:$A$204&lt;&gt;"")*(D_Points!$A$5:$A$204&gt;=$B907)*(D_Points!$A$5:$A$204&lt;$B907+P_Interval)*(UPPER(TRIM(D_Points!$B$5:$B$204))="PITCHING")*(D_Points!$H$5:$H$204&lt;&gt;"")),D_Points!$H$5:$H$204),"")</f>
        <v/>
      </c>
      <c r="P907" s="181" t="str">
        <f>IFERROR(LOOKUP(2,1/((B_Drainage!$A$5:$A$204&lt;&gt;"")*(B_Drainage!$A$5:$A$204&lt;=$B907)*(B_Drainage!$B$5:$B$204&gt;$B907)*(B_Drainage!$C$5:$C$204&lt;&gt;"")),IF(B_Drainage!$C$5:$C$204="-","",UPPER(B_Drainage!$C$5:$C$204))),"")</f>
        <v/>
      </c>
      <c r="Q907" s="181" t="str">
        <f>IFERROR(LOOKUP(2,1/((B_Drainage!$A$5:$A$204&lt;&gt;"")*(B_Drainage!$A$5:$A$204&lt;=$B907)*(B_Drainage!$B$5:$B$204&gt;$B907)*(B_Drainage!$D$5:$D$204&lt;&gt;"")),IF(B_Drainage!$D$5:$D$204="-","",UPPER(B_Drainage!$D$5:$D$204))),"")</f>
        <v/>
      </c>
      <c r="R907" s="182" t="str">
        <f>IFERROR(LOOKUP(2,1/((D_Points!$A$5:$A$204&lt;&gt;"")*(D_Points!$A$5:$A$204&gt;=$B907)*(D_Points!$A$5:$A$204&lt;$B907+P_Interval)*(RIGHT(UPPER(TRIM(D_Points!$B$5:$B$204)),8)="_CULVERT")),IF(LEFT(UPPER(TRIM(D_Points!$B$5:$B$204)),2)="EX",1,IF(LEFT(UPPER(TRIM(D_Points!$B$5:$B$204)),2)="PR",2,3))),"")</f>
        <v/>
      </c>
      <c r="S907" s="182" t="str">
        <f>IFERROR(LOOKUP(2,1/((D_Points!$A$5:$A$204&lt;&gt;"")*(D_Points!$A$5:$A$204&gt;=$B907)*(D_Points!$A$5:$A$204&lt;$B907+P_Interval)*(RIGHT(UPPER(TRIM(D_Points!$B$5:$B$204)),7)="_BRIDGE")),IF(LEFT(UPPER(TRIM(D_Points!$B$5:$B$204)),2)="EX",1,IF(LEFT(UPPER(TRIM(D_Points!$B$5:$B$204)),2)="PR",2,2))),"")</f>
        <v/>
      </c>
      <c r="T907" s="181" t="str">
        <f>IFERROR(LOOKUP(2,1/((B_Drainage!$A$5:$A$204&lt;&gt;"")*(B_Drainage!$A$5:$A$204&lt;=$B907)*(B_Drainage!$B$5:$B$204&gt;$B907)*(B_Drainage!$E$5:$E$204&lt;&gt;"")),IF(B_Drainage!$E$5:$E$204="-","",1)),"")</f>
        <v/>
      </c>
      <c r="U907" s="181" t="str">
        <f>IFERROR(LOOKUP(2,1/((B_Drainage!$A$5:$A$204&lt;&gt;"")*(B_Drainage!$A$5:$A$204&lt;=$B907)*(B_Drainage!$B$5:$B$204&gt;$B907)*(B_Drainage!$E$5:$E$204&lt;&gt;"")),IF(B_Drainage!$E$5:$E$204="-","",B_Drainage!$E$5:$E$204)),"")</f>
        <v/>
      </c>
      <c r="V907" s="181" t="str">
        <f>IFERROR(LOOKUP(2,1/((B_Drainage!$A$5:$A$204&lt;&gt;"")*(B_Drainage!$A$5:$A$204&lt;=$B907)*(B_Drainage!$B$5:$B$204&gt;$B907)*(B_Drainage!$F$5:$F$204&lt;&gt;"")),IF(B_Drainage!$F$5:$F$204="-","",1)),"")</f>
        <v/>
      </c>
      <c r="W907" s="181" t="str">
        <f>IFERROR(LOOKUP(2,1/((B_Drainage!$A$5:$A$204&lt;&gt;"")*(B_Drainage!$A$5:$A$204&lt;=$B907)*(B_Drainage!$B$5:$B$204&gt;$B907)*(B_Drainage!$F$5:$F$204&lt;&gt;"")),IF(B_Drainage!$F$5:$F$204="-","",B_Drainage!$F$5:$F$204)),"")</f>
        <v/>
      </c>
      <c r="X907" s="181" t="str">
        <f>IFERROR(LOOKUP(2,1/((B_Drainage!$A$5:$A$204&lt;&gt;"")*(B_Drainage!$A$5:$A$204&lt;=$B907)*(B_Drainage!$B$5:$B$204&gt;$B907)*(B_Drainage!$G$5:$G$204&lt;&gt;"")),IF(UPPER(B_Drainage!$G$5:$G$204)="Y",1,"")),"")</f>
        <v/>
      </c>
      <c r="Y907" s="181" t="str">
        <f>IFERROR(LOOKUP(2,1/((B_Drainage!$A$5:$A$204&lt;&gt;"")*(B_Drainage!$A$5:$A$204&lt;=$B907)*(B_Drainage!$B$5:$B$204&gt;$B907)*(B_Drainage!$H$5:$H$204&lt;&gt;"")),IF(UPPER(B_Drainage!$H$5:$H$204)="Y",1,"")),"")</f>
        <v/>
      </c>
      <c r="Z907" s="181" t="str">
        <f>IFERROR(LOOKUP(2,1/((B_Drainage!$A$5:$A$204&lt;&gt;"")*(B_Drainage!$A$5:$A$204&lt;=$B907)*(B_Drainage!$B$5:$B$204&gt;$B907)*(B_Drainage!$I$5:$I$204&lt;&gt;"")),IF(UPPER(B_Drainage!$I$5:$I$204)="Y",1,"")),"")</f>
        <v/>
      </c>
      <c r="AA907" s="181" t="str">
        <f>IFERROR(LOOKUP(2,1/((B_Drainage!$A$5:$A$204&lt;&gt;"")*(B_Drainage!$A$5:$A$204&lt;=$B907)*(B_Drainage!$B$5:$B$204&gt;$B907)*(B_Drainage!$J$5:$J$204&lt;&gt;"")),IF(UPPER(B_Drainage!$J$5:$J$204)="Y",1,"")),"")</f>
        <v/>
      </c>
      <c r="AB907" s="182" t="str">
        <f>IFERROR(LOOKUP(2,1/((B_Drainage!$A$5:$A$204&lt;&gt;"")*(B_Drainage!$A$5:$A$204&lt;=$B907)*(B_Drainage!$B$5:$B$204&gt;$B907)*(B_Drainage!$K$5:$K$204&lt;&gt;"")),IF(B_Drainage!$K$5:$K$204="-","",B_Drainage!$K$5:$K$204)),"")</f>
        <v/>
      </c>
      <c r="AC907" s="182" t="str">
        <f>IFERROR(LOOKUP(2,1/((B_Drainage!$A$5:$A$204&lt;&gt;"")*(B_Drainage!$A$5:$A$204&lt;=$B907)*(B_Drainage!$B$5:$B$204&gt;$B907)*(B_Drainage!$L$5:$L$204&lt;&gt;"")),IF(B_Drainage!$L$5:$L$204="-","",B_Drainage!$L$5:$L$204)),"")</f>
        <v/>
      </c>
      <c r="AD907" s="182" t="str">
        <f>IFERROR(LOOKUP(2,1/((D_Points!$A$5:$A$204&lt;&gt;"")*(D_Points!$A$5:$A$204&gt;=$B907)*(D_Points!$A$5:$A$204&lt;$B907+P_Interval)*(UPPER(TRIM(D_Points!$B$5:$B$204))="TURNOUT_L")*(D_Points!$H$5:$H$204&lt;&gt;"")),D_Points!$H$5:$H$204),"")</f>
        <v/>
      </c>
      <c r="AE907" s="182" t="str">
        <f>IFERROR(LOOKUP(2,1/((D_Points!$A$5:$A$204&lt;&gt;"")*(D_Points!$A$5:$A$204&gt;=$B907)*(D_Points!$A$5:$A$204&lt;$B907+P_Interval)*(UPPER(TRIM(D_Points!$B$5:$B$204))="TURNOUT_R")*(D_Points!$H$5:$H$204&lt;&gt;"")),D_Points!$H$5:$H$204),"")</f>
        <v/>
      </c>
      <c r="AF907" s="181" t="str">
        <f>IFERROR(LOOKUP(2,1/((B_Drainage!$A$5:$A$204&lt;&gt;"")*(B_Drainage!$A$5:$A$204&lt;=$B907)*(B_Drainage!$B$5:$B$204&gt;$B907)*(B_Drainage!$M$5:$M$204&lt;&gt;"")),IF(UPPER(B_Drainage!$M$5:$M$204)="Y",1,"")),"")</f>
        <v/>
      </c>
      <c r="AG907" s="181" t="str">
        <f>IFERROR(LOOKUP(2,1/((B_Drainage!$A$5:$A$204&lt;&gt;"")*(B_Drainage!$A$5:$A$204&lt;=$B907)*(B_Drainage!$B$5:$B$204&gt;$B907)*(B_Drainage!$N$5:$N$204&lt;&gt;"")),IF(UPPER(B_Drainage!$N$5:$N$204)="Y",1,"")),"")</f>
        <v/>
      </c>
      <c r="AH907" s="181" t="str">
        <f t="shared" si="112"/>
        <v/>
      </c>
      <c r="AI907" s="181" t="str">
        <f t="shared" si="113"/>
        <v/>
      </c>
      <c r="AJ907" s="181" t="str">
        <f t="shared" si="114"/>
        <v/>
      </c>
      <c r="AK907" s="181" t="str">
        <f t="shared" si="115"/>
        <v/>
      </c>
      <c r="AL907" s="181" t="str">
        <f t="shared" si="116"/>
        <v/>
      </c>
      <c r="AM907" s="181" t="str">
        <f t="shared" si="117"/>
        <v/>
      </c>
      <c r="AN907" s="181" t="str">
        <f t="shared" si="118"/>
        <v/>
      </c>
      <c r="AO907" s="192" t="str">
        <f t="shared" si="119"/>
        <v/>
      </c>
      <c r="AQ907" t="str">
        <f>IFERROR(LOOKUP(2,1/((C_Pavement!$A$5:$A$204&lt;&gt;"")*(C_Pavement!$A$5:$A$204&lt;=$B907)*(C_Pavement!$B$5:$B$204&gt;$B907)*(C_Pavement!$C$5:$C$204&lt;&gt;"")),ROW(C_Pavement!$C$5:$C$204)-4),"")</f>
        <v/>
      </c>
      <c r="AR907" t="str">
        <f>IF($AQ907="","",UPPER(TRIM(INDEX(C_Pavement!$C$5:$C$204,$AQ907))))</f>
        <v/>
      </c>
      <c r="AS907" t="str">
        <f>IF($AR907="","",IFERROR(MATCH($AR907,E_Rules!$A$5:$A$9,0),""))</f>
        <v/>
      </c>
      <c r="AT907" t="str">
        <f>IF($AQ907="","",IF(INDEX(C_Pavement!$D$5:$D$204,$AQ907)&lt;&gt;"",UPPER(TRIM(INDEX(C_Pavement!$D$5:$D$204,$AQ907))),IF($AS907="","",INDEX(E_Rules!$C$5:$C$9,$AS907))))</f>
        <v/>
      </c>
      <c r="AU907" t="str">
        <f>IF($AQ907="","",IF(INDEX(C_Pavement!$E$5:$E$204,$AQ907)&lt;&gt;"",IF(INDEX(C_Pavement!$E$5:$E$204,$AQ907)="-","",INDEX(C_Pavement!$E$5:$E$204,$AQ907)),IF($AS907="","",INDEX(E_Rules!$D$5:$D$9,$AS907))))</f>
        <v/>
      </c>
      <c r="AV907" t="str">
        <f>IF($AQ907="","",IF(INDEX(C_Pavement!$F$5:$F$204,$AQ907)&lt;&gt;"",IF(INDEX(C_Pavement!$F$5:$F$204,$AQ907)="-","",INDEX(C_Pavement!$F$5:$F$204,$AQ907)),IF($AS907="","",INDEX(E_Rules!$E$5:$E$9,$AS907))))</f>
        <v/>
      </c>
      <c r="AW907" t="str">
        <f>IF($AQ907="","",IF(INDEX(C_Pavement!$G$5:$G$204,$AQ907)&lt;&gt;"",IF(INDEX(C_Pavement!$G$5:$G$204,$AQ907)="-","",INDEX(C_Pavement!$G$5:$G$204,$AQ907)),IF($AS907="","",INDEX(E_Rules!$F$5:$F$9,$AS907))))</f>
        <v/>
      </c>
      <c r="AX907" t="str">
        <f>IF($AQ907="","",IF(INDEX(C_Pavement!$H$5:$H$204,$AQ907)&lt;&gt;"",IF(INDEX(C_Pavement!$H$5:$H$204,$AQ907)="-","",INDEX(C_Pavement!$H$5:$H$204,$AQ907)),IF($AS907="","",INDEX(E_Rules!$G$5:$G$9,$AS907))))</f>
        <v/>
      </c>
      <c r="AY907" t="str">
        <f>IF($AQ907="","",IF(INDEX(C_Pavement!$I$5:$I$204,$AQ907)&lt;&gt;"",IF(INDEX(C_Pavement!$I$5:$I$204,$AQ907)="-","",INDEX(C_Pavement!$I$5:$I$204,$AQ907)),IF($AS907="","",INDEX(E_Rules!$H$5:$H$9,$AS907))))</f>
        <v/>
      </c>
    </row>
    <row r="908" spans="1:51" ht="15.75" customHeight="1" x14ac:dyDescent="0.3">
      <c r="A908" s="189">
        <v>903</v>
      </c>
      <c r="B908" s="180">
        <v>45100</v>
      </c>
      <c r="C908" s="180" t="s">
        <v>1214</v>
      </c>
      <c r="D908" s="181" t="str">
        <f>IFERROR(LOOKUP(2,1/((A_Corridor!$A$5:$A$204&lt;&gt;"")*(A_Corridor!$A$5:$A$204&lt;=$B908)*(A_Corridor!$B$5:$B$204&gt;$B908)*(A_Corridor!$C$5:$C$204&lt;&gt;"")),IF(UPPER(A_Corridor!$C$5:$C$204)="Y",1,"")),"")</f>
        <v/>
      </c>
      <c r="E908" s="181" t="str">
        <f>IFERROR(LOOKUP(2,1/((A_Corridor!$A$5:$A$204&lt;&gt;"")*(A_Corridor!$A$5:$A$204&lt;=$B908)*(A_Corridor!$B$5:$B$204&gt;$B908)*(A_Corridor!$D$5:$D$204&lt;&gt;"")),IF(A_Corridor!$D$5:$D$204="-","",UPPER(A_Corridor!$D$5:$D$204))),"")</f>
        <v/>
      </c>
      <c r="F908" s="181" t="str">
        <f>IFERROR(LOOKUP(2,1/((A_Corridor!$A$5:$A$204&lt;&gt;"")*(A_Corridor!$A$5:$A$204&lt;=$B908)*(A_Corridor!$B$5:$B$204&gt;$B908)*(A_Corridor!$E$5:$E$204&lt;&gt;"")),IF(A_Corridor!$E$5:$E$204="-","",1)),"")</f>
        <v/>
      </c>
      <c r="G908" s="182" t="str">
        <f>IFERROR(LOOKUP(2,1/((A_Corridor!$A$5:$A$204&lt;&gt;"")*(A_Corridor!$A$5:$A$204&lt;=$B908)*(A_Corridor!$B$5:$B$204&gt;$B908)*(A_Corridor!$E$5:$E$204&lt;&gt;"")),IF(A_Corridor!$E$5:$E$204="-","",A_Corridor!$E$5:$E$204)),"")</f>
        <v/>
      </c>
      <c r="H908" s="182" t="str">
        <f>IFERROR(LOOKUP(2,1/((D_Points!$A$5:$A$204&lt;&gt;"")*(D_Points!$A$5:$A$204&gt;=$B908)*(D_Points!$A$5:$A$204&lt;$B908+P_Interval)*(UPPER(TRIM(D_Points!$B$5:$B$204))="GULLY")*(D_Points!$H$5:$H$204&lt;&gt;"")),D_Points!$H$5:$H$204),"")</f>
        <v/>
      </c>
      <c r="I908" s="181" t="str">
        <f>IFERROR(LOOKUP(2,1/((A_Corridor!$A$5:$A$204&lt;&gt;"")*(A_Corridor!$A$5:$A$204&lt;=$B908)*(A_Corridor!$B$5:$B$204&gt;$B908)*(A_Corridor!$F$5:$F$204&lt;&gt;"")),IF(A_Corridor!$F$5:$F$204="-","",1)),"")</f>
        <v/>
      </c>
      <c r="J908" s="182" t="str">
        <f>IFERROR(LOOKUP(2,1/((A_Corridor!$A$5:$A$204&lt;&gt;"")*(A_Corridor!$A$5:$A$204&lt;=$B908)*(A_Corridor!$B$5:$B$204&gt;$B908)*(A_Corridor!$F$5:$F$204&lt;&gt;"")),IF(A_Corridor!$F$5:$F$204="-","",A_Corridor!$F$5:$F$204)),"")</f>
        <v/>
      </c>
      <c r="K908" s="182" t="str">
        <f>IFERROR(LOOKUP(2,1/((A_Corridor!$A$5:$A$204&lt;&gt;"")*(A_Corridor!$A$5:$A$204&lt;=$B908)*(A_Corridor!$B$5:$B$204&gt;$B908)*(A_Corridor!$G$5:$G$204&lt;&gt;"")),IF(A_Corridor!$G$5:$G$204="-","",A_Corridor!$G$5:$G$204)),"")</f>
        <v/>
      </c>
      <c r="L908" s="181" t="str">
        <f>IFERROR(LOOKUP(2,1/((A_Corridor!$A$5:$A$204&lt;&gt;"")*(A_Corridor!$A$5:$A$204&lt;=$B908)*(A_Corridor!$B$5:$B$204&gt;$B908)*(A_Corridor!$H$5:$H$204&lt;&gt;"")),IF(A_Corridor!$H$5:$H$204="-","",1)),"")</f>
        <v/>
      </c>
      <c r="M908" s="182" t="str">
        <f>IFERROR(LOOKUP(2,1/((A_Corridor!$A$5:$A$204&lt;&gt;"")*(A_Corridor!$A$5:$A$204&lt;=$B908)*(A_Corridor!$B$5:$B$204&gt;$B908)*(A_Corridor!$H$5:$H$204&lt;&gt;"")),IF(A_Corridor!$H$5:$H$204="-","",A_Corridor!$H$5:$H$204)),"")</f>
        <v/>
      </c>
      <c r="N908" s="182" t="str">
        <f>IFERROR(LOOKUP(2,1/((A_Corridor!$A$5:$A$204&lt;&gt;"")*(A_Corridor!$A$5:$A$204&lt;=$B908)*(A_Corridor!$B$5:$B$204&gt;$B908)*(A_Corridor!$I$5:$I$204&lt;&gt;"")),IF(A_Corridor!$I$5:$I$204="-","",A_Corridor!$I$5:$I$204)),"")</f>
        <v/>
      </c>
      <c r="O908" s="182" t="str">
        <f>IFERROR(LOOKUP(2,1/((D_Points!$A$5:$A$204&lt;&gt;"")*(D_Points!$A$5:$A$204&gt;=$B908)*(D_Points!$A$5:$A$204&lt;$B908+P_Interval)*(UPPER(TRIM(D_Points!$B$5:$B$204))="PITCHING")*(D_Points!$H$5:$H$204&lt;&gt;"")),D_Points!$H$5:$H$204),"")</f>
        <v/>
      </c>
      <c r="P908" s="181" t="str">
        <f>IFERROR(LOOKUP(2,1/((B_Drainage!$A$5:$A$204&lt;&gt;"")*(B_Drainage!$A$5:$A$204&lt;=$B908)*(B_Drainage!$B$5:$B$204&gt;$B908)*(B_Drainage!$C$5:$C$204&lt;&gt;"")),IF(B_Drainage!$C$5:$C$204="-","",UPPER(B_Drainage!$C$5:$C$204))),"")</f>
        <v/>
      </c>
      <c r="Q908" s="181" t="str">
        <f>IFERROR(LOOKUP(2,1/((B_Drainage!$A$5:$A$204&lt;&gt;"")*(B_Drainage!$A$5:$A$204&lt;=$B908)*(B_Drainage!$B$5:$B$204&gt;$B908)*(B_Drainage!$D$5:$D$204&lt;&gt;"")),IF(B_Drainage!$D$5:$D$204="-","",UPPER(B_Drainage!$D$5:$D$204))),"")</f>
        <v/>
      </c>
      <c r="R908" s="182" t="str">
        <f>IFERROR(LOOKUP(2,1/((D_Points!$A$5:$A$204&lt;&gt;"")*(D_Points!$A$5:$A$204&gt;=$B908)*(D_Points!$A$5:$A$204&lt;$B908+P_Interval)*(RIGHT(UPPER(TRIM(D_Points!$B$5:$B$204)),8)="_CULVERT")),IF(LEFT(UPPER(TRIM(D_Points!$B$5:$B$204)),2)="EX",1,IF(LEFT(UPPER(TRIM(D_Points!$B$5:$B$204)),2)="PR",2,3))),"")</f>
        <v/>
      </c>
      <c r="S908" s="182" t="str">
        <f>IFERROR(LOOKUP(2,1/((D_Points!$A$5:$A$204&lt;&gt;"")*(D_Points!$A$5:$A$204&gt;=$B908)*(D_Points!$A$5:$A$204&lt;$B908+P_Interval)*(RIGHT(UPPER(TRIM(D_Points!$B$5:$B$204)),7)="_BRIDGE")),IF(LEFT(UPPER(TRIM(D_Points!$B$5:$B$204)),2)="EX",1,IF(LEFT(UPPER(TRIM(D_Points!$B$5:$B$204)),2)="PR",2,2))),"")</f>
        <v/>
      </c>
      <c r="T908" s="181" t="str">
        <f>IFERROR(LOOKUP(2,1/((B_Drainage!$A$5:$A$204&lt;&gt;"")*(B_Drainage!$A$5:$A$204&lt;=$B908)*(B_Drainage!$B$5:$B$204&gt;$B908)*(B_Drainage!$E$5:$E$204&lt;&gt;"")),IF(B_Drainage!$E$5:$E$204="-","",1)),"")</f>
        <v/>
      </c>
      <c r="U908" s="181" t="str">
        <f>IFERROR(LOOKUP(2,1/((B_Drainage!$A$5:$A$204&lt;&gt;"")*(B_Drainage!$A$5:$A$204&lt;=$B908)*(B_Drainage!$B$5:$B$204&gt;$B908)*(B_Drainage!$E$5:$E$204&lt;&gt;"")),IF(B_Drainage!$E$5:$E$204="-","",B_Drainage!$E$5:$E$204)),"")</f>
        <v/>
      </c>
      <c r="V908" s="181" t="str">
        <f>IFERROR(LOOKUP(2,1/((B_Drainage!$A$5:$A$204&lt;&gt;"")*(B_Drainage!$A$5:$A$204&lt;=$B908)*(B_Drainage!$B$5:$B$204&gt;$B908)*(B_Drainage!$F$5:$F$204&lt;&gt;"")),IF(B_Drainage!$F$5:$F$204="-","",1)),"")</f>
        <v/>
      </c>
      <c r="W908" s="181" t="str">
        <f>IFERROR(LOOKUP(2,1/((B_Drainage!$A$5:$A$204&lt;&gt;"")*(B_Drainage!$A$5:$A$204&lt;=$B908)*(B_Drainage!$B$5:$B$204&gt;$B908)*(B_Drainage!$F$5:$F$204&lt;&gt;"")),IF(B_Drainage!$F$5:$F$204="-","",B_Drainage!$F$5:$F$204)),"")</f>
        <v/>
      </c>
      <c r="X908" s="181" t="str">
        <f>IFERROR(LOOKUP(2,1/((B_Drainage!$A$5:$A$204&lt;&gt;"")*(B_Drainage!$A$5:$A$204&lt;=$B908)*(B_Drainage!$B$5:$B$204&gt;$B908)*(B_Drainage!$G$5:$G$204&lt;&gt;"")),IF(UPPER(B_Drainage!$G$5:$G$204)="Y",1,"")),"")</f>
        <v/>
      </c>
      <c r="Y908" s="181" t="str">
        <f>IFERROR(LOOKUP(2,1/((B_Drainage!$A$5:$A$204&lt;&gt;"")*(B_Drainage!$A$5:$A$204&lt;=$B908)*(B_Drainage!$B$5:$B$204&gt;$B908)*(B_Drainage!$H$5:$H$204&lt;&gt;"")),IF(UPPER(B_Drainage!$H$5:$H$204)="Y",1,"")),"")</f>
        <v/>
      </c>
      <c r="Z908" s="181" t="str">
        <f>IFERROR(LOOKUP(2,1/((B_Drainage!$A$5:$A$204&lt;&gt;"")*(B_Drainage!$A$5:$A$204&lt;=$B908)*(B_Drainage!$B$5:$B$204&gt;$B908)*(B_Drainage!$I$5:$I$204&lt;&gt;"")),IF(UPPER(B_Drainage!$I$5:$I$204)="Y",1,"")),"")</f>
        <v/>
      </c>
      <c r="AA908" s="181" t="str">
        <f>IFERROR(LOOKUP(2,1/((B_Drainage!$A$5:$A$204&lt;&gt;"")*(B_Drainage!$A$5:$A$204&lt;=$B908)*(B_Drainage!$B$5:$B$204&gt;$B908)*(B_Drainage!$J$5:$J$204&lt;&gt;"")),IF(UPPER(B_Drainage!$J$5:$J$204)="Y",1,"")),"")</f>
        <v/>
      </c>
      <c r="AB908" s="182" t="str">
        <f>IFERROR(LOOKUP(2,1/((B_Drainage!$A$5:$A$204&lt;&gt;"")*(B_Drainage!$A$5:$A$204&lt;=$B908)*(B_Drainage!$B$5:$B$204&gt;$B908)*(B_Drainage!$K$5:$K$204&lt;&gt;"")),IF(B_Drainage!$K$5:$K$204="-","",B_Drainage!$K$5:$K$204)),"")</f>
        <v/>
      </c>
      <c r="AC908" s="182" t="str">
        <f>IFERROR(LOOKUP(2,1/((B_Drainage!$A$5:$A$204&lt;&gt;"")*(B_Drainage!$A$5:$A$204&lt;=$B908)*(B_Drainage!$B$5:$B$204&gt;$B908)*(B_Drainage!$L$5:$L$204&lt;&gt;"")),IF(B_Drainage!$L$5:$L$204="-","",B_Drainage!$L$5:$L$204)),"")</f>
        <v/>
      </c>
      <c r="AD908" s="182" t="str">
        <f>IFERROR(LOOKUP(2,1/((D_Points!$A$5:$A$204&lt;&gt;"")*(D_Points!$A$5:$A$204&gt;=$B908)*(D_Points!$A$5:$A$204&lt;$B908+P_Interval)*(UPPER(TRIM(D_Points!$B$5:$B$204))="TURNOUT_L")*(D_Points!$H$5:$H$204&lt;&gt;"")),D_Points!$H$5:$H$204),"")</f>
        <v/>
      </c>
      <c r="AE908" s="182" t="str">
        <f>IFERROR(LOOKUP(2,1/((D_Points!$A$5:$A$204&lt;&gt;"")*(D_Points!$A$5:$A$204&gt;=$B908)*(D_Points!$A$5:$A$204&lt;$B908+P_Interval)*(UPPER(TRIM(D_Points!$B$5:$B$204))="TURNOUT_R")*(D_Points!$H$5:$H$204&lt;&gt;"")),D_Points!$H$5:$H$204),"")</f>
        <v/>
      </c>
      <c r="AF908" s="181" t="str">
        <f>IFERROR(LOOKUP(2,1/((B_Drainage!$A$5:$A$204&lt;&gt;"")*(B_Drainage!$A$5:$A$204&lt;=$B908)*(B_Drainage!$B$5:$B$204&gt;$B908)*(B_Drainage!$M$5:$M$204&lt;&gt;"")),IF(UPPER(B_Drainage!$M$5:$M$204)="Y",1,"")),"")</f>
        <v/>
      </c>
      <c r="AG908" s="181" t="str">
        <f>IFERROR(LOOKUP(2,1/((B_Drainage!$A$5:$A$204&lt;&gt;"")*(B_Drainage!$A$5:$A$204&lt;=$B908)*(B_Drainage!$B$5:$B$204&gt;$B908)*(B_Drainage!$N$5:$N$204&lt;&gt;"")),IF(UPPER(B_Drainage!$N$5:$N$204)="Y",1,"")),"")</f>
        <v/>
      </c>
      <c r="AH908" s="181" t="str">
        <f t="shared" si="112"/>
        <v/>
      </c>
      <c r="AI908" s="181" t="str">
        <f t="shared" si="113"/>
        <v/>
      </c>
      <c r="AJ908" s="181" t="str">
        <f t="shared" si="114"/>
        <v/>
      </c>
      <c r="AK908" s="181" t="str">
        <f t="shared" si="115"/>
        <v/>
      </c>
      <c r="AL908" s="181" t="str">
        <f t="shared" si="116"/>
        <v/>
      </c>
      <c r="AM908" s="181" t="str">
        <f t="shared" si="117"/>
        <v/>
      </c>
      <c r="AN908" s="181" t="str">
        <f t="shared" si="118"/>
        <v/>
      </c>
      <c r="AO908" s="192" t="str">
        <f t="shared" si="119"/>
        <v/>
      </c>
      <c r="AQ908" t="str">
        <f>IFERROR(LOOKUP(2,1/((C_Pavement!$A$5:$A$204&lt;&gt;"")*(C_Pavement!$A$5:$A$204&lt;=$B908)*(C_Pavement!$B$5:$B$204&gt;$B908)*(C_Pavement!$C$5:$C$204&lt;&gt;"")),ROW(C_Pavement!$C$5:$C$204)-4),"")</f>
        <v/>
      </c>
      <c r="AR908" t="str">
        <f>IF($AQ908="","",UPPER(TRIM(INDEX(C_Pavement!$C$5:$C$204,$AQ908))))</f>
        <v/>
      </c>
      <c r="AS908" t="str">
        <f>IF($AR908="","",IFERROR(MATCH($AR908,E_Rules!$A$5:$A$9,0),""))</f>
        <v/>
      </c>
      <c r="AT908" t="str">
        <f>IF($AQ908="","",IF(INDEX(C_Pavement!$D$5:$D$204,$AQ908)&lt;&gt;"",UPPER(TRIM(INDEX(C_Pavement!$D$5:$D$204,$AQ908))),IF($AS908="","",INDEX(E_Rules!$C$5:$C$9,$AS908))))</f>
        <v/>
      </c>
      <c r="AU908" t="str">
        <f>IF($AQ908="","",IF(INDEX(C_Pavement!$E$5:$E$204,$AQ908)&lt;&gt;"",IF(INDEX(C_Pavement!$E$5:$E$204,$AQ908)="-","",INDEX(C_Pavement!$E$5:$E$204,$AQ908)),IF($AS908="","",INDEX(E_Rules!$D$5:$D$9,$AS908))))</f>
        <v/>
      </c>
      <c r="AV908" t="str">
        <f>IF($AQ908="","",IF(INDEX(C_Pavement!$F$5:$F$204,$AQ908)&lt;&gt;"",IF(INDEX(C_Pavement!$F$5:$F$204,$AQ908)="-","",INDEX(C_Pavement!$F$5:$F$204,$AQ908)),IF($AS908="","",INDEX(E_Rules!$E$5:$E$9,$AS908))))</f>
        <v/>
      </c>
      <c r="AW908" t="str">
        <f>IF($AQ908="","",IF(INDEX(C_Pavement!$G$5:$G$204,$AQ908)&lt;&gt;"",IF(INDEX(C_Pavement!$G$5:$G$204,$AQ908)="-","",INDEX(C_Pavement!$G$5:$G$204,$AQ908)),IF($AS908="","",INDEX(E_Rules!$F$5:$F$9,$AS908))))</f>
        <v/>
      </c>
      <c r="AX908" t="str">
        <f>IF($AQ908="","",IF(INDEX(C_Pavement!$H$5:$H$204,$AQ908)&lt;&gt;"",IF(INDEX(C_Pavement!$H$5:$H$204,$AQ908)="-","",INDEX(C_Pavement!$H$5:$H$204,$AQ908)),IF($AS908="","",INDEX(E_Rules!$G$5:$G$9,$AS908))))</f>
        <v/>
      </c>
      <c r="AY908" t="str">
        <f>IF($AQ908="","",IF(INDEX(C_Pavement!$I$5:$I$204,$AQ908)&lt;&gt;"",IF(INDEX(C_Pavement!$I$5:$I$204,$AQ908)="-","",INDEX(C_Pavement!$I$5:$I$204,$AQ908)),IF($AS908="","",INDEX(E_Rules!$H$5:$H$9,$AS908))))</f>
        <v/>
      </c>
    </row>
    <row r="909" spans="1:51" ht="15.75" customHeight="1" x14ac:dyDescent="0.3">
      <c r="A909" s="189">
        <v>904</v>
      </c>
      <c r="B909" s="180">
        <v>45150</v>
      </c>
      <c r="C909" s="180" t="s">
        <v>1215</v>
      </c>
      <c r="D909" s="181" t="str">
        <f>IFERROR(LOOKUP(2,1/((A_Corridor!$A$5:$A$204&lt;&gt;"")*(A_Corridor!$A$5:$A$204&lt;=$B909)*(A_Corridor!$B$5:$B$204&gt;$B909)*(A_Corridor!$C$5:$C$204&lt;&gt;"")),IF(UPPER(A_Corridor!$C$5:$C$204)="Y",1,"")),"")</f>
        <v/>
      </c>
      <c r="E909" s="181" t="str">
        <f>IFERROR(LOOKUP(2,1/((A_Corridor!$A$5:$A$204&lt;&gt;"")*(A_Corridor!$A$5:$A$204&lt;=$B909)*(A_Corridor!$B$5:$B$204&gt;$B909)*(A_Corridor!$D$5:$D$204&lt;&gt;"")),IF(A_Corridor!$D$5:$D$204="-","",UPPER(A_Corridor!$D$5:$D$204))),"")</f>
        <v/>
      </c>
      <c r="F909" s="181" t="str">
        <f>IFERROR(LOOKUP(2,1/((A_Corridor!$A$5:$A$204&lt;&gt;"")*(A_Corridor!$A$5:$A$204&lt;=$B909)*(A_Corridor!$B$5:$B$204&gt;$B909)*(A_Corridor!$E$5:$E$204&lt;&gt;"")),IF(A_Corridor!$E$5:$E$204="-","",1)),"")</f>
        <v/>
      </c>
      <c r="G909" s="182" t="str">
        <f>IFERROR(LOOKUP(2,1/((A_Corridor!$A$5:$A$204&lt;&gt;"")*(A_Corridor!$A$5:$A$204&lt;=$B909)*(A_Corridor!$B$5:$B$204&gt;$B909)*(A_Corridor!$E$5:$E$204&lt;&gt;"")),IF(A_Corridor!$E$5:$E$204="-","",A_Corridor!$E$5:$E$204)),"")</f>
        <v/>
      </c>
      <c r="H909" s="182" t="str">
        <f>IFERROR(LOOKUP(2,1/((D_Points!$A$5:$A$204&lt;&gt;"")*(D_Points!$A$5:$A$204&gt;=$B909)*(D_Points!$A$5:$A$204&lt;$B909+P_Interval)*(UPPER(TRIM(D_Points!$B$5:$B$204))="GULLY")*(D_Points!$H$5:$H$204&lt;&gt;"")),D_Points!$H$5:$H$204),"")</f>
        <v/>
      </c>
      <c r="I909" s="181" t="str">
        <f>IFERROR(LOOKUP(2,1/((A_Corridor!$A$5:$A$204&lt;&gt;"")*(A_Corridor!$A$5:$A$204&lt;=$B909)*(A_Corridor!$B$5:$B$204&gt;$B909)*(A_Corridor!$F$5:$F$204&lt;&gt;"")),IF(A_Corridor!$F$5:$F$204="-","",1)),"")</f>
        <v/>
      </c>
      <c r="J909" s="182" t="str">
        <f>IFERROR(LOOKUP(2,1/((A_Corridor!$A$5:$A$204&lt;&gt;"")*(A_Corridor!$A$5:$A$204&lt;=$B909)*(A_Corridor!$B$5:$B$204&gt;$B909)*(A_Corridor!$F$5:$F$204&lt;&gt;"")),IF(A_Corridor!$F$5:$F$204="-","",A_Corridor!$F$5:$F$204)),"")</f>
        <v/>
      </c>
      <c r="K909" s="182" t="str">
        <f>IFERROR(LOOKUP(2,1/((A_Corridor!$A$5:$A$204&lt;&gt;"")*(A_Corridor!$A$5:$A$204&lt;=$B909)*(A_Corridor!$B$5:$B$204&gt;$B909)*(A_Corridor!$G$5:$G$204&lt;&gt;"")),IF(A_Corridor!$G$5:$G$204="-","",A_Corridor!$G$5:$G$204)),"")</f>
        <v/>
      </c>
      <c r="L909" s="181" t="str">
        <f>IFERROR(LOOKUP(2,1/((A_Corridor!$A$5:$A$204&lt;&gt;"")*(A_Corridor!$A$5:$A$204&lt;=$B909)*(A_Corridor!$B$5:$B$204&gt;$B909)*(A_Corridor!$H$5:$H$204&lt;&gt;"")),IF(A_Corridor!$H$5:$H$204="-","",1)),"")</f>
        <v/>
      </c>
      <c r="M909" s="182" t="str">
        <f>IFERROR(LOOKUP(2,1/((A_Corridor!$A$5:$A$204&lt;&gt;"")*(A_Corridor!$A$5:$A$204&lt;=$B909)*(A_Corridor!$B$5:$B$204&gt;$B909)*(A_Corridor!$H$5:$H$204&lt;&gt;"")),IF(A_Corridor!$H$5:$H$204="-","",A_Corridor!$H$5:$H$204)),"")</f>
        <v/>
      </c>
      <c r="N909" s="182" t="str">
        <f>IFERROR(LOOKUP(2,1/((A_Corridor!$A$5:$A$204&lt;&gt;"")*(A_Corridor!$A$5:$A$204&lt;=$B909)*(A_Corridor!$B$5:$B$204&gt;$B909)*(A_Corridor!$I$5:$I$204&lt;&gt;"")),IF(A_Corridor!$I$5:$I$204="-","",A_Corridor!$I$5:$I$204)),"")</f>
        <v/>
      </c>
      <c r="O909" s="182" t="str">
        <f>IFERROR(LOOKUP(2,1/((D_Points!$A$5:$A$204&lt;&gt;"")*(D_Points!$A$5:$A$204&gt;=$B909)*(D_Points!$A$5:$A$204&lt;$B909+P_Interval)*(UPPER(TRIM(D_Points!$B$5:$B$204))="PITCHING")*(D_Points!$H$5:$H$204&lt;&gt;"")),D_Points!$H$5:$H$204),"")</f>
        <v/>
      </c>
      <c r="P909" s="181" t="str">
        <f>IFERROR(LOOKUP(2,1/((B_Drainage!$A$5:$A$204&lt;&gt;"")*(B_Drainage!$A$5:$A$204&lt;=$B909)*(B_Drainage!$B$5:$B$204&gt;$B909)*(B_Drainage!$C$5:$C$204&lt;&gt;"")),IF(B_Drainage!$C$5:$C$204="-","",UPPER(B_Drainage!$C$5:$C$204))),"")</f>
        <v/>
      </c>
      <c r="Q909" s="181" t="str">
        <f>IFERROR(LOOKUP(2,1/((B_Drainage!$A$5:$A$204&lt;&gt;"")*(B_Drainage!$A$5:$A$204&lt;=$B909)*(B_Drainage!$B$5:$B$204&gt;$B909)*(B_Drainage!$D$5:$D$204&lt;&gt;"")),IF(B_Drainage!$D$5:$D$204="-","",UPPER(B_Drainage!$D$5:$D$204))),"")</f>
        <v/>
      </c>
      <c r="R909" s="182" t="str">
        <f>IFERROR(LOOKUP(2,1/((D_Points!$A$5:$A$204&lt;&gt;"")*(D_Points!$A$5:$A$204&gt;=$B909)*(D_Points!$A$5:$A$204&lt;$B909+P_Interval)*(RIGHT(UPPER(TRIM(D_Points!$B$5:$B$204)),8)="_CULVERT")),IF(LEFT(UPPER(TRIM(D_Points!$B$5:$B$204)),2)="EX",1,IF(LEFT(UPPER(TRIM(D_Points!$B$5:$B$204)),2)="PR",2,3))),"")</f>
        <v/>
      </c>
      <c r="S909" s="182" t="str">
        <f>IFERROR(LOOKUP(2,1/((D_Points!$A$5:$A$204&lt;&gt;"")*(D_Points!$A$5:$A$204&gt;=$B909)*(D_Points!$A$5:$A$204&lt;$B909+P_Interval)*(RIGHT(UPPER(TRIM(D_Points!$B$5:$B$204)),7)="_BRIDGE")),IF(LEFT(UPPER(TRIM(D_Points!$B$5:$B$204)),2)="EX",1,IF(LEFT(UPPER(TRIM(D_Points!$B$5:$B$204)),2)="PR",2,2))),"")</f>
        <v/>
      </c>
      <c r="T909" s="181" t="str">
        <f>IFERROR(LOOKUP(2,1/((B_Drainage!$A$5:$A$204&lt;&gt;"")*(B_Drainage!$A$5:$A$204&lt;=$B909)*(B_Drainage!$B$5:$B$204&gt;$B909)*(B_Drainage!$E$5:$E$204&lt;&gt;"")),IF(B_Drainage!$E$5:$E$204="-","",1)),"")</f>
        <v/>
      </c>
      <c r="U909" s="181" t="str">
        <f>IFERROR(LOOKUP(2,1/((B_Drainage!$A$5:$A$204&lt;&gt;"")*(B_Drainage!$A$5:$A$204&lt;=$B909)*(B_Drainage!$B$5:$B$204&gt;$B909)*(B_Drainage!$E$5:$E$204&lt;&gt;"")),IF(B_Drainage!$E$5:$E$204="-","",B_Drainage!$E$5:$E$204)),"")</f>
        <v/>
      </c>
      <c r="V909" s="181" t="str">
        <f>IFERROR(LOOKUP(2,1/((B_Drainage!$A$5:$A$204&lt;&gt;"")*(B_Drainage!$A$5:$A$204&lt;=$B909)*(B_Drainage!$B$5:$B$204&gt;$B909)*(B_Drainage!$F$5:$F$204&lt;&gt;"")),IF(B_Drainage!$F$5:$F$204="-","",1)),"")</f>
        <v/>
      </c>
      <c r="W909" s="181" t="str">
        <f>IFERROR(LOOKUP(2,1/((B_Drainage!$A$5:$A$204&lt;&gt;"")*(B_Drainage!$A$5:$A$204&lt;=$B909)*(B_Drainage!$B$5:$B$204&gt;$B909)*(B_Drainage!$F$5:$F$204&lt;&gt;"")),IF(B_Drainage!$F$5:$F$204="-","",B_Drainage!$F$5:$F$204)),"")</f>
        <v/>
      </c>
      <c r="X909" s="181" t="str">
        <f>IFERROR(LOOKUP(2,1/((B_Drainage!$A$5:$A$204&lt;&gt;"")*(B_Drainage!$A$5:$A$204&lt;=$B909)*(B_Drainage!$B$5:$B$204&gt;$B909)*(B_Drainage!$G$5:$G$204&lt;&gt;"")),IF(UPPER(B_Drainage!$G$5:$G$204)="Y",1,"")),"")</f>
        <v/>
      </c>
      <c r="Y909" s="181" t="str">
        <f>IFERROR(LOOKUP(2,1/((B_Drainage!$A$5:$A$204&lt;&gt;"")*(B_Drainage!$A$5:$A$204&lt;=$B909)*(B_Drainage!$B$5:$B$204&gt;$B909)*(B_Drainage!$H$5:$H$204&lt;&gt;"")),IF(UPPER(B_Drainage!$H$5:$H$204)="Y",1,"")),"")</f>
        <v/>
      </c>
      <c r="Z909" s="181" t="str">
        <f>IFERROR(LOOKUP(2,1/((B_Drainage!$A$5:$A$204&lt;&gt;"")*(B_Drainage!$A$5:$A$204&lt;=$B909)*(B_Drainage!$B$5:$B$204&gt;$B909)*(B_Drainage!$I$5:$I$204&lt;&gt;"")),IF(UPPER(B_Drainage!$I$5:$I$204)="Y",1,"")),"")</f>
        <v/>
      </c>
      <c r="AA909" s="181" t="str">
        <f>IFERROR(LOOKUP(2,1/((B_Drainage!$A$5:$A$204&lt;&gt;"")*(B_Drainage!$A$5:$A$204&lt;=$B909)*(B_Drainage!$B$5:$B$204&gt;$B909)*(B_Drainage!$J$5:$J$204&lt;&gt;"")),IF(UPPER(B_Drainage!$J$5:$J$204)="Y",1,"")),"")</f>
        <v/>
      </c>
      <c r="AB909" s="182" t="str">
        <f>IFERROR(LOOKUP(2,1/((B_Drainage!$A$5:$A$204&lt;&gt;"")*(B_Drainage!$A$5:$A$204&lt;=$B909)*(B_Drainage!$B$5:$B$204&gt;$B909)*(B_Drainage!$K$5:$K$204&lt;&gt;"")),IF(B_Drainage!$K$5:$K$204="-","",B_Drainage!$K$5:$K$204)),"")</f>
        <v/>
      </c>
      <c r="AC909" s="182" t="str">
        <f>IFERROR(LOOKUP(2,1/((B_Drainage!$A$5:$A$204&lt;&gt;"")*(B_Drainage!$A$5:$A$204&lt;=$B909)*(B_Drainage!$B$5:$B$204&gt;$B909)*(B_Drainage!$L$5:$L$204&lt;&gt;"")),IF(B_Drainage!$L$5:$L$204="-","",B_Drainage!$L$5:$L$204)),"")</f>
        <v/>
      </c>
      <c r="AD909" s="182" t="str">
        <f>IFERROR(LOOKUP(2,1/((D_Points!$A$5:$A$204&lt;&gt;"")*(D_Points!$A$5:$A$204&gt;=$B909)*(D_Points!$A$5:$A$204&lt;$B909+P_Interval)*(UPPER(TRIM(D_Points!$B$5:$B$204))="TURNOUT_L")*(D_Points!$H$5:$H$204&lt;&gt;"")),D_Points!$H$5:$H$204),"")</f>
        <v/>
      </c>
      <c r="AE909" s="182" t="str">
        <f>IFERROR(LOOKUP(2,1/((D_Points!$A$5:$A$204&lt;&gt;"")*(D_Points!$A$5:$A$204&gt;=$B909)*(D_Points!$A$5:$A$204&lt;$B909+P_Interval)*(UPPER(TRIM(D_Points!$B$5:$B$204))="TURNOUT_R")*(D_Points!$H$5:$H$204&lt;&gt;"")),D_Points!$H$5:$H$204),"")</f>
        <v/>
      </c>
      <c r="AF909" s="181" t="str">
        <f>IFERROR(LOOKUP(2,1/((B_Drainage!$A$5:$A$204&lt;&gt;"")*(B_Drainage!$A$5:$A$204&lt;=$B909)*(B_Drainage!$B$5:$B$204&gt;$B909)*(B_Drainage!$M$5:$M$204&lt;&gt;"")),IF(UPPER(B_Drainage!$M$5:$M$204)="Y",1,"")),"")</f>
        <v/>
      </c>
      <c r="AG909" s="181" t="str">
        <f>IFERROR(LOOKUP(2,1/((B_Drainage!$A$5:$A$204&lt;&gt;"")*(B_Drainage!$A$5:$A$204&lt;=$B909)*(B_Drainage!$B$5:$B$204&gt;$B909)*(B_Drainage!$N$5:$N$204&lt;&gt;"")),IF(UPPER(B_Drainage!$N$5:$N$204)="Y",1,"")),"")</f>
        <v/>
      </c>
      <c r="AH909" s="181" t="str">
        <f t="shared" si="112"/>
        <v/>
      </c>
      <c r="AI909" s="181" t="str">
        <f t="shared" si="113"/>
        <v/>
      </c>
      <c r="AJ909" s="181" t="str">
        <f t="shared" si="114"/>
        <v/>
      </c>
      <c r="AK909" s="181" t="str">
        <f t="shared" si="115"/>
        <v/>
      </c>
      <c r="AL909" s="181" t="str">
        <f t="shared" si="116"/>
        <v/>
      </c>
      <c r="AM909" s="181" t="str">
        <f t="shared" si="117"/>
        <v/>
      </c>
      <c r="AN909" s="181" t="str">
        <f t="shared" si="118"/>
        <v/>
      </c>
      <c r="AO909" s="192" t="str">
        <f t="shared" si="119"/>
        <v/>
      </c>
      <c r="AQ909" t="str">
        <f>IFERROR(LOOKUP(2,1/((C_Pavement!$A$5:$A$204&lt;&gt;"")*(C_Pavement!$A$5:$A$204&lt;=$B909)*(C_Pavement!$B$5:$B$204&gt;$B909)*(C_Pavement!$C$5:$C$204&lt;&gt;"")),ROW(C_Pavement!$C$5:$C$204)-4),"")</f>
        <v/>
      </c>
      <c r="AR909" t="str">
        <f>IF($AQ909="","",UPPER(TRIM(INDEX(C_Pavement!$C$5:$C$204,$AQ909))))</f>
        <v/>
      </c>
      <c r="AS909" t="str">
        <f>IF($AR909="","",IFERROR(MATCH($AR909,E_Rules!$A$5:$A$9,0),""))</f>
        <v/>
      </c>
      <c r="AT909" t="str">
        <f>IF($AQ909="","",IF(INDEX(C_Pavement!$D$5:$D$204,$AQ909)&lt;&gt;"",UPPER(TRIM(INDEX(C_Pavement!$D$5:$D$204,$AQ909))),IF($AS909="","",INDEX(E_Rules!$C$5:$C$9,$AS909))))</f>
        <v/>
      </c>
      <c r="AU909" t="str">
        <f>IF($AQ909="","",IF(INDEX(C_Pavement!$E$5:$E$204,$AQ909)&lt;&gt;"",IF(INDEX(C_Pavement!$E$5:$E$204,$AQ909)="-","",INDEX(C_Pavement!$E$5:$E$204,$AQ909)),IF($AS909="","",INDEX(E_Rules!$D$5:$D$9,$AS909))))</f>
        <v/>
      </c>
      <c r="AV909" t="str">
        <f>IF($AQ909="","",IF(INDEX(C_Pavement!$F$5:$F$204,$AQ909)&lt;&gt;"",IF(INDEX(C_Pavement!$F$5:$F$204,$AQ909)="-","",INDEX(C_Pavement!$F$5:$F$204,$AQ909)),IF($AS909="","",INDEX(E_Rules!$E$5:$E$9,$AS909))))</f>
        <v/>
      </c>
      <c r="AW909" t="str">
        <f>IF($AQ909="","",IF(INDEX(C_Pavement!$G$5:$G$204,$AQ909)&lt;&gt;"",IF(INDEX(C_Pavement!$G$5:$G$204,$AQ909)="-","",INDEX(C_Pavement!$G$5:$G$204,$AQ909)),IF($AS909="","",INDEX(E_Rules!$F$5:$F$9,$AS909))))</f>
        <v/>
      </c>
      <c r="AX909" t="str">
        <f>IF($AQ909="","",IF(INDEX(C_Pavement!$H$5:$H$204,$AQ909)&lt;&gt;"",IF(INDEX(C_Pavement!$H$5:$H$204,$AQ909)="-","",INDEX(C_Pavement!$H$5:$H$204,$AQ909)),IF($AS909="","",INDEX(E_Rules!$G$5:$G$9,$AS909))))</f>
        <v/>
      </c>
      <c r="AY909" t="str">
        <f>IF($AQ909="","",IF(INDEX(C_Pavement!$I$5:$I$204,$AQ909)&lt;&gt;"",IF(INDEX(C_Pavement!$I$5:$I$204,$AQ909)="-","",INDEX(C_Pavement!$I$5:$I$204,$AQ909)),IF($AS909="","",INDEX(E_Rules!$H$5:$H$9,$AS909))))</f>
        <v/>
      </c>
    </row>
    <row r="910" spans="1:51" ht="15.75" customHeight="1" x14ac:dyDescent="0.3">
      <c r="A910" s="189">
        <v>905</v>
      </c>
      <c r="B910" s="180">
        <v>45200</v>
      </c>
      <c r="C910" s="180" t="s">
        <v>1216</v>
      </c>
      <c r="D910" s="181" t="str">
        <f>IFERROR(LOOKUP(2,1/((A_Corridor!$A$5:$A$204&lt;&gt;"")*(A_Corridor!$A$5:$A$204&lt;=$B910)*(A_Corridor!$B$5:$B$204&gt;$B910)*(A_Corridor!$C$5:$C$204&lt;&gt;"")),IF(UPPER(A_Corridor!$C$5:$C$204)="Y",1,"")),"")</f>
        <v/>
      </c>
      <c r="E910" s="181" t="str">
        <f>IFERROR(LOOKUP(2,1/((A_Corridor!$A$5:$A$204&lt;&gt;"")*(A_Corridor!$A$5:$A$204&lt;=$B910)*(A_Corridor!$B$5:$B$204&gt;$B910)*(A_Corridor!$D$5:$D$204&lt;&gt;"")),IF(A_Corridor!$D$5:$D$204="-","",UPPER(A_Corridor!$D$5:$D$204))),"")</f>
        <v/>
      </c>
      <c r="F910" s="181" t="str">
        <f>IFERROR(LOOKUP(2,1/((A_Corridor!$A$5:$A$204&lt;&gt;"")*(A_Corridor!$A$5:$A$204&lt;=$B910)*(A_Corridor!$B$5:$B$204&gt;$B910)*(A_Corridor!$E$5:$E$204&lt;&gt;"")),IF(A_Corridor!$E$5:$E$204="-","",1)),"")</f>
        <v/>
      </c>
      <c r="G910" s="182" t="str">
        <f>IFERROR(LOOKUP(2,1/((A_Corridor!$A$5:$A$204&lt;&gt;"")*(A_Corridor!$A$5:$A$204&lt;=$B910)*(A_Corridor!$B$5:$B$204&gt;$B910)*(A_Corridor!$E$5:$E$204&lt;&gt;"")),IF(A_Corridor!$E$5:$E$204="-","",A_Corridor!$E$5:$E$204)),"")</f>
        <v/>
      </c>
      <c r="H910" s="182" t="str">
        <f>IFERROR(LOOKUP(2,1/((D_Points!$A$5:$A$204&lt;&gt;"")*(D_Points!$A$5:$A$204&gt;=$B910)*(D_Points!$A$5:$A$204&lt;$B910+P_Interval)*(UPPER(TRIM(D_Points!$B$5:$B$204))="GULLY")*(D_Points!$H$5:$H$204&lt;&gt;"")),D_Points!$H$5:$H$204),"")</f>
        <v/>
      </c>
      <c r="I910" s="181" t="str">
        <f>IFERROR(LOOKUP(2,1/((A_Corridor!$A$5:$A$204&lt;&gt;"")*(A_Corridor!$A$5:$A$204&lt;=$B910)*(A_Corridor!$B$5:$B$204&gt;$B910)*(A_Corridor!$F$5:$F$204&lt;&gt;"")),IF(A_Corridor!$F$5:$F$204="-","",1)),"")</f>
        <v/>
      </c>
      <c r="J910" s="182" t="str">
        <f>IFERROR(LOOKUP(2,1/((A_Corridor!$A$5:$A$204&lt;&gt;"")*(A_Corridor!$A$5:$A$204&lt;=$B910)*(A_Corridor!$B$5:$B$204&gt;$B910)*(A_Corridor!$F$5:$F$204&lt;&gt;"")),IF(A_Corridor!$F$5:$F$204="-","",A_Corridor!$F$5:$F$204)),"")</f>
        <v/>
      </c>
      <c r="K910" s="182" t="str">
        <f>IFERROR(LOOKUP(2,1/((A_Corridor!$A$5:$A$204&lt;&gt;"")*(A_Corridor!$A$5:$A$204&lt;=$B910)*(A_Corridor!$B$5:$B$204&gt;$B910)*(A_Corridor!$G$5:$G$204&lt;&gt;"")),IF(A_Corridor!$G$5:$G$204="-","",A_Corridor!$G$5:$G$204)),"")</f>
        <v/>
      </c>
      <c r="L910" s="181" t="str">
        <f>IFERROR(LOOKUP(2,1/((A_Corridor!$A$5:$A$204&lt;&gt;"")*(A_Corridor!$A$5:$A$204&lt;=$B910)*(A_Corridor!$B$5:$B$204&gt;$B910)*(A_Corridor!$H$5:$H$204&lt;&gt;"")),IF(A_Corridor!$H$5:$H$204="-","",1)),"")</f>
        <v/>
      </c>
      <c r="M910" s="182" t="str">
        <f>IFERROR(LOOKUP(2,1/((A_Corridor!$A$5:$A$204&lt;&gt;"")*(A_Corridor!$A$5:$A$204&lt;=$B910)*(A_Corridor!$B$5:$B$204&gt;$B910)*(A_Corridor!$H$5:$H$204&lt;&gt;"")),IF(A_Corridor!$H$5:$H$204="-","",A_Corridor!$H$5:$H$204)),"")</f>
        <v/>
      </c>
      <c r="N910" s="182" t="str">
        <f>IFERROR(LOOKUP(2,1/((A_Corridor!$A$5:$A$204&lt;&gt;"")*(A_Corridor!$A$5:$A$204&lt;=$B910)*(A_Corridor!$B$5:$B$204&gt;$B910)*(A_Corridor!$I$5:$I$204&lt;&gt;"")),IF(A_Corridor!$I$5:$I$204="-","",A_Corridor!$I$5:$I$204)),"")</f>
        <v/>
      </c>
      <c r="O910" s="182" t="str">
        <f>IFERROR(LOOKUP(2,1/((D_Points!$A$5:$A$204&lt;&gt;"")*(D_Points!$A$5:$A$204&gt;=$B910)*(D_Points!$A$5:$A$204&lt;$B910+P_Interval)*(UPPER(TRIM(D_Points!$B$5:$B$204))="PITCHING")*(D_Points!$H$5:$H$204&lt;&gt;"")),D_Points!$H$5:$H$204),"")</f>
        <v/>
      </c>
      <c r="P910" s="181" t="str">
        <f>IFERROR(LOOKUP(2,1/((B_Drainage!$A$5:$A$204&lt;&gt;"")*(B_Drainage!$A$5:$A$204&lt;=$B910)*(B_Drainage!$B$5:$B$204&gt;$B910)*(B_Drainage!$C$5:$C$204&lt;&gt;"")),IF(B_Drainage!$C$5:$C$204="-","",UPPER(B_Drainage!$C$5:$C$204))),"")</f>
        <v/>
      </c>
      <c r="Q910" s="181" t="str">
        <f>IFERROR(LOOKUP(2,1/((B_Drainage!$A$5:$A$204&lt;&gt;"")*(B_Drainage!$A$5:$A$204&lt;=$B910)*(B_Drainage!$B$5:$B$204&gt;$B910)*(B_Drainage!$D$5:$D$204&lt;&gt;"")),IF(B_Drainage!$D$5:$D$204="-","",UPPER(B_Drainage!$D$5:$D$204))),"")</f>
        <v/>
      </c>
      <c r="R910" s="182" t="str">
        <f>IFERROR(LOOKUP(2,1/((D_Points!$A$5:$A$204&lt;&gt;"")*(D_Points!$A$5:$A$204&gt;=$B910)*(D_Points!$A$5:$A$204&lt;$B910+P_Interval)*(RIGHT(UPPER(TRIM(D_Points!$B$5:$B$204)),8)="_CULVERT")),IF(LEFT(UPPER(TRIM(D_Points!$B$5:$B$204)),2)="EX",1,IF(LEFT(UPPER(TRIM(D_Points!$B$5:$B$204)),2)="PR",2,3))),"")</f>
        <v/>
      </c>
      <c r="S910" s="182" t="str">
        <f>IFERROR(LOOKUP(2,1/((D_Points!$A$5:$A$204&lt;&gt;"")*(D_Points!$A$5:$A$204&gt;=$B910)*(D_Points!$A$5:$A$204&lt;$B910+P_Interval)*(RIGHT(UPPER(TRIM(D_Points!$B$5:$B$204)),7)="_BRIDGE")),IF(LEFT(UPPER(TRIM(D_Points!$B$5:$B$204)),2)="EX",1,IF(LEFT(UPPER(TRIM(D_Points!$B$5:$B$204)),2)="PR",2,2))),"")</f>
        <v/>
      </c>
      <c r="T910" s="181" t="str">
        <f>IFERROR(LOOKUP(2,1/((B_Drainage!$A$5:$A$204&lt;&gt;"")*(B_Drainage!$A$5:$A$204&lt;=$B910)*(B_Drainage!$B$5:$B$204&gt;$B910)*(B_Drainage!$E$5:$E$204&lt;&gt;"")),IF(B_Drainage!$E$5:$E$204="-","",1)),"")</f>
        <v/>
      </c>
      <c r="U910" s="181" t="str">
        <f>IFERROR(LOOKUP(2,1/((B_Drainage!$A$5:$A$204&lt;&gt;"")*(B_Drainage!$A$5:$A$204&lt;=$B910)*(B_Drainage!$B$5:$B$204&gt;$B910)*(B_Drainage!$E$5:$E$204&lt;&gt;"")),IF(B_Drainage!$E$5:$E$204="-","",B_Drainage!$E$5:$E$204)),"")</f>
        <v/>
      </c>
      <c r="V910" s="181" t="str">
        <f>IFERROR(LOOKUP(2,1/((B_Drainage!$A$5:$A$204&lt;&gt;"")*(B_Drainage!$A$5:$A$204&lt;=$B910)*(B_Drainage!$B$5:$B$204&gt;$B910)*(B_Drainage!$F$5:$F$204&lt;&gt;"")),IF(B_Drainage!$F$5:$F$204="-","",1)),"")</f>
        <v/>
      </c>
      <c r="W910" s="181" t="str">
        <f>IFERROR(LOOKUP(2,1/((B_Drainage!$A$5:$A$204&lt;&gt;"")*(B_Drainage!$A$5:$A$204&lt;=$B910)*(B_Drainage!$B$5:$B$204&gt;$B910)*(B_Drainage!$F$5:$F$204&lt;&gt;"")),IF(B_Drainage!$F$5:$F$204="-","",B_Drainage!$F$5:$F$204)),"")</f>
        <v/>
      </c>
      <c r="X910" s="181" t="str">
        <f>IFERROR(LOOKUP(2,1/((B_Drainage!$A$5:$A$204&lt;&gt;"")*(B_Drainage!$A$5:$A$204&lt;=$B910)*(B_Drainage!$B$5:$B$204&gt;$B910)*(B_Drainage!$G$5:$G$204&lt;&gt;"")),IF(UPPER(B_Drainage!$G$5:$G$204)="Y",1,"")),"")</f>
        <v/>
      </c>
      <c r="Y910" s="181" t="str">
        <f>IFERROR(LOOKUP(2,1/((B_Drainage!$A$5:$A$204&lt;&gt;"")*(B_Drainage!$A$5:$A$204&lt;=$B910)*(B_Drainage!$B$5:$B$204&gt;$B910)*(B_Drainage!$H$5:$H$204&lt;&gt;"")),IF(UPPER(B_Drainage!$H$5:$H$204)="Y",1,"")),"")</f>
        <v/>
      </c>
      <c r="Z910" s="181" t="str">
        <f>IFERROR(LOOKUP(2,1/((B_Drainage!$A$5:$A$204&lt;&gt;"")*(B_Drainage!$A$5:$A$204&lt;=$B910)*(B_Drainage!$B$5:$B$204&gt;$B910)*(B_Drainage!$I$5:$I$204&lt;&gt;"")),IF(UPPER(B_Drainage!$I$5:$I$204)="Y",1,"")),"")</f>
        <v/>
      </c>
      <c r="AA910" s="181" t="str">
        <f>IFERROR(LOOKUP(2,1/((B_Drainage!$A$5:$A$204&lt;&gt;"")*(B_Drainage!$A$5:$A$204&lt;=$B910)*(B_Drainage!$B$5:$B$204&gt;$B910)*(B_Drainage!$J$5:$J$204&lt;&gt;"")),IF(UPPER(B_Drainage!$J$5:$J$204)="Y",1,"")),"")</f>
        <v/>
      </c>
      <c r="AB910" s="182" t="str">
        <f>IFERROR(LOOKUP(2,1/((B_Drainage!$A$5:$A$204&lt;&gt;"")*(B_Drainage!$A$5:$A$204&lt;=$B910)*(B_Drainage!$B$5:$B$204&gt;$B910)*(B_Drainage!$K$5:$K$204&lt;&gt;"")),IF(B_Drainage!$K$5:$K$204="-","",B_Drainage!$K$5:$K$204)),"")</f>
        <v/>
      </c>
      <c r="AC910" s="182" t="str">
        <f>IFERROR(LOOKUP(2,1/((B_Drainage!$A$5:$A$204&lt;&gt;"")*(B_Drainage!$A$5:$A$204&lt;=$B910)*(B_Drainage!$B$5:$B$204&gt;$B910)*(B_Drainage!$L$5:$L$204&lt;&gt;"")),IF(B_Drainage!$L$5:$L$204="-","",B_Drainage!$L$5:$L$204)),"")</f>
        <v/>
      </c>
      <c r="AD910" s="182" t="str">
        <f>IFERROR(LOOKUP(2,1/((D_Points!$A$5:$A$204&lt;&gt;"")*(D_Points!$A$5:$A$204&gt;=$B910)*(D_Points!$A$5:$A$204&lt;$B910+P_Interval)*(UPPER(TRIM(D_Points!$B$5:$B$204))="TURNOUT_L")*(D_Points!$H$5:$H$204&lt;&gt;"")),D_Points!$H$5:$H$204),"")</f>
        <v/>
      </c>
      <c r="AE910" s="182" t="str">
        <f>IFERROR(LOOKUP(2,1/((D_Points!$A$5:$A$204&lt;&gt;"")*(D_Points!$A$5:$A$204&gt;=$B910)*(D_Points!$A$5:$A$204&lt;$B910+P_Interval)*(UPPER(TRIM(D_Points!$B$5:$B$204))="TURNOUT_R")*(D_Points!$H$5:$H$204&lt;&gt;"")),D_Points!$H$5:$H$204),"")</f>
        <v/>
      </c>
      <c r="AF910" s="181" t="str">
        <f>IFERROR(LOOKUP(2,1/((B_Drainage!$A$5:$A$204&lt;&gt;"")*(B_Drainage!$A$5:$A$204&lt;=$B910)*(B_Drainage!$B$5:$B$204&gt;$B910)*(B_Drainage!$M$5:$M$204&lt;&gt;"")),IF(UPPER(B_Drainage!$M$5:$M$204)="Y",1,"")),"")</f>
        <v/>
      </c>
      <c r="AG910" s="181" t="str">
        <f>IFERROR(LOOKUP(2,1/((B_Drainage!$A$5:$A$204&lt;&gt;"")*(B_Drainage!$A$5:$A$204&lt;=$B910)*(B_Drainage!$B$5:$B$204&gt;$B910)*(B_Drainage!$N$5:$N$204&lt;&gt;"")),IF(UPPER(B_Drainage!$N$5:$N$204)="Y",1,"")),"")</f>
        <v/>
      </c>
      <c r="AH910" s="181" t="str">
        <f t="shared" si="112"/>
        <v/>
      </c>
      <c r="AI910" s="181" t="str">
        <f t="shared" si="113"/>
        <v/>
      </c>
      <c r="AJ910" s="181" t="str">
        <f t="shared" si="114"/>
        <v/>
      </c>
      <c r="AK910" s="181" t="str">
        <f t="shared" si="115"/>
        <v/>
      </c>
      <c r="AL910" s="181" t="str">
        <f t="shared" si="116"/>
        <v/>
      </c>
      <c r="AM910" s="181" t="str">
        <f t="shared" si="117"/>
        <v/>
      </c>
      <c r="AN910" s="181" t="str">
        <f t="shared" si="118"/>
        <v/>
      </c>
      <c r="AO910" s="192" t="str">
        <f t="shared" si="119"/>
        <v/>
      </c>
      <c r="AQ910" t="str">
        <f>IFERROR(LOOKUP(2,1/((C_Pavement!$A$5:$A$204&lt;&gt;"")*(C_Pavement!$A$5:$A$204&lt;=$B910)*(C_Pavement!$B$5:$B$204&gt;$B910)*(C_Pavement!$C$5:$C$204&lt;&gt;"")),ROW(C_Pavement!$C$5:$C$204)-4),"")</f>
        <v/>
      </c>
      <c r="AR910" t="str">
        <f>IF($AQ910="","",UPPER(TRIM(INDEX(C_Pavement!$C$5:$C$204,$AQ910))))</f>
        <v/>
      </c>
      <c r="AS910" t="str">
        <f>IF($AR910="","",IFERROR(MATCH($AR910,E_Rules!$A$5:$A$9,0),""))</f>
        <v/>
      </c>
      <c r="AT910" t="str">
        <f>IF($AQ910="","",IF(INDEX(C_Pavement!$D$5:$D$204,$AQ910)&lt;&gt;"",UPPER(TRIM(INDEX(C_Pavement!$D$5:$D$204,$AQ910))),IF($AS910="","",INDEX(E_Rules!$C$5:$C$9,$AS910))))</f>
        <v/>
      </c>
      <c r="AU910" t="str">
        <f>IF($AQ910="","",IF(INDEX(C_Pavement!$E$5:$E$204,$AQ910)&lt;&gt;"",IF(INDEX(C_Pavement!$E$5:$E$204,$AQ910)="-","",INDEX(C_Pavement!$E$5:$E$204,$AQ910)),IF($AS910="","",INDEX(E_Rules!$D$5:$D$9,$AS910))))</f>
        <v/>
      </c>
      <c r="AV910" t="str">
        <f>IF($AQ910="","",IF(INDEX(C_Pavement!$F$5:$F$204,$AQ910)&lt;&gt;"",IF(INDEX(C_Pavement!$F$5:$F$204,$AQ910)="-","",INDEX(C_Pavement!$F$5:$F$204,$AQ910)),IF($AS910="","",INDEX(E_Rules!$E$5:$E$9,$AS910))))</f>
        <v/>
      </c>
      <c r="AW910" t="str">
        <f>IF($AQ910="","",IF(INDEX(C_Pavement!$G$5:$G$204,$AQ910)&lt;&gt;"",IF(INDEX(C_Pavement!$G$5:$G$204,$AQ910)="-","",INDEX(C_Pavement!$G$5:$G$204,$AQ910)),IF($AS910="","",INDEX(E_Rules!$F$5:$F$9,$AS910))))</f>
        <v/>
      </c>
      <c r="AX910" t="str">
        <f>IF($AQ910="","",IF(INDEX(C_Pavement!$H$5:$H$204,$AQ910)&lt;&gt;"",IF(INDEX(C_Pavement!$H$5:$H$204,$AQ910)="-","",INDEX(C_Pavement!$H$5:$H$204,$AQ910)),IF($AS910="","",INDEX(E_Rules!$G$5:$G$9,$AS910))))</f>
        <v/>
      </c>
      <c r="AY910" t="str">
        <f>IF($AQ910="","",IF(INDEX(C_Pavement!$I$5:$I$204,$AQ910)&lt;&gt;"",IF(INDEX(C_Pavement!$I$5:$I$204,$AQ910)="-","",INDEX(C_Pavement!$I$5:$I$204,$AQ910)),IF($AS910="","",INDEX(E_Rules!$H$5:$H$9,$AS910))))</f>
        <v/>
      </c>
    </row>
    <row r="911" spans="1:51" ht="15.75" customHeight="1" x14ac:dyDescent="0.3">
      <c r="A911" s="189">
        <v>906</v>
      </c>
      <c r="B911" s="180">
        <v>45250</v>
      </c>
      <c r="C911" s="180" t="s">
        <v>1217</v>
      </c>
      <c r="D911" s="181" t="str">
        <f>IFERROR(LOOKUP(2,1/((A_Corridor!$A$5:$A$204&lt;&gt;"")*(A_Corridor!$A$5:$A$204&lt;=$B911)*(A_Corridor!$B$5:$B$204&gt;$B911)*(A_Corridor!$C$5:$C$204&lt;&gt;"")),IF(UPPER(A_Corridor!$C$5:$C$204)="Y",1,"")),"")</f>
        <v/>
      </c>
      <c r="E911" s="181" t="str">
        <f>IFERROR(LOOKUP(2,1/((A_Corridor!$A$5:$A$204&lt;&gt;"")*(A_Corridor!$A$5:$A$204&lt;=$B911)*(A_Corridor!$B$5:$B$204&gt;$B911)*(A_Corridor!$D$5:$D$204&lt;&gt;"")),IF(A_Corridor!$D$5:$D$204="-","",UPPER(A_Corridor!$D$5:$D$204))),"")</f>
        <v/>
      </c>
      <c r="F911" s="181" t="str">
        <f>IFERROR(LOOKUP(2,1/((A_Corridor!$A$5:$A$204&lt;&gt;"")*(A_Corridor!$A$5:$A$204&lt;=$B911)*(A_Corridor!$B$5:$B$204&gt;$B911)*(A_Corridor!$E$5:$E$204&lt;&gt;"")),IF(A_Corridor!$E$5:$E$204="-","",1)),"")</f>
        <v/>
      </c>
      <c r="G911" s="182" t="str">
        <f>IFERROR(LOOKUP(2,1/((A_Corridor!$A$5:$A$204&lt;&gt;"")*(A_Corridor!$A$5:$A$204&lt;=$B911)*(A_Corridor!$B$5:$B$204&gt;$B911)*(A_Corridor!$E$5:$E$204&lt;&gt;"")),IF(A_Corridor!$E$5:$E$204="-","",A_Corridor!$E$5:$E$204)),"")</f>
        <v/>
      </c>
      <c r="H911" s="182" t="str">
        <f>IFERROR(LOOKUP(2,1/((D_Points!$A$5:$A$204&lt;&gt;"")*(D_Points!$A$5:$A$204&gt;=$B911)*(D_Points!$A$5:$A$204&lt;$B911+P_Interval)*(UPPER(TRIM(D_Points!$B$5:$B$204))="GULLY")*(D_Points!$H$5:$H$204&lt;&gt;"")),D_Points!$H$5:$H$204),"")</f>
        <v/>
      </c>
      <c r="I911" s="181" t="str">
        <f>IFERROR(LOOKUP(2,1/((A_Corridor!$A$5:$A$204&lt;&gt;"")*(A_Corridor!$A$5:$A$204&lt;=$B911)*(A_Corridor!$B$5:$B$204&gt;$B911)*(A_Corridor!$F$5:$F$204&lt;&gt;"")),IF(A_Corridor!$F$5:$F$204="-","",1)),"")</f>
        <v/>
      </c>
      <c r="J911" s="182" t="str">
        <f>IFERROR(LOOKUP(2,1/((A_Corridor!$A$5:$A$204&lt;&gt;"")*(A_Corridor!$A$5:$A$204&lt;=$B911)*(A_Corridor!$B$5:$B$204&gt;$B911)*(A_Corridor!$F$5:$F$204&lt;&gt;"")),IF(A_Corridor!$F$5:$F$204="-","",A_Corridor!$F$5:$F$204)),"")</f>
        <v/>
      </c>
      <c r="K911" s="182" t="str">
        <f>IFERROR(LOOKUP(2,1/((A_Corridor!$A$5:$A$204&lt;&gt;"")*(A_Corridor!$A$5:$A$204&lt;=$B911)*(A_Corridor!$B$5:$B$204&gt;$B911)*(A_Corridor!$G$5:$G$204&lt;&gt;"")),IF(A_Corridor!$G$5:$G$204="-","",A_Corridor!$G$5:$G$204)),"")</f>
        <v/>
      </c>
      <c r="L911" s="181" t="str">
        <f>IFERROR(LOOKUP(2,1/((A_Corridor!$A$5:$A$204&lt;&gt;"")*(A_Corridor!$A$5:$A$204&lt;=$B911)*(A_Corridor!$B$5:$B$204&gt;$B911)*(A_Corridor!$H$5:$H$204&lt;&gt;"")),IF(A_Corridor!$H$5:$H$204="-","",1)),"")</f>
        <v/>
      </c>
      <c r="M911" s="182" t="str">
        <f>IFERROR(LOOKUP(2,1/((A_Corridor!$A$5:$A$204&lt;&gt;"")*(A_Corridor!$A$5:$A$204&lt;=$B911)*(A_Corridor!$B$5:$B$204&gt;$B911)*(A_Corridor!$H$5:$H$204&lt;&gt;"")),IF(A_Corridor!$H$5:$H$204="-","",A_Corridor!$H$5:$H$204)),"")</f>
        <v/>
      </c>
      <c r="N911" s="182" t="str">
        <f>IFERROR(LOOKUP(2,1/((A_Corridor!$A$5:$A$204&lt;&gt;"")*(A_Corridor!$A$5:$A$204&lt;=$B911)*(A_Corridor!$B$5:$B$204&gt;$B911)*(A_Corridor!$I$5:$I$204&lt;&gt;"")),IF(A_Corridor!$I$5:$I$204="-","",A_Corridor!$I$5:$I$204)),"")</f>
        <v/>
      </c>
      <c r="O911" s="182" t="str">
        <f>IFERROR(LOOKUP(2,1/((D_Points!$A$5:$A$204&lt;&gt;"")*(D_Points!$A$5:$A$204&gt;=$B911)*(D_Points!$A$5:$A$204&lt;$B911+P_Interval)*(UPPER(TRIM(D_Points!$B$5:$B$204))="PITCHING")*(D_Points!$H$5:$H$204&lt;&gt;"")),D_Points!$H$5:$H$204),"")</f>
        <v/>
      </c>
      <c r="P911" s="181" t="str">
        <f>IFERROR(LOOKUP(2,1/((B_Drainage!$A$5:$A$204&lt;&gt;"")*(B_Drainage!$A$5:$A$204&lt;=$B911)*(B_Drainage!$B$5:$B$204&gt;$B911)*(B_Drainage!$C$5:$C$204&lt;&gt;"")),IF(B_Drainage!$C$5:$C$204="-","",UPPER(B_Drainage!$C$5:$C$204))),"")</f>
        <v/>
      </c>
      <c r="Q911" s="181" t="str">
        <f>IFERROR(LOOKUP(2,1/((B_Drainage!$A$5:$A$204&lt;&gt;"")*(B_Drainage!$A$5:$A$204&lt;=$B911)*(B_Drainage!$B$5:$B$204&gt;$B911)*(B_Drainage!$D$5:$D$204&lt;&gt;"")),IF(B_Drainage!$D$5:$D$204="-","",UPPER(B_Drainage!$D$5:$D$204))),"")</f>
        <v/>
      </c>
      <c r="R911" s="182" t="str">
        <f>IFERROR(LOOKUP(2,1/((D_Points!$A$5:$A$204&lt;&gt;"")*(D_Points!$A$5:$A$204&gt;=$B911)*(D_Points!$A$5:$A$204&lt;$B911+P_Interval)*(RIGHT(UPPER(TRIM(D_Points!$B$5:$B$204)),8)="_CULVERT")),IF(LEFT(UPPER(TRIM(D_Points!$B$5:$B$204)),2)="EX",1,IF(LEFT(UPPER(TRIM(D_Points!$B$5:$B$204)),2)="PR",2,3))),"")</f>
        <v/>
      </c>
      <c r="S911" s="182" t="str">
        <f>IFERROR(LOOKUP(2,1/((D_Points!$A$5:$A$204&lt;&gt;"")*(D_Points!$A$5:$A$204&gt;=$B911)*(D_Points!$A$5:$A$204&lt;$B911+P_Interval)*(RIGHT(UPPER(TRIM(D_Points!$B$5:$B$204)),7)="_BRIDGE")),IF(LEFT(UPPER(TRIM(D_Points!$B$5:$B$204)),2)="EX",1,IF(LEFT(UPPER(TRIM(D_Points!$B$5:$B$204)),2)="PR",2,2))),"")</f>
        <v/>
      </c>
      <c r="T911" s="181" t="str">
        <f>IFERROR(LOOKUP(2,1/((B_Drainage!$A$5:$A$204&lt;&gt;"")*(B_Drainage!$A$5:$A$204&lt;=$B911)*(B_Drainage!$B$5:$B$204&gt;$B911)*(B_Drainage!$E$5:$E$204&lt;&gt;"")),IF(B_Drainage!$E$5:$E$204="-","",1)),"")</f>
        <v/>
      </c>
      <c r="U911" s="181" t="str">
        <f>IFERROR(LOOKUP(2,1/((B_Drainage!$A$5:$A$204&lt;&gt;"")*(B_Drainage!$A$5:$A$204&lt;=$B911)*(B_Drainage!$B$5:$B$204&gt;$B911)*(B_Drainage!$E$5:$E$204&lt;&gt;"")),IF(B_Drainage!$E$5:$E$204="-","",B_Drainage!$E$5:$E$204)),"")</f>
        <v/>
      </c>
      <c r="V911" s="181" t="str">
        <f>IFERROR(LOOKUP(2,1/((B_Drainage!$A$5:$A$204&lt;&gt;"")*(B_Drainage!$A$5:$A$204&lt;=$B911)*(B_Drainage!$B$5:$B$204&gt;$B911)*(B_Drainage!$F$5:$F$204&lt;&gt;"")),IF(B_Drainage!$F$5:$F$204="-","",1)),"")</f>
        <v/>
      </c>
      <c r="W911" s="181" t="str">
        <f>IFERROR(LOOKUP(2,1/((B_Drainage!$A$5:$A$204&lt;&gt;"")*(B_Drainage!$A$5:$A$204&lt;=$B911)*(B_Drainage!$B$5:$B$204&gt;$B911)*(B_Drainage!$F$5:$F$204&lt;&gt;"")),IF(B_Drainage!$F$5:$F$204="-","",B_Drainage!$F$5:$F$204)),"")</f>
        <v/>
      </c>
      <c r="X911" s="181" t="str">
        <f>IFERROR(LOOKUP(2,1/((B_Drainage!$A$5:$A$204&lt;&gt;"")*(B_Drainage!$A$5:$A$204&lt;=$B911)*(B_Drainage!$B$5:$B$204&gt;$B911)*(B_Drainage!$G$5:$G$204&lt;&gt;"")),IF(UPPER(B_Drainage!$G$5:$G$204)="Y",1,"")),"")</f>
        <v/>
      </c>
      <c r="Y911" s="181" t="str">
        <f>IFERROR(LOOKUP(2,1/((B_Drainage!$A$5:$A$204&lt;&gt;"")*(B_Drainage!$A$5:$A$204&lt;=$B911)*(B_Drainage!$B$5:$B$204&gt;$B911)*(B_Drainage!$H$5:$H$204&lt;&gt;"")),IF(UPPER(B_Drainage!$H$5:$H$204)="Y",1,"")),"")</f>
        <v/>
      </c>
      <c r="Z911" s="181" t="str">
        <f>IFERROR(LOOKUP(2,1/((B_Drainage!$A$5:$A$204&lt;&gt;"")*(B_Drainage!$A$5:$A$204&lt;=$B911)*(B_Drainage!$B$5:$B$204&gt;$B911)*(B_Drainage!$I$5:$I$204&lt;&gt;"")),IF(UPPER(B_Drainage!$I$5:$I$204)="Y",1,"")),"")</f>
        <v/>
      </c>
      <c r="AA911" s="181" t="str">
        <f>IFERROR(LOOKUP(2,1/((B_Drainage!$A$5:$A$204&lt;&gt;"")*(B_Drainage!$A$5:$A$204&lt;=$B911)*(B_Drainage!$B$5:$B$204&gt;$B911)*(B_Drainage!$J$5:$J$204&lt;&gt;"")),IF(UPPER(B_Drainage!$J$5:$J$204)="Y",1,"")),"")</f>
        <v/>
      </c>
      <c r="AB911" s="182" t="str">
        <f>IFERROR(LOOKUP(2,1/((B_Drainage!$A$5:$A$204&lt;&gt;"")*(B_Drainage!$A$5:$A$204&lt;=$B911)*(B_Drainage!$B$5:$B$204&gt;$B911)*(B_Drainage!$K$5:$K$204&lt;&gt;"")),IF(B_Drainage!$K$5:$K$204="-","",B_Drainage!$K$5:$K$204)),"")</f>
        <v/>
      </c>
      <c r="AC911" s="182" t="str">
        <f>IFERROR(LOOKUP(2,1/((B_Drainage!$A$5:$A$204&lt;&gt;"")*(B_Drainage!$A$5:$A$204&lt;=$B911)*(B_Drainage!$B$5:$B$204&gt;$B911)*(B_Drainage!$L$5:$L$204&lt;&gt;"")),IF(B_Drainage!$L$5:$L$204="-","",B_Drainage!$L$5:$L$204)),"")</f>
        <v/>
      </c>
      <c r="AD911" s="182" t="str">
        <f>IFERROR(LOOKUP(2,1/((D_Points!$A$5:$A$204&lt;&gt;"")*(D_Points!$A$5:$A$204&gt;=$B911)*(D_Points!$A$5:$A$204&lt;$B911+P_Interval)*(UPPER(TRIM(D_Points!$B$5:$B$204))="TURNOUT_L")*(D_Points!$H$5:$H$204&lt;&gt;"")),D_Points!$H$5:$H$204),"")</f>
        <v/>
      </c>
      <c r="AE911" s="182" t="str">
        <f>IFERROR(LOOKUP(2,1/((D_Points!$A$5:$A$204&lt;&gt;"")*(D_Points!$A$5:$A$204&gt;=$B911)*(D_Points!$A$5:$A$204&lt;$B911+P_Interval)*(UPPER(TRIM(D_Points!$B$5:$B$204))="TURNOUT_R")*(D_Points!$H$5:$H$204&lt;&gt;"")),D_Points!$H$5:$H$204),"")</f>
        <v/>
      </c>
      <c r="AF911" s="181" t="str">
        <f>IFERROR(LOOKUP(2,1/((B_Drainage!$A$5:$A$204&lt;&gt;"")*(B_Drainage!$A$5:$A$204&lt;=$B911)*(B_Drainage!$B$5:$B$204&gt;$B911)*(B_Drainage!$M$5:$M$204&lt;&gt;"")),IF(UPPER(B_Drainage!$M$5:$M$204)="Y",1,"")),"")</f>
        <v/>
      </c>
      <c r="AG911" s="181" t="str">
        <f>IFERROR(LOOKUP(2,1/((B_Drainage!$A$5:$A$204&lt;&gt;"")*(B_Drainage!$A$5:$A$204&lt;=$B911)*(B_Drainage!$B$5:$B$204&gt;$B911)*(B_Drainage!$N$5:$N$204&lt;&gt;"")),IF(UPPER(B_Drainage!$N$5:$N$204)="Y",1,"")),"")</f>
        <v/>
      </c>
      <c r="AH911" s="181" t="str">
        <f t="shared" si="112"/>
        <v/>
      </c>
      <c r="AI911" s="181" t="str">
        <f t="shared" si="113"/>
        <v/>
      </c>
      <c r="AJ911" s="181" t="str">
        <f t="shared" si="114"/>
        <v/>
      </c>
      <c r="AK911" s="181" t="str">
        <f t="shared" si="115"/>
        <v/>
      </c>
      <c r="AL911" s="181" t="str">
        <f t="shared" si="116"/>
        <v/>
      </c>
      <c r="AM911" s="181" t="str">
        <f t="shared" si="117"/>
        <v/>
      </c>
      <c r="AN911" s="181" t="str">
        <f t="shared" si="118"/>
        <v/>
      </c>
      <c r="AO911" s="192" t="str">
        <f t="shared" si="119"/>
        <v/>
      </c>
      <c r="AQ911" t="str">
        <f>IFERROR(LOOKUP(2,1/((C_Pavement!$A$5:$A$204&lt;&gt;"")*(C_Pavement!$A$5:$A$204&lt;=$B911)*(C_Pavement!$B$5:$B$204&gt;$B911)*(C_Pavement!$C$5:$C$204&lt;&gt;"")),ROW(C_Pavement!$C$5:$C$204)-4),"")</f>
        <v/>
      </c>
      <c r="AR911" t="str">
        <f>IF($AQ911="","",UPPER(TRIM(INDEX(C_Pavement!$C$5:$C$204,$AQ911))))</f>
        <v/>
      </c>
      <c r="AS911" t="str">
        <f>IF($AR911="","",IFERROR(MATCH($AR911,E_Rules!$A$5:$A$9,0),""))</f>
        <v/>
      </c>
      <c r="AT911" t="str">
        <f>IF($AQ911="","",IF(INDEX(C_Pavement!$D$5:$D$204,$AQ911)&lt;&gt;"",UPPER(TRIM(INDEX(C_Pavement!$D$5:$D$204,$AQ911))),IF($AS911="","",INDEX(E_Rules!$C$5:$C$9,$AS911))))</f>
        <v/>
      </c>
      <c r="AU911" t="str">
        <f>IF($AQ911="","",IF(INDEX(C_Pavement!$E$5:$E$204,$AQ911)&lt;&gt;"",IF(INDEX(C_Pavement!$E$5:$E$204,$AQ911)="-","",INDEX(C_Pavement!$E$5:$E$204,$AQ911)),IF($AS911="","",INDEX(E_Rules!$D$5:$D$9,$AS911))))</f>
        <v/>
      </c>
      <c r="AV911" t="str">
        <f>IF($AQ911="","",IF(INDEX(C_Pavement!$F$5:$F$204,$AQ911)&lt;&gt;"",IF(INDEX(C_Pavement!$F$5:$F$204,$AQ911)="-","",INDEX(C_Pavement!$F$5:$F$204,$AQ911)),IF($AS911="","",INDEX(E_Rules!$E$5:$E$9,$AS911))))</f>
        <v/>
      </c>
      <c r="AW911" t="str">
        <f>IF($AQ911="","",IF(INDEX(C_Pavement!$G$5:$G$204,$AQ911)&lt;&gt;"",IF(INDEX(C_Pavement!$G$5:$G$204,$AQ911)="-","",INDEX(C_Pavement!$G$5:$G$204,$AQ911)),IF($AS911="","",INDEX(E_Rules!$F$5:$F$9,$AS911))))</f>
        <v/>
      </c>
      <c r="AX911" t="str">
        <f>IF($AQ911="","",IF(INDEX(C_Pavement!$H$5:$H$204,$AQ911)&lt;&gt;"",IF(INDEX(C_Pavement!$H$5:$H$204,$AQ911)="-","",INDEX(C_Pavement!$H$5:$H$204,$AQ911)),IF($AS911="","",INDEX(E_Rules!$G$5:$G$9,$AS911))))</f>
        <v/>
      </c>
      <c r="AY911" t="str">
        <f>IF($AQ911="","",IF(INDEX(C_Pavement!$I$5:$I$204,$AQ911)&lt;&gt;"",IF(INDEX(C_Pavement!$I$5:$I$204,$AQ911)="-","",INDEX(C_Pavement!$I$5:$I$204,$AQ911)),IF($AS911="","",INDEX(E_Rules!$H$5:$H$9,$AS911))))</f>
        <v/>
      </c>
    </row>
    <row r="912" spans="1:51" ht="15.75" customHeight="1" x14ac:dyDescent="0.3">
      <c r="A912" s="189">
        <v>907</v>
      </c>
      <c r="B912" s="180">
        <v>45300</v>
      </c>
      <c r="C912" s="180" t="s">
        <v>1218</v>
      </c>
      <c r="D912" s="181" t="str">
        <f>IFERROR(LOOKUP(2,1/((A_Corridor!$A$5:$A$204&lt;&gt;"")*(A_Corridor!$A$5:$A$204&lt;=$B912)*(A_Corridor!$B$5:$B$204&gt;$B912)*(A_Corridor!$C$5:$C$204&lt;&gt;"")),IF(UPPER(A_Corridor!$C$5:$C$204)="Y",1,"")),"")</f>
        <v/>
      </c>
      <c r="E912" s="181" t="str">
        <f>IFERROR(LOOKUP(2,1/((A_Corridor!$A$5:$A$204&lt;&gt;"")*(A_Corridor!$A$5:$A$204&lt;=$B912)*(A_Corridor!$B$5:$B$204&gt;$B912)*(A_Corridor!$D$5:$D$204&lt;&gt;"")),IF(A_Corridor!$D$5:$D$204="-","",UPPER(A_Corridor!$D$5:$D$204))),"")</f>
        <v/>
      </c>
      <c r="F912" s="181" t="str">
        <f>IFERROR(LOOKUP(2,1/((A_Corridor!$A$5:$A$204&lt;&gt;"")*(A_Corridor!$A$5:$A$204&lt;=$B912)*(A_Corridor!$B$5:$B$204&gt;$B912)*(A_Corridor!$E$5:$E$204&lt;&gt;"")),IF(A_Corridor!$E$5:$E$204="-","",1)),"")</f>
        <v/>
      </c>
      <c r="G912" s="182" t="str">
        <f>IFERROR(LOOKUP(2,1/((A_Corridor!$A$5:$A$204&lt;&gt;"")*(A_Corridor!$A$5:$A$204&lt;=$B912)*(A_Corridor!$B$5:$B$204&gt;$B912)*(A_Corridor!$E$5:$E$204&lt;&gt;"")),IF(A_Corridor!$E$5:$E$204="-","",A_Corridor!$E$5:$E$204)),"")</f>
        <v/>
      </c>
      <c r="H912" s="182" t="str">
        <f>IFERROR(LOOKUP(2,1/((D_Points!$A$5:$A$204&lt;&gt;"")*(D_Points!$A$5:$A$204&gt;=$B912)*(D_Points!$A$5:$A$204&lt;$B912+P_Interval)*(UPPER(TRIM(D_Points!$B$5:$B$204))="GULLY")*(D_Points!$H$5:$H$204&lt;&gt;"")),D_Points!$H$5:$H$204),"")</f>
        <v/>
      </c>
      <c r="I912" s="181" t="str">
        <f>IFERROR(LOOKUP(2,1/((A_Corridor!$A$5:$A$204&lt;&gt;"")*(A_Corridor!$A$5:$A$204&lt;=$B912)*(A_Corridor!$B$5:$B$204&gt;$B912)*(A_Corridor!$F$5:$F$204&lt;&gt;"")),IF(A_Corridor!$F$5:$F$204="-","",1)),"")</f>
        <v/>
      </c>
      <c r="J912" s="182" t="str">
        <f>IFERROR(LOOKUP(2,1/((A_Corridor!$A$5:$A$204&lt;&gt;"")*(A_Corridor!$A$5:$A$204&lt;=$B912)*(A_Corridor!$B$5:$B$204&gt;$B912)*(A_Corridor!$F$5:$F$204&lt;&gt;"")),IF(A_Corridor!$F$5:$F$204="-","",A_Corridor!$F$5:$F$204)),"")</f>
        <v/>
      </c>
      <c r="K912" s="182" t="str">
        <f>IFERROR(LOOKUP(2,1/((A_Corridor!$A$5:$A$204&lt;&gt;"")*(A_Corridor!$A$5:$A$204&lt;=$B912)*(A_Corridor!$B$5:$B$204&gt;$B912)*(A_Corridor!$G$5:$G$204&lt;&gt;"")),IF(A_Corridor!$G$5:$G$204="-","",A_Corridor!$G$5:$G$204)),"")</f>
        <v/>
      </c>
      <c r="L912" s="181" t="str">
        <f>IFERROR(LOOKUP(2,1/((A_Corridor!$A$5:$A$204&lt;&gt;"")*(A_Corridor!$A$5:$A$204&lt;=$B912)*(A_Corridor!$B$5:$B$204&gt;$B912)*(A_Corridor!$H$5:$H$204&lt;&gt;"")),IF(A_Corridor!$H$5:$H$204="-","",1)),"")</f>
        <v/>
      </c>
      <c r="M912" s="182" t="str">
        <f>IFERROR(LOOKUP(2,1/((A_Corridor!$A$5:$A$204&lt;&gt;"")*(A_Corridor!$A$5:$A$204&lt;=$B912)*(A_Corridor!$B$5:$B$204&gt;$B912)*(A_Corridor!$H$5:$H$204&lt;&gt;"")),IF(A_Corridor!$H$5:$H$204="-","",A_Corridor!$H$5:$H$204)),"")</f>
        <v/>
      </c>
      <c r="N912" s="182" t="str">
        <f>IFERROR(LOOKUP(2,1/((A_Corridor!$A$5:$A$204&lt;&gt;"")*(A_Corridor!$A$5:$A$204&lt;=$B912)*(A_Corridor!$B$5:$B$204&gt;$B912)*(A_Corridor!$I$5:$I$204&lt;&gt;"")),IF(A_Corridor!$I$5:$I$204="-","",A_Corridor!$I$5:$I$204)),"")</f>
        <v/>
      </c>
      <c r="O912" s="182" t="str">
        <f>IFERROR(LOOKUP(2,1/((D_Points!$A$5:$A$204&lt;&gt;"")*(D_Points!$A$5:$A$204&gt;=$B912)*(D_Points!$A$5:$A$204&lt;$B912+P_Interval)*(UPPER(TRIM(D_Points!$B$5:$B$204))="PITCHING")*(D_Points!$H$5:$H$204&lt;&gt;"")),D_Points!$H$5:$H$204),"")</f>
        <v/>
      </c>
      <c r="P912" s="181" t="str">
        <f>IFERROR(LOOKUP(2,1/((B_Drainage!$A$5:$A$204&lt;&gt;"")*(B_Drainage!$A$5:$A$204&lt;=$B912)*(B_Drainage!$B$5:$B$204&gt;$B912)*(B_Drainage!$C$5:$C$204&lt;&gt;"")),IF(B_Drainage!$C$5:$C$204="-","",UPPER(B_Drainage!$C$5:$C$204))),"")</f>
        <v/>
      </c>
      <c r="Q912" s="181" t="str">
        <f>IFERROR(LOOKUP(2,1/((B_Drainage!$A$5:$A$204&lt;&gt;"")*(B_Drainage!$A$5:$A$204&lt;=$B912)*(B_Drainage!$B$5:$B$204&gt;$B912)*(B_Drainage!$D$5:$D$204&lt;&gt;"")),IF(B_Drainage!$D$5:$D$204="-","",UPPER(B_Drainage!$D$5:$D$204))),"")</f>
        <v/>
      </c>
      <c r="R912" s="182" t="str">
        <f>IFERROR(LOOKUP(2,1/((D_Points!$A$5:$A$204&lt;&gt;"")*(D_Points!$A$5:$A$204&gt;=$B912)*(D_Points!$A$5:$A$204&lt;$B912+P_Interval)*(RIGHT(UPPER(TRIM(D_Points!$B$5:$B$204)),8)="_CULVERT")),IF(LEFT(UPPER(TRIM(D_Points!$B$5:$B$204)),2)="EX",1,IF(LEFT(UPPER(TRIM(D_Points!$B$5:$B$204)),2)="PR",2,3))),"")</f>
        <v/>
      </c>
      <c r="S912" s="182" t="str">
        <f>IFERROR(LOOKUP(2,1/((D_Points!$A$5:$A$204&lt;&gt;"")*(D_Points!$A$5:$A$204&gt;=$B912)*(D_Points!$A$5:$A$204&lt;$B912+P_Interval)*(RIGHT(UPPER(TRIM(D_Points!$B$5:$B$204)),7)="_BRIDGE")),IF(LEFT(UPPER(TRIM(D_Points!$B$5:$B$204)),2)="EX",1,IF(LEFT(UPPER(TRIM(D_Points!$B$5:$B$204)),2)="PR",2,2))),"")</f>
        <v/>
      </c>
      <c r="T912" s="181" t="str">
        <f>IFERROR(LOOKUP(2,1/((B_Drainage!$A$5:$A$204&lt;&gt;"")*(B_Drainage!$A$5:$A$204&lt;=$B912)*(B_Drainage!$B$5:$B$204&gt;$B912)*(B_Drainage!$E$5:$E$204&lt;&gt;"")),IF(B_Drainage!$E$5:$E$204="-","",1)),"")</f>
        <v/>
      </c>
      <c r="U912" s="181" t="str">
        <f>IFERROR(LOOKUP(2,1/((B_Drainage!$A$5:$A$204&lt;&gt;"")*(B_Drainage!$A$5:$A$204&lt;=$B912)*(B_Drainage!$B$5:$B$204&gt;$B912)*(B_Drainage!$E$5:$E$204&lt;&gt;"")),IF(B_Drainage!$E$5:$E$204="-","",B_Drainage!$E$5:$E$204)),"")</f>
        <v/>
      </c>
      <c r="V912" s="181" t="str">
        <f>IFERROR(LOOKUP(2,1/((B_Drainage!$A$5:$A$204&lt;&gt;"")*(B_Drainage!$A$5:$A$204&lt;=$B912)*(B_Drainage!$B$5:$B$204&gt;$B912)*(B_Drainage!$F$5:$F$204&lt;&gt;"")),IF(B_Drainage!$F$5:$F$204="-","",1)),"")</f>
        <v/>
      </c>
      <c r="W912" s="181" t="str">
        <f>IFERROR(LOOKUP(2,1/((B_Drainage!$A$5:$A$204&lt;&gt;"")*(B_Drainage!$A$5:$A$204&lt;=$B912)*(B_Drainage!$B$5:$B$204&gt;$B912)*(B_Drainage!$F$5:$F$204&lt;&gt;"")),IF(B_Drainage!$F$5:$F$204="-","",B_Drainage!$F$5:$F$204)),"")</f>
        <v/>
      </c>
      <c r="X912" s="181" t="str">
        <f>IFERROR(LOOKUP(2,1/((B_Drainage!$A$5:$A$204&lt;&gt;"")*(B_Drainage!$A$5:$A$204&lt;=$B912)*(B_Drainage!$B$5:$B$204&gt;$B912)*(B_Drainage!$G$5:$G$204&lt;&gt;"")),IF(UPPER(B_Drainage!$G$5:$G$204)="Y",1,"")),"")</f>
        <v/>
      </c>
      <c r="Y912" s="181" t="str">
        <f>IFERROR(LOOKUP(2,1/((B_Drainage!$A$5:$A$204&lt;&gt;"")*(B_Drainage!$A$5:$A$204&lt;=$B912)*(B_Drainage!$B$5:$B$204&gt;$B912)*(B_Drainage!$H$5:$H$204&lt;&gt;"")),IF(UPPER(B_Drainage!$H$5:$H$204)="Y",1,"")),"")</f>
        <v/>
      </c>
      <c r="Z912" s="181" t="str">
        <f>IFERROR(LOOKUP(2,1/((B_Drainage!$A$5:$A$204&lt;&gt;"")*(B_Drainage!$A$5:$A$204&lt;=$B912)*(B_Drainage!$B$5:$B$204&gt;$B912)*(B_Drainage!$I$5:$I$204&lt;&gt;"")),IF(UPPER(B_Drainage!$I$5:$I$204)="Y",1,"")),"")</f>
        <v/>
      </c>
      <c r="AA912" s="181" t="str">
        <f>IFERROR(LOOKUP(2,1/((B_Drainage!$A$5:$A$204&lt;&gt;"")*(B_Drainage!$A$5:$A$204&lt;=$B912)*(B_Drainage!$B$5:$B$204&gt;$B912)*(B_Drainage!$J$5:$J$204&lt;&gt;"")),IF(UPPER(B_Drainage!$J$5:$J$204)="Y",1,"")),"")</f>
        <v/>
      </c>
      <c r="AB912" s="182" t="str">
        <f>IFERROR(LOOKUP(2,1/((B_Drainage!$A$5:$A$204&lt;&gt;"")*(B_Drainage!$A$5:$A$204&lt;=$B912)*(B_Drainage!$B$5:$B$204&gt;$B912)*(B_Drainage!$K$5:$K$204&lt;&gt;"")),IF(B_Drainage!$K$5:$K$204="-","",B_Drainage!$K$5:$K$204)),"")</f>
        <v/>
      </c>
      <c r="AC912" s="182" t="str">
        <f>IFERROR(LOOKUP(2,1/((B_Drainage!$A$5:$A$204&lt;&gt;"")*(B_Drainage!$A$5:$A$204&lt;=$B912)*(B_Drainage!$B$5:$B$204&gt;$B912)*(B_Drainage!$L$5:$L$204&lt;&gt;"")),IF(B_Drainage!$L$5:$L$204="-","",B_Drainage!$L$5:$L$204)),"")</f>
        <v/>
      </c>
      <c r="AD912" s="182" t="str">
        <f>IFERROR(LOOKUP(2,1/((D_Points!$A$5:$A$204&lt;&gt;"")*(D_Points!$A$5:$A$204&gt;=$B912)*(D_Points!$A$5:$A$204&lt;$B912+P_Interval)*(UPPER(TRIM(D_Points!$B$5:$B$204))="TURNOUT_L")*(D_Points!$H$5:$H$204&lt;&gt;"")),D_Points!$H$5:$H$204),"")</f>
        <v/>
      </c>
      <c r="AE912" s="182" t="str">
        <f>IFERROR(LOOKUP(2,1/((D_Points!$A$5:$A$204&lt;&gt;"")*(D_Points!$A$5:$A$204&gt;=$B912)*(D_Points!$A$5:$A$204&lt;$B912+P_Interval)*(UPPER(TRIM(D_Points!$B$5:$B$204))="TURNOUT_R")*(D_Points!$H$5:$H$204&lt;&gt;"")),D_Points!$H$5:$H$204),"")</f>
        <v/>
      </c>
      <c r="AF912" s="181" t="str">
        <f>IFERROR(LOOKUP(2,1/((B_Drainage!$A$5:$A$204&lt;&gt;"")*(B_Drainage!$A$5:$A$204&lt;=$B912)*(B_Drainage!$B$5:$B$204&gt;$B912)*(B_Drainage!$M$5:$M$204&lt;&gt;"")),IF(UPPER(B_Drainage!$M$5:$M$204)="Y",1,"")),"")</f>
        <v/>
      </c>
      <c r="AG912" s="181" t="str">
        <f>IFERROR(LOOKUP(2,1/((B_Drainage!$A$5:$A$204&lt;&gt;"")*(B_Drainage!$A$5:$A$204&lt;=$B912)*(B_Drainage!$B$5:$B$204&gt;$B912)*(B_Drainage!$N$5:$N$204&lt;&gt;"")),IF(UPPER(B_Drainage!$N$5:$N$204)="Y",1,"")),"")</f>
        <v/>
      </c>
      <c r="AH912" s="181" t="str">
        <f t="shared" si="112"/>
        <v/>
      </c>
      <c r="AI912" s="181" t="str">
        <f t="shared" si="113"/>
        <v/>
      </c>
      <c r="AJ912" s="181" t="str">
        <f t="shared" si="114"/>
        <v/>
      </c>
      <c r="AK912" s="181" t="str">
        <f t="shared" si="115"/>
        <v/>
      </c>
      <c r="AL912" s="181" t="str">
        <f t="shared" si="116"/>
        <v/>
      </c>
      <c r="AM912" s="181" t="str">
        <f t="shared" si="117"/>
        <v/>
      </c>
      <c r="AN912" s="181" t="str">
        <f t="shared" si="118"/>
        <v/>
      </c>
      <c r="AO912" s="192" t="str">
        <f t="shared" si="119"/>
        <v/>
      </c>
      <c r="AQ912" t="str">
        <f>IFERROR(LOOKUP(2,1/((C_Pavement!$A$5:$A$204&lt;&gt;"")*(C_Pavement!$A$5:$A$204&lt;=$B912)*(C_Pavement!$B$5:$B$204&gt;$B912)*(C_Pavement!$C$5:$C$204&lt;&gt;"")),ROW(C_Pavement!$C$5:$C$204)-4),"")</f>
        <v/>
      </c>
      <c r="AR912" t="str">
        <f>IF($AQ912="","",UPPER(TRIM(INDEX(C_Pavement!$C$5:$C$204,$AQ912))))</f>
        <v/>
      </c>
      <c r="AS912" t="str">
        <f>IF($AR912="","",IFERROR(MATCH($AR912,E_Rules!$A$5:$A$9,0),""))</f>
        <v/>
      </c>
      <c r="AT912" t="str">
        <f>IF($AQ912="","",IF(INDEX(C_Pavement!$D$5:$D$204,$AQ912)&lt;&gt;"",UPPER(TRIM(INDEX(C_Pavement!$D$5:$D$204,$AQ912))),IF($AS912="","",INDEX(E_Rules!$C$5:$C$9,$AS912))))</f>
        <v/>
      </c>
      <c r="AU912" t="str">
        <f>IF($AQ912="","",IF(INDEX(C_Pavement!$E$5:$E$204,$AQ912)&lt;&gt;"",IF(INDEX(C_Pavement!$E$5:$E$204,$AQ912)="-","",INDEX(C_Pavement!$E$5:$E$204,$AQ912)),IF($AS912="","",INDEX(E_Rules!$D$5:$D$9,$AS912))))</f>
        <v/>
      </c>
      <c r="AV912" t="str">
        <f>IF($AQ912="","",IF(INDEX(C_Pavement!$F$5:$F$204,$AQ912)&lt;&gt;"",IF(INDEX(C_Pavement!$F$5:$F$204,$AQ912)="-","",INDEX(C_Pavement!$F$5:$F$204,$AQ912)),IF($AS912="","",INDEX(E_Rules!$E$5:$E$9,$AS912))))</f>
        <v/>
      </c>
      <c r="AW912" t="str">
        <f>IF($AQ912="","",IF(INDEX(C_Pavement!$G$5:$G$204,$AQ912)&lt;&gt;"",IF(INDEX(C_Pavement!$G$5:$G$204,$AQ912)="-","",INDEX(C_Pavement!$G$5:$G$204,$AQ912)),IF($AS912="","",INDEX(E_Rules!$F$5:$F$9,$AS912))))</f>
        <v/>
      </c>
      <c r="AX912" t="str">
        <f>IF($AQ912="","",IF(INDEX(C_Pavement!$H$5:$H$204,$AQ912)&lt;&gt;"",IF(INDEX(C_Pavement!$H$5:$H$204,$AQ912)="-","",INDEX(C_Pavement!$H$5:$H$204,$AQ912)),IF($AS912="","",INDEX(E_Rules!$G$5:$G$9,$AS912))))</f>
        <v/>
      </c>
      <c r="AY912" t="str">
        <f>IF($AQ912="","",IF(INDEX(C_Pavement!$I$5:$I$204,$AQ912)&lt;&gt;"",IF(INDEX(C_Pavement!$I$5:$I$204,$AQ912)="-","",INDEX(C_Pavement!$I$5:$I$204,$AQ912)),IF($AS912="","",INDEX(E_Rules!$H$5:$H$9,$AS912))))</f>
        <v/>
      </c>
    </row>
    <row r="913" spans="1:51" ht="15.75" customHeight="1" x14ac:dyDescent="0.3">
      <c r="A913" s="189">
        <v>908</v>
      </c>
      <c r="B913" s="180">
        <v>45350</v>
      </c>
      <c r="C913" s="180" t="s">
        <v>1219</v>
      </c>
      <c r="D913" s="181" t="str">
        <f>IFERROR(LOOKUP(2,1/((A_Corridor!$A$5:$A$204&lt;&gt;"")*(A_Corridor!$A$5:$A$204&lt;=$B913)*(A_Corridor!$B$5:$B$204&gt;$B913)*(A_Corridor!$C$5:$C$204&lt;&gt;"")),IF(UPPER(A_Corridor!$C$5:$C$204)="Y",1,"")),"")</f>
        <v/>
      </c>
      <c r="E913" s="181" t="str">
        <f>IFERROR(LOOKUP(2,1/((A_Corridor!$A$5:$A$204&lt;&gt;"")*(A_Corridor!$A$5:$A$204&lt;=$B913)*(A_Corridor!$B$5:$B$204&gt;$B913)*(A_Corridor!$D$5:$D$204&lt;&gt;"")),IF(A_Corridor!$D$5:$D$204="-","",UPPER(A_Corridor!$D$5:$D$204))),"")</f>
        <v/>
      </c>
      <c r="F913" s="181" t="str">
        <f>IFERROR(LOOKUP(2,1/((A_Corridor!$A$5:$A$204&lt;&gt;"")*(A_Corridor!$A$5:$A$204&lt;=$B913)*(A_Corridor!$B$5:$B$204&gt;$B913)*(A_Corridor!$E$5:$E$204&lt;&gt;"")),IF(A_Corridor!$E$5:$E$204="-","",1)),"")</f>
        <v/>
      </c>
      <c r="G913" s="182" t="str">
        <f>IFERROR(LOOKUP(2,1/((A_Corridor!$A$5:$A$204&lt;&gt;"")*(A_Corridor!$A$5:$A$204&lt;=$B913)*(A_Corridor!$B$5:$B$204&gt;$B913)*(A_Corridor!$E$5:$E$204&lt;&gt;"")),IF(A_Corridor!$E$5:$E$204="-","",A_Corridor!$E$5:$E$204)),"")</f>
        <v/>
      </c>
      <c r="H913" s="182" t="str">
        <f>IFERROR(LOOKUP(2,1/((D_Points!$A$5:$A$204&lt;&gt;"")*(D_Points!$A$5:$A$204&gt;=$B913)*(D_Points!$A$5:$A$204&lt;$B913+P_Interval)*(UPPER(TRIM(D_Points!$B$5:$B$204))="GULLY")*(D_Points!$H$5:$H$204&lt;&gt;"")),D_Points!$H$5:$H$204),"")</f>
        <v/>
      </c>
      <c r="I913" s="181" t="str">
        <f>IFERROR(LOOKUP(2,1/((A_Corridor!$A$5:$A$204&lt;&gt;"")*(A_Corridor!$A$5:$A$204&lt;=$B913)*(A_Corridor!$B$5:$B$204&gt;$B913)*(A_Corridor!$F$5:$F$204&lt;&gt;"")),IF(A_Corridor!$F$5:$F$204="-","",1)),"")</f>
        <v/>
      </c>
      <c r="J913" s="182" t="str">
        <f>IFERROR(LOOKUP(2,1/((A_Corridor!$A$5:$A$204&lt;&gt;"")*(A_Corridor!$A$5:$A$204&lt;=$B913)*(A_Corridor!$B$5:$B$204&gt;$B913)*(A_Corridor!$F$5:$F$204&lt;&gt;"")),IF(A_Corridor!$F$5:$F$204="-","",A_Corridor!$F$5:$F$204)),"")</f>
        <v/>
      </c>
      <c r="K913" s="182" t="str">
        <f>IFERROR(LOOKUP(2,1/((A_Corridor!$A$5:$A$204&lt;&gt;"")*(A_Corridor!$A$5:$A$204&lt;=$B913)*(A_Corridor!$B$5:$B$204&gt;$B913)*(A_Corridor!$G$5:$G$204&lt;&gt;"")),IF(A_Corridor!$G$5:$G$204="-","",A_Corridor!$G$5:$G$204)),"")</f>
        <v/>
      </c>
      <c r="L913" s="181" t="str">
        <f>IFERROR(LOOKUP(2,1/((A_Corridor!$A$5:$A$204&lt;&gt;"")*(A_Corridor!$A$5:$A$204&lt;=$B913)*(A_Corridor!$B$5:$B$204&gt;$B913)*(A_Corridor!$H$5:$H$204&lt;&gt;"")),IF(A_Corridor!$H$5:$H$204="-","",1)),"")</f>
        <v/>
      </c>
      <c r="M913" s="182" t="str">
        <f>IFERROR(LOOKUP(2,1/((A_Corridor!$A$5:$A$204&lt;&gt;"")*(A_Corridor!$A$5:$A$204&lt;=$B913)*(A_Corridor!$B$5:$B$204&gt;$B913)*(A_Corridor!$H$5:$H$204&lt;&gt;"")),IF(A_Corridor!$H$5:$H$204="-","",A_Corridor!$H$5:$H$204)),"")</f>
        <v/>
      </c>
      <c r="N913" s="182" t="str">
        <f>IFERROR(LOOKUP(2,1/((A_Corridor!$A$5:$A$204&lt;&gt;"")*(A_Corridor!$A$5:$A$204&lt;=$B913)*(A_Corridor!$B$5:$B$204&gt;$B913)*(A_Corridor!$I$5:$I$204&lt;&gt;"")),IF(A_Corridor!$I$5:$I$204="-","",A_Corridor!$I$5:$I$204)),"")</f>
        <v/>
      </c>
      <c r="O913" s="182" t="str">
        <f>IFERROR(LOOKUP(2,1/((D_Points!$A$5:$A$204&lt;&gt;"")*(D_Points!$A$5:$A$204&gt;=$B913)*(D_Points!$A$5:$A$204&lt;$B913+P_Interval)*(UPPER(TRIM(D_Points!$B$5:$B$204))="PITCHING")*(D_Points!$H$5:$H$204&lt;&gt;"")),D_Points!$H$5:$H$204),"")</f>
        <v/>
      </c>
      <c r="P913" s="181" t="str">
        <f>IFERROR(LOOKUP(2,1/((B_Drainage!$A$5:$A$204&lt;&gt;"")*(B_Drainage!$A$5:$A$204&lt;=$B913)*(B_Drainage!$B$5:$B$204&gt;$B913)*(B_Drainage!$C$5:$C$204&lt;&gt;"")),IF(B_Drainage!$C$5:$C$204="-","",UPPER(B_Drainage!$C$5:$C$204))),"")</f>
        <v/>
      </c>
      <c r="Q913" s="181" t="str">
        <f>IFERROR(LOOKUP(2,1/((B_Drainage!$A$5:$A$204&lt;&gt;"")*(B_Drainage!$A$5:$A$204&lt;=$B913)*(B_Drainage!$B$5:$B$204&gt;$B913)*(B_Drainage!$D$5:$D$204&lt;&gt;"")),IF(B_Drainage!$D$5:$D$204="-","",UPPER(B_Drainage!$D$5:$D$204))),"")</f>
        <v/>
      </c>
      <c r="R913" s="182" t="str">
        <f>IFERROR(LOOKUP(2,1/((D_Points!$A$5:$A$204&lt;&gt;"")*(D_Points!$A$5:$A$204&gt;=$B913)*(D_Points!$A$5:$A$204&lt;$B913+P_Interval)*(RIGHT(UPPER(TRIM(D_Points!$B$5:$B$204)),8)="_CULVERT")),IF(LEFT(UPPER(TRIM(D_Points!$B$5:$B$204)),2)="EX",1,IF(LEFT(UPPER(TRIM(D_Points!$B$5:$B$204)),2)="PR",2,3))),"")</f>
        <v/>
      </c>
      <c r="S913" s="182" t="str">
        <f>IFERROR(LOOKUP(2,1/((D_Points!$A$5:$A$204&lt;&gt;"")*(D_Points!$A$5:$A$204&gt;=$B913)*(D_Points!$A$5:$A$204&lt;$B913+P_Interval)*(RIGHT(UPPER(TRIM(D_Points!$B$5:$B$204)),7)="_BRIDGE")),IF(LEFT(UPPER(TRIM(D_Points!$B$5:$B$204)),2)="EX",1,IF(LEFT(UPPER(TRIM(D_Points!$B$5:$B$204)),2)="PR",2,2))),"")</f>
        <v/>
      </c>
      <c r="T913" s="181" t="str">
        <f>IFERROR(LOOKUP(2,1/((B_Drainage!$A$5:$A$204&lt;&gt;"")*(B_Drainage!$A$5:$A$204&lt;=$B913)*(B_Drainage!$B$5:$B$204&gt;$B913)*(B_Drainage!$E$5:$E$204&lt;&gt;"")),IF(B_Drainage!$E$5:$E$204="-","",1)),"")</f>
        <v/>
      </c>
      <c r="U913" s="181" t="str">
        <f>IFERROR(LOOKUP(2,1/((B_Drainage!$A$5:$A$204&lt;&gt;"")*(B_Drainage!$A$5:$A$204&lt;=$B913)*(B_Drainage!$B$5:$B$204&gt;$B913)*(B_Drainage!$E$5:$E$204&lt;&gt;"")),IF(B_Drainage!$E$5:$E$204="-","",B_Drainage!$E$5:$E$204)),"")</f>
        <v/>
      </c>
      <c r="V913" s="181" t="str">
        <f>IFERROR(LOOKUP(2,1/((B_Drainage!$A$5:$A$204&lt;&gt;"")*(B_Drainage!$A$5:$A$204&lt;=$B913)*(B_Drainage!$B$5:$B$204&gt;$B913)*(B_Drainage!$F$5:$F$204&lt;&gt;"")),IF(B_Drainage!$F$5:$F$204="-","",1)),"")</f>
        <v/>
      </c>
      <c r="W913" s="181" t="str">
        <f>IFERROR(LOOKUP(2,1/((B_Drainage!$A$5:$A$204&lt;&gt;"")*(B_Drainage!$A$5:$A$204&lt;=$B913)*(B_Drainage!$B$5:$B$204&gt;$B913)*(B_Drainage!$F$5:$F$204&lt;&gt;"")),IF(B_Drainage!$F$5:$F$204="-","",B_Drainage!$F$5:$F$204)),"")</f>
        <v/>
      </c>
      <c r="X913" s="181" t="str">
        <f>IFERROR(LOOKUP(2,1/((B_Drainage!$A$5:$A$204&lt;&gt;"")*(B_Drainage!$A$5:$A$204&lt;=$B913)*(B_Drainage!$B$5:$B$204&gt;$B913)*(B_Drainage!$G$5:$G$204&lt;&gt;"")),IF(UPPER(B_Drainage!$G$5:$G$204)="Y",1,"")),"")</f>
        <v/>
      </c>
      <c r="Y913" s="181" t="str">
        <f>IFERROR(LOOKUP(2,1/((B_Drainage!$A$5:$A$204&lt;&gt;"")*(B_Drainage!$A$5:$A$204&lt;=$B913)*(B_Drainage!$B$5:$B$204&gt;$B913)*(B_Drainage!$H$5:$H$204&lt;&gt;"")),IF(UPPER(B_Drainage!$H$5:$H$204)="Y",1,"")),"")</f>
        <v/>
      </c>
      <c r="Z913" s="181" t="str">
        <f>IFERROR(LOOKUP(2,1/((B_Drainage!$A$5:$A$204&lt;&gt;"")*(B_Drainage!$A$5:$A$204&lt;=$B913)*(B_Drainage!$B$5:$B$204&gt;$B913)*(B_Drainage!$I$5:$I$204&lt;&gt;"")),IF(UPPER(B_Drainage!$I$5:$I$204)="Y",1,"")),"")</f>
        <v/>
      </c>
      <c r="AA913" s="181" t="str">
        <f>IFERROR(LOOKUP(2,1/((B_Drainage!$A$5:$A$204&lt;&gt;"")*(B_Drainage!$A$5:$A$204&lt;=$B913)*(B_Drainage!$B$5:$B$204&gt;$B913)*(B_Drainage!$J$5:$J$204&lt;&gt;"")),IF(UPPER(B_Drainage!$J$5:$J$204)="Y",1,"")),"")</f>
        <v/>
      </c>
      <c r="AB913" s="182" t="str">
        <f>IFERROR(LOOKUP(2,1/((B_Drainage!$A$5:$A$204&lt;&gt;"")*(B_Drainage!$A$5:$A$204&lt;=$B913)*(B_Drainage!$B$5:$B$204&gt;$B913)*(B_Drainage!$K$5:$K$204&lt;&gt;"")),IF(B_Drainage!$K$5:$K$204="-","",B_Drainage!$K$5:$K$204)),"")</f>
        <v/>
      </c>
      <c r="AC913" s="182" t="str">
        <f>IFERROR(LOOKUP(2,1/((B_Drainage!$A$5:$A$204&lt;&gt;"")*(B_Drainage!$A$5:$A$204&lt;=$B913)*(B_Drainage!$B$5:$B$204&gt;$B913)*(B_Drainage!$L$5:$L$204&lt;&gt;"")),IF(B_Drainage!$L$5:$L$204="-","",B_Drainage!$L$5:$L$204)),"")</f>
        <v/>
      </c>
      <c r="AD913" s="182" t="str">
        <f>IFERROR(LOOKUP(2,1/((D_Points!$A$5:$A$204&lt;&gt;"")*(D_Points!$A$5:$A$204&gt;=$B913)*(D_Points!$A$5:$A$204&lt;$B913+P_Interval)*(UPPER(TRIM(D_Points!$B$5:$B$204))="TURNOUT_L")*(D_Points!$H$5:$H$204&lt;&gt;"")),D_Points!$H$5:$H$204),"")</f>
        <v/>
      </c>
      <c r="AE913" s="182" t="str">
        <f>IFERROR(LOOKUP(2,1/((D_Points!$A$5:$A$204&lt;&gt;"")*(D_Points!$A$5:$A$204&gt;=$B913)*(D_Points!$A$5:$A$204&lt;$B913+P_Interval)*(UPPER(TRIM(D_Points!$B$5:$B$204))="TURNOUT_R")*(D_Points!$H$5:$H$204&lt;&gt;"")),D_Points!$H$5:$H$204),"")</f>
        <v/>
      </c>
      <c r="AF913" s="181" t="str">
        <f>IFERROR(LOOKUP(2,1/((B_Drainage!$A$5:$A$204&lt;&gt;"")*(B_Drainage!$A$5:$A$204&lt;=$B913)*(B_Drainage!$B$5:$B$204&gt;$B913)*(B_Drainage!$M$5:$M$204&lt;&gt;"")),IF(UPPER(B_Drainage!$M$5:$M$204)="Y",1,"")),"")</f>
        <v/>
      </c>
      <c r="AG913" s="181" t="str">
        <f>IFERROR(LOOKUP(2,1/((B_Drainage!$A$5:$A$204&lt;&gt;"")*(B_Drainage!$A$5:$A$204&lt;=$B913)*(B_Drainage!$B$5:$B$204&gt;$B913)*(B_Drainage!$N$5:$N$204&lt;&gt;"")),IF(UPPER(B_Drainage!$N$5:$N$204)="Y",1,"")),"")</f>
        <v/>
      </c>
      <c r="AH913" s="181" t="str">
        <f t="shared" si="112"/>
        <v/>
      </c>
      <c r="AI913" s="181" t="str">
        <f t="shared" si="113"/>
        <v/>
      </c>
      <c r="AJ913" s="181" t="str">
        <f t="shared" si="114"/>
        <v/>
      </c>
      <c r="AK913" s="181" t="str">
        <f t="shared" si="115"/>
        <v/>
      </c>
      <c r="AL913" s="181" t="str">
        <f t="shared" si="116"/>
        <v/>
      </c>
      <c r="AM913" s="181" t="str">
        <f t="shared" si="117"/>
        <v/>
      </c>
      <c r="AN913" s="181" t="str">
        <f t="shared" si="118"/>
        <v/>
      </c>
      <c r="AO913" s="192" t="str">
        <f t="shared" si="119"/>
        <v/>
      </c>
      <c r="AQ913" t="str">
        <f>IFERROR(LOOKUP(2,1/((C_Pavement!$A$5:$A$204&lt;&gt;"")*(C_Pavement!$A$5:$A$204&lt;=$B913)*(C_Pavement!$B$5:$B$204&gt;$B913)*(C_Pavement!$C$5:$C$204&lt;&gt;"")),ROW(C_Pavement!$C$5:$C$204)-4),"")</f>
        <v/>
      </c>
      <c r="AR913" t="str">
        <f>IF($AQ913="","",UPPER(TRIM(INDEX(C_Pavement!$C$5:$C$204,$AQ913))))</f>
        <v/>
      </c>
      <c r="AS913" t="str">
        <f>IF($AR913="","",IFERROR(MATCH($AR913,E_Rules!$A$5:$A$9,0),""))</f>
        <v/>
      </c>
      <c r="AT913" t="str">
        <f>IF($AQ913="","",IF(INDEX(C_Pavement!$D$5:$D$204,$AQ913)&lt;&gt;"",UPPER(TRIM(INDEX(C_Pavement!$D$5:$D$204,$AQ913))),IF($AS913="","",INDEX(E_Rules!$C$5:$C$9,$AS913))))</f>
        <v/>
      </c>
      <c r="AU913" t="str">
        <f>IF($AQ913="","",IF(INDEX(C_Pavement!$E$5:$E$204,$AQ913)&lt;&gt;"",IF(INDEX(C_Pavement!$E$5:$E$204,$AQ913)="-","",INDEX(C_Pavement!$E$5:$E$204,$AQ913)),IF($AS913="","",INDEX(E_Rules!$D$5:$D$9,$AS913))))</f>
        <v/>
      </c>
      <c r="AV913" t="str">
        <f>IF($AQ913="","",IF(INDEX(C_Pavement!$F$5:$F$204,$AQ913)&lt;&gt;"",IF(INDEX(C_Pavement!$F$5:$F$204,$AQ913)="-","",INDEX(C_Pavement!$F$5:$F$204,$AQ913)),IF($AS913="","",INDEX(E_Rules!$E$5:$E$9,$AS913))))</f>
        <v/>
      </c>
      <c r="AW913" t="str">
        <f>IF($AQ913="","",IF(INDEX(C_Pavement!$G$5:$G$204,$AQ913)&lt;&gt;"",IF(INDEX(C_Pavement!$G$5:$G$204,$AQ913)="-","",INDEX(C_Pavement!$G$5:$G$204,$AQ913)),IF($AS913="","",INDEX(E_Rules!$F$5:$F$9,$AS913))))</f>
        <v/>
      </c>
      <c r="AX913" t="str">
        <f>IF($AQ913="","",IF(INDEX(C_Pavement!$H$5:$H$204,$AQ913)&lt;&gt;"",IF(INDEX(C_Pavement!$H$5:$H$204,$AQ913)="-","",INDEX(C_Pavement!$H$5:$H$204,$AQ913)),IF($AS913="","",INDEX(E_Rules!$G$5:$G$9,$AS913))))</f>
        <v/>
      </c>
      <c r="AY913" t="str">
        <f>IF($AQ913="","",IF(INDEX(C_Pavement!$I$5:$I$204,$AQ913)&lt;&gt;"",IF(INDEX(C_Pavement!$I$5:$I$204,$AQ913)="-","",INDEX(C_Pavement!$I$5:$I$204,$AQ913)),IF($AS913="","",INDEX(E_Rules!$H$5:$H$9,$AS913))))</f>
        <v/>
      </c>
    </row>
    <row r="914" spans="1:51" ht="15.75" customHeight="1" x14ac:dyDescent="0.3">
      <c r="A914" s="189">
        <v>909</v>
      </c>
      <c r="B914" s="180">
        <v>45400</v>
      </c>
      <c r="C914" s="180" t="s">
        <v>1220</v>
      </c>
      <c r="D914" s="181" t="str">
        <f>IFERROR(LOOKUP(2,1/((A_Corridor!$A$5:$A$204&lt;&gt;"")*(A_Corridor!$A$5:$A$204&lt;=$B914)*(A_Corridor!$B$5:$B$204&gt;$B914)*(A_Corridor!$C$5:$C$204&lt;&gt;"")),IF(UPPER(A_Corridor!$C$5:$C$204)="Y",1,"")),"")</f>
        <v/>
      </c>
      <c r="E914" s="181" t="str">
        <f>IFERROR(LOOKUP(2,1/((A_Corridor!$A$5:$A$204&lt;&gt;"")*(A_Corridor!$A$5:$A$204&lt;=$B914)*(A_Corridor!$B$5:$B$204&gt;$B914)*(A_Corridor!$D$5:$D$204&lt;&gt;"")),IF(A_Corridor!$D$5:$D$204="-","",UPPER(A_Corridor!$D$5:$D$204))),"")</f>
        <v/>
      </c>
      <c r="F914" s="181" t="str">
        <f>IFERROR(LOOKUP(2,1/((A_Corridor!$A$5:$A$204&lt;&gt;"")*(A_Corridor!$A$5:$A$204&lt;=$B914)*(A_Corridor!$B$5:$B$204&gt;$B914)*(A_Corridor!$E$5:$E$204&lt;&gt;"")),IF(A_Corridor!$E$5:$E$204="-","",1)),"")</f>
        <v/>
      </c>
      <c r="G914" s="182" t="str">
        <f>IFERROR(LOOKUP(2,1/((A_Corridor!$A$5:$A$204&lt;&gt;"")*(A_Corridor!$A$5:$A$204&lt;=$B914)*(A_Corridor!$B$5:$B$204&gt;$B914)*(A_Corridor!$E$5:$E$204&lt;&gt;"")),IF(A_Corridor!$E$5:$E$204="-","",A_Corridor!$E$5:$E$204)),"")</f>
        <v/>
      </c>
      <c r="H914" s="182" t="str">
        <f>IFERROR(LOOKUP(2,1/((D_Points!$A$5:$A$204&lt;&gt;"")*(D_Points!$A$5:$A$204&gt;=$B914)*(D_Points!$A$5:$A$204&lt;$B914+P_Interval)*(UPPER(TRIM(D_Points!$B$5:$B$204))="GULLY")*(D_Points!$H$5:$H$204&lt;&gt;"")),D_Points!$H$5:$H$204),"")</f>
        <v/>
      </c>
      <c r="I914" s="181" t="str">
        <f>IFERROR(LOOKUP(2,1/((A_Corridor!$A$5:$A$204&lt;&gt;"")*(A_Corridor!$A$5:$A$204&lt;=$B914)*(A_Corridor!$B$5:$B$204&gt;$B914)*(A_Corridor!$F$5:$F$204&lt;&gt;"")),IF(A_Corridor!$F$5:$F$204="-","",1)),"")</f>
        <v/>
      </c>
      <c r="J914" s="182" t="str">
        <f>IFERROR(LOOKUP(2,1/((A_Corridor!$A$5:$A$204&lt;&gt;"")*(A_Corridor!$A$5:$A$204&lt;=$B914)*(A_Corridor!$B$5:$B$204&gt;$B914)*(A_Corridor!$F$5:$F$204&lt;&gt;"")),IF(A_Corridor!$F$5:$F$204="-","",A_Corridor!$F$5:$F$204)),"")</f>
        <v/>
      </c>
      <c r="K914" s="182" t="str">
        <f>IFERROR(LOOKUP(2,1/((A_Corridor!$A$5:$A$204&lt;&gt;"")*(A_Corridor!$A$5:$A$204&lt;=$B914)*(A_Corridor!$B$5:$B$204&gt;$B914)*(A_Corridor!$G$5:$G$204&lt;&gt;"")),IF(A_Corridor!$G$5:$G$204="-","",A_Corridor!$G$5:$G$204)),"")</f>
        <v/>
      </c>
      <c r="L914" s="181" t="str">
        <f>IFERROR(LOOKUP(2,1/((A_Corridor!$A$5:$A$204&lt;&gt;"")*(A_Corridor!$A$5:$A$204&lt;=$B914)*(A_Corridor!$B$5:$B$204&gt;$B914)*(A_Corridor!$H$5:$H$204&lt;&gt;"")),IF(A_Corridor!$H$5:$H$204="-","",1)),"")</f>
        <v/>
      </c>
      <c r="M914" s="182" t="str">
        <f>IFERROR(LOOKUP(2,1/((A_Corridor!$A$5:$A$204&lt;&gt;"")*(A_Corridor!$A$5:$A$204&lt;=$B914)*(A_Corridor!$B$5:$B$204&gt;$B914)*(A_Corridor!$H$5:$H$204&lt;&gt;"")),IF(A_Corridor!$H$5:$H$204="-","",A_Corridor!$H$5:$H$204)),"")</f>
        <v/>
      </c>
      <c r="N914" s="182" t="str">
        <f>IFERROR(LOOKUP(2,1/((A_Corridor!$A$5:$A$204&lt;&gt;"")*(A_Corridor!$A$5:$A$204&lt;=$B914)*(A_Corridor!$B$5:$B$204&gt;$B914)*(A_Corridor!$I$5:$I$204&lt;&gt;"")),IF(A_Corridor!$I$5:$I$204="-","",A_Corridor!$I$5:$I$204)),"")</f>
        <v/>
      </c>
      <c r="O914" s="182" t="str">
        <f>IFERROR(LOOKUP(2,1/((D_Points!$A$5:$A$204&lt;&gt;"")*(D_Points!$A$5:$A$204&gt;=$B914)*(D_Points!$A$5:$A$204&lt;$B914+P_Interval)*(UPPER(TRIM(D_Points!$B$5:$B$204))="PITCHING")*(D_Points!$H$5:$H$204&lt;&gt;"")),D_Points!$H$5:$H$204),"")</f>
        <v/>
      </c>
      <c r="P914" s="181" t="str">
        <f>IFERROR(LOOKUP(2,1/((B_Drainage!$A$5:$A$204&lt;&gt;"")*(B_Drainage!$A$5:$A$204&lt;=$B914)*(B_Drainage!$B$5:$B$204&gt;$B914)*(B_Drainage!$C$5:$C$204&lt;&gt;"")),IF(B_Drainage!$C$5:$C$204="-","",UPPER(B_Drainage!$C$5:$C$204))),"")</f>
        <v/>
      </c>
      <c r="Q914" s="181" t="str">
        <f>IFERROR(LOOKUP(2,1/((B_Drainage!$A$5:$A$204&lt;&gt;"")*(B_Drainage!$A$5:$A$204&lt;=$B914)*(B_Drainage!$B$5:$B$204&gt;$B914)*(B_Drainage!$D$5:$D$204&lt;&gt;"")),IF(B_Drainage!$D$5:$D$204="-","",UPPER(B_Drainage!$D$5:$D$204))),"")</f>
        <v/>
      </c>
      <c r="R914" s="182" t="str">
        <f>IFERROR(LOOKUP(2,1/((D_Points!$A$5:$A$204&lt;&gt;"")*(D_Points!$A$5:$A$204&gt;=$B914)*(D_Points!$A$5:$A$204&lt;$B914+P_Interval)*(RIGHT(UPPER(TRIM(D_Points!$B$5:$B$204)),8)="_CULVERT")),IF(LEFT(UPPER(TRIM(D_Points!$B$5:$B$204)),2)="EX",1,IF(LEFT(UPPER(TRIM(D_Points!$B$5:$B$204)),2)="PR",2,3))),"")</f>
        <v/>
      </c>
      <c r="S914" s="182" t="str">
        <f>IFERROR(LOOKUP(2,1/((D_Points!$A$5:$A$204&lt;&gt;"")*(D_Points!$A$5:$A$204&gt;=$B914)*(D_Points!$A$5:$A$204&lt;$B914+P_Interval)*(RIGHT(UPPER(TRIM(D_Points!$B$5:$B$204)),7)="_BRIDGE")),IF(LEFT(UPPER(TRIM(D_Points!$B$5:$B$204)),2)="EX",1,IF(LEFT(UPPER(TRIM(D_Points!$B$5:$B$204)),2)="PR",2,2))),"")</f>
        <v/>
      </c>
      <c r="T914" s="181" t="str">
        <f>IFERROR(LOOKUP(2,1/((B_Drainage!$A$5:$A$204&lt;&gt;"")*(B_Drainage!$A$5:$A$204&lt;=$B914)*(B_Drainage!$B$5:$B$204&gt;$B914)*(B_Drainage!$E$5:$E$204&lt;&gt;"")),IF(B_Drainage!$E$5:$E$204="-","",1)),"")</f>
        <v/>
      </c>
      <c r="U914" s="181" t="str">
        <f>IFERROR(LOOKUP(2,1/((B_Drainage!$A$5:$A$204&lt;&gt;"")*(B_Drainage!$A$5:$A$204&lt;=$B914)*(B_Drainage!$B$5:$B$204&gt;$B914)*(B_Drainage!$E$5:$E$204&lt;&gt;"")),IF(B_Drainage!$E$5:$E$204="-","",B_Drainage!$E$5:$E$204)),"")</f>
        <v/>
      </c>
      <c r="V914" s="181" t="str">
        <f>IFERROR(LOOKUP(2,1/((B_Drainage!$A$5:$A$204&lt;&gt;"")*(B_Drainage!$A$5:$A$204&lt;=$B914)*(B_Drainage!$B$5:$B$204&gt;$B914)*(B_Drainage!$F$5:$F$204&lt;&gt;"")),IF(B_Drainage!$F$5:$F$204="-","",1)),"")</f>
        <v/>
      </c>
      <c r="W914" s="181" t="str">
        <f>IFERROR(LOOKUP(2,1/((B_Drainage!$A$5:$A$204&lt;&gt;"")*(B_Drainage!$A$5:$A$204&lt;=$B914)*(B_Drainage!$B$5:$B$204&gt;$B914)*(B_Drainage!$F$5:$F$204&lt;&gt;"")),IF(B_Drainage!$F$5:$F$204="-","",B_Drainage!$F$5:$F$204)),"")</f>
        <v/>
      </c>
      <c r="X914" s="181" t="str">
        <f>IFERROR(LOOKUP(2,1/((B_Drainage!$A$5:$A$204&lt;&gt;"")*(B_Drainage!$A$5:$A$204&lt;=$B914)*(B_Drainage!$B$5:$B$204&gt;$B914)*(B_Drainage!$G$5:$G$204&lt;&gt;"")),IF(UPPER(B_Drainage!$G$5:$G$204)="Y",1,"")),"")</f>
        <v/>
      </c>
      <c r="Y914" s="181" t="str">
        <f>IFERROR(LOOKUP(2,1/((B_Drainage!$A$5:$A$204&lt;&gt;"")*(B_Drainage!$A$5:$A$204&lt;=$B914)*(B_Drainage!$B$5:$B$204&gt;$B914)*(B_Drainage!$H$5:$H$204&lt;&gt;"")),IF(UPPER(B_Drainage!$H$5:$H$204)="Y",1,"")),"")</f>
        <v/>
      </c>
      <c r="Z914" s="181" t="str">
        <f>IFERROR(LOOKUP(2,1/((B_Drainage!$A$5:$A$204&lt;&gt;"")*(B_Drainage!$A$5:$A$204&lt;=$B914)*(B_Drainage!$B$5:$B$204&gt;$B914)*(B_Drainage!$I$5:$I$204&lt;&gt;"")),IF(UPPER(B_Drainage!$I$5:$I$204)="Y",1,"")),"")</f>
        <v/>
      </c>
      <c r="AA914" s="181" t="str">
        <f>IFERROR(LOOKUP(2,1/((B_Drainage!$A$5:$A$204&lt;&gt;"")*(B_Drainage!$A$5:$A$204&lt;=$B914)*(B_Drainage!$B$5:$B$204&gt;$B914)*(B_Drainage!$J$5:$J$204&lt;&gt;"")),IF(UPPER(B_Drainage!$J$5:$J$204)="Y",1,"")),"")</f>
        <v/>
      </c>
      <c r="AB914" s="182" t="str">
        <f>IFERROR(LOOKUP(2,1/((B_Drainage!$A$5:$A$204&lt;&gt;"")*(B_Drainage!$A$5:$A$204&lt;=$B914)*(B_Drainage!$B$5:$B$204&gt;$B914)*(B_Drainage!$K$5:$K$204&lt;&gt;"")),IF(B_Drainage!$K$5:$K$204="-","",B_Drainage!$K$5:$K$204)),"")</f>
        <v/>
      </c>
      <c r="AC914" s="182" t="str">
        <f>IFERROR(LOOKUP(2,1/((B_Drainage!$A$5:$A$204&lt;&gt;"")*(B_Drainage!$A$5:$A$204&lt;=$B914)*(B_Drainage!$B$5:$B$204&gt;$B914)*(B_Drainage!$L$5:$L$204&lt;&gt;"")),IF(B_Drainage!$L$5:$L$204="-","",B_Drainage!$L$5:$L$204)),"")</f>
        <v/>
      </c>
      <c r="AD914" s="182" t="str">
        <f>IFERROR(LOOKUP(2,1/((D_Points!$A$5:$A$204&lt;&gt;"")*(D_Points!$A$5:$A$204&gt;=$B914)*(D_Points!$A$5:$A$204&lt;$B914+P_Interval)*(UPPER(TRIM(D_Points!$B$5:$B$204))="TURNOUT_L")*(D_Points!$H$5:$H$204&lt;&gt;"")),D_Points!$H$5:$H$204),"")</f>
        <v/>
      </c>
      <c r="AE914" s="182" t="str">
        <f>IFERROR(LOOKUP(2,1/((D_Points!$A$5:$A$204&lt;&gt;"")*(D_Points!$A$5:$A$204&gt;=$B914)*(D_Points!$A$5:$A$204&lt;$B914+P_Interval)*(UPPER(TRIM(D_Points!$B$5:$B$204))="TURNOUT_R")*(D_Points!$H$5:$H$204&lt;&gt;"")),D_Points!$H$5:$H$204),"")</f>
        <v/>
      </c>
      <c r="AF914" s="181" t="str">
        <f>IFERROR(LOOKUP(2,1/((B_Drainage!$A$5:$A$204&lt;&gt;"")*(B_Drainage!$A$5:$A$204&lt;=$B914)*(B_Drainage!$B$5:$B$204&gt;$B914)*(B_Drainage!$M$5:$M$204&lt;&gt;"")),IF(UPPER(B_Drainage!$M$5:$M$204)="Y",1,"")),"")</f>
        <v/>
      </c>
      <c r="AG914" s="181" t="str">
        <f>IFERROR(LOOKUP(2,1/((B_Drainage!$A$5:$A$204&lt;&gt;"")*(B_Drainage!$A$5:$A$204&lt;=$B914)*(B_Drainage!$B$5:$B$204&gt;$B914)*(B_Drainage!$N$5:$N$204&lt;&gt;"")),IF(UPPER(B_Drainage!$N$5:$N$204)="Y",1,"")),"")</f>
        <v/>
      </c>
      <c r="AH914" s="181" t="str">
        <f t="shared" si="112"/>
        <v/>
      </c>
      <c r="AI914" s="181" t="str">
        <f t="shared" si="113"/>
        <v/>
      </c>
      <c r="AJ914" s="181" t="str">
        <f t="shared" si="114"/>
        <v/>
      </c>
      <c r="AK914" s="181" t="str">
        <f t="shared" si="115"/>
        <v/>
      </c>
      <c r="AL914" s="181" t="str">
        <f t="shared" si="116"/>
        <v/>
      </c>
      <c r="AM914" s="181" t="str">
        <f t="shared" si="117"/>
        <v/>
      </c>
      <c r="AN914" s="181" t="str">
        <f t="shared" si="118"/>
        <v/>
      </c>
      <c r="AO914" s="192" t="str">
        <f t="shared" si="119"/>
        <v/>
      </c>
      <c r="AQ914" t="str">
        <f>IFERROR(LOOKUP(2,1/((C_Pavement!$A$5:$A$204&lt;&gt;"")*(C_Pavement!$A$5:$A$204&lt;=$B914)*(C_Pavement!$B$5:$B$204&gt;$B914)*(C_Pavement!$C$5:$C$204&lt;&gt;"")),ROW(C_Pavement!$C$5:$C$204)-4),"")</f>
        <v/>
      </c>
      <c r="AR914" t="str">
        <f>IF($AQ914="","",UPPER(TRIM(INDEX(C_Pavement!$C$5:$C$204,$AQ914))))</f>
        <v/>
      </c>
      <c r="AS914" t="str">
        <f>IF($AR914="","",IFERROR(MATCH($AR914,E_Rules!$A$5:$A$9,0),""))</f>
        <v/>
      </c>
      <c r="AT914" t="str">
        <f>IF($AQ914="","",IF(INDEX(C_Pavement!$D$5:$D$204,$AQ914)&lt;&gt;"",UPPER(TRIM(INDEX(C_Pavement!$D$5:$D$204,$AQ914))),IF($AS914="","",INDEX(E_Rules!$C$5:$C$9,$AS914))))</f>
        <v/>
      </c>
      <c r="AU914" t="str">
        <f>IF($AQ914="","",IF(INDEX(C_Pavement!$E$5:$E$204,$AQ914)&lt;&gt;"",IF(INDEX(C_Pavement!$E$5:$E$204,$AQ914)="-","",INDEX(C_Pavement!$E$5:$E$204,$AQ914)),IF($AS914="","",INDEX(E_Rules!$D$5:$D$9,$AS914))))</f>
        <v/>
      </c>
      <c r="AV914" t="str">
        <f>IF($AQ914="","",IF(INDEX(C_Pavement!$F$5:$F$204,$AQ914)&lt;&gt;"",IF(INDEX(C_Pavement!$F$5:$F$204,$AQ914)="-","",INDEX(C_Pavement!$F$5:$F$204,$AQ914)),IF($AS914="","",INDEX(E_Rules!$E$5:$E$9,$AS914))))</f>
        <v/>
      </c>
      <c r="AW914" t="str">
        <f>IF($AQ914="","",IF(INDEX(C_Pavement!$G$5:$G$204,$AQ914)&lt;&gt;"",IF(INDEX(C_Pavement!$G$5:$G$204,$AQ914)="-","",INDEX(C_Pavement!$G$5:$G$204,$AQ914)),IF($AS914="","",INDEX(E_Rules!$F$5:$F$9,$AS914))))</f>
        <v/>
      </c>
      <c r="AX914" t="str">
        <f>IF($AQ914="","",IF(INDEX(C_Pavement!$H$5:$H$204,$AQ914)&lt;&gt;"",IF(INDEX(C_Pavement!$H$5:$H$204,$AQ914)="-","",INDEX(C_Pavement!$H$5:$H$204,$AQ914)),IF($AS914="","",INDEX(E_Rules!$G$5:$G$9,$AS914))))</f>
        <v/>
      </c>
      <c r="AY914" t="str">
        <f>IF($AQ914="","",IF(INDEX(C_Pavement!$I$5:$I$204,$AQ914)&lt;&gt;"",IF(INDEX(C_Pavement!$I$5:$I$204,$AQ914)="-","",INDEX(C_Pavement!$I$5:$I$204,$AQ914)),IF($AS914="","",INDEX(E_Rules!$H$5:$H$9,$AS914))))</f>
        <v/>
      </c>
    </row>
    <row r="915" spans="1:51" ht="15.75" customHeight="1" x14ac:dyDescent="0.3">
      <c r="A915" s="189">
        <v>910</v>
      </c>
      <c r="B915" s="180">
        <v>45450</v>
      </c>
      <c r="C915" s="180" t="s">
        <v>1221</v>
      </c>
      <c r="D915" s="181" t="str">
        <f>IFERROR(LOOKUP(2,1/((A_Corridor!$A$5:$A$204&lt;&gt;"")*(A_Corridor!$A$5:$A$204&lt;=$B915)*(A_Corridor!$B$5:$B$204&gt;$B915)*(A_Corridor!$C$5:$C$204&lt;&gt;"")),IF(UPPER(A_Corridor!$C$5:$C$204)="Y",1,"")),"")</f>
        <v/>
      </c>
      <c r="E915" s="181" t="str">
        <f>IFERROR(LOOKUP(2,1/((A_Corridor!$A$5:$A$204&lt;&gt;"")*(A_Corridor!$A$5:$A$204&lt;=$B915)*(A_Corridor!$B$5:$B$204&gt;$B915)*(A_Corridor!$D$5:$D$204&lt;&gt;"")),IF(A_Corridor!$D$5:$D$204="-","",UPPER(A_Corridor!$D$5:$D$204))),"")</f>
        <v/>
      </c>
      <c r="F915" s="181" t="str">
        <f>IFERROR(LOOKUP(2,1/((A_Corridor!$A$5:$A$204&lt;&gt;"")*(A_Corridor!$A$5:$A$204&lt;=$B915)*(A_Corridor!$B$5:$B$204&gt;$B915)*(A_Corridor!$E$5:$E$204&lt;&gt;"")),IF(A_Corridor!$E$5:$E$204="-","",1)),"")</f>
        <v/>
      </c>
      <c r="G915" s="182" t="str">
        <f>IFERROR(LOOKUP(2,1/((A_Corridor!$A$5:$A$204&lt;&gt;"")*(A_Corridor!$A$5:$A$204&lt;=$B915)*(A_Corridor!$B$5:$B$204&gt;$B915)*(A_Corridor!$E$5:$E$204&lt;&gt;"")),IF(A_Corridor!$E$5:$E$204="-","",A_Corridor!$E$5:$E$204)),"")</f>
        <v/>
      </c>
      <c r="H915" s="182" t="str">
        <f>IFERROR(LOOKUP(2,1/((D_Points!$A$5:$A$204&lt;&gt;"")*(D_Points!$A$5:$A$204&gt;=$B915)*(D_Points!$A$5:$A$204&lt;$B915+P_Interval)*(UPPER(TRIM(D_Points!$B$5:$B$204))="GULLY")*(D_Points!$H$5:$H$204&lt;&gt;"")),D_Points!$H$5:$H$204),"")</f>
        <v/>
      </c>
      <c r="I915" s="181" t="str">
        <f>IFERROR(LOOKUP(2,1/((A_Corridor!$A$5:$A$204&lt;&gt;"")*(A_Corridor!$A$5:$A$204&lt;=$B915)*(A_Corridor!$B$5:$B$204&gt;$B915)*(A_Corridor!$F$5:$F$204&lt;&gt;"")),IF(A_Corridor!$F$5:$F$204="-","",1)),"")</f>
        <v/>
      </c>
      <c r="J915" s="182" t="str">
        <f>IFERROR(LOOKUP(2,1/((A_Corridor!$A$5:$A$204&lt;&gt;"")*(A_Corridor!$A$5:$A$204&lt;=$B915)*(A_Corridor!$B$5:$B$204&gt;$B915)*(A_Corridor!$F$5:$F$204&lt;&gt;"")),IF(A_Corridor!$F$5:$F$204="-","",A_Corridor!$F$5:$F$204)),"")</f>
        <v/>
      </c>
      <c r="K915" s="182" t="str">
        <f>IFERROR(LOOKUP(2,1/((A_Corridor!$A$5:$A$204&lt;&gt;"")*(A_Corridor!$A$5:$A$204&lt;=$B915)*(A_Corridor!$B$5:$B$204&gt;$B915)*(A_Corridor!$G$5:$G$204&lt;&gt;"")),IF(A_Corridor!$G$5:$G$204="-","",A_Corridor!$G$5:$G$204)),"")</f>
        <v/>
      </c>
      <c r="L915" s="181" t="str">
        <f>IFERROR(LOOKUP(2,1/((A_Corridor!$A$5:$A$204&lt;&gt;"")*(A_Corridor!$A$5:$A$204&lt;=$B915)*(A_Corridor!$B$5:$B$204&gt;$B915)*(A_Corridor!$H$5:$H$204&lt;&gt;"")),IF(A_Corridor!$H$5:$H$204="-","",1)),"")</f>
        <v/>
      </c>
      <c r="M915" s="182" t="str">
        <f>IFERROR(LOOKUP(2,1/((A_Corridor!$A$5:$A$204&lt;&gt;"")*(A_Corridor!$A$5:$A$204&lt;=$B915)*(A_Corridor!$B$5:$B$204&gt;$B915)*(A_Corridor!$H$5:$H$204&lt;&gt;"")),IF(A_Corridor!$H$5:$H$204="-","",A_Corridor!$H$5:$H$204)),"")</f>
        <v/>
      </c>
      <c r="N915" s="182" t="str">
        <f>IFERROR(LOOKUP(2,1/((A_Corridor!$A$5:$A$204&lt;&gt;"")*(A_Corridor!$A$5:$A$204&lt;=$B915)*(A_Corridor!$B$5:$B$204&gt;$B915)*(A_Corridor!$I$5:$I$204&lt;&gt;"")),IF(A_Corridor!$I$5:$I$204="-","",A_Corridor!$I$5:$I$204)),"")</f>
        <v/>
      </c>
      <c r="O915" s="182" t="str">
        <f>IFERROR(LOOKUP(2,1/((D_Points!$A$5:$A$204&lt;&gt;"")*(D_Points!$A$5:$A$204&gt;=$B915)*(D_Points!$A$5:$A$204&lt;$B915+P_Interval)*(UPPER(TRIM(D_Points!$B$5:$B$204))="PITCHING")*(D_Points!$H$5:$H$204&lt;&gt;"")),D_Points!$H$5:$H$204),"")</f>
        <v/>
      </c>
      <c r="P915" s="181" t="str">
        <f>IFERROR(LOOKUP(2,1/((B_Drainage!$A$5:$A$204&lt;&gt;"")*(B_Drainage!$A$5:$A$204&lt;=$B915)*(B_Drainage!$B$5:$B$204&gt;$B915)*(B_Drainage!$C$5:$C$204&lt;&gt;"")),IF(B_Drainage!$C$5:$C$204="-","",UPPER(B_Drainage!$C$5:$C$204))),"")</f>
        <v/>
      </c>
      <c r="Q915" s="181" t="str">
        <f>IFERROR(LOOKUP(2,1/((B_Drainage!$A$5:$A$204&lt;&gt;"")*(B_Drainage!$A$5:$A$204&lt;=$B915)*(B_Drainage!$B$5:$B$204&gt;$B915)*(B_Drainage!$D$5:$D$204&lt;&gt;"")),IF(B_Drainage!$D$5:$D$204="-","",UPPER(B_Drainage!$D$5:$D$204))),"")</f>
        <v/>
      </c>
      <c r="R915" s="182" t="str">
        <f>IFERROR(LOOKUP(2,1/((D_Points!$A$5:$A$204&lt;&gt;"")*(D_Points!$A$5:$A$204&gt;=$B915)*(D_Points!$A$5:$A$204&lt;$B915+P_Interval)*(RIGHT(UPPER(TRIM(D_Points!$B$5:$B$204)),8)="_CULVERT")),IF(LEFT(UPPER(TRIM(D_Points!$B$5:$B$204)),2)="EX",1,IF(LEFT(UPPER(TRIM(D_Points!$B$5:$B$204)),2)="PR",2,3))),"")</f>
        <v/>
      </c>
      <c r="S915" s="182" t="str">
        <f>IFERROR(LOOKUP(2,1/((D_Points!$A$5:$A$204&lt;&gt;"")*(D_Points!$A$5:$A$204&gt;=$B915)*(D_Points!$A$5:$A$204&lt;$B915+P_Interval)*(RIGHT(UPPER(TRIM(D_Points!$B$5:$B$204)),7)="_BRIDGE")),IF(LEFT(UPPER(TRIM(D_Points!$B$5:$B$204)),2)="EX",1,IF(LEFT(UPPER(TRIM(D_Points!$B$5:$B$204)),2)="PR",2,2))),"")</f>
        <v/>
      </c>
      <c r="T915" s="181" t="str">
        <f>IFERROR(LOOKUP(2,1/((B_Drainage!$A$5:$A$204&lt;&gt;"")*(B_Drainage!$A$5:$A$204&lt;=$B915)*(B_Drainage!$B$5:$B$204&gt;$B915)*(B_Drainage!$E$5:$E$204&lt;&gt;"")),IF(B_Drainage!$E$5:$E$204="-","",1)),"")</f>
        <v/>
      </c>
      <c r="U915" s="181" t="str">
        <f>IFERROR(LOOKUP(2,1/((B_Drainage!$A$5:$A$204&lt;&gt;"")*(B_Drainage!$A$5:$A$204&lt;=$B915)*(B_Drainage!$B$5:$B$204&gt;$B915)*(B_Drainage!$E$5:$E$204&lt;&gt;"")),IF(B_Drainage!$E$5:$E$204="-","",B_Drainage!$E$5:$E$204)),"")</f>
        <v/>
      </c>
      <c r="V915" s="181" t="str">
        <f>IFERROR(LOOKUP(2,1/((B_Drainage!$A$5:$A$204&lt;&gt;"")*(B_Drainage!$A$5:$A$204&lt;=$B915)*(B_Drainage!$B$5:$B$204&gt;$B915)*(B_Drainage!$F$5:$F$204&lt;&gt;"")),IF(B_Drainage!$F$5:$F$204="-","",1)),"")</f>
        <v/>
      </c>
      <c r="W915" s="181" t="str">
        <f>IFERROR(LOOKUP(2,1/((B_Drainage!$A$5:$A$204&lt;&gt;"")*(B_Drainage!$A$5:$A$204&lt;=$B915)*(B_Drainage!$B$5:$B$204&gt;$B915)*(B_Drainage!$F$5:$F$204&lt;&gt;"")),IF(B_Drainage!$F$5:$F$204="-","",B_Drainage!$F$5:$F$204)),"")</f>
        <v/>
      </c>
      <c r="X915" s="181" t="str">
        <f>IFERROR(LOOKUP(2,1/((B_Drainage!$A$5:$A$204&lt;&gt;"")*(B_Drainage!$A$5:$A$204&lt;=$B915)*(B_Drainage!$B$5:$B$204&gt;$B915)*(B_Drainage!$G$5:$G$204&lt;&gt;"")),IF(UPPER(B_Drainage!$G$5:$G$204)="Y",1,"")),"")</f>
        <v/>
      </c>
      <c r="Y915" s="181" t="str">
        <f>IFERROR(LOOKUP(2,1/((B_Drainage!$A$5:$A$204&lt;&gt;"")*(B_Drainage!$A$5:$A$204&lt;=$B915)*(B_Drainage!$B$5:$B$204&gt;$B915)*(B_Drainage!$H$5:$H$204&lt;&gt;"")),IF(UPPER(B_Drainage!$H$5:$H$204)="Y",1,"")),"")</f>
        <v/>
      </c>
      <c r="Z915" s="181" t="str">
        <f>IFERROR(LOOKUP(2,1/((B_Drainage!$A$5:$A$204&lt;&gt;"")*(B_Drainage!$A$5:$A$204&lt;=$B915)*(B_Drainage!$B$5:$B$204&gt;$B915)*(B_Drainage!$I$5:$I$204&lt;&gt;"")),IF(UPPER(B_Drainage!$I$5:$I$204)="Y",1,"")),"")</f>
        <v/>
      </c>
      <c r="AA915" s="181" t="str">
        <f>IFERROR(LOOKUP(2,1/((B_Drainage!$A$5:$A$204&lt;&gt;"")*(B_Drainage!$A$5:$A$204&lt;=$B915)*(B_Drainage!$B$5:$B$204&gt;$B915)*(B_Drainage!$J$5:$J$204&lt;&gt;"")),IF(UPPER(B_Drainage!$J$5:$J$204)="Y",1,"")),"")</f>
        <v/>
      </c>
      <c r="AB915" s="182" t="str">
        <f>IFERROR(LOOKUP(2,1/((B_Drainage!$A$5:$A$204&lt;&gt;"")*(B_Drainage!$A$5:$A$204&lt;=$B915)*(B_Drainage!$B$5:$B$204&gt;$B915)*(B_Drainage!$K$5:$K$204&lt;&gt;"")),IF(B_Drainage!$K$5:$K$204="-","",B_Drainage!$K$5:$K$204)),"")</f>
        <v/>
      </c>
      <c r="AC915" s="182" t="str">
        <f>IFERROR(LOOKUP(2,1/((B_Drainage!$A$5:$A$204&lt;&gt;"")*(B_Drainage!$A$5:$A$204&lt;=$B915)*(B_Drainage!$B$5:$B$204&gt;$B915)*(B_Drainage!$L$5:$L$204&lt;&gt;"")),IF(B_Drainage!$L$5:$L$204="-","",B_Drainage!$L$5:$L$204)),"")</f>
        <v/>
      </c>
      <c r="AD915" s="182" t="str">
        <f>IFERROR(LOOKUP(2,1/((D_Points!$A$5:$A$204&lt;&gt;"")*(D_Points!$A$5:$A$204&gt;=$B915)*(D_Points!$A$5:$A$204&lt;$B915+P_Interval)*(UPPER(TRIM(D_Points!$B$5:$B$204))="TURNOUT_L")*(D_Points!$H$5:$H$204&lt;&gt;"")),D_Points!$H$5:$H$204),"")</f>
        <v/>
      </c>
      <c r="AE915" s="182" t="str">
        <f>IFERROR(LOOKUP(2,1/((D_Points!$A$5:$A$204&lt;&gt;"")*(D_Points!$A$5:$A$204&gt;=$B915)*(D_Points!$A$5:$A$204&lt;$B915+P_Interval)*(UPPER(TRIM(D_Points!$B$5:$B$204))="TURNOUT_R")*(D_Points!$H$5:$H$204&lt;&gt;"")),D_Points!$H$5:$H$204),"")</f>
        <v/>
      </c>
      <c r="AF915" s="181" t="str">
        <f>IFERROR(LOOKUP(2,1/((B_Drainage!$A$5:$A$204&lt;&gt;"")*(B_Drainage!$A$5:$A$204&lt;=$B915)*(B_Drainage!$B$5:$B$204&gt;$B915)*(B_Drainage!$M$5:$M$204&lt;&gt;"")),IF(UPPER(B_Drainage!$M$5:$M$204)="Y",1,"")),"")</f>
        <v/>
      </c>
      <c r="AG915" s="181" t="str">
        <f>IFERROR(LOOKUP(2,1/((B_Drainage!$A$5:$A$204&lt;&gt;"")*(B_Drainage!$A$5:$A$204&lt;=$B915)*(B_Drainage!$B$5:$B$204&gt;$B915)*(B_Drainage!$N$5:$N$204&lt;&gt;"")),IF(UPPER(B_Drainage!$N$5:$N$204)="Y",1,"")),"")</f>
        <v/>
      </c>
      <c r="AH915" s="181" t="str">
        <f t="shared" si="112"/>
        <v/>
      </c>
      <c r="AI915" s="181" t="str">
        <f t="shared" si="113"/>
        <v/>
      </c>
      <c r="AJ915" s="181" t="str">
        <f t="shared" si="114"/>
        <v/>
      </c>
      <c r="AK915" s="181" t="str">
        <f t="shared" si="115"/>
        <v/>
      </c>
      <c r="AL915" s="181" t="str">
        <f t="shared" si="116"/>
        <v/>
      </c>
      <c r="AM915" s="181" t="str">
        <f t="shared" si="117"/>
        <v/>
      </c>
      <c r="AN915" s="181" t="str">
        <f t="shared" si="118"/>
        <v/>
      </c>
      <c r="AO915" s="192" t="str">
        <f t="shared" si="119"/>
        <v/>
      </c>
      <c r="AQ915" t="str">
        <f>IFERROR(LOOKUP(2,1/((C_Pavement!$A$5:$A$204&lt;&gt;"")*(C_Pavement!$A$5:$A$204&lt;=$B915)*(C_Pavement!$B$5:$B$204&gt;$B915)*(C_Pavement!$C$5:$C$204&lt;&gt;"")),ROW(C_Pavement!$C$5:$C$204)-4),"")</f>
        <v/>
      </c>
      <c r="AR915" t="str">
        <f>IF($AQ915="","",UPPER(TRIM(INDEX(C_Pavement!$C$5:$C$204,$AQ915))))</f>
        <v/>
      </c>
      <c r="AS915" t="str">
        <f>IF($AR915="","",IFERROR(MATCH($AR915,E_Rules!$A$5:$A$9,0),""))</f>
        <v/>
      </c>
      <c r="AT915" t="str">
        <f>IF($AQ915="","",IF(INDEX(C_Pavement!$D$5:$D$204,$AQ915)&lt;&gt;"",UPPER(TRIM(INDEX(C_Pavement!$D$5:$D$204,$AQ915))),IF($AS915="","",INDEX(E_Rules!$C$5:$C$9,$AS915))))</f>
        <v/>
      </c>
      <c r="AU915" t="str">
        <f>IF($AQ915="","",IF(INDEX(C_Pavement!$E$5:$E$204,$AQ915)&lt;&gt;"",IF(INDEX(C_Pavement!$E$5:$E$204,$AQ915)="-","",INDEX(C_Pavement!$E$5:$E$204,$AQ915)),IF($AS915="","",INDEX(E_Rules!$D$5:$D$9,$AS915))))</f>
        <v/>
      </c>
      <c r="AV915" t="str">
        <f>IF($AQ915="","",IF(INDEX(C_Pavement!$F$5:$F$204,$AQ915)&lt;&gt;"",IF(INDEX(C_Pavement!$F$5:$F$204,$AQ915)="-","",INDEX(C_Pavement!$F$5:$F$204,$AQ915)),IF($AS915="","",INDEX(E_Rules!$E$5:$E$9,$AS915))))</f>
        <v/>
      </c>
      <c r="AW915" t="str">
        <f>IF($AQ915="","",IF(INDEX(C_Pavement!$G$5:$G$204,$AQ915)&lt;&gt;"",IF(INDEX(C_Pavement!$G$5:$G$204,$AQ915)="-","",INDEX(C_Pavement!$G$5:$G$204,$AQ915)),IF($AS915="","",INDEX(E_Rules!$F$5:$F$9,$AS915))))</f>
        <v/>
      </c>
      <c r="AX915" t="str">
        <f>IF($AQ915="","",IF(INDEX(C_Pavement!$H$5:$H$204,$AQ915)&lt;&gt;"",IF(INDEX(C_Pavement!$H$5:$H$204,$AQ915)="-","",INDEX(C_Pavement!$H$5:$H$204,$AQ915)),IF($AS915="","",INDEX(E_Rules!$G$5:$G$9,$AS915))))</f>
        <v/>
      </c>
      <c r="AY915" t="str">
        <f>IF($AQ915="","",IF(INDEX(C_Pavement!$I$5:$I$204,$AQ915)&lt;&gt;"",IF(INDEX(C_Pavement!$I$5:$I$204,$AQ915)="-","",INDEX(C_Pavement!$I$5:$I$204,$AQ915)),IF($AS915="","",INDEX(E_Rules!$H$5:$H$9,$AS915))))</f>
        <v/>
      </c>
    </row>
    <row r="916" spans="1:51" ht="15.75" customHeight="1" x14ac:dyDescent="0.3">
      <c r="A916" s="189">
        <v>911</v>
      </c>
      <c r="B916" s="180">
        <v>45500</v>
      </c>
      <c r="C916" s="180" t="s">
        <v>1222</v>
      </c>
      <c r="D916" s="181" t="str">
        <f>IFERROR(LOOKUP(2,1/((A_Corridor!$A$5:$A$204&lt;&gt;"")*(A_Corridor!$A$5:$A$204&lt;=$B916)*(A_Corridor!$B$5:$B$204&gt;$B916)*(A_Corridor!$C$5:$C$204&lt;&gt;"")),IF(UPPER(A_Corridor!$C$5:$C$204)="Y",1,"")),"")</f>
        <v/>
      </c>
      <c r="E916" s="181" t="str">
        <f>IFERROR(LOOKUP(2,1/((A_Corridor!$A$5:$A$204&lt;&gt;"")*(A_Corridor!$A$5:$A$204&lt;=$B916)*(A_Corridor!$B$5:$B$204&gt;$B916)*(A_Corridor!$D$5:$D$204&lt;&gt;"")),IF(A_Corridor!$D$5:$D$204="-","",UPPER(A_Corridor!$D$5:$D$204))),"")</f>
        <v/>
      </c>
      <c r="F916" s="181" t="str">
        <f>IFERROR(LOOKUP(2,1/((A_Corridor!$A$5:$A$204&lt;&gt;"")*(A_Corridor!$A$5:$A$204&lt;=$B916)*(A_Corridor!$B$5:$B$204&gt;$B916)*(A_Corridor!$E$5:$E$204&lt;&gt;"")),IF(A_Corridor!$E$5:$E$204="-","",1)),"")</f>
        <v/>
      </c>
      <c r="G916" s="182" t="str">
        <f>IFERROR(LOOKUP(2,1/((A_Corridor!$A$5:$A$204&lt;&gt;"")*(A_Corridor!$A$5:$A$204&lt;=$B916)*(A_Corridor!$B$5:$B$204&gt;$B916)*(A_Corridor!$E$5:$E$204&lt;&gt;"")),IF(A_Corridor!$E$5:$E$204="-","",A_Corridor!$E$5:$E$204)),"")</f>
        <v/>
      </c>
      <c r="H916" s="182" t="str">
        <f>IFERROR(LOOKUP(2,1/((D_Points!$A$5:$A$204&lt;&gt;"")*(D_Points!$A$5:$A$204&gt;=$B916)*(D_Points!$A$5:$A$204&lt;$B916+P_Interval)*(UPPER(TRIM(D_Points!$B$5:$B$204))="GULLY")*(D_Points!$H$5:$H$204&lt;&gt;"")),D_Points!$H$5:$H$204),"")</f>
        <v/>
      </c>
      <c r="I916" s="181" t="str">
        <f>IFERROR(LOOKUP(2,1/((A_Corridor!$A$5:$A$204&lt;&gt;"")*(A_Corridor!$A$5:$A$204&lt;=$B916)*(A_Corridor!$B$5:$B$204&gt;$B916)*(A_Corridor!$F$5:$F$204&lt;&gt;"")),IF(A_Corridor!$F$5:$F$204="-","",1)),"")</f>
        <v/>
      </c>
      <c r="J916" s="182" t="str">
        <f>IFERROR(LOOKUP(2,1/((A_Corridor!$A$5:$A$204&lt;&gt;"")*(A_Corridor!$A$5:$A$204&lt;=$B916)*(A_Corridor!$B$5:$B$204&gt;$B916)*(A_Corridor!$F$5:$F$204&lt;&gt;"")),IF(A_Corridor!$F$5:$F$204="-","",A_Corridor!$F$5:$F$204)),"")</f>
        <v/>
      </c>
      <c r="K916" s="182" t="str">
        <f>IFERROR(LOOKUP(2,1/((A_Corridor!$A$5:$A$204&lt;&gt;"")*(A_Corridor!$A$5:$A$204&lt;=$B916)*(A_Corridor!$B$5:$B$204&gt;$B916)*(A_Corridor!$G$5:$G$204&lt;&gt;"")),IF(A_Corridor!$G$5:$G$204="-","",A_Corridor!$G$5:$G$204)),"")</f>
        <v/>
      </c>
      <c r="L916" s="181" t="str">
        <f>IFERROR(LOOKUP(2,1/((A_Corridor!$A$5:$A$204&lt;&gt;"")*(A_Corridor!$A$5:$A$204&lt;=$B916)*(A_Corridor!$B$5:$B$204&gt;$B916)*(A_Corridor!$H$5:$H$204&lt;&gt;"")),IF(A_Corridor!$H$5:$H$204="-","",1)),"")</f>
        <v/>
      </c>
      <c r="M916" s="182" t="str">
        <f>IFERROR(LOOKUP(2,1/((A_Corridor!$A$5:$A$204&lt;&gt;"")*(A_Corridor!$A$5:$A$204&lt;=$B916)*(A_Corridor!$B$5:$B$204&gt;$B916)*(A_Corridor!$H$5:$H$204&lt;&gt;"")),IF(A_Corridor!$H$5:$H$204="-","",A_Corridor!$H$5:$H$204)),"")</f>
        <v/>
      </c>
      <c r="N916" s="182" t="str">
        <f>IFERROR(LOOKUP(2,1/((A_Corridor!$A$5:$A$204&lt;&gt;"")*(A_Corridor!$A$5:$A$204&lt;=$B916)*(A_Corridor!$B$5:$B$204&gt;$B916)*(A_Corridor!$I$5:$I$204&lt;&gt;"")),IF(A_Corridor!$I$5:$I$204="-","",A_Corridor!$I$5:$I$204)),"")</f>
        <v/>
      </c>
      <c r="O916" s="182" t="str">
        <f>IFERROR(LOOKUP(2,1/((D_Points!$A$5:$A$204&lt;&gt;"")*(D_Points!$A$5:$A$204&gt;=$B916)*(D_Points!$A$5:$A$204&lt;$B916+P_Interval)*(UPPER(TRIM(D_Points!$B$5:$B$204))="PITCHING")*(D_Points!$H$5:$H$204&lt;&gt;"")),D_Points!$H$5:$H$204),"")</f>
        <v/>
      </c>
      <c r="P916" s="181" t="str">
        <f>IFERROR(LOOKUP(2,1/((B_Drainage!$A$5:$A$204&lt;&gt;"")*(B_Drainage!$A$5:$A$204&lt;=$B916)*(B_Drainage!$B$5:$B$204&gt;$B916)*(B_Drainage!$C$5:$C$204&lt;&gt;"")),IF(B_Drainage!$C$5:$C$204="-","",UPPER(B_Drainage!$C$5:$C$204))),"")</f>
        <v/>
      </c>
      <c r="Q916" s="181" t="str">
        <f>IFERROR(LOOKUP(2,1/((B_Drainage!$A$5:$A$204&lt;&gt;"")*(B_Drainage!$A$5:$A$204&lt;=$B916)*(B_Drainage!$B$5:$B$204&gt;$B916)*(B_Drainage!$D$5:$D$204&lt;&gt;"")),IF(B_Drainage!$D$5:$D$204="-","",UPPER(B_Drainage!$D$5:$D$204))),"")</f>
        <v/>
      </c>
      <c r="R916" s="182" t="str">
        <f>IFERROR(LOOKUP(2,1/((D_Points!$A$5:$A$204&lt;&gt;"")*(D_Points!$A$5:$A$204&gt;=$B916)*(D_Points!$A$5:$A$204&lt;$B916+P_Interval)*(RIGHT(UPPER(TRIM(D_Points!$B$5:$B$204)),8)="_CULVERT")),IF(LEFT(UPPER(TRIM(D_Points!$B$5:$B$204)),2)="EX",1,IF(LEFT(UPPER(TRIM(D_Points!$B$5:$B$204)),2)="PR",2,3))),"")</f>
        <v/>
      </c>
      <c r="S916" s="182" t="str">
        <f>IFERROR(LOOKUP(2,1/((D_Points!$A$5:$A$204&lt;&gt;"")*(D_Points!$A$5:$A$204&gt;=$B916)*(D_Points!$A$5:$A$204&lt;$B916+P_Interval)*(RIGHT(UPPER(TRIM(D_Points!$B$5:$B$204)),7)="_BRIDGE")),IF(LEFT(UPPER(TRIM(D_Points!$B$5:$B$204)),2)="EX",1,IF(LEFT(UPPER(TRIM(D_Points!$B$5:$B$204)),2)="PR",2,2))),"")</f>
        <v/>
      </c>
      <c r="T916" s="181" t="str">
        <f>IFERROR(LOOKUP(2,1/((B_Drainage!$A$5:$A$204&lt;&gt;"")*(B_Drainage!$A$5:$A$204&lt;=$B916)*(B_Drainage!$B$5:$B$204&gt;$B916)*(B_Drainage!$E$5:$E$204&lt;&gt;"")),IF(B_Drainage!$E$5:$E$204="-","",1)),"")</f>
        <v/>
      </c>
      <c r="U916" s="181" t="str">
        <f>IFERROR(LOOKUP(2,1/((B_Drainage!$A$5:$A$204&lt;&gt;"")*(B_Drainage!$A$5:$A$204&lt;=$B916)*(B_Drainage!$B$5:$B$204&gt;$B916)*(B_Drainage!$E$5:$E$204&lt;&gt;"")),IF(B_Drainage!$E$5:$E$204="-","",B_Drainage!$E$5:$E$204)),"")</f>
        <v/>
      </c>
      <c r="V916" s="181" t="str">
        <f>IFERROR(LOOKUP(2,1/((B_Drainage!$A$5:$A$204&lt;&gt;"")*(B_Drainage!$A$5:$A$204&lt;=$B916)*(B_Drainage!$B$5:$B$204&gt;$B916)*(B_Drainage!$F$5:$F$204&lt;&gt;"")),IF(B_Drainage!$F$5:$F$204="-","",1)),"")</f>
        <v/>
      </c>
      <c r="W916" s="181" t="str">
        <f>IFERROR(LOOKUP(2,1/((B_Drainage!$A$5:$A$204&lt;&gt;"")*(B_Drainage!$A$5:$A$204&lt;=$B916)*(B_Drainage!$B$5:$B$204&gt;$B916)*(B_Drainage!$F$5:$F$204&lt;&gt;"")),IF(B_Drainage!$F$5:$F$204="-","",B_Drainage!$F$5:$F$204)),"")</f>
        <v/>
      </c>
      <c r="X916" s="181" t="str">
        <f>IFERROR(LOOKUP(2,1/((B_Drainage!$A$5:$A$204&lt;&gt;"")*(B_Drainage!$A$5:$A$204&lt;=$B916)*(B_Drainage!$B$5:$B$204&gt;$B916)*(B_Drainage!$G$5:$G$204&lt;&gt;"")),IF(UPPER(B_Drainage!$G$5:$G$204)="Y",1,"")),"")</f>
        <v/>
      </c>
      <c r="Y916" s="181" t="str">
        <f>IFERROR(LOOKUP(2,1/((B_Drainage!$A$5:$A$204&lt;&gt;"")*(B_Drainage!$A$5:$A$204&lt;=$B916)*(B_Drainage!$B$5:$B$204&gt;$B916)*(B_Drainage!$H$5:$H$204&lt;&gt;"")),IF(UPPER(B_Drainage!$H$5:$H$204)="Y",1,"")),"")</f>
        <v/>
      </c>
      <c r="Z916" s="181" t="str">
        <f>IFERROR(LOOKUP(2,1/((B_Drainage!$A$5:$A$204&lt;&gt;"")*(B_Drainage!$A$5:$A$204&lt;=$B916)*(B_Drainage!$B$5:$B$204&gt;$B916)*(B_Drainage!$I$5:$I$204&lt;&gt;"")),IF(UPPER(B_Drainage!$I$5:$I$204)="Y",1,"")),"")</f>
        <v/>
      </c>
      <c r="AA916" s="181" t="str">
        <f>IFERROR(LOOKUP(2,1/((B_Drainage!$A$5:$A$204&lt;&gt;"")*(B_Drainage!$A$5:$A$204&lt;=$B916)*(B_Drainage!$B$5:$B$204&gt;$B916)*(B_Drainage!$J$5:$J$204&lt;&gt;"")),IF(UPPER(B_Drainage!$J$5:$J$204)="Y",1,"")),"")</f>
        <v/>
      </c>
      <c r="AB916" s="182" t="str">
        <f>IFERROR(LOOKUP(2,1/((B_Drainage!$A$5:$A$204&lt;&gt;"")*(B_Drainage!$A$5:$A$204&lt;=$B916)*(B_Drainage!$B$5:$B$204&gt;$B916)*(B_Drainage!$K$5:$K$204&lt;&gt;"")),IF(B_Drainage!$K$5:$K$204="-","",B_Drainage!$K$5:$K$204)),"")</f>
        <v/>
      </c>
      <c r="AC916" s="182" t="str">
        <f>IFERROR(LOOKUP(2,1/((B_Drainage!$A$5:$A$204&lt;&gt;"")*(B_Drainage!$A$5:$A$204&lt;=$B916)*(B_Drainage!$B$5:$B$204&gt;$B916)*(B_Drainage!$L$5:$L$204&lt;&gt;"")),IF(B_Drainage!$L$5:$L$204="-","",B_Drainage!$L$5:$L$204)),"")</f>
        <v/>
      </c>
      <c r="AD916" s="182" t="str">
        <f>IFERROR(LOOKUP(2,1/((D_Points!$A$5:$A$204&lt;&gt;"")*(D_Points!$A$5:$A$204&gt;=$B916)*(D_Points!$A$5:$A$204&lt;$B916+P_Interval)*(UPPER(TRIM(D_Points!$B$5:$B$204))="TURNOUT_L")*(D_Points!$H$5:$H$204&lt;&gt;"")),D_Points!$H$5:$H$204),"")</f>
        <v/>
      </c>
      <c r="AE916" s="182" t="str">
        <f>IFERROR(LOOKUP(2,1/((D_Points!$A$5:$A$204&lt;&gt;"")*(D_Points!$A$5:$A$204&gt;=$B916)*(D_Points!$A$5:$A$204&lt;$B916+P_Interval)*(UPPER(TRIM(D_Points!$B$5:$B$204))="TURNOUT_R")*(D_Points!$H$5:$H$204&lt;&gt;"")),D_Points!$H$5:$H$204),"")</f>
        <v/>
      </c>
      <c r="AF916" s="181" t="str">
        <f>IFERROR(LOOKUP(2,1/((B_Drainage!$A$5:$A$204&lt;&gt;"")*(B_Drainage!$A$5:$A$204&lt;=$B916)*(B_Drainage!$B$5:$B$204&gt;$B916)*(B_Drainage!$M$5:$M$204&lt;&gt;"")),IF(UPPER(B_Drainage!$M$5:$M$204)="Y",1,"")),"")</f>
        <v/>
      </c>
      <c r="AG916" s="181" t="str">
        <f>IFERROR(LOOKUP(2,1/((B_Drainage!$A$5:$A$204&lt;&gt;"")*(B_Drainage!$A$5:$A$204&lt;=$B916)*(B_Drainage!$B$5:$B$204&gt;$B916)*(B_Drainage!$N$5:$N$204&lt;&gt;"")),IF(UPPER(B_Drainage!$N$5:$N$204)="Y",1,"")),"")</f>
        <v/>
      </c>
      <c r="AH916" s="181" t="str">
        <f t="shared" si="112"/>
        <v/>
      </c>
      <c r="AI916" s="181" t="str">
        <f t="shared" si="113"/>
        <v/>
      </c>
      <c r="AJ916" s="181" t="str">
        <f t="shared" si="114"/>
        <v/>
      </c>
      <c r="AK916" s="181" t="str">
        <f t="shared" si="115"/>
        <v/>
      </c>
      <c r="AL916" s="181" t="str">
        <f t="shared" si="116"/>
        <v/>
      </c>
      <c r="AM916" s="181" t="str">
        <f t="shared" si="117"/>
        <v/>
      </c>
      <c r="AN916" s="181" t="str">
        <f t="shared" si="118"/>
        <v/>
      </c>
      <c r="AO916" s="192" t="str">
        <f t="shared" si="119"/>
        <v/>
      </c>
      <c r="AQ916" t="str">
        <f>IFERROR(LOOKUP(2,1/((C_Pavement!$A$5:$A$204&lt;&gt;"")*(C_Pavement!$A$5:$A$204&lt;=$B916)*(C_Pavement!$B$5:$B$204&gt;$B916)*(C_Pavement!$C$5:$C$204&lt;&gt;"")),ROW(C_Pavement!$C$5:$C$204)-4),"")</f>
        <v/>
      </c>
      <c r="AR916" t="str">
        <f>IF($AQ916="","",UPPER(TRIM(INDEX(C_Pavement!$C$5:$C$204,$AQ916))))</f>
        <v/>
      </c>
      <c r="AS916" t="str">
        <f>IF($AR916="","",IFERROR(MATCH($AR916,E_Rules!$A$5:$A$9,0),""))</f>
        <v/>
      </c>
      <c r="AT916" t="str">
        <f>IF($AQ916="","",IF(INDEX(C_Pavement!$D$5:$D$204,$AQ916)&lt;&gt;"",UPPER(TRIM(INDEX(C_Pavement!$D$5:$D$204,$AQ916))),IF($AS916="","",INDEX(E_Rules!$C$5:$C$9,$AS916))))</f>
        <v/>
      </c>
      <c r="AU916" t="str">
        <f>IF($AQ916="","",IF(INDEX(C_Pavement!$E$5:$E$204,$AQ916)&lt;&gt;"",IF(INDEX(C_Pavement!$E$5:$E$204,$AQ916)="-","",INDEX(C_Pavement!$E$5:$E$204,$AQ916)),IF($AS916="","",INDEX(E_Rules!$D$5:$D$9,$AS916))))</f>
        <v/>
      </c>
      <c r="AV916" t="str">
        <f>IF($AQ916="","",IF(INDEX(C_Pavement!$F$5:$F$204,$AQ916)&lt;&gt;"",IF(INDEX(C_Pavement!$F$5:$F$204,$AQ916)="-","",INDEX(C_Pavement!$F$5:$F$204,$AQ916)),IF($AS916="","",INDEX(E_Rules!$E$5:$E$9,$AS916))))</f>
        <v/>
      </c>
      <c r="AW916" t="str">
        <f>IF($AQ916="","",IF(INDEX(C_Pavement!$G$5:$G$204,$AQ916)&lt;&gt;"",IF(INDEX(C_Pavement!$G$5:$G$204,$AQ916)="-","",INDEX(C_Pavement!$G$5:$G$204,$AQ916)),IF($AS916="","",INDEX(E_Rules!$F$5:$F$9,$AS916))))</f>
        <v/>
      </c>
      <c r="AX916" t="str">
        <f>IF($AQ916="","",IF(INDEX(C_Pavement!$H$5:$H$204,$AQ916)&lt;&gt;"",IF(INDEX(C_Pavement!$H$5:$H$204,$AQ916)="-","",INDEX(C_Pavement!$H$5:$H$204,$AQ916)),IF($AS916="","",INDEX(E_Rules!$G$5:$G$9,$AS916))))</f>
        <v/>
      </c>
      <c r="AY916" t="str">
        <f>IF($AQ916="","",IF(INDEX(C_Pavement!$I$5:$I$204,$AQ916)&lt;&gt;"",IF(INDEX(C_Pavement!$I$5:$I$204,$AQ916)="-","",INDEX(C_Pavement!$I$5:$I$204,$AQ916)),IF($AS916="","",INDEX(E_Rules!$H$5:$H$9,$AS916))))</f>
        <v/>
      </c>
    </row>
    <row r="917" spans="1:51" ht="15.75" customHeight="1" x14ac:dyDescent="0.3">
      <c r="A917" s="189">
        <v>912</v>
      </c>
      <c r="B917" s="180">
        <v>45550</v>
      </c>
      <c r="C917" s="180" t="s">
        <v>1223</v>
      </c>
      <c r="D917" s="181" t="str">
        <f>IFERROR(LOOKUP(2,1/((A_Corridor!$A$5:$A$204&lt;&gt;"")*(A_Corridor!$A$5:$A$204&lt;=$B917)*(A_Corridor!$B$5:$B$204&gt;$B917)*(A_Corridor!$C$5:$C$204&lt;&gt;"")),IF(UPPER(A_Corridor!$C$5:$C$204)="Y",1,"")),"")</f>
        <v/>
      </c>
      <c r="E917" s="181" t="str">
        <f>IFERROR(LOOKUP(2,1/((A_Corridor!$A$5:$A$204&lt;&gt;"")*(A_Corridor!$A$5:$A$204&lt;=$B917)*(A_Corridor!$B$5:$B$204&gt;$B917)*(A_Corridor!$D$5:$D$204&lt;&gt;"")),IF(A_Corridor!$D$5:$D$204="-","",UPPER(A_Corridor!$D$5:$D$204))),"")</f>
        <v/>
      </c>
      <c r="F917" s="181" t="str">
        <f>IFERROR(LOOKUP(2,1/((A_Corridor!$A$5:$A$204&lt;&gt;"")*(A_Corridor!$A$5:$A$204&lt;=$B917)*(A_Corridor!$B$5:$B$204&gt;$B917)*(A_Corridor!$E$5:$E$204&lt;&gt;"")),IF(A_Corridor!$E$5:$E$204="-","",1)),"")</f>
        <v/>
      </c>
      <c r="G917" s="182" t="str">
        <f>IFERROR(LOOKUP(2,1/((A_Corridor!$A$5:$A$204&lt;&gt;"")*(A_Corridor!$A$5:$A$204&lt;=$B917)*(A_Corridor!$B$5:$B$204&gt;$B917)*(A_Corridor!$E$5:$E$204&lt;&gt;"")),IF(A_Corridor!$E$5:$E$204="-","",A_Corridor!$E$5:$E$204)),"")</f>
        <v/>
      </c>
      <c r="H917" s="182" t="str">
        <f>IFERROR(LOOKUP(2,1/((D_Points!$A$5:$A$204&lt;&gt;"")*(D_Points!$A$5:$A$204&gt;=$B917)*(D_Points!$A$5:$A$204&lt;$B917+P_Interval)*(UPPER(TRIM(D_Points!$B$5:$B$204))="GULLY")*(D_Points!$H$5:$H$204&lt;&gt;"")),D_Points!$H$5:$H$204),"")</f>
        <v/>
      </c>
      <c r="I917" s="181" t="str">
        <f>IFERROR(LOOKUP(2,1/((A_Corridor!$A$5:$A$204&lt;&gt;"")*(A_Corridor!$A$5:$A$204&lt;=$B917)*(A_Corridor!$B$5:$B$204&gt;$B917)*(A_Corridor!$F$5:$F$204&lt;&gt;"")),IF(A_Corridor!$F$5:$F$204="-","",1)),"")</f>
        <v/>
      </c>
      <c r="J917" s="182" t="str">
        <f>IFERROR(LOOKUP(2,1/((A_Corridor!$A$5:$A$204&lt;&gt;"")*(A_Corridor!$A$5:$A$204&lt;=$B917)*(A_Corridor!$B$5:$B$204&gt;$B917)*(A_Corridor!$F$5:$F$204&lt;&gt;"")),IF(A_Corridor!$F$5:$F$204="-","",A_Corridor!$F$5:$F$204)),"")</f>
        <v/>
      </c>
      <c r="K917" s="182" t="str">
        <f>IFERROR(LOOKUP(2,1/((A_Corridor!$A$5:$A$204&lt;&gt;"")*(A_Corridor!$A$5:$A$204&lt;=$B917)*(A_Corridor!$B$5:$B$204&gt;$B917)*(A_Corridor!$G$5:$G$204&lt;&gt;"")),IF(A_Corridor!$G$5:$G$204="-","",A_Corridor!$G$5:$G$204)),"")</f>
        <v/>
      </c>
      <c r="L917" s="181" t="str">
        <f>IFERROR(LOOKUP(2,1/((A_Corridor!$A$5:$A$204&lt;&gt;"")*(A_Corridor!$A$5:$A$204&lt;=$B917)*(A_Corridor!$B$5:$B$204&gt;$B917)*(A_Corridor!$H$5:$H$204&lt;&gt;"")),IF(A_Corridor!$H$5:$H$204="-","",1)),"")</f>
        <v/>
      </c>
      <c r="M917" s="182" t="str">
        <f>IFERROR(LOOKUP(2,1/((A_Corridor!$A$5:$A$204&lt;&gt;"")*(A_Corridor!$A$5:$A$204&lt;=$B917)*(A_Corridor!$B$5:$B$204&gt;$B917)*(A_Corridor!$H$5:$H$204&lt;&gt;"")),IF(A_Corridor!$H$5:$H$204="-","",A_Corridor!$H$5:$H$204)),"")</f>
        <v/>
      </c>
      <c r="N917" s="182" t="str">
        <f>IFERROR(LOOKUP(2,1/((A_Corridor!$A$5:$A$204&lt;&gt;"")*(A_Corridor!$A$5:$A$204&lt;=$B917)*(A_Corridor!$B$5:$B$204&gt;$B917)*(A_Corridor!$I$5:$I$204&lt;&gt;"")),IF(A_Corridor!$I$5:$I$204="-","",A_Corridor!$I$5:$I$204)),"")</f>
        <v/>
      </c>
      <c r="O917" s="182" t="str">
        <f>IFERROR(LOOKUP(2,1/((D_Points!$A$5:$A$204&lt;&gt;"")*(D_Points!$A$5:$A$204&gt;=$B917)*(D_Points!$A$5:$A$204&lt;$B917+P_Interval)*(UPPER(TRIM(D_Points!$B$5:$B$204))="PITCHING")*(D_Points!$H$5:$H$204&lt;&gt;"")),D_Points!$H$5:$H$204),"")</f>
        <v/>
      </c>
      <c r="P917" s="181" t="str">
        <f>IFERROR(LOOKUP(2,1/((B_Drainage!$A$5:$A$204&lt;&gt;"")*(B_Drainage!$A$5:$A$204&lt;=$B917)*(B_Drainage!$B$5:$B$204&gt;$B917)*(B_Drainage!$C$5:$C$204&lt;&gt;"")),IF(B_Drainage!$C$5:$C$204="-","",UPPER(B_Drainage!$C$5:$C$204))),"")</f>
        <v/>
      </c>
      <c r="Q917" s="181" t="str">
        <f>IFERROR(LOOKUP(2,1/((B_Drainage!$A$5:$A$204&lt;&gt;"")*(B_Drainage!$A$5:$A$204&lt;=$B917)*(B_Drainage!$B$5:$B$204&gt;$B917)*(B_Drainage!$D$5:$D$204&lt;&gt;"")),IF(B_Drainage!$D$5:$D$204="-","",UPPER(B_Drainage!$D$5:$D$204))),"")</f>
        <v/>
      </c>
      <c r="R917" s="182" t="str">
        <f>IFERROR(LOOKUP(2,1/((D_Points!$A$5:$A$204&lt;&gt;"")*(D_Points!$A$5:$A$204&gt;=$B917)*(D_Points!$A$5:$A$204&lt;$B917+P_Interval)*(RIGHT(UPPER(TRIM(D_Points!$B$5:$B$204)),8)="_CULVERT")),IF(LEFT(UPPER(TRIM(D_Points!$B$5:$B$204)),2)="EX",1,IF(LEFT(UPPER(TRIM(D_Points!$B$5:$B$204)),2)="PR",2,3))),"")</f>
        <v/>
      </c>
      <c r="S917" s="182" t="str">
        <f>IFERROR(LOOKUP(2,1/((D_Points!$A$5:$A$204&lt;&gt;"")*(D_Points!$A$5:$A$204&gt;=$B917)*(D_Points!$A$5:$A$204&lt;$B917+P_Interval)*(RIGHT(UPPER(TRIM(D_Points!$B$5:$B$204)),7)="_BRIDGE")),IF(LEFT(UPPER(TRIM(D_Points!$B$5:$B$204)),2)="EX",1,IF(LEFT(UPPER(TRIM(D_Points!$B$5:$B$204)),2)="PR",2,2))),"")</f>
        <v/>
      </c>
      <c r="T917" s="181" t="str">
        <f>IFERROR(LOOKUP(2,1/((B_Drainage!$A$5:$A$204&lt;&gt;"")*(B_Drainage!$A$5:$A$204&lt;=$B917)*(B_Drainage!$B$5:$B$204&gt;$B917)*(B_Drainage!$E$5:$E$204&lt;&gt;"")),IF(B_Drainage!$E$5:$E$204="-","",1)),"")</f>
        <v/>
      </c>
      <c r="U917" s="181" t="str">
        <f>IFERROR(LOOKUP(2,1/((B_Drainage!$A$5:$A$204&lt;&gt;"")*(B_Drainage!$A$5:$A$204&lt;=$B917)*(B_Drainage!$B$5:$B$204&gt;$B917)*(B_Drainage!$E$5:$E$204&lt;&gt;"")),IF(B_Drainage!$E$5:$E$204="-","",B_Drainage!$E$5:$E$204)),"")</f>
        <v/>
      </c>
      <c r="V917" s="181" t="str">
        <f>IFERROR(LOOKUP(2,1/((B_Drainage!$A$5:$A$204&lt;&gt;"")*(B_Drainage!$A$5:$A$204&lt;=$B917)*(B_Drainage!$B$5:$B$204&gt;$B917)*(B_Drainage!$F$5:$F$204&lt;&gt;"")),IF(B_Drainage!$F$5:$F$204="-","",1)),"")</f>
        <v/>
      </c>
      <c r="W917" s="181" t="str">
        <f>IFERROR(LOOKUP(2,1/((B_Drainage!$A$5:$A$204&lt;&gt;"")*(B_Drainage!$A$5:$A$204&lt;=$B917)*(B_Drainage!$B$5:$B$204&gt;$B917)*(B_Drainage!$F$5:$F$204&lt;&gt;"")),IF(B_Drainage!$F$5:$F$204="-","",B_Drainage!$F$5:$F$204)),"")</f>
        <v/>
      </c>
      <c r="X917" s="181" t="str">
        <f>IFERROR(LOOKUP(2,1/((B_Drainage!$A$5:$A$204&lt;&gt;"")*(B_Drainage!$A$5:$A$204&lt;=$B917)*(B_Drainage!$B$5:$B$204&gt;$B917)*(B_Drainage!$G$5:$G$204&lt;&gt;"")),IF(UPPER(B_Drainage!$G$5:$G$204)="Y",1,"")),"")</f>
        <v/>
      </c>
      <c r="Y917" s="181" t="str">
        <f>IFERROR(LOOKUP(2,1/((B_Drainage!$A$5:$A$204&lt;&gt;"")*(B_Drainage!$A$5:$A$204&lt;=$B917)*(B_Drainage!$B$5:$B$204&gt;$B917)*(B_Drainage!$H$5:$H$204&lt;&gt;"")),IF(UPPER(B_Drainage!$H$5:$H$204)="Y",1,"")),"")</f>
        <v/>
      </c>
      <c r="Z917" s="181" t="str">
        <f>IFERROR(LOOKUP(2,1/((B_Drainage!$A$5:$A$204&lt;&gt;"")*(B_Drainage!$A$5:$A$204&lt;=$B917)*(B_Drainage!$B$5:$B$204&gt;$B917)*(B_Drainage!$I$5:$I$204&lt;&gt;"")),IF(UPPER(B_Drainage!$I$5:$I$204)="Y",1,"")),"")</f>
        <v/>
      </c>
      <c r="AA917" s="181" t="str">
        <f>IFERROR(LOOKUP(2,1/((B_Drainage!$A$5:$A$204&lt;&gt;"")*(B_Drainage!$A$5:$A$204&lt;=$B917)*(B_Drainage!$B$5:$B$204&gt;$B917)*(B_Drainage!$J$5:$J$204&lt;&gt;"")),IF(UPPER(B_Drainage!$J$5:$J$204)="Y",1,"")),"")</f>
        <v/>
      </c>
      <c r="AB917" s="182" t="str">
        <f>IFERROR(LOOKUP(2,1/((B_Drainage!$A$5:$A$204&lt;&gt;"")*(B_Drainage!$A$5:$A$204&lt;=$B917)*(B_Drainage!$B$5:$B$204&gt;$B917)*(B_Drainage!$K$5:$K$204&lt;&gt;"")),IF(B_Drainage!$K$5:$K$204="-","",B_Drainage!$K$5:$K$204)),"")</f>
        <v/>
      </c>
      <c r="AC917" s="182" t="str">
        <f>IFERROR(LOOKUP(2,1/((B_Drainage!$A$5:$A$204&lt;&gt;"")*(B_Drainage!$A$5:$A$204&lt;=$B917)*(B_Drainage!$B$5:$B$204&gt;$B917)*(B_Drainage!$L$5:$L$204&lt;&gt;"")),IF(B_Drainage!$L$5:$L$204="-","",B_Drainage!$L$5:$L$204)),"")</f>
        <v/>
      </c>
      <c r="AD917" s="182" t="str">
        <f>IFERROR(LOOKUP(2,1/((D_Points!$A$5:$A$204&lt;&gt;"")*(D_Points!$A$5:$A$204&gt;=$B917)*(D_Points!$A$5:$A$204&lt;$B917+P_Interval)*(UPPER(TRIM(D_Points!$B$5:$B$204))="TURNOUT_L")*(D_Points!$H$5:$H$204&lt;&gt;"")),D_Points!$H$5:$H$204),"")</f>
        <v/>
      </c>
      <c r="AE917" s="182" t="str">
        <f>IFERROR(LOOKUP(2,1/((D_Points!$A$5:$A$204&lt;&gt;"")*(D_Points!$A$5:$A$204&gt;=$B917)*(D_Points!$A$5:$A$204&lt;$B917+P_Interval)*(UPPER(TRIM(D_Points!$B$5:$B$204))="TURNOUT_R")*(D_Points!$H$5:$H$204&lt;&gt;"")),D_Points!$H$5:$H$204),"")</f>
        <v/>
      </c>
      <c r="AF917" s="181" t="str">
        <f>IFERROR(LOOKUP(2,1/((B_Drainage!$A$5:$A$204&lt;&gt;"")*(B_Drainage!$A$5:$A$204&lt;=$B917)*(B_Drainage!$B$5:$B$204&gt;$B917)*(B_Drainage!$M$5:$M$204&lt;&gt;"")),IF(UPPER(B_Drainage!$M$5:$M$204)="Y",1,"")),"")</f>
        <v/>
      </c>
      <c r="AG917" s="181" t="str">
        <f>IFERROR(LOOKUP(2,1/((B_Drainage!$A$5:$A$204&lt;&gt;"")*(B_Drainage!$A$5:$A$204&lt;=$B917)*(B_Drainage!$B$5:$B$204&gt;$B917)*(B_Drainage!$N$5:$N$204&lt;&gt;"")),IF(UPPER(B_Drainage!$N$5:$N$204)="Y",1,"")),"")</f>
        <v/>
      </c>
      <c r="AH917" s="181" t="str">
        <f t="shared" si="112"/>
        <v/>
      </c>
      <c r="AI917" s="181" t="str">
        <f t="shared" si="113"/>
        <v/>
      </c>
      <c r="AJ917" s="181" t="str">
        <f t="shared" si="114"/>
        <v/>
      </c>
      <c r="AK917" s="181" t="str">
        <f t="shared" si="115"/>
        <v/>
      </c>
      <c r="AL917" s="181" t="str">
        <f t="shared" si="116"/>
        <v/>
      </c>
      <c r="AM917" s="181" t="str">
        <f t="shared" si="117"/>
        <v/>
      </c>
      <c r="AN917" s="181" t="str">
        <f t="shared" si="118"/>
        <v/>
      </c>
      <c r="AO917" s="192" t="str">
        <f t="shared" si="119"/>
        <v/>
      </c>
      <c r="AQ917" t="str">
        <f>IFERROR(LOOKUP(2,1/((C_Pavement!$A$5:$A$204&lt;&gt;"")*(C_Pavement!$A$5:$A$204&lt;=$B917)*(C_Pavement!$B$5:$B$204&gt;$B917)*(C_Pavement!$C$5:$C$204&lt;&gt;"")),ROW(C_Pavement!$C$5:$C$204)-4),"")</f>
        <v/>
      </c>
      <c r="AR917" t="str">
        <f>IF($AQ917="","",UPPER(TRIM(INDEX(C_Pavement!$C$5:$C$204,$AQ917))))</f>
        <v/>
      </c>
      <c r="AS917" t="str">
        <f>IF($AR917="","",IFERROR(MATCH($AR917,E_Rules!$A$5:$A$9,0),""))</f>
        <v/>
      </c>
      <c r="AT917" t="str">
        <f>IF($AQ917="","",IF(INDEX(C_Pavement!$D$5:$D$204,$AQ917)&lt;&gt;"",UPPER(TRIM(INDEX(C_Pavement!$D$5:$D$204,$AQ917))),IF($AS917="","",INDEX(E_Rules!$C$5:$C$9,$AS917))))</f>
        <v/>
      </c>
      <c r="AU917" t="str">
        <f>IF($AQ917="","",IF(INDEX(C_Pavement!$E$5:$E$204,$AQ917)&lt;&gt;"",IF(INDEX(C_Pavement!$E$5:$E$204,$AQ917)="-","",INDEX(C_Pavement!$E$5:$E$204,$AQ917)),IF($AS917="","",INDEX(E_Rules!$D$5:$D$9,$AS917))))</f>
        <v/>
      </c>
      <c r="AV917" t="str">
        <f>IF($AQ917="","",IF(INDEX(C_Pavement!$F$5:$F$204,$AQ917)&lt;&gt;"",IF(INDEX(C_Pavement!$F$5:$F$204,$AQ917)="-","",INDEX(C_Pavement!$F$5:$F$204,$AQ917)),IF($AS917="","",INDEX(E_Rules!$E$5:$E$9,$AS917))))</f>
        <v/>
      </c>
      <c r="AW917" t="str">
        <f>IF($AQ917="","",IF(INDEX(C_Pavement!$G$5:$G$204,$AQ917)&lt;&gt;"",IF(INDEX(C_Pavement!$G$5:$G$204,$AQ917)="-","",INDEX(C_Pavement!$G$5:$G$204,$AQ917)),IF($AS917="","",INDEX(E_Rules!$F$5:$F$9,$AS917))))</f>
        <v/>
      </c>
      <c r="AX917" t="str">
        <f>IF($AQ917="","",IF(INDEX(C_Pavement!$H$5:$H$204,$AQ917)&lt;&gt;"",IF(INDEX(C_Pavement!$H$5:$H$204,$AQ917)="-","",INDEX(C_Pavement!$H$5:$H$204,$AQ917)),IF($AS917="","",INDEX(E_Rules!$G$5:$G$9,$AS917))))</f>
        <v/>
      </c>
      <c r="AY917" t="str">
        <f>IF($AQ917="","",IF(INDEX(C_Pavement!$I$5:$I$204,$AQ917)&lt;&gt;"",IF(INDEX(C_Pavement!$I$5:$I$204,$AQ917)="-","",INDEX(C_Pavement!$I$5:$I$204,$AQ917)),IF($AS917="","",INDEX(E_Rules!$H$5:$H$9,$AS917))))</f>
        <v/>
      </c>
    </row>
    <row r="918" spans="1:51" ht="15.75" customHeight="1" x14ac:dyDescent="0.3">
      <c r="A918" s="189">
        <v>913</v>
      </c>
      <c r="B918" s="180">
        <v>45600</v>
      </c>
      <c r="C918" s="180" t="s">
        <v>1224</v>
      </c>
      <c r="D918" s="181" t="str">
        <f>IFERROR(LOOKUP(2,1/((A_Corridor!$A$5:$A$204&lt;&gt;"")*(A_Corridor!$A$5:$A$204&lt;=$B918)*(A_Corridor!$B$5:$B$204&gt;$B918)*(A_Corridor!$C$5:$C$204&lt;&gt;"")),IF(UPPER(A_Corridor!$C$5:$C$204)="Y",1,"")),"")</f>
        <v/>
      </c>
      <c r="E918" s="181" t="str">
        <f>IFERROR(LOOKUP(2,1/((A_Corridor!$A$5:$A$204&lt;&gt;"")*(A_Corridor!$A$5:$A$204&lt;=$B918)*(A_Corridor!$B$5:$B$204&gt;$B918)*(A_Corridor!$D$5:$D$204&lt;&gt;"")),IF(A_Corridor!$D$5:$D$204="-","",UPPER(A_Corridor!$D$5:$D$204))),"")</f>
        <v/>
      </c>
      <c r="F918" s="181" t="str">
        <f>IFERROR(LOOKUP(2,1/((A_Corridor!$A$5:$A$204&lt;&gt;"")*(A_Corridor!$A$5:$A$204&lt;=$B918)*(A_Corridor!$B$5:$B$204&gt;$B918)*(A_Corridor!$E$5:$E$204&lt;&gt;"")),IF(A_Corridor!$E$5:$E$204="-","",1)),"")</f>
        <v/>
      </c>
      <c r="G918" s="182" t="str">
        <f>IFERROR(LOOKUP(2,1/((A_Corridor!$A$5:$A$204&lt;&gt;"")*(A_Corridor!$A$5:$A$204&lt;=$B918)*(A_Corridor!$B$5:$B$204&gt;$B918)*(A_Corridor!$E$5:$E$204&lt;&gt;"")),IF(A_Corridor!$E$5:$E$204="-","",A_Corridor!$E$5:$E$204)),"")</f>
        <v/>
      </c>
      <c r="H918" s="182" t="str">
        <f>IFERROR(LOOKUP(2,1/((D_Points!$A$5:$A$204&lt;&gt;"")*(D_Points!$A$5:$A$204&gt;=$B918)*(D_Points!$A$5:$A$204&lt;$B918+P_Interval)*(UPPER(TRIM(D_Points!$B$5:$B$204))="GULLY")*(D_Points!$H$5:$H$204&lt;&gt;"")),D_Points!$H$5:$H$204),"")</f>
        <v/>
      </c>
      <c r="I918" s="181" t="str">
        <f>IFERROR(LOOKUP(2,1/((A_Corridor!$A$5:$A$204&lt;&gt;"")*(A_Corridor!$A$5:$A$204&lt;=$B918)*(A_Corridor!$B$5:$B$204&gt;$B918)*(A_Corridor!$F$5:$F$204&lt;&gt;"")),IF(A_Corridor!$F$5:$F$204="-","",1)),"")</f>
        <v/>
      </c>
      <c r="J918" s="182" t="str">
        <f>IFERROR(LOOKUP(2,1/((A_Corridor!$A$5:$A$204&lt;&gt;"")*(A_Corridor!$A$5:$A$204&lt;=$B918)*(A_Corridor!$B$5:$B$204&gt;$B918)*(A_Corridor!$F$5:$F$204&lt;&gt;"")),IF(A_Corridor!$F$5:$F$204="-","",A_Corridor!$F$5:$F$204)),"")</f>
        <v/>
      </c>
      <c r="K918" s="182" t="str">
        <f>IFERROR(LOOKUP(2,1/((A_Corridor!$A$5:$A$204&lt;&gt;"")*(A_Corridor!$A$5:$A$204&lt;=$B918)*(A_Corridor!$B$5:$B$204&gt;$B918)*(A_Corridor!$G$5:$G$204&lt;&gt;"")),IF(A_Corridor!$G$5:$G$204="-","",A_Corridor!$G$5:$G$204)),"")</f>
        <v/>
      </c>
      <c r="L918" s="181" t="str">
        <f>IFERROR(LOOKUP(2,1/((A_Corridor!$A$5:$A$204&lt;&gt;"")*(A_Corridor!$A$5:$A$204&lt;=$B918)*(A_Corridor!$B$5:$B$204&gt;$B918)*(A_Corridor!$H$5:$H$204&lt;&gt;"")),IF(A_Corridor!$H$5:$H$204="-","",1)),"")</f>
        <v/>
      </c>
      <c r="M918" s="182" t="str">
        <f>IFERROR(LOOKUP(2,1/((A_Corridor!$A$5:$A$204&lt;&gt;"")*(A_Corridor!$A$5:$A$204&lt;=$B918)*(A_Corridor!$B$5:$B$204&gt;$B918)*(A_Corridor!$H$5:$H$204&lt;&gt;"")),IF(A_Corridor!$H$5:$H$204="-","",A_Corridor!$H$5:$H$204)),"")</f>
        <v/>
      </c>
      <c r="N918" s="182" t="str">
        <f>IFERROR(LOOKUP(2,1/((A_Corridor!$A$5:$A$204&lt;&gt;"")*(A_Corridor!$A$5:$A$204&lt;=$B918)*(A_Corridor!$B$5:$B$204&gt;$B918)*(A_Corridor!$I$5:$I$204&lt;&gt;"")),IF(A_Corridor!$I$5:$I$204="-","",A_Corridor!$I$5:$I$204)),"")</f>
        <v/>
      </c>
      <c r="O918" s="182" t="str">
        <f>IFERROR(LOOKUP(2,1/((D_Points!$A$5:$A$204&lt;&gt;"")*(D_Points!$A$5:$A$204&gt;=$B918)*(D_Points!$A$5:$A$204&lt;$B918+P_Interval)*(UPPER(TRIM(D_Points!$B$5:$B$204))="PITCHING")*(D_Points!$H$5:$H$204&lt;&gt;"")),D_Points!$H$5:$H$204),"")</f>
        <v/>
      </c>
      <c r="P918" s="181" t="str">
        <f>IFERROR(LOOKUP(2,1/((B_Drainage!$A$5:$A$204&lt;&gt;"")*(B_Drainage!$A$5:$A$204&lt;=$B918)*(B_Drainage!$B$5:$B$204&gt;$B918)*(B_Drainage!$C$5:$C$204&lt;&gt;"")),IF(B_Drainage!$C$5:$C$204="-","",UPPER(B_Drainage!$C$5:$C$204))),"")</f>
        <v/>
      </c>
      <c r="Q918" s="181" t="str">
        <f>IFERROR(LOOKUP(2,1/((B_Drainage!$A$5:$A$204&lt;&gt;"")*(B_Drainage!$A$5:$A$204&lt;=$B918)*(B_Drainage!$B$5:$B$204&gt;$B918)*(B_Drainage!$D$5:$D$204&lt;&gt;"")),IF(B_Drainage!$D$5:$D$204="-","",UPPER(B_Drainage!$D$5:$D$204))),"")</f>
        <v/>
      </c>
      <c r="R918" s="182" t="str">
        <f>IFERROR(LOOKUP(2,1/((D_Points!$A$5:$A$204&lt;&gt;"")*(D_Points!$A$5:$A$204&gt;=$B918)*(D_Points!$A$5:$A$204&lt;$B918+P_Interval)*(RIGHT(UPPER(TRIM(D_Points!$B$5:$B$204)),8)="_CULVERT")),IF(LEFT(UPPER(TRIM(D_Points!$B$5:$B$204)),2)="EX",1,IF(LEFT(UPPER(TRIM(D_Points!$B$5:$B$204)),2)="PR",2,3))),"")</f>
        <v/>
      </c>
      <c r="S918" s="182" t="str">
        <f>IFERROR(LOOKUP(2,1/((D_Points!$A$5:$A$204&lt;&gt;"")*(D_Points!$A$5:$A$204&gt;=$B918)*(D_Points!$A$5:$A$204&lt;$B918+P_Interval)*(RIGHT(UPPER(TRIM(D_Points!$B$5:$B$204)),7)="_BRIDGE")),IF(LEFT(UPPER(TRIM(D_Points!$B$5:$B$204)),2)="EX",1,IF(LEFT(UPPER(TRIM(D_Points!$B$5:$B$204)),2)="PR",2,2))),"")</f>
        <v/>
      </c>
      <c r="T918" s="181" t="str">
        <f>IFERROR(LOOKUP(2,1/((B_Drainage!$A$5:$A$204&lt;&gt;"")*(B_Drainage!$A$5:$A$204&lt;=$B918)*(B_Drainage!$B$5:$B$204&gt;$B918)*(B_Drainage!$E$5:$E$204&lt;&gt;"")),IF(B_Drainage!$E$5:$E$204="-","",1)),"")</f>
        <v/>
      </c>
      <c r="U918" s="181" t="str">
        <f>IFERROR(LOOKUP(2,1/((B_Drainage!$A$5:$A$204&lt;&gt;"")*(B_Drainage!$A$5:$A$204&lt;=$B918)*(B_Drainage!$B$5:$B$204&gt;$B918)*(B_Drainage!$E$5:$E$204&lt;&gt;"")),IF(B_Drainage!$E$5:$E$204="-","",B_Drainage!$E$5:$E$204)),"")</f>
        <v/>
      </c>
      <c r="V918" s="181" t="str">
        <f>IFERROR(LOOKUP(2,1/((B_Drainage!$A$5:$A$204&lt;&gt;"")*(B_Drainage!$A$5:$A$204&lt;=$B918)*(B_Drainage!$B$5:$B$204&gt;$B918)*(B_Drainage!$F$5:$F$204&lt;&gt;"")),IF(B_Drainage!$F$5:$F$204="-","",1)),"")</f>
        <v/>
      </c>
      <c r="W918" s="181" t="str">
        <f>IFERROR(LOOKUP(2,1/((B_Drainage!$A$5:$A$204&lt;&gt;"")*(B_Drainage!$A$5:$A$204&lt;=$B918)*(B_Drainage!$B$5:$B$204&gt;$B918)*(B_Drainage!$F$5:$F$204&lt;&gt;"")),IF(B_Drainage!$F$5:$F$204="-","",B_Drainage!$F$5:$F$204)),"")</f>
        <v/>
      </c>
      <c r="X918" s="181" t="str">
        <f>IFERROR(LOOKUP(2,1/((B_Drainage!$A$5:$A$204&lt;&gt;"")*(B_Drainage!$A$5:$A$204&lt;=$B918)*(B_Drainage!$B$5:$B$204&gt;$B918)*(B_Drainage!$G$5:$G$204&lt;&gt;"")),IF(UPPER(B_Drainage!$G$5:$G$204)="Y",1,"")),"")</f>
        <v/>
      </c>
      <c r="Y918" s="181" t="str">
        <f>IFERROR(LOOKUP(2,1/((B_Drainage!$A$5:$A$204&lt;&gt;"")*(B_Drainage!$A$5:$A$204&lt;=$B918)*(B_Drainage!$B$5:$B$204&gt;$B918)*(B_Drainage!$H$5:$H$204&lt;&gt;"")),IF(UPPER(B_Drainage!$H$5:$H$204)="Y",1,"")),"")</f>
        <v/>
      </c>
      <c r="Z918" s="181" t="str">
        <f>IFERROR(LOOKUP(2,1/((B_Drainage!$A$5:$A$204&lt;&gt;"")*(B_Drainage!$A$5:$A$204&lt;=$B918)*(B_Drainage!$B$5:$B$204&gt;$B918)*(B_Drainage!$I$5:$I$204&lt;&gt;"")),IF(UPPER(B_Drainage!$I$5:$I$204)="Y",1,"")),"")</f>
        <v/>
      </c>
      <c r="AA918" s="181" t="str">
        <f>IFERROR(LOOKUP(2,1/((B_Drainage!$A$5:$A$204&lt;&gt;"")*(B_Drainage!$A$5:$A$204&lt;=$B918)*(B_Drainage!$B$5:$B$204&gt;$B918)*(B_Drainage!$J$5:$J$204&lt;&gt;"")),IF(UPPER(B_Drainage!$J$5:$J$204)="Y",1,"")),"")</f>
        <v/>
      </c>
      <c r="AB918" s="182" t="str">
        <f>IFERROR(LOOKUP(2,1/((B_Drainage!$A$5:$A$204&lt;&gt;"")*(B_Drainage!$A$5:$A$204&lt;=$B918)*(B_Drainage!$B$5:$B$204&gt;$B918)*(B_Drainage!$K$5:$K$204&lt;&gt;"")),IF(B_Drainage!$K$5:$K$204="-","",B_Drainage!$K$5:$K$204)),"")</f>
        <v/>
      </c>
      <c r="AC918" s="182" t="str">
        <f>IFERROR(LOOKUP(2,1/((B_Drainage!$A$5:$A$204&lt;&gt;"")*(B_Drainage!$A$5:$A$204&lt;=$B918)*(B_Drainage!$B$5:$B$204&gt;$B918)*(B_Drainage!$L$5:$L$204&lt;&gt;"")),IF(B_Drainage!$L$5:$L$204="-","",B_Drainage!$L$5:$L$204)),"")</f>
        <v/>
      </c>
      <c r="AD918" s="182" t="str">
        <f>IFERROR(LOOKUP(2,1/((D_Points!$A$5:$A$204&lt;&gt;"")*(D_Points!$A$5:$A$204&gt;=$B918)*(D_Points!$A$5:$A$204&lt;$B918+P_Interval)*(UPPER(TRIM(D_Points!$B$5:$B$204))="TURNOUT_L")*(D_Points!$H$5:$H$204&lt;&gt;"")),D_Points!$H$5:$H$204),"")</f>
        <v/>
      </c>
      <c r="AE918" s="182" t="str">
        <f>IFERROR(LOOKUP(2,1/((D_Points!$A$5:$A$204&lt;&gt;"")*(D_Points!$A$5:$A$204&gt;=$B918)*(D_Points!$A$5:$A$204&lt;$B918+P_Interval)*(UPPER(TRIM(D_Points!$B$5:$B$204))="TURNOUT_R")*(D_Points!$H$5:$H$204&lt;&gt;"")),D_Points!$H$5:$H$204),"")</f>
        <v/>
      </c>
      <c r="AF918" s="181" t="str">
        <f>IFERROR(LOOKUP(2,1/((B_Drainage!$A$5:$A$204&lt;&gt;"")*(B_Drainage!$A$5:$A$204&lt;=$B918)*(B_Drainage!$B$5:$B$204&gt;$B918)*(B_Drainage!$M$5:$M$204&lt;&gt;"")),IF(UPPER(B_Drainage!$M$5:$M$204)="Y",1,"")),"")</f>
        <v/>
      </c>
      <c r="AG918" s="181" t="str">
        <f>IFERROR(LOOKUP(2,1/((B_Drainage!$A$5:$A$204&lt;&gt;"")*(B_Drainage!$A$5:$A$204&lt;=$B918)*(B_Drainage!$B$5:$B$204&gt;$B918)*(B_Drainage!$N$5:$N$204&lt;&gt;"")),IF(UPPER(B_Drainage!$N$5:$N$204)="Y",1,"")),"")</f>
        <v/>
      </c>
      <c r="AH918" s="181" t="str">
        <f t="shared" si="112"/>
        <v/>
      </c>
      <c r="AI918" s="181" t="str">
        <f t="shared" si="113"/>
        <v/>
      </c>
      <c r="AJ918" s="181" t="str">
        <f t="shared" si="114"/>
        <v/>
      </c>
      <c r="AK918" s="181" t="str">
        <f t="shared" si="115"/>
        <v/>
      </c>
      <c r="AL918" s="181" t="str">
        <f t="shared" si="116"/>
        <v/>
      </c>
      <c r="AM918" s="181" t="str">
        <f t="shared" si="117"/>
        <v/>
      </c>
      <c r="AN918" s="181" t="str">
        <f t="shared" si="118"/>
        <v/>
      </c>
      <c r="AO918" s="192" t="str">
        <f t="shared" si="119"/>
        <v/>
      </c>
      <c r="AQ918" t="str">
        <f>IFERROR(LOOKUP(2,1/((C_Pavement!$A$5:$A$204&lt;&gt;"")*(C_Pavement!$A$5:$A$204&lt;=$B918)*(C_Pavement!$B$5:$B$204&gt;$B918)*(C_Pavement!$C$5:$C$204&lt;&gt;"")),ROW(C_Pavement!$C$5:$C$204)-4),"")</f>
        <v/>
      </c>
      <c r="AR918" t="str">
        <f>IF($AQ918="","",UPPER(TRIM(INDEX(C_Pavement!$C$5:$C$204,$AQ918))))</f>
        <v/>
      </c>
      <c r="AS918" t="str">
        <f>IF($AR918="","",IFERROR(MATCH($AR918,E_Rules!$A$5:$A$9,0),""))</f>
        <v/>
      </c>
      <c r="AT918" t="str">
        <f>IF($AQ918="","",IF(INDEX(C_Pavement!$D$5:$D$204,$AQ918)&lt;&gt;"",UPPER(TRIM(INDEX(C_Pavement!$D$5:$D$204,$AQ918))),IF($AS918="","",INDEX(E_Rules!$C$5:$C$9,$AS918))))</f>
        <v/>
      </c>
      <c r="AU918" t="str">
        <f>IF($AQ918="","",IF(INDEX(C_Pavement!$E$5:$E$204,$AQ918)&lt;&gt;"",IF(INDEX(C_Pavement!$E$5:$E$204,$AQ918)="-","",INDEX(C_Pavement!$E$5:$E$204,$AQ918)),IF($AS918="","",INDEX(E_Rules!$D$5:$D$9,$AS918))))</f>
        <v/>
      </c>
      <c r="AV918" t="str">
        <f>IF($AQ918="","",IF(INDEX(C_Pavement!$F$5:$F$204,$AQ918)&lt;&gt;"",IF(INDEX(C_Pavement!$F$5:$F$204,$AQ918)="-","",INDEX(C_Pavement!$F$5:$F$204,$AQ918)),IF($AS918="","",INDEX(E_Rules!$E$5:$E$9,$AS918))))</f>
        <v/>
      </c>
      <c r="AW918" t="str">
        <f>IF($AQ918="","",IF(INDEX(C_Pavement!$G$5:$G$204,$AQ918)&lt;&gt;"",IF(INDEX(C_Pavement!$G$5:$G$204,$AQ918)="-","",INDEX(C_Pavement!$G$5:$G$204,$AQ918)),IF($AS918="","",INDEX(E_Rules!$F$5:$F$9,$AS918))))</f>
        <v/>
      </c>
      <c r="AX918" t="str">
        <f>IF($AQ918="","",IF(INDEX(C_Pavement!$H$5:$H$204,$AQ918)&lt;&gt;"",IF(INDEX(C_Pavement!$H$5:$H$204,$AQ918)="-","",INDEX(C_Pavement!$H$5:$H$204,$AQ918)),IF($AS918="","",INDEX(E_Rules!$G$5:$G$9,$AS918))))</f>
        <v/>
      </c>
      <c r="AY918" t="str">
        <f>IF($AQ918="","",IF(INDEX(C_Pavement!$I$5:$I$204,$AQ918)&lt;&gt;"",IF(INDEX(C_Pavement!$I$5:$I$204,$AQ918)="-","",INDEX(C_Pavement!$I$5:$I$204,$AQ918)),IF($AS918="","",INDEX(E_Rules!$H$5:$H$9,$AS918))))</f>
        <v/>
      </c>
    </row>
    <row r="919" spans="1:51" ht="15.75" customHeight="1" x14ac:dyDescent="0.3">
      <c r="A919" s="189">
        <v>914</v>
      </c>
      <c r="B919" s="180">
        <v>45650</v>
      </c>
      <c r="C919" s="180" t="s">
        <v>1225</v>
      </c>
      <c r="D919" s="181" t="str">
        <f>IFERROR(LOOKUP(2,1/((A_Corridor!$A$5:$A$204&lt;&gt;"")*(A_Corridor!$A$5:$A$204&lt;=$B919)*(A_Corridor!$B$5:$B$204&gt;$B919)*(A_Corridor!$C$5:$C$204&lt;&gt;"")),IF(UPPER(A_Corridor!$C$5:$C$204)="Y",1,"")),"")</f>
        <v/>
      </c>
      <c r="E919" s="181" t="str">
        <f>IFERROR(LOOKUP(2,1/((A_Corridor!$A$5:$A$204&lt;&gt;"")*(A_Corridor!$A$5:$A$204&lt;=$B919)*(A_Corridor!$B$5:$B$204&gt;$B919)*(A_Corridor!$D$5:$D$204&lt;&gt;"")),IF(A_Corridor!$D$5:$D$204="-","",UPPER(A_Corridor!$D$5:$D$204))),"")</f>
        <v/>
      </c>
      <c r="F919" s="181" t="str">
        <f>IFERROR(LOOKUP(2,1/((A_Corridor!$A$5:$A$204&lt;&gt;"")*(A_Corridor!$A$5:$A$204&lt;=$B919)*(A_Corridor!$B$5:$B$204&gt;$B919)*(A_Corridor!$E$5:$E$204&lt;&gt;"")),IF(A_Corridor!$E$5:$E$204="-","",1)),"")</f>
        <v/>
      </c>
      <c r="G919" s="182" t="str">
        <f>IFERROR(LOOKUP(2,1/((A_Corridor!$A$5:$A$204&lt;&gt;"")*(A_Corridor!$A$5:$A$204&lt;=$B919)*(A_Corridor!$B$5:$B$204&gt;$B919)*(A_Corridor!$E$5:$E$204&lt;&gt;"")),IF(A_Corridor!$E$5:$E$204="-","",A_Corridor!$E$5:$E$204)),"")</f>
        <v/>
      </c>
      <c r="H919" s="182" t="str">
        <f>IFERROR(LOOKUP(2,1/((D_Points!$A$5:$A$204&lt;&gt;"")*(D_Points!$A$5:$A$204&gt;=$B919)*(D_Points!$A$5:$A$204&lt;$B919+P_Interval)*(UPPER(TRIM(D_Points!$B$5:$B$204))="GULLY")*(D_Points!$H$5:$H$204&lt;&gt;"")),D_Points!$H$5:$H$204),"")</f>
        <v/>
      </c>
      <c r="I919" s="181" t="str">
        <f>IFERROR(LOOKUP(2,1/((A_Corridor!$A$5:$A$204&lt;&gt;"")*(A_Corridor!$A$5:$A$204&lt;=$B919)*(A_Corridor!$B$5:$B$204&gt;$B919)*(A_Corridor!$F$5:$F$204&lt;&gt;"")),IF(A_Corridor!$F$5:$F$204="-","",1)),"")</f>
        <v/>
      </c>
      <c r="J919" s="182" t="str">
        <f>IFERROR(LOOKUP(2,1/((A_Corridor!$A$5:$A$204&lt;&gt;"")*(A_Corridor!$A$5:$A$204&lt;=$B919)*(A_Corridor!$B$5:$B$204&gt;$B919)*(A_Corridor!$F$5:$F$204&lt;&gt;"")),IF(A_Corridor!$F$5:$F$204="-","",A_Corridor!$F$5:$F$204)),"")</f>
        <v/>
      </c>
      <c r="K919" s="182" t="str">
        <f>IFERROR(LOOKUP(2,1/((A_Corridor!$A$5:$A$204&lt;&gt;"")*(A_Corridor!$A$5:$A$204&lt;=$B919)*(A_Corridor!$B$5:$B$204&gt;$B919)*(A_Corridor!$G$5:$G$204&lt;&gt;"")),IF(A_Corridor!$G$5:$G$204="-","",A_Corridor!$G$5:$G$204)),"")</f>
        <v/>
      </c>
      <c r="L919" s="181" t="str">
        <f>IFERROR(LOOKUP(2,1/((A_Corridor!$A$5:$A$204&lt;&gt;"")*(A_Corridor!$A$5:$A$204&lt;=$B919)*(A_Corridor!$B$5:$B$204&gt;$B919)*(A_Corridor!$H$5:$H$204&lt;&gt;"")),IF(A_Corridor!$H$5:$H$204="-","",1)),"")</f>
        <v/>
      </c>
      <c r="M919" s="182" t="str">
        <f>IFERROR(LOOKUP(2,1/((A_Corridor!$A$5:$A$204&lt;&gt;"")*(A_Corridor!$A$5:$A$204&lt;=$B919)*(A_Corridor!$B$5:$B$204&gt;$B919)*(A_Corridor!$H$5:$H$204&lt;&gt;"")),IF(A_Corridor!$H$5:$H$204="-","",A_Corridor!$H$5:$H$204)),"")</f>
        <v/>
      </c>
      <c r="N919" s="182" t="str">
        <f>IFERROR(LOOKUP(2,1/((A_Corridor!$A$5:$A$204&lt;&gt;"")*(A_Corridor!$A$5:$A$204&lt;=$B919)*(A_Corridor!$B$5:$B$204&gt;$B919)*(A_Corridor!$I$5:$I$204&lt;&gt;"")),IF(A_Corridor!$I$5:$I$204="-","",A_Corridor!$I$5:$I$204)),"")</f>
        <v/>
      </c>
      <c r="O919" s="182" t="str">
        <f>IFERROR(LOOKUP(2,1/((D_Points!$A$5:$A$204&lt;&gt;"")*(D_Points!$A$5:$A$204&gt;=$B919)*(D_Points!$A$5:$A$204&lt;$B919+P_Interval)*(UPPER(TRIM(D_Points!$B$5:$B$204))="PITCHING")*(D_Points!$H$5:$H$204&lt;&gt;"")),D_Points!$H$5:$H$204),"")</f>
        <v/>
      </c>
      <c r="P919" s="181" t="str">
        <f>IFERROR(LOOKUP(2,1/((B_Drainage!$A$5:$A$204&lt;&gt;"")*(B_Drainage!$A$5:$A$204&lt;=$B919)*(B_Drainage!$B$5:$B$204&gt;$B919)*(B_Drainage!$C$5:$C$204&lt;&gt;"")),IF(B_Drainage!$C$5:$C$204="-","",UPPER(B_Drainage!$C$5:$C$204))),"")</f>
        <v/>
      </c>
      <c r="Q919" s="181" t="str">
        <f>IFERROR(LOOKUP(2,1/((B_Drainage!$A$5:$A$204&lt;&gt;"")*(B_Drainage!$A$5:$A$204&lt;=$B919)*(B_Drainage!$B$5:$B$204&gt;$B919)*(B_Drainage!$D$5:$D$204&lt;&gt;"")),IF(B_Drainage!$D$5:$D$204="-","",UPPER(B_Drainage!$D$5:$D$204))),"")</f>
        <v/>
      </c>
      <c r="R919" s="182" t="str">
        <f>IFERROR(LOOKUP(2,1/((D_Points!$A$5:$A$204&lt;&gt;"")*(D_Points!$A$5:$A$204&gt;=$B919)*(D_Points!$A$5:$A$204&lt;$B919+P_Interval)*(RIGHT(UPPER(TRIM(D_Points!$B$5:$B$204)),8)="_CULVERT")),IF(LEFT(UPPER(TRIM(D_Points!$B$5:$B$204)),2)="EX",1,IF(LEFT(UPPER(TRIM(D_Points!$B$5:$B$204)),2)="PR",2,3))),"")</f>
        <v/>
      </c>
      <c r="S919" s="182" t="str">
        <f>IFERROR(LOOKUP(2,1/((D_Points!$A$5:$A$204&lt;&gt;"")*(D_Points!$A$5:$A$204&gt;=$B919)*(D_Points!$A$5:$A$204&lt;$B919+P_Interval)*(RIGHT(UPPER(TRIM(D_Points!$B$5:$B$204)),7)="_BRIDGE")),IF(LEFT(UPPER(TRIM(D_Points!$B$5:$B$204)),2)="EX",1,IF(LEFT(UPPER(TRIM(D_Points!$B$5:$B$204)),2)="PR",2,2))),"")</f>
        <v/>
      </c>
      <c r="T919" s="181" t="str">
        <f>IFERROR(LOOKUP(2,1/((B_Drainage!$A$5:$A$204&lt;&gt;"")*(B_Drainage!$A$5:$A$204&lt;=$B919)*(B_Drainage!$B$5:$B$204&gt;$B919)*(B_Drainage!$E$5:$E$204&lt;&gt;"")),IF(B_Drainage!$E$5:$E$204="-","",1)),"")</f>
        <v/>
      </c>
      <c r="U919" s="181" t="str">
        <f>IFERROR(LOOKUP(2,1/((B_Drainage!$A$5:$A$204&lt;&gt;"")*(B_Drainage!$A$5:$A$204&lt;=$B919)*(B_Drainage!$B$5:$B$204&gt;$B919)*(B_Drainage!$E$5:$E$204&lt;&gt;"")),IF(B_Drainage!$E$5:$E$204="-","",B_Drainage!$E$5:$E$204)),"")</f>
        <v/>
      </c>
      <c r="V919" s="181" t="str">
        <f>IFERROR(LOOKUP(2,1/((B_Drainage!$A$5:$A$204&lt;&gt;"")*(B_Drainage!$A$5:$A$204&lt;=$B919)*(B_Drainage!$B$5:$B$204&gt;$B919)*(B_Drainage!$F$5:$F$204&lt;&gt;"")),IF(B_Drainage!$F$5:$F$204="-","",1)),"")</f>
        <v/>
      </c>
      <c r="W919" s="181" t="str">
        <f>IFERROR(LOOKUP(2,1/((B_Drainage!$A$5:$A$204&lt;&gt;"")*(B_Drainage!$A$5:$A$204&lt;=$B919)*(B_Drainage!$B$5:$B$204&gt;$B919)*(B_Drainage!$F$5:$F$204&lt;&gt;"")),IF(B_Drainage!$F$5:$F$204="-","",B_Drainage!$F$5:$F$204)),"")</f>
        <v/>
      </c>
      <c r="X919" s="181" t="str">
        <f>IFERROR(LOOKUP(2,1/((B_Drainage!$A$5:$A$204&lt;&gt;"")*(B_Drainage!$A$5:$A$204&lt;=$B919)*(B_Drainage!$B$5:$B$204&gt;$B919)*(B_Drainage!$G$5:$G$204&lt;&gt;"")),IF(UPPER(B_Drainage!$G$5:$G$204)="Y",1,"")),"")</f>
        <v/>
      </c>
      <c r="Y919" s="181" t="str">
        <f>IFERROR(LOOKUP(2,1/((B_Drainage!$A$5:$A$204&lt;&gt;"")*(B_Drainage!$A$5:$A$204&lt;=$B919)*(B_Drainage!$B$5:$B$204&gt;$B919)*(B_Drainage!$H$5:$H$204&lt;&gt;"")),IF(UPPER(B_Drainage!$H$5:$H$204)="Y",1,"")),"")</f>
        <v/>
      </c>
      <c r="Z919" s="181" t="str">
        <f>IFERROR(LOOKUP(2,1/((B_Drainage!$A$5:$A$204&lt;&gt;"")*(B_Drainage!$A$5:$A$204&lt;=$B919)*(B_Drainage!$B$5:$B$204&gt;$B919)*(B_Drainage!$I$5:$I$204&lt;&gt;"")),IF(UPPER(B_Drainage!$I$5:$I$204)="Y",1,"")),"")</f>
        <v/>
      </c>
      <c r="AA919" s="181" t="str">
        <f>IFERROR(LOOKUP(2,1/((B_Drainage!$A$5:$A$204&lt;&gt;"")*(B_Drainage!$A$5:$A$204&lt;=$B919)*(B_Drainage!$B$5:$B$204&gt;$B919)*(B_Drainage!$J$5:$J$204&lt;&gt;"")),IF(UPPER(B_Drainage!$J$5:$J$204)="Y",1,"")),"")</f>
        <v/>
      </c>
      <c r="AB919" s="182" t="str">
        <f>IFERROR(LOOKUP(2,1/((B_Drainage!$A$5:$A$204&lt;&gt;"")*(B_Drainage!$A$5:$A$204&lt;=$B919)*(B_Drainage!$B$5:$B$204&gt;$B919)*(B_Drainage!$K$5:$K$204&lt;&gt;"")),IF(B_Drainage!$K$5:$K$204="-","",B_Drainage!$K$5:$K$204)),"")</f>
        <v/>
      </c>
      <c r="AC919" s="182" t="str">
        <f>IFERROR(LOOKUP(2,1/((B_Drainage!$A$5:$A$204&lt;&gt;"")*(B_Drainage!$A$5:$A$204&lt;=$B919)*(B_Drainage!$B$5:$B$204&gt;$B919)*(B_Drainage!$L$5:$L$204&lt;&gt;"")),IF(B_Drainage!$L$5:$L$204="-","",B_Drainage!$L$5:$L$204)),"")</f>
        <v/>
      </c>
      <c r="AD919" s="182" t="str">
        <f>IFERROR(LOOKUP(2,1/((D_Points!$A$5:$A$204&lt;&gt;"")*(D_Points!$A$5:$A$204&gt;=$B919)*(D_Points!$A$5:$A$204&lt;$B919+P_Interval)*(UPPER(TRIM(D_Points!$B$5:$B$204))="TURNOUT_L")*(D_Points!$H$5:$H$204&lt;&gt;"")),D_Points!$H$5:$H$204),"")</f>
        <v/>
      </c>
      <c r="AE919" s="182" t="str">
        <f>IFERROR(LOOKUP(2,1/((D_Points!$A$5:$A$204&lt;&gt;"")*(D_Points!$A$5:$A$204&gt;=$B919)*(D_Points!$A$5:$A$204&lt;$B919+P_Interval)*(UPPER(TRIM(D_Points!$B$5:$B$204))="TURNOUT_R")*(D_Points!$H$5:$H$204&lt;&gt;"")),D_Points!$H$5:$H$204),"")</f>
        <v/>
      </c>
      <c r="AF919" s="181" t="str">
        <f>IFERROR(LOOKUP(2,1/((B_Drainage!$A$5:$A$204&lt;&gt;"")*(B_Drainage!$A$5:$A$204&lt;=$B919)*(B_Drainage!$B$5:$B$204&gt;$B919)*(B_Drainage!$M$5:$M$204&lt;&gt;"")),IF(UPPER(B_Drainage!$M$5:$M$204)="Y",1,"")),"")</f>
        <v/>
      </c>
      <c r="AG919" s="181" t="str">
        <f>IFERROR(LOOKUP(2,1/((B_Drainage!$A$5:$A$204&lt;&gt;"")*(B_Drainage!$A$5:$A$204&lt;=$B919)*(B_Drainage!$B$5:$B$204&gt;$B919)*(B_Drainage!$N$5:$N$204&lt;&gt;"")),IF(UPPER(B_Drainage!$N$5:$N$204)="Y",1,"")),"")</f>
        <v/>
      </c>
      <c r="AH919" s="181" t="str">
        <f t="shared" si="112"/>
        <v/>
      </c>
      <c r="AI919" s="181" t="str">
        <f t="shared" si="113"/>
        <v/>
      </c>
      <c r="AJ919" s="181" t="str">
        <f t="shared" si="114"/>
        <v/>
      </c>
      <c r="AK919" s="181" t="str">
        <f t="shared" si="115"/>
        <v/>
      </c>
      <c r="AL919" s="181" t="str">
        <f t="shared" si="116"/>
        <v/>
      </c>
      <c r="AM919" s="181" t="str">
        <f t="shared" si="117"/>
        <v/>
      </c>
      <c r="AN919" s="181" t="str">
        <f t="shared" si="118"/>
        <v/>
      </c>
      <c r="AO919" s="192" t="str">
        <f t="shared" si="119"/>
        <v/>
      </c>
      <c r="AQ919" t="str">
        <f>IFERROR(LOOKUP(2,1/((C_Pavement!$A$5:$A$204&lt;&gt;"")*(C_Pavement!$A$5:$A$204&lt;=$B919)*(C_Pavement!$B$5:$B$204&gt;$B919)*(C_Pavement!$C$5:$C$204&lt;&gt;"")),ROW(C_Pavement!$C$5:$C$204)-4),"")</f>
        <v/>
      </c>
      <c r="AR919" t="str">
        <f>IF($AQ919="","",UPPER(TRIM(INDEX(C_Pavement!$C$5:$C$204,$AQ919))))</f>
        <v/>
      </c>
      <c r="AS919" t="str">
        <f>IF($AR919="","",IFERROR(MATCH($AR919,E_Rules!$A$5:$A$9,0),""))</f>
        <v/>
      </c>
      <c r="AT919" t="str">
        <f>IF($AQ919="","",IF(INDEX(C_Pavement!$D$5:$D$204,$AQ919)&lt;&gt;"",UPPER(TRIM(INDEX(C_Pavement!$D$5:$D$204,$AQ919))),IF($AS919="","",INDEX(E_Rules!$C$5:$C$9,$AS919))))</f>
        <v/>
      </c>
      <c r="AU919" t="str">
        <f>IF($AQ919="","",IF(INDEX(C_Pavement!$E$5:$E$204,$AQ919)&lt;&gt;"",IF(INDEX(C_Pavement!$E$5:$E$204,$AQ919)="-","",INDEX(C_Pavement!$E$5:$E$204,$AQ919)),IF($AS919="","",INDEX(E_Rules!$D$5:$D$9,$AS919))))</f>
        <v/>
      </c>
      <c r="AV919" t="str">
        <f>IF($AQ919="","",IF(INDEX(C_Pavement!$F$5:$F$204,$AQ919)&lt;&gt;"",IF(INDEX(C_Pavement!$F$5:$F$204,$AQ919)="-","",INDEX(C_Pavement!$F$5:$F$204,$AQ919)),IF($AS919="","",INDEX(E_Rules!$E$5:$E$9,$AS919))))</f>
        <v/>
      </c>
      <c r="AW919" t="str">
        <f>IF($AQ919="","",IF(INDEX(C_Pavement!$G$5:$G$204,$AQ919)&lt;&gt;"",IF(INDEX(C_Pavement!$G$5:$G$204,$AQ919)="-","",INDEX(C_Pavement!$G$5:$G$204,$AQ919)),IF($AS919="","",INDEX(E_Rules!$F$5:$F$9,$AS919))))</f>
        <v/>
      </c>
      <c r="AX919" t="str">
        <f>IF($AQ919="","",IF(INDEX(C_Pavement!$H$5:$H$204,$AQ919)&lt;&gt;"",IF(INDEX(C_Pavement!$H$5:$H$204,$AQ919)="-","",INDEX(C_Pavement!$H$5:$H$204,$AQ919)),IF($AS919="","",INDEX(E_Rules!$G$5:$G$9,$AS919))))</f>
        <v/>
      </c>
      <c r="AY919" t="str">
        <f>IF($AQ919="","",IF(INDEX(C_Pavement!$I$5:$I$204,$AQ919)&lt;&gt;"",IF(INDEX(C_Pavement!$I$5:$I$204,$AQ919)="-","",INDEX(C_Pavement!$I$5:$I$204,$AQ919)),IF($AS919="","",INDEX(E_Rules!$H$5:$H$9,$AS919))))</f>
        <v/>
      </c>
    </row>
    <row r="920" spans="1:51" ht="15.75" customHeight="1" x14ac:dyDescent="0.3">
      <c r="A920" s="189">
        <v>915</v>
      </c>
      <c r="B920" s="180">
        <v>45700</v>
      </c>
      <c r="C920" s="180" t="s">
        <v>1226</v>
      </c>
      <c r="D920" s="181" t="str">
        <f>IFERROR(LOOKUP(2,1/((A_Corridor!$A$5:$A$204&lt;&gt;"")*(A_Corridor!$A$5:$A$204&lt;=$B920)*(A_Corridor!$B$5:$B$204&gt;$B920)*(A_Corridor!$C$5:$C$204&lt;&gt;"")),IF(UPPER(A_Corridor!$C$5:$C$204)="Y",1,"")),"")</f>
        <v/>
      </c>
      <c r="E920" s="181" t="str">
        <f>IFERROR(LOOKUP(2,1/((A_Corridor!$A$5:$A$204&lt;&gt;"")*(A_Corridor!$A$5:$A$204&lt;=$B920)*(A_Corridor!$B$5:$B$204&gt;$B920)*(A_Corridor!$D$5:$D$204&lt;&gt;"")),IF(A_Corridor!$D$5:$D$204="-","",UPPER(A_Corridor!$D$5:$D$204))),"")</f>
        <v/>
      </c>
      <c r="F920" s="181" t="str">
        <f>IFERROR(LOOKUP(2,1/((A_Corridor!$A$5:$A$204&lt;&gt;"")*(A_Corridor!$A$5:$A$204&lt;=$B920)*(A_Corridor!$B$5:$B$204&gt;$B920)*(A_Corridor!$E$5:$E$204&lt;&gt;"")),IF(A_Corridor!$E$5:$E$204="-","",1)),"")</f>
        <v/>
      </c>
      <c r="G920" s="182" t="str">
        <f>IFERROR(LOOKUP(2,1/((A_Corridor!$A$5:$A$204&lt;&gt;"")*(A_Corridor!$A$5:$A$204&lt;=$B920)*(A_Corridor!$B$5:$B$204&gt;$B920)*(A_Corridor!$E$5:$E$204&lt;&gt;"")),IF(A_Corridor!$E$5:$E$204="-","",A_Corridor!$E$5:$E$204)),"")</f>
        <v/>
      </c>
      <c r="H920" s="182" t="str">
        <f>IFERROR(LOOKUP(2,1/((D_Points!$A$5:$A$204&lt;&gt;"")*(D_Points!$A$5:$A$204&gt;=$B920)*(D_Points!$A$5:$A$204&lt;$B920+P_Interval)*(UPPER(TRIM(D_Points!$B$5:$B$204))="GULLY")*(D_Points!$H$5:$H$204&lt;&gt;"")),D_Points!$H$5:$H$204),"")</f>
        <v/>
      </c>
      <c r="I920" s="181" t="str">
        <f>IFERROR(LOOKUP(2,1/((A_Corridor!$A$5:$A$204&lt;&gt;"")*(A_Corridor!$A$5:$A$204&lt;=$B920)*(A_Corridor!$B$5:$B$204&gt;$B920)*(A_Corridor!$F$5:$F$204&lt;&gt;"")),IF(A_Corridor!$F$5:$F$204="-","",1)),"")</f>
        <v/>
      </c>
      <c r="J920" s="182" t="str">
        <f>IFERROR(LOOKUP(2,1/((A_Corridor!$A$5:$A$204&lt;&gt;"")*(A_Corridor!$A$5:$A$204&lt;=$B920)*(A_Corridor!$B$5:$B$204&gt;$B920)*(A_Corridor!$F$5:$F$204&lt;&gt;"")),IF(A_Corridor!$F$5:$F$204="-","",A_Corridor!$F$5:$F$204)),"")</f>
        <v/>
      </c>
      <c r="K920" s="182" t="str">
        <f>IFERROR(LOOKUP(2,1/((A_Corridor!$A$5:$A$204&lt;&gt;"")*(A_Corridor!$A$5:$A$204&lt;=$B920)*(A_Corridor!$B$5:$B$204&gt;$B920)*(A_Corridor!$G$5:$G$204&lt;&gt;"")),IF(A_Corridor!$G$5:$G$204="-","",A_Corridor!$G$5:$G$204)),"")</f>
        <v/>
      </c>
      <c r="L920" s="181" t="str">
        <f>IFERROR(LOOKUP(2,1/((A_Corridor!$A$5:$A$204&lt;&gt;"")*(A_Corridor!$A$5:$A$204&lt;=$B920)*(A_Corridor!$B$5:$B$204&gt;$B920)*(A_Corridor!$H$5:$H$204&lt;&gt;"")),IF(A_Corridor!$H$5:$H$204="-","",1)),"")</f>
        <v/>
      </c>
      <c r="M920" s="182" t="str">
        <f>IFERROR(LOOKUP(2,1/((A_Corridor!$A$5:$A$204&lt;&gt;"")*(A_Corridor!$A$5:$A$204&lt;=$B920)*(A_Corridor!$B$5:$B$204&gt;$B920)*(A_Corridor!$H$5:$H$204&lt;&gt;"")),IF(A_Corridor!$H$5:$H$204="-","",A_Corridor!$H$5:$H$204)),"")</f>
        <v/>
      </c>
      <c r="N920" s="182" t="str">
        <f>IFERROR(LOOKUP(2,1/((A_Corridor!$A$5:$A$204&lt;&gt;"")*(A_Corridor!$A$5:$A$204&lt;=$B920)*(A_Corridor!$B$5:$B$204&gt;$B920)*(A_Corridor!$I$5:$I$204&lt;&gt;"")),IF(A_Corridor!$I$5:$I$204="-","",A_Corridor!$I$5:$I$204)),"")</f>
        <v/>
      </c>
      <c r="O920" s="182" t="str">
        <f>IFERROR(LOOKUP(2,1/((D_Points!$A$5:$A$204&lt;&gt;"")*(D_Points!$A$5:$A$204&gt;=$B920)*(D_Points!$A$5:$A$204&lt;$B920+P_Interval)*(UPPER(TRIM(D_Points!$B$5:$B$204))="PITCHING")*(D_Points!$H$5:$H$204&lt;&gt;"")),D_Points!$H$5:$H$204),"")</f>
        <v/>
      </c>
      <c r="P920" s="181" t="str">
        <f>IFERROR(LOOKUP(2,1/((B_Drainage!$A$5:$A$204&lt;&gt;"")*(B_Drainage!$A$5:$A$204&lt;=$B920)*(B_Drainage!$B$5:$B$204&gt;$B920)*(B_Drainage!$C$5:$C$204&lt;&gt;"")),IF(B_Drainage!$C$5:$C$204="-","",UPPER(B_Drainage!$C$5:$C$204))),"")</f>
        <v/>
      </c>
      <c r="Q920" s="181" t="str">
        <f>IFERROR(LOOKUP(2,1/((B_Drainage!$A$5:$A$204&lt;&gt;"")*(B_Drainage!$A$5:$A$204&lt;=$B920)*(B_Drainage!$B$5:$B$204&gt;$B920)*(B_Drainage!$D$5:$D$204&lt;&gt;"")),IF(B_Drainage!$D$5:$D$204="-","",UPPER(B_Drainage!$D$5:$D$204))),"")</f>
        <v/>
      </c>
      <c r="R920" s="182" t="str">
        <f>IFERROR(LOOKUP(2,1/((D_Points!$A$5:$A$204&lt;&gt;"")*(D_Points!$A$5:$A$204&gt;=$B920)*(D_Points!$A$5:$A$204&lt;$B920+P_Interval)*(RIGHT(UPPER(TRIM(D_Points!$B$5:$B$204)),8)="_CULVERT")),IF(LEFT(UPPER(TRIM(D_Points!$B$5:$B$204)),2)="EX",1,IF(LEFT(UPPER(TRIM(D_Points!$B$5:$B$204)),2)="PR",2,3))),"")</f>
        <v/>
      </c>
      <c r="S920" s="182" t="str">
        <f>IFERROR(LOOKUP(2,1/((D_Points!$A$5:$A$204&lt;&gt;"")*(D_Points!$A$5:$A$204&gt;=$B920)*(D_Points!$A$5:$A$204&lt;$B920+P_Interval)*(RIGHT(UPPER(TRIM(D_Points!$B$5:$B$204)),7)="_BRIDGE")),IF(LEFT(UPPER(TRIM(D_Points!$B$5:$B$204)),2)="EX",1,IF(LEFT(UPPER(TRIM(D_Points!$B$5:$B$204)),2)="PR",2,2))),"")</f>
        <v/>
      </c>
      <c r="T920" s="181" t="str">
        <f>IFERROR(LOOKUP(2,1/((B_Drainage!$A$5:$A$204&lt;&gt;"")*(B_Drainage!$A$5:$A$204&lt;=$B920)*(B_Drainage!$B$5:$B$204&gt;$B920)*(B_Drainage!$E$5:$E$204&lt;&gt;"")),IF(B_Drainage!$E$5:$E$204="-","",1)),"")</f>
        <v/>
      </c>
      <c r="U920" s="181" t="str">
        <f>IFERROR(LOOKUP(2,1/((B_Drainage!$A$5:$A$204&lt;&gt;"")*(B_Drainage!$A$5:$A$204&lt;=$B920)*(B_Drainage!$B$5:$B$204&gt;$B920)*(B_Drainage!$E$5:$E$204&lt;&gt;"")),IF(B_Drainage!$E$5:$E$204="-","",B_Drainage!$E$5:$E$204)),"")</f>
        <v/>
      </c>
      <c r="V920" s="181" t="str">
        <f>IFERROR(LOOKUP(2,1/((B_Drainage!$A$5:$A$204&lt;&gt;"")*(B_Drainage!$A$5:$A$204&lt;=$B920)*(B_Drainage!$B$5:$B$204&gt;$B920)*(B_Drainage!$F$5:$F$204&lt;&gt;"")),IF(B_Drainage!$F$5:$F$204="-","",1)),"")</f>
        <v/>
      </c>
      <c r="W920" s="181" t="str">
        <f>IFERROR(LOOKUP(2,1/((B_Drainage!$A$5:$A$204&lt;&gt;"")*(B_Drainage!$A$5:$A$204&lt;=$B920)*(B_Drainage!$B$5:$B$204&gt;$B920)*(B_Drainage!$F$5:$F$204&lt;&gt;"")),IF(B_Drainage!$F$5:$F$204="-","",B_Drainage!$F$5:$F$204)),"")</f>
        <v/>
      </c>
      <c r="X920" s="181" t="str">
        <f>IFERROR(LOOKUP(2,1/((B_Drainage!$A$5:$A$204&lt;&gt;"")*(B_Drainage!$A$5:$A$204&lt;=$B920)*(B_Drainage!$B$5:$B$204&gt;$B920)*(B_Drainage!$G$5:$G$204&lt;&gt;"")),IF(UPPER(B_Drainage!$G$5:$G$204)="Y",1,"")),"")</f>
        <v/>
      </c>
      <c r="Y920" s="181" t="str">
        <f>IFERROR(LOOKUP(2,1/((B_Drainage!$A$5:$A$204&lt;&gt;"")*(B_Drainage!$A$5:$A$204&lt;=$B920)*(B_Drainage!$B$5:$B$204&gt;$B920)*(B_Drainage!$H$5:$H$204&lt;&gt;"")),IF(UPPER(B_Drainage!$H$5:$H$204)="Y",1,"")),"")</f>
        <v/>
      </c>
      <c r="Z920" s="181" t="str">
        <f>IFERROR(LOOKUP(2,1/((B_Drainage!$A$5:$A$204&lt;&gt;"")*(B_Drainage!$A$5:$A$204&lt;=$B920)*(B_Drainage!$B$5:$B$204&gt;$B920)*(B_Drainage!$I$5:$I$204&lt;&gt;"")),IF(UPPER(B_Drainage!$I$5:$I$204)="Y",1,"")),"")</f>
        <v/>
      </c>
      <c r="AA920" s="181" t="str">
        <f>IFERROR(LOOKUP(2,1/((B_Drainage!$A$5:$A$204&lt;&gt;"")*(B_Drainage!$A$5:$A$204&lt;=$B920)*(B_Drainage!$B$5:$B$204&gt;$B920)*(B_Drainage!$J$5:$J$204&lt;&gt;"")),IF(UPPER(B_Drainage!$J$5:$J$204)="Y",1,"")),"")</f>
        <v/>
      </c>
      <c r="AB920" s="182" t="str">
        <f>IFERROR(LOOKUP(2,1/((B_Drainage!$A$5:$A$204&lt;&gt;"")*(B_Drainage!$A$5:$A$204&lt;=$B920)*(B_Drainage!$B$5:$B$204&gt;$B920)*(B_Drainage!$K$5:$K$204&lt;&gt;"")),IF(B_Drainage!$K$5:$K$204="-","",B_Drainage!$K$5:$K$204)),"")</f>
        <v/>
      </c>
      <c r="AC920" s="182" t="str">
        <f>IFERROR(LOOKUP(2,1/((B_Drainage!$A$5:$A$204&lt;&gt;"")*(B_Drainage!$A$5:$A$204&lt;=$B920)*(B_Drainage!$B$5:$B$204&gt;$B920)*(B_Drainage!$L$5:$L$204&lt;&gt;"")),IF(B_Drainage!$L$5:$L$204="-","",B_Drainage!$L$5:$L$204)),"")</f>
        <v/>
      </c>
      <c r="AD920" s="182" t="str">
        <f>IFERROR(LOOKUP(2,1/((D_Points!$A$5:$A$204&lt;&gt;"")*(D_Points!$A$5:$A$204&gt;=$B920)*(D_Points!$A$5:$A$204&lt;$B920+P_Interval)*(UPPER(TRIM(D_Points!$B$5:$B$204))="TURNOUT_L")*(D_Points!$H$5:$H$204&lt;&gt;"")),D_Points!$H$5:$H$204),"")</f>
        <v/>
      </c>
      <c r="AE920" s="182" t="str">
        <f>IFERROR(LOOKUP(2,1/((D_Points!$A$5:$A$204&lt;&gt;"")*(D_Points!$A$5:$A$204&gt;=$B920)*(D_Points!$A$5:$A$204&lt;$B920+P_Interval)*(UPPER(TRIM(D_Points!$B$5:$B$204))="TURNOUT_R")*(D_Points!$H$5:$H$204&lt;&gt;"")),D_Points!$H$5:$H$204),"")</f>
        <v/>
      </c>
      <c r="AF920" s="181" t="str">
        <f>IFERROR(LOOKUP(2,1/((B_Drainage!$A$5:$A$204&lt;&gt;"")*(B_Drainage!$A$5:$A$204&lt;=$B920)*(B_Drainage!$B$5:$B$204&gt;$B920)*(B_Drainage!$M$5:$M$204&lt;&gt;"")),IF(UPPER(B_Drainage!$M$5:$M$204)="Y",1,"")),"")</f>
        <v/>
      </c>
      <c r="AG920" s="181" t="str">
        <f>IFERROR(LOOKUP(2,1/((B_Drainage!$A$5:$A$204&lt;&gt;"")*(B_Drainage!$A$5:$A$204&lt;=$B920)*(B_Drainage!$B$5:$B$204&gt;$B920)*(B_Drainage!$N$5:$N$204&lt;&gt;"")),IF(UPPER(B_Drainage!$N$5:$N$204)="Y",1,"")),"")</f>
        <v/>
      </c>
      <c r="AH920" s="181" t="str">
        <f t="shared" si="112"/>
        <v/>
      </c>
      <c r="AI920" s="181" t="str">
        <f t="shared" si="113"/>
        <v/>
      </c>
      <c r="AJ920" s="181" t="str">
        <f t="shared" si="114"/>
        <v/>
      </c>
      <c r="AK920" s="181" t="str">
        <f t="shared" si="115"/>
        <v/>
      </c>
      <c r="AL920" s="181" t="str">
        <f t="shared" si="116"/>
        <v/>
      </c>
      <c r="AM920" s="181" t="str">
        <f t="shared" si="117"/>
        <v/>
      </c>
      <c r="AN920" s="181" t="str">
        <f t="shared" si="118"/>
        <v/>
      </c>
      <c r="AO920" s="192" t="str">
        <f t="shared" si="119"/>
        <v/>
      </c>
      <c r="AQ920" t="str">
        <f>IFERROR(LOOKUP(2,1/((C_Pavement!$A$5:$A$204&lt;&gt;"")*(C_Pavement!$A$5:$A$204&lt;=$B920)*(C_Pavement!$B$5:$B$204&gt;$B920)*(C_Pavement!$C$5:$C$204&lt;&gt;"")),ROW(C_Pavement!$C$5:$C$204)-4),"")</f>
        <v/>
      </c>
      <c r="AR920" t="str">
        <f>IF($AQ920="","",UPPER(TRIM(INDEX(C_Pavement!$C$5:$C$204,$AQ920))))</f>
        <v/>
      </c>
      <c r="AS920" t="str">
        <f>IF($AR920="","",IFERROR(MATCH($AR920,E_Rules!$A$5:$A$9,0),""))</f>
        <v/>
      </c>
      <c r="AT920" t="str">
        <f>IF($AQ920="","",IF(INDEX(C_Pavement!$D$5:$D$204,$AQ920)&lt;&gt;"",UPPER(TRIM(INDEX(C_Pavement!$D$5:$D$204,$AQ920))),IF($AS920="","",INDEX(E_Rules!$C$5:$C$9,$AS920))))</f>
        <v/>
      </c>
      <c r="AU920" t="str">
        <f>IF($AQ920="","",IF(INDEX(C_Pavement!$E$5:$E$204,$AQ920)&lt;&gt;"",IF(INDEX(C_Pavement!$E$5:$E$204,$AQ920)="-","",INDEX(C_Pavement!$E$5:$E$204,$AQ920)),IF($AS920="","",INDEX(E_Rules!$D$5:$D$9,$AS920))))</f>
        <v/>
      </c>
      <c r="AV920" t="str">
        <f>IF($AQ920="","",IF(INDEX(C_Pavement!$F$5:$F$204,$AQ920)&lt;&gt;"",IF(INDEX(C_Pavement!$F$5:$F$204,$AQ920)="-","",INDEX(C_Pavement!$F$5:$F$204,$AQ920)),IF($AS920="","",INDEX(E_Rules!$E$5:$E$9,$AS920))))</f>
        <v/>
      </c>
      <c r="AW920" t="str">
        <f>IF($AQ920="","",IF(INDEX(C_Pavement!$G$5:$G$204,$AQ920)&lt;&gt;"",IF(INDEX(C_Pavement!$G$5:$G$204,$AQ920)="-","",INDEX(C_Pavement!$G$5:$G$204,$AQ920)),IF($AS920="","",INDEX(E_Rules!$F$5:$F$9,$AS920))))</f>
        <v/>
      </c>
      <c r="AX920" t="str">
        <f>IF($AQ920="","",IF(INDEX(C_Pavement!$H$5:$H$204,$AQ920)&lt;&gt;"",IF(INDEX(C_Pavement!$H$5:$H$204,$AQ920)="-","",INDEX(C_Pavement!$H$5:$H$204,$AQ920)),IF($AS920="","",INDEX(E_Rules!$G$5:$G$9,$AS920))))</f>
        <v/>
      </c>
      <c r="AY920" t="str">
        <f>IF($AQ920="","",IF(INDEX(C_Pavement!$I$5:$I$204,$AQ920)&lt;&gt;"",IF(INDEX(C_Pavement!$I$5:$I$204,$AQ920)="-","",INDEX(C_Pavement!$I$5:$I$204,$AQ920)),IF($AS920="","",INDEX(E_Rules!$H$5:$H$9,$AS920))))</f>
        <v/>
      </c>
    </row>
    <row r="921" spans="1:51" ht="15.75" customHeight="1" x14ac:dyDescent="0.3">
      <c r="A921" s="189">
        <v>916</v>
      </c>
      <c r="B921" s="180">
        <v>45750</v>
      </c>
      <c r="C921" s="180" t="s">
        <v>1227</v>
      </c>
      <c r="D921" s="181" t="str">
        <f>IFERROR(LOOKUP(2,1/((A_Corridor!$A$5:$A$204&lt;&gt;"")*(A_Corridor!$A$5:$A$204&lt;=$B921)*(A_Corridor!$B$5:$B$204&gt;$B921)*(A_Corridor!$C$5:$C$204&lt;&gt;"")),IF(UPPER(A_Corridor!$C$5:$C$204)="Y",1,"")),"")</f>
        <v/>
      </c>
      <c r="E921" s="181" t="str">
        <f>IFERROR(LOOKUP(2,1/((A_Corridor!$A$5:$A$204&lt;&gt;"")*(A_Corridor!$A$5:$A$204&lt;=$B921)*(A_Corridor!$B$5:$B$204&gt;$B921)*(A_Corridor!$D$5:$D$204&lt;&gt;"")),IF(A_Corridor!$D$5:$D$204="-","",UPPER(A_Corridor!$D$5:$D$204))),"")</f>
        <v/>
      </c>
      <c r="F921" s="181" t="str">
        <f>IFERROR(LOOKUP(2,1/((A_Corridor!$A$5:$A$204&lt;&gt;"")*(A_Corridor!$A$5:$A$204&lt;=$B921)*(A_Corridor!$B$5:$B$204&gt;$B921)*(A_Corridor!$E$5:$E$204&lt;&gt;"")),IF(A_Corridor!$E$5:$E$204="-","",1)),"")</f>
        <v/>
      </c>
      <c r="G921" s="182" t="str">
        <f>IFERROR(LOOKUP(2,1/((A_Corridor!$A$5:$A$204&lt;&gt;"")*(A_Corridor!$A$5:$A$204&lt;=$B921)*(A_Corridor!$B$5:$B$204&gt;$B921)*(A_Corridor!$E$5:$E$204&lt;&gt;"")),IF(A_Corridor!$E$5:$E$204="-","",A_Corridor!$E$5:$E$204)),"")</f>
        <v/>
      </c>
      <c r="H921" s="182" t="str">
        <f>IFERROR(LOOKUP(2,1/((D_Points!$A$5:$A$204&lt;&gt;"")*(D_Points!$A$5:$A$204&gt;=$B921)*(D_Points!$A$5:$A$204&lt;$B921+P_Interval)*(UPPER(TRIM(D_Points!$B$5:$B$204))="GULLY")*(D_Points!$H$5:$H$204&lt;&gt;"")),D_Points!$H$5:$H$204),"")</f>
        <v/>
      </c>
      <c r="I921" s="181" t="str">
        <f>IFERROR(LOOKUP(2,1/((A_Corridor!$A$5:$A$204&lt;&gt;"")*(A_Corridor!$A$5:$A$204&lt;=$B921)*(A_Corridor!$B$5:$B$204&gt;$B921)*(A_Corridor!$F$5:$F$204&lt;&gt;"")),IF(A_Corridor!$F$5:$F$204="-","",1)),"")</f>
        <v/>
      </c>
      <c r="J921" s="182" t="str">
        <f>IFERROR(LOOKUP(2,1/((A_Corridor!$A$5:$A$204&lt;&gt;"")*(A_Corridor!$A$5:$A$204&lt;=$B921)*(A_Corridor!$B$5:$B$204&gt;$B921)*(A_Corridor!$F$5:$F$204&lt;&gt;"")),IF(A_Corridor!$F$5:$F$204="-","",A_Corridor!$F$5:$F$204)),"")</f>
        <v/>
      </c>
      <c r="K921" s="182" t="str">
        <f>IFERROR(LOOKUP(2,1/((A_Corridor!$A$5:$A$204&lt;&gt;"")*(A_Corridor!$A$5:$A$204&lt;=$B921)*(A_Corridor!$B$5:$B$204&gt;$B921)*(A_Corridor!$G$5:$G$204&lt;&gt;"")),IF(A_Corridor!$G$5:$G$204="-","",A_Corridor!$G$5:$G$204)),"")</f>
        <v/>
      </c>
      <c r="L921" s="181" t="str">
        <f>IFERROR(LOOKUP(2,1/((A_Corridor!$A$5:$A$204&lt;&gt;"")*(A_Corridor!$A$5:$A$204&lt;=$B921)*(A_Corridor!$B$5:$B$204&gt;$B921)*(A_Corridor!$H$5:$H$204&lt;&gt;"")),IF(A_Corridor!$H$5:$H$204="-","",1)),"")</f>
        <v/>
      </c>
      <c r="M921" s="182" t="str">
        <f>IFERROR(LOOKUP(2,1/((A_Corridor!$A$5:$A$204&lt;&gt;"")*(A_Corridor!$A$5:$A$204&lt;=$B921)*(A_Corridor!$B$5:$B$204&gt;$B921)*(A_Corridor!$H$5:$H$204&lt;&gt;"")),IF(A_Corridor!$H$5:$H$204="-","",A_Corridor!$H$5:$H$204)),"")</f>
        <v/>
      </c>
      <c r="N921" s="182" t="str">
        <f>IFERROR(LOOKUP(2,1/((A_Corridor!$A$5:$A$204&lt;&gt;"")*(A_Corridor!$A$5:$A$204&lt;=$B921)*(A_Corridor!$B$5:$B$204&gt;$B921)*(A_Corridor!$I$5:$I$204&lt;&gt;"")),IF(A_Corridor!$I$5:$I$204="-","",A_Corridor!$I$5:$I$204)),"")</f>
        <v/>
      </c>
      <c r="O921" s="182" t="str">
        <f>IFERROR(LOOKUP(2,1/((D_Points!$A$5:$A$204&lt;&gt;"")*(D_Points!$A$5:$A$204&gt;=$B921)*(D_Points!$A$5:$A$204&lt;$B921+P_Interval)*(UPPER(TRIM(D_Points!$B$5:$B$204))="PITCHING")*(D_Points!$H$5:$H$204&lt;&gt;"")),D_Points!$H$5:$H$204),"")</f>
        <v/>
      </c>
      <c r="P921" s="181" t="str">
        <f>IFERROR(LOOKUP(2,1/((B_Drainage!$A$5:$A$204&lt;&gt;"")*(B_Drainage!$A$5:$A$204&lt;=$B921)*(B_Drainage!$B$5:$B$204&gt;$B921)*(B_Drainage!$C$5:$C$204&lt;&gt;"")),IF(B_Drainage!$C$5:$C$204="-","",UPPER(B_Drainage!$C$5:$C$204))),"")</f>
        <v/>
      </c>
      <c r="Q921" s="181" t="str">
        <f>IFERROR(LOOKUP(2,1/((B_Drainage!$A$5:$A$204&lt;&gt;"")*(B_Drainage!$A$5:$A$204&lt;=$B921)*(B_Drainage!$B$5:$B$204&gt;$B921)*(B_Drainage!$D$5:$D$204&lt;&gt;"")),IF(B_Drainage!$D$5:$D$204="-","",UPPER(B_Drainage!$D$5:$D$204))),"")</f>
        <v/>
      </c>
      <c r="R921" s="182" t="str">
        <f>IFERROR(LOOKUP(2,1/((D_Points!$A$5:$A$204&lt;&gt;"")*(D_Points!$A$5:$A$204&gt;=$B921)*(D_Points!$A$5:$A$204&lt;$B921+P_Interval)*(RIGHT(UPPER(TRIM(D_Points!$B$5:$B$204)),8)="_CULVERT")),IF(LEFT(UPPER(TRIM(D_Points!$B$5:$B$204)),2)="EX",1,IF(LEFT(UPPER(TRIM(D_Points!$B$5:$B$204)),2)="PR",2,3))),"")</f>
        <v/>
      </c>
      <c r="S921" s="182" t="str">
        <f>IFERROR(LOOKUP(2,1/((D_Points!$A$5:$A$204&lt;&gt;"")*(D_Points!$A$5:$A$204&gt;=$B921)*(D_Points!$A$5:$A$204&lt;$B921+P_Interval)*(RIGHT(UPPER(TRIM(D_Points!$B$5:$B$204)),7)="_BRIDGE")),IF(LEFT(UPPER(TRIM(D_Points!$B$5:$B$204)),2)="EX",1,IF(LEFT(UPPER(TRIM(D_Points!$B$5:$B$204)),2)="PR",2,2))),"")</f>
        <v/>
      </c>
      <c r="T921" s="181" t="str">
        <f>IFERROR(LOOKUP(2,1/((B_Drainage!$A$5:$A$204&lt;&gt;"")*(B_Drainage!$A$5:$A$204&lt;=$B921)*(B_Drainage!$B$5:$B$204&gt;$B921)*(B_Drainage!$E$5:$E$204&lt;&gt;"")),IF(B_Drainage!$E$5:$E$204="-","",1)),"")</f>
        <v/>
      </c>
      <c r="U921" s="181" t="str">
        <f>IFERROR(LOOKUP(2,1/((B_Drainage!$A$5:$A$204&lt;&gt;"")*(B_Drainage!$A$5:$A$204&lt;=$B921)*(B_Drainage!$B$5:$B$204&gt;$B921)*(B_Drainage!$E$5:$E$204&lt;&gt;"")),IF(B_Drainage!$E$5:$E$204="-","",B_Drainage!$E$5:$E$204)),"")</f>
        <v/>
      </c>
      <c r="V921" s="181" t="str">
        <f>IFERROR(LOOKUP(2,1/((B_Drainage!$A$5:$A$204&lt;&gt;"")*(B_Drainage!$A$5:$A$204&lt;=$B921)*(B_Drainage!$B$5:$B$204&gt;$B921)*(B_Drainage!$F$5:$F$204&lt;&gt;"")),IF(B_Drainage!$F$5:$F$204="-","",1)),"")</f>
        <v/>
      </c>
      <c r="W921" s="181" t="str">
        <f>IFERROR(LOOKUP(2,1/((B_Drainage!$A$5:$A$204&lt;&gt;"")*(B_Drainage!$A$5:$A$204&lt;=$B921)*(B_Drainage!$B$5:$B$204&gt;$B921)*(B_Drainage!$F$5:$F$204&lt;&gt;"")),IF(B_Drainage!$F$5:$F$204="-","",B_Drainage!$F$5:$F$204)),"")</f>
        <v/>
      </c>
      <c r="X921" s="181" t="str">
        <f>IFERROR(LOOKUP(2,1/((B_Drainage!$A$5:$A$204&lt;&gt;"")*(B_Drainage!$A$5:$A$204&lt;=$B921)*(B_Drainage!$B$5:$B$204&gt;$B921)*(B_Drainage!$G$5:$G$204&lt;&gt;"")),IF(UPPER(B_Drainage!$G$5:$G$204)="Y",1,"")),"")</f>
        <v/>
      </c>
      <c r="Y921" s="181" t="str">
        <f>IFERROR(LOOKUP(2,1/((B_Drainage!$A$5:$A$204&lt;&gt;"")*(B_Drainage!$A$5:$A$204&lt;=$B921)*(B_Drainage!$B$5:$B$204&gt;$B921)*(B_Drainage!$H$5:$H$204&lt;&gt;"")),IF(UPPER(B_Drainage!$H$5:$H$204)="Y",1,"")),"")</f>
        <v/>
      </c>
      <c r="Z921" s="181" t="str">
        <f>IFERROR(LOOKUP(2,1/((B_Drainage!$A$5:$A$204&lt;&gt;"")*(B_Drainage!$A$5:$A$204&lt;=$B921)*(B_Drainage!$B$5:$B$204&gt;$B921)*(B_Drainage!$I$5:$I$204&lt;&gt;"")),IF(UPPER(B_Drainage!$I$5:$I$204)="Y",1,"")),"")</f>
        <v/>
      </c>
      <c r="AA921" s="181" t="str">
        <f>IFERROR(LOOKUP(2,1/((B_Drainage!$A$5:$A$204&lt;&gt;"")*(B_Drainage!$A$5:$A$204&lt;=$B921)*(B_Drainage!$B$5:$B$204&gt;$B921)*(B_Drainage!$J$5:$J$204&lt;&gt;"")),IF(UPPER(B_Drainage!$J$5:$J$204)="Y",1,"")),"")</f>
        <v/>
      </c>
      <c r="AB921" s="182" t="str">
        <f>IFERROR(LOOKUP(2,1/((B_Drainage!$A$5:$A$204&lt;&gt;"")*(B_Drainage!$A$5:$A$204&lt;=$B921)*(B_Drainage!$B$5:$B$204&gt;$B921)*(B_Drainage!$K$5:$K$204&lt;&gt;"")),IF(B_Drainage!$K$5:$K$204="-","",B_Drainage!$K$5:$K$204)),"")</f>
        <v/>
      </c>
      <c r="AC921" s="182" t="str">
        <f>IFERROR(LOOKUP(2,1/((B_Drainage!$A$5:$A$204&lt;&gt;"")*(B_Drainage!$A$5:$A$204&lt;=$B921)*(B_Drainage!$B$5:$B$204&gt;$B921)*(B_Drainage!$L$5:$L$204&lt;&gt;"")),IF(B_Drainage!$L$5:$L$204="-","",B_Drainage!$L$5:$L$204)),"")</f>
        <v/>
      </c>
      <c r="AD921" s="182" t="str">
        <f>IFERROR(LOOKUP(2,1/((D_Points!$A$5:$A$204&lt;&gt;"")*(D_Points!$A$5:$A$204&gt;=$B921)*(D_Points!$A$5:$A$204&lt;$B921+P_Interval)*(UPPER(TRIM(D_Points!$B$5:$B$204))="TURNOUT_L")*(D_Points!$H$5:$H$204&lt;&gt;"")),D_Points!$H$5:$H$204),"")</f>
        <v/>
      </c>
      <c r="AE921" s="182" t="str">
        <f>IFERROR(LOOKUP(2,1/((D_Points!$A$5:$A$204&lt;&gt;"")*(D_Points!$A$5:$A$204&gt;=$B921)*(D_Points!$A$5:$A$204&lt;$B921+P_Interval)*(UPPER(TRIM(D_Points!$B$5:$B$204))="TURNOUT_R")*(D_Points!$H$5:$H$204&lt;&gt;"")),D_Points!$H$5:$H$204),"")</f>
        <v/>
      </c>
      <c r="AF921" s="181" t="str">
        <f>IFERROR(LOOKUP(2,1/((B_Drainage!$A$5:$A$204&lt;&gt;"")*(B_Drainage!$A$5:$A$204&lt;=$B921)*(B_Drainage!$B$5:$B$204&gt;$B921)*(B_Drainage!$M$5:$M$204&lt;&gt;"")),IF(UPPER(B_Drainage!$M$5:$M$204)="Y",1,"")),"")</f>
        <v/>
      </c>
      <c r="AG921" s="181" t="str">
        <f>IFERROR(LOOKUP(2,1/((B_Drainage!$A$5:$A$204&lt;&gt;"")*(B_Drainage!$A$5:$A$204&lt;=$B921)*(B_Drainage!$B$5:$B$204&gt;$B921)*(B_Drainage!$N$5:$N$204&lt;&gt;"")),IF(UPPER(B_Drainage!$N$5:$N$204)="Y",1,"")),"")</f>
        <v/>
      </c>
      <c r="AH921" s="181" t="str">
        <f t="shared" si="112"/>
        <v/>
      </c>
      <c r="AI921" s="181" t="str">
        <f t="shared" si="113"/>
        <v/>
      </c>
      <c r="AJ921" s="181" t="str">
        <f t="shared" si="114"/>
        <v/>
      </c>
      <c r="AK921" s="181" t="str">
        <f t="shared" si="115"/>
        <v/>
      </c>
      <c r="AL921" s="181" t="str">
        <f t="shared" si="116"/>
        <v/>
      </c>
      <c r="AM921" s="181" t="str">
        <f t="shared" si="117"/>
        <v/>
      </c>
      <c r="AN921" s="181" t="str">
        <f t="shared" si="118"/>
        <v/>
      </c>
      <c r="AO921" s="192" t="str">
        <f t="shared" si="119"/>
        <v/>
      </c>
      <c r="AQ921" t="str">
        <f>IFERROR(LOOKUP(2,1/((C_Pavement!$A$5:$A$204&lt;&gt;"")*(C_Pavement!$A$5:$A$204&lt;=$B921)*(C_Pavement!$B$5:$B$204&gt;$B921)*(C_Pavement!$C$5:$C$204&lt;&gt;"")),ROW(C_Pavement!$C$5:$C$204)-4),"")</f>
        <v/>
      </c>
      <c r="AR921" t="str">
        <f>IF($AQ921="","",UPPER(TRIM(INDEX(C_Pavement!$C$5:$C$204,$AQ921))))</f>
        <v/>
      </c>
      <c r="AS921" t="str">
        <f>IF($AR921="","",IFERROR(MATCH($AR921,E_Rules!$A$5:$A$9,0),""))</f>
        <v/>
      </c>
      <c r="AT921" t="str">
        <f>IF($AQ921="","",IF(INDEX(C_Pavement!$D$5:$D$204,$AQ921)&lt;&gt;"",UPPER(TRIM(INDEX(C_Pavement!$D$5:$D$204,$AQ921))),IF($AS921="","",INDEX(E_Rules!$C$5:$C$9,$AS921))))</f>
        <v/>
      </c>
      <c r="AU921" t="str">
        <f>IF($AQ921="","",IF(INDEX(C_Pavement!$E$5:$E$204,$AQ921)&lt;&gt;"",IF(INDEX(C_Pavement!$E$5:$E$204,$AQ921)="-","",INDEX(C_Pavement!$E$5:$E$204,$AQ921)),IF($AS921="","",INDEX(E_Rules!$D$5:$D$9,$AS921))))</f>
        <v/>
      </c>
      <c r="AV921" t="str">
        <f>IF($AQ921="","",IF(INDEX(C_Pavement!$F$5:$F$204,$AQ921)&lt;&gt;"",IF(INDEX(C_Pavement!$F$5:$F$204,$AQ921)="-","",INDEX(C_Pavement!$F$5:$F$204,$AQ921)),IF($AS921="","",INDEX(E_Rules!$E$5:$E$9,$AS921))))</f>
        <v/>
      </c>
      <c r="AW921" t="str">
        <f>IF($AQ921="","",IF(INDEX(C_Pavement!$G$5:$G$204,$AQ921)&lt;&gt;"",IF(INDEX(C_Pavement!$G$5:$G$204,$AQ921)="-","",INDEX(C_Pavement!$G$5:$G$204,$AQ921)),IF($AS921="","",INDEX(E_Rules!$F$5:$F$9,$AS921))))</f>
        <v/>
      </c>
      <c r="AX921" t="str">
        <f>IF($AQ921="","",IF(INDEX(C_Pavement!$H$5:$H$204,$AQ921)&lt;&gt;"",IF(INDEX(C_Pavement!$H$5:$H$204,$AQ921)="-","",INDEX(C_Pavement!$H$5:$H$204,$AQ921)),IF($AS921="","",INDEX(E_Rules!$G$5:$G$9,$AS921))))</f>
        <v/>
      </c>
      <c r="AY921" t="str">
        <f>IF($AQ921="","",IF(INDEX(C_Pavement!$I$5:$I$204,$AQ921)&lt;&gt;"",IF(INDEX(C_Pavement!$I$5:$I$204,$AQ921)="-","",INDEX(C_Pavement!$I$5:$I$204,$AQ921)),IF($AS921="","",INDEX(E_Rules!$H$5:$H$9,$AS921))))</f>
        <v/>
      </c>
    </row>
    <row r="922" spans="1:51" ht="15.75" customHeight="1" x14ac:dyDescent="0.3">
      <c r="A922" s="189">
        <v>917</v>
      </c>
      <c r="B922" s="180">
        <v>45800</v>
      </c>
      <c r="C922" s="180" t="s">
        <v>1228</v>
      </c>
      <c r="D922" s="181" t="str">
        <f>IFERROR(LOOKUP(2,1/((A_Corridor!$A$5:$A$204&lt;&gt;"")*(A_Corridor!$A$5:$A$204&lt;=$B922)*(A_Corridor!$B$5:$B$204&gt;$B922)*(A_Corridor!$C$5:$C$204&lt;&gt;"")),IF(UPPER(A_Corridor!$C$5:$C$204)="Y",1,"")),"")</f>
        <v/>
      </c>
      <c r="E922" s="181" t="str">
        <f>IFERROR(LOOKUP(2,1/((A_Corridor!$A$5:$A$204&lt;&gt;"")*(A_Corridor!$A$5:$A$204&lt;=$B922)*(A_Corridor!$B$5:$B$204&gt;$B922)*(A_Corridor!$D$5:$D$204&lt;&gt;"")),IF(A_Corridor!$D$5:$D$204="-","",UPPER(A_Corridor!$D$5:$D$204))),"")</f>
        <v/>
      </c>
      <c r="F922" s="181" t="str">
        <f>IFERROR(LOOKUP(2,1/((A_Corridor!$A$5:$A$204&lt;&gt;"")*(A_Corridor!$A$5:$A$204&lt;=$B922)*(A_Corridor!$B$5:$B$204&gt;$B922)*(A_Corridor!$E$5:$E$204&lt;&gt;"")),IF(A_Corridor!$E$5:$E$204="-","",1)),"")</f>
        <v/>
      </c>
      <c r="G922" s="182" t="str">
        <f>IFERROR(LOOKUP(2,1/((A_Corridor!$A$5:$A$204&lt;&gt;"")*(A_Corridor!$A$5:$A$204&lt;=$B922)*(A_Corridor!$B$5:$B$204&gt;$B922)*(A_Corridor!$E$5:$E$204&lt;&gt;"")),IF(A_Corridor!$E$5:$E$204="-","",A_Corridor!$E$5:$E$204)),"")</f>
        <v/>
      </c>
      <c r="H922" s="182" t="str">
        <f>IFERROR(LOOKUP(2,1/((D_Points!$A$5:$A$204&lt;&gt;"")*(D_Points!$A$5:$A$204&gt;=$B922)*(D_Points!$A$5:$A$204&lt;$B922+P_Interval)*(UPPER(TRIM(D_Points!$B$5:$B$204))="GULLY")*(D_Points!$H$5:$H$204&lt;&gt;"")),D_Points!$H$5:$H$204),"")</f>
        <v/>
      </c>
      <c r="I922" s="181" t="str">
        <f>IFERROR(LOOKUP(2,1/((A_Corridor!$A$5:$A$204&lt;&gt;"")*(A_Corridor!$A$5:$A$204&lt;=$B922)*(A_Corridor!$B$5:$B$204&gt;$B922)*(A_Corridor!$F$5:$F$204&lt;&gt;"")),IF(A_Corridor!$F$5:$F$204="-","",1)),"")</f>
        <v/>
      </c>
      <c r="J922" s="182" t="str">
        <f>IFERROR(LOOKUP(2,1/((A_Corridor!$A$5:$A$204&lt;&gt;"")*(A_Corridor!$A$5:$A$204&lt;=$B922)*(A_Corridor!$B$5:$B$204&gt;$B922)*(A_Corridor!$F$5:$F$204&lt;&gt;"")),IF(A_Corridor!$F$5:$F$204="-","",A_Corridor!$F$5:$F$204)),"")</f>
        <v/>
      </c>
      <c r="K922" s="182" t="str">
        <f>IFERROR(LOOKUP(2,1/((A_Corridor!$A$5:$A$204&lt;&gt;"")*(A_Corridor!$A$5:$A$204&lt;=$B922)*(A_Corridor!$B$5:$B$204&gt;$B922)*(A_Corridor!$G$5:$G$204&lt;&gt;"")),IF(A_Corridor!$G$5:$G$204="-","",A_Corridor!$G$5:$G$204)),"")</f>
        <v/>
      </c>
      <c r="L922" s="181" t="str">
        <f>IFERROR(LOOKUP(2,1/((A_Corridor!$A$5:$A$204&lt;&gt;"")*(A_Corridor!$A$5:$A$204&lt;=$B922)*(A_Corridor!$B$5:$B$204&gt;$B922)*(A_Corridor!$H$5:$H$204&lt;&gt;"")),IF(A_Corridor!$H$5:$H$204="-","",1)),"")</f>
        <v/>
      </c>
      <c r="M922" s="182" t="str">
        <f>IFERROR(LOOKUP(2,1/((A_Corridor!$A$5:$A$204&lt;&gt;"")*(A_Corridor!$A$5:$A$204&lt;=$B922)*(A_Corridor!$B$5:$B$204&gt;$B922)*(A_Corridor!$H$5:$H$204&lt;&gt;"")),IF(A_Corridor!$H$5:$H$204="-","",A_Corridor!$H$5:$H$204)),"")</f>
        <v/>
      </c>
      <c r="N922" s="182" t="str">
        <f>IFERROR(LOOKUP(2,1/((A_Corridor!$A$5:$A$204&lt;&gt;"")*(A_Corridor!$A$5:$A$204&lt;=$B922)*(A_Corridor!$B$5:$B$204&gt;$B922)*(A_Corridor!$I$5:$I$204&lt;&gt;"")),IF(A_Corridor!$I$5:$I$204="-","",A_Corridor!$I$5:$I$204)),"")</f>
        <v/>
      </c>
      <c r="O922" s="182" t="str">
        <f>IFERROR(LOOKUP(2,1/((D_Points!$A$5:$A$204&lt;&gt;"")*(D_Points!$A$5:$A$204&gt;=$B922)*(D_Points!$A$5:$A$204&lt;$B922+P_Interval)*(UPPER(TRIM(D_Points!$B$5:$B$204))="PITCHING")*(D_Points!$H$5:$H$204&lt;&gt;"")),D_Points!$H$5:$H$204),"")</f>
        <v/>
      </c>
      <c r="P922" s="181" t="str">
        <f>IFERROR(LOOKUP(2,1/((B_Drainage!$A$5:$A$204&lt;&gt;"")*(B_Drainage!$A$5:$A$204&lt;=$B922)*(B_Drainage!$B$5:$B$204&gt;$B922)*(B_Drainage!$C$5:$C$204&lt;&gt;"")),IF(B_Drainage!$C$5:$C$204="-","",UPPER(B_Drainage!$C$5:$C$204))),"")</f>
        <v/>
      </c>
      <c r="Q922" s="181" t="str">
        <f>IFERROR(LOOKUP(2,1/((B_Drainage!$A$5:$A$204&lt;&gt;"")*(B_Drainage!$A$5:$A$204&lt;=$B922)*(B_Drainage!$B$5:$B$204&gt;$B922)*(B_Drainage!$D$5:$D$204&lt;&gt;"")),IF(B_Drainage!$D$5:$D$204="-","",UPPER(B_Drainage!$D$5:$D$204))),"")</f>
        <v/>
      </c>
      <c r="R922" s="182" t="str">
        <f>IFERROR(LOOKUP(2,1/((D_Points!$A$5:$A$204&lt;&gt;"")*(D_Points!$A$5:$A$204&gt;=$B922)*(D_Points!$A$5:$A$204&lt;$B922+P_Interval)*(RIGHT(UPPER(TRIM(D_Points!$B$5:$B$204)),8)="_CULVERT")),IF(LEFT(UPPER(TRIM(D_Points!$B$5:$B$204)),2)="EX",1,IF(LEFT(UPPER(TRIM(D_Points!$B$5:$B$204)),2)="PR",2,3))),"")</f>
        <v/>
      </c>
      <c r="S922" s="182" t="str">
        <f>IFERROR(LOOKUP(2,1/((D_Points!$A$5:$A$204&lt;&gt;"")*(D_Points!$A$5:$A$204&gt;=$B922)*(D_Points!$A$5:$A$204&lt;$B922+P_Interval)*(RIGHT(UPPER(TRIM(D_Points!$B$5:$B$204)),7)="_BRIDGE")),IF(LEFT(UPPER(TRIM(D_Points!$B$5:$B$204)),2)="EX",1,IF(LEFT(UPPER(TRIM(D_Points!$B$5:$B$204)),2)="PR",2,2))),"")</f>
        <v/>
      </c>
      <c r="T922" s="181" t="str">
        <f>IFERROR(LOOKUP(2,1/((B_Drainage!$A$5:$A$204&lt;&gt;"")*(B_Drainage!$A$5:$A$204&lt;=$B922)*(B_Drainage!$B$5:$B$204&gt;$B922)*(B_Drainage!$E$5:$E$204&lt;&gt;"")),IF(B_Drainage!$E$5:$E$204="-","",1)),"")</f>
        <v/>
      </c>
      <c r="U922" s="181" t="str">
        <f>IFERROR(LOOKUP(2,1/((B_Drainage!$A$5:$A$204&lt;&gt;"")*(B_Drainage!$A$5:$A$204&lt;=$B922)*(B_Drainage!$B$5:$B$204&gt;$B922)*(B_Drainage!$E$5:$E$204&lt;&gt;"")),IF(B_Drainage!$E$5:$E$204="-","",B_Drainage!$E$5:$E$204)),"")</f>
        <v/>
      </c>
      <c r="V922" s="181" t="str">
        <f>IFERROR(LOOKUP(2,1/((B_Drainage!$A$5:$A$204&lt;&gt;"")*(B_Drainage!$A$5:$A$204&lt;=$B922)*(B_Drainage!$B$5:$B$204&gt;$B922)*(B_Drainage!$F$5:$F$204&lt;&gt;"")),IF(B_Drainage!$F$5:$F$204="-","",1)),"")</f>
        <v/>
      </c>
      <c r="W922" s="181" t="str">
        <f>IFERROR(LOOKUP(2,1/((B_Drainage!$A$5:$A$204&lt;&gt;"")*(B_Drainage!$A$5:$A$204&lt;=$B922)*(B_Drainage!$B$5:$B$204&gt;$B922)*(B_Drainage!$F$5:$F$204&lt;&gt;"")),IF(B_Drainage!$F$5:$F$204="-","",B_Drainage!$F$5:$F$204)),"")</f>
        <v/>
      </c>
      <c r="X922" s="181" t="str">
        <f>IFERROR(LOOKUP(2,1/((B_Drainage!$A$5:$A$204&lt;&gt;"")*(B_Drainage!$A$5:$A$204&lt;=$B922)*(B_Drainage!$B$5:$B$204&gt;$B922)*(B_Drainage!$G$5:$G$204&lt;&gt;"")),IF(UPPER(B_Drainage!$G$5:$G$204)="Y",1,"")),"")</f>
        <v/>
      </c>
      <c r="Y922" s="181" t="str">
        <f>IFERROR(LOOKUP(2,1/((B_Drainage!$A$5:$A$204&lt;&gt;"")*(B_Drainage!$A$5:$A$204&lt;=$B922)*(B_Drainage!$B$5:$B$204&gt;$B922)*(B_Drainage!$H$5:$H$204&lt;&gt;"")),IF(UPPER(B_Drainage!$H$5:$H$204)="Y",1,"")),"")</f>
        <v/>
      </c>
      <c r="Z922" s="181" t="str">
        <f>IFERROR(LOOKUP(2,1/((B_Drainage!$A$5:$A$204&lt;&gt;"")*(B_Drainage!$A$5:$A$204&lt;=$B922)*(B_Drainage!$B$5:$B$204&gt;$B922)*(B_Drainage!$I$5:$I$204&lt;&gt;"")),IF(UPPER(B_Drainage!$I$5:$I$204)="Y",1,"")),"")</f>
        <v/>
      </c>
      <c r="AA922" s="181" t="str">
        <f>IFERROR(LOOKUP(2,1/((B_Drainage!$A$5:$A$204&lt;&gt;"")*(B_Drainage!$A$5:$A$204&lt;=$B922)*(B_Drainage!$B$5:$B$204&gt;$B922)*(B_Drainage!$J$5:$J$204&lt;&gt;"")),IF(UPPER(B_Drainage!$J$5:$J$204)="Y",1,"")),"")</f>
        <v/>
      </c>
      <c r="AB922" s="182" t="str">
        <f>IFERROR(LOOKUP(2,1/((B_Drainage!$A$5:$A$204&lt;&gt;"")*(B_Drainage!$A$5:$A$204&lt;=$B922)*(B_Drainage!$B$5:$B$204&gt;$B922)*(B_Drainage!$K$5:$K$204&lt;&gt;"")),IF(B_Drainage!$K$5:$K$204="-","",B_Drainage!$K$5:$K$204)),"")</f>
        <v/>
      </c>
      <c r="AC922" s="182" t="str">
        <f>IFERROR(LOOKUP(2,1/((B_Drainage!$A$5:$A$204&lt;&gt;"")*(B_Drainage!$A$5:$A$204&lt;=$B922)*(B_Drainage!$B$5:$B$204&gt;$B922)*(B_Drainage!$L$5:$L$204&lt;&gt;"")),IF(B_Drainage!$L$5:$L$204="-","",B_Drainage!$L$5:$L$204)),"")</f>
        <v/>
      </c>
      <c r="AD922" s="182" t="str">
        <f>IFERROR(LOOKUP(2,1/((D_Points!$A$5:$A$204&lt;&gt;"")*(D_Points!$A$5:$A$204&gt;=$B922)*(D_Points!$A$5:$A$204&lt;$B922+P_Interval)*(UPPER(TRIM(D_Points!$B$5:$B$204))="TURNOUT_L")*(D_Points!$H$5:$H$204&lt;&gt;"")),D_Points!$H$5:$H$204),"")</f>
        <v/>
      </c>
      <c r="AE922" s="182" t="str">
        <f>IFERROR(LOOKUP(2,1/((D_Points!$A$5:$A$204&lt;&gt;"")*(D_Points!$A$5:$A$204&gt;=$B922)*(D_Points!$A$5:$A$204&lt;$B922+P_Interval)*(UPPER(TRIM(D_Points!$B$5:$B$204))="TURNOUT_R")*(D_Points!$H$5:$H$204&lt;&gt;"")),D_Points!$H$5:$H$204),"")</f>
        <v/>
      </c>
      <c r="AF922" s="181" t="str">
        <f>IFERROR(LOOKUP(2,1/((B_Drainage!$A$5:$A$204&lt;&gt;"")*(B_Drainage!$A$5:$A$204&lt;=$B922)*(B_Drainage!$B$5:$B$204&gt;$B922)*(B_Drainage!$M$5:$M$204&lt;&gt;"")),IF(UPPER(B_Drainage!$M$5:$M$204)="Y",1,"")),"")</f>
        <v/>
      </c>
      <c r="AG922" s="181" t="str">
        <f>IFERROR(LOOKUP(2,1/((B_Drainage!$A$5:$A$204&lt;&gt;"")*(B_Drainage!$A$5:$A$204&lt;=$B922)*(B_Drainage!$B$5:$B$204&gt;$B922)*(B_Drainage!$N$5:$N$204&lt;&gt;"")),IF(UPPER(B_Drainage!$N$5:$N$204)="Y",1,"")),"")</f>
        <v/>
      </c>
      <c r="AH922" s="181" t="str">
        <f t="shared" si="112"/>
        <v/>
      </c>
      <c r="AI922" s="181" t="str">
        <f t="shared" si="113"/>
        <v/>
      </c>
      <c r="AJ922" s="181" t="str">
        <f t="shared" si="114"/>
        <v/>
      </c>
      <c r="AK922" s="181" t="str">
        <f t="shared" si="115"/>
        <v/>
      </c>
      <c r="AL922" s="181" t="str">
        <f t="shared" si="116"/>
        <v/>
      </c>
      <c r="AM922" s="181" t="str">
        <f t="shared" si="117"/>
        <v/>
      </c>
      <c r="AN922" s="181" t="str">
        <f t="shared" si="118"/>
        <v/>
      </c>
      <c r="AO922" s="192" t="str">
        <f t="shared" si="119"/>
        <v/>
      </c>
      <c r="AQ922" t="str">
        <f>IFERROR(LOOKUP(2,1/((C_Pavement!$A$5:$A$204&lt;&gt;"")*(C_Pavement!$A$5:$A$204&lt;=$B922)*(C_Pavement!$B$5:$B$204&gt;$B922)*(C_Pavement!$C$5:$C$204&lt;&gt;"")),ROW(C_Pavement!$C$5:$C$204)-4),"")</f>
        <v/>
      </c>
      <c r="AR922" t="str">
        <f>IF($AQ922="","",UPPER(TRIM(INDEX(C_Pavement!$C$5:$C$204,$AQ922))))</f>
        <v/>
      </c>
      <c r="AS922" t="str">
        <f>IF($AR922="","",IFERROR(MATCH($AR922,E_Rules!$A$5:$A$9,0),""))</f>
        <v/>
      </c>
      <c r="AT922" t="str">
        <f>IF($AQ922="","",IF(INDEX(C_Pavement!$D$5:$D$204,$AQ922)&lt;&gt;"",UPPER(TRIM(INDEX(C_Pavement!$D$5:$D$204,$AQ922))),IF($AS922="","",INDEX(E_Rules!$C$5:$C$9,$AS922))))</f>
        <v/>
      </c>
      <c r="AU922" t="str">
        <f>IF($AQ922="","",IF(INDEX(C_Pavement!$E$5:$E$204,$AQ922)&lt;&gt;"",IF(INDEX(C_Pavement!$E$5:$E$204,$AQ922)="-","",INDEX(C_Pavement!$E$5:$E$204,$AQ922)),IF($AS922="","",INDEX(E_Rules!$D$5:$D$9,$AS922))))</f>
        <v/>
      </c>
      <c r="AV922" t="str">
        <f>IF($AQ922="","",IF(INDEX(C_Pavement!$F$5:$F$204,$AQ922)&lt;&gt;"",IF(INDEX(C_Pavement!$F$5:$F$204,$AQ922)="-","",INDEX(C_Pavement!$F$5:$F$204,$AQ922)),IF($AS922="","",INDEX(E_Rules!$E$5:$E$9,$AS922))))</f>
        <v/>
      </c>
      <c r="AW922" t="str">
        <f>IF($AQ922="","",IF(INDEX(C_Pavement!$G$5:$G$204,$AQ922)&lt;&gt;"",IF(INDEX(C_Pavement!$G$5:$G$204,$AQ922)="-","",INDEX(C_Pavement!$G$5:$G$204,$AQ922)),IF($AS922="","",INDEX(E_Rules!$F$5:$F$9,$AS922))))</f>
        <v/>
      </c>
      <c r="AX922" t="str">
        <f>IF($AQ922="","",IF(INDEX(C_Pavement!$H$5:$H$204,$AQ922)&lt;&gt;"",IF(INDEX(C_Pavement!$H$5:$H$204,$AQ922)="-","",INDEX(C_Pavement!$H$5:$H$204,$AQ922)),IF($AS922="","",INDEX(E_Rules!$G$5:$G$9,$AS922))))</f>
        <v/>
      </c>
      <c r="AY922" t="str">
        <f>IF($AQ922="","",IF(INDEX(C_Pavement!$I$5:$I$204,$AQ922)&lt;&gt;"",IF(INDEX(C_Pavement!$I$5:$I$204,$AQ922)="-","",INDEX(C_Pavement!$I$5:$I$204,$AQ922)),IF($AS922="","",INDEX(E_Rules!$H$5:$H$9,$AS922))))</f>
        <v/>
      </c>
    </row>
    <row r="923" spans="1:51" ht="15.75" customHeight="1" x14ac:dyDescent="0.3">
      <c r="A923" s="189">
        <v>918</v>
      </c>
      <c r="B923" s="180">
        <v>45850</v>
      </c>
      <c r="C923" s="180" t="s">
        <v>1229</v>
      </c>
      <c r="D923" s="181" t="str">
        <f>IFERROR(LOOKUP(2,1/((A_Corridor!$A$5:$A$204&lt;&gt;"")*(A_Corridor!$A$5:$A$204&lt;=$B923)*(A_Corridor!$B$5:$B$204&gt;$B923)*(A_Corridor!$C$5:$C$204&lt;&gt;"")),IF(UPPER(A_Corridor!$C$5:$C$204)="Y",1,"")),"")</f>
        <v/>
      </c>
      <c r="E923" s="181" t="str">
        <f>IFERROR(LOOKUP(2,1/((A_Corridor!$A$5:$A$204&lt;&gt;"")*(A_Corridor!$A$5:$A$204&lt;=$B923)*(A_Corridor!$B$5:$B$204&gt;$B923)*(A_Corridor!$D$5:$D$204&lt;&gt;"")),IF(A_Corridor!$D$5:$D$204="-","",UPPER(A_Corridor!$D$5:$D$204))),"")</f>
        <v/>
      </c>
      <c r="F923" s="181" t="str">
        <f>IFERROR(LOOKUP(2,1/((A_Corridor!$A$5:$A$204&lt;&gt;"")*(A_Corridor!$A$5:$A$204&lt;=$B923)*(A_Corridor!$B$5:$B$204&gt;$B923)*(A_Corridor!$E$5:$E$204&lt;&gt;"")),IF(A_Corridor!$E$5:$E$204="-","",1)),"")</f>
        <v/>
      </c>
      <c r="G923" s="182" t="str">
        <f>IFERROR(LOOKUP(2,1/((A_Corridor!$A$5:$A$204&lt;&gt;"")*(A_Corridor!$A$5:$A$204&lt;=$B923)*(A_Corridor!$B$5:$B$204&gt;$B923)*(A_Corridor!$E$5:$E$204&lt;&gt;"")),IF(A_Corridor!$E$5:$E$204="-","",A_Corridor!$E$5:$E$204)),"")</f>
        <v/>
      </c>
      <c r="H923" s="182" t="str">
        <f>IFERROR(LOOKUP(2,1/((D_Points!$A$5:$A$204&lt;&gt;"")*(D_Points!$A$5:$A$204&gt;=$B923)*(D_Points!$A$5:$A$204&lt;$B923+P_Interval)*(UPPER(TRIM(D_Points!$B$5:$B$204))="GULLY")*(D_Points!$H$5:$H$204&lt;&gt;"")),D_Points!$H$5:$H$204),"")</f>
        <v/>
      </c>
      <c r="I923" s="181" t="str">
        <f>IFERROR(LOOKUP(2,1/((A_Corridor!$A$5:$A$204&lt;&gt;"")*(A_Corridor!$A$5:$A$204&lt;=$B923)*(A_Corridor!$B$5:$B$204&gt;$B923)*(A_Corridor!$F$5:$F$204&lt;&gt;"")),IF(A_Corridor!$F$5:$F$204="-","",1)),"")</f>
        <v/>
      </c>
      <c r="J923" s="182" t="str">
        <f>IFERROR(LOOKUP(2,1/((A_Corridor!$A$5:$A$204&lt;&gt;"")*(A_Corridor!$A$5:$A$204&lt;=$B923)*(A_Corridor!$B$5:$B$204&gt;$B923)*(A_Corridor!$F$5:$F$204&lt;&gt;"")),IF(A_Corridor!$F$5:$F$204="-","",A_Corridor!$F$5:$F$204)),"")</f>
        <v/>
      </c>
      <c r="K923" s="182" t="str">
        <f>IFERROR(LOOKUP(2,1/((A_Corridor!$A$5:$A$204&lt;&gt;"")*(A_Corridor!$A$5:$A$204&lt;=$B923)*(A_Corridor!$B$5:$B$204&gt;$B923)*(A_Corridor!$G$5:$G$204&lt;&gt;"")),IF(A_Corridor!$G$5:$G$204="-","",A_Corridor!$G$5:$G$204)),"")</f>
        <v/>
      </c>
      <c r="L923" s="181" t="str">
        <f>IFERROR(LOOKUP(2,1/((A_Corridor!$A$5:$A$204&lt;&gt;"")*(A_Corridor!$A$5:$A$204&lt;=$B923)*(A_Corridor!$B$5:$B$204&gt;$B923)*(A_Corridor!$H$5:$H$204&lt;&gt;"")),IF(A_Corridor!$H$5:$H$204="-","",1)),"")</f>
        <v/>
      </c>
      <c r="M923" s="182" t="str">
        <f>IFERROR(LOOKUP(2,1/((A_Corridor!$A$5:$A$204&lt;&gt;"")*(A_Corridor!$A$5:$A$204&lt;=$B923)*(A_Corridor!$B$5:$B$204&gt;$B923)*(A_Corridor!$H$5:$H$204&lt;&gt;"")),IF(A_Corridor!$H$5:$H$204="-","",A_Corridor!$H$5:$H$204)),"")</f>
        <v/>
      </c>
      <c r="N923" s="182" t="str">
        <f>IFERROR(LOOKUP(2,1/((A_Corridor!$A$5:$A$204&lt;&gt;"")*(A_Corridor!$A$5:$A$204&lt;=$B923)*(A_Corridor!$B$5:$B$204&gt;$B923)*(A_Corridor!$I$5:$I$204&lt;&gt;"")),IF(A_Corridor!$I$5:$I$204="-","",A_Corridor!$I$5:$I$204)),"")</f>
        <v/>
      </c>
      <c r="O923" s="182" t="str">
        <f>IFERROR(LOOKUP(2,1/((D_Points!$A$5:$A$204&lt;&gt;"")*(D_Points!$A$5:$A$204&gt;=$B923)*(D_Points!$A$5:$A$204&lt;$B923+P_Interval)*(UPPER(TRIM(D_Points!$B$5:$B$204))="PITCHING")*(D_Points!$H$5:$H$204&lt;&gt;"")),D_Points!$H$5:$H$204),"")</f>
        <v/>
      </c>
      <c r="P923" s="181" t="str">
        <f>IFERROR(LOOKUP(2,1/((B_Drainage!$A$5:$A$204&lt;&gt;"")*(B_Drainage!$A$5:$A$204&lt;=$B923)*(B_Drainage!$B$5:$B$204&gt;$B923)*(B_Drainage!$C$5:$C$204&lt;&gt;"")),IF(B_Drainage!$C$5:$C$204="-","",UPPER(B_Drainage!$C$5:$C$204))),"")</f>
        <v/>
      </c>
      <c r="Q923" s="181" t="str">
        <f>IFERROR(LOOKUP(2,1/((B_Drainage!$A$5:$A$204&lt;&gt;"")*(B_Drainage!$A$5:$A$204&lt;=$B923)*(B_Drainage!$B$5:$B$204&gt;$B923)*(B_Drainage!$D$5:$D$204&lt;&gt;"")),IF(B_Drainage!$D$5:$D$204="-","",UPPER(B_Drainage!$D$5:$D$204))),"")</f>
        <v/>
      </c>
      <c r="R923" s="182" t="str">
        <f>IFERROR(LOOKUP(2,1/((D_Points!$A$5:$A$204&lt;&gt;"")*(D_Points!$A$5:$A$204&gt;=$B923)*(D_Points!$A$5:$A$204&lt;$B923+P_Interval)*(RIGHT(UPPER(TRIM(D_Points!$B$5:$B$204)),8)="_CULVERT")),IF(LEFT(UPPER(TRIM(D_Points!$B$5:$B$204)),2)="EX",1,IF(LEFT(UPPER(TRIM(D_Points!$B$5:$B$204)),2)="PR",2,3))),"")</f>
        <v/>
      </c>
      <c r="S923" s="182" t="str">
        <f>IFERROR(LOOKUP(2,1/((D_Points!$A$5:$A$204&lt;&gt;"")*(D_Points!$A$5:$A$204&gt;=$B923)*(D_Points!$A$5:$A$204&lt;$B923+P_Interval)*(RIGHT(UPPER(TRIM(D_Points!$B$5:$B$204)),7)="_BRIDGE")),IF(LEFT(UPPER(TRIM(D_Points!$B$5:$B$204)),2)="EX",1,IF(LEFT(UPPER(TRIM(D_Points!$B$5:$B$204)),2)="PR",2,2))),"")</f>
        <v/>
      </c>
      <c r="T923" s="181" t="str">
        <f>IFERROR(LOOKUP(2,1/((B_Drainage!$A$5:$A$204&lt;&gt;"")*(B_Drainage!$A$5:$A$204&lt;=$B923)*(B_Drainage!$B$5:$B$204&gt;$B923)*(B_Drainage!$E$5:$E$204&lt;&gt;"")),IF(B_Drainage!$E$5:$E$204="-","",1)),"")</f>
        <v/>
      </c>
      <c r="U923" s="181" t="str">
        <f>IFERROR(LOOKUP(2,1/((B_Drainage!$A$5:$A$204&lt;&gt;"")*(B_Drainage!$A$5:$A$204&lt;=$B923)*(B_Drainage!$B$5:$B$204&gt;$B923)*(B_Drainage!$E$5:$E$204&lt;&gt;"")),IF(B_Drainage!$E$5:$E$204="-","",B_Drainage!$E$5:$E$204)),"")</f>
        <v/>
      </c>
      <c r="V923" s="181" t="str">
        <f>IFERROR(LOOKUP(2,1/((B_Drainage!$A$5:$A$204&lt;&gt;"")*(B_Drainage!$A$5:$A$204&lt;=$B923)*(B_Drainage!$B$5:$B$204&gt;$B923)*(B_Drainage!$F$5:$F$204&lt;&gt;"")),IF(B_Drainage!$F$5:$F$204="-","",1)),"")</f>
        <v/>
      </c>
      <c r="W923" s="181" t="str">
        <f>IFERROR(LOOKUP(2,1/((B_Drainage!$A$5:$A$204&lt;&gt;"")*(B_Drainage!$A$5:$A$204&lt;=$B923)*(B_Drainage!$B$5:$B$204&gt;$B923)*(B_Drainage!$F$5:$F$204&lt;&gt;"")),IF(B_Drainage!$F$5:$F$204="-","",B_Drainage!$F$5:$F$204)),"")</f>
        <v/>
      </c>
      <c r="X923" s="181" t="str">
        <f>IFERROR(LOOKUP(2,1/((B_Drainage!$A$5:$A$204&lt;&gt;"")*(B_Drainage!$A$5:$A$204&lt;=$B923)*(B_Drainage!$B$5:$B$204&gt;$B923)*(B_Drainage!$G$5:$G$204&lt;&gt;"")),IF(UPPER(B_Drainage!$G$5:$G$204)="Y",1,"")),"")</f>
        <v/>
      </c>
      <c r="Y923" s="181" t="str">
        <f>IFERROR(LOOKUP(2,1/((B_Drainage!$A$5:$A$204&lt;&gt;"")*(B_Drainage!$A$5:$A$204&lt;=$B923)*(B_Drainage!$B$5:$B$204&gt;$B923)*(B_Drainage!$H$5:$H$204&lt;&gt;"")),IF(UPPER(B_Drainage!$H$5:$H$204)="Y",1,"")),"")</f>
        <v/>
      </c>
      <c r="Z923" s="181" t="str">
        <f>IFERROR(LOOKUP(2,1/((B_Drainage!$A$5:$A$204&lt;&gt;"")*(B_Drainage!$A$5:$A$204&lt;=$B923)*(B_Drainage!$B$5:$B$204&gt;$B923)*(B_Drainage!$I$5:$I$204&lt;&gt;"")),IF(UPPER(B_Drainage!$I$5:$I$204)="Y",1,"")),"")</f>
        <v/>
      </c>
      <c r="AA923" s="181" t="str">
        <f>IFERROR(LOOKUP(2,1/((B_Drainage!$A$5:$A$204&lt;&gt;"")*(B_Drainage!$A$5:$A$204&lt;=$B923)*(B_Drainage!$B$5:$B$204&gt;$B923)*(B_Drainage!$J$5:$J$204&lt;&gt;"")),IF(UPPER(B_Drainage!$J$5:$J$204)="Y",1,"")),"")</f>
        <v/>
      </c>
      <c r="AB923" s="182" t="str">
        <f>IFERROR(LOOKUP(2,1/((B_Drainage!$A$5:$A$204&lt;&gt;"")*(B_Drainage!$A$5:$A$204&lt;=$B923)*(B_Drainage!$B$5:$B$204&gt;$B923)*(B_Drainage!$K$5:$K$204&lt;&gt;"")),IF(B_Drainage!$K$5:$K$204="-","",B_Drainage!$K$5:$K$204)),"")</f>
        <v/>
      </c>
      <c r="AC923" s="182" t="str">
        <f>IFERROR(LOOKUP(2,1/((B_Drainage!$A$5:$A$204&lt;&gt;"")*(B_Drainage!$A$5:$A$204&lt;=$B923)*(B_Drainage!$B$5:$B$204&gt;$B923)*(B_Drainage!$L$5:$L$204&lt;&gt;"")),IF(B_Drainage!$L$5:$L$204="-","",B_Drainage!$L$5:$L$204)),"")</f>
        <v/>
      </c>
      <c r="AD923" s="182" t="str">
        <f>IFERROR(LOOKUP(2,1/((D_Points!$A$5:$A$204&lt;&gt;"")*(D_Points!$A$5:$A$204&gt;=$B923)*(D_Points!$A$5:$A$204&lt;$B923+P_Interval)*(UPPER(TRIM(D_Points!$B$5:$B$204))="TURNOUT_L")*(D_Points!$H$5:$H$204&lt;&gt;"")),D_Points!$H$5:$H$204),"")</f>
        <v/>
      </c>
      <c r="AE923" s="182" t="str">
        <f>IFERROR(LOOKUP(2,1/((D_Points!$A$5:$A$204&lt;&gt;"")*(D_Points!$A$5:$A$204&gt;=$B923)*(D_Points!$A$5:$A$204&lt;$B923+P_Interval)*(UPPER(TRIM(D_Points!$B$5:$B$204))="TURNOUT_R")*(D_Points!$H$5:$H$204&lt;&gt;"")),D_Points!$H$5:$H$204),"")</f>
        <v/>
      </c>
      <c r="AF923" s="181" t="str">
        <f>IFERROR(LOOKUP(2,1/((B_Drainage!$A$5:$A$204&lt;&gt;"")*(B_Drainage!$A$5:$A$204&lt;=$B923)*(B_Drainage!$B$5:$B$204&gt;$B923)*(B_Drainage!$M$5:$M$204&lt;&gt;"")),IF(UPPER(B_Drainage!$M$5:$M$204)="Y",1,"")),"")</f>
        <v/>
      </c>
      <c r="AG923" s="181" t="str">
        <f>IFERROR(LOOKUP(2,1/((B_Drainage!$A$5:$A$204&lt;&gt;"")*(B_Drainage!$A$5:$A$204&lt;=$B923)*(B_Drainage!$B$5:$B$204&gt;$B923)*(B_Drainage!$N$5:$N$204&lt;&gt;"")),IF(UPPER(B_Drainage!$N$5:$N$204)="Y",1,"")),"")</f>
        <v/>
      </c>
      <c r="AH923" s="181" t="str">
        <f t="shared" si="112"/>
        <v/>
      </c>
      <c r="AI923" s="181" t="str">
        <f t="shared" si="113"/>
        <v/>
      </c>
      <c r="AJ923" s="181" t="str">
        <f t="shared" si="114"/>
        <v/>
      </c>
      <c r="AK923" s="181" t="str">
        <f t="shared" si="115"/>
        <v/>
      </c>
      <c r="AL923" s="181" t="str">
        <f t="shared" si="116"/>
        <v/>
      </c>
      <c r="AM923" s="181" t="str">
        <f t="shared" si="117"/>
        <v/>
      </c>
      <c r="AN923" s="181" t="str">
        <f t="shared" si="118"/>
        <v/>
      </c>
      <c r="AO923" s="192" t="str">
        <f t="shared" si="119"/>
        <v/>
      </c>
      <c r="AQ923" t="str">
        <f>IFERROR(LOOKUP(2,1/((C_Pavement!$A$5:$A$204&lt;&gt;"")*(C_Pavement!$A$5:$A$204&lt;=$B923)*(C_Pavement!$B$5:$B$204&gt;$B923)*(C_Pavement!$C$5:$C$204&lt;&gt;"")),ROW(C_Pavement!$C$5:$C$204)-4),"")</f>
        <v/>
      </c>
      <c r="AR923" t="str">
        <f>IF($AQ923="","",UPPER(TRIM(INDEX(C_Pavement!$C$5:$C$204,$AQ923))))</f>
        <v/>
      </c>
      <c r="AS923" t="str">
        <f>IF($AR923="","",IFERROR(MATCH($AR923,E_Rules!$A$5:$A$9,0),""))</f>
        <v/>
      </c>
      <c r="AT923" t="str">
        <f>IF($AQ923="","",IF(INDEX(C_Pavement!$D$5:$D$204,$AQ923)&lt;&gt;"",UPPER(TRIM(INDEX(C_Pavement!$D$5:$D$204,$AQ923))),IF($AS923="","",INDEX(E_Rules!$C$5:$C$9,$AS923))))</f>
        <v/>
      </c>
      <c r="AU923" t="str">
        <f>IF($AQ923="","",IF(INDEX(C_Pavement!$E$5:$E$204,$AQ923)&lt;&gt;"",IF(INDEX(C_Pavement!$E$5:$E$204,$AQ923)="-","",INDEX(C_Pavement!$E$5:$E$204,$AQ923)),IF($AS923="","",INDEX(E_Rules!$D$5:$D$9,$AS923))))</f>
        <v/>
      </c>
      <c r="AV923" t="str">
        <f>IF($AQ923="","",IF(INDEX(C_Pavement!$F$5:$F$204,$AQ923)&lt;&gt;"",IF(INDEX(C_Pavement!$F$5:$F$204,$AQ923)="-","",INDEX(C_Pavement!$F$5:$F$204,$AQ923)),IF($AS923="","",INDEX(E_Rules!$E$5:$E$9,$AS923))))</f>
        <v/>
      </c>
      <c r="AW923" t="str">
        <f>IF($AQ923="","",IF(INDEX(C_Pavement!$G$5:$G$204,$AQ923)&lt;&gt;"",IF(INDEX(C_Pavement!$G$5:$G$204,$AQ923)="-","",INDEX(C_Pavement!$G$5:$G$204,$AQ923)),IF($AS923="","",INDEX(E_Rules!$F$5:$F$9,$AS923))))</f>
        <v/>
      </c>
      <c r="AX923" t="str">
        <f>IF($AQ923="","",IF(INDEX(C_Pavement!$H$5:$H$204,$AQ923)&lt;&gt;"",IF(INDEX(C_Pavement!$H$5:$H$204,$AQ923)="-","",INDEX(C_Pavement!$H$5:$H$204,$AQ923)),IF($AS923="","",INDEX(E_Rules!$G$5:$G$9,$AS923))))</f>
        <v/>
      </c>
      <c r="AY923" t="str">
        <f>IF($AQ923="","",IF(INDEX(C_Pavement!$I$5:$I$204,$AQ923)&lt;&gt;"",IF(INDEX(C_Pavement!$I$5:$I$204,$AQ923)="-","",INDEX(C_Pavement!$I$5:$I$204,$AQ923)),IF($AS923="","",INDEX(E_Rules!$H$5:$H$9,$AS923))))</f>
        <v/>
      </c>
    </row>
    <row r="924" spans="1:51" ht="15.75" customHeight="1" x14ac:dyDescent="0.3">
      <c r="A924" s="189">
        <v>919</v>
      </c>
      <c r="B924" s="180">
        <v>45900</v>
      </c>
      <c r="C924" s="180" t="s">
        <v>1230</v>
      </c>
      <c r="D924" s="181" t="str">
        <f>IFERROR(LOOKUP(2,1/((A_Corridor!$A$5:$A$204&lt;&gt;"")*(A_Corridor!$A$5:$A$204&lt;=$B924)*(A_Corridor!$B$5:$B$204&gt;$B924)*(A_Corridor!$C$5:$C$204&lt;&gt;"")),IF(UPPER(A_Corridor!$C$5:$C$204)="Y",1,"")),"")</f>
        <v/>
      </c>
      <c r="E924" s="181" t="str">
        <f>IFERROR(LOOKUP(2,1/((A_Corridor!$A$5:$A$204&lt;&gt;"")*(A_Corridor!$A$5:$A$204&lt;=$B924)*(A_Corridor!$B$5:$B$204&gt;$B924)*(A_Corridor!$D$5:$D$204&lt;&gt;"")),IF(A_Corridor!$D$5:$D$204="-","",UPPER(A_Corridor!$D$5:$D$204))),"")</f>
        <v/>
      </c>
      <c r="F924" s="181" t="str">
        <f>IFERROR(LOOKUP(2,1/((A_Corridor!$A$5:$A$204&lt;&gt;"")*(A_Corridor!$A$5:$A$204&lt;=$B924)*(A_Corridor!$B$5:$B$204&gt;$B924)*(A_Corridor!$E$5:$E$204&lt;&gt;"")),IF(A_Corridor!$E$5:$E$204="-","",1)),"")</f>
        <v/>
      </c>
      <c r="G924" s="182" t="str">
        <f>IFERROR(LOOKUP(2,1/((A_Corridor!$A$5:$A$204&lt;&gt;"")*(A_Corridor!$A$5:$A$204&lt;=$B924)*(A_Corridor!$B$5:$B$204&gt;$B924)*(A_Corridor!$E$5:$E$204&lt;&gt;"")),IF(A_Corridor!$E$5:$E$204="-","",A_Corridor!$E$5:$E$204)),"")</f>
        <v/>
      </c>
      <c r="H924" s="182" t="str">
        <f>IFERROR(LOOKUP(2,1/((D_Points!$A$5:$A$204&lt;&gt;"")*(D_Points!$A$5:$A$204&gt;=$B924)*(D_Points!$A$5:$A$204&lt;$B924+P_Interval)*(UPPER(TRIM(D_Points!$B$5:$B$204))="GULLY")*(D_Points!$H$5:$H$204&lt;&gt;"")),D_Points!$H$5:$H$204),"")</f>
        <v/>
      </c>
      <c r="I924" s="181" t="str">
        <f>IFERROR(LOOKUP(2,1/((A_Corridor!$A$5:$A$204&lt;&gt;"")*(A_Corridor!$A$5:$A$204&lt;=$B924)*(A_Corridor!$B$5:$B$204&gt;$B924)*(A_Corridor!$F$5:$F$204&lt;&gt;"")),IF(A_Corridor!$F$5:$F$204="-","",1)),"")</f>
        <v/>
      </c>
      <c r="J924" s="182" t="str">
        <f>IFERROR(LOOKUP(2,1/((A_Corridor!$A$5:$A$204&lt;&gt;"")*(A_Corridor!$A$5:$A$204&lt;=$B924)*(A_Corridor!$B$5:$B$204&gt;$B924)*(A_Corridor!$F$5:$F$204&lt;&gt;"")),IF(A_Corridor!$F$5:$F$204="-","",A_Corridor!$F$5:$F$204)),"")</f>
        <v/>
      </c>
      <c r="K924" s="182" t="str">
        <f>IFERROR(LOOKUP(2,1/((A_Corridor!$A$5:$A$204&lt;&gt;"")*(A_Corridor!$A$5:$A$204&lt;=$B924)*(A_Corridor!$B$5:$B$204&gt;$B924)*(A_Corridor!$G$5:$G$204&lt;&gt;"")),IF(A_Corridor!$G$5:$G$204="-","",A_Corridor!$G$5:$G$204)),"")</f>
        <v/>
      </c>
      <c r="L924" s="181" t="str">
        <f>IFERROR(LOOKUP(2,1/((A_Corridor!$A$5:$A$204&lt;&gt;"")*(A_Corridor!$A$5:$A$204&lt;=$B924)*(A_Corridor!$B$5:$B$204&gt;$B924)*(A_Corridor!$H$5:$H$204&lt;&gt;"")),IF(A_Corridor!$H$5:$H$204="-","",1)),"")</f>
        <v/>
      </c>
      <c r="M924" s="182" t="str">
        <f>IFERROR(LOOKUP(2,1/((A_Corridor!$A$5:$A$204&lt;&gt;"")*(A_Corridor!$A$5:$A$204&lt;=$B924)*(A_Corridor!$B$5:$B$204&gt;$B924)*(A_Corridor!$H$5:$H$204&lt;&gt;"")),IF(A_Corridor!$H$5:$H$204="-","",A_Corridor!$H$5:$H$204)),"")</f>
        <v/>
      </c>
      <c r="N924" s="182" t="str">
        <f>IFERROR(LOOKUP(2,1/((A_Corridor!$A$5:$A$204&lt;&gt;"")*(A_Corridor!$A$5:$A$204&lt;=$B924)*(A_Corridor!$B$5:$B$204&gt;$B924)*(A_Corridor!$I$5:$I$204&lt;&gt;"")),IF(A_Corridor!$I$5:$I$204="-","",A_Corridor!$I$5:$I$204)),"")</f>
        <v/>
      </c>
      <c r="O924" s="182" t="str">
        <f>IFERROR(LOOKUP(2,1/((D_Points!$A$5:$A$204&lt;&gt;"")*(D_Points!$A$5:$A$204&gt;=$B924)*(D_Points!$A$5:$A$204&lt;$B924+P_Interval)*(UPPER(TRIM(D_Points!$B$5:$B$204))="PITCHING")*(D_Points!$H$5:$H$204&lt;&gt;"")),D_Points!$H$5:$H$204),"")</f>
        <v/>
      </c>
      <c r="P924" s="181" t="str">
        <f>IFERROR(LOOKUP(2,1/((B_Drainage!$A$5:$A$204&lt;&gt;"")*(B_Drainage!$A$5:$A$204&lt;=$B924)*(B_Drainage!$B$5:$B$204&gt;$B924)*(B_Drainage!$C$5:$C$204&lt;&gt;"")),IF(B_Drainage!$C$5:$C$204="-","",UPPER(B_Drainage!$C$5:$C$204))),"")</f>
        <v/>
      </c>
      <c r="Q924" s="181" t="str">
        <f>IFERROR(LOOKUP(2,1/((B_Drainage!$A$5:$A$204&lt;&gt;"")*(B_Drainage!$A$5:$A$204&lt;=$B924)*(B_Drainage!$B$5:$B$204&gt;$B924)*(B_Drainage!$D$5:$D$204&lt;&gt;"")),IF(B_Drainage!$D$5:$D$204="-","",UPPER(B_Drainage!$D$5:$D$204))),"")</f>
        <v/>
      </c>
      <c r="R924" s="182" t="str">
        <f>IFERROR(LOOKUP(2,1/((D_Points!$A$5:$A$204&lt;&gt;"")*(D_Points!$A$5:$A$204&gt;=$B924)*(D_Points!$A$5:$A$204&lt;$B924+P_Interval)*(RIGHT(UPPER(TRIM(D_Points!$B$5:$B$204)),8)="_CULVERT")),IF(LEFT(UPPER(TRIM(D_Points!$B$5:$B$204)),2)="EX",1,IF(LEFT(UPPER(TRIM(D_Points!$B$5:$B$204)),2)="PR",2,3))),"")</f>
        <v/>
      </c>
      <c r="S924" s="182" t="str">
        <f>IFERROR(LOOKUP(2,1/((D_Points!$A$5:$A$204&lt;&gt;"")*(D_Points!$A$5:$A$204&gt;=$B924)*(D_Points!$A$5:$A$204&lt;$B924+P_Interval)*(RIGHT(UPPER(TRIM(D_Points!$B$5:$B$204)),7)="_BRIDGE")),IF(LEFT(UPPER(TRIM(D_Points!$B$5:$B$204)),2)="EX",1,IF(LEFT(UPPER(TRIM(D_Points!$B$5:$B$204)),2)="PR",2,2))),"")</f>
        <v/>
      </c>
      <c r="T924" s="181" t="str">
        <f>IFERROR(LOOKUP(2,1/((B_Drainage!$A$5:$A$204&lt;&gt;"")*(B_Drainage!$A$5:$A$204&lt;=$B924)*(B_Drainage!$B$5:$B$204&gt;$B924)*(B_Drainage!$E$5:$E$204&lt;&gt;"")),IF(B_Drainage!$E$5:$E$204="-","",1)),"")</f>
        <v/>
      </c>
      <c r="U924" s="181" t="str">
        <f>IFERROR(LOOKUP(2,1/((B_Drainage!$A$5:$A$204&lt;&gt;"")*(B_Drainage!$A$5:$A$204&lt;=$B924)*(B_Drainage!$B$5:$B$204&gt;$B924)*(B_Drainage!$E$5:$E$204&lt;&gt;"")),IF(B_Drainage!$E$5:$E$204="-","",B_Drainage!$E$5:$E$204)),"")</f>
        <v/>
      </c>
      <c r="V924" s="181" t="str">
        <f>IFERROR(LOOKUP(2,1/((B_Drainage!$A$5:$A$204&lt;&gt;"")*(B_Drainage!$A$5:$A$204&lt;=$B924)*(B_Drainage!$B$5:$B$204&gt;$B924)*(B_Drainage!$F$5:$F$204&lt;&gt;"")),IF(B_Drainage!$F$5:$F$204="-","",1)),"")</f>
        <v/>
      </c>
      <c r="W924" s="181" t="str">
        <f>IFERROR(LOOKUP(2,1/((B_Drainage!$A$5:$A$204&lt;&gt;"")*(B_Drainage!$A$5:$A$204&lt;=$B924)*(B_Drainage!$B$5:$B$204&gt;$B924)*(B_Drainage!$F$5:$F$204&lt;&gt;"")),IF(B_Drainage!$F$5:$F$204="-","",B_Drainage!$F$5:$F$204)),"")</f>
        <v/>
      </c>
      <c r="X924" s="181" t="str">
        <f>IFERROR(LOOKUP(2,1/((B_Drainage!$A$5:$A$204&lt;&gt;"")*(B_Drainage!$A$5:$A$204&lt;=$B924)*(B_Drainage!$B$5:$B$204&gt;$B924)*(B_Drainage!$G$5:$G$204&lt;&gt;"")),IF(UPPER(B_Drainage!$G$5:$G$204)="Y",1,"")),"")</f>
        <v/>
      </c>
      <c r="Y924" s="181" t="str">
        <f>IFERROR(LOOKUP(2,1/((B_Drainage!$A$5:$A$204&lt;&gt;"")*(B_Drainage!$A$5:$A$204&lt;=$B924)*(B_Drainage!$B$5:$B$204&gt;$B924)*(B_Drainage!$H$5:$H$204&lt;&gt;"")),IF(UPPER(B_Drainage!$H$5:$H$204)="Y",1,"")),"")</f>
        <v/>
      </c>
      <c r="Z924" s="181" t="str">
        <f>IFERROR(LOOKUP(2,1/((B_Drainage!$A$5:$A$204&lt;&gt;"")*(B_Drainage!$A$5:$A$204&lt;=$B924)*(B_Drainage!$B$5:$B$204&gt;$B924)*(B_Drainage!$I$5:$I$204&lt;&gt;"")),IF(UPPER(B_Drainage!$I$5:$I$204)="Y",1,"")),"")</f>
        <v/>
      </c>
      <c r="AA924" s="181" t="str">
        <f>IFERROR(LOOKUP(2,1/((B_Drainage!$A$5:$A$204&lt;&gt;"")*(B_Drainage!$A$5:$A$204&lt;=$B924)*(B_Drainage!$B$5:$B$204&gt;$B924)*(B_Drainage!$J$5:$J$204&lt;&gt;"")),IF(UPPER(B_Drainage!$J$5:$J$204)="Y",1,"")),"")</f>
        <v/>
      </c>
      <c r="AB924" s="182" t="str">
        <f>IFERROR(LOOKUP(2,1/((B_Drainage!$A$5:$A$204&lt;&gt;"")*(B_Drainage!$A$5:$A$204&lt;=$B924)*(B_Drainage!$B$5:$B$204&gt;$B924)*(B_Drainage!$K$5:$K$204&lt;&gt;"")),IF(B_Drainage!$K$5:$K$204="-","",B_Drainage!$K$5:$K$204)),"")</f>
        <v/>
      </c>
      <c r="AC924" s="182" t="str">
        <f>IFERROR(LOOKUP(2,1/((B_Drainage!$A$5:$A$204&lt;&gt;"")*(B_Drainage!$A$5:$A$204&lt;=$B924)*(B_Drainage!$B$5:$B$204&gt;$B924)*(B_Drainage!$L$5:$L$204&lt;&gt;"")),IF(B_Drainage!$L$5:$L$204="-","",B_Drainage!$L$5:$L$204)),"")</f>
        <v/>
      </c>
      <c r="AD924" s="182" t="str">
        <f>IFERROR(LOOKUP(2,1/((D_Points!$A$5:$A$204&lt;&gt;"")*(D_Points!$A$5:$A$204&gt;=$B924)*(D_Points!$A$5:$A$204&lt;$B924+P_Interval)*(UPPER(TRIM(D_Points!$B$5:$B$204))="TURNOUT_L")*(D_Points!$H$5:$H$204&lt;&gt;"")),D_Points!$H$5:$H$204),"")</f>
        <v/>
      </c>
      <c r="AE924" s="182" t="str">
        <f>IFERROR(LOOKUP(2,1/((D_Points!$A$5:$A$204&lt;&gt;"")*(D_Points!$A$5:$A$204&gt;=$B924)*(D_Points!$A$5:$A$204&lt;$B924+P_Interval)*(UPPER(TRIM(D_Points!$B$5:$B$204))="TURNOUT_R")*(D_Points!$H$5:$H$204&lt;&gt;"")),D_Points!$H$5:$H$204),"")</f>
        <v/>
      </c>
      <c r="AF924" s="181" t="str">
        <f>IFERROR(LOOKUP(2,1/((B_Drainage!$A$5:$A$204&lt;&gt;"")*(B_Drainage!$A$5:$A$204&lt;=$B924)*(B_Drainage!$B$5:$B$204&gt;$B924)*(B_Drainage!$M$5:$M$204&lt;&gt;"")),IF(UPPER(B_Drainage!$M$5:$M$204)="Y",1,"")),"")</f>
        <v/>
      </c>
      <c r="AG924" s="181" t="str">
        <f>IFERROR(LOOKUP(2,1/((B_Drainage!$A$5:$A$204&lt;&gt;"")*(B_Drainage!$A$5:$A$204&lt;=$B924)*(B_Drainage!$B$5:$B$204&gt;$B924)*(B_Drainage!$N$5:$N$204&lt;&gt;"")),IF(UPPER(B_Drainage!$N$5:$N$204)="Y",1,"")),"")</f>
        <v/>
      </c>
      <c r="AH924" s="181" t="str">
        <f t="shared" si="112"/>
        <v/>
      </c>
      <c r="AI924" s="181" t="str">
        <f t="shared" si="113"/>
        <v/>
      </c>
      <c r="AJ924" s="181" t="str">
        <f t="shared" si="114"/>
        <v/>
      </c>
      <c r="AK924" s="181" t="str">
        <f t="shared" si="115"/>
        <v/>
      </c>
      <c r="AL924" s="181" t="str">
        <f t="shared" si="116"/>
        <v/>
      </c>
      <c r="AM924" s="181" t="str">
        <f t="shared" si="117"/>
        <v/>
      </c>
      <c r="AN924" s="181" t="str">
        <f t="shared" si="118"/>
        <v/>
      </c>
      <c r="AO924" s="192" t="str">
        <f t="shared" si="119"/>
        <v/>
      </c>
      <c r="AQ924" t="str">
        <f>IFERROR(LOOKUP(2,1/((C_Pavement!$A$5:$A$204&lt;&gt;"")*(C_Pavement!$A$5:$A$204&lt;=$B924)*(C_Pavement!$B$5:$B$204&gt;$B924)*(C_Pavement!$C$5:$C$204&lt;&gt;"")),ROW(C_Pavement!$C$5:$C$204)-4),"")</f>
        <v/>
      </c>
      <c r="AR924" t="str">
        <f>IF($AQ924="","",UPPER(TRIM(INDEX(C_Pavement!$C$5:$C$204,$AQ924))))</f>
        <v/>
      </c>
      <c r="AS924" t="str">
        <f>IF($AR924="","",IFERROR(MATCH($AR924,E_Rules!$A$5:$A$9,0),""))</f>
        <v/>
      </c>
      <c r="AT924" t="str">
        <f>IF($AQ924="","",IF(INDEX(C_Pavement!$D$5:$D$204,$AQ924)&lt;&gt;"",UPPER(TRIM(INDEX(C_Pavement!$D$5:$D$204,$AQ924))),IF($AS924="","",INDEX(E_Rules!$C$5:$C$9,$AS924))))</f>
        <v/>
      </c>
      <c r="AU924" t="str">
        <f>IF($AQ924="","",IF(INDEX(C_Pavement!$E$5:$E$204,$AQ924)&lt;&gt;"",IF(INDEX(C_Pavement!$E$5:$E$204,$AQ924)="-","",INDEX(C_Pavement!$E$5:$E$204,$AQ924)),IF($AS924="","",INDEX(E_Rules!$D$5:$D$9,$AS924))))</f>
        <v/>
      </c>
      <c r="AV924" t="str">
        <f>IF($AQ924="","",IF(INDEX(C_Pavement!$F$5:$F$204,$AQ924)&lt;&gt;"",IF(INDEX(C_Pavement!$F$5:$F$204,$AQ924)="-","",INDEX(C_Pavement!$F$5:$F$204,$AQ924)),IF($AS924="","",INDEX(E_Rules!$E$5:$E$9,$AS924))))</f>
        <v/>
      </c>
      <c r="AW924" t="str">
        <f>IF($AQ924="","",IF(INDEX(C_Pavement!$G$5:$G$204,$AQ924)&lt;&gt;"",IF(INDEX(C_Pavement!$G$5:$G$204,$AQ924)="-","",INDEX(C_Pavement!$G$5:$G$204,$AQ924)),IF($AS924="","",INDEX(E_Rules!$F$5:$F$9,$AS924))))</f>
        <v/>
      </c>
      <c r="AX924" t="str">
        <f>IF($AQ924="","",IF(INDEX(C_Pavement!$H$5:$H$204,$AQ924)&lt;&gt;"",IF(INDEX(C_Pavement!$H$5:$H$204,$AQ924)="-","",INDEX(C_Pavement!$H$5:$H$204,$AQ924)),IF($AS924="","",INDEX(E_Rules!$G$5:$G$9,$AS924))))</f>
        <v/>
      </c>
      <c r="AY924" t="str">
        <f>IF($AQ924="","",IF(INDEX(C_Pavement!$I$5:$I$204,$AQ924)&lt;&gt;"",IF(INDEX(C_Pavement!$I$5:$I$204,$AQ924)="-","",INDEX(C_Pavement!$I$5:$I$204,$AQ924)),IF($AS924="","",INDEX(E_Rules!$H$5:$H$9,$AS924))))</f>
        <v/>
      </c>
    </row>
    <row r="925" spans="1:51" ht="15.75" customHeight="1" x14ac:dyDescent="0.3">
      <c r="A925" s="189">
        <v>920</v>
      </c>
      <c r="B925" s="180">
        <v>45950</v>
      </c>
      <c r="C925" s="180" t="s">
        <v>1231</v>
      </c>
      <c r="D925" s="181" t="str">
        <f>IFERROR(LOOKUP(2,1/((A_Corridor!$A$5:$A$204&lt;&gt;"")*(A_Corridor!$A$5:$A$204&lt;=$B925)*(A_Corridor!$B$5:$B$204&gt;$B925)*(A_Corridor!$C$5:$C$204&lt;&gt;"")),IF(UPPER(A_Corridor!$C$5:$C$204)="Y",1,"")),"")</f>
        <v/>
      </c>
      <c r="E925" s="181" t="str">
        <f>IFERROR(LOOKUP(2,1/((A_Corridor!$A$5:$A$204&lt;&gt;"")*(A_Corridor!$A$5:$A$204&lt;=$B925)*(A_Corridor!$B$5:$B$204&gt;$B925)*(A_Corridor!$D$5:$D$204&lt;&gt;"")),IF(A_Corridor!$D$5:$D$204="-","",UPPER(A_Corridor!$D$5:$D$204))),"")</f>
        <v/>
      </c>
      <c r="F925" s="181" t="str">
        <f>IFERROR(LOOKUP(2,1/((A_Corridor!$A$5:$A$204&lt;&gt;"")*(A_Corridor!$A$5:$A$204&lt;=$B925)*(A_Corridor!$B$5:$B$204&gt;$B925)*(A_Corridor!$E$5:$E$204&lt;&gt;"")),IF(A_Corridor!$E$5:$E$204="-","",1)),"")</f>
        <v/>
      </c>
      <c r="G925" s="182" t="str">
        <f>IFERROR(LOOKUP(2,1/((A_Corridor!$A$5:$A$204&lt;&gt;"")*(A_Corridor!$A$5:$A$204&lt;=$B925)*(A_Corridor!$B$5:$B$204&gt;$B925)*(A_Corridor!$E$5:$E$204&lt;&gt;"")),IF(A_Corridor!$E$5:$E$204="-","",A_Corridor!$E$5:$E$204)),"")</f>
        <v/>
      </c>
      <c r="H925" s="182" t="str">
        <f>IFERROR(LOOKUP(2,1/((D_Points!$A$5:$A$204&lt;&gt;"")*(D_Points!$A$5:$A$204&gt;=$B925)*(D_Points!$A$5:$A$204&lt;$B925+P_Interval)*(UPPER(TRIM(D_Points!$B$5:$B$204))="GULLY")*(D_Points!$H$5:$H$204&lt;&gt;"")),D_Points!$H$5:$H$204),"")</f>
        <v/>
      </c>
      <c r="I925" s="181" t="str">
        <f>IFERROR(LOOKUP(2,1/((A_Corridor!$A$5:$A$204&lt;&gt;"")*(A_Corridor!$A$5:$A$204&lt;=$B925)*(A_Corridor!$B$5:$B$204&gt;$B925)*(A_Corridor!$F$5:$F$204&lt;&gt;"")),IF(A_Corridor!$F$5:$F$204="-","",1)),"")</f>
        <v/>
      </c>
      <c r="J925" s="182" t="str">
        <f>IFERROR(LOOKUP(2,1/((A_Corridor!$A$5:$A$204&lt;&gt;"")*(A_Corridor!$A$5:$A$204&lt;=$B925)*(A_Corridor!$B$5:$B$204&gt;$B925)*(A_Corridor!$F$5:$F$204&lt;&gt;"")),IF(A_Corridor!$F$5:$F$204="-","",A_Corridor!$F$5:$F$204)),"")</f>
        <v/>
      </c>
      <c r="K925" s="182" t="str">
        <f>IFERROR(LOOKUP(2,1/((A_Corridor!$A$5:$A$204&lt;&gt;"")*(A_Corridor!$A$5:$A$204&lt;=$B925)*(A_Corridor!$B$5:$B$204&gt;$B925)*(A_Corridor!$G$5:$G$204&lt;&gt;"")),IF(A_Corridor!$G$5:$G$204="-","",A_Corridor!$G$5:$G$204)),"")</f>
        <v/>
      </c>
      <c r="L925" s="181" t="str">
        <f>IFERROR(LOOKUP(2,1/((A_Corridor!$A$5:$A$204&lt;&gt;"")*(A_Corridor!$A$5:$A$204&lt;=$B925)*(A_Corridor!$B$5:$B$204&gt;$B925)*(A_Corridor!$H$5:$H$204&lt;&gt;"")),IF(A_Corridor!$H$5:$H$204="-","",1)),"")</f>
        <v/>
      </c>
      <c r="M925" s="182" t="str">
        <f>IFERROR(LOOKUP(2,1/((A_Corridor!$A$5:$A$204&lt;&gt;"")*(A_Corridor!$A$5:$A$204&lt;=$B925)*(A_Corridor!$B$5:$B$204&gt;$B925)*(A_Corridor!$H$5:$H$204&lt;&gt;"")),IF(A_Corridor!$H$5:$H$204="-","",A_Corridor!$H$5:$H$204)),"")</f>
        <v/>
      </c>
      <c r="N925" s="182" t="str">
        <f>IFERROR(LOOKUP(2,1/((A_Corridor!$A$5:$A$204&lt;&gt;"")*(A_Corridor!$A$5:$A$204&lt;=$B925)*(A_Corridor!$B$5:$B$204&gt;$B925)*(A_Corridor!$I$5:$I$204&lt;&gt;"")),IF(A_Corridor!$I$5:$I$204="-","",A_Corridor!$I$5:$I$204)),"")</f>
        <v/>
      </c>
      <c r="O925" s="182" t="str">
        <f>IFERROR(LOOKUP(2,1/((D_Points!$A$5:$A$204&lt;&gt;"")*(D_Points!$A$5:$A$204&gt;=$B925)*(D_Points!$A$5:$A$204&lt;$B925+P_Interval)*(UPPER(TRIM(D_Points!$B$5:$B$204))="PITCHING")*(D_Points!$H$5:$H$204&lt;&gt;"")),D_Points!$H$5:$H$204),"")</f>
        <v/>
      </c>
      <c r="P925" s="181" t="str">
        <f>IFERROR(LOOKUP(2,1/((B_Drainage!$A$5:$A$204&lt;&gt;"")*(B_Drainage!$A$5:$A$204&lt;=$B925)*(B_Drainage!$B$5:$B$204&gt;$B925)*(B_Drainage!$C$5:$C$204&lt;&gt;"")),IF(B_Drainage!$C$5:$C$204="-","",UPPER(B_Drainage!$C$5:$C$204))),"")</f>
        <v/>
      </c>
      <c r="Q925" s="181" t="str">
        <f>IFERROR(LOOKUP(2,1/((B_Drainage!$A$5:$A$204&lt;&gt;"")*(B_Drainage!$A$5:$A$204&lt;=$B925)*(B_Drainage!$B$5:$B$204&gt;$B925)*(B_Drainage!$D$5:$D$204&lt;&gt;"")),IF(B_Drainage!$D$5:$D$204="-","",UPPER(B_Drainage!$D$5:$D$204))),"")</f>
        <v/>
      </c>
      <c r="R925" s="182" t="str">
        <f>IFERROR(LOOKUP(2,1/((D_Points!$A$5:$A$204&lt;&gt;"")*(D_Points!$A$5:$A$204&gt;=$B925)*(D_Points!$A$5:$A$204&lt;$B925+P_Interval)*(RIGHT(UPPER(TRIM(D_Points!$B$5:$B$204)),8)="_CULVERT")),IF(LEFT(UPPER(TRIM(D_Points!$B$5:$B$204)),2)="EX",1,IF(LEFT(UPPER(TRIM(D_Points!$B$5:$B$204)),2)="PR",2,3))),"")</f>
        <v/>
      </c>
      <c r="S925" s="182" t="str">
        <f>IFERROR(LOOKUP(2,1/((D_Points!$A$5:$A$204&lt;&gt;"")*(D_Points!$A$5:$A$204&gt;=$B925)*(D_Points!$A$5:$A$204&lt;$B925+P_Interval)*(RIGHT(UPPER(TRIM(D_Points!$B$5:$B$204)),7)="_BRIDGE")),IF(LEFT(UPPER(TRIM(D_Points!$B$5:$B$204)),2)="EX",1,IF(LEFT(UPPER(TRIM(D_Points!$B$5:$B$204)),2)="PR",2,2))),"")</f>
        <v/>
      </c>
      <c r="T925" s="181" t="str">
        <f>IFERROR(LOOKUP(2,1/((B_Drainage!$A$5:$A$204&lt;&gt;"")*(B_Drainage!$A$5:$A$204&lt;=$B925)*(B_Drainage!$B$5:$B$204&gt;$B925)*(B_Drainage!$E$5:$E$204&lt;&gt;"")),IF(B_Drainage!$E$5:$E$204="-","",1)),"")</f>
        <v/>
      </c>
      <c r="U925" s="181" t="str">
        <f>IFERROR(LOOKUP(2,1/((B_Drainage!$A$5:$A$204&lt;&gt;"")*(B_Drainage!$A$5:$A$204&lt;=$B925)*(B_Drainage!$B$5:$B$204&gt;$B925)*(B_Drainage!$E$5:$E$204&lt;&gt;"")),IF(B_Drainage!$E$5:$E$204="-","",B_Drainage!$E$5:$E$204)),"")</f>
        <v/>
      </c>
      <c r="V925" s="181" t="str">
        <f>IFERROR(LOOKUP(2,1/((B_Drainage!$A$5:$A$204&lt;&gt;"")*(B_Drainage!$A$5:$A$204&lt;=$B925)*(B_Drainage!$B$5:$B$204&gt;$B925)*(B_Drainage!$F$5:$F$204&lt;&gt;"")),IF(B_Drainage!$F$5:$F$204="-","",1)),"")</f>
        <v/>
      </c>
      <c r="W925" s="181" t="str">
        <f>IFERROR(LOOKUP(2,1/((B_Drainage!$A$5:$A$204&lt;&gt;"")*(B_Drainage!$A$5:$A$204&lt;=$B925)*(B_Drainage!$B$5:$B$204&gt;$B925)*(B_Drainage!$F$5:$F$204&lt;&gt;"")),IF(B_Drainage!$F$5:$F$204="-","",B_Drainage!$F$5:$F$204)),"")</f>
        <v/>
      </c>
      <c r="X925" s="181" t="str">
        <f>IFERROR(LOOKUP(2,1/((B_Drainage!$A$5:$A$204&lt;&gt;"")*(B_Drainage!$A$5:$A$204&lt;=$B925)*(B_Drainage!$B$5:$B$204&gt;$B925)*(B_Drainage!$G$5:$G$204&lt;&gt;"")),IF(UPPER(B_Drainage!$G$5:$G$204)="Y",1,"")),"")</f>
        <v/>
      </c>
      <c r="Y925" s="181" t="str">
        <f>IFERROR(LOOKUP(2,1/((B_Drainage!$A$5:$A$204&lt;&gt;"")*(B_Drainage!$A$5:$A$204&lt;=$B925)*(B_Drainage!$B$5:$B$204&gt;$B925)*(B_Drainage!$H$5:$H$204&lt;&gt;"")),IF(UPPER(B_Drainage!$H$5:$H$204)="Y",1,"")),"")</f>
        <v/>
      </c>
      <c r="Z925" s="181" t="str">
        <f>IFERROR(LOOKUP(2,1/((B_Drainage!$A$5:$A$204&lt;&gt;"")*(B_Drainage!$A$5:$A$204&lt;=$B925)*(B_Drainage!$B$5:$B$204&gt;$B925)*(B_Drainage!$I$5:$I$204&lt;&gt;"")),IF(UPPER(B_Drainage!$I$5:$I$204)="Y",1,"")),"")</f>
        <v/>
      </c>
      <c r="AA925" s="181" t="str">
        <f>IFERROR(LOOKUP(2,1/((B_Drainage!$A$5:$A$204&lt;&gt;"")*(B_Drainage!$A$5:$A$204&lt;=$B925)*(B_Drainage!$B$5:$B$204&gt;$B925)*(B_Drainage!$J$5:$J$204&lt;&gt;"")),IF(UPPER(B_Drainage!$J$5:$J$204)="Y",1,"")),"")</f>
        <v/>
      </c>
      <c r="AB925" s="182" t="str">
        <f>IFERROR(LOOKUP(2,1/((B_Drainage!$A$5:$A$204&lt;&gt;"")*(B_Drainage!$A$5:$A$204&lt;=$B925)*(B_Drainage!$B$5:$B$204&gt;$B925)*(B_Drainage!$K$5:$K$204&lt;&gt;"")),IF(B_Drainage!$K$5:$K$204="-","",B_Drainage!$K$5:$K$204)),"")</f>
        <v/>
      </c>
      <c r="AC925" s="182" t="str">
        <f>IFERROR(LOOKUP(2,1/((B_Drainage!$A$5:$A$204&lt;&gt;"")*(B_Drainage!$A$5:$A$204&lt;=$B925)*(B_Drainage!$B$5:$B$204&gt;$B925)*(B_Drainage!$L$5:$L$204&lt;&gt;"")),IF(B_Drainage!$L$5:$L$204="-","",B_Drainage!$L$5:$L$204)),"")</f>
        <v/>
      </c>
      <c r="AD925" s="182" t="str">
        <f>IFERROR(LOOKUP(2,1/((D_Points!$A$5:$A$204&lt;&gt;"")*(D_Points!$A$5:$A$204&gt;=$B925)*(D_Points!$A$5:$A$204&lt;$B925+P_Interval)*(UPPER(TRIM(D_Points!$B$5:$B$204))="TURNOUT_L")*(D_Points!$H$5:$H$204&lt;&gt;"")),D_Points!$H$5:$H$204),"")</f>
        <v/>
      </c>
      <c r="AE925" s="182" t="str">
        <f>IFERROR(LOOKUP(2,1/((D_Points!$A$5:$A$204&lt;&gt;"")*(D_Points!$A$5:$A$204&gt;=$B925)*(D_Points!$A$5:$A$204&lt;$B925+P_Interval)*(UPPER(TRIM(D_Points!$B$5:$B$204))="TURNOUT_R")*(D_Points!$H$5:$H$204&lt;&gt;"")),D_Points!$H$5:$H$204),"")</f>
        <v/>
      </c>
      <c r="AF925" s="181" t="str">
        <f>IFERROR(LOOKUP(2,1/((B_Drainage!$A$5:$A$204&lt;&gt;"")*(B_Drainage!$A$5:$A$204&lt;=$B925)*(B_Drainage!$B$5:$B$204&gt;$B925)*(B_Drainage!$M$5:$M$204&lt;&gt;"")),IF(UPPER(B_Drainage!$M$5:$M$204)="Y",1,"")),"")</f>
        <v/>
      </c>
      <c r="AG925" s="181" t="str">
        <f>IFERROR(LOOKUP(2,1/((B_Drainage!$A$5:$A$204&lt;&gt;"")*(B_Drainage!$A$5:$A$204&lt;=$B925)*(B_Drainage!$B$5:$B$204&gt;$B925)*(B_Drainage!$N$5:$N$204&lt;&gt;"")),IF(UPPER(B_Drainage!$N$5:$N$204)="Y",1,"")),"")</f>
        <v/>
      </c>
      <c r="AH925" s="181" t="str">
        <f t="shared" si="112"/>
        <v/>
      </c>
      <c r="AI925" s="181" t="str">
        <f t="shared" si="113"/>
        <v/>
      </c>
      <c r="AJ925" s="181" t="str">
        <f t="shared" si="114"/>
        <v/>
      </c>
      <c r="AK925" s="181" t="str">
        <f t="shared" si="115"/>
        <v/>
      </c>
      <c r="AL925" s="181" t="str">
        <f t="shared" si="116"/>
        <v/>
      </c>
      <c r="AM925" s="181" t="str">
        <f t="shared" si="117"/>
        <v/>
      </c>
      <c r="AN925" s="181" t="str">
        <f t="shared" si="118"/>
        <v/>
      </c>
      <c r="AO925" s="192" t="str">
        <f t="shared" si="119"/>
        <v/>
      </c>
      <c r="AQ925" t="str">
        <f>IFERROR(LOOKUP(2,1/((C_Pavement!$A$5:$A$204&lt;&gt;"")*(C_Pavement!$A$5:$A$204&lt;=$B925)*(C_Pavement!$B$5:$B$204&gt;$B925)*(C_Pavement!$C$5:$C$204&lt;&gt;"")),ROW(C_Pavement!$C$5:$C$204)-4),"")</f>
        <v/>
      </c>
      <c r="AR925" t="str">
        <f>IF($AQ925="","",UPPER(TRIM(INDEX(C_Pavement!$C$5:$C$204,$AQ925))))</f>
        <v/>
      </c>
      <c r="AS925" t="str">
        <f>IF($AR925="","",IFERROR(MATCH($AR925,E_Rules!$A$5:$A$9,0),""))</f>
        <v/>
      </c>
      <c r="AT925" t="str">
        <f>IF($AQ925="","",IF(INDEX(C_Pavement!$D$5:$D$204,$AQ925)&lt;&gt;"",UPPER(TRIM(INDEX(C_Pavement!$D$5:$D$204,$AQ925))),IF($AS925="","",INDEX(E_Rules!$C$5:$C$9,$AS925))))</f>
        <v/>
      </c>
      <c r="AU925" t="str">
        <f>IF($AQ925="","",IF(INDEX(C_Pavement!$E$5:$E$204,$AQ925)&lt;&gt;"",IF(INDEX(C_Pavement!$E$5:$E$204,$AQ925)="-","",INDEX(C_Pavement!$E$5:$E$204,$AQ925)),IF($AS925="","",INDEX(E_Rules!$D$5:$D$9,$AS925))))</f>
        <v/>
      </c>
      <c r="AV925" t="str">
        <f>IF($AQ925="","",IF(INDEX(C_Pavement!$F$5:$F$204,$AQ925)&lt;&gt;"",IF(INDEX(C_Pavement!$F$5:$F$204,$AQ925)="-","",INDEX(C_Pavement!$F$5:$F$204,$AQ925)),IF($AS925="","",INDEX(E_Rules!$E$5:$E$9,$AS925))))</f>
        <v/>
      </c>
      <c r="AW925" t="str">
        <f>IF($AQ925="","",IF(INDEX(C_Pavement!$G$5:$G$204,$AQ925)&lt;&gt;"",IF(INDEX(C_Pavement!$G$5:$G$204,$AQ925)="-","",INDEX(C_Pavement!$G$5:$G$204,$AQ925)),IF($AS925="","",INDEX(E_Rules!$F$5:$F$9,$AS925))))</f>
        <v/>
      </c>
      <c r="AX925" t="str">
        <f>IF($AQ925="","",IF(INDEX(C_Pavement!$H$5:$H$204,$AQ925)&lt;&gt;"",IF(INDEX(C_Pavement!$H$5:$H$204,$AQ925)="-","",INDEX(C_Pavement!$H$5:$H$204,$AQ925)),IF($AS925="","",INDEX(E_Rules!$G$5:$G$9,$AS925))))</f>
        <v/>
      </c>
      <c r="AY925" t="str">
        <f>IF($AQ925="","",IF(INDEX(C_Pavement!$I$5:$I$204,$AQ925)&lt;&gt;"",IF(INDEX(C_Pavement!$I$5:$I$204,$AQ925)="-","",INDEX(C_Pavement!$I$5:$I$204,$AQ925)),IF($AS925="","",INDEX(E_Rules!$H$5:$H$9,$AS925))))</f>
        <v/>
      </c>
    </row>
    <row r="926" spans="1:51" ht="15.75" customHeight="1" x14ac:dyDescent="0.3">
      <c r="A926" s="189">
        <v>921</v>
      </c>
      <c r="B926" s="180">
        <v>46000</v>
      </c>
      <c r="C926" s="180" t="s">
        <v>1232</v>
      </c>
      <c r="D926" s="181" t="str">
        <f>IFERROR(LOOKUP(2,1/((A_Corridor!$A$5:$A$204&lt;&gt;"")*(A_Corridor!$A$5:$A$204&lt;=$B926)*(A_Corridor!$B$5:$B$204&gt;$B926)*(A_Corridor!$C$5:$C$204&lt;&gt;"")),IF(UPPER(A_Corridor!$C$5:$C$204)="Y",1,"")),"")</f>
        <v/>
      </c>
      <c r="E926" s="181" t="str">
        <f>IFERROR(LOOKUP(2,1/((A_Corridor!$A$5:$A$204&lt;&gt;"")*(A_Corridor!$A$5:$A$204&lt;=$B926)*(A_Corridor!$B$5:$B$204&gt;$B926)*(A_Corridor!$D$5:$D$204&lt;&gt;"")),IF(A_Corridor!$D$5:$D$204="-","",UPPER(A_Corridor!$D$5:$D$204))),"")</f>
        <v/>
      </c>
      <c r="F926" s="181" t="str">
        <f>IFERROR(LOOKUP(2,1/((A_Corridor!$A$5:$A$204&lt;&gt;"")*(A_Corridor!$A$5:$A$204&lt;=$B926)*(A_Corridor!$B$5:$B$204&gt;$B926)*(A_Corridor!$E$5:$E$204&lt;&gt;"")),IF(A_Corridor!$E$5:$E$204="-","",1)),"")</f>
        <v/>
      </c>
      <c r="G926" s="182" t="str">
        <f>IFERROR(LOOKUP(2,1/((A_Corridor!$A$5:$A$204&lt;&gt;"")*(A_Corridor!$A$5:$A$204&lt;=$B926)*(A_Corridor!$B$5:$B$204&gt;$B926)*(A_Corridor!$E$5:$E$204&lt;&gt;"")),IF(A_Corridor!$E$5:$E$204="-","",A_Corridor!$E$5:$E$204)),"")</f>
        <v/>
      </c>
      <c r="H926" s="182" t="str">
        <f>IFERROR(LOOKUP(2,1/((D_Points!$A$5:$A$204&lt;&gt;"")*(D_Points!$A$5:$A$204&gt;=$B926)*(D_Points!$A$5:$A$204&lt;$B926+P_Interval)*(UPPER(TRIM(D_Points!$B$5:$B$204))="GULLY")*(D_Points!$H$5:$H$204&lt;&gt;"")),D_Points!$H$5:$H$204),"")</f>
        <v/>
      </c>
      <c r="I926" s="181" t="str">
        <f>IFERROR(LOOKUP(2,1/((A_Corridor!$A$5:$A$204&lt;&gt;"")*(A_Corridor!$A$5:$A$204&lt;=$B926)*(A_Corridor!$B$5:$B$204&gt;$B926)*(A_Corridor!$F$5:$F$204&lt;&gt;"")),IF(A_Corridor!$F$5:$F$204="-","",1)),"")</f>
        <v/>
      </c>
      <c r="J926" s="182" t="str">
        <f>IFERROR(LOOKUP(2,1/((A_Corridor!$A$5:$A$204&lt;&gt;"")*(A_Corridor!$A$5:$A$204&lt;=$B926)*(A_Corridor!$B$5:$B$204&gt;$B926)*(A_Corridor!$F$5:$F$204&lt;&gt;"")),IF(A_Corridor!$F$5:$F$204="-","",A_Corridor!$F$5:$F$204)),"")</f>
        <v/>
      </c>
      <c r="K926" s="182" t="str">
        <f>IFERROR(LOOKUP(2,1/((A_Corridor!$A$5:$A$204&lt;&gt;"")*(A_Corridor!$A$5:$A$204&lt;=$B926)*(A_Corridor!$B$5:$B$204&gt;$B926)*(A_Corridor!$G$5:$G$204&lt;&gt;"")),IF(A_Corridor!$G$5:$G$204="-","",A_Corridor!$G$5:$G$204)),"")</f>
        <v/>
      </c>
      <c r="L926" s="181" t="str">
        <f>IFERROR(LOOKUP(2,1/((A_Corridor!$A$5:$A$204&lt;&gt;"")*(A_Corridor!$A$5:$A$204&lt;=$B926)*(A_Corridor!$B$5:$B$204&gt;$B926)*(A_Corridor!$H$5:$H$204&lt;&gt;"")),IF(A_Corridor!$H$5:$H$204="-","",1)),"")</f>
        <v/>
      </c>
      <c r="M926" s="182" t="str">
        <f>IFERROR(LOOKUP(2,1/((A_Corridor!$A$5:$A$204&lt;&gt;"")*(A_Corridor!$A$5:$A$204&lt;=$B926)*(A_Corridor!$B$5:$B$204&gt;$B926)*(A_Corridor!$H$5:$H$204&lt;&gt;"")),IF(A_Corridor!$H$5:$H$204="-","",A_Corridor!$H$5:$H$204)),"")</f>
        <v/>
      </c>
      <c r="N926" s="182" t="str">
        <f>IFERROR(LOOKUP(2,1/((A_Corridor!$A$5:$A$204&lt;&gt;"")*(A_Corridor!$A$5:$A$204&lt;=$B926)*(A_Corridor!$B$5:$B$204&gt;$B926)*(A_Corridor!$I$5:$I$204&lt;&gt;"")),IF(A_Corridor!$I$5:$I$204="-","",A_Corridor!$I$5:$I$204)),"")</f>
        <v/>
      </c>
      <c r="O926" s="182" t="str">
        <f>IFERROR(LOOKUP(2,1/((D_Points!$A$5:$A$204&lt;&gt;"")*(D_Points!$A$5:$A$204&gt;=$B926)*(D_Points!$A$5:$A$204&lt;$B926+P_Interval)*(UPPER(TRIM(D_Points!$B$5:$B$204))="PITCHING")*(D_Points!$H$5:$H$204&lt;&gt;"")),D_Points!$H$5:$H$204),"")</f>
        <v/>
      </c>
      <c r="P926" s="181" t="str">
        <f>IFERROR(LOOKUP(2,1/((B_Drainage!$A$5:$A$204&lt;&gt;"")*(B_Drainage!$A$5:$A$204&lt;=$B926)*(B_Drainage!$B$5:$B$204&gt;$B926)*(B_Drainage!$C$5:$C$204&lt;&gt;"")),IF(B_Drainage!$C$5:$C$204="-","",UPPER(B_Drainage!$C$5:$C$204))),"")</f>
        <v/>
      </c>
      <c r="Q926" s="181" t="str">
        <f>IFERROR(LOOKUP(2,1/((B_Drainage!$A$5:$A$204&lt;&gt;"")*(B_Drainage!$A$5:$A$204&lt;=$B926)*(B_Drainage!$B$5:$B$204&gt;$B926)*(B_Drainage!$D$5:$D$204&lt;&gt;"")),IF(B_Drainage!$D$5:$D$204="-","",UPPER(B_Drainage!$D$5:$D$204))),"")</f>
        <v/>
      </c>
      <c r="R926" s="182" t="str">
        <f>IFERROR(LOOKUP(2,1/((D_Points!$A$5:$A$204&lt;&gt;"")*(D_Points!$A$5:$A$204&gt;=$B926)*(D_Points!$A$5:$A$204&lt;$B926+P_Interval)*(RIGHT(UPPER(TRIM(D_Points!$B$5:$B$204)),8)="_CULVERT")),IF(LEFT(UPPER(TRIM(D_Points!$B$5:$B$204)),2)="EX",1,IF(LEFT(UPPER(TRIM(D_Points!$B$5:$B$204)),2)="PR",2,3))),"")</f>
        <v/>
      </c>
      <c r="S926" s="182" t="str">
        <f>IFERROR(LOOKUP(2,1/((D_Points!$A$5:$A$204&lt;&gt;"")*(D_Points!$A$5:$A$204&gt;=$B926)*(D_Points!$A$5:$A$204&lt;$B926+P_Interval)*(RIGHT(UPPER(TRIM(D_Points!$B$5:$B$204)),7)="_BRIDGE")),IF(LEFT(UPPER(TRIM(D_Points!$B$5:$B$204)),2)="EX",1,IF(LEFT(UPPER(TRIM(D_Points!$B$5:$B$204)),2)="PR",2,2))),"")</f>
        <v/>
      </c>
      <c r="T926" s="181" t="str">
        <f>IFERROR(LOOKUP(2,1/((B_Drainage!$A$5:$A$204&lt;&gt;"")*(B_Drainage!$A$5:$A$204&lt;=$B926)*(B_Drainage!$B$5:$B$204&gt;$B926)*(B_Drainage!$E$5:$E$204&lt;&gt;"")),IF(B_Drainage!$E$5:$E$204="-","",1)),"")</f>
        <v/>
      </c>
      <c r="U926" s="181" t="str">
        <f>IFERROR(LOOKUP(2,1/((B_Drainage!$A$5:$A$204&lt;&gt;"")*(B_Drainage!$A$5:$A$204&lt;=$B926)*(B_Drainage!$B$5:$B$204&gt;$B926)*(B_Drainage!$E$5:$E$204&lt;&gt;"")),IF(B_Drainage!$E$5:$E$204="-","",B_Drainage!$E$5:$E$204)),"")</f>
        <v/>
      </c>
      <c r="V926" s="181" t="str">
        <f>IFERROR(LOOKUP(2,1/((B_Drainage!$A$5:$A$204&lt;&gt;"")*(B_Drainage!$A$5:$A$204&lt;=$B926)*(B_Drainage!$B$5:$B$204&gt;$B926)*(B_Drainage!$F$5:$F$204&lt;&gt;"")),IF(B_Drainage!$F$5:$F$204="-","",1)),"")</f>
        <v/>
      </c>
      <c r="W926" s="181" t="str">
        <f>IFERROR(LOOKUP(2,1/((B_Drainage!$A$5:$A$204&lt;&gt;"")*(B_Drainage!$A$5:$A$204&lt;=$B926)*(B_Drainage!$B$5:$B$204&gt;$B926)*(B_Drainage!$F$5:$F$204&lt;&gt;"")),IF(B_Drainage!$F$5:$F$204="-","",B_Drainage!$F$5:$F$204)),"")</f>
        <v/>
      </c>
      <c r="X926" s="181" t="str">
        <f>IFERROR(LOOKUP(2,1/((B_Drainage!$A$5:$A$204&lt;&gt;"")*(B_Drainage!$A$5:$A$204&lt;=$B926)*(B_Drainage!$B$5:$B$204&gt;$B926)*(B_Drainage!$G$5:$G$204&lt;&gt;"")),IF(UPPER(B_Drainage!$G$5:$G$204)="Y",1,"")),"")</f>
        <v/>
      </c>
      <c r="Y926" s="181" t="str">
        <f>IFERROR(LOOKUP(2,1/((B_Drainage!$A$5:$A$204&lt;&gt;"")*(B_Drainage!$A$5:$A$204&lt;=$B926)*(B_Drainage!$B$5:$B$204&gt;$B926)*(B_Drainage!$H$5:$H$204&lt;&gt;"")),IF(UPPER(B_Drainage!$H$5:$H$204)="Y",1,"")),"")</f>
        <v/>
      </c>
      <c r="Z926" s="181" t="str">
        <f>IFERROR(LOOKUP(2,1/((B_Drainage!$A$5:$A$204&lt;&gt;"")*(B_Drainage!$A$5:$A$204&lt;=$B926)*(B_Drainage!$B$5:$B$204&gt;$B926)*(B_Drainage!$I$5:$I$204&lt;&gt;"")),IF(UPPER(B_Drainage!$I$5:$I$204)="Y",1,"")),"")</f>
        <v/>
      </c>
      <c r="AA926" s="181" t="str">
        <f>IFERROR(LOOKUP(2,1/((B_Drainage!$A$5:$A$204&lt;&gt;"")*(B_Drainage!$A$5:$A$204&lt;=$B926)*(B_Drainage!$B$5:$B$204&gt;$B926)*(B_Drainage!$J$5:$J$204&lt;&gt;"")),IF(UPPER(B_Drainage!$J$5:$J$204)="Y",1,"")),"")</f>
        <v/>
      </c>
      <c r="AB926" s="182" t="str">
        <f>IFERROR(LOOKUP(2,1/((B_Drainage!$A$5:$A$204&lt;&gt;"")*(B_Drainage!$A$5:$A$204&lt;=$B926)*(B_Drainage!$B$5:$B$204&gt;$B926)*(B_Drainage!$K$5:$K$204&lt;&gt;"")),IF(B_Drainage!$K$5:$K$204="-","",B_Drainage!$K$5:$K$204)),"")</f>
        <v/>
      </c>
      <c r="AC926" s="182" t="str">
        <f>IFERROR(LOOKUP(2,1/((B_Drainage!$A$5:$A$204&lt;&gt;"")*(B_Drainage!$A$5:$A$204&lt;=$B926)*(B_Drainage!$B$5:$B$204&gt;$B926)*(B_Drainage!$L$5:$L$204&lt;&gt;"")),IF(B_Drainage!$L$5:$L$204="-","",B_Drainage!$L$5:$L$204)),"")</f>
        <v/>
      </c>
      <c r="AD926" s="182" t="str">
        <f>IFERROR(LOOKUP(2,1/((D_Points!$A$5:$A$204&lt;&gt;"")*(D_Points!$A$5:$A$204&gt;=$B926)*(D_Points!$A$5:$A$204&lt;$B926+P_Interval)*(UPPER(TRIM(D_Points!$B$5:$B$204))="TURNOUT_L")*(D_Points!$H$5:$H$204&lt;&gt;"")),D_Points!$H$5:$H$204),"")</f>
        <v/>
      </c>
      <c r="AE926" s="182" t="str">
        <f>IFERROR(LOOKUP(2,1/((D_Points!$A$5:$A$204&lt;&gt;"")*(D_Points!$A$5:$A$204&gt;=$B926)*(D_Points!$A$5:$A$204&lt;$B926+P_Interval)*(UPPER(TRIM(D_Points!$B$5:$B$204))="TURNOUT_R")*(D_Points!$H$5:$H$204&lt;&gt;"")),D_Points!$H$5:$H$204),"")</f>
        <v/>
      </c>
      <c r="AF926" s="181" t="str">
        <f>IFERROR(LOOKUP(2,1/((B_Drainage!$A$5:$A$204&lt;&gt;"")*(B_Drainage!$A$5:$A$204&lt;=$B926)*(B_Drainage!$B$5:$B$204&gt;$B926)*(B_Drainage!$M$5:$M$204&lt;&gt;"")),IF(UPPER(B_Drainage!$M$5:$M$204)="Y",1,"")),"")</f>
        <v/>
      </c>
      <c r="AG926" s="181" t="str">
        <f>IFERROR(LOOKUP(2,1/((B_Drainage!$A$5:$A$204&lt;&gt;"")*(B_Drainage!$A$5:$A$204&lt;=$B926)*(B_Drainage!$B$5:$B$204&gt;$B926)*(B_Drainage!$N$5:$N$204&lt;&gt;"")),IF(UPPER(B_Drainage!$N$5:$N$204)="Y",1,"")),"")</f>
        <v/>
      </c>
      <c r="AH926" s="181" t="str">
        <f t="shared" si="112"/>
        <v/>
      </c>
      <c r="AI926" s="181" t="str">
        <f t="shared" si="113"/>
        <v/>
      </c>
      <c r="AJ926" s="181" t="str">
        <f t="shared" si="114"/>
        <v/>
      </c>
      <c r="AK926" s="181" t="str">
        <f t="shared" si="115"/>
        <v/>
      </c>
      <c r="AL926" s="181" t="str">
        <f t="shared" si="116"/>
        <v/>
      </c>
      <c r="AM926" s="181" t="str">
        <f t="shared" si="117"/>
        <v/>
      </c>
      <c r="AN926" s="181" t="str">
        <f t="shared" si="118"/>
        <v/>
      </c>
      <c r="AO926" s="192" t="str">
        <f t="shared" si="119"/>
        <v/>
      </c>
      <c r="AQ926" t="str">
        <f>IFERROR(LOOKUP(2,1/((C_Pavement!$A$5:$A$204&lt;&gt;"")*(C_Pavement!$A$5:$A$204&lt;=$B926)*(C_Pavement!$B$5:$B$204&gt;$B926)*(C_Pavement!$C$5:$C$204&lt;&gt;"")),ROW(C_Pavement!$C$5:$C$204)-4),"")</f>
        <v/>
      </c>
      <c r="AR926" t="str">
        <f>IF($AQ926="","",UPPER(TRIM(INDEX(C_Pavement!$C$5:$C$204,$AQ926))))</f>
        <v/>
      </c>
      <c r="AS926" t="str">
        <f>IF($AR926="","",IFERROR(MATCH($AR926,E_Rules!$A$5:$A$9,0),""))</f>
        <v/>
      </c>
      <c r="AT926" t="str">
        <f>IF($AQ926="","",IF(INDEX(C_Pavement!$D$5:$D$204,$AQ926)&lt;&gt;"",UPPER(TRIM(INDEX(C_Pavement!$D$5:$D$204,$AQ926))),IF($AS926="","",INDEX(E_Rules!$C$5:$C$9,$AS926))))</f>
        <v/>
      </c>
      <c r="AU926" t="str">
        <f>IF($AQ926="","",IF(INDEX(C_Pavement!$E$5:$E$204,$AQ926)&lt;&gt;"",IF(INDEX(C_Pavement!$E$5:$E$204,$AQ926)="-","",INDEX(C_Pavement!$E$5:$E$204,$AQ926)),IF($AS926="","",INDEX(E_Rules!$D$5:$D$9,$AS926))))</f>
        <v/>
      </c>
      <c r="AV926" t="str">
        <f>IF($AQ926="","",IF(INDEX(C_Pavement!$F$5:$F$204,$AQ926)&lt;&gt;"",IF(INDEX(C_Pavement!$F$5:$F$204,$AQ926)="-","",INDEX(C_Pavement!$F$5:$F$204,$AQ926)),IF($AS926="","",INDEX(E_Rules!$E$5:$E$9,$AS926))))</f>
        <v/>
      </c>
      <c r="AW926" t="str">
        <f>IF($AQ926="","",IF(INDEX(C_Pavement!$G$5:$G$204,$AQ926)&lt;&gt;"",IF(INDEX(C_Pavement!$G$5:$G$204,$AQ926)="-","",INDEX(C_Pavement!$G$5:$G$204,$AQ926)),IF($AS926="","",INDEX(E_Rules!$F$5:$F$9,$AS926))))</f>
        <v/>
      </c>
      <c r="AX926" t="str">
        <f>IF($AQ926="","",IF(INDEX(C_Pavement!$H$5:$H$204,$AQ926)&lt;&gt;"",IF(INDEX(C_Pavement!$H$5:$H$204,$AQ926)="-","",INDEX(C_Pavement!$H$5:$H$204,$AQ926)),IF($AS926="","",INDEX(E_Rules!$G$5:$G$9,$AS926))))</f>
        <v/>
      </c>
      <c r="AY926" t="str">
        <f>IF($AQ926="","",IF(INDEX(C_Pavement!$I$5:$I$204,$AQ926)&lt;&gt;"",IF(INDEX(C_Pavement!$I$5:$I$204,$AQ926)="-","",INDEX(C_Pavement!$I$5:$I$204,$AQ926)),IF($AS926="","",INDEX(E_Rules!$H$5:$H$9,$AS926))))</f>
        <v/>
      </c>
    </row>
    <row r="927" spans="1:51" ht="15.75" customHeight="1" x14ac:dyDescent="0.3">
      <c r="A927" s="189">
        <v>922</v>
      </c>
      <c r="B927" s="180">
        <v>46050</v>
      </c>
      <c r="C927" s="180" t="s">
        <v>1233</v>
      </c>
      <c r="D927" s="181" t="str">
        <f>IFERROR(LOOKUP(2,1/((A_Corridor!$A$5:$A$204&lt;&gt;"")*(A_Corridor!$A$5:$A$204&lt;=$B927)*(A_Corridor!$B$5:$B$204&gt;$B927)*(A_Corridor!$C$5:$C$204&lt;&gt;"")),IF(UPPER(A_Corridor!$C$5:$C$204)="Y",1,"")),"")</f>
        <v/>
      </c>
      <c r="E927" s="181" t="str">
        <f>IFERROR(LOOKUP(2,1/((A_Corridor!$A$5:$A$204&lt;&gt;"")*(A_Corridor!$A$5:$A$204&lt;=$B927)*(A_Corridor!$B$5:$B$204&gt;$B927)*(A_Corridor!$D$5:$D$204&lt;&gt;"")),IF(A_Corridor!$D$5:$D$204="-","",UPPER(A_Corridor!$D$5:$D$204))),"")</f>
        <v/>
      </c>
      <c r="F927" s="181" t="str">
        <f>IFERROR(LOOKUP(2,1/((A_Corridor!$A$5:$A$204&lt;&gt;"")*(A_Corridor!$A$5:$A$204&lt;=$B927)*(A_Corridor!$B$5:$B$204&gt;$B927)*(A_Corridor!$E$5:$E$204&lt;&gt;"")),IF(A_Corridor!$E$5:$E$204="-","",1)),"")</f>
        <v/>
      </c>
      <c r="G927" s="182" t="str">
        <f>IFERROR(LOOKUP(2,1/((A_Corridor!$A$5:$A$204&lt;&gt;"")*(A_Corridor!$A$5:$A$204&lt;=$B927)*(A_Corridor!$B$5:$B$204&gt;$B927)*(A_Corridor!$E$5:$E$204&lt;&gt;"")),IF(A_Corridor!$E$5:$E$204="-","",A_Corridor!$E$5:$E$204)),"")</f>
        <v/>
      </c>
      <c r="H927" s="182" t="str">
        <f>IFERROR(LOOKUP(2,1/((D_Points!$A$5:$A$204&lt;&gt;"")*(D_Points!$A$5:$A$204&gt;=$B927)*(D_Points!$A$5:$A$204&lt;$B927+P_Interval)*(UPPER(TRIM(D_Points!$B$5:$B$204))="GULLY")*(D_Points!$H$5:$H$204&lt;&gt;"")),D_Points!$H$5:$H$204),"")</f>
        <v/>
      </c>
      <c r="I927" s="181" t="str">
        <f>IFERROR(LOOKUP(2,1/((A_Corridor!$A$5:$A$204&lt;&gt;"")*(A_Corridor!$A$5:$A$204&lt;=$B927)*(A_Corridor!$B$5:$B$204&gt;$B927)*(A_Corridor!$F$5:$F$204&lt;&gt;"")),IF(A_Corridor!$F$5:$F$204="-","",1)),"")</f>
        <v/>
      </c>
      <c r="J927" s="182" t="str">
        <f>IFERROR(LOOKUP(2,1/((A_Corridor!$A$5:$A$204&lt;&gt;"")*(A_Corridor!$A$5:$A$204&lt;=$B927)*(A_Corridor!$B$5:$B$204&gt;$B927)*(A_Corridor!$F$5:$F$204&lt;&gt;"")),IF(A_Corridor!$F$5:$F$204="-","",A_Corridor!$F$5:$F$204)),"")</f>
        <v/>
      </c>
      <c r="K927" s="182" t="str">
        <f>IFERROR(LOOKUP(2,1/((A_Corridor!$A$5:$A$204&lt;&gt;"")*(A_Corridor!$A$5:$A$204&lt;=$B927)*(A_Corridor!$B$5:$B$204&gt;$B927)*(A_Corridor!$G$5:$G$204&lt;&gt;"")),IF(A_Corridor!$G$5:$G$204="-","",A_Corridor!$G$5:$G$204)),"")</f>
        <v/>
      </c>
      <c r="L927" s="181" t="str">
        <f>IFERROR(LOOKUP(2,1/((A_Corridor!$A$5:$A$204&lt;&gt;"")*(A_Corridor!$A$5:$A$204&lt;=$B927)*(A_Corridor!$B$5:$B$204&gt;$B927)*(A_Corridor!$H$5:$H$204&lt;&gt;"")),IF(A_Corridor!$H$5:$H$204="-","",1)),"")</f>
        <v/>
      </c>
      <c r="M927" s="182" t="str">
        <f>IFERROR(LOOKUP(2,1/((A_Corridor!$A$5:$A$204&lt;&gt;"")*(A_Corridor!$A$5:$A$204&lt;=$B927)*(A_Corridor!$B$5:$B$204&gt;$B927)*(A_Corridor!$H$5:$H$204&lt;&gt;"")),IF(A_Corridor!$H$5:$H$204="-","",A_Corridor!$H$5:$H$204)),"")</f>
        <v/>
      </c>
      <c r="N927" s="182" t="str">
        <f>IFERROR(LOOKUP(2,1/((A_Corridor!$A$5:$A$204&lt;&gt;"")*(A_Corridor!$A$5:$A$204&lt;=$B927)*(A_Corridor!$B$5:$B$204&gt;$B927)*(A_Corridor!$I$5:$I$204&lt;&gt;"")),IF(A_Corridor!$I$5:$I$204="-","",A_Corridor!$I$5:$I$204)),"")</f>
        <v/>
      </c>
      <c r="O927" s="182" t="str">
        <f>IFERROR(LOOKUP(2,1/((D_Points!$A$5:$A$204&lt;&gt;"")*(D_Points!$A$5:$A$204&gt;=$B927)*(D_Points!$A$5:$A$204&lt;$B927+P_Interval)*(UPPER(TRIM(D_Points!$B$5:$B$204))="PITCHING")*(D_Points!$H$5:$H$204&lt;&gt;"")),D_Points!$H$5:$H$204),"")</f>
        <v/>
      </c>
      <c r="P927" s="181" t="str">
        <f>IFERROR(LOOKUP(2,1/((B_Drainage!$A$5:$A$204&lt;&gt;"")*(B_Drainage!$A$5:$A$204&lt;=$B927)*(B_Drainage!$B$5:$B$204&gt;$B927)*(B_Drainage!$C$5:$C$204&lt;&gt;"")),IF(B_Drainage!$C$5:$C$204="-","",UPPER(B_Drainage!$C$5:$C$204))),"")</f>
        <v/>
      </c>
      <c r="Q927" s="181" t="str">
        <f>IFERROR(LOOKUP(2,1/((B_Drainage!$A$5:$A$204&lt;&gt;"")*(B_Drainage!$A$5:$A$204&lt;=$B927)*(B_Drainage!$B$5:$B$204&gt;$B927)*(B_Drainage!$D$5:$D$204&lt;&gt;"")),IF(B_Drainage!$D$5:$D$204="-","",UPPER(B_Drainage!$D$5:$D$204))),"")</f>
        <v/>
      </c>
      <c r="R927" s="182" t="str">
        <f>IFERROR(LOOKUP(2,1/((D_Points!$A$5:$A$204&lt;&gt;"")*(D_Points!$A$5:$A$204&gt;=$B927)*(D_Points!$A$5:$A$204&lt;$B927+P_Interval)*(RIGHT(UPPER(TRIM(D_Points!$B$5:$B$204)),8)="_CULVERT")),IF(LEFT(UPPER(TRIM(D_Points!$B$5:$B$204)),2)="EX",1,IF(LEFT(UPPER(TRIM(D_Points!$B$5:$B$204)),2)="PR",2,3))),"")</f>
        <v/>
      </c>
      <c r="S927" s="182" t="str">
        <f>IFERROR(LOOKUP(2,1/((D_Points!$A$5:$A$204&lt;&gt;"")*(D_Points!$A$5:$A$204&gt;=$B927)*(D_Points!$A$5:$A$204&lt;$B927+P_Interval)*(RIGHT(UPPER(TRIM(D_Points!$B$5:$B$204)),7)="_BRIDGE")),IF(LEFT(UPPER(TRIM(D_Points!$B$5:$B$204)),2)="EX",1,IF(LEFT(UPPER(TRIM(D_Points!$B$5:$B$204)),2)="PR",2,2))),"")</f>
        <v/>
      </c>
      <c r="T927" s="181" t="str">
        <f>IFERROR(LOOKUP(2,1/((B_Drainage!$A$5:$A$204&lt;&gt;"")*(B_Drainage!$A$5:$A$204&lt;=$B927)*(B_Drainage!$B$5:$B$204&gt;$B927)*(B_Drainage!$E$5:$E$204&lt;&gt;"")),IF(B_Drainage!$E$5:$E$204="-","",1)),"")</f>
        <v/>
      </c>
      <c r="U927" s="181" t="str">
        <f>IFERROR(LOOKUP(2,1/((B_Drainage!$A$5:$A$204&lt;&gt;"")*(B_Drainage!$A$5:$A$204&lt;=$B927)*(B_Drainage!$B$5:$B$204&gt;$B927)*(B_Drainage!$E$5:$E$204&lt;&gt;"")),IF(B_Drainage!$E$5:$E$204="-","",B_Drainage!$E$5:$E$204)),"")</f>
        <v/>
      </c>
      <c r="V927" s="181" t="str">
        <f>IFERROR(LOOKUP(2,1/((B_Drainage!$A$5:$A$204&lt;&gt;"")*(B_Drainage!$A$5:$A$204&lt;=$B927)*(B_Drainage!$B$5:$B$204&gt;$B927)*(B_Drainage!$F$5:$F$204&lt;&gt;"")),IF(B_Drainage!$F$5:$F$204="-","",1)),"")</f>
        <v/>
      </c>
      <c r="W927" s="181" t="str">
        <f>IFERROR(LOOKUP(2,1/((B_Drainage!$A$5:$A$204&lt;&gt;"")*(B_Drainage!$A$5:$A$204&lt;=$B927)*(B_Drainage!$B$5:$B$204&gt;$B927)*(B_Drainage!$F$5:$F$204&lt;&gt;"")),IF(B_Drainage!$F$5:$F$204="-","",B_Drainage!$F$5:$F$204)),"")</f>
        <v/>
      </c>
      <c r="X927" s="181" t="str">
        <f>IFERROR(LOOKUP(2,1/((B_Drainage!$A$5:$A$204&lt;&gt;"")*(B_Drainage!$A$5:$A$204&lt;=$B927)*(B_Drainage!$B$5:$B$204&gt;$B927)*(B_Drainage!$G$5:$G$204&lt;&gt;"")),IF(UPPER(B_Drainage!$G$5:$G$204)="Y",1,"")),"")</f>
        <v/>
      </c>
      <c r="Y927" s="181" t="str">
        <f>IFERROR(LOOKUP(2,1/((B_Drainage!$A$5:$A$204&lt;&gt;"")*(B_Drainage!$A$5:$A$204&lt;=$B927)*(B_Drainage!$B$5:$B$204&gt;$B927)*(B_Drainage!$H$5:$H$204&lt;&gt;"")),IF(UPPER(B_Drainage!$H$5:$H$204)="Y",1,"")),"")</f>
        <v/>
      </c>
      <c r="Z927" s="181" t="str">
        <f>IFERROR(LOOKUP(2,1/((B_Drainage!$A$5:$A$204&lt;&gt;"")*(B_Drainage!$A$5:$A$204&lt;=$B927)*(B_Drainage!$B$5:$B$204&gt;$B927)*(B_Drainage!$I$5:$I$204&lt;&gt;"")),IF(UPPER(B_Drainage!$I$5:$I$204)="Y",1,"")),"")</f>
        <v/>
      </c>
      <c r="AA927" s="181" t="str">
        <f>IFERROR(LOOKUP(2,1/((B_Drainage!$A$5:$A$204&lt;&gt;"")*(B_Drainage!$A$5:$A$204&lt;=$B927)*(B_Drainage!$B$5:$B$204&gt;$B927)*(B_Drainage!$J$5:$J$204&lt;&gt;"")),IF(UPPER(B_Drainage!$J$5:$J$204)="Y",1,"")),"")</f>
        <v/>
      </c>
      <c r="AB927" s="182" t="str">
        <f>IFERROR(LOOKUP(2,1/((B_Drainage!$A$5:$A$204&lt;&gt;"")*(B_Drainage!$A$5:$A$204&lt;=$B927)*(B_Drainage!$B$5:$B$204&gt;$B927)*(B_Drainage!$K$5:$K$204&lt;&gt;"")),IF(B_Drainage!$K$5:$K$204="-","",B_Drainage!$K$5:$K$204)),"")</f>
        <v/>
      </c>
      <c r="AC927" s="182" t="str">
        <f>IFERROR(LOOKUP(2,1/((B_Drainage!$A$5:$A$204&lt;&gt;"")*(B_Drainage!$A$5:$A$204&lt;=$B927)*(B_Drainage!$B$5:$B$204&gt;$B927)*(B_Drainage!$L$5:$L$204&lt;&gt;"")),IF(B_Drainage!$L$5:$L$204="-","",B_Drainage!$L$5:$L$204)),"")</f>
        <v/>
      </c>
      <c r="AD927" s="182" t="str">
        <f>IFERROR(LOOKUP(2,1/((D_Points!$A$5:$A$204&lt;&gt;"")*(D_Points!$A$5:$A$204&gt;=$B927)*(D_Points!$A$5:$A$204&lt;$B927+P_Interval)*(UPPER(TRIM(D_Points!$B$5:$B$204))="TURNOUT_L")*(D_Points!$H$5:$H$204&lt;&gt;"")),D_Points!$H$5:$H$204),"")</f>
        <v/>
      </c>
      <c r="AE927" s="182" t="str">
        <f>IFERROR(LOOKUP(2,1/((D_Points!$A$5:$A$204&lt;&gt;"")*(D_Points!$A$5:$A$204&gt;=$B927)*(D_Points!$A$5:$A$204&lt;$B927+P_Interval)*(UPPER(TRIM(D_Points!$B$5:$B$204))="TURNOUT_R")*(D_Points!$H$5:$H$204&lt;&gt;"")),D_Points!$H$5:$H$204),"")</f>
        <v/>
      </c>
      <c r="AF927" s="181" t="str">
        <f>IFERROR(LOOKUP(2,1/((B_Drainage!$A$5:$A$204&lt;&gt;"")*(B_Drainage!$A$5:$A$204&lt;=$B927)*(B_Drainage!$B$5:$B$204&gt;$B927)*(B_Drainage!$M$5:$M$204&lt;&gt;"")),IF(UPPER(B_Drainage!$M$5:$M$204)="Y",1,"")),"")</f>
        <v/>
      </c>
      <c r="AG927" s="181" t="str">
        <f>IFERROR(LOOKUP(2,1/((B_Drainage!$A$5:$A$204&lt;&gt;"")*(B_Drainage!$A$5:$A$204&lt;=$B927)*(B_Drainage!$B$5:$B$204&gt;$B927)*(B_Drainage!$N$5:$N$204&lt;&gt;"")),IF(UPPER(B_Drainage!$N$5:$N$204)="Y",1,"")),"")</f>
        <v/>
      </c>
      <c r="AH927" s="181" t="str">
        <f t="shared" si="112"/>
        <v/>
      </c>
      <c r="AI927" s="181" t="str">
        <f t="shared" si="113"/>
        <v/>
      </c>
      <c r="AJ927" s="181" t="str">
        <f t="shared" si="114"/>
        <v/>
      </c>
      <c r="AK927" s="181" t="str">
        <f t="shared" si="115"/>
        <v/>
      </c>
      <c r="AL927" s="181" t="str">
        <f t="shared" si="116"/>
        <v/>
      </c>
      <c r="AM927" s="181" t="str">
        <f t="shared" si="117"/>
        <v/>
      </c>
      <c r="AN927" s="181" t="str">
        <f t="shared" si="118"/>
        <v/>
      </c>
      <c r="AO927" s="192" t="str">
        <f t="shared" si="119"/>
        <v/>
      </c>
      <c r="AQ927" t="str">
        <f>IFERROR(LOOKUP(2,1/((C_Pavement!$A$5:$A$204&lt;&gt;"")*(C_Pavement!$A$5:$A$204&lt;=$B927)*(C_Pavement!$B$5:$B$204&gt;$B927)*(C_Pavement!$C$5:$C$204&lt;&gt;"")),ROW(C_Pavement!$C$5:$C$204)-4),"")</f>
        <v/>
      </c>
      <c r="AR927" t="str">
        <f>IF($AQ927="","",UPPER(TRIM(INDEX(C_Pavement!$C$5:$C$204,$AQ927))))</f>
        <v/>
      </c>
      <c r="AS927" t="str">
        <f>IF($AR927="","",IFERROR(MATCH($AR927,E_Rules!$A$5:$A$9,0),""))</f>
        <v/>
      </c>
      <c r="AT927" t="str">
        <f>IF($AQ927="","",IF(INDEX(C_Pavement!$D$5:$D$204,$AQ927)&lt;&gt;"",UPPER(TRIM(INDEX(C_Pavement!$D$5:$D$204,$AQ927))),IF($AS927="","",INDEX(E_Rules!$C$5:$C$9,$AS927))))</f>
        <v/>
      </c>
      <c r="AU927" t="str">
        <f>IF($AQ927="","",IF(INDEX(C_Pavement!$E$5:$E$204,$AQ927)&lt;&gt;"",IF(INDEX(C_Pavement!$E$5:$E$204,$AQ927)="-","",INDEX(C_Pavement!$E$5:$E$204,$AQ927)),IF($AS927="","",INDEX(E_Rules!$D$5:$D$9,$AS927))))</f>
        <v/>
      </c>
      <c r="AV927" t="str">
        <f>IF($AQ927="","",IF(INDEX(C_Pavement!$F$5:$F$204,$AQ927)&lt;&gt;"",IF(INDEX(C_Pavement!$F$5:$F$204,$AQ927)="-","",INDEX(C_Pavement!$F$5:$F$204,$AQ927)),IF($AS927="","",INDEX(E_Rules!$E$5:$E$9,$AS927))))</f>
        <v/>
      </c>
      <c r="AW927" t="str">
        <f>IF($AQ927="","",IF(INDEX(C_Pavement!$G$5:$G$204,$AQ927)&lt;&gt;"",IF(INDEX(C_Pavement!$G$5:$G$204,$AQ927)="-","",INDEX(C_Pavement!$G$5:$G$204,$AQ927)),IF($AS927="","",INDEX(E_Rules!$F$5:$F$9,$AS927))))</f>
        <v/>
      </c>
      <c r="AX927" t="str">
        <f>IF($AQ927="","",IF(INDEX(C_Pavement!$H$5:$H$204,$AQ927)&lt;&gt;"",IF(INDEX(C_Pavement!$H$5:$H$204,$AQ927)="-","",INDEX(C_Pavement!$H$5:$H$204,$AQ927)),IF($AS927="","",INDEX(E_Rules!$G$5:$G$9,$AS927))))</f>
        <v/>
      </c>
      <c r="AY927" t="str">
        <f>IF($AQ927="","",IF(INDEX(C_Pavement!$I$5:$I$204,$AQ927)&lt;&gt;"",IF(INDEX(C_Pavement!$I$5:$I$204,$AQ927)="-","",INDEX(C_Pavement!$I$5:$I$204,$AQ927)),IF($AS927="","",INDEX(E_Rules!$H$5:$H$9,$AS927))))</f>
        <v/>
      </c>
    </row>
    <row r="928" spans="1:51" ht="15.75" customHeight="1" x14ac:dyDescent="0.3">
      <c r="A928" s="189">
        <v>923</v>
      </c>
      <c r="B928" s="180">
        <v>46100</v>
      </c>
      <c r="C928" s="180" t="s">
        <v>1234</v>
      </c>
      <c r="D928" s="181" t="str">
        <f>IFERROR(LOOKUP(2,1/((A_Corridor!$A$5:$A$204&lt;&gt;"")*(A_Corridor!$A$5:$A$204&lt;=$B928)*(A_Corridor!$B$5:$B$204&gt;$B928)*(A_Corridor!$C$5:$C$204&lt;&gt;"")),IF(UPPER(A_Corridor!$C$5:$C$204)="Y",1,"")),"")</f>
        <v/>
      </c>
      <c r="E928" s="181" t="str">
        <f>IFERROR(LOOKUP(2,1/((A_Corridor!$A$5:$A$204&lt;&gt;"")*(A_Corridor!$A$5:$A$204&lt;=$B928)*(A_Corridor!$B$5:$B$204&gt;$B928)*(A_Corridor!$D$5:$D$204&lt;&gt;"")),IF(A_Corridor!$D$5:$D$204="-","",UPPER(A_Corridor!$D$5:$D$204))),"")</f>
        <v/>
      </c>
      <c r="F928" s="181" t="str">
        <f>IFERROR(LOOKUP(2,1/((A_Corridor!$A$5:$A$204&lt;&gt;"")*(A_Corridor!$A$5:$A$204&lt;=$B928)*(A_Corridor!$B$5:$B$204&gt;$B928)*(A_Corridor!$E$5:$E$204&lt;&gt;"")),IF(A_Corridor!$E$5:$E$204="-","",1)),"")</f>
        <v/>
      </c>
      <c r="G928" s="182" t="str">
        <f>IFERROR(LOOKUP(2,1/((A_Corridor!$A$5:$A$204&lt;&gt;"")*(A_Corridor!$A$5:$A$204&lt;=$B928)*(A_Corridor!$B$5:$B$204&gt;$B928)*(A_Corridor!$E$5:$E$204&lt;&gt;"")),IF(A_Corridor!$E$5:$E$204="-","",A_Corridor!$E$5:$E$204)),"")</f>
        <v/>
      </c>
      <c r="H928" s="182" t="str">
        <f>IFERROR(LOOKUP(2,1/((D_Points!$A$5:$A$204&lt;&gt;"")*(D_Points!$A$5:$A$204&gt;=$B928)*(D_Points!$A$5:$A$204&lt;$B928+P_Interval)*(UPPER(TRIM(D_Points!$B$5:$B$204))="GULLY")*(D_Points!$H$5:$H$204&lt;&gt;"")),D_Points!$H$5:$H$204),"")</f>
        <v/>
      </c>
      <c r="I928" s="181" t="str">
        <f>IFERROR(LOOKUP(2,1/((A_Corridor!$A$5:$A$204&lt;&gt;"")*(A_Corridor!$A$5:$A$204&lt;=$B928)*(A_Corridor!$B$5:$B$204&gt;$B928)*(A_Corridor!$F$5:$F$204&lt;&gt;"")),IF(A_Corridor!$F$5:$F$204="-","",1)),"")</f>
        <v/>
      </c>
      <c r="J928" s="182" t="str">
        <f>IFERROR(LOOKUP(2,1/((A_Corridor!$A$5:$A$204&lt;&gt;"")*(A_Corridor!$A$5:$A$204&lt;=$B928)*(A_Corridor!$B$5:$B$204&gt;$B928)*(A_Corridor!$F$5:$F$204&lt;&gt;"")),IF(A_Corridor!$F$5:$F$204="-","",A_Corridor!$F$5:$F$204)),"")</f>
        <v/>
      </c>
      <c r="K928" s="182" t="str">
        <f>IFERROR(LOOKUP(2,1/((A_Corridor!$A$5:$A$204&lt;&gt;"")*(A_Corridor!$A$5:$A$204&lt;=$B928)*(A_Corridor!$B$5:$B$204&gt;$B928)*(A_Corridor!$G$5:$G$204&lt;&gt;"")),IF(A_Corridor!$G$5:$G$204="-","",A_Corridor!$G$5:$G$204)),"")</f>
        <v/>
      </c>
      <c r="L928" s="181" t="str">
        <f>IFERROR(LOOKUP(2,1/((A_Corridor!$A$5:$A$204&lt;&gt;"")*(A_Corridor!$A$5:$A$204&lt;=$B928)*(A_Corridor!$B$5:$B$204&gt;$B928)*(A_Corridor!$H$5:$H$204&lt;&gt;"")),IF(A_Corridor!$H$5:$H$204="-","",1)),"")</f>
        <v/>
      </c>
      <c r="M928" s="182" t="str">
        <f>IFERROR(LOOKUP(2,1/((A_Corridor!$A$5:$A$204&lt;&gt;"")*(A_Corridor!$A$5:$A$204&lt;=$B928)*(A_Corridor!$B$5:$B$204&gt;$B928)*(A_Corridor!$H$5:$H$204&lt;&gt;"")),IF(A_Corridor!$H$5:$H$204="-","",A_Corridor!$H$5:$H$204)),"")</f>
        <v/>
      </c>
      <c r="N928" s="182" t="str">
        <f>IFERROR(LOOKUP(2,1/((A_Corridor!$A$5:$A$204&lt;&gt;"")*(A_Corridor!$A$5:$A$204&lt;=$B928)*(A_Corridor!$B$5:$B$204&gt;$B928)*(A_Corridor!$I$5:$I$204&lt;&gt;"")),IF(A_Corridor!$I$5:$I$204="-","",A_Corridor!$I$5:$I$204)),"")</f>
        <v/>
      </c>
      <c r="O928" s="182" t="str">
        <f>IFERROR(LOOKUP(2,1/((D_Points!$A$5:$A$204&lt;&gt;"")*(D_Points!$A$5:$A$204&gt;=$B928)*(D_Points!$A$5:$A$204&lt;$B928+P_Interval)*(UPPER(TRIM(D_Points!$B$5:$B$204))="PITCHING")*(D_Points!$H$5:$H$204&lt;&gt;"")),D_Points!$H$5:$H$204),"")</f>
        <v/>
      </c>
      <c r="P928" s="181" t="str">
        <f>IFERROR(LOOKUP(2,1/((B_Drainage!$A$5:$A$204&lt;&gt;"")*(B_Drainage!$A$5:$A$204&lt;=$B928)*(B_Drainage!$B$5:$B$204&gt;$B928)*(B_Drainage!$C$5:$C$204&lt;&gt;"")),IF(B_Drainage!$C$5:$C$204="-","",UPPER(B_Drainage!$C$5:$C$204))),"")</f>
        <v/>
      </c>
      <c r="Q928" s="181" t="str">
        <f>IFERROR(LOOKUP(2,1/((B_Drainage!$A$5:$A$204&lt;&gt;"")*(B_Drainage!$A$5:$A$204&lt;=$B928)*(B_Drainage!$B$5:$B$204&gt;$B928)*(B_Drainage!$D$5:$D$204&lt;&gt;"")),IF(B_Drainage!$D$5:$D$204="-","",UPPER(B_Drainage!$D$5:$D$204))),"")</f>
        <v/>
      </c>
      <c r="R928" s="182" t="str">
        <f>IFERROR(LOOKUP(2,1/((D_Points!$A$5:$A$204&lt;&gt;"")*(D_Points!$A$5:$A$204&gt;=$B928)*(D_Points!$A$5:$A$204&lt;$B928+P_Interval)*(RIGHT(UPPER(TRIM(D_Points!$B$5:$B$204)),8)="_CULVERT")),IF(LEFT(UPPER(TRIM(D_Points!$B$5:$B$204)),2)="EX",1,IF(LEFT(UPPER(TRIM(D_Points!$B$5:$B$204)),2)="PR",2,3))),"")</f>
        <v/>
      </c>
      <c r="S928" s="182" t="str">
        <f>IFERROR(LOOKUP(2,1/((D_Points!$A$5:$A$204&lt;&gt;"")*(D_Points!$A$5:$A$204&gt;=$B928)*(D_Points!$A$5:$A$204&lt;$B928+P_Interval)*(RIGHT(UPPER(TRIM(D_Points!$B$5:$B$204)),7)="_BRIDGE")),IF(LEFT(UPPER(TRIM(D_Points!$B$5:$B$204)),2)="EX",1,IF(LEFT(UPPER(TRIM(D_Points!$B$5:$B$204)),2)="PR",2,2))),"")</f>
        <v/>
      </c>
      <c r="T928" s="181" t="str">
        <f>IFERROR(LOOKUP(2,1/((B_Drainage!$A$5:$A$204&lt;&gt;"")*(B_Drainage!$A$5:$A$204&lt;=$B928)*(B_Drainage!$B$5:$B$204&gt;$B928)*(B_Drainage!$E$5:$E$204&lt;&gt;"")),IF(B_Drainage!$E$5:$E$204="-","",1)),"")</f>
        <v/>
      </c>
      <c r="U928" s="181" t="str">
        <f>IFERROR(LOOKUP(2,1/((B_Drainage!$A$5:$A$204&lt;&gt;"")*(B_Drainage!$A$5:$A$204&lt;=$B928)*(B_Drainage!$B$5:$B$204&gt;$B928)*(B_Drainage!$E$5:$E$204&lt;&gt;"")),IF(B_Drainage!$E$5:$E$204="-","",B_Drainage!$E$5:$E$204)),"")</f>
        <v/>
      </c>
      <c r="V928" s="181" t="str">
        <f>IFERROR(LOOKUP(2,1/((B_Drainage!$A$5:$A$204&lt;&gt;"")*(B_Drainage!$A$5:$A$204&lt;=$B928)*(B_Drainage!$B$5:$B$204&gt;$B928)*(B_Drainage!$F$5:$F$204&lt;&gt;"")),IF(B_Drainage!$F$5:$F$204="-","",1)),"")</f>
        <v/>
      </c>
      <c r="W928" s="181" t="str">
        <f>IFERROR(LOOKUP(2,1/((B_Drainage!$A$5:$A$204&lt;&gt;"")*(B_Drainage!$A$5:$A$204&lt;=$B928)*(B_Drainage!$B$5:$B$204&gt;$B928)*(B_Drainage!$F$5:$F$204&lt;&gt;"")),IF(B_Drainage!$F$5:$F$204="-","",B_Drainage!$F$5:$F$204)),"")</f>
        <v/>
      </c>
      <c r="X928" s="181" t="str">
        <f>IFERROR(LOOKUP(2,1/((B_Drainage!$A$5:$A$204&lt;&gt;"")*(B_Drainage!$A$5:$A$204&lt;=$B928)*(B_Drainage!$B$5:$B$204&gt;$B928)*(B_Drainage!$G$5:$G$204&lt;&gt;"")),IF(UPPER(B_Drainage!$G$5:$G$204)="Y",1,"")),"")</f>
        <v/>
      </c>
      <c r="Y928" s="181" t="str">
        <f>IFERROR(LOOKUP(2,1/((B_Drainage!$A$5:$A$204&lt;&gt;"")*(B_Drainage!$A$5:$A$204&lt;=$B928)*(B_Drainage!$B$5:$B$204&gt;$B928)*(B_Drainage!$H$5:$H$204&lt;&gt;"")),IF(UPPER(B_Drainage!$H$5:$H$204)="Y",1,"")),"")</f>
        <v/>
      </c>
      <c r="Z928" s="181" t="str">
        <f>IFERROR(LOOKUP(2,1/((B_Drainage!$A$5:$A$204&lt;&gt;"")*(B_Drainage!$A$5:$A$204&lt;=$B928)*(B_Drainage!$B$5:$B$204&gt;$B928)*(B_Drainage!$I$5:$I$204&lt;&gt;"")),IF(UPPER(B_Drainage!$I$5:$I$204)="Y",1,"")),"")</f>
        <v/>
      </c>
      <c r="AA928" s="181" t="str">
        <f>IFERROR(LOOKUP(2,1/((B_Drainage!$A$5:$A$204&lt;&gt;"")*(B_Drainage!$A$5:$A$204&lt;=$B928)*(B_Drainage!$B$5:$B$204&gt;$B928)*(B_Drainage!$J$5:$J$204&lt;&gt;"")),IF(UPPER(B_Drainage!$J$5:$J$204)="Y",1,"")),"")</f>
        <v/>
      </c>
      <c r="AB928" s="182" t="str">
        <f>IFERROR(LOOKUP(2,1/((B_Drainage!$A$5:$A$204&lt;&gt;"")*(B_Drainage!$A$5:$A$204&lt;=$B928)*(B_Drainage!$B$5:$B$204&gt;$B928)*(B_Drainage!$K$5:$K$204&lt;&gt;"")),IF(B_Drainage!$K$5:$K$204="-","",B_Drainage!$K$5:$K$204)),"")</f>
        <v/>
      </c>
      <c r="AC928" s="182" t="str">
        <f>IFERROR(LOOKUP(2,1/((B_Drainage!$A$5:$A$204&lt;&gt;"")*(B_Drainage!$A$5:$A$204&lt;=$B928)*(B_Drainage!$B$5:$B$204&gt;$B928)*(B_Drainage!$L$5:$L$204&lt;&gt;"")),IF(B_Drainage!$L$5:$L$204="-","",B_Drainage!$L$5:$L$204)),"")</f>
        <v/>
      </c>
      <c r="AD928" s="182" t="str">
        <f>IFERROR(LOOKUP(2,1/((D_Points!$A$5:$A$204&lt;&gt;"")*(D_Points!$A$5:$A$204&gt;=$B928)*(D_Points!$A$5:$A$204&lt;$B928+P_Interval)*(UPPER(TRIM(D_Points!$B$5:$B$204))="TURNOUT_L")*(D_Points!$H$5:$H$204&lt;&gt;"")),D_Points!$H$5:$H$204),"")</f>
        <v/>
      </c>
      <c r="AE928" s="182" t="str">
        <f>IFERROR(LOOKUP(2,1/((D_Points!$A$5:$A$204&lt;&gt;"")*(D_Points!$A$5:$A$204&gt;=$B928)*(D_Points!$A$5:$A$204&lt;$B928+P_Interval)*(UPPER(TRIM(D_Points!$B$5:$B$204))="TURNOUT_R")*(D_Points!$H$5:$H$204&lt;&gt;"")),D_Points!$H$5:$H$204),"")</f>
        <v/>
      </c>
      <c r="AF928" s="181" t="str">
        <f>IFERROR(LOOKUP(2,1/((B_Drainage!$A$5:$A$204&lt;&gt;"")*(B_Drainage!$A$5:$A$204&lt;=$B928)*(B_Drainage!$B$5:$B$204&gt;$B928)*(B_Drainage!$M$5:$M$204&lt;&gt;"")),IF(UPPER(B_Drainage!$M$5:$M$204)="Y",1,"")),"")</f>
        <v/>
      </c>
      <c r="AG928" s="181" t="str">
        <f>IFERROR(LOOKUP(2,1/((B_Drainage!$A$5:$A$204&lt;&gt;"")*(B_Drainage!$A$5:$A$204&lt;=$B928)*(B_Drainage!$B$5:$B$204&gt;$B928)*(B_Drainage!$N$5:$N$204&lt;&gt;"")),IF(UPPER(B_Drainage!$N$5:$N$204)="Y",1,"")),"")</f>
        <v/>
      </c>
      <c r="AH928" s="181" t="str">
        <f t="shared" si="112"/>
        <v/>
      </c>
      <c r="AI928" s="181" t="str">
        <f t="shared" si="113"/>
        <v/>
      </c>
      <c r="AJ928" s="181" t="str">
        <f t="shared" si="114"/>
        <v/>
      </c>
      <c r="AK928" s="181" t="str">
        <f t="shared" si="115"/>
        <v/>
      </c>
      <c r="AL928" s="181" t="str">
        <f t="shared" si="116"/>
        <v/>
      </c>
      <c r="AM928" s="181" t="str">
        <f t="shared" si="117"/>
        <v/>
      </c>
      <c r="AN928" s="181" t="str">
        <f t="shared" si="118"/>
        <v/>
      </c>
      <c r="AO928" s="192" t="str">
        <f t="shared" si="119"/>
        <v/>
      </c>
      <c r="AQ928" t="str">
        <f>IFERROR(LOOKUP(2,1/((C_Pavement!$A$5:$A$204&lt;&gt;"")*(C_Pavement!$A$5:$A$204&lt;=$B928)*(C_Pavement!$B$5:$B$204&gt;$B928)*(C_Pavement!$C$5:$C$204&lt;&gt;"")),ROW(C_Pavement!$C$5:$C$204)-4),"")</f>
        <v/>
      </c>
      <c r="AR928" t="str">
        <f>IF($AQ928="","",UPPER(TRIM(INDEX(C_Pavement!$C$5:$C$204,$AQ928))))</f>
        <v/>
      </c>
      <c r="AS928" t="str">
        <f>IF($AR928="","",IFERROR(MATCH($AR928,E_Rules!$A$5:$A$9,0),""))</f>
        <v/>
      </c>
      <c r="AT928" t="str">
        <f>IF($AQ928="","",IF(INDEX(C_Pavement!$D$5:$D$204,$AQ928)&lt;&gt;"",UPPER(TRIM(INDEX(C_Pavement!$D$5:$D$204,$AQ928))),IF($AS928="","",INDEX(E_Rules!$C$5:$C$9,$AS928))))</f>
        <v/>
      </c>
      <c r="AU928" t="str">
        <f>IF($AQ928="","",IF(INDEX(C_Pavement!$E$5:$E$204,$AQ928)&lt;&gt;"",IF(INDEX(C_Pavement!$E$5:$E$204,$AQ928)="-","",INDEX(C_Pavement!$E$5:$E$204,$AQ928)),IF($AS928="","",INDEX(E_Rules!$D$5:$D$9,$AS928))))</f>
        <v/>
      </c>
      <c r="AV928" t="str">
        <f>IF($AQ928="","",IF(INDEX(C_Pavement!$F$5:$F$204,$AQ928)&lt;&gt;"",IF(INDEX(C_Pavement!$F$5:$F$204,$AQ928)="-","",INDEX(C_Pavement!$F$5:$F$204,$AQ928)),IF($AS928="","",INDEX(E_Rules!$E$5:$E$9,$AS928))))</f>
        <v/>
      </c>
      <c r="AW928" t="str">
        <f>IF($AQ928="","",IF(INDEX(C_Pavement!$G$5:$G$204,$AQ928)&lt;&gt;"",IF(INDEX(C_Pavement!$G$5:$G$204,$AQ928)="-","",INDEX(C_Pavement!$G$5:$G$204,$AQ928)),IF($AS928="","",INDEX(E_Rules!$F$5:$F$9,$AS928))))</f>
        <v/>
      </c>
      <c r="AX928" t="str">
        <f>IF($AQ928="","",IF(INDEX(C_Pavement!$H$5:$H$204,$AQ928)&lt;&gt;"",IF(INDEX(C_Pavement!$H$5:$H$204,$AQ928)="-","",INDEX(C_Pavement!$H$5:$H$204,$AQ928)),IF($AS928="","",INDEX(E_Rules!$G$5:$G$9,$AS928))))</f>
        <v/>
      </c>
      <c r="AY928" t="str">
        <f>IF($AQ928="","",IF(INDEX(C_Pavement!$I$5:$I$204,$AQ928)&lt;&gt;"",IF(INDEX(C_Pavement!$I$5:$I$204,$AQ928)="-","",INDEX(C_Pavement!$I$5:$I$204,$AQ928)),IF($AS928="","",INDEX(E_Rules!$H$5:$H$9,$AS928))))</f>
        <v/>
      </c>
    </row>
    <row r="929" spans="1:51" ht="15.75" customHeight="1" x14ac:dyDescent="0.3">
      <c r="A929" s="189">
        <v>924</v>
      </c>
      <c r="B929" s="180">
        <v>46150</v>
      </c>
      <c r="C929" s="180" t="s">
        <v>1235</v>
      </c>
      <c r="D929" s="181" t="str">
        <f>IFERROR(LOOKUP(2,1/((A_Corridor!$A$5:$A$204&lt;&gt;"")*(A_Corridor!$A$5:$A$204&lt;=$B929)*(A_Corridor!$B$5:$B$204&gt;$B929)*(A_Corridor!$C$5:$C$204&lt;&gt;"")),IF(UPPER(A_Corridor!$C$5:$C$204)="Y",1,"")),"")</f>
        <v/>
      </c>
      <c r="E929" s="181" t="str">
        <f>IFERROR(LOOKUP(2,1/((A_Corridor!$A$5:$A$204&lt;&gt;"")*(A_Corridor!$A$5:$A$204&lt;=$B929)*(A_Corridor!$B$5:$B$204&gt;$B929)*(A_Corridor!$D$5:$D$204&lt;&gt;"")),IF(A_Corridor!$D$5:$D$204="-","",UPPER(A_Corridor!$D$5:$D$204))),"")</f>
        <v/>
      </c>
      <c r="F929" s="181" t="str">
        <f>IFERROR(LOOKUP(2,1/((A_Corridor!$A$5:$A$204&lt;&gt;"")*(A_Corridor!$A$5:$A$204&lt;=$B929)*(A_Corridor!$B$5:$B$204&gt;$B929)*(A_Corridor!$E$5:$E$204&lt;&gt;"")),IF(A_Corridor!$E$5:$E$204="-","",1)),"")</f>
        <v/>
      </c>
      <c r="G929" s="182" t="str">
        <f>IFERROR(LOOKUP(2,1/((A_Corridor!$A$5:$A$204&lt;&gt;"")*(A_Corridor!$A$5:$A$204&lt;=$B929)*(A_Corridor!$B$5:$B$204&gt;$B929)*(A_Corridor!$E$5:$E$204&lt;&gt;"")),IF(A_Corridor!$E$5:$E$204="-","",A_Corridor!$E$5:$E$204)),"")</f>
        <v/>
      </c>
      <c r="H929" s="182" t="str">
        <f>IFERROR(LOOKUP(2,1/((D_Points!$A$5:$A$204&lt;&gt;"")*(D_Points!$A$5:$A$204&gt;=$B929)*(D_Points!$A$5:$A$204&lt;$B929+P_Interval)*(UPPER(TRIM(D_Points!$B$5:$B$204))="GULLY")*(D_Points!$H$5:$H$204&lt;&gt;"")),D_Points!$H$5:$H$204),"")</f>
        <v/>
      </c>
      <c r="I929" s="181" t="str">
        <f>IFERROR(LOOKUP(2,1/((A_Corridor!$A$5:$A$204&lt;&gt;"")*(A_Corridor!$A$5:$A$204&lt;=$B929)*(A_Corridor!$B$5:$B$204&gt;$B929)*(A_Corridor!$F$5:$F$204&lt;&gt;"")),IF(A_Corridor!$F$5:$F$204="-","",1)),"")</f>
        <v/>
      </c>
      <c r="J929" s="182" t="str">
        <f>IFERROR(LOOKUP(2,1/((A_Corridor!$A$5:$A$204&lt;&gt;"")*(A_Corridor!$A$5:$A$204&lt;=$B929)*(A_Corridor!$B$5:$B$204&gt;$B929)*(A_Corridor!$F$5:$F$204&lt;&gt;"")),IF(A_Corridor!$F$5:$F$204="-","",A_Corridor!$F$5:$F$204)),"")</f>
        <v/>
      </c>
      <c r="K929" s="182" t="str">
        <f>IFERROR(LOOKUP(2,1/((A_Corridor!$A$5:$A$204&lt;&gt;"")*(A_Corridor!$A$5:$A$204&lt;=$B929)*(A_Corridor!$B$5:$B$204&gt;$B929)*(A_Corridor!$G$5:$G$204&lt;&gt;"")),IF(A_Corridor!$G$5:$G$204="-","",A_Corridor!$G$5:$G$204)),"")</f>
        <v/>
      </c>
      <c r="L929" s="181" t="str">
        <f>IFERROR(LOOKUP(2,1/((A_Corridor!$A$5:$A$204&lt;&gt;"")*(A_Corridor!$A$5:$A$204&lt;=$B929)*(A_Corridor!$B$5:$B$204&gt;$B929)*(A_Corridor!$H$5:$H$204&lt;&gt;"")),IF(A_Corridor!$H$5:$H$204="-","",1)),"")</f>
        <v/>
      </c>
      <c r="M929" s="182" t="str">
        <f>IFERROR(LOOKUP(2,1/((A_Corridor!$A$5:$A$204&lt;&gt;"")*(A_Corridor!$A$5:$A$204&lt;=$B929)*(A_Corridor!$B$5:$B$204&gt;$B929)*(A_Corridor!$H$5:$H$204&lt;&gt;"")),IF(A_Corridor!$H$5:$H$204="-","",A_Corridor!$H$5:$H$204)),"")</f>
        <v/>
      </c>
      <c r="N929" s="182" t="str">
        <f>IFERROR(LOOKUP(2,1/((A_Corridor!$A$5:$A$204&lt;&gt;"")*(A_Corridor!$A$5:$A$204&lt;=$B929)*(A_Corridor!$B$5:$B$204&gt;$B929)*(A_Corridor!$I$5:$I$204&lt;&gt;"")),IF(A_Corridor!$I$5:$I$204="-","",A_Corridor!$I$5:$I$204)),"")</f>
        <v/>
      </c>
      <c r="O929" s="182" t="str">
        <f>IFERROR(LOOKUP(2,1/((D_Points!$A$5:$A$204&lt;&gt;"")*(D_Points!$A$5:$A$204&gt;=$B929)*(D_Points!$A$5:$A$204&lt;$B929+P_Interval)*(UPPER(TRIM(D_Points!$B$5:$B$204))="PITCHING")*(D_Points!$H$5:$H$204&lt;&gt;"")),D_Points!$H$5:$H$204),"")</f>
        <v/>
      </c>
      <c r="P929" s="181" t="str">
        <f>IFERROR(LOOKUP(2,1/((B_Drainage!$A$5:$A$204&lt;&gt;"")*(B_Drainage!$A$5:$A$204&lt;=$B929)*(B_Drainage!$B$5:$B$204&gt;$B929)*(B_Drainage!$C$5:$C$204&lt;&gt;"")),IF(B_Drainage!$C$5:$C$204="-","",UPPER(B_Drainage!$C$5:$C$204))),"")</f>
        <v/>
      </c>
      <c r="Q929" s="181" t="str">
        <f>IFERROR(LOOKUP(2,1/((B_Drainage!$A$5:$A$204&lt;&gt;"")*(B_Drainage!$A$5:$A$204&lt;=$B929)*(B_Drainage!$B$5:$B$204&gt;$B929)*(B_Drainage!$D$5:$D$204&lt;&gt;"")),IF(B_Drainage!$D$5:$D$204="-","",UPPER(B_Drainage!$D$5:$D$204))),"")</f>
        <v/>
      </c>
      <c r="R929" s="182" t="str">
        <f>IFERROR(LOOKUP(2,1/((D_Points!$A$5:$A$204&lt;&gt;"")*(D_Points!$A$5:$A$204&gt;=$B929)*(D_Points!$A$5:$A$204&lt;$B929+P_Interval)*(RIGHT(UPPER(TRIM(D_Points!$B$5:$B$204)),8)="_CULVERT")),IF(LEFT(UPPER(TRIM(D_Points!$B$5:$B$204)),2)="EX",1,IF(LEFT(UPPER(TRIM(D_Points!$B$5:$B$204)),2)="PR",2,3))),"")</f>
        <v/>
      </c>
      <c r="S929" s="182" t="str">
        <f>IFERROR(LOOKUP(2,1/((D_Points!$A$5:$A$204&lt;&gt;"")*(D_Points!$A$5:$A$204&gt;=$B929)*(D_Points!$A$5:$A$204&lt;$B929+P_Interval)*(RIGHT(UPPER(TRIM(D_Points!$B$5:$B$204)),7)="_BRIDGE")),IF(LEFT(UPPER(TRIM(D_Points!$B$5:$B$204)),2)="EX",1,IF(LEFT(UPPER(TRIM(D_Points!$B$5:$B$204)),2)="PR",2,2))),"")</f>
        <v/>
      </c>
      <c r="T929" s="181" t="str">
        <f>IFERROR(LOOKUP(2,1/((B_Drainage!$A$5:$A$204&lt;&gt;"")*(B_Drainage!$A$5:$A$204&lt;=$B929)*(B_Drainage!$B$5:$B$204&gt;$B929)*(B_Drainage!$E$5:$E$204&lt;&gt;"")),IF(B_Drainage!$E$5:$E$204="-","",1)),"")</f>
        <v/>
      </c>
      <c r="U929" s="181" t="str">
        <f>IFERROR(LOOKUP(2,1/((B_Drainage!$A$5:$A$204&lt;&gt;"")*(B_Drainage!$A$5:$A$204&lt;=$B929)*(B_Drainage!$B$5:$B$204&gt;$B929)*(B_Drainage!$E$5:$E$204&lt;&gt;"")),IF(B_Drainage!$E$5:$E$204="-","",B_Drainage!$E$5:$E$204)),"")</f>
        <v/>
      </c>
      <c r="V929" s="181" t="str">
        <f>IFERROR(LOOKUP(2,1/((B_Drainage!$A$5:$A$204&lt;&gt;"")*(B_Drainage!$A$5:$A$204&lt;=$B929)*(B_Drainage!$B$5:$B$204&gt;$B929)*(B_Drainage!$F$5:$F$204&lt;&gt;"")),IF(B_Drainage!$F$5:$F$204="-","",1)),"")</f>
        <v/>
      </c>
      <c r="W929" s="181" t="str">
        <f>IFERROR(LOOKUP(2,1/((B_Drainage!$A$5:$A$204&lt;&gt;"")*(B_Drainage!$A$5:$A$204&lt;=$B929)*(B_Drainage!$B$5:$B$204&gt;$B929)*(B_Drainage!$F$5:$F$204&lt;&gt;"")),IF(B_Drainage!$F$5:$F$204="-","",B_Drainage!$F$5:$F$204)),"")</f>
        <v/>
      </c>
      <c r="X929" s="181" t="str">
        <f>IFERROR(LOOKUP(2,1/((B_Drainage!$A$5:$A$204&lt;&gt;"")*(B_Drainage!$A$5:$A$204&lt;=$B929)*(B_Drainage!$B$5:$B$204&gt;$B929)*(B_Drainage!$G$5:$G$204&lt;&gt;"")),IF(UPPER(B_Drainage!$G$5:$G$204)="Y",1,"")),"")</f>
        <v/>
      </c>
      <c r="Y929" s="181" t="str">
        <f>IFERROR(LOOKUP(2,1/((B_Drainage!$A$5:$A$204&lt;&gt;"")*(B_Drainage!$A$5:$A$204&lt;=$B929)*(B_Drainage!$B$5:$B$204&gt;$B929)*(B_Drainage!$H$5:$H$204&lt;&gt;"")),IF(UPPER(B_Drainage!$H$5:$H$204)="Y",1,"")),"")</f>
        <v/>
      </c>
      <c r="Z929" s="181" t="str">
        <f>IFERROR(LOOKUP(2,1/((B_Drainage!$A$5:$A$204&lt;&gt;"")*(B_Drainage!$A$5:$A$204&lt;=$B929)*(B_Drainage!$B$5:$B$204&gt;$B929)*(B_Drainage!$I$5:$I$204&lt;&gt;"")),IF(UPPER(B_Drainage!$I$5:$I$204)="Y",1,"")),"")</f>
        <v/>
      </c>
      <c r="AA929" s="181" t="str">
        <f>IFERROR(LOOKUP(2,1/((B_Drainage!$A$5:$A$204&lt;&gt;"")*(B_Drainage!$A$5:$A$204&lt;=$B929)*(B_Drainage!$B$5:$B$204&gt;$B929)*(B_Drainage!$J$5:$J$204&lt;&gt;"")),IF(UPPER(B_Drainage!$J$5:$J$204)="Y",1,"")),"")</f>
        <v/>
      </c>
      <c r="AB929" s="182" t="str">
        <f>IFERROR(LOOKUP(2,1/((B_Drainage!$A$5:$A$204&lt;&gt;"")*(B_Drainage!$A$5:$A$204&lt;=$B929)*(B_Drainage!$B$5:$B$204&gt;$B929)*(B_Drainage!$K$5:$K$204&lt;&gt;"")),IF(B_Drainage!$K$5:$K$204="-","",B_Drainage!$K$5:$K$204)),"")</f>
        <v/>
      </c>
      <c r="AC929" s="182" t="str">
        <f>IFERROR(LOOKUP(2,1/((B_Drainage!$A$5:$A$204&lt;&gt;"")*(B_Drainage!$A$5:$A$204&lt;=$B929)*(B_Drainage!$B$5:$B$204&gt;$B929)*(B_Drainage!$L$5:$L$204&lt;&gt;"")),IF(B_Drainage!$L$5:$L$204="-","",B_Drainage!$L$5:$L$204)),"")</f>
        <v/>
      </c>
      <c r="AD929" s="182" t="str">
        <f>IFERROR(LOOKUP(2,1/((D_Points!$A$5:$A$204&lt;&gt;"")*(D_Points!$A$5:$A$204&gt;=$B929)*(D_Points!$A$5:$A$204&lt;$B929+P_Interval)*(UPPER(TRIM(D_Points!$B$5:$B$204))="TURNOUT_L")*(D_Points!$H$5:$H$204&lt;&gt;"")),D_Points!$H$5:$H$204),"")</f>
        <v/>
      </c>
      <c r="AE929" s="182" t="str">
        <f>IFERROR(LOOKUP(2,1/((D_Points!$A$5:$A$204&lt;&gt;"")*(D_Points!$A$5:$A$204&gt;=$B929)*(D_Points!$A$5:$A$204&lt;$B929+P_Interval)*(UPPER(TRIM(D_Points!$B$5:$B$204))="TURNOUT_R")*(D_Points!$H$5:$H$204&lt;&gt;"")),D_Points!$H$5:$H$204),"")</f>
        <v/>
      </c>
      <c r="AF929" s="181" t="str">
        <f>IFERROR(LOOKUP(2,1/((B_Drainage!$A$5:$A$204&lt;&gt;"")*(B_Drainage!$A$5:$A$204&lt;=$B929)*(B_Drainage!$B$5:$B$204&gt;$B929)*(B_Drainage!$M$5:$M$204&lt;&gt;"")),IF(UPPER(B_Drainage!$M$5:$M$204)="Y",1,"")),"")</f>
        <v/>
      </c>
      <c r="AG929" s="181" t="str">
        <f>IFERROR(LOOKUP(2,1/((B_Drainage!$A$5:$A$204&lt;&gt;"")*(B_Drainage!$A$5:$A$204&lt;=$B929)*(B_Drainage!$B$5:$B$204&gt;$B929)*(B_Drainage!$N$5:$N$204&lt;&gt;"")),IF(UPPER(B_Drainage!$N$5:$N$204)="Y",1,"")),"")</f>
        <v/>
      </c>
      <c r="AH929" s="181" t="str">
        <f t="shared" si="112"/>
        <v/>
      </c>
      <c r="AI929" s="181" t="str">
        <f t="shared" si="113"/>
        <v/>
      </c>
      <c r="AJ929" s="181" t="str">
        <f t="shared" si="114"/>
        <v/>
      </c>
      <c r="AK929" s="181" t="str">
        <f t="shared" si="115"/>
        <v/>
      </c>
      <c r="AL929" s="181" t="str">
        <f t="shared" si="116"/>
        <v/>
      </c>
      <c r="AM929" s="181" t="str">
        <f t="shared" si="117"/>
        <v/>
      </c>
      <c r="AN929" s="181" t="str">
        <f t="shared" si="118"/>
        <v/>
      </c>
      <c r="AO929" s="192" t="str">
        <f t="shared" si="119"/>
        <v/>
      </c>
      <c r="AQ929" t="str">
        <f>IFERROR(LOOKUP(2,1/((C_Pavement!$A$5:$A$204&lt;&gt;"")*(C_Pavement!$A$5:$A$204&lt;=$B929)*(C_Pavement!$B$5:$B$204&gt;$B929)*(C_Pavement!$C$5:$C$204&lt;&gt;"")),ROW(C_Pavement!$C$5:$C$204)-4),"")</f>
        <v/>
      </c>
      <c r="AR929" t="str">
        <f>IF($AQ929="","",UPPER(TRIM(INDEX(C_Pavement!$C$5:$C$204,$AQ929))))</f>
        <v/>
      </c>
      <c r="AS929" t="str">
        <f>IF($AR929="","",IFERROR(MATCH($AR929,E_Rules!$A$5:$A$9,0),""))</f>
        <v/>
      </c>
      <c r="AT929" t="str">
        <f>IF($AQ929="","",IF(INDEX(C_Pavement!$D$5:$D$204,$AQ929)&lt;&gt;"",UPPER(TRIM(INDEX(C_Pavement!$D$5:$D$204,$AQ929))),IF($AS929="","",INDEX(E_Rules!$C$5:$C$9,$AS929))))</f>
        <v/>
      </c>
      <c r="AU929" t="str">
        <f>IF($AQ929="","",IF(INDEX(C_Pavement!$E$5:$E$204,$AQ929)&lt;&gt;"",IF(INDEX(C_Pavement!$E$5:$E$204,$AQ929)="-","",INDEX(C_Pavement!$E$5:$E$204,$AQ929)),IF($AS929="","",INDEX(E_Rules!$D$5:$D$9,$AS929))))</f>
        <v/>
      </c>
      <c r="AV929" t="str">
        <f>IF($AQ929="","",IF(INDEX(C_Pavement!$F$5:$F$204,$AQ929)&lt;&gt;"",IF(INDEX(C_Pavement!$F$5:$F$204,$AQ929)="-","",INDEX(C_Pavement!$F$5:$F$204,$AQ929)),IF($AS929="","",INDEX(E_Rules!$E$5:$E$9,$AS929))))</f>
        <v/>
      </c>
      <c r="AW929" t="str">
        <f>IF($AQ929="","",IF(INDEX(C_Pavement!$G$5:$G$204,$AQ929)&lt;&gt;"",IF(INDEX(C_Pavement!$G$5:$G$204,$AQ929)="-","",INDEX(C_Pavement!$G$5:$G$204,$AQ929)),IF($AS929="","",INDEX(E_Rules!$F$5:$F$9,$AS929))))</f>
        <v/>
      </c>
      <c r="AX929" t="str">
        <f>IF($AQ929="","",IF(INDEX(C_Pavement!$H$5:$H$204,$AQ929)&lt;&gt;"",IF(INDEX(C_Pavement!$H$5:$H$204,$AQ929)="-","",INDEX(C_Pavement!$H$5:$H$204,$AQ929)),IF($AS929="","",INDEX(E_Rules!$G$5:$G$9,$AS929))))</f>
        <v/>
      </c>
      <c r="AY929" t="str">
        <f>IF($AQ929="","",IF(INDEX(C_Pavement!$I$5:$I$204,$AQ929)&lt;&gt;"",IF(INDEX(C_Pavement!$I$5:$I$204,$AQ929)="-","",INDEX(C_Pavement!$I$5:$I$204,$AQ929)),IF($AS929="","",INDEX(E_Rules!$H$5:$H$9,$AS929))))</f>
        <v/>
      </c>
    </row>
    <row r="930" spans="1:51" ht="15.75" customHeight="1" x14ac:dyDescent="0.3">
      <c r="A930" s="189">
        <v>925</v>
      </c>
      <c r="B930" s="180">
        <v>46200</v>
      </c>
      <c r="C930" s="180" t="s">
        <v>1236</v>
      </c>
      <c r="D930" s="181" t="str">
        <f>IFERROR(LOOKUP(2,1/((A_Corridor!$A$5:$A$204&lt;&gt;"")*(A_Corridor!$A$5:$A$204&lt;=$B930)*(A_Corridor!$B$5:$B$204&gt;$B930)*(A_Corridor!$C$5:$C$204&lt;&gt;"")),IF(UPPER(A_Corridor!$C$5:$C$204)="Y",1,"")),"")</f>
        <v/>
      </c>
      <c r="E930" s="181" t="str">
        <f>IFERROR(LOOKUP(2,1/((A_Corridor!$A$5:$A$204&lt;&gt;"")*(A_Corridor!$A$5:$A$204&lt;=$B930)*(A_Corridor!$B$5:$B$204&gt;$B930)*(A_Corridor!$D$5:$D$204&lt;&gt;"")),IF(A_Corridor!$D$5:$D$204="-","",UPPER(A_Corridor!$D$5:$D$204))),"")</f>
        <v/>
      </c>
      <c r="F930" s="181" t="str">
        <f>IFERROR(LOOKUP(2,1/((A_Corridor!$A$5:$A$204&lt;&gt;"")*(A_Corridor!$A$5:$A$204&lt;=$B930)*(A_Corridor!$B$5:$B$204&gt;$B930)*(A_Corridor!$E$5:$E$204&lt;&gt;"")),IF(A_Corridor!$E$5:$E$204="-","",1)),"")</f>
        <v/>
      </c>
      <c r="G930" s="182" t="str">
        <f>IFERROR(LOOKUP(2,1/((A_Corridor!$A$5:$A$204&lt;&gt;"")*(A_Corridor!$A$5:$A$204&lt;=$B930)*(A_Corridor!$B$5:$B$204&gt;$B930)*(A_Corridor!$E$5:$E$204&lt;&gt;"")),IF(A_Corridor!$E$5:$E$204="-","",A_Corridor!$E$5:$E$204)),"")</f>
        <v/>
      </c>
      <c r="H930" s="182" t="str">
        <f>IFERROR(LOOKUP(2,1/((D_Points!$A$5:$A$204&lt;&gt;"")*(D_Points!$A$5:$A$204&gt;=$B930)*(D_Points!$A$5:$A$204&lt;$B930+P_Interval)*(UPPER(TRIM(D_Points!$B$5:$B$204))="GULLY")*(D_Points!$H$5:$H$204&lt;&gt;"")),D_Points!$H$5:$H$204),"")</f>
        <v/>
      </c>
      <c r="I930" s="181" t="str">
        <f>IFERROR(LOOKUP(2,1/((A_Corridor!$A$5:$A$204&lt;&gt;"")*(A_Corridor!$A$5:$A$204&lt;=$B930)*(A_Corridor!$B$5:$B$204&gt;$B930)*(A_Corridor!$F$5:$F$204&lt;&gt;"")),IF(A_Corridor!$F$5:$F$204="-","",1)),"")</f>
        <v/>
      </c>
      <c r="J930" s="182" t="str">
        <f>IFERROR(LOOKUP(2,1/((A_Corridor!$A$5:$A$204&lt;&gt;"")*(A_Corridor!$A$5:$A$204&lt;=$B930)*(A_Corridor!$B$5:$B$204&gt;$B930)*(A_Corridor!$F$5:$F$204&lt;&gt;"")),IF(A_Corridor!$F$5:$F$204="-","",A_Corridor!$F$5:$F$204)),"")</f>
        <v/>
      </c>
      <c r="K930" s="182" t="str">
        <f>IFERROR(LOOKUP(2,1/((A_Corridor!$A$5:$A$204&lt;&gt;"")*(A_Corridor!$A$5:$A$204&lt;=$B930)*(A_Corridor!$B$5:$B$204&gt;$B930)*(A_Corridor!$G$5:$G$204&lt;&gt;"")),IF(A_Corridor!$G$5:$G$204="-","",A_Corridor!$G$5:$G$204)),"")</f>
        <v/>
      </c>
      <c r="L930" s="181" t="str">
        <f>IFERROR(LOOKUP(2,1/((A_Corridor!$A$5:$A$204&lt;&gt;"")*(A_Corridor!$A$5:$A$204&lt;=$B930)*(A_Corridor!$B$5:$B$204&gt;$B930)*(A_Corridor!$H$5:$H$204&lt;&gt;"")),IF(A_Corridor!$H$5:$H$204="-","",1)),"")</f>
        <v/>
      </c>
      <c r="M930" s="182" t="str">
        <f>IFERROR(LOOKUP(2,1/((A_Corridor!$A$5:$A$204&lt;&gt;"")*(A_Corridor!$A$5:$A$204&lt;=$B930)*(A_Corridor!$B$5:$B$204&gt;$B930)*(A_Corridor!$H$5:$H$204&lt;&gt;"")),IF(A_Corridor!$H$5:$H$204="-","",A_Corridor!$H$5:$H$204)),"")</f>
        <v/>
      </c>
      <c r="N930" s="182" t="str">
        <f>IFERROR(LOOKUP(2,1/((A_Corridor!$A$5:$A$204&lt;&gt;"")*(A_Corridor!$A$5:$A$204&lt;=$B930)*(A_Corridor!$B$5:$B$204&gt;$B930)*(A_Corridor!$I$5:$I$204&lt;&gt;"")),IF(A_Corridor!$I$5:$I$204="-","",A_Corridor!$I$5:$I$204)),"")</f>
        <v/>
      </c>
      <c r="O930" s="182" t="str">
        <f>IFERROR(LOOKUP(2,1/((D_Points!$A$5:$A$204&lt;&gt;"")*(D_Points!$A$5:$A$204&gt;=$B930)*(D_Points!$A$5:$A$204&lt;$B930+P_Interval)*(UPPER(TRIM(D_Points!$B$5:$B$204))="PITCHING")*(D_Points!$H$5:$H$204&lt;&gt;"")),D_Points!$H$5:$H$204),"")</f>
        <v/>
      </c>
      <c r="P930" s="181" t="str">
        <f>IFERROR(LOOKUP(2,1/((B_Drainage!$A$5:$A$204&lt;&gt;"")*(B_Drainage!$A$5:$A$204&lt;=$B930)*(B_Drainage!$B$5:$B$204&gt;$B930)*(B_Drainage!$C$5:$C$204&lt;&gt;"")),IF(B_Drainage!$C$5:$C$204="-","",UPPER(B_Drainage!$C$5:$C$204))),"")</f>
        <v/>
      </c>
      <c r="Q930" s="181" t="str">
        <f>IFERROR(LOOKUP(2,1/((B_Drainage!$A$5:$A$204&lt;&gt;"")*(B_Drainage!$A$5:$A$204&lt;=$B930)*(B_Drainage!$B$5:$B$204&gt;$B930)*(B_Drainage!$D$5:$D$204&lt;&gt;"")),IF(B_Drainage!$D$5:$D$204="-","",UPPER(B_Drainage!$D$5:$D$204))),"")</f>
        <v/>
      </c>
      <c r="R930" s="182" t="str">
        <f>IFERROR(LOOKUP(2,1/((D_Points!$A$5:$A$204&lt;&gt;"")*(D_Points!$A$5:$A$204&gt;=$B930)*(D_Points!$A$5:$A$204&lt;$B930+P_Interval)*(RIGHT(UPPER(TRIM(D_Points!$B$5:$B$204)),8)="_CULVERT")),IF(LEFT(UPPER(TRIM(D_Points!$B$5:$B$204)),2)="EX",1,IF(LEFT(UPPER(TRIM(D_Points!$B$5:$B$204)),2)="PR",2,3))),"")</f>
        <v/>
      </c>
      <c r="S930" s="182" t="str">
        <f>IFERROR(LOOKUP(2,1/((D_Points!$A$5:$A$204&lt;&gt;"")*(D_Points!$A$5:$A$204&gt;=$B930)*(D_Points!$A$5:$A$204&lt;$B930+P_Interval)*(RIGHT(UPPER(TRIM(D_Points!$B$5:$B$204)),7)="_BRIDGE")),IF(LEFT(UPPER(TRIM(D_Points!$B$5:$B$204)),2)="EX",1,IF(LEFT(UPPER(TRIM(D_Points!$B$5:$B$204)),2)="PR",2,2))),"")</f>
        <v/>
      </c>
      <c r="T930" s="181" t="str">
        <f>IFERROR(LOOKUP(2,1/((B_Drainage!$A$5:$A$204&lt;&gt;"")*(B_Drainage!$A$5:$A$204&lt;=$B930)*(B_Drainage!$B$5:$B$204&gt;$B930)*(B_Drainage!$E$5:$E$204&lt;&gt;"")),IF(B_Drainage!$E$5:$E$204="-","",1)),"")</f>
        <v/>
      </c>
      <c r="U930" s="181" t="str">
        <f>IFERROR(LOOKUP(2,1/((B_Drainage!$A$5:$A$204&lt;&gt;"")*(B_Drainage!$A$5:$A$204&lt;=$B930)*(B_Drainage!$B$5:$B$204&gt;$B930)*(B_Drainage!$E$5:$E$204&lt;&gt;"")),IF(B_Drainage!$E$5:$E$204="-","",B_Drainage!$E$5:$E$204)),"")</f>
        <v/>
      </c>
      <c r="V930" s="181" t="str">
        <f>IFERROR(LOOKUP(2,1/((B_Drainage!$A$5:$A$204&lt;&gt;"")*(B_Drainage!$A$5:$A$204&lt;=$B930)*(B_Drainage!$B$5:$B$204&gt;$B930)*(B_Drainage!$F$5:$F$204&lt;&gt;"")),IF(B_Drainage!$F$5:$F$204="-","",1)),"")</f>
        <v/>
      </c>
      <c r="W930" s="181" t="str">
        <f>IFERROR(LOOKUP(2,1/((B_Drainage!$A$5:$A$204&lt;&gt;"")*(B_Drainage!$A$5:$A$204&lt;=$B930)*(B_Drainage!$B$5:$B$204&gt;$B930)*(B_Drainage!$F$5:$F$204&lt;&gt;"")),IF(B_Drainage!$F$5:$F$204="-","",B_Drainage!$F$5:$F$204)),"")</f>
        <v/>
      </c>
      <c r="X930" s="181" t="str">
        <f>IFERROR(LOOKUP(2,1/((B_Drainage!$A$5:$A$204&lt;&gt;"")*(B_Drainage!$A$5:$A$204&lt;=$B930)*(B_Drainage!$B$5:$B$204&gt;$B930)*(B_Drainage!$G$5:$G$204&lt;&gt;"")),IF(UPPER(B_Drainage!$G$5:$G$204)="Y",1,"")),"")</f>
        <v/>
      </c>
      <c r="Y930" s="181" t="str">
        <f>IFERROR(LOOKUP(2,1/((B_Drainage!$A$5:$A$204&lt;&gt;"")*(B_Drainage!$A$5:$A$204&lt;=$B930)*(B_Drainage!$B$5:$B$204&gt;$B930)*(B_Drainage!$H$5:$H$204&lt;&gt;"")),IF(UPPER(B_Drainage!$H$5:$H$204)="Y",1,"")),"")</f>
        <v/>
      </c>
      <c r="Z930" s="181" t="str">
        <f>IFERROR(LOOKUP(2,1/((B_Drainage!$A$5:$A$204&lt;&gt;"")*(B_Drainage!$A$5:$A$204&lt;=$B930)*(B_Drainage!$B$5:$B$204&gt;$B930)*(B_Drainage!$I$5:$I$204&lt;&gt;"")),IF(UPPER(B_Drainage!$I$5:$I$204)="Y",1,"")),"")</f>
        <v/>
      </c>
      <c r="AA930" s="181" t="str">
        <f>IFERROR(LOOKUP(2,1/((B_Drainage!$A$5:$A$204&lt;&gt;"")*(B_Drainage!$A$5:$A$204&lt;=$B930)*(B_Drainage!$B$5:$B$204&gt;$B930)*(B_Drainage!$J$5:$J$204&lt;&gt;"")),IF(UPPER(B_Drainage!$J$5:$J$204)="Y",1,"")),"")</f>
        <v/>
      </c>
      <c r="AB930" s="182" t="str">
        <f>IFERROR(LOOKUP(2,1/((B_Drainage!$A$5:$A$204&lt;&gt;"")*(B_Drainage!$A$5:$A$204&lt;=$B930)*(B_Drainage!$B$5:$B$204&gt;$B930)*(B_Drainage!$K$5:$K$204&lt;&gt;"")),IF(B_Drainage!$K$5:$K$204="-","",B_Drainage!$K$5:$K$204)),"")</f>
        <v/>
      </c>
      <c r="AC930" s="182" t="str">
        <f>IFERROR(LOOKUP(2,1/((B_Drainage!$A$5:$A$204&lt;&gt;"")*(B_Drainage!$A$5:$A$204&lt;=$B930)*(B_Drainage!$B$5:$B$204&gt;$B930)*(B_Drainage!$L$5:$L$204&lt;&gt;"")),IF(B_Drainage!$L$5:$L$204="-","",B_Drainage!$L$5:$L$204)),"")</f>
        <v/>
      </c>
      <c r="AD930" s="182" t="str">
        <f>IFERROR(LOOKUP(2,1/((D_Points!$A$5:$A$204&lt;&gt;"")*(D_Points!$A$5:$A$204&gt;=$B930)*(D_Points!$A$5:$A$204&lt;$B930+P_Interval)*(UPPER(TRIM(D_Points!$B$5:$B$204))="TURNOUT_L")*(D_Points!$H$5:$H$204&lt;&gt;"")),D_Points!$H$5:$H$204),"")</f>
        <v/>
      </c>
      <c r="AE930" s="182" t="str">
        <f>IFERROR(LOOKUP(2,1/((D_Points!$A$5:$A$204&lt;&gt;"")*(D_Points!$A$5:$A$204&gt;=$B930)*(D_Points!$A$5:$A$204&lt;$B930+P_Interval)*(UPPER(TRIM(D_Points!$B$5:$B$204))="TURNOUT_R")*(D_Points!$H$5:$H$204&lt;&gt;"")),D_Points!$H$5:$H$204),"")</f>
        <v/>
      </c>
      <c r="AF930" s="181" t="str">
        <f>IFERROR(LOOKUP(2,1/((B_Drainage!$A$5:$A$204&lt;&gt;"")*(B_Drainage!$A$5:$A$204&lt;=$B930)*(B_Drainage!$B$5:$B$204&gt;$B930)*(B_Drainage!$M$5:$M$204&lt;&gt;"")),IF(UPPER(B_Drainage!$M$5:$M$204)="Y",1,"")),"")</f>
        <v/>
      </c>
      <c r="AG930" s="181" t="str">
        <f>IFERROR(LOOKUP(2,1/((B_Drainage!$A$5:$A$204&lt;&gt;"")*(B_Drainage!$A$5:$A$204&lt;=$B930)*(B_Drainage!$B$5:$B$204&gt;$B930)*(B_Drainage!$N$5:$N$204&lt;&gt;"")),IF(UPPER(B_Drainage!$N$5:$N$204)="Y",1,"")),"")</f>
        <v/>
      </c>
      <c r="AH930" s="181" t="str">
        <f t="shared" si="112"/>
        <v/>
      </c>
      <c r="AI930" s="181" t="str">
        <f t="shared" si="113"/>
        <v/>
      </c>
      <c r="AJ930" s="181" t="str">
        <f t="shared" si="114"/>
        <v/>
      </c>
      <c r="AK930" s="181" t="str">
        <f t="shared" si="115"/>
        <v/>
      </c>
      <c r="AL930" s="181" t="str">
        <f t="shared" si="116"/>
        <v/>
      </c>
      <c r="AM930" s="181" t="str">
        <f t="shared" si="117"/>
        <v/>
      </c>
      <c r="AN930" s="181" t="str">
        <f t="shared" si="118"/>
        <v/>
      </c>
      <c r="AO930" s="192" t="str">
        <f t="shared" si="119"/>
        <v/>
      </c>
      <c r="AQ930" t="str">
        <f>IFERROR(LOOKUP(2,1/((C_Pavement!$A$5:$A$204&lt;&gt;"")*(C_Pavement!$A$5:$A$204&lt;=$B930)*(C_Pavement!$B$5:$B$204&gt;$B930)*(C_Pavement!$C$5:$C$204&lt;&gt;"")),ROW(C_Pavement!$C$5:$C$204)-4),"")</f>
        <v/>
      </c>
      <c r="AR930" t="str">
        <f>IF($AQ930="","",UPPER(TRIM(INDEX(C_Pavement!$C$5:$C$204,$AQ930))))</f>
        <v/>
      </c>
      <c r="AS930" t="str">
        <f>IF($AR930="","",IFERROR(MATCH($AR930,E_Rules!$A$5:$A$9,0),""))</f>
        <v/>
      </c>
      <c r="AT930" t="str">
        <f>IF($AQ930="","",IF(INDEX(C_Pavement!$D$5:$D$204,$AQ930)&lt;&gt;"",UPPER(TRIM(INDEX(C_Pavement!$D$5:$D$204,$AQ930))),IF($AS930="","",INDEX(E_Rules!$C$5:$C$9,$AS930))))</f>
        <v/>
      </c>
      <c r="AU930" t="str">
        <f>IF($AQ930="","",IF(INDEX(C_Pavement!$E$5:$E$204,$AQ930)&lt;&gt;"",IF(INDEX(C_Pavement!$E$5:$E$204,$AQ930)="-","",INDEX(C_Pavement!$E$5:$E$204,$AQ930)),IF($AS930="","",INDEX(E_Rules!$D$5:$D$9,$AS930))))</f>
        <v/>
      </c>
      <c r="AV930" t="str">
        <f>IF($AQ930="","",IF(INDEX(C_Pavement!$F$5:$F$204,$AQ930)&lt;&gt;"",IF(INDEX(C_Pavement!$F$5:$F$204,$AQ930)="-","",INDEX(C_Pavement!$F$5:$F$204,$AQ930)),IF($AS930="","",INDEX(E_Rules!$E$5:$E$9,$AS930))))</f>
        <v/>
      </c>
      <c r="AW930" t="str">
        <f>IF($AQ930="","",IF(INDEX(C_Pavement!$G$5:$G$204,$AQ930)&lt;&gt;"",IF(INDEX(C_Pavement!$G$5:$G$204,$AQ930)="-","",INDEX(C_Pavement!$G$5:$G$204,$AQ930)),IF($AS930="","",INDEX(E_Rules!$F$5:$F$9,$AS930))))</f>
        <v/>
      </c>
      <c r="AX930" t="str">
        <f>IF($AQ930="","",IF(INDEX(C_Pavement!$H$5:$H$204,$AQ930)&lt;&gt;"",IF(INDEX(C_Pavement!$H$5:$H$204,$AQ930)="-","",INDEX(C_Pavement!$H$5:$H$204,$AQ930)),IF($AS930="","",INDEX(E_Rules!$G$5:$G$9,$AS930))))</f>
        <v/>
      </c>
      <c r="AY930" t="str">
        <f>IF($AQ930="","",IF(INDEX(C_Pavement!$I$5:$I$204,$AQ930)&lt;&gt;"",IF(INDEX(C_Pavement!$I$5:$I$204,$AQ930)="-","",INDEX(C_Pavement!$I$5:$I$204,$AQ930)),IF($AS930="","",INDEX(E_Rules!$H$5:$H$9,$AS930))))</f>
        <v/>
      </c>
    </row>
    <row r="931" spans="1:51" ht="15.75" customHeight="1" x14ac:dyDescent="0.3">
      <c r="A931" s="189">
        <v>926</v>
      </c>
      <c r="B931" s="180">
        <v>46250</v>
      </c>
      <c r="C931" s="180" t="s">
        <v>1237</v>
      </c>
      <c r="D931" s="181" t="str">
        <f>IFERROR(LOOKUP(2,1/((A_Corridor!$A$5:$A$204&lt;&gt;"")*(A_Corridor!$A$5:$A$204&lt;=$B931)*(A_Corridor!$B$5:$B$204&gt;$B931)*(A_Corridor!$C$5:$C$204&lt;&gt;"")),IF(UPPER(A_Corridor!$C$5:$C$204)="Y",1,"")),"")</f>
        <v/>
      </c>
      <c r="E931" s="181" t="str">
        <f>IFERROR(LOOKUP(2,1/((A_Corridor!$A$5:$A$204&lt;&gt;"")*(A_Corridor!$A$5:$A$204&lt;=$B931)*(A_Corridor!$B$5:$B$204&gt;$B931)*(A_Corridor!$D$5:$D$204&lt;&gt;"")),IF(A_Corridor!$D$5:$D$204="-","",UPPER(A_Corridor!$D$5:$D$204))),"")</f>
        <v/>
      </c>
      <c r="F931" s="181" t="str">
        <f>IFERROR(LOOKUP(2,1/((A_Corridor!$A$5:$A$204&lt;&gt;"")*(A_Corridor!$A$5:$A$204&lt;=$B931)*(A_Corridor!$B$5:$B$204&gt;$B931)*(A_Corridor!$E$5:$E$204&lt;&gt;"")),IF(A_Corridor!$E$5:$E$204="-","",1)),"")</f>
        <v/>
      </c>
      <c r="G931" s="182" t="str">
        <f>IFERROR(LOOKUP(2,1/((A_Corridor!$A$5:$A$204&lt;&gt;"")*(A_Corridor!$A$5:$A$204&lt;=$B931)*(A_Corridor!$B$5:$B$204&gt;$B931)*(A_Corridor!$E$5:$E$204&lt;&gt;"")),IF(A_Corridor!$E$5:$E$204="-","",A_Corridor!$E$5:$E$204)),"")</f>
        <v/>
      </c>
      <c r="H931" s="182" t="str">
        <f>IFERROR(LOOKUP(2,1/((D_Points!$A$5:$A$204&lt;&gt;"")*(D_Points!$A$5:$A$204&gt;=$B931)*(D_Points!$A$5:$A$204&lt;$B931+P_Interval)*(UPPER(TRIM(D_Points!$B$5:$B$204))="GULLY")*(D_Points!$H$5:$H$204&lt;&gt;"")),D_Points!$H$5:$H$204),"")</f>
        <v/>
      </c>
      <c r="I931" s="181" t="str">
        <f>IFERROR(LOOKUP(2,1/((A_Corridor!$A$5:$A$204&lt;&gt;"")*(A_Corridor!$A$5:$A$204&lt;=$B931)*(A_Corridor!$B$5:$B$204&gt;$B931)*(A_Corridor!$F$5:$F$204&lt;&gt;"")),IF(A_Corridor!$F$5:$F$204="-","",1)),"")</f>
        <v/>
      </c>
      <c r="J931" s="182" t="str">
        <f>IFERROR(LOOKUP(2,1/((A_Corridor!$A$5:$A$204&lt;&gt;"")*(A_Corridor!$A$5:$A$204&lt;=$B931)*(A_Corridor!$B$5:$B$204&gt;$B931)*(A_Corridor!$F$5:$F$204&lt;&gt;"")),IF(A_Corridor!$F$5:$F$204="-","",A_Corridor!$F$5:$F$204)),"")</f>
        <v/>
      </c>
      <c r="K931" s="182" t="str">
        <f>IFERROR(LOOKUP(2,1/((A_Corridor!$A$5:$A$204&lt;&gt;"")*(A_Corridor!$A$5:$A$204&lt;=$B931)*(A_Corridor!$B$5:$B$204&gt;$B931)*(A_Corridor!$G$5:$G$204&lt;&gt;"")),IF(A_Corridor!$G$5:$G$204="-","",A_Corridor!$G$5:$G$204)),"")</f>
        <v/>
      </c>
      <c r="L931" s="181" t="str">
        <f>IFERROR(LOOKUP(2,1/((A_Corridor!$A$5:$A$204&lt;&gt;"")*(A_Corridor!$A$5:$A$204&lt;=$B931)*(A_Corridor!$B$5:$B$204&gt;$B931)*(A_Corridor!$H$5:$H$204&lt;&gt;"")),IF(A_Corridor!$H$5:$H$204="-","",1)),"")</f>
        <v/>
      </c>
      <c r="M931" s="182" t="str">
        <f>IFERROR(LOOKUP(2,1/((A_Corridor!$A$5:$A$204&lt;&gt;"")*(A_Corridor!$A$5:$A$204&lt;=$B931)*(A_Corridor!$B$5:$B$204&gt;$B931)*(A_Corridor!$H$5:$H$204&lt;&gt;"")),IF(A_Corridor!$H$5:$H$204="-","",A_Corridor!$H$5:$H$204)),"")</f>
        <v/>
      </c>
      <c r="N931" s="182" t="str">
        <f>IFERROR(LOOKUP(2,1/((A_Corridor!$A$5:$A$204&lt;&gt;"")*(A_Corridor!$A$5:$A$204&lt;=$B931)*(A_Corridor!$B$5:$B$204&gt;$B931)*(A_Corridor!$I$5:$I$204&lt;&gt;"")),IF(A_Corridor!$I$5:$I$204="-","",A_Corridor!$I$5:$I$204)),"")</f>
        <v/>
      </c>
      <c r="O931" s="182" t="str">
        <f>IFERROR(LOOKUP(2,1/((D_Points!$A$5:$A$204&lt;&gt;"")*(D_Points!$A$5:$A$204&gt;=$B931)*(D_Points!$A$5:$A$204&lt;$B931+P_Interval)*(UPPER(TRIM(D_Points!$B$5:$B$204))="PITCHING")*(D_Points!$H$5:$H$204&lt;&gt;"")),D_Points!$H$5:$H$204),"")</f>
        <v/>
      </c>
      <c r="P931" s="181" t="str">
        <f>IFERROR(LOOKUP(2,1/((B_Drainage!$A$5:$A$204&lt;&gt;"")*(B_Drainage!$A$5:$A$204&lt;=$B931)*(B_Drainage!$B$5:$B$204&gt;$B931)*(B_Drainage!$C$5:$C$204&lt;&gt;"")),IF(B_Drainage!$C$5:$C$204="-","",UPPER(B_Drainage!$C$5:$C$204))),"")</f>
        <v/>
      </c>
      <c r="Q931" s="181" t="str">
        <f>IFERROR(LOOKUP(2,1/((B_Drainage!$A$5:$A$204&lt;&gt;"")*(B_Drainage!$A$5:$A$204&lt;=$B931)*(B_Drainage!$B$5:$B$204&gt;$B931)*(B_Drainage!$D$5:$D$204&lt;&gt;"")),IF(B_Drainage!$D$5:$D$204="-","",UPPER(B_Drainage!$D$5:$D$204))),"")</f>
        <v/>
      </c>
      <c r="R931" s="182" t="str">
        <f>IFERROR(LOOKUP(2,1/((D_Points!$A$5:$A$204&lt;&gt;"")*(D_Points!$A$5:$A$204&gt;=$B931)*(D_Points!$A$5:$A$204&lt;$B931+P_Interval)*(RIGHT(UPPER(TRIM(D_Points!$B$5:$B$204)),8)="_CULVERT")),IF(LEFT(UPPER(TRIM(D_Points!$B$5:$B$204)),2)="EX",1,IF(LEFT(UPPER(TRIM(D_Points!$B$5:$B$204)),2)="PR",2,3))),"")</f>
        <v/>
      </c>
      <c r="S931" s="182" t="str">
        <f>IFERROR(LOOKUP(2,1/((D_Points!$A$5:$A$204&lt;&gt;"")*(D_Points!$A$5:$A$204&gt;=$B931)*(D_Points!$A$5:$A$204&lt;$B931+P_Interval)*(RIGHT(UPPER(TRIM(D_Points!$B$5:$B$204)),7)="_BRIDGE")),IF(LEFT(UPPER(TRIM(D_Points!$B$5:$B$204)),2)="EX",1,IF(LEFT(UPPER(TRIM(D_Points!$B$5:$B$204)),2)="PR",2,2))),"")</f>
        <v/>
      </c>
      <c r="T931" s="181" t="str">
        <f>IFERROR(LOOKUP(2,1/((B_Drainage!$A$5:$A$204&lt;&gt;"")*(B_Drainage!$A$5:$A$204&lt;=$B931)*(B_Drainage!$B$5:$B$204&gt;$B931)*(B_Drainage!$E$5:$E$204&lt;&gt;"")),IF(B_Drainage!$E$5:$E$204="-","",1)),"")</f>
        <v/>
      </c>
      <c r="U931" s="181" t="str">
        <f>IFERROR(LOOKUP(2,1/((B_Drainage!$A$5:$A$204&lt;&gt;"")*(B_Drainage!$A$5:$A$204&lt;=$B931)*(B_Drainage!$B$5:$B$204&gt;$B931)*(B_Drainage!$E$5:$E$204&lt;&gt;"")),IF(B_Drainage!$E$5:$E$204="-","",B_Drainage!$E$5:$E$204)),"")</f>
        <v/>
      </c>
      <c r="V931" s="181" t="str">
        <f>IFERROR(LOOKUP(2,1/((B_Drainage!$A$5:$A$204&lt;&gt;"")*(B_Drainage!$A$5:$A$204&lt;=$B931)*(B_Drainage!$B$5:$B$204&gt;$B931)*(B_Drainage!$F$5:$F$204&lt;&gt;"")),IF(B_Drainage!$F$5:$F$204="-","",1)),"")</f>
        <v/>
      </c>
      <c r="W931" s="181" t="str">
        <f>IFERROR(LOOKUP(2,1/((B_Drainage!$A$5:$A$204&lt;&gt;"")*(B_Drainage!$A$5:$A$204&lt;=$B931)*(B_Drainage!$B$5:$B$204&gt;$B931)*(B_Drainage!$F$5:$F$204&lt;&gt;"")),IF(B_Drainage!$F$5:$F$204="-","",B_Drainage!$F$5:$F$204)),"")</f>
        <v/>
      </c>
      <c r="X931" s="181" t="str">
        <f>IFERROR(LOOKUP(2,1/((B_Drainage!$A$5:$A$204&lt;&gt;"")*(B_Drainage!$A$5:$A$204&lt;=$B931)*(B_Drainage!$B$5:$B$204&gt;$B931)*(B_Drainage!$G$5:$G$204&lt;&gt;"")),IF(UPPER(B_Drainage!$G$5:$G$204)="Y",1,"")),"")</f>
        <v/>
      </c>
      <c r="Y931" s="181" t="str">
        <f>IFERROR(LOOKUP(2,1/((B_Drainage!$A$5:$A$204&lt;&gt;"")*(B_Drainage!$A$5:$A$204&lt;=$B931)*(B_Drainage!$B$5:$B$204&gt;$B931)*(B_Drainage!$H$5:$H$204&lt;&gt;"")),IF(UPPER(B_Drainage!$H$5:$H$204)="Y",1,"")),"")</f>
        <v/>
      </c>
      <c r="Z931" s="181" t="str">
        <f>IFERROR(LOOKUP(2,1/((B_Drainage!$A$5:$A$204&lt;&gt;"")*(B_Drainage!$A$5:$A$204&lt;=$B931)*(B_Drainage!$B$5:$B$204&gt;$B931)*(B_Drainage!$I$5:$I$204&lt;&gt;"")),IF(UPPER(B_Drainage!$I$5:$I$204)="Y",1,"")),"")</f>
        <v/>
      </c>
      <c r="AA931" s="181" t="str">
        <f>IFERROR(LOOKUP(2,1/((B_Drainage!$A$5:$A$204&lt;&gt;"")*(B_Drainage!$A$5:$A$204&lt;=$B931)*(B_Drainage!$B$5:$B$204&gt;$B931)*(B_Drainage!$J$5:$J$204&lt;&gt;"")),IF(UPPER(B_Drainage!$J$5:$J$204)="Y",1,"")),"")</f>
        <v/>
      </c>
      <c r="AB931" s="182" t="str">
        <f>IFERROR(LOOKUP(2,1/((B_Drainage!$A$5:$A$204&lt;&gt;"")*(B_Drainage!$A$5:$A$204&lt;=$B931)*(B_Drainage!$B$5:$B$204&gt;$B931)*(B_Drainage!$K$5:$K$204&lt;&gt;"")),IF(B_Drainage!$K$5:$K$204="-","",B_Drainage!$K$5:$K$204)),"")</f>
        <v/>
      </c>
      <c r="AC931" s="182" t="str">
        <f>IFERROR(LOOKUP(2,1/((B_Drainage!$A$5:$A$204&lt;&gt;"")*(B_Drainage!$A$5:$A$204&lt;=$B931)*(B_Drainage!$B$5:$B$204&gt;$B931)*(B_Drainage!$L$5:$L$204&lt;&gt;"")),IF(B_Drainage!$L$5:$L$204="-","",B_Drainage!$L$5:$L$204)),"")</f>
        <v/>
      </c>
      <c r="AD931" s="182" t="str">
        <f>IFERROR(LOOKUP(2,1/((D_Points!$A$5:$A$204&lt;&gt;"")*(D_Points!$A$5:$A$204&gt;=$B931)*(D_Points!$A$5:$A$204&lt;$B931+P_Interval)*(UPPER(TRIM(D_Points!$B$5:$B$204))="TURNOUT_L")*(D_Points!$H$5:$H$204&lt;&gt;"")),D_Points!$H$5:$H$204),"")</f>
        <v/>
      </c>
      <c r="AE931" s="182" t="str">
        <f>IFERROR(LOOKUP(2,1/((D_Points!$A$5:$A$204&lt;&gt;"")*(D_Points!$A$5:$A$204&gt;=$B931)*(D_Points!$A$5:$A$204&lt;$B931+P_Interval)*(UPPER(TRIM(D_Points!$B$5:$B$204))="TURNOUT_R")*(D_Points!$H$5:$H$204&lt;&gt;"")),D_Points!$H$5:$H$204),"")</f>
        <v/>
      </c>
      <c r="AF931" s="181" t="str">
        <f>IFERROR(LOOKUP(2,1/((B_Drainage!$A$5:$A$204&lt;&gt;"")*(B_Drainage!$A$5:$A$204&lt;=$B931)*(B_Drainage!$B$5:$B$204&gt;$B931)*(B_Drainage!$M$5:$M$204&lt;&gt;"")),IF(UPPER(B_Drainage!$M$5:$M$204)="Y",1,"")),"")</f>
        <v/>
      </c>
      <c r="AG931" s="181" t="str">
        <f>IFERROR(LOOKUP(2,1/((B_Drainage!$A$5:$A$204&lt;&gt;"")*(B_Drainage!$A$5:$A$204&lt;=$B931)*(B_Drainage!$B$5:$B$204&gt;$B931)*(B_Drainage!$N$5:$N$204&lt;&gt;"")),IF(UPPER(B_Drainage!$N$5:$N$204)="Y",1,"")),"")</f>
        <v/>
      </c>
      <c r="AH931" s="181" t="str">
        <f t="shared" si="112"/>
        <v/>
      </c>
      <c r="AI931" s="181" t="str">
        <f t="shared" si="113"/>
        <v/>
      </c>
      <c r="AJ931" s="181" t="str">
        <f t="shared" si="114"/>
        <v/>
      </c>
      <c r="AK931" s="181" t="str">
        <f t="shared" si="115"/>
        <v/>
      </c>
      <c r="AL931" s="181" t="str">
        <f t="shared" si="116"/>
        <v/>
      </c>
      <c r="AM931" s="181" t="str">
        <f t="shared" si="117"/>
        <v/>
      </c>
      <c r="AN931" s="181" t="str">
        <f t="shared" si="118"/>
        <v/>
      </c>
      <c r="AO931" s="192" t="str">
        <f t="shared" si="119"/>
        <v/>
      </c>
      <c r="AQ931" t="str">
        <f>IFERROR(LOOKUP(2,1/((C_Pavement!$A$5:$A$204&lt;&gt;"")*(C_Pavement!$A$5:$A$204&lt;=$B931)*(C_Pavement!$B$5:$B$204&gt;$B931)*(C_Pavement!$C$5:$C$204&lt;&gt;"")),ROW(C_Pavement!$C$5:$C$204)-4),"")</f>
        <v/>
      </c>
      <c r="AR931" t="str">
        <f>IF($AQ931="","",UPPER(TRIM(INDEX(C_Pavement!$C$5:$C$204,$AQ931))))</f>
        <v/>
      </c>
      <c r="AS931" t="str">
        <f>IF($AR931="","",IFERROR(MATCH($AR931,E_Rules!$A$5:$A$9,0),""))</f>
        <v/>
      </c>
      <c r="AT931" t="str">
        <f>IF($AQ931="","",IF(INDEX(C_Pavement!$D$5:$D$204,$AQ931)&lt;&gt;"",UPPER(TRIM(INDEX(C_Pavement!$D$5:$D$204,$AQ931))),IF($AS931="","",INDEX(E_Rules!$C$5:$C$9,$AS931))))</f>
        <v/>
      </c>
      <c r="AU931" t="str">
        <f>IF($AQ931="","",IF(INDEX(C_Pavement!$E$5:$E$204,$AQ931)&lt;&gt;"",IF(INDEX(C_Pavement!$E$5:$E$204,$AQ931)="-","",INDEX(C_Pavement!$E$5:$E$204,$AQ931)),IF($AS931="","",INDEX(E_Rules!$D$5:$D$9,$AS931))))</f>
        <v/>
      </c>
      <c r="AV931" t="str">
        <f>IF($AQ931="","",IF(INDEX(C_Pavement!$F$5:$F$204,$AQ931)&lt;&gt;"",IF(INDEX(C_Pavement!$F$5:$F$204,$AQ931)="-","",INDEX(C_Pavement!$F$5:$F$204,$AQ931)),IF($AS931="","",INDEX(E_Rules!$E$5:$E$9,$AS931))))</f>
        <v/>
      </c>
      <c r="AW931" t="str">
        <f>IF($AQ931="","",IF(INDEX(C_Pavement!$G$5:$G$204,$AQ931)&lt;&gt;"",IF(INDEX(C_Pavement!$G$5:$G$204,$AQ931)="-","",INDEX(C_Pavement!$G$5:$G$204,$AQ931)),IF($AS931="","",INDEX(E_Rules!$F$5:$F$9,$AS931))))</f>
        <v/>
      </c>
      <c r="AX931" t="str">
        <f>IF($AQ931="","",IF(INDEX(C_Pavement!$H$5:$H$204,$AQ931)&lt;&gt;"",IF(INDEX(C_Pavement!$H$5:$H$204,$AQ931)="-","",INDEX(C_Pavement!$H$5:$H$204,$AQ931)),IF($AS931="","",INDEX(E_Rules!$G$5:$G$9,$AS931))))</f>
        <v/>
      </c>
      <c r="AY931" t="str">
        <f>IF($AQ931="","",IF(INDEX(C_Pavement!$I$5:$I$204,$AQ931)&lt;&gt;"",IF(INDEX(C_Pavement!$I$5:$I$204,$AQ931)="-","",INDEX(C_Pavement!$I$5:$I$204,$AQ931)),IF($AS931="","",INDEX(E_Rules!$H$5:$H$9,$AS931))))</f>
        <v/>
      </c>
    </row>
    <row r="932" spans="1:51" ht="15.75" customHeight="1" x14ac:dyDescent="0.3">
      <c r="A932" s="189">
        <v>927</v>
      </c>
      <c r="B932" s="180">
        <v>46300</v>
      </c>
      <c r="C932" s="180" t="s">
        <v>1238</v>
      </c>
      <c r="D932" s="181" t="str">
        <f>IFERROR(LOOKUP(2,1/((A_Corridor!$A$5:$A$204&lt;&gt;"")*(A_Corridor!$A$5:$A$204&lt;=$B932)*(A_Corridor!$B$5:$B$204&gt;$B932)*(A_Corridor!$C$5:$C$204&lt;&gt;"")),IF(UPPER(A_Corridor!$C$5:$C$204)="Y",1,"")),"")</f>
        <v/>
      </c>
      <c r="E932" s="181" t="str">
        <f>IFERROR(LOOKUP(2,1/((A_Corridor!$A$5:$A$204&lt;&gt;"")*(A_Corridor!$A$5:$A$204&lt;=$B932)*(A_Corridor!$B$5:$B$204&gt;$B932)*(A_Corridor!$D$5:$D$204&lt;&gt;"")),IF(A_Corridor!$D$5:$D$204="-","",UPPER(A_Corridor!$D$5:$D$204))),"")</f>
        <v/>
      </c>
      <c r="F932" s="181" t="str">
        <f>IFERROR(LOOKUP(2,1/((A_Corridor!$A$5:$A$204&lt;&gt;"")*(A_Corridor!$A$5:$A$204&lt;=$B932)*(A_Corridor!$B$5:$B$204&gt;$B932)*(A_Corridor!$E$5:$E$204&lt;&gt;"")),IF(A_Corridor!$E$5:$E$204="-","",1)),"")</f>
        <v/>
      </c>
      <c r="G932" s="182" t="str">
        <f>IFERROR(LOOKUP(2,1/((A_Corridor!$A$5:$A$204&lt;&gt;"")*(A_Corridor!$A$5:$A$204&lt;=$B932)*(A_Corridor!$B$5:$B$204&gt;$B932)*(A_Corridor!$E$5:$E$204&lt;&gt;"")),IF(A_Corridor!$E$5:$E$204="-","",A_Corridor!$E$5:$E$204)),"")</f>
        <v/>
      </c>
      <c r="H932" s="182" t="str">
        <f>IFERROR(LOOKUP(2,1/((D_Points!$A$5:$A$204&lt;&gt;"")*(D_Points!$A$5:$A$204&gt;=$B932)*(D_Points!$A$5:$A$204&lt;$B932+P_Interval)*(UPPER(TRIM(D_Points!$B$5:$B$204))="GULLY")*(D_Points!$H$5:$H$204&lt;&gt;"")),D_Points!$H$5:$H$204),"")</f>
        <v/>
      </c>
      <c r="I932" s="181" t="str">
        <f>IFERROR(LOOKUP(2,1/((A_Corridor!$A$5:$A$204&lt;&gt;"")*(A_Corridor!$A$5:$A$204&lt;=$B932)*(A_Corridor!$B$5:$B$204&gt;$B932)*(A_Corridor!$F$5:$F$204&lt;&gt;"")),IF(A_Corridor!$F$5:$F$204="-","",1)),"")</f>
        <v/>
      </c>
      <c r="J932" s="182" t="str">
        <f>IFERROR(LOOKUP(2,1/((A_Corridor!$A$5:$A$204&lt;&gt;"")*(A_Corridor!$A$5:$A$204&lt;=$B932)*(A_Corridor!$B$5:$B$204&gt;$B932)*(A_Corridor!$F$5:$F$204&lt;&gt;"")),IF(A_Corridor!$F$5:$F$204="-","",A_Corridor!$F$5:$F$204)),"")</f>
        <v/>
      </c>
      <c r="K932" s="182" t="str">
        <f>IFERROR(LOOKUP(2,1/((A_Corridor!$A$5:$A$204&lt;&gt;"")*(A_Corridor!$A$5:$A$204&lt;=$B932)*(A_Corridor!$B$5:$B$204&gt;$B932)*(A_Corridor!$G$5:$G$204&lt;&gt;"")),IF(A_Corridor!$G$5:$G$204="-","",A_Corridor!$G$5:$G$204)),"")</f>
        <v/>
      </c>
      <c r="L932" s="181" t="str">
        <f>IFERROR(LOOKUP(2,1/((A_Corridor!$A$5:$A$204&lt;&gt;"")*(A_Corridor!$A$5:$A$204&lt;=$B932)*(A_Corridor!$B$5:$B$204&gt;$B932)*(A_Corridor!$H$5:$H$204&lt;&gt;"")),IF(A_Corridor!$H$5:$H$204="-","",1)),"")</f>
        <v/>
      </c>
      <c r="M932" s="182" t="str">
        <f>IFERROR(LOOKUP(2,1/((A_Corridor!$A$5:$A$204&lt;&gt;"")*(A_Corridor!$A$5:$A$204&lt;=$B932)*(A_Corridor!$B$5:$B$204&gt;$B932)*(A_Corridor!$H$5:$H$204&lt;&gt;"")),IF(A_Corridor!$H$5:$H$204="-","",A_Corridor!$H$5:$H$204)),"")</f>
        <v/>
      </c>
      <c r="N932" s="182" t="str">
        <f>IFERROR(LOOKUP(2,1/((A_Corridor!$A$5:$A$204&lt;&gt;"")*(A_Corridor!$A$5:$A$204&lt;=$B932)*(A_Corridor!$B$5:$B$204&gt;$B932)*(A_Corridor!$I$5:$I$204&lt;&gt;"")),IF(A_Corridor!$I$5:$I$204="-","",A_Corridor!$I$5:$I$204)),"")</f>
        <v/>
      </c>
      <c r="O932" s="182" t="str">
        <f>IFERROR(LOOKUP(2,1/((D_Points!$A$5:$A$204&lt;&gt;"")*(D_Points!$A$5:$A$204&gt;=$B932)*(D_Points!$A$5:$A$204&lt;$B932+P_Interval)*(UPPER(TRIM(D_Points!$B$5:$B$204))="PITCHING")*(D_Points!$H$5:$H$204&lt;&gt;"")),D_Points!$H$5:$H$204),"")</f>
        <v/>
      </c>
      <c r="P932" s="181" t="str">
        <f>IFERROR(LOOKUP(2,1/((B_Drainage!$A$5:$A$204&lt;&gt;"")*(B_Drainage!$A$5:$A$204&lt;=$B932)*(B_Drainage!$B$5:$B$204&gt;$B932)*(B_Drainage!$C$5:$C$204&lt;&gt;"")),IF(B_Drainage!$C$5:$C$204="-","",UPPER(B_Drainage!$C$5:$C$204))),"")</f>
        <v/>
      </c>
      <c r="Q932" s="181" t="str">
        <f>IFERROR(LOOKUP(2,1/((B_Drainage!$A$5:$A$204&lt;&gt;"")*(B_Drainage!$A$5:$A$204&lt;=$B932)*(B_Drainage!$B$5:$B$204&gt;$B932)*(B_Drainage!$D$5:$D$204&lt;&gt;"")),IF(B_Drainage!$D$5:$D$204="-","",UPPER(B_Drainage!$D$5:$D$204))),"")</f>
        <v/>
      </c>
      <c r="R932" s="182" t="str">
        <f>IFERROR(LOOKUP(2,1/((D_Points!$A$5:$A$204&lt;&gt;"")*(D_Points!$A$5:$A$204&gt;=$B932)*(D_Points!$A$5:$A$204&lt;$B932+P_Interval)*(RIGHT(UPPER(TRIM(D_Points!$B$5:$B$204)),8)="_CULVERT")),IF(LEFT(UPPER(TRIM(D_Points!$B$5:$B$204)),2)="EX",1,IF(LEFT(UPPER(TRIM(D_Points!$B$5:$B$204)),2)="PR",2,3))),"")</f>
        <v/>
      </c>
      <c r="S932" s="182" t="str">
        <f>IFERROR(LOOKUP(2,1/((D_Points!$A$5:$A$204&lt;&gt;"")*(D_Points!$A$5:$A$204&gt;=$B932)*(D_Points!$A$5:$A$204&lt;$B932+P_Interval)*(RIGHT(UPPER(TRIM(D_Points!$B$5:$B$204)),7)="_BRIDGE")),IF(LEFT(UPPER(TRIM(D_Points!$B$5:$B$204)),2)="EX",1,IF(LEFT(UPPER(TRIM(D_Points!$B$5:$B$204)),2)="PR",2,2))),"")</f>
        <v/>
      </c>
      <c r="T932" s="181" t="str">
        <f>IFERROR(LOOKUP(2,1/((B_Drainage!$A$5:$A$204&lt;&gt;"")*(B_Drainage!$A$5:$A$204&lt;=$B932)*(B_Drainage!$B$5:$B$204&gt;$B932)*(B_Drainage!$E$5:$E$204&lt;&gt;"")),IF(B_Drainage!$E$5:$E$204="-","",1)),"")</f>
        <v/>
      </c>
      <c r="U932" s="181" t="str">
        <f>IFERROR(LOOKUP(2,1/((B_Drainage!$A$5:$A$204&lt;&gt;"")*(B_Drainage!$A$5:$A$204&lt;=$B932)*(B_Drainage!$B$5:$B$204&gt;$B932)*(B_Drainage!$E$5:$E$204&lt;&gt;"")),IF(B_Drainage!$E$5:$E$204="-","",B_Drainage!$E$5:$E$204)),"")</f>
        <v/>
      </c>
      <c r="V932" s="181" t="str">
        <f>IFERROR(LOOKUP(2,1/((B_Drainage!$A$5:$A$204&lt;&gt;"")*(B_Drainage!$A$5:$A$204&lt;=$B932)*(B_Drainage!$B$5:$B$204&gt;$B932)*(B_Drainage!$F$5:$F$204&lt;&gt;"")),IF(B_Drainage!$F$5:$F$204="-","",1)),"")</f>
        <v/>
      </c>
      <c r="W932" s="181" t="str">
        <f>IFERROR(LOOKUP(2,1/((B_Drainage!$A$5:$A$204&lt;&gt;"")*(B_Drainage!$A$5:$A$204&lt;=$B932)*(B_Drainage!$B$5:$B$204&gt;$B932)*(B_Drainage!$F$5:$F$204&lt;&gt;"")),IF(B_Drainage!$F$5:$F$204="-","",B_Drainage!$F$5:$F$204)),"")</f>
        <v/>
      </c>
      <c r="X932" s="181" t="str">
        <f>IFERROR(LOOKUP(2,1/((B_Drainage!$A$5:$A$204&lt;&gt;"")*(B_Drainage!$A$5:$A$204&lt;=$B932)*(B_Drainage!$B$5:$B$204&gt;$B932)*(B_Drainage!$G$5:$G$204&lt;&gt;"")),IF(UPPER(B_Drainage!$G$5:$G$204)="Y",1,"")),"")</f>
        <v/>
      </c>
      <c r="Y932" s="181" t="str">
        <f>IFERROR(LOOKUP(2,1/((B_Drainage!$A$5:$A$204&lt;&gt;"")*(B_Drainage!$A$5:$A$204&lt;=$B932)*(B_Drainage!$B$5:$B$204&gt;$B932)*(B_Drainage!$H$5:$H$204&lt;&gt;"")),IF(UPPER(B_Drainage!$H$5:$H$204)="Y",1,"")),"")</f>
        <v/>
      </c>
      <c r="Z932" s="181" t="str">
        <f>IFERROR(LOOKUP(2,1/((B_Drainage!$A$5:$A$204&lt;&gt;"")*(B_Drainage!$A$5:$A$204&lt;=$B932)*(B_Drainage!$B$5:$B$204&gt;$B932)*(B_Drainage!$I$5:$I$204&lt;&gt;"")),IF(UPPER(B_Drainage!$I$5:$I$204)="Y",1,"")),"")</f>
        <v/>
      </c>
      <c r="AA932" s="181" t="str">
        <f>IFERROR(LOOKUP(2,1/((B_Drainage!$A$5:$A$204&lt;&gt;"")*(B_Drainage!$A$5:$A$204&lt;=$B932)*(B_Drainage!$B$5:$B$204&gt;$B932)*(B_Drainage!$J$5:$J$204&lt;&gt;"")),IF(UPPER(B_Drainage!$J$5:$J$204)="Y",1,"")),"")</f>
        <v/>
      </c>
      <c r="AB932" s="182" t="str">
        <f>IFERROR(LOOKUP(2,1/((B_Drainage!$A$5:$A$204&lt;&gt;"")*(B_Drainage!$A$5:$A$204&lt;=$B932)*(B_Drainage!$B$5:$B$204&gt;$B932)*(B_Drainage!$K$5:$K$204&lt;&gt;"")),IF(B_Drainage!$K$5:$K$204="-","",B_Drainage!$K$5:$K$204)),"")</f>
        <v/>
      </c>
      <c r="AC932" s="182" t="str">
        <f>IFERROR(LOOKUP(2,1/((B_Drainage!$A$5:$A$204&lt;&gt;"")*(B_Drainage!$A$5:$A$204&lt;=$B932)*(B_Drainage!$B$5:$B$204&gt;$B932)*(B_Drainage!$L$5:$L$204&lt;&gt;"")),IF(B_Drainage!$L$5:$L$204="-","",B_Drainage!$L$5:$L$204)),"")</f>
        <v/>
      </c>
      <c r="AD932" s="182" t="str">
        <f>IFERROR(LOOKUP(2,1/((D_Points!$A$5:$A$204&lt;&gt;"")*(D_Points!$A$5:$A$204&gt;=$B932)*(D_Points!$A$5:$A$204&lt;$B932+P_Interval)*(UPPER(TRIM(D_Points!$B$5:$B$204))="TURNOUT_L")*(D_Points!$H$5:$H$204&lt;&gt;"")),D_Points!$H$5:$H$204),"")</f>
        <v/>
      </c>
      <c r="AE932" s="182" t="str">
        <f>IFERROR(LOOKUP(2,1/((D_Points!$A$5:$A$204&lt;&gt;"")*(D_Points!$A$5:$A$204&gt;=$B932)*(D_Points!$A$5:$A$204&lt;$B932+P_Interval)*(UPPER(TRIM(D_Points!$B$5:$B$204))="TURNOUT_R")*(D_Points!$H$5:$H$204&lt;&gt;"")),D_Points!$H$5:$H$204),"")</f>
        <v/>
      </c>
      <c r="AF932" s="181" t="str">
        <f>IFERROR(LOOKUP(2,1/((B_Drainage!$A$5:$A$204&lt;&gt;"")*(B_Drainage!$A$5:$A$204&lt;=$B932)*(B_Drainage!$B$5:$B$204&gt;$B932)*(B_Drainage!$M$5:$M$204&lt;&gt;"")),IF(UPPER(B_Drainage!$M$5:$M$204)="Y",1,"")),"")</f>
        <v/>
      </c>
      <c r="AG932" s="181" t="str">
        <f>IFERROR(LOOKUP(2,1/((B_Drainage!$A$5:$A$204&lt;&gt;"")*(B_Drainage!$A$5:$A$204&lt;=$B932)*(B_Drainage!$B$5:$B$204&gt;$B932)*(B_Drainage!$N$5:$N$204&lt;&gt;"")),IF(UPPER(B_Drainage!$N$5:$N$204)="Y",1,"")),"")</f>
        <v/>
      </c>
      <c r="AH932" s="181" t="str">
        <f t="shared" si="112"/>
        <v/>
      </c>
      <c r="AI932" s="181" t="str">
        <f t="shared" si="113"/>
        <v/>
      </c>
      <c r="AJ932" s="181" t="str">
        <f t="shared" si="114"/>
        <v/>
      </c>
      <c r="AK932" s="181" t="str">
        <f t="shared" si="115"/>
        <v/>
      </c>
      <c r="AL932" s="181" t="str">
        <f t="shared" si="116"/>
        <v/>
      </c>
      <c r="AM932" s="181" t="str">
        <f t="shared" si="117"/>
        <v/>
      </c>
      <c r="AN932" s="181" t="str">
        <f t="shared" si="118"/>
        <v/>
      </c>
      <c r="AO932" s="192" t="str">
        <f t="shared" si="119"/>
        <v/>
      </c>
      <c r="AQ932" t="str">
        <f>IFERROR(LOOKUP(2,1/((C_Pavement!$A$5:$A$204&lt;&gt;"")*(C_Pavement!$A$5:$A$204&lt;=$B932)*(C_Pavement!$B$5:$B$204&gt;$B932)*(C_Pavement!$C$5:$C$204&lt;&gt;"")),ROW(C_Pavement!$C$5:$C$204)-4),"")</f>
        <v/>
      </c>
      <c r="AR932" t="str">
        <f>IF($AQ932="","",UPPER(TRIM(INDEX(C_Pavement!$C$5:$C$204,$AQ932))))</f>
        <v/>
      </c>
      <c r="AS932" t="str">
        <f>IF($AR932="","",IFERROR(MATCH($AR932,E_Rules!$A$5:$A$9,0),""))</f>
        <v/>
      </c>
      <c r="AT932" t="str">
        <f>IF($AQ932="","",IF(INDEX(C_Pavement!$D$5:$D$204,$AQ932)&lt;&gt;"",UPPER(TRIM(INDEX(C_Pavement!$D$5:$D$204,$AQ932))),IF($AS932="","",INDEX(E_Rules!$C$5:$C$9,$AS932))))</f>
        <v/>
      </c>
      <c r="AU932" t="str">
        <f>IF($AQ932="","",IF(INDEX(C_Pavement!$E$5:$E$204,$AQ932)&lt;&gt;"",IF(INDEX(C_Pavement!$E$5:$E$204,$AQ932)="-","",INDEX(C_Pavement!$E$5:$E$204,$AQ932)),IF($AS932="","",INDEX(E_Rules!$D$5:$D$9,$AS932))))</f>
        <v/>
      </c>
      <c r="AV932" t="str">
        <f>IF($AQ932="","",IF(INDEX(C_Pavement!$F$5:$F$204,$AQ932)&lt;&gt;"",IF(INDEX(C_Pavement!$F$5:$F$204,$AQ932)="-","",INDEX(C_Pavement!$F$5:$F$204,$AQ932)),IF($AS932="","",INDEX(E_Rules!$E$5:$E$9,$AS932))))</f>
        <v/>
      </c>
      <c r="AW932" t="str">
        <f>IF($AQ932="","",IF(INDEX(C_Pavement!$G$5:$G$204,$AQ932)&lt;&gt;"",IF(INDEX(C_Pavement!$G$5:$G$204,$AQ932)="-","",INDEX(C_Pavement!$G$5:$G$204,$AQ932)),IF($AS932="","",INDEX(E_Rules!$F$5:$F$9,$AS932))))</f>
        <v/>
      </c>
      <c r="AX932" t="str">
        <f>IF($AQ932="","",IF(INDEX(C_Pavement!$H$5:$H$204,$AQ932)&lt;&gt;"",IF(INDEX(C_Pavement!$H$5:$H$204,$AQ932)="-","",INDEX(C_Pavement!$H$5:$H$204,$AQ932)),IF($AS932="","",INDEX(E_Rules!$G$5:$G$9,$AS932))))</f>
        <v/>
      </c>
      <c r="AY932" t="str">
        <f>IF($AQ932="","",IF(INDEX(C_Pavement!$I$5:$I$204,$AQ932)&lt;&gt;"",IF(INDEX(C_Pavement!$I$5:$I$204,$AQ932)="-","",INDEX(C_Pavement!$I$5:$I$204,$AQ932)),IF($AS932="","",INDEX(E_Rules!$H$5:$H$9,$AS932))))</f>
        <v/>
      </c>
    </row>
    <row r="933" spans="1:51" ht="15.75" customHeight="1" x14ac:dyDescent="0.3">
      <c r="A933" s="189">
        <v>928</v>
      </c>
      <c r="B933" s="180">
        <v>46350</v>
      </c>
      <c r="C933" s="180" t="s">
        <v>1239</v>
      </c>
      <c r="D933" s="181" t="str">
        <f>IFERROR(LOOKUP(2,1/((A_Corridor!$A$5:$A$204&lt;&gt;"")*(A_Corridor!$A$5:$A$204&lt;=$B933)*(A_Corridor!$B$5:$B$204&gt;$B933)*(A_Corridor!$C$5:$C$204&lt;&gt;"")),IF(UPPER(A_Corridor!$C$5:$C$204)="Y",1,"")),"")</f>
        <v/>
      </c>
      <c r="E933" s="181" t="str">
        <f>IFERROR(LOOKUP(2,1/((A_Corridor!$A$5:$A$204&lt;&gt;"")*(A_Corridor!$A$5:$A$204&lt;=$B933)*(A_Corridor!$B$5:$B$204&gt;$B933)*(A_Corridor!$D$5:$D$204&lt;&gt;"")),IF(A_Corridor!$D$5:$D$204="-","",UPPER(A_Corridor!$D$5:$D$204))),"")</f>
        <v/>
      </c>
      <c r="F933" s="181" t="str">
        <f>IFERROR(LOOKUP(2,1/((A_Corridor!$A$5:$A$204&lt;&gt;"")*(A_Corridor!$A$5:$A$204&lt;=$B933)*(A_Corridor!$B$5:$B$204&gt;$B933)*(A_Corridor!$E$5:$E$204&lt;&gt;"")),IF(A_Corridor!$E$5:$E$204="-","",1)),"")</f>
        <v/>
      </c>
      <c r="G933" s="182" t="str">
        <f>IFERROR(LOOKUP(2,1/((A_Corridor!$A$5:$A$204&lt;&gt;"")*(A_Corridor!$A$5:$A$204&lt;=$B933)*(A_Corridor!$B$5:$B$204&gt;$B933)*(A_Corridor!$E$5:$E$204&lt;&gt;"")),IF(A_Corridor!$E$5:$E$204="-","",A_Corridor!$E$5:$E$204)),"")</f>
        <v/>
      </c>
      <c r="H933" s="182" t="str">
        <f>IFERROR(LOOKUP(2,1/((D_Points!$A$5:$A$204&lt;&gt;"")*(D_Points!$A$5:$A$204&gt;=$B933)*(D_Points!$A$5:$A$204&lt;$B933+P_Interval)*(UPPER(TRIM(D_Points!$B$5:$B$204))="GULLY")*(D_Points!$H$5:$H$204&lt;&gt;"")),D_Points!$H$5:$H$204),"")</f>
        <v/>
      </c>
      <c r="I933" s="181" t="str">
        <f>IFERROR(LOOKUP(2,1/((A_Corridor!$A$5:$A$204&lt;&gt;"")*(A_Corridor!$A$5:$A$204&lt;=$B933)*(A_Corridor!$B$5:$B$204&gt;$B933)*(A_Corridor!$F$5:$F$204&lt;&gt;"")),IF(A_Corridor!$F$5:$F$204="-","",1)),"")</f>
        <v/>
      </c>
      <c r="J933" s="182" t="str">
        <f>IFERROR(LOOKUP(2,1/((A_Corridor!$A$5:$A$204&lt;&gt;"")*(A_Corridor!$A$5:$A$204&lt;=$B933)*(A_Corridor!$B$5:$B$204&gt;$B933)*(A_Corridor!$F$5:$F$204&lt;&gt;"")),IF(A_Corridor!$F$5:$F$204="-","",A_Corridor!$F$5:$F$204)),"")</f>
        <v/>
      </c>
      <c r="K933" s="182" t="str">
        <f>IFERROR(LOOKUP(2,1/((A_Corridor!$A$5:$A$204&lt;&gt;"")*(A_Corridor!$A$5:$A$204&lt;=$B933)*(A_Corridor!$B$5:$B$204&gt;$B933)*(A_Corridor!$G$5:$G$204&lt;&gt;"")),IF(A_Corridor!$G$5:$G$204="-","",A_Corridor!$G$5:$G$204)),"")</f>
        <v/>
      </c>
      <c r="L933" s="181" t="str">
        <f>IFERROR(LOOKUP(2,1/((A_Corridor!$A$5:$A$204&lt;&gt;"")*(A_Corridor!$A$5:$A$204&lt;=$B933)*(A_Corridor!$B$5:$B$204&gt;$B933)*(A_Corridor!$H$5:$H$204&lt;&gt;"")),IF(A_Corridor!$H$5:$H$204="-","",1)),"")</f>
        <v/>
      </c>
      <c r="M933" s="182" t="str">
        <f>IFERROR(LOOKUP(2,1/((A_Corridor!$A$5:$A$204&lt;&gt;"")*(A_Corridor!$A$5:$A$204&lt;=$B933)*(A_Corridor!$B$5:$B$204&gt;$B933)*(A_Corridor!$H$5:$H$204&lt;&gt;"")),IF(A_Corridor!$H$5:$H$204="-","",A_Corridor!$H$5:$H$204)),"")</f>
        <v/>
      </c>
      <c r="N933" s="182" t="str">
        <f>IFERROR(LOOKUP(2,1/((A_Corridor!$A$5:$A$204&lt;&gt;"")*(A_Corridor!$A$5:$A$204&lt;=$B933)*(A_Corridor!$B$5:$B$204&gt;$B933)*(A_Corridor!$I$5:$I$204&lt;&gt;"")),IF(A_Corridor!$I$5:$I$204="-","",A_Corridor!$I$5:$I$204)),"")</f>
        <v/>
      </c>
      <c r="O933" s="182" t="str">
        <f>IFERROR(LOOKUP(2,1/((D_Points!$A$5:$A$204&lt;&gt;"")*(D_Points!$A$5:$A$204&gt;=$B933)*(D_Points!$A$5:$A$204&lt;$B933+P_Interval)*(UPPER(TRIM(D_Points!$B$5:$B$204))="PITCHING")*(D_Points!$H$5:$H$204&lt;&gt;"")),D_Points!$H$5:$H$204),"")</f>
        <v/>
      </c>
      <c r="P933" s="181" t="str">
        <f>IFERROR(LOOKUP(2,1/((B_Drainage!$A$5:$A$204&lt;&gt;"")*(B_Drainage!$A$5:$A$204&lt;=$B933)*(B_Drainage!$B$5:$B$204&gt;$B933)*(B_Drainage!$C$5:$C$204&lt;&gt;"")),IF(B_Drainage!$C$5:$C$204="-","",UPPER(B_Drainage!$C$5:$C$204))),"")</f>
        <v/>
      </c>
      <c r="Q933" s="181" t="str">
        <f>IFERROR(LOOKUP(2,1/((B_Drainage!$A$5:$A$204&lt;&gt;"")*(B_Drainage!$A$5:$A$204&lt;=$B933)*(B_Drainage!$B$5:$B$204&gt;$B933)*(B_Drainage!$D$5:$D$204&lt;&gt;"")),IF(B_Drainage!$D$5:$D$204="-","",UPPER(B_Drainage!$D$5:$D$204))),"")</f>
        <v/>
      </c>
      <c r="R933" s="182" t="str">
        <f>IFERROR(LOOKUP(2,1/((D_Points!$A$5:$A$204&lt;&gt;"")*(D_Points!$A$5:$A$204&gt;=$B933)*(D_Points!$A$5:$A$204&lt;$B933+P_Interval)*(RIGHT(UPPER(TRIM(D_Points!$B$5:$B$204)),8)="_CULVERT")),IF(LEFT(UPPER(TRIM(D_Points!$B$5:$B$204)),2)="EX",1,IF(LEFT(UPPER(TRIM(D_Points!$B$5:$B$204)),2)="PR",2,3))),"")</f>
        <v/>
      </c>
      <c r="S933" s="182" t="str">
        <f>IFERROR(LOOKUP(2,1/((D_Points!$A$5:$A$204&lt;&gt;"")*(D_Points!$A$5:$A$204&gt;=$B933)*(D_Points!$A$5:$A$204&lt;$B933+P_Interval)*(RIGHT(UPPER(TRIM(D_Points!$B$5:$B$204)),7)="_BRIDGE")),IF(LEFT(UPPER(TRIM(D_Points!$B$5:$B$204)),2)="EX",1,IF(LEFT(UPPER(TRIM(D_Points!$B$5:$B$204)),2)="PR",2,2))),"")</f>
        <v/>
      </c>
      <c r="T933" s="181" t="str">
        <f>IFERROR(LOOKUP(2,1/((B_Drainage!$A$5:$A$204&lt;&gt;"")*(B_Drainage!$A$5:$A$204&lt;=$B933)*(B_Drainage!$B$5:$B$204&gt;$B933)*(B_Drainage!$E$5:$E$204&lt;&gt;"")),IF(B_Drainage!$E$5:$E$204="-","",1)),"")</f>
        <v/>
      </c>
      <c r="U933" s="181" t="str">
        <f>IFERROR(LOOKUP(2,1/((B_Drainage!$A$5:$A$204&lt;&gt;"")*(B_Drainage!$A$5:$A$204&lt;=$B933)*(B_Drainage!$B$5:$B$204&gt;$B933)*(B_Drainage!$E$5:$E$204&lt;&gt;"")),IF(B_Drainage!$E$5:$E$204="-","",B_Drainage!$E$5:$E$204)),"")</f>
        <v/>
      </c>
      <c r="V933" s="181" t="str">
        <f>IFERROR(LOOKUP(2,1/((B_Drainage!$A$5:$A$204&lt;&gt;"")*(B_Drainage!$A$5:$A$204&lt;=$B933)*(B_Drainage!$B$5:$B$204&gt;$B933)*(B_Drainage!$F$5:$F$204&lt;&gt;"")),IF(B_Drainage!$F$5:$F$204="-","",1)),"")</f>
        <v/>
      </c>
      <c r="W933" s="181" t="str">
        <f>IFERROR(LOOKUP(2,1/((B_Drainage!$A$5:$A$204&lt;&gt;"")*(B_Drainage!$A$5:$A$204&lt;=$B933)*(B_Drainage!$B$5:$B$204&gt;$B933)*(B_Drainage!$F$5:$F$204&lt;&gt;"")),IF(B_Drainage!$F$5:$F$204="-","",B_Drainage!$F$5:$F$204)),"")</f>
        <v/>
      </c>
      <c r="X933" s="181" t="str">
        <f>IFERROR(LOOKUP(2,1/((B_Drainage!$A$5:$A$204&lt;&gt;"")*(B_Drainage!$A$5:$A$204&lt;=$B933)*(B_Drainage!$B$5:$B$204&gt;$B933)*(B_Drainage!$G$5:$G$204&lt;&gt;"")),IF(UPPER(B_Drainage!$G$5:$G$204)="Y",1,"")),"")</f>
        <v/>
      </c>
      <c r="Y933" s="181" t="str">
        <f>IFERROR(LOOKUP(2,1/((B_Drainage!$A$5:$A$204&lt;&gt;"")*(B_Drainage!$A$5:$A$204&lt;=$B933)*(B_Drainage!$B$5:$B$204&gt;$B933)*(B_Drainage!$H$5:$H$204&lt;&gt;"")),IF(UPPER(B_Drainage!$H$5:$H$204)="Y",1,"")),"")</f>
        <v/>
      </c>
      <c r="Z933" s="181" t="str">
        <f>IFERROR(LOOKUP(2,1/((B_Drainage!$A$5:$A$204&lt;&gt;"")*(B_Drainage!$A$5:$A$204&lt;=$B933)*(B_Drainage!$B$5:$B$204&gt;$B933)*(B_Drainage!$I$5:$I$204&lt;&gt;"")),IF(UPPER(B_Drainage!$I$5:$I$204)="Y",1,"")),"")</f>
        <v/>
      </c>
      <c r="AA933" s="181" t="str">
        <f>IFERROR(LOOKUP(2,1/((B_Drainage!$A$5:$A$204&lt;&gt;"")*(B_Drainage!$A$5:$A$204&lt;=$B933)*(B_Drainage!$B$5:$B$204&gt;$B933)*(B_Drainage!$J$5:$J$204&lt;&gt;"")),IF(UPPER(B_Drainage!$J$5:$J$204)="Y",1,"")),"")</f>
        <v/>
      </c>
      <c r="AB933" s="182" t="str">
        <f>IFERROR(LOOKUP(2,1/((B_Drainage!$A$5:$A$204&lt;&gt;"")*(B_Drainage!$A$5:$A$204&lt;=$B933)*(B_Drainage!$B$5:$B$204&gt;$B933)*(B_Drainage!$K$5:$K$204&lt;&gt;"")),IF(B_Drainage!$K$5:$K$204="-","",B_Drainage!$K$5:$K$204)),"")</f>
        <v/>
      </c>
      <c r="AC933" s="182" t="str">
        <f>IFERROR(LOOKUP(2,1/((B_Drainage!$A$5:$A$204&lt;&gt;"")*(B_Drainage!$A$5:$A$204&lt;=$B933)*(B_Drainage!$B$5:$B$204&gt;$B933)*(B_Drainage!$L$5:$L$204&lt;&gt;"")),IF(B_Drainage!$L$5:$L$204="-","",B_Drainage!$L$5:$L$204)),"")</f>
        <v/>
      </c>
      <c r="AD933" s="182" t="str">
        <f>IFERROR(LOOKUP(2,1/((D_Points!$A$5:$A$204&lt;&gt;"")*(D_Points!$A$5:$A$204&gt;=$B933)*(D_Points!$A$5:$A$204&lt;$B933+P_Interval)*(UPPER(TRIM(D_Points!$B$5:$B$204))="TURNOUT_L")*(D_Points!$H$5:$H$204&lt;&gt;"")),D_Points!$H$5:$H$204),"")</f>
        <v/>
      </c>
      <c r="AE933" s="182" t="str">
        <f>IFERROR(LOOKUP(2,1/((D_Points!$A$5:$A$204&lt;&gt;"")*(D_Points!$A$5:$A$204&gt;=$B933)*(D_Points!$A$5:$A$204&lt;$B933+P_Interval)*(UPPER(TRIM(D_Points!$B$5:$B$204))="TURNOUT_R")*(D_Points!$H$5:$H$204&lt;&gt;"")),D_Points!$H$5:$H$204),"")</f>
        <v/>
      </c>
      <c r="AF933" s="181" t="str">
        <f>IFERROR(LOOKUP(2,1/((B_Drainage!$A$5:$A$204&lt;&gt;"")*(B_Drainage!$A$5:$A$204&lt;=$B933)*(B_Drainage!$B$5:$B$204&gt;$B933)*(B_Drainage!$M$5:$M$204&lt;&gt;"")),IF(UPPER(B_Drainage!$M$5:$M$204)="Y",1,"")),"")</f>
        <v/>
      </c>
      <c r="AG933" s="181" t="str">
        <f>IFERROR(LOOKUP(2,1/((B_Drainage!$A$5:$A$204&lt;&gt;"")*(B_Drainage!$A$5:$A$204&lt;=$B933)*(B_Drainage!$B$5:$B$204&gt;$B933)*(B_Drainage!$N$5:$N$204&lt;&gt;"")),IF(UPPER(B_Drainage!$N$5:$N$204)="Y",1,"")),"")</f>
        <v/>
      </c>
      <c r="AH933" s="181" t="str">
        <f t="shared" si="112"/>
        <v/>
      </c>
      <c r="AI933" s="181" t="str">
        <f t="shared" si="113"/>
        <v/>
      </c>
      <c r="AJ933" s="181" t="str">
        <f t="shared" si="114"/>
        <v/>
      </c>
      <c r="AK933" s="181" t="str">
        <f t="shared" si="115"/>
        <v/>
      </c>
      <c r="AL933" s="181" t="str">
        <f t="shared" si="116"/>
        <v/>
      </c>
      <c r="AM933" s="181" t="str">
        <f t="shared" si="117"/>
        <v/>
      </c>
      <c r="AN933" s="181" t="str">
        <f t="shared" si="118"/>
        <v/>
      </c>
      <c r="AO933" s="192" t="str">
        <f t="shared" si="119"/>
        <v/>
      </c>
      <c r="AQ933" t="str">
        <f>IFERROR(LOOKUP(2,1/((C_Pavement!$A$5:$A$204&lt;&gt;"")*(C_Pavement!$A$5:$A$204&lt;=$B933)*(C_Pavement!$B$5:$B$204&gt;$B933)*(C_Pavement!$C$5:$C$204&lt;&gt;"")),ROW(C_Pavement!$C$5:$C$204)-4),"")</f>
        <v/>
      </c>
      <c r="AR933" t="str">
        <f>IF($AQ933="","",UPPER(TRIM(INDEX(C_Pavement!$C$5:$C$204,$AQ933))))</f>
        <v/>
      </c>
      <c r="AS933" t="str">
        <f>IF($AR933="","",IFERROR(MATCH($AR933,E_Rules!$A$5:$A$9,0),""))</f>
        <v/>
      </c>
      <c r="AT933" t="str">
        <f>IF($AQ933="","",IF(INDEX(C_Pavement!$D$5:$D$204,$AQ933)&lt;&gt;"",UPPER(TRIM(INDEX(C_Pavement!$D$5:$D$204,$AQ933))),IF($AS933="","",INDEX(E_Rules!$C$5:$C$9,$AS933))))</f>
        <v/>
      </c>
      <c r="AU933" t="str">
        <f>IF($AQ933="","",IF(INDEX(C_Pavement!$E$5:$E$204,$AQ933)&lt;&gt;"",IF(INDEX(C_Pavement!$E$5:$E$204,$AQ933)="-","",INDEX(C_Pavement!$E$5:$E$204,$AQ933)),IF($AS933="","",INDEX(E_Rules!$D$5:$D$9,$AS933))))</f>
        <v/>
      </c>
      <c r="AV933" t="str">
        <f>IF($AQ933="","",IF(INDEX(C_Pavement!$F$5:$F$204,$AQ933)&lt;&gt;"",IF(INDEX(C_Pavement!$F$5:$F$204,$AQ933)="-","",INDEX(C_Pavement!$F$5:$F$204,$AQ933)),IF($AS933="","",INDEX(E_Rules!$E$5:$E$9,$AS933))))</f>
        <v/>
      </c>
      <c r="AW933" t="str">
        <f>IF($AQ933="","",IF(INDEX(C_Pavement!$G$5:$G$204,$AQ933)&lt;&gt;"",IF(INDEX(C_Pavement!$G$5:$G$204,$AQ933)="-","",INDEX(C_Pavement!$G$5:$G$204,$AQ933)),IF($AS933="","",INDEX(E_Rules!$F$5:$F$9,$AS933))))</f>
        <v/>
      </c>
      <c r="AX933" t="str">
        <f>IF($AQ933="","",IF(INDEX(C_Pavement!$H$5:$H$204,$AQ933)&lt;&gt;"",IF(INDEX(C_Pavement!$H$5:$H$204,$AQ933)="-","",INDEX(C_Pavement!$H$5:$H$204,$AQ933)),IF($AS933="","",INDEX(E_Rules!$G$5:$G$9,$AS933))))</f>
        <v/>
      </c>
      <c r="AY933" t="str">
        <f>IF($AQ933="","",IF(INDEX(C_Pavement!$I$5:$I$204,$AQ933)&lt;&gt;"",IF(INDEX(C_Pavement!$I$5:$I$204,$AQ933)="-","",INDEX(C_Pavement!$I$5:$I$204,$AQ933)),IF($AS933="","",INDEX(E_Rules!$H$5:$H$9,$AS933))))</f>
        <v/>
      </c>
    </row>
    <row r="934" spans="1:51" ht="15.75" customHeight="1" x14ac:dyDescent="0.3">
      <c r="A934" s="189">
        <v>929</v>
      </c>
      <c r="B934" s="180">
        <v>46400</v>
      </c>
      <c r="C934" s="180" t="s">
        <v>1240</v>
      </c>
      <c r="D934" s="181" t="str">
        <f>IFERROR(LOOKUP(2,1/((A_Corridor!$A$5:$A$204&lt;&gt;"")*(A_Corridor!$A$5:$A$204&lt;=$B934)*(A_Corridor!$B$5:$B$204&gt;$B934)*(A_Corridor!$C$5:$C$204&lt;&gt;"")),IF(UPPER(A_Corridor!$C$5:$C$204)="Y",1,"")),"")</f>
        <v/>
      </c>
      <c r="E934" s="181" t="str">
        <f>IFERROR(LOOKUP(2,1/((A_Corridor!$A$5:$A$204&lt;&gt;"")*(A_Corridor!$A$5:$A$204&lt;=$B934)*(A_Corridor!$B$5:$B$204&gt;$B934)*(A_Corridor!$D$5:$D$204&lt;&gt;"")),IF(A_Corridor!$D$5:$D$204="-","",UPPER(A_Corridor!$D$5:$D$204))),"")</f>
        <v/>
      </c>
      <c r="F934" s="181" t="str">
        <f>IFERROR(LOOKUP(2,1/((A_Corridor!$A$5:$A$204&lt;&gt;"")*(A_Corridor!$A$5:$A$204&lt;=$B934)*(A_Corridor!$B$5:$B$204&gt;$B934)*(A_Corridor!$E$5:$E$204&lt;&gt;"")),IF(A_Corridor!$E$5:$E$204="-","",1)),"")</f>
        <v/>
      </c>
      <c r="G934" s="182" t="str">
        <f>IFERROR(LOOKUP(2,1/((A_Corridor!$A$5:$A$204&lt;&gt;"")*(A_Corridor!$A$5:$A$204&lt;=$B934)*(A_Corridor!$B$5:$B$204&gt;$B934)*(A_Corridor!$E$5:$E$204&lt;&gt;"")),IF(A_Corridor!$E$5:$E$204="-","",A_Corridor!$E$5:$E$204)),"")</f>
        <v/>
      </c>
      <c r="H934" s="182" t="str">
        <f>IFERROR(LOOKUP(2,1/((D_Points!$A$5:$A$204&lt;&gt;"")*(D_Points!$A$5:$A$204&gt;=$B934)*(D_Points!$A$5:$A$204&lt;$B934+P_Interval)*(UPPER(TRIM(D_Points!$B$5:$B$204))="GULLY")*(D_Points!$H$5:$H$204&lt;&gt;"")),D_Points!$H$5:$H$204),"")</f>
        <v/>
      </c>
      <c r="I934" s="181" t="str">
        <f>IFERROR(LOOKUP(2,1/((A_Corridor!$A$5:$A$204&lt;&gt;"")*(A_Corridor!$A$5:$A$204&lt;=$B934)*(A_Corridor!$B$5:$B$204&gt;$B934)*(A_Corridor!$F$5:$F$204&lt;&gt;"")),IF(A_Corridor!$F$5:$F$204="-","",1)),"")</f>
        <v/>
      </c>
      <c r="J934" s="182" t="str">
        <f>IFERROR(LOOKUP(2,1/((A_Corridor!$A$5:$A$204&lt;&gt;"")*(A_Corridor!$A$5:$A$204&lt;=$B934)*(A_Corridor!$B$5:$B$204&gt;$B934)*(A_Corridor!$F$5:$F$204&lt;&gt;"")),IF(A_Corridor!$F$5:$F$204="-","",A_Corridor!$F$5:$F$204)),"")</f>
        <v/>
      </c>
      <c r="K934" s="182" t="str">
        <f>IFERROR(LOOKUP(2,1/((A_Corridor!$A$5:$A$204&lt;&gt;"")*(A_Corridor!$A$5:$A$204&lt;=$B934)*(A_Corridor!$B$5:$B$204&gt;$B934)*(A_Corridor!$G$5:$G$204&lt;&gt;"")),IF(A_Corridor!$G$5:$G$204="-","",A_Corridor!$G$5:$G$204)),"")</f>
        <v/>
      </c>
      <c r="L934" s="181" t="str">
        <f>IFERROR(LOOKUP(2,1/((A_Corridor!$A$5:$A$204&lt;&gt;"")*(A_Corridor!$A$5:$A$204&lt;=$B934)*(A_Corridor!$B$5:$B$204&gt;$B934)*(A_Corridor!$H$5:$H$204&lt;&gt;"")),IF(A_Corridor!$H$5:$H$204="-","",1)),"")</f>
        <v/>
      </c>
      <c r="M934" s="182" t="str">
        <f>IFERROR(LOOKUP(2,1/((A_Corridor!$A$5:$A$204&lt;&gt;"")*(A_Corridor!$A$5:$A$204&lt;=$B934)*(A_Corridor!$B$5:$B$204&gt;$B934)*(A_Corridor!$H$5:$H$204&lt;&gt;"")),IF(A_Corridor!$H$5:$H$204="-","",A_Corridor!$H$5:$H$204)),"")</f>
        <v/>
      </c>
      <c r="N934" s="182" t="str">
        <f>IFERROR(LOOKUP(2,1/((A_Corridor!$A$5:$A$204&lt;&gt;"")*(A_Corridor!$A$5:$A$204&lt;=$B934)*(A_Corridor!$B$5:$B$204&gt;$B934)*(A_Corridor!$I$5:$I$204&lt;&gt;"")),IF(A_Corridor!$I$5:$I$204="-","",A_Corridor!$I$5:$I$204)),"")</f>
        <v/>
      </c>
      <c r="O934" s="182" t="str">
        <f>IFERROR(LOOKUP(2,1/((D_Points!$A$5:$A$204&lt;&gt;"")*(D_Points!$A$5:$A$204&gt;=$B934)*(D_Points!$A$5:$A$204&lt;$B934+P_Interval)*(UPPER(TRIM(D_Points!$B$5:$B$204))="PITCHING")*(D_Points!$H$5:$H$204&lt;&gt;"")),D_Points!$H$5:$H$204),"")</f>
        <v/>
      </c>
      <c r="P934" s="181" t="str">
        <f>IFERROR(LOOKUP(2,1/((B_Drainage!$A$5:$A$204&lt;&gt;"")*(B_Drainage!$A$5:$A$204&lt;=$B934)*(B_Drainage!$B$5:$B$204&gt;$B934)*(B_Drainage!$C$5:$C$204&lt;&gt;"")),IF(B_Drainage!$C$5:$C$204="-","",UPPER(B_Drainage!$C$5:$C$204))),"")</f>
        <v/>
      </c>
      <c r="Q934" s="181" t="str">
        <f>IFERROR(LOOKUP(2,1/((B_Drainage!$A$5:$A$204&lt;&gt;"")*(B_Drainage!$A$5:$A$204&lt;=$B934)*(B_Drainage!$B$5:$B$204&gt;$B934)*(B_Drainage!$D$5:$D$204&lt;&gt;"")),IF(B_Drainage!$D$5:$D$204="-","",UPPER(B_Drainage!$D$5:$D$204))),"")</f>
        <v/>
      </c>
      <c r="R934" s="182" t="str">
        <f>IFERROR(LOOKUP(2,1/((D_Points!$A$5:$A$204&lt;&gt;"")*(D_Points!$A$5:$A$204&gt;=$B934)*(D_Points!$A$5:$A$204&lt;$B934+P_Interval)*(RIGHT(UPPER(TRIM(D_Points!$B$5:$B$204)),8)="_CULVERT")),IF(LEFT(UPPER(TRIM(D_Points!$B$5:$B$204)),2)="EX",1,IF(LEFT(UPPER(TRIM(D_Points!$B$5:$B$204)),2)="PR",2,3))),"")</f>
        <v/>
      </c>
      <c r="S934" s="182" t="str">
        <f>IFERROR(LOOKUP(2,1/((D_Points!$A$5:$A$204&lt;&gt;"")*(D_Points!$A$5:$A$204&gt;=$B934)*(D_Points!$A$5:$A$204&lt;$B934+P_Interval)*(RIGHT(UPPER(TRIM(D_Points!$B$5:$B$204)),7)="_BRIDGE")),IF(LEFT(UPPER(TRIM(D_Points!$B$5:$B$204)),2)="EX",1,IF(LEFT(UPPER(TRIM(D_Points!$B$5:$B$204)),2)="PR",2,2))),"")</f>
        <v/>
      </c>
      <c r="T934" s="181" t="str">
        <f>IFERROR(LOOKUP(2,1/((B_Drainage!$A$5:$A$204&lt;&gt;"")*(B_Drainage!$A$5:$A$204&lt;=$B934)*(B_Drainage!$B$5:$B$204&gt;$B934)*(B_Drainage!$E$5:$E$204&lt;&gt;"")),IF(B_Drainage!$E$5:$E$204="-","",1)),"")</f>
        <v/>
      </c>
      <c r="U934" s="181" t="str">
        <f>IFERROR(LOOKUP(2,1/((B_Drainage!$A$5:$A$204&lt;&gt;"")*(B_Drainage!$A$5:$A$204&lt;=$B934)*(B_Drainage!$B$5:$B$204&gt;$B934)*(B_Drainage!$E$5:$E$204&lt;&gt;"")),IF(B_Drainage!$E$5:$E$204="-","",B_Drainage!$E$5:$E$204)),"")</f>
        <v/>
      </c>
      <c r="V934" s="181" t="str">
        <f>IFERROR(LOOKUP(2,1/((B_Drainage!$A$5:$A$204&lt;&gt;"")*(B_Drainage!$A$5:$A$204&lt;=$B934)*(B_Drainage!$B$5:$B$204&gt;$B934)*(B_Drainage!$F$5:$F$204&lt;&gt;"")),IF(B_Drainage!$F$5:$F$204="-","",1)),"")</f>
        <v/>
      </c>
      <c r="W934" s="181" t="str">
        <f>IFERROR(LOOKUP(2,1/((B_Drainage!$A$5:$A$204&lt;&gt;"")*(B_Drainage!$A$5:$A$204&lt;=$B934)*(B_Drainage!$B$5:$B$204&gt;$B934)*(B_Drainage!$F$5:$F$204&lt;&gt;"")),IF(B_Drainage!$F$5:$F$204="-","",B_Drainage!$F$5:$F$204)),"")</f>
        <v/>
      </c>
      <c r="X934" s="181" t="str">
        <f>IFERROR(LOOKUP(2,1/((B_Drainage!$A$5:$A$204&lt;&gt;"")*(B_Drainage!$A$5:$A$204&lt;=$B934)*(B_Drainage!$B$5:$B$204&gt;$B934)*(B_Drainage!$G$5:$G$204&lt;&gt;"")),IF(UPPER(B_Drainage!$G$5:$G$204)="Y",1,"")),"")</f>
        <v/>
      </c>
      <c r="Y934" s="181" t="str">
        <f>IFERROR(LOOKUP(2,1/((B_Drainage!$A$5:$A$204&lt;&gt;"")*(B_Drainage!$A$5:$A$204&lt;=$B934)*(B_Drainage!$B$5:$B$204&gt;$B934)*(B_Drainage!$H$5:$H$204&lt;&gt;"")),IF(UPPER(B_Drainage!$H$5:$H$204)="Y",1,"")),"")</f>
        <v/>
      </c>
      <c r="Z934" s="181" t="str">
        <f>IFERROR(LOOKUP(2,1/((B_Drainage!$A$5:$A$204&lt;&gt;"")*(B_Drainage!$A$5:$A$204&lt;=$B934)*(B_Drainage!$B$5:$B$204&gt;$B934)*(B_Drainage!$I$5:$I$204&lt;&gt;"")),IF(UPPER(B_Drainage!$I$5:$I$204)="Y",1,"")),"")</f>
        <v/>
      </c>
      <c r="AA934" s="181" t="str">
        <f>IFERROR(LOOKUP(2,1/((B_Drainage!$A$5:$A$204&lt;&gt;"")*(B_Drainage!$A$5:$A$204&lt;=$B934)*(B_Drainage!$B$5:$B$204&gt;$B934)*(B_Drainage!$J$5:$J$204&lt;&gt;"")),IF(UPPER(B_Drainage!$J$5:$J$204)="Y",1,"")),"")</f>
        <v/>
      </c>
      <c r="AB934" s="182" t="str">
        <f>IFERROR(LOOKUP(2,1/((B_Drainage!$A$5:$A$204&lt;&gt;"")*(B_Drainage!$A$5:$A$204&lt;=$B934)*(B_Drainage!$B$5:$B$204&gt;$B934)*(B_Drainage!$K$5:$K$204&lt;&gt;"")),IF(B_Drainage!$K$5:$K$204="-","",B_Drainage!$K$5:$K$204)),"")</f>
        <v/>
      </c>
      <c r="AC934" s="182" t="str">
        <f>IFERROR(LOOKUP(2,1/((B_Drainage!$A$5:$A$204&lt;&gt;"")*(B_Drainage!$A$5:$A$204&lt;=$B934)*(B_Drainage!$B$5:$B$204&gt;$B934)*(B_Drainage!$L$5:$L$204&lt;&gt;"")),IF(B_Drainage!$L$5:$L$204="-","",B_Drainage!$L$5:$L$204)),"")</f>
        <v/>
      </c>
      <c r="AD934" s="182" t="str">
        <f>IFERROR(LOOKUP(2,1/((D_Points!$A$5:$A$204&lt;&gt;"")*(D_Points!$A$5:$A$204&gt;=$B934)*(D_Points!$A$5:$A$204&lt;$B934+P_Interval)*(UPPER(TRIM(D_Points!$B$5:$B$204))="TURNOUT_L")*(D_Points!$H$5:$H$204&lt;&gt;"")),D_Points!$H$5:$H$204),"")</f>
        <v/>
      </c>
      <c r="AE934" s="182" t="str">
        <f>IFERROR(LOOKUP(2,1/((D_Points!$A$5:$A$204&lt;&gt;"")*(D_Points!$A$5:$A$204&gt;=$B934)*(D_Points!$A$5:$A$204&lt;$B934+P_Interval)*(UPPER(TRIM(D_Points!$B$5:$B$204))="TURNOUT_R")*(D_Points!$H$5:$H$204&lt;&gt;"")),D_Points!$H$5:$H$204),"")</f>
        <v/>
      </c>
      <c r="AF934" s="181" t="str">
        <f>IFERROR(LOOKUP(2,1/((B_Drainage!$A$5:$A$204&lt;&gt;"")*(B_Drainage!$A$5:$A$204&lt;=$B934)*(B_Drainage!$B$5:$B$204&gt;$B934)*(B_Drainage!$M$5:$M$204&lt;&gt;"")),IF(UPPER(B_Drainage!$M$5:$M$204)="Y",1,"")),"")</f>
        <v/>
      </c>
      <c r="AG934" s="181" t="str">
        <f>IFERROR(LOOKUP(2,1/((B_Drainage!$A$5:$A$204&lt;&gt;"")*(B_Drainage!$A$5:$A$204&lt;=$B934)*(B_Drainage!$B$5:$B$204&gt;$B934)*(B_Drainage!$N$5:$N$204&lt;&gt;"")),IF(UPPER(B_Drainage!$N$5:$N$204)="Y",1,"")),"")</f>
        <v/>
      </c>
      <c r="AH934" s="181" t="str">
        <f t="shared" si="112"/>
        <v/>
      </c>
      <c r="AI934" s="181" t="str">
        <f t="shared" si="113"/>
        <v/>
      </c>
      <c r="AJ934" s="181" t="str">
        <f t="shared" si="114"/>
        <v/>
      </c>
      <c r="AK934" s="181" t="str">
        <f t="shared" si="115"/>
        <v/>
      </c>
      <c r="AL934" s="181" t="str">
        <f t="shared" si="116"/>
        <v/>
      </c>
      <c r="AM934" s="181" t="str">
        <f t="shared" si="117"/>
        <v/>
      </c>
      <c r="AN934" s="181" t="str">
        <f t="shared" si="118"/>
        <v/>
      </c>
      <c r="AO934" s="192" t="str">
        <f t="shared" si="119"/>
        <v/>
      </c>
      <c r="AQ934" t="str">
        <f>IFERROR(LOOKUP(2,1/((C_Pavement!$A$5:$A$204&lt;&gt;"")*(C_Pavement!$A$5:$A$204&lt;=$B934)*(C_Pavement!$B$5:$B$204&gt;$B934)*(C_Pavement!$C$5:$C$204&lt;&gt;"")),ROW(C_Pavement!$C$5:$C$204)-4),"")</f>
        <v/>
      </c>
      <c r="AR934" t="str">
        <f>IF($AQ934="","",UPPER(TRIM(INDEX(C_Pavement!$C$5:$C$204,$AQ934))))</f>
        <v/>
      </c>
      <c r="AS934" t="str">
        <f>IF($AR934="","",IFERROR(MATCH($AR934,E_Rules!$A$5:$A$9,0),""))</f>
        <v/>
      </c>
      <c r="AT934" t="str">
        <f>IF($AQ934="","",IF(INDEX(C_Pavement!$D$5:$D$204,$AQ934)&lt;&gt;"",UPPER(TRIM(INDEX(C_Pavement!$D$5:$D$204,$AQ934))),IF($AS934="","",INDEX(E_Rules!$C$5:$C$9,$AS934))))</f>
        <v/>
      </c>
      <c r="AU934" t="str">
        <f>IF($AQ934="","",IF(INDEX(C_Pavement!$E$5:$E$204,$AQ934)&lt;&gt;"",IF(INDEX(C_Pavement!$E$5:$E$204,$AQ934)="-","",INDEX(C_Pavement!$E$5:$E$204,$AQ934)),IF($AS934="","",INDEX(E_Rules!$D$5:$D$9,$AS934))))</f>
        <v/>
      </c>
      <c r="AV934" t="str">
        <f>IF($AQ934="","",IF(INDEX(C_Pavement!$F$5:$F$204,$AQ934)&lt;&gt;"",IF(INDEX(C_Pavement!$F$5:$F$204,$AQ934)="-","",INDEX(C_Pavement!$F$5:$F$204,$AQ934)),IF($AS934="","",INDEX(E_Rules!$E$5:$E$9,$AS934))))</f>
        <v/>
      </c>
      <c r="AW934" t="str">
        <f>IF($AQ934="","",IF(INDEX(C_Pavement!$G$5:$G$204,$AQ934)&lt;&gt;"",IF(INDEX(C_Pavement!$G$5:$G$204,$AQ934)="-","",INDEX(C_Pavement!$G$5:$G$204,$AQ934)),IF($AS934="","",INDEX(E_Rules!$F$5:$F$9,$AS934))))</f>
        <v/>
      </c>
      <c r="AX934" t="str">
        <f>IF($AQ934="","",IF(INDEX(C_Pavement!$H$5:$H$204,$AQ934)&lt;&gt;"",IF(INDEX(C_Pavement!$H$5:$H$204,$AQ934)="-","",INDEX(C_Pavement!$H$5:$H$204,$AQ934)),IF($AS934="","",INDEX(E_Rules!$G$5:$G$9,$AS934))))</f>
        <v/>
      </c>
      <c r="AY934" t="str">
        <f>IF($AQ934="","",IF(INDEX(C_Pavement!$I$5:$I$204,$AQ934)&lt;&gt;"",IF(INDEX(C_Pavement!$I$5:$I$204,$AQ934)="-","",INDEX(C_Pavement!$I$5:$I$204,$AQ934)),IF($AS934="","",INDEX(E_Rules!$H$5:$H$9,$AS934))))</f>
        <v/>
      </c>
    </row>
    <row r="935" spans="1:51" ht="15.75" customHeight="1" x14ac:dyDescent="0.3">
      <c r="A935" s="189">
        <v>930</v>
      </c>
      <c r="B935" s="180">
        <v>46450</v>
      </c>
      <c r="C935" s="180" t="s">
        <v>1241</v>
      </c>
      <c r="D935" s="181" t="str">
        <f>IFERROR(LOOKUP(2,1/((A_Corridor!$A$5:$A$204&lt;&gt;"")*(A_Corridor!$A$5:$A$204&lt;=$B935)*(A_Corridor!$B$5:$B$204&gt;$B935)*(A_Corridor!$C$5:$C$204&lt;&gt;"")),IF(UPPER(A_Corridor!$C$5:$C$204)="Y",1,"")),"")</f>
        <v/>
      </c>
      <c r="E935" s="181" t="str">
        <f>IFERROR(LOOKUP(2,1/((A_Corridor!$A$5:$A$204&lt;&gt;"")*(A_Corridor!$A$5:$A$204&lt;=$B935)*(A_Corridor!$B$5:$B$204&gt;$B935)*(A_Corridor!$D$5:$D$204&lt;&gt;"")),IF(A_Corridor!$D$5:$D$204="-","",UPPER(A_Corridor!$D$5:$D$204))),"")</f>
        <v/>
      </c>
      <c r="F935" s="181" t="str">
        <f>IFERROR(LOOKUP(2,1/((A_Corridor!$A$5:$A$204&lt;&gt;"")*(A_Corridor!$A$5:$A$204&lt;=$B935)*(A_Corridor!$B$5:$B$204&gt;$B935)*(A_Corridor!$E$5:$E$204&lt;&gt;"")),IF(A_Corridor!$E$5:$E$204="-","",1)),"")</f>
        <v/>
      </c>
      <c r="G935" s="182" t="str">
        <f>IFERROR(LOOKUP(2,1/((A_Corridor!$A$5:$A$204&lt;&gt;"")*(A_Corridor!$A$5:$A$204&lt;=$B935)*(A_Corridor!$B$5:$B$204&gt;$B935)*(A_Corridor!$E$5:$E$204&lt;&gt;"")),IF(A_Corridor!$E$5:$E$204="-","",A_Corridor!$E$5:$E$204)),"")</f>
        <v/>
      </c>
      <c r="H935" s="182" t="str">
        <f>IFERROR(LOOKUP(2,1/((D_Points!$A$5:$A$204&lt;&gt;"")*(D_Points!$A$5:$A$204&gt;=$B935)*(D_Points!$A$5:$A$204&lt;$B935+P_Interval)*(UPPER(TRIM(D_Points!$B$5:$B$204))="GULLY")*(D_Points!$H$5:$H$204&lt;&gt;"")),D_Points!$H$5:$H$204),"")</f>
        <v/>
      </c>
      <c r="I935" s="181" t="str">
        <f>IFERROR(LOOKUP(2,1/((A_Corridor!$A$5:$A$204&lt;&gt;"")*(A_Corridor!$A$5:$A$204&lt;=$B935)*(A_Corridor!$B$5:$B$204&gt;$B935)*(A_Corridor!$F$5:$F$204&lt;&gt;"")),IF(A_Corridor!$F$5:$F$204="-","",1)),"")</f>
        <v/>
      </c>
      <c r="J935" s="182" t="str">
        <f>IFERROR(LOOKUP(2,1/((A_Corridor!$A$5:$A$204&lt;&gt;"")*(A_Corridor!$A$5:$A$204&lt;=$B935)*(A_Corridor!$B$5:$B$204&gt;$B935)*(A_Corridor!$F$5:$F$204&lt;&gt;"")),IF(A_Corridor!$F$5:$F$204="-","",A_Corridor!$F$5:$F$204)),"")</f>
        <v/>
      </c>
      <c r="K935" s="182" t="str">
        <f>IFERROR(LOOKUP(2,1/((A_Corridor!$A$5:$A$204&lt;&gt;"")*(A_Corridor!$A$5:$A$204&lt;=$B935)*(A_Corridor!$B$5:$B$204&gt;$B935)*(A_Corridor!$G$5:$G$204&lt;&gt;"")),IF(A_Corridor!$G$5:$G$204="-","",A_Corridor!$G$5:$G$204)),"")</f>
        <v/>
      </c>
      <c r="L935" s="181" t="str">
        <f>IFERROR(LOOKUP(2,1/((A_Corridor!$A$5:$A$204&lt;&gt;"")*(A_Corridor!$A$5:$A$204&lt;=$B935)*(A_Corridor!$B$5:$B$204&gt;$B935)*(A_Corridor!$H$5:$H$204&lt;&gt;"")),IF(A_Corridor!$H$5:$H$204="-","",1)),"")</f>
        <v/>
      </c>
      <c r="M935" s="182" t="str">
        <f>IFERROR(LOOKUP(2,1/((A_Corridor!$A$5:$A$204&lt;&gt;"")*(A_Corridor!$A$5:$A$204&lt;=$B935)*(A_Corridor!$B$5:$B$204&gt;$B935)*(A_Corridor!$H$5:$H$204&lt;&gt;"")),IF(A_Corridor!$H$5:$H$204="-","",A_Corridor!$H$5:$H$204)),"")</f>
        <v/>
      </c>
      <c r="N935" s="182" t="str">
        <f>IFERROR(LOOKUP(2,1/((A_Corridor!$A$5:$A$204&lt;&gt;"")*(A_Corridor!$A$5:$A$204&lt;=$B935)*(A_Corridor!$B$5:$B$204&gt;$B935)*(A_Corridor!$I$5:$I$204&lt;&gt;"")),IF(A_Corridor!$I$5:$I$204="-","",A_Corridor!$I$5:$I$204)),"")</f>
        <v/>
      </c>
      <c r="O935" s="182" t="str">
        <f>IFERROR(LOOKUP(2,1/((D_Points!$A$5:$A$204&lt;&gt;"")*(D_Points!$A$5:$A$204&gt;=$B935)*(D_Points!$A$5:$A$204&lt;$B935+P_Interval)*(UPPER(TRIM(D_Points!$B$5:$B$204))="PITCHING")*(D_Points!$H$5:$H$204&lt;&gt;"")),D_Points!$H$5:$H$204),"")</f>
        <v/>
      </c>
      <c r="P935" s="181" t="str">
        <f>IFERROR(LOOKUP(2,1/((B_Drainage!$A$5:$A$204&lt;&gt;"")*(B_Drainage!$A$5:$A$204&lt;=$B935)*(B_Drainage!$B$5:$B$204&gt;$B935)*(B_Drainage!$C$5:$C$204&lt;&gt;"")),IF(B_Drainage!$C$5:$C$204="-","",UPPER(B_Drainage!$C$5:$C$204))),"")</f>
        <v/>
      </c>
      <c r="Q935" s="181" t="str">
        <f>IFERROR(LOOKUP(2,1/((B_Drainage!$A$5:$A$204&lt;&gt;"")*(B_Drainage!$A$5:$A$204&lt;=$B935)*(B_Drainage!$B$5:$B$204&gt;$B935)*(B_Drainage!$D$5:$D$204&lt;&gt;"")),IF(B_Drainage!$D$5:$D$204="-","",UPPER(B_Drainage!$D$5:$D$204))),"")</f>
        <v/>
      </c>
      <c r="R935" s="182" t="str">
        <f>IFERROR(LOOKUP(2,1/((D_Points!$A$5:$A$204&lt;&gt;"")*(D_Points!$A$5:$A$204&gt;=$B935)*(D_Points!$A$5:$A$204&lt;$B935+P_Interval)*(RIGHT(UPPER(TRIM(D_Points!$B$5:$B$204)),8)="_CULVERT")),IF(LEFT(UPPER(TRIM(D_Points!$B$5:$B$204)),2)="EX",1,IF(LEFT(UPPER(TRIM(D_Points!$B$5:$B$204)),2)="PR",2,3))),"")</f>
        <v/>
      </c>
      <c r="S935" s="182" t="str">
        <f>IFERROR(LOOKUP(2,1/((D_Points!$A$5:$A$204&lt;&gt;"")*(D_Points!$A$5:$A$204&gt;=$B935)*(D_Points!$A$5:$A$204&lt;$B935+P_Interval)*(RIGHT(UPPER(TRIM(D_Points!$B$5:$B$204)),7)="_BRIDGE")),IF(LEFT(UPPER(TRIM(D_Points!$B$5:$B$204)),2)="EX",1,IF(LEFT(UPPER(TRIM(D_Points!$B$5:$B$204)),2)="PR",2,2))),"")</f>
        <v/>
      </c>
      <c r="T935" s="181" t="str">
        <f>IFERROR(LOOKUP(2,1/((B_Drainage!$A$5:$A$204&lt;&gt;"")*(B_Drainage!$A$5:$A$204&lt;=$B935)*(B_Drainage!$B$5:$B$204&gt;$B935)*(B_Drainage!$E$5:$E$204&lt;&gt;"")),IF(B_Drainage!$E$5:$E$204="-","",1)),"")</f>
        <v/>
      </c>
      <c r="U935" s="181" t="str">
        <f>IFERROR(LOOKUP(2,1/((B_Drainage!$A$5:$A$204&lt;&gt;"")*(B_Drainage!$A$5:$A$204&lt;=$B935)*(B_Drainage!$B$5:$B$204&gt;$B935)*(B_Drainage!$E$5:$E$204&lt;&gt;"")),IF(B_Drainage!$E$5:$E$204="-","",B_Drainage!$E$5:$E$204)),"")</f>
        <v/>
      </c>
      <c r="V935" s="181" t="str">
        <f>IFERROR(LOOKUP(2,1/((B_Drainage!$A$5:$A$204&lt;&gt;"")*(B_Drainage!$A$5:$A$204&lt;=$B935)*(B_Drainage!$B$5:$B$204&gt;$B935)*(B_Drainage!$F$5:$F$204&lt;&gt;"")),IF(B_Drainage!$F$5:$F$204="-","",1)),"")</f>
        <v/>
      </c>
      <c r="W935" s="181" t="str">
        <f>IFERROR(LOOKUP(2,1/((B_Drainage!$A$5:$A$204&lt;&gt;"")*(B_Drainage!$A$5:$A$204&lt;=$B935)*(B_Drainage!$B$5:$B$204&gt;$B935)*(B_Drainage!$F$5:$F$204&lt;&gt;"")),IF(B_Drainage!$F$5:$F$204="-","",B_Drainage!$F$5:$F$204)),"")</f>
        <v/>
      </c>
      <c r="X935" s="181" t="str">
        <f>IFERROR(LOOKUP(2,1/((B_Drainage!$A$5:$A$204&lt;&gt;"")*(B_Drainage!$A$5:$A$204&lt;=$B935)*(B_Drainage!$B$5:$B$204&gt;$B935)*(B_Drainage!$G$5:$G$204&lt;&gt;"")),IF(UPPER(B_Drainage!$G$5:$G$204)="Y",1,"")),"")</f>
        <v/>
      </c>
      <c r="Y935" s="181" t="str">
        <f>IFERROR(LOOKUP(2,1/((B_Drainage!$A$5:$A$204&lt;&gt;"")*(B_Drainage!$A$5:$A$204&lt;=$B935)*(B_Drainage!$B$5:$B$204&gt;$B935)*(B_Drainage!$H$5:$H$204&lt;&gt;"")),IF(UPPER(B_Drainage!$H$5:$H$204)="Y",1,"")),"")</f>
        <v/>
      </c>
      <c r="Z935" s="181" t="str">
        <f>IFERROR(LOOKUP(2,1/((B_Drainage!$A$5:$A$204&lt;&gt;"")*(B_Drainage!$A$5:$A$204&lt;=$B935)*(B_Drainage!$B$5:$B$204&gt;$B935)*(B_Drainage!$I$5:$I$204&lt;&gt;"")),IF(UPPER(B_Drainage!$I$5:$I$204)="Y",1,"")),"")</f>
        <v/>
      </c>
      <c r="AA935" s="181" t="str">
        <f>IFERROR(LOOKUP(2,1/((B_Drainage!$A$5:$A$204&lt;&gt;"")*(B_Drainage!$A$5:$A$204&lt;=$B935)*(B_Drainage!$B$5:$B$204&gt;$B935)*(B_Drainage!$J$5:$J$204&lt;&gt;"")),IF(UPPER(B_Drainage!$J$5:$J$204)="Y",1,"")),"")</f>
        <v/>
      </c>
      <c r="AB935" s="182" t="str">
        <f>IFERROR(LOOKUP(2,1/((B_Drainage!$A$5:$A$204&lt;&gt;"")*(B_Drainage!$A$5:$A$204&lt;=$B935)*(B_Drainage!$B$5:$B$204&gt;$B935)*(B_Drainage!$K$5:$K$204&lt;&gt;"")),IF(B_Drainage!$K$5:$K$204="-","",B_Drainage!$K$5:$K$204)),"")</f>
        <v/>
      </c>
      <c r="AC935" s="182" t="str">
        <f>IFERROR(LOOKUP(2,1/((B_Drainage!$A$5:$A$204&lt;&gt;"")*(B_Drainage!$A$5:$A$204&lt;=$B935)*(B_Drainage!$B$5:$B$204&gt;$B935)*(B_Drainage!$L$5:$L$204&lt;&gt;"")),IF(B_Drainage!$L$5:$L$204="-","",B_Drainage!$L$5:$L$204)),"")</f>
        <v/>
      </c>
      <c r="AD935" s="182" t="str">
        <f>IFERROR(LOOKUP(2,1/((D_Points!$A$5:$A$204&lt;&gt;"")*(D_Points!$A$5:$A$204&gt;=$B935)*(D_Points!$A$5:$A$204&lt;$B935+P_Interval)*(UPPER(TRIM(D_Points!$B$5:$B$204))="TURNOUT_L")*(D_Points!$H$5:$H$204&lt;&gt;"")),D_Points!$H$5:$H$204),"")</f>
        <v/>
      </c>
      <c r="AE935" s="182" t="str">
        <f>IFERROR(LOOKUP(2,1/((D_Points!$A$5:$A$204&lt;&gt;"")*(D_Points!$A$5:$A$204&gt;=$B935)*(D_Points!$A$5:$A$204&lt;$B935+P_Interval)*(UPPER(TRIM(D_Points!$B$5:$B$204))="TURNOUT_R")*(D_Points!$H$5:$H$204&lt;&gt;"")),D_Points!$H$5:$H$204),"")</f>
        <v/>
      </c>
      <c r="AF935" s="181" t="str">
        <f>IFERROR(LOOKUP(2,1/((B_Drainage!$A$5:$A$204&lt;&gt;"")*(B_Drainage!$A$5:$A$204&lt;=$B935)*(B_Drainage!$B$5:$B$204&gt;$B935)*(B_Drainage!$M$5:$M$204&lt;&gt;"")),IF(UPPER(B_Drainage!$M$5:$M$204)="Y",1,"")),"")</f>
        <v/>
      </c>
      <c r="AG935" s="181" t="str">
        <f>IFERROR(LOOKUP(2,1/((B_Drainage!$A$5:$A$204&lt;&gt;"")*(B_Drainage!$A$5:$A$204&lt;=$B935)*(B_Drainage!$B$5:$B$204&gt;$B935)*(B_Drainage!$N$5:$N$204&lt;&gt;"")),IF(UPPER(B_Drainage!$N$5:$N$204)="Y",1,"")),"")</f>
        <v/>
      </c>
      <c r="AH935" s="181" t="str">
        <f t="shared" si="112"/>
        <v/>
      </c>
      <c r="AI935" s="181" t="str">
        <f t="shared" si="113"/>
        <v/>
      </c>
      <c r="AJ935" s="181" t="str">
        <f t="shared" si="114"/>
        <v/>
      </c>
      <c r="AK935" s="181" t="str">
        <f t="shared" si="115"/>
        <v/>
      </c>
      <c r="AL935" s="181" t="str">
        <f t="shared" si="116"/>
        <v/>
      </c>
      <c r="AM935" s="181" t="str">
        <f t="shared" si="117"/>
        <v/>
      </c>
      <c r="AN935" s="181" t="str">
        <f t="shared" si="118"/>
        <v/>
      </c>
      <c r="AO935" s="192" t="str">
        <f t="shared" si="119"/>
        <v/>
      </c>
      <c r="AQ935" t="str">
        <f>IFERROR(LOOKUP(2,1/((C_Pavement!$A$5:$A$204&lt;&gt;"")*(C_Pavement!$A$5:$A$204&lt;=$B935)*(C_Pavement!$B$5:$B$204&gt;$B935)*(C_Pavement!$C$5:$C$204&lt;&gt;"")),ROW(C_Pavement!$C$5:$C$204)-4),"")</f>
        <v/>
      </c>
      <c r="AR935" t="str">
        <f>IF($AQ935="","",UPPER(TRIM(INDEX(C_Pavement!$C$5:$C$204,$AQ935))))</f>
        <v/>
      </c>
      <c r="AS935" t="str">
        <f>IF($AR935="","",IFERROR(MATCH($AR935,E_Rules!$A$5:$A$9,0),""))</f>
        <v/>
      </c>
      <c r="AT935" t="str">
        <f>IF($AQ935="","",IF(INDEX(C_Pavement!$D$5:$D$204,$AQ935)&lt;&gt;"",UPPER(TRIM(INDEX(C_Pavement!$D$5:$D$204,$AQ935))),IF($AS935="","",INDEX(E_Rules!$C$5:$C$9,$AS935))))</f>
        <v/>
      </c>
      <c r="AU935" t="str">
        <f>IF($AQ935="","",IF(INDEX(C_Pavement!$E$5:$E$204,$AQ935)&lt;&gt;"",IF(INDEX(C_Pavement!$E$5:$E$204,$AQ935)="-","",INDEX(C_Pavement!$E$5:$E$204,$AQ935)),IF($AS935="","",INDEX(E_Rules!$D$5:$D$9,$AS935))))</f>
        <v/>
      </c>
      <c r="AV935" t="str">
        <f>IF($AQ935="","",IF(INDEX(C_Pavement!$F$5:$F$204,$AQ935)&lt;&gt;"",IF(INDEX(C_Pavement!$F$5:$F$204,$AQ935)="-","",INDEX(C_Pavement!$F$5:$F$204,$AQ935)),IF($AS935="","",INDEX(E_Rules!$E$5:$E$9,$AS935))))</f>
        <v/>
      </c>
      <c r="AW935" t="str">
        <f>IF($AQ935="","",IF(INDEX(C_Pavement!$G$5:$G$204,$AQ935)&lt;&gt;"",IF(INDEX(C_Pavement!$G$5:$G$204,$AQ935)="-","",INDEX(C_Pavement!$G$5:$G$204,$AQ935)),IF($AS935="","",INDEX(E_Rules!$F$5:$F$9,$AS935))))</f>
        <v/>
      </c>
      <c r="AX935" t="str">
        <f>IF($AQ935="","",IF(INDEX(C_Pavement!$H$5:$H$204,$AQ935)&lt;&gt;"",IF(INDEX(C_Pavement!$H$5:$H$204,$AQ935)="-","",INDEX(C_Pavement!$H$5:$H$204,$AQ935)),IF($AS935="","",INDEX(E_Rules!$G$5:$G$9,$AS935))))</f>
        <v/>
      </c>
      <c r="AY935" t="str">
        <f>IF($AQ935="","",IF(INDEX(C_Pavement!$I$5:$I$204,$AQ935)&lt;&gt;"",IF(INDEX(C_Pavement!$I$5:$I$204,$AQ935)="-","",INDEX(C_Pavement!$I$5:$I$204,$AQ935)),IF($AS935="","",INDEX(E_Rules!$H$5:$H$9,$AS935))))</f>
        <v/>
      </c>
    </row>
    <row r="936" spans="1:51" ht="15.75" customHeight="1" x14ac:dyDescent="0.3">
      <c r="A936" s="189">
        <v>931</v>
      </c>
      <c r="B936" s="180">
        <v>46500</v>
      </c>
      <c r="C936" s="180" t="s">
        <v>1242</v>
      </c>
      <c r="D936" s="181" t="str">
        <f>IFERROR(LOOKUP(2,1/((A_Corridor!$A$5:$A$204&lt;&gt;"")*(A_Corridor!$A$5:$A$204&lt;=$B936)*(A_Corridor!$B$5:$B$204&gt;$B936)*(A_Corridor!$C$5:$C$204&lt;&gt;"")),IF(UPPER(A_Corridor!$C$5:$C$204)="Y",1,"")),"")</f>
        <v/>
      </c>
      <c r="E936" s="181" t="str">
        <f>IFERROR(LOOKUP(2,1/((A_Corridor!$A$5:$A$204&lt;&gt;"")*(A_Corridor!$A$5:$A$204&lt;=$B936)*(A_Corridor!$B$5:$B$204&gt;$B936)*(A_Corridor!$D$5:$D$204&lt;&gt;"")),IF(A_Corridor!$D$5:$D$204="-","",UPPER(A_Corridor!$D$5:$D$204))),"")</f>
        <v/>
      </c>
      <c r="F936" s="181" t="str">
        <f>IFERROR(LOOKUP(2,1/((A_Corridor!$A$5:$A$204&lt;&gt;"")*(A_Corridor!$A$5:$A$204&lt;=$B936)*(A_Corridor!$B$5:$B$204&gt;$B936)*(A_Corridor!$E$5:$E$204&lt;&gt;"")),IF(A_Corridor!$E$5:$E$204="-","",1)),"")</f>
        <v/>
      </c>
      <c r="G936" s="182" t="str">
        <f>IFERROR(LOOKUP(2,1/((A_Corridor!$A$5:$A$204&lt;&gt;"")*(A_Corridor!$A$5:$A$204&lt;=$B936)*(A_Corridor!$B$5:$B$204&gt;$B936)*(A_Corridor!$E$5:$E$204&lt;&gt;"")),IF(A_Corridor!$E$5:$E$204="-","",A_Corridor!$E$5:$E$204)),"")</f>
        <v/>
      </c>
      <c r="H936" s="182" t="str">
        <f>IFERROR(LOOKUP(2,1/((D_Points!$A$5:$A$204&lt;&gt;"")*(D_Points!$A$5:$A$204&gt;=$B936)*(D_Points!$A$5:$A$204&lt;$B936+P_Interval)*(UPPER(TRIM(D_Points!$B$5:$B$204))="GULLY")*(D_Points!$H$5:$H$204&lt;&gt;"")),D_Points!$H$5:$H$204),"")</f>
        <v/>
      </c>
      <c r="I936" s="181" t="str">
        <f>IFERROR(LOOKUP(2,1/((A_Corridor!$A$5:$A$204&lt;&gt;"")*(A_Corridor!$A$5:$A$204&lt;=$B936)*(A_Corridor!$B$5:$B$204&gt;$B936)*(A_Corridor!$F$5:$F$204&lt;&gt;"")),IF(A_Corridor!$F$5:$F$204="-","",1)),"")</f>
        <v/>
      </c>
      <c r="J936" s="182" t="str">
        <f>IFERROR(LOOKUP(2,1/((A_Corridor!$A$5:$A$204&lt;&gt;"")*(A_Corridor!$A$5:$A$204&lt;=$B936)*(A_Corridor!$B$5:$B$204&gt;$B936)*(A_Corridor!$F$5:$F$204&lt;&gt;"")),IF(A_Corridor!$F$5:$F$204="-","",A_Corridor!$F$5:$F$204)),"")</f>
        <v/>
      </c>
      <c r="K936" s="182" t="str">
        <f>IFERROR(LOOKUP(2,1/((A_Corridor!$A$5:$A$204&lt;&gt;"")*(A_Corridor!$A$5:$A$204&lt;=$B936)*(A_Corridor!$B$5:$B$204&gt;$B936)*(A_Corridor!$G$5:$G$204&lt;&gt;"")),IF(A_Corridor!$G$5:$G$204="-","",A_Corridor!$G$5:$G$204)),"")</f>
        <v/>
      </c>
      <c r="L936" s="181" t="str">
        <f>IFERROR(LOOKUP(2,1/((A_Corridor!$A$5:$A$204&lt;&gt;"")*(A_Corridor!$A$5:$A$204&lt;=$B936)*(A_Corridor!$B$5:$B$204&gt;$B936)*(A_Corridor!$H$5:$H$204&lt;&gt;"")),IF(A_Corridor!$H$5:$H$204="-","",1)),"")</f>
        <v/>
      </c>
      <c r="M936" s="182" t="str">
        <f>IFERROR(LOOKUP(2,1/((A_Corridor!$A$5:$A$204&lt;&gt;"")*(A_Corridor!$A$5:$A$204&lt;=$B936)*(A_Corridor!$B$5:$B$204&gt;$B936)*(A_Corridor!$H$5:$H$204&lt;&gt;"")),IF(A_Corridor!$H$5:$H$204="-","",A_Corridor!$H$5:$H$204)),"")</f>
        <v/>
      </c>
      <c r="N936" s="182" t="str">
        <f>IFERROR(LOOKUP(2,1/((A_Corridor!$A$5:$A$204&lt;&gt;"")*(A_Corridor!$A$5:$A$204&lt;=$B936)*(A_Corridor!$B$5:$B$204&gt;$B936)*(A_Corridor!$I$5:$I$204&lt;&gt;"")),IF(A_Corridor!$I$5:$I$204="-","",A_Corridor!$I$5:$I$204)),"")</f>
        <v/>
      </c>
      <c r="O936" s="182" t="str">
        <f>IFERROR(LOOKUP(2,1/((D_Points!$A$5:$A$204&lt;&gt;"")*(D_Points!$A$5:$A$204&gt;=$B936)*(D_Points!$A$5:$A$204&lt;$B936+P_Interval)*(UPPER(TRIM(D_Points!$B$5:$B$204))="PITCHING")*(D_Points!$H$5:$H$204&lt;&gt;"")),D_Points!$H$5:$H$204),"")</f>
        <v/>
      </c>
      <c r="P936" s="181" t="str">
        <f>IFERROR(LOOKUP(2,1/((B_Drainage!$A$5:$A$204&lt;&gt;"")*(B_Drainage!$A$5:$A$204&lt;=$B936)*(B_Drainage!$B$5:$B$204&gt;$B936)*(B_Drainage!$C$5:$C$204&lt;&gt;"")),IF(B_Drainage!$C$5:$C$204="-","",UPPER(B_Drainage!$C$5:$C$204))),"")</f>
        <v/>
      </c>
      <c r="Q936" s="181" t="str">
        <f>IFERROR(LOOKUP(2,1/((B_Drainage!$A$5:$A$204&lt;&gt;"")*(B_Drainage!$A$5:$A$204&lt;=$B936)*(B_Drainage!$B$5:$B$204&gt;$B936)*(B_Drainage!$D$5:$D$204&lt;&gt;"")),IF(B_Drainage!$D$5:$D$204="-","",UPPER(B_Drainage!$D$5:$D$204))),"")</f>
        <v/>
      </c>
      <c r="R936" s="182" t="str">
        <f>IFERROR(LOOKUP(2,1/((D_Points!$A$5:$A$204&lt;&gt;"")*(D_Points!$A$5:$A$204&gt;=$B936)*(D_Points!$A$5:$A$204&lt;$B936+P_Interval)*(RIGHT(UPPER(TRIM(D_Points!$B$5:$B$204)),8)="_CULVERT")),IF(LEFT(UPPER(TRIM(D_Points!$B$5:$B$204)),2)="EX",1,IF(LEFT(UPPER(TRIM(D_Points!$B$5:$B$204)),2)="PR",2,3))),"")</f>
        <v/>
      </c>
      <c r="S936" s="182" t="str">
        <f>IFERROR(LOOKUP(2,1/((D_Points!$A$5:$A$204&lt;&gt;"")*(D_Points!$A$5:$A$204&gt;=$B936)*(D_Points!$A$5:$A$204&lt;$B936+P_Interval)*(RIGHT(UPPER(TRIM(D_Points!$B$5:$B$204)),7)="_BRIDGE")),IF(LEFT(UPPER(TRIM(D_Points!$B$5:$B$204)),2)="EX",1,IF(LEFT(UPPER(TRIM(D_Points!$B$5:$B$204)),2)="PR",2,2))),"")</f>
        <v/>
      </c>
      <c r="T936" s="181" t="str">
        <f>IFERROR(LOOKUP(2,1/((B_Drainage!$A$5:$A$204&lt;&gt;"")*(B_Drainage!$A$5:$A$204&lt;=$B936)*(B_Drainage!$B$5:$B$204&gt;$B936)*(B_Drainage!$E$5:$E$204&lt;&gt;"")),IF(B_Drainage!$E$5:$E$204="-","",1)),"")</f>
        <v/>
      </c>
      <c r="U936" s="181" t="str">
        <f>IFERROR(LOOKUP(2,1/((B_Drainage!$A$5:$A$204&lt;&gt;"")*(B_Drainage!$A$5:$A$204&lt;=$B936)*(B_Drainage!$B$5:$B$204&gt;$B936)*(B_Drainage!$E$5:$E$204&lt;&gt;"")),IF(B_Drainage!$E$5:$E$204="-","",B_Drainage!$E$5:$E$204)),"")</f>
        <v/>
      </c>
      <c r="V936" s="181" t="str">
        <f>IFERROR(LOOKUP(2,1/((B_Drainage!$A$5:$A$204&lt;&gt;"")*(B_Drainage!$A$5:$A$204&lt;=$B936)*(B_Drainage!$B$5:$B$204&gt;$B936)*(B_Drainage!$F$5:$F$204&lt;&gt;"")),IF(B_Drainage!$F$5:$F$204="-","",1)),"")</f>
        <v/>
      </c>
      <c r="W936" s="181" t="str">
        <f>IFERROR(LOOKUP(2,1/((B_Drainage!$A$5:$A$204&lt;&gt;"")*(B_Drainage!$A$5:$A$204&lt;=$B936)*(B_Drainage!$B$5:$B$204&gt;$B936)*(B_Drainage!$F$5:$F$204&lt;&gt;"")),IF(B_Drainage!$F$5:$F$204="-","",B_Drainage!$F$5:$F$204)),"")</f>
        <v/>
      </c>
      <c r="X936" s="181" t="str">
        <f>IFERROR(LOOKUP(2,1/((B_Drainage!$A$5:$A$204&lt;&gt;"")*(B_Drainage!$A$5:$A$204&lt;=$B936)*(B_Drainage!$B$5:$B$204&gt;$B936)*(B_Drainage!$G$5:$G$204&lt;&gt;"")),IF(UPPER(B_Drainage!$G$5:$G$204)="Y",1,"")),"")</f>
        <v/>
      </c>
      <c r="Y936" s="181" t="str">
        <f>IFERROR(LOOKUP(2,1/((B_Drainage!$A$5:$A$204&lt;&gt;"")*(B_Drainage!$A$5:$A$204&lt;=$B936)*(B_Drainage!$B$5:$B$204&gt;$B936)*(B_Drainage!$H$5:$H$204&lt;&gt;"")),IF(UPPER(B_Drainage!$H$5:$H$204)="Y",1,"")),"")</f>
        <v/>
      </c>
      <c r="Z936" s="181" t="str">
        <f>IFERROR(LOOKUP(2,1/((B_Drainage!$A$5:$A$204&lt;&gt;"")*(B_Drainage!$A$5:$A$204&lt;=$B936)*(B_Drainage!$B$5:$B$204&gt;$B936)*(B_Drainage!$I$5:$I$204&lt;&gt;"")),IF(UPPER(B_Drainage!$I$5:$I$204)="Y",1,"")),"")</f>
        <v/>
      </c>
      <c r="AA936" s="181" t="str">
        <f>IFERROR(LOOKUP(2,1/((B_Drainage!$A$5:$A$204&lt;&gt;"")*(B_Drainage!$A$5:$A$204&lt;=$B936)*(B_Drainage!$B$5:$B$204&gt;$B936)*(B_Drainage!$J$5:$J$204&lt;&gt;"")),IF(UPPER(B_Drainage!$J$5:$J$204)="Y",1,"")),"")</f>
        <v/>
      </c>
      <c r="AB936" s="182" t="str">
        <f>IFERROR(LOOKUP(2,1/((B_Drainage!$A$5:$A$204&lt;&gt;"")*(B_Drainage!$A$5:$A$204&lt;=$B936)*(B_Drainage!$B$5:$B$204&gt;$B936)*(B_Drainage!$K$5:$K$204&lt;&gt;"")),IF(B_Drainage!$K$5:$K$204="-","",B_Drainage!$K$5:$K$204)),"")</f>
        <v/>
      </c>
      <c r="AC936" s="182" t="str">
        <f>IFERROR(LOOKUP(2,1/((B_Drainage!$A$5:$A$204&lt;&gt;"")*(B_Drainage!$A$5:$A$204&lt;=$B936)*(B_Drainage!$B$5:$B$204&gt;$B936)*(B_Drainage!$L$5:$L$204&lt;&gt;"")),IF(B_Drainage!$L$5:$L$204="-","",B_Drainage!$L$5:$L$204)),"")</f>
        <v/>
      </c>
      <c r="AD936" s="182" t="str">
        <f>IFERROR(LOOKUP(2,1/((D_Points!$A$5:$A$204&lt;&gt;"")*(D_Points!$A$5:$A$204&gt;=$B936)*(D_Points!$A$5:$A$204&lt;$B936+P_Interval)*(UPPER(TRIM(D_Points!$B$5:$B$204))="TURNOUT_L")*(D_Points!$H$5:$H$204&lt;&gt;"")),D_Points!$H$5:$H$204),"")</f>
        <v/>
      </c>
      <c r="AE936" s="182" t="str">
        <f>IFERROR(LOOKUP(2,1/((D_Points!$A$5:$A$204&lt;&gt;"")*(D_Points!$A$5:$A$204&gt;=$B936)*(D_Points!$A$5:$A$204&lt;$B936+P_Interval)*(UPPER(TRIM(D_Points!$B$5:$B$204))="TURNOUT_R")*(D_Points!$H$5:$H$204&lt;&gt;"")),D_Points!$H$5:$H$204),"")</f>
        <v/>
      </c>
      <c r="AF936" s="181" t="str">
        <f>IFERROR(LOOKUP(2,1/((B_Drainage!$A$5:$A$204&lt;&gt;"")*(B_Drainage!$A$5:$A$204&lt;=$B936)*(B_Drainage!$B$5:$B$204&gt;$B936)*(B_Drainage!$M$5:$M$204&lt;&gt;"")),IF(UPPER(B_Drainage!$M$5:$M$204)="Y",1,"")),"")</f>
        <v/>
      </c>
      <c r="AG936" s="181" t="str">
        <f>IFERROR(LOOKUP(2,1/((B_Drainage!$A$5:$A$204&lt;&gt;"")*(B_Drainage!$A$5:$A$204&lt;=$B936)*(B_Drainage!$B$5:$B$204&gt;$B936)*(B_Drainage!$N$5:$N$204&lt;&gt;"")),IF(UPPER(B_Drainage!$N$5:$N$204)="Y",1,"")),"")</f>
        <v/>
      </c>
      <c r="AH936" s="181" t="str">
        <f t="shared" si="112"/>
        <v/>
      </c>
      <c r="AI936" s="181" t="str">
        <f t="shared" si="113"/>
        <v/>
      </c>
      <c r="AJ936" s="181" t="str">
        <f t="shared" si="114"/>
        <v/>
      </c>
      <c r="AK936" s="181" t="str">
        <f t="shared" si="115"/>
        <v/>
      </c>
      <c r="AL936" s="181" t="str">
        <f t="shared" si="116"/>
        <v/>
      </c>
      <c r="AM936" s="181" t="str">
        <f t="shared" si="117"/>
        <v/>
      </c>
      <c r="AN936" s="181" t="str">
        <f t="shared" si="118"/>
        <v/>
      </c>
      <c r="AO936" s="192" t="str">
        <f t="shared" si="119"/>
        <v/>
      </c>
      <c r="AQ936" t="str">
        <f>IFERROR(LOOKUP(2,1/((C_Pavement!$A$5:$A$204&lt;&gt;"")*(C_Pavement!$A$5:$A$204&lt;=$B936)*(C_Pavement!$B$5:$B$204&gt;$B936)*(C_Pavement!$C$5:$C$204&lt;&gt;"")),ROW(C_Pavement!$C$5:$C$204)-4),"")</f>
        <v/>
      </c>
      <c r="AR936" t="str">
        <f>IF($AQ936="","",UPPER(TRIM(INDEX(C_Pavement!$C$5:$C$204,$AQ936))))</f>
        <v/>
      </c>
      <c r="AS936" t="str">
        <f>IF($AR936="","",IFERROR(MATCH($AR936,E_Rules!$A$5:$A$9,0),""))</f>
        <v/>
      </c>
      <c r="AT936" t="str">
        <f>IF($AQ936="","",IF(INDEX(C_Pavement!$D$5:$D$204,$AQ936)&lt;&gt;"",UPPER(TRIM(INDEX(C_Pavement!$D$5:$D$204,$AQ936))),IF($AS936="","",INDEX(E_Rules!$C$5:$C$9,$AS936))))</f>
        <v/>
      </c>
      <c r="AU936" t="str">
        <f>IF($AQ936="","",IF(INDEX(C_Pavement!$E$5:$E$204,$AQ936)&lt;&gt;"",IF(INDEX(C_Pavement!$E$5:$E$204,$AQ936)="-","",INDEX(C_Pavement!$E$5:$E$204,$AQ936)),IF($AS936="","",INDEX(E_Rules!$D$5:$D$9,$AS936))))</f>
        <v/>
      </c>
      <c r="AV936" t="str">
        <f>IF($AQ936="","",IF(INDEX(C_Pavement!$F$5:$F$204,$AQ936)&lt;&gt;"",IF(INDEX(C_Pavement!$F$5:$F$204,$AQ936)="-","",INDEX(C_Pavement!$F$5:$F$204,$AQ936)),IF($AS936="","",INDEX(E_Rules!$E$5:$E$9,$AS936))))</f>
        <v/>
      </c>
      <c r="AW936" t="str">
        <f>IF($AQ936="","",IF(INDEX(C_Pavement!$G$5:$G$204,$AQ936)&lt;&gt;"",IF(INDEX(C_Pavement!$G$5:$G$204,$AQ936)="-","",INDEX(C_Pavement!$G$5:$G$204,$AQ936)),IF($AS936="","",INDEX(E_Rules!$F$5:$F$9,$AS936))))</f>
        <v/>
      </c>
      <c r="AX936" t="str">
        <f>IF($AQ936="","",IF(INDEX(C_Pavement!$H$5:$H$204,$AQ936)&lt;&gt;"",IF(INDEX(C_Pavement!$H$5:$H$204,$AQ936)="-","",INDEX(C_Pavement!$H$5:$H$204,$AQ936)),IF($AS936="","",INDEX(E_Rules!$G$5:$G$9,$AS936))))</f>
        <v/>
      </c>
      <c r="AY936" t="str">
        <f>IF($AQ936="","",IF(INDEX(C_Pavement!$I$5:$I$204,$AQ936)&lt;&gt;"",IF(INDEX(C_Pavement!$I$5:$I$204,$AQ936)="-","",INDEX(C_Pavement!$I$5:$I$204,$AQ936)),IF($AS936="","",INDEX(E_Rules!$H$5:$H$9,$AS936))))</f>
        <v/>
      </c>
    </row>
    <row r="937" spans="1:51" ht="15.75" customHeight="1" x14ac:dyDescent="0.3">
      <c r="A937" s="189">
        <v>932</v>
      </c>
      <c r="B937" s="180">
        <v>46550</v>
      </c>
      <c r="C937" s="180" t="s">
        <v>1243</v>
      </c>
      <c r="D937" s="181" t="str">
        <f>IFERROR(LOOKUP(2,1/((A_Corridor!$A$5:$A$204&lt;&gt;"")*(A_Corridor!$A$5:$A$204&lt;=$B937)*(A_Corridor!$B$5:$B$204&gt;$B937)*(A_Corridor!$C$5:$C$204&lt;&gt;"")),IF(UPPER(A_Corridor!$C$5:$C$204)="Y",1,"")),"")</f>
        <v/>
      </c>
      <c r="E937" s="181" t="str">
        <f>IFERROR(LOOKUP(2,1/((A_Corridor!$A$5:$A$204&lt;&gt;"")*(A_Corridor!$A$5:$A$204&lt;=$B937)*(A_Corridor!$B$5:$B$204&gt;$B937)*(A_Corridor!$D$5:$D$204&lt;&gt;"")),IF(A_Corridor!$D$5:$D$204="-","",UPPER(A_Corridor!$D$5:$D$204))),"")</f>
        <v/>
      </c>
      <c r="F937" s="181" t="str">
        <f>IFERROR(LOOKUP(2,1/((A_Corridor!$A$5:$A$204&lt;&gt;"")*(A_Corridor!$A$5:$A$204&lt;=$B937)*(A_Corridor!$B$5:$B$204&gt;$B937)*(A_Corridor!$E$5:$E$204&lt;&gt;"")),IF(A_Corridor!$E$5:$E$204="-","",1)),"")</f>
        <v/>
      </c>
      <c r="G937" s="182" t="str">
        <f>IFERROR(LOOKUP(2,1/((A_Corridor!$A$5:$A$204&lt;&gt;"")*(A_Corridor!$A$5:$A$204&lt;=$B937)*(A_Corridor!$B$5:$B$204&gt;$B937)*(A_Corridor!$E$5:$E$204&lt;&gt;"")),IF(A_Corridor!$E$5:$E$204="-","",A_Corridor!$E$5:$E$204)),"")</f>
        <v/>
      </c>
      <c r="H937" s="182" t="str">
        <f>IFERROR(LOOKUP(2,1/((D_Points!$A$5:$A$204&lt;&gt;"")*(D_Points!$A$5:$A$204&gt;=$B937)*(D_Points!$A$5:$A$204&lt;$B937+P_Interval)*(UPPER(TRIM(D_Points!$B$5:$B$204))="GULLY")*(D_Points!$H$5:$H$204&lt;&gt;"")),D_Points!$H$5:$H$204),"")</f>
        <v/>
      </c>
      <c r="I937" s="181" t="str">
        <f>IFERROR(LOOKUP(2,1/((A_Corridor!$A$5:$A$204&lt;&gt;"")*(A_Corridor!$A$5:$A$204&lt;=$B937)*(A_Corridor!$B$5:$B$204&gt;$B937)*(A_Corridor!$F$5:$F$204&lt;&gt;"")),IF(A_Corridor!$F$5:$F$204="-","",1)),"")</f>
        <v/>
      </c>
      <c r="J937" s="182" t="str">
        <f>IFERROR(LOOKUP(2,1/((A_Corridor!$A$5:$A$204&lt;&gt;"")*(A_Corridor!$A$5:$A$204&lt;=$B937)*(A_Corridor!$B$5:$B$204&gt;$B937)*(A_Corridor!$F$5:$F$204&lt;&gt;"")),IF(A_Corridor!$F$5:$F$204="-","",A_Corridor!$F$5:$F$204)),"")</f>
        <v/>
      </c>
      <c r="K937" s="182" t="str">
        <f>IFERROR(LOOKUP(2,1/((A_Corridor!$A$5:$A$204&lt;&gt;"")*(A_Corridor!$A$5:$A$204&lt;=$B937)*(A_Corridor!$B$5:$B$204&gt;$B937)*(A_Corridor!$G$5:$G$204&lt;&gt;"")),IF(A_Corridor!$G$5:$G$204="-","",A_Corridor!$G$5:$G$204)),"")</f>
        <v/>
      </c>
      <c r="L937" s="181" t="str">
        <f>IFERROR(LOOKUP(2,1/((A_Corridor!$A$5:$A$204&lt;&gt;"")*(A_Corridor!$A$5:$A$204&lt;=$B937)*(A_Corridor!$B$5:$B$204&gt;$B937)*(A_Corridor!$H$5:$H$204&lt;&gt;"")),IF(A_Corridor!$H$5:$H$204="-","",1)),"")</f>
        <v/>
      </c>
      <c r="M937" s="182" t="str">
        <f>IFERROR(LOOKUP(2,1/((A_Corridor!$A$5:$A$204&lt;&gt;"")*(A_Corridor!$A$5:$A$204&lt;=$B937)*(A_Corridor!$B$5:$B$204&gt;$B937)*(A_Corridor!$H$5:$H$204&lt;&gt;"")),IF(A_Corridor!$H$5:$H$204="-","",A_Corridor!$H$5:$H$204)),"")</f>
        <v/>
      </c>
      <c r="N937" s="182" t="str">
        <f>IFERROR(LOOKUP(2,1/((A_Corridor!$A$5:$A$204&lt;&gt;"")*(A_Corridor!$A$5:$A$204&lt;=$B937)*(A_Corridor!$B$5:$B$204&gt;$B937)*(A_Corridor!$I$5:$I$204&lt;&gt;"")),IF(A_Corridor!$I$5:$I$204="-","",A_Corridor!$I$5:$I$204)),"")</f>
        <v/>
      </c>
      <c r="O937" s="182" t="str">
        <f>IFERROR(LOOKUP(2,1/((D_Points!$A$5:$A$204&lt;&gt;"")*(D_Points!$A$5:$A$204&gt;=$B937)*(D_Points!$A$5:$A$204&lt;$B937+P_Interval)*(UPPER(TRIM(D_Points!$B$5:$B$204))="PITCHING")*(D_Points!$H$5:$H$204&lt;&gt;"")),D_Points!$H$5:$H$204),"")</f>
        <v/>
      </c>
      <c r="P937" s="181" t="str">
        <f>IFERROR(LOOKUP(2,1/((B_Drainage!$A$5:$A$204&lt;&gt;"")*(B_Drainage!$A$5:$A$204&lt;=$B937)*(B_Drainage!$B$5:$B$204&gt;$B937)*(B_Drainage!$C$5:$C$204&lt;&gt;"")),IF(B_Drainage!$C$5:$C$204="-","",UPPER(B_Drainage!$C$5:$C$204))),"")</f>
        <v/>
      </c>
      <c r="Q937" s="181" t="str">
        <f>IFERROR(LOOKUP(2,1/((B_Drainage!$A$5:$A$204&lt;&gt;"")*(B_Drainage!$A$5:$A$204&lt;=$B937)*(B_Drainage!$B$5:$B$204&gt;$B937)*(B_Drainage!$D$5:$D$204&lt;&gt;"")),IF(B_Drainage!$D$5:$D$204="-","",UPPER(B_Drainage!$D$5:$D$204))),"")</f>
        <v/>
      </c>
      <c r="R937" s="182" t="str">
        <f>IFERROR(LOOKUP(2,1/((D_Points!$A$5:$A$204&lt;&gt;"")*(D_Points!$A$5:$A$204&gt;=$B937)*(D_Points!$A$5:$A$204&lt;$B937+P_Interval)*(RIGHT(UPPER(TRIM(D_Points!$B$5:$B$204)),8)="_CULVERT")),IF(LEFT(UPPER(TRIM(D_Points!$B$5:$B$204)),2)="EX",1,IF(LEFT(UPPER(TRIM(D_Points!$B$5:$B$204)),2)="PR",2,3))),"")</f>
        <v/>
      </c>
      <c r="S937" s="182" t="str">
        <f>IFERROR(LOOKUP(2,1/((D_Points!$A$5:$A$204&lt;&gt;"")*(D_Points!$A$5:$A$204&gt;=$B937)*(D_Points!$A$5:$A$204&lt;$B937+P_Interval)*(RIGHT(UPPER(TRIM(D_Points!$B$5:$B$204)),7)="_BRIDGE")),IF(LEFT(UPPER(TRIM(D_Points!$B$5:$B$204)),2)="EX",1,IF(LEFT(UPPER(TRIM(D_Points!$B$5:$B$204)),2)="PR",2,2))),"")</f>
        <v/>
      </c>
      <c r="T937" s="181" t="str">
        <f>IFERROR(LOOKUP(2,1/((B_Drainage!$A$5:$A$204&lt;&gt;"")*(B_Drainage!$A$5:$A$204&lt;=$B937)*(B_Drainage!$B$5:$B$204&gt;$B937)*(B_Drainage!$E$5:$E$204&lt;&gt;"")),IF(B_Drainage!$E$5:$E$204="-","",1)),"")</f>
        <v/>
      </c>
      <c r="U937" s="181" t="str">
        <f>IFERROR(LOOKUP(2,1/((B_Drainage!$A$5:$A$204&lt;&gt;"")*(B_Drainage!$A$5:$A$204&lt;=$B937)*(B_Drainage!$B$5:$B$204&gt;$B937)*(B_Drainage!$E$5:$E$204&lt;&gt;"")),IF(B_Drainage!$E$5:$E$204="-","",B_Drainage!$E$5:$E$204)),"")</f>
        <v/>
      </c>
      <c r="V937" s="181" t="str">
        <f>IFERROR(LOOKUP(2,1/((B_Drainage!$A$5:$A$204&lt;&gt;"")*(B_Drainage!$A$5:$A$204&lt;=$B937)*(B_Drainage!$B$5:$B$204&gt;$B937)*(B_Drainage!$F$5:$F$204&lt;&gt;"")),IF(B_Drainage!$F$5:$F$204="-","",1)),"")</f>
        <v/>
      </c>
      <c r="W937" s="181" t="str">
        <f>IFERROR(LOOKUP(2,1/((B_Drainage!$A$5:$A$204&lt;&gt;"")*(B_Drainage!$A$5:$A$204&lt;=$B937)*(B_Drainage!$B$5:$B$204&gt;$B937)*(B_Drainage!$F$5:$F$204&lt;&gt;"")),IF(B_Drainage!$F$5:$F$204="-","",B_Drainage!$F$5:$F$204)),"")</f>
        <v/>
      </c>
      <c r="X937" s="181" t="str">
        <f>IFERROR(LOOKUP(2,1/((B_Drainage!$A$5:$A$204&lt;&gt;"")*(B_Drainage!$A$5:$A$204&lt;=$B937)*(B_Drainage!$B$5:$B$204&gt;$B937)*(B_Drainage!$G$5:$G$204&lt;&gt;"")),IF(UPPER(B_Drainage!$G$5:$G$204)="Y",1,"")),"")</f>
        <v/>
      </c>
      <c r="Y937" s="181" t="str">
        <f>IFERROR(LOOKUP(2,1/((B_Drainage!$A$5:$A$204&lt;&gt;"")*(B_Drainage!$A$5:$A$204&lt;=$B937)*(B_Drainage!$B$5:$B$204&gt;$B937)*(B_Drainage!$H$5:$H$204&lt;&gt;"")),IF(UPPER(B_Drainage!$H$5:$H$204)="Y",1,"")),"")</f>
        <v/>
      </c>
      <c r="Z937" s="181" t="str">
        <f>IFERROR(LOOKUP(2,1/((B_Drainage!$A$5:$A$204&lt;&gt;"")*(B_Drainage!$A$5:$A$204&lt;=$B937)*(B_Drainage!$B$5:$B$204&gt;$B937)*(B_Drainage!$I$5:$I$204&lt;&gt;"")),IF(UPPER(B_Drainage!$I$5:$I$204)="Y",1,"")),"")</f>
        <v/>
      </c>
      <c r="AA937" s="181" t="str">
        <f>IFERROR(LOOKUP(2,1/((B_Drainage!$A$5:$A$204&lt;&gt;"")*(B_Drainage!$A$5:$A$204&lt;=$B937)*(B_Drainage!$B$5:$B$204&gt;$B937)*(B_Drainage!$J$5:$J$204&lt;&gt;"")),IF(UPPER(B_Drainage!$J$5:$J$204)="Y",1,"")),"")</f>
        <v/>
      </c>
      <c r="AB937" s="182" t="str">
        <f>IFERROR(LOOKUP(2,1/((B_Drainage!$A$5:$A$204&lt;&gt;"")*(B_Drainage!$A$5:$A$204&lt;=$B937)*(B_Drainage!$B$5:$B$204&gt;$B937)*(B_Drainage!$K$5:$K$204&lt;&gt;"")),IF(B_Drainage!$K$5:$K$204="-","",B_Drainage!$K$5:$K$204)),"")</f>
        <v/>
      </c>
      <c r="AC937" s="182" t="str">
        <f>IFERROR(LOOKUP(2,1/((B_Drainage!$A$5:$A$204&lt;&gt;"")*(B_Drainage!$A$5:$A$204&lt;=$B937)*(B_Drainage!$B$5:$B$204&gt;$B937)*(B_Drainage!$L$5:$L$204&lt;&gt;"")),IF(B_Drainage!$L$5:$L$204="-","",B_Drainage!$L$5:$L$204)),"")</f>
        <v/>
      </c>
      <c r="AD937" s="182" t="str">
        <f>IFERROR(LOOKUP(2,1/((D_Points!$A$5:$A$204&lt;&gt;"")*(D_Points!$A$5:$A$204&gt;=$B937)*(D_Points!$A$5:$A$204&lt;$B937+P_Interval)*(UPPER(TRIM(D_Points!$B$5:$B$204))="TURNOUT_L")*(D_Points!$H$5:$H$204&lt;&gt;"")),D_Points!$H$5:$H$204),"")</f>
        <v/>
      </c>
      <c r="AE937" s="182" t="str">
        <f>IFERROR(LOOKUP(2,1/((D_Points!$A$5:$A$204&lt;&gt;"")*(D_Points!$A$5:$A$204&gt;=$B937)*(D_Points!$A$5:$A$204&lt;$B937+P_Interval)*(UPPER(TRIM(D_Points!$B$5:$B$204))="TURNOUT_R")*(D_Points!$H$5:$H$204&lt;&gt;"")),D_Points!$H$5:$H$204),"")</f>
        <v/>
      </c>
      <c r="AF937" s="181" t="str">
        <f>IFERROR(LOOKUP(2,1/((B_Drainage!$A$5:$A$204&lt;&gt;"")*(B_Drainage!$A$5:$A$204&lt;=$B937)*(B_Drainage!$B$5:$B$204&gt;$B937)*(B_Drainage!$M$5:$M$204&lt;&gt;"")),IF(UPPER(B_Drainage!$M$5:$M$204)="Y",1,"")),"")</f>
        <v/>
      </c>
      <c r="AG937" s="181" t="str">
        <f>IFERROR(LOOKUP(2,1/((B_Drainage!$A$5:$A$204&lt;&gt;"")*(B_Drainage!$A$5:$A$204&lt;=$B937)*(B_Drainage!$B$5:$B$204&gt;$B937)*(B_Drainage!$N$5:$N$204&lt;&gt;"")),IF(UPPER(B_Drainage!$N$5:$N$204)="Y",1,"")),"")</f>
        <v/>
      </c>
      <c r="AH937" s="181" t="str">
        <f t="shared" si="112"/>
        <v/>
      </c>
      <c r="AI937" s="181" t="str">
        <f t="shared" si="113"/>
        <v/>
      </c>
      <c r="AJ937" s="181" t="str">
        <f t="shared" si="114"/>
        <v/>
      </c>
      <c r="AK937" s="181" t="str">
        <f t="shared" si="115"/>
        <v/>
      </c>
      <c r="AL937" s="181" t="str">
        <f t="shared" si="116"/>
        <v/>
      </c>
      <c r="AM937" s="181" t="str">
        <f t="shared" si="117"/>
        <v/>
      </c>
      <c r="AN937" s="181" t="str">
        <f t="shared" si="118"/>
        <v/>
      </c>
      <c r="AO937" s="192" t="str">
        <f t="shared" si="119"/>
        <v/>
      </c>
      <c r="AQ937" t="str">
        <f>IFERROR(LOOKUP(2,1/((C_Pavement!$A$5:$A$204&lt;&gt;"")*(C_Pavement!$A$5:$A$204&lt;=$B937)*(C_Pavement!$B$5:$B$204&gt;$B937)*(C_Pavement!$C$5:$C$204&lt;&gt;"")),ROW(C_Pavement!$C$5:$C$204)-4),"")</f>
        <v/>
      </c>
      <c r="AR937" t="str">
        <f>IF($AQ937="","",UPPER(TRIM(INDEX(C_Pavement!$C$5:$C$204,$AQ937))))</f>
        <v/>
      </c>
      <c r="AS937" t="str">
        <f>IF($AR937="","",IFERROR(MATCH($AR937,E_Rules!$A$5:$A$9,0),""))</f>
        <v/>
      </c>
      <c r="AT937" t="str">
        <f>IF($AQ937="","",IF(INDEX(C_Pavement!$D$5:$D$204,$AQ937)&lt;&gt;"",UPPER(TRIM(INDEX(C_Pavement!$D$5:$D$204,$AQ937))),IF($AS937="","",INDEX(E_Rules!$C$5:$C$9,$AS937))))</f>
        <v/>
      </c>
      <c r="AU937" t="str">
        <f>IF($AQ937="","",IF(INDEX(C_Pavement!$E$5:$E$204,$AQ937)&lt;&gt;"",IF(INDEX(C_Pavement!$E$5:$E$204,$AQ937)="-","",INDEX(C_Pavement!$E$5:$E$204,$AQ937)),IF($AS937="","",INDEX(E_Rules!$D$5:$D$9,$AS937))))</f>
        <v/>
      </c>
      <c r="AV937" t="str">
        <f>IF($AQ937="","",IF(INDEX(C_Pavement!$F$5:$F$204,$AQ937)&lt;&gt;"",IF(INDEX(C_Pavement!$F$5:$F$204,$AQ937)="-","",INDEX(C_Pavement!$F$5:$F$204,$AQ937)),IF($AS937="","",INDEX(E_Rules!$E$5:$E$9,$AS937))))</f>
        <v/>
      </c>
      <c r="AW937" t="str">
        <f>IF($AQ937="","",IF(INDEX(C_Pavement!$G$5:$G$204,$AQ937)&lt;&gt;"",IF(INDEX(C_Pavement!$G$5:$G$204,$AQ937)="-","",INDEX(C_Pavement!$G$5:$G$204,$AQ937)),IF($AS937="","",INDEX(E_Rules!$F$5:$F$9,$AS937))))</f>
        <v/>
      </c>
      <c r="AX937" t="str">
        <f>IF($AQ937="","",IF(INDEX(C_Pavement!$H$5:$H$204,$AQ937)&lt;&gt;"",IF(INDEX(C_Pavement!$H$5:$H$204,$AQ937)="-","",INDEX(C_Pavement!$H$5:$H$204,$AQ937)),IF($AS937="","",INDEX(E_Rules!$G$5:$G$9,$AS937))))</f>
        <v/>
      </c>
      <c r="AY937" t="str">
        <f>IF($AQ937="","",IF(INDEX(C_Pavement!$I$5:$I$204,$AQ937)&lt;&gt;"",IF(INDEX(C_Pavement!$I$5:$I$204,$AQ937)="-","",INDEX(C_Pavement!$I$5:$I$204,$AQ937)),IF($AS937="","",INDEX(E_Rules!$H$5:$H$9,$AS937))))</f>
        <v/>
      </c>
    </row>
    <row r="938" spans="1:51" ht="15.75" customHeight="1" x14ac:dyDescent="0.3">
      <c r="A938" s="189">
        <v>933</v>
      </c>
      <c r="B938" s="180">
        <v>46600</v>
      </c>
      <c r="C938" s="180" t="s">
        <v>1244</v>
      </c>
      <c r="D938" s="181" t="str">
        <f>IFERROR(LOOKUP(2,1/((A_Corridor!$A$5:$A$204&lt;&gt;"")*(A_Corridor!$A$5:$A$204&lt;=$B938)*(A_Corridor!$B$5:$B$204&gt;$B938)*(A_Corridor!$C$5:$C$204&lt;&gt;"")),IF(UPPER(A_Corridor!$C$5:$C$204)="Y",1,"")),"")</f>
        <v/>
      </c>
      <c r="E938" s="181" t="str">
        <f>IFERROR(LOOKUP(2,1/((A_Corridor!$A$5:$A$204&lt;&gt;"")*(A_Corridor!$A$5:$A$204&lt;=$B938)*(A_Corridor!$B$5:$B$204&gt;$B938)*(A_Corridor!$D$5:$D$204&lt;&gt;"")),IF(A_Corridor!$D$5:$D$204="-","",UPPER(A_Corridor!$D$5:$D$204))),"")</f>
        <v/>
      </c>
      <c r="F938" s="181" t="str">
        <f>IFERROR(LOOKUP(2,1/((A_Corridor!$A$5:$A$204&lt;&gt;"")*(A_Corridor!$A$5:$A$204&lt;=$B938)*(A_Corridor!$B$5:$B$204&gt;$B938)*(A_Corridor!$E$5:$E$204&lt;&gt;"")),IF(A_Corridor!$E$5:$E$204="-","",1)),"")</f>
        <v/>
      </c>
      <c r="G938" s="182" t="str">
        <f>IFERROR(LOOKUP(2,1/((A_Corridor!$A$5:$A$204&lt;&gt;"")*(A_Corridor!$A$5:$A$204&lt;=$B938)*(A_Corridor!$B$5:$B$204&gt;$B938)*(A_Corridor!$E$5:$E$204&lt;&gt;"")),IF(A_Corridor!$E$5:$E$204="-","",A_Corridor!$E$5:$E$204)),"")</f>
        <v/>
      </c>
      <c r="H938" s="182" t="str">
        <f>IFERROR(LOOKUP(2,1/((D_Points!$A$5:$A$204&lt;&gt;"")*(D_Points!$A$5:$A$204&gt;=$B938)*(D_Points!$A$5:$A$204&lt;$B938+P_Interval)*(UPPER(TRIM(D_Points!$B$5:$B$204))="GULLY")*(D_Points!$H$5:$H$204&lt;&gt;"")),D_Points!$H$5:$H$204),"")</f>
        <v/>
      </c>
      <c r="I938" s="181" t="str">
        <f>IFERROR(LOOKUP(2,1/((A_Corridor!$A$5:$A$204&lt;&gt;"")*(A_Corridor!$A$5:$A$204&lt;=$B938)*(A_Corridor!$B$5:$B$204&gt;$B938)*(A_Corridor!$F$5:$F$204&lt;&gt;"")),IF(A_Corridor!$F$5:$F$204="-","",1)),"")</f>
        <v/>
      </c>
      <c r="J938" s="182" t="str">
        <f>IFERROR(LOOKUP(2,1/((A_Corridor!$A$5:$A$204&lt;&gt;"")*(A_Corridor!$A$5:$A$204&lt;=$B938)*(A_Corridor!$B$5:$B$204&gt;$B938)*(A_Corridor!$F$5:$F$204&lt;&gt;"")),IF(A_Corridor!$F$5:$F$204="-","",A_Corridor!$F$5:$F$204)),"")</f>
        <v/>
      </c>
      <c r="K938" s="182" t="str">
        <f>IFERROR(LOOKUP(2,1/((A_Corridor!$A$5:$A$204&lt;&gt;"")*(A_Corridor!$A$5:$A$204&lt;=$B938)*(A_Corridor!$B$5:$B$204&gt;$B938)*(A_Corridor!$G$5:$G$204&lt;&gt;"")),IF(A_Corridor!$G$5:$G$204="-","",A_Corridor!$G$5:$G$204)),"")</f>
        <v/>
      </c>
      <c r="L938" s="181" t="str">
        <f>IFERROR(LOOKUP(2,1/((A_Corridor!$A$5:$A$204&lt;&gt;"")*(A_Corridor!$A$5:$A$204&lt;=$B938)*(A_Corridor!$B$5:$B$204&gt;$B938)*(A_Corridor!$H$5:$H$204&lt;&gt;"")),IF(A_Corridor!$H$5:$H$204="-","",1)),"")</f>
        <v/>
      </c>
      <c r="M938" s="182" t="str">
        <f>IFERROR(LOOKUP(2,1/((A_Corridor!$A$5:$A$204&lt;&gt;"")*(A_Corridor!$A$5:$A$204&lt;=$B938)*(A_Corridor!$B$5:$B$204&gt;$B938)*(A_Corridor!$H$5:$H$204&lt;&gt;"")),IF(A_Corridor!$H$5:$H$204="-","",A_Corridor!$H$5:$H$204)),"")</f>
        <v/>
      </c>
      <c r="N938" s="182" t="str">
        <f>IFERROR(LOOKUP(2,1/((A_Corridor!$A$5:$A$204&lt;&gt;"")*(A_Corridor!$A$5:$A$204&lt;=$B938)*(A_Corridor!$B$5:$B$204&gt;$B938)*(A_Corridor!$I$5:$I$204&lt;&gt;"")),IF(A_Corridor!$I$5:$I$204="-","",A_Corridor!$I$5:$I$204)),"")</f>
        <v/>
      </c>
      <c r="O938" s="182" t="str">
        <f>IFERROR(LOOKUP(2,1/((D_Points!$A$5:$A$204&lt;&gt;"")*(D_Points!$A$5:$A$204&gt;=$B938)*(D_Points!$A$5:$A$204&lt;$B938+P_Interval)*(UPPER(TRIM(D_Points!$B$5:$B$204))="PITCHING")*(D_Points!$H$5:$H$204&lt;&gt;"")),D_Points!$H$5:$H$204),"")</f>
        <v/>
      </c>
      <c r="P938" s="181" t="str">
        <f>IFERROR(LOOKUP(2,1/((B_Drainage!$A$5:$A$204&lt;&gt;"")*(B_Drainage!$A$5:$A$204&lt;=$B938)*(B_Drainage!$B$5:$B$204&gt;$B938)*(B_Drainage!$C$5:$C$204&lt;&gt;"")),IF(B_Drainage!$C$5:$C$204="-","",UPPER(B_Drainage!$C$5:$C$204))),"")</f>
        <v/>
      </c>
      <c r="Q938" s="181" t="str">
        <f>IFERROR(LOOKUP(2,1/((B_Drainage!$A$5:$A$204&lt;&gt;"")*(B_Drainage!$A$5:$A$204&lt;=$B938)*(B_Drainage!$B$5:$B$204&gt;$B938)*(B_Drainage!$D$5:$D$204&lt;&gt;"")),IF(B_Drainage!$D$5:$D$204="-","",UPPER(B_Drainage!$D$5:$D$204))),"")</f>
        <v/>
      </c>
      <c r="R938" s="182" t="str">
        <f>IFERROR(LOOKUP(2,1/((D_Points!$A$5:$A$204&lt;&gt;"")*(D_Points!$A$5:$A$204&gt;=$B938)*(D_Points!$A$5:$A$204&lt;$B938+P_Interval)*(RIGHT(UPPER(TRIM(D_Points!$B$5:$B$204)),8)="_CULVERT")),IF(LEFT(UPPER(TRIM(D_Points!$B$5:$B$204)),2)="EX",1,IF(LEFT(UPPER(TRIM(D_Points!$B$5:$B$204)),2)="PR",2,3))),"")</f>
        <v/>
      </c>
      <c r="S938" s="182" t="str">
        <f>IFERROR(LOOKUP(2,1/((D_Points!$A$5:$A$204&lt;&gt;"")*(D_Points!$A$5:$A$204&gt;=$B938)*(D_Points!$A$5:$A$204&lt;$B938+P_Interval)*(RIGHT(UPPER(TRIM(D_Points!$B$5:$B$204)),7)="_BRIDGE")),IF(LEFT(UPPER(TRIM(D_Points!$B$5:$B$204)),2)="EX",1,IF(LEFT(UPPER(TRIM(D_Points!$B$5:$B$204)),2)="PR",2,2))),"")</f>
        <v/>
      </c>
      <c r="T938" s="181" t="str">
        <f>IFERROR(LOOKUP(2,1/((B_Drainage!$A$5:$A$204&lt;&gt;"")*(B_Drainage!$A$5:$A$204&lt;=$B938)*(B_Drainage!$B$5:$B$204&gt;$B938)*(B_Drainage!$E$5:$E$204&lt;&gt;"")),IF(B_Drainage!$E$5:$E$204="-","",1)),"")</f>
        <v/>
      </c>
      <c r="U938" s="181" t="str">
        <f>IFERROR(LOOKUP(2,1/((B_Drainage!$A$5:$A$204&lt;&gt;"")*(B_Drainage!$A$5:$A$204&lt;=$B938)*(B_Drainage!$B$5:$B$204&gt;$B938)*(B_Drainage!$E$5:$E$204&lt;&gt;"")),IF(B_Drainage!$E$5:$E$204="-","",B_Drainage!$E$5:$E$204)),"")</f>
        <v/>
      </c>
      <c r="V938" s="181" t="str">
        <f>IFERROR(LOOKUP(2,1/((B_Drainage!$A$5:$A$204&lt;&gt;"")*(B_Drainage!$A$5:$A$204&lt;=$B938)*(B_Drainage!$B$5:$B$204&gt;$B938)*(B_Drainage!$F$5:$F$204&lt;&gt;"")),IF(B_Drainage!$F$5:$F$204="-","",1)),"")</f>
        <v/>
      </c>
      <c r="W938" s="181" t="str">
        <f>IFERROR(LOOKUP(2,1/((B_Drainage!$A$5:$A$204&lt;&gt;"")*(B_Drainage!$A$5:$A$204&lt;=$B938)*(B_Drainage!$B$5:$B$204&gt;$B938)*(B_Drainage!$F$5:$F$204&lt;&gt;"")),IF(B_Drainage!$F$5:$F$204="-","",B_Drainage!$F$5:$F$204)),"")</f>
        <v/>
      </c>
      <c r="X938" s="181" t="str">
        <f>IFERROR(LOOKUP(2,1/((B_Drainage!$A$5:$A$204&lt;&gt;"")*(B_Drainage!$A$5:$A$204&lt;=$B938)*(B_Drainage!$B$5:$B$204&gt;$B938)*(B_Drainage!$G$5:$G$204&lt;&gt;"")),IF(UPPER(B_Drainage!$G$5:$G$204)="Y",1,"")),"")</f>
        <v/>
      </c>
      <c r="Y938" s="181" t="str">
        <f>IFERROR(LOOKUP(2,1/((B_Drainage!$A$5:$A$204&lt;&gt;"")*(B_Drainage!$A$5:$A$204&lt;=$B938)*(B_Drainage!$B$5:$B$204&gt;$B938)*(B_Drainage!$H$5:$H$204&lt;&gt;"")),IF(UPPER(B_Drainage!$H$5:$H$204)="Y",1,"")),"")</f>
        <v/>
      </c>
      <c r="Z938" s="181" t="str">
        <f>IFERROR(LOOKUP(2,1/((B_Drainage!$A$5:$A$204&lt;&gt;"")*(B_Drainage!$A$5:$A$204&lt;=$B938)*(B_Drainage!$B$5:$B$204&gt;$B938)*(B_Drainage!$I$5:$I$204&lt;&gt;"")),IF(UPPER(B_Drainage!$I$5:$I$204)="Y",1,"")),"")</f>
        <v/>
      </c>
      <c r="AA938" s="181" t="str">
        <f>IFERROR(LOOKUP(2,1/((B_Drainage!$A$5:$A$204&lt;&gt;"")*(B_Drainage!$A$5:$A$204&lt;=$B938)*(B_Drainage!$B$5:$B$204&gt;$B938)*(B_Drainage!$J$5:$J$204&lt;&gt;"")),IF(UPPER(B_Drainage!$J$5:$J$204)="Y",1,"")),"")</f>
        <v/>
      </c>
      <c r="AB938" s="182" t="str">
        <f>IFERROR(LOOKUP(2,1/((B_Drainage!$A$5:$A$204&lt;&gt;"")*(B_Drainage!$A$5:$A$204&lt;=$B938)*(B_Drainage!$B$5:$B$204&gt;$B938)*(B_Drainage!$K$5:$K$204&lt;&gt;"")),IF(B_Drainage!$K$5:$K$204="-","",B_Drainage!$K$5:$K$204)),"")</f>
        <v/>
      </c>
      <c r="AC938" s="182" t="str">
        <f>IFERROR(LOOKUP(2,1/((B_Drainage!$A$5:$A$204&lt;&gt;"")*(B_Drainage!$A$5:$A$204&lt;=$B938)*(B_Drainage!$B$5:$B$204&gt;$B938)*(B_Drainage!$L$5:$L$204&lt;&gt;"")),IF(B_Drainage!$L$5:$L$204="-","",B_Drainage!$L$5:$L$204)),"")</f>
        <v/>
      </c>
      <c r="AD938" s="182" t="str">
        <f>IFERROR(LOOKUP(2,1/((D_Points!$A$5:$A$204&lt;&gt;"")*(D_Points!$A$5:$A$204&gt;=$B938)*(D_Points!$A$5:$A$204&lt;$B938+P_Interval)*(UPPER(TRIM(D_Points!$B$5:$B$204))="TURNOUT_L")*(D_Points!$H$5:$H$204&lt;&gt;"")),D_Points!$H$5:$H$204),"")</f>
        <v/>
      </c>
      <c r="AE938" s="182" t="str">
        <f>IFERROR(LOOKUP(2,1/((D_Points!$A$5:$A$204&lt;&gt;"")*(D_Points!$A$5:$A$204&gt;=$B938)*(D_Points!$A$5:$A$204&lt;$B938+P_Interval)*(UPPER(TRIM(D_Points!$B$5:$B$204))="TURNOUT_R")*(D_Points!$H$5:$H$204&lt;&gt;"")),D_Points!$H$5:$H$204),"")</f>
        <v/>
      </c>
      <c r="AF938" s="181" t="str">
        <f>IFERROR(LOOKUP(2,1/((B_Drainage!$A$5:$A$204&lt;&gt;"")*(B_Drainage!$A$5:$A$204&lt;=$B938)*(B_Drainage!$B$5:$B$204&gt;$B938)*(B_Drainage!$M$5:$M$204&lt;&gt;"")),IF(UPPER(B_Drainage!$M$5:$M$204)="Y",1,"")),"")</f>
        <v/>
      </c>
      <c r="AG938" s="181" t="str">
        <f>IFERROR(LOOKUP(2,1/((B_Drainage!$A$5:$A$204&lt;&gt;"")*(B_Drainage!$A$5:$A$204&lt;=$B938)*(B_Drainage!$B$5:$B$204&gt;$B938)*(B_Drainage!$N$5:$N$204&lt;&gt;"")),IF(UPPER(B_Drainage!$N$5:$N$204)="Y",1,"")),"")</f>
        <v/>
      </c>
      <c r="AH938" s="181" t="str">
        <f t="shared" si="112"/>
        <v/>
      </c>
      <c r="AI938" s="181" t="str">
        <f t="shared" si="113"/>
        <v/>
      </c>
      <c r="AJ938" s="181" t="str">
        <f t="shared" si="114"/>
        <v/>
      </c>
      <c r="AK938" s="181" t="str">
        <f t="shared" si="115"/>
        <v/>
      </c>
      <c r="AL938" s="181" t="str">
        <f t="shared" si="116"/>
        <v/>
      </c>
      <c r="AM938" s="181" t="str">
        <f t="shared" si="117"/>
        <v/>
      </c>
      <c r="AN938" s="181" t="str">
        <f t="shared" si="118"/>
        <v/>
      </c>
      <c r="AO938" s="192" t="str">
        <f t="shared" si="119"/>
        <v/>
      </c>
      <c r="AQ938" t="str">
        <f>IFERROR(LOOKUP(2,1/((C_Pavement!$A$5:$A$204&lt;&gt;"")*(C_Pavement!$A$5:$A$204&lt;=$B938)*(C_Pavement!$B$5:$B$204&gt;$B938)*(C_Pavement!$C$5:$C$204&lt;&gt;"")),ROW(C_Pavement!$C$5:$C$204)-4),"")</f>
        <v/>
      </c>
      <c r="AR938" t="str">
        <f>IF($AQ938="","",UPPER(TRIM(INDEX(C_Pavement!$C$5:$C$204,$AQ938))))</f>
        <v/>
      </c>
      <c r="AS938" t="str">
        <f>IF($AR938="","",IFERROR(MATCH($AR938,E_Rules!$A$5:$A$9,0),""))</f>
        <v/>
      </c>
      <c r="AT938" t="str">
        <f>IF($AQ938="","",IF(INDEX(C_Pavement!$D$5:$D$204,$AQ938)&lt;&gt;"",UPPER(TRIM(INDEX(C_Pavement!$D$5:$D$204,$AQ938))),IF($AS938="","",INDEX(E_Rules!$C$5:$C$9,$AS938))))</f>
        <v/>
      </c>
      <c r="AU938" t="str">
        <f>IF($AQ938="","",IF(INDEX(C_Pavement!$E$5:$E$204,$AQ938)&lt;&gt;"",IF(INDEX(C_Pavement!$E$5:$E$204,$AQ938)="-","",INDEX(C_Pavement!$E$5:$E$204,$AQ938)),IF($AS938="","",INDEX(E_Rules!$D$5:$D$9,$AS938))))</f>
        <v/>
      </c>
      <c r="AV938" t="str">
        <f>IF($AQ938="","",IF(INDEX(C_Pavement!$F$5:$F$204,$AQ938)&lt;&gt;"",IF(INDEX(C_Pavement!$F$5:$F$204,$AQ938)="-","",INDEX(C_Pavement!$F$5:$F$204,$AQ938)),IF($AS938="","",INDEX(E_Rules!$E$5:$E$9,$AS938))))</f>
        <v/>
      </c>
      <c r="AW938" t="str">
        <f>IF($AQ938="","",IF(INDEX(C_Pavement!$G$5:$G$204,$AQ938)&lt;&gt;"",IF(INDEX(C_Pavement!$G$5:$G$204,$AQ938)="-","",INDEX(C_Pavement!$G$5:$G$204,$AQ938)),IF($AS938="","",INDEX(E_Rules!$F$5:$F$9,$AS938))))</f>
        <v/>
      </c>
      <c r="AX938" t="str">
        <f>IF($AQ938="","",IF(INDEX(C_Pavement!$H$5:$H$204,$AQ938)&lt;&gt;"",IF(INDEX(C_Pavement!$H$5:$H$204,$AQ938)="-","",INDEX(C_Pavement!$H$5:$H$204,$AQ938)),IF($AS938="","",INDEX(E_Rules!$G$5:$G$9,$AS938))))</f>
        <v/>
      </c>
      <c r="AY938" t="str">
        <f>IF($AQ938="","",IF(INDEX(C_Pavement!$I$5:$I$204,$AQ938)&lt;&gt;"",IF(INDEX(C_Pavement!$I$5:$I$204,$AQ938)="-","",INDEX(C_Pavement!$I$5:$I$204,$AQ938)),IF($AS938="","",INDEX(E_Rules!$H$5:$H$9,$AS938))))</f>
        <v/>
      </c>
    </row>
    <row r="939" spans="1:51" ht="15.75" customHeight="1" x14ac:dyDescent="0.3">
      <c r="A939" s="189">
        <v>934</v>
      </c>
      <c r="B939" s="180">
        <v>46650</v>
      </c>
      <c r="C939" s="180" t="s">
        <v>1245</v>
      </c>
      <c r="D939" s="181" t="str">
        <f>IFERROR(LOOKUP(2,1/((A_Corridor!$A$5:$A$204&lt;&gt;"")*(A_Corridor!$A$5:$A$204&lt;=$B939)*(A_Corridor!$B$5:$B$204&gt;$B939)*(A_Corridor!$C$5:$C$204&lt;&gt;"")),IF(UPPER(A_Corridor!$C$5:$C$204)="Y",1,"")),"")</f>
        <v/>
      </c>
      <c r="E939" s="181" t="str">
        <f>IFERROR(LOOKUP(2,1/((A_Corridor!$A$5:$A$204&lt;&gt;"")*(A_Corridor!$A$5:$A$204&lt;=$B939)*(A_Corridor!$B$5:$B$204&gt;$B939)*(A_Corridor!$D$5:$D$204&lt;&gt;"")),IF(A_Corridor!$D$5:$D$204="-","",UPPER(A_Corridor!$D$5:$D$204))),"")</f>
        <v/>
      </c>
      <c r="F939" s="181" t="str">
        <f>IFERROR(LOOKUP(2,1/((A_Corridor!$A$5:$A$204&lt;&gt;"")*(A_Corridor!$A$5:$A$204&lt;=$B939)*(A_Corridor!$B$5:$B$204&gt;$B939)*(A_Corridor!$E$5:$E$204&lt;&gt;"")),IF(A_Corridor!$E$5:$E$204="-","",1)),"")</f>
        <v/>
      </c>
      <c r="G939" s="182" t="str">
        <f>IFERROR(LOOKUP(2,1/((A_Corridor!$A$5:$A$204&lt;&gt;"")*(A_Corridor!$A$5:$A$204&lt;=$B939)*(A_Corridor!$B$5:$B$204&gt;$B939)*(A_Corridor!$E$5:$E$204&lt;&gt;"")),IF(A_Corridor!$E$5:$E$204="-","",A_Corridor!$E$5:$E$204)),"")</f>
        <v/>
      </c>
      <c r="H939" s="182" t="str">
        <f>IFERROR(LOOKUP(2,1/((D_Points!$A$5:$A$204&lt;&gt;"")*(D_Points!$A$5:$A$204&gt;=$B939)*(D_Points!$A$5:$A$204&lt;$B939+P_Interval)*(UPPER(TRIM(D_Points!$B$5:$B$204))="GULLY")*(D_Points!$H$5:$H$204&lt;&gt;"")),D_Points!$H$5:$H$204),"")</f>
        <v/>
      </c>
      <c r="I939" s="181" t="str">
        <f>IFERROR(LOOKUP(2,1/((A_Corridor!$A$5:$A$204&lt;&gt;"")*(A_Corridor!$A$5:$A$204&lt;=$B939)*(A_Corridor!$B$5:$B$204&gt;$B939)*(A_Corridor!$F$5:$F$204&lt;&gt;"")),IF(A_Corridor!$F$5:$F$204="-","",1)),"")</f>
        <v/>
      </c>
      <c r="J939" s="182" t="str">
        <f>IFERROR(LOOKUP(2,1/((A_Corridor!$A$5:$A$204&lt;&gt;"")*(A_Corridor!$A$5:$A$204&lt;=$B939)*(A_Corridor!$B$5:$B$204&gt;$B939)*(A_Corridor!$F$5:$F$204&lt;&gt;"")),IF(A_Corridor!$F$5:$F$204="-","",A_Corridor!$F$5:$F$204)),"")</f>
        <v/>
      </c>
      <c r="K939" s="182" t="str">
        <f>IFERROR(LOOKUP(2,1/((A_Corridor!$A$5:$A$204&lt;&gt;"")*(A_Corridor!$A$5:$A$204&lt;=$B939)*(A_Corridor!$B$5:$B$204&gt;$B939)*(A_Corridor!$G$5:$G$204&lt;&gt;"")),IF(A_Corridor!$G$5:$G$204="-","",A_Corridor!$G$5:$G$204)),"")</f>
        <v/>
      </c>
      <c r="L939" s="181" t="str">
        <f>IFERROR(LOOKUP(2,1/((A_Corridor!$A$5:$A$204&lt;&gt;"")*(A_Corridor!$A$5:$A$204&lt;=$B939)*(A_Corridor!$B$5:$B$204&gt;$B939)*(A_Corridor!$H$5:$H$204&lt;&gt;"")),IF(A_Corridor!$H$5:$H$204="-","",1)),"")</f>
        <v/>
      </c>
      <c r="M939" s="182" t="str">
        <f>IFERROR(LOOKUP(2,1/((A_Corridor!$A$5:$A$204&lt;&gt;"")*(A_Corridor!$A$5:$A$204&lt;=$B939)*(A_Corridor!$B$5:$B$204&gt;$B939)*(A_Corridor!$H$5:$H$204&lt;&gt;"")),IF(A_Corridor!$H$5:$H$204="-","",A_Corridor!$H$5:$H$204)),"")</f>
        <v/>
      </c>
      <c r="N939" s="182" t="str">
        <f>IFERROR(LOOKUP(2,1/((A_Corridor!$A$5:$A$204&lt;&gt;"")*(A_Corridor!$A$5:$A$204&lt;=$B939)*(A_Corridor!$B$5:$B$204&gt;$B939)*(A_Corridor!$I$5:$I$204&lt;&gt;"")),IF(A_Corridor!$I$5:$I$204="-","",A_Corridor!$I$5:$I$204)),"")</f>
        <v/>
      </c>
      <c r="O939" s="182" t="str">
        <f>IFERROR(LOOKUP(2,1/((D_Points!$A$5:$A$204&lt;&gt;"")*(D_Points!$A$5:$A$204&gt;=$B939)*(D_Points!$A$5:$A$204&lt;$B939+P_Interval)*(UPPER(TRIM(D_Points!$B$5:$B$204))="PITCHING")*(D_Points!$H$5:$H$204&lt;&gt;"")),D_Points!$H$5:$H$204),"")</f>
        <v/>
      </c>
      <c r="P939" s="181" t="str">
        <f>IFERROR(LOOKUP(2,1/((B_Drainage!$A$5:$A$204&lt;&gt;"")*(B_Drainage!$A$5:$A$204&lt;=$B939)*(B_Drainage!$B$5:$B$204&gt;$B939)*(B_Drainage!$C$5:$C$204&lt;&gt;"")),IF(B_Drainage!$C$5:$C$204="-","",UPPER(B_Drainage!$C$5:$C$204))),"")</f>
        <v/>
      </c>
      <c r="Q939" s="181" t="str">
        <f>IFERROR(LOOKUP(2,1/((B_Drainage!$A$5:$A$204&lt;&gt;"")*(B_Drainage!$A$5:$A$204&lt;=$B939)*(B_Drainage!$B$5:$B$204&gt;$B939)*(B_Drainage!$D$5:$D$204&lt;&gt;"")),IF(B_Drainage!$D$5:$D$204="-","",UPPER(B_Drainage!$D$5:$D$204))),"")</f>
        <v/>
      </c>
      <c r="R939" s="182" t="str">
        <f>IFERROR(LOOKUP(2,1/((D_Points!$A$5:$A$204&lt;&gt;"")*(D_Points!$A$5:$A$204&gt;=$B939)*(D_Points!$A$5:$A$204&lt;$B939+P_Interval)*(RIGHT(UPPER(TRIM(D_Points!$B$5:$B$204)),8)="_CULVERT")),IF(LEFT(UPPER(TRIM(D_Points!$B$5:$B$204)),2)="EX",1,IF(LEFT(UPPER(TRIM(D_Points!$B$5:$B$204)),2)="PR",2,3))),"")</f>
        <v/>
      </c>
      <c r="S939" s="182" t="str">
        <f>IFERROR(LOOKUP(2,1/((D_Points!$A$5:$A$204&lt;&gt;"")*(D_Points!$A$5:$A$204&gt;=$B939)*(D_Points!$A$5:$A$204&lt;$B939+P_Interval)*(RIGHT(UPPER(TRIM(D_Points!$B$5:$B$204)),7)="_BRIDGE")),IF(LEFT(UPPER(TRIM(D_Points!$B$5:$B$204)),2)="EX",1,IF(LEFT(UPPER(TRIM(D_Points!$B$5:$B$204)),2)="PR",2,2))),"")</f>
        <v/>
      </c>
      <c r="T939" s="181" t="str">
        <f>IFERROR(LOOKUP(2,1/((B_Drainage!$A$5:$A$204&lt;&gt;"")*(B_Drainage!$A$5:$A$204&lt;=$B939)*(B_Drainage!$B$5:$B$204&gt;$B939)*(B_Drainage!$E$5:$E$204&lt;&gt;"")),IF(B_Drainage!$E$5:$E$204="-","",1)),"")</f>
        <v/>
      </c>
      <c r="U939" s="181" t="str">
        <f>IFERROR(LOOKUP(2,1/((B_Drainage!$A$5:$A$204&lt;&gt;"")*(B_Drainage!$A$5:$A$204&lt;=$B939)*(B_Drainage!$B$5:$B$204&gt;$B939)*(B_Drainage!$E$5:$E$204&lt;&gt;"")),IF(B_Drainage!$E$5:$E$204="-","",B_Drainage!$E$5:$E$204)),"")</f>
        <v/>
      </c>
      <c r="V939" s="181" t="str">
        <f>IFERROR(LOOKUP(2,1/((B_Drainage!$A$5:$A$204&lt;&gt;"")*(B_Drainage!$A$5:$A$204&lt;=$B939)*(B_Drainage!$B$5:$B$204&gt;$B939)*(B_Drainage!$F$5:$F$204&lt;&gt;"")),IF(B_Drainage!$F$5:$F$204="-","",1)),"")</f>
        <v/>
      </c>
      <c r="W939" s="181" t="str">
        <f>IFERROR(LOOKUP(2,1/((B_Drainage!$A$5:$A$204&lt;&gt;"")*(B_Drainage!$A$5:$A$204&lt;=$B939)*(B_Drainage!$B$5:$B$204&gt;$B939)*(B_Drainage!$F$5:$F$204&lt;&gt;"")),IF(B_Drainage!$F$5:$F$204="-","",B_Drainage!$F$5:$F$204)),"")</f>
        <v/>
      </c>
      <c r="X939" s="181" t="str">
        <f>IFERROR(LOOKUP(2,1/((B_Drainage!$A$5:$A$204&lt;&gt;"")*(B_Drainage!$A$5:$A$204&lt;=$B939)*(B_Drainage!$B$5:$B$204&gt;$B939)*(B_Drainage!$G$5:$G$204&lt;&gt;"")),IF(UPPER(B_Drainage!$G$5:$G$204)="Y",1,"")),"")</f>
        <v/>
      </c>
      <c r="Y939" s="181" t="str">
        <f>IFERROR(LOOKUP(2,1/((B_Drainage!$A$5:$A$204&lt;&gt;"")*(B_Drainage!$A$5:$A$204&lt;=$B939)*(B_Drainage!$B$5:$B$204&gt;$B939)*(B_Drainage!$H$5:$H$204&lt;&gt;"")),IF(UPPER(B_Drainage!$H$5:$H$204)="Y",1,"")),"")</f>
        <v/>
      </c>
      <c r="Z939" s="181" t="str">
        <f>IFERROR(LOOKUP(2,1/((B_Drainage!$A$5:$A$204&lt;&gt;"")*(B_Drainage!$A$5:$A$204&lt;=$B939)*(B_Drainage!$B$5:$B$204&gt;$B939)*(B_Drainage!$I$5:$I$204&lt;&gt;"")),IF(UPPER(B_Drainage!$I$5:$I$204)="Y",1,"")),"")</f>
        <v/>
      </c>
      <c r="AA939" s="181" t="str">
        <f>IFERROR(LOOKUP(2,1/((B_Drainage!$A$5:$A$204&lt;&gt;"")*(B_Drainage!$A$5:$A$204&lt;=$B939)*(B_Drainage!$B$5:$B$204&gt;$B939)*(B_Drainage!$J$5:$J$204&lt;&gt;"")),IF(UPPER(B_Drainage!$J$5:$J$204)="Y",1,"")),"")</f>
        <v/>
      </c>
      <c r="AB939" s="182" t="str">
        <f>IFERROR(LOOKUP(2,1/((B_Drainage!$A$5:$A$204&lt;&gt;"")*(B_Drainage!$A$5:$A$204&lt;=$B939)*(B_Drainage!$B$5:$B$204&gt;$B939)*(B_Drainage!$K$5:$K$204&lt;&gt;"")),IF(B_Drainage!$K$5:$K$204="-","",B_Drainage!$K$5:$K$204)),"")</f>
        <v/>
      </c>
      <c r="AC939" s="182" t="str">
        <f>IFERROR(LOOKUP(2,1/((B_Drainage!$A$5:$A$204&lt;&gt;"")*(B_Drainage!$A$5:$A$204&lt;=$B939)*(B_Drainage!$B$5:$B$204&gt;$B939)*(B_Drainage!$L$5:$L$204&lt;&gt;"")),IF(B_Drainage!$L$5:$L$204="-","",B_Drainage!$L$5:$L$204)),"")</f>
        <v/>
      </c>
      <c r="AD939" s="182" t="str">
        <f>IFERROR(LOOKUP(2,1/((D_Points!$A$5:$A$204&lt;&gt;"")*(D_Points!$A$5:$A$204&gt;=$B939)*(D_Points!$A$5:$A$204&lt;$B939+P_Interval)*(UPPER(TRIM(D_Points!$B$5:$B$204))="TURNOUT_L")*(D_Points!$H$5:$H$204&lt;&gt;"")),D_Points!$H$5:$H$204),"")</f>
        <v/>
      </c>
      <c r="AE939" s="182" t="str">
        <f>IFERROR(LOOKUP(2,1/((D_Points!$A$5:$A$204&lt;&gt;"")*(D_Points!$A$5:$A$204&gt;=$B939)*(D_Points!$A$5:$A$204&lt;$B939+P_Interval)*(UPPER(TRIM(D_Points!$B$5:$B$204))="TURNOUT_R")*(D_Points!$H$5:$H$204&lt;&gt;"")),D_Points!$H$5:$H$204),"")</f>
        <v/>
      </c>
      <c r="AF939" s="181" t="str">
        <f>IFERROR(LOOKUP(2,1/((B_Drainage!$A$5:$A$204&lt;&gt;"")*(B_Drainage!$A$5:$A$204&lt;=$B939)*(B_Drainage!$B$5:$B$204&gt;$B939)*(B_Drainage!$M$5:$M$204&lt;&gt;"")),IF(UPPER(B_Drainage!$M$5:$M$204)="Y",1,"")),"")</f>
        <v/>
      </c>
      <c r="AG939" s="181" t="str">
        <f>IFERROR(LOOKUP(2,1/((B_Drainage!$A$5:$A$204&lt;&gt;"")*(B_Drainage!$A$5:$A$204&lt;=$B939)*(B_Drainage!$B$5:$B$204&gt;$B939)*(B_Drainage!$N$5:$N$204&lt;&gt;"")),IF(UPPER(B_Drainage!$N$5:$N$204)="Y",1,"")),"")</f>
        <v/>
      </c>
      <c r="AH939" s="181" t="str">
        <f t="shared" si="112"/>
        <v/>
      </c>
      <c r="AI939" s="181" t="str">
        <f t="shared" si="113"/>
        <v/>
      </c>
      <c r="AJ939" s="181" t="str">
        <f t="shared" si="114"/>
        <v/>
      </c>
      <c r="AK939" s="181" t="str">
        <f t="shared" si="115"/>
        <v/>
      </c>
      <c r="AL939" s="181" t="str">
        <f t="shared" si="116"/>
        <v/>
      </c>
      <c r="AM939" s="181" t="str">
        <f t="shared" si="117"/>
        <v/>
      </c>
      <c r="AN939" s="181" t="str">
        <f t="shared" si="118"/>
        <v/>
      </c>
      <c r="AO939" s="192" t="str">
        <f t="shared" si="119"/>
        <v/>
      </c>
      <c r="AQ939" t="str">
        <f>IFERROR(LOOKUP(2,1/((C_Pavement!$A$5:$A$204&lt;&gt;"")*(C_Pavement!$A$5:$A$204&lt;=$B939)*(C_Pavement!$B$5:$B$204&gt;$B939)*(C_Pavement!$C$5:$C$204&lt;&gt;"")),ROW(C_Pavement!$C$5:$C$204)-4),"")</f>
        <v/>
      </c>
      <c r="AR939" t="str">
        <f>IF($AQ939="","",UPPER(TRIM(INDEX(C_Pavement!$C$5:$C$204,$AQ939))))</f>
        <v/>
      </c>
      <c r="AS939" t="str">
        <f>IF($AR939="","",IFERROR(MATCH($AR939,E_Rules!$A$5:$A$9,0),""))</f>
        <v/>
      </c>
      <c r="AT939" t="str">
        <f>IF($AQ939="","",IF(INDEX(C_Pavement!$D$5:$D$204,$AQ939)&lt;&gt;"",UPPER(TRIM(INDEX(C_Pavement!$D$5:$D$204,$AQ939))),IF($AS939="","",INDEX(E_Rules!$C$5:$C$9,$AS939))))</f>
        <v/>
      </c>
      <c r="AU939" t="str">
        <f>IF($AQ939="","",IF(INDEX(C_Pavement!$E$5:$E$204,$AQ939)&lt;&gt;"",IF(INDEX(C_Pavement!$E$5:$E$204,$AQ939)="-","",INDEX(C_Pavement!$E$5:$E$204,$AQ939)),IF($AS939="","",INDEX(E_Rules!$D$5:$D$9,$AS939))))</f>
        <v/>
      </c>
      <c r="AV939" t="str">
        <f>IF($AQ939="","",IF(INDEX(C_Pavement!$F$5:$F$204,$AQ939)&lt;&gt;"",IF(INDEX(C_Pavement!$F$5:$F$204,$AQ939)="-","",INDEX(C_Pavement!$F$5:$F$204,$AQ939)),IF($AS939="","",INDEX(E_Rules!$E$5:$E$9,$AS939))))</f>
        <v/>
      </c>
      <c r="AW939" t="str">
        <f>IF($AQ939="","",IF(INDEX(C_Pavement!$G$5:$G$204,$AQ939)&lt;&gt;"",IF(INDEX(C_Pavement!$G$5:$G$204,$AQ939)="-","",INDEX(C_Pavement!$G$5:$G$204,$AQ939)),IF($AS939="","",INDEX(E_Rules!$F$5:$F$9,$AS939))))</f>
        <v/>
      </c>
      <c r="AX939" t="str">
        <f>IF($AQ939="","",IF(INDEX(C_Pavement!$H$5:$H$204,$AQ939)&lt;&gt;"",IF(INDEX(C_Pavement!$H$5:$H$204,$AQ939)="-","",INDEX(C_Pavement!$H$5:$H$204,$AQ939)),IF($AS939="","",INDEX(E_Rules!$G$5:$G$9,$AS939))))</f>
        <v/>
      </c>
      <c r="AY939" t="str">
        <f>IF($AQ939="","",IF(INDEX(C_Pavement!$I$5:$I$204,$AQ939)&lt;&gt;"",IF(INDEX(C_Pavement!$I$5:$I$204,$AQ939)="-","",INDEX(C_Pavement!$I$5:$I$204,$AQ939)),IF($AS939="","",INDEX(E_Rules!$H$5:$H$9,$AS939))))</f>
        <v/>
      </c>
    </row>
    <row r="940" spans="1:51" ht="15.75" customHeight="1" x14ac:dyDescent="0.3">
      <c r="A940" s="189">
        <v>935</v>
      </c>
      <c r="B940" s="180">
        <v>46700</v>
      </c>
      <c r="C940" s="180" t="s">
        <v>1246</v>
      </c>
      <c r="D940" s="181" t="str">
        <f>IFERROR(LOOKUP(2,1/((A_Corridor!$A$5:$A$204&lt;&gt;"")*(A_Corridor!$A$5:$A$204&lt;=$B940)*(A_Corridor!$B$5:$B$204&gt;$B940)*(A_Corridor!$C$5:$C$204&lt;&gt;"")),IF(UPPER(A_Corridor!$C$5:$C$204)="Y",1,"")),"")</f>
        <v/>
      </c>
      <c r="E940" s="181" t="str">
        <f>IFERROR(LOOKUP(2,1/((A_Corridor!$A$5:$A$204&lt;&gt;"")*(A_Corridor!$A$5:$A$204&lt;=$B940)*(A_Corridor!$B$5:$B$204&gt;$B940)*(A_Corridor!$D$5:$D$204&lt;&gt;"")),IF(A_Corridor!$D$5:$D$204="-","",UPPER(A_Corridor!$D$5:$D$204))),"")</f>
        <v/>
      </c>
      <c r="F940" s="181" t="str">
        <f>IFERROR(LOOKUP(2,1/((A_Corridor!$A$5:$A$204&lt;&gt;"")*(A_Corridor!$A$5:$A$204&lt;=$B940)*(A_Corridor!$B$5:$B$204&gt;$B940)*(A_Corridor!$E$5:$E$204&lt;&gt;"")),IF(A_Corridor!$E$5:$E$204="-","",1)),"")</f>
        <v/>
      </c>
      <c r="G940" s="182" t="str">
        <f>IFERROR(LOOKUP(2,1/((A_Corridor!$A$5:$A$204&lt;&gt;"")*(A_Corridor!$A$5:$A$204&lt;=$B940)*(A_Corridor!$B$5:$B$204&gt;$B940)*(A_Corridor!$E$5:$E$204&lt;&gt;"")),IF(A_Corridor!$E$5:$E$204="-","",A_Corridor!$E$5:$E$204)),"")</f>
        <v/>
      </c>
      <c r="H940" s="182" t="str">
        <f>IFERROR(LOOKUP(2,1/((D_Points!$A$5:$A$204&lt;&gt;"")*(D_Points!$A$5:$A$204&gt;=$B940)*(D_Points!$A$5:$A$204&lt;$B940+P_Interval)*(UPPER(TRIM(D_Points!$B$5:$B$204))="GULLY")*(D_Points!$H$5:$H$204&lt;&gt;"")),D_Points!$H$5:$H$204),"")</f>
        <v/>
      </c>
      <c r="I940" s="181" t="str">
        <f>IFERROR(LOOKUP(2,1/((A_Corridor!$A$5:$A$204&lt;&gt;"")*(A_Corridor!$A$5:$A$204&lt;=$B940)*(A_Corridor!$B$5:$B$204&gt;$B940)*(A_Corridor!$F$5:$F$204&lt;&gt;"")),IF(A_Corridor!$F$5:$F$204="-","",1)),"")</f>
        <v/>
      </c>
      <c r="J940" s="182" t="str">
        <f>IFERROR(LOOKUP(2,1/((A_Corridor!$A$5:$A$204&lt;&gt;"")*(A_Corridor!$A$5:$A$204&lt;=$B940)*(A_Corridor!$B$5:$B$204&gt;$B940)*(A_Corridor!$F$5:$F$204&lt;&gt;"")),IF(A_Corridor!$F$5:$F$204="-","",A_Corridor!$F$5:$F$204)),"")</f>
        <v/>
      </c>
      <c r="K940" s="182" t="str">
        <f>IFERROR(LOOKUP(2,1/((A_Corridor!$A$5:$A$204&lt;&gt;"")*(A_Corridor!$A$5:$A$204&lt;=$B940)*(A_Corridor!$B$5:$B$204&gt;$B940)*(A_Corridor!$G$5:$G$204&lt;&gt;"")),IF(A_Corridor!$G$5:$G$204="-","",A_Corridor!$G$5:$G$204)),"")</f>
        <v/>
      </c>
      <c r="L940" s="181" t="str">
        <f>IFERROR(LOOKUP(2,1/((A_Corridor!$A$5:$A$204&lt;&gt;"")*(A_Corridor!$A$5:$A$204&lt;=$B940)*(A_Corridor!$B$5:$B$204&gt;$B940)*(A_Corridor!$H$5:$H$204&lt;&gt;"")),IF(A_Corridor!$H$5:$H$204="-","",1)),"")</f>
        <v/>
      </c>
      <c r="M940" s="182" t="str">
        <f>IFERROR(LOOKUP(2,1/((A_Corridor!$A$5:$A$204&lt;&gt;"")*(A_Corridor!$A$5:$A$204&lt;=$B940)*(A_Corridor!$B$5:$B$204&gt;$B940)*(A_Corridor!$H$5:$H$204&lt;&gt;"")),IF(A_Corridor!$H$5:$H$204="-","",A_Corridor!$H$5:$H$204)),"")</f>
        <v/>
      </c>
      <c r="N940" s="182" t="str">
        <f>IFERROR(LOOKUP(2,1/((A_Corridor!$A$5:$A$204&lt;&gt;"")*(A_Corridor!$A$5:$A$204&lt;=$B940)*(A_Corridor!$B$5:$B$204&gt;$B940)*(A_Corridor!$I$5:$I$204&lt;&gt;"")),IF(A_Corridor!$I$5:$I$204="-","",A_Corridor!$I$5:$I$204)),"")</f>
        <v/>
      </c>
      <c r="O940" s="182" t="str">
        <f>IFERROR(LOOKUP(2,1/((D_Points!$A$5:$A$204&lt;&gt;"")*(D_Points!$A$5:$A$204&gt;=$B940)*(D_Points!$A$5:$A$204&lt;$B940+P_Interval)*(UPPER(TRIM(D_Points!$B$5:$B$204))="PITCHING")*(D_Points!$H$5:$H$204&lt;&gt;"")),D_Points!$H$5:$H$204),"")</f>
        <v/>
      </c>
      <c r="P940" s="181" t="str">
        <f>IFERROR(LOOKUP(2,1/((B_Drainage!$A$5:$A$204&lt;&gt;"")*(B_Drainage!$A$5:$A$204&lt;=$B940)*(B_Drainage!$B$5:$B$204&gt;$B940)*(B_Drainage!$C$5:$C$204&lt;&gt;"")),IF(B_Drainage!$C$5:$C$204="-","",UPPER(B_Drainage!$C$5:$C$204))),"")</f>
        <v/>
      </c>
      <c r="Q940" s="181" t="str">
        <f>IFERROR(LOOKUP(2,1/((B_Drainage!$A$5:$A$204&lt;&gt;"")*(B_Drainage!$A$5:$A$204&lt;=$B940)*(B_Drainage!$B$5:$B$204&gt;$B940)*(B_Drainage!$D$5:$D$204&lt;&gt;"")),IF(B_Drainage!$D$5:$D$204="-","",UPPER(B_Drainage!$D$5:$D$204))),"")</f>
        <v/>
      </c>
      <c r="R940" s="182" t="str">
        <f>IFERROR(LOOKUP(2,1/((D_Points!$A$5:$A$204&lt;&gt;"")*(D_Points!$A$5:$A$204&gt;=$B940)*(D_Points!$A$5:$A$204&lt;$B940+P_Interval)*(RIGHT(UPPER(TRIM(D_Points!$B$5:$B$204)),8)="_CULVERT")),IF(LEFT(UPPER(TRIM(D_Points!$B$5:$B$204)),2)="EX",1,IF(LEFT(UPPER(TRIM(D_Points!$B$5:$B$204)),2)="PR",2,3))),"")</f>
        <v/>
      </c>
      <c r="S940" s="182" t="str">
        <f>IFERROR(LOOKUP(2,1/((D_Points!$A$5:$A$204&lt;&gt;"")*(D_Points!$A$5:$A$204&gt;=$B940)*(D_Points!$A$5:$A$204&lt;$B940+P_Interval)*(RIGHT(UPPER(TRIM(D_Points!$B$5:$B$204)),7)="_BRIDGE")),IF(LEFT(UPPER(TRIM(D_Points!$B$5:$B$204)),2)="EX",1,IF(LEFT(UPPER(TRIM(D_Points!$B$5:$B$204)),2)="PR",2,2))),"")</f>
        <v/>
      </c>
      <c r="T940" s="181" t="str">
        <f>IFERROR(LOOKUP(2,1/((B_Drainage!$A$5:$A$204&lt;&gt;"")*(B_Drainage!$A$5:$A$204&lt;=$B940)*(B_Drainage!$B$5:$B$204&gt;$B940)*(B_Drainage!$E$5:$E$204&lt;&gt;"")),IF(B_Drainage!$E$5:$E$204="-","",1)),"")</f>
        <v/>
      </c>
      <c r="U940" s="181" t="str">
        <f>IFERROR(LOOKUP(2,1/((B_Drainage!$A$5:$A$204&lt;&gt;"")*(B_Drainage!$A$5:$A$204&lt;=$B940)*(B_Drainage!$B$5:$B$204&gt;$B940)*(B_Drainage!$E$5:$E$204&lt;&gt;"")),IF(B_Drainage!$E$5:$E$204="-","",B_Drainage!$E$5:$E$204)),"")</f>
        <v/>
      </c>
      <c r="V940" s="181" t="str">
        <f>IFERROR(LOOKUP(2,1/((B_Drainage!$A$5:$A$204&lt;&gt;"")*(B_Drainage!$A$5:$A$204&lt;=$B940)*(B_Drainage!$B$5:$B$204&gt;$B940)*(B_Drainage!$F$5:$F$204&lt;&gt;"")),IF(B_Drainage!$F$5:$F$204="-","",1)),"")</f>
        <v/>
      </c>
      <c r="W940" s="181" t="str">
        <f>IFERROR(LOOKUP(2,1/((B_Drainage!$A$5:$A$204&lt;&gt;"")*(B_Drainage!$A$5:$A$204&lt;=$B940)*(B_Drainage!$B$5:$B$204&gt;$B940)*(B_Drainage!$F$5:$F$204&lt;&gt;"")),IF(B_Drainage!$F$5:$F$204="-","",B_Drainage!$F$5:$F$204)),"")</f>
        <v/>
      </c>
      <c r="X940" s="181" t="str">
        <f>IFERROR(LOOKUP(2,1/((B_Drainage!$A$5:$A$204&lt;&gt;"")*(B_Drainage!$A$5:$A$204&lt;=$B940)*(B_Drainage!$B$5:$B$204&gt;$B940)*(B_Drainage!$G$5:$G$204&lt;&gt;"")),IF(UPPER(B_Drainage!$G$5:$G$204)="Y",1,"")),"")</f>
        <v/>
      </c>
      <c r="Y940" s="181" t="str">
        <f>IFERROR(LOOKUP(2,1/((B_Drainage!$A$5:$A$204&lt;&gt;"")*(B_Drainage!$A$5:$A$204&lt;=$B940)*(B_Drainage!$B$5:$B$204&gt;$B940)*(B_Drainage!$H$5:$H$204&lt;&gt;"")),IF(UPPER(B_Drainage!$H$5:$H$204)="Y",1,"")),"")</f>
        <v/>
      </c>
      <c r="Z940" s="181" t="str">
        <f>IFERROR(LOOKUP(2,1/((B_Drainage!$A$5:$A$204&lt;&gt;"")*(B_Drainage!$A$5:$A$204&lt;=$B940)*(B_Drainage!$B$5:$B$204&gt;$B940)*(B_Drainage!$I$5:$I$204&lt;&gt;"")),IF(UPPER(B_Drainage!$I$5:$I$204)="Y",1,"")),"")</f>
        <v/>
      </c>
      <c r="AA940" s="181" t="str">
        <f>IFERROR(LOOKUP(2,1/((B_Drainage!$A$5:$A$204&lt;&gt;"")*(B_Drainage!$A$5:$A$204&lt;=$B940)*(B_Drainage!$B$5:$B$204&gt;$B940)*(B_Drainage!$J$5:$J$204&lt;&gt;"")),IF(UPPER(B_Drainage!$J$5:$J$204)="Y",1,"")),"")</f>
        <v/>
      </c>
      <c r="AB940" s="182" t="str">
        <f>IFERROR(LOOKUP(2,1/((B_Drainage!$A$5:$A$204&lt;&gt;"")*(B_Drainage!$A$5:$A$204&lt;=$B940)*(B_Drainage!$B$5:$B$204&gt;$B940)*(B_Drainage!$K$5:$K$204&lt;&gt;"")),IF(B_Drainage!$K$5:$K$204="-","",B_Drainage!$K$5:$K$204)),"")</f>
        <v/>
      </c>
      <c r="AC940" s="182" t="str">
        <f>IFERROR(LOOKUP(2,1/((B_Drainage!$A$5:$A$204&lt;&gt;"")*(B_Drainage!$A$5:$A$204&lt;=$B940)*(B_Drainage!$B$5:$B$204&gt;$B940)*(B_Drainage!$L$5:$L$204&lt;&gt;"")),IF(B_Drainage!$L$5:$L$204="-","",B_Drainage!$L$5:$L$204)),"")</f>
        <v/>
      </c>
      <c r="AD940" s="182" t="str">
        <f>IFERROR(LOOKUP(2,1/((D_Points!$A$5:$A$204&lt;&gt;"")*(D_Points!$A$5:$A$204&gt;=$B940)*(D_Points!$A$5:$A$204&lt;$B940+P_Interval)*(UPPER(TRIM(D_Points!$B$5:$B$204))="TURNOUT_L")*(D_Points!$H$5:$H$204&lt;&gt;"")),D_Points!$H$5:$H$204),"")</f>
        <v/>
      </c>
      <c r="AE940" s="182" t="str">
        <f>IFERROR(LOOKUP(2,1/((D_Points!$A$5:$A$204&lt;&gt;"")*(D_Points!$A$5:$A$204&gt;=$B940)*(D_Points!$A$5:$A$204&lt;$B940+P_Interval)*(UPPER(TRIM(D_Points!$B$5:$B$204))="TURNOUT_R")*(D_Points!$H$5:$H$204&lt;&gt;"")),D_Points!$H$5:$H$204),"")</f>
        <v/>
      </c>
      <c r="AF940" s="181" t="str">
        <f>IFERROR(LOOKUP(2,1/((B_Drainage!$A$5:$A$204&lt;&gt;"")*(B_Drainage!$A$5:$A$204&lt;=$B940)*(B_Drainage!$B$5:$B$204&gt;$B940)*(B_Drainage!$M$5:$M$204&lt;&gt;"")),IF(UPPER(B_Drainage!$M$5:$M$204)="Y",1,"")),"")</f>
        <v/>
      </c>
      <c r="AG940" s="181" t="str">
        <f>IFERROR(LOOKUP(2,1/((B_Drainage!$A$5:$A$204&lt;&gt;"")*(B_Drainage!$A$5:$A$204&lt;=$B940)*(B_Drainage!$B$5:$B$204&gt;$B940)*(B_Drainage!$N$5:$N$204&lt;&gt;"")),IF(UPPER(B_Drainage!$N$5:$N$204)="Y",1,"")),"")</f>
        <v/>
      </c>
      <c r="AH940" s="181" t="str">
        <f t="shared" si="112"/>
        <v/>
      </c>
      <c r="AI940" s="181" t="str">
        <f t="shared" si="113"/>
        <v/>
      </c>
      <c r="AJ940" s="181" t="str">
        <f t="shared" si="114"/>
        <v/>
      </c>
      <c r="AK940" s="181" t="str">
        <f t="shared" si="115"/>
        <v/>
      </c>
      <c r="AL940" s="181" t="str">
        <f t="shared" si="116"/>
        <v/>
      </c>
      <c r="AM940" s="181" t="str">
        <f t="shared" si="117"/>
        <v/>
      </c>
      <c r="AN940" s="181" t="str">
        <f t="shared" si="118"/>
        <v/>
      </c>
      <c r="AO940" s="192" t="str">
        <f t="shared" si="119"/>
        <v/>
      </c>
      <c r="AQ940" t="str">
        <f>IFERROR(LOOKUP(2,1/((C_Pavement!$A$5:$A$204&lt;&gt;"")*(C_Pavement!$A$5:$A$204&lt;=$B940)*(C_Pavement!$B$5:$B$204&gt;$B940)*(C_Pavement!$C$5:$C$204&lt;&gt;"")),ROW(C_Pavement!$C$5:$C$204)-4),"")</f>
        <v/>
      </c>
      <c r="AR940" t="str">
        <f>IF($AQ940="","",UPPER(TRIM(INDEX(C_Pavement!$C$5:$C$204,$AQ940))))</f>
        <v/>
      </c>
      <c r="AS940" t="str">
        <f>IF($AR940="","",IFERROR(MATCH($AR940,E_Rules!$A$5:$A$9,0),""))</f>
        <v/>
      </c>
      <c r="AT940" t="str">
        <f>IF($AQ940="","",IF(INDEX(C_Pavement!$D$5:$D$204,$AQ940)&lt;&gt;"",UPPER(TRIM(INDEX(C_Pavement!$D$5:$D$204,$AQ940))),IF($AS940="","",INDEX(E_Rules!$C$5:$C$9,$AS940))))</f>
        <v/>
      </c>
      <c r="AU940" t="str">
        <f>IF($AQ940="","",IF(INDEX(C_Pavement!$E$5:$E$204,$AQ940)&lt;&gt;"",IF(INDEX(C_Pavement!$E$5:$E$204,$AQ940)="-","",INDEX(C_Pavement!$E$5:$E$204,$AQ940)),IF($AS940="","",INDEX(E_Rules!$D$5:$D$9,$AS940))))</f>
        <v/>
      </c>
      <c r="AV940" t="str">
        <f>IF($AQ940="","",IF(INDEX(C_Pavement!$F$5:$F$204,$AQ940)&lt;&gt;"",IF(INDEX(C_Pavement!$F$5:$F$204,$AQ940)="-","",INDEX(C_Pavement!$F$5:$F$204,$AQ940)),IF($AS940="","",INDEX(E_Rules!$E$5:$E$9,$AS940))))</f>
        <v/>
      </c>
      <c r="AW940" t="str">
        <f>IF($AQ940="","",IF(INDEX(C_Pavement!$G$5:$G$204,$AQ940)&lt;&gt;"",IF(INDEX(C_Pavement!$G$5:$G$204,$AQ940)="-","",INDEX(C_Pavement!$G$5:$G$204,$AQ940)),IF($AS940="","",INDEX(E_Rules!$F$5:$F$9,$AS940))))</f>
        <v/>
      </c>
      <c r="AX940" t="str">
        <f>IF($AQ940="","",IF(INDEX(C_Pavement!$H$5:$H$204,$AQ940)&lt;&gt;"",IF(INDEX(C_Pavement!$H$5:$H$204,$AQ940)="-","",INDEX(C_Pavement!$H$5:$H$204,$AQ940)),IF($AS940="","",INDEX(E_Rules!$G$5:$G$9,$AS940))))</f>
        <v/>
      </c>
      <c r="AY940" t="str">
        <f>IF($AQ940="","",IF(INDEX(C_Pavement!$I$5:$I$204,$AQ940)&lt;&gt;"",IF(INDEX(C_Pavement!$I$5:$I$204,$AQ940)="-","",INDEX(C_Pavement!$I$5:$I$204,$AQ940)),IF($AS940="","",INDEX(E_Rules!$H$5:$H$9,$AS940))))</f>
        <v/>
      </c>
    </row>
    <row r="941" spans="1:51" ht="15.75" customHeight="1" x14ac:dyDescent="0.3">
      <c r="A941" s="189">
        <v>936</v>
      </c>
      <c r="B941" s="180">
        <v>46750</v>
      </c>
      <c r="C941" s="180" t="s">
        <v>1247</v>
      </c>
      <c r="D941" s="181" t="str">
        <f>IFERROR(LOOKUP(2,1/((A_Corridor!$A$5:$A$204&lt;&gt;"")*(A_Corridor!$A$5:$A$204&lt;=$B941)*(A_Corridor!$B$5:$B$204&gt;$B941)*(A_Corridor!$C$5:$C$204&lt;&gt;"")),IF(UPPER(A_Corridor!$C$5:$C$204)="Y",1,"")),"")</f>
        <v/>
      </c>
      <c r="E941" s="181" t="str">
        <f>IFERROR(LOOKUP(2,1/((A_Corridor!$A$5:$A$204&lt;&gt;"")*(A_Corridor!$A$5:$A$204&lt;=$B941)*(A_Corridor!$B$5:$B$204&gt;$B941)*(A_Corridor!$D$5:$D$204&lt;&gt;"")),IF(A_Corridor!$D$5:$D$204="-","",UPPER(A_Corridor!$D$5:$D$204))),"")</f>
        <v/>
      </c>
      <c r="F941" s="181" t="str">
        <f>IFERROR(LOOKUP(2,1/((A_Corridor!$A$5:$A$204&lt;&gt;"")*(A_Corridor!$A$5:$A$204&lt;=$B941)*(A_Corridor!$B$5:$B$204&gt;$B941)*(A_Corridor!$E$5:$E$204&lt;&gt;"")),IF(A_Corridor!$E$5:$E$204="-","",1)),"")</f>
        <v/>
      </c>
      <c r="G941" s="182" t="str">
        <f>IFERROR(LOOKUP(2,1/((A_Corridor!$A$5:$A$204&lt;&gt;"")*(A_Corridor!$A$5:$A$204&lt;=$B941)*(A_Corridor!$B$5:$B$204&gt;$B941)*(A_Corridor!$E$5:$E$204&lt;&gt;"")),IF(A_Corridor!$E$5:$E$204="-","",A_Corridor!$E$5:$E$204)),"")</f>
        <v/>
      </c>
      <c r="H941" s="182" t="str">
        <f>IFERROR(LOOKUP(2,1/((D_Points!$A$5:$A$204&lt;&gt;"")*(D_Points!$A$5:$A$204&gt;=$B941)*(D_Points!$A$5:$A$204&lt;$B941+P_Interval)*(UPPER(TRIM(D_Points!$B$5:$B$204))="GULLY")*(D_Points!$H$5:$H$204&lt;&gt;"")),D_Points!$H$5:$H$204),"")</f>
        <v/>
      </c>
      <c r="I941" s="181" t="str">
        <f>IFERROR(LOOKUP(2,1/((A_Corridor!$A$5:$A$204&lt;&gt;"")*(A_Corridor!$A$5:$A$204&lt;=$B941)*(A_Corridor!$B$5:$B$204&gt;$B941)*(A_Corridor!$F$5:$F$204&lt;&gt;"")),IF(A_Corridor!$F$5:$F$204="-","",1)),"")</f>
        <v/>
      </c>
      <c r="J941" s="182" t="str">
        <f>IFERROR(LOOKUP(2,1/((A_Corridor!$A$5:$A$204&lt;&gt;"")*(A_Corridor!$A$5:$A$204&lt;=$B941)*(A_Corridor!$B$5:$B$204&gt;$B941)*(A_Corridor!$F$5:$F$204&lt;&gt;"")),IF(A_Corridor!$F$5:$F$204="-","",A_Corridor!$F$5:$F$204)),"")</f>
        <v/>
      </c>
      <c r="K941" s="182" t="str">
        <f>IFERROR(LOOKUP(2,1/((A_Corridor!$A$5:$A$204&lt;&gt;"")*(A_Corridor!$A$5:$A$204&lt;=$B941)*(A_Corridor!$B$5:$B$204&gt;$B941)*(A_Corridor!$G$5:$G$204&lt;&gt;"")),IF(A_Corridor!$G$5:$G$204="-","",A_Corridor!$G$5:$G$204)),"")</f>
        <v/>
      </c>
      <c r="L941" s="181" t="str">
        <f>IFERROR(LOOKUP(2,1/((A_Corridor!$A$5:$A$204&lt;&gt;"")*(A_Corridor!$A$5:$A$204&lt;=$B941)*(A_Corridor!$B$5:$B$204&gt;$B941)*(A_Corridor!$H$5:$H$204&lt;&gt;"")),IF(A_Corridor!$H$5:$H$204="-","",1)),"")</f>
        <v/>
      </c>
      <c r="M941" s="182" t="str">
        <f>IFERROR(LOOKUP(2,1/((A_Corridor!$A$5:$A$204&lt;&gt;"")*(A_Corridor!$A$5:$A$204&lt;=$B941)*(A_Corridor!$B$5:$B$204&gt;$B941)*(A_Corridor!$H$5:$H$204&lt;&gt;"")),IF(A_Corridor!$H$5:$H$204="-","",A_Corridor!$H$5:$H$204)),"")</f>
        <v/>
      </c>
      <c r="N941" s="182" t="str">
        <f>IFERROR(LOOKUP(2,1/((A_Corridor!$A$5:$A$204&lt;&gt;"")*(A_Corridor!$A$5:$A$204&lt;=$B941)*(A_Corridor!$B$5:$B$204&gt;$B941)*(A_Corridor!$I$5:$I$204&lt;&gt;"")),IF(A_Corridor!$I$5:$I$204="-","",A_Corridor!$I$5:$I$204)),"")</f>
        <v/>
      </c>
      <c r="O941" s="182" t="str">
        <f>IFERROR(LOOKUP(2,1/((D_Points!$A$5:$A$204&lt;&gt;"")*(D_Points!$A$5:$A$204&gt;=$B941)*(D_Points!$A$5:$A$204&lt;$B941+P_Interval)*(UPPER(TRIM(D_Points!$B$5:$B$204))="PITCHING")*(D_Points!$H$5:$H$204&lt;&gt;"")),D_Points!$H$5:$H$204),"")</f>
        <v/>
      </c>
      <c r="P941" s="181" t="str">
        <f>IFERROR(LOOKUP(2,1/((B_Drainage!$A$5:$A$204&lt;&gt;"")*(B_Drainage!$A$5:$A$204&lt;=$B941)*(B_Drainage!$B$5:$B$204&gt;$B941)*(B_Drainage!$C$5:$C$204&lt;&gt;"")),IF(B_Drainage!$C$5:$C$204="-","",UPPER(B_Drainage!$C$5:$C$204))),"")</f>
        <v/>
      </c>
      <c r="Q941" s="181" t="str">
        <f>IFERROR(LOOKUP(2,1/((B_Drainage!$A$5:$A$204&lt;&gt;"")*(B_Drainage!$A$5:$A$204&lt;=$B941)*(B_Drainage!$B$5:$B$204&gt;$B941)*(B_Drainage!$D$5:$D$204&lt;&gt;"")),IF(B_Drainage!$D$5:$D$204="-","",UPPER(B_Drainage!$D$5:$D$204))),"")</f>
        <v/>
      </c>
      <c r="R941" s="182" t="str">
        <f>IFERROR(LOOKUP(2,1/((D_Points!$A$5:$A$204&lt;&gt;"")*(D_Points!$A$5:$A$204&gt;=$B941)*(D_Points!$A$5:$A$204&lt;$B941+P_Interval)*(RIGHT(UPPER(TRIM(D_Points!$B$5:$B$204)),8)="_CULVERT")),IF(LEFT(UPPER(TRIM(D_Points!$B$5:$B$204)),2)="EX",1,IF(LEFT(UPPER(TRIM(D_Points!$B$5:$B$204)),2)="PR",2,3))),"")</f>
        <v/>
      </c>
      <c r="S941" s="182" t="str">
        <f>IFERROR(LOOKUP(2,1/((D_Points!$A$5:$A$204&lt;&gt;"")*(D_Points!$A$5:$A$204&gt;=$B941)*(D_Points!$A$5:$A$204&lt;$B941+P_Interval)*(RIGHT(UPPER(TRIM(D_Points!$B$5:$B$204)),7)="_BRIDGE")),IF(LEFT(UPPER(TRIM(D_Points!$B$5:$B$204)),2)="EX",1,IF(LEFT(UPPER(TRIM(D_Points!$B$5:$B$204)),2)="PR",2,2))),"")</f>
        <v/>
      </c>
      <c r="T941" s="181" t="str">
        <f>IFERROR(LOOKUP(2,1/((B_Drainage!$A$5:$A$204&lt;&gt;"")*(B_Drainage!$A$5:$A$204&lt;=$B941)*(B_Drainage!$B$5:$B$204&gt;$B941)*(B_Drainage!$E$5:$E$204&lt;&gt;"")),IF(B_Drainage!$E$5:$E$204="-","",1)),"")</f>
        <v/>
      </c>
      <c r="U941" s="181" t="str">
        <f>IFERROR(LOOKUP(2,1/((B_Drainage!$A$5:$A$204&lt;&gt;"")*(B_Drainage!$A$5:$A$204&lt;=$B941)*(B_Drainage!$B$5:$B$204&gt;$B941)*(B_Drainage!$E$5:$E$204&lt;&gt;"")),IF(B_Drainage!$E$5:$E$204="-","",B_Drainage!$E$5:$E$204)),"")</f>
        <v/>
      </c>
      <c r="V941" s="181" t="str">
        <f>IFERROR(LOOKUP(2,1/((B_Drainage!$A$5:$A$204&lt;&gt;"")*(B_Drainage!$A$5:$A$204&lt;=$B941)*(B_Drainage!$B$5:$B$204&gt;$B941)*(B_Drainage!$F$5:$F$204&lt;&gt;"")),IF(B_Drainage!$F$5:$F$204="-","",1)),"")</f>
        <v/>
      </c>
      <c r="W941" s="181" t="str">
        <f>IFERROR(LOOKUP(2,1/((B_Drainage!$A$5:$A$204&lt;&gt;"")*(B_Drainage!$A$5:$A$204&lt;=$B941)*(B_Drainage!$B$5:$B$204&gt;$B941)*(B_Drainage!$F$5:$F$204&lt;&gt;"")),IF(B_Drainage!$F$5:$F$204="-","",B_Drainage!$F$5:$F$204)),"")</f>
        <v/>
      </c>
      <c r="X941" s="181" t="str">
        <f>IFERROR(LOOKUP(2,1/((B_Drainage!$A$5:$A$204&lt;&gt;"")*(B_Drainage!$A$5:$A$204&lt;=$B941)*(B_Drainage!$B$5:$B$204&gt;$B941)*(B_Drainage!$G$5:$G$204&lt;&gt;"")),IF(UPPER(B_Drainage!$G$5:$G$204)="Y",1,"")),"")</f>
        <v/>
      </c>
      <c r="Y941" s="181" t="str">
        <f>IFERROR(LOOKUP(2,1/((B_Drainage!$A$5:$A$204&lt;&gt;"")*(B_Drainage!$A$5:$A$204&lt;=$B941)*(B_Drainage!$B$5:$B$204&gt;$B941)*(B_Drainage!$H$5:$H$204&lt;&gt;"")),IF(UPPER(B_Drainage!$H$5:$H$204)="Y",1,"")),"")</f>
        <v/>
      </c>
      <c r="Z941" s="181" t="str">
        <f>IFERROR(LOOKUP(2,1/((B_Drainage!$A$5:$A$204&lt;&gt;"")*(B_Drainage!$A$5:$A$204&lt;=$B941)*(B_Drainage!$B$5:$B$204&gt;$B941)*(B_Drainage!$I$5:$I$204&lt;&gt;"")),IF(UPPER(B_Drainage!$I$5:$I$204)="Y",1,"")),"")</f>
        <v/>
      </c>
      <c r="AA941" s="181" t="str">
        <f>IFERROR(LOOKUP(2,1/((B_Drainage!$A$5:$A$204&lt;&gt;"")*(B_Drainage!$A$5:$A$204&lt;=$B941)*(B_Drainage!$B$5:$B$204&gt;$B941)*(B_Drainage!$J$5:$J$204&lt;&gt;"")),IF(UPPER(B_Drainage!$J$5:$J$204)="Y",1,"")),"")</f>
        <v/>
      </c>
      <c r="AB941" s="182" t="str">
        <f>IFERROR(LOOKUP(2,1/((B_Drainage!$A$5:$A$204&lt;&gt;"")*(B_Drainage!$A$5:$A$204&lt;=$B941)*(B_Drainage!$B$5:$B$204&gt;$B941)*(B_Drainage!$K$5:$K$204&lt;&gt;"")),IF(B_Drainage!$K$5:$K$204="-","",B_Drainage!$K$5:$K$204)),"")</f>
        <v/>
      </c>
      <c r="AC941" s="182" t="str">
        <f>IFERROR(LOOKUP(2,1/((B_Drainage!$A$5:$A$204&lt;&gt;"")*(B_Drainage!$A$5:$A$204&lt;=$B941)*(B_Drainage!$B$5:$B$204&gt;$B941)*(B_Drainage!$L$5:$L$204&lt;&gt;"")),IF(B_Drainage!$L$5:$L$204="-","",B_Drainage!$L$5:$L$204)),"")</f>
        <v/>
      </c>
      <c r="AD941" s="182" t="str">
        <f>IFERROR(LOOKUP(2,1/((D_Points!$A$5:$A$204&lt;&gt;"")*(D_Points!$A$5:$A$204&gt;=$B941)*(D_Points!$A$5:$A$204&lt;$B941+P_Interval)*(UPPER(TRIM(D_Points!$B$5:$B$204))="TURNOUT_L")*(D_Points!$H$5:$H$204&lt;&gt;"")),D_Points!$H$5:$H$204),"")</f>
        <v/>
      </c>
      <c r="AE941" s="182" t="str">
        <f>IFERROR(LOOKUP(2,1/((D_Points!$A$5:$A$204&lt;&gt;"")*(D_Points!$A$5:$A$204&gt;=$B941)*(D_Points!$A$5:$A$204&lt;$B941+P_Interval)*(UPPER(TRIM(D_Points!$B$5:$B$204))="TURNOUT_R")*(D_Points!$H$5:$H$204&lt;&gt;"")),D_Points!$H$5:$H$204),"")</f>
        <v/>
      </c>
      <c r="AF941" s="181" t="str">
        <f>IFERROR(LOOKUP(2,1/((B_Drainage!$A$5:$A$204&lt;&gt;"")*(B_Drainage!$A$5:$A$204&lt;=$B941)*(B_Drainage!$B$5:$B$204&gt;$B941)*(B_Drainage!$M$5:$M$204&lt;&gt;"")),IF(UPPER(B_Drainage!$M$5:$M$204)="Y",1,"")),"")</f>
        <v/>
      </c>
      <c r="AG941" s="181" t="str">
        <f>IFERROR(LOOKUP(2,1/((B_Drainage!$A$5:$A$204&lt;&gt;"")*(B_Drainage!$A$5:$A$204&lt;=$B941)*(B_Drainage!$B$5:$B$204&gt;$B941)*(B_Drainage!$N$5:$N$204&lt;&gt;"")),IF(UPPER(B_Drainage!$N$5:$N$204)="Y",1,"")),"")</f>
        <v/>
      </c>
      <c r="AH941" s="181" t="str">
        <f t="shared" si="112"/>
        <v/>
      </c>
      <c r="AI941" s="181" t="str">
        <f t="shared" si="113"/>
        <v/>
      </c>
      <c r="AJ941" s="181" t="str">
        <f t="shared" si="114"/>
        <v/>
      </c>
      <c r="AK941" s="181" t="str">
        <f t="shared" si="115"/>
        <v/>
      </c>
      <c r="AL941" s="181" t="str">
        <f t="shared" si="116"/>
        <v/>
      </c>
      <c r="AM941" s="181" t="str">
        <f t="shared" si="117"/>
        <v/>
      </c>
      <c r="AN941" s="181" t="str">
        <f t="shared" si="118"/>
        <v/>
      </c>
      <c r="AO941" s="192" t="str">
        <f t="shared" si="119"/>
        <v/>
      </c>
      <c r="AQ941" t="str">
        <f>IFERROR(LOOKUP(2,1/((C_Pavement!$A$5:$A$204&lt;&gt;"")*(C_Pavement!$A$5:$A$204&lt;=$B941)*(C_Pavement!$B$5:$B$204&gt;$B941)*(C_Pavement!$C$5:$C$204&lt;&gt;"")),ROW(C_Pavement!$C$5:$C$204)-4),"")</f>
        <v/>
      </c>
      <c r="AR941" t="str">
        <f>IF($AQ941="","",UPPER(TRIM(INDEX(C_Pavement!$C$5:$C$204,$AQ941))))</f>
        <v/>
      </c>
      <c r="AS941" t="str">
        <f>IF($AR941="","",IFERROR(MATCH($AR941,E_Rules!$A$5:$A$9,0),""))</f>
        <v/>
      </c>
      <c r="AT941" t="str">
        <f>IF($AQ941="","",IF(INDEX(C_Pavement!$D$5:$D$204,$AQ941)&lt;&gt;"",UPPER(TRIM(INDEX(C_Pavement!$D$5:$D$204,$AQ941))),IF($AS941="","",INDEX(E_Rules!$C$5:$C$9,$AS941))))</f>
        <v/>
      </c>
      <c r="AU941" t="str">
        <f>IF($AQ941="","",IF(INDEX(C_Pavement!$E$5:$E$204,$AQ941)&lt;&gt;"",IF(INDEX(C_Pavement!$E$5:$E$204,$AQ941)="-","",INDEX(C_Pavement!$E$5:$E$204,$AQ941)),IF($AS941="","",INDEX(E_Rules!$D$5:$D$9,$AS941))))</f>
        <v/>
      </c>
      <c r="AV941" t="str">
        <f>IF($AQ941="","",IF(INDEX(C_Pavement!$F$5:$F$204,$AQ941)&lt;&gt;"",IF(INDEX(C_Pavement!$F$5:$F$204,$AQ941)="-","",INDEX(C_Pavement!$F$5:$F$204,$AQ941)),IF($AS941="","",INDEX(E_Rules!$E$5:$E$9,$AS941))))</f>
        <v/>
      </c>
      <c r="AW941" t="str">
        <f>IF($AQ941="","",IF(INDEX(C_Pavement!$G$5:$G$204,$AQ941)&lt;&gt;"",IF(INDEX(C_Pavement!$G$5:$G$204,$AQ941)="-","",INDEX(C_Pavement!$G$5:$G$204,$AQ941)),IF($AS941="","",INDEX(E_Rules!$F$5:$F$9,$AS941))))</f>
        <v/>
      </c>
      <c r="AX941" t="str">
        <f>IF($AQ941="","",IF(INDEX(C_Pavement!$H$5:$H$204,$AQ941)&lt;&gt;"",IF(INDEX(C_Pavement!$H$5:$H$204,$AQ941)="-","",INDEX(C_Pavement!$H$5:$H$204,$AQ941)),IF($AS941="","",INDEX(E_Rules!$G$5:$G$9,$AS941))))</f>
        <v/>
      </c>
      <c r="AY941" t="str">
        <f>IF($AQ941="","",IF(INDEX(C_Pavement!$I$5:$I$204,$AQ941)&lt;&gt;"",IF(INDEX(C_Pavement!$I$5:$I$204,$AQ941)="-","",INDEX(C_Pavement!$I$5:$I$204,$AQ941)),IF($AS941="","",INDEX(E_Rules!$H$5:$H$9,$AS941))))</f>
        <v/>
      </c>
    </row>
    <row r="942" spans="1:51" ht="15.75" customHeight="1" x14ac:dyDescent="0.3">
      <c r="A942" s="189">
        <v>937</v>
      </c>
      <c r="B942" s="180">
        <v>46800</v>
      </c>
      <c r="C942" s="180" t="s">
        <v>1248</v>
      </c>
      <c r="D942" s="181" t="str">
        <f>IFERROR(LOOKUP(2,1/((A_Corridor!$A$5:$A$204&lt;&gt;"")*(A_Corridor!$A$5:$A$204&lt;=$B942)*(A_Corridor!$B$5:$B$204&gt;$B942)*(A_Corridor!$C$5:$C$204&lt;&gt;"")),IF(UPPER(A_Corridor!$C$5:$C$204)="Y",1,"")),"")</f>
        <v/>
      </c>
      <c r="E942" s="181" t="str">
        <f>IFERROR(LOOKUP(2,1/((A_Corridor!$A$5:$A$204&lt;&gt;"")*(A_Corridor!$A$5:$A$204&lt;=$B942)*(A_Corridor!$B$5:$B$204&gt;$B942)*(A_Corridor!$D$5:$D$204&lt;&gt;"")),IF(A_Corridor!$D$5:$D$204="-","",UPPER(A_Corridor!$D$5:$D$204))),"")</f>
        <v/>
      </c>
      <c r="F942" s="181" t="str">
        <f>IFERROR(LOOKUP(2,1/((A_Corridor!$A$5:$A$204&lt;&gt;"")*(A_Corridor!$A$5:$A$204&lt;=$B942)*(A_Corridor!$B$5:$B$204&gt;$B942)*(A_Corridor!$E$5:$E$204&lt;&gt;"")),IF(A_Corridor!$E$5:$E$204="-","",1)),"")</f>
        <v/>
      </c>
      <c r="G942" s="182" t="str">
        <f>IFERROR(LOOKUP(2,1/((A_Corridor!$A$5:$A$204&lt;&gt;"")*(A_Corridor!$A$5:$A$204&lt;=$B942)*(A_Corridor!$B$5:$B$204&gt;$B942)*(A_Corridor!$E$5:$E$204&lt;&gt;"")),IF(A_Corridor!$E$5:$E$204="-","",A_Corridor!$E$5:$E$204)),"")</f>
        <v/>
      </c>
      <c r="H942" s="182" t="str">
        <f>IFERROR(LOOKUP(2,1/((D_Points!$A$5:$A$204&lt;&gt;"")*(D_Points!$A$5:$A$204&gt;=$B942)*(D_Points!$A$5:$A$204&lt;$B942+P_Interval)*(UPPER(TRIM(D_Points!$B$5:$B$204))="GULLY")*(D_Points!$H$5:$H$204&lt;&gt;"")),D_Points!$H$5:$H$204),"")</f>
        <v/>
      </c>
      <c r="I942" s="181" t="str">
        <f>IFERROR(LOOKUP(2,1/((A_Corridor!$A$5:$A$204&lt;&gt;"")*(A_Corridor!$A$5:$A$204&lt;=$B942)*(A_Corridor!$B$5:$B$204&gt;$B942)*(A_Corridor!$F$5:$F$204&lt;&gt;"")),IF(A_Corridor!$F$5:$F$204="-","",1)),"")</f>
        <v/>
      </c>
      <c r="J942" s="182" t="str">
        <f>IFERROR(LOOKUP(2,1/((A_Corridor!$A$5:$A$204&lt;&gt;"")*(A_Corridor!$A$5:$A$204&lt;=$B942)*(A_Corridor!$B$5:$B$204&gt;$B942)*(A_Corridor!$F$5:$F$204&lt;&gt;"")),IF(A_Corridor!$F$5:$F$204="-","",A_Corridor!$F$5:$F$204)),"")</f>
        <v/>
      </c>
      <c r="K942" s="182" t="str">
        <f>IFERROR(LOOKUP(2,1/((A_Corridor!$A$5:$A$204&lt;&gt;"")*(A_Corridor!$A$5:$A$204&lt;=$B942)*(A_Corridor!$B$5:$B$204&gt;$B942)*(A_Corridor!$G$5:$G$204&lt;&gt;"")),IF(A_Corridor!$G$5:$G$204="-","",A_Corridor!$G$5:$G$204)),"")</f>
        <v/>
      </c>
      <c r="L942" s="181" t="str">
        <f>IFERROR(LOOKUP(2,1/((A_Corridor!$A$5:$A$204&lt;&gt;"")*(A_Corridor!$A$5:$A$204&lt;=$B942)*(A_Corridor!$B$5:$B$204&gt;$B942)*(A_Corridor!$H$5:$H$204&lt;&gt;"")),IF(A_Corridor!$H$5:$H$204="-","",1)),"")</f>
        <v/>
      </c>
      <c r="M942" s="182" t="str">
        <f>IFERROR(LOOKUP(2,1/((A_Corridor!$A$5:$A$204&lt;&gt;"")*(A_Corridor!$A$5:$A$204&lt;=$B942)*(A_Corridor!$B$5:$B$204&gt;$B942)*(A_Corridor!$H$5:$H$204&lt;&gt;"")),IF(A_Corridor!$H$5:$H$204="-","",A_Corridor!$H$5:$H$204)),"")</f>
        <v/>
      </c>
      <c r="N942" s="182" t="str">
        <f>IFERROR(LOOKUP(2,1/((A_Corridor!$A$5:$A$204&lt;&gt;"")*(A_Corridor!$A$5:$A$204&lt;=$B942)*(A_Corridor!$B$5:$B$204&gt;$B942)*(A_Corridor!$I$5:$I$204&lt;&gt;"")),IF(A_Corridor!$I$5:$I$204="-","",A_Corridor!$I$5:$I$204)),"")</f>
        <v/>
      </c>
      <c r="O942" s="182" t="str">
        <f>IFERROR(LOOKUP(2,1/((D_Points!$A$5:$A$204&lt;&gt;"")*(D_Points!$A$5:$A$204&gt;=$B942)*(D_Points!$A$5:$A$204&lt;$B942+P_Interval)*(UPPER(TRIM(D_Points!$B$5:$B$204))="PITCHING")*(D_Points!$H$5:$H$204&lt;&gt;"")),D_Points!$H$5:$H$204),"")</f>
        <v/>
      </c>
      <c r="P942" s="181" t="str">
        <f>IFERROR(LOOKUP(2,1/((B_Drainage!$A$5:$A$204&lt;&gt;"")*(B_Drainage!$A$5:$A$204&lt;=$B942)*(B_Drainage!$B$5:$B$204&gt;$B942)*(B_Drainage!$C$5:$C$204&lt;&gt;"")),IF(B_Drainage!$C$5:$C$204="-","",UPPER(B_Drainage!$C$5:$C$204))),"")</f>
        <v/>
      </c>
      <c r="Q942" s="181" t="str">
        <f>IFERROR(LOOKUP(2,1/((B_Drainage!$A$5:$A$204&lt;&gt;"")*(B_Drainage!$A$5:$A$204&lt;=$B942)*(B_Drainage!$B$5:$B$204&gt;$B942)*(B_Drainage!$D$5:$D$204&lt;&gt;"")),IF(B_Drainage!$D$5:$D$204="-","",UPPER(B_Drainage!$D$5:$D$204))),"")</f>
        <v/>
      </c>
      <c r="R942" s="182" t="str">
        <f>IFERROR(LOOKUP(2,1/((D_Points!$A$5:$A$204&lt;&gt;"")*(D_Points!$A$5:$A$204&gt;=$B942)*(D_Points!$A$5:$A$204&lt;$B942+P_Interval)*(RIGHT(UPPER(TRIM(D_Points!$B$5:$B$204)),8)="_CULVERT")),IF(LEFT(UPPER(TRIM(D_Points!$B$5:$B$204)),2)="EX",1,IF(LEFT(UPPER(TRIM(D_Points!$B$5:$B$204)),2)="PR",2,3))),"")</f>
        <v/>
      </c>
      <c r="S942" s="182" t="str">
        <f>IFERROR(LOOKUP(2,1/((D_Points!$A$5:$A$204&lt;&gt;"")*(D_Points!$A$5:$A$204&gt;=$B942)*(D_Points!$A$5:$A$204&lt;$B942+P_Interval)*(RIGHT(UPPER(TRIM(D_Points!$B$5:$B$204)),7)="_BRIDGE")),IF(LEFT(UPPER(TRIM(D_Points!$B$5:$B$204)),2)="EX",1,IF(LEFT(UPPER(TRIM(D_Points!$B$5:$B$204)),2)="PR",2,2))),"")</f>
        <v/>
      </c>
      <c r="T942" s="181" t="str">
        <f>IFERROR(LOOKUP(2,1/((B_Drainage!$A$5:$A$204&lt;&gt;"")*(B_Drainage!$A$5:$A$204&lt;=$B942)*(B_Drainage!$B$5:$B$204&gt;$B942)*(B_Drainage!$E$5:$E$204&lt;&gt;"")),IF(B_Drainage!$E$5:$E$204="-","",1)),"")</f>
        <v/>
      </c>
      <c r="U942" s="181" t="str">
        <f>IFERROR(LOOKUP(2,1/((B_Drainage!$A$5:$A$204&lt;&gt;"")*(B_Drainage!$A$5:$A$204&lt;=$B942)*(B_Drainage!$B$5:$B$204&gt;$B942)*(B_Drainage!$E$5:$E$204&lt;&gt;"")),IF(B_Drainage!$E$5:$E$204="-","",B_Drainage!$E$5:$E$204)),"")</f>
        <v/>
      </c>
      <c r="V942" s="181" t="str">
        <f>IFERROR(LOOKUP(2,1/((B_Drainage!$A$5:$A$204&lt;&gt;"")*(B_Drainage!$A$5:$A$204&lt;=$B942)*(B_Drainage!$B$5:$B$204&gt;$B942)*(B_Drainage!$F$5:$F$204&lt;&gt;"")),IF(B_Drainage!$F$5:$F$204="-","",1)),"")</f>
        <v/>
      </c>
      <c r="W942" s="181" t="str">
        <f>IFERROR(LOOKUP(2,1/((B_Drainage!$A$5:$A$204&lt;&gt;"")*(B_Drainage!$A$5:$A$204&lt;=$B942)*(B_Drainage!$B$5:$B$204&gt;$B942)*(B_Drainage!$F$5:$F$204&lt;&gt;"")),IF(B_Drainage!$F$5:$F$204="-","",B_Drainage!$F$5:$F$204)),"")</f>
        <v/>
      </c>
      <c r="X942" s="181" t="str">
        <f>IFERROR(LOOKUP(2,1/((B_Drainage!$A$5:$A$204&lt;&gt;"")*(B_Drainage!$A$5:$A$204&lt;=$B942)*(B_Drainage!$B$5:$B$204&gt;$B942)*(B_Drainage!$G$5:$G$204&lt;&gt;"")),IF(UPPER(B_Drainage!$G$5:$G$204)="Y",1,"")),"")</f>
        <v/>
      </c>
      <c r="Y942" s="181" t="str">
        <f>IFERROR(LOOKUP(2,1/((B_Drainage!$A$5:$A$204&lt;&gt;"")*(B_Drainage!$A$5:$A$204&lt;=$B942)*(B_Drainage!$B$5:$B$204&gt;$B942)*(B_Drainage!$H$5:$H$204&lt;&gt;"")),IF(UPPER(B_Drainage!$H$5:$H$204)="Y",1,"")),"")</f>
        <v/>
      </c>
      <c r="Z942" s="181" t="str">
        <f>IFERROR(LOOKUP(2,1/((B_Drainage!$A$5:$A$204&lt;&gt;"")*(B_Drainage!$A$5:$A$204&lt;=$B942)*(B_Drainage!$B$5:$B$204&gt;$B942)*(B_Drainage!$I$5:$I$204&lt;&gt;"")),IF(UPPER(B_Drainage!$I$5:$I$204)="Y",1,"")),"")</f>
        <v/>
      </c>
      <c r="AA942" s="181" t="str">
        <f>IFERROR(LOOKUP(2,1/((B_Drainage!$A$5:$A$204&lt;&gt;"")*(B_Drainage!$A$5:$A$204&lt;=$B942)*(B_Drainage!$B$5:$B$204&gt;$B942)*(B_Drainage!$J$5:$J$204&lt;&gt;"")),IF(UPPER(B_Drainage!$J$5:$J$204)="Y",1,"")),"")</f>
        <v/>
      </c>
      <c r="AB942" s="182" t="str">
        <f>IFERROR(LOOKUP(2,1/((B_Drainage!$A$5:$A$204&lt;&gt;"")*(B_Drainage!$A$5:$A$204&lt;=$B942)*(B_Drainage!$B$5:$B$204&gt;$B942)*(B_Drainage!$K$5:$K$204&lt;&gt;"")),IF(B_Drainage!$K$5:$K$204="-","",B_Drainage!$K$5:$K$204)),"")</f>
        <v/>
      </c>
      <c r="AC942" s="182" t="str">
        <f>IFERROR(LOOKUP(2,1/((B_Drainage!$A$5:$A$204&lt;&gt;"")*(B_Drainage!$A$5:$A$204&lt;=$B942)*(B_Drainage!$B$5:$B$204&gt;$B942)*(B_Drainage!$L$5:$L$204&lt;&gt;"")),IF(B_Drainage!$L$5:$L$204="-","",B_Drainage!$L$5:$L$204)),"")</f>
        <v/>
      </c>
      <c r="AD942" s="182" t="str">
        <f>IFERROR(LOOKUP(2,1/((D_Points!$A$5:$A$204&lt;&gt;"")*(D_Points!$A$5:$A$204&gt;=$B942)*(D_Points!$A$5:$A$204&lt;$B942+P_Interval)*(UPPER(TRIM(D_Points!$B$5:$B$204))="TURNOUT_L")*(D_Points!$H$5:$H$204&lt;&gt;"")),D_Points!$H$5:$H$204),"")</f>
        <v/>
      </c>
      <c r="AE942" s="182" t="str">
        <f>IFERROR(LOOKUP(2,1/((D_Points!$A$5:$A$204&lt;&gt;"")*(D_Points!$A$5:$A$204&gt;=$B942)*(D_Points!$A$5:$A$204&lt;$B942+P_Interval)*(UPPER(TRIM(D_Points!$B$5:$B$204))="TURNOUT_R")*(D_Points!$H$5:$H$204&lt;&gt;"")),D_Points!$H$5:$H$204),"")</f>
        <v/>
      </c>
      <c r="AF942" s="181" t="str">
        <f>IFERROR(LOOKUP(2,1/((B_Drainage!$A$5:$A$204&lt;&gt;"")*(B_Drainage!$A$5:$A$204&lt;=$B942)*(B_Drainage!$B$5:$B$204&gt;$B942)*(B_Drainage!$M$5:$M$204&lt;&gt;"")),IF(UPPER(B_Drainage!$M$5:$M$204)="Y",1,"")),"")</f>
        <v/>
      </c>
      <c r="AG942" s="181" t="str">
        <f>IFERROR(LOOKUP(2,1/((B_Drainage!$A$5:$A$204&lt;&gt;"")*(B_Drainage!$A$5:$A$204&lt;=$B942)*(B_Drainage!$B$5:$B$204&gt;$B942)*(B_Drainage!$N$5:$N$204&lt;&gt;"")),IF(UPPER(B_Drainage!$N$5:$N$204)="Y",1,"")),"")</f>
        <v/>
      </c>
      <c r="AH942" s="181" t="str">
        <f t="shared" si="112"/>
        <v/>
      </c>
      <c r="AI942" s="181" t="str">
        <f t="shared" si="113"/>
        <v/>
      </c>
      <c r="AJ942" s="181" t="str">
        <f t="shared" si="114"/>
        <v/>
      </c>
      <c r="AK942" s="181" t="str">
        <f t="shared" si="115"/>
        <v/>
      </c>
      <c r="AL942" s="181" t="str">
        <f t="shared" si="116"/>
        <v/>
      </c>
      <c r="AM942" s="181" t="str">
        <f t="shared" si="117"/>
        <v/>
      </c>
      <c r="AN942" s="181" t="str">
        <f t="shared" si="118"/>
        <v/>
      </c>
      <c r="AO942" s="192" t="str">
        <f t="shared" si="119"/>
        <v/>
      </c>
      <c r="AQ942" t="str">
        <f>IFERROR(LOOKUP(2,1/((C_Pavement!$A$5:$A$204&lt;&gt;"")*(C_Pavement!$A$5:$A$204&lt;=$B942)*(C_Pavement!$B$5:$B$204&gt;$B942)*(C_Pavement!$C$5:$C$204&lt;&gt;"")),ROW(C_Pavement!$C$5:$C$204)-4),"")</f>
        <v/>
      </c>
      <c r="AR942" t="str">
        <f>IF($AQ942="","",UPPER(TRIM(INDEX(C_Pavement!$C$5:$C$204,$AQ942))))</f>
        <v/>
      </c>
      <c r="AS942" t="str">
        <f>IF($AR942="","",IFERROR(MATCH($AR942,E_Rules!$A$5:$A$9,0),""))</f>
        <v/>
      </c>
      <c r="AT942" t="str">
        <f>IF($AQ942="","",IF(INDEX(C_Pavement!$D$5:$D$204,$AQ942)&lt;&gt;"",UPPER(TRIM(INDEX(C_Pavement!$D$5:$D$204,$AQ942))),IF($AS942="","",INDEX(E_Rules!$C$5:$C$9,$AS942))))</f>
        <v/>
      </c>
      <c r="AU942" t="str">
        <f>IF($AQ942="","",IF(INDEX(C_Pavement!$E$5:$E$204,$AQ942)&lt;&gt;"",IF(INDEX(C_Pavement!$E$5:$E$204,$AQ942)="-","",INDEX(C_Pavement!$E$5:$E$204,$AQ942)),IF($AS942="","",INDEX(E_Rules!$D$5:$D$9,$AS942))))</f>
        <v/>
      </c>
      <c r="AV942" t="str">
        <f>IF($AQ942="","",IF(INDEX(C_Pavement!$F$5:$F$204,$AQ942)&lt;&gt;"",IF(INDEX(C_Pavement!$F$5:$F$204,$AQ942)="-","",INDEX(C_Pavement!$F$5:$F$204,$AQ942)),IF($AS942="","",INDEX(E_Rules!$E$5:$E$9,$AS942))))</f>
        <v/>
      </c>
      <c r="AW942" t="str">
        <f>IF($AQ942="","",IF(INDEX(C_Pavement!$G$5:$G$204,$AQ942)&lt;&gt;"",IF(INDEX(C_Pavement!$G$5:$G$204,$AQ942)="-","",INDEX(C_Pavement!$G$5:$G$204,$AQ942)),IF($AS942="","",INDEX(E_Rules!$F$5:$F$9,$AS942))))</f>
        <v/>
      </c>
      <c r="AX942" t="str">
        <f>IF($AQ942="","",IF(INDEX(C_Pavement!$H$5:$H$204,$AQ942)&lt;&gt;"",IF(INDEX(C_Pavement!$H$5:$H$204,$AQ942)="-","",INDEX(C_Pavement!$H$5:$H$204,$AQ942)),IF($AS942="","",INDEX(E_Rules!$G$5:$G$9,$AS942))))</f>
        <v/>
      </c>
      <c r="AY942" t="str">
        <f>IF($AQ942="","",IF(INDEX(C_Pavement!$I$5:$I$204,$AQ942)&lt;&gt;"",IF(INDEX(C_Pavement!$I$5:$I$204,$AQ942)="-","",INDEX(C_Pavement!$I$5:$I$204,$AQ942)),IF($AS942="","",INDEX(E_Rules!$H$5:$H$9,$AS942))))</f>
        <v/>
      </c>
    </row>
    <row r="943" spans="1:51" ht="15.75" customHeight="1" x14ac:dyDescent="0.3">
      <c r="A943" s="189">
        <v>938</v>
      </c>
      <c r="B943" s="180">
        <v>46850</v>
      </c>
      <c r="C943" s="180" t="s">
        <v>1249</v>
      </c>
      <c r="D943" s="181" t="str">
        <f>IFERROR(LOOKUP(2,1/((A_Corridor!$A$5:$A$204&lt;&gt;"")*(A_Corridor!$A$5:$A$204&lt;=$B943)*(A_Corridor!$B$5:$B$204&gt;$B943)*(A_Corridor!$C$5:$C$204&lt;&gt;"")),IF(UPPER(A_Corridor!$C$5:$C$204)="Y",1,"")),"")</f>
        <v/>
      </c>
      <c r="E943" s="181" t="str">
        <f>IFERROR(LOOKUP(2,1/((A_Corridor!$A$5:$A$204&lt;&gt;"")*(A_Corridor!$A$5:$A$204&lt;=$B943)*(A_Corridor!$B$5:$B$204&gt;$B943)*(A_Corridor!$D$5:$D$204&lt;&gt;"")),IF(A_Corridor!$D$5:$D$204="-","",UPPER(A_Corridor!$D$5:$D$204))),"")</f>
        <v/>
      </c>
      <c r="F943" s="181" t="str">
        <f>IFERROR(LOOKUP(2,1/((A_Corridor!$A$5:$A$204&lt;&gt;"")*(A_Corridor!$A$5:$A$204&lt;=$B943)*(A_Corridor!$B$5:$B$204&gt;$B943)*(A_Corridor!$E$5:$E$204&lt;&gt;"")),IF(A_Corridor!$E$5:$E$204="-","",1)),"")</f>
        <v/>
      </c>
      <c r="G943" s="182" t="str">
        <f>IFERROR(LOOKUP(2,1/((A_Corridor!$A$5:$A$204&lt;&gt;"")*(A_Corridor!$A$5:$A$204&lt;=$B943)*(A_Corridor!$B$5:$B$204&gt;$B943)*(A_Corridor!$E$5:$E$204&lt;&gt;"")),IF(A_Corridor!$E$5:$E$204="-","",A_Corridor!$E$5:$E$204)),"")</f>
        <v/>
      </c>
      <c r="H943" s="182" t="str">
        <f>IFERROR(LOOKUP(2,1/((D_Points!$A$5:$A$204&lt;&gt;"")*(D_Points!$A$5:$A$204&gt;=$B943)*(D_Points!$A$5:$A$204&lt;$B943+P_Interval)*(UPPER(TRIM(D_Points!$B$5:$B$204))="GULLY")*(D_Points!$H$5:$H$204&lt;&gt;"")),D_Points!$H$5:$H$204),"")</f>
        <v/>
      </c>
      <c r="I943" s="181" t="str">
        <f>IFERROR(LOOKUP(2,1/((A_Corridor!$A$5:$A$204&lt;&gt;"")*(A_Corridor!$A$5:$A$204&lt;=$B943)*(A_Corridor!$B$5:$B$204&gt;$B943)*(A_Corridor!$F$5:$F$204&lt;&gt;"")),IF(A_Corridor!$F$5:$F$204="-","",1)),"")</f>
        <v/>
      </c>
      <c r="J943" s="182" t="str">
        <f>IFERROR(LOOKUP(2,1/((A_Corridor!$A$5:$A$204&lt;&gt;"")*(A_Corridor!$A$5:$A$204&lt;=$B943)*(A_Corridor!$B$5:$B$204&gt;$B943)*(A_Corridor!$F$5:$F$204&lt;&gt;"")),IF(A_Corridor!$F$5:$F$204="-","",A_Corridor!$F$5:$F$204)),"")</f>
        <v/>
      </c>
      <c r="K943" s="182" t="str">
        <f>IFERROR(LOOKUP(2,1/((A_Corridor!$A$5:$A$204&lt;&gt;"")*(A_Corridor!$A$5:$A$204&lt;=$B943)*(A_Corridor!$B$5:$B$204&gt;$B943)*(A_Corridor!$G$5:$G$204&lt;&gt;"")),IF(A_Corridor!$G$5:$G$204="-","",A_Corridor!$G$5:$G$204)),"")</f>
        <v/>
      </c>
      <c r="L943" s="181" t="str">
        <f>IFERROR(LOOKUP(2,1/((A_Corridor!$A$5:$A$204&lt;&gt;"")*(A_Corridor!$A$5:$A$204&lt;=$B943)*(A_Corridor!$B$5:$B$204&gt;$B943)*(A_Corridor!$H$5:$H$204&lt;&gt;"")),IF(A_Corridor!$H$5:$H$204="-","",1)),"")</f>
        <v/>
      </c>
      <c r="M943" s="182" t="str">
        <f>IFERROR(LOOKUP(2,1/((A_Corridor!$A$5:$A$204&lt;&gt;"")*(A_Corridor!$A$5:$A$204&lt;=$B943)*(A_Corridor!$B$5:$B$204&gt;$B943)*(A_Corridor!$H$5:$H$204&lt;&gt;"")),IF(A_Corridor!$H$5:$H$204="-","",A_Corridor!$H$5:$H$204)),"")</f>
        <v/>
      </c>
      <c r="N943" s="182" t="str">
        <f>IFERROR(LOOKUP(2,1/((A_Corridor!$A$5:$A$204&lt;&gt;"")*(A_Corridor!$A$5:$A$204&lt;=$B943)*(A_Corridor!$B$5:$B$204&gt;$B943)*(A_Corridor!$I$5:$I$204&lt;&gt;"")),IF(A_Corridor!$I$5:$I$204="-","",A_Corridor!$I$5:$I$204)),"")</f>
        <v/>
      </c>
      <c r="O943" s="182" t="str">
        <f>IFERROR(LOOKUP(2,1/((D_Points!$A$5:$A$204&lt;&gt;"")*(D_Points!$A$5:$A$204&gt;=$B943)*(D_Points!$A$5:$A$204&lt;$B943+P_Interval)*(UPPER(TRIM(D_Points!$B$5:$B$204))="PITCHING")*(D_Points!$H$5:$H$204&lt;&gt;"")),D_Points!$H$5:$H$204),"")</f>
        <v/>
      </c>
      <c r="P943" s="181" t="str">
        <f>IFERROR(LOOKUP(2,1/((B_Drainage!$A$5:$A$204&lt;&gt;"")*(B_Drainage!$A$5:$A$204&lt;=$B943)*(B_Drainage!$B$5:$B$204&gt;$B943)*(B_Drainage!$C$5:$C$204&lt;&gt;"")),IF(B_Drainage!$C$5:$C$204="-","",UPPER(B_Drainage!$C$5:$C$204))),"")</f>
        <v/>
      </c>
      <c r="Q943" s="181" t="str">
        <f>IFERROR(LOOKUP(2,1/((B_Drainage!$A$5:$A$204&lt;&gt;"")*(B_Drainage!$A$5:$A$204&lt;=$B943)*(B_Drainage!$B$5:$B$204&gt;$B943)*(B_Drainage!$D$5:$D$204&lt;&gt;"")),IF(B_Drainage!$D$5:$D$204="-","",UPPER(B_Drainage!$D$5:$D$204))),"")</f>
        <v/>
      </c>
      <c r="R943" s="182" t="str">
        <f>IFERROR(LOOKUP(2,1/((D_Points!$A$5:$A$204&lt;&gt;"")*(D_Points!$A$5:$A$204&gt;=$B943)*(D_Points!$A$5:$A$204&lt;$B943+P_Interval)*(RIGHT(UPPER(TRIM(D_Points!$B$5:$B$204)),8)="_CULVERT")),IF(LEFT(UPPER(TRIM(D_Points!$B$5:$B$204)),2)="EX",1,IF(LEFT(UPPER(TRIM(D_Points!$B$5:$B$204)),2)="PR",2,3))),"")</f>
        <v/>
      </c>
      <c r="S943" s="182" t="str">
        <f>IFERROR(LOOKUP(2,1/((D_Points!$A$5:$A$204&lt;&gt;"")*(D_Points!$A$5:$A$204&gt;=$B943)*(D_Points!$A$5:$A$204&lt;$B943+P_Interval)*(RIGHT(UPPER(TRIM(D_Points!$B$5:$B$204)),7)="_BRIDGE")),IF(LEFT(UPPER(TRIM(D_Points!$B$5:$B$204)),2)="EX",1,IF(LEFT(UPPER(TRIM(D_Points!$B$5:$B$204)),2)="PR",2,2))),"")</f>
        <v/>
      </c>
      <c r="T943" s="181" t="str">
        <f>IFERROR(LOOKUP(2,1/((B_Drainage!$A$5:$A$204&lt;&gt;"")*(B_Drainage!$A$5:$A$204&lt;=$B943)*(B_Drainage!$B$5:$B$204&gt;$B943)*(B_Drainage!$E$5:$E$204&lt;&gt;"")),IF(B_Drainage!$E$5:$E$204="-","",1)),"")</f>
        <v/>
      </c>
      <c r="U943" s="181" t="str">
        <f>IFERROR(LOOKUP(2,1/((B_Drainage!$A$5:$A$204&lt;&gt;"")*(B_Drainage!$A$5:$A$204&lt;=$B943)*(B_Drainage!$B$5:$B$204&gt;$B943)*(B_Drainage!$E$5:$E$204&lt;&gt;"")),IF(B_Drainage!$E$5:$E$204="-","",B_Drainage!$E$5:$E$204)),"")</f>
        <v/>
      </c>
      <c r="V943" s="181" t="str">
        <f>IFERROR(LOOKUP(2,1/((B_Drainage!$A$5:$A$204&lt;&gt;"")*(B_Drainage!$A$5:$A$204&lt;=$B943)*(B_Drainage!$B$5:$B$204&gt;$B943)*(B_Drainage!$F$5:$F$204&lt;&gt;"")),IF(B_Drainage!$F$5:$F$204="-","",1)),"")</f>
        <v/>
      </c>
      <c r="W943" s="181" t="str">
        <f>IFERROR(LOOKUP(2,1/((B_Drainage!$A$5:$A$204&lt;&gt;"")*(B_Drainage!$A$5:$A$204&lt;=$B943)*(B_Drainage!$B$5:$B$204&gt;$B943)*(B_Drainage!$F$5:$F$204&lt;&gt;"")),IF(B_Drainage!$F$5:$F$204="-","",B_Drainage!$F$5:$F$204)),"")</f>
        <v/>
      </c>
      <c r="X943" s="181" t="str">
        <f>IFERROR(LOOKUP(2,1/((B_Drainage!$A$5:$A$204&lt;&gt;"")*(B_Drainage!$A$5:$A$204&lt;=$B943)*(B_Drainage!$B$5:$B$204&gt;$B943)*(B_Drainage!$G$5:$G$204&lt;&gt;"")),IF(UPPER(B_Drainage!$G$5:$G$204)="Y",1,"")),"")</f>
        <v/>
      </c>
      <c r="Y943" s="181" t="str">
        <f>IFERROR(LOOKUP(2,1/((B_Drainage!$A$5:$A$204&lt;&gt;"")*(B_Drainage!$A$5:$A$204&lt;=$B943)*(B_Drainage!$B$5:$B$204&gt;$B943)*(B_Drainage!$H$5:$H$204&lt;&gt;"")),IF(UPPER(B_Drainage!$H$5:$H$204)="Y",1,"")),"")</f>
        <v/>
      </c>
      <c r="Z943" s="181" t="str">
        <f>IFERROR(LOOKUP(2,1/((B_Drainage!$A$5:$A$204&lt;&gt;"")*(B_Drainage!$A$5:$A$204&lt;=$B943)*(B_Drainage!$B$5:$B$204&gt;$B943)*(B_Drainage!$I$5:$I$204&lt;&gt;"")),IF(UPPER(B_Drainage!$I$5:$I$204)="Y",1,"")),"")</f>
        <v/>
      </c>
      <c r="AA943" s="181" t="str">
        <f>IFERROR(LOOKUP(2,1/((B_Drainage!$A$5:$A$204&lt;&gt;"")*(B_Drainage!$A$5:$A$204&lt;=$B943)*(B_Drainage!$B$5:$B$204&gt;$B943)*(B_Drainage!$J$5:$J$204&lt;&gt;"")),IF(UPPER(B_Drainage!$J$5:$J$204)="Y",1,"")),"")</f>
        <v/>
      </c>
      <c r="AB943" s="182" t="str">
        <f>IFERROR(LOOKUP(2,1/((B_Drainage!$A$5:$A$204&lt;&gt;"")*(B_Drainage!$A$5:$A$204&lt;=$B943)*(B_Drainage!$B$5:$B$204&gt;$B943)*(B_Drainage!$K$5:$K$204&lt;&gt;"")),IF(B_Drainage!$K$5:$K$204="-","",B_Drainage!$K$5:$K$204)),"")</f>
        <v/>
      </c>
      <c r="AC943" s="182" t="str">
        <f>IFERROR(LOOKUP(2,1/((B_Drainage!$A$5:$A$204&lt;&gt;"")*(B_Drainage!$A$5:$A$204&lt;=$B943)*(B_Drainage!$B$5:$B$204&gt;$B943)*(B_Drainage!$L$5:$L$204&lt;&gt;"")),IF(B_Drainage!$L$5:$L$204="-","",B_Drainage!$L$5:$L$204)),"")</f>
        <v/>
      </c>
      <c r="AD943" s="182" t="str">
        <f>IFERROR(LOOKUP(2,1/((D_Points!$A$5:$A$204&lt;&gt;"")*(D_Points!$A$5:$A$204&gt;=$B943)*(D_Points!$A$5:$A$204&lt;$B943+P_Interval)*(UPPER(TRIM(D_Points!$B$5:$B$204))="TURNOUT_L")*(D_Points!$H$5:$H$204&lt;&gt;"")),D_Points!$H$5:$H$204),"")</f>
        <v/>
      </c>
      <c r="AE943" s="182" t="str">
        <f>IFERROR(LOOKUP(2,1/((D_Points!$A$5:$A$204&lt;&gt;"")*(D_Points!$A$5:$A$204&gt;=$B943)*(D_Points!$A$5:$A$204&lt;$B943+P_Interval)*(UPPER(TRIM(D_Points!$B$5:$B$204))="TURNOUT_R")*(D_Points!$H$5:$H$204&lt;&gt;"")),D_Points!$H$5:$H$204),"")</f>
        <v/>
      </c>
      <c r="AF943" s="181" t="str">
        <f>IFERROR(LOOKUP(2,1/((B_Drainage!$A$5:$A$204&lt;&gt;"")*(B_Drainage!$A$5:$A$204&lt;=$B943)*(B_Drainage!$B$5:$B$204&gt;$B943)*(B_Drainage!$M$5:$M$204&lt;&gt;"")),IF(UPPER(B_Drainage!$M$5:$M$204)="Y",1,"")),"")</f>
        <v/>
      </c>
      <c r="AG943" s="181" t="str">
        <f>IFERROR(LOOKUP(2,1/((B_Drainage!$A$5:$A$204&lt;&gt;"")*(B_Drainage!$A$5:$A$204&lt;=$B943)*(B_Drainage!$B$5:$B$204&gt;$B943)*(B_Drainage!$N$5:$N$204&lt;&gt;"")),IF(UPPER(B_Drainage!$N$5:$N$204)="Y",1,"")),"")</f>
        <v/>
      </c>
      <c r="AH943" s="181" t="str">
        <f t="shared" si="112"/>
        <v/>
      </c>
      <c r="AI943" s="181" t="str">
        <f t="shared" si="113"/>
        <v/>
      </c>
      <c r="AJ943" s="181" t="str">
        <f t="shared" si="114"/>
        <v/>
      </c>
      <c r="AK943" s="181" t="str">
        <f t="shared" si="115"/>
        <v/>
      </c>
      <c r="AL943" s="181" t="str">
        <f t="shared" si="116"/>
        <v/>
      </c>
      <c r="AM943" s="181" t="str">
        <f t="shared" si="117"/>
        <v/>
      </c>
      <c r="AN943" s="181" t="str">
        <f t="shared" si="118"/>
        <v/>
      </c>
      <c r="AO943" s="192" t="str">
        <f t="shared" si="119"/>
        <v/>
      </c>
      <c r="AQ943" t="str">
        <f>IFERROR(LOOKUP(2,1/((C_Pavement!$A$5:$A$204&lt;&gt;"")*(C_Pavement!$A$5:$A$204&lt;=$B943)*(C_Pavement!$B$5:$B$204&gt;$B943)*(C_Pavement!$C$5:$C$204&lt;&gt;"")),ROW(C_Pavement!$C$5:$C$204)-4),"")</f>
        <v/>
      </c>
      <c r="AR943" t="str">
        <f>IF($AQ943="","",UPPER(TRIM(INDEX(C_Pavement!$C$5:$C$204,$AQ943))))</f>
        <v/>
      </c>
      <c r="AS943" t="str">
        <f>IF($AR943="","",IFERROR(MATCH($AR943,E_Rules!$A$5:$A$9,0),""))</f>
        <v/>
      </c>
      <c r="AT943" t="str">
        <f>IF($AQ943="","",IF(INDEX(C_Pavement!$D$5:$D$204,$AQ943)&lt;&gt;"",UPPER(TRIM(INDEX(C_Pavement!$D$5:$D$204,$AQ943))),IF($AS943="","",INDEX(E_Rules!$C$5:$C$9,$AS943))))</f>
        <v/>
      </c>
      <c r="AU943" t="str">
        <f>IF($AQ943="","",IF(INDEX(C_Pavement!$E$5:$E$204,$AQ943)&lt;&gt;"",IF(INDEX(C_Pavement!$E$5:$E$204,$AQ943)="-","",INDEX(C_Pavement!$E$5:$E$204,$AQ943)),IF($AS943="","",INDEX(E_Rules!$D$5:$D$9,$AS943))))</f>
        <v/>
      </c>
      <c r="AV943" t="str">
        <f>IF($AQ943="","",IF(INDEX(C_Pavement!$F$5:$F$204,$AQ943)&lt;&gt;"",IF(INDEX(C_Pavement!$F$5:$F$204,$AQ943)="-","",INDEX(C_Pavement!$F$5:$F$204,$AQ943)),IF($AS943="","",INDEX(E_Rules!$E$5:$E$9,$AS943))))</f>
        <v/>
      </c>
      <c r="AW943" t="str">
        <f>IF($AQ943="","",IF(INDEX(C_Pavement!$G$5:$G$204,$AQ943)&lt;&gt;"",IF(INDEX(C_Pavement!$G$5:$G$204,$AQ943)="-","",INDEX(C_Pavement!$G$5:$G$204,$AQ943)),IF($AS943="","",INDEX(E_Rules!$F$5:$F$9,$AS943))))</f>
        <v/>
      </c>
      <c r="AX943" t="str">
        <f>IF($AQ943="","",IF(INDEX(C_Pavement!$H$5:$H$204,$AQ943)&lt;&gt;"",IF(INDEX(C_Pavement!$H$5:$H$204,$AQ943)="-","",INDEX(C_Pavement!$H$5:$H$204,$AQ943)),IF($AS943="","",INDEX(E_Rules!$G$5:$G$9,$AS943))))</f>
        <v/>
      </c>
      <c r="AY943" t="str">
        <f>IF($AQ943="","",IF(INDEX(C_Pavement!$I$5:$I$204,$AQ943)&lt;&gt;"",IF(INDEX(C_Pavement!$I$5:$I$204,$AQ943)="-","",INDEX(C_Pavement!$I$5:$I$204,$AQ943)),IF($AS943="","",INDEX(E_Rules!$H$5:$H$9,$AS943))))</f>
        <v/>
      </c>
    </row>
    <row r="944" spans="1:51" ht="15.75" customHeight="1" x14ac:dyDescent="0.3">
      <c r="A944" s="189">
        <v>939</v>
      </c>
      <c r="B944" s="180">
        <v>46900</v>
      </c>
      <c r="C944" s="180" t="s">
        <v>1250</v>
      </c>
      <c r="D944" s="181" t="str">
        <f>IFERROR(LOOKUP(2,1/((A_Corridor!$A$5:$A$204&lt;&gt;"")*(A_Corridor!$A$5:$A$204&lt;=$B944)*(A_Corridor!$B$5:$B$204&gt;$B944)*(A_Corridor!$C$5:$C$204&lt;&gt;"")),IF(UPPER(A_Corridor!$C$5:$C$204)="Y",1,"")),"")</f>
        <v/>
      </c>
      <c r="E944" s="181" t="str">
        <f>IFERROR(LOOKUP(2,1/((A_Corridor!$A$5:$A$204&lt;&gt;"")*(A_Corridor!$A$5:$A$204&lt;=$B944)*(A_Corridor!$B$5:$B$204&gt;$B944)*(A_Corridor!$D$5:$D$204&lt;&gt;"")),IF(A_Corridor!$D$5:$D$204="-","",UPPER(A_Corridor!$D$5:$D$204))),"")</f>
        <v/>
      </c>
      <c r="F944" s="181" t="str">
        <f>IFERROR(LOOKUP(2,1/((A_Corridor!$A$5:$A$204&lt;&gt;"")*(A_Corridor!$A$5:$A$204&lt;=$B944)*(A_Corridor!$B$5:$B$204&gt;$B944)*(A_Corridor!$E$5:$E$204&lt;&gt;"")),IF(A_Corridor!$E$5:$E$204="-","",1)),"")</f>
        <v/>
      </c>
      <c r="G944" s="182" t="str">
        <f>IFERROR(LOOKUP(2,1/((A_Corridor!$A$5:$A$204&lt;&gt;"")*(A_Corridor!$A$5:$A$204&lt;=$B944)*(A_Corridor!$B$5:$B$204&gt;$B944)*(A_Corridor!$E$5:$E$204&lt;&gt;"")),IF(A_Corridor!$E$5:$E$204="-","",A_Corridor!$E$5:$E$204)),"")</f>
        <v/>
      </c>
      <c r="H944" s="182" t="str">
        <f>IFERROR(LOOKUP(2,1/((D_Points!$A$5:$A$204&lt;&gt;"")*(D_Points!$A$5:$A$204&gt;=$B944)*(D_Points!$A$5:$A$204&lt;$B944+P_Interval)*(UPPER(TRIM(D_Points!$B$5:$B$204))="GULLY")*(D_Points!$H$5:$H$204&lt;&gt;"")),D_Points!$H$5:$H$204),"")</f>
        <v/>
      </c>
      <c r="I944" s="181" t="str">
        <f>IFERROR(LOOKUP(2,1/((A_Corridor!$A$5:$A$204&lt;&gt;"")*(A_Corridor!$A$5:$A$204&lt;=$B944)*(A_Corridor!$B$5:$B$204&gt;$B944)*(A_Corridor!$F$5:$F$204&lt;&gt;"")),IF(A_Corridor!$F$5:$F$204="-","",1)),"")</f>
        <v/>
      </c>
      <c r="J944" s="182" t="str">
        <f>IFERROR(LOOKUP(2,1/((A_Corridor!$A$5:$A$204&lt;&gt;"")*(A_Corridor!$A$5:$A$204&lt;=$B944)*(A_Corridor!$B$5:$B$204&gt;$B944)*(A_Corridor!$F$5:$F$204&lt;&gt;"")),IF(A_Corridor!$F$5:$F$204="-","",A_Corridor!$F$5:$F$204)),"")</f>
        <v/>
      </c>
      <c r="K944" s="182" t="str">
        <f>IFERROR(LOOKUP(2,1/((A_Corridor!$A$5:$A$204&lt;&gt;"")*(A_Corridor!$A$5:$A$204&lt;=$B944)*(A_Corridor!$B$5:$B$204&gt;$B944)*(A_Corridor!$G$5:$G$204&lt;&gt;"")),IF(A_Corridor!$G$5:$G$204="-","",A_Corridor!$G$5:$G$204)),"")</f>
        <v/>
      </c>
      <c r="L944" s="181" t="str">
        <f>IFERROR(LOOKUP(2,1/((A_Corridor!$A$5:$A$204&lt;&gt;"")*(A_Corridor!$A$5:$A$204&lt;=$B944)*(A_Corridor!$B$5:$B$204&gt;$B944)*(A_Corridor!$H$5:$H$204&lt;&gt;"")),IF(A_Corridor!$H$5:$H$204="-","",1)),"")</f>
        <v/>
      </c>
      <c r="M944" s="182" t="str">
        <f>IFERROR(LOOKUP(2,1/((A_Corridor!$A$5:$A$204&lt;&gt;"")*(A_Corridor!$A$5:$A$204&lt;=$B944)*(A_Corridor!$B$5:$B$204&gt;$B944)*(A_Corridor!$H$5:$H$204&lt;&gt;"")),IF(A_Corridor!$H$5:$H$204="-","",A_Corridor!$H$5:$H$204)),"")</f>
        <v/>
      </c>
      <c r="N944" s="182" t="str">
        <f>IFERROR(LOOKUP(2,1/((A_Corridor!$A$5:$A$204&lt;&gt;"")*(A_Corridor!$A$5:$A$204&lt;=$B944)*(A_Corridor!$B$5:$B$204&gt;$B944)*(A_Corridor!$I$5:$I$204&lt;&gt;"")),IF(A_Corridor!$I$5:$I$204="-","",A_Corridor!$I$5:$I$204)),"")</f>
        <v/>
      </c>
      <c r="O944" s="182" t="str">
        <f>IFERROR(LOOKUP(2,1/((D_Points!$A$5:$A$204&lt;&gt;"")*(D_Points!$A$5:$A$204&gt;=$B944)*(D_Points!$A$5:$A$204&lt;$B944+P_Interval)*(UPPER(TRIM(D_Points!$B$5:$B$204))="PITCHING")*(D_Points!$H$5:$H$204&lt;&gt;"")),D_Points!$H$5:$H$204),"")</f>
        <v/>
      </c>
      <c r="P944" s="181" t="str">
        <f>IFERROR(LOOKUP(2,1/((B_Drainage!$A$5:$A$204&lt;&gt;"")*(B_Drainage!$A$5:$A$204&lt;=$B944)*(B_Drainage!$B$5:$B$204&gt;$B944)*(B_Drainage!$C$5:$C$204&lt;&gt;"")),IF(B_Drainage!$C$5:$C$204="-","",UPPER(B_Drainage!$C$5:$C$204))),"")</f>
        <v/>
      </c>
      <c r="Q944" s="181" t="str">
        <f>IFERROR(LOOKUP(2,1/((B_Drainage!$A$5:$A$204&lt;&gt;"")*(B_Drainage!$A$5:$A$204&lt;=$B944)*(B_Drainage!$B$5:$B$204&gt;$B944)*(B_Drainage!$D$5:$D$204&lt;&gt;"")),IF(B_Drainage!$D$5:$D$204="-","",UPPER(B_Drainage!$D$5:$D$204))),"")</f>
        <v/>
      </c>
      <c r="R944" s="182" t="str">
        <f>IFERROR(LOOKUP(2,1/((D_Points!$A$5:$A$204&lt;&gt;"")*(D_Points!$A$5:$A$204&gt;=$B944)*(D_Points!$A$5:$A$204&lt;$B944+P_Interval)*(RIGHT(UPPER(TRIM(D_Points!$B$5:$B$204)),8)="_CULVERT")),IF(LEFT(UPPER(TRIM(D_Points!$B$5:$B$204)),2)="EX",1,IF(LEFT(UPPER(TRIM(D_Points!$B$5:$B$204)),2)="PR",2,3))),"")</f>
        <v/>
      </c>
      <c r="S944" s="182" t="str">
        <f>IFERROR(LOOKUP(2,1/((D_Points!$A$5:$A$204&lt;&gt;"")*(D_Points!$A$5:$A$204&gt;=$B944)*(D_Points!$A$5:$A$204&lt;$B944+P_Interval)*(RIGHT(UPPER(TRIM(D_Points!$B$5:$B$204)),7)="_BRIDGE")),IF(LEFT(UPPER(TRIM(D_Points!$B$5:$B$204)),2)="EX",1,IF(LEFT(UPPER(TRIM(D_Points!$B$5:$B$204)),2)="PR",2,2))),"")</f>
        <v/>
      </c>
      <c r="T944" s="181" t="str">
        <f>IFERROR(LOOKUP(2,1/((B_Drainage!$A$5:$A$204&lt;&gt;"")*(B_Drainage!$A$5:$A$204&lt;=$B944)*(B_Drainage!$B$5:$B$204&gt;$B944)*(B_Drainage!$E$5:$E$204&lt;&gt;"")),IF(B_Drainage!$E$5:$E$204="-","",1)),"")</f>
        <v/>
      </c>
      <c r="U944" s="181" t="str">
        <f>IFERROR(LOOKUP(2,1/((B_Drainage!$A$5:$A$204&lt;&gt;"")*(B_Drainage!$A$5:$A$204&lt;=$B944)*(B_Drainage!$B$5:$B$204&gt;$B944)*(B_Drainage!$E$5:$E$204&lt;&gt;"")),IF(B_Drainage!$E$5:$E$204="-","",B_Drainage!$E$5:$E$204)),"")</f>
        <v/>
      </c>
      <c r="V944" s="181" t="str">
        <f>IFERROR(LOOKUP(2,1/((B_Drainage!$A$5:$A$204&lt;&gt;"")*(B_Drainage!$A$5:$A$204&lt;=$B944)*(B_Drainage!$B$5:$B$204&gt;$B944)*(B_Drainage!$F$5:$F$204&lt;&gt;"")),IF(B_Drainage!$F$5:$F$204="-","",1)),"")</f>
        <v/>
      </c>
      <c r="W944" s="181" t="str">
        <f>IFERROR(LOOKUP(2,1/((B_Drainage!$A$5:$A$204&lt;&gt;"")*(B_Drainage!$A$5:$A$204&lt;=$B944)*(B_Drainage!$B$5:$B$204&gt;$B944)*(B_Drainage!$F$5:$F$204&lt;&gt;"")),IF(B_Drainage!$F$5:$F$204="-","",B_Drainage!$F$5:$F$204)),"")</f>
        <v/>
      </c>
      <c r="X944" s="181" t="str">
        <f>IFERROR(LOOKUP(2,1/((B_Drainage!$A$5:$A$204&lt;&gt;"")*(B_Drainage!$A$5:$A$204&lt;=$B944)*(B_Drainage!$B$5:$B$204&gt;$B944)*(B_Drainage!$G$5:$G$204&lt;&gt;"")),IF(UPPER(B_Drainage!$G$5:$G$204)="Y",1,"")),"")</f>
        <v/>
      </c>
      <c r="Y944" s="181" t="str">
        <f>IFERROR(LOOKUP(2,1/((B_Drainage!$A$5:$A$204&lt;&gt;"")*(B_Drainage!$A$5:$A$204&lt;=$B944)*(B_Drainage!$B$5:$B$204&gt;$B944)*(B_Drainage!$H$5:$H$204&lt;&gt;"")),IF(UPPER(B_Drainage!$H$5:$H$204)="Y",1,"")),"")</f>
        <v/>
      </c>
      <c r="Z944" s="181" t="str">
        <f>IFERROR(LOOKUP(2,1/((B_Drainage!$A$5:$A$204&lt;&gt;"")*(B_Drainage!$A$5:$A$204&lt;=$B944)*(B_Drainage!$B$5:$B$204&gt;$B944)*(B_Drainage!$I$5:$I$204&lt;&gt;"")),IF(UPPER(B_Drainage!$I$5:$I$204)="Y",1,"")),"")</f>
        <v/>
      </c>
      <c r="AA944" s="181" t="str">
        <f>IFERROR(LOOKUP(2,1/((B_Drainage!$A$5:$A$204&lt;&gt;"")*(B_Drainage!$A$5:$A$204&lt;=$B944)*(B_Drainage!$B$5:$B$204&gt;$B944)*(B_Drainage!$J$5:$J$204&lt;&gt;"")),IF(UPPER(B_Drainage!$J$5:$J$204)="Y",1,"")),"")</f>
        <v/>
      </c>
      <c r="AB944" s="182" t="str">
        <f>IFERROR(LOOKUP(2,1/((B_Drainage!$A$5:$A$204&lt;&gt;"")*(B_Drainage!$A$5:$A$204&lt;=$B944)*(B_Drainage!$B$5:$B$204&gt;$B944)*(B_Drainage!$K$5:$K$204&lt;&gt;"")),IF(B_Drainage!$K$5:$K$204="-","",B_Drainage!$K$5:$K$204)),"")</f>
        <v/>
      </c>
      <c r="AC944" s="182" t="str">
        <f>IFERROR(LOOKUP(2,1/((B_Drainage!$A$5:$A$204&lt;&gt;"")*(B_Drainage!$A$5:$A$204&lt;=$B944)*(B_Drainage!$B$5:$B$204&gt;$B944)*(B_Drainage!$L$5:$L$204&lt;&gt;"")),IF(B_Drainage!$L$5:$L$204="-","",B_Drainage!$L$5:$L$204)),"")</f>
        <v/>
      </c>
      <c r="AD944" s="182" t="str">
        <f>IFERROR(LOOKUP(2,1/((D_Points!$A$5:$A$204&lt;&gt;"")*(D_Points!$A$5:$A$204&gt;=$B944)*(D_Points!$A$5:$A$204&lt;$B944+P_Interval)*(UPPER(TRIM(D_Points!$B$5:$B$204))="TURNOUT_L")*(D_Points!$H$5:$H$204&lt;&gt;"")),D_Points!$H$5:$H$204),"")</f>
        <v/>
      </c>
      <c r="AE944" s="182" t="str">
        <f>IFERROR(LOOKUP(2,1/((D_Points!$A$5:$A$204&lt;&gt;"")*(D_Points!$A$5:$A$204&gt;=$B944)*(D_Points!$A$5:$A$204&lt;$B944+P_Interval)*(UPPER(TRIM(D_Points!$B$5:$B$204))="TURNOUT_R")*(D_Points!$H$5:$H$204&lt;&gt;"")),D_Points!$H$5:$H$204),"")</f>
        <v/>
      </c>
      <c r="AF944" s="181" t="str">
        <f>IFERROR(LOOKUP(2,1/((B_Drainage!$A$5:$A$204&lt;&gt;"")*(B_Drainage!$A$5:$A$204&lt;=$B944)*(B_Drainage!$B$5:$B$204&gt;$B944)*(B_Drainage!$M$5:$M$204&lt;&gt;"")),IF(UPPER(B_Drainage!$M$5:$M$204)="Y",1,"")),"")</f>
        <v/>
      </c>
      <c r="AG944" s="181" t="str">
        <f>IFERROR(LOOKUP(2,1/((B_Drainage!$A$5:$A$204&lt;&gt;"")*(B_Drainage!$A$5:$A$204&lt;=$B944)*(B_Drainage!$B$5:$B$204&gt;$B944)*(B_Drainage!$N$5:$N$204&lt;&gt;"")),IF(UPPER(B_Drainage!$N$5:$N$204)="Y",1,"")),"")</f>
        <v/>
      </c>
      <c r="AH944" s="181" t="str">
        <f t="shared" si="112"/>
        <v/>
      </c>
      <c r="AI944" s="181" t="str">
        <f t="shared" si="113"/>
        <v/>
      </c>
      <c r="AJ944" s="181" t="str">
        <f t="shared" si="114"/>
        <v/>
      </c>
      <c r="AK944" s="181" t="str">
        <f t="shared" si="115"/>
        <v/>
      </c>
      <c r="AL944" s="181" t="str">
        <f t="shared" si="116"/>
        <v/>
      </c>
      <c r="AM944" s="181" t="str">
        <f t="shared" si="117"/>
        <v/>
      </c>
      <c r="AN944" s="181" t="str">
        <f t="shared" si="118"/>
        <v/>
      </c>
      <c r="AO944" s="192" t="str">
        <f t="shared" si="119"/>
        <v/>
      </c>
      <c r="AQ944" t="str">
        <f>IFERROR(LOOKUP(2,1/((C_Pavement!$A$5:$A$204&lt;&gt;"")*(C_Pavement!$A$5:$A$204&lt;=$B944)*(C_Pavement!$B$5:$B$204&gt;$B944)*(C_Pavement!$C$5:$C$204&lt;&gt;"")),ROW(C_Pavement!$C$5:$C$204)-4),"")</f>
        <v/>
      </c>
      <c r="AR944" t="str">
        <f>IF($AQ944="","",UPPER(TRIM(INDEX(C_Pavement!$C$5:$C$204,$AQ944))))</f>
        <v/>
      </c>
      <c r="AS944" t="str">
        <f>IF($AR944="","",IFERROR(MATCH($AR944,E_Rules!$A$5:$A$9,0),""))</f>
        <v/>
      </c>
      <c r="AT944" t="str">
        <f>IF($AQ944="","",IF(INDEX(C_Pavement!$D$5:$D$204,$AQ944)&lt;&gt;"",UPPER(TRIM(INDEX(C_Pavement!$D$5:$D$204,$AQ944))),IF($AS944="","",INDEX(E_Rules!$C$5:$C$9,$AS944))))</f>
        <v/>
      </c>
      <c r="AU944" t="str">
        <f>IF($AQ944="","",IF(INDEX(C_Pavement!$E$5:$E$204,$AQ944)&lt;&gt;"",IF(INDEX(C_Pavement!$E$5:$E$204,$AQ944)="-","",INDEX(C_Pavement!$E$5:$E$204,$AQ944)),IF($AS944="","",INDEX(E_Rules!$D$5:$D$9,$AS944))))</f>
        <v/>
      </c>
      <c r="AV944" t="str">
        <f>IF($AQ944="","",IF(INDEX(C_Pavement!$F$5:$F$204,$AQ944)&lt;&gt;"",IF(INDEX(C_Pavement!$F$5:$F$204,$AQ944)="-","",INDEX(C_Pavement!$F$5:$F$204,$AQ944)),IF($AS944="","",INDEX(E_Rules!$E$5:$E$9,$AS944))))</f>
        <v/>
      </c>
      <c r="AW944" t="str">
        <f>IF($AQ944="","",IF(INDEX(C_Pavement!$G$5:$G$204,$AQ944)&lt;&gt;"",IF(INDEX(C_Pavement!$G$5:$G$204,$AQ944)="-","",INDEX(C_Pavement!$G$5:$G$204,$AQ944)),IF($AS944="","",INDEX(E_Rules!$F$5:$F$9,$AS944))))</f>
        <v/>
      </c>
      <c r="AX944" t="str">
        <f>IF($AQ944="","",IF(INDEX(C_Pavement!$H$5:$H$204,$AQ944)&lt;&gt;"",IF(INDEX(C_Pavement!$H$5:$H$204,$AQ944)="-","",INDEX(C_Pavement!$H$5:$H$204,$AQ944)),IF($AS944="","",INDEX(E_Rules!$G$5:$G$9,$AS944))))</f>
        <v/>
      </c>
      <c r="AY944" t="str">
        <f>IF($AQ944="","",IF(INDEX(C_Pavement!$I$5:$I$204,$AQ944)&lt;&gt;"",IF(INDEX(C_Pavement!$I$5:$I$204,$AQ944)="-","",INDEX(C_Pavement!$I$5:$I$204,$AQ944)),IF($AS944="","",INDEX(E_Rules!$H$5:$H$9,$AS944))))</f>
        <v/>
      </c>
    </row>
    <row r="945" spans="1:51" ht="15.75" customHeight="1" x14ac:dyDescent="0.3">
      <c r="A945" s="189">
        <v>940</v>
      </c>
      <c r="B945" s="180">
        <v>46950</v>
      </c>
      <c r="C945" s="180" t="s">
        <v>1251</v>
      </c>
      <c r="D945" s="181" t="str">
        <f>IFERROR(LOOKUP(2,1/((A_Corridor!$A$5:$A$204&lt;&gt;"")*(A_Corridor!$A$5:$A$204&lt;=$B945)*(A_Corridor!$B$5:$B$204&gt;$B945)*(A_Corridor!$C$5:$C$204&lt;&gt;"")),IF(UPPER(A_Corridor!$C$5:$C$204)="Y",1,"")),"")</f>
        <v/>
      </c>
      <c r="E945" s="181" t="str">
        <f>IFERROR(LOOKUP(2,1/((A_Corridor!$A$5:$A$204&lt;&gt;"")*(A_Corridor!$A$5:$A$204&lt;=$B945)*(A_Corridor!$B$5:$B$204&gt;$B945)*(A_Corridor!$D$5:$D$204&lt;&gt;"")),IF(A_Corridor!$D$5:$D$204="-","",UPPER(A_Corridor!$D$5:$D$204))),"")</f>
        <v/>
      </c>
      <c r="F945" s="181" t="str">
        <f>IFERROR(LOOKUP(2,1/((A_Corridor!$A$5:$A$204&lt;&gt;"")*(A_Corridor!$A$5:$A$204&lt;=$B945)*(A_Corridor!$B$5:$B$204&gt;$B945)*(A_Corridor!$E$5:$E$204&lt;&gt;"")),IF(A_Corridor!$E$5:$E$204="-","",1)),"")</f>
        <v/>
      </c>
      <c r="G945" s="182" t="str">
        <f>IFERROR(LOOKUP(2,1/((A_Corridor!$A$5:$A$204&lt;&gt;"")*(A_Corridor!$A$5:$A$204&lt;=$B945)*(A_Corridor!$B$5:$B$204&gt;$B945)*(A_Corridor!$E$5:$E$204&lt;&gt;"")),IF(A_Corridor!$E$5:$E$204="-","",A_Corridor!$E$5:$E$204)),"")</f>
        <v/>
      </c>
      <c r="H945" s="182" t="str">
        <f>IFERROR(LOOKUP(2,1/((D_Points!$A$5:$A$204&lt;&gt;"")*(D_Points!$A$5:$A$204&gt;=$B945)*(D_Points!$A$5:$A$204&lt;$B945+P_Interval)*(UPPER(TRIM(D_Points!$B$5:$B$204))="GULLY")*(D_Points!$H$5:$H$204&lt;&gt;"")),D_Points!$H$5:$H$204),"")</f>
        <v/>
      </c>
      <c r="I945" s="181" t="str">
        <f>IFERROR(LOOKUP(2,1/((A_Corridor!$A$5:$A$204&lt;&gt;"")*(A_Corridor!$A$5:$A$204&lt;=$B945)*(A_Corridor!$B$5:$B$204&gt;$B945)*(A_Corridor!$F$5:$F$204&lt;&gt;"")),IF(A_Corridor!$F$5:$F$204="-","",1)),"")</f>
        <v/>
      </c>
      <c r="J945" s="182" t="str">
        <f>IFERROR(LOOKUP(2,1/((A_Corridor!$A$5:$A$204&lt;&gt;"")*(A_Corridor!$A$5:$A$204&lt;=$B945)*(A_Corridor!$B$5:$B$204&gt;$B945)*(A_Corridor!$F$5:$F$204&lt;&gt;"")),IF(A_Corridor!$F$5:$F$204="-","",A_Corridor!$F$5:$F$204)),"")</f>
        <v/>
      </c>
      <c r="K945" s="182" t="str">
        <f>IFERROR(LOOKUP(2,1/((A_Corridor!$A$5:$A$204&lt;&gt;"")*(A_Corridor!$A$5:$A$204&lt;=$B945)*(A_Corridor!$B$5:$B$204&gt;$B945)*(A_Corridor!$G$5:$G$204&lt;&gt;"")),IF(A_Corridor!$G$5:$G$204="-","",A_Corridor!$G$5:$G$204)),"")</f>
        <v/>
      </c>
      <c r="L945" s="181" t="str">
        <f>IFERROR(LOOKUP(2,1/((A_Corridor!$A$5:$A$204&lt;&gt;"")*(A_Corridor!$A$5:$A$204&lt;=$B945)*(A_Corridor!$B$5:$B$204&gt;$B945)*(A_Corridor!$H$5:$H$204&lt;&gt;"")),IF(A_Corridor!$H$5:$H$204="-","",1)),"")</f>
        <v/>
      </c>
      <c r="M945" s="182" t="str">
        <f>IFERROR(LOOKUP(2,1/((A_Corridor!$A$5:$A$204&lt;&gt;"")*(A_Corridor!$A$5:$A$204&lt;=$B945)*(A_Corridor!$B$5:$B$204&gt;$B945)*(A_Corridor!$H$5:$H$204&lt;&gt;"")),IF(A_Corridor!$H$5:$H$204="-","",A_Corridor!$H$5:$H$204)),"")</f>
        <v/>
      </c>
      <c r="N945" s="182" t="str">
        <f>IFERROR(LOOKUP(2,1/((A_Corridor!$A$5:$A$204&lt;&gt;"")*(A_Corridor!$A$5:$A$204&lt;=$B945)*(A_Corridor!$B$5:$B$204&gt;$B945)*(A_Corridor!$I$5:$I$204&lt;&gt;"")),IF(A_Corridor!$I$5:$I$204="-","",A_Corridor!$I$5:$I$204)),"")</f>
        <v/>
      </c>
      <c r="O945" s="182" t="str">
        <f>IFERROR(LOOKUP(2,1/((D_Points!$A$5:$A$204&lt;&gt;"")*(D_Points!$A$5:$A$204&gt;=$B945)*(D_Points!$A$5:$A$204&lt;$B945+P_Interval)*(UPPER(TRIM(D_Points!$B$5:$B$204))="PITCHING")*(D_Points!$H$5:$H$204&lt;&gt;"")),D_Points!$H$5:$H$204),"")</f>
        <v/>
      </c>
      <c r="P945" s="181" t="str">
        <f>IFERROR(LOOKUP(2,1/((B_Drainage!$A$5:$A$204&lt;&gt;"")*(B_Drainage!$A$5:$A$204&lt;=$B945)*(B_Drainage!$B$5:$B$204&gt;$B945)*(B_Drainage!$C$5:$C$204&lt;&gt;"")),IF(B_Drainage!$C$5:$C$204="-","",UPPER(B_Drainage!$C$5:$C$204))),"")</f>
        <v/>
      </c>
      <c r="Q945" s="181" t="str">
        <f>IFERROR(LOOKUP(2,1/((B_Drainage!$A$5:$A$204&lt;&gt;"")*(B_Drainage!$A$5:$A$204&lt;=$B945)*(B_Drainage!$B$5:$B$204&gt;$B945)*(B_Drainage!$D$5:$D$204&lt;&gt;"")),IF(B_Drainage!$D$5:$D$204="-","",UPPER(B_Drainage!$D$5:$D$204))),"")</f>
        <v/>
      </c>
      <c r="R945" s="182" t="str">
        <f>IFERROR(LOOKUP(2,1/((D_Points!$A$5:$A$204&lt;&gt;"")*(D_Points!$A$5:$A$204&gt;=$B945)*(D_Points!$A$5:$A$204&lt;$B945+P_Interval)*(RIGHT(UPPER(TRIM(D_Points!$B$5:$B$204)),8)="_CULVERT")),IF(LEFT(UPPER(TRIM(D_Points!$B$5:$B$204)),2)="EX",1,IF(LEFT(UPPER(TRIM(D_Points!$B$5:$B$204)),2)="PR",2,3))),"")</f>
        <v/>
      </c>
      <c r="S945" s="182" t="str">
        <f>IFERROR(LOOKUP(2,1/((D_Points!$A$5:$A$204&lt;&gt;"")*(D_Points!$A$5:$A$204&gt;=$B945)*(D_Points!$A$5:$A$204&lt;$B945+P_Interval)*(RIGHT(UPPER(TRIM(D_Points!$B$5:$B$204)),7)="_BRIDGE")),IF(LEFT(UPPER(TRIM(D_Points!$B$5:$B$204)),2)="EX",1,IF(LEFT(UPPER(TRIM(D_Points!$B$5:$B$204)),2)="PR",2,2))),"")</f>
        <v/>
      </c>
      <c r="T945" s="181" t="str">
        <f>IFERROR(LOOKUP(2,1/((B_Drainage!$A$5:$A$204&lt;&gt;"")*(B_Drainage!$A$5:$A$204&lt;=$B945)*(B_Drainage!$B$5:$B$204&gt;$B945)*(B_Drainage!$E$5:$E$204&lt;&gt;"")),IF(B_Drainage!$E$5:$E$204="-","",1)),"")</f>
        <v/>
      </c>
      <c r="U945" s="181" t="str">
        <f>IFERROR(LOOKUP(2,1/((B_Drainage!$A$5:$A$204&lt;&gt;"")*(B_Drainage!$A$5:$A$204&lt;=$B945)*(B_Drainage!$B$5:$B$204&gt;$B945)*(B_Drainage!$E$5:$E$204&lt;&gt;"")),IF(B_Drainage!$E$5:$E$204="-","",B_Drainage!$E$5:$E$204)),"")</f>
        <v/>
      </c>
      <c r="V945" s="181" t="str">
        <f>IFERROR(LOOKUP(2,1/((B_Drainage!$A$5:$A$204&lt;&gt;"")*(B_Drainage!$A$5:$A$204&lt;=$B945)*(B_Drainage!$B$5:$B$204&gt;$B945)*(B_Drainage!$F$5:$F$204&lt;&gt;"")),IF(B_Drainage!$F$5:$F$204="-","",1)),"")</f>
        <v/>
      </c>
      <c r="W945" s="181" t="str">
        <f>IFERROR(LOOKUP(2,1/((B_Drainage!$A$5:$A$204&lt;&gt;"")*(B_Drainage!$A$5:$A$204&lt;=$B945)*(B_Drainage!$B$5:$B$204&gt;$B945)*(B_Drainage!$F$5:$F$204&lt;&gt;"")),IF(B_Drainage!$F$5:$F$204="-","",B_Drainage!$F$5:$F$204)),"")</f>
        <v/>
      </c>
      <c r="X945" s="181" t="str">
        <f>IFERROR(LOOKUP(2,1/((B_Drainage!$A$5:$A$204&lt;&gt;"")*(B_Drainage!$A$5:$A$204&lt;=$B945)*(B_Drainage!$B$5:$B$204&gt;$B945)*(B_Drainage!$G$5:$G$204&lt;&gt;"")),IF(UPPER(B_Drainage!$G$5:$G$204)="Y",1,"")),"")</f>
        <v/>
      </c>
      <c r="Y945" s="181" t="str">
        <f>IFERROR(LOOKUP(2,1/((B_Drainage!$A$5:$A$204&lt;&gt;"")*(B_Drainage!$A$5:$A$204&lt;=$B945)*(B_Drainage!$B$5:$B$204&gt;$B945)*(B_Drainage!$H$5:$H$204&lt;&gt;"")),IF(UPPER(B_Drainage!$H$5:$H$204)="Y",1,"")),"")</f>
        <v/>
      </c>
      <c r="Z945" s="181" t="str">
        <f>IFERROR(LOOKUP(2,1/((B_Drainage!$A$5:$A$204&lt;&gt;"")*(B_Drainage!$A$5:$A$204&lt;=$B945)*(B_Drainage!$B$5:$B$204&gt;$B945)*(B_Drainage!$I$5:$I$204&lt;&gt;"")),IF(UPPER(B_Drainage!$I$5:$I$204)="Y",1,"")),"")</f>
        <v/>
      </c>
      <c r="AA945" s="181" t="str">
        <f>IFERROR(LOOKUP(2,1/((B_Drainage!$A$5:$A$204&lt;&gt;"")*(B_Drainage!$A$5:$A$204&lt;=$B945)*(B_Drainage!$B$5:$B$204&gt;$B945)*(B_Drainage!$J$5:$J$204&lt;&gt;"")),IF(UPPER(B_Drainage!$J$5:$J$204)="Y",1,"")),"")</f>
        <v/>
      </c>
      <c r="AB945" s="182" t="str">
        <f>IFERROR(LOOKUP(2,1/((B_Drainage!$A$5:$A$204&lt;&gt;"")*(B_Drainage!$A$5:$A$204&lt;=$B945)*(B_Drainage!$B$5:$B$204&gt;$B945)*(B_Drainage!$K$5:$K$204&lt;&gt;"")),IF(B_Drainage!$K$5:$K$204="-","",B_Drainage!$K$5:$K$204)),"")</f>
        <v/>
      </c>
      <c r="AC945" s="182" t="str">
        <f>IFERROR(LOOKUP(2,1/((B_Drainage!$A$5:$A$204&lt;&gt;"")*(B_Drainage!$A$5:$A$204&lt;=$B945)*(B_Drainage!$B$5:$B$204&gt;$B945)*(B_Drainage!$L$5:$L$204&lt;&gt;"")),IF(B_Drainage!$L$5:$L$204="-","",B_Drainage!$L$5:$L$204)),"")</f>
        <v/>
      </c>
      <c r="AD945" s="182" t="str">
        <f>IFERROR(LOOKUP(2,1/((D_Points!$A$5:$A$204&lt;&gt;"")*(D_Points!$A$5:$A$204&gt;=$B945)*(D_Points!$A$5:$A$204&lt;$B945+P_Interval)*(UPPER(TRIM(D_Points!$B$5:$B$204))="TURNOUT_L")*(D_Points!$H$5:$H$204&lt;&gt;"")),D_Points!$H$5:$H$204),"")</f>
        <v/>
      </c>
      <c r="AE945" s="182" t="str">
        <f>IFERROR(LOOKUP(2,1/((D_Points!$A$5:$A$204&lt;&gt;"")*(D_Points!$A$5:$A$204&gt;=$B945)*(D_Points!$A$5:$A$204&lt;$B945+P_Interval)*(UPPER(TRIM(D_Points!$B$5:$B$204))="TURNOUT_R")*(D_Points!$H$5:$H$204&lt;&gt;"")),D_Points!$H$5:$H$204),"")</f>
        <v/>
      </c>
      <c r="AF945" s="181" t="str">
        <f>IFERROR(LOOKUP(2,1/((B_Drainage!$A$5:$A$204&lt;&gt;"")*(B_Drainage!$A$5:$A$204&lt;=$B945)*(B_Drainage!$B$5:$B$204&gt;$B945)*(B_Drainage!$M$5:$M$204&lt;&gt;"")),IF(UPPER(B_Drainage!$M$5:$M$204)="Y",1,"")),"")</f>
        <v/>
      </c>
      <c r="AG945" s="181" t="str">
        <f>IFERROR(LOOKUP(2,1/((B_Drainage!$A$5:$A$204&lt;&gt;"")*(B_Drainage!$A$5:$A$204&lt;=$B945)*(B_Drainage!$B$5:$B$204&gt;$B945)*(B_Drainage!$N$5:$N$204&lt;&gt;"")),IF(UPPER(B_Drainage!$N$5:$N$204)="Y",1,"")),"")</f>
        <v/>
      </c>
      <c r="AH945" s="181" t="str">
        <f t="shared" si="112"/>
        <v/>
      </c>
      <c r="AI945" s="181" t="str">
        <f t="shared" si="113"/>
        <v/>
      </c>
      <c r="AJ945" s="181" t="str">
        <f t="shared" si="114"/>
        <v/>
      </c>
      <c r="AK945" s="181" t="str">
        <f t="shared" si="115"/>
        <v/>
      </c>
      <c r="AL945" s="181" t="str">
        <f t="shared" si="116"/>
        <v/>
      </c>
      <c r="AM945" s="181" t="str">
        <f t="shared" si="117"/>
        <v/>
      </c>
      <c r="AN945" s="181" t="str">
        <f t="shared" si="118"/>
        <v/>
      </c>
      <c r="AO945" s="192" t="str">
        <f t="shared" si="119"/>
        <v/>
      </c>
      <c r="AQ945" t="str">
        <f>IFERROR(LOOKUP(2,1/((C_Pavement!$A$5:$A$204&lt;&gt;"")*(C_Pavement!$A$5:$A$204&lt;=$B945)*(C_Pavement!$B$5:$B$204&gt;$B945)*(C_Pavement!$C$5:$C$204&lt;&gt;"")),ROW(C_Pavement!$C$5:$C$204)-4),"")</f>
        <v/>
      </c>
      <c r="AR945" t="str">
        <f>IF($AQ945="","",UPPER(TRIM(INDEX(C_Pavement!$C$5:$C$204,$AQ945))))</f>
        <v/>
      </c>
      <c r="AS945" t="str">
        <f>IF($AR945="","",IFERROR(MATCH($AR945,E_Rules!$A$5:$A$9,0),""))</f>
        <v/>
      </c>
      <c r="AT945" t="str">
        <f>IF($AQ945="","",IF(INDEX(C_Pavement!$D$5:$D$204,$AQ945)&lt;&gt;"",UPPER(TRIM(INDEX(C_Pavement!$D$5:$D$204,$AQ945))),IF($AS945="","",INDEX(E_Rules!$C$5:$C$9,$AS945))))</f>
        <v/>
      </c>
      <c r="AU945" t="str">
        <f>IF($AQ945="","",IF(INDEX(C_Pavement!$E$5:$E$204,$AQ945)&lt;&gt;"",IF(INDEX(C_Pavement!$E$5:$E$204,$AQ945)="-","",INDEX(C_Pavement!$E$5:$E$204,$AQ945)),IF($AS945="","",INDEX(E_Rules!$D$5:$D$9,$AS945))))</f>
        <v/>
      </c>
      <c r="AV945" t="str">
        <f>IF($AQ945="","",IF(INDEX(C_Pavement!$F$5:$F$204,$AQ945)&lt;&gt;"",IF(INDEX(C_Pavement!$F$5:$F$204,$AQ945)="-","",INDEX(C_Pavement!$F$5:$F$204,$AQ945)),IF($AS945="","",INDEX(E_Rules!$E$5:$E$9,$AS945))))</f>
        <v/>
      </c>
      <c r="AW945" t="str">
        <f>IF($AQ945="","",IF(INDEX(C_Pavement!$G$5:$G$204,$AQ945)&lt;&gt;"",IF(INDEX(C_Pavement!$G$5:$G$204,$AQ945)="-","",INDEX(C_Pavement!$G$5:$G$204,$AQ945)),IF($AS945="","",INDEX(E_Rules!$F$5:$F$9,$AS945))))</f>
        <v/>
      </c>
      <c r="AX945" t="str">
        <f>IF($AQ945="","",IF(INDEX(C_Pavement!$H$5:$H$204,$AQ945)&lt;&gt;"",IF(INDEX(C_Pavement!$H$5:$H$204,$AQ945)="-","",INDEX(C_Pavement!$H$5:$H$204,$AQ945)),IF($AS945="","",INDEX(E_Rules!$G$5:$G$9,$AS945))))</f>
        <v/>
      </c>
      <c r="AY945" t="str">
        <f>IF($AQ945="","",IF(INDEX(C_Pavement!$I$5:$I$204,$AQ945)&lt;&gt;"",IF(INDEX(C_Pavement!$I$5:$I$204,$AQ945)="-","",INDEX(C_Pavement!$I$5:$I$204,$AQ945)),IF($AS945="","",INDEX(E_Rules!$H$5:$H$9,$AS945))))</f>
        <v/>
      </c>
    </row>
    <row r="946" spans="1:51" ht="15.75" customHeight="1" x14ac:dyDescent="0.3">
      <c r="A946" s="189">
        <v>941</v>
      </c>
      <c r="B946" s="180">
        <v>47000</v>
      </c>
      <c r="C946" s="180" t="s">
        <v>1252</v>
      </c>
      <c r="D946" s="181" t="str">
        <f>IFERROR(LOOKUP(2,1/((A_Corridor!$A$5:$A$204&lt;&gt;"")*(A_Corridor!$A$5:$A$204&lt;=$B946)*(A_Corridor!$B$5:$B$204&gt;$B946)*(A_Corridor!$C$5:$C$204&lt;&gt;"")),IF(UPPER(A_Corridor!$C$5:$C$204)="Y",1,"")),"")</f>
        <v/>
      </c>
      <c r="E946" s="181" t="str">
        <f>IFERROR(LOOKUP(2,1/((A_Corridor!$A$5:$A$204&lt;&gt;"")*(A_Corridor!$A$5:$A$204&lt;=$B946)*(A_Corridor!$B$5:$B$204&gt;$B946)*(A_Corridor!$D$5:$D$204&lt;&gt;"")),IF(A_Corridor!$D$5:$D$204="-","",UPPER(A_Corridor!$D$5:$D$204))),"")</f>
        <v/>
      </c>
      <c r="F946" s="181" t="str">
        <f>IFERROR(LOOKUP(2,1/((A_Corridor!$A$5:$A$204&lt;&gt;"")*(A_Corridor!$A$5:$A$204&lt;=$B946)*(A_Corridor!$B$5:$B$204&gt;$B946)*(A_Corridor!$E$5:$E$204&lt;&gt;"")),IF(A_Corridor!$E$5:$E$204="-","",1)),"")</f>
        <v/>
      </c>
      <c r="G946" s="182" t="str">
        <f>IFERROR(LOOKUP(2,1/((A_Corridor!$A$5:$A$204&lt;&gt;"")*(A_Corridor!$A$5:$A$204&lt;=$B946)*(A_Corridor!$B$5:$B$204&gt;$B946)*(A_Corridor!$E$5:$E$204&lt;&gt;"")),IF(A_Corridor!$E$5:$E$204="-","",A_Corridor!$E$5:$E$204)),"")</f>
        <v/>
      </c>
      <c r="H946" s="182" t="str">
        <f>IFERROR(LOOKUP(2,1/((D_Points!$A$5:$A$204&lt;&gt;"")*(D_Points!$A$5:$A$204&gt;=$B946)*(D_Points!$A$5:$A$204&lt;$B946+P_Interval)*(UPPER(TRIM(D_Points!$B$5:$B$204))="GULLY")*(D_Points!$H$5:$H$204&lt;&gt;"")),D_Points!$H$5:$H$204),"")</f>
        <v/>
      </c>
      <c r="I946" s="181" t="str">
        <f>IFERROR(LOOKUP(2,1/((A_Corridor!$A$5:$A$204&lt;&gt;"")*(A_Corridor!$A$5:$A$204&lt;=$B946)*(A_Corridor!$B$5:$B$204&gt;$B946)*(A_Corridor!$F$5:$F$204&lt;&gt;"")),IF(A_Corridor!$F$5:$F$204="-","",1)),"")</f>
        <v/>
      </c>
      <c r="J946" s="182" t="str">
        <f>IFERROR(LOOKUP(2,1/((A_Corridor!$A$5:$A$204&lt;&gt;"")*(A_Corridor!$A$5:$A$204&lt;=$B946)*(A_Corridor!$B$5:$B$204&gt;$B946)*(A_Corridor!$F$5:$F$204&lt;&gt;"")),IF(A_Corridor!$F$5:$F$204="-","",A_Corridor!$F$5:$F$204)),"")</f>
        <v/>
      </c>
      <c r="K946" s="182" t="str">
        <f>IFERROR(LOOKUP(2,1/((A_Corridor!$A$5:$A$204&lt;&gt;"")*(A_Corridor!$A$5:$A$204&lt;=$B946)*(A_Corridor!$B$5:$B$204&gt;$B946)*(A_Corridor!$G$5:$G$204&lt;&gt;"")),IF(A_Corridor!$G$5:$G$204="-","",A_Corridor!$G$5:$G$204)),"")</f>
        <v/>
      </c>
      <c r="L946" s="181" t="str">
        <f>IFERROR(LOOKUP(2,1/((A_Corridor!$A$5:$A$204&lt;&gt;"")*(A_Corridor!$A$5:$A$204&lt;=$B946)*(A_Corridor!$B$5:$B$204&gt;$B946)*(A_Corridor!$H$5:$H$204&lt;&gt;"")),IF(A_Corridor!$H$5:$H$204="-","",1)),"")</f>
        <v/>
      </c>
      <c r="M946" s="182" t="str">
        <f>IFERROR(LOOKUP(2,1/((A_Corridor!$A$5:$A$204&lt;&gt;"")*(A_Corridor!$A$5:$A$204&lt;=$B946)*(A_Corridor!$B$5:$B$204&gt;$B946)*(A_Corridor!$H$5:$H$204&lt;&gt;"")),IF(A_Corridor!$H$5:$H$204="-","",A_Corridor!$H$5:$H$204)),"")</f>
        <v/>
      </c>
      <c r="N946" s="182" t="str">
        <f>IFERROR(LOOKUP(2,1/((A_Corridor!$A$5:$A$204&lt;&gt;"")*(A_Corridor!$A$5:$A$204&lt;=$B946)*(A_Corridor!$B$5:$B$204&gt;$B946)*(A_Corridor!$I$5:$I$204&lt;&gt;"")),IF(A_Corridor!$I$5:$I$204="-","",A_Corridor!$I$5:$I$204)),"")</f>
        <v/>
      </c>
      <c r="O946" s="182" t="str">
        <f>IFERROR(LOOKUP(2,1/((D_Points!$A$5:$A$204&lt;&gt;"")*(D_Points!$A$5:$A$204&gt;=$B946)*(D_Points!$A$5:$A$204&lt;$B946+P_Interval)*(UPPER(TRIM(D_Points!$B$5:$B$204))="PITCHING")*(D_Points!$H$5:$H$204&lt;&gt;"")),D_Points!$H$5:$H$204),"")</f>
        <v/>
      </c>
      <c r="P946" s="181" t="str">
        <f>IFERROR(LOOKUP(2,1/((B_Drainage!$A$5:$A$204&lt;&gt;"")*(B_Drainage!$A$5:$A$204&lt;=$B946)*(B_Drainage!$B$5:$B$204&gt;$B946)*(B_Drainage!$C$5:$C$204&lt;&gt;"")),IF(B_Drainage!$C$5:$C$204="-","",UPPER(B_Drainage!$C$5:$C$204))),"")</f>
        <v/>
      </c>
      <c r="Q946" s="181" t="str">
        <f>IFERROR(LOOKUP(2,1/((B_Drainage!$A$5:$A$204&lt;&gt;"")*(B_Drainage!$A$5:$A$204&lt;=$B946)*(B_Drainage!$B$5:$B$204&gt;$B946)*(B_Drainage!$D$5:$D$204&lt;&gt;"")),IF(B_Drainage!$D$5:$D$204="-","",UPPER(B_Drainage!$D$5:$D$204))),"")</f>
        <v/>
      </c>
      <c r="R946" s="182" t="str">
        <f>IFERROR(LOOKUP(2,1/((D_Points!$A$5:$A$204&lt;&gt;"")*(D_Points!$A$5:$A$204&gt;=$B946)*(D_Points!$A$5:$A$204&lt;$B946+P_Interval)*(RIGHT(UPPER(TRIM(D_Points!$B$5:$B$204)),8)="_CULVERT")),IF(LEFT(UPPER(TRIM(D_Points!$B$5:$B$204)),2)="EX",1,IF(LEFT(UPPER(TRIM(D_Points!$B$5:$B$204)),2)="PR",2,3))),"")</f>
        <v/>
      </c>
      <c r="S946" s="182" t="str">
        <f>IFERROR(LOOKUP(2,1/((D_Points!$A$5:$A$204&lt;&gt;"")*(D_Points!$A$5:$A$204&gt;=$B946)*(D_Points!$A$5:$A$204&lt;$B946+P_Interval)*(RIGHT(UPPER(TRIM(D_Points!$B$5:$B$204)),7)="_BRIDGE")),IF(LEFT(UPPER(TRIM(D_Points!$B$5:$B$204)),2)="EX",1,IF(LEFT(UPPER(TRIM(D_Points!$B$5:$B$204)),2)="PR",2,2))),"")</f>
        <v/>
      </c>
      <c r="T946" s="181" t="str">
        <f>IFERROR(LOOKUP(2,1/((B_Drainage!$A$5:$A$204&lt;&gt;"")*(B_Drainage!$A$5:$A$204&lt;=$B946)*(B_Drainage!$B$5:$B$204&gt;$B946)*(B_Drainage!$E$5:$E$204&lt;&gt;"")),IF(B_Drainage!$E$5:$E$204="-","",1)),"")</f>
        <v/>
      </c>
      <c r="U946" s="181" t="str">
        <f>IFERROR(LOOKUP(2,1/((B_Drainage!$A$5:$A$204&lt;&gt;"")*(B_Drainage!$A$5:$A$204&lt;=$B946)*(B_Drainage!$B$5:$B$204&gt;$B946)*(B_Drainage!$E$5:$E$204&lt;&gt;"")),IF(B_Drainage!$E$5:$E$204="-","",B_Drainage!$E$5:$E$204)),"")</f>
        <v/>
      </c>
      <c r="V946" s="181" t="str">
        <f>IFERROR(LOOKUP(2,1/((B_Drainage!$A$5:$A$204&lt;&gt;"")*(B_Drainage!$A$5:$A$204&lt;=$B946)*(B_Drainage!$B$5:$B$204&gt;$B946)*(B_Drainage!$F$5:$F$204&lt;&gt;"")),IF(B_Drainage!$F$5:$F$204="-","",1)),"")</f>
        <v/>
      </c>
      <c r="W946" s="181" t="str">
        <f>IFERROR(LOOKUP(2,1/((B_Drainage!$A$5:$A$204&lt;&gt;"")*(B_Drainage!$A$5:$A$204&lt;=$B946)*(B_Drainage!$B$5:$B$204&gt;$B946)*(B_Drainage!$F$5:$F$204&lt;&gt;"")),IF(B_Drainage!$F$5:$F$204="-","",B_Drainage!$F$5:$F$204)),"")</f>
        <v/>
      </c>
      <c r="X946" s="181" t="str">
        <f>IFERROR(LOOKUP(2,1/((B_Drainage!$A$5:$A$204&lt;&gt;"")*(B_Drainage!$A$5:$A$204&lt;=$B946)*(B_Drainage!$B$5:$B$204&gt;$B946)*(B_Drainage!$G$5:$G$204&lt;&gt;"")),IF(UPPER(B_Drainage!$G$5:$G$204)="Y",1,"")),"")</f>
        <v/>
      </c>
      <c r="Y946" s="181" t="str">
        <f>IFERROR(LOOKUP(2,1/((B_Drainage!$A$5:$A$204&lt;&gt;"")*(B_Drainage!$A$5:$A$204&lt;=$B946)*(B_Drainage!$B$5:$B$204&gt;$B946)*(B_Drainage!$H$5:$H$204&lt;&gt;"")),IF(UPPER(B_Drainage!$H$5:$H$204)="Y",1,"")),"")</f>
        <v/>
      </c>
      <c r="Z946" s="181" t="str">
        <f>IFERROR(LOOKUP(2,1/((B_Drainage!$A$5:$A$204&lt;&gt;"")*(B_Drainage!$A$5:$A$204&lt;=$B946)*(B_Drainage!$B$5:$B$204&gt;$B946)*(B_Drainage!$I$5:$I$204&lt;&gt;"")),IF(UPPER(B_Drainage!$I$5:$I$204)="Y",1,"")),"")</f>
        <v/>
      </c>
      <c r="AA946" s="181" t="str">
        <f>IFERROR(LOOKUP(2,1/((B_Drainage!$A$5:$A$204&lt;&gt;"")*(B_Drainage!$A$5:$A$204&lt;=$B946)*(B_Drainage!$B$5:$B$204&gt;$B946)*(B_Drainage!$J$5:$J$204&lt;&gt;"")),IF(UPPER(B_Drainage!$J$5:$J$204)="Y",1,"")),"")</f>
        <v/>
      </c>
      <c r="AB946" s="182" t="str">
        <f>IFERROR(LOOKUP(2,1/((B_Drainage!$A$5:$A$204&lt;&gt;"")*(B_Drainage!$A$5:$A$204&lt;=$B946)*(B_Drainage!$B$5:$B$204&gt;$B946)*(B_Drainage!$K$5:$K$204&lt;&gt;"")),IF(B_Drainage!$K$5:$K$204="-","",B_Drainage!$K$5:$K$204)),"")</f>
        <v/>
      </c>
      <c r="AC946" s="182" t="str">
        <f>IFERROR(LOOKUP(2,1/((B_Drainage!$A$5:$A$204&lt;&gt;"")*(B_Drainage!$A$5:$A$204&lt;=$B946)*(B_Drainage!$B$5:$B$204&gt;$B946)*(B_Drainage!$L$5:$L$204&lt;&gt;"")),IF(B_Drainage!$L$5:$L$204="-","",B_Drainage!$L$5:$L$204)),"")</f>
        <v/>
      </c>
      <c r="AD946" s="182" t="str">
        <f>IFERROR(LOOKUP(2,1/((D_Points!$A$5:$A$204&lt;&gt;"")*(D_Points!$A$5:$A$204&gt;=$B946)*(D_Points!$A$5:$A$204&lt;$B946+P_Interval)*(UPPER(TRIM(D_Points!$B$5:$B$204))="TURNOUT_L")*(D_Points!$H$5:$H$204&lt;&gt;"")),D_Points!$H$5:$H$204),"")</f>
        <v/>
      </c>
      <c r="AE946" s="182" t="str">
        <f>IFERROR(LOOKUP(2,1/((D_Points!$A$5:$A$204&lt;&gt;"")*(D_Points!$A$5:$A$204&gt;=$B946)*(D_Points!$A$5:$A$204&lt;$B946+P_Interval)*(UPPER(TRIM(D_Points!$B$5:$B$204))="TURNOUT_R")*(D_Points!$H$5:$H$204&lt;&gt;"")),D_Points!$H$5:$H$204),"")</f>
        <v/>
      </c>
      <c r="AF946" s="181" t="str">
        <f>IFERROR(LOOKUP(2,1/((B_Drainage!$A$5:$A$204&lt;&gt;"")*(B_Drainage!$A$5:$A$204&lt;=$B946)*(B_Drainage!$B$5:$B$204&gt;$B946)*(B_Drainage!$M$5:$M$204&lt;&gt;"")),IF(UPPER(B_Drainage!$M$5:$M$204)="Y",1,"")),"")</f>
        <v/>
      </c>
      <c r="AG946" s="181" t="str">
        <f>IFERROR(LOOKUP(2,1/((B_Drainage!$A$5:$A$204&lt;&gt;"")*(B_Drainage!$A$5:$A$204&lt;=$B946)*(B_Drainage!$B$5:$B$204&gt;$B946)*(B_Drainage!$N$5:$N$204&lt;&gt;"")),IF(UPPER(B_Drainage!$N$5:$N$204)="Y",1,"")),"")</f>
        <v/>
      </c>
      <c r="AH946" s="181" t="str">
        <f t="shared" si="112"/>
        <v/>
      </c>
      <c r="AI946" s="181" t="str">
        <f t="shared" si="113"/>
        <v/>
      </c>
      <c r="AJ946" s="181" t="str">
        <f t="shared" si="114"/>
        <v/>
      </c>
      <c r="AK946" s="181" t="str">
        <f t="shared" si="115"/>
        <v/>
      </c>
      <c r="AL946" s="181" t="str">
        <f t="shared" si="116"/>
        <v/>
      </c>
      <c r="AM946" s="181" t="str">
        <f t="shared" si="117"/>
        <v/>
      </c>
      <c r="AN946" s="181" t="str">
        <f t="shared" si="118"/>
        <v/>
      </c>
      <c r="AO946" s="192" t="str">
        <f t="shared" si="119"/>
        <v/>
      </c>
      <c r="AQ946" t="str">
        <f>IFERROR(LOOKUP(2,1/((C_Pavement!$A$5:$A$204&lt;&gt;"")*(C_Pavement!$A$5:$A$204&lt;=$B946)*(C_Pavement!$B$5:$B$204&gt;$B946)*(C_Pavement!$C$5:$C$204&lt;&gt;"")),ROW(C_Pavement!$C$5:$C$204)-4),"")</f>
        <v/>
      </c>
      <c r="AR946" t="str">
        <f>IF($AQ946="","",UPPER(TRIM(INDEX(C_Pavement!$C$5:$C$204,$AQ946))))</f>
        <v/>
      </c>
      <c r="AS946" t="str">
        <f>IF($AR946="","",IFERROR(MATCH($AR946,E_Rules!$A$5:$A$9,0),""))</f>
        <v/>
      </c>
      <c r="AT946" t="str">
        <f>IF($AQ946="","",IF(INDEX(C_Pavement!$D$5:$D$204,$AQ946)&lt;&gt;"",UPPER(TRIM(INDEX(C_Pavement!$D$5:$D$204,$AQ946))),IF($AS946="","",INDEX(E_Rules!$C$5:$C$9,$AS946))))</f>
        <v/>
      </c>
      <c r="AU946" t="str">
        <f>IF($AQ946="","",IF(INDEX(C_Pavement!$E$5:$E$204,$AQ946)&lt;&gt;"",IF(INDEX(C_Pavement!$E$5:$E$204,$AQ946)="-","",INDEX(C_Pavement!$E$5:$E$204,$AQ946)),IF($AS946="","",INDEX(E_Rules!$D$5:$D$9,$AS946))))</f>
        <v/>
      </c>
      <c r="AV946" t="str">
        <f>IF($AQ946="","",IF(INDEX(C_Pavement!$F$5:$F$204,$AQ946)&lt;&gt;"",IF(INDEX(C_Pavement!$F$5:$F$204,$AQ946)="-","",INDEX(C_Pavement!$F$5:$F$204,$AQ946)),IF($AS946="","",INDEX(E_Rules!$E$5:$E$9,$AS946))))</f>
        <v/>
      </c>
      <c r="AW946" t="str">
        <f>IF($AQ946="","",IF(INDEX(C_Pavement!$G$5:$G$204,$AQ946)&lt;&gt;"",IF(INDEX(C_Pavement!$G$5:$G$204,$AQ946)="-","",INDEX(C_Pavement!$G$5:$G$204,$AQ946)),IF($AS946="","",INDEX(E_Rules!$F$5:$F$9,$AS946))))</f>
        <v/>
      </c>
      <c r="AX946" t="str">
        <f>IF($AQ946="","",IF(INDEX(C_Pavement!$H$5:$H$204,$AQ946)&lt;&gt;"",IF(INDEX(C_Pavement!$H$5:$H$204,$AQ946)="-","",INDEX(C_Pavement!$H$5:$H$204,$AQ946)),IF($AS946="","",INDEX(E_Rules!$G$5:$G$9,$AS946))))</f>
        <v/>
      </c>
      <c r="AY946" t="str">
        <f>IF($AQ946="","",IF(INDEX(C_Pavement!$I$5:$I$204,$AQ946)&lt;&gt;"",IF(INDEX(C_Pavement!$I$5:$I$204,$AQ946)="-","",INDEX(C_Pavement!$I$5:$I$204,$AQ946)),IF($AS946="","",INDEX(E_Rules!$H$5:$H$9,$AS946))))</f>
        <v/>
      </c>
    </row>
    <row r="947" spans="1:51" ht="15.75" customHeight="1" x14ac:dyDescent="0.3">
      <c r="A947" s="189">
        <v>942</v>
      </c>
      <c r="B947" s="180">
        <v>47050</v>
      </c>
      <c r="C947" s="180" t="s">
        <v>1253</v>
      </c>
      <c r="D947" s="181" t="str">
        <f>IFERROR(LOOKUP(2,1/((A_Corridor!$A$5:$A$204&lt;&gt;"")*(A_Corridor!$A$5:$A$204&lt;=$B947)*(A_Corridor!$B$5:$B$204&gt;$B947)*(A_Corridor!$C$5:$C$204&lt;&gt;"")),IF(UPPER(A_Corridor!$C$5:$C$204)="Y",1,"")),"")</f>
        <v/>
      </c>
      <c r="E947" s="181" t="str">
        <f>IFERROR(LOOKUP(2,1/((A_Corridor!$A$5:$A$204&lt;&gt;"")*(A_Corridor!$A$5:$A$204&lt;=$B947)*(A_Corridor!$B$5:$B$204&gt;$B947)*(A_Corridor!$D$5:$D$204&lt;&gt;"")),IF(A_Corridor!$D$5:$D$204="-","",UPPER(A_Corridor!$D$5:$D$204))),"")</f>
        <v/>
      </c>
      <c r="F947" s="181" t="str">
        <f>IFERROR(LOOKUP(2,1/((A_Corridor!$A$5:$A$204&lt;&gt;"")*(A_Corridor!$A$5:$A$204&lt;=$B947)*(A_Corridor!$B$5:$B$204&gt;$B947)*(A_Corridor!$E$5:$E$204&lt;&gt;"")),IF(A_Corridor!$E$5:$E$204="-","",1)),"")</f>
        <v/>
      </c>
      <c r="G947" s="182" t="str">
        <f>IFERROR(LOOKUP(2,1/((A_Corridor!$A$5:$A$204&lt;&gt;"")*(A_Corridor!$A$5:$A$204&lt;=$B947)*(A_Corridor!$B$5:$B$204&gt;$B947)*(A_Corridor!$E$5:$E$204&lt;&gt;"")),IF(A_Corridor!$E$5:$E$204="-","",A_Corridor!$E$5:$E$204)),"")</f>
        <v/>
      </c>
      <c r="H947" s="182" t="str">
        <f>IFERROR(LOOKUP(2,1/((D_Points!$A$5:$A$204&lt;&gt;"")*(D_Points!$A$5:$A$204&gt;=$B947)*(D_Points!$A$5:$A$204&lt;$B947+P_Interval)*(UPPER(TRIM(D_Points!$B$5:$B$204))="GULLY")*(D_Points!$H$5:$H$204&lt;&gt;"")),D_Points!$H$5:$H$204),"")</f>
        <v/>
      </c>
      <c r="I947" s="181" t="str">
        <f>IFERROR(LOOKUP(2,1/((A_Corridor!$A$5:$A$204&lt;&gt;"")*(A_Corridor!$A$5:$A$204&lt;=$B947)*(A_Corridor!$B$5:$B$204&gt;$B947)*(A_Corridor!$F$5:$F$204&lt;&gt;"")),IF(A_Corridor!$F$5:$F$204="-","",1)),"")</f>
        <v/>
      </c>
      <c r="J947" s="182" t="str">
        <f>IFERROR(LOOKUP(2,1/((A_Corridor!$A$5:$A$204&lt;&gt;"")*(A_Corridor!$A$5:$A$204&lt;=$B947)*(A_Corridor!$B$5:$B$204&gt;$B947)*(A_Corridor!$F$5:$F$204&lt;&gt;"")),IF(A_Corridor!$F$5:$F$204="-","",A_Corridor!$F$5:$F$204)),"")</f>
        <v/>
      </c>
      <c r="K947" s="182" t="str">
        <f>IFERROR(LOOKUP(2,1/((A_Corridor!$A$5:$A$204&lt;&gt;"")*(A_Corridor!$A$5:$A$204&lt;=$B947)*(A_Corridor!$B$5:$B$204&gt;$B947)*(A_Corridor!$G$5:$G$204&lt;&gt;"")),IF(A_Corridor!$G$5:$G$204="-","",A_Corridor!$G$5:$G$204)),"")</f>
        <v/>
      </c>
      <c r="L947" s="181" t="str">
        <f>IFERROR(LOOKUP(2,1/((A_Corridor!$A$5:$A$204&lt;&gt;"")*(A_Corridor!$A$5:$A$204&lt;=$B947)*(A_Corridor!$B$5:$B$204&gt;$B947)*(A_Corridor!$H$5:$H$204&lt;&gt;"")),IF(A_Corridor!$H$5:$H$204="-","",1)),"")</f>
        <v/>
      </c>
      <c r="M947" s="182" t="str">
        <f>IFERROR(LOOKUP(2,1/((A_Corridor!$A$5:$A$204&lt;&gt;"")*(A_Corridor!$A$5:$A$204&lt;=$B947)*(A_Corridor!$B$5:$B$204&gt;$B947)*(A_Corridor!$H$5:$H$204&lt;&gt;"")),IF(A_Corridor!$H$5:$H$204="-","",A_Corridor!$H$5:$H$204)),"")</f>
        <v/>
      </c>
      <c r="N947" s="182" t="str">
        <f>IFERROR(LOOKUP(2,1/((A_Corridor!$A$5:$A$204&lt;&gt;"")*(A_Corridor!$A$5:$A$204&lt;=$B947)*(A_Corridor!$B$5:$B$204&gt;$B947)*(A_Corridor!$I$5:$I$204&lt;&gt;"")),IF(A_Corridor!$I$5:$I$204="-","",A_Corridor!$I$5:$I$204)),"")</f>
        <v/>
      </c>
      <c r="O947" s="182" t="str">
        <f>IFERROR(LOOKUP(2,1/((D_Points!$A$5:$A$204&lt;&gt;"")*(D_Points!$A$5:$A$204&gt;=$B947)*(D_Points!$A$5:$A$204&lt;$B947+P_Interval)*(UPPER(TRIM(D_Points!$B$5:$B$204))="PITCHING")*(D_Points!$H$5:$H$204&lt;&gt;"")),D_Points!$H$5:$H$204),"")</f>
        <v/>
      </c>
      <c r="P947" s="181" t="str">
        <f>IFERROR(LOOKUP(2,1/((B_Drainage!$A$5:$A$204&lt;&gt;"")*(B_Drainage!$A$5:$A$204&lt;=$B947)*(B_Drainage!$B$5:$B$204&gt;$B947)*(B_Drainage!$C$5:$C$204&lt;&gt;"")),IF(B_Drainage!$C$5:$C$204="-","",UPPER(B_Drainage!$C$5:$C$204))),"")</f>
        <v/>
      </c>
      <c r="Q947" s="181" t="str">
        <f>IFERROR(LOOKUP(2,1/((B_Drainage!$A$5:$A$204&lt;&gt;"")*(B_Drainage!$A$5:$A$204&lt;=$B947)*(B_Drainage!$B$5:$B$204&gt;$B947)*(B_Drainage!$D$5:$D$204&lt;&gt;"")),IF(B_Drainage!$D$5:$D$204="-","",UPPER(B_Drainage!$D$5:$D$204))),"")</f>
        <v/>
      </c>
      <c r="R947" s="182" t="str">
        <f>IFERROR(LOOKUP(2,1/((D_Points!$A$5:$A$204&lt;&gt;"")*(D_Points!$A$5:$A$204&gt;=$B947)*(D_Points!$A$5:$A$204&lt;$B947+P_Interval)*(RIGHT(UPPER(TRIM(D_Points!$B$5:$B$204)),8)="_CULVERT")),IF(LEFT(UPPER(TRIM(D_Points!$B$5:$B$204)),2)="EX",1,IF(LEFT(UPPER(TRIM(D_Points!$B$5:$B$204)),2)="PR",2,3))),"")</f>
        <v/>
      </c>
      <c r="S947" s="182" t="str">
        <f>IFERROR(LOOKUP(2,1/((D_Points!$A$5:$A$204&lt;&gt;"")*(D_Points!$A$5:$A$204&gt;=$B947)*(D_Points!$A$5:$A$204&lt;$B947+P_Interval)*(RIGHT(UPPER(TRIM(D_Points!$B$5:$B$204)),7)="_BRIDGE")),IF(LEFT(UPPER(TRIM(D_Points!$B$5:$B$204)),2)="EX",1,IF(LEFT(UPPER(TRIM(D_Points!$B$5:$B$204)),2)="PR",2,2))),"")</f>
        <v/>
      </c>
      <c r="T947" s="181" t="str">
        <f>IFERROR(LOOKUP(2,1/((B_Drainage!$A$5:$A$204&lt;&gt;"")*(B_Drainage!$A$5:$A$204&lt;=$B947)*(B_Drainage!$B$5:$B$204&gt;$B947)*(B_Drainage!$E$5:$E$204&lt;&gt;"")),IF(B_Drainage!$E$5:$E$204="-","",1)),"")</f>
        <v/>
      </c>
      <c r="U947" s="181" t="str">
        <f>IFERROR(LOOKUP(2,1/((B_Drainage!$A$5:$A$204&lt;&gt;"")*(B_Drainage!$A$5:$A$204&lt;=$B947)*(B_Drainage!$B$5:$B$204&gt;$B947)*(B_Drainage!$E$5:$E$204&lt;&gt;"")),IF(B_Drainage!$E$5:$E$204="-","",B_Drainage!$E$5:$E$204)),"")</f>
        <v/>
      </c>
      <c r="V947" s="181" t="str">
        <f>IFERROR(LOOKUP(2,1/((B_Drainage!$A$5:$A$204&lt;&gt;"")*(B_Drainage!$A$5:$A$204&lt;=$B947)*(B_Drainage!$B$5:$B$204&gt;$B947)*(B_Drainage!$F$5:$F$204&lt;&gt;"")),IF(B_Drainage!$F$5:$F$204="-","",1)),"")</f>
        <v/>
      </c>
      <c r="W947" s="181" t="str">
        <f>IFERROR(LOOKUP(2,1/((B_Drainage!$A$5:$A$204&lt;&gt;"")*(B_Drainage!$A$5:$A$204&lt;=$B947)*(B_Drainage!$B$5:$B$204&gt;$B947)*(B_Drainage!$F$5:$F$204&lt;&gt;"")),IF(B_Drainage!$F$5:$F$204="-","",B_Drainage!$F$5:$F$204)),"")</f>
        <v/>
      </c>
      <c r="X947" s="181" t="str">
        <f>IFERROR(LOOKUP(2,1/((B_Drainage!$A$5:$A$204&lt;&gt;"")*(B_Drainage!$A$5:$A$204&lt;=$B947)*(B_Drainage!$B$5:$B$204&gt;$B947)*(B_Drainage!$G$5:$G$204&lt;&gt;"")),IF(UPPER(B_Drainage!$G$5:$G$204)="Y",1,"")),"")</f>
        <v/>
      </c>
      <c r="Y947" s="181" t="str">
        <f>IFERROR(LOOKUP(2,1/((B_Drainage!$A$5:$A$204&lt;&gt;"")*(B_Drainage!$A$5:$A$204&lt;=$B947)*(B_Drainage!$B$5:$B$204&gt;$B947)*(B_Drainage!$H$5:$H$204&lt;&gt;"")),IF(UPPER(B_Drainage!$H$5:$H$204)="Y",1,"")),"")</f>
        <v/>
      </c>
      <c r="Z947" s="181" t="str">
        <f>IFERROR(LOOKUP(2,1/((B_Drainage!$A$5:$A$204&lt;&gt;"")*(B_Drainage!$A$5:$A$204&lt;=$B947)*(B_Drainage!$B$5:$B$204&gt;$B947)*(B_Drainage!$I$5:$I$204&lt;&gt;"")),IF(UPPER(B_Drainage!$I$5:$I$204)="Y",1,"")),"")</f>
        <v/>
      </c>
      <c r="AA947" s="181" t="str">
        <f>IFERROR(LOOKUP(2,1/((B_Drainage!$A$5:$A$204&lt;&gt;"")*(B_Drainage!$A$5:$A$204&lt;=$B947)*(B_Drainage!$B$5:$B$204&gt;$B947)*(B_Drainage!$J$5:$J$204&lt;&gt;"")),IF(UPPER(B_Drainage!$J$5:$J$204)="Y",1,"")),"")</f>
        <v/>
      </c>
      <c r="AB947" s="182" t="str">
        <f>IFERROR(LOOKUP(2,1/((B_Drainage!$A$5:$A$204&lt;&gt;"")*(B_Drainage!$A$5:$A$204&lt;=$B947)*(B_Drainage!$B$5:$B$204&gt;$B947)*(B_Drainage!$K$5:$K$204&lt;&gt;"")),IF(B_Drainage!$K$5:$K$204="-","",B_Drainage!$K$5:$K$204)),"")</f>
        <v/>
      </c>
      <c r="AC947" s="182" t="str">
        <f>IFERROR(LOOKUP(2,1/((B_Drainage!$A$5:$A$204&lt;&gt;"")*(B_Drainage!$A$5:$A$204&lt;=$B947)*(B_Drainage!$B$5:$B$204&gt;$B947)*(B_Drainage!$L$5:$L$204&lt;&gt;"")),IF(B_Drainage!$L$5:$L$204="-","",B_Drainage!$L$5:$L$204)),"")</f>
        <v/>
      </c>
      <c r="AD947" s="182" t="str">
        <f>IFERROR(LOOKUP(2,1/((D_Points!$A$5:$A$204&lt;&gt;"")*(D_Points!$A$5:$A$204&gt;=$B947)*(D_Points!$A$5:$A$204&lt;$B947+P_Interval)*(UPPER(TRIM(D_Points!$B$5:$B$204))="TURNOUT_L")*(D_Points!$H$5:$H$204&lt;&gt;"")),D_Points!$H$5:$H$204),"")</f>
        <v/>
      </c>
      <c r="AE947" s="182" t="str">
        <f>IFERROR(LOOKUP(2,1/((D_Points!$A$5:$A$204&lt;&gt;"")*(D_Points!$A$5:$A$204&gt;=$B947)*(D_Points!$A$5:$A$204&lt;$B947+P_Interval)*(UPPER(TRIM(D_Points!$B$5:$B$204))="TURNOUT_R")*(D_Points!$H$5:$H$204&lt;&gt;"")),D_Points!$H$5:$H$204),"")</f>
        <v/>
      </c>
      <c r="AF947" s="181" t="str">
        <f>IFERROR(LOOKUP(2,1/((B_Drainage!$A$5:$A$204&lt;&gt;"")*(B_Drainage!$A$5:$A$204&lt;=$B947)*(B_Drainage!$B$5:$B$204&gt;$B947)*(B_Drainage!$M$5:$M$204&lt;&gt;"")),IF(UPPER(B_Drainage!$M$5:$M$204)="Y",1,"")),"")</f>
        <v/>
      </c>
      <c r="AG947" s="181" t="str">
        <f>IFERROR(LOOKUP(2,1/((B_Drainage!$A$5:$A$204&lt;&gt;"")*(B_Drainage!$A$5:$A$204&lt;=$B947)*(B_Drainage!$B$5:$B$204&gt;$B947)*(B_Drainage!$N$5:$N$204&lt;&gt;"")),IF(UPPER(B_Drainage!$N$5:$N$204)="Y",1,"")),"")</f>
        <v/>
      </c>
      <c r="AH947" s="181" t="str">
        <f t="shared" si="112"/>
        <v/>
      </c>
      <c r="AI947" s="181" t="str">
        <f t="shared" si="113"/>
        <v/>
      </c>
      <c r="AJ947" s="181" t="str">
        <f t="shared" si="114"/>
        <v/>
      </c>
      <c r="AK947" s="181" t="str">
        <f t="shared" si="115"/>
        <v/>
      </c>
      <c r="AL947" s="181" t="str">
        <f t="shared" si="116"/>
        <v/>
      </c>
      <c r="AM947" s="181" t="str">
        <f t="shared" si="117"/>
        <v/>
      </c>
      <c r="AN947" s="181" t="str">
        <f t="shared" si="118"/>
        <v/>
      </c>
      <c r="AO947" s="192" t="str">
        <f t="shared" si="119"/>
        <v/>
      </c>
      <c r="AQ947" t="str">
        <f>IFERROR(LOOKUP(2,1/((C_Pavement!$A$5:$A$204&lt;&gt;"")*(C_Pavement!$A$5:$A$204&lt;=$B947)*(C_Pavement!$B$5:$B$204&gt;$B947)*(C_Pavement!$C$5:$C$204&lt;&gt;"")),ROW(C_Pavement!$C$5:$C$204)-4),"")</f>
        <v/>
      </c>
      <c r="AR947" t="str">
        <f>IF($AQ947="","",UPPER(TRIM(INDEX(C_Pavement!$C$5:$C$204,$AQ947))))</f>
        <v/>
      </c>
      <c r="AS947" t="str">
        <f>IF($AR947="","",IFERROR(MATCH($AR947,E_Rules!$A$5:$A$9,0),""))</f>
        <v/>
      </c>
      <c r="AT947" t="str">
        <f>IF($AQ947="","",IF(INDEX(C_Pavement!$D$5:$D$204,$AQ947)&lt;&gt;"",UPPER(TRIM(INDEX(C_Pavement!$D$5:$D$204,$AQ947))),IF($AS947="","",INDEX(E_Rules!$C$5:$C$9,$AS947))))</f>
        <v/>
      </c>
      <c r="AU947" t="str">
        <f>IF($AQ947="","",IF(INDEX(C_Pavement!$E$5:$E$204,$AQ947)&lt;&gt;"",IF(INDEX(C_Pavement!$E$5:$E$204,$AQ947)="-","",INDEX(C_Pavement!$E$5:$E$204,$AQ947)),IF($AS947="","",INDEX(E_Rules!$D$5:$D$9,$AS947))))</f>
        <v/>
      </c>
      <c r="AV947" t="str">
        <f>IF($AQ947="","",IF(INDEX(C_Pavement!$F$5:$F$204,$AQ947)&lt;&gt;"",IF(INDEX(C_Pavement!$F$5:$F$204,$AQ947)="-","",INDEX(C_Pavement!$F$5:$F$204,$AQ947)),IF($AS947="","",INDEX(E_Rules!$E$5:$E$9,$AS947))))</f>
        <v/>
      </c>
      <c r="AW947" t="str">
        <f>IF($AQ947="","",IF(INDEX(C_Pavement!$G$5:$G$204,$AQ947)&lt;&gt;"",IF(INDEX(C_Pavement!$G$5:$G$204,$AQ947)="-","",INDEX(C_Pavement!$G$5:$G$204,$AQ947)),IF($AS947="","",INDEX(E_Rules!$F$5:$F$9,$AS947))))</f>
        <v/>
      </c>
      <c r="AX947" t="str">
        <f>IF($AQ947="","",IF(INDEX(C_Pavement!$H$5:$H$204,$AQ947)&lt;&gt;"",IF(INDEX(C_Pavement!$H$5:$H$204,$AQ947)="-","",INDEX(C_Pavement!$H$5:$H$204,$AQ947)),IF($AS947="","",INDEX(E_Rules!$G$5:$G$9,$AS947))))</f>
        <v/>
      </c>
      <c r="AY947" t="str">
        <f>IF($AQ947="","",IF(INDEX(C_Pavement!$I$5:$I$204,$AQ947)&lt;&gt;"",IF(INDEX(C_Pavement!$I$5:$I$204,$AQ947)="-","",INDEX(C_Pavement!$I$5:$I$204,$AQ947)),IF($AS947="","",INDEX(E_Rules!$H$5:$H$9,$AS947))))</f>
        <v/>
      </c>
    </row>
    <row r="948" spans="1:51" ht="15.75" customHeight="1" x14ac:dyDescent="0.3">
      <c r="A948" s="189">
        <v>943</v>
      </c>
      <c r="B948" s="180">
        <v>47100</v>
      </c>
      <c r="C948" s="180" t="s">
        <v>1254</v>
      </c>
      <c r="D948" s="181" t="str">
        <f>IFERROR(LOOKUP(2,1/((A_Corridor!$A$5:$A$204&lt;&gt;"")*(A_Corridor!$A$5:$A$204&lt;=$B948)*(A_Corridor!$B$5:$B$204&gt;$B948)*(A_Corridor!$C$5:$C$204&lt;&gt;"")),IF(UPPER(A_Corridor!$C$5:$C$204)="Y",1,"")),"")</f>
        <v/>
      </c>
      <c r="E948" s="181" t="str">
        <f>IFERROR(LOOKUP(2,1/((A_Corridor!$A$5:$A$204&lt;&gt;"")*(A_Corridor!$A$5:$A$204&lt;=$B948)*(A_Corridor!$B$5:$B$204&gt;$B948)*(A_Corridor!$D$5:$D$204&lt;&gt;"")),IF(A_Corridor!$D$5:$D$204="-","",UPPER(A_Corridor!$D$5:$D$204))),"")</f>
        <v/>
      </c>
      <c r="F948" s="181" t="str">
        <f>IFERROR(LOOKUP(2,1/((A_Corridor!$A$5:$A$204&lt;&gt;"")*(A_Corridor!$A$5:$A$204&lt;=$B948)*(A_Corridor!$B$5:$B$204&gt;$B948)*(A_Corridor!$E$5:$E$204&lt;&gt;"")),IF(A_Corridor!$E$5:$E$204="-","",1)),"")</f>
        <v/>
      </c>
      <c r="G948" s="182" t="str">
        <f>IFERROR(LOOKUP(2,1/((A_Corridor!$A$5:$A$204&lt;&gt;"")*(A_Corridor!$A$5:$A$204&lt;=$B948)*(A_Corridor!$B$5:$B$204&gt;$B948)*(A_Corridor!$E$5:$E$204&lt;&gt;"")),IF(A_Corridor!$E$5:$E$204="-","",A_Corridor!$E$5:$E$204)),"")</f>
        <v/>
      </c>
      <c r="H948" s="182" t="str">
        <f>IFERROR(LOOKUP(2,1/((D_Points!$A$5:$A$204&lt;&gt;"")*(D_Points!$A$5:$A$204&gt;=$B948)*(D_Points!$A$5:$A$204&lt;$B948+P_Interval)*(UPPER(TRIM(D_Points!$B$5:$B$204))="GULLY")*(D_Points!$H$5:$H$204&lt;&gt;"")),D_Points!$H$5:$H$204),"")</f>
        <v/>
      </c>
      <c r="I948" s="181" t="str">
        <f>IFERROR(LOOKUP(2,1/((A_Corridor!$A$5:$A$204&lt;&gt;"")*(A_Corridor!$A$5:$A$204&lt;=$B948)*(A_Corridor!$B$5:$B$204&gt;$B948)*(A_Corridor!$F$5:$F$204&lt;&gt;"")),IF(A_Corridor!$F$5:$F$204="-","",1)),"")</f>
        <v/>
      </c>
      <c r="J948" s="182" t="str">
        <f>IFERROR(LOOKUP(2,1/((A_Corridor!$A$5:$A$204&lt;&gt;"")*(A_Corridor!$A$5:$A$204&lt;=$B948)*(A_Corridor!$B$5:$B$204&gt;$B948)*(A_Corridor!$F$5:$F$204&lt;&gt;"")),IF(A_Corridor!$F$5:$F$204="-","",A_Corridor!$F$5:$F$204)),"")</f>
        <v/>
      </c>
      <c r="K948" s="182" t="str">
        <f>IFERROR(LOOKUP(2,1/((A_Corridor!$A$5:$A$204&lt;&gt;"")*(A_Corridor!$A$5:$A$204&lt;=$B948)*(A_Corridor!$B$5:$B$204&gt;$B948)*(A_Corridor!$G$5:$G$204&lt;&gt;"")),IF(A_Corridor!$G$5:$G$204="-","",A_Corridor!$G$5:$G$204)),"")</f>
        <v/>
      </c>
      <c r="L948" s="181" t="str">
        <f>IFERROR(LOOKUP(2,1/((A_Corridor!$A$5:$A$204&lt;&gt;"")*(A_Corridor!$A$5:$A$204&lt;=$B948)*(A_Corridor!$B$5:$B$204&gt;$B948)*(A_Corridor!$H$5:$H$204&lt;&gt;"")),IF(A_Corridor!$H$5:$H$204="-","",1)),"")</f>
        <v/>
      </c>
      <c r="M948" s="182" t="str">
        <f>IFERROR(LOOKUP(2,1/((A_Corridor!$A$5:$A$204&lt;&gt;"")*(A_Corridor!$A$5:$A$204&lt;=$B948)*(A_Corridor!$B$5:$B$204&gt;$B948)*(A_Corridor!$H$5:$H$204&lt;&gt;"")),IF(A_Corridor!$H$5:$H$204="-","",A_Corridor!$H$5:$H$204)),"")</f>
        <v/>
      </c>
      <c r="N948" s="182" t="str">
        <f>IFERROR(LOOKUP(2,1/((A_Corridor!$A$5:$A$204&lt;&gt;"")*(A_Corridor!$A$5:$A$204&lt;=$B948)*(A_Corridor!$B$5:$B$204&gt;$B948)*(A_Corridor!$I$5:$I$204&lt;&gt;"")),IF(A_Corridor!$I$5:$I$204="-","",A_Corridor!$I$5:$I$204)),"")</f>
        <v/>
      </c>
      <c r="O948" s="182" t="str">
        <f>IFERROR(LOOKUP(2,1/((D_Points!$A$5:$A$204&lt;&gt;"")*(D_Points!$A$5:$A$204&gt;=$B948)*(D_Points!$A$5:$A$204&lt;$B948+P_Interval)*(UPPER(TRIM(D_Points!$B$5:$B$204))="PITCHING")*(D_Points!$H$5:$H$204&lt;&gt;"")),D_Points!$H$5:$H$204),"")</f>
        <v/>
      </c>
      <c r="P948" s="181" t="str">
        <f>IFERROR(LOOKUP(2,1/((B_Drainage!$A$5:$A$204&lt;&gt;"")*(B_Drainage!$A$5:$A$204&lt;=$B948)*(B_Drainage!$B$5:$B$204&gt;$B948)*(B_Drainage!$C$5:$C$204&lt;&gt;"")),IF(B_Drainage!$C$5:$C$204="-","",UPPER(B_Drainage!$C$5:$C$204))),"")</f>
        <v/>
      </c>
      <c r="Q948" s="181" t="str">
        <f>IFERROR(LOOKUP(2,1/((B_Drainage!$A$5:$A$204&lt;&gt;"")*(B_Drainage!$A$5:$A$204&lt;=$B948)*(B_Drainage!$B$5:$B$204&gt;$B948)*(B_Drainage!$D$5:$D$204&lt;&gt;"")),IF(B_Drainage!$D$5:$D$204="-","",UPPER(B_Drainage!$D$5:$D$204))),"")</f>
        <v/>
      </c>
      <c r="R948" s="182" t="str">
        <f>IFERROR(LOOKUP(2,1/((D_Points!$A$5:$A$204&lt;&gt;"")*(D_Points!$A$5:$A$204&gt;=$B948)*(D_Points!$A$5:$A$204&lt;$B948+P_Interval)*(RIGHT(UPPER(TRIM(D_Points!$B$5:$B$204)),8)="_CULVERT")),IF(LEFT(UPPER(TRIM(D_Points!$B$5:$B$204)),2)="EX",1,IF(LEFT(UPPER(TRIM(D_Points!$B$5:$B$204)),2)="PR",2,3))),"")</f>
        <v/>
      </c>
      <c r="S948" s="182" t="str">
        <f>IFERROR(LOOKUP(2,1/((D_Points!$A$5:$A$204&lt;&gt;"")*(D_Points!$A$5:$A$204&gt;=$B948)*(D_Points!$A$5:$A$204&lt;$B948+P_Interval)*(RIGHT(UPPER(TRIM(D_Points!$B$5:$B$204)),7)="_BRIDGE")),IF(LEFT(UPPER(TRIM(D_Points!$B$5:$B$204)),2)="EX",1,IF(LEFT(UPPER(TRIM(D_Points!$B$5:$B$204)),2)="PR",2,2))),"")</f>
        <v/>
      </c>
      <c r="T948" s="181" t="str">
        <f>IFERROR(LOOKUP(2,1/((B_Drainage!$A$5:$A$204&lt;&gt;"")*(B_Drainage!$A$5:$A$204&lt;=$B948)*(B_Drainage!$B$5:$B$204&gt;$B948)*(B_Drainage!$E$5:$E$204&lt;&gt;"")),IF(B_Drainage!$E$5:$E$204="-","",1)),"")</f>
        <v/>
      </c>
      <c r="U948" s="181" t="str">
        <f>IFERROR(LOOKUP(2,1/((B_Drainage!$A$5:$A$204&lt;&gt;"")*(B_Drainage!$A$5:$A$204&lt;=$B948)*(B_Drainage!$B$5:$B$204&gt;$B948)*(B_Drainage!$E$5:$E$204&lt;&gt;"")),IF(B_Drainage!$E$5:$E$204="-","",B_Drainage!$E$5:$E$204)),"")</f>
        <v/>
      </c>
      <c r="V948" s="181" t="str">
        <f>IFERROR(LOOKUP(2,1/((B_Drainage!$A$5:$A$204&lt;&gt;"")*(B_Drainage!$A$5:$A$204&lt;=$B948)*(B_Drainage!$B$5:$B$204&gt;$B948)*(B_Drainage!$F$5:$F$204&lt;&gt;"")),IF(B_Drainage!$F$5:$F$204="-","",1)),"")</f>
        <v/>
      </c>
      <c r="W948" s="181" t="str">
        <f>IFERROR(LOOKUP(2,1/((B_Drainage!$A$5:$A$204&lt;&gt;"")*(B_Drainage!$A$5:$A$204&lt;=$B948)*(B_Drainage!$B$5:$B$204&gt;$B948)*(B_Drainage!$F$5:$F$204&lt;&gt;"")),IF(B_Drainage!$F$5:$F$204="-","",B_Drainage!$F$5:$F$204)),"")</f>
        <v/>
      </c>
      <c r="X948" s="181" t="str">
        <f>IFERROR(LOOKUP(2,1/((B_Drainage!$A$5:$A$204&lt;&gt;"")*(B_Drainage!$A$5:$A$204&lt;=$B948)*(B_Drainage!$B$5:$B$204&gt;$B948)*(B_Drainage!$G$5:$G$204&lt;&gt;"")),IF(UPPER(B_Drainage!$G$5:$G$204)="Y",1,"")),"")</f>
        <v/>
      </c>
      <c r="Y948" s="181" t="str">
        <f>IFERROR(LOOKUP(2,1/((B_Drainage!$A$5:$A$204&lt;&gt;"")*(B_Drainage!$A$5:$A$204&lt;=$B948)*(B_Drainage!$B$5:$B$204&gt;$B948)*(B_Drainage!$H$5:$H$204&lt;&gt;"")),IF(UPPER(B_Drainage!$H$5:$H$204)="Y",1,"")),"")</f>
        <v/>
      </c>
      <c r="Z948" s="181" t="str">
        <f>IFERROR(LOOKUP(2,1/((B_Drainage!$A$5:$A$204&lt;&gt;"")*(B_Drainage!$A$5:$A$204&lt;=$B948)*(B_Drainage!$B$5:$B$204&gt;$B948)*(B_Drainage!$I$5:$I$204&lt;&gt;"")),IF(UPPER(B_Drainage!$I$5:$I$204)="Y",1,"")),"")</f>
        <v/>
      </c>
      <c r="AA948" s="181" t="str">
        <f>IFERROR(LOOKUP(2,1/((B_Drainage!$A$5:$A$204&lt;&gt;"")*(B_Drainage!$A$5:$A$204&lt;=$B948)*(B_Drainage!$B$5:$B$204&gt;$B948)*(B_Drainage!$J$5:$J$204&lt;&gt;"")),IF(UPPER(B_Drainage!$J$5:$J$204)="Y",1,"")),"")</f>
        <v/>
      </c>
      <c r="AB948" s="182" t="str">
        <f>IFERROR(LOOKUP(2,1/((B_Drainage!$A$5:$A$204&lt;&gt;"")*(B_Drainage!$A$5:$A$204&lt;=$B948)*(B_Drainage!$B$5:$B$204&gt;$B948)*(B_Drainage!$K$5:$K$204&lt;&gt;"")),IF(B_Drainage!$K$5:$K$204="-","",B_Drainage!$K$5:$K$204)),"")</f>
        <v/>
      </c>
      <c r="AC948" s="182" t="str">
        <f>IFERROR(LOOKUP(2,1/((B_Drainage!$A$5:$A$204&lt;&gt;"")*(B_Drainage!$A$5:$A$204&lt;=$B948)*(B_Drainage!$B$5:$B$204&gt;$B948)*(B_Drainage!$L$5:$L$204&lt;&gt;"")),IF(B_Drainage!$L$5:$L$204="-","",B_Drainage!$L$5:$L$204)),"")</f>
        <v/>
      </c>
      <c r="AD948" s="182" t="str">
        <f>IFERROR(LOOKUP(2,1/((D_Points!$A$5:$A$204&lt;&gt;"")*(D_Points!$A$5:$A$204&gt;=$B948)*(D_Points!$A$5:$A$204&lt;$B948+P_Interval)*(UPPER(TRIM(D_Points!$B$5:$B$204))="TURNOUT_L")*(D_Points!$H$5:$H$204&lt;&gt;"")),D_Points!$H$5:$H$204),"")</f>
        <v/>
      </c>
      <c r="AE948" s="182" t="str">
        <f>IFERROR(LOOKUP(2,1/((D_Points!$A$5:$A$204&lt;&gt;"")*(D_Points!$A$5:$A$204&gt;=$B948)*(D_Points!$A$5:$A$204&lt;$B948+P_Interval)*(UPPER(TRIM(D_Points!$B$5:$B$204))="TURNOUT_R")*(D_Points!$H$5:$H$204&lt;&gt;"")),D_Points!$H$5:$H$204),"")</f>
        <v/>
      </c>
      <c r="AF948" s="181" t="str">
        <f>IFERROR(LOOKUP(2,1/((B_Drainage!$A$5:$A$204&lt;&gt;"")*(B_Drainage!$A$5:$A$204&lt;=$B948)*(B_Drainage!$B$5:$B$204&gt;$B948)*(B_Drainage!$M$5:$M$204&lt;&gt;"")),IF(UPPER(B_Drainage!$M$5:$M$204)="Y",1,"")),"")</f>
        <v/>
      </c>
      <c r="AG948" s="181" t="str">
        <f>IFERROR(LOOKUP(2,1/((B_Drainage!$A$5:$A$204&lt;&gt;"")*(B_Drainage!$A$5:$A$204&lt;=$B948)*(B_Drainage!$B$5:$B$204&gt;$B948)*(B_Drainage!$N$5:$N$204&lt;&gt;"")),IF(UPPER(B_Drainage!$N$5:$N$204)="Y",1,"")),"")</f>
        <v/>
      </c>
      <c r="AH948" s="181" t="str">
        <f t="shared" si="112"/>
        <v/>
      </c>
      <c r="AI948" s="181" t="str">
        <f t="shared" si="113"/>
        <v/>
      </c>
      <c r="AJ948" s="181" t="str">
        <f t="shared" si="114"/>
        <v/>
      </c>
      <c r="AK948" s="181" t="str">
        <f t="shared" si="115"/>
        <v/>
      </c>
      <c r="AL948" s="181" t="str">
        <f t="shared" si="116"/>
        <v/>
      </c>
      <c r="AM948" s="181" t="str">
        <f t="shared" si="117"/>
        <v/>
      </c>
      <c r="AN948" s="181" t="str">
        <f t="shared" si="118"/>
        <v/>
      </c>
      <c r="AO948" s="192" t="str">
        <f t="shared" si="119"/>
        <v/>
      </c>
      <c r="AQ948" t="str">
        <f>IFERROR(LOOKUP(2,1/((C_Pavement!$A$5:$A$204&lt;&gt;"")*(C_Pavement!$A$5:$A$204&lt;=$B948)*(C_Pavement!$B$5:$B$204&gt;$B948)*(C_Pavement!$C$5:$C$204&lt;&gt;"")),ROW(C_Pavement!$C$5:$C$204)-4),"")</f>
        <v/>
      </c>
      <c r="AR948" t="str">
        <f>IF($AQ948="","",UPPER(TRIM(INDEX(C_Pavement!$C$5:$C$204,$AQ948))))</f>
        <v/>
      </c>
      <c r="AS948" t="str">
        <f>IF($AR948="","",IFERROR(MATCH($AR948,E_Rules!$A$5:$A$9,0),""))</f>
        <v/>
      </c>
      <c r="AT948" t="str">
        <f>IF($AQ948="","",IF(INDEX(C_Pavement!$D$5:$D$204,$AQ948)&lt;&gt;"",UPPER(TRIM(INDEX(C_Pavement!$D$5:$D$204,$AQ948))),IF($AS948="","",INDEX(E_Rules!$C$5:$C$9,$AS948))))</f>
        <v/>
      </c>
      <c r="AU948" t="str">
        <f>IF($AQ948="","",IF(INDEX(C_Pavement!$E$5:$E$204,$AQ948)&lt;&gt;"",IF(INDEX(C_Pavement!$E$5:$E$204,$AQ948)="-","",INDEX(C_Pavement!$E$5:$E$204,$AQ948)),IF($AS948="","",INDEX(E_Rules!$D$5:$D$9,$AS948))))</f>
        <v/>
      </c>
      <c r="AV948" t="str">
        <f>IF($AQ948="","",IF(INDEX(C_Pavement!$F$5:$F$204,$AQ948)&lt;&gt;"",IF(INDEX(C_Pavement!$F$5:$F$204,$AQ948)="-","",INDEX(C_Pavement!$F$5:$F$204,$AQ948)),IF($AS948="","",INDEX(E_Rules!$E$5:$E$9,$AS948))))</f>
        <v/>
      </c>
      <c r="AW948" t="str">
        <f>IF($AQ948="","",IF(INDEX(C_Pavement!$G$5:$G$204,$AQ948)&lt;&gt;"",IF(INDEX(C_Pavement!$G$5:$G$204,$AQ948)="-","",INDEX(C_Pavement!$G$5:$G$204,$AQ948)),IF($AS948="","",INDEX(E_Rules!$F$5:$F$9,$AS948))))</f>
        <v/>
      </c>
      <c r="AX948" t="str">
        <f>IF($AQ948="","",IF(INDEX(C_Pavement!$H$5:$H$204,$AQ948)&lt;&gt;"",IF(INDEX(C_Pavement!$H$5:$H$204,$AQ948)="-","",INDEX(C_Pavement!$H$5:$H$204,$AQ948)),IF($AS948="","",INDEX(E_Rules!$G$5:$G$9,$AS948))))</f>
        <v/>
      </c>
      <c r="AY948" t="str">
        <f>IF($AQ948="","",IF(INDEX(C_Pavement!$I$5:$I$204,$AQ948)&lt;&gt;"",IF(INDEX(C_Pavement!$I$5:$I$204,$AQ948)="-","",INDEX(C_Pavement!$I$5:$I$204,$AQ948)),IF($AS948="","",INDEX(E_Rules!$H$5:$H$9,$AS948))))</f>
        <v/>
      </c>
    </row>
    <row r="949" spans="1:51" ht="15.75" customHeight="1" x14ac:dyDescent="0.3">
      <c r="A949" s="189">
        <v>944</v>
      </c>
      <c r="B949" s="180">
        <v>47150</v>
      </c>
      <c r="C949" s="180" t="s">
        <v>1255</v>
      </c>
      <c r="D949" s="181" t="str">
        <f>IFERROR(LOOKUP(2,1/((A_Corridor!$A$5:$A$204&lt;&gt;"")*(A_Corridor!$A$5:$A$204&lt;=$B949)*(A_Corridor!$B$5:$B$204&gt;$B949)*(A_Corridor!$C$5:$C$204&lt;&gt;"")),IF(UPPER(A_Corridor!$C$5:$C$204)="Y",1,"")),"")</f>
        <v/>
      </c>
      <c r="E949" s="181" t="str">
        <f>IFERROR(LOOKUP(2,1/((A_Corridor!$A$5:$A$204&lt;&gt;"")*(A_Corridor!$A$5:$A$204&lt;=$B949)*(A_Corridor!$B$5:$B$204&gt;$B949)*(A_Corridor!$D$5:$D$204&lt;&gt;"")),IF(A_Corridor!$D$5:$D$204="-","",UPPER(A_Corridor!$D$5:$D$204))),"")</f>
        <v/>
      </c>
      <c r="F949" s="181" t="str">
        <f>IFERROR(LOOKUP(2,1/((A_Corridor!$A$5:$A$204&lt;&gt;"")*(A_Corridor!$A$5:$A$204&lt;=$B949)*(A_Corridor!$B$5:$B$204&gt;$B949)*(A_Corridor!$E$5:$E$204&lt;&gt;"")),IF(A_Corridor!$E$5:$E$204="-","",1)),"")</f>
        <v/>
      </c>
      <c r="G949" s="182" t="str">
        <f>IFERROR(LOOKUP(2,1/((A_Corridor!$A$5:$A$204&lt;&gt;"")*(A_Corridor!$A$5:$A$204&lt;=$B949)*(A_Corridor!$B$5:$B$204&gt;$B949)*(A_Corridor!$E$5:$E$204&lt;&gt;"")),IF(A_Corridor!$E$5:$E$204="-","",A_Corridor!$E$5:$E$204)),"")</f>
        <v/>
      </c>
      <c r="H949" s="182" t="str">
        <f>IFERROR(LOOKUP(2,1/((D_Points!$A$5:$A$204&lt;&gt;"")*(D_Points!$A$5:$A$204&gt;=$B949)*(D_Points!$A$5:$A$204&lt;$B949+P_Interval)*(UPPER(TRIM(D_Points!$B$5:$B$204))="GULLY")*(D_Points!$H$5:$H$204&lt;&gt;"")),D_Points!$H$5:$H$204),"")</f>
        <v/>
      </c>
      <c r="I949" s="181" t="str">
        <f>IFERROR(LOOKUP(2,1/((A_Corridor!$A$5:$A$204&lt;&gt;"")*(A_Corridor!$A$5:$A$204&lt;=$B949)*(A_Corridor!$B$5:$B$204&gt;$B949)*(A_Corridor!$F$5:$F$204&lt;&gt;"")),IF(A_Corridor!$F$5:$F$204="-","",1)),"")</f>
        <v/>
      </c>
      <c r="J949" s="182" t="str">
        <f>IFERROR(LOOKUP(2,1/((A_Corridor!$A$5:$A$204&lt;&gt;"")*(A_Corridor!$A$5:$A$204&lt;=$B949)*(A_Corridor!$B$5:$B$204&gt;$B949)*(A_Corridor!$F$5:$F$204&lt;&gt;"")),IF(A_Corridor!$F$5:$F$204="-","",A_Corridor!$F$5:$F$204)),"")</f>
        <v/>
      </c>
      <c r="K949" s="182" t="str">
        <f>IFERROR(LOOKUP(2,1/((A_Corridor!$A$5:$A$204&lt;&gt;"")*(A_Corridor!$A$5:$A$204&lt;=$B949)*(A_Corridor!$B$5:$B$204&gt;$B949)*(A_Corridor!$G$5:$G$204&lt;&gt;"")),IF(A_Corridor!$G$5:$G$204="-","",A_Corridor!$G$5:$G$204)),"")</f>
        <v/>
      </c>
      <c r="L949" s="181" t="str">
        <f>IFERROR(LOOKUP(2,1/((A_Corridor!$A$5:$A$204&lt;&gt;"")*(A_Corridor!$A$5:$A$204&lt;=$B949)*(A_Corridor!$B$5:$B$204&gt;$B949)*(A_Corridor!$H$5:$H$204&lt;&gt;"")),IF(A_Corridor!$H$5:$H$204="-","",1)),"")</f>
        <v/>
      </c>
      <c r="M949" s="182" t="str">
        <f>IFERROR(LOOKUP(2,1/((A_Corridor!$A$5:$A$204&lt;&gt;"")*(A_Corridor!$A$5:$A$204&lt;=$B949)*(A_Corridor!$B$5:$B$204&gt;$B949)*(A_Corridor!$H$5:$H$204&lt;&gt;"")),IF(A_Corridor!$H$5:$H$204="-","",A_Corridor!$H$5:$H$204)),"")</f>
        <v/>
      </c>
      <c r="N949" s="182" t="str">
        <f>IFERROR(LOOKUP(2,1/((A_Corridor!$A$5:$A$204&lt;&gt;"")*(A_Corridor!$A$5:$A$204&lt;=$B949)*(A_Corridor!$B$5:$B$204&gt;$B949)*(A_Corridor!$I$5:$I$204&lt;&gt;"")),IF(A_Corridor!$I$5:$I$204="-","",A_Corridor!$I$5:$I$204)),"")</f>
        <v/>
      </c>
      <c r="O949" s="182" t="str">
        <f>IFERROR(LOOKUP(2,1/((D_Points!$A$5:$A$204&lt;&gt;"")*(D_Points!$A$5:$A$204&gt;=$B949)*(D_Points!$A$5:$A$204&lt;$B949+P_Interval)*(UPPER(TRIM(D_Points!$B$5:$B$204))="PITCHING")*(D_Points!$H$5:$H$204&lt;&gt;"")),D_Points!$H$5:$H$204),"")</f>
        <v/>
      </c>
      <c r="P949" s="181" t="str">
        <f>IFERROR(LOOKUP(2,1/((B_Drainage!$A$5:$A$204&lt;&gt;"")*(B_Drainage!$A$5:$A$204&lt;=$B949)*(B_Drainage!$B$5:$B$204&gt;$B949)*(B_Drainage!$C$5:$C$204&lt;&gt;"")),IF(B_Drainage!$C$5:$C$204="-","",UPPER(B_Drainage!$C$5:$C$204))),"")</f>
        <v/>
      </c>
      <c r="Q949" s="181" t="str">
        <f>IFERROR(LOOKUP(2,1/((B_Drainage!$A$5:$A$204&lt;&gt;"")*(B_Drainage!$A$5:$A$204&lt;=$B949)*(B_Drainage!$B$5:$B$204&gt;$B949)*(B_Drainage!$D$5:$D$204&lt;&gt;"")),IF(B_Drainage!$D$5:$D$204="-","",UPPER(B_Drainage!$D$5:$D$204))),"")</f>
        <v/>
      </c>
      <c r="R949" s="182" t="str">
        <f>IFERROR(LOOKUP(2,1/((D_Points!$A$5:$A$204&lt;&gt;"")*(D_Points!$A$5:$A$204&gt;=$B949)*(D_Points!$A$5:$A$204&lt;$B949+P_Interval)*(RIGHT(UPPER(TRIM(D_Points!$B$5:$B$204)),8)="_CULVERT")),IF(LEFT(UPPER(TRIM(D_Points!$B$5:$B$204)),2)="EX",1,IF(LEFT(UPPER(TRIM(D_Points!$B$5:$B$204)),2)="PR",2,3))),"")</f>
        <v/>
      </c>
      <c r="S949" s="182" t="str">
        <f>IFERROR(LOOKUP(2,1/((D_Points!$A$5:$A$204&lt;&gt;"")*(D_Points!$A$5:$A$204&gt;=$B949)*(D_Points!$A$5:$A$204&lt;$B949+P_Interval)*(RIGHT(UPPER(TRIM(D_Points!$B$5:$B$204)),7)="_BRIDGE")),IF(LEFT(UPPER(TRIM(D_Points!$B$5:$B$204)),2)="EX",1,IF(LEFT(UPPER(TRIM(D_Points!$B$5:$B$204)),2)="PR",2,2))),"")</f>
        <v/>
      </c>
      <c r="T949" s="181" t="str">
        <f>IFERROR(LOOKUP(2,1/((B_Drainage!$A$5:$A$204&lt;&gt;"")*(B_Drainage!$A$5:$A$204&lt;=$B949)*(B_Drainage!$B$5:$B$204&gt;$B949)*(B_Drainage!$E$5:$E$204&lt;&gt;"")),IF(B_Drainage!$E$5:$E$204="-","",1)),"")</f>
        <v/>
      </c>
      <c r="U949" s="181" t="str">
        <f>IFERROR(LOOKUP(2,1/((B_Drainage!$A$5:$A$204&lt;&gt;"")*(B_Drainage!$A$5:$A$204&lt;=$B949)*(B_Drainage!$B$5:$B$204&gt;$B949)*(B_Drainage!$E$5:$E$204&lt;&gt;"")),IF(B_Drainage!$E$5:$E$204="-","",B_Drainage!$E$5:$E$204)),"")</f>
        <v/>
      </c>
      <c r="V949" s="181" t="str">
        <f>IFERROR(LOOKUP(2,1/((B_Drainage!$A$5:$A$204&lt;&gt;"")*(B_Drainage!$A$5:$A$204&lt;=$B949)*(B_Drainage!$B$5:$B$204&gt;$B949)*(B_Drainage!$F$5:$F$204&lt;&gt;"")),IF(B_Drainage!$F$5:$F$204="-","",1)),"")</f>
        <v/>
      </c>
      <c r="W949" s="181" t="str">
        <f>IFERROR(LOOKUP(2,1/((B_Drainage!$A$5:$A$204&lt;&gt;"")*(B_Drainage!$A$5:$A$204&lt;=$B949)*(B_Drainage!$B$5:$B$204&gt;$B949)*(B_Drainage!$F$5:$F$204&lt;&gt;"")),IF(B_Drainage!$F$5:$F$204="-","",B_Drainage!$F$5:$F$204)),"")</f>
        <v/>
      </c>
      <c r="X949" s="181" t="str">
        <f>IFERROR(LOOKUP(2,1/((B_Drainage!$A$5:$A$204&lt;&gt;"")*(B_Drainage!$A$5:$A$204&lt;=$B949)*(B_Drainage!$B$5:$B$204&gt;$B949)*(B_Drainage!$G$5:$G$204&lt;&gt;"")),IF(UPPER(B_Drainage!$G$5:$G$204)="Y",1,"")),"")</f>
        <v/>
      </c>
      <c r="Y949" s="181" t="str">
        <f>IFERROR(LOOKUP(2,1/((B_Drainage!$A$5:$A$204&lt;&gt;"")*(B_Drainage!$A$5:$A$204&lt;=$B949)*(B_Drainage!$B$5:$B$204&gt;$B949)*(B_Drainage!$H$5:$H$204&lt;&gt;"")),IF(UPPER(B_Drainage!$H$5:$H$204)="Y",1,"")),"")</f>
        <v/>
      </c>
      <c r="Z949" s="181" t="str">
        <f>IFERROR(LOOKUP(2,1/((B_Drainage!$A$5:$A$204&lt;&gt;"")*(B_Drainage!$A$5:$A$204&lt;=$B949)*(B_Drainage!$B$5:$B$204&gt;$B949)*(B_Drainage!$I$5:$I$204&lt;&gt;"")),IF(UPPER(B_Drainage!$I$5:$I$204)="Y",1,"")),"")</f>
        <v/>
      </c>
      <c r="AA949" s="181" t="str">
        <f>IFERROR(LOOKUP(2,1/((B_Drainage!$A$5:$A$204&lt;&gt;"")*(B_Drainage!$A$5:$A$204&lt;=$B949)*(B_Drainage!$B$5:$B$204&gt;$B949)*(B_Drainage!$J$5:$J$204&lt;&gt;"")),IF(UPPER(B_Drainage!$J$5:$J$204)="Y",1,"")),"")</f>
        <v/>
      </c>
      <c r="AB949" s="182" t="str">
        <f>IFERROR(LOOKUP(2,1/((B_Drainage!$A$5:$A$204&lt;&gt;"")*(B_Drainage!$A$5:$A$204&lt;=$B949)*(B_Drainage!$B$5:$B$204&gt;$B949)*(B_Drainage!$K$5:$K$204&lt;&gt;"")),IF(B_Drainage!$K$5:$K$204="-","",B_Drainage!$K$5:$K$204)),"")</f>
        <v/>
      </c>
      <c r="AC949" s="182" t="str">
        <f>IFERROR(LOOKUP(2,1/((B_Drainage!$A$5:$A$204&lt;&gt;"")*(B_Drainage!$A$5:$A$204&lt;=$B949)*(B_Drainage!$B$5:$B$204&gt;$B949)*(B_Drainage!$L$5:$L$204&lt;&gt;"")),IF(B_Drainage!$L$5:$L$204="-","",B_Drainage!$L$5:$L$204)),"")</f>
        <v/>
      </c>
      <c r="AD949" s="182" t="str">
        <f>IFERROR(LOOKUP(2,1/((D_Points!$A$5:$A$204&lt;&gt;"")*(D_Points!$A$5:$A$204&gt;=$B949)*(D_Points!$A$5:$A$204&lt;$B949+P_Interval)*(UPPER(TRIM(D_Points!$B$5:$B$204))="TURNOUT_L")*(D_Points!$H$5:$H$204&lt;&gt;"")),D_Points!$H$5:$H$204),"")</f>
        <v/>
      </c>
      <c r="AE949" s="182" t="str">
        <f>IFERROR(LOOKUP(2,1/((D_Points!$A$5:$A$204&lt;&gt;"")*(D_Points!$A$5:$A$204&gt;=$B949)*(D_Points!$A$5:$A$204&lt;$B949+P_Interval)*(UPPER(TRIM(D_Points!$B$5:$B$204))="TURNOUT_R")*(D_Points!$H$5:$H$204&lt;&gt;"")),D_Points!$H$5:$H$204),"")</f>
        <v/>
      </c>
      <c r="AF949" s="181" t="str">
        <f>IFERROR(LOOKUP(2,1/((B_Drainage!$A$5:$A$204&lt;&gt;"")*(B_Drainage!$A$5:$A$204&lt;=$B949)*(B_Drainage!$B$5:$B$204&gt;$B949)*(B_Drainage!$M$5:$M$204&lt;&gt;"")),IF(UPPER(B_Drainage!$M$5:$M$204)="Y",1,"")),"")</f>
        <v/>
      </c>
      <c r="AG949" s="181" t="str">
        <f>IFERROR(LOOKUP(2,1/((B_Drainage!$A$5:$A$204&lt;&gt;"")*(B_Drainage!$A$5:$A$204&lt;=$B949)*(B_Drainage!$B$5:$B$204&gt;$B949)*(B_Drainage!$N$5:$N$204&lt;&gt;"")),IF(UPPER(B_Drainage!$N$5:$N$204)="Y",1,"")),"")</f>
        <v/>
      </c>
      <c r="AH949" s="181" t="str">
        <f t="shared" si="112"/>
        <v/>
      </c>
      <c r="AI949" s="181" t="str">
        <f t="shared" si="113"/>
        <v/>
      </c>
      <c r="AJ949" s="181" t="str">
        <f t="shared" si="114"/>
        <v/>
      </c>
      <c r="AK949" s="181" t="str">
        <f t="shared" si="115"/>
        <v/>
      </c>
      <c r="AL949" s="181" t="str">
        <f t="shared" si="116"/>
        <v/>
      </c>
      <c r="AM949" s="181" t="str">
        <f t="shared" si="117"/>
        <v/>
      </c>
      <c r="AN949" s="181" t="str">
        <f t="shared" si="118"/>
        <v/>
      </c>
      <c r="AO949" s="192" t="str">
        <f t="shared" si="119"/>
        <v/>
      </c>
      <c r="AQ949" t="str">
        <f>IFERROR(LOOKUP(2,1/((C_Pavement!$A$5:$A$204&lt;&gt;"")*(C_Pavement!$A$5:$A$204&lt;=$B949)*(C_Pavement!$B$5:$B$204&gt;$B949)*(C_Pavement!$C$5:$C$204&lt;&gt;"")),ROW(C_Pavement!$C$5:$C$204)-4),"")</f>
        <v/>
      </c>
      <c r="AR949" t="str">
        <f>IF($AQ949="","",UPPER(TRIM(INDEX(C_Pavement!$C$5:$C$204,$AQ949))))</f>
        <v/>
      </c>
      <c r="AS949" t="str">
        <f>IF($AR949="","",IFERROR(MATCH($AR949,E_Rules!$A$5:$A$9,0),""))</f>
        <v/>
      </c>
      <c r="AT949" t="str">
        <f>IF($AQ949="","",IF(INDEX(C_Pavement!$D$5:$D$204,$AQ949)&lt;&gt;"",UPPER(TRIM(INDEX(C_Pavement!$D$5:$D$204,$AQ949))),IF($AS949="","",INDEX(E_Rules!$C$5:$C$9,$AS949))))</f>
        <v/>
      </c>
      <c r="AU949" t="str">
        <f>IF($AQ949="","",IF(INDEX(C_Pavement!$E$5:$E$204,$AQ949)&lt;&gt;"",IF(INDEX(C_Pavement!$E$5:$E$204,$AQ949)="-","",INDEX(C_Pavement!$E$5:$E$204,$AQ949)),IF($AS949="","",INDEX(E_Rules!$D$5:$D$9,$AS949))))</f>
        <v/>
      </c>
      <c r="AV949" t="str">
        <f>IF($AQ949="","",IF(INDEX(C_Pavement!$F$5:$F$204,$AQ949)&lt;&gt;"",IF(INDEX(C_Pavement!$F$5:$F$204,$AQ949)="-","",INDEX(C_Pavement!$F$5:$F$204,$AQ949)),IF($AS949="","",INDEX(E_Rules!$E$5:$E$9,$AS949))))</f>
        <v/>
      </c>
      <c r="AW949" t="str">
        <f>IF($AQ949="","",IF(INDEX(C_Pavement!$G$5:$G$204,$AQ949)&lt;&gt;"",IF(INDEX(C_Pavement!$G$5:$G$204,$AQ949)="-","",INDEX(C_Pavement!$G$5:$G$204,$AQ949)),IF($AS949="","",INDEX(E_Rules!$F$5:$F$9,$AS949))))</f>
        <v/>
      </c>
      <c r="AX949" t="str">
        <f>IF($AQ949="","",IF(INDEX(C_Pavement!$H$5:$H$204,$AQ949)&lt;&gt;"",IF(INDEX(C_Pavement!$H$5:$H$204,$AQ949)="-","",INDEX(C_Pavement!$H$5:$H$204,$AQ949)),IF($AS949="","",INDEX(E_Rules!$G$5:$G$9,$AS949))))</f>
        <v/>
      </c>
      <c r="AY949" t="str">
        <f>IF($AQ949="","",IF(INDEX(C_Pavement!$I$5:$I$204,$AQ949)&lt;&gt;"",IF(INDEX(C_Pavement!$I$5:$I$204,$AQ949)="-","",INDEX(C_Pavement!$I$5:$I$204,$AQ949)),IF($AS949="","",INDEX(E_Rules!$H$5:$H$9,$AS949))))</f>
        <v/>
      </c>
    </row>
    <row r="950" spans="1:51" ht="15.75" customHeight="1" x14ac:dyDescent="0.3">
      <c r="A950" s="189">
        <v>945</v>
      </c>
      <c r="B950" s="180">
        <v>47200</v>
      </c>
      <c r="C950" s="180" t="s">
        <v>1256</v>
      </c>
      <c r="D950" s="181" t="str">
        <f>IFERROR(LOOKUP(2,1/((A_Corridor!$A$5:$A$204&lt;&gt;"")*(A_Corridor!$A$5:$A$204&lt;=$B950)*(A_Corridor!$B$5:$B$204&gt;$B950)*(A_Corridor!$C$5:$C$204&lt;&gt;"")),IF(UPPER(A_Corridor!$C$5:$C$204)="Y",1,"")),"")</f>
        <v/>
      </c>
      <c r="E950" s="181" t="str">
        <f>IFERROR(LOOKUP(2,1/((A_Corridor!$A$5:$A$204&lt;&gt;"")*(A_Corridor!$A$5:$A$204&lt;=$B950)*(A_Corridor!$B$5:$B$204&gt;$B950)*(A_Corridor!$D$5:$D$204&lt;&gt;"")),IF(A_Corridor!$D$5:$D$204="-","",UPPER(A_Corridor!$D$5:$D$204))),"")</f>
        <v/>
      </c>
      <c r="F950" s="181" t="str">
        <f>IFERROR(LOOKUP(2,1/((A_Corridor!$A$5:$A$204&lt;&gt;"")*(A_Corridor!$A$5:$A$204&lt;=$B950)*(A_Corridor!$B$5:$B$204&gt;$B950)*(A_Corridor!$E$5:$E$204&lt;&gt;"")),IF(A_Corridor!$E$5:$E$204="-","",1)),"")</f>
        <v/>
      </c>
      <c r="G950" s="182" t="str">
        <f>IFERROR(LOOKUP(2,1/((A_Corridor!$A$5:$A$204&lt;&gt;"")*(A_Corridor!$A$5:$A$204&lt;=$B950)*(A_Corridor!$B$5:$B$204&gt;$B950)*(A_Corridor!$E$5:$E$204&lt;&gt;"")),IF(A_Corridor!$E$5:$E$204="-","",A_Corridor!$E$5:$E$204)),"")</f>
        <v/>
      </c>
      <c r="H950" s="182" t="str">
        <f>IFERROR(LOOKUP(2,1/((D_Points!$A$5:$A$204&lt;&gt;"")*(D_Points!$A$5:$A$204&gt;=$B950)*(D_Points!$A$5:$A$204&lt;$B950+P_Interval)*(UPPER(TRIM(D_Points!$B$5:$B$204))="GULLY")*(D_Points!$H$5:$H$204&lt;&gt;"")),D_Points!$H$5:$H$204),"")</f>
        <v/>
      </c>
      <c r="I950" s="181" t="str">
        <f>IFERROR(LOOKUP(2,1/((A_Corridor!$A$5:$A$204&lt;&gt;"")*(A_Corridor!$A$5:$A$204&lt;=$B950)*(A_Corridor!$B$5:$B$204&gt;$B950)*(A_Corridor!$F$5:$F$204&lt;&gt;"")),IF(A_Corridor!$F$5:$F$204="-","",1)),"")</f>
        <v/>
      </c>
      <c r="J950" s="182" t="str">
        <f>IFERROR(LOOKUP(2,1/((A_Corridor!$A$5:$A$204&lt;&gt;"")*(A_Corridor!$A$5:$A$204&lt;=$B950)*(A_Corridor!$B$5:$B$204&gt;$B950)*(A_Corridor!$F$5:$F$204&lt;&gt;"")),IF(A_Corridor!$F$5:$F$204="-","",A_Corridor!$F$5:$F$204)),"")</f>
        <v/>
      </c>
      <c r="K950" s="182" t="str">
        <f>IFERROR(LOOKUP(2,1/((A_Corridor!$A$5:$A$204&lt;&gt;"")*(A_Corridor!$A$5:$A$204&lt;=$B950)*(A_Corridor!$B$5:$B$204&gt;$B950)*(A_Corridor!$G$5:$G$204&lt;&gt;"")),IF(A_Corridor!$G$5:$G$204="-","",A_Corridor!$G$5:$G$204)),"")</f>
        <v/>
      </c>
      <c r="L950" s="181" t="str">
        <f>IFERROR(LOOKUP(2,1/((A_Corridor!$A$5:$A$204&lt;&gt;"")*(A_Corridor!$A$5:$A$204&lt;=$B950)*(A_Corridor!$B$5:$B$204&gt;$B950)*(A_Corridor!$H$5:$H$204&lt;&gt;"")),IF(A_Corridor!$H$5:$H$204="-","",1)),"")</f>
        <v/>
      </c>
      <c r="M950" s="182" t="str">
        <f>IFERROR(LOOKUP(2,1/((A_Corridor!$A$5:$A$204&lt;&gt;"")*(A_Corridor!$A$5:$A$204&lt;=$B950)*(A_Corridor!$B$5:$B$204&gt;$B950)*(A_Corridor!$H$5:$H$204&lt;&gt;"")),IF(A_Corridor!$H$5:$H$204="-","",A_Corridor!$H$5:$H$204)),"")</f>
        <v/>
      </c>
      <c r="N950" s="182" t="str">
        <f>IFERROR(LOOKUP(2,1/((A_Corridor!$A$5:$A$204&lt;&gt;"")*(A_Corridor!$A$5:$A$204&lt;=$B950)*(A_Corridor!$B$5:$B$204&gt;$B950)*(A_Corridor!$I$5:$I$204&lt;&gt;"")),IF(A_Corridor!$I$5:$I$204="-","",A_Corridor!$I$5:$I$204)),"")</f>
        <v/>
      </c>
      <c r="O950" s="182" t="str">
        <f>IFERROR(LOOKUP(2,1/((D_Points!$A$5:$A$204&lt;&gt;"")*(D_Points!$A$5:$A$204&gt;=$B950)*(D_Points!$A$5:$A$204&lt;$B950+P_Interval)*(UPPER(TRIM(D_Points!$B$5:$B$204))="PITCHING")*(D_Points!$H$5:$H$204&lt;&gt;"")),D_Points!$H$5:$H$204),"")</f>
        <v/>
      </c>
      <c r="P950" s="181" t="str">
        <f>IFERROR(LOOKUP(2,1/((B_Drainage!$A$5:$A$204&lt;&gt;"")*(B_Drainage!$A$5:$A$204&lt;=$B950)*(B_Drainage!$B$5:$B$204&gt;$B950)*(B_Drainage!$C$5:$C$204&lt;&gt;"")),IF(B_Drainage!$C$5:$C$204="-","",UPPER(B_Drainage!$C$5:$C$204))),"")</f>
        <v/>
      </c>
      <c r="Q950" s="181" t="str">
        <f>IFERROR(LOOKUP(2,1/((B_Drainage!$A$5:$A$204&lt;&gt;"")*(B_Drainage!$A$5:$A$204&lt;=$B950)*(B_Drainage!$B$5:$B$204&gt;$B950)*(B_Drainage!$D$5:$D$204&lt;&gt;"")),IF(B_Drainage!$D$5:$D$204="-","",UPPER(B_Drainage!$D$5:$D$204))),"")</f>
        <v/>
      </c>
      <c r="R950" s="182" t="str">
        <f>IFERROR(LOOKUP(2,1/((D_Points!$A$5:$A$204&lt;&gt;"")*(D_Points!$A$5:$A$204&gt;=$B950)*(D_Points!$A$5:$A$204&lt;$B950+P_Interval)*(RIGHT(UPPER(TRIM(D_Points!$B$5:$B$204)),8)="_CULVERT")),IF(LEFT(UPPER(TRIM(D_Points!$B$5:$B$204)),2)="EX",1,IF(LEFT(UPPER(TRIM(D_Points!$B$5:$B$204)),2)="PR",2,3))),"")</f>
        <v/>
      </c>
      <c r="S950" s="182" t="str">
        <f>IFERROR(LOOKUP(2,1/((D_Points!$A$5:$A$204&lt;&gt;"")*(D_Points!$A$5:$A$204&gt;=$B950)*(D_Points!$A$5:$A$204&lt;$B950+P_Interval)*(RIGHT(UPPER(TRIM(D_Points!$B$5:$B$204)),7)="_BRIDGE")),IF(LEFT(UPPER(TRIM(D_Points!$B$5:$B$204)),2)="EX",1,IF(LEFT(UPPER(TRIM(D_Points!$B$5:$B$204)),2)="PR",2,2))),"")</f>
        <v/>
      </c>
      <c r="T950" s="181" t="str">
        <f>IFERROR(LOOKUP(2,1/((B_Drainage!$A$5:$A$204&lt;&gt;"")*(B_Drainage!$A$5:$A$204&lt;=$B950)*(B_Drainage!$B$5:$B$204&gt;$B950)*(B_Drainage!$E$5:$E$204&lt;&gt;"")),IF(B_Drainage!$E$5:$E$204="-","",1)),"")</f>
        <v/>
      </c>
      <c r="U950" s="181" t="str">
        <f>IFERROR(LOOKUP(2,1/((B_Drainage!$A$5:$A$204&lt;&gt;"")*(B_Drainage!$A$5:$A$204&lt;=$B950)*(B_Drainage!$B$5:$B$204&gt;$B950)*(B_Drainage!$E$5:$E$204&lt;&gt;"")),IF(B_Drainage!$E$5:$E$204="-","",B_Drainage!$E$5:$E$204)),"")</f>
        <v/>
      </c>
      <c r="V950" s="181" t="str">
        <f>IFERROR(LOOKUP(2,1/((B_Drainage!$A$5:$A$204&lt;&gt;"")*(B_Drainage!$A$5:$A$204&lt;=$B950)*(B_Drainage!$B$5:$B$204&gt;$B950)*(B_Drainage!$F$5:$F$204&lt;&gt;"")),IF(B_Drainage!$F$5:$F$204="-","",1)),"")</f>
        <v/>
      </c>
      <c r="W950" s="181" t="str">
        <f>IFERROR(LOOKUP(2,1/((B_Drainage!$A$5:$A$204&lt;&gt;"")*(B_Drainage!$A$5:$A$204&lt;=$B950)*(B_Drainage!$B$5:$B$204&gt;$B950)*(B_Drainage!$F$5:$F$204&lt;&gt;"")),IF(B_Drainage!$F$5:$F$204="-","",B_Drainage!$F$5:$F$204)),"")</f>
        <v/>
      </c>
      <c r="X950" s="181" t="str">
        <f>IFERROR(LOOKUP(2,1/((B_Drainage!$A$5:$A$204&lt;&gt;"")*(B_Drainage!$A$5:$A$204&lt;=$B950)*(B_Drainage!$B$5:$B$204&gt;$B950)*(B_Drainage!$G$5:$G$204&lt;&gt;"")),IF(UPPER(B_Drainage!$G$5:$G$204)="Y",1,"")),"")</f>
        <v/>
      </c>
      <c r="Y950" s="181" t="str">
        <f>IFERROR(LOOKUP(2,1/((B_Drainage!$A$5:$A$204&lt;&gt;"")*(B_Drainage!$A$5:$A$204&lt;=$B950)*(B_Drainage!$B$5:$B$204&gt;$B950)*(B_Drainage!$H$5:$H$204&lt;&gt;"")),IF(UPPER(B_Drainage!$H$5:$H$204)="Y",1,"")),"")</f>
        <v/>
      </c>
      <c r="Z950" s="181" t="str">
        <f>IFERROR(LOOKUP(2,1/((B_Drainage!$A$5:$A$204&lt;&gt;"")*(B_Drainage!$A$5:$A$204&lt;=$B950)*(B_Drainage!$B$5:$B$204&gt;$B950)*(B_Drainage!$I$5:$I$204&lt;&gt;"")),IF(UPPER(B_Drainage!$I$5:$I$204)="Y",1,"")),"")</f>
        <v/>
      </c>
      <c r="AA950" s="181" t="str">
        <f>IFERROR(LOOKUP(2,1/((B_Drainage!$A$5:$A$204&lt;&gt;"")*(B_Drainage!$A$5:$A$204&lt;=$B950)*(B_Drainage!$B$5:$B$204&gt;$B950)*(B_Drainage!$J$5:$J$204&lt;&gt;"")),IF(UPPER(B_Drainage!$J$5:$J$204)="Y",1,"")),"")</f>
        <v/>
      </c>
      <c r="AB950" s="182" t="str">
        <f>IFERROR(LOOKUP(2,1/((B_Drainage!$A$5:$A$204&lt;&gt;"")*(B_Drainage!$A$5:$A$204&lt;=$B950)*(B_Drainage!$B$5:$B$204&gt;$B950)*(B_Drainage!$K$5:$K$204&lt;&gt;"")),IF(B_Drainage!$K$5:$K$204="-","",B_Drainage!$K$5:$K$204)),"")</f>
        <v/>
      </c>
      <c r="AC950" s="182" t="str">
        <f>IFERROR(LOOKUP(2,1/((B_Drainage!$A$5:$A$204&lt;&gt;"")*(B_Drainage!$A$5:$A$204&lt;=$B950)*(B_Drainage!$B$5:$B$204&gt;$B950)*(B_Drainage!$L$5:$L$204&lt;&gt;"")),IF(B_Drainage!$L$5:$L$204="-","",B_Drainage!$L$5:$L$204)),"")</f>
        <v/>
      </c>
      <c r="AD950" s="182" t="str">
        <f>IFERROR(LOOKUP(2,1/((D_Points!$A$5:$A$204&lt;&gt;"")*(D_Points!$A$5:$A$204&gt;=$B950)*(D_Points!$A$5:$A$204&lt;$B950+P_Interval)*(UPPER(TRIM(D_Points!$B$5:$B$204))="TURNOUT_L")*(D_Points!$H$5:$H$204&lt;&gt;"")),D_Points!$H$5:$H$204),"")</f>
        <v/>
      </c>
      <c r="AE950" s="182" t="str">
        <f>IFERROR(LOOKUP(2,1/((D_Points!$A$5:$A$204&lt;&gt;"")*(D_Points!$A$5:$A$204&gt;=$B950)*(D_Points!$A$5:$A$204&lt;$B950+P_Interval)*(UPPER(TRIM(D_Points!$B$5:$B$204))="TURNOUT_R")*(D_Points!$H$5:$H$204&lt;&gt;"")),D_Points!$H$5:$H$204),"")</f>
        <v/>
      </c>
      <c r="AF950" s="181" t="str">
        <f>IFERROR(LOOKUP(2,1/((B_Drainage!$A$5:$A$204&lt;&gt;"")*(B_Drainage!$A$5:$A$204&lt;=$B950)*(B_Drainage!$B$5:$B$204&gt;$B950)*(B_Drainage!$M$5:$M$204&lt;&gt;"")),IF(UPPER(B_Drainage!$M$5:$M$204)="Y",1,"")),"")</f>
        <v/>
      </c>
      <c r="AG950" s="181" t="str">
        <f>IFERROR(LOOKUP(2,1/((B_Drainage!$A$5:$A$204&lt;&gt;"")*(B_Drainage!$A$5:$A$204&lt;=$B950)*(B_Drainage!$B$5:$B$204&gt;$B950)*(B_Drainage!$N$5:$N$204&lt;&gt;"")),IF(UPPER(B_Drainage!$N$5:$N$204)="Y",1,"")),"")</f>
        <v/>
      </c>
      <c r="AH950" s="181" t="str">
        <f t="shared" si="112"/>
        <v/>
      </c>
      <c r="AI950" s="181" t="str">
        <f t="shared" si="113"/>
        <v/>
      </c>
      <c r="AJ950" s="181" t="str">
        <f t="shared" si="114"/>
        <v/>
      </c>
      <c r="AK950" s="181" t="str">
        <f t="shared" si="115"/>
        <v/>
      </c>
      <c r="AL950" s="181" t="str">
        <f t="shared" si="116"/>
        <v/>
      </c>
      <c r="AM950" s="181" t="str">
        <f t="shared" si="117"/>
        <v/>
      </c>
      <c r="AN950" s="181" t="str">
        <f t="shared" si="118"/>
        <v/>
      </c>
      <c r="AO950" s="192" t="str">
        <f t="shared" si="119"/>
        <v/>
      </c>
      <c r="AQ950" t="str">
        <f>IFERROR(LOOKUP(2,1/((C_Pavement!$A$5:$A$204&lt;&gt;"")*(C_Pavement!$A$5:$A$204&lt;=$B950)*(C_Pavement!$B$5:$B$204&gt;$B950)*(C_Pavement!$C$5:$C$204&lt;&gt;"")),ROW(C_Pavement!$C$5:$C$204)-4),"")</f>
        <v/>
      </c>
      <c r="AR950" t="str">
        <f>IF($AQ950="","",UPPER(TRIM(INDEX(C_Pavement!$C$5:$C$204,$AQ950))))</f>
        <v/>
      </c>
      <c r="AS950" t="str">
        <f>IF($AR950="","",IFERROR(MATCH($AR950,E_Rules!$A$5:$A$9,0),""))</f>
        <v/>
      </c>
      <c r="AT950" t="str">
        <f>IF($AQ950="","",IF(INDEX(C_Pavement!$D$5:$D$204,$AQ950)&lt;&gt;"",UPPER(TRIM(INDEX(C_Pavement!$D$5:$D$204,$AQ950))),IF($AS950="","",INDEX(E_Rules!$C$5:$C$9,$AS950))))</f>
        <v/>
      </c>
      <c r="AU950" t="str">
        <f>IF($AQ950="","",IF(INDEX(C_Pavement!$E$5:$E$204,$AQ950)&lt;&gt;"",IF(INDEX(C_Pavement!$E$5:$E$204,$AQ950)="-","",INDEX(C_Pavement!$E$5:$E$204,$AQ950)),IF($AS950="","",INDEX(E_Rules!$D$5:$D$9,$AS950))))</f>
        <v/>
      </c>
      <c r="AV950" t="str">
        <f>IF($AQ950="","",IF(INDEX(C_Pavement!$F$5:$F$204,$AQ950)&lt;&gt;"",IF(INDEX(C_Pavement!$F$5:$F$204,$AQ950)="-","",INDEX(C_Pavement!$F$5:$F$204,$AQ950)),IF($AS950="","",INDEX(E_Rules!$E$5:$E$9,$AS950))))</f>
        <v/>
      </c>
      <c r="AW950" t="str">
        <f>IF($AQ950="","",IF(INDEX(C_Pavement!$G$5:$G$204,$AQ950)&lt;&gt;"",IF(INDEX(C_Pavement!$G$5:$G$204,$AQ950)="-","",INDEX(C_Pavement!$G$5:$G$204,$AQ950)),IF($AS950="","",INDEX(E_Rules!$F$5:$F$9,$AS950))))</f>
        <v/>
      </c>
      <c r="AX950" t="str">
        <f>IF($AQ950="","",IF(INDEX(C_Pavement!$H$5:$H$204,$AQ950)&lt;&gt;"",IF(INDEX(C_Pavement!$H$5:$H$204,$AQ950)="-","",INDEX(C_Pavement!$H$5:$H$204,$AQ950)),IF($AS950="","",INDEX(E_Rules!$G$5:$G$9,$AS950))))</f>
        <v/>
      </c>
      <c r="AY950" t="str">
        <f>IF($AQ950="","",IF(INDEX(C_Pavement!$I$5:$I$204,$AQ950)&lt;&gt;"",IF(INDEX(C_Pavement!$I$5:$I$204,$AQ950)="-","",INDEX(C_Pavement!$I$5:$I$204,$AQ950)),IF($AS950="","",INDEX(E_Rules!$H$5:$H$9,$AS950))))</f>
        <v/>
      </c>
    </row>
    <row r="951" spans="1:51" ht="15.75" customHeight="1" x14ac:dyDescent="0.3">
      <c r="A951" s="189">
        <v>946</v>
      </c>
      <c r="B951" s="180">
        <v>47250</v>
      </c>
      <c r="C951" s="180" t="s">
        <v>1257</v>
      </c>
      <c r="D951" s="181" t="str">
        <f>IFERROR(LOOKUP(2,1/((A_Corridor!$A$5:$A$204&lt;&gt;"")*(A_Corridor!$A$5:$A$204&lt;=$B951)*(A_Corridor!$B$5:$B$204&gt;$B951)*(A_Corridor!$C$5:$C$204&lt;&gt;"")),IF(UPPER(A_Corridor!$C$5:$C$204)="Y",1,"")),"")</f>
        <v/>
      </c>
      <c r="E951" s="181" t="str">
        <f>IFERROR(LOOKUP(2,1/((A_Corridor!$A$5:$A$204&lt;&gt;"")*(A_Corridor!$A$5:$A$204&lt;=$B951)*(A_Corridor!$B$5:$B$204&gt;$B951)*(A_Corridor!$D$5:$D$204&lt;&gt;"")),IF(A_Corridor!$D$5:$D$204="-","",UPPER(A_Corridor!$D$5:$D$204))),"")</f>
        <v/>
      </c>
      <c r="F951" s="181" t="str">
        <f>IFERROR(LOOKUP(2,1/((A_Corridor!$A$5:$A$204&lt;&gt;"")*(A_Corridor!$A$5:$A$204&lt;=$B951)*(A_Corridor!$B$5:$B$204&gt;$B951)*(A_Corridor!$E$5:$E$204&lt;&gt;"")),IF(A_Corridor!$E$5:$E$204="-","",1)),"")</f>
        <v/>
      </c>
      <c r="G951" s="182" t="str">
        <f>IFERROR(LOOKUP(2,1/((A_Corridor!$A$5:$A$204&lt;&gt;"")*(A_Corridor!$A$5:$A$204&lt;=$B951)*(A_Corridor!$B$5:$B$204&gt;$B951)*(A_Corridor!$E$5:$E$204&lt;&gt;"")),IF(A_Corridor!$E$5:$E$204="-","",A_Corridor!$E$5:$E$204)),"")</f>
        <v/>
      </c>
      <c r="H951" s="182" t="str">
        <f>IFERROR(LOOKUP(2,1/((D_Points!$A$5:$A$204&lt;&gt;"")*(D_Points!$A$5:$A$204&gt;=$B951)*(D_Points!$A$5:$A$204&lt;$B951+P_Interval)*(UPPER(TRIM(D_Points!$B$5:$B$204))="GULLY")*(D_Points!$H$5:$H$204&lt;&gt;"")),D_Points!$H$5:$H$204),"")</f>
        <v/>
      </c>
      <c r="I951" s="181" t="str">
        <f>IFERROR(LOOKUP(2,1/((A_Corridor!$A$5:$A$204&lt;&gt;"")*(A_Corridor!$A$5:$A$204&lt;=$B951)*(A_Corridor!$B$5:$B$204&gt;$B951)*(A_Corridor!$F$5:$F$204&lt;&gt;"")),IF(A_Corridor!$F$5:$F$204="-","",1)),"")</f>
        <v/>
      </c>
      <c r="J951" s="182" t="str">
        <f>IFERROR(LOOKUP(2,1/((A_Corridor!$A$5:$A$204&lt;&gt;"")*(A_Corridor!$A$5:$A$204&lt;=$B951)*(A_Corridor!$B$5:$B$204&gt;$B951)*(A_Corridor!$F$5:$F$204&lt;&gt;"")),IF(A_Corridor!$F$5:$F$204="-","",A_Corridor!$F$5:$F$204)),"")</f>
        <v/>
      </c>
      <c r="K951" s="182" t="str">
        <f>IFERROR(LOOKUP(2,1/((A_Corridor!$A$5:$A$204&lt;&gt;"")*(A_Corridor!$A$5:$A$204&lt;=$B951)*(A_Corridor!$B$5:$B$204&gt;$B951)*(A_Corridor!$G$5:$G$204&lt;&gt;"")),IF(A_Corridor!$G$5:$G$204="-","",A_Corridor!$G$5:$G$204)),"")</f>
        <v/>
      </c>
      <c r="L951" s="181" t="str">
        <f>IFERROR(LOOKUP(2,1/((A_Corridor!$A$5:$A$204&lt;&gt;"")*(A_Corridor!$A$5:$A$204&lt;=$B951)*(A_Corridor!$B$5:$B$204&gt;$B951)*(A_Corridor!$H$5:$H$204&lt;&gt;"")),IF(A_Corridor!$H$5:$H$204="-","",1)),"")</f>
        <v/>
      </c>
      <c r="M951" s="182" t="str">
        <f>IFERROR(LOOKUP(2,1/((A_Corridor!$A$5:$A$204&lt;&gt;"")*(A_Corridor!$A$5:$A$204&lt;=$B951)*(A_Corridor!$B$5:$B$204&gt;$B951)*(A_Corridor!$H$5:$H$204&lt;&gt;"")),IF(A_Corridor!$H$5:$H$204="-","",A_Corridor!$H$5:$H$204)),"")</f>
        <v/>
      </c>
      <c r="N951" s="182" t="str">
        <f>IFERROR(LOOKUP(2,1/((A_Corridor!$A$5:$A$204&lt;&gt;"")*(A_Corridor!$A$5:$A$204&lt;=$B951)*(A_Corridor!$B$5:$B$204&gt;$B951)*(A_Corridor!$I$5:$I$204&lt;&gt;"")),IF(A_Corridor!$I$5:$I$204="-","",A_Corridor!$I$5:$I$204)),"")</f>
        <v/>
      </c>
      <c r="O951" s="182" t="str">
        <f>IFERROR(LOOKUP(2,1/((D_Points!$A$5:$A$204&lt;&gt;"")*(D_Points!$A$5:$A$204&gt;=$B951)*(D_Points!$A$5:$A$204&lt;$B951+P_Interval)*(UPPER(TRIM(D_Points!$B$5:$B$204))="PITCHING")*(D_Points!$H$5:$H$204&lt;&gt;"")),D_Points!$H$5:$H$204),"")</f>
        <v/>
      </c>
      <c r="P951" s="181" t="str">
        <f>IFERROR(LOOKUP(2,1/((B_Drainage!$A$5:$A$204&lt;&gt;"")*(B_Drainage!$A$5:$A$204&lt;=$B951)*(B_Drainage!$B$5:$B$204&gt;$B951)*(B_Drainage!$C$5:$C$204&lt;&gt;"")),IF(B_Drainage!$C$5:$C$204="-","",UPPER(B_Drainage!$C$5:$C$204))),"")</f>
        <v/>
      </c>
      <c r="Q951" s="181" t="str">
        <f>IFERROR(LOOKUP(2,1/((B_Drainage!$A$5:$A$204&lt;&gt;"")*(B_Drainage!$A$5:$A$204&lt;=$B951)*(B_Drainage!$B$5:$B$204&gt;$B951)*(B_Drainage!$D$5:$D$204&lt;&gt;"")),IF(B_Drainage!$D$5:$D$204="-","",UPPER(B_Drainage!$D$5:$D$204))),"")</f>
        <v/>
      </c>
      <c r="R951" s="182" t="str">
        <f>IFERROR(LOOKUP(2,1/((D_Points!$A$5:$A$204&lt;&gt;"")*(D_Points!$A$5:$A$204&gt;=$B951)*(D_Points!$A$5:$A$204&lt;$B951+P_Interval)*(RIGHT(UPPER(TRIM(D_Points!$B$5:$B$204)),8)="_CULVERT")),IF(LEFT(UPPER(TRIM(D_Points!$B$5:$B$204)),2)="EX",1,IF(LEFT(UPPER(TRIM(D_Points!$B$5:$B$204)),2)="PR",2,3))),"")</f>
        <v/>
      </c>
      <c r="S951" s="182" t="str">
        <f>IFERROR(LOOKUP(2,1/((D_Points!$A$5:$A$204&lt;&gt;"")*(D_Points!$A$5:$A$204&gt;=$B951)*(D_Points!$A$5:$A$204&lt;$B951+P_Interval)*(RIGHT(UPPER(TRIM(D_Points!$B$5:$B$204)),7)="_BRIDGE")),IF(LEFT(UPPER(TRIM(D_Points!$B$5:$B$204)),2)="EX",1,IF(LEFT(UPPER(TRIM(D_Points!$B$5:$B$204)),2)="PR",2,2))),"")</f>
        <v/>
      </c>
      <c r="T951" s="181" t="str">
        <f>IFERROR(LOOKUP(2,1/((B_Drainage!$A$5:$A$204&lt;&gt;"")*(B_Drainage!$A$5:$A$204&lt;=$B951)*(B_Drainage!$B$5:$B$204&gt;$B951)*(B_Drainage!$E$5:$E$204&lt;&gt;"")),IF(B_Drainage!$E$5:$E$204="-","",1)),"")</f>
        <v/>
      </c>
      <c r="U951" s="181" t="str">
        <f>IFERROR(LOOKUP(2,1/((B_Drainage!$A$5:$A$204&lt;&gt;"")*(B_Drainage!$A$5:$A$204&lt;=$B951)*(B_Drainage!$B$5:$B$204&gt;$B951)*(B_Drainage!$E$5:$E$204&lt;&gt;"")),IF(B_Drainage!$E$5:$E$204="-","",B_Drainage!$E$5:$E$204)),"")</f>
        <v/>
      </c>
      <c r="V951" s="181" t="str">
        <f>IFERROR(LOOKUP(2,1/((B_Drainage!$A$5:$A$204&lt;&gt;"")*(B_Drainage!$A$5:$A$204&lt;=$B951)*(B_Drainage!$B$5:$B$204&gt;$B951)*(B_Drainage!$F$5:$F$204&lt;&gt;"")),IF(B_Drainage!$F$5:$F$204="-","",1)),"")</f>
        <v/>
      </c>
      <c r="W951" s="181" t="str">
        <f>IFERROR(LOOKUP(2,1/((B_Drainage!$A$5:$A$204&lt;&gt;"")*(B_Drainage!$A$5:$A$204&lt;=$B951)*(B_Drainage!$B$5:$B$204&gt;$B951)*(B_Drainage!$F$5:$F$204&lt;&gt;"")),IF(B_Drainage!$F$5:$F$204="-","",B_Drainage!$F$5:$F$204)),"")</f>
        <v/>
      </c>
      <c r="X951" s="181" t="str">
        <f>IFERROR(LOOKUP(2,1/((B_Drainage!$A$5:$A$204&lt;&gt;"")*(B_Drainage!$A$5:$A$204&lt;=$B951)*(B_Drainage!$B$5:$B$204&gt;$B951)*(B_Drainage!$G$5:$G$204&lt;&gt;"")),IF(UPPER(B_Drainage!$G$5:$G$204)="Y",1,"")),"")</f>
        <v/>
      </c>
      <c r="Y951" s="181" t="str">
        <f>IFERROR(LOOKUP(2,1/((B_Drainage!$A$5:$A$204&lt;&gt;"")*(B_Drainage!$A$5:$A$204&lt;=$B951)*(B_Drainage!$B$5:$B$204&gt;$B951)*(B_Drainage!$H$5:$H$204&lt;&gt;"")),IF(UPPER(B_Drainage!$H$5:$H$204)="Y",1,"")),"")</f>
        <v/>
      </c>
      <c r="Z951" s="181" t="str">
        <f>IFERROR(LOOKUP(2,1/((B_Drainage!$A$5:$A$204&lt;&gt;"")*(B_Drainage!$A$5:$A$204&lt;=$B951)*(B_Drainage!$B$5:$B$204&gt;$B951)*(B_Drainage!$I$5:$I$204&lt;&gt;"")),IF(UPPER(B_Drainage!$I$5:$I$204)="Y",1,"")),"")</f>
        <v/>
      </c>
      <c r="AA951" s="181" t="str">
        <f>IFERROR(LOOKUP(2,1/((B_Drainage!$A$5:$A$204&lt;&gt;"")*(B_Drainage!$A$5:$A$204&lt;=$B951)*(B_Drainage!$B$5:$B$204&gt;$B951)*(B_Drainage!$J$5:$J$204&lt;&gt;"")),IF(UPPER(B_Drainage!$J$5:$J$204)="Y",1,"")),"")</f>
        <v/>
      </c>
      <c r="AB951" s="182" t="str">
        <f>IFERROR(LOOKUP(2,1/((B_Drainage!$A$5:$A$204&lt;&gt;"")*(B_Drainage!$A$5:$A$204&lt;=$B951)*(B_Drainage!$B$5:$B$204&gt;$B951)*(B_Drainage!$K$5:$K$204&lt;&gt;"")),IF(B_Drainage!$K$5:$K$204="-","",B_Drainage!$K$5:$K$204)),"")</f>
        <v/>
      </c>
      <c r="AC951" s="182" t="str">
        <f>IFERROR(LOOKUP(2,1/((B_Drainage!$A$5:$A$204&lt;&gt;"")*(B_Drainage!$A$5:$A$204&lt;=$B951)*(B_Drainage!$B$5:$B$204&gt;$B951)*(B_Drainage!$L$5:$L$204&lt;&gt;"")),IF(B_Drainage!$L$5:$L$204="-","",B_Drainage!$L$5:$L$204)),"")</f>
        <v/>
      </c>
      <c r="AD951" s="182" t="str">
        <f>IFERROR(LOOKUP(2,1/((D_Points!$A$5:$A$204&lt;&gt;"")*(D_Points!$A$5:$A$204&gt;=$B951)*(D_Points!$A$5:$A$204&lt;$B951+P_Interval)*(UPPER(TRIM(D_Points!$B$5:$B$204))="TURNOUT_L")*(D_Points!$H$5:$H$204&lt;&gt;"")),D_Points!$H$5:$H$204),"")</f>
        <v/>
      </c>
      <c r="AE951" s="182" t="str">
        <f>IFERROR(LOOKUP(2,1/((D_Points!$A$5:$A$204&lt;&gt;"")*(D_Points!$A$5:$A$204&gt;=$B951)*(D_Points!$A$5:$A$204&lt;$B951+P_Interval)*(UPPER(TRIM(D_Points!$B$5:$B$204))="TURNOUT_R")*(D_Points!$H$5:$H$204&lt;&gt;"")),D_Points!$H$5:$H$204),"")</f>
        <v/>
      </c>
      <c r="AF951" s="181" t="str">
        <f>IFERROR(LOOKUP(2,1/((B_Drainage!$A$5:$A$204&lt;&gt;"")*(B_Drainage!$A$5:$A$204&lt;=$B951)*(B_Drainage!$B$5:$B$204&gt;$B951)*(B_Drainage!$M$5:$M$204&lt;&gt;"")),IF(UPPER(B_Drainage!$M$5:$M$204)="Y",1,"")),"")</f>
        <v/>
      </c>
      <c r="AG951" s="181" t="str">
        <f>IFERROR(LOOKUP(2,1/((B_Drainage!$A$5:$A$204&lt;&gt;"")*(B_Drainage!$A$5:$A$204&lt;=$B951)*(B_Drainage!$B$5:$B$204&gt;$B951)*(B_Drainage!$N$5:$N$204&lt;&gt;"")),IF(UPPER(B_Drainage!$N$5:$N$204)="Y",1,"")),"")</f>
        <v/>
      </c>
      <c r="AH951" s="181" t="str">
        <f t="shared" si="112"/>
        <v/>
      </c>
      <c r="AI951" s="181" t="str">
        <f t="shared" si="113"/>
        <v/>
      </c>
      <c r="AJ951" s="181" t="str">
        <f t="shared" si="114"/>
        <v/>
      </c>
      <c r="AK951" s="181" t="str">
        <f t="shared" si="115"/>
        <v/>
      </c>
      <c r="AL951" s="181" t="str">
        <f t="shared" si="116"/>
        <v/>
      </c>
      <c r="AM951" s="181" t="str">
        <f t="shared" si="117"/>
        <v/>
      </c>
      <c r="AN951" s="181" t="str">
        <f t="shared" si="118"/>
        <v/>
      </c>
      <c r="AO951" s="192" t="str">
        <f t="shared" si="119"/>
        <v/>
      </c>
      <c r="AQ951" t="str">
        <f>IFERROR(LOOKUP(2,1/((C_Pavement!$A$5:$A$204&lt;&gt;"")*(C_Pavement!$A$5:$A$204&lt;=$B951)*(C_Pavement!$B$5:$B$204&gt;$B951)*(C_Pavement!$C$5:$C$204&lt;&gt;"")),ROW(C_Pavement!$C$5:$C$204)-4),"")</f>
        <v/>
      </c>
      <c r="AR951" t="str">
        <f>IF($AQ951="","",UPPER(TRIM(INDEX(C_Pavement!$C$5:$C$204,$AQ951))))</f>
        <v/>
      </c>
      <c r="AS951" t="str">
        <f>IF($AR951="","",IFERROR(MATCH($AR951,E_Rules!$A$5:$A$9,0),""))</f>
        <v/>
      </c>
      <c r="AT951" t="str">
        <f>IF($AQ951="","",IF(INDEX(C_Pavement!$D$5:$D$204,$AQ951)&lt;&gt;"",UPPER(TRIM(INDEX(C_Pavement!$D$5:$D$204,$AQ951))),IF($AS951="","",INDEX(E_Rules!$C$5:$C$9,$AS951))))</f>
        <v/>
      </c>
      <c r="AU951" t="str">
        <f>IF($AQ951="","",IF(INDEX(C_Pavement!$E$5:$E$204,$AQ951)&lt;&gt;"",IF(INDEX(C_Pavement!$E$5:$E$204,$AQ951)="-","",INDEX(C_Pavement!$E$5:$E$204,$AQ951)),IF($AS951="","",INDEX(E_Rules!$D$5:$D$9,$AS951))))</f>
        <v/>
      </c>
      <c r="AV951" t="str">
        <f>IF($AQ951="","",IF(INDEX(C_Pavement!$F$5:$F$204,$AQ951)&lt;&gt;"",IF(INDEX(C_Pavement!$F$5:$F$204,$AQ951)="-","",INDEX(C_Pavement!$F$5:$F$204,$AQ951)),IF($AS951="","",INDEX(E_Rules!$E$5:$E$9,$AS951))))</f>
        <v/>
      </c>
      <c r="AW951" t="str">
        <f>IF($AQ951="","",IF(INDEX(C_Pavement!$G$5:$G$204,$AQ951)&lt;&gt;"",IF(INDEX(C_Pavement!$G$5:$G$204,$AQ951)="-","",INDEX(C_Pavement!$G$5:$G$204,$AQ951)),IF($AS951="","",INDEX(E_Rules!$F$5:$F$9,$AS951))))</f>
        <v/>
      </c>
      <c r="AX951" t="str">
        <f>IF($AQ951="","",IF(INDEX(C_Pavement!$H$5:$H$204,$AQ951)&lt;&gt;"",IF(INDEX(C_Pavement!$H$5:$H$204,$AQ951)="-","",INDEX(C_Pavement!$H$5:$H$204,$AQ951)),IF($AS951="","",INDEX(E_Rules!$G$5:$G$9,$AS951))))</f>
        <v/>
      </c>
      <c r="AY951" t="str">
        <f>IF($AQ951="","",IF(INDEX(C_Pavement!$I$5:$I$204,$AQ951)&lt;&gt;"",IF(INDEX(C_Pavement!$I$5:$I$204,$AQ951)="-","",INDEX(C_Pavement!$I$5:$I$204,$AQ951)),IF($AS951="","",INDEX(E_Rules!$H$5:$H$9,$AS951))))</f>
        <v/>
      </c>
    </row>
    <row r="952" spans="1:51" ht="15.75" customHeight="1" x14ac:dyDescent="0.3">
      <c r="A952" s="189">
        <v>947</v>
      </c>
      <c r="B952" s="180">
        <v>47300</v>
      </c>
      <c r="C952" s="180" t="s">
        <v>1258</v>
      </c>
      <c r="D952" s="181" t="str">
        <f>IFERROR(LOOKUP(2,1/((A_Corridor!$A$5:$A$204&lt;&gt;"")*(A_Corridor!$A$5:$A$204&lt;=$B952)*(A_Corridor!$B$5:$B$204&gt;$B952)*(A_Corridor!$C$5:$C$204&lt;&gt;"")),IF(UPPER(A_Corridor!$C$5:$C$204)="Y",1,"")),"")</f>
        <v/>
      </c>
      <c r="E952" s="181" t="str">
        <f>IFERROR(LOOKUP(2,1/((A_Corridor!$A$5:$A$204&lt;&gt;"")*(A_Corridor!$A$5:$A$204&lt;=$B952)*(A_Corridor!$B$5:$B$204&gt;$B952)*(A_Corridor!$D$5:$D$204&lt;&gt;"")),IF(A_Corridor!$D$5:$D$204="-","",UPPER(A_Corridor!$D$5:$D$204))),"")</f>
        <v/>
      </c>
      <c r="F952" s="181" t="str">
        <f>IFERROR(LOOKUP(2,1/((A_Corridor!$A$5:$A$204&lt;&gt;"")*(A_Corridor!$A$5:$A$204&lt;=$B952)*(A_Corridor!$B$5:$B$204&gt;$B952)*(A_Corridor!$E$5:$E$204&lt;&gt;"")),IF(A_Corridor!$E$5:$E$204="-","",1)),"")</f>
        <v/>
      </c>
      <c r="G952" s="182" t="str">
        <f>IFERROR(LOOKUP(2,1/((A_Corridor!$A$5:$A$204&lt;&gt;"")*(A_Corridor!$A$5:$A$204&lt;=$B952)*(A_Corridor!$B$5:$B$204&gt;$B952)*(A_Corridor!$E$5:$E$204&lt;&gt;"")),IF(A_Corridor!$E$5:$E$204="-","",A_Corridor!$E$5:$E$204)),"")</f>
        <v/>
      </c>
      <c r="H952" s="182" t="str">
        <f>IFERROR(LOOKUP(2,1/((D_Points!$A$5:$A$204&lt;&gt;"")*(D_Points!$A$5:$A$204&gt;=$B952)*(D_Points!$A$5:$A$204&lt;$B952+P_Interval)*(UPPER(TRIM(D_Points!$B$5:$B$204))="GULLY")*(D_Points!$H$5:$H$204&lt;&gt;"")),D_Points!$H$5:$H$204),"")</f>
        <v/>
      </c>
      <c r="I952" s="181" t="str">
        <f>IFERROR(LOOKUP(2,1/((A_Corridor!$A$5:$A$204&lt;&gt;"")*(A_Corridor!$A$5:$A$204&lt;=$B952)*(A_Corridor!$B$5:$B$204&gt;$B952)*(A_Corridor!$F$5:$F$204&lt;&gt;"")),IF(A_Corridor!$F$5:$F$204="-","",1)),"")</f>
        <v/>
      </c>
      <c r="J952" s="182" t="str">
        <f>IFERROR(LOOKUP(2,1/((A_Corridor!$A$5:$A$204&lt;&gt;"")*(A_Corridor!$A$5:$A$204&lt;=$B952)*(A_Corridor!$B$5:$B$204&gt;$B952)*(A_Corridor!$F$5:$F$204&lt;&gt;"")),IF(A_Corridor!$F$5:$F$204="-","",A_Corridor!$F$5:$F$204)),"")</f>
        <v/>
      </c>
      <c r="K952" s="182" t="str">
        <f>IFERROR(LOOKUP(2,1/((A_Corridor!$A$5:$A$204&lt;&gt;"")*(A_Corridor!$A$5:$A$204&lt;=$B952)*(A_Corridor!$B$5:$B$204&gt;$B952)*(A_Corridor!$G$5:$G$204&lt;&gt;"")),IF(A_Corridor!$G$5:$G$204="-","",A_Corridor!$G$5:$G$204)),"")</f>
        <v/>
      </c>
      <c r="L952" s="181" t="str">
        <f>IFERROR(LOOKUP(2,1/((A_Corridor!$A$5:$A$204&lt;&gt;"")*(A_Corridor!$A$5:$A$204&lt;=$B952)*(A_Corridor!$B$5:$B$204&gt;$B952)*(A_Corridor!$H$5:$H$204&lt;&gt;"")),IF(A_Corridor!$H$5:$H$204="-","",1)),"")</f>
        <v/>
      </c>
      <c r="M952" s="182" t="str">
        <f>IFERROR(LOOKUP(2,1/((A_Corridor!$A$5:$A$204&lt;&gt;"")*(A_Corridor!$A$5:$A$204&lt;=$B952)*(A_Corridor!$B$5:$B$204&gt;$B952)*(A_Corridor!$H$5:$H$204&lt;&gt;"")),IF(A_Corridor!$H$5:$H$204="-","",A_Corridor!$H$5:$H$204)),"")</f>
        <v/>
      </c>
      <c r="N952" s="182" t="str">
        <f>IFERROR(LOOKUP(2,1/((A_Corridor!$A$5:$A$204&lt;&gt;"")*(A_Corridor!$A$5:$A$204&lt;=$B952)*(A_Corridor!$B$5:$B$204&gt;$B952)*(A_Corridor!$I$5:$I$204&lt;&gt;"")),IF(A_Corridor!$I$5:$I$204="-","",A_Corridor!$I$5:$I$204)),"")</f>
        <v/>
      </c>
      <c r="O952" s="182" t="str">
        <f>IFERROR(LOOKUP(2,1/((D_Points!$A$5:$A$204&lt;&gt;"")*(D_Points!$A$5:$A$204&gt;=$B952)*(D_Points!$A$5:$A$204&lt;$B952+P_Interval)*(UPPER(TRIM(D_Points!$B$5:$B$204))="PITCHING")*(D_Points!$H$5:$H$204&lt;&gt;"")),D_Points!$H$5:$H$204),"")</f>
        <v/>
      </c>
      <c r="P952" s="181" t="str">
        <f>IFERROR(LOOKUP(2,1/((B_Drainage!$A$5:$A$204&lt;&gt;"")*(B_Drainage!$A$5:$A$204&lt;=$B952)*(B_Drainage!$B$5:$B$204&gt;$B952)*(B_Drainage!$C$5:$C$204&lt;&gt;"")),IF(B_Drainage!$C$5:$C$204="-","",UPPER(B_Drainage!$C$5:$C$204))),"")</f>
        <v/>
      </c>
      <c r="Q952" s="181" t="str">
        <f>IFERROR(LOOKUP(2,1/((B_Drainage!$A$5:$A$204&lt;&gt;"")*(B_Drainage!$A$5:$A$204&lt;=$B952)*(B_Drainage!$B$5:$B$204&gt;$B952)*(B_Drainage!$D$5:$D$204&lt;&gt;"")),IF(B_Drainage!$D$5:$D$204="-","",UPPER(B_Drainage!$D$5:$D$204))),"")</f>
        <v/>
      </c>
      <c r="R952" s="182" t="str">
        <f>IFERROR(LOOKUP(2,1/((D_Points!$A$5:$A$204&lt;&gt;"")*(D_Points!$A$5:$A$204&gt;=$B952)*(D_Points!$A$5:$A$204&lt;$B952+P_Interval)*(RIGHT(UPPER(TRIM(D_Points!$B$5:$B$204)),8)="_CULVERT")),IF(LEFT(UPPER(TRIM(D_Points!$B$5:$B$204)),2)="EX",1,IF(LEFT(UPPER(TRIM(D_Points!$B$5:$B$204)),2)="PR",2,3))),"")</f>
        <v/>
      </c>
      <c r="S952" s="182" t="str">
        <f>IFERROR(LOOKUP(2,1/((D_Points!$A$5:$A$204&lt;&gt;"")*(D_Points!$A$5:$A$204&gt;=$B952)*(D_Points!$A$5:$A$204&lt;$B952+P_Interval)*(RIGHT(UPPER(TRIM(D_Points!$B$5:$B$204)),7)="_BRIDGE")),IF(LEFT(UPPER(TRIM(D_Points!$B$5:$B$204)),2)="EX",1,IF(LEFT(UPPER(TRIM(D_Points!$B$5:$B$204)),2)="PR",2,2))),"")</f>
        <v/>
      </c>
      <c r="T952" s="181" t="str">
        <f>IFERROR(LOOKUP(2,1/((B_Drainage!$A$5:$A$204&lt;&gt;"")*(B_Drainage!$A$5:$A$204&lt;=$B952)*(B_Drainage!$B$5:$B$204&gt;$B952)*(B_Drainage!$E$5:$E$204&lt;&gt;"")),IF(B_Drainage!$E$5:$E$204="-","",1)),"")</f>
        <v/>
      </c>
      <c r="U952" s="181" t="str">
        <f>IFERROR(LOOKUP(2,1/((B_Drainage!$A$5:$A$204&lt;&gt;"")*(B_Drainage!$A$5:$A$204&lt;=$B952)*(B_Drainage!$B$5:$B$204&gt;$B952)*(B_Drainage!$E$5:$E$204&lt;&gt;"")),IF(B_Drainage!$E$5:$E$204="-","",B_Drainage!$E$5:$E$204)),"")</f>
        <v/>
      </c>
      <c r="V952" s="181" t="str">
        <f>IFERROR(LOOKUP(2,1/((B_Drainage!$A$5:$A$204&lt;&gt;"")*(B_Drainage!$A$5:$A$204&lt;=$B952)*(B_Drainage!$B$5:$B$204&gt;$B952)*(B_Drainage!$F$5:$F$204&lt;&gt;"")),IF(B_Drainage!$F$5:$F$204="-","",1)),"")</f>
        <v/>
      </c>
      <c r="W952" s="181" t="str">
        <f>IFERROR(LOOKUP(2,1/((B_Drainage!$A$5:$A$204&lt;&gt;"")*(B_Drainage!$A$5:$A$204&lt;=$B952)*(B_Drainage!$B$5:$B$204&gt;$B952)*(B_Drainage!$F$5:$F$204&lt;&gt;"")),IF(B_Drainage!$F$5:$F$204="-","",B_Drainage!$F$5:$F$204)),"")</f>
        <v/>
      </c>
      <c r="X952" s="181" t="str">
        <f>IFERROR(LOOKUP(2,1/((B_Drainage!$A$5:$A$204&lt;&gt;"")*(B_Drainage!$A$5:$A$204&lt;=$B952)*(B_Drainage!$B$5:$B$204&gt;$B952)*(B_Drainage!$G$5:$G$204&lt;&gt;"")),IF(UPPER(B_Drainage!$G$5:$G$204)="Y",1,"")),"")</f>
        <v/>
      </c>
      <c r="Y952" s="181" t="str">
        <f>IFERROR(LOOKUP(2,1/((B_Drainage!$A$5:$A$204&lt;&gt;"")*(B_Drainage!$A$5:$A$204&lt;=$B952)*(B_Drainage!$B$5:$B$204&gt;$B952)*(B_Drainage!$H$5:$H$204&lt;&gt;"")),IF(UPPER(B_Drainage!$H$5:$H$204)="Y",1,"")),"")</f>
        <v/>
      </c>
      <c r="Z952" s="181" t="str">
        <f>IFERROR(LOOKUP(2,1/((B_Drainage!$A$5:$A$204&lt;&gt;"")*(B_Drainage!$A$5:$A$204&lt;=$B952)*(B_Drainage!$B$5:$B$204&gt;$B952)*(B_Drainage!$I$5:$I$204&lt;&gt;"")),IF(UPPER(B_Drainage!$I$5:$I$204)="Y",1,"")),"")</f>
        <v/>
      </c>
      <c r="AA952" s="181" t="str">
        <f>IFERROR(LOOKUP(2,1/((B_Drainage!$A$5:$A$204&lt;&gt;"")*(B_Drainage!$A$5:$A$204&lt;=$B952)*(B_Drainage!$B$5:$B$204&gt;$B952)*(B_Drainage!$J$5:$J$204&lt;&gt;"")),IF(UPPER(B_Drainage!$J$5:$J$204)="Y",1,"")),"")</f>
        <v/>
      </c>
      <c r="AB952" s="182" t="str">
        <f>IFERROR(LOOKUP(2,1/((B_Drainage!$A$5:$A$204&lt;&gt;"")*(B_Drainage!$A$5:$A$204&lt;=$B952)*(B_Drainage!$B$5:$B$204&gt;$B952)*(B_Drainage!$K$5:$K$204&lt;&gt;"")),IF(B_Drainage!$K$5:$K$204="-","",B_Drainage!$K$5:$K$204)),"")</f>
        <v/>
      </c>
      <c r="AC952" s="182" t="str">
        <f>IFERROR(LOOKUP(2,1/((B_Drainage!$A$5:$A$204&lt;&gt;"")*(B_Drainage!$A$5:$A$204&lt;=$B952)*(B_Drainage!$B$5:$B$204&gt;$B952)*(B_Drainage!$L$5:$L$204&lt;&gt;"")),IF(B_Drainage!$L$5:$L$204="-","",B_Drainage!$L$5:$L$204)),"")</f>
        <v/>
      </c>
      <c r="AD952" s="182" t="str">
        <f>IFERROR(LOOKUP(2,1/((D_Points!$A$5:$A$204&lt;&gt;"")*(D_Points!$A$5:$A$204&gt;=$B952)*(D_Points!$A$5:$A$204&lt;$B952+P_Interval)*(UPPER(TRIM(D_Points!$B$5:$B$204))="TURNOUT_L")*(D_Points!$H$5:$H$204&lt;&gt;"")),D_Points!$H$5:$H$204),"")</f>
        <v/>
      </c>
      <c r="AE952" s="182" t="str">
        <f>IFERROR(LOOKUP(2,1/((D_Points!$A$5:$A$204&lt;&gt;"")*(D_Points!$A$5:$A$204&gt;=$B952)*(D_Points!$A$5:$A$204&lt;$B952+P_Interval)*(UPPER(TRIM(D_Points!$B$5:$B$204))="TURNOUT_R")*(D_Points!$H$5:$H$204&lt;&gt;"")),D_Points!$H$5:$H$204),"")</f>
        <v/>
      </c>
      <c r="AF952" s="181" t="str">
        <f>IFERROR(LOOKUP(2,1/((B_Drainage!$A$5:$A$204&lt;&gt;"")*(B_Drainage!$A$5:$A$204&lt;=$B952)*(B_Drainage!$B$5:$B$204&gt;$B952)*(B_Drainage!$M$5:$M$204&lt;&gt;"")),IF(UPPER(B_Drainage!$M$5:$M$204)="Y",1,"")),"")</f>
        <v/>
      </c>
      <c r="AG952" s="181" t="str">
        <f>IFERROR(LOOKUP(2,1/((B_Drainage!$A$5:$A$204&lt;&gt;"")*(B_Drainage!$A$5:$A$204&lt;=$B952)*(B_Drainage!$B$5:$B$204&gt;$B952)*(B_Drainage!$N$5:$N$204&lt;&gt;"")),IF(UPPER(B_Drainage!$N$5:$N$204)="Y",1,"")),"")</f>
        <v/>
      </c>
      <c r="AH952" s="181" t="str">
        <f t="shared" si="112"/>
        <v/>
      </c>
      <c r="AI952" s="181" t="str">
        <f t="shared" si="113"/>
        <v/>
      </c>
      <c r="AJ952" s="181" t="str">
        <f t="shared" si="114"/>
        <v/>
      </c>
      <c r="AK952" s="181" t="str">
        <f t="shared" si="115"/>
        <v/>
      </c>
      <c r="AL952" s="181" t="str">
        <f t="shared" si="116"/>
        <v/>
      </c>
      <c r="AM952" s="181" t="str">
        <f t="shared" si="117"/>
        <v/>
      </c>
      <c r="AN952" s="181" t="str">
        <f t="shared" si="118"/>
        <v/>
      </c>
      <c r="AO952" s="192" t="str">
        <f t="shared" si="119"/>
        <v/>
      </c>
      <c r="AQ952" t="str">
        <f>IFERROR(LOOKUP(2,1/((C_Pavement!$A$5:$A$204&lt;&gt;"")*(C_Pavement!$A$5:$A$204&lt;=$B952)*(C_Pavement!$B$5:$B$204&gt;$B952)*(C_Pavement!$C$5:$C$204&lt;&gt;"")),ROW(C_Pavement!$C$5:$C$204)-4),"")</f>
        <v/>
      </c>
      <c r="AR952" t="str">
        <f>IF($AQ952="","",UPPER(TRIM(INDEX(C_Pavement!$C$5:$C$204,$AQ952))))</f>
        <v/>
      </c>
      <c r="AS952" t="str">
        <f>IF($AR952="","",IFERROR(MATCH($AR952,E_Rules!$A$5:$A$9,0),""))</f>
        <v/>
      </c>
      <c r="AT952" t="str">
        <f>IF($AQ952="","",IF(INDEX(C_Pavement!$D$5:$D$204,$AQ952)&lt;&gt;"",UPPER(TRIM(INDEX(C_Pavement!$D$5:$D$204,$AQ952))),IF($AS952="","",INDEX(E_Rules!$C$5:$C$9,$AS952))))</f>
        <v/>
      </c>
      <c r="AU952" t="str">
        <f>IF($AQ952="","",IF(INDEX(C_Pavement!$E$5:$E$204,$AQ952)&lt;&gt;"",IF(INDEX(C_Pavement!$E$5:$E$204,$AQ952)="-","",INDEX(C_Pavement!$E$5:$E$204,$AQ952)),IF($AS952="","",INDEX(E_Rules!$D$5:$D$9,$AS952))))</f>
        <v/>
      </c>
      <c r="AV952" t="str">
        <f>IF($AQ952="","",IF(INDEX(C_Pavement!$F$5:$F$204,$AQ952)&lt;&gt;"",IF(INDEX(C_Pavement!$F$5:$F$204,$AQ952)="-","",INDEX(C_Pavement!$F$5:$F$204,$AQ952)),IF($AS952="","",INDEX(E_Rules!$E$5:$E$9,$AS952))))</f>
        <v/>
      </c>
      <c r="AW952" t="str">
        <f>IF($AQ952="","",IF(INDEX(C_Pavement!$G$5:$G$204,$AQ952)&lt;&gt;"",IF(INDEX(C_Pavement!$G$5:$G$204,$AQ952)="-","",INDEX(C_Pavement!$G$5:$G$204,$AQ952)),IF($AS952="","",INDEX(E_Rules!$F$5:$F$9,$AS952))))</f>
        <v/>
      </c>
      <c r="AX952" t="str">
        <f>IF($AQ952="","",IF(INDEX(C_Pavement!$H$5:$H$204,$AQ952)&lt;&gt;"",IF(INDEX(C_Pavement!$H$5:$H$204,$AQ952)="-","",INDEX(C_Pavement!$H$5:$H$204,$AQ952)),IF($AS952="","",INDEX(E_Rules!$G$5:$G$9,$AS952))))</f>
        <v/>
      </c>
      <c r="AY952" t="str">
        <f>IF($AQ952="","",IF(INDEX(C_Pavement!$I$5:$I$204,$AQ952)&lt;&gt;"",IF(INDEX(C_Pavement!$I$5:$I$204,$AQ952)="-","",INDEX(C_Pavement!$I$5:$I$204,$AQ952)),IF($AS952="","",INDEX(E_Rules!$H$5:$H$9,$AS952))))</f>
        <v/>
      </c>
    </row>
    <row r="953" spans="1:51" ht="15.75" customHeight="1" x14ac:dyDescent="0.3">
      <c r="A953" s="189">
        <v>948</v>
      </c>
      <c r="B953" s="180">
        <v>47350</v>
      </c>
      <c r="C953" s="180" t="s">
        <v>1259</v>
      </c>
      <c r="D953" s="181" t="str">
        <f>IFERROR(LOOKUP(2,1/((A_Corridor!$A$5:$A$204&lt;&gt;"")*(A_Corridor!$A$5:$A$204&lt;=$B953)*(A_Corridor!$B$5:$B$204&gt;$B953)*(A_Corridor!$C$5:$C$204&lt;&gt;"")),IF(UPPER(A_Corridor!$C$5:$C$204)="Y",1,"")),"")</f>
        <v/>
      </c>
      <c r="E953" s="181" t="str">
        <f>IFERROR(LOOKUP(2,1/((A_Corridor!$A$5:$A$204&lt;&gt;"")*(A_Corridor!$A$5:$A$204&lt;=$B953)*(A_Corridor!$B$5:$B$204&gt;$B953)*(A_Corridor!$D$5:$D$204&lt;&gt;"")),IF(A_Corridor!$D$5:$D$204="-","",UPPER(A_Corridor!$D$5:$D$204))),"")</f>
        <v/>
      </c>
      <c r="F953" s="181" t="str">
        <f>IFERROR(LOOKUP(2,1/((A_Corridor!$A$5:$A$204&lt;&gt;"")*(A_Corridor!$A$5:$A$204&lt;=$B953)*(A_Corridor!$B$5:$B$204&gt;$B953)*(A_Corridor!$E$5:$E$204&lt;&gt;"")),IF(A_Corridor!$E$5:$E$204="-","",1)),"")</f>
        <v/>
      </c>
      <c r="G953" s="182" t="str">
        <f>IFERROR(LOOKUP(2,1/((A_Corridor!$A$5:$A$204&lt;&gt;"")*(A_Corridor!$A$5:$A$204&lt;=$B953)*(A_Corridor!$B$5:$B$204&gt;$B953)*(A_Corridor!$E$5:$E$204&lt;&gt;"")),IF(A_Corridor!$E$5:$E$204="-","",A_Corridor!$E$5:$E$204)),"")</f>
        <v/>
      </c>
      <c r="H953" s="182" t="str">
        <f>IFERROR(LOOKUP(2,1/((D_Points!$A$5:$A$204&lt;&gt;"")*(D_Points!$A$5:$A$204&gt;=$B953)*(D_Points!$A$5:$A$204&lt;$B953+P_Interval)*(UPPER(TRIM(D_Points!$B$5:$B$204))="GULLY")*(D_Points!$H$5:$H$204&lt;&gt;"")),D_Points!$H$5:$H$204),"")</f>
        <v/>
      </c>
      <c r="I953" s="181" t="str">
        <f>IFERROR(LOOKUP(2,1/((A_Corridor!$A$5:$A$204&lt;&gt;"")*(A_Corridor!$A$5:$A$204&lt;=$B953)*(A_Corridor!$B$5:$B$204&gt;$B953)*(A_Corridor!$F$5:$F$204&lt;&gt;"")),IF(A_Corridor!$F$5:$F$204="-","",1)),"")</f>
        <v/>
      </c>
      <c r="J953" s="182" t="str">
        <f>IFERROR(LOOKUP(2,1/((A_Corridor!$A$5:$A$204&lt;&gt;"")*(A_Corridor!$A$5:$A$204&lt;=$B953)*(A_Corridor!$B$5:$B$204&gt;$B953)*(A_Corridor!$F$5:$F$204&lt;&gt;"")),IF(A_Corridor!$F$5:$F$204="-","",A_Corridor!$F$5:$F$204)),"")</f>
        <v/>
      </c>
      <c r="K953" s="182" t="str">
        <f>IFERROR(LOOKUP(2,1/((A_Corridor!$A$5:$A$204&lt;&gt;"")*(A_Corridor!$A$5:$A$204&lt;=$B953)*(A_Corridor!$B$5:$B$204&gt;$B953)*(A_Corridor!$G$5:$G$204&lt;&gt;"")),IF(A_Corridor!$G$5:$G$204="-","",A_Corridor!$G$5:$G$204)),"")</f>
        <v/>
      </c>
      <c r="L953" s="181" t="str">
        <f>IFERROR(LOOKUP(2,1/((A_Corridor!$A$5:$A$204&lt;&gt;"")*(A_Corridor!$A$5:$A$204&lt;=$B953)*(A_Corridor!$B$5:$B$204&gt;$B953)*(A_Corridor!$H$5:$H$204&lt;&gt;"")),IF(A_Corridor!$H$5:$H$204="-","",1)),"")</f>
        <v/>
      </c>
      <c r="M953" s="182" t="str">
        <f>IFERROR(LOOKUP(2,1/((A_Corridor!$A$5:$A$204&lt;&gt;"")*(A_Corridor!$A$5:$A$204&lt;=$B953)*(A_Corridor!$B$5:$B$204&gt;$B953)*(A_Corridor!$H$5:$H$204&lt;&gt;"")),IF(A_Corridor!$H$5:$H$204="-","",A_Corridor!$H$5:$H$204)),"")</f>
        <v/>
      </c>
      <c r="N953" s="182" t="str">
        <f>IFERROR(LOOKUP(2,1/((A_Corridor!$A$5:$A$204&lt;&gt;"")*(A_Corridor!$A$5:$A$204&lt;=$B953)*(A_Corridor!$B$5:$B$204&gt;$B953)*(A_Corridor!$I$5:$I$204&lt;&gt;"")),IF(A_Corridor!$I$5:$I$204="-","",A_Corridor!$I$5:$I$204)),"")</f>
        <v/>
      </c>
      <c r="O953" s="182" t="str">
        <f>IFERROR(LOOKUP(2,1/((D_Points!$A$5:$A$204&lt;&gt;"")*(D_Points!$A$5:$A$204&gt;=$B953)*(D_Points!$A$5:$A$204&lt;$B953+P_Interval)*(UPPER(TRIM(D_Points!$B$5:$B$204))="PITCHING")*(D_Points!$H$5:$H$204&lt;&gt;"")),D_Points!$H$5:$H$204),"")</f>
        <v/>
      </c>
      <c r="P953" s="181" t="str">
        <f>IFERROR(LOOKUP(2,1/((B_Drainage!$A$5:$A$204&lt;&gt;"")*(B_Drainage!$A$5:$A$204&lt;=$B953)*(B_Drainage!$B$5:$B$204&gt;$B953)*(B_Drainage!$C$5:$C$204&lt;&gt;"")),IF(B_Drainage!$C$5:$C$204="-","",UPPER(B_Drainage!$C$5:$C$204))),"")</f>
        <v/>
      </c>
      <c r="Q953" s="181" t="str">
        <f>IFERROR(LOOKUP(2,1/((B_Drainage!$A$5:$A$204&lt;&gt;"")*(B_Drainage!$A$5:$A$204&lt;=$B953)*(B_Drainage!$B$5:$B$204&gt;$B953)*(B_Drainage!$D$5:$D$204&lt;&gt;"")),IF(B_Drainage!$D$5:$D$204="-","",UPPER(B_Drainage!$D$5:$D$204))),"")</f>
        <v/>
      </c>
      <c r="R953" s="182" t="str">
        <f>IFERROR(LOOKUP(2,1/((D_Points!$A$5:$A$204&lt;&gt;"")*(D_Points!$A$5:$A$204&gt;=$B953)*(D_Points!$A$5:$A$204&lt;$B953+P_Interval)*(RIGHT(UPPER(TRIM(D_Points!$B$5:$B$204)),8)="_CULVERT")),IF(LEFT(UPPER(TRIM(D_Points!$B$5:$B$204)),2)="EX",1,IF(LEFT(UPPER(TRIM(D_Points!$B$5:$B$204)),2)="PR",2,3))),"")</f>
        <v/>
      </c>
      <c r="S953" s="182" t="str">
        <f>IFERROR(LOOKUP(2,1/((D_Points!$A$5:$A$204&lt;&gt;"")*(D_Points!$A$5:$A$204&gt;=$B953)*(D_Points!$A$5:$A$204&lt;$B953+P_Interval)*(RIGHT(UPPER(TRIM(D_Points!$B$5:$B$204)),7)="_BRIDGE")),IF(LEFT(UPPER(TRIM(D_Points!$B$5:$B$204)),2)="EX",1,IF(LEFT(UPPER(TRIM(D_Points!$B$5:$B$204)),2)="PR",2,2))),"")</f>
        <v/>
      </c>
      <c r="T953" s="181" t="str">
        <f>IFERROR(LOOKUP(2,1/((B_Drainage!$A$5:$A$204&lt;&gt;"")*(B_Drainage!$A$5:$A$204&lt;=$B953)*(B_Drainage!$B$5:$B$204&gt;$B953)*(B_Drainage!$E$5:$E$204&lt;&gt;"")),IF(B_Drainage!$E$5:$E$204="-","",1)),"")</f>
        <v/>
      </c>
      <c r="U953" s="181" t="str">
        <f>IFERROR(LOOKUP(2,1/((B_Drainage!$A$5:$A$204&lt;&gt;"")*(B_Drainage!$A$5:$A$204&lt;=$B953)*(B_Drainage!$B$5:$B$204&gt;$B953)*(B_Drainage!$E$5:$E$204&lt;&gt;"")),IF(B_Drainage!$E$5:$E$204="-","",B_Drainage!$E$5:$E$204)),"")</f>
        <v/>
      </c>
      <c r="V953" s="181" t="str">
        <f>IFERROR(LOOKUP(2,1/((B_Drainage!$A$5:$A$204&lt;&gt;"")*(B_Drainage!$A$5:$A$204&lt;=$B953)*(B_Drainage!$B$5:$B$204&gt;$B953)*(B_Drainage!$F$5:$F$204&lt;&gt;"")),IF(B_Drainage!$F$5:$F$204="-","",1)),"")</f>
        <v/>
      </c>
      <c r="W953" s="181" t="str">
        <f>IFERROR(LOOKUP(2,1/((B_Drainage!$A$5:$A$204&lt;&gt;"")*(B_Drainage!$A$5:$A$204&lt;=$B953)*(B_Drainage!$B$5:$B$204&gt;$B953)*(B_Drainage!$F$5:$F$204&lt;&gt;"")),IF(B_Drainage!$F$5:$F$204="-","",B_Drainage!$F$5:$F$204)),"")</f>
        <v/>
      </c>
      <c r="X953" s="181" t="str">
        <f>IFERROR(LOOKUP(2,1/((B_Drainage!$A$5:$A$204&lt;&gt;"")*(B_Drainage!$A$5:$A$204&lt;=$B953)*(B_Drainage!$B$5:$B$204&gt;$B953)*(B_Drainage!$G$5:$G$204&lt;&gt;"")),IF(UPPER(B_Drainage!$G$5:$G$204)="Y",1,"")),"")</f>
        <v/>
      </c>
      <c r="Y953" s="181" t="str">
        <f>IFERROR(LOOKUP(2,1/((B_Drainage!$A$5:$A$204&lt;&gt;"")*(B_Drainage!$A$5:$A$204&lt;=$B953)*(B_Drainage!$B$5:$B$204&gt;$B953)*(B_Drainage!$H$5:$H$204&lt;&gt;"")),IF(UPPER(B_Drainage!$H$5:$H$204)="Y",1,"")),"")</f>
        <v/>
      </c>
      <c r="Z953" s="181" t="str">
        <f>IFERROR(LOOKUP(2,1/((B_Drainage!$A$5:$A$204&lt;&gt;"")*(B_Drainage!$A$5:$A$204&lt;=$B953)*(B_Drainage!$B$5:$B$204&gt;$B953)*(B_Drainage!$I$5:$I$204&lt;&gt;"")),IF(UPPER(B_Drainage!$I$5:$I$204)="Y",1,"")),"")</f>
        <v/>
      </c>
      <c r="AA953" s="181" t="str">
        <f>IFERROR(LOOKUP(2,1/((B_Drainage!$A$5:$A$204&lt;&gt;"")*(B_Drainage!$A$5:$A$204&lt;=$B953)*(B_Drainage!$B$5:$B$204&gt;$B953)*(B_Drainage!$J$5:$J$204&lt;&gt;"")),IF(UPPER(B_Drainage!$J$5:$J$204)="Y",1,"")),"")</f>
        <v/>
      </c>
      <c r="AB953" s="182" t="str">
        <f>IFERROR(LOOKUP(2,1/((B_Drainage!$A$5:$A$204&lt;&gt;"")*(B_Drainage!$A$5:$A$204&lt;=$B953)*(B_Drainage!$B$5:$B$204&gt;$B953)*(B_Drainage!$K$5:$K$204&lt;&gt;"")),IF(B_Drainage!$K$5:$K$204="-","",B_Drainage!$K$5:$K$204)),"")</f>
        <v/>
      </c>
      <c r="AC953" s="182" t="str">
        <f>IFERROR(LOOKUP(2,1/((B_Drainage!$A$5:$A$204&lt;&gt;"")*(B_Drainage!$A$5:$A$204&lt;=$B953)*(B_Drainage!$B$5:$B$204&gt;$B953)*(B_Drainage!$L$5:$L$204&lt;&gt;"")),IF(B_Drainage!$L$5:$L$204="-","",B_Drainage!$L$5:$L$204)),"")</f>
        <v/>
      </c>
      <c r="AD953" s="182" t="str">
        <f>IFERROR(LOOKUP(2,1/((D_Points!$A$5:$A$204&lt;&gt;"")*(D_Points!$A$5:$A$204&gt;=$B953)*(D_Points!$A$5:$A$204&lt;$B953+P_Interval)*(UPPER(TRIM(D_Points!$B$5:$B$204))="TURNOUT_L")*(D_Points!$H$5:$H$204&lt;&gt;"")),D_Points!$H$5:$H$204),"")</f>
        <v/>
      </c>
      <c r="AE953" s="182" t="str">
        <f>IFERROR(LOOKUP(2,1/((D_Points!$A$5:$A$204&lt;&gt;"")*(D_Points!$A$5:$A$204&gt;=$B953)*(D_Points!$A$5:$A$204&lt;$B953+P_Interval)*(UPPER(TRIM(D_Points!$B$5:$B$204))="TURNOUT_R")*(D_Points!$H$5:$H$204&lt;&gt;"")),D_Points!$H$5:$H$204),"")</f>
        <v/>
      </c>
      <c r="AF953" s="181" t="str">
        <f>IFERROR(LOOKUP(2,1/((B_Drainage!$A$5:$A$204&lt;&gt;"")*(B_Drainage!$A$5:$A$204&lt;=$B953)*(B_Drainage!$B$5:$B$204&gt;$B953)*(B_Drainage!$M$5:$M$204&lt;&gt;"")),IF(UPPER(B_Drainage!$M$5:$M$204)="Y",1,"")),"")</f>
        <v/>
      </c>
      <c r="AG953" s="181" t="str">
        <f>IFERROR(LOOKUP(2,1/((B_Drainage!$A$5:$A$204&lt;&gt;"")*(B_Drainage!$A$5:$A$204&lt;=$B953)*(B_Drainage!$B$5:$B$204&gt;$B953)*(B_Drainage!$N$5:$N$204&lt;&gt;"")),IF(UPPER(B_Drainage!$N$5:$N$204)="Y",1,"")),"")</f>
        <v/>
      </c>
      <c r="AH953" s="181" t="str">
        <f t="shared" si="112"/>
        <v/>
      </c>
      <c r="AI953" s="181" t="str">
        <f t="shared" si="113"/>
        <v/>
      </c>
      <c r="AJ953" s="181" t="str">
        <f t="shared" si="114"/>
        <v/>
      </c>
      <c r="AK953" s="181" t="str">
        <f t="shared" si="115"/>
        <v/>
      </c>
      <c r="AL953" s="181" t="str">
        <f t="shared" si="116"/>
        <v/>
      </c>
      <c r="AM953" s="181" t="str">
        <f t="shared" si="117"/>
        <v/>
      </c>
      <c r="AN953" s="181" t="str">
        <f t="shared" si="118"/>
        <v/>
      </c>
      <c r="AO953" s="192" t="str">
        <f t="shared" si="119"/>
        <v/>
      </c>
      <c r="AQ953" t="str">
        <f>IFERROR(LOOKUP(2,1/((C_Pavement!$A$5:$A$204&lt;&gt;"")*(C_Pavement!$A$5:$A$204&lt;=$B953)*(C_Pavement!$B$5:$B$204&gt;$B953)*(C_Pavement!$C$5:$C$204&lt;&gt;"")),ROW(C_Pavement!$C$5:$C$204)-4),"")</f>
        <v/>
      </c>
      <c r="AR953" t="str">
        <f>IF($AQ953="","",UPPER(TRIM(INDEX(C_Pavement!$C$5:$C$204,$AQ953))))</f>
        <v/>
      </c>
      <c r="AS953" t="str">
        <f>IF($AR953="","",IFERROR(MATCH($AR953,E_Rules!$A$5:$A$9,0),""))</f>
        <v/>
      </c>
      <c r="AT953" t="str">
        <f>IF($AQ953="","",IF(INDEX(C_Pavement!$D$5:$D$204,$AQ953)&lt;&gt;"",UPPER(TRIM(INDEX(C_Pavement!$D$5:$D$204,$AQ953))),IF($AS953="","",INDEX(E_Rules!$C$5:$C$9,$AS953))))</f>
        <v/>
      </c>
      <c r="AU953" t="str">
        <f>IF($AQ953="","",IF(INDEX(C_Pavement!$E$5:$E$204,$AQ953)&lt;&gt;"",IF(INDEX(C_Pavement!$E$5:$E$204,$AQ953)="-","",INDEX(C_Pavement!$E$5:$E$204,$AQ953)),IF($AS953="","",INDEX(E_Rules!$D$5:$D$9,$AS953))))</f>
        <v/>
      </c>
      <c r="AV953" t="str">
        <f>IF($AQ953="","",IF(INDEX(C_Pavement!$F$5:$F$204,$AQ953)&lt;&gt;"",IF(INDEX(C_Pavement!$F$5:$F$204,$AQ953)="-","",INDEX(C_Pavement!$F$5:$F$204,$AQ953)),IF($AS953="","",INDEX(E_Rules!$E$5:$E$9,$AS953))))</f>
        <v/>
      </c>
      <c r="AW953" t="str">
        <f>IF($AQ953="","",IF(INDEX(C_Pavement!$G$5:$G$204,$AQ953)&lt;&gt;"",IF(INDEX(C_Pavement!$G$5:$G$204,$AQ953)="-","",INDEX(C_Pavement!$G$5:$G$204,$AQ953)),IF($AS953="","",INDEX(E_Rules!$F$5:$F$9,$AS953))))</f>
        <v/>
      </c>
      <c r="AX953" t="str">
        <f>IF($AQ953="","",IF(INDEX(C_Pavement!$H$5:$H$204,$AQ953)&lt;&gt;"",IF(INDEX(C_Pavement!$H$5:$H$204,$AQ953)="-","",INDEX(C_Pavement!$H$5:$H$204,$AQ953)),IF($AS953="","",INDEX(E_Rules!$G$5:$G$9,$AS953))))</f>
        <v/>
      </c>
      <c r="AY953" t="str">
        <f>IF($AQ953="","",IF(INDEX(C_Pavement!$I$5:$I$204,$AQ953)&lt;&gt;"",IF(INDEX(C_Pavement!$I$5:$I$204,$AQ953)="-","",INDEX(C_Pavement!$I$5:$I$204,$AQ953)),IF($AS953="","",INDEX(E_Rules!$H$5:$H$9,$AS953))))</f>
        <v/>
      </c>
    </row>
    <row r="954" spans="1:51" ht="15.75" customHeight="1" x14ac:dyDescent="0.3">
      <c r="A954" s="189">
        <v>949</v>
      </c>
      <c r="B954" s="180">
        <v>47400</v>
      </c>
      <c r="C954" s="180" t="s">
        <v>1260</v>
      </c>
      <c r="D954" s="181" t="str">
        <f>IFERROR(LOOKUP(2,1/((A_Corridor!$A$5:$A$204&lt;&gt;"")*(A_Corridor!$A$5:$A$204&lt;=$B954)*(A_Corridor!$B$5:$B$204&gt;$B954)*(A_Corridor!$C$5:$C$204&lt;&gt;"")),IF(UPPER(A_Corridor!$C$5:$C$204)="Y",1,"")),"")</f>
        <v/>
      </c>
      <c r="E954" s="181" t="str">
        <f>IFERROR(LOOKUP(2,1/((A_Corridor!$A$5:$A$204&lt;&gt;"")*(A_Corridor!$A$5:$A$204&lt;=$B954)*(A_Corridor!$B$5:$B$204&gt;$B954)*(A_Corridor!$D$5:$D$204&lt;&gt;"")),IF(A_Corridor!$D$5:$D$204="-","",UPPER(A_Corridor!$D$5:$D$204))),"")</f>
        <v/>
      </c>
      <c r="F954" s="181" t="str">
        <f>IFERROR(LOOKUP(2,1/((A_Corridor!$A$5:$A$204&lt;&gt;"")*(A_Corridor!$A$5:$A$204&lt;=$B954)*(A_Corridor!$B$5:$B$204&gt;$B954)*(A_Corridor!$E$5:$E$204&lt;&gt;"")),IF(A_Corridor!$E$5:$E$204="-","",1)),"")</f>
        <v/>
      </c>
      <c r="G954" s="182" t="str">
        <f>IFERROR(LOOKUP(2,1/((A_Corridor!$A$5:$A$204&lt;&gt;"")*(A_Corridor!$A$5:$A$204&lt;=$B954)*(A_Corridor!$B$5:$B$204&gt;$B954)*(A_Corridor!$E$5:$E$204&lt;&gt;"")),IF(A_Corridor!$E$5:$E$204="-","",A_Corridor!$E$5:$E$204)),"")</f>
        <v/>
      </c>
      <c r="H954" s="182" t="str">
        <f>IFERROR(LOOKUP(2,1/((D_Points!$A$5:$A$204&lt;&gt;"")*(D_Points!$A$5:$A$204&gt;=$B954)*(D_Points!$A$5:$A$204&lt;$B954+P_Interval)*(UPPER(TRIM(D_Points!$B$5:$B$204))="GULLY")*(D_Points!$H$5:$H$204&lt;&gt;"")),D_Points!$H$5:$H$204),"")</f>
        <v/>
      </c>
      <c r="I954" s="181" t="str">
        <f>IFERROR(LOOKUP(2,1/((A_Corridor!$A$5:$A$204&lt;&gt;"")*(A_Corridor!$A$5:$A$204&lt;=$B954)*(A_Corridor!$B$5:$B$204&gt;$B954)*(A_Corridor!$F$5:$F$204&lt;&gt;"")),IF(A_Corridor!$F$5:$F$204="-","",1)),"")</f>
        <v/>
      </c>
      <c r="J954" s="182" t="str">
        <f>IFERROR(LOOKUP(2,1/((A_Corridor!$A$5:$A$204&lt;&gt;"")*(A_Corridor!$A$5:$A$204&lt;=$B954)*(A_Corridor!$B$5:$B$204&gt;$B954)*(A_Corridor!$F$5:$F$204&lt;&gt;"")),IF(A_Corridor!$F$5:$F$204="-","",A_Corridor!$F$5:$F$204)),"")</f>
        <v/>
      </c>
      <c r="K954" s="182" t="str">
        <f>IFERROR(LOOKUP(2,1/((A_Corridor!$A$5:$A$204&lt;&gt;"")*(A_Corridor!$A$5:$A$204&lt;=$B954)*(A_Corridor!$B$5:$B$204&gt;$B954)*(A_Corridor!$G$5:$G$204&lt;&gt;"")),IF(A_Corridor!$G$5:$G$204="-","",A_Corridor!$G$5:$G$204)),"")</f>
        <v/>
      </c>
      <c r="L954" s="181" t="str">
        <f>IFERROR(LOOKUP(2,1/((A_Corridor!$A$5:$A$204&lt;&gt;"")*(A_Corridor!$A$5:$A$204&lt;=$B954)*(A_Corridor!$B$5:$B$204&gt;$B954)*(A_Corridor!$H$5:$H$204&lt;&gt;"")),IF(A_Corridor!$H$5:$H$204="-","",1)),"")</f>
        <v/>
      </c>
      <c r="M954" s="182" t="str">
        <f>IFERROR(LOOKUP(2,1/((A_Corridor!$A$5:$A$204&lt;&gt;"")*(A_Corridor!$A$5:$A$204&lt;=$B954)*(A_Corridor!$B$5:$B$204&gt;$B954)*(A_Corridor!$H$5:$H$204&lt;&gt;"")),IF(A_Corridor!$H$5:$H$204="-","",A_Corridor!$H$5:$H$204)),"")</f>
        <v/>
      </c>
      <c r="N954" s="182" t="str">
        <f>IFERROR(LOOKUP(2,1/((A_Corridor!$A$5:$A$204&lt;&gt;"")*(A_Corridor!$A$5:$A$204&lt;=$B954)*(A_Corridor!$B$5:$B$204&gt;$B954)*(A_Corridor!$I$5:$I$204&lt;&gt;"")),IF(A_Corridor!$I$5:$I$204="-","",A_Corridor!$I$5:$I$204)),"")</f>
        <v/>
      </c>
      <c r="O954" s="182" t="str">
        <f>IFERROR(LOOKUP(2,1/((D_Points!$A$5:$A$204&lt;&gt;"")*(D_Points!$A$5:$A$204&gt;=$B954)*(D_Points!$A$5:$A$204&lt;$B954+P_Interval)*(UPPER(TRIM(D_Points!$B$5:$B$204))="PITCHING")*(D_Points!$H$5:$H$204&lt;&gt;"")),D_Points!$H$5:$H$204),"")</f>
        <v/>
      </c>
      <c r="P954" s="181" t="str">
        <f>IFERROR(LOOKUP(2,1/((B_Drainage!$A$5:$A$204&lt;&gt;"")*(B_Drainage!$A$5:$A$204&lt;=$B954)*(B_Drainage!$B$5:$B$204&gt;$B954)*(B_Drainage!$C$5:$C$204&lt;&gt;"")),IF(B_Drainage!$C$5:$C$204="-","",UPPER(B_Drainage!$C$5:$C$204))),"")</f>
        <v/>
      </c>
      <c r="Q954" s="181" t="str">
        <f>IFERROR(LOOKUP(2,1/((B_Drainage!$A$5:$A$204&lt;&gt;"")*(B_Drainage!$A$5:$A$204&lt;=$B954)*(B_Drainage!$B$5:$B$204&gt;$B954)*(B_Drainage!$D$5:$D$204&lt;&gt;"")),IF(B_Drainage!$D$5:$D$204="-","",UPPER(B_Drainage!$D$5:$D$204))),"")</f>
        <v/>
      </c>
      <c r="R954" s="182" t="str">
        <f>IFERROR(LOOKUP(2,1/((D_Points!$A$5:$A$204&lt;&gt;"")*(D_Points!$A$5:$A$204&gt;=$B954)*(D_Points!$A$5:$A$204&lt;$B954+P_Interval)*(RIGHT(UPPER(TRIM(D_Points!$B$5:$B$204)),8)="_CULVERT")),IF(LEFT(UPPER(TRIM(D_Points!$B$5:$B$204)),2)="EX",1,IF(LEFT(UPPER(TRIM(D_Points!$B$5:$B$204)),2)="PR",2,3))),"")</f>
        <v/>
      </c>
      <c r="S954" s="182" t="str">
        <f>IFERROR(LOOKUP(2,1/((D_Points!$A$5:$A$204&lt;&gt;"")*(D_Points!$A$5:$A$204&gt;=$B954)*(D_Points!$A$5:$A$204&lt;$B954+P_Interval)*(RIGHT(UPPER(TRIM(D_Points!$B$5:$B$204)),7)="_BRIDGE")),IF(LEFT(UPPER(TRIM(D_Points!$B$5:$B$204)),2)="EX",1,IF(LEFT(UPPER(TRIM(D_Points!$B$5:$B$204)),2)="PR",2,2))),"")</f>
        <v/>
      </c>
      <c r="T954" s="181" t="str">
        <f>IFERROR(LOOKUP(2,1/((B_Drainage!$A$5:$A$204&lt;&gt;"")*(B_Drainage!$A$5:$A$204&lt;=$B954)*(B_Drainage!$B$5:$B$204&gt;$B954)*(B_Drainage!$E$5:$E$204&lt;&gt;"")),IF(B_Drainage!$E$5:$E$204="-","",1)),"")</f>
        <v/>
      </c>
      <c r="U954" s="181" t="str">
        <f>IFERROR(LOOKUP(2,1/((B_Drainage!$A$5:$A$204&lt;&gt;"")*(B_Drainage!$A$5:$A$204&lt;=$B954)*(B_Drainage!$B$5:$B$204&gt;$B954)*(B_Drainage!$E$5:$E$204&lt;&gt;"")),IF(B_Drainage!$E$5:$E$204="-","",B_Drainage!$E$5:$E$204)),"")</f>
        <v/>
      </c>
      <c r="V954" s="181" t="str">
        <f>IFERROR(LOOKUP(2,1/((B_Drainage!$A$5:$A$204&lt;&gt;"")*(B_Drainage!$A$5:$A$204&lt;=$B954)*(B_Drainage!$B$5:$B$204&gt;$B954)*(B_Drainage!$F$5:$F$204&lt;&gt;"")),IF(B_Drainage!$F$5:$F$204="-","",1)),"")</f>
        <v/>
      </c>
      <c r="W954" s="181" t="str">
        <f>IFERROR(LOOKUP(2,1/((B_Drainage!$A$5:$A$204&lt;&gt;"")*(B_Drainage!$A$5:$A$204&lt;=$B954)*(B_Drainage!$B$5:$B$204&gt;$B954)*(B_Drainage!$F$5:$F$204&lt;&gt;"")),IF(B_Drainage!$F$5:$F$204="-","",B_Drainage!$F$5:$F$204)),"")</f>
        <v/>
      </c>
      <c r="X954" s="181" t="str">
        <f>IFERROR(LOOKUP(2,1/((B_Drainage!$A$5:$A$204&lt;&gt;"")*(B_Drainage!$A$5:$A$204&lt;=$B954)*(B_Drainage!$B$5:$B$204&gt;$B954)*(B_Drainage!$G$5:$G$204&lt;&gt;"")),IF(UPPER(B_Drainage!$G$5:$G$204)="Y",1,"")),"")</f>
        <v/>
      </c>
      <c r="Y954" s="181" t="str">
        <f>IFERROR(LOOKUP(2,1/((B_Drainage!$A$5:$A$204&lt;&gt;"")*(B_Drainage!$A$5:$A$204&lt;=$B954)*(B_Drainage!$B$5:$B$204&gt;$B954)*(B_Drainage!$H$5:$H$204&lt;&gt;"")),IF(UPPER(B_Drainage!$H$5:$H$204)="Y",1,"")),"")</f>
        <v/>
      </c>
      <c r="Z954" s="181" t="str">
        <f>IFERROR(LOOKUP(2,1/((B_Drainage!$A$5:$A$204&lt;&gt;"")*(B_Drainage!$A$5:$A$204&lt;=$B954)*(B_Drainage!$B$5:$B$204&gt;$B954)*(B_Drainage!$I$5:$I$204&lt;&gt;"")),IF(UPPER(B_Drainage!$I$5:$I$204)="Y",1,"")),"")</f>
        <v/>
      </c>
      <c r="AA954" s="181" t="str">
        <f>IFERROR(LOOKUP(2,1/((B_Drainage!$A$5:$A$204&lt;&gt;"")*(B_Drainage!$A$5:$A$204&lt;=$B954)*(B_Drainage!$B$5:$B$204&gt;$B954)*(B_Drainage!$J$5:$J$204&lt;&gt;"")),IF(UPPER(B_Drainage!$J$5:$J$204)="Y",1,"")),"")</f>
        <v/>
      </c>
      <c r="AB954" s="182" t="str">
        <f>IFERROR(LOOKUP(2,1/((B_Drainage!$A$5:$A$204&lt;&gt;"")*(B_Drainage!$A$5:$A$204&lt;=$B954)*(B_Drainage!$B$5:$B$204&gt;$B954)*(B_Drainage!$K$5:$K$204&lt;&gt;"")),IF(B_Drainage!$K$5:$K$204="-","",B_Drainage!$K$5:$K$204)),"")</f>
        <v/>
      </c>
      <c r="AC954" s="182" t="str">
        <f>IFERROR(LOOKUP(2,1/((B_Drainage!$A$5:$A$204&lt;&gt;"")*(B_Drainage!$A$5:$A$204&lt;=$B954)*(B_Drainage!$B$5:$B$204&gt;$B954)*(B_Drainage!$L$5:$L$204&lt;&gt;"")),IF(B_Drainage!$L$5:$L$204="-","",B_Drainage!$L$5:$L$204)),"")</f>
        <v/>
      </c>
      <c r="AD954" s="182" t="str">
        <f>IFERROR(LOOKUP(2,1/((D_Points!$A$5:$A$204&lt;&gt;"")*(D_Points!$A$5:$A$204&gt;=$B954)*(D_Points!$A$5:$A$204&lt;$B954+P_Interval)*(UPPER(TRIM(D_Points!$B$5:$B$204))="TURNOUT_L")*(D_Points!$H$5:$H$204&lt;&gt;"")),D_Points!$H$5:$H$204),"")</f>
        <v/>
      </c>
      <c r="AE954" s="182" t="str">
        <f>IFERROR(LOOKUP(2,1/((D_Points!$A$5:$A$204&lt;&gt;"")*(D_Points!$A$5:$A$204&gt;=$B954)*(D_Points!$A$5:$A$204&lt;$B954+P_Interval)*(UPPER(TRIM(D_Points!$B$5:$B$204))="TURNOUT_R")*(D_Points!$H$5:$H$204&lt;&gt;"")),D_Points!$H$5:$H$204),"")</f>
        <v/>
      </c>
      <c r="AF954" s="181" t="str">
        <f>IFERROR(LOOKUP(2,1/((B_Drainage!$A$5:$A$204&lt;&gt;"")*(B_Drainage!$A$5:$A$204&lt;=$B954)*(B_Drainage!$B$5:$B$204&gt;$B954)*(B_Drainage!$M$5:$M$204&lt;&gt;"")),IF(UPPER(B_Drainage!$M$5:$M$204)="Y",1,"")),"")</f>
        <v/>
      </c>
      <c r="AG954" s="181" t="str">
        <f>IFERROR(LOOKUP(2,1/((B_Drainage!$A$5:$A$204&lt;&gt;"")*(B_Drainage!$A$5:$A$204&lt;=$B954)*(B_Drainage!$B$5:$B$204&gt;$B954)*(B_Drainage!$N$5:$N$204&lt;&gt;"")),IF(UPPER(B_Drainage!$N$5:$N$204)="Y",1,"")),"")</f>
        <v/>
      </c>
      <c r="AH954" s="181" t="str">
        <f t="shared" si="112"/>
        <v/>
      </c>
      <c r="AI954" s="181" t="str">
        <f t="shared" si="113"/>
        <v/>
      </c>
      <c r="AJ954" s="181" t="str">
        <f t="shared" si="114"/>
        <v/>
      </c>
      <c r="AK954" s="181" t="str">
        <f t="shared" si="115"/>
        <v/>
      </c>
      <c r="AL954" s="181" t="str">
        <f t="shared" si="116"/>
        <v/>
      </c>
      <c r="AM954" s="181" t="str">
        <f t="shared" si="117"/>
        <v/>
      </c>
      <c r="AN954" s="181" t="str">
        <f t="shared" si="118"/>
        <v/>
      </c>
      <c r="AO954" s="192" t="str">
        <f t="shared" si="119"/>
        <v/>
      </c>
      <c r="AQ954" t="str">
        <f>IFERROR(LOOKUP(2,1/((C_Pavement!$A$5:$A$204&lt;&gt;"")*(C_Pavement!$A$5:$A$204&lt;=$B954)*(C_Pavement!$B$5:$B$204&gt;$B954)*(C_Pavement!$C$5:$C$204&lt;&gt;"")),ROW(C_Pavement!$C$5:$C$204)-4),"")</f>
        <v/>
      </c>
      <c r="AR954" t="str">
        <f>IF($AQ954="","",UPPER(TRIM(INDEX(C_Pavement!$C$5:$C$204,$AQ954))))</f>
        <v/>
      </c>
      <c r="AS954" t="str">
        <f>IF($AR954="","",IFERROR(MATCH($AR954,E_Rules!$A$5:$A$9,0),""))</f>
        <v/>
      </c>
      <c r="AT954" t="str">
        <f>IF($AQ954="","",IF(INDEX(C_Pavement!$D$5:$D$204,$AQ954)&lt;&gt;"",UPPER(TRIM(INDEX(C_Pavement!$D$5:$D$204,$AQ954))),IF($AS954="","",INDEX(E_Rules!$C$5:$C$9,$AS954))))</f>
        <v/>
      </c>
      <c r="AU954" t="str">
        <f>IF($AQ954="","",IF(INDEX(C_Pavement!$E$5:$E$204,$AQ954)&lt;&gt;"",IF(INDEX(C_Pavement!$E$5:$E$204,$AQ954)="-","",INDEX(C_Pavement!$E$5:$E$204,$AQ954)),IF($AS954="","",INDEX(E_Rules!$D$5:$D$9,$AS954))))</f>
        <v/>
      </c>
      <c r="AV954" t="str">
        <f>IF($AQ954="","",IF(INDEX(C_Pavement!$F$5:$F$204,$AQ954)&lt;&gt;"",IF(INDEX(C_Pavement!$F$5:$F$204,$AQ954)="-","",INDEX(C_Pavement!$F$5:$F$204,$AQ954)),IF($AS954="","",INDEX(E_Rules!$E$5:$E$9,$AS954))))</f>
        <v/>
      </c>
      <c r="AW954" t="str">
        <f>IF($AQ954="","",IF(INDEX(C_Pavement!$G$5:$G$204,$AQ954)&lt;&gt;"",IF(INDEX(C_Pavement!$G$5:$G$204,$AQ954)="-","",INDEX(C_Pavement!$G$5:$G$204,$AQ954)),IF($AS954="","",INDEX(E_Rules!$F$5:$F$9,$AS954))))</f>
        <v/>
      </c>
      <c r="AX954" t="str">
        <f>IF($AQ954="","",IF(INDEX(C_Pavement!$H$5:$H$204,$AQ954)&lt;&gt;"",IF(INDEX(C_Pavement!$H$5:$H$204,$AQ954)="-","",INDEX(C_Pavement!$H$5:$H$204,$AQ954)),IF($AS954="","",INDEX(E_Rules!$G$5:$G$9,$AS954))))</f>
        <v/>
      </c>
      <c r="AY954" t="str">
        <f>IF($AQ954="","",IF(INDEX(C_Pavement!$I$5:$I$204,$AQ954)&lt;&gt;"",IF(INDEX(C_Pavement!$I$5:$I$204,$AQ954)="-","",INDEX(C_Pavement!$I$5:$I$204,$AQ954)),IF($AS954="","",INDEX(E_Rules!$H$5:$H$9,$AS954))))</f>
        <v/>
      </c>
    </row>
    <row r="955" spans="1:51" ht="15.75" customHeight="1" x14ac:dyDescent="0.3">
      <c r="A955" s="189">
        <v>950</v>
      </c>
      <c r="B955" s="180">
        <v>47450</v>
      </c>
      <c r="C955" s="180" t="s">
        <v>1261</v>
      </c>
      <c r="D955" s="181" t="str">
        <f>IFERROR(LOOKUP(2,1/((A_Corridor!$A$5:$A$204&lt;&gt;"")*(A_Corridor!$A$5:$A$204&lt;=$B955)*(A_Corridor!$B$5:$B$204&gt;$B955)*(A_Corridor!$C$5:$C$204&lt;&gt;"")),IF(UPPER(A_Corridor!$C$5:$C$204)="Y",1,"")),"")</f>
        <v/>
      </c>
      <c r="E955" s="181" t="str">
        <f>IFERROR(LOOKUP(2,1/((A_Corridor!$A$5:$A$204&lt;&gt;"")*(A_Corridor!$A$5:$A$204&lt;=$B955)*(A_Corridor!$B$5:$B$204&gt;$B955)*(A_Corridor!$D$5:$D$204&lt;&gt;"")),IF(A_Corridor!$D$5:$D$204="-","",UPPER(A_Corridor!$D$5:$D$204))),"")</f>
        <v/>
      </c>
      <c r="F955" s="181" t="str">
        <f>IFERROR(LOOKUP(2,1/((A_Corridor!$A$5:$A$204&lt;&gt;"")*(A_Corridor!$A$5:$A$204&lt;=$B955)*(A_Corridor!$B$5:$B$204&gt;$B955)*(A_Corridor!$E$5:$E$204&lt;&gt;"")),IF(A_Corridor!$E$5:$E$204="-","",1)),"")</f>
        <v/>
      </c>
      <c r="G955" s="182" t="str">
        <f>IFERROR(LOOKUP(2,1/((A_Corridor!$A$5:$A$204&lt;&gt;"")*(A_Corridor!$A$5:$A$204&lt;=$B955)*(A_Corridor!$B$5:$B$204&gt;$B955)*(A_Corridor!$E$5:$E$204&lt;&gt;"")),IF(A_Corridor!$E$5:$E$204="-","",A_Corridor!$E$5:$E$204)),"")</f>
        <v/>
      </c>
      <c r="H955" s="182" t="str">
        <f>IFERROR(LOOKUP(2,1/((D_Points!$A$5:$A$204&lt;&gt;"")*(D_Points!$A$5:$A$204&gt;=$B955)*(D_Points!$A$5:$A$204&lt;$B955+P_Interval)*(UPPER(TRIM(D_Points!$B$5:$B$204))="GULLY")*(D_Points!$H$5:$H$204&lt;&gt;"")),D_Points!$H$5:$H$204),"")</f>
        <v/>
      </c>
      <c r="I955" s="181" t="str">
        <f>IFERROR(LOOKUP(2,1/((A_Corridor!$A$5:$A$204&lt;&gt;"")*(A_Corridor!$A$5:$A$204&lt;=$B955)*(A_Corridor!$B$5:$B$204&gt;$B955)*(A_Corridor!$F$5:$F$204&lt;&gt;"")),IF(A_Corridor!$F$5:$F$204="-","",1)),"")</f>
        <v/>
      </c>
      <c r="J955" s="182" t="str">
        <f>IFERROR(LOOKUP(2,1/((A_Corridor!$A$5:$A$204&lt;&gt;"")*(A_Corridor!$A$5:$A$204&lt;=$B955)*(A_Corridor!$B$5:$B$204&gt;$B955)*(A_Corridor!$F$5:$F$204&lt;&gt;"")),IF(A_Corridor!$F$5:$F$204="-","",A_Corridor!$F$5:$F$204)),"")</f>
        <v/>
      </c>
      <c r="K955" s="182" t="str">
        <f>IFERROR(LOOKUP(2,1/((A_Corridor!$A$5:$A$204&lt;&gt;"")*(A_Corridor!$A$5:$A$204&lt;=$B955)*(A_Corridor!$B$5:$B$204&gt;$B955)*(A_Corridor!$G$5:$G$204&lt;&gt;"")),IF(A_Corridor!$G$5:$G$204="-","",A_Corridor!$G$5:$G$204)),"")</f>
        <v/>
      </c>
      <c r="L955" s="181" t="str">
        <f>IFERROR(LOOKUP(2,1/((A_Corridor!$A$5:$A$204&lt;&gt;"")*(A_Corridor!$A$5:$A$204&lt;=$B955)*(A_Corridor!$B$5:$B$204&gt;$B955)*(A_Corridor!$H$5:$H$204&lt;&gt;"")),IF(A_Corridor!$H$5:$H$204="-","",1)),"")</f>
        <v/>
      </c>
      <c r="M955" s="182" t="str">
        <f>IFERROR(LOOKUP(2,1/((A_Corridor!$A$5:$A$204&lt;&gt;"")*(A_Corridor!$A$5:$A$204&lt;=$B955)*(A_Corridor!$B$5:$B$204&gt;$B955)*(A_Corridor!$H$5:$H$204&lt;&gt;"")),IF(A_Corridor!$H$5:$H$204="-","",A_Corridor!$H$5:$H$204)),"")</f>
        <v/>
      </c>
      <c r="N955" s="182" t="str">
        <f>IFERROR(LOOKUP(2,1/((A_Corridor!$A$5:$A$204&lt;&gt;"")*(A_Corridor!$A$5:$A$204&lt;=$B955)*(A_Corridor!$B$5:$B$204&gt;$B955)*(A_Corridor!$I$5:$I$204&lt;&gt;"")),IF(A_Corridor!$I$5:$I$204="-","",A_Corridor!$I$5:$I$204)),"")</f>
        <v/>
      </c>
      <c r="O955" s="182" t="str">
        <f>IFERROR(LOOKUP(2,1/((D_Points!$A$5:$A$204&lt;&gt;"")*(D_Points!$A$5:$A$204&gt;=$B955)*(D_Points!$A$5:$A$204&lt;$B955+P_Interval)*(UPPER(TRIM(D_Points!$B$5:$B$204))="PITCHING")*(D_Points!$H$5:$H$204&lt;&gt;"")),D_Points!$H$5:$H$204),"")</f>
        <v/>
      </c>
      <c r="P955" s="181" t="str">
        <f>IFERROR(LOOKUP(2,1/((B_Drainage!$A$5:$A$204&lt;&gt;"")*(B_Drainage!$A$5:$A$204&lt;=$B955)*(B_Drainage!$B$5:$B$204&gt;$B955)*(B_Drainage!$C$5:$C$204&lt;&gt;"")),IF(B_Drainage!$C$5:$C$204="-","",UPPER(B_Drainage!$C$5:$C$204))),"")</f>
        <v/>
      </c>
      <c r="Q955" s="181" t="str">
        <f>IFERROR(LOOKUP(2,1/((B_Drainage!$A$5:$A$204&lt;&gt;"")*(B_Drainage!$A$5:$A$204&lt;=$B955)*(B_Drainage!$B$5:$B$204&gt;$B955)*(B_Drainage!$D$5:$D$204&lt;&gt;"")),IF(B_Drainage!$D$5:$D$204="-","",UPPER(B_Drainage!$D$5:$D$204))),"")</f>
        <v/>
      </c>
      <c r="R955" s="182" t="str">
        <f>IFERROR(LOOKUP(2,1/((D_Points!$A$5:$A$204&lt;&gt;"")*(D_Points!$A$5:$A$204&gt;=$B955)*(D_Points!$A$5:$A$204&lt;$B955+P_Interval)*(RIGHT(UPPER(TRIM(D_Points!$B$5:$B$204)),8)="_CULVERT")),IF(LEFT(UPPER(TRIM(D_Points!$B$5:$B$204)),2)="EX",1,IF(LEFT(UPPER(TRIM(D_Points!$B$5:$B$204)),2)="PR",2,3))),"")</f>
        <v/>
      </c>
      <c r="S955" s="182" t="str">
        <f>IFERROR(LOOKUP(2,1/((D_Points!$A$5:$A$204&lt;&gt;"")*(D_Points!$A$5:$A$204&gt;=$B955)*(D_Points!$A$5:$A$204&lt;$B955+P_Interval)*(RIGHT(UPPER(TRIM(D_Points!$B$5:$B$204)),7)="_BRIDGE")),IF(LEFT(UPPER(TRIM(D_Points!$B$5:$B$204)),2)="EX",1,IF(LEFT(UPPER(TRIM(D_Points!$B$5:$B$204)),2)="PR",2,2))),"")</f>
        <v/>
      </c>
      <c r="T955" s="181" t="str">
        <f>IFERROR(LOOKUP(2,1/((B_Drainage!$A$5:$A$204&lt;&gt;"")*(B_Drainage!$A$5:$A$204&lt;=$B955)*(B_Drainage!$B$5:$B$204&gt;$B955)*(B_Drainage!$E$5:$E$204&lt;&gt;"")),IF(B_Drainage!$E$5:$E$204="-","",1)),"")</f>
        <v/>
      </c>
      <c r="U955" s="181" t="str">
        <f>IFERROR(LOOKUP(2,1/((B_Drainage!$A$5:$A$204&lt;&gt;"")*(B_Drainage!$A$5:$A$204&lt;=$B955)*(B_Drainage!$B$5:$B$204&gt;$B955)*(B_Drainage!$E$5:$E$204&lt;&gt;"")),IF(B_Drainage!$E$5:$E$204="-","",B_Drainage!$E$5:$E$204)),"")</f>
        <v/>
      </c>
      <c r="V955" s="181" t="str">
        <f>IFERROR(LOOKUP(2,1/((B_Drainage!$A$5:$A$204&lt;&gt;"")*(B_Drainage!$A$5:$A$204&lt;=$B955)*(B_Drainage!$B$5:$B$204&gt;$B955)*(B_Drainage!$F$5:$F$204&lt;&gt;"")),IF(B_Drainage!$F$5:$F$204="-","",1)),"")</f>
        <v/>
      </c>
      <c r="W955" s="181" t="str">
        <f>IFERROR(LOOKUP(2,1/((B_Drainage!$A$5:$A$204&lt;&gt;"")*(B_Drainage!$A$5:$A$204&lt;=$B955)*(B_Drainage!$B$5:$B$204&gt;$B955)*(B_Drainage!$F$5:$F$204&lt;&gt;"")),IF(B_Drainage!$F$5:$F$204="-","",B_Drainage!$F$5:$F$204)),"")</f>
        <v/>
      </c>
      <c r="X955" s="181" t="str">
        <f>IFERROR(LOOKUP(2,1/((B_Drainage!$A$5:$A$204&lt;&gt;"")*(B_Drainage!$A$5:$A$204&lt;=$B955)*(B_Drainage!$B$5:$B$204&gt;$B955)*(B_Drainage!$G$5:$G$204&lt;&gt;"")),IF(UPPER(B_Drainage!$G$5:$G$204)="Y",1,"")),"")</f>
        <v/>
      </c>
      <c r="Y955" s="181" t="str">
        <f>IFERROR(LOOKUP(2,1/((B_Drainage!$A$5:$A$204&lt;&gt;"")*(B_Drainage!$A$5:$A$204&lt;=$B955)*(B_Drainage!$B$5:$B$204&gt;$B955)*(B_Drainage!$H$5:$H$204&lt;&gt;"")),IF(UPPER(B_Drainage!$H$5:$H$204)="Y",1,"")),"")</f>
        <v/>
      </c>
      <c r="Z955" s="181" t="str">
        <f>IFERROR(LOOKUP(2,1/((B_Drainage!$A$5:$A$204&lt;&gt;"")*(B_Drainage!$A$5:$A$204&lt;=$B955)*(B_Drainage!$B$5:$B$204&gt;$B955)*(B_Drainage!$I$5:$I$204&lt;&gt;"")),IF(UPPER(B_Drainage!$I$5:$I$204)="Y",1,"")),"")</f>
        <v/>
      </c>
      <c r="AA955" s="181" t="str">
        <f>IFERROR(LOOKUP(2,1/((B_Drainage!$A$5:$A$204&lt;&gt;"")*(B_Drainage!$A$5:$A$204&lt;=$B955)*(B_Drainage!$B$5:$B$204&gt;$B955)*(B_Drainage!$J$5:$J$204&lt;&gt;"")),IF(UPPER(B_Drainage!$J$5:$J$204)="Y",1,"")),"")</f>
        <v/>
      </c>
      <c r="AB955" s="182" t="str">
        <f>IFERROR(LOOKUP(2,1/((B_Drainage!$A$5:$A$204&lt;&gt;"")*(B_Drainage!$A$5:$A$204&lt;=$B955)*(B_Drainage!$B$5:$B$204&gt;$B955)*(B_Drainage!$K$5:$K$204&lt;&gt;"")),IF(B_Drainage!$K$5:$K$204="-","",B_Drainage!$K$5:$K$204)),"")</f>
        <v/>
      </c>
      <c r="AC955" s="182" t="str">
        <f>IFERROR(LOOKUP(2,1/((B_Drainage!$A$5:$A$204&lt;&gt;"")*(B_Drainage!$A$5:$A$204&lt;=$B955)*(B_Drainage!$B$5:$B$204&gt;$B955)*(B_Drainage!$L$5:$L$204&lt;&gt;"")),IF(B_Drainage!$L$5:$L$204="-","",B_Drainage!$L$5:$L$204)),"")</f>
        <v/>
      </c>
      <c r="AD955" s="182" t="str">
        <f>IFERROR(LOOKUP(2,1/((D_Points!$A$5:$A$204&lt;&gt;"")*(D_Points!$A$5:$A$204&gt;=$B955)*(D_Points!$A$5:$A$204&lt;$B955+P_Interval)*(UPPER(TRIM(D_Points!$B$5:$B$204))="TURNOUT_L")*(D_Points!$H$5:$H$204&lt;&gt;"")),D_Points!$H$5:$H$204),"")</f>
        <v/>
      </c>
      <c r="AE955" s="182" t="str">
        <f>IFERROR(LOOKUP(2,1/((D_Points!$A$5:$A$204&lt;&gt;"")*(D_Points!$A$5:$A$204&gt;=$B955)*(D_Points!$A$5:$A$204&lt;$B955+P_Interval)*(UPPER(TRIM(D_Points!$B$5:$B$204))="TURNOUT_R")*(D_Points!$H$5:$H$204&lt;&gt;"")),D_Points!$H$5:$H$204),"")</f>
        <v/>
      </c>
      <c r="AF955" s="181" t="str">
        <f>IFERROR(LOOKUP(2,1/((B_Drainage!$A$5:$A$204&lt;&gt;"")*(B_Drainage!$A$5:$A$204&lt;=$B955)*(B_Drainage!$B$5:$B$204&gt;$B955)*(B_Drainage!$M$5:$M$204&lt;&gt;"")),IF(UPPER(B_Drainage!$M$5:$M$204)="Y",1,"")),"")</f>
        <v/>
      </c>
      <c r="AG955" s="181" t="str">
        <f>IFERROR(LOOKUP(2,1/((B_Drainage!$A$5:$A$204&lt;&gt;"")*(B_Drainage!$A$5:$A$204&lt;=$B955)*(B_Drainage!$B$5:$B$204&gt;$B955)*(B_Drainage!$N$5:$N$204&lt;&gt;"")),IF(UPPER(B_Drainage!$N$5:$N$204)="Y",1,"")),"")</f>
        <v/>
      </c>
      <c r="AH955" s="181" t="str">
        <f t="shared" si="112"/>
        <v/>
      </c>
      <c r="AI955" s="181" t="str">
        <f t="shared" si="113"/>
        <v/>
      </c>
      <c r="AJ955" s="181" t="str">
        <f t="shared" si="114"/>
        <v/>
      </c>
      <c r="AK955" s="181" t="str">
        <f t="shared" si="115"/>
        <v/>
      </c>
      <c r="AL955" s="181" t="str">
        <f t="shared" si="116"/>
        <v/>
      </c>
      <c r="AM955" s="181" t="str">
        <f t="shared" si="117"/>
        <v/>
      </c>
      <c r="AN955" s="181" t="str">
        <f t="shared" si="118"/>
        <v/>
      </c>
      <c r="AO955" s="192" t="str">
        <f t="shared" si="119"/>
        <v/>
      </c>
      <c r="AQ955" t="str">
        <f>IFERROR(LOOKUP(2,1/((C_Pavement!$A$5:$A$204&lt;&gt;"")*(C_Pavement!$A$5:$A$204&lt;=$B955)*(C_Pavement!$B$5:$B$204&gt;$B955)*(C_Pavement!$C$5:$C$204&lt;&gt;"")),ROW(C_Pavement!$C$5:$C$204)-4),"")</f>
        <v/>
      </c>
      <c r="AR955" t="str">
        <f>IF($AQ955="","",UPPER(TRIM(INDEX(C_Pavement!$C$5:$C$204,$AQ955))))</f>
        <v/>
      </c>
      <c r="AS955" t="str">
        <f>IF($AR955="","",IFERROR(MATCH($AR955,E_Rules!$A$5:$A$9,0),""))</f>
        <v/>
      </c>
      <c r="AT955" t="str">
        <f>IF($AQ955="","",IF(INDEX(C_Pavement!$D$5:$D$204,$AQ955)&lt;&gt;"",UPPER(TRIM(INDEX(C_Pavement!$D$5:$D$204,$AQ955))),IF($AS955="","",INDEX(E_Rules!$C$5:$C$9,$AS955))))</f>
        <v/>
      </c>
      <c r="AU955" t="str">
        <f>IF($AQ955="","",IF(INDEX(C_Pavement!$E$5:$E$204,$AQ955)&lt;&gt;"",IF(INDEX(C_Pavement!$E$5:$E$204,$AQ955)="-","",INDEX(C_Pavement!$E$5:$E$204,$AQ955)),IF($AS955="","",INDEX(E_Rules!$D$5:$D$9,$AS955))))</f>
        <v/>
      </c>
      <c r="AV955" t="str">
        <f>IF($AQ955="","",IF(INDEX(C_Pavement!$F$5:$F$204,$AQ955)&lt;&gt;"",IF(INDEX(C_Pavement!$F$5:$F$204,$AQ955)="-","",INDEX(C_Pavement!$F$5:$F$204,$AQ955)),IF($AS955="","",INDEX(E_Rules!$E$5:$E$9,$AS955))))</f>
        <v/>
      </c>
      <c r="AW955" t="str">
        <f>IF($AQ955="","",IF(INDEX(C_Pavement!$G$5:$G$204,$AQ955)&lt;&gt;"",IF(INDEX(C_Pavement!$G$5:$G$204,$AQ955)="-","",INDEX(C_Pavement!$G$5:$G$204,$AQ955)),IF($AS955="","",INDEX(E_Rules!$F$5:$F$9,$AS955))))</f>
        <v/>
      </c>
      <c r="AX955" t="str">
        <f>IF($AQ955="","",IF(INDEX(C_Pavement!$H$5:$H$204,$AQ955)&lt;&gt;"",IF(INDEX(C_Pavement!$H$5:$H$204,$AQ955)="-","",INDEX(C_Pavement!$H$5:$H$204,$AQ955)),IF($AS955="","",INDEX(E_Rules!$G$5:$G$9,$AS955))))</f>
        <v/>
      </c>
      <c r="AY955" t="str">
        <f>IF($AQ955="","",IF(INDEX(C_Pavement!$I$5:$I$204,$AQ955)&lt;&gt;"",IF(INDEX(C_Pavement!$I$5:$I$204,$AQ955)="-","",INDEX(C_Pavement!$I$5:$I$204,$AQ955)),IF($AS955="","",INDEX(E_Rules!$H$5:$H$9,$AS955))))</f>
        <v/>
      </c>
    </row>
    <row r="956" spans="1:51" ht="15.75" customHeight="1" x14ac:dyDescent="0.3">
      <c r="A956" s="189">
        <v>951</v>
      </c>
      <c r="B956" s="180">
        <v>47500</v>
      </c>
      <c r="C956" s="180" t="s">
        <v>1262</v>
      </c>
      <c r="D956" s="181" t="str">
        <f>IFERROR(LOOKUP(2,1/((A_Corridor!$A$5:$A$204&lt;&gt;"")*(A_Corridor!$A$5:$A$204&lt;=$B956)*(A_Corridor!$B$5:$B$204&gt;$B956)*(A_Corridor!$C$5:$C$204&lt;&gt;"")),IF(UPPER(A_Corridor!$C$5:$C$204)="Y",1,"")),"")</f>
        <v/>
      </c>
      <c r="E956" s="181" t="str">
        <f>IFERROR(LOOKUP(2,1/((A_Corridor!$A$5:$A$204&lt;&gt;"")*(A_Corridor!$A$5:$A$204&lt;=$B956)*(A_Corridor!$B$5:$B$204&gt;$B956)*(A_Corridor!$D$5:$D$204&lt;&gt;"")),IF(A_Corridor!$D$5:$D$204="-","",UPPER(A_Corridor!$D$5:$D$204))),"")</f>
        <v/>
      </c>
      <c r="F956" s="181" t="str">
        <f>IFERROR(LOOKUP(2,1/((A_Corridor!$A$5:$A$204&lt;&gt;"")*(A_Corridor!$A$5:$A$204&lt;=$B956)*(A_Corridor!$B$5:$B$204&gt;$B956)*(A_Corridor!$E$5:$E$204&lt;&gt;"")),IF(A_Corridor!$E$5:$E$204="-","",1)),"")</f>
        <v/>
      </c>
      <c r="G956" s="182" t="str">
        <f>IFERROR(LOOKUP(2,1/((A_Corridor!$A$5:$A$204&lt;&gt;"")*(A_Corridor!$A$5:$A$204&lt;=$B956)*(A_Corridor!$B$5:$B$204&gt;$B956)*(A_Corridor!$E$5:$E$204&lt;&gt;"")),IF(A_Corridor!$E$5:$E$204="-","",A_Corridor!$E$5:$E$204)),"")</f>
        <v/>
      </c>
      <c r="H956" s="182" t="str">
        <f>IFERROR(LOOKUP(2,1/((D_Points!$A$5:$A$204&lt;&gt;"")*(D_Points!$A$5:$A$204&gt;=$B956)*(D_Points!$A$5:$A$204&lt;$B956+P_Interval)*(UPPER(TRIM(D_Points!$B$5:$B$204))="GULLY")*(D_Points!$H$5:$H$204&lt;&gt;"")),D_Points!$H$5:$H$204),"")</f>
        <v/>
      </c>
      <c r="I956" s="181" t="str">
        <f>IFERROR(LOOKUP(2,1/((A_Corridor!$A$5:$A$204&lt;&gt;"")*(A_Corridor!$A$5:$A$204&lt;=$B956)*(A_Corridor!$B$5:$B$204&gt;$B956)*(A_Corridor!$F$5:$F$204&lt;&gt;"")),IF(A_Corridor!$F$5:$F$204="-","",1)),"")</f>
        <v/>
      </c>
      <c r="J956" s="182" t="str">
        <f>IFERROR(LOOKUP(2,1/((A_Corridor!$A$5:$A$204&lt;&gt;"")*(A_Corridor!$A$5:$A$204&lt;=$B956)*(A_Corridor!$B$5:$B$204&gt;$B956)*(A_Corridor!$F$5:$F$204&lt;&gt;"")),IF(A_Corridor!$F$5:$F$204="-","",A_Corridor!$F$5:$F$204)),"")</f>
        <v/>
      </c>
      <c r="K956" s="182" t="str">
        <f>IFERROR(LOOKUP(2,1/((A_Corridor!$A$5:$A$204&lt;&gt;"")*(A_Corridor!$A$5:$A$204&lt;=$B956)*(A_Corridor!$B$5:$B$204&gt;$B956)*(A_Corridor!$G$5:$G$204&lt;&gt;"")),IF(A_Corridor!$G$5:$G$204="-","",A_Corridor!$G$5:$G$204)),"")</f>
        <v/>
      </c>
      <c r="L956" s="181" t="str">
        <f>IFERROR(LOOKUP(2,1/((A_Corridor!$A$5:$A$204&lt;&gt;"")*(A_Corridor!$A$5:$A$204&lt;=$B956)*(A_Corridor!$B$5:$B$204&gt;$B956)*(A_Corridor!$H$5:$H$204&lt;&gt;"")),IF(A_Corridor!$H$5:$H$204="-","",1)),"")</f>
        <v/>
      </c>
      <c r="M956" s="182" t="str">
        <f>IFERROR(LOOKUP(2,1/((A_Corridor!$A$5:$A$204&lt;&gt;"")*(A_Corridor!$A$5:$A$204&lt;=$B956)*(A_Corridor!$B$5:$B$204&gt;$B956)*(A_Corridor!$H$5:$H$204&lt;&gt;"")),IF(A_Corridor!$H$5:$H$204="-","",A_Corridor!$H$5:$H$204)),"")</f>
        <v/>
      </c>
      <c r="N956" s="182" t="str">
        <f>IFERROR(LOOKUP(2,1/((A_Corridor!$A$5:$A$204&lt;&gt;"")*(A_Corridor!$A$5:$A$204&lt;=$B956)*(A_Corridor!$B$5:$B$204&gt;$B956)*(A_Corridor!$I$5:$I$204&lt;&gt;"")),IF(A_Corridor!$I$5:$I$204="-","",A_Corridor!$I$5:$I$204)),"")</f>
        <v/>
      </c>
      <c r="O956" s="182" t="str">
        <f>IFERROR(LOOKUP(2,1/((D_Points!$A$5:$A$204&lt;&gt;"")*(D_Points!$A$5:$A$204&gt;=$B956)*(D_Points!$A$5:$A$204&lt;$B956+P_Interval)*(UPPER(TRIM(D_Points!$B$5:$B$204))="PITCHING")*(D_Points!$H$5:$H$204&lt;&gt;"")),D_Points!$H$5:$H$204),"")</f>
        <v/>
      </c>
      <c r="P956" s="181" t="str">
        <f>IFERROR(LOOKUP(2,1/((B_Drainage!$A$5:$A$204&lt;&gt;"")*(B_Drainage!$A$5:$A$204&lt;=$B956)*(B_Drainage!$B$5:$B$204&gt;$B956)*(B_Drainage!$C$5:$C$204&lt;&gt;"")),IF(B_Drainage!$C$5:$C$204="-","",UPPER(B_Drainage!$C$5:$C$204))),"")</f>
        <v/>
      </c>
      <c r="Q956" s="181" t="str">
        <f>IFERROR(LOOKUP(2,1/((B_Drainage!$A$5:$A$204&lt;&gt;"")*(B_Drainage!$A$5:$A$204&lt;=$B956)*(B_Drainage!$B$5:$B$204&gt;$B956)*(B_Drainage!$D$5:$D$204&lt;&gt;"")),IF(B_Drainage!$D$5:$D$204="-","",UPPER(B_Drainage!$D$5:$D$204))),"")</f>
        <v/>
      </c>
      <c r="R956" s="182" t="str">
        <f>IFERROR(LOOKUP(2,1/((D_Points!$A$5:$A$204&lt;&gt;"")*(D_Points!$A$5:$A$204&gt;=$B956)*(D_Points!$A$5:$A$204&lt;$B956+P_Interval)*(RIGHT(UPPER(TRIM(D_Points!$B$5:$B$204)),8)="_CULVERT")),IF(LEFT(UPPER(TRIM(D_Points!$B$5:$B$204)),2)="EX",1,IF(LEFT(UPPER(TRIM(D_Points!$B$5:$B$204)),2)="PR",2,3))),"")</f>
        <v/>
      </c>
      <c r="S956" s="182" t="str">
        <f>IFERROR(LOOKUP(2,1/((D_Points!$A$5:$A$204&lt;&gt;"")*(D_Points!$A$5:$A$204&gt;=$B956)*(D_Points!$A$5:$A$204&lt;$B956+P_Interval)*(RIGHT(UPPER(TRIM(D_Points!$B$5:$B$204)),7)="_BRIDGE")),IF(LEFT(UPPER(TRIM(D_Points!$B$5:$B$204)),2)="EX",1,IF(LEFT(UPPER(TRIM(D_Points!$B$5:$B$204)),2)="PR",2,2))),"")</f>
        <v/>
      </c>
      <c r="T956" s="181" t="str">
        <f>IFERROR(LOOKUP(2,1/((B_Drainage!$A$5:$A$204&lt;&gt;"")*(B_Drainage!$A$5:$A$204&lt;=$B956)*(B_Drainage!$B$5:$B$204&gt;$B956)*(B_Drainage!$E$5:$E$204&lt;&gt;"")),IF(B_Drainage!$E$5:$E$204="-","",1)),"")</f>
        <v/>
      </c>
      <c r="U956" s="181" t="str">
        <f>IFERROR(LOOKUP(2,1/((B_Drainage!$A$5:$A$204&lt;&gt;"")*(B_Drainage!$A$5:$A$204&lt;=$B956)*(B_Drainage!$B$5:$B$204&gt;$B956)*(B_Drainage!$E$5:$E$204&lt;&gt;"")),IF(B_Drainage!$E$5:$E$204="-","",B_Drainage!$E$5:$E$204)),"")</f>
        <v/>
      </c>
      <c r="V956" s="181" t="str">
        <f>IFERROR(LOOKUP(2,1/((B_Drainage!$A$5:$A$204&lt;&gt;"")*(B_Drainage!$A$5:$A$204&lt;=$B956)*(B_Drainage!$B$5:$B$204&gt;$B956)*(B_Drainage!$F$5:$F$204&lt;&gt;"")),IF(B_Drainage!$F$5:$F$204="-","",1)),"")</f>
        <v/>
      </c>
      <c r="W956" s="181" t="str">
        <f>IFERROR(LOOKUP(2,1/((B_Drainage!$A$5:$A$204&lt;&gt;"")*(B_Drainage!$A$5:$A$204&lt;=$B956)*(B_Drainage!$B$5:$B$204&gt;$B956)*(B_Drainage!$F$5:$F$204&lt;&gt;"")),IF(B_Drainage!$F$5:$F$204="-","",B_Drainage!$F$5:$F$204)),"")</f>
        <v/>
      </c>
      <c r="X956" s="181" t="str">
        <f>IFERROR(LOOKUP(2,1/((B_Drainage!$A$5:$A$204&lt;&gt;"")*(B_Drainage!$A$5:$A$204&lt;=$B956)*(B_Drainage!$B$5:$B$204&gt;$B956)*(B_Drainage!$G$5:$G$204&lt;&gt;"")),IF(UPPER(B_Drainage!$G$5:$G$204)="Y",1,"")),"")</f>
        <v/>
      </c>
      <c r="Y956" s="181" t="str">
        <f>IFERROR(LOOKUP(2,1/((B_Drainage!$A$5:$A$204&lt;&gt;"")*(B_Drainage!$A$5:$A$204&lt;=$B956)*(B_Drainage!$B$5:$B$204&gt;$B956)*(B_Drainage!$H$5:$H$204&lt;&gt;"")),IF(UPPER(B_Drainage!$H$5:$H$204)="Y",1,"")),"")</f>
        <v/>
      </c>
      <c r="Z956" s="181" t="str">
        <f>IFERROR(LOOKUP(2,1/((B_Drainage!$A$5:$A$204&lt;&gt;"")*(B_Drainage!$A$5:$A$204&lt;=$B956)*(B_Drainage!$B$5:$B$204&gt;$B956)*(B_Drainage!$I$5:$I$204&lt;&gt;"")),IF(UPPER(B_Drainage!$I$5:$I$204)="Y",1,"")),"")</f>
        <v/>
      </c>
      <c r="AA956" s="181" t="str">
        <f>IFERROR(LOOKUP(2,1/((B_Drainage!$A$5:$A$204&lt;&gt;"")*(B_Drainage!$A$5:$A$204&lt;=$B956)*(B_Drainage!$B$5:$B$204&gt;$B956)*(B_Drainage!$J$5:$J$204&lt;&gt;"")),IF(UPPER(B_Drainage!$J$5:$J$204)="Y",1,"")),"")</f>
        <v/>
      </c>
      <c r="AB956" s="182" t="str">
        <f>IFERROR(LOOKUP(2,1/((B_Drainage!$A$5:$A$204&lt;&gt;"")*(B_Drainage!$A$5:$A$204&lt;=$B956)*(B_Drainage!$B$5:$B$204&gt;$B956)*(B_Drainage!$K$5:$K$204&lt;&gt;"")),IF(B_Drainage!$K$5:$K$204="-","",B_Drainage!$K$5:$K$204)),"")</f>
        <v/>
      </c>
      <c r="AC956" s="182" t="str">
        <f>IFERROR(LOOKUP(2,1/((B_Drainage!$A$5:$A$204&lt;&gt;"")*(B_Drainage!$A$5:$A$204&lt;=$B956)*(B_Drainage!$B$5:$B$204&gt;$B956)*(B_Drainage!$L$5:$L$204&lt;&gt;"")),IF(B_Drainage!$L$5:$L$204="-","",B_Drainage!$L$5:$L$204)),"")</f>
        <v/>
      </c>
      <c r="AD956" s="182" t="str">
        <f>IFERROR(LOOKUP(2,1/((D_Points!$A$5:$A$204&lt;&gt;"")*(D_Points!$A$5:$A$204&gt;=$B956)*(D_Points!$A$5:$A$204&lt;$B956+P_Interval)*(UPPER(TRIM(D_Points!$B$5:$B$204))="TURNOUT_L")*(D_Points!$H$5:$H$204&lt;&gt;"")),D_Points!$H$5:$H$204),"")</f>
        <v/>
      </c>
      <c r="AE956" s="182" t="str">
        <f>IFERROR(LOOKUP(2,1/((D_Points!$A$5:$A$204&lt;&gt;"")*(D_Points!$A$5:$A$204&gt;=$B956)*(D_Points!$A$5:$A$204&lt;$B956+P_Interval)*(UPPER(TRIM(D_Points!$B$5:$B$204))="TURNOUT_R")*(D_Points!$H$5:$H$204&lt;&gt;"")),D_Points!$H$5:$H$204),"")</f>
        <v/>
      </c>
      <c r="AF956" s="181" t="str">
        <f>IFERROR(LOOKUP(2,1/((B_Drainage!$A$5:$A$204&lt;&gt;"")*(B_Drainage!$A$5:$A$204&lt;=$B956)*(B_Drainage!$B$5:$B$204&gt;$B956)*(B_Drainage!$M$5:$M$204&lt;&gt;"")),IF(UPPER(B_Drainage!$M$5:$M$204)="Y",1,"")),"")</f>
        <v/>
      </c>
      <c r="AG956" s="181" t="str">
        <f>IFERROR(LOOKUP(2,1/((B_Drainage!$A$5:$A$204&lt;&gt;"")*(B_Drainage!$A$5:$A$204&lt;=$B956)*(B_Drainage!$B$5:$B$204&gt;$B956)*(B_Drainage!$N$5:$N$204&lt;&gt;"")),IF(UPPER(B_Drainage!$N$5:$N$204)="Y",1,"")),"")</f>
        <v/>
      </c>
      <c r="AH956" s="181" t="str">
        <f t="shared" si="112"/>
        <v/>
      </c>
      <c r="AI956" s="181" t="str">
        <f t="shared" si="113"/>
        <v/>
      </c>
      <c r="AJ956" s="181" t="str">
        <f t="shared" si="114"/>
        <v/>
      </c>
      <c r="AK956" s="181" t="str">
        <f t="shared" si="115"/>
        <v/>
      </c>
      <c r="AL956" s="181" t="str">
        <f t="shared" si="116"/>
        <v/>
      </c>
      <c r="AM956" s="181" t="str">
        <f t="shared" si="117"/>
        <v/>
      </c>
      <c r="AN956" s="181" t="str">
        <f t="shared" si="118"/>
        <v/>
      </c>
      <c r="AO956" s="192" t="str">
        <f t="shared" si="119"/>
        <v/>
      </c>
      <c r="AQ956" t="str">
        <f>IFERROR(LOOKUP(2,1/((C_Pavement!$A$5:$A$204&lt;&gt;"")*(C_Pavement!$A$5:$A$204&lt;=$B956)*(C_Pavement!$B$5:$B$204&gt;$B956)*(C_Pavement!$C$5:$C$204&lt;&gt;"")),ROW(C_Pavement!$C$5:$C$204)-4),"")</f>
        <v/>
      </c>
      <c r="AR956" t="str">
        <f>IF($AQ956="","",UPPER(TRIM(INDEX(C_Pavement!$C$5:$C$204,$AQ956))))</f>
        <v/>
      </c>
      <c r="AS956" t="str">
        <f>IF($AR956="","",IFERROR(MATCH($AR956,E_Rules!$A$5:$A$9,0),""))</f>
        <v/>
      </c>
      <c r="AT956" t="str">
        <f>IF($AQ956="","",IF(INDEX(C_Pavement!$D$5:$D$204,$AQ956)&lt;&gt;"",UPPER(TRIM(INDEX(C_Pavement!$D$5:$D$204,$AQ956))),IF($AS956="","",INDEX(E_Rules!$C$5:$C$9,$AS956))))</f>
        <v/>
      </c>
      <c r="AU956" t="str">
        <f>IF($AQ956="","",IF(INDEX(C_Pavement!$E$5:$E$204,$AQ956)&lt;&gt;"",IF(INDEX(C_Pavement!$E$5:$E$204,$AQ956)="-","",INDEX(C_Pavement!$E$5:$E$204,$AQ956)),IF($AS956="","",INDEX(E_Rules!$D$5:$D$9,$AS956))))</f>
        <v/>
      </c>
      <c r="AV956" t="str">
        <f>IF($AQ956="","",IF(INDEX(C_Pavement!$F$5:$F$204,$AQ956)&lt;&gt;"",IF(INDEX(C_Pavement!$F$5:$F$204,$AQ956)="-","",INDEX(C_Pavement!$F$5:$F$204,$AQ956)),IF($AS956="","",INDEX(E_Rules!$E$5:$E$9,$AS956))))</f>
        <v/>
      </c>
      <c r="AW956" t="str">
        <f>IF($AQ956="","",IF(INDEX(C_Pavement!$G$5:$G$204,$AQ956)&lt;&gt;"",IF(INDEX(C_Pavement!$G$5:$G$204,$AQ956)="-","",INDEX(C_Pavement!$G$5:$G$204,$AQ956)),IF($AS956="","",INDEX(E_Rules!$F$5:$F$9,$AS956))))</f>
        <v/>
      </c>
      <c r="AX956" t="str">
        <f>IF($AQ956="","",IF(INDEX(C_Pavement!$H$5:$H$204,$AQ956)&lt;&gt;"",IF(INDEX(C_Pavement!$H$5:$H$204,$AQ956)="-","",INDEX(C_Pavement!$H$5:$H$204,$AQ956)),IF($AS956="","",INDEX(E_Rules!$G$5:$G$9,$AS956))))</f>
        <v/>
      </c>
      <c r="AY956" t="str">
        <f>IF($AQ956="","",IF(INDEX(C_Pavement!$I$5:$I$204,$AQ956)&lt;&gt;"",IF(INDEX(C_Pavement!$I$5:$I$204,$AQ956)="-","",INDEX(C_Pavement!$I$5:$I$204,$AQ956)),IF($AS956="","",INDEX(E_Rules!$H$5:$H$9,$AS956))))</f>
        <v/>
      </c>
    </row>
    <row r="957" spans="1:51" ht="15.75" customHeight="1" x14ac:dyDescent="0.3">
      <c r="A957" s="189">
        <v>952</v>
      </c>
      <c r="B957" s="180">
        <v>47550</v>
      </c>
      <c r="C957" s="180" t="s">
        <v>1263</v>
      </c>
      <c r="D957" s="181" t="str">
        <f>IFERROR(LOOKUP(2,1/((A_Corridor!$A$5:$A$204&lt;&gt;"")*(A_Corridor!$A$5:$A$204&lt;=$B957)*(A_Corridor!$B$5:$B$204&gt;$B957)*(A_Corridor!$C$5:$C$204&lt;&gt;"")),IF(UPPER(A_Corridor!$C$5:$C$204)="Y",1,"")),"")</f>
        <v/>
      </c>
      <c r="E957" s="181" t="str">
        <f>IFERROR(LOOKUP(2,1/((A_Corridor!$A$5:$A$204&lt;&gt;"")*(A_Corridor!$A$5:$A$204&lt;=$B957)*(A_Corridor!$B$5:$B$204&gt;$B957)*(A_Corridor!$D$5:$D$204&lt;&gt;"")),IF(A_Corridor!$D$5:$D$204="-","",UPPER(A_Corridor!$D$5:$D$204))),"")</f>
        <v/>
      </c>
      <c r="F957" s="181" t="str">
        <f>IFERROR(LOOKUP(2,1/((A_Corridor!$A$5:$A$204&lt;&gt;"")*(A_Corridor!$A$5:$A$204&lt;=$B957)*(A_Corridor!$B$5:$B$204&gt;$B957)*(A_Corridor!$E$5:$E$204&lt;&gt;"")),IF(A_Corridor!$E$5:$E$204="-","",1)),"")</f>
        <v/>
      </c>
      <c r="G957" s="182" t="str">
        <f>IFERROR(LOOKUP(2,1/((A_Corridor!$A$5:$A$204&lt;&gt;"")*(A_Corridor!$A$5:$A$204&lt;=$B957)*(A_Corridor!$B$5:$B$204&gt;$B957)*(A_Corridor!$E$5:$E$204&lt;&gt;"")),IF(A_Corridor!$E$5:$E$204="-","",A_Corridor!$E$5:$E$204)),"")</f>
        <v/>
      </c>
      <c r="H957" s="182" t="str">
        <f>IFERROR(LOOKUP(2,1/((D_Points!$A$5:$A$204&lt;&gt;"")*(D_Points!$A$5:$A$204&gt;=$B957)*(D_Points!$A$5:$A$204&lt;$B957+P_Interval)*(UPPER(TRIM(D_Points!$B$5:$B$204))="GULLY")*(D_Points!$H$5:$H$204&lt;&gt;"")),D_Points!$H$5:$H$204),"")</f>
        <v/>
      </c>
      <c r="I957" s="181" t="str">
        <f>IFERROR(LOOKUP(2,1/((A_Corridor!$A$5:$A$204&lt;&gt;"")*(A_Corridor!$A$5:$A$204&lt;=$B957)*(A_Corridor!$B$5:$B$204&gt;$B957)*(A_Corridor!$F$5:$F$204&lt;&gt;"")),IF(A_Corridor!$F$5:$F$204="-","",1)),"")</f>
        <v/>
      </c>
      <c r="J957" s="182" t="str">
        <f>IFERROR(LOOKUP(2,1/((A_Corridor!$A$5:$A$204&lt;&gt;"")*(A_Corridor!$A$5:$A$204&lt;=$B957)*(A_Corridor!$B$5:$B$204&gt;$B957)*(A_Corridor!$F$5:$F$204&lt;&gt;"")),IF(A_Corridor!$F$5:$F$204="-","",A_Corridor!$F$5:$F$204)),"")</f>
        <v/>
      </c>
      <c r="K957" s="182" t="str">
        <f>IFERROR(LOOKUP(2,1/((A_Corridor!$A$5:$A$204&lt;&gt;"")*(A_Corridor!$A$5:$A$204&lt;=$B957)*(A_Corridor!$B$5:$B$204&gt;$B957)*(A_Corridor!$G$5:$G$204&lt;&gt;"")),IF(A_Corridor!$G$5:$G$204="-","",A_Corridor!$G$5:$G$204)),"")</f>
        <v/>
      </c>
      <c r="L957" s="181" t="str">
        <f>IFERROR(LOOKUP(2,1/((A_Corridor!$A$5:$A$204&lt;&gt;"")*(A_Corridor!$A$5:$A$204&lt;=$B957)*(A_Corridor!$B$5:$B$204&gt;$B957)*(A_Corridor!$H$5:$H$204&lt;&gt;"")),IF(A_Corridor!$H$5:$H$204="-","",1)),"")</f>
        <v/>
      </c>
      <c r="M957" s="182" t="str">
        <f>IFERROR(LOOKUP(2,1/((A_Corridor!$A$5:$A$204&lt;&gt;"")*(A_Corridor!$A$5:$A$204&lt;=$B957)*(A_Corridor!$B$5:$B$204&gt;$B957)*(A_Corridor!$H$5:$H$204&lt;&gt;"")),IF(A_Corridor!$H$5:$H$204="-","",A_Corridor!$H$5:$H$204)),"")</f>
        <v/>
      </c>
      <c r="N957" s="182" t="str">
        <f>IFERROR(LOOKUP(2,1/((A_Corridor!$A$5:$A$204&lt;&gt;"")*(A_Corridor!$A$5:$A$204&lt;=$B957)*(A_Corridor!$B$5:$B$204&gt;$B957)*(A_Corridor!$I$5:$I$204&lt;&gt;"")),IF(A_Corridor!$I$5:$I$204="-","",A_Corridor!$I$5:$I$204)),"")</f>
        <v/>
      </c>
      <c r="O957" s="182" t="str">
        <f>IFERROR(LOOKUP(2,1/((D_Points!$A$5:$A$204&lt;&gt;"")*(D_Points!$A$5:$A$204&gt;=$B957)*(D_Points!$A$5:$A$204&lt;$B957+P_Interval)*(UPPER(TRIM(D_Points!$B$5:$B$204))="PITCHING")*(D_Points!$H$5:$H$204&lt;&gt;"")),D_Points!$H$5:$H$204),"")</f>
        <v/>
      </c>
      <c r="P957" s="181" t="str">
        <f>IFERROR(LOOKUP(2,1/((B_Drainage!$A$5:$A$204&lt;&gt;"")*(B_Drainage!$A$5:$A$204&lt;=$B957)*(B_Drainage!$B$5:$B$204&gt;$B957)*(B_Drainage!$C$5:$C$204&lt;&gt;"")),IF(B_Drainage!$C$5:$C$204="-","",UPPER(B_Drainage!$C$5:$C$204))),"")</f>
        <v/>
      </c>
      <c r="Q957" s="181" t="str">
        <f>IFERROR(LOOKUP(2,1/((B_Drainage!$A$5:$A$204&lt;&gt;"")*(B_Drainage!$A$5:$A$204&lt;=$B957)*(B_Drainage!$B$5:$B$204&gt;$B957)*(B_Drainage!$D$5:$D$204&lt;&gt;"")),IF(B_Drainage!$D$5:$D$204="-","",UPPER(B_Drainage!$D$5:$D$204))),"")</f>
        <v/>
      </c>
      <c r="R957" s="182" t="str">
        <f>IFERROR(LOOKUP(2,1/((D_Points!$A$5:$A$204&lt;&gt;"")*(D_Points!$A$5:$A$204&gt;=$B957)*(D_Points!$A$5:$A$204&lt;$B957+P_Interval)*(RIGHT(UPPER(TRIM(D_Points!$B$5:$B$204)),8)="_CULVERT")),IF(LEFT(UPPER(TRIM(D_Points!$B$5:$B$204)),2)="EX",1,IF(LEFT(UPPER(TRIM(D_Points!$B$5:$B$204)),2)="PR",2,3))),"")</f>
        <v/>
      </c>
      <c r="S957" s="182" t="str">
        <f>IFERROR(LOOKUP(2,1/((D_Points!$A$5:$A$204&lt;&gt;"")*(D_Points!$A$5:$A$204&gt;=$B957)*(D_Points!$A$5:$A$204&lt;$B957+P_Interval)*(RIGHT(UPPER(TRIM(D_Points!$B$5:$B$204)),7)="_BRIDGE")),IF(LEFT(UPPER(TRIM(D_Points!$B$5:$B$204)),2)="EX",1,IF(LEFT(UPPER(TRIM(D_Points!$B$5:$B$204)),2)="PR",2,2))),"")</f>
        <v/>
      </c>
      <c r="T957" s="181" t="str">
        <f>IFERROR(LOOKUP(2,1/((B_Drainage!$A$5:$A$204&lt;&gt;"")*(B_Drainage!$A$5:$A$204&lt;=$B957)*(B_Drainage!$B$5:$B$204&gt;$B957)*(B_Drainage!$E$5:$E$204&lt;&gt;"")),IF(B_Drainage!$E$5:$E$204="-","",1)),"")</f>
        <v/>
      </c>
      <c r="U957" s="181" t="str">
        <f>IFERROR(LOOKUP(2,1/((B_Drainage!$A$5:$A$204&lt;&gt;"")*(B_Drainage!$A$5:$A$204&lt;=$B957)*(B_Drainage!$B$5:$B$204&gt;$B957)*(B_Drainage!$E$5:$E$204&lt;&gt;"")),IF(B_Drainage!$E$5:$E$204="-","",B_Drainage!$E$5:$E$204)),"")</f>
        <v/>
      </c>
      <c r="V957" s="181" t="str">
        <f>IFERROR(LOOKUP(2,1/((B_Drainage!$A$5:$A$204&lt;&gt;"")*(B_Drainage!$A$5:$A$204&lt;=$B957)*(B_Drainage!$B$5:$B$204&gt;$B957)*(B_Drainage!$F$5:$F$204&lt;&gt;"")),IF(B_Drainage!$F$5:$F$204="-","",1)),"")</f>
        <v/>
      </c>
      <c r="W957" s="181" t="str">
        <f>IFERROR(LOOKUP(2,1/((B_Drainage!$A$5:$A$204&lt;&gt;"")*(B_Drainage!$A$5:$A$204&lt;=$B957)*(B_Drainage!$B$5:$B$204&gt;$B957)*(B_Drainage!$F$5:$F$204&lt;&gt;"")),IF(B_Drainage!$F$5:$F$204="-","",B_Drainage!$F$5:$F$204)),"")</f>
        <v/>
      </c>
      <c r="X957" s="181" t="str">
        <f>IFERROR(LOOKUP(2,1/((B_Drainage!$A$5:$A$204&lt;&gt;"")*(B_Drainage!$A$5:$A$204&lt;=$B957)*(B_Drainage!$B$5:$B$204&gt;$B957)*(B_Drainage!$G$5:$G$204&lt;&gt;"")),IF(UPPER(B_Drainage!$G$5:$G$204)="Y",1,"")),"")</f>
        <v/>
      </c>
      <c r="Y957" s="181" t="str">
        <f>IFERROR(LOOKUP(2,1/((B_Drainage!$A$5:$A$204&lt;&gt;"")*(B_Drainage!$A$5:$A$204&lt;=$B957)*(B_Drainage!$B$5:$B$204&gt;$B957)*(B_Drainage!$H$5:$H$204&lt;&gt;"")),IF(UPPER(B_Drainage!$H$5:$H$204)="Y",1,"")),"")</f>
        <v/>
      </c>
      <c r="Z957" s="181" t="str">
        <f>IFERROR(LOOKUP(2,1/((B_Drainage!$A$5:$A$204&lt;&gt;"")*(B_Drainage!$A$5:$A$204&lt;=$B957)*(B_Drainage!$B$5:$B$204&gt;$B957)*(B_Drainage!$I$5:$I$204&lt;&gt;"")),IF(UPPER(B_Drainage!$I$5:$I$204)="Y",1,"")),"")</f>
        <v/>
      </c>
      <c r="AA957" s="181" t="str">
        <f>IFERROR(LOOKUP(2,1/((B_Drainage!$A$5:$A$204&lt;&gt;"")*(B_Drainage!$A$5:$A$204&lt;=$B957)*(B_Drainage!$B$5:$B$204&gt;$B957)*(B_Drainage!$J$5:$J$204&lt;&gt;"")),IF(UPPER(B_Drainage!$J$5:$J$204)="Y",1,"")),"")</f>
        <v/>
      </c>
      <c r="AB957" s="182" t="str">
        <f>IFERROR(LOOKUP(2,1/((B_Drainage!$A$5:$A$204&lt;&gt;"")*(B_Drainage!$A$5:$A$204&lt;=$B957)*(B_Drainage!$B$5:$B$204&gt;$B957)*(B_Drainage!$K$5:$K$204&lt;&gt;"")),IF(B_Drainage!$K$5:$K$204="-","",B_Drainage!$K$5:$K$204)),"")</f>
        <v/>
      </c>
      <c r="AC957" s="182" t="str">
        <f>IFERROR(LOOKUP(2,1/((B_Drainage!$A$5:$A$204&lt;&gt;"")*(B_Drainage!$A$5:$A$204&lt;=$B957)*(B_Drainage!$B$5:$B$204&gt;$B957)*(B_Drainage!$L$5:$L$204&lt;&gt;"")),IF(B_Drainage!$L$5:$L$204="-","",B_Drainage!$L$5:$L$204)),"")</f>
        <v/>
      </c>
      <c r="AD957" s="182" t="str">
        <f>IFERROR(LOOKUP(2,1/((D_Points!$A$5:$A$204&lt;&gt;"")*(D_Points!$A$5:$A$204&gt;=$B957)*(D_Points!$A$5:$A$204&lt;$B957+P_Interval)*(UPPER(TRIM(D_Points!$B$5:$B$204))="TURNOUT_L")*(D_Points!$H$5:$H$204&lt;&gt;"")),D_Points!$H$5:$H$204),"")</f>
        <v/>
      </c>
      <c r="AE957" s="182" t="str">
        <f>IFERROR(LOOKUP(2,1/((D_Points!$A$5:$A$204&lt;&gt;"")*(D_Points!$A$5:$A$204&gt;=$B957)*(D_Points!$A$5:$A$204&lt;$B957+P_Interval)*(UPPER(TRIM(D_Points!$B$5:$B$204))="TURNOUT_R")*(D_Points!$H$5:$H$204&lt;&gt;"")),D_Points!$H$5:$H$204),"")</f>
        <v/>
      </c>
      <c r="AF957" s="181" t="str">
        <f>IFERROR(LOOKUP(2,1/((B_Drainage!$A$5:$A$204&lt;&gt;"")*(B_Drainage!$A$5:$A$204&lt;=$B957)*(B_Drainage!$B$5:$B$204&gt;$B957)*(B_Drainage!$M$5:$M$204&lt;&gt;"")),IF(UPPER(B_Drainage!$M$5:$M$204)="Y",1,"")),"")</f>
        <v/>
      </c>
      <c r="AG957" s="181" t="str">
        <f>IFERROR(LOOKUP(2,1/((B_Drainage!$A$5:$A$204&lt;&gt;"")*(B_Drainage!$A$5:$A$204&lt;=$B957)*(B_Drainage!$B$5:$B$204&gt;$B957)*(B_Drainage!$N$5:$N$204&lt;&gt;"")),IF(UPPER(B_Drainage!$N$5:$N$204)="Y",1,"")),"")</f>
        <v/>
      </c>
      <c r="AH957" s="181" t="str">
        <f t="shared" si="112"/>
        <v/>
      </c>
      <c r="AI957" s="181" t="str">
        <f t="shared" si="113"/>
        <v/>
      </c>
      <c r="AJ957" s="181" t="str">
        <f t="shared" si="114"/>
        <v/>
      </c>
      <c r="AK957" s="181" t="str">
        <f t="shared" si="115"/>
        <v/>
      </c>
      <c r="AL957" s="181" t="str">
        <f t="shared" si="116"/>
        <v/>
      </c>
      <c r="AM957" s="181" t="str">
        <f t="shared" si="117"/>
        <v/>
      </c>
      <c r="AN957" s="181" t="str">
        <f t="shared" si="118"/>
        <v/>
      </c>
      <c r="AO957" s="192" t="str">
        <f t="shared" si="119"/>
        <v/>
      </c>
      <c r="AQ957" t="str">
        <f>IFERROR(LOOKUP(2,1/((C_Pavement!$A$5:$A$204&lt;&gt;"")*(C_Pavement!$A$5:$A$204&lt;=$B957)*(C_Pavement!$B$5:$B$204&gt;$B957)*(C_Pavement!$C$5:$C$204&lt;&gt;"")),ROW(C_Pavement!$C$5:$C$204)-4),"")</f>
        <v/>
      </c>
      <c r="AR957" t="str">
        <f>IF($AQ957="","",UPPER(TRIM(INDEX(C_Pavement!$C$5:$C$204,$AQ957))))</f>
        <v/>
      </c>
      <c r="AS957" t="str">
        <f>IF($AR957="","",IFERROR(MATCH($AR957,E_Rules!$A$5:$A$9,0),""))</f>
        <v/>
      </c>
      <c r="AT957" t="str">
        <f>IF($AQ957="","",IF(INDEX(C_Pavement!$D$5:$D$204,$AQ957)&lt;&gt;"",UPPER(TRIM(INDEX(C_Pavement!$D$5:$D$204,$AQ957))),IF($AS957="","",INDEX(E_Rules!$C$5:$C$9,$AS957))))</f>
        <v/>
      </c>
      <c r="AU957" t="str">
        <f>IF($AQ957="","",IF(INDEX(C_Pavement!$E$5:$E$204,$AQ957)&lt;&gt;"",IF(INDEX(C_Pavement!$E$5:$E$204,$AQ957)="-","",INDEX(C_Pavement!$E$5:$E$204,$AQ957)),IF($AS957="","",INDEX(E_Rules!$D$5:$D$9,$AS957))))</f>
        <v/>
      </c>
      <c r="AV957" t="str">
        <f>IF($AQ957="","",IF(INDEX(C_Pavement!$F$5:$F$204,$AQ957)&lt;&gt;"",IF(INDEX(C_Pavement!$F$5:$F$204,$AQ957)="-","",INDEX(C_Pavement!$F$5:$F$204,$AQ957)),IF($AS957="","",INDEX(E_Rules!$E$5:$E$9,$AS957))))</f>
        <v/>
      </c>
      <c r="AW957" t="str">
        <f>IF($AQ957="","",IF(INDEX(C_Pavement!$G$5:$G$204,$AQ957)&lt;&gt;"",IF(INDEX(C_Pavement!$G$5:$G$204,$AQ957)="-","",INDEX(C_Pavement!$G$5:$G$204,$AQ957)),IF($AS957="","",INDEX(E_Rules!$F$5:$F$9,$AS957))))</f>
        <v/>
      </c>
      <c r="AX957" t="str">
        <f>IF($AQ957="","",IF(INDEX(C_Pavement!$H$5:$H$204,$AQ957)&lt;&gt;"",IF(INDEX(C_Pavement!$H$5:$H$204,$AQ957)="-","",INDEX(C_Pavement!$H$5:$H$204,$AQ957)),IF($AS957="","",INDEX(E_Rules!$G$5:$G$9,$AS957))))</f>
        <v/>
      </c>
      <c r="AY957" t="str">
        <f>IF($AQ957="","",IF(INDEX(C_Pavement!$I$5:$I$204,$AQ957)&lt;&gt;"",IF(INDEX(C_Pavement!$I$5:$I$204,$AQ957)="-","",INDEX(C_Pavement!$I$5:$I$204,$AQ957)),IF($AS957="","",INDEX(E_Rules!$H$5:$H$9,$AS957))))</f>
        <v/>
      </c>
    </row>
    <row r="958" spans="1:51" ht="15.75" customHeight="1" x14ac:dyDescent="0.3">
      <c r="A958" s="189">
        <v>953</v>
      </c>
      <c r="B958" s="180">
        <v>47600</v>
      </c>
      <c r="C958" s="180" t="s">
        <v>1264</v>
      </c>
      <c r="D958" s="181" t="str">
        <f>IFERROR(LOOKUP(2,1/((A_Corridor!$A$5:$A$204&lt;&gt;"")*(A_Corridor!$A$5:$A$204&lt;=$B958)*(A_Corridor!$B$5:$B$204&gt;$B958)*(A_Corridor!$C$5:$C$204&lt;&gt;"")),IF(UPPER(A_Corridor!$C$5:$C$204)="Y",1,"")),"")</f>
        <v/>
      </c>
      <c r="E958" s="181" t="str">
        <f>IFERROR(LOOKUP(2,1/((A_Corridor!$A$5:$A$204&lt;&gt;"")*(A_Corridor!$A$5:$A$204&lt;=$B958)*(A_Corridor!$B$5:$B$204&gt;$B958)*(A_Corridor!$D$5:$D$204&lt;&gt;"")),IF(A_Corridor!$D$5:$D$204="-","",UPPER(A_Corridor!$D$5:$D$204))),"")</f>
        <v/>
      </c>
      <c r="F958" s="181" t="str">
        <f>IFERROR(LOOKUP(2,1/((A_Corridor!$A$5:$A$204&lt;&gt;"")*(A_Corridor!$A$5:$A$204&lt;=$B958)*(A_Corridor!$B$5:$B$204&gt;$B958)*(A_Corridor!$E$5:$E$204&lt;&gt;"")),IF(A_Corridor!$E$5:$E$204="-","",1)),"")</f>
        <v/>
      </c>
      <c r="G958" s="182" t="str">
        <f>IFERROR(LOOKUP(2,1/((A_Corridor!$A$5:$A$204&lt;&gt;"")*(A_Corridor!$A$5:$A$204&lt;=$B958)*(A_Corridor!$B$5:$B$204&gt;$B958)*(A_Corridor!$E$5:$E$204&lt;&gt;"")),IF(A_Corridor!$E$5:$E$204="-","",A_Corridor!$E$5:$E$204)),"")</f>
        <v/>
      </c>
      <c r="H958" s="182" t="str">
        <f>IFERROR(LOOKUP(2,1/((D_Points!$A$5:$A$204&lt;&gt;"")*(D_Points!$A$5:$A$204&gt;=$B958)*(D_Points!$A$5:$A$204&lt;$B958+P_Interval)*(UPPER(TRIM(D_Points!$B$5:$B$204))="GULLY")*(D_Points!$H$5:$H$204&lt;&gt;"")),D_Points!$H$5:$H$204),"")</f>
        <v/>
      </c>
      <c r="I958" s="181" t="str">
        <f>IFERROR(LOOKUP(2,1/((A_Corridor!$A$5:$A$204&lt;&gt;"")*(A_Corridor!$A$5:$A$204&lt;=$B958)*(A_Corridor!$B$5:$B$204&gt;$B958)*(A_Corridor!$F$5:$F$204&lt;&gt;"")),IF(A_Corridor!$F$5:$F$204="-","",1)),"")</f>
        <v/>
      </c>
      <c r="J958" s="182" t="str">
        <f>IFERROR(LOOKUP(2,1/((A_Corridor!$A$5:$A$204&lt;&gt;"")*(A_Corridor!$A$5:$A$204&lt;=$B958)*(A_Corridor!$B$5:$B$204&gt;$B958)*(A_Corridor!$F$5:$F$204&lt;&gt;"")),IF(A_Corridor!$F$5:$F$204="-","",A_Corridor!$F$5:$F$204)),"")</f>
        <v/>
      </c>
      <c r="K958" s="182" t="str">
        <f>IFERROR(LOOKUP(2,1/((A_Corridor!$A$5:$A$204&lt;&gt;"")*(A_Corridor!$A$5:$A$204&lt;=$B958)*(A_Corridor!$B$5:$B$204&gt;$B958)*(A_Corridor!$G$5:$G$204&lt;&gt;"")),IF(A_Corridor!$G$5:$G$204="-","",A_Corridor!$G$5:$G$204)),"")</f>
        <v/>
      </c>
      <c r="L958" s="181" t="str">
        <f>IFERROR(LOOKUP(2,1/((A_Corridor!$A$5:$A$204&lt;&gt;"")*(A_Corridor!$A$5:$A$204&lt;=$B958)*(A_Corridor!$B$5:$B$204&gt;$B958)*(A_Corridor!$H$5:$H$204&lt;&gt;"")),IF(A_Corridor!$H$5:$H$204="-","",1)),"")</f>
        <v/>
      </c>
      <c r="M958" s="182" t="str">
        <f>IFERROR(LOOKUP(2,1/((A_Corridor!$A$5:$A$204&lt;&gt;"")*(A_Corridor!$A$5:$A$204&lt;=$B958)*(A_Corridor!$B$5:$B$204&gt;$B958)*(A_Corridor!$H$5:$H$204&lt;&gt;"")),IF(A_Corridor!$H$5:$H$204="-","",A_Corridor!$H$5:$H$204)),"")</f>
        <v/>
      </c>
      <c r="N958" s="182" t="str">
        <f>IFERROR(LOOKUP(2,1/((A_Corridor!$A$5:$A$204&lt;&gt;"")*(A_Corridor!$A$5:$A$204&lt;=$B958)*(A_Corridor!$B$5:$B$204&gt;$B958)*(A_Corridor!$I$5:$I$204&lt;&gt;"")),IF(A_Corridor!$I$5:$I$204="-","",A_Corridor!$I$5:$I$204)),"")</f>
        <v/>
      </c>
      <c r="O958" s="182" t="str">
        <f>IFERROR(LOOKUP(2,1/((D_Points!$A$5:$A$204&lt;&gt;"")*(D_Points!$A$5:$A$204&gt;=$B958)*(D_Points!$A$5:$A$204&lt;$B958+P_Interval)*(UPPER(TRIM(D_Points!$B$5:$B$204))="PITCHING")*(D_Points!$H$5:$H$204&lt;&gt;"")),D_Points!$H$5:$H$204),"")</f>
        <v/>
      </c>
      <c r="P958" s="181" t="str">
        <f>IFERROR(LOOKUP(2,1/((B_Drainage!$A$5:$A$204&lt;&gt;"")*(B_Drainage!$A$5:$A$204&lt;=$B958)*(B_Drainage!$B$5:$B$204&gt;$B958)*(B_Drainage!$C$5:$C$204&lt;&gt;"")),IF(B_Drainage!$C$5:$C$204="-","",UPPER(B_Drainage!$C$5:$C$204))),"")</f>
        <v/>
      </c>
      <c r="Q958" s="181" t="str">
        <f>IFERROR(LOOKUP(2,1/((B_Drainage!$A$5:$A$204&lt;&gt;"")*(B_Drainage!$A$5:$A$204&lt;=$B958)*(B_Drainage!$B$5:$B$204&gt;$B958)*(B_Drainage!$D$5:$D$204&lt;&gt;"")),IF(B_Drainage!$D$5:$D$204="-","",UPPER(B_Drainage!$D$5:$D$204))),"")</f>
        <v/>
      </c>
      <c r="R958" s="182" t="str">
        <f>IFERROR(LOOKUP(2,1/((D_Points!$A$5:$A$204&lt;&gt;"")*(D_Points!$A$5:$A$204&gt;=$B958)*(D_Points!$A$5:$A$204&lt;$B958+P_Interval)*(RIGHT(UPPER(TRIM(D_Points!$B$5:$B$204)),8)="_CULVERT")),IF(LEFT(UPPER(TRIM(D_Points!$B$5:$B$204)),2)="EX",1,IF(LEFT(UPPER(TRIM(D_Points!$B$5:$B$204)),2)="PR",2,3))),"")</f>
        <v/>
      </c>
      <c r="S958" s="182" t="str">
        <f>IFERROR(LOOKUP(2,1/((D_Points!$A$5:$A$204&lt;&gt;"")*(D_Points!$A$5:$A$204&gt;=$B958)*(D_Points!$A$5:$A$204&lt;$B958+P_Interval)*(RIGHT(UPPER(TRIM(D_Points!$B$5:$B$204)),7)="_BRIDGE")),IF(LEFT(UPPER(TRIM(D_Points!$B$5:$B$204)),2)="EX",1,IF(LEFT(UPPER(TRIM(D_Points!$B$5:$B$204)),2)="PR",2,2))),"")</f>
        <v/>
      </c>
      <c r="T958" s="181" t="str">
        <f>IFERROR(LOOKUP(2,1/((B_Drainage!$A$5:$A$204&lt;&gt;"")*(B_Drainage!$A$5:$A$204&lt;=$B958)*(B_Drainage!$B$5:$B$204&gt;$B958)*(B_Drainage!$E$5:$E$204&lt;&gt;"")),IF(B_Drainage!$E$5:$E$204="-","",1)),"")</f>
        <v/>
      </c>
      <c r="U958" s="181" t="str">
        <f>IFERROR(LOOKUP(2,1/((B_Drainage!$A$5:$A$204&lt;&gt;"")*(B_Drainage!$A$5:$A$204&lt;=$B958)*(B_Drainage!$B$5:$B$204&gt;$B958)*(B_Drainage!$E$5:$E$204&lt;&gt;"")),IF(B_Drainage!$E$5:$E$204="-","",B_Drainage!$E$5:$E$204)),"")</f>
        <v/>
      </c>
      <c r="V958" s="181" t="str">
        <f>IFERROR(LOOKUP(2,1/((B_Drainage!$A$5:$A$204&lt;&gt;"")*(B_Drainage!$A$5:$A$204&lt;=$B958)*(B_Drainage!$B$5:$B$204&gt;$B958)*(B_Drainage!$F$5:$F$204&lt;&gt;"")),IF(B_Drainage!$F$5:$F$204="-","",1)),"")</f>
        <v/>
      </c>
      <c r="W958" s="181" t="str">
        <f>IFERROR(LOOKUP(2,1/((B_Drainage!$A$5:$A$204&lt;&gt;"")*(B_Drainage!$A$5:$A$204&lt;=$B958)*(B_Drainage!$B$5:$B$204&gt;$B958)*(B_Drainage!$F$5:$F$204&lt;&gt;"")),IF(B_Drainage!$F$5:$F$204="-","",B_Drainage!$F$5:$F$204)),"")</f>
        <v/>
      </c>
      <c r="X958" s="181" t="str">
        <f>IFERROR(LOOKUP(2,1/((B_Drainage!$A$5:$A$204&lt;&gt;"")*(B_Drainage!$A$5:$A$204&lt;=$B958)*(B_Drainage!$B$5:$B$204&gt;$B958)*(B_Drainage!$G$5:$G$204&lt;&gt;"")),IF(UPPER(B_Drainage!$G$5:$G$204)="Y",1,"")),"")</f>
        <v/>
      </c>
      <c r="Y958" s="181" t="str">
        <f>IFERROR(LOOKUP(2,1/((B_Drainage!$A$5:$A$204&lt;&gt;"")*(B_Drainage!$A$5:$A$204&lt;=$B958)*(B_Drainage!$B$5:$B$204&gt;$B958)*(B_Drainage!$H$5:$H$204&lt;&gt;"")),IF(UPPER(B_Drainage!$H$5:$H$204)="Y",1,"")),"")</f>
        <v/>
      </c>
      <c r="Z958" s="181" t="str">
        <f>IFERROR(LOOKUP(2,1/((B_Drainage!$A$5:$A$204&lt;&gt;"")*(B_Drainage!$A$5:$A$204&lt;=$B958)*(B_Drainage!$B$5:$B$204&gt;$B958)*(B_Drainage!$I$5:$I$204&lt;&gt;"")),IF(UPPER(B_Drainage!$I$5:$I$204)="Y",1,"")),"")</f>
        <v/>
      </c>
      <c r="AA958" s="181" t="str">
        <f>IFERROR(LOOKUP(2,1/((B_Drainage!$A$5:$A$204&lt;&gt;"")*(B_Drainage!$A$5:$A$204&lt;=$B958)*(B_Drainage!$B$5:$B$204&gt;$B958)*(B_Drainage!$J$5:$J$204&lt;&gt;"")),IF(UPPER(B_Drainage!$J$5:$J$204)="Y",1,"")),"")</f>
        <v/>
      </c>
      <c r="AB958" s="182" t="str">
        <f>IFERROR(LOOKUP(2,1/((B_Drainage!$A$5:$A$204&lt;&gt;"")*(B_Drainage!$A$5:$A$204&lt;=$B958)*(B_Drainage!$B$5:$B$204&gt;$B958)*(B_Drainage!$K$5:$K$204&lt;&gt;"")),IF(B_Drainage!$K$5:$K$204="-","",B_Drainage!$K$5:$K$204)),"")</f>
        <v/>
      </c>
      <c r="AC958" s="182" t="str">
        <f>IFERROR(LOOKUP(2,1/((B_Drainage!$A$5:$A$204&lt;&gt;"")*(B_Drainage!$A$5:$A$204&lt;=$B958)*(B_Drainage!$B$5:$B$204&gt;$B958)*(B_Drainage!$L$5:$L$204&lt;&gt;"")),IF(B_Drainage!$L$5:$L$204="-","",B_Drainage!$L$5:$L$204)),"")</f>
        <v/>
      </c>
      <c r="AD958" s="182" t="str">
        <f>IFERROR(LOOKUP(2,1/((D_Points!$A$5:$A$204&lt;&gt;"")*(D_Points!$A$5:$A$204&gt;=$B958)*(D_Points!$A$5:$A$204&lt;$B958+P_Interval)*(UPPER(TRIM(D_Points!$B$5:$B$204))="TURNOUT_L")*(D_Points!$H$5:$H$204&lt;&gt;"")),D_Points!$H$5:$H$204),"")</f>
        <v/>
      </c>
      <c r="AE958" s="182" t="str">
        <f>IFERROR(LOOKUP(2,1/((D_Points!$A$5:$A$204&lt;&gt;"")*(D_Points!$A$5:$A$204&gt;=$B958)*(D_Points!$A$5:$A$204&lt;$B958+P_Interval)*(UPPER(TRIM(D_Points!$B$5:$B$204))="TURNOUT_R")*(D_Points!$H$5:$H$204&lt;&gt;"")),D_Points!$H$5:$H$204),"")</f>
        <v/>
      </c>
      <c r="AF958" s="181" t="str">
        <f>IFERROR(LOOKUP(2,1/((B_Drainage!$A$5:$A$204&lt;&gt;"")*(B_Drainage!$A$5:$A$204&lt;=$B958)*(B_Drainage!$B$5:$B$204&gt;$B958)*(B_Drainage!$M$5:$M$204&lt;&gt;"")),IF(UPPER(B_Drainage!$M$5:$M$204)="Y",1,"")),"")</f>
        <v/>
      </c>
      <c r="AG958" s="181" t="str">
        <f>IFERROR(LOOKUP(2,1/((B_Drainage!$A$5:$A$204&lt;&gt;"")*(B_Drainage!$A$5:$A$204&lt;=$B958)*(B_Drainage!$B$5:$B$204&gt;$B958)*(B_Drainage!$N$5:$N$204&lt;&gt;"")),IF(UPPER(B_Drainage!$N$5:$N$204)="Y",1,"")),"")</f>
        <v/>
      </c>
      <c r="AH958" s="181" t="str">
        <f t="shared" si="112"/>
        <v/>
      </c>
      <c r="AI958" s="181" t="str">
        <f t="shared" si="113"/>
        <v/>
      </c>
      <c r="AJ958" s="181" t="str">
        <f t="shared" si="114"/>
        <v/>
      </c>
      <c r="AK958" s="181" t="str">
        <f t="shared" si="115"/>
        <v/>
      </c>
      <c r="AL958" s="181" t="str">
        <f t="shared" si="116"/>
        <v/>
      </c>
      <c r="AM958" s="181" t="str">
        <f t="shared" si="117"/>
        <v/>
      </c>
      <c r="AN958" s="181" t="str">
        <f t="shared" si="118"/>
        <v/>
      </c>
      <c r="AO958" s="192" t="str">
        <f t="shared" si="119"/>
        <v/>
      </c>
      <c r="AQ958" t="str">
        <f>IFERROR(LOOKUP(2,1/((C_Pavement!$A$5:$A$204&lt;&gt;"")*(C_Pavement!$A$5:$A$204&lt;=$B958)*(C_Pavement!$B$5:$B$204&gt;$B958)*(C_Pavement!$C$5:$C$204&lt;&gt;"")),ROW(C_Pavement!$C$5:$C$204)-4),"")</f>
        <v/>
      </c>
      <c r="AR958" t="str">
        <f>IF($AQ958="","",UPPER(TRIM(INDEX(C_Pavement!$C$5:$C$204,$AQ958))))</f>
        <v/>
      </c>
      <c r="AS958" t="str">
        <f>IF($AR958="","",IFERROR(MATCH($AR958,E_Rules!$A$5:$A$9,0),""))</f>
        <v/>
      </c>
      <c r="AT958" t="str">
        <f>IF($AQ958="","",IF(INDEX(C_Pavement!$D$5:$D$204,$AQ958)&lt;&gt;"",UPPER(TRIM(INDEX(C_Pavement!$D$5:$D$204,$AQ958))),IF($AS958="","",INDEX(E_Rules!$C$5:$C$9,$AS958))))</f>
        <v/>
      </c>
      <c r="AU958" t="str">
        <f>IF($AQ958="","",IF(INDEX(C_Pavement!$E$5:$E$204,$AQ958)&lt;&gt;"",IF(INDEX(C_Pavement!$E$5:$E$204,$AQ958)="-","",INDEX(C_Pavement!$E$5:$E$204,$AQ958)),IF($AS958="","",INDEX(E_Rules!$D$5:$D$9,$AS958))))</f>
        <v/>
      </c>
      <c r="AV958" t="str">
        <f>IF($AQ958="","",IF(INDEX(C_Pavement!$F$5:$F$204,$AQ958)&lt;&gt;"",IF(INDEX(C_Pavement!$F$5:$F$204,$AQ958)="-","",INDEX(C_Pavement!$F$5:$F$204,$AQ958)),IF($AS958="","",INDEX(E_Rules!$E$5:$E$9,$AS958))))</f>
        <v/>
      </c>
      <c r="AW958" t="str">
        <f>IF($AQ958="","",IF(INDEX(C_Pavement!$G$5:$G$204,$AQ958)&lt;&gt;"",IF(INDEX(C_Pavement!$G$5:$G$204,$AQ958)="-","",INDEX(C_Pavement!$G$5:$G$204,$AQ958)),IF($AS958="","",INDEX(E_Rules!$F$5:$F$9,$AS958))))</f>
        <v/>
      </c>
      <c r="AX958" t="str">
        <f>IF($AQ958="","",IF(INDEX(C_Pavement!$H$5:$H$204,$AQ958)&lt;&gt;"",IF(INDEX(C_Pavement!$H$5:$H$204,$AQ958)="-","",INDEX(C_Pavement!$H$5:$H$204,$AQ958)),IF($AS958="","",INDEX(E_Rules!$G$5:$G$9,$AS958))))</f>
        <v/>
      </c>
      <c r="AY958" t="str">
        <f>IF($AQ958="","",IF(INDEX(C_Pavement!$I$5:$I$204,$AQ958)&lt;&gt;"",IF(INDEX(C_Pavement!$I$5:$I$204,$AQ958)="-","",INDEX(C_Pavement!$I$5:$I$204,$AQ958)),IF($AS958="","",INDEX(E_Rules!$H$5:$H$9,$AS958))))</f>
        <v/>
      </c>
    </row>
    <row r="959" spans="1:51" ht="15.75" customHeight="1" x14ac:dyDescent="0.3">
      <c r="A959" s="189">
        <v>954</v>
      </c>
      <c r="B959" s="180">
        <v>47650</v>
      </c>
      <c r="C959" s="180" t="s">
        <v>1265</v>
      </c>
      <c r="D959" s="181" t="str">
        <f>IFERROR(LOOKUP(2,1/((A_Corridor!$A$5:$A$204&lt;&gt;"")*(A_Corridor!$A$5:$A$204&lt;=$B959)*(A_Corridor!$B$5:$B$204&gt;$B959)*(A_Corridor!$C$5:$C$204&lt;&gt;"")),IF(UPPER(A_Corridor!$C$5:$C$204)="Y",1,"")),"")</f>
        <v/>
      </c>
      <c r="E959" s="181" t="str">
        <f>IFERROR(LOOKUP(2,1/((A_Corridor!$A$5:$A$204&lt;&gt;"")*(A_Corridor!$A$5:$A$204&lt;=$B959)*(A_Corridor!$B$5:$B$204&gt;$B959)*(A_Corridor!$D$5:$D$204&lt;&gt;"")),IF(A_Corridor!$D$5:$D$204="-","",UPPER(A_Corridor!$D$5:$D$204))),"")</f>
        <v/>
      </c>
      <c r="F959" s="181" t="str">
        <f>IFERROR(LOOKUP(2,1/((A_Corridor!$A$5:$A$204&lt;&gt;"")*(A_Corridor!$A$5:$A$204&lt;=$B959)*(A_Corridor!$B$5:$B$204&gt;$B959)*(A_Corridor!$E$5:$E$204&lt;&gt;"")),IF(A_Corridor!$E$5:$E$204="-","",1)),"")</f>
        <v/>
      </c>
      <c r="G959" s="182" t="str">
        <f>IFERROR(LOOKUP(2,1/((A_Corridor!$A$5:$A$204&lt;&gt;"")*(A_Corridor!$A$5:$A$204&lt;=$B959)*(A_Corridor!$B$5:$B$204&gt;$B959)*(A_Corridor!$E$5:$E$204&lt;&gt;"")),IF(A_Corridor!$E$5:$E$204="-","",A_Corridor!$E$5:$E$204)),"")</f>
        <v/>
      </c>
      <c r="H959" s="182" t="str">
        <f>IFERROR(LOOKUP(2,1/((D_Points!$A$5:$A$204&lt;&gt;"")*(D_Points!$A$5:$A$204&gt;=$B959)*(D_Points!$A$5:$A$204&lt;$B959+P_Interval)*(UPPER(TRIM(D_Points!$B$5:$B$204))="GULLY")*(D_Points!$H$5:$H$204&lt;&gt;"")),D_Points!$H$5:$H$204),"")</f>
        <v/>
      </c>
      <c r="I959" s="181" t="str">
        <f>IFERROR(LOOKUP(2,1/((A_Corridor!$A$5:$A$204&lt;&gt;"")*(A_Corridor!$A$5:$A$204&lt;=$B959)*(A_Corridor!$B$5:$B$204&gt;$B959)*(A_Corridor!$F$5:$F$204&lt;&gt;"")),IF(A_Corridor!$F$5:$F$204="-","",1)),"")</f>
        <v/>
      </c>
      <c r="J959" s="182" t="str">
        <f>IFERROR(LOOKUP(2,1/((A_Corridor!$A$5:$A$204&lt;&gt;"")*(A_Corridor!$A$5:$A$204&lt;=$B959)*(A_Corridor!$B$5:$B$204&gt;$B959)*(A_Corridor!$F$5:$F$204&lt;&gt;"")),IF(A_Corridor!$F$5:$F$204="-","",A_Corridor!$F$5:$F$204)),"")</f>
        <v/>
      </c>
      <c r="K959" s="182" t="str">
        <f>IFERROR(LOOKUP(2,1/((A_Corridor!$A$5:$A$204&lt;&gt;"")*(A_Corridor!$A$5:$A$204&lt;=$B959)*(A_Corridor!$B$5:$B$204&gt;$B959)*(A_Corridor!$G$5:$G$204&lt;&gt;"")),IF(A_Corridor!$G$5:$G$204="-","",A_Corridor!$G$5:$G$204)),"")</f>
        <v/>
      </c>
      <c r="L959" s="181" t="str">
        <f>IFERROR(LOOKUP(2,1/((A_Corridor!$A$5:$A$204&lt;&gt;"")*(A_Corridor!$A$5:$A$204&lt;=$B959)*(A_Corridor!$B$5:$B$204&gt;$B959)*(A_Corridor!$H$5:$H$204&lt;&gt;"")),IF(A_Corridor!$H$5:$H$204="-","",1)),"")</f>
        <v/>
      </c>
      <c r="M959" s="182" t="str">
        <f>IFERROR(LOOKUP(2,1/((A_Corridor!$A$5:$A$204&lt;&gt;"")*(A_Corridor!$A$5:$A$204&lt;=$B959)*(A_Corridor!$B$5:$B$204&gt;$B959)*(A_Corridor!$H$5:$H$204&lt;&gt;"")),IF(A_Corridor!$H$5:$H$204="-","",A_Corridor!$H$5:$H$204)),"")</f>
        <v/>
      </c>
      <c r="N959" s="182" t="str">
        <f>IFERROR(LOOKUP(2,1/((A_Corridor!$A$5:$A$204&lt;&gt;"")*(A_Corridor!$A$5:$A$204&lt;=$B959)*(A_Corridor!$B$5:$B$204&gt;$B959)*(A_Corridor!$I$5:$I$204&lt;&gt;"")),IF(A_Corridor!$I$5:$I$204="-","",A_Corridor!$I$5:$I$204)),"")</f>
        <v/>
      </c>
      <c r="O959" s="182" t="str">
        <f>IFERROR(LOOKUP(2,1/((D_Points!$A$5:$A$204&lt;&gt;"")*(D_Points!$A$5:$A$204&gt;=$B959)*(D_Points!$A$5:$A$204&lt;$B959+P_Interval)*(UPPER(TRIM(D_Points!$B$5:$B$204))="PITCHING")*(D_Points!$H$5:$H$204&lt;&gt;"")),D_Points!$H$5:$H$204),"")</f>
        <v/>
      </c>
      <c r="P959" s="181" t="str">
        <f>IFERROR(LOOKUP(2,1/((B_Drainage!$A$5:$A$204&lt;&gt;"")*(B_Drainage!$A$5:$A$204&lt;=$B959)*(B_Drainage!$B$5:$B$204&gt;$B959)*(B_Drainage!$C$5:$C$204&lt;&gt;"")),IF(B_Drainage!$C$5:$C$204="-","",UPPER(B_Drainage!$C$5:$C$204))),"")</f>
        <v/>
      </c>
      <c r="Q959" s="181" t="str">
        <f>IFERROR(LOOKUP(2,1/((B_Drainage!$A$5:$A$204&lt;&gt;"")*(B_Drainage!$A$5:$A$204&lt;=$B959)*(B_Drainage!$B$5:$B$204&gt;$B959)*(B_Drainage!$D$5:$D$204&lt;&gt;"")),IF(B_Drainage!$D$5:$D$204="-","",UPPER(B_Drainage!$D$5:$D$204))),"")</f>
        <v/>
      </c>
      <c r="R959" s="182" t="str">
        <f>IFERROR(LOOKUP(2,1/((D_Points!$A$5:$A$204&lt;&gt;"")*(D_Points!$A$5:$A$204&gt;=$B959)*(D_Points!$A$5:$A$204&lt;$B959+P_Interval)*(RIGHT(UPPER(TRIM(D_Points!$B$5:$B$204)),8)="_CULVERT")),IF(LEFT(UPPER(TRIM(D_Points!$B$5:$B$204)),2)="EX",1,IF(LEFT(UPPER(TRIM(D_Points!$B$5:$B$204)),2)="PR",2,3))),"")</f>
        <v/>
      </c>
      <c r="S959" s="182" t="str">
        <f>IFERROR(LOOKUP(2,1/((D_Points!$A$5:$A$204&lt;&gt;"")*(D_Points!$A$5:$A$204&gt;=$B959)*(D_Points!$A$5:$A$204&lt;$B959+P_Interval)*(RIGHT(UPPER(TRIM(D_Points!$B$5:$B$204)),7)="_BRIDGE")),IF(LEFT(UPPER(TRIM(D_Points!$B$5:$B$204)),2)="EX",1,IF(LEFT(UPPER(TRIM(D_Points!$B$5:$B$204)),2)="PR",2,2))),"")</f>
        <v/>
      </c>
      <c r="T959" s="181" t="str">
        <f>IFERROR(LOOKUP(2,1/((B_Drainage!$A$5:$A$204&lt;&gt;"")*(B_Drainage!$A$5:$A$204&lt;=$B959)*(B_Drainage!$B$5:$B$204&gt;$B959)*(B_Drainage!$E$5:$E$204&lt;&gt;"")),IF(B_Drainage!$E$5:$E$204="-","",1)),"")</f>
        <v/>
      </c>
      <c r="U959" s="181" t="str">
        <f>IFERROR(LOOKUP(2,1/((B_Drainage!$A$5:$A$204&lt;&gt;"")*(B_Drainage!$A$5:$A$204&lt;=$B959)*(B_Drainage!$B$5:$B$204&gt;$B959)*(B_Drainage!$E$5:$E$204&lt;&gt;"")),IF(B_Drainage!$E$5:$E$204="-","",B_Drainage!$E$5:$E$204)),"")</f>
        <v/>
      </c>
      <c r="V959" s="181" t="str">
        <f>IFERROR(LOOKUP(2,1/((B_Drainage!$A$5:$A$204&lt;&gt;"")*(B_Drainage!$A$5:$A$204&lt;=$B959)*(B_Drainage!$B$5:$B$204&gt;$B959)*(B_Drainage!$F$5:$F$204&lt;&gt;"")),IF(B_Drainage!$F$5:$F$204="-","",1)),"")</f>
        <v/>
      </c>
      <c r="W959" s="181" t="str">
        <f>IFERROR(LOOKUP(2,1/((B_Drainage!$A$5:$A$204&lt;&gt;"")*(B_Drainage!$A$5:$A$204&lt;=$B959)*(B_Drainage!$B$5:$B$204&gt;$B959)*(B_Drainage!$F$5:$F$204&lt;&gt;"")),IF(B_Drainage!$F$5:$F$204="-","",B_Drainage!$F$5:$F$204)),"")</f>
        <v/>
      </c>
      <c r="X959" s="181" t="str">
        <f>IFERROR(LOOKUP(2,1/((B_Drainage!$A$5:$A$204&lt;&gt;"")*(B_Drainage!$A$5:$A$204&lt;=$B959)*(B_Drainage!$B$5:$B$204&gt;$B959)*(B_Drainage!$G$5:$G$204&lt;&gt;"")),IF(UPPER(B_Drainage!$G$5:$G$204)="Y",1,"")),"")</f>
        <v/>
      </c>
      <c r="Y959" s="181" t="str">
        <f>IFERROR(LOOKUP(2,1/((B_Drainage!$A$5:$A$204&lt;&gt;"")*(B_Drainage!$A$5:$A$204&lt;=$B959)*(B_Drainage!$B$5:$B$204&gt;$B959)*(B_Drainage!$H$5:$H$204&lt;&gt;"")),IF(UPPER(B_Drainage!$H$5:$H$204)="Y",1,"")),"")</f>
        <v/>
      </c>
      <c r="Z959" s="181" t="str">
        <f>IFERROR(LOOKUP(2,1/((B_Drainage!$A$5:$A$204&lt;&gt;"")*(B_Drainage!$A$5:$A$204&lt;=$B959)*(B_Drainage!$B$5:$B$204&gt;$B959)*(B_Drainage!$I$5:$I$204&lt;&gt;"")),IF(UPPER(B_Drainage!$I$5:$I$204)="Y",1,"")),"")</f>
        <v/>
      </c>
      <c r="AA959" s="181" t="str">
        <f>IFERROR(LOOKUP(2,1/((B_Drainage!$A$5:$A$204&lt;&gt;"")*(B_Drainage!$A$5:$A$204&lt;=$B959)*(B_Drainage!$B$5:$B$204&gt;$B959)*(B_Drainage!$J$5:$J$204&lt;&gt;"")),IF(UPPER(B_Drainage!$J$5:$J$204)="Y",1,"")),"")</f>
        <v/>
      </c>
      <c r="AB959" s="182" t="str">
        <f>IFERROR(LOOKUP(2,1/((B_Drainage!$A$5:$A$204&lt;&gt;"")*(B_Drainage!$A$5:$A$204&lt;=$B959)*(B_Drainage!$B$5:$B$204&gt;$B959)*(B_Drainage!$K$5:$K$204&lt;&gt;"")),IF(B_Drainage!$K$5:$K$204="-","",B_Drainage!$K$5:$K$204)),"")</f>
        <v/>
      </c>
      <c r="AC959" s="182" t="str">
        <f>IFERROR(LOOKUP(2,1/((B_Drainage!$A$5:$A$204&lt;&gt;"")*(B_Drainage!$A$5:$A$204&lt;=$B959)*(B_Drainage!$B$5:$B$204&gt;$B959)*(B_Drainage!$L$5:$L$204&lt;&gt;"")),IF(B_Drainage!$L$5:$L$204="-","",B_Drainage!$L$5:$L$204)),"")</f>
        <v/>
      </c>
      <c r="AD959" s="182" t="str">
        <f>IFERROR(LOOKUP(2,1/((D_Points!$A$5:$A$204&lt;&gt;"")*(D_Points!$A$5:$A$204&gt;=$B959)*(D_Points!$A$5:$A$204&lt;$B959+P_Interval)*(UPPER(TRIM(D_Points!$B$5:$B$204))="TURNOUT_L")*(D_Points!$H$5:$H$204&lt;&gt;"")),D_Points!$H$5:$H$204),"")</f>
        <v/>
      </c>
      <c r="AE959" s="182" t="str">
        <f>IFERROR(LOOKUP(2,1/((D_Points!$A$5:$A$204&lt;&gt;"")*(D_Points!$A$5:$A$204&gt;=$B959)*(D_Points!$A$5:$A$204&lt;$B959+P_Interval)*(UPPER(TRIM(D_Points!$B$5:$B$204))="TURNOUT_R")*(D_Points!$H$5:$H$204&lt;&gt;"")),D_Points!$H$5:$H$204),"")</f>
        <v/>
      </c>
      <c r="AF959" s="181" t="str">
        <f>IFERROR(LOOKUP(2,1/((B_Drainage!$A$5:$A$204&lt;&gt;"")*(B_Drainage!$A$5:$A$204&lt;=$B959)*(B_Drainage!$B$5:$B$204&gt;$B959)*(B_Drainage!$M$5:$M$204&lt;&gt;"")),IF(UPPER(B_Drainage!$M$5:$M$204)="Y",1,"")),"")</f>
        <v/>
      </c>
      <c r="AG959" s="181" t="str">
        <f>IFERROR(LOOKUP(2,1/((B_Drainage!$A$5:$A$204&lt;&gt;"")*(B_Drainage!$A$5:$A$204&lt;=$B959)*(B_Drainage!$B$5:$B$204&gt;$B959)*(B_Drainage!$N$5:$N$204&lt;&gt;"")),IF(UPPER(B_Drainage!$N$5:$N$204)="Y",1,"")),"")</f>
        <v/>
      </c>
      <c r="AH959" s="181" t="str">
        <f t="shared" si="112"/>
        <v/>
      </c>
      <c r="AI959" s="181" t="str">
        <f t="shared" si="113"/>
        <v/>
      </c>
      <c r="AJ959" s="181" t="str">
        <f t="shared" si="114"/>
        <v/>
      </c>
      <c r="AK959" s="181" t="str">
        <f t="shared" si="115"/>
        <v/>
      </c>
      <c r="AL959" s="181" t="str">
        <f t="shared" si="116"/>
        <v/>
      </c>
      <c r="AM959" s="181" t="str">
        <f t="shared" si="117"/>
        <v/>
      </c>
      <c r="AN959" s="181" t="str">
        <f t="shared" si="118"/>
        <v/>
      </c>
      <c r="AO959" s="192" t="str">
        <f t="shared" si="119"/>
        <v/>
      </c>
      <c r="AQ959" t="str">
        <f>IFERROR(LOOKUP(2,1/((C_Pavement!$A$5:$A$204&lt;&gt;"")*(C_Pavement!$A$5:$A$204&lt;=$B959)*(C_Pavement!$B$5:$B$204&gt;$B959)*(C_Pavement!$C$5:$C$204&lt;&gt;"")),ROW(C_Pavement!$C$5:$C$204)-4),"")</f>
        <v/>
      </c>
      <c r="AR959" t="str">
        <f>IF($AQ959="","",UPPER(TRIM(INDEX(C_Pavement!$C$5:$C$204,$AQ959))))</f>
        <v/>
      </c>
      <c r="AS959" t="str">
        <f>IF($AR959="","",IFERROR(MATCH($AR959,E_Rules!$A$5:$A$9,0),""))</f>
        <v/>
      </c>
      <c r="AT959" t="str">
        <f>IF($AQ959="","",IF(INDEX(C_Pavement!$D$5:$D$204,$AQ959)&lt;&gt;"",UPPER(TRIM(INDEX(C_Pavement!$D$5:$D$204,$AQ959))),IF($AS959="","",INDEX(E_Rules!$C$5:$C$9,$AS959))))</f>
        <v/>
      </c>
      <c r="AU959" t="str">
        <f>IF($AQ959="","",IF(INDEX(C_Pavement!$E$5:$E$204,$AQ959)&lt;&gt;"",IF(INDEX(C_Pavement!$E$5:$E$204,$AQ959)="-","",INDEX(C_Pavement!$E$5:$E$204,$AQ959)),IF($AS959="","",INDEX(E_Rules!$D$5:$D$9,$AS959))))</f>
        <v/>
      </c>
      <c r="AV959" t="str">
        <f>IF($AQ959="","",IF(INDEX(C_Pavement!$F$5:$F$204,$AQ959)&lt;&gt;"",IF(INDEX(C_Pavement!$F$5:$F$204,$AQ959)="-","",INDEX(C_Pavement!$F$5:$F$204,$AQ959)),IF($AS959="","",INDEX(E_Rules!$E$5:$E$9,$AS959))))</f>
        <v/>
      </c>
      <c r="AW959" t="str">
        <f>IF($AQ959="","",IF(INDEX(C_Pavement!$G$5:$G$204,$AQ959)&lt;&gt;"",IF(INDEX(C_Pavement!$G$5:$G$204,$AQ959)="-","",INDEX(C_Pavement!$G$5:$G$204,$AQ959)),IF($AS959="","",INDEX(E_Rules!$F$5:$F$9,$AS959))))</f>
        <v/>
      </c>
      <c r="AX959" t="str">
        <f>IF($AQ959="","",IF(INDEX(C_Pavement!$H$5:$H$204,$AQ959)&lt;&gt;"",IF(INDEX(C_Pavement!$H$5:$H$204,$AQ959)="-","",INDEX(C_Pavement!$H$5:$H$204,$AQ959)),IF($AS959="","",INDEX(E_Rules!$G$5:$G$9,$AS959))))</f>
        <v/>
      </c>
      <c r="AY959" t="str">
        <f>IF($AQ959="","",IF(INDEX(C_Pavement!$I$5:$I$204,$AQ959)&lt;&gt;"",IF(INDEX(C_Pavement!$I$5:$I$204,$AQ959)="-","",INDEX(C_Pavement!$I$5:$I$204,$AQ959)),IF($AS959="","",INDEX(E_Rules!$H$5:$H$9,$AS959))))</f>
        <v/>
      </c>
    </row>
    <row r="960" spans="1:51" ht="15.75" customHeight="1" x14ac:dyDescent="0.3">
      <c r="A960" s="189">
        <v>955</v>
      </c>
      <c r="B960" s="180">
        <v>47700</v>
      </c>
      <c r="C960" s="180" t="s">
        <v>1266</v>
      </c>
      <c r="D960" s="181" t="str">
        <f>IFERROR(LOOKUP(2,1/((A_Corridor!$A$5:$A$204&lt;&gt;"")*(A_Corridor!$A$5:$A$204&lt;=$B960)*(A_Corridor!$B$5:$B$204&gt;$B960)*(A_Corridor!$C$5:$C$204&lt;&gt;"")),IF(UPPER(A_Corridor!$C$5:$C$204)="Y",1,"")),"")</f>
        <v/>
      </c>
      <c r="E960" s="181" t="str">
        <f>IFERROR(LOOKUP(2,1/((A_Corridor!$A$5:$A$204&lt;&gt;"")*(A_Corridor!$A$5:$A$204&lt;=$B960)*(A_Corridor!$B$5:$B$204&gt;$B960)*(A_Corridor!$D$5:$D$204&lt;&gt;"")),IF(A_Corridor!$D$5:$D$204="-","",UPPER(A_Corridor!$D$5:$D$204))),"")</f>
        <v/>
      </c>
      <c r="F960" s="181" t="str">
        <f>IFERROR(LOOKUP(2,1/((A_Corridor!$A$5:$A$204&lt;&gt;"")*(A_Corridor!$A$5:$A$204&lt;=$B960)*(A_Corridor!$B$5:$B$204&gt;$B960)*(A_Corridor!$E$5:$E$204&lt;&gt;"")),IF(A_Corridor!$E$5:$E$204="-","",1)),"")</f>
        <v/>
      </c>
      <c r="G960" s="182" t="str">
        <f>IFERROR(LOOKUP(2,1/((A_Corridor!$A$5:$A$204&lt;&gt;"")*(A_Corridor!$A$5:$A$204&lt;=$B960)*(A_Corridor!$B$5:$B$204&gt;$B960)*(A_Corridor!$E$5:$E$204&lt;&gt;"")),IF(A_Corridor!$E$5:$E$204="-","",A_Corridor!$E$5:$E$204)),"")</f>
        <v/>
      </c>
      <c r="H960" s="182" t="str">
        <f>IFERROR(LOOKUP(2,1/((D_Points!$A$5:$A$204&lt;&gt;"")*(D_Points!$A$5:$A$204&gt;=$B960)*(D_Points!$A$5:$A$204&lt;$B960+P_Interval)*(UPPER(TRIM(D_Points!$B$5:$B$204))="GULLY")*(D_Points!$H$5:$H$204&lt;&gt;"")),D_Points!$H$5:$H$204),"")</f>
        <v/>
      </c>
      <c r="I960" s="181" t="str">
        <f>IFERROR(LOOKUP(2,1/((A_Corridor!$A$5:$A$204&lt;&gt;"")*(A_Corridor!$A$5:$A$204&lt;=$B960)*(A_Corridor!$B$5:$B$204&gt;$B960)*(A_Corridor!$F$5:$F$204&lt;&gt;"")),IF(A_Corridor!$F$5:$F$204="-","",1)),"")</f>
        <v/>
      </c>
      <c r="J960" s="182" t="str">
        <f>IFERROR(LOOKUP(2,1/((A_Corridor!$A$5:$A$204&lt;&gt;"")*(A_Corridor!$A$5:$A$204&lt;=$B960)*(A_Corridor!$B$5:$B$204&gt;$B960)*(A_Corridor!$F$5:$F$204&lt;&gt;"")),IF(A_Corridor!$F$5:$F$204="-","",A_Corridor!$F$5:$F$204)),"")</f>
        <v/>
      </c>
      <c r="K960" s="182" t="str">
        <f>IFERROR(LOOKUP(2,1/((A_Corridor!$A$5:$A$204&lt;&gt;"")*(A_Corridor!$A$5:$A$204&lt;=$B960)*(A_Corridor!$B$5:$B$204&gt;$B960)*(A_Corridor!$G$5:$G$204&lt;&gt;"")),IF(A_Corridor!$G$5:$G$204="-","",A_Corridor!$G$5:$G$204)),"")</f>
        <v/>
      </c>
      <c r="L960" s="181" t="str">
        <f>IFERROR(LOOKUP(2,1/((A_Corridor!$A$5:$A$204&lt;&gt;"")*(A_Corridor!$A$5:$A$204&lt;=$B960)*(A_Corridor!$B$5:$B$204&gt;$B960)*(A_Corridor!$H$5:$H$204&lt;&gt;"")),IF(A_Corridor!$H$5:$H$204="-","",1)),"")</f>
        <v/>
      </c>
      <c r="M960" s="182" t="str">
        <f>IFERROR(LOOKUP(2,1/((A_Corridor!$A$5:$A$204&lt;&gt;"")*(A_Corridor!$A$5:$A$204&lt;=$B960)*(A_Corridor!$B$5:$B$204&gt;$B960)*(A_Corridor!$H$5:$H$204&lt;&gt;"")),IF(A_Corridor!$H$5:$H$204="-","",A_Corridor!$H$5:$H$204)),"")</f>
        <v/>
      </c>
      <c r="N960" s="182" t="str">
        <f>IFERROR(LOOKUP(2,1/((A_Corridor!$A$5:$A$204&lt;&gt;"")*(A_Corridor!$A$5:$A$204&lt;=$B960)*(A_Corridor!$B$5:$B$204&gt;$B960)*(A_Corridor!$I$5:$I$204&lt;&gt;"")),IF(A_Corridor!$I$5:$I$204="-","",A_Corridor!$I$5:$I$204)),"")</f>
        <v/>
      </c>
      <c r="O960" s="182" t="str">
        <f>IFERROR(LOOKUP(2,1/((D_Points!$A$5:$A$204&lt;&gt;"")*(D_Points!$A$5:$A$204&gt;=$B960)*(D_Points!$A$5:$A$204&lt;$B960+P_Interval)*(UPPER(TRIM(D_Points!$B$5:$B$204))="PITCHING")*(D_Points!$H$5:$H$204&lt;&gt;"")),D_Points!$H$5:$H$204),"")</f>
        <v/>
      </c>
      <c r="P960" s="181" t="str">
        <f>IFERROR(LOOKUP(2,1/((B_Drainage!$A$5:$A$204&lt;&gt;"")*(B_Drainage!$A$5:$A$204&lt;=$B960)*(B_Drainage!$B$5:$B$204&gt;$B960)*(B_Drainage!$C$5:$C$204&lt;&gt;"")),IF(B_Drainage!$C$5:$C$204="-","",UPPER(B_Drainage!$C$5:$C$204))),"")</f>
        <v/>
      </c>
      <c r="Q960" s="181" t="str">
        <f>IFERROR(LOOKUP(2,1/((B_Drainage!$A$5:$A$204&lt;&gt;"")*(B_Drainage!$A$5:$A$204&lt;=$B960)*(B_Drainage!$B$5:$B$204&gt;$B960)*(B_Drainage!$D$5:$D$204&lt;&gt;"")),IF(B_Drainage!$D$5:$D$204="-","",UPPER(B_Drainage!$D$5:$D$204))),"")</f>
        <v/>
      </c>
      <c r="R960" s="182" t="str">
        <f>IFERROR(LOOKUP(2,1/((D_Points!$A$5:$A$204&lt;&gt;"")*(D_Points!$A$5:$A$204&gt;=$B960)*(D_Points!$A$5:$A$204&lt;$B960+P_Interval)*(RIGHT(UPPER(TRIM(D_Points!$B$5:$B$204)),8)="_CULVERT")),IF(LEFT(UPPER(TRIM(D_Points!$B$5:$B$204)),2)="EX",1,IF(LEFT(UPPER(TRIM(D_Points!$B$5:$B$204)),2)="PR",2,3))),"")</f>
        <v/>
      </c>
      <c r="S960" s="182" t="str">
        <f>IFERROR(LOOKUP(2,1/((D_Points!$A$5:$A$204&lt;&gt;"")*(D_Points!$A$5:$A$204&gt;=$B960)*(D_Points!$A$5:$A$204&lt;$B960+P_Interval)*(RIGHT(UPPER(TRIM(D_Points!$B$5:$B$204)),7)="_BRIDGE")),IF(LEFT(UPPER(TRIM(D_Points!$B$5:$B$204)),2)="EX",1,IF(LEFT(UPPER(TRIM(D_Points!$B$5:$B$204)),2)="PR",2,2))),"")</f>
        <v/>
      </c>
      <c r="T960" s="181" t="str">
        <f>IFERROR(LOOKUP(2,1/((B_Drainage!$A$5:$A$204&lt;&gt;"")*(B_Drainage!$A$5:$A$204&lt;=$B960)*(B_Drainage!$B$5:$B$204&gt;$B960)*(B_Drainage!$E$5:$E$204&lt;&gt;"")),IF(B_Drainage!$E$5:$E$204="-","",1)),"")</f>
        <v/>
      </c>
      <c r="U960" s="181" t="str">
        <f>IFERROR(LOOKUP(2,1/((B_Drainage!$A$5:$A$204&lt;&gt;"")*(B_Drainage!$A$5:$A$204&lt;=$B960)*(B_Drainage!$B$5:$B$204&gt;$B960)*(B_Drainage!$E$5:$E$204&lt;&gt;"")),IF(B_Drainage!$E$5:$E$204="-","",B_Drainage!$E$5:$E$204)),"")</f>
        <v/>
      </c>
      <c r="V960" s="181" t="str">
        <f>IFERROR(LOOKUP(2,1/((B_Drainage!$A$5:$A$204&lt;&gt;"")*(B_Drainage!$A$5:$A$204&lt;=$B960)*(B_Drainage!$B$5:$B$204&gt;$B960)*(B_Drainage!$F$5:$F$204&lt;&gt;"")),IF(B_Drainage!$F$5:$F$204="-","",1)),"")</f>
        <v/>
      </c>
      <c r="W960" s="181" t="str">
        <f>IFERROR(LOOKUP(2,1/((B_Drainage!$A$5:$A$204&lt;&gt;"")*(B_Drainage!$A$5:$A$204&lt;=$B960)*(B_Drainage!$B$5:$B$204&gt;$B960)*(B_Drainage!$F$5:$F$204&lt;&gt;"")),IF(B_Drainage!$F$5:$F$204="-","",B_Drainage!$F$5:$F$204)),"")</f>
        <v/>
      </c>
      <c r="X960" s="181" t="str">
        <f>IFERROR(LOOKUP(2,1/((B_Drainage!$A$5:$A$204&lt;&gt;"")*(B_Drainage!$A$5:$A$204&lt;=$B960)*(B_Drainage!$B$5:$B$204&gt;$B960)*(B_Drainage!$G$5:$G$204&lt;&gt;"")),IF(UPPER(B_Drainage!$G$5:$G$204)="Y",1,"")),"")</f>
        <v/>
      </c>
      <c r="Y960" s="181" t="str">
        <f>IFERROR(LOOKUP(2,1/((B_Drainage!$A$5:$A$204&lt;&gt;"")*(B_Drainage!$A$5:$A$204&lt;=$B960)*(B_Drainage!$B$5:$B$204&gt;$B960)*(B_Drainage!$H$5:$H$204&lt;&gt;"")),IF(UPPER(B_Drainage!$H$5:$H$204)="Y",1,"")),"")</f>
        <v/>
      </c>
      <c r="Z960" s="181" t="str">
        <f>IFERROR(LOOKUP(2,1/((B_Drainage!$A$5:$A$204&lt;&gt;"")*(B_Drainage!$A$5:$A$204&lt;=$B960)*(B_Drainage!$B$5:$B$204&gt;$B960)*(B_Drainage!$I$5:$I$204&lt;&gt;"")),IF(UPPER(B_Drainage!$I$5:$I$204)="Y",1,"")),"")</f>
        <v/>
      </c>
      <c r="AA960" s="181" t="str">
        <f>IFERROR(LOOKUP(2,1/((B_Drainage!$A$5:$A$204&lt;&gt;"")*(B_Drainage!$A$5:$A$204&lt;=$B960)*(B_Drainage!$B$5:$B$204&gt;$B960)*(B_Drainage!$J$5:$J$204&lt;&gt;"")),IF(UPPER(B_Drainage!$J$5:$J$204)="Y",1,"")),"")</f>
        <v/>
      </c>
      <c r="AB960" s="182" t="str">
        <f>IFERROR(LOOKUP(2,1/((B_Drainage!$A$5:$A$204&lt;&gt;"")*(B_Drainage!$A$5:$A$204&lt;=$B960)*(B_Drainage!$B$5:$B$204&gt;$B960)*(B_Drainage!$K$5:$K$204&lt;&gt;"")),IF(B_Drainage!$K$5:$K$204="-","",B_Drainage!$K$5:$K$204)),"")</f>
        <v/>
      </c>
      <c r="AC960" s="182" t="str">
        <f>IFERROR(LOOKUP(2,1/((B_Drainage!$A$5:$A$204&lt;&gt;"")*(B_Drainage!$A$5:$A$204&lt;=$B960)*(B_Drainage!$B$5:$B$204&gt;$B960)*(B_Drainage!$L$5:$L$204&lt;&gt;"")),IF(B_Drainage!$L$5:$L$204="-","",B_Drainage!$L$5:$L$204)),"")</f>
        <v/>
      </c>
      <c r="AD960" s="182" t="str">
        <f>IFERROR(LOOKUP(2,1/((D_Points!$A$5:$A$204&lt;&gt;"")*(D_Points!$A$5:$A$204&gt;=$B960)*(D_Points!$A$5:$A$204&lt;$B960+P_Interval)*(UPPER(TRIM(D_Points!$B$5:$B$204))="TURNOUT_L")*(D_Points!$H$5:$H$204&lt;&gt;"")),D_Points!$H$5:$H$204),"")</f>
        <v/>
      </c>
      <c r="AE960" s="182" t="str">
        <f>IFERROR(LOOKUP(2,1/((D_Points!$A$5:$A$204&lt;&gt;"")*(D_Points!$A$5:$A$204&gt;=$B960)*(D_Points!$A$5:$A$204&lt;$B960+P_Interval)*(UPPER(TRIM(D_Points!$B$5:$B$204))="TURNOUT_R")*(D_Points!$H$5:$H$204&lt;&gt;"")),D_Points!$H$5:$H$204),"")</f>
        <v/>
      </c>
      <c r="AF960" s="181" t="str">
        <f>IFERROR(LOOKUP(2,1/((B_Drainage!$A$5:$A$204&lt;&gt;"")*(B_Drainage!$A$5:$A$204&lt;=$B960)*(B_Drainage!$B$5:$B$204&gt;$B960)*(B_Drainage!$M$5:$M$204&lt;&gt;"")),IF(UPPER(B_Drainage!$M$5:$M$204)="Y",1,"")),"")</f>
        <v/>
      </c>
      <c r="AG960" s="181" t="str">
        <f>IFERROR(LOOKUP(2,1/((B_Drainage!$A$5:$A$204&lt;&gt;"")*(B_Drainage!$A$5:$A$204&lt;=$B960)*(B_Drainage!$B$5:$B$204&gt;$B960)*(B_Drainage!$N$5:$N$204&lt;&gt;"")),IF(UPPER(B_Drainage!$N$5:$N$204)="Y",1,"")),"")</f>
        <v/>
      </c>
      <c r="AH960" s="181" t="str">
        <f t="shared" si="112"/>
        <v/>
      </c>
      <c r="AI960" s="181" t="str">
        <f t="shared" si="113"/>
        <v/>
      </c>
      <c r="AJ960" s="181" t="str">
        <f t="shared" si="114"/>
        <v/>
      </c>
      <c r="AK960" s="181" t="str">
        <f t="shared" si="115"/>
        <v/>
      </c>
      <c r="AL960" s="181" t="str">
        <f t="shared" si="116"/>
        <v/>
      </c>
      <c r="AM960" s="181" t="str">
        <f t="shared" si="117"/>
        <v/>
      </c>
      <c r="AN960" s="181" t="str">
        <f t="shared" si="118"/>
        <v/>
      </c>
      <c r="AO960" s="192" t="str">
        <f t="shared" si="119"/>
        <v/>
      </c>
      <c r="AQ960" t="str">
        <f>IFERROR(LOOKUP(2,1/((C_Pavement!$A$5:$A$204&lt;&gt;"")*(C_Pavement!$A$5:$A$204&lt;=$B960)*(C_Pavement!$B$5:$B$204&gt;$B960)*(C_Pavement!$C$5:$C$204&lt;&gt;"")),ROW(C_Pavement!$C$5:$C$204)-4),"")</f>
        <v/>
      </c>
      <c r="AR960" t="str">
        <f>IF($AQ960="","",UPPER(TRIM(INDEX(C_Pavement!$C$5:$C$204,$AQ960))))</f>
        <v/>
      </c>
      <c r="AS960" t="str">
        <f>IF($AR960="","",IFERROR(MATCH($AR960,E_Rules!$A$5:$A$9,0),""))</f>
        <v/>
      </c>
      <c r="AT960" t="str">
        <f>IF($AQ960="","",IF(INDEX(C_Pavement!$D$5:$D$204,$AQ960)&lt;&gt;"",UPPER(TRIM(INDEX(C_Pavement!$D$5:$D$204,$AQ960))),IF($AS960="","",INDEX(E_Rules!$C$5:$C$9,$AS960))))</f>
        <v/>
      </c>
      <c r="AU960" t="str">
        <f>IF($AQ960="","",IF(INDEX(C_Pavement!$E$5:$E$204,$AQ960)&lt;&gt;"",IF(INDEX(C_Pavement!$E$5:$E$204,$AQ960)="-","",INDEX(C_Pavement!$E$5:$E$204,$AQ960)),IF($AS960="","",INDEX(E_Rules!$D$5:$D$9,$AS960))))</f>
        <v/>
      </c>
      <c r="AV960" t="str">
        <f>IF($AQ960="","",IF(INDEX(C_Pavement!$F$5:$F$204,$AQ960)&lt;&gt;"",IF(INDEX(C_Pavement!$F$5:$F$204,$AQ960)="-","",INDEX(C_Pavement!$F$5:$F$204,$AQ960)),IF($AS960="","",INDEX(E_Rules!$E$5:$E$9,$AS960))))</f>
        <v/>
      </c>
      <c r="AW960" t="str">
        <f>IF($AQ960="","",IF(INDEX(C_Pavement!$G$5:$G$204,$AQ960)&lt;&gt;"",IF(INDEX(C_Pavement!$G$5:$G$204,$AQ960)="-","",INDEX(C_Pavement!$G$5:$G$204,$AQ960)),IF($AS960="","",INDEX(E_Rules!$F$5:$F$9,$AS960))))</f>
        <v/>
      </c>
      <c r="AX960" t="str">
        <f>IF($AQ960="","",IF(INDEX(C_Pavement!$H$5:$H$204,$AQ960)&lt;&gt;"",IF(INDEX(C_Pavement!$H$5:$H$204,$AQ960)="-","",INDEX(C_Pavement!$H$5:$H$204,$AQ960)),IF($AS960="","",INDEX(E_Rules!$G$5:$G$9,$AS960))))</f>
        <v/>
      </c>
      <c r="AY960" t="str">
        <f>IF($AQ960="","",IF(INDEX(C_Pavement!$I$5:$I$204,$AQ960)&lt;&gt;"",IF(INDEX(C_Pavement!$I$5:$I$204,$AQ960)="-","",INDEX(C_Pavement!$I$5:$I$204,$AQ960)),IF($AS960="","",INDEX(E_Rules!$H$5:$H$9,$AS960))))</f>
        <v/>
      </c>
    </row>
    <row r="961" spans="1:51" ht="15.75" customHeight="1" x14ac:dyDescent="0.3">
      <c r="A961" s="189">
        <v>956</v>
      </c>
      <c r="B961" s="180">
        <v>47750</v>
      </c>
      <c r="C961" s="180" t="s">
        <v>1267</v>
      </c>
      <c r="D961" s="181" t="str">
        <f>IFERROR(LOOKUP(2,1/((A_Corridor!$A$5:$A$204&lt;&gt;"")*(A_Corridor!$A$5:$A$204&lt;=$B961)*(A_Corridor!$B$5:$B$204&gt;$B961)*(A_Corridor!$C$5:$C$204&lt;&gt;"")),IF(UPPER(A_Corridor!$C$5:$C$204)="Y",1,"")),"")</f>
        <v/>
      </c>
      <c r="E961" s="181" t="str">
        <f>IFERROR(LOOKUP(2,1/((A_Corridor!$A$5:$A$204&lt;&gt;"")*(A_Corridor!$A$5:$A$204&lt;=$B961)*(A_Corridor!$B$5:$B$204&gt;$B961)*(A_Corridor!$D$5:$D$204&lt;&gt;"")),IF(A_Corridor!$D$5:$D$204="-","",UPPER(A_Corridor!$D$5:$D$204))),"")</f>
        <v/>
      </c>
      <c r="F961" s="181" t="str">
        <f>IFERROR(LOOKUP(2,1/((A_Corridor!$A$5:$A$204&lt;&gt;"")*(A_Corridor!$A$5:$A$204&lt;=$B961)*(A_Corridor!$B$5:$B$204&gt;$B961)*(A_Corridor!$E$5:$E$204&lt;&gt;"")),IF(A_Corridor!$E$5:$E$204="-","",1)),"")</f>
        <v/>
      </c>
      <c r="G961" s="182" t="str">
        <f>IFERROR(LOOKUP(2,1/((A_Corridor!$A$5:$A$204&lt;&gt;"")*(A_Corridor!$A$5:$A$204&lt;=$B961)*(A_Corridor!$B$5:$B$204&gt;$B961)*(A_Corridor!$E$5:$E$204&lt;&gt;"")),IF(A_Corridor!$E$5:$E$204="-","",A_Corridor!$E$5:$E$204)),"")</f>
        <v/>
      </c>
      <c r="H961" s="182" t="str">
        <f>IFERROR(LOOKUP(2,1/((D_Points!$A$5:$A$204&lt;&gt;"")*(D_Points!$A$5:$A$204&gt;=$B961)*(D_Points!$A$5:$A$204&lt;$B961+P_Interval)*(UPPER(TRIM(D_Points!$B$5:$B$204))="GULLY")*(D_Points!$H$5:$H$204&lt;&gt;"")),D_Points!$H$5:$H$204),"")</f>
        <v/>
      </c>
      <c r="I961" s="181" t="str">
        <f>IFERROR(LOOKUP(2,1/((A_Corridor!$A$5:$A$204&lt;&gt;"")*(A_Corridor!$A$5:$A$204&lt;=$B961)*(A_Corridor!$B$5:$B$204&gt;$B961)*(A_Corridor!$F$5:$F$204&lt;&gt;"")),IF(A_Corridor!$F$5:$F$204="-","",1)),"")</f>
        <v/>
      </c>
      <c r="J961" s="182" t="str">
        <f>IFERROR(LOOKUP(2,1/((A_Corridor!$A$5:$A$204&lt;&gt;"")*(A_Corridor!$A$5:$A$204&lt;=$B961)*(A_Corridor!$B$5:$B$204&gt;$B961)*(A_Corridor!$F$5:$F$204&lt;&gt;"")),IF(A_Corridor!$F$5:$F$204="-","",A_Corridor!$F$5:$F$204)),"")</f>
        <v/>
      </c>
      <c r="K961" s="182" t="str">
        <f>IFERROR(LOOKUP(2,1/((A_Corridor!$A$5:$A$204&lt;&gt;"")*(A_Corridor!$A$5:$A$204&lt;=$B961)*(A_Corridor!$B$5:$B$204&gt;$B961)*(A_Corridor!$G$5:$G$204&lt;&gt;"")),IF(A_Corridor!$G$5:$G$204="-","",A_Corridor!$G$5:$G$204)),"")</f>
        <v/>
      </c>
      <c r="L961" s="181" t="str">
        <f>IFERROR(LOOKUP(2,1/((A_Corridor!$A$5:$A$204&lt;&gt;"")*(A_Corridor!$A$5:$A$204&lt;=$B961)*(A_Corridor!$B$5:$B$204&gt;$B961)*(A_Corridor!$H$5:$H$204&lt;&gt;"")),IF(A_Corridor!$H$5:$H$204="-","",1)),"")</f>
        <v/>
      </c>
      <c r="M961" s="182" t="str">
        <f>IFERROR(LOOKUP(2,1/((A_Corridor!$A$5:$A$204&lt;&gt;"")*(A_Corridor!$A$5:$A$204&lt;=$B961)*(A_Corridor!$B$5:$B$204&gt;$B961)*(A_Corridor!$H$5:$H$204&lt;&gt;"")),IF(A_Corridor!$H$5:$H$204="-","",A_Corridor!$H$5:$H$204)),"")</f>
        <v/>
      </c>
      <c r="N961" s="182" t="str">
        <f>IFERROR(LOOKUP(2,1/((A_Corridor!$A$5:$A$204&lt;&gt;"")*(A_Corridor!$A$5:$A$204&lt;=$B961)*(A_Corridor!$B$5:$B$204&gt;$B961)*(A_Corridor!$I$5:$I$204&lt;&gt;"")),IF(A_Corridor!$I$5:$I$204="-","",A_Corridor!$I$5:$I$204)),"")</f>
        <v/>
      </c>
      <c r="O961" s="182" t="str">
        <f>IFERROR(LOOKUP(2,1/((D_Points!$A$5:$A$204&lt;&gt;"")*(D_Points!$A$5:$A$204&gt;=$B961)*(D_Points!$A$5:$A$204&lt;$B961+P_Interval)*(UPPER(TRIM(D_Points!$B$5:$B$204))="PITCHING")*(D_Points!$H$5:$H$204&lt;&gt;"")),D_Points!$H$5:$H$204),"")</f>
        <v/>
      </c>
      <c r="P961" s="181" t="str">
        <f>IFERROR(LOOKUP(2,1/((B_Drainage!$A$5:$A$204&lt;&gt;"")*(B_Drainage!$A$5:$A$204&lt;=$B961)*(B_Drainage!$B$5:$B$204&gt;$B961)*(B_Drainage!$C$5:$C$204&lt;&gt;"")),IF(B_Drainage!$C$5:$C$204="-","",UPPER(B_Drainage!$C$5:$C$204))),"")</f>
        <v/>
      </c>
      <c r="Q961" s="181" t="str">
        <f>IFERROR(LOOKUP(2,1/((B_Drainage!$A$5:$A$204&lt;&gt;"")*(B_Drainage!$A$5:$A$204&lt;=$B961)*(B_Drainage!$B$5:$B$204&gt;$B961)*(B_Drainage!$D$5:$D$204&lt;&gt;"")),IF(B_Drainage!$D$5:$D$204="-","",UPPER(B_Drainage!$D$5:$D$204))),"")</f>
        <v/>
      </c>
      <c r="R961" s="182" t="str">
        <f>IFERROR(LOOKUP(2,1/((D_Points!$A$5:$A$204&lt;&gt;"")*(D_Points!$A$5:$A$204&gt;=$B961)*(D_Points!$A$5:$A$204&lt;$B961+P_Interval)*(RIGHT(UPPER(TRIM(D_Points!$B$5:$B$204)),8)="_CULVERT")),IF(LEFT(UPPER(TRIM(D_Points!$B$5:$B$204)),2)="EX",1,IF(LEFT(UPPER(TRIM(D_Points!$B$5:$B$204)),2)="PR",2,3))),"")</f>
        <v/>
      </c>
      <c r="S961" s="182" t="str">
        <f>IFERROR(LOOKUP(2,1/((D_Points!$A$5:$A$204&lt;&gt;"")*(D_Points!$A$5:$A$204&gt;=$B961)*(D_Points!$A$5:$A$204&lt;$B961+P_Interval)*(RIGHT(UPPER(TRIM(D_Points!$B$5:$B$204)),7)="_BRIDGE")),IF(LEFT(UPPER(TRIM(D_Points!$B$5:$B$204)),2)="EX",1,IF(LEFT(UPPER(TRIM(D_Points!$B$5:$B$204)),2)="PR",2,2))),"")</f>
        <v/>
      </c>
      <c r="T961" s="181" t="str">
        <f>IFERROR(LOOKUP(2,1/((B_Drainage!$A$5:$A$204&lt;&gt;"")*(B_Drainage!$A$5:$A$204&lt;=$B961)*(B_Drainage!$B$5:$B$204&gt;$B961)*(B_Drainage!$E$5:$E$204&lt;&gt;"")),IF(B_Drainage!$E$5:$E$204="-","",1)),"")</f>
        <v/>
      </c>
      <c r="U961" s="181" t="str">
        <f>IFERROR(LOOKUP(2,1/((B_Drainage!$A$5:$A$204&lt;&gt;"")*(B_Drainage!$A$5:$A$204&lt;=$B961)*(B_Drainage!$B$5:$B$204&gt;$B961)*(B_Drainage!$E$5:$E$204&lt;&gt;"")),IF(B_Drainage!$E$5:$E$204="-","",B_Drainage!$E$5:$E$204)),"")</f>
        <v/>
      </c>
      <c r="V961" s="181" t="str">
        <f>IFERROR(LOOKUP(2,1/((B_Drainage!$A$5:$A$204&lt;&gt;"")*(B_Drainage!$A$5:$A$204&lt;=$B961)*(B_Drainage!$B$5:$B$204&gt;$B961)*(B_Drainage!$F$5:$F$204&lt;&gt;"")),IF(B_Drainage!$F$5:$F$204="-","",1)),"")</f>
        <v/>
      </c>
      <c r="W961" s="181" t="str">
        <f>IFERROR(LOOKUP(2,1/((B_Drainage!$A$5:$A$204&lt;&gt;"")*(B_Drainage!$A$5:$A$204&lt;=$B961)*(B_Drainage!$B$5:$B$204&gt;$B961)*(B_Drainage!$F$5:$F$204&lt;&gt;"")),IF(B_Drainage!$F$5:$F$204="-","",B_Drainage!$F$5:$F$204)),"")</f>
        <v/>
      </c>
      <c r="X961" s="181" t="str">
        <f>IFERROR(LOOKUP(2,1/((B_Drainage!$A$5:$A$204&lt;&gt;"")*(B_Drainage!$A$5:$A$204&lt;=$B961)*(B_Drainage!$B$5:$B$204&gt;$B961)*(B_Drainage!$G$5:$G$204&lt;&gt;"")),IF(UPPER(B_Drainage!$G$5:$G$204)="Y",1,"")),"")</f>
        <v/>
      </c>
      <c r="Y961" s="181" t="str">
        <f>IFERROR(LOOKUP(2,1/((B_Drainage!$A$5:$A$204&lt;&gt;"")*(B_Drainage!$A$5:$A$204&lt;=$B961)*(B_Drainage!$B$5:$B$204&gt;$B961)*(B_Drainage!$H$5:$H$204&lt;&gt;"")),IF(UPPER(B_Drainage!$H$5:$H$204)="Y",1,"")),"")</f>
        <v/>
      </c>
      <c r="Z961" s="181" t="str">
        <f>IFERROR(LOOKUP(2,1/((B_Drainage!$A$5:$A$204&lt;&gt;"")*(B_Drainage!$A$5:$A$204&lt;=$B961)*(B_Drainage!$B$5:$B$204&gt;$B961)*(B_Drainage!$I$5:$I$204&lt;&gt;"")),IF(UPPER(B_Drainage!$I$5:$I$204)="Y",1,"")),"")</f>
        <v/>
      </c>
      <c r="AA961" s="181" t="str">
        <f>IFERROR(LOOKUP(2,1/((B_Drainage!$A$5:$A$204&lt;&gt;"")*(B_Drainage!$A$5:$A$204&lt;=$B961)*(B_Drainage!$B$5:$B$204&gt;$B961)*(B_Drainage!$J$5:$J$204&lt;&gt;"")),IF(UPPER(B_Drainage!$J$5:$J$204)="Y",1,"")),"")</f>
        <v/>
      </c>
      <c r="AB961" s="182" t="str">
        <f>IFERROR(LOOKUP(2,1/((B_Drainage!$A$5:$A$204&lt;&gt;"")*(B_Drainage!$A$5:$A$204&lt;=$B961)*(B_Drainage!$B$5:$B$204&gt;$B961)*(B_Drainage!$K$5:$K$204&lt;&gt;"")),IF(B_Drainage!$K$5:$K$204="-","",B_Drainage!$K$5:$K$204)),"")</f>
        <v/>
      </c>
      <c r="AC961" s="182" t="str">
        <f>IFERROR(LOOKUP(2,1/((B_Drainage!$A$5:$A$204&lt;&gt;"")*(B_Drainage!$A$5:$A$204&lt;=$B961)*(B_Drainage!$B$5:$B$204&gt;$B961)*(B_Drainage!$L$5:$L$204&lt;&gt;"")),IF(B_Drainage!$L$5:$L$204="-","",B_Drainage!$L$5:$L$204)),"")</f>
        <v/>
      </c>
      <c r="AD961" s="182" t="str">
        <f>IFERROR(LOOKUP(2,1/((D_Points!$A$5:$A$204&lt;&gt;"")*(D_Points!$A$5:$A$204&gt;=$B961)*(D_Points!$A$5:$A$204&lt;$B961+P_Interval)*(UPPER(TRIM(D_Points!$B$5:$B$204))="TURNOUT_L")*(D_Points!$H$5:$H$204&lt;&gt;"")),D_Points!$H$5:$H$204),"")</f>
        <v/>
      </c>
      <c r="AE961" s="182" t="str">
        <f>IFERROR(LOOKUP(2,1/((D_Points!$A$5:$A$204&lt;&gt;"")*(D_Points!$A$5:$A$204&gt;=$B961)*(D_Points!$A$5:$A$204&lt;$B961+P_Interval)*(UPPER(TRIM(D_Points!$B$5:$B$204))="TURNOUT_R")*(D_Points!$H$5:$H$204&lt;&gt;"")),D_Points!$H$5:$H$204),"")</f>
        <v/>
      </c>
      <c r="AF961" s="181" t="str">
        <f>IFERROR(LOOKUP(2,1/((B_Drainage!$A$5:$A$204&lt;&gt;"")*(B_Drainage!$A$5:$A$204&lt;=$B961)*(B_Drainage!$B$5:$B$204&gt;$B961)*(B_Drainage!$M$5:$M$204&lt;&gt;"")),IF(UPPER(B_Drainage!$M$5:$M$204)="Y",1,"")),"")</f>
        <v/>
      </c>
      <c r="AG961" s="181" t="str">
        <f>IFERROR(LOOKUP(2,1/((B_Drainage!$A$5:$A$204&lt;&gt;"")*(B_Drainage!$A$5:$A$204&lt;=$B961)*(B_Drainage!$B$5:$B$204&gt;$B961)*(B_Drainage!$N$5:$N$204&lt;&gt;"")),IF(UPPER(B_Drainage!$N$5:$N$204)="Y",1,"")),"")</f>
        <v/>
      </c>
      <c r="AH961" s="181" t="str">
        <f t="shared" si="112"/>
        <v/>
      </c>
      <c r="AI961" s="181" t="str">
        <f t="shared" si="113"/>
        <v/>
      </c>
      <c r="AJ961" s="181" t="str">
        <f t="shared" si="114"/>
        <v/>
      </c>
      <c r="AK961" s="181" t="str">
        <f t="shared" si="115"/>
        <v/>
      </c>
      <c r="AL961" s="181" t="str">
        <f t="shared" si="116"/>
        <v/>
      </c>
      <c r="AM961" s="181" t="str">
        <f t="shared" si="117"/>
        <v/>
      </c>
      <c r="AN961" s="181" t="str">
        <f t="shared" si="118"/>
        <v/>
      </c>
      <c r="AO961" s="192" t="str">
        <f t="shared" si="119"/>
        <v/>
      </c>
      <c r="AQ961" t="str">
        <f>IFERROR(LOOKUP(2,1/((C_Pavement!$A$5:$A$204&lt;&gt;"")*(C_Pavement!$A$5:$A$204&lt;=$B961)*(C_Pavement!$B$5:$B$204&gt;$B961)*(C_Pavement!$C$5:$C$204&lt;&gt;"")),ROW(C_Pavement!$C$5:$C$204)-4),"")</f>
        <v/>
      </c>
      <c r="AR961" t="str">
        <f>IF($AQ961="","",UPPER(TRIM(INDEX(C_Pavement!$C$5:$C$204,$AQ961))))</f>
        <v/>
      </c>
      <c r="AS961" t="str">
        <f>IF($AR961="","",IFERROR(MATCH($AR961,E_Rules!$A$5:$A$9,0),""))</f>
        <v/>
      </c>
      <c r="AT961" t="str">
        <f>IF($AQ961="","",IF(INDEX(C_Pavement!$D$5:$D$204,$AQ961)&lt;&gt;"",UPPER(TRIM(INDEX(C_Pavement!$D$5:$D$204,$AQ961))),IF($AS961="","",INDEX(E_Rules!$C$5:$C$9,$AS961))))</f>
        <v/>
      </c>
      <c r="AU961" t="str">
        <f>IF($AQ961="","",IF(INDEX(C_Pavement!$E$5:$E$204,$AQ961)&lt;&gt;"",IF(INDEX(C_Pavement!$E$5:$E$204,$AQ961)="-","",INDEX(C_Pavement!$E$5:$E$204,$AQ961)),IF($AS961="","",INDEX(E_Rules!$D$5:$D$9,$AS961))))</f>
        <v/>
      </c>
      <c r="AV961" t="str">
        <f>IF($AQ961="","",IF(INDEX(C_Pavement!$F$5:$F$204,$AQ961)&lt;&gt;"",IF(INDEX(C_Pavement!$F$5:$F$204,$AQ961)="-","",INDEX(C_Pavement!$F$5:$F$204,$AQ961)),IF($AS961="","",INDEX(E_Rules!$E$5:$E$9,$AS961))))</f>
        <v/>
      </c>
      <c r="AW961" t="str">
        <f>IF($AQ961="","",IF(INDEX(C_Pavement!$G$5:$G$204,$AQ961)&lt;&gt;"",IF(INDEX(C_Pavement!$G$5:$G$204,$AQ961)="-","",INDEX(C_Pavement!$G$5:$G$204,$AQ961)),IF($AS961="","",INDEX(E_Rules!$F$5:$F$9,$AS961))))</f>
        <v/>
      </c>
      <c r="AX961" t="str">
        <f>IF($AQ961="","",IF(INDEX(C_Pavement!$H$5:$H$204,$AQ961)&lt;&gt;"",IF(INDEX(C_Pavement!$H$5:$H$204,$AQ961)="-","",INDEX(C_Pavement!$H$5:$H$204,$AQ961)),IF($AS961="","",INDEX(E_Rules!$G$5:$G$9,$AS961))))</f>
        <v/>
      </c>
      <c r="AY961" t="str">
        <f>IF($AQ961="","",IF(INDEX(C_Pavement!$I$5:$I$204,$AQ961)&lt;&gt;"",IF(INDEX(C_Pavement!$I$5:$I$204,$AQ961)="-","",INDEX(C_Pavement!$I$5:$I$204,$AQ961)),IF($AS961="","",INDEX(E_Rules!$H$5:$H$9,$AS961))))</f>
        <v/>
      </c>
    </row>
    <row r="962" spans="1:51" ht="15.75" customHeight="1" x14ac:dyDescent="0.3">
      <c r="A962" s="189">
        <v>957</v>
      </c>
      <c r="B962" s="180">
        <v>47800</v>
      </c>
      <c r="C962" s="180" t="s">
        <v>1268</v>
      </c>
      <c r="D962" s="181" t="str">
        <f>IFERROR(LOOKUP(2,1/((A_Corridor!$A$5:$A$204&lt;&gt;"")*(A_Corridor!$A$5:$A$204&lt;=$B962)*(A_Corridor!$B$5:$B$204&gt;$B962)*(A_Corridor!$C$5:$C$204&lt;&gt;"")),IF(UPPER(A_Corridor!$C$5:$C$204)="Y",1,"")),"")</f>
        <v/>
      </c>
      <c r="E962" s="181" t="str">
        <f>IFERROR(LOOKUP(2,1/((A_Corridor!$A$5:$A$204&lt;&gt;"")*(A_Corridor!$A$5:$A$204&lt;=$B962)*(A_Corridor!$B$5:$B$204&gt;$B962)*(A_Corridor!$D$5:$D$204&lt;&gt;"")),IF(A_Corridor!$D$5:$D$204="-","",UPPER(A_Corridor!$D$5:$D$204))),"")</f>
        <v/>
      </c>
      <c r="F962" s="181" t="str">
        <f>IFERROR(LOOKUP(2,1/((A_Corridor!$A$5:$A$204&lt;&gt;"")*(A_Corridor!$A$5:$A$204&lt;=$B962)*(A_Corridor!$B$5:$B$204&gt;$B962)*(A_Corridor!$E$5:$E$204&lt;&gt;"")),IF(A_Corridor!$E$5:$E$204="-","",1)),"")</f>
        <v/>
      </c>
      <c r="G962" s="182" t="str">
        <f>IFERROR(LOOKUP(2,1/((A_Corridor!$A$5:$A$204&lt;&gt;"")*(A_Corridor!$A$5:$A$204&lt;=$B962)*(A_Corridor!$B$5:$B$204&gt;$B962)*(A_Corridor!$E$5:$E$204&lt;&gt;"")),IF(A_Corridor!$E$5:$E$204="-","",A_Corridor!$E$5:$E$204)),"")</f>
        <v/>
      </c>
      <c r="H962" s="182" t="str">
        <f>IFERROR(LOOKUP(2,1/((D_Points!$A$5:$A$204&lt;&gt;"")*(D_Points!$A$5:$A$204&gt;=$B962)*(D_Points!$A$5:$A$204&lt;$B962+P_Interval)*(UPPER(TRIM(D_Points!$B$5:$B$204))="GULLY")*(D_Points!$H$5:$H$204&lt;&gt;"")),D_Points!$H$5:$H$204),"")</f>
        <v/>
      </c>
      <c r="I962" s="181" t="str">
        <f>IFERROR(LOOKUP(2,1/((A_Corridor!$A$5:$A$204&lt;&gt;"")*(A_Corridor!$A$5:$A$204&lt;=$B962)*(A_Corridor!$B$5:$B$204&gt;$B962)*(A_Corridor!$F$5:$F$204&lt;&gt;"")),IF(A_Corridor!$F$5:$F$204="-","",1)),"")</f>
        <v/>
      </c>
      <c r="J962" s="182" t="str">
        <f>IFERROR(LOOKUP(2,1/((A_Corridor!$A$5:$A$204&lt;&gt;"")*(A_Corridor!$A$5:$A$204&lt;=$B962)*(A_Corridor!$B$5:$B$204&gt;$B962)*(A_Corridor!$F$5:$F$204&lt;&gt;"")),IF(A_Corridor!$F$5:$F$204="-","",A_Corridor!$F$5:$F$204)),"")</f>
        <v/>
      </c>
      <c r="K962" s="182" t="str">
        <f>IFERROR(LOOKUP(2,1/((A_Corridor!$A$5:$A$204&lt;&gt;"")*(A_Corridor!$A$5:$A$204&lt;=$B962)*(A_Corridor!$B$5:$B$204&gt;$B962)*(A_Corridor!$G$5:$G$204&lt;&gt;"")),IF(A_Corridor!$G$5:$G$204="-","",A_Corridor!$G$5:$G$204)),"")</f>
        <v/>
      </c>
      <c r="L962" s="181" t="str">
        <f>IFERROR(LOOKUP(2,1/((A_Corridor!$A$5:$A$204&lt;&gt;"")*(A_Corridor!$A$5:$A$204&lt;=$B962)*(A_Corridor!$B$5:$B$204&gt;$B962)*(A_Corridor!$H$5:$H$204&lt;&gt;"")),IF(A_Corridor!$H$5:$H$204="-","",1)),"")</f>
        <v/>
      </c>
      <c r="M962" s="182" t="str">
        <f>IFERROR(LOOKUP(2,1/((A_Corridor!$A$5:$A$204&lt;&gt;"")*(A_Corridor!$A$5:$A$204&lt;=$B962)*(A_Corridor!$B$5:$B$204&gt;$B962)*(A_Corridor!$H$5:$H$204&lt;&gt;"")),IF(A_Corridor!$H$5:$H$204="-","",A_Corridor!$H$5:$H$204)),"")</f>
        <v/>
      </c>
      <c r="N962" s="182" t="str">
        <f>IFERROR(LOOKUP(2,1/((A_Corridor!$A$5:$A$204&lt;&gt;"")*(A_Corridor!$A$5:$A$204&lt;=$B962)*(A_Corridor!$B$5:$B$204&gt;$B962)*(A_Corridor!$I$5:$I$204&lt;&gt;"")),IF(A_Corridor!$I$5:$I$204="-","",A_Corridor!$I$5:$I$204)),"")</f>
        <v/>
      </c>
      <c r="O962" s="182" t="str">
        <f>IFERROR(LOOKUP(2,1/((D_Points!$A$5:$A$204&lt;&gt;"")*(D_Points!$A$5:$A$204&gt;=$B962)*(D_Points!$A$5:$A$204&lt;$B962+P_Interval)*(UPPER(TRIM(D_Points!$B$5:$B$204))="PITCHING")*(D_Points!$H$5:$H$204&lt;&gt;"")),D_Points!$H$5:$H$204),"")</f>
        <v/>
      </c>
      <c r="P962" s="181" t="str">
        <f>IFERROR(LOOKUP(2,1/((B_Drainage!$A$5:$A$204&lt;&gt;"")*(B_Drainage!$A$5:$A$204&lt;=$B962)*(B_Drainage!$B$5:$B$204&gt;$B962)*(B_Drainage!$C$5:$C$204&lt;&gt;"")),IF(B_Drainage!$C$5:$C$204="-","",UPPER(B_Drainage!$C$5:$C$204))),"")</f>
        <v/>
      </c>
      <c r="Q962" s="181" t="str">
        <f>IFERROR(LOOKUP(2,1/((B_Drainage!$A$5:$A$204&lt;&gt;"")*(B_Drainage!$A$5:$A$204&lt;=$B962)*(B_Drainage!$B$5:$B$204&gt;$B962)*(B_Drainage!$D$5:$D$204&lt;&gt;"")),IF(B_Drainage!$D$5:$D$204="-","",UPPER(B_Drainage!$D$5:$D$204))),"")</f>
        <v/>
      </c>
      <c r="R962" s="182" t="str">
        <f>IFERROR(LOOKUP(2,1/((D_Points!$A$5:$A$204&lt;&gt;"")*(D_Points!$A$5:$A$204&gt;=$B962)*(D_Points!$A$5:$A$204&lt;$B962+P_Interval)*(RIGHT(UPPER(TRIM(D_Points!$B$5:$B$204)),8)="_CULVERT")),IF(LEFT(UPPER(TRIM(D_Points!$B$5:$B$204)),2)="EX",1,IF(LEFT(UPPER(TRIM(D_Points!$B$5:$B$204)),2)="PR",2,3))),"")</f>
        <v/>
      </c>
      <c r="S962" s="182" t="str">
        <f>IFERROR(LOOKUP(2,1/((D_Points!$A$5:$A$204&lt;&gt;"")*(D_Points!$A$5:$A$204&gt;=$B962)*(D_Points!$A$5:$A$204&lt;$B962+P_Interval)*(RIGHT(UPPER(TRIM(D_Points!$B$5:$B$204)),7)="_BRIDGE")),IF(LEFT(UPPER(TRIM(D_Points!$B$5:$B$204)),2)="EX",1,IF(LEFT(UPPER(TRIM(D_Points!$B$5:$B$204)),2)="PR",2,2))),"")</f>
        <v/>
      </c>
      <c r="T962" s="181" t="str">
        <f>IFERROR(LOOKUP(2,1/((B_Drainage!$A$5:$A$204&lt;&gt;"")*(B_Drainage!$A$5:$A$204&lt;=$B962)*(B_Drainage!$B$5:$B$204&gt;$B962)*(B_Drainage!$E$5:$E$204&lt;&gt;"")),IF(B_Drainage!$E$5:$E$204="-","",1)),"")</f>
        <v/>
      </c>
      <c r="U962" s="181" t="str">
        <f>IFERROR(LOOKUP(2,1/((B_Drainage!$A$5:$A$204&lt;&gt;"")*(B_Drainage!$A$5:$A$204&lt;=$B962)*(B_Drainage!$B$5:$B$204&gt;$B962)*(B_Drainage!$E$5:$E$204&lt;&gt;"")),IF(B_Drainage!$E$5:$E$204="-","",B_Drainage!$E$5:$E$204)),"")</f>
        <v/>
      </c>
      <c r="V962" s="181" t="str">
        <f>IFERROR(LOOKUP(2,1/((B_Drainage!$A$5:$A$204&lt;&gt;"")*(B_Drainage!$A$5:$A$204&lt;=$B962)*(B_Drainage!$B$5:$B$204&gt;$B962)*(B_Drainage!$F$5:$F$204&lt;&gt;"")),IF(B_Drainage!$F$5:$F$204="-","",1)),"")</f>
        <v/>
      </c>
      <c r="W962" s="181" t="str">
        <f>IFERROR(LOOKUP(2,1/((B_Drainage!$A$5:$A$204&lt;&gt;"")*(B_Drainage!$A$5:$A$204&lt;=$B962)*(B_Drainage!$B$5:$B$204&gt;$B962)*(B_Drainage!$F$5:$F$204&lt;&gt;"")),IF(B_Drainage!$F$5:$F$204="-","",B_Drainage!$F$5:$F$204)),"")</f>
        <v/>
      </c>
      <c r="X962" s="181" t="str">
        <f>IFERROR(LOOKUP(2,1/((B_Drainage!$A$5:$A$204&lt;&gt;"")*(B_Drainage!$A$5:$A$204&lt;=$B962)*(B_Drainage!$B$5:$B$204&gt;$B962)*(B_Drainage!$G$5:$G$204&lt;&gt;"")),IF(UPPER(B_Drainage!$G$5:$G$204)="Y",1,"")),"")</f>
        <v/>
      </c>
      <c r="Y962" s="181" t="str">
        <f>IFERROR(LOOKUP(2,1/((B_Drainage!$A$5:$A$204&lt;&gt;"")*(B_Drainage!$A$5:$A$204&lt;=$B962)*(B_Drainage!$B$5:$B$204&gt;$B962)*(B_Drainage!$H$5:$H$204&lt;&gt;"")),IF(UPPER(B_Drainage!$H$5:$H$204)="Y",1,"")),"")</f>
        <v/>
      </c>
      <c r="Z962" s="181" t="str">
        <f>IFERROR(LOOKUP(2,1/((B_Drainage!$A$5:$A$204&lt;&gt;"")*(B_Drainage!$A$5:$A$204&lt;=$B962)*(B_Drainage!$B$5:$B$204&gt;$B962)*(B_Drainage!$I$5:$I$204&lt;&gt;"")),IF(UPPER(B_Drainage!$I$5:$I$204)="Y",1,"")),"")</f>
        <v/>
      </c>
      <c r="AA962" s="181" t="str">
        <f>IFERROR(LOOKUP(2,1/((B_Drainage!$A$5:$A$204&lt;&gt;"")*(B_Drainage!$A$5:$A$204&lt;=$B962)*(B_Drainage!$B$5:$B$204&gt;$B962)*(B_Drainage!$J$5:$J$204&lt;&gt;"")),IF(UPPER(B_Drainage!$J$5:$J$204)="Y",1,"")),"")</f>
        <v/>
      </c>
      <c r="AB962" s="182" t="str">
        <f>IFERROR(LOOKUP(2,1/((B_Drainage!$A$5:$A$204&lt;&gt;"")*(B_Drainage!$A$5:$A$204&lt;=$B962)*(B_Drainage!$B$5:$B$204&gt;$B962)*(B_Drainage!$K$5:$K$204&lt;&gt;"")),IF(B_Drainage!$K$5:$K$204="-","",B_Drainage!$K$5:$K$204)),"")</f>
        <v/>
      </c>
      <c r="AC962" s="182" t="str">
        <f>IFERROR(LOOKUP(2,1/((B_Drainage!$A$5:$A$204&lt;&gt;"")*(B_Drainage!$A$5:$A$204&lt;=$B962)*(B_Drainage!$B$5:$B$204&gt;$B962)*(B_Drainage!$L$5:$L$204&lt;&gt;"")),IF(B_Drainage!$L$5:$L$204="-","",B_Drainage!$L$5:$L$204)),"")</f>
        <v/>
      </c>
      <c r="AD962" s="182" t="str">
        <f>IFERROR(LOOKUP(2,1/((D_Points!$A$5:$A$204&lt;&gt;"")*(D_Points!$A$5:$A$204&gt;=$B962)*(D_Points!$A$5:$A$204&lt;$B962+P_Interval)*(UPPER(TRIM(D_Points!$B$5:$B$204))="TURNOUT_L")*(D_Points!$H$5:$H$204&lt;&gt;"")),D_Points!$H$5:$H$204),"")</f>
        <v/>
      </c>
      <c r="AE962" s="182" t="str">
        <f>IFERROR(LOOKUP(2,1/((D_Points!$A$5:$A$204&lt;&gt;"")*(D_Points!$A$5:$A$204&gt;=$B962)*(D_Points!$A$5:$A$204&lt;$B962+P_Interval)*(UPPER(TRIM(D_Points!$B$5:$B$204))="TURNOUT_R")*(D_Points!$H$5:$H$204&lt;&gt;"")),D_Points!$H$5:$H$204),"")</f>
        <v/>
      </c>
      <c r="AF962" s="181" t="str">
        <f>IFERROR(LOOKUP(2,1/((B_Drainage!$A$5:$A$204&lt;&gt;"")*(B_Drainage!$A$5:$A$204&lt;=$B962)*(B_Drainage!$B$5:$B$204&gt;$B962)*(B_Drainage!$M$5:$M$204&lt;&gt;"")),IF(UPPER(B_Drainage!$M$5:$M$204)="Y",1,"")),"")</f>
        <v/>
      </c>
      <c r="AG962" s="181" t="str">
        <f>IFERROR(LOOKUP(2,1/((B_Drainage!$A$5:$A$204&lt;&gt;"")*(B_Drainage!$A$5:$A$204&lt;=$B962)*(B_Drainage!$B$5:$B$204&gt;$B962)*(B_Drainage!$N$5:$N$204&lt;&gt;"")),IF(UPPER(B_Drainage!$N$5:$N$204)="Y",1,"")),"")</f>
        <v/>
      </c>
      <c r="AH962" s="181" t="str">
        <f t="shared" si="112"/>
        <v/>
      </c>
      <c r="AI962" s="181" t="str">
        <f t="shared" si="113"/>
        <v/>
      </c>
      <c r="AJ962" s="181" t="str">
        <f t="shared" si="114"/>
        <v/>
      </c>
      <c r="AK962" s="181" t="str">
        <f t="shared" si="115"/>
        <v/>
      </c>
      <c r="AL962" s="181" t="str">
        <f t="shared" si="116"/>
        <v/>
      </c>
      <c r="AM962" s="181" t="str">
        <f t="shared" si="117"/>
        <v/>
      </c>
      <c r="AN962" s="181" t="str">
        <f t="shared" si="118"/>
        <v/>
      </c>
      <c r="AO962" s="192" t="str">
        <f t="shared" si="119"/>
        <v/>
      </c>
      <c r="AQ962" t="str">
        <f>IFERROR(LOOKUP(2,1/((C_Pavement!$A$5:$A$204&lt;&gt;"")*(C_Pavement!$A$5:$A$204&lt;=$B962)*(C_Pavement!$B$5:$B$204&gt;$B962)*(C_Pavement!$C$5:$C$204&lt;&gt;"")),ROW(C_Pavement!$C$5:$C$204)-4),"")</f>
        <v/>
      </c>
      <c r="AR962" t="str">
        <f>IF($AQ962="","",UPPER(TRIM(INDEX(C_Pavement!$C$5:$C$204,$AQ962))))</f>
        <v/>
      </c>
      <c r="AS962" t="str">
        <f>IF($AR962="","",IFERROR(MATCH($AR962,E_Rules!$A$5:$A$9,0),""))</f>
        <v/>
      </c>
      <c r="AT962" t="str">
        <f>IF($AQ962="","",IF(INDEX(C_Pavement!$D$5:$D$204,$AQ962)&lt;&gt;"",UPPER(TRIM(INDEX(C_Pavement!$D$5:$D$204,$AQ962))),IF($AS962="","",INDEX(E_Rules!$C$5:$C$9,$AS962))))</f>
        <v/>
      </c>
      <c r="AU962" t="str">
        <f>IF($AQ962="","",IF(INDEX(C_Pavement!$E$5:$E$204,$AQ962)&lt;&gt;"",IF(INDEX(C_Pavement!$E$5:$E$204,$AQ962)="-","",INDEX(C_Pavement!$E$5:$E$204,$AQ962)),IF($AS962="","",INDEX(E_Rules!$D$5:$D$9,$AS962))))</f>
        <v/>
      </c>
      <c r="AV962" t="str">
        <f>IF($AQ962="","",IF(INDEX(C_Pavement!$F$5:$F$204,$AQ962)&lt;&gt;"",IF(INDEX(C_Pavement!$F$5:$F$204,$AQ962)="-","",INDEX(C_Pavement!$F$5:$F$204,$AQ962)),IF($AS962="","",INDEX(E_Rules!$E$5:$E$9,$AS962))))</f>
        <v/>
      </c>
      <c r="AW962" t="str">
        <f>IF($AQ962="","",IF(INDEX(C_Pavement!$G$5:$G$204,$AQ962)&lt;&gt;"",IF(INDEX(C_Pavement!$G$5:$G$204,$AQ962)="-","",INDEX(C_Pavement!$G$5:$G$204,$AQ962)),IF($AS962="","",INDEX(E_Rules!$F$5:$F$9,$AS962))))</f>
        <v/>
      </c>
      <c r="AX962" t="str">
        <f>IF($AQ962="","",IF(INDEX(C_Pavement!$H$5:$H$204,$AQ962)&lt;&gt;"",IF(INDEX(C_Pavement!$H$5:$H$204,$AQ962)="-","",INDEX(C_Pavement!$H$5:$H$204,$AQ962)),IF($AS962="","",INDEX(E_Rules!$G$5:$G$9,$AS962))))</f>
        <v/>
      </c>
      <c r="AY962" t="str">
        <f>IF($AQ962="","",IF(INDEX(C_Pavement!$I$5:$I$204,$AQ962)&lt;&gt;"",IF(INDEX(C_Pavement!$I$5:$I$204,$AQ962)="-","",INDEX(C_Pavement!$I$5:$I$204,$AQ962)),IF($AS962="","",INDEX(E_Rules!$H$5:$H$9,$AS962))))</f>
        <v/>
      </c>
    </row>
    <row r="963" spans="1:51" ht="15.75" customHeight="1" x14ac:dyDescent="0.3">
      <c r="A963" s="189">
        <v>958</v>
      </c>
      <c r="B963" s="180">
        <v>47850</v>
      </c>
      <c r="C963" s="180" t="s">
        <v>1269</v>
      </c>
      <c r="D963" s="181" t="str">
        <f>IFERROR(LOOKUP(2,1/((A_Corridor!$A$5:$A$204&lt;&gt;"")*(A_Corridor!$A$5:$A$204&lt;=$B963)*(A_Corridor!$B$5:$B$204&gt;$B963)*(A_Corridor!$C$5:$C$204&lt;&gt;"")),IF(UPPER(A_Corridor!$C$5:$C$204)="Y",1,"")),"")</f>
        <v/>
      </c>
      <c r="E963" s="181" t="str">
        <f>IFERROR(LOOKUP(2,1/((A_Corridor!$A$5:$A$204&lt;&gt;"")*(A_Corridor!$A$5:$A$204&lt;=$B963)*(A_Corridor!$B$5:$B$204&gt;$B963)*(A_Corridor!$D$5:$D$204&lt;&gt;"")),IF(A_Corridor!$D$5:$D$204="-","",UPPER(A_Corridor!$D$5:$D$204))),"")</f>
        <v/>
      </c>
      <c r="F963" s="181" t="str">
        <f>IFERROR(LOOKUP(2,1/((A_Corridor!$A$5:$A$204&lt;&gt;"")*(A_Corridor!$A$5:$A$204&lt;=$B963)*(A_Corridor!$B$5:$B$204&gt;$B963)*(A_Corridor!$E$5:$E$204&lt;&gt;"")),IF(A_Corridor!$E$5:$E$204="-","",1)),"")</f>
        <v/>
      </c>
      <c r="G963" s="182" t="str">
        <f>IFERROR(LOOKUP(2,1/((A_Corridor!$A$5:$A$204&lt;&gt;"")*(A_Corridor!$A$5:$A$204&lt;=$B963)*(A_Corridor!$B$5:$B$204&gt;$B963)*(A_Corridor!$E$5:$E$204&lt;&gt;"")),IF(A_Corridor!$E$5:$E$204="-","",A_Corridor!$E$5:$E$204)),"")</f>
        <v/>
      </c>
      <c r="H963" s="182" t="str">
        <f>IFERROR(LOOKUP(2,1/((D_Points!$A$5:$A$204&lt;&gt;"")*(D_Points!$A$5:$A$204&gt;=$B963)*(D_Points!$A$5:$A$204&lt;$B963+P_Interval)*(UPPER(TRIM(D_Points!$B$5:$B$204))="GULLY")*(D_Points!$H$5:$H$204&lt;&gt;"")),D_Points!$H$5:$H$204),"")</f>
        <v/>
      </c>
      <c r="I963" s="181" t="str">
        <f>IFERROR(LOOKUP(2,1/((A_Corridor!$A$5:$A$204&lt;&gt;"")*(A_Corridor!$A$5:$A$204&lt;=$B963)*(A_Corridor!$B$5:$B$204&gt;$B963)*(A_Corridor!$F$5:$F$204&lt;&gt;"")),IF(A_Corridor!$F$5:$F$204="-","",1)),"")</f>
        <v/>
      </c>
      <c r="J963" s="182" t="str">
        <f>IFERROR(LOOKUP(2,1/((A_Corridor!$A$5:$A$204&lt;&gt;"")*(A_Corridor!$A$5:$A$204&lt;=$B963)*(A_Corridor!$B$5:$B$204&gt;$B963)*(A_Corridor!$F$5:$F$204&lt;&gt;"")),IF(A_Corridor!$F$5:$F$204="-","",A_Corridor!$F$5:$F$204)),"")</f>
        <v/>
      </c>
      <c r="K963" s="182" t="str">
        <f>IFERROR(LOOKUP(2,1/((A_Corridor!$A$5:$A$204&lt;&gt;"")*(A_Corridor!$A$5:$A$204&lt;=$B963)*(A_Corridor!$B$5:$B$204&gt;$B963)*(A_Corridor!$G$5:$G$204&lt;&gt;"")),IF(A_Corridor!$G$5:$G$204="-","",A_Corridor!$G$5:$G$204)),"")</f>
        <v/>
      </c>
      <c r="L963" s="181" t="str">
        <f>IFERROR(LOOKUP(2,1/((A_Corridor!$A$5:$A$204&lt;&gt;"")*(A_Corridor!$A$5:$A$204&lt;=$B963)*(A_Corridor!$B$5:$B$204&gt;$B963)*(A_Corridor!$H$5:$H$204&lt;&gt;"")),IF(A_Corridor!$H$5:$H$204="-","",1)),"")</f>
        <v/>
      </c>
      <c r="M963" s="182" t="str">
        <f>IFERROR(LOOKUP(2,1/((A_Corridor!$A$5:$A$204&lt;&gt;"")*(A_Corridor!$A$5:$A$204&lt;=$B963)*(A_Corridor!$B$5:$B$204&gt;$B963)*(A_Corridor!$H$5:$H$204&lt;&gt;"")),IF(A_Corridor!$H$5:$H$204="-","",A_Corridor!$H$5:$H$204)),"")</f>
        <v/>
      </c>
      <c r="N963" s="182" t="str">
        <f>IFERROR(LOOKUP(2,1/((A_Corridor!$A$5:$A$204&lt;&gt;"")*(A_Corridor!$A$5:$A$204&lt;=$B963)*(A_Corridor!$B$5:$B$204&gt;$B963)*(A_Corridor!$I$5:$I$204&lt;&gt;"")),IF(A_Corridor!$I$5:$I$204="-","",A_Corridor!$I$5:$I$204)),"")</f>
        <v/>
      </c>
      <c r="O963" s="182" t="str">
        <f>IFERROR(LOOKUP(2,1/((D_Points!$A$5:$A$204&lt;&gt;"")*(D_Points!$A$5:$A$204&gt;=$B963)*(D_Points!$A$5:$A$204&lt;$B963+P_Interval)*(UPPER(TRIM(D_Points!$B$5:$B$204))="PITCHING")*(D_Points!$H$5:$H$204&lt;&gt;"")),D_Points!$H$5:$H$204),"")</f>
        <v/>
      </c>
      <c r="P963" s="181" t="str">
        <f>IFERROR(LOOKUP(2,1/((B_Drainage!$A$5:$A$204&lt;&gt;"")*(B_Drainage!$A$5:$A$204&lt;=$B963)*(B_Drainage!$B$5:$B$204&gt;$B963)*(B_Drainage!$C$5:$C$204&lt;&gt;"")),IF(B_Drainage!$C$5:$C$204="-","",UPPER(B_Drainage!$C$5:$C$204))),"")</f>
        <v/>
      </c>
      <c r="Q963" s="181" t="str">
        <f>IFERROR(LOOKUP(2,1/((B_Drainage!$A$5:$A$204&lt;&gt;"")*(B_Drainage!$A$5:$A$204&lt;=$B963)*(B_Drainage!$B$5:$B$204&gt;$B963)*(B_Drainage!$D$5:$D$204&lt;&gt;"")),IF(B_Drainage!$D$5:$D$204="-","",UPPER(B_Drainage!$D$5:$D$204))),"")</f>
        <v/>
      </c>
      <c r="R963" s="182" t="str">
        <f>IFERROR(LOOKUP(2,1/((D_Points!$A$5:$A$204&lt;&gt;"")*(D_Points!$A$5:$A$204&gt;=$B963)*(D_Points!$A$5:$A$204&lt;$B963+P_Interval)*(RIGHT(UPPER(TRIM(D_Points!$B$5:$B$204)),8)="_CULVERT")),IF(LEFT(UPPER(TRIM(D_Points!$B$5:$B$204)),2)="EX",1,IF(LEFT(UPPER(TRIM(D_Points!$B$5:$B$204)),2)="PR",2,3))),"")</f>
        <v/>
      </c>
      <c r="S963" s="182" t="str">
        <f>IFERROR(LOOKUP(2,1/((D_Points!$A$5:$A$204&lt;&gt;"")*(D_Points!$A$5:$A$204&gt;=$B963)*(D_Points!$A$5:$A$204&lt;$B963+P_Interval)*(RIGHT(UPPER(TRIM(D_Points!$B$5:$B$204)),7)="_BRIDGE")),IF(LEFT(UPPER(TRIM(D_Points!$B$5:$B$204)),2)="EX",1,IF(LEFT(UPPER(TRIM(D_Points!$B$5:$B$204)),2)="PR",2,2))),"")</f>
        <v/>
      </c>
      <c r="T963" s="181" t="str">
        <f>IFERROR(LOOKUP(2,1/((B_Drainage!$A$5:$A$204&lt;&gt;"")*(B_Drainage!$A$5:$A$204&lt;=$B963)*(B_Drainage!$B$5:$B$204&gt;$B963)*(B_Drainage!$E$5:$E$204&lt;&gt;"")),IF(B_Drainage!$E$5:$E$204="-","",1)),"")</f>
        <v/>
      </c>
      <c r="U963" s="181" t="str">
        <f>IFERROR(LOOKUP(2,1/((B_Drainage!$A$5:$A$204&lt;&gt;"")*(B_Drainage!$A$5:$A$204&lt;=$B963)*(B_Drainage!$B$5:$B$204&gt;$B963)*(B_Drainage!$E$5:$E$204&lt;&gt;"")),IF(B_Drainage!$E$5:$E$204="-","",B_Drainage!$E$5:$E$204)),"")</f>
        <v/>
      </c>
      <c r="V963" s="181" t="str">
        <f>IFERROR(LOOKUP(2,1/((B_Drainage!$A$5:$A$204&lt;&gt;"")*(B_Drainage!$A$5:$A$204&lt;=$B963)*(B_Drainage!$B$5:$B$204&gt;$B963)*(B_Drainage!$F$5:$F$204&lt;&gt;"")),IF(B_Drainage!$F$5:$F$204="-","",1)),"")</f>
        <v/>
      </c>
      <c r="W963" s="181" t="str">
        <f>IFERROR(LOOKUP(2,1/((B_Drainage!$A$5:$A$204&lt;&gt;"")*(B_Drainage!$A$5:$A$204&lt;=$B963)*(B_Drainage!$B$5:$B$204&gt;$B963)*(B_Drainage!$F$5:$F$204&lt;&gt;"")),IF(B_Drainage!$F$5:$F$204="-","",B_Drainage!$F$5:$F$204)),"")</f>
        <v/>
      </c>
      <c r="X963" s="181" t="str">
        <f>IFERROR(LOOKUP(2,1/((B_Drainage!$A$5:$A$204&lt;&gt;"")*(B_Drainage!$A$5:$A$204&lt;=$B963)*(B_Drainage!$B$5:$B$204&gt;$B963)*(B_Drainage!$G$5:$G$204&lt;&gt;"")),IF(UPPER(B_Drainage!$G$5:$G$204)="Y",1,"")),"")</f>
        <v/>
      </c>
      <c r="Y963" s="181" t="str">
        <f>IFERROR(LOOKUP(2,1/((B_Drainage!$A$5:$A$204&lt;&gt;"")*(B_Drainage!$A$5:$A$204&lt;=$B963)*(B_Drainage!$B$5:$B$204&gt;$B963)*(B_Drainage!$H$5:$H$204&lt;&gt;"")),IF(UPPER(B_Drainage!$H$5:$H$204)="Y",1,"")),"")</f>
        <v/>
      </c>
      <c r="Z963" s="181" t="str">
        <f>IFERROR(LOOKUP(2,1/((B_Drainage!$A$5:$A$204&lt;&gt;"")*(B_Drainage!$A$5:$A$204&lt;=$B963)*(B_Drainage!$B$5:$B$204&gt;$B963)*(B_Drainage!$I$5:$I$204&lt;&gt;"")),IF(UPPER(B_Drainage!$I$5:$I$204)="Y",1,"")),"")</f>
        <v/>
      </c>
      <c r="AA963" s="181" t="str">
        <f>IFERROR(LOOKUP(2,1/((B_Drainage!$A$5:$A$204&lt;&gt;"")*(B_Drainage!$A$5:$A$204&lt;=$B963)*(B_Drainage!$B$5:$B$204&gt;$B963)*(B_Drainage!$J$5:$J$204&lt;&gt;"")),IF(UPPER(B_Drainage!$J$5:$J$204)="Y",1,"")),"")</f>
        <v/>
      </c>
      <c r="AB963" s="182" t="str">
        <f>IFERROR(LOOKUP(2,1/((B_Drainage!$A$5:$A$204&lt;&gt;"")*(B_Drainage!$A$5:$A$204&lt;=$B963)*(B_Drainage!$B$5:$B$204&gt;$B963)*(B_Drainage!$K$5:$K$204&lt;&gt;"")),IF(B_Drainage!$K$5:$K$204="-","",B_Drainage!$K$5:$K$204)),"")</f>
        <v/>
      </c>
      <c r="AC963" s="182" t="str">
        <f>IFERROR(LOOKUP(2,1/((B_Drainage!$A$5:$A$204&lt;&gt;"")*(B_Drainage!$A$5:$A$204&lt;=$B963)*(B_Drainage!$B$5:$B$204&gt;$B963)*(B_Drainage!$L$5:$L$204&lt;&gt;"")),IF(B_Drainage!$L$5:$L$204="-","",B_Drainage!$L$5:$L$204)),"")</f>
        <v/>
      </c>
      <c r="AD963" s="182" t="str">
        <f>IFERROR(LOOKUP(2,1/((D_Points!$A$5:$A$204&lt;&gt;"")*(D_Points!$A$5:$A$204&gt;=$B963)*(D_Points!$A$5:$A$204&lt;$B963+P_Interval)*(UPPER(TRIM(D_Points!$B$5:$B$204))="TURNOUT_L")*(D_Points!$H$5:$H$204&lt;&gt;"")),D_Points!$H$5:$H$204),"")</f>
        <v/>
      </c>
      <c r="AE963" s="182" t="str">
        <f>IFERROR(LOOKUP(2,1/((D_Points!$A$5:$A$204&lt;&gt;"")*(D_Points!$A$5:$A$204&gt;=$B963)*(D_Points!$A$5:$A$204&lt;$B963+P_Interval)*(UPPER(TRIM(D_Points!$B$5:$B$204))="TURNOUT_R")*(D_Points!$H$5:$H$204&lt;&gt;"")),D_Points!$H$5:$H$204),"")</f>
        <v/>
      </c>
      <c r="AF963" s="181" t="str">
        <f>IFERROR(LOOKUP(2,1/((B_Drainage!$A$5:$A$204&lt;&gt;"")*(B_Drainage!$A$5:$A$204&lt;=$B963)*(B_Drainage!$B$5:$B$204&gt;$B963)*(B_Drainage!$M$5:$M$204&lt;&gt;"")),IF(UPPER(B_Drainage!$M$5:$M$204)="Y",1,"")),"")</f>
        <v/>
      </c>
      <c r="AG963" s="181" t="str">
        <f>IFERROR(LOOKUP(2,1/((B_Drainage!$A$5:$A$204&lt;&gt;"")*(B_Drainage!$A$5:$A$204&lt;=$B963)*(B_Drainage!$B$5:$B$204&gt;$B963)*(B_Drainage!$N$5:$N$204&lt;&gt;"")),IF(UPPER(B_Drainage!$N$5:$N$204)="Y",1,"")),"")</f>
        <v/>
      </c>
      <c r="AH963" s="181" t="str">
        <f t="shared" si="112"/>
        <v/>
      </c>
      <c r="AI963" s="181" t="str">
        <f t="shared" si="113"/>
        <v/>
      </c>
      <c r="AJ963" s="181" t="str">
        <f t="shared" si="114"/>
        <v/>
      </c>
      <c r="AK963" s="181" t="str">
        <f t="shared" si="115"/>
        <v/>
      </c>
      <c r="AL963" s="181" t="str">
        <f t="shared" si="116"/>
        <v/>
      </c>
      <c r="AM963" s="181" t="str">
        <f t="shared" si="117"/>
        <v/>
      </c>
      <c r="AN963" s="181" t="str">
        <f t="shared" si="118"/>
        <v/>
      </c>
      <c r="AO963" s="192" t="str">
        <f t="shared" si="119"/>
        <v/>
      </c>
      <c r="AQ963" t="str">
        <f>IFERROR(LOOKUP(2,1/((C_Pavement!$A$5:$A$204&lt;&gt;"")*(C_Pavement!$A$5:$A$204&lt;=$B963)*(C_Pavement!$B$5:$B$204&gt;$B963)*(C_Pavement!$C$5:$C$204&lt;&gt;"")),ROW(C_Pavement!$C$5:$C$204)-4),"")</f>
        <v/>
      </c>
      <c r="AR963" t="str">
        <f>IF($AQ963="","",UPPER(TRIM(INDEX(C_Pavement!$C$5:$C$204,$AQ963))))</f>
        <v/>
      </c>
      <c r="AS963" t="str">
        <f>IF($AR963="","",IFERROR(MATCH($AR963,E_Rules!$A$5:$A$9,0),""))</f>
        <v/>
      </c>
      <c r="AT963" t="str">
        <f>IF($AQ963="","",IF(INDEX(C_Pavement!$D$5:$D$204,$AQ963)&lt;&gt;"",UPPER(TRIM(INDEX(C_Pavement!$D$5:$D$204,$AQ963))),IF($AS963="","",INDEX(E_Rules!$C$5:$C$9,$AS963))))</f>
        <v/>
      </c>
      <c r="AU963" t="str">
        <f>IF($AQ963="","",IF(INDEX(C_Pavement!$E$5:$E$204,$AQ963)&lt;&gt;"",IF(INDEX(C_Pavement!$E$5:$E$204,$AQ963)="-","",INDEX(C_Pavement!$E$5:$E$204,$AQ963)),IF($AS963="","",INDEX(E_Rules!$D$5:$D$9,$AS963))))</f>
        <v/>
      </c>
      <c r="AV963" t="str">
        <f>IF($AQ963="","",IF(INDEX(C_Pavement!$F$5:$F$204,$AQ963)&lt;&gt;"",IF(INDEX(C_Pavement!$F$5:$F$204,$AQ963)="-","",INDEX(C_Pavement!$F$5:$F$204,$AQ963)),IF($AS963="","",INDEX(E_Rules!$E$5:$E$9,$AS963))))</f>
        <v/>
      </c>
      <c r="AW963" t="str">
        <f>IF($AQ963="","",IF(INDEX(C_Pavement!$G$5:$G$204,$AQ963)&lt;&gt;"",IF(INDEX(C_Pavement!$G$5:$G$204,$AQ963)="-","",INDEX(C_Pavement!$G$5:$G$204,$AQ963)),IF($AS963="","",INDEX(E_Rules!$F$5:$F$9,$AS963))))</f>
        <v/>
      </c>
      <c r="AX963" t="str">
        <f>IF($AQ963="","",IF(INDEX(C_Pavement!$H$5:$H$204,$AQ963)&lt;&gt;"",IF(INDEX(C_Pavement!$H$5:$H$204,$AQ963)="-","",INDEX(C_Pavement!$H$5:$H$204,$AQ963)),IF($AS963="","",INDEX(E_Rules!$G$5:$G$9,$AS963))))</f>
        <v/>
      </c>
      <c r="AY963" t="str">
        <f>IF($AQ963="","",IF(INDEX(C_Pavement!$I$5:$I$204,$AQ963)&lt;&gt;"",IF(INDEX(C_Pavement!$I$5:$I$204,$AQ963)="-","",INDEX(C_Pavement!$I$5:$I$204,$AQ963)),IF($AS963="","",INDEX(E_Rules!$H$5:$H$9,$AS963))))</f>
        <v/>
      </c>
    </row>
    <row r="964" spans="1:51" ht="15.75" customHeight="1" x14ac:dyDescent="0.3">
      <c r="A964" s="189">
        <v>959</v>
      </c>
      <c r="B964" s="180">
        <v>47900</v>
      </c>
      <c r="C964" s="180" t="s">
        <v>1270</v>
      </c>
      <c r="D964" s="181" t="str">
        <f>IFERROR(LOOKUP(2,1/((A_Corridor!$A$5:$A$204&lt;&gt;"")*(A_Corridor!$A$5:$A$204&lt;=$B964)*(A_Corridor!$B$5:$B$204&gt;$B964)*(A_Corridor!$C$5:$C$204&lt;&gt;"")),IF(UPPER(A_Corridor!$C$5:$C$204)="Y",1,"")),"")</f>
        <v/>
      </c>
      <c r="E964" s="181" t="str">
        <f>IFERROR(LOOKUP(2,1/((A_Corridor!$A$5:$A$204&lt;&gt;"")*(A_Corridor!$A$5:$A$204&lt;=$B964)*(A_Corridor!$B$5:$B$204&gt;$B964)*(A_Corridor!$D$5:$D$204&lt;&gt;"")),IF(A_Corridor!$D$5:$D$204="-","",UPPER(A_Corridor!$D$5:$D$204))),"")</f>
        <v/>
      </c>
      <c r="F964" s="181" t="str">
        <f>IFERROR(LOOKUP(2,1/((A_Corridor!$A$5:$A$204&lt;&gt;"")*(A_Corridor!$A$5:$A$204&lt;=$B964)*(A_Corridor!$B$5:$B$204&gt;$B964)*(A_Corridor!$E$5:$E$204&lt;&gt;"")),IF(A_Corridor!$E$5:$E$204="-","",1)),"")</f>
        <v/>
      </c>
      <c r="G964" s="182" t="str">
        <f>IFERROR(LOOKUP(2,1/((A_Corridor!$A$5:$A$204&lt;&gt;"")*(A_Corridor!$A$5:$A$204&lt;=$B964)*(A_Corridor!$B$5:$B$204&gt;$B964)*(A_Corridor!$E$5:$E$204&lt;&gt;"")),IF(A_Corridor!$E$5:$E$204="-","",A_Corridor!$E$5:$E$204)),"")</f>
        <v/>
      </c>
      <c r="H964" s="182" t="str">
        <f>IFERROR(LOOKUP(2,1/((D_Points!$A$5:$A$204&lt;&gt;"")*(D_Points!$A$5:$A$204&gt;=$B964)*(D_Points!$A$5:$A$204&lt;$B964+P_Interval)*(UPPER(TRIM(D_Points!$B$5:$B$204))="GULLY")*(D_Points!$H$5:$H$204&lt;&gt;"")),D_Points!$H$5:$H$204),"")</f>
        <v/>
      </c>
      <c r="I964" s="181" t="str">
        <f>IFERROR(LOOKUP(2,1/((A_Corridor!$A$5:$A$204&lt;&gt;"")*(A_Corridor!$A$5:$A$204&lt;=$B964)*(A_Corridor!$B$5:$B$204&gt;$B964)*(A_Corridor!$F$5:$F$204&lt;&gt;"")),IF(A_Corridor!$F$5:$F$204="-","",1)),"")</f>
        <v/>
      </c>
      <c r="J964" s="182" t="str">
        <f>IFERROR(LOOKUP(2,1/((A_Corridor!$A$5:$A$204&lt;&gt;"")*(A_Corridor!$A$5:$A$204&lt;=$B964)*(A_Corridor!$B$5:$B$204&gt;$B964)*(A_Corridor!$F$5:$F$204&lt;&gt;"")),IF(A_Corridor!$F$5:$F$204="-","",A_Corridor!$F$5:$F$204)),"")</f>
        <v/>
      </c>
      <c r="K964" s="182" t="str">
        <f>IFERROR(LOOKUP(2,1/((A_Corridor!$A$5:$A$204&lt;&gt;"")*(A_Corridor!$A$5:$A$204&lt;=$B964)*(A_Corridor!$B$5:$B$204&gt;$B964)*(A_Corridor!$G$5:$G$204&lt;&gt;"")),IF(A_Corridor!$G$5:$G$204="-","",A_Corridor!$G$5:$G$204)),"")</f>
        <v/>
      </c>
      <c r="L964" s="181" t="str">
        <f>IFERROR(LOOKUP(2,1/((A_Corridor!$A$5:$A$204&lt;&gt;"")*(A_Corridor!$A$5:$A$204&lt;=$B964)*(A_Corridor!$B$5:$B$204&gt;$B964)*(A_Corridor!$H$5:$H$204&lt;&gt;"")),IF(A_Corridor!$H$5:$H$204="-","",1)),"")</f>
        <v/>
      </c>
      <c r="M964" s="182" t="str">
        <f>IFERROR(LOOKUP(2,1/((A_Corridor!$A$5:$A$204&lt;&gt;"")*(A_Corridor!$A$5:$A$204&lt;=$B964)*(A_Corridor!$B$5:$B$204&gt;$B964)*(A_Corridor!$H$5:$H$204&lt;&gt;"")),IF(A_Corridor!$H$5:$H$204="-","",A_Corridor!$H$5:$H$204)),"")</f>
        <v/>
      </c>
      <c r="N964" s="182" t="str">
        <f>IFERROR(LOOKUP(2,1/((A_Corridor!$A$5:$A$204&lt;&gt;"")*(A_Corridor!$A$5:$A$204&lt;=$B964)*(A_Corridor!$B$5:$B$204&gt;$B964)*(A_Corridor!$I$5:$I$204&lt;&gt;"")),IF(A_Corridor!$I$5:$I$204="-","",A_Corridor!$I$5:$I$204)),"")</f>
        <v/>
      </c>
      <c r="O964" s="182" t="str">
        <f>IFERROR(LOOKUP(2,1/((D_Points!$A$5:$A$204&lt;&gt;"")*(D_Points!$A$5:$A$204&gt;=$B964)*(D_Points!$A$5:$A$204&lt;$B964+P_Interval)*(UPPER(TRIM(D_Points!$B$5:$B$204))="PITCHING")*(D_Points!$H$5:$H$204&lt;&gt;"")),D_Points!$H$5:$H$204),"")</f>
        <v/>
      </c>
      <c r="P964" s="181" t="str">
        <f>IFERROR(LOOKUP(2,1/((B_Drainage!$A$5:$A$204&lt;&gt;"")*(B_Drainage!$A$5:$A$204&lt;=$B964)*(B_Drainage!$B$5:$B$204&gt;$B964)*(B_Drainage!$C$5:$C$204&lt;&gt;"")),IF(B_Drainage!$C$5:$C$204="-","",UPPER(B_Drainage!$C$5:$C$204))),"")</f>
        <v/>
      </c>
      <c r="Q964" s="181" t="str">
        <f>IFERROR(LOOKUP(2,1/((B_Drainage!$A$5:$A$204&lt;&gt;"")*(B_Drainage!$A$5:$A$204&lt;=$B964)*(B_Drainage!$B$5:$B$204&gt;$B964)*(B_Drainage!$D$5:$D$204&lt;&gt;"")),IF(B_Drainage!$D$5:$D$204="-","",UPPER(B_Drainage!$D$5:$D$204))),"")</f>
        <v/>
      </c>
      <c r="R964" s="182" t="str">
        <f>IFERROR(LOOKUP(2,1/((D_Points!$A$5:$A$204&lt;&gt;"")*(D_Points!$A$5:$A$204&gt;=$B964)*(D_Points!$A$5:$A$204&lt;$B964+P_Interval)*(RIGHT(UPPER(TRIM(D_Points!$B$5:$B$204)),8)="_CULVERT")),IF(LEFT(UPPER(TRIM(D_Points!$B$5:$B$204)),2)="EX",1,IF(LEFT(UPPER(TRIM(D_Points!$B$5:$B$204)),2)="PR",2,3))),"")</f>
        <v/>
      </c>
      <c r="S964" s="182" t="str">
        <f>IFERROR(LOOKUP(2,1/((D_Points!$A$5:$A$204&lt;&gt;"")*(D_Points!$A$5:$A$204&gt;=$B964)*(D_Points!$A$5:$A$204&lt;$B964+P_Interval)*(RIGHT(UPPER(TRIM(D_Points!$B$5:$B$204)),7)="_BRIDGE")),IF(LEFT(UPPER(TRIM(D_Points!$B$5:$B$204)),2)="EX",1,IF(LEFT(UPPER(TRIM(D_Points!$B$5:$B$204)),2)="PR",2,2))),"")</f>
        <v/>
      </c>
      <c r="T964" s="181" t="str">
        <f>IFERROR(LOOKUP(2,1/((B_Drainage!$A$5:$A$204&lt;&gt;"")*(B_Drainage!$A$5:$A$204&lt;=$B964)*(B_Drainage!$B$5:$B$204&gt;$B964)*(B_Drainage!$E$5:$E$204&lt;&gt;"")),IF(B_Drainage!$E$5:$E$204="-","",1)),"")</f>
        <v/>
      </c>
      <c r="U964" s="181" t="str">
        <f>IFERROR(LOOKUP(2,1/((B_Drainage!$A$5:$A$204&lt;&gt;"")*(B_Drainage!$A$5:$A$204&lt;=$B964)*(B_Drainage!$B$5:$B$204&gt;$B964)*(B_Drainage!$E$5:$E$204&lt;&gt;"")),IF(B_Drainage!$E$5:$E$204="-","",B_Drainage!$E$5:$E$204)),"")</f>
        <v/>
      </c>
      <c r="V964" s="181" t="str">
        <f>IFERROR(LOOKUP(2,1/((B_Drainage!$A$5:$A$204&lt;&gt;"")*(B_Drainage!$A$5:$A$204&lt;=$B964)*(B_Drainage!$B$5:$B$204&gt;$B964)*(B_Drainage!$F$5:$F$204&lt;&gt;"")),IF(B_Drainage!$F$5:$F$204="-","",1)),"")</f>
        <v/>
      </c>
      <c r="W964" s="181" t="str">
        <f>IFERROR(LOOKUP(2,1/((B_Drainage!$A$5:$A$204&lt;&gt;"")*(B_Drainage!$A$5:$A$204&lt;=$B964)*(B_Drainage!$B$5:$B$204&gt;$B964)*(B_Drainage!$F$5:$F$204&lt;&gt;"")),IF(B_Drainage!$F$5:$F$204="-","",B_Drainage!$F$5:$F$204)),"")</f>
        <v/>
      </c>
      <c r="X964" s="181" t="str">
        <f>IFERROR(LOOKUP(2,1/((B_Drainage!$A$5:$A$204&lt;&gt;"")*(B_Drainage!$A$5:$A$204&lt;=$B964)*(B_Drainage!$B$5:$B$204&gt;$B964)*(B_Drainage!$G$5:$G$204&lt;&gt;"")),IF(UPPER(B_Drainage!$G$5:$G$204)="Y",1,"")),"")</f>
        <v/>
      </c>
      <c r="Y964" s="181" t="str">
        <f>IFERROR(LOOKUP(2,1/((B_Drainage!$A$5:$A$204&lt;&gt;"")*(B_Drainage!$A$5:$A$204&lt;=$B964)*(B_Drainage!$B$5:$B$204&gt;$B964)*(B_Drainage!$H$5:$H$204&lt;&gt;"")),IF(UPPER(B_Drainage!$H$5:$H$204)="Y",1,"")),"")</f>
        <v/>
      </c>
      <c r="Z964" s="181" t="str">
        <f>IFERROR(LOOKUP(2,1/((B_Drainage!$A$5:$A$204&lt;&gt;"")*(B_Drainage!$A$5:$A$204&lt;=$B964)*(B_Drainage!$B$5:$B$204&gt;$B964)*(B_Drainage!$I$5:$I$204&lt;&gt;"")),IF(UPPER(B_Drainage!$I$5:$I$204)="Y",1,"")),"")</f>
        <v/>
      </c>
      <c r="AA964" s="181" t="str">
        <f>IFERROR(LOOKUP(2,1/((B_Drainage!$A$5:$A$204&lt;&gt;"")*(B_Drainage!$A$5:$A$204&lt;=$B964)*(B_Drainage!$B$5:$B$204&gt;$B964)*(B_Drainage!$J$5:$J$204&lt;&gt;"")),IF(UPPER(B_Drainage!$J$5:$J$204)="Y",1,"")),"")</f>
        <v/>
      </c>
      <c r="AB964" s="182" t="str">
        <f>IFERROR(LOOKUP(2,1/((B_Drainage!$A$5:$A$204&lt;&gt;"")*(B_Drainage!$A$5:$A$204&lt;=$B964)*(B_Drainage!$B$5:$B$204&gt;$B964)*(B_Drainage!$K$5:$K$204&lt;&gt;"")),IF(B_Drainage!$K$5:$K$204="-","",B_Drainage!$K$5:$K$204)),"")</f>
        <v/>
      </c>
      <c r="AC964" s="182" t="str">
        <f>IFERROR(LOOKUP(2,1/((B_Drainage!$A$5:$A$204&lt;&gt;"")*(B_Drainage!$A$5:$A$204&lt;=$B964)*(B_Drainage!$B$5:$B$204&gt;$B964)*(B_Drainage!$L$5:$L$204&lt;&gt;"")),IF(B_Drainage!$L$5:$L$204="-","",B_Drainage!$L$5:$L$204)),"")</f>
        <v/>
      </c>
      <c r="AD964" s="182" t="str">
        <f>IFERROR(LOOKUP(2,1/((D_Points!$A$5:$A$204&lt;&gt;"")*(D_Points!$A$5:$A$204&gt;=$B964)*(D_Points!$A$5:$A$204&lt;$B964+P_Interval)*(UPPER(TRIM(D_Points!$B$5:$B$204))="TURNOUT_L")*(D_Points!$H$5:$H$204&lt;&gt;"")),D_Points!$H$5:$H$204),"")</f>
        <v/>
      </c>
      <c r="AE964" s="182" t="str">
        <f>IFERROR(LOOKUP(2,1/((D_Points!$A$5:$A$204&lt;&gt;"")*(D_Points!$A$5:$A$204&gt;=$B964)*(D_Points!$A$5:$A$204&lt;$B964+P_Interval)*(UPPER(TRIM(D_Points!$B$5:$B$204))="TURNOUT_R")*(D_Points!$H$5:$H$204&lt;&gt;"")),D_Points!$H$5:$H$204),"")</f>
        <v/>
      </c>
      <c r="AF964" s="181" t="str">
        <f>IFERROR(LOOKUP(2,1/((B_Drainage!$A$5:$A$204&lt;&gt;"")*(B_Drainage!$A$5:$A$204&lt;=$B964)*(B_Drainage!$B$5:$B$204&gt;$B964)*(B_Drainage!$M$5:$M$204&lt;&gt;"")),IF(UPPER(B_Drainage!$M$5:$M$204)="Y",1,"")),"")</f>
        <v/>
      </c>
      <c r="AG964" s="181" t="str">
        <f>IFERROR(LOOKUP(2,1/((B_Drainage!$A$5:$A$204&lt;&gt;"")*(B_Drainage!$A$5:$A$204&lt;=$B964)*(B_Drainage!$B$5:$B$204&gt;$B964)*(B_Drainage!$N$5:$N$204&lt;&gt;"")),IF(UPPER(B_Drainage!$N$5:$N$204)="Y",1,"")),"")</f>
        <v/>
      </c>
      <c r="AH964" s="181" t="str">
        <f t="shared" si="112"/>
        <v/>
      </c>
      <c r="AI964" s="181" t="str">
        <f t="shared" si="113"/>
        <v/>
      </c>
      <c r="AJ964" s="181" t="str">
        <f t="shared" si="114"/>
        <v/>
      </c>
      <c r="AK964" s="181" t="str">
        <f t="shared" si="115"/>
        <v/>
      </c>
      <c r="AL964" s="181" t="str">
        <f t="shared" si="116"/>
        <v/>
      </c>
      <c r="AM964" s="181" t="str">
        <f t="shared" si="117"/>
        <v/>
      </c>
      <c r="AN964" s="181" t="str">
        <f t="shared" si="118"/>
        <v/>
      </c>
      <c r="AO964" s="192" t="str">
        <f t="shared" si="119"/>
        <v/>
      </c>
      <c r="AQ964" t="str">
        <f>IFERROR(LOOKUP(2,1/((C_Pavement!$A$5:$A$204&lt;&gt;"")*(C_Pavement!$A$5:$A$204&lt;=$B964)*(C_Pavement!$B$5:$B$204&gt;$B964)*(C_Pavement!$C$5:$C$204&lt;&gt;"")),ROW(C_Pavement!$C$5:$C$204)-4),"")</f>
        <v/>
      </c>
      <c r="AR964" t="str">
        <f>IF($AQ964="","",UPPER(TRIM(INDEX(C_Pavement!$C$5:$C$204,$AQ964))))</f>
        <v/>
      </c>
      <c r="AS964" t="str">
        <f>IF($AR964="","",IFERROR(MATCH($AR964,E_Rules!$A$5:$A$9,0),""))</f>
        <v/>
      </c>
      <c r="AT964" t="str">
        <f>IF($AQ964="","",IF(INDEX(C_Pavement!$D$5:$D$204,$AQ964)&lt;&gt;"",UPPER(TRIM(INDEX(C_Pavement!$D$5:$D$204,$AQ964))),IF($AS964="","",INDEX(E_Rules!$C$5:$C$9,$AS964))))</f>
        <v/>
      </c>
      <c r="AU964" t="str">
        <f>IF($AQ964="","",IF(INDEX(C_Pavement!$E$5:$E$204,$AQ964)&lt;&gt;"",IF(INDEX(C_Pavement!$E$5:$E$204,$AQ964)="-","",INDEX(C_Pavement!$E$5:$E$204,$AQ964)),IF($AS964="","",INDEX(E_Rules!$D$5:$D$9,$AS964))))</f>
        <v/>
      </c>
      <c r="AV964" t="str">
        <f>IF($AQ964="","",IF(INDEX(C_Pavement!$F$5:$F$204,$AQ964)&lt;&gt;"",IF(INDEX(C_Pavement!$F$5:$F$204,$AQ964)="-","",INDEX(C_Pavement!$F$5:$F$204,$AQ964)),IF($AS964="","",INDEX(E_Rules!$E$5:$E$9,$AS964))))</f>
        <v/>
      </c>
      <c r="AW964" t="str">
        <f>IF($AQ964="","",IF(INDEX(C_Pavement!$G$5:$G$204,$AQ964)&lt;&gt;"",IF(INDEX(C_Pavement!$G$5:$G$204,$AQ964)="-","",INDEX(C_Pavement!$G$5:$G$204,$AQ964)),IF($AS964="","",INDEX(E_Rules!$F$5:$F$9,$AS964))))</f>
        <v/>
      </c>
      <c r="AX964" t="str">
        <f>IF($AQ964="","",IF(INDEX(C_Pavement!$H$5:$H$204,$AQ964)&lt;&gt;"",IF(INDEX(C_Pavement!$H$5:$H$204,$AQ964)="-","",INDEX(C_Pavement!$H$5:$H$204,$AQ964)),IF($AS964="","",INDEX(E_Rules!$G$5:$G$9,$AS964))))</f>
        <v/>
      </c>
      <c r="AY964" t="str">
        <f>IF($AQ964="","",IF(INDEX(C_Pavement!$I$5:$I$204,$AQ964)&lt;&gt;"",IF(INDEX(C_Pavement!$I$5:$I$204,$AQ964)="-","",INDEX(C_Pavement!$I$5:$I$204,$AQ964)),IF($AS964="","",INDEX(E_Rules!$H$5:$H$9,$AS964))))</f>
        <v/>
      </c>
    </row>
    <row r="965" spans="1:51" ht="15.75" customHeight="1" x14ac:dyDescent="0.3">
      <c r="A965" s="189">
        <v>960</v>
      </c>
      <c r="B965" s="180">
        <v>47950</v>
      </c>
      <c r="C965" s="180" t="s">
        <v>1271</v>
      </c>
      <c r="D965" s="181" t="str">
        <f>IFERROR(LOOKUP(2,1/((A_Corridor!$A$5:$A$204&lt;&gt;"")*(A_Corridor!$A$5:$A$204&lt;=$B965)*(A_Corridor!$B$5:$B$204&gt;$B965)*(A_Corridor!$C$5:$C$204&lt;&gt;"")),IF(UPPER(A_Corridor!$C$5:$C$204)="Y",1,"")),"")</f>
        <v/>
      </c>
      <c r="E965" s="181" t="str">
        <f>IFERROR(LOOKUP(2,1/((A_Corridor!$A$5:$A$204&lt;&gt;"")*(A_Corridor!$A$5:$A$204&lt;=$B965)*(A_Corridor!$B$5:$B$204&gt;$B965)*(A_Corridor!$D$5:$D$204&lt;&gt;"")),IF(A_Corridor!$D$5:$D$204="-","",UPPER(A_Corridor!$D$5:$D$204))),"")</f>
        <v/>
      </c>
      <c r="F965" s="181" t="str">
        <f>IFERROR(LOOKUP(2,1/((A_Corridor!$A$5:$A$204&lt;&gt;"")*(A_Corridor!$A$5:$A$204&lt;=$B965)*(A_Corridor!$B$5:$B$204&gt;$B965)*(A_Corridor!$E$5:$E$204&lt;&gt;"")),IF(A_Corridor!$E$5:$E$204="-","",1)),"")</f>
        <v/>
      </c>
      <c r="G965" s="182" t="str">
        <f>IFERROR(LOOKUP(2,1/((A_Corridor!$A$5:$A$204&lt;&gt;"")*(A_Corridor!$A$5:$A$204&lt;=$B965)*(A_Corridor!$B$5:$B$204&gt;$B965)*(A_Corridor!$E$5:$E$204&lt;&gt;"")),IF(A_Corridor!$E$5:$E$204="-","",A_Corridor!$E$5:$E$204)),"")</f>
        <v/>
      </c>
      <c r="H965" s="182" t="str">
        <f>IFERROR(LOOKUP(2,1/((D_Points!$A$5:$A$204&lt;&gt;"")*(D_Points!$A$5:$A$204&gt;=$B965)*(D_Points!$A$5:$A$204&lt;$B965+P_Interval)*(UPPER(TRIM(D_Points!$B$5:$B$204))="GULLY")*(D_Points!$H$5:$H$204&lt;&gt;"")),D_Points!$H$5:$H$204),"")</f>
        <v/>
      </c>
      <c r="I965" s="181" t="str">
        <f>IFERROR(LOOKUP(2,1/((A_Corridor!$A$5:$A$204&lt;&gt;"")*(A_Corridor!$A$5:$A$204&lt;=$B965)*(A_Corridor!$B$5:$B$204&gt;$B965)*(A_Corridor!$F$5:$F$204&lt;&gt;"")),IF(A_Corridor!$F$5:$F$204="-","",1)),"")</f>
        <v/>
      </c>
      <c r="J965" s="182" t="str">
        <f>IFERROR(LOOKUP(2,1/((A_Corridor!$A$5:$A$204&lt;&gt;"")*(A_Corridor!$A$5:$A$204&lt;=$B965)*(A_Corridor!$B$5:$B$204&gt;$B965)*(A_Corridor!$F$5:$F$204&lt;&gt;"")),IF(A_Corridor!$F$5:$F$204="-","",A_Corridor!$F$5:$F$204)),"")</f>
        <v/>
      </c>
      <c r="K965" s="182" t="str">
        <f>IFERROR(LOOKUP(2,1/((A_Corridor!$A$5:$A$204&lt;&gt;"")*(A_Corridor!$A$5:$A$204&lt;=$B965)*(A_Corridor!$B$5:$B$204&gt;$B965)*(A_Corridor!$G$5:$G$204&lt;&gt;"")),IF(A_Corridor!$G$5:$G$204="-","",A_Corridor!$G$5:$G$204)),"")</f>
        <v/>
      </c>
      <c r="L965" s="181" t="str">
        <f>IFERROR(LOOKUP(2,1/((A_Corridor!$A$5:$A$204&lt;&gt;"")*(A_Corridor!$A$5:$A$204&lt;=$B965)*(A_Corridor!$B$5:$B$204&gt;$B965)*(A_Corridor!$H$5:$H$204&lt;&gt;"")),IF(A_Corridor!$H$5:$H$204="-","",1)),"")</f>
        <v/>
      </c>
      <c r="M965" s="182" t="str">
        <f>IFERROR(LOOKUP(2,1/((A_Corridor!$A$5:$A$204&lt;&gt;"")*(A_Corridor!$A$5:$A$204&lt;=$B965)*(A_Corridor!$B$5:$B$204&gt;$B965)*(A_Corridor!$H$5:$H$204&lt;&gt;"")),IF(A_Corridor!$H$5:$H$204="-","",A_Corridor!$H$5:$H$204)),"")</f>
        <v/>
      </c>
      <c r="N965" s="182" t="str">
        <f>IFERROR(LOOKUP(2,1/((A_Corridor!$A$5:$A$204&lt;&gt;"")*(A_Corridor!$A$5:$A$204&lt;=$B965)*(A_Corridor!$B$5:$B$204&gt;$B965)*(A_Corridor!$I$5:$I$204&lt;&gt;"")),IF(A_Corridor!$I$5:$I$204="-","",A_Corridor!$I$5:$I$204)),"")</f>
        <v/>
      </c>
      <c r="O965" s="182" t="str">
        <f>IFERROR(LOOKUP(2,1/((D_Points!$A$5:$A$204&lt;&gt;"")*(D_Points!$A$5:$A$204&gt;=$B965)*(D_Points!$A$5:$A$204&lt;$B965+P_Interval)*(UPPER(TRIM(D_Points!$B$5:$B$204))="PITCHING")*(D_Points!$H$5:$H$204&lt;&gt;"")),D_Points!$H$5:$H$204),"")</f>
        <v/>
      </c>
      <c r="P965" s="181" t="str">
        <f>IFERROR(LOOKUP(2,1/((B_Drainage!$A$5:$A$204&lt;&gt;"")*(B_Drainage!$A$5:$A$204&lt;=$B965)*(B_Drainage!$B$5:$B$204&gt;$B965)*(B_Drainage!$C$5:$C$204&lt;&gt;"")),IF(B_Drainage!$C$5:$C$204="-","",UPPER(B_Drainage!$C$5:$C$204))),"")</f>
        <v/>
      </c>
      <c r="Q965" s="181" t="str">
        <f>IFERROR(LOOKUP(2,1/((B_Drainage!$A$5:$A$204&lt;&gt;"")*(B_Drainage!$A$5:$A$204&lt;=$B965)*(B_Drainage!$B$5:$B$204&gt;$B965)*(B_Drainage!$D$5:$D$204&lt;&gt;"")),IF(B_Drainage!$D$5:$D$204="-","",UPPER(B_Drainage!$D$5:$D$204))),"")</f>
        <v/>
      </c>
      <c r="R965" s="182" t="str">
        <f>IFERROR(LOOKUP(2,1/((D_Points!$A$5:$A$204&lt;&gt;"")*(D_Points!$A$5:$A$204&gt;=$B965)*(D_Points!$A$5:$A$204&lt;$B965+P_Interval)*(RIGHT(UPPER(TRIM(D_Points!$B$5:$B$204)),8)="_CULVERT")),IF(LEFT(UPPER(TRIM(D_Points!$B$5:$B$204)),2)="EX",1,IF(LEFT(UPPER(TRIM(D_Points!$B$5:$B$204)),2)="PR",2,3))),"")</f>
        <v/>
      </c>
      <c r="S965" s="182" t="str">
        <f>IFERROR(LOOKUP(2,1/((D_Points!$A$5:$A$204&lt;&gt;"")*(D_Points!$A$5:$A$204&gt;=$B965)*(D_Points!$A$5:$A$204&lt;$B965+P_Interval)*(RIGHT(UPPER(TRIM(D_Points!$B$5:$B$204)),7)="_BRIDGE")),IF(LEFT(UPPER(TRIM(D_Points!$B$5:$B$204)),2)="EX",1,IF(LEFT(UPPER(TRIM(D_Points!$B$5:$B$204)),2)="PR",2,2))),"")</f>
        <v/>
      </c>
      <c r="T965" s="181" t="str">
        <f>IFERROR(LOOKUP(2,1/((B_Drainage!$A$5:$A$204&lt;&gt;"")*(B_Drainage!$A$5:$A$204&lt;=$B965)*(B_Drainage!$B$5:$B$204&gt;$B965)*(B_Drainage!$E$5:$E$204&lt;&gt;"")),IF(B_Drainage!$E$5:$E$204="-","",1)),"")</f>
        <v/>
      </c>
      <c r="U965" s="181" t="str">
        <f>IFERROR(LOOKUP(2,1/((B_Drainage!$A$5:$A$204&lt;&gt;"")*(B_Drainage!$A$5:$A$204&lt;=$B965)*(B_Drainage!$B$5:$B$204&gt;$B965)*(B_Drainage!$E$5:$E$204&lt;&gt;"")),IF(B_Drainage!$E$5:$E$204="-","",B_Drainage!$E$5:$E$204)),"")</f>
        <v/>
      </c>
      <c r="V965" s="181" t="str">
        <f>IFERROR(LOOKUP(2,1/((B_Drainage!$A$5:$A$204&lt;&gt;"")*(B_Drainage!$A$5:$A$204&lt;=$B965)*(B_Drainage!$B$5:$B$204&gt;$B965)*(B_Drainage!$F$5:$F$204&lt;&gt;"")),IF(B_Drainage!$F$5:$F$204="-","",1)),"")</f>
        <v/>
      </c>
      <c r="W965" s="181" t="str">
        <f>IFERROR(LOOKUP(2,1/((B_Drainage!$A$5:$A$204&lt;&gt;"")*(B_Drainage!$A$5:$A$204&lt;=$B965)*(B_Drainage!$B$5:$B$204&gt;$B965)*(B_Drainage!$F$5:$F$204&lt;&gt;"")),IF(B_Drainage!$F$5:$F$204="-","",B_Drainage!$F$5:$F$204)),"")</f>
        <v/>
      </c>
      <c r="X965" s="181" t="str">
        <f>IFERROR(LOOKUP(2,1/((B_Drainage!$A$5:$A$204&lt;&gt;"")*(B_Drainage!$A$5:$A$204&lt;=$B965)*(B_Drainage!$B$5:$B$204&gt;$B965)*(B_Drainage!$G$5:$G$204&lt;&gt;"")),IF(UPPER(B_Drainage!$G$5:$G$204)="Y",1,"")),"")</f>
        <v/>
      </c>
      <c r="Y965" s="181" t="str">
        <f>IFERROR(LOOKUP(2,1/((B_Drainage!$A$5:$A$204&lt;&gt;"")*(B_Drainage!$A$5:$A$204&lt;=$B965)*(B_Drainage!$B$5:$B$204&gt;$B965)*(B_Drainage!$H$5:$H$204&lt;&gt;"")),IF(UPPER(B_Drainage!$H$5:$H$204)="Y",1,"")),"")</f>
        <v/>
      </c>
      <c r="Z965" s="181" t="str">
        <f>IFERROR(LOOKUP(2,1/((B_Drainage!$A$5:$A$204&lt;&gt;"")*(B_Drainage!$A$5:$A$204&lt;=$B965)*(B_Drainage!$B$5:$B$204&gt;$B965)*(B_Drainage!$I$5:$I$204&lt;&gt;"")),IF(UPPER(B_Drainage!$I$5:$I$204)="Y",1,"")),"")</f>
        <v/>
      </c>
      <c r="AA965" s="181" t="str">
        <f>IFERROR(LOOKUP(2,1/((B_Drainage!$A$5:$A$204&lt;&gt;"")*(B_Drainage!$A$5:$A$204&lt;=$B965)*(B_Drainage!$B$5:$B$204&gt;$B965)*(B_Drainage!$J$5:$J$204&lt;&gt;"")),IF(UPPER(B_Drainage!$J$5:$J$204)="Y",1,"")),"")</f>
        <v/>
      </c>
      <c r="AB965" s="182" t="str">
        <f>IFERROR(LOOKUP(2,1/((B_Drainage!$A$5:$A$204&lt;&gt;"")*(B_Drainage!$A$5:$A$204&lt;=$B965)*(B_Drainage!$B$5:$B$204&gt;$B965)*(B_Drainage!$K$5:$K$204&lt;&gt;"")),IF(B_Drainage!$K$5:$K$204="-","",B_Drainage!$K$5:$K$204)),"")</f>
        <v/>
      </c>
      <c r="AC965" s="182" t="str">
        <f>IFERROR(LOOKUP(2,1/((B_Drainage!$A$5:$A$204&lt;&gt;"")*(B_Drainage!$A$5:$A$204&lt;=$B965)*(B_Drainage!$B$5:$B$204&gt;$B965)*(B_Drainage!$L$5:$L$204&lt;&gt;"")),IF(B_Drainage!$L$5:$L$204="-","",B_Drainage!$L$5:$L$204)),"")</f>
        <v/>
      </c>
      <c r="AD965" s="182" t="str">
        <f>IFERROR(LOOKUP(2,1/((D_Points!$A$5:$A$204&lt;&gt;"")*(D_Points!$A$5:$A$204&gt;=$B965)*(D_Points!$A$5:$A$204&lt;$B965+P_Interval)*(UPPER(TRIM(D_Points!$B$5:$B$204))="TURNOUT_L")*(D_Points!$H$5:$H$204&lt;&gt;"")),D_Points!$H$5:$H$204),"")</f>
        <v/>
      </c>
      <c r="AE965" s="182" t="str">
        <f>IFERROR(LOOKUP(2,1/((D_Points!$A$5:$A$204&lt;&gt;"")*(D_Points!$A$5:$A$204&gt;=$B965)*(D_Points!$A$5:$A$204&lt;$B965+P_Interval)*(UPPER(TRIM(D_Points!$B$5:$B$204))="TURNOUT_R")*(D_Points!$H$5:$H$204&lt;&gt;"")),D_Points!$H$5:$H$204),"")</f>
        <v/>
      </c>
      <c r="AF965" s="181" t="str">
        <f>IFERROR(LOOKUP(2,1/((B_Drainage!$A$5:$A$204&lt;&gt;"")*(B_Drainage!$A$5:$A$204&lt;=$B965)*(B_Drainage!$B$5:$B$204&gt;$B965)*(B_Drainage!$M$5:$M$204&lt;&gt;"")),IF(UPPER(B_Drainage!$M$5:$M$204)="Y",1,"")),"")</f>
        <v/>
      </c>
      <c r="AG965" s="181" t="str">
        <f>IFERROR(LOOKUP(2,1/((B_Drainage!$A$5:$A$204&lt;&gt;"")*(B_Drainage!$A$5:$A$204&lt;=$B965)*(B_Drainage!$B$5:$B$204&gt;$B965)*(B_Drainage!$N$5:$N$204&lt;&gt;"")),IF(UPPER(B_Drainage!$N$5:$N$204)="Y",1,"")),"")</f>
        <v/>
      </c>
      <c r="AH965" s="181" t="str">
        <f t="shared" si="112"/>
        <v/>
      </c>
      <c r="AI965" s="181" t="str">
        <f t="shared" si="113"/>
        <v/>
      </c>
      <c r="AJ965" s="181" t="str">
        <f t="shared" si="114"/>
        <v/>
      </c>
      <c r="AK965" s="181" t="str">
        <f t="shared" si="115"/>
        <v/>
      </c>
      <c r="AL965" s="181" t="str">
        <f t="shared" si="116"/>
        <v/>
      </c>
      <c r="AM965" s="181" t="str">
        <f t="shared" si="117"/>
        <v/>
      </c>
      <c r="AN965" s="181" t="str">
        <f t="shared" si="118"/>
        <v/>
      </c>
      <c r="AO965" s="192" t="str">
        <f t="shared" si="119"/>
        <v/>
      </c>
      <c r="AQ965" t="str">
        <f>IFERROR(LOOKUP(2,1/((C_Pavement!$A$5:$A$204&lt;&gt;"")*(C_Pavement!$A$5:$A$204&lt;=$B965)*(C_Pavement!$B$5:$B$204&gt;$B965)*(C_Pavement!$C$5:$C$204&lt;&gt;"")),ROW(C_Pavement!$C$5:$C$204)-4),"")</f>
        <v/>
      </c>
      <c r="AR965" t="str">
        <f>IF($AQ965="","",UPPER(TRIM(INDEX(C_Pavement!$C$5:$C$204,$AQ965))))</f>
        <v/>
      </c>
      <c r="AS965" t="str">
        <f>IF($AR965="","",IFERROR(MATCH($AR965,E_Rules!$A$5:$A$9,0),""))</f>
        <v/>
      </c>
      <c r="AT965" t="str">
        <f>IF($AQ965="","",IF(INDEX(C_Pavement!$D$5:$D$204,$AQ965)&lt;&gt;"",UPPER(TRIM(INDEX(C_Pavement!$D$5:$D$204,$AQ965))),IF($AS965="","",INDEX(E_Rules!$C$5:$C$9,$AS965))))</f>
        <v/>
      </c>
      <c r="AU965" t="str">
        <f>IF($AQ965="","",IF(INDEX(C_Pavement!$E$5:$E$204,$AQ965)&lt;&gt;"",IF(INDEX(C_Pavement!$E$5:$E$204,$AQ965)="-","",INDEX(C_Pavement!$E$5:$E$204,$AQ965)),IF($AS965="","",INDEX(E_Rules!$D$5:$D$9,$AS965))))</f>
        <v/>
      </c>
      <c r="AV965" t="str">
        <f>IF($AQ965="","",IF(INDEX(C_Pavement!$F$5:$F$204,$AQ965)&lt;&gt;"",IF(INDEX(C_Pavement!$F$5:$F$204,$AQ965)="-","",INDEX(C_Pavement!$F$5:$F$204,$AQ965)),IF($AS965="","",INDEX(E_Rules!$E$5:$E$9,$AS965))))</f>
        <v/>
      </c>
      <c r="AW965" t="str">
        <f>IF($AQ965="","",IF(INDEX(C_Pavement!$G$5:$G$204,$AQ965)&lt;&gt;"",IF(INDEX(C_Pavement!$G$5:$G$204,$AQ965)="-","",INDEX(C_Pavement!$G$5:$G$204,$AQ965)),IF($AS965="","",INDEX(E_Rules!$F$5:$F$9,$AS965))))</f>
        <v/>
      </c>
      <c r="AX965" t="str">
        <f>IF($AQ965="","",IF(INDEX(C_Pavement!$H$5:$H$204,$AQ965)&lt;&gt;"",IF(INDEX(C_Pavement!$H$5:$H$204,$AQ965)="-","",INDEX(C_Pavement!$H$5:$H$204,$AQ965)),IF($AS965="","",INDEX(E_Rules!$G$5:$G$9,$AS965))))</f>
        <v/>
      </c>
      <c r="AY965" t="str">
        <f>IF($AQ965="","",IF(INDEX(C_Pavement!$I$5:$I$204,$AQ965)&lt;&gt;"",IF(INDEX(C_Pavement!$I$5:$I$204,$AQ965)="-","",INDEX(C_Pavement!$I$5:$I$204,$AQ965)),IF($AS965="","",INDEX(E_Rules!$H$5:$H$9,$AS965))))</f>
        <v/>
      </c>
    </row>
    <row r="966" spans="1:51" ht="15.75" customHeight="1" x14ac:dyDescent="0.3">
      <c r="A966" s="189">
        <v>961</v>
      </c>
      <c r="B966" s="180">
        <v>48000</v>
      </c>
      <c r="C966" s="180" t="s">
        <v>1272</v>
      </c>
      <c r="D966" s="181" t="str">
        <f>IFERROR(LOOKUP(2,1/((A_Corridor!$A$5:$A$204&lt;&gt;"")*(A_Corridor!$A$5:$A$204&lt;=$B966)*(A_Corridor!$B$5:$B$204&gt;$B966)*(A_Corridor!$C$5:$C$204&lt;&gt;"")),IF(UPPER(A_Corridor!$C$5:$C$204)="Y",1,"")),"")</f>
        <v/>
      </c>
      <c r="E966" s="181" t="str">
        <f>IFERROR(LOOKUP(2,1/((A_Corridor!$A$5:$A$204&lt;&gt;"")*(A_Corridor!$A$5:$A$204&lt;=$B966)*(A_Corridor!$B$5:$B$204&gt;$B966)*(A_Corridor!$D$5:$D$204&lt;&gt;"")),IF(A_Corridor!$D$5:$D$204="-","",UPPER(A_Corridor!$D$5:$D$204))),"")</f>
        <v/>
      </c>
      <c r="F966" s="181" t="str">
        <f>IFERROR(LOOKUP(2,1/((A_Corridor!$A$5:$A$204&lt;&gt;"")*(A_Corridor!$A$5:$A$204&lt;=$B966)*(A_Corridor!$B$5:$B$204&gt;$B966)*(A_Corridor!$E$5:$E$204&lt;&gt;"")),IF(A_Corridor!$E$5:$E$204="-","",1)),"")</f>
        <v/>
      </c>
      <c r="G966" s="182" t="str">
        <f>IFERROR(LOOKUP(2,1/((A_Corridor!$A$5:$A$204&lt;&gt;"")*(A_Corridor!$A$5:$A$204&lt;=$B966)*(A_Corridor!$B$5:$B$204&gt;$B966)*(A_Corridor!$E$5:$E$204&lt;&gt;"")),IF(A_Corridor!$E$5:$E$204="-","",A_Corridor!$E$5:$E$204)),"")</f>
        <v/>
      </c>
      <c r="H966" s="182" t="str">
        <f>IFERROR(LOOKUP(2,1/((D_Points!$A$5:$A$204&lt;&gt;"")*(D_Points!$A$5:$A$204&gt;=$B966)*(D_Points!$A$5:$A$204&lt;$B966+P_Interval)*(UPPER(TRIM(D_Points!$B$5:$B$204))="GULLY")*(D_Points!$H$5:$H$204&lt;&gt;"")),D_Points!$H$5:$H$204),"")</f>
        <v/>
      </c>
      <c r="I966" s="181" t="str">
        <f>IFERROR(LOOKUP(2,1/((A_Corridor!$A$5:$A$204&lt;&gt;"")*(A_Corridor!$A$5:$A$204&lt;=$B966)*(A_Corridor!$B$5:$B$204&gt;$B966)*(A_Corridor!$F$5:$F$204&lt;&gt;"")),IF(A_Corridor!$F$5:$F$204="-","",1)),"")</f>
        <v/>
      </c>
      <c r="J966" s="182" t="str">
        <f>IFERROR(LOOKUP(2,1/((A_Corridor!$A$5:$A$204&lt;&gt;"")*(A_Corridor!$A$5:$A$204&lt;=$B966)*(A_Corridor!$B$5:$B$204&gt;$B966)*(A_Corridor!$F$5:$F$204&lt;&gt;"")),IF(A_Corridor!$F$5:$F$204="-","",A_Corridor!$F$5:$F$204)),"")</f>
        <v/>
      </c>
      <c r="K966" s="182" t="str">
        <f>IFERROR(LOOKUP(2,1/((A_Corridor!$A$5:$A$204&lt;&gt;"")*(A_Corridor!$A$5:$A$204&lt;=$B966)*(A_Corridor!$B$5:$B$204&gt;$B966)*(A_Corridor!$G$5:$G$204&lt;&gt;"")),IF(A_Corridor!$G$5:$G$204="-","",A_Corridor!$G$5:$G$204)),"")</f>
        <v/>
      </c>
      <c r="L966" s="181" t="str">
        <f>IFERROR(LOOKUP(2,1/((A_Corridor!$A$5:$A$204&lt;&gt;"")*(A_Corridor!$A$5:$A$204&lt;=$B966)*(A_Corridor!$B$5:$B$204&gt;$B966)*(A_Corridor!$H$5:$H$204&lt;&gt;"")),IF(A_Corridor!$H$5:$H$204="-","",1)),"")</f>
        <v/>
      </c>
      <c r="M966" s="182" t="str">
        <f>IFERROR(LOOKUP(2,1/((A_Corridor!$A$5:$A$204&lt;&gt;"")*(A_Corridor!$A$5:$A$204&lt;=$B966)*(A_Corridor!$B$5:$B$204&gt;$B966)*(A_Corridor!$H$5:$H$204&lt;&gt;"")),IF(A_Corridor!$H$5:$H$204="-","",A_Corridor!$H$5:$H$204)),"")</f>
        <v/>
      </c>
      <c r="N966" s="182" t="str">
        <f>IFERROR(LOOKUP(2,1/((A_Corridor!$A$5:$A$204&lt;&gt;"")*(A_Corridor!$A$5:$A$204&lt;=$B966)*(A_Corridor!$B$5:$B$204&gt;$B966)*(A_Corridor!$I$5:$I$204&lt;&gt;"")),IF(A_Corridor!$I$5:$I$204="-","",A_Corridor!$I$5:$I$204)),"")</f>
        <v/>
      </c>
      <c r="O966" s="182" t="str">
        <f>IFERROR(LOOKUP(2,1/((D_Points!$A$5:$A$204&lt;&gt;"")*(D_Points!$A$5:$A$204&gt;=$B966)*(D_Points!$A$5:$A$204&lt;$B966+P_Interval)*(UPPER(TRIM(D_Points!$B$5:$B$204))="PITCHING")*(D_Points!$H$5:$H$204&lt;&gt;"")),D_Points!$H$5:$H$204),"")</f>
        <v/>
      </c>
      <c r="P966" s="181" t="str">
        <f>IFERROR(LOOKUP(2,1/((B_Drainage!$A$5:$A$204&lt;&gt;"")*(B_Drainage!$A$5:$A$204&lt;=$B966)*(B_Drainage!$B$5:$B$204&gt;$B966)*(B_Drainage!$C$5:$C$204&lt;&gt;"")),IF(B_Drainage!$C$5:$C$204="-","",UPPER(B_Drainage!$C$5:$C$204))),"")</f>
        <v/>
      </c>
      <c r="Q966" s="181" t="str">
        <f>IFERROR(LOOKUP(2,1/((B_Drainage!$A$5:$A$204&lt;&gt;"")*(B_Drainage!$A$5:$A$204&lt;=$B966)*(B_Drainage!$B$5:$B$204&gt;$B966)*(B_Drainage!$D$5:$D$204&lt;&gt;"")),IF(B_Drainage!$D$5:$D$204="-","",UPPER(B_Drainage!$D$5:$D$204))),"")</f>
        <v/>
      </c>
      <c r="R966" s="182" t="str">
        <f>IFERROR(LOOKUP(2,1/((D_Points!$A$5:$A$204&lt;&gt;"")*(D_Points!$A$5:$A$204&gt;=$B966)*(D_Points!$A$5:$A$204&lt;$B966+P_Interval)*(RIGHT(UPPER(TRIM(D_Points!$B$5:$B$204)),8)="_CULVERT")),IF(LEFT(UPPER(TRIM(D_Points!$B$5:$B$204)),2)="EX",1,IF(LEFT(UPPER(TRIM(D_Points!$B$5:$B$204)),2)="PR",2,3))),"")</f>
        <v/>
      </c>
      <c r="S966" s="182" t="str">
        <f>IFERROR(LOOKUP(2,1/((D_Points!$A$5:$A$204&lt;&gt;"")*(D_Points!$A$5:$A$204&gt;=$B966)*(D_Points!$A$5:$A$204&lt;$B966+P_Interval)*(RIGHT(UPPER(TRIM(D_Points!$B$5:$B$204)),7)="_BRIDGE")),IF(LEFT(UPPER(TRIM(D_Points!$B$5:$B$204)),2)="EX",1,IF(LEFT(UPPER(TRIM(D_Points!$B$5:$B$204)),2)="PR",2,2))),"")</f>
        <v/>
      </c>
      <c r="T966" s="181" t="str">
        <f>IFERROR(LOOKUP(2,1/((B_Drainage!$A$5:$A$204&lt;&gt;"")*(B_Drainage!$A$5:$A$204&lt;=$B966)*(B_Drainage!$B$5:$B$204&gt;$B966)*(B_Drainage!$E$5:$E$204&lt;&gt;"")),IF(B_Drainage!$E$5:$E$204="-","",1)),"")</f>
        <v/>
      </c>
      <c r="U966" s="181" t="str">
        <f>IFERROR(LOOKUP(2,1/((B_Drainage!$A$5:$A$204&lt;&gt;"")*(B_Drainage!$A$5:$A$204&lt;=$B966)*(B_Drainage!$B$5:$B$204&gt;$B966)*(B_Drainage!$E$5:$E$204&lt;&gt;"")),IF(B_Drainage!$E$5:$E$204="-","",B_Drainage!$E$5:$E$204)),"")</f>
        <v/>
      </c>
      <c r="V966" s="181" t="str">
        <f>IFERROR(LOOKUP(2,1/((B_Drainage!$A$5:$A$204&lt;&gt;"")*(B_Drainage!$A$5:$A$204&lt;=$B966)*(B_Drainage!$B$5:$B$204&gt;$B966)*(B_Drainage!$F$5:$F$204&lt;&gt;"")),IF(B_Drainage!$F$5:$F$204="-","",1)),"")</f>
        <v/>
      </c>
      <c r="W966" s="181" t="str">
        <f>IFERROR(LOOKUP(2,1/((B_Drainage!$A$5:$A$204&lt;&gt;"")*(B_Drainage!$A$5:$A$204&lt;=$B966)*(B_Drainage!$B$5:$B$204&gt;$B966)*(B_Drainage!$F$5:$F$204&lt;&gt;"")),IF(B_Drainage!$F$5:$F$204="-","",B_Drainage!$F$5:$F$204)),"")</f>
        <v/>
      </c>
      <c r="X966" s="181" t="str">
        <f>IFERROR(LOOKUP(2,1/((B_Drainage!$A$5:$A$204&lt;&gt;"")*(B_Drainage!$A$5:$A$204&lt;=$B966)*(B_Drainage!$B$5:$B$204&gt;$B966)*(B_Drainage!$G$5:$G$204&lt;&gt;"")),IF(UPPER(B_Drainage!$G$5:$G$204)="Y",1,"")),"")</f>
        <v/>
      </c>
      <c r="Y966" s="181" t="str">
        <f>IFERROR(LOOKUP(2,1/((B_Drainage!$A$5:$A$204&lt;&gt;"")*(B_Drainage!$A$5:$A$204&lt;=$B966)*(B_Drainage!$B$5:$B$204&gt;$B966)*(B_Drainage!$H$5:$H$204&lt;&gt;"")),IF(UPPER(B_Drainage!$H$5:$H$204)="Y",1,"")),"")</f>
        <v/>
      </c>
      <c r="Z966" s="181" t="str">
        <f>IFERROR(LOOKUP(2,1/((B_Drainage!$A$5:$A$204&lt;&gt;"")*(B_Drainage!$A$5:$A$204&lt;=$B966)*(B_Drainage!$B$5:$B$204&gt;$B966)*(B_Drainage!$I$5:$I$204&lt;&gt;"")),IF(UPPER(B_Drainage!$I$5:$I$204)="Y",1,"")),"")</f>
        <v/>
      </c>
      <c r="AA966" s="181" t="str">
        <f>IFERROR(LOOKUP(2,1/((B_Drainage!$A$5:$A$204&lt;&gt;"")*(B_Drainage!$A$5:$A$204&lt;=$B966)*(B_Drainage!$B$5:$B$204&gt;$B966)*(B_Drainage!$J$5:$J$204&lt;&gt;"")),IF(UPPER(B_Drainage!$J$5:$J$204)="Y",1,"")),"")</f>
        <v/>
      </c>
      <c r="AB966" s="182" t="str">
        <f>IFERROR(LOOKUP(2,1/((B_Drainage!$A$5:$A$204&lt;&gt;"")*(B_Drainage!$A$5:$A$204&lt;=$B966)*(B_Drainage!$B$5:$B$204&gt;$B966)*(B_Drainage!$K$5:$K$204&lt;&gt;"")),IF(B_Drainage!$K$5:$K$204="-","",B_Drainage!$K$5:$K$204)),"")</f>
        <v/>
      </c>
      <c r="AC966" s="182" t="str">
        <f>IFERROR(LOOKUP(2,1/((B_Drainage!$A$5:$A$204&lt;&gt;"")*(B_Drainage!$A$5:$A$204&lt;=$B966)*(B_Drainage!$B$5:$B$204&gt;$B966)*(B_Drainage!$L$5:$L$204&lt;&gt;"")),IF(B_Drainage!$L$5:$L$204="-","",B_Drainage!$L$5:$L$204)),"")</f>
        <v/>
      </c>
      <c r="AD966" s="182" t="str">
        <f>IFERROR(LOOKUP(2,1/((D_Points!$A$5:$A$204&lt;&gt;"")*(D_Points!$A$5:$A$204&gt;=$B966)*(D_Points!$A$5:$A$204&lt;$B966+P_Interval)*(UPPER(TRIM(D_Points!$B$5:$B$204))="TURNOUT_L")*(D_Points!$H$5:$H$204&lt;&gt;"")),D_Points!$H$5:$H$204),"")</f>
        <v/>
      </c>
      <c r="AE966" s="182" t="str">
        <f>IFERROR(LOOKUP(2,1/((D_Points!$A$5:$A$204&lt;&gt;"")*(D_Points!$A$5:$A$204&gt;=$B966)*(D_Points!$A$5:$A$204&lt;$B966+P_Interval)*(UPPER(TRIM(D_Points!$B$5:$B$204))="TURNOUT_R")*(D_Points!$H$5:$H$204&lt;&gt;"")),D_Points!$H$5:$H$204),"")</f>
        <v/>
      </c>
      <c r="AF966" s="181" t="str">
        <f>IFERROR(LOOKUP(2,1/((B_Drainage!$A$5:$A$204&lt;&gt;"")*(B_Drainage!$A$5:$A$204&lt;=$B966)*(B_Drainage!$B$5:$B$204&gt;$B966)*(B_Drainage!$M$5:$M$204&lt;&gt;"")),IF(UPPER(B_Drainage!$M$5:$M$204)="Y",1,"")),"")</f>
        <v/>
      </c>
      <c r="AG966" s="181" t="str">
        <f>IFERROR(LOOKUP(2,1/((B_Drainage!$A$5:$A$204&lt;&gt;"")*(B_Drainage!$A$5:$A$204&lt;=$B966)*(B_Drainage!$B$5:$B$204&gt;$B966)*(B_Drainage!$N$5:$N$204&lt;&gt;"")),IF(UPPER(B_Drainage!$N$5:$N$204)="Y",1,"")),"")</f>
        <v/>
      </c>
      <c r="AH966" s="181" t="str">
        <f t="shared" ref="AH966:AH1005" si="120">IF($AT966="BLADE",1,"")</f>
        <v/>
      </c>
      <c r="AI966" s="181" t="str">
        <f t="shared" ref="AI966:AI1005" si="121">IF($AT966="RESHAPE",1,"")</f>
        <v/>
      </c>
      <c r="AJ966" s="181" t="str">
        <f t="shared" ref="AJ966:AJ1005" si="122">IF($AT966="SCARIFY",1,"")</f>
        <v/>
      </c>
      <c r="AK966" s="181" t="str">
        <f t="shared" ref="AK966:AK1005" si="123">$AU966</f>
        <v/>
      </c>
      <c r="AL966" s="181" t="str">
        <f t="shared" ref="AL966:AL1005" si="124">$AV966</f>
        <v/>
      </c>
      <c r="AM966" s="181" t="str">
        <f t="shared" ref="AM966:AM1005" si="125">IF(OR(UPPER($AW966)="Y",$AW966=1),1,"")</f>
        <v/>
      </c>
      <c r="AN966" s="181" t="str">
        <f t="shared" ref="AN966:AN1005" si="126">IF(OR(UPPER($AX966)="Y",$AX966=1),1,"")</f>
        <v/>
      </c>
      <c r="AO966" s="192" t="str">
        <f t="shared" ref="AO966:AO1005" si="127">IF(OR(UPPER($AY966)="Y",$AY966=1),1,"")</f>
        <v/>
      </c>
      <c r="AQ966" t="str">
        <f>IFERROR(LOOKUP(2,1/((C_Pavement!$A$5:$A$204&lt;&gt;"")*(C_Pavement!$A$5:$A$204&lt;=$B966)*(C_Pavement!$B$5:$B$204&gt;$B966)*(C_Pavement!$C$5:$C$204&lt;&gt;"")),ROW(C_Pavement!$C$5:$C$204)-4),"")</f>
        <v/>
      </c>
      <c r="AR966" t="str">
        <f>IF($AQ966="","",UPPER(TRIM(INDEX(C_Pavement!$C$5:$C$204,$AQ966))))</f>
        <v/>
      </c>
      <c r="AS966" t="str">
        <f>IF($AR966="","",IFERROR(MATCH($AR966,E_Rules!$A$5:$A$9,0),""))</f>
        <v/>
      </c>
      <c r="AT966" t="str">
        <f>IF($AQ966="","",IF(INDEX(C_Pavement!$D$5:$D$204,$AQ966)&lt;&gt;"",UPPER(TRIM(INDEX(C_Pavement!$D$5:$D$204,$AQ966))),IF($AS966="","",INDEX(E_Rules!$C$5:$C$9,$AS966))))</f>
        <v/>
      </c>
      <c r="AU966" t="str">
        <f>IF($AQ966="","",IF(INDEX(C_Pavement!$E$5:$E$204,$AQ966)&lt;&gt;"",IF(INDEX(C_Pavement!$E$5:$E$204,$AQ966)="-","",INDEX(C_Pavement!$E$5:$E$204,$AQ966)),IF($AS966="","",INDEX(E_Rules!$D$5:$D$9,$AS966))))</f>
        <v/>
      </c>
      <c r="AV966" t="str">
        <f>IF($AQ966="","",IF(INDEX(C_Pavement!$F$5:$F$204,$AQ966)&lt;&gt;"",IF(INDEX(C_Pavement!$F$5:$F$204,$AQ966)="-","",INDEX(C_Pavement!$F$5:$F$204,$AQ966)),IF($AS966="","",INDEX(E_Rules!$E$5:$E$9,$AS966))))</f>
        <v/>
      </c>
      <c r="AW966" t="str">
        <f>IF($AQ966="","",IF(INDEX(C_Pavement!$G$5:$G$204,$AQ966)&lt;&gt;"",IF(INDEX(C_Pavement!$G$5:$G$204,$AQ966)="-","",INDEX(C_Pavement!$G$5:$G$204,$AQ966)),IF($AS966="","",INDEX(E_Rules!$F$5:$F$9,$AS966))))</f>
        <v/>
      </c>
      <c r="AX966" t="str">
        <f>IF($AQ966="","",IF(INDEX(C_Pavement!$H$5:$H$204,$AQ966)&lt;&gt;"",IF(INDEX(C_Pavement!$H$5:$H$204,$AQ966)="-","",INDEX(C_Pavement!$H$5:$H$204,$AQ966)),IF($AS966="","",INDEX(E_Rules!$G$5:$G$9,$AS966))))</f>
        <v/>
      </c>
      <c r="AY966" t="str">
        <f>IF($AQ966="","",IF(INDEX(C_Pavement!$I$5:$I$204,$AQ966)&lt;&gt;"",IF(INDEX(C_Pavement!$I$5:$I$204,$AQ966)="-","",INDEX(C_Pavement!$I$5:$I$204,$AQ966)),IF($AS966="","",INDEX(E_Rules!$H$5:$H$9,$AS966))))</f>
        <v/>
      </c>
    </row>
    <row r="967" spans="1:51" ht="15.75" customHeight="1" x14ac:dyDescent="0.3">
      <c r="A967" s="189">
        <v>962</v>
      </c>
      <c r="B967" s="180">
        <v>48050</v>
      </c>
      <c r="C967" s="180" t="s">
        <v>1273</v>
      </c>
      <c r="D967" s="181" t="str">
        <f>IFERROR(LOOKUP(2,1/((A_Corridor!$A$5:$A$204&lt;&gt;"")*(A_Corridor!$A$5:$A$204&lt;=$B967)*(A_Corridor!$B$5:$B$204&gt;$B967)*(A_Corridor!$C$5:$C$204&lt;&gt;"")),IF(UPPER(A_Corridor!$C$5:$C$204)="Y",1,"")),"")</f>
        <v/>
      </c>
      <c r="E967" s="181" t="str">
        <f>IFERROR(LOOKUP(2,1/((A_Corridor!$A$5:$A$204&lt;&gt;"")*(A_Corridor!$A$5:$A$204&lt;=$B967)*(A_Corridor!$B$5:$B$204&gt;$B967)*(A_Corridor!$D$5:$D$204&lt;&gt;"")),IF(A_Corridor!$D$5:$D$204="-","",UPPER(A_Corridor!$D$5:$D$204))),"")</f>
        <v/>
      </c>
      <c r="F967" s="181" t="str">
        <f>IFERROR(LOOKUP(2,1/((A_Corridor!$A$5:$A$204&lt;&gt;"")*(A_Corridor!$A$5:$A$204&lt;=$B967)*(A_Corridor!$B$5:$B$204&gt;$B967)*(A_Corridor!$E$5:$E$204&lt;&gt;"")),IF(A_Corridor!$E$5:$E$204="-","",1)),"")</f>
        <v/>
      </c>
      <c r="G967" s="182" t="str">
        <f>IFERROR(LOOKUP(2,1/((A_Corridor!$A$5:$A$204&lt;&gt;"")*(A_Corridor!$A$5:$A$204&lt;=$B967)*(A_Corridor!$B$5:$B$204&gt;$B967)*(A_Corridor!$E$5:$E$204&lt;&gt;"")),IF(A_Corridor!$E$5:$E$204="-","",A_Corridor!$E$5:$E$204)),"")</f>
        <v/>
      </c>
      <c r="H967" s="182" t="str">
        <f>IFERROR(LOOKUP(2,1/((D_Points!$A$5:$A$204&lt;&gt;"")*(D_Points!$A$5:$A$204&gt;=$B967)*(D_Points!$A$5:$A$204&lt;$B967+P_Interval)*(UPPER(TRIM(D_Points!$B$5:$B$204))="GULLY")*(D_Points!$H$5:$H$204&lt;&gt;"")),D_Points!$H$5:$H$204),"")</f>
        <v/>
      </c>
      <c r="I967" s="181" t="str">
        <f>IFERROR(LOOKUP(2,1/((A_Corridor!$A$5:$A$204&lt;&gt;"")*(A_Corridor!$A$5:$A$204&lt;=$B967)*(A_Corridor!$B$5:$B$204&gt;$B967)*(A_Corridor!$F$5:$F$204&lt;&gt;"")),IF(A_Corridor!$F$5:$F$204="-","",1)),"")</f>
        <v/>
      </c>
      <c r="J967" s="182" t="str">
        <f>IFERROR(LOOKUP(2,1/((A_Corridor!$A$5:$A$204&lt;&gt;"")*(A_Corridor!$A$5:$A$204&lt;=$B967)*(A_Corridor!$B$5:$B$204&gt;$B967)*(A_Corridor!$F$5:$F$204&lt;&gt;"")),IF(A_Corridor!$F$5:$F$204="-","",A_Corridor!$F$5:$F$204)),"")</f>
        <v/>
      </c>
      <c r="K967" s="182" t="str">
        <f>IFERROR(LOOKUP(2,1/((A_Corridor!$A$5:$A$204&lt;&gt;"")*(A_Corridor!$A$5:$A$204&lt;=$B967)*(A_Corridor!$B$5:$B$204&gt;$B967)*(A_Corridor!$G$5:$G$204&lt;&gt;"")),IF(A_Corridor!$G$5:$G$204="-","",A_Corridor!$G$5:$G$204)),"")</f>
        <v/>
      </c>
      <c r="L967" s="181" t="str">
        <f>IFERROR(LOOKUP(2,1/((A_Corridor!$A$5:$A$204&lt;&gt;"")*(A_Corridor!$A$5:$A$204&lt;=$B967)*(A_Corridor!$B$5:$B$204&gt;$B967)*(A_Corridor!$H$5:$H$204&lt;&gt;"")),IF(A_Corridor!$H$5:$H$204="-","",1)),"")</f>
        <v/>
      </c>
      <c r="M967" s="182" t="str">
        <f>IFERROR(LOOKUP(2,1/((A_Corridor!$A$5:$A$204&lt;&gt;"")*(A_Corridor!$A$5:$A$204&lt;=$B967)*(A_Corridor!$B$5:$B$204&gt;$B967)*(A_Corridor!$H$5:$H$204&lt;&gt;"")),IF(A_Corridor!$H$5:$H$204="-","",A_Corridor!$H$5:$H$204)),"")</f>
        <v/>
      </c>
      <c r="N967" s="182" t="str">
        <f>IFERROR(LOOKUP(2,1/((A_Corridor!$A$5:$A$204&lt;&gt;"")*(A_Corridor!$A$5:$A$204&lt;=$B967)*(A_Corridor!$B$5:$B$204&gt;$B967)*(A_Corridor!$I$5:$I$204&lt;&gt;"")),IF(A_Corridor!$I$5:$I$204="-","",A_Corridor!$I$5:$I$204)),"")</f>
        <v/>
      </c>
      <c r="O967" s="182" t="str">
        <f>IFERROR(LOOKUP(2,1/((D_Points!$A$5:$A$204&lt;&gt;"")*(D_Points!$A$5:$A$204&gt;=$B967)*(D_Points!$A$5:$A$204&lt;$B967+P_Interval)*(UPPER(TRIM(D_Points!$B$5:$B$204))="PITCHING")*(D_Points!$H$5:$H$204&lt;&gt;"")),D_Points!$H$5:$H$204),"")</f>
        <v/>
      </c>
      <c r="P967" s="181" t="str">
        <f>IFERROR(LOOKUP(2,1/((B_Drainage!$A$5:$A$204&lt;&gt;"")*(B_Drainage!$A$5:$A$204&lt;=$B967)*(B_Drainage!$B$5:$B$204&gt;$B967)*(B_Drainage!$C$5:$C$204&lt;&gt;"")),IF(B_Drainage!$C$5:$C$204="-","",UPPER(B_Drainage!$C$5:$C$204))),"")</f>
        <v/>
      </c>
      <c r="Q967" s="181" t="str">
        <f>IFERROR(LOOKUP(2,1/((B_Drainage!$A$5:$A$204&lt;&gt;"")*(B_Drainage!$A$5:$A$204&lt;=$B967)*(B_Drainage!$B$5:$B$204&gt;$B967)*(B_Drainage!$D$5:$D$204&lt;&gt;"")),IF(B_Drainage!$D$5:$D$204="-","",UPPER(B_Drainage!$D$5:$D$204))),"")</f>
        <v/>
      </c>
      <c r="R967" s="182" t="str">
        <f>IFERROR(LOOKUP(2,1/((D_Points!$A$5:$A$204&lt;&gt;"")*(D_Points!$A$5:$A$204&gt;=$B967)*(D_Points!$A$5:$A$204&lt;$B967+P_Interval)*(RIGHT(UPPER(TRIM(D_Points!$B$5:$B$204)),8)="_CULVERT")),IF(LEFT(UPPER(TRIM(D_Points!$B$5:$B$204)),2)="EX",1,IF(LEFT(UPPER(TRIM(D_Points!$B$5:$B$204)),2)="PR",2,3))),"")</f>
        <v/>
      </c>
      <c r="S967" s="182" t="str">
        <f>IFERROR(LOOKUP(2,1/((D_Points!$A$5:$A$204&lt;&gt;"")*(D_Points!$A$5:$A$204&gt;=$B967)*(D_Points!$A$5:$A$204&lt;$B967+P_Interval)*(RIGHT(UPPER(TRIM(D_Points!$B$5:$B$204)),7)="_BRIDGE")),IF(LEFT(UPPER(TRIM(D_Points!$B$5:$B$204)),2)="EX",1,IF(LEFT(UPPER(TRIM(D_Points!$B$5:$B$204)),2)="PR",2,2))),"")</f>
        <v/>
      </c>
      <c r="T967" s="181" t="str">
        <f>IFERROR(LOOKUP(2,1/((B_Drainage!$A$5:$A$204&lt;&gt;"")*(B_Drainage!$A$5:$A$204&lt;=$B967)*(B_Drainage!$B$5:$B$204&gt;$B967)*(B_Drainage!$E$5:$E$204&lt;&gt;"")),IF(B_Drainage!$E$5:$E$204="-","",1)),"")</f>
        <v/>
      </c>
      <c r="U967" s="181" t="str">
        <f>IFERROR(LOOKUP(2,1/((B_Drainage!$A$5:$A$204&lt;&gt;"")*(B_Drainage!$A$5:$A$204&lt;=$B967)*(B_Drainage!$B$5:$B$204&gt;$B967)*(B_Drainage!$E$5:$E$204&lt;&gt;"")),IF(B_Drainage!$E$5:$E$204="-","",B_Drainage!$E$5:$E$204)),"")</f>
        <v/>
      </c>
      <c r="V967" s="181" t="str">
        <f>IFERROR(LOOKUP(2,1/((B_Drainage!$A$5:$A$204&lt;&gt;"")*(B_Drainage!$A$5:$A$204&lt;=$B967)*(B_Drainage!$B$5:$B$204&gt;$B967)*(B_Drainage!$F$5:$F$204&lt;&gt;"")),IF(B_Drainage!$F$5:$F$204="-","",1)),"")</f>
        <v/>
      </c>
      <c r="W967" s="181" t="str">
        <f>IFERROR(LOOKUP(2,1/((B_Drainage!$A$5:$A$204&lt;&gt;"")*(B_Drainage!$A$5:$A$204&lt;=$B967)*(B_Drainage!$B$5:$B$204&gt;$B967)*(B_Drainage!$F$5:$F$204&lt;&gt;"")),IF(B_Drainage!$F$5:$F$204="-","",B_Drainage!$F$5:$F$204)),"")</f>
        <v/>
      </c>
      <c r="X967" s="181" t="str">
        <f>IFERROR(LOOKUP(2,1/((B_Drainage!$A$5:$A$204&lt;&gt;"")*(B_Drainage!$A$5:$A$204&lt;=$B967)*(B_Drainage!$B$5:$B$204&gt;$B967)*(B_Drainage!$G$5:$G$204&lt;&gt;"")),IF(UPPER(B_Drainage!$G$5:$G$204)="Y",1,"")),"")</f>
        <v/>
      </c>
      <c r="Y967" s="181" t="str">
        <f>IFERROR(LOOKUP(2,1/((B_Drainage!$A$5:$A$204&lt;&gt;"")*(B_Drainage!$A$5:$A$204&lt;=$B967)*(B_Drainage!$B$5:$B$204&gt;$B967)*(B_Drainage!$H$5:$H$204&lt;&gt;"")),IF(UPPER(B_Drainage!$H$5:$H$204)="Y",1,"")),"")</f>
        <v/>
      </c>
      <c r="Z967" s="181" t="str">
        <f>IFERROR(LOOKUP(2,1/((B_Drainage!$A$5:$A$204&lt;&gt;"")*(B_Drainage!$A$5:$A$204&lt;=$B967)*(B_Drainage!$B$5:$B$204&gt;$B967)*(B_Drainage!$I$5:$I$204&lt;&gt;"")),IF(UPPER(B_Drainage!$I$5:$I$204)="Y",1,"")),"")</f>
        <v/>
      </c>
      <c r="AA967" s="181" t="str">
        <f>IFERROR(LOOKUP(2,1/((B_Drainage!$A$5:$A$204&lt;&gt;"")*(B_Drainage!$A$5:$A$204&lt;=$B967)*(B_Drainage!$B$5:$B$204&gt;$B967)*(B_Drainage!$J$5:$J$204&lt;&gt;"")),IF(UPPER(B_Drainage!$J$5:$J$204)="Y",1,"")),"")</f>
        <v/>
      </c>
      <c r="AB967" s="182" t="str">
        <f>IFERROR(LOOKUP(2,1/((B_Drainage!$A$5:$A$204&lt;&gt;"")*(B_Drainage!$A$5:$A$204&lt;=$B967)*(B_Drainage!$B$5:$B$204&gt;$B967)*(B_Drainage!$K$5:$K$204&lt;&gt;"")),IF(B_Drainage!$K$5:$K$204="-","",B_Drainage!$K$5:$K$204)),"")</f>
        <v/>
      </c>
      <c r="AC967" s="182" t="str">
        <f>IFERROR(LOOKUP(2,1/((B_Drainage!$A$5:$A$204&lt;&gt;"")*(B_Drainage!$A$5:$A$204&lt;=$B967)*(B_Drainage!$B$5:$B$204&gt;$B967)*(B_Drainage!$L$5:$L$204&lt;&gt;"")),IF(B_Drainage!$L$5:$L$204="-","",B_Drainage!$L$5:$L$204)),"")</f>
        <v/>
      </c>
      <c r="AD967" s="182" t="str">
        <f>IFERROR(LOOKUP(2,1/((D_Points!$A$5:$A$204&lt;&gt;"")*(D_Points!$A$5:$A$204&gt;=$B967)*(D_Points!$A$5:$A$204&lt;$B967+P_Interval)*(UPPER(TRIM(D_Points!$B$5:$B$204))="TURNOUT_L")*(D_Points!$H$5:$H$204&lt;&gt;"")),D_Points!$H$5:$H$204),"")</f>
        <v/>
      </c>
      <c r="AE967" s="182" t="str">
        <f>IFERROR(LOOKUP(2,1/((D_Points!$A$5:$A$204&lt;&gt;"")*(D_Points!$A$5:$A$204&gt;=$B967)*(D_Points!$A$5:$A$204&lt;$B967+P_Interval)*(UPPER(TRIM(D_Points!$B$5:$B$204))="TURNOUT_R")*(D_Points!$H$5:$H$204&lt;&gt;"")),D_Points!$H$5:$H$204),"")</f>
        <v/>
      </c>
      <c r="AF967" s="181" t="str">
        <f>IFERROR(LOOKUP(2,1/((B_Drainage!$A$5:$A$204&lt;&gt;"")*(B_Drainage!$A$5:$A$204&lt;=$B967)*(B_Drainage!$B$5:$B$204&gt;$B967)*(B_Drainage!$M$5:$M$204&lt;&gt;"")),IF(UPPER(B_Drainage!$M$5:$M$204)="Y",1,"")),"")</f>
        <v/>
      </c>
      <c r="AG967" s="181" t="str">
        <f>IFERROR(LOOKUP(2,1/((B_Drainage!$A$5:$A$204&lt;&gt;"")*(B_Drainage!$A$5:$A$204&lt;=$B967)*(B_Drainage!$B$5:$B$204&gt;$B967)*(B_Drainage!$N$5:$N$204&lt;&gt;"")),IF(UPPER(B_Drainage!$N$5:$N$204)="Y",1,"")),"")</f>
        <v/>
      </c>
      <c r="AH967" s="181" t="str">
        <f t="shared" si="120"/>
        <v/>
      </c>
      <c r="AI967" s="181" t="str">
        <f t="shared" si="121"/>
        <v/>
      </c>
      <c r="AJ967" s="181" t="str">
        <f t="shared" si="122"/>
        <v/>
      </c>
      <c r="AK967" s="181" t="str">
        <f t="shared" si="123"/>
        <v/>
      </c>
      <c r="AL967" s="181" t="str">
        <f t="shared" si="124"/>
        <v/>
      </c>
      <c r="AM967" s="181" t="str">
        <f t="shared" si="125"/>
        <v/>
      </c>
      <c r="AN967" s="181" t="str">
        <f t="shared" si="126"/>
        <v/>
      </c>
      <c r="AO967" s="192" t="str">
        <f t="shared" si="127"/>
        <v/>
      </c>
      <c r="AQ967" t="str">
        <f>IFERROR(LOOKUP(2,1/((C_Pavement!$A$5:$A$204&lt;&gt;"")*(C_Pavement!$A$5:$A$204&lt;=$B967)*(C_Pavement!$B$5:$B$204&gt;$B967)*(C_Pavement!$C$5:$C$204&lt;&gt;"")),ROW(C_Pavement!$C$5:$C$204)-4),"")</f>
        <v/>
      </c>
      <c r="AR967" t="str">
        <f>IF($AQ967="","",UPPER(TRIM(INDEX(C_Pavement!$C$5:$C$204,$AQ967))))</f>
        <v/>
      </c>
      <c r="AS967" t="str">
        <f>IF($AR967="","",IFERROR(MATCH($AR967,E_Rules!$A$5:$A$9,0),""))</f>
        <v/>
      </c>
      <c r="AT967" t="str">
        <f>IF($AQ967="","",IF(INDEX(C_Pavement!$D$5:$D$204,$AQ967)&lt;&gt;"",UPPER(TRIM(INDEX(C_Pavement!$D$5:$D$204,$AQ967))),IF($AS967="","",INDEX(E_Rules!$C$5:$C$9,$AS967))))</f>
        <v/>
      </c>
      <c r="AU967" t="str">
        <f>IF($AQ967="","",IF(INDEX(C_Pavement!$E$5:$E$204,$AQ967)&lt;&gt;"",IF(INDEX(C_Pavement!$E$5:$E$204,$AQ967)="-","",INDEX(C_Pavement!$E$5:$E$204,$AQ967)),IF($AS967="","",INDEX(E_Rules!$D$5:$D$9,$AS967))))</f>
        <v/>
      </c>
      <c r="AV967" t="str">
        <f>IF($AQ967="","",IF(INDEX(C_Pavement!$F$5:$F$204,$AQ967)&lt;&gt;"",IF(INDEX(C_Pavement!$F$5:$F$204,$AQ967)="-","",INDEX(C_Pavement!$F$5:$F$204,$AQ967)),IF($AS967="","",INDEX(E_Rules!$E$5:$E$9,$AS967))))</f>
        <v/>
      </c>
      <c r="AW967" t="str">
        <f>IF($AQ967="","",IF(INDEX(C_Pavement!$G$5:$G$204,$AQ967)&lt;&gt;"",IF(INDEX(C_Pavement!$G$5:$G$204,$AQ967)="-","",INDEX(C_Pavement!$G$5:$G$204,$AQ967)),IF($AS967="","",INDEX(E_Rules!$F$5:$F$9,$AS967))))</f>
        <v/>
      </c>
      <c r="AX967" t="str">
        <f>IF($AQ967="","",IF(INDEX(C_Pavement!$H$5:$H$204,$AQ967)&lt;&gt;"",IF(INDEX(C_Pavement!$H$5:$H$204,$AQ967)="-","",INDEX(C_Pavement!$H$5:$H$204,$AQ967)),IF($AS967="","",INDEX(E_Rules!$G$5:$G$9,$AS967))))</f>
        <v/>
      </c>
      <c r="AY967" t="str">
        <f>IF($AQ967="","",IF(INDEX(C_Pavement!$I$5:$I$204,$AQ967)&lt;&gt;"",IF(INDEX(C_Pavement!$I$5:$I$204,$AQ967)="-","",INDEX(C_Pavement!$I$5:$I$204,$AQ967)),IF($AS967="","",INDEX(E_Rules!$H$5:$H$9,$AS967))))</f>
        <v/>
      </c>
    </row>
    <row r="968" spans="1:51" ht="15.75" customHeight="1" x14ac:dyDescent="0.3">
      <c r="A968" s="189">
        <v>963</v>
      </c>
      <c r="B968" s="180">
        <v>48100</v>
      </c>
      <c r="C968" s="180" t="s">
        <v>1274</v>
      </c>
      <c r="D968" s="181" t="str">
        <f>IFERROR(LOOKUP(2,1/((A_Corridor!$A$5:$A$204&lt;&gt;"")*(A_Corridor!$A$5:$A$204&lt;=$B968)*(A_Corridor!$B$5:$B$204&gt;$B968)*(A_Corridor!$C$5:$C$204&lt;&gt;"")),IF(UPPER(A_Corridor!$C$5:$C$204)="Y",1,"")),"")</f>
        <v/>
      </c>
      <c r="E968" s="181" t="str">
        <f>IFERROR(LOOKUP(2,1/((A_Corridor!$A$5:$A$204&lt;&gt;"")*(A_Corridor!$A$5:$A$204&lt;=$B968)*(A_Corridor!$B$5:$B$204&gt;$B968)*(A_Corridor!$D$5:$D$204&lt;&gt;"")),IF(A_Corridor!$D$5:$D$204="-","",UPPER(A_Corridor!$D$5:$D$204))),"")</f>
        <v/>
      </c>
      <c r="F968" s="181" t="str">
        <f>IFERROR(LOOKUP(2,1/((A_Corridor!$A$5:$A$204&lt;&gt;"")*(A_Corridor!$A$5:$A$204&lt;=$B968)*(A_Corridor!$B$5:$B$204&gt;$B968)*(A_Corridor!$E$5:$E$204&lt;&gt;"")),IF(A_Corridor!$E$5:$E$204="-","",1)),"")</f>
        <v/>
      </c>
      <c r="G968" s="182" t="str">
        <f>IFERROR(LOOKUP(2,1/((A_Corridor!$A$5:$A$204&lt;&gt;"")*(A_Corridor!$A$5:$A$204&lt;=$B968)*(A_Corridor!$B$5:$B$204&gt;$B968)*(A_Corridor!$E$5:$E$204&lt;&gt;"")),IF(A_Corridor!$E$5:$E$204="-","",A_Corridor!$E$5:$E$204)),"")</f>
        <v/>
      </c>
      <c r="H968" s="182" t="str">
        <f>IFERROR(LOOKUP(2,1/((D_Points!$A$5:$A$204&lt;&gt;"")*(D_Points!$A$5:$A$204&gt;=$B968)*(D_Points!$A$5:$A$204&lt;$B968+P_Interval)*(UPPER(TRIM(D_Points!$B$5:$B$204))="GULLY")*(D_Points!$H$5:$H$204&lt;&gt;"")),D_Points!$H$5:$H$204),"")</f>
        <v/>
      </c>
      <c r="I968" s="181" t="str">
        <f>IFERROR(LOOKUP(2,1/((A_Corridor!$A$5:$A$204&lt;&gt;"")*(A_Corridor!$A$5:$A$204&lt;=$B968)*(A_Corridor!$B$5:$B$204&gt;$B968)*(A_Corridor!$F$5:$F$204&lt;&gt;"")),IF(A_Corridor!$F$5:$F$204="-","",1)),"")</f>
        <v/>
      </c>
      <c r="J968" s="182" t="str">
        <f>IFERROR(LOOKUP(2,1/((A_Corridor!$A$5:$A$204&lt;&gt;"")*(A_Corridor!$A$5:$A$204&lt;=$B968)*(A_Corridor!$B$5:$B$204&gt;$B968)*(A_Corridor!$F$5:$F$204&lt;&gt;"")),IF(A_Corridor!$F$5:$F$204="-","",A_Corridor!$F$5:$F$204)),"")</f>
        <v/>
      </c>
      <c r="K968" s="182" t="str">
        <f>IFERROR(LOOKUP(2,1/((A_Corridor!$A$5:$A$204&lt;&gt;"")*(A_Corridor!$A$5:$A$204&lt;=$B968)*(A_Corridor!$B$5:$B$204&gt;$B968)*(A_Corridor!$G$5:$G$204&lt;&gt;"")),IF(A_Corridor!$G$5:$G$204="-","",A_Corridor!$G$5:$G$204)),"")</f>
        <v/>
      </c>
      <c r="L968" s="181" t="str">
        <f>IFERROR(LOOKUP(2,1/((A_Corridor!$A$5:$A$204&lt;&gt;"")*(A_Corridor!$A$5:$A$204&lt;=$B968)*(A_Corridor!$B$5:$B$204&gt;$B968)*(A_Corridor!$H$5:$H$204&lt;&gt;"")),IF(A_Corridor!$H$5:$H$204="-","",1)),"")</f>
        <v/>
      </c>
      <c r="M968" s="182" t="str">
        <f>IFERROR(LOOKUP(2,1/((A_Corridor!$A$5:$A$204&lt;&gt;"")*(A_Corridor!$A$5:$A$204&lt;=$B968)*(A_Corridor!$B$5:$B$204&gt;$B968)*(A_Corridor!$H$5:$H$204&lt;&gt;"")),IF(A_Corridor!$H$5:$H$204="-","",A_Corridor!$H$5:$H$204)),"")</f>
        <v/>
      </c>
      <c r="N968" s="182" t="str">
        <f>IFERROR(LOOKUP(2,1/((A_Corridor!$A$5:$A$204&lt;&gt;"")*(A_Corridor!$A$5:$A$204&lt;=$B968)*(A_Corridor!$B$5:$B$204&gt;$B968)*(A_Corridor!$I$5:$I$204&lt;&gt;"")),IF(A_Corridor!$I$5:$I$204="-","",A_Corridor!$I$5:$I$204)),"")</f>
        <v/>
      </c>
      <c r="O968" s="182" t="str">
        <f>IFERROR(LOOKUP(2,1/((D_Points!$A$5:$A$204&lt;&gt;"")*(D_Points!$A$5:$A$204&gt;=$B968)*(D_Points!$A$5:$A$204&lt;$B968+P_Interval)*(UPPER(TRIM(D_Points!$B$5:$B$204))="PITCHING")*(D_Points!$H$5:$H$204&lt;&gt;"")),D_Points!$H$5:$H$204),"")</f>
        <v/>
      </c>
      <c r="P968" s="181" t="str">
        <f>IFERROR(LOOKUP(2,1/((B_Drainage!$A$5:$A$204&lt;&gt;"")*(B_Drainage!$A$5:$A$204&lt;=$B968)*(B_Drainage!$B$5:$B$204&gt;$B968)*(B_Drainage!$C$5:$C$204&lt;&gt;"")),IF(B_Drainage!$C$5:$C$204="-","",UPPER(B_Drainage!$C$5:$C$204))),"")</f>
        <v/>
      </c>
      <c r="Q968" s="181" t="str">
        <f>IFERROR(LOOKUP(2,1/((B_Drainage!$A$5:$A$204&lt;&gt;"")*(B_Drainage!$A$5:$A$204&lt;=$B968)*(B_Drainage!$B$5:$B$204&gt;$B968)*(B_Drainage!$D$5:$D$204&lt;&gt;"")),IF(B_Drainage!$D$5:$D$204="-","",UPPER(B_Drainage!$D$5:$D$204))),"")</f>
        <v/>
      </c>
      <c r="R968" s="182" t="str">
        <f>IFERROR(LOOKUP(2,1/((D_Points!$A$5:$A$204&lt;&gt;"")*(D_Points!$A$5:$A$204&gt;=$B968)*(D_Points!$A$5:$A$204&lt;$B968+P_Interval)*(RIGHT(UPPER(TRIM(D_Points!$B$5:$B$204)),8)="_CULVERT")),IF(LEFT(UPPER(TRIM(D_Points!$B$5:$B$204)),2)="EX",1,IF(LEFT(UPPER(TRIM(D_Points!$B$5:$B$204)),2)="PR",2,3))),"")</f>
        <v/>
      </c>
      <c r="S968" s="182" t="str">
        <f>IFERROR(LOOKUP(2,1/((D_Points!$A$5:$A$204&lt;&gt;"")*(D_Points!$A$5:$A$204&gt;=$B968)*(D_Points!$A$5:$A$204&lt;$B968+P_Interval)*(RIGHT(UPPER(TRIM(D_Points!$B$5:$B$204)),7)="_BRIDGE")),IF(LEFT(UPPER(TRIM(D_Points!$B$5:$B$204)),2)="EX",1,IF(LEFT(UPPER(TRIM(D_Points!$B$5:$B$204)),2)="PR",2,2))),"")</f>
        <v/>
      </c>
      <c r="T968" s="181" t="str">
        <f>IFERROR(LOOKUP(2,1/((B_Drainage!$A$5:$A$204&lt;&gt;"")*(B_Drainage!$A$5:$A$204&lt;=$B968)*(B_Drainage!$B$5:$B$204&gt;$B968)*(B_Drainage!$E$5:$E$204&lt;&gt;"")),IF(B_Drainage!$E$5:$E$204="-","",1)),"")</f>
        <v/>
      </c>
      <c r="U968" s="181" t="str">
        <f>IFERROR(LOOKUP(2,1/((B_Drainage!$A$5:$A$204&lt;&gt;"")*(B_Drainage!$A$5:$A$204&lt;=$B968)*(B_Drainage!$B$5:$B$204&gt;$B968)*(B_Drainage!$E$5:$E$204&lt;&gt;"")),IF(B_Drainage!$E$5:$E$204="-","",B_Drainage!$E$5:$E$204)),"")</f>
        <v/>
      </c>
      <c r="V968" s="181" t="str">
        <f>IFERROR(LOOKUP(2,1/((B_Drainage!$A$5:$A$204&lt;&gt;"")*(B_Drainage!$A$5:$A$204&lt;=$B968)*(B_Drainage!$B$5:$B$204&gt;$B968)*(B_Drainage!$F$5:$F$204&lt;&gt;"")),IF(B_Drainage!$F$5:$F$204="-","",1)),"")</f>
        <v/>
      </c>
      <c r="W968" s="181" t="str">
        <f>IFERROR(LOOKUP(2,1/((B_Drainage!$A$5:$A$204&lt;&gt;"")*(B_Drainage!$A$5:$A$204&lt;=$B968)*(B_Drainage!$B$5:$B$204&gt;$B968)*(B_Drainage!$F$5:$F$204&lt;&gt;"")),IF(B_Drainage!$F$5:$F$204="-","",B_Drainage!$F$5:$F$204)),"")</f>
        <v/>
      </c>
      <c r="X968" s="181" t="str">
        <f>IFERROR(LOOKUP(2,1/((B_Drainage!$A$5:$A$204&lt;&gt;"")*(B_Drainage!$A$5:$A$204&lt;=$B968)*(B_Drainage!$B$5:$B$204&gt;$B968)*(B_Drainage!$G$5:$G$204&lt;&gt;"")),IF(UPPER(B_Drainage!$G$5:$G$204)="Y",1,"")),"")</f>
        <v/>
      </c>
      <c r="Y968" s="181" t="str">
        <f>IFERROR(LOOKUP(2,1/((B_Drainage!$A$5:$A$204&lt;&gt;"")*(B_Drainage!$A$5:$A$204&lt;=$B968)*(B_Drainage!$B$5:$B$204&gt;$B968)*(B_Drainage!$H$5:$H$204&lt;&gt;"")),IF(UPPER(B_Drainage!$H$5:$H$204)="Y",1,"")),"")</f>
        <v/>
      </c>
      <c r="Z968" s="181" t="str">
        <f>IFERROR(LOOKUP(2,1/((B_Drainage!$A$5:$A$204&lt;&gt;"")*(B_Drainage!$A$5:$A$204&lt;=$B968)*(B_Drainage!$B$5:$B$204&gt;$B968)*(B_Drainage!$I$5:$I$204&lt;&gt;"")),IF(UPPER(B_Drainage!$I$5:$I$204)="Y",1,"")),"")</f>
        <v/>
      </c>
      <c r="AA968" s="181" t="str">
        <f>IFERROR(LOOKUP(2,1/((B_Drainage!$A$5:$A$204&lt;&gt;"")*(B_Drainage!$A$5:$A$204&lt;=$B968)*(B_Drainage!$B$5:$B$204&gt;$B968)*(B_Drainage!$J$5:$J$204&lt;&gt;"")),IF(UPPER(B_Drainage!$J$5:$J$204)="Y",1,"")),"")</f>
        <v/>
      </c>
      <c r="AB968" s="182" t="str">
        <f>IFERROR(LOOKUP(2,1/((B_Drainage!$A$5:$A$204&lt;&gt;"")*(B_Drainage!$A$5:$A$204&lt;=$B968)*(B_Drainage!$B$5:$B$204&gt;$B968)*(B_Drainage!$K$5:$K$204&lt;&gt;"")),IF(B_Drainage!$K$5:$K$204="-","",B_Drainage!$K$5:$K$204)),"")</f>
        <v/>
      </c>
      <c r="AC968" s="182" t="str">
        <f>IFERROR(LOOKUP(2,1/((B_Drainage!$A$5:$A$204&lt;&gt;"")*(B_Drainage!$A$5:$A$204&lt;=$B968)*(B_Drainage!$B$5:$B$204&gt;$B968)*(B_Drainage!$L$5:$L$204&lt;&gt;"")),IF(B_Drainage!$L$5:$L$204="-","",B_Drainage!$L$5:$L$204)),"")</f>
        <v/>
      </c>
      <c r="AD968" s="182" t="str">
        <f>IFERROR(LOOKUP(2,1/((D_Points!$A$5:$A$204&lt;&gt;"")*(D_Points!$A$5:$A$204&gt;=$B968)*(D_Points!$A$5:$A$204&lt;$B968+P_Interval)*(UPPER(TRIM(D_Points!$B$5:$B$204))="TURNOUT_L")*(D_Points!$H$5:$H$204&lt;&gt;"")),D_Points!$H$5:$H$204),"")</f>
        <v/>
      </c>
      <c r="AE968" s="182" t="str">
        <f>IFERROR(LOOKUP(2,1/((D_Points!$A$5:$A$204&lt;&gt;"")*(D_Points!$A$5:$A$204&gt;=$B968)*(D_Points!$A$5:$A$204&lt;$B968+P_Interval)*(UPPER(TRIM(D_Points!$B$5:$B$204))="TURNOUT_R")*(D_Points!$H$5:$H$204&lt;&gt;"")),D_Points!$H$5:$H$204),"")</f>
        <v/>
      </c>
      <c r="AF968" s="181" t="str">
        <f>IFERROR(LOOKUP(2,1/((B_Drainage!$A$5:$A$204&lt;&gt;"")*(B_Drainage!$A$5:$A$204&lt;=$B968)*(B_Drainage!$B$5:$B$204&gt;$B968)*(B_Drainage!$M$5:$M$204&lt;&gt;"")),IF(UPPER(B_Drainage!$M$5:$M$204)="Y",1,"")),"")</f>
        <v/>
      </c>
      <c r="AG968" s="181" t="str">
        <f>IFERROR(LOOKUP(2,1/((B_Drainage!$A$5:$A$204&lt;&gt;"")*(B_Drainage!$A$5:$A$204&lt;=$B968)*(B_Drainage!$B$5:$B$204&gt;$B968)*(B_Drainage!$N$5:$N$204&lt;&gt;"")),IF(UPPER(B_Drainage!$N$5:$N$204)="Y",1,"")),"")</f>
        <v/>
      </c>
      <c r="AH968" s="181" t="str">
        <f t="shared" si="120"/>
        <v/>
      </c>
      <c r="AI968" s="181" t="str">
        <f t="shared" si="121"/>
        <v/>
      </c>
      <c r="AJ968" s="181" t="str">
        <f t="shared" si="122"/>
        <v/>
      </c>
      <c r="AK968" s="181" t="str">
        <f t="shared" si="123"/>
        <v/>
      </c>
      <c r="AL968" s="181" t="str">
        <f t="shared" si="124"/>
        <v/>
      </c>
      <c r="AM968" s="181" t="str">
        <f t="shared" si="125"/>
        <v/>
      </c>
      <c r="AN968" s="181" t="str">
        <f t="shared" si="126"/>
        <v/>
      </c>
      <c r="AO968" s="192" t="str">
        <f t="shared" si="127"/>
        <v/>
      </c>
      <c r="AQ968" t="str">
        <f>IFERROR(LOOKUP(2,1/((C_Pavement!$A$5:$A$204&lt;&gt;"")*(C_Pavement!$A$5:$A$204&lt;=$B968)*(C_Pavement!$B$5:$B$204&gt;$B968)*(C_Pavement!$C$5:$C$204&lt;&gt;"")),ROW(C_Pavement!$C$5:$C$204)-4),"")</f>
        <v/>
      </c>
      <c r="AR968" t="str">
        <f>IF($AQ968="","",UPPER(TRIM(INDEX(C_Pavement!$C$5:$C$204,$AQ968))))</f>
        <v/>
      </c>
      <c r="AS968" t="str">
        <f>IF($AR968="","",IFERROR(MATCH($AR968,E_Rules!$A$5:$A$9,0),""))</f>
        <v/>
      </c>
      <c r="AT968" t="str">
        <f>IF($AQ968="","",IF(INDEX(C_Pavement!$D$5:$D$204,$AQ968)&lt;&gt;"",UPPER(TRIM(INDEX(C_Pavement!$D$5:$D$204,$AQ968))),IF($AS968="","",INDEX(E_Rules!$C$5:$C$9,$AS968))))</f>
        <v/>
      </c>
      <c r="AU968" t="str">
        <f>IF($AQ968="","",IF(INDEX(C_Pavement!$E$5:$E$204,$AQ968)&lt;&gt;"",IF(INDEX(C_Pavement!$E$5:$E$204,$AQ968)="-","",INDEX(C_Pavement!$E$5:$E$204,$AQ968)),IF($AS968="","",INDEX(E_Rules!$D$5:$D$9,$AS968))))</f>
        <v/>
      </c>
      <c r="AV968" t="str">
        <f>IF($AQ968="","",IF(INDEX(C_Pavement!$F$5:$F$204,$AQ968)&lt;&gt;"",IF(INDEX(C_Pavement!$F$5:$F$204,$AQ968)="-","",INDEX(C_Pavement!$F$5:$F$204,$AQ968)),IF($AS968="","",INDEX(E_Rules!$E$5:$E$9,$AS968))))</f>
        <v/>
      </c>
      <c r="AW968" t="str">
        <f>IF($AQ968="","",IF(INDEX(C_Pavement!$G$5:$G$204,$AQ968)&lt;&gt;"",IF(INDEX(C_Pavement!$G$5:$G$204,$AQ968)="-","",INDEX(C_Pavement!$G$5:$G$204,$AQ968)),IF($AS968="","",INDEX(E_Rules!$F$5:$F$9,$AS968))))</f>
        <v/>
      </c>
      <c r="AX968" t="str">
        <f>IF($AQ968="","",IF(INDEX(C_Pavement!$H$5:$H$204,$AQ968)&lt;&gt;"",IF(INDEX(C_Pavement!$H$5:$H$204,$AQ968)="-","",INDEX(C_Pavement!$H$5:$H$204,$AQ968)),IF($AS968="","",INDEX(E_Rules!$G$5:$G$9,$AS968))))</f>
        <v/>
      </c>
      <c r="AY968" t="str">
        <f>IF($AQ968="","",IF(INDEX(C_Pavement!$I$5:$I$204,$AQ968)&lt;&gt;"",IF(INDEX(C_Pavement!$I$5:$I$204,$AQ968)="-","",INDEX(C_Pavement!$I$5:$I$204,$AQ968)),IF($AS968="","",INDEX(E_Rules!$H$5:$H$9,$AS968))))</f>
        <v/>
      </c>
    </row>
    <row r="969" spans="1:51" ht="15.75" customHeight="1" x14ac:dyDescent="0.3">
      <c r="A969" s="189">
        <v>964</v>
      </c>
      <c r="B969" s="180">
        <v>48150</v>
      </c>
      <c r="C969" s="180" t="s">
        <v>1275</v>
      </c>
      <c r="D969" s="181" t="str">
        <f>IFERROR(LOOKUP(2,1/((A_Corridor!$A$5:$A$204&lt;&gt;"")*(A_Corridor!$A$5:$A$204&lt;=$B969)*(A_Corridor!$B$5:$B$204&gt;$B969)*(A_Corridor!$C$5:$C$204&lt;&gt;"")),IF(UPPER(A_Corridor!$C$5:$C$204)="Y",1,"")),"")</f>
        <v/>
      </c>
      <c r="E969" s="181" t="str">
        <f>IFERROR(LOOKUP(2,1/((A_Corridor!$A$5:$A$204&lt;&gt;"")*(A_Corridor!$A$5:$A$204&lt;=$B969)*(A_Corridor!$B$5:$B$204&gt;$B969)*(A_Corridor!$D$5:$D$204&lt;&gt;"")),IF(A_Corridor!$D$5:$D$204="-","",UPPER(A_Corridor!$D$5:$D$204))),"")</f>
        <v/>
      </c>
      <c r="F969" s="181" t="str">
        <f>IFERROR(LOOKUP(2,1/((A_Corridor!$A$5:$A$204&lt;&gt;"")*(A_Corridor!$A$5:$A$204&lt;=$B969)*(A_Corridor!$B$5:$B$204&gt;$B969)*(A_Corridor!$E$5:$E$204&lt;&gt;"")),IF(A_Corridor!$E$5:$E$204="-","",1)),"")</f>
        <v/>
      </c>
      <c r="G969" s="182" t="str">
        <f>IFERROR(LOOKUP(2,1/((A_Corridor!$A$5:$A$204&lt;&gt;"")*(A_Corridor!$A$5:$A$204&lt;=$B969)*(A_Corridor!$B$5:$B$204&gt;$B969)*(A_Corridor!$E$5:$E$204&lt;&gt;"")),IF(A_Corridor!$E$5:$E$204="-","",A_Corridor!$E$5:$E$204)),"")</f>
        <v/>
      </c>
      <c r="H969" s="182" t="str">
        <f>IFERROR(LOOKUP(2,1/((D_Points!$A$5:$A$204&lt;&gt;"")*(D_Points!$A$5:$A$204&gt;=$B969)*(D_Points!$A$5:$A$204&lt;$B969+P_Interval)*(UPPER(TRIM(D_Points!$B$5:$B$204))="GULLY")*(D_Points!$H$5:$H$204&lt;&gt;"")),D_Points!$H$5:$H$204),"")</f>
        <v/>
      </c>
      <c r="I969" s="181" t="str">
        <f>IFERROR(LOOKUP(2,1/((A_Corridor!$A$5:$A$204&lt;&gt;"")*(A_Corridor!$A$5:$A$204&lt;=$B969)*(A_Corridor!$B$5:$B$204&gt;$B969)*(A_Corridor!$F$5:$F$204&lt;&gt;"")),IF(A_Corridor!$F$5:$F$204="-","",1)),"")</f>
        <v/>
      </c>
      <c r="J969" s="182" t="str">
        <f>IFERROR(LOOKUP(2,1/((A_Corridor!$A$5:$A$204&lt;&gt;"")*(A_Corridor!$A$5:$A$204&lt;=$B969)*(A_Corridor!$B$5:$B$204&gt;$B969)*(A_Corridor!$F$5:$F$204&lt;&gt;"")),IF(A_Corridor!$F$5:$F$204="-","",A_Corridor!$F$5:$F$204)),"")</f>
        <v/>
      </c>
      <c r="K969" s="182" t="str">
        <f>IFERROR(LOOKUP(2,1/((A_Corridor!$A$5:$A$204&lt;&gt;"")*(A_Corridor!$A$5:$A$204&lt;=$B969)*(A_Corridor!$B$5:$B$204&gt;$B969)*(A_Corridor!$G$5:$G$204&lt;&gt;"")),IF(A_Corridor!$G$5:$G$204="-","",A_Corridor!$G$5:$G$204)),"")</f>
        <v/>
      </c>
      <c r="L969" s="181" t="str">
        <f>IFERROR(LOOKUP(2,1/((A_Corridor!$A$5:$A$204&lt;&gt;"")*(A_Corridor!$A$5:$A$204&lt;=$B969)*(A_Corridor!$B$5:$B$204&gt;$B969)*(A_Corridor!$H$5:$H$204&lt;&gt;"")),IF(A_Corridor!$H$5:$H$204="-","",1)),"")</f>
        <v/>
      </c>
      <c r="M969" s="182" t="str">
        <f>IFERROR(LOOKUP(2,1/((A_Corridor!$A$5:$A$204&lt;&gt;"")*(A_Corridor!$A$5:$A$204&lt;=$B969)*(A_Corridor!$B$5:$B$204&gt;$B969)*(A_Corridor!$H$5:$H$204&lt;&gt;"")),IF(A_Corridor!$H$5:$H$204="-","",A_Corridor!$H$5:$H$204)),"")</f>
        <v/>
      </c>
      <c r="N969" s="182" t="str">
        <f>IFERROR(LOOKUP(2,1/((A_Corridor!$A$5:$A$204&lt;&gt;"")*(A_Corridor!$A$5:$A$204&lt;=$B969)*(A_Corridor!$B$5:$B$204&gt;$B969)*(A_Corridor!$I$5:$I$204&lt;&gt;"")),IF(A_Corridor!$I$5:$I$204="-","",A_Corridor!$I$5:$I$204)),"")</f>
        <v/>
      </c>
      <c r="O969" s="182" t="str">
        <f>IFERROR(LOOKUP(2,1/((D_Points!$A$5:$A$204&lt;&gt;"")*(D_Points!$A$5:$A$204&gt;=$B969)*(D_Points!$A$5:$A$204&lt;$B969+P_Interval)*(UPPER(TRIM(D_Points!$B$5:$B$204))="PITCHING")*(D_Points!$H$5:$H$204&lt;&gt;"")),D_Points!$H$5:$H$204),"")</f>
        <v/>
      </c>
      <c r="P969" s="181" t="str">
        <f>IFERROR(LOOKUP(2,1/((B_Drainage!$A$5:$A$204&lt;&gt;"")*(B_Drainage!$A$5:$A$204&lt;=$B969)*(B_Drainage!$B$5:$B$204&gt;$B969)*(B_Drainage!$C$5:$C$204&lt;&gt;"")),IF(B_Drainage!$C$5:$C$204="-","",UPPER(B_Drainage!$C$5:$C$204))),"")</f>
        <v/>
      </c>
      <c r="Q969" s="181" t="str">
        <f>IFERROR(LOOKUP(2,1/((B_Drainage!$A$5:$A$204&lt;&gt;"")*(B_Drainage!$A$5:$A$204&lt;=$B969)*(B_Drainage!$B$5:$B$204&gt;$B969)*(B_Drainage!$D$5:$D$204&lt;&gt;"")),IF(B_Drainage!$D$5:$D$204="-","",UPPER(B_Drainage!$D$5:$D$204))),"")</f>
        <v/>
      </c>
      <c r="R969" s="182" t="str">
        <f>IFERROR(LOOKUP(2,1/((D_Points!$A$5:$A$204&lt;&gt;"")*(D_Points!$A$5:$A$204&gt;=$B969)*(D_Points!$A$5:$A$204&lt;$B969+P_Interval)*(RIGHT(UPPER(TRIM(D_Points!$B$5:$B$204)),8)="_CULVERT")),IF(LEFT(UPPER(TRIM(D_Points!$B$5:$B$204)),2)="EX",1,IF(LEFT(UPPER(TRIM(D_Points!$B$5:$B$204)),2)="PR",2,3))),"")</f>
        <v/>
      </c>
      <c r="S969" s="182" t="str">
        <f>IFERROR(LOOKUP(2,1/((D_Points!$A$5:$A$204&lt;&gt;"")*(D_Points!$A$5:$A$204&gt;=$B969)*(D_Points!$A$5:$A$204&lt;$B969+P_Interval)*(RIGHT(UPPER(TRIM(D_Points!$B$5:$B$204)),7)="_BRIDGE")),IF(LEFT(UPPER(TRIM(D_Points!$B$5:$B$204)),2)="EX",1,IF(LEFT(UPPER(TRIM(D_Points!$B$5:$B$204)),2)="PR",2,2))),"")</f>
        <v/>
      </c>
      <c r="T969" s="181" t="str">
        <f>IFERROR(LOOKUP(2,1/((B_Drainage!$A$5:$A$204&lt;&gt;"")*(B_Drainage!$A$5:$A$204&lt;=$B969)*(B_Drainage!$B$5:$B$204&gt;$B969)*(B_Drainage!$E$5:$E$204&lt;&gt;"")),IF(B_Drainage!$E$5:$E$204="-","",1)),"")</f>
        <v/>
      </c>
      <c r="U969" s="181" t="str">
        <f>IFERROR(LOOKUP(2,1/((B_Drainage!$A$5:$A$204&lt;&gt;"")*(B_Drainage!$A$5:$A$204&lt;=$B969)*(B_Drainage!$B$5:$B$204&gt;$B969)*(B_Drainage!$E$5:$E$204&lt;&gt;"")),IF(B_Drainage!$E$5:$E$204="-","",B_Drainage!$E$5:$E$204)),"")</f>
        <v/>
      </c>
      <c r="V969" s="181" t="str">
        <f>IFERROR(LOOKUP(2,1/((B_Drainage!$A$5:$A$204&lt;&gt;"")*(B_Drainage!$A$5:$A$204&lt;=$B969)*(B_Drainage!$B$5:$B$204&gt;$B969)*(B_Drainage!$F$5:$F$204&lt;&gt;"")),IF(B_Drainage!$F$5:$F$204="-","",1)),"")</f>
        <v/>
      </c>
      <c r="W969" s="181" t="str">
        <f>IFERROR(LOOKUP(2,1/((B_Drainage!$A$5:$A$204&lt;&gt;"")*(B_Drainage!$A$5:$A$204&lt;=$B969)*(B_Drainage!$B$5:$B$204&gt;$B969)*(B_Drainage!$F$5:$F$204&lt;&gt;"")),IF(B_Drainage!$F$5:$F$204="-","",B_Drainage!$F$5:$F$204)),"")</f>
        <v/>
      </c>
      <c r="X969" s="181" t="str">
        <f>IFERROR(LOOKUP(2,1/((B_Drainage!$A$5:$A$204&lt;&gt;"")*(B_Drainage!$A$5:$A$204&lt;=$B969)*(B_Drainage!$B$5:$B$204&gt;$B969)*(B_Drainage!$G$5:$G$204&lt;&gt;"")),IF(UPPER(B_Drainage!$G$5:$G$204)="Y",1,"")),"")</f>
        <v/>
      </c>
      <c r="Y969" s="181" t="str">
        <f>IFERROR(LOOKUP(2,1/((B_Drainage!$A$5:$A$204&lt;&gt;"")*(B_Drainage!$A$5:$A$204&lt;=$B969)*(B_Drainage!$B$5:$B$204&gt;$B969)*(B_Drainage!$H$5:$H$204&lt;&gt;"")),IF(UPPER(B_Drainage!$H$5:$H$204)="Y",1,"")),"")</f>
        <v/>
      </c>
      <c r="Z969" s="181" t="str">
        <f>IFERROR(LOOKUP(2,1/((B_Drainage!$A$5:$A$204&lt;&gt;"")*(B_Drainage!$A$5:$A$204&lt;=$B969)*(B_Drainage!$B$5:$B$204&gt;$B969)*(B_Drainage!$I$5:$I$204&lt;&gt;"")),IF(UPPER(B_Drainage!$I$5:$I$204)="Y",1,"")),"")</f>
        <v/>
      </c>
      <c r="AA969" s="181" t="str">
        <f>IFERROR(LOOKUP(2,1/((B_Drainage!$A$5:$A$204&lt;&gt;"")*(B_Drainage!$A$5:$A$204&lt;=$B969)*(B_Drainage!$B$5:$B$204&gt;$B969)*(B_Drainage!$J$5:$J$204&lt;&gt;"")),IF(UPPER(B_Drainage!$J$5:$J$204)="Y",1,"")),"")</f>
        <v/>
      </c>
      <c r="AB969" s="182" t="str">
        <f>IFERROR(LOOKUP(2,1/((B_Drainage!$A$5:$A$204&lt;&gt;"")*(B_Drainage!$A$5:$A$204&lt;=$B969)*(B_Drainage!$B$5:$B$204&gt;$B969)*(B_Drainage!$K$5:$K$204&lt;&gt;"")),IF(B_Drainage!$K$5:$K$204="-","",B_Drainage!$K$5:$K$204)),"")</f>
        <v/>
      </c>
      <c r="AC969" s="182" t="str">
        <f>IFERROR(LOOKUP(2,1/((B_Drainage!$A$5:$A$204&lt;&gt;"")*(B_Drainage!$A$5:$A$204&lt;=$B969)*(B_Drainage!$B$5:$B$204&gt;$B969)*(B_Drainage!$L$5:$L$204&lt;&gt;"")),IF(B_Drainage!$L$5:$L$204="-","",B_Drainage!$L$5:$L$204)),"")</f>
        <v/>
      </c>
      <c r="AD969" s="182" t="str">
        <f>IFERROR(LOOKUP(2,1/((D_Points!$A$5:$A$204&lt;&gt;"")*(D_Points!$A$5:$A$204&gt;=$B969)*(D_Points!$A$5:$A$204&lt;$B969+P_Interval)*(UPPER(TRIM(D_Points!$B$5:$B$204))="TURNOUT_L")*(D_Points!$H$5:$H$204&lt;&gt;"")),D_Points!$H$5:$H$204),"")</f>
        <v/>
      </c>
      <c r="AE969" s="182" t="str">
        <f>IFERROR(LOOKUP(2,1/((D_Points!$A$5:$A$204&lt;&gt;"")*(D_Points!$A$5:$A$204&gt;=$B969)*(D_Points!$A$5:$A$204&lt;$B969+P_Interval)*(UPPER(TRIM(D_Points!$B$5:$B$204))="TURNOUT_R")*(D_Points!$H$5:$H$204&lt;&gt;"")),D_Points!$H$5:$H$204),"")</f>
        <v/>
      </c>
      <c r="AF969" s="181" t="str">
        <f>IFERROR(LOOKUP(2,1/((B_Drainage!$A$5:$A$204&lt;&gt;"")*(B_Drainage!$A$5:$A$204&lt;=$B969)*(B_Drainage!$B$5:$B$204&gt;$B969)*(B_Drainage!$M$5:$M$204&lt;&gt;"")),IF(UPPER(B_Drainage!$M$5:$M$204)="Y",1,"")),"")</f>
        <v/>
      </c>
      <c r="AG969" s="181" t="str">
        <f>IFERROR(LOOKUP(2,1/((B_Drainage!$A$5:$A$204&lt;&gt;"")*(B_Drainage!$A$5:$A$204&lt;=$B969)*(B_Drainage!$B$5:$B$204&gt;$B969)*(B_Drainage!$N$5:$N$204&lt;&gt;"")),IF(UPPER(B_Drainage!$N$5:$N$204)="Y",1,"")),"")</f>
        <v/>
      </c>
      <c r="AH969" s="181" t="str">
        <f t="shared" si="120"/>
        <v/>
      </c>
      <c r="AI969" s="181" t="str">
        <f t="shared" si="121"/>
        <v/>
      </c>
      <c r="AJ969" s="181" t="str">
        <f t="shared" si="122"/>
        <v/>
      </c>
      <c r="AK969" s="181" t="str">
        <f t="shared" si="123"/>
        <v/>
      </c>
      <c r="AL969" s="181" t="str">
        <f t="shared" si="124"/>
        <v/>
      </c>
      <c r="AM969" s="181" t="str">
        <f t="shared" si="125"/>
        <v/>
      </c>
      <c r="AN969" s="181" t="str">
        <f t="shared" si="126"/>
        <v/>
      </c>
      <c r="AO969" s="192" t="str">
        <f t="shared" si="127"/>
        <v/>
      </c>
      <c r="AQ969" t="str">
        <f>IFERROR(LOOKUP(2,1/((C_Pavement!$A$5:$A$204&lt;&gt;"")*(C_Pavement!$A$5:$A$204&lt;=$B969)*(C_Pavement!$B$5:$B$204&gt;$B969)*(C_Pavement!$C$5:$C$204&lt;&gt;"")),ROW(C_Pavement!$C$5:$C$204)-4),"")</f>
        <v/>
      </c>
      <c r="AR969" t="str">
        <f>IF($AQ969="","",UPPER(TRIM(INDEX(C_Pavement!$C$5:$C$204,$AQ969))))</f>
        <v/>
      </c>
      <c r="AS969" t="str">
        <f>IF($AR969="","",IFERROR(MATCH($AR969,E_Rules!$A$5:$A$9,0),""))</f>
        <v/>
      </c>
      <c r="AT969" t="str">
        <f>IF($AQ969="","",IF(INDEX(C_Pavement!$D$5:$D$204,$AQ969)&lt;&gt;"",UPPER(TRIM(INDEX(C_Pavement!$D$5:$D$204,$AQ969))),IF($AS969="","",INDEX(E_Rules!$C$5:$C$9,$AS969))))</f>
        <v/>
      </c>
      <c r="AU969" t="str">
        <f>IF($AQ969="","",IF(INDEX(C_Pavement!$E$5:$E$204,$AQ969)&lt;&gt;"",IF(INDEX(C_Pavement!$E$5:$E$204,$AQ969)="-","",INDEX(C_Pavement!$E$5:$E$204,$AQ969)),IF($AS969="","",INDEX(E_Rules!$D$5:$D$9,$AS969))))</f>
        <v/>
      </c>
      <c r="AV969" t="str">
        <f>IF($AQ969="","",IF(INDEX(C_Pavement!$F$5:$F$204,$AQ969)&lt;&gt;"",IF(INDEX(C_Pavement!$F$5:$F$204,$AQ969)="-","",INDEX(C_Pavement!$F$5:$F$204,$AQ969)),IF($AS969="","",INDEX(E_Rules!$E$5:$E$9,$AS969))))</f>
        <v/>
      </c>
      <c r="AW969" t="str">
        <f>IF($AQ969="","",IF(INDEX(C_Pavement!$G$5:$G$204,$AQ969)&lt;&gt;"",IF(INDEX(C_Pavement!$G$5:$G$204,$AQ969)="-","",INDEX(C_Pavement!$G$5:$G$204,$AQ969)),IF($AS969="","",INDEX(E_Rules!$F$5:$F$9,$AS969))))</f>
        <v/>
      </c>
      <c r="AX969" t="str">
        <f>IF($AQ969="","",IF(INDEX(C_Pavement!$H$5:$H$204,$AQ969)&lt;&gt;"",IF(INDEX(C_Pavement!$H$5:$H$204,$AQ969)="-","",INDEX(C_Pavement!$H$5:$H$204,$AQ969)),IF($AS969="","",INDEX(E_Rules!$G$5:$G$9,$AS969))))</f>
        <v/>
      </c>
      <c r="AY969" t="str">
        <f>IF($AQ969="","",IF(INDEX(C_Pavement!$I$5:$I$204,$AQ969)&lt;&gt;"",IF(INDEX(C_Pavement!$I$5:$I$204,$AQ969)="-","",INDEX(C_Pavement!$I$5:$I$204,$AQ969)),IF($AS969="","",INDEX(E_Rules!$H$5:$H$9,$AS969))))</f>
        <v/>
      </c>
    </row>
    <row r="970" spans="1:51" ht="15.75" customHeight="1" x14ac:dyDescent="0.3">
      <c r="A970" s="189">
        <v>965</v>
      </c>
      <c r="B970" s="180">
        <v>48200</v>
      </c>
      <c r="C970" s="180" t="s">
        <v>1276</v>
      </c>
      <c r="D970" s="181" t="str">
        <f>IFERROR(LOOKUP(2,1/((A_Corridor!$A$5:$A$204&lt;&gt;"")*(A_Corridor!$A$5:$A$204&lt;=$B970)*(A_Corridor!$B$5:$B$204&gt;$B970)*(A_Corridor!$C$5:$C$204&lt;&gt;"")),IF(UPPER(A_Corridor!$C$5:$C$204)="Y",1,"")),"")</f>
        <v/>
      </c>
      <c r="E970" s="181" t="str">
        <f>IFERROR(LOOKUP(2,1/((A_Corridor!$A$5:$A$204&lt;&gt;"")*(A_Corridor!$A$5:$A$204&lt;=$B970)*(A_Corridor!$B$5:$B$204&gt;$B970)*(A_Corridor!$D$5:$D$204&lt;&gt;"")),IF(A_Corridor!$D$5:$D$204="-","",UPPER(A_Corridor!$D$5:$D$204))),"")</f>
        <v/>
      </c>
      <c r="F970" s="181" t="str">
        <f>IFERROR(LOOKUP(2,1/((A_Corridor!$A$5:$A$204&lt;&gt;"")*(A_Corridor!$A$5:$A$204&lt;=$B970)*(A_Corridor!$B$5:$B$204&gt;$B970)*(A_Corridor!$E$5:$E$204&lt;&gt;"")),IF(A_Corridor!$E$5:$E$204="-","",1)),"")</f>
        <v/>
      </c>
      <c r="G970" s="182" t="str">
        <f>IFERROR(LOOKUP(2,1/((A_Corridor!$A$5:$A$204&lt;&gt;"")*(A_Corridor!$A$5:$A$204&lt;=$B970)*(A_Corridor!$B$5:$B$204&gt;$B970)*(A_Corridor!$E$5:$E$204&lt;&gt;"")),IF(A_Corridor!$E$5:$E$204="-","",A_Corridor!$E$5:$E$204)),"")</f>
        <v/>
      </c>
      <c r="H970" s="182" t="str">
        <f>IFERROR(LOOKUP(2,1/((D_Points!$A$5:$A$204&lt;&gt;"")*(D_Points!$A$5:$A$204&gt;=$B970)*(D_Points!$A$5:$A$204&lt;$B970+P_Interval)*(UPPER(TRIM(D_Points!$B$5:$B$204))="GULLY")*(D_Points!$H$5:$H$204&lt;&gt;"")),D_Points!$H$5:$H$204),"")</f>
        <v/>
      </c>
      <c r="I970" s="181" t="str">
        <f>IFERROR(LOOKUP(2,1/((A_Corridor!$A$5:$A$204&lt;&gt;"")*(A_Corridor!$A$5:$A$204&lt;=$B970)*(A_Corridor!$B$5:$B$204&gt;$B970)*(A_Corridor!$F$5:$F$204&lt;&gt;"")),IF(A_Corridor!$F$5:$F$204="-","",1)),"")</f>
        <v/>
      </c>
      <c r="J970" s="182" t="str">
        <f>IFERROR(LOOKUP(2,1/((A_Corridor!$A$5:$A$204&lt;&gt;"")*(A_Corridor!$A$5:$A$204&lt;=$B970)*(A_Corridor!$B$5:$B$204&gt;$B970)*(A_Corridor!$F$5:$F$204&lt;&gt;"")),IF(A_Corridor!$F$5:$F$204="-","",A_Corridor!$F$5:$F$204)),"")</f>
        <v/>
      </c>
      <c r="K970" s="182" t="str">
        <f>IFERROR(LOOKUP(2,1/((A_Corridor!$A$5:$A$204&lt;&gt;"")*(A_Corridor!$A$5:$A$204&lt;=$B970)*(A_Corridor!$B$5:$B$204&gt;$B970)*(A_Corridor!$G$5:$G$204&lt;&gt;"")),IF(A_Corridor!$G$5:$G$204="-","",A_Corridor!$G$5:$G$204)),"")</f>
        <v/>
      </c>
      <c r="L970" s="181" t="str">
        <f>IFERROR(LOOKUP(2,1/((A_Corridor!$A$5:$A$204&lt;&gt;"")*(A_Corridor!$A$5:$A$204&lt;=$B970)*(A_Corridor!$B$5:$B$204&gt;$B970)*(A_Corridor!$H$5:$H$204&lt;&gt;"")),IF(A_Corridor!$H$5:$H$204="-","",1)),"")</f>
        <v/>
      </c>
      <c r="M970" s="182" t="str">
        <f>IFERROR(LOOKUP(2,1/((A_Corridor!$A$5:$A$204&lt;&gt;"")*(A_Corridor!$A$5:$A$204&lt;=$B970)*(A_Corridor!$B$5:$B$204&gt;$B970)*(A_Corridor!$H$5:$H$204&lt;&gt;"")),IF(A_Corridor!$H$5:$H$204="-","",A_Corridor!$H$5:$H$204)),"")</f>
        <v/>
      </c>
      <c r="N970" s="182" t="str">
        <f>IFERROR(LOOKUP(2,1/((A_Corridor!$A$5:$A$204&lt;&gt;"")*(A_Corridor!$A$5:$A$204&lt;=$B970)*(A_Corridor!$B$5:$B$204&gt;$B970)*(A_Corridor!$I$5:$I$204&lt;&gt;"")),IF(A_Corridor!$I$5:$I$204="-","",A_Corridor!$I$5:$I$204)),"")</f>
        <v/>
      </c>
      <c r="O970" s="182" t="str">
        <f>IFERROR(LOOKUP(2,1/((D_Points!$A$5:$A$204&lt;&gt;"")*(D_Points!$A$5:$A$204&gt;=$B970)*(D_Points!$A$5:$A$204&lt;$B970+P_Interval)*(UPPER(TRIM(D_Points!$B$5:$B$204))="PITCHING")*(D_Points!$H$5:$H$204&lt;&gt;"")),D_Points!$H$5:$H$204),"")</f>
        <v/>
      </c>
      <c r="P970" s="181" t="str">
        <f>IFERROR(LOOKUP(2,1/((B_Drainage!$A$5:$A$204&lt;&gt;"")*(B_Drainage!$A$5:$A$204&lt;=$B970)*(B_Drainage!$B$5:$B$204&gt;$B970)*(B_Drainage!$C$5:$C$204&lt;&gt;"")),IF(B_Drainage!$C$5:$C$204="-","",UPPER(B_Drainage!$C$5:$C$204))),"")</f>
        <v/>
      </c>
      <c r="Q970" s="181" t="str">
        <f>IFERROR(LOOKUP(2,1/((B_Drainage!$A$5:$A$204&lt;&gt;"")*(B_Drainage!$A$5:$A$204&lt;=$B970)*(B_Drainage!$B$5:$B$204&gt;$B970)*(B_Drainage!$D$5:$D$204&lt;&gt;"")),IF(B_Drainage!$D$5:$D$204="-","",UPPER(B_Drainage!$D$5:$D$204))),"")</f>
        <v/>
      </c>
      <c r="R970" s="182" t="str">
        <f>IFERROR(LOOKUP(2,1/((D_Points!$A$5:$A$204&lt;&gt;"")*(D_Points!$A$5:$A$204&gt;=$B970)*(D_Points!$A$5:$A$204&lt;$B970+P_Interval)*(RIGHT(UPPER(TRIM(D_Points!$B$5:$B$204)),8)="_CULVERT")),IF(LEFT(UPPER(TRIM(D_Points!$B$5:$B$204)),2)="EX",1,IF(LEFT(UPPER(TRIM(D_Points!$B$5:$B$204)),2)="PR",2,3))),"")</f>
        <v/>
      </c>
      <c r="S970" s="182" t="str">
        <f>IFERROR(LOOKUP(2,1/((D_Points!$A$5:$A$204&lt;&gt;"")*(D_Points!$A$5:$A$204&gt;=$B970)*(D_Points!$A$5:$A$204&lt;$B970+P_Interval)*(RIGHT(UPPER(TRIM(D_Points!$B$5:$B$204)),7)="_BRIDGE")),IF(LEFT(UPPER(TRIM(D_Points!$B$5:$B$204)),2)="EX",1,IF(LEFT(UPPER(TRIM(D_Points!$B$5:$B$204)),2)="PR",2,2))),"")</f>
        <v/>
      </c>
      <c r="T970" s="181" t="str">
        <f>IFERROR(LOOKUP(2,1/((B_Drainage!$A$5:$A$204&lt;&gt;"")*(B_Drainage!$A$5:$A$204&lt;=$B970)*(B_Drainage!$B$5:$B$204&gt;$B970)*(B_Drainage!$E$5:$E$204&lt;&gt;"")),IF(B_Drainage!$E$5:$E$204="-","",1)),"")</f>
        <v/>
      </c>
      <c r="U970" s="181" t="str">
        <f>IFERROR(LOOKUP(2,1/((B_Drainage!$A$5:$A$204&lt;&gt;"")*(B_Drainage!$A$5:$A$204&lt;=$B970)*(B_Drainage!$B$5:$B$204&gt;$B970)*(B_Drainage!$E$5:$E$204&lt;&gt;"")),IF(B_Drainage!$E$5:$E$204="-","",B_Drainage!$E$5:$E$204)),"")</f>
        <v/>
      </c>
      <c r="V970" s="181" t="str">
        <f>IFERROR(LOOKUP(2,1/((B_Drainage!$A$5:$A$204&lt;&gt;"")*(B_Drainage!$A$5:$A$204&lt;=$B970)*(B_Drainage!$B$5:$B$204&gt;$B970)*(B_Drainage!$F$5:$F$204&lt;&gt;"")),IF(B_Drainage!$F$5:$F$204="-","",1)),"")</f>
        <v/>
      </c>
      <c r="W970" s="181" t="str">
        <f>IFERROR(LOOKUP(2,1/((B_Drainage!$A$5:$A$204&lt;&gt;"")*(B_Drainage!$A$5:$A$204&lt;=$B970)*(B_Drainage!$B$5:$B$204&gt;$B970)*(B_Drainage!$F$5:$F$204&lt;&gt;"")),IF(B_Drainage!$F$5:$F$204="-","",B_Drainage!$F$5:$F$204)),"")</f>
        <v/>
      </c>
      <c r="X970" s="181" t="str">
        <f>IFERROR(LOOKUP(2,1/((B_Drainage!$A$5:$A$204&lt;&gt;"")*(B_Drainage!$A$5:$A$204&lt;=$B970)*(B_Drainage!$B$5:$B$204&gt;$B970)*(B_Drainage!$G$5:$G$204&lt;&gt;"")),IF(UPPER(B_Drainage!$G$5:$G$204)="Y",1,"")),"")</f>
        <v/>
      </c>
      <c r="Y970" s="181" t="str">
        <f>IFERROR(LOOKUP(2,1/((B_Drainage!$A$5:$A$204&lt;&gt;"")*(B_Drainage!$A$5:$A$204&lt;=$B970)*(B_Drainage!$B$5:$B$204&gt;$B970)*(B_Drainage!$H$5:$H$204&lt;&gt;"")),IF(UPPER(B_Drainage!$H$5:$H$204)="Y",1,"")),"")</f>
        <v/>
      </c>
      <c r="Z970" s="181" t="str">
        <f>IFERROR(LOOKUP(2,1/((B_Drainage!$A$5:$A$204&lt;&gt;"")*(B_Drainage!$A$5:$A$204&lt;=$B970)*(B_Drainage!$B$5:$B$204&gt;$B970)*(B_Drainage!$I$5:$I$204&lt;&gt;"")),IF(UPPER(B_Drainage!$I$5:$I$204)="Y",1,"")),"")</f>
        <v/>
      </c>
      <c r="AA970" s="181" t="str">
        <f>IFERROR(LOOKUP(2,1/((B_Drainage!$A$5:$A$204&lt;&gt;"")*(B_Drainage!$A$5:$A$204&lt;=$B970)*(B_Drainage!$B$5:$B$204&gt;$B970)*(B_Drainage!$J$5:$J$204&lt;&gt;"")),IF(UPPER(B_Drainage!$J$5:$J$204)="Y",1,"")),"")</f>
        <v/>
      </c>
      <c r="AB970" s="182" t="str">
        <f>IFERROR(LOOKUP(2,1/((B_Drainage!$A$5:$A$204&lt;&gt;"")*(B_Drainage!$A$5:$A$204&lt;=$B970)*(B_Drainage!$B$5:$B$204&gt;$B970)*(B_Drainage!$K$5:$K$204&lt;&gt;"")),IF(B_Drainage!$K$5:$K$204="-","",B_Drainage!$K$5:$K$204)),"")</f>
        <v/>
      </c>
      <c r="AC970" s="182" t="str">
        <f>IFERROR(LOOKUP(2,1/((B_Drainage!$A$5:$A$204&lt;&gt;"")*(B_Drainage!$A$5:$A$204&lt;=$B970)*(B_Drainage!$B$5:$B$204&gt;$B970)*(B_Drainage!$L$5:$L$204&lt;&gt;"")),IF(B_Drainage!$L$5:$L$204="-","",B_Drainage!$L$5:$L$204)),"")</f>
        <v/>
      </c>
      <c r="AD970" s="182" t="str">
        <f>IFERROR(LOOKUP(2,1/((D_Points!$A$5:$A$204&lt;&gt;"")*(D_Points!$A$5:$A$204&gt;=$B970)*(D_Points!$A$5:$A$204&lt;$B970+P_Interval)*(UPPER(TRIM(D_Points!$B$5:$B$204))="TURNOUT_L")*(D_Points!$H$5:$H$204&lt;&gt;"")),D_Points!$H$5:$H$204),"")</f>
        <v/>
      </c>
      <c r="AE970" s="182" t="str">
        <f>IFERROR(LOOKUP(2,1/((D_Points!$A$5:$A$204&lt;&gt;"")*(D_Points!$A$5:$A$204&gt;=$B970)*(D_Points!$A$5:$A$204&lt;$B970+P_Interval)*(UPPER(TRIM(D_Points!$B$5:$B$204))="TURNOUT_R")*(D_Points!$H$5:$H$204&lt;&gt;"")),D_Points!$H$5:$H$204),"")</f>
        <v/>
      </c>
      <c r="AF970" s="181" t="str">
        <f>IFERROR(LOOKUP(2,1/((B_Drainage!$A$5:$A$204&lt;&gt;"")*(B_Drainage!$A$5:$A$204&lt;=$B970)*(B_Drainage!$B$5:$B$204&gt;$B970)*(B_Drainage!$M$5:$M$204&lt;&gt;"")),IF(UPPER(B_Drainage!$M$5:$M$204)="Y",1,"")),"")</f>
        <v/>
      </c>
      <c r="AG970" s="181" t="str">
        <f>IFERROR(LOOKUP(2,1/((B_Drainage!$A$5:$A$204&lt;&gt;"")*(B_Drainage!$A$5:$A$204&lt;=$B970)*(B_Drainage!$B$5:$B$204&gt;$B970)*(B_Drainage!$N$5:$N$204&lt;&gt;"")),IF(UPPER(B_Drainage!$N$5:$N$204)="Y",1,"")),"")</f>
        <v/>
      </c>
      <c r="AH970" s="181" t="str">
        <f t="shared" si="120"/>
        <v/>
      </c>
      <c r="AI970" s="181" t="str">
        <f t="shared" si="121"/>
        <v/>
      </c>
      <c r="AJ970" s="181" t="str">
        <f t="shared" si="122"/>
        <v/>
      </c>
      <c r="AK970" s="181" t="str">
        <f t="shared" si="123"/>
        <v/>
      </c>
      <c r="AL970" s="181" t="str">
        <f t="shared" si="124"/>
        <v/>
      </c>
      <c r="AM970" s="181" t="str">
        <f t="shared" si="125"/>
        <v/>
      </c>
      <c r="AN970" s="181" t="str">
        <f t="shared" si="126"/>
        <v/>
      </c>
      <c r="AO970" s="192" t="str">
        <f t="shared" si="127"/>
        <v/>
      </c>
      <c r="AQ970" t="str">
        <f>IFERROR(LOOKUP(2,1/((C_Pavement!$A$5:$A$204&lt;&gt;"")*(C_Pavement!$A$5:$A$204&lt;=$B970)*(C_Pavement!$B$5:$B$204&gt;$B970)*(C_Pavement!$C$5:$C$204&lt;&gt;"")),ROW(C_Pavement!$C$5:$C$204)-4),"")</f>
        <v/>
      </c>
      <c r="AR970" t="str">
        <f>IF($AQ970="","",UPPER(TRIM(INDEX(C_Pavement!$C$5:$C$204,$AQ970))))</f>
        <v/>
      </c>
      <c r="AS970" t="str">
        <f>IF($AR970="","",IFERROR(MATCH($AR970,E_Rules!$A$5:$A$9,0),""))</f>
        <v/>
      </c>
      <c r="AT970" t="str">
        <f>IF($AQ970="","",IF(INDEX(C_Pavement!$D$5:$D$204,$AQ970)&lt;&gt;"",UPPER(TRIM(INDEX(C_Pavement!$D$5:$D$204,$AQ970))),IF($AS970="","",INDEX(E_Rules!$C$5:$C$9,$AS970))))</f>
        <v/>
      </c>
      <c r="AU970" t="str">
        <f>IF($AQ970="","",IF(INDEX(C_Pavement!$E$5:$E$204,$AQ970)&lt;&gt;"",IF(INDEX(C_Pavement!$E$5:$E$204,$AQ970)="-","",INDEX(C_Pavement!$E$5:$E$204,$AQ970)),IF($AS970="","",INDEX(E_Rules!$D$5:$D$9,$AS970))))</f>
        <v/>
      </c>
      <c r="AV970" t="str">
        <f>IF($AQ970="","",IF(INDEX(C_Pavement!$F$5:$F$204,$AQ970)&lt;&gt;"",IF(INDEX(C_Pavement!$F$5:$F$204,$AQ970)="-","",INDEX(C_Pavement!$F$5:$F$204,$AQ970)),IF($AS970="","",INDEX(E_Rules!$E$5:$E$9,$AS970))))</f>
        <v/>
      </c>
      <c r="AW970" t="str">
        <f>IF($AQ970="","",IF(INDEX(C_Pavement!$G$5:$G$204,$AQ970)&lt;&gt;"",IF(INDEX(C_Pavement!$G$5:$G$204,$AQ970)="-","",INDEX(C_Pavement!$G$5:$G$204,$AQ970)),IF($AS970="","",INDEX(E_Rules!$F$5:$F$9,$AS970))))</f>
        <v/>
      </c>
      <c r="AX970" t="str">
        <f>IF($AQ970="","",IF(INDEX(C_Pavement!$H$5:$H$204,$AQ970)&lt;&gt;"",IF(INDEX(C_Pavement!$H$5:$H$204,$AQ970)="-","",INDEX(C_Pavement!$H$5:$H$204,$AQ970)),IF($AS970="","",INDEX(E_Rules!$G$5:$G$9,$AS970))))</f>
        <v/>
      </c>
      <c r="AY970" t="str">
        <f>IF($AQ970="","",IF(INDEX(C_Pavement!$I$5:$I$204,$AQ970)&lt;&gt;"",IF(INDEX(C_Pavement!$I$5:$I$204,$AQ970)="-","",INDEX(C_Pavement!$I$5:$I$204,$AQ970)),IF($AS970="","",INDEX(E_Rules!$H$5:$H$9,$AS970))))</f>
        <v/>
      </c>
    </row>
    <row r="971" spans="1:51" ht="15.75" customHeight="1" x14ac:dyDescent="0.3">
      <c r="A971" s="189">
        <v>966</v>
      </c>
      <c r="B971" s="180">
        <v>48250</v>
      </c>
      <c r="C971" s="180" t="s">
        <v>1277</v>
      </c>
      <c r="D971" s="181" t="str">
        <f>IFERROR(LOOKUP(2,1/((A_Corridor!$A$5:$A$204&lt;&gt;"")*(A_Corridor!$A$5:$A$204&lt;=$B971)*(A_Corridor!$B$5:$B$204&gt;$B971)*(A_Corridor!$C$5:$C$204&lt;&gt;"")),IF(UPPER(A_Corridor!$C$5:$C$204)="Y",1,"")),"")</f>
        <v/>
      </c>
      <c r="E971" s="181" t="str">
        <f>IFERROR(LOOKUP(2,1/((A_Corridor!$A$5:$A$204&lt;&gt;"")*(A_Corridor!$A$5:$A$204&lt;=$B971)*(A_Corridor!$B$5:$B$204&gt;$B971)*(A_Corridor!$D$5:$D$204&lt;&gt;"")),IF(A_Corridor!$D$5:$D$204="-","",UPPER(A_Corridor!$D$5:$D$204))),"")</f>
        <v/>
      </c>
      <c r="F971" s="181" t="str">
        <f>IFERROR(LOOKUP(2,1/((A_Corridor!$A$5:$A$204&lt;&gt;"")*(A_Corridor!$A$5:$A$204&lt;=$B971)*(A_Corridor!$B$5:$B$204&gt;$B971)*(A_Corridor!$E$5:$E$204&lt;&gt;"")),IF(A_Corridor!$E$5:$E$204="-","",1)),"")</f>
        <v/>
      </c>
      <c r="G971" s="182" t="str">
        <f>IFERROR(LOOKUP(2,1/((A_Corridor!$A$5:$A$204&lt;&gt;"")*(A_Corridor!$A$5:$A$204&lt;=$B971)*(A_Corridor!$B$5:$B$204&gt;$B971)*(A_Corridor!$E$5:$E$204&lt;&gt;"")),IF(A_Corridor!$E$5:$E$204="-","",A_Corridor!$E$5:$E$204)),"")</f>
        <v/>
      </c>
      <c r="H971" s="182" t="str">
        <f>IFERROR(LOOKUP(2,1/((D_Points!$A$5:$A$204&lt;&gt;"")*(D_Points!$A$5:$A$204&gt;=$B971)*(D_Points!$A$5:$A$204&lt;$B971+P_Interval)*(UPPER(TRIM(D_Points!$B$5:$B$204))="GULLY")*(D_Points!$H$5:$H$204&lt;&gt;"")),D_Points!$H$5:$H$204),"")</f>
        <v/>
      </c>
      <c r="I971" s="181" t="str">
        <f>IFERROR(LOOKUP(2,1/((A_Corridor!$A$5:$A$204&lt;&gt;"")*(A_Corridor!$A$5:$A$204&lt;=$B971)*(A_Corridor!$B$5:$B$204&gt;$B971)*(A_Corridor!$F$5:$F$204&lt;&gt;"")),IF(A_Corridor!$F$5:$F$204="-","",1)),"")</f>
        <v/>
      </c>
      <c r="J971" s="182" t="str">
        <f>IFERROR(LOOKUP(2,1/((A_Corridor!$A$5:$A$204&lt;&gt;"")*(A_Corridor!$A$5:$A$204&lt;=$B971)*(A_Corridor!$B$5:$B$204&gt;$B971)*(A_Corridor!$F$5:$F$204&lt;&gt;"")),IF(A_Corridor!$F$5:$F$204="-","",A_Corridor!$F$5:$F$204)),"")</f>
        <v/>
      </c>
      <c r="K971" s="182" t="str">
        <f>IFERROR(LOOKUP(2,1/((A_Corridor!$A$5:$A$204&lt;&gt;"")*(A_Corridor!$A$5:$A$204&lt;=$B971)*(A_Corridor!$B$5:$B$204&gt;$B971)*(A_Corridor!$G$5:$G$204&lt;&gt;"")),IF(A_Corridor!$G$5:$G$204="-","",A_Corridor!$G$5:$G$204)),"")</f>
        <v/>
      </c>
      <c r="L971" s="181" t="str">
        <f>IFERROR(LOOKUP(2,1/((A_Corridor!$A$5:$A$204&lt;&gt;"")*(A_Corridor!$A$5:$A$204&lt;=$B971)*(A_Corridor!$B$5:$B$204&gt;$B971)*(A_Corridor!$H$5:$H$204&lt;&gt;"")),IF(A_Corridor!$H$5:$H$204="-","",1)),"")</f>
        <v/>
      </c>
      <c r="M971" s="182" t="str">
        <f>IFERROR(LOOKUP(2,1/((A_Corridor!$A$5:$A$204&lt;&gt;"")*(A_Corridor!$A$5:$A$204&lt;=$B971)*(A_Corridor!$B$5:$B$204&gt;$B971)*(A_Corridor!$H$5:$H$204&lt;&gt;"")),IF(A_Corridor!$H$5:$H$204="-","",A_Corridor!$H$5:$H$204)),"")</f>
        <v/>
      </c>
      <c r="N971" s="182" t="str">
        <f>IFERROR(LOOKUP(2,1/((A_Corridor!$A$5:$A$204&lt;&gt;"")*(A_Corridor!$A$5:$A$204&lt;=$B971)*(A_Corridor!$B$5:$B$204&gt;$B971)*(A_Corridor!$I$5:$I$204&lt;&gt;"")),IF(A_Corridor!$I$5:$I$204="-","",A_Corridor!$I$5:$I$204)),"")</f>
        <v/>
      </c>
      <c r="O971" s="182" t="str">
        <f>IFERROR(LOOKUP(2,1/((D_Points!$A$5:$A$204&lt;&gt;"")*(D_Points!$A$5:$A$204&gt;=$B971)*(D_Points!$A$5:$A$204&lt;$B971+P_Interval)*(UPPER(TRIM(D_Points!$B$5:$B$204))="PITCHING")*(D_Points!$H$5:$H$204&lt;&gt;"")),D_Points!$H$5:$H$204),"")</f>
        <v/>
      </c>
      <c r="P971" s="181" t="str">
        <f>IFERROR(LOOKUP(2,1/((B_Drainage!$A$5:$A$204&lt;&gt;"")*(B_Drainage!$A$5:$A$204&lt;=$B971)*(B_Drainage!$B$5:$B$204&gt;$B971)*(B_Drainage!$C$5:$C$204&lt;&gt;"")),IF(B_Drainage!$C$5:$C$204="-","",UPPER(B_Drainage!$C$5:$C$204))),"")</f>
        <v/>
      </c>
      <c r="Q971" s="181" t="str">
        <f>IFERROR(LOOKUP(2,1/((B_Drainage!$A$5:$A$204&lt;&gt;"")*(B_Drainage!$A$5:$A$204&lt;=$B971)*(B_Drainage!$B$5:$B$204&gt;$B971)*(B_Drainage!$D$5:$D$204&lt;&gt;"")),IF(B_Drainage!$D$5:$D$204="-","",UPPER(B_Drainage!$D$5:$D$204))),"")</f>
        <v/>
      </c>
      <c r="R971" s="182" t="str">
        <f>IFERROR(LOOKUP(2,1/((D_Points!$A$5:$A$204&lt;&gt;"")*(D_Points!$A$5:$A$204&gt;=$B971)*(D_Points!$A$5:$A$204&lt;$B971+P_Interval)*(RIGHT(UPPER(TRIM(D_Points!$B$5:$B$204)),8)="_CULVERT")),IF(LEFT(UPPER(TRIM(D_Points!$B$5:$B$204)),2)="EX",1,IF(LEFT(UPPER(TRIM(D_Points!$B$5:$B$204)),2)="PR",2,3))),"")</f>
        <v/>
      </c>
      <c r="S971" s="182" t="str">
        <f>IFERROR(LOOKUP(2,1/((D_Points!$A$5:$A$204&lt;&gt;"")*(D_Points!$A$5:$A$204&gt;=$B971)*(D_Points!$A$5:$A$204&lt;$B971+P_Interval)*(RIGHT(UPPER(TRIM(D_Points!$B$5:$B$204)),7)="_BRIDGE")),IF(LEFT(UPPER(TRIM(D_Points!$B$5:$B$204)),2)="EX",1,IF(LEFT(UPPER(TRIM(D_Points!$B$5:$B$204)),2)="PR",2,2))),"")</f>
        <v/>
      </c>
      <c r="T971" s="181" t="str">
        <f>IFERROR(LOOKUP(2,1/((B_Drainage!$A$5:$A$204&lt;&gt;"")*(B_Drainage!$A$5:$A$204&lt;=$B971)*(B_Drainage!$B$5:$B$204&gt;$B971)*(B_Drainage!$E$5:$E$204&lt;&gt;"")),IF(B_Drainage!$E$5:$E$204="-","",1)),"")</f>
        <v/>
      </c>
      <c r="U971" s="181" t="str">
        <f>IFERROR(LOOKUP(2,1/((B_Drainage!$A$5:$A$204&lt;&gt;"")*(B_Drainage!$A$5:$A$204&lt;=$B971)*(B_Drainage!$B$5:$B$204&gt;$B971)*(B_Drainage!$E$5:$E$204&lt;&gt;"")),IF(B_Drainage!$E$5:$E$204="-","",B_Drainage!$E$5:$E$204)),"")</f>
        <v/>
      </c>
      <c r="V971" s="181" t="str">
        <f>IFERROR(LOOKUP(2,1/((B_Drainage!$A$5:$A$204&lt;&gt;"")*(B_Drainage!$A$5:$A$204&lt;=$B971)*(B_Drainage!$B$5:$B$204&gt;$B971)*(B_Drainage!$F$5:$F$204&lt;&gt;"")),IF(B_Drainage!$F$5:$F$204="-","",1)),"")</f>
        <v/>
      </c>
      <c r="W971" s="181" t="str">
        <f>IFERROR(LOOKUP(2,1/((B_Drainage!$A$5:$A$204&lt;&gt;"")*(B_Drainage!$A$5:$A$204&lt;=$B971)*(B_Drainage!$B$5:$B$204&gt;$B971)*(B_Drainage!$F$5:$F$204&lt;&gt;"")),IF(B_Drainage!$F$5:$F$204="-","",B_Drainage!$F$5:$F$204)),"")</f>
        <v/>
      </c>
      <c r="X971" s="181" t="str">
        <f>IFERROR(LOOKUP(2,1/((B_Drainage!$A$5:$A$204&lt;&gt;"")*(B_Drainage!$A$5:$A$204&lt;=$B971)*(B_Drainage!$B$5:$B$204&gt;$B971)*(B_Drainage!$G$5:$G$204&lt;&gt;"")),IF(UPPER(B_Drainage!$G$5:$G$204)="Y",1,"")),"")</f>
        <v/>
      </c>
      <c r="Y971" s="181" t="str">
        <f>IFERROR(LOOKUP(2,1/((B_Drainage!$A$5:$A$204&lt;&gt;"")*(B_Drainage!$A$5:$A$204&lt;=$B971)*(B_Drainage!$B$5:$B$204&gt;$B971)*(B_Drainage!$H$5:$H$204&lt;&gt;"")),IF(UPPER(B_Drainage!$H$5:$H$204)="Y",1,"")),"")</f>
        <v/>
      </c>
      <c r="Z971" s="181" t="str">
        <f>IFERROR(LOOKUP(2,1/((B_Drainage!$A$5:$A$204&lt;&gt;"")*(B_Drainage!$A$5:$A$204&lt;=$B971)*(B_Drainage!$B$5:$B$204&gt;$B971)*(B_Drainage!$I$5:$I$204&lt;&gt;"")),IF(UPPER(B_Drainage!$I$5:$I$204)="Y",1,"")),"")</f>
        <v/>
      </c>
      <c r="AA971" s="181" t="str">
        <f>IFERROR(LOOKUP(2,1/((B_Drainage!$A$5:$A$204&lt;&gt;"")*(B_Drainage!$A$5:$A$204&lt;=$B971)*(B_Drainage!$B$5:$B$204&gt;$B971)*(B_Drainage!$J$5:$J$204&lt;&gt;"")),IF(UPPER(B_Drainage!$J$5:$J$204)="Y",1,"")),"")</f>
        <v/>
      </c>
      <c r="AB971" s="182" t="str">
        <f>IFERROR(LOOKUP(2,1/((B_Drainage!$A$5:$A$204&lt;&gt;"")*(B_Drainage!$A$5:$A$204&lt;=$B971)*(B_Drainage!$B$5:$B$204&gt;$B971)*(B_Drainage!$K$5:$K$204&lt;&gt;"")),IF(B_Drainage!$K$5:$K$204="-","",B_Drainage!$K$5:$K$204)),"")</f>
        <v/>
      </c>
      <c r="AC971" s="182" t="str">
        <f>IFERROR(LOOKUP(2,1/((B_Drainage!$A$5:$A$204&lt;&gt;"")*(B_Drainage!$A$5:$A$204&lt;=$B971)*(B_Drainage!$B$5:$B$204&gt;$B971)*(B_Drainage!$L$5:$L$204&lt;&gt;"")),IF(B_Drainage!$L$5:$L$204="-","",B_Drainage!$L$5:$L$204)),"")</f>
        <v/>
      </c>
      <c r="AD971" s="182" t="str">
        <f>IFERROR(LOOKUP(2,1/((D_Points!$A$5:$A$204&lt;&gt;"")*(D_Points!$A$5:$A$204&gt;=$B971)*(D_Points!$A$5:$A$204&lt;$B971+P_Interval)*(UPPER(TRIM(D_Points!$B$5:$B$204))="TURNOUT_L")*(D_Points!$H$5:$H$204&lt;&gt;"")),D_Points!$H$5:$H$204),"")</f>
        <v/>
      </c>
      <c r="AE971" s="182" t="str">
        <f>IFERROR(LOOKUP(2,1/((D_Points!$A$5:$A$204&lt;&gt;"")*(D_Points!$A$5:$A$204&gt;=$B971)*(D_Points!$A$5:$A$204&lt;$B971+P_Interval)*(UPPER(TRIM(D_Points!$B$5:$B$204))="TURNOUT_R")*(D_Points!$H$5:$H$204&lt;&gt;"")),D_Points!$H$5:$H$204),"")</f>
        <v/>
      </c>
      <c r="AF971" s="181" t="str">
        <f>IFERROR(LOOKUP(2,1/((B_Drainage!$A$5:$A$204&lt;&gt;"")*(B_Drainage!$A$5:$A$204&lt;=$B971)*(B_Drainage!$B$5:$B$204&gt;$B971)*(B_Drainage!$M$5:$M$204&lt;&gt;"")),IF(UPPER(B_Drainage!$M$5:$M$204)="Y",1,"")),"")</f>
        <v/>
      </c>
      <c r="AG971" s="181" t="str">
        <f>IFERROR(LOOKUP(2,1/((B_Drainage!$A$5:$A$204&lt;&gt;"")*(B_Drainage!$A$5:$A$204&lt;=$B971)*(B_Drainage!$B$5:$B$204&gt;$B971)*(B_Drainage!$N$5:$N$204&lt;&gt;"")),IF(UPPER(B_Drainage!$N$5:$N$204)="Y",1,"")),"")</f>
        <v/>
      </c>
      <c r="AH971" s="181" t="str">
        <f t="shared" si="120"/>
        <v/>
      </c>
      <c r="AI971" s="181" t="str">
        <f t="shared" si="121"/>
        <v/>
      </c>
      <c r="AJ971" s="181" t="str">
        <f t="shared" si="122"/>
        <v/>
      </c>
      <c r="AK971" s="181" t="str">
        <f t="shared" si="123"/>
        <v/>
      </c>
      <c r="AL971" s="181" t="str">
        <f t="shared" si="124"/>
        <v/>
      </c>
      <c r="AM971" s="181" t="str">
        <f t="shared" si="125"/>
        <v/>
      </c>
      <c r="AN971" s="181" t="str">
        <f t="shared" si="126"/>
        <v/>
      </c>
      <c r="AO971" s="192" t="str">
        <f t="shared" si="127"/>
        <v/>
      </c>
      <c r="AQ971" t="str">
        <f>IFERROR(LOOKUP(2,1/((C_Pavement!$A$5:$A$204&lt;&gt;"")*(C_Pavement!$A$5:$A$204&lt;=$B971)*(C_Pavement!$B$5:$B$204&gt;$B971)*(C_Pavement!$C$5:$C$204&lt;&gt;"")),ROW(C_Pavement!$C$5:$C$204)-4),"")</f>
        <v/>
      </c>
      <c r="AR971" t="str">
        <f>IF($AQ971="","",UPPER(TRIM(INDEX(C_Pavement!$C$5:$C$204,$AQ971))))</f>
        <v/>
      </c>
      <c r="AS971" t="str">
        <f>IF($AR971="","",IFERROR(MATCH($AR971,E_Rules!$A$5:$A$9,0),""))</f>
        <v/>
      </c>
      <c r="AT971" t="str">
        <f>IF($AQ971="","",IF(INDEX(C_Pavement!$D$5:$D$204,$AQ971)&lt;&gt;"",UPPER(TRIM(INDEX(C_Pavement!$D$5:$D$204,$AQ971))),IF($AS971="","",INDEX(E_Rules!$C$5:$C$9,$AS971))))</f>
        <v/>
      </c>
      <c r="AU971" t="str">
        <f>IF($AQ971="","",IF(INDEX(C_Pavement!$E$5:$E$204,$AQ971)&lt;&gt;"",IF(INDEX(C_Pavement!$E$5:$E$204,$AQ971)="-","",INDEX(C_Pavement!$E$5:$E$204,$AQ971)),IF($AS971="","",INDEX(E_Rules!$D$5:$D$9,$AS971))))</f>
        <v/>
      </c>
      <c r="AV971" t="str">
        <f>IF($AQ971="","",IF(INDEX(C_Pavement!$F$5:$F$204,$AQ971)&lt;&gt;"",IF(INDEX(C_Pavement!$F$5:$F$204,$AQ971)="-","",INDEX(C_Pavement!$F$5:$F$204,$AQ971)),IF($AS971="","",INDEX(E_Rules!$E$5:$E$9,$AS971))))</f>
        <v/>
      </c>
      <c r="AW971" t="str">
        <f>IF($AQ971="","",IF(INDEX(C_Pavement!$G$5:$G$204,$AQ971)&lt;&gt;"",IF(INDEX(C_Pavement!$G$5:$G$204,$AQ971)="-","",INDEX(C_Pavement!$G$5:$G$204,$AQ971)),IF($AS971="","",INDEX(E_Rules!$F$5:$F$9,$AS971))))</f>
        <v/>
      </c>
      <c r="AX971" t="str">
        <f>IF($AQ971="","",IF(INDEX(C_Pavement!$H$5:$H$204,$AQ971)&lt;&gt;"",IF(INDEX(C_Pavement!$H$5:$H$204,$AQ971)="-","",INDEX(C_Pavement!$H$5:$H$204,$AQ971)),IF($AS971="","",INDEX(E_Rules!$G$5:$G$9,$AS971))))</f>
        <v/>
      </c>
      <c r="AY971" t="str">
        <f>IF($AQ971="","",IF(INDEX(C_Pavement!$I$5:$I$204,$AQ971)&lt;&gt;"",IF(INDEX(C_Pavement!$I$5:$I$204,$AQ971)="-","",INDEX(C_Pavement!$I$5:$I$204,$AQ971)),IF($AS971="","",INDEX(E_Rules!$H$5:$H$9,$AS971))))</f>
        <v/>
      </c>
    </row>
    <row r="972" spans="1:51" ht="15.75" customHeight="1" x14ac:dyDescent="0.3">
      <c r="A972" s="189">
        <v>967</v>
      </c>
      <c r="B972" s="180">
        <v>48300</v>
      </c>
      <c r="C972" s="180" t="s">
        <v>1278</v>
      </c>
      <c r="D972" s="181" t="str">
        <f>IFERROR(LOOKUP(2,1/((A_Corridor!$A$5:$A$204&lt;&gt;"")*(A_Corridor!$A$5:$A$204&lt;=$B972)*(A_Corridor!$B$5:$B$204&gt;$B972)*(A_Corridor!$C$5:$C$204&lt;&gt;"")),IF(UPPER(A_Corridor!$C$5:$C$204)="Y",1,"")),"")</f>
        <v/>
      </c>
      <c r="E972" s="181" t="str">
        <f>IFERROR(LOOKUP(2,1/((A_Corridor!$A$5:$A$204&lt;&gt;"")*(A_Corridor!$A$5:$A$204&lt;=$B972)*(A_Corridor!$B$5:$B$204&gt;$B972)*(A_Corridor!$D$5:$D$204&lt;&gt;"")),IF(A_Corridor!$D$5:$D$204="-","",UPPER(A_Corridor!$D$5:$D$204))),"")</f>
        <v/>
      </c>
      <c r="F972" s="181" t="str">
        <f>IFERROR(LOOKUP(2,1/((A_Corridor!$A$5:$A$204&lt;&gt;"")*(A_Corridor!$A$5:$A$204&lt;=$B972)*(A_Corridor!$B$5:$B$204&gt;$B972)*(A_Corridor!$E$5:$E$204&lt;&gt;"")),IF(A_Corridor!$E$5:$E$204="-","",1)),"")</f>
        <v/>
      </c>
      <c r="G972" s="182" t="str">
        <f>IFERROR(LOOKUP(2,1/((A_Corridor!$A$5:$A$204&lt;&gt;"")*(A_Corridor!$A$5:$A$204&lt;=$B972)*(A_Corridor!$B$5:$B$204&gt;$B972)*(A_Corridor!$E$5:$E$204&lt;&gt;"")),IF(A_Corridor!$E$5:$E$204="-","",A_Corridor!$E$5:$E$204)),"")</f>
        <v/>
      </c>
      <c r="H972" s="182" t="str">
        <f>IFERROR(LOOKUP(2,1/((D_Points!$A$5:$A$204&lt;&gt;"")*(D_Points!$A$5:$A$204&gt;=$B972)*(D_Points!$A$5:$A$204&lt;$B972+P_Interval)*(UPPER(TRIM(D_Points!$B$5:$B$204))="GULLY")*(D_Points!$H$5:$H$204&lt;&gt;"")),D_Points!$H$5:$H$204),"")</f>
        <v/>
      </c>
      <c r="I972" s="181" t="str">
        <f>IFERROR(LOOKUP(2,1/((A_Corridor!$A$5:$A$204&lt;&gt;"")*(A_Corridor!$A$5:$A$204&lt;=$B972)*(A_Corridor!$B$5:$B$204&gt;$B972)*(A_Corridor!$F$5:$F$204&lt;&gt;"")),IF(A_Corridor!$F$5:$F$204="-","",1)),"")</f>
        <v/>
      </c>
      <c r="J972" s="182" t="str">
        <f>IFERROR(LOOKUP(2,1/((A_Corridor!$A$5:$A$204&lt;&gt;"")*(A_Corridor!$A$5:$A$204&lt;=$B972)*(A_Corridor!$B$5:$B$204&gt;$B972)*(A_Corridor!$F$5:$F$204&lt;&gt;"")),IF(A_Corridor!$F$5:$F$204="-","",A_Corridor!$F$5:$F$204)),"")</f>
        <v/>
      </c>
      <c r="K972" s="182" t="str">
        <f>IFERROR(LOOKUP(2,1/((A_Corridor!$A$5:$A$204&lt;&gt;"")*(A_Corridor!$A$5:$A$204&lt;=$B972)*(A_Corridor!$B$5:$B$204&gt;$B972)*(A_Corridor!$G$5:$G$204&lt;&gt;"")),IF(A_Corridor!$G$5:$G$204="-","",A_Corridor!$G$5:$G$204)),"")</f>
        <v/>
      </c>
      <c r="L972" s="181" t="str">
        <f>IFERROR(LOOKUP(2,1/((A_Corridor!$A$5:$A$204&lt;&gt;"")*(A_Corridor!$A$5:$A$204&lt;=$B972)*(A_Corridor!$B$5:$B$204&gt;$B972)*(A_Corridor!$H$5:$H$204&lt;&gt;"")),IF(A_Corridor!$H$5:$H$204="-","",1)),"")</f>
        <v/>
      </c>
      <c r="M972" s="182" t="str">
        <f>IFERROR(LOOKUP(2,1/((A_Corridor!$A$5:$A$204&lt;&gt;"")*(A_Corridor!$A$5:$A$204&lt;=$B972)*(A_Corridor!$B$5:$B$204&gt;$B972)*(A_Corridor!$H$5:$H$204&lt;&gt;"")),IF(A_Corridor!$H$5:$H$204="-","",A_Corridor!$H$5:$H$204)),"")</f>
        <v/>
      </c>
      <c r="N972" s="182" t="str">
        <f>IFERROR(LOOKUP(2,1/((A_Corridor!$A$5:$A$204&lt;&gt;"")*(A_Corridor!$A$5:$A$204&lt;=$B972)*(A_Corridor!$B$5:$B$204&gt;$B972)*(A_Corridor!$I$5:$I$204&lt;&gt;"")),IF(A_Corridor!$I$5:$I$204="-","",A_Corridor!$I$5:$I$204)),"")</f>
        <v/>
      </c>
      <c r="O972" s="182" t="str">
        <f>IFERROR(LOOKUP(2,1/((D_Points!$A$5:$A$204&lt;&gt;"")*(D_Points!$A$5:$A$204&gt;=$B972)*(D_Points!$A$5:$A$204&lt;$B972+P_Interval)*(UPPER(TRIM(D_Points!$B$5:$B$204))="PITCHING")*(D_Points!$H$5:$H$204&lt;&gt;"")),D_Points!$H$5:$H$204),"")</f>
        <v/>
      </c>
      <c r="P972" s="181" t="str">
        <f>IFERROR(LOOKUP(2,1/((B_Drainage!$A$5:$A$204&lt;&gt;"")*(B_Drainage!$A$5:$A$204&lt;=$B972)*(B_Drainage!$B$5:$B$204&gt;$B972)*(B_Drainage!$C$5:$C$204&lt;&gt;"")),IF(B_Drainage!$C$5:$C$204="-","",UPPER(B_Drainage!$C$5:$C$204))),"")</f>
        <v/>
      </c>
      <c r="Q972" s="181" t="str">
        <f>IFERROR(LOOKUP(2,1/((B_Drainage!$A$5:$A$204&lt;&gt;"")*(B_Drainage!$A$5:$A$204&lt;=$B972)*(B_Drainage!$B$5:$B$204&gt;$B972)*(B_Drainage!$D$5:$D$204&lt;&gt;"")),IF(B_Drainage!$D$5:$D$204="-","",UPPER(B_Drainage!$D$5:$D$204))),"")</f>
        <v/>
      </c>
      <c r="R972" s="182" t="str">
        <f>IFERROR(LOOKUP(2,1/((D_Points!$A$5:$A$204&lt;&gt;"")*(D_Points!$A$5:$A$204&gt;=$B972)*(D_Points!$A$5:$A$204&lt;$B972+P_Interval)*(RIGHT(UPPER(TRIM(D_Points!$B$5:$B$204)),8)="_CULVERT")),IF(LEFT(UPPER(TRIM(D_Points!$B$5:$B$204)),2)="EX",1,IF(LEFT(UPPER(TRIM(D_Points!$B$5:$B$204)),2)="PR",2,3))),"")</f>
        <v/>
      </c>
      <c r="S972" s="182" t="str">
        <f>IFERROR(LOOKUP(2,1/((D_Points!$A$5:$A$204&lt;&gt;"")*(D_Points!$A$5:$A$204&gt;=$B972)*(D_Points!$A$5:$A$204&lt;$B972+P_Interval)*(RIGHT(UPPER(TRIM(D_Points!$B$5:$B$204)),7)="_BRIDGE")),IF(LEFT(UPPER(TRIM(D_Points!$B$5:$B$204)),2)="EX",1,IF(LEFT(UPPER(TRIM(D_Points!$B$5:$B$204)),2)="PR",2,2))),"")</f>
        <v/>
      </c>
      <c r="T972" s="181" t="str">
        <f>IFERROR(LOOKUP(2,1/((B_Drainage!$A$5:$A$204&lt;&gt;"")*(B_Drainage!$A$5:$A$204&lt;=$B972)*(B_Drainage!$B$5:$B$204&gt;$B972)*(B_Drainage!$E$5:$E$204&lt;&gt;"")),IF(B_Drainage!$E$5:$E$204="-","",1)),"")</f>
        <v/>
      </c>
      <c r="U972" s="181" t="str">
        <f>IFERROR(LOOKUP(2,1/((B_Drainage!$A$5:$A$204&lt;&gt;"")*(B_Drainage!$A$5:$A$204&lt;=$B972)*(B_Drainage!$B$5:$B$204&gt;$B972)*(B_Drainage!$E$5:$E$204&lt;&gt;"")),IF(B_Drainage!$E$5:$E$204="-","",B_Drainage!$E$5:$E$204)),"")</f>
        <v/>
      </c>
      <c r="V972" s="181" t="str">
        <f>IFERROR(LOOKUP(2,1/((B_Drainage!$A$5:$A$204&lt;&gt;"")*(B_Drainage!$A$5:$A$204&lt;=$B972)*(B_Drainage!$B$5:$B$204&gt;$B972)*(B_Drainage!$F$5:$F$204&lt;&gt;"")),IF(B_Drainage!$F$5:$F$204="-","",1)),"")</f>
        <v/>
      </c>
      <c r="W972" s="181" t="str">
        <f>IFERROR(LOOKUP(2,1/((B_Drainage!$A$5:$A$204&lt;&gt;"")*(B_Drainage!$A$5:$A$204&lt;=$B972)*(B_Drainage!$B$5:$B$204&gt;$B972)*(B_Drainage!$F$5:$F$204&lt;&gt;"")),IF(B_Drainage!$F$5:$F$204="-","",B_Drainage!$F$5:$F$204)),"")</f>
        <v/>
      </c>
      <c r="X972" s="181" t="str">
        <f>IFERROR(LOOKUP(2,1/((B_Drainage!$A$5:$A$204&lt;&gt;"")*(B_Drainage!$A$5:$A$204&lt;=$B972)*(B_Drainage!$B$5:$B$204&gt;$B972)*(B_Drainage!$G$5:$G$204&lt;&gt;"")),IF(UPPER(B_Drainage!$G$5:$G$204)="Y",1,"")),"")</f>
        <v/>
      </c>
      <c r="Y972" s="181" t="str">
        <f>IFERROR(LOOKUP(2,1/((B_Drainage!$A$5:$A$204&lt;&gt;"")*(B_Drainage!$A$5:$A$204&lt;=$B972)*(B_Drainage!$B$5:$B$204&gt;$B972)*(B_Drainage!$H$5:$H$204&lt;&gt;"")),IF(UPPER(B_Drainage!$H$5:$H$204)="Y",1,"")),"")</f>
        <v/>
      </c>
      <c r="Z972" s="181" t="str">
        <f>IFERROR(LOOKUP(2,1/((B_Drainage!$A$5:$A$204&lt;&gt;"")*(B_Drainage!$A$5:$A$204&lt;=$B972)*(B_Drainage!$B$5:$B$204&gt;$B972)*(B_Drainage!$I$5:$I$204&lt;&gt;"")),IF(UPPER(B_Drainage!$I$5:$I$204)="Y",1,"")),"")</f>
        <v/>
      </c>
      <c r="AA972" s="181" t="str">
        <f>IFERROR(LOOKUP(2,1/((B_Drainage!$A$5:$A$204&lt;&gt;"")*(B_Drainage!$A$5:$A$204&lt;=$B972)*(B_Drainage!$B$5:$B$204&gt;$B972)*(B_Drainage!$J$5:$J$204&lt;&gt;"")),IF(UPPER(B_Drainage!$J$5:$J$204)="Y",1,"")),"")</f>
        <v/>
      </c>
      <c r="AB972" s="182" t="str">
        <f>IFERROR(LOOKUP(2,1/((B_Drainage!$A$5:$A$204&lt;&gt;"")*(B_Drainage!$A$5:$A$204&lt;=$B972)*(B_Drainage!$B$5:$B$204&gt;$B972)*(B_Drainage!$K$5:$K$204&lt;&gt;"")),IF(B_Drainage!$K$5:$K$204="-","",B_Drainage!$K$5:$K$204)),"")</f>
        <v/>
      </c>
      <c r="AC972" s="182" t="str">
        <f>IFERROR(LOOKUP(2,1/((B_Drainage!$A$5:$A$204&lt;&gt;"")*(B_Drainage!$A$5:$A$204&lt;=$B972)*(B_Drainage!$B$5:$B$204&gt;$B972)*(B_Drainage!$L$5:$L$204&lt;&gt;"")),IF(B_Drainage!$L$5:$L$204="-","",B_Drainage!$L$5:$L$204)),"")</f>
        <v/>
      </c>
      <c r="AD972" s="182" t="str">
        <f>IFERROR(LOOKUP(2,1/((D_Points!$A$5:$A$204&lt;&gt;"")*(D_Points!$A$5:$A$204&gt;=$B972)*(D_Points!$A$5:$A$204&lt;$B972+P_Interval)*(UPPER(TRIM(D_Points!$B$5:$B$204))="TURNOUT_L")*(D_Points!$H$5:$H$204&lt;&gt;"")),D_Points!$H$5:$H$204),"")</f>
        <v/>
      </c>
      <c r="AE972" s="182" t="str">
        <f>IFERROR(LOOKUP(2,1/((D_Points!$A$5:$A$204&lt;&gt;"")*(D_Points!$A$5:$A$204&gt;=$B972)*(D_Points!$A$5:$A$204&lt;$B972+P_Interval)*(UPPER(TRIM(D_Points!$B$5:$B$204))="TURNOUT_R")*(D_Points!$H$5:$H$204&lt;&gt;"")),D_Points!$H$5:$H$204),"")</f>
        <v/>
      </c>
      <c r="AF972" s="181" t="str">
        <f>IFERROR(LOOKUP(2,1/((B_Drainage!$A$5:$A$204&lt;&gt;"")*(B_Drainage!$A$5:$A$204&lt;=$B972)*(B_Drainage!$B$5:$B$204&gt;$B972)*(B_Drainage!$M$5:$M$204&lt;&gt;"")),IF(UPPER(B_Drainage!$M$5:$M$204)="Y",1,"")),"")</f>
        <v/>
      </c>
      <c r="AG972" s="181" t="str">
        <f>IFERROR(LOOKUP(2,1/((B_Drainage!$A$5:$A$204&lt;&gt;"")*(B_Drainage!$A$5:$A$204&lt;=$B972)*(B_Drainage!$B$5:$B$204&gt;$B972)*(B_Drainage!$N$5:$N$204&lt;&gt;"")),IF(UPPER(B_Drainage!$N$5:$N$204)="Y",1,"")),"")</f>
        <v/>
      </c>
      <c r="AH972" s="181" t="str">
        <f t="shared" si="120"/>
        <v/>
      </c>
      <c r="AI972" s="181" t="str">
        <f t="shared" si="121"/>
        <v/>
      </c>
      <c r="AJ972" s="181" t="str">
        <f t="shared" si="122"/>
        <v/>
      </c>
      <c r="AK972" s="181" t="str">
        <f t="shared" si="123"/>
        <v/>
      </c>
      <c r="AL972" s="181" t="str">
        <f t="shared" si="124"/>
        <v/>
      </c>
      <c r="AM972" s="181" t="str">
        <f t="shared" si="125"/>
        <v/>
      </c>
      <c r="AN972" s="181" t="str">
        <f t="shared" si="126"/>
        <v/>
      </c>
      <c r="AO972" s="192" t="str">
        <f t="shared" si="127"/>
        <v/>
      </c>
      <c r="AQ972" t="str">
        <f>IFERROR(LOOKUP(2,1/((C_Pavement!$A$5:$A$204&lt;&gt;"")*(C_Pavement!$A$5:$A$204&lt;=$B972)*(C_Pavement!$B$5:$B$204&gt;$B972)*(C_Pavement!$C$5:$C$204&lt;&gt;"")),ROW(C_Pavement!$C$5:$C$204)-4),"")</f>
        <v/>
      </c>
      <c r="AR972" t="str">
        <f>IF($AQ972="","",UPPER(TRIM(INDEX(C_Pavement!$C$5:$C$204,$AQ972))))</f>
        <v/>
      </c>
      <c r="AS972" t="str">
        <f>IF($AR972="","",IFERROR(MATCH($AR972,E_Rules!$A$5:$A$9,0),""))</f>
        <v/>
      </c>
      <c r="AT972" t="str">
        <f>IF($AQ972="","",IF(INDEX(C_Pavement!$D$5:$D$204,$AQ972)&lt;&gt;"",UPPER(TRIM(INDEX(C_Pavement!$D$5:$D$204,$AQ972))),IF($AS972="","",INDEX(E_Rules!$C$5:$C$9,$AS972))))</f>
        <v/>
      </c>
      <c r="AU972" t="str">
        <f>IF($AQ972="","",IF(INDEX(C_Pavement!$E$5:$E$204,$AQ972)&lt;&gt;"",IF(INDEX(C_Pavement!$E$5:$E$204,$AQ972)="-","",INDEX(C_Pavement!$E$5:$E$204,$AQ972)),IF($AS972="","",INDEX(E_Rules!$D$5:$D$9,$AS972))))</f>
        <v/>
      </c>
      <c r="AV972" t="str">
        <f>IF($AQ972="","",IF(INDEX(C_Pavement!$F$5:$F$204,$AQ972)&lt;&gt;"",IF(INDEX(C_Pavement!$F$5:$F$204,$AQ972)="-","",INDEX(C_Pavement!$F$5:$F$204,$AQ972)),IF($AS972="","",INDEX(E_Rules!$E$5:$E$9,$AS972))))</f>
        <v/>
      </c>
      <c r="AW972" t="str">
        <f>IF($AQ972="","",IF(INDEX(C_Pavement!$G$5:$G$204,$AQ972)&lt;&gt;"",IF(INDEX(C_Pavement!$G$5:$G$204,$AQ972)="-","",INDEX(C_Pavement!$G$5:$G$204,$AQ972)),IF($AS972="","",INDEX(E_Rules!$F$5:$F$9,$AS972))))</f>
        <v/>
      </c>
      <c r="AX972" t="str">
        <f>IF($AQ972="","",IF(INDEX(C_Pavement!$H$5:$H$204,$AQ972)&lt;&gt;"",IF(INDEX(C_Pavement!$H$5:$H$204,$AQ972)="-","",INDEX(C_Pavement!$H$5:$H$204,$AQ972)),IF($AS972="","",INDEX(E_Rules!$G$5:$G$9,$AS972))))</f>
        <v/>
      </c>
      <c r="AY972" t="str">
        <f>IF($AQ972="","",IF(INDEX(C_Pavement!$I$5:$I$204,$AQ972)&lt;&gt;"",IF(INDEX(C_Pavement!$I$5:$I$204,$AQ972)="-","",INDEX(C_Pavement!$I$5:$I$204,$AQ972)),IF($AS972="","",INDEX(E_Rules!$H$5:$H$9,$AS972))))</f>
        <v/>
      </c>
    </row>
    <row r="973" spans="1:51" ht="15.75" customHeight="1" x14ac:dyDescent="0.3">
      <c r="A973" s="189">
        <v>968</v>
      </c>
      <c r="B973" s="180">
        <v>48350</v>
      </c>
      <c r="C973" s="180" t="s">
        <v>1279</v>
      </c>
      <c r="D973" s="181" t="str">
        <f>IFERROR(LOOKUP(2,1/((A_Corridor!$A$5:$A$204&lt;&gt;"")*(A_Corridor!$A$5:$A$204&lt;=$B973)*(A_Corridor!$B$5:$B$204&gt;$B973)*(A_Corridor!$C$5:$C$204&lt;&gt;"")),IF(UPPER(A_Corridor!$C$5:$C$204)="Y",1,"")),"")</f>
        <v/>
      </c>
      <c r="E973" s="181" t="str">
        <f>IFERROR(LOOKUP(2,1/((A_Corridor!$A$5:$A$204&lt;&gt;"")*(A_Corridor!$A$5:$A$204&lt;=$B973)*(A_Corridor!$B$5:$B$204&gt;$B973)*(A_Corridor!$D$5:$D$204&lt;&gt;"")),IF(A_Corridor!$D$5:$D$204="-","",UPPER(A_Corridor!$D$5:$D$204))),"")</f>
        <v/>
      </c>
      <c r="F973" s="181" t="str">
        <f>IFERROR(LOOKUP(2,1/((A_Corridor!$A$5:$A$204&lt;&gt;"")*(A_Corridor!$A$5:$A$204&lt;=$B973)*(A_Corridor!$B$5:$B$204&gt;$B973)*(A_Corridor!$E$5:$E$204&lt;&gt;"")),IF(A_Corridor!$E$5:$E$204="-","",1)),"")</f>
        <v/>
      </c>
      <c r="G973" s="182" t="str">
        <f>IFERROR(LOOKUP(2,1/((A_Corridor!$A$5:$A$204&lt;&gt;"")*(A_Corridor!$A$5:$A$204&lt;=$B973)*(A_Corridor!$B$5:$B$204&gt;$B973)*(A_Corridor!$E$5:$E$204&lt;&gt;"")),IF(A_Corridor!$E$5:$E$204="-","",A_Corridor!$E$5:$E$204)),"")</f>
        <v/>
      </c>
      <c r="H973" s="182" t="str">
        <f>IFERROR(LOOKUP(2,1/((D_Points!$A$5:$A$204&lt;&gt;"")*(D_Points!$A$5:$A$204&gt;=$B973)*(D_Points!$A$5:$A$204&lt;$B973+P_Interval)*(UPPER(TRIM(D_Points!$B$5:$B$204))="GULLY")*(D_Points!$H$5:$H$204&lt;&gt;"")),D_Points!$H$5:$H$204),"")</f>
        <v/>
      </c>
      <c r="I973" s="181" t="str">
        <f>IFERROR(LOOKUP(2,1/((A_Corridor!$A$5:$A$204&lt;&gt;"")*(A_Corridor!$A$5:$A$204&lt;=$B973)*(A_Corridor!$B$5:$B$204&gt;$B973)*(A_Corridor!$F$5:$F$204&lt;&gt;"")),IF(A_Corridor!$F$5:$F$204="-","",1)),"")</f>
        <v/>
      </c>
      <c r="J973" s="182" t="str">
        <f>IFERROR(LOOKUP(2,1/((A_Corridor!$A$5:$A$204&lt;&gt;"")*(A_Corridor!$A$5:$A$204&lt;=$B973)*(A_Corridor!$B$5:$B$204&gt;$B973)*(A_Corridor!$F$5:$F$204&lt;&gt;"")),IF(A_Corridor!$F$5:$F$204="-","",A_Corridor!$F$5:$F$204)),"")</f>
        <v/>
      </c>
      <c r="K973" s="182" t="str">
        <f>IFERROR(LOOKUP(2,1/((A_Corridor!$A$5:$A$204&lt;&gt;"")*(A_Corridor!$A$5:$A$204&lt;=$B973)*(A_Corridor!$B$5:$B$204&gt;$B973)*(A_Corridor!$G$5:$G$204&lt;&gt;"")),IF(A_Corridor!$G$5:$G$204="-","",A_Corridor!$G$5:$G$204)),"")</f>
        <v/>
      </c>
      <c r="L973" s="181" t="str">
        <f>IFERROR(LOOKUP(2,1/((A_Corridor!$A$5:$A$204&lt;&gt;"")*(A_Corridor!$A$5:$A$204&lt;=$B973)*(A_Corridor!$B$5:$B$204&gt;$B973)*(A_Corridor!$H$5:$H$204&lt;&gt;"")),IF(A_Corridor!$H$5:$H$204="-","",1)),"")</f>
        <v/>
      </c>
      <c r="M973" s="182" t="str">
        <f>IFERROR(LOOKUP(2,1/((A_Corridor!$A$5:$A$204&lt;&gt;"")*(A_Corridor!$A$5:$A$204&lt;=$B973)*(A_Corridor!$B$5:$B$204&gt;$B973)*(A_Corridor!$H$5:$H$204&lt;&gt;"")),IF(A_Corridor!$H$5:$H$204="-","",A_Corridor!$H$5:$H$204)),"")</f>
        <v/>
      </c>
      <c r="N973" s="182" t="str">
        <f>IFERROR(LOOKUP(2,1/((A_Corridor!$A$5:$A$204&lt;&gt;"")*(A_Corridor!$A$5:$A$204&lt;=$B973)*(A_Corridor!$B$5:$B$204&gt;$B973)*(A_Corridor!$I$5:$I$204&lt;&gt;"")),IF(A_Corridor!$I$5:$I$204="-","",A_Corridor!$I$5:$I$204)),"")</f>
        <v/>
      </c>
      <c r="O973" s="182" t="str">
        <f>IFERROR(LOOKUP(2,1/((D_Points!$A$5:$A$204&lt;&gt;"")*(D_Points!$A$5:$A$204&gt;=$B973)*(D_Points!$A$5:$A$204&lt;$B973+P_Interval)*(UPPER(TRIM(D_Points!$B$5:$B$204))="PITCHING")*(D_Points!$H$5:$H$204&lt;&gt;"")),D_Points!$H$5:$H$204),"")</f>
        <v/>
      </c>
      <c r="P973" s="181" t="str">
        <f>IFERROR(LOOKUP(2,1/((B_Drainage!$A$5:$A$204&lt;&gt;"")*(B_Drainage!$A$5:$A$204&lt;=$B973)*(B_Drainage!$B$5:$B$204&gt;$B973)*(B_Drainage!$C$5:$C$204&lt;&gt;"")),IF(B_Drainage!$C$5:$C$204="-","",UPPER(B_Drainage!$C$5:$C$204))),"")</f>
        <v/>
      </c>
      <c r="Q973" s="181" t="str">
        <f>IFERROR(LOOKUP(2,1/((B_Drainage!$A$5:$A$204&lt;&gt;"")*(B_Drainage!$A$5:$A$204&lt;=$B973)*(B_Drainage!$B$5:$B$204&gt;$B973)*(B_Drainage!$D$5:$D$204&lt;&gt;"")),IF(B_Drainage!$D$5:$D$204="-","",UPPER(B_Drainage!$D$5:$D$204))),"")</f>
        <v/>
      </c>
      <c r="R973" s="182" t="str">
        <f>IFERROR(LOOKUP(2,1/((D_Points!$A$5:$A$204&lt;&gt;"")*(D_Points!$A$5:$A$204&gt;=$B973)*(D_Points!$A$5:$A$204&lt;$B973+P_Interval)*(RIGHT(UPPER(TRIM(D_Points!$B$5:$B$204)),8)="_CULVERT")),IF(LEFT(UPPER(TRIM(D_Points!$B$5:$B$204)),2)="EX",1,IF(LEFT(UPPER(TRIM(D_Points!$B$5:$B$204)),2)="PR",2,3))),"")</f>
        <v/>
      </c>
      <c r="S973" s="182" t="str">
        <f>IFERROR(LOOKUP(2,1/((D_Points!$A$5:$A$204&lt;&gt;"")*(D_Points!$A$5:$A$204&gt;=$B973)*(D_Points!$A$5:$A$204&lt;$B973+P_Interval)*(RIGHT(UPPER(TRIM(D_Points!$B$5:$B$204)),7)="_BRIDGE")),IF(LEFT(UPPER(TRIM(D_Points!$B$5:$B$204)),2)="EX",1,IF(LEFT(UPPER(TRIM(D_Points!$B$5:$B$204)),2)="PR",2,2))),"")</f>
        <v/>
      </c>
      <c r="T973" s="181" t="str">
        <f>IFERROR(LOOKUP(2,1/((B_Drainage!$A$5:$A$204&lt;&gt;"")*(B_Drainage!$A$5:$A$204&lt;=$B973)*(B_Drainage!$B$5:$B$204&gt;$B973)*(B_Drainage!$E$5:$E$204&lt;&gt;"")),IF(B_Drainage!$E$5:$E$204="-","",1)),"")</f>
        <v/>
      </c>
      <c r="U973" s="181" t="str">
        <f>IFERROR(LOOKUP(2,1/((B_Drainage!$A$5:$A$204&lt;&gt;"")*(B_Drainage!$A$5:$A$204&lt;=$B973)*(B_Drainage!$B$5:$B$204&gt;$B973)*(B_Drainage!$E$5:$E$204&lt;&gt;"")),IF(B_Drainage!$E$5:$E$204="-","",B_Drainage!$E$5:$E$204)),"")</f>
        <v/>
      </c>
      <c r="V973" s="181" t="str">
        <f>IFERROR(LOOKUP(2,1/((B_Drainage!$A$5:$A$204&lt;&gt;"")*(B_Drainage!$A$5:$A$204&lt;=$B973)*(B_Drainage!$B$5:$B$204&gt;$B973)*(B_Drainage!$F$5:$F$204&lt;&gt;"")),IF(B_Drainage!$F$5:$F$204="-","",1)),"")</f>
        <v/>
      </c>
      <c r="W973" s="181" t="str">
        <f>IFERROR(LOOKUP(2,1/((B_Drainage!$A$5:$A$204&lt;&gt;"")*(B_Drainage!$A$5:$A$204&lt;=$B973)*(B_Drainage!$B$5:$B$204&gt;$B973)*(B_Drainage!$F$5:$F$204&lt;&gt;"")),IF(B_Drainage!$F$5:$F$204="-","",B_Drainage!$F$5:$F$204)),"")</f>
        <v/>
      </c>
      <c r="X973" s="181" t="str">
        <f>IFERROR(LOOKUP(2,1/((B_Drainage!$A$5:$A$204&lt;&gt;"")*(B_Drainage!$A$5:$A$204&lt;=$B973)*(B_Drainage!$B$5:$B$204&gt;$B973)*(B_Drainage!$G$5:$G$204&lt;&gt;"")),IF(UPPER(B_Drainage!$G$5:$G$204)="Y",1,"")),"")</f>
        <v/>
      </c>
      <c r="Y973" s="181" t="str">
        <f>IFERROR(LOOKUP(2,1/((B_Drainage!$A$5:$A$204&lt;&gt;"")*(B_Drainage!$A$5:$A$204&lt;=$B973)*(B_Drainage!$B$5:$B$204&gt;$B973)*(B_Drainage!$H$5:$H$204&lt;&gt;"")),IF(UPPER(B_Drainage!$H$5:$H$204)="Y",1,"")),"")</f>
        <v/>
      </c>
      <c r="Z973" s="181" t="str">
        <f>IFERROR(LOOKUP(2,1/((B_Drainage!$A$5:$A$204&lt;&gt;"")*(B_Drainage!$A$5:$A$204&lt;=$B973)*(B_Drainage!$B$5:$B$204&gt;$B973)*(B_Drainage!$I$5:$I$204&lt;&gt;"")),IF(UPPER(B_Drainage!$I$5:$I$204)="Y",1,"")),"")</f>
        <v/>
      </c>
      <c r="AA973" s="181" t="str">
        <f>IFERROR(LOOKUP(2,1/((B_Drainage!$A$5:$A$204&lt;&gt;"")*(B_Drainage!$A$5:$A$204&lt;=$B973)*(B_Drainage!$B$5:$B$204&gt;$B973)*(B_Drainage!$J$5:$J$204&lt;&gt;"")),IF(UPPER(B_Drainage!$J$5:$J$204)="Y",1,"")),"")</f>
        <v/>
      </c>
      <c r="AB973" s="182" t="str">
        <f>IFERROR(LOOKUP(2,1/((B_Drainage!$A$5:$A$204&lt;&gt;"")*(B_Drainage!$A$5:$A$204&lt;=$B973)*(B_Drainage!$B$5:$B$204&gt;$B973)*(B_Drainage!$K$5:$K$204&lt;&gt;"")),IF(B_Drainage!$K$5:$K$204="-","",B_Drainage!$K$5:$K$204)),"")</f>
        <v/>
      </c>
      <c r="AC973" s="182" t="str">
        <f>IFERROR(LOOKUP(2,1/((B_Drainage!$A$5:$A$204&lt;&gt;"")*(B_Drainage!$A$5:$A$204&lt;=$B973)*(B_Drainage!$B$5:$B$204&gt;$B973)*(B_Drainage!$L$5:$L$204&lt;&gt;"")),IF(B_Drainage!$L$5:$L$204="-","",B_Drainage!$L$5:$L$204)),"")</f>
        <v/>
      </c>
      <c r="AD973" s="182" t="str">
        <f>IFERROR(LOOKUP(2,1/((D_Points!$A$5:$A$204&lt;&gt;"")*(D_Points!$A$5:$A$204&gt;=$B973)*(D_Points!$A$5:$A$204&lt;$B973+P_Interval)*(UPPER(TRIM(D_Points!$B$5:$B$204))="TURNOUT_L")*(D_Points!$H$5:$H$204&lt;&gt;"")),D_Points!$H$5:$H$204),"")</f>
        <v/>
      </c>
      <c r="AE973" s="182" t="str">
        <f>IFERROR(LOOKUP(2,1/((D_Points!$A$5:$A$204&lt;&gt;"")*(D_Points!$A$5:$A$204&gt;=$B973)*(D_Points!$A$5:$A$204&lt;$B973+P_Interval)*(UPPER(TRIM(D_Points!$B$5:$B$204))="TURNOUT_R")*(D_Points!$H$5:$H$204&lt;&gt;"")),D_Points!$H$5:$H$204),"")</f>
        <v/>
      </c>
      <c r="AF973" s="181" t="str">
        <f>IFERROR(LOOKUP(2,1/((B_Drainage!$A$5:$A$204&lt;&gt;"")*(B_Drainage!$A$5:$A$204&lt;=$B973)*(B_Drainage!$B$5:$B$204&gt;$B973)*(B_Drainage!$M$5:$M$204&lt;&gt;"")),IF(UPPER(B_Drainage!$M$5:$M$204)="Y",1,"")),"")</f>
        <v/>
      </c>
      <c r="AG973" s="181" t="str">
        <f>IFERROR(LOOKUP(2,1/((B_Drainage!$A$5:$A$204&lt;&gt;"")*(B_Drainage!$A$5:$A$204&lt;=$B973)*(B_Drainage!$B$5:$B$204&gt;$B973)*(B_Drainage!$N$5:$N$204&lt;&gt;"")),IF(UPPER(B_Drainage!$N$5:$N$204)="Y",1,"")),"")</f>
        <v/>
      </c>
      <c r="AH973" s="181" t="str">
        <f t="shared" si="120"/>
        <v/>
      </c>
      <c r="AI973" s="181" t="str">
        <f t="shared" si="121"/>
        <v/>
      </c>
      <c r="AJ973" s="181" t="str">
        <f t="shared" si="122"/>
        <v/>
      </c>
      <c r="AK973" s="181" t="str">
        <f t="shared" si="123"/>
        <v/>
      </c>
      <c r="AL973" s="181" t="str">
        <f t="shared" si="124"/>
        <v/>
      </c>
      <c r="AM973" s="181" t="str">
        <f t="shared" si="125"/>
        <v/>
      </c>
      <c r="AN973" s="181" t="str">
        <f t="shared" si="126"/>
        <v/>
      </c>
      <c r="AO973" s="192" t="str">
        <f t="shared" si="127"/>
        <v/>
      </c>
      <c r="AQ973" t="str">
        <f>IFERROR(LOOKUP(2,1/((C_Pavement!$A$5:$A$204&lt;&gt;"")*(C_Pavement!$A$5:$A$204&lt;=$B973)*(C_Pavement!$B$5:$B$204&gt;$B973)*(C_Pavement!$C$5:$C$204&lt;&gt;"")),ROW(C_Pavement!$C$5:$C$204)-4),"")</f>
        <v/>
      </c>
      <c r="AR973" t="str">
        <f>IF($AQ973="","",UPPER(TRIM(INDEX(C_Pavement!$C$5:$C$204,$AQ973))))</f>
        <v/>
      </c>
      <c r="AS973" t="str">
        <f>IF($AR973="","",IFERROR(MATCH($AR973,E_Rules!$A$5:$A$9,0),""))</f>
        <v/>
      </c>
      <c r="AT973" t="str">
        <f>IF($AQ973="","",IF(INDEX(C_Pavement!$D$5:$D$204,$AQ973)&lt;&gt;"",UPPER(TRIM(INDEX(C_Pavement!$D$5:$D$204,$AQ973))),IF($AS973="","",INDEX(E_Rules!$C$5:$C$9,$AS973))))</f>
        <v/>
      </c>
      <c r="AU973" t="str">
        <f>IF($AQ973="","",IF(INDEX(C_Pavement!$E$5:$E$204,$AQ973)&lt;&gt;"",IF(INDEX(C_Pavement!$E$5:$E$204,$AQ973)="-","",INDEX(C_Pavement!$E$5:$E$204,$AQ973)),IF($AS973="","",INDEX(E_Rules!$D$5:$D$9,$AS973))))</f>
        <v/>
      </c>
      <c r="AV973" t="str">
        <f>IF($AQ973="","",IF(INDEX(C_Pavement!$F$5:$F$204,$AQ973)&lt;&gt;"",IF(INDEX(C_Pavement!$F$5:$F$204,$AQ973)="-","",INDEX(C_Pavement!$F$5:$F$204,$AQ973)),IF($AS973="","",INDEX(E_Rules!$E$5:$E$9,$AS973))))</f>
        <v/>
      </c>
      <c r="AW973" t="str">
        <f>IF($AQ973="","",IF(INDEX(C_Pavement!$G$5:$G$204,$AQ973)&lt;&gt;"",IF(INDEX(C_Pavement!$G$5:$G$204,$AQ973)="-","",INDEX(C_Pavement!$G$5:$G$204,$AQ973)),IF($AS973="","",INDEX(E_Rules!$F$5:$F$9,$AS973))))</f>
        <v/>
      </c>
      <c r="AX973" t="str">
        <f>IF($AQ973="","",IF(INDEX(C_Pavement!$H$5:$H$204,$AQ973)&lt;&gt;"",IF(INDEX(C_Pavement!$H$5:$H$204,$AQ973)="-","",INDEX(C_Pavement!$H$5:$H$204,$AQ973)),IF($AS973="","",INDEX(E_Rules!$G$5:$G$9,$AS973))))</f>
        <v/>
      </c>
      <c r="AY973" t="str">
        <f>IF($AQ973="","",IF(INDEX(C_Pavement!$I$5:$I$204,$AQ973)&lt;&gt;"",IF(INDEX(C_Pavement!$I$5:$I$204,$AQ973)="-","",INDEX(C_Pavement!$I$5:$I$204,$AQ973)),IF($AS973="","",INDEX(E_Rules!$H$5:$H$9,$AS973))))</f>
        <v/>
      </c>
    </row>
    <row r="974" spans="1:51" ht="15.75" customHeight="1" x14ac:dyDescent="0.3">
      <c r="A974" s="189">
        <v>969</v>
      </c>
      <c r="B974" s="180">
        <v>48400</v>
      </c>
      <c r="C974" s="180" t="s">
        <v>1280</v>
      </c>
      <c r="D974" s="181" t="str">
        <f>IFERROR(LOOKUP(2,1/((A_Corridor!$A$5:$A$204&lt;&gt;"")*(A_Corridor!$A$5:$A$204&lt;=$B974)*(A_Corridor!$B$5:$B$204&gt;$B974)*(A_Corridor!$C$5:$C$204&lt;&gt;"")),IF(UPPER(A_Corridor!$C$5:$C$204)="Y",1,"")),"")</f>
        <v/>
      </c>
      <c r="E974" s="181" t="str">
        <f>IFERROR(LOOKUP(2,1/((A_Corridor!$A$5:$A$204&lt;&gt;"")*(A_Corridor!$A$5:$A$204&lt;=$B974)*(A_Corridor!$B$5:$B$204&gt;$B974)*(A_Corridor!$D$5:$D$204&lt;&gt;"")),IF(A_Corridor!$D$5:$D$204="-","",UPPER(A_Corridor!$D$5:$D$204))),"")</f>
        <v/>
      </c>
      <c r="F974" s="181" t="str">
        <f>IFERROR(LOOKUP(2,1/((A_Corridor!$A$5:$A$204&lt;&gt;"")*(A_Corridor!$A$5:$A$204&lt;=$B974)*(A_Corridor!$B$5:$B$204&gt;$B974)*(A_Corridor!$E$5:$E$204&lt;&gt;"")),IF(A_Corridor!$E$5:$E$204="-","",1)),"")</f>
        <v/>
      </c>
      <c r="G974" s="182" t="str">
        <f>IFERROR(LOOKUP(2,1/((A_Corridor!$A$5:$A$204&lt;&gt;"")*(A_Corridor!$A$5:$A$204&lt;=$B974)*(A_Corridor!$B$5:$B$204&gt;$B974)*(A_Corridor!$E$5:$E$204&lt;&gt;"")),IF(A_Corridor!$E$5:$E$204="-","",A_Corridor!$E$5:$E$204)),"")</f>
        <v/>
      </c>
      <c r="H974" s="182" t="str">
        <f>IFERROR(LOOKUP(2,1/((D_Points!$A$5:$A$204&lt;&gt;"")*(D_Points!$A$5:$A$204&gt;=$B974)*(D_Points!$A$5:$A$204&lt;$B974+P_Interval)*(UPPER(TRIM(D_Points!$B$5:$B$204))="GULLY")*(D_Points!$H$5:$H$204&lt;&gt;"")),D_Points!$H$5:$H$204),"")</f>
        <v/>
      </c>
      <c r="I974" s="181" t="str">
        <f>IFERROR(LOOKUP(2,1/((A_Corridor!$A$5:$A$204&lt;&gt;"")*(A_Corridor!$A$5:$A$204&lt;=$B974)*(A_Corridor!$B$5:$B$204&gt;$B974)*(A_Corridor!$F$5:$F$204&lt;&gt;"")),IF(A_Corridor!$F$5:$F$204="-","",1)),"")</f>
        <v/>
      </c>
      <c r="J974" s="182" t="str">
        <f>IFERROR(LOOKUP(2,1/((A_Corridor!$A$5:$A$204&lt;&gt;"")*(A_Corridor!$A$5:$A$204&lt;=$B974)*(A_Corridor!$B$5:$B$204&gt;$B974)*(A_Corridor!$F$5:$F$204&lt;&gt;"")),IF(A_Corridor!$F$5:$F$204="-","",A_Corridor!$F$5:$F$204)),"")</f>
        <v/>
      </c>
      <c r="K974" s="182" t="str">
        <f>IFERROR(LOOKUP(2,1/((A_Corridor!$A$5:$A$204&lt;&gt;"")*(A_Corridor!$A$5:$A$204&lt;=$B974)*(A_Corridor!$B$5:$B$204&gt;$B974)*(A_Corridor!$G$5:$G$204&lt;&gt;"")),IF(A_Corridor!$G$5:$G$204="-","",A_Corridor!$G$5:$G$204)),"")</f>
        <v/>
      </c>
      <c r="L974" s="181" t="str">
        <f>IFERROR(LOOKUP(2,1/((A_Corridor!$A$5:$A$204&lt;&gt;"")*(A_Corridor!$A$5:$A$204&lt;=$B974)*(A_Corridor!$B$5:$B$204&gt;$B974)*(A_Corridor!$H$5:$H$204&lt;&gt;"")),IF(A_Corridor!$H$5:$H$204="-","",1)),"")</f>
        <v/>
      </c>
      <c r="M974" s="182" t="str">
        <f>IFERROR(LOOKUP(2,1/((A_Corridor!$A$5:$A$204&lt;&gt;"")*(A_Corridor!$A$5:$A$204&lt;=$B974)*(A_Corridor!$B$5:$B$204&gt;$B974)*(A_Corridor!$H$5:$H$204&lt;&gt;"")),IF(A_Corridor!$H$5:$H$204="-","",A_Corridor!$H$5:$H$204)),"")</f>
        <v/>
      </c>
      <c r="N974" s="182" t="str">
        <f>IFERROR(LOOKUP(2,1/((A_Corridor!$A$5:$A$204&lt;&gt;"")*(A_Corridor!$A$5:$A$204&lt;=$B974)*(A_Corridor!$B$5:$B$204&gt;$B974)*(A_Corridor!$I$5:$I$204&lt;&gt;"")),IF(A_Corridor!$I$5:$I$204="-","",A_Corridor!$I$5:$I$204)),"")</f>
        <v/>
      </c>
      <c r="O974" s="182" t="str">
        <f>IFERROR(LOOKUP(2,1/((D_Points!$A$5:$A$204&lt;&gt;"")*(D_Points!$A$5:$A$204&gt;=$B974)*(D_Points!$A$5:$A$204&lt;$B974+P_Interval)*(UPPER(TRIM(D_Points!$B$5:$B$204))="PITCHING")*(D_Points!$H$5:$H$204&lt;&gt;"")),D_Points!$H$5:$H$204),"")</f>
        <v/>
      </c>
      <c r="P974" s="181" t="str">
        <f>IFERROR(LOOKUP(2,1/((B_Drainage!$A$5:$A$204&lt;&gt;"")*(B_Drainage!$A$5:$A$204&lt;=$B974)*(B_Drainage!$B$5:$B$204&gt;$B974)*(B_Drainage!$C$5:$C$204&lt;&gt;"")),IF(B_Drainage!$C$5:$C$204="-","",UPPER(B_Drainage!$C$5:$C$204))),"")</f>
        <v/>
      </c>
      <c r="Q974" s="181" t="str">
        <f>IFERROR(LOOKUP(2,1/((B_Drainage!$A$5:$A$204&lt;&gt;"")*(B_Drainage!$A$5:$A$204&lt;=$B974)*(B_Drainage!$B$5:$B$204&gt;$B974)*(B_Drainage!$D$5:$D$204&lt;&gt;"")),IF(B_Drainage!$D$5:$D$204="-","",UPPER(B_Drainage!$D$5:$D$204))),"")</f>
        <v/>
      </c>
      <c r="R974" s="182" t="str">
        <f>IFERROR(LOOKUP(2,1/((D_Points!$A$5:$A$204&lt;&gt;"")*(D_Points!$A$5:$A$204&gt;=$B974)*(D_Points!$A$5:$A$204&lt;$B974+P_Interval)*(RIGHT(UPPER(TRIM(D_Points!$B$5:$B$204)),8)="_CULVERT")),IF(LEFT(UPPER(TRIM(D_Points!$B$5:$B$204)),2)="EX",1,IF(LEFT(UPPER(TRIM(D_Points!$B$5:$B$204)),2)="PR",2,3))),"")</f>
        <v/>
      </c>
      <c r="S974" s="182" t="str">
        <f>IFERROR(LOOKUP(2,1/((D_Points!$A$5:$A$204&lt;&gt;"")*(D_Points!$A$5:$A$204&gt;=$B974)*(D_Points!$A$5:$A$204&lt;$B974+P_Interval)*(RIGHT(UPPER(TRIM(D_Points!$B$5:$B$204)),7)="_BRIDGE")),IF(LEFT(UPPER(TRIM(D_Points!$B$5:$B$204)),2)="EX",1,IF(LEFT(UPPER(TRIM(D_Points!$B$5:$B$204)),2)="PR",2,2))),"")</f>
        <v/>
      </c>
      <c r="T974" s="181" t="str">
        <f>IFERROR(LOOKUP(2,1/((B_Drainage!$A$5:$A$204&lt;&gt;"")*(B_Drainage!$A$5:$A$204&lt;=$B974)*(B_Drainage!$B$5:$B$204&gt;$B974)*(B_Drainage!$E$5:$E$204&lt;&gt;"")),IF(B_Drainage!$E$5:$E$204="-","",1)),"")</f>
        <v/>
      </c>
      <c r="U974" s="181" t="str">
        <f>IFERROR(LOOKUP(2,1/((B_Drainage!$A$5:$A$204&lt;&gt;"")*(B_Drainage!$A$5:$A$204&lt;=$B974)*(B_Drainage!$B$5:$B$204&gt;$B974)*(B_Drainage!$E$5:$E$204&lt;&gt;"")),IF(B_Drainage!$E$5:$E$204="-","",B_Drainage!$E$5:$E$204)),"")</f>
        <v/>
      </c>
      <c r="V974" s="181" t="str">
        <f>IFERROR(LOOKUP(2,1/((B_Drainage!$A$5:$A$204&lt;&gt;"")*(B_Drainage!$A$5:$A$204&lt;=$B974)*(B_Drainage!$B$5:$B$204&gt;$B974)*(B_Drainage!$F$5:$F$204&lt;&gt;"")),IF(B_Drainage!$F$5:$F$204="-","",1)),"")</f>
        <v/>
      </c>
      <c r="W974" s="181" t="str">
        <f>IFERROR(LOOKUP(2,1/((B_Drainage!$A$5:$A$204&lt;&gt;"")*(B_Drainage!$A$5:$A$204&lt;=$B974)*(B_Drainage!$B$5:$B$204&gt;$B974)*(B_Drainage!$F$5:$F$204&lt;&gt;"")),IF(B_Drainage!$F$5:$F$204="-","",B_Drainage!$F$5:$F$204)),"")</f>
        <v/>
      </c>
      <c r="X974" s="181" t="str">
        <f>IFERROR(LOOKUP(2,1/((B_Drainage!$A$5:$A$204&lt;&gt;"")*(B_Drainage!$A$5:$A$204&lt;=$B974)*(B_Drainage!$B$5:$B$204&gt;$B974)*(B_Drainage!$G$5:$G$204&lt;&gt;"")),IF(UPPER(B_Drainage!$G$5:$G$204)="Y",1,"")),"")</f>
        <v/>
      </c>
      <c r="Y974" s="181" t="str">
        <f>IFERROR(LOOKUP(2,1/((B_Drainage!$A$5:$A$204&lt;&gt;"")*(B_Drainage!$A$5:$A$204&lt;=$B974)*(B_Drainage!$B$5:$B$204&gt;$B974)*(B_Drainage!$H$5:$H$204&lt;&gt;"")),IF(UPPER(B_Drainage!$H$5:$H$204)="Y",1,"")),"")</f>
        <v/>
      </c>
      <c r="Z974" s="181" t="str">
        <f>IFERROR(LOOKUP(2,1/((B_Drainage!$A$5:$A$204&lt;&gt;"")*(B_Drainage!$A$5:$A$204&lt;=$B974)*(B_Drainage!$B$5:$B$204&gt;$B974)*(B_Drainage!$I$5:$I$204&lt;&gt;"")),IF(UPPER(B_Drainage!$I$5:$I$204)="Y",1,"")),"")</f>
        <v/>
      </c>
      <c r="AA974" s="181" t="str">
        <f>IFERROR(LOOKUP(2,1/((B_Drainage!$A$5:$A$204&lt;&gt;"")*(B_Drainage!$A$5:$A$204&lt;=$B974)*(B_Drainage!$B$5:$B$204&gt;$B974)*(B_Drainage!$J$5:$J$204&lt;&gt;"")),IF(UPPER(B_Drainage!$J$5:$J$204)="Y",1,"")),"")</f>
        <v/>
      </c>
      <c r="AB974" s="182" t="str">
        <f>IFERROR(LOOKUP(2,1/((B_Drainage!$A$5:$A$204&lt;&gt;"")*(B_Drainage!$A$5:$A$204&lt;=$B974)*(B_Drainage!$B$5:$B$204&gt;$B974)*(B_Drainage!$K$5:$K$204&lt;&gt;"")),IF(B_Drainage!$K$5:$K$204="-","",B_Drainage!$K$5:$K$204)),"")</f>
        <v/>
      </c>
      <c r="AC974" s="182" t="str">
        <f>IFERROR(LOOKUP(2,1/((B_Drainage!$A$5:$A$204&lt;&gt;"")*(B_Drainage!$A$5:$A$204&lt;=$B974)*(B_Drainage!$B$5:$B$204&gt;$B974)*(B_Drainage!$L$5:$L$204&lt;&gt;"")),IF(B_Drainage!$L$5:$L$204="-","",B_Drainage!$L$5:$L$204)),"")</f>
        <v/>
      </c>
      <c r="AD974" s="182" t="str">
        <f>IFERROR(LOOKUP(2,1/((D_Points!$A$5:$A$204&lt;&gt;"")*(D_Points!$A$5:$A$204&gt;=$B974)*(D_Points!$A$5:$A$204&lt;$B974+P_Interval)*(UPPER(TRIM(D_Points!$B$5:$B$204))="TURNOUT_L")*(D_Points!$H$5:$H$204&lt;&gt;"")),D_Points!$H$5:$H$204),"")</f>
        <v/>
      </c>
      <c r="AE974" s="182" t="str">
        <f>IFERROR(LOOKUP(2,1/((D_Points!$A$5:$A$204&lt;&gt;"")*(D_Points!$A$5:$A$204&gt;=$B974)*(D_Points!$A$5:$A$204&lt;$B974+P_Interval)*(UPPER(TRIM(D_Points!$B$5:$B$204))="TURNOUT_R")*(D_Points!$H$5:$H$204&lt;&gt;"")),D_Points!$H$5:$H$204),"")</f>
        <v/>
      </c>
      <c r="AF974" s="181" t="str">
        <f>IFERROR(LOOKUP(2,1/((B_Drainage!$A$5:$A$204&lt;&gt;"")*(B_Drainage!$A$5:$A$204&lt;=$B974)*(B_Drainage!$B$5:$B$204&gt;$B974)*(B_Drainage!$M$5:$M$204&lt;&gt;"")),IF(UPPER(B_Drainage!$M$5:$M$204)="Y",1,"")),"")</f>
        <v/>
      </c>
      <c r="AG974" s="181" t="str">
        <f>IFERROR(LOOKUP(2,1/((B_Drainage!$A$5:$A$204&lt;&gt;"")*(B_Drainage!$A$5:$A$204&lt;=$B974)*(B_Drainage!$B$5:$B$204&gt;$B974)*(B_Drainage!$N$5:$N$204&lt;&gt;"")),IF(UPPER(B_Drainage!$N$5:$N$204)="Y",1,"")),"")</f>
        <v/>
      </c>
      <c r="AH974" s="181" t="str">
        <f t="shared" si="120"/>
        <v/>
      </c>
      <c r="AI974" s="181" t="str">
        <f t="shared" si="121"/>
        <v/>
      </c>
      <c r="AJ974" s="181" t="str">
        <f t="shared" si="122"/>
        <v/>
      </c>
      <c r="AK974" s="181" t="str">
        <f t="shared" si="123"/>
        <v/>
      </c>
      <c r="AL974" s="181" t="str">
        <f t="shared" si="124"/>
        <v/>
      </c>
      <c r="AM974" s="181" t="str">
        <f t="shared" si="125"/>
        <v/>
      </c>
      <c r="AN974" s="181" t="str">
        <f t="shared" si="126"/>
        <v/>
      </c>
      <c r="AO974" s="192" t="str">
        <f t="shared" si="127"/>
        <v/>
      </c>
      <c r="AQ974" t="str">
        <f>IFERROR(LOOKUP(2,1/((C_Pavement!$A$5:$A$204&lt;&gt;"")*(C_Pavement!$A$5:$A$204&lt;=$B974)*(C_Pavement!$B$5:$B$204&gt;$B974)*(C_Pavement!$C$5:$C$204&lt;&gt;"")),ROW(C_Pavement!$C$5:$C$204)-4),"")</f>
        <v/>
      </c>
      <c r="AR974" t="str">
        <f>IF($AQ974="","",UPPER(TRIM(INDEX(C_Pavement!$C$5:$C$204,$AQ974))))</f>
        <v/>
      </c>
      <c r="AS974" t="str">
        <f>IF($AR974="","",IFERROR(MATCH($AR974,E_Rules!$A$5:$A$9,0),""))</f>
        <v/>
      </c>
      <c r="AT974" t="str">
        <f>IF($AQ974="","",IF(INDEX(C_Pavement!$D$5:$D$204,$AQ974)&lt;&gt;"",UPPER(TRIM(INDEX(C_Pavement!$D$5:$D$204,$AQ974))),IF($AS974="","",INDEX(E_Rules!$C$5:$C$9,$AS974))))</f>
        <v/>
      </c>
      <c r="AU974" t="str">
        <f>IF($AQ974="","",IF(INDEX(C_Pavement!$E$5:$E$204,$AQ974)&lt;&gt;"",IF(INDEX(C_Pavement!$E$5:$E$204,$AQ974)="-","",INDEX(C_Pavement!$E$5:$E$204,$AQ974)),IF($AS974="","",INDEX(E_Rules!$D$5:$D$9,$AS974))))</f>
        <v/>
      </c>
      <c r="AV974" t="str">
        <f>IF($AQ974="","",IF(INDEX(C_Pavement!$F$5:$F$204,$AQ974)&lt;&gt;"",IF(INDEX(C_Pavement!$F$5:$F$204,$AQ974)="-","",INDEX(C_Pavement!$F$5:$F$204,$AQ974)),IF($AS974="","",INDEX(E_Rules!$E$5:$E$9,$AS974))))</f>
        <v/>
      </c>
      <c r="AW974" t="str">
        <f>IF($AQ974="","",IF(INDEX(C_Pavement!$G$5:$G$204,$AQ974)&lt;&gt;"",IF(INDEX(C_Pavement!$G$5:$G$204,$AQ974)="-","",INDEX(C_Pavement!$G$5:$G$204,$AQ974)),IF($AS974="","",INDEX(E_Rules!$F$5:$F$9,$AS974))))</f>
        <v/>
      </c>
      <c r="AX974" t="str">
        <f>IF($AQ974="","",IF(INDEX(C_Pavement!$H$5:$H$204,$AQ974)&lt;&gt;"",IF(INDEX(C_Pavement!$H$5:$H$204,$AQ974)="-","",INDEX(C_Pavement!$H$5:$H$204,$AQ974)),IF($AS974="","",INDEX(E_Rules!$G$5:$G$9,$AS974))))</f>
        <v/>
      </c>
      <c r="AY974" t="str">
        <f>IF($AQ974="","",IF(INDEX(C_Pavement!$I$5:$I$204,$AQ974)&lt;&gt;"",IF(INDEX(C_Pavement!$I$5:$I$204,$AQ974)="-","",INDEX(C_Pavement!$I$5:$I$204,$AQ974)),IF($AS974="","",INDEX(E_Rules!$H$5:$H$9,$AS974))))</f>
        <v/>
      </c>
    </row>
    <row r="975" spans="1:51" ht="15.75" customHeight="1" x14ac:dyDescent="0.3">
      <c r="A975" s="189">
        <v>970</v>
      </c>
      <c r="B975" s="180">
        <v>48450</v>
      </c>
      <c r="C975" s="180" t="s">
        <v>1281</v>
      </c>
      <c r="D975" s="181" t="str">
        <f>IFERROR(LOOKUP(2,1/((A_Corridor!$A$5:$A$204&lt;&gt;"")*(A_Corridor!$A$5:$A$204&lt;=$B975)*(A_Corridor!$B$5:$B$204&gt;$B975)*(A_Corridor!$C$5:$C$204&lt;&gt;"")),IF(UPPER(A_Corridor!$C$5:$C$204)="Y",1,"")),"")</f>
        <v/>
      </c>
      <c r="E975" s="181" t="str">
        <f>IFERROR(LOOKUP(2,1/((A_Corridor!$A$5:$A$204&lt;&gt;"")*(A_Corridor!$A$5:$A$204&lt;=$B975)*(A_Corridor!$B$5:$B$204&gt;$B975)*(A_Corridor!$D$5:$D$204&lt;&gt;"")),IF(A_Corridor!$D$5:$D$204="-","",UPPER(A_Corridor!$D$5:$D$204))),"")</f>
        <v/>
      </c>
      <c r="F975" s="181" t="str">
        <f>IFERROR(LOOKUP(2,1/((A_Corridor!$A$5:$A$204&lt;&gt;"")*(A_Corridor!$A$5:$A$204&lt;=$B975)*(A_Corridor!$B$5:$B$204&gt;$B975)*(A_Corridor!$E$5:$E$204&lt;&gt;"")),IF(A_Corridor!$E$5:$E$204="-","",1)),"")</f>
        <v/>
      </c>
      <c r="G975" s="182" t="str">
        <f>IFERROR(LOOKUP(2,1/((A_Corridor!$A$5:$A$204&lt;&gt;"")*(A_Corridor!$A$5:$A$204&lt;=$B975)*(A_Corridor!$B$5:$B$204&gt;$B975)*(A_Corridor!$E$5:$E$204&lt;&gt;"")),IF(A_Corridor!$E$5:$E$204="-","",A_Corridor!$E$5:$E$204)),"")</f>
        <v/>
      </c>
      <c r="H975" s="182" t="str">
        <f>IFERROR(LOOKUP(2,1/((D_Points!$A$5:$A$204&lt;&gt;"")*(D_Points!$A$5:$A$204&gt;=$B975)*(D_Points!$A$5:$A$204&lt;$B975+P_Interval)*(UPPER(TRIM(D_Points!$B$5:$B$204))="GULLY")*(D_Points!$H$5:$H$204&lt;&gt;"")),D_Points!$H$5:$H$204),"")</f>
        <v/>
      </c>
      <c r="I975" s="181" t="str">
        <f>IFERROR(LOOKUP(2,1/((A_Corridor!$A$5:$A$204&lt;&gt;"")*(A_Corridor!$A$5:$A$204&lt;=$B975)*(A_Corridor!$B$5:$B$204&gt;$B975)*(A_Corridor!$F$5:$F$204&lt;&gt;"")),IF(A_Corridor!$F$5:$F$204="-","",1)),"")</f>
        <v/>
      </c>
      <c r="J975" s="182" t="str">
        <f>IFERROR(LOOKUP(2,1/((A_Corridor!$A$5:$A$204&lt;&gt;"")*(A_Corridor!$A$5:$A$204&lt;=$B975)*(A_Corridor!$B$5:$B$204&gt;$B975)*(A_Corridor!$F$5:$F$204&lt;&gt;"")),IF(A_Corridor!$F$5:$F$204="-","",A_Corridor!$F$5:$F$204)),"")</f>
        <v/>
      </c>
      <c r="K975" s="182" t="str">
        <f>IFERROR(LOOKUP(2,1/((A_Corridor!$A$5:$A$204&lt;&gt;"")*(A_Corridor!$A$5:$A$204&lt;=$B975)*(A_Corridor!$B$5:$B$204&gt;$B975)*(A_Corridor!$G$5:$G$204&lt;&gt;"")),IF(A_Corridor!$G$5:$G$204="-","",A_Corridor!$G$5:$G$204)),"")</f>
        <v/>
      </c>
      <c r="L975" s="181" t="str">
        <f>IFERROR(LOOKUP(2,1/((A_Corridor!$A$5:$A$204&lt;&gt;"")*(A_Corridor!$A$5:$A$204&lt;=$B975)*(A_Corridor!$B$5:$B$204&gt;$B975)*(A_Corridor!$H$5:$H$204&lt;&gt;"")),IF(A_Corridor!$H$5:$H$204="-","",1)),"")</f>
        <v/>
      </c>
      <c r="M975" s="182" t="str">
        <f>IFERROR(LOOKUP(2,1/((A_Corridor!$A$5:$A$204&lt;&gt;"")*(A_Corridor!$A$5:$A$204&lt;=$B975)*(A_Corridor!$B$5:$B$204&gt;$B975)*(A_Corridor!$H$5:$H$204&lt;&gt;"")),IF(A_Corridor!$H$5:$H$204="-","",A_Corridor!$H$5:$H$204)),"")</f>
        <v/>
      </c>
      <c r="N975" s="182" t="str">
        <f>IFERROR(LOOKUP(2,1/((A_Corridor!$A$5:$A$204&lt;&gt;"")*(A_Corridor!$A$5:$A$204&lt;=$B975)*(A_Corridor!$B$5:$B$204&gt;$B975)*(A_Corridor!$I$5:$I$204&lt;&gt;"")),IF(A_Corridor!$I$5:$I$204="-","",A_Corridor!$I$5:$I$204)),"")</f>
        <v/>
      </c>
      <c r="O975" s="182" t="str">
        <f>IFERROR(LOOKUP(2,1/((D_Points!$A$5:$A$204&lt;&gt;"")*(D_Points!$A$5:$A$204&gt;=$B975)*(D_Points!$A$5:$A$204&lt;$B975+P_Interval)*(UPPER(TRIM(D_Points!$B$5:$B$204))="PITCHING")*(D_Points!$H$5:$H$204&lt;&gt;"")),D_Points!$H$5:$H$204),"")</f>
        <v/>
      </c>
      <c r="P975" s="181" t="str">
        <f>IFERROR(LOOKUP(2,1/((B_Drainage!$A$5:$A$204&lt;&gt;"")*(B_Drainage!$A$5:$A$204&lt;=$B975)*(B_Drainage!$B$5:$B$204&gt;$B975)*(B_Drainage!$C$5:$C$204&lt;&gt;"")),IF(B_Drainage!$C$5:$C$204="-","",UPPER(B_Drainage!$C$5:$C$204))),"")</f>
        <v/>
      </c>
      <c r="Q975" s="181" t="str">
        <f>IFERROR(LOOKUP(2,1/((B_Drainage!$A$5:$A$204&lt;&gt;"")*(B_Drainage!$A$5:$A$204&lt;=$B975)*(B_Drainage!$B$5:$B$204&gt;$B975)*(B_Drainage!$D$5:$D$204&lt;&gt;"")),IF(B_Drainage!$D$5:$D$204="-","",UPPER(B_Drainage!$D$5:$D$204))),"")</f>
        <v/>
      </c>
      <c r="R975" s="182" t="str">
        <f>IFERROR(LOOKUP(2,1/((D_Points!$A$5:$A$204&lt;&gt;"")*(D_Points!$A$5:$A$204&gt;=$B975)*(D_Points!$A$5:$A$204&lt;$B975+P_Interval)*(RIGHT(UPPER(TRIM(D_Points!$B$5:$B$204)),8)="_CULVERT")),IF(LEFT(UPPER(TRIM(D_Points!$B$5:$B$204)),2)="EX",1,IF(LEFT(UPPER(TRIM(D_Points!$B$5:$B$204)),2)="PR",2,3))),"")</f>
        <v/>
      </c>
      <c r="S975" s="182" t="str">
        <f>IFERROR(LOOKUP(2,1/((D_Points!$A$5:$A$204&lt;&gt;"")*(D_Points!$A$5:$A$204&gt;=$B975)*(D_Points!$A$5:$A$204&lt;$B975+P_Interval)*(RIGHT(UPPER(TRIM(D_Points!$B$5:$B$204)),7)="_BRIDGE")),IF(LEFT(UPPER(TRIM(D_Points!$B$5:$B$204)),2)="EX",1,IF(LEFT(UPPER(TRIM(D_Points!$B$5:$B$204)),2)="PR",2,2))),"")</f>
        <v/>
      </c>
      <c r="T975" s="181" t="str">
        <f>IFERROR(LOOKUP(2,1/((B_Drainage!$A$5:$A$204&lt;&gt;"")*(B_Drainage!$A$5:$A$204&lt;=$B975)*(B_Drainage!$B$5:$B$204&gt;$B975)*(B_Drainage!$E$5:$E$204&lt;&gt;"")),IF(B_Drainage!$E$5:$E$204="-","",1)),"")</f>
        <v/>
      </c>
      <c r="U975" s="181" t="str">
        <f>IFERROR(LOOKUP(2,1/((B_Drainage!$A$5:$A$204&lt;&gt;"")*(B_Drainage!$A$5:$A$204&lt;=$B975)*(B_Drainage!$B$5:$B$204&gt;$B975)*(B_Drainage!$E$5:$E$204&lt;&gt;"")),IF(B_Drainage!$E$5:$E$204="-","",B_Drainage!$E$5:$E$204)),"")</f>
        <v/>
      </c>
      <c r="V975" s="181" t="str">
        <f>IFERROR(LOOKUP(2,1/((B_Drainage!$A$5:$A$204&lt;&gt;"")*(B_Drainage!$A$5:$A$204&lt;=$B975)*(B_Drainage!$B$5:$B$204&gt;$B975)*(B_Drainage!$F$5:$F$204&lt;&gt;"")),IF(B_Drainage!$F$5:$F$204="-","",1)),"")</f>
        <v/>
      </c>
      <c r="W975" s="181" t="str">
        <f>IFERROR(LOOKUP(2,1/((B_Drainage!$A$5:$A$204&lt;&gt;"")*(B_Drainage!$A$5:$A$204&lt;=$B975)*(B_Drainage!$B$5:$B$204&gt;$B975)*(B_Drainage!$F$5:$F$204&lt;&gt;"")),IF(B_Drainage!$F$5:$F$204="-","",B_Drainage!$F$5:$F$204)),"")</f>
        <v/>
      </c>
      <c r="X975" s="181" t="str">
        <f>IFERROR(LOOKUP(2,1/((B_Drainage!$A$5:$A$204&lt;&gt;"")*(B_Drainage!$A$5:$A$204&lt;=$B975)*(B_Drainage!$B$5:$B$204&gt;$B975)*(B_Drainage!$G$5:$G$204&lt;&gt;"")),IF(UPPER(B_Drainage!$G$5:$G$204)="Y",1,"")),"")</f>
        <v/>
      </c>
      <c r="Y975" s="181" t="str">
        <f>IFERROR(LOOKUP(2,1/((B_Drainage!$A$5:$A$204&lt;&gt;"")*(B_Drainage!$A$5:$A$204&lt;=$B975)*(B_Drainage!$B$5:$B$204&gt;$B975)*(B_Drainage!$H$5:$H$204&lt;&gt;"")),IF(UPPER(B_Drainage!$H$5:$H$204)="Y",1,"")),"")</f>
        <v/>
      </c>
      <c r="Z975" s="181" t="str">
        <f>IFERROR(LOOKUP(2,1/((B_Drainage!$A$5:$A$204&lt;&gt;"")*(B_Drainage!$A$5:$A$204&lt;=$B975)*(B_Drainage!$B$5:$B$204&gt;$B975)*(B_Drainage!$I$5:$I$204&lt;&gt;"")),IF(UPPER(B_Drainage!$I$5:$I$204)="Y",1,"")),"")</f>
        <v/>
      </c>
      <c r="AA975" s="181" t="str">
        <f>IFERROR(LOOKUP(2,1/((B_Drainage!$A$5:$A$204&lt;&gt;"")*(B_Drainage!$A$5:$A$204&lt;=$B975)*(B_Drainage!$B$5:$B$204&gt;$B975)*(B_Drainage!$J$5:$J$204&lt;&gt;"")),IF(UPPER(B_Drainage!$J$5:$J$204)="Y",1,"")),"")</f>
        <v/>
      </c>
      <c r="AB975" s="182" t="str">
        <f>IFERROR(LOOKUP(2,1/((B_Drainage!$A$5:$A$204&lt;&gt;"")*(B_Drainage!$A$5:$A$204&lt;=$B975)*(B_Drainage!$B$5:$B$204&gt;$B975)*(B_Drainage!$K$5:$K$204&lt;&gt;"")),IF(B_Drainage!$K$5:$K$204="-","",B_Drainage!$K$5:$K$204)),"")</f>
        <v/>
      </c>
      <c r="AC975" s="182" t="str">
        <f>IFERROR(LOOKUP(2,1/((B_Drainage!$A$5:$A$204&lt;&gt;"")*(B_Drainage!$A$5:$A$204&lt;=$B975)*(B_Drainage!$B$5:$B$204&gt;$B975)*(B_Drainage!$L$5:$L$204&lt;&gt;"")),IF(B_Drainage!$L$5:$L$204="-","",B_Drainage!$L$5:$L$204)),"")</f>
        <v/>
      </c>
      <c r="AD975" s="182" t="str">
        <f>IFERROR(LOOKUP(2,1/((D_Points!$A$5:$A$204&lt;&gt;"")*(D_Points!$A$5:$A$204&gt;=$B975)*(D_Points!$A$5:$A$204&lt;$B975+P_Interval)*(UPPER(TRIM(D_Points!$B$5:$B$204))="TURNOUT_L")*(D_Points!$H$5:$H$204&lt;&gt;"")),D_Points!$H$5:$H$204),"")</f>
        <v/>
      </c>
      <c r="AE975" s="182" t="str">
        <f>IFERROR(LOOKUP(2,1/((D_Points!$A$5:$A$204&lt;&gt;"")*(D_Points!$A$5:$A$204&gt;=$B975)*(D_Points!$A$5:$A$204&lt;$B975+P_Interval)*(UPPER(TRIM(D_Points!$B$5:$B$204))="TURNOUT_R")*(D_Points!$H$5:$H$204&lt;&gt;"")),D_Points!$H$5:$H$204),"")</f>
        <v/>
      </c>
      <c r="AF975" s="181" t="str">
        <f>IFERROR(LOOKUP(2,1/((B_Drainage!$A$5:$A$204&lt;&gt;"")*(B_Drainage!$A$5:$A$204&lt;=$B975)*(B_Drainage!$B$5:$B$204&gt;$B975)*(B_Drainage!$M$5:$M$204&lt;&gt;"")),IF(UPPER(B_Drainage!$M$5:$M$204)="Y",1,"")),"")</f>
        <v/>
      </c>
      <c r="AG975" s="181" t="str">
        <f>IFERROR(LOOKUP(2,1/((B_Drainage!$A$5:$A$204&lt;&gt;"")*(B_Drainage!$A$5:$A$204&lt;=$B975)*(B_Drainage!$B$5:$B$204&gt;$B975)*(B_Drainage!$N$5:$N$204&lt;&gt;"")),IF(UPPER(B_Drainage!$N$5:$N$204)="Y",1,"")),"")</f>
        <v/>
      </c>
      <c r="AH975" s="181" t="str">
        <f t="shared" si="120"/>
        <v/>
      </c>
      <c r="AI975" s="181" t="str">
        <f t="shared" si="121"/>
        <v/>
      </c>
      <c r="AJ975" s="181" t="str">
        <f t="shared" si="122"/>
        <v/>
      </c>
      <c r="AK975" s="181" t="str">
        <f t="shared" si="123"/>
        <v/>
      </c>
      <c r="AL975" s="181" t="str">
        <f t="shared" si="124"/>
        <v/>
      </c>
      <c r="AM975" s="181" t="str">
        <f t="shared" si="125"/>
        <v/>
      </c>
      <c r="AN975" s="181" t="str">
        <f t="shared" si="126"/>
        <v/>
      </c>
      <c r="AO975" s="192" t="str">
        <f t="shared" si="127"/>
        <v/>
      </c>
      <c r="AQ975" t="str">
        <f>IFERROR(LOOKUP(2,1/((C_Pavement!$A$5:$A$204&lt;&gt;"")*(C_Pavement!$A$5:$A$204&lt;=$B975)*(C_Pavement!$B$5:$B$204&gt;$B975)*(C_Pavement!$C$5:$C$204&lt;&gt;"")),ROW(C_Pavement!$C$5:$C$204)-4),"")</f>
        <v/>
      </c>
      <c r="AR975" t="str">
        <f>IF($AQ975="","",UPPER(TRIM(INDEX(C_Pavement!$C$5:$C$204,$AQ975))))</f>
        <v/>
      </c>
      <c r="AS975" t="str">
        <f>IF($AR975="","",IFERROR(MATCH($AR975,E_Rules!$A$5:$A$9,0),""))</f>
        <v/>
      </c>
      <c r="AT975" t="str">
        <f>IF($AQ975="","",IF(INDEX(C_Pavement!$D$5:$D$204,$AQ975)&lt;&gt;"",UPPER(TRIM(INDEX(C_Pavement!$D$5:$D$204,$AQ975))),IF($AS975="","",INDEX(E_Rules!$C$5:$C$9,$AS975))))</f>
        <v/>
      </c>
      <c r="AU975" t="str">
        <f>IF($AQ975="","",IF(INDEX(C_Pavement!$E$5:$E$204,$AQ975)&lt;&gt;"",IF(INDEX(C_Pavement!$E$5:$E$204,$AQ975)="-","",INDEX(C_Pavement!$E$5:$E$204,$AQ975)),IF($AS975="","",INDEX(E_Rules!$D$5:$D$9,$AS975))))</f>
        <v/>
      </c>
      <c r="AV975" t="str">
        <f>IF($AQ975="","",IF(INDEX(C_Pavement!$F$5:$F$204,$AQ975)&lt;&gt;"",IF(INDEX(C_Pavement!$F$5:$F$204,$AQ975)="-","",INDEX(C_Pavement!$F$5:$F$204,$AQ975)),IF($AS975="","",INDEX(E_Rules!$E$5:$E$9,$AS975))))</f>
        <v/>
      </c>
      <c r="AW975" t="str">
        <f>IF($AQ975="","",IF(INDEX(C_Pavement!$G$5:$G$204,$AQ975)&lt;&gt;"",IF(INDEX(C_Pavement!$G$5:$G$204,$AQ975)="-","",INDEX(C_Pavement!$G$5:$G$204,$AQ975)),IF($AS975="","",INDEX(E_Rules!$F$5:$F$9,$AS975))))</f>
        <v/>
      </c>
      <c r="AX975" t="str">
        <f>IF($AQ975="","",IF(INDEX(C_Pavement!$H$5:$H$204,$AQ975)&lt;&gt;"",IF(INDEX(C_Pavement!$H$5:$H$204,$AQ975)="-","",INDEX(C_Pavement!$H$5:$H$204,$AQ975)),IF($AS975="","",INDEX(E_Rules!$G$5:$G$9,$AS975))))</f>
        <v/>
      </c>
      <c r="AY975" t="str">
        <f>IF($AQ975="","",IF(INDEX(C_Pavement!$I$5:$I$204,$AQ975)&lt;&gt;"",IF(INDEX(C_Pavement!$I$5:$I$204,$AQ975)="-","",INDEX(C_Pavement!$I$5:$I$204,$AQ975)),IF($AS975="","",INDEX(E_Rules!$H$5:$H$9,$AS975))))</f>
        <v/>
      </c>
    </row>
    <row r="976" spans="1:51" ht="15.75" customHeight="1" x14ac:dyDescent="0.3">
      <c r="A976" s="189">
        <v>971</v>
      </c>
      <c r="B976" s="180">
        <v>48500</v>
      </c>
      <c r="C976" s="180" t="s">
        <v>1282</v>
      </c>
      <c r="D976" s="181" t="str">
        <f>IFERROR(LOOKUP(2,1/((A_Corridor!$A$5:$A$204&lt;&gt;"")*(A_Corridor!$A$5:$A$204&lt;=$B976)*(A_Corridor!$B$5:$B$204&gt;$B976)*(A_Corridor!$C$5:$C$204&lt;&gt;"")),IF(UPPER(A_Corridor!$C$5:$C$204)="Y",1,"")),"")</f>
        <v/>
      </c>
      <c r="E976" s="181" t="str">
        <f>IFERROR(LOOKUP(2,1/((A_Corridor!$A$5:$A$204&lt;&gt;"")*(A_Corridor!$A$5:$A$204&lt;=$B976)*(A_Corridor!$B$5:$B$204&gt;$B976)*(A_Corridor!$D$5:$D$204&lt;&gt;"")),IF(A_Corridor!$D$5:$D$204="-","",UPPER(A_Corridor!$D$5:$D$204))),"")</f>
        <v/>
      </c>
      <c r="F976" s="181" t="str">
        <f>IFERROR(LOOKUP(2,1/((A_Corridor!$A$5:$A$204&lt;&gt;"")*(A_Corridor!$A$5:$A$204&lt;=$B976)*(A_Corridor!$B$5:$B$204&gt;$B976)*(A_Corridor!$E$5:$E$204&lt;&gt;"")),IF(A_Corridor!$E$5:$E$204="-","",1)),"")</f>
        <v/>
      </c>
      <c r="G976" s="182" t="str">
        <f>IFERROR(LOOKUP(2,1/((A_Corridor!$A$5:$A$204&lt;&gt;"")*(A_Corridor!$A$5:$A$204&lt;=$B976)*(A_Corridor!$B$5:$B$204&gt;$B976)*(A_Corridor!$E$5:$E$204&lt;&gt;"")),IF(A_Corridor!$E$5:$E$204="-","",A_Corridor!$E$5:$E$204)),"")</f>
        <v/>
      </c>
      <c r="H976" s="182" t="str">
        <f>IFERROR(LOOKUP(2,1/((D_Points!$A$5:$A$204&lt;&gt;"")*(D_Points!$A$5:$A$204&gt;=$B976)*(D_Points!$A$5:$A$204&lt;$B976+P_Interval)*(UPPER(TRIM(D_Points!$B$5:$B$204))="GULLY")*(D_Points!$H$5:$H$204&lt;&gt;"")),D_Points!$H$5:$H$204),"")</f>
        <v/>
      </c>
      <c r="I976" s="181" t="str">
        <f>IFERROR(LOOKUP(2,1/((A_Corridor!$A$5:$A$204&lt;&gt;"")*(A_Corridor!$A$5:$A$204&lt;=$B976)*(A_Corridor!$B$5:$B$204&gt;$B976)*(A_Corridor!$F$5:$F$204&lt;&gt;"")),IF(A_Corridor!$F$5:$F$204="-","",1)),"")</f>
        <v/>
      </c>
      <c r="J976" s="182" t="str">
        <f>IFERROR(LOOKUP(2,1/((A_Corridor!$A$5:$A$204&lt;&gt;"")*(A_Corridor!$A$5:$A$204&lt;=$B976)*(A_Corridor!$B$5:$B$204&gt;$B976)*(A_Corridor!$F$5:$F$204&lt;&gt;"")),IF(A_Corridor!$F$5:$F$204="-","",A_Corridor!$F$5:$F$204)),"")</f>
        <v/>
      </c>
      <c r="K976" s="182" t="str">
        <f>IFERROR(LOOKUP(2,1/((A_Corridor!$A$5:$A$204&lt;&gt;"")*(A_Corridor!$A$5:$A$204&lt;=$B976)*(A_Corridor!$B$5:$B$204&gt;$B976)*(A_Corridor!$G$5:$G$204&lt;&gt;"")),IF(A_Corridor!$G$5:$G$204="-","",A_Corridor!$G$5:$G$204)),"")</f>
        <v/>
      </c>
      <c r="L976" s="181" t="str">
        <f>IFERROR(LOOKUP(2,1/((A_Corridor!$A$5:$A$204&lt;&gt;"")*(A_Corridor!$A$5:$A$204&lt;=$B976)*(A_Corridor!$B$5:$B$204&gt;$B976)*(A_Corridor!$H$5:$H$204&lt;&gt;"")),IF(A_Corridor!$H$5:$H$204="-","",1)),"")</f>
        <v/>
      </c>
      <c r="M976" s="182" t="str">
        <f>IFERROR(LOOKUP(2,1/((A_Corridor!$A$5:$A$204&lt;&gt;"")*(A_Corridor!$A$5:$A$204&lt;=$B976)*(A_Corridor!$B$5:$B$204&gt;$B976)*(A_Corridor!$H$5:$H$204&lt;&gt;"")),IF(A_Corridor!$H$5:$H$204="-","",A_Corridor!$H$5:$H$204)),"")</f>
        <v/>
      </c>
      <c r="N976" s="182" t="str">
        <f>IFERROR(LOOKUP(2,1/((A_Corridor!$A$5:$A$204&lt;&gt;"")*(A_Corridor!$A$5:$A$204&lt;=$B976)*(A_Corridor!$B$5:$B$204&gt;$B976)*(A_Corridor!$I$5:$I$204&lt;&gt;"")),IF(A_Corridor!$I$5:$I$204="-","",A_Corridor!$I$5:$I$204)),"")</f>
        <v/>
      </c>
      <c r="O976" s="182" t="str">
        <f>IFERROR(LOOKUP(2,1/((D_Points!$A$5:$A$204&lt;&gt;"")*(D_Points!$A$5:$A$204&gt;=$B976)*(D_Points!$A$5:$A$204&lt;$B976+P_Interval)*(UPPER(TRIM(D_Points!$B$5:$B$204))="PITCHING")*(D_Points!$H$5:$H$204&lt;&gt;"")),D_Points!$H$5:$H$204),"")</f>
        <v/>
      </c>
      <c r="P976" s="181" t="str">
        <f>IFERROR(LOOKUP(2,1/((B_Drainage!$A$5:$A$204&lt;&gt;"")*(B_Drainage!$A$5:$A$204&lt;=$B976)*(B_Drainage!$B$5:$B$204&gt;$B976)*(B_Drainage!$C$5:$C$204&lt;&gt;"")),IF(B_Drainage!$C$5:$C$204="-","",UPPER(B_Drainage!$C$5:$C$204))),"")</f>
        <v/>
      </c>
      <c r="Q976" s="181" t="str">
        <f>IFERROR(LOOKUP(2,1/((B_Drainage!$A$5:$A$204&lt;&gt;"")*(B_Drainage!$A$5:$A$204&lt;=$B976)*(B_Drainage!$B$5:$B$204&gt;$B976)*(B_Drainage!$D$5:$D$204&lt;&gt;"")),IF(B_Drainage!$D$5:$D$204="-","",UPPER(B_Drainage!$D$5:$D$204))),"")</f>
        <v/>
      </c>
      <c r="R976" s="182" t="str">
        <f>IFERROR(LOOKUP(2,1/((D_Points!$A$5:$A$204&lt;&gt;"")*(D_Points!$A$5:$A$204&gt;=$B976)*(D_Points!$A$5:$A$204&lt;$B976+P_Interval)*(RIGHT(UPPER(TRIM(D_Points!$B$5:$B$204)),8)="_CULVERT")),IF(LEFT(UPPER(TRIM(D_Points!$B$5:$B$204)),2)="EX",1,IF(LEFT(UPPER(TRIM(D_Points!$B$5:$B$204)),2)="PR",2,3))),"")</f>
        <v/>
      </c>
      <c r="S976" s="182" t="str">
        <f>IFERROR(LOOKUP(2,1/((D_Points!$A$5:$A$204&lt;&gt;"")*(D_Points!$A$5:$A$204&gt;=$B976)*(D_Points!$A$5:$A$204&lt;$B976+P_Interval)*(RIGHT(UPPER(TRIM(D_Points!$B$5:$B$204)),7)="_BRIDGE")),IF(LEFT(UPPER(TRIM(D_Points!$B$5:$B$204)),2)="EX",1,IF(LEFT(UPPER(TRIM(D_Points!$B$5:$B$204)),2)="PR",2,2))),"")</f>
        <v/>
      </c>
      <c r="T976" s="181" t="str">
        <f>IFERROR(LOOKUP(2,1/((B_Drainage!$A$5:$A$204&lt;&gt;"")*(B_Drainage!$A$5:$A$204&lt;=$B976)*(B_Drainage!$B$5:$B$204&gt;$B976)*(B_Drainage!$E$5:$E$204&lt;&gt;"")),IF(B_Drainage!$E$5:$E$204="-","",1)),"")</f>
        <v/>
      </c>
      <c r="U976" s="181" t="str">
        <f>IFERROR(LOOKUP(2,1/((B_Drainage!$A$5:$A$204&lt;&gt;"")*(B_Drainage!$A$5:$A$204&lt;=$B976)*(B_Drainage!$B$5:$B$204&gt;$B976)*(B_Drainage!$E$5:$E$204&lt;&gt;"")),IF(B_Drainage!$E$5:$E$204="-","",B_Drainage!$E$5:$E$204)),"")</f>
        <v/>
      </c>
      <c r="V976" s="181" t="str">
        <f>IFERROR(LOOKUP(2,1/((B_Drainage!$A$5:$A$204&lt;&gt;"")*(B_Drainage!$A$5:$A$204&lt;=$B976)*(B_Drainage!$B$5:$B$204&gt;$B976)*(B_Drainage!$F$5:$F$204&lt;&gt;"")),IF(B_Drainage!$F$5:$F$204="-","",1)),"")</f>
        <v/>
      </c>
      <c r="W976" s="181" t="str">
        <f>IFERROR(LOOKUP(2,1/((B_Drainage!$A$5:$A$204&lt;&gt;"")*(B_Drainage!$A$5:$A$204&lt;=$B976)*(B_Drainage!$B$5:$B$204&gt;$B976)*(B_Drainage!$F$5:$F$204&lt;&gt;"")),IF(B_Drainage!$F$5:$F$204="-","",B_Drainage!$F$5:$F$204)),"")</f>
        <v/>
      </c>
      <c r="X976" s="181" t="str">
        <f>IFERROR(LOOKUP(2,1/((B_Drainage!$A$5:$A$204&lt;&gt;"")*(B_Drainage!$A$5:$A$204&lt;=$B976)*(B_Drainage!$B$5:$B$204&gt;$B976)*(B_Drainage!$G$5:$G$204&lt;&gt;"")),IF(UPPER(B_Drainage!$G$5:$G$204)="Y",1,"")),"")</f>
        <v/>
      </c>
      <c r="Y976" s="181" t="str">
        <f>IFERROR(LOOKUP(2,1/((B_Drainage!$A$5:$A$204&lt;&gt;"")*(B_Drainage!$A$5:$A$204&lt;=$B976)*(B_Drainage!$B$5:$B$204&gt;$B976)*(B_Drainage!$H$5:$H$204&lt;&gt;"")),IF(UPPER(B_Drainage!$H$5:$H$204)="Y",1,"")),"")</f>
        <v/>
      </c>
      <c r="Z976" s="181" t="str">
        <f>IFERROR(LOOKUP(2,1/((B_Drainage!$A$5:$A$204&lt;&gt;"")*(B_Drainage!$A$5:$A$204&lt;=$B976)*(B_Drainage!$B$5:$B$204&gt;$B976)*(B_Drainage!$I$5:$I$204&lt;&gt;"")),IF(UPPER(B_Drainage!$I$5:$I$204)="Y",1,"")),"")</f>
        <v/>
      </c>
      <c r="AA976" s="181" t="str">
        <f>IFERROR(LOOKUP(2,1/((B_Drainage!$A$5:$A$204&lt;&gt;"")*(B_Drainage!$A$5:$A$204&lt;=$B976)*(B_Drainage!$B$5:$B$204&gt;$B976)*(B_Drainage!$J$5:$J$204&lt;&gt;"")),IF(UPPER(B_Drainage!$J$5:$J$204)="Y",1,"")),"")</f>
        <v/>
      </c>
      <c r="AB976" s="182" t="str">
        <f>IFERROR(LOOKUP(2,1/((B_Drainage!$A$5:$A$204&lt;&gt;"")*(B_Drainage!$A$5:$A$204&lt;=$B976)*(B_Drainage!$B$5:$B$204&gt;$B976)*(B_Drainage!$K$5:$K$204&lt;&gt;"")),IF(B_Drainage!$K$5:$K$204="-","",B_Drainage!$K$5:$K$204)),"")</f>
        <v/>
      </c>
      <c r="AC976" s="182" t="str">
        <f>IFERROR(LOOKUP(2,1/((B_Drainage!$A$5:$A$204&lt;&gt;"")*(B_Drainage!$A$5:$A$204&lt;=$B976)*(B_Drainage!$B$5:$B$204&gt;$B976)*(B_Drainage!$L$5:$L$204&lt;&gt;"")),IF(B_Drainage!$L$5:$L$204="-","",B_Drainage!$L$5:$L$204)),"")</f>
        <v/>
      </c>
      <c r="AD976" s="182" t="str">
        <f>IFERROR(LOOKUP(2,1/((D_Points!$A$5:$A$204&lt;&gt;"")*(D_Points!$A$5:$A$204&gt;=$B976)*(D_Points!$A$5:$A$204&lt;$B976+P_Interval)*(UPPER(TRIM(D_Points!$B$5:$B$204))="TURNOUT_L")*(D_Points!$H$5:$H$204&lt;&gt;"")),D_Points!$H$5:$H$204),"")</f>
        <v/>
      </c>
      <c r="AE976" s="182" t="str">
        <f>IFERROR(LOOKUP(2,1/((D_Points!$A$5:$A$204&lt;&gt;"")*(D_Points!$A$5:$A$204&gt;=$B976)*(D_Points!$A$5:$A$204&lt;$B976+P_Interval)*(UPPER(TRIM(D_Points!$B$5:$B$204))="TURNOUT_R")*(D_Points!$H$5:$H$204&lt;&gt;"")),D_Points!$H$5:$H$204),"")</f>
        <v/>
      </c>
      <c r="AF976" s="181" t="str">
        <f>IFERROR(LOOKUP(2,1/((B_Drainage!$A$5:$A$204&lt;&gt;"")*(B_Drainage!$A$5:$A$204&lt;=$B976)*(B_Drainage!$B$5:$B$204&gt;$B976)*(B_Drainage!$M$5:$M$204&lt;&gt;"")),IF(UPPER(B_Drainage!$M$5:$M$204)="Y",1,"")),"")</f>
        <v/>
      </c>
      <c r="AG976" s="181" t="str">
        <f>IFERROR(LOOKUP(2,1/((B_Drainage!$A$5:$A$204&lt;&gt;"")*(B_Drainage!$A$5:$A$204&lt;=$B976)*(B_Drainage!$B$5:$B$204&gt;$B976)*(B_Drainage!$N$5:$N$204&lt;&gt;"")),IF(UPPER(B_Drainage!$N$5:$N$204)="Y",1,"")),"")</f>
        <v/>
      </c>
      <c r="AH976" s="181" t="str">
        <f t="shared" si="120"/>
        <v/>
      </c>
      <c r="AI976" s="181" t="str">
        <f t="shared" si="121"/>
        <v/>
      </c>
      <c r="AJ976" s="181" t="str">
        <f t="shared" si="122"/>
        <v/>
      </c>
      <c r="AK976" s="181" t="str">
        <f t="shared" si="123"/>
        <v/>
      </c>
      <c r="AL976" s="181" t="str">
        <f t="shared" si="124"/>
        <v/>
      </c>
      <c r="AM976" s="181" t="str">
        <f t="shared" si="125"/>
        <v/>
      </c>
      <c r="AN976" s="181" t="str">
        <f t="shared" si="126"/>
        <v/>
      </c>
      <c r="AO976" s="192" t="str">
        <f t="shared" si="127"/>
        <v/>
      </c>
      <c r="AQ976" t="str">
        <f>IFERROR(LOOKUP(2,1/((C_Pavement!$A$5:$A$204&lt;&gt;"")*(C_Pavement!$A$5:$A$204&lt;=$B976)*(C_Pavement!$B$5:$B$204&gt;$B976)*(C_Pavement!$C$5:$C$204&lt;&gt;"")),ROW(C_Pavement!$C$5:$C$204)-4),"")</f>
        <v/>
      </c>
      <c r="AR976" t="str">
        <f>IF($AQ976="","",UPPER(TRIM(INDEX(C_Pavement!$C$5:$C$204,$AQ976))))</f>
        <v/>
      </c>
      <c r="AS976" t="str">
        <f>IF($AR976="","",IFERROR(MATCH($AR976,E_Rules!$A$5:$A$9,0),""))</f>
        <v/>
      </c>
      <c r="AT976" t="str">
        <f>IF($AQ976="","",IF(INDEX(C_Pavement!$D$5:$D$204,$AQ976)&lt;&gt;"",UPPER(TRIM(INDEX(C_Pavement!$D$5:$D$204,$AQ976))),IF($AS976="","",INDEX(E_Rules!$C$5:$C$9,$AS976))))</f>
        <v/>
      </c>
      <c r="AU976" t="str">
        <f>IF($AQ976="","",IF(INDEX(C_Pavement!$E$5:$E$204,$AQ976)&lt;&gt;"",IF(INDEX(C_Pavement!$E$5:$E$204,$AQ976)="-","",INDEX(C_Pavement!$E$5:$E$204,$AQ976)),IF($AS976="","",INDEX(E_Rules!$D$5:$D$9,$AS976))))</f>
        <v/>
      </c>
      <c r="AV976" t="str">
        <f>IF($AQ976="","",IF(INDEX(C_Pavement!$F$5:$F$204,$AQ976)&lt;&gt;"",IF(INDEX(C_Pavement!$F$5:$F$204,$AQ976)="-","",INDEX(C_Pavement!$F$5:$F$204,$AQ976)),IF($AS976="","",INDEX(E_Rules!$E$5:$E$9,$AS976))))</f>
        <v/>
      </c>
      <c r="AW976" t="str">
        <f>IF($AQ976="","",IF(INDEX(C_Pavement!$G$5:$G$204,$AQ976)&lt;&gt;"",IF(INDEX(C_Pavement!$G$5:$G$204,$AQ976)="-","",INDEX(C_Pavement!$G$5:$G$204,$AQ976)),IF($AS976="","",INDEX(E_Rules!$F$5:$F$9,$AS976))))</f>
        <v/>
      </c>
      <c r="AX976" t="str">
        <f>IF($AQ976="","",IF(INDEX(C_Pavement!$H$5:$H$204,$AQ976)&lt;&gt;"",IF(INDEX(C_Pavement!$H$5:$H$204,$AQ976)="-","",INDEX(C_Pavement!$H$5:$H$204,$AQ976)),IF($AS976="","",INDEX(E_Rules!$G$5:$G$9,$AS976))))</f>
        <v/>
      </c>
      <c r="AY976" t="str">
        <f>IF($AQ976="","",IF(INDEX(C_Pavement!$I$5:$I$204,$AQ976)&lt;&gt;"",IF(INDEX(C_Pavement!$I$5:$I$204,$AQ976)="-","",INDEX(C_Pavement!$I$5:$I$204,$AQ976)),IF($AS976="","",INDEX(E_Rules!$H$5:$H$9,$AS976))))</f>
        <v/>
      </c>
    </row>
    <row r="977" spans="1:51" ht="15.75" customHeight="1" x14ac:dyDescent="0.3">
      <c r="A977" s="189">
        <v>972</v>
      </c>
      <c r="B977" s="180">
        <v>48550</v>
      </c>
      <c r="C977" s="180" t="s">
        <v>1283</v>
      </c>
      <c r="D977" s="181" t="str">
        <f>IFERROR(LOOKUP(2,1/((A_Corridor!$A$5:$A$204&lt;&gt;"")*(A_Corridor!$A$5:$A$204&lt;=$B977)*(A_Corridor!$B$5:$B$204&gt;$B977)*(A_Corridor!$C$5:$C$204&lt;&gt;"")),IF(UPPER(A_Corridor!$C$5:$C$204)="Y",1,"")),"")</f>
        <v/>
      </c>
      <c r="E977" s="181" t="str">
        <f>IFERROR(LOOKUP(2,1/((A_Corridor!$A$5:$A$204&lt;&gt;"")*(A_Corridor!$A$5:$A$204&lt;=$B977)*(A_Corridor!$B$5:$B$204&gt;$B977)*(A_Corridor!$D$5:$D$204&lt;&gt;"")),IF(A_Corridor!$D$5:$D$204="-","",UPPER(A_Corridor!$D$5:$D$204))),"")</f>
        <v/>
      </c>
      <c r="F977" s="181" t="str">
        <f>IFERROR(LOOKUP(2,1/((A_Corridor!$A$5:$A$204&lt;&gt;"")*(A_Corridor!$A$5:$A$204&lt;=$B977)*(A_Corridor!$B$5:$B$204&gt;$B977)*(A_Corridor!$E$5:$E$204&lt;&gt;"")),IF(A_Corridor!$E$5:$E$204="-","",1)),"")</f>
        <v/>
      </c>
      <c r="G977" s="182" t="str">
        <f>IFERROR(LOOKUP(2,1/((A_Corridor!$A$5:$A$204&lt;&gt;"")*(A_Corridor!$A$5:$A$204&lt;=$B977)*(A_Corridor!$B$5:$B$204&gt;$B977)*(A_Corridor!$E$5:$E$204&lt;&gt;"")),IF(A_Corridor!$E$5:$E$204="-","",A_Corridor!$E$5:$E$204)),"")</f>
        <v/>
      </c>
      <c r="H977" s="182" t="str">
        <f>IFERROR(LOOKUP(2,1/((D_Points!$A$5:$A$204&lt;&gt;"")*(D_Points!$A$5:$A$204&gt;=$B977)*(D_Points!$A$5:$A$204&lt;$B977+P_Interval)*(UPPER(TRIM(D_Points!$B$5:$B$204))="GULLY")*(D_Points!$H$5:$H$204&lt;&gt;"")),D_Points!$H$5:$H$204),"")</f>
        <v/>
      </c>
      <c r="I977" s="181" t="str">
        <f>IFERROR(LOOKUP(2,1/((A_Corridor!$A$5:$A$204&lt;&gt;"")*(A_Corridor!$A$5:$A$204&lt;=$B977)*(A_Corridor!$B$5:$B$204&gt;$B977)*(A_Corridor!$F$5:$F$204&lt;&gt;"")),IF(A_Corridor!$F$5:$F$204="-","",1)),"")</f>
        <v/>
      </c>
      <c r="J977" s="182" t="str">
        <f>IFERROR(LOOKUP(2,1/((A_Corridor!$A$5:$A$204&lt;&gt;"")*(A_Corridor!$A$5:$A$204&lt;=$B977)*(A_Corridor!$B$5:$B$204&gt;$B977)*(A_Corridor!$F$5:$F$204&lt;&gt;"")),IF(A_Corridor!$F$5:$F$204="-","",A_Corridor!$F$5:$F$204)),"")</f>
        <v/>
      </c>
      <c r="K977" s="182" t="str">
        <f>IFERROR(LOOKUP(2,1/((A_Corridor!$A$5:$A$204&lt;&gt;"")*(A_Corridor!$A$5:$A$204&lt;=$B977)*(A_Corridor!$B$5:$B$204&gt;$B977)*(A_Corridor!$G$5:$G$204&lt;&gt;"")),IF(A_Corridor!$G$5:$G$204="-","",A_Corridor!$G$5:$G$204)),"")</f>
        <v/>
      </c>
      <c r="L977" s="181" t="str">
        <f>IFERROR(LOOKUP(2,1/((A_Corridor!$A$5:$A$204&lt;&gt;"")*(A_Corridor!$A$5:$A$204&lt;=$B977)*(A_Corridor!$B$5:$B$204&gt;$B977)*(A_Corridor!$H$5:$H$204&lt;&gt;"")),IF(A_Corridor!$H$5:$H$204="-","",1)),"")</f>
        <v/>
      </c>
      <c r="M977" s="182" t="str">
        <f>IFERROR(LOOKUP(2,1/((A_Corridor!$A$5:$A$204&lt;&gt;"")*(A_Corridor!$A$5:$A$204&lt;=$B977)*(A_Corridor!$B$5:$B$204&gt;$B977)*(A_Corridor!$H$5:$H$204&lt;&gt;"")),IF(A_Corridor!$H$5:$H$204="-","",A_Corridor!$H$5:$H$204)),"")</f>
        <v/>
      </c>
      <c r="N977" s="182" t="str">
        <f>IFERROR(LOOKUP(2,1/((A_Corridor!$A$5:$A$204&lt;&gt;"")*(A_Corridor!$A$5:$A$204&lt;=$B977)*(A_Corridor!$B$5:$B$204&gt;$B977)*(A_Corridor!$I$5:$I$204&lt;&gt;"")),IF(A_Corridor!$I$5:$I$204="-","",A_Corridor!$I$5:$I$204)),"")</f>
        <v/>
      </c>
      <c r="O977" s="182" t="str">
        <f>IFERROR(LOOKUP(2,1/((D_Points!$A$5:$A$204&lt;&gt;"")*(D_Points!$A$5:$A$204&gt;=$B977)*(D_Points!$A$5:$A$204&lt;$B977+P_Interval)*(UPPER(TRIM(D_Points!$B$5:$B$204))="PITCHING")*(D_Points!$H$5:$H$204&lt;&gt;"")),D_Points!$H$5:$H$204),"")</f>
        <v/>
      </c>
      <c r="P977" s="181" t="str">
        <f>IFERROR(LOOKUP(2,1/((B_Drainage!$A$5:$A$204&lt;&gt;"")*(B_Drainage!$A$5:$A$204&lt;=$B977)*(B_Drainage!$B$5:$B$204&gt;$B977)*(B_Drainage!$C$5:$C$204&lt;&gt;"")),IF(B_Drainage!$C$5:$C$204="-","",UPPER(B_Drainage!$C$5:$C$204))),"")</f>
        <v/>
      </c>
      <c r="Q977" s="181" t="str">
        <f>IFERROR(LOOKUP(2,1/((B_Drainage!$A$5:$A$204&lt;&gt;"")*(B_Drainage!$A$5:$A$204&lt;=$B977)*(B_Drainage!$B$5:$B$204&gt;$B977)*(B_Drainage!$D$5:$D$204&lt;&gt;"")),IF(B_Drainage!$D$5:$D$204="-","",UPPER(B_Drainage!$D$5:$D$204))),"")</f>
        <v/>
      </c>
      <c r="R977" s="182" t="str">
        <f>IFERROR(LOOKUP(2,1/((D_Points!$A$5:$A$204&lt;&gt;"")*(D_Points!$A$5:$A$204&gt;=$B977)*(D_Points!$A$5:$A$204&lt;$B977+P_Interval)*(RIGHT(UPPER(TRIM(D_Points!$B$5:$B$204)),8)="_CULVERT")),IF(LEFT(UPPER(TRIM(D_Points!$B$5:$B$204)),2)="EX",1,IF(LEFT(UPPER(TRIM(D_Points!$B$5:$B$204)),2)="PR",2,3))),"")</f>
        <v/>
      </c>
      <c r="S977" s="182" t="str">
        <f>IFERROR(LOOKUP(2,1/((D_Points!$A$5:$A$204&lt;&gt;"")*(D_Points!$A$5:$A$204&gt;=$B977)*(D_Points!$A$5:$A$204&lt;$B977+P_Interval)*(RIGHT(UPPER(TRIM(D_Points!$B$5:$B$204)),7)="_BRIDGE")),IF(LEFT(UPPER(TRIM(D_Points!$B$5:$B$204)),2)="EX",1,IF(LEFT(UPPER(TRIM(D_Points!$B$5:$B$204)),2)="PR",2,2))),"")</f>
        <v/>
      </c>
      <c r="T977" s="181" t="str">
        <f>IFERROR(LOOKUP(2,1/((B_Drainage!$A$5:$A$204&lt;&gt;"")*(B_Drainage!$A$5:$A$204&lt;=$B977)*(B_Drainage!$B$5:$B$204&gt;$B977)*(B_Drainage!$E$5:$E$204&lt;&gt;"")),IF(B_Drainage!$E$5:$E$204="-","",1)),"")</f>
        <v/>
      </c>
      <c r="U977" s="181" t="str">
        <f>IFERROR(LOOKUP(2,1/((B_Drainage!$A$5:$A$204&lt;&gt;"")*(B_Drainage!$A$5:$A$204&lt;=$B977)*(B_Drainage!$B$5:$B$204&gt;$B977)*(B_Drainage!$E$5:$E$204&lt;&gt;"")),IF(B_Drainage!$E$5:$E$204="-","",B_Drainage!$E$5:$E$204)),"")</f>
        <v/>
      </c>
      <c r="V977" s="181" t="str">
        <f>IFERROR(LOOKUP(2,1/((B_Drainage!$A$5:$A$204&lt;&gt;"")*(B_Drainage!$A$5:$A$204&lt;=$B977)*(B_Drainage!$B$5:$B$204&gt;$B977)*(B_Drainage!$F$5:$F$204&lt;&gt;"")),IF(B_Drainage!$F$5:$F$204="-","",1)),"")</f>
        <v/>
      </c>
      <c r="W977" s="181" t="str">
        <f>IFERROR(LOOKUP(2,1/((B_Drainage!$A$5:$A$204&lt;&gt;"")*(B_Drainage!$A$5:$A$204&lt;=$B977)*(B_Drainage!$B$5:$B$204&gt;$B977)*(B_Drainage!$F$5:$F$204&lt;&gt;"")),IF(B_Drainage!$F$5:$F$204="-","",B_Drainage!$F$5:$F$204)),"")</f>
        <v/>
      </c>
      <c r="X977" s="181" t="str">
        <f>IFERROR(LOOKUP(2,1/((B_Drainage!$A$5:$A$204&lt;&gt;"")*(B_Drainage!$A$5:$A$204&lt;=$B977)*(B_Drainage!$B$5:$B$204&gt;$B977)*(B_Drainage!$G$5:$G$204&lt;&gt;"")),IF(UPPER(B_Drainage!$G$5:$G$204)="Y",1,"")),"")</f>
        <v/>
      </c>
      <c r="Y977" s="181" t="str">
        <f>IFERROR(LOOKUP(2,1/((B_Drainage!$A$5:$A$204&lt;&gt;"")*(B_Drainage!$A$5:$A$204&lt;=$B977)*(B_Drainage!$B$5:$B$204&gt;$B977)*(B_Drainage!$H$5:$H$204&lt;&gt;"")),IF(UPPER(B_Drainage!$H$5:$H$204)="Y",1,"")),"")</f>
        <v/>
      </c>
      <c r="Z977" s="181" t="str">
        <f>IFERROR(LOOKUP(2,1/((B_Drainage!$A$5:$A$204&lt;&gt;"")*(B_Drainage!$A$5:$A$204&lt;=$B977)*(B_Drainage!$B$5:$B$204&gt;$B977)*(B_Drainage!$I$5:$I$204&lt;&gt;"")),IF(UPPER(B_Drainage!$I$5:$I$204)="Y",1,"")),"")</f>
        <v/>
      </c>
      <c r="AA977" s="181" t="str">
        <f>IFERROR(LOOKUP(2,1/((B_Drainage!$A$5:$A$204&lt;&gt;"")*(B_Drainage!$A$5:$A$204&lt;=$B977)*(B_Drainage!$B$5:$B$204&gt;$B977)*(B_Drainage!$J$5:$J$204&lt;&gt;"")),IF(UPPER(B_Drainage!$J$5:$J$204)="Y",1,"")),"")</f>
        <v/>
      </c>
      <c r="AB977" s="182" t="str">
        <f>IFERROR(LOOKUP(2,1/((B_Drainage!$A$5:$A$204&lt;&gt;"")*(B_Drainage!$A$5:$A$204&lt;=$B977)*(B_Drainage!$B$5:$B$204&gt;$B977)*(B_Drainage!$K$5:$K$204&lt;&gt;"")),IF(B_Drainage!$K$5:$K$204="-","",B_Drainage!$K$5:$K$204)),"")</f>
        <v/>
      </c>
      <c r="AC977" s="182" t="str">
        <f>IFERROR(LOOKUP(2,1/((B_Drainage!$A$5:$A$204&lt;&gt;"")*(B_Drainage!$A$5:$A$204&lt;=$B977)*(B_Drainage!$B$5:$B$204&gt;$B977)*(B_Drainage!$L$5:$L$204&lt;&gt;"")),IF(B_Drainage!$L$5:$L$204="-","",B_Drainage!$L$5:$L$204)),"")</f>
        <v/>
      </c>
      <c r="AD977" s="182" t="str">
        <f>IFERROR(LOOKUP(2,1/((D_Points!$A$5:$A$204&lt;&gt;"")*(D_Points!$A$5:$A$204&gt;=$B977)*(D_Points!$A$5:$A$204&lt;$B977+P_Interval)*(UPPER(TRIM(D_Points!$B$5:$B$204))="TURNOUT_L")*(D_Points!$H$5:$H$204&lt;&gt;"")),D_Points!$H$5:$H$204),"")</f>
        <v/>
      </c>
      <c r="AE977" s="182" t="str">
        <f>IFERROR(LOOKUP(2,1/((D_Points!$A$5:$A$204&lt;&gt;"")*(D_Points!$A$5:$A$204&gt;=$B977)*(D_Points!$A$5:$A$204&lt;$B977+P_Interval)*(UPPER(TRIM(D_Points!$B$5:$B$204))="TURNOUT_R")*(D_Points!$H$5:$H$204&lt;&gt;"")),D_Points!$H$5:$H$204),"")</f>
        <v/>
      </c>
      <c r="AF977" s="181" t="str">
        <f>IFERROR(LOOKUP(2,1/((B_Drainage!$A$5:$A$204&lt;&gt;"")*(B_Drainage!$A$5:$A$204&lt;=$B977)*(B_Drainage!$B$5:$B$204&gt;$B977)*(B_Drainage!$M$5:$M$204&lt;&gt;"")),IF(UPPER(B_Drainage!$M$5:$M$204)="Y",1,"")),"")</f>
        <v/>
      </c>
      <c r="AG977" s="181" t="str">
        <f>IFERROR(LOOKUP(2,1/((B_Drainage!$A$5:$A$204&lt;&gt;"")*(B_Drainage!$A$5:$A$204&lt;=$B977)*(B_Drainage!$B$5:$B$204&gt;$B977)*(B_Drainage!$N$5:$N$204&lt;&gt;"")),IF(UPPER(B_Drainage!$N$5:$N$204)="Y",1,"")),"")</f>
        <v/>
      </c>
      <c r="AH977" s="181" t="str">
        <f t="shared" si="120"/>
        <v/>
      </c>
      <c r="AI977" s="181" t="str">
        <f t="shared" si="121"/>
        <v/>
      </c>
      <c r="AJ977" s="181" t="str">
        <f t="shared" si="122"/>
        <v/>
      </c>
      <c r="AK977" s="181" t="str">
        <f t="shared" si="123"/>
        <v/>
      </c>
      <c r="AL977" s="181" t="str">
        <f t="shared" si="124"/>
        <v/>
      </c>
      <c r="AM977" s="181" t="str">
        <f t="shared" si="125"/>
        <v/>
      </c>
      <c r="AN977" s="181" t="str">
        <f t="shared" si="126"/>
        <v/>
      </c>
      <c r="AO977" s="192" t="str">
        <f t="shared" si="127"/>
        <v/>
      </c>
      <c r="AQ977" t="str">
        <f>IFERROR(LOOKUP(2,1/((C_Pavement!$A$5:$A$204&lt;&gt;"")*(C_Pavement!$A$5:$A$204&lt;=$B977)*(C_Pavement!$B$5:$B$204&gt;$B977)*(C_Pavement!$C$5:$C$204&lt;&gt;"")),ROW(C_Pavement!$C$5:$C$204)-4),"")</f>
        <v/>
      </c>
      <c r="AR977" t="str">
        <f>IF($AQ977="","",UPPER(TRIM(INDEX(C_Pavement!$C$5:$C$204,$AQ977))))</f>
        <v/>
      </c>
      <c r="AS977" t="str">
        <f>IF($AR977="","",IFERROR(MATCH($AR977,E_Rules!$A$5:$A$9,0),""))</f>
        <v/>
      </c>
      <c r="AT977" t="str">
        <f>IF($AQ977="","",IF(INDEX(C_Pavement!$D$5:$D$204,$AQ977)&lt;&gt;"",UPPER(TRIM(INDEX(C_Pavement!$D$5:$D$204,$AQ977))),IF($AS977="","",INDEX(E_Rules!$C$5:$C$9,$AS977))))</f>
        <v/>
      </c>
      <c r="AU977" t="str">
        <f>IF($AQ977="","",IF(INDEX(C_Pavement!$E$5:$E$204,$AQ977)&lt;&gt;"",IF(INDEX(C_Pavement!$E$5:$E$204,$AQ977)="-","",INDEX(C_Pavement!$E$5:$E$204,$AQ977)),IF($AS977="","",INDEX(E_Rules!$D$5:$D$9,$AS977))))</f>
        <v/>
      </c>
      <c r="AV977" t="str">
        <f>IF($AQ977="","",IF(INDEX(C_Pavement!$F$5:$F$204,$AQ977)&lt;&gt;"",IF(INDEX(C_Pavement!$F$5:$F$204,$AQ977)="-","",INDEX(C_Pavement!$F$5:$F$204,$AQ977)),IF($AS977="","",INDEX(E_Rules!$E$5:$E$9,$AS977))))</f>
        <v/>
      </c>
      <c r="AW977" t="str">
        <f>IF($AQ977="","",IF(INDEX(C_Pavement!$G$5:$G$204,$AQ977)&lt;&gt;"",IF(INDEX(C_Pavement!$G$5:$G$204,$AQ977)="-","",INDEX(C_Pavement!$G$5:$G$204,$AQ977)),IF($AS977="","",INDEX(E_Rules!$F$5:$F$9,$AS977))))</f>
        <v/>
      </c>
      <c r="AX977" t="str">
        <f>IF($AQ977="","",IF(INDEX(C_Pavement!$H$5:$H$204,$AQ977)&lt;&gt;"",IF(INDEX(C_Pavement!$H$5:$H$204,$AQ977)="-","",INDEX(C_Pavement!$H$5:$H$204,$AQ977)),IF($AS977="","",INDEX(E_Rules!$G$5:$G$9,$AS977))))</f>
        <v/>
      </c>
      <c r="AY977" t="str">
        <f>IF($AQ977="","",IF(INDEX(C_Pavement!$I$5:$I$204,$AQ977)&lt;&gt;"",IF(INDEX(C_Pavement!$I$5:$I$204,$AQ977)="-","",INDEX(C_Pavement!$I$5:$I$204,$AQ977)),IF($AS977="","",INDEX(E_Rules!$H$5:$H$9,$AS977))))</f>
        <v/>
      </c>
    </row>
    <row r="978" spans="1:51" ht="15.75" customHeight="1" x14ac:dyDescent="0.3">
      <c r="A978" s="189">
        <v>973</v>
      </c>
      <c r="B978" s="180">
        <v>48600</v>
      </c>
      <c r="C978" s="180" t="s">
        <v>1284</v>
      </c>
      <c r="D978" s="181" t="str">
        <f>IFERROR(LOOKUP(2,1/((A_Corridor!$A$5:$A$204&lt;&gt;"")*(A_Corridor!$A$5:$A$204&lt;=$B978)*(A_Corridor!$B$5:$B$204&gt;$B978)*(A_Corridor!$C$5:$C$204&lt;&gt;"")),IF(UPPER(A_Corridor!$C$5:$C$204)="Y",1,"")),"")</f>
        <v/>
      </c>
      <c r="E978" s="181" t="str">
        <f>IFERROR(LOOKUP(2,1/((A_Corridor!$A$5:$A$204&lt;&gt;"")*(A_Corridor!$A$5:$A$204&lt;=$B978)*(A_Corridor!$B$5:$B$204&gt;$B978)*(A_Corridor!$D$5:$D$204&lt;&gt;"")),IF(A_Corridor!$D$5:$D$204="-","",UPPER(A_Corridor!$D$5:$D$204))),"")</f>
        <v/>
      </c>
      <c r="F978" s="181" t="str">
        <f>IFERROR(LOOKUP(2,1/((A_Corridor!$A$5:$A$204&lt;&gt;"")*(A_Corridor!$A$5:$A$204&lt;=$B978)*(A_Corridor!$B$5:$B$204&gt;$B978)*(A_Corridor!$E$5:$E$204&lt;&gt;"")),IF(A_Corridor!$E$5:$E$204="-","",1)),"")</f>
        <v/>
      </c>
      <c r="G978" s="182" t="str">
        <f>IFERROR(LOOKUP(2,1/((A_Corridor!$A$5:$A$204&lt;&gt;"")*(A_Corridor!$A$5:$A$204&lt;=$B978)*(A_Corridor!$B$5:$B$204&gt;$B978)*(A_Corridor!$E$5:$E$204&lt;&gt;"")),IF(A_Corridor!$E$5:$E$204="-","",A_Corridor!$E$5:$E$204)),"")</f>
        <v/>
      </c>
      <c r="H978" s="182" t="str">
        <f>IFERROR(LOOKUP(2,1/((D_Points!$A$5:$A$204&lt;&gt;"")*(D_Points!$A$5:$A$204&gt;=$B978)*(D_Points!$A$5:$A$204&lt;$B978+P_Interval)*(UPPER(TRIM(D_Points!$B$5:$B$204))="GULLY")*(D_Points!$H$5:$H$204&lt;&gt;"")),D_Points!$H$5:$H$204),"")</f>
        <v/>
      </c>
      <c r="I978" s="181" t="str">
        <f>IFERROR(LOOKUP(2,1/((A_Corridor!$A$5:$A$204&lt;&gt;"")*(A_Corridor!$A$5:$A$204&lt;=$B978)*(A_Corridor!$B$5:$B$204&gt;$B978)*(A_Corridor!$F$5:$F$204&lt;&gt;"")),IF(A_Corridor!$F$5:$F$204="-","",1)),"")</f>
        <v/>
      </c>
      <c r="J978" s="182" t="str">
        <f>IFERROR(LOOKUP(2,1/((A_Corridor!$A$5:$A$204&lt;&gt;"")*(A_Corridor!$A$5:$A$204&lt;=$B978)*(A_Corridor!$B$5:$B$204&gt;$B978)*(A_Corridor!$F$5:$F$204&lt;&gt;"")),IF(A_Corridor!$F$5:$F$204="-","",A_Corridor!$F$5:$F$204)),"")</f>
        <v/>
      </c>
      <c r="K978" s="182" t="str">
        <f>IFERROR(LOOKUP(2,1/((A_Corridor!$A$5:$A$204&lt;&gt;"")*(A_Corridor!$A$5:$A$204&lt;=$B978)*(A_Corridor!$B$5:$B$204&gt;$B978)*(A_Corridor!$G$5:$G$204&lt;&gt;"")),IF(A_Corridor!$G$5:$G$204="-","",A_Corridor!$G$5:$G$204)),"")</f>
        <v/>
      </c>
      <c r="L978" s="181" t="str">
        <f>IFERROR(LOOKUP(2,1/((A_Corridor!$A$5:$A$204&lt;&gt;"")*(A_Corridor!$A$5:$A$204&lt;=$B978)*(A_Corridor!$B$5:$B$204&gt;$B978)*(A_Corridor!$H$5:$H$204&lt;&gt;"")),IF(A_Corridor!$H$5:$H$204="-","",1)),"")</f>
        <v/>
      </c>
      <c r="M978" s="182" t="str">
        <f>IFERROR(LOOKUP(2,1/((A_Corridor!$A$5:$A$204&lt;&gt;"")*(A_Corridor!$A$5:$A$204&lt;=$B978)*(A_Corridor!$B$5:$B$204&gt;$B978)*(A_Corridor!$H$5:$H$204&lt;&gt;"")),IF(A_Corridor!$H$5:$H$204="-","",A_Corridor!$H$5:$H$204)),"")</f>
        <v/>
      </c>
      <c r="N978" s="182" t="str">
        <f>IFERROR(LOOKUP(2,1/((A_Corridor!$A$5:$A$204&lt;&gt;"")*(A_Corridor!$A$5:$A$204&lt;=$B978)*(A_Corridor!$B$5:$B$204&gt;$B978)*(A_Corridor!$I$5:$I$204&lt;&gt;"")),IF(A_Corridor!$I$5:$I$204="-","",A_Corridor!$I$5:$I$204)),"")</f>
        <v/>
      </c>
      <c r="O978" s="182" t="str">
        <f>IFERROR(LOOKUP(2,1/((D_Points!$A$5:$A$204&lt;&gt;"")*(D_Points!$A$5:$A$204&gt;=$B978)*(D_Points!$A$5:$A$204&lt;$B978+P_Interval)*(UPPER(TRIM(D_Points!$B$5:$B$204))="PITCHING")*(D_Points!$H$5:$H$204&lt;&gt;"")),D_Points!$H$5:$H$204),"")</f>
        <v/>
      </c>
      <c r="P978" s="181" t="str">
        <f>IFERROR(LOOKUP(2,1/((B_Drainage!$A$5:$A$204&lt;&gt;"")*(B_Drainage!$A$5:$A$204&lt;=$B978)*(B_Drainage!$B$5:$B$204&gt;$B978)*(B_Drainage!$C$5:$C$204&lt;&gt;"")),IF(B_Drainage!$C$5:$C$204="-","",UPPER(B_Drainage!$C$5:$C$204))),"")</f>
        <v/>
      </c>
      <c r="Q978" s="181" t="str">
        <f>IFERROR(LOOKUP(2,1/((B_Drainage!$A$5:$A$204&lt;&gt;"")*(B_Drainage!$A$5:$A$204&lt;=$B978)*(B_Drainage!$B$5:$B$204&gt;$B978)*(B_Drainage!$D$5:$D$204&lt;&gt;"")),IF(B_Drainage!$D$5:$D$204="-","",UPPER(B_Drainage!$D$5:$D$204))),"")</f>
        <v/>
      </c>
      <c r="R978" s="182" t="str">
        <f>IFERROR(LOOKUP(2,1/((D_Points!$A$5:$A$204&lt;&gt;"")*(D_Points!$A$5:$A$204&gt;=$B978)*(D_Points!$A$5:$A$204&lt;$B978+P_Interval)*(RIGHT(UPPER(TRIM(D_Points!$B$5:$B$204)),8)="_CULVERT")),IF(LEFT(UPPER(TRIM(D_Points!$B$5:$B$204)),2)="EX",1,IF(LEFT(UPPER(TRIM(D_Points!$B$5:$B$204)),2)="PR",2,3))),"")</f>
        <v/>
      </c>
      <c r="S978" s="182" t="str">
        <f>IFERROR(LOOKUP(2,1/((D_Points!$A$5:$A$204&lt;&gt;"")*(D_Points!$A$5:$A$204&gt;=$B978)*(D_Points!$A$5:$A$204&lt;$B978+P_Interval)*(RIGHT(UPPER(TRIM(D_Points!$B$5:$B$204)),7)="_BRIDGE")),IF(LEFT(UPPER(TRIM(D_Points!$B$5:$B$204)),2)="EX",1,IF(LEFT(UPPER(TRIM(D_Points!$B$5:$B$204)),2)="PR",2,2))),"")</f>
        <v/>
      </c>
      <c r="T978" s="181" t="str">
        <f>IFERROR(LOOKUP(2,1/((B_Drainage!$A$5:$A$204&lt;&gt;"")*(B_Drainage!$A$5:$A$204&lt;=$B978)*(B_Drainage!$B$5:$B$204&gt;$B978)*(B_Drainage!$E$5:$E$204&lt;&gt;"")),IF(B_Drainage!$E$5:$E$204="-","",1)),"")</f>
        <v/>
      </c>
      <c r="U978" s="181" t="str">
        <f>IFERROR(LOOKUP(2,1/((B_Drainage!$A$5:$A$204&lt;&gt;"")*(B_Drainage!$A$5:$A$204&lt;=$B978)*(B_Drainage!$B$5:$B$204&gt;$B978)*(B_Drainage!$E$5:$E$204&lt;&gt;"")),IF(B_Drainage!$E$5:$E$204="-","",B_Drainage!$E$5:$E$204)),"")</f>
        <v/>
      </c>
      <c r="V978" s="181" t="str">
        <f>IFERROR(LOOKUP(2,1/((B_Drainage!$A$5:$A$204&lt;&gt;"")*(B_Drainage!$A$5:$A$204&lt;=$B978)*(B_Drainage!$B$5:$B$204&gt;$B978)*(B_Drainage!$F$5:$F$204&lt;&gt;"")),IF(B_Drainage!$F$5:$F$204="-","",1)),"")</f>
        <v/>
      </c>
      <c r="W978" s="181" t="str">
        <f>IFERROR(LOOKUP(2,1/((B_Drainage!$A$5:$A$204&lt;&gt;"")*(B_Drainage!$A$5:$A$204&lt;=$B978)*(B_Drainage!$B$5:$B$204&gt;$B978)*(B_Drainage!$F$5:$F$204&lt;&gt;"")),IF(B_Drainage!$F$5:$F$204="-","",B_Drainage!$F$5:$F$204)),"")</f>
        <v/>
      </c>
      <c r="X978" s="181" t="str">
        <f>IFERROR(LOOKUP(2,1/((B_Drainage!$A$5:$A$204&lt;&gt;"")*(B_Drainage!$A$5:$A$204&lt;=$B978)*(B_Drainage!$B$5:$B$204&gt;$B978)*(B_Drainage!$G$5:$G$204&lt;&gt;"")),IF(UPPER(B_Drainage!$G$5:$G$204)="Y",1,"")),"")</f>
        <v/>
      </c>
      <c r="Y978" s="181" t="str">
        <f>IFERROR(LOOKUP(2,1/((B_Drainage!$A$5:$A$204&lt;&gt;"")*(B_Drainage!$A$5:$A$204&lt;=$B978)*(B_Drainage!$B$5:$B$204&gt;$B978)*(B_Drainage!$H$5:$H$204&lt;&gt;"")),IF(UPPER(B_Drainage!$H$5:$H$204)="Y",1,"")),"")</f>
        <v/>
      </c>
      <c r="Z978" s="181" t="str">
        <f>IFERROR(LOOKUP(2,1/((B_Drainage!$A$5:$A$204&lt;&gt;"")*(B_Drainage!$A$5:$A$204&lt;=$B978)*(B_Drainage!$B$5:$B$204&gt;$B978)*(B_Drainage!$I$5:$I$204&lt;&gt;"")),IF(UPPER(B_Drainage!$I$5:$I$204)="Y",1,"")),"")</f>
        <v/>
      </c>
      <c r="AA978" s="181" t="str">
        <f>IFERROR(LOOKUP(2,1/((B_Drainage!$A$5:$A$204&lt;&gt;"")*(B_Drainage!$A$5:$A$204&lt;=$B978)*(B_Drainage!$B$5:$B$204&gt;$B978)*(B_Drainage!$J$5:$J$204&lt;&gt;"")),IF(UPPER(B_Drainage!$J$5:$J$204)="Y",1,"")),"")</f>
        <v/>
      </c>
      <c r="AB978" s="182" t="str">
        <f>IFERROR(LOOKUP(2,1/((B_Drainage!$A$5:$A$204&lt;&gt;"")*(B_Drainage!$A$5:$A$204&lt;=$B978)*(B_Drainage!$B$5:$B$204&gt;$B978)*(B_Drainage!$K$5:$K$204&lt;&gt;"")),IF(B_Drainage!$K$5:$K$204="-","",B_Drainage!$K$5:$K$204)),"")</f>
        <v/>
      </c>
      <c r="AC978" s="182" t="str">
        <f>IFERROR(LOOKUP(2,1/((B_Drainage!$A$5:$A$204&lt;&gt;"")*(B_Drainage!$A$5:$A$204&lt;=$B978)*(B_Drainage!$B$5:$B$204&gt;$B978)*(B_Drainage!$L$5:$L$204&lt;&gt;"")),IF(B_Drainage!$L$5:$L$204="-","",B_Drainage!$L$5:$L$204)),"")</f>
        <v/>
      </c>
      <c r="AD978" s="182" t="str">
        <f>IFERROR(LOOKUP(2,1/((D_Points!$A$5:$A$204&lt;&gt;"")*(D_Points!$A$5:$A$204&gt;=$B978)*(D_Points!$A$5:$A$204&lt;$B978+P_Interval)*(UPPER(TRIM(D_Points!$B$5:$B$204))="TURNOUT_L")*(D_Points!$H$5:$H$204&lt;&gt;"")),D_Points!$H$5:$H$204),"")</f>
        <v/>
      </c>
      <c r="AE978" s="182" t="str">
        <f>IFERROR(LOOKUP(2,1/((D_Points!$A$5:$A$204&lt;&gt;"")*(D_Points!$A$5:$A$204&gt;=$B978)*(D_Points!$A$5:$A$204&lt;$B978+P_Interval)*(UPPER(TRIM(D_Points!$B$5:$B$204))="TURNOUT_R")*(D_Points!$H$5:$H$204&lt;&gt;"")),D_Points!$H$5:$H$204),"")</f>
        <v/>
      </c>
      <c r="AF978" s="181" t="str">
        <f>IFERROR(LOOKUP(2,1/((B_Drainage!$A$5:$A$204&lt;&gt;"")*(B_Drainage!$A$5:$A$204&lt;=$B978)*(B_Drainage!$B$5:$B$204&gt;$B978)*(B_Drainage!$M$5:$M$204&lt;&gt;"")),IF(UPPER(B_Drainage!$M$5:$M$204)="Y",1,"")),"")</f>
        <v/>
      </c>
      <c r="AG978" s="181" t="str">
        <f>IFERROR(LOOKUP(2,1/((B_Drainage!$A$5:$A$204&lt;&gt;"")*(B_Drainage!$A$5:$A$204&lt;=$B978)*(B_Drainage!$B$5:$B$204&gt;$B978)*(B_Drainage!$N$5:$N$204&lt;&gt;"")),IF(UPPER(B_Drainage!$N$5:$N$204)="Y",1,"")),"")</f>
        <v/>
      </c>
      <c r="AH978" s="181" t="str">
        <f t="shared" si="120"/>
        <v/>
      </c>
      <c r="AI978" s="181" t="str">
        <f t="shared" si="121"/>
        <v/>
      </c>
      <c r="AJ978" s="181" t="str">
        <f t="shared" si="122"/>
        <v/>
      </c>
      <c r="AK978" s="181" t="str">
        <f t="shared" si="123"/>
        <v/>
      </c>
      <c r="AL978" s="181" t="str">
        <f t="shared" si="124"/>
        <v/>
      </c>
      <c r="AM978" s="181" t="str">
        <f t="shared" si="125"/>
        <v/>
      </c>
      <c r="AN978" s="181" t="str">
        <f t="shared" si="126"/>
        <v/>
      </c>
      <c r="AO978" s="192" t="str">
        <f t="shared" si="127"/>
        <v/>
      </c>
      <c r="AQ978" t="str">
        <f>IFERROR(LOOKUP(2,1/((C_Pavement!$A$5:$A$204&lt;&gt;"")*(C_Pavement!$A$5:$A$204&lt;=$B978)*(C_Pavement!$B$5:$B$204&gt;$B978)*(C_Pavement!$C$5:$C$204&lt;&gt;"")),ROW(C_Pavement!$C$5:$C$204)-4),"")</f>
        <v/>
      </c>
      <c r="AR978" t="str">
        <f>IF($AQ978="","",UPPER(TRIM(INDEX(C_Pavement!$C$5:$C$204,$AQ978))))</f>
        <v/>
      </c>
      <c r="AS978" t="str">
        <f>IF($AR978="","",IFERROR(MATCH($AR978,E_Rules!$A$5:$A$9,0),""))</f>
        <v/>
      </c>
      <c r="AT978" t="str">
        <f>IF($AQ978="","",IF(INDEX(C_Pavement!$D$5:$D$204,$AQ978)&lt;&gt;"",UPPER(TRIM(INDEX(C_Pavement!$D$5:$D$204,$AQ978))),IF($AS978="","",INDEX(E_Rules!$C$5:$C$9,$AS978))))</f>
        <v/>
      </c>
      <c r="AU978" t="str">
        <f>IF($AQ978="","",IF(INDEX(C_Pavement!$E$5:$E$204,$AQ978)&lt;&gt;"",IF(INDEX(C_Pavement!$E$5:$E$204,$AQ978)="-","",INDEX(C_Pavement!$E$5:$E$204,$AQ978)),IF($AS978="","",INDEX(E_Rules!$D$5:$D$9,$AS978))))</f>
        <v/>
      </c>
      <c r="AV978" t="str">
        <f>IF($AQ978="","",IF(INDEX(C_Pavement!$F$5:$F$204,$AQ978)&lt;&gt;"",IF(INDEX(C_Pavement!$F$5:$F$204,$AQ978)="-","",INDEX(C_Pavement!$F$5:$F$204,$AQ978)),IF($AS978="","",INDEX(E_Rules!$E$5:$E$9,$AS978))))</f>
        <v/>
      </c>
      <c r="AW978" t="str">
        <f>IF($AQ978="","",IF(INDEX(C_Pavement!$G$5:$G$204,$AQ978)&lt;&gt;"",IF(INDEX(C_Pavement!$G$5:$G$204,$AQ978)="-","",INDEX(C_Pavement!$G$5:$G$204,$AQ978)),IF($AS978="","",INDEX(E_Rules!$F$5:$F$9,$AS978))))</f>
        <v/>
      </c>
      <c r="AX978" t="str">
        <f>IF($AQ978="","",IF(INDEX(C_Pavement!$H$5:$H$204,$AQ978)&lt;&gt;"",IF(INDEX(C_Pavement!$H$5:$H$204,$AQ978)="-","",INDEX(C_Pavement!$H$5:$H$204,$AQ978)),IF($AS978="","",INDEX(E_Rules!$G$5:$G$9,$AS978))))</f>
        <v/>
      </c>
      <c r="AY978" t="str">
        <f>IF($AQ978="","",IF(INDEX(C_Pavement!$I$5:$I$204,$AQ978)&lt;&gt;"",IF(INDEX(C_Pavement!$I$5:$I$204,$AQ978)="-","",INDEX(C_Pavement!$I$5:$I$204,$AQ978)),IF($AS978="","",INDEX(E_Rules!$H$5:$H$9,$AS978))))</f>
        <v/>
      </c>
    </row>
    <row r="979" spans="1:51" ht="15.75" customHeight="1" x14ac:dyDescent="0.3">
      <c r="A979" s="189">
        <v>974</v>
      </c>
      <c r="B979" s="180">
        <v>48650</v>
      </c>
      <c r="C979" s="180" t="s">
        <v>1285</v>
      </c>
      <c r="D979" s="181" t="str">
        <f>IFERROR(LOOKUP(2,1/((A_Corridor!$A$5:$A$204&lt;&gt;"")*(A_Corridor!$A$5:$A$204&lt;=$B979)*(A_Corridor!$B$5:$B$204&gt;$B979)*(A_Corridor!$C$5:$C$204&lt;&gt;"")),IF(UPPER(A_Corridor!$C$5:$C$204)="Y",1,"")),"")</f>
        <v/>
      </c>
      <c r="E979" s="181" t="str">
        <f>IFERROR(LOOKUP(2,1/((A_Corridor!$A$5:$A$204&lt;&gt;"")*(A_Corridor!$A$5:$A$204&lt;=$B979)*(A_Corridor!$B$5:$B$204&gt;$B979)*(A_Corridor!$D$5:$D$204&lt;&gt;"")),IF(A_Corridor!$D$5:$D$204="-","",UPPER(A_Corridor!$D$5:$D$204))),"")</f>
        <v/>
      </c>
      <c r="F979" s="181" t="str">
        <f>IFERROR(LOOKUP(2,1/((A_Corridor!$A$5:$A$204&lt;&gt;"")*(A_Corridor!$A$5:$A$204&lt;=$B979)*(A_Corridor!$B$5:$B$204&gt;$B979)*(A_Corridor!$E$5:$E$204&lt;&gt;"")),IF(A_Corridor!$E$5:$E$204="-","",1)),"")</f>
        <v/>
      </c>
      <c r="G979" s="182" t="str">
        <f>IFERROR(LOOKUP(2,1/((A_Corridor!$A$5:$A$204&lt;&gt;"")*(A_Corridor!$A$5:$A$204&lt;=$B979)*(A_Corridor!$B$5:$B$204&gt;$B979)*(A_Corridor!$E$5:$E$204&lt;&gt;"")),IF(A_Corridor!$E$5:$E$204="-","",A_Corridor!$E$5:$E$204)),"")</f>
        <v/>
      </c>
      <c r="H979" s="182" t="str">
        <f>IFERROR(LOOKUP(2,1/((D_Points!$A$5:$A$204&lt;&gt;"")*(D_Points!$A$5:$A$204&gt;=$B979)*(D_Points!$A$5:$A$204&lt;$B979+P_Interval)*(UPPER(TRIM(D_Points!$B$5:$B$204))="GULLY")*(D_Points!$H$5:$H$204&lt;&gt;"")),D_Points!$H$5:$H$204),"")</f>
        <v/>
      </c>
      <c r="I979" s="181" t="str">
        <f>IFERROR(LOOKUP(2,1/((A_Corridor!$A$5:$A$204&lt;&gt;"")*(A_Corridor!$A$5:$A$204&lt;=$B979)*(A_Corridor!$B$5:$B$204&gt;$B979)*(A_Corridor!$F$5:$F$204&lt;&gt;"")),IF(A_Corridor!$F$5:$F$204="-","",1)),"")</f>
        <v/>
      </c>
      <c r="J979" s="182" t="str">
        <f>IFERROR(LOOKUP(2,1/((A_Corridor!$A$5:$A$204&lt;&gt;"")*(A_Corridor!$A$5:$A$204&lt;=$B979)*(A_Corridor!$B$5:$B$204&gt;$B979)*(A_Corridor!$F$5:$F$204&lt;&gt;"")),IF(A_Corridor!$F$5:$F$204="-","",A_Corridor!$F$5:$F$204)),"")</f>
        <v/>
      </c>
      <c r="K979" s="182" t="str">
        <f>IFERROR(LOOKUP(2,1/((A_Corridor!$A$5:$A$204&lt;&gt;"")*(A_Corridor!$A$5:$A$204&lt;=$B979)*(A_Corridor!$B$5:$B$204&gt;$B979)*(A_Corridor!$G$5:$G$204&lt;&gt;"")),IF(A_Corridor!$G$5:$G$204="-","",A_Corridor!$G$5:$G$204)),"")</f>
        <v/>
      </c>
      <c r="L979" s="181" t="str">
        <f>IFERROR(LOOKUP(2,1/((A_Corridor!$A$5:$A$204&lt;&gt;"")*(A_Corridor!$A$5:$A$204&lt;=$B979)*(A_Corridor!$B$5:$B$204&gt;$B979)*(A_Corridor!$H$5:$H$204&lt;&gt;"")),IF(A_Corridor!$H$5:$H$204="-","",1)),"")</f>
        <v/>
      </c>
      <c r="M979" s="182" t="str">
        <f>IFERROR(LOOKUP(2,1/((A_Corridor!$A$5:$A$204&lt;&gt;"")*(A_Corridor!$A$5:$A$204&lt;=$B979)*(A_Corridor!$B$5:$B$204&gt;$B979)*(A_Corridor!$H$5:$H$204&lt;&gt;"")),IF(A_Corridor!$H$5:$H$204="-","",A_Corridor!$H$5:$H$204)),"")</f>
        <v/>
      </c>
      <c r="N979" s="182" t="str">
        <f>IFERROR(LOOKUP(2,1/((A_Corridor!$A$5:$A$204&lt;&gt;"")*(A_Corridor!$A$5:$A$204&lt;=$B979)*(A_Corridor!$B$5:$B$204&gt;$B979)*(A_Corridor!$I$5:$I$204&lt;&gt;"")),IF(A_Corridor!$I$5:$I$204="-","",A_Corridor!$I$5:$I$204)),"")</f>
        <v/>
      </c>
      <c r="O979" s="182" t="str">
        <f>IFERROR(LOOKUP(2,1/((D_Points!$A$5:$A$204&lt;&gt;"")*(D_Points!$A$5:$A$204&gt;=$B979)*(D_Points!$A$5:$A$204&lt;$B979+P_Interval)*(UPPER(TRIM(D_Points!$B$5:$B$204))="PITCHING")*(D_Points!$H$5:$H$204&lt;&gt;"")),D_Points!$H$5:$H$204),"")</f>
        <v/>
      </c>
      <c r="P979" s="181" t="str">
        <f>IFERROR(LOOKUP(2,1/((B_Drainage!$A$5:$A$204&lt;&gt;"")*(B_Drainage!$A$5:$A$204&lt;=$B979)*(B_Drainage!$B$5:$B$204&gt;$B979)*(B_Drainage!$C$5:$C$204&lt;&gt;"")),IF(B_Drainage!$C$5:$C$204="-","",UPPER(B_Drainage!$C$5:$C$204))),"")</f>
        <v/>
      </c>
      <c r="Q979" s="181" t="str">
        <f>IFERROR(LOOKUP(2,1/((B_Drainage!$A$5:$A$204&lt;&gt;"")*(B_Drainage!$A$5:$A$204&lt;=$B979)*(B_Drainage!$B$5:$B$204&gt;$B979)*(B_Drainage!$D$5:$D$204&lt;&gt;"")),IF(B_Drainage!$D$5:$D$204="-","",UPPER(B_Drainage!$D$5:$D$204))),"")</f>
        <v/>
      </c>
      <c r="R979" s="182" t="str">
        <f>IFERROR(LOOKUP(2,1/((D_Points!$A$5:$A$204&lt;&gt;"")*(D_Points!$A$5:$A$204&gt;=$B979)*(D_Points!$A$5:$A$204&lt;$B979+P_Interval)*(RIGHT(UPPER(TRIM(D_Points!$B$5:$B$204)),8)="_CULVERT")),IF(LEFT(UPPER(TRIM(D_Points!$B$5:$B$204)),2)="EX",1,IF(LEFT(UPPER(TRIM(D_Points!$B$5:$B$204)),2)="PR",2,3))),"")</f>
        <v/>
      </c>
      <c r="S979" s="182" t="str">
        <f>IFERROR(LOOKUP(2,1/((D_Points!$A$5:$A$204&lt;&gt;"")*(D_Points!$A$5:$A$204&gt;=$B979)*(D_Points!$A$5:$A$204&lt;$B979+P_Interval)*(RIGHT(UPPER(TRIM(D_Points!$B$5:$B$204)),7)="_BRIDGE")),IF(LEFT(UPPER(TRIM(D_Points!$B$5:$B$204)),2)="EX",1,IF(LEFT(UPPER(TRIM(D_Points!$B$5:$B$204)),2)="PR",2,2))),"")</f>
        <v/>
      </c>
      <c r="T979" s="181" t="str">
        <f>IFERROR(LOOKUP(2,1/((B_Drainage!$A$5:$A$204&lt;&gt;"")*(B_Drainage!$A$5:$A$204&lt;=$B979)*(B_Drainage!$B$5:$B$204&gt;$B979)*(B_Drainage!$E$5:$E$204&lt;&gt;"")),IF(B_Drainage!$E$5:$E$204="-","",1)),"")</f>
        <v/>
      </c>
      <c r="U979" s="181" t="str">
        <f>IFERROR(LOOKUP(2,1/((B_Drainage!$A$5:$A$204&lt;&gt;"")*(B_Drainage!$A$5:$A$204&lt;=$B979)*(B_Drainage!$B$5:$B$204&gt;$B979)*(B_Drainage!$E$5:$E$204&lt;&gt;"")),IF(B_Drainage!$E$5:$E$204="-","",B_Drainage!$E$5:$E$204)),"")</f>
        <v/>
      </c>
      <c r="V979" s="181" t="str">
        <f>IFERROR(LOOKUP(2,1/((B_Drainage!$A$5:$A$204&lt;&gt;"")*(B_Drainage!$A$5:$A$204&lt;=$B979)*(B_Drainage!$B$5:$B$204&gt;$B979)*(B_Drainage!$F$5:$F$204&lt;&gt;"")),IF(B_Drainage!$F$5:$F$204="-","",1)),"")</f>
        <v/>
      </c>
      <c r="W979" s="181" t="str">
        <f>IFERROR(LOOKUP(2,1/((B_Drainage!$A$5:$A$204&lt;&gt;"")*(B_Drainage!$A$5:$A$204&lt;=$B979)*(B_Drainage!$B$5:$B$204&gt;$B979)*(B_Drainage!$F$5:$F$204&lt;&gt;"")),IF(B_Drainage!$F$5:$F$204="-","",B_Drainage!$F$5:$F$204)),"")</f>
        <v/>
      </c>
      <c r="X979" s="181" t="str">
        <f>IFERROR(LOOKUP(2,1/((B_Drainage!$A$5:$A$204&lt;&gt;"")*(B_Drainage!$A$5:$A$204&lt;=$B979)*(B_Drainage!$B$5:$B$204&gt;$B979)*(B_Drainage!$G$5:$G$204&lt;&gt;"")),IF(UPPER(B_Drainage!$G$5:$G$204)="Y",1,"")),"")</f>
        <v/>
      </c>
      <c r="Y979" s="181" t="str">
        <f>IFERROR(LOOKUP(2,1/((B_Drainage!$A$5:$A$204&lt;&gt;"")*(B_Drainage!$A$5:$A$204&lt;=$B979)*(B_Drainage!$B$5:$B$204&gt;$B979)*(B_Drainage!$H$5:$H$204&lt;&gt;"")),IF(UPPER(B_Drainage!$H$5:$H$204)="Y",1,"")),"")</f>
        <v/>
      </c>
      <c r="Z979" s="181" t="str">
        <f>IFERROR(LOOKUP(2,1/((B_Drainage!$A$5:$A$204&lt;&gt;"")*(B_Drainage!$A$5:$A$204&lt;=$B979)*(B_Drainage!$B$5:$B$204&gt;$B979)*(B_Drainage!$I$5:$I$204&lt;&gt;"")),IF(UPPER(B_Drainage!$I$5:$I$204)="Y",1,"")),"")</f>
        <v/>
      </c>
      <c r="AA979" s="181" t="str">
        <f>IFERROR(LOOKUP(2,1/((B_Drainage!$A$5:$A$204&lt;&gt;"")*(B_Drainage!$A$5:$A$204&lt;=$B979)*(B_Drainage!$B$5:$B$204&gt;$B979)*(B_Drainage!$J$5:$J$204&lt;&gt;"")),IF(UPPER(B_Drainage!$J$5:$J$204)="Y",1,"")),"")</f>
        <v/>
      </c>
      <c r="AB979" s="182" t="str">
        <f>IFERROR(LOOKUP(2,1/((B_Drainage!$A$5:$A$204&lt;&gt;"")*(B_Drainage!$A$5:$A$204&lt;=$B979)*(B_Drainage!$B$5:$B$204&gt;$B979)*(B_Drainage!$K$5:$K$204&lt;&gt;"")),IF(B_Drainage!$K$5:$K$204="-","",B_Drainage!$K$5:$K$204)),"")</f>
        <v/>
      </c>
      <c r="AC979" s="182" t="str">
        <f>IFERROR(LOOKUP(2,1/((B_Drainage!$A$5:$A$204&lt;&gt;"")*(B_Drainage!$A$5:$A$204&lt;=$B979)*(B_Drainage!$B$5:$B$204&gt;$B979)*(B_Drainage!$L$5:$L$204&lt;&gt;"")),IF(B_Drainage!$L$5:$L$204="-","",B_Drainage!$L$5:$L$204)),"")</f>
        <v/>
      </c>
      <c r="AD979" s="182" t="str">
        <f>IFERROR(LOOKUP(2,1/((D_Points!$A$5:$A$204&lt;&gt;"")*(D_Points!$A$5:$A$204&gt;=$B979)*(D_Points!$A$5:$A$204&lt;$B979+P_Interval)*(UPPER(TRIM(D_Points!$B$5:$B$204))="TURNOUT_L")*(D_Points!$H$5:$H$204&lt;&gt;"")),D_Points!$H$5:$H$204),"")</f>
        <v/>
      </c>
      <c r="AE979" s="182" t="str">
        <f>IFERROR(LOOKUP(2,1/((D_Points!$A$5:$A$204&lt;&gt;"")*(D_Points!$A$5:$A$204&gt;=$B979)*(D_Points!$A$5:$A$204&lt;$B979+P_Interval)*(UPPER(TRIM(D_Points!$B$5:$B$204))="TURNOUT_R")*(D_Points!$H$5:$H$204&lt;&gt;"")),D_Points!$H$5:$H$204),"")</f>
        <v/>
      </c>
      <c r="AF979" s="181" t="str">
        <f>IFERROR(LOOKUP(2,1/((B_Drainage!$A$5:$A$204&lt;&gt;"")*(B_Drainage!$A$5:$A$204&lt;=$B979)*(B_Drainage!$B$5:$B$204&gt;$B979)*(B_Drainage!$M$5:$M$204&lt;&gt;"")),IF(UPPER(B_Drainage!$M$5:$M$204)="Y",1,"")),"")</f>
        <v/>
      </c>
      <c r="AG979" s="181" t="str">
        <f>IFERROR(LOOKUP(2,1/((B_Drainage!$A$5:$A$204&lt;&gt;"")*(B_Drainage!$A$5:$A$204&lt;=$B979)*(B_Drainage!$B$5:$B$204&gt;$B979)*(B_Drainage!$N$5:$N$204&lt;&gt;"")),IF(UPPER(B_Drainage!$N$5:$N$204)="Y",1,"")),"")</f>
        <v/>
      </c>
      <c r="AH979" s="181" t="str">
        <f t="shared" si="120"/>
        <v/>
      </c>
      <c r="AI979" s="181" t="str">
        <f t="shared" si="121"/>
        <v/>
      </c>
      <c r="AJ979" s="181" t="str">
        <f t="shared" si="122"/>
        <v/>
      </c>
      <c r="AK979" s="181" t="str">
        <f t="shared" si="123"/>
        <v/>
      </c>
      <c r="AL979" s="181" t="str">
        <f t="shared" si="124"/>
        <v/>
      </c>
      <c r="AM979" s="181" t="str">
        <f t="shared" si="125"/>
        <v/>
      </c>
      <c r="AN979" s="181" t="str">
        <f t="shared" si="126"/>
        <v/>
      </c>
      <c r="AO979" s="192" t="str">
        <f t="shared" si="127"/>
        <v/>
      </c>
      <c r="AQ979" t="str">
        <f>IFERROR(LOOKUP(2,1/((C_Pavement!$A$5:$A$204&lt;&gt;"")*(C_Pavement!$A$5:$A$204&lt;=$B979)*(C_Pavement!$B$5:$B$204&gt;$B979)*(C_Pavement!$C$5:$C$204&lt;&gt;"")),ROW(C_Pavement!$C$5:$C$204)-4),"")</f>
        <v/>
      </c>
      <c r="AR979" t="str">
        <f>IF($AQ979="","",UPPER(TRIM(INDEX(C_Pavement!$C$5:$C$204,$AQ979))))</f>
        <v/>
      </c>
      <c r="AS979" t="str">
        <f>IF($AR979="","",IFERROR(MATCH($AR979,E_Rules!$A$5:$A$9,0),""))</f>
        <v/>
      </c>
      <c r="AT979" t="str">
        <f>IF($AQ979="","",IF(INDEX(C_Pavement!$D$5:$D$204,$AQ979)&lt;&gt;"",UPPER(TRIM(INDEX(C_Pavement!$D$5:$D$204,$AQ979))),IF($AS979="","",INDEX(E_Rules!$C$5:$C$9,$AS979))))</f>
        <v/>
      </c>
      <c r="AU979" t="str">
        <f>IF($AQ979="","",IF(INDEX(C_Pavement!$E$5:$E$204,$AQ979)&lt;&gt;"",IF(INDEX(C_Pavement!$E$5:$E$204,$AQ979)="-","",INDEX(C_Pavement!$E$5:$E$204,$AQ979)),IF($AS979="","",INDEX(E_Rules!$D$5:$D$9,$AS979))))</f>
        <v/>
      </c>
      <c r="AV979" t="str">
        <f>IF($AQ979="","",IF(INDEX(C_Pavement!$F$5:$F$204,$AQ979)&lt;&gt;"",IF(INDEX(C_Pavement!$F$5:$F$204,$AQ979)="-","",INDEX(C_Pavement!$F$5:$F$204,$AQ979)),IF($AS979="","",INDEX(E_Rules!$E$5:$E$9,$AS979))))</f>
        <v/>
      </c>
      <c r="AW979" t="str">
        <f>IF($AQ979="","",IF(INDEX(C_Pavement!$G$5:$G$204,$AQ979)&lt;&gt;"",IF(INDEX(C_Pavement!$G$5:$G$204,$AQ979)="-","",INDEX(C_Pavement!$G$5:$G$204,$AQ979)),IF($AS979="","",INDEX(E_Rules!$F$5:$F$9,$AS979))))</f>
        <v/>
      </c>
      <c r="AX979" t="str">
        <f>IF($AQ979="","",IF(INDEX(C_Pavement!$H$5:$H$204,$AQ979)&lt;&gt;"",IF(INDEX(C_Pavement!$H$5:$H$204,$AQ979)="-","",INDEX(C_Pavement!$H$5:$H$204,$AQ979)),IF($AS979="","",INDEX(E_Rules!$G$5:$G$9,$AS979))))</f>
        <v/>
      </c>
      <c r="AY979" t="str">
        <f>IF($AQ979="","",IF(INDEX(C_Pavement!$I$5:$I$204,$AQ979)&lt;&gt;"",IF(INDEX(C_Pavement!$I$5:$I$204,$AQ979)="-","",INDEX(C_Pavement!$I$5:$I$204,$AQ979)),IF($AS979="","",INDEX(E_Rules!$H$5:$H$9,$AS979))))</f>
        <v/>
      </c>
    </row>
    <row r="980" spans="1:51" ht="15.75" customHeight="1" x14ac:dyDescent="0.3">
      <c r="A980" s="189">
        <v>975</v>
      </c>
      <c r="B980" s="180">
        <v>48700</v>
      </c>
      <c r="C980" s="180" t="s">
        <v>1286</v>
      </c>
      <c r="D980" s="181" t="str">
        <f>IFERROR(LOOKUP(2,1/((A_Corridor!$A$5:$A$204&lt;&gt;"")*(A_Corridor!$A$5:$A$204&lt;=$B980)*(A_Corridor!$B$5:$B$204&gt;$B980)*(A_Corridor!$C$5:$C$204&lt;&gt;"")),IF(UPPER(A_Corridor!$C$5:$C$204)="Y",1,"")),"")</f>
        <v/>
      </c>
      <c r="E980" s="181" t="str">
        <f>IFERROR(LOOKUP(2,1/((A_Corridor!$A$5:$A$204&lt;&gt;"")*(A_Corridor!$A$5:$A$204&lt;=$B980)*(A_Corridor!$B$5:$B$204&gt;$B980)*(A_Corridor!$D$5:$D$204&lt;&gt;"")),IF(A_Corridor!$D$5:$D$204="-","",UPPER(A_Corridor!$D$5:$D$204))),"")</f>
        <v/>
      </c>
      <c r="F980" s="181" t="str">
        <f>IFERROR(LOOKUP(2,1/((A_Corridor!$A$5:$A$204&lt;&gt;"")*(A_Corridor!$A$5:$A$204&lt;=$B980)*(A_Corridor!$B$5:$B$204&gt;$B980)*(A_Corridor!$E$5:$E$204&lt;&gt;"")),IF(A_Corridor!$E$5:$E$204="-","",1)),"")</f>
        <v/>
      </c>
      <c r="G980" s="182" t="str">
        <f>IFERROR(LOOKUP(2,1/((A_Corridor!$A$5:$A$204&lt;&gt;"")*(A_Corridor!$A$5:$A$204&lt;=$B980)*(A_Corridor!$B$5:$B$204&gt;$B980)*(A_Corridor!$E$5:$E$204&lt;&gt;"")),IF(A_Corridor!$E$5:$E$204="-","",A_Corridor!$E$5:$E$204)),"")</f>
        <v/>
      </c>
      <c r="H980" s="182" t="str">
        <f>IFERROR(LOOKUP(2,1/((D_Points!$A$5:$A$204&lt;&gt;"")*(D_Points!$A$5:$A$204&gt;=$B980)*(D_Points!$A$5:$A$204&lt;$B980+P_Interval)*(UPPER(TRIM(D_Points!$B$5:$B$204))="GULLY")*(D_Points!$H$5:$H$204&lt;&gt;"")),D_Points!$H$5:$H$204),"")</f>
        <v/>
      </c>
      <c r="I980" s="181" t="str">
        <f>IFERROR(LOOKUP(2,1/((A_Corridor!$A$5:$A$204&lt;&gt;"")*(A_Corridor!$A$5:$A$204&lt;=$B980)*(A_Corridor!$B$5:$B$204&gt;$B980)*(A_Corridor!$F$5:$F$204&lt;&gt;"")),IF(A_Corridor!$F$5:$F$204="-","",1)),"")</f>
        <v/>
      </c>
      <c r="J980" s="182" t="str">
        <f>IFERROR(LOOKUP(2,1/((A_Corridor!$A$5:$A$204&lt;&gt;"")*(A_Corridor!$A$5:$A$204&lt;=$B980)*(A_Corridor!$B$5:$B$204&gt;$B980)*(A_Corridor!$F$5:$F$204&lt;&gt;"")),IF(A_Corridor!$F$5:$F$204="-","",A_Corridor!$F$5:$F$204)),"")</f>
        <v/>
      </c>
      <c r="K980" s="182" t="str">
        <f>IFERROR(LOOKUP(2,1/((A_Corridor!$A$5:$A$204&lt;&gt;"")*(A_Corridor!$A$5:$A$204&lt;=$B980)*(A_Corridor!$B$5:$B$204&gt;$B980)*(A_Corridor!$G$5:$G$204&lt;&gt;"")),IF(A_Corridor!$G$5:$G$204="-","",A_Corridor!$G$5:$G$204)),"")</f>
        <v/>
      </c>
      <c r="L980" s="181" t="str">
        <f>IFERROR(LOOKUP(2,1/((A_Corridor!$A$5:$A$204&lt;&gt;"")*(A_Corridor!$A$5:$A$204&lt;=$B980)*(A_Corridor!$B$5:$B$204&gt;$B980)*(A_Corridor!$H$5:$H$204&lt;&gt;"")),IF(A_Corridor!$H$5:$H$204="-","",1)),"")</f>
        <v/>
      </c>
      <c r="M980" s="182" t="str">
        <f>IFERROR(LOOKUP(2,1/((A_Corridor!$A$5:$A$204&lt;&gt;"")*(A_Corridor!$A$5:$A$204&lt;=$B980)*(A_Corridor!$B$5:$B$204&gt;$B980)*(A_Corridor!$H$5:$H$204&lt;&gt;"")),IF(A_Corridor!$H$5:$H$204="-","",A_Corridor!$H$5:$H$204)),"")</f>
        <v/>
      </c>
      <c r="N980" s="182" t="str">
        <f>IFERROR(LOOKUP(2,1/((A_Corridor!$A$5:$A$204&lt;&gt;"")*(A_Corridor!$A$5:$A$204&lt;=$B980)*(A_Corridor!$B$5:$B$204&gt;$B980)*(A_Corridor!$I$5:$I$204&lt;&gt;"")),IF(A_Corridor!$I$5:$I$204="-","",A_Corridor!$I$5:$I$204)),"")</f>
        <v/>
      </c>
      <c r="O980" s="182" t="str">
        <f>IFERROR(LOOKUP(2,1/((D_Points!$A$5:$A$204&lt;&gt;"")*(D_Points!$A$5:$A$204&gt;=$B980)*(D_Points!$A$5:$A$204&lt;$B980+P_Interval)*(UPPER(TRIM(D_Points!$B$5:$B$204))="PITCHING")*(D_Points!$H$5:$H$204&lt;&gt;"")),D_Points!$H$5:$H$204),"")</f>
        <v/>
      </c>
      <c r="P980" s="181" t="str">
        <f>IFERROR(LOOKUP(2,1/((B_Drainage!$A$5:$A$204&lt;&gt;"")*(B_Drainage!$A$5:$A$204&lt;=$B980)*(B_Drainage!$B$5:$B$204&gt;$B980)*(B_Drainage!$C$5:$C$204&lt;&gt;"")),IF(B_Drainage!$C$5:$C$204="-","",UPPER(B_Drainage!$C$5:$C$204))),"")</f>
        <v/>
      </c>
      <c r="Q980" s="181" t="str">
        <f>IFERROR(LOOKUP(2,1/((B_Drainage!$A$5:$A$204&lt;&gt;"")*(B_Drainage!$A$5:$A$204&lt;=$B980)*(B_Drainage!$B$5:$B$204&gt;$B980)*(B_Drainage!$D$5:$D$204&lt;&gt;"")),IF(B_Drainage!$D$5:$D$204="-","",UPPER(B_Drainage!$D$5:$D$204))),"")</f>
        <v/>
      </c>
      <c r="R980" s="182" t="str">
        <f>IFERROR(LOOKUP(2,1/((D_Points!$A$5:$A$204&lt;&gt;"")*(D_Points!$A$5:$A$204&gt;=$B980)*(D_Points!$A$5:$A$204&lt;$B980+P_Interval)*(RIGHT(UPPER(TRIM(D_Points!$B$5:$B$204)),8)="_CULVERT")),IF(LEFT(UPPER(TRIM(D_Points!$B$5:$B$204)),2)="EX",1,IF(LEFT(UPPER(TRIM(D_Points!$B$5:$B$204)),2)="PR",2,3))),"")</f>
        <v/>
      </c>
      <c r="S980" s="182" t="str">
        <f>IFERROR(LOOKUP(2,1/((D_Points!$A$5:$A$204&lt;&gt;"")*(D_Points!$A$5:$A$204&gt;=$B980)*(D_Points!$A$5:$A$204&lt;$B980+P_Interval)*(RIGHT(UPPER(TRIM(D_Points!$B$5:$B$204)),7)="_BRIDGE")),IF(LEFT(UPPER(TRIM(D_Points!$B$5:$B$204)),2)="EX",1,IF(LEFT(UPPER(TRIM(D_Points!$B$5:$B$204)),2)="PR",2,2))),"")</f>
        <v/>
      </c>
      <c r="T980" s="181" t="str">
        <f>IFERROR(LOOKUP(2,1/((B_Drainage!$A$5:$A$204&lt;&gt;"")*(B_Drainage!$A$5:$A$204&lt;=$B980)*(B_Drainage!$B$5:$B$204&gt;$B980)*(B_Drainage!$E$5:$E$204&lt;&gt;"")),IF(B_Drainage!$E$5:$E$204="-","",1)),"")</f>
        <v/>
      </c>
      <c r="U980" s="181" t="str">
        <f>IFERROR(LOOKUP(2,1/((B_Drainage!$A$5:$A$204&lt;&gt;"")*(B_Drainage!$A$5:$A$204&lt;=$B980)*(B_Drainage!$B$5:$B$204&gt;$B980)*(B_Drainage!$E$5:$E$204&lt;&gt;"")),IF(B_Drainage!$E$5:$E$204="-","",B_Drainage!$E$5:$E$204)),"")</f>
        <v/>
      </c>
      <c r="V980" s="181" t="str">
        <f>IFERROR(LOOKUP(2,1/((B_Drainage!$A$5:$A$204&lt;&gt;"")*(B_Drainage!$A$5:$A$204&lt;=$B980)*(B_Drainage!$B$5:$B$204&gt;$B980)*(B_Drainage!$F$5:$F$204&lt;&gt;"")),IF(B_Drainage!$F$5:$F$204="-","",1)),"")</f>
        <v/>
      </c>
      <c r="W980" s="181" t="str">
        <f>IFERROR(LOOKUP(2,1/((B_Drainage!$A$5:$A$204&lt;&gt;"")*(B_Drainage!$A$5:$A$204&lt;=$B980)*(B_Drainage!$B$5:$B$204&gt;$B980)*(B_Drainage!$F$5:$F$204&lt;&gt;"")),IF(B_Drainage!$F$5:$F$204="-","",B_Drainage!$F$5:$F$204)),"")</f>
        <v/>
      </c>
      <c r="X980" s="181" t="str">
        <f>IFERROR(LOOKUP(2,1/((B_Drainage!$A$5:$A$204&lt;&gt;"")*(B_Drainage!$A$5:$A$204&lt;=$B980)*(B_Drainage!$B$5:$B$204&gt;$B980)*(B_Drainage!$G$5:$G$204&lt;&gt;"")),IF(UPPER(B_Drainage!$G$5:$G$204)="Y",1,"")),"")</f>
        <v/>
      </c>
      <c r="Y980" s="181" t="str">
        <f>IFERROR(LOOKUP(2,1/((B_Drainage!$A$5:$A$204&lt;&gt;"")*(B_Drainage!$A$5:$A$204&lt;=$B980)*(B_Drainage!$B$5:$B$204&gt;$B980)*(B_Drainage!$H$5:$H$204&lt;&gt;"")),IF(UPPER(B_Drainage!$H$5:$H$204)="Y",1,"")),"")</f>
        <v/>
      </c>
      <c r="Z980" s="181" t="str">
        <f>IFERROR(LOOKUP(2,1/((B_Drainage!$A$5:$A$204&lt;&gt;"")*(B_Drainage!$A$5:$A$204&lt;=$B980)*(B_Drainage!$B$5:$B$204&gt;$B980)*(B_Drainage!$I$5:$I$204&lt;&gt;"")),IF(UPPER(B_Drainage!$I$5:$I$204)="Y",1,"")),"")</f>
        <v/>
      </c>
      <c r="AA980" s="181" t="str">
        <f>IFERROR(LOOKUP(2,1/((B_Drainage!$A$5:$A$204&lt;&gt;"")*(B_Drainage!$A$5:$A$204&lt;=$B980)*(B_Drainage!$B$5:$B$204&gt;$B980)*(B_Drainage!$J$5:$J$204&lt;&gt;"")),IF(UPPER(B_Drainage!$J$5:$J$204)="Y",1,"")),"")</f>
        <v/>
      </c>
      <c r="AB980" s="182" t="str">
        <f>IFERROR(LOOKUP(2,1/((B_Drainage!$A$5:$A$204&lt;&gt;"")*(B_Drainage!$A$5:$A$204&lt;=$B980)*(B_Drainage!$B$5:$B$204&gt;$B980)*(B_Drainage!$K$5:$K$204&lt;&gt;"")),IF(B_Drainage!$K$5:$K$204="-","",B_Drainage!$K$5:$K$204)),"")</f>
        <v/>
      </c>
      <c r="AC980" s="182" t="str">
        <f>IFERROR(LOOKUP(2,1/((B_Drainage!$A$5:$A$204&lt;&gt;"")*(B_Drainage!$A$5:$A$204&lt;=$B980)*(B_Drainage!$B$5:$B$204&gt;$B980)*(B_Drainage!$L$5:$L$204&lt;&gt;"")),IF(B_Drainage!$L$5:$L$204="-","",B_Drainage!$L$5:$L$204)),"")</f>
        <v/>
      </c>
      <c r="AD980" s="182" t="str">
        <f>IFERROR(LOOKUP(2,1/((D_Points!$A$5:$A$204&lt;&gt;"")*(D_Points!$A$5:$A$204&gt;=$B980)*(D_Points!$A$5:$A$204&lt;$B980+P_Interval)*(UPPER(TRIM(D_Points!$B$5:$B$204))="TURNOUT_L")*(D_Points!$H$5:$H$204&lt;&gt;"")),D_Points!$H$5:$H$204),"")</f>
        <v/>
      </c>
      <c r="AE980" s="182" t="str">
        <f>IFERROR(LOOKUP(2,1/((D_Points!$A$5:$A$204&lt;&gt;"")*(D_Points!$A$5:$A$204&gt;=$B980)*(D_Points!$A$5:$A$204&lt;$B980+P_Interval)*(UPPER(TRIM(D_Points!$B$5:$B$204))="TURNOUT_R")*(D_Points!$H$5:$H$204&lt;&gt;"")),D_Points!$H$5:$H$204),"")</f>
        <v/>
      </c>
      <c r="AF980" s="181" t="str">
        <f>IFERROR(LOOKUP(2,1/((B_Drainage!$A$5:$A$204&lt;&gt;"")*(B_Drainage!$A$5:$A$204&lt;=$B980)*(B_Drainage!$B$5:$B$204&gt;$B980)*(B_Drainage!$M$5:$M$204&lt;&gt;"")),IF(UPPER(B_Drainage!$M$5:$M$204)="Y",1,"")),"")</f>
        <v/>
      </c>
      <c r="AG980" s="181" t="str">
        <f>IFERROR(LOOKUP(2,1/((B_Drainage!$A$5:$A$204&lt;&gt;"")*(B_Drainage!$A$5:$A$204&lt;=$B980)*(B_Drainage!$B$5:$B$204&gt;$B980)*(B_Drainage!$N$5:$N$204&lt;&gt;"")),IF(UPPER(B_Drainage!$N$5:$N$204)="Y",1,"")),"")</f>
        <v/>
      </c>
      <c r="AH980" s="181" t="str">
        <f t="shared" si="120"/>
        <v/>
      </c>
      <c r="AI980" s="181" t="str">
        <f t="shared" si="121"/>
        <v/>
      </c>
      <c r="AJ980" s="181" t="str">
        <f t="shared" si="122"/>
        <v/>
      </c>
      <c r="AK980" s="181" t="str">
        <f t="shared" si="123"/>
        <v/>
      </c>
      <c r="AL980" s="181" t="str">
        <f t="shared" si="124"/>
        <v/>
      </c>
      <c r="AM980" s="181" t="str">
        <f t="shared" si="125"/>
        <v/>
      </c>
      <c r="AN980" s="181" t="str">
        <f t="shared" si="126"/>
        <v/>
      </c>
      <c r="AO980" s="192" t="str">
        <f t="shared" si="127"/>
        <v/>
      </c>
      <c r="AQ980" t="str">
        <f>IFERROR(LOOKUP(2,1/((C_Pavement!$A$5:$A$204&lt;&gt;"")*(C_Pavement!$A$5:$A$204&lt;=$B980)*(C_Pavement!$B$5:$B$204&gt;$B980)*(C_Pavement!$C$5:$C$204&lt;&gt;"")),ROW(C_Pavement!$C$5:$C$204)-4),"")</f>
        <v/>
      </c>
      <c r="AR980" t="str">
        <f>IF($AQ980="","",UPPER(TRIM(INDEX(C_Pavement!$C$5:$C$204,$AQ980))))</f>
        <v/>
      </c>
      <c r="AS980" t="str">
        <f>IF($AR980="","",IFERROR(MATCH($AR980,E_Rules!$A$5:$A$9,0),""))</f>
        <v/>
      </c>
      <c r="AT980" t="str">
        <f>IF($AQ980="","",IF(INDEX(C_Pavement!$D$5:$D$204,$AQ980)&lt;&gt;"",UPPER(TRIM(INDEX(C_Pavement!$D$5:$D$204,$AQ980))),IF($AS980="","",INDEX(E_Rules!$C$5:$C$9,$AS980))))</f>
        <v/>
      </c>
      <c r="AU980" t="str">
        <f>IF($AQ980="","",IF(INDEX(C_Pavement!$E$5:$E$204,$AQ980)&lt;&gt;"",IF(INDEX(C_Pavement!$E$5:$E$204,$AQ980)="-","",INDEX(C_Pavement!$E$5:$E$204,$AQ980)),IF($AS980="","",INDEX(E_Rules!$D$5:$D$9,$AS980))))</f>
        <v/>
      </c>
      <c r="AV980" t="str">
        <f>IF($AQ980="","",IF(INDEX(C_Pavement!$F$5:$F$204,$AQ980)&lt;&gt;"",IF(INDEX(C_Pavement!$F$5:$F$204,$AQ980)="-","",INDEX(C_Pavement!$F$5:$F$204,$AQ980)),IF($AS980="","",INDEX(E_Rules!$E$5:$E$9,$AS980))))</f>
        <v/>
      </c>
      <c r="AW980" t="str">
        <f>IF($AQ980="","",IF(INDEX(C_Pavement!$G$5:$G$204,$AQ980)&lt;&gt;"",IF(INDEX(C_Pavement!$G$5:$G$204,$AQ980)="-","",INDEX(C_Pavement!$G$5:$G$204,$AQ980)),IF($AS980="","",INDEX(E_Rules!$F$5:$F$9,$AS980))))</f>
        <v/>
      </c>
      <c r="AX980" t="str">
        <f>IF($AQ980="","",IF(INDEX(C_Pavement!$H$5:$H$204,$AQ980)&lt;&gt;"",IF(INDEX(C_Pavement!$H$5:$H$204,$AQ980)="-","",INDEX(C_Pavement!$H$5:$H$204,$AQ980)),IF($AS980="","",INDEX(E_Rules!$G$5:$G$9,$AS980))))</f>
        <v/>
      </c>
      <c r="AY980" t="str">
        <f>IF($AQ980="","",IF(INDEX(C_Pavement!$I$5:$I$204,$AQ980)&lt;&gt;"",IF(INDEX(C_Pavement!$I$5:$I$204,$AQ980)="-","",INDEX(C_Pavement!$I$5:$I$204,$AQ980)),IF($AS980="","",INDEX(E_Rules!$H$5:$H$9,$AS980))))</f>
        <v/>
      </c>
    </row>
    <row r="981" spans="1:51" ht="15.75" customHeight="1" x14ac:dyDescent="0.3">
      <c r="A981" s="189">
        <v>976</v>
      </c>
      <c r="B981" s="180">
        <v>48750</v>
      </c>
      <c r="C981" s="180" t="s">
        <v>1287</v>
      </c>
      <c r="D981" s="181" t="str">
        <f>IFERROR(LOOKUP(2,1/((A_Corridor!$A$5:$A$204&lt;&gt;"")*(A_Corridor!$A$5:$A$204&lt;=$B981)*(A_Corridor!$B$5:$B$204&gt;$B981)*(A_Corridor!$C$5:$C$204&lt;&gt;"")),IF(UPPER(A_Corridor!$C$5:$C$204)="Y",1,"")),"")</f>
        <v/>
      </c>
      <c r="E981" s="181" t="str">
        <f>IFERROR(LOOKUP(2,1/((A_Corridor!$A$5:$A$204&lt;&gt;"")*(A_Corridor!$A$5:$A$204&lt;=$B981)*(A_Corridor!$B$5:$B$204&gt;$B981)*(A_Corridor!$D$5:$D$204&lt;&gt;"")),IF(A_Corridor!$D$5:$D$204="-","",UPPER(A_Corridor!$D$5:$D$204))),"")</f>
        <v/>
      </c>
      <c r="F981" s="181" t="str">
        <f>IFERROR(LOOKUP(2,1/((A_Corridor!$A$5:$A$204&lt;&gt;"")*(A_Corridor!$A$5:$A$204&lt;=$B981)*(A_Corridor!$B$5:$B$204&gt;$B981)*(A_Corridor!$E$5:$E$204&lt;&gt;"")),IF(A_Corridor!$E$5:$E$204="-","",1)),"")</f>
        <v/>
      </c>
      <c r="G981" s="182" t="str">
        <f>IFERROR(LOOKUP(2,1/((A_Corridor!$A$5:$A$204&lt;&gt;"")*(A_Corridor!$A$5:$A$204&lt;=$B981)*(A_Corridor!$B$5:$B$204&gt;$B981)*(A_Corridor!$E$5:$E$204&lt;&gt;"")),IF(A_Corridor!$E$5:$E$204="-","",A_Corridor!$E$5:$E$204)),"")</f>
        <v/>
      </c>
      <c r="H981" s="182" t="str">
        <f>IFERROR(LOOKUP(2,1/((D_Points!$A$5:$A$204&lt;&gt;"")*(D_Points!$A$5:$A$204&gt;=$B981)*(D_Points!$A$5:$A$204&lt;$B981+P_Interval)*(UPPER(TRIM(D_Points!$B$5:$B$204))="GULLY")*(D_Points!$H$5:$H$204&lt;&gt;"")),D_Points!$H$5:$H$204),"")</f>
        <v/>
      </c>
      <c r="I981" s="181" t="str">
        <f>IFERROR(LOOKUP(2,1/((A_Corridor!$A$5:$A$204&lt;&gt;"")*(A_Corridor!$A$5:$A$204&lt;=$B981)*(A_Corridor!$B$5:$B$204&gt;$B981)*(A_Corridor!$F$5:$F$204&lt;&gt;"")),IF(A_Corridor!$F$5:$F$204="-","",1)),"")</f>
        <v/>
      </c>
      <c r="J981" s="182" t="str">
        <f>IFERROR(LOOKUP(2,1/((A_Corridor!$A$5:$A$204&lt;&gt;"")*(A_Corridor!$A$5:$A$204&lt;=$B981)*(A_Corridor!$B$5:$B$204&gt;$B981)*(A_Corridor!$F$5:$F$204&lt;&gt;"")),IF(A_Corridor!$F$5:$F$204="-","",A_Corridor!$F$5:$F$204)),"")</f>
        <v/>
      </c>
      <c r="K981" s="182" t="str">
        <f>IFERROR(LOOKUP(2,1/((A_Corridor!$A$5:$A$204&lt;&gt;"")*(A_Corridor!$A$5:$A$204&lt;=$B981)*(A_Corridor!$B$5:$B$204&gt;$B981)*(A_Corridor!$G$5:$G$204&lt;&gt;"")),IF(A_Corridor!$G$5:$G$204="-","",A_Corridor!$G$5:$G$204)),"")</f>
        <v/>
      </c>
      <c r="L981" s="181" t="str">
        <f>IFERROR(LOOKUP(2,1/((A_Corridor!$A$5:$A$204&lt;&gt;"")*(A_Corridor!$A$5:$A$204&lt;=$B981)*(A_Corridor!$B$5:$B$204&gt;$B981)*(A_Corridor!$H$5:$H$204&lt;&gt;"")),IF(A_Corridor!$H$5:$H$204="-","",1)),"")</f>
        <v/>
      </c>
      <c r="M981" s="182" t="str">
        <f>IFERROR(LOOKUP(2,1/((A_Corridor!$A$5:$A$204&lt;&gt;"")*(A_Corridor!$A$5:$A$204&lt;=$B981)*(A_Corridor!$B$5:$B$204&gt;$B981)*(A_Corridor!$H$5:$H$204&lt;&gt;"")),IF(A_Corridor!$H$5:$H$204="-","",A_Corridor!$H$5:$H$204)),"")</f>
        <v/>
      </c>
      <c r="N981" s="182" t="str">
        <f>IFERROR(LOOKUP(2,1/((A_Corridor!$A$5:$A$204&lt;&gt;"")*(A_Corridor!$A$5:$A$204&lt;=$B981)*(A_Corridor!$B$5:$B$204&gt;$B981)*(A_Corridor!$I$5:$I$204&lt;&gt;"")),IF(A_Corridor!$I$5:$I$204="-","",A_Corridor!$I$5:$I$204)),"")</f>
        <v/>
      </c>
      <c r="O981" s="182" t="str">
        <f>IFERROR(LOOKUP(2,1/((D_Points!$A$5:$A$204&lt;&gt;"")*(D_Points!$A$5:$A$204&gt;=$B981)*(D_Points!$A$5:$A$204&lt;$B981+P_Interval)*(UPPER(TRIM(D_Points!$B$5:$B$204))="PITCHING")*(D_Points!$H$5:$H$204&lt;&gt;"")),D_Points!$H$5:$H$204),"")</f>
        <v/>
      </c>
      <c r="P981" s="181" t="str">
        <f>IFERROR(LOOKUP(2,1/((B_Drainage!$A$5:$A$204&lt;&gt;"")*(B_Drainage!$A$5:$A$204&lt;=$B981)*(B_Drainage!$B$5:$B$204&gt;$B981)*(B_Drainage!$C$5:$C$204&lt;&gt;"")),IF(B_Drainage!$C$5:$C$204="-","",UPPER(B_Drainage!$C$5:$C$204))),"")</f>
        <v/>
      </c>
      <c r="Q981" s="181" t="str">
        <f>IFERROR(LOOKUP(2,1/((B_Drainage!$A$5:$A$204&lt;&gt;"")*(B_Drainage!$A$5:$A$204&lt;=$B981)*(B_Drainage!$B$5:$B$204&gt;$B981)*(B_Drainage!$D$5:$D$204&lt;&gt;"")),IF(B_Drainage!$D$5:$D$204="-","",UPPER(B_Drainage!$D$5:$D$204))),"")</f>
        <v/>
      </c>
      <c r="R981" s="182" t="str">
        <f>IFERROR(LOOKUP(2,1/((D_Points!$A$5:$A$204&lt;&gt;"")*(D_Points!$A$5:$A$204&gt;=$B981)*(D_Points!$A$5:$A$204&lt;$B981+P_Interval)*(RIGHT(UPPER(TRIM(D_Points!$B$5:$B$204)),8)="_CULVERT")),IF(LEFT(UPPER(TRIM(D_Points!$B$5:$B$204)),2)="EX",1,IF(LEFT(UPPER(TRIM(D_Points!$B$5:$B$204)),2)="PR",2,3))),"")</f>
        <v/>
      </c>
      <c r="S981" s="182" t="str">
        <f>IFERROR(LOOKUP(2,1/((D_Points!$A$5:$A$204&lt;&gt;"")*(D_Points!$A$5:$A$204&gt;=$B981)*(D_Points!$A$5:$A$204&lt;$B981+P_Interval)*(RIGHT(UPPER(TRIM(D_Points!$B$5:$B$204)),7)="_BRIDGE")),IF(LEFT(UPPER(TRIM(D_Points!$B$5:$B$204)),2)="EX",1,IF(LEFT(UPPER(TRIM(D_Points!$B$5:$B$204)),2)="PR",2,2))),"")</f>
        <v/>
      </c>
      <c r="T981" s="181" t="str">
        <f>IFERROR(LOOKUP(2,1/((B_Drainage!$A$5:$A$204&lt;&gt;"")*(B_Drainage!$A$5:$A$204&lt;=$B981)*(B_Drainage!$B$5:$B$204&gt;$B981)*(B_Drainage!$E$5:$E$204&lt;&gt;"")),IF(B_Drainage!$E$5:$E$204="-","",1)),"")</f>
        <v/>
      </c>
      <c r="U981" s="181" t="str">
        <f>IFERROR(LOOKUP(2,1/((B_Drainage!$A$5:$A$204&lt;&gt;"")*(B_Drainage!$A$5:$A$204&lt;=$B981)*(B_Drainage!$B$5:$B$204&gt;$B981)*(B_Drainage!$E$5:$E$204&lt;&gt;"")),IF(B_Drainage!$E$5:$E$204="-","",B_Drainage!$E$5:$E$204)),"")</f>
        <v/>
      </c>
      <c r="V981" s="181" t="str">
        <f>IFERROR(LOOKUP(2,1/((B_Drainage!$A$5:$A$204&lt;&gt;"")*(B_Drainage!$A$5:$A$204&lt;=$B981)*(B_Drainage!$B$5:$B$204&gt;$B981)*(B_Drainage!$F$5:$F$204&lt;&gt;"")),IF(B_Drainage!$F$5:$F$204="-","",1)),"")</f>
        <v/>
      </c>
      <c r="W981" s="181" t="str">
        <f>IFERROR(LOOKUP(2,1/((B_Drainage!$A$5:$A$204&lt;&gt;"")*(B_Drainage!$A$5:$A$204&lt;=$B981)*(B_Drainage!$B$5:$B$204&gt;$B981)*(B_Drainage!$F$5:$F$204&lt;&gt;"")),IF(B_Drainage!$F$5:$F$204="-","",B_Drainage!$F$5:$F$204)),"")</f>
        <v/>
      </c>
      <c r="X981" s="181" t="str">
        <f>IFERROR(LOOKUP(2,1/((B_Drainage!$A$5:$A$204&lt;&gt;"")*(B_Drainage!$A$5:$A$204&lt;=$B981)*(B_Drainage!$B$5:$B$204&gt;$B981)*(B_Drainage!$G$5:$G$204&lt;&gt;"")),IF(UPPER(B_Drainage!$G$5:$G$204)="Y",1,"")),"")</f>
        <v/>
      </c>
      <c r="Y981" s="181" t="str">
        <f>IFERROR(LOOKUP(2,1/((B_Drainage!$A$5:$A$204&lt;&gt;"")*(B_Drainage!$A$5:$A$204&lt;=$B981)*(B_Drainage!$B$5:$B$204&gt;$B981)*(B_Drainage!$H$5:$H$204&lt;&gt;"")),IF(UPPER(B_Drainage!$H$5:$H$204)="Y",1,"")),"")</f>
        <v/>
      </c>
      <c r="Z981" s="181" t="str">
        <f>IFERROR(LOOKUP(2,1/((B_Drainage!$A$5:$A$204&lt;&gt;"")*(B_Drainage!$A$5:$A$204&lt;=$B981)*(B_Drainage!$B$5:$B$204&gt;$B981)*(B_Drainage!$I$5:$I$204&lt;&gt;"")),IF(UPPER(B_Drainage!$I$5:$I$204)="Y",1,"")),"")</f>
        <v/>
      </c>
      <c r="AA981" s="181" t="str">
        <f>IFERROR(LOOKUP(2,1/((B_Drainage!$A$5:$A$204&lt;&gt;"")*(B_Drainage!$A$5:$A$204&lt;=$B981)*(B_Drainage!$B$5:$B$204&gt;$B981)*(B_Drainage!$J$5:$J$204&lt;&gt;"")),IF(UPPER(B_Drainage!$J$5:$J$204)="Y",1,"")),"")</f>
        <v/>
      </c>
      <c r="AB981" s="182" t="str">
        <f>IFERROR(LOOKUP(2,1/((B_Drainage!$A$5:$A$204&lt;&gt;"")*(B_Drainage!$A$5:$A$204&lt;=$B981)*(B_Drainage!$B$5:$B$204&gt;$B981)*(B_Drainage!$K$5:$K$204&lt;&gt;"")),IF(B_Drainage!$K$5:$K$204="-","",B_Drainage!$K$5:$K$204)),"")</f>
        <v/>
      </c>
      <c r="AC981" s="182" t="str">
        <f>IFERROR(LOOKUP(2,1/((B_Drainage!$A$5:$A$204&lt;&gt;"")*(B_Drainage!$A$5:$A$204&lt;=$B981)*(B_Drainage!$B$5:$B$204&gt;$B981)*(B_Drainage!$L$5:$L$204&lt;&gt;"")),IF(B_Drainage!$L$5:$L$204="-","",B_Drainage!$L$5:$L$204)),"")</f>
        <v/>
      </c>
      <c r="AD981" s="182" t="str">
        <f>IFERROR(LOOKUP(2,1/((D_Points!$A$5:$A$204&lt;&gt;"")*(D_Points!$A$5:$A$204&gt;=$B981)*(D_Points!$A$5:$A$204&lt;$B981+P_Interval)*(UPPER(TRIM(D_Points!$B$5:$B$204))="TURNOUT_L")*(D_Points!$H$5:$H$204&lt;&gt;"")),D_Points!$H$5:$H$204),"")</f>
        <v/>
      </c>
      <c r="AE981" s="182" t="str">
        <f>IFERROR(LOOKUP(2,1/((D_Points!$A$5:$A$204&lt;&gt;"")*(D_Points!$A$5:$A$204&gt;=$B981)*(D_Points!$A$5:$A$204&lt;$B981+P_Interval)*(UPPER(TRIM(D_Points!$B$5:$B$204))="TURNOUT_R")*(D_Points!$H$5:$H$204&lt;&gt;"")),D_Points!$H$5:$H$204),"")</f>
        <v/>
      </c>
      <c r="AF981" s="181" t="str">
        <f>IFERROR(LOOKUP(2,1/((B_Drainage!$A$5:$A$204&lt;&gt;"")*(B_Drainage!$A$5:$A$204&lt;=$B981)*(B_Drainage!$B$5:$B$204&gt;$B981)*(B_Drainage!$M$5:$M$204&lt;&gt;"")),IF(UPPER(B_Drainage!$M$5:$M$204)="Y",1,"")),"")</f>
        <v/>
      </c>
      <c r="AG981" s="181" t="str">
        <f>IFERROR(LOOKUP(2,1/((B_Drainage!$A$5:$A$204&lt;&gt;"")*(B_Drainage!$A$5:$A$204&lt;=$B981)*(B_Drainage!$B$5:$B$204&gt;$B981)*(B_Drainage!$N$5:$N$204&lt;&gt;"")),IF(UPPER(B_Drainage!$N$5:$N$204)="Y",1,"")),"")</f>
        <v/>
      </c>
      <c r="AH981" s="181" t="str">
        <f t="shared" si="120"/>
        <v/>
      </c>
      <c r="AI981" s="181" t="str">
        <f t="shared" si="121"/>
        <v/>
      </c>
      <c r="AJ981" s="181" t="str">
        <f t="shared" si="122"/>
        <v/>
      </c>
      <c r="AK981" s="181" t="str">
        <f t="shared" si="123"/>
        <v/>
      </c>
      <c r="AL981" s="181" t="str">
        <f t="shared" si="124"/>
        <v/>
      </c>
      <c r="AM981" s="181" t="str">
        <f t="shared" si="125"/>
        <v/>
      </c>
      <c r="AN981" s="181" t="str">
        <f t="shared" si="126"/>
        <v/>
      </c>
      <c r="AO981" s="192" t="str">
        <f t="shared" si="127"/>
        <v/>
      </c>
      <c r="AQ981" t="str">
        <f>IFERROR(LOOKUP(2,1/((C_Pavement!$A$5:$A$204&lt;&gt;"")*(C_Pavement!$A$5:$A$204&lt;=$B981)*(C_Pavement!$B$5:$B$204&gt;$B981)*(C_Pavement!$C$5:$C$204&lt;&gt;"")),ROW(C_Pavement!$C$5:$C$204)-4),"")</f>
        <v/>
      </c>
      <c r="AR981" t="str">
        <f>IF($AQ981="","",UPPER(TRIM(INDEX(C_Pavement!$C$5:$C$204,$AQ981))))</f>
        <v/>
      </c>
      <c r="AS981" t="str">
        <f>IF($AR981="","",IFERROR(MATCH($AR981,E_Rules!$A$5:$A$9,0),""))</f>
        <v/>
      </c>
      <c r="AT981" t="str">
        <f>IF($AQ981="","",IF(INDEX(C_Pavement!$D$5:$D$204,$AQ981)&lt;&gt;"",UPPER(TRIM(INDEX(C_Pavement!$D$5:$D$204,$AQ981))),IF($AS981="","",INDEX(E_Rules!$C$5:$C$9,$AS981))))</f>
        <v/>
      </c>
      <c r="AU981" t="str">
        <f>IF($AQ981="","",IF(INDEX(C_Pavement!$E$5:$E$204,$AQ981)&lt;&gt;"",IF(INDEX(C_Pavement!$E$5:$E$204,$AQ981)="-","",INDEX(C_Pavement!$E$5:$E$204,$AQ981)),IF($AS981="","",INDEX(E_Rules!$D$5:$D$9,$AS981))))</f>
        <v/>
      </c>
      <c r="AV981" t="str">
        <f>IF($AQ981="","",IF(INDEX(C_Pavement!$F$5:$F$204,$AQ981)&lt;&gt;"",IF(INDEX(C_Pavement!$F$5:$F$204,$AQ981)="-","",INDEX(C_Pavement!$F$5:$F$204,$AQ981)),IF($AS981="","",INDEX(E_Rules!$E$5:$E$9,$AS981))))</f>
        <v/>
      </c>
      <c r="AW981" t="str">
        <f>IF($AQ981="","",IF(INDEX(C_Pavement!$G$5:$G$204,$AQ981)&lt;&gt;"",IF(INDEX(C_Pavement!$G$5:$G$204,$AQ981)="-","",INDEX(C_Pavement!$G$5:$G$204,$AQ981)),IF($AS981="","",INDEX(E_Rules!$F$5:$F$9,$AS981))))</f>
        <v/>
      </c>
      <c r="AX981" t="str">
        <f>IF($AQ981="","",IF(INDEX(C_Pavement!$H$5:$H$204,$AQ981)&lt;&gt;"",IF(INDEX(C_Pavement!$H$5:$H$204,$AQ981)="-","",INDEX(C_Pavement!$H$5:$H$204,$AQ981)),IF($AS981="","",INDEX(E_Rules!$G$5:$G$9,$AS981))))</f>
        <v/>
      </c>
      <c r="AY981" t="str">
        <f>IF($AQ981="","",IF(INDEX(C_Pavement!$I$5:$I$204,$AQ981)&lt;&gt;"",IF(INDEX(C_Pavement!$I$5:$I$204,$AQ981)="-","",INDEX(C_Pavement!$I$5:$I$204,$AQ981)),IF($AS981="","",INDEX(E_Rules!$H$5:$H$9,$AS981))))</f>
        <v/>
      </c>
    </row>
    <row r="982" spans="1:51" ht="15.75" customHeight="1" x14ac:dyDescent="0.3">
      <c r="A982" s="189">
        <v>977</v>
      </c>
      <c r="B982" s="180">
        <v>48800</v>
      </c>
      <c r="C982" s="180" t="s">
        <v>1288</v>
      </c>
      <c r="D982" s="181" t="str">
        <f>IFERROR(LOOKUP(2,1/((A_Corridor!$A$5:$A$204&lt;&gt;"")*(A_Corridor!$A$5:$A$204&lt;=$B982)*(A_Corridor!$B$5:$B$204&gt;$B982)*(A_Corridor!$C$5:$C$204&lt;&gt;"")),IF(UPPER(A_Corridor!$C$5:$C$204)="Y",1,"")),"")</f>
        <v/>
      </c>
      <c r="E982" s="181" t="str">
        <f>IFERROR(LOOKUP(2,1/((A_Corridor!$A$5:$A$204&lt;&gt;"")*(A_Corridor!$A$5:$A$204&lt;=$B982)*(A_Corridor!$B$5:$B$204&gt;$B982)*(A_Corridor!$D$5:$D$204&lt;&gt;"")),IF(A_Corridor!$D$5:$D$204="-","",UPPER(A_Corridor!$D$5:$D$204))),"")</f>
        <v/>
      </c>
      <c r="F982" s="181" t="str">
        <f>IFERROR(LOOKUP(2,1/((A_Corridor!$A$5:$A$204&lt;&gt;"")*(A_Corridor!$A$5:$A$204&lt;=$B982)*(A_Corridor!$B$5:$B$204&gt;$B982)*(A_Corridor!$E$5:$E$204&lt;&gt;"")),IF(A_Corridor!$E$5:$E$204="-","",1)),"")</f>
        <v/>
      </c>
      <c r="G982" s="182" t="str">
        <f>IFERROR(LOOKUP(2,1/((A_Corridor!$A$5:$A$204&lt;&gt;"")*(A_Corridor!$A$5:$A$204&lt;=$B982)*(A_Corridor!$B$5:$B$204&gt;$B982)*(A_Corridor!$E$5:$E$204&lt;&gt;"")),IF(A_Corridor!$E$5:$E$204="-","",A_Corridor!$E$5:$E$204)),"")</f>
        <v/>
      </c>
      <c r="H982" s="182" t="str">
        <f>IFERROR(LOOKUP(2,1/((D_Points!$A$5:$A$204&lt;&gt;"")*(D_Points!$A$5:$A$204&gt;=$B982)*(D_Points!$A$5:$A$204&lt;$B982+P_Interval)*(UPPER(TRIM(D_Points!$B$5:$B$204))="GULLY")*(D_Points!$H$5:$H$204&lt;&gt;"")),D_Points!$H$5:$H$204),"")</f>
        <v/>
      </c>
      <c r="I982" s="181" t="str">
        <f>IFERROR(LOOKUP(2,1/((A_Corridor!$A$5:$A$204&lt;&gt;"")*(A_Corridor!$A$5:$A$204&lt;=$B982)*(A_Corridor!$B$5:$B$204&gt;$B982)*(A_Corridor!$F$5:$F$204&lt;&gt;"")),IF(A_Corridor!$F$5:$F$204="-","",1)),"")</f>
        <v/>
      </c>
      <c r="J982" s="182" t="str">
        <f>IFERROR(LOOKUP(2,1/((A_Corridor!$A$5:$A$204&lt;&gt;"")*(A_Corridor!$A$5:$A$204&lt;=$B982)*(A_Corridor!$B$5:$B$204&gt;$B982)*(A_Corridor!$F$5:$F$204&lt;&gt;"")),IF(A_Corridor!$F$5:$F$204="-","",A_Corridor!$F$5:$F$204)),"")</f>
        <v/>
      </c>
      <c r="K982" s="182" t="str">
        <f>IFERROR(LOOKUP(2,1/((A_Corridor!$A$5:$A$204&lt;&gt;"")*(A_Corridor!$A$5:$A$204&lt;=$B982)*(A_Corridor!$B$5:$B$204&gt;$B982)*(A_Corridor!$G$5:$G$204&lt;&gt;"")),IF(A_Corridor!$G$5:$G$204="-","",A_Corridor!$G$5:$G$204)),"")</f>
        <v/>
      </c>
      <c r="L982" s="181" t="str">
        <f>IFERROR(LOOKUP(2,1/((A_Corridor!$A$5:$A$204&lt;&gt;"")*(A_Corridor!$A$5:$A$204&lt;=$B982)*(A_Corridor!$B$5:$B$204&gt;$B982)*(A_Corridor!$H$5:$H$204&lt;&gt;"")),IF(A_Corridor!$H$5:$H$204="-","",1)),"")</f>
        <v/>
      </c>
      <c r="M982" s="182" t="str">
        <f>IFERROR(LOOKUP(2,1/((A_Corridor!$A$5:$A$204&lt;&gt;"")*(A_Corridor!$A$5:$A$204&lt;=$B982)*(A_Corridor!$B$5:$B$204&gt;$B982)*(A_Corridor!$H$5:$H$204&lt;&gt;"")),IF(A_Corridor!$H$5:$H$204="-","",A_Corridor!$H$5:$H$204)),"")</f>
        <v/>
      </c>
      <c r="N982" s="182" t="str">
        <f>IFERROR(LOOKUP(2,1/((A_Corridor!$A$5:$A$204&lt;&gt;"")*(A_Corridor!$A$5:$A$204&lt;=$B982)*(A_Corridor!$B$5:$B$204&gt;$B982)*(A_Corridor!$I$5:$I$204&lt;&gt;"")),IF(A_Corridor!$I$5:$I$204="-","",A_Corridor!$I$5:$I$204)),"")</f>
        <v/>
      </c>
      <c r="O982" s="182" t="str">
        <f>IFERROR(LOOKUP(2,1/((D_Points!$A$5:$A$204&lt;&gt;"")*(D_Points!$A$5:$A$204&gt;=$B982)*(D_Points!$A$5:$A$204&lt;$B982+P_Interval)*(UPPER(TRIM(D_Points!$B$5:$B$204))="PITCHING")*(D_Points!$H$5:$H$204&lt;&gt;"")),D_Points!$H$5:$H$204),"")</f>
        <v/>
      </c>
      <c r="P982" s="181" t="str">
        <f>IFERROR(LOOKUP(2,1/((B_Drainage!$A$5:$A$204&lt;&gt;"")*(B_Drainage!$A$5:$A$204&lt;=$B982)*(B_Drainage!$B$5:$B$204&gt;$B982)*(B_Drainage!$C$5:$C$204&lt;&gt;"")),IF(B_Drainage!$C$5:$C$204="-","",UPPER(B_Drainage!$C$5:$C$204))),"")</f>
        <v/>
      </c>
      <c r="Q982" s="181" t="str">
        <f>IFERROR(LOOKUP(2,1/((B_Drainage!$A$5:$A$204&lt;&gt;"")*(B_Drainage!$A$5:$A$204&lt;=$B982)*(B_Drainage!$B$5:$B$204&gt;$B982)*(B_Drainage!$D$5:$D$204&lt;&gt;"")),IF(B_Drainage!$D$5:$D$204="-","",UPPER(B_Drainage!$D$5:$D$204))),"")</f>
        <v/>
      </c>
      <c r="R982" s="182" t="str">
        <f>IFERROR(LOOKUP(2,1/((D_Points!$A$5:$A$204&lt;&gt;"")*(D_Points!$A$5:$A$204&gt;=$B982)*(D_Points!$A$5:$A$204&lt;$B982+P_Interval)*(RIGHT(UPPER(TRIM(D_Points!$B$5:$B$204)),8)="_CULVERT")),IF(LEFT(UPPER(TRIM(D_Points!$B$5:$B$204)),2)="EX",1,IF(LEFT(UPPER(TRIM(D_Points!$B$5:$B$204)),2)="PR",2,3))),"")</f>
        <v/>
      </c>
      <c r="S982" s="182" t="str">
        <f>IFERROR(LOOKUP(2,1/((D_Points!$A$5:$A$204&lt;&gt;"")*(D_Points!$A$5:$A$204&gt;=$B982)*(D_Points!$A$5:$A$204&lt;$B982+P_Interval)*(RIGHT(UPPER(TRIM(D_Points!$B$5:$B$204)),7)="_BRIDGE")),IF(LEFT(UPPER(TRIM(D_Points!$B$5:$B$204)),2)="EX",1,IF(LEFT(UPPER(TRIM(D_Points!$B$5:$B$204)),2)="PR",2,2))),"")</f>
        <v/>
      </c>
      <c r="T982" s="181" t="str">
        <f>IFERROR(LOOKUP(2,1/((B_Drainage!$A$5:$A$204&lt;&gt;"")*(B_Drainage!$A$5:$A$204&lt;=$B982)*(B_Drainage!$B$5:$B$204&gt;$B982)*(B_Drainage!$E$5:$E$204&lt;&gt;"")),IF(B_Drainage!$E$5:$E$204="-","",1)),"")</f>
        <v/>
      </c>
      <c r="U982" s="181" t="str">
        <f>IFERROR(LOOKUP(2,1/((B_Drainage!$A$5:$A$204&lt;&gt;"")*(B_Drainage!$A$5:$A$204&lt;=$B982)*(B_Drainage!$B$5:$B$204&gt;$B982)*(B_Drainage!$E$5:$E$204&lt;&gt;"")),IF(B_Drainage!$E$5:$E$204="-","",B_Drainage!$E$5:$E$204)),"")</f>
        <v/>
      </c>
      <c r="V982" s="181" t="str">
        <f>IFERROR(LOOKUP(2,1/((B_Drainage!$A$5:$A$204&lt;&gt;"")*(B_Drainage!$A$5:$A$204&lt;=$B982)*(B_Drainage!$B$5:$B$204&gt;$B982)*(B_Drainage!$F$5:$F$204&lt;&gt;"")),IF(B_Drainage!$F$5:$F$204="-","",1)),"")</f>
        <v/>
      </c>
      <c r="W982" s="181" t="str">
        <f>IFERROR(LOOKUP(2,1/((B_Drainage!$A$5:$A$204&lt;&gt;"")*(B_Drainage!$A$5:$A$204&lt;=$B982)*(B_Drainage!$B$5:$B$204&gt;$B982)*(B_Drainage!$F$5:$F$204&lt;&gt;"")),IF(B_Drainage!$F$5:$F$204="-","",B_Drainage!$F$5:$F$204)),"")</f>
        <v/>
      </c>
      <c r="X982" s="181" t="str">
        <f>IFERROR(LOOKUP(2,1/((B_Drainage!$A$5:$A$204&lt;&gt;"")*(B_Drainage!$A$5:$A$204&lt;=$B982)*(B_Drainage!$B$5:$B$204&gt;$B982)*(B_Drainage!$G$5:$G$204&lt;&gt;"")),IF(UPPER(B_Drainage!$G$5:$G$204)="Y",1,"")),"")</f>
        <v/>
      </c>
      <c r="Y982" s="181" t="str">
        <f>IFERROR(LOOKUP(2,1/((B_Drainage!$A$5:$A$204&lt;&gt;"")*(B_Drainage!$A$5:$A$204&lt;=$B982)*(B_Drainage!$B$5:$B$204&gt;$B982)*(B_Drainage!$H$5:$H$204&lt;&gt;"")),IF(UPPER(B_Drainage!$H$5:$H$204)="Y",1,"")),"")</f>
        <v/>
      </c>
      <c r="Z982" s="181" t="str">
        <f>IFERROR(LOOKUP(2,1/((B_Drainage!$A$5:$A$204&lt;&gt;"")*(B_Drainage!$A$5:$A$204&lt;=$B982)*(B_Drainage!$B$5:$B$204&gt;$B982)*(B_Drainage!$I$5:$I$204&lt;&gt;"")),IF(UPPER(B_Drainage!$I$5:$I$204)="Y",1,"")),"")</f>
        <v/>
      </c>
      <c r="AA982" s="181" t="str">
        <f>IFERROR(LOOKUP(2,1/((B_Drainage!$A$5:$A$204&lt;&gt;"")*(B_Drainage!$A$5:$A$204&lt;=$B982)*(B_Drainage!$B$5:$B$204&gt;$B982)*(B_Drainage!$J$5:$J$204&lt;&gt;"")),IF(UPPER(B_Drainage!$J$5:$J$204)="Y",1,"")),"")</f>
        <v/>
      </c>
      <c r="AB982" s="182" t="str">
        <f>IFERROR(LOOKUP(2,1/((B_Drainage!$A$5:$A$204&lt;&gt;"")*(B_Drainage!$A$5:$A$204&lt;=$B982)*(B_Drainage!$B$5:$B$204&gt;$B982)*(B_Drainage!$K$5:$K$204&lt;&gt;"")),IF(B_Drainage!$K$5:$K$204="-","",B_Drainage!$K$5:$K$204)),"")</f>
        <v/>
      </c>
      <c r="AC982" s="182" t="str">
        <f>IFERROR(LOOKUP(2,1/((B_Drainage!$A$5:$A$204&lt;&gt;"")*(B_Drainage!$A$5:$A$204&lt;=$B982)*(B_Drainage!$B$5:$B$204&gt;$B982)*(B_Drainage!$L$5:$L$204&lt;&gt;"")),IF(B_Drainage!$L$5:$L$204="-","",B_Drainage!$L$5:$L$204)),"")</f>
        <v/>
      </c>
      <c r="AD982" s="182" t="str">
        <f>IFERROR(LOOKUP(2,1/((D_Points!$A$5:$A$204&lt;&gt;"")*(D_Points!$A$5:$A$204&gt;=$B982)*(D_Points!$A$5:$A$204&lt;$B982+P_Interval)*(UPPER(TRIM(D_Points!$B$5:$B$204))="TURNOUT_L")*(D_Points!$H$5:$H$204&lt;&gt;"")),D_Points!$H$5:$H$204),"")</f>
        <v/>
      </c>
      <c r="AE982" s="182" t="str">
        <f>IFERROR(LOOKUP(2,1/((D_Points!$A$5:$A$204&lt;&gt;"")*(D_Points!$A$5:$A$204&gt;=$B982)*(D_Points!$A$5:$A$204&lt;$B982+P_Interval)*(UPPER(TRIM(D_Points!$B$5:$B$204))="TURNOUT_R")*(D_Points!$H$5:$H$204&lt;&gt;"")),D_Points!$H$5:$H$204),"")</f>
        <v/>
      </c>
      <c r="AF982" s="181" t="str">
        <f>IFERROR(LOOKUP(2,1/((B_Drainage!$A$5:$A$204&lt;&gt;"")*(B_Drainage!$A$5:$A$204&lt;=$B982)*(B_Drainage!$B$5:$B$204&gt;$B982)*(B_Drainage!$M$5:$M$204&lt;&gt;"")),IF(UPPER(B_Drainage!$M$5:$M$204)="Y",1,"")),"")</f>
        <v/>
      </c>
      <c r="AG982" s="181" t="str">
        <f>IFERROR(LOOKUP(2,1/((B_Drainage!$A$5:$A$204&lt;&gt;"")*(B_Drainage!$A$5:$A$204&lt;=$B982)*(B_Drainage!$B$5:$B$204&gt;$B982)*(B_Drainage!$N$5:$N$204&lt;&gt;"")),IF(UPPER(B_Drainage!$N$5:$N$204)="Y",1,"")),"")</f>
        <v/>
      </c>
      <c r="AH982" s="181" t="str">
        <f t="shared" si="120"/>
        <v/>
      </c>
      <c r="AI982" s="181" t="str">
        <f t="shared" si="121"/>
        <v/>
      </c>
      <c r="AJ982" s="181" t="str">
        <f t="shared" si="122"/>
        <v/>
      </c>
      <c r="AK982" s="181" t="str">
        <f t="shared" si="123"/>
        <v/>
      </c>
      <c r="AL982" s="181" t="str">
        <f t="shared" si="124"/>
        <v/>
      </c>
      <c r="AM982" s="181" t="str">
        <f t="shared" si="125"/>
        <v/>
      </c>
      <c r="AN982" s="181" t="str">
        <f t="shared" si="126"/>
        <v/>
      </c>
      <c r="AO982" s="192" t="str">
        <f t="shared" si="127"/>
        <v/>
      </c>
      <c r="AQ982" t="str">
        <f>IFERROR(LOOKUP(2,1/((C_Pavement!$A$5:$A$204&lt;&gt;"")*(C_Pavement!$A$5:$A$204&lt;=$B982)*(C_Pavement!$B$5:$B$204&gt;$B982)*(C_Pavement!$C$5:$C$204&lt;&gt;"")),ROW(C_Pavement!$C$5:$C$204)-4),"")</f>
        <v/>
      </c>
      <c r="AR982" t="str">
        <f>IF($AQ982="","",UPPER(TRIM(INDEX(C_Pavement!$C$5:$C$204,$AQ982))))</f>
        <v/>
      </c>
      <c r="AS982" t="str">
        <f>IF($AR982="","",IFERROR(MATCH($AR982,E_Rules!$A$5:$A$9,0),""))</f>
        <v/>
      </c>
      <c r="AT982" t="str">
        <f>IF($AQ982="","",IF(INDEX(C_Pavement!$D$5:$D$204,$AQ982)&lt;&gt;"",UPPER(TRIM(INDEX(C_Pavement!$D$5:$D$204,$AQ982))),IF($AS982="","",INDEX(E_Rules!$C$5:$C$9,$AS982))))</f>
        <v/>
      </c>
      <c r="AU982" t="str">
        <f>IF($AQ982="","",IF(INDEX(C_Pavement!$E$5:$E$204,$AQ982)&lt;&gt;"",IF(INDEX(C_Pavement!$E$5:$E$204,$AQ982)="-","",INDEX(C_Pavement!$E$5:$E$204,$AQ982)),IF($AS982="","",INDEX(E_Rules!$D$5:$D$9,$AS982))))</f>
        <v/>
      </c>
      <c r="AV982" t="str">
        <f>IF($AQ982="","",IF(INDEX(C_Pavement!$F$5:$F$204,$AQ982)&lt;&gt;"",IF(INDEX(C_Pavement!$F$5:$F$204,$AQ982)="-","",INDEX(C_Pavement!$F$5:$F$204,$AQ982)),IF($AS982="","",INDEX(E_Rules!$E$5:$E$9,$AS982))))</f>
        <v/>
      </c>
      <c r="AW982" t="str">
        <f>IF($AQ982="","",IF(INDEX(C_Pavement!$G$5:$G$204,$AQ982)&lt;&gt;"",IF(INDEX(C_Pavement!$G$5:$G$204,$AQ982)="-","",INDEX(C_Pavement!$G$5:$G$204,$AQ982)),IF($AS982="","",INDEX(E_Rules!$F$5:$F$9,$AS982))))</f>
        <v/>
      </c>
      <c r="AX982" t="str">
        <f>IF($AQ982="","",IF(INDEX(C_Pavement!$H$5:$H$204,$AQ982)&lt;&gt;"",IF(INDEX(C_Pavement!$H$5:$H$204,$AQ982)="-","",INDEX(C_Pavement!$H$5:$H$204,$AQ982)),IF($AS982="","",INDEX(E_Rules!$G$5:$G$9,$AS982))))</f>
        <v/>
      </c>
      <c r="AY982" t="str">
        <f>IF($AQ982="","",IF(INDEX(C_Pavement!$I$5:$I$204,$AQ982)&lt;&gt;"",IF(INDEX(C_Pavement!$I$5:$I$204,$AQ982)="-","",INDEX(C_Pavement!$I$5:$I$204,$AQ982)),IF($AS982="","",INDEX(E_Rules!$H$5:$H$9,$AS982))))</f>
        <v/>
      </c>
    </row>
    <row r="983" spans="1:51" ht="15.75" customHeight="1" x14ac:dyDescent="0.3">
      <c r="A983" s="189">
        <v>978</v>
      </c>
      <c r="B983" s="180">
        <v>48850</v>
      </c>
      <c r="C983" s="180" t="s">
        <v>1289</v>
      </c>
      <c r="D983" s="181" t="str">
        <f>IFERROR(LOOKUP(2,1/((A_Corridor!$A$5:$A$204&lt;&gt;"")*(A_Corridor!$A$5:$A$204&lt;=$B983)*(A_Corridor!$B$5:$B$204&gt;$B983)*(A_Corridor!$C$5:$C$204&lt;&gt;"")),IF(UPPER(A_Corridor!$C$5:$C$204)="Y",1,"")),"")</f>
        <v/>
      </c>
      <c r="E983" s="181" t="str">
        <f>IFERROR(LOOKUP(2,1/((A_Corridor!$A$5:$A$204&lt;&gt;"")*(A_Corridor!$A$5:$A$204&lt;=$B983)*(A_Corridor!$B$5:$B$204&gt;$B983)*(A_Corridor!$D$5:$D$204&lt;&gt;"")),IF(A_Corridor!$D$5:$D$204="-","",UPPER(A_Corridor!$D$5:$D$204))),"")</f>
        <v/>
      </c>
      <c r="F983" s="181" t="str">
        <f>IFERROR(LOOKUP(2,1/((A_Corridor!$A$5:$A$204&lt;&gt;"")*(A_Corridor!$A$5:$A$204&lt;=$B983)*(A_Corridor!$B$5:$B$204&gt;$B983)*(A_Corridor!$E$5:$E$204&lt;&gt;"")),IF(A_Corridor!$E$5:$E$204="-","",1)),"")</f>
        <v/>
      </c>
      <c r="G983" s="182" t="str">
        <f>IFERROR(LOOKUP(2,1/((A_Corridor!$A$5:$A$204&lt;&gt;"")*(A_Corridor!$A$5:$A$204&lt;=$B983)*(A_Corridor!$B$5:$B$204&gt;$B983)*(A_Corridor!$E$5:$E$204&lt;&gt;"")),IF(A_Corridor!$E$5:$E$204="-","",A_Corridor!$E$5:$E$204)),"")</f>
        <v/>
      </c>
      <c r="H983" s="182" t="str">
        <f>IFERROR(LOOKUP(2,1/((D_Points!$A$5:$A$204&lt;&gt;"")*(D_Points!$A$5:$A$204&gt;=$B983)*(D_Points!$A$5:$A$204&lt;$B983+P_Interval)*(UPPER(TRIM(D_Points!$B$5:$B$204))="GULLY")*(D_Points!$H$5:$H$204&lt;&gt;"")),D_Points!$H$5:$H$204),"")</f>
        <v/>
      </c>
      <c r="I983" s="181" t="str">
        <f>IFERROR(LOOKUP(2,1/((A_Corridor!$A$5:$A$204&lt;&gt;"")*(A_Corridor!$A$5:$A$204&lt;=$B983)*(A_Corridor!$B$5:$B$204&gt;$B983)*(A_Corridor!$F$5:$F$204&lt;&gt;"")),IF(A_Corridor!$F$5:$F$204="-","",1)),"")</f>
        <v/>
      </c>
      <c r="J983" s="182" t="str">
        <f>IFERROR(LOOKUP(2,1/((A_Corridor!$A$5:$A$204&lt;&gt;"")*(A_Corridor!$A$5:$A$204&lt;=$B983)*(A_Corridor!$B$5:$B$204&gt;$B983)*(A_Corridor!$F$5:$F$204&lt;&gt;"")),IF(A_Corridor!$F$5:$F$204="-","",A_Corridor!$F$5:$F$204)),"")</f>
        <v/>
      </c>
      <c r="K983" s="182" t="str">
        <f>IFERROR(LOOKUP(2,1/((A_Corridor!$A$5:$A$204&lt;&gt;"")*(A_Corridor!$A$5:$A$204&lt;=$B983)*(A_Corridor!$B$5:$B$204&gt;$B983)*(A_Corridor!$G$5:$G$204&lt;&gt;"")),IF(A_Corridor!$G$5:$G$204="-","",A_Corridor!$G$5:$G$204)),"")</f>
        <v/>
      </c>
      <c r="L983" s="181" t="str">
        <f>IFERROR(LOOKUP(2,1/((A_Corridor!$A$5:$A$204&lt;&gt;"")*(A_Corridor!$A$5:$A$204&lt;=$B983)*(A_Corridor!$B$5:$B$204&gt;$B983)*(A_Corridor!$H$5:$H$204&lt;&gt;"")),IF(A_Corridor!$H$5:$H$204="-","",1)),"")</f>
        <v/>
      </c>
      <c r="M983" s="182" t="str">
        <f>IFERROR(LOOKUP(2,1/((A_Corridor!$A$5:$A$204&lt;&gt;"")*(A_Corridor!$A$5:$A$204&lt;=$B983)*(A_Corridor!$B$5:$B$204&gt;$B983)*(A_Corridor!$H$5:$H$204&lt;&gt;"")),IF(A_Corridor!$H$5:$H$204="-","",A_Corridor!$H$5:$H$204)),"")</f>
        <v/>
      </c>
      <c r="N983" s="182" t="str">
        <f>IFERROR(LOOKUP(2,1/((A_Corridor!$A$5:$A$204&lt;&gt;"")*(A_Corridor!$A$5:$A$204&lt;=$B983)*(A_Corridor!$B$5:$B$204&gt;$B983)*(A_Corridor!$I$5:$I$204&lt;&gt;"")),IF(A_Corridor!$I$5:$I$204="-","",A_Corridor!$I$5:$I$204)),"")</f>
        <v/>
      </c>
      <c r="O983" s="182" t="str">
        <f>IFERROR(LOOKUP(2,1/((D_Points!$A$5:$A$204&lt;&gt;"")*(D_Points!$A$5:$A$204&gt;=$B983)*(D_Points!$A$5:$A$204&lt;$B983+P_Interval)*(UPPER(TRIM(D_Points!$B$5:$B$204))="PITCHING")*(D_Points!$H$5:$H$204&lt;&gt;"")),D_Points!$H$5:$H$204),"")</f>
        <v/>
      </c>
      <c r="P983" s="181" t="str">
        <f>IFERROR(LOOKUP(2,1/((B_Drainage!$A$5:$A$204&lt;&gt;"")*(B_Drainage!$A$5:$A$204&lt;=$B983)*(B_Drainage!$B$5:$B$204&gt;$B983)*(B_Drainage!$C$5:$C$204&lt;&gt;"")),IF(B_Drainage!$C$5:$C$204="-","",UPPER(B_Drainage!$C$5:$C$204))),"")</f>
        <v/>
      </c>
      <c r="Q983" s="181" t="str">
        <f>IFERROR(LOOKUP(2,1/((B_Drainage!$A$5:$A$204&lt;&gt;"")*(B_Drainage!$A$5:$A$204&lt;=$B983)*(B_Drainage!$B$5:$B$204&gt;$B983)*(B_Drainage!$D$5:$D$204&lt;&gt;"")),IF(B_Drainage!$D$5:$D$204="-","",UPPER(B_Drainage!$D$5:$D$204))),"")</f>
        <v/>
      </c>
      <c r="R983" s="182" t="str">
        <f>IFERROR(LOOKUP(2,1/((D_Points!$A$5:$A$204&lt;&gt;"")*(D_Points!$A$5:$A$204&gt;=$B983)*(D_Points!$A$5:$A$204&lt;$B983+P_Interval)*(RIGHT(UPPER(TRIM(D_Points!$B$5:$B$204)),8)="_CULVERT")),IF(LEFT(UPPER(TRIM(D_Points!$B$5:$B$204)),2)="EX",1,IF(LEFT(UPPER(TRIM(D_Points!$B$5:$B$204)),2)="PR",2,3))),"")</f>
        <v/>
      </c>
      <c r="S983" s="182" t="str">
        <f>IFERROR(LOOKUP(2,1/((D_Points!$A$5:$A$204&lt;&gt;"")*(D_Points!$A$5:$A$204&gt;=$B983)*(D_Points!$A$5:$A$204&lt;$B983+P_Interval)*(RIGHT(UPPER(TRIM(D_Points!$B$5:$B$204)),7)="_BRIDGE")),IF(LEFT(UPPER(TRIM(D_Points!$B$5:$B$204)),2)="EX",1,IF(LEFT(UPPER(TRIM(D_Points!$B$5:$B$204)),2)="PR",2,2))),"")</f>
        <v/>
      </c>
      <c r="T983" s="181" t="str">
        <f>IFERROR(LOOKUP(2,1/((B_Drainage!$A$5:$A$204&lt;&gt;"")*(B_Drainage!$A$5:$A$204&lt;=$B983)*(B_Drainage!$B$5:$B$204&gt;$B983)*(B_Drainage!$E$5:$E$204&lt;&gt;"")),IF(B_Drainage!$E$5:$E$204="-","",1)),"")</f>
        <v/>
      </c>
      <c r="U983" s="181" t="str">
        <f>IFERROR(LOOKUP(2,1/((B_Drainage!$A$5:$A$204&lt;&gt;"")*(B_Drainage!$A$5:$A$204&lt;=$B983)*(B_Drainage!$B$5:$B$204&gt;$B983)*(B_Drainage!$E$5:$E$204&lt;&gt;"")),IF(B_Drainage!$E$5:$E$204="-","",B_Drainage!$E$5:$E$204)),"")</f>
        <v/>
      </c>
      <c r="V983" s="181" t="str">
        <f>IFERROR(LOOKUP(2,1/((B_Drainage!$A$5:$A$204&lt;&gt;"")*(B_Drainage!$A$5:$A$204&lt;=$B983)*(B_Drainage!$B$5:$B$204&gt;$B983)*(B_Drainage!$F$5:$F$204&lt;&gt;"")),IF(B_Drainage!$F$5:$F$204="-","",1)),"")</f>
        <v/>
      </c>
      <c r="W983" s="181" t="str">
        <f>IFERROR(LOOKUP(2,1/((B_Drainage!$A$5:$A$204&lt;&gt;"")*(B_Drainage!$A$5:$A$204&lt;=$B983)*(B_Drainage!$B$5:$B$204&gt;$B983)*(B_Drainage!$F$5:$F$204&lt;&gt;"")),IF(B_Drainage!$F$5:$F$204="-","",B_Drainage!$F$5:$F$204)),"")</f>
        <v/>
      </c>
      <c r="X983" s="181" t="str">
        <f>IFERROR(LOOKUP(2,1/((B_Drainage!$A$5:$A$204&lt;&gt;"")*(B_Drainage!$A$5:$A$204&lt;=$B983)*(B_Drainage!$B$5:$B$204&gt;$B983)*(B_Drainage!$G$5:$G$204&lt;&gt;"")),IF(UPPER(B_Drainage!$G$5:$G$204)="Y",1,"")),"")</f>
        <v/>
      </c>
      <c r="Y983" s="181" t="str">
        <f>IFERROR(LOOKUP(2,1/((B_Drainage!$A$5:$A$204&lt;&gt;"")*(B_Drainage!$A$5:$A$204&lt;=$B983)*(B_Drainage!$B$5:$B$204&gt;$B983)*(B_Drainage!$H$5:$H$204&lt;&gt;"")),IF(UPPER(B_Drainage!$H$5:$H$204)="Y",1,"")),"")</f>
        <v/>
      </c>
      <c r="Z983" s="181" t="str">
        <f>IFERROR(LOOKUP(2,1/((B_Drainage!$A$5:$A$204&lt;&gt;"")*(B_Drainage!$A$5:$A$204&lt;=$B983)*(B_Drainage!$B$5:$B$204&gt;$B983)*(B_Drainage!$I$5:$I$204&lt;&gt;"")),IF(UPPER(B_Drainage!$I$5:$I$204)="Y",1,"")),"")</f>
        <v/>
      </c>
      <c r="AA983" s="181" t="str">
        <f>IFERROR(LOOKUP(2,1/((B_Drainage!$A$5:$A$204&lt;&gt;"")*(B_Drainage!$A$5:$A$204&lt;=$B983)*(B_Drainage!$B$5:$B$204&gt;$B983)*(B_Drainage!$J$5:$J$204&lt;&gt;"")),IF(UPPER(B_Drainage!$J$5:$J$204)="Y",1,"")),"")</f>
        <v/>
      </c>
      <c r="AB983" s="182" t="str">
        <f>IFERROR(LOOKUP(2,1/((B_Drainage!$A$5:$A$204&lt;&gt;"")*(B_Drainage!$A$5:$A$204&lt;=$B983)*(B_Drainage!$B$5:$B$204&gt;$B983)*(B_Drainage!$K$5:$K$204&lt;&gt;"")),IF(B_Drainage!$K$5:$K$204="-","",B_Drainage!$K$5:$K$204)),"")</f>
        <v/>
      </c>
      <c r="AC983" s="182" t="str">
        <f>IFERROR(LOOKUP(2,1/((B_Drainage!$A$5:$A$204&lt;&gt;"")*(B_Drainage!$A$5:$A$204&lt;=$B983)*(B_Drainage!$B$5:$B$204&gt;$B983)*(B_Drainage!$L$5:$L$204&lt;&gt;"")),IF(B_Drainage!$L$5:$L$204="-","",B_Drainage!$L$5:$L$204)),"")</f>
        <v/>
      </c>
      <c r="AD983" s="182" t="str">
        <f>IFERROR(LOOKUP(2,1/((D_Points!$A$5:$A$204&lt;&gt;"")*(D_Points!$A$5:$A$204&gt;=$B983)*(D_Points!$A$5:$A$204&lt;$B983+P_Interval)*(UPPER(TRIM(D_Points!$B$5:$B$204))="TURNOUT_L")*(D_Points!$H$5:$H$204&lt;&gt;"")),D_Points!$H$5:$H$204),"")</f>
        <v/>
      </c>
      <c r="AE983" s="182" t="str">
        <f>IFERROR(LOOKUP(2,1/((D_Points!$A$5:$A$204&lt;&gt;"")*(D_Points!$A$5:$A$204&gt;=$B983)*(D_Points!$A$5:$A$204&lt;$B983+P_Interval)*(UPPER(TRIM(D_Points!$B$5:$B$204))="TURNOUT_R")*(D_Points!$H$5:$H$204&lt;&gt;"")),D_Points!$H$5:$H$204),"")</f>
        <v/>
      </c>
      <c r="AF983" s="181" t="str">
        <f>IFERROR(LOOKUP(2,1/((B_Drainage!$A$5:$A$204&lt;&gt;"")*(B_Drainage!$A$5:$A$204&lt;=$B983)*(B_Drainage!$B$5:$B$204&gt;$B983)*(B_Drainage!$M$5:$M$204&lt;&gt;"")),IF(UPPER(B_Drainage!$M$5:$M$204)="Y",1,"")),"")</f>
        <v/>
      </c>
      <c r="AG983" s="181" t="str">
        <f>IFERROR(LOOKUP(2,1/((B_Drainage!$A$5:$A$204&lt;&gt;"")*(B_Drainage!$A$5:$A$204&lt;=$B983)*(B_Drainage!$B$5:$B$204&gt;$B983)*(B_Drainage!$N$5:$N$204&lt;&gt;"")),IF(UPPER(B_Drainage!$N$5:$N$204)="Y",1,"")),"")</f>
        <v/>
      </c>
      <c r="AH983" s="181" t="str">
        <f t="shared" si="120"/>
        <v/>
      </c>
      <c r="AI983" s="181" t="str">
        <f t="shared" si="121"/>
        <v/>
      </c>
      <c r="AJ983" s="181" t="str">
        <f t="shared" si="122"/>
        <v/>
      </c>
      <c r="AK983" s="181" t="str">
        <f t="shared" si="123"/>
        <v/>
      </c>
      <c r="AL983" s="181" t="str">
        <f t="shared" si="124"/>
        <v/>
      </c>
      <c r="AM983" s="181" t="str">
        <f t="shared" si="125"/>
        <v/>
      </c>
      <c r="AN983" s="181" t="str">
        <f t="shared" si="126"/>
        <v/>
      </c>
      <c r="AO983" s="192" t="str">
        <f t="shared" si="127"/>
        <v/>
      </c>
      <c r="AQ983" t="str">
        <f>IFERROR(LOOKUP(2,1/((C_Pavement!$A$5:$A$204&lt;&gt;"")*(C_Pavement!$A$5:$A$204&lt;=$B983)*(C_Pavement!$B$5:$B$204&gt;$B983)*(C_Pavement!$C$5:$C$204&lt;&gt;"")),ROW(C_Pavement!$C$5:$C$204)-4),"")</f>
        <v/>
      </c>
      <c r="AR983" t="str">
        <f>IF($AQ983="","",UPPER(TRIM(INDEX(C_Pavement!$C$5:$C$204,$AQ983))))</f>
        <v/>
      </c>
      <c r="AS983" t="str">
        <f>IF($AR983="","",IFERROR(MATCH($AR983,E_Rules!$A$5:$A$9,0),""))</f>
        <v/>
      </c>
      <c r="AT983" t="str">
        <f>IF($AQ983="","",IF(INDEX(C_Pavement!$D$5:$D$204,$AQ983)&lt;&gt;"",UPPER(TRIM(INDEX(C_Pavement!$D$5:$D$204,$AQ983))),IF($AS983="","",INDEX(E_Rules!$C$5:$C$9,$AS983))))</f>
        <v/>
      </c>
      <c r="AU983" t="str">
        <f>IF($AQ983="","",IF(INDEX(C_Pavement!$E$5:$E$204,$AQ983)&lt;&gt;"",IF(INDEX(C_Pavement!$E$5:$E$204,$AQ983)="-","",INDEX(C_Pavement!$E$5:$E$204,$AQ983)),IF($AS983="","",INDEX(E_Rules!$D$5:$D$9,$AS983))))</f>
        <v/>
      </c>
      <c r="AV983" t="str">
        <f>IF($AQ983="","",IF(INDEX(C_Pavement!$F$5:$F$204,$AQ983)&lt;&gt;"",IF(INDEX(C_Pavement!$F$5:$F$204,$AQ983)="-","",INDEX(C_Pavement!$F$5:$F$204,$AQ983)),IF($AS983="","",INDEX(E_Rules!$E$5:$E$9,$AS983))))</f>
        <v/>
      </c>
      <c r="AW983" t="str">
        <f>IF($AQ983="","",IF(INDEX(C_Pavement!$G$5:$G$204,$AQ983)&lt;&gt;"",IF(INDEX(C_Pavement!$G$5:$G$204,$AQ983)="-","",INDEX(C_Pavement!$G$5:$G$204,$AQ983)),IF($AS983="","",INDEX(E_Rules!$F$5:$F$9,$AS983))))</f>
        <v/>
      </c>
      <c r="AX983" t="str">
        <f>IF($AQ983="","",IF(INDEX(C_Pavement!$H$5:$H$204,$AQ983)&lt;&gt;"",IF(INDEX(C_Pavement!$H$5:$H$204,$AQ983)="-","",INDEX(C_Pavement!$H$5:$H$204,$AQ983)),IF($AS983="","",INDEX(E_Rules!$G$5:$G$9,$AS983))))</f>
        <v/>
      </c>
      <c r="AY983" t="str">
        <f>IF($AQ983="","",IF(INDEX(C_Pavement!$I$5:$I$204,$AQ983)&lt;&gt;"",IF(INDEX(C_Pavement!$I$5:$I$204,$AQ983)="-","",INDEX(C_Pavement!$I$5:$I$204,$AQ983)),IF($AS983="","",INDEX(E_Rules!$H$5:$H$9,$AS983))))</f>
        <v/>
      </c>
    </row>
    <row r="984" spans="1:51" ht="15.75" customHeight="1" x14ac:dyDescent="0.3">
      <c r="A984" s="189">
        <v>979</v>
      </c>
      <c r="B984" s="180">
        <v>48900</v>
      </c>
      <c r="C984" s="180" t="s">
        <v>1290</v>
      </c>
      <c r="D984" s="181" t="str">
        <f>IFERROR(LOOKUP(2,1/((A_Corridor!$A$5:$A$204&lt;&gt;"")*(A_Corridor!$A$5:$A$204&lt;=$B984)*(A_Corridor!$B$5:$B$204&gt;$B984)*(A_Corridor!$C$5:$C$204&lt;&gt;"")),IF(UPPER(A_Corridor!$C$5:$C$204)="Y",1,"")),"")</f>
        <v/>
      </c>
      <c r="E984" s="181" t="str">
        <f>IFERROR(LOOKUP(2,1/((A_Corridor!$A$5:$A$204&lt;&gt;"")*(A_Corridor!$A$5:$A$204&lt;=$B984)*(A_Corridor!$B$5:$B$204&gt;$B984)*(A_Corridor!$D$5:$D$204&lt;&gt;"")),IF(A_Corridor!$D$5:$D$204="-","",UPPER(A_Corridor!$D$5:$D$204))),"")</f>
        <v/>
      </c>
      <c r="F984" s="181" t="str">
        <f>IFERROR(LOOKUP(2,1/((A_Corridor!$A$5:$A$204&lt;&gt;"")*(A_Corridor!$A$5:$A$204&lt;=$B984)*(A_Corridor!$B$5:$B$204&gt;$B984)*(A_Corridor!$E$5:$E$204&lt;&gt;"")),IF(A_Corridor!$E$5:$E$204="-","",1)),"")</f>
        <v/>
      </c>
      <c r="G984" s="182" t="str">
        <f>IFERROR(LOOKUP(2,1/((A_Corridor!$A$5:$A$204&lt;&gt;"")*(A_Corridor!$A$5:$A$204&lt;=$B984)*(A_Corridor!$B$5:$B$204&gt;$B984)*(A_Corridor!$E$5:$E$204&lt;&gt;"")),IF(A_Corridor!$E$5:$E$204="-","",A_Corridor!$E$5:$E$204)),"")</f>
        <v/>
      </c>
      <c r="H984" s="182" t="str">
        <f>IFERROR(LOOKUP(2,1/((D_Points!$A$5:$A$204&lt;&gt;"")*(D_Points!$A$5:$A$204&gt;=$B984)*(D_Points!$A$5:$A$204&lt;$B984+P_Interval)*(UPPER(TRIM(D_Points!$B$5:$B$204))="GULLY")*(D_Points!$H$5:$H$204&lt;&gt;"")),D_Points!$H$5:$H$204),"")</f>
        <v/>
      </c>
      <c r="I984" s="181" t="str">
        <f>IFERROR(LOOKUP(2,1/((A_Corridor!$A$5:$A$204&lt;&gt;"")*(A_Corridor!$A$5:$A$204&lt;=$B984)*(A_Corridor!$B$5:$B$204&gt;$B984)*(A_Corridor!$F$5:$F$204&lt;&gt;"")),IF(A_Corridor!$F$5:$F$204="-","",1)),"")</f>
        <v/>
      </c>
      <c r="J984" s="182" t="str">
        <f>IFERROR(LOOKUP(2,1/((A_Corridor!$A$5:$A$204&lt;&gt;"")*(A_Corridor!$A$5:$A$204&lt;=$B984)*(A_Corridor!$B$5:$B$204&gt;$B984)*(A_Corridor!$F$5:$F$204&lt;&gt;"")),IF(A_Corridor!$F$5:$F$204="-","",A_Corridor!$F$5:$F$204)),"")</f>
        <v/>
      </c>
      <c r="K984" s="182" t="str">
        <f>IFERROR(LOOKUP(2,1/((A_Corridor!$A$5:$A$204&lt;&gt;"")*(A_Corridor!$A$5:$A$204&lt;=$B984)*(A_Corridor!$B$5:$B$204&gt;$B984)*(A_Corridor!$G$5:$G$204&lt;&gt;"")),IF(A_Corridor!$G$5:$G$204="-","",A_Corridor!$G$5:$G$204)),"")</f>
        <v/>
      </c>
      <c r="L984" s="181" t="str">
        <f>IFERROR(LOOKUP(2,1/((A_Corridor!$A$5:$A$204&lt;&gt;"")*(A_Corridor!$A$5:$A$204&lt;=$B984)*(A_Corridor!$B$5:$B$204&gt;$B984)*(A_Corridor!$H$5:$H$204&lt;&gt;"")),IF(A_Corridor!$H$5:$H$204="-","",1)),"")</f>
        <v/>
      </c>
      <c r="M984" s="182" t="str">
        <f>IFERROR(LOOKUP(2,1/((A_Corridor!$A$5:$A$204&lt;&gt;"")*(A_Corridor!$A$5:$A$204&lt;=$B984)*(A_Corridor!$B$5:$B$204&gt;$B984)*(A_Corridor!$H$5:$H$204&lt;&gt;"")),IF(A_Corridor!$H$5:$H$204="-","",A_Corridor!$H$5:$H$204)),"")</f>
        <v/>
      </c>
      <c r="N984" s="182" t="str">
        <f>IFERROR(LOOKUP(2,1/((A_Corridor!$A$5:$A$204&lt;&gt;"")*(A_Corridor!$A$5:$A$204&lt;=$B984)*(A_Corridor!$B$5:$B$204&gt;$B984)*(A_Corridor!$I$5:$I$204&lt;&gt;"")),IF(A_Corridor!$I$5:$I$204="-","",A_Corridor!$I$5:$I$204)),"")</f>
        <v/>
      </c>
      <c r="O984" s="182" t="str">
        <f>IFERROR(LOOKUP(2,1/((D_Points!$A$5:$A$204&lt;&gt;"")*(D_Points!$A$5:$A$204&gt;=$B984)*(D_Points!$A$5:$A$204&lt;$B984+P_Interval)*(UPPER(TRIM(D_Points!$B$5:$B$204))="PITCHING")*(D_Points!$H$5:$H$204&lt;&gt;"")),D_Points!$H$5:$H$204),"")</f>
        <v/>
      </c>
      <c r="P984" s="181" t="str">
        <f>IFERROR(LOOKUP(2,1/((B_Drainage!$A$5:$A$204&lt;&gt;"")*(B_Drainage!$A$5:$A$204&lt;=$B984)*(B_Drainage!$B$5:$B$204&gt;$B984)*(B_Drainage!$C$5:$C$204&lt;&gt;"")),IF(B_Drainage!$C$5:$C$204="-","",UPPER(B_Drainage!$C$5:$C$204))),"")</f>
        <v/>
      </c>
      <c r="Q984" s="181" t="str">
        <f>IFERROR(LOOKUP(2,1/((B_Drainage!$A$5:$A$204&lt;&gt;"")*(B_Drainage!$A$5:$A$204&lt;=$B984)*(B_Drainage!$B$5:$B$204&gt;$B984)*(B_Drainage!$D$5:$D$204&lt;&gt;"")),IF(B_Drainage!$D$5:$D$204="-","",UPPER(B_Drainage!$D$5:$D$204))),"")</f>
        <v/>
      </c>
      <c r="R984" s="182" t="str">
        <f>IFERROR(LOOKUP(2,1/((D_Points!$A$5:$A$204&lt;&gt;"")*(D_Points!$A$5:$A$204&gt;=$B984)*(D_Points!$A$5:$A$204&lt;$B984+P_Interval)*(RIGHT(UPPER(TRIM(D_Points!$B$5:$B$204)),8)="_CULVERT")),IF(LEFT(UPPER(TRIM(D_Points!$B$5:$B$204)),2)="EX",1,IF(LEFT(UPPER(TRIM(D_Points!$B$5:$B$204)),2)="PR",2,3))),"")</f>
        <v/>
      </c>
      <c r="S984" s="182" t="str">
        <f>IFERROR(LOOKUP(2,1/((D_Points!$A$5:$A$204&lt;&gt;"")*(D_Points!$A$5:$A$204&gt;=$B984)*(D_Points!$A$5:$A$204&lt;$B984+P_Interval)*(RIGHT(UPPER(TRIM(D_Points!$B$5:$B$204)),7)="_BRIDGE")),IF(LEFT(UPPER(TRIM(D_Points!$B$5:$B$204)),2)="EX",1,IF(LEFT(UPPER(TRIM(D_Points!$B$5:$B$204)),2)="PR",2,2))),"")</f>
        <v/>
      </c>
      <c r="T984" s="181" t="str">
        <f>IFERROR(LOOKUP(2,1/((B_Drainage!$A$5:$A$204&lt;&gt;"")*(B_Drainage!$A$5:$A$204&lt;=$B984)*(B_Drainage!$B$5:$B$204&gt;$B984)*(B_Drainage!$E$5:$E$204&lt;&gt;"")),IF(B_Drainage!$E$5:$E$204="-","",1)),"")</f>
        <v/>
      </c>
      <c r="U984" s="181" t="str">
        <f>IFERROR(LOOKUP(2,1/((B_Drainage!$A$5:$A$204&lt;&gt;"")*(B_Drainage!$A$5:$A$204&lt;=$B984)*(B_Drainage!$B$5:$B$204&gt;$B984)*(B_Drainage!$E$5:$E$204&lt;&gt;"")),IF(B_Drainage!$E$5:$E$204="-","",B_Drainage!$E$5:$E$204)),"")</f>
        <v/>
      </c>
      <c r="V984" s="181" t="str">
        <f>IFERROR(LOOKUP(2,1/((B_Drainage!$A$5:$A$204&lt;&gt;"")*(B_Drainage!$A$5:$A$204&lt;=$B984)*(B_Drainage!$B$5:$B$204&gt;$B984)*(B_Drainage!$F$5:$F$204&lt;&gt;"")),IF(B_Drainage!$F$5:$F$204="-","",1)),"")</f>
        <v/>
      </c>
      <c r="W984" s="181" t="str">
        <f>IFERROR(LOOKUP(2,1/((B_Drainage!$A$5:$A$204&lt;&gt;"")*(B_Drainage!$A$5:$A$204&lt;=$B984)*(B_Drainage!$B$5:$B$204&gt;$B984)*(B_Drainage!$F$5:$F$204&lt;&gt;"")),IF(B_Drainage!$F$5:$F$204="-","",B_Drainage!$F$5:$F$204)),"")</f>
        <v/>
      </c>
      <c r="X984" s="181" t="str">
        <f>IFERROR(LOOKUP(2,1/((B_Drainage!$A$5:$A$204&lt;&gt;"")*(B_Drainage!$A$5:$A$204&lt;=$B984)*(B_Drainage!$B$5:$B$204&gt;$B984)*(B_Drainage!$G$5:$G$204&lt;&gt;"")),IF(UPPER(B_Drainage!$G$5:$G$204)="Y",1,"")),"")</f>
        <v/>
      </c>
      <c r="Y984" s="181" t="str">
        <f>IFERROR(LOOKUP(2,1/((B_Drainage!$A$5:$A$204&lt;&gt;"")*(B_Drainage!$A$5:$A$204&lt;=$B984)*(B_Drainage!$B$5:$B$204&gt;$B984)*(B_Drainage!$H$5:$H$204&lt;&gt;"")),IF(UPPER(B_Drainage!$H$5:$H$204)="Y",1,"")),"")</f>
        <v/>
      </c>
      <c r="Z984" s="181" t="str">
        <f>IFERROR(LOOKUP(2,1/((B_Drainage!$A$5:$A$204&lt;&gt;"")*(B_Drainage!$A$5:$A$204&lt;=$B984)*(B_Drainage!$B$5:$B$204&gt;$B984)*(B_Drainage!$I$5:$I$204&lt;&gt;"")),IF(UPPER(B_Drainage!$I$5:$I$204)="Y",1,"")),"")</f>
        <v/>
      </c>
      <c r="AA984" s="181" t="str">
        <f>IFERROR(LOOKUP(2,1/((B_Drainage!$A$5:$A$204&lt;&gt;"")*(B_Drainage!$A$5:$A$204&lt;=$B984)*(B_Drainage!$B$5:$B$204&gt;$B984)*(B_Drainage!$J$5:$J$204&lt;&gt;"")),IF(UPPER(B_Drainage!$J$5:$J$204)="Y",1,"")),"")</f>
        <v/>
      </c>
      <c r="AB984" s="182" t="str">
        <f>IFERROR(LOOKUP(2,1/((B_Drainage!$A$5:$A$204&lt;&gt;"")*(B_Drainage!$A$5:$A$204&lt;=$B984)*(B_Drainage!$B$5:$B$204&gt;$B984)*(B_Drainage!$K$5:$K$204&lt;&gt;"")),IF(B_Drainage!$K$5:$K$204="-","",B_Drainage!$K$5:$K$204)),"")</f>
        <v/>
      </c>
      <c r="AC984" s="182" t="str">
        <f>IFERROR(LOOKUP(2,1/((B_Drainage!$A$5:$A$204&lt;&gt;"")*(B_Drainage!$A$5:$A$204&lt;=$B984)*(B_Drainage!$B$5:$B$204&gt;$B984)*(B_Drainage!$L$5:$L$204&lt;&gt;"")),IF(B_Drainage!$L$5:$L$204="-","",B_Drainage!$L$5:$L$204)),"")</f>
        <v/>
      </c>
      <c r="AD984" s="182" t="str">
        <f>IFERROR(LOOKUP(2,1/((D_Points!$A$5:$A$204&lt;&gt;"")*(D_Points!$A$5:$A$204&gt;=$B984)*(D_Points!$A$5:$A$204&lt;$B984+P_Interval)*(UPPER(TRIM(D_Points!$B$5:$B$204))="TURNOUT_L")*(D_Points!$H$5:$H$204&lt;&gt;"")),D_Points!$H$5:$H$204),"")</f>
        <v/>
      </c>
      <c r="AE984" s="182" t="str">
        <f>IFERROR(LOOKUP(2,1/((D_Points!$A$5:$A$204&lt;&gt;"")*(D_Points!$A$5:$A$204&gt;=$B984)*(D_Points!$A$5:$A$204&lt;$B984+P_Interval)*(UPPER(TRIM(D_Points!$B$5:$B$204))="TURNOUT_R")*(D_Points!$H$5:$H$204&lt;&gt;"")),D_Points!$H$5:$H$204),"")</f>
        <v/>
      </c>
      <c r="AF984" s="181" t="str">
        <f>IFERROR(LOOKUP(2,1/((B_Drainage!$A$5:$A$204&lt;&gt;"")*(B_Drainage!$A$5:$A$204&lt;=$B984)*(B_Drainage!$B$5:$B$204&gt;$B984)*(B_Drainage!$M$5:$M$204&lt;&gt;"")),IF(UPPER(B_Drainage!$M$5:$M$204)="Y",1,"")),"")</f>
        <v/>
      </c>
      <c r="AG984" s="181" t="str">
        <f>IFERROR(LOOKUP(2,1/((B_Drainage!$A$5:$A$204&lt;&gt;"")*(B_Drainage!$A$5:$A$204&lt;=$B984)*(B_Drainage!$B$5:$B$204&gt;$B984)*(B_Drainage!$N$5:$N$204&lt;&gt;"")),IF(UPPER(B_Drainage!$N$5:$N$204)="Y",1,"")),"")</f>
        <v/>
      </c>
      <c r="AH984" s="181" t="str">
        <f t="shared" si="120"/>
        <v/>
      </c>
      <c r="AI984" s="181" t="str">
        <f t="shared" si="121"/>
        <v/>
      </c>
      <c r="AJ984" s="181" t="str">
        <f t="shared" si="122"/>
        <v/>
      </c>
      <c r="AK984" s="181" t="str">
        <f t="shared" si="123"/>
        <v/>
      </c>
      <c r="AL984" s="181" t="str">
        <f t="shared" si="124"/>
        <v/>
      </c>
      <c r="AM984" s="181" t="str">
        <f t="shared" si="125"/>
        <v/>
      </c>
      <c r="AN984" s="181" t="str">
        <f t="shared" si="126"/>
        <v/>
      </c>
      <c r="AO984" s="192" t="str">
        <f t="shared" si="127"/>
        <v/>
      </c>
      <c r="AQ984" t="str">
        <f>IFERROR(LOOKUP(2,1/((C_Pavement!$A$5:$A$204&lt;&gt;"")*(C_Pavement!$A$5:$A$204&lt;=$B984)*(C_Pavement!$B$5:$B$204&gt;$B984)*(C_Pavement!$C$5:$C$204&lt;&gt;"")),ROW(C_Pavement!$C$5:$C$204)-4),"")</f>
        <v/>
      </c>
      <c r="AR984" t="str">
        <f>IF($AQ984="","",UPPER(TRIM(INDEX(C_Pavement!$C$5:$C$204,$AQ984))))</f>
        <v/>
      </c>
      <c r="AS984" t="str">
        <f>IF($AR984="","",IFERROR(MATCH($AR984,E_Rules!$A$5:$A$9,0),""))</f>
        <v/>
      </c>
      <c r="AT984" t="str">
        <f>IF($AQ984="","",IF(INDEX(C_Pavement!$D$5:$D$204,$AQ984)&lt;&gt;"",UPPER(TRIM(INDEX(C_Pavement!$D$5:$D$204,$AQ984))),IF($AS984="","",INDEX(E_Rules!$C$5:$C$9,$AS984))))</f>
        <v/>
      </c>
      <c r="AU984" t="str">
        <f>IF($AQ984="","",IF(INDEX(C_Pavement!$E$5:$E$204,$AQ984)&lt;&gt;"",IF(INDEX(C_Pavement!$E$5:$E$204,$AQ984)="-","",INDEX(C_Pavement!$E$5:$E$204,$AQ984)),IF($AS984="","",INDEX(E_Rules!$D$5:$D$9,$AS984))))</f>
        <v/>
      </c>
      <c r="AV984" t="str">
        <f>IF($AQ984="","",IF(INDEX(C_Pavement!$F$5:$F$204,$AQ984)&lt;&gt;"",IF(INDEX(C_Pavement!$F$5:$F$204,$AQ984)="-","",INDEX(C_Pavement!$F$5:$F$204,$AQ984)),IF($AS984="","",INDEX(E_Rules!$E$5:$E$9,$AS984))))</f>
        <v/>
      </c>
      <c r="AW984" t="str">
        <f>IF($AQ984="","",IF(INDEX(C_Pavement!$G$5:$G$204,$AQ984)&lt;&gt;"",IF(INDEX(C_Pavement!$G$5:$G$204,$AQ984)="-","",INDEX(C_Pavement!$G$5:$G$204,$AQ984)),IF($AS984="","",INDEX(E_Rules!$F$5:$F$9,$AS984))))</f>
        <v/>
      </c>
      <c r="AX984" t="str">
        <f>IF($AQ984="","",IF(INDEX(C_Pavement!$H$5:$H$204,$AQ984)&lt;&gt;"",IF(INDEX(C_Pavement!$H$5:$H$204,$AQ984)="-","",INDEX(C_Pavement!$H$5:$H$204,$AQ984)),IF($AS984="","",INDEX(E_Rules!$G$5:$G$9,$AS984))))</f>
        <v/>
      </c>
      <c r="AY984" t="str">
        <f>IF($AQ984="","",IF(INDEX(C_Pavement!$I$5:$I$204,$AQ984)&lt;&gt;"",IF(INDEX(C_Pavement!$I$5:$I$204,$AQ984)="-","",INDEX(C_Pavement!$I$5:$I$204,$AQ984)),IF($AS984="","",INDEX(E_Rules!$H$5:$H$9,$AS984))))</f>
        <v/>
      </c>
    </row>
    <row r="985" spans="1:51" ht="15.75" customHeight="1" x14ac:dyDescent="0.3">
      <c r="A985" s="189">
        <v>980</v>
      </c>
      <c r="B985" s="180">
        <v>48950</v>
      </c>
      <c r="C985" s="180" t="s">
        <v>1291</v>
      </c>
      <c r="D985" s="181" t="str">
        <f>IFERROR(LOOKUP(2,1/((A_Corridor!$A$5:$A$204&lt;&gt;"")*(A_Corridor!$A$5:$A$204&lt;=$B985)*(A_Corridor!$B$5:$B$204&gt;$B985)*(A_Corridor!$C$5:$C$204&lt;&gt;"")),IF(UPPER(A_Corridor!$C$5:$C$204)="Y",1,"")),"")</f>
        <v/>
      </c>
      <c r="E985" s="181" t="str">
        <f>IFERROR(LOOKUP(2,1/((A_Corridor!$A$5:$A$204&lt;&gt;"")*(A_Corridor!$A$5:$A$204&lt;=$B985)*(A_Corridor!$B$5:$B$204&gt;$B985)*(A_Corridor!$D$5:$D$204&lt;&gt;"")),IF(A_Corridor!$D$5:$D$204="-","",UPPER(A_Corridor!$D$5:$D$204))),"")</f>
        <v/>
      </c>
      <c r="F985" s="181" t="str">
        <f>IFERROR(LOOKUP(2,1/((A_Corridor!$A$5:$A$204&lt;&gt;"")*(A_Corridor!$A$5:$A$204&lt;=$B985)*(A_Corridor!$B$5:$B$204&gt;$B985)*(A_Corridor!$E$5:$E$204&lt;&gt;"")),IF(A_Corridor!$E$5:$E$204="-","",1)),"")</f>
        <v/>
      </c>
      <c r="G985" s="182" t="str">
        <f>IFERROR(LOOKUP(2,1/((A_Corridor!$A$5:$A$204&lt;&gt;"")*(A_Corridor!$A$5:$A$204&lt;=$B985)*(A_Corridor!$B$5:$B$204&gt;$B985)*(A_Corridor!$E$5:$E$204&lt;&gt;"")),IF(A_Corridor!$E$5:$E$204="-","",A_Corridor!$E$5:$E$204)),"")</f>
        <v/>
      </c>
      <c r="H985" s="182" t="str">
        <f>IFERROR(LOOKUP(2,1/((D_Points!$A$5:$A$204&lt;&gt;"")*(D_Points!$A$5:$A$204&gt;=$B985)*(D_Points!$A$5:$A$204&lt;$B985+P_Interval)*(UPPER(TRIM(D_Points!$B$5:$B$204))="GULLY")*(D_Points!$H$5:$H$204&lt;&gt;"")),D_Points!$H$5:$H$204),"")</f>
        <v/>
      </c>
      <c r="I985" s="181" t="str">
        <f>IFERROR(LOOKUP(2,1/((A_Corridor!$A$5:$A$204&lt;&gt;"")*(A_Corridor!$A$5:$A$204&lt;=$B985)*(A_Corridor!$B$5:$B$204&gt;$B985)*(A_Corridor!$F$5:$F$204&lt;&gt;"")),IF(A_Corridor!$F$5:$F$204="-","",1)),"")</f>
        <v/>
      </c>
      <c r="J985" s="182" t="str">
        <f>IFERROR(LOOKUP(2,1/((A_Corridor!$A$5:$A$204&lt;&gt;"")*(A_Corridor!$A$5:$A$204&lt;=$B985)*(A_Corridor!$B$5:$B$204&gt;$B985)*(A_Corridor!$F$5:$F$204&lt;&gt;"")),IF(A_Corridor!$F$5:$F$204="-","",A_Corridor!$F$5:$F$204)),"")</f>
        <v/>
      </c>
      <c r="K985" s="182" t="str">
        <f>IFERROR(LOOKUP(2,1/((A_Corridor!$A$5:$A$204&lt;&gt;"")*(A_Corridor!$A$5:$A$204&lt;=$B985)*(A_Corridor!$B$5:$B$204&gt;$B985)*(A_Corridor!$G$5:$G$204&lt;&gt;"")),IF(A_Corridor!$G$5:$G$204="-","",A_Corridor!$G$5:$G$204)),"")</f>
        <v/>
      </c>
      <c r="L985" s="181" t="str">
        <f>IFERROR(LOOKUP(2,1/((A_Corridor!$A$5:$A$204&lt;&gt;"")*(A_Corridor!$A$5:$A$204&lt;=$B985)*(A_Corridor!$B$5:$B$204&gt;$B985)*(A_Corridor!$H$5:$H$204&lt;&gt;"")),IF(A_Corridor!$H$5:$H$204="-","",1)),"")</f>
        <v/>
      </c>
      <c r="M985" s="182" t="str">
        <f>IFERROR(LOOKUP(2,1/((A_Corridor!$A$5:$A$204&lt;&gt;"")*(A_Corridor!$A$5:$A$204&lt;=$B985)*(A_Corridor!$B$5:$B$204&gt;$B985)*(A_Corridor!$H$5:$H$204&lt;&gt;"")),IF(A_Corridor!$H$5:$H$204="-","",A_Corridor!$H$5:$H$204)),"")</f>
        <v/>
      </c>
      <c r="N985" s="182" t="str">
        <f>IFERROR(LOOKUP(2,1/((A_Corridor!$A$5:$A$204&lt;&gt;"")*(A_Corridor!$A$5:$A$204&lt;=$B985)*(A_Corridor!$B$5:$B$204&gt;$B985)*(A_Corridor!$I$5:$I$204&lt;&gt;"")),IF(A_Corridor!$I$5:$I$204="-","",A_Corridor!$I$5:$I$204)),"")</f>
        <v/>
      </c>
      <c r="O985" s="182" t="str">
        <f>IFERROR(LOOKUP(2,1/((D_Points!$A$5:$A$204&lt;&gt;"")*(D_Points!$A$5:$A$204&gt;=$B985)*(D_Points!$A$5:$A$204&lt;$B985+P_Interval)*(UPPER(TRIM(D_Points!$B$5:$B$204))="PITCHING")*(D_Points!$H$5:$H$204&lt;&gt;"")),D_Points!$H$5:$H$204),"")</f>
        <v/>
      </c>
      <c r="P985" s="181" t="str">
        <f>IFERROR(LOOKUP(2,1/((B_Drainage!$A$5:$A$204&lt;&gt;"")*(B_Drainage!$A$5:$A$204&lt;=$B985)*(B_Drainage!$B$5:$B$204&gt;$B985)*(B_Drainage!$C$5:$C$204&lt;&gt;"")),IF(B_Drainage!$C$5:$C$204="-","",UPPER(B_Drainage!$C$5:$C$204))),"")</f>
        <v/>
      </c>
      <c r="Q985" s="181" t="str">
        <f>IFERROR(LOOKUP(2,1/((B_Drainage!$A$5:$A$204&lt;&gt;"")*(B_Drainage!$A$5:$A$204&lt;=$B985)*(B_Drainage!$B$5:$B$204&gt;$B985)*(B_Drainage!$D$5:$D$204&lt;&gt;"")),IF(B_Drainage!$D$5:$D$204="-","",UPPER(B_Drainage!$D$5:$D$204))),"")</f>
        <v/>
      </c>
      <c r="R985" s="182" t="str">
        <f>IFERROR(LOOKUP(2,1/((D_Points!$A$5:$A$204&lt;&gt;"")*(D_Points!$A$5:$A$204&gt;=$B985)*(D_Points!$A$5:$A$204&lt;$B985+P_Interval)*(RIGHT(UPPER(TRIM(D_Points!$B$5:$B$204)),8)="_CULVERT")),IF(LEFT(UPPER(TRIM(D_Points!$B$5:$B$204)),2)="EX",1,IF(LEFT(UPPER(TRIM(D_Points!$B$5:$B$204)),2)="PR",2,3))),"")</f>
        <v/>
      </c>
      <c r="S985" s="182" t="str">
        <f>IFERROR(LOOKUP(2,1/((D_Points!$A$5:$A$204&lt;&gt;"")*(D_Points!$A$5:$A$204&gt;=$B985)*(D_Points!$A$5:$A$204&lt;$B985+P_Interval)*(RIGHT(UPPER(TRIM(D_Points!$B$5:$B$204)),7)="_BRIDGE")),IF(LEFT(UPPER(TRIM(D_Points!$B$5:$B$204)),2)="EX",1,IF(LEFT(UPPER(TRIM(D_Points!$B$5:$B$204)),2)="PR",2,2))),"")</f>
        <v/>
      </c>
      <c r="T985" s="181" t="str">
        <f>IFERROR(LOOKUP(2,1/((B_Drainage!$A$5:$A$204&lt;&gt;"")*(B_Drainage!$A$5:$A$204&lt;=$B985)*(B_Drainage!$B$5:$B$204&gt;$B985)*(B_Drainage!$E$5:$E$204&lt;&gt;"")),IF(B_Drainage!$E$5:$E$204="-","",1)),"")</f>
        <v/>
      </c>
      <c r="U985" s="181" t="str">
        <f>IFERROR(LOOKUP(2,1/((B_Drainage!$A$5:$A$204&lt;&gt;"")*(B_Drainage!$A$5:$A$204&lt;=$B985)*(B_Drainage!$B$5:$B$204&gt;$B985)*(B_Drainage!$E$5:$E$204&lt;&gt;"")),IF(B_Drainage!$E$5:$E$204="-","",B_Drainage!$E$5:$E$204)),"")</f>
        <v/>
      </c>
      <c r="V985" s="181" t="str">
        <f>IFERROR(LOOKUP(2,1/((B_Drainage!$A$5:$A$204&lt;&gt;"")*(B_Drainage!$A$5:$A$204&lt;=$B985)*(B_Drainage!$B$5:$B$204&gt;$B985)*(B_Drainage!$F$5:$F$204&lt;&gt;"")),IF(B_Drainage!$F$5:$F$204="-","",1)),"")</f>
        <v/>
      </c>
      <c r="W985" s="181" t="str">
        <f>IFERROR(LOOKUP(2,1/((B_Drainage!$A$5:$A$204&lt;&gt;"")*(B_Drainage!$A$5:$A$204&lt;=$B985)*(B_Drainage!$B$5:$B$204&gt;$B985)*(B_Drainage!$F$5:$F$204&lt;&gt;"")),IF(B_Drainage!$F$5:$F$204="-","",B_Drainage!$F$5:$F$204)),"")</f>
        <v/>
      </c>
      <c r="X985" s="181" t="str">
        <f>IFERROR(LOOKUP(2,1/((B_Drainage!$A$5:$A$204&lt;&gt;"")*(B_Drainage!$A$5:$A$204&lt;=$B985)*(B_Drainage!$B$5:$B$204&gt;$B985)*(B_Drainage!$G$5:$G$204&lt;&gt;"")),IF(UPPER(B_Drainage!$G$5:$G$204)="Y",1,"")),"")</f>
        <v/>
      </c>
      <c r="Y985" s="181" t="str">
        <f>IFERROR(LOOKUP(2,1/((B_Drainage!$A$5:$A$204&lt;&gt;"")*(B_Drainage!$A$5:$A$204&lt;=$B985)*(B_Drainage!$B$5:$B$204&gt;$B985)*(B_Drainage!$H$5:$H$204&lt;&gt;"")),IF(UPPER(B_Drainage!$H$5:$H$204)="Y",1,"")),"")</f>
        <v/>
      </c>
      <c r="Z985" s="181" t="str">
        <f>IFERROR(LOOKUP(2,1/((B_Drainage!$A$5:$A$204&lt;&gt;"")*(B_Drainage!$A$5:$A$204&lt;=$B985)*(B_Drainage!$B$5:$B$204&gt;$B985)*(B_Drainage!$I$5:$I$204&lt;&gt;"")),IF(UPPER(B_Drainage!$I$5:$I$204)="Y",1,"")),"")</f>
        <v/>
      </c>
      <c r="AA985" s="181" t="str">
        <f>IFERROR(LOOKUP(2,1/((B_Drainage!$A$5:$A$204&lt;&gt;"")*(B_Drainage!$A$5:$A$204&lt;=$B985)*(B_Drainage!$B$5:$B$204&gt;$B985)*(B_Drainage!$J$5:$J$204&lt;&gt;"")),IF(UPPER(B_Drainage!$J$5:$J$204)="Y",1,"")),"")</f>
        <v/>
      </c>
      <c r="AB985" s="182" t="str">
        <f>IFERROR(LOOKUP(2,1/((B_Drainage!$A$5:$A$204&lt;&gt;"")*(B_Drainage!$A$5:$A$204&lt;=$B985)*(B_Drainage!$B$5:$B$204&gt;$B985)*(B_Drainage!$K$5:$K$204&lt;&gt;"")),IF(B_Drainage!$K$5:$K$204="-","",B_Drainage!$K$5:$K$204)),"")</f>
        <v/>
      </c>
      <c r="AC985" s="182" t="str">
        <f>IFERROR(LOOKUP(2,1/((B_Drainage!$A$5:$A$204&lt;&gt;"")*(B_Drainage!$A$5:$A$204&lt;=$B985)*(B_Drainage!$B$5:$B$204&gt;$B985)*(B_Drainage!$L$5:$L$204&lt;&gt;"")),IF(B_Drainage!$L$5:$L$204="-","",B_Drainage!$L$5:$L$204)),"")</f>
        <v/>
      </c>
      <c r="AD985" s="182" t="str">
        <f>IFERROR(LOOKUP(2,1/((D_Points!$A$5:$A$204&lt;&gt;"")*(D_Points!$A$5:$A$204&gt;=$B985)*(D_Points!$A$5:$A$204&lt;$B985+P_Interval)*(UPPER(TRIM(D_Points!$B$5:$B$204))="TURNOUT_L")*(D_Points!$H$5:$H$204&lt;&gt;"")),D_Points!$H$5:$H$204),"")</f>
        <v/>
      </c>
      <c r="AE985" s="182" t="str">
        <f>IFERROR(LOOKUP(2,1/((D_Points!$A$5:$A$204&lt;&gt;"")*(D_Points!$A$5:$A$204&gt;=$B985)*(D_Points!$A$5:$A$204&lt;$B985+P_Interval)*(UPPER(TRIM(D_Points!$B$5:$B$204))="TURNOUT_R")*(D_Points!$H$5:$H$204&lt;&gt;"")),D_Points!$H$5:$H$204),"")</f>
        <v/>
      </c>
      <c r="AF985" s="181" t="str">
        <f>IFERROR(LOOKUP(2,1/((B_Drainage!$A$5:$A$204&lt;&gt;"")*(B_Drainage!$A$5:$A$204&lt;=$B985)*(B_Drainage!$B$5:$B$204&gt;$B985)*(B_Drainage!$M$5:$M$204&lt;&gt;"")),IF(UPPER(B_Drainage!$M$5:$M$204)="Y",1,"")),"")</f>
        <v/>
      </c>
      <c r="AG985" s="181" t="str">
        <f>IFERROR(LOOKUP(2,1/((B_Drainage!$A$5:$A$204&lt;&gt;"")*(B_Drainage!$A$5:$A$204&lt;=$B985)*(B_Drainage!$B$5:$B$204&gt;$B985)*(B_Drainage!$N$5:$N$204&lt;&gt;"")),IF(UPPER(B_Drainage!$N$5:$N$204)="Y",1,"")),"")</f>
        <v/>
      </c>
      <c r="AH985" s="181" t="str">
        <f t="shared" si="120"/>
        <v/>
      </c>
      <c r="AI985" s="181" t="str">
        <f t="shared" si="121"/>
        <v/>
      </c>
      <c r="AJ985" s="181" t="str">
        <f t="shared" si="122"/>
        <v/>
      </c>
      <c r="AK985" s="181" t="str">
        <f t="shared" si="123"/>
        <v/>
      </c>
      <c r="AL985" s="181" t="str">
        <f t="shared" si="124"/>
        <v/>
      </c>
      <c r="AM985" s="181" t="str">
        <f t="shared" si="125"/>
        <v/>
      </c>
      <c r="AN985" s="181" t="str">
        <f t="shared" si="126"/>
        <v/>
      </c>
      <c r="AO985" s="192" t="str">
        <f t="shared" si="127"/>
        <v/>
      </c>
      <c r="AQ985" t="str">
        <f>IFERROR(LOOKUP(2,1/((C_Pavement!$A$5:$A$204&lt;&gt;"")*(C_Pavement!$A$5:$A$204&lt;=$B985)*(C_Pavement!$B$5:$B$204&gt;$B985)*(C_Pavement!$C$5:$C$204&lt;&gt;"")),ROW(C_Pavement!$C$5:$C$204)-4),"")</f>
        <v/>
      </c>
      <c r="AR985" t="str">
        <f>IF($AQ985="","",UPPER(TRIM(INDEX(C_Pavement!$C$5:$C$204,$AQ985))))</f>
        <v/>
      </c>
      <c r="AS985" t="str">
        <f>IF($AR985="","",IFERROR(MATCH($AR985,E_Rules!$A$5:$A$9,0),""))</f>
        <v/>
      </c>
      <c r="AT985" t="str">
        <f>IF($AQ985="","",IF(INDEX(C_Pavement!$D$5:$D$204,$AQ985)&lt;&gt;"",UPPER(TRIM(INDEX(C_Pavement!$D$5:$D$204,$AQ985))),IF($AS985="","",INDEX(E_Rules!$C$5:$C$9,$AS985))))</f>
        <v/>
      </c>
      <c r="AU985" t="str">
        <f>IF($AQ985="","",IF(INDEX(C_Pavement!$E$5:$E$204,$AQ985)&lt;&gt;"",IF(INDEX(C_Pavement!$E$5:$E$204,$AQ985)="-","",INDEX(C_Pavement!$E$5:$E$204,$AQ985)),IF($AS985="","",INDEX(E_Rules!$D$5:$D$9,$AS985))))</f>
        <v/>
      </c>
      <c r="AV985" t="str">
        <f>IF($AQ985="","",IF(INDEX(C_Pavement!$F$5:$F$204,$AQ985)&lt;&gt;"",IF(INDEX(C_Pavement!$F$5:$F$204,$AQ985)="-","",INDEX(C_Pavement!$F$5:$F$204,$AQ985)),IF($AS985="","",INDEX(E_Rules!$E$5:$E$9,$AS985))))</f>
        <v/>
      </c>
      <c r="AW985" t="str">
        <f>IF($AQ985="","",IF(INDEX(C_Pavement!$G$5:$G$204,$AQ985)&lt;&gt;"",IF(INDEX(C_Pavement!$G$5:$G$204,$AQ985)="-","",INDEX(C_Pavement!$G$5:$G$204,$AQ985)),IF($AS985="","",INDEX(E_Rules!$F$5:$F$9,$AS985))))</f>
        <v/>
      </c>
      <c r="AX985" t="str">
        <f>IF($AQ985="","",IF(INDEX(C_Pavement!$H$5:$H$204,$AQ985)&lt;&gt;"",IF(INDEX(C_Pavement!$H$5:$H$204,$AQ985)="-","",INDEX(C_Pavement!$H$5:$H$204,$AQ985)),IF($AS985="","",INDEX(E_Rules!$G$5:$G$9,$AS985))))</f>
        <v/>
      </c>
      <c r="AY985" t="str">
        <f>IF($AQ985="","",IF(INDEX(C_Pavement!$I$5:$I$204,$AQ985)&lt;&gt;"",IF(INDEX(C_Pavement!$I$5:$I$204,$AQ985)="-","",INDEX(C_Pavement!$I$5:$I$204,$AQ985)),IF($AS985="","",INDEX(E_Rules!$H$5:$H$9,$AS985))))</f>
        <v/>
      </c>
    </row>
    <row r="986" spans="1:51" ht="15.75" customHeight="1" x14ac:dyDescent="0.3">
      <c r="A986" s="189">
        <v>981</v>
      </c>
      <c r="B986" s="180">
        <v>49000</v>
      </c>
      <c r="C986" s="180" t="s">
        <v>1292</v>
      </c>
      <c r="D986" s="181" t="str">
        <f>IFERROR(LOOKUP(2,1/((A_Corridor!$A$5:$A$204&lt;&gt;"")*(A_Corridor!$A$5:$A$204&lt;=$B986)*(A_Corridor!$B$5:$B$204&gt;$B986)*(A_Corridor!$C$5:$C$204&lt;&gt;"")),IF(UPPER(A_Corridor!$C$5:$C$204)="Y",1,"")),"")</f>
        <v/>
      </c>
      <c r="E986" s="181" t="str">
        <f>IFERROR(LOOKUP(2,1/((A_Corridor!$A$5:$A$204&lt;&gt;"")*(A_Corridor!$A$5:$A$204&lt;=$B986)*(A_Corridor!$B$5:$B$204&gt;$B986)*(A_Corridor!$D$5:$D$204&lt;&gt;"")),IF(A_Corridor!$D$5:$D$204="-","",UPPER(A_Corridor!$D$5:$D$204))),"")</f>
        <v/>
      </c>
      <c r="F986" s="181" t="str">
        <f>IFERROR(LOOKUP(2,1/((A_Corridor!$A$5:$A$204&lt;&gt;"")*(A_Corridor!$A$5:$A$204&lt;=$B986)*(A_Corridor!$B$5:$B$204&gt;$B986)*(A_Corridor!$E$5:$E$204&lt;&gt;"")),IF(A_Corridor!$E$5:$E$204="-","",1)),"")</f>
        <v/>
      </c>
      <c r="G986" s="182" t="str">
        <f>IFERROR(LOOKUP(2,1/((A_Corridor!$A$5:$A$204&lt;&gt;"")*(A_Corridor!$A$5:$A$204&lt;=$B986)*(A_Corridor!$B$5:$B$204&gt;$B986)*(A_Corridor!$E$5:$E$204&lt;&gt;"")),IF(A_Corridor!$E$5:$E$204="-","",A_Corridor!$E$5:$E$204)),"")</f>
        <v/>
      </c>
      <c r="H986" s="182" t="str">
        <f>IFERROR(LOOKUP(2,1/((D_Points!$A$5:$A$204&lt;&gt;"")*(D_Points!$A$5:$A$204&gt;=$B986)*(D_Points!$A$5:$A$204&lt;$B986+P_Interval)*(UPPER(TRIM(D_Points!$B$5:$B$204))="GULLY")*(D_Points!$H$5:$H$204&lt;&gt;"")),D_Points!$H$5:$H$204),"")</f>
        <v/>
      </c>
      <c r="I986" s="181" t="str">
        <f>IFERROR(LOOKUP(2,1/((A_Corridor!$A$5:$A$204&lt;&gt;"")*(A_Corridor!$A$5:$A$204&lt;=$B986)*(A_Corridor!$B$5:$B$204&gt;$B986)*(A_Corridor!$F$5:$F$204&lt;&gt;"")),IF(A_Corridor!$F$5:$F$204="-","",1)),"")</f>
        <v/>
      </c>
      <c r="J986" s="182" t="str">
        <f>IFERROR(LOOKUP(2,1/((A_Corridor!$A$5:$A$204&lt;&gt;"")*(A_Corridor!$A$5:$A$204&lt;=$B986)*(A_Corridor!$B$5:$B$204&gt;$B986)*(A_Corridor!$F$5:$F$204&lt;&gt;"")),IF(A_Corridor!$F$5:$F$204="-","",A_Corridor!$F$5:$F$204)),"")</f>
        <v/>
      </c>
      <c r="K986" s="182" t="str">
        <f>IFERROR(LOOKUP(2,1/((A_Corridor!$A$5:$A$204&lt;&gt;"")*(A_Corridor!$A$5:$A$204&lt;=$B986)*(A_Corridor!$B$5:$B$204&gt;$B986)*(A_Corridor!$G$5:$G$204&lt;&gt;"")),IF(A_Corridor!$G$5:$G$204="-","",A_Corridor!$G$5:$G$204)),"")</f>
        <v/>
      </c>
      <c r="L986" s="181" t="str">
        <f>IFERROR(LOOKUP(2,1/((A_Corridor!$A$5:$A$204&lt;&gt;"")*(A_Corridor!$A$5:$A$204&lt;=$B986)*(A_Corridor!$B$5:$B$204&gt;$B986)*(A_Corridor!$H$5:$H$204&lt;&gt;"")),IF(A_Corridor!$H$5:$H$204="-","",1)),"")</f>
        <v/>
      </c>
      <c r="M986" s="182" t="str">
        <f>IFERROR(LOOKUP(2,1/((A_Corridor!$A$5:$A$204&lt;&gt;"")*(A_Corridor!$A$5:$A$204&lt;=$B986)*(A_Corridor!$B$5:$B$204&gt;$B986)*(A_Corridor!$H$5:$H$204&lt;&gt;"")),IF(A_Corridor!$H$5:$H$204="-","",A_Corridor!$H$5:$H$204)),"")</f>
        <v/>
      </c>
      <c r="N986" s="182" t="str">
        <f>IFERROR(LOOKUP(2,1/((A_Corridor!$A$5:$A$204&lt;&gt;"")*(A_Corridor!$A$5:$A$204&lt;=$B986)*(A_Corridor!$B$5:$B$204&gt;$B986)*(A_Corridor!$I$5:$I$204&lt;&gt;"")),IF(A_Corridor!$I$5:$I$204="-","",A_Corridor!$I$5:$I$204)),"")</f>
        <v/>
      </c>
      <c r="O986" s="182" t="str">
        <f>IFERROR(LOOKUP(2,1/((D_Points!$A$5:$A$204&lt;&gt;"")*(D_Points!$A$5:$A$204&gt;=$B986)*(D_Points!$A$5:$A$204&lt;$B986+P_Interval)*(UPPER(TRIM(D_Points!$B$5:$B$204))="PITCHING")*(D_Points!$H$5:$H$204&lt;&gt;"")),D_Points!$H$5:$H$204),"")</f>
        <v/>
      </c>
      <c r="P986" s="181" t="str">
        <f>IFERROR(LOOKUP(2,1/((B_Drainage!$A$5:$A$204&lt;&gt;"")*(B_Drainage!$A$5:$A$204&lt;=$B986)*(B_Drainage!$B$5:$B$204&gt;$B986)*(B_Drainage!$C$5:$C$204&lt;&gt;"")),IF(B_Drainage!$C$5:$C$204="-","",UPPER(B_Drainage!$C$5:$C$204))),"")</f>
        <v/>
      </c>
      <c r="Q986" s="181" t="str">
        <f>IFERROR(LOOKUP(2,1/((B_Drainage!$A$5:$A$204&lt;&gt;"")*(B_Drainage!$A$5:$A$204&lt;=$B986)*(B_Drainage!$B$5:$B$204&gt;$B986)*(B_Drainage!$D$5:$D$204&lt;&gt;"")),IF(B_Drainage!$D$5:$D$204="-","",UPPER(B_Drainage!$D$5:$D$204))),"")</f>
        <v/>
      </c>
      <c r="R986" s="182" t="str">
        <f>IFERROR(LOOKUP(2,1/((D_Points!$A$5:$A$204&lt;&gt;"")*(D_Points!$A$5:$A$204&gt;=$B986)*(D_Points!$A$5:$A$204&lt;$B986+P_Interval)*(RIGHT(UPPER(TRIM(D_Points!$B$5:$B$204)),8)="_CULVERT")),IF(LEFT(UPPER(TRIM(D_Points!$B$5:$B$204)),2)="EX",1,IF(LEFT(UPPER(TRIM(D_Points!$B$5:$B$204)),2)="PR",2,3))),"")</f>
        <v/>
      </c>
      <c r="S986" s="182" t="str">
        <f>IFERROR(LOOKUP(2,1/((D_Points!$A$5:$A$204&lt;&gt;"")*(D_Points!$A$5:$A$204&gt;=$B986)*(D_Points!$A$5:$A$204&lt;$B986+P_Interval)*(RIGHT(UPPER(TRIM(D_Points!$B$5:$B$204)),7)="_BRIDGE")),IF(LEFT(UPPER(TRIM(D_Points!$B$5:$B$204)),2)="EX",1,IF(LEFT(UPPER(TRIM(D_Points!$B$5:$B$204)),2)="PR",2,2))),"")</f>
        <v/>
      </c>
      <c r="T986" s="181" t="str">
        <f>IFERROR(LOOKUP(2,1/((B_Drainage!$A$5:$A$204&lt;&gt;"")*(B_Drainage!$A$5:$A$204&lt;=$B986)*(B_Drainage!$B$5:$B$204&gt;$B986)*(B_Drainage!$E$5:$E$204&lt;&gt;"")),IF(B_Drainage!$E$5:$E$204="-","",1)),"")</f>
        <v/>
      </c>
      <c r="U986" s="181" t="str">
        <f>IFERROR(LOOKUP(2,1/((B_Drainage!$A$5:$A$204&lt;&gt;"")*(B_Drainage!$A$5:$A$204&lt;=$B986)*(B_Drainage!$B$5:$B$204&gt;$B986)*(B_Drainage!$E$5:$E$204&lt;&gt;"")),IF(B_Drainage!$E$5:$E$204="-","",B_Drainage!$E$5:$E$204)),"")</f>
        <v/>
      </c>
      <c r="V986" s="181" t="str">
        <f>IFERROR(LOOKUP(2,1/((B_Drainage!$A$5:$A$204&lt;&gt;"")*(B_Drainage!$A$5:$A$204&lt;=$B986)*(B_Drainage!$B$5:$B$204&gt;$B986)*(B_Drainage!$F$5:$F$204&lt;&gt;"")),IF(B_Drainage!$F$5:$F$204="-","",1)),"")</f>
        <v/>
      </c>
      <c r="W986" s="181" t="str">
        <f>IFERROR(LOOKUP(2,1/((B_Drainage!$A$5:$A$204&lt;&gt;"")*(B_Drainage!$A$5:$A$204&lt;=$B986)*(B_Drainage!$B$5:$B$204&gt;$B986)*(B_Drainage!$F$5:$F$204&lt;&gt;"")),IF(B_Drainage!$F$5:$F$204="-","",B_Drainage!$F$5:$F$204)),"")</f>
        <v/>
      </c>
      <c r="X986" s="181" t="str">
        <f>IFERROR(LOOKUP(2,1/((B_Drainage!$A$5:$A$204&lt;&gt;"")*(B_Drainage!$A$5:$A$204&lt;=$B986)*(B_Drainage!$B$5:$B$204&gt;$B986)*(B_Drainage!$G$5:$G$204&lt;&gt;"")),IF(UPPER(B_Drainage!$G$5:$G$204)="Y",1,"")),"")</f>
        <v/>
      </c>
      <c r="Y986" s="181" t="str">
        <f>IFERROR(LOOKUP(2,1/((B_Drainage!$A$5:$A$204&lt;&gt;"")*(B_Drainage!$A$5:$A$204&lt;=$B986)*(B_Drainage!$B$5:$B$204&gt;$B986)*(B_Drainage!$H$5:$H$204&lt;&gt;"")),IF(UPPER(B_Drainage!$H$5:$H$204)="Y",1,"")),"")</f>
        <v/>
      </c>
      <c r="Z986" s="181" t="str">
        <f>IFERROR(LOOKUP(2,1/((B_Drainage!$A$5:$A$204&lt;&gt;"")*(B_Drainage!$A$5:$A$204&lt;=$B986)*(B_Drainage!$B$5:$B$204&gt;$B986)*(B_Drainage!$I$5:$I$204&lt;&gt;"")),IF(UPPER(B_Drainage!$I$5:$I$204)="Y",1,"")),"")</f>
        <v/>
      </c>
      <c r="AA986" s="181" t="str">
        <f>IFERROR(LOOKUP(2,1/((B_Drainage!$A$5:$A$204&lt;&gt;"")*(B_Drainage!$A$5:$A$204&lt;=$B986)*(B_Drainage!$B$5:$B$204&gt;$B986)*(B_Drainage!$J$5:$J$204&lt;&gt;"")),IF(UPPER(B_Drainage!$J$5:$J$204)="Y",1,"")),"")</f>
        <v/>
      </c>
      <c r="AB986" s="182" t="str">
        <f>IFERROR(LOOKUP(2,1/((B_Drainage!$A$5:$A$204&lt;&gt;"")*(B_Drainage!$A$5:$A$204&lt;=$B986)*(B_Drainage!$B$5:$B$204&gt;$B986)*(B_Drainage!$K$5:$K$204&lt;&gt;"")),IF(B_Drainage!$K$5:$K$204="-","",B_Drainage!$K$5:$K$204)),"")</f>
        <v/>
      </c>
      <c r="AC986" s="182" t="str">
        <f>IFERROR(LOOKUP(2,1/((B_Drainage!$A$5:$A$204&lt;&gt;"")*(B_Drainage!$A$5:$A$204&lt;=$B986)*(B_Drainage!$B$5:$B$204&gt;$B986)*(B_Drainage!$L$5:$L$204&lt;&gt;"")),IF(B_Drainage!$L$5:$L$204="-","",B_Drainage!$L$5:$L$204)),"")</f>
        <v/>
      </c>
      <c r="AD986" s="182" t="str">
        <f>IFERROR(LOOKUP(2,1/((D_Points!$A$5:$A$204&lt;&gt;"")*(D_Points!$A$5:$A$204&gt;=$B986)*(D_Points!$A$5:$A$204&lt;$B986+P_Interval)*(UPPER(TRIM(D_Points!$B$5:$B$204))="TURNOUT_L")*(D_Points!$H$5:$H$204&lt;&gt;"")),D_Points!$H$5:$H$204),"")</f>
        <v/>
      </c>
      <c r="AE986" s="182" t="str">
        <f>IFERROR(LOOKUP(2,1/((D_Points!$A$5:$A$204&lt;&gt;"")*(D_Points!$A$5:$A$204&gt;=$B986)*(D_Points!$A$5:$A$204&lt;$B986+P_Interval)*(UPPER(TRIM(D_Points!$B$5:$B$204))="TURNOUT_R")*(D_Points!$H$5:$H$204&lt;&gt;"")),D_Points!$H$5:$H$204),"")</f>
        <v/>
      </c>
      <c r="AF986" s="181" t="str">
        <f>IFERROR(LOOKUP(2,1/((B_Drainage!$A$5:$A$204&lt;&gt;"")*(B_Drainage!$A$5:$A$204&lt;=$B986)*(B_Drainage!$B$5:$B$204&gt;$B986)*(B_Drainage!$M$5:$M$204&lt;&gt;"")),IF(UPPER(B_Drainage!$M$5:$M$204)="Y",1,"")),"")</f>
        <v/>
      </c>
      <c r="AG986" s="181" t="str">
        <f>IFERROR(LOOKUP(2,1/((B_Drainage!$A$5:$A$204&lt;&gt;"")*(B_Drainage!$A$5:$A$204&lt;=$B986)*(B_Drainage!$B$5:$B$204&gt;$B986)*(B_Drainage!$N$5:$N$204&lt;&gt;"")),IF(UPPER(B_Drainage!$N$5:$N$204)="Y",1,"")),"")</f>
        <v/>
      </c>
      <c r="AH986" s="181" t="str">
        <f t="shared" si="120"/>
        <v/>
      </c>
      <c r="AI986" s="181" t="str">
        <f t="shared" si="121"/>
        <v/>
      </c>
      <c r="AJ986" s="181" t="str">
        <f t="shared" si="122"/>
        <v/>
      </c>
      <c r="AK986" s="181" t="str">
        <f t="shared" si="123"/>
        <v/>
      </c>
      <c r="AL986" s="181" t="str">
        <f t="shared" si="124"/>
        <v/>
      </c>
      <c r="AM986" s="181" t="str">
        <f t="shared" si="125"/>
        <v/>
      </c>
      <c r="AN986" s="181" t="str">
        <f t="shared" si="126"/>
        <v/>
      </c>
      <c r="AO986" s="192" t="str">
        <f t="shared" si="127"/>
        <v/>
      </c>
      <c r="AQ986" t="str">
        <f>IFERROR(LOOKUP(2,1/((C_Pavement!$A$5:$A$204&lt;&gt;"")*(C_Pavement!$A$5:$A$204&lt;=$B986)*(C_Pavement!$B$5:$B$204&gt;$B986)*(C_Pavement!$C$5:$C$204&lt;&gt;"")),ROW(C_Pavement!$C$5:$C$204)-4),"")</f>
        <v/>
      </c>
      <c r="AR986" t="str">
        <f>IF($AQ986="","",UPPER(TRIM(INDEX(C_Pavement!$C$5:$C$204,$AQ986))))</f>
        <v/>
      </c>
      <c r="AS986" t="str">
        <f>IF($AR986="","",IFERROR(MATCH($AR986,E_Rules!$A$5:$A$9,0),""))</f>
        <v/>
      </c>
      <c r="AT986" t="str">
        <f>IF($AQ986="","",IF(INDEX(C_Pavement!$D$5:$D$204,$AQ986)&lt;&gt;"",UPPER(TRIM(INDEX(C_Pavement!$D$5:$D$204,$AQ986))),IF($AS986="","",INDEX(E_Rules!$C$5:$C$9,$AS986))))</f>
        <v/>
      </c>
      <c r="AU986" t="str">
        <f>IF($AQ986="","",IF(INDEX(C_Pavement!$E$5:$E$204,$AQ986)&lt;&gt;"",IF(INDEX(C_Pavement!$E$5:$E$204,$AQ986)="-","",INDEX(C_Pavement!$E$5:$E$204,$AQ986)),IF($AS986="","",INDEX(E_Rules!$D$5:$D$9,$AS986))))</f>
        <v/>
      </c>
      <c r="AV986" t="str">
        <f>IF($AQ986="","",IF(INDEX(C_Pavement!$F$5:$F$204,$AQ986)&lt;&gt;"",IF(INDEX(C_Pavement!$F$5:$F$204,$AQ986)="-","",INDEX(C_Pavement!$F$5:$F$204,$AQ986)),IF($AS986="","",INDEX(E_Rules!$E$5:$E$9,$AS986))))</f>
        <v/>
      </c>
      <c r="AW986" t="str">
        <f>IF($AQ986="","",IF(INDEX(C_Pavement!$G$5:$G$204,$AQ986)&lt;&gt;"",IF(INDEX(C_Pavement!$G$5:$G$204,$AQ986)="-","",INDEX(C_Pavement!$G$5:$G$204,$AQ986)),IF($AS986="","",INDEX(E_Rules!$F$5:$F$9,$AS986))))</f>
        <v/>
      </c>
      <c r="AX986" t="str">
        <f>IF($AQ986="","",IF(INDEX(C_Pavement!$H$5:$H$204,$AQ986)&lt;&gt;"",IF(INDEX(C_Pavement!$H$5:$H$204,$AQ986)="-","",INDEX(C_Pavement!$H$5:$H$204,$AQ986)),IF($AS986="","",INDEX(E_Rules!$G$5:$G$9,$AS986))))</f>
        <v/>
      </c>
      <c r="AY986" t="str">
        <f>IF($AQ986="","",IF(INDEX(C_Pavement!$I$5:$I$204,$AQ986)&lt;&gt;"",IF(INDEX(C_Pavement!$I$5:$I$204,$AQ986)="-","",INDEX(C_Pavement!$I$5:$I$204,$AQ986)),IF($AS986="","",INDEX(E_Rules!$H$5:$H$9,$AS986))))</f>
        <v/>
      </c>
    </row>
    <row r="987" spans="1:51" ht="15.75" customHeight="1" x14ac:dyDescent="0.3">
      <c r="A987" s="189">
        <v>982</v>
      </c>
      <c r="B987" s="180">
        <v>49050</v>
      </c>
      <c r="C987" s="180" t="s">
        <v>1293</v>
      </c>
      <c r="D987" s="181" t="str">
        <f>IFERROR(LOOKUP(2,1/((A_Corridor!$A$5:$A$204&lt;&gt;"")*(A_Corridor!$A$5:$A$204&lt;=$B987)*(A_Corridor!$B$5:$B$204&gt;$B987)*(A_Corridor!$C$5:$C$204&lt;&gt;"")),IF(UPPER(A_Corridor!$C$5:$C$204)="Y",1,"")),"")</f>
        <v/>
      </c>
      <c r="E987" s="181" t="str">
        <f>IFERROR(LOOKUP(2,1/((A_Corridor!$A$5:$A$204&lt;&gt;"")*(A_Corridor!$A$5:$A$204&lt;=$B987)*(A_Corridor!$B$5:$B$204&gt;$B987)*(A_Corridor!$D$5:$D$204&lt;&gt;"")),IF(A_Corridor!$D$5:$D$204="-","",UPPER(A_Corridor!$D$5:$D$204))),"")</f>
        <v/>
      </c>
      <c r="F987" s="181" t="str">
        <f>IFERROR(LOOKUP(2,1/((A_Corridor!$A$5:$A$204&lt;&gt;"")*(A_Corridor!$A$5:$A$204&lt;=$B987)*(A_Corridor!$B$5:$B$204&gt;$B987)*(A_Corridor!$E$5:$E$204&lt;&gt;"")),IF(A_Corridor!$E$5:$E$204="-","",1)),"")</f>
        <v/>
      </c>
      <c r="G987" s="182" t="str">
        <f>IFERROR(LOOKUP(2,1/((A_Corridor!$A$5:$A$204&lt;&gt;"")*(A_Corridor!$A$5:$A$204&lt;=$B987)*(A_Corridor!$B$5:$B$204&gt;$B987)*(A_Corridor!$E$5:$E$204&lt;&gt;"")),IF(A_Corridor!$E$5:$E$204="-","",A_Corridor!$E$5:$E$204)),"")</f>
        <v/>
      </c>
      <c r="H987" s="182" t="str">
        <f>IFERROR(LOOKUP(2,1/((D_Points!$A$5:$A$204&lt;&gt;"")*(D_Points!$A$5:$A$204&gt;=$B987)*(D_Points!$A$5:$A$204&lt;$B987+P_Interval)*(UPPER(TRIM(D_Points!$B$5:$B$204))="GULLY")*(D_Points!$H$5:$H$204&lt;&gt;"")),D_Points!$H$5:$H$204),"")</f>
        <v/>
      </c>
      <c r="I987" s="181" t="str">
        <f>IFERROR(LOOKUP(2,1/((A_Corridor!$A$5:$A$204&lt;&gt;"")*(A_Corridor!$A$5:$A$204&lt;=$B987)*(A_Corridor!$B$5:$B$204&gt;$B987)*(A_Corridor!$F$5:$F$204&lt;&gt;"")),IF(A_Corridor!$F$5:$F$204="-","",1)),"")</f>
        <v/>
      </c>
      <c r="J987" s="182" t="str">
        <f>IFERROR(LOOKUP(2,1/((A_Corridor!$A$5:$A$204&lt;&gt;"")*(A_Corridor!$A$5:$A$204&lt;=$B987)*(A_Corridor!$B$5:$B$204&gt;$B987)*(A_Corridor!$F$5:$F$204&lt;&gt;"")),IF(A_Corridor!$F$5:$F$204="-","",A_Corridor!$F$5:$F$204)),"")</f>
        <v/>
      </c>
      <c r="K987" s="182" t="str">
        <f>IFERROR(LOOKUP(2,1/((A_Corridor!$A$5:$A$204&lt;&gt;"")*(A_Corridor!$A$5:$A$204&lt;=$B987)*(A_Corridor!$B$5:$B$204&gt;$B987)*(A_Corridor!$G$5:$G$204&lt;&gt;"")),IF(A_Corridor!$G$5:$G$204="-","",A_Corridor!$G$5:$G$204)),"")</f>
        <v/>
      </c>
      <c r="L987" s="181" t="str">
        <f>IFERROR(LOOKUP(2,1/((A_Corridor!$A$5:$A$204&lt;&gt;"")*(A_Corridor!$A$5:$A$204&lt;=$B987)*(A_Corridor!$B$5:$B$204&gt;$B987)*(A_Corridor!$H$5:$H$204&lt;&gt;"")),IF(A_Corridor!$H$5:$H$204="-","",1)),"")</f>
        <v/>
      </c>
      <c r="M987" s="182" t="str">
        <f>IFERROR(LOOKUP(2,1/((A_Corridor!$A$5:$A$204&lt;&gt;"")*(A_Corridor!$A$5:$A$204&lt;=$B987)*(A_Corridor!$B$5:$B$204&gt;$B987)*(A_Corridor!$H$5:$H$204&lt;&gt;"")),IF(A_Corridor!$H$5:$H$204="-","",A_Corridor!$H$5:$H$204)),"")</f>
        <v/>
      </c>
      <c r="N987" s="182" t="str">
        <f>IFERROR(LOOKUP(2,1/((A_Corridor!$A$5:$A$204&lt;&gt;"")*(A_Corridor!$A$5:$A$204&lt;=$B987)*(A_Corridor!$B$5:$B$204&gt;$B987)*(A_Corridor!$I$5:$I$204&lt;&gt;"")),IF(A_Corridor!$I$5:$I$204="-","",A_Corridor!$I$5:$I$204)),"")</f>
        <v/>
      </c>
      <c r="O987" s="182" t="str">
        <f>IFERROR(LOOKUP(2,1/((D_Points!$A$5:$A$204&lt;&gt;"")*(D_Points!$A$5:$A$204&gt;=$B987)*(D_Points!$A$5:$A$204&lt;$B987+P_Interval)*(UPPER(TRIM(D_Points!$B$5:$B$204))="PITCHING")*(D_Points!$H$5:$H$204&lt;&gt;"")),D_Points!$H$5:$H$204),"")</f>
        <v/>
      </c>
      <c r="P987" s="181" t="str">
        <f>IFERROR(LOOKUP(2,1/((B_Drainage!$A$5:$A$204&lt;&gt;"")*(B_Drainage!$A$5:$A$204&lt;=$B987)*(B_Drainage!$B$5:$B$204&gt;$B987)*(B_Drainage!$C$5:$C$204&lt;&gt;"")),IF(B_Drainage!$C$5:$C$204="-","",UPPER(B_Drainage!$C$5:$C$204))),"")</f>
        <v/>
      </c>
      <c r="Q987" s="181" t="str">
        <f>IFERROR(LOOKUP(2,1/((B_Drainage!$A$5:$A$204&lt;&gt;"")*(B_Drainage!$A$5:$A$204&lt;=$B987)*(B_Drainage!$B$5:$B$204&gt;$B987)*(B_Drainage!$D$5:$D$204&lt;&gt;"")),IF(B_Drainage!$D$5:$D$204="-","",UPPER(B_Drainage!$D$5:$D$204))),"")</f>
        <v/>
      </c>
      <c r="R987" s="182" t="str">
        <f>IFERROR(LOOKUP(2,1/((D_Points!$A$5:$A$204&lt;&gt;"")*(D_Points!$A$5:$A$204&gt;=$B987)*(D_Points!$A$5:$A$204&lt;$B987+P_Interval)*(RIGHT(UPPER(TRIM(D_Points!$B$5:$B$204)),8)="_CULVERT")),IF(LEFT(UPPER(TRIM(D_Points!$B$5:$B$204)),2)="EX",1,IF(LEFT(UPPER(TRIM(D_Points!$B$5:$B$204)),2)="PR",2,3))),"")</f>
        <v/>
      </c>
      <c r="S987" s="182" t="str">
        <f>IFERROR(LOOKUP(2,1/((D_Points!$A$5:$A$204&lt;&gt;"")*(D_Points!$A$5:$A$204&gt;=$B987)*(D_Points!$A$5:$A$204&lt;$B987+P_Interval)*(RIGHT(UPPER(TRIM(D_Points!$B$5:$B$204)),7)="_BRIDGE")),IF(LEFT(UPPER(TRIM(D_Points!$B$5:$B$204)),2)="EX",1,IF(LEFT(UPPER(TRIM(D_Points!$B$5:$B$204)),2)="PR",2,2))),"")</f>
        <v/>
      </c>
      <c r="T987" s="181" t="str">
        <f>IFERROR(LOOKUP(2,1/((B_Drainage!$A$5:$A$204&lt;&gt;"")*(B_Drainage!$A$5:$A$204&lt;=$B987)*(B_Drainage!$B$5:$B$204&gt;$B987)*(B_Drainage!$E$5:$E$204&lt;&gt;"")),IF(B_Drainage!$E$5:$E$204="-","",1)),"")</f>
        <v/>
      </c>
      <c r="U987" s="181" t="str">
        <f>IFERROR(LOOKUP(2,1/((B_Drainage!$A$5:$A$204&lt;&gt;"")*(B_Drainage!$A$5:$A$204&lt;=$B987)*(B_Drainage!$B$5:$B$204&gt;$B987)*(B_Drainage!$E$5:$E$204&lt;&gt;"")),IF(B_Drainage!$E$5:$E$204="-","",B_Drainage!$E$5:$E$204)),"")</f>
        <v/>
      </c>
      <c r="V987" s="181" t="str">
        <f>IFERROR(LOOKUP(2,1/((B_Drainage!$A$5:$A$204&lt;&gt;"")*(B_Drainage!$A$5:$A$204&lt;=$B987)*(B_Drainage!$B$5:$B$204&gt;$B987)*(B_Drainage!$F$5:$F$204&lt;&gt;"")),IF(B_Drainage!$F$5:$F$204="-","",1)),"")</f>
        <v/>
      </c>
      <c r="W987" s="181" t="str">
        <f>IFERROR(LOOKUP(2,1/((B_Drainage!$A$5:$A$204&lt;&gt;"")*(B_Drainage!$A$5:$A$204&lt;=$B987)*(B_Drainage!$B$5:$B$204&gt;$B987)*(B_Drainage!$F$5:$F$204&lt;&gt;"")),IF(B_Drainage!$F$5:$F$204="-","",B_Drainage!$F$5:$F$204)),"")</f>
        <v/>
      </c>
      <c r="X987" s="181" t="str">
        <f>IFERROR(LOOKUP(2,1/((B_Drainage!$A$5:$A$204&lt;&gt;"")*(B_Drainage!$A$5:$A$204&lt;=$B987)*(B_Drainage!$B$5:$B$204&gt;$B987)*(B_Drainage!$G$5:$G$204&lt;&gt;"")),IF(UPPER(B_Drainage!$G$5:$G$204)="Y",1,"")),"")</f>
        <v/>
      </c>
      <c r="Y987" s="181" t="str">
        <f>IFERROR(LOOKUP(2,1/((B_Drainage!$A$5:$A$204&lt;&gt;"")*(B_Drainage!$A$5:$A$204&lt;=$B987)*(B_Drainage!$B$5:$B$204&gt;$B987)*(B_Drainage!$H$5:$H$204&lt;&gt;"")),IF(UPPER(B_Drainage!$H$5:$H$204)="Y",1,"")),"")</f>
        <v/>
      </c>
      <c r="Z987" s="181" t="str">
        <f>IFERROR(LOOKUP(2,1/((B_Drainage!$A$5:$A$204&lt;&gt;"")*(B_Drainage!$A$5:$A$204&lt;=$B987)*(B_Drainage!$B$5:$B$204&gt;$B987)*(B_Drainage!$I$5:$I$204&lt;&gt;"")),IF(UPPER(B_Drainage!$I$5:$I$204)="Y",1,"")),"")</f>
        <v/>
      </c>
      <c r="AA987" s="181" t="str">
        <f>IFERROR(LOOKUP(2,1/((B_Drainage!$A$5:$A$204&lt;&gt;"")*(B_Drainage!$A$5:$A$204&lt;=$B987)*(B_Drainage!$B$5:$B$204&gt;$B987)*(B_Drainage!$J$5:$J$204&lt;&gt;"")),IF(UPPER(B_Drainage!$J$5:$J$204)="Y",1,"")),"")</f>
        <v/>
      </c>
      <c r="AB987" s="182" t="str">
        <f>IFERROR(LOOKUP(2,1/((B_Drainage!$A$5:$A$204&lt;&gt;"")*(B_Drainage!$A$5:$A$204&lt;=$B987)*(B_Drainage!$B$5:$B$204&gt;$B987)*(B_Drainage!$K$5:$K$204&lt;&gt;"")),IF(B_Drainage!$K$5:$K$204="-","",B_Drainage!$K$5:$K$204)),"")</f>
        <v/>
      </c>
      <c r="AC987" s="182" t="str">
        <f>IFERROR(LOOKUP(2,1/((B_Drainage!$A$5:$A$204&lt;&gt;"")*(B_Drainage!$A$5:$A$204&lt;=$B987)*(B_Drainage!$B$5:$B$204&gt;$B987)*(B_Drainage!$L$5:$L$204&lt;&gt;"")),IF(B_Drainage!$L$5:$L$204="-","",B_Drainage!$L$5:$L$204)),"")</f>
        <v/>
      </c>
      <c r="AD987" s="182" t="str">
        <f>IFERROR(LOOKUP(2,1/((D_Points!$A$5:$A$204&lt;&gt;"")*(D_Points!$A$5:$A$204&gt;=$B987)*(D_Points!$A$5:$A$204&lt;$B987+P_Interval)*(UPPER(TRIM(D_Points!$B$5:$B$204))="TURNOUT_L")*(D_Points!$H$5:$H$204&lt;&gt;"")),D_Points!$H$5:$H$204),"")</f>
        <v/>
      </c>
      <c r="AE987" s="182" t="str">
        <f>IFERROR(LOOKUP(2,1/((D_Points!$A$5:$A$204&lt;&gt;"")*(D_Points!$A$5:$A$204&gt;=$B987)*(D_Points!$A$5:$A$204&lt;$B987+P_Interval)*(UPPER(TRIM(D_Points!$B$5:$B$204))="TURNOUT_R")*(D_Points!$H$5:$H$204&lt;&gt;"")),D_Points!$H$5:$H$204),"")</f>
        <v/>
      </c>
      <c r="AF987" s="181" t="str">
        <f>IFERROR(LOOKUP(2,1/((B_Drainage!$A$5:$A$204&lt;&gt;"")*(B_Drainage!$A$5:$A$204&lt;=$B987)*(B_Drainage!$B$5:$B$204&gt;$B987)*(B_Drainage!$M$5:$M$204&lt;&gt;"")),IF(UPPER(B_Drainage!$M$5:$M$204)="Y",1,"")),"")</f>
        <v/>
      </c>
      <c r="AG987" s="181" t="str">
        <f>IFERROR(LOOKUP(2,1/((B_Drainage!$A$5:$A$204&lt;&gt;"")*(B_Drainage!$A$5:$A$204&lt;=$B987)*(B_Drainage!$B$5:$B$204&gt;$B987)*(B_Drainage!$N$5:$N$204&lt;&gt;"")),IF(UPPER(B_Drainage!$N$5:$N$204)="Y",1,"")),"")</f>
        <v/>
      </c>
      <c r="AH987" s="181" t="str">
        <f t="shared" si="120"/>
        <v/>
      </c>
      <c r="AI987" s="181" t="str">
        <f t="shared" si="121"/>
        <v/>
      </c>
      <c r="AJ987" s="181" t="str">
        <f t="shared" si="122"/>
        <v/>
      </c>
      <c r="AK987" s="181" t="str">
        <f t="shared" si="123"/>
        <v/>
      </c>
      <c r="AL987" s="181" t="str">
        <f t="shared" si="124"/>
        <v/>
      </c>
      <c r="AM987" s="181" t="str">
        <f t="shared" si="125"/>
        <v/>
      </c>
      <c r="AN987" s="181" t="str">
        <f t="shared" si="126"/>
        <v/>
      </c>
      <c r="AO987" s="192" t="str">
        <f t="shared" si="127"/>
        <v/>
      </c>
      <c r="AQ987" t="str">
        <f>IFERROR(LOOKUP(2,1/((C_Pavement!$A$5:$A$204&lt;&gt;"")*(C_Pavement!$A$5:$A$204&lt;=$B987)*(C_Pavement!$B$5:$B$204&gt;$B987)*(C_Pavement!$C$5:$C$204&lt;&gt;"")),ROW(C_Pavement!$C$5:$C$204)-4),"")</f>
        <v/>
      </c>
      <c r="AR987" t="str">
        <f>IF($AQ987="","",UPPER(TRIM(INDEX(C_Pavement!$C$5:$C$204,$AQ987))))</f>
        <v/>
      </c>
      <c r="AS987" t="str">
        <f>IF($AR987="","",IFERROR(MATCH($AR987,E_Rules!$A$5:$A$9,0),""))</f>
        <v/>
      </c>
      <c r="AT987" t="str">
        <f>IF($AQ987="","",IF(INDEX(C_Pavement!$D$5:$D$204,$AQ987)&lt;&gt;"",UPPER(TRIM(INDEX(C_Pavement!$D$5:$D$204,$AQ987))),IF($AS987="","",INDEX(E_Rules!$C$5:$C$9,$AS987))))</f>
        <v/>
      </c>
      <c r="AU987" t="str">
        <f>IF($AQ987="","",IF(INDEX(C_Pavement!$E$5:$E$204,$AQ987)&lt;&gt;"",IF(INDEX(C_Pavement!$E$5:$E$204,$AQ987)="-","",INDEX(C_Pavement!$E$5:$E$204,$AQ987)),IF($AS987="","",INDEX(E_Rules!$D$5:$D$9,$AS987))))</f>
        <v/>
      </c>
      <c r="AV987" t="str">
        <f>IF($AQ987="","",IF(INDEX(C_Pavement!$F$5:$F$204,$AQ987)&lt;&gt;"",IF(INDEX(C_Pavement!$F$5:$F$204,$AQ987)="-","",INDEX(C_Pavement!$F$5:$F$204,$AQ987)),IF($AS987="","",INDEX(E_Rules!$E$5:$E$9,$AS987))))</f>
        <v/>
      </c>
      <c r="AW987" t="str">
        <f>IF($AQ987="","",IF(INDEX(C_Pavement!$G$5:$G$204,$AQ987)&lt;&gt;"",IF(INDEX(C_Pavement!$G$5:$G$204,$AQ987)="-","",INDEX(C_Pavement!$G$5:$G$204,$AQ987)),IF($AS987="","",INDEX(E_Rules!$F$5:$F$9,$AS987))))</f>
        <v/>
      </c>
      <c r="AX987" t="str">
        <f>IF($AQ987="","",IF(INDEX(C_Pavement!$H$5:$H$204,$AQ987)&lt;&gt;"",IF(INDEX(C_Pavement!$H$5:$H$204,$AQ987)="-","",INDEX(C_Pavement!$H$5:$H$204,$AQ987)),IF($AS987="","",INDEX(E_Rules!$G$5:$G$9,$AS987))))</f>
        <v/>
      </c>
      <c r="AY987" t="str">
        <f>IF($AQ987="","",IF(INDEX(C_Pavement!$I$5:$I$204,$AQ987)&lt;&gt;"",IF(INDEX(C_Pavement!$I$5:$I$204,$AQ987)="-","",INDEX(C_Pavement!$I$5:$I$204,$AQ987)),IF($AS987="","",INDEX(E_Rules!$H$5:$H$9,$AS987))))</f>
        <v/>
      </c>
    </row>
    <row r="988" spans="1:51" ht="15.75" customHeight="1" x14ac:dyDescent="0.3">
      <c r="A988" s="189">
        <v>983</v>
      </c>
      <c r="B988" s="180">
        <v>49100</v>
      </c>
      <c r="C988" s="180" t="s">
        <v>1294</v>
      </c>
      <c r="D988" s="181" t="str">
        <f>IFERROR(LOOKUP(2,1/((A_Corridor!$A$5:$A$204&lt;&gt;"")*(A_Corridor!$A$5:$A$204&lt;=$B988)*(A_Corridor!$B$5:$B$204&gt;$B988)*(A_Corridor!$C$5:$C$204&lt;&gt;"")),IF(UPPER(A_Corridor!$C$5:$C$204)="Y",1,"")),"")</f>
        <v/>
      </c>
      <c r="E988" s="181" t="str">
        <f>IFERROR(LOOKUP(2,1/((A_Corridor!$A$5:$A$204&lt;&gt;"")*(A_Corridor!$A$5:$A$204&lt;=$B988)*(A_Corridor!$B$5:$B$204&gt;$B988)*(A_Corridor!$D$5:$D$204&lt;&gt;"")),IF(A_Corridor!$D$5:$D$204="-","",UPPER(A_Corridor!$D$5:$D$204))),"")</f>
        <v/>
      </c>
      <c r="F988" s="181" t="str">
        <f>IFERROR(LOOKUP(2,1/((A_Corridor!$A$5:$A$204&lt;&gt;"")*(A_Corridor!$A$5:$A$204&lt;=$B988)*(A_Corridor!$B$5:$B$204&gt;$B988)*(A_Corridor!$E$5:$E$204&lt;&gt;"")),IF(A_Corridor!$E$5:$E$204="-","",1)),"")</f>
        <v/>
      </c>
      <c r="G988" s="182" t="str">
        <f>IFERROR(LOOKUP(2,1/((A_Corridor!$A$5:$A$204&lt;&gt;"")*(A_Corridor!$A$5:$A$204&lt;=$B988)*(A_Corridor!$B$5:$B$204&gt;$B988)*(A_Corridor!$E$5:$E$204&lt;&gt;"")),IF(A_Corridor!$E$5:$E$204="-","",A_Corridor!$E$5:$E$204)),"")</f>
        <v/>
      </c>
      <c r="H988" s="182" t="str">
        <f>IFERROR(LOOKUP(2,1/((D_Points!$A$5:$A$204&lt;&gt;"")*(D_Points!$A$5:$A$204&gt;=$B988)*(D_Points!$A$5:$A$204&lt;$B988+P_Interval)*(UPPER(TRIM(D_Points!$B$5:$B$204))="GULLY")*(D_Points!$H$5:$H$204&lt;&gt;"")),D_Points!$H$5:$H$204),"")</f>
        <v/>
      </c>
      <c r="I988" s="181" t="str">
        <f>IFERROR(LOOKUP(2,1/((A_Corridor!$A$5:$A$204&lt;&gt;"")*(A_Corridor!$A$5:$A$204&lt;=$B988)*(A_Corridor!$B$5:$B$204&gt;$B988)*(A_Corridor!$F$5:$F$204&lt;&gt;"")),IF(A_Corridor!$F$5:$F$204="-","",1)),"")</f>
        <v/>
      </c>
      <c r="J988" s="182" t="str">
        <f>IFERROR(LOOKUP(2,1/((A_Corridor!$A$5:$A$204&lt;&gt;"")*(A_Corridor!$A$5:$A$204&lt;=$B988)*(A_Corridor!$B$5:$B$204&gt;$B988)*(A_Corridor!$F$5:$F$204&lt;&gt;"")),IF(A_Corridor!$F$5:$F$204="-","",A_Corridor!$F$5:$F$204)),"")</f>
        <v/>
      </c>
      <c r="K988" s="182" t="str">
        <f>IFERROR(LOOKUP(2,1/((A_Corridor!$A$5:$A$204&lt;&gt;"")*(A_Corridor!$A$5:$A$204&lt;=$B988)*(A_Corridor!$B$5:$B$204&gt;$B988)*(A_Corridor!$G$5:$G$204&lt;&gt;"")),IF(A_Corridor!$G$5:$G$204="-","",A_Corridor!$G$5:$G$204)),"")</f>
        <v/>
      </c>
      <c r="L988" s="181" t="str">
        <f>IFERROR(LOOKUP(2,1/((A_Corridor!$A$5:$A$204&lt;&gt;"")*(A_Corridor!$A$5:$A$204&lt;=$B988)*(A_Corridor!$B$5:$B$204&gt;$B988)*(A_Corridor!$H$5:$H$204&lt;&gt;"")),IF(A_Corridor!$H$5:$H$204="-","",1)),"")</f>
        <v/>
      </c>
      <c r="M988" s="182" t="str">
        <f>IFERROR(LOOKUP(2,1/((A_Corridor!$A$5:$A$204&lt;&gt;"")*(A_Corridor!$A$5:$A$204&lt;=$B988)*(A_Corridor!$B$5:$B$204&gt;$B988)*(A_Corridor!$H$5:$H$204&lt;&gt;"")),IF(A_Corridor!$H$5:$H$204="-","",A_Corridor!$H$5:$H$204)),"")</f>
        <v/>
      </c>
      <c r="N988" s="182" t="str">
        <f>IFERROR(LOOKUP(2,1/((A_Corridor!$A$5:$A$204&lt;&gt;"")*(A_Corridor!$A$5:$A$204&lt;=$B988)*(A_Corridor!$B$5:$B$204&gt;$B988)*(A_Corridor!$I$5:$I$204&lt;&gt;"")),IF(A_Corridor!$I$5:$I$204="-","",A_Corridor!$I$5:$I$204)),"")</f>
        <v/>
      </c>
      <c r="O988" s="182" t="str">
        <f>IFERROR(LOOKUP(2,1/((D_Points!$A$5:$A$204&lt;&gt;"")*(D_Points!$A$5:$A$204&gt;=$B988)*(D_Points!$A$5:$A$204&lt;$B988+P_Interval)*(UPPER(TRIM(D_Points!$B$5:$B$204))="PITCHING")*(D_Points!$H$5:$H$204&lt;&gt;"")),D_Points!$H$5:$H$204),"")</f>
        <v/>
      </c>
      <c r="P988" s="181" t="str">
        <f>IFERROR(LOOKUP(2,1/((B_Drainage!$A$5:$A$204&lt;&gt;"")*(B_Drainage!$A$5:$A$204&lt;=$B988)*(B_Drainage!$B$5:$B$204&gt;$B988)*(B_Drainage!$C$5:$C$204&lt;&gt;"")),IF(B_Drainage!$C$5:$C$204="-","",UPPER(B_Drainage!$C$5:$C$204))),"")</f>
        <v/>
      </c>
      <c r="Q988" s="181" t="str">
        <f>IFERROR(LOOKUP(2,1/((B_Drainage!$A$5:$A$204&lt;&gt;"")*(B_Drainage!$A$5:$A$204&lt;=$B988)*(B_Drainage!$B$5:$B$204&gt;$B988)*(B_Drainage!$D$5:$D$204&lt;&gt;"")),IF(B_Drainage!$D$5:$D$204="-","",UPPER(B_Drainage!$D$5:$D$204))),"")</f>
        <v/>
      </c>
      <c r="R988" s="182" t="str">
        <f>IFERROR(LOOKUP(2,1/((D_Points!$A$5:$A$204&lt;&gt;"")*(D_Points!$A$5:$A$204&gt;=$B988)*(D_Points!$A$5:$A$204&lt;$B988+P_Interval)*(RIGHT(UPPER(TRIM(D_Points!$B$5:$B$204)),8)="_CULVERT")),IF(LEFT(UPPER(TRIM(D_Points!$B$5:$B$204)),2)="EX",1,IF(LEFT(UPPER(TRIM(D_Points!$B$5:$B$204)),2)="PR",2,3))),"")</f>
        <v/>
      </c>
      <c r="S988" s="182" t="str">
        <f>IFERROR(LOOKUP(2,1/((D_Points!$A$5:$A$204&lt;&gt;"")*(D_Points!$A$5:$A$204&gt;=$B988)*(D_Points!$A$5:$A$204&lt;$B988+P_Interval)*(RIGHT(UPPER(TRIM(D_Points!$B$5:$B$204)),7)="_BRIDGE")),IF(LEFT(UPPER(TRIM(D_Points!$B$5:$B$204)),2)="EX",1,IF(LEFT(UPPER(TRIM(D_Points!$B$5:$B$204)),2)="PR",2,2))),"")</f>
        <v/>
      </c>
      <c r="T988" s="181" t="str">
        <f>IFERROR(LOOKUP(2,1/((B_Drainage!$A$5:$A$204&lt;&gt;"")*(B_Drainage!$A$5:$A$204&lt;=$B988)*(B_Drainage!$B$5:$B$204&gt;$B988)*(B_Drainage!$E$5:$E$204&lt;&gt;"")),IF(B_Drainage!$E$5:$E$204="-","",1)),"")</f>
        <v/>
      </c>
      <c r="U988" s="181" t="str">
        <f>IFERROR(LOOKUP(2,1/((B_Drainage!$A$5:$A$204&lt;&gt;"")*(B_Drainage!$A$5:$A$204&lt;=$B988)*(B_Drainage!$B$5:$B$204&gt;$B988)*(B_Drainage!$E$5:$E$204&lt;&gt;"")),IF(B_Drainage!$E$5:$E$204="-","",B_Drainage!$E$5:$E$204)),"")</f>
        <v/>
      </c>
      <c r="V988" s="181" t="str">
        <f>IFERROR(LOOKUP(2,1/((B_Drainage!$A$5:$A$204&lt;&gt;"")*(B_Drainage!$A$5:$A$204&lt;=$B988)*(B_Drainage!$B$5:$B$204&gt;$B988)*(B_Drainage!$F$5:$F$204&lt;&gt;"")),IF(B_Drainage!$F$5:$F$204="-","",1)),"")</f>
        <v/>
      </c>
      <c r="W988" s="181" t="str">
        <f>IFERROR(LOOKUP(2,1/((B_Drainage!$A$5:$A$204&lt;&gt;"")*(B_Drainage!$A$5:$A$204&lt;=$B988)*(B_Drainage!$B$5:$B$204&gt;$B988)*(B_Drainage!$F$5:$F$204&lt;&gt;"")),IF(B_Drainage!$F$5:$F$204="-","",B_Drainage!$F$5:$F$204)),"")</f>
        <v/>
      </c>
      <c r="X988" s="181" t="str">
        <f>IFERROR(LOOKUP(2,1/((B_Drainage!$A$5:$A$204&lt;&gt;"")*(B_Drainage!$A$5:$A$204&lt;=$B988)*(B_Drainage!$B$5:$B$204&gt;$B988)*(B_Drainage!$G$5:$G$204&lt;&gt;"")),IF(UPPER(B_Drainage!$G$5:$G$204)="Y",1,"")),"")</f>
        <v/>
      </c>
      <c r="Y988" s="181" t="str">
        <f>IFERROR(LOOKUP(2,1/((B_Drainage!$A$5:$A$204&lt;&gt;"")*(B_Drainage!$A$5:$A$204&lt;=$B988)*(B_Drainage!$B$5:$B$204&gt;$B988)*(B_Drainage!$H$5:$H$204&lt;&gt;"")),IF(UPPER(B_Drainage!$H$5:$H$204)="Y",1,"")),"")</f>
        <v/>
      </c>
      <c r="Z988" s="181" t="str">
        <f>IFERROR(LOOKUP(2,1/((B_Drainage!$A$5:$A$204&lt;&gt;"")*(B_Drainage!$A$5:$A$204&lt;=$B988)*(B_Drainage!$B$5:$B$204&gt;$B988)*(B_Drainage!$I$5:$I$204&lt;&gt;"")),IF(UPPER(B_Drainage!$I$5:$I$204)="Y",1,"")),"")</f>
        <v/>
      </c>
      <c r="AA988" s="181" t="str">
        <f>IFERROR(LOOKUP(2,1/((B_Drainage!$A$5:$A$204&lt;&gt;"")*(B_Drainage!$A$5:$A$204&lt;=$B988)*(B_Drainage!$B$5:$B$204&gt;$B988)*(B_Drainage!$J$5:$J$204&lt;&gt;"")),IF(UPPER(B_Drainage!$J$5:$J$204)="Y",1,"")),"")</f>
        <v/>
      </c>
      <c r="AB988" s="182" t="str">
        <f>IFERROR(LOOKUP(2,1/((B_Drainage!$A$5:$A$204&lt;&gt;"")*(B_Drainage!$A$5:$A$204&lt;=$B988)*(B_Drainage!$B$5:$B$204&gt;$B988)*(B_Drainage!$K$5:$K$204&lt;&gt;"")),IF(B_Drainage!$K$5:$K$204="-","",B_Drainage!$K$5:$K$204)),"")</f>
        <v/>
      </c>
      <c r="AC988" s="182" t="str">
        <f>IFERROR(LOOKUP(2,1/((B_Drainage!$A$5:$A$204&lt;&gt;"")*(B_Drainage!$A$5:$A$204&lt;=$B988)*(B_Drainage!$B$5:$B$204&gt;$B988)*(B_Drainage!$L$5:$L$204&lt;&gt;"")),IF(B_Drainage!$L$5:$L$204="-","",B_Drainage!$L$5:$L$204)),"")</f>
        <v/>
      </c>
      <c r="AD988" s="182" t="str">
        <f>IFERROR(LOOKUP(2,1/((D_Points!$A$5:$A$204&lt;&gt;"")*(D_Points!$A$5:$A$204&gt;=$B988)*(D_Points!$A$5:$A$204&lt;$B988+P_Interval)*(UPPER(TRIM(D_Points!$B$5:$B$204))="TURNOUT_L")*(D_Points!$H$5:$H$204&lt;&gt;"")),D_Points!$H$5:$H$204),"")</f>
        <v/>
      </c>
      <c r="AE988" s="182" t="str">
        <f>IFERROR(LOOKUP(2,1/((D_Points!$A$5:$A$204&lt;&gt;"")*(D_Points!$A$5:$A$204&gt;=$B988)*(D_Points!$A$5:$A$204&lt;$B988+P_Interval)*(UPPER(TRIM(D_Points!$B$5:$B$204))="TURNOUT_R")*(D_Points!$H$5:$H$204&lt;&gt;"")),D_Points!$H$5:$H$204),"")</f>
        <v/>
      </c>
      <c r="AF988" s="181" t="str">
        <f>IFERROR(LOOKUP(2,1/((B_Drainage!$A$5:$A$204&lt;&gt;"")*(B_Drainage!$A$5:$A$204&lt;=$B988)*(B_Drainage!$B$5:$B$204&gt;$B988)*(B_Drainage!$M$5:$M$204&lt;&gt;"")),IF(UPPER(B_Drainage!$M$5:$M$204)="Y",1,"")),"")</f>
        <v/>
      </c>
      <c r="AG988" s="181" t="str">
        <f>IFERROR(LOOKUP(2,1/((B_Drainage!$A$5:$A$204&lt;&gt;"")*(B_Drainage!$A$5:$A$204&lt;=$B988)*(B_Drainage!$B$5:$B$204&gt;$B988)*(B_Drainage!$N$5:$N$204&lt;&gt;"")),IF(UPPER(B_Drainage!$N$5:$N$204)="Y",1,"")),"")</f>
        <v/>
      </c>
      <c r="AH988" s="181" t="str">
        <f t="shared" si="120"/>
        <v/>
      </c>
      <c r="AI988" s="181" t="str">
        <f t="shared" si="121"/>
        <v/>
      </c>
      <c r="AJ988" s="181" t="str">
        <f t="shared" si="122"/>
        <v/>
      </c>
      <c r="AK988" s="181" t="str">
        <f t="shared" si="123"/>
        <v/>
      </c>
      <c r="AL988" s="181" t="str">
        <f t="shared" si="124"/>
        <v/>
      </c>
      <c r="AM988" s="181" t="str">
        <f t="shared" si="125"/>
        <v/>
      </c>
      <c r="AN988" s="181" t="str">
        <f t="shared" si="126"/>
        <v/>
      </c>
      <c r="AO988" s="192" t="str">
        <f t="shared" si="127"/>
        <v/>
      </c>
      <c r="AQ988" t="str">
        <f>IFERROR(LOOKUP(2,1/((C_Pavement!$A$5:$A$204&lt;&gt;"")*(C_Pavement!$A$5:$A$204&lt;=$B988)*(C_Pavement!$B$5:$B$204&gt;$B988)*(C_Pavement!$C$5:$C$204&lt;&gt;"")),ROW(C_Pavement!$C$5:$C$204)-4),"")</f>
        <v/>
      </c>
      <c r="AR988" t="str">
        <f>IF($AQ988="","",UPPER(TRIM(INDEX(C_Pavement!$C$5:$C$204,$AQ988))))</f>
        <v/>
      </c>
      <c r="AS988" t="str">
        <f>IF($AR988="","",IFERROR(MATCH($AR988,E_Rules!$A$5:$A$9,0),""))</f>
        <v/>
      </c>
      <c r="AT988" t="str">
        <f>IF($AQ988="","",IF(INDEX(C_Pavement!$D$5:$D$204,$AQ988)&lt;&gt;"",UPPER(TRIM(INDEX(C_Pavement!$D$5:$D$204,$AQ988))),IF($AS988="","",INDEX(E_Rules!$C$5:$C$9,$AS988))))</f>
        <v/>
      </c>
      <c r="AU988" t="str">
        <f>IF($AQ988="","",IF(INDEX(C_Pavement!$E$5:$E$204,$AQ988)&lt;&gt;"",IF(INDEX(C_Pavement!$E$5:$E$204,$AQ988)="-","",INDEX(C_Pavement!$E$5:$E$204,$AQ988)),IF($AS988="","",INDEX(E_Rules!$D$5:$D$9,$AS988))))</f>
        <v/>
      </c>
      <c r="AV988" t="str">
        <f>IF($AQ988="","",IF(INDEX(C_Pavement!$F$5:$F$204,$AQ988)&lt;&gt;"",IF(INDEX(C_Pavement!$F$5:$F$204,$AQ988)="-","",INDEX(C_Pavement!$F$5:$F$204,$AQ988)),IF($AS988="","",INDEX(E_Rules!$E$5:$E$9,$AS988))))</f>
        <v/>
      </c>
      <c r="AW988" t="str">
        <f>IF($AQ988="","",IF(INDEX(C_Pavement!$G$5:$G$204,$AQ988)&lt;&gt;"",IF(INDEX(C_Pavement!$G$5:$G$204,$AQ988)="-","",INDEX(C_Pavement!$G$5:$G$204,$AQ988)),IF($AS988="","",INDEX(E_Rules!$F$5:$F$9,$AS988))))</f>
        <v/>
      </c>
      <c r="AX988" t="str">
        <f>IF($AQ988="","",IF(INDEX(C_Pavement!$H$5:$H$204,$AQ988)&lt;&gt;"",IF(INDEX(C_Pavement!$H$5:$H$204,$AQ988)="-","",INDEX(C_Pavement!$H$5:$H$204,$AQ988)),IF($AS988="","",INDEX(E_Rules!$G$5:$G$9,$AS988))))</f>
        <v/>
      </c>
      <c r="AY988" t="str">
        <f>IF($AQ988="","",IF(INDEX(C_Pavement!$I$5:$I$204,$AQ988)&lt;&gt;"",IF(INDEX(C_Pavement!$I$5:$I$204,$AQ988)="-","",INDEX(C_Pavement!$I$5:$I$204,$AQ988)),IF($AS988="","",INDEX(E_Rules!$H$5:$H$9,$AS988))))</f>
        <v/>
      </c>
    </row>
    <row r="989" spans="1:51" ht="15.75" customHeight="1" x14ac:dyDescent="0.3">
      <c r="A989" s="189">
        <v>984</v>
      </c>
      <c r="B989" s="180">
        <v>49150</v>
      </c>
      <c r="C989" s="180" t="s">
        <v>1295</v>
      </c>
      <c r="D989" s="181" t="str">
        <f>IFERROR(LOOKUP(2,1/((A_Corridor!$A$5:$A$204&lt;&gt;"")*(A_Corridor!$A$5:$A$204&lt;=$B989)*(A_Corridor!$B$5:$B$204&gt;$B989)*(A_Corridor!$C$5:$C$204&lt;&gt;"")),IF(UPPER(A_Corridor!$C$5:$C$204)="Y",1,"")),"")</f>
        <v/>
      </c>
      <c r="E989" s="181" t="str">
        <f>IFERROR(LOOKUP(2,1/((A_Corridor!$A$5:$A$204&lt;&gt;"")*(A_Corridor!$A$5:$A$204&lt;=$B989)*(A_Corridor!$B$5:$B$204&gt;$B989)*(A_Corridor!$D$5:$D$204&lt;&gt;"")),IF(A_Corridor!$D$5:$D$204="-","",UPPER(A_Corridor!$D$5:$D$204))),"")</f>
        <v/>
      </c>
      <c r="F989" s="181" t="str">
        <f>IFERROR(LOOKUP(2,1/((A_Corridor!$A$5:$A$204&lt;&gt;"")*(A_Corridor!$A$5:$A$204&lt;=$B989)*(A_Corridor!$B$5:$B$204&gt;$B989)*(A_Corridor!$E$5:$E$204&lt;&gt;"")),IF(A_Corridor!$E$5:$E$204="-","",1)),"")</f>
        <v/>
      </c>
      <c r="G989" s="182" t="str">
        <f>IFERROR(LOOKUP(2,1/((A_Corridor!$A$5:$A$204&lt;&gt;"")*(A_Corridor!$A$5:$A$204&lt;=$B989)*(A_Corridor!$B$5:$B$204&gt;$B989)*(A_Corridor!$E$5:$E$204&lt;&gt;"")),IF(A_Corridor!$E$5:$E$204="-","",A_Corridor!$E$5:$E$204)),"")</f>
        <v/>
      </c>
      <c r="H989" s="182" t="str">
        <f>IFERROR(LOOKUP(2,1/((D_Points!$A$5:$A$204&lt;&gt;"")*(D_Points!$A$5:$A$204&gt;=$B989)*(D_Points!$A$5:$A$204&lt;$B989+P_Interval)*(UPPER(TRIM(D_Points!$B$5:$B$204))="GULLY")*(D_Points!$H$5:$H$204&lt;&gt;"")),D_Points!$H$5:$H$204),"")</f>
        <v/>
      </c>
      <c r="I989" s="181" t="str">
        <f>IFERROR(LOOKUP(2,1/((A_Corridor!$A$5:$A$204&lt;&gt;"")*(A_Corridor!$A$5:$A$204&lt;=$B989)*(A_Corridor!$B$5:$B$204&gt;$B989)*(A_Corridor!$F$5:$F$204&lt;&gt;"")),IF(A_Corridor!$F$5:$F$204="-","",1)),"")</f>
        <v/>
      </c>
      <c r="J989" s="182" t="str">
        <f>IFERROR(LOOKUP(2,1/((A_Corridor!$A$5:$A$204&lt;&gt;"")*(A_Corridor!$A$5:$A$204&lt;=$B989)*(A_Corridor!$B$5:$B$204&gt;$B989)*(A_Corridor!$F$5:$F$204&lt;&gt;"")),IF(A_Corridor!$F$5:$F$204="-","",A_Corridor!$F$5:$F$204)),"")</f>
        <v/>
      </c>
      <c r="K989" s="182" t="str">
        <f>IFERROR(LOOKUP(2,1/((A_Corridor!$A$5:$A$204&lt;&gt;"")*(A_Corridor!$A$5:$A$204&lt;=$B989)*(A_Corridor!$B$5:$B$204&gt;$B989)*(A_Corridor!$G$5:$G$204&lt;&gt;"")),IF(A_Corridor!$G$5:$G$204="-","",A_Corridor!$G$5:$G$204)),"")</f>
        <v/>
      </c>
      <c r="L989" s="181" t="str">
        <f>IFERROR(LOOKUP(2,1/((A_Corridor!$A$5:$A$204&lt;&gt;"")*(A_Corridor!$A$5:$A$204&lt;=$B989)*(A_Corridor!$B$5:$B$204&gt;$B989)*(A_Corridor!$H$5:$H$204&lt;&gt;"")),IF(A_Corridor!$H$5:$H$204="-","",1)),"")</f>
        <v/>
      </c>
      <c r="M989" s="182" t="str">
        <f>IFERROR(LOOKUP(2,1/((A_Corridor!$A$5:$A$204&lt;&gt;"")*(A_Corridor!$A$5:$A$204&lt;=$B989)*(A_Corridor!$B$5:$B$204&gt;$B989)*(A_Corridor!$H$5:$H$204&lt;&gt;"")),IF(A_Corridor!$H$5:$H$204="-","",A_Corridor!$H$5:$H$204)),"")</f>
        <v/>
      </c>
      <c r="N989" s="182" t="str">
        <f>IFERROR(LOOKUP(2,1/((A_Corridor!$A$5:$A$204&lt;&gt;"")*(A_Corridor!$A$5:$A$204&lt;=$B989)*(A_Corridor!$B$5:$B$204&gt;$B989)*(A_Corridor!$I$5:$I$204&lt;&gt;"")),IF(A_Corridor!$I$5:$I$204="-","",A_Corridor!$I$5:$I$204)),"")</f>
        <v/>
      </c>
      <c r="O989" s="182" t="str">
        <f>IFERROR(LOOKUP(2,1/((D_Points!$A$5:$A$204&lt;&gt;"")*(D_Points!$A$5:$A$204&gt;=$B989)*(D_Points!$A$5:$A$204&lt;$B989+P_Interval)*(UPPER(TRIM(D_Points!$B$5:$B$204))="PITCHING")*(D_Points!$H$5:$H$204&lt;&gt;"")),D_Points!$H$5:$H$204),"")</f>
        <v/>
      </c>
      <c r="P989" s="181" t="str">
        <f>IFERROR(LOOKUP(2,1/((B_Drainage!$A$5:$A$204&lt;&gt;"")*(B_Drainage!$A$5:$A$204&lt;=$B989)*(B_Drainage!$B$5:$B$204&gt;$B989)*(B_Drainage!$C$5:$C$204&lt;&gt;"")),IF(B_Drainage!$C$5:$C$204="-","",UPPER(B_Drainage!$C$5:$C$204))),"")</f>
        <v/>
      </c>
      <c r="Q989" s="181" t="str">
        <f>IFERROR(LOOKUP(2,1/((B_Drainage!$A$5:$A$204&lt;&gt;"")*(B_Drainage!$A$5:$A$204&lt;=$B989)*(B_Drainage!$B$5:$B$204&gt;$B989)*(B_Drainage!$D$5:$D$204&lt;&gt;"")),IF(B_Drainage!$D$5:$D$204="-","",UPPER(B_Drainage!$D$5:$D$204))),"")</f>
        <v/>
      </c>
      <c r="R989" s="182" t="str">
        <f>IFERROR(LOOKUP(2,1/((D_Points!$A$5:$A$204&lt;&gt;"")*(D_Points!$A$5:$A$204&gt;=$B989)*(D_Points!$A$5:$A$204&lt;$B989+P_Interval)*(RIGHT(UPPER(TRIM(D_Points!$B$5:$B$204)),8)="_CULVERT")),IF(LEFT(UPPER(TRIM(D_Points!$B$5:$B$204)),2)="EX",1,IF(LEFT(UPPER(TRIM(D_Points!$B$5:$B$204)),2)="PR",2,3))),"")</f>
        <v/>
      </c>
      <c r="S989" s="182" t="str">
        <f>IFERROR(LOOKUP(2,1/((D_Points!$A$5:$A$204&lt;&gt;"")*(D_Points!$A$5:$A$204&gt;=$B989)*(D_Points!$A$5:$A$204&lt;$B989+P_Interval)*(RIGHT(UPPER(TRIM(D_Points!$B$5:$B$204)),7)="_BRIDGE")),IF(LEFT(UPPER(TRIM(D_Points!$B$5:$B$204)),2)="EX",1,IF(LEFT(UPPER(TRIM(D_Points!$B$5:$B$204)),2)="PR",2,2))),"")</f>
        <v/>
      </c>
      <c r="T989" s="181" t="str">
        <f>IFERROR(LOOKUP(2,1/((B_Drainage!$A$5:$A$204&lt;&gt;"")*(B_Drainage!$A$5:$A$204&lt;=$B989)*(B_Drainage!$B$5:$B$204&gt;$B989)*(B_Drainage!$E$5:$E$204&lt;&gt;"")),IF(B_Drainage!$E$5:$E$204="-","",1)),"")</f>
        <v/>
      </c>
      <c r="U989" s="181" t="str">
        <f>IFERROR(LOOKUP(2,1/((B_Drainage!$A$5:$A$204&lt;&gt;"")*(B_Drainage!$A$5:$A$204&lt;=$B989)*(B_Drainage!$B$5:$B$204&gt;$B989)*(B_Drainage!$E$5:$E$204&lt;&gt;"")),IF(B_Drainage!$E$5:$E$204="-","",B_Drainage!$E$5:$E$204)),"")</f>
        <v/>
      </c>
      <c r="V989" s="181" t="str">
        <f>IFERROR(LOOKUP(2,1/((B_Drainage!$A$5:$A$204&lt;&gt;"")*(B_Drainage!$A$5:$A$204&lt;=$B989)*(B_Drainage!$B$5:$B$204&gt;$B989)*(B_Drainage!$F$5:$F$204&lt;&gt;"")),IF(B_Drainage!$F$5:$F$204="-","",1)),"")</f>
        <v/>
      </c>
      <c r="W989" s="181" t="str">
        <f>IFERROR(LOOKUP(2,1/((B_Drainage!$A$5:$A$204&lt;&gt;"")*(B_Drainage!$A$5:$A$204&lt;=$B989)*(B_Drainage!$B$5:$B$204&gt;$B989)*(B_Drainage!$F$5:$F$204&lt;&gt;"")),IF(B_Drainage!$F$5:$F$204="-","",B_Drainage!$F$5:$F$204)),"")</f>
        <v/>
      </c>
      <c r="X989" s="181" t="str">
        <f>IFERROR(LOOKUP(2,1/((B_Drainage!$A$5:$A$204&lt;&gt;"")*(B_Drainage!$A$5:$A$204&lt;=$B989)*(B_Drainage!$B$5:$B$204&gt;$B989)*(B_Drainage!$G$5:$G$204&lt;&gt;"")),IF(UPPER(B_Drainage!$G$5:$G$204)="Y",1,"")),"")</f>
        <v/>
      </c>
      <c r="Y989" s="181" t="str">
        <f>IFERROR(LOOKUP(2,1/((B_Drainage!$A$5:$A$204&lt;&gt;"")*(B_Drainage!$A$5:$A$204&lt;=$B989)*(B_Drainage!$B$5:$B$204&gt;$B989)*(B_Drainage!$H$5:$H$204&lt;&gt;"")),IF(UPPER(B_Drainage!$H$5:$H$204)="Y",1,"")),"")</f>
        <v/>
      </c>
      <c r="Z989" s="181" t="str">
        <f>IFERROR(LOOKUP(2,1/((B_Drainage!$A$5:$A$204&lt;&gt;"")*(B_Drainage!$A$5:$A$204&lt;=$B989)*(B_Drainage!$B$5:$B$204&gt;$B989)*(B_Drainage!$I$5:$I$204&lt;&gt;"")),IF(UPPER(B_Drainage!$I$5:$I$204)="Y",1,"")),"")</f>
        <v/>
      </c>
      <c r="AA989" s="181" t="str">
        <f>IFERROR(LOOKUP(2,1/((B_Drainage!$A$5:$A$204&lt;&gt;"")*(B_Drainage!$A$5:$A$204&lt;=$B989)*(B_Drainage!$B$5:$B$204&gt;$B989)*(B_Drainage!$J$5:$J$204&lt;&gt;"")),IF(UPPER(B_Drainage!$J$5:$J$204)="Y",1,"")),"")</f>
        <v/>
      </c>
      <c r="AB989" s="182" t="str">
        <f>IFERROR(LOOKUP(2,1/((B_Drainage!$A$5:$A$204&lt;&gt;"")*(B_Drainage!$A$5:$A$204&lt;=$B989)*(B_Drainage!$B$5:$B$204&gt;$B989)*(B_Drainage!$K$5:$K$204&lt;&gt;"")),IF(B_Drainage!$K$5:$K$204="-","",B_Drainage!$K$5:$K$204)),"")</f>
        <v/>
      </c>
      <c r="AC989" s="182" t="str">
        <f>IFERROR(LOOKUP(2,1/((B_Drainage!$A$5:$A$204&lt;&gt;"")*(B_Drainage!$A$5:$A$204&lt;=$B989)*(B_Drainage!$B$5:$B$204&gt;$B989)*(B_Drainage!$L$5:$L$204&lt;&gt;"")),IF(B_Drainage!$L$5:$L$204="-","",B_Drainage!$L$5:$L$204)),"")</f>
        <v/>
      </c>
      <c r="AD989" s="182" t="str">
        <f>IFERROR(LOOKUP(2,1/((D_Points!$A$5:$A$204&lt;&gt;"")*(D_Points!$A$5:$A$204&gt;=$B989)*(D_Points!$A$5:$A$204&lt;$B989+P_Interval)*(UPPER(TRIM(D_Points!$B$5:$B$204))="TURNOUT_L")*(D_Points!$H$5:$H$204&lt;&gt;"")),D_Points!$H$5:$H$204),"")</f>
        <v/>
      </c>
      <c r="AE989" s="182" t="str">
        <f>IFERROR(LOOKUP(2,1/((D_Points!$A$5:$A$204&lt;&gt;"")*(D_Points!$A$5:$A$204&gt;=$B989)*(D_Points!$A$5:$A$204&lt;$B989+P_Interval)*(UPPER(TRIM(D_Points!$B$5:$B$204))="TURNOUT_R")*(D_Points!$H$5:$H$204&lt;&gt;"")),D_Points!$H$5:$H$204),"")</f>
        <v/>
      </c>
      <c r="AF989" s="181" t="str">
        <f>IFERROR(LOOKUP(2,1/((B_Drainage!$A$5:$A$204&lt;&gt;"")*(B_Drainage!$A$5:$A$204&lt;=$B989)*(B_Drainage!$B$5:$B$204&gt;$B989)*(B_Drainage!$M$5:$M$204&lt;&gt;"")),IF(UPPER(B_Drainage!$M$5:$M$204)="Y",1,"")),"")</f>
        <v/>
      </c>
      <c r="AG989" s="181" t="str">
        <f>IFERROR(LOOKUP(2,1/((B_Drainage!$A$5:$A$204&lt;&gt;"")*(B_Drainage!$A$5:$A$204&lt;=$B989)*(B_Drainage!$B$5:$B$204&gt;$B989)*(B_Drainage!$N$5:$N$204&lt;&gt;"")),IF(UPPER(B_Drainage!$N$5:$N$204)="Y",1,"")),"")</f>
        <v/>
      </c>
      <c r="AH989" s="181" t="str">
        <f t="shared" si="120"/>
        <v/>
      </c>
      <c r="AI989" s="181" t="str">
        <f t="shared" si="121"/>
        <v/>
      </c>
      <c r="AJ989" s="181" t="str">
        <f t="shared" si="122"/>
        <v/>
      </c>
      <c r="AK989" s="181" t="str">
        <f t="shared" si="123"/>
        <v/>
      </c>
      <c r="AL989" s="181" t="str">
        <f t="shared" si="124"/>
        <v/>
      </c>
      <c r="AM989" s="181" t="str">
        <f t="shared" si="125"/>
        <v/>
      </c>
      <c r="AN989" s="181" t="str">
        <f t="shared" si="126"/>
        <v/>
      </c>
      <c r="AO989" s="192" t="str">
        <f t="shared" si="127"/>
        <v/>
      </c>
      <c r="AQ989" t="str">
        <f>IFERROR(LOOKUP(2,1/((C_Pavement!$A$5:$A$204&lt;&gt;"")*(C_Pavement!$A$5:$A$204&lt;=$B989)*(C_Pavement!$B$5:$B$204&gt;$B989)*(C_Pavement!$C$5:$C$204&lt;&gt;"")),ROW(C_Pavement!$C$5:$C$204)-4),"")</f>
        <v/>
      </c>
      <c r="AR989" t="str">
        <f>IF($AQ989="","",UPPER(TRIM(INDEX(C_Pavement!$C$5:$C$204,$AQ989))))</f>
        <v/>
      </c>
      <c r="AS989" t="str">
        <f>IF($AR989="","",IFERROR(MATCH($AR989,E_Rules!$A$5:$A$9,0),""))</f>
        <v/>
      </c>
      <c r="AT989" t="str">
        <f>IF($AQ989="","",IF(INDEX(C_Pavement!$D$5:$D$204,$AQ989)&lt;&gt;"",UPPER(TRIM(INDEX(C_Pavement!$D$5:$D$204,$AQ989))),IF($AS989="","",INDEX(E_Rules!$C$5:$C$9,$AS989))))</f>
        <v/>
      </c>
      <c r="AU989" t="str">
        <f>IF($AQ989="","",IF(INDEX(C_Pavement!$E$5:$E$204,$AQ989)&lt;&gt;"",IF(INDEX(C_Pavement!$E$5:$E$204,$AQ989)="-","",INDEX(C_Pavement!$E$5:$E$204,$AQ989)),IF($AS989="","",INDEX(E_Rules!$D$5:$D$9,$AS989))))</f>
        <v/>
      </c>
      <c r="AV989" t="str">
        <f>IF($AQ989="","",IF(INDEX(C_Pavement!$F$5:$F$204,$AQ989)&lt;&gt;"",IF(INDEX(C_Pavement!$F$5:$F$204,$AQ989)="-","",INDEX(C_Pavement!$F$5:$F$204,$AQ989)),IF($AS989="","",INDEX(E_Rules!$E$5:$E$9,$AS989))))</f>
        <v/>
      </c>
      <c r="AW989" t="str">
        <f>IF($AQ989="","",IF(INDEX(C_Pavement!$G$5:$G$204,$AQ989)&lt;&gt;"",IF(INDEX(C_Pavement!$G$5:$G$204,$AQ989)="-","",INDEX(C_Pavement!$G$5:$G$204,$AQ989)),IF($AS989="","",INDEX(E_Rules!$F$5:$F$9,$AS989))))</f>
        <v/>
      </c>
      <c r="AX989" t="str">
        <f>IF($AQ989="","",IF(INDEX(C_Pavement!$H$5:$H$204,$AQ989)&lt;&gt;"",IF(INDEX(C_Pavement!$H$5:$H$204,$AQ989)="-","",INDEX(C_Pavement!$H$5:$H$204,$AQ989)),IF($AS989="","",INDEX(E_Rules!$G$5:$G$9,$AS989))))</f>
        <v/>
      </c>
      <c r="AY989" t="str">
        <f>IF($AQ989="","",IF(INDEX(C_Pavement!$I$5:$I$204,$AQ989)&lt;&gt;"",IF(INDEX(C_Pavement!$I$5:$I$204,$AQ989)="-","",INDEX(C_Pavement!$I$5:$I$204,$AQ989)),IF($AS989="","",INDEX(E_Rules!$H$5:$H$9,$AS989))))</f>
        <v/>
      </c>
    </row>
    <row r="990" spans="1:51" ht="15.75" customHeight="1" x14ac:dyDescent="0.3">
      <c r="A990" s="189">
        <v>985</v>
      </c>
      <c r="B990" s="180">
        <v>49200</v>
      </c>
      <c r="C990" s="180" t="s">
        <v>1296</v>
      </c>
      <c r="D990" s="181" t="str">
        <f>IFERROR(LOOKUP(2,1/((A_Corridor!$A$5:$A$204&lt;&gt;"")*(A_Corridor!$A$5:$A$204&lt;=$B990)*(A_Corridor!$B$5:$B$204&gt;$B990)*(A_Corridor!$C$5:$C$204&lt;&gt;"")),IF(UPPER(A_Corridor!$C$5:$C$204)="Y",1,"")),"")</f>
        <v/>
      </c>
      <c r="E990" s="181" t="str">
        <f>IFERROR(LOOKUP(2,1/((A_Corridor!$A$5:$A$204&lt;&gt;"")*(A_Corridor!$A$5:$A$204&lt;=$B990)*(A_Corridor!$B$5:$B$204&gt;$B990)*(A_Corridor!$D$5:$D$204&lt;&gt;"")),IF(A_Corridor!$D$5:$D$204="-","",UPPER(A_Corridor!$D$5:$D$204))),"")</f>
        <v/>
      </c>
      <c r="F990" s="181" t="str">
        <f>IFERROR(LOOKUP(2,1/((A_Corridor!$A$5:$A$204&lt;&gt;"")*(A_Corridor!$A$5:$A$204&lt;=$B990)*(A_Corridor!$B$5:$B$204&gt;$B990)*(A_Corridor!$E$5:$E$204&lt;&gt;"")),IF(A_Corridor!$E$5:$E$204="-","",1)),"")</f>
        <v/>
      </c>
      <c r="G990" s="182" t="str">
        <f>IFERROR(LOOKUP(2,1/((A_Corridor!$A$5:$A$204&lt;&gt;"")*(A_Corridor!$A$5:$A$204&lt;=$B990)*(A_Corridor!$B$5:$B$204&gt;$B990)*(A_Corridor!$E$5:$E$204&lt;&gt;"")),IF(A_Corridor!$E$5:$E$204="-","",A_Corridor!$E$5:$E$204)),"")</f>
        <v/>
      </c>
      <c r="H990" s="182" t="str">
        <f>IFERROR(LOOKUP(2,1/((D_Points!$A$5:$A$204&lt;&gt;"")*(D_Points!$A$5:$A$204&gt;=$B990)*(D_Points!$A$5:$A$204&lt;$B990+P_Interval)*(UPPER(TRIM(D_Points!$B$5:$B$204))="GULLY")*(D_Points!$H$5:$H$204&lt;&gt;"")),D_Points!$H$5:$H$204),"")</f>
        <v/>
      </c>
      <c r="I990" s="181" t="str">
        <f>IFERROR(LOOKUP(2,1/((A_Corridor!$A$5:$A$204&lt;&gt;"")*(A_Corridor!$A$5:$A$204&lt;=$B990)*(A_Corridor!$B$5:$B$204&gt;$B990)*(A_Corridor!$F$5:$F$204&lt;&gt;"")),IF(A_Corridor!$F$5:$F$204="-","",1)),"")</f>
        <v/>
      </c>
      <c r="J990" s="182" t="str">
        <f>IFERROR(LOOKUP(2,1/((A_Corridor!$A$5:$A$204&lt;&gt;"")*(A_Corridor!$A$5:$A$204&lt;=$B990)*(A_Corridor!$B$5:$B$204&gt;$B990)*(A_Corridor!$F$5:$F$204&lt;&gt;"")),IF(A_Corridor!$F$5:$F$204="-","",A_Corridor!$F$5:$F$204)),"")</f>
        <v/>
      </c>
      <c r="K990" s="182" t="str">
        <f>IFERROR(LOOKUP(2,1/((A_Corridor!$A$5:$A$204&lt;&gt;"")*(A_Corridor!$A$5:$A$204&lt;=$B990)*(A_Corridor!$B$5:$B$204&gt;$B990)*(A_Corridor!$G$5:$G$204&lt;&gt;"")),IF(A_Corridor!$G$5:$G$204="-","",A_Corridor!$G$5:$G$204)),"")</f>
        <v/>
      </c>
      <c r="L990" s="181" t="str">
        <f>IFERROR(LOOKUP(2,1/((A_Corridor!$A$5:$A$204&lt;&gt;"")*(A_Corridor!$A$5:$A$204&lt;=$B990)*(A_Corridor!$B$5:$B$204&gt;$B990)*(A_Corridor!$H$5:$H$204&lt;&gt;"")),IF(A_Corridor!$H$5:$H$204="-","",1)),"")</f>
        <v/>
      </c>
      <c r="M990" s="182" t="str">
        <f>IFERROR(LOOKUP(2,1/((A_Corridor!$A$5:$A$204&lt;&gt;"")*(A_Corridor!$A$5:$A$204&lt;=$B990)*(A_Corridor!$B$5:$B$204&gt;$B990)*(A_Corridor!$H$5:$H$204&lt;&gt;"")),IF(A_Corridor!$H$5:$H$204="-","",A_Corridor!$H$5:$H$204)),"")</f>
        <v/>
      </c>
      <c r="N990" s="182" t="str">
        <f>IFERROR(LOOKUP(2,1/((A_Corridor!$A$5:$A$204&lt;&gt;"")*(A_Corridor!$A$5:$A$204&lt;=$B990)*(A_Corridor!$B$5:$B$204&gt;$B990)*(A_Corridor!$I$5:$I$204&lt;&gt;"")),IF(A_Corridor!$I$5:$I$204="-","",A_Corridor!$I$5:$I$204)),"")</f>
        <v/>
      </c>
      <c r="O990" s="182" t="str">
        <f>IFERROR(LOOKUP(2,1/((D_Points!$A$5:$A$204&lt;&gt;"")*(D_Points!$A$5:$A$204&gt;=$B990)*(D_Points!$A$5:$A$204&lt;$B990+P_Interval)*(UPPER(TRIM(D_Points!$B$5:$B$204))="PITCHING")*(D_Points!$H$5:$H$204&lt;&gt;"")),D_Points!$H$5:$H$204),"")</f>
        <v/>
      </c>
      <c r="P990" s="181" t="str">
        <f>IFERROR(LOOKUP(2,1/((B_Drainage!$A$5:$A$204&lt;&gt;"")*(B_Drainage!$A$5:$A$204&lt;=$B990)*(B_Drainage!$B$5:$B$204&gt;$B990)*(B_Drainage!$C$5:$C$204&lt;&gt;"")),IF(B_Drainage!$C$5:$C$204="-","",UPPER(B_Drainage!$C$5:$C$204))),"")</f>
        <v/>
      </c>
      <c r="Q990" s="181" t="str">
        <f>IFERROR(LOOKUP(2,1/((B_Drainage!$A$5:$A$204&lt;&gt;"")*(B_Drainage!$A$5:$A$204&lt;=$B990)*(B_Drainage!$B$5:$B$204&gt;$B990)*(B_Drainage!$D$5:$D$204&lt;&gt;"")),IF(B_Drainage!$D$5:$D$204="-","",UPPER(B_Drainage!$D$5:$D$204))),"")</f>
        <v/>
      </c>
      <c r="R990" s="182" t="str">
        <f>IFERROR(LOOKUP(2,1/((D_Points!$A$5:$A$204&lt;&gt;"")*(D_Points!$A$5:$A$204&gt;=$B990)*(D_Points!$A$5:$A$204&lt;$B990+P_Interval)*(RIGHT(UPPER(TRIM(D_Points!$B$5:$B$204)),8)="_CULVERT")),IF(LEFT(UPPER(TRIM(D_Points!$B$5:$B$204)),2)="EX",1,IF(LEFT(UPPER(TRIM(D_Points!$B$5:$B$204)),2)="PR",2,3))),"")</f>
        <v/>
      </c>
      <c r="S990" s="182" t="str">
        <f>IFERROR(LOOKUP(2,1/((D_Points!$A$5:$A$204&lt;&gt;"")*(D_Points!$A$5:$A$204&gt;=$B990)*(D_Points!$A$5:$A$204&lt;$B990+P_Interval)*(RIGHT(UPPER(TRIM(D_Points!$B$5:$B$204)),7)="_BRIDGE")),IF(LEFT(UPPER(TRIM(D_Points!$B$5:$B$204)),2)="EX",1,IF(LEFT(UPPER(TRIM(D_Points!$B$5:$B$204)),2)="PR",2,2))),"")</f>
        <v/>
      </c>
      <c r="T990" s="181" t="str">
        <f>IFERROR(LOOKUP(2,1/((B_Drainage!$A$5:$A$204&lt;&gt;"")*(B_Drainage!$A$5:$A$204&lt;=$B990)*(B_Drainage!$B$5:$B$204&gt;$B990)*(B_Drainage!$E$5:$E$204&lt;&gt;"")),IF(B_Drainage!$E$5:$E$204="-","",1)),"")</f>
        <v/>
      </c>
      <c r="U990" s="181" t="str">
        <f>IFERROR(LOOKUP(2,1/((B_Drainage!$A$5:$A$204&lt;&gt;"")*(B_Drainage!$A$5:$A$204&lt;=$B990)*(B_Drainage!$B$5:$B$204&gt;$B990)*(B_Drainage!$E$5:$E$204&lt;&gt;"")),IF(B_Drainage!$E$5:$E$204="-","",B_Drainage!$E$5:$E$204)),"")</f>
        <v/>
      </c>
      <c r="V990" s="181" t="str">
        <f>IFERROR(LOOKUP(2,1/((B_Drainage!$A$5:$A$204&lt;&gt;"")*(B_Drainage!$A$5:$A$204&lt;=$B990)*(B_Drainage!$B$5:$B$204&gt;$B990)*(B_Drainage!$F$5:$F$204&lt;&gt;"")),IF(B_Drainage!$F$5:$F$204="-","",1)),"")</f>
        <v/>
      </c>
      <c r="W990" s="181" t="str">
        <f>IFERROR(LOOKUP(2,1/((B_Drainage!$A$5:$A$204&lt;&gt;"")*(B_Drainage!$A$5:$A$204&lt;=$B990)*(B_Drainage!$B$5:$B$204&gt;$B990)*(B_Drainage!$F$5:$F$204&lt;&gt;"")),IF(B_Drainage!$F$5:$F$204="-","",B_Drainage!$F$5:$F$204)),"")</f>
        <v/>
      </c>
      <c r="X990" s="181" t="str">
        <f>IFERROR(LOOKUP(2,1/((B_Drainage!$A$5:$A$204&lt;&gt;"")*(B_Drainage!$A$5:$A$204&lt;=$B990)*(B_Drainage!$B$5:$B$204&gt;$B990)*(B_Drainage!$G$5:$G$204&lt;&gt;"")),IF(UPPER(B_Drainage!$G$5:$G$204)="Y",1,"")),"")</f>
        <v/>
      </c>
      <c r="Y990" s="181" t="str">
        <f>IFERROR(LOOKUP(2,1/((B_Drainage!$A$5:$A$204&lt;&gt;"")*(B_Drainage!$A$5:$A$204&lt;=$B990)*(B_Drainage!$B$5:$B$204&gt;$B990)*(B_Drainage!$H$5:$H$204&lt;&gt;"")),IF(UPPER(B_Drainage!$H$5:$H$204)="Y",1,"")),"")</f>
        <v/>
      </c>
      <c r="Z990" s="181" t="str">
        <f>IFERROR(LOOKUP(2,1/((B_Drainage!$A$5:$A$204&lt;&gt;"")*(B_Drainage!$A$5:$A$204&lt;=$B990)*(B_Drainage!$B$5:$B$204&gt;$B990)*(B_Drainage!$I$5:$I$204&lt;&gt;"")),IF(UPPER(B_Drainage!$I$5:$I$204)="Y",1,"")),"")</f>
        <v/>
      </c>
      <c r="AA990" s="181" t="str">
        <f>IFERROR(LOOKUP(2,1/((B_Drainage!$A$5:$A$204&lt;&gt;"")*(B_Drainage!$A$5:$A$204&lt;=$B990)*(B_Drainage!$B$5:$B$204&gt;$B990)*(B_Drainage!$J$5:$J$204&lt;&gt;"")),IF(UPPER(B_Drainage!$J$5:$J$204)="Y",1,"")),"")</f>
        <v/>
      </c>
      <c r="AB990" s="182" t="str">
        <f>IFERROR(LOOKUP(2,1/((B_Drainage!$A$5:$A$204&lt;&gt;"")*(B_Drainage!$A$5:$A$204&lt;=$B990)*(B_Drainage!$B$5:$B$204&gt;$B990)*(B_Drainage!$K$5:$K$204&lt;&gt;"")),IF(B_Drainage!$K$5:$K$204="-","",B_Drainage!$K$5:$K$204)),"")</f>
        <v/>
      </c>
      <c r="AC990" s="182" t="str">
        <f>IFERROR(LOOKUP(2,1/((B_Drainage!$A$5:$A$204&lt;&gt;"")*(B_Drainage!$A$5:$A$204&lt;=$B990)*(B_Drainage!$B$5:$B$204&gt;$B990)*(B_Drainage!$L$5:$L$204&lt;&gt;"")),IF(B_Drainage!$L$5:$L$204="-","",B_Drainage!$L$5:$L$204)),"")</f>
        <v/>
      </c>
      <c r="AD990" s="182" t="str">
        <f>IFERROR(LOOKUP(2,1/((D_Points!$A$5:$A$204&lt;&gt;"")*(D_Points!$A$5:$A$204&gt;=$B990)*(D_Points!$A$5:$A$204&lt;$B990+P_Interval)*(UPPER(TRIM(D_Points!$B$5:$B$204))="TURNOUT_L")*(D_Points!$H$5:$H$204&lt;&gt;"")),D_Points!$H$5:$H$204),"")</f>
        <v/>
      </c>
      <c r="AE990" s="182" t="str">
        <f>IFERROR(LOOKUP(2,1/((D_Points!$A$5:$A$204&lt;&gt;"")*(D_Points!$A$5:$A$204&gt;=$B990)*(D_Points!$A$5:$A$204&lt;$B990+P_Interval)*(UPPER(TRIM(D_Points!$B$5:$B$204))="TURNOUT_R")*(D_Points!$H$5:$H$204&lt;&gt;"")),D_Points!$H$5:$H$204),"")</f>
        <v/>
      </c>
      <c r="AF990" s="181" t="str">
        <f>IFERROR(LOOKUP(2,1/((B_Drainage!$A$5:$A$204&lt;&gt;"")*(B_Drainage!$A$5:$A$204&lt;=$B990)*(B_Drainage!$B$5:$B$204&gt;$B990)*(B_Drainage!$M$5:$M$204&lt;&gt;"")),IF(UPPER(B_Drainage!$M$5:$M$204)="Y",1,"")),"")</f>
        <v/>
      </c>
      <c r="AG990" s="181" t="str">
        <f>IFERROR(LOOKUP(2,1/((B_Drainage!$A$5:$A$204&lt;&gt;"")*(B_Drainage!$A$5:$A$204&lt;=$B990)*(B_Drainage!$B$5:$B$204&gt;$B990)*(B_Drainage!$N$5:$N$204&lt;&gt;"")),IF(UPPER(B_Drainage!$N$5:$N$204)="Y",1,"")),"")</f>
        <v/>
      </c>
      <c r="AH990" s="181" t="str">
        <f t="shared" si="120"/>
        <v/>
      </c>
      <c r="AI990" s="181" t="str">
        <f t="shared" si="121"/>
        <v/>
      </c>
      <c r="AJ990" s="181" t="str">
        <f t="shared" si="122"/>
        <v/>
      </c>
      <c r="AK990" s="181" t="str">
        <f t="shared" si="123"/>
        <v/>
      </c>
      <c r="AL990" s="181" t="str">
        <f t="shared" si="124"/>
        <v/>
      </c>
      <c r="AM990" s="181" t="str">
        <f t="shared" si="125"/>
        <v/>
      </c>
      <c r="AN990" s="181" t="str">
        <f t="shared" si="126"/>
        <v/>
      </c>
      <c r="AO990" s="192" t="str">
        <f t="shared" si="127"/>
        <v/>
      </c>
      <c r="AQ990" t="str">
        <f>IFERROR(LOOKUP(2,1/((C_Pavement!$A$5:$A$204&lt;&gt;"")*(C_Pavement!$A$5:$A$204&lt;=$B990)*(C_Pavement!$B$5:$B$204&gt;$B990)*(C_Pavement!$C$5:$C$204&lt;&gt;"")),ROW(C_Pavement!$C$5:$C$204)-4),"")</f>
        <v/>
      </c>
      <c r="AR990" t="str">
        <f>IF($AQ990="","",UPPER(TRIM(INDEX(C_Pavement!$C$5:$C$204,$AQ990))))</f>
        <v/>
      </c>
      <c r="AS990" t="str">
        <f>IF($AR990="","",IFERROR(MATCH($AR990,E_Rules!$A$5:$A$9,0),""))</f>
        <v/>
      </c>
      <c r="AT990" t="str">
        <f>IF($AQ990="","",IF(INDEX(C_Pavement!$D$5:$D$204,$AQ990)&lt;&gt;"",UPPER(TRIM(INDEX(C_Pavement!$D$5:$D$204,$AQ990))),IF($AS990="","",INDEX(E_Rules!$C$5:$C$9,$AS990))))</f>
        <v/>
      </c>
      <c r="AU990" t="str">
        <f>IF($AQ990="","",IF(INDEX(C_Pavement!$E$5:$E$204,$AQ990)&lt;&gt;"",IF(INDEX(C_Pavement!$E$5:$E$204,$AQ990)="-","",INDEX(C_Pavement!$E$5:$E$204,$AQ990)),IF($AS990="","",INDEX(E_Rules!$D$5:$D$9,$AS990))))</f>
        <v/>
      </c>
      <c r="AV990" t="str">
        <f>IF($AQ990="","",IF(INDEX(C_Pavement!$F$5:$F$204,$AQ990)&lt;&gt;"",IF(INDEX(C_Pavement!$F$5:$F$204,$AQ990)="-","",INDEX(C_Pavement!$F$5:$F$204,$AQ990)),IF($AS990="","",INDEX(E_Rules!$E$5:$E$9,$AS990))))</f>
        <v/>
      </c>
      <c r="AW990" t="str">
        <f>IF($AQ990="","",IF(INDEX(C_Pavement!$G$5:$G$204,$AQ990)&lt;&gt;"",IF(INDEX(C_Pavement!$G$5:$G$204,$AQ990)="-","",INDEX(C_Pavement!$G$5:$G$204,$AQ990)),IF($AS990="","",INDEX(E_Rules!$F$5:$F$9,$AS990))))</f>
        <v/>
      </c>
      <c r="AX990" t="str">
        <f>IF($AQ990="","",IF(INDEX(C_Pavement!$H$5:$H$204,$AQ990)&lt;&gt;"",IF(INDEX(C_Pavement!$H$5:$H$204,$AQ990)="-","",INDEX(C_Pavement!$H$5:$H$204,$AQ990)),IF($AS990="","",INDEX(E_Rules!$G$5:$G$9,$AS990))))</f>
        <v/>
      </c>
      <c r="AY990" t="str">
        <f>IF($AQ990="","",IF(INDEX(C_Pavement!$I$5:$I$204,$AQ990)&lt;&gt;"",IF(INDEX(C_Pavement!$I$5:$I$204,$AQ990)="-","",INDEX(C_Pavement!$I$5:$I$204,$AQ990)),IF($AS990="","",INDEX(E_Rules!$H$5:$H$9,$AS990))))</f>
        <v/>
      </c>
    </row>
    <row r="991" spans="1:51" ht="15.75" customHeight="1" x14ac:dyDescent="0.3">
      <c r="A991" s="189">
        <v>986</v>
      </c>
      <c r="B991" s="180">
        <v>49250</v>
      </c>
      <c r="C991" s="180" t="s">
        <v>1297</v>
      </c>
      <c r="D991" s="181" t="str">
        <f>IFERROR(LOOKUP(2,1/((A_Corridor!$A$5:$A$204&lt;&gt;"")*(A_Corridor!$A$5:$A$204&lt;=$B991)*(A_Corridor!$B$5:$B$204&gt;$B991)*(A_Corridor!$C$5:$C$204&lt;&gt;"")),IF(UPPER(A_Corridor!$C$5:$C$204)="Y",1,"")),"")</f>
        <v/>
      </c>
      <c r="E991" s="181" t="str">
        <f>IFERROR(LOOKUP(2,1/((A_Corridor!$A$5:$A$204&lt;&gt;"")*(A_Corridor!$A$5:$A$204&lt;=$B991)*(A_Corridor!$B$5:$B$204&gt;$B991)*(A_Corridor!$D$5:$D$204&lt;&gt;"")),IF(A_Corridor!$D$5:$D$204="-","",UPPER(A_Corridor!$D$5:$D$204))),"")</f>
        <v/>
      </c>
      <c r="F991" s="181" t="str">
        <f>IFERROR(LOOKUP(2,1/((A_Corridor!$A$5:$A$204&lt;&gt;"")*(A_Corridor!$A$5:$A$204&lt;=$B991)*(A_Corridor!$B$5:$B$204&gt;$B991)*(A_Corridor!$E$5:$E$204&lt;&gt;"")),IF(A_Corridor!$E$5:$E$204="-","",1)),"")</f>
        <v/>
      </c>
      <c r="G991" s="182" t="str">
        <f>IFERROR(LOOKUP(2,1/((A_Corridor!$A$5:$A$204&lt;&gt;"")*(A_Corridor!$A$5:$A$204&lt;=$B991)*(A_Corridor!$B$5:$B$204&gt;$B991)*(A_Corridor!$E$5:$E$204&lt;&gt;"")),IF(A_Corridor!$E$5:$E$204="-","",A_Corridor!$E$5:$E$204)),"")</f>
        <v/>
      </c>
      <c r="H991" s="182" t="str">
        <f>IFERROR(LOOKUP(2,1/((D_Points!$A$5:$A$204&lt;&gt;"")*(D_Points!$A$5:$A$204&gt;=$B991)*(D_Points!$A$5:$A$204&lt;$B991+P_Interval)*(UPPER(TRIM(D_Points!$B$5:$B$204))="GULLY")*(D_Points!$H$5:$H$204&lt;&gt;"")),D_Points!$H$5:$H$204),"")</f>
        <v/>
      </c>
      <c r="I991" s="181" t="str">
        <f>IFERROR(LOOKUP(2,1/((A_Corridor!$A$5:$A$204&lt;&gt;"")*(A_Corridor!$A$5:$A$204&lt;=$B991)*(A_Corridor!$B$5:$B$204&gt;$B991)*(A_Corridor!$F$5:$F$204&lt;&gt;"")),IF(A_Corridor!$F$5:$F$204="-","",1)),"")</f>
        <v/>
      </c>
      <c r="J991" s="182" t="str">
        <f>IFERROR(LOOKUP(2,1/((A_Corridor!$A$5:$A$204&lt;&gt;"")*(A_Corridor!$A$5:$A$204&lt;=$B991)*(A_Corridor!$B$5:$B$204&gt;$B991)*(A_Corridor!$F$5:$F$204&lt;&gt;"")),IF(A_Corridor!$F$5:$F$204="-","",A_Corridor!$F$5:$F$204)),"")</f>
        <v/>
      </c>
      <c r="K991" s="182" t="str">
        <f>IFERROR(LOOKUP(2,1/((A_Corridor!$A$5:$A$204&lt;&gt;"")*(A_Corridor!$A$5:$A$204&lt;=$B991)*(A_Corridor!$B$5:$B$204&gt;$B991)*(A_Corridor!$G$5:$G$204&lt;&gt;"")),IF(A_Corridor!$G$5:$G$204="-","",A_Corridor!$G$5:$G$204)),"")</f>
        <v/>
      </c>
      <c r="L991" s="181" t="str">
        <f>IFERROR(LOOKUP(2,1/((A_Corridor!$A$5:$A$204&lt;&gt;"")*(A_Corridor!$A$5:$A$204&lt;=$B991)*(A_Corridor!$B$5:$B$204&gt;$B991)*(A_Corridor!$H$5:$H$204&lt;&gt;"")),IF(A_Corridor!$H$5:$H$204="-","",1)),"")</f>
        <v/>
      </c>
      <c r="M991" s="182" t="str">
        <f>IFERROR(LOOKUP(2,1/((A_Corridor!$A$5:$A$204&lt;&gt;"")*(A_Corridor!$A$5:$A$204&lt;=$B991)*(A_Corridor!$B$5:$B$204&gt;$B991)*(A_Corridor!$H$5:$H$204&lt;&gt;"")),IF(A_Corridor!$H$5:$H$204="-","",A_Corridor!$H$5:$H$204)),"")</f>
        <v/>
      </c>
      <c r="N991" s="182" t="str">
        <f>IFERROR(LOOKUP(2,1/((A_Corridor!$A$5:$A$204&lt;&gt;"")*(A_Corridor!$A$5:$A$204&lt;=$B991)*(A_Corridor!$B$5:$B$204&gt;$B991)*(A_Corridor!$I$5:$I$204&lt;&gt;"")),IF(A_Corridor!$I$5:$I$204="-","",A_Corridor!$I$5:$I$204)),"")</f>
        <v/>
      </c>
      <c r="O991" s="182" t="str">
        <f>IFERROR(LOOKUP(2,1/((D_Points!$A$5:$A$204&lt;&gt;"")*(D_Points!$A$5:$A$204&gt;=$B991)*(D_Points!$A$5:$A$204&lt;$B991+P_Interval)*(UPPER(TRIM(D_Points!$B$5:$B$204))="PITCHING")*(D_Points!$H$5:$H$204&lt;&gt;"")),D_Points!$H$5:$H$204),"")</f>
        <v/>
      </c>
      <c r="P991" s="181" t="str">
        <f>IFERROR(LOOKUP(2,1/((B_Drainage!$A$5:$A$204&lt;&gt;"")*(B_Drainage!$A$5:$A$204&lt;=$B991)*(B_Drainage!$B$5:$B$204&gt;$B991)*(B_Drainage!$C$5:$C$204&lt;&gt;"")),IF(B_Drainage!$C$5:$C$204="-","",UPPER(B_Drainage!$C$5:$C$204))),"")</f>
        <v/>
      </c>
      <c r="Q991" s="181" t="str">
        <f>IFERROR(LOOKUP(2,1/((B_Drainage!$A$5:$A$204&lt;&gt;"")*(B_Drainage!$A$5:$A$204&lt;=$B991)*(B_Drainage!$B$5:$B$204&gt;$B991)*(B_Drainage!$D$5:$D$204&lt;&gt;"")),IF(B_Drainage!$D$5:$D$204="-","",UPPER(B_Drainage!$D$5:$D$204))),"")</f>
        <v/>
      </c>
      <c r="R991" s="182" t="str">
        <f>IFERROR(LOOKUP(2,1/((D_Points!$A$5:$A$204&lt;&gt;"")*(D_Points!$A$5:$A$204&gt;=$B991)*(D_Points!$A$5:$A$204&lt;$B991+P_Interval)*(RIGHT(UPPER(TRIM(D_Points!$B$5:$B$204)),8)="_CULVERT")),IF(LEFT(UPPER(TRIM(D_Points!$B$5:$B$204)),2)="EX",1,IF(LEFT(UPPER(TRIM(D_Points!$B$5:$B$204)),2)="PR",2,3))),"")</f>
        <v/>
      </c>
      <c r="S991" s="182" t="str">
        <f>IFERROR(LOOKUP(2,1/((D_Points!$A$5:$A$204&lt;&gt;"")*(D_Points!$A$5:$A$204&gt;=$B991)*(D_Points!$A$5:$A$204&lt;$B991+P_Interval)*(RIGHT(UPPER(TRIM(D_Points!$B$5:$B$204)),7)="_BRIDGE")),IF(LEFT(UPPER(TRIM(D_Points!$B$5:$B$204)),2)="EX",1,IF(LEFT(UPPER(TRIM(D_Points!$B$5:$B$204)),2)="PR",2,2))),"")</f>
        <v/>
      </c>
      <c r="T991" s="181" t="str">
        <f>IFERROR(LOOKUP(2,1/((B_Drainage!$A$5:$A$204&lt;&gt;"")*(B_Drainage!$A$5:$A$204&lt;=$B991)*(B_Drainage!$B$5:$B$204&gt;$B991)*(B_Drainage!$E$5:$E$204&lt;&gt;"")),IF(B_Drainage!$E$5:$E$204="-","",1)),"")</f>
        <v/>
      </c>
      <c r="U991" s="181" t="str">
        <f>IFERROR(LOOKUP(2,1/((B_Drainage!$A$5:$A$204&lt;&gt;"")*(B_Drainage!$A$5:$A$204&lt;=$B991)*(B_Drainage!$B$5:$B$204&gt;$B991)*(B_Drainage!$E$5:$E$204&lt;&gt;"")),IF(B_Drainage!$E$5:$E$204="-","",B_Drainage!$E$5:$E$204)),"")</f>
        <v/>
      </c>
      <c r="V991" s="181" t="str">
        <f>IFERROR(LOOKUP(2,1/((B_Drainage!$A$5:$A$204&lt;&gt;"")*(B_Drainage!$A$5:$A$204&lt;=$B991)*(B_Drainage!$B$5:$B$204&gt;$B991)*(B_Drainage!$F$5:$F$204&lt;&gt;"")),IF(B_Drainage!$F$5:$F$204="-","",1)),"")</f>
        <v/>
      </c>
      <c r="W991" s="181" t="str">
        <f>IFERROR(LOOKUP(2,1/((B_Drainage!$A$5:$A$204&lt;&gt;"")*(B_Drainage!$A$5:$A$204&lt;=$B991)*(B_Drainage!$B$5:$B$204&gt;$B991)*(B_Drainage!$F$5:$F$204&lt;&gt;"")),IF(B_Drainage!$F$5:$F$204="-","",B_Drainage!$F$5:$F$204)),"")</f>
        <v/>
      </c>
      <c r="X991" s="181" t="str">
        <f>IFERROR(LOOKUP(2,1/((B_Drainage!$A$5:$A$204&lt;&gt;"")*(B_Drainage!$A$5:$A$204&lt;=$B991)*(B_Drainage!$B$5:$B$204&gt;$B991)*(B_Drainage!$G$5:$G$204&lt;&gt;"")),IF(UPPER(B_Drainage!$G$5:$G$204)="Y",1,"")),"")</f>
        <v/>
      </c>
      <c r="Y991" s="181" t="str">
        <f>IFERROR(LOOKUP(2,1/((B_Drainage!$A$5:$A$204&lt;&gt;"")*(B_Drainage!$A$5:$A$204&lt;=$B991)*(B_Drainage!$B$5:$B$204&gt;$B991)*(B_Drainage!$H$5:$H$204&lt;&gt;"")),IF(UPPER(B_Drainage!$H$5:$H$204)="Y",1,"")),"")</f>
        <v/>
      </c>
      <c r="Z991" s="181" t="str">
        <f>IFERROR(LOOKUP(2,1/((B_Drainage!$A$5:$A$204&lt;&gt;"")*(B_Drainage!$A$5:$A$204&lt;=$B991)*(B_Drainage!$B$5:$B$204&gt;$B991)*(B_Drainage!$I$5:$I$204&lt;&gt;"")),IF(UPPER(B_Drainage!$I$5:$I$204)="Y",1,"")),"")</f>
        <v/>
      </c>
      <c r="AA991" s="181" t="str">
        <f>IFERROR(LOOKUP(2,1/((B_Drainage!$A$5:$A$204&lt;&gt;"")*(B_Drainage!$A$5:$A$204&lt;=$B991)*(B_Drainage!$B$5:$B$204&gt;$B991)*(B_Drainage!$J$5:$J$204&lt;&gt;"")),IF(UPPER(B_Drainage!$J$5:$J$204)="Y",1,"")),"")</f>
        <v/>
      </c>
      <c r="AB991" s="182" t="str">
        <f>IFERROR(LOOKUP(2,1/((B_Drainage!$A$5:$A$204&lt;&gt;"")*(B_Drainage!$A$5:$A$204&lt;=$B991)*(B_Drainage!$B$5:$B$204&gt;$B991)*(B_Drainage!$K$5:$K$204&lt;&gt;"")),IF(B_Drainage!$K$5:$K$204="-","",B_Drainage!$K$5:$K$204)),"")</f>
        <v/>
      </c>
      <c r="AC991" s="182" t="str">
        <f>IFERROR(LOOKUP(2,1/((B_Drainage!$A$5:$A$204&lt;&gt;"")*(B_Drainage!$A$5:$A$204&lt;=$B991)*(B_Drainage!$B$5:$B$204&gt;$B991)*(B_Drainage!$L$5:$L$204&lt;&gt;"")),IF(B_Drainage!$L$5:$L$204="-","",B_Drainage!$L$5:$L$204)),"")</f>
        <v/>
      </c>
      <c r="AD991" s="182" t="str">
        <f>IFERROR(LOOKUP(2,1/((D_Points!$A$5:$A$204&lt;&gt;"")*(D_Points!$A$5:$A$204&gt;=$B991)*(D_Points!$A$5:$A$204&lt;$B991+P_Interval)*(UPPER(TRIM(D_Points!$B$5:$B$204))="TURNOUT_L")*(D_Points!$H$5:$H$204&lt;&gt;"")),D_Points!$H$5:$H$204),"")</f>
        <v/>
      </c>
      <c r="AE991" s="182" t="str">
        <f>IFERROR(LOOKUP(2,1/((D_Points!$A$5:$A$204&lt;&gt;"")*(D_Points!$A$5:$A$204&gt;=$B991)*(D_Points!$A$5:$A$204&lt;$B991+P_Interval)*(UPPER(TRIM(D_Points!$B$5:$B$204))="TURNOUT_R")*(D_Points!$H$5:$H$204&lt;&gt;"")),D_Points!$H$5:$H$204),"")</f>
        <v/>
      </c>
      <c r="AF991" s="181" t="str">
        <f>IFERROR(LOOKUP(2,1/((B_Drainage!$A$5:$A$204&lt;&gt;"")*(B_Drainage!$A$5:$A$204&lt;=$B991)*(B_Drainage!$B$5:$B$204&gt;$B991)*(B_Drainage!$M$5:$M$204&lt;&gt;"")),IF(UPPER(B_Drainage!$M$5:$M$204)="Y",1,"")),"")</f>
        <v/>
      </c>
      <c r="AG991" s="181" t="str">
        <f>IFERROR(LOOKUP(2,1/((B_Drainage!$A$5:$A$204&lt;&gt;"")*(B_Drainage!$A$5:$A$204&lt;=$B991)*(B_Drainage!$B$5:$B$204&gt;$B991)*(B_Drainage!$N$5:$N$204&lt;&gt;"")),IF(UPPER(B_Drainage!$N$5:$N$204)="Y",1,"")),"")</f>
        <v/>
      </c>
      <c r="AH991" s="181" t="str">
        <f t="shared" si="120"/>
        <v/>
      </c>
      <c r="AI991" s="181" t="str">
        <f t="shared" si="121"/>
        <v/>
      </c>
      <c r="AJ991" s="181" t="str">
        <f t="shared" si="122"/>
        <v/>
      </c>
      <c r="AK991" s="181" t="str">
        <f t="shared" si="123"/>
        <v/>
      </c>
      <c r="AL991" s="181" t="str">
        <f t="shared" si="124"/>
        <v/>
      </c>
      <c r="AM991" s="181" t="str">
        <f t="shared" si="125"/>
        <v/>
      </c>
      <c r="AN991" s="181" t="str">
        <f t="shared" si="126"/>
        <v/>
      </c>
      <c r="AO991" s="192" t="str">
        <f t="shared" si="127"/>
        <v/>
      </c>
      <c r="AQ991" t="str">
        <f>IFERROR(LOOKUP(2,1/((C_Pavement!$A$5:$A$204&lt;&gt;"")*(C_Pavement!$A$5:$A$204&lt;=$B991)*(C_Pavement!$B$5:$B$204&gt;$B991)*(C_Pavement!$C$5:$C$204&lt;&gt;"")),ROW(C_Pavement!$C$5:$C$204)-4),"")</f>
        <v/>
      </c>
      <c r="AR991" t="str">
        <f>IF($AQ991="","",UPPER(TRIM(INDEX(C_Pavement!$C$5:$C$204,$AQ991))))</f>
        <v/>
      </c>
      <c r="AS991" t="str">
        <f>IF($AR991="","",IFERROR(MATCH($AR991,E_Rules!$A$5:$A$9,0),""))</f>
        <v/>
      </c>
      <c r="AT991" t="str">
        <f>IF($AQ991="","",IF(INDEX(C_Pavement!$D$5:$D$204,$AQ991)&lt;&gt;"",UPPER(TRIM(INDEX(C_Pavement!$D$5:$D$204,$AQ991))),IF($AS991="","",INDEX(E_Rules!$C$5:$C$9,$AS991))))</f>
        <v/>
      </c>
      <c r="AU991" t="str">
        <f>IF($AQ991="","",IF(INDEX(C_Pavement!$E$5:$E$204,$AQ991)&lt;&gt;"",IF(INDEX(C_Pavement!$E$5:$E$204,$AQ991)="-","",INDEX(C_Pavement!$E$5:$E$204,$AQ991)),IF($AS991="","",INDEX(E_Rules!$D$5:$D$9,$AS991))))</f>
        <v/>
      </c>
      <c r="AV991" t="str">
        <f>IF($AQ991="","",IF(INDEX(C_Pavement!$F$5:$F$204,$AQ991)&lt;&gt;"",IF(INDEX(C_Pavement!$F$5:$F$204,$AQ991)="-","",INDEX(C_Pavement!$F$5:$F$204,$AQ991)),IF($AS991="","",INDEX(E_Rules!$E$5:$E$9,$AS991))))</f>
        <v/>
      </c>
      <c r="AW991" t="str">
        <f>IF($AQ991="","",IF(INDEX(C_Pavement!$G$5:$G$204,$AQ991)&lt;&gt;"",IF(INDEX(C_Pavement!$G$5:$G$204,$AQ991)="-","",INDEX(C_Pavement!$G$5:$G$204,$AQ991)),IF($AS991="","",INDEX(E_Rules!$F$5:$F$9,$AS991))))</f>
        <v/>
      </c>
      <c r="AX991" t="str">
        <f>IF($AQ991="","",IF(INDEX(C_Pavement!$H$5:$H$204,$AQ991)&lt;&gt;"",IF(INDEX(C_Pavement!$H$5:$H$204,$AQ991)="-","",INDEX(C_Pavement!$H$5:$H$204,$AQ991)),IF($AS991="","",INDEX(E_Rules!$G$5:$G$9,$AS991))))</f>
        <v/>
      </c>
      <c r="AY991" t="str">
        <f>IF($AQ991="","",IF(INDEX(C_Pavement!$I$5:$I$204,$AQ991)&lt;&gt;"",IF(INDEX(C_Pavement!$I$5:$I$204,$AQ991)="-","",INDEX(C_Pavement!$I$5:$I$204,$AQ991)),IF($AS991="","",INDEX(E_Rules!$H$5:$H$9,$AS991))))</f>
        <v/>
      </c>
    </row>
    <row r="992" spans="1:51" ht="15.75" customHeight="1" x14ac:dyDescent="0.3">
      <c r="A992" s="189">
        <v>987</v>
      </c>
      <c r="B992" s="180">
        <v>49300</v>
      </c>
      <c r="C992" s="180" t="s">
        <v>1298</v>
      </c>
      <c r="D992" s="181" t="str">
        <f>IFERROR(LOOKUP(2,1/((A_Corridor!$A$5:$A$204&lt;&gt;"")*(A_Corridor!$A$5:$A$204&lt;=$B992)*(A_Corridor!$B$5:$B$204&gt;$B992)*(A_Corridor!$C$5:$C$204&lt;&gt;"")),IF(UPPER(A_Corridor!$C$5:$C$204)="Y",1,"")),"")</f>
        <v/>
      </c>
      <c r="E992" s="181" t="str">
        <f>IFERROR(LOOKUP(2,1/((A_Corridor!$A$5:$A$204&lt;&gt;"")*(A_Corridor!$A$5:$A$204&lt;=$B992)*(A_Corridor!$B$5:$B$204&gt;$B992)*(A_Corridor!$D$5:$D$204&lt;&gt;"")),IF(A_Corridor!$D$5:$D$204="-","",UPPER(A_Corridor!$D$5:$D$204))),"")</f>
        <v/>
      </c>
      <c r="F992" s="181" t="str">
        <f>IFERROR(LOOKUP(2,1/((A_Corridor!$A$5:$A$204&lt;&gt;"")*(A_Corridor!$A$5:$A$204&lt;=$B992)*(A_Corridor!$B$5:$B$204&gt;$B992)*(A_Corridor!$E$5:$E$204&lt;&gt;"")),IF(A_Corridor!$E$5:$E$204="-","",1)),"")</f>
        <v/>
      </c>
      <c r="G992" s="182" t="str">
        <f>IFERROR(LOOKUP(2,1/((A_Corridor!$A$5:$A$204&lt;&gt;"")*(A_Corridor!$A$5:$A$204&lt;=$B992)*(A_Corridor!$B$5:$B$204&gt;$B992)*(A_Corridor!$E$5:$E$204&lt;&gt;"")),IF(A_Corridor!$E$5:$E$204="-","",A_Corridor!$E$5:$E$204)),"")</f>
        <v/>
      </c>
      <c r="H992" s="182" t="str">
        <f>IFERROR(LOOKUP(2,1/((D_Points!$A$5:$A$204&lt;&gt;"")*(D_Points!$A$5:$A$204&gt;=$B992)*(D_Points!$A$5:$A$204&lt;$B992+P_Interval)*(UPPER(TRIM(D_Points!$B$5:$B$204))="GULLY")*(D_Points!$H$5:$H$204&lt;&gt;"")),D_Points!$H$5:$H$204),"")</f>
        <v/>
      </c>
      <c r="I992" s="181" t="str">
        <f>IFERROR(LOOKUP(2,1/((A_Corridor!$A$5:$A$204&lt;&gt;"")*(A_Corridor!$A$5:$A$204&lt;=$B992)*(A_Corridor!$B$5:$B$204&gt;$B992)*(A_Corridor!$F$5:$F$204&lt;&gt;"")),IF(A_Corridor!$F$5:$F$204="-","",1)),"")</f>
        <v/>
      </c>
      <c r="J992" s="182" t="str">
        <f>IFERROR(LOOKUP(2,1/((A_Corridor!$A$5:$A$204&lt;&gt;"")*(A_Corridor!$A$5:$A$204&lt;=$B992)*(A_Corridor!$B$5:$B$204&gt;$B992)*(A_Corridor!$F$5:$F$204&lt;&gt;"")),IF(A_Corridor!$F$5:$F$204="-","",A_Corridor!$F$5:$F$204)),"")</f>
        <v/>
      </c>
      <c r="K992" s="182" t="str">
        <f>IFERROR(LOOKUP(2,1/((A_Corridor!$A$5:$A$204&lt;&gt;"")*(A_Corridor!$A$5:$A$204&lt;=$B992)*(A_Corridor!$B$5:$B$204&gt;$B992)*(A_Corridor!$G$5:$G$204&lt;&gt;"")),IF(A_Corridor!$G$5:$G$204="-","",A_Corridor!$G$5:$G$204)),"")</f>
        <v/>
      </c>
      <c r="L992" s="181" t="str">
        <f>IFERROR(LOOKUP(2,1/((A_Corridor!$A$5:$A$204&lt;&gt;"")*(A_Corridor!$A$5:$A$204&lt;=$B992)*(A_Corridor!$B$5:$B$204&gt;$B992)*(A_Corridor!$H$5:$H$204&lt;&gt;"")),IF(A_Corridor!$H$5:$H$204="-","",1)),"")</f>
        <v/>
      </c>
      <c r="M992" s="182" t="str">
        <f>IFERROR(LOOKUP(2,1/((A_Corridor!$A$5:$A$204&lt;&gt;"")*(A_Corridor!$A$5:$A$204&lt;=$B992)*(A_Corridor!$B$5:$B$204&gt;$B992)*(A_Corridor!$H$5:$H$204&lt;&gt;"")),IF(A_Corridor!$H$5:$H$204="-","",A_Corridor!$H$5:$H$204)),"")</f>
        <v/>
      </c>
      <c r="N992" s="182" t="str">
        <f>IFERROR(LOOKUP(2,1/((A_Corridor!$A$5:$A$204&lt;&gt;"")*(A_Corridor!$A$5:$A$204&lt;=$B992)*(A_Corridor!$B$5:$B$204&gt;$B992)*(A_Corridor!$I$5:$I$204&lt;&gt;"")),IF(A_Corridor!$I$5:$I$204="-","",A_Corridor!$I$5:$I$204)),"")</f>
        <v/>
      </c>
      <c r="O992" s="182" t="str">
        <f>IFERROR(LOOKUP(2,1/((D_Points!$A$5:$A$204&lt;&gt;"")*(D_Points!$A$5:$A$204&gt;=$B992)*(D_Points!$A$5:$A$204&lt;$B992+P_Interval)*(UPPER(TRIM(D_Points!$B$5:$B$204))="PITCHING")*(D_Points!$H$5:$H$204&lt;&gt;"")),D_Points!$H$5:$H$204),"")</f>
        <v/>
      </c>
      <c r="P992" s="181" t="str">
        <f>IFERROR(LOOKUP(2,1/((B_Drainage!$A$5:$A$204&lt;&gt;"")*(B_Drainage!$A$5:$A$204&lt;=$B992)*(B_Drainage!$B$5:$B$204&gt;$B992)*(B_Drainage!$C$5:$C$204&lt;&gt;"")),IF(B_Drainage!$C$5:$C$204="-","",UPPER(B_Drainage!$C$5:$C$204))),"")</f>
        <v/>
      </c>
      <c r="Q992" s="181" t="str">
        <f>IFERROR(LOOKUP(2,1/((B_Drainage!$A$5:$A$204&lt;&gt;"")*(B_Drainage!$A$5:$A$204&lt;=$B992)*(B_Drainage!$B$5:$B$204&gt;$B992)*(B_Drainage!$D$5:$D$204&lt;&gt;"")),IF(B_Drainage!$D$5:$D$204="-","",UPPER(B_Drainage!$D$5:$D$204))),"")</f>
        <v/>
      </c>
      <c r="R992" s="182" t="str">
        <f>IFERROR(LOOKUP(2,1/((D_Points!$A$5:$A$204&lt;&gt;"")*(D_Points!$A$5:$A$204&gt;=$B992)*(D_Points!$A$5:$A$204&lt;$B992+P_Interval)*(RIGHT(UPPER(TRIM(D_Points!$B$5:$B$204)),8)="_CULVERT")),IF(LEFT(UPPER(TRIM(D_Points!$B$5:$B$204)),2)="EX",1,IF(LEFT(UPPER(TRIM(D_Points!$B$5:$B$204)),2)="PR",2,3))),"")</f>
        <v/>
      </c>
      <c r="S992" s="182" t="str">
        <f>IFERROR(LOOKUP(2,1/((D_Points!$A$5:$A$204&lt;&gt;"")*(D_Points!$A$5:$A$204&gt;=$B992)*(D_Points!$A$5:$A$204&lt;$B992+P_Interval)*(RIGHT(UPPER(TRIM(D_Points!$B$5:$B$204)),7)="_BRIDGE")),IF(LEFT(UPPER(TRIM(D_Points!$B$5:$B$204)),2)="EX",1,IF(LEFT(UPPER(TRIM(D_Points!$B$5:$B$204)),2)="PR",2,2))),"")</f>
        <v/>
      </c>
      <c r="T992" s="181" t="str">
        <f>IFERROR(LOOKUP(2,1/((B_Drainage!$A$5:$A$204&lt;&gt;"")*(B_Drainage!$A$5:$A$204&lt;=$B992)*(B_Drainage!$B$5:$B$204&gt;$B992)*(B_Drainage!$E$5:$E$204&lt;&gt;"")),IF(B_Drainage!$E$5:$E$204="-","",1)),"")</f>
        <v/>
      </c>
      <c r="U992" s="181" t="str">
        <f>IFERROR(LOOKUP(2,1/((B_Drainage!$A$5:$A$204&lt;&gt;"")*(B_Drainage!$A$5:$A$204&lt;=$B992)*(B_Drainage!$B$5:$B$204&gt;$B992)*(B_Drainage!$E$5:$E$204&lt;&gt;"")),IF(B_Drainage!$E$5:$E$204="-","",B_Drainage!$E$5:$E$204)),"")</f>
        <v/>
      </c>
      <c r="V992" s="181" t="str">
        <f>IFERROR(LOOKUP(2,1/((B_Drainage!$A$5:$A$204&lt;&gt;"")*(B_Drainage!$A$5:$A$204&lt;=$B992)*(B_Drainage!$B$5:$B$204&gt;$B992)*(B_Drainage!$F$5:$F$204&lt;&gt;"")),IF(B_Drainage!$F$5:$F$204="-","",1)),"")</f>
        <v/>
      </c>
      <c r="W992" s="181" t="str">
        <f>IFERROR(LOOKUP(2,1/((B_Drainage!$A$5:$A$204&lt;&gt;"")*(B_Drainage!$A$5:$A$204&lt;=$B992)*(B_Drainage!$B$5:$B$204&gt;$B992)*(B_Drainage!$F$5:$F$204&lt;&gt;"")),IF(B_Drainage!$F$5:$F$204="-","",B_Drainage!$F$5:$F$204)),"")</f>
        <v/>
      </c>
      <c r="X992" s="181" t="str">
        <f>IFERROR(LOOKUP(2,1/((B_Drainage!$A$5:$A$204&lt;&gt;"")*(B_Drainage!$A$5:$A$204&lt;=$B992)*(B_Drainage!$B$5:$B$204&gt;$B992)*(B_Drainage!$G$5:$G$204&lt;&gt;"")),IF(UPPER(B_Drainage!$G$5:$G$204)="Y",1,"")),"")</f>
        <v/>
      </c>
      <c r="Y992" s="181" t="str">
        <f>IFERROR(LOOKUP(2,1/((B_Drainage!$A$5:$A$204&lt;&gt;"")*(B_Drainage!$A$5:$A$204&lt;=$B992)*(B_Drainage!$B$5:$B$204&gt;$B992)*(B_Drainage!$H$5:$H$204&lt;&gt;"")),IF(UPPER(B_Drainage!$H$5:$H$204)="Y",1,"")),"")</f>
        <v/>
      </c>
      <c r="Z992" s="181" t="str">
        <f>IFERROR(LOOKUP(2,1/((B_Drainage!$A$5:$A$204&lt;&gt;"")*(B_Drainage!$A$5:$A$204&lt;=$B992)*(B_Drainage!$B$5:$B$204&gt;$B992)*(B_Drainage!$I$5:$I$204&lt;&gt;"")),IF(UPPER(B_Drainage!$I$5:$I$204)="Y",1,"")),"")</f>
        <v/>
      </c>
      <c r="AA992" s="181" t="str">
        <f>IFERROR(LOOKUP(2,1/((B_Drainage!$A$5:$A$204&lt;&gt;"")*(B_Drainage!$A$5:$A$204&lt;=$B992)*(B_Drainage!$B$5:$B$204&gt;$B992)*(B_Drainage!$J$5:$J$204&lt;&gt;"")),IF(UPPER(B_Drainage!$J$5:$J$204)="Y",1,"")),"")</f>
        <v/>
      </c>
      <c r="AB992" s="182" t="str">
        <f>IFERROR(LOOKUP(2,1/((B_Drainage!$A$5:$A$204&lt;&gt;"")*(B_Drainage!$A$5:$A$204&lt;=$B992)*(B_Drainage!$B$5:$B$204&gt;$B992)*(B_Drainage!$K$5:$K$204&lt;&gt;"")),IF(B_Drainage!$K$5:$K$204="-","",B_Drainage!$K$5:$K$204)),"")</f>
        <v/>
      </c>
      <c r="AC992" s="182" t="str">
        <f>IFERROR(LOOKUP(2,1/((B_Drainage!$A$5:$A$204&lt;&gt;"")*(B_Drainage!$A$5:$A$204&lt;=$B992)*(B_Drainage!$B$5:$B$204&gt;$B992)*(B_Drainage!$L$5:$L$204&lt;&gt;"")),IF(B_Drainage!$L$5:$L$204="-","",B_Drainage!$L$5:$L$204)),"")</f>
        <v/>
      </c>
      <c r="AD992" s="182" t="str">
        <f>IFERROR(LOOKUP(2,1/((D_Points!$A$5:$A$204&lt;&gt;"")*(D_Points!$A$5:$A$204&gt;=$B992)*(D_Points!$A$5:$A$204&lt;$B992+P_Interval)*(UPPER(TRIM(D_Points!$B$5:$B$204))="TURNOUT_L")*(D_Points!$H$5:$H$204&lt;&gt;"")),D_Points!$H$5:$H$204),"")</f>
        <v/>
      </c>
      <c r="AE992" s="182" t="str">
        <f>IFERROR(LOOKUP(2,1/((D_Points!$A$5:$A$204&lt;&gt;"")*(D_Points!$A$5:$A$204&gt;=$B992)*(D_Points!$A$5:$A$204&lt;$B992+P_Interval)*(UPPER(TRIM(D_Points!$B$5:$B$204))="TURNOUT_R")*(D_Points!$H$5:$H$204&lt;&gt;"")),D_Points!$H$5:$H$204),"")</f>
        <v/>
      </c>
      <c r="AF992" s="181" t="str">
        <f>IFERROR(LOOKUP(2,1/((B_Drainage!$A$5:$A$204&lt;&gt;"")*(B_Drainage!$A$5:$A$204&lt;=$B992)*(B_Drainage!$B$5:$B$204&gt;$B992)*(B_Drainage!$M$5:$M$204&lt;&gt;"")),IF(UPPER(B_Drainage!$M$5:$M$204)="Y",1,"")),"")</f>
        <v/>
      </c>
      <c r="AG992" s="181" t="str">
        <f>IFERROR(LOOKUP(2,1/((B_Drainage!$A$5:$A$204&lt;&gt;"")*(B_Drainage!$A$5:$A$204&lt;=$B992)*(B_Drainage!$B$5:$B$204&gt;$B992)*(B_Drainage!$N$5:$N$204&lt;&gt;"")),IF(UPPER(B_Drainage!$N$5:$N$204)="Y",1,"")),"")</f>
        <v/>
      </c>
      <c r="AH992" s="181" t="str">
        <f t="shared" si="120"/>
        <v/>
      </c>
      <c r="AI992" s="181" t="str">
        <f t="shared" si="121"/>
        <v/>
      </c>
      <c r="AJ992" s="181" t="str">
        <f t="shared" si="122"/>
        <v/>
      </c>
      <c r="AK992" s="181" t="str">
        <f t="shared" si="123"/>
        <v/>
      </c>
      <c r="AL992" s="181" t="str">
        <f t="shared" si="124"/>
        <v/>
      </c>
      <c r="AM992" s="181" t="str">
        <f t="shared" si="125"/>
        <v/>
      </c>
      <c r="AN992" s="181" t="str">
        <f t="shared" si="126"/>
        <v/>
      </c>
      <c r="AO992" s="192" t="str">
        <f t="shared" si="127"/>
        <v/>
      </c>
      <c r="AQ992" t="str">
        <f>IFERROR(LOOKUP(2,1/((C_Pavement!$A$5:$A$204&lt;&gt;"")*(C_Pavement!$A$5:$A$204&lt;=$B992)*(C_Pavement!$B$5:$B$204&gt;$B992)*(C_Pavement!$C$5:$C$204&lt;&gt;"")),ROW(C_Pavement!$C$5:$C$204)-4),"")</f>
        <v/>
      </c>
      <c r="AR992" t="str">
        <f>IF($AQ992="","",UPPER(TRIM(INDEX(C_Pavement!$C$5:$C$204,$AQ992))))</f>
        <v/>
      </c>
      <c r="AS992" t="str">
        <f>IF($AR992="","",IFERROR(MATCH($AR992,E_Rules!$A$5:$A$9,0),""))</f>
        <v/>
      </c>
      <c r="AT992" t="str">
        <f>IF($AQ992="","",IF(INDEX(C_Pavement!$D$5:$D$204,$AQ992)&lt;&gt;"",UPPER(TRIM(INDEX(C_Pavement!$D$5:$D$204,$AQ992))),IF($AS992="","",INDEX(E_Rules!$C$5:$C$9,$AS992))))</f>
        <v/>
      </c>
      <c r="AU992" t="str">
        <f>IF($AQ992="","",IF(INDEX(C_Pavement!$E$5:$E$204,$AQ992)&lt;&gt;"",IF(INDEX(C_Pavement!$E$5:$E$204,$AQ992)="-","",INDEX(C_Pavement!$E$5:$E$204,$AQ992)),IF($AS992="","",INDEX(E_Rules!$D$5:$D$9,$AS992))))</f>
        <v/>
      </c>
      <c r="AV992" t="str">
        <f>IF($AQ992="","",IF(INDEX(C_Pavement!$F$5:$F$204,$AQ992)&lt;&gt;"",IF(INDEX(C_Pavement!$F$5:$F$204,$AQ992)="-","",INDEX(C_Pavement!$F$5:$F$204,$AQ992)),IF($AS992="","",INDEX(E_Rules!$E$5:$E$9,$AS992))))</f>
        <v/>
      </c>
      <c r="AW992" t="str">
        <f>IF($AQ992="","",IF(INDEX(C_Pavement!$G$5:$G$204,$AQ992)&lt;&gt;"",IF(INDEX(C_Pavement!$G$5:$G$204,$AQ992)="-","",INDEX(C_Pavement!$G$5:$G$204,$AQ992)),IF($AS992="","",INDEX(E_Rules!$F$5:$F$9,$AS992))))</f>
        <v/>
      </c>
      <c r="AX992" t="str">
        <f>IF($AQ992="","",IF(INDEX(C_Pavement!$H$5:$H$204,$AQ992)&lt;&gt;"",IF(INDEX(C_Pavement!$H$5:$H$204,$AQ992)="-","",INDEX(C_Pavement!$H$5:$H$204,$AQ992)),IF($AS992="","",INDEX(E_Rules!$G$5:$G$9,$AS992))))</f>
        <v/>
      </c>
      <c r="AY992" t="str">
        <f>IF($AQ992="","",IF(INDEX(C_Pavement!$I$5:$I$204,$AQ992)&lt;&gt;"",IF(INDEX(C_Pavement!$I$5:$I$204,$AQ992)="-","",INDEX(C_Pavement!$I$5:$I$204,$AQ992)),IF($AS992="","",INDEX(E_Rules!$H$5:$H$9,$AS992))))</f>
        <v/>
      </c>
    </row>
    <row r="993" spans="1:51" ht="15.75" customHeight="1" x14ac:dyDescent="0.3">
      <c r="A993" s="189">
        <v>988</v>
      </c>
      <c r="B993" s="180">
        <v>49350</v>
      </c>
      <c r="C993" s="180" t="s">
        <v>1299</v>
      </c>
      <c r="D993" s="181" t="str">
        <f>IFERROR(LOOKUP(2,1/((A_Corridor!$A$5:$A$204&lt;&gt;"")*(A_Corridor!$A$5:$A$204&lt;=$B993)*(A_Corridor!$B$5:$B$204&gt;$B993)*(A_Corridor!$C$5:$C$204&lt;&gt;"")),IF(UPPER(A_Corridor!$C$5:$C$204)="Y",1,"")),"")</f>
        <v/>
      </c>
      <c r="E993" s="181" t="str">
        <f>IFERROR(LOOKUP(2,1/((A_Corridor!$A$5:$A$204&lt;&gt;"")*(A_Corridor!$A$5:$A$204&lt;=$B993)*(A_Corridor!$B$5:$B$204&gt;$B993)*(A_Corridor!$D$5:$D$204&lt;&gt;"")),IF(A_Corridor!$D$5:$D$204="-","",UPPER(A_Corridor!$D$5:$D$204))),"")</f>
        <v/>
      </c>
      <c r="F993" s="181" t="str">
        <f>IFERROR(LOOKUP(2,1/((A_Corridor!$A$5:$A$204&lt;&gt;"")*(A_Corridor!$A$5:$A$204&lt;=$B993)*(A_Corridor!$B$5:$B$204&gt;$B993)*(A_Corridor!$E$5:$E$204&lt;&gt;"")),IF(A_Corridor!$E$5:$E$204="-","",1)),"")</f>
        <v/>
      </c>
      <c r="G993" s="182" t="str">
        <f>IFERROR(LOOKUP(2,1/((A_Corridor!$A$5:$A$204&lt;&gt;"")*(A_Corridor!$A$5:$A$204&lt;=$B993)*(A_Corridor!$B$5:$B$204&gt;$B993)*(A_Corridor!$E$5:$E$204&lt;&gt;"")),IF(A_Corridor!$E$5:$E$204="-","",A_Corridor!$E$5:$E$204)),"")</f>
        <v/>
      </c>
      <c r="H993" s="182" t="str">
        <f>IFERROR(LOOKUP(2,1/((D_Points!$A$5:$A$204&lt;&gt;"")*(D_Points!$A$5:$A$204&gt;=$B993)*(D_Points!$A$5:$A$204&lt;$B993+P_Interval)*(UPPER(TRIM(D_Points!$B$5:$B$204))="GULLY")*(D_Points!$H$5:$H$204&lt;&gt;"")),D_Points!$H$5:$H$204),"")</f>
        <v/>
      </c>
      <c r="I993" s="181" t="str">
        <f>IFERROR(LOOKUP(2,1/((A_Corridor!$A$5:$A$204&lt;&gt;"")*(A_Corridor!$A$5:$A$204&lt;=$B993)*(A_Corridor!$B$5:$B$204&gt;$B993)*(A_Corridor!$F$5:$F$204&lt;&gt;"")),IF(A_Corridor!$F$5:$F$204="-","",1)),"")</f>
        <v/>
      </c>
      <c r="J993" s="182" t="str">
        <f>IFERROR(LOOKUP(2,1/((A_Corridor!$A$5:$A$204&lt;&gt;"")*(A_Corridor!$A$5:$A$204&lt;=$B993)*(A_Corridor!$B$5:$B$204&gt;$B993)*(A_Corridor!$F$5:$F$204&lt;&gt;"")),IF(A_Corridor!$F$5:$F$204="-","",A_Corridor!$F$5:$F$204)),"")</f>
        <v/>
      </c>
      <c r="K993" s="182" t="str">
        <f>IFERROR(LOOKUP(2,1/((A_Corridor!$A$5:$A$204&lt;&gt;"")*(A_Corridor!$A$5:$A$204&lt;=$B993)*(A_Corridor!$B$5:$B$204&gt;$B993)*(A_Corridor!$G$5:$G$204&lt;&gt;"")),IF(A_Corridor!$G$5:$G$204="-","",A_Corridor!$G$5:$G$204)),"")</f>
        <v/>
      </c>
      <c r="L993" s="181" t="str">
        <f>IFERROR(LOOKUP(2,1/((A_Corridor!$A$5:$A$204&lt;&gt;"")*(A_Corridor!$A$5:$A$204&lt;=$B993)*(A_Corridor!$B$5:$B$204&gt;$B993)*(A_Corridor!$H$5:$H$204&lt;&gt;"")),IF(A_Corridor!$H$5:$H$204="-","",1)),"")</f>
        <v/>
      </c>
      <c r="M993" s="182" t="str">
        <f>IFERROR(LOOKUP(2,1/((A_Corridor!$A$5:$A$204&lt;&gt;"")*(A_Corridor!$A$5:$A$204&lt;=$B993)*(A_Corridor!$B$5:$B$204&gt;$B993)*(A_Corridor!$H$5:$H$204&lt;&gt;"")),IF(A_Corridor!$H$5:$H$204="-","",A_Corridor!$H$5:$H$204)),"")</f>
        <v/>
      </c>
      <c r="N993" s="182" t="str">
        <f>IFERROR(LOOKUP(2,1/((A_Corridor!$A$5:$A$204&lt;&gt;"")*(A_Corridor!$A$5:$A$204&lt;=$B993)*(A_Corridor!$B$5:$B$204&gt;$B993)*(A_Corridor!$I$5:$I$204&lt;&gt;"")),IF(A_Corridor!$I$5:$I$204="-","",A_Corridor!$I$5:$I$204)),"")</f>
        <v/>
      </c>
      <c r="O993" s="182" t="str">
        <f>IFERROR(LOOKUP(2,1/((D_Points!$A$5:$A$204&lt;&gt;"")*(D_Points!$A$5:$A$204&gt;=$B993)*(D_Points!$A$5:$A$204&lt;$B993+P_Interval)*(UPPER(TRIM(D_Points!$B$5:$B$204))="PITCHING")*(D_Points!$H$5:$H$204&lt;&gt;"")),D_Points!$H$5:$H$204),"")</f>
        <v/>
      </c>
      <c r="P993" s="181" t="str">
        <f>IFERROR(LOOKUP(2,1/((B_Drainage!$A$5:$A$204&lt;&gt;"")*(B_Drainage!$A$5:$A$204&lt;=$B993)*(B_Drainage!$B$5:$B$204&gt;$B993)*(B_Drainage!$C$5:$C$204&lt;&gt;"")),IF(B_Drainage!$C$5:$C$204="-","",UPPER(B_Drainage!$C$5:$C$204))),"")</f>
        <v/>
      </c>
      <c r="Q993" s="181" t="str">
        <f>IFERROR(LOOKUP(2,1/((B_Drainage!$A$5:$A$204&lt;&gt;"")*(B_Drainage!$A$5:$A$204&lt;=$B993)*(B_Drainage!$B$5:$B$204&gt;$B993)*(B_Drainage!$D$5:$D$204&lt;&gt;"")),IF(B_Drainage!$D$5:$D$204="-","",UPPER(B_Drainage!$D$5:$D$204))),"")</f>
        <v/>
      </c>
      <c r="R993" s="182" t="str">
        <f>IFERROR(LOOKUP(2,1/((D_Points!$A$5:$A$204&lt;&gt;"")*(D_Points!$A$5:$A$204&gt;=$B993)*(D_Points!$A$5:$A$204&lt;$B993+P_Interval)*(RIGHT(UPPER(TRIM(D_Points!$B$5:$B$204)),8)="_CULVERT")),IF(LEFT(UPPER(TRIM(D_Points!$B$5:$B$204)),2)="EX",1,IF(LEFT(UPPER(TRIM(D_Points!$B$5:$B$204)),2)="PR",2,3))),"")</f>
        <v/>
      </c>
      <c r="S993" s="182" t="str">
        <f>IFERROR(LOOKUP(2,1/((D_Points!$A$5:$A$204&lt;&gt;"")*(D_Points!$A$5:$A$204&gt;=$B993)*(D_Points!$A$5:$A$204&lt;$B993+P_Interval)*(RIGHT(UPPER(TRIM(D_Points!$B$5:$B$204)),7)="_BRIDGE")),IF(LEFT(UPPER(TRIM(D_Points!$B$5:$B$204)),2)="EX",1,IF(LEFT(UPPER(TRIM(D_Points!$B$5:$B$204)),2)="PR",2,2))),"")</f>
        <v/>
      </c>
      <c r="T993" s="181" t="str">
        <f>IFERROR(LOOKUP(2,1/((B_Drainage!$A$5:$A$204&lt;&gt;"")*(B_Drainage!$A$5:$A$204&lt;=$B993)*(B_Drainage!$B$5:$B$204&gt;$B993)*(B_Drainage!$E$5:$E$204&lt;&gt;"")),IF(B_Drainage!$E$5:$E$204="-","",1)),"")</f>
        <v/>
      </c>
      <c r="U993" s="181" t="str">
        <f>IFERROR(LOOKUP(2,1/((B_Drainage!$A$5:$A$204&lt;&gt;"")*(B_Drainage!$A$5:$A$204&lt;=$B993)*(B_Drainage!$B$5:$B$204&gt;$B993)*(B_Drainage!$E$5:$E$204&lt;&gt;"")),IF(B_Drainage!$E$5:$E$204="-","",B_Drainage!$E$5:$E$204)),"")</f>
        <v/>
      </c>
      <c r="V993" s="181" t="str">
        <f>IFERROR(LOOKUP(2,1/((B_Drainage!$A$5:$A$204&lt;&gt;"")*(B_Drainage!$A$5:$A$204&lt;=$B993)*(B_Drainage!$B$5:$B$204&gt;$B993)*(B_Drainage!$F$5:$F$204&lt;&gt;"")),IF(B_Drainage!$F$5:$F$204="-","",1)),"")</f>
        <v/>
      </c>
      <c r="W993" s="181" t="str">
        <f>IFERROR(LOOKUP(2,1/((B_Drainage!$A$5:$A$204&lt;&gt;"")*(B_Drainage!$A$5:$A$204&lt;=$B993)*(B_Drainage!$B$5:$B$204&gt;$B993)*(B_Drainage!$F$5:$F$204&lt;&gt;"")),IF(B_Drainage!$F$5:$F$204="-","",B_Drainage!$F$5:$F$204)),"")</f>
        <v/>
      </c>
      <c r="X993" s="181" t="str">
        <f>IFERROR(LOOKUP(2,1/((B_Drainage!$A$5:$A$204&lt;&gt;"")*(B_Drainage!$A$5:$A$204&lt;=$B993)*(B_Drainage!$B$5:$B$204&gt;$B993)*(B_Drainage!$G$5:$G$204&lt;&gt;"")),IF(UPPER(B_Drainage!$G$5:$G$204)="Y",1,"")),"")</f>
        <v/>
      </c>
      <c r="Y993" s="181" t="str">
        <f>IFERROR(LOOKUP(2,1/((B_Drainage!$A$5:$A$204&lt;&gt;"")*(B_Drainage!$A$5:$A$204&lt;=$B993)*(B_Drainage!$B$5:$B$204&gt;$B993)*(B_Drainage!$H$5:$H$204&lt;&gt;"")),IF(UPPER(B_Drainage!$H$5:$H$204)="Y",1,"")),"")</f>
        <v/>
      </c>
      <c r="Z993" s="181" t="str">
        <f>IFERROR(LOOKUP(2,1/((B_Drainage!$A$5:$A$204&lt;&gt;"")*(B_Drainage!$A$5:$A$204&lt;=$B993)*(B_Drainage!$B$5:$B$204&gt;$B993)*(B_Drainage!$I$5:$I$204&lt;&gt;"")),IF(UPPER(B_Drainage!$I$5:$I$204)="Y",1,"")),"")</f>
        <v/>
      </c>
      <c r="AA993" s="181" t="str">
        <f>IFERROR(LOOKUP(2,1/((B_Drainage!$A$5:$A$204&lt;&gt;"")*(B_Drainage!$A$5:$A$204&lt;=$B993)*(B_Drainage!$B$5:$B$204&gt;$B993)*(B_Drainage!$J$5:$J$204&lt;&gt;"")),IF(UPPER(B_Drainage!$J$5:$J$204)="Y",1,"")),"")</f>
        <v/>
      </c>
      <c r="AB993" s="182" t="str">
        <f>IFERROR(LOOKUP(2,1/((B_Drainage!$A$5:$A$204&lt;&gt;"")*(B_Drainage!$A$5:$A$204&lt;=$B993)*(B_Drainage!$B$5:$B$204&gt;$B993)*(B_Drainage!$K$5:$K$204&lt;&gt;"")),IF(B_Drainage!$K$5:$K$204="-","",B_Drainage!$K$5:$K$204)),"")</f>
        <v/>
      </c>
      <c r="AC993" s="182" t="str">
        <f>IFERROR(LOOKUP(2,1/((B_Drainage!$A$5:$A$204&lt;&gt;"")*(B_Drainage!$A$5:$A$204&lt;=$B993)*(B_Drainage!$B$5:$B$204&gt;$B993)*(B_Drainage!$L$5:$L$204&lt;&gt;"")),IF(B_Drainage!$L$5:$L$204="-","",B_Drainage!$L$5:$L$204)),"")</f>
        <v/>
      </c>
      <c r="AD993" s="182" t="str">
        <f>IFERROR(LOOKUP(2,1/((D_Points!$A$5:$A$204&lt;&gt;"")*(D_Points!$A$5:$A$204&gt;=$B993)*(D_Points!$A$5:$A$204&lt;$B993+P_Interval)*(UPPER(TRIM(D_Points!$B$5:$B$204))="TURNOUT_L")*(D_Points!$H$5:$H$204&lt;&gt;"")),D_Points!$H$5:$H$204),"")</f>
        <v/>
      </c>
      <c r="AE993" s="182" t="str">
        <f>IFERROR(LOOKUP(2,1/((D_Points!$A$5:$A$204&lt;&gt;"")*(D_Points!$A$5:$A$204&gt;=$B993)*(D_Points!$A$5:$A$204&lt;$B993+P_Interval)*(UPPER(TRIM(D_Points!$B$5:$B$204))="TURNOUT_R")*(D_Points!$H$5:$H$204&lt;&gt;"")),D_Points!$H$5:$H$204),"")</f>
        <v/>
      </c>
      <c r="AF993" s="181" t="str">
        <f>IFERROR(LOOKUP(2,1/((B_Drainage!$A$5:$A$204&lt;&gt;"")*(B_Drainage!$A$5:$A$204&lt;=$B993)*(B_Drainage!$B$5:$B$204&gt;$B993)*(B_Drainage!$M$5:$M$204&lt;&gt;"")),IF(UPPER(B_Drainage!$M$5:$M$204)="Y",1,"")),"")</f>
        <v/>
      </c>
      <c r="AG993" s="181" t="str">
        <f>IFERROR(LOOKUP(2,1/((B_Drainage!$A$5:$A$204&lt;&gt;"")*(B_Drainage!$A$5:$A$204&lt;=$B993)*(B_Drainage!$B$5:$B$204&gt;$B993)*(B_Drainage!$N$5:$N$204&lt;&gt;"")),IF(UPPER(B_Drainage!$N$5:$N$204)="Y",1,"")),"")</f>
        <v/>
      </c>
      <c r="AH993" s="181" t="str">
        <f t="shared" si="120"/>
        <v/>
      </c>
      <c r="AI993" s="181" t="str">
        <f t="shared" si="121"/>
        <v/>
      </c>
      <c r="AJ993" s="181" t="str">
        <f t="shared" si="122"/>
        <v/>
      </c>
      <c r="AK993" s="181" t="str">
        <f t="shared" si="123"/>
        <v/>
      </c>
      <c r="AL993" s="181" t="str">
        <f t="shared" si="124"/>
        <v/>
      </c>
      <c r="AM993" s="181" t="str">
        <f t="shared" si="125"/>
        <v/>
      </c>
      <c r="AN993" s="181" t="str">
        <f t="shared" si="126"/>
        <v/>
      </c>
      <c r="AO993" s="192" t="str">
        <f t="shared" si="127"/>
        <v/>
      </c>
      <c r="AQ993" t="str">
        <f>IFERROR(LOOKUP(2,1/((C_Pavement!$A$5:$A$204&lt;&gt;"")*(C_Pavement!$A$5:$A$204&lt;=$B993)*(C_Pavement!$B$5:$B$204&gt;$B993)*(C_Pavement!$C$5:$C$204&lt;&gt;"")),ROW(C_Pavement!$C$5:$C$204)-4),"")</f>
        <v/>
      </c>
      <c r="AR993" t="str">
        <f>IF($AQ993="","",UPPER(TRIM(INDEX(C_Pavement!$C$5:$C$204,$AQ993))))</f>
        <v/>
      </c>
      <c r="AS993" t="str">
        <f>IF($AR993="","",IFERROR(MATCH($AR993,E_Rules!$A$5:$A$9,0),""))</f>
        <v/>
      </c>
      <c r="AT993" t="str">
        <f>IF($AQ993="","",IF(INDEX(C_Pavement!$D$5:$D$204,$AQ993)&lt;&gt;"",UPPER(TRIM(INDEX(C_Pavement!$D$5:$D$204,$AQ993))),IF($AS993="","",INDEX(E_Rules!$C$5:$C$9,$AS993))))</f>
        <v/>
      </c>
      <c r="AU993" t="str">
        <f>IF($AQ993="","",IF(INDEX(C_Pavement!$E$5:$E$204,$AQ993)&lt;&gt;"",IF(INDEX(C_Pavement!$E$5:$E$204,$AQ993)="-","",INDEX(C_Pavement!$E$5:$E$204,$AQ993)),IF($AS993="","",INDEX(E_Rules!$D$5:$D$9,$AS993))))</f>
        <v/>
      </c>
      <c r="AV993" t="str">
        <f>IF($AQ993="","",IF(INDEX(C_Pavement!$F$5:$F$204,$AQ993)&lt;&gt;"",IF(INDEX(C_Pavement!$F$5:$F$204,$AQ993)="-","",INDEX(C_Pavement!$F$5:$F$204,$AQ993)),IF($AS993="","",INDEX(E_Rules!$E$5:$E$9,$AS993))))</f>
        <v/>
      </c>
      <c r="AW993" t="str">
        <f>IF($AQ993="","",IF(INDEX(C_Pavement!$G$5:$G$204,$AQ993)&lt;&gt;"",IF(INDEX(C_Pavement!$G$5:$G$204,$AQ993)="-","",INDEX(C_Pavement!$G$5:$G$204,$AQ993)),IF($AS993="","",INDEX(E_Rules!$F$5:$F$9,$AS993))))</f>
        <v/>
      </c>
      <c r="AX993" t="str">
        <f>IF($AQ993="","",IF(INDEX(C_Pavement!$H$5:$H$204,$AQ993)&lt;&gt;"",IF(INDEX(C_Pavement!$H$5:$H$204,$AQ993)="-","",INDEX(C_Pavement!$H$5:$H$204,$AQ993)),IF($AS993="","",INDEX(E_Rules!$G$5:$G$9,$AS993))))</f>
        <v/>
      </c>
      <c r="AY993" t="str">
        <f>IF($AQ993="","",IF(INDEX(C_Pavement!$I$5:$I$204,$AQ993)&lt;&gt;"",IF(INDEX(C_Pavement!$I$5:$I$204,$AQ993)="-","",INDEX(C_Pavement!$I$5:$I$204,$AQ993)),IF($AS993="","",INDEX(E_Rules!$H$5:$H$9,$AS993))))</f>
        <v/>
      </c>
    </row>
    <row r="994" spans="1:51" ht="15.75" customHeight="1" x14ac:dyDescent="0.3">
      <c r="A994" s="189">
        <v>989</v>
      </c>
      <c r="B994" s="180">
        <v>49400</v>
      </c>
      <c r="C994" s="180" t="s">
        <v>1300</v>
      </c>
      <c r="D994" s="181" t="str">
        <f>IFERROR(LOOKUP(2,1/((A_Corridor!$A$5:$A$204&lt;&gt;"")*(A_Corridor!$A$5:$A$204&lt;=$B994)*(A_Corridor!$B$5:$B$204&gt;$B994)*(A_Corridor!$C$5:$C$204&lt;&gt;"")),IF(UPPER(A_Corridor!$C$5:$C$204)="Y",1,"")),"")</f>
        <v/>
      </c>
      <c r="E994" s="181" t="str">
        <f>IFERROR(LOOKUP(2,1/((A_Corridor!$A$5:$A$204&lt;&gt;"")*(A_Corridor!$A$5:$A$204&lt;=$B994)*(A_Corridor!$B$5:$B$204&gt;$B994)*(A_Corridor!$D$5:$D$204&lt;&gt;"")),IF(A_Corridor!$D$5:$D$204="-","",UPPER(A_Corridor!$D$5:$D$204))),"")</f>
        <v/>
      </c>
      <c r="F994" s="181" t="str">
        <f>IFERROR(LOOKUP(2,1/((A_Corridor!$A$5:$A$204&lt;&gt;"")*(A_Corridor!$A$5:$A$204&lt;=$B994)*(A_Corridor!$B$5:$B$204&gt;$B994)*(A_Corridor!$E$5:$E$204&lt;&gt;"")),IF(A_Corridor!$E$5:$E$204="-","",1)),"")</f>
        <v/>
      </c>
      <c r="G994" s="182" t="str">
        <f>IFERROR(LOOKUP(2,1/((A_Corridor!$A$5:$A$204&lt;&gt;"")*(A_Corridor!$A$5:$A$204&lt;=$B994)*(A_Corridor!$B$5:$B$204&gt;$B994)*(A_Corridor!$E$5:$E$204&lt;&gt;"")),IF(A_Corridor!$E$5:$E$204="-","",A_Corridor!$E$5:$E$204)),"")</f>
        <v/>
      </c>
      <c r="H994" s="182" t="str">
        <f>IFERROR(LOOKUP(2,1/((D_Points!$A$5:$A$204&lt;&gt;"")*(D_Points!$A$5:$A$204&gt;=$B994)*(D_Points!$A$5:$A$204&lt;$B994+P_Interval)*(UPPER(TRIM(D_Points!$B$5:$B$204))="GULLY")*(D_Points!$H$5:$H$204&lt;&gt;"")),D_Points!$H$5:$H$204),"")</f>
        <v/>
      </c>
      <c r="I994" s="181" t="str">
        <f>IFERROR(LOOKUP(2,1/((A_Corridor!$A$5:$A$204&lt;&gt;"")*(A_Corridor!$A$5:$A$204&lt;=$B994)*(A_Corridor!$B$5:$B$204&gt;$B994)*(A_Corridor!$F$5:$F$204&lt;&gt;"")),IF(A_Corridor!$F$5:$F$204="-","",1)),"")</f>
        <v/>
      </c>
      <c r="J994" s="182" t="str">
        <f>IFERROR(LOOKUP(2,1/((A_Corridor!$A$5:$A$204&lt;&gt;"")*(A_Corridor!$A$5:$A$204&lt;=$B994)*(A_Corridor!$B$5:$B$204&gt;$B994)*(A_Corridor!$F$5:$F$204&lt;&gt;"")),IF(A_Corridor!$F$5:$F$204="-","",A_Corridor!$F$5:$F$204)),"")</f>
        <v/>
      </c>
      <c r="K994" s="182" t="str">
        <f>IFERROR(LOOKUP(2,1/((A_Corridor!$A$5:$A$204&lt;&gt;"")*(A_Corridor!$A$5:$A$204&lt;=$B994)*(A_Corridor!$B$5:$B$204&gt;$B994)*(A_Corridor!$G$5:$G$204&lt;&gt;"")),IF(A_Corridor!$G$5:$G$204="-","",A_Corridor!$G$5:$G$204)),"")</f>
        <v/>
      </c>
      <c r="L994" s="181" t="str">
        <f>IFERROR(LOOKUP(2,1/((A_Corridor!$A$5:$A$204&lt;&gt;"")*(A_Corridor!$A$5:$A$204&lt;=$B994)*(A_Corridor!$B$5:$B$204&gt;$B994)*(A_Corridor!$H$5:$H$204&lt;&gt;"")),IF(A_Corridor!$H$5:$H$204="-","",1)),"")</f>
        <v/>
      </c>
      <c r="M994" s="182" t="str">
        <f>IFERROR(LOOKUP(2,1/((A_Corridor!$A$5:$A$204&lt;&gt;"")*(A_Corridor!$A$5:$A$204&lt;=$B994)*(A_Corridor!$B$5:$B$204&gt;$B994)*(A_Corridor!$H$5:$H$204&lt;&gt;"")),IF(A_Corridor!$H$5:$H$204="-","",A_Corridor!$H$5:$H$204)),"")</f>
        <v/>
      </c>
      <c r="N994" s="182" t="str">
        <f>IFERROR(LOOKUP(2,1/((A_Corridor!$A$5:$A$204&lt;&gt;"")*(A_Corridor!$A$5:$A$204&lt;=$B994)*(A_Corridor!$B$5:$B$204&gt;$B994)*(A_Corridor!$I$5:$I$204&lt;&gt;"")),IF(A_Corridor!$I$5:$I$204="-","",A_Corridor!$I$5:$I$204)),"")</f>
        <v/>
      </c>
      <c r="O994" s="182" t="str">
        <f>IFERROR(LOOKUP(2,1/((D_Points!$A$5:$A$204&lt;&gt;"")*(D_Points!$A$5:$A$204&gt;=$B994)*(D_Points!$A$5:$A$204&lt;$B994+P_Interval)*(UPPER(TRIM(D_Points!$B$5:$B$204))="PITCHING")*(D_Points!$H$5:$H$204&lt;&gt;"")),D_Points!$H$5:$H$204),"")</f>
        <v/>
      </c>
      <c r="P994" s="181" t="str">
        <f>IFERROR(LOOKUP(2,1/((B_Drainage!$A$5:$A$204&lt;&gt;"")*(B_Drainage!$A$5:$A$204&lt;=$B994)*(B_Drainage!$B$5:$B$204&gt;$B994)*(B_Drainage!$C$5:$C$204&lt;&gt;"")),IF(B_Drainage!$C$5:$C$204="-","",UPPER(B_Drainage!$C$5:$C$204))),"")</f>
        <v/>
      </c>
      <c r="Q994" s="181" t="str">
        <f>IFERROR(LOOKUP(2,1/((B_Drainage!$A$5:$A$204&lt;&gt;"")*(B_Drainage!$A$5:$A$204&lt;=$B994)*(B_Drainage!$B$5:$B$204&gt;$B994)*(B_Drainage!$D$5:$D$204&lt;&gt;"")),IF(B_Drainage!$D$5:$D$204="-","",UPPER(B_Drainage!$D$5:$D$204))),"")</f>
        <v/>
      </c>
      <c r="R994" s="182" t="str">
        <f>IFERROR(LOOKUP(2,1/((D_Points!$A$5:$A$204&lt;&gt;"")*(D_Points!$A$5:$A$204&gt;=$B994)*(D_Points!$A$5:$A$204&lt;$B994+P_Interval)*(RIGHT(UPPER(TRIM(D_Points!$B$5:$B$204)),8)="_CULVERT")),IF(LEFT(UPPER(TRIM(D_Points!$B$5:$B$204)),2)="EX",1,IF(LEFT(UPPER(TRIM(D_Points!$B$5:$B$204)),2)="PR",2,3))),"")</f>
        <v/>
      </c>
      <c r="S994" s="182" t="str">
        <f>IFERROR(LOOKUP(2,1/((D_Points!$A$5:$A$204&lt;&gt;"")*(D_Points!$A$5:$A$204&gt;=$B994)*(D_Points!$A$5:$A$204&lt;$B994+P_Interval)*(RIGHT(UPPER(TRIM(D_Points!$B$5:$B$204)),7)="_BRIDGE")),IF(LEFT(UPPER(TRIM(D_Points!$B$5:$B$204)),2)="EX",1,IF(LEFT(UPPER(TRIM(D_Points!$B$5:$B$204)),2)="PR",2,2))),"")</f>
        <v/>
      </c>
      <c r="T994" s="181" t="str">
        <f>IFERROR(LOOKUP(2,1/((B_Drainage!$A$5:$A$204&lt;&gt;"")*(B_Drainage!$A$5:$A$204&lt;=$B994)*(B_Drainage!$B$5:$B$204&gt;$B994)*(B_Drainage!$E$5:$E$204&lt;&gt;"")),IF(B_Drainage!$E$5:$E$204="-","",1)),"")</f>
        <v/>
      </c>
      <c r="U994" s="181" t="str">
        <f>IFERROR(LOOKUP(2,1/((B_Drainage!$A$5:$A$204&lt;&gt;"")*(B_Drainage!$A$5:$A$204&lt;=$B994)*(B_Drainage!$B$5:$B$204&gt;$B994)*(B_Drainage!$E$5:$E$204&lt;&gt;"")),IF(B_Drainage!$E$5:$E$204="-","",B_Drainage!$E$5:$E$204)),"")</f>
        <v/>
      </c>
      <c r="V994" s="181" t="str">
        <f>IFERROR(LOOKUP(2,1/((B_Drainage!$A$5:$A$204&lt;&gt;"")*(B_Drainage!$A$5:$A$204&lt;=$B994)*(B_Drainage!$B$5:$B$204&gt;$B994)*(B_Drainage!$F$5:$F$204&lt;&gt;"")),IF(B_Drainage!$F$5:$F$204="-","",1)),"")</f>
        <v/>
      </c>
      <c r="W994" s="181" t="str">
        <f>IFERROR(LOOKUP(2,1/((B_Drainage!$A$5:$A$204&lt;&gt;"")*(B_Drainage!$A$5:$A$204&lt;=$B994)*(B_Drainage!$B$5:$B$204&gt;$B994)*(B_Drainage!$F$5:$F$204&lt;&gt;"")),IF(B_Drainage!$F$5:$F$204="-","",B_Drainage!$F$5:$F$204)),"")</f>
        <v/>
      </c>
      <c r="X994" s="181" t="str">
        <f>IFERROR(LOOKUP(2,1/((B_Drainage!$A$5:$A$204&lt;&gt;"")*(B_Drainage!$A$5:$A$204&lt;=$B994)*(B_Drainage!$B$5:$B$204&gt;$B994)*(B_Drainage!$G$5:$G$204&lt;&gt;"")),IF(UPPER(B_Drainage!$G$5:$G$204)="Y",1,"")),"")</f>
        <v/>
      </c>
      <c r="Y994" s="181" t="str">
        <f>IFERROR(LOOKUP(2,1/((B_Drainage!$A$5:$A$204&lt;&gt;"")*(B_Drainage!$A$5:$A$204&lt;=$B994)*(B_Drainage!$B$5:$B$204&gt;$B994)*(B_Drainage!$H$5:$H$204&lt;&gt;"")),IF(UPPER(B_Drainage!$H$5:$H$204)="Y",1,"")),"")</f>
        <v/>
      </c>
      <c r="Z994" s="181" t="str">
        <f>IFERROR(LOOKUP(2,1/((B_Drainage!$A$5:$A$204&lt;&gt;"")*(B_Drainage!$A$5:$A$204&lt;=$B994)*(B_Drainage!$B$5:$B$204&gt;$B994)*(B_Drainage!$I$5:$I$204&lt;&gt;"")),IF(UPPER(B_Drainage!$I$5:$I$204)="Y",1,"")),"")</f>
        <v/>
      </c>
      <c r="AA994" s="181" t="str">
        <f>IFERROR(LOOKUP(2,1/((B_Drainage!$A$5:$A$204&lt;&gt;"")*(B_Drainage!$A$5:$A$204&lt;=$B994)*(B_Drainage!$B$5:$B$204&gt;$B994)*(B_Drainage!$J$5:$J$204&lt;&gt;"")),IF(UPPER(B_Drainage!$J$5:$J$204)="Y",1,"")),"")</f>
        <v/>
      </c>
      <c r="AB994" s="182" t="str">
        <f>IFERROR(LOOKUP(2,1/((B_Drainage!$A$5:$A$204&lt;&gt;"")*(B_Drainage!$A$5:$A$204&lt;=$B994)*(B_Drainage!$B$5:$B$204&gt;$B994)*(B_Drainage!$K$5:$K$204&lt;&gt;"")),IF(B_Drainage!$K$5:$K$204="-","",B_Drainage!$K$5:$K$204)),"")</f>
        <v/>
      </c>
      <c r="AC994" s="182" t="str">
        <f>IFERROR(LOOKUP(2,1/((B_Drainage!$A$5:$A$204&lt;&gt;"")*(B_Drainage!$A$5:$A$204&lt;=$B994)*(B_Drainage!$B$5:$B$204&gt;$B994)*(B_Drainage!$L$5:$L$204&lt;&gt;"")),IF(B_Drainage!$L$5:$L$204="-","",B_Drainage!$L$5:$L$204)),"")</f>
        <v/>
      </c>
      <c r="AD994" s="182" t="str">
        <f>IFERROR(LOOKUP(2,1/((D_Points!$A$5:$A$204&lt;&gt;"")*(D_Points!$A$5:$A$204&gt;=$B994)*(D_Points!$A$5:$A$204&lt;$B994+P_Interval)*(UPPER(TRIM(D_Points!$B$5:$B$204))="TURNOUT_L")*(D_Points!$H$5:$H$204&lt;&gt;"")),D_Points!$H$5:$H$204),"")</f>
        <v/>
      </c>
      <c r="AE994" s="182" t="str">
        <f>IFERROR(LOOKUP(2,1/((D_Points!$A$5:$A$204&lt;&gt;"")*(D_Points!$A$5:$A$204&gt;=$B994)*(D_Points!$A$5:$A$204&lt;$B994+P_Interval)*(UPPER(TRIM(D_Points!$B$5:$B$204))="TURNOUT_R")*(D_Points!$H$5:$H$204&lt;&gt;"")),D_Points!$H$5:$H$204),"")</f>
        <v/>
      </c>
      <c r="AF994" s="181" t="str">
        <f>IFERROR(LOOKUP(2,1/((B_Drainage!$A$5:$A$204&lt;&gt;"")*(B_Drainage!$A$5:$A$204&lt;=$B994)*(B_Drainage!$B$5:$B$204&gt;$B994)*(B_Drainage!$M$5:$M$204&lt;&gt;"")),IF(UPPER(B_Drainage!$M$5:$M$204)="Y",1,"")),"")</f>
        <v/>
      </c>
      <c r="AG994" s="181" t="str">
        <f>IFERROR(LOOKUP(2,1/((B_Drainage!$A$5:$A$204&lt;&gt;"")*(B_Drainage!$A$5:$A$204&lt;=$B994)*(B_Drainage!$B$5:$B$204&gt;$B994)*(B_Drainage!$N$5:$N$204&lt;&gt;"")),IF(UPPER(B_Drainage!$N$5:$N$204)="Y",1,"")),"")</f>
        <v/>
      </c>
      <c r="AH994" s="181" t="str">
        <f t="shared" si="120"/>
        <v/>
      </c>
      <c r="AI994" s="181" t="str">
        <f t="shared" si="121"/>
        <v/>
      </c>
      <c r="AJ994" s="181" t="str">
        <f t="shared" si="122"/>
        <v/>
      </c>
      <c r="AK994" s="181" t="str">
        <f t="shared" si="123"/>
        <v/>
      </c>
      <c r="AL994" s="181" t="str">
        <f t="shared" si="124"/>
        <v/>
      </c>
      <c r="AM994" s="181" t="str">
        <f t="shared" si="125"/>
        <v/>
      </c>
      <c r="AN994" s="181" t="str">
        <f t="shared" si="126"/>
        <v/>
      </c>
      <c r="AO994" s="192" t="str">
        <f t="shared" si="127"/>
        <v/>
      </c>
      <c r="AQ994" t="str">
        <f>IFERROR(LOOKUP(2,1/((C_Pavement!$A$5:$A$204&lt;&gt;"")*(C_Pavement!$A$5:$A$204&lt;=$B994)*(C_Pavement!$B$5:$B$204&gt;$B994)*(C_Pavement!$C$5:$C$204&lt;&gt;"")),ROW(C_Pavement!$C$5:$C$204)-4),"")</f>
        <v/>
      </c>
      <c r="AR994" t="str">
        <f>IF($AQ994="","",UPPER(TRIM(INDEX(C_Pavement!$C$5:$C$204,$AQ994))))</f>
        <v/>
      </c>
      <c r="AS994" t="str">
        <f>IF($AR994="","",IFERROR(MATCH($AR994,E_Rules!$A$5:$A$9,0),""))</f>
        <v/>
      </c>
      <c r="AT994" t="str">
        <f>IF($AQ994="","",IF(INDEX(C_Pavement!$D$5:$D$204,$AQ994)&lt;&gt;"",UPPER(TRIM(INDEX(C_Pavement!$D$5:$D$204,$AQ994))),IF($AS994="","",INDEX(E_Rules!$C$5:$C$9,$AS994))))</f>
        <v/>
      </c>
      <c r="AU994" t="str">
        <f>IF($AQ994="","",IF(INDEX(C_Pavement!$E$5:$E$204,$AQ994)&lt;&gt;"",IF(INDEX(C_Pavement!$E$5:$E$204,$AQ994)="-","",INDEX(C_Pavement!$E$5:$E$204,$AQ994)),IF($AS994="","",INDEX(E_Rules!$D$5:$D$9,$AS994))))</f>
        <v/>
      </c>
      <c r="AV994" t="str">
        <f>IF($AQ994="","",IF(INDEX(C_Pavement!$F$5:$F$204,$AQ994)&lt;&gt;"",IF(INDEX(C_Pavement!$F$5:$F$204,$AQ994)="-","",INDEX(C_Pavement!$F$5:$F$204,$AQ994)),IF($AS994="","",INDEX(E_Rules!$E$5:$E$9,$AS994))))</f>
        <v/>
      </c>
      <c r="AW994" t="str">
        <f>IF($AQ994="","",IF(INDEX(C_Pavement!$G$5:$G$204,$AQ994)&lt;&gt;"",IF(INDEX(C_Pavement!$G$5:$G$204,$AQ994)="-","",INDEX(C_Pavement!$G$5:$G$204,$AQ994)),IF($AS994="","",INDEX(E_Rules!$F$5:$F$9,$AS994))))</f>
        <v/>
      </c>
      <c r="AX994" t="str">
        <f>IF($AQ994="","",IF(INDEX(C_Pavement!$H$5:$H$204,$AQ994)&lt;&gt;"",IF(INDEX(C_Pavement!$H$5:$H$204,$AQ994)="-","",INDEX(C_Pavement!$H$5:$H$204,$AQ994)),IF($AS994="","",INDEX(E_Rules!$G$5:$G$9,$AS994))))</f>
        <v/>
      </c>
      <c r="AY994" t="str">
        <f>IF($AQ994="","",IF(INDEX(C_Pavement!$I$5:$I$204,$AQ994)&lt;&gt;"",IF(INDEX(C_Pavement!$I$5:$I$204,$AQ994)="-","",INDEX(C_Pavement!$I$5:$I$204,$AQ994)),IF($AS994="","",INDEX(E_Rules!$H$5:$H$9,$AS994))))</f>
        <v/>
      </c>
    </row>
    <row r="995" spans="1:51" ht="15.75" customHeight="1" x14ac:dyDescent="0.3">
      <c r="A995" s="189">
        <v>990</v>
      </c>
      <c r="B995" s="180">
        <v>49450</v>
      </c>
      <c r="C995" s="180" t="s">
        <v>1301</v>
      </c>
      <c r="D995" s="181" t="str">
        <f>IFERROR(LOOKUP(2,1/((A_Corridor!$A$5:$A$204&lt;&gt;"")*(A_Corridor!$A$5:$A$204&lt;=$B995)*(A_Corridor!$B$5:$B$204&gt;$B995)*(A_Corridor!$C$5:$C$204&lt;&gt;"")),IF(UPPER(A_Corridor!$C$5:$C$204)="Y",1,"")),"")</f>
        <v/>
      </c>
      <c r="E995" s="181" t="str">
        <f>IFERROR(LOOKUP(2,1/((A_Corridor!$A$5:$A$204&lt;&gt;"")*(A_Corridor!$A$5:$A$204&lt;=$B995)*(A_Corridor!$B$5:$B$204&gt;$B995)*(A_Corridor!$D$5:$D$204&lt;&gt;"")),IF(A_Corridor!$D$5:$D$204="-","",UPPER(A_Corridor!$D$5:$D$204))),"")</f>
        <v/>
      </c>
      <c r="F995" s="181" t="str">
        <f>IFERROR(LOOKUP(2,1/((A_Corridor!$A$5:$A$204&lt;&gt;"")*(A_Corridor!$A$5:$A$204&lt;=$B995)*(A_Corridor!$B$5:$B$204&gt;$B995)*(A_Corridor!$E$5:$E$204&lt;&gt;"")),IF(A_Corridor!$E$5:$E$204="-","",1)),"")</f>
        <v/>
      </c>
      <c r="G995" s="182" t="str">
        <f>IFERROR(LOOKUP(2,1/((A_Corridor!$A$5:$A$204&lt;&gt;"")*(A_Corridor!$A$5:$A$204&lt;=$B995)*(A_Corridor!$B$5:$B$204&gt;$B995)*(A_Corridor!$E$5:$E$204&lt;&gt;"")),IF(A_Corridor!$E$5:$E$204="-","",A_Corridor!$E$5:$E$204)),"")</f>
        <v/>
      </c>
      <c r="H995" s="182" t="str">
        <f>IFERROR(LOOKUP(2,1/((D_Points!$A$5:$A$204&lt;&gt;"")*(D_Points!$A$5:$A$204&gt;=$B995)*(D_Points!$A$5:$A$204&lt;$B995+P_Interval)*(UPPER(TRIM(D_Points!$B$5:$B$204))="GULLY")*(D_Points!$H$5:$H$204&lt;&gt;"")),D_Points!$H$5:$H$204),"")</f>
        <v/>
      </c>
      <c r="I995" s="181" t="str">
        <f>IFERROR(LOOKUP(2,1/((A_Corridor!$A$5:$A$204&lt;&gt;"")*(A_Corridor!$A$5:$A$204&lt;=$B995)*(A_Corridor!$B$5:$B$204&gt;$B995)*(A_Corridor!$F$5:$F$204&lt;&gt;"")),IF(A_Corridor!$F$5:$F$204="-","",1)),"")</f>
        <v/>
      </c>
      <c r="J995" s="182" t="str">
        <f>IFERROR(LOOKUP(2,1/((A_Corridor!$A$5:$A$204&lt;&gt;"")*(A_Corridor!$A$5:$A$204&lt;=$B995)*(A_Corridor!$B$5:$B$204&gt;$B995)*(A_Corridor!$F$5:$F$204&lt;&gt;"")),IF(A_Corridor!$F$5:$F$204="-","",A_Corridor!$F$5:$F$204)),"")</f>
        <v/>
      </c>
      <c r="K995" s="182" t="str">
        <f>IFERROR(LOOKUP(2,1/((A_Corridor!$A$5:$A$204&lt;&gt;"")*(A_Corridor!$A$5:$A$204&lt;=$B995)*(A_Corridor!$B$5:$B$204&gt;$B995)*(A_Corridor!$G$5:$G$204&lt;&gt;"")),IF(A_Corridor!$G$5:$G$204="-","",A_Corridor!$G$5:$G$204)),"")</f>
        <v/>
      </c>
      <c r="L995" s="181" t="str">
        <f>IFERROR(LOOKUP(2,1/((A_Corridor!$A$5:$A$204&lt;&gt;"")*(A_Corridor!$A$5:$A$204&lt;=$B995)*(A_Corridor!$B$5:$B$204&gt;$B995)*(A_Corridor!$H$5:$H$204&lt;&gt;"")),IF(A_Corridor!$H$5:$H$204="-","",1)),"")</f>
        <v/>
      </c>
      <c r="M995" s="182" t="str">
        <f>IFERROR(LOOKUP(2,1/((A_Corridor!$A$5:$A$204&lt;&gt;"")*(A_Corridor!$A$5:$A$204&lt;=$B995)*(A_Corridor!$B$5:$B$204&gt;$B995)*(A_Corridor!$H$5:$H$204&lt;&gt;"")),IF(A_Corridor!$H$5:$H$204="-","",A_Corridor!$H$5:$H$204)),"")</f>
        <v/>
      </c>
      <c r="N995" s="182" t="str">
        <f>IFERROR(LOOKUP(2,1/((A_Corridor!$A$5:$A$204&lt;&gt;"")*(A_Corridor!$A$5:$A$204&lt;=$B995)*(A_Corridor!$B$5:$B$204&gt;$B995)*(A_Corridor!$I$5:$I$204&lt;&gt;"")),IF(A_Corridor!$I$5:$I$204="-","",A_Corridor!$I$5:$I$204)),"")</f>
        <v/>
      </c>
      <c r="O995" s="182" t="str">
        <f>IFERROR(LOOKUP(2,1/((D_Points!$A$5:$A$204&lt;&gt;"")*(D_Points!$A$5:$A$204&gt;=$B995)*(D_Points!$A$5:$A$204&lt;$B995+P_Interval)*(UPPER(TRIM(D_Points!$B$5:$B$204))="PITCHING")*(D_Points!$H$5:$H$204&lt;&gt;"")),D_Points!$H$5:$H$204),"")</f>
        <v/>
      </c>
      <c r="P995" s="181" t="str">
        <f>IFERROR(LOOKUP(2,1/((B_Drainage!$A$5:$A$204&lt;&gt;"")*(B_Drainage!$A$5:$A$204&lt;=$B995)*(B_Drainage!$B$5:$B$204&gt;$B995)*(B_Drainage!$C$5:$C$204&lt;&gt;"")),IF(B_Drainage!$C$5:$C$204="-","",UPPER(B_Drainage!$C$5:$C$204))),"")</f>
        <v/>
      </c>
      <c r="Q995" s="181" t="str">
        <f>IFERROR(LOOKUP(2,1/((B_Drainage!$A$5:$A$204&lt;&gt;"")*(B_Drainage!$A$5:$A$204&lt;=$B995)*(B_Drainage!$B$5:$B$204&gt;$B995)*(B_Drainage!$D$5:$D$204&lt;&gt;"")),IF(B_Drainage!$D$5:$D$204="-","",UPPER(B_Drainage!$D$5:$D$204))),"")</f>
        <v/>
      </c>
      <c r="R995" s="182" t="str">
        <f>IFERROR(LOOKUP(2,1/((D_Points!$A$5:$A$204&lt;&gt;"")*(D_Points!$A$5:$A$204&gt;=$B995)*(D_Points!$A$5:$A$204&lt;$B995+P_Interval)*(RIGHT(UPPER(TRIM(D_Points!$B$5:$B$204)),8)="_CULVERT")),IF(LEFT(UPPER(TRIM(D_Points!$B$5:$B$204)),2)="EX",1,IF(LEFT(UPPER(TRIM(D_Points!$B$5:$B$204)),2)="PR",2,3))),"")</f>
        <v/>
      </c>
      <c r="S995" s="182" t="str">
        <f>IFERROR(LOOKUP(2,1/((D_Points!$A$5:$A$204&lt;&gt;"")*(D_Points!$A$5:$A$204&gt;=$B995)*(D_Points!$A$5:$A$204&lt;$B995+P_Interval)*(RIGHT(UPPER(TRIM(D_Points!$B$5:$B$204)),7)="_BRIDGE")),IF(LEFT(UPPER(TRIM(D_Points!$B$5:$B$204)),2)="EX",1,IF(LEFT(UPPER(TRIM(D_Points!$B$5:$B$204)),2)="PR",2,2))),"")</f>
        <v/>
      </c>
      <c r="T995" s="181" t="str">
        <f>IFERROR(LOOKUP(2,1/((B_Drainage!$A$5:$A$204&lt;&gt;"")*(B_Drainage!$A$5:$A$204&lt;=$B995)*(B_Drainage!$B$5:$B$204&gt;$B995)*(B_Drainage!$E$5:$E$204&lt;&gt;"")),IF(B_Drainage!$E$5:$E$204="-","",1)),"")</f>
        <v/>
      </c>
      <c r="U995" s="181" t="str">
        <f>IFERROR(LOOKUP(2,1/((B_Drainage!$A$5:$A$204&lt;&gt;"")*(B_Drainage!$A$5:$A$204&lt;=$B995)*(B_Drainage!$B$5:$B$204&gt;$B995)*(B_Drainage!$E$5:$E$204&lt;&gt;"")),IF(B_Drainage!$E$5:$E$204="-","",B_Drainage!$E$5:$E$204)),"")</f>
        <v/>
      </c>
      <c r="V995" s="181" t="str">
        <f>IFERROR(LOOKUP(2,1/((B_Drainage!$A$5:$A$204&lt;&gt;"")*(B_Drainage!$A$5:$A$204&lt;=$B995)*(B_Drainage!$B$5:$B$204&gt;$B995)*(B_Drainage!$F$5:$F$204&lt;&gt;"")),IF(B_Drainage!$F$5:$F$204="-","",1)),"")</f>
        <v/>
      </c>
      <c r="W995" s="181" t="str">
        <f>IFERROR(LOOKUP(2,1/((B_Drainage!$A$5:$A$204&lt;&gt;"")*(B_Drainage!$A$5:$A$204&lt;=$B995)*(B_Drainage!$B$5:$B$204&gt;$B995)*(B_Drainage!$F$5:$F$204&lt;&gt;"")),IF(B_Drainage!$F$5:$F$204="-","",B_Drainage!$F$5:$F$204)),"")</f>
        <v/>
      </c>
      <c r="X995" s="181" t="str">
        <f>IFERROR(LOOKUP(2,1/((B_Drainage!$A$5:$A$204&lt;&gt;"")*(B_Drainage!$A$5:$A$204&lt;=$B995)*(B_Drainage!$B$5:$B$204&gt;$B995)*(B_Drainage!$G$5:$G$204&lt;&gt;"")),IF(UPPER(B_Drainage!$G$5:$G$204)="Y",1,"")),"")</f>
        <v/>
      </c>
      <c r="Y995" s="181" t="str">
        <f>IFERROR(LOOKUP(2,1/((B_Drainage!$A$5:$A$204&lt;&gt;"")*(B_Drainage!$A$5:$A$204&lt;=$B995)*(B_Drainage!$B$5:$B$204&gt;$B995)*(B_Drainage!$H$5:$H$204&lt;&gt;"")),IF(UPPER(B_Drainage!$H$5:$H$204)="Y",1,"")),"")</f>
        <v/>
      </c>
      <c r="Z995" s="181" t="str">
        <f>IFERROR(LOOKUP(2,1/((B_Drainage!$A$5:$A$204&lt;&gt;"")*(B_Drainage!$A$5:$A$204&lt;=$B995)*(B_Drainage!$B$5:$B$204&gt;$B995)*(B_Drainage!$I$5:$I$204&lt;&gt;"")),IF(UPPER(B_Drainage!$I$5:$I$204)="Y",1,"")),"")</f>
        <v/>
      </c>
      <c r="AA995" s="181" t="str">
        <f>IFERROR(LOOKUP(2,1/((B_Drainage!$A$5:$A$204&lt;&gt;"")*(B_Drainage!$A$5:$A$204&lt;=$B995)*(B_Drainage!$B$5:$B$204&gt;$B995)*(B_Drainage!$J$5:$J$204&lt;&gt;"")),IF(UPPER(B_Drainage!$J$5:$J$204)="Y",1,"")),"")</f>
        <v/>
      </c>
      <c r="AB995" s="182" t="str">
        <f>IFERROR(LOOKUP(2,1/((B_Drainage!$A$5:$A$204&lt;&gt;"")*(B_Drainage!$A$5:$A$204&lt;=$B995)*(B_Drainage!$B$5:$B$204&gt;$B995)*(B_Drainage!$K$5:$K$204&lt;&gt;"")),IF(B_Drainage!$K$5:$K$204="-","",B_Drainage!$K$5:$K$204)),"")</f>
        <v/>
      </c>
      <c r="AC995" s="182" t="str">
        <f>IFERROR(LOOKUP(2,1/((B_Drainage!$A$5:$A$204&lt;&gt;"")*(B_Drainage!$A$5:$A$204&lt;=$B995)*(B_Drainage!$B$5:$B$204&gt;$B995)*(B_Drainage!$L$5:$L$204&lt;&gt;"")),IF(B_Drainage!$L$5:$L$204="-","",B_Drainage!$L$5:$L$204)),"")</f>
        <v/>
      </c>
      <c r="AD995" s="182" t="str">
        <f>IFERROR(LOOKUP(2,1/((D_Points!$A$5:$A$204&lt;&gt;"")*(D_Points!$A$5:$A$204&gt;=$B995)*(D_Points!$A$5:$A$204&lt;$B995+P_Interval)*(UPPER(TRIM(D_Points!$B$5:$B$204))="TURNOUT_L")*(D_Points!$H$5:$H$204&lt;&gt;"")),D_Points!$H$5:$H$204),"")</f>
        <v/>
      </c>
      <c r="AE995" s="182" t="str">
        <f>IFERROR(LOOKUP(2,1/((D_Points!$A$5:$A$204&lt;&gt;"")*(D_Points!$A$5:$A$204&gt;=$B995)*(D_Points!$A$5:$A$204&lt;$B995+P_Interval)*(UPPER(TRIM(D_Points!$B$5:$B$204))="TURNOUT_R")*(D_Points!$H$5:$H$204&lt;&gt;"")),D_Points!$H$5:$H$204),"")</f>
        <v/>
      </c>
      <c r="AF995" s="181" t="str">
        <f>IFERROR(LOOKUP(2,1/((B_Drainage!$A$5:$A$204&lt;&gt;"")*(B_Drainage!$A$5:$A$204&lt;=$B995)*(B_Drainage!$B$5:$B$204&gt;$B995)*(B_Drainage!$M$5:$M$204&lt;&gt;"")),IF(UPPER(B_Drainage!$M$5:$M$204)="Y",1,"")),"")</f>
        <v/>
      </c>
      <c r="AG995" s="181" t="str">
        <f>IFERROR(LOOKUP(2,1/((B_Drainage!$A$5:$A$204&lt;&gt;"")*(B_Drainage!$A$5:$A$204&lt;=$B995)*(B_Drainage!$B$5:$B$204&gt;$B995)*(B_Drainage!$N$5:$N$204&lt;&gt;"")),IF(UPPER(B_Drainage!$N$5:$N$204)="Y",1,"")),"")</f>
        <v/>
      </c>
      <c r="AH995" s="181" t="str">
        <f t="shared" si="120"/>
        <v/>
      </c>
      <c r="AI995" s="181" t="str">
        <f t="shared" si="121"/>
        <v/>
      </c>
      <c r="AJ995" s="181" t="str">
        <f t="shared" si="122"/>
        <v/>
      </c>
      <c r="AK995" s="181" t="str">
        <f t="shared" si="123"/>
        <v/>
      </c>
      <c r="AL995" s="181" t="str">
        <f t="shared" si="124"/>
        <v/>
      </c>
      <c r="AM995" s="181" t="str">
        <f t="shared" si="125"/>
        <v/>
      </c>
      <c r="AN995" s="181" t="str">
        <f t="shared" si="126"/>
        <v/>
      </c>
      <c r="AO995" s="192" t="str">
        <f t="shared" si="127"/>
        <v/>
      </c>
      <c r="AQ995" t="str">
        <f>IFERROR(LOOKUP(2,1/((C_Pavement!$A$5:$A$204&lt;&gt;"")*(C_Pavement!$A$5:$A$204&lt;=$B995)*(C_Pavement!$B$5:$B$204&gt;$B995)*(C_Pavement!$C$5:$C$204&lt;&gt;"")),ROW(C_Pavement!$C$5:$C$204)-4),"")</f>
        <v/>
      </c>
      <c r="AR995" t="str">
        <f>IF($AQ995="","",UPPER(TRIM(INDEX(C_Pavement!$C$5:$C$204,$AQ995))))</f>
        <v/>
      </c>
      <c r="AS995" t="str">
        <f>IF($AR995="","",IFERROR(MATCH($AR995,E_Rules!$A$5:$A$9,0),""))</f>
        <v/>
      </c>
      <c r="AT995" t="str">
        <f>IF($AQ995="","",IF(INDEX(C_Pavement!$D$5:$D$204,$AQ995)&lt;&gt;"",UPPER(TRIM(INDEX(C_Pavement!$D$5:$D$204,$AQ995))),IF($AS995="","",INDEX(E_Rules!$C$5:$C$9,$AS995))))</f>
        <v/>
      </c>
      <c r="AU995" t="str">
        <f>IF($AQ995="","",IF(INDEX(C_Pavement!$E$5:$E$204,$AQ995)&lt;&gt;"",IF(INDEX(C_Pavement!$E$5:$E$204,$AQ995)="-","",INDEX(C_Pavement!$E$5:$E$204,$AQ995)),IF($AS995="","",INDEX(E_Rules!$D$5:$D$9,$AS995))))</f>
        <v/>
      </c>
      <c r="AV995" t="str">
        <f>IF($AQ995="","",IF(INDEX(C_Pavement!$F$5:$F$204,$AQ995)&lt;&gt;"",IF(INDEX(C_Pavement!$F$5:$F$204,$AQ995)="-","",INDEX(C_Pavement!$F$5:$F$204,$AQ995)),IF($AS995="","",INDEX(E_Rules!$E$5:$E$9,$AS995))))</f>
        <v/>
      </c>
      <c r="AW995" t="str">
        <f>IF($AQ995="","",IF(INDEX(C_Pavement!$G$5:$G$204,$AQ995)&lt;&gt;"",IF(INDEX(C_Pavement!$G$5:$G$204,$AQ995)="-","",INDEX(C_Pavement!$G$5:$G$204,$AQ995)),IF($AS995="","",INDEX(E_Rules!$F$5:$F$9,$AS995))))</f>
        <v/>
      </c>
      <c r="AX995" t="str">
        <f>IF($AQ995="","",IF(INDEX(C_Pavement!$H$5:$H$204,$AQ995)&lt;&gt;"",IF(INDEX(C_Pavement!$H$5:$H$204,$AQ995)="-","",INDEX(C_Pavement!$H$5:$H$204,$AQ995)),IF($AS995="","",INDEX(E_Rules!$G$5:$G$9,$AS995))))</f>
        <v/>
      </c>
      <c r="AY995" t="str">
        <f>IF($AQ995="","",IF(INDEX(C_Pavement!$I$5:$I$204,$AQ995)&lt;&gt;"",IF(INDEX(C_Pavement!$I$5:$I$204,$AQ995)="-","",INDEX(C_Pavement!$I$5:$I$204,$AQ995)),IF($AS995="","",INDEX(E_Rules!$H$5:$H$9,$AS995))))</f>
        <v/>
      </c>
    </row>
    <row r="996" spans="1:51" ht="15.75" customHeight="1" x14ac:dyDescent="0.3">
      <c r="A996" s="189">
        <v>991</v>
      </c>
      <c r="B996" s="180">
        <v>49500</v>
      </c>
      <c r="C996" s="180" t="s">
        <v>1302</v>
      </c>
      <c r="D996" s="181" t="str">
        <f>IFERROR(LOOKUP(2,1/((A_Corridor!$A$5:$A$204&lt;&gt;"")*(A_Corridor!$A$5:$A$204&lt;=$B996)*(A_Corridor!$B$5:$B$204&gt;$B996)*(A_Corridor!$C$5:$C$204&lt;&gt;"")),IF(UPPER(A_Corridor!$C$5:$C$204)="Y",1,"")),"")</f>
        <v/>
      </c>
      <c r="E996" s="181" t="str">
        <f>IFERROR(LOOKUP(2,1/((A_Corridor!$A$5:$A$204&lt;&gt;"")*(A_Corridor!$A$5:$A$204&lt;=$B996)*(A_Corridor!$B$5:$B$204&gt;$B996)*(A_Corridor!$D$5:$D$204&lt;&gt;"")),IF(A_Corridor!$D$5:$D$204="-","",UPPER(A_Corridor!$D$5:$D$204))),"")</f>
        <v/>
      </c>
      <c r="F996" s="181" t="str">
        <f>IFERROR(LOOKUP(2,1/((A_Corridor!$A$5:$A$204&lt;&gt;"")*(A_Corridor!$A$5:$A$204&lt;=$B996)*(A_Corridor!$B$5:$B$204&gt;$B996)*(A_Corridor!$E$5:$E$204&lt;&gt;"")),IF(A_Corridor!$E$5:$E$204="-","",1)),"")</f>
        <v/>
      </c>
      <c r="G996" s="182" t="str">
        <f>IFERROR(LOOKUP(2,1/((A_Corridor!$A$5:$A$204&lt;&gt;"")*(A_Corridor!$A$5:$A$204&lt;=$B996)*(A_Corridor!$B$5:$B$204&gt;$B996)*(A_Corridor!$E$5:$E$204&lt;&gt;"")),IF(A_Corridor!$E$5:$E$204="-","",A_Corridor!$E$5:$E$204)),"")</f>
        <v/>
      </c>
      <c r="H996" s="182" t="str">
        <f>IFERROR(LOOKUP(2,1/((D_Points!$A$5:$A$204&lt;&gt;"")*(D_Points!$A$5:$A$204&gt;=$B996)*(D_Points!$A$5:$A$204&lt;$B996+P_Interval)*(UPPER(TRIM(D_Points!$B$5:$B$204))="GULLY")*(D_Points!$H$5:$H$204&lt;&gt;"")),D_Points!$H$5:$H$204),"")</f>
        <v/>
      </c>
      <c r="I996" s="181" t="str">
        <f>IFERROR(LOOKUP(2,1/((A_Corridor!$A$5:$A$204&lt;&gt;"")*(A_Corridor!$A$5:$A$204&lt;=$B996)*(A_Corridor!$B$5:$B$204&gt;$B996)*(A_Corridor!$F$5:$F$204&lt;&gt;"")),IF(A_Corridor!$F$5:$F$204="-","",1)),"")</f>
        <v/>
      </c>
      <c r="J996" s="182" t="str">
        <f>IFERROR(LOOKUP(2,1/((A_Corridor!$A$5:$A$204&lt;&gt;"")*(A_Corridor!$A$5:$A$204&lt;=$B996)*(A_Corridor!$B$5:$B$204&gt;$B996)*(A_Corridor!$F$5:$F$204&lt;&gt;"")),IF(A_Corridor!$F$5:$F$204="-","",A_Corridor!$F$5:$F$204)),"")</f>
        <v/>
      </c>
      <c r="K996" s="182" t="str">
        <f>IFERROR(LOOKUP(2,1/((A_Corridor!$A$5:$A$204&lt;&gt;"")*(A_Corridor!$A$5:$A$204&lt;=$B996)*(A_Corridor!$B$5:$B$204&gt;$B996)*(A_Corridor!$G$5:$G$204&lt;&gt;"")),IF(A_Corridor!$G$5:$G$204="-","",A_Corridor!$G$5:$G$204)),"")</f>
        <v/>
      </c>
      <c r="L996" s="181" t="str">
        <f>IFERROR(LOOKUP(2,1/((A_Corridor!$A$5:$A$204&lt;&gt;"")*(A_Corridor!$A$5:$A$204&lt;=$B996)*(A_Corridor!$B$5:$B$204&gt;$B996)*(A_Corridor!$H$5:$H$204&lt;&gt;"")),IF(A_Corridor!$H$5:$H$204="-","",1)),"")</f>
        <v/>
      </c>
      <c r="M996" s="182" t="str">
        <f>IFERROR(LOOKUP(2,1/((A_Corridor!$A$5:$A$204&lt;&gt;"")*(A_Corridor!$A$5:$A$204&lt;=$B996)*(A_Corridor!$B$5:$B$204&gt;$B996)*(A_Corridor!$H$5:$H$204&lt;&gt;"")),IF(A_Corridor!$H$5:$H$204="-","",A_Corridor!$H$5:$H$204)),"")</f>
        <v/>
      </c>
      <c r="N996" s="182" t="str">
        <f>IFERROR(LOOKUP(2,1/((A_Corridor!$A$5:$A$204&lt;&gt;"")*(A_Corridor!$A$5:$A$204&lt;=$B996)*(A_Corridor!$B$5:$B$204&gt;$B996)*(A_Corridor!$I$5:$I$204&lt;&gt;"")),IF(A_Corridor!$I$5:$I$204="-","",A_Corridor!$I$5:$I$204)),"")</f>
        <v/>
      </c>
      <c r="O996" s="182" t="str">
        <f>IFERROR(LOOKUP(2,1/((D_Points!$A$5:$A$204&lt;&gt;"")*(D_Points!$A$5:$A$204&gt;=$B996)*(D_Points!$A$5:$A$204&lt;$B996+P_Interval)*(UPPER(TRIM(D_Points!$B$5:$B$204))="PITCHING")*(D_Points!$H$5:$H$204&lt;&gt;"")),D_Points!$H$5:$H$204),"")</f>
        <v/>
      </c>
      <c r="P996" s="181" t="str">
        <f>IFERROR(LOOKUP(2,1/((B_Drainage!$A$5:$A$204&lt;&gt;"")*(B_Drainage!$A$5:$A$204&lt;=$B996)*(B_Drainage!$B$5:$B$204&gt;$B996)*(B_Drainage!$C$5:$C$204&lt;&gt;"")),IF(B_Drainage!$C$5:$C$204="-","",UPPER(B_Drainage!$C$5:$C$204))),"")</f>
        <v/>
      </c>
      <c r="Q996" s="181" t="str">
        <f>IFERROR(LOOKUP(2,1/((B_Drainage!$A$5:$A$204&lt;&gt;"")*(B_Drainage!$A$5:$A$204&lt;=$B996)*(B_Drainage!$B$5:$B$204&gt;$B996)*(B_Drainage!$D$5:$D$204&lt;&gt;"")),IF(B_Drainage!$D$5:$D$204="-","",UPPER(B_Drainage!$D$5:$D$204))),"")</f>
        <v/>
      </c>
      <c r="R996" s="182" t="str">
        <f>IFERROR(LOOKUP(2,1/((D_Points!$A$5:$A$204&lt;&gt;"")*(D_Points!$A$5:$A$204&gt;=$B996)*(D_Points!$A$5:$A$204&lt;$B996+P_Interval)*(RIGHT(UPPER(TRIM(D_Points!$B$5:$B$204)),8)="_CULVERT")),IF(LEFT(UPPER(TRIM(D_Points!$B$5:$B$204)),2)="EX",1,IF(LEFT(UPPER(TRIM(D_Points!$B$5:$B$204)),2)="PR",2,3))),"")</f>
        <v/>
      </c>
      <c r="S996" s="182" t="str">
        <f>IFERROR(LOOKUP(2,1/((D_Points!$A$5:$A$204&lt;&gt;"")*(D_Points!$A$5:$A$204&gt;=$B996)*(D_Points!$A$5:$A$204&lt;$B996+P_Interval)*(RIGHT(UPPER(TRIM(D_Points!$B$5:$B$204)),7)="_BRIDGE")),IF(LEFT(UPPER(TRIM(D_Points!$B$5:$B$204)),2)="EX",1,IF(LEFT(UPPER(TRIM(D_Points!$B$5:$B$204)),2)="PR",2,2))),"")</f>
        <v/>
      </c>
      <c r="T996" s="181" t="str">
        <f>IFERROR(LOOKUP(2,1/((B_Drainage!$A$5:$A$204&lt;&gt;"")*(B_Drainage!$A$5:$A$204&lt;=$B996)*(B_Drainage!$B$5:$B$204&gt;$B996)*(B_Drainage!$E$5:$E$204&lt;&gt;"")),IF(B_Drainage!$E$5:$E$204="-","",1)),"")</f>
        <v/>
      </c>
      <c r="U996" s="181" t="str">
        <f>IFERROR(LOOKUP(2,1/((B_Drainage!$A$5:$A$204&lt;&gt;"")*(B_Drainage!$A$5:$A$204&lt;=$B996)*(B_Drainage!$B$5:$B$204&gt;$B996)*(B_Drainage!$E$5:$E$204&lt;&gt;"")),IF(B_Drainage!$E$5:$E$204="-","",B_Drainage!$E$5:$E$204)),"")</f>
        <v/>
      </c>
      <c r="V996" s="181" t="str">
        <f>IFERROR(LOOKUP(2,1/((B_Drainage!$A$5:$A$204&lt;&gt;"")*(B_Drainage!$A$5:$A$204&lt;=$B996)*(B_Drainage!$B$5:$B$204&gt;$B996)*(B_Drainage!$F$5:$F$204&lt;&gt;"")),IF(B_Drainage!$F$5:$F$204="-","",1)),"")</f>
        <v/>
      </c>
      <c r="W996" s="181" t="str">
        <f>IFERROR(LOOKUP(2,1/((B_Drainage!$A$5:$A$204&lt;&gt;"")*(B_Drainage!$A$5:$A$204&lt;=$B996)*(B_Drainage!$B$5:$B$204&gt;$B996)*(B_Drainage!$F$5:$F$204&lt;&gt;"")),IF(B_Drainage!$F$5:$F$204="-","",B_Drainage!$F$5:$F$204)),"")</f>
        <v/>
      </c>
      <c r="X996" s="181" t="str">
        <f>IFERROR(LOOKUP(2,1/((B_Drainage!$A$5:$A$204&lt;&gt;"")*(B_Drainage!$A$5:$A$204&lt;=$B996)*(B_Drainage!$B$5:$B$204&gt;$B996)*(B_Drainage!$G$5:$G$204&lt;&gt;"")),IF(UPPER(B_Drainage!$G$5:$G$204)="Y",1,"")),"")</f>
        <v/>
      </c>
      <c r="Y996" s="181" t="str">
        <f>IFERROR(LOOKUP(2,1/((B_Drainage!$A$5:$A$204&lt;&gt;"")*(B_Drainage!$A$5:$A$204&lt;=$B996)*(B_Drainage!$B$5:$B$204&gt;$B996)*(B_Drainage!$H$5:$H$204&lt;&gt;"")),IF(UPPER(B_Drainage!$H$5:$H$204)="Y",1,"")),"")</f>
        <v/>
      </c>
      <c r="Z996" s="181" t="str">
        <f>IFERROR(LOOKUP(2,1/((B_Drainage!$A$5:$A$204&lt;&gt;"")*(B_Drainage!$A$5:$A$204&lt;=$B996)*(B_Drainage!$B$5:$B$204&gt;$B996)*(B_Drainage!$I$5:$I$204&lt;&gt;"")),IF(UPPER(B_Drainage!$I$5:$I$204)="Y",1,"")),"")</f>
        <v/>
      </c>
      <c r="AA996" s="181" t="str">
        <f>IFERROR(LOOKUP(2,1/((B_Drainage!$A$5:$A$204&lt;&gt;"")*(B_Drainage!$A$5:$A$204&lt;=$B996)*(B_Drainage!$B$5:$B$204&gt;$B996)*(B_Drainage!$J$5:$J$204&lt;&gt;"")),IF(UPPER(B_Drainage!$J$5:$J$204)="Y",1,"")),"")</f>
        <v/>
      </c>
      <c r="AB996" s="182" t="str">
        <f>IFERROR(LOOKUP(2,1/((B_Drainage!$A$5:$A$204&lt;&gt;"")*(B_Drainage!$A$5:$A$204&lt;=$B996)*(B_Drainage!$B$5:$B$204&gt;$B996)*(B_Drainage!$K$5:$K$204&lt;&gt;"")),IF(B_Drainage!$K$5:$K$204="-","",B_Drainage!$K$5:$K$204)),"")</f>
        <v/>
      </c>
      <c r="AC996" s="182" t="str">
        <f>IFERROR(LOOKUP(2,1/((B_Drainage!$A$5:$A$204&lt;&gt;"")*(B_Drainage!$A$5:$A$204&lt;=$B996)*(B_Drainage!$B$5:$B$204&gt;$B996)*(B_Drainage!$L$5:$L$204&lt;&gt;"")),IF(B_Drainage!$L$5:$L$204="-","",B_Drainage!$L$5:$L$204)),"")</f>
        <v/>
      </c>
      <c r="AD996" s="182" t="str">
        <f>IFERROR(LOOKUP(2,1/((D_Points!$A$5:$A$204&lt;&gt;"")*(D_Points!$A$5:$A$204&gt;=$B996)*(D_Points!$A$5:$A$204&lt;$B996+P_Interval)*(UPPER(TRIM(D_Points!$B$5:$B$204))="TURNOUT_L")*(D_Points!$H$5:$H$204&lt;&gt;"")),D_Points!$H$5:$H$204),"")</f>
        <v/>
      </c>
      <c r="AE996" s="182" t="str">
        <f>IFERROR(LOOKUP(2,1/((D_Points!$A$5:$A$204&lt;&gt;"")*(D_Points!$A$5:$A$204&gt;=$B996)*(D_Points!$A$5:$A$204&lt;$B996+P_Interval)*(UPPER(TRIM(D_Points!$B$5:$B$204))="TURNOUT_R")*(D_Points!$H$5:$H$204&lt;&gt;"")),D_Points!$H$5:$H$204),"")</f>
        <v/>
      </c>
      <c r="AF996" s="181" t="str">
        <f>IFERROR(LOOKUP(2,1/((B_Drainage!$A$5:$A$204&lt;&gt;"")*(B_Drainage!$A$5:$A$204&lt;=$B996)*(B_Drainage!$B$5:$B$204&gt;$B996)*(B_Drainage!$M$5:$M$204&lt;&gt;"")),IF(UPPER(B_Drainage!$M$5:$M$204)="Y",1,"")),"")</f>
        <v/>
      </c>
      <c r="AG996" s="181" t="str">
        <f>IFERROR(LOOKUP(2,1/((B_Drainage!$A$5:$A$204&lt;&gt;"")*(B_Drainage!$A$5:$A$204&lt;=$B996)*(B_Drainage!$B$5:$B$204&gt;$B996)*(B_Drainage!$N$5:$N$204&lt;&gt;"")),IF(UPPER(B_Drainage!$N$5:$N$204)="Y",1,"")),"")</f>
        <v/>
      </c>
      <c r="AH996" s="181" t="str">
        <f t="shared" si="120"/>
        <v/>
      </c>
      <c r="AI996" s="181" t="str">
        <f t="shared" si="121"/>
        <v/>
      </c>
      <c r="AJ996" s="181" t="str">
        <f t="shared" si="122"/>
        <v/>
      </c>
      <c r="AK996" s="181" t="str">
        <f t="shared" si="123"/>
        <v/>
      </c>
      <c r="AL996" s="181" t="str">
        <f t="shared" si="124"/>
        <v/>
      </c>
      <c r="AM996" s="181" t="str">
        <f t="shared" si="125"/>
        <v/>
      </c>
      <c r="AN996" s="181" t="str">
        <f t="shared" si="126"/>
        <v/>
      </c>
      <c r="AO996" s="192" t="str">
        <f t="shared" si="127"/>
        <v/>
      </c>
      <c r="AQ996" t="str">
        <f>IFERROR(LOOKUP(2,1/((C_Pavement!$A$5:$A$204&lt;&gt;"")*(C_Pavement!$A$5:$A$204&lt;=$B996)*(C_Pavement!$B$5:$B$204&gt;$B996)*(C_Pavement!$C$5:$C$204&lt;&gt;"")),ROW(C_Pavement!$C$5:$C$204)-4),"")</f>
        <v/>
      </c>
      <c r="AR996" t="str">
        <f>IF($AQ996="","",UPPER(TRIM(INDEX(C_Pavement!$C$5:$C$204,$AQ996))))</f>
        <v/>
      </c>
      <c r="AS996" t="str">
        <f>IF($AR996="","",IFERROR(MATCH($AR996,E_Rules!$A$5:$A$9,0),""))</f>
        <v/>
      </c>
      <c r="AT996" t="str">
        <f>IF($AQ996="","",IF(INDEX(C_Pavement!$D$5:$D$204,$AQ996)&lt;&gt;"",UPPER(TRIM(INDEX(C_Pavement!$D$5:$D$204,$AQ996))),IF($AS996="","",INDEX(E_Rules!$C$5:$C$9,$AS996))))</f>
        <v/>
      </c>
      <c r="AU996" t="str">
        <f>IF($AQ996="","",IF(INDEX(C_Pavement!$E$5:$E$204,$AQ996)&lt;&gt;"",IF(INDEX(C_Pavement!$E$5:$E$204,$AQ996)="-","",INDEX(C_Pavement!$E$5:$E$204,$AQ996)),IF($AS996="","",INDEX(E_Rules!$D$5:$D$9,$AS996))))</f>
        <v/>
      </c>
      <c r="AV996" t="str">
        <f>IF($AQ996="","",IF(INDEX(C_Pavement!$F$5:$F$204,$AQ996)&lt;&gt;"",IF(INDEX(C_Pavement!$F$5:$F$204,$AQ996)="-","",INDEX(C_Pavement!$F$5:$F$204,$AQ996)),IF($AS996="","",INDEX(E_Rules!$E$5:$E$9,$AS996))))</f>
        <v/>
      </c>
      <c r="AW996" t="str">
        <f>IF($AQ996="","",IF(INDEX(C_Pavement!$G$5:$G$204,$AQ996)&lt;&gt;"",IF(INDEX(C_Pavement!$G$5:$G$204,$AQ996)="-","",INDEX(C_Pavement!$G$5:$G$204,$AQ996)),IF($AS996="","",INDEX(E_Rules!$F$5:$F$9,$AS996))))</f>
        <v/>
      </c>
      <c r="AX996" t="str">
        <f>IF($AQ996="","",IF(INDEX(C_Pavement!$H$5:$H$204,$AQ996)&lt;&gt;"",IF(INDEX(C_Pavement!$H$5:$H$204,$AQ996)="-","",INDEX(C_Pavement!$H$5:$H$204,$AQ996)),IF($AS996="","",INDEX(E_Rules!$G$5:$G$9,$AS996))))</f>
        <v/>
      </c>
      <c r="AY996" t="str">
        <f>IF($AQ996="","",IF(INDEX(C_Pavement!$I$5:$I$204,$AQ996)&lt;&gt;"",IF(INDEX(C_Pavement!$I$5:$I$204,$AQ996)="-","",INDEX(C_Pavement!$I$5:$I$204,$AQ996)),IF($AS996="","",INDEX(E_Rules!$H$5:$H$9,$AS996))))</f>
        <v/>
      </c>
    </row>
    <row r="997" spans="1:51" ht="15.75" customHeight="1" x14ac:dyDescent="0.3">
      <c r="A997" s="189">
        <v>992</v>
      </c>
      <c r="B997" s="180">
        <v>49550</v>
      </c>
      <c r="C997" s="180" t="s">
        <v>1303</v>
      </c>
      <c r="D997" s="181" t="str">
        <f>IFERROR(LOOKUP(2,1/((A_Corridor!$A$5:$A$204&lt;&gt;"")*(A_Corridor!$A$5:$A$204&lt;=$B997)*(A_Corridor!$B$5:$B$204&gt;$B997)*(A_Corridor!$C$5:$C$204&lt;&gt;"")),IF(UPPER(A_Corridor!$C$5:$C$204)="Y",1,"")),"")</f>
        <v/>
      </c>
      <c r="E997" s="181" t="str">
        <f>IFERROR(LOOKUP(2,1/((A_Corridor!$A$5:$A$204&lt;&gt;"")*(A_Corridor!$A$5:$A$204&lt;=$B997)*(A_Corridor!$B$5:$B$204&gt;$B997)*(A_Corridor!$D$5:$D$204&lt;&gt;"")),IF(A_Corridor!$D$5:$D$204="-","",UPPER(A_Corridor!$D$5:$D$204))),"")</f>
        <v/>
      </c>
      <c r="F997" s="181" t="str">
        <f>IFERROR(LOOKUP(2,1/((A_Corridor!$A$5:$A$204&lt;&gt;"")*(A_Corridor!$A$5:$A$204&lt;=$B997)*(A_Corridor!$B$5:$B$204&gt;$B997)*(A_Corridor!$E$5:$E$204&lt;&gt;"")),IF(A_Corridor!$E$5:$E$204="-","",1)),"")</f>
        <v/>
      </c>
      <c r="G997" s="182" t="str">
        <f>IFERROR(LOOKUP(2,1/((A_Corridor!$A$5:$A$204&lt;&gt;"")*(A_Corridor!$A$5:$A$204&lt;=$B997)*(A_Corridor!$B$5:$B$204&gt;$B997)*(A_Corridor!$E$5:$E$204&lt;&gt;"")),IF(A_Corridor!$E$5:$E$204="-","",A_Corridor!$E$5:$E$204)),"")</f>
        <v/>
      </c>
      <c r="H997" s="182" t="str">
        <f>IFERROR(LOOKUP(2,1/((D_Points!$A$5:$A$204&lt;&gt;"")*(D_Points!$A$5:$A$204&gt;=$B997)*(D_Points!$A$5:$A$204&lt;$B997+P_Interval)*(UPPER(TRIM(D_Points!$B$5:$B$204))="GULLY")*(D_Points!$H$5:$H$204&lt;&gt;"")),D_Points!$H$5:$H$204),"")</f>
        <v/>
      </c>
      <c r="I997" s="181" t="str">
        <f>IFERROR(LOOKUP(2,1/((A_Corridor!$A$5:$A$204&lt;&gt;"")*(A_Corridor!$A$5:$A$204&lt;=$B997)*(A_Corridor!$B$5:$B$204&gt;$B997)*(A_Corridor!$F$5:$F$204&lt;&gt;"")),IF(A_Corridor!$F$5:$F$204="-","",1)),"")</f>
        <v/>
      </c>
      <c r="J997" s="182" t="str">
        <f>IFERROR(LOOKUP(2,1/((A_Corridor!$A$5:$A$204&lt;&gt;"")*(A_Corridor!$A$5:$A$204&lt;=$B997)*(A_Corridor!$B$5:$B$204&gt;$B997)*(A_Corridor!$F$5:$F$204&lt;&gt;"")),IF(A_Corridor!$F$5:$F$204="-","",A_Corridor!$F$5:$F$204)),"")</f>
        <v/>
      </c>
      <c r="K997" s="182" t="str">
        <f>IFERROR(LOOKUP(2,1/((A_Corridor!$A$5:$A$204&lt;&gt;"")*(A_Corridor!$A$5:$A$204&lt;=$B997)*(A_Corridor!$B$5:$B$204&gt;$B997)*(A_Corridor!$G$5:$G$204&lt;&gt;"")),IF(A_Corridor!$G$5:$G$204="-","",A_Corridor!$G$5:$G$204)),"")</f>
        <v/>
      </c>
      <c r="L997" s="181" t="str">
        <f>IFERROR(LOOKUP(2,1/((A_Corridor!$A$5:$A$204&lt;&gt;"")*(A_Corridor!$A$5:$A$204&lt;=$B997)*(A_Corridor!$B$5:$B$204&gt;$B997)*(A_Corridor!$H$5:$H$204&lt;&gt;"")),IF(A_Corridor!$H$5:$H$204="-","",1)),"")</f>
        <v/>
      </c>
      <c r="M997" s="182" t="str">
        <f>IFERROR(LOOKUP(2,1/((A_Corridor!$A$5:$A$204&lt;&gt;"")*(A_Corridor!$A$5:$A$204&lt;=$B997)*(A_Corridor!$B$5:$B$204&gt;$B997)*(A_Corridor!$H$5:$H$204&lt;&gt;"")),IF(A_Corridor!$H$5:$H$204="-","",A_Corridor!$H$5:$H$204)),"")</f>
        <v/>
      </c>
      <c r="N997" s="182" t="str">
        <f>IFERROR(LOOKUP(2,1/((A_Corridor!$A$5:$A$204&lt;&gt;"")*(A_Corridor!$A$5:$A$204&lt;=$B997)*(A_Corridor!$B$5:$B$204&gt;$B997)*(A_Corridor!$I$5:$I$204&lt;&gt;"")),IF(A_Corridor!$I$5:$I$204="-","",A_Corridor!$I$5:$I$204)),"")</f>
        <v/>
      </c>
      <c r="O997" s="182" t="str">
        <f>IFERROR(LOOKUP(2,1/((D_Points!$A$5:$A$204&lt;&gt;"")*(D_Points!$A$5:$A$204&gt;=$B997)*(D_Points!$A$5:$A$204&lt;$B997+P_Interval)*(UPPER(TRIM(D_Points!$B$5:$B$204))="PITCHING")*(D_Points!$H$5:$H$204&lt;&gt;"")),D_Points!$H$5:$H$204),"")</f>
        <v/>
      </c>
      <c r="P997" s="181" t="str">
        <f>IFERROR(LOOKUP(2,1/((B_Drainage!$A$5:$A$204&lt;&gt;"")*(B_Drainage!$A$5:$A$204&lt;=$B997)*(B_Drainage!$B$5:$B$204&gt;$B997)*(B_Drainage!$C$5:$C$204&lt;&gt;"")),IF(B_Drainage!$C$5:$C$204="-","",UPPER(B_Drainage!$C$5:$C$204))),"")</f>
        <v/>
      </c>
      <c r="Q997" s="181" t="str">
        <f>IFERROR(LOOKUP(2,1/((B_Drainage!$A$5:$A$204&lt;&gt;"")*(B_Drainage!$A$5:$A$204&lt;=$B997)*(B_Drainage!$B$5:$B$204&gt;$B997)*(B_Drainage!$D$5:$D$204&lt;&gt;"")),IF(B_Drainage!$D$5:$D$204="-","",UPPER(B_Drainage!$D$5:$D$204))),"")</f>
        <v/>
      </c>
      <c r="R997" s="182" t="str">
        <f>IFERROR(LOOKUP(2,1/((D_Points!$A$5:$A$204&lt;&gt;"")*(D_Points!$A$5:$A$204&gt;=$B997)*(D_Points!$A$5:$A$204&lt;$B997+P_Interval)*(RIGHT(UPPER(TRIM(D_Points!$B$5:$B$204)),8)="_CULVERT")),IF(LEFT(UPPER(TRIM(D_Points!$B$5:$B$204)),2)="EX",1,IF(LEFT(UPPER(TRIM(D_Points!$B$5:$B$204)),2)="PR",2,3))),"")</f>
        <v/>
      </c>
      <c r="S997" s="182" t="str">
        <f>IFERROR(LOOKUP(2,1/((D_Points!$A$5:$A$204&lt;&gt;"")*(D_Points!$A$5:$A$204&gt;=$B997)*(D_Points!$A$5:$A$204&lt;$B997+P_Interval)*(RIGHT(UPPER(TRIM(D_Points!$B$5:$B$204)),7)="_BRIDGE")),IF(LEFT(UPPER(TRIM(D_Points!$B$5:$B$204)),2)="EX",1,IF(LEFT(UPPER(TRIM(D_Points!$B$5:$B$204)),2)="PR",2,2))),"")</f>
        <v/>
      </c>
      <c r="T997" s="181" t="str">
        <f>IFERROR(LOOKUP(2,1/((B_Drainage!$A$5:$A$204&lt;&gt;"")*(B_Drainage!$A$5:$A$204&lt;=$B997)*(B_Drainage!$B$5:$B$204&gt;$B997)*(B_Drainage!$E$5:$E$204&lt;&gt;"")),IF(B_Drainage!$E$5:$E$204="-","",1)),"")</f>
        <v/>
      </c>
      <c r="U997" s="181" t="str">
        <f>IFERROR(LOOKUP(2,1/((B_Drainage!$A$5:$A$204&lt;&gt;"")*(B_Drainage!$A$5:$A$204&lt;=$B997)*(B_Drainage!$B$5:$B$204&gt;$B997)*(B_Drainage!$E$5:$E$204&lt;&gt;"")),IF(B_Drainage!$E$5:$E$204="-","",B_Drainage!$E$5:$E$204)),"")</f>
        <v/>
      </c>
      <c r="V997" s="181" t="str">
        <f>IFERROR(LOOKUP(2,1/((B_Drainage!$A$5:$A$204&lt;&gt;"")*(B_Drainage!$A$5:$A$204&lt;=$B997)*(B_Drainage!$B$5:$B$204&gt;$B997)*(B_Drainage!$F$5:$F$204&lt;&gt;"")),IF(B_Drainage!$F$5:$F$204="-","",1)),"")</f>
        <v/>
      </c>
      <c r="W997" s="181" t="str">
        <f>IFERROR(LOOKUP(2,1/((B_Drainage!$A$5:$A$204&lt;&gt;"")*(B_Drainage!$A$5:$A$204&lt;=$B997)*(B_Drainage!$B$5:$B$204&gt;$B997)*(B_Drainage!$F$5:$F$204&lt;&gt;"")),IF(B_Drainage!$F$5:$F$204="-","",B_Drainage!$F$5:$F$204)),"")</f>
        <v/>
      </c>
      <c r="X997" s="181" t="str">
        <f>IFERROR(LOOKUP(2,1/((B_Drainage!$A$5:$A$204&lt;&gt;"")*(B_Drainage!$A$5:$A$204&lt;=$B997)*(B_Drainage!$B$5:$B$204&gt;$B997)*(B_Drainage!$G$5:$G$204&lt;&gt;"")),IF(UPPER(B_Drainage!$G$5:$G$204)="Y",1,"")),"")</f>
        <v/>
      </c>
      <c r="Y997" s="181" t="str">
        <f>IFERROR(LOOKUP(2,1/((B_Drainage!$A$5:$A$204&lt;&gt;"")*(B_Drainage!$A$5:$A$204&lt;=$B997)*(B_Drainage!$B$5:$B$204&gt;$B997)*(B_Drainage!$H$5:$H$204&lt;&gt;"")),IF(UPPER(B_Drainage!$H$5:$H$204)="Y",1,"")),"")</f>
        <v/>
      </c>
      <c r="Z997" s="181" t="str">
        <f>IFERROR(LOOKUP(2,1/((B_Drainage!$A$5:$A$204&lt;&gt;"")*(B_Drainage!$A$5:$A$204&lt;=$B997)*(B_Drainage!$B$5:$B$204&gt;$B997)*(B_Drainage!$I$5:$I$204&lt;&gt;"")),IF(UPPER(B_Drainage!$I$5:$I$204)="Y",1,"")),"")</f>
        <v/>
      </c>
      <c r="AA997" s="181" t="str">
        <f>IFERROR(LOOKUP(2,1/((B_Drainage!$A$5:$A$204&lt;&gt;"")*(B_Drainage!$A$5:$A$204&lt;=$B997)*(B_Drainage!$B$5:$B$204&gt;$B997)*(B_Drainage!$J$5:$J$204&lt;&gt;"")),IF(UPPER(B_Drainage!$J$5:$J$204)="Y",1,"")),"")</f>
        <v/>
      </c>
      <c r="AB997" s="182" t="str">
        <f>IFERROR(LOOKUP(2,1/((B_Drainage!$A$5:$A$204&lt;&gt;"")*(B_Drainage!$A$5:$A$204&lt;=$B997)*(B_Drainage!$B$5:$B$204&gt;$B997)*(B_Drainage!$K$5:$K$204&lt;&gt;"")),IF(B_Drainage!$K$5:$K$204="-","",B_Drainage!$K$5:$K$204)),"")</f>
        <v/>
      </c>
      <c r="AC997" s="182" t="str">
        <f>IFERROR(LOOKUP(2,1/((B_Drainage!$A$5:$A$204&lt;&gt;"")*(B_Drainage!$A$5:$A$204&lt;=$B997)*(B_Drainage!$B$5:$B$204&gt;$B997)*(B_Drainage!$L$5:$L$204&lt;&gt;"")),IF(B_Drainage!$L$5:$L$204="-","",B_Drainage!$L$5:$L$204)),"")</f>
        <v/>
      </c>
      <c r="AD997" s="182" t="str">
        <f>IFERROR(LOOKUP(2,1/((D_Points!$A$5:$A$204&lt;&gt;"")*(D_Points!$A$5:$A$204&gt;=$B997)*(D_Points!$A$5:$A$204&lt;$B997+P_Interval)*(UPPER(TRIM(D_Points!$B$5:$B$204))="TURNOUT_L")*(D_Points!$H$5:$H$204&lt;&gt;"")),D_Points!$H$5:$H$204),"")</f>
        <v/>
      </c>
      <c r="AE997" s="182" t="str">
        <f>IFERROR(LOOKUP(2,1/((D_Points!$A$5:$A$204&lt;&gt;"")*(D_Points!$A$5:$A$204&gt;=$B997)*(D_Points!$A$5:$A$204&lt;$B997+P_Interval)*(UPPER(TRIM(D_Points!$B$5:$B$204))="TURNOUT_R")*(D_Points!$H$5:$H$204&lt;&gt;"")),D_Points!$H$5:$H$204),"")</f>
        <v/>
      </c>
      <c r="AF997" s="181" t="str">
        <f>IFERROR(LOOKUP(2,1/((B_Drainage!$A$5:$A$204&lt;&gt;"")*(B_Drainage!$A$5:$A$204&lt;=$B997)*(B_Drainage!$B$5:$B$204&gt;$B997)*(B_Drainage!$M$5:$M$204&lt;&gt;"")),IF(UPPER(B_Drainage!$M$5:$M$204)="Y",1,"")),"")</f>
        <v/>
      </c>
      <c r="AG997" s="181" t="str">
        <f>IFERROR(LOOKUP(2,1/((B_Drainage!$A$5:$A$204&lt;&gt;"")*(B_Drainage!$A$5:$A$204&lt;=$B997)*(B_Drainage!$B$5:$B$204&gt;$B997)*(B_Drainage!$N$5:$N$204&lt;&gt;"")),IF(UPPER(B_Drainage!$N$5:$N$204)="Y",1,"")),"")</f>
        <v/>
      </c>
      <c r="AH997" s="181" t="str">
        <f t="shared" si="120"/>
        <v/>
      </c>
      <c r="AI997" s="181" t="str">
        <f t="shared" si="121"/>
        <v/>
      </c>
      <c r="AJ997" s="181" t="str">
        <f t="shared" si="122"/>
        <v/>
      </c>
      <c r="AK997" s="181" t="str">
        <f t="shared" si="123"/>
        <v/>
      </c>
      <c r="AL997" s="181" t="str">
        <f t="shared" si="124"/>
        <v/>
      </c>
      <c r="AM997" s="181" t="str">
        <f t="shared" si="125"/>
        <v/>
      </c>
      <c r="AN997" s="181" t="str">
        <f t="shared" si="126"/>
        <v/>
      </c>
      <c r="AO997" s="192" t="str">
        <f t="shared" si="127"/>
        <v/>
      </c>
      <c r="AQ997" t="str">
        <f>IFERROR(LOOKUP(2,1/((C_Pavement!$A$5:$A$204&lt;&gt;"")*(C_Pavement!$A$5:$A$204&lt;=$B997)*(C_Pavement!$B$5:$B$204&gt;$B997)*(C_Pavement!$C$5:$C$204&lt;&gt;"")),ROW(C_Pavement!$C$5:$C$204)-4),"")</f>
        <v/>
      </c>
      <c r="AR997" t="str">
        <f>IF($AQ997="","",UPPER(TRIM(INDEX(C_Pavement!$C$5:$C$204,$AQ997))))</f>
        <v/>
      </c>
      <c r="AS997" t="str">
        <f>IF($AR997="","",IFERROR(MATCH($AR997,E_Rules!$A$5:$A$9,0),""))</f>
        <v/>
      </c>
      <c r="AT997" t="str">
        <f>IF($AQ997="","",IF(INDEX(C_Pavement!$D$5:$D$204,$AQ997)&lt;&gt;"",UPPER(TRIM(INDEX(C_Pavement!$D$5:$D$204,$AQ997))),IF($AS997="","",INDEX(E_Rules!$C$5:$C$9,$AS997))))</f>
        <v/>
      </c>
      <c r="AU997" t="str">
        <f>IF($AQ997="","",IF(INDEX(C_Pavement!$E$5:$E$204,$AQ997)&lt;&gt;"",IF(INDEX(C_Pavement!$E$5:$E$204,$AQ997)="-","",INDEX(C_Pavement!$E$5:$E$204,$AQ997)),IF($AS997="","",INDEX(E_Rules!$D$5:$D$9,$AS997))))</f>
        <v/>
      </c>
      <c r="AV997" t="str">
        <f>IF($AQ997="","",IF(INDEX(C_Pavement!$F$5:$F$204,$AQ997)&lt;&gt;"",IF(INDEX(C_Pavement!$F$5:$F$204,$AQ997)="-","",INDEX(C_Pavement!$F$5:$F$204,$AQ997)),IF($AS997="","",INDEX(E_Rules!$E$5:$E$9,$AS997))))</f>
        <v/>
      </c>
      <c r="AW997" t="str">
        <f>IF($AQ997="","",IF(INDEX(C_Pavement!$G$5:$G$204,$AQ997)&lt;&gt;"",IF(INDEX(C_Pavement!$G$5:$G$204,$AQ997)="-","",INDEX(C_Pavement!$G$5:$G$204,$AQ997)),IF($AS997="","",INDEX(E_Rules!$F$5:$F$9,$AS997))))</f>
        <v/>
      </c>
      <c r="AX997" t="str">
        <f>IF($AQ997="","",IF(INDEX(C_Pavement!$H$5:$H$204,$AQ997)&lt;&gt;"",IF(INDEX(C_Pavement!$H$5:$H$204,$AQ997)="-","",INDEX(C_Pavement!$H$5:$H$204,$AQ997)),IF($AS997="","",INDEX(E_Rules!$G$5:$G$9,$AS997))))</f>
        <v/>
      </c>
      <c r="AY997" t="str">
        <f>IF($AQ997="","",IF(INDEX(C_Pavement!$I$5:$I$204,$AQ997)&lt;&gt;"",IF(INDEX(C_Pavement!$I$5:$I$204,$AQ997)="-","",INDEX(C_Pavement!$I$5:$I$204,$AQ997)),IF($AS997="","",INDEX(E_Rules!$H$5:$H$9,$AS997))))</f>
        <v/>
      </c>
    </row>
    <row r="998" spans="1:51" ht="15.75" customHeight="1" x14ac:dyDescent="0.3">
      <c r="A998" s="189">
        <v>993</v>
      </c>
      <c r="B998" s="180">
        <v>49600</v>
      </c>
      <c r="C998" s="180" t="s">
        <v>1304</v>
      </c>
      <c r="D998" s="181" t="str">
        <f>IFERROR(LOOKUP(2,1/((A_Corridor!$A$5:$A$204&lt;&gt;"")*(A_Corridor!$A$5:$A$204&lt;=$B998)*(A_Corridor!$B$5:$B$204&gt;$B998)*(A_Corridor!$C$5:$C$204&lt;&gt;"")),IF(UPPER(A_Corridor!$C$5:$C$204)="Y",1,"")),"")</f>
        <v/>
      </c>
      <c r="E998" s="181" t="str">
        <f>IFERROR(LOOKUP(2,1/((A_Corridor!$A$5:$A$204&lt;&gt;"")*(A_Corridor!$A$5:$A$204&lt;=$B998)*(A_Corridor!$B$5:$B$204&gt;$B998)*(A_Corridor!$D$5:$D$204&lt;&gt;"")),IF(A_Corridor!$D$5:$D$204="-","",UPPER(A_Corridor!$D$5:$D$204))),"")</f>
        <v/>
      </c>
      <c r="F998" s="181" t="str">
        <f>IFERROR(LOOKUP(2,1/((A_Corridor!$A$5:$A$204&lt;&gt;"")*(A_Corridor!$A$5:$A$204&lt;=$B998)*(A_Corridor!$B$5:$B$204&gt;$B998)*(A_Corridor!$E$5:$E$204&lt;&gt;"")),IF(A_Corridor!$E$5:$E$204="-","",1)),"")</f>
        <v/>
      </c>
      <c r="G998" s="182" t="str">
        <f>IFERROR(LOOKUP(2,1/((A_Corridor!$A$5:$A$204&lt;&gt;"")*(A_Corridor!$A$5:$A$204&lt;=$B998)*(A_Corridor!$B$5:$B$204&gt;$B998)*(A_Corridor!$E$5:$E$204&lt;&gt;"")),IF(A_Corridor!$E$5:$E$204="-","",A_Corridor!$E$5:$E$204)),"")</f>
        <v/>
      </c>
      <c r="H998" s="182" t="str">
        <f>IFERROR(LOOKUP(2,1/((D_Points!$A$5:$A$204&lt;&gt;"")*(D_Points!$A$5:$A$204&gt;=$B998)*(D_Points!$A$5:$A$204&lt;$B998+P_Interval)*(UPPER(TRIM(D_Points!$B$5:$B$204))="GULLY")*(D_Points!$H$5:$H$204&lt;&gt;"")),D_Points!$H$5:$H$204),"")</f>
        <v/>
      </c>
      <c r="I998" s="181" t="str">
        <f>IFERROR(LOOKUP(2,1/((A_Corridor!$A$5:$A$204&lt;&gt;"")*(A_Corridor!$A$5:$A$204&lt;=$B998)*(A_Corridor!$B$5:$B$204&gt;$B998)*(A_Corridor!$F$5:$F$204&lt;&gt;"")),IF(A_Corridor!$F$5:$F$204="-","",1)),"")</f>
        <v/>
      </c>
      <c r="J998" s="182" t="str">
        <f>IFERROR(LOOKUP(2,1/((A_Corridor!$A$5:$A$204&lt;&gt;"")*(A_Corridor!$A$5:$A$204&lt;=$B998)*(A_Corridor!$B$5:$B$204&gt;$B998)*(A_Corridor!$F$5:$F$204&lt;&gt;"")),IF(A_Corridor!$F$5:$F$204="-","",A_Corridor!$F$5:$F$204)),"")</f>
        <v/>
      </c>
      <c r="K998" s="182" t="str">
        <f>IFERROR(LOOKUP(2,1/((A_Corridor!$A$5:$A$204&lt;&gt;"")*(A_Corridor!$A$5:$A$204&lt;=$B998)*(A_Corridor!$B$5:$B$204&gt;$B998)*(A_Corridor!$G$5:$G$204&lt;&gt;"")),IF(A_Corridor!$G$5:$G$204="-","",A_Corridor!$G$5:$G$204)),"")</f>
        <v/>
      </c>
      <c r="L998" s="181" t="str">
        <f>IFERROR(LOOKUP(2,1/((A_Corridor!$A$5:$A$204&lt;&gt;"")*(A_Corridor!$A$5:$A$204&lt;=$B998)*(A_Corridor!$B$5:$B$204&gt;$B998)*(A_Corridor!$H$5:$H$204&lt;&gt;"")),IF(A_Corridor!$H$5:$H$204="-","",1)),"")</f>
        <v/>
      </c>
      <c r="M998" s="182" t="str">
        <f>IFERROR(LOOKUP(2,1/((A_Corridor!$A$5:$A$204&lt;&gt;"")*(A_Corridor!$A$5:$A$204&lt;=$B998)*(A_Corridor!$B$5:$B$204&gt;$B998)*(A_Corridor!$H$5:$H$204&lt;&gt;"")),IF(A_Corridor!$H$5:$H$204="-","",A_Corridor!$H$5:$H$204)),"")</f>
        <v/>
      </c>
      <c r="N998" s="182" t="str">
        <f>IFERROR(LOOKUP(2,1/((A_Corridor!$A$5:$A$204&lt;&gt;"")*(A_Corridor!$A$5:$A$204&lt;=$B998)*(A_Corridor!$B$5:$B$204&gt;$B998)*(A_Corridor!$I$5:$I$204&lt;&gt;"")),IF(A_Corridor!$I$5:$I$204="-","",A_Corridor!$I$5:$I$204)),"")</f>
        <v/>
      </c>
      <c r="O998" s="182" t="str">
        <f>IFERROR(LOOKUP(2,1/((D_Points!$A$5:$A$204&lt;&gt;"")*(D_Points!$A$5:$A$204&gt;=$B998)*(D_Points!$A$5:$A$204&lt;$B998+P_Interval)*(UPPER(TRIM(D_Points!$B$5:$B$204))="PITCHING")*(D_Points!$H$5:$H$204&lt;&gt;"")),D_Points!$H$5:$H$204),"")</f>
        <v/>
      </c>
      <c r="P998" s="181" t="str">
        <f>IFERROR(LOOKUP(2,1/((B_Drainage!$A$5:$A$204&lt;&gt;"")*(B_Drainage!$A$5:$A$204&lt;=$B998)*(B_Drainage!$B$5:$B$204&gt;$B998)*(B_Drainage!$C$5:$C$204&lt;&gt;"")),IF(B_Drainage!$C$5:$C$204="-","",UPPER(B_Drainage!$C$5:$C$204))),"")</f>
        <v/>
      </c>
      <c r="Q998" s="181" t="str">
        <f>IFERROR(LOOKUP(2,1/((B_Drainage!$A$5:$A$204&lt;&gt;"")*(B_Drainage!$A$5:$A$204&lt;=$B998)*(B_Drainage!$B$5:$B$204&gt;$B998)*(B_Drainage!$D$5:$D$204&lt;&gt;"")),IF(B_Drainage!$D$5:$D$204="-","",UPPER(B_Drainage!$D$5:$D$204))),"")</f>
        <v/>
      </c>
      <c r="R998" s="182" t="str">
        <f>IFERROR(LOOKUP(2,1/((D_Points!$A$5:$A$204&lt;&gt;"")*(D_Points!$A$5:$A$204&gt;=$B998)*(D_Points!$A$5:$A$204&lt;$B998+P_Interval)*(RIGHT(UPPER(TRIM(D_Points!$B$5:$B$204)),8)="_CULVERT")),IF(LEFT(UPPER(TRIM(D_Points!$B$5:$B$204)),2)="EX",1,IF(LEFT(UPPER(TRIM(D_Points!$B$5:$B$204)),2)="PR",2,3))),"")</f>
        <v/>
      </c>
      <c r="S998" s="182" t="str">
        <f>IFERROR(LOOKUP(2,1/((D_Points!$A$5:$A$204&lt;&gt;"")*(D_Points!$A$5:$A$204&gt;=$B998)*(D_Points!$A$5:$A$204&lt;$B998+P_Interval)*(RIGHT(UPPER(TRIM(D_Points!$B$5:$B$204)),7)="_BRIDGE")),IF(LEFT(UPPER(TRIM(D_Points!$B$5:$B$204)),2)="EX",1,IF(LEFT(UPPER(TRIM(D_Points!$B$5:$B$204)),2)="PR",2,2))),"")</f>
        <v/>
      </c>
      <c r="T998" s="181" t="str">
        <f>IFERROR(LOOKUP(2,1/((B_Drainage!$A$5:$A$204&lt;&gt;"")*(B_Drainage!$A$5:$A$204&lt;=$B998)*(B_Drainage!$B$5:$B$204&gt;$B998)*(B_Drainage!$E$5:$E$204&lt;&gt;"")),IF(B_Drainage!$E$5:$E$204="-","",1)),"")</f>
        <v/>
      </c>
      <c r="U998" s="181" t="str">
        <f>IFERROR(LOOKUP(2,1/((B_Drainage!$A$5:$A$204&lt;&gt;"")*(B_Drainage!$A$5:$A$204&lt;=$B998)*(B_Drainage!$B$5:$B$204&gt;$B998)*(B_Drainage!$E$5:$E$204&lt;&gt;"")),IF(B_Drainage!$E$5:$E$204="-","",B_Drainage!$E$5:$E$204)),"")</f>
        <v/>
      </c>
      <c r="V998" s="181" t="str">
        <f>IFERROR(LOOKUP(2,1/((B_Drainage!$A$5:$A$204&lt;&gt;"")*(B_Drainage!$A$5:$A$204&lt;=$B998)*(B_Drainage!$B$5:$B$204&gt;$B998)*(B_Drainage!$F$5:$F$204&lt;&gt;"")),IF(B_Drainage!$F$5:$F$204="-","",1)),"")</f>
        <v/>
      </c>
      <c r="W998" s="181" t="str">
        <f>IFERROR(LOOKUP(2,1/((B_Drainage!$A$5:$A$204&lt;&gt;"")*(B_Drainage!$A$5:$A$204&lt;=$B998)*(B_Drainage!$B$5:$B$204&gt;$B998)*(B_Drainage!$F$5:$F$204&lt;&gt;"")),IF(B_Drainage!$F$5:$F$204="-","",B_Drainage!$F$5:$F$204)),"")</f>
        <v/>
      </c>
      <c r="X998" s="181" t="str">
        <f>IFERROR(LOOKUP(2,1/((B_Drainage!$A$5:$A$204&lt;&gt;"")*(B_Drainage!$A$5:$A$204&lt;=$B998)*(B_Drainage!$B$5:$B$204&gt;$B998)*(B_Drainage!$G$5:$G$204&lt;&gt;"")),IF(UPPER(B_Drainage!$G$5:$G$204)="Y",1,"")),"")</f>
        <v/>
      </c>
      <c r="Y998" s="181" t="str">
        <f>IFERROR(LOOKUP(2,1/((B_Drainage!$A$5:$A$204&lt;&gt;"")*(B_Drainage!$A$5:$A$204&lt;=$B998)*(B_Drainage!$B$5:$B$204&gt;$B998)*(B_Drainage!$H$5:$H$204&lt;&gt;"")),IF(UPPER(B_Drainage!$H$5:$H$204)="Y",1,"")),"")</f>
        <v/>
      </c>
      <c r="Z998" s="181" t="str">
        <f>IFERROR(LOOKUP(2,1/((B_Drainage!$A$5:$A$204&lt;&gt;"")*(B_Drainage!$A$5:$A$204&lt;=$B998)*(B_Drainage!$B$5:$B$204&gt;$B998)*(B_Drainage!$I$5:$I$204&lt;&gt;"")),IF(UPPER(B_Drainage!$I$5:$I$204)="Y",1,"")),"")</f>
        <v/>
      </c>
      <c r="AA998" s="181" t="str">
        <f>IFERROR(LOOKUP(2,1/((B_Drainage!$A$5:$A$204&lt;&gt;"")*(B_Drainage!$A$5:$A$204&lt;=$B998)*(B_Drainage!$B$5:$B$204&gt;$B998)*(B_Drainage!$J$5:$J$204&lt;&gt;"")),IF(UPPER(B_Drainage!$J$5:$J$204)="Y",1,"")),"")</f>
        <v/>
      </c>
      <c r="AB998" s="182" t="str">
        <f>IFERROR(LOOKUP(2,1/((B_Drainage!$A$5:$A$204&lt;&gt;"")*(B_Drainage!$A$5:$A$204&lt;=$B998)*(B_Drainage!$B$5:$B$204&gt;$B998)*(B_Drainage!$K$5:$K$204&lt;&gt;"")),IF(B_Drainage!$K$5:$K$204="-","",B_Drainage!$K$5:$K$204)),"")</f>
        <v/>
      </c>
      <c r="AC998" s="182" t="str">
        <f>IFERROR(LOOKUP(2,1/((B_Drainage!$A$5:$A$204&lt;&gt;"")*(B_Drainage!$A$5:$A$204&lt;=$B998)*(B_Drainage!$B$5:$B$204&gt;$B998)*(B_Drainage!$L$5:$L$204&lt;&gt;"")),IF(B_Drainage!$L$5:$L$204="-","",B_Drainage!$L$5:$L$204)),"")</f>
        <v/>
      </c>
      <c r="AD998" s="182" t="str">
        <f>IFERROR(LOOKUP(2,1/((D_Points!$A$5:$A$204&lt;&gt;"")*(D_Points!$A$5:$A$204&gt;=$B998)*(D_Points!$A$5:$A$204&lt;$B998+P_Interval)*(UPPER(TRIM(D_Points!$B$5:$B$204))="TURNOUT_L")*(D_Points!$H$5:$H$204&lt;&gt;"")),D_Points!$H$5:$H$204),"")</f>
        <v/>
      </c>
      <c r="AE998" s="182" t="str">
        <f>IFERROR(LOOKUP(2,1/((D_Points!$A$5:$A$204&lt;&gt;"")*(D_Points!$A$5:$A$204&gt;=$B998)*(D_Points!$A$5:$A$204&lt;$B998+P_Interval)*(UPPER(TRIM(D_Points!$B$5:$B$204))="TURNOUT_R")*(D_Points!$H$5:$H$204&lt;&gt;"")),D_Points!$H$5:$H$204),"")</f>
        <v/>
      </c>
      <c r="AF998" s="181" t="str">
        <f>IFERROR(LOOKUP(2,1/((B_Drainage!$A$5:$A$204&lt;&gt;"")*(B_Drainage!$A$5:$A$204&lt;=$B998)*(B_Drainage!$B$5:$B$204&gt;$B998)*(B_Drainage!$M$5:$M$204&lt;&gt;"")),IF(UPPER(B_Drainage!$M$5:$M$204)="Y",1,"")),"")</f>
        <v/>
      </c>
      <c r="AG998" s="181" t="str">
        <f>IFERROR(LOOKUP(2,1/((B_Drainage!$A$5:$A$204&lt;&gt;"")*(B_Drainage!$A$5:$A$204&lt;=$B998)*(B_Drainage!$B$5:$B$204&gt;$B998)*(B_Drainage!$N$5:$N$204&lt;&gt;"")),IF(UPPER(B_Drainage!$N$5:$N$204)="Y",1,"")),"")</f>
        <v/>
      </c>
      <c r="AH998" s="181" t="str">
        <f t="shared" si="120"/>
        <v/>
      </c>
      <c r="AI998" s="181" t="str">
        <f t="shared" si="121"/>
        <v/>
      </c>
      <c r="AJ998" s="181" t="str">
        <f t="shared" si="122"/>
        <v/>
      </c>
      <c r="AK998" s="181" t="str">
        <f t="shared" si="123"/>
        <v/>
      </c>
      <c r="AL998" s="181" t="str">
        <f t="shared" si="124"/>
        <v/>
      </c>
      <c r="AM998" s="181" t="str">
        <f t="shared" si="125"/>
        <v/>
      </c>
      <c r="AN998" s="181" t="str">
        <f t="shared" si="126"/>
        <v/>
      </c>
      <c r="AO998" s="192" t="str">
        <f t="shared" si="127"/>
        <v/>
      </c>
      <c r="AQ998" t="str">
        <f>IFERROR(LOOKUP(2,1/((C_Pavement!$A$5:$A$204&lt;&gt;"")*(C_Pavement!$A$5:$A$204&lt;=$B998)*(C_Pavement!$B$5:$B$204&gt;$B998)*(C_Pavement!$C$5:$C$204&lt;&gt;"")),ROW(C_Pavement!$C$5:$C$204)-4),"")</f>
        <v/>
      </c>
      <c r="AR998" t="str">
        <f>IF($AQ998="","",UPPER(TRIM(INDEX(C_Pavement!$C$5:$C$204,$AQ998))))</f>
        <v/>
      </c>
      <c r="AS998" t="str">
        <f>IF($AR998="","",IFERROR(MATCH($AR998,E_Rules!$A$5:$A$9,0),""))</f>
        <v/>
      </c>
      <c r="AT998" t="str">
        <f>IF($AQ998="","",IF(INDEX(C_Pavement!$D$5:$D$204,$AQ998)&lt;&gt;"",UPPER(TRIM(INDEX(C_Pavement!$D$5:$D$204,$AQ998))),IF($AS998="","",INDEX(E_Rules!$C$5:$C$9,$AS998))))</f>
        <v/>
      </c>
      <c r="AU998" t="str">
        <f>IF($AQ998="","",IF(INDEX(C_Pavement!$E$5:$E$204,$AQ998)&lt;&gt;"",IF(INDEX(C_Pavement!$E$5:$E$204,$AQ998)="-","",INDEX(C_Pavement!$E$5:$E$204,$AQ998)),IF($AS998="","",INDEX(E_Rules!$D$5:$D$9,$AS998))))</f>
        <v/>
      </c>
      <c r="AV998" t="str">
        <f>IF($AQ998="","",IF(INDEX(C_Pavement!$F$5:$F$204,$AQ998)&lt;&gt;"",IF(INDEX(C_Pavement!$F$5:$F$204,$AQ998)="-","",INDEX(C_Pavement!$F$5:$F$204,$AQ998)),IF($AS998="","",INDEX(E_Rules!$E$5:$E$9,$AS998))))</f>
        <v/>
      </c>
      <c r="AW998" t="str">
        <f>IF($AQ998="","",IF(INDEX(C_Pavement!$G$5:$G$204,$AQ998)&lt;&gt;"",IF(INDEX(C_Pavement!$G$5:$G$204,$AQ998)="-","",INDEX(C_Pavement!$G$5:$G$204,$AQ998)),IF($AS998="","",INDEX(E_Rules!$F$5:$F$9,$AS998))))</f>
        <v/>
      </c>
      <c r="AX998" t="str">
        <f>IF($AQ998="","",IF(INDEX(C_Pavement!$H$5:$H$204,$AQ998)&lt;&gt;"",IF(INDEX(C_Pavement!$H$5:$H$204,$AQ998)="-","",INDEX(C_Pavement!$H$5:$H$204,$AQ998)),IF($AS998="","",INDEX(E_Rules!$G$5:$G$9,$AS998))))</f>
        <v/>
      </c>
      <c r="AY998" t="str">
        <f>IF($AQ998="","",IF(INDEX(C_Pavement!$I$5:$I$204,$AQ998)&lt;&gt;"",IF(INDEX(C_Pavement!$I$5:$I$204,$AQ998)="-","",INDEX(C_Pavement!$I$5:$I$204,$AQ998)),IF($AS998="","",INDEX(E_Rules!$H$5:$H$9,$AS998))))</f>
        <v/>
      </c>
    </row>
    <row r="999" spans="1:51" ht="15.75" customHeight="1" x14ac:dyDescent="0.3">
      <c r="A999" s="189">
        <v>994</v>
      </c>
      <c r="B999" s="180">
        <v>49650</v>
      </c>
      <c r="C999" s="180" t="s">
        <v>1305</v>
      </c>
      <c r="D999" s="181" t="str">
        <f>IFERROR(LOOKUP(2,1/((A_Corridor!$A$5:$A$204&lt;&gt;"")*(A_Corridor!$A$5:$A$204&lt;=$B999)*(A_Corridor!$B$5:$B$204&gt;$B999)*(A_Corridor!$C$5:$C$204&lt;&gt;"")),IF(UPPER(A_Corridor!$C$5:$C$204)="Y",1,"")),"")</f>
        <v/>
      </c>
      <c r="E999" s="181" t="str">
        <f>IFERROR(LOOKUP(2,1/((A_Corridor!$A$5:$A$204&lt;&gt;"")*(A_Corridor!$A$5:$A$204&lt;=$B999)*(A_Corridor!$B$5:$B$204&gt;$B999)*(A_Corridor!$D$5:$D$204&lt;&gt;"")),IF(A_Corridor!$D$5:$D$204="-","",UPPER(A_Corridor!$D$5:$D$204))),"")</f>
        <v/>
      </c>
      <c r="F999" s="181" t="str">
        <f>IFERROR(LOOKUP(2,1/((A_Corridor!$A$5:$A$204&lt;&gt;"")*(A_Corridor!$A$5:$A$204&lt;=$B999)*(A_Corridor!$B$5:$B$204&gt;$B999)*(A_Corridor!$E$5:$E$204&lt;&gt;"")),IF(A_Corridor!$E$5:$E$204="-","",1)),"")</f>
        <v/>
      </c>
      <c r="G999" s="182" t="str">
        <f>IFERROR(LOOKUP(2,1/((A_Corridor!$A$5:$A$204&lt;&gt;"")*(A_Corridor!$A$5:$A$204&lt;=$B999)*(A_Corridor!$B$5:$B$204&gt;$B999)*(A_Corridor!$E$5:$E$204&lt;&gt;"")),IF(A_Corridor!$E$5:$E$204="-","",A_Corridor!$E$5:$E$204)),"")</f>
        <v/>
      </c>
      <c r="H999" s="182" t="str">
        <f>IFERROR(LOOKUP(2,1/((D_Points!$A$5:$A$204&lt;&gt;"")*(D_Points!$A$5:$A$204&gt;=$B999)*(D_Points!$A$5:$A$204&lt;$B999+P_Interval)*(UPPER(TRIM(D_Points!$B$5:$B$204))="GULLY")*(D_Points!$H$5:$H$204&lt;&gt;"")),D_Points!$H$5:$H$204),"")</f>
        <v/>
      </c>
      <c r="I999" s="181" t="str">
        <f>IFERROR(LOOKUP(2,1/((A_Corridor!$A$5:$A$204&lt;&gt;"")*(A_Corridor!$A$5:$A$204&lt;=$B999)*(A_Corridor!$B$5:$B$204&gt;$B999)*(A_Corridor!$F$5:$F$204&lt;&gt;"")),IF(A_Corridor!$F$5:$F$204="-","",1)),"")</f>
        <v/>
      </c>
      <c r="J999" s="182" t="str">
        <f>IFERROR(LOOKUP(2,1/((A_Corridor!$A$5:$A$204&lt;&gt;"")*(A_Corridor!$A$5:$A$204&lt;=$B999)*(A_Corridor!$B$5:$B$204&gt;$B999)*(A_Corridor!$F$5:$F$204&lt;&gt;"")),IF(A_Corridor!$F$5:$F$204="-","",A_Corridor!$F$5:$F$204)),"")</f>
        <v/>
      </c>
      <c r="K999" s="182" t="str">
        <f>IFERROR(LOOKUP(2,1/((A_Corridor!$A$5:$A$204&lt;&gt;"")*(A_Corridor!$A$5:$A$204&lt;=$B999)*(A_Corridor!$B$5:$B$204&gt;$B999)*(A_Corridor!$G$5:$G$204&lt;&gt;"")),IF(A_Corridor!$G$5:$G$204="-","",A_Corridor!$G$5:$G$204)),"")</f>
        <v/>
      </c>
      <c r="L999" s="181" t="str">
        <f>IFERROR(LOOKUP(2,1/((A_Corridor!$A$5:$A$204&lt;&gt;"")*(A_Corridor!$A$5:$A$204&lt;=$B999)*(A_Corridor!$B$5:$B$204&gt;$B999)*(A_Corridor!$H$5:$H$204&lt;&gt;"")),IF(A_Corridor!$H$5:$H$204="-","",1)),"")</f>
        <v/>
      </c>
      <c r="M999" s="182" t="str">
        <f>IFERROR(LOOKUP(2,1/((A_Corridor!$A$5:$A$204&lt;&gt;"")*(A_Corridor!$A$5:$A$204&lt;=$B999)*(A_Corridor!$B$5:$B$204&gt;$B999)*(A_Corridor!$H$5:$H$204&lt;&gt;"")),IF(A_Corridor!$H$5:$H$204="-","",A_Corridor!$H$5:$H$204)),"")</f>
        <v/>
      </c>
      <c r="N999" s="182" t="str">
        <f>IFERROR(LOOKUP(2,1/((A_Corridor!$A$5:$A$204&lt;&gt;"")*(A_Corridor!$A$5:$A$204&lt;=$B999)*(A_Corridor!$B$5:$B$204&gt;$B999)*(A_Corridor!$I$5:$I$204&lt;&gt;"")),IF(A_Corridor!$I$5:$I$204="-","",A_Corridor!$I$5:$I$204)),"")</f>
        <v/>
      </c>
      <c r="O999" s="182" t="str">
        <f>IFERROR(LOOKUP(2,1/((D_Points!$A$5:$A$204&lt;&gt;"")*(D_Points!$A$5:$A$204&gt;=$B999)*(D_Points!$A$5:$A$204&lt;$B999+P_Interval)*(UPPER(TRIM(D_Points!$B$5:$B$204))="PITCHING")*(D_Points!$H$5:$H$204&lt;&gt;"")),D_Points!$H$5:$H$204),"")</f>
        <v/>
      </c>
      <c r="P999" s="181" t="str">
        <f>IFERROR(LOOKUP(2,1/((B_Drainage!$A$5:$A$204&lt;&gt;"")*(B_Drainage!$A$5:$A$204&lt;=$B999)*(B_Drainage!$B$5:$B$204&gt;$B999)*(B_Drainage!$C$5:$C$204&lt;&gt;"")),IF(B_Drainage!$C$5:$C$204="-","",UPPER(B_Drainage!$C$5:$C$204))),"")</f>
        <v/>
      </c>
      <c r="Q999" s="181" t="str">
        <f>IFERROR(LOOKUP(2,1/((B_Drainage!$A$5:$A$204&lt;&gt;"")*(B_Drainage!$A$5:$A$204&lt;=$B999)*(B_Drainage!$B$5:$B$204&gt;$B999)*(B_Drainage!$D$5:$D$204&lt;&gt;"")),IF(B_Drainage!$D$5:$D$204="-","",UPPER(B_Drainage!$D$5:$D$204))),"")</f>
        <v/>
      </c>
      <c r="R999" s="182" t="str">
        <f>IFERROR(LOOKUP(2,1/((D_Points!$A$5:$A$204&lt;&gt;"")*(D_Points!$A$5:$A$204&gt;=$B999)*(D_Points!$A$5:$A$204&lt;$B999+P_Interval)*(RIGHT(UPPER(TRIM(D_Points!$B$5:$B$204)),8)="_CULVERT")),IF(LEFT(UPPER(TRIM(D_Points!$B$5:$B$204)),2)="EX",1,IF(LEFT(UPPER(TRIM(D_Points!$B$5:$B$204)),2)="PR",2,3))),"")</f>
        <v/>
      </c>
      <c r="S999" s="182" t="str">
        <f>IFERROR(LOOKUP(2,1/((D_Points!$A$5:$A$204&lt;&gt;"")*(D_Points!$A$5:$A$204&gt;=$B999)*(D_Points!$A$5:$A$204&lt;$B999+P_Interval)*(RIGHT(UPPER(TRIM(D_Points!$B$5:$B$204)),7)="_BRIDGE")),IF(LEFT(UPPER(TRIM(D_Points!$B$5:$B$204)),2)="EX",1,IF(LEFT(UPPER(TRIM(D_Points!$B$5:$B$204)),2)="PR",2,2))),"")</f>
        <v/>
      </c>
      <c r="T999" s="181" t="str">
        <f>IFERROR(LOOKUP(2,1/((B_Drainage!$A$5:$A$204&lt;&gt;"")*(B_Drainage!$A$5:$A$204&lt;=$B999)*(B_Drainage!$B$5:$B$204&gt;$B999)*(B_Drainage!$E$5:$E$204&lt;&gt;"")),IF(B_Drainage!$E$5:$E$204="-","",1)),"")</f>
        <v/>
      </c>
      <c r="U999" s="181" t="str">
        <f>IFERROR(LOOKUP(2,1/((B_Drainage!$A$5:$A$204&lt;&gt;"")*(B_Drainage!$A$5:$A$204&lt;=$B999)*(B_Drainage!$B$5:$B$204&gt;$B999)*(B_Drainage!$E$5:$E$204&lt;&gt;"")),IF(B_Drainage!$E$5:$E$204="-","",B_Drainage!$E$5:$E$204)),"")</f>
        <v/>
      </c>
      <c r="V999" s="181" t="str">
        <f>IFERROR(LOOKUP(2,1/((B_Drainage!$A$5:$A$204&lt;&gt;"")*(B_Drainage!$A$5:$A$204&lt;=$B999)*(B_Drainage!$B$5:$B$204&gt;$B999)*(B_Drainage!$F$5:$F$204&lt;&gt;"")),IF(B_Drainage!$F$5:$F$204="-","",1)),"")</f>
        <v/>
      </c>
      <c r="W999" s="181" t="str">
        <f>IFERROR(LOOKUP(2,1/((B_Drainage!$A$5:$A$204&lt;&gt;"")*(B_Drainage!$A$5:$A$204&lt;=$B999)*(B_Drainage!$B$5:$B$204&gt;$B999)*(B_Drainage!$F$5:$F$204&lt;&gt;"")),IF(B_Drainage!$F$5:$F$204="-","",B_Drainage!$F$5:$F$204)),"")</f>
        <v/>
      </c>
      <c r="X999" s="181" t="str">
        <f>IFERROR(LOOKUP(2,1/((B_Drainage!$A$5:$A$204&lt;&gt;"")*(B_Drainage!$A$5:$A$204&lt;=$B999)*(B_Drainage!$B$5:$B$204&gt;$B999)*(B_Drainage!$G$5:$G$204&lt;&gt;"")),IF(UPPER(B_Drainage!$G$5:$G$204)="Y",1,"")),"")</f>
        <v/>
      </c>
      <c r="Y999" s="181" t="str">
        <f>IFERROR(LOOKUP(2,1/((B_Drainage!$A$5:$A$204&lt;&gt;"")*(B_Drainage!$A$5:$A$204&lt;=$B999)*(B_Drainage!$B$5:$B$204&gt;$B999)*(B_Drainage!$H$5:$H$204&lt;&gt;"")),IF(UPPER(B_Drainage!$H$5:$H$204)="Y",1,"")),"")</f>
        <v/>
      </c>
      <c r="Z999" s="181" t="str">
        <f>IFERROR(LOOKUP(2,1/((B_Drainage!$A$5:$A$204&lt;&gt;"")*(B_Drainage!$A$5:$A$204&lt;=$B999)*(B_Drainage!$B$5:$B$204&gt;$B999)*(B_Drainage!$I$5:$I$204&lt;&gt;"")),IF(UPPER(B_Drainage!$I$5:$I$204)="Y",1,"")),"")</f>
        <v/>
      </c>
      <c r="AA999" s="181" t="str">
        <f>IFERROR(LOOKUP(2,1/((B_Drainage!$A$5:$A$204&lt;&gt;"")*(B_Drainage!$A$5:$A$204&lt;=$B999)*(B_Drainage!$B$5:$B$204&gt;$B999)*(B_Drainage!$J$5:$J$204&lt;&gt;"")),IF(UPPER(B_Drainage!$J$5:$J$204)="Y",1,"")),"")</f>
        <v/>
      </c>
      <c r="AB999" s="182" t="str">
        <f>IFERROR(LOOKUP(2,1/((B_Drainage!$A$5:$A$204&lt;&gt;"")*(B_Drainage!$A$5:$A$204&lt;=$B999)*(B_Drainage!$B$5:$B$204&gt;$B999)*(B_Drainage!$K$5:$K$204&lt;&gt;"")),IF(B_Drainage!$K$5:$K$204="-","",B_Drainage!$K$5:$K$204)),"")</f>
        <v/>
      </c>
      <c r="AC999" s="182" t="str">
        <f>IFERROR(LOOKUP(2,1/((B_Drainage!$A$5:$A$204&lt;&gt;"")*(B_Drainage!$A$5:$A$204&lt;=$B999)*(B_Drainage!$B$5:$B$204&gt;$B999)*(B_Drainage!$L$5:$L$204&lt;&gt;"")),IF(B_Drainage!$L$5:$L$204="-","",B_Drainage!$L$5:$L$204)),"")</f>
        <v/>
      </c>
      <c r="AD999" s="182" t="str">
        <f>IFERROR(LOOKUP(2,1/((D_Points!$A$5:$A$204&lt;&gt;"")*(D_Points!$A$5:$A$204&gt;=$B999)*(D_Points!$A$5:$A$204&lt;$B999+P_Interval)*(UPPER(TRIM(D_Points!$B$5:$B$204))="TURNOUT_L")*(D_Points!$H$5:$H$204&lt;&gt;"")),D_Points!$H$5:$H$204),"")</f>
        <v/>
      </c>
      <c r="AE999" s="182" t="str">
        <f>IFERROR(LOOKUP(2,1/((D_Points!$A$5:$A$204&lt;&gt;"")*(D_Points!$A$5:$A$204&gt;=$B999)*(D_Points!$A$5:$A$204&lt;$B999+P_Interval)*(UPPER(TRIM(D_Points!$B$5:$B$204))="TURNOUT_R")*(D_Points!$H$5:$H$204&lt;&gt;"")),D_Points!$H$5:$H$204),"")</f>
        <v/>
      </c>
      <c r="AF999" s="181" t="str">
        <f>IFERROR(LOOKUP(2,1/((B_Drainage!$A$5:$A$204&lt;&gt;"")*(B_Drainage!$A$5:$A$204&lt;=$B999)*(B_Drainage!$B$5:$B$204&gt;$B999)*(B_Drainage!$M$5:$M$204&lt;&gt;"")),IF(UPPER(B_Drainage!$M$5:$M$204)="Y",1,"")),"")</f>
        <v/>
      </c>
      <c r="AG999" s="181" t="str">
        <f>IFERROR(LOOKUP(2,1/((B_Drainage!$A$5:$A$204&lt;&gt;"")*(B_Drainage!$A$5:$A$204&lt;=$B999)*(B_Drainage!$B$5:$B$204&gt;$B999)*(B_Drainage!$N$5:$N$204&lt;&gt;"")),IF(UPPER(B_Drainage!$N$5:$N$204)="Y",1,"")),"")</f>
        <v/>
      </c>
      <c r="AH999" s="181" t="str">
        <f t="shared" si="120"/>
        <v/>
      </c>
      <c r="AI999" s="181" t="str">
        <f t="shared" si="121"/>
        <v/>
      </c>
      <c r="AJ999" s="181" t="str">
        <f t="shared" si="122"/>
        <v/>
      </c>
      <c r="AK999" s="181" t="str">
        <f t="shared" si="123"/>
        <v/>
      </c>
      <c r="AL999" s="181" t="str">
        <f t="shared" si="124"/>
        <v/>
      </c>
      <c r="AM999" s="181" t="str">
        <f t="shared" si="125"/>
        <v/>
      </c>
      <c r="AN999" s="181" t="str">
        <f t="shared" si="126"/>
        <v/>
      </c>
      <c r="AO999" s="192" t="str">
        <f t="shared" si="127"/>
        <v/>
      </c>
      <c r="AQ999" t="str">
        <f>IFERROR(LOOKUP(2,1/((C_Pavement!$A$5:$A$204&lt;&gt;"")*(C_Pavement!$A$5:$A$204&lt;=$B999)*(C_Pavement!$B$5:$B$204&gt;$B999)*(C_Pavement!$C$5:$C$204&lt;&gt;"")),ROW(C_Pavement!$C$5:$C$204)-4),"")</f>
        <v/>
      </c>
      <c r="AR999" t="str">
        <f>IF($AQ999="","",UPPER(TRIM(INDEX(C_Pavement!$C$5:$C$204,$AQ999))))</f>
        <v/>
      </c>
      <c r="AS999" t="str">
        <f>IF($AR999="","",IFERROR(MATCH($AR999,E_Rules!$A$5:$A$9,0),""))</f>
        <v/>
      </c>
      <c r="AT999" t="str">
        <f>IF($AQ999="","",IF(INDEX(C_Pavement!$D$5:$D$204,$AQ999)&lt;&gt;"",UPPER(TRIM(INDEX(C_Pavement!$D$5:$D$204,$AQ999))),IF($AS999="","",INDEX(E_Rules!$C$5:$C$9,$AS999))))</f>
        <v/>
      </c>
      <c r="AU999" t="str">
        <f>IF($AQ999="","",IF(INDEX(C_Pavement!$E$5:$E$204,$AQ999)&lt;&gt;"",IF(INDEX(C_Pavement!$E$5:$E$204,$AQ999)="-","",INDEX(C_Pavement!$E$5:$E$204,$AQ999)),IF($AS999="","",INDEX(E_Rules!$D$5:$D$9,$AS999))))</f>
        <v/>
      </c>
      <c r="AV999" t="str">
        <f>IF($AQ999="","",IF(INDEX(C_Pavement!$F$5:$F$204,$AQ999)&lt;&gt;"",IF(INDEX(C_Pavement!$F$5:$F$204,$AQ999)="-","",INDEX(C_Pavement!$F$5:$F$204,$AQ999)),IF($AS999="","",INDEX(E_Rules!$E$5:$E$9,$AS999))))</f>
        <v/>
      </c>
      <c r="AW999" t="str">
        <f>IF($AQ999="","",IF(INDEX(C_Pavement!$G$5:$G$204,$AQ999)&lt;&gt;"",IF(INDEX(C_Pavement!$G$5:$G$204,$AQ999)="-","",INDEX(C_Pavement!$G$5:$G$204,$AQ999)),IF($AS999="","",INDEX(E_Rules!$F$5:$F$9,$AS999))))</f>
        <v/>
      </c>
      <c r="AX999" t="str">
        <f>IF($AQ999="","",IF(INDEX(C_Pavement!$H$5:$H$204,$AQ999)&lt;&gt;"",IF(INDEX(C_Pavement!$H$5:$H$204,$AQ999)="-","",INDEX(C_Pavement!$H$5:$H$204,$AQ999)),IF($AS999="","",INDEX(E_Rules!$G$5:$G$9,$AS999))))</f>
        <v/>
      </c>
      <c r="AY999" t="str">
        <f>IF($AQ999="","",IF(INDEX(C_Pavement!$I$5:$I$204,$AQ999)&lt;&gt;"",IF(INDEX(C_Pavement!$I$5:$I$204,$AQ999)="-","",INDEX(C_Pavement!$I$5:$I$204,$AQ999)),IF($AS999="","",INDEX(E_Rules!$H$5:$H$9,$AS999))))</f>
        <v/>
      </c>
    </row>
    <row r="1000" spans="1:51" ht="15.75" customHeight="1" x14ac:dyDescent="0.3">
      <c r="A1000" s="189">
        <v>995</v>
      </c>
      <c r="B1000" s="180">
        <v>49700</v>
      </c>
      <c r="C1000" s="180" t="s">
        <v>1306</v>
      </c>
      <c r="D1000" s="181" t="str">
        <f>IFERROR(LOOKUP(2,1/((A_Corridor!$A$5:$A$204&lt;&gt;"")*(A_Corridor!$A$5:$A$204&lt;=$B1000)*(A_Corridor!$B$5:$B$204&gt;$B1000)*(A_Corridor!$C$5:$C$204&lt;&gt;"")),IF(UPPER(A_Corridor!$C$5:$C$204)="Y",1,"")),"")</f>
        <v/>
      </c>
      <c r="E1000" s="181" t="str">
        <f>IFERROR(LOOKUP(2,1/((A_Corridor!$A$5:$A$204&lt;&gt;"")*(A_Corridor!$A$5:$A$204&lt;=$B1000)*(A_Corridor!$B$5:$B$204&gt;$B1000)*(A_Corridor!$D$5:$D$204&lt;&gt;"")),IF(A_Corridor!$D$5:$D$204="-","",UPPER(A_Corridor!$D$5:$D$204))),"")</f>
        <v/>
      </c>
      <c r="F1000" s="181" t="str">
        <f>IFERROR(LOOKUP(2,1/((A_Corridor!$A$5:$A$204&lt;&gt;"")*(A_Corridor!$A$5:$A$204&lt;=$B1000)*(A_Corridor!$B$5:$B$204&gt;$B1000)*(A_Corridor!$E$5:$E$204&lt;&gt;"")),IF(A_Corridor!$E$5:$E$204="-","",1)),"")</f>
        <v/>
      </c>
      <c r="G1000" s="182" t="str">
        <f>IFERROR(LOOKUP(2,1/((A_Corridor!$A$5:$A$204&lt;&gt;"")*(A_Corridor!$A$5:$A$204&lt;=$B1000)*(A_Corridor!$B$5:$B$204&gt;$B1000)*(A_Corridor!$E$5:$E$204&lt;&gt;"")),IF(A_Corridor!$E$5:$E$204="-","",A_Corridor!$E$5:$E$204)),"")</f>
        <v/>
      </c>
      <c r="H1000" s="182" t="str">
        <f>IFERROR(LOOKUP(2,1/((D_Points!$A$5:$A$204&lt;&gt;"")*(D_Points!$A$5:$A$204&gt;=$B1000)*(D_Points!$A$5:$A$204&lt;$B1000+P_Interval)*(UPPER(TRIM(D_Points!$B$5:$B$204))="GULLY")*(D_Points!$H$5:$H$204&lt;&gt;"")),D_Points!$H$5:$H$204),"")</f>
        <v/>
      </c>
      <c r="I1000" s="181" t="str">
        <f>IFERROR(LOOKUP(2,1/((A_Corridor!$A$5:$A$204&lt;&gt;"")*(A_Corridor!$A$5:$A$204&lt;=$B1000)*(A_Corridor!$B$5:$B$204&gt;$B1000)*(A_Corridor!$F$5:$F$204&lt;&gt;"")),IF(A_Corridor!$F$5:$F$204="-","",1)),"")</f>
        <v/>
      </c>
      <c r="J1000" s="182" t="str">
        <f>IFERROR(LOOKUP(2,1/((A_Corridor!$A$5:$A$204&lt;&gt;"")*(A_Corridor!$A$5:$A$204&lt;=$B1000)*(A_Corridor!$B$5:$B$204&gt;$B1000)*(A_Corridor!$F$5:$F$204&lt;&gt;"")),IF(A_Corridor!$F$5:$F$204="-","",A_Corridor!$F$5:$F$204)),"")</f>
        <v/>
      </c>
      <c r="K1000" s="182" t="str">
        <f>IFERROR(LOOKUP(2,1/((A_Corridor!$A$5:$A$204&lt;&gt;"")*(A_Corridor!$A$5:$A$204&lt;=$B1000)*(A_Corridor!$B$5:$B$204&gt;$B1000)*(A_Corridor!$G$5:$G$204&lt;&gt;"")),IF(A_Corridor!$G$5:$G$204="-","",A_Corridor!$G$5:$G$204)),"")</f>
        <v/>
      </c>
      <c r="L1000" s="181" t="str">
        <f>IFERROR(LOOKUP(2,1/((A_Corridor!$A$5:$A$204&lt;&gt;"")*(A_Corridor!$A$5:$A$204&lt;=$B1000)*(A_Corridor!$B$5:$B$204&gt;$B1000)*(A_Corridor!$H$5:$H$204&lt;&gt;"")),IF(A_Corridor!$H$5:$H$204="-","",1)),"")</f>
        <v/>
      </c>
      <c r="M1000" s="182" t="str">
        <f>IFERROR(LOOKUP(2,1/((A_Corridor!$A$5:$A$204&lt;&gt;"")*(A_Corridor!$A$5:$A$204&lt;=$B1000)*(A_Corridor!$B$5:$B$204&gt;$B1000)*(A_Corridor!$H$5:$H$204&lt;&gt;"")),IF(A_Corridor!$H$5:$H$204="-","",A_Corridor!$H$5:$H$204)),"")</f>
        <v/>
      </c>
      <c r="N1000" s="182" t="str">
        <f>IFERROR(LOOKUP(2,1/((A_Corridor!$A$5:$A$204&lt;&gt;"")*(A_Corridor!$A$5:$A$204&lt;=$B1000)*(A_Corridor!$B$5:$B$204&gt;$B1000)*(A_Corridor!$I$5:$I$204&lt;&gt;"")),IF(A_Corridor!$I$5:$I$204="-","",A_Corridor!$I$5:$I$204)),"")</f>
        <v/>
      </c>
      <c r="O1000" s="182" t="str">
        <f>IFERROR(LOOKUP(2,1/((D_Points!$A$5:$A$204&lt;&gt;"")*(D_Points!$A$5:$A$204&gt;=$B1000)*(D_Points!$A$5:$A$204&lt;$B1000+P_Interval)*(UPPER(TRIM(D_Points!$B$5:$B$204))="PITCHING")*(D_Points!$H$5:$H$204&lt;&gt;"")),D_Points!$H$5:$H$204),"")</f>
        <v/>
      </c>
      <c r="P1000" s="181" t="str">
        <f>IFERROR(LOOKUP(2,1/((B_Drainage!$A$5:$A$204&lt;&gt;"")*(B_Drainage!$A$5:$A$204&lt;=$B1000)*(B_Drainage!$B$5:$B$204&gt;$B1000)*(B_Drainage!$C$5:$C$204&lt;&gt;"")),IF(B_Drainage!$C$5:$C$204="-","",UPPER(B_Drainage!$C$5:$C$204))),"")</f>
        <v/>
      </c>
      <c r="Q1000" s="181" t="str">
        <f>IFERROR(LOOKUP(2,1/((B_Drainage!$A$5:$A$204&lt;&gt;"")*(B_Drainage!$A$5:$A$204&lt;=$B1000)*(B_Drainage!$B$5:$B$204&gt;$B1000)*(B_Drainage!$D$5:$D$204&lt;&gt;"")),IF(B_Drainage!$D$5:$D$204="-","",UPPER(B_Drainage!$D$5:$D$204))),"")</f>
        <v/>
      </c>
      <c r="R1000" s="182" t="str">
        <f>IFERROR(LOOKUP(2,1/((D_Points!$A$5:$A$204&lt;&gt;"")*(D_Points!$A$5:$A$204&gt;=$B1000)*(D_Points!$A$5:$A$204&lt;$B1000+P_Interval)*(RIGHT(UPPER(TRIM(D_Points!$B$5:$B$204)),8)="_CULVERT")),IF(LEFT(UPPER(TRIM(D_Points!$B$5:$B$204)),2)="EX",1,IF(LEFT(UPPER(TRIM(D_Points!$B$5:$B$204)),2)="PR",2,3))),"")</f>
        <v/>
      </c>
      <c r="S1000" s="182" t="str">
        <f>IFERROR(LOOKUP(2,1/((D_Points!$A$5:$A$204&lt;&gt;"")*(D_Points!$A$5:$A$204&gt;=$B1000)*(D_Points!$A$5:$A$204&lt;$B1000+P_Interval)*(RIGHT(UPPER(TRIM(D_Points!$B$5:$B$204)),7)="_BRIDGE")),IF(LEFT(UPPER(TRIM(D_Points!$B$5:$B$204)),2)="EX",1,IF(LEFT(UPPER(TRIM(D_Points!$B$5:$B$204)),2)="PR",2,2))),"")</f>
        <v/>
      </c>
      <c r="T1000" s="181" t="str">
        <f>IFERROR(LOOKUP(2,1/((B_Drainage!$A$5:$A$204&lt;&gt;"")*(B_Drainage!$A$5:$A$204&lt;=$B1000)*(B_Drainage!$B$5:$B$204&gt;$B1000)*(B_Drainage!$E$5:$E$204&lt;&gt;"")),IF(B_Drainage!$E$5:$E$204="-","",1)),"")</f>
        <v/>
      </c>
      <c r="U1000" s="181" t="str">
        <f>IFERROR(LOOKUP(2,1/((B_Drainage!$A$5:$A$204&lt;&gt;"")*(B_Drainage!$A$5:$A$204&lt;=$B1000)*(B_Drainage!$B$5:$B$204&gt;$B1000)*(B_Drainage!$E$5:$E$204&lt;&gt;"")),IF(B_Drainage!$E$5:$E$204="-","",B_Drainage!$E$5:$E$204)),"")</f>
        <v/>
      </c>
      <c r="V1000" s="181" t="str">
        <f>IFERROR(LOOKUP(2,1/((B_Drainage!$A$5:$A$204&lt;&gt;"")*(B_Drainage!$A$5:$A$204&lt;=$B1000)*(B_Drainage!$B$5:$B$204&gt;$B1000)*(B_Drainage!$F$5:$F$204&lt;&gt;"")),IF(B_Drainage!$F$5:$F$204="-","",1)),"")</f>
        <v/>
      </c>
      <c r="W1000" s="181" t="str">
        <f>IFERROR(LOOKUP(2,1/((B_Drainage!$A$5:$A$204&lt;&gt;"")*(B_Drainage!$A$5:$A$204&lt;=$B1000)*(B_Drainage!$B$5:$B$204&gt;$B1000)*(B_Drainage!$F$5:$F$204&lt;&gt;"")),IF(B_Drainage!$F$5:$F$204="-","",B_Drainage!$F$5:$F$204)),"")</f>
        <v/>
      </c>
      <c r="X1000" s="181" t="str">
        <f>IFERROR(LOOKUP(2,1/((B_Drainage!$A$5:$A$204&lt;&gt;"")*(B_Drainage!$A$5:$A$204&lt;=$B1000)*(B_Drainage!$B$5:$B$204&gt;$B1000)*(B_Drainage!$G$5:$G$204&lt;&gt;"")),IF(UPPER(B_Drainage!$G$5:$G$204)="Y",1,"")),"")</f>
        <v/>
      </c>
      <c r="Y1000" s="181" t="str">
        <f>IFERROR(LOOKUP(2,1/((B_Drainage!$A$5:$A$204&lt;&gt;"")*(B_Drainage!$A$5:$A$204&lt;=$B1000)*(B_Drainage!$B$5:$B$204&gt;$B1000)*(B_Drainage!$H$5:$H$204&lt;&gt;"")),IF(UPPER(B_Drainage!$H$5:$H$204)="Y",1,"")),"")</f>
        <v/>
      </c>
      <c r="Z1000" s="181" t="str">
        <f>IFERROR(LOOKUP(2,1/((B_Drainage!$A$5:$A$204&lt;&gt;"")*(B_Drainage!$A$5:$A$204&lt;=$B1000)*(B_Drainage!$B$5:$B$204&gt;$B1000)*(B_Drainage!$I$5:$I$204&lt;&gt;"")),IF(UPPER(B_Drainage!$I$5:$I$204)="Y",1,"")),"")</f>
        <v/>
      </c>
      <c r="AA1000" s="181" t="str">
        <f>IFERROR(LOOKUP(2,1/((B_Drainage!$A$5:$A$204&lt;&gt;"")*(B_Drainage!$A$5:$A$204&lt;=$B1000)*(B_Drainage!$B$5:$B$204&gt;$B1000)*(B_Drainage!$J$5:$J$204&lt;&gt;"")),IF(UPPER(B_Drainage!$J$5:$J$204)="Y",1,"")),"")</f>
        <v/>
      </c>
      <c r="AB1000" s="182" t="str">
        <f>IFERROR(LOOKUP(2,1/((B_Drainage!$A$5:$A$204&lt;&gt;"")*(B_Drainage!$A$5:$A$204&lt;=$B1000)*(B_Drainage!$B$5:$B$204&gt;$B1000)*(B_Drainage!$K$5:$K$204&lt;&gt;"")),IF(B_Drainage!$K$5:$K$204="-","",B_Drainage!$K$5:$K$204)),"")</f>
        <v/>
      </c>
      <c r="AC1000" s="182" t="str">
        <f>IFERROR(LOOKUP(2,1/((B_Drainage!$A$5:$A$204&lt;&gt;"")*(B_Drainage!$A$5:$A$204&lt;=$B1000)*(B_Drainage!$B$5:$B$204&gt;$B1000)*(B_Drainage!$L$5:$L$204&lt;&gt;"")),IF(B_Drainage!$L$5:$L$204="-","",B_Drainage!$L$5:$L$204)),"")</f>
        <v/>
      </c>
      <c r="AD1000" s="182" t="str">
        <f>IFERROR(LOOKUP(2,1/((D_Points!$A$5:$A$204&lt;&gt;"")*(D_Points!$A$5:$A$204&gt;=$B1000)*(D_Points!$A$5:$A$204&lt;$B1000+P_Interval)*(UPPER(TRIM(D_Points!$B$5:$B$204))="TURNOUT_L")*(D_Points!$H$5:$H$204&lt;&gt;"")),D_Points!$H$5:$H$204),"")</f>
        <v/>
      </c>
      <c r="AE1000" s="182" t="str">
        <f>IFERROR(LOOKUP(2,1/((D_Points!$A$5:$A$204&lt;&gt;"")*(D_Points!$A$5:$A$204&gt;=$B1000)*(D_Points!$A$5:$A$204&lt;$B1000+P_Interval)*(UPPER(TRIM(D_Points!$B$5:$B$204))="TURNOUT_R")*(D_Points!$H$5:$H$204&lt;&gt;"")),D_Points!$H$5:$H$204),"")</f>
        <v/>
      </c>
      <c r="AF1000" s="181" t="str">
        <f>IFERROR(LOOKUP(2,1/((B_Drainage!$A$5:$A$204&lt;&gt;"")*(B_Drainage!$A$5:$A$204&lt;=$B1000)*(B_Drainage!$B$5:$B$204&gt;$B1000)*(B_Drainage!$M$5:$M$204&lt;&gt;"")),IF(UPPER(B_Drainage!$M$5:$M$204)="Y",1,"")),"")</f>
        <v/>
      </c>
      <c r="AG1000" s="181" t="str">
        <f>IFERROR(LOOKUP(2,1/((B_Drainage!$A$5:$A$204&lt;&gt;"")*(B_Drainage!$A$5:$A$204&lt;=$B1000)*(B_Drainage!$B$5:$B$204&gt;$B1000)*(B_Drainage!$N$5:$N$204&lt;&gt;"")),IF(UPPER(B_Drainage!$N$5:$N$204)="Y",1,"")),"")</f>
        <v/>
      </c>
      <c r="AH1000" s="181" t="str">
        <f t="shared" si="120"/>
        <v/>
      </c>
      <c r="AI1000" s="181" t="str">
        <f t="shared" si="121"/>
        <v/>
      </c>
      <c r="AJ1000" s="181" t="str">
        <f t="shared" si="122"/>
        <v/>
      </c>
      <c r="AK1000" s="181" t="str">
        <f t="shared" si="123"/>
        <v/>
      </c>
      <c r="AL1000" s="181" t="str">
        <f t="shared" si="124"/>
        <v/>
      </c>
      <c r="AM1000" s="181" t="str">
        <f t="shared" si="125"/>
        <v/>
      </c>
      <c r="AN1000" s="181" t="str">
        <f t="shared" si="126"/>
        <v/>
      </c>
      <c r="AO1000" s="192" t="str">
        <f t="shared" si="127"/>
        <v/>
      </c>
      <c r="AQ1000" t="str">
        <f>IFERROR(LOOKUP(2,1/((C_Pavement!$A$5:$A$204&lt;&gt;"")*(C_Pavement!$A$5:$A$204&lt;=$B1000)*(C_Pavement!$B$5:$B$204&gt;$B1000)*(C_Pavement!$C$5:$C$204&lt;&gt;"")),ROW(C_Pavement!$C$5:$C$204)-4),"")</f>
        <v/>
      </c>
      <c r="AR1000" t="str">
        <f>IF($AQ1000="","",UPPER(TRIM(INDEX(C_Pavement!$C$5:$C$204,$AQ1000))))</f>
        <v/>
      </c>
      <c r="AS1000" t="str">
        <f>IF($AR1000="","",IFERROR(MATCH($AR1000,E_Rules!$A$5:$A$9,0),""))</f>
        <v/>
      </c>
      <c r="AT1000" t="str">
        <f>IF($AQ1000="","",IF(INDEX(C_Pavement!$D$5:$D$204,$AQ1000)&lt;&gt;"",UPPER(TRIM(INDEX(C_Pavement!$D$5:$D$204,$AQ1000))),IF($AS1000="","",INDEX(E_Rules!$C$5:$C$9,$AS1000))))</f>
        <v/>
      </c>
      <c r="AU1000" t="str">
        <f>IF($AQ1000="","",IF(INDEX(C_Pavement!$E$5:$E$204,$AQ1000)&lt;&gt;"",IF(INDEX(C_Pavement!$E$5:$E$204,$AQ1000)="-","",INDEX(C_Pavement!$E$5:$E$204,$AQ1000)),IF($AS1000="","",INDEX(E_Rules!$D$5:$D$9,$AS1000))))</f>
        <v/>
      </c>
      <c r="AV1000" t="str">
        <f>IF($AQ1000="","",IF(INDEX(C_Pavement!$F$5:$F$204,$AQ1000)&lt;&gt;"",IF(INDEX(C_Pavement!$F$5:$F$204,$AQ1000)="-","",INDEX(C_Pavement!$F$5:$F$204,$AQ1000)),IF($AS1000="","",INDEX(E_Rules!$E$5:$E$9,$AS1000))))</f>
        <v/>
      </c>
      <c r="AW1000" t="str">
        <f>IF($AQ1000="","",IF(INDEX(C_Pavement!$G$5:$G$204,$AQ1000)&lt;&gt;"",IF(INDEX(C_Pavement!$G$5:$G$204,$AQ1000)="-","",INDEX(C_Pavement!$G$5:$G$204,$AQ1000)),IF($AS1000="","",INDEX(E_Rules!$F$5:$F$9,$AS1000))))</f>
        <v/>
      </c>
      <c r="AX1000" t="str">
        <f>IF($AQ1000="","",IF(INDEX(C_Pavement!$H$5:$H$204,$AQ1000)&lt;&gt;"",IF(INDEX(C_Pavement!$H$5:$H$204,$AQ1000)="-","",INDEX(C_Pavement!$H$5:$H$204,$AQ1000)),IF($AS1000="","",INDEX(E_Rules!$G$5:$G$9,$AS1000))))</f>
        <v/>
      </c>
      <c r="AY1000" t="str">
        <f>IF($AQ1000="","",IF(INDEX(C_Pavement!$I$5:$I$204,$AQ1000)&lt;&gt;"",IF(INDEX(C_Pavement!$I$5:$I$204,$AQ1000)="-","",INDEX(C_Pavement!$I$5:$I$204,$AQ1000)),IF($AS1000="","",INDEX(E_Rules!$H$5:$H$9,$AS1000))))</f>
        <v/>
      </c>
    </row>
    <row r="1001" spans="1:51" ht="15.75" customHeight="1" x14ac:dyDescent="0.3">
      <c r="A1001" s="189">
        <v>996</v>
      </c>
      <c r="B1001" s="180">
        <v>49750</v>
      </c>
      <c r="C1001" s="180" t="s">
        <v>1307</v>
      </c>
      <c r="D1001" s="181" t="str">
        <f>IFERROR(LOOKUP(2,1/((A_Corridor!$A$5:$A$204&lt;&gt;"")*(A_Corridor!$A$5:$A$204&lt;=$B1001)*(A_Corridor!$B$5:$B$204&gt;$B1001)*(A_Corridor!$C$5:$C$204&lt;&gt;"")),IF(UPPER(A_Corridor!$C$5:$C$204)="Y",1,"")),"")</f>
        <v/>
      </c>
      <c r="E1001" s="181" t="str">
        <f>IFERROR(LOOKUP(2,1/((A_Corridor!$A$5:$A$204&lt;&gt;"")*(A_Corridor!$A$5:$A$204&lt;=$B1001)*(A_Corridor!$B$5:$B$204&gt;$B1001)*(A_Corridor!$D$5:$D$204&lt;&gt;"")),IF(A_Corridor!$D$5:$D$204="-","",UPPER(A_Corridor!$D$5:$D$204))),"")</f>
        <v/>
      </c>
      <c r="F1001" s="181" t="str">
        <f>IFERROR(LOOKUP(2,1/((A_Corridor!$A$5:$A$204&lt;&gt;"")*(A_Corridor!$A$5:$A$204&lt;=$B1001)*(A_Corridor!$B$5:$B$204&gt;$B1001)*(A_Corridor!$E$5:$E$204&lt;&gt;"")),IF(A_Corridor!$E$5:$E$204="-","",1)),"")</f>
        <v/>
      </c>
      <c r="G1001" s="182" t="str">
        <f>IFERROR(LOOKUP(2,1/((A_Corridor!$A$5:$A$204&lt;&gt;"")*(A_Corridor!$A$5:$A$204&lt;=$B1001)*(A_Corridor!$B$5:$B$204&gt;$B1001)*(A_Corridor!$E$5:$E$204&lt;&gt;"")),IF(A_Corridor!$E$5:$E$204="-","",A_Corridor!$E$5:$E$204)),"")</f>
        <v/>
      </c>
      <c r="H1001" s="182" t="str">
        <f>IFERROR(LOOKUP(2,1/((D_Points!$A$5:$A$204&lt;&gt;"")*(D_Points!$A$5:$A$204&gt;=$B1001)*(D_Points!$A$5:$A$204&lt;$B1001+P_Interval)*(UPPER(TRIM(D_Points!$B$5:$B$204))="GULLY")*(D_Points!$H$5:$H$204&lt;&gt;"")),D_Points!$H$5:$H$204),"")</f>
        <v/>
      </c>
      <c r="I1001" s="181" t="str">
        <f>IFERROR(LOOKUP(2,1/((A_Corridor!$A$5:$A$204&lt;&gt;"")*(A_Corridor!$A$5:$A$204&lt;=$B1001)*(A_Corridor!$B$5:$B$204&gt;$B1001)*(A_Corridor!$F$5:$F$204&lt;&gt;"")),IF(A_Corridor!$F$5:$F$204="-","",1)),"")</f>
        <v/>
      </c>
      <c r="J1001" s="182" t="str">
        <f>IFERROR(LOOKUP(2,1/((A_Corridor!$A$5:$A$204&lt;&gt;"")*(A_Corridor!$A$5:$A$204&lt;=$B1001)*(A_Corridor!$B$5:$B$204&gt;$B1001)*(A_Corridor!$F$5:$F$204&lt;&gt;"")),IF(A_Corridor!$F$5:$F$204="-","",A_Corridor!$F$5:$F$204)),"")</f>
        <v/>
      </c>
      <c r="K1001" s="182" t="str">
        <f>IFERROR(LOOKUP(2,1/((A_Corridor!$A$5:$A$204&lt;&gt;"")*(A_Corridor!$A$5:$A$204&lt;=$B1001)*(A_Corridor!$B$5:$B$204&gt;$B1001)*(A_Corridor!$G$5:$G$204&lt;&gt;"")),IF(A_Corridor!$G$5:$G$204="-","",A_Corridor!$G$5:$G$204)),"")</f>
        <v/>
      </c>
      <c r="L1001" s="181" t="str">
        <f>IFERROR(LOOKUP(2,1/((A_Corridor!$A$5:$A$204&lt;&gt;"")*(A_Corridor!$A$5:$A$204&lt;=$B1001)*(A_Corridor!$B$5:$B$204&gt;$B1001)*(A_Corridor!$H$5:$H$204&lt;&gt;"")),IF(A_Corridor!$H$5:$H$204="-","",1)),"")</f>
        <v/>
      </c>
      <c r="M1001" s="182" t="str">
        <f>IFERROR(LOOKUP(2,1/((A_Corridor!$A$5:$A$204&lt;&gt;"")*(A_Corridor!$A$5:$A$204&lt;=$B1001)*(A_Corridor!$B$5:$B$204&gt;$B1001)*(A_Corridor!$H$5:$H$204&lt;&gt;"")),IF(A_Corridor!$H$5:$H$204="-","",A_Corridor!$H$5:$H$204)),"")</f>
        <v/>
      </c>
      <c r="N1001" s="182" t="str">
        <f>IFERROR(LOOKUP(2,1/((A_Corridor!$A$5:$A$204&lt;&gt;"")*(A_Corridor!$A$5:$A$204&lt;=$B1001)*(A_Corridor!$B$5:$B$204&gt;$B1001)*(A_Corridor!$I$5:$I$204&lt;&gt;"")),IF(A_Corridor!$I$5:$I$204="-","",A_Corridor!$I$5:$I$204)),"")</f>
        <v/>
      </c>
      <c r="O1001" s="182" t="str">
        <f>IFERROR(LOOKUP(2,1/((D_Points!$A$5:$A$204&lt;&gt;"")*(D_Points!$A$5:$A$204&gt;=$B1001)*(D_Points!$A$5:$A$204&lt;$B1001+P_Interval)*(UPPER(TRIM(D_Points!$B$5:$B$204))="PITCHING")*(D_Points!$H$5:$H$204&lt;&gt;"")),D_Points!$H$5:$H$204),"")</f>
        <v/>
      </c>
      <c r="P1001" s="181" t="str">
        <f>IFERROR(LOOKUP(2,1/((B_Drainage!$A$5:$A$204&lt;&gt;"")*(B_Drainage!$A$5:$A$204&lt;=$B1001)*(B_Drainage!$B$5:$B$204&gt;$B1001)*(B_Drainage!$C$5:$C$204&lt;&gt;"")),IF(B_Drainage!$C$5:$C$204="-","",UPPER(B_Drainage!$C$5:$C$204))),"")</f>
        <v/>
      </c>
      <c r="Q1001" s="181" t="str">
        <f>IFERROR(LOOKUP(2,1/((B_Drainage!$A$5:$A$204&lt;&gt;"")*(B_Drainage!$A$5:$A$204&lt;=$B1001)*(B_Drainage!$B$5:$B$204&gt;$B1001)*(B_Drainage!$D$5:$D$204&lt;&gt;"")),IF(B_Drainage!$D$5:$D$204="-","",UPPER(B_Drainage!$D$5:$D$204))),"")</f>
        <v/>
      </c>
      <c r="R1001" s="182" t="str">
        <f>IFERROR(LOOKUP(2,1/((D_Points!$A$5:$A$204&lt;&gt;"")*(D_Points!$A$5:$A$204&gt;=$B1001)*(D_Points!$A$5:$A$204&lt;$B1001+P_Interval)*(RIGHT(UPPER(TRIM(D_Points!$B$5:$B$204)),8)="_CULVERT")),IF(LEFT(UPPER(TRIM(D_Points!$B$5:$B$204)),2)="EX",1,IF(LEFT(UPPER(TRIM(D_Points!$B$5:$B$204)),2)="PR",2,3))),"")</f>
        <v/>
      </c>
      <c r="S1001" s="182" t="str">
        <f>IFERROR(LOOKUP(2,1/((D_Points!$A$5:$A$204&lt;&gt;"")*(D_Points!$A$5:$A$204&gt;=$B1001)*(D_Points!$A$5:$A$204&lt;$B1001+P_Interval)*(RIGHT(UPPER(TRIM(D_Points!$B$5:$B$204)),7)="_BRIDGE")),IF(LEFT(UPPER(TRIM(D_Points!$B$5:$B$204)),2)="EX",1,IF(LEFT(UPPER(TRIM(D_Points!$B$5:$B$204)),2)="PR",2,2))),"")</f>
        <v/>
      </c>
      <c r="T1001" s="181" t="str">
        <f>IFERROR(LOOKUP(2,1/((B_Drainage!$A$5:$A$204&lt;&gt;"")*(B_Drainage!$A$5:$A$204&lt;=$B1001)*(B_Drainage!$B$5:$B$204&gt;$B1001)*(B_Drainage!$E$5:$E$204&lt;&gt;"")),IF(B_Drainage!$E$5:$E$204="-","",1)),"")</f>
        <v/>
      </c>
      <c r="U1001" s="181" t="str">
        <f>IFERROR(LOOKUP(2,1/((B_Drainage!$A$5:$A$204&lt;&gt;"")*(B_Drainage!$A$5:$A$204&lt;=$B1001)*(B_Drainage!$B$5:$B$204&gt;$B1001)*(B_Drainage!$E$5:$E$204&lt;&gt;"")),IF(B_Drainage!$E$5:$E$204="-","",B_Drainage!$E$5:$E$204)),"")</f>
        <v/>
      </c>
      <c r="V1001" s="181" t="str">
        <f>IFERROR(LOOKUP(2,1/((B_Drainage!$A$5:$A$204&lt;&gt;"")*(B_Drainage!$A$5:$A$204&lt;=$B1001)*(B_Drainage!$B$5:$B$204&gt;$B1001)*(B_Drainage!$F$5:$F$204&lt;&gt;"")),IF(B_Drainage!$F$5:$F$204="-","",1)),"")</f>
        <v/>
      </c>
      <c r="W1001" s="181" t="str">
        <f>IFERROR(LOOKUP(2,1/((B_Drainage!$A$5:$A$204&lt;&gt;"")*(B_Drainage!$A$5:$A$204&lt;=$B1001)*(B_Drainage!$B$5:$B$204&gt;$B1001)*(B_Drainage!$F$5:$F$204&lt;&gt;"")),IF(B_Drainage!$F$5:$F$204="-","",B_Drainage!$F$5:$F$204)),"")</f>
        <v/>
      </c>
      <c r="X1001" s="181" t="str">
        <f>IFERROR(LOOKUP(2,1/((B_Drainage!$A$5:$A$204&lt;&gt;"")*(B_Drainage!$A$5:$A$204&lt;=$B1001)*(B_Drainage!$B$5:$B$204&gt;$B1001)*(B_Drainage!$G$5:$G$204&lt;&gt;"")),IF(UPPER(B_Drainage!$G$5:$G$204)="Y",1,"")),"")</f>
        <v/>
      </c>
      <c r="Y1001" s="181" t="str">
        <f>IFERROR(LOOKUP(2,1/((B_Drainage!$A$5:$A$204&lt;&gt;"")*(B_Drainage!$A$5:$A$204&lt;=$B1001)*(B_Drainage!$B$5:$B$204&gt;$B1001)*(B_Drainage!$H$5:$H$204&lt;&gt;"")),IF(UPPER(B_Drainage!$H$5:$H$204)="Y",1,"")),"")</f>
        <v/>
      </c>
      <c r="Z1001" s="181" t="str">
        <f>IFERROR(LOOKUP(2,1/((B_Drainage!$A$5:$A$204&lt;&gt;"")*(B_Drainage!$A$5:$A$204&lt;=$B1001)*(B_Drainage!$B$5:$B$204&gt;$B1001)*(B_Drainage!$I$5:$I$204&lt;&gt;"")),IF(UPPER(B_Drainage!$I$5:$I$204)="Y",1,"")),"")</f>
        <v/>
      </c>
      <c r="AA1001" s="181" t="str">
        <f>IFERROR(LOOKUP(2,1/((B_Drainage!$A$5:$A$204&lt;&gt;"")*(B_Drainage!$A$5:$A$204&lt;=$B1001)*(B_Drainage!$B$5:$B$204&gt;$B1001)*(B_Drainage!$J$5:$J$204&lt;&gt;"")),IF(UPPER(B_Drainage!$J$5:$J$204)="Y",1,"")),"")</f>
        <v/>
      </c>
      <c r="AB1001" s="182" t="str">
        <f>IFERROR(LOOKUP(2,1/((B_Drainage!$A$5:$A$204&lt;&gt;"")*(B_Drainage!$A$5:$A$204&lt;=$B1001)*(B_Drainage!$B$5:$B$204&gt;$B1001)*(B_Drainage!$K$5:$K$204&lt;&gt;"")),IF(B_Drainage!$K$5:$K$204="-","",B_Drainage!$K$5:$K$204)),"")</f>
        <v/>
      </c>
      <c r="AC1001" s="182" t="str">
        <f>IFERROR(LOOKUP(2,1/((B_Drainage!$A$5:$A$204&lt;&gt;"")*(B_Drainage!$A$5:$A$204&lt;=$B1001)*(B_Drainage!$B$5:$B$204&gt;$B1001)*(B_Drainage!$L$5:$L$204&lt;&gt;"")),IF(B_Drainage!$L$5:$L$204="-","",B_Drainage!$L$5:$L$204)),"")</f>
        <v/>
      </c>
      <c r="AD1001" s="182" t="str">
        <f>IFERROR(LOOKUP(2,1/((D_Points!$A$5:$A$204&lt;&gt;"")*(D_Points!$A$5:$A$204&gt;=$B1001)*(D_Points!$A$5:$A$204&lt;$B1001+P_Interval)*(UPPER(TRIM(D_Points!$B$5:$B$204))="TURNOUT_L")*(D_Points!$H$5:$H$204&lt;&gt;"")),D_Points!$H$5:$H$204),"")</f>
        <v/>
      </c>
      <c r="AE1001" s="182" t="str">
        <f>IFERROR(LOOKUP(2,1/((D_Points!$A$5:$A$204&lt;&gt;"")*(D_Points!$A$5:$A$204&gt;=$B1001)*(D_Points!$A$5:$A$204&lt;$B1001+P_Interval)*(UPPER(TRIM(D_Points!$B$5:$B$204))="TURNOUT_R")*(D_Points!$H$5:$H$204&lt;&gt;"")),D_Points!$H$5:$H$204),"")</f>
        <v/>
      </c>
      <c r="AF1001" s="181" t="str">
        <f>IFERROR(LOOKUP(2,1/((B_Drainage!$A$5:$A$204&lt;&gt;"")*(B_Drainage!$A$5:$A$204&lt;=$B1001)*(B_Drainage!$B$5:$B$204&gt;$B1001)*(B_Drainage!$M$5:$M$204&lt;&gt;"")),IF(UPPER(B_Drainage!$M$5:$M$204)="Y",1,"")),"")</f>
        <v/>
      </c>
      <c r="AG1001" s="181" t="str">
        <f>IFERROR(LOOKUP(2,1/((B_Drainage!$A$5:$A$204&lt;&gt;"")*(B_Drainage!$A$5:$A$204&lt;=$B1001)*(B_Drainage!$B$5:$B$204&gt;$B1001)*(B_Drainage!$N$5:$N$204&lt;&gt;"")),IF(UPPER(B_Drainage!$N$5:$N$204)="Y",1,"")),"")</f>
        <v/>
      </c>
      <c r="AH1001" s="181" t="str">
        <f t="shared" si="120"/>
        <v/>
      </c>
      <c r="AI1001" s="181" t="str">
        <f t="shared" si="121"/>
        <v/>
      </c>
      <c r="AJ1001" s="181" t="str">
        <f t="shared" si="122"/>
        <v/>
      </c>
      <c r="AK1001" s="181" t="str">
        <f t="shared" si="123"/>
        <v/>
      </c>
      <c r="AL1001" s="181" t="str">
        <f t="shared" si="124"/>
        <v/>
      </c>
      <c r="AM1001" s="181" t="str">
        <f t="shared" si="125"/>
        <v/>
      </c>
      <c r="AN1001" s="181" t="str">
        <f t="shared" si="126"/>
        <v/>
      </c>
      <c r="AO1001" s="192" t="str">
        <f t="shared" si="127"/>
        <v/>
      </c>
      <c r="AQ1001" t="str">
        <f>IFERROR(LOOKUP(2,1/((C_Pavement!$A$5:$A$204&lt;&gt;"")*(C_Pavement!$A$5:$A$204&lt;=$B1001)*(C_Pavement!$B$5:$B$204&gt;$B1001)*(C_Pavement!$C$5:$C$204&lt;&gt;"")),ROW(C_Pavement!$C$5:$C$204)-4),"")</f>
        <v/>
      </c>
      <c r="AR1001" t="str">
        <f>IF($AQ1001="","",UPPER(TRIM(INDEX(C_Pavement!$C$5:$C$204,$AQ1001))))</f>
        <v/>
      </c>
      <c r="AS1001" t="str">
        <f>IF($AR1001="","",IFERROR(MATCH($AR1001,E_Rules!$A$5:$A$9,0),""))</f>
        <v/>
      </c>
      <c r="AT1001" t="str">
        <f>IF($AQ1001="","",IF(INDEX(C_Pavement!$D$5:$D$204,$AQ1001)&lt;&gt;"",UPPER(TRIM(INDEX(C_Pavement!$D$5:$D$204,$AQ1001))),IF($AS1001="","",INDEX(E_Rules!$C$5:$C$9,$AS1001))))</f>
        <v/>
      </c>
      <c r="AU1001" t="str">
        <f>IF($AQ1001="","",IF(INDEX(C_Pavement!$E$5:$E$204,$AQ1001)&lt;&gt;"",IF(INDEX(C_Pavement!$E$5:$E$204,$AQ1001)="-","",INDEX(C_Pavement!$E$5:$E$204,$AQ1001)),IF($AS1001="","",INDEX(E_Rules!$D$5:$D$9,$AS1001))))</f>
        <v/>
      </c>
      <c r="AV1001" t="str">
        <f>IF($AQ1001="","",IF(INDEX(C_Pavement!$F$5:$F$204,$AQ1001)&lt;&gt;"",IF(INDEX(C_Pavement!$F$5:$F$204,$AQ1001)="-","",INDEX(C_Pavement!$F$5:$F$204,$AQ1001)),IF($AS1001="","",INDEX(E_Rules!$E$5:$E$9,$AS1001))))</f>
        <v/>
      </c>
      <c r="AW1001" t="str">
        <f>IF($AQ1001="","",IF(INDEX(C_Pavement!$G$5:$G$204,$AQ1001)&lt;&gt;"",IF(INDEX(C_Pavement!$G$5:$G$204,$AQ1001)="-","",INDEX(C_Pavement!$G$5:$G$204,$AQ1001)),IF($AS1001="","",INDEX(E_Rules!$F$5:$F$9,$AS1001))))</f>
        <v/>
      </c>
      <c r="AX1001" t="str">
        <f>IF($AQ1001="","",IF(INDEX(C_Pavement!$H$5:$H$204,$AQ1001)&lt;&gt;"",IF(INDEX(C_Pavement!$H$5:$H$204,$AQ1001)="-","",INDEX(C_Pavement!$H$5:$H$204,$AQ1001)),IF($AS1001="","",INDEX(E_Rules!$G$5:$G$9,$AS1001))))</f>
        <v/>
      </c>
      <c r="AY1001" t="str">
        <f>IF($AQ1001="","",IF(INDEX(C_Pavement!$I$5:$I$204,$AQ1001)&lt;&gt;"",IF(INDEX(C_Pavement!$I$5:$I$204,$AQ1001)="-","",INDEX(C_Pavement!$I$5:$I$204,$AQ1001)),IF($AS1001="","",INDEX(E_Rules!$H$5:$H$9,$AS1001))))</f>
        <v/>
      </c>
    </row>
    <row r="1002" spans="1:51" ht="15.75" customHeight="1" x14ac:dyDescent="0.3">
      <c r="A1002" s="189">
        <v>997</v>
      </c>
      <c r="B1002" s="180">
        <v>49800</v>
      </c>
      <c r="C1002" s="180" t="s">
        <v>1308</v>
      </c>
      <c r="D1002" s="181" t="str">
        <f>IFERROR(LOOKUP(2,1/((A_Corridor!$A$5:$A$204&lt;&gt;"")*(A_Corridor!$A$5:$A$204&lt;=$B1002)*(A_Corridor!$B$5:$B$204&gt;$B1002)*(A_Corridor!$C$5:$C$204&lt;&gt;"")),IF(UPPER(A_Corridor!$C$5:$C$204)="Y",1,"")),"")</f>
        <v/>
      </c>
      <c r="E1002" s="181" t="str">
        <f>IFERROR(LOOKUP(2,1/((A_Corridor!$A$5:$A$204&lt;&gt;"")*(A_Corridor!$A$5:$A$204&lt;=$B1002)*(A_Corridor!$B$5:$B$204&gt;$B1002)*(A_Corridor!$D$5:$D$204&lt;&gt;"")),IF(A_Corridor!$D$5:$D$204="-","",UPPER(A_Corridor!$D$5:$D$204))),"")</f>
        <v/>
      </c>
      <c r="F1002" s="181" t="str">
        <f>IFERROR(LOOKUP(2,1/((A_Corridor!$A$5:$A$204&lt;&gt;"")*(A_Corridor!$A$5:$A$204&lt;=$B1002)*(A_Corridor!$B$5:$B$204&gt;$B1002)*(A_Corridor!$E$5:$E$204&lt;&gt;"")),IF(A_Corridor!$E$5:$E$204="-","",1)),"")</f>
        <v/>
      </c>
      <c r="G1002" s="182" t="str">
        <f>IFERROR(LOOKUP(2,1/((A_Corridor!$A$5:$A$204&lt;&gt;"")*(A_Corridor!$A$5:$A$204&lt;=$B1002)*(A_Corridor!$B$5:$B$204&gt;$B1002)*(A_Corridor!$E$5:$E$204&lt;&gt;"")),IF(A_Corridor!$E$5:$E$204="-","",A_Corridor!$E$5:$E$204)),"")</f>
        <v/>
      </c>
      <c r="H1002" s="182" t="str">
        <f>IFERROR(LOOKUP(2,1/((D_Points!$A$5:$A$204&lt;&gt;"")*(D_Points!$A$5:$A$204&gt;=$B1002)*(D_Points!$A$5:$A$204&lt;$B1002+P_Interval)*(UPPER(TRIM(D_Points!$B$5:$B$204))="GULLY")*(D_Points!$H$5:$H$204&lt;&gt;"")),D_Points!$H$5:$H$204),"")</f>
        <v/>
      </c>
      <c r="I1002" s="181" t="str">
        <f>IFERROR(LOOKUP(2,1/((A_Corridor!$A$5:$A$204&lt;&gt;"")*(A_Corridor!$A$5:$A$204&lt;=$B1002)*(A_Corridor!$B$5:$B$204&gt;$B1002)*(A_Corridor!$F$5:$F$204&lt;&gt;"")),IF(A_Corridor!$F$5:$F$204="-","",1)),"")</f>
        <v/>
      </c>
      <c r="J1002" s="182" t="str">
        <f>IFERROR(LOOKUP(2,1/((A_Corridor!$A$5:$A$204&lt;&gt;"")*(A_Corridor!$A$5:$A$204&lt;=$B1002)*(A_Corridor!$B$5:$B$204&gt;$B1002)*(A_Corridor!$F$5:$F$204&lt;&gt;"")),IF(A_Corridor!$F$5:$F$204="-","",A_Corridor!$F$5:$F$204)),"")</f>
        <v/>
      </c>
      <c r="K1002" s="182" t="str">
        <f>IFERROR(LOOKUP(2,1/((A_Corridor!$A$5:$A$204&lt;&gt;"")*(A_Corridor!$A$5:$A$204&lt;=$B1002)*(A_Corridor!$B$5:$B$204&gt;$B1002)*(A_Corridor!$G$5:$G$204&lt;&gt;"")),IF(A_Corridor!$G$5:$G$204="-","",A_Corridor!$G$5:$G$204)),"")</f>
        <v/>
      </c>
      <c r="L1002" s="181" t="str">
        <f>IFERROR(LOOKUP(2,1/((A_Corridor!$A$5:$A$204&lt;&gt;"")*(A_Corridor!$A$5:$A$204&lt;=$B1002)*(A_Corridor!$B$5:$B$204&gt;$B1002)*(A_Corridor!$H$5:$H$204&lt;&gt;"")),IF(A_Corridor!$H$5:$H$204="-","",1)),"")</f>
        <v/>
      </c>
      <c r="M1002" s="182" t="str">
        <f>IFERROR(LOOKUP(2,1/((A_Corridor!$A$5:$A$204&lt;&gt;"")*(A_Corridor!$A$5:$A$204&lt;=$B1002)*(A_Corridor!$B$5:$B$204&gt;$B1002)*(A_Corridor!$H$5:$H$204&lt;&gt;"")),IF(A_Corridor!$H$5:$H$204="-","",A_Corridor!$H$5:$H$204)),"")</f>
        <v/>
      </c>
      <c r="N1002" s="182" t="str">
        <f>IFERROR(LOOKUP(2,1/((A_Corridor!$A$5:$A$204&lt;&gt;"")*(A_Corridor!$A$5:$A$204&lt;=$B1002)*(A_Corridor!$B$5:$B$204&gt;$B1002)*(A_Corridor!$I$5:$I$204&lt;&gt;"")),IF(A_Corridor!$I$5:$I$204="-","",A_Corridor!$I$5:$I$204)),"")</f>
        <v/>
      </c>
      <c r="O1002" s="182" t="str">
        <f>IFERROR(LOOKUP(2,1/((D_Points!$A$5:$A$204&lt;&gt;"")*(D_Points!$A$5:$A$204&gt;=$B1002)*(D_Points!$A$5:$A$204&lt;$B1002+P_Interval)*(UPPER(TRIM(D_Points!$B$5:$B$204))="PITCHING")*(D_Points!$H$5:$H$204&lt;&gt;"")),D_Points!$H$5:$H$204),"")</f>
        <v/>
      </c>
      <c r="P1002" s="181" t="str">
        <f>IFERROR(LOOKUP(2,1/((B_Drainage!$A$5:$A$204&lt;&gt;"")*(B_Drainage!$A$5:$A$204&lt;=$B1002)*(B_Drainage!$B$5:$B$204&gt;$B1002)*(B_Drainage!$C$5:$C$204&lt;&gt;"")),IF(B_Drainage!$C$5:$C$204="-","",UPPER(B_Drainage!$C$5:$C$204))),"")</f>
        <v/>
      </c>
      <c r="Q1002" s="181" t="str">
        <f>IFERROR(LOOKUP(2,1/((B_Drainage!$A$5:$A$204&lt;&gt;"")*(B_Drainage!$A$5:$A$204&lt;=$B1002)*(B_Drainage!$B$5:$B$204&gt;$B1002)*(B_Drainage!$D$5:$D$204&lt;&gt;"")),IF(B_Drainage!$D$5:$D$204="-","",UPPER(B_Drainage!$D$5:$D$204))),"")</f>
        <v/>
      </c>
      <c r="R1002" s="182" t="str">
        <f>IFERROR(LOOKUP(2,1/((D_Points!$A$5:$A$204&lt;&gt;"")*(D_Points!$A$5:$A$204&gt;=$B1002)*(D_Points!$A$5:$A$204&lt;$B1002+P_Interval)*(RIGHT(UPPER(TRIM(D_Points!$B$5:$B$204)),8)="_CULVERT")),IF(LEFT(UPPER(TRIM(D_Points!$B$5:$B$204)),2)="EX",1,IF(LEFT(UPPER(TRIM(D_Points!$B$5:$B$204)),2)="PR",2,3))),"")</f>
        <v/>
      </c>
      <c r="S1002" s="182" t="str">
        <f>IFERROR(LOOKUP(2,1/((D_Points!$A$5:$A$204&lt;&gt;"")*(D_Points!$A$5:$A$204&gt;=$B1002)*(D_Points!$A$5:$A$204&lt;$B1002+P_Interval)*(RIGHT(UPPER(TRIM(D_Points!$B$5:$B$204)),7)="_BRIDGE")),IF(LEFT(UPPER(TRIM(D_Points!$B$5:$B$204)),2)="EX",1,IF(LEFT(UPPER(TRIM(D_Points!$B$5:$B$204)),2)="PR",2,2))),"")</f>
        <v/>
      </c>
      <c r="T1002" s="181" t="str">
        <f>IFERROR(LOOKUP(2,1/((B_Drainage!$A$5:$A$204&lt;&gt;"")*(B_Drainage!$A$5:$A$204&lt;=$B1002)*(B_Drainage!$B$5:$B$204&gt;$B1002)*(B_Drainage!$E$5:$E$204&lt;&gt;"")),IF(B_Drainage!$E$5:$E$204="-","",1)),"")</f>
        <v/>
      </c>
      <c r="U1002" s="181" t="str">
        <f>IFERROR(LOOKUP(2,1/((B_Drainage!$A$5:$A$204&lt;&gt;"")*(B_Drainage!$A$5:$A$204&lt;=$B1002)*(B_Drainage!$B$5:$B$204&gt;$B1002)*(B_Drainage!$E$5:$E$204&lt;&gt;"")),IF(B_Drainage!$E$5:$E$204="-","",B_Drainage!$E$5:$E$204)),"")</f>
        <v/>
      </c>
      <c r="V1002" s="181" t="str">
        <f>IFERROR(LOOKUP(2,1/((B_Drainage!$A$5:$A$204&lt;&gt;"")*(B_Drainage!$A$5:$A$204&lt;=$B1002)*(B_Drainage!$B$5:$B$204&gt;$B1002)*(B_Drainage!$F$5:$F$204&lt;&gt;"")),IF(B_Drainage!$F$5:$F$204="-","",1)),"")</f>
        <v/>
      </c>
      <c r="W1002" s="181" t="str">
        <f>IFERROR(LOOKUP(2,1/((B_Drainage!$A$5:$A$204&lt;&gt;"")*(B_Drainage!$A$5:$A$204&lt;=$B1002)*(B_Drainage!$B$5:$B$204&gt;$B1002)*(B_Drainage!$F$5:$F$204&lt;&gt;"")),IF(B_Drainage!$F$5:$F$204="-","",B_Drainage!$F$5:$F$204)),"")</f>
        <v/>
      </c>
      <c r="X1002" s="181" t="str">
        <f>IFERROR(LOOKUP(2,1/((B_Drainage!$A$5:$A$204&lt;&gt;"")*(B_Drainage!$A$5:$A$204&lt;=$B1002)*(B_Drainage!$B$5:$B$204&gt;$B1002)*(B_Drainage!$G$5:$G$204&lt;&gt;"")),IF(UPPER(B_Drainage!$G$5:$G$204)="Y",1,"")),"")</f>
        <v/>
      </c>
      <c r="Y1002" s="181" t="str">
        <f>IFERROR(LOOKUP(2,1/((B_Drainage!$A$5:$A$204&lt;&gt;"")*(B_Drainage!$A$5:$A$204&lt;=$B1002)*(B_Drainage!$B$5:$B$204&gt;$B1002)*(B_Drainage!$H$5:$H$204&lt;&gt;"")),IF(UPPER(B_Drainage!$H$5:$H$204)="Y",1,"")),"")</f>
        <v/>
      </c>
      <c r="Z1002" s="181" t="str">
        <f>IFERROR(LOOKUP(2,1/((B_Drainage!$A$5:$A$204&lt;&gt;"")*(B_Drainage!$A$5:$A$204&lt;=$B1002)*(B_Drainage!$B$5:$B$204&gt;$B1002)*(B_Drainage!$I$5:$I$204&lt;&gt;"")),IF(UPPER(B_Drainage!$I$5:$I$204)="Y",1,"")),"")</f>
        <v/>
      </c>
      <c r="AA1002" s="181" t="str">
        <f>IFERROR(LOOKUP(2,1/((B_Drainage!$A$5:$A$204&lt;&gt;"")*(B_Drainage!$A$5:$A$204&lt;=$B1002)*(B_Drainage!$B$5:$B$204&gt;$B1002)*(B_Drainage!$J$5:$J$204&lt;&gt;"")),IF(UPPER(B_Drainage!$J$5:$J$204)="Y",1,"")),"")</f>
        <v/>
      </c>
      <c r="AB1002" s="182" t="str">
        <f>IFERROR(LOOKUP(2,1/((B_Drainage!$A$5:$A$204&lt;&gt;"")*(B_Drainage!$A$5:$A$204&lt;=$B1002)*(B_Drainage!$B$5:$B$204&gt;$B1002)*(B_Drainage!$K$5:$K$204&lt;&gt;"")),IF(B_Drainage!$K$5:$K$204="-","",B_Drainage!$K$5:$K$204)),"")</f>
        <v/>
      </c>
      <c r="AC1002" s="182" t="str">
        <f>IFERROR(LOOKUP(2,1/((B_Drainage!$A$5:$A$204&lt;&gt;"")*(B_Drainage!$A$5:$A$204&lt;=$B1002)*(B_Drainage!$B$5:$B$204&gt;$B1002)*(B_Drainage!$L$5:$L$204&lt;&gt;"")),IF(B_Drainage!$L$5:$L$204="-","",B_Drainage!$L$5:$L$204)),"")</f>
        <v/>
      </c>
      <c r="AD1002" s="182" t="str">
        <f>IFERROR(LOOKUP(2,1/((D_Points!$A$5:$A$204&lt;&gt;"")*(D_Points!$A$5:$A$204&gt;=$B1002)*(D_Points!$A$5:$A$204&lt;$B1002+P_Interval)*(UPPER(TRIM(D_Points!$B$5:$B$204))="TURNOUT_L")*(D_Points!$H$5:$H$204&lt;&gt;"")),D_Points!$H$5:$H$204),"")</f>
        <v/>
      </c>
      <c r="AE1002" s="182" t="str">
        <f>IFERROR(LOOKUP(2,1/((D_Points!$A$5:$A$204&lt;&gt;"")*(D_Points!$A$5:$A$204&gt;=$B1002)*(D_Points!$A$5:$A$204&lt;$B1002+P_Interval)*(UPPER(TRIM(D_Points!$B$5:$B$204))="TURNOUT_R")*(D_Points!$H$5:$H$204&lt;&gt;"")),D_Points!$H$5:$H$204),"")</f>
        <v/>
      </c>
      <c r="AF1002" s="181" t="str">
        <f>IFERROR(LOOKUP(2,1/((B_Drainage!$A$5:$A$204&lt;&gt;"")*(B_Drainage!$A$5:$A$204&lt;=$B1002)*(B_Drainage!$B$5:$B$204&gt;$B1002)*(B_Drainage!$M$5:$M$204&lt;&gt;"")),IF(UPPER(B_Drainage!$M$5:$M$204)="Y",1,"")),"")</f>
        <v/>
      </c>
      <c r="AG1002" s="181" t="str">
        <f>IFERROR(LOOKUP(2,1/((B_Drainage!$A$5:$A$204&lt;&gt;"")*(B_Drainage!$A$5:$A$204&lt;=$B1002)*(B_Drainage!$B$5:$B$204&gt;$B1002)*(B_Drainage!$N$5:$N$204&lt;&gt;"")),IF(UPPER(B_Drainage!$N$5:$N$204)="Y",1,"")),"")</f>
        <v/>
      </c>
      <c r="AH1002" s="181" t="str">
        <f t="shared" si="120"/>
        <v/>
      </c>
      <c r="AI1002" s="181" t="str">
        <f t="shared" si="121"/>
        <v/>
      </c>
      <c r="AJ1002" s="181" t="str">
        <f t="shared" si="122"/>
        <v/>
      </c>
      <c r="AK1002" s="181" t="str">
        <f t="shared" si="123"/>
        <v/>
      </c>
      <c r="AL1002" s="181" t="str">
        <f t="shared" si="124"/>
        <v/>
      </c>
      <c r="AM1002" s="181" t="str">
        <f t="shared" si="125"/>
        <v/>
      </c>
      <c r="AN1002" s="181" t="str">
        <f t="shared" si="126"/>
        <v/>
      </c>
      <c r="AO1002" s="192" t="str">
        <f t="shared" si="127"/>
        <v/>
      </c>
      <c r="AQ1002" t="str">
        <f>IFERROR(LOOKUP(2,1/((C_Pavement!$A$5:$A$204&lt;&gt;"")*(C_Pavement!$A$5:$A$204&lt;=$B1002)*(C_Pavement!$B$5:$B$204&gt;$B1002)*(C_Pavement!$C$5:$C$204&lt;&gt;"")),ROW(C_Pavement!$C$5:$C$204)-4),"")</f>
        <v/>
      </c>
      <c r="AR1002" t="str">
        <f>IF($AQ1002="","",UPPER(TRIM(INDEX(C_Pavement!$C$5:$C$204,$AQ1002))))</f>
        <v/>
      </c>
      <c r="AS1002" t="str">
        <f>IF($AR1002="","",IFERROR(MATCH($AR1002,E_Rules!$A$5:$A$9,0),""))</f>
        <v/>
      </c>
      <c r="AT1002" t="str">
        <f>IF($AQ1002="","",IF(INDEX(C_Pavement!$D$5:$D$204,$AQ1002)&lt;&gt;"",UPPER(TRIM(INDEX(C_Pavement!$D$5:$D$204,$AQ1002))),IF($AS1002="","",INDEX(E_Rules!$C$5:$C$9,$AS1002))))</f>
        <v/>
      </c>
      <c r="AU1002" t="str">
        <f>IF($AQ1002="","",IF(INDEX(C_Pavement!$E$5:$E$204,$AQ1002)&lt;&gt;"",IF(INDEX(C_Pavement!$E$5:$E$204,$AQ1002)="-","",INDEX(C_Pavement!$E$5:$E$204,$AQ1002)),IF($AS1002="","",INDEX(E_Rules!$D$5:$D$9,$AS1002))))</f>
        <v/>
      </c>
      <c r="AV1002" t="str">
        <f>IF($AQ1002="","",IF(INDEX(C_Pavement!$F$5:$F$204,$AQ1002)&lt;&gt;"",IF(INDEX(C_Pavement!$F$5:$F$204,$AQ1002)="-","",INDEX(C_Pavement!$F$5:$F$204,$AQ1002)),IF($AS1002="","",INDEX(E_Rules!$E$5:$E$9,$AS1002))))</f>
        <v/>
      </c>
      <c r="AW1002" t="str">
        <f>IF($AQ1002="","",IF(INDEX(C_Pavement!$G$5:$G$204,$AQ1002)&lt;&gt;"",IF(INDEX(C_Pavement!$G$5:$G$204,$AQ1002)="-","",INDEX(C_Pavement!$G$5:$G$204,$AQ1002)),IF($AS1002="","",INDEX(E_Rules!$F$5:$F$9,$AS1002))))</f>
        <v/>
      </c>
      <c r="AX1002" t="str">
        <f>IF($AQ1002="","",IF(INDEX(C_Pavement!$H$5:$H$204,$AQ1002)&lt;&gt;"",IF(INDEX(C_Pavement!$H$5:$H$204,$AQ1002)="-","",INDEX(C_Pavement!$H$5:$H$204,$AQ1002)),IF($AS1002="","",INDEX(E_Rules!$G$5:$G$9,$AS1002))))</f>
        <v/>
      </c>
      <c r="AY1002" t="str">
        <f>IF($AQ1002="","",IF(INDEX(C_Pavement!$I$5:$I$204,$AQ1002)&lt;&gt;"",IF(INDEX(C_Pavement!$I$5:$I$204,$AQ1002)="-","",INDEX(C_Pavement!$I$5:$I$204,$AQ1002)),IF($AS1002="","",INDEX(E_Rules!$H$5:$H$9,$AS1002))))</f>
        <v/>
      </c>
    </row>
    <row r="1003" spans="1:51" ht="15.75" customHeight="1" x14ac:dyDescent="0.3">
      <c r="A1003" s="189">
        <v>998</v>
      </c>
      <c r="B1003" s="180">
        <v>49850</v>
      </c>
      <c r="C1003" s="180" t="s">
        <v>1309</v>
      </c>
      <c r="D1003" s="181" t="str">
        <f>IFERROR(LOOKUP(2,1/((A_Corridor!$A$5:$A$204&lt;&gt;"")*(A_Corridor!$A$5:$A$204&lt;=$B1003)*(A_Corridor!$B$5:$B$204&gt;$B1003)*(A_Corridor!$C$5:$C$204&lt;&gt;"")),IF(UPPER(A_Corridor!$C$5:$C$204)="Y",1,"")),"")</f>
        <v/>
      </c>
      <c r="E1003" s="181" t="str">
        <f>IFERROR(LOOKUP(2,1/((A_Corridor!$A$5:$A$204&lt;&gt;"")*(A_Corridor!$A$5:$A$204&lt;=$B1003)*(A_Corridor!$B$5:$B$204&gt;$B1003)*(A_Corridor!$D$5:$D$204&lt;&gt;"")),IF(A_Corridor!$D$5:$D$204="-","",UPPER(A_Corridor!$D$5:$D$204))),"")</f>
        <v/>
      </c>
      <c r="F1003" s="181" t="str">
        <f>IFERROR(LOOKUP(2,1/((A_Corridor!$A$5:$A$204&lt;&gt;"")*(A_Corridor!$A$5:$A$204&lt;=$B1003)*(A_Corridor!$B$5:$B$204&gt;$B1003)*(A_Corridor!$E$5:$E$204&lt;&gt;"")),IF(A_Corridor!$E$5:$E$204="-","",1)),"")</f>
        <v/>
      </c>
      <c r="G1003" s="182" t="str">
        <f>IFERROR(LOOKUP(2,1/((A_Corridor!$A$5:$A$204&lt;&gt;"")*(A_Corridor!$A$5:$A$204&lt;=$B1003)*(A_Corridor!$B$5:$B$204&gt;$B1003)*(A_Corridor!$E$5:$E$204&lt;&gt;"")),IF(A_Corridor!$E$5:$E$204="-","",A_Corridor!$E$5:$E$204)),"")</f>
        <v/>
      </c>
      <c r="H1003" s="182" t="str">
        <f>IFERROR(LOOKUP(2,1/((D_Points!$A$5:$A$204&lt;&gt;"")*(D_Points!$A$5:$A$204&gt;=$B1003)*(D_Points!$A$5:$A$204&lt;$B1003+P_Interval)*(UPPER(TRIM(D_Points!$B$5:$B$204))="GULLY")*(D_Points!$H$5:$H$204&lt;&gt;"")),D_Points!$H$5:$H$204),"")</f>
        <v/>
      </c>
      <c r="I1003" s="181" t="str">
        <f>IFERROR(LOOKUP(2,1/((A_Corridor!$A$5:$A$204&lt;&gt;"")*(A_Corridor!$A$5:$A$204&lt;=$B1003)*(A_Corridor!$B$5:$B$204&gt;$B1003)*(A_Corridor!$F$5:$F$204&lt;&gt;"")),IF(A_Corridor!$F$5:$F$204="-","",1)),"")</f>
        <v/>
      </c>
      <c r="J1003" s="182" t="str">
        <f>IFERROR(LOOKUP(2,1/((A_Corridor!$A$5:$A$204&lt;&gt;"")*(A_Corridor!$A$5:$A$204&lt;=$B1003)*(A_Corridor!$B$5:$B$204&gt;$B1003)*(A_Corridor!$F$5:$F$204&lt;&gt;"")),IF(A_Corridor!$F$5:$F$204="-","",A_Corridor!$F$5:$F$204)),"")</f>
        <v/>
      </c>
      <c r="K1003" s="182" t="str">
        <f>IFERROR(LOOKUP(2,1/((A_Corridor!$A$5:$A$204&lt;&gt;"")*(A_Corridor!$A$5:$A$204&lt;=$B1003)*(A_Corridor!$B$5:$B$204&gt;$B1003)*(A_Corridor!$G$5:$G$204&lt;&gt;"")),IF(A_Corridor!$G$5:$G$204="-","",A_Corridor!$G$5:$G$204)),"")</f>
        <v/>
      </c>
      <c r="L1003" s="181" t="str">
        <f>IFERROR(LOOKUP(2,1/((A_Corridor!$A$5:$A$204&lt;&gt;"")*(A_Corridor!$A$5:$A$204&lt;=$B1003)*(A_Corridor!$B$5:$B$204&gt;$B1003)*(A_Corridor!$H$5:$H$204&lt;&gt;"")),IF(A_Corridor!$H$5:$H$204="-","",1)),"")</f>
        <v/>
      </c>
      <c r="M1003" s="182" t="str">
        <f>IFERROR(LOOKUP(2,1/((A_Corridor!$A$5:$A$204&lt;&gt;"")*(A_Corridor!$A$5:$A$204&lt;=$B1003)*(A_Corridor!$B$5:$B$204&gt;$B1003)*(A_Corridor!$H$5:$H$204&lt;&gt;"")),IF(A_Corridor!$H$5:$H$204="-","",A_Corridor!$H$5:$H$204)),"")</f>
        <v/>
      </c>
      <c r="N1003" s="182" t="str">
        <f>IFERROR(LOOKUP(2,1/((A_Corridor!$A$5:$A$204&lt;&gt;"")*(A_Corridor!$A$5:$A$204&lt;=$B1003)*(A_Corridor!$B$5:$B$204&gt;$B1003)*(A_Corridor!$I$5:$I$204&lt;&gt;"")),IF(A_Corridor!$I$5:$I$204="-","",A_Corridor!$I$5:$I$204)),"")</f>
        <v/>
      </c>
      <c r="O1003" s="182" t="str">
        <f>IFERROR(LOOKUP(2,1/((D_Points!$A$5:$A$204&lt;&gt;"")*(D_Points!$A$5:$A$204&gt;=$B1003)*(D_Points!$A$5:$A$204&lt;$B1003+P_Interval)*(UPPER(TRIM(D_Points!$B$5:$B$204))="PITCHING")*(D_Points!$H$5:$H$204&lt;&gt;"")),D_Points!$H$5:$H$204),"")</f>
        <v/>
      </c>
      <c r="P1003" s="181" t="str">
        <f>IFERROR(LOOKUP(2,1/((B_Drainage!$A$5:$A$204&lt;&gt;"")*(B_Drainage!$A$5:$A$204&lt;=$B1003)*(B_Drainage!$B$5:$B$204&gt;$B1003)*(B_Drainage!$C$5:$C$204&lt;&gt;"")),IF(B_Drainage!$C$5:$C$204="-","",UPPER(B_Drainage!$C$5:$C$204))),"")</f>
        <v/>
      </c>
      <c r="Q1003" s="181" t="str">
        <f>IFERROR(LOOKUP(2,1/((B_Drainage!$A$5:$A$204&lt;&gt;"")*(B_Drainage!$A$5:$A$204&lt;=$B1003)*(B_Drainage!$B$5:$B$204&gt;$B1003)*(B_Drainage!$D$5:$D$204&lt;&gt;"")),IF(B_Drainage!$D$5:$D$204="-","",UPPER(B_Drainage!$D$5:$D$204))),"")</f>
        <v/>
      </c>
      <c r="R1003" s="182" t="str">
        <f>IFERROR(LOOKUP(2,1/((D_Points!$A$5:$A$204&lt;&gt;"")*(D_Points!$A$5:$A$204&gt;=$B1003)*(D_Points!$A$5:$A$204&lt;$B1003+P_Interval)*(RIGHT(UPPER(TRIM(D_Points!$B$5:$B$204)),8)="_CULVERT")),IF(LEFT(UPPER(TRIM(D_Points!$B$5:$B$204)),2)="EX",1,IF(LEFT(UPPER(TRIM(D_Points!$B$5:$B$204)),2)="PR",2,3))),"")</f>
        <v/>
      </c>
      <c r="S1003" s="182" t="str">
        <f>IFERROR(LOOKUP(2,1/((D_Points!$A$5:$A$204&lt;&gt;"")*(D_Points!$A$5:$A$204&gt;=$B1003)*(D_Points!$A$5:$A$204&lt;$B1003+P_Interval)*(RIGHT(UPPER(TRIM(D_Points!$B$5:$B$204)),7)="_BRIDGE")),IF(LEFT(UPPER(TRIM(D_Points!$B$5:$B$204)),2)="EX",1,IF(LEFT(UPPER(TRIM(D_Points!$B$5:$B$204)),2)="PR",2,2))),"")</f>
        <v/>
      </c>
      <c r="T1003" s="181" t="str">
        <f>IFERROR(LOOKUP(2,1/((B_Drainage!$A$5:$A$204&lt;&gt;"")*(B_Drainage!$A$5:$A$204&lt;=$B1003)*(B_Drainage!$B$5:$B$204&gt;$B1003)*(B_Drainage!$E$5:$E$204&lt;&gt;"")),IF(B_Drainage!$E$5:$E$204="-","",1)),"")</f>
        <v/>
      </c>
      <c r="U1003" s="181" t="str">
        <f>IFERROR(LOOKUP(2,1/((B_Drainage!$A$5:$A$204&lt;&gt;"")*(B_Drainage!$A$5:$A$204&lt;=$B1003)*(B_Drainage!$B$5:$B$204&gt;$B1003)*(B_Drainage!$E$5:$E$204&lt;&gt;"")),IF(B_Drainage!$E$5:$E$204="-","",B_Drainage!$E$5:$E$204)),"")</f>
        <v/>
      </c>
      <c r="V1003" s="181" t="str">
        <f>IFERROR(LOOKUP(2,1/((B_Drainage!$A$5:$A$204&lt;&gt;"")*(B_Drainage!$A$5:$A$204&lt;=$B1003)*(B_Drainage!$B$5:$B$204&gt;$B1003)*(B_Drainage!$F$5:$F$204&lt;&gt;"")),IF(B_Drainage!$F$5:$F$204="-","",1)),"")</f>
        <v/>
      </c>
      <c r="W1003" s="181" t="str">
        <f>IFERROR(LOOKUP(2,1/((B_Drainage!$A$5:$A$204&lt;&gt;"")*(B_Drainage!$A$5:$A$204&lt;=$B1003)*(B_Drainage!$B$5:$B$204&gt;$B1003)*(B_Drainage!$F$5:$F$204&lt;&gt;"")),IF(B_Drainage!$F$5:$F$204="-","",B_Drainage!$F$5:$F$204)),"")</f>
        <v/>
      </c>
      <c r="X1003" s="181" t="str">
        <f>IFERROR(LOOKUP(2,1/((B_Drainage!$A$5:$A$204&lt;&gt;"")*(B_Drainage!$A$5:$A$204&lt;=$B1003)*(B_Drainage!$B$5:$B$204&gt;$B1003)*(B_Drainage!$G$5:$G$204&lt;&gt;"")),IF(UPPER(B_Drainage!$G$5:$G$204)="Y",1,"")),"")</f>
        <v/>
      </c>
      <c r="Y1003" s="181" t="str">
        <f>IFERROR(LOOKUP(2,1/((B_Drainage!$A$5:$A$204&lt;&gt;"")*(B_Drainage!$A$5:$A$204&lt;=$B1003)*(B_Drainage!$B$5:$B$204&gt;$B1003)*(B_Drainage!$H$5:$H$204&lt;&gt;"")),IF(UPPER(B_Drainage!$H$5:$H$204)="Y",1,"")),"")</f>
        <v/>
      </c>
      <c r="Z1003" s="181" t="str">
        <f>IFERROR(LOOKUP(2,1/((B_Drainage!$A$5:$A$204&lt;&gt;"")*(B_Drainage!$A$5:$A$204&lt;=$B1003)*(B_Drainage!$B$5:$B$204&gt;$B1003)*(B_Drainage!$I$5:$I$204&lt;&gt;"")),IF(UPPER(B_Drainage!$I$5:$I$204)="Y",1,"")),"")</f>
        <v/>
      </c>
      <c r="AA1003" s="181" t="str">
        <f>IFERROR(LOOKUP(2,1/((B_Drainage!$A$5:$A$204&lt;&gt;"")*(B_Drainage!$A$5:$A$204&lt;=$B1003)*(B_Drainage!$B$5:$B$204&gt;$B1003)*(B_Drainage!$J$5:$J$204&lt;&gt;"")),IF(UPPER(B_Drainage!$J$5:$J$204)="Y",1,"")),"")</f>
        <v/>
      </c>
      <c r="AB1003" s="182" t="str">
        <f>IFERROR(LOOKUP(2,1/((B_Drainage!$A$5:$A$204&lt;&gt;"")*(B_Drainage!$A$5:$A$204&lt;=$B1003)*(B_Drainage!$B$5:$B$204&gt;$B1003)*(B_Drainage!$K$5:$K$204&lt;&gt;"")),IF(B_Drainage!$K$5:$K$204="-","",B_Drainage!$K$5:$K$204)),"")</f>
        <v/>
      </c>
      <c r="AC1003" s="182" t="str">
        <f>IFERROR(LOOKUP(2,1/((B_Drainage!$A$5:$A$204&lt;&gt;"")*(B_Drainage!$A$5:$A$204&lt;=$B1003)*(B_Drainage!$B$5:$B$204&gt;$B1003)*(B_Drainage!$L$5:$L$204&lt;&gt;"")),IF(B_Drainage!$L$5:$L$204="-","",B_Drainage!$L$5:$L$204)),"")</f>
        <v/>
      </c>
      <c r="AD1003" s="182" t="str">
        <f>IFERROR(LOOKUP(2,1/((D_Points!$A$5:$A$204&lt;&gt;"")*(D_Points!$A$5:$A$204&gt;=$B1003)*(D_Points!$A$5:$A$204&lt;$B1003+P_Interval)*(UPPER(TRIM(D_Points!$B$5:$B$204))="TURNOUT_L")*(D_Points!$H$5:$H$204&lt;&gt;"")),D_Points!$H$5:$H$204),"")</f>
        <v/>
      </c>
      <c r="AE1003" s="182" t="str">
        <f>IFERROR(LOOKUP(2,1/((D_Points!$A$5:$A$204&lt;&gt;"")*(D_Points!$A$5:$A$204&gt;=$B1003)*(D_Points!$A$5:$A$204&lt;$B1003+P_Interval)*(UPPER(TRIM(D_Points!$B$5:$B$204))="TURNOUT_R")*(D_Points!$H$5:$H$204&lt;&gt;"")),D_Points!$H$5:$H$204),"")</f>
        <v/>
      </c>
      <c r="AF1003" s="181" t="str">
        <f>IFERROR(LOOKUP(2,1/((B_Drainage!$A$5:$A$204&lt;&gt;"")*(B_Drainage!$A$5:$A$204&lt;=$B1003)*(B_Drainage!$B$5:$B$204&gt;$B1003)*(B_Drainage!$M$5:$M$204&lt;&gt;"")),IF(UPPER(B_Drainage!$M$5:$M$204)="Y",1,"")),"")</f>
        <v/>
      </c>
      <c r="AG1003" s="181" t="str">
        <f>IFERROR(LOOKUP(2,1/((B_Drainage!$A$5:$A$204&lt;&gt;"")*(B_Drainage!$A$5:$A$204&lt;=$B1003)*(B_Drainage!$B$5:$B$204&gt;$B1003)*(B_Drainage!$N$5:$N$204&lt;&gt;"")),IF(UPPER(B_Drainage!$N$5:$N$204)="Y",1,"")),"")</f>
        <v/>
      </c>
      <c r="AH1003" s="181" t="str">
        <f t="shared" si="120"/>
        <v/>
      </c>
      <c r="AI1003" s="181" t="str">
        <f t="shared" si="121"/>
        <v/>
      </c>
      <c r="AJ1003" s="181" t="str">
        <f t="shared" si="122"/>
        <v/>
      </c>
      <c r="AK1003" s="181" t="str">
        <f t="shared" si="123"/>
        <v/>
      </c>
      <c r="AL1003" s="181" t="str">
        <f t="shared" si="124"/>
        <v/>
      </c>
      <c r="AM1003" s="181" t="str">
        <f t="shared" si="125"/>
        <v/>
      </c>
      <c r="AN1003" s="181" t="str">
        <f t="shared" si="126"/>
        <v/>
      </c>
      <c r="AO1003" s="192" t="str">
        <f t="shared" si="127"/>
        <v/>
      </c>
      <c r="AQ1003" t="str">
        <f>IFERROR(LOOKUP(2,1/((C_Pavement!$A$5:$A$204&lt;&gt;"")*(C_Pavement!$A$5:$A$204&lt;=$B1003)*(C_Pavement!$B$5:$B$204&gt;$B1003)*(C_Pavement!$C$5:$C$204&lt;&gt;"")),ROW(C_Pavement!$C$5:$C$204)-4),"")</f>
        <v/>
      </c>
      <c r="AR1003" t="str">
        <f>IF($AQ1003="","",UPPER(TRIM(INDEX(C_Pavement!$C$5:$C$204,$AQ1003))))</f>
        <v/>
      </c>
      <c r="AS1003" t="str">
        <f>IF($AR1003="","",IFERROR(MATCH($AR1003,E_Rules!$A$5:$A$9,0),""))</f>
        <v/>
      </c>
      <c r="AT1003" t="str">
        <f>IF($AQ1003="","",IF(INDEX(C_Pavement!$D$5:$D$204,$AQ1003)&lt;&gt;"",UPPER(TRIM(INDEX(C_Pavement!$D$5:$D$204,$AQ1003))),IF($AS1003="","",INDEX(E_Rules!$C$5:$C$9,$AS1003))))</f>
        <v/>
      </c>
      <c r="AU1003" t="str">
        <f>IF($AQ1003="","",IF(INDEX(C_Pavement!$E$5:$E$204,$AQ1003)&lt;&gt;"",IF(INDEX(C_Pavement!$E$5:$E$204,$AQ1003)="-","",INDEX(C_Pavement!$E$5:$E$204,$AQ1003)),IF($AS1003="","",INDEX(E_Rules!$D$5:$D$9,$AS1003))))</f>
        <v/>
      </c>
      <c r="AV1003" t="str">
        <f>IF($AQ1003="","",IF(INDEX(C_Pavement!$F$5:$F$204,$AQ1003)&lt;&gt;"",IF(INDEX(C_Pavement!$F$5:$F$204,$AQ1003)="-","",INDEX(C_Pavement!$F$5:$F$204,$AQ1003)),IF($AS1003="","",INDEX(E_Rules!$E$5:$E$9,$AS1003))))</f>
        <v/>
      </c>
      <c r="AW1003" t="str">
        <f>IF($AQ1003="","",IF(INDEX(C_Pavement!$G$5:$G$204,$AQ1003)&lt;&gt;"",IF(INDEX(C_Pavement!$G$5:$G$204,$AQ1003)="-","",INDEX(C_Pavement!$G$5:$G$204,$AQ1003)),IF($AS1003="","",INDEX(E_Rules!$F$5:$F$9,$AS1003))))</f>
        <v/>
      </c>
      <c r="AX1003" t="str">
        <f>IF($AQ1003="","",IF(INDEX(C_Pavement!$H$5:$H$204,$AQ1003)&lt;&gt;"",IF(INDEX(C_Pavement!$H$5:$H$204,$AQ1003)="-","",INDEX(C_Pavement!$H$5:$H$204,$AQ1003)),IF($AS1003="","",INDEX(E_Rules!$G$5:$G$9,$AS1003))))</f>
        <v/>
      </c>
      <c r="AY1003" t="str">
        <f>IF($AQ1003="","",IF(INDEX(C_Pavement!$I$5:$I$204,$AQ1003)&lt;&gt;"",IF(INDEX(C_Pavement!$I$5:$I$204,$AQ1003)="-","",INDEX(C_Pavement!$I$5:$I$204,$AQ1003)),IF($AS1003="","",INDEX(E_Rules!$H$5:$H$9,$AS1003))))</f>
        <v/>
      </c>
    </row>
    <row r="1004" spans="1:51" ht="15.75" customHeight="1" x14ac:dyDescent="0.3">
      <c r="A1004" s="189">
        <v>999</v>
      </c>
      <c r="B1004" s="180">
        <v>49900</v>
      </c>
      <c r="C1004" s="180" t="s">
        <v>1310</v>
      </c>
      <c r="D1004" s="181" t="str">
        <f>IFERROR(LOOKUP(2,1/((A_Corridor!$A$5:$A$204&lt;&gt;"")*(A_Corridor!$A$5:$A$204&lt;=$B1004)*(A_Corridor!$B$5:$B$204&gt;$B1004)*(A_Corridor!$C$5:$C$204&lt;&gt;"")),IF(UPPER(A_Corridor!$C$5:$C$204)="Y",1,"")),"")</f>
        <v/>
      </c>
      <c r="E1004" s="181" t="str">
        <f>IFERROR(LOOKUP(2,1/((A_Corridor!$A$5:$A$204&lt;&gt;"")*(A_Corridor!$A$5:$A$204&lt;=$B1004)*(A_Corridor!$B$5:$B$204&gt;$B1004)*(A_Corridor!$D$5:$D$204&lt;&gt;"")),IF(A_Corridor!$D$5:$D$204="-","",UPPER(A_Corridor!$D$5:$D$204))),"")</f>
        <v/>
      </c>
      <c r="F1004" s="181" t="str">
        <f>IFERROR(LOOKUP(2,1/((A_Corridor!$A$5:$A$204&lt;&gt;"")*(A_Corridor!$A$5:$A$204&lt;=$B1004)*(A_Corridor!$B$5:$B$204&gt;$B1004)*(A_Corridor!$E$5:$E$204&lt;&gt;"")),IF(A_Corridor!$E$5:$E$204="-","",1)),"")</f>
        <v/>
      </c>
      <c r="G1004" s="182" t="str">
        <f>IFERROR(LOOKUP(2,1/((A_Corridor!$A$5:$A$204&lt;&gt;"")*(A_Corridor!$A$5:$A$204&lt;=$B1004)*(A_Corridor!$B$5:$B$204&gt;$B1004)*(A_Corridor!$E$5:$E$204&lt;&gt;"")),IF(A_Corridor!$E$5:$E$204="-","",A_Corridor!$E$5:$E$204)),"")</f>
        <v/>
      </c>
      <c r="H1004" s="182" t="str">
        <f>IFERROR(LOOKUP(2,1/((D_Points!$A$5:$A$204&lt;&gt;"")*(D_Points!$A$5:$A$204&gt;=$B1004)*(D_Points!$A$5:$A$204&lt;$B1004+P_Interval)*(UPPER(TRIM(D_Points!$B$5:$B$204))="GULLY")*(D_Points!$H$5:$H$204&lt;&gt;"")),D_Points!$H$5:$H$204),"")</f>
        <v/>
      </c>
      <c r="I1004" s="181" t="str">
        <f>IFERROR(LOOKUP(2,1/((A_Corridor!$A$5:$A$204&lt;&gt;"")*(A_Corridor!$A$5:$A$204&lt;=$B1004)*(A_Corridor!$B$5:$B$204&gt;$B1004)*(A_Corridor!$F$5:$F$204&lt;&gt;"")),IF(A_Corridor!$F$5:$F$204="-","",1)),"")</f>
        <v/>
      </c>
      <c r="J1004" s="182" t="str">
        <f>IFERROR(LOOKUP(2,1/((A_Corridor!$A$5:$A$204&lt;&gt;"")*(A_Corridor!$A$5:$A$204&lt;=$B1004)*(A_Corridor!$B$5:$B$204&gt;$B1004)*(A_Corridor!$F$5:$F$204&lt;&gt;"")),IF(A_Corridor!$F$5:$F$204="-","",A_Corridor!$F$5:$F$204)),"")</f>
        <v/>
      </c>
      <c r="K1004" s="182" t="str">
        <f>IFERROR(LOOKUP(2,1/((A_Corridor!$A$5:$A$204&lt;&gt;"")*(A_Corridor!$A$5:$A$204&lt;=$B1004)*(A_Corridor!$B$5:$B$204&gt;$B1004)*(A_Corridor!$G$5:$G$204&lt;&gt;"")),IF(A_Corridor!$G$5:$G$204="-","",A_Corridor!$G$5:$G$204)),"")</f>
        <v/>
      </c>
      <c r="L1004" s="181" t="str">
        <f>IFERROR(LOOKUP(2,1/((A_Corridor!$A$5:$A$204&lt;&gt;"")*(A_Corridor!$A$5:$A$204&lt;=$B1004)*(A_Corridor!$B$5:$B$204&gt;$B1004)*(A_Corridor!$H$5:$H$204&lt;&gt;"")),IF(A_Corridor!$H$5:$H$204="-","",1)),"")</f>
        <v/>
      </c>
      <c r="M1004" s="182" t="str">
        <f>IFERROR(LOOKUP(2,1/((A_Corridor!$A$5:$A$204&lt;&gt;"")*(A_Corridor!$A$5:$A$204&lt;=$B1004)*(A_Corridor!$B$5:$B$204&gt;$B1004)*(A_Corridor!$H$5:$H$204&lt;&gt;"")),IF(A_Corridor!$H$5:$H$204="-","",A_Corridor!$H$5:$H$204)),"")</f>
        <v/>
      </c>
      <c r="N1004" s="182" t="str">
        <f>IFERROR(LOOKUP(2,1/((A_Corridor!$A$5:$A$204&lt;&gt;"")*(A_Corridor!$A$5:$A$204&lt;=$B1004)*(A_Corridor!$B$5:$B$204&gt;$B1004)*(A_Corridor!$I$5:$I$204&lt;&gt;"")),IF(A_Corridor!$I$5:$I$204="-","",A_Corridor!$I$5:$I$204)),"")</f>
        <v/>
      </c>
      <c r="O1004" s="182" t="str">
        <f>IFERROR(LOOKUP(2,1/((D_Points!$A$5:$A$204&lt;&gt;"")*(D_Points!$A$5:$A$204&gt;=$B1004)*(D_Points!$A$5:$A$204&lt;$B1004+P_Interval)*(UPPER(TRIM(D_Points!$B$5:$B$204))="PITCHING")*(D_Points!$H$5:$H$204&lt;&gt;"")),D_Points!$H$5:$H$204),"")</f>
        <v/>
      </c>
      <c r="P1004" s="181" t="str">
        <f>IFERROR(LOOKUP(2,1/((B_Drainage!$A$5:$A$204&lt;&gt;"")*(B_Drainage!$A$5:$A$204&lt;=$B1004)*(B_Drainage!$B$5:$B$204&gt;$B1004)*(B_Drainage!$C$5:$C$204&lt;&gt;"")),IF(B_Drainage!$C$5:$C$204="-","",UPPER(B_Drainage!$C$5:$C$204))),"")</f>
        <v/>
      </c>
      <c r="Q1004" s="181" t="str">
        <f>IFERROR(LOOKUP(2,1/((B_Drainage!$A$5:$A$204&lt;&gt;"")*(B_Drainage!$A$5:$A$204&lt;=$B1004)*(B_Drainage!$B$5:$B$204&gt;$B1004)*(B_Drainage!$D$5:$D$204&lt;&gt;"")),IF(B_Drainage!$D$5:$D$204="-","",UPPER(B_Drainage!$D$5:$D$204))),"")</f>
        <v/>
      </c>
      <c r="R1004" s="182" t="str">
        <f>IFERROR(LOOKUP(2,1/((D_Points!$A$5:$A$204&lt;&gt;"")*(D_Points!$A$5:$A$204&gt;=$B1004)*(D_Points!$A$5:$A$204&lt;$B1004+P_Interval)*(RIGHT(UPPER(TRIM(D_Points!$B$5:$B$204)),8)="_CULVERT")),IF(LEFT(UPPER(TRIM(D_Points!$B$5:$B$204)),2)="EX",1,IF(LEFT(UPPER(TRIM(D_Points!$B$5:$B$204)),2)="PR",2,3))),"")</f>
        <v/>
      </c>
      <c r="S1004" s="182" t="str">
        <f>IFERROR(LOOKUP(2,1/((D_Points!$A$5:$A$204&lt;&gt;"")*(D_Points!$A$5:$A$204&gt;=$B1004)*(D_Points!$A$5:$A$204&lt;$B1004+P_Interval)*(RIGHT(UPPER(TRIM(D_Points!$B$5:$B$204)),7)="_BRIDGE")),IF(LEFT(UPPER(TRIM(D_Points!$B$5:$B$204)),2)="EX",1,IF(LEFT(UPPER(TRIM(D_Points!$B$5:$B$204)),2)="PR",2,2))),"")</f>
        <v/>
      </c>
      <c r="T1004" s="181" t="str">
        <f>IFERROR(LOOKUP(2,1/((B_Drainage!$A$5:$A$204&lt;&gt;"")*(B_Drainage!$A$5:$A$204&lt;=$B1004)*(B_Drainage!$B$5:$B$204&gt;$B1004)*(B_Drainage!$E$5:$E$204&lt;&gt;"")),IF(B_Drainage!$E$5:$E$204="-","",1)),"")</f>
        <v/>
      </c>
      <c r="U1004" s="181" t="str">
        <f>IFERROR(LOOKUP(2,1/((B_Drainage!$A$5:$A$204&lt;&gt;"")*(B_Drainage!$A$5:$A$204&lt;=$B1004)*(B_Drainage!$B$5:$B$204&gt;$B1004)*(B_Drainage!$E$5:$E$204&lt;&gt;"")),IF(B_Drainage!$E$5:$E$204="-","",B_Drainage!$E$5:$E$204)),"")</f>
        <v/>
      </c>
      <c r="V1004" s="181" t="str">
        <f>IFERROR(LOOKUP(2,1/((B_Drainage!$A$5:$A$204&lt;&gt;"")*(B_Drainage!$A$5:$A$204&lt;=$B1004)*(B_Drainage!$B$5:$B$204&gt;$B1004)*(B_Drainage!$F$5:$F$204&lt;&gt;"")),IF(B_Drainage!$F$5:$F$204="-","",1)),"")</f>
        <v/>
      </c>
      <c r="W1004" s="181" t="str">
        <f>IFERROR(LOOKUP(2,1/((B_Drainage!$A$5:$A$204&lt;&gt;"")*(B_Drainage!$A$5:$A$204&lt;=$B1004)*(B_Drainage!$B$5:$B$204&gt;$B1004)*(B_Drainage!$F$5:$F$204&lt;&gt;"")),IF(B_Drainage!$F$5:$F$204="-","",B_Drainage!$F$5:$F$204)),"")</f>
        <v/>
      </c>
      <c r="X1004" s="181" t="str">
        <f>IFERROR(LOOKUP(2,1/((B_Drainage!$A$5:$A$204&lt;&gt;"")*(B_Drainage!$A$5:$A$204&lt;=$B1004)*(B_Drainage!$B$5:$B$204&gt;$B1004)*(B_Drainage!$G$5:$G$204&lt;&gt;"")),IF(UPPER(B_Drainage!$G$5:$G$204)="Y",1,"")),"")</f>
        <v/>
      </c>
      <c r="Y1004" s="181" t="str">
        <f>IFERROR(LOOKUP(2,1/((B_Drainage!$A$5:$A$204&lt;&gt;"")*(B_Drainage!$A$5:$A$204&lt;=$B1004)*(B_Drainage!$B$5:$B$204&gt;$B1004)*(B_Drainage!$H$5:$H$204&lt;&gt;"")),IF(UPPER(B_Drainage!$H$5:$H$204)="Y",1,"")),"")</f>
        <v/>
      </c>
      <c r="Z1004" s="181" t="str">
        <f>IFERROR(LOOKUP(2,1/((B_Drainage!$A$5:$A$204&lt;&gt;"")*(B_Drainage!$A$5:$A$204&lt;=$B1004)*(B_Drainage!$B$5:$B$204&gt;$B1004)*(B_Drainage!$I$5:$I$204&lt;&gt;"")),IF(UPPER(B_Drainage!$I$5:$I$204)="Y",1,"")),"")</f>
        <v/>
      </c>
      <c r="AA1004" s="181" t="str">
        <f>IFERROR(LOOKUP(2,1/((B_Drainage!$A$5:$A$204&lt;&gt;"")*(B_Drainage!$A$5:$A$204&lt;=$B1004)*(B_Drainage!$B$5:$B$204&gt;$B1004)*(B_Drainage!$J$5:$J$204&lt;&gt;"")),IF(UPPER(B_Drainage!$J$5:$J$204)="Y",1,"")),"")</f>
        <v/>
      </c>
      <c r="AB1004" s="182" t="str">
        <f>IFERROR(LOOKUP(2,1/((B_Drainage!$A$5:$A$204&lt;&gt;"")*(B_Drainage!$A$5:$A$204&lt;=$B1004)*(B_Drainage!$B$5:$B$204&gt;$B1004)*(B_Drainage!$K$5:$K$204&lt;&gt;"")),IF(B_Drainage!$K$5:$K$204="-","",B_Drainage!$K$5:$K$204)),"")</f>
        <v/>
      </c>
      <c r="AC1004" s="182" t="str">
        <f>IFERROR(LOOKUP(2,1/((B_Drainage!$A$5:$A$204&lt;&gt;"")*(B_Drainage!$A$5:$A$204&lt;=$B1004)*(B_Drainage!$B$5:$B$204&gt;$B1004)*(B_Drainage!$L$5:$L$204&lt;&gt;"")),IF(B_Drainage!$L$5:$L$204="-","",B_Drainage!$L$5:$L$204)),"")</f>
        <v/>
      </c>
      <c r="AD1004" s="182" t="str">
        <f>IFERROR(LOOKUP(2,1/((D_Points!$A$5:$A$204&lt;&gt;"")*(D_Points!$A$5:$A$204&gt;=$B1004)*(D_Points!$A$5:$A$204&lt;$B1004+P_Interval)*(UPPER(TRIM(D_Points!$B$5:$B$204))="TURNOUT_L")*(D_Points!$H$5:$H$204&lt;&gt;"")),D_Points!$H$5:$H$204),"")</f>
        <v/>
      </c>
      <c r="AE1004" s="182" t="str">
        <f>IFERROR(LOOKUP(2,1/((D_Points!$A$5:$A$204&lt;&gt;"")*(D_Points!$A$5:$A$204&gt;=$B1004)*(D_Points!$A$5:$A$204&lt;$B1004+P_Interval)*(UPPER(TRIM(D_Points!$B$5:$B$204))="TURNOUT_R")*(D_Points!$H$5:$H$204&lt;&gt;"")),D_Points!$H$5:$H$204),"")</f>
        <v/>
      </c>
      <c r="AF1004" s="181" t="str">
        <f>IFERROR(LOOKUP(2,1/((B_Drainage!$A$5:$A$204&lt;&gt;"")*(B_Drainage!$A$5:$A$204&lt;=$B1004)*(B_Drainage!$B$5:$B$204&gt;$B1004)*(B_Drainage!$M$5:$M$204&lt;&gt;"")),IF(UPPER(B_Drainage!$M$5:$M$204)="Y",1,"")),"")</f>
        <v/>
      </c>
      <c r="AG1004" s="181" t="str">
        <f>IFERROR(LOOKUP(2,1/((B_Drainage!$A$5:$A$204&lt;&gt;"")*(B_Drainage!$A$5:$A$204&lt;=$B1004)*(B_Drainage!$B$5:$B$204&gt;$B1004)*(B_Drainage!$N$5:$N$204&lt;&gt;"")),IF(UPPER(B_Drainage!$N$5:$N$204)="Y",1,"")),"")</f>
        <v/>
      </c>
      <c r="AH1004" s="181" t="str">
        <f t="shared" si="120"/>
        <v/>
      </c>
      <c r="AI1004" s="181" t="str">
        <f t="shared" si="121"/>
        <v/>
      </c>
      <c r="AJ1004" s="181" t="str">
        <f t="shared" si="122"/>
        <v/>
      </c>
      <c r="AK1004" s="181" t="str">
        <f t="shared" si="123"/>
        <v/>
      </c>
      <c r="AL1004" s="181" t="str">
        <f t="shared" si="124"/>
        <v/>
      </c>
      <c r="AM1004" s="181" t="str">
        <f t="shared" si="125"/>
        <v/>
      </c>
      <c r="AN1004" s="181" t="str">
        <f t="shared" si="126"/>
        <v/>
      </c>
      <c r="AO1004" s="192" t="str">
        <f t="shared" si="127"/>
        <v/>
      </c>
      <c r="AQ1004" t="str">
        <f>IFERROR(LOOKUP(2,1/((C_Pavement!$A$5:$A$204&lt;&gt;"")*(C_Pavement!$A$5:$A$204&lt;=$B1004)*(C_Pavement!$B$5:$B$204&gt;$B1004)*(C_Pavement!$C$5:$C$204&lt;&gt;"")),ROW(C_Pavement!$C$5:$C$204)-4),"")</f>
        <v/>
      </c>
      <c r="AR1004" t="str">
        <f>IF($AQ1004="","",UPPER(TRIM(INDEX(C_Pavement!$C$5:$C$204,$AQ1004))))</f>
        <v/>
      </c>
      <c r="AS1004" t="str">
        <f>IF($AR1004="","",IFERROR(MATCH($AR1004,E_Rules!$A$5:$A$9,0),""))</f>
        <v/>
      </c>
      <c r="AT1004" t="str">
        <f>IF($AQ1004="","",IF(INDEX(C_Pavement!$D$5:$D$204,$AQ1004)&lt;&gt;"",UPPER(TRIM(INDEX(C_Pavement!$D$5:$D$204,$AQ1004))),IF($AS1004="","",INDEX(E_Rules!$C$5:$C$9,$AS1004))))</f>
        <v/>
      </c>
      <c r="AU1004" t="str">
        <f>IF($AQ1004="","",IF(INDEX(C_Pavement!$E$5:$E$204,$AQ1004)&lt;&gt;"",IF(INDEX(C_Pavement!$E$5:$E$204,$AQ1004)="-","",INDEX(C_Pavement!$E$5:$E$204,$AQ1004)),IF($AS1004="","",INDEX(E_Rules!$D$5:$D$9,$AS1004))))</f>
        <v/>
      </c>
      <c r="AV1004" t="str">
        <f>IF($AQ1004="","",IF(INDEX(C_Pavement!$F$5:$F$204,$AQ1004)&lt;&gt;"",IF(INDEX(C_Pavement!$F$5:$F$204,$AQ1004)="-","",INDEX(C_Pavement!$F$5:$F$204,$AQ1004)),IF($AS1004="","",INDEX(E_Rules!$E$5:$E$9,$AS1004))))</f>
        <v/>
      </c>
      <c r="AW1004" t="str">
        <f>IF($AQ1004="","",IF(INDEX(C_Pavement!$G$5:$G$204,$AQ1004)&lt;&gt;"",IF(INDEX(C_Pavement!$G$5:$G$204,$AQ1004)="-","",INDEX(C_Pavement!$G$5:$G$204,$AQ1004)),IF($AS1004="","",INDEX(E_Rules!$F$5:$F$9,$AS1004))))</f>
        <v/>
      </c>
      <c r="AX1004" t="str">
        <f>IF($AQ1004="","",IF(INDEX(C_Pavement!$H$5:$H$204,$AQ1004)&lt;&gt;"",IF(INDEX(C_Pavement!$H$5:$H$204,$AQ1004)="-","",INDEX(C_Pavement!$H$5:$H$204,$AQ1004)),IF($AS1004="","",INDEX(E_Rules!$G$5:$G$9,$AS1004))))</f>
        <v/>
      </c>
      <c r="AY1004" t="str">
        <f>IF($AQ1004="","",IF(INDEX(C_Pavement!$I$5:$I$204,$AQ1004)&lt;&gt;"",IF(INDEX(C_Pavement!$I$5:$I$204,$AQ1004)="-","",INDEX(C_Pavement!$I$5:$I$204,$AQ1004)),IF($AS1004="","",INDEX(E_Rules!$H$5:$H$9,$AS1004))))</f>
        <v/>
      </c>
    </row>
    <row r="1005" spans="1:51" ht="15.75" customHeight="1" thickBot="1" x14ac:dyDescent="0.35">
      <c r="A1005" s="196">
        <v>1000</v>
      </c>
      <c r="B1005" s="197">
        <v>49950</v>
      </c>
      <c r="C1005" s="197" t="s">
        <v>1311</v>
      </c>
      <c r="D1005" s="198" t="str">
        <f>IFERROR(LOOKUP(2,1/((A_Corridor!$A$5:$A$204&lt;&gt;"")*(A_Corridor!$A$5:$A$204&lt;=$B1005)*(A_Corridor!$B$5:$B$204&gt;$B1005)*(A_Corridor!$C$5:$C$204&lt;&gt;"")),IF(UPPER(A_Corridor!$C$5:$C$204)="Y",1,"")),"")</f>
        <v/>
      </c>
      <c r="E1005" s="198" t="str">
        <f>IFERROR(LOOKUP(2,1/((A_Corridor!$A$5:$A$204&lt;&gt;"")*(A_Corridor!$A$5:$A$204&lt;=$B1005)*(A_Corridor!$B$5:$B$204&gt;$B1005)*(A_Corridor!$D$5:$D$204&lt;&gt;"")),IF(A_Corridor!$D$5:$D$204="-","",UPPER(A_Corridor!$D$5:$D$204))),"")</f>
        <v/>
      </c>
      <c r="F1005" s="198" t="str">
        <f>IFERROR(LOOKUP(2,1/((A_Corridor!$A$5:$A$204&lt;&gt;"")*(A_Corridor!$A$5:$A$204&lt;=$B1005)*(A_Corridor!$B$5:$B$204&gt;$B1005)*(A_Corridor!$E$5:$E$204&lt;&gt;"")),IF(A_Corridor!$E$5:$E$204="-","",1)),"")</f>
        <v/>
      </c>
      <c r="G1005" s="199" t="str">
        <f>IFERROR(LOOKUP(2,1/((A_Corridor!$A$5:$A$204&lt;&gt;"")*(A_Corridor!$A$5:$A$204&lt;=$B1005)*(A_Corridor!$B$5:$B$204&gt;$B1005)*(A_Corridor!$E$5:$E$204&lt;&gt;"")),IF(A_Corridor!$E$5:$E$204="-","",A_Corridor!$E$5:$E$204)),"")</f>
        <v/>
      </c>
      <c r="H1005" s="199" t="str">
        <f>IFERROR(LOOKUP(2,1/((D_Points!$A$5:$A$204&lt;&gt;"")*(D_Points!$A$5:$A$204&gt;=$B1005)*(D_Points!$A$5:$A$204&lt;$B1005+P_Interval)*(UPPER(TRIM(D_Points!$B$5:$B$204))="GULLY")*(D_Points!$H$5:$H$204&lt;&gt;"")),D_Points!$H$5:$H$204),"")</f>
        <v/>
      </c>
      <c r="I1005" s="198" t="str">
        <f>IFERROR(LOOKUP(2,1/((A_Corridor!$A$5:$A$204&lt;&gt;"")*(A_Corridor!$A$5:$A$204&lt;=$B1005)*(A_Corridor!$B$5:$B$204&gt;$B1005)*(A_Corridor!$F$5:$F$204&lt;&gt;"")),IF(A_Corridor!$F$5:$F$204="-","",1)),"")</f>
        <v/>
      </c>
      <c r="J1005" s="199" t="str">
        <f>IFERROR(LOOKUP(2,1/((A_Corridor!$A$5:$A$204&lt;&gt;"")*(A_Corridor!$A$5:$A$204&lt;=$B1005)*(A_Corridor!$B$5:$B$204&gt;$B1005)*(A_Corridor!$F$5:$F$204&lt;&gt;"")),IF(A_Corridor!$F$5:$F$204="-","",A_Corridor!$F$5:$F$204)),"")</f>
        <v/>
      </c>
      <c r="K1005" s="199" t="str">
        <f>IFERROR(LOOKUP(2,1/((A_Corridor!$A$5:$A$204&lt;&gt;"")*(A_Corridor!$A$5:$A$204&lt;=$B1005)*(A_Corridor!$B$5:$B$204&gt;$B1005)*(A_Corridor!$G$5:$G$204&lt;&gt;"")),IF(A_Corridor!$G$5:$G$204="-","",A_Corridor!$G$5:$G$204)),"")</f>
        <v/>
      </c>
      <c r="L1005" s="198" t="str">
        <f>IFERROR(LOOKUP(2,1/((A_Corridor!$A$5:$A$204&lt;&gt;"")*(A_Corridor!$A$5:$A$204&lt;=$B1005)*(A_Corridor!$B$5:$B$204&gt;$B1005)*(A_Corridor!$H$5:$H$204&lt;&gt;"")),IF(A_Corridor!$H$5:$H$204="-","",1)),"")</f>
        <v/>
      </c>
      <c r="M1005" s="199" t="str">
        <f>IFERROR(LOOKUP(2,1/((A_Corridor!$A$5:$A$204&lt;&gt;"")*(A_Corridor!$A$5:$A$204&lt;=$B1005)*(A_Corridor!$B$5:$B$204&gt;$B1005)*(A_Corridor!$H$5:$H$204&lt;&gt;"")),IF(A_Corridor!$H$5:$H$204="-","",A_Corridor!$H$5:$H$204)),"")</f>
        <v/>
      </c>
      <c r="N1005" s="199" t="str">
        <f>IFERROR(LOOKUP(2,1/((A_Corridor!$A$5:$A$204&lt;&gt;"")*(A_Corridor!$A$5:$A$204&lt;=$B1005)*(A_Corridor!$B$5:$B$204&gt;$B1005)*(A_Corridor!$I$5:$I$204&lt;&gt;"")),IF(A_Corridor!$I$5:$I$204="-","",A_Corridor!$I$5:$I$204)),"")</f>
        <v/>
      </c>
      <c r="O1005" s="199" t="str">
        <f>IFERROR(LOOKUP(2,1/((D_Points!$A$5:$A$204&lt;&gt;"")*(D_Points!$A$5:$A$204&gt;=$B1005)*(D_Points!$A$5:$A$204&lt;$B1005+P_Interval)*(UPPER(TRIM(D_Points!$B$5:$B$204))="PITCHING")*(D_Points!$H$5:$H$204&lt;&gt;"")),D_Points!$H$5:$H$204),"")</f>
        <v/>
      </c>
      <c r="P1005" s="198" t="str">
        <f>IFERROR(LOOKUP(2,1/((B_Drainage!$A$5:$A$204&lt;&gt;"")*(B_Drainage!$A$5:$A$204&lt;=$B1005)*(B_Drainage!$B$5:$B$204&gt;$B1005)*(B_Drainage!$C$5:$C$204&lt;&gt;"")),IF(B_Drainage!$C$5:$C$204="-","",UPPER(B_Drainage!$C$5:$C$204))),"")</f>
        <v/>
      </c>
      <c r="Q1005" s="198" t="str">
        <f>IFERROR(LOOKUP(2,1/((B_Drainage!$A$5:$A$204&lt;&gt;"")*(B_Drainage!$A$5:$A$204&lt;=$B1005)*(B_Drainage!$B$5:$B$204&gt;$B1005)*(B_Drainage!$D$5:$D$204&lt;&gt;"")),IF(B_Drainage!$D$5:$D$204="-","",UPPER(B_Drainage!$D$5:$D$204))),"")</f>
        <v/>
      </c>
      <c r="R1005" s="199" t="str">
        <f>IFERROR(LOOKUP(2,1/((D_Points!$A$5:$A$204&lt;&gt;"")*(D_Points!$A$5:$A$204&gt;=$B1005)*(D_Points!$A$5:$A$204&lt;$B1005+P_Interval)*(RIGHT(UPPER(TRIM(D_Points!$B$5:$B$204)),8)="_CULVERT")),IF(LEFT(UPPER(TRIM(D_Points!$B$5:$B$204)),2)="EX",1,IF(LEFT(UPPER(TRIM(D_Points!$B$5:$B$204)),2)="PR",2,3))),"")</f>
        <v/>
      </c>
      <c r="S1005" s="199" t="str">
        <f>IFERROR(LOOKUP(2,1/((D_Points!$A$5:$A$204&lt;&gt;"")*(D_Points!$A$5:$A$204&gt;=$B1005)*(D_Points!$A$5:$A$204&lt;$B1005+P_Interval)*(RIGHT(UPPER(TRIM(D_Points!$B$5:$B$204)),7)="_BRIDGE")),IF(LEFT(UPPER(TRIM(D_Points!$B$5:$B$204)),2)="EX",1,IF(LEFT(UPPER(TRIM(D_Points!$B$5:$B$204)),2)="PR",2,2))),"")</f>
        <v/>
      </c>
      <c r="T1005" s="198" t="str">
        <f>IFERROR(LOOKUP(2,1/((B_Drainage!$A$5:$A$204&lt;&gt;"")*(B_Drainage!$A$5:$A$204&lt;=$B1005)*(B_Drainage!$B$5:$B$204&gt;$B1005)*(B_Drainage!$E$5:$E$204&lt;&gt;"")),IF(B_Drainage!$E$5:$E$204="-","",1)),"")</f>
        <v/>
      </c>
      <c r="U1005" s="198" t="str">
        <f>IFERROR(LOOKUP(2,1/((B_Drainage!$A$5:$A$204&lt;&gt;"")*(B_Drainage!$A$5:$A$204&lt;=$B1005)*(B_Drainage!$B$5:$B$204&gt;$B1005)*(B_Drainage!$E$5:$E$204&lt;&gt;"")),IF(B_Drainage!$E$5:$E$204="-","",B_Drainage!$E$5:$E$204)),"")</f>
        <v/>
      </c>
      <c r="V1005" s="198" t="str">
        <f>IFERROR(LOOKUP(2,1/((B_Drainage!$A$5:$A$204&lt;&gt;"")*(B_Drainage!$A$5:$A$204&lt;=$B1005)*(B_Drainage!$B$5:$B$204&gt;$B1005)*(B_Drainage!$F$5:$F$204&lt;&gt;"")),IF(B_Drainage!$F$5:$F$204="-","",1)),"")</f>
        <v/>
      </c>
      <c r="W1005" s="198" t="str">
        <f>IFERROR(LOOKUP(2,1/((B_Drainage!$A$5:$A$204&lt;&gt;"")*(B_Drainage!$A$5:$A$204&lt;=$B1005)*(B_Drainage!$B$5:$B$204&gt;$B1005)*(B_Drainage!$F$5:$F$204&lt;&gt;"")),IF(B_Drainage!$F$5:$F$204="-","",B_Drainage!$F$5:$F$204)),"")</f>
        <v/>
      </c>
      <c r="X1005" s="198" t="str">
        <f>IFERROR(LOOKUP(2,1/((B_Drainage!$A$5:$A$204&lt;&gt;"")*(B_Drainage!$A$5:$A$204&lt;=$B1005)*(B_Drainage!$B$5:$B$204&gt;$B1005)*(B_Drainage!$G$5:$G$204&lt;&gt;"")),IF(UPPER(B_Drainage!$G$5:$G$204)="Y",1,"")),"")</f>
        <v/>
      </c>
      <c r="Y1005" s="198" t="str">
        <f>IFERROR(LOOKUP(2,1/((B_Drainage!$A$5:$A$204&lt;&gt;"")*(B_Drainage!$A$5:$A$204&lt;=$B1005)*(B_Drainage!$B$5:$B$204&gt;$B1005)*(B_Drainage!$H$5:$H$204&lt;&gt;"")),IF(UPPER(B_Drainage!$H$5:$H$204)="Y",1,"")),"")</f>
        <v/>
      </c>
      <c r="Z1005" s="198" t="str">
        <f>IFERROR(LOOKUP(2,1/((B_Drainage!$A$5:$A$204&lt;&gt;"")*(B_Drainage!$A$5:$A$204&lt;=$B1005)*(B_Drainage!$B$5:$B$204&gt;$B1005)*(B_Drainage!$I$5:$I$204&lt;&gt;"")),IF(UPPER(B_Drainage!$I$5:$I$204)="Y",1,"")),"")</f>
        <v/>
      </c>
      <c r="AA1005" s="198" t="str">
        <f>IFERROR(LOOKUP(2,1/((B_Drainage!$A$5:$A$204&lt;&gt;"")*(B_Drainage!$A$5:$A$204&lt;=$B1005)*(B_Drainage!$B$5:$B$204&gt;$B1005)*(B_Drainage!$J$5:$J$204&lt;&gt;"")),IF(UPPER(B_Drainage!$J$5:$J$204)="Y",1,"")),"")</f>
        <v/>
      </c>
      <c r="AB1005" s="199" t="str">
        <f>IFERROR(LOOKUP(2,1/((B_Drainage!$A$5:$A$204&lt;&gt;"")*(B_Drainage!$A$5:$A$204&lt;=$B1005)*(B_Drainage!$B$5:$B$204&gt;$B1005)*(B_Drainage!$K$5:$K$204&lt;&gt;"")),IF(B_Drainage!$K$5:$K$204="-","",B_Drainage!$K$5:$K$204)),"")</f>
        <v/>
      </c>
      <c r="AC1005" s="199" t="str">
        <f>IFERROR(LOOKUP(2,1/((B_Drainage!$A$5:$A$204&lt;&gt;"")*(B_Drainage!$A$5:$A$204&lt;=$B1005)*(B_Drainage!$B$5:$B$204&gt;$B1005)*(B_Drainage!$L$5:$L$204&lt;&gt;"")),IF(B_Drainage!$L$5:$L$204="-","",B_Drainage!$L$5:$L$204)),"")</f>
        <v/>
      </c>
      <c r="AD1005" s="199" t="str">
        <f>IFERROR(LOOKUP(2,1/((D_Points!$A$5:$A$204&lt;&gt;"")*(D_Points!$A$5:$A$204&gt;=$B1005)*(D_Points!$A$5:$A$204&lt;$B1005+P_Interval)*(UPPER(TRIM(D_Points!$B$5:$B$204))="TURNOUT_L")*(D_Points!$H$5:$H$204&lt;&gt;"")),D_Points!$H$5:$H$204),"")</f>
        <v/>
      </c>
      <c r="AE1005" s="199" t="str">
        <f>IFERROR(LOOKUP(2,1/((D_Points!$A$5:$A$204&lt;&gt;"")*(D_Points!$A$5:$A$204&gt;=$B1005)*(D_Points!$A$5:$A$204&lt;$B1005+P_Interval)*(UPPER(TRIM(D_Points!$B$5:$B$204))="TURNOUT_R")*(D_Points!$H$5:$H$204&lt;&gt;"")),D_Points!$H$5:$H$204),"")</f>
        <v/>
      </c>
      <c r="AF1005" s="198" t="str">
        <f>IFERROR(LOOKUP(2,1/((B_Drainage!$A$5:$A$204&lt;&gt;"")*(B_Drainage!$A$5:$A$204&lt;=$B1005)*(B_Drainage!$B$5:$B$204&gt;$B1005)*(B_Drainage!$M$5:$M$204&lt;&gt;"")),IF(UPPER(B_Drainage!$M$5:$M$204)="Y",1,"")),"")</f>
        <v/>
      </c>
      <c r="AG1005" s="198" t="str">
        <f>IFERROR(LOOKUP(2,1/((B_Drainage!$A$5:$A$204&lt;&gt;"")*(B_Drainage!$A$5:$A$204&lt;=$B1005)*(B_Drainage!$B$5:$B$204&gt;$B1005)*(B_Drainage!$N$5:$N$204&lt;&gt;"")),IF(UPPER(B_Drainage!$N$5:$N$204)="Y",1,"")),"")</f>
        <v/>
      </c>
      <c r="AH1005" s="198" t="str">
        <f t="shared" si="120"/>
        <v/>
      </c>
      <c r="AI1005" s="198" t="str">
        <f t="shared" si="121"/>
        <v/>
      </c>
      <c r="AJ1005" s="198" t="str">
        <f t="shared" si="122"/>
        <v/>
      </c>
      <c r="AK1005" s="198" t="str">
        <f t="shared" si="123"/>
        <v/>
      </c>
      <c r="AL1005" s="198" t="str">
        <f t="shared" si="124"/>
        <v/>
      </c>
      <c r="AM1005" s="198" t="str">
        <f t="shared" si="125"/>
        <v/>
      </c>
      <c r="AN1005" s="198" t="str">
        <f t="shared" si="126"/>
        <v/>
      </c>
      <c r="AO1005" s="200" t="str">
        <f t="shared" si="127"/>
        <v/>
      </c>
      <c r="AQ1005" t="str">
        <f>IFERROR(LOOKUP(2,1/((C_Pavement!$A$5:$A$204&lt;&gt;"")*(C_Pavement!$A$5:$A$204&lt;=$B1005)*(C_Pavement!$B$5:$B$204&gt;$B1005)*(C_Pavement!$C$5:$C$204&lt;&gt;"")),ROW(C_Pavement!$C$5:$C$204)-4),"")</f>
        <v/>
      </c>
      <c r="AR1005" t="str">
        <f>IF($AQ1005="","",UPPER(TRIM(INDEX(C_Pavement!$C$5:$C$204,$AQ1005))))</f>
        <v/>
      </c>
      <c r="AS1005" t="str">
        <f>IF($AR1005="","",IFERROR(MATCH($AR1005,E_Rules!$A$5:$A$9,0),""))</f>
        <v/>
      </c>
      <c r="AT1005" t="str">
        <f>IF($AQ1005="","",IF(INDEX(C_Pavement!$D$5:$D$204,$AQ1005)&lt;&gt;"",UPPER(TRIM(INDEX(C_Pavement!$D$5:$D$204,$AQ1005))),IF($AS1005="","",INDEX(E_Rules!$C$5:$C$9,$AS1005))))</f>
        <v/>
      </c>
      <c r="AU1005" t="str">
        <f>IF($AQ1005="","",IF(INDEX(C_Pavement!$E$5:$E$204,$AQ1005)&lt;&gt;"",IF(INDEX(C_Pavement!$E$5:$E$204,$AQ1005)="-","",INDEX(C_Pavement!$E$5:$E$204,$AQ1005)),IF($AS1005="","",INDEX(E_Rules!$D$5:$D$9,$AS1005))))</f>
        <v/>
      </c>
      <c r="AV1005" t="str">
        <f>IF($AQ1005="","",IF(INDEX(C_Pavement!$F$5:$F$204,$AQ1005)&lt;&gt;"",IF(INDEX(C_Pavement!$F$5:$F$204,$AQ1005)="-","",INDEX(C_Pavement!$F$5:$F$204,$AQ1005)),IF($AS1005="","",INDEX(E_Rules!$E$5:$E$9,$AS1005))))</f>
        <v/>
      </c>
      <c r="AW1005" t="str">
        <f>IF($AQ1005="","",IF(INDEX(C_Pavement!$G$5:$G$204,$AQ1005)&lt;&gt;"",IF(INDEX(C_Pavement!$G$5:$G$204,$AQ1005)="-","",INDEX(C_Pavement!$G$5:$G$204,$AQ1005)),IF($AS1005="","",INDEX(E_Rules!$F$5:$F$9,$AS1005))))</f>
        <v/>
      </c>
      <c r="AX1005" t="str">
        <f>IF($AQ1005="","",IF(INDEX(C_Pavement!$H$5:$H$204,$AQ1005)&lt;&gt;"",IF(INDEX(C_Pavement!$H$5:$H$204,$AQ1005)="-","",INDEX(C_Pavement!$H$5:$H$204,$AQ1005)),IF($AS1005="","",INDEX(E_Rules!$G$5:$G$9,$AS1005))))</f>
        <v/>
      </c>
      <c r="AY1005" t="str">
        <f>IF($AQ1005="","",IF(INDEX(C_Pavement!$I$5:$I$204,$AQ1005)&lt;&gt;"",IF(INDEX(C_Pavement!$I$5:$I$204,$AQ1005)="-","",INDEX(C_Pavement!$I$5:$I$204,$AQ1005)),IF($AS1005="","",INDEX(E_Rules!$H$5:$H$9,$AS1005))))</f>
        <v/>
      </c>
    </row>
  </sheetData>
  <dataValidations count="6">
    <dataValidation type="list" allowBlank="1" sqref="D6:D1005 F6:F1005 I6:I1005 L6:L1005 T6:T1005 V6:V1005 X6:AA1005 AF6:AJ1005 AM6:AO1005" xr:uid="{00000000-0002-0000-0800-000000000000}">
      <formula1>"1"</formula1>
    </dataValidation>
    <dataValidation type="list" allowBlank="1" sqref="E6:E1005" xr:uid="{00000000-0002-0000-0800-000001000000}">
      <formula1>"EB,GB,SB,LB,TB"</formula1>
    </dataValidation>
    <dataValidation type="list" allowBlank="1" sqref="U6:U1005 W6:W1005" xr:uid="{00000000-0002-0000-0800-000002000000}">
      <formula1>"45,60,75,90"</formula1>
    </dataValidation>
    <dataValidation type="list" allowBlank="1" sqref="AK6:AK1005" xr:uid="{00000000-0002-0000-0800-000003000000}">
      <formula1>"10,15"</formula1>
    </dataValidation>
    <dataValidation type="list" allowBlank="1" sqref="P6:Q1005" xr:uid="{00000000-0002-0000-0800-000004000000}">
      <formula1>"CL,RE,EC"</formula1>
    </dataValidation>
    <dataValidation type="list" allowBlank="1" sqref="AL6:AL1005" xr:uid="{00000000-0002-0000-0800-000005000000}">
      <formula1>"10,15,20,25"</formula1>
    </dataValidation>
  </dataValidations>
  <printOptions horizontalCentered="1"/>
  <pageMargins left="0.75" right="0.75" top="1" bottom="1"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E75B6"/>
    <pageSetUpPr fitToPage="1"/>
  </sheetPr>
  <dimension ref="A1:M1000"/>
  <sheetViews>
    <sheetView showGridLines="0" workbookViewId="0">
      <pane ySplit="4" topLeftCell="A5" activePane="bottomLeft" state="frozen"/>
      <selection pane="bottomLeft" activeCell="H26" sqref="H26"/>
    </sheetView>
  </sheetViews>
  <sheetFormatPr defaultColWidth="14.44140625" defaultRowHeight="15" customHeight="1" x14ac:dyDescent="0.3"/>
  <cols>
    <col min="1" max="1" width="6" customWidth="1"/>
    <col min="2" max="2" width="11" customWidth="1"/>
    <col min="3" max="3" width="9" customWidth="1"/>
    <col min="4" max="4" width="7" customWidth="1"/>
    <col min="5" max="5" width="13" customWidth="1"/>
    <col min="6" max="6" width="11" customWidth="1"/>
    <col min="7" max="7" width="13" customWidth="1"/>
    <col min="8" max="10" width="17" customWidth="1"/>
    <col min="11" max="11" width="22" customWidth="1"/>
    <col min="12" max="12" width="8.6640625" customWidth="1"/>
    <col min="13" max="13" width="12" customWidth="1"/>
    <col min="14" max="26" width="8.6640625" customWidth="1"/>
  </cols>
  <sheetData>
    <row r="1" spans="1:13" ht="19.8" customHeight="1" x14ac:dyDescent="0.4">
      <c r="A1" s="1" t="s">
        <v>1312</v>
      </c>
    </row>
    <row r="2" spans="1:13" ht="14.4" customHeight="1" x14ac:dyDescent="0.3">
      <c r="A2" s="2" t="s">
        <v>1313</v>
      </c>
    </row>
    <row r="4" spans="1:13" ht="14.4" customHeight="1" x14ac:dyDescent="0.3">
      <c r="A4" s="3" t="s">
        <v>1314</v>
      </c>
      <c r="B4" s="3" t="s">
        <v>215</v>
      </c>
      <c r="C4" s="3" t="s">
        <v>217</v>
      </c>
      <c r="D4" s="3" t="s">
        <v>218</v>
      </c>
      <c r="E4" s="3" t="s">
        <v>219</v>
      </c>
      <c r="F4" s="3" t="s">
        <v>220</v>
      </c>
      <c r="G4" s="3" t="s">
        <v>221</v>
      </c>
      <c r="H4" s="3" t="s">
        <v>1315</v>
      </c>
      <c r="I4" s="3" t="s">
        <v>1316</v>
      </c>
      <c r="J4" s="3" t="s">
        <v>1317</v>
      </c>
      <c r="K4" s="3" t="s">
        <v>1318</v>
      </c>
      <c r="M4" s="226" t="s">
        <v>1319</v>
      </c>
    </row>
    <row r="5" spans="1:13" ht="14.4" customHeight="1" x14ac:dyDescent="0.3">
      <c r="A5" s="5" t="str">
        <f>IF($C5="","",1)</f>
        <v/>
      </c>
      <c r="B5" s="8" t="str">
        <f>IF($M5="","",TEXT(INT(INDEX(D_Points!$A$5:$A$204,$M5)/1000),"0")&amp;"+"&amp;TEXT(MOD(INDEX(D_Points!$A$5:$A$204,$M5),1000),"000"))</f>
        <v/>
      </c>
      <c r="C5" s="8" t="str">
        <f>IF($M5="","",UPPER(TRIM(INDEX(D_Points!$C$5:$C$204,$M5))))</f>
        <v/>
      </c>
      <c r="D5" s="8" t="str">
        <f>IF($M5="","",INDEX(D_Points!$D$5:$D$204,$M5))</f>
        <v/>
      </c>
      <c r="E5" s="8" t="str">
        <f>IF($M5="","",UPPER(TRIM(INDEX(D_Points!$E$5:$E$204,$M5))))</f>
        <v/>
      </c>
      <c r="F5" s="8" t="str">
        <f>IF($M5="","",INDEX(D_Points!$F$5:$F$204,$M5))</f>
        <v/>
      </c>
      <c r="G5" s="8" t="str">
        <f>IF($M5="","",""&amp;IF(INDEX(D_Points!$G$5:$G$204,$M5)="","Right Angle",TRIM(INDEX(D_Points!$G$5:$G$204,$M5))))</f>
        <v/>
      </c>
      <c r="H5" s="5" t="str">
        <f t="shared" ref="H5:H36" si="0">IF($C5="","",IF($G5="Skew","Catchpit inlet","Normal endwalls"))</f>
        <v/>
      </c>
      <c r="I5" s="5" t="str">
        <f t="shared" ref="I5:I36" si="1">IF($C5="","","Normal outlet")</f>
        <v/>
      </c>
      <c r="J5" s="5" t="str">
        <f t="shared" ref="J5:J36" si="2">IF($C5="","",$C5&amp;"|"&amp;$D5&amp;"/"&amp;UPPER(TRIM($E5)))</f>
        <v/>
      </c>
      <c r="K5" s="8" t="str">
        <f>IF($M5="","",INDEX(D_Points!$I$5:$I$204,$M5))</f>
        <v/>
      </c>
      <c r="M5" s="226" t="str">
        <f>IFERROR(MATCH(1,D_Points!$K$5:$K$204,0),"")</f>
        <v/>
      </c>
    </row>
    <row r="6" spans="1:13" ht="14.4" customHeight="1" x14ac:dyDescent="0.3">
      <c r="A6" s="5" t="str">
        <f>IF($C6="","",2)</f>
        <v/>
      </c>
      <c r="B6" s="8" t="str">
        <f>IF($M6="","",TEXT(INT(INDEX(D_Points!$A$5:$A$204,$M6)/1000),"0")&amp;"+"&amp;TEXT(MOD(INDEX(D_Points!$A$5:$A$204,$M6),1000),"000"))</f>
        <v/>
      </c>
      <c r="C6" s="8" t="str">
        <f>IF($M6="","",UPPER(TRIM(INDEX(D_Points!$C$5:$C$204,$M6))))</f>
        <v/>
      </c>
      <c r="D6" s="8" t="str">
        <f>IF($M6="","",INDEX(D_Points!$D$5:$D$204,$M6))</f>
        <v/>
      </c>
      <c r="E6" s="8" t="str">
        <f>IF($M6="","",UPPER(TRIM(INDEX(D_Points!$E$5:$E$204,$M6))))</f>
        <v/>
      </c>
      <c r="F6" s="8" t="str">
        <f>IF($M6="","",INDEX(D_Points!$F$5:$F$204,$M6))</f>
        <v/>
      </c>
      <c r="G6" s="8" t="str">
        <f>IF($M6="","",""&amp;IF(INDEX(D_Points!$G$5:$G$204,$M6)="","Right Angle",TRIM(INDEX(D_Points!$G$5:$G$204,$M6))))</f>
        <v/>
      </c>
      <c r="H6" s="5" t="str">
        <f t="shared" si="0"/>
        <v/>
      </c>
      <c r="I6" s="5" t="str">
        <f t="shared" si="1"/>
        <v/>
      </c>
      <c r="J6" s="5" t="str">
        <f t="shared" si="2"/>
        <v/>
      </c>
      <c r="K6" s="8" t="str">
        <f>IF($M6="","",INDEX(D_Points!$I$5:$I$204,$M6))</f>
        <v/>
      </c>
      <c r="M6" s="226" t="str">
        <f>IFERROR(MATCH(2,D_Points!$K$5:$K$204,0),"")</f>
        <v/>
      </c>
    </row>
    <row r="7" spans="1:13" ht="14.4" customHeight="1" x14ac:dyDescent="0.3">
      <c r="A7" s="5" t="str">
        <f>IF($C7="","",3)</f>
        <v/>
      </c>
      <c r="B7" s="8" t="str">
        <f>IF($M7="","",TEXT(INT(INDEX(D_Points!$A$5:$A$204,$M7)/1000),"0")&amp;"+"&amp;TEXT(MOD(INDEX(D_Points!$A$5:$A$204,$M7),1000),"000"))</f>
        <v/>
      </c>
      <c r="C7" s="8" t="str">
        <f>IF($M7="","",UPPER(TRIM(INDEX(D_Points!$C$5:$C$204,$M7))))</f>
        <v/>
      </c>
      <c r="D7" s="8" t="str">
        <f>IF($M7="","",INDEX(D_Points!$D$5:$D$204,$M7))</f>
        <v/>
      </c>
      <c r="E7" s="8" t="str">
        <f>IF($M7="","",UPPER(TRIM(INDEX(D_Points!$E$5:$E$204,$M7))))</f>
        <v/>
      </c>
      <c r="F7" s="8" t="str">
        <f>IF($M7="","",INDEX(D_Points!$F$5:$F$204,$M7))</f>
        <v/>
      </c>
      <c r="G7" s="8" t="str">
        <f>IF($M7="","",""&amp;IF(INDEX(D_Points!$G$5:$G$204,$M7)="","Right Angle",TRIM(INDEX(D_Points!$G$5:$G$204,$M7))))</f>
        <v/>
      </c>
      <c r="H7" s="5" t="str">
        <f t="shared" si="0"/>
        <v/>
      </c>
      <c r="I7" s="5" t="str">
        <f t="shared" si="1"/>
        <v/>
      </c>
      <c r="J7" s="5" t="str">
        <f t="shared" si="2"/>
        <v/>
      </c>
      <c r="K7" s="8" t="str">
        <f>IF($M7="","",INDEX(D_Points!$I$5:$I$204,$M7))</f>
        <v/>
      </c>
      <c r="M7" s="226" t="str">
        <f>IFERROR(MATCH(3,D_Points!$K$5:$K$204,0),"")</f>
        <v/>
      </c>
    </row>
    <row r="8" spans="1:13" ht="14.4" customHeight="1" x14ac:dyDescent="0.3">
      <c r="A8" s="5" t="str">
        <f>IF($C8="","",4)</f>
        <v/>
      </c>
      <c r="B8" s="8" t="str">
        <f>IF($M8="","",TEXT(INT(INDEX(D_Points!$A$5:$A$204,$M8)/1000),"0")&amp;"+"&amp;TEXT(MOD(INDEX(D_Points!$A$5:$A$204,$M8),1000),"000"))</f>
        <v/>
      </c>
      <c r="C8" s="8" t="str">
        <f>IF($M8="","",UPPER(TRIM(INDEX(D_Points!$C$5:$C$204,$M8))))</f>
        <v/>
      </c>
      <c r="D8" s="8" t="str">
        <f>IF($M8="","",INDEX(D_Points!$D$5:$D$204,$M8))</f>
        <v/>
      </c>
      <c r="E8" s="8" t="str">
        <f>IF($M8="","",UPPER(TRIM(INDEX(D_Points!$E$5:$E$204,$M8))))</f>
        <v/>
      </c>
      <c r="F8" s="8" t="str">
        <f>IF($M8="","",INDEX(D_Points!$F$5:$F$204,$M8))</f>
        <v/>
      </c>
      <c r="G8" s="8" t="str">
        <f>IF($M8="","",""&amp;IF(INDEX(D_Points!$G$5:$G$204,$M8)="","Right Angle",TRIM(INDEX(D_Points!$G$5:$G$204,$M8))))</f>
        <v/>
      </c>
      <c r="H8" s="5" t="str">
        <f t="shared" si="0"/>
        <v/>
      </c>
      <c r="I8" s="5" t="str">
        <f t="shared" si="1"/>
        <v/>
      </c>
      <c r="J8" s="5" t="str">
        <f t="shared" si="2"/>
        <v/>
      </c>
      <c r="K8" s="8" t="str">
        <f>IF($M8="","",INDEX(D_Points!$I$5:$I$204,$M8))</f>
        <v/>
      </c>
      <c r="M8" s="226" t="str">
        <f>IFERROR(MATCH(4,D_Points!$K$5:$K$204,0),"")</f>
        <v/>
      </c>
    </row>
    <row r="9" spans="1:13" ht="14.4" customHeight="1" x14ac:dyDescent="0.3">
      <c r="A9" s="5" t="str">
        <f>IF($C9="","",5)</f>
        <v/>
      </c>
      <c r="B9" s="8" t="str">
        <f>IF($M9="","",TEXT(INT(INDEX(D_Points!$A$5:$A$204,$M9)/1000),"0")&amp;"+"&amp;TEXT(MOD(INDEX(D_Points!$A$5:$A$204,$M9),1000),"000"))</f>
        <v/>
      </c>
      <c r="C9" s="8" t="str">
        <f>IF($M9="","",UPPER(TRIM(INDEX(D_Points!$C$5:$C$204,$M9))))</f>
        <v/>
      </c>
      <c r="D9" s="8" t="str">
        <f>IF($M9="","",INDEX(D_Points!$D$5:$D$204,$M9))</f>
        <v/>
      </c>
      <c r="E9" s="8" t="str">
        <f>IF($M9="","",UPPER(TRIM(INDEX(D_Points!$E$5:$E$204,$M9))))</f>
        <v/>
      </c>
      <c r="F9" s="8" t="str">
        <f>IF($M9="","",INDEX(D_Points!$F$5:$F$204,$M9))</f>
        <v/>
      </c>
      <c r="G9" s="8" t="str">
        <f>IF($M9="","",""&amp;IF(INDEX(D_Points!$G$5:$G$204,$M9)="","Right Angle",TRIM(INDEX(D_Points!$G$5:$G$204,$M9))))</f>
        <v/>
      </c>
      <c r="H9" s="5" t="str">
        <f t="shared" si="0"/>
        <v/>
      </c>
      <c r="I9" s="5" t="str">
        <f t="shared" si="1"/>
        <v/>
      </c>
      <c r="J9" s="5" t="str">
        <f t="shared" si="2"/>
        <v/>
      </c>
      <c r="K9" s="8" t="str">
        <f>IF($M9="","",INDEX(D_Points!$I$5:$I$204,$M9))</f>
        <v/>
      </c>
      <c r="M9" s="226" t="str">
        <f>IFERROR(MATCH(5,D_Points!$K$5:$K$204,0),"")</f>
        <v/>
      </c>
    </row>
    <row r="10" spans="1:13" ht="14.4" customHeight="1" x14ac:dyDescent="0.3">
      <c r="A10" s="5" t="str">
        <f>IF($C10="","",6)</f>
        <v/>
      </c>
      <c r="B10" s="8" t="str">
        <f>IF($M10="","",TEXT(INT(INDEX(D_Points!$A$5:$A$204,$M10)/1000),"0")&amp;"+"&amp;TEXT(MOD(INDEX(D_Points!$A$5:$A$204,$M10),1000),"000"))</f>
        <v/>
      </c>
      <c r="C10" s="8" t="str">
        <f>IF($M10="","",UPPER(TRIM(INDEX(D_Points!$C$5:$C$204,$M10))))</f>
        <v/>
      </c>
      <c r="D10" s="8" t="str">
        <f>IF($M10="","",INDEX(D_Points!$D$5:$D$204,$M10))</f>
        <v/>
      </c>
      <c r="E10" s="8" t="str">
        <f>IF($M10="","",UPPER(TRIM(INDEX(D_Points!$E$5:$E$204,$M10))))</f>
        <v/>
      </c>
      <c r="F10" s="8" t="str">
        <f>IF($M10="","",INDEX(D_Points!$F$5:$F$204,$M10))</f>
        <v/>
      </c>
      <c r="G10" s="8" t="str">
        <f>IF($M10="","",""&amp;IF(INDEX(D_Points!$G$5:$G$204,$M10)="","Right Angle",TRIM(INDEX(D_Points!$G$5:$G$204,$M10))))</f>
        <v/>
      </c>
      <c r="H10" s="5" t="str">
        <f t="shared" si="0"/>
        <v/>
      </c>
      <c r="I10" s="5" t="str">
        <f t="shared" si="1"/>
        <v/>
      </c>
      <c r="J10" s="5" t="str">
        <f t="shared" si="2"/>
        <v/>
      </c>
      <c r="K10" s="8" t="str">
        <f>IF($M10="","",INDEX(D_Points!$I$5:$I$204,$M10))</f>
        <v/>
      </c>
      <c r="M10" s="226" t="str">
        <f>IFERROR(MATCH(6,D_Points!$K$5:$K$204,0),"")</f>
        <v/>
      </c>
    </row>
    <row r="11" spans="1:13" ht="14.4" customHeight="1" x14ac:dyDescent="0.3">
      <c r="A11" s="5" t="str">
        <f>IF($C11="","",7)</f>
        <v/>
      </c>
      <c r="B11" s="8" t="str">
        <f>IF($M11="","",TEXT(INT(INDEX(D_Points!$A$5:$A$204,$M11)/1000),"0")&amp;"+"&amp;TEXT(MOD(INDEX(D_Points!$A$5:$A$204,$M11),1000),"000"))</f>
        <v/>
      </c>
      <c r="C11" s="8" t="str">
        <f>IF($M11="","",UPPER(TRIM(INDEX(D_Points!$C$5:$C$204,$M11))))</f>
        <v/>
      </c>
      <c r="D11" s="8" t="str">
        <f>IF($M11="","",INDEX(D_Points!$D$5:$D$204,$M11))</f>
        <v/>
      </c>
      <c r="E11" s="8" t="str">
        <f>IF($M11="","",UPPER(TRIM(INDEX(D_Points!$E$5:$E$204,$M11))))</f>
        <v/>
      </c>
      <c r="F11" s="8" t="str">
        <f>IF($M11="","",INDEX(D_Points!$F$5:$F$204,$M11))</f>
        <v/>
      </c>
      <c r="G11" s="8" t="str">
        <f>IF($M11="","",""&amp;IF(INDEX(D_Points!$G$5:$G$204,$M11)="","Right Angle",TRIM(INDEX(D_Points!$G$5:$G$204,$M11))))</f>
        <v/>
      </c>
      <c r="H11" s="5" t="str">
        <f t="shared" si="0"/>
        <v/>
      </c>
      <c r="I11" s="5" t="str">
        <f t="shared" si="1"/>
        <v/>
      </c>
      <c r="J11" s="5" t="str">
        <f t="shared" si="2"/>
        <v/>
      </c>
      <c r="K11" s="8" t="str">
        <f>IF($M11="","",INDEX(D_Points!$I$5:$I$204,$M11))</f>
        <v/>
      </c>
      <c r="M11" s="226" t="str">
        <f>IFERROR(MATCH(7,D_Points!$K$5:$K$204,0),"")</f>
        <v/>
      </c>
    </row>
    <row r="12" spans="1:13" ht="14.4" customHeight="1" x14ac:dyDescent="0.3">
      <c r="A12" s="5" t="str">
        <f>IF($C12="","",8)</f>
        <v/>
      </c>
      <c r="B12" s="8" t="str">
        <f>IF($M12="","",TEXT(INT(INDEX(D_Points!$A$5:$A$204,$M12)/1000),"0")&amp;"+"&amp;TEXT(MOD(INDEX(D_Points!$A$5:$A$204,$M12),1000),"000"))</f>
        <v/>
      </c>
      <c r="C12" s="8" t="str">
        <f>IF($M12="","",UPPER(TRIM(INDEX(D_Points!$C$5:$C$204,$M12))))</f>
        <v/>
      </c>
      <c r="D12" s="8" t="str">
        <f>IF($M12="","",INDEX(D_Points!$D$5:$D$204,$M12))</f>
        <v/>
      </c>
      <c r="E12" s="8" t="str">
        <f>IF($M12="","",UPPER(TRIM(INDEX(D_Points!$E$5:$E$204,$M12))))</f>
        <v/>
      </c>
      <c r="F12" s="8" t="str">
        <f>IF($M12="","",INDEX(D_Points!$F$5:$F$204,$M12))</f>
        <v/>
      </c>
      <c r="G12" s="8" t="str">
        <f>IF($M12="","",""&amp;IF(INDEX(D_Points!$G$5:$G$204,$M12)="","Right Angle",TRIM(INDEX(D_Points!$G$5:$G$204,$M12))))</f>
        <v/>
      </c>
      <c r="H12" s="5" t="str">
        <f t="shared" si="0"/>
        <v/>
      </c>
      <c r="I12" s="5" t="str">
        <f t="shared" si="1"/>
        <v/>
      </c>
      <c r="J12" s="5" t="str">
        <f t="shared" si="2"/>
        <v/>
      </c>
      <c r="K12" s="8" t="str">
        <f>IF($M12="","",INDEX(D_Points!$I$5:$I$204,$M12))</f>
        <v/>
      </c>
      <c r="M12" s="226" t="str">
        <f>IFERROR(MATCH(8,D_Points!$K$5:$K$204,0),"")</f>
        <v/>
      </c>
    </row>
    <row r="13" spans="1:13" ht="14.4" customHeight="1" x14ac:dyDescent="0.3">
      <c r="A13" s="5" t="str">
        <f>IF($C13="","",9)</f>
        <v/>
      </c>
      <c r="B13" s="8" t="str">
        <f>IF($M13="","",TEXT(INT(INDEX(D_Points!$A$5:$A$204,$M13)/1000),"0")&amp;"+"&amp;TEXT(MOD(INDEX(D_Points!$A$5:$A$204,$M13),1000),"000"))</f>
        <v/>
      </c>
      <c r="C13" s="8" t="str">
        <f>IF($M13="","",UPPER(TRIM(INDEX(D_Points!$C$5:$C$204,$M13))))</f>
        <v/>
      </c>
      <c r="D13" s="8" t="str">
        <f>IF($M13="","",INDEX(D_Points!$D$5:$D$204,$M13))</f>
        <v/>
      </c>
      <c r="E13" s="8" t="str">
        <f>IF($M13="","",UPPER(TRIM(INDEX(D_Points!$E$5:$E$204,$M13))))</f>
        <v/>
      </c>
      <c r="F13" s="8" t="str">
        <f>IF($M13="","",INDEX(D_Points!$F$5:$F$204,$M13))</f>
        <v/>
      </c>
      <c r="G13" s="8" t="str">
        <f>IF($M13="","",""&amp;IF(INDEX(D_Points!$G$5:$G$204,$M13)="","Right Angle",TRIM(INDEX(D_Points!$G$5:$G$204,$M13))))</f>
        <v/>
      </c>
      <c r="H13" s="5" t="str">
        <f t="shared" si="0"/>
        <v/>
      </c>
      <c r="I13" s="5" t="str">
        <f t="shared" si="1"/>
        <v/>
      </c>
      <c r="J13" s="5" t="str">
        <f t="shared" si="2"/>
        <v/>
      </c>
      <c r="K13" s="8" t="str">
        <f>IF($M13="","",INDEX(D_Points!$I$5:$I$204,$M13))</f>
        <v/>
      </c>
      <c r="M13" s="226" t="str">
        <f>IFERROR(MATCH(9,D_Points!$K$5:$K$204,0),"")</f>
        <v/>
      </c>
    </row>
    <row r="14" spans="1:13" ht="14.4" customHeight="1" x14ac:dyDescent="0.3">
      <c r="A14" s="5" t="str">
        <f>IF($C14="","",10)</f>
        <v/>
      </c>
      <c r="B14" s="8" t="str">
        <f>IF($M14="","",TEXT(INT(INDEX(D_Points!$A$5:$A$204,$M14)/1000),"0")&amp;"+"&amp;TEXT(MOD(INDEX(D_Points!$A$5:$A$204,$M14),1000),"000"))</f>
        <v/>
      </c>
      <c r="C14" s="8" t="str">
        <f>IF($M14="","",UPPER(TRIM(INDEX(D_Points!$C$5:$C$204,$M14))))</f>
        <v/>
      </c>
      <c r="D14" s="8" t="str">
        <f>IF($M14="","",INDEX(D_Points!$D$5:$D$204,$M14))</f>
        <v/>
      </c>
      <c r="E14" s="8" t="str">
        <f>IF($M14="","",UPPER(TRIM(INDEX(D_Points!$E$5:$E$204,$M14))))</f>
        <v/>
      </c>
      <c r="F14" s="8" t="str">
        <f>IF($M14="","",INDEX(D_Points!$F$5:$F$204,$M14))</f>
        <v/>
      </c>
      <c r="G14" s="8" t="str">
        <f>IF($M14="","",""&amp;IF(INDEX(D_Points!$G$5:$G$204,$M14)="","Right Angle",TRIM(INDEX(D_Points!$G$5:$G$204,$M14))))</f>
        <v/>
      </c>
      <c r="H14" s="5" t="str">
        <f t="shared" si="0"/>
        <v/>
      </c>
      <c r="I14" s="5" t="str">
        <f t="shared" si="1"/>
        <v/>
      </c>
      <c r="J14" s="5" t="str">
        <f t="shared" si="2"/>
        <v/>
      </c>
      <c r="K14" s="8" t="str">
        <f>IF($M14="","",INDEX(D_Points!$I$5:$I$204,$M14))</f>
        <v/>
      </c>
      <c r="M14" s="226" t="str">
        <f>IFERROR(MATCH(10,D_Points!$K$5:$K$204,0),"")</f>
        <v/>
      </c>
    </row>
    <row r="15" spans="1:13" ht="14.4" customHeight="1" x14ac:dyDescent="0.3">
      <c r="A15" s="5" t="str">
        <f>IF($C15="","",11)</f>
        <v/>
      </c>
      <c r="B15" s="8" t="str">
        <f>IF($M15="","",TEXT(INT(INDEX(D_Points!$A$5:$A$204,$M15)/1000),"0")&amp;"+"&amp;TEXT(MOD(INDEX(D_Points!$A$5:$A$204,$M15),1000),"000"))</f>
        <v/>
      </c>
      <c r="C15" s="8" t="str">
        <f>IF($M15="","",UPPER(TRIM(INDEX(D_Points!$C$5:$C$204,$M15))))</f>
        <v/>
      </c>
      <c r="D15" s="8" t="str">
        <f>IF($M15="","",INDEX(D_Points!$D$5:$D$204,$M15))</f>
        <v/>
      </c>
      <c r="E15" s="8" t="str">
        <f>IF($M15="","",UPPER(TRIM(INDEX(D_Points!$E$5:$E$204,$M15))))</f>
        <v/>
      </c>
      <c r="F15" s="8" t="str">
        <f>IF($M15="","",INDEX(D_Points!$F$5:$F$204,$M15))</f>
        <v/>
      </c>
      <c r="G15" s="8" t="str">
        <f>IF($M15="","",""&amp;IF(INDEX(D_Points!$G$5:$G$204,$M15)="","Right Angle",TRIM(INDEX(D_Points!$G$5:$G$204,$M15))))</f>
        <v/>
      </c>
      <c r="H15" s="5" t="str">
        <f t="shared" si="0"/>
        <v/>
      </c>
      <c r="I15" s="5" t="str">
        <f t="shared" si="1"/>
        <v/>
      </c>
      <c r="J15" s="5" t="str">
        <f t="shared" si="2"/>
        <v/>
      </c>
      <c r="K15" s="8" t="str">
        <f>IF($M15="","",INDEX(D_Points!$I$5:$I$204,$M15))</f>
        <v/>
      </c>
      <c r="M15" s="226" t="str">
        <f>IFERROR(MATCH(11,D_Points!$K$5:$K$204,0),"")</f>
        <v/>
      </c>
    </row>
    <row r="16" spans="1:13" ht="14.4" customHeight="1" x14ac:dyDescent="0.3">
      <c r="A16" s="5" t="str">
        <f>IF($C16="","",12)</f>
        <v/>
      </c>
      <c r="B16" s="8" t="str">
        <f>IF($M16="","",TEXT(INT(INDEX(D_Points!$A$5:$A$204,$M16)/1000),"0")&amp;"+"&amp;TEXT(MOD(INDEX(D_Points!$A$5:$A$204,$M16),1000),"000"))</f>
        <v/>
      </c>
      <c r="C16" s="8" t="str">
        <f>IF($M16="","",UPPER(TRIM(INDEX(D_Points!$C$5:$C$204,$M16))))</f>
        <v/>
      </c>
      <c r="D16" s="8" t="str">
        <f>IF($M16="","",INDEX(D_Points!$D$5:$D$204,$M16))</f>
        <v/>
      </c>
      <c r="E16" s="8" t="str">
        <f>IF($M16="","",UPPER(TRIM(INDEX(D_Points!$E$5:$E$204,$M16))))</f>
        <v/>
      </c>
      <c r="F16" s="8" t="str">
        <f>IF($M16="","",INDEX(D_Points!$F$5:$F$204,$M16))</f>
        <v/>
      </c>
      <c r="G16" s="8" t="str">
        <f>IF($M16="","",""&amp;IF(INDEX(D_Points!$G$5:$G$204,$M16)="","Right Angle",TRIM(INDEX(D_Points!$G$5:$G$204,$M16))))</f>
        <v/>
      </c>
      <c r="H16" s="5" t="str">
        <f t="shared" si="0"/>
        <v/>
      </c>
      <c r="I16" s="5" t="str">
        <f t="shared" si="1"/>
        <v/>
      </c>
      <c r="J16" s="5" t="str">
        <f t="shared" si="2"/>
        <v/>
      </c>
      <c r="K16" s="8" t="str">
        <f>IF($M16="","",INDEX(D_Points!$I$5:$I$204,$M16))</f>
        <v/>
      </c>
      <c r="M16" s="226" t="str">
        <f>IFERROR(MATCH(12,D_Points!$K$5:$K$204,0),"")</f>
        <v/>
      </c>
    </row>
    <row r="17" spans="1:13" ht="14.4" customHeight="1" x14ac:dyDescent="0.3">
      <c r="A17" s="5" t="str">
        <f>IF($C17="","",13)</f>
        <v/>
      </c>
      <c r="B17" s="8" t="str">
        <f>IF($M17="","",TEXT(INT(INDEX(D_Points!$A$5:$A$204,$M17)/1000),"0")&amp;"+"&amp;TEXT(MOD(INDEX(D_Points!$A$5:$A$204,$M17),1000),"000"))</f>
        <v/>
      </c>
      <c r="C17" s="8" t="str">
        <f>IF($M17="","",UPPER(TRIM(INDEX(D_Points!$C$5:$C$204,$M17))))</f>
        <v/>
      </c>
      <c r="D17" s="8" t="str">
        <f>IF($M17="","",INDEX(D_Points!$D$5:$D$204,$M17))</f>
        <v/>
      </c>
      <c r="E17" s="8" t="str">
        <f>IF($M17="","",UPPER(TRIM(INDEX(D_Points!$E$5:$E$204,$M17))))</f>
        <v/>
      </c>
      <c r="F17" s="8" t="str">
        <f>IF($M17="","",INDEX(D_Points!$F$5:$F$204,$M17))</f>
        <v/>
      </c>
      <c r="G17" s="8" t="str">
        <f>IF($M17="","",""&amp;IF(INDEX(D_Points!$G$5:$G$204,$M17)="","Right Angle",TRIM(INDEX(D_Points!$G$5:$G$204,$M17))))</f>
        <v/>
      </c>
      <c r="H17" s="5" t="str">
        <f t="shared" si="0"/>
        <v/>
      </c>
      <c r="I17" s="5" t="str">
        <f t="shared" si="1"/>
        <v/>
      </c>
      <c r="J17" s="5" t="str">
        <f t="shared" si="2"/>
        <v/>
      </c>
      <c r="K17" s="8" t="str">
        <f>IF($M17="","",INDEX(D_Points!$I$5:$I$204,$M17))</f>
        <v/>
      </c>
      <c r="M17" s="226" t="str">
        <f>IFERROR(MATCH(13,D_Points!$K$5:$K$204,0),"")</f>
        <v/>
      </c>
    </row>
    <row r="18" spans="1:13" ht="14.4" customHeight="1" x14ac:dyDescent="0.3">
      <c r="A18" s="5" t="str">
        <f>IF($C18="","",14)</f>
        <v/>
      </c>
      <c r="B18" s="8" t="str">
        <f>IF($M18="","",TEXT(INT(INDEX(D_Points!$A$5:$A$204,$M18)/1000),"0")&amp;"+"&amp;TEXT(MOD(INDEX(D_Points!$A$5:$A$204,$M18),1000),"000"))</f>
        <v/>
      </c>
      <c r="C18" s="8" t="str">
        <f>IF($M18="","",UPPER(TRIM(INDEX(D_Points!$C$5:$C$204,$M18))))</f>
        <v/>
      </c>
      <c r="D18" s="8" t="str">
        <f>IF($M18="","",INDEX(D_Points!$D$5:$D$204,$M18))</f>
        <v/>
      </c>
      <c r="E18" s="8" t="str">
        <f>IF($M18="","",UPPER(TRIM(INDEX(D_Points!$E$5:$E$204,$M18))))</f>
        <v/>
      </c>
      <c r="F18" s="8" t="str">
        <f>IF($M18="","",INDEX(D_Points!$F$5:$F$204,$M18))</f>
        <v/>
      </c>
      <c r="G18" s="8" t="str">
        <f>IF($M18="","",""&amp;IF(INDEX(D_Points!$G$5:$G$204,$M18)="","Right Angle",TRIM(INDEX(D_Points!$G$5:$G$204,$M18))))</f>
        <v/>
      </c>
      <c r="H18" s="5" t="str">
        <f t="shared" si="0"/>
        <v/>
      </c>
      <c r="I18" s="5" t="str">
        <f t="shared" si="1"/>
        <v/>
      </c>
      <c r="J18" s="5" t="str">
        <f t="shared" si="2"/>
        <v/>
      </c>
      <c r="K18" s="8" t="str">
        <f>IF($M18="","",INDEX(D_Points!$I$5:$I$204,$M18))</f>
        <v/>
      </c>
      <c r="M18" s="226" t="str">
        <f>IFERROR(MATCH(14,D_Points!$K$5:$K$204,0),"")</f>
        <v/>
      </c>
    </row>
    <row r="19" spans="1:13" ht="14.4" customHeight="1" x14ac:dyDescent="0.3">
      <c r="A19" s="5" t="str">
        <f>IF($C19="","",15)</f>
        <v/>
      </c>
      <c r="B19" s="8" t="str">
        <f>IF($M19="","",TEXT(INT(INDEX(D_Points!$A$5:$A$204,$M19)/1000),"0")&amp;"+"&amp;TEXT(MOD(INDEX(D_Points!$A$5:$A$204,$M19),1000),"000"))</f>
        <v/>
      </c>
      <c r="C19" s="8" t="str">
        <f>IF($M19="","",UPPER(TRIM(INDEX(D_Points!$C$5:$C$204,$M19))))</f>
        <v/>
      </c>
      <c r="D19" s="8" t="str">
        <f>IF($M19="","",INDEX(D_Points!$D$5:$D$204,$M19))</f>
        <v/>
      </c>
      <c r="E19" s="8" t="str">
        <f>IF($M19="","",UPPER(TRIM(INDEX(D_Points!$E$5:$E$204,$M19))))</f>
        <v/>
      </c>
      <c r="F19" s="8" t="str">
        <f>IF($M19="","",INDEX(D_Points!$F$5:$F$204,$M19))</f>
        <v/>
      </c>
      <c r="G19" s="8" t="str">
        <f>IF($M19="","",""&amp;IF(INDEX(D_Points!$G$5:$G$204,$M19)="","Right Angle",TRIM(INDEX(D_Points!$G$5:$G$204,$M19))))</f>
        <v/>
      </c>
      <c r="H19" s="5" t="str">
        <f t="shared" si="0"/>
        <v/>
      </c>
      <c r="I19" s="5" t="str">
        <f t="shared" si="1"/>
        <v/>
      </c>
      <c r="J19" s="5" t="str">
        <f t="shared" si="2"/>
        <v/>
      </c>
      <c r="K19" s="8" t="str">
        <f>IF($M19="","",INDEX(D_Points!$I$5:$I$204,$M19))</f>
        <v/>
      </c>
      <c r="M19" s="226" t="str">
        <f>IFERROR(MATCH(15,D_Points!$K$5:$K$204,0),"")</f>
        <v/>
      </c>
    </row>
    <row r="20" spans="1:13" ht="14.4" customHeight="1" x14ac:dyDescent="0.3">
      <c r="A20" s="5" t="str">
        <f>IF($C20="","",16)</f>
        <v/>
      </c>
      <c r="B20" s="8" t="str">
        <f>IF($M20="","",TEXT(INT(INDEX(D_Points!$A$5:$A$204,$M20)/1000),"0")&amp;"+"&amp;TEXT(MOD(INDEX(D_Points!$A$5:$A$204,$M20),1000),"000"))</f>
        <v/>
      </c>
      <c r="C20" s="8" t="str">
        <f>IF($M20="","",UPPER(TRIM(INDEX(D_Points!$C$5:$C$204,$M20))))</f>
        <v/>
      </c>
      <c r="D20" s="8" t="str">
        <f>IF($M20="","",INDEX(D_Points!$D$5:$D$204,$M20))</f>
        <v/>
      </c>
      <c r="E20" s="8" t="str">
        <f>IF($M20="","",UPPER(TRIM(INDEX(D_Points!$E$5:$E$204,$M20))))</f>
        <v/>
      </c>
      <c r="F20" s="8" t="str">
        <f>IF($M20="","",INDEX(D_Points!$F$5:$F$204,$M20))</f>
        <v/>
      </c>
      <c r="G20" s="8" t="str">
        <f>IF($M20="","",""&amp;IF(INDEX(D_Points!$G$5:$G$204,$M20)="","Right Angle",TRIM(INDEX(D_Points!$G$5:$G$204,$M20))))</f>
        <v/>
      </c>
      <c r="H20" s="5" t="str">
        <f t="shared" si="0"/>
        <v/>
      </c>
      <c r="I20" s="5" t="str">
        <f t="shared" si="1"/>
        <v/>
      </c>
      <c r="J20" s="5" t="str">
        <f t="shared" si="2"/>
        <v/>
      </c>
      <c r="K20" s="8" t="str">
        <f>IF($M20="","",INDEX(D_Points!$I$5:$I$204,$M20))</f>
        <v/>
      </c>
      <c r="M20" s="226" t="str">
        <f>IFERROR(MATCH(16,D_Points!$K$5:$K$204,0),"")</f>
        <v/>
      </c>
    </row>
    <row r="21" spans="1:13" ht="15.75" customHeight="1" x14ac:dyDescent="0.3">
      <c r="A21" s="5" t="str">
        <f>IF($C21="","",17)</f>
        <v/>
      </c>
      <c r="B21" s="8" t="str">
        <f>IF($M21="","",TEXT(INT(INDEX(D_Points!$A$5:$A$204,$M21)/1000),"0")&amp;"+"&amp;TEXT(MOD(INDEX(D_Points!$A$5:$A$204,$M21),1000),"000"))</f>
        <v/>
      </c>
      <c r="C21" s="8" t="str">
        <f>IF($M21="","",UPPER(TRIM(INDEX(D_Points!$C$5:$C$204,$M21))))</f>
        <v/>
      </c>
      <c r="D21" s="8" t="str">
        <f>IF($M21="","",INDEX(D_Points!$D$5:$D$204,$M21))</f>
        <v/>
      </c>
      <c r="E21" s="8" t="str">
        <f>IF($M21="","",UPPER(TRIM(INDEX(D_Points!$E$5:$E$204,$M21))))</f>
        <v/>
      </c>
      <c r="F21" s="8" t="str">
        <f>IF($M21="","",INDEX(D_Points!$F$5:$F$204,$M21))</f>
        <v/>
      </c>
      <c r="G21" s="8" t="str">
        <f>IF($M21="","",""&amp;IF(INDEX(D_Points!$G$5:$G$204,$M21)="","Right Angle",TRIM(INDEX(D_Points!$G$5:$G$204,$M21))))</f>
        <v/>
      </c>
      <c r="H21" s="5" t="str">
        <f t="shared" si="0"/>
        <v/>
      </c>
      <c r="I21" s="5" t="str">
        <f t="shared" si="1"/>
        <v/>
      </c>
      <c r="J21" s="5" t="str">
        <f t="shared" si="2"/>
        <v/>
      </c>
      <c r="K21" s="8" t="str">
        <f>IF($M21="","",INDEX(D_Points!$I$5:$I$204,$M21))</f>
        <v/>
      </c>
      <c r="M21" s="226" t="str">
        <f>IFERROR(MATCH(17,D_Points!$K$5:$K$204,0),"")</f>
        <v/>
      </c>
    </row>
    <row r="22" spans="1:13" ht="15.75" customHeight="1" x14ac:dyDescent="0.3">
      <c r="A22" s="5" t="str">
        <f>IF($C22="","",18)</f>
        <v/>
      </c>
      <c r="B22" s="8" t="str">
        <f>IF($M22="","",TEXT(INT(INDEX(D_Points!$A$5:$A$204,$M22)/1000),"0")&amp;"+"&amp;TEXT(MOD(INDEX(D_Points!$A$5:$A$204,$M22),1000),"000"))</f>
        <v/>
      </c>
      <c r="C22" s="8" t="str">
        <f>IF($M22="","",UPPER(TRIM(INDEX(D_Points!$C$5:$C$204,$M22))))</f>
        <v/>
      </c>
      <c r="D22" s="8" t="str">
        <f>IF($M22="","",INDEX(D_Points!$D$5:$D$204,$M22))</f>
        <v/>
      </c>
      <c r="E22" s="8" t="str">
        <f>IF($M22="","",UPPER(TRIM(INDEX(D_Points!$E$5:$E$204,$M22))))</f>
        <v/>
      </c>
      <c r="F22" s="8" t="str">
        <f>IF($M22="","",INDEX(D_Points!$F$5:$F$204,$M22))</f>
        <v/>
      </c>
      <c r="G22" s="8" t="str">
        <f>IF($M22="","",""&amp;IF(INDEX(D_Points!$G$5:$G$204,$M22)="","Right Angle",TRIM(INDEX(D_Points!$G$5:$G$204,$M22))))</f>
        <v/>
      </c>
      <c r="H22" s="5" t="str">
        <f t="shared" si="0"/>
        <v/>
      </c>
      <c r="I22" s="5" t="str">
        <f t="shared" si="1"/>
        <v/>
      </c>
      <c r="J22" s="5" t="str">
        <f t="shared" si="2"/>
        <v/>
      </c>
      <c r="K22" s="8" t="str">
        <f>IF($M22="","",INDEX(D_Points!$I$5:$I$204,$M22))</f>
        <v/>
      </c>
      <c r="M22" s="226" t="str">
        <f>IFERROR(MATCH(18,D_Points!$K$5:$K$204,0),"")</f>
        <v/>
      </c>
    </row>
    <row r="23" spans="1:13" ht="15.75" customHeight="1" x14ac:dyDescent="0.3">
      <c r="A23" s="5" t="str">
        <f>IF($C23="","",19)</f>
        <v/>
      </c>
      <c r="B23" s="8" t="str">
        <f>IF($M23="","",TEXT(INT(INDEX(D_Points!$A$5:$A$204,$M23)/1000),"0")&amp;"+"&amp;TEXT(MOD(INDEX(D_Points!$A$5:$A$204,$M23),1000),"000"))</f>
        <v/>
      </c>
      <c r="C23" s="8" t="str">
        <f>IF($M23="","",UPPER(TRIM(INDEX(D_Points!$C$5:$C$204,$M23))))</f>
        <v/>
      </c>
      <c r="D23" s="8" t="str">
        <f>IF($M23="","",INDEX(D_Points!$D$5:$D$204,$M23))</f>
        <v/>
      </c>
      <c r="E23" s="8" t="str">
        <f>IF($M23="","",UPPER(TRIM(INDEX(D_Points!$E$5:$E$204,$M23))))</f>
        <v/>
      </c>
      <c r="F23" s="8" t="str">
        <f>IF($M23="","",INDEX(D_Points!$F$5:$F$204,$M23))</f>
        <v/>
      </c>
      <c r="G23" s="8" t="str">
        <f>IF($M23="","",""&amp;IF(INDEX(D_Points!$G$5:$G$204,$M23)="","Right Angle",TRIM(INDEX(D_Points!$G$5:$G$204,$M23))))</f>
        <v/>
      </c>
      <c r="H23" s="5" t="str">
        <f t="shared" si="0"/>
        <v/>
      </c>
      <c r="I23" s="5" t="str">
        <f t="shared" si="1"/>
        <v/>
      </c>
      <c r="J23" s="5" t="str">
        <f t="shared" si="2"/>
        <v/>
      </c>
      <c r="K23" s="8" t="str">
        <f>IF($M23="","",INDEX(D_Points!$I$5:$I$204,$M23))</f>
        <v/>
      </c>
      <c r="M23" s="226" t="str">
        <f>IFERROR(MATCH(19,D_Points!$K$5:$K$204,0),"")</f>
        <v/>
      </c>
    </row>
    <row r="24" spans="1:13" ht="15.75" customHeight="1" x14ac:dyDescent="0.3">
      <c r="A24" s="5" t="str">
        <f>IF($C24="","",20)</f>
        <v/>
      </c>
      <c r="B24" s="8" t="str">
        <f>IF($M24="","",TEXT(INT(INDEX(D_Points!$A$5:$A$204,$M24)/1000),"0")&amp;"+"&amp;TEXT(MOD(INDEX(D_Points!$A$5:$A$204,$M24),1000),"000"))</f>
        <v/>
      </c>
      <c r="C24" s="8" t="str">
        <f>IF($M24="","",UPPER(TRIM(INDEX(D_Points!$C$5:$C$204,$M24))))</f>
        <v/>
      </c>
      <c r="D24" s="8" t="str">
        <f>IF($M24="","",INDEX(D_Points!$D$5:$D$204,$M24))</f>
        <v/>
      </c>
      <c r="E24" s="8" t="str">
        <f>IF($M24="","",UPPER(TRIM(INDEX(D_Points!$E$5:$E$204,$M24))))</f>
        <v/>
      </c>
      <c r="F24" s="8" t="str">
        <f>IF($M24="","",INDEX(D_Points!$F$5:$F$204,$M24))</f>
        <v/>
      </c>
      <c r="G24" s="8" t="str">
        <f>IF($M24="","",""&amp;IF(INDEX(D_Points!$G$5:$G$204,$M24)="","Right Angle",TRIM(INDEX(D_Points!$G$5:$G$204,$M24))))</f>
        <v/>
      </c>
      <c r="H24" s="5" t="str">
        <f t="shared" si="0"/>
        <v/>
      </c>
      <c r="I24" s="5" t="str">
        <f t="shared" si="1"/>
        <v/>
      </c>
      <c r="J24" s="5" t="str">
        <f t="shared" si="2"/>
        <v/>
      </c>
      <c r="K24" s="8" t="str">
        <f>IF($M24="","",INDEX(D_Points!$I$5:$I$204,$M24))</f>
        <v/>
      </c>
      <c r="M24" s="226" t="str">
        <f>IFERROR(MATCH(20,D_Points!$K$5:$K$204,0),"")</f>
        <v/>
      </c>
    </row>
    <row r="25" spans="1:13" ht="15.75" customHeight="1" x14ac:dyDescent="0.3">
      <c r="A25" s="5" t="str">
        <f>IF($C25="","",21)</f>
        <v/>
      </c>
      <c r="B25" s="8" t="str">
        <f>IF($M25="","",TEXT(INT(INDEX(D_Points!$A$5:$A$204,$M25)/1000),"0")&amp;"+"&amp;TEXT(MOD(INDEX(D_Points!$A$5:$A$204,$M25),1000),"000"))</f>
        <v/>
      </c>
      <c r="C25" s="8" t="str">
        <f>IF($M25="","",UPPER(TRIM(INDEX(D_Points!$C$5:$C$204,$M25))))</f>
        <v/>
      </c>
      <c r="D25" s="8" t="str">
        <f>IF($M25="","",INDEX(D_Points!$D$5:$D$204,$M25))</f>
        <v/>
      </c>
      <c r="E25" s="8" t="str">
        <f>IF($M25="","",UPPER(TRIM(INDEX(D_Points!$E$5:$E$204,$M25))))</f>
        <v/>
      </c>
      <c r="F25" s="8" t="str">
        <f>IF($M25="","",INDEX(D_Points!$F$5:$F$204,$M25))</f>
        <v/>
      </c>
      <c r="G25" s="8" t="str">
        <f>IF($M25="","",""&amp;IF(INDEX(D_Points!$G$5:$G$204,$M25)="","Right Angle",TRIM(INDEX(D_Points!$G$5:$G$204,$M25))))</f>
        <v/>
      </c>
      <c r="H25" s="5" t="str">
        <f t="shared" si="0"/>
        <v/>
      </c>
      <c r="I25" s="5" t="str">
        <f t="shared" si="1"/>
        <v/>
      </c>
      <c r="J25" s="5" t="str">
        <f t="shared" si="2"/>
        <v/>
      </c>
      <c r="K25" s="8" t="str">
        <f>IF($M25="","",INDEX(D_Points!$I$5:$I$204,$M25))</f>
        <v/>
      </c>
      <c r="M25" s="226" t="str">
        <f>IFERROR(MATCH(21,D_Points!$K$5:$K$204,0),"")</f>
        <v/>
      </c>
    </row>
    <row r="26" spans="1:13" ht="15.75" customHeight="1" x14ac:dyDescent="0.3">
      <c r="A26" s="5" t="str">
        <f>IF($C26="","",22)</f>
        <v/>
      </c>
      <c r="B26" s="8" t="str">
        <f>IF($M26="","",TEXT(INT(INDEX(D_Points!$A$5:$A$204,$M26)/1000),"0")&amp;"+"&amp;TEXT(MOD(INDEX(D_Points!$A$5:$A$204,$M26),1000),"000"))</f>
        <v/>
      </c>
      <c r="C26" s="8" t="str">
        <f>IF($M26="","",UPPER(TRIM(INDEX(D_Points!$C$5:$C$204,$M26))))</f>
        <v/>
      </c>
      <c r="D26" s="8" t="str">
        <f>IF($M26="","",INDEX(D_Points!$D$5:$D$204,$M26))</f>
        <v/>
      </c>
      <c r="E26" s="8" t="str">
        <f>IF($M26="","",UPPER(TRIM(INDEX(D_Points!$E$5:$E$204,$M26))))</f>
        <v/>
      </c>
      <c r="F26" s="8" t="str">
        <f>IF($M26="","",INDEX(D_Points!$F$5:$F$204,$M26))</f>
        <v/>
      </c>
      <c r="G26" s="8" t="str">
        <f>IF($M26="","",""&amp;IF(INDEX(D_Points!$G$5:$G$204,$M26)="","Right Angle",TRIM(INDEX(D_Points!$G$5:$G$204,$M26))))</f>
        <v/>
      </c>
      <c r="H26" s="5" t="str">
        <f t="shared" si="0"/>
        <v/>
      </c>
      <c r="I26" s="5" t="str">
        <f t="shared" si="1"/>
        <v/>
      </c>
      <c r="J26" s="5" t="str">
        <f t="shared" si="2"/>
        <v/>
      </c>
      <c r="K26" s="8" t="str">
        <f>IF($M26="","",INDEX(D_Points!$I$5:$I$204,$M26))</f>
        <v/>
      </c>
      <c r="M26" s="226" t="str">
        <f>IFERROR(MATCH(22,D_Points!$K$5:$K$204,0),"")</f>
        <v/>
      </c>
    </row>
    <row r="27" spans="1:13" ht="15.75" customHeight="1" x14ac:dyDescent="0.3">
      <c r="A27" s="5" t="str">
        <f>IF($C27="","",23)</f>
        <v/>
      </c>
      <c r="B27" s="8" t="str">
        <f>IF($M27="","",TEXT(INT(INDEX(D_Points!$A$5:$A$204,$M27)/1000),"0")&amp;"+"&amp;TEXT(MOD(INDEX(D_Points!$A$5:$A$204,$M27),1000),"000"))</f>
        <v/>
      </c>
      <c r="C27" s="8" t="str">
        <f>IF($M27="","",UPPER(TRIM(INDEX(D_Points!$C$5:$C$204,$M27))))</f>
        <v/>
      </c>
      <c r="D27" s="8" t="str">
        <f>IF($M27="","",INDEX(D_Points!$D$5:$D$204,$M27))</f>
        <v/>
      </c>
      <c r="E27" s="8" t="str">
        <f>IF($M27="","",UPPER(TRIM(INDEX(D_Points!$E$5:$E$204,$M27))))</f>
        <v/>
      </c>
      <c r="F27" s="8" t="str">
        <f>IF($M27="","",INDEX(D_Points!$F$5:$F$204,$M27))</f>
        <v/>
      </c>
      <c r="G27" s="8" t="str">
        <f>IF($M27="","",""&amp;IF(INDEX(D_Points!$G$5:$G$204,$M27)="","Right Angle",TRIM(INDEX(D_Points!$G$5:$G$204,$M27))))</f>
        <v/>
      </c>
      <c r="H27" s="5" t="str">
        <f t="shared" si="0"/>
        <v/>
      </c>
      <c r="I27" s="5" t="str">
        <f t="shared" si="1"/>
        <v/>
      </c>
      <c r="J27" s="5" t="str">
        <f t="shared" si="2"/>
        <v/>
      </c>
      <c r="K27" s="8" t="str">
        <f>IF($M27="","",INDEX(D_Points!$I$5:$I$204,$M27))</f>
        <v/>
      </c>
      <c r="M27" s="226" t="str">
        <f>IFERROR(MATCH(23,D_Points!$K$5:$K$204,0),"")</f>
        <v/>
      </c>
    </row>
    <row r="28" spans="1:13" ht="15.75" customHeight="1" x14ac:dyDescent="0.3">
      <c r="A28" s="5" t="str">
        <f>IF($C28="","",24)</f>
        <v/>
      </c>
      <c r="B28" s="8" t="str">
        <f>IF($M28="","",TEXT(INT(INDEX(D_Points!$A$5:$A$204,$M28)/1000),"0")&amp;"+"&amp;TEXT(MOD(INDEX(D_Points!$A$5:$A$204,$M28),1000),"000"))</f>
        <v/>
      </c>
      <c r="C28" s="8" t="str">
        <f>IF($M28="","",UPPER(TRIM(INDEX(D_Points!$C$5:$C$204,$M28))))</f>
        <v/>
      </c>
      <c r="D28" s="8" t="str">
        <f>IF($M28="","",INDEX(D_Points!$D$5:$D$204,$M28))</f>
        <v/>
      </c>
      <c r="E28" s="8" t="str">
        <f>IF($M28="","",UPPER(TRIM(INDEX(D_Points!$E$5:$E$204,$M28))))</f>
        <v/>
      </c>
      <c r="F28" s="8" t="str">
        <f>IF($M28="","",INDEX(D_Points!$F$5:$F$204,$M28))</f>
        <v/>
      </c>
      <c r="G28" s="8" t="str">
        <f>IF($M28="","",""&amp;IF(INDEX(D_Points!$G$5:$G$204,$M28)="","Right Angle",TRIM(INDEX(D_Points!$G$5:$G$204,$M28))))</f>
        <v/>
      </c>
      <c r="H28" s="5" t="str">
        <f t="shared" si="0"/>
        <v/>
      </c>
      <c r="I28" s="5" t="str">
        <f t="shared" si="1"/>
        <v/>
      </c>
      <c r="J28" s="5" t="str">
        <f t="shared" si="2"/>
        <v/>
      </c>
      <c r="K28" s="8" t="str">
        <f>IF($M28="","",INDEX(D_Points!$I$5:$I$204,$M28))</f>
        <v/>
      </c>
      <c r="M28" s="226" t="str">
        <f>IFERROR(MATCH(24,D_Points!$K$5:$K$204,0),"")</f>
        <v/>
      </c>
    </row>
    <row r="29" spans="1:13" ht="15.75" customHeight="1" x14ac:dyDescent="0.3">
      <c r="A29" s="5" t="str">
        <f>IF($C29="","",25)</f>
        <v/>
      </c>
      <c r="B29" s="8" t="str">
        <f>IF($M29="","",TEXT(INT(INDEX(D_Points!$A$5:$A$204,$M29)/1000),"0")&amp;"+"&amp;TEXT(MOD(INDEX(D_Points!$A$5:$A$204,$M29),1000),"000"))</f>
        <v/>
      </c>
      <c r="C29" s="8" t="str">
        <f>IF($M29="","",UPPER(TRIM(INDEX(D_Points!$C$5:$C$204,$M29))))</f>
        <v/>
      </c>
      <c r="D29" s="8" t="str">
        <f>IF($M29="","",INDEX(D_Points!$D$5:$D$204,$M29))</f>
        <v/>
      </c>
      <c r="E29" s="8" t="str">
        <f>IF($M29="","",UPPER(TRIM(INDEX(D_Points!$E$5:$E$204,$M29))))</f>
        <v/>
      </c>
      <c r="F29" s="8" t="str">
        <f>IF($M29="","",INDEX(D_Points!$F$5:$F$204,$M29))</f>
        <v/>
      </c>
      <c r="G29" s="8" t="str">
        <f>IF($M29="","",""&amp;IF(INDEX(D_Points!$G$5:$G$204,$M29)="","Right Angle",TRIM(INDEX(D_Points!$G$5:$G$204,$M29))))</f>
        <v/>
      </c>
      <c r="H29" s="5" t="str">
        <f t="shared" si="0"/>
        <v/>
      </c>
      <c r="I29" s="5" t="str">
        <f t="shared" si="1"/>
        <v/>
      </c>
      <c r="J29" s="5" t="str">
        <f t="shared" si="2"/>
        <v/>
      </c>
      <c r="K29" s="8" t="str">
        <f>IF($M29="","",INDEX(D_Points!$I$5:$I$204,$M29))</f>
        <v/>
      </c>
      <c r="M29" s="226" t="str">
        <f>IFERROR(MATCH(25,D_Points!$K$5:$K$204,0),"")</f>
        <v/>
      </c>
    </row>
    <row r="30" spans="1:13" ht="15.75" customHeight="1" x14ac:dyDescent="0.3">
      <c r="A30" s="5" t="str">
        <f>IF($C30="","",26)</f>
        <v/>
      </c>
      <c r="B30" s="8" t="str">
        <f>IF($M30="","",TEXT(INT(INDEX(D_Points!$A$5:$A$204,$M30)/1000),"0")&amp;"+"&amp;TEXT(MOD(INDEX(D_Points!$A$5:$A$204,$M30),1000),"000"))</f>
        <v/>
      </c>
      <c r="C30" s="8" t="str">
        <f>IF($M30="","",UPPER(TRIM(INDEX(D_Points!$C$5:$C$204,$M30))))</f>
        <v/>
      </c>
      <c r="D30" s="8" t="str">
        <f>IF($M30="","",INDEX(D_Points!$D$5:$D$204,$M30))</f>
        <v/>
      </c>
      <c r="E30" s="8" t="str">
        <f>IF($M30="","",UPPER(TRIM(INDEX(D_Points!$E$5:$E$204,$M30))))</f>
        <v/>
      </c>
      <c r="F30" s="8" t="str">
        <f>IF($M30="","",INDEX(D_Points!$F$5:$F$204,$M30))</f>
        <v/>
      </c>
      <c r="G30" s="8" t="str">
        <f>IF($M30="","",""&amp;IF(INDEX(D_Points!$G$5:$G$204,$M30)="","Right Angle",TRIM(INDEX(D_Points!$G$5:$G$204,$M30))))</f>
        <v/>
      </c>
      <c r="H30" s="5" t="str">
        <f t="shared" si="0"/>
        <v/>
      </c>
      <c r="I30" s="5" t="str">
        <f t="shared" si="1"/>
        <v/>
      </c>
      <c r="J30" s="5" t="str">
        <f t="shared" si="2"/>
        <v/>
      </c>
      <c r="K30" s="8" t="str">
        <f>IF($M30="","",INDEX(D_Points!$I$5:$I$204,$M30))</f>
        <v/>
      </c>
      <c r="M30" s="226" t="str">
        <f>IFERROR(MATCH(26,D_Points!$K$5:$K$204,0),"")</f>
        <v/>
      </c>
    </row>
    <row r="31" spans="1:13" ht="15.75" customHeight="1" x14ac:dyDescent="0.3">
      <c r="A31" s="5" t="str">
        <f>IF($C31="","",27)</f>
        <v/>
      </c>
      <c r="B31" s="8" t="str">
        <f>IF($M31="","",TEXT(INT(INDEX(D_Points!$A$5:$A$204,$M31)/1000),"0")&amp;"+"&amp;TEXT(MOD(INDEX(D_Points!$A$5:$A$204,$M31),1000),"000"))</f>
        <v/>
      </c>
      <c r="C31" s="8" t="str">
        <f>IF($M31="","",UPPER(TRIM(INDEX(D_Points!$C$5:$C$204,$M31))))</f>
        <v/>
      </c>
      <c r="D31" s="8" t="str">
        <f>IF($M31="","",INDEX(D_Points!$D$5:$D$204,$M31))</f>
        <v/>
      </c>
      <c r="E31" s="8" t="str">
        <f>IF($M31="","",UPPER(TRIM(INDEX(D_Points!$E$5:$E$204,$M31))))</f>
        <v/>
      </c>
      <c r="F31" s="8" t="str">
        <f>IF($M31="","",INDEX(D_Points!$F$5:$F$204,$M31))</f>
        <v/>
      </c>
      <c r="G31" s="8" t="str">
        <f>IF($M31="","",""&amp;IF(INDEX(D_Points!$G$5:$G$204,$M31)="","Right Angle",TRIM(INDEX(D_Points!$G$5:$G$204,$M31))))</f>
        <v/>
      </c>
      <c r="H31" s="5" t="str">
        <f t="shared" si="0"/>
        <v/>
      </c>
      <c r="I31" s="5" t="str">
        <f t="shared" si="1"/>
        <v/>
      </c>
      <c r="J31" s="5" t="str">
        <f t="shared" si="2"/>
        <v/>
      </c>
      <c r="K31" s="8" t="str">
        <f>IF($M31="","",INDEX(D_Points!$I$5:$I$204,$M31))</f>
        <v/>
      </c>
      <c r="M31" s="226" t="str">
        <f>IFERROR(MATCH(27,D_Points!$K$5:$K$204,0),"")</f>
        <v/>
      </c>
    </row>
    <row r="32" spans="1:13" ht="15.75" customHeight="1" x14ac:dyDescent="0.3">
      <c r="A32" s="5" t="str">
        <f>IF($C32="","",28)</f>
        <v/>
      </c>
      <c r="B32" s="8" t="str">
        <f>IF($M32="","",TEXT(INT(INDEX(D_Points!$A$5:$A$204,$M32)/1000),"0")&amp;"+"&amp;TEXT(MOD(INDEX(D_Points!$A$5:$A$204,$M32),1000),"000"))</f>
        <v/>
      </c>
      <c r="C32" s="8" t="str">
        <f>IF($M32="","",UPPER(TRIM(INDEX(D_Points!$C$5:$C$204,$M32))))</f>
        <v/>
      </c>
      <c r="D32" s="8" t="str">
        <f>IF($M32="","",INDEX(D_Points!$D$5:$D$204,$M32))</f>
        <v/>
      </c>
      <c r="E32" s="8" t="str">
        <f>IF($M32="","",UPPER(TRIM(INDEX(D_Points!$E$5:$E$204,$M32))))</f>
        <v/>
      </c>
      <c r="F32" s="8" t="str">
        <f>IF($M32="","",INDEX(D_Points!$F$5:$F$204,$M32))</f>
        <v/>
      </c>
      <c r="G32" s="8" t="str">
        <f>IF($M32="","",""&amp;IF(INDEX(D_Points!$G$5:$G$204,$M32)="","Right Angle",TRIM(INDEX(D_Points!$G$5:$G$204,$M32))))</f>
        <v/>
      </c>
      <c r="H32" s="5" t="str">
        <f t="shared" si="0"/>
        <v/>
      </c>
      <c r="I32" s="5" t="str">
        <f t="shared" si="1"/>
        <v/>
      </c>
      <c r="J32" s="5" t="str">
        <f t="shared" si="2"/>
        <v/>
      </c>
      <c r="K32" s="8" t="str">
        <f>IF($M32="","",INDEX(D_Points!$I$5:$I$204,$M32))</f>
        <v/>
      </c>
      <c r="M32" s="226" t="str">
        <f>IFERROR(MATCH(28,D_Points!$K$5:$K$204,0),"")</f>
        <v/>
      </c>
    </row>
    <row r="33" spans="1:13" ht="15.75" customHeight="1" x14ac:dyDescent="0.3">
      <c r="A33" s="5" t="str">
        <f>IF($C33="","",29)</f>
        <v/>
      </c>
      <c r="B33" s="8" t="str">
        <f>IF($M33="","",TEXT(INT(INDEX(D_Points!$A$5:$A$204,$M33)/1000),"0")&amp;"+"&amp;TEXT(MOD(INDEX(D_Points!$A$5:$A$204,$M33),1000),"000"))</f>
        <v/>
      </c>
      <c r="C33" s="8" t="str">
        <f>IF($M33="","",UPPER(TRIM(INDEX(D_Points!$C$5:$C$204,$M33))))</f>
        <v/>
      </c>
      <c r="D33" s="8" t="str">
        <f>IF($M33="","",INDEX(D_Points!$D$5:$D$204,$M33))</f>
        <v/>
      </c>
      <c r="E33" s="8" t="str">
        <f>IF($M33="","",UPPER(TRIM(INDEX(D_Points!$E$5:$E$204,$M33))))</f>
        <v/>
      </c>
      <c r="F33" s="8" t="str">
        <f>IF($M33="","",INDEX(D_Points!$F$5:$F$204,$M33))</f>
        <v/>
      </c>
      <c r="G33" s="8" t="str">
        <f>IF($M33="","",""&amp;IF(INDEX(D_Points!$G$5:$G$204,$M33)="","Right Angle",TRIM(INDEX(D_Points!$G$5:$G$204,$M33))))</f>
        <v/>
      </c>
      <c r="H33" s="5" t="str">
        <f t="shared" si="0"/>
        <v/>
      </c>
      <c r="I33" s="5" t="str">
        <f t="shared" si="1"/>
        <v/>
      </c>
      <c r="J33" s="5" t="str">
        <f t="shared" si="2"/>
        <v/>
      </c>
      <c r="K33" s="8" t="str">
        <f>IF($M33="","",INDEX(D_Points!$I$5:$I$204,$M33))</f>
        <v/>
      </c>
      <c r="M33" s="226" t="str">
        <f>IFERROR(MATCH(29,D_Points!$K$5:$K$204,0),"")</f>
        <v/>
      </c>
    </row>
    <row r="34" spans="1:13" ht="15.75" customHeight="1" x14ac:dyDescent="0.3">
      <c r="A34" s="5" t="str">
        <f>IF($C34="","",30)</f>
        <v/>
      </c>
      <c r="B34" s="8" t="str">
        <f>IF($M34="","",TEXT(INT(INDEX(D_Points!$A$5:$A$204,$M34)/1000),"0")&amp;"+"&amp;TEXT(MOD(INDEX(D_Points!$A$5:$A$204,$M34),1000),"000"))</f>
        <v/>
      </c>
      <c r="C34" s="8" t="str">
        <f>IF($M34="","",UPPER(TRIM(INDEX(D_Points!$C$5:$C$204,$M34))))</f>
        <v/>
      </c>
      <c r="D34" s="8" t="str">
        <f>IF($M34="","",INDEX(D_Points!$D$5:$D$204,$M34))</f>
        <v/>
      </c>
      <c r="E34" s="8" t="str">
        <f>IF($M34="","",UPPER(TRIM(INDEX(D_Points!$E$5:$E$204,$M34))))</f>
        <v/>
      </c>
      <c r="F34" s="8" t="str">
        <f>IF($M34="","",INDEX(D_Points!$F$5:$F$204,$M34))</f>
        <v/>
      </c>
      <c r="G34" s="8" t="str">
        <f>IF($M34="","",""&amp;IF(INDEX(D_Points!$G$5:$G$204,$M34)="","Right Angle",TRIM(INDEX(D_Points!$G$5:$G$204,$M34))))</f>
        <v/>
      </c>
      <c r="H34" s="5" t="str">
        <f t="shared" si="0"/>
        <v/>
      </c>
      <c r="I34" s="5" t="str">
        <f t="shared" si="1"/>
        <v/>
      </c>
      <c r="J34" s="5" t="str">
        <f t="shared" si="2"/>
        <v/>
      </c>
      <c r="K34" s="8" t="str">
        <f>IF($M34="","",INDEX(D_Points!$I$5:$I$204,$M34))</f>
        <v/>
      </c>
      <c r="M34" s="226" t="str">
        <f>IFERROR(MATCH(30,D_Points!$K$5:$K$204,0),"")</f>
        <v/>
      </c>
    </row>
    <row r="35" spans="1:13" ht="15.75" customHeight="1" x14ac:dyDescent="0.3">
      <c r="A35" s="5" t="str">
        <f>IF($C35="","",31)</f>
        <v/>
      </c>
      <c r="B35" s="8" t="str">
        <f>IF($M35="","",TEXT(INT(INDEX(D_Points!$A$5:$A$204,$M35)/1000),"0")&amp;"+"&amp;TEXT(MOD(INDEX(D_Points!$A$5:$A$204,$M35),1000),"000"))</f>
        <v/>
      </c>
      <c r="C35" s="8" t="str">
        <f>IF($M35="","",UPPER(TRIM(INDEX(D_Points!$C$5:$C$204,$M35))))</f>
        <v/>
      </c>
      <c r="D35" s="8" t="str">
        <f>IF($M35="","",INDEX(D_Points!$D$5:$D$204,$M35))</f>
        <v/>
      </c>
      <c r="E35" s="8" t="str">
        <f>IF($M35="","",UPPER(TRIM(INDEX(D_Points!$E$5:$E$204,$M35))))</f>
        <v/>
      </c>
      <c r="F35" s="8" t="str">
        <f>IF($M35="","",INDEX(D_Points!$F$5:$F$204,$M35))</f>
        <v/>
      </c>
      <c r="G35" s="8" t="str">
        <f>IF($M35="","",""&amp;IF(INDEX(D_Points!$G$5:$G$204,$M35)="","Right Angle",TRIM(INDEX(D_Points!$G$5:$G$204,$M35))))</f>
        <v/>
      </c>
      <c r="H35" s="5" t="str">
        <f t="shared" si="0"/>
        <v/>
      </c>
      <c r="I35" s="5" t="str">
        <f t="shared" si="1"/>
        <v/>
      </c>
      <c r="J35" s="5" t="str">
        <f t="shared" si="2"/>
        <v/>
      </c>
      <c r="K35" s="8" t="str">
        <f>IF($M35="","",INDEX(D_Points!$I$5:$I$204,$M35))</f>
        <v/>
      </c>
      <c r="M35" s="226" t="str">
        <f>IFERROR(MATCH(31,D_Points!$K$5:$K$204,0),"")</f>
        <v/>
      </c>
    </row>
    <row r="36" spans="1:13" ht="15.75" customHeight="1" x14ac:dyDescent="0.3">
      <c r="A36" s="5" t="str">
        <f>IF($C36="","",32)</f>
        <v/>
      </c>
      <c r="B36" s="8" t="str">
        <f>IF($M36="","",TEXT(INT(INDEX(D_Points!$A$5:$A$204,$M36)/1000),"0")&amp;"+"&amp;TEXT(MOD(INDEX(D_Points!$A$5:$A$204,$M36),1000),"000"))</f>
        <v/>
      </c>
      <c r="C36" s="8" t="str">
        <f>IF($M36="","",UPPER(TRIM(INDEX(D_Points!$C$5:$C$204,$M36))))</f>
        <v/>
      </c>
      <c r="D36" s="8" t="str">
        <f>IF($M36="","",INDEX(D_Points!$D$5:$D$204,$M36))</f>
        <v/>
      </c>
      <c r="E36" s="8" t="str">
        <f>IF($M36="","",UPPER(TRIM(INDEX(D_Points!$E$5:$E$204,$M36))))</f>
        <v/>
      </c>
      <c r="F36" s="8" t="str">
        <f>IF($M36="","",INDEX(D_Points!$F$5:$F$204,$M36))</f>
        <v/>
      </c>
      <c r="G36" s="8" t="str">
        <f>IF($M36="","",""&amp;IF(INDEX(D_Points!$G$5:$G$204,$M36)="","Right Angle",TRIM(INDEX(D_Points!$G$5:$G$204,$M36))))</f>
        <v/>
      </c>
      <c r="H36" s="5" t="str">
        <f t="shared" si="0"/>
        <v/>
      </c>
      <c r="I36" s="5" t="str">
        <f t="shared" si="1"/>
        <v/>
      </c>
      <c r="J36" s="5" t="str">
        <f t="shared" si="2"/>
        <v/>
      </c>
      <c r="K36" s="8" t="str">
        <f>IF($M36="","",INDEX(D_Points!$I$5:$I$204,$M36))</f>
        <v/>
      </c>
      <c r="M36" s="226" t="str">
        <f>IFERROR(MATCH(32,D_Points!$K$5:$K$204,0),"")</f>
        <v/>
      </c>
    </row>
    <row r="37" spans="1:13" ht="15.75" customHeight="1" x14ac:dyDescent="0.3">
      <c r="A37" s="5" t="str">
        <f>IF($C37="","",33)</f>
        <v/>
      </c>
      <c r="B37" s="8" t="str">
        <f>IF($M37="","",TEXT(INT(INDEX(D_Points!$A$5:$A$204,$M37)/1000),"0")&amp;"+"&amp;TEXT(MOD(INDEX(D_Points!$A$5:$A$204,$M37),1000),"000"))</f>
        <v/>
      </c>
      <c r="C37" s="8" t="str">
        <f>IF($M37="","",UPPER(TRIM(INDEX(D_Points!$C$5:$C$204,$M37))))</f>
        <v/>
      </c>
      <c r="D37" s="8" t="str">
        <f>IF($M37="","",INDEX(D_Points!$D$5:$D$204,$M37))</f>
        <v/>
      </c>
      <c r="E37" s="8" t="str">
        <f>IF($M37="","",UPPER(TRIM(INDEX(D_Points!$E$5:$E$204,$M37))))</f>
        <v/>
      </c>
      <c r="F37" s="8" t="str">
        <f>IF($M37="","",INDEX(D_Points!$F$5:$F$204,$M37))</f>
        <v/>
      </c>
      <c r="G37" s="8" t="str">
        <f>IF($M37="","",""&amp;IF(INDEX(D_Points!$G$5:$G$204,$M37)="","Right Angle",TRIM(INDEX(D_Points!$G$5:$G$204,$M37))))</f>
        <v/>
      </c>
      <c r="H37" s="5" t="str">
        <f t="shared" ref="H37:H68" si="3">IF($C37="","",IF($G37="Skew","Catchpit inlet","Normal endwalls"))</f>
        <v/>
      </c>
      <c r="I37" s="5" t="str">
        <f t="shared" ref="I37:I68" si="4">IF($C37="","","Normal outlet")</f>
        <v/>
      </c>
      <c r="J37" s="5" t="str">
        <f t="shared" ref="J37:J68" si="5">IF($C37="","",$C37&amp;"|"&amp;$D37&amp;"/"&amp;UPPER(TRIM($E37)))</f>
        <v/>
      </c>
      <c r="K37" s="8" t="str">
        <f>IF($M37="","",INDEX(D_Points!$I$5:$I$204,$M37))</f>
        <v/>
      </c>
      <c r="M37" s="226" t="str">
        <f>IFERROR(MATCH(33,D_Points!$K$5:$K$204,0),"")</f>
        <v/>
      </c>
    </row>
    <row r="38" spans="1:13" ht="15.75" customHeight="1" x14ac:dyDescent="0.3">
      <c r="A38" s="5" t="str">
        <f>IF($C38="","",34)</f>
        <v/>
      </c>
      <c r="B38" s="8" t="str">
        <f>IF($M38="","",TEXT(INT(INDEX(D_Points!$A$5:$A$204,$M38)/1000),"0")&amp;"+"&amp;TEXT(MOD(INDEX(D_Points!$A$5:$A$204,$M38),1000),"000"))</f>
        <v/>
      </c>
      <c r="C38" s="8" t="str">
        <f>IF($M38="","",UPPER(TRIM(INDEX(D_Points!$C$5:$C$204,$M38))))</f>
        <v/>
      </c>
      <c r="D38" s="8" t="str">
        <f>IF($M38="","",INDEX(D_Points!$D$5:$D$204,$M38))</f>
        <v/>
      </c>
      <c r="E38" s="8" t="str">
        <f>IF($M38="","",UPPER(TRIM(INDEX(D_Points!$E$5:$E$204,$M38))))</f>
        <v/>
      </c>
      <c r="F38" s="8" t="str">
        <f>IF($M38="","",INDEX(D_Points!$F$5:$F$204,$M38))</f>
        <v/>
      </c>
      <c r="G38" s="8" t="str">
        <f>IF($M38="","",""&amp;IF(INDEX(D_Points!$G$5:$G$204,$M38)="","Right Angle",TRIM(INDEX(D_Points!$G$5:$G$204,$M38))))</f>
        <v/>
      </c>
      <c r="H38" s="5" t="str">
        <f t="shared" si="3"/>
        <v/>
      </c>
      <c r="I38" s="5" t="str">
        <f t="shared" si="4"/>
        <v/>
      </c>
      <c r="J38" s="5" t="str">
        <f t="shared" si="5"/>
        <v/>
      </c>
      <c r="K38" s="8" t="str">
        <f>IF($M38="","",INDEX(D_Points!$I$5:$I$204,$M38))</f>
        <v/>
      </c>
      <c r="M38" s="226" t="str">
        <f>IFERROR(MATCH(34,D_Points!$K$5:$K$204,0),"")</f>
        <v/>
      </c>
    </row>
    <row r="39" spans="1:13" ht="15.75" customHeight="1" x14ac:dyDescent="0.3">
      <c r="A39" s="5" t="str">
        <f>IF($C39="","",35)</f>
        <v/>
      </c>
      <c r="B39" s="8" t="str">
        <f>IF($M39="","",TEXT(INT(INDEX(D_Points!$A$5:$A$204,$M39)/1000),"0")&amp;"+"&amp;TEXT(MOD(INDEX(D_Points!$A$5:$A$204,$M39),1000),"000"))</f>
        <v/>
      </c>
      <c r="C39" s="8" t="str">
        <f>IF($M39="","",UPPER(TRIM(INDEX(D_Points!$C$5:$C$204,$M39))))</f>
        <v/>
      </c>
      <c r="D39" s="8" t="str">
        <f>IF($M39="","",INDEX(D_Points!$D$5:$D$204,$M39))</f>
        <v/>
      </c>
      <c r="E39" s="8" t="str">
        <f>IF($M39="","",UPPER(TRIM(INDEX(D_Points!$E$5:$E$204,$M39))))</f>
        <v/>
      </c>
      <c r="F39" s="8" t="str">
        <f>IF($M39="","",INDEX(D_Points!$F$5:$F$204,$M39))</f>
        <v/>
      </c>
      <c r="G39" s="8" t="str">
        <f>IF($M39="","",""&amp;IF(INDEX(D_Points!$G$5:$G$204,$M39)="","Right Angle",TRIM(INDEX(D_Points!$G$5:$G$204,$M39))))</f>
        <v/>
      </c>
      <c r="H39" s="5" t="str">
        <f t="shared" si="3"/>
        <v/>
      </c>
      <c r="I39" s="5" t="str">
        <f t="shared" si="4"/>
        <v/>
      </c>
      <c r="J39" s="5" t="str">
        <f t="shared" si="5"/>
        <v/>
      </c>
      <c r="K39" s="8" t="str">
        <f>IF($M39="","",INDEX(D_Points!$I$5:$I$204,$M39))</f>
        <v/>
      </c>
      <c r="M39" s="226" t="str">
        <f>IFERROR(MATCH(35,D_Points!$K$5:$K$204,0),"")</f>
        <v/>
      </c>
    </row>
    <row r="40" spans="1:13" ht="15.75" customHeight="1" x14ac:dyDescent="0.3">
      <c r="A40" s="5" t="str">
        <f>IF($C40="","",36)</f>
        <v/>
      </c>
      <c r="B40" s="8" t="str">
        <f>IF($M40="","",TEXT(INT(INDEX(D_Points!$A$5:$A$204,$M40)/1000),"0")&amp;"+"&amp;TEXT(MOD(INDEX(D_Points!$A$5:$A$204,$M40),1000),"000"))</f>
        <v/>
      </c>
      <c r="C40" s="8" t="str">
        <f>IF($M40="","",UPPER(TRIM(INDEX(D_Points!$C$5:$C$204,$M40))))</f>
        <v/>
      </c>
      <c r="D40" s="8" t="str">
        <f>IF($M40="","",INDEX(D_Points!$D$5:$D$204,$M40))</f>
        <v/>
      </c>
      <c r="E40" s="8" t="str">
        <f>IF($M40="","",UPPER(TRIM(INDEX(D_Points!$E$5:$E$204,$M40))))</f>
        <v/>
      </c>
      <c r="F40" s="8" t="str">
        <f>IF($M40="","",INDEX(D_Points!$F$5:$F$204,$M40))</f>
        <v/>
      </c>
      <c r="G40" s="8" t="str">
        <f>IF($M40="","",""&amp;IF(INDEX(D_Points!$G$5:$G$204,$M40)="","Right Angle",TRIM(INDEX(D_Points!$G$5:$G$204,$M40))))</f>
        <v/>
      </c>
      <c r="H40" s="5" t="str">
        <f t="shared" si="3"/>
        <v/>
      </c>
      <c r="I40" s="5" t="str">
        <f t="shared" si="4"/>
        <v/>
      </c>
      <c r="J40" s="5" t="str">
        <f t="shared" si="5"/>
        <v/>
      </c>
      <c r="K40" s="8" t="str">
        <f>IF($M40="","",INDEX(D_Points!$I$5:$I$204,$M40))</f>
        <v/>
      </c>
      <c r="M40" s="226" t="str">
        <f>IFERROR(MATCH(36,D_Points!$K$5:$K$204,0),"")</f>
        <v/>
      </c>
    </row>
    <row r="41" spans="1:13" ht="15.75" customHeight="1" x14ac:dyDescent="0.3">
      <c r="A41" s="5" t="str">
        <f>IF($C41="","",37)</f>
        <v/>
      </c>
      <c r="B41" s="8" t="str">
        <f>IF($M41="","",TEXT(INT(INDEX(D_Points!$A$5:$A$204,$M41)/1000),"0")&amp;"+"&amp;TEXT(MOD(INDEX(D_Points!$A$5:$A$204,$M41),1000),"000"))</f>
        <v/>
      </c>
      <c r="C41" s="8" t="str">
        <f>IF($M41="","",UPPER(TRIM(INDEX(D_Points!$C$5:$C$204,$M41))))</f>
        <v/>
      </c>
      <c r="D41" s="8" t="str">
        <f>IF($M41="","",INDEX(D_Points!$D$5:$D$204,$M41))</f>
        <v/>
      </c>
      <c r="E41" s="8" t="str">
        <f>IF($M41="","",UPPER(TRIM(INDEX(D_Points!$E$5:$E$204,$M41))))</f>
        <v/>
      </c>
      <c r="F41" s="8" t="str">
        <f>IF($M41="","",INDEX(D_Points!$F$5:$F$204,$M41))</f>
        <v/>
      </c>
      <c r="G41" s="8" t="str">
        <f>IF($M41="","",""&amp;IF(INDEX(D_Points!$G$5:$G$204,$M41)="","Right Angle",TRIM(INDEX(D_Points!$G$5:$G$204,$M41))))</f>
        <v/>
      </c>
      <c r="H41" s="5" t="str">
        <f t="shared" si="3"/>
        <v/>
      </c>
      <c r="I41" s="5" t="str">
        <f t="shared" si="4"/>
        <v/>
      </c>
      <c r="J41" s="5" t="str">
        <f t="shared" si="5"/>
        <v/>
      </c>
      <c r="K41" s="8" t="str">
        <f>IF($M41="","",INDEX(D_Points!$I$5:$I$204,$M41))</f>
        <v/>
      </c>
      <c r="M41" s="226" t="str">
        <f>IFERROR(MATCH(37,D_Points!$K$5:$K$204,0),"")</f>
        <v/>
      </c>
    </row>
    <row r="42" spans="1:13" ht="15.75" customHeight="1" x14ac:dyDescent="0.3">
      <c r="A42" s="5" t="str">
        <f>IF($C42="","",38)</f>
        <v/>
      </c>
      <c r="B42" s="8" t="str">
        <f>IF($M42="","",TEXT(INT(INDEX(D_Points!$A$5:$A$204,$M42)/1000),"0")&amp;"+"&amp;TEXT(MOD(INDEX(D_Points!$A$5:$A$204,$M42),1000),"000"))</f>
        <v/>
      </c>
      <c r="C42" s="8" t="str">
        <f>IF($M42="","",UPPER(TRIM(INDEX(D_Points!$C$5:$C$204,$M42))))</f>
        <v/>
      </c>
      <c r="D42" s="8" t="str">
        <f>IF($M42="","",INDEX(D_Points!$D$5:$D$204,$M42))</f>
        <v/>
      </c>
      <c r="E42" s="8" t="str">
        <f>IF($M42="","",UPPER(TRIM(INDEX(D_Points!$E$5:$E$204,$M42))))</f>
        <v/>
      </c>
      <c r="F42" s="8" t="str">
        <f>IF($M42="","",INDEX(D_Points!$F$5:$F$204,$M42))</f>
        <v/>
      </c>
      <c r="G42" s="8" t="str">
        <f>IF($M42="","",""&amp;IF(INDEX(D_Points!$G$5:$G$204,$M42)="","Right Angle",TRIM(INDEX(D_Points!$G$5:$G$204,$M42))))</f>
        <v/>
      </c>
      <c r="H42" s="5" t="str">
        <f t="shared" si="3"/>
        <v/>
      </c>
      <c r="I42" s="5" t="str">
        <f t="shared" si="4"/>
        <v/>
      </c>
      <c r="J42" s="5" t="str">
        <f t="shared" si="5"/>
        <v/>
      </c>
      <c r="K42" s="8" t="str">
        <f>IF($M42="","",INDEX(D_Points!$I$5:$I$204,$M42))</f>
        <v/>
      </c>
      <c r="M42" s="226" t="str">
        <f>IFERROR(MATCH(38,D_Points!$K$5:$K$204,0),"")</f>
        <v/>
      </c>
    </row>
    <row r="43" spans="1:13" ht="15.75" customHeight="1" x14ac:dyDescent="0.3">
      <c r="A43" s="5" t="str">
        <f>IF($C43="","",39)</f>
        <v/>
      </c>
      <c r="B43" s="8" t="str">
        <f>IF($M43="","",TEXT(INT(INDEX(D_Points!$A$5:$A$204,$M43)/1000),"0")&amp;"+"&amp;TEXT(MOD(INDEX(D_Points!$A$5:$A$204,$M43),1000),"000"))</f>
        <v/>
      </c>
      <c r="C43" s="8" t="str">
        <f>IF($M43="","",UPPER(TRIM(INDEX(D_Points!$C$5:$C$204,$M43))))</f>
        <v/>
      </c>
      <c r="D43" s="8" t="str">
        <f>IF($M43="","",INDEX(D_Points!$D$5:$D$204,$M43))</f>
        <v/>
      </c>
      <c r="E43" s="8" t="str">
        <f>IF($M43="","",UPPER(TRIM(INDEX(D_Points!$E$5:$E$204,$M43))))</f>
        <v/>
      </c>
      <c r="F43" s="8" t="str">
        <f>IF($M43="","",INDEX(D_Points!$F$5:$F$204,$M43))</f>
        <v/>
      </c>
      <c r="G43" s="8" t="str">
        <f>IF($M43="","",""&amp;IF(INDEX(D_Points!$G$5:$G$204,$M43)="","Right Angle",TRIM(INDEX(D_Points!$G$5:$G$204,$M43))))</f>
        <v/>
      </c>
      <c r="H43" s="5" t="str">
        <f t="shared" si="3"/>
        <v/>
      </c>
      <c r="I43" s="5" t="str">
        <f t="shared" si="4"/>
        <v/>
      </c>
      <c r="J43" s="5" t="str">
        <f t="shared" si="5"/>
        <v/>
      </c>
      <c r="K43" s="8" t="str">
        <f>IF($M43="","",INDEX(D_Points!$I$5:$I$204,$M43))</f>
        <v/>
      </c>
      <c r="M43" s="226" t="str">
        <f>IFERROR(MATCH(39,D_Points!$K$5:$K$204,0),"")</f>
        <v/>
      </c>
    </row>
    <row r="44" spans="1:13" ht="15.75" customHeight="1" x14ac:dyDescent="0.3">
      <c r="A44" s="5" t="str">
        <f>IF($C44="","",40)</f>
        <v/>
      </c>
      <c r="B44" s="8" t="str">
        <f>IF($M44="","",TEXT(INT(INDEX(D_Points!$A$5:$A$204,$M44)/1000),"0")&amp;"+"&amp;TEXT(MOD(INDEX(D_Points!$A$5:$A$204,$M44),1000),"000"))</f>
        <v/>
      </c>
      <c r="C44" s="8" t="str">
        <f>IF($M44="","",UPPER(TRIM(INDEX(D_Points!$C$5:$C$204,$M44))))</f>
        <v/>
      </c>
      <c r="D44" s="8" t="str">
        <f>IF($M44="","",INDEX(D_Points!$D$5:$D$204,$M44))</f>
        <v/>
      </c>
      <c r="E44" s="8" t="str">
        <f>IF($M44="","",UPPER(TRIM(INDEX(D_Points!$E$5:$E$204,$M44))))</f>
        <v/>
      </c>
      <c r="F44" s="8" t="str">
        <f>IF($M44="","",INDEX(D_Points!$F$5:$F$204,$M44))</f>
        <v/>
      </c>
      <c r="G44" s="8" t="str">
        <f>IF($M44="","",""&amp;IF(INDEX(D_Points!$G$5:$G$204,$M44)="","Right Angle",TRIM(INDEX(D_Points!$G$5:$G$204,$M44))))</f>
        <v/>
      </c>
      <c r="H44" s="5" t="str">
        <f t="shared" si="3"/>
        <v/>
      </c>
      <c r="I44" s="5" t="str">
        <f t="shared" si="4"/>
        <v/>
      </c>
      <c r="J44" s="5" t="str">
        <f t="shared" si="5"/>
        <v/>
      </c>
      <c r="K44" s="8" t="str">
        <f>IF($M44="","",INDEX(D_Points!$I$5:$I$204,$M44))</f>
        <v/>
      </c>
      <c r="M44" s="226" t="str">
        <f>IFERROR(MATCH(40,D_Points!$K$5:$K$204,0),"")</f>
        <v/>
      </c>
    </row>
    <row r="45" spans="1:13" ht="15.75" customHeight="1" x14ac:dyDescent="0.3">
      <c r="A45" s="5" t="str">
        <f>IF($C45="","",41)</f>
        <v/>
      </c>
      <c r="B45" s="8" t="str">
        <f>IF($M45="","",TEXT(INT(INDEX(D_Points!$A$5:$A$204,$M45)/1000),"0")&amp;"+"&amp;TEXT(MOD(INDEX(D_Points!$A$5:$A$204,$M45),1000),"000"))</f>
        <v/>
      </c>
      <c r="C45" s="8" t="str">
        <f>IF($M45="","",UPPER(TRIM(INDEX(D_Points!$C$5:$C$204,$M45))))</f>
        <v/>
      </c>
      <c r="D45" s="8" t="str">
        <f>IF($M45="","",INDEX(D_Points!$D$5:$D$204,$M45))</f>
        <v/>
      </c>
      <c r="E45" s="8" t="str">
        <f>IF($M45="","",UPPER(TRIM(INDEX(D_Points!$E$5:$E$204,$M45))))</f>
        <v/>
      </c>
      <c r="F45" s="8" t="str">
        <f>IF($M45="","",INDEX(D_Points!$F$5:$F$204,$M45))</f>
        <v/>
      </c>
      <c r="G45" s="8" t="str">
        <f>IF($M45="","",""&amp;IF(INDEX(D_Points!$G$5:$G$204,$M45)="","Right Angle",TRIM(INDEX(D_Points!$G$5:$G$204,$M45))))</f>
        <v/>
      </c>
      <c r="H45" s="5" t="str">
        <f t="shared" si="3"/>
        <v/>
      </c>
      <c r="I45" s="5" t="str">
        <f t="shared" si="4"/>
        <v/>
      </c>
      <c r="J45" s="5" t="str">
        <f t="shared" si="5"/>
        <v/>
      </c>
      <c r="K45" s="8" t="str">
        <f>IF($M45="","",INDEX(D_Points!$I$5:$I$204,$M45))</f>
        <v/>
      </c>
      <c r="M45" s="226" t="str">
        <f>IFERROR(MATCH(41,D_Points!$K$5:$K$204,0),"")</f>
        <v/>
      </c>
    </row>
    <row r="46" spans="1:13" ht="15.75" customHeight="1" x14ac:dyDescent="0.3">
      <c r="A46" s="5" t="str">
        <f>IF($C46="","",42)</f>
        <v/>
      </c>
      <c r="B46" s="8" t="str">
        <f>IF($M46="","",TEXT(INT(INDEX(D_Points!$A$5:$A$204,$M46)/1000),"0")&amp;"+"&amp;TEXT(MOD(INDEX(D_Points!$A$5:$A$204,$M46),1000),"000"))</f>
        <v/>
      </c>
      <c r="C46" s="8" t="str">
        <f>IF($M46="","",UPPER(TRIM(INDEX(D_Points!$C$5:$C$204,$M46))))</f>
        <v/>
      </c>
      <c r="D46" s="8" t="str">
        <f>IF($M46="","",INDEX(D_Points!$D$5:$D$204,$M46))</f>
        <v/>
      </c>
      <c r="E46" s="8" t="str">
        <f>IF($M46="","",UPPER(TRIM(INDEX(D_Points!$E$5:$E$204,$M46))))</f>
        <v/>
      </c>
      <c r="F46" s="8" t="str">
        <f>IF($M46="","",INDEX(D_Points!$F$5:$F$204,$M46))</f>
        <v/>
      </c>
      <c r="G46" s="8" t="str">
        <f>IF($M46="","",""&amp;IF(INDEX(D_Points!$G$5:$G$204,$M46)="","Right Angle",TRIM(INDEX(D_Points!$G$5:$G$204,$M46))))</f>
        <v/>
      </c>
      <c r="H46" s="5" t="str">
        <f t="shared" si="3"/>
        <v/>
      </c>
      <c r="I46" s="5" t="str">
        <f t="shared" si="4"/>
        <v/>
      </c>
      <c r="J46" s="5" t="str">
        <f t="shared" si="5"/>
        <v/>
      </c>
      <c r="K46" s="8" t="str">
        <f>IF($M46="","",INDEX(D_Points!$I$5:$I$204,$M46))</f>
        <v/>
      </c>
      <c r="M46" s="226" t="str">
        <f>IFERROR(MATCH(42,D_Points!$K$5:$K$204,0),"")</f>
        <v/>
      </c>
    </row>
    <row r="47" spans="1:13" ht="15.75" customHeight="1" x14ac:dyDescent="0.3">
      <c r="A47" s="5" t="str">
        <f>IF($C47="","",43)</f>
        <v/>
      </c>
      <c r="B47" s="8" t="str">
        <f>IF($M47="","",TEXT(INT(INDEX(D_Points!$A$5:$A$204,$M47)/1000),"0")&amp;"+"&amp;TEXT(MOD(INDEX(D_Points!$A$5:$A$204,$M47),1000),"000"))</f>
        <v/>
      </c>
      <c r="C47" s="8" t="str">
        <f>IF($M47="","",UPPER(TRIM(INDEX(D_Points!$C$5:$C$204,$M47))))</f>
        <v/>
      </c>
      <c r="D47" s="8" t="str">
        <f>IF($M47="","",INDEX(D_Points!$D$5:$D$204,$M47))</f>
        <v/>
      </c>
      <c r="E47" s="8" t="str">
        <f>IF($M47="","",UPPER(TRIM(INDEX(D_Points!$E$5:$E$204,$M47))))</f>
        <v/>
      </c>
      <c r="F47" s="8" t="str">
        <f>IF($M47="","",INDEX(D_Points!$F$5:$F$204,$M47))</f>
        <v/>
      </c>
      <c r="G47" s="8" t="str">
        <f>IF($M47="","",""&amp;IF(INDEX(D_Points!$G$5:$G$204,$M47)="","Right Angle",TRIM(INDEX(D_Points!$G$5:$G$204,$M47))))</f>
        <v/>
      </c>
      <c r="H47" s="5" t="str">
        <f t="shared" si="3"/>
        <v/>
      </c>
      <c r="I47" s="5" t="str">
        <f t="shared" si="4"/>
        <v/>
      </c>
      <c r="J47" s="5" t="str">
        <f t="shared" si="5"/>
        <v/>
      </c>
      <c r="K47" s="8" t="str">
        <f>IF($M47="","",INDEX(D_Points!$I$5:$I$204,$M47))</f>
        <v/>
      </c>
      <c r="M47" s="226" t="str">
        <f>IFERROR(MATCH(43,D_Points!$K$5:$K$204,0),"")</f>
        <v/>
      </c>
    </row>
    <row r="48" spans="1:13" ht="15.75" customHeight="1" x14ac:dyDescent="0.3">
      <c r="A48" s="5" t="str">
        <f>IF($C48="","",44)</f>
        <v/>
      </c>
      <c r="B48" s="8" t="str">
        <f>IF($M48="","",TEXT(INT(INDEX(D_Points!$A$5:$A$204,$M48)/1000),"0")&amp;"+"&amp;TEXT(MOD(INDEX(D_Points!$A$5:$A$204,$M48),1000),"000"))</f>
        <v/>
      </c>
      <c r="C48" s="8" t="str">
        <f>IF($M48="","",UPPER(TRIM(INDEX(D_Points!$C$5:$C$204,$M48))))</f>
        <v/>
      </c>
      <c r="D48" s="8" t="str">
        <f>IF($M48="","",INDEX(D_Points!$D$5:$D$204,$M48))</f>
        <v/>
      </c>
      <c r="E48" s="8" t="str">
        <f>IF($M48="","",UPPER(TRIM(INDEX(D_Points!$E$5:$E$204,$M48))))</f>
        <v/>
      </c>
      <c r="F48" s="8" t="str">
        <f>IF($M48="","",INDEX(D_Points!$F$5:$F$204,$M48))</f>
        <v/>
      </c>
      <c r="G48" s="8" t="str">
        <f>IF($M48="","",""&amp;IF(INDEX(D_Points!$G$5:$G$204,$M48)="","Right Angle",TRIM(INDEX(D_Points!$G$5:$G$204,$M48))))</f>
        <v/>
      </c>
      <c r="H48" s="5" t="str">
        <f t="shared" si="3"/>
        <v/>
      </c>
      <c r="I48" s="5" t="str">
        <f t="shared" si="4"/>
        <v/>
      </c>
      <c r="J48" s="5" t="str">
        <f t="shared" si="5"/>
        <v/>
      </c>
      <c r="K48" s="8" t="str">
        <f>IF($M48="","",INDEX(D_Points!$I$5:$I$204,$M48))</f>
        <v/>
      </c>
      <c r="M48" s="226" t="str">
        <f>IFERROR(MATCH(44,D_Points!$K$5:$K$204,0),"")</f>
        <v/>
      </c>
    </row>
    <row r="49" spans="1:13" ht="15.75" customHeight="1" x14ac:dyDescent="0.3">
      <c r="A49" s="5" t="str">
        <f>IF($C49="","",45)</f>
        <v/>
      </c>
      <c r="B49" s="8" t="str">
        <f>IF($M49="","",TEXT(INT(INDEX(D_Points!$A$5:$A$204,$M49)/1000),"0")&amp;"+"&amp;TEXT(MOD(INDEX(D_Points!$A$5:$A$204,$M49),1000),"000"))</f>
        <v/>
      </c>
      <c r="C49" s="8" t="str">
        <f>IF($M49="","",UPPER(TRIM(INDEX(D_Points!$C$5:$C$204,$M49))))</f>
        <v/>
      </c>
      <c r="D49" s="8" t="str">
        <f>IF($M49="","",INDEX(D_Points!$D$5:$D$204,$M49))</f>
        <v/>
      </c>
      <c r="E49" s="8" t="str">
        <f>IF($M49="","",UPPER(TRIM(INDEX(D_Points!$E$5:$E$204,$M49))))</f>
        <v/>
      </c>
      <c r="F49" s="8" t="str">
        <f>IF($M49="","",INDEX(D_Points!$F$5:$F$204,$M49))</f>
        <v/>
      </c>
      <c r="G49" s="8" t="str">
        <f>IF($M49="","",""&amp;IF(INDEX(D_Points!$G$5:$G$204,$M49)="","Right Angle",TRIM(INDEX(D_Points!$G$5:$G$204,$M49))))</f>
        <v/>
      </c>
      <c r="H49" s="5" t="str">
        <f t="shared" si="3"/>
        <v/>
      </c>
      <c r="I49" s="5" t="str">
        <f t="shared" si="4"/>
        <v/>
      </c>
      <c r="J49" s="5" t="str">
        <f t="shared" si="5"/>
        <v/>
      </c>
      <c r="K49" s="8" t="str">
        <f>IF($M49="","",INDEX(D_Points!$I$5:$I$204,$M49))</f>
        <v/>
      </c>
      <c r="M49" s="226" t="str">
        <f>IFERROR(MATCH(45,D_Points!$K$5:$K$204,0),"")</f>
        <v/>
      </c>
    </row>
    <row r="50" spans="1:13" ht="15.75" customHeight="1" x14ac:dyDescent="0.3">
      <c r="A50" s="5" t="str">
        <f>IF($C50="","",46)</f>
        <v/>
      </c>
      <c r="B50" s="8" t="str">
        <f>IF($M50="","",TEXT(INT(INDEX(D_Points!$A$5:$A$204,$M50)/1000),"0")&amp;"+"&amp;TEXT(MOD(INDEX(D_Points!$A$5:$A$204,$M50),1000),"000"))</f>
        <v/>
      </c>
      <c r="C50" s="8" t="str">
        <f>IF($M50="","",UPPER(TRIM(INDEX(D_Points!$C$5:$C$204,$M50))))</f>
        <v/>
      </c>
      <c r="D50" s="8" t="str">
        <f>IF($M50="","",INDEX(D_Points!$D$5:$D$204,$M50))</f>
        <v/>
      </c>
      <c r="E50" s="8" t="str">
        <f>IF($M50="","",UPPER(TRIM(INDEX(D_Points!$E$5:$E$204,$M50))))</f>
        <v/>
      </c>
      <c r="F50" s="8" t="str">
        <f>IF($M50="","",INDEX(D_Points!$F$5:$F$204,$M50))</f>
        <v/>
      </c>
      <c r="G50" s="8" t="str">
        <f>IF($M50="","",""&amp;IF(INDEX(D_Points!$G$5:$G$204,$M50)="","Right Angle",TRIM(INDEX(D_Points!$G$5:$G$204,$M50))))</f>
        <v/>
      </c>
      <c r="H50" s="5" t="str">
        <f t="shared" si="3"/>
        <v/>
      </c>
      <c r="I50" s="5" t="str">
        <f t="shared" si="4"/>
        <v/>
      </c>
      <c r="J50" s="5" t="str">
        <f t="shared" si="5"/>
        <v/>
      </c>
      <c r="K50" s="8" t="str">
        <f>IF($M50="","",INDEX(D_Points!$I$5:$I$204,$M50))</f>
        <v/>
      </c>
      <c r="M50" s="226" t="str">
        <f>IFERROR(MATCH(46,D_Points!$K$5:$K$204,0),"")</f>
        <v/>
      </c>
    </row>
    <row r="51" spans="1:13" ht="15.75" customHeight="1" x14ac:dyDescent="0.3">
      <c r="A51" s="5" t="str">
        <f>IF($C51="","",47)</f>
        <v/>
      </c>
      <c r="B51" s="8" t="str">
        <f>IF($M51="","",TEXT(INT(INDEX(D_Points!$A$5:$A$204,$M51)/1000),"0")&amp;"+"&amp;TEXT(MOD(INDEX(D_Points!$A$5:$A$204,$M51),1000),"000"))</f>
        <v/>
      </c>
      <c r="C51" s="8" t="str">
        <f>IF($M51="","",UPPER(TRIM(INDEX(D_Points!$C$5:$C$204,$M51))))</f>
        <v/>
      </c>
      <c r="D51" s="8" t="str">
        <f>IF($M51="","",INDEX(D_Points!$D$5:$D$204,$M51))</f>
        <v/>
      </c>
      <c r="E51" s="8" t="str">
        <f>IF($M51="","",UPPER(TRIM(INDEX(D_Points!$E$5:$E$204,$M51))))</f>
        <v/>
      </c>
      <c r="F51" s="8" t="str">
        <f>IF($M51="","",INDEX(D_Points!$F$5:$F$204,$M51))</f>
        <v/>
      </c>
      <c r="G51" s="8" t="str">
        <f>IF($M51="","",""&amp;IF(INDEX(D_Points!$G$5:$G$204,$M51)="","Right Angle",TRIM(INDEX(D_Points!$G$5:$G$204,$M51))))</f>
        <v/>
      </c>
      <c r="H51" s="5" t="str">
        <f t="shared" si="3"/>
        <v/>
      </c>
      <c r="I51" s="5" t="str">
        <f t="shared" si="4"/>
        <v/>
      </c>
      <c r="J51" s="5" t="str">
        <f t="shared" si="5"/>
        <v/>
      </c>
      <c r="K51" s="8" t="str">
        <f>IF($M51="","",INDEX(D_Points!$I$5:$I$204,$M51))</f>
        <v/>
      </c>
      <c r="M51" s="226" t="str">
        <f>IFERROR(MATCH(47,D_Points!$K$5:$K$204,0),"")</f>
        <v/>
      </c>
    </row>
    <row r="52" spans="1:13" ht="15.75" customHeight="1" x14ac:dyDescent="0.3">
      <c r="A52" s="5" t="str">
        <f>IF($C52="","",48)</f>
        <v/>
      </c>
      <c r="B52" s="8" t="str">
        <f>IF($M52="","",TEXT(INT(INDEX(D_Points!$A$5:$A$204,$M52)/1000),"0")&amp;"+"&amp;TEXT(MOD(INDEX(D_Points!$A$5:$A$204,$M52),1000),"000"))</f>
        <v/>
      </c>
      <c r="C52" s="8" t="str">
        <f>IF($M52="","",UPPER(TRIM(INDEX(D_Points!$C$5:$C$204,$M52))))</f>
        <v/>
      </c>
      <c r="D52" s="8" t="str">
        <f>IF($M52="","",INDEX(D_Points!$D$5:$D$204,$M52))</f>
        <v/>
      </c>
      <c r="E52" s="8" t="str">
        <f>IF($M52="","",UPPER(TRIM(INDEX(D_Points!$E$5:$E$204,$M52))))</f>
        <v/>
      </c>
      <c r="F52" s="8" t="str">
        <f>IF($M52="","",INDEX(D_Points!$F$5:$F$204,$M52))</f>
        <v/>
      </c>
      <c r="G52" s="8" t="str">
        <f>IF($M52="","",""&amp;IF(INDEX(D_Points!$G$5:$G$204,$M52)="","Right Angle",TRIM(INDEX(D_Points!$G$5:$G$204,$M52))))</f>
        <v/>
      </c>
      <c r="H52" s="5" t="str">
        <f t="shared" si="3"/>
        <v/>
      </c>
      <c r="I52" s="5" t="str">
        <f t="shared" si="4"/>
        <v/>
      </c>
      <c r="J52" s="5" t="str">
        <f t="shared" si="5"/>
        <v/>
      </c>
      <c r="K52" s="8" t="str">
        <f>IF($M52="","",INDEX(D_Points!$I$5:$I$204,$M52))</f>
        <v/>
      </c>
      <c r="M52" s="226" t="str">
        <f>IFERROR(MATCH(48,D_Points!$K$5:$K$204,0),"")</f>
        <v/>
      </c>
    </row>
    <row r="53" spans="1:13" ht="15.75" customHeight="1" x14ac:dyDescent="0.3">
      <c r="A53" s="5" t="str">
        <f>IF($C53="","",49)</f>
        <v/>
      </c>
      <c r="B53" s="8" t="str">
        <f>IF($M53="","",TEXT(INT(INDEX(D_Points!$A$5:$A$204,$M53)/1000),"0")&amp;"+"&amp;TEXT(MOD(INDEX(D_Points!$A$5:$A$204,$M53),1000),"000"))</f>
        <v/>
      </c>
      <c r="C53" s="8" t="str">
        <f>IF($M53="","",UPPER(TRIM(INDEX(D_Points!$C$5:$C$204,$M53))))</f>
        <v/>
      </c>
      <c r="D53" s="8" t="str">
        <f>IF($M53="","",INDEX(D_Points!$D$5:$D$204,$M53))</f>
        <v/>
      </c>
      <c r="E53" s="8" t="str">
        <f>IF($M53="","",UPPER(TRIM(INDEX(D_Points!$E$5:$E$204,$M53))))</f>
        <v/>
      </c>
      <c r="F53" s="8" t="str">
        <f>IF($M53="","",INDEX(D_Points!$F$5:$F$204,$M53))</f>
        <v/>
      </c>
      <c r="G53" s="8" t="str">
        <f>IF($M53="","",""&amp;IF(INDEX(D_Points!$G$5:$G$204,$M53)="","Right Angle",TRIM(INDEX(D_Points!$G$5:$G$204,$M53))))</f>
        <v/>
      </c>
      <c r="H53" s="5" t="str">
        <f t="shared" si="3"/>
        <v/>
      </c>
      <c r="I53" s="5" t="str">
        <f t="shared" si="4"/>
        <v/>
      </c>
      <c r="J53" s="5" t="str">
        <f t="shared" si="5"/>
        <v/>
      </c>
      <c r="K53" s="8" t="str">
        <f>IF($M53="","",INDEX(D_Points!$I$5:$I$204,$M53))</f>
        <v/>
      </c>
      <c r="M53" s="226" t="str">
        <f>IFERROR(MATCH(49,D_Points!$K$5:$K$204,0),"")</f>
        <v/>
      </c>
    </row>
    <row r="54" spans="1:13" ht="15.75" customHeight="1" x14ac:dyDescent="0.3">
      <c r="A54" s="5" t="str">
        <f>IF($C54="","",50)</f>
        <v/>
      </c>
      <c r="B54" s="8" t="str">
        <f>IF($M54="","",TEXT(INT(INDEX(D_Points!$A$5:$A$204,$M54)/1000),"0")&amp;"+"&amp;TEXT(MOD(INDEX(D_Points!$A$5:$A$204,$M54),1000),"000"))</f>
        <v/>
      </c>
      <c r="C54" s="8" t="str">
        <f>IF($M54="","",UPPER(TRIM(INDEX(D_Points!$C$5:$C$204,$M54))))</f>
        <v/>
      </c>
      <c r="D54" s="8" t="str">
        <f>IF($M54="","",INDEX(D_Points!$D$5:$D$204,$M54))</f>
        <v/>
      </c>
      <c r="E54" s="8" t="str">
        <f>IF($M54="","",UPPER(TRIM(INDEX(D_Points!$E$5:$E$204,$M54))))</f>
        <v/>
      </c>
      <c r="F54" s="8" t="str">
        <f>IF($M54="","",INDEX(D_Points!$F$5:$F$204,$M54))</f>
        <v/>
      </c>
      <c r="G54" s="8" t="str">
        <f>IF($M54="","",""&amp;IF(INDEX(D_Points!$G$5:$G$204,$M54)="","Right Angle",TRIM(INDEX(D_Points!$G$5:$G$204,$M54))))</f>
        <v/>
      </c>
      <c r="H54" s="5" t="str">
        <f t="shared" si="3"/>
        <v/>
      </c>
      <c r="I54" s="5" t="str">
        <f t="shared" si="4"/>
        <v/>
      </c>
      <c r="J54" s="5" t="str">
        <f t="shared" si="5"/>
        <v/>
      </c>
      <c r="K54" s="8" t="str">
        <f>IF($M54="","",INDEX(D_Points!$I$5:$I$204,$M54))</f>
        <v/>
      </c>
      <c r="M54" s="226" t="str">
        <f>IFERROR(MATCH(50,D_Points!$K$5:$K$204,0),"")</f>
        <v/>
      </c>
    </row>
    <row r="55" spans="1:13" ht="15.75" customHeight="1" x14ac:dyDescent="0.3">
      <c r="A55" s="5" t="str">
        <f>IF($C55="","",51)</f>
        <v/>
      </c>
      <c r="B55" s="8" t="str">
        <f>IF($M55="","",TEXT(INT(INDEX(D_Points!$A$5:$A$204,$M55)/1000),"0")&amp;"+"&amp;TEXT(MOD(INDEX(D_Points!$A$5:$A$204,$M55),1000),"000"))</f>
        <v/>
      </c>
      <c r="C55" s="8" t="str">
        <f>IF($M55="","",UPPER(TRIM(INDEX(D_Points!$C$5:$C$204,$M55))))</f>
        <v/>
      </c>
      <c r="D55" s="8" t="str">
        <f>IF($M55="","",INDEX(D_Points!$D$5:$D$204,$M55))</f>
        <v/>
      </c>
      <c r="E55" s="8" t="str">
        <f>IF($M55="","",UPPER(TRIM(INDEX(D_Points!$E$5:$E$204,$M55))))</f>
        <v/>
      </c>
      <c r="F55" s="8" t="str">
        <f>IF($M55="","",INDEX(D_Points!$F$5:$F$204,$M55))</f>
        <v/>
      </c>
      <c r="G55" s="8" t="str">
        <f>IF($M55="","",""&amp;IF(INDEX(D_Points!$G$5:$G$204,$M55)="","Right Angle",TRIM(INDEX(D_Points!$G$5:$G$204,$M55))))</f>
        <v/>
      </c>
      <c r="H55" s="5" t="str">
        <f t="shared" si="3"/>
        <v/>
      </c>
      <c r="I55" s="5" t="str">
        <f t="shared" si="4"/>
        <v/>
      </c>
      <c r="J55" s="5" t="str">
        <f t="shared" si="5"/>
        <v/>
      </c>
      <c r="K55" s="8" t="str">
        <f>IF($M55="","",INDEX(D_Points!$I$5:$I$204,$M55))</f>
        <v/>
      </c>
      <c r="M55" s="226" t="str">
        <f>IFERROR(MATCH(51,D_Points!$K$5:$K$204,0),"")</f>
        <v/>
      </c>
    </row>
    <row r="56" spans="1:13" ht="15.75" customHeight="1" x14ac:dyDescent="0.3">
      <c r="A56" s="5" t="str">
        <f>IF($C56="","",52)</f>
        <v/>
      </c>
      <c r="B56" s="8" t="str">
        <f>IF($M56="","",TEXT(INT(INDEX(D_Points!$A$5:$A$204,$M56)/1000),"0")&amp;"+"&amp;TEXT(MOD(INDEX(D_Points!$A$5:$A$204,$M56),1000),"000"))</f>
        <v/>
      </c>
      <c r="C56" s="8" t="str">
        <f>IF($M56="","",UPPER(TRIM(INDEX(D_Points!$C$5:$C$204,$M56))))</f>
        <v/>
      </c>
      <c r="D56" s="8" t="str">
        <f>IF($M56="","",INDEX(D_Points!$D$5:$D$204,$M56))</f>
        <v/>
      </c>
      <c r="E56" s="8" t="str">
        <f>IF($M56="","",UPPER(TRIM(INDEX(D_Points!$E$5:$E$204,$M56))))</f>
        <v/>
      </c>
      <c r="F56" s="8" t="str">
        <f>IF($M56="","",INDEX(D_Points!$F$5:$F$204,$M56))</f>
        <v/>
      </c>
      <c r="G56" s="8" t="str">
        <f>IF($M56="","",""&amp;IF(INDEX(D_Points!$G$5:$G$204,$M56)="","Right Angle",TRIM(INDEX(D_Points!$G$5:$G$204,$M56))))</f>
        <v/>
      </c>
      <c r="H56" s="5" t="str">
        <f t="shared" si="3"/>
        <v/>
      </c>
      <c r="I56" s="5" t="str">
        <f t="shared" si="4"/>
        <v/>
      </c>
      <c r="J56" s="5" t="str">
        <f t="shared" si="5"/>
        <v/>
      </c>
      <c r="K56" s="8" t="str">
        <f>IF($M56="","",INDEX(D_Points!$I$5:$I$204,$M56))</f>
        <v/>
      </c>
      <c r="M56" s="226" t="str">
        <f>IFERROR(MATCH(52,D_Points!$K$5:$K$204,0),"")</f>
        <v/>
      </c>
    </row>
    <row r="57" spans="1:13" ht="15.75" customHeight="1" x14ac:dyDescent="0.3">
      <c r="A57" s="5" t="str">
        <f>IF($C57="","",53)</f>
        <v/>
      </c>
      <c r="B57" s="8" t="str">
        <f>IF($M57="","",TEXT(INT(INDEX(D_Points!$A$5:$A$204,$M57)/1000),"0")&amp;"+"&amp;TEXT(MOD(INDEX(D_Points!$A$5:$A$204,$M57),1000),"000"))</f>
        <v/>
      </c>
      <c r="C57" s="8" t="str">
        <f>IF($M57="","",UPPER(TRIM(INDEX(D_Points!$C$5:$C$204,$M57))))</f>
        <v/>
      </c>
      <c r="D57" s="8" t="str">
        <f>IF($M57="","",INDEX(D_Points!$D$5:$D$204,$M57))</f>
        <v/>
      </c>
      <c r="E57" s="8" t="str">
        <f>IF($M57="","",UPPER(TRIM(INDEX(D_Points!$E$5:$E$204,$M57))))</f>
        <v/>
      </c>
      <c r="F57" s="8" t="str">
        <f>IF($M57="","",INDEX(D_Points!$F$5:$F$204,$M57))</f>
        <v/>
      </c>
      <c r="G57" s="8" t="str">
        <f>IF($M57="","",""&amp;IF(INDEX(D_Points!$G$5:$G$204,$M57)="","Right Angle",TRIM(INDEX(D_Points!$G$5:$G$204,$M57))))</f>
        <v/>
      </c>
      <c r="H57" s="5" t="str">
        <f t="shared" si="3"/>
        <v/>
      </c>
      <c r="I57" s="5" t="str">
        <f t="shared" si="4"/>
        <v/>
      </c>
      <c r="J57" s="5" t="str">
        <f t="shared" si="5"/>
        <v/>
      </c>
      <c r="K57" s="8" t="str">
        <f>IF($M57="","",INDEX(D_Points!$I$5:$I$204,$M57))</f>
        <v/>
      </c>
      <c r="M57" s="226" t="str">
        <f>IFERROR(MATCH(53,D_Points!$K$5:$K$204,0),"")</f>
        <v/>
      </c>
    </row>
    <row r="58" spans="1:13" ht="15.75" customHeight="1" x14ac:dyDescent="0.3">
      <c r="A58" s="5" t="str">
        <f>IF($C58="","",54)</f>
        <v/>
      </c>
      <c r="B58" s="8" t="str">
        <f>IF($M58="","",TEXT(INT(INDEX(D_Points!$A$5:$A$204,$M58)/1000),"0")&amp;"+"&amp;TEXT(MOD(INDEX(D_Points!$A$5:$A$204,$M58),1000),"000"))</f>
        <v/>
      </c>
      <c r="C58" s="8" t="str">
        <f>IF($M58="","",UPPER(TRIM(INDEX(D_Points!$C$5:$C$204,$M58))))</f>
        <v/>
      </c>
      <c r="D58" s="8" t="str">
        <f>IF($M58="","",INDEX(D_Points!$D$5:$D$204,$M58))</f>
        <v/>
      </c>
      <c r="E58" s="8" t="str">
        <f>IF($M58="","",UPPER(TRIM(INDEX(D_Points!$E$5:$E$204,$M58))))</f>
        <v/>
      </c>
      <c r="F58" s="8" t="str">
        <f>IF($M58="","",INDEX(D_Points!$F$5:$F$204,$M58))</f>
        <v/>
      </c>
      <c r="G58" s="8" t="str">
        <f>IF($M58="","",""&amp;IF(INDEX(D_Points!$G$5:$G$204,$M58)="","Right Angle",TRIM(INDEX(D_Points!$G$5:$G$204,$M58))))</f>
        <v/>
      </c>
      <c r="H58" s="5" t="str">
        <f t="shared" si="3"/>
        <v/>
      </c>
      <c r="I58" s="5" t="str">
        <f t="shared" si="4"/>
        <v/>
      </c>
      <c r="J58" s="5" t="str">
        <f t="shared" si="5"/>
        <v/>
      </c>
      <c r="K58" s="8" t="str">
        <f>IF($M58="","",INDEX(D_Points!$I$5:$I$204,$M58))</f>
        <v/>
      </c>
      <c r="M58" s="226" t="str">
        <f>IFERROR(MATCH(54,D_Points!$K$5:$K$204,0),"")</f>
        <v/>
      </c>
    </row>
    <row r="59" spans="1:13" ht="15.75" customHeight="1" x14ac:dyDescent="0.3">
      <c r="A59" s="5" t="str">
        <f>IF($C59="","",55)</f>
        <v/>
      </c>
      <c r="B59" s="8" t="str">
        <f>IF($M59="","",TEXT(INT(INDEX(D_Points!$A$5:$A$204,$M59)/1000),"0")&amp;"+"&amp;TEXT(MOD(INDEX(D_Points!$A$5:$A$204,$M59),1000),"000"))</f>
        <v/>
      </c>
      <c r="C59" s="8" t="str">
        <f>IF($M59="","",UPPER(TRIM(INDEX(D_Points!$C$5:$C$204,$M59))))</f>
        <v/>
      </c>
      <c r="D59" s="8" t="str">
        <f>IF($M59="","",INDEX(D_Points!$D$5:$D$204,$M59))</f>
        <v/>
      </c>
      <c r="E59" s="8" t="str">
        <f>IF($M59="","",UPPER(TRIM(INDEX(D_Points!$E$5:$E$204,$M59))))</f>
        <v/>
      </c>
      <c r="F59" s="8" t="str">
        <f>IF($M59="","",INDEX(D_Points!$F$5:$F$204,$M59))</f>
        <v/>
      </c>
      <c r="G59" s="8" t="str">
        <f>IF($M59="","",""&amp;IF(INDEX(D_Points!$G$5:$G$204,$M59)="","Right Angle",TRIM(INDEX(D_Points!$G$5:$G$204,$M59))))</f>
        <v/>
      </c>
      <c r="H59" s="5" t="str">
        <f t="shared" si="3"/>
        <v/>
      </c>
      <c r="I59" s="5" t="str">
        <f t="shared" si="4"/>
        <v/>
      </c>
      <c r="J59" s="5" t="str">
        <f t="shared" si="5"/>
        <v/>
      </c>
      <c r="K59" s="8" t="str">
        <f>IF($M59="","",INDEX(D_Points!$I$5:$I$204,$M59))</f>
        <v/>
      </c>
      <c r="M59" s="226" t="str">
        <f>IFERROR(MATCH(55,D_Points!$K$5:$K$204,0),"")</f>
        <v/>
      </c>
    </row>
    <row r="60" spans="1:13" ht="15.75" customHeight="1" x14ac:dyDescent="0.3">
      <c r="A60" s="5" t="str">
        <f>IF($C60="","",56)</f>
        <v/>
      </c>
      <c r="B60" s="8" t="str">
        <f>IF($M60="","",TEXT(INT(INDEX(D_Points!$A$5:$A$204,$M60)/1000),"0")&amp;"+"&amp;TEXT(MOD(INDEX(D_Points!$A$5:$A$204,$M60),1000),"000"))</f>
        <v/>
      </c>
      <c r="C60" s="8" t="str">
        <f>IF($M60="","",UPPER(TRIM(INDEX(D_Points!$C$5:$C$204,$M60))))</f>
        <v/>
      </c>
      <c r="D60" s="8" t="str">
        <f>IF($M60="","",INDEX(D_Points!$D$5:$D$204,$M60))</f>
        <v/>
      </c>
      <c r="E60" s="8" t="str">
        <f>IF($M60="","",UPPER(TRIM(INDEX(D_Points!$E$5:$E$204,$M60))))</f>
        <v/>
      </c>
      <c r="F60" s="8" t="str">
        <f>IF($M60="","",INDEX(D_Points!$F$5:$F$204,$M60))</f>
        <v/>
      </c>
      <c r="G60" s="8" t="str">
        <f>IF($M60="","",""&amp;IF(INDEX(D_Points!$G$5:$G$204,$M60)="","Right Angle",TRIM(INDEX(D_Points!$G$5:$G$204,$M60))))</f>
        <v/>
      </c>
      <c r="H60" s="5" t="str">
        <f t="shared" si="3"/>
        <v/>
      </c>
      <c r="I60" s="5" t="str">
        <f t="shared" si="4"/>
        <v/>
      </c>
      <c r="J60" s="5" t="str">
        <f t="shared" si="5"/>
        <v/>
      </c>
      <c r="K60" s="8" t="str">
        <f>IF($M60="","",INDEX(D_Points!$I$5:$I$204,$M60))</f>
        <v/>
      </c>
      <c r="M60" s="226" t="str">
        <f>IFERROR(MATCH(56,D_Points!$K$5:$K$204,0),"")</f>
        <v/>
      </c>
    </row>
    <row r="61" spans="1:13" ht="15.75" customHeight="1" x14ac:dyDescent="0.3">
      <c r="A61" s="5" t="str">
        <f>IF($C61="","",57)</f>
        <v/>
      </c>
      <c r="B61" s="8" t="str">
        <f>IF($M61="","",TEXT(INT(INDEX(D_Points!$A$5:$A$204,$M61)/1000),"0")&amp;"+"&amp;TEXT(MOD(INDEX(D_Points!$A$5:$A$204,$M61),1000),"000"))</f>
        <v/>
      </c>
      <c r="C61" s="8" t="str">
        <f>IF($M61="","",UPPER(TRIM(INDEX(D_Points!$C$5:$C$204,$M61))))</f>
        <v/>
      </c>
      <c r="D61" s="8" t="str">
        <f>IF($M61="","",INDEX(D_Points!$D$5:$D$204,$M61))</f>
        <v/>
      </c>
      <c r="E61" s="8" t="str">
        <f>IF($M61="","",UPPER(TRIM(INDEX(D_Points!$E$5:$E$204,$M61))))</f>
        <v/>
      </c>
      <c r="F61" s="8" t="str">
        <f>IF($M61="","",INDEX(D_Points!$F$5:$F$204,$M61))</f>
        <v/>
      </c>
      <c r="G61" s="8" t="str">
        <f>IF($M61="","",""&amp;IF(INDEX(D_Points!$G$5:$G$204,$M61)="","Right Angle",TRIM(INDEX(D_Points!$G$5:$G$204,$M61))))</f>
        <v/>
      </c>
      <c r="H61" s="5" t="str">
        <f t="shared" si="3"/>
        <v/>
      </c>
      <c r="I61" s="5" t="str">
        <f t="shared" si="4"/>
        <v/>
      </c>
      <c r="J61" s="5" t="str">
        <f t="shared" si="5"/>
        <v/>
      </c>
      <c r="K61" s="8" t="str">
        <f>IF($M61="","",INDEX(D_Points!$I$5:$I$204,$M61))</f>
        <v/>
      </c>
      <c r="M61" s="226" t="str">
        <f>IFERROR(MATCH(57,D_Points!$K$5:$K$204,0),"")</f>
        <v/>
      </c>
    </row>
    <row r="62" spans="1:13" ht="15.75" customHeight="1" x14ac:dyDescent="0.3">
      <c r="A62" s="5" t="str">
        <f>IF($C62="","",58)</f>
        <v/>
      </c>
      <c r="B62" s="8" t="str">
        <f>IF($M62="","",TEXT(INT(INDEX(D_Points!$A$5:$A$204,$M62)/1000),"0")&amp;"+"&amp;TEXT(MOD(INDEX(D_Points!$A$5:$A$204,$M62),1000),"000"))</f>
        <v/>
      </c>
      <c r="C62" s="8" t="str">
        <f>IF($M62="","",UPPER(TRIM(INDEX(D_Points!$C$5:$C$204,$M62))))</f>
        <v/>
      </c>
      <c r="D62" s="8" t="str">
        <f>IF($M62="","",INDEX(D_Points!$D$5:$D$204,$M62))</f>
        <v/>
      </c>
      <c r="E62" s="8" t="str">
        <f>IF($M62="","",UPPER(TRIM(INDEX(D_Points!$E$5:$E$204,$M62))))</f>
        <v/>
      </c>
      <c r="F62" s="8" t="str">
        <f>IF($M62="","",INDEX(D_Points!$F$5:$F$204,$M62))</f>
        <v/>
      </c>
      <c r="G62" s="8" t="str">
        <f>IF($M62="","",""&amp;IF(INDEX(D_Points!$G$5:$G$204,$M62)="","Right Angle",TRIM(INDEX(D_Points!$G$5:$G$204,$M62))))</f>
        <v/>
      </c>
      <c r="H62" s="5" t="str">
        <f t="shared" si="3"/>
        <v/>
      </c>
      <c r="I62" s="5" t="str">
        <f t="shared" si="4"/>
        <v/>
      </c>
      <c r="J62" s="5" t="str">
        <f t="shared" si="5"/>
        <v/>
      </c>
      <c r="K62" s="8" t="str">
        <f>IF($M62="","",INDEX(D_Points!$I$5:$I$204,$M62))</f>
        <v/>
      </c>
      <c r="M62" s="226" t="str">
        <f>IFERROR(MATCH(58,D_Points!$K$5:$K$204,0),"")</f>
        <v/>
      </c>
    </row>
    <row r="63" spans="1:13" ht="15.75" customHeight="1" x14ac:dyDescent="0.3">
      <c r="A63" s="5" t="str">
        <f>IF($C63="","",59)</f>
        <v/>
      </c>
      <c r="B63" s="8" t="str">
        <f>IF($M63="","",TEXT(INT(INDEX(D_Points!$A$5:$A$204,$M63)/1000),"0")&amp;"+"&amp;TEXT(MOD(INDEX(D_Points!$A$5:$A$204,$M63),1000),"000"))</f>
        <v/>
      </c>
      <c r="C63" s="8" t="str">
        <f>IF($M63="","",UPPER(TRIM(INDEX(D_Points!$C$5:$C$204,$M63))))</f>
        <v/>
      </c>
      <c r="D63" s="8" t="str">
        <f>IF($M63="","",INDEX(D_Points!$D$5:$D$204,$M63))</f>
        <v/>
      </c>
      <c r="E63" s="8" t="str">
        <f>IF($M63="","",UPPER(TRIM(INDEX(D_Points!$E$5:$E$204,$M63))))</f>
        <v/>
      </c>
      <c r="F63" s="8" t="str">
        <f>IF($M63="","",INDEX(D_Points!$F$5:$F$204,$M63))</f>
        <v/>
      </c>
      <c r="G63" s="8" t="str">
        <f>IF($M63="","",""&amp;IF(INDEX(D_Points!$G$5:$G$204,$M63)="","Right Angle",TRIM(INDEX(D_Points!$G$5:$G$204,$M63))))</f>
        <v/>
      </c>
      <c r="H63" s="5" t="str">
        <f t="shared" si="3"/>
        <v/>
      </c>
      <c r="I63" s="5" t="str">
        <f t="shared" si="4"/>
        <v/>
      </c>
      <c r="J63" s="5" t="str">
        <f t="shared" si="5"/>
        <v/>
      </c>
      <c r="K63" s="8" t="str">
        <f>IF($M63="","",INDEX(D_Points!$I$5:$I$204,$M63))</f>
        <v/>
      </c>
      <c r="M63" s="226" t="str">
        <f>IFERROR(MATCH(59,D_Points!$K$5:$K$204,0),"")</f>
        <v/>
      </c>
    </row>
    <row r="64" spans="1:13" ht="15.75" customHeight="1" x14ac:dyDescent="0.3">
      <c r="A64" s="5" t="str">
        <f>IF($C64="","",60)</f>
        <v/>
      </c>
      <c r="B64" s="8" t="str">
        <f>IF($M64="","",TEXT(INT(INDEX(D_Points!$A$5:$A$204,$M64)/1000),"0")&amp;"+"&amp;TEXT(MOD(INDEX(D_Points!$A$5:$A$204,$M64),1000),"000"))</f>
        <v/>
      </c>
      <c r="C64" s="8" t="str">
        <f>IF($M64="","",UPPER(TRIM(INDEX(D_Points!$C$5:$C$204,$M64))))</f>
        <v/>
      </c>
      <c r="D64" s="8" t="str">
        <f>IF($M64="","",INDEX(D_Points!$D$5:$D$204,$M64))</f>
        <v/>
      </c>
      <c r="E64" s="8" t="str">
        <f>IF($M64="","",UPPER(TRIM(INDEX(D_Points!$E$5:$E$204,$M64))))</f>
        <v/>
      </c>
      <c r="F64" s="8" t="str">
        <f>IF($M64="","",INDEX(D_Points!$F$5:$F$204,$M64))</f>
        <v/>
      </c>
      <c r="G64" s="8" t="str">
        <f>IF($M64="","",""&amp;IF(INDEX(D_Points!$G$5:$G$204,$M64)="","Right Angle",TRIM(INDEX(D_Points!$G$5:$G$204,$M64))))</f>
        <v/>
      </c>
      <c r="H64" s="5" t="str">
        <f t="shared" si="3"/>
        <v/>
      </c>
      <c r="I64" s="5" t="str">
        <f t="shared" si="4"/>
        <v/>
      </c>
      <c r="J64" s="5" t="str">
        <f t="shared" si="5"/>
        <v/>
      </c>
      <c r="K64" s="8" t="str">
        <f>IF($M64="","",INDEX(D_Points!$I$5:$I$204,$M64))</f>
        <v/>
      </c>
      <c r="M64" s="226" t="str">
        <f>IFERROR(MATCH(60,D_Points!$K$5:$K$204,0),"")</f>
        <v/>
      </c>
    </row>
    <row r="65" spans="1:13" ht="15.75" customHeight="1" x14ac:dyDescent="0.3">
      <c r="A65" s="5" t="str">
        <f>IF($C65="","",61)</f>
        <v/>
      </c>
      <c r="B65" s="8" t="str">
        <f>IF($M65="","",TEXT(INT(INDEX(D_Points!$A$5:$A$204,$M65)/1000),"0")&amp;"+"&amp;TEXT(MOD(INDEX(D_Points!$A$5:$A$204,$M65),1000),"000"))</f>
        <v/>
      </c>
      <c r="C65" s="8" t="str">
        <f>IF($M65="","",UPPER(TRIM(INDEX(D_Points!$C$5:$C$204,$M65))))</f>
        <v/>
      </c>
      <c r="D65" s="8" t="str">
        <f>IF($M65="","",INDEX(D_Points!$D$5:$D$204,$M65))</f>
        <v/>
      </c>
      <c r="E65" s="8" t="str">
        <f>IF($M65="","",UPPER(TRIM(INDEX(D_Points!$E$5:$E$204,$M65))))</f>
        <v/>
      </c>
      <c r="F65" s="8" t="str">
        <f>IF($M65="","",INDEX(D_Points!$F$5:$F$204,$M65))</f>
        <v/>
      </c>
      <c r="G65" s="8" t="str">
        <f>IF($M65="","",""&amp;IF(INDEX(D_Points!$G$5:$G$204,$M65)="","Right Angle",TRIM(INDEX(D_Points!$G$5:$G$204,$M65))))</f>
        <v/>
      </c>
      <c r="H65" s="5" t="str">
        <f t="shared" si="3"/>
        <v/>
      </c>
      <c r="I65" s="5" t="str">
        <f t="shared" si="4"/>
        <v/>
      </c>
      <c r="J65" s="5" t="str">
        <f t="shared" si="5"/>
        <v/>
      </c>
      <c r="K65" s="8" t="str">
        <f>IF($M65="","",INDEX(D_Points!$I$5:$I$204,$M65))</f>
        <v/>
      </c>
      <c r="M65" s="226" t="str">
        <f>IFERROR(MATCH(61,D_Points!$K$5:$K$204,0),"")</f>
        <v/>
      </c>
    </row>
    <row r="66" spans="1:13" ht="15.75" customHeight="1" x14ac:dyDescent="0.3">
      <c r="A66" s="5" t="str">
        <f>IF($C66="","",62)</f>
        <v/>
      </c>
      <c r="B66" s="8" t="str">
        <f>IF($M66="","",TEXT(INT(INDEX(D_Points!$A$5:$A$204,$M66)/1000),"0")&amp;"+"&amp;TEXT(MOD(INDEX(D_Points!$A$5:$A$204,$M66),1000),"000"))</f>
        <v/>
      </c>
      <c r="C66" s="8" t="str">
        <f>IF($M66="","",UPPER(TRIM(INDEX(D_Points!$C$5:$C$204,$M66))))</f>
        <v/>
      </c>
      <c r="D66" s="8" t="str">
        <f>IF($M66="","",INDEX(D_Points!$D$5:$D$204,$M66))</f>
        <v/>
      </c>
      <c r="E66" s="8" t="str">
        <f>IF($M66="","",UPPER(TRIM(INDEX(D_Points!$E$5:$E$204,$M66))))</f>
        <v/>
      </c>
      <c r="F66" s="8" t="str">
        <f>IF($M66="","",INDEX(D_Points!$F$5:$F$204,$M66))</f>
        <v/>
      </c>
      <c r="G66" s="8" t="str">
        <f>IF($M66="","",""&amp;IF(INDEX(D_Points!$G$5:$G$204,$M66)="","Right Angle",TRIM(INDEX(D_Points!$G$5:$G$204,$M66))))</f>
        <v/>
      </c>
      <c r="H66" s="5" t="str">
        <f t="shared" si="3"/>
        <v/>
      </c>
      <c r="I66" s="5" t="str">
        <f t="shared" si="4"/>
        <v/>
      </c>
      <c r="J66" s="5" t="str">
        <f t="shared" si="5"/>
        <v/>
      </c>
      <c r="K66" s="8" t="str">
        <f>IF($M66="","",INDEX(D_Points!$I$5:$I$204,$M66))</f>
        <v/>
      </c>
      <c r="M66" s="226" t="str">
        <f>IFERROR(MATCH(62,D_Points!$K$5:$K$204,0),"")</f>
        <v/>
      </c>
    </row>
    <row r="67" spans="1:13" ht="15.75" customHeight="1" x14ac:dyDescent="0.3">
      <c r="A67" s="5" t="str">
        <f>IF($C67="","",63)</f>
        <v/>
      </c>
      <c r="B67" s="8" t="str">
        <f>IF($M67="","",TEXT(INT(INDEX(D_Points!$A$5:$A$204,$M67)/1000),"0")&amp;"+"&amp;TEXT(MOD(INDEX(D_Points!$A$5:$A$204,$M67),1000),"000"))</f>
        <v/>
      </c>
      <c r="C67" s="8" t="str">
        <f>IF($M67="","",UPPER(TRIM(INDEX(D_Points!$C$5:$C$204,$M67))))</f>
        <v/>
      </c>
      <c r="D67" s="8" t="str">
        <f>IF($M67="","",INDEX(D_Points!$D$5:$D$204,$M67))</f>
        <v/>
      </c>
      <c r="E67" s="8" t="str">
        <f>IF($M67="","",UPPER(TRIM(INDEX(D_Points!$E$5:$E$204,$M67))))</f>
        <v/>
      </c>
      <c r="F67" s="8" t="str">
        <f>IF($M67="","",INDEX(D_Points!$F$5:$F$204,$M67))</f>
        <v/>
      </c>
      <c r="G67" s="8" t="str">
        <f>IF($M67="","",""&amp;IF(INDEX(D_Points!$G$5:$G$204,$M67)="","Right Angle",TRIM(INDEX(D_Points!$G$5:$G$204,$M67))))</f>
        <v/>
      </c>
      <c r="H67" s="5" t="str">
        <f t="shared" si="3"/>
        <v/>
      </c>
      <c r="I67" s="5" t="str">
        <f t="shared" si="4"/>
        <v/>
      </c>
      <c r="J67" s="5" t="str">
        <f t="shared" si="5"/>
        <v/>
      </c>
      <c r="K67" s="8" t="str">
        <f>IF($M67="","",INDEX(D_Points!$I$5:$I$204,$M67))</f>
        <v/>
      </c>
      <c r="M67" s="226" t="str">
        <f>IFERROR(MATCH(63,D_Points!$K$5:$K$204,0),"")</f>
        <v/>
      </c>
    </row>
    <row r="68" spans="1:13" ht="15.75" customHeight="1" x14ac:dyDescent="0.3">
      <c r="A68" s="5" t="str">
        <f>IF($C68="","",64)</f>
        <v/>
      </c>
      <c r="B68" s="8" t="str">
        <f>IF($M68="","",TEXT(INT(INDEX(D_Points!$A$5:$A$204,$M68)/1000),"0")&amp;"+"&amp;TEXT(MOD(INDEX(D_Points!$A$5:$A$204,$M68),1000),"000"))</f>
        <v/>
      </c>
      <c r="C68" s="8" t="str">
        <f>IF($M68="","",UPPER(TRIM(INDEX(D_Points!$C$5:$C$204,$M68))))</f>
        <v/>
      </c>
      <c r="D68" s="8" t="str">
        <f>IF($M68="","",INDEX(D_Points!$D$5:$D$204,$M68))</f>
        <v/>
      </c>
      <c r="E68" s="8" t="str">
        <f>IF($M68="","",UPPER(TRIM(INDEX(D_Points!$E$5:$E$204,$M68))))</f>
        <v/>
      </c>
      <c r="F68" s="8" t="str">
        <f>IF($M68="","",INDEX(D_Points!$F$5:$F$204,$M68))</f>
        <v/>
      </c>
      <c r="G68" s="8" t="str">
        <f>IF($M68="","",""&amp;IF(INDEX(D_Points!$G$5:$G$204,$M68)="","Right Angle",TRIM(INDEX(D_Points!$G$5:$G$204,$M68))))</f>
        <v/>
      </c>
      <c r="H68" s="5" t="str">
        <f t="shared" si="3"/>
        <v/>
      </c>
      <c r="I68" s="5" t="str">
        <f t="shared" si="4"/>
        <v/>
      </c>
      <c r="J68" s="5" t="str">
        <f t="shared" si="5"/>
        <v/>
      </c>
      <c r="K68" s="8" t="str">
        <f>IF($M68="","",INDEX(D_Points!$I$5:$I$204,$M68))</f>
        <v/>
      </c>
      <c r="M68" s="226" t="str">
        <f>IFERROR(MATCH(64,D_Points!$K$5:$K$204,0),"")</f>
        <v/>
      </c>
    </row>
    <row r="69" spans="1:13" ht="15.75" customHeight="1" x14ac:dyDescent="0.3">
      <c r="A69" s="5" t="str">
        <f>IF($C69="","",65)</f>
        <v/>
      </c>
      <c r="B69" s="8" t="str">
        <f>IF($M69="","",TEXT(INT(INDEX(D_Points!$A$5:$A$204,$M69)/1000),"0")&amp;"+"&amp;TEXT(MOD(INDEX(D_Points!$A$5:$A$204,$M69),1000),"000"))</f>
        <v/>
      </c>
      <c r="C69" s="8" t="str">
        <f>IF($M69="","",UPPER(TRIM(INDEX(D_Points!$C$5:$C$204,$M69))))</f>
        <v/>
      </c>
      <c r="D69" s="8" t="str">
        <f>IF($M69="","",INDEX(D_Points!$D$5:$D$204,$M69))</f>
        <v/>
      </c>
      <c r="E69" s="8" t="str">
        <f>IF($M69="","",UPPER(TRIM(INDEX(D_Points!$E$5:$E$204,$M69))))</f>
        <v/>
      </c>
      <c r="F69" s="8" t="str">
        <f>IF($M69="","",INDEX(D_Points!$F$5:$F$204,$M69))</f>
        <v/>
      </c>
      <c r="G69" s="8" t="str">
        <f>IF($M69="","",""&amp;IF(INDEX(D_Points!$G$5:$G$204,$M69)="","Right Angle",TRIM(INDEX(D_Points!$G$5:$G$204,$M69))))</f>
        <v/>
      </c>
      <c r="H69" s="5" t="str">
        <f t="shared" ref="H69:H104" si="6">IF($C69="","",IF($G69="Skew","Catchpit inlet","Normal endwalls"))</f>
        <v/>
      </c>
      <c r="I69" s="5" t="str">
        <f t="shared" ref="I69:I104" si="7">IF($C69="","","Normal outlet")</f>
        <v/>
      </c>
      <c r="J69" s="5" t="str">
        <f t="shared" ref="J69:J104" si="8">IF($C69="","",$C69&amp;"|"&amp;$D69&amp;"/"&amp;UPPER(TRIM($E69)))</f>
        <v/>
      </c>
      <c r="K69" s="8" t="str">
        <f>IF($M69="","",INDEX(D_Points!$I$5:$I$204,$M69))</f>
        <v/>
      </c>
      <c r="M69" s="226" t="str">
        <f>IFERROR(MATCH(65,D_Points!$K$5:$K$204,0),"")</f>
        <v/>
      </c>
    </row>
    <row r="70" spans="1:13" ht="15.75" customHeight="1" x14ac:dyDescent="0.3">
      <c r="A70" s="5" t="str">
        <f>IF($C70="","",66)</f>
        <v/>
      </c>
      <c r="B70" s="8" t="str">
        <f>IF($M70="","",TEXT(INT(INDEX(D_Points!$A$5:$A$204,$M70)/1000),"0")&amp;"+"&amp;TEXT(MOD(INDEX(D_Points!$A$5:$A$204,$M70),1000),"000"))</f>
        <v/>
      </c>
      <c r="C70" s="8" t="str">
        <f>IF($M70="","",UPPER(TRIM(INDEX(D_Points!$C$5:$C$204,$M70))))</f>
        <v/>
      </c>
      <c r="D70" s="8" t="str">
        <f>IF($M70="","",INDEX(D_Points!$D$5:$D$204,$M70))</f>
        <v/>
      </c>
      <c r="E70" s="8" t="str">
        <f>IF($M70="","",UPPER(TRIM(INDEX(D_Points!$E$5:$E$204,$M70))))</f>
        <v/>
      </c>
      <c r="F70" s="8" t="str">
        <f>IF($M70="","",INDEX(D_Points!$F$5:$F$204,$M70))</f>
        <v/>
      </c>
      <c r="G70" s="8" t="str">
        <f>IF($M70="","",""&amp;IF(INDEX(D_Points!$G$5:$G$204,$M70)="","Right Angle",TRIM(INDEX(D_Points!$G$5:$G$204,$M70))))</f>
        <v/>
      </c>
      <c r="H70" s="5" t="str">
        <f t="shared" si="6"/>
        <v/>
      </c>
      <c r="I70" s="5" t="str">
        <f t="shared" si="7"/>
        <v/>
      </c>
      <c r="J70" s="5" t="str">
        <f t="shared" si="8"/>
        <v/>
      </c>
      <c r="K70" s="8" t="str">
        <f>IF($M70="","",INDEX(D_Points!$I$5:$I$204,$M70))</f>
        <v/>
      </c>
      <c r="M70" s="226" t="str">
        <f>IFERROR(MATCH(66,D_Points!$K$5:$K$204,0),"")</f>
        <v/>
      </c>
    </row>
    <row r="71" spans="1:13" ht="15.75" customHeight="1" x14ac:dyDescent="0.3">
      <c r="A71" s="5" t="str">
        <f>IF($C71="","",67)</f>
        <v/>
      </c>
      <c r="B71" s="8" t="str">
        <f>IF($M71="","",TEXT(INT(INDEX(D_Points!$A$5:$A$204,$M71)/1000),"0")&amp;"+"&amp;TEXT(MOD(INDEX(D_Points!$A$5:$A$204,$M71),1000),"000"))</f>
        <v/>
      </c>
      <c r="C71" s="8" t="str">
        <f>IF($M71="","",UPPER(TRIM(INDEX(D_Points!$C$5:$C$204,$M71))))</f>
        <v/>
      </c>
      <c r="D71" s="8" t="str">
        <f>IF($M71="","",INDEX(D_Points!$D$5:$D$204,$M71))</f>
        <v/>
      </c>
      <c r="E71" s="8" t="str">
        <f>IF($M71="","",UPPER(TRIM(INDEX(D_Points!$E$5:$E$204,$M71))))</f>
        <v/>
      </c>
      <c r="F71" s="8" t="str">
        <f>IF($M71="","",INDEX(D_Points!$F$5:$F$204,$M71))</f>
        <v/>
      </c>
      <c r="G71" s="8" t="str">
        <f>IF($M71="","",""&amp;IF(INDEX(D_Points!$G$5:$G$204,$M71)="","Right Angle",TRIM(INDEX(D_Points!$G$5:$G$204,$M71))))</f>
        <v/>
      </c>
      <c r="H71" s="5" t="str">
        <f t="shared" si="6"/>
        <v/>
      </c>
      <c r="I71" s="5" t="str">
        <f t="shared" si="7"/>
        <v/>
      </c>
      <c r="J71" s="5" t="str">
        <f t="shared" si="8"/>
        <v/>
      </c>
      <c r="K71" s="8" t="str">
        <f>IF($M71="","",INDEX(D_Points!$I$5:$I$204,$M71))</f>
        <v/>
      </c>
      <c r="M71" s="226" t="str">
        <f>IFERROR(MATCH(67,D_Points!$K$5:$K$204,0),"")</f>
        <v/>
      </c>
    </row>
    <row r="72" spans="1:13" ht="15.75" customHeight="1" x14ac:dyDescent="0.3">
      <c r="A72" s="5" t="str">
        <f>IF($C72="","",68)</f>
        <v/>
      </c>
      <c r="B72" s="8" t="str">
        <f>IF($M72="","",TEXT(INT(INDEX(D_Points!$A$5:$A$204,$M72)/1000),"0")&amp;"+"&amp;TEXT(MOD(INDEX(D_Points!$A$5:$A$204,$M72),1000),"000"))</f>
        <v/>
      </c>
      <c r="C72" s="8" t="str">
        <f>IF($M72="","",UPPER(TRIM(INDEX(D_Points!$C$5:$C$204,$M72))))</f>
        <v/>
      </c>
      <c r="D72" s="8" t="str">
        <f>IF($M72="","",INDEX(D_Points!$D$5:$D$204,$M72))</f>
        <v/>
      </c>
      <c r="E72" s="8" t="str">
        <f>IF($M72="","",UPPER(TRIM(INDEX(D_Points!$E$5:$E$204,$M72))))</f>
        <v/>
      </c>
      <c r="F72" s="8" t="str">
        <f>IF($M72="","",INDEX(D_Points!$F$5:$F$204,$M72))</f>
        <v/>
      </c>
      <c r="G72" s="8" t="str">
        <f>IF($M72="","",""&amp;IF(INDEX(D_Points!$G$5:$G$204,$M72)="","Right Angle",TRIM(INDEX(D_Points!$G$5:$G$204,$M72))))</f>
        <v/>
      </c>
      <c r="H72" s="5" t="str">
        <f t="shared" si="6"/>
        <v/>
      </c>
      <c r="I72" s="5" t="str">
        <f t="shared" si="7"/>
        <v/>
      </c>
      <c r="J72" s="5" t="str">
        <f t="shared" si="8"/>
        <v/>
      </c>
      <c r="K72" s="8" t="str">
        <f>IF($M72="","",INDEX(D_Points!$I$5:$I$204,$M72))</f>
        <v/>
      </c>
      <c r="M72" s="226" t="str">
        <f>IFERROR(MATCH(68,D_Points!$K$5:$K$204,0),"")</f>
        <v/>
      </c>
    </row>
    <row r="73" spans="1:13" ht="15.75" customHeight="1" x14ac:dyDescent="0.3">
      <c r="A73" s="5" t="str">
        <f>IF($C73="","",69)</f>
        <v/>
      </c>
      <c r="B73" s="8" t="str">
        <f>IF($M73="","",TEXT(INT(INDEX(D_Points!$A$5:$A$204,$M73)/1000),"0")&amp;"+"&amp;TEXT(MOD(INDEX(D_Points!$A$5:$A$204,$M73),1000),"000"))</f>
        <v/>
      </c>
      <c r="C73" s="8" t="str">
        <f>IF($M73="","",UPPER(TRIM(INDEX(D_Points!$C$5:$C$204,$M73))))</f>
        <v/>
      </c>
      <c r="D73" s="8" t="str">
        <f>IF($M73="","",INDEX(D_Points!$D$5:$D$204,$M73))</f>
        <v/>
      </c>
      <c r="E73" s="8" t="str">
        <f>IF($M73="","",UPPER(TRIM(INDEX(D_Points!$E$5:$E$204,$M73))))</f>
        <v/>
      </c>
      <c r="F73" s="8" t="str">
        <f>IF($M73="","",INDEX(D_Points!$F$5:$F$204,$M73))</f>
        <v/>
      </c>
      <c r="G73" s="8" t="str">
        <f>IF($M73="","",""&amp;IF(INDEX(D_Points!$G$5:$G$204,$M73)="","Right Angle",TRIM(INDEX(D_Points!$G$5:$G$204,$M73))))</f>
        <v/>
      </c>
      <c r="H73" s="5" t="str">
        <f t="shared" si="6"/>
        <v/>
      </c>
      <c r="I73" s="5" t="str">
        <f t="shared" si="7"/>
        <v/>
      </c>
      <c r="J73" s="5" t="str">
        <f t="shared" si="8"/>
        <v/>
      </c>
      <c r="K73" s="8" t="str">
        <f>IF($M73="","",INDEX(D_Points!$I$5:$I$204,$M73))</f>
        <v/>
      </c>
      <c r="M73" s="226" t="str">
        <f>IFERROR(MATCH(69,D_Points!$K$5:$K$204,0),"")</f>
        <v/>
      </c>
    </row>
    <row r="74" spans="1:13" ht="15.75" customHeight="1" x14ac:dyDescent="0.3">
      <c r="A74" s="5" t="str">
        <f>IF($C74="","",70)</f>
        <v/>
      </c>
      <c r="B74" s="8" t="str">
        <f>IF($M74="","",TEXT(INT(INDEX(D_Points!$A$5:$A$204,$M74)/1000),"0")&amp;"+"&amp;TEXT(MOD(INDEX(D_Points!$A$5:$A$204,$M74),1000),"000"))</f>
        <v/>
      </c>
      <c r="C74" s="8" t="str">
        <f>IF($M74="","",UPPER(TRIM(INDEX(D_Points!$C$5:$C$204,$M74))))</f>
        <v/>
      </c>
      <c r="D74" s="8" t="str">
        <f>IF($M74="","",INDEX(D_Points!$D$5:$D$204,$M74))</f>
        <v/>
      </c>
      <c r="E74" s="8" t="str">
        <f>IF($M74="","",UPPER(TRIM(INDEX(D_Points!$E$5:$E$204,$M74))))</f>
        <v/>
      </c>
      <c r="F74" s="8" t="str">
        <f>IF($M74="","",INDEX(D_Points!$F$5:$F$204,$M74))</f>
        <v/>
      </c>
      <c r="G74" s="8" t="str">
        <f>IF($M74="","",""&amp;IF(INDEX(D_Points!$G$5:$G$204,$M74)="","Right Angle",TRIM(INDEX(D_Points!$G$5:$G$204,$M74))))</f>
        <v/>
      </c>
      <c r="H74" s="5" t="str">
        <f t="shared" si="6"/>
        <v/>
      </c>
      <c r="I74" s="5" t="str">
        <f t="shared" si="7"/>
        <v/>
      </c>
      <c r="J74" s="5" t="str">
        <f t="shared" si="8"/>
        <v/>
      </c>
      <c r="K74" s="8" t="str">
        <f>IF($M74="","",INDEX(D_Points!$I$5:$I$204,$M74))</f>
        <v/>
      </c>
      <c r="M74" s="226" t="str">
        <f>IFERROR(MATCH(70,D_Points!$K$5:$K$204,0),"")</f>
        <v/>
      </c>
    </row>
    <row r="75" spans="1:13" ht="15.75" customHeight="1" x14ac:dyDescent="0.3">
      <c r="A75" s="5" t="str">
        <f>IF($C75="","",71)</f>
        <v/>
      </c>
      <c r="B75" s="8" t="str">
        <f>IF($M75="","",TEXT(INT(INDEX(D_Points!$A$5:$A$204,$M75)/1000),"0")&amp;"+"&amp;TEXT(MOD(INDEX(D_Points!$A$5:$A$204,$M75),1000),"000"))</f>
        <v/>
      </c>
      <c r="C75" s="8" t="str">
        <f>IF($M75="","",UPPER(TRIM(INDEX(D_Points!$C$5:$C$204,$M75))))</f>
        <v/>
      </c>
      <c r="D75" s="8" t="str">
        <f>IF($M75="","",INDEX(D_Points!$D$5:$D$204,$M75))</f>
        <v/>
      </c>
      <c r="E75" s="8" t="str">
        <f>IF($M75="","",UPPER(TRIM(INDEX(D_Points!$E$5:$E$204,$M75))))</f>
        <v/>
      </c>
      <c r="F75" s="8" t="str">
        <f>IF($M75="","",INDEX(D_Points!$F$5:$F$204,$M75))</f>
        <v/>
      </c>
      <c r="G75" s="8" t="str">
        <f>IF($M75="","",""&amp;IF(INDEX(D_Points!$G$5:$G$204,$M75)="","Right Angle",TRIM(INDEX(D_Points!$G$5:$G$204,$M75))))</f>
        <v/>
      </c>
      <c r="H75" s="5" t="str">
        <f t="shared" si="6"/>
        <v/>
      </c>
      <c r="I75" s="5" t="str">
        <f t="shared" si="7"/>
        <v/>
      </c>
      <c r="J75" s="5" t="str">
        <f t="shared" si="8"/>
        <v/>
      </c>
      <c r="K75" s="8" t="str">
        <f>IF($M75="","",INDEX(D_Points!$I$5:$I$204,$M75))</f>
        <v/>
      </c>
      <c r="M75" s="226" t="str">
        <f>IFERROR(MATCH(71,D_Points!$K$5:$K$204,0),"")</f>
        <v/>
      </c>
    </row>
    <row r="76" spans="1:13" ht="15.75" customHeight="1" x14ac:dyDescent="0.3">
      <c r="A76" s="5" t="str">
        <f>IF($C76="","",72)</f>
        <v/>
      </c>
      <c r="B76" s="8" t="str">
        <f>IF($M76="","",TEXT(INT(INDEX(D_Points!$A$5:$A$204,$M76)/1000),"0")&amp;"+"&amp;TEXT(MOD(INDEX(D_Points!$A$5:$A$204,$M76),1000),"000"))</f>
        <v/>
      </c>
      <c r="C76" s="8" t="str">
        <f>IF($M76="","",UPPER(TRIM(INDEX(D_Points!$C$5:$C$204,$M76))))</f>
        <v/>
      </c>
      <c r="D76" s="8" t="str">
        <f>IF($M76="","",INDEX(D_Points!$D$5:$D$204,$M76))</f>
        <v/>
      </c>
      <c r="E76" s="8" t="str">
        <f>IF($M76="","",UPPER(TRIM(INDEX(D_Points!$E$5:$E$204,$M76))))</f>
        <v/>
      </c>
      <c r="F76" s="8" t="str">
        <f>IF($M76="","",INDEX(D_Points!$F$5:$F$204,$M76))</f>
        <v/>
      </c>
      <c r="G76" s="8" t="str">
        <f>IF($M76="","",""&amp;IF(INDEX(D_Points!$G$5:$G$204,$M76)="","Right Angle",TRIM(INDEX(D_Points!$G$5:$G$204,$M76))))</f>
        <v/>
      </c>
      <c r="H76" s="5" t="str">
        <f t="shared" si="6"/>
        <v/>
      </c>
      <c r="I76" s="5" t="str">
        <f t="shared" si="7"/>
        <v/>
      </c>
      <c r="J76" s="5" t="str">
        <f t="shared" si="8"/>
        <v/>
      </c>
      <c r="K76" s="8" t="str">
        <f>IF($M76="","",INDEX(D_Points!$I$5:$I$204,$M76))</f>
        <v/>
      </c>
      <c r="M76" s="226" t="str">
        <f>IFERROR(MATCH(72,D_Points!$K$5:$K$204,0),"")</f>
        <v/>
      </c>
    </row>
    <row r="77" spans="1:13" ht="15.75" customHeight="1" x14ac:dyDescent="0.3">
      <c r="A77" s="5" t="str">
        <f>IF($C77="","",73)</f>
        <v/>
      </c>
      <c r="B77" s="8" t="str">
        <f>IF($M77="","",TEXT(INT(INDEX(D_Points!$A$5:$A$204,$M77)/1000),"0")&amp;"+"&amp;TEXT(MOD(INDEX(D_Points!$A$5:$A$204,$M77),1000),"000"))</f>
        <v/>
      </c>
      <c r="C77" s="8" t="str">
        <f>IF($M77="","",UPPER(TRIM(INDEX(D_Points!$C$5:$C$204,$M77))))</f>
        <v/>
      </c>
      <c r="D77" s="8" t="str">
        <f>IF($M77="","",INDEX(D_Points!$D$5:$D$204,$M77))</f>
        <v/>
      </c>
      <c r="E77" s="8" t="str">
        <f>IF($M77="","",UPPER(TRIM(INDEX(D_Points!$E$5:$E$204,$M77))))</f>
        <v/>
      </c>
      <c r="F77" s="8" t="str">
        <f>IF($M77="","",INDEX(D_Points!$F$5:$F$204,$M77))</f>
        <v/>
      </c>
      <c r="G77" s="8" t="str">
        <f>IF($M77="","",""&amp;IF(INDEX(D_Points!$G$5:$G$204,$M77)="","Right Angle",TRIM(INDEX(D_Points!$G$5:$G$204,$M77))))</f>
        <v/>
      </c>
      <c r="H77" s="5" t="str">
        <f t="shared" si="6"/>
        <v/>
      </c>
      <c r="I77" s="5" t="str">
        <f t="shared" si="7"/>
        <v/>
      </c>
      <c r="J77" s="5" t="str">
        <f t="shared" si="8"/>
        <v/>
      </c>
      <c r="K77" s="8" t="str">
        <f>IF($M77="","",INDEX(D_Points!$I$5:$I$204,$M77))</f>
        <v/>
      </c>
      <c r="M77" s="226" t="str">
        <f>IFERROR(MATCH(73,D_Points!$K$5:$K$204,0),"")</f>
        <v/>
      </c>
    </row>
    <row r="78" spans="1:13" ht="15.75" customHeight="1" x14ac:dyDescent="0.3">
      <c r="A78" s="5" t="str">
        <f>IF($C78="","",74)</f>
        <v/>
      </c>
      <c r="B78" s="8" t="str">
        <f>IF($M78="","",TEXT(INT(INDEX(D_Points!$A$5:$A$204,$M78)/1000),"0")&amp;"+"&amp;TEXT(MOD(INDEX(D_Points!$A$5:$A$204,$M78),1000),"000"))</f>
        <v/>
      </c>
      <c r="C78" s="8" t="str">
        <f>IF($M78="","",UPPER(TRIM(INDEX(D_Points!$C$5:$C$204,$M78))))</f>
        <v/>
      </c>
      <c r="D78" s="8" t="str">
        <f>IF($M78="","",INDEX(D_Points!$D$5:$D$204,$M78))</f>
        <v/>
      </c>
      <c r="E78" s="8" t="str">
        <f>IF($M78="","",UPPER(TRIM(INDEX(D_Points!$E$5:$E$204,$M78))))</f>
        <v/>
      </c>
      <c r="F78" s="8" t="str">
        <f>IF($M78="","",INDEX(D_Points!$F$5:$F$204,$M78))</f>
        <v/>
      </c>
      <c r="G78" s="8" t="str">
        <f>IF($M78="","",""&amp;IF(INDEX(D_Points!$G$5:$G$204,$M78)="","Right Angle",TRIM(INDEX(D_Points!$G$5:$G$204,$M78))))</f>
        <v/>
      </c>
      <c r="H78" s="5" t="str">
        <f t="shared" si="6"/>
        <v/>
      </c>
      <c r="I78" s="5" t="str">
        <f t="shared" si="7"/>
        <v/>
      </c>
      <c r="J78" s="5" t="str">
        <f t="shared" si="8"/>
        <v/>
      </c>
      <c r="K78" s="8" t="str">
        <f>IF($M78="","",INDEX(D_Points!$I$5:$I$204,$M78))</f>
        <v/>
      </c>
      <c r="M78" s="226" t="str">
        <f>IFERROR(MATCH(74,D_Points!$K$5:$K$204,0),"")</f>
        <v/>
      </c>
    </row>
    <row r="79" spans="1:13" ht="15.75" customHeight="1" x14ac:dyDescent="0.3">
      <c r="A79" s="5" t="str">
        <f>IF($C79="","",75)</f>
        <v/>
      </c>
      <c r="B79" s="8" t="str">
        <f>IF($M79="","",TEXT(INT(INDEX(D_Points!$A$5:$A$204,$M79)/1000),"0")&amp;"+"&amp;TEXT(MOD(INDEX(D_Points!$A$5:$A$204,$M79),1000),"000"))</f>
        <v/>
      </c>
      <c r="C79" s="8" t="str">
        <f>IF($M79="","",UPPER(TRIM(INDEX(D_Points!$C$5:$C$204,$M79))))</f>
        <v/>
      </c>
      <c r="D79" s="8" t="str">
        <f>IF($M79="","",INDEX(D_Points!$D$5:$D$204,$M79))</f>
        <v/>
      </c>
      <c r="E79" s="8" t="str">
        <f>IF($M79="","",UPPER(TRIM(INDEX(D_Points!$E$5:$E$204,$M79))))</f>
        <v/>
      </c>
      <c r="F79" s="8" t="str">
        <f>IF($M79="","",INDEX(D_Points!$F$5:$F$204,$M79))</f>
        <v/>
      </c>
      <c r="G79" s="8" t="str">
        <f>IF($M79="","",""&amp;IF(INDEX(D_Points!$G$5:$G$204,$M79)="","Right Angle",TRIM(INDEX(D_Points!$G$5:$G$204,$M79))))</f>
        <v/>
      </c>
      <c r="H79" s="5" t="str">
        <f t="shared" si="6"/>
        <v/>
      </c>
      <c r="I79" s="5" t="str">
        <f t="shared" si="7"/>
        <v/>
      </c>
      <c r="J79" s="5" t="str">
        <f t="shared" si="8"/>
        <v/>
      </c>
      <c r="K79" s="8" t="str">
        <f>IF($M79="","",INDEX(D_Points!$I$5:$I$204,$M79))</f>
        <v/>
      </c>
      <c r="M79" s="226" t="str">
        <f>IFERROR(MATCH(75,D_Points!$K$5:$K$204,0),"")</f>
        <v/>
      </c>
    </row>
    <row r="80" spans="1:13" ht="15.75" customHeight="1" x14ac:dyDescent="0.3">
      <c r="A80" s="5" t="str">
        <f>IF($C80="","",76)</f>
        <v/>
      </c>
      <c r="B80" s="8" t="str">
        <f>IF($M80="","",TEXT(INT(INDEX(D_Points!$A$5:$A$204,$M80)/1000),"0")&amp;"+"&amp;TEXT(MOD(INDEX(D_Points!$A$5:$A$204,$M80),1000),"000"))</f>
        <v/>
      </c>
      <c r="C80" s="8" t="str">
        <f>IF($M80="","",UPPER(TRIM(INDEX(D_Points!$C$5:$C$204,$M80))))</f>
        <v/>
      </c>
      <c r="D80" s="8" t="str">
        <f>IF($M80="","",INDEX(D_Points!$D$5:$D$204,$M80))</f>
        <v/>
      </c>
      <c r="E80" s="8" t="str">
        <f>IF($M80="","",UPPER(TRIM(INDEX(D_Points!$E$5:$E$204,$M80))))</f>
        <v/>
      </c>
      <c r="F80" s="8" t="str">
        <f>IF($M80="","",INDEX(D_Points!$F$5:$F$204,$M80))</f>
        <v/>
      </c>
      <c r="G80" s="8" t="str">
        <f>IF($M80="","",""&amp;IF(INDEX(D_Points!$G$5:$G$204,$M80)="","Right Angle",TRIM(INDEX(D_Points!$G$5:$G$204,$M80))))</f>
        <v/>
      </c>
      <c r="H80" s="5" t="str">
        <f t="shared" si="6"/>
        <v/>
      </c>
      <c r="I80" s="5" t="str">
        <f t="shared" si="7"/>
        <v/>
      </c>
      <c r="J80" s="5" t="str">
        <f t="shared" si="8"/>
        <v/>
      </c>
      <c r="K80" s="8" t="str">
        <f>IF($M80="","",INDEX(D_Points!$I$5:$I$204,$M80))</f>
        <v/>
      </c>
      <c r="M80" s="226" t="str">
        <f>IFERROR(MATCH(76,D_Points!$K$5:$K$204,0),"")</f>
        <v/>
      </c>
    </row>
    <row r="81" spans="1:13" ht="15.75" customHeight="1" x14ac:dyDescent="0.3">
      <c r="A81" s="5" t="str">
        <f>IF($C81="","",77)</f>
        <v/>
      </c>
      <c r="B81" s="8" t="str">
        <f>IF($M81="","",TEXT(INT(INDEX(D_Points!$A$5:$A$204,$M81)/1000),"0")&amp;"+"&amp;TEXT(MOD(INDEX(D_Points!$A$5:$A$204,$M81),1000),"000"))</f>
        <v/>
      </c>
      <c r="C81" s="8" t="str">
        <f>IF($M81="","",UPPER(TRIM(INDEX(D_Points!$C$5:$C$204,$M81))))</f>
        <v/>
      </c>
      <c r="D81" s="8" t="str">
        <f>IF($M81="","",INDEX(D_Points!$D$5:$D$204,$M81))</f>
        <v/>
      </c>
      <c r="E81" s="8" t="str">
        <f>IF($M81="","",UPPER(TRIM(INDEX(D_Points!$E$5:$E$204,$M81))))</f>
        <v/>
      </c>
      <c r="F81" s="8" t="str">
        <f>IF($M81="","",INDEX(D_Points!$F$5:$F$204,$M81))</f>
        <v/>
      </c>
      <c r="G81" s="8" t="str">
        <f>IF($M81="","",""&amp;IF(INDEX(D_Points!$G$5:$G$204,$M81)="","Right Angle",TRIM(INDEX(D_Points!$G$5:$G$204,$M81))))</f>
        <v/>
      </c>
      <c r="H81" s="5" t="str">
        <f t="shared" si="6"/>
        <v/>
      </c>
      <c r="I81" s="5" t="str">
        <f t="shared" si="7"/>
        <v/>
      </c>
      <c r="J81" s="5" t="str">
        <f t="shared" si="8"/>
        <v/>
      </c>
      <c r="K81" s="8" t="str">
        <f>IF($M81="","",INDEX(D_Points!$I$5:$I$204,$M81))</f>
        <v/>
      </c>
      <c r="M81" s="226" t="str">
        <f>IFERROR(MATCH(77,D_Points!$K$5:$K$204,0),"")</f>
        <v/>
      </c>
    </row>
    <row r="82" spans="1:13" ht="15.75" customHeight="1" x14ac:dyDescent="0.3">
      <c r="A82" s="5" t="str">
        <f>IF($C82="","",78)</f>
        <v/>
      </c>
      <c r="B82" s="8" t="str">
        <f>IF($M82="","",TEXT(INT(INDEX(D_Points!$A$5:$A$204,$M82)/1000),"0")&amp;"+"&amp;TEXT(MOD(INDEX(D_Points!$A$5:$A$204,$M82),1000),"000"))</f>
        <v/>
      </c>
      <c r="C82" s="8" t="str">
        <f>IF($M82="","",UPPER(TRIM(INDEX(D_Points!$C$5:$C$204,$M82))))</f>
        <v/>
      </c>
      <c r="D82" s="8" t="str">
        <f>IF($M82="","",INDEX(D_Points!$D$5:$D$204,$M82))</f>
        <v/>
      </c>
      <c r="E82" s="8" t="str">
        <f>IF($M82="","",UPPER(TRIM(INDEX(D_Points!$E$5:$E$204,$M82))))</f>
        <v/>
      </c>
      <c r="F82" s="8" t="str">
        <f>IF($M82="","",INDEX(D_Points!$F$5:$F$204,$M82))</f>
        <v/>
      </c>
      <c r="G82" s="8" t="str">
        <f>IF($M82="","",""&amp;IF(INDEX(D_Points!$G$5:$G$204,$M82)="","Right Angle",TRIM(INDEX(D_Points!$G$5:$G$204,$M82))))</f>
        <v/>
      </c>
      <c r="H82" s="5" t="str">
        <f t="shared" si="6"/>
        <v/>
      </c>
      <c r="I82" s="5" t="str">
        <f t="shared" si="7"/>
        <v/>
      </c>
      <c r="J82" s="5" t="str">
        <f t="shared" si="8"/>
        <v/>
      </c>
      <c r="K82" s="8" t="str">
        <f>IF($M82="","",INDEX(D_Points!$I$5:$I$204,$M82))</f>
        <v/>
      </c>
      <c r="M82" s="226" t="str">
        <f>IFERROR(MATCH(78,D_Points!$K$5:$K$204,0),"")</f>
        <v/>
      </c>
    </row>
    <row r="83" spans="1:13" ht="15.75" customHeight="1" x14ac:dyDescent="0.3">
      <c r="A83" s="5" t="str">
        <f>IF($C83="","",79)</f>
        <v/>
      </c>
      <c r="B83" s="8" t="str">
        <f>IF($M83="","",TEXT(INT(INDEX(D_Points!$A$5:$A$204,$M83)/1000),"0")&amp;"+"&amp;TEXT(MOD(INDEX(D_Points!$A$5:$A$204,$M83),1000),"000"))</f>
        <v/>
      </c>
      <c r="C83" s="8" t="str">
        <f>IF($M83="","",UPPER(TRIM(INDEX(D_Points!$C$5:$C$204,$M83))))</f>
        <v/>
      </c>
      <c r="D83" s="8" t="str">
        <f>IF($M83="","",INDEX(D_Points!$D$5:$D$204,$M83))</f>
        <v/>
      </c>
      <c r="E83" s="8" t="str">
        <f>IF($M83="","",UPPER(TRIM(INDEX(D_Points!$E$5:$E$204,$M83))))</f>
        <v/>
      </c>
      <c r="F83" s="8" t="str">
        <f>IF($M83="","",INDEX(D_Points!$F$5:$F$204,$M83))</f>
        <v/>
      </c>
      <c r="G83" s="8" t="str">
        <f>IF($M83="","",""&amp;IF(INDEX(D_Points!$G$5:$G$204,$M83)="","Right Angle",TRIM(INDEX(D_Points!$G$5:$G$204,$M83))))</f>
        <v/>
      </c>
      <c r="H83" s="5" t="str">
        <f t="shared" si="6"/>
        <v/>
      </c>
      <c r="I83" s="5" t="str">
        <f t="shared" si="7"/>
        <v/>
      </c>
      <c r="J83" s="5" t="str">
        <f t="shared" si="8"/>
        <v/>
      </c>
      <c r="K83" s="8" t="str">
        <f>IF($M83="","",INDEX(D_Points!$I$5:$I$204,$M83))</f>
        <v/>
      </c>
      <c r="M83" s="226" t="str">
        <f>IFERROR(MATCH(79,D_Points!$K$5:$K$204,0),"")</f>
        <v/>
      </c>
    </row>
    <row r="84" spans="1:13" ht="15.75" customHeight="1" x14ac:dyDescent="0.3">
      <c r="A84" s="5" t="str">
        <f>IF($C84="","",80)</f>
        <v/>
      </c>
      <c r="B84" s="8" t="str">
        <f>IF($M84="","",TEXT(INT(INDEX(D_Points!$A$5:$A$204,$M84)/1000),"0")&amp;"+"&amp;TEXT(MOD(INDEX(D_Points!$A$5:$A$204,$M84),1000),"000"))</f>
        <v/>
      </c>
      <c r="C84" s="8" t="str">
        <f>IF($M84="","",UPPER(TRIM(INDEX(D_Points!$C$5:$C$204,$M84))))</f>
        <v/>
      </c>
      <c r="D84" s="8" t="str">
        <f>IF($M84="","",INDEX(D_Points!$D$5:$D$204,$M84))</f>
        <v/>
      </c>
      <c r="E84" s="8" t="str">
        <f>IF($M84="","",UPPER(TRIM(INDEX(D_Points!$E$5:$E$204,$M84))))</f>
        <v/>
      </c>
      <c r="F84" s="8" t="str">
        <f>IF($M84="","",INDEX(D_Points!$F$5:$F$204,$M84))</f>
        <v/>
      </c>
      <c r="G84" s="8" t="str">
        <f>IF($M84="","",""&amp;IF(INDEX(D_Points!$G$5:$G$204,$M84)="","Right Angle",TRIM(INDEX(D_Points!$G$5:$G$204,$M84))))</f>
        <v/>
      </c>
      <c r="H84" s="5" t="str">
        <f t="shared" si="6"/>
        <v/>
      </c>
      <c r="I84" s="5" t="str">
        <f t="shared" si="7"/>
        <v/>
      </c>
      <c r="J84" s="5" t="str">
        <f t="shared" si="8"/>
        <v/>
      </c>
      <c r="K84" s="8" t="str">
        <f>IF($M84="","",INDEX(D_Points!$I$5:$I$204,$M84))</f>
        <v/>
      </c>
      <c r="M84" s="226" t="str">
        <f>IFERROR(MATCH(80,D_Points!$K$5:$K$204,0),"")</f>
        <v/>
      </c>
    </row>
    <row r="85" spans="1:13" ht="15.75" customHeight="1" x14ac:dyDescent="0.3">
      <c r="A85" s="5" t="str">
        <f>IF($C85="","",81)</f>
        <v/>
      </c>
      <c r="B85" s="8" t="str">
        <f>IF($M85="","",TEXT(INT(INDEX(D_Points!$A$5:$A$204,$M85)/1000),"0")&amp;"+"&amp;TEXT(MOD(INDEX(D_Points!$A$5:$A$204,$M85),1000),"000"))</f>
        <v/>
      </c>
      <c r="C85" s="8" t="str">
        <f>IF($M85="","",UPPER(TRIM(INDEX(D_Points!$C$5:$C$204,$M85))))</f>
        <v/>
      </c>
      <c r="D85" s="8" t="str">
        <f>IF($M85="","",INDEX(D_Points!$D$5:$D$204,$M85))</f>
        <v/>
      </c>
      <c r="E85" s="8" t="str">
        <f>IF($M85="","",UPPER(TRIM(INDEX(D_Points!$E$5:$E$204,$M85))))</f>
        <v/>
      </c>
      <c r="F85" s="8" t="str">
        <f>IF($M85="","",INDEX(D_Points!$F$5:$F$204,$M85))</f>
        <v/>
      </c>
      <c r="G85" s="8" t="str">
        <f>IF($M85="","",""&amp;IF(INDEX(D_Points!$G$5:$G$204,$M85)="","Right Angle",TRIM(INDEX(D_Points!$G$5:$G$204,$M85))))</f>
        <v/>
      </c>
      <c r="H85" s="5" t="str">
        <f t="shared" si="6"/>
        <v/>
      </c>
      <c r="I85" s="5" t="str">
        <f t="shared" si="7"/>
        <v/>
      </c>
      <c r="J85" s="5" t="str">
        <f t="shared" si="8"/>
        <v/>
      </c>
      <c r="K85" s="8" t="str">
        <f>IF($M85="","",INDEX(D_Points!$I$5:$I$204,$M85))</f>
        <v/>
      </c>
      <c r="M85" s="226" t="str">
        <f>IFERROR(MATCH(81,D_Points!$K$5:$K$204,0),"")</f>
        <v/>
      </c>
    </row>
    <row r="86" spans="1:13" ht="15.75" customHeight="1" x14ac:dyDescent="0.3">
      <c r="A86" s="5" t="str">
        <f>IF($C86="","",82)</f>
        <v/>
      </c>
      <c r="B86" s="8" t="str">
        <f>IF($M86="","",TEXT(INT(INDEX(D_Points!$A$5:$A$204,$M86)/1000),"0")&amp;"+"&amp;TEXT(MOD(INDEX(D_Points!$A$5:$A$204,$M86),1000),"000"))</f>
        <v/>
      </c>
      <c r="C86" s="8" t="str">
        <f>IF($M86="","",UPPER(TRIM(INDEX(D_Points!$C$5:$C$204,$M86))))</f>
        <v/>
      </c>
      <c r="D86" s="8" t="str">
        <f>IF($M86="","",INDEX(D_Points!$D$5:$D$204,$M86))</f>
        <v/>
      </c>
      <c r="E86" s="8" t="str">
        <f>IF($M86="","",UPPER(TRIM(INDEX(D_Points!$E$5:$E$204,$M86))))</f>
        <v/>
      </c>
      <c r="F86" s="8" t="str">
        <f>IF($M86="","",INDEX(D_Points!$F$5:$F$204,$M86))</f>
        <v/>
      </c>
      <c r="G86" s="8" t="str">
        <f>IF($M86="","",""&amp;IF(INDEX(D_Points!$G$5:$G$204,$M86)="","Right Angle",TRIM(INDEX(D_Points!$G$5:$G$204,$M86))))</f>
        <v/>
      </c>
      <c r="H86" s="5" t="str">
        <f t="shared" si="6"/>
        <v/>
      </c>
      <c r="I86" s="5" t="str">
        <f t="shared" si="7"/>
        <v/>
      </c>
      <c r="J86" s="5" t="str">
        <f t="shared" si="8"/>
        <v/>
      </c>
      <c r="K86" s="8" t="str">
        <f>IF($M86="","",INDEX(D_Points!$I$5:$I$204,$M86))</f>
        <v/>
      </c>
      <c r="M86" s="226" t="str">
        <f>IFERROR(MATCH(82,D_Points!$K$5:$K$204,0),"")</f>
        <v/>
      </c>
    </row>
    <row r="87" spans="1:13" ht="15.75" customHeight="1" x14ac:dyDescent="0.3">
      <c r="A87" s="5" t="str">
        <f>IF($C87="","",83)</f>
        <v/>
      </c>
      <c r="B87" s="8" t="str">
        <f>IF($M87="","",TEXT(INT(INDEX(D_Points!$A$5:$A$204,$M87)/1000),"0")&amp;"+"&amp;TEXT(MOD(INDEX(D_Points!$A$5:$A$204,$M87),1000),"000"))</f>
        <v/>
      </c>
      <c r="C87" s="8" t="str">
        <f>IF($M87="","",UPPER(TRIM(INDEX(D_Points!$C$5:$C$204,$M87))))</f>
        <v/>
      </c>
      <c r="D87" s="8" t="str">
        <f>IF($M87="","",INDEX(D_Points!$D$5:$D$204,$M87))</f>
        <v/>
      </c>
      <c r="E87" s="8" t="str">
        <f>IF($M87="","",UPPER(TRIM(INDEX(D_Points!$E$5:$E$204,$M87))))</f>
        <v/>
      </c>
      <c r="F87" s="8" t="str">
        <f>IF($M87="","",INDEX(D_Points!$F$5:$F$204,$M87))</f>
        <v/>
      </c>
      <c r="G87" s="8" t="str">
        <f>IF($M87="","",""&amp;IF(INDEX(D_Points!$G$5:$G$204,$M87)="","Right Angle",TRIM(INDEX(D_Points!$G$5:$G$204,$M87))))</f>
        <v/>
      </c>
      <c r="H87" s="5" t="str">
        <f t="shared" si="6"/>
        <v/>
      </c>
      <c r="I87" s="5" t="str">
        <f t="shared" si="7"/>
        <v/>
      </c>
      <c r="J87" s="5" t="str">
        <f t="shared" si="8"/>
        <v/>
      </c>
      <c r="K87" s="8" t="str">
        <f>IF($M87="","",INDEX(D_Points!$I$5:$I$204,$M87))</f>
        <v/>
      </c>
      <c r="M87" s="226" t="str">
        <f>IFERROR(MATCH(83,D_Points!$K$5:$K$204,0),"")</f>
        <v/>
      </c>
    </row>
    <row r="88" spans="1:13" ht="15.75" customHeight="1" x14ac:dyDescent="0.3">
      <c r="A88" s="5" t="str">
        <f>IF($C88="","",84)</f>
        <v/>
      </c>
      <c r="B88" s="8" t="str">
        <f>IF($M88="","",TEXT(INT(INDEX(D_Points!$A$5:$A$204,$M88)/1000),"0")&amp;"+"&amp;TEXT(MOD(INDEX(D_Points!$A$5:$A$204,$M88),1000),"000"))</f>
        <v/>
      </c>
      <c r="C88" s="8" t="str">
        <f>IF($M88="","",UPPER(TRIM(INDEX(D_Points!$C$5:$C$204,$M88))))</f>
        <v/>
      </c>
      <c r="D88" s="8" t="str">
        <f>IF($M88="","",INDEX(D_Points!$D$5:$D$204,$M88))</f>
        <v/>
      </c>
      <c r="E88" s="8" t="str">
        <f>IF($M88="","",UPPER(TRIM(INDEX(D_Points!$E$5:$E$204,$M88))))</f>
        <v/>
      </c>
      <c r="F88" s="8" t="str">
        <f>IF($M88="","",INDEX(D_Points!$F$5:$F$204,$M88))</f>
        <v/>
      </c>
      <c r="G88" s="8" t="str">
        <f>IF($M88="","",""&amp;IF(INDEX(D_Points!$G$5:$G$204,$M88)="","Right Angle",TRIM(INDEX(D_Points!$G$5:$G$204,$M88))))</f>
        <v/>
      </c>
      <c r="H88" s="5" t="str">
        <f t="shared" si="6"/>
        <v/>
      </c>
      <c r="I88" s="5" t="str">
        <f t="shared" si="7"/>
        <v/>
      </c>
      <c r="J88" s="5" t="str">
        <f t="shared" si="8"/>
        <v/>
      </c>
      <c r="K88" s="8" t="str">
        <f>IF($M88="","",INDEX(D_Points!$I$5:$I$204,$M88))</f>
        <v/>
      </c>
      <c r="M88" s="226" t="str">
        <f>IFERROR(MATCH(84,D_Points!$K$5:$K$204,0),"")</f>
        <v/>
      </c>
    </row>
    <row r="89" spans="1:13" ht="15.75" customHeight="1" x14ac:dyDescent="0.3">
      <c r="A89" s="5" t="str">
        <f>IF($C89="","",85)</f>
        <v/>
      </c>
      <c r="B89" s="8" t="str">
        <f>IF($M89="","",TEXT(INT(INDEX(D_Points!$A$5:$A$204,$M89)/1000),"0")&amp;"+"&amp;TEXT(MOD(INDEX(D_Points!$A$5:$A$204,$M89),1000),"000"))</f>
        <v/>
      </c>
      <c r="C89" s="8" t="str">
        <f>IF($M89="","",UPPER(TRIM(INDEX(D_Points!$C$5:$C$204,$M89))))</f>
        <v/>
      </c>
      <c r="D89" s="8" t="str">
        <f>IF($M89="","",INDEX(D_Points!$D$5:$D$204,$M89))</f>
        <v/>
      </c>
      <c r="E89" s="8" t="str">
        <f>IF($M89="","",UPPER(TRIM(INDEX(D_Points!$E$5:$E$204,$M89))))</f>
        <v/>
      </c>
      <c r="F89" s="8" t="str">
        <f>IF($M89="","",INDEX(D_Points!$F$5:$F$204,$M89))</f>
        <v/>
      </c>
      <c r="G89" s="8" t="str">
        <f>IF($M89="","",""&amp;IF(INDEX(D_Points!$G$5:$G$204,$M89)="","Right Angle",TRIM(INDEX(D_Points!$G$5:$G$204,$M89))))</f>
        <v/>
      </c>
      <c r="H89" s="5" t="str">
        <f t="shared" si="6"/>
        <v/>
      </c>
      <c r="I89" s="5" t="str">
        <f t="shared" si="7"/>
        <v/>
      </c>
      <c r="J89" s="5" t="str">
        <f t="shared" si="8"/>
        <v/>
      </c>
      <c r="K89" s="8" t="str">
        <f>IF($M89="","",INDEX(D_Points!$I$5:$I$204,$M89))</f>
        <v/>
      </c>
      <c r="M89" s="226" t="str">
        <f>IFERROR(MATCH(85,D_Points!$K$5:$K$204,0),"")</f>
        <v/>
      </c>
    </row>
    <row r="90" spans="1:13" ht="15.75" customHeight="1" x14ac:dyDescent="0.3">
      <c r="A90" s="5" t="str">
        <f>IF($C90="","",86)</f>
        <v/>
      </c>
      <c r="B90" s="8" t="str">
        <f>IF($M90="","",TEXT(INT(INDEX(D_Points!$A$5:$A$204,$M90)/1000),"0")&amp;"+"&amp;TEXT(MOD(INDEX(D_Points!$A$5:$A$204,$M90),1000),"000"))</f>
        <v/>
      </c>
      <c r="C90" s="8" t="str">
        <f>IF($M90="","",UPPER(TRIM(INDEX(D_Points!$C$5:$C$204,$M90))))</f>
        <v/>
      </c>
      <c r="D90" s="8" t="str">
        <f>IF($M90="","",INDEX(D_Points!$D$5:$D$204,$M90))</f>
        <v/>
      </c>
      <c r="E90" s="8" t="str">
        <f>IF($M90="","",UPPER(TRIM(INDEX(D_Points!$E$5:$E$204,$M90))))</f>
        <v/>
      </c>
      <c r="F90" s="8" t="str">
        <f>IF($M90="","",INDEX(D_Points!$F$5:$F$204,$M90))</f>
        <v/>
      </c>
      <c r="G90" s="8" t="str">
        <f>IF($M90="","",""&amp;IF(INDEX(D_Points!$G$5:$G$204,$M90)="","Right Angle",TRIM(INDEX(D_Points!$G$5:$G$204,$M90))))</f>
        <v/>
      </c>
      <c r="H90" s="5" t="str">
        <f t="shared" si="6"/>
        <v/>
      </c>
      <c r="I90" s="5" t="str">
        <f t="shared" si="7"/>
        <v/>
      </c>
      <c r="J90" s="5" t="str">
        <f t="shared" si="8"/>
        <v/>
      </c>
      <c r="K90" s="8" t="str">
        <f>IF($M90="","",INDEX(D_Points!$I$5:$I$204,$M90))</f>
        <v/>
      </c>
      <c r="M90" s="226" t="str">
        <f>IFERROR(MATCH(86,D_Points!$K$5:$K$204,0),"")</f>
        <v/>
      </c>
    </row>
    <row r="91" spans="1:13" ht="15.75" customHeight="1" x14ac:dyDescent="0.3">
      <c r="A91" s="5" t="str">
        <f>IF($C91="","",87)</f>
        <v/>
      </c>
      <c r="B91" s="8" t="str">
        <f>IF($M91="","",TEXT(INT(INDEX(D_Points!$A$5:$A$204,$M91)/1000),"0")&amp;"+"&amp;TEXT(MOD(INDEX(D_Points!$A$5:$A$204,$M91),1000),"000"))</f>
        <v/>
      </c>
      <c r="C91" s="8" t="str">
        <f>IF($M91="","",UPPER(TRIM(INDEX(D_Points!$C$5:$C$204,$M91))))</f>
        <v/>
      </c>
      <c r="D91" s="8" t="str">
        <f>IF($M91="","",INDEX(D_Points!$D$5:$D$204,$M91))</f>
        <v/>
      </c>
      <c r="E91" s="8" t="str">
        <f>IF($M91="","",UPPER(TRIM(INDEX(D_Points!$E$5:$E$204,$M91))))</f>
        <v/>
      </c>
      <c r="F91" s="8" t="str">
        <f>IF($M91="","",INDEX(D_Points!$F$5:$F$204,$M91))</f>
        <v/>
      </c>
      <c r="G91" s="8" t="str">
        <f>IF($M91="","",""&amp;IF(INDEX(D_Points!$G$5:$G$204,$M91)="","Right Angle",TRIM(INDEX(D_Points!$G$5:$G$204,$M91))))</f>
        <v/>
      </c>
      <c r="H91" s="5" t="str">
        <f t="shared" si="6"/>
        <v/>
      </c>
      <c r="I91" s="5" t="str">
        <f t="shared" si="7"/>
        <v/>
      </c>
      <c r="J91" s="5" t="str">
        <f t="shared" si="8"/>
        <v/>
      </c>
      <c r="K91" s="8" t="str">
        <f>IF($M91="","",INDEX(D_Points!$I$5:$I$204,$M91))</f>
        <v/>
      </c>
      <c r="M91" s="226" t="str">
        <f>IFERROR(MATCH(87,D_Points!$K$5:$K$204,0),"")</f>
        <v/>
      </c>
    </row>
    <row r="92" spans="1:13" ht="15.75" customHeight="1" x14ac:dyDescent="0.3">
      <c r="A92" s="5" t="str">
        <f>IF($C92="","",88)</f>
        <v/>
      </c>
      <c r="B92" s="8" t="str">
        <f>IF($M92="","",TEXT(INT(INDEX(D_Points!$A$5:$A$204,$M92)/1000),"0")&amp;"+"&amp;TEXT(MOD(INDEX(D_Points!$A$5:$A$204,$M92),1000),"000"))</f>
        <v/>
      </c>
      <c r="C92" s="8" t="str">
        <f>IF($M92="","",UPPER(TRIM(INDEX(D_Points!$C$5:$C$204,$M92))))</f>
        <v/>
      </c>
      <c r="D92" s="8" t="str">
        <f>IF($M92="","",INDEX(D_Points!$D$5:$D$204,$M92))</f>
        <v/>
      </c>
      <c r="E92" s="8" t="str">
        <f>IF($M92="","",UPPER(TRIM(INDEX(D_Points!$E$5:$E$204,$M92))))</f>
        <v/>
      </c>
      <c r="F92" s="8" t="str">
        <f>IF($M92="","",INDEX(D_Points!$F$5:$F$204,$M92))</f>
        <v/>
      </c>
      <c r="G92" s="8" t="str">
        <f>IF($M92="","",""&amp;IF(INDEX(D_Points!$G$5:$G$204,$M92)="","Right Angle",TRIM(INDEX(D_Points!$G$5:$G$204,$M92))))</f>
        <v/>
      </c>
      <c r="H92" s="5" t="str">
        <f t="shared" si="6"/>
        <v/>
      </c>
      <c r="I92" s="5" t="str">
        <f t="shared" si="7"/>
        <v/>
      </c>
      <c r="J92" s="5" t="str">
        <f t="shared" si="8"/>
        <v/>
      </c>
      <c r="K92" s="8" t="str">
        <f>IF($M92="","",INDEX(D_Points!$I$5:$I$204,$M92))</f>
        <v/>
      </c>
      <c r="M92" s="226" t="str">
        <f>IFERROR(MATCH(88,D_Points!$K$5:$K$204,0),"")</f>
        <v/>
      </c>
    </row>
    <row r="93" spans="1:13" ht="15.75" customHeight="1" x14ac:dyDescent="0.3">
      <c r="A93" s="5" t="str">
        <f>IF($C93="","",89)</f>
        <v/>
      </c>
      <c r="B93" s="8" t="str">
        <f>IF($M93="","",TEXT(INT(INDEX(D_Points!$A$5:$A$204,$M93)/1000),"0")&amp;"+"&amp;TEXT(MOD(INDEX(D_Points!$A$5:$A$204,$M93),1000),"000"))</f>
        <v/>
      </c>
      <c r="C93" s="8" t="str">
        <f>IF($M93="","",UPPER(TRIM(INDEX(D_Points!$C$5:$C$204,$M93))))</f>
        <v/>
      </c>
      <c r="D93" s="8" t="str">
        <f>IF($M93="","",INDEX(D_Points!$D$5:$D$204,$M93))</f>
        <v/>
      </c>
      <c r="E93" s="8" t="str">
        <f>IF($M93="","",UPPER(TRIM(INDEX(D_Points!$E$5:$E$204,$M93))))</f>
        <v/>
      </c>
      <c r="F93" s="8" t="str">
        <f>IF($M93="","",INDEX(D_Points!$F$5:$F$204,$M93))</f>
        <v/>
      </c>
      <c r="G93" s="8" t="str">
        <f>IF($M93="","",""&amp;IF(INDEX(D_Points!$G$5:$G$204,$M93)="","Right Angle",TRIM(INDEX(D_Points!$G$5:$G$204,$M93))))</f>
        <v/>
      </c>
      <c r="H93" s="5" t="str">
        <f t="shared" si="6"/>
        <v/>
      </c>
      <c r="I93" s="5" t="str">
        <f t="shared" si="7"/>
        <v/>
      </c>
      <c r="J93" s="5" t="str">
        <f t="shared" si="8"/>
        <v/>
      </c>
      <c r="K93" s="8" t="str">
        <f>IF($M93="","",INDEX(D_Points!$I$5:$I$204,$M93))</f>
        <v/>
      </c>
      <c r="M93" s="226" t="str">
        <f>IFERROR(MATCH(89,D_Points!$K$5:$K$204,0),"")</f>
        <v/>
      </c>
    </row>
    <row r="94" spans="1:13" ht="15.75" customHeight="1" x14ac:dyDescent="0.3">
      <c r="A94" s="5" t="str">
        <f>IF($C94="","",90)</f>
        <v/>
      </c>
      <c r="B94" s="8" t="str">
        <f>IF($M94="","",TEXT(INT(INDEX(D_Points!$A$5:$A$204,$M94)/1000),"0")&amp;"+"&amp;TEXT(MOD(INDEX(D_Points!$A$5:$A$204,$M94),1000),"000"))</f>
        <v/>
      </c>
      <c r="C94" s="8" t="str">
        <f>IF($M94="","",UPPER(TRIM(INDEX(D_Points!$C$5:$C$204,$M94))))</f>
        <v/>
      </c>
      <c r="D94" s="8" t="str">
        <f>IF($M94="","",INDEX(D_Points!$D$5:$D$204,$M94))</f>
        <v/>
      </c>
      <c r="E94" s="8" t="str">
        <f>IF($M94="","",UPPER(TRIM(INDEX(D_Points!$E$5:$E$204,$M94))))</f>
        <v/>
      </c>
      <c r="F94" s="8" t="str">
        <f>IF($M94="","",INDEX(D_Points!$F$5:$F$204,$M94))</f>
        <v/>
      </c>
      <c r="G94" s="8" t="str">
        <f>IF($M94="","",""&amp;IF(INDEX(D_Points!$G$5:$G$204,$M94)="","Right Angle",TRIM(INDEX(D_Points!$G$5:$G$204,$M94))))</f>
        <v/>
      </c>
      <c r="H94" s="5" t="str">
        <f t="shared" si="6"/>
        <v/>
      </c>
      <c r="I94" s="5" t="str">
        <f t="shared" si="7"/>
        <v/>
      </c>
      <c r="J94" s="5" t="str">
        <f t="shared" si="8"/>
        <v/>
      </c>
      <c r="K94" s="8" t="str">
        <f>IF($M94="","",INDEX(D_Points!$I$5:$I$204,$M94))</f>
        <v/>
      </c>
      <c r="M94" s="226" t="str">
        <f>IFERROR(MATCH(90,D_Points!$K$5:$K$204,0),"")</f>
        <v/>
      </c>
    </row>
    <row r="95" spans="1:13" ht="15.75" customHeight="1" x14ac:dyDescent="0.3">
      <c r="A95" s="5" t="str">
        <f>IF($C95="","",91)</f>
        <v/>
      </c>
      <c r="B95" s="8" t="str">
        <f>IF($M95="","",TEXT(INT(INDEX(D_Points!$A$5:$A$204,$M95)/1000),"0")&amp;"+"&amp;TEXT(MOD(INDEX(D_Points!$A$5:$A$204,$M95),1000),"000"))</f>
        <v/>
      </c>
      <c r="C95" s="8" t="str">
        <f>IF($M95="","",UPPER(TRIM(INDEX(D_Points!$C$5:$C$204,$M95))))</f>
        <v/>
      </c>
      <c r="D95" s="8" t="str">
        <f>IF($M95="","",INDEX(D_Points!$D$5:$D$204,$M95))</f>
        <v/>
      </c>
      <c r="E95" s="8" t="str">
        <f>IF($M95="","",UPPER(TRIM(INDEX(D_Points!$E$5:$E$204,$M95))))</f>
        <v/>
      </c>
      <c r="F95" s="8" t="str">
        <f>IF($M95="","",INDEX(D_Points!$F$5:$F$204,$M95))</f>
        <v/>
      </c>
      <c r="G95" s="8" t="str">
        <f>IF($M95="","",""&amp;IF(INDEX(D_Points!$G$5:$G$204,$M95)="","Right Angle",TRIM(INDEX(D_Points!$G$5:$G$204,$M95))))</f>
        <v/>
      </c>
      <c r="H95" s="5" t="str">
        <f t="shared" si="6"/>
        <v/>
      </c>
      <c r="I95" s="5" t="str">
        <f t="shared" si="7"/>
        <v/>
      </c>
      <c r="J95" s="5" t="str">
        <f t="shared" si="8"/>
        <v/>
      </c>
      <c r="K95" s="8" t="str">
        <f>IF($M95="","",INDEX(D_Points!$I$5:$I$204,$M95))</f>
        <v/>
      </c>
      <c r="M95" s="226" t="str">
        <f>IFERROR(MATCH(91,D_Points!$K$5:$K$204,0),"")</f>
        <v/>
      </c>
    </row>
    <row r="96" spans="1:13" ht="15.75" customHeight="1" x14ac:dyDescent="0.3">
      <c r="A96" s="5" t="str">
        <f>IF($C96="","",92)</f>
        <v/>
      </c>
      <c r="B96" s="8" t="str">
        <f>IF($M96="","",TEXT(INT(INDEX(D_Points!$A$5:$A$204,$M96)/1000),"0")&amp;"+"&amp;TEXT(MOD(INDEX(D_Points!$A$5:$A$204,$M96),1000),"000"))</f>
        <v/>
      </c>
      <c r="C96" s="8" t="str">
        <f>IF($M96="","",UPPER(TRIM(INDEX(D_Points!$C$5:$C$204,$M96))))</f>
        <v/>
      </c>
      <c r="D96" s="8" t="str">
        <f>IF($M96="","",INDEX(D_Points!$D$5:$D$204,$M96))</f>
        <v/>
      </c>
      <c r="E96" s="8" t="str">
        <f>IF($M96="","",UPPER(TRIM(INDEX(D_Points!$E$5:$E$204,$M96))))</f>
        <v/>
      </c>
      <c r="F96" s="8" t="str">
        <f>IF($M96="","",INDEX(D_Points!$F$5:$F$204,$M96))</f>
        <v/>
      </c>
      <c r="G96" s="8" t="str">
        <f>IF($M96="","",""&amp;IF(INDEX(D_Points!$G$5:$G$204,$M96)="","Right Angle",TRIM(INDEX(D_Points!$G$5:$G$204,$M96))))</f>
        <v/>
      </c>
      <c r="H96" s="5" t="str">
        <f t="shared" si="6"/>
        <v/>
      </c>
      <c r="I96" s="5" t="str">
        <f t="shared" si="7"/>
        <v/>
      </c>
      <c r="J96" s="5" t="str">
        <f t="shared" si="8"/>
        <v/>
      </c>
      <c r="K96" s="8" t="str">
        <f>IF($M96="","",INDEX(D_Points!$I$5:$I$204,$M96))</f>
        <v/>
      </c>
      <c r="M96" s="226" t="str">
        <f>IFERROR(MATCH(92,D_Points!$K$5:$K$204,0),"")</f>
        <v/>
      </c>
    </row>
    <row r="97" spans="1:13" ht="15.75" customHeight="1" x14ac:dyDescent="0.3">
      <c r="A97" s="5" t="str">
        <f>IF($C97="","",93)</f>
        <v/>
      </c>
      <c r="B97" s="8" t="str">
        <f>IF($M97="","",TEXT(INT(INDEX(D_Points!$A$5:$A$204,$M97)/1000),"0")&amp;"+"&amp;TEXT(MOD(INDEX(D_Points!$A$5:$A$204,$M97),1000),"000"))</f>
        <v/>
      </c>
      <c r="C97" s="8" t="str">
        <f>IF($M97="","",UPPER(TRIM(INDEX(D_Points!$C$5:$C$204,$M97))))</f>
        <v/>
      </c>
      <c r="D97" s="8" t="str">
        <f>IF($M97="","",INDEX(D_Points!$D$5:$D$204,$M97))</f>
        <v/>
      </c>
      <c r="E97" s="8" t="str">
        <f>IF($M97="","",UPPER(TRIM(INDEX(D_Points!$E$5:$E$204,$M97))))</f>
        <v/>
      </c>
      <c r="F97" s="8" t="str">
        <f>IF($M97="","",INDEX(D_Points!$F$5:$F$204,$M97))</f>
        <v/>
      </c>
      <c r="G97" s="8" t="str">
        <f>IF($M97="","",""&amp;IF(INDEX(D_Points!$G$5:$G$204,$M97)="","Right Angle",TRIM(INDEX(D_Points!$G$5:$G$204,$M97))))</f>
        <v/>
      </c>
      <c r="H97" s="5" t="str">
        <f t="shared" si="6"/>
        <v/>
      </c>
      <c r="I97" s="5" t="str">
        <f t="shared" si="7"/>
        <v/>
      </c>
      <c r="J97" s="5" t="str">
        <f t="shared" si="8"/>
        <v/>
      </c>
      <c r="K97" s="8" t="str">
        <f>IF($M97="","",INDEX(D_Points!$I$5:$I$204,$M97))</f>
        <v/>
      </c>
      <c r="M97" s="226" t="str">
        <f>IFERROR(MATCH(93,D_Points!$K$5:$K$204,0),"")</f>
        <v/>
      </c>
    </row>
    <row r="98" spans="1:13" ht="15.75" customHeight="1" x14ac:dyDescent="0.3">
      <c r="A98" s="5" t="str">
        <f>IF($C98="","",94)</f>
        <v/>
      </c>
      <c r="B98" s="8" t="str">
        <f>IF($M98="","",TEXT(INT(INDEX(D_Points!$A$5:$A$204,$M98)/1000),"0")&amp;"+"&amp;TEXT(MOD(INDEX(D_Points!$A$5:$A$204,$M98),1000),"000"))</f>
        <v/>
      </c>
      <c r="C98" s="8" t="str">
        <f>IF($M98="","",UPPER(TRIM(INDEX(D_Points!$C$5:$C$204,$M98))))</f>
        <v/>
      </c>
      <c r="D98" s="8" t="str">
        <f>IF($M98="","",INDEX(D_Points!$D$5:$D$204,$M98))</f>
        <v/>
      </c>
      <c r="E98" s="8" t="str">
        <f>IF($M98="","",UPPER(TRIM(INDEX(D_Points!$E$5:$E$204,$M98))))</f>
        <v/>
      </c>
      <c r="F98" s="8" t="str">
        <f>IF($M98="","",INDEX(D_Points!$F$5:$F$204,$M98))</f>
        <v/>
      </c>
      <c r="G98" s="8" t="str">
        <f>IF($M98="","",""&amp;IF(INDEX(D_Points!$G$5:$G$204,$M98)="","Right Angle",TRIM(INDEX(D_Points!$G$5:$G$204,$M98))))</f>
        <v/>
      </c>
      <c r="H98" s="5" t="str">
        <f t="shared" si="6"/>
        <v/>
      </c>
      <c r="I98" s="5" t="str">
        <f t="shared" si="7"/>
        <v/>
      </c>
      <c r="J98" s="5" t="str">
        <f t="shared" si="8"/>
        <v/>
      </c>
      <c r="K98" s="8" t="str">
        <f>IF($M98="","",INDEX(D_Points!$I$5:$I$204,$M98))</f>
        <v/>
      </c>
      <c r="M98" s="226" t="str">
        <f>IFERROR(MATCH(94,D_Points!$K$5:$K$204,0),"")</f>
        <v/>
      </c>
    </row>
    <row r="99" spans="1:13" ht="15.75" customHeight="1" x14ac:dyDescent="0.3">
      <c r="A99" s="5" t="str">
        <f>IF($C99="","",95)</f>
        <v/>
      </c>
      <c r="B99" s="8" t="str">
        <f>IF($M99="","",TEXT(INT(INDEX(D_Points!$A$5:$A$204,$M99)/1000),"0")&amp;"+"&amp;TEXT(MOD(INDEX(D_Points!$A$5:$A$204,$M99),1000),"000"))</f>
        <v/>
      </c>
      <c r="C99" s="8" t="str">
        <f>IF($M99="","",UPPER(TRIM(INDEX(D_Points!$C$5:$C$204,$M99))))</f>
        <v/>
      </c>
      <c r="D99" s="8" t="str">
        <f>IF($M99="","",INDEX(D_Points!$D$5:$D$204,$M99))</f>
        <v/>
      </c>
      <c r="E99" s="8" t="str">
        <f>IF($M99="","",UPPER(TRIM(INDEX(D_Points!$E$5:$E$204,$M99))))</f>
        <v/>
      </c>
      <c r="F99" s="8" t="str">
        <f>IF($M99="","",INDEX(D_Points!$F$5:$F$204,$M99))</f>
        <v/>
      </c>
      <c r="G99" s="8" t="str">
        <f>IF($M99="","",""&amp;IF(INDEX(D_Points!$G$5:$G$204,$M99)="","Right Angle",TRIM(INDEX(D_Points!$G$5:$G$204,$M99))))</f>
        <v/>
      </c>
      <c r="H99" s="5" t="str">
        <f t="shared" si="6"/>
        <v/>
      </c>
      <c r="I99" s="5" t="str">
        <f t="shared" si="7"/>
        <v/>
      </c>
      <c r="J99" s="5" t="str">
        <f t="shared" si="8"/>
        <v/>
      </c>
      <c r="K99" s="8" t="str">
        <f>IF($M99="","",INDEX(D_Points!$I$5:$I$204,$M99))</f>
        <v/>
      </c>
      <c r="M99" s="226" t="str">
        <f>IFERROR(MATCH(95,D_Points!$K$5:$K$204,0),"")</f>
        <v/>
      </c>
    </row>
    <row r="100" spans="1:13" ht="15.75" customHeight="1" x14ac:dyDescent="0.3">
      <c r="A100" s="5" t="str">
        <f>IF($C100="","",96)</f>
        <v/>
      </c>
      <c r="B100" s="8" t="str">
        <f>IF($M100="","",TEXT(INT(INDEX(D_Points!$A$5:$A$204,$M100)/1000),"0")&amp;"+"&amp;TEXT(MOD(INDEX(D_Points!$A$5:$A$204,$M100),1000),"000"))</f>
        <v/>
      </c>
      <c r="C100" s="8" t="str">
        <f>IF($M100="","",UPPER(TRIM(INDEX(D_Points!$C$5:$C$204,$M100))))</f>
        <v/>
      </c>
      <c r="D100" s="8" t="str">
        <f>IF($M100="","",INDEX(D_Points!$D$5:$D$204,$M100))</f>
        <v/>
      </c>
      <c r="E100" s="8" t="str">
        <f>IF($M100="","",UPPER(TRIM(INDEX(D_Points!$E$5:$E$204,$M100))))</f>
        <v/>
      </c>
      <c r="F100" s="8" t="str">
        <f>IF($M100="","",INDEX(D_Points!$F$5:$F$204,$M100))</f>
        <v/>
      </c>
      <c r="G100" s="8" t="str">
        <f>IF($M100="","",""&amp;IF(INDEX(D_Points!$G$5:$G$204,$M100)="","Right Angle",TRIM(INDEX(D_Points!$G$5:$G$204,$M100))))</f>
        <v/>
      </c>
      <c r="H100" s="5" t="str">
        <f t="shared" si="6"/>
        <v/>
      </c>
      <c r="I100" s="5" t="str">
        <f t="shared" si="7"/>
        <v/>
      </c>
      <c r="J100" s="5" t="str">
        <f t="shared" si="8"/>
        <v/>
      </c>
      <c r="K100" s="8" t="str">
        <f>IF($M100="","",INDEX(D_Points!$I$5:$I$204,$M100))</f>
        <v/>
      </c>
      <c r="M100" s="226" t="str">
        <f>IFERROR(MATCH(96,D_Points!$K$5:$K$204,0),"")</f>
        <v/>
      </c>
    </row>
    <row r="101" spans="1:13" ht="15.75" customHeight="1" x14ac:dyDescent="0.3">
      <c r="A101" s="5" t="str">
        <f>IF($C101="","",97)</f>
        <v/>
      </c>
      <c r="B101" s="8" t="str">
        <f>IF($M101="","",TEXT(INT(INDEX(D_Points!$A$5:$A$204,$M101)/1000),"0")&amp;"+"&amp;TEXT(MOD(INDEX(D_Points!$A$5:$A$204,$M101),1000),"000"))</f>
        <v/>
      </c>
      <c r="C101" s="8" t="str">
        <f>IF($M101="","",UPPER(TRIM(INDEX(D_Points!$C$5:$C$204,$M101))))</f>
        <v/>
      </c>
      <c r="D101" s="8" t="str">
        <f>IF($M101="","",INDEX(D_Points!$D$5:$D$204,$M101))</f>
        <v/>
      </c>
      <c r="E101" s="8" t="str">
        <f>IF($M101="","",UPPER(TRIM(INDEX(D_Points!$E$5:$E$204,$M101))))</f>
        <v/>
      </c>
      <c r="F101" s="8" t="str">
        <f>IF($M101="","",INDEX(D_Points!$F$5:$F$204,$M101))</f>
        <v/>
      </c>
      <c r="G101" s="8" t="str">
        <f>IF($M101="","",""&amp;IF(INDEX(D_Points!$G$5:$G$204,$M101)="","Right Angle",TRIM(INDEX(D_Points!$G$5:$G$204,$M101))))</f>
        <v/>
      </c>
      <c r="H101" s="5" t="str">
        <f t="shared" si="6"/>
        <v/>
      </c>
      <c r="I101" s="5" t="str">
        <f t="shared" si="7"/>
        <v/>
      </c>
      <c r="J101" s="5" t="str">
        <f t="shared" si="8"/>
        <v/>
      </c>
      <c r="K101" s="8" t="str">
        <f>IF($M101="","",INDEX(D_Points!$I$5:$I$204,$M101))</f>
        <v/>
      </c>
      <c r="M101" s="226" t="str">
        <f>IFERROR(MATCH(97,D_Points!$K$5:$K$204,0),"")</f>
        <v/>
      </c>
    </row>
    <row r="102" spans="1:13" ht="15.75" customHeight="1" x14ac:dyDescent="0.3">
      <c r="A102" s="5" t="str">
        <f>IF($C102="","",98)</f>
        <v/>
      </c>
      <c r="B102" s="8" t="str">
        <f>IF($M102="","",TEXT(INT(INDEX(D_Points!$A$5:$A$204,$M102)/1000),"0")&amp;"+"&amp;TEXT(MOD(INDEX(D_Points!$A$5:$A$204,$M102),1000),"000"))</f>
        <v/>
      </c>
      <c r="C102" s="8" t="str">
        <f>IF($M102="","",UPPER(TRIM(INDEX(D_Points!$C$5:$C$204,$M102))))</f>
        <v/>
      </c>
      <c r="D102" s="8" t="str">
        <f>IF($M102="","",INDEX(D_Points!$D$5:$D$204,$M102))</f>
        <v/>
      </c>
      <c r="E102" s="8" t="str">
        <f>IF($M102="","",UPPER(TRIM(INDEX(D_Points!$E$5:$E$204,$M102))))</f>
        <v/>
      </c>
      <c r="F102" s="8" t="str">
        <f>IF($M102="","",INDEX(D_Points!$F$5:$F$204,$M102))</f>
        <v/>
      </c>
      <c r="G102" s="8" t="str">
        <f>IF($M102="","",""&amp;IF(INDEX(D_Points!$G$5:$G$204,$M102)="","Right Angle",TRIM(INDEX(D_Points!$G$5:$G$204,$M102))))</f>
        <v/>
      </c>
      <c r="H102" s="5" t="str">
        <f t="shared" si="6"/>
        <v/>
      </c>
      <c r="I102" s="5" t="str">
        <f t="shared" si="7"/>
        <v/>
      </c>
      <c r="J102" s="5" t="str">
        <f t="shared" si="8"/>
        <v/>
      </c>
      <c r="K102" s="8" t="str">
        <f>IF($M102="","",INDEX(D_Points!$I$5:$I$204,$M102))</f>
        <v/>
      </c>
      <c r="M102" s="226" t="str">
        <f>IFERROR(MATCH(98,D_Points!$K$5:$K$204,0),"")</f>
        <v/>
      </c>
    </row>
    <row r="103" spans="1:13" ht="15.75" customHeight="1" x14ac:dyDescent="0.3">
      <c r="A103" s="5" t="str">
        <f>IF($C103="","",99)</f>
        <v/>
      </c>
      <c r="B103" s="8" t="str">
        <f>IF($M103="","",TEXT(INT(INDEX(D_Points!$A$5:$A$204,$M103)/1000),"0")&amp;"+"&amp;TEXT(MOD(INDEX(D_Points!$A$5:$A$204,$M103),1000),"000"))</f>
        <v/>
      </c>
      <c r="C103" s="8" t="str">
        <f>IF($M103="","",UPPER(TRIM(INDEX(D_Points!$C$5:$C$204,$M103))))</f>
        <v/>
      </c>
      <c r="D103" s="8" t="str">
        <f>IF($M103="","",INDEX(D_Points!$D$5:$D$204,$M103))</f>
        <v/>
      </c>
      <c r="E103" s="8" t="str">
        <f>IF($M103="","",UPPER(TRIM(INDEX(D_Points!$E$5:$E$204,$M103))))</f>
        <v/>
      </c>
      <c r="F103" s="8" t="str">
        <f>IF($M103="","",INDEX(D_Points!$F$5:$F$204,$M103))</f>
        <v/>
      </c>
      <c r="G103" s="8" t="str">
        <f>IF($M103="","",""&amp;IF(INDEX(D_Points!$G$5:$G$204,$M103)="","Right Angle",TRIM(INDEX(D_Points!$G$5:$G$204,$M103))))</f>
        <v/>
      </c>
      <c r="H103" s="5" t="str">
        <f t="shared" si="6"/>
        <v/>
      </c>
      <c r="I103" s="5" t="str">
        <f t="shared" si="7"/>
        <v/>
      </c>
      <c r="J103" s="5" t="str">
        <f t="shared" si="8"/>
        <v/>
      </c>
      <c r="K103" s="8" t="str">
        <f>IF($M103="","",INDEX(D_Points!$I$5:$I$204,$M103))</f>
        <v/>
      </c>
      <c r="M103" s="226" t="str">
        <f>IFERROR(MATCH(99,D_Points!$K$5:$K$204,0),"")</f>
        <v/>
      </c>
    </row>
    <row r="104" spans="1:13" ht="15.75" customHeight="1" x14ac:dyDescent="0.3">
      <c r="A104" s="5" t="str">
        <f>IF($C104="","",100)</f>
        <v/>
      </c>
      <c r="B104" s="8" t="str">
        <f>IF($M104="","",TEXT(INT(INDEX(D_Points!$A$5:$A$204,$M104)/1000),"0")&amp;"+"&amp;TEXT(MOD(INDEX(D_Points!$A$5:$A$204,$M104),1000),"000"))</f>
        <v/>
      </c>
      <c r="C104" s="8" t="str">
        <f>IF($M104="","",UPPER(TRIM(INDEX(D_Points!$C$5:$C$204,$M104))))</f>
        <v/>
      </c>
      <c r="D104" s="8" t="str">
        <f>IF($M104="","",INDEX(D_Points!$D$5:$D$204,$M104))</f>
        <v/>
      </c>
      <c r="E104" s="8" t="str">
        <f>IF($M104="","",UPPER(TRIM(INDEX(D_Points!$E$5:$E$204,$M104))))</f>
        <v/>
      </c>
      <c r="F104" s="8" t="str">
        <f>IF($M104="","",INDEX(D_Points!$F$5:$F$204,$M104))</f>
        <v/>
      </c>
      <c r="G104" s="8" t="str">
        <f>IF($M104="","",""&amp;IF(INDEX(D_Points!$G$5:$G$204,$M104)="","Right Angle",TRIM(INDEX(D_Points!$G$5:$G$204,$M104))))</f>
        <v/>
      </c>
      <c r="H104" s="5" t="str">
        <f t="shared" si="6"/>
        <v/>
      </c>
      <c r="I104" s="5" t="str">
        <f t="shared" si="7"/>
        <v/>
      </c>
      <c r="J104" s="5" t="str">
        <f t="shared" si="8"/>
        <v/>
      </c>
      <c r="K104" s="8" t="str">
        <f>IF($M104="","",INDEX(D_Points!$I$5:$I$204,$M104))</f>
        <v/>
      </c>
      <c r="M104" s="226" t="str">
        <f>IFERROR(MATCH(100,D_Points!$K$5:$K$204,0),"")</f>
        <v/>
      </c>
    </row>
    <row r="105" spans="1:13" ht="15.75" customHeight="1" x14ac:dyDescent="0.3"/>
    <row r="106" spans="1:13" ht="15.75" customHeight="1" x14ac:dyDescent="0.3"/>
    <row r="107" spans="1:13" ht="15.75" customHeight="1" x14ac:dyDescent="0.3"/>
    <row r="108" spans="1:13" ht="15.75" customHeight="1" x14ac:dyDescent="0.3"/>
    <row r="109" spans="1:13" ht="15.75" customHeight="1" x14ac:dyDescent="0.3"/>
    <row r="110" spans="1:13" ht="15.75" customHeight="1" x14ac:dyDescent="0.3"/>
    <row r="111" spans="1:13" ht="15.75" customHeight="1" x14ac:dyDescent="0.3"/>
    <row r="112" spans="1:13"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dataValidations count="2">
    <dataValidation type="list" allowBlank="1" sqref="G5:G104" xr:uid="{00000000-0002-0000-0900-000000000000}">
      <formula1>"Right Angle,Skew"</formula1>
    </dataValidation>
    <dataValidation type="list" allowBlank="1" sqref="C5:C104" xr:uid="{00000000-0002-0000-0900-000001000000}">
      <formula1>"PC,BC,UC"</formula1>
    </dataValidation>
  </dataValidations>
  <printOptions horizontalCentered="1"/>
  <pageMargins left="0.75" right="0.75" top="1" bottom="1"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B3F00"/>
    <pageSetUpPr fitToPage="1"/>
  </sheetPr>
  <dimension ref="A1:BC1000"/>
  <sheetViews>
    <sheetView showGridLines="0" workbookViewId="0">
      <pane xSplit="2" ySplit="5" topLeftCell="C6" activePane="bottomRight" state="frozen"/>
      <selection pane="topRight" activeCell="C1" sqref="C1"/>
      <selection pane="bottomLeft" activeCell="A6" sqref="A6"/>
      <selection pane="bottomRight" activeCell="A24" sqref="A24"/>
    </sheetView>
  </sheetViews>
  <sheetFormatPr defaultColWidth="14.44140625" defaultRowHeight="15" customHeight="1" x14ac:dyDescent="0.3"/>
  <cols>
    <col min="1" max="1" width="26" customWidth="1"/>
    <col min="2" max="2" width="12" customWidth="1"/>
    <col min="3" max="55" width="10" customWidth="1"/>
  </cols>
  <sheetData>
    <row r="1" spans="1:55" ht="19.8" customHeight="1" x14ac:dyDescent="0.4">
      <c r="A1" s="1" t="s">
        <v>1320</v>
      </c>
    </row>
    <row r="2" spans="1:55" ht="14.4" customHeight="1" x14ac:dyDescent="0.3">
      <c r="A2" s="2" t="s">
        <v>1321</v>
      </c>
    </row>
    <row r="3" spans="1:55" ht="14.4" customHeight="1" x14ac:dyDescent="0.3">
      <c r="Y3" s="4" t="s">
        <v>1322</v>
      </c>
      <c r="Z3" s="4" t="s">
        <v>1323</v>
      </c>
      <c r="AA3" s="4" t="s">
        <v>1324</v>
      </c>
      <c r="AB3" s="4" t="s">
        <v>1325</v>
      </c>
      <c r="AC3" s="4"/>
      <c r="AD3" s="4" t="s">
        <v>1326</v>
      </c>
      <c r="AE3" s="4" t="s">
        <v>1327</v>
      </c>
      <c r="AF3" s="4" t="s">
        <v>1328</v>
      </c>
      <c r="AG3" s="4" t="s">
        <v>1329</v>
      </c>
      <c r="AH3" s="4" t="s">
        <v>1330</v>
      </c>
      <c r="AI3" s="4" t="s">
        <v>1331</v>
      </c>
      <c r="AJ3" s="4" t="s">
        <v>1332</v>
      </c>
      <c r="AK3" s="4" t="s">
        <v>1333</v>
      </c>
      <c r="AL3" s="4" t="s">
        <v>1334</v>
      </c>
      <c r="AM3" s="4" t="s">
        <v>1335</v>
      </c>
      <c r="AN3" s="4" t="s">
        <v>1336</v>
      </c>
      <c r="AO3" s="4" t="s">
        <v>1337</v>
      </c>
      <c r="AP3" s="4" t="s">
        <v>1338</v>
      </c>
      <c r="AQ3" s="4" t="s">
        <v>1339</v>
      </c>
      <c r="AR3" s="4" t="s">
        <v>1340</v>
      </c>
      <c r="AS3" s="4" t="s">
        <v>1341</v>
      </c>
      <c r="AT3" s="4" t="s">
        <v>1342</v>
      </c>
      <c r="AU3" s="4" t="s">
        <v>1343</v>
      </c>
      <c r="AV3" s="4" t="s">
        <v>1344</v>
      </c>
      <c r="AW3" s="4" t="s">
        <v>1345</v>
      </c>
      <c r="AX3" s="4" t="s">
        <v>1346</v>
      </c>
      <c r="AY3" s="4" t="s">
        <v>1347</v>
      </c>
      <c r="AZ3" s="4" t="s">
        <v>1348</v>
      </c>
      <c r="BA3" s="4" t="s">
        <v>1349</v>
      </c>
      <c r="BB3" s="4" t="s">
        <v>1350</v>
      </c>
      <c r="BC3" s="4" t="s">
        <v>1351</v>
      </c>
    </row>
    <row r="4" spans="1:55" ht="40.799999999999997" customHeight="1" x14ac:dyDescent="0.3">
      <c r="A4" s="3" t="s">
        <v>216</v>
      </c>
      <c r="B4" s="3" t="s">
        <v>1317</v>
      </c>
      <c r="C4" s="3" t="s">
        <v>1352</v>
      </c>
      <c r="D4" s="3" t="s">
        <v>1353</v>
      </c>
      <c r="E4" s="3" t="s">
        <v>1354</v>
      </c>
      <c r="F4" s="3" t="s">
        <v>218</v>
      </c>
      <c r="G4" s="3" t="s">
        <v>1355</v>
      </c>
      <c r="H4" s="3" t="s">
        <v>1356</v>
      </c>
      <c r="I4" s="3" t="s">
        <v>1357</v>
      </c>
      <c r="J4" s="3" t="s">
        <v>1358</v>
      </c>
      <c r="K4" s="3" t="s">
        <v>1359</v>
      </c>
      <c r="L4" s="3" t="s">
        <v>1360</v>
      </c>
      <c r="M4" s="3" t="s">
        <v>1361</v>
      </c>
      <c r="N4" s="3" t="s">
        <v>1362</v>
      </c>
      <c r="O4" s="3" t="s">
        <v>1363</v>
      </c>
      <c r="P4" s="3" t="s">
        <v>1364</v>
      </c>
      <c r="Q4" s="3" t="s">
        <v>1365</v>
      </c>
      <c r="R4" s="3" t="s">
        <v>1366</v>
      </c>
      <c r="S4" s="3" t="s">
        <v>1367</v>
      </c>
      <c r="T4" s="3" t="s">
        <v>1368</v>
      </c>
      <c r="U4" s="3" t="s">
        <v>1369</v>
      </c>
      <c r="V4" s="3" t="s">
        <v>1370</v>
      </c>
      <c r="W4" s="3" t="s">
        <v>1371</v>
      </c>
      <c r="X4" s="3" t="s">
        <v>1372</v>
      </c>
      <c r="Y4" s="10" t="s">
        <v>1373</v>
      </c>
      <c r="Z4" s="10" t="s">
        <v>1374</v>
      </c>
      <c r="AA4" s="10" t="s">
        <v>1375</v>
      </c>
      <c r="AB4" s="10" t="s">
        <v>1376</v>
      </c>
      <c r="AC4" s="10" t="s">
        <v>1377</v>
      </c>
      <c r="AD4" s="10" t="s">
        <v>1378</v>
      </c>
      <c r="AE4" s="10" t="s">
        <v>1379</v>
      </c>
      <c r="AF4" s="10" t="s">
        <v>1380</v>
      </c>
      <c r="AG4" s="10" t="s">
        <v>1381</v>
      </c>
      <c r="AH4" s="10" t="s">
        <v>1382</v>
      </c>
      <c r="AI4" s="10" t="s">
        <v>1383</v>
      </c>
      <c r="AJ4" s="10" t="s">
        <v>1384</v>
      </c>
      <c r="AK4" s="10" t="s">
        <v>1385</v>
      </c>
      <c r="AL4" s="10" t="s">
        <v>1386</v>
      </c>
      <c r="AM4" s="10" t="s">
        <v>1387</v>
      </c>
      <c r="AN4" s="10" t="s">
        <v>1388</v>
      </c>
      <c r="AO4" s="10" t="s">
        <v>1389</v>
      </c>
      <c r="AP4" s="10" t="s">
        <v>1390</v>
      </c>
      <c r="AQ4" s="10" t="s">
        <v>1391</v>
      </c>
      <c r="AR4" s="10" t="s">
        <v>1392</v>
      </c>
      <c r="AS4" s="10" t="s">
        <v>1393</v>
      </c>
      <c r="AT4" s="10" t="s">
        <v>1394</v>
      </c>
      <c r="AU4" s="10" t="s">
        <v>1395</v>
      </c>
      <c r="AV4" s="10" t="s">
        <v>1396</v>
      </c>
      <c r="AW4" s="10" t="s">
        <v>1397</v>
      </c>
      <c r="AX4" s="10" t="s">
        <v>1398</v>
      </c>
      <c r="AY4" s="10" t="s">
        <v>1399</v>
      </c>
      <c r="AZ4" s="10" t="s">
        <v>1400</v>
      </c>
      <c r="BA4" s="10" t="s">
        <v>1401</v>
      </c>
      <c r="BB4" s="10" t="s">
        <v>1402</v>
      </c>
      <c r="BC4" s="10" t="s">
        <v>1403</v>
      </c>
    </row>
    <row r="5" spans="1:55" ht="14.4" customHeight="1" x14ac:dyDescent="0.3">
      <c r="Y5" s="13" t="s">
        <v>300</v>
      </c>
      <c r="Z5" s="13" t="s">
        <v>300</v>
      </c>
      <c r="AA5" s="13" t="s">
        <v>300</v>
      </c>
      <c r="AB5" s="13" t="s">
        <v>300</v>
      </c>
      <c r="AC5" s="13" t="s">
        <v>300</v>
      </c>
      <c r="AD5" s="13" t="s">
        <v>300</v>
      </c>
      <c r="AE5" s="13" t="s">
        <v>300</v>
      </c>
      <c r="AF5" s="13" t="s">
        <v>301</v>
      </c>
      <c r="AG5" s="13" t="s">
        <v>301</v>
      </c>
      <c r="AH5" s="13" t="s">
        <v>63</v>
      </c>
      <c r="AI5" s="13" t="s">
        <v>63</v>
      </c>
      <c r="AJ5" s="13" t="s">
        <v>63</v>
      </c>
      <c r="AK5" s="13" t="s">
        <v>63</v>
      </c>
      <c r="AL5" s="13" t="s">
        <v>63</v>
      </c>
      <c r="AM5" s="13" t="s">
        <v>63</v>
      </c>
      <c r="AN5" s="13" t="s">
        <v>63</v>
      </c>
      <c r="AO5" s="13" t="s">
        <v>63</v>
      </c>
      <c r="AP5" s="13" t="s">
        <v>63</v>
      </c>
      <c r="AQ5" s="13" t="s">
        <v>63</v>
      </c>
      <c r="AR5" s="13" t="s">
        <v>63</v>
      </c>
      <c r="AS5" s="13" t="s">
        <v>63</v>
      </c>
      <c r="AT5" s="13" t="s">
        <v>63</v>
      </c>
      <c r="AU5" s="13" t="s">
        <v>63</v>
      </c>
      <c r="AV5" s="13" t="s">
        <v>63</v>
      </c>
      <c r="AW5" s="13" t="s">
        <v>63</v>
      </c>
      <c r="AX5" s="13" t="s">
        <v>63</v>
      </c>
      <c r="AY5" s="13" t="s">
        <v>63</v>
      </c>
      <c r="AZ5" s="13" t="s">
        <v>63</v>
      </c>
      <c r="BA5" s="13" t="s">
        <v>63</v>
      </c>
      <c r="BB5" s="13" t="s">
        <v>1404</v>
      </c>
      <c r="BC5" s="13" t="s">
        <v>1404</v>
      </c>
    </row>
    <row r="6" spans="1:55" ht="14.4" customHeight="1" x14ac:dyDescent="0.3">
      <c r="A6" s="15" t="s">
        <v>1405</v>
      </c>
      <c r="B6" s="15" t="s">
        <v>1406</v>
      </c>
      <c r="C6" s="15">
        <f>COUNTIF('02_Culverts'!$J$5:$J$104,"PC|1/600")</f>
        <v>0</v>
      </c>
      <c r="D6" s="15">
        <f>SUMIF('02_Culverts'!$J$5:$J$104,"PC|1/600",'02_Culverts'!$F$5:$F$104)</f>
        <v>0</v>
      </c>
      <c r="E6" s="15">
        <f t="shared" ref="E6:E20" si="0">IF($C6=0,0,$D6/$C6)</f>
        <v>0</v>
      </c>
      <c r="F6" s="17">
        <v>1</v>
      </c>
      <c r="G6" s="18">
        <v>0.6</v>
      </c>
      <c r="H6" s="19">
        <v>7.4999999999999997E-2</v>
      </c>
      <c r="I6" s="19">
        <v>0.15</v>
      </c>
      <c r="J6" s="18">
        <f t="shared" ref="J6:J20" si="1">ROUND($G6*$F6+($F6+1)*$H6+($F6+1)*$I6,3)</f>
        <v>1.05</v>
      </c>
      <c r="K6" s="18">
        <f t="shared" ref="K6:K20" si="2">ROUND($G6+2*$H6+2*$I6,3)</f>
        <v>1.05</v>
      </c>
      <c r="L6" s="19">
        <v>0.4</v>
      </c>
      <c r="M6" s="19">
        <v>0.05</v>
      </c>
      <c r="N6" s="18">
        <f t="shared" ref="N6:N20" si="3">ROUND(2*COS(RADIANS(45)),3)</f>
        <v>1.4139999999999999</v>
      </c>
      <c r="O6" s="18">
        <f t="shared" ref="O6:O20" si="4">ROUND($J6+2*2*SIN(RADIANS(45)),3)</f>
        <v>3.8780000000000001</v>
      </c>
      <c r="P6" s="19">
        <v>0.6</v>
      </c>
      <c r="Q6" s="19">
        <v>0.2</v>
      </c>
      <c r="R6" s="19">
        <v>1</v>
      </c>
      <c r="S6" s="18">
        <f t="shared" ref="S6:S20" si="5">ROUND(($R6+$K6)/2,3)</f>
        <v>1.0249999999999999</v>
      </c>
      <c r="T6" s="18">
        <f t="shared" ref="T6:T20" si="6">$J6</f>
        <v>1.05</v>
      </c>
      <c r="U6" s="19">
        <v>0.2</v>
      </c>
      <c r="V6" s="19">
        <v>0.2</v>
      </c>
      <c r="W6" s="19">
        <v>0.45</v>
      </c>
      <c r="X6" s="19">
        <v>0.45</v>
      </c>
      <c r="Y6" s="23">
        <f t="shared" ref="Y6:Y20" si="7">$D6*$J6*$L6+$C6*2*$N6*(($J6+$O6)/2)*$L6+$C6*4*$T6*0.5*$L6+$C6*2*$O6*$X6*$L6</f>
        <v>0</v>
      </c>
      <c r="Z6" s="23">
        <f t="shared" ref="Z6:Z20" si="8">$D6*$J6*$M6</f>
        <v>0</v>
      </c>
      <c r="AA6" s="23">
        <f t="shared" ref="AA6:AA20" si="9">Z6</f>
        <v>0</v>
      </c>
      <c r="AB6" s="23">
        <f t="shared" ref="AB6:AB20" si="10">AD6+AE6</f>
        <v>0</v>
      </c>
      <c r="AC6" s="23">
        <f t="shared" ref="AC6:AC20" si="11">$D6*$J6*$K6-$D6*$F6*PI()/4*$G6^2</f>
        <v>0</v>
      </c>
      <c r="AD6" s="23">
        <f t="shared" ref="AD6:AD20" si="12">$C6*2*$N6*(($J6+$O6)/2)*$V6+$C6*4*$T6*0.5*$V6+$C6*2*$O6*$X6*$V6</f>
        <v>0</v>
      </c>
      <c r="AE6" s="23">
        <f t="shared" ref="AE6:AE20" si="13">$C6*2*$T6*$P6*$Q6+$C6*4*$T6*$S6*$U6</f>
        <v>0</v>
      </c>
      <c r="AF6" s="23">
        <f t="shared" ref="AF6:AF20" si="14">$C6*2*2*$P6*$Q6+$C6*4*$R6*$U6</f>
        <v>0</v>
      </c>
      <c r="AG6" s="23">
        <f t="shared" ref="AG6:AG20" si="15">$C6*2*2*$T6*$P6+$C6*4*2*$T6*$S6</f>
        <v>0</v>
      </c>
      <c r="AH6" s="23">
        <f>$D6*$F6</f>
        <v>0</v>
      </c>
      <c r="AI6" s="23"/>
      <c r="AJ6" s="23"/>
      <c r="AK6" s="23"/>
      <c r="AL6" s="23"/>
      <c r="AM6" s="23">
        <f>$D6</f>
        <v>0</v>
      </c>
      <c r="AN6" s="23"/>
      <c r="AO6" s="23"/>
      <c r="AP6" s="23"/>
      <c r="AQ6" s="23"/>
      <c r="AR6" s="23"/>
      <c r="AS6" s="23"/>
      <c r="AT6" s="23"/>
      <c r="AU6" s="23"/>
      <c r="AV6" s="23"/>
      <c r="AW6" s="23"/>
      <c r="AX6" s="23"/>
      <c r="AY6" s="23"/>
      <c r="AZ6" s="23"/>
      <c r="BA6" s="23"/>
      <c r="BB6" s="23">
        <f t="shared" ref="BB6:BB20" si="16">((Z6+AC6)*P_FineLean+(AD6+AE6)*P_FineStr)*P_HaulSand</f>
        <v>0</v>
      </c>
      <c r="BC6" s="23">
        <f t="shared" ref="BC6:BC20" si="17">((Z6+AC6)*P_CoarseLean+(AD6+AE6)*P_CoarseStr)*P_HaulCoarse</f>
        <v>0</v>
      </c>
    </row>
    <row r="7" spans="1:55" ht="14.4" customHeight="1" x14ac:dyDescent="0.3">
      <c r="A7" s="15" t="s">
        <v>1407</v>
      </c>
      <c r="B7" s="15" t="s">
        <v>1408</v>
      </c>
      <c r="C7" s="15">
        <f>COUNTIF('02_Culverts'!$J$5:$J$104,"PC|2/600")</f>
        <v>0</v>
      </c>
      <c r="D7" s="15">
        <f>SUMIF('02_Culverts'!$J$5:$J$104,"PC|2/600",'02_Culverts'!$F$5:$F$104)</f>
        <v>0</v>
      </c>
      <c r="E7" s="15">
        <f t="shared" si="0"/>
        <v>0</v>
      </c>
      <c r="F7" s="17">
        <v>2</v>
      </c>
      <c r="G7" s="18">
        <v>0.6</v>
      </c>
      <c r="H7" s="19">
        <v>7.4999999999999997E-2</v>
      </c>
      <c r="I7" s="19">
        <v>0.15</v>
      </c>
      <c r="J7" s="18">
        <f t="shared" si="1"/>
        <v>1.875</v>
      </c>
      <c r="K7" s="18">
        <f t="shared" si="2"/>
        <v>1.05</v>
      </c>
      <c r="L7" s="19">
        <v>0.4</v>
      </c>
      <c r="M7" s="19">
        <v>0.05</v>
      </c>
      <c r="N7" s="18">
        <f t="shared" si="3"/>
        <v>1.4139999999999999</v>
      </c>
      <c r="O7" s="18">
        <f t="shared" si="4"/>
        <v>4.7030000000000003</v>
      </c>
      <c r="P7" s="19">
        <v>0.6</v>
      </c>
      <c r="Q7" s="19">
        <v>0.2</v>
      </c>
      <c r="R7" s="19">
        <v>1</v>
      </c>
      <c r="S7" s="18">
        <f t="shared" si="5"/>
        <v>1.0249999999999999</v>
      </c>
      <c r="T7" s="18">
        <f t="shared" si="6"/>
        <v>1.875</v>
      </c>
      <c r="U7" s="19">
        <v>0.2</v>
      </c>
      <c r="V7" s="19">
        <v>0.2</v>
      </c>
      <c r="W7" s="19">
        <v>0.45</v>
      </c>
      <c r="X7" s="19">
        <v>0.45</v>
      </c>
      <c r="Y7" s="23">
        <f t="shared" si="7"/>
        <v>0</v>
      </c>
      <c r="Z7" s="23">
        <f t="shared" si="8"/>
        <v>0</v>
      </c>
      <c r="AA7" s="23">
        <f t="shared" si="9"/>
        <v>0</v>
      </c>
      <c r="AB7" s="23">
        <f t="shared" si="10"/>
        <v>0</v>
      </c>
      <c r="AC7" s="23">
        <f t="shared" si="11"/>
        <v>0</v>
      </c>
      <c r="AD7" s="23">
        <f t="shared" si="12"/>
        <v>0</v>
      </c>
      <c r="AE7" s="23">
        <f t="shared" si="13"/>
        <v>0</v>
      </c>
      <c r="AF7" s="23">
        <f t="shared" si="14"/>
        <v>0</v>
      </c>
      <c r="AG7" s="23">
        <f t="shared" si="15"/>
        <v>0</v>
      </c>
      <c r="AH7" s="23">
        <f>$D7*$F7</f>
        <v>0</v>
      </c>
      <c r="AI7" s="23"/>
      <c r="AJ7" s="23"/>
      <c r="AK7" s="23"/>
      <c r="AL7" s="23"/>
      <c r="AM7" s="23"/>
      <c r="AN7" s="23">
        <f>$D7</f>
        <v>0</v>
      </c>
      <c r="AO7" s="23"/>
      <c r="AP7" s="23"/>
      <c r="AQ7" s="23"/>
      <c r="AR7" s="23"/>
      <c r="AS7" s="23"/>
      <c r="AT7" s="23"/>
      <c r="AU7" s="23"/>
      <c r="AV7" s="23"/>
      <c r="AW7" s="23"/>
      <c r="AX7" s="23"/>
      <c r="AY7" s="23"/>
      <c r="AZ7" s="23"/>
      <c r="BA7" s="23"/>
      <c r="BB7" s="23">
        <f t="shared" si="16"/>
        <v>0</v>
      </c>
      <c r="BC7" s="23">
        <f t="shared" si="17"/>
        <v>0</v>
      </c>
    </row>
    <row r="8" spans="1:55" ht="14.4" customHeight="1" x14ac:dyDescent="0.3">
      <c r="A8" s="15" t="s">
        <v>1409</v>
      </c>
      <c r="B8" s="15" t="s">
        <v>1410</v>
      </c>
      <c r="C8" s="15">
        <f>COUNTIF('02_Culverts'!$J$5:$J$104,"PC|3/600")</f>
        <v>0</v>
      </c>
      <c r="D8" s="15">
        <f>SUMIF('02_Culverts'!$J$5:$J$104,"PC|3/600",'02_Culverts'!$F$5:$F$104)</f>
        <v>0</v>
      </c>
      <c r="E8" s="15">
        <f t="shared" si="0"/>
        <v>0</v>
      </c>
      <c r="F8" s="17">
        <v>3</v>
      </c>
      <c r="G8" s="18">
        <v>0.6</v>
      </c>
      <c r="H8" s="19">
        <v>7.4999999999999997E-2</v>
      </c>
      <c r="I8" s="19">
        <v>0.15</v>
      </c>
      <c r="J8" s="18">
        <f t="shared" si="1"/>
        <v>2.7</v>
      </c>
      <c r="K8" s="18">
        <f t="shared" si="2"/>
        <v>1.05</v>
      </c>
      <c r="L8" s="19">
        <v>0.4</v>
      </c>
      <c r="M8" s="19">
        <v>0.05</v>
      </c>
      <c r="N8" s="18">
        <f t="shared" si="3"/>
        <v>1.4139999999999999</v>
      </c>
      <c r="O8" s="18">
        <f t="shared" si="4"/>
        <v>5.5279999999999996</v>
      </c>
      <c r="P8" s="19">
        <v>0.6</v>
      </c>
      <c r="Q8" s="19">
        <v>0.2</v>
      </c>
      <c r="R8" s="19">
        <v>1</v>
      </c>
      <c r="S8" s="18">
        <f t="shared" si="5"/>
        <v>1.0249999999999999</v>
      </c>
      <c r="T8" s="18">
        <f t="shared" si="6"/>
        <v>2.7</v>
      </c>
      <c r="U8" s="19">
        <v>0.2</v>
      </c>
      <c r="V8" s="19">
        <v>0.2</v>
      </c>
      <c r="W8" s="19">
        <v>0.45</v>
      </c>
      <c r="X8" s="19">
        <v>0.45</v>
      </c>
      <c r="Y8" s="23">
        <f t="shared" si="7"/>
        <v>0</v>
      </c>
      <c r="Z8" s="23">
        <f t="shared" si="8"/>
        <v>0</v>
      </c>
      <c r="AA8" s="23">
        <f t="shared" si="9"/>
        <v>0</v>
      </c>
      <c r="AB8" s="23">
        <f t="shared" si="10"/>
        <v>0</v>
      </c>
      <c r="AC8" s="23">
        <f t="shared" si="11"/>
        <v>0</v>
      </c>
      <c r="AD8" s="23">
        <f t="shared" si="12"/>
        <v>0</v>
      </c>
      <c r="AE8" s="23">
        <f t="shared" si="13"/>
        <v>0</v>
      </c>
      <c r="AF8" s="23">
        <f t="shared" si="14"/>
        <v>0</v>
      </c>
      <c r="AG8" s="23">
        <f t="shared" si="15"/>
        <v>0</v>
      </c>
      <c r="AH8" s="23">
        <f>$D8*$F8</f>
        <v>0</v>
      </c>
      <c r="AI8" s="23"/>
      <c r="AJ8" s="23"/>
      <c r="AK8" s="23"/>
      <c r="AL8" s="23"/>
      <c r="AM8" s="23"/>
      <c r="AN8" s="23"/>
      <c r="AO8" s="23">
        <f>$D8</f>
        <v>0</v>
      </c>
      <c r="AP8" s="23"/>
      <c r="AQ8" s="23"/>
      <c r="AR8" s="23"/>
      <c r="AS8" s="23"/>
      <c r="AT8" s="23"/>
      <c r="AU8" s="23"/>
      <c r="AV8" s="23"/>
      <c r="AW8" s="23"/>
      <c r="AX8" s="23"/>
      <c r="AY8" s="23"/>
      <c r="AZ8" s="23"/>
      <c r="BA8" s="23"/>
      <c r="BB8" s="23">
        <f t="shared" si="16"/>
        <v>0</v>
      </c>
      <c r="BC8" s="23">
        <f t="shared" si="17"/>
        <v>0</v>
      </c>
    </row>
    <row r="9" spans="1:55" ht="14.4" customHeight="1" x14ac:dyDescent="0.3">
      <c r="A9" s="15" t="s">
        <v>1411</v>
      </c>
      <c r="B9" s="15" t="s">
        <v>1412</v>
      </c>
      <c r="C9" s="15">
        <f>COUNTIF('02_Culverts'!$J$5:$J$104,"PC|1/900")</f>
        <v>0</v>
      </c>
      <c r="D9" s="15">
        <f>SUMIF('02_Culverts'!$J$5:$J$104,"PC|1/900",'02_Culverts'!$F$5:$F$104)</f>
        <v>0</v>
      </c>
      <c r="E9" s="15">
        <f t="shared" si="0"/>
        <v>0</v>
      </c>
      <c r="F9" s="17">
        <v>1</v>
      </c>
      <c r="G9" s="18">
        <v>0.9</v>
      </c>
      <c r="H9" s="19">
        <v>7.4999999999999997E-2</v>
      </c>
      <c r="I9" s="19">
        <v>0.15</v>
      </c>
      <c r="J9" s="18">
        <f t="shared" si="1"/>
        <v>1.35</v>
      </c>
      <c r="K9" s="18">
        <f t="shared" si="2"/>
        <v>1.35</v>
      </c>
      <c r="L9" s="19">
        <v>0.4</v>
      </c>
      <c r="M9" s="19">
        <v>0.05</v>
      </c>
      <c r="N9" s="18">
        <f t="shared" si="3"/>
        <v>1.4139999999999999</v>
      </c>
      <c r="O9" s="18">
        <f t="shared" si="4"/>
        <v>4.1779999999999999</v>
      </c>
      <c r="P9" s="19">
        <v>0.6</v>
      </c>
      <c r="Q9" s="19">
        <v>0.2</v>
      </c>
      <c r="R9" s="19">
        <v>1</v>
      </c>
      <c r="S9" s="18">
        <f t="shared" si="5"/>
        <v>1.175</v>
      </c>
      <c r="T9" s="18">
        <f t="shared" si="6"/>
        <v>1.35</v>
      </c>
      <c r="U9" s="19">
        <v>0.2</v>
      </c>
      <c r="V9" s="19">
        <v>0.2</v>
      </c>
      <c r="W9" s="19">
        <v>0.45</v>
      </c>
      <c r="X9" s="19">
        <v>0.45</v>
      </c>
      <c r="Y9" s="23">
        <f t="shared" si="7"/>
        <v>0</v>
      </c>
      <c r="Z9" s="23">
        <f t="shared" si="8"/>
        <v>0</v>
      </c>
      <c r="AA9" s="23">
        <f t="shared" si="9"/>
        <v>0</v>
      </c>
      <c r="AB9" s="23">
        <f t="shared" si="10"/>
        <v>0</v>
      </c>
      <c r="AC9" s="23">
        <f t="shared" si="11"/>
        <v>0</v>
      </c>
      <c r="AD9" s="23">
        <f t="shared" si="12"/>
        <v>0</v>
      </c>
      <c r="AE9" s="23">
        <f t="shared" si="13"/>
        <v>0</v>
      </c>
      <c r="AF9" s="23">
        <f t="shared" si="14"/>
        <v>0</v>
      </c>
      <c r="AG9" s="23">
        <f t="shared" si="15"/>
        <v>0</v>
      </c>
      <c r="AH9" s="23"/>
      <c r="AI9" s="23">
        <f>$D9*$F9</f>
        <v>0</v>
      </c>
      <c r="AJ9" s="23"/>
      <c r="AK9" s="23"/>
      <c r="AL9" s="23"/>
      <c r="AM9" s="23"/>
      <c r="AN9" s="23"/>
      <c r="AO9" s="23"/>
      <c r="AP9" s="23">
        <f>$D9</f>
        <v>0</v>
      </c>
      <c r="AQ9" s="23"/>
      <c r="AR9" s="23"/>
      <c r="AS9" s="23"/>
      <c r="AT9" s="23"/>
      <c r="AU9" s="23"/>
      <c r="AV9" s="23"/>
      <c r="AW9" s="23"/>
      <c r="AX9" s="23"/>
      <c r="AY9" s="23"/>
      <c r="AZ9" s="23"/>
      <c r="BA9" s="23"/>
      <c r="BB9" s="23">
        <f t="shared" si="16"/>
        <v>0</v>
      </c>
      <c r="BC9" s="23">
        <f t="shared" si="17"/>
        <v>0</v>
      </c>
    </row>
    <row r="10" spans="1:55" ht="14.4" customHeight="1" x14ac:dyDescent="0.3">
      <c r="A10" s="15" t="s">
        <v>1413</v>
      </c>
      <c r="B10" s="15" t="s">
        <v>1414</v>
      </c>
      <c r="C10" s="15">
        <f>COUNTIF('02_Culverts'!$J$5:$J$104,"PC|2/900")</f>
        <v>0</v>
      </c>
      <c r="D10" s="15">
        <f>SUMIF('02_Culverts'!$J$5:$J$104,"PC|2/900",'02_Culverts'!$F$5:$F$104)</f>
        <v>0</v>
      </c>
      <c r="E10" s="15">
        <f t="shared" si="0"/>
        <v>0</v>
      </c>
      <c r="F10" s="17">
        <v>2</v>
      </c>
      <c r="G10" s="18">
        <v>0.9</v>
      </c>
      <c r="H10" s="19">
        <v>7.4999999999999997E-2</v>
      </c>
      <c r="I10" s="19">
        <v>0.15</v>
      </c>
      <c r="J10" s="18">
        <f t="shared" si="1"/>
        <v>2.4750000000000001</v>
      </c>
      <c r="K10" s="18">
        <f t="shared" si="2"/>
        <v>1.35</v>
      </c>
      <c r="L10" s="19">
        <v>0.4</v>
      </c>
      <c r="M10" s="19">
        <v>0.05</v>
      </c>
      <c r="N10" s="18">
        <f t="shared" si="3"/>
        <v>1.4139999999999999</v>
      </c>
      <c r="O10" s="18">
        <f t="shared" si="4"/>
        <v>5.3029999999999999</v>
      </c>
      <c r="P10" s="19">
        <v>0.6</v>
      </c>
      <c r="Q10" s="19">
        <v>0.2</v>
      </c>
      <c r="R10" s="19">
        <v>1</v>
      </c>
      <c r="S10" s="18">
        <f t="shared" si="5"/>
        <v>1.175</v>
      </c>
      <c r="T10" s="18">
        <f t="shared" si="6"/>
        <v>2.4750000000000001</v>
      </c>
      <c r="U10" s="19">
        <v>0.2</v>
      </c>
      <c r="V10" s="19">
        <v>0.2</v>
      </c>
      <c r="W10" s="19">
        <v>0.45</v>
      </c>
      <c r="X10" s="19">
        <v>0.45</v>
      </c>
      <c r="Y10" s="23">
        <f t="shared" si="7"/>
        <v>0</v>
      </c>
      <c r="Z10" s="23">
        <f t="shared" si="8"/>
        <v>0</v>
      </c>
      <c r="AA10" s="23">
        <f t="shared" si="9"/>
        <v>0</v>
      </c>
      <c r="AB10" s="23">
        <f t="shared" si="10"/>
        <v>0</v>
      </c>
      <c r="AC10" s="23">
        <f t="shared" si="11"/>
        <v>0</v>
      </c>
      <c r="AD10" s="23">
        <f t="shared" si="12"/>
        <v>0</v>
      </c>
      <c r="AE10" s="23">
        <f t="shared" si="13"/>
        <v>0</v>
      </c>
      <c r="AF10" s="23">
        <f t="shared" si="14"/>
        <v>0</v>
      </c>
      <c r="AG10" s="23">
        <f t="shared" si="15"/>
        <v>0</v>
      </c>
      <c r="AH10" s="23"/>
      <c r="AI10" s="23">
        <f>$D10*$F10</f>
        <v>0</v>
      </c>
      <c r="AJ10" s="23"/>
      <c r="AK10" s="23"/>
      <c r="AL10" s="23"/>
      <c r="AM10" s="23"/>
      <c r="AN10" s="23"/>
      <c r="AO10" s="23"/>
      <c r="AP10" s="23"/>
      <c r="AQ10" s="23">
        <f>$D10</f>
        <v>0</v>
      </c>
      <c r="AR10" s="23"/>
      <c r="AS10" s="23"/>
      <c r="AT10" s="23"/>
      <c r="AU10" s="23"/>
      <c r="AV10" s="23"/>
      <c r="AW10" s="23"/>
      <c r="AX10" s="23"/>
      <c r="AY10" s="23"/>
      <c r="AZ10" s="23"/>
      <c r="BA10" s="23"/>
      <c r="BB10" s="23">
        <f t="shared" si="16"/>
        <v>0</v>
      </c>
      <c r="BC10" s="23">
        <f t="shared" si="17"/>
        <v>0</v>
      </c>
    </row>
    <row r="11" spans="1:55" ht="14.4" customHeight="1" x14ac:dyDescent="0.3">
      <c r="A11" s="15" t="s">
        <v>1415</v>
      </c>
      <c r="B11" s="15" t="s">
        <v>1416</v>
      </c>
      <c r="C11" s="15">
        <f>COUNTIF('02_Culverts'!$J$5:$J$104,"PC|3/900")</f>
        <v>0</v>
      </c>
      <c r="D11" s="15">
        <f>SUMIF('02_Culverts'!$J$5:$J$104,"PC|3/900",'02_Culverts'!$F$5:$F$104)</f>
        <v>0</v>
      </c>
      <c r="E11" s="15">
        <f t="shared" si="0"/>
        <v>0</v>
      </c>
      <c r="F11" s="17">
        <v>3</v>
      </c>
      <c r="G11" s="18">
        <v>0.9</v>
      </c>
      <c r="H11" s="19">
        <v>7.4999999999999997E-2</v>
      </c>
      <c r="I11" s="19">
        <v>0.15</v>
      </c>
      <c r="J11" s="18">
        <f t="shared" si="1"/>
        <v>3.6</v>
      </c>
      <c r="K11" s="18">
        <f t="shared" si="2"/>
        <v>1.35</v>
      </c>
      <c r="L11" s="19">
        <v>0.4</v>
      </c>
      <c r="M11" s="19">
        <v>0.05</v>
      </c>
      <c r="N11" s="18">
        <f t="shared" si="3"/>
        <v>1.4139999999999999</v>
      </c>
      <c r="O11" s="18">
        <f t="shared" si="4"/>
        <v>6.4279999999999999</v>
      </c>
      <c r="P11" s="19">
        <v>0.6</v>
      </c>
      <c r="Q11" s="19">
        <v>0.2</v>
      </c>
      <c r="R11" s="19">
        <v>1</v>
      </c>
      <c r="S11" s="18">
        <f t="shared" si="5"/>
        <v>1.175</v>
      </c>
      <c r="T11" s="18">
        <f t="shared" si="6"/>
        <v>3.6</v>
      </c>
      <c r="U11" s="19">
        <v>0.2</v>
      </c>
      <c r="V11" s="19">
        <v>0.2</v>
      </c>
      <c r="W11" s="19">
        <v>0.45</v>
      </c>
      <c r="X11" s="19">
        <v>0.45</v>
      </c>
      <c r="Y11" s="23">
        <f t="shared" si="7"/>
        <v>0</v>
      </c>
      <c r="Z11" s="23">
        <f t="shared" si="8"/>
        <v>0</v>
      </c>
      <c r="AA11" s="23">
        <f t="shared" si="9"/>
        <v>0</v>
      </c>
      <c r="AB11" s="23">
        <f t="shared" si="10"/>
        <v>0</v>
      </c>
      <c r="AC11" s="23">
        <f t="shared" si="11"/>
        <v>0</v>
      </c>
      <c r="AD11" s="23">
        <f t="shared" si="12"/>
        <v>0</v>
      </c>
      <c r="AE11" s="23">
        <f t="shared" si="13"/>
        <v>0</v>
      </c>
      <c r="AF11" s="23">
        <f t="shared" si="14"/>
        <v>0</v>
      </c>
      <c r="AG11" s="23">
        <f t="shared" si="15"/>
        <v>0</v>
      </c>
      <c r="AH11" s="23"/>
      <c r="AI11" s="23">
        <f>$D11*$F11</f>
        <v>0</v>
      </c>
      <c r="AJ11" s="23"/>
      <c r="AK11" s="23"/>
      <c r="AL11" s="23"/>
      <c r="AM11" s="23"/>
      <c r="AN11" s="23"/>
      <c r="AO11" s="23"/>
      <c r="AP11" s="23"/>
      <c r="AQ11" s="23"/>
      <c r="AR11" s="23">
        <f>$D11</f>
        <v>0</v>
      </c>
      <c r="AS11" s="23"/>
      <c r="AT11" s="23"/>
      <c r="AU11" s="23"/>
      <c r="AV11" s="23"/>
      <c r="AW11" s="23"/>
      <c r="AX11" s="23"/>
      <c r="AY11" s="23"/>
      <c r="AZ11" s="23"/>
      <c r="BA11" s="23"/>
      <c r="BB11" s="23">
        <f t="shared" si="16"/>
        <v>0</v>
      </c>
      <c r="BC11" s="23">
        <f t="shared" si="17"/>
        <v>0</v>
      </c>
    </row>
    <row r="12" spans="1:55" ht="14.4" customHeight="1" x14ac:dyDescent="0.3">
      <c r="A12" s="15" t="s">
        <v>1417</v>
      </c>
      <c r="B12" s="15" t="s">
        <v>1418</v>
      </c>
      <c r="C12" s="15">
        <f>COUNTIF('02_Culverts'!$J$5:$J$104,"PC|1/1200")</f>
        <v>0</v>
      </c>
      <c r="D12" s="15">
        <f>SUMIF('02_Culverts'!$J$5:$J$104,"PC|1/1200",'02_Culverts'!$F$5:$F$104)</f>
        <v>0</v>
      </c>
      <c r="E12" s="15">
        <f t="shared" si="0"/>
        <v>0</v>
      </c>
      <c r="F12" s="17">
        <v>1</v>
      </c>
      <c r="G12" s="18">
        <v>1.2</v>
      </c>
      <c r="H12" s="19">
        <v>7.4999999999999997E-2</v>
      </c>
      <c r="I12" s="19">
        <v>0.15</v>
      </c>
      <c r="J12" s="18">
        <f t="shared" si="1"/>
        <v>1.65</v>
      </c>
      <c r="K12" s="18">
        <f t="shared" si="2"/>
        <v>1.65</v>
      </c>
      <c r="L12" s="19">
        <v>0.4</v>
      </c>
      <c r="M12" s="19">
        <v>0.05</v>
      </c>
      <c r="N12" s="18">
        <f t="shared" si="3"/>
        <v>1.4139999999999999</v>
      </c>
      <c r="O12" s="18">
        <f t="shared" si="4"/>
        <v>4.4779999999999998</v>
      </c>
      <c r="P12" s="19">
        <v>0.6</v>
      </c>
      <c r="Q12" s="19">
        <v>0.2</v>
      </c>
      <c r="R12" s="19">
        <v>1</v>
      </c>
      <c r="S12" s="18">
        <f t="shared" si="5"/>
        <v>1.325</v>
      </c>
      <c r="T12" s="18">
        <f t="shared" si="6"/>
        <v>1.65</v>
      </c>
      <c r="U12" s="19">
        <v>0.2</v>
      </c>
      <c r="V12" s="19">
        <v>0.2</v>
      </c>
      <c r="W12" s="19">
        <v>0.45</v>
      </c>
      <c r="X12" s="19">
        <v>0.45</v>
      </c>
      <c r="Y12" s="23">
        <f t="shared" si="7"/>
        <v>0</v>
      </c>
      <c r="Z12" s="23">
        <f t="shared" si="8"/>
        <v>0</v>
      </c>
      <c r="AA12" s="23">
        <f t="shared" si="9"/>
        <v>0</v>
      </c>
      <c r="AB12" s="23">
        <f t="shared" si="10"/>
        <v>0</v>
      </c>
      <c r="AC12" s="23">
        <f t="shared" si="11"/>
        <v>0</v>
      </c>
      <c r="AD12" s="23">
        <f t="shared" si="12"/>
        <v>0</v>
      </c>
      <c r="AE12" s="23">
        <f t="shared" si="13"/>
        <v>0</v>
      </c>
      <c r="AF12" s="23">
        <f t="shared" si="14"/>
        <v>0</v>
      </c>
      <c r="AG12" s="23">
        <f t="shared" si="15"/>
        <v>0</v>
      </c>
      <c r="AH12" s="23"/>
      <c r="AI12" s="23"/>
      <c r="AJ12" s="23">
        <f>$D12*$F12</f>
        <v>0</v>
      </c>
      <c r="AK12" s="23"/>
      <c r="AL12" s="23"/>
      <c r="AM12" s="23"/>
      <c r="AN12" s="23"/>
      <c r="AO12" s="23"/>
      <c r="AP12" s="23"/>
      <c r="AQ12" s="23"/>
      <c r="AR12" s="23"/>
      <c r="AS12" s="23">
        <f>$D12</f>
        <v>0</v>
      </c>
      <c r="AT12" s="23"/>
      <c r="AU12" s="23"/>
      <c r="AV12" s="23"/>
      <c r="AW12" s="23"/>
      <c r="AX12" s="23"/>
      <c r="AY12" s="23"/>
      <c r="AZ12" s="23"/>
      <c r="BA12" s="23"/>
      <c r="BB12" s="23">
        <f t="shared" si="16"/>
        <v>0</v>
      </c>
      <c r="BC12" s="23">
        <f t="shared" si="17"/>
        <v>0</v>
      </c>
    </row>
    <row r="13" spans="1:55" ht="14.4" customHeight="1" x14ac:dyDescent="0.3">
      <c r="A13" s="15" t="s">
        <v>1419</v>
      </c>
      <c r="B13" s="15" t="s">
        <v>1420</v>
      </c>
      <c r="C13" s="15">
        <f>COUNTIF('02_Culverts'!$J$5:$J$104,"PC|2/1200")</f>
        <v>0</v>
      </c>
      <c r="D13" s="15">
        <f>SUMIF('02_Culverts'!$J$5:$J$104,"PC|2/1200",'02_Culverts'!$F$5:$F$104)</f>
        <v>0</v>
      </c>
      <c r="E13" s="15">
        <f t="shared" si="0"/>
        <v>0</v>
      </c>
      <c r="F13" s="17">
        <v>2</v>
      </c>
      <c r="G13" s="18">
        <v>1.2</v>
      </c>
      <c r="H13" s="19">
        <v>7.4999999999999997E-2</v>
      </c>
      <c r="I13" s="19">
        <v>0.15</v>
      </c>
      <c r="J13" s="18">
        <f t="shared" si="1"/>
        <v>3.0750000000000002</v>
      </c>
      <c r="K13" s="18">
        <f t="shared" si="2"/>
        <v>1.65</v>
      </c>
      <c r="L13" s="19">
        <v>0.4</v>
      </c>
      <c r="M13" s="19">
        <v>0.05</v>
      </c>
      <c r="N13" s="18">
        <f t="shared" si="3"/>
        <v>1.4139999999999999</v>
      </c>
      <c r="O13" s="18">
        <f t="shared" si="4"/>
        <v>5.9029999999999996</v>
      </c>
      <c r="P13" s="19">
        <v>0.6</v>
      </c>
      <c r="Q13" s="19">
        <v>0.2</v>
      </c>
      <c r="R13" s="19">
        <v>1</v>
      </c>
      <c r="S13" s="18">
        <f t="shared" si="5"/>
        <v>1.325</v>
      </c>
      <c r="T13" s="18">
        <f t="shared" si="6"/>
        <v>3.0750000000000002</v>
      </c>
      <c r="U13" s="19">
        <v>0.2</v>
      </c>
      <c r="V13" s="19">
        <v>0.2</v>
      </c>
      <c r="W13" s="19">
        <v>0.45</v>
      </c>
      <c r="X13" s="19">
        <v>0.45</v>
      </c>
      <c r="Y13" s="23">
        <f t="shared" si="7"/>
        <v>0</v>
      </c>
      <c r="Z13" s="23">
        <f t="shared" si="8"/>
        <v>0</v>
      </c>
      <c r="AA13" s="23">
        <f t="shared" si="9"/>
        <v>0</v>
      </c>
      <c r="AB13" s="23">
        <f t="shared" si="10"/>
        <v>0</v>
      </c>
      <c r="AC13" s="23">
        <f t="shared" si="11"/>
        <v>0</v>
      </c>
      <c r="AD13" s="23">
        <f t="shared" si="12"/>
        <v>0</v>
      </c>
      <c r="AE13" s="23">
        <f t="shared" si="13"/>
        <v>0</v>
      </c>
      <c r="AF13" s="23">
        <f t="shared" si="14"/>
        <v>0</v>
      </c>
      <c r="AG13" s="23">
        <f t="shared" si="15"/>
        <v>0</v>
      </c>
      <c r="AH13" s="23"/>
      <c r="AI13" s="23"/>
      <c r="AJ13" s="23">
        <f>$D13*$F13</f>
        <v>0</v>
      </c>
      <c r="AK13" s="23"/>
      <c r="AL13" s="23"/>
      <c r="AM13" s="23"/>
      <c r="AN13" s="23"/>
      <c r="AO13" s="23"/>
      <c r="AP13" s="23"/>
      <c r="AQ13" s="23"/>
      <c r="AR13" s="23"/>
      <c r="AS13" s="23"/>
      <c r="AT13" s="23">
        <f>$D13</f>
        <v>0</v>
      </c>
      <c r="AU13" s="23"/>
      <c r="AV13" s="23"/>
      <c r="AW13" s="23"/>
      <c r="AX13" s="23"/>
      <c r="AY13" s="23"/>
      <c r="AZ13" s="23"/>
      <c r="BA13" s="23"/>
      <c r="BB13" s="23">
        <f t="shared" si="16"/>
        <v>0</v>
      </c>
      <c r="BC13" s="23">
        <f t="shared" si="17"/>
        <v>0</v>
      </c>
    </row>
    <row r="14" spans="1:55" ht="14.4" customHeight="1" x14ac:dyDescent="0.3">
      <c r="A14" s="15" t="s">
        <v>1421</v>
      </c>
      <c r="B14" s="15" t="s">
        <v>1422</v>
      </c>
      <c r="C14" s="15">
        <f>COUNTIF('02_Culverts'!$J$5:$J$104,"PC|3/1200")</f>
        <v>0</v>
      </c>
      <c r="D14" s="15">
        <f>SUMIF('02_Culverts'!$J$5:$J$104,"PC|3/1200",'02_Culverts'!$F$5:$F$104)</f>
        <v>0</v>
      </c>
      <c r="E14" s="15">
        <f t="shared" si="0"/>
        <v>0</v>
      </c>
      <c r="F14" s="17">
        <v>3</v>
      </c>
      <c r="G14" s="18">
        <v>1.2</v>
      </c>
      <c r="H14" s="19">
        <v>7.4999999999999997E-2</v>
      </c>
      <c r="I14" s="19">
        <v>0.15</v>
      </c>
      <c r="J14" s="18">
        <f t="shared" si="1"/>
        <v>4.5</v>
      </c>
      <c r="K14" s="18">
        <f t="shared" si="2"/>
        <v>1.65</v>
      </c>
      <c r="L14" s="19">
        <v>0.4</v>
      </c>
      <c r="M14" s="19">
        <v>0.05</v>
      </c>
      <c r="N14" s="18">
        <f t="shared" si="3"/>
        <v>1.4139999999999999</v>
      </c>
      <c r="O14" s="18">
        <f t="shared" si="4"/>
        <v>7.3280000000000003</v>
      </c>
      <c r="P14" s="19">
        <v>0.6</v>
      </c>
      <c r="Q14" s="19">
        <v>0.2</v>
      </c>
      <c r="R14" s="19">
        <v>1</v>
      </c>
      <c r="S14" s="18">
        <f t="shared" si="5"/>
        <v>1.325</v>
      </c>
      <c r="T14" s="18">
        <f t="shared" si="6"/>
        <v>4.5</v>
      </c>
      <c r="U14" s="19">
        <v>0.2</v>
      </c>
      <c r="V14" s="19">
        <v>0.2</v>
      </c>
      <c r="W14" s="19">
        <v>0.45</v>
      </c>
      <c r="X14" s="19">
        <v>0.45</v>
      </c>
      <c r="Y14" s="23">
        <f t="shared" si="7"/>
        <v>0</v>
      </c>
      <c r="Z14" s="23">
        <f t="shared" si="8"/>
        <v>0</v>
      </c>
      <c r="AA14" s="23">
        <f t="shared" si="9"/>
        <v>0</v>
      </c>
      <c r="AB14" s="23">
        <f t="shared" si="10"/>
        <v>0</v>
      </c>
      <c r="AC14" s="23">
        <f t="shared" si="11"/>
        <v>0</v>
      </c>
      <c r="AD14" s="23">
        <f t="shared" si="12"/>
        <v>0</v>
      </c>
      <c r="AE14" s="23">
        <f t="shared" si="13"/>
        <v>0</v>
      </c>
      <c r="AF14" s="23">
        <f t="shared" si="14"/>
        <v>0</v>
      </c>
      <c r="AG14" s="23">
        <f t="shared" si="15"/>
        <v>0</v>
      </c>
      <c r="AH14" s="23"/>
      <c r="AI14" s="23"/>
      <c r="AJ14" s="23">
        <f>$D14*$F14</f>
        <v>0</v>
      </c>
      <c r="AK14" s="23"/>
      <c r="AL14" s="23"/>
      <c r="AM14" s="23"/>
      <c r="AN14" s="23"/>
      <c r="AO14" s="23"/>
      <c r="AP14" s="23"/>
      <c r="AQ14" s="23"/>
      <c r="AR14" s="23"/>
      <c r="AS14" s="23"/>
      <c r="AT14" s="23"/>
      <c r="AU14" s="23">
        <f>$D14</f>
        <v>0</v>
      </c>
      <c r="AV14" s="23"/>
      <c r="AW14" s="23"/>
      <c r="AX14" s="23"/>
      <c r="AY14" s="23"/>
      <c r="AZ14" s="23"/>
      <c r="BA14" s="23"/>
      <c r="BB14" s="23">
        <f t="shared" si="16"/>
        <v>0</v>
      </c>
      <c r="BC14" s="23">
        <f t="shared" si="17"/>
        <v>0</v>
      </c>
    </row>
    <row r="15" spans="1:55" ht="14.4" customHeight="1" x14ac:dyDescent="0.3">
      <c r="A15" s="15" t="s">
        <v>1423</v>
      </c>
      <c r="B15" s="15" t="s">
        <v>1424</v>
      </c>
      <c r="C15" s="15">
        <f>COUNTIF('02_Culverts'!$J$5:$J$104,"PC|1/1500")</f>
        <v>0</v>
      </c>
      <c r="D15" s="15">
        <f>SUMIF('02_Culverts'!$J$5:$J$104,"PC|1/1500",'02_Culverts'!$F$5:$F$104)</f>
        <v>0</v>
      </c>
      <c r="E15" s="15">
        <f t="shared" si="0"/>
        <v>0</v>
      </c>
      <c r="F15" s="17">
        <v>1</v>
      </c>
      <c r="G15" s="18">
        <v>1.5</v>
      </c>
      <c r="H15" s="19">
        <v>7.4999999999999997E-2</v>
      </c>
      <c r="I15" s="19">
        <v>0.15</v>
      </c>
      <c r="J15" s="18">
        <f t="shared" si="1"/>
        <v>1.95</v>
      </c>
      <c r="K15" s="18">
        <f t="shared" si="2"/>
        <v>1.95</v>
      </c>
      <c r="L15" s="19">
        <v>0.4</v>
      </c>
      <c r="M15" s="19">
        <v>0.05</v>
      </c>
      <c r="N15" s="18">
        <f t="shared" si="3"/>
        <v>1.4139999999999999</v>
      </c>
      <c r="O15" s="18">
        <f t="shared" si="4"/>
        <v>4.7779999999999996</v>
      </c>
      <c r="P15" s="19">
        <v>0.6</v>
      </c>
      <c r="Q15" s="19">
        <v>0.2</v>
      </c>
      <c r="R15" s="19">
        <v>1</v>
      </c>
      <c r="S15" s="18">
        <f t="shared" si="5"/>
        <v>1.4750000000000001</v>
      </c>
      <c r="T15" s="18">
        <f t="shared" si="6"/>
        <v>1.95</v>
      </c>
      <c r="U15" s="19">
        <v>0.2</v>
      </c>
      <c r="V15" s="19">
        <v>0.2</v>
      </c>
      <c r="W15" s="19">
        <v>0.45</v>
      </c>
      <c r="X15" s="19">
        <v>0.45</v>
      </c>
      <c r="Y15" s="23">
        <f t="shared" si="7"/>
        <v>0</v>
      </c>
      <c r="Z15" s="23">
        <f t="shared" si="8"/>
        <v>0</v>
      </c>
      <c r="AA15" s="23">
        <f t="shared" si="9"/>
        <v>0</v>
      </c>
      <c r="AB15" s="23">
        <f t="shared" si="10"/>
        <v>0</v>
      </c>
      <c r="AC15" s="23">
        <f t="shared" si="11"/>
        <v>0</v>
      </c>
      <c r="AD15" s="23">
        <f t="shared" si="12"/>
        <v>0</v>
      </c>
      <c r="AE15" s="23">
        <f t="shared" si="13"/>
        <v>0</v>
      </c>
      <c r="AF15" s="23">
        <f t="shared" si="14"/>
        <v>0</v>
      </c>
      <c r="AG15" s="23">
        <f t="shared" si="15"/>
        <v>0</v>
      </c>
      <c r="AH15" s="23"/>
      <c r="AI15" s="23"/>
      <c r="AJ15" s="23"/>
      <c r="AK15" s="23">
        <f>$D15*$F15</f>
        <v>0</v>
      </c>
      <c r="AL15" s="23"/>
      <c r="AM15" s="23"/>
      <c r="AN15" s="23"/>
      <c r="AO15" s="23"/>
      <c r="AP15" s="23"/>
      <c r="AQ15" s="23"/>
      <c r="AR15" s="23"/>
      <c r="AS15" s="23"/>
      <c r="AT15" s="23"/>
      <c r="AU15" s="23"/>
      <c r="AV15" s="23">
        <f>$D15</f>
        <v>0</v>
      </c>
      <c r="AW15" s="23"/>
      <c r="AX15" s="23"/>
      <c r="AY15" s="23"/>
      <c r="AZ15" s="23"/>
      <c r="BA15" s="23"/>
      <c r="BB15" s="23">
        <f t="shared" si="16"/>
        <v>0</v>
      </c>
      <c r="BC15" s="23">
        <f t="shared" si="17"/>
        <v>0</v>
      </c>
    </row>
    <row r="16" spans="1:55" ht="14.4" customHeight="1" x14ac:dyDescent="0.3">
      <c r="A16" s="15" t="s">
        <v>1425</v>
      </c>
      <c r="B16" s="15" t="s">
        <v>1426</v>
      </c>
      <c r="C16" s="15">
        <f>COUNTIF('02_Culverts'!$J$5:$J$104,"PC|2/1500")</f>
        <v>0</v>
      </c>
      <c r="D16" s="15">
        <f>SUMIF('02_Culverts'!$J$5:$J$104,"PC|2/1500",'02_Culverts'!$F$5:$F$104)</f>
        <v>0</v>
      </c>
      <c r="E16" s="15">
        <f t="shared" si="0"/>
        <v>0</v>
      </c>
      <c r="F16" s="17">
        <v>2</v>
      </c>
      <c r="G16" s="18">
        <v>1.5</v>
      </c>
      <c r="H16" s="19">
        <v>7.4999999999999997E-2</v>
      </c>
      <c r="I16" s="19">
        <v>0.15</v>
      </c>
      <c r="J16" s="18">
        <f t="shared" si="1"/>
        <v>3.6749999999999998</v>
      </c>
      <c r="K16" s="18">
        <f t="shared" si="2"/>
        <v>1.95</v>
      </c>
      <c r="L16" s="19">
        <v>0.4</v>
      </c>
      <c r="M16" s="19">
        <v>0.05</v>
      </c>
      <c r="N16" s="18">
        <f t="shared" si="3"/>
        <v>1.4139999999999999</v>
      </c>
      <c r="O16" s="18">
        <f t="shared" si="4"/>
        <v>6.5030000000000001</v>
      </c>
      <c r="P16" s="19">
        <v>0.6</v>
      </c>
      <c r="Q16" s="19">
        <v>0.2</v>
      </c>
      <c r="R16" s="19">
        <v>1</v>
      </c>
      <c r="S16" s="18">
        <f t="shared" si="5"/>
        <v>1.4750000000000001</v>
      </c>
      <c r="T16" s="18">
        <f t="shared" si="6"/>
        <v>3.6749999999999998</v>
      </c>
      <c r="U16" s="19">
        <v>0.2</v>
      </c>
      <c r="V16" s="19">
        <v>0.2</v>
      </c>
      <c r="W16" s="19">
        <v>0.45</v>
      </c>
      <c r="X16" s="19">
        <v>0.45</v>
      </c>
      <c r="Y16" s="23">
        <f t="shared" si="7"/>
        <v>0</v>
      </c>
      <c r="Z16" s="23">
        <f t="shared" si="8"/>
        <v>0</v>
      </c>
      <c r="AA16" s="23">
        <f t="shared" si="9"/>
        <v>0</v>
      </c>
      <c r="AB16" s="23">
        <f t="shared" si="10"/>
        <v>0</v>
      </c>
      <c r="AC16" s="23">
        <f t="shared" si="11"/>
        <v>0</v>
      </c>
      <c r="AD16" s="23">
        <f t="shared" si="12"/>
        <v>0</v>
      </c>
      <c r="AE16" s="23">
        <f t="shared" si="13"/>
        <v>0</v>
      </c>
      <c r="AF16" s="23">
        <f t="shared" si="14"/>
        <v>0</v>
      </c>
      <c r="AG16" s="23">
        <f t="shared" si="15"/>
        <v>0</v>
      </c>
      <c r="AH16" s="23"/>
      <c r="AI16" s="23"/>
      <c r="AJ16" s="23"/>
      <c r="AK16" s="23">
        <f>$D16*$F16</f>
        <v>0</v>
      </c>
      <c r="AL16" s="23"/>
      <c r="AM16" s="23"/>
      <c r="AN16" s="23"/>
      <c r="AO16" s="23"/>
      <c r="AP16" s="23"/>
      <c r="AQ16" s="23"/>
      <c r="AR16" s="23"/>
      <c r="AS16" s="23"/>
      <c r="AT16" s="23"/>
      <c r="AU16" s="23"/>
      <c r="AV16" s="23"/>
      <c r="AW16" s="23">
        <f>$D16</f>
        <v>0</v>
      </c>
      <c r="AX16" s="23"/>
      <c r="AY16" s="23"/>
      <c r="AZ16" s="23"/>
      <c r="BA16" s="23"/>
      <c r="BB16" s="23">
        <f t="shared" si="16"/>
        <v>0</v>
      </c>
      <c r="BC16" s="23">
        <f t="shared" si="17"/>
        <v>0</v>
      </c>
    </row>
    <row r="17" spans="1:55" ht="14.4" customHeight="1" x14ac:dyDescent="0.3">
      <c r="A17" s="15" t="s">
        <v>1427</v>
      </c>
      <c r="B17" s="15" t="s">
        <v>1428</v>
      </c>
      <c r="C17" s="15">
        <f>COUNTIF('02_Culverts'!$J$5:$J$104,"PC|3/1500")</f>
        <v>0</v>
      </c>
      <c r="D17" s="15">
        <f>SUMIF('02_Culverts'!$J$5:$J$104,"PC|3/1500",'02_Culverts'!$F$5:$F$104)</f>
        <v>0</v>
      </c>
      <c r="E17" s="15">
        <f t="shared" si="0"/>
        <v>0</v>
      </c>
      <c r="F17" s="17">
        <v>3</v>
      </c>
      <c r="G17" s="18">
        <v>1.5</v>
      </c>
      <c r="H17" s="19">
        <v>7.4999999999999997E-2</v>
      </c>
      <c r="I17" s="19">
        <v>0.15</v>
      </c>
      <c r="J17" s="18">
        <f t="shared" si="1"/>
        <v>5.4</v>
      </c>
      <c r="K17" s="18">
        <f t="shared" si="2"/>
        <v>1.95</v>
      </c>
      <c r="L17" s="19">
        <v>0.4</v>
      </c>
      <c r="M17" s="19">
        <v>0.05</v>
      </c>
      <c r="N17" s="18">
        <f t="shared" si="3"/>
        <v>1.4139999999999999</v>
      </c>
      <c r="O17" s="18">
        <f t="shared" si="4"/>
        <v>8.2279999999999998</v>
      </c>
      <c r="P17" s="19">
        <v>0.6</v>
      </c>
      <c r="Q17" s="19">
        <v>0.2</v>
      </c>
      <c r="R17" s="19">
        <v>1</v>
      </c>
      <c r="S17" s="18">
        <f t="shared" si="5"/>
        <v>1.4750000000000001</v>
      </c>
      <c r="T17" s="18">
        <f t="shared" si="6"/>
        <v>5.4</v>
      </c>
      <c r="U17" s="19">
        <v>0.2</v>
      </c>
      <c r="V17" s="19">
        <v>0.2</v>
      </c>
      <c r="W17" s="19">
        <v>0.45</v>
      </c>
      <c r="X17" s="19">
        <v>0.45</v>
      </c>
      <c r="Y17" s="23">
        <f t="shared" si="7"/>
        <v>0</v>
      </c>
      <c r="Z17" s="23">
        <f t="shared" si="8"/>
        <v>0</v>
      </c>
      <c r="AA17" s="23">
        <f t="shared" si="9"/>
        <v>0</v>
      </c>
      <c r="AB17" s="23">
        <f t="shared" si="10"/>
        <v>0</v>
      </c>
      <c r="AC17" s="23">
        <f t="shared" si="11"/>
        <v>0</v>
      </c>
      <c r="AD17" s="23">
        <f t="shared" si="12"/>
        <v>0</v>
      </c>
      <c r="AE17" s="23">
        <f t="shared" si="13"/>
        <v>0</v>
      </c>
      <c r="AF17" s="23">
        <f t="shared" si="14"/>
        <v>0</v>
      </c>
      <c r="AG17" s="23">
        <f t="shared" si="15"/>
        <v>0</v>
      </c>
      <c r="AH17" s="23"/>
      <c r="AI17" s="23"/>
      <c r="AJ17" s="23"/>
      <c r="AK17" s="23">
        <f>$D17*$F17</f>
        <v>0</v>
      </c>
      <c r="AL17" s="23"/>
      <c r="AM17" s="23"/>
      <c r="AN17" s="23"/>
      <c r="AO17" s="23"/>
      <c r="AP17" s="23"/>
      <c r="AQ17" s="23"/>
      <c r="AR17" s="23"/>
      <c r="AS17" s="23"/>
      <c r="AT17" s="23"/>
      <c r="AU17" s="23"/>
      <c r="AV17" s="23"/>
      <c r="AW17" s="23"/>
      <c r="AX17" s="23">
        <f>$D17</f>
        <v>0</v>
      </c>
      <c r="AY17" s="23"/>
      <c r="AZ17" s="23"/>
      <c r="BA17" s="23"/>
      <c r="BB17" s="23">
        <f t="shared" si="16"/>
        <v>0</v>
      </c>
      <c r="BC17" s="23">
        <f t="shared" si="17"/>
        <v>0</v>
      </c>
    </row>
    <row r="18" spans="1:55" ht="14.4" customHeight="1" x14ac:dyDescent="0.3">
      <c r="A18" s="15" t="s">
        <v>1429</v>
      </c>
      <c r="B18" s="15" t="s">
        <v>1430</v>
      </c>
      <c r="C18" s="15">
        <f>COUNTIF('02_Culverts'!$J$5:$J$104,"PC|1/1800")</f>
        <v>0</v>
      </c>
      <c r="D18" s="15">
        <f>SUMIF('02_Culverts'!$J$5:$J$104,"PC|1/1800",'02_Culverts'!$F$5:$F$104)</f>
        <v>0</v>
      </c>
      <c r="E18" s="15">
        <f t="shared" si="0"/>
        <v>0</v>
      </c>
      <c r="F18" s="17">
        <v>1</v>
      </c>
      <c r="G18" s="18">
        <v>1.8</v>
      </c>
      <c r="H18" s="19">
        <v>7.4999999999999997E-2</v>
      </c>
      <c r="I18" s="19">
        <v>0.15</v>
      </c>
      <c r="J18" s="18">
        <f t="shared" si="1"/>
        <v>2.25</v>
      </c>
      <c r="K18" s="18">
        <f t="shared" si="2"/>
        <v>2.25</v>
      </c>
      <c r="L18" s="19">
        <v>0.4</v>
      </c>
      <c r="M18" s="19">
        <v>0.05</v>
      </c>
      <c r="N18" s="18">
        <f t="shared" si="3"/>
        <v>1.4139999999999999</v>
      </c>
      <c r="O18" s="18">
        <f t="shared" si="4"/>
        <v>5.0780000000000003</v>
      </c>
      <c r="P18" s="19">
        <v>0.6</v>
      </c>
      <c r="Q18" s="19">
        <v>0.2</v>
      </c>
      <c r="R18" s="19">
        <v>1</v>
      </c>
      <c r="S18" s="18">
        <f t="shared" si="5"/>
        <v>1.625</v>
      </c>
      <c r="T18" s="18">
        <f t="shared" si="6"/>
        <v>2.25</v>
      </c>
      <c r="U18" s="19">
        <v>0.2</v>
      </c>
      <c r="V18" s="19">
        <v>0.2</v>
      </c>
      <c r="W18" s="19">
        <v>0.45</v>
      </c>
      <c r="X18" s="19">
        <v>0.45</v>
      </c>
      <c r="Y18" s="23">
        <f t="shared" si="7"/>
        <v>0</v>
      </c>
      <c r="Z18" s="23">
        <f t="shared" si="8"/>
        <v>0</v>
      </c>
      <c r="AA18" s="23">
        <f t="shared" si="9"/>
        <v>0</v>
      </c>
      <c r="AB18" s="23">
        <f t="shared" si="10"/>
        <v>0</v>
      </c>
      <c r="AC18" s="23">
        <f t="shared" si="11"/>
        <v>0</v>
      </c>
      <c r="AD18" s="23">
        <f t="shared" si="12"/>
        <v>0</v>
      </c>
      <c r="AE18" s="23">
        <f t="shared" si="13"/>
        <v>0</v>
      </c>
      <c r="AF18" s="23">
        <f t="shared" si="14"/>
        <v>0</v>
      </c>
      <c r="AG18" s="23">
        <f t="shared" si="15"/>
        <v>0</v>
      </c>
      <c r="AH18" s="23"/>
      <c r="AI18" s="23"/>
      <c r="AJ18" s="23"/>
      <c r="AK18" s="23"/>
      <c r="AL18" s="23">
        <f>$D18*$F18</f>
        <v>0</v>
      </c>
      <c r="AM18" s="23"/>
      <c r="AN18" s="23"/>
      <c r="AO18" s="23"/>
      <c r="AP18" s="23"/>
      <c r="AQ18" s="23"/>
      <c r="AR18" s="23"/>
      <c r="AS18" s="23"/>
      <c r="AT18" s="23"/>
      <c r="AU18" s="23"/>
      <c r="AV18" s="23"/>
      <c r="AW18" s="23"/>
      <c r="AX18" s="23"/>
      <c r="AY18" s="23">
        <f>$D18</f>
        <v>0</v>
      </c>
      <c r="AZ18" s="23"/>
      <c r="BA18" s="23"/>
      <c r="BB18" s="23">
        <f t="shared" si="16"/>
        <v>0</v>
      </c>
      <c r="BC18" s="23">
        <f t="shared" si="17"/>
        <v>0</v>
      </c>
    </row>
    <row r="19" spans="1:55" ht="14.4" customHeight="1" x14ac:dyDescent="0.3">
      <c r="A19" s="15" t="s">
        <v>1431</v>
      </c>
      <c r="B19" s="15" t="s">
        <v>1432</v>
      </c>
      <c r="C19" s="15">
        <f>COUNTIF('02_Culverts'!$J$5:$J$104,"PC|2/1800")</f>
        <v>0</v>
      </c>
      <c r="D19" s="15">
        <f>SUMIF('02_Culverts'!$J$5:$J$104,"PC|2/1800",'02_Culverts'!$F$5:$F$104)</f>
        <v>0</v>
      </c>
      <c r="E19" s="15">
        <f t="shared" si="0"/>
        <v>0</v>
      </c>
      <c r="F19" s="17">
        <v>2</v>
      </c>
      <c r="G19" s="18">
        <v>1.8</v>
      </c>
      <c r="H19" s="19">
        <v>7.4999999999999997E-2</v>
      </c>
      <c r="I19" s="19">
        <v>0.15</v>
      </c>
      <c r="J19" s="18">
        <f t="shared" si="1"/>
        <v>4.2750000000000004</v>
      </c>
      <c r="K19" s="18">
        <f t="shared" si="2"/>
        <v>2.25</v>
      </c>
      <c r="L19" s="19">
        <v>0.4</v>
      </c>
      <c r="M19" s="19">
        <v>0.05</v>
      </c>
      <c r="N19" s="18">
        <f t="shared" si="3"/>
        <v>1.4139999999999999</v>
      </c>
      <c r="O19" s="18">
        <f t="shared" si="4"/>
        <v>7.1029999999999998</v>
      </c>
      <c r="P19" s="19">
        <v>0.6</v>
      </c>
      <c r="Q19" s="19">
        <v>0.2</v>
      </c>
      <c r="R19" s="19">
        <v>1</v>
      </c>
      <c r="S19" s="18">
        <f t="shared" si="5"/>
        <v>1.625</v>
      </c>
      <c r="T19" s="18">
        <f t="shared" si="6"/>
        <v>4.2750000000000004</v>
      </c>
      <c r="U19" s="19">
        <v>0.2</v>
      </c>
      <c r="V19" s="19">
        <v>0.2</v>
      </c>
      <c r="W19" s="19">
        <v>0.45</v>
      </c>
      <c r="X19" s="19">
        <v>0.45</v>
      </c>
      <c r="Y19" s="23">
        <f t="shared" si="7"/>
        <v>0</v>
      </c>
      <c r="Z19" s="23">
        <f t="shared" si="8"/>
        <v>0</v>
      </c>
      <c r="AA19" s="23">
        <f t="shared" si="9"/>
        <v>0</v>
      </c>
      <c r="AB19" s="23">
        <f t="shared" si="10"/>
        <v>0</v>
      </c>
      <c r="AC19" s="23">
        <f t="shared" si="11"/>
        <v>0</v>
      </c>
      <c r="AD19" s="23">
        <f t="shared" si="12"/>
        <v>0</v>
      </c>
      <c r="AE19" s="23">
        <f t="shared" si="13"/>
        <v>0</v>
      </c>
      <c r="AF19" s="23">
        <f t="shared" si="14"/>
        <v>0</v>
      </c>
      <c r="AG19" s="23">
        <f t="shared" si="15"/>
        <v>0</v>
      </c>
      <c r="AH19" s="23"/>
      <c r="AI19" s="23"/>
      <c r="AJ19" s="23"/>
      <c r="AK19" s="23"/>
      <c r="AL19" s="23">
        <f>$D19*$F19</f>
        <v>0</v>
      </c>
      <c r="AM19" s="23"/>
      <c r="AN19" s="23"/>
      <c r="AO19" s="23"/>
      <c r="AP19" s="23"/>
      <c r="AQ19" s="23"/>
      <c r="AR19" s="23"/>
      <c r="AS19" s="23"/>
      <c r="AT19" s="23"/>
      <c r="AU19" s="23"/>
      <c r="AV19" s="23"/>
      <c r="AW19" s="23"/>
      <c r="AX19" s="23"/>
      <c r="AY19" s="23"/>
      <c r="AZ19" s="23">
        <f>$D19</f>
        <v>0</v>
      </c>
      <c r="BA19" s="23"/>
      <c r="BB19" s="23">
        <f t="shared" si="16"/>
        <v>0</v>
      </c>
      <c r="BC19" s="23">
        <f t="shared" si="17"/>
        <v>0</v>
      </c>
    </row>
    <row r="20" spans="1:55" ht="14.4" customHeight="1" x14ac:dyDescent="0.3">
      <c r="A20" s="15" t="s">
        <v>1433</v>
      </c>
      <c r="B20" s="15" t="s">
        <v>1434</v>
      </c>
      <c r="C20" s="15">
        <f>COUNTIF('02_Culverts'!$J$5:$J$104,"PC|3/1800")</f>
        <v>0</v>
      </c>
      <c r="D20" s="15">
        <f>SUMIF('02_Culverts'!$J$5:$J$104,"PC|3/1800",'02_Culverts'!$F$5:$F$104)</f>
        <v>0</v>
      </c>
      <c r="E20" s="15">
        <f t="shared" si="0"/>
        <v>0</v>
      </c>
      <c r="F20" s="17">
        <v>3</v>
      </c>
      <c r="G20" s="18">
        <v>1.8</v>
      </c>
      <c r="H20" s="19">
        <v>7.4999999999999997E-2</v>
      </c>
      <c r="I20" s="19">
        <v>0.15</v>
      </c>
      <c r="J20" s="18">
        <f t="shared" si="1"/>
        <v>6.3</v>
      </c>
      <c r="K20" s="18">
        <f t="shared" si="2"/>
        <v>2.25</v>
      </c>
      <c r="L20" s="19">
        <v>0.4</v>
      </c>
      <c r="M20" s="19">
        <v>0.05</v>
      </c>
      <c r="N20" s="18">
        <f t="shared" si="3"/>
        <v>1.4139999999999999</v>
      </c>
      <c r="O20" s="18">
        <f t="shared" si="4"/>
        <v>9.1280000000000001</v>
      </c>
      <c r="P20" s="19">
        <v>0.6</v>
      </c>
      <c r="Q20" s="19">
        <v>0.2</v>
      </c>
      <c r="R20" s="19">
        <v>1</v>
      </c>
      <c r="S20" s="18">
        <f t="shared" si="5"/>
        <v>1.625</v>
      </c>
      <c r="T20" s="18">
        <f t="shared" si="6"/>
        <v>6.3</v>
      </c>
      <c r="U20" s="19">
        <v>0.2</v>
      </c>
      <c r="V20" s="19">
        <v>0.2</v>
      </c>
      <c r="W20" s="19">
        <v>0.45</v>
      </c>
      <c r="X20" s="19">
        <v>0.45</v>
      </c>
      <c r="Y20" s="23">
        <f t="shared" si="7"/>
        <v>0</v>
      </c>
      <c r="Z20" s="23">
        <f t="shared" si="8"/>
        <v>0</v>
      </c>
      <c r="AA20" s="23">
        <f t="shared" si="9"/>
        <v>0</v>
      </c>
      <c r="AB20" s="23">
        <f t="shared" si="10"/>
        <v>0</v>
      </c>
      <c r="AC20" s="23">
        <f t="shared" si="11"/>
        <v>0</v>
      </c>
      <c r="AD20" s="23">
        <f t="shared" si="12"/>
        <v>0</v>
      </c>
      <c r="AE20" s="23">
        <f t="shared" si="13"/>
        <v>0</v>
      </c>
      <c r="AF20" s="23">
        <f t="shared" si="14"/>
        <v>0</v>
      </c>
      <c r="AG20" s="23">
        <f t="shared" si="15"/>
        <v>0</v>
      </c>
      <c r="AH20" s="23"/>
      <c r="AI20" s="23"/>
      <c r="AJ20" s="23"/>
      <c r="AK20" s="23"/>
      <c r="AL20" s="23">
        <f>$D20*$F20</f>
        <v>0</v>
      </c>
      <c r="AM20" s="23"/>
      <c r="AN20" s="23"/>
      <c r="AO20" s="23"/>
      <c r="AP20" s="23"/>
      <c r="AQ20" s="23"/>
      <c r="AR20" s="23"/>
      <c r="AS20" s="23"/>
      <c r="AT20" s="23"/>
      <c r="AU20" s="23"/>
      <c r="AV20" s="23"/>
      <c r="AW20" s="23"/>
      <c r="AX20" s="23"/>
      <c r="AY20" s="23"/>
      <c r="AZ20" s="23"/>
      <c r="BA20" s="23">
        <f>$D20</f>
        <v>0</v>
      </c>
      <c r="BB20" s="23">
        <f t="shared" si="16"/>
        <v>0</v>
      </c>
      <c r="BC20" s="23">
        <f t="shared" si="17"/>
        <v>0</v>
      </c>
    </row>
    <row r="21" spans="1:55" ht="15.75" customHeight="1" x14ac:dyDescent="0.3"/>
    <row r="22" spans="1:55" ht="15.75" customHeight="1" x14ac:dyDescent="0.3">
      <c r="A22" s="28" t="s">
        <v>1435</v>
      </c>
      <c r="Y22" s="29">
        <f t="shared" ref="Y22:BC22" si="18">SUM(Y6:Y20)</f>
        <v>0</v>
      </c>
      <c r="Z22" s="29">
        <f t="shared" si="18"/>
        <v>0</v>
      </c>
      <c r="AA22" s="29">
        <f t="shared" si="18"/>
        <v>0</v>
      </c>
      <c r="AB22" s="29">
        <f t="shared" si="18"/>
        <v>0</v>
      </c>
      <c r="AC22" s="29">
        <f t="shared" si="18"/>
        <v>0</v>
      </c>
      <c r="AD22" s="29">
        <f t="shared" si="18"/>
        <v>0</v>
      </c>
      <c r="AE22" s="29">
        <f t="shared" si="18"/>
        <v>0</v>
      </c>
      <c r="AF22" s="29">
        <f t="shared" si="18"/>
        <v>0</v>
      </c>
      <c r="AG22" s="29">
        <f t="shared" si="18"/>
        <v>0</v>
      </c>
      <c r="AH22" s="29">
        <f t="shared" si="18"/>
        <v>0</v>
      </c>
      <c r="AI22" s="29">
        <f t="shared" si="18"/>
        <v>0</v>
      </c>
      <c r="AJ22" s="29">
        <f t="shared" si="18"/>
        <v>0</v>
      </c>
      <c r="AK22" s="29">
        <f t="shared" si="18"/>
        <v>0</v>
      </c>
      <c r="AL22" s="29">
        <f t="shared" si="18"/>
        <v>0</v>
      </c>
      <c r="AM22" s="29">
        <f t="shared" si="18"/>
        <v>0</v>
      </c>
      <c r="AN22" s="29">
        <f t="shared" si="18"/>
        <v>0</v>
      </c>
      <c r="AO22" s="29">
        <f t="shared" si="18"/>
        <v>0</v>
      </c>
      <c r="AP22" s="29">
        <f t="shared" si="18"/>
        <v>0</v>
      </c>
      <c r="AQ22" s="29">
        <f t="shared" si="18"/>
        <v>0</v>
      </c>
      <c r="AR22" s="29">
        <f t="shared" si="18"/>
        <v>0</v>
      </c>
      <c r="AS22" s="29">
        <f t="shared" si="18"/>
        <v>0</v>
      </c>
      <c r="AT22" s="29">
        <f t="shared" si="18"/>
        <v>0</v>
      </c>
      <c r="AU22" s="29">
        <f t="shared" si="18"/>
        <v>0</v>
      </c>
      <c r="AV22" s="29">
        <f t="shared" si="18"/>
        <v>0</v>
      </c>
      <c r="AW22" s="29">
        <f t="shared" si="18"/>
        <v>0</v>
      </c>
      <c r="AX22" s="29">
        <f t="shared" si="18"/>
        <v>0</v>
      </c>
      <c r="AY22" s="29">
        <f t="shared" si="18"/>
        <v>0</v>
      </c>
      <c r="AZ22" s="29">
        <f t="shared" si="18"/>
        <v>0</v>
      </c>
      <c r="BA22" s="29">
        <f t="shared" si="18"/>
        <v>0</v>
      </c>
      <c r="BB22" s="29">
        <f t="shared" si="18"/>
        <v>0</v>
      </c>
      <c r="BC22" s="29">
        <f t="shared" si="18"/>
        <v>0</v>
      </c>
    </row>
    <row r="23" spans="1:55" ht="15.75" customHeight="1" x14ac:dyDescent="0.3"/>
    <row r="24" spans="1:55" ht="15.75" customHeight="1" x14ac:dyDescent="0.3"/>
    <row r="25" spans="1:55" ht="15.75" customHeight="1" x14ac:dyDescent="0.3"/>
    <row r="26" spans="1:55" ht="15.75" customHeight="1" x14ac:dyDescent="0.3"/>
    <row r="27" spans="1:55" ht="15.75" customHeight="1" x14ac:dyDescent="0.3"/>
    <row r="28" spans="1:55" ht="15.75" customHeight="1" x14ac:dyDescent="0.3"/>
    <row r="29" spans="1:55" ht="15.75" customHeight="1" x14ac:dyDescent="0.3"/>
    <row r="30" spans="1:55" ht="15.75" customHeight="1" x14ac:dyDescent="0.3"/>
    <row r="31" spans="1:55" ht="15.75" customHeight="1" x14ac:dyDescent="0.3"/>
    <row r="32" spans="1:55"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rintOptions horizontalCentered="1"/>
  <pageMargins left="0.75" right="0.75" top="1" bottom="1"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B3F00"/>
    <pageSetUpPr fitToPage="1"/>
  </sheetPr>
  <dimension ref="A1:AC1000"/>
  <sheetViews>
    <sheetView showGridLines="0" workbookViewId="0">
      <pane xSplit="2" ySplit="5" topLeftCell="N6" activePane="bottomRight" state="frozen"/>
      <selection pane="topRight" activeCell="C1" sqref="C1"/>
      <selection pane="bottomLeft" activeCell="A6" sqref="A6"/>
      <selection pane="bottomRight" activeCell="U26" sqref="U26"/>
    </sheetView>
  </sheetViews>
  <sheetFormatPr defaultColWidth="14.44140625" defaultRowHeight="15" customHeight="1" x14ac:dyDescent="0.3"/>
  <cols>
    <col min="1" max="1" width="24" customWidth="1"/>
    <col min="2" max="29" width="10" customWidth="1"/>
  </cols>
  <sheetData>
    <row r="1" spans="1:29" ht="19.8" customHeight="1" x14ac:dyDescent="0.4">
      <c r="A1" s="98" t="s">
        <v>1436</v>
      </c>
    </row>
    <row r="2" spans="1:29" ht="14.4" customHeight="1" x14ac:dyDescent="0.3">
      <c r="A2" s="54" t="s">
        <v>1437</v>
      </c>
    </row>
    <row r="3" spans="1:29" ht="14.4" customHeight="1" x14ac:dyDescent="0.3">
      <c r="G3" s="4" t="s">
        <v>1438</v>
      </c>
      <c r="H3" s="4" t="s">
        <v>1350</v>
      </c>
      <c r="I3" s="4" t="s">
        <v>1323</v>
      </c>
      <c r="J3" s="4" t="s">
        <v>1324</v>
      </c>
      <c r="K3" s="4" t="s">
        <v>1439</v>
      </c>
      <c r="L3" s="4" t="s">
        <v>1440</v>
      </c>
      <c r="M3" s="4" t="s">
        <v>1441</v>
      </c>
      <c r="N3" s="4" t="s">
        <v>1442</v>
      </c>
      <c r="O3" s="4" t="s">
        <v>1443</v>
      </c>
      <c r="P3" s="4" t="s">
        <v>1444</v>
      </c>
      <c r="Q3" s="4" t="s">
        <v>1445</v>
      </c>
      <c r="R3" s="4" t="s">
        <v>1446</v>
      </c>
      <c r="S3" s="4" t="s">
        <v>1447</v>
      </c>
      <c r="T3" s="4" t="s">
        <v>1448</v>
      </c>
      <c r="U3" s="4" t="s">
        <v>1449</v>
      </c>
      <c r="V3" s="4" t="s">
        <v>1329</v>
      </c>
      <c r="W3" s="4" t="s">
        <v>1450</v>
      </c>
      <c r="X3" s="4" t="s">
        <v>1451</v>
      </c>
      <c r="Y3" s="4" t="s">
        <v>1452</v>
      </c>
      <c r="Z3" s="4" t="s">
        <v>1453</v>
      </c>
      <c r="AA3" s="4" t="s">
        <v>1454</v>
      </c>
      <c r="AB3" s="4" t="s">
        <v>1455</v>
      </c>
      <c r="AC3" s="4" t="s">
        <v>1351</v>
      </c>
    </row>
    <row r="4" spans="1:29" ht="40.799999999999997" customHeight="1" x14ac:dyDescent="0.3">
      <c r="A4" s="3" t="s">
        <v>216</v>
      </c>
      <c r="B4" s="3" t="s">
        <v>1317</v>
      </c>
      <c r="C4" s="3" t="s">
        <v>1352</v>
      </c>
      <c r="D4" s="3" t="s">
        <v>1353</v>
      </c>
      <c r="E4" s="3" t="s">
        <v>1354</v>
      </c>
      <c r="G4" s="10" t="s">
        <v>1456</v>
      </c>
      <c r="H4" s="10" t="s">
        <v>1402</v>
      </c>
      <c r="I4" s="10" t="s">
        <v>1374</v>
      </c>
      <c r="J4" s="10" t="s">
        <v>1375</v>
      </c>
      <c r="K4" s="10" t="s">
        <v>1457</v>
      </c>
      <c r="L4" s="10" t="s">
        <v>1458</v>
      </c>
      <c r="M4" s="10" t="s">
        <v>1459</v>
      </c>
      <c r="N4" s="10" t="s">
        <v>1460</v>
      </c>
      <c r="O4" s="10" t="s">
        <v>1461</v>
      </c>
      <c r="P4" s="10" t="s">
        <v>1462</v>
      </c>
      <c r="Q4" s="10" t="s">
        <v>1463</v>
      </c>
      <c r="R4" s="10" t="s">
        <v>1464</v>
      </c>
      <c r="S4" s="10" t="s">
        <v>1465</v>
      </c>
      <c r="T4" s="10" t="s">
        <v>1466</v>
      </c>
      <c r="U4" s="10" t="s">
        <v>1467</v>
      </c>
      <c r="V4" s="10" t="s">
        <v>1381</v>
      </c>
      <c r="W4" s="10" t="s">
        <v>1468</v>
      </c>
      <c r="X4" s="10" t="s">
        <v>1469</v>
      </c>
      <c r="Y4" s="10" t="s">
        <v>1470</v>
      </c>
      <c r="Z4" s="10" t="s">
        <v>1471</v>
      </c>
      <c r="AA4" s="10" t="s">
        <v>1472</v>
      </c>
      <c r="AB4" s="10" t="s">
        <v>1473</v>
      </c>
      <c r="AC4" s="10" t="s">
        <v>1403</v>
      </c>
    </row>
    <row r="5" spans="1:29" ht="14.4" customHeight="1" x14ac:dyDescent="0.3">
      <c r="G5" s="24" t="s">
        <v>300</v>
      </c>
      <c r="H5" s="24" t="s">
        <v>1404</v>
      </c>
      <c r="I5" s="24" t="s">
        <v>300</v>
      </c>
      <c r="J5" s="24" t="s">
        <v>300</v>
      </c>
      <c r="K5" s="24" t="s">
        <v>300</v>
      </c>
      <c r="L5" s="24" t="s">
        <v>300</v>
      </c>
      <c r="M5" s="24" t="s">
        <v>300</v>
      </c>
      <c r="N5" s="24" t="s">
        <v>300</v>
      </c>
      <c r="O5" s="24" t="s">
        <v>300</v>
      </c>
      <c r="P5" s="24" t="s">
        <v>300</v>
      </c>
      <c r="Q5" s="24" t="s">
        <v>301</v>
      </c>
      <c r="R5" s="24" t="s">
        <v>301</v>
      </c>
      <c r="S5" s="24" t="s">
        <v>301</v>
      </c>
      <c r="T5" s="24" t="s">
        <v>301</v>
      </c>
      <c r="U5" s="24" t="s">
        <v>301</v>
      </c>
      <c r="V5" s="24" t="s">
        <v>301</v>
      </c>
      <c r="W5" s="24" t="s">
        <v>1474</v>
      </c>
      <c r="X5" s="24" t="s">
        <v>1474</v>
      </c>
      <c r="Y5" s="24" t="s">
        <v>1474</v>
      </c>
      <c r="Z5" s="24" t="s">
        <v>1474</v>
      </c>
      <c r="AA5" s="24" t="s">
        <v>1474</v>
      </c>
      <c r="AB5" s="24" t="s">
        <v>300</v>
      </c>
      <c r="AC5" s="24" t="s">
        <v>1404</v>
      </c>
    </row>
    <row r="6" spans="1:29" ht="14.4" customHeight="1" x14ac:dyDescent="0.3">
      <c r="A6" s="25" t="s">
        <v>1475</v>
      </c>
      <c r="B6" s="25" t="s">
        <v>1476</v>
      </c>
      <c r="C6" s="25">
        <f>COUNTIF('02_Culverts'!$J$5:$J$104,"BC|1/2x2")</f>
        <v>0</v>
      </c>
      <c r="D6" s="25">
        <f>SUMIF('02_Culverts'!$J$5:$J$104,"BC|1/2x2",'02_Culverts'!$F$5:$F$104)</f>
        <v>0</v>
      </c>
      <c r="E6" s="25">
        <f t="shared" ref="E6:E24" si="0">IF($C6=0,0,$D6/$C6)</f>
        <v>0</v>
      </c>
      <c r="F6" s="26"/>
      <c r="G6" s="26">
        <f>$C6*'04c_Box_Takeoff'!$M5</f>
        <v>0</v>
      </c>
      <c r="H6" s="26">
        <f t="shared" ref="H6:H24" si="1">((J6)*P_FineLean+(K6+L6+M6+N6+O6+P6)*P_FineStr)*P_HaulSand</f>
        <v>0</v>
      </c>
      <c r="I6" s="26">
        <f>$C6*'04c_Box_Takeoff'!$N5</f>
        <v>0</v>
      </c>
      <c r="J6" s="26">
        <f t="shared" ref="J6:J24" si="2">I6</f>
        <v>0</v>
      </c>
      <c r="K6" s="26">
        <f>$C6*'04c_Box_Takeoff'!$O5</f>
        <v>0</v>
      </c>
      <c r="L6" s="26">
        <f>$C6*'04c_Box_Takeoff'!$P5</f>
        <v>0</v>
      </c>
      <c r="M6" s="26">
        <f>$C6*'04c_Box_Takeoff'!$Q5</f>
        <v>0</v>
      </c>
      <c r="N6" s="26">
        <f>$C6*'04c_Box_Takeoff'!$R5</f>
        <v>0</v>
      </c>
      <c r="O6" s="26">
        <f>$C6*'04c_Box_Takeoff'!$S5</f>
        <v>0</v>
      </c>
      <c r="P6" s="26">
        <f>$C6*'04c_Box_Takeoff'!$T5</f>
        <v>0</v>
      </c>
      <c r="Q6" s="26">
        <f>$C6*'04c_Box_Takeoff'!$U5</f>
        <v>0</v>
      </c>
      <c r="R6" s="26">
        <f>$C6*'04c_Box_Takeoff'!$V5</f>
        <v>0</v>
      </c>
      <c r="S6" s="26">
        <f>$C6*'04c_Box_Takeoff'!$W5</f>
        <v>0</v>
      </c>
      <c r="T6" s="26">
        <f>$C6*'04c_Box_Takeoff'!$X5</f>
        <v>0</v>
      </c>
      <c r="U6" s="26">
        <f>$C6*'04c_Box_Takeoff'!$Y5</f>
        <v>0</v>
      </c>
      <c r="V6" s="26">
        <f>$C6*'04c_Box_Takeoff'!$Z5</f>
        <v>0</v>
      </c>
      <c r="W6" s="26">
        <f>$C6*'04c_Box_Takeoff'!$AA5</f>
        <v>0</v>
      </c>
      <c r="X6" s="26">
        <f>$C6*'04c_Box_Takeoff'!$AB5</f>
        <v>0</v>
      </c>
      <c r="Y6" s="26">
        <f>$C6*'04c_Box_Takeoff'!$AC5</f>
        <v>0</v>
      </c>
      <c r="Z6" s="26">
        <f>$C6*'04c_Box_Takeoff'!$AD5</f>
        <v>0</v>
      </c>
      <c r="AA6" s="26">
        <f>$C6*'04c_Box_Takeoff'!$AE5</f>
        <v>0</v>
      </c>
      <c r="AB6" s="26">
        <f t="shared" ref="AB6:AB24" si="3">K6+L6+M6+N6+O6+P6</f>
        <v>0</v>
      </c>
      <c r="AC6" s="26">
        <f t="shared" ref="AC6:AC24" si="4">((J6)*P_CoarseLean+(K6+L6+M6+N6+O6+P6)*P_CoarseStr)*P_HaulCoarse</f>
        <v>0</v>
      </c>
    </row>
    <row r="7" spans="1:29" ht="14.4" customHeight="1" x14ac:dyDescent="0.3">
      <c r="A7" s="25" t="s">
        <v>1477</v>
      </c>
      <c r="B7" s="25" t="s">
        <v>1478</v>
      </c>
      <c r="C7" s="25">
        <f>COUNTIF('02_Culverts'!$J$5:$J$104,"BC|2/2x2")</f>
        <v>0</v>
      </c>
      <c r="D7" s="25">
        <f>SUMIF('02_Culverts'!$J$5:$J$104,"BC|2/2x2",'02_Culverts'!$F$5:$F$104)</f>
        <v>0</v>
      </c>
      <c r="E7" s="25">
        <f t="shared" si="0"/>
        <v>0</v>
      </c>
      <c r="F7" s="26"/>
      <c r="G7" s="26">
        <f>$C7*'04c_Box_Takeoff'!$M6</f>
        <v>0</v>
      </c>
      <c r="H7" s="26">
        <f t="shared" si="1"/>
        <v>0</v>
      </c>
      <c r="I7" s="26">
        <f>$C7*'04c_Box_Takeoff'!$N6</f>
        <v>0</v>
      </c>
      <c r="J7" s="26">
        <f t="shared" si="2"/>
        <v>0</v>
      </c>
      <c r="K7" s="26">
        <f>$C7*'04c_Box_Takeoff'!$O6</f>
        <v>0</v>
      </c>
      <c r="L7" s="26">
        <f>$C7*'04c_Box_Takeoff'!$P6</f>
        <v>0</v>
      </c>
      <c r="M7" s="26">
        <f>$C7*'04c_Box_Takeoff'!$Q6</f>
        <v>0</v>
      </c>
      <c r="N7" s="26">
        <f>$C7*'04c_Box_Takeoff'!$R6</f>
        <v>0</v>
      </c>
      <c r="O7" s="26">
        <f>$C7*'04c_Box_Takeoff'!$S6</f>
        <v>0</v>
      </c>
      <c r="P7" s="26">
        <f>$C7*'04c_Box_Takeoff'!$T6</f>
        <v>0</v>
      </c>
      <c r="Q7" s="26">
        <f>$C7*'04c_Box_Takeoff'!$U6</f>
        <v>0</v>
      </c>
      <c r="R7" s="26">
        <f>$C7*'04c_Box_Takeoff'!$V6</f>
        <v>0</v>
      </c>
      <c r="S7" s="26">
        <f>$C7*'04c_Box_Takeoff'!$W6</f>
        <v>0</v>
      </c>
      <c r="T7" s="26">
        <f>$C7*'04c_Box_Takeoff'!$X6</f>
        <v>0</v>
      </c>
      <c r="U7" s="26">
        <f>$C7*'04c_Box_Takeoff'!$Y6</f>
        <v>0</v>
      </c>
      <c r="V7" s="26">
        <f>$C7*'04c_Box_Takeoff'!$Z6</f>
        <v>0</v>
      </c>
      <c r="W7" s="26">
        <f>$C7*'04c_Box_Takeoff'!$AA6</f>
        <v>0</v>
      </c>
      <c r="X7" s="26">
        <f>$C7*'04c_Box_Takeoff'!$AB6</f>
        <v>0</v>
      </c>
      <c r="Y7" s="26">
        <f>$C7*'04c_Box_Takeoff'!$AC6</f>
        <v>0</v>
      </c>
      <c r="Z7" s="26">
        <f>$C7*'04c_Box_Takeoff'!$AD6</f>
        <v>0</v>
      </c>
      <c r="AA7" s="26">
        <f>$C7*'04c_Box_Takeoff'!$AE6</f>
        <v>0</v>
      </c>
      <c r="AB7" s="26">
        <f t="shared" si="3"/>
        <v>0</v>
      </c>
      <c r="AC7" s="26">
        <f t="shared" si="4"/>
        <v>0</v>
      </c>
    </row>
    <row r="8" spans="1:29" ht="14.4" customHeight="1" x14ac:dyDescent="0.3">
      <c r="A8" s="25" t="s">
        <v>1479</v>
      </c>
      <c r="B8" s="25" t="s">
        <v>1480</v>
      </c>
      <c r="C8" s="25">
        <f>COUNTIF('02_Culverts'!$J$5:$J$104,"BC|3/2x2")</f>
        <v>0</v>
      </c>
      <c r="D8" s="25">
        <f>SUMIF('02_Culverts'!$J$5:$J$104,"BC|3/2x2",'02_Culverts'!$F$5:$F$104)</f>
        <v>0</v>
      </c>
      <c r="E8" s="25">
        <f t="shared" si="0"/>
        <v>0</v>
      </c>
      <c r="F8" s="26"/>
      <c r="G8" s="26">
        <f>$C8*'04c_Box_Takeoff'!$M7</f>
        <v>0</v>
      </c>
      <c r="H8" s="26">
        <f t="shared" si="1"/>
        <v>0</v>
      </c>
      <c r="I8" s="26">
        <f>$C8*'04c_Box_Takeoff'!$N7</f>
        <v>0</v>
      </c>
      <c r="J8" s="26">
        <f t="shared" si="2"/>
        <v>0</v>
      </c>
      <c r="K8" s="26">
        <f>$C8*'04c_Box_Takeoff'!$O7</f>
        <v>0</v>
      </c>
      <c r="L8" s="26">
        <f>$C8*'04c_Box_Takeoff'!$P7</f>
        <v>0</v>
      </c>
      <c r="M8" s="26">
        <f>$C8*'04c_Box_Takeoff'!$Q7</f>
        <v>0</v>
      </c>
      <c r="N8" s="26">
        <f>$C8*'04c_Box_Takeoff'!$R7</f>
        <v>0</v>
      </c>
      <c r="O8" s="26">
        <f>$C8*'04c_Box_Takeoff'!$S7</f>
        <v>0</v>
      </c>
      <c r="P8" s="26">
        <f>$C8*'04c_Box_Takeoff'!$T7</f>
        <v>0</v>
      </c>
      <c r="Q8" s="26">
        <f>$C8*'04c_Box_Takeoff'!$U7</f>
        <v>0</v>
      </c>
      <c r="R8" s="26">
        <f>$C8*'04c_Box_Takeoff'!$V7</f>
        <v>0</v>
      </c>
      <c r="S8" s="26">
        <f>$C8*'04c_Box_Takeoff'!$W7</f>
        <v>0</v>
      </c>
      <c r="T8" s="26">
        <f>$C8*'04c_Box_Takeoff'!$X7</f>
        <v>0</v>
      </c>
      <c r="U8" s="26">
        <f>$C8*'04c_Box_Takeoff'!$Y7</f>
        <v>0</v>
      </c>
      <c r="V8" s="26">
        <f>$C8*'04c_Box_Takeoff'!$Z7</f>
        <v>0</v>
      </c>
      <c r="W8" s="26">
        <f>$C8*'04c_Box_Takeoff'!$AA7</f>
        <v>0</v>
      </c>
      <c r="X8" s="26">
        <f>$C8*'04c_Box_Takeoff'!$AB7</f>
        <v>0</v>
      </c>
      <c r="Y8" s="26">
        <f>$C8*'04c_Box_Takeoff'!$AC7</f>
        <v>0</v>
      </c>
      <c r="Z8" s="26">
        <f>$C8*'04c_Box_Takeoff'!$AD7</f>
        <v>0</v>
      </c>
      <c r="AA8" s="26">
        <f>$C8*'04c_Box_Takeoff'!$AE7</f>
        <v>0</v>
      </c>
      <c r="AB8" s="26">
        <f t="shared" si="3"/>
        <v>0</v>
      </c>
      <c r="AC8" s="26">
        <f t="shared" si="4"/>
        <v>0</v>
      </c>
    </row>
    <row r="9" spans="1:29" ht="14.4" customHeight="1" x14ac:dyDescent="0.3">
      <c r="A9" s="25" t="s">
        <v>1481</v>
      </c>
      <c r="B9" s="25" t="s">
        <v>1482</v>
      </c>
      <c r="C9" s="25">
        <f>COUNTIF('02_Culverts'!$J$5:$J$104,"BC|4/2x2")</f>
        <v>0</v>
      </c>
      <c r="D9" s="25">
        <f>SUMIF('02_Culverts'!$J$5:$J$104,"BC|4/2x2",'02_Culverts'!$F$5:$F$104)</f>
        <v>0</v>
      </c>
      <c r="E9" s="25">
        <f t="shared" si="0"/>
        <v>0</v>
      </c>
      <c r="F9" s="26"/>
      <c r="G9" s="26">
        <f>$C9*'04c_Box_Takeoff'!$M8</f>
        <v>0</v>
      </c>
      <c r="H9" s="26">
        <f t="shared" si="1"/>
        <v>0</v>
      </c>
      <c r="I9" s="26">
        <f>$C9*'04c_Box_Takeoff'!$N8</f>
        <v>0</v>
      </c>
      <c r="J9" s="26">
        <f t="shared" si="2"/>
        <v>0</v>
      </c>
      <c r="K9" s="26">
        <f>$C9*'04c_Box_Takeoff'!$O8</f>
        <v>0</v>
      </c>
      <c r="L9" s="26">
        <f>$C9*'04c_Box_Takeoff'!$P8</f>
        <v>0</v>
      </c>
      <c r="M9" s="26">
        <f>$C9*'04c_Box_Takeoff'!$Q8</f>
        <v>0</v>
      </c>
      <c r="N9" s="26">
        <f>$C9*'04c_Box_Takeoff'!$R8</f>
        <v>0</v>
      </c>
      <c r="O9" s="26">
        <f>$C9*'04c_Box_Takeoff'!$S8</f>
        <v>0</v>
      </c>
      <c r="P9" s="26">
        <f>$C9*'04c_Box_Takeoff'!$T8</f>
        <v>0</v>
      </c>
      <c r="Q9" s="26">
        <f>$C9*'04c_Box_Takeoff'!$U8</f>
        <v>0</v>
      </c>
      <c r="R9" s="26">
        <f>$C9*'04c_Box_Takeoff'!$V8</f>
        <v>0</v>
      </c>
      <c r="S9" s="26">
        <f>$C9*'04c_Box_Takeoff'!$W8</f>
        <v>0</v>
      </c>
      <c r="T9" s="26">
        <f>$C9*'04c_Box_Takeoff'!$X8</f>
        <v>0</v>
      </c>
      <c r="U9" s="26">
        <f>$C9*'04c_Box_Takeoff'!$Y8</f>
        <v>0</v>
      </c>
      <c r="V9" s="26">
        <f>$C9*'04c_Box_Takeoff'!$Z8</f>
        <v>0</v>
      </c>
      <c r="W9" s="26">
        <f>$C9*'04c_Box_Takeoff'!$AA8</f>
        <v>0</v>
      </c>
      <c r="X9" s="26">
        <f>$C9*'04c_Box_Takeoff'!$AB8</f>
        <v>0</v>
      </c>
      <c r="Y9" s="26">
        <f>$C9*'04c_Box_Takeoff'!$AC8</f>
        <v>0</v>
      </c>
      <c r="Z9" s="26">
        <f>$C9*'04c_Box_Takeoff'!$AD8</f>
        <v>0</v>
      </c>
      <c r="AA9" s="26">
        <f>$C9*'04c_Box_Takeoff'!$AE8</f>
        <v>0</v>
      </c>
      <c r="AB9" s="26">
        <f t="shared" si="3"/>
        <v>0</v>
      </c>
      <c r="AC9" s="26">
        <f t="shared" si="4"/>
        <v>0</v>
      </c>
    </row>
    <row r="10" spans="1:29" ht="14.4" customHeight="1" x14ac:dyDescent="0.3">
      <c r="A10" s="25" t="s">
        <v>1483</v>
      </c>
      <c r="B10" s="25" t="s">
        <v>1484</v>
      </c>
      <c r="C10" s="25">
        <f>COUNTIF('02_Culverts'!$J$5:$J$104,"BC|1/3x2")</f>
        <v>0</v>
      </c>
      <c r="D10" s="25">
        <f>SUMIF('02_Culverts'!$J$5:$J$104,"BC|1/3x2",'02_Culverts'!$F$5:$F$104)</f>
        <v>0</v>
      </c>
      <c r="E10" s="25">
        <f t="shared" si="0"/>
        <v>0</v>
      </c>
      <c r="F10" s="26"/>
      <c r="G10" s="26">
        <f>$C10*'04c_Box_Takeoff'!$M9</f>
        <v>0</v>
      </c>
      <c r="H10" s="26">
        <f t="shared" si="1"/>
        <v>0</v>
      </c>
      <c r="I10" s="26">
        <f>$C10*'04c_Box_Takeoff'!$N9</f>
        <v>0</v>
      </c>
      <c r="J10" s="26">
        <f t="shared" si="2"/>
        <v>0</v>
      </c>
      <c r="K10" s="26">
        <f>$C10*'04c_Box_Takeoff'!$O9</f>
        <v>0</v>
      </c>
      <c r="L10" s="26">
        <f>$C10*'04c_Box_Takeoff'!$P9</f>
        <v>0</v>
      </c>
      <c r="M10" s="26">
        <f>$C10*'04c_Box_Takeoff'!$Q9</f>
        <v>0</v>
      </c>
      <c r="N10" s="26">
        <f>$C10*'04c_Box_Takeoff'!$R9</f>
        <v>0</v>
      </c>
      <c r="O10" s="26">
        <f>$C10*'04c_Box_Takeoff'!$S9</f>
        <v>0</v>
      </c>
      <c r="P10" s="26">
        <f>$C10*'04c_Box_Takeoff'!$T9</f>
        <v>0</v>
      </c>
      <c r="Q10" s="26">
        <f>$C10*'04c_Box_Takeoff'!$U9</f>
        <v>0</v>
      </c>
      <c r="R10" s="26">
        <f>$C10*'04c_Box_Takeoff'!$V9</f>
        <v>0</v>
      </c>
      <c r="S10" s="26">
        <f>$C10*'04c_Box_Takeoff'!$W9</f>
        <v>0</v>
      </c>
      <c r="T10" s="26">
        <f>$C10*'04c_Box_Takeoff'!$X9</f>
        <v>0</v>
      </c>
      <c r="U10" s="26">
        <f>$C10*'04c_Box_Takeoff'!$Y9</f>
        <v>0</v>
      </c>
      <c r="V10" s="26">
        <f>$C10*'04c_Box_Takeoff'!$Z9</f>
        <v>0</v>
      </c>
      <c r="W10" s="26">
        <f>$C10*'04c_Box_Takeoff'!$AA9</f>
        <v>0</v>
      </c>
      <c r="X10" s="26">
        <f>$C10*'04c_Box_Takeoff'!$AB9</f>
        <v>0</v>
      </c>
      <c r="Y10" s="26">
        <f>$C10*'04c_Box_Takeoff'!$AC9</f>
        <v>0</v>
      </c>
      <c r="Z10" s="26">
        <f>$C10*'04c_Box_Takeoff'!$AD9</f>
        <v>0</v>
      </c>
      <c r="AA10" s="26">
        <f>$C10*'04c_Box_Takeoff'!$AE9</f>
        <v>0</v>
      </c>
      <c r="AB10" s="26">
        <f t="shared" si="3"/>
        <v>0</v>
      </c>
      <c r="AC10" s="26">
        <f t="shared" si="4"/>
        <v>0</v>
      </c>
    </row>
    <row r="11" spans="1:29" ht="14.4" customHeight="1" x14ac:dyDescent="0.3">
      <c r="A11" s="25" t="s">
        <v>1485</v>
      </c>
      <c r="B11" s="25" t="s">
        <v>1486</v>
      </c>
      <c r="C11" s="25">
        <f>COUNTIF('02_Culverts'!$J$5:$J$104,"BC|2/3x2")</f>
        <v>0</v>
      </c>
      <c r="D11" s="25">
        <f>SUMIF('02_Culverts'!$J$5:$J$104,"BC|2/3x2",'02_Culverts'!$F$5:$F$104)</f>
        <v>0</v>
      </c>
      <c r="E11" s="25">
        <f t="shared" si="0"/>
        <v>0</v>
      </c>
      <c r="F11" s="26"/>
      <c r="G11" s="26">
        <f>$C11*'04c_Box_Takeoff'!$M10</f>
        <v>0</v>
      </c>
      <c r="H11" s="26">
        <f t="shared" si="1"/>
        <v>0</v>
      </c>
      <c r="I11" s="26">
        <f>$C11*'04c_Box_Takeoff'!$N10</f>
        <v>0</v>
      </c>
      <c r="J11" s="26">
        <f t="shared" si="2"/>
        <v>0</v>
      </c>
      <c r="K11" s="26">
        <f>$C11*'04c_Box_Takeoff'!$O10</f>
        <v>0</v>
      </c>
      <c r="L11" s="26">
        <f>$C11*'04c_Box_Takeoff'!$P10</f>
        <v>0</v>
      </c>
      <c r="M11" s="26">
        <f>$C11*'04c_Box_Takeoff'!$Q10</f>
        <v>0</v>
      </c>
      <c r="N11" s="26">
        <f>$C11*'04c_Box_Takeoff'!$R10</f>
        <v>0</v>
      </c>
      <c r="O11" s="26">
        <f>$C11*'04c_Box_Takeoff'!$S10</f>
        <v>0</v>
      </c>
      <c r="P11" s="26">
        <f>$C11*'04c_Box_Takeoff'!$T10</f>
        <v>0</v>
      </c>
      <c r="Q11" s="26">
        <f>$C11*'04c_Box_Takeoff'!$U10</f>
        <v>0</v>
      </c>
      <c r="R11" s="26">
        <f>$C11*'04c_Box_Takeoff'!$V10</f>
        <v>0</v>
      </c>
      <c r="S11" s="26">
        <f>$C11*'04c_Box_Takeoff'!$W10</f>
        <v>0</v>
      </c>
      <c r="T11" s="26">
        <f>$C11*'04c_Box_Takeoff'!$X10</f>
        <v>0</v>
      </c>
      <c r="U11" s="26">
        <f>$C11*'04c_Box_Takeoff'!$Y10</f>
        <v>0</v>
      </c>
      <c r="V11" s="26">
        <f>$C11*'04c_Box_Takeoff'!$Z10</f>
        <v>0</v>
      </c>
      <c r="W11" s="26">
        <f>$C11*'04c_Box_Takeoff'!$AA10</f>
        <v>0</v>
      </c>
      <c r="X11" s="26">
        <f>$C11*'04c_Box_Takeoff'!$AB10</f>
        <v>0</v>
      </c>
      <c r="Y11" s="26">
        <f>$C11*'04c_Box_Takeoff'!$AC10</f>
        <v>0</v>
      </c>
      <c r="Z11" s="26">
        <f>$C11*'04c_Box_Takeoff'!$AD10</f>
        <v>0</v>
      </c>
      <c r="AA11" s="26">
        <f>$C11*'04c_Box_Takeoff'!$AE10</f>
        <v>0</v>
      </c>
      <c r="AB11" s="26">
        <f t="shared" si="3"/>
        <v>0</v>
      </c>
      <c r="AC11" s="26">
        <f t="shared" si="4"/>
        <v>0</v>
      </c>
    </row>
    <row r="12" spans="1:29" ht="14.4" customHeight="1" x14ac:dyDescent="0.3">
      <c r="A12" s="25" t="s">
        <v>1487</v>
      </c>
      <c r="B12" s="25" t="s">
        <v>1488</v>
      </c>
      <c r="C12" s="25">
        <f>COUNTIF('02_Culverts'!$J$5:$J$104,"BC|3/3x2")</f>
        <v>0</v>
      </c>
      <c r="D12" s="25">
        <f>SUMIF('02_Culverts'!$J$5:$J$104,"BC|3/3x2",'02_Culverts'!$F$5:$F$104)</f>
        <v>0</v>
      </c>
      <c r="E12" s="25">
        <f t="shared" si="0"/>
        <v>0</v>
      </c>
      <c r="F12" s="26"/>
      <c r="G12" s="26">
        <f>$C12*'04c_Box_Takeoff'!$M11</f>
        <v>0</v>
      </c>
      <c r="H12" s="26">
        <f t="shared" si="1"/>
        <v>0</v>
      </c>
      <c r="I12" s="26">
        <f>$C12*'04c_Box_Takeoff'!$N11</f>
        <v>0</v>
      </c>
      <c r="J12" s="26">
        <f t="shared" si="2"/>
        <v>0</v>
      </c>
      <c r="K12" s="26">
        <f>$C12*'04c_Box_Takeoff'!$O11</f>
        <v>0</v>
      </c>
      <c r="L12" s="26">
        <f>$C12*'04c_Box_Takeoff'!$P11</f>
        <v>0</v>
      </c>
      <c r="M12" s="26">
        <f>$C12*'04c_Box_Takeoff'!$Q11</f>
        <v>0</v>
      </c>
      <c r="N12" s="26">
        <f>$C12*'04c_Box_Takeoff'!$R11</f>
        <v>0</v>
      </c>
      <c r="O12" s="26">
        <f>$C12*'04c_Box_Takeoff'!$S11</f>
        <v>0</v>
      </c>
      <c r="P12" s="26">
        <f>$C12*'04c_Box_Takeoff'!$T11</f>
        <v>0</v>
      </c>
      <c r="Q12" s="26">
        <f>$C12*'04c_Box_Takeoff'!$U11</f>
        <v>0</v>
      </c>
      <c r="R12" s="26">
        <f>$C12*'04c_Box_Takeoff'!$V11</f>
        <v>0</v>
      </c>
      <c r="S12" s="26">
        <f>$C12*'04c_Box_Takeoff'!$W11</f>
        <v>0</v>
      </c>
      <c r="T12" s="26">
        <f>$C12*'04c_Box_Takeoff'!$X11</f>
        <v>0</v>
      </c>
      <c r="U12" s="26">
        <f>$C12*'04c_Box_Takeoff'!$Y11</f>
        <v>0</v>
      </c>
      <c r="V12" s="26">
        <f>$C12*'04c_Box_Takeoff'!$Z11</f>
        <v>0</v>
      </c>
      <c r="W12" s="26">
        <f>$C12*'04c_Box_Takeoff'!$AA11</f>
        <v>0</v>
      </c>
      <c r="X12" s="26">
        <f>$C12*'04c_Box_Takeoff'!$AB11</f>
        <v>0</v>
      </c>
      <c r="Y12" s="26">
        <f>$C12*'04c_Box_Takeoff'!$AC11</f>
        <v>0</v>
      </c>
      <c r="Z12" s="26">
        <f>$C12*'04c_Box_Takeoff'!$AD11</f>
        <v>0</v>
      </c>
      <c r="AA12" s="26">
        <f>$C12*'04c_Box_Takeoff'!$AE11</f>
        <v>0</v>
      </c>
      <c r="AB12" s="26">
        <f t="shared" si="3"/>
        <v>0</v>
      </c>
      <c r="AC12" s="26">
        <f t="shared" si="4"/>
        <v>0</v>
      </c>
    </row>
    <row r="13" spans="1:29" ht="14.4" customHeight="1" x14ac:dyDescent="0.3">
      <c r="A13" s="25" t="s">
        <v>1489</v>
      </c>
      <c r="B13" s="25" t="s">
        <v>1490</v>
      </c>
      <c r="C13" s="25">
        <f>COUNTIF('02_Culverts'!$J$5:$J$104,"BC|1/3x3")</f>
        <v>0</v>
      </c>
      <c r="D13" s="25">
        <f>SUMIF('02_Culverts'!$J$5:$J$104,"BC|1/3x3",'02_Culverts'!$F$5:$F$104)</f>
        <v>0</v>
      </c>
      <c r="E13" s="25">
        <f t="shared" si="0"/>
        <v>0</v>
      </c>
      <c r="F13" s="26"/>
      <c r="G13" s="26">
        <f>$C13*'04c_Box_Takeoff'!$M12</f>
        <v>0</v>
      </c>
      <c r="H13" s="26">
        <f t="shared" si="1"/>
        <v>0</v>
      </c>
      <c r="I13" s="26">
        <f>$C13*'04c_Box_Takeoff'!$N12</f>
        <v>0</v>
      </c>
      <c r="J13" s="26">
        <f t="shared" si="2"/>
        <v>0</v>
      </c>
      <c r="K13" s="26">
        <f>$C13*'04c_Box_Takeoff'!$O12</f>
        <v>0</v>
      </c>
      <c r="L13" s="26">
        <f>$C13*'04c_Box_Takeoff'!$P12</f>
        <v>0</v>
      </c>
      <c r="M13" s="26">
        <f>$C13*'04c_Box_Takeoff'!$Q12</f>
        <v>0</v>
      </c>
      <c r="N13" s="26">
        <f>$C13*'04c_Box_Takeoff'!$R12</f>
        <v>0</v>
      </c>
      <c r="O13" s="26">
        <f>$C13*'04c_Box_Takeoff'!$S12</f>
        <v>0</v>
      </c>
      <c r="P13" s="26">
        <f>$C13*'04c_Box_Takeoff'!$T12</f>
        <v>0</v>
      </c>
      <c r="Q13" s="26">
        <f>$C13*'04c_Box_Takeoff'!$U12</f>
        <v>0</v>
      </c>
      <c r="R13" s="26">
        <f>$C13*'04c_Box_Takeoff'!$V12</f>
        <v>0</v>
      </c>
      <c r="S13" s="26">
        <f>$C13*'04c_Box_Takeoff'!$W12</f>
        <v>0</v>
      </c>
      <c r="T13" s="26">
        <f>$C13*'04c_Box_Takeoff'!$X12</f>
        <v>0</v>
      </c>
      <c r="U13" s="26">
        <f>$C13*'04c_Box_Takeoff'!$Y12</f>
        <v>0</v>
      </c>
      <c r="V13" s="26">
        <f>$C13*'04c_Box_Takeoff'!$Z12</f>
        <v>0</v>
      </c>
      <c r="W13" s="26">
        <f>$C13*'04c_Box_Takeoff'!$AA12</f>
        <v>0</v>
      </c>
      <c r="X13" s="26">
        <f>$C13*'04c_Box_Takeoff'!$AB12</f>
        <v>0</v>
      </c>
      <c r="Y13" s="26">
        <f>$C13*'04c_Box_Takeoff'!$AC12</f>
        <v>0</v>
      </c>
      <c r="Z13" s="26">
        <f>$C13*'04c_Box_Takeoff'!$AD12</f>
        <v>0</v>
      </c>
      <c r="AA13" s="26">
        <f>$C13*'04c_Box_Takeoff'!$AE12</f>
        <v>0</v>
      </c>
      <c r="AB13" s="26">
        <f t="shared" si="3"/>
        <v>0</v>
      </c>
      <c r="AC13" s="26">
        <f t="shared" si="4"/>
        <v>0</v>
      </c>
    </row>
    <row r="14" spans="1:29" ht="14.4" customHeight="1" x14ac:dyDescent="0.3">
      <c r="A14" s="25" t="s">
        <v>1491</v>
      </c>
      <c r="B14" s="25" t="s">
        <v>1492</v>
      </c>
      <c r="C14" s="25">
        <f>COUNTIF('02_Culverts'!$J$5:$J$104,"BC|2/3x3")</f>
        <v>0</v>
      </c>
      <c r="D14" s="25">
        <f>SUMIF('02_Culverts'!$J$5:$J$104,"BC|2/3x3",'02_Culverts'!$F$5:$F$104)</f>
        <v>0</v>
      </c>
      <c r="E14" s="25">
        <f t="shared" si="0"/>
        <v>0</v>
      </c>
      <c r="F14" s="26"/>
      <c r="G14" s="26">
        <f>$C14*'04c_Box_Takeoff'!$M13</f>
        <v>0</v>
      </c>
      <c r="H14" s="26">
        <f t="shared" si="1"/>
        <v>0</v>
      </c>
      <c r="I14" s="26">
        <f>$C14*'04c_Box_Takeoff'!$N13</f>
        <v>0</v>
      </c>
      <c r="J14" s="26">
        <f t="shared" si="2"/>
        <v>0</v>
      </c>
      <c r="K14" s="26">
        <f>$C14*'04c_Box_Takeoff'!$O13</f>
        <v>0</v>
      </c>
      <c r="L14" s="26">
        <f>$C14*'04c_Box_Takeoff'!$P13</f>
        <v>0</v>
      </c>
      <c r="M14" s="26">
        <f>$C14*'04c_Box_Takeoff'!$Q13</f>
        <v>0</v>
      </c>
      <c r="N14" s="26">
        <f>$C14*'04c_Box_Takeoff'!$R13</f>
        <v>0</v>
      </c>
      <c r="O14" s="26">
        <f>$C14*'04c_Box_Takeoff'!$S13</f>
        <v>0</v>
      </c>
      <c r="P14" s="26">
        <f>$C14*'04c_Box_Takeoff'!$T13</f>
        <v>0</v>
      </c>
      <c r="Q14" s="26">
        <f>$C14*'04c_Box_Takeoff'!$U13</f>
        <v>0</v>
      </c>
      <c r="R14" s="26">
        <f>$C14*'04c_Box_Takeoff'!$V13</f>
        <v>0</v>
      </c>
      <c r="S14" s="26">
        <f>$C14*'04c_Box_Takeoff'!$W13</f>
        <v>0</v>
      </c>
      <c r="T14" s="26">
        <f>$C14*'04c_Box_Takeoff'!$X13</f>
        <v>0</v>
      </c>
      <c r="U14" s="26">
        <f>$C14*'04c_Box_Takeoff'!$Y13</f>
        <v>0</v>
      </c>
      <c r="V14" s="26">
        <f>$C14*'04c_Box_Takeoff'!$Z13</f>
        <v>0</v>
      </c>
      <c r="W14" s="26">
        <f>$C14*'04c_Box_Takeoff'!$AA13</f>
        <v>0</v>
      </c>
      <c r="X14" s="26">
        <f>$C14*'04c_Box_Takeoff'!$AB13</f>
        <v>0</v>
      </c>
      <c r="Y14" s="26">
        <f>$C14*'04c_Box_Takeoff'!$AC13</f>
        <v>0</v>
      </c>
      <c r="Z14" s="26">
        <f>$C14*'04c_Box_Takeoff'!$AD13</f>
        <v>0</v>
      </c>
      <c r="AA14" s="26">
        <f>$C14*'04c_Box_Takeoff'!$AE13</f>
        <v>0</v>
      </c>
      <c r="AB14" s="26">
        <f t="shared" si="3"/>
        <v>0</v>
      </c>
      <c r="AC14" s="26">
        <f t="shared" si="4"/>
        <v>0</v>
      </c>
    </row>
    <row r="15" spans="1:29" ht="14.4" customHeight="1" x14ac:dyDescent="0.3">
      <c r="A15" s="25" t="s">
        <v>1493</v>
      </c>
      <c r="B15" s="25" t="s">
        <v>1494</v>
      </c>
      <c r="C15" s="25">
        <f>COUNTIF('02_Culverts'!$J$5:$J$104,"BC|3/3x3")</f>
        <v>0</v>
      </c>
      <c r="D15" s="25">
        <f>SUMIF('02_Culverts'!$J$5:$J$104,"BC|3/3x3",'02_Culverts'!$F$5:$F$104)</f>
        <v>0</v>
      </c>
      <c r="E15" s="25">
        <f t="shared" si="0"/>
        <v>0</v>
      </c>
      <c r="F15" s="26"/>
      <c r="G15" s="26">
        <f>$C15*'04c_Box_Takeoff'!$M14</f>
        <v>0</v>
      </c>
      <c r="H15" s="26">
        <f t="shared" si="1"/>
        <v>0</v>
      </c>
      <c r="I15" s="26">
        <f>$C15*'04c_Box_Takeoff'!$N14</f>
        <v>0</v>
      </c>
      <c r="J15" s="26">
        <f t="shared" si="2"/>
        <v>0</v>
      </c>
      <c r="K15" s="26">
        <f>$C15*'04c_Box_Takeoff'!$O14</f>
        <v>0</v>
      </c>
      <c r="L15" s="26">
        <f>$C15*'04c_Box_Takeoff'!$P14</f>
        <v>0</v>
      </c>
      <c r="M15" s="26">
        <f>$C15*'04c_Box_Takeoff'!$Q14</f>
        <v>0</v>
      </c>
      <c r="N15" s="26">
        <f>$C15*'04c_Box_Takeoff'!$R14</f>
        <v>0</v>
      </c>
      <c r="O15" s="26">
        <f>$C15*'04c_Box_Takeoff'!$S14</f>
        <v>0</v>
      </c>
      <c r="P15" s="26">
        <f>$C15*'04c_Box_Takeoff'!$T14</f>
        <v>0</v>
      </c>
      <c r="Q15" s="26">
        <f>$C15*'04c_Box_Takeoff'!$U14</f>
        <v>0</v>
      </c>
      <c r="R15" s="26">
        <f>$C15*'04c_Box_Takeoff'!$V14</f>
        <v>0</v>
      </c>
      <c r="S15" s="26">
        <f>$C15*'04c_Box_Takeoff'!$W14</f>
        <v>0</v>
      </c>
      <c r="T15" s="26">
        <f>$C15*'04c_Box_Takeoff'!$X14</f>
        <v>0</v>
      </c>
      <c r="U15" s="26">
        <f>$C15*'04c_Box_Takeoff'!$Y14</f>
        <v>0</v>
      </c>
      <c r="V15" s="26">
        <f>$C15*'04c_Box_Takeoff'!$Z14</f>
        <v>0</v>
      </c>
      <c r="W15" s="26">
        <f>$C15*'04c_Box_Takeoff'!$AA14</f>
        <v>0</v>
      </c>
      <c r="X15" s="26">
        <f>$C15*'04c_Box_Takeoff'!$AB14</f>
        <v>0</v>
      </c>
      <c r="Y15" s="26">
        <f>$C15*'04c_Box_Takeoff'!$AC14</f>
        <v>0</v>
      </c>
      <c r="Z15" s="26">
        <f>$C15*'04c_Box_Takeoff'!$AD14</f>
        <v>0</v>
      </c>
      <c r="AA15" s="26">
        <f>$C15*'04c_Box_Takeoff'!$AE14</f>
        <v>0</v>
      </c>
      <c r="AB15" s="26">
        <f t="shared" si="3"/>
        <v>0</v>
      </c>
      <c r="AC15" s="26">
        <f t="shared" si="4"/>
        <v>0</v>
      </c>
    </row>
    <row r="16" spans="1:29" ht="14.4" customHeight="1" x14ac:dyDescent="0.3">
      <c r="A16" s="25" t="s">
        <v>1495</v>
      </c>
      <c r="B16" s="25" t="s">
        <v>1496</v>
      </c>
      <c r="C16" s="25">
        <f>COUNTIF('02_Culverts'!$J$5:$J$104,"BC|4/3x3")</f>
        <v>0</v>
      </c>
      <c r="D16" s="25">
        <f>SUMIF('02_Culverts'!$J$5:$J$104,"BC|4/3x3",'02_Culverts'!$F$5:$F$104)</f>
        <v>0</v>
      </c>
      <c r="E16" s="25">
        <f t="shared" si="0"/>
        <v>0</v>
      </c>
      <c r="F16" s="26"/>
      <c r="G16" s="26">
        <f>$C16*'04c_Box_Takeoff'!$M15</f>
        <v>0</v>
      </c>
      <c r="H16" s="26">
        <f t="shared" si="1"/>
        <v>0</v>
      </c>
      <c r="I16" s="26">
        <f>$C16*'04c_Box_Takeoff'!$N15</f>
        <v>0</v>
      </c>
      <c r="J16" s="26">
        <f t="shared" si="2"/>
        <v>0</v>
      </c>
      <c r="K16" s="26">
        <f>$C16*'04c_Box_Takeoff'!$O15</f>
        <v>0</v>
      </c>
      <c r="L16" s="26">
        <f>$C16*'04c_Box_Takeoff'!$P15</f>
        <v>0</v>
      </c>
      <c r="M16" s="26">
        <f>$C16*'04c_Box_Takeoff'!$Q15</f>
        <v>0</v>
      </c>
      <c r="N16" s="26">
        <f>$C16*'04c_Box_Takeoff'!$R15</f>
        <v>0</v>
      </c>
      <c r="O16" s="26">
        <f>$C16*'04c_Box_Takeoff'!$S15</f>
        <v>0</v>
      </c>
      <c r="P16" s="26">
        <f>$C16*'04c_Box_Takeoff'!$T15</f>
        <v>0</v>
      </c>
      <c r="Q16" s="26">
        <f>$C16*'04c_Box_Takeoff'!$U15</f>
        <v>0</v>
      </c>
      <c r="R16" s="26">
        <f>$C16*'04c_Box_Takeoff'!$V15</f>
        <v>0</v>
      </c>
      <c r="S16" s="26">
        <f>$C16*'04c_Box_Takeoff'!$W15</f>
        <v>0</v>
      </c>
      <c r="T16" s="26">
        <f>$C16*'04c_Box_Takeoff'!$X15</f>
        <v>0</v>
      </c>
      <c r="U16" s="26">
        <f>$C16*'04c_Box_Takeoff'!$Y15</f>
        <v>0</v>
      </c>
      <c r="V16" s="26">
        <f>$C16*'04c_Box_Takeoff'!$Z15</f>
        <v>0</v>
      </c>
      <c r="W16" s="26">
        <f>$C16*'04c_Box_Takeoff'!$AA15</f>
        <v>0</v>
      </c>
      <c r="X16" s="26">
        <f>$C16*'04c_Box_Takeoff'!$AB15</f>
        <v>0</v>
      </c>
      <c r="Y16" s="26">
        <f>$C16*'04c_Box_Takeoff'!$AC15</f>
        <v>0</v>
      </c>
      <c r="Z16" s="26">
        <f>$C16*'04c_Box_Takeoff'!$AD15</f>
        <v>0</v>
      </c>
      <c r="AA16" s="26">
        <f>$C16*'04c_Box_Takeoff'!$AE15</f>
        <v>0</v>
      </c>
      <c r="AB16" s="26">
        <f t="shared" si="3"/>
        <v>0</v>
      </c>
      <c r="AC16" s="26">
        <f t="shared" si="4"/>
        <v>0</v>
      </c>
    </row>
    <row r="17" spans="1:29" ht="14.4" customHeight="1" x14ac:dyDescent="0.3">
      <c r="A17" s="25" t="s">
        <v>1497</v>
      </c>
      <c r="B17" s="25" t="s">
        <v>1498</v>
      </c>
      <c r="C17" s="25">
        <f>COUNTIF('02_Culverts'!$J$5:$J$104,"BC|1/4x3")</f>
        <v>0</v>
      </c>
      <c r="D17" s="25">
        <f>SUMIF('02_Culverts'!$J$5:$J$104,"BC|1/4x3",'02_Culverts'!$F$5:$F$104)</f>
        <v>0</v>
      </c>
      <c r="E17" s="25">
        <f t="shared" si="0"/>
        <v>0</v>
      </c>
      <c r="F17" s="26"/>
      <c r="G17" s="26">
        <f>$C17*'04c_Box_Takeoff'!$M16</f>
        <v>0</v>
      </c>
      <c r="H17" s="26">
        <f t="shared" si="1"/>
        <v>0</v>
      </c>
      <c r="I17" s="26">
        <f>$C17*'04c_Box_Takeoff'!$N16</f>
        <v>0</v>
      </c>
      <c r="J17" s="26">
        <f t="shared" si="2"/>
        <v>0</v>
      </c>
      <c r="K17" s="26">
        <f>$C17*'04c_Box_Takeoff'!$O16</f>
        <v>0</v>
      </c>
      <c r="L17" s="26">
        <f>$C17*'04c_Box_Takeoff'!$P16</f>
        <v>0</v>
      </c>
      <c r="M17" s="26">
        <f>$C17*'04c_Box_Takeoff'!$Q16</f>
        <v>0</v>
      </c>
      <c r="N17" s="26">
        <f>$C17*'04c_Box_Takeoff'!$R16</f>
        <v>0</v>
      </c>
      <c r="O17" s="26">
        <f>$C17*'04c_Box_Takeoff'!$S16</f>
        <v>0</v>
      </c>
      <c r="P17" s="26">
        <f>$C17*'04c_Box_Takeoff'!$T16</f>
        <v>0</v>
      </c>
      <c r="Q17" s="26">
        <f>$C17*'04c_Box_Takeoff'!$U16</f>
        <v>0</v>
      </c>
      <c r="R17" s="26">
        <f>$C17*'04c_Box_Takeoff'!$V16</f>
        <v>0</v>
      </c>
      <c r="S17" s="26">
        <f>$C17*'04c_Box_Takeoff'!$W16</f>
        <v>0</v>
      </c>
      <c r="T17" s="26">
        <f>$C17*'04c_Box_Takeoff'!$X16</f>
        <v>0</v>
      </c>
      <c r="U17" s="26">
        <f>$C17*'04c_Box_Takeoff'!$Y16</f>
        <v>0</v>
      </c>
      <c r="V17" s="26">
        <f>$C17*'04c_Box_Takeoff'!$Z16</f>
        <v>0</v>
      </c>
      <c r="W17" s="26">
        <f>$C17*'04c_Box_Takeoff'!$AA16</f>
        <v>0</v>
      </c>
      <c r="X17" s="26">
        <f>$C17*'04c_Box_Takeoff'!$AB16</f>
        <v>0</v>
      </c>
      <c r="Y17" s="26">
        <f>$C17*'04c_Box_Takeoff'!$AC16</f>
        <v>0</v>
      </c>
      <c r="Z17" s="26">
        <f>$C17*'04c_Box_Takeoff'!$AD16</f>
        <v>0</v>
      </c>
      <c r="AA17" s="26">
        <f>$C17*'04c_Box_Takeoff'!$AE16</f>
        <v>0</v>
      </c>
      <c r="AB17" s="26">
        <f t="shared" si="3"/>
        <v>0</v>
      </c>
      <c r="AC17" s="26">
        <f t="shared" si="4"/>
        <v>0</v>
      </c>
    </row>
    <row r="18" spans="1:29" ht="14.4" customHeight="1" x14ac:dyDescent="0.3">
      <c r="A18" s="25" t="s">
        <v>1499</v>
      </c>
      <c r="B18" s="25" t="s">
        <v>1500</v>
      </c>
      <c r="C18" s="25">
        <f>COUNTIF('02_Culverts'!$J$5:$J$104,"BC|2/4x3")</f>
        <v>0</v>
      </c>
      <c r="D18" s="25">
        <f>SUMIF('02_Culverts'!$J$5:$J$104,"BC|2/4x3",'02_Culverts'!$F$5:$F$104)</f>
        <v>0</v>
      </c>
      <c r="E18" s="25">
        <f t="shared" si="0"/>
        <v>0</v>
      </c>
      <c r="F18" s="26"/>
      <c r="G18" s="26">
        <f>$C18*'04c_Box_Takeoff'!$M17</f>
        <v>0</v>
      </c>
      <c r="H18" s="26">
        <f t="shared" si="1"/>
        <v>0</v>
      </c>
      <c r="I18" s="26">
        <f>$C18*'04c_Box_Takeoff'!$N17</f>
        <v>0</v>
      </c>
      <c r="J18" s="26">
        <f t="shared" si="2"/>
        <v>0</v>
      </c>
      <c r="K18" s="26">
        <f>$C18*'04c_Box_Takeoff'!$O17</f>
        <v>0</v>
      </c>
      <c r="L18" s="26">
        <f>$C18*'04c_Box_Takeoff'!$P17</f>
        <v>0</v>
      </c>
      <c r="M18" s="26">
        <f>$C18*'04c_Box_Takeoff'!$Q17</f>
        <v>0</v>
      </c>
      <c r="N18" s="26">
        <f>$C18*'04c_Box_Takeoff'!$R17</f>
        <v>0</v>
      </c>
      <c r="O18" s="26">
        <f>$C18*'04c_Box_Takeoff'!$S17</f>
        <v>0</v>
      </c>
      <c r="P18" s="26">
        <f>$C18*'04c_Box_Takeoff'!$T17</f>
        <v>0</v>
      </c>
      <c r="Q18" s="26">
        <f>$C18*'04c_Box_Takeoff'!$U17</f>
        <v>0</v>
      </c>
      <c r="R18" s="26">
        <f>$C18*'04c_Box_Takeoff'!$V17</f>
        <v>0</v>
      </c>
      <c r="S18" s="26">
        <f>$C18*'04c_Box_Takeoff'!$W17</f>
        <v>0</v>
      </c>
      <c r="T18" s="26">
        <f>$C18*'04c_Box_Takeoff'!$X17</f>
        <v>0</v>
      </c>
      <c r="U18" s="26">
        <f>$C18*'04c_Box_Takeoff'!$Y17</f>
        <v>0</v>
      </c>
      <c r="V18" s="26">
        <f>$C18*'04c_Box_Takeoff'!$Z17</f>
        <v>0</v>
      </c>
      <c r="W18" s="26">
        <f>$C18*'04c_Box_Takeoff'!$AA17</f>
        <v>0</v>
      </c>
      <c r="X18" s="26">
        <f>$C18*'04c_Box_Takeoff'!$AB17</f>
        <v>0</v>
      </c>
      <c r="Y18" s="26">
        <f>$C18*'04c_Box_Takeoff'!$AC17</f>
        <v>0</v>
      </c>
      <c r="Z18" s="26">
        <f>$C18*'04c_Box_Takeoff'!$AD17</f>
        <v>0</v>
      </c>
      <c r="AA18" s="26">
        <f>$C18*'04c_Box_Takeoff'!$AE17</f>
        <v>0</v>
      </c>
      <c r="AB18" s="26">
        <f t="shared" si="3"/>
        <v>0</v>
      </c>
      <c r="AC18" s="26">
        <f t="shared" si="4"/>
        <v>0</v>
      </c>
    </row>
    <row r="19" spans="1:29" ht="14.4" customHeight="1" x14ac:dyDescent="0.3">
      <c r="A19" s="25" t="s">
        <v>1501</v>
      </c>
      <c r="B19" s="25" t="s">
        <v>1502</v>
      </c>
      <c r="C19" s="25">
        <f>COUNTIF('02_Culverts'!$J$5:$J$104,"BC|3/4x3")</f>
        <v>0</v>
      </c>
      <c r="D19" s="25">
        <f>SUMIF('02_Culverts'!$J$5:$J$104,"BC|3/4x3",'02_Culverts'!$F$5:$F$104)</f>
        <v>0</v>
      </c>
      <c r="E19" s="25">
        <f t="shared" si="0"/>
        <v>0</v>
      </c>
      <c r="F19" s="26"/>
      <c r="G19" s="26">
        <f>$C19*'04c_Box_Takeoff'!$M18</f>
        <v>0</v>
      </c>
      <c r="H19" s="26">
        <f t="shared" si="1"/>
        <v>0</v>
      </c>
      <c r="I19" s="26">
        <f>$C19*'04c_Box_Takeoff'!$N18</f>
        <v>0</v>
      </c>
      <c r="J19" s="26">
        <f t="shared" si="2"/>
        <v>0</v>
      </c>
      <c r="K19" s="26">
        <f>$C19*'04c_Box_Takeoff'!$O18</f>
        <v>0</v>
      </c>
      <c r="L19" s="26">
        <f>$C19*'04c_Box_Takeoff'!$P18</f>
        <v>0</v>
      </c>
      <c r="M19" s="26">
        <f>$C19*'04c_Box_Takeoff'!$Q18</f>
        <v>0</v>
      </c>
      <c r="N19" s="26">
        <f>$C19*'04c_Box_Takeoff'!$R18</f>
        <v>0</v>
      </c>
      <c r="O19" s="26">
        <f>$C19*'04c_Box_Takeoff'!$S18</f>
        <v>0</v>
      </c>
      <c r="P19" s="26">
        <f>$C19*'04c_Box_Takeoff'!$T18</f>
        <v>0</v>
      </c>
      <c r="Q19" s="26">
        <f>$C19*'04c_Box_Takeoff'!$U18</f>
        <v>0</v>
      </c>
      <c r="R19" s="26">
        <f>$C19*'04c_Box_Takeoff'!$V18</f>
        <v>0</v>
      </c>
      <c r="S19" s="26">
        <f>$C19*'04c_Box_Takeoff'!$W18</f>
        <v>0</v>
      </c>
      <c r="T19" s="26">
        <f>$C19*'04c_Box_Takeoff'!$X18</f>
        <v>0</v>
      </c>
      <c r="U19" s="26">
        <f>$C19*'04c_Box_Takeoff'!$Y18</f>
        <v>0</v>
      </c>
      <c r="V19" s="26">
        <f>$C19*'04c_Box_Takeoff'!$Z18</f>
        <v>0</v>
      </c>
      <c r="W19" s="26">
        <f>$C19*'04c_Box_Takeoff'!$AA18</f>
        <v>0</v>
      </c>
      <c r="X19" s="26">
        <f>$C19*'04c_Box_Takeoff'!$AB18</f>
        <v>0</v>
      </c>
      <c r="Y19" s="26">
        <f>$C19*'04c_Box_Takeoff'!$AC18</f>
        <v>0</v>
      </c>
      <c r="Z19" s="26">
        <f>$C19*'04c_Box_Takeoff'!$AD18</f>
        <v>0</v>
      </c>
      <c r="AA19" s="26">
        <f>$C19*'04c_Box_Takeoff'!$AE18</f>
        <v>0</v>
      </c>
      <c r="AB19" s="26">
        <f t="shared" si="3"/>
        <v>0</v>
      </c>
      <c r="AC19" s="26">
        <f t="shared" si="4"/>
        <v>0</v>
      </c>
    </row>
    <row r="20" spans="1:29" ht="14.4" x14ac:dyDescent="0.3">
      <c r="A20" s="25" t="s">
        <v>1503</v>
      </c>
      <c r="B20" s="25" t="s">
        <v>1504</v>
      </c>
      <c r="C20" s="25">
        <f>COUNTIF('02_Culverts'!$J$5:$J$104,"BC|1/4x4")</f>
        <v>0</v>
      </c>
      <c r="D20" s="25">
        <f>SUMIF('02_Culverts'!$J$5:$J$104,"BC|1/4x4",'02_Culverts'!$F$5:$F$104)</f>
        <v>0</v>
      </c>
      <c r="E20" s="25">
        <f t="shared" si="0"/>
        <v>0</v>
      </c>
      <c r="F20" s="26"/>
      <c r="G20" s="26">
        <f>$C20*'04c_Box_Takeoff'!$M19</f>
        <v>0</v>
      </c>
      <c r="H20" s="26">
        <f t="shared" si="1"/>
        <v>0</v>
      </c>
      <c r="I20" s="26">
        <f>$C20*'04c_Box_Takeoff'!$N19</f>
        <v>0</v>
      </c>
      <c r="J20" s="26">
        <f t="shared" si="2"/>
        <v>0</v>
      </c>
      <c r="K20" s="26">
        <f>$C20*'04c_Box_Takeoff'!$O19</f>
        <v>0</v>
      </c>
      <c r="L20" s="26">
        <f>$C20*'04c_Box_Takeoff'!$P19</f>
        <v>0</v>
      </c>
      <c r="M20" s="26">
        <f>$C20*'04c_Box_Takeoff'!$Q19</f>
        <v>0</v>
      </c>
      <c r="N20" s="26">
        <f>$C20*'04c_Box_Takeoff'!$R19</f>
        <v>0</v>
      </c>
      <c r="O20" s="26">
        <f>$C20*'04c_Box_Takeoff'!$S19</f>
        <v>0</v>
      </c>
      <c r="P20" s="26">
        <f>$C20*'04c_Box_Takeoff'!$T19</f>
        <v>0</v>
      </c>
      <c r="Q20" s="26">
        <f>$C20*'04c_Box_Takeoff'!$U19</f>
        <v>0</v>
      </c>
      <c r="R20" s="26">
        <f>$C20*'04c_Box_Takeoff'!$V19</f>
        <v>0</v>
      </c>
      <c r="S20" s="26">
        <f>$C20*'04c_Box_Takeoff'!$W19</f>
        <v>0</v>
      </c>
      <c r="T20" s="26">
        <f>$C20*'04c_Box_Takeoff'!$X19</f>
        <v>0</v>
      </c>
      <c r="U20" s="26">
        <f>$C20*'04c_Box_Takeoff'!$Y19</f>
        <v>0</v>
      </c>
      <c r="V20" s="26">
        <f>$C20*'04c_Box_Takeoff'!$Z19</f>
        <v>0</v>
      </c>
      <c r="W20" s="26">
        <f>$C20*'04c_Box_Takeoff'!$AA19</f>
        <v>0</v>
      </c>
      <c r="X20" s="26">
        <f>$C20*'04c_Box_Takeoff'!$AB19</f>
        <v>0</v>
      </c>
      <c r="Y20" s="26">
        <f>$C20*'04c_Box_Takeoff'!$AC19</f>
        <v>0</v>
      </c>
      <c r="Z20" s="26">
        <f>$C20*'04c_Box_Takeoff'!$AD19</f>
        <v>0</v>
      </c>
      <c r="AA20" s="26">
        <f>$C20*'04c_Box_Takeoff'!$AE19</f>
        <v>0</v>
      </c>
      <c r="AB20" s="26">
        <f t="shared" si="3"/>
        <v>0</v>
      </c>
      <c r="AC20" s="26">
        <f t="shared" si="4"/>
        <v>0</v>
      </c>
    </row>
    <row r="21" spans="1:29" ht="15.75" customHeight="1" x14ac:dyDescent="0.3">
      <c r="A21" s="25" t="s">
        <v>1505</v>
      </c>
      <c r="B21" s="25" t="s">
        <v>1506</v>
      </c>
      <c r="C21" s="25">
        <f>COUNTIF('02_Culverts'!$J$5:$J$104,"BC|2/4x4")</f>
        <v>0</v>
      </c>
      <c r="D21" s="25">
        <f>SUMIF('02_Culverts'!$J$5:$J$104,"BC|2/4x4",'02_Culverts'!$F$5:$F$104)</f>
        <v>0</v>
      </c>
      <c r="E21" s="25">
        <f t="shared" si="0"/>
        <v>0</v>
      </c>
      <c r="F21" s="26"/>
      <c r="G21" s="26">
        <f>$C21*'04c_Box_Takeoff'!$M20</f>
        <v>0</v>
      </c>
      <c r="H21" s="26">
        <f t="shared" si="1"/>
        <v>0</v>
      </c>
      <c r="I21" s="26">
        <f>$C21*'04c_Box_Takeoff'!$N20</f>
        <v>0</v>
      </c>
      <c r="J21" s="26">
        <f t="shared" si="2"/>
        <v>0</v>
      </c>
      <c r="K21" s="26">
        <f>$C21*'04c_Box_Takeoff'!$O20</f>
        <v>0</v>
      </c>
      <c r="L21" s="26">
        <f>$C21*'04c_Box_Takeoff'!$P20</f>
        <v>0</v>
      </c>
      <c r="M21" s="26">
        <f>$C21*'04c_Box_Takeoff'!$Q20</f>
        <v>0</v>
      </c>
      <c r="N21" s="26">
        <f>$C21*'04c_Box_Takeoff'!$R20</f>
        <v>0</v>
      </c>
      <c r="O21" s="26">
        <f>$C21*'04c_Box_Takeoff'!$S20</f>
        <v>0</v>
      </c>
      <c r="P21" s="26">
        <f>$C21*'04c_Box_Takeoff'!$T20</f>
        <v>0</v>
      </c>
      <c r="Q21" s="26">
        <f>$C21*'04c_Box_Takeoff'!$U20</f>
        <v>0</v>
      </c>
      <c r="R21" s="26">
        <f>$C21*'04c_Box_Takeoff'!$V20</f>
        <v>0</v>
      </c>
      <c r="S21" s="26">
        <f>$C21*'04c_Box_Takeoff'!$W20</f>
        <v>0</v>
      </c>
      <c r="T21" s="26">
        <f>$C21*'04c_Box_Takeoff'!$X20</f>
        <v>0</v>
      </c>
      <c r="U21" s="26">
        <f>$C21*'04c_Box_Takeoff'!$Y20</f>
        <v>0</v>
      </c>
      <c r="V21" s="26">
        <f>$C21*'04c_Box_Takeoff'!$Z20</f>
        <v>0</v>
      </c>
      <c r="W21" s="26">
        <f>$C21*'04c_Box_Takeoff'!$AA20</f>
        <v>0</v>
      </c>
      <c r="X21" s="26">
        <f>$C21*'04c_Box_Takeoff'!$AB20</f>
        <v>0</v>
      </c>
      <c r="Y21" s="26">
        <f>$C21*'04c_Box_Takeoff'!$AC20</f>
        <v>0</v>
      </c>
      <c r="Z21" s="26">
        <f>$C21*'04c_Box_Takeoff'!$AD20</f>
        <v>0</v>
      </c>
      <c r="AA21" s="26">
        <f>$C21*'04c_Box_Takeoff'!$AE20</f>
        <v>0</v>
      </c>
      <c r="AB21" s="26">
        <f t="shared" si="3"/>
        <v>0</v>
      </c>
      <c r="AC21" s="26">
        <f t="shared" si="4"/>
        <v>0</v>
      </c>
    </row>
    <row r="22" spans="1:29" ht="15.75" customHeight="1" x14ac:dyDescent="0.3">
      <c r="A22" s="25" t="s">
        <v>1507</v>
      </c>
      <c r="B22" s="25" t="s">
        <v>1508</v>
      </c>
      <c r="C22" s="25">
        <f>COUNTIF('02_Culverts'!$J$5:$J$104,"BC|3/4x4")</f>
        <v>0</v>
      </c>
      <c r="D22" s="25">
        <f>SUMIF('02_Culverts'!$J$5:$J$104,"BC|3/4x4",'02_Culverts'!$F$5:$F$104)</f>
        <v>0</v>
      </c>
      <c r="E22" s="25">
        <f t="shared" si="0"/>
        <v>0</v>
      </c>
      <c r="F22" s="26"/>
      <c r="G22" s="26">
        <f>$C22*'04c_Box_Takeoff'!$M21</f>
        <v>0</v>
      </c>
      <c r="H22" s="26">
        <f t="shared" si="1"/>
        <v>0</v>
      </c>
      <c r="I22" s="26">
        <f>$C22*'04c_Box_Takeoff'!$N21</f>
        <v>0</v>
      </c>
      <c r="J22" s="26">
        <f t="shared" si="2"/>
        <v>0</v>
      </c>
      <c r="K22" s="26">
        <f>$C22*'04c_Box_Takeoff'!$O21</f>
        <v>0</v>
      </c>
      <c r="L22" s="26">
        <f>$C22*'04c_Box_Takeoff'!$P21</f>
        <v>0</v>
      </c>
      <c r="M22" s="26">
        <f>$C22*'04c_Box_Takeoff'!$Q21</f>
        <v>0</v>
      </c>
      <c r="N22" s="26">
        <f>$C22*'04c_Box_Takeoff'!$R21</f>
        <v>0</v>
      </c>
      <c r="O22" s="26">
        <f>$C22*'04c_Box_Takeoff'!$S21</f>
        <v>0</v>
      </c>
      <c r="P22" s="26">
        <f>$C22*'04c_Box_Takeoff'!$T21</f>
        <v>0</v>
      </c>
      <c r="Q22" s="26">
        <f>$C22*'04c_Box_Takeoff'!$U21</f>
        <v>0</v>
      </c>
      <c r="R22" s="26">
        <f>$C22*'04c_Box_Takeoff'!$V21</f>
        <v>0</v>
      </c>
      <c r="S22" s="26">
        <f>$C22*'04c_Box_Takeoff'!$W21</f>
        <v>0</v>
      </c>
      <c r="T22" s="26">
        <f>$C22*'04c_Box_Takeoff'!$X21</f>
        <v>0</v>
      </c>
      <c r="U22" s="26">
        <f>$C22*'04c_Box_Takeoff'!$Y21</f>
        <v>0</v>
      </c>
      <c r="V22" s="26">
        <f>$C22*'04c_Box_Takeoff'!$Z21</f>
        <v>0</v>
      </c>
      <c r="W22" s="26">
        <f>$C22*'04c_Box_Takeoff'!$AA21</f>
        <v>0</v>
      </c>
      <c r="X22" s="26">
        <f>$C22*'04c_Box_Takeoff'!$AB21</f>
        <v>0</v>
      </c>
      <c r="Y22" s="26">
        <f>$C22*'04c_Box_Takeoff'!$AC21</f>
        <v>0</v>
      </c>
      <c r="Z22" s="26">
        <f>$C22*'04c_Box_Takeoff'!$AD21</f>
        <v>0</v>
      </c>
      <c r="AA22" s="26">
        <f>$C22*'04c_Box_Takeoff'!$AE21</f>
        <v>0</v>
      </c>
      <c r="AB22" s="26">
        <f t="shared" si="3"/>
        <v>0</v>
      </c>
      <c r="AC22" s="26">
        <f t="shared" si="4"/>
        <v>0</v>
      </c>
    </row>
    <row r="23" spans="1:29" ht="15.75" customHeight="1" x14ac:dyDescent="0.3">
      <c r="A23" s="25" t="s">
        <v>1509</v>
      </c>
      <c r="B23" s="25" t="s">
        <v>1510</v>
      </c>
      <c r="C23" s="25">
        <f>COUNTIF('02_Culverts'!$J$5:$J$104,"BC|4/4x4")</f>
        <v>0</v>
      </c>
      <c r="D23" s="25">
        <f>SUMIF('02_Culverts'!$J$5:$J$104,"BC|4/4x4",'02_Culverts'!$F$5:$F$104)</f>
        <v>0</v>
      </c>
      <c r="E23" s="25">
        <f t="shared" si="0"/>
        <v>0</v>
      </c>
      <c r="F23" s="26"/>
      <c r="G23" s="26">
        <f>$C23*'04c_Box_Takeoff'!$M22</f>
        <v>0</v>
      </c>
      <c r="H23" s="26">
        <f t="shared" si="1"/>
        <v>0</v>
      </c>
      <c r="I23" s="26">
        <f>$C23*'04c_Box_Takeoff'!$N22</f>
        <v>0</v>
      </c>
      <c r="J23" s="26">
        <f t="shared" si="2"/>
        <v>0</v>
      </c>
      <c r="K23" s="26">
        <f>$C23*'04c_Box_Takeoff'!$O22</f>
        <v>0</v>
      </c>
      <c r="L23" s="26">
        <f>$C23*'04c_Box_Takeoff'!$P22</f>
        <v>0</v>
      </c>
      <c r="M23" s="26">
        <f>$C23*'04c_Box_Takeoff'!$Q22</f>
        <v>0</v>
      </c>
      <c r="N23" s="26">
        <f>$C23*'04c_Box_Takeoff'!$R22</f>
        <v>0</v>
      </c>
      <c r="O23" s="26">
        <f>$C23*'04c_Box_Takeoff'!$S22</f>
        <v>0</v>
      </c>
      <c r="P23" s="26">
        <f>$C23*'04c_Box_Takeoff'!$T22</f>
        <v>0</v>
      </c>
      <c r="Q23" s="26">
        <f>$C23*'04c_Box_Takeoff'!$U22</f>
        <v>0</v>
      </c>
      <c r="R23" s="26">
        <f>$C23*'04c_Box_Takeoff'!$V22</f>
        <v>0</v>
      </c>
      <c r="S23" s="26">
        <f>$C23*'04c_Box_Takeoff'!$W22</f>
        <v>0</v>
      </c>
      <c r="T23" s="26">
        <f>$C23*'04c_Box_Takeoff'!$X22</f>
        <v>0</v>
      </c>
      <c r="U23" s="26">
        <f>$C23*'04c_Box_Takeoff'!$Y22</f>
        <v>0</v>
      </c>
      <c r="V23" s="26">
        <f>$C23*'04c_Box_Takeoff'!$Z22</f>
        <v>0</v>
      </c>
      <c r="W23" s="26">
        <f>$C23*'04c_Box_Takeoff'!$AA22</f>
        <v>0</v>
      </c>
      <c r="X23" s="26">
        <f>$C23*'04c_Box_Takeoff'!$AB22</f>
        <v>0</v>
      </c>
      <c r="Y23" s="26">
        <f>$C23*'04c_Box_Takeoff'!$AC22</f>
        <v>0</v>
      </c>
      <c r="Z23" s="26">
        <f>$C23*'04c_Box_Takeoff'!$AD22</f>
        <v>0</v>
      </c>
      <c r="AA23" s="26">
        <f>$C23*'04c_Box_Takeoff'!$AE22</f>
        <v>0</v>
      </c>
      <c r="AB23" s="26">
        <f t="shared" si="3"/>
        <v>0</v>
      </c>
      <c r="AC23" s="26">
        <f t="shared" si="4"/>
        <v>0</v>
      </c>
    </row>
    <row r="24" spans="1:29" ht="15.75" customHeight="1" x14ac:dyDescent="0.3">
      <c r="A24" s="25" t="s">
        <v>1511</v>
      </c>
      <c r="B24" s="25" t="s">
        <v>1512</v>
      </c>
      <c r="C24" s="25">
        <f>COUNTIF('02_Culverts'!$J$5:$J$104,"BC|2/3x2.4")</f>
        <v>0</v>
      </c>
      <c r="D24" s="25">
        <f>SUMIF('02_Culverts'!$J$5:$J$104,"BC|2/3x2.4",'02_Culverts'!$F$5:$F$104)</f>
        <v>0</v>
      </c>
      <c r="E24" s="25">
        <f t="shared" si="0"/>
        <v>0</v>
      </c>
      <c r="F24" s="26"/>
      <c r="G24" s="26">
        <f>$C24*'04c_Box_Takeoff'!$M23</f>
        <v>0</v>
      </c>
      <c r="H24" s="26">
        <f t="shared" si="1"/>
        <v>0</v>
      </c>
      <c r="I24" s="26">
        <f>$C24*'04c_Box_Takeoff'!$N23</f>
        <v>0</v>
      </c>
      <c r="J24" s="26">
        <f t="shared" si="2"/>
        <v>0</v>
      </c>
      <c r="K24" s="26">
        <f>$C24*'04c_Box_Takeoff'!$O23</f>
        <v>0</v>
      </c>
      <c r="L24" s="26">
        <f>$C24*'04c_Box_Takeoff'!$P23</f>
        <v>0</v>
      </c>
      <c r="M24" s="26">
        <f>$C24*'04c_Box_Takeoff'!$Q23</f>
        <v>0</v>
      </c>
      <c r="N24" s="26">
        <f>$C24*'04c_Box_Takeoff'!$R23</f>
        <v>0</v>
      </c>
      <c r="O24" s="26">
        <f>$C24*'04c_Box_Takeoff'!$S23</f>
        <v>0</v>
      </c>
      <c r="P24" s="26">
        <f>$C24*'04c_Box_Takeoff'!$T23</f>
        <v>0</v>
      </c>
      <c r="Q24" s="26">
        <f>$C24*'04c_Box_Takeoff'!$U23</f>
        <v>0</v>
      </c>
      <c r="R24" s="26">
        <f>$C24*'04c_Box_Takeoff'!$V23</f>
        <v>0</v>
      </c>
      <c r="S24" s="26">
        <f>$C24*'04c_Box_Takeoff'!$W23</f>
        <v>0</v>
      </c>
      <c r="T24" s="26">
        <f>$C24*'04c_Box_Takeoff'!$X23</f>
        <v>0</v>
      </c>
      <c r="U24" s="26">
        <f>$C24*'04c_Box_Takeoff'!$Y23</f>
        <v>0</v>
      </c>
      <c r="V24" s="26">
        <f>$C24*'04c_Box_Takeoff'!$Z23</f>
        <v>0</v>
      </c>
      <c r="W24" s="26">
        <f>$C24*'04c_Box_Takeoff'!$AA23</f>
        <v>0</v>
      </c>
      <c r="X24" s="26">
        <f>$C24*'04c_Box_Takeoff'!$AB23</f>
        <v>0</v>
      </c>
      <c r="Y24" s="26">
        <f>$C24*'04c_Box_Takeoff'!$AC23</f>
        <v>0</v>
      </c>
      <c r="Z24" s="26">
        <f>$C24*'04c_Box_Takeoff'!$AD23</f>
        <v>0</v>
      </c>
      <c r="AA24" s="26">
        <f>$C24*'04c_Box_Takeoff'!$AE23</f>
        <v>0</v>
      </c>
      <c r="AB24" s="26">
        <f t="shared" si="3"/>
        <v>0</v>
      </c>
      <c r="AC24" s="26">
        <f t="shared" si="4"/>
        <v>0</v>
      </c>
    </row>
    <row r="25" spans="1:29" ht="15.75" customHeight="1" x14ac:dyDescent="0.3"/>
    <row r="26" spans="1:29" ht="15.75" customHeight="1" x14ac:dyDescent="0.3">
      <c r="A26" s="28" t="s">
        <v>1435</v>
      </c>
      <c r="G26" s="31">
        <f t="shared" ref="G26:AC26" si="5">SUM(G6:G24)</f>
        <v>0</v>
      </c>
      <c r="H26" s="31">
        <f t="shared" si="5"/>
        <v>0</v>
      </c>
      <c r="I26" s="31">
        <f t="shared" si="5"/>
        <v>0</v>
      </c>
      <c r="J26" s="31">
        <f t="shared" si="5"/>
        <v>0</v>
      </c>
      <c r="K26" s="31">
        <f t="shared" si="5"/>
        <v>0</v>
      </c>
      <c r="L26" s="31">
        <f t="shared" si="5"/>
        <v>0</v>
      </c>
      <c r="M26" s="31">
        <f t="shared" si="5"/>
        <v>0</v>
      </c>
      <c r="N26" s="31">
        <f t="shared" si="5"/>
        <v>0</v>
      </c>
      <c r="O26" s="31">
        <f t="shared" si="5"/>
        <v>0</v>
      </c>
      <c r="P26" s="31">
        <f t="shared" si="5"/>
        <v>0</v>
      </c>
      <c r="Q26" s="31">
        <f t="shared" si="5"/>
        <v>0</v>
      </c>
      <c r="R26" s="31">
        <f t="shared" si="5"/>
        <v>0</v>
      </c>
      <c r="S26" s="31">
        <f t="shared" si="5"/>
        <v>0</v>
      </c>
      <c r="T26" s="31">
        <f t="shared" si="5"/>
        <v>0</v>
      </c>
      <c r="U26" s="31">
        <f t="shared" si="5"/>
        <v>0</v>
      </c>
      <c r="V26" s="31">
        <f t="shared" si="5"/>
        <v>0</v>
      </c>
      <c r="W26" s="31">
        <f t="shared" si="5"/>
        <v>0</v>
      </c>
      <c r="X26" s="31">
        <f t="shared" si="5"/>
        <v>0</v>
      </c>
      <c r="Y26" s="31">
        <f t="shared" si="5"/>
        <v>0</v>
      </c>
      <c r="Z26" s="31">
        <f t="shared" si="5"/>
        <v>0</v>
      </c>
      <c r="AA26" s="31">
        <f t="shared" si="5"/>
        <v>0</v>
      </c>
      <c r="AB26" s="31">
        <f t="shared" si="5"/>
        <v>0</v>
      </c>
      <c r="AC26" s="31">
        <f t="shared" si="5"/>
        <v>0</v>
      </c>
    </row>
    <row r="27" spans="1:29" ht="15.75" customHeight="1" x14ac:dyDescent="0.3"/>
    <row r="28" spans="1:29" ht="15.75" customHeight="1" x14ac:dyDescent="0.3"/>
    <row r="29" spans="1:29" ht="15.75" customHeight="1" x14ac:dyDescent="0.3"/>
    <row r="30" spans="1:29" ht="15.75" customHeight="1" x14ac:dyDescent="0.3"/>
    <row r="31" spans="1:29" ht="15.75" customHeight="1" x14ac:dyDescent="0.3"/>
    <row r="32" spans="1:29"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rintOptions horizontalCentered="1"/>
  <pageMargins left="0.75" right="0.75" top="1" bottom="1"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E40"/>
  <sheetViews>
    <sheetView topLeftCell="P1" workbookViewId="0">
      <pane ySplit="4" topLeftCell="A5" activePane="bottomLeft" state="frozen"/>
      <selection pane="bottomLeft" activeCell="X24" sqref="X24"/>
    </sheetView>
  </sheetViews>
  <sheetFormatPr defaultRowHeight="14.4" x14ac:dyDescent="0.3"/>
  <cols>
    <col min="1" max="1" width="24.109375" customWidth="1"/>
    <col min="2" max="2" width="12.5546875" customWidth="1"/>
    <col min="3" max="31" width="8.5546875" customWidth="1"/>
  </cols>
  <sheetData>
    <row r="1" spans="1:8" ht="15.6" customHeight="1" x14ac:dyDescent="0.3">
      <c r="A1" s="53" t="s">
        <v>1513</v>
      </c>
    </row>
    <row r="2" spans="1:8" x14ac:dyDescent="0.3">
      <c r="A2" s="54" t="s">
        <v>1514</v>
      </c>
    </row>
    <row r="4" spans="1:8" x14ac:dyDescent="0.3">
      <c r="A4" s="55" t="s">
        <v>1515</v>
      </c>
      <c r="B4" s="56" t="s">
        <v>42</v>
      </c>
      <c r="C4" s="56" t="s">
        <v>43</v>
      </c>
      <c r="D4" s="55" t="s">
        <v>1516</v>
      </c>
      <c r="F4" s="55" t="s">
        <v>1517</v>
      </c>
      <c r="G4" s="56" t="s">
        <v>42</v>
      </c>
      <c r="H4" s="56" t="s">
        <v>43</v>
      </c>
    </row>
    <row r="5" spans="1:8" x14ac:dyDescent="0.3">
      <c r="A5" t="s">
        <v>1518</v>
      </c>
      <c r="B5" s="57">
        <v>0.6</v>
      </c>
      <c r="C5" s="22" t="s">
        <v>63</v>
      </c>
      <c r="D5" s="59" t="s">
        <v>1519</v>
      </c>
      <c r="F5" t="s">
        <v>1520</v>
      </c>
      <c r="G5" s="57">
        <v>0.3</v>
      </c>
      <c r="H5" s="22" t="s">
        <v>63</v>
      </c>
    </row>
    <row r="6" spans="1:8" x14ac:dyDescent="0.3">
      <c r="A6" t="s">
        <v>1521</v>
      </c>
      <c r="B6" s="57">
        <v>0.15</v>
      </c>
      <c r="C6" s="22" t="s">
        <v>63</v>
      </c>
      <c r="D6" s="59" t="s">
        <v>1522</v>
      </c>
      <c r="F6" t="s">
        <v>1523</v>
      </c>
      <c r="G6" s="57">
        <v>0.45</v>
      </c>
      <c r="H6" s="22" t="s">
        <v>63</v>
      </c>
    </row>
    <row r="7" spans="1:8" x14ac:dyDescent="0.3">
      <c r="A7" t="s">
        <v>1524</v>
      </c>
      <c r="B7" s="57">
        <v>1.5</v>
      </c>
      <c r="C7" s="22" t="s">
        <v>63</v>
      </c>
      <c r="D7" s="59" t="s">
        <v>1519</v>
      </c>
      <c r="F7" t="s">
        <v>1525</v>
      </c>
      <c r="G7" s="57">
        <v>0.9</v>
      </c>
      <c r="H7" s="22" t="s">
        <v>63</v>
      </c>
    </row>
    <row r="8" spans="1:8" x14ac:dyDescent="0.3">
      <c r="A8" t="s">
        <v>1526</v>
      </c>
      <c r="B8" s="57">
        <v>45</v>
      </c>
      <c r="C8" s="22" t="s">
        <v>1527</v>
      </c>
      <c r="D8" s="59" t="s">
        <v>1528</v>
      </c>
      <c r="F8" t="s">
        <v>1529</v>
      </c>
      <c r="G8" s="57">
        <v>0.22</v>
      </c>
      <c r="H8" s="22" t="s">
        <v>1530</v>
      </c>
    </row>
    <row r="9" spans="1:8" x14ac:dyDescent="0.3">
      <c r="A9" t="s">
        <v>1531</v>
      </c>
      <c r="B9" s="57">
        <v>0.6</v>
      </c>
      <c r="C9" s="22" t="s">
        <v>63</v>
      </c>
      <c r="D9" s="59" t="s">
        <v>1532</v>
      </c>
      <c r="F9" t="s">
        <v>1533</v>
      </c>
      <c r="G9" s="57">
        <v>0.6</v>
      </c>
      <c r="H9" s="22" t="s">
        <v>63</v>
      </c>
    </row>
    <row r="10" spans="1:8" x14ac:dyDescent="0.3">
      <c r="A10" t="s">
        <v>1534</v>
      </c>
      <c r="B10" s="57">
        <v>0.6</v>
      </c>
      <c r="C10" s="22" t="s">
        <v>63</v>
      </c>
      <c r="D10" s="59" t="s">
        <v>1535</v>
      </c>
      <c r="F10" t="s">
        <v>1536</v>
      </c>
      <c r="G10" s="57">
        <v>1.5</v>
      </c>
      <c r="H10" s="22" t="s">
        <v>1537</v>
      </c>
    </row>
    <row r="11" spans="1:8" x14ac:dyDescent="0.3">
      <c r="A11" t="s">
        <v>1538</v>
      </c>
      <c r="B11" s="57">
        <v>0.2</v>
      </c>
      <c r="C11" s="22" t="s">
        <v>63</v>
      </c>
      <c r="D11" s="59" t="s">
        <v>1539</v>
      </c>
      <c r="F11" t="s">
        <v>1540</v>
      </c>
      <c r="G11" s="58">
        <v>10</v>
      </c>
      <c r="H11" s="22" t="s">
        <v>63</v>
      </c>
    </row>
    <row r="12" spans="1:8" x14ac:dyDescent="0.3">
      <c r="A12" t="s">
        <v>1541</v>
      </c>
      <c r="B12" s="57">
        <v>0.45</v>
      </c>
      <c r="C12" s="22" t="s">
        <v>63</v>
      </c>
      <c r="D12" s="59" t="s">
        <v>1542</v>
      </c>
    </row>
    <row r="13" spans="1:8" x14ac:dyDescent="0.3">
      <c r="A13" t="s">
        <v>1543</v>
      </c>
      <c r="B13" s="57">
        <v>0.25</v>
      </c>
      <c r="C13" s="22" t="s">
        <v>63</v>
      </c>
      <c r="D13" s="59" t="s">
        <v>1544</v>
      </c>
    </row>
    <row r="14" spans="1:8" x14ac:dyDescent="0.3">
      <c r="A14" t="s">
        <v>1545</v>
      </c>
      <c r="B14" s="57">
        <v>12</v>
      </c>
      <c r="C14" s="22" t="s">
        <v>1537</v>
      </c>
      <c r="D14" s="59" t="s">
        <v>1546</v>
      </c>
    </row>
    <row r="15" spans="1:8" x14ac:dyDescent="0.3">
      <c r="A15" t="s">
        <v>1547</v>
      </c>
      <c r="B15" s="57">
        <v>2.5000000000000001E-2</v>
      </c>
      <c r="C15" s="22" t="s">
        <v>63</v>
      </c>
      <c r="D15" s="59" t="s">
        <v>1548</v>
      </c>
    </row>
    <row r="16" spans="1:8" x14ac:dyDescent="0.3">
      <c r="A16" t="s">
        <v>1549</v>
      </c>
      <c r="B16" s="58">
        <v>0.05</v>
      </c>
      <c r="C16" s="22" t="s">
        <v>63</v>
      </c>
      <c r="D16" s="59" t="s">
        <v>1550</v>
      </c>
    </row>
    <row r="17" spans="1:31" x14ac:dyDescent="0.3">
      <c r="A17" t="s">
        <v>1551</v>
      </c>
      <c r="B17" s="58">
        <v>0.3</v>
      </c>
      <c r="C17" s="22" t="s">
        <v>63</v>
      </c>
      <c r="D17" s="59" t="s">
        <v>1552</v>
      </c>
    </row>
    <row r="18" spans="1:31" x14ac:dyDescent="0.3">
      <c r="A18" t="s">
        <v>1553</v>
      </c>
      <c r="B18" s="58">
        <v>0.15</v>
      </c>
      <c r="C18" s="22" t="s">
        <v>63</v>
      </c>
      <c r="D18" s="59" t="s">
        <v>1554</v>
      </c>
    </row>
    <row r="20" spans="1:31" x14ac:dyDescent="0.3">
      <c r="A20" s="60" t="s">
        <v>1555</v>
      </c>
    </row>
    <row r="21" spans="1:31" ht="24.6" customHeight="1" x14ac:dyDescent="0.3">
      <c r="A21" s="67" t="s">
        <v>216</v>
      </c>
      <c r="B21" s="68" t="s">
        <v>1317</v>
      </c>
      <c r="C21" s="68" t="s">
        <v>1556</v>
      </c>
      <c r="D21" s="69" t="s">
        <v>1557</v>
      </c>
      <c r="E21" s="68" t="s">
        <v>1558</v>
      </c>
      <c r="F21" s="68" t="s">
        <v>1352</v>
      </c>
      <c r="G21" s="68" t="s">
        <v>1559</v>
      </c>
      <c r="H21" s="68" t="s">
        <v>1560</v>
      </c>
      <c r="I21" s="68" t="s">
        <v>1474</v>
      </c>
      <c r="J21" s="68" t="s">
        <v>1561</v>
      </c>
      <c r="K21" s="68" t="s">
        <v>1562</v>
      </c>
      <c r="L21" s="68" t="s">
        <v>1563</v>
      </c>
      <c r="M21" s="68" t="s">
        <v>1564</v>
      </c>
      <c r="N21" s="68" t="s">
        <v>1565</v>
      </c>
      <c r="O21" s="68" t="s">
        <v>1566</v>
      </c>
      <c r="P21" s="68" t="s">
        <v>1567</v>
      </c>
      <c r="Q21" s="68" t="s">
        <v>1568</v>
      </c>
      <c r="R21" s="68" t="s">
        <v>1569</v>
      </c>
      <c r="S21" s="68" t="s">
        <v>1570</v>
      </c>
      <c r="T21" s="68" t="s">
        <v>1571</v>
      </c>
      <c r="U21" s="68" t="s">
        <v>1572</v>
      </c>
      <c r="V21" s="68" t="s">
        <v>1573</v>
      </c>
      <c r="W21" s="68" t="s">
        <v>1574</v>
      </c>
      <c r="X21" s="68" t="s">
        <v>1575</v>
      </c>
      <c r="Y21" s="68" t="s">
        <v>1576</v>
      </c>
      <c r="Z21" s="68" t="s">
        <v>1577</v>
      </c>
      <c r="AA21" s="68" t="s">
        <v>1578</v>
      </c>
      <c r="AB21" s="68" t="s">
        <v>1579</v>
      </c>
      <c r="AC21" s="68" t="s">
        <v>1580</v>
      </c>
      <c r="AD21" s="70" t="s">
        <v>1581</v>
      </c>
      <c r="AE21" s="82" t="s">
        <v>1582</v>
      </c>
    </row>
    <row r="22" spans="1:31" x14ac:dyDescent="0.3">
      <c r="A22" s="71" t="s">
        <v>1475</v>
      </c>
      <c r="B22" s="72" t="str">
        <f>'04_Box_Engine'!B6</f>
        <v>BC|1/2x2</v>
      </c>
      <c r="C22" s="73">
        <v>1</v>
      </c>
      <c r="D22" s="74">
        <v>2</v>
      </c>
      <c r="E22" s="74">
        <v>2</v>
      </c>
      <c r="F22" s="75">
        <f>'04_Box_Engine'!C6</f>
        <v>0</v>
      </c>
      <c r="G22" s="76">
        <f>'04_Box_Engine'!D6</f>
        <v>0</v>
      </c>
      <c r="H22" s="76">
        <f>'04_Box_Engine'!E6</f>
        <v>0</v>
      </c>
      <c r="I22" s="77">
        <f t="shared" ref="I22:I40" si="0">MAX(BX_tmin,CEILING(MAX($D22,$E22)/BX_tdiv,BX_tinc))</f>
        <v>0.25</v>
      </c>
      <c r="J22" s="77">
        <f t="shared" ref="J22:J40" si="1">$C22*$D22+($C22+1)*$I22</f>
        <v>2.5</v>
      </c>
      <c r="K22" s="77">
        <f t="shared" ref="K22:K40" si="2">$C22*$D22+($C22-1)*$I22</f>
        <v>2</v>
      </c>
      <c r="L22" s="77">
        <f t="shared" ref="L22:L40" si="3">$E22+2*$I22</f>
        <v>2.5</v>
      </c>
      <c r="M22" s="77">
        <f t="shared" ref="M22:M40" si="4">$E22+$I22</f>
        <v>2.25</v>
      </c>
      <c r="N22" s="77">
        <f t="shared" ref="N22:N40" si="5">BX_ch</f>
        <v>0.15</v>
      </c>
      <c r="O22" s="77">
        <f t="shared" ref="O22:O40" si="6">BX_apL</f>
        <v>1.5</v>
      </c>
      <c r="P22" s="77">
        <f t="shared" ref="P22:P40" si="7">$I22</f>
        <v>0.25</v>
      </c>
      <c r="Q22" s="77">
        <f t="shared" ref="Q22:Q40" si="8">$J22+$AA22</f>
        <v>4</v>
      </c>
      <c r="R22" s="77">
        <f t="shared" ref="R22:R40" si="9">$J22</f>
        <v>2.5</v>
      </c>
      <c r="S22" s="77">
        <f t="shared" ref="S22:S40" si="10">BX_twW</f>
        <v>0.2</v>
      </c>
      <c r="T22" s="77">
        <f t="shared" ref="T22:T40" si="11">BX_twD</f>
        <v>0.45</v>
      </c>
      <c r="U22" s="77">
        <f t="shared" ref="U22:U40" si="12">BX_hh</f>
        <v>0.6</v>
      </c>
      <c r="V22" s="77">
        <f t="shared" ref="V22:V40" si="13">MAX(BX_tmin2,$I22)</f>
        <v>0.3</v>
      </c>
      <c r="W22" s="77">
        <f t="shared" ref="W22:W40" si="14">$L22+BX_Hcov+BX_frb</f>
        <v>3.7</v>
      </c>
      <c r="X22" s="77">
        <f t="shared" ref="X22:X40" si="15">MAX(BX_hemin,$W22-$Z22/BX_bat)</f>
        <v>2.2857864376269053</v>
      </c>
      <c r="Y22" s="77">
        <f t="shared" ref="Y22:Y40" si="16">($W22+$X22)/2</f>
        <v>2.9928932188134527</v>
      </c>
      <c r="Z22" s="77">
        <f t="shared" ref="Z22:Z40" si="17">BX_apL/COS(RADIANS(BX_ang))</f>
        <v>2.1213203435596424</v>
      </c>
      <c r="AA22" s="77">
        <f t="shared" ref="AA22:AA40" si="18">BX_apL*TAN(RADIANS(BX_ang))</f>
        <v>1.4999999999999998</v>
      </c>
      <c r="AB22" s="77">
        <f t="shared" ref="AB22:AB40" si="19">MAX(BX_tmin2,ROUND($W22/BX_tdiv,2))</f>
        <v>0.31</v>
      </c>
      <c r="AC22" s="77">
        <f t="shared" ref="AC22:AC40" si="20">MAX(BX_tpmin,MIN(BX_tpmax,BX_tpf*$W22))</f>
        <v>0.81400000000000006</v>
      </c>
      <c r="AD22" s="78">
        <f t="shared" ref="AD22:AD40" si="21">MAX(BX_tmin2,$I22)</f>
        <v>0.3</v>
      </c>
      <c r="AE22" s="65">
        <f t="shared" ref="AE22:AE40" si="22">IF($H22&gt;0,$H22,BX_Lnom)</f>
        <v>10</v>
      </c>
    </row>
    <row r="23" spans="1:31" x14ac:dyDescent="0.3">
      <c r="A23" s="71" t="s">
        <v>1477</v>
      </c>
      <c r="B23" s="72" t="str">
        <f>'04_Box_Engine'!B7</f>
        <v>BC|2/2x2</v>
      </c>
      <c r="C23" s="73">
        <v>2</v>
      </c>
      <c r="D23" s="74">
        <v>2</v>
      </c>
      <c r="E23" s="74">
        <v>2</v>
      </c>
      <c r="F23" s="75">
        <f>'04_Box_Engine'!C7</f>
        <v>0</v>
      </c>
      <c r="G23" s="76">
        <f>'04_Box_Engine'!D7</f>
        <v>0</v>
      </c>
      <c r="H23" s="76">
        <f>'04_Box_Engine'!E7</f>
        <v>0</v>
      </c>
      <c r="I23" s="77">
        <f t="shared" si="0"/>
        <v>0.25</v>
      </c>
      <c r="J23" s="77">
        <f t="shared" si="1"/>
        <v>4.75</v>
      </c>
      <c r="K23" s="77">
        <f t="shared" si="2"/>
        <v>4.25</v>
      </c>
      <c r="L23" s="77">
        <f t="shared" si="3"/>
        <v>2.5</v>
      </c>
      <c r="M23" s="77">
        <f t="shared" si="4"/>
        <v>2.25</v>
      </c>
      <c r="N23" s="77">
        <f t="shared" si="5"/>
        <v>0.15</v>
      </c>
      <c r="O23" s="77">
        <f t="shared" si="6"/>
        <v>1.5</v>
      </c>
      <c r="P23" s="77">
        <f t="shared" si="7"/>
        <v>0.25</v>
      </c>
      <c r="Q23" s="77">
        <f t="shared" si="8"/>
        <v>6.25</v>
      </c>
      <c r="R23" s="77">
        <f t="shared" si="9"/>
        <v>4.75</v>
      </c>
      <c r="S23" s="77">
        <f t="shared" si="10"/>
        <v>0.2</v>
      </c>
      <c r="T23" s="77">
        <f t="shared" si="11"/>
        <v>0.45</v>
      </c>
      <c r="U23" s="77">
        <f t="shared" si="12"/>
        <v>0.6</v>
      </c>
      <c r="V23" s="77">
        <f t="shared" si="13"/>
        <v>0.3</v>
      </c>
      <c r="W23" s="77">
        <f t="shared" si="14"/>
        <v>3.7</v>
      </c>
      <c r="X23" s="77">
        <f t="shared" si="15"/>
        <v>2.2857864376269053</v>
      </c>
      <c r="Y23" s="77">
        <f t="shared" si="16"/>
        <v>2.9928932188134527</v>
      </c>
      <c r="Z23" s="77">
        <f t="shared" si="17"/>
        <v>2.1213203435596424</v>
      </c>
      <c r="AA23" s="77">
        <f t="shared" si="18"/>
        <v>1.4999999999999998</v>
      </c>
      <c r="AB23" s="77">
        <f t="shared" si="19"/>
        <v>0.31</v>
      </c>
      <c r="AC23" s="77">
        <f t="shared" si="20"/>
        <v>0.81400000000000006</v>
      </c>
      <c r="AD23" s="78">
        <f t="shared" si="21"/>
        <v>0.3</v>
      </c>
      <c r="AE23" s="65">
        <f t="shared" si="22"/>
        <v>10</v>
      </c>
    </row>
    <row r="24" spans="1:31" x14ac:dyDescent="0.3">
      <c r="A24" s="71" t="s">
        <v>1479</v>
      </c>
      <c r="B24" s="72" t="str">
        <f>'04_Box_Engine'!B8</f>
        <v>BC|3/2x2</v>
      </c>
      <c r="C24" s="73">
        <v>3</v>
      </c>
      <c r="D24" s="74">
        <v>2</v>
      </c>
      <c r="E24" s="74">
        <v>2</v>
      </c>
      <c r="F24" s="75">
        <f>'04_Box_Engine'!C8</f>
        <v>0</v>
      </c>
      <c r="G24" s="76">
        <f>'04_Box_Engine'!D8</f>
        <v>0</v>
      </c>
      <c r="H24" s="76">
        <f>'04_Box_Engine'!E8</f>
        <v>0</v>
      </c>
      <c r="I24" s="77">
        <f t="shared" si="0"/>
        <v>0.25</v>
      </c>
      <c r="J24" s="77">
        <f t="shared" si="1"/>
        <v>7</v>
      </c>
      <c r="K24" s="77">
        <f t="shared" si="2"/>
        <v>6.5</v>
      </c>
      <c r="L24" s="77">
        <f t="shared" si="3"/>
        <v>2.5</v>
      </c>
      <c r="M24" s="77">
        <f t="shared" si="4"/>
        <v>2.25</v>
      </c>
      <c r="N24" s="77">
        <f t="shared" si="5"/>
        <v>0.15</v>
      </c>
      <c r="O24" s="77">
        <f t="shared" si="6"/>
        <v>1.5</v>
      </c>
      <c r="P24" s="77">
        <f t="shared" si="7"/>
        <v>0.25</v>
      </c>
      <c r="Q24" s="77">
        <f t="shared" si="8"/>
        <v>8.5</v>
      </c>
      <c r="R24" s="77">
        <f t="shared" si="9"/>
        <v>7</v>
      </c>
      <c r="S24" s="77">
        <f t="shared" si="10"/>
        <v>0.2</v>
      </c>
      <c r="T24" s="77">
        <f t="shared" si="11"/>
        <v>0.45</v>
      </c>
      <c r="U24" s="77">
        <f t="shared" si="12"/>
        <v>0.6</v>
      </c>
      <c r="V24" s="77">
        <f t="shared" si="13"/>
        <v>0.3</v>
      </c>
      <c r="W24" s="77">
        <f t="shared" si="14"/>
        <v>3.7</v>
      </c>
      <c r="X24" s="77">
        <f t="shared" si="15"/>
        <v>2.2857864376269053</v>
      </c>
      <c r="Y24" s="77">
        <f t="shared" si="16"/>
        <v>2.9928932188134527</v>
      </c>
      <c r="Z24" s="77">
        <f t="shared" si="17"/>
        <v>2.1213203435596424</v>
      </c>
      <c r="AA24" s="77">
        <f t="shared" si="18"/>
        <v>1.4999999999999998</v>
      </c>
      <c r="AB24" s="77">
        <f t="shared" si="19"/>
        <v>0.31</v>
      </c>
      <c r="AC24" s="77">
        <f t="shared" si="20"/>
        <v>0.81400000000000006</v>
      </c>
      <c r="AD24" s="78">
        <f t="shared" si="21"/>
        <v>0.3</v>
      </c>
      <c r="AE24" s="65">
        <f t="shared" si="22"/>
        <v>10</v>
      </c>
    </row>
    <row r="25" spans="1:31" x14ac:dyDescent="0.3">
      <c r="A25" s="71" t="s">
        <v>1481</v>
      </c>
      <c r="B25" s="72" t="str">
        <f>'04_Box_Engine'!B9</f>
        <v>BC|4/2x2</v>
      </c>
      <c r="C25" s="73">
        <v>4</v>
      </c>
      <c r="D25" s="74">
        <v>2</v>
      </c>
      <c r="E25" s="74">
        <v>2</v>
      </c>
      <c r="F25" s="75">
        <f>'04_Box_Engine'!C9</f>
        <v>0</v>
      </c>
      <c r="G25" s="76">
        <f>'04_Box_Engine'!D9</f>
        <v>0</v>
      </c>
      <c r="H25" s="76">
        <f>'04_Box_Engine'!E9</f>
        <v>0</v>
      </c>
      <c r="I25" s="77">
        <f t="shared" si="0"/>
        <v>0.25</v>
      </c>
      <c r="J25" s="77">
        <f t="shared" si="1"/>
        <v>9.25</v>
      </c>
      <c r="K25" s="77">
        <f t="shared" si="2"/>
        <v>8.75</v>
      </c>
      <c r="L25" s="77">
        <f t="shared" si="3"/>
        <v>2.5</v>
      </c>
      <c r="M25" s="77">
        <f t="shared" si="4"/>
        <v>2.25</v>
      </c>
      <c r="N25" s="77">
        <f t="shared" si="5"/>
        <v>0.15</v>
      </c>
      <c r="O25" s="77">
        <f t="shared" si="6"/>
        <v>1.5</v>
      </c>
      <c r="P25" s="77">
        <f t="shared" si="7"/>
        <v>0.25</v>
      </c>
      <c r="Q25" s="77">
        <f t="shared" si="8"/>
        <v>10.75</v>
      </c>
      <c r="R25" s="77">
        <f t="shared" si="9"/>
        <v>9.25</v>
      </c>
      <c r="S25" s="77">
        <f t="shared" si="10"/>
        <v>0.2</v>
      </c>
      <c r="T25" s="77">
        <f t="shared" si="11"/>
        <v>0.45</v>
      </c>
      <c r="U25" s="77">
        <f t="shared" si="12"/>
        <v>0.6</v>
      </c>
      <c r="V25" s="77">
        <f t="shared" si="13"/>
        <v>0.3</v>
      </c>
      <c r="W25" s="77">
        <f t="shared" si="14"/>
        <v>3.7</v>
      </c>
      <c r="X25" s="77">
        <f t="shared" si="15"/>
        <v>2.2857864376269053</v>
      </c>
      <c r="Y25" s="77">
        <f t="shared" si="16"/>
        <v>2.9928932188134527</v>
      </c>
      <c r="Z25" s="77">
        <f t="shared" si="17"/>
        <v>2.1213203435596424</v>
      </c>
      <c r="AA25" s="77">
        <f t="shared" si="18"/>
        <v>1.4999999999999998</v>
      </c>
      <c r="AB25" s="77">
        <f t="shared" si="19"/>
        <v>0.31</v>
      </c>
      <c r="AC25" s="77">
        <f t="shared" si="20"/>
        <v>0.81400000000000006</v>
      </c>
      <c r="AD25" s="78">
        <f t="shared" si="21"/>
        <v>0.3</v>
      </c>
      <c r="AE25" s="65">
        <f t="shared" si="22"/>
        <v>10</v>
      </c>
    </row>
    <row r="26" spans="1:31" x14ac:dyDescent="0.3">
      <c r="A26" s="71" t="s">
        <v>1483</v>
      </c>
      <c r="B26" s="72" t="str">
        <f>'04_Box_Engine'!B10</f>
        <v>BC|1/3x2</v>
      </c>
      <c r="C26" s="73">
        <v>1</v>
      </c>
      <c r="D26" s="74">
        <v>3</v>
      </c>
      <c r="E26" s="74">
        <v>2</v>
      </c>
      <c r="F26" s="75">
        <f>'04_Box_Engine'!C10</f>
        <v>0</v>
      </c>
      <c r="G26" s="76">
        <f>'04_Box_Engine'!D10</f>
        <v>0</v>
      </c>
      <c r="H26" s="76">
        <f>'04_Box_Engine'!E10</f>
        <v>0</v>
      </c>
      <c r="I26" s="77">
        <f t="shared" si="0"/>
        <v>0.25</v>
      </c>
      <c r="J26" s="77">
        <f t="shared" si="1"/>
        <v>3.5</v>
      </c>
      <c r="K26" s="77">
        <f t="shared" si="2"/>
        <v>3</v>
      </c>
      <c r="L26" s="77">
        <f t="shared" si="3"/>
        <v>2.5</v>
      </c>
      <c r="M26" s="77">
        <f t="shared" si="4"/>
        <v>2.25</v>
      </c>
      <c r="N26" s="77">
        <f t="shared" si="5"/>
        <v>0.15</v>
      </c>
      <c r="O26" s="77">
        <f t="shared" si="6"/>
        <v>1.5</v>
      </c>
      <c r="P26" s="77">
        <f t="shared" si="7"/>
        <v>0.25</v>
      </c>
      <c r="Q26" s="77">
        <f t="shared" si="8"/>
        <v>5</v>
      </c>
      <c r="R26" s="77">
        <f t="shared" si="9"/>
        <v>3.5</v>
      </c>
      <c r="S26" s="77">
        <f t="shared" si="10"/>
        <v>0.2</v>
      </c>
      <c r="T26" s="77">
        <f t="shared" si="11"/>
        <v>0.45</v>
      </c>
      <c r="U26" s="77">
        <f t="shared" si="12"/>
        <v>0.6</v>
      </c>
      <c r="V26" s="77">
        <f t="shared" si="13"/>
        <v>0.3</v>
      </c>
      <c r="W26" s="77">
        <f t="shared" si="14"/>
        <v>3.7</v>
      </c>
      <c r="X26" s="77">
        <f t="shared" si="15"/>
        <v>2.2857864376269053</v>
      </c>
      <c r="Y26" s="77">
        <f t="shared" si="16"/>
        <v>2.9928932188134527</v>
      </c>
      <c r="Z26" s="77">
        <f t="shared" si="17"/>
        <v>2.1213203435596424</v>
      </c>
      <c r="AA26" s="77">
        <f t="shared" si="18"/>
        <v>1.4999999999999998</v>
      </c>
      <c r="AB26" s="77">
        <f t="shared" si="19"/>
        <v>0.31</v>
      </c>
      <c r="AC26" s="77">
        <f t="shared" si="20"/>
        <v>0.81400000000000006</v>
      </c>
      <c r="AD26" s="78">
        <f t="shared" si="21"/>
        <v>0.3</v>
      </c>
      <c r="AE26" s="65">
        <f t="shared" si="22"/>
        <v>10</v>
      </c>
    </row>
    <row r="27" spans="1:31" x14ac:dyDescent="0.3">
      <c r="A27" s="71" t="s">
        <v>1485</v>
      </c>
      <c r="B27" s="72" t="str">
        <f>'04_Box_Engine'!B11</f>
        <v>BC|2/3x2</v>
      </c>
      <c r="C27" s="73">
        <v>2</v>
      </c>
      <c r="D27" s="74">
        <v>3</v>
      </c>
      <c r="E27" s="74">
        <v>2</v>
      </c>
      <c r="F27" s="75">
        <f>'04_Box_Engine'!C11</f>
        <v>0</v>
      </c>
      <c r="G27" s="76">
        <f>'04_Box_Engine'!D11</f>
        <v>0</v>
      </c>
      <c r="H27" s="76">
        <f>'04_Box_Engine'!E11</f>
        <v>0</v>
      </c>
      <c r="I27" s="77">
        <f t="shared" si="0"/>
        <v>0.25</v>
      </c>
      <c r="J27" s="77">
        <f t="shared" si="1"/>
        <v>6.75</v>
      </c>
      <c r="K27" s="77">
        <f t="shared" si="2"/>
        <v>6.25</v>
      </c>
      <c r="L27" s="77">
        <f t="shared" si="3"/>
        <v>2.5</v>
      </c>
      <c r="M27" s="77">
        <f t="shared" si="4"/>
        <v>2.25</v>
      </c>
      <c r="N27" s="77">
        <f t="shared" si="5"/>
        <v>0.15</v>
      </c>
      <c r="O27" s="77">
        <f t="shared" si="6"/>
        <v>1.5</v>
      </c>
      <c r="P27" s="77">
        <f t="shared" si="7"/>
        <v>0.25</v>
      </c>
      <c r="Q27" s="77">
        <f t="shared" si="8"/>
        <v>8.25</v>
      </c>
      <c r="R27" s="77">
        <f t="shared" si="9"/>
        <v>6.75</v>
      </c>
      <c r="S27" s="77">
        <f t="shared" si="10"/>
        <v>0.2</v>
      </c>
      <c r="T27" s="77">
        <f t="shared" si="11"/>
        <v>0.45</v>
      </c>
      <c r="U27" s="77">
        <f t="shared" si="12"/>
        <v>0.6</v>
      </c>
      <c r="V27" s="77">
        <f t="shared" si="13"/>
        <v>0.3</v>
      </c>
      <c r="W27" s="77">
        <f t="shared" si="14"/>
        <v>3.7</v>
      </c>
      <c r="X27" s="77">
        <f t="shared" si="15"/>
        <v>2.2857864376269053</v>
      </c>
      <c r="Y27" s="77">
        <f t="shared" si="16"/>
        <v>2.9928932188134527</v>
      </c>
      <c r="Z27" s="77">
        <f t="shared" si="17"/>
        <v>2.1213203435596424</v>
      </c>
      <c r="AA27" s="77">
        <f t="shared" si="18"/>
        <v>1.4999999999999998</v>
      </c>
      <c r="AB27" s="77">
        <f t="shared" si="19"/>
        <v>0.31</v>
      </c>
      <c r="AC27" s="77">
        <f t="shared" si="20"/>
        <v>0.81400000000000006</v>
      </c>
      <c r="AD27" s="78">
        <f t="shared" si="21"/>
        <v>0.3</v>
      </c>
      <c r="AE27" s="65">
        <f t="shared" si="22"/>
        <v>10</v>
      </c>
    </row>
    <row r="28" spans="1:31" x14ac:dyDescent="0.3">
      <c r="A28" s="71" t="s">
        <v>1487</v>
      </c>
      <c r="B28" s="72" t="str">
        <f>'04_Box_Engine'!B12</f>
        <v>BC|3/3x2</v>
      </c>
      <c r="C28" s="73">
        <v>3</v>
      </c>
      <c r="D28" s="74">
        <v>3</v>
      </c>
      <c r="E28" s="74">
        <v>2</v>
      </c>
      <c r="F28" s="75">
        <f>'04_Box_Engine'!C12</f>
        <v>0</v>
      </c>
      <c r="G28" s="76">
        <f>'04_Box_Engine'!D12</f>
        <v>0</v>
      </c>
      <c r="H28" s="76">
        <f>'04_Box_Engine'!E12</f>
        <v>0</v>
      </c>
      <c r="I28" s="77">
        <f t="shared" si="0"/>
        <v>0.25</v>
      </c>
      <c r="J28" s="77">
        <f t="shared" si="1"/>
        <v>10</v>
      </c>
      <c r="K28" s="77">
        <f t="shared" si="2"/>
        <v>9.5</v>
      </c>
      <c r="L28" s="77">
        <f t="shared" si="3"/>
        <v>2.5</v>
      </c>
      <c r="M28" s="77">
        <f t="shared" si="4"/>
        <v>2.25</v>
      </c>
      <c r="N28" s="77">
        <f t="shared" si="5"/>
        <v>0.15</v>
      </c>
      <c r="O28" s="77">
        <f t="shared" si="6"/>
        <v>1.5</v>
      </c>
      <c r="P28" s="77">
        <f t="shared" si="7"/>
        <v>0.25</v>
      </c>
      <c r="Q28" s="77">
        <f t="shared" si="8"/>
        <v>11.5</v>
      </c>
      <c r="R28" s="77">
        <f t="shared" si="9"/>
        <v>10</v>
      </c>
      <c r="S28" s="77">
        <f t="shared" si="10"/>
        <v>0.2</v>
      </c>
      <c r="T28" s="77">
        <f t="shared" si="11"/>
        <v>0.45</v>
      </c>
      <c r="U28" s="77">
        <f t="shared" si="12"/>
        <v>0.6</v>
      </c>
      <c r="V28" s="77">
        <f t="shared" si="13"/>
        <v>0.3</v>
      </c>
      <c r="W28" s="77">
        <f t="shared" si="14"/>
        <v>3.7</v>
      </c>
      <c r="X28" s="77">
        <f t="shared" si="15"/>
        <v>2.2857864376269053</v>
      </c>
      <c r="Y28" s="77">
        <f t="shared" si="16"/>
        <v>2.9928932188134527</v>
      </c>
      <c r="Z28" s="77">
        <f t="shared" si="17"/>
        <v>2.1213203435596424</v>
      </c>
      <c r="AA28" s="77">
        <f t="shared" si="18"/>
        <v>1.4999999999999998</v>
      </c>
      <c r="AB28" s="77">
        <f t="shared" si="19"/>
        <v>0.31</v>
      </c>
      <c r="AC28" s="77">
        <f t="shared" si="20"/>
        <v>0.81400000000000006</v>
      </c>
      <c r="AD28" s="78">
        <f t="shared" si="21"/>
        <v>0.3</v>
      </c>
      <c r="AE28" s="65">
        <f t="shared" si="22"/>
        <v>10</v>
      </c>
    </row>
    <row r="29" spans="1:31" x14ac:dyDescent="0.3">
      <c r="A29" s="71" t="s">
        <v>1489</v>
      </c>
      <c r="B29" s="72" t="str">
        <f>'04_Box_Engine'!B13</f>
        <v>BC|1/3x3</v>
      </c>
      <c r="C29" s="73">
        <v>1</v>
      </c>
      <c r="D29" s="74">
        <v>3</v>
      </c>
      <c r="E29" s="74">
        <v>3</v>
      </c>
      <c r="F29" s="75">
        <f>'04_Box_Engine'!C13</f>
        <v>0</v>
      </c>
      <c r="G29" s="76">
        <f>'04_Box_Engine'!D13</f>
        <v>0</v>
      </c>
      <c r="H29" s="76">
        <f>'04_Box_Engine'!E13</f>
        <v>0</v>
      </c>
      <c r="I29" s="77">
        <f t="shared" si="0"/>
        <v>0.25</v>
      </c>
      <c r="J29" s="77">
        <f t="shared" si="1"/>
        <v>3.5</v>
      </c>
      <c r="K29" s="77">
        <f t="shared" si="2"/>
        <v>3</v>
      </c>
      <c r="L29" s="77">
        <f t="shared" si="3"/>
        <v>3.5</v>
      </c>
      <c r="M29" s="77">
        <f t="shared" si="4"/>
        <v>3.25</v>
      </c>
      <c r="N29" s="77">
        <f t="shared" si="5"/>
        <v>0.15</v>
      </c>
      <c r="O29" s="77">
        <f t="shared" si="6"/>
        <v>1.5</v>
      </c>
      <c r="P29" s="77">
        <f t="shared" si="7"/>
        <v>0.25</v>
      </c>
      <c r="Q29" s="77">
        <f t="shared" si="8"/>
        <v>5</v>
      </c>
      <c r="R29" s="77">
        <f t="shared" si="9"/>
        <v>3.5</v>
      </c>
      <c r="S29" s="77">
        <f t="shared" si="10"/>
        <v>0.2</v>
      </c>
      <c r="T29" s="77">
        <f t="shared" si="11"/>
        <v>0.45</v>
      </c>
      <c r="U29" s="77">
        <f t="shared" si="12"/>
        <v>0.6</v>
      </c>
      <c r="V29" s="77">
        <f t="shared" si="13"/>
        <v>0.3</v>
      </c>
      <c r="W29" s="77">
        <f t="shared" si="14"/>
        <v>4.6999999999999993</v>
      </c>
      <c r="X29" s="77">
        <f t="shared" si="15"/>
        <v>3.2857864376269044</v>
      </c>
      <c r="Y29" s="77">
        <f t="shared" si="16"/>
        <v>3.9928932188134518</v>
      </c>
      <c r="Z29" s="77">
        <f t="shared" si="17"/>
        <v>2.1213203435596424</v>
      </c>
      <c r="AA29" s="77">
        <f t="shared" si="18"/>
        <v>1.4999999999999998</v>
      </c>
      <c r="AB29" s="77">
        <f t="shared" si="19"/>
        <v>0.39</v>
      </c>
      <c r="AC29" s="77">
        <f t="shared" si="20"/>
        <v>0.9</v>
      </c>
      <c r="AD29" s="78">
        <f t="shared" si="21"/>
        <v>0.3</v>
      </c>
      <c r="AE29" s="65">
        <f t="shared" si="22"/>
        <v>10</v>
      </c>
    </row>
    <row r="30" spans="1:31" x14ac:dyDescent="0.3">
      <c r="A30" s="71" t="s">
        <v>1491</v>
      </c>
      <c r="B30" s="72" t="str">
        <f>'04_Box_Engine'!B14</f>
        <v>BC|2/3x3</v>
      </c>
      <c r="C30" s="73">
        <v>2</v>
      </c>
      <c r="D30" s="74">
        <v>3</v>
      </c>
      <c r="E30" s="74">
        <v>3</v>
      </c>
      <c r="F30" s="75">
        <f>'04_Box_Engine'!C14</f>
        <v>0</v>
      </c>
      <c r="G30" s="76">
        <f>'04_Box_Engine'!D14</f>
        <v>0</v>
      </c>
      <c r="H30" s="76">
        <f>'04_Box_Engine'!E14</f>
        <v>0</v>
      </c>
      <c r="I30" s="77">
        <f t="shared" si="0"/>
        <v>0.25</v>
      </c>
      <c r="J30" s="77">
        <f t="shared" si="1"/>
        <v>6.75</v>
      </c>
      <c r="K30" s="77">
        <f t="shared" si="2"/>
        <v>6.25</v>
      </c>
      <c r="L30" s="77">
        <f t="shared" si="3"/>
        <v>3.5</v>
      </c>
      <c r="M30" s="77">
        <f t="shared" si="4"/>
        <v>3.25</v>
      </c>
      <c r="N30" s="77">
        <f t="shared" si="5"/>
        <v>0.15</v>
      </c>
      <c r="O30" s="77">
        <f t="shared" si="6"/>
        <v>1.5</v>
      </c>
      <c r="P30" s="77">
        <f t="shared" si="7"/>
        <v>0.25</v>
      </c>
      <c r="Q30" s="77">
        <f t="shared" si="8"/>
        <v>8.25</v>
      </c>
      <c r="R30" s="77">
        <f t="shared" si="9"/>
        <v>6.75</v>
      </c>
      <c r="S30" s="77">
        <f t="shared" si="10"/>
        <v>0.2</v>
      </c>
      <c r="T30" s="77">
        <f t="shared" si="11"/>
        <v>0.45</v>
      </c>
      <c r="U30" s="77">
        <f t="shared" si="12"/>
        <v>0.6</v>
      </c>
      <c r="V30" s="77">
        <f t="shared" si="13"/>
        <v>0.3</v>
      </c>
      <c r="W30" s="77">
        <f t="shared" si="14"/>
        <v>4.6999999999999993</v>
      </c>
      <c r="X30" s="77">
        <f t="shared" si="15"/>
        <v>3.2857864376269044</v>
      </c>
      <c r="Y30" s="77">
        <f t="shared" si="16"/>
        <v>3.9928932188134518</v>
      </c>
      <c r="Z30" s="77">
        <f t="shared" si="17"/>
        <v>2.1213203435596424</v>
      </c>
      <c r="AA30" s="77">
        <f t="shared" si="18"/>
        <v>1.4999999999999998</v>
      </c>
      <c r="AB30" s="77">
        <f t="shared" si="19"/>
        <v>0.39</v>
      </c>
      <c r="AC30" s="77">
        <f t="shared" si="20"/>
        <v>0.9</v>
      </c>
      <c r="AD30" s="78">
        <f t="shared" si="21"/>
        <v>0.3</v>
      </c>
      <c r="AE30" s="65">
        <f t="shared" si="22"/>
        <v>10</v>
      </c>
    </row>
    <row r="31" spans="1:31" x14ac:dyDescent="0.3">
      <c r="A31" s="71" t="s">
        <v>1493</v>
      </c>
      <c r="B31" s="72" t="str">
        <f>'04_Box_Engine'!B15</f>
        <v>BC|3/3x3</v>
      </c>
      <c r="C31" s="73">
        <v>3</v>
      </c>
      <c r="D31" s="74">
        <v>3</v>
      </c>
      <c r="E31" s="74">
        <v>3</v>
      </c>
      <c r="F31" s="75">
        <f>'04_Box_Engine'!C15</f>
        <v>0</v>
      </c>
      <c r="G31" s="76">
        <f>'04_Box_Engine'!D15</f>
        <v>0</v>
      </c>
      <c r="H31" s="76">
        <f>'04_Box_Engine'!E15</f>
        <v>0</v>
      </c>
      <c r="I31" s="77">
        <f t="shared" si="0"/>
        <v>0.25</v>
      </c>
      <c r="J31" s="77">
        <f t="shared" si="1"/>
        <v>10</v>
      </c>
      <c r="K31" s="77">
        <f t="shared" si="2"/>
        <v>9.5</v>
      </c>
      <c r="L31" s="77">
        <f t="shared" si="3"/>
        <v>3.5</v>
      </c>
      <c r="M31" s="77">
        <f t="shared" si="4"/>
        <v>3.25</v>
      </c>
      <c r="N31" s="77">
        <f t="shared" si="5"/>
        <v>0.15</v>
      </c>
      <c r="O31" s="77">
        <f t="shared" si="6"/>
        <v>1.5</v>
      </c>
      <c r="P31" s="77">
        <f t="shared" si="7"/>
        <v>0.25</v>
      </c>
      <c r="Q31" s="77">
        <f t="shared" si="8"/>
        <v>11.5</v>
      </c>
      <c r="R31" s="77">
        <f t="shared" si="9"/>
        <v>10</v>
      </c>
      <c r="S31" s="77">
        <f t="shared" si="10"/>
        <v>0.2</v>
      </c>
      <c r="T31" s="77">
        <f t="shared" si="11"/>
        <v>0.45</v>
      </c>
      <c r="U31" s="77">
        <f t="shared" si="12"/>
        <v>0.6</v>
      </c>
      <c r="V31" s="77">
        <f t="shared" si="13"/>
        <v>0.3</v>
      </c>
      <c r="W31" s="77">
        <f t="shared" si="14"/>
        <v>4.6999999999999993</v>
      </c>
      <c r="X31" s="77">
        <f t="shared" si="15"/>
        <v>3.2857864376269044</v>
      </c>
      <c r="Y31" s="77">
        <f t="shared" si="16"/>
        <v>3.9928932188134518</v>
      </c>
      <c r="Z31" s="77">
        <f t="shared" si="17"/>
        <v>2.1213203435596424</v>
      </c>
      <c r="AA31" s="77">
        <f t="shared" si="18"/>
        <v>1.4999999999999998</v>
      </c>
      <c r="AB31" s="77">
        <f t="shared" si="19"/>
        <v>0.39</v>
      </c>
      <c r="AC31" s="77">
        <f t="shared" si="20"/>
        <v>0.9</v>
      </c>
      <c r="AD31" s="78">
        <f t="shared" si="21"/>
        <v>0.3</v>
      </c>
      <c r="AE31" s="65">
        <f t="shared" si="22"/>
        <v>10</v>
      </c>
    </row>
    <row r="32" spans="1:31" x14ac:dyDescent="0.3">
      <c r="A32" s="71" t="s">
        <v>1495</v>
      </c>
      <c r="B32" s="72" t="str">
        <f>'04_Box_Engine'!B16</f>
        <v>BC|4/3x3</v>
      </c>
      <c r="C32" s="73">
        <v>4</v>
      </c>
      <c r="D32" s="74">
        <v>3</v>
      </c>
      <c r="E32" s="74">
        <v>3</v>
      </c>
      <c r="F32" s="75">
        <f>'04_Box_Engine'!C16</f>
        <v>0</v>
      </c>
      <c r="G32" s="76">
        <f>'04_Box_Engine'!D16</f>
        <v>0</v>
      </c>
      <c r="H32" s="76">
        <f>'04_Box_Engine'!E16</f>
        <v>0</v>
      </c>
      <c r="I32" s="77">
        <f t="shared" si="0"/>
        <v>0.25</v>
      </c>
      <c r="J32" s="77">
        <f t="shared" si="1"/>
        <v>13.25</v>
      </c>
      <c r="K32" s="77">
        <f t="shared" si="2"/>
        <v>12.75</v>
      </c>
      <c r="L32" s="77">
        <f t="shared" si="3"/>
        <v>3.5</v>
      </c>
      <c r="M32" s="77">
        <f t="shared" si="4"/>
        <v>3.25</v>
      </c>
      <c r="N32" s="77">
        <f t="shared" si="5"/>
        <v>0.15</v>
      </c>
      <c r="O32" s="77">
        <f t="shared" si="6"/>
        <v>1.5</v>
      </c>
      <c r="P32" s="77">
        <f t="shared" si="7"/>
        <v>0.25</v>
      </c>
      <c r="Q32" s="77">
        <f t="shared" si="8"/>
        <v>14.75</v>
      </c>
      <c r="R32" s="77">
        <f t="shared" si="9"/>
        <v>13.25</v>
      </c>
      <c r="S32" s="77">
        <f t="shared" si="10"/>
        <v>0.2</v>
      </c>
      <c r="T32" s="77">
        <f t="shared" si="11"/>
        <v>0.45</v>
      </c>
      <c r="U32" s="77">
        <f t="shared" si="12"/>
        <v>0.6</v>
      </c>
      <c r="V32" s="77">
        <f t="shared" si="13"/>
        <v>0.3</v>
      </c>
      <c r="W32" s="77">
        <f t="shared" si="14"/>
        <v>4.6999999999999993</v>
      </c>
      <c r="X32" s="77">
        <f t="shared" si="15"/>
        <v>3.2857864376269044</v>
      </c>
      <c r="Y32" s="77">
        <f t="shared" si="16"/>
        <v>3.9928932188134518</v>
      </c>
      <c r="Z32" s="77">
        <f t="shared" si="17"/>
        <v>2.1213203435596424</v>
      </c>
      <c r="AA32" s="77">
        <f t="shared" si="18"/>
        <v>1.4999999999999998</v>
      </c>
      <c r="AB32" s="77">
        <f t="shared" si="19"/>
        <v>0.39</v>
      </c>
      <c r="AC32" s="77">
        <f t="shared" si="20"/>
        <v>0.9</v>
      </c>
      <c r="AD32" s="78">
        <f t="shared" si="21"/>
        <v>0.3</v>
      </c>
      <c r="AE32" s="65">
        <f t="shared" si="22"/>
        <v>10</v>
      </c>
    </row>
    <row r="33" spans="1:31" x14ac:dyDescent="0.3">
      <c r="A33" s="71" t="s">
        <v>1497</v>
      </c>
      <c r="B33" s="72" t="str">
        <f>'04_Box_Engine'!B17</f>
        <v>BC|1/4x3</v>
      </c>
      <c r="C33" s="73">
        <v>1</v>
      </c>
      <c r="D33" s="74">
        <v>4</v>
      </c>
      <c r="E33" s="74">
        <v>3</v>
      </c>
      <c r="F33" s="75">
        <f>'04_Box_Engine'!C17</f>
        <v>0</v>
      </c>
      <c r="G33" s="76">
        <f>'04_Box_Engine'!D17</f>
        <v>0</v>
      </c>
      <c r="H33" s="76">
        <f>'04_Box_Engine'!E17</f>
        <v>0</v>
      </c>
      <c r="I33" s="77">
        <f t="shared" si="0"/>
        <v>0.35000000000000003</v>
      </c>
      <c r="J33" s="77">
        <f t="shared" si="1"/>
        <v>4.7</v>
      </c>
      <c r="K33" s="77">
        <f t="shared" si="2"/>
        <v>4</v>
      </c>
      <c r="L33" s="77">
        <f t="shared" si="3"/>
        <v>3.7</v>
      </c>
      <c r="M33" s="77">
        <f t="shared" si="4"/>
        <v>3.35</v>
      </c>
      <c r="N33" s="77">
        <f t="shared" si="5"/>
        <v>0.15</v>
      </c>
      <c r="O33" s="77">
        <f t="shared" si="6"/>
        <v>1.5</v>
      </c>
      <c r="P33" s="77">
        <f t="shared" si="7"/>
        <v>0.35000000000000003</v>
      </c>
      <c r="Q33" s="77">
        <f t="shared" si="8"/>
        <v>6.2</v>
      </c>
      <c r="R33" s="77">
        <f t="shared" si="9"/>
        <v>4.7</v>
      </c>
      <c r="S33" s="77">
        <f t="shared" si="10"/>
        <v>0.2</v>
      </c>
      <c r="T33" s="77">
        <f t="shared" si="11"/>
        <v>0.45</v>
      </c>
      <c r="U33" s="77">
        <f t="shared" si="12"/>
        <v>0.6</v>
      </c>
      <c r="V33" s="77">
        <f t="shared" si="13"/>
        <v>0.35000000000000003</v>
      </c>
      <c r="W33" s="77">
        <f t="shared" si="14"/>
        <v>4.8999999999999995</v>
      </c>
      <c r="X33" s="77">
        <f t="shared" si="15"/>
        <v>3.4857864376269045</v>
      </c>
      <c r="Y33" s="77">
        <f t="shared" si="16"/>
        <v>4.1928932188134524</v>
      </c>
      <c r="Z33" s="77">
        <f t="shared" si="17"/>
        <v>2.1213203435596424</v>
      </c>
      <c r="AA33" s="77">
        <f t="shared" si="18"/>
        <v>1.4999999999999998</v>
      </c>
      <c r="AB33" s="77">
        <f t="shared" si="19"/>
        <v>0.41</v>
      </c>
      <c r="AC33" s="77">
        <f t="shared" si="20"/>
        <v>0.9</v>
      </c>
      <c r="AD33" s="78">
        <f t="shared" si="21"/>
        <v>0.35000000000000003</v>
      </c>
      <c r="AE33" s="65">
        <f t="shared" si="22"/>
        <v>10</v>
      </c>
    </row>
    <row r="34" spans="1:31" x14ac:dyDescent="0.3">
      <c r="A34" s="71" t="s">
        <v>1499</v>
      </c>
      <c r="B34" s="72" t="str">
        <f>'04_Box_Engine'!B18</f>
        <v>BC|2/4x3</v>
      </c>
      <c r="C34" s="73">
        <v>2</v>
      </c>
      <c r="D34" s="74">
        <v>4</v>
      </c>
      <c r="E34" s="74">
        <v>3</v>
      </c>
      <c r="F34" s="75">
        <f>'04_Box_Engine'!C18</f>
        <v>0</v>
      </c>
      <c r="G34" s="76">
        <f>'04_Box_Engine'!D18</f>
        <v>0</v>
      </c>
      <c r="H34" s="76">
        <f>'04_Box_Engine'!E18</f>
        <v>0</v>
      </c>
      <c r="I34" s="77">
        <f t="shared" si="0"/>
        <v>0.35000000000000003</v>
      </c>
      <c r="J34" s="77">
        <f t="shared" si="1"/>
        <v>9.0500000000000007</v>
      </c>
      <c r="K34" s="77">
        <f t="shared" si="2"/>
        <v>8.35</v>
      </c>
      <c r="L34" s="77">
        <f t="shared" si="3"/>
        <v>3.7</v>
      </c>
      <c r="M34" s="77">
        <f t="shared" si="4"/>
        <v>3.35</v>
      </c>
      <c r="N34" s="77">
        <f t="shared" si="5"/>
        <v>0.15</v>
      </c>
      <c r="O34" s="77">
        <f t="shared" si="6"/>
        <v>1.5</v>
      </c>
      <c r="P34" s="77">
        <f t="shared" si="7"/>
        <v>0.35000000000000003</v>
      </c>
      <c r="Q34" s="77">
        <f t="shared" si="8"/>
        <v>10.55</v>
      </c>
      <c r="R34" s="77">
        <f t="shared" si="9"/>
        <v>9.0500000000000007</v>
      </c>
      <c r="S34" s="77">
        <f t="shared" si="10"/>
        <v>0.2</v>
      </c>
      <c r="T34" s="77">
        <f t="shared" si="11"/>
        <v>0.45</v>
      </c>
      <c r="U34" s="77">
        <f t="shared" si="12"/>
        <v>0.6</v>
      </c>
      <c r="V34" s="77">
        <f t="shared" si="13"/>
        <v>0.35000000000000003</v>
      </c>
      <c r="W34" s="77">
        <f t="shared" si="14"/>
        <v>4.8999999999999995</v>
      </c>
      <c r="X34" s="77">
        <f t="shared" si="15"/>
        <v>3.4857864376269045</v>
      </c>
      <c r="Y34" s="77">
        <f t="shared" si="16"/>
        <v>4.1928932188134524</v>
      </c>
      <c r="Z34" s="77">
        <f t="shared" si="17"/>
        <v>2.1213203435596424</v>
      </c>
      <c r="AA34" s="77">
        <f t="shared" si="18"/>
        <v>1.4999999999999998</v>
      </c>
      <c r="AB34" s="77">
        <f t="shared" si="19"/>
        <v>0.41</v>
      </c>
      <c r="AC34" s="77">
        <f t="shared" si="20"/>
        <v>0.9</v>
      </c>
      <c r="AD34" s="78">
        <f t="shared" si="21"/>
        <v>0.35000000000000003</v>
      </c>
      <c r="AE34" s="65">
        <f t="shared" si="22"/>
        <v>10</v>
      </c>
    </row>
    <row r="35" spans="1:31" x14ac:dyDescent="0.3">
      <c r="A35" s="71" t="s">
        <v>1501</v>
      </c>
      <c r="B35" s="72" t="str">
        <f>'04_Box_Engine'!B19</f>
        <v>BC|3/4x3</v>
      </c>
      <c r="C35" s="73">
        <v>3</v>
      </c>
      <c r="D35" s="74">
        <v>4</v>
      </c>
      <c r="E35" s="74">
        <v>3</v>
      </c>
      <c r="F35" s="75">
        <f>'04_Box_Engine'!C19</f>
        <v>0</v>
      </c>
      <c r="G35" s="76">
        <f>'04_Box_Engine'!D19</f>
        <v>0</v>
      </c>
      <c r="H35" s="76">
        <f>'04_Box_Engine'!E19</f>
        <v>0</v>
      </c>
      <c r="I35" s="77">
        <f t="shared" si="0"/>
        <v>0.35000000000000003</v>
      </c>
      <c r="J35" s="77">
        <f t="shared" si="1"/>
        <v>13.4</v>
      </c>
      <c r="K35" s="77">
        <f t="shared" si="2"/>
        <v>12.7</v>
      </c>
      <c r="L35" s="77">
        <f t="shared" si="3"/>
        <v>3.7</v>
      </c>
      <c r="M35" s="77">
        <f t="shared" si="4"/>
        <v>3.35</v>
      </c>
      <c r="N35" s="77">
        <f t="shared" si="5"/>
        <v>0.15</v>
      </c>
      <c r="O35" s="77">
        <f t="shared" si="6"/>
        <v>1.5</v>
      </c>
      <c r="P35" s="77">
        <f t="shared" si="7"/>
        <v>0.35000000000000003</v>
      </c>
      <c r="Q35" s="77">
        <f t="shared" si="8"/>
        <v>14.9</v>
      </c>
      <c r="R35" s="77">
        <f t="shared" si="9"/>
        <v>13.4</v>
      </c>
      <c r="S35" s="77">
        <f t="shared" si="10"/>
        <v>0.2</v>
      </c>
      <c r="T35" s="77">
        <f t="shared" si="11"/>
        <v>0.45</v>
      </c>
      <c r="U35" s="77">
        <f t="shared" si="12"/>
        <v>0.6</v>
      </c>
      <c r="V35" s="77">
        <f t="shared" si="13"/>
        <v>0.35000000000000003</v>
      </c>
      <c r="W35" s="77">
        <f t="shared" si="14"/>
        <v>4.8999999999999995</v>
      </c>
      <c r="X35" s="77">
        <f t="shared" si="15"/>
        <v>3.4857864376269045</v>
      </c>
      <c r="Y35" s="77">
        <f t="shared" si="16"/>
        <v>4.1928932188134524</v>
      </c>
      <c r="Z35" s="77">
        <f t="shared" si="17"/>
        <v>2.1213203435596424</v>
      </c>
      <c r="AA35" s="77">
        <f t="shared" si="18"/>
        <v>1.4999999999999998</v>
      </c>
      <c r="AB35" s="77">
        <f t="shared" si="19"/>
        <v>0.41</v>
      </c>
      <c r="AC35" s="77">
        <f t="shared" si="20"/>
        <v>0.9</v>
      </c>
      <c r="AD35" s="78">
        <f t="shared" si="21"/>
        <v>0.35000000000000003</v>
      </c>
      <c r="AE35" s="65">
        <f t="shared" si="22"/>
        <v>10</v>
      </c>
    </row>
    <row r="36" spans="1:31" x14ac:dyDescent="0.3">
      <c r="A36" s="71" t="s">
        <v>1503</v>
      </c>
      <c r="B36" s="72" t="str">
        <f>'04_Box_Engine'!B20</f>
        <v>BC|1/4x4</v>
      </c>
      <c r="C36" s="73">
        <v>1</v>
      </c>
      <c r="D36" s="74">
        <v>4</v>
      </c>
      <c r="E36" s="74">
        <v>4</v>
      </c>
      <c r="F36" s="75">
        <f>'04_Box_Engine'!C20</f>
        <v>0</v>
      </c>
      <c r="G36" s="76">
        <f>'04_Box_Engine'!D20</f>
        <v>0</v>
      </c>
      <c r="H36" s="76">
        <f>'04_Box_Engine'!E20</f>
        <v>0</v>
      </c>
      <c r="I36" s="77">
        <f t="shared" si="0"/>
        <v>0.35000000000000003</v>
      </c>
      <c r="J36" s="77">
        <f t="shared" si="1"/>
        <v>4.7</v>
      </c>
      <c r="K36" s="77">
        <f t="shared" si="2"/>
        <v>4</v>
      </c>
      <c r="L36" s="77">
        <f t="shared" si="3"/>
        <v>4.7</v>
      </c>
      <c r="M36" s="77">
        <f t="shared" si="4"/>
        <v>4.3499999999999996</v>
      </c>
      <c r="N36" s="77">
        <f t="shared" si="5"/>
        <v>0.15</v>
      </c>
      <c r="O36" s="77">
        <f t="shared" si="6"/>
        <v>1.5</v>
      </c>
      <c r="P36" s="77">
        <f t="shared" si="7"/>
        <v>0.35000000000000003</v>
      </c>
      <c r="Q36" s="77">
        <f t="shared" si="8"/>
        <v>6.2</v>
      </c>
      <c r="R36" s="77">
        <f t="shared" si="9"/>
        <v>4.7</v>
      </c>
      <c r="S36" s="77">
        <f t="shared" si="10"/>
        <v>0.2</v>
      </c>
      <c r="T36" s="77">
        <f t="shared" si="11"/>
        <v>0.45</v>
      </c>
      <c r="U36" s="77">
        <f t="shared" si="12"/>
        <v>0.6</v>
      </c>
      <c r="V36" s="77">
        <f t="shared" si="13"/>
        <v>0.35000000000000003</v>
      </c>
      <c r="W36" s="77">
        <f t="shared" si="14"/>
        <v>5.8999999999999995</v>
      </c>
      <c r="X36" s="77">
        <f t="shared" si="15"/>
        <v>4.4857864376269045</v>
      </c>
      <c r="Y36" s="77">
        <f t="shared" si="16"/>
        <v>5.1928932188134524</v>
      </c>
      <c r="Z36" s="77">
        <f t="shared" si="17"/>
        <v>2.1213203435596424</v>
      </c>
      <c r="AA36" s="77">
        <f t="shared" si="18"/>
        <v>1.4999999999999998</v>
      </c>
      <c r="AB36" s="77">
        <f t="shared" si="19"/>
        <v>0.49</v>
      </c>
      <c r="AC36" s="77">
        <f t="shared" si="20"/>
        <v>0.9</v>
      </c>
      <c r="AD36" s="78">
        <f t="shared" si="21"/>
        <v>0.35000000000000003</v>
      </c>
      <c r="AE36" s="65">
        <f t="shared" si="22"/>
        <v>10</v>
      </c>
    </row>
    <row r="37" spans="1:31" x14ac:dyDescent="0.3">
      <c r="A37" s="71" t="s">
        <v>1505</v>
      </c>
      <c r="B37" s="72" t="str">
        <f>'04_Box_Engine'!B21</f>
        <v>BC|2/4x4</v>
      </c>
      <c r="C37" s="73">
        <v>2</v>
      </c>
      <c r="D37" s="74">
        <v>4</v>
      </c>
      <c r="E37" s="74">
        <v>4</v>
      </c>
      <c r="F37" s="75">
        <f>'04_Box_Engine'!C21</f>
        <v>0</v>
      </c>
      <c r="G37" s="76">
        <f>'04_Box_Engine'!D21</f>
        <v>0</v>
      </c>
      <c r="H37" s="76">
        <f>'04_Box_Engine'!E21</f>
        <v>0</v>
      </c>
      <c r="I37" s="77">
        <f t="shared" si="0"/>
        <v>0.35000000000000003</v>
      </c>
      <c r="J37" s="77">
        <f t="shared" si="1"/>
        <v>9.0500000000000007</v>
      </c>
      <c r="K37" s="77">
        <f t="shared" si="2"/>
        <v>8.35</v>
      </c>
      <c r="L37" s="77">
        <f t="shared" si="3"/>
        <v>4.7</v>
      </c>
      <c r="M37" s="77">
        <f t="shared" si="4"/>
        <v>4.3499999999999996</v>
      </c>
      <c r="N37" s="77">
        <f t="shared" si="5"/>
        <v>0.15</v>
      </c>
      <c r="O37" s="77">
        <f t="shared" si="6"/>
        <v>1.5</v>
      </c>
      <c r="P37" s="77">
        <f t="shared" si="7"/>
        <v>0.35000000000000003</v>
      </c>
      <c r="Q37" s="77">
        <f t="shared" si="8"/>
        <v>10.55</v>
      </c>
      <c r="R37" s="77">
        <f t="shared" si="9"/>
        <v>9.0500000000000007</v>
      </c>
      <c r="S37" s="77">
        <f t="shared" si="10"/>
        <v>0.2</v>
      </c>
      <c r="T37" s="77">
        <f t="shared" si="11"/>
        <v>0.45</v>
      </c>
      <c r="U37" s="77">
        <f t="shared" si="12"/>
        <v>0.6</v>
      </c>
      <c r="V37" s="77">
        <f t="shared" si="13"/>
        <v>0.35000000000000003</v>
      </c>
      <c r="W37" s="77">
        <f t="shared" si="14"/>
        <v>5.8999999999999995</v>
      </c>
      <c r="X37" s="77">
        <f t="shared" si="15"/>
        <v>4.4857864376269045</v>
      </c>
      <c r="Y37" s="77">
        <f t="shared" si="16"/>
        <v>5.1928932188134524</v>
      </c>
      <c r="Z37" s="77">
        <f t="shared" si="17"/>
        <v>2.1213203435596424</v>
      </c>
      <c r="AA37" s="77">
        <f t="shared" si="18"/>
        <v>1.4999999999999998</v>
      </c>
      <c r="AB37" s="77">
        <f t="shared" si="19"/>
        <v>0.49</v>
      </c>
      <c r="AC37" s="77">
        <f t="shared" si="20"/>
        <v>0.9</v>
      </c>
      <c r="AD37" s="78">
        <f t="shared" si="21"/>
        <v>0.35000000000000003</v>
      </c>
      <c r="AE37" s="65">
        <f t="shared" si="22"/>
        <v>10</v>
      </c>
    </row>
    <row r="38" spans="1:31" x14ac:dyDescent="0.3">
      <c r="A38" s="71" t="s">
        <v>1507</v>
      </c>
      <c r="B38" s="72" t="str">
        <f>'04_Box_Engine'!B22</f>
        <v>BC|3/4x4</v>
      </c>
      <c r="C38" s="73">
        <v>3</v>
      </c>
      <c r="D38" s="74">
        <v>4</v>
      </c>
      <c r="E38" s="74">
        <v>4</v>
      </c>
      <c r="F38" s="75">
        <f>'04_Box_Engine'!C22</f>
        <v>0</v>
      </c>
      <c r="G38" s="76">
        <f>'04_Box_Engine'!D22</f>
        <v>0</v>
      </c>
      <c r="H38" s="76">
        <f>'04_Box_Engine'!E22</f>
        <v>0</v>
      </c>
      <c r="I38" s="77">
        <f t="shared" si="0"/>
        <v>0.35000000000000003</v>
      </c>
      <c r="J38" s="77">
        <f t="shared" si="1"/>
        <v>13.4</v>
      </c>
      <c r="K38" s="77">
        <f t="shared" si="2"/>
        <v>12.7</v>
      </c>
      <c r="L38" s="77">
        <f t="shared" si="3"/>
        <v>4.7</v>
      </c>
      <c r="M38" s="77">
        <f t="shared" si="4"/>
        <v>4.3499999999999996</v>
      </c>
      <c r="N38" s="77">
        <f t="shared" si="5"/>
        <v>0.15</v>
      </c>
      <c r="O38" s="77">
        <f t="shared" si="6"/>
        <v>1.5</v>
      </c>
      <c r="P38" s="77">
        <f t="shared" si="7"/>
        <v>0.35000000000000003</v>
      </c>
      <c r="Q38" s="77">
        <f t="shared" si="8"/>
        <v>14.9</v>
      </c>
      <c r="R38" s="77">
        <f t="shared" si="9"/>
        <v>13.4</v>
      </c>
      <c r="S38" s="77">
        <f t="shared" si="10"/>
        <v>0.2</v>
      </c>
      <c r="T38" s="77">
        <f t="shared" si="11"/>
        <v>0.45</v>
      </c>
      <c r="U38" s="77">
        <f t="shared" si="12"/>
        <v>0.6</v>
      </c>
      <c r="V38" s="77">
        <f t="shared" si="13"/>
        <v>0.35000000000000003</v>
      </c>
      <c r="W38" s="77">
        <f t="shared" si="14"/>
        <v>5.8999999999999995</v>
      </c>
      <c r="X38" s="77">
        <f t="shared" si="15"/>
        <v>4.4857864376269045</v>
      </c>
      <c r="Y38" s="77">
        <f t="shared" si="16"/>
        <v>5.1928932188134524</v>
      </c>
      <c r="Z38" s="77">
        <f t="shared" si="17"/>
        <v>2.1213203435596424</v>
      </c>
      <c r="AA38" s="77">
        <f t="shared" si="18"/>
        <v>1.4999999999999998</v>
      </c>
      <c r="AB38" s="77">
        <f t="shared" si="19"/>
        <v>0.49</v>
      </c>
      <c r="AC38" s="77">
        <f t="shared" si="20"/>
        <v>0.9</v>
      </c>
      <c r="AD38" s="78">
        <f t="shared" si="21"/>
        <v>0.35000000000000003</v>
      </c>
      <c r="AE38" s="65">
        <f t="shared" si="22"/>
        <v>10</v>
      </c>
    </row>
    <row r="39" spans="1:31" x14ac:dyDescent="0.3">
      <c r="A39" s="71" t="s">
        <v>1509</v>
      </c>
      <c r="B39" s="72" t="str">
        <f>'04_Box_Engine'!B23</f>
        <v>BC|4/4x4</v>
      </c>
      <c r="C39" s="73">
        <v>4</v>
      </c>
      <c r="D39" s="74">
        <v>4</v>
      </c>
      <c r="E39" s="74">
        <v>4</v>
      </c>
      <c r="F39" s="75">
        <f>'04_Box_Engine'!C23</f>
        <v>0</v>
      </c>
      <c r="G39" s="76">
        <f>'04_Box_Engine'!D23</f>
        <v>0</v>
      </c>
      <c r="H39" s="76">
        <f>'04_Box_Engine'!E23</f>
        <v>0</v>
      </c>
      <c r="I39" s="77">
        <f t="shared" si="0"/>
        <v>0.35000000000000003</v>
      </c>
      <c r="J39" s="77">
        <f t="shared" si="1"/>
        <v>17.75</v>
      </c>
      <c r="K39" s="77">
        <f t="shared" si="2"/>
        <v>17.05</v>
      </c>
      <c r="L39" s="77">
        <f t="shared" si="3"/>
        <v>4.7</v>
      </c>
      <c r="M39" s="77">
        <f t="shared" si="4"/>
        <v>4.3499999999999996</v>
      </c>
      <c r="N39" s="77">
        <f t="shared" si="5"/>
        <v>0.15</v>
      </c>
      <c r="O39" s="77">
        <f t="shared" si="6"/>
        <v>1.5</v>
      </c>
      <c r="P39" s="77">
        <f t="shared" si="7"/>
        <v>0.35000000000000003</v>
      </c>
      <c r="Q39" s="77">
        <f t="shared" si="8"/>
        <v>19.25</v>
      </c>
      <c r="R39" s="77">
        <f t="shared" si="9"/>
        <v>17.75</v>
      </c>
      <c r="S39" s="77">
        <f t="shared" si="10"/>
        <v>0.2</v>
      </c>
      <c r="T39" s="77">
        <f t="shared" si="11"/>
        <v>0.45</v>
      </c>
      <c r="U39" s="77">
        <f t="shared" si="12"/>
        <v>0.6</v>
      </c>
      <c r="V39" s="77">
        <f t="shared" si="13"/>
        <v>0.35000000000000003</v>
      </c>
      <c r="W39" s="77">
        <f t="shared" si="14"/>
        <v>5.8999999999999995</v>
      </c>
      <c r="X39" s="77">
        <f t="shared" si="15"/>
        <v>4.4857864376269045</v>
      </c>
      <c r="Y39" s="77">
        <f t="shared" si="16"/>
        <v>5.1928932188134524</v>
      </c>
      <c r="Z39" s="77">
        <f t="shared" si="17"/>
        <v>2.1213203435596424</v>
      </c>
      <c r="AA39" s="77">
        <f t="shared" si="18"/>
        <v>1.4999999999999998</v>
      </c>
      <c r="AB39" s="77">
        <f t="shared" si="19"/>
        <v>0.49</v>
      </c>
      <c r="AC39" s="77">
        <f t="shared" si="20"/>
        <v>0.9</v>
      </c>
      <c r="AD39" s="78">
        <f t="shared" si="21"/>
        <v>0.35000000000000003</v>
      </c>
      <c r="AE39" s="65">
        <f t="shared" si="22"/>
        <v>10</v>
      </c>
    </row>
    <row r="40" spans="1:31" x14ac:dyDescent="0.3">
      <c r="A40" s="71" t="s">
        <v>1511</v>
      </c>
      <c r="B40" s="72" t="str">
        <f>'04_Box_Engine'!B24</f>
        <v>BC|2/3x2.4</v>
      </c>
      <c r="C40" s="73">
        <v>2</v>
      </c>
      <c r="D40" s="74">
        <v>3</v>
      </c>
      <c r="E40" s="74">
        <v>2.4</v>
      </c>
      <c r="F40" s="75">
        <f>'04_Box_Engine'!C24</f>
        <v>0</v>
      </c>
      <c r="G40" s="76">
        <f>'04_Box_Engine'!D24</f>
        <v>0</v>
      </c>
      <c r="H40" s="76">
        <f>'04_Box_Engine'!E24</f>
        <v>0</v>
      </c>
      <c r="I40" s="77">
        <f t="shared" si="0"/>
        <v>0.25</v>
      </c>
      <c r="J40" s="77">
        <f t="shared" si="1"/>
        <v>6.75</v>
      </c>
      <c r="K40" s="77">
        <f t="shared" si="2"/>
        <v>6.25</v>
      </c>
      <c r="L40" s="77">
        <f t="shared" si="3"/>
        <v>2.9</v>
      </c>
      <c r="M40" s="77">
        <f t="shared" si="4"/>
        <v>2.65</v>
      </c>
      <c r="N40" s="77">
        <f t="shared" si="5"/>
        <v>0.15</v>
      </c>
      <c r="O40" s="77">
        <f t="shared" si="6"/>
        <v>1.5</v>
      </c>
      <c r="P40" s="77">
        <f t="shared" si="7"/>
        <v>0.25</v>
      </c>
      <c r="Q40" s="77">
        <f t="shared" si="8"/>
        <v>8.25</v>
      </c>
      <c r="R40" s="77">
        <f t="shared" si="9"/>
        <v>6.75</v>
      </c>
      <c r="S40" s="77">
        <f t="shared" si="10"/>
        <v>0.2</v>
      </c>
      <c r="T40" s="77">
        <f t="shared" si="11"/>
        <v>0.45</v>
      </c>
      <c r="U40" s="77">
        <f t="shared" si="12"/>
        <v>0.6</v>
      </c>
      <c r="V40" s="77">
        <f t="shared" si="13"/>
        <v>0.3</v>
      </c>
      <c r="W40" s="77">
        <f t="shared" si="14"/>
        <v>4.0999999999999996</v>
      </c>
      <c r="X40" s="77">
        <f t="shared" si="15"/>
        <v>2.6857864376269047</v>
      </c>
      <c r="Y40" s="77">
        <f t="shared" si="16"/>
        <v>3.3928932188134522</v>
      </c>
      <c r="Z40" s="77">
        <f t="shared" si="17"/>
        <v>2.1213203435596424</v>
      </c>
      <c r="AA40" s="77">
        <f t="shared" si="18"/>
        <v>1.4999999999999998</v>
      </c>
      <c r="AB40" s="77">
        <f t="shared" si="19"/>
        <v>0.34</v>
      </c>
      <c r="AC40" s="77">
        <f t="shared" si="20"/>
        <v>0.9</v>
      </c>
      <c r="AD40" s="78">
        <f t="shared" si="21"/>
        <v>0.3</v>
      </c>
      <c r="AE40" s="65">
        <f t="shared" si="22"/>
        <v>10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X312"/>
  <sheetViews>
    <sheetView workbookViewId="0">
      <pane ySplit="8" topLeftCell="A9" activePane="bottomLeft" state="frozen"/>
      <selection pane="bottomLeft" activeCell="A26" sqref="A26"/>
    </sheetView>
  </sheetViews>
  <sheetFormatPr defaultRowHeight="14.4" x14ac:dyDescent="0.3"/>
  <cols>
    <col min="1" max="1" width="7" customWidth="1"/>
    <col min="2" max="2" width="27.77734375" customWidth="1"/>
    <col min="3" max="3" width="7.44140625" customWidth="1"/>
    <col min="17" max="17" width="22.21875" customWidth="1"/>
  </cols>
  <sheetData>
    <row r="1" spans="1:24" ht="15.6" customHeight="1" x14ac:dyDescent="0.3">
      <c r="A1" s="53" t="s">
        <v>1583</v>
      </c>
    </row>
    <row r="2" spans="1:24" x14ac:dyDescent="0.3">
      <c r="A2" s="54" t="s">
        <v>1584</v>
      </c>
    </row>
    <row r="4" spans="1:24" x14ac:dyDescent="0.3">
      <c r="A4" s="28" t="s">
        <v>1585</v>
      </c>
      <c r="B4" s="79">
        <v>300</v>
      </c>
      <c r="C4" t="s">
        <v>1586</v>
      </c>
    </row>
    <row r="5" spans="1:24" x14ac:dyDescent="0.3">
      <c r="A5" s="28" t="s">
        <v>1587</v>
      </c>
      <c r="B5" s="79">
        <v>900</v>
      </c>
      <c r="C5" t="s">
        <v>1586</v>
      </c>
    </row>
    <row r="6" spans="1:24" x14ac:dyDescent="0.3">
      <c r="A6" s="28" t="s">
        <v>1588</v>
      </c>
      <c r="B6" s="79">
        <v>7850</v>
      </c>
      <c r="C6" t="s">
        <v>1589</v>
      </c>
      <c r="Q6" s="60" t="s">
        <v>1590</v>
      </c>
    </row>
    <row r="8" spans="1:24" ht="43.2" customHeight="1" x14ac:dyDescent="0.3">
      <c r="A8" s="62" t="s">
        <v>1591</v>
      </c>
      <c r="B8" s="62" t="s">
        <v>1592</v>
      </c>
      <c r="C8" s="62" t="s">
        <v>1593</v>
      </c>
      <c r="D8" s="62" t="s">
        <v>1594</v>
      </c>
      <c r="E8" s="62" t="s">
        <v>1595</v>
      </c>
      <c r="F8" s="62" t="s">
        <v>1596</v>
      </c>
      <c r="G8" s="62" t="s">
        <v>1597</v>
      </c>
      <c r="H8" s="62" t="s">
        <v>1598</v>
      </c>
      <c r="I8" s="62" t="s">
        <v>1599</v>
      </c>
      <c r="J8" s="62" t="s">
        <v>1600</v>
      </c>
      <c r="K8" s="62" t="s">
        <v>1601</v>
      </c>
      <c r="L8" s="62" t="s">
        <v>1602</v>
      </c>
      <c r="M8" s="62" t="s">
        <v>1603</v>
      </c>
      <c r="N8" s="62" t="s">
        <v>1604</v>
      </c>
      <c r="Q8" s="61" t="s">
        <v>216</v>
      </c>
      <c r="R8" s="61" t="s">
        <v>1317</v>
      </c>
      <c r="S8" s="61">
        <v>10</v>
      </c>
      <c r="T8" s="61">
        <v>12</v>
      </c>
      <c r="U8" s="61">
        <v>16</v>
      </c>
      <c r="V8" s="61">
        <v>20</v>
      </c>
      <c r="W8" s="61">
        <v>25</v>
      </c>
      <c r="X8" s="61" t="s">
        <v>1605</v>
      </c>
    </row>
    <row r="9" spans="1:24" x14ac:dyDescent="0.3">
      <c r="A9" s="64"/>
      <c r="B9" s="64"/>
      <c r="C9" s="64"/>
      <c r="D9" s="64"/>
      <c r="E9" s="64"/>
      <c r="F9" s="64"/>
      <c r="G9" s="64"/>
      <c r="H9" s="64"/>
      <c r="I9" s="64"/>
      <c r="J9" s="64"/>
      <c r="K9" s="64"/>
      <c r="L9" s="64"/>
      <c r="M9" s="64"/>
      <c r="N9" s="64"/>
      <c r="Q9" s="22" t="str">
        <f>'04a_Box_Dims'!$A22</f>
        <v>1/2x2 box culvert</v>
      </c>
      <c r="R9" s="22" t="str">
        <f>'04a_Box_Dims'!$B22</f>
        <v>BC|1/2x2</v>
      </c>
      <c r="S9" s="81">
        <f>SUMIFS($N$11:$N$24,$D$11:$D$24,S$8)</f>
        <v>530.22230010961732</v>
      </c>
      <c r="T9" s="81">
        <f>SUMIFS($N$11:$N$24,$D$11:$D$24,T$8)</f>
        <v>1546.6857743643361</v>
      </c>
      <c r="U9" s="81">
        <f>SUMIFS($N$11:$N$24,$D$11:$D$24,U$8)</f>
        <v>522.74493260295515</v>
      </c>
      <c r="V9" s="81">
        <f>SUMIFS($N$11:$N$24,$D$11:$D$24,V$8)</f>
        <v>0</v>
      </c>
      <c r="W9" s="81">
        <f>SUMIFS($N$11:$N$24,$D$11:$D$24,W$8)</f>
        <v>0</v>
      </c>
      <c r="X9" s="81">
        <f t="shared" ref="X9:X27" si="0">SUM($S9:$W9)</f>
        <v>2599.6530070769086</v>
      </c>
    </row>
    <row r="10" spans="1:24" x14ac:dyDescent="0.3">
      <c r="A10" s="80" t="str">
        <f>'04a_Box_Dims'!$A22&amp;"   ("&amp;'04a_Box_Dims'!$B22&amp;")   —   No. on project: "&amp;'04a_Box_Dims'!$F22&amp;",  L used = "&amp;TEXT('04a_Box_Dims'!$AE22,"0.00")&amp;" m"</f>
        <v>1/2x2 box culvert   (BC|1/2x2)   —   No. on project: 0,  L used = 10.00 m</v>
      </c>
      <c r="B10" s="80"/>
      <c r="C10" s="80"/>
      <c r="D10" s="80"/>
      <c r="E10" s="80"/>
      <c r="F10" s="80"/>
      <c r="G10" s="80"/>
      <c r="H10" s="80"/>
      <c r="I10" s="80"/>
      <c r="J10" s="80"/>
      <c r="K10" s="80"/>
      <c r="L10" s="80"/>
      <c r="M10" s="80"/>
      <c r="N10" s="80"/>
      <c r="Q10" s="22" t="str">
        <f>'04a_Box_Dims'!$A23</f>
        <v>2/2x2 box culvert</v>
      </c>
      <c r="R10" s="22" t="str">
        <f>'04a_Box_Dims'!$B23</f>
        <v>BC|2/2x2</v>
      </c>
      <c r="S10" s="81">
        <f>SUMIFS($N$27:$N$40,$D$27:$D$40,S$8)</f>
        <v>900.14483506981537</v>
      </c>
      <c r="T10" s="81">
        <f>SUMIFS($N$27:$N$40,$D$27:$D$40,T$8)</f>
        <v>2919.7346458268025</v>
      </c>
      <c r="U10" s="81">
        <f>SUMIFS($N$27:$N$40,$D$27:$D$40,U$8)</f>
        <v>522.74493260295515</v>
      </c>
      <c r="V10" s="81">
        <f>SUMIFS($N$27:$N$40,$D$27:$D$40,V$8)</f>
        <v>0</v>
      </c>
      <c r="W10" s="81">
        <f>SUMIFS($N$27:$N$40,$D$27:$D$40,W$8)</f>
        <v>0</v>
      </c>
      <c r="X10" s="81">
        <f t="shared" si="0"/>
        <v>4342.6244134995732</v>
      </c>
    </row>
    <row r="11" spans="1:24" x14ac:dyDescent="0.3">
      <c r="A11" s="64">
        <v>1</v>
      </c>
      <c r="B11" s="64" t="s">
        <v>1606</v>
      </c>
      <c r="C11" s="64" t="s">
        <v>1607</v>
      </c>
      <c r="D11" s="209">
        <v>12</v>
      </c>
      <c r="E11" s="209">
        <v>225</v>
      </c>
      <c r="F11" s="66">
        <f>1</f>
        <v>1</v>
      </c>
      <c r="G11" s="65">
        <f>'04a_Box_Dims'!$AE22</f>
        <v>10</v>
      </c>
      <c r="H11" s="66">
        <f t="shared" ref="H11:H24" si="1">IF($G11="",$F11,$F11*(FLOOR($G11*1000/$E11,1)+1))</f>
        <v>45</v>
      </c>
      <c r="I11" s="65">
        <f>'04a_Box_Dims'!$K22</f>
        <v>2</v>
      </c>
      <c r="J11" s="66">
        <f>2*BX_hook</f>
        <v>600</v>
      </c>
      <c r="K11" s="66">
        <f t="shared" ref="K11:K24" si="2">ROUND($I11*1000+$J11,0)</f>
        <v>2600</v>
      </c>
      <c r="L11" s="86">
        <f t="shared" ref="L11:L24" si="3">$H11*$K11/1000</f>
        <v>117</v>
      </c>
      <c r="M11" s="65">
        <f t="shared" ref="M11:M24" si="4">PI()/4*($D11/1000)^2*BX_rho</f>
        <v>0.88781408390447547</v>
      </c>
      <c r="N11" s="86">
        <f t="shared" ref="N11:N24" si="5">$L11*$M11</f>
        <v>103.87424781682363</v>
      </c>
      <c r="Q11" s="22" t="str">
        <f>'04a_Box_Dims'!$A24</f>
        <v>3/2x2 box culvert</v>
      </c>
      <c r="R11" s="22" t="str">
        <f>'04a_Box_Dims'!$B24</f>
        <v>BC|3/2x2</v>
      </c>
      <c r="S11" s="81">
        <f>SUMIFS($N$43:$N$56,$D$43:$D$56,S$8)</f>
        <v>1257.7366188646736</v>
      </c>
      <c r="T11" s="81">
        <f>SUMIFS($N$43:$N$56,$D$43:$D$56,T$8)</f>
        <v>4644.0915502902699</v>
      </c>
      <c r="U11" s="81">
        <f>SUMIFS($N$43:$N$56,$D$43:$D$56,U$8)</f>
        <v>522.74493260295515</v>
      </c>
      <c r="V11" s="81">
        <f>SUMIFS($N$43:$N$56,$D$43:$D$56,V$8)</f>
        <v>0</v>
      </c>
      <c r="W11" s="81">
        <f>SUMIFS($N$43:$N$56,$D$43:$D$56,W$8)</f>
        <v>0</v>
      </c>
      <c r="X11" s="81">
        <f t="shared" si="0"/>
        <v>6424.5731017578992</v>
      </c>
    </row>
    <row r="12" spans="1:24" x14ac:dyDescent="0.3">
      <c r="A12" s="64">
        <v>2</v>
      </c>
      <c r="B12" s="64" t="s">
        <v>1608</v>
      </c>
      <c r="C12" s="64" t="s">
        <v>1607</v>
      </c>
      <c r="D12" s="209">
        <v>12</v>
      </c>
      <c r="E12" s="209">
        <v>225</v>
      </c>
      <c r="F12" s="66">
        <f>1</f>
        <v>1</v>
      </c>
      <c r="G12" s="65">
        <f>'04a_Box_Dims'!$AE22</f>
        <v>10</v>
      </c>
      <c r="H12" s="66">
        <f t="shared" si="1"/>
        <v>45</v>
      </c>
      <c r="I12" s="65">
        <f>'04a_Box_Dims'!$K22</f>
        <v>2</v>
      </c>
      <c r="J12" s="66">
        <f>2*BX_hook</f>
        <v>600</v>
      </c>
      <c r="K12" s="66">
        <f t="shared" si="2"/>
        <v>2600</v>
      </c>
      <c r="L12" s="86">
        <f t="shared" si="3"/>
        <v>117</v>
      </c>
      <c r="M12" s="65">
        <f t="shared" si="4"/>
        <v>0.88781408390447547</v>
      </c>
      <c r="N12" s="86">
        <f t="shared" si="5"/>
        <v>103.87424781682363</v>
      </c>
      <c r="Q12" s="22" t="str">
        <f>'04a_Box_Dims'!$A25</f>
        <v>4/2x2 box culvert</v>
      </c>
      <c r="R12" s="22" t="str">
        <f>'04a_Box_Dims'!$B25</f>
        <v>BC|4/2x2</v>
      </c>
      <c r="S12" s="81">
        <f>SUMIFS($N$59:$N$72,$D$59:$D$72,S$8)</f>
        <v>1627.6591538248717</v>
      </c>
      <c r="T12" s="81">
        <f>SUMIFS($N$59:$N$72,$D$59:$D$72,T$8)</f>
        <v>6845.8260876691738</v>
      </c>
      <c r="U12" s="81">
        <f>SUMIFS($N$59:$N$72,$D$59:$D$72,U$8)</f>
        <v>522.74493260295515</v>
      </c>
      <c r="V12" s="81">
        <f>SUMIFS($N$59:$N$72,$D$59:$D$72,V$8)</f>
        <v>0</v>
      </c>
      <c r="W12" s="81">
        <f>SUMIFS($N$59:$N$72,$D$59:$D$72,W$8)</f>
        <v>0</v>
      </c>
      <c r="X12" s="81">
        <f t="shared" si="0"/>
        <v>8996.2301740969997</v>
      </c>
    </row>
    <row r="13" spans="1:24" x14ac:dyDescent="0.3">
      <c r="A13" s="64">
        <v>3</v>
      </c>
      <c r="B13" s="64" t="s">
        <v>1609</v>
      </c>
      <c r="C13" s="64" t="s">
        <v>1607</v>
      </c>
      <c r="D13" s="209">
        <v>12</v>
      </c>
      <c r="E13" s="209">
        <v>210</v>
      </c>
      <c r="F13" s="66">
        <f>1</f>
        <v>1</v>
      </c>
      <c r="G13" s="65">
        <f>'04a_Box_Dims'!$AE22</f>
        <v>10</v>
      </c>
      <c r="H13" s="66">
        <f t="shared" si="1"/>
        <v>48</v>
      </c>
      <c r="I13" s="65">
        <f>'04a_Box_Dims'!$K22</f>
        <v>2</v>
      </c>
      <c r="J13" s="66">
        <f>2*BX_hook</f>
        <v>600</v>
      </c>
      <c r="K13" s="66">
        <f t="shared" si="2"/>
        <v>2600</v>
      </c>
      <c r="L13" s="86">
        <f t="shared" si="3"/>
        <v>124.8</v>
      </c>
      <c r="M13" s="65">
        <f t="shared" si="4"/>
        <v>0.88781408390447547</v>
      </c>
      <c r="N13" s="86">
        <f t="shared" si="5"/>
        <v>110.79919767127853</v>
      </c>
      <c r="Q13" s="22" t="str">
        <f>'04a_Box_Dims'!$A26</f>
        <v>1/3x2 box culvert</v>
      </c>
      <c r="R13" s="22" t="str">
        <f>'04a_Box_Dims'!$B26</f>
        <v>BC|1/3x2</v>
      </c>
      <c r="S13" s="81">
        <f>SUMIFS($N$75:$N$88,$D$75:$D$88,S$8)</f>
        <v>616.53755826699683</v>
      </c>
      <c r="T13" s="81">
        <f>SUMIFS($N$75:$N$88,$D$75:$D$88,T$8)</f>
        <v>2370.7548070444705</v>
      </c>
      <c r="U13" s="81">
        <f>SUMIFS($N$75:$N$88,$D$75:$D$88,U$8)</f>
        <v>522.74493260295515</v>
      </c>
      <c r="V13" s="81">
        <f>SUMIFS($N$75:$N$88,$D$75:$D$88,V$8)</f>
        <v>0</v>
      </c>
      <c r="W13" s="81">
        <f>SUMIFS($N$75:$N$88,$D$75:$D$88,W$8)</f>
        <v>0</v>
      </c>
      <c r="X13" s="81">
        <f t="shared" si="0"/>
        <v>3510.0372979144222</v>
      </c>
    </row>
    <row r="14" spans="1:24" x14ac:dyDescent="0.3">
      <c r="A14" s="64">
        <v>4</v>
      </c>
      <c r="B14" s="64" t="s">
        <v>1610</v>
      </c>
      <c r="C14" s="64" t="s">
        <v>1607</v>
      </c>
      <c r="D14" s="209">
        <v>12</v>
      </c>
      <c r="E14" s="209">
        <v>190</v>
      </c>
      <c r="F14" s="66">
        <f>1</f>
        <v>1</v>
      </c>
      <c r="G14" s="65">
        <f>'04a_Box_Dims'!$AE22</f>
        <v>10</v>
      </c>
      <c r="H14" s="66">
        <f t="shared" si="1"/>
        <v>53</v>
      </c>
      <c r="I14" s="65">
        <f>'04a_Box_Dims'!$K22</f>
        <v>2</v>
      </c>
      <c r="J14" s="66">
        <f>2*BX_hook</f>
        <v>600</v>
      </c>
      <c r="K14" s="66">
        <f t="shared" si="2"/>
        <v>2600</v>
      </c>
      <c r="L14" s="86">
        <f t="shared" si="3"/>
        <v>137.80000000000001</v>
      </c>
      <c r="M14" s="65">
        <f t="shared" si="4"/>
        <v>0.88781408390447547</v>
      </c>
      <c r="N14" s="86">
        <f t="shared" si="5"/>
        <v>122.34078076203673</v>
      </c>
      <c r="Q14" s="22" t="str">
        <f>'04a_Box_Dims'!$A27</f>
        <v>2/3x2 box culvert</v>
      </c>
      <c r="R14" s="22" t="str">
        <f>'04a_Box_Dims'!$B27</f>
        <v>BC|2/3x2</v>
      </c>
      <c r="S14" s="81">
        <f>SUMIFS($N$91:$N$104,$D$91:$D$104,S$8)</f>
        <v>1060.4446002192344</v>
      </c>
      <c r="T14" s="81">
        <f>SUMIFS($N$91:$N$104,$D$91:$D$104,T$8)</f>
        <v>4164.1836472357063</v>
      </c>
      <c r="U14" s="81">
        <f>SUMIFS($N$91:$N$104,$D$91:$D$104,U$8)</f>
        <v>1268.7455135050891</v>
      </c>
      <c r="V14" s="81">
        <f>SUMIFS($N$91:$N$104,$D$91:$D$104,V$8)</f>
        <v>0</v>
      </c>
      <c r="W14" s="81">
        <f>SUMIFS($N$91:$N$104,$D$91:$D$104,W$8)</f>
        <v>0</v>
      </c>
      <c r="X14" s="81">
        <f t="shared" si="0"/>
        <v>6493.3737609600303</v>
      </c>
    </row>
    <row r="15" spans="1:24" x14ac:dyDescent="0.3">
      <c r="A15" s="64">
        <v>5</v>
      </c>
      <c r="B15" s="64" t="s">
        <v>1611</v>
      </c>
      <c r="C15" s="64" t="s">
        <v>1607</v>
      </c>
      <c r="D15" s="209">
        <v>10</v>
      </c>
      <c r="E15" s="209">
        <v>155</v>
      </c>
      <c r="F15" s="66">
        <f>2</f>
        <v>2</v>
      </c>
      <c r="G15" s="65">
        <f>'04a_Box_Dims'!$K22</f>
        <v>2</v>
      </c>
      <c r="H15" s="66">
        <f t="shared" si="1"/>
        <v>26</v>
      </c>
      <c r="I15" s="65">
        <f>'04a_Box_Dims'!$AE22</f>
        <v>10</v>
      </c>
      <c r="J15" s="66">
        <f>0</f>
        <v>0</v>
      </c>
      <c r="K15" s="66">
        <f t="shared" si="2"/>
        <v>10000</v>
      </c>
      <c r="L15" s="86">
        <f t="shared" si="3"/>
        <v>260</v>
      </c>
      <c r="M15" s="65">
        <f t="shared" si="4"/>
        <v>0.61653755826699685</v>
      </c>
      <c r="N15" s="86">
        <f t="shared" si="5"/>
        <v>160.29976514941919</v>
      </c>
      <c r="Q15" s="22" t="str">
        <f>'04a_Box_Dims'!$A28</f>
        <v>3/3x2 box culvert</v>
      </c>
      <c r="R15" s="22" t="str">
        <f>'04a_Box_Dims'!$B28</f>
        <v>BC|3/3x2</v>
      </c>
      <c r="S15" s="81">
        <f>SUMIFS($N$107:$N$120,$D$107:$D$120,S$8)</f>
        <v>1504.3516421714723</v>
      </c>
      <c r="T15" s="81">
        <f>SUMIFS($N$107:$N$120,$D$107:$D$120,T$8)</f>
        <v>7218.397267979688</v>
      </c>
      <c r="U15" s="81">
        <f>SUMIFS($N$107:$N$120,$D$107:$D$120,U$8)</f>
        <v>1622.6873949550068</v>
      </c>
      <c r="V15" s="81">
        <f>SUMIFS($N$107:$N$120,$D$107:$D$120,V$8)</f>
        <v>0</v>
      </c>
      <c r="W15" s="81">
        <f>SUMIFS($N$107:$N$120,$D$107:$D$120,W$8)</f>
        <v>0</v>
      </c>
      <c r="X15" s="81">
        <f t="shared" si="0"/>
        <v>10345.436305106166</v>
      </c>
    </row>
    <row r="16" spans="1:24" x14ac:dyDescent="0.3">
      <c r="A16" s="64">
        <v>6</v>
      </c>
      <c r="B16" s="64" t="s">
        <v>1612</v>
      </c>
      <c r="C16" s="64" t="s">
        <v>1613</v>
      </c>
      <c r="D16" s="209">
        <v>12</v>
      </c>
      <c r="E16" s="209">
        <v>225</v>
      </c>
      <c r="F16" s="66">
        <f>4</f>
        <v>4</v>
      </c>
      <c r="G16" s="65">
        <f>'04a_Box_Dims'!$AE22</f>
        <v>10</v>
      </c>
      <c r="H16" s="66">
        <f t="shared" si="1"/>
        <v>180</v>
      </c>
      <c r="I16" s="65">
        <f>'04a_Box_Dims'!$M22</f>
        <v>2.25</v>
      </c>
      <c r="J16" s="66">
        <f>2*BX_hook</f>
        <v>600</v>
      </c>
      <c r="K16" s="66">
        <f t="shared" si="2"/>
        <v>2850</v>
      </c>
      <c r="L16" s="86">
        <f t="shared" si="3"/>
        <v>513</v>
      </c>
      <c r="M16" s="65">
        <f t="shared" si="4"/>
        <v>0.88781408390447547</v>
      </c>
      <c r="N16" s="86">
        <f t="shared" si="5"/>
        <v>455.4486250429959</v>
      </c>
      <c r="Q16" s="22" t="str">
        <f>'04a_Box_Dims'!$A29</f>
        <v>1/3x3 box culvert</v>
      </c>
      <c r="R16" s="22" t="str">
        <f>'04a_Box_Dims'!$B29</f>
        <v>BC|1/3x3</v>
      </c>
      <c r="S16" s="81">
        <f>SUMIFS($N$123:$N$136,$D$123:$D$136,S$8)</f>
        <v>764.50657225107614</v>
      </c>
      <c r="T16" s="81">
        <f>SUMIFS($N$123:$N$136,$D$123:$D$136,T$8)</f>
        <v>2873.2717835597459</v>
      </c>
      <c r="U16" s="81">
        <f>SUMIFS($N$123:$N$136,$D$123:$D$136,U$8)</f>
        <v>0</v>
      </c>
      <c r="V16" s="81">
        <f>SUMIFS($N$123:$N$136,$D$123:$D$136,V$8)</f>
        <v>939.11000875228967</v>
      </c>
      <c r="W16" s="81">
        <f>SUMIFS($N$123:$N$136,$D$123:$D$136,W$8)</f>
        <v>0</v>
      </c>
      <c r="X16" s="81">
        <f t="shared" si="0"/>
        <v>4576.8883645631122</v>
      </c>
    </row>
    <row r="17" spans="1:24" x14ac:dyDescent="0.3">
      <c r="A17" s="64">
        <v>7</v>
      </c>
      <c r="B17" s="64" t="s">
        <v>1614</v>
      </c>
      <c r="C17" s="64" t="s">
        <v>1613</v>
      </c>
      <c r="D17" s="209">
        <v>12</v>
      </c>
      <c r="E17" s="209">
        <v>225</v>
      </c>
      <c r="F17" s="66">
        <f>2*('04a_Box_Dims'!$C22)-2</f>
        <v>0</v>
      </c>
      <c r="G17" s="65">
        <f>'04a_Box_Dims'!$AE22</f>
        <v>10</v>
      </c>
      <c r="H17" s="66">
        <f t="shared" si="1"/>
        <v>0</v>
      </c>
      <c r="I17" s="65">
        <f>'04a_Box_Dims'!$M22</f>
        <v>2.25</v>
      </c>
      <c r="J17" s="66">
        <f>2*BX_hook</f>
        <v>600</v>
      </c>
      <c r="K17" s="66">
        <f t="shared" si="2"/>
        <v>2850</v>
      </c>
      <c r="L17" s="86">
        <f t="shared" si="3"/>
        <v>0</v>
      </c>
      <c r="M17" s="65">
        <f t="shared" si="4"/>
        <v>0.88781408390447547</v>
      </c>
      <c r="N17" s="86">
        <f t="shared" si="5"/>
        <v>0</v>
      </c>
      <c r="Q17" s="22" t="str">
        <f>'04a_Box_Dims'!$A30</f>
        <v>2/3x3 box culvert</v>
      </c>
      <c r="R17" s="22" t="str">
        <f>'04a_Box_Dims'!$B30</f>
        <v>BC|2/3x3</v>
      </c>
      <c r="S17" s="81">
        <f>SUMIFS($N$139:$N$152,$D$139:$D$152,S$8)</f>
        <v>1282.3981211953533</v>
      </c>
      <c r="T17" s="81">
        <f>SUMIFS($N$139:$N$152,$D$139:$D$152,T$8)</f>
        <v>4943.1659294788351</v>
      </c>
      <c r="U17" s="81">
        <f>SUMIFS($N$139:$N$152,$D$139:$D$152,U$8)</f>
        <v>746.00058090213383</v>
      </c>
      <c r="V17" s="81">
        <f>SUMIFS($N$139:$N$152,$D$139:$D$152,V$8)</f>
        <v>939.11000875228967</v>
      </c>
      <c r="W17" s="81">
        <f>SUMIFS($N$139:$N$152,$D$139:$D$152,W$8)</f>
        <v>0</v>
      </c>
      <c r="X17" s="81">
        <f t="shared" si="0"/>
        <v>7910.6746403286124</v>
      </c>
    </row>
    <row r="18" spans="1:24" x14ac:dyDescent="0.3">
      <c r="A18" s="64">
        <v>8</v>
      </c>
      <c r="B18" s="64" t="s">
        <v>1615</v>
      </c>
      <c r="C18" s="64" t="s">
        <v>1607</v>
      </c>
      <c r="D18" s="209">
        <v>10</v>
      </c>
      <c r="E18" s="209">
        <v>155</v>
      </c>
      <c r="F18" s="66">
        <f>('04a_Box_Dims'!$C22+1)*2</f>
        <v>4</v>
      </c>
      <c r="G18" s="65">
        <f>'04a_Box_Dims'!$M22</f>
        <v>2.25</v>
      </c>
      <c r="H18" s="66">
        <f t="shared" si="1"/>
        <v>60</v>
      </c>
      <c r="I18" s="65">
        <f>'04a_Box_Dims'!$AE22</f>
        <v>10</v>
      </c>
      <c r="J18" s="66">
        <f>0</f>
        <v>0</v>
      </c>
      <c r="K18" s="66">
        <f t="shared" si="2"/>
        <v>10000</v>
      </c>
      <c r="L18" s="86">
        <f t="shared" si="3"/>
        <v>600</v>
      </c>
      <c r="M18" s="65">
        <f t="shared" si="4"/>
        <v>0.61653755826699685</v>
      </c>
      <c r="N18" s="86">
        <f t="shared" si="5"/>
        <v>369.92253496019811</v>
      </c>
      <c r="Q18" s="22" t="str">
        <f>'04a_Box_Dims'!$A31</f>
        <v>3/3x3 box culvert</v>
      </c>
      <c r="R18" s="22" t="str">
        <f>'04a_Box_Dims'!$B31</f>
        <v>BC|3/3x3</v>
      </c>
      <c r="S18" s="81">
        <f>SUMIFS($N$155:$N$168,$D$155:$D$168,S$8)</f>
        <v>1800.2896701396307</v>
      </c>
      <c r="T18" s="81">
        <f>SUMIFS($N$155:$N$168,$D$155:$D$168,T$8)</f>
        <v>7817.0645097818178</v>
      </c>
      <c r="U18" s="81">
        <f>SUMIFS($N$155:$N$168,$D$155:$D$168,U$8)</f>
        <v>2120.1789491713457</v>
      </c>
      <c r="V18" s="81">
        <f>SUMIFS($N$155:$N$168,$D$155:$D$168,V$8)</f>
        <v>939.11000875228967</v>
      </c>
      <c r="W18" s="81">
        <f>SUMIFS($N$155:$N$168,$D$155:$D$168,W$8)</f>
        <v>0</v>
      </c>
      <c r="X18" s="81">
        <f t="shared" si="0"/>
        <v>12676.643137845085</v>
      </c>
    </row>
    <row r="19" spans="1:24" x14ac:dyDescent="0.3">
      <c r="A19" s="64">
        <v>9</v>
      </c>
      <c r="B19" s="64" t="s">
        <v>1616</v>
      </c>
      <c r="C19" s="64" t="s">
        <v>1617</v>
      </c>
      <c r="D19" s="209">
        <v>12</v>
      </c>
      <c r="E19" s="209">
        <v>2</v>
      </c>
      <c r="F19" s="66">
        <f>4*('04a_Box_Dims'!$C22)*$E19</f>
        <v>8</v>
      </c>
      <c r="G19" s="65"/>
      <c r="H19" s="66">
        <f t="shared" si="1"/>
        <v>8</v>
      </c>
      <c r="I19" s="65">
        <f>'04a_Box_Dims'!$AE22</f>
        <v>10</v>
      </c>
      <c r="J19" s="66">
        <f>0</f>
        <v>0</v>
      </c>
      <c r="K19" s="66">
        <f t="shared" si="2"/>
        <v>10000</v>
      </c>
      <c r="L19" s="86">
        <f t="shared" si="3"/>
        <v>80</v>
      </c>
      <c r="M19" s="65">
        <f t="shared" si="4"/>
        <v>0.88781408390447547</v>
      </c>
      <c r="N19" s="86">
        <f t="shared" si="5"/>
        <v>71.025126712358031</v>
      </c>
      <c r="Q19" s="22" t="str">
        <f>'04a_Box_Dims'!$A32</f>
        <v>4/3x3 box culvert</v>
      </c>
      <c r="R19" s="22" t="str">
        <f>'04a_Box_Dims'!$B32</f>
        <v>BC|4/3x3</v>
      </c>
      <c r="S19" s="81">
        <f>SUMIFS($N$171:$N$184,$D$171:$D$184,S$8)</f>
        <v>2318.1812190839082</v>
      </c>
      <c r="T19" s="81">
        <f>SUMIFS($N$171:$N$184,$D$171:$D$184,T$8)</f>
        <v>11963.866532882841</v>
      </c>
      <c r="U19" s="81">
        <f>SUMIFS($N$171:$N$184,$D$171:$D$184,U$8)</f>
        <v>3329.1844394305954</v>
      </c>
      <c r="V19" s="81">
        <f>SUMIFS($N$171:$N$184,$D$171:$D$184,V$8)</f>
        <v>939.11000875228967</v>
      </c>
      <c r="W19" s="81">
        <f>SUMIFS($N$171:$N$184,$D$171:$D$184,W$8)</f>
        <v>0</v>
      </c>
      <c r="X19" s="81">
        <f t="shared" si="0"/>
        <v>18550.342200149633</v>
      </c>
    </row>
    <row r="20" spans="1:24" x14ac:dyDescent="0.3">
      <c r="A20" s="64">
        <v>10</v>
      </c>
      <c r="B20" s="64" t="s">
        <v>1618</v>
      </c>
      <c r="C20" s="64" t="s">
        <v>1619</v>
      </c>
      <c r="D20" s="209">
        <v>16</v>
      </c>
      <c r="E20" s="209">
        <v>120</v>
      </c>
      <c r="F20" s="66">
        <f>4</f>
        <v>4</v>
      </c>
      <c r="G20" s="65">
        <f>'04a_Box_Dims'!$Z22</f>
        <v>2.1213203435596424</v>
      </c>
      <c r="H20" s="66">
        <f t="shared" si="1"/>
        <v>72</v>
      </c>
      <c r="I20" s="65">
        <f>'04a_Box_Dims'!$W22</f>
        <v>3.7</v>
      </c>
      <c r="J20" s="66">
        <f>BX_wwbend</f>
        <v>900</v>
      </c>
      <c r="K20" s="66">
        <f t="shared" si="2"/>
        <v>4600</v>
      </c>
      <c r="L20" s="86">
        <f t="shared" si="3"/>
        <v>331.2</v>
      </c>
      <c r="M20" s="65">
        <f t="shared" si="4"/>
        <v>1.5783361491635119</v>
      </c>
      <c r="N20" s="86">
        <f t="shared" si="5"/>
        <v>522.74493260295515</v>
      </c>
      <c r="Q20" s="22" t="str">
        <f>'04a_Box_Dims'!$A33</f>
        <v>1/4x3 box culvert</v>
      </c>
      <c r="R20" s="22" t="str">
        <f>'04a_Box_Dims'!$B33</f>
        <v>BC|1/4x3</v>
      </c>
      <c r="S20" s="81">
        <f>SUMIFS($N$187:$N$200,$D$187:$D$200,S$8)</f>
        <v>1220.7443653686537</v>
      </c>
      <c r="T20" s="81">
        <f>SUMIFS($N$187:$N$200,$D$187:$D$200,T$8)</f>
        <v>3738.2441867135262</v>
      </c>
      <c r="U20" s="81">
        <f>SUMIFS($N$187:$N$200,$D$187:$D$200,U$8)</f>
        <v>0</v>
      </c>
      <c r="V20" s="81">
        <f>SUMIFS($N$187:$N$200,$D$187:$D$200,V$8)</f>
        <v>972.64965192201419</v>
      </c>
      <c r="W20" s="81">
        <f>SUMIFS($N$187:$N$200,$D$187:$D$200,W$8)</f>
        <v>0</v>
      </c>
      <c r="X20" s="81">
        <f t="shared" si="0"/>
        <v>5931.6382040041944</v>
      </c>
    </row>
    <row r="21" spans="1:24" x14ac:dyDescent="0.3">
      <c r="A21" s="64">
        <v>11</v>
      </c>
      <c r="B21" s="64" t="s">
        <v>1620</v>
      </c>
      <c r="C21" s="64" t="s">
        <v>1607</v>
      </c>
      <c r="D21" s="209">
        <v>12</v>
      </c>
      <c r="E21" s="209">
        <v>180</v>
      </c>
      <c r="F21" s="66">
        <f>8</f>
        <v>8</v>
      </c>
      <c r="G21" s="65">
        <f>'04a_Box_Dims'!$W22</f>
        <v>3.7</v>
      </c>
      <c r="H21" s="66">
        <f t="shared" si="1"/>
        <v>168</v>
      </c>
      <c r="I21" s="65">
        <f>'04a_Box_Dims'!$Z22</f>
        <v>2.1213203435596424</v>
      </c>
      <c r="J21" s="66">
        <f>0</f>
        <v>0</v>
      </c>
      <c r="K21" s="66">
        <f t="shared" si="2"/>
        <v>2121</v>
      </c>
      <c r="L21" s="86">
        <f t="shared" si="3"/>
        <v>356.32799999999997</v>
      </c>
      <c r="M21" s="65">
        <f t="shared" si="4"/>
        <v>0.88781408390447547</v>
      </c>
      <c r="N21" s="86">
        <f t="shared" si="5"/>
        <v>316.35301688951392</v>
      </c>
      <c r="Q21" s="22" t="str">
        <f>'04a_Box_Dims'!$A34</f>
        <v>2/4x3 box culvert</v>
      </c>
      <c r="R21" s="22" t="str">
        <f>'04a_Box_Dims'!$B34</f>
        <v>BC|2/4x3</v>
      </c>
      <c r="S21" s="81">
        <f>SUMIFS($N$203:$N$216,$D$203:$D$216,S$8)</f>
        <v>2083.8969469424492</v>
      </c>
      <c r="T21" s="81">
        <f>SUMIFS($N$203:$N$216,$D$203:$D$216,T$8)</f>
        <v>7426.9785332240363</v>
      </c>
      <c r="U21" s="81">
        <f>SUMIFS($N$203:$N$216,$D$203:$D$216,U$8)</f>
        <v>1059.4581401260075</v>
      </c>
      <c r="V21" s="81">
        <f>SUMIFS($N$203:$N$216,$D$203:$D$216,V$8)</f>
        <v>972.64965192201419</v>
      </c>
      <c r="W21" s="81">
        <f>SUMIFS($N$203:$N$216,$D$203:$D$216,W$8)</f>
        <v>0</v>
      </c>
      <c r="X21" s="81">
        <f t="shared" si="0"/>
        <v>11542.983272214507</v>
      </c>
    </row>
    <row r="22" spans="1:24" x14ac:dyDescent="0.3">
      <c r="A22" s="64">
        <v>12</v>
      </c>
      <c r="B22" s="64" t="s">
        <v>1621</v>
      </c>
      <c r="C22" s="64" t="s">
        <v>1622</v>
      </c>
      <c r="D22" s="83">
        <v>12</v>
      </c>
      <c r="E22" s="83">
        <v>200</v>
      </c>
      <c r="F22" s="66">
        <f>4</f>
        <v>4</v>
      </c>
      <c r="G22" s="65">
        <f>'04a_Box_Dims'!$J22</f>
        <v>2.5</v>
      </c>
      <c r="H22" s="66">
        <f t="shared" si="1"/>
        <v>52</v>
      </c>
      <c r="I22" s="65">
        <f>'04a_Box_Dims'!$J22</f>
        <v>2.5</v>
      </c>
      <c r="J22" s="66">
        <f>2*BX_hook</f>
        <v>600</v>
      </c>
      <c r="K22" s="66">
        <f t="shared" si="2"/>
        <v>3100</v>
      </c>
      <c r="L22" s="86">
        <f t="shared" si="3"/>
        <v>161.19999999999999</v>
      </c>
      <c r="M22" s="65">
        <f t="shared" si="4"/>
        <v>0.88781408390447547</v>
      </c>
      <c r="N22" s="86">
        <f t="shared" si="5"/>
        <v>143.11563032540144</v>
      </c>
      <c r="Q22" s="22" t="str">
        <f>'04a_Box_Dims'!$A35</f>
        <v>3/4x3 box culvert</v>
      </c>
      <c r="R22" s="22" t="str">
        <f>'04a_Box_Dims'!$B35</f>
        <v>BC|3/4x3</v>
      </c>
      <c r="S22" s="81">
        <f>SUMIFS($N$219:$N$232,$D$219:$D$232,S$8)</f>
        <v>2959.3802796815853</v>
      </c>
      <c r="T22" s="81">
        <f>SUMIFS($N$219:$N$232,$D$219:$D$232,T$8)</f>
        <v>12508.693177380668</v>
      </c>
      <c r="U22" s="81">
        <f>SUMIFS($N$219:$N$232,$D$219:$D$232,U$8)</f>
        <v>2980.8456513102083</v>
      </c>
      <c r="V22" s="81">
        <f>SUMIFS($N$219:$N$232,$D$219:$D$232,V$8)</f>
        <v>972.64965192201419</v>
      </c>
      <c r="W22" s="81">
        <f>SUMIFS($N$219:$N$232,$D$219:$D$232,W$8)</f>
        <v>0</v>
      </c>
      <c r="X22" s="81">
        <f t="shared" si="0"/>
        <v>19421.568760294474</v>
      </c>
    </row>
    <row r="23" spans="1:24" x14ac:dyDescent="0.3">
      <c r="A23" s="64">
        <v>13</v>
      </c>
      <c r="B23" s="64" t="s">
        <v>1623</v>
      </c>
      <c r="C23" s="64" t="s">
        <v>1607</v>
      </c>
      <c r="D23" s="209">
        <v>12</v>
      </c>
      <c r="E23" s="209">
        <v>225</v>
      </c>
      <c r="F23" s="66">
        <f>4</f>
        <v>4</v>
      </c>
      <c r="G23" s="65">
        <f>'04a_Box_Dims'!$J22</f>
        <v>2.5</v>
      </c>
      <c r="H23" s="66">
        <f t="shared" si="1"/>
        <v>48</v>
      </c>
      <c r="I23" s="65">
        <f>'04a_Box_Dims'!$J22</f>
        <v>2.5</v>
      </c>
      <c r="J23" s="66">
        <f>0</f>
        <v>0</v>
      </c>
      <c r="K23" s="66">
        <f t="shared" si="2"/>
        <v>2500</v>
      </c>
      <c r="L23" s="86">
        <f t="shared" si="3"/>
        <v>120</v>
      </c>
      <c r="M23" s="65">
        <f t="shared" si="4"/>
        <v>0.88781408390447547</v>
      </c>
      <c r="N23" s="86">
        <f t="shared" si="5"/>
        <v>106.53769006853706</v>
      </c>
      <c r="Q23" t="str">
        <f>'04a_Box_Dims'!$A36</f>
        <v>1/4x4 box culvert</v>
      </c>
      <c r="R23" t="str">
        <f>'04a_Box_Dims'!$B36</f>
        <v>BC|1/4x4</v>
      </c>
      <c r="S23" s="81">
        <f>SUMIFS($N$235:$N$248,$D$235:$D$248,S$8)</f>
        <v>1442.6978863447725</v>
      </c>
      <c r="T23" s="81">
        <f>SUMIFS($N$235:$N$248,$D$235:$D$248,T$8)</f>
        <v>4554.0743046950274</v>
      </c>
      <c r="U23" s="81">
        <f>SUMIFS($N$235:$N$248,$D$235:$D$248,U$8)</f>
        <v>0</v>
      </c>
      <c r="V23" s="81">
        <f>SUMIFS($N$235:$N$248,$D$235:$D$248,V$8)</f>
        <v>0</v>
      </c>
      <c r="W23" s="81">
        <f>SUMIFS($N$235:$N$248,$D$235:$D$248,W$8)</f>
        <v>1572.1707735808423</v>
      </c>
      <c r="X23" s="81">
        <f t="shared" si="0"/>
        <v>7568.9429646206418</v>
      </c>
    </row>
    <row r="24" spans="1:24" x14ac:dyDescent="0.3">
      <c r="A24" s="64">
        <v>14</v>
      </c>
      <c r="B24" s="64" t="s">
        <v>1624</v>
      </c>
      <c r="C24" s="64" t="s">
        <v>1613</v>
      </c>
      <c r="D24" s="83">
        <v>12</v>
      </c>
      <c r="E24" s="83">
        <v>3</v>
      </c>
      <c r="F24" s="66">
        <f>2*$E24</f>
        <v>6</v>
      </c>
      <c r="G24" s="65"/>
      <c r="H24" s="66">
        <f t="shared" si="1"/>
        <v>6</v>
      </c>
      <c r="I24" s="65">
        <f>'04a_Box_Dims'!$R22</f>
        <v>2.5</v>
      </c>
      <c r="J24" s="66">
        <f>0</f>
        <v>0</v>
      </c>
      <c r="K24" s="66">
        <f t="shared" si="2"/>
        <v>2500</v>
      </c>
      <c r="L24" s="86">
        <f t="shared" si="3"/>
        <v>15</v>
      </c>
      <c r="M24" s="65">
        <f t="shared" si="4"/>
        <v>0.88781408390447547</v>
      </c>
      <c r="N24" s="86">
        <f t="shared" si="5"/>
        <v>13.317211258567133</v>
      </c>
      <c r="Q24" t="str">
        <f>'04a_Box_Dims'!$A37</f>
        <v>2/4x4 box culvert</v>
      </c>
      <c r="R24" t="str">
        <f>'04a_Box_Dims'!$B37</f>
        <v>BC|2/4x4</v>
      </c>
      <c r="S24" s="81">
        <f>SUMIFS($N$251:$N$264,$D$251:$D$264,S$8)</f>
        <v>2416.8272284066279</v>
      </c>
      <c r="T24" s="81">
        <f>SUMIFS($N$251:$N$264,$D$251:$D$264,T$8)</f>
        <v>8944.1817774900737</v>
      </c>
      <c r="U24" s="81">
        <f>SUMIFS($N$251:$N$264,$D$251:$D$264,U$8)</f>
        <v>1059.4581401260075</v>
      </c>
      <c r="V24" s="81">
        <f>SUMIFS($N$251:$N$264,$D$251:$D$264,V$8)</f>
        <v>0</v>
      </c>
      <c r="W24" s="81">
        <f>SUMIFS($N$251:$N$264,$D$251:$D$264,W$8)</f>
        <v>1572.1707735808423</v>
      </c>
      <c r="X24" s="81">
        <f t="shared" si="0"/>
        <v>13992.637919603552</v>
      </c>
    </row>
    <row r="25" spans="1:24" x14ac:dyDescent="0.3">
      <c r="A25" s="64"/>
      <c r="B25" s="64"/>
      <c r="C25" s="64"/>
      <c r="D25" s="83"/>
      <c r="E25" s="83"/>
      <c r="F25" s="66"/>
      <c r="G25" s="65"/>
      <c r="H25" s="66"/>
      <c r="I25" s="65"/>
      <c r="J25" s="66"/>
      <c r="K25" s="66"/>
      <c r="L25" s="86"/>
      <c r="M25" s="65"/>
      <c r="N25" s="86"/>
      <c r="Q25" t="str">
        <f>'04a_Box_Dims'!$A38</f>
        <v>3/4x4 box culvert</v>
      </c>
      <c r="R25" t="str">
        <f>'04a_Box_Dims'!$B38</f>
        <v>BC|3/4x4</v>
      </c>
      <c r="S25" s="81">
        <f>SUMIFS($N$267:$N$280,$D$267:$D$280,S$8)</f>
        <v>3403.287321633823</v>
      </c>
      <c r="T25" s="81">
        <f>SUMIFS($N$267:$N$280,$D$267:$D$280,T$8)</f>
        <v>10146.237656392537</v>
      </c>
      <c r="U25" s="81">
        <f>SUMIFS($N$267:$N$280,$D$267:$D$280,U$8)</f>
        <v>7776.3043733137074</v>
      </c>
      <c r="V25" s="81">
        <f>SUMIFS($N$267:$N$280,$D$267:$D$280,V$8)</f>
        <v>0</v>
      </c>
      <c r="W25" s="81">
        <f>SUMIFS($N$267:$N$280,$D$267:$D$280,W$8)</f>
        <v>1572.1707735808423</v>
      </c>
      <c r="X25" s="81">
        <f t="shared" si="0"/>
        <v>22898.000124920909</v>
      </c>
    </row>
    <row r="26" spans="1:24" x14ac:dyDescent="0.3">
      <c r="A26" s="80" t="str">
        <f>'04a_Box_Dims'!$A23&amp;"   ("&amp;'04a_Box_Dims'!$B23&amp;")   —   No. on project: "&amp;'04a_Box_Dims'!$F23&amp;",  L used = "&amp;TEXT('04a_Box_Dims'!$AE23,"0.00")&amp;" m"</f>
        <v>2/2x2 box culvert   (BC|2/2x2)   —   No. on project: 0,  L used = 10.00 m</v>
      </c>
      <c r="B26" s="80"/>
      <c r="C26" s="80"/>
      <c r="D26" s="84"/>
      <c r="E26" s="84"/>
      <c r="F26" s="85"/>
      <c r="G26" s="88"/>
      <c r="H26" s="85"/>
      <c r="I26" s="88"/>
      <c r="J26" s="85"/>
      <c r="K26" s="85"/>
      <c r="L26" s="87"/>
      <c r="M26" s="88"/>
      <c r="N26" s="87"/>
      <c r="Q26" t="str">
        <f>'04a_Box_Dims'!$A39</f>
        <v>4/4x4 box culvert</v>
      </c>
      <c r="R26" t="str">
        <f>'04a_Box_Dims'!$B39</f>
        <v>BC|4/4x4</v>
      </c>
      <c r="S26" s="81">
        <f>SUMIFS($N$283:$N$296,$D$283:$D$296,S$8)</f>
        <v>4389.7474148610172</v>
      </c>
      <c r="T26" s="81">
        <f>SUMIFS($N$283:$N$296,$D$283:$D$296,T$8)</f>
        <v>16309.087901223846</v>
      </c>
      <c r="U26" s="81">
        <f>SUMIFS($N$283:$N$296,$D$283:$D$296,U$8)</f>
        <v>12050.675415670872</v>
      </c>
      <c r="V26" s="81">
        <f>SUMIFS($N$283:$N$296,$D$283:$D$296,V$8)</f>
        <v>0</v>
      </c>
      <c r="W26" s="81">
        <f>SUMIFS($N$283:$N$296,$D$283:$D$296,W$8)</f>
        <v>1572.1707735808423</v>
      </c>
      <c r="X26" s="81">
        <f t="shared" si="0"/>
        <v>34321.681505336579</v>
      </c>
    </row>
    <row r="27" spans="1:24" x14ac:dyDescent="0.3">
      <c r="A27" s="64">
        <v>1</v>
      </c>
      <c r="B27" s="64" t="s">
        <v>1606</v>
      </c>
      <c r="C27" s="64" t="s">
        <v>1607</v>
      </c>
      <c r="D27" s="209">
        <v>12</v>
      </c>
      <c r="E27" s="209">
        <v>225</v>
      </c>
      <c r="F27" s="66">
        <f>1</f>
        <v>1</v>
      </c>
      <c r="G27" s="65">
        <f>'04a_Box_Dims'!$AE23</f>
        <v>10</v>
      </c>
      <c r="H27" s="66">
        <f t="shared" ref="H27:H40" si="6">IF($G27="",$F27,$F27*(FLOOR($G27*1000/$E27,1)+1))</f>
        <v>45</v>
      </c>
      <c r="I27" s="65">
        <f>'04a_Box_Dims'!$K23</f>
        <v>4.25</v>
      </c>
      <c r="J27" s="66">
        <f>2*BX_hook</f>
        <v>600</v>
      </c>
      <c r="K27" s="66">
        <f t="shared" ref="K27:K40" si="7">ROUND($I27*1000+$J27,0)</f>
        <v>4850</v>
      </c>
      <c r="L27" s="86">
        <f t="shared" ref="L27:L40" si="8">$H27*$K27/1000</f>
        <v>218.25</v>
      </c>
      <c r="M27" s="65">
        <f t="shared" ref="M27:M40" si="9">PI()/4*($D27/1000)^2*BX_rho</f>
        <v>0.88781408390447547</v>
      </c>
      <c r="N27" s="86">
        <f t="shared" ref="N27:N40" si="10">$L27*$M27</f>
        <v>193.76542381215177</v>
      </c>
      <c r="Q27" t="str">
        <f>'04a_Box_Dims'!$A40</f>
        <v>2/3x2.4 box culvert</v>
      </c>
      <c r="R27" t="str">
        <f>'04a_Box_Dims'!$B40</f>
        <v>BC|2/3x2.4</v>
      </c>
      <c r="S27" s="81">
        <f>SUMIFS($N$299:$N$312,$D$299:$D$312,S$8)</f>
        <v>1171.4213607072938</v>
      </c>
      <c r="T27" s="81">
        <f>SUMIFS($N$299:$N$312,$D$299:$D$312,T$8)</f>
        <v>4432.7225488224603</v>
      </c>
      <c r="U27" s="81">
        <f>SUMIFS($N$299:$N$312,$D$299:$D$312,U$8)</f>
        <v>1440.4684865340791</v>
      </c>
      <c r="V27" s="81">
        <f>SUMIFS($N$299:$N$312,$D$299:$D$312,V$8)</f>
        <v>0</v>
      </c>
      <c r="W27" s="81">
        <f>SUMIFS($N$299:$N$312,$D$299:$D$312,W$8)</f>
        <v>0</v>
      </c>
      <c r="X27" s="81">
        <f t="shared" si="0"/>
        <v>7044.6123960638324</v>
      </c>
    </row>
    <row r="28" spans="1:24" x14ac:dyDescent="0.3">
      <c r="A28" s="64">
        <v>2</v>
      </c>
      <c r="B28" s="64" t="s">
        <v>1608</v>
      </c>
      <c r="C28" s="64" t="s">
        <v>1607</v>
      </c>
      <c r="D28" s="209">
        <v>12</v>
      </c>
      <c r="E28" s="209">
        <v>200</v>
      </c>
      <c r="F28" s="66">
        <f>1</f>
        <v>1</v>
      </c>
      <c r="G28" s="65">
        <f>'04a_Box_Dims'!$AE23</f>
        <v>10</v>
      </c>
      <c r="H28" s="66">
        <f t="shared" si="6"/>
        <v>51</v>
      </c>
      <c r="I28" s="65">
        <f>'04a_Box_Dims'!$K23</f>
        <v>4.25</v>
      </c>
      <c r="J28" s="66">
        <f>2*BX_hook</f>
        <v>600</v>
      </c>
      <c r="K28" s="66">
        <f t="shared" si="7"/>
        <v>4850</v>
      </c>
      <c r="L28" s="86">
        <f t="shared" si="8"/>
        <v>247.35</v>
      </c>
      <c r="M28" s="65">
        <f t="shared" si="9"/>
        <v>0.88781408390447547</v>
      </c>
      <c r="N28" s="86">
        <f t="shared" si="10"/>
        <v>219.60081365377201</v>
      </c>
    </row>
    <row r="29" spans="1:24" x14ac:dyDescent="0.3">
      <c r="A29" s="64">
        <v>3</v>
      </c>
      <c r="B29" s="64" t="s">
        <v>1609</v>
      </c>
      <c r="C29" s="64" t="s">
        <v>1607</v>
      </c>
      <c r="D29" s="209">
        <v>12</v>
      </c>
      <c r="E29" s="209">
        <v>140</v>
      </c>
      <c r="F29" s="66">
        <f>1</f>
        <v>1</v>
      </c>
      <c r="G29" s="65">
        <f>'04a_Box_Dims'!$AE23</f>
        <v>10</v>
      </c>
      <c r="H29" s="66">
        <f t="shared" si="6"/>
        <v>72</v>
      </c>
      <c r="I29" s="65">
        <f>'04a_Box_Dims'!$K23</f>
        <v>4.25</v>
      </c>
      <c r="J29" s="66">
        <f>2*BX_hook</f>
        <v>600</v>
      </c>
      <c r="K29" s="66">
        <f t="shared" si="7"/>
        <v>4850</v>
      </c>
      <c r="L29" s="86">
        <f t="shared" si="8"/>
        <v>349.2</v>
      </c>
      <c r="M29" s="65">
        <f t="shared" si="9"/>
        <v>0.88781408390447547</v>
      </c>
      <c r="N29" s="86">
        <f t="shared" si="10"/>
        <v>310.02467809944284</v>
      </c>
    </row>
    <row r="30" spans="1:24" x14ac:dyDescent="0.3">
      <c r="A30" s="64">
        <v>4</v>
      </c>
      <c r="B30" s="64" t="s">
        <v>1610</v>
      </c>
      <c r="C30" s="64" t="s">
        <v>1607</v>
      </c>
      <c r="D30" s="209">
        <v>12</v>
      </c>
      <c r="E30" s="209">
        <v>215</v>
      </c>
      <c r="F30" s="66">
        <f>1</f>
        <v>1</v>
      </c>
      <c r="G30" s="65">
        <f>'04a_Box_Dims'!$AE23</f>
        <v>10</v>
      </c>
      <c r="H30" s="66">
        <f t="shared" si="6"/>
        <v>47</v>
      </c>
      <c r="I30" s="65">
        <f>'04a_Box_Dims'!$K23</f>
        <v>4.25</v>
      </c>
      <c r="J30" s="66">
        <f>2*BX_hook</f>
        <v>600</v>
      </c>
      <c r="K30" s="66">
        <f t="shared" si="7"/>
        <v>4850</v>
      </c>
      <c r="L30" s="86">
        <f t="shared" si="8"/>
        <v>227.95</v>
      </c>
      <c r="M30" s="65">
        <f t="shared" si="9"/>
        <v>0.88781408390447547</v>
      </c>
      <c r="N30" s="86">
        <f t="shared" si="10"/>
        <v>202.37722042602516</v>
      </c>
    </row>
    <row r="31" spans="1:24" x14ac:dyDescent="0.3">
      <c r="A31" s="64">
        <v>5</v>
      </c>
      <c r="B31" s="64" t="s">
        <v>1611</v>
      </c>
      <c r="C31" s="64" t="s">
        <v>1607</v>
      </c>
      <c r="D31" s="209">
        <v>10</v>
      </c>
      <c r="E31" s="209">
        <v>155</v>
      </c>
      <c r="F31" s="66">
        <f>2</f>
        <v>2</v>
      </c>
      <c r="G31" s="65">
        <f>'04a_Box_Dims'!$K23</f>
        <v>4.25</v>
      </c>
      <c r="H31" s="66">
        <f t="shared" si="6"/>
        <v>56</v>
      </c>
      <c r="I31" s="65">
        <f>'04a_Box_Dims'!$AE23</f>
        <v>10</v>
      </c>
      <c r="J31" s="66">
        <f>0</f>
        <v>0</v>
      </c>
      <c r="K31" s="66">
        <f t="shared" si="7"/>
        <v>10000</v>
      </c>
      <c r="L31" s="86">
        <f t="shared" si="8"/>
        <v>560</v>
      </c>
      <c r="M31" s="65">
        <f t="shared" si="9"/>
        <v>0.61653755826699685</v>
      </c>
      <c r="N31" s="86">
        <f t="shared" si="10"/>
        <v>345.26103262951824</v>
      </c>
    </row>
    <row r="32" spans="1:24" x14ac:dyDescent="0.3">
      <c r="A32" s="64">
        <v>6</v>
      </c>
      <c r="B32" s="64" t="s">
        <v>1612</v>
      </c>
      <c r="C32" s="64" t="s">
        <v>1613</v>
      </c>
      <c r="D32" s="209">
        <v>12</v>
      </c>
      <c r="E32" s="209">
        <v>225</v>
      </c>
      <c r="F32" s="66">
        <f>4</f>
        <v>4</v>
      </c>
      <c r="G32" s="65">
        <f>'04a_Box_Dims'!$AE23</f>
        <v>10</v>
      </c>
      <c r="H32" s="66">
        <f t="shared" si="6"/>
        <v>180</v>
      </c>
      <c r="I32" s="65">
        <f>'04a_Box_Dims'!$M23</f>
        <v>2.25</v>
      </c>
      <c r="J32" s="66">
        <f>2*BX_hook</f>
        <v>600</v>
      </c>
      <c r="K32" s="66">
        <f t="shared" si="7"/>
        <v>2850</v>
      </c>
      <c r="L32" s="86">
        <f t="shared" si="8"/>
        <v>513</v>
      </c>
      <c r="M32" s="65">
        <f t="shared" si="9"/>
        <v>0.88781408390447547</v>
      </c>
      <c r="N32" s="86">
        <f t="shared" si="10"/>
        <v>455.4486250429959</v>
      </c>
    </row>
    <row r="33" spans="1:14" x14ac:dyDescent="0.3">
      <c r="A33" s="64">
        <v>7</v>
      </c>
      <c r="B33" s="64" t="s">
        <v>1614</v>
      </c>
      <c r="C33" s="64" t="s">
        <v>1613</v>
      </c>
      <c r="D33" s="209">
        <v>12</v>
      </c>
      <c r="E33" s="209">
        <v>225</v>
      </c>
      <c r="F33" s="66">
        <f>2*('04a_Box_Dims'!$C23)-2</f>
        <v>2</v>
      </c>
      <c r="G33" s="65">
        <f>'04a_Box_Dims'!$AE23</f>
        <v>10</v>
      </c>
      <c r="H33" s="66">
        <f t="shared" si="6"/>
        <v>90</v>
      </c>
      <c r="I33" s="65">
        <f>'04a_Box_Dims'!$M23</f>
        <v>2.25</v>
      </c>
      <c r="J33" s="66">
        <f>2*BX_hook</f>
        <v>600</v>
      </c>
      <c r="K33" s="66">
        <f t="shared" si="7"/>
        <v>2850</v>
      </c>
      <c r="L33" s="86">
        <f t="shared" si="8"/>
        <v>256.5</v>
      </c>
      <c r="M33" s="65">
        <f t="shared" si="9"/>
        <v>0.88781408390447547</v>
      </c>
      <c r="N33" s="86">
        <f t="shared" si="10"/>
        <v>227.72431252149795</v>
      </c>
    </row>
    <row r="34" spans="1:14" x14ac:dyDescent="0.3">
      <c r="A34" s="64">
        <v>8</v>
      </c>
      <c r="B34" s="64" t="s">
        <v>1615</v>
      </c>
      <c r="C34" s="64" t="s">
        <v>1607</v>
      </c>
      <c r="D34" s="209">
        <v>10</v>
      </c>
      <c r="E34" s="209">
        <v>155</v>
      </c>
      <c r="F34" s="66">
        <f>('04a_Box_Dims'!$C23+1)*2</f>
        <v>6</v>
      </c>
      <c r="G34" s="65">
        <f>'04a_Box_Dims'!$M23</f>
        <v>2.25</v>
      </c>
      <c r="H34" s="66">
        <f t="shared" si="6"/>
        <v>90</v>
      </c>
      <c r="I34" s="65">
        <f>'04a_Box_Dims'!$AE23</f>
        <v>10</v>
      </c>
      <c r="J34" s="66">
        <f>0</f>
        <v>0</v>
      </c>
      <c r="K34" s="66">
        <f t="shared" si="7"/>
        <v>10000</v>
      </c>
      <c r="L34" s="86">
        <f t="shared" si="8"/>
        <v>900</v>
      </c>
      <c r="M34" s="65">
        <f t="shared" si="9"/>
        <v>0.61653755826699685</v>
      </c>
      <c r="N34" s="86">
        <f t="shared" si="10"/>
        <v>554.88380244029713</v>
      </c>
    </row>
    <row r="35" spans="1:14" x14ac:dyDescent="0.3">
      <c r="A35" s="64">
        <v>9</v>
      </c>
      <c r="B35" s="64" t="s">
        <v>1616</v>
      </c>
      <c r="C35" s="64" t="s">
        <v>1617</v>
      </c>
      <c r="D35" s="209">
        <v>12</v>
      </c>
      <c r="E35" s="209">
        <v>2</v>
      </c>
      <c r="F35" s="66">
        <f>4*('04a_Box_Dims'!$C23)*$E35</f>
        <v>16</v>
      </c>
      <c r="G35" s="65"/>
      <c r="H35" s="66">
        <f t="shared" si="6"/>
        <v>16</v>
      </c>
      <c r="I35" s="65">
        <f>'04a_Box_Dims'!$AE23</f>
        <v>10</v>
      </c>
      <c r="J35" s="66">
        <f>0</f>
        <v>0</v>
      </c>
      <c r="K35" s="66">
        <f t="shared" si="7"/>
        <v>10000</v>
      </c>
      <c r="L35" s="86">
        <f t="shared" si="8"/>
        <v>160</v>
      </c>
      <c r="M35" s="65">
        <f t="shared" si="9"/>
        <v>0.88781408390447547</v>
      </c>
      <c r="N35" s="86">
        <f t="shared" si="10"/>
        <v>142.05025342471606</v>
      </c>
    </row>
    <row r="36" spans="1:14" x14ac:dyDescent="0.3">
      <c r="A36" s="64">
        <v>10</v>
      </c>
      <c r="B36" s="64" t="s">
        <v>1618</v>
      </c>
      <c r="C36" s="64" t="s">
        <v>1619</v>
      </c>
      <c r="D36" s="209">
        <v>16</v>
      </c>
      <c r="E36" s="209">
        <v>120</v>
      </c>
      <c r="F36" s="66">
        <f>4</f>
        <v>4</v>
      </c>
      <c r="G36" s="65">
        <f>'04a_Box_Dims'!$Z23</f>
        <v>2.1213203435596424</v>
      </c>
      <c r="H36" s="66">
        <f t="shared" si="6"/>
        <v>72</v>
      </c>
      <c r="I36" s="65">
        <f>'04a_Box_Dims'!$W23</f>
        <v>3.7</v>
      </c>
      <c r="J36" s="66">
        <f>BX_wwbend</f>
        <v>900</v>
      </c>
      <c r="K36" s="66">
        <f t="shared" si="7"/>
        <v>4600</v>
      </c>
      <c r="L36" s="86">
        <f t="shared" si="8"/>
        <v>331.2</v>
      </c>
      <c r="M36" s="65">
        <f t="shared" si="9"/>
        <v>1.5783361491635119</v>
      </c>
      <c r="N36" s="86">
        <f t="shared" si="10"/>
        <v>522.74493260295515</v>
      </c>
    </row>
    <row r="37" spans="1:14" x14ac:dyDescent="0.3">
      <c r="A37" s="64">
        <v>11</v>
      </c>
      <c r="B37" s="64" t="s">
        <v>1620</v>
      </c>
      <c r="C37" s="64" t="s">
        <v>1607</v>
      </c>
      <c r="D37" s="209">
        <v>12</v>
      </c>
      <c r="E37" s="209">
        <v>180</v>
      </c>
      <c r="F37" s="66">
        <f>8</f>
        <v>8</v>
      </c>
      <c r="G37" s="65">
        <f>'04a_Box_Dims'!$W23</f>
        <v>3.7</v>
      </c>
      <c r="H37" s="66">
        <f t="shared" si="6"/>
        <v>168</v>
      </c>
      <c r="I37" s="65">
        <f>'04a_Box_Dims'!$Z23</f>
        <v>2.1213203435596424</v>
      </c>
      <c r="J37" s="66">
        <f>0</f>
        <v>0</v>
      </c>
      <c r="K37" s="66">
        <f t="shared" si="7"/>
        <v>2121</v>
      </c>
      <c r="L37" s="86">
        <f t="shared" si="8"/>
        <v>356.32799999999997</v>
      </c>
      <c r="M37" s="65">
        <f t="shared" si="9"/>
        <v>0.88781408390447547</v>
      </c>
      <c r="N37" s="86">
        <f t="shared" si="10"/>
        <v>316.35301688951392</v>
      </c>
    </row>
    <row r="38" spans="1:14" x14ac:dyDescent="0.3">
      <c r="A38" s="64">
        <v>12</v>
      </c>
      <c r="B38" s="64" t="s">
        <v>1621</v>
      </c>
      <c r="C38" s="64" t="s">
        <v>1622</v>
      </c>
      <c r="D38" s="83">
        <v>12</v>
      </c>
      <c r="E38" s="83">
        <v>200</v>
      </c>
      <c r="F38" s="66">
        <f>4</f>
        <v>4</v>
      </c>
      <c r="G38" s="65">
        <f>'04a_Box_Dims'!$J23</f>
        <v>4.75</v>
      </c>
      <c r="H38" s="66">
        <f t="shared" si="6"/>
        <v>96</v>
      </c>
      <c r="I38" s="65">
        <f>'04a_Box_Dims'!$J23</f>
        <v>4.75</v>
      </c>
      <c r="J38" s="66">
        <f>2*BX_hook</f>
        <v>600</v>
      </c>
      <c r="K38" s="66">
        <f t="shared" si="7"/>
        <v>5350</v>
      </c>
      <c r="L38" s="86">
        <f t="shared" si="8"/>
        <v>513.6</v>
      </c>
      <c r="M38" s="65">
        <f t="shared" si="9"/>
        <v>0.88781408390447547</v>
      </c>
      <c r="N38" s="86">
        <f t="shared" si="10"/>
        <v>455.98131349333863</v>
      </c>
    </row>
    <row r="39" spans="1:14" x14ac:dyDescent="0.3">
      <c r="A39" s="64">
        <v>13</v>
      </c>
      <c r="B39" s="64" t="s">
        <v>1623</v>
      </c>
      <c r="C39" s="64" t="s">
        <v>1607</v>
      </c>
      <c r="D39" s="209">
        <v>12</v>
      </c>
      <c r="E39" s="209">
        <v>225</v>
      </c>
      <c r="F39" s="66">
        <f>4</f>
        <v>4</v>
      </c>
      <c r="G39" s="65">
        <f>'04a_Box_Dims'!$J23</f>
        <v>4.75</v>
      </c>
      <c r="H39" s="66">
        <f t="shared" si="6"/>
        <v>88</v>
      </c>
      <c r="I39" s="65">
        <f>'04a_Box_Dims'!$J23</f>
        <v>4.75</v>
      </c>
      <c r="J39" s="66">
        <f>0</f>
        <v>0</v>
      </c>
      <c r="K39" s="66">
        <f t="shared" si="7"/>
        <v>4750</v>
      </c>
      <c r="L39" s="86">
        <f t="shared" si="8"/>
        <v>418</v>
      </c>
      <c r="M39" s="65">
        <f t="shared" si="9"/>
        <v>0.88781408390447547</v>
      </c>
      <c r="N39" s="86">
        <f t="shared" si="10"/>
        <v>371.10628707207076</v>
      </c>
    </row>
    <row r="40" spans="1:14" x14ac:dyDescent="0.3">
      <c r="A40" s="64">
        <v>14</v>
      </c>
      <c r="B40" s="64" t="s">
        <v>1624</v>
      </c>
      <c r="C40" s="64" t="s">
        <v>1613</v>
      </c>
      <c r="D40" s="83">
        <v>12</v>
      </c>
      <c r="E40" s="83">
        <v>3</v>
      </c>
      <c r="F40" s="66">
        <f>2*$E40</f>
        <v>6</v>
      </c>
      <c r="G40" s="65"/>
      <c r="H40" s="66">
        <f t="shared" si="6"/>
        <v>6</v>
      </c>
      <c r="I40" s="65">
        <f>'04a_Box_Dims'!$R23</f>
        <v>4.75</v>
      </c>
      <c r="J40" s="66">
        <f>0</f>
        <v>0</v>
      </c>
      <c r="K40" s="66">
        <f t="shared" si="7"/>
        <v>4750</v>
      </c>
      <c r="L40" s="86">
        <f t="shared" si="8"/>
        <v>28.5</v>
      </c>
      <c r="M40" s="65">
        <f t="shared" si="9"/>
        <v>0.88781408390447547</v>
      </c>
      <c r="N40" s="86">
        <f t="shared" si="10"/>
        <v>25.302701391277552</v>
      </c>
    </row>
    <row r="41" spans="1:14" x14ac:dyDescent="0.3">
      <c r="A41" s="64"/>
      <c r="B41" s="64"/>
      <c r="C41" s="64"/>
      <c r="D41" s="83"/>
      <c r="E41" s="83"/>
      <c r="F41" s="66"/>
      <c r="G41" s="65"/>
      <c r="H41" s="66"/>
      <c r="I41" s="65"/>
      <c r="J41" s="66"/>
      <c r="K41" s="66"/>
      <c r="L41" s="86"/>
      <c r="M41" s="65"/>
      <c r="N41" s="86"/>
    </row>
    <row r="42" spans="1:14" x14ac:dyDescent="0.3">
      <c r="A42" s="80" t="str">
        <f>'04a_Box_Dims'!$A24&amp;"   ("&amp;'04a_Box_Dims'!$B24&amp;")   —   No. on project: "&amp;'04a_Box_Dims'!$F24&amp;",  L used = "&amp;TEXT('04a_Box_Dims'!$AE24,"0.00")&amp;" m"</f>
        <v>3/2x2 box culvert   (BC|3/2x2)   —   No. on project: 0,  L used = 10.00 m</v>
      </c>
      <c r="B42" s="80"/>
      <c r="C42" s="80"/>
      <c r="D42" s="84"/>
      <c r="E42" s="84"/>
      <c r="F42" s="85"/>
      <c r="G42" s="88"/>
      <c r="H42" s="85"/>
      <c r="I42" s="88"/>
      <c r="J42" s="85"/>
      <c r="K42" s="85"/>
      <c r="L42" s="87"/>
      <c r="M42" s="88"/>
      <c r="N42" s="87"/>
    </row>
    <row r="43" spans="1:14" x14ac:dyDescent="0.3">
      <c r="A43" s="64">
        <v>1</v>
      </c>
      <c r="B43" s="64" t="s">
        <v>1606</v>
      </c>
      <c r="C43" s="64" t="s">
        <v>1607</v>
      </c>
      <c r="D43" s="209">
        <v>12</v>
      </c>
      <c r="E43" s="209">
        <v>225</v>
      </c>
      <c r="F43" s="66">
        <f>1</f>
        <v>1</v>
      </c>
      <c r="G43" s="65">
        <f>'04a_Box_Dims'!$AE24</f>
        <v>10</v>
      </c>
      <c r="H43" s="66">
        <f t="shared" ref="H43:H56" si="11">IF($G43="",$F43,$F43*(FLOOR($G43*1000/$E43,1)+1))</f>
        <v>45</v>
      </c>
      <c r="I43" s="65">
        <f>'04a_Box_Dims'!$K24</f>
        <v>6.5</v>
      </c>
      <c r="J43" s="66">
        <f>2*BX_hook</f>
        <v>600</v>
      </c>
      <c r="K43" s="66">
        <f t="shared" ref="K43:K56" si="12">ROUND($I43*1000+$J43,0)</f>
        <v>7100</v>
      </c>
      <c r="L43" s="86">
        <f t="shared" ref="L43:L56" si="13">$H43*$K43/1000</f>
        <v>319.5</v>
      </c>
      <c r="M43" s="65">
        <f t="shared" ref="M43:M56" si="14">PI()/4*($D43/1000)^2*BX_rho</f>
        <v>0.88781408390447547</v>
      </c>
      <c r="N43" s="86">
        <f t="shared" ref="N43:N56" si="15">$L43*$M43</f>
        <v>283.65659980747989</v>
      </c>
    </row>
    <row r="44" spans="1:14" x14ac:dyDescent="0.3">
      <c r="A44" s="64">
        <v>2</v>
      </c>
      <c r="B44" s="64" t="s">
        <v>1608</v>
      </c>
      <c r="C44" s="64" t="s">
        <v>1607</v>
      </c>
      <c r="D44" s="209">
        <v>12</v>
      </c>
      <c r="E44" s="209">
        <v>190</v>
      </c>
      <c r="F44" s="66">
        <f>1</f>
        <v>1</v>
      </c>
      <c r="G44" s="65">
        <f>'04a_Box_Dims'!$AE24</f>
        <v>10</v>
      </c>
      <c r="H44" s="66">
        <f t="shared" si="11"/>
        <v>53</v>
      </c>
      <c r="I44" s="65">
        <f>'04a_Box_Dims'!$K24</f>
        <v>6.5</v>
      </c>
      <c r="J44" s="66">
        <f>2*BX_hook</f>
        <v>600</v>
      </c>
      <c r="K44" s="66">
        <f t="shared" si="12"/>
        <v>7100</v>
      </c>
      <c r="L44" s="86">
        <f t="shared" si="13"/>
        <v>376.3</v>
      </c>
      <c r="M44" s="65">
        <f t="shared" si="14"/>
        <v>0.88781408390447547</v>
      </c>
      <c r="N44" s="86">
        <f t="shared" si="15"/>
        <v>334.08443977325413</v>
      </c>
    </row>
    <row r="45" spans="1:14" x14ac:dyDescent="0.3">
      <c r="A45" s="64">
        <v>3</v>
      </c>
      <c r="B45" s="64" t="s">
        <v>1609</v>
      </c>
      <c r="C45" s="64" t="s">
        <v>1607</v>
      </c>
      <c r="D45" s="209">
        <v>12</v>
      </c>
      <c r="E45" s="209">
        <v>135</v>
      </c>
      <c r="F45" s="66">
        <f>1</f>
        <v>1</v>
      </c>
      <c r="G45" s="65">
        <f>'04a_Box_Dims'!$AE24</f>
        <v>10</v>
      </c>
      <c r="H45" s="66">
        <f t="shared" si="11"/>
        <v>75</v>
      </c>
      <c r="I45" s="65">
        <f>'04a_Box_Dims'!$K24</f>
        <v>6.5</v>
      </c>
      <c r="J45" s="66">
        <f>2*BX_hook</f>
        <v>600</v>
      </c>
      <c r="K45" s="66">
        <f t="shared" si="12"/>
        <v>7100</v>
      </c>
      <c r="L45" s="86">
        <f t="shared" si="13"/>
        <v>532.5</v>
      </c>
      <c r="M45" s="65">
        <f t="shared" si="14"/>
        <v>0.88781408390447547</v>
      </c>
      <c r="N45" s="86">
        <f t="shared" si="15"/>
        <v>472.76099967913319</v>
      </c>
    </row>
    <row r="46" spans="1:14" x14ac:dyDescent="0.3">
      <c r="A46" s="64">
        <v>4</v>
      </c>
      <c r="B46" s="64" t="s">
        <v>1610</v>
      </c>
      <c r="C46" s="64" t="s">
        <v>1607</v>
      </c>
      <c r="D46" s="209">
        <v>12</v>
      </c>
      <c r="E46" s="209">
        <v>205</v>
      </c>
      <c r="F46" s="66">
        <f>1</f>
        <v>1</v>
      </c>
      <c r="G46" s="65">
        <f>'04a_Box_Dims'!$AE24</f>
        <v>10</v>
      </c>
      <c r="H46" s="66">
        <f t="shared" si="11"/>
        <v>49</v>
      </c>
      <c r="I46" s="65">
        <f>'04a_Box_Dims'!$K24</f>
        <v>6.5</v>
      </c>
      <c r="J46" s="66">
        <f>2*BX_hook</f>
        <v>600</v>
      </c>
      <c r="K46" s="66">
        <f t="shared" si="12"/>
        <v>7100</v>
      </c>
      <c r="L46" s="86">
        <f t="shared" si="13"/>
        <v>347.9</v>
      </c>
      <c r="M46" s="65">
        <f t="shared" si="14"/>
        <v>0.88781408390447547</v>
      </c>
      <c r="N46" s="86">
        <f t="shared" si="15"/>
        <v>308.87051979036698</v>
      </c>
    </row>
    <row r="47" spans="1:14" x14ac:dyDescent="0.3">
      <c r="A47" s="64">
        <v>5</v>
      </c>
      <c r="B47" s="64" t="s">
        <v>1611</v>
      </c>
      <c r="C47" s="64" t="s">
        <v>1607</v>
      </c>
      <c r="D47" s="209">
        <v>10</v>
      </c>
      <c r="E47" s="209">
        <v>155</v>
      </c>
      <c r="F47" s="66">
        <f>2</f>
        <v>2</v>
      </c>
      <c r="G47" s="65">
        <f>'04a_Box_Dims'!$K24</f>
        <v>6.5</v>
      </c>
      <c r="H47" s="66">
        <f t="shared" si="11"/>
        <v>84</v>
      </c>
      <c r="I47" s="65">
        <f>'04a_Box_Dims'!$AE24</f>
        <v>10</v>
      </c>
      <c r="J47" s="66">
        <f>0</f>
        <v>0</v>
      </c>
      <c r="K47" s="66">
        <f t="shared" si="12"/>
        <v>10000</v>
      </c>
      <c r="L47" s="86">
        <f t="shared" si="13"/>
        <v>840</v>
      </c>
      <c r="M47" s="65">
        <f t="shared" si="14"/>
        <v>0.61653755826699685</v>
      </c>
      <c r="N47" s="86">
        <f t="shared" si="15"/>
        <v>517.89154894427736</v>
      </c>
    </row>
    <row r="48" spans="1:14" x14ac:dyDescent="0.3">
      <c r="A48" s="64">
        <v>6</v>
      </c>
      <c r="B48" s="64" t="s">
        <v>1612</v>
      </c>
      <c r="C48" s="64" t="s">
        <v>1613</v>
      </c>
      <c r="D48" s="209">
        <v>12</v>
      </c>
      <c r="E48" s="209">
        <v>225</v>
      </c>
      <c r="F48" s="66">
        <f>4</f>
        <v>4</v>
      </c>
      <c r="G48" s="65">
        <f>'04a_Box_Dims'!$AE24</f>
        <v>10</v>
      </c>
      <c r="H48" s="66">
        <f t="shared" si="11"/>
        <v>180</v>
      </c>
      <c r="I48" s="65">
        <f>'04a_Box_Dims'!$M24</f>
        <v>2.25</v>
      </c>
      <c r="J48" s="66">
        <f>2*BX_hook</f>
        <v>600</v>
      </c>
      <c r="K48" s="66">
        <f t="shared" si="12"/>
        <v>2850</v>
      </c>
      <c r="L48" s="86">
        <f t="shared" si="13"/>
        <v>513</v>
      </c>
      <c r="M48" s="65">
        <f t="shared" si="14"/>
        <v>0.88781408390447547</v>
      </c>
      <c r="N48" s="86">
        <f t="shared" si="15"/>
        <v>455.4486250429959</v>
      </c>
    </row>
    <row r="49" spans="1:14" x14ac:dyDescent="0.3">
      <c r="A49" s="64">
        <v>7</v>
      </c>
      <c r="B49" s="64" t="s">
        <v>1614</v>
      </c>
      <c r="C49" s="64" t="s">
        <v>1613</v>
      </c>
      <c r="D49" s="209">
        <v>12</v>
      </c>
      <c r="E49" s="209">
        <v>225</v>
      </c>
      <c r="F49" s="66">
        <f>2*('04a_Box_Dims'!$C24)-2</f>
        <v>4</v>
      </c>
      <c r="G49" s="65">
        <f>'04a_Box_Dims'!$AE24</f>
        <v>10</v>
      </c>
      <c r="H49" s="66">
        <f t="shared" si="11"/>
        <v>180</v>
      </c>
      <c r="I49" s="65">
        <f>'04a_Box_Dims'!$M24</f>
        <v>2.25</v>
      </c>
      <c r="J49" s="66">
        <f>2*BX_hook</f>
        <v>600</v>
      </c>
      <c r="K49" s="66">
        <f t="shared" si="12"/>
        <v>2850</v>
      </c>
      <c r="L49" s="86">
        <f t="shared" si="13"/>
        <v>513</v>
      </c>
      <c r="M49" s="65">
        <f t="shared" si="14"/>
        <v>0.88781408390447547</v>
      </c>
      <c r="N49" s="86">
        <f t="shared" si="15"/>
        <v>455.4486250429959</v>
      </c>
    </row>
    <row r="50" spans="1:14" x14ac:dyDescent="0.3">
      <c r="A50" s="64">
        <v>8</v>
      </c>
      <c r="B50" s="64" t="s">
        <v>1615</v>
      </c>
      <c r="C50" s="64" t="s">
        <v>1607</v>
      </c>
      <c r="D50" s="209">
        <v>10</v>
      </c>
      <c r="E50" s="209">
        <v>155</v>
      </c>
      <c r="F50" s="66">
        <f>('04a_Box_Dims'!$C24+1)*2</f>
        <v>8</v>
      </c>
      <c r="G50" s="65">
        <f>'04a_Box_Dims'!$M24</f>
        <v>2.25</v>
      </c>
      <c r="H50" s="66">
        <f t="shared" si="11"/>
        <v>120</v>
      </c>
      <c r="I50" s="65">
        <f>'04a_Box_Dims'!$AE24</f>
        <v>10</v>
      </c>
      <c r="J50" s="66">
        <f>0</f>
        <v>0</v>
      </c>
      <c r="K50" s="66">
        <f t="shared" si="12"/>
        <v>10000</v>
      </c>
      <c r="L50" s="86">
        <f t="shared" si="13"/>
        <v>1200</v>
      </c>
      <c r="M50" s="65">
        <f t="shared" si="14"/>
        <v>0.61653755826699685</v>
      </c>
      <c r="N50" s="86">
        <f t="shared" si="15"/>
        <v>739.84506992039621</v>
      </c>
    </row>
    <row r="51" spans="1:14" x14ac:dyDescent="0.3">
      <c r="A51" s="64">
        <v>9</v>
      </c>
      <c r="B51" s="64" t="s">
        <v>1616</v>
      </c>
      <c r="C51" s="64" t="s">
        <v>1617</v>
      </c>
      <c r="D51" s="209">
        <v>12</v>
      </c>
      <c r="E51" s="209">
        <v>2</v>
      </c>
      <c r="F51" s="66">
        <f>4*('04a_Box_Dims'!$C24)*$E51</f>
        <v>24</v>
      </c>
      <c r="G51" s="65"/>
      <c r="H51" s="66">
        <f t="shared" si="11"/>
        <v>24</v>
      </c>
      <c r="I51" s="65">
        <f>'04a_Box_Dims'!$AE24</f>
        <v>10</v>
      </c>
      <c r="J51" s="66">
        <f>0</f>
        <v>0</v>
      </c>
      <c r="K51" s="66">
        <f t="shared" si="12"/>
        <v>10000</v>
      </c>
      <c r="L51" s="86">
        <f t="shared" si="13"/>
        <v>240</v>
      </c>
      <c r="M51" s="65">
        <f t="shared" si="14"/>
        <v>0.88781408390447547</v>
      </c>
      <c r="N51" s="86">
        <f t="shared" si="15"/>
        <v>213.07538013707412</v>
      </c>
    </row>
    <row r="52" spans="1:14" x14ac:dyDescent="0.3">
      <c r="A52" s="64">
        <v>10</v>
      </c>
      <c r="B52" s="64" t="s">
        <v>1618</v>
      </c>
      <c r="C52" s="64" t="s">
        <v>1619</v>
      </c>
      <c r="D52" s="209">
        <v>16</v>
      </c>
      <c r="E52" s="209">
        <v>120</v>
      </c>
      <c r="F52" s="66">
        <f>4</f>
        <v>4</v>
      </c>
      <c r="G52" s="65">
        <f>'04a_Box_Dims'!$Z24</f>
        <v>2.1213203435596424</v>
      </c>
      <c r="H52" s="66">
        <f t="shared" si="11"/>
        <v>72</v>
      </c>
      <c r="I52" s="65">
        <f>'04a_Box_Dims'!$W24</f>
        <v>3.7</v>
      </c>
      <c r="J52" s="66">
        <f>BX_wwbend</f>
        <v>900</v>
      </c>
      <c r="K52" s="66">
        <f t="shared" si="12"/>
        <v>4600</v>
      </c>
      <c r="L52" s="86">
        <f t="shared" si="13"/>
        <v>331.2</v>
      </c>
      <c r="M52" s="65">
        <f t="shared" si="14"/>
        <v>1.5783361491635119</v>
      </c>
      <c r="N52" s="86">
        <f t="shared" si="15"/>
        <v>522.74493260295515</v>
      </c>
    </row>
    <row r="53" spans="1:14" x14ac:dyDescent="0.3">
      <c r="A53" s="64">
        <v>11</v>
      </c>
      <c r="B53" s="64" t="s">
        <v>1620</v>
      </c>
      <c r="C53" s="64" t="s">
        <v>1607</v>
      </c>
      <c r="D53" s="209">
        <v>12</v>
      </c>
      <c r="E53" s="209">
        <v>180</v>
      </c>
      <c r="F53" s="66">
        <f>8</f>
        <v>8</v>
      </c>
      <c r="G53" s="65">
        <f>'04a_Box_Dims'!$W24</f>
        <v>3.7</v>
      </c>
      <c r="H53" s="66">
        <f t="shared" si="11"/>
        <v>168</v>
      </c>
      <c r="I53" s="65">
        <f>'04a_Box_Dims'!$Z24</f>
        <v>2.1213203435596424</v>
      </c>
      <c r="J53" s="66">
        <f>0</f>
        <v>0</v>
      </c>
      <c r="K53" s="66">
        <f t="shared" si="12"/>
        <v>2121</v>
      </c>
      <c r="L53" s="86">
        <f t="shared" si="13"/>
        <v>356.32799999999997</v>
      </c>
      <c r="M53" s="65">
        <f t="shared" si="14"/>
        <v>0.88781408390447547</v>
      </c>
      <c r="N53" s="86">
        <f t="shared" si="15"/>
        <v>316.35301688951392</v>
      </c>
    </row>
    <row r="54" spans="1:14" x14ac:dyDescent="0.3">
      <c r="A54" s="64">
        <v>12</v>
      </c>
      <c r="B54" s="64" t="s">
        <v>1621</v>
      </c>
      <c r="C54" s="64" t="s">
        <v>1622</v>
      </c>
      <c r="D54" s="83">
        <v>12</v>
      </c>
      <c r="E54" s="83">
        <v>200</v>
      </c>
      <c r="F54" s="66">
        <f>4</f>
        <v>4</v>
      </c>
      <c r="G54" s="65">
        <f>'04a_Box_Dims'!$J24</f>
        <v>7</v>
      </c>
      <c r="H54" s="66">
        <f t="shared" si="11"/>
        <v>144</v>
      </c>
      <c r="I54" s="65">
        <f>'04a_Box_Dims'!$J24</f>
        <v>7</v>
      </c>
      <c r="J54" s="66">
        <f>2*BX_hook</f>
        <v>600</v>
      </c>
      <c r="K54" s="66">
        <f t="shared" si="12"/>
        <v>7600</v>
      </c>
      <c r="L54" s="86">
        <f t="shared" si="13"/>
        <v>1094.4000000000001</v>
      </c>
      <c r="M54" s="65">
        <f t="shared" si="14"/>
        <v>0.88781408390447547</v>
      </c>
      <c r="N54" s="86">
        <f t="shared" si="15"/>
        <v>971.62373342505805</v>
      </c>
    </row>
    <row r="55" spans="1:14" x14ac:dyDescent="0.3">
      <c r="A55" s="64">
        <v>13</v>
      </c>
      <c r="B55" s="64" t="s">
        <v>1623</v>
      </c>
      <c r="C55" s="64" t="s">
        <v>1607</v>
      </c>
      <c r="D55" s="209">
        <v>12</v>
      </c>
      <c r="E55" s="209">
        <v>225</v>
      </c>
      <c r="F55" s="66">
        <f>4</f>
        <v>4</v>
      </c>
      <c r="G55" s="65">
        <f>'04a_Box_Dims'!$J24</f>
        <v>7</v>
      </c>
      <c r="H55" s="66">
        <f t="shared" si="11"/>
        <v>128</v>
      </c>
      <c r="I55" s="65">
        <f>'04a_Box_Dims'!$J24</f>
        <v>7</v>
      </c>
      <c r="J55" s="66">
        <f>0</f>
        <v>0</v>
      </c>
      <c r="K55" s="66">
        <f t="shared" si="12"/>
        <v>7000</v>
      </c>
      <c r="L55" s="86">
        <f t="shared" si="13"/>
        <v>896</v>
      </c>
      <c r="M55" s="65">
        <f t="shared" si="14"/>
        <v>0.88781408390447547</v>
      </c>
      <c r="N55" s="86">
        <f t="shared" si="15"/>
        <v>795.48141917841008</v>
      </c>
    </row>
    <row r="56" spans="1:14" x14ac:dyDescent="0.3">
      <c r="A56" s="64">
        <v>14</v>
      </c>
      <c r="B56" s="64" t="s">
        <v>1624</v>
      </c>
      <c r="C56" s="64" t="s">
        <v>1613</v>
      </c>
      <c r="D56" s="83">
        <v>12</v>
      </c>
      <c r="E56" s="83">
        <v>3</v>
      </c>
      <c r="F56" s="66">
        <f>2*$E56</f>
        <v>6</v>
      </c>
      <c r="G56" s="65"/>
      <c r="H56" s="66">
        <f t="shared" si="11"/>
        <v>6</v>
      </c>
      <c r="I56" s="65">
        <f>'04a_Box_Dims'!$R24</f>
        <v>7</v>
      </c>
      <c r="J56" s="66">
        <f>0</f>
        <v>0</v>
      </c>
      <c r="K56" s="66">
        <f t="shared" si="12"/>
        <v>7000</v>
      </c>
      <c r="L56" s="86">
        <f t="shared" si="13"/>
        <v>42</v>
      </c>
      <c r="M56" s="65">
        <f t="shared" si="14"/>
        <v>0.88781408390447547</v>
      </c>
      <c r="N56" s="86">
        <f t="shared" si="15"/>
        <v>37.288191523987969</v>
      </c>
    </row>
    <row r="57" spans="1:14" x14ac:dyDescent="0.3">
      <c r="A57" s="64"/>
      <c r="B57" s="64"/>
      <c r="C57" s="64"/>
      <c r="D57" s="83"/>
      <c r="E57" s="83"/>
      <c r="F57" s="66"/>
      <c r="G57" s="65"/>
      <c r="H57" s="66"/>
      <c r="I57" s="65"/>
      <c r="J57" s="66"/>
      <c r="K57" s="66"/>
      <c r="L57" s="86"/>
      <c r="M57" s="65"/>
      <c r="N57" s="86"/>
    </row>
    <row r="58" spans="1:14" x14ac:dyDescent="0.3">
      <c r="A58" s="80" t="str">
        <f>'04a_Box_Dims'!$A25&amp;"   ("&amp;'04a_Box_Dims'!$B25&amp;")   —   No. on project: "&amp;'04a_Box_Dims'!$F25&amp;",  L used = "&amp;TEXT('04a_Box_Dims'!$AE25,"0.00")&amp;" m"</f>
        <v>4/2x2 box culvert   (BC|4/2x2)   —   No. on project: 0,  L used = 10.00 m</v>
      </c>
      <c r="B58" s="80"/>
      <c r="C58" s="80"/>
      <c r="D58" s="84"/>
      <c r="E58" s="84"/>
      <c r="F58" s="85"/>
      <c r="G58" s="88"/>
      <c r="H58" s="85"/>
      <c r="I58" s="88"/>
      <c r="J58" s="85"/>
      <c r="K58" s="85"/>
      <c r="L58" s="87"/>
      <c r="M58" s="88"/>
      <c r="N58" s="87"/>
    </row>
    <row r="59" spans="1:14" x14ac:dyDescent="0.3">
      <c r="A59" s="64">
        <v>1</v>
      </c>
      <c r="B59" s="64" t="s">
        <v>1606</v>
      </c>
      <c r="C59" s="64" t="s">
        <v>1607</v>
      </c>
      <c r="D59" s="209">
        <v>12</v>
      </c>
      <c r="E59" s="209">
        <v>225</v>
      </c>
      <c r="F59" s="66">
        <f>1</f>
        <v>1</v>
      </c>
      <c r="G59" s="65">
        <f>'04a_Box_Dims'!$AE25</f>
        <v>10</v>
      </c>
      <c r="H59" s="66">
        <f t="shared" ref="H59:H72" si="16">IF($G59="",$F59,$F59*(FLOOR($G59*1000/$E59,1)+1))</f>
        <v>45</v>
      </c>
      <c r="I59" s="65">
        <f>'04a_Box_Dims'!$K25</f>
        <v>8.75</v>
      </c>
      <c r="J59" s="66">
        <f>2*BX_hook</f>
        <v>600</v>
      </c>
      <c r="K59" s="66">
        <f t="shared" ref="K59:K72" si="17">ROUND($I59*1000+$J59,0)</f>
        <v>9350</v>
      </c>
      <c r="L59" s="86">
        <f t="shared" ref="L59:L72" si="18">$H59*$K59/1000</f>
        <v>420.75</v>
      </c>
      <c r="M59" s="65">
        <f t="shared" ref="M59:M72" si="19">PI()/4*($D59/1000)^2*BX_rho</f>
        <v>0.88781408390447547</v>
      </c>
      <c r="N59" s="86">
        <f t="shared" ref="N59:N72" si="20">$L59*$M59</f>
        <v>373.54777580280808</v>
      </c>
    </row>
    <row r="60" spans="1:14" x14ac:dyDescent="0.3">
      <c r="A60" s="64">
        <v>2</v>
      </c>
      <c r="B60" s="64" t="s">
        <v>1608</v>
      </c>
      <c r="C60" s="64" t="s">
        <v>1607</v>
      </c>
      <c r="D60" s="209">
        <v>12</v>
      </c>
      <c r="E60" s="209">
        <v>150</v>
      </c>
      <c r="F60" s="66">
        <f>1</f>
        <v>1</v>
      </c>
      <c r="G60" s="65">
        <f>'04a_Box_Dims'!$AE25</f>
        <v>10</v>
      </c>
      <c r="H60" s="66">
        <f t="shared" si="16"/>
        <v>67</v>
      </c>
      <c r="I60" s="65">
        <f>'04a_Box_Dims'!$K25</f>
        <v>8.75</v>
      </c>
      <c r="J60" s="66">
        <f>2*BX_hook</f>
        <v>600</v>
      </c>
      <c r="K60" s="66">
        <f t="shared" si="17"/>
        <v>9350</v>
      </c>
      <c r="L60" s="86">
        <f t="shared" si="18"/>
        <v>626.45000000000005</v>
      </c>
      <c r="M60" s="65">
        <f t="shared" si="19"/>
        <v>0.88781408390447547</v>
      </c>
      <c r="N60" s="86">
        <f t="shared" si="20"/>
        <v>556.17113286195865</v>
      </c>
    </row>
    <row r="61" spans="1:14" x14ac:dyDescent="0.3">
      <c r="A61" s="64">
        <v>3</v>
      </c>
      <c r="B61" s="64" t="s">
        <v>1609</v>
      </c>
      <c r="C61" s="64" t="s">
        <v>1607</v>
      </c>
      <c r="D61" s="209">
        <v>12</v>
      </c>
      <c r="E61" s="209">
        <v>125</v>
      </c>
      <c r="F61" s="66">
        <f>1</f>
        <v>1</v>
      </c>
      <c r="G61" s="65">
        <f>'04a_Box_Dims'!$AE25</f>
        <v>10</v>
      </c>
      <c r="H61" s="66">
        <f t="shared" si="16"/>
        <v>81</v>
      </c>
      <c r="I61" s="65">
        <f>'04a_Box_Dims'!$K25</f>
        <v>8.75</v>
      </c>
      <c r="J61" s="66">
        <f>2*BX_hook</f>
        <v>600</v>
      </c>
      <c r="K61" s="66">
        <f t="shared" si="17"/>
        <v>9350</v>
      </c>
      <c r="L61" s="86">
        <f t="shared" si="18"/>
        <v>757.35</v>
      </c>
      <c r="M61" s="65">
        <f t="shared" si="19"/>
        <v>0.88781408390447547</v>
      </c>
      <c r="N61" s="86">
        <f t="shared" si="20"/>
        <v>672.3859964450545</v>
      </c>
    </row>
    <row r="62" spans="1:14" x14ac:dyDescent="0.3">
      <c r="A62" s="64">
        <v>4</v>
      </c>
      <c r="B62" s="64" t="s">
        <v>1610</v>
      </c>
      <c r="C62" s="64" t="s">
        <v>1607</v>
      </c>
      <c r="D62" s="209">
        <v>12</v>
      </c>
      <c r="E62" s="209">
        <v>195</v>
      </c>
      <c r="F62" s="66">
        <f>1</f>
        <v>1</v>
      </c>
      <c r="G62" s="65">
        <f>'04a_Box_Dims'!$AE25</f>
        <v>10</v>
      </c>
      <c r="H62" s="66">
        <f t="shared" si="16"/>
        <v>52</v>
      </c>
      <c r="I62" s="65">
        <f>'04a_Box_Dims'!$K25</f>
        <v>8.75</v>
      </c>
      <c r="J62" s="66">
        <f>2*BX_hook</f>
        <v>600</v>
      </c>
      <c r="K62" s="66">
        <f t="shared" si="17"/>
        <v>9350</v>
      </c>
      <c r="L62" s="86">
        <f t="shared" si="18"/>
        <v>486.2</v>
      </c>
      <c r="M62" s="65">
        <f t="shared" si="19"/>
        <v>0.88781408390447547</v>
      </c>
      <c r="N62" s="86">
        <f t="shared" si="20"/>
        <v>431.65520759435594</v>
      </c>
    </row>
    <row r="63" spans="1:14" x14ac:dyDescent="0.3">
      <c r="A63" s="64">
        <v>5</v>
      </c>
      <c r="B63" s="64" t="s">
        <v>1611</v>
      </c>
      <c r="C63" s="64" t="s">
        <v>1607</v>
      </c>
      <c r="D63" s="209">
        <v>10</v>
      </c>
      <c r="E63" s="209">
        <v>155</v>
      </c>
      <c r="F63" s="66">
        <f>2</f>
        <v>2</v>
      </c>
      <c r="G63" s="65">
        <f>'04a_Box_Dims'!$K25</f>
        <v>8.75</v>
      </c>
      <c r="H63" s="66">
        <f t="shared" si="16"/>
        <v>114</v>
      </c>
      <c r="I63" s="65">
        <f>'04a_Box_Dims'!$AE25</f>
        <v>10</v>
      </c>
      <c r="J63" s="66">
        <f>0</f>
        <v>0</v>
      </c>
      <c r="K63" s="66">
        <f t="shared" si="17"/>
        <v>10000</v>
      </c>
      <c r="L63" s="86">
        <f t="shared" si="18"/>
        <v>1140</v>
      </c>
      <c r="M63" s="65">
        <f t="shared" si="19"/>
        <v>0.61653755826699685</v>
      </c>
      <c r="N63" s="86">
        <f t="shared" si="20"/>
        <v>702.85281642437644</v>
      </c>
    </row>
    <row r="64" spans="1:14" x14ac:dyDescent="0.3">
      <c r="A64" s="64">
        <v>6</v>
      </c>
      <c r="B64" s="64" t="s">
        <v>1612</v>
      </c>
      <c r="C64" s="64" t="s">
        <v>1613</v>
      </c>
      <c r="D64" s="209">
        <v>12</v>
      </c>
      <c r="E64" s="209">
        <v>225</v>
      </c>
      <c r="F64" s="66">
        <f>4</f>
        <v>4</v>
      </c>
      <c r="G64" s="65">
        <f>'04a_Box_Dims'!$AE25</f>
        <v>10</v>
      </c>
      <c r="H64" s="66">
        <f t="shared" si="16"/>
        <v>180</v>
      </c>
      <c r="I64" s="65">
        <f>'04a_Box_Dims'!$M25</f>
        <v>2.25</v>
      </c>
      <c r="J64" s="66">
        <f>2*BX_hook</f>
        <v>600</v>
      </c>
      <c r="K64" s="66">
        <f t="shared" si="17"/>
        <v>2850</v>
      </c>
      <c r="L64" s="86">
        <f t="shared" si="18"/>
        <v>513</v>
      </c>
      <c r="M64" s="65">
        <f t="shared" si="19"/>
        <v>0.88781408390447547</v>
      </c>
      <c r="N64" s="86">
        <f t="shared" si="20"/>
        <v>455.4486250429959</v>
      </c>
    </row>
    <row r="65" spans="1:14" x14ac:dyDescent="0.3">
      <c r="A65" s="64">
        <v>7</v>
      </c>
      <c r="B65" s="64" t="s">
        <v>1614</v>
      </c>
      <c r="C65" s="64" t="s">
        <v>1613</v>
      </c>
      <c r="D65" s="209">
        <v>12</v>
      </c>
      <c r="E65" s="209">
        <v>225</v>
      </c>
      <c r="F65" s="66">
        <f>2*('04a_Box_Dims'!$C25)-2</f>
        <v>6</v>
      </c>
      <c r="G65" s="65">
        <f>'04a_Box_Dims'!$AE25</f>
        <v>10</v>
      </c>
      <c r="H65" s="66">
        <f t="shared" si="16"/>
        <v>270</v>
      </c>
      <c r="I65" s="65">
        <f>'04a_Box_Dims'!$M25</f>
        <v>2.25</v>
      </c>
      <c r="J65" s="66">
        <f>2*BX_hook</f>
        <v>600</v>
      </c>
      <c r="K65" s="66">
        <f t="shared" si="17"/>
        <v>2850</v>
      </c>
      <c r="L65" s="86">
        <f t="shared" si="18"/>
        <v>769.5</v>
      </c>
      <c r="M65" s="65">
        <f t="shared" si="19"/>
        <v>0.88781408390447547</v>
      </c>
      <c r="N65" s="86">
        <f t="shared" si="20"/>
        <v>683.17293756449385</v>
      </c>
    </row>
    <row r="66" spans="1:14" x14ac:dyDescent="0.3">
      <c r="A66" s="64">
        <v>8</v>
      </c>
      <c r="B66" s="64" t="s">
        <v>1615</v>
      </c>
      <c r="C66" s="64" t="s">
        <v>1607</v>
      </c>
      <c r="D66" s="209">
        <v>10</v>
      </c>
      <c r="E66" s="209">
        <v>155</v>
      </c>
      <c r="F66" s="66">
        <f>('04a_Box_Dims'!$C25+1)*2</f>
        <v>10</v>
      </c>
      <c r="G66" s="65">
        <f>'04a_Box_Dims'!$M25</f>
        <v>2.25</v>
      </c>
      <c r="H66" s="66">
        <f t="shared" si="16"/>
        <v>150</v>
      </c>
      <c r="I66" s="65">
        <f>'04a_Box_Dims'!$AE25</f>
        <v>10</v>
      </c>
      <c r="J66" s="66">
        <f>0</f>
        <v>0</v>
      </c>
      <c r="K66" s="66">
        <f t="shared" si="17"/>
        <v>10000</v>
      </c>
      <c r="L66" s="86">
        <f t="shared" si="18"/>
        <v>1500</v>
      </c>
      <c r="M66" s="65">
        <f t="shared" si="19"/>
        <v>0.61653755826699685</v>
      </c>
      <c r="N66" s="86">
        <f t="shared" si="20"/>
        <v>924.80633740049529</v>
      </c>
    </row>
    <row r="67" spans="1:14" x14ac:dyDescent="0.3">
      <c r="A67" s="64">
        <v>9</v>
      </c>
      <c r="B67" s="64" t="s">
        <v>1616</v>
      </c>
      <c r="C67" s="64" t="s">
        <v>1617</v>
      </c>
      <c r="D67" s="209">
        <v>12</v>
      </c>
      <c r="E67" s="209">
        <v>2</v>
      </c>
      <c r="F67" s="66">
        <f>4*('04a_Box_Dims'!$C25)*$E67</f>
        <v>32</v>
      </c>
      <c r="G67" s="65"/>
      <c r="H67" s="66">
        <f t="shared" si="16"/>
        <v>32</v>
      </c>
      <c r="I67" s="65">
        <f>'04a_Box_Dims'!$AE25</f>
        <v>10</v>
      </c>
      <c r="J67" s="66">
        <f>0</f>
        <v>0</v>
      </c>
      <c r="K67" s="66">
        <f t="shared" si="17"/>
        <v>10000</v>
      </c>
      <c r="L67" s="86">
        <f t="shared" si="18"/>
        <v>320</v>
      </c>
      <c r="M67" s="65">
        <f t="shared" si="19"/>
        <v>0.88781408390447547</v>
      </c>
      <c r="N67" s="86">
        <f t="shared" si="20"/>
        <v>284.10050684943212</v>
      </c>
    </row>
    <row r="68" spans="1:14" x14ac:dyDescent="0.3">
      <c r="A68" s="64">
        <v>10</v>
      </c>
      <c r="B68" s="64" t="s">
        <v>1618</v>
      </c>
      <c r="C68" s="64" t="s">
        <v>1619</v>
      </c>
      <c r="D68" s="209">
        <v>16</v>
      </c>
      <c r="E68" s="209">
        <v>120</v>
      </c>
      <c r="F68" s="66">
        <f>4</f>
        <v>4</v>
      </c>
      <c r="G68" s="65">
        <f>'04a_Box_Dims'!$Z25</f>
        <v>2.1213203435596424</v>
      </c>
      <c r="H68" s="66">
        <f t="shared" si="16"/>
        <v>72</v>
      </c>
      <c r="I68" s="65">
        <f>'04a_Box_Dims'!$W25</f>
        <v>3.7</v>
      </c>
      <c r="J68" s="66">
        <f>BX_wwbend</f>
        <v>900</v>
      </c>
      <c r="K68" s="66">
        <f t="shared" si="17"/>
        <v>4600</v>
      </c>
      <c r="L68" s="86">
        <f t="shared" si="18"/>
        <v>331.2</v>
      </c>
      <c r="M68" s="65">
        <f t="shared" si="19"/>
        <v>1.5783361491635119</v>
      </c>
      <c r="N68" s="86">
        <f t="shared" si="20"/>
        <v>522.74493260295515</v>
      </c>
    </row>
    <row r="69" spans="1:14" x14ac:dyDescent="0.3">
      <c r="A69" s="64">
        <v>11</v>
      </c>
      <c r="B69" s="64" t="s">
        <v>1620</v>
      </c>
      <c r="C69" s="64" t="s">
        <v>1607</v>
      </c>
      <c r="D69" s="209">
        <v>12</v>
      </c>
      <c r="E69" s="209">
        <v>180</v>
      </c>
      <c r="F69" s="66">
        <f>8</f>
        <v>8</v>
      </c>
      <c r="G69" s="65">
        <f>'04a_Box_Dims'!$W25</f>
        <v>3.7</v>
      </c>
      <c r="H69" s="66">
        <f t="shared" si="16"/>
        <v>168</v>
      </c>
      <c r="I69" s="65">
        <f>'04a_Box_Dims'!$Z25</f>
        <v>2.1213203435596424</v>
      </c>
      <c r="J69" s="66">
        <f>0</f>
        <v>0</v>
      </c>
      <c r="K69" s="66">
        <f t="shared" si="17"/>
        <v>2121</v>
      </c>
      <c r="L69" s="86">
        <f t="shared" si="18"/>
        <v>356.32799999999997</v>
      </c>
      <c r="M69" s="65">
        <f t="shared" si="19"/>
        <v>0.88781408390447547</v>
      </c>
      <c r="N69" s="86">
        <f t="shared" si="20"/>
        <v>316.35301688951392</v>
      </c>
    </row>
    <row r="70" spans="1:14" x14ac:dyDescent="0.3">
      <c r="A70" s="64">
        <v>12</v>
      </c>
      <c r="B70" s="64" t="s">
        <v>1621</v>
      </c>
      <c r="C70" s="64" t="s">
        <v>1622</v>
      </c>
      <c r="D70" s="83">
        <v>12</v>
      </c>
      <c r="E70" s="83">
        <v>200</v>
      </c>
      <c r="F70" s="66">
        <f>4</f>
        <v>4</v>
      </c>
      <c r="G70" s="65">
        <f>'04a_Box_Dims'!$J25</f>
        <v>9.25</v>
      </c>
      <c r="H70" s="66">
        <f t="shared" si="16"/>
        <v>188</v>
      </c>
      <c r="I70" s="65">
        <f>'04a_Box_Dims'!$J25</f>
        <v>9.25</v>
      </c>
      <c r="J70" s="66">
        <f>2*BX_hook</f>
        <v>600</v>
      </c>
      <c r="K70" s="66">
        <f t="shared" si="17"/>
        <v>9850</v>
      </c>
      <c r="L70" s="86">
        <f t="shared" si="18"/>
        <v>1851.8</v>
      </c>
      <c r="M70" s="65">
        <f t="shared" si="19"/>
        <v>0.88781408390447547</v>
      </c>
      <c r="N70" s="86">
        <f t="shared" si="20"/>
        <v>1644.0541205743077</v>
      </c>
    </row>
    <row r="71" spans="1:14" x14ac:dyDescent="0.3">
      <c r="A71" s="64">
        <v>13</v>
      </c>
      <c r="B71" s="64" t="s">
        <v>1623</v>
      </c>
      <c r="C71" s="64" t="s">
        <v>1607</v>
      </c>
      <c r="D71" s="209">
        <v>12</v>
      </c>
      <c r="E71" s="209">
        <v>225</v>
      </c>
      <c r="F71" s="66">
        <f>4</f>
        <v>4</v>
      </c>
      <c r="G71" s="65">
        <f>'04a_Box_Dims'!$J25</f>
        <v>9.25</v>
      </c>
      <c r="H71" s="66">
        <f t="shared" si="16"/>
        <v>168</v>
      </c>
      <c r="I71" s="65">
        <f>'04a_Box_Dims'!$J25</f>
        <v>9.25</v>
      </c>
      <c r="J71" s="66">
        <f>0</f>
        <v>0</v>
      </c>
      <c r="K71" s="66">
        <f t="shared" si="17"/>
        <v>9250</v>
      </c>
      <c r="L71" s="86">
        <f t="shared" si="18"/>
        <v>1554</v>
      </c>
      <c r="M71" s="65">
        <f t="shared" si="19"/>
        <v>0.88781408390447547</v>
      </c>
      <c r="N71" s="86">
        <f t="shared" si="20"/>
        <v>1379.6630863875548</v>
      </c>
    </row>
    <row r="72" spans="1:14" x14ac:dyDescent="0.3">
      <c r="A72" s="64">
        <v>14</v>
      </c>
      <c r="B72" s="64" t="s">
        <v>1624</v>
      </c>
      <c r="C72" s="64" t="s">
        <v>1613</v>
      </c>
      <c r="D72" s="83">
        <v>12</v>
      </c>
      <c r="E72" s="83">
        <v>3</v>
      </c>
      <c r="F72" s="66">
        <f>2*$E72</f>
        <v>6</v>
      </c>
      <c r="G72" s="65"/>
      <c r="H72" s="66">
        <f t="shared" si="16"/>
        <v>6</v>
      </c>
      <c r="I72" s="65">
        <f>'04a_Box_Dims'!$R25</f>
        <v>9.25</v>
      </c>
      <c r="J72" s="66">
        <f>0</f>
        <v>0</v>
      </c>
      <c r="K72" s="66">
        <f t="shared" si="17"/>
        <v>9250</v>
      </c>
      <c r="L72" s="86">
        <f t="shared" si="18"/>
        <v>55.5</v>
      </c>
      <c r="M72" s="65">
        <f t="shared" si="19"/>
        <v>0.88781408390447547</v>
      </c>
      <c r="N72" s="86">
        <f t="shared" si="20"/>
        <v>49.273681656698386</v>
      </c>
    </row>
    <row r="73" spans="1:14" x14ac:dyDescent="0.3">
      <c r="A73" s="64"/>
      <c r="B73" s="64"/>
      <c r="C73" s="64"/>
      <c r="D73" s="83"/>
      <c r="E73" s="83"/>
      <c r="F73" s="66"/>
      <c r="G73" s="65"/>
      <c r="H73" s="66"/>
      <c r="I73" s="65"/>
      <c r="J73" s="66"/>
      <c r="K73" s="66"/>
      <c r="L73" s="86"/>
      <c r="M73" s="65"/>
      <c r="N73" s="86"/>
    </row>
    <row r="74" spans="1:14" x14ac:dyDescent="0.3">
      <c r="A74" s="80" t="str">
        <f>'04a_Box_Dims'!$A26&amp;"   ("&amp;'04a_Box_Dims'!$B26&amp;")   —   No. on project: "&amp;'04a_Box_Dims'!$F26&amp;",  L used = "&amp;TEXT('04a_Box_Dims'!$AE26,"0.00")&amp;" m"</f>
        <v>1/3x2 box culvert   (BC|1/3x2)   —   No. on project: 0,  L used = 10.00 m</v>
      </c>
      <c r="B74" s="80"/>
      <c r="C74" s="80"/>
      <c r="D74" s="84"/>
      <c r="E74" s="84"/>
      <c r="F74" s="85"/>
      <c r="G74" s="88"/>
      <c r="H74" s="85"/>
      <c r="I74" s="88"/>
      <c r="J74" s="85"/>
      <c r="K74" s="85"/>
      <c r="L74" s="87"/>
      <c r="M74" s="88"/>
      <c r="N74" s="87"/>
    </row>
    <row r="75" spans="1:14" x14ac:dyDescent="0.3">
      <c r="A75" s="64">
        <v>1</v>
      </c>
      <c r="B75" s="64" t="s">
        <v>1606</v>
      </c>
      <c r="C75" s="64" t="s">
        <v>1607</v>
      </c>
      <c r="D75" s="209">
        <v>12</v>
      </c>
      <c r="E75" s="209">
        <v>160</v>
      </c>
      <c r="F75" s="66">
        <f>1</f>
        <v>1</v>
      </c>
      <c r="G75" s="65">
        <f>'04a_Box_Dims'!$AE26</f>
        <v>10</v>
      </c>
      <c r="H75" s="66">
        <f t="shared" ref="H75:H88" si="21">IF($G75="",$F75,$F75*(FLOOR($G75*1000/$E75,1)+1))</f>
        <v>63</v>
      </c>
      <c r="I75" s="65">
        <f>'04a_Box_Dims'!$K26</f>
        <v>3</v>
      </c>
      <c r="J75" s="66">
        <f>2*BX_hook</f>
        <v>600</v>
      </c>
      <c r="K75" s="66">
        <f t="shared" ref="K75:K88" si="22">ROUND($I75*1000+$J75,0)</f>
        <v>3600</v>
      </c>
      <c r="L75" s="86">
        <f t="shared" ref="L75:L88" si="23">$H75*$K75/1000</f>
        <v>226.8</v>
      </c>
      <c r="M75" s="65">
        <f t="shared" ref="M75:M88" si="24">PI()/4*($D75/1000)^2*BX_rho</f>
        <v>0.88781408390447547</v>
      </c>
      <c r="N75" s="86">
        <f t="shared" ref="N75:N88" si="25">$L75*$M75</f>
        <v>201.35623422953503</v>
      </c>
    </row>
    <row r="76" spans="1:14" x14ac:dyDescent="0.3">
      <c r="A76" s="64">
        <v>2</v>
      </c>
      <c r="B76" s="64" t="s">
        <v>1608</v>
      </c>
      <c r="C76" s="64" t="s">
        <v>1607</v>
      </c>
      <c r="D76" s="209">
        <v>12</v>
      </c>
      <c r="E76" s="209">
        <v>195</v>
      </c>
      <c r="F76" s="66">
        <f>1</f>
        <v>1</v>
      </c>
      <c r="G76" s="65">
        <f>'04a_Box_Dims'!$AE26</f>
        <v>10</v>
      </c>
      <c r="H76" s="66">
        <f t="shared" si="21"/>
        <v>52</v>
      </c>
      <c r="I76" s="65">
        <f>'04a_Box_Dims'!$K26</f>
        <v>3</v>
      </c>
      <c r="J76" s="66">
        <f>2*BX_hook</f>
        <v>600</v>
      </c>
      <c r="K76" s="66">
        <f t="shared" si="22"/>
        <v>3600</v>
      </c>
      <c r="L76" s="86">
        <f t="shared" si="23"/>
        <v>187.2</v>
      </c>
      <c r="M76" s="65">
        <f t="shared" si="24"/>
        <v>0.88781408390447547</v>
      </c>
      <c r="N76" s="86">
        <f t="shared" si="25"/>
        <v>166.1987965069178</v>
      </c>
    </row>
    <row r="77" spans="1:14" x14ac:dyDescent="0.3">
      <c r="A77" s="64">
        <v>3</v>
      </c>
      <c r="B77" s="64" t="s">
        <v>1609</v>
      </c>
      <c r="C77" s="64" t="s">
        <v>1607</v>
      </c>
      <c r="D77" s="209">
        <v>12</v>
      </c>
      <c r="E77" s="209">
        <v>155</v>
      </c>
      <c r="F77" s="66">
        <f>1</f>
        <v>1</v>
      </c>
      <c r="G77" s="65">
        <f>'04a_Box_Dims'!$AE26</f>
        <v>10</v>
      </c>
      <c r="H77" s="66">
        <f t="shared" si="21"/>
        <v>65</v>
      </c>
      <c r="I77" s="65">
        <f>'04a_Box_Dims'!$K26</f>
        <v>3</v>
      </c>
      <c r="J77" s="66">
        <f>2*BX_hook</f>
        <v>600</v>
      </c>
      <c r="K77" s="66">
        <f t="shared" si="22"/>
        <v>3600</v>
      </c>
      <c r="L77" s="86">
        <f t="shared" si="23"/>
        <v>234</v>
      </c>
      <c r="M77" s="65">
        <f t="shared" si="24"/>
        <v>0.88781408390447547</v>
      </c>
      <c r="N77" s="86">
        <f t="shared" si="25"/>
        <v>207.74849563364725</v>
      </c>
    </row>
    <row r="78" spans="1:14" x14ac:dyDescent="0.3">
      <c r="A78" s="64">
        <v>4</v>
      </c>
      <c r="B78" s="64" t="s">
        <v>1610</v>
      </c>
      <c r="C78" s="64" t="s">
        <v>1607</v>
      </c>
      <c r="D78" s="209">
        <v>12</v>
      </c>
      <c r="E78" s="209">
        <v>110</v>
      </c>
      <c r="F78" s="66">
        <f>1</f>
        <v>1</v>
      </c>
      <c r="G78" s="65">
        <f>'04a_Box_Dims'!$AE26</f>
        <v>10</v>
      </c>
      <c r="H78" s="66">
        <f t="shared" si="21"/>
        <v>91</v>
      </c>
      <c r="I78" s="65">
        <f>'04a_Box_Dims'!$K26</f>
        <v>3</v>
      </c>
      <c r="J78" s="66">
        <f>2*BX_hook</f>
        <v>600</v>
      </c>
      <c r="K78" s="66">
        <f t="shared" si="22"/>
        <v>3600</v>
      </c>
      <c r="L78" s="86">
        <f t="shared" si="23"/>
        <v>327.60000000000002</v>
      </c>
      <c r="M78" s="65">
        <f t="shared" si="24"/>
        <v>0.88781408390447547</v>
      </c>
      <c r="N78" s="86">
        <f t="shared" si="25"/>
        <v>290.84789388710618</v>
      </c>
    </row>
    <row r="79" spans="1:14" x14ac:dyDescent="0.3">
      <c r="A79" s="64">
        <v>5</v>
      </c>
      <c r="B79" s="64" t="s">
        <v>1611</v>
      </c>
      <c r="C79" s="64" t="s">
        <v>1607</v>
      </c>
      <c r="D79" s="209">
        <v>10</v>
      </c>
      <c r="E79" s="209">
        <v>155</v>
      </c>
      <c r="F79" s="66">
        <f>2</f>
        <v>2</v>
      </c>
      <c r="G79" s="65">
        <f>'04a_Box_Dims'!$K26</f>
        <v>3</v>
      </c>
      <c r="H79" s="66">
        <f t="shared" si="21"/>
        <v>40</v>
      </c>
      <c r="I79" s="65">
        <f>'04a_Box_Dims'!$AE26</f>
        <v>10</v>
      </c>
      <c r="J79" s="66">
        <f>0</f>
        <v>0</v>
      </c>
      <c r="K79" s="66">
        <f t="shared" si="22"/>
        <v>10000</v>
      </c>
      <c r="L79" s="86">
        <f t="shared" si="23"/>
        <v>400</v>
      </c>
      <c r="M79" s="65">
        <f t="shared" si="24"/>
        <v>0.61653755826699685</v>
      </c>
      <c r="N79" s="86">
        <f t="shared" si="25"/>
        <v>246.61502330679875</v>
      </c>
    </row>
    <row r="80" spans="1:14" x14ac:dyDescent="0.3">
      <c r="A80" s="64">
        <v>6</v>
      </c>
      <c r="B80" s="64" t="s">
        <v>1612</v>
      </c>
      <c r="C80" s="64" t="s">
        <v>1613</v>
      </c>
      <c r="D80" s="209">
        <v>12</v>
      </c>
      <c r="E80" s="209">
        <v>160</v>
      </c>
      <c r="F80" s="66">
        <f>4</f>
        <v>4</v>
      </c>
      <c r="G80" s="65">
        <f>'04a_Box_Dims'!$AE26</f>
        <v>10</v>
      </c>
      <c r="H80" s="66">
        <f t="shared" si="21"/>
        <v>252</v>
      </c>
      <c r="I80" s="65">
        <f>'04a_Box_Dims'!$M26</f>
        <v>2.25</v>
      </c>
      <c r="J80" s="66">
        <f>2*BX_hook</f>
        <v>600</v>
      </c>
      <c r="K80" s="66">
        <f t="shared" si="22"/>
        <v>2850</v>
      </c>
      <c r="L80" s="86">
        <f t="shared" si="23"/>
        <v>718.2</v>
      </c>
      <c r="M80" s="65">
        <f t="shared" si="24"/>
        <v>0.88781408390447547</v>
      </c>
      <c r="N80" s="86">
        <f t="shared" si="25"/>
        <v>637.62807506019431</v>
      </c>
    </row>
    <row r="81" spans="1:14" x14ac:dyDescent="0.3">
      <c r="A81" s="64">
        <v>7</v>
      </c>
      <c r="B81" s="64" t="s">
        <v>1614</v>
      </c>
      <c r="C81" s="64" t="s">
        <v>1613</v>
      </c>
      <c r="D81" s="209">
        <v>12</v>
      </c>
      <c r="E81" s="209">
        <v>160</v>
      </c>
      <c r="F81" s="66">
        <f>2*('04a_Box_Dims'!$C26)-2</f>
        <v>0</v>
      </c>
      <c r="G81" s="65">
        <f>'04a_Box_Dims'!$AE26</f>
        <v>10</v>
      </c>
      <c r="H81" s="66">
        <f t="shared" si="21"/>
        <v>0</v>
      </c>
      <c r="I81" s="65">
        <f>'04a_Box_Dims'!$M26</f>
        <v>2.25</v>
      </c>
      <c r="J81" s="66">
        <f>2*BX_hook</f>
        <v>600</v>
      </c>
      <c r="K81" s="66">
        <f t="shared" si="22"/>
        <v>2850</v>
      </c>
      <c r="L81" s="86">
        <f t="shared" si="23"/>
        <v>0</v>
      </c>
      <c r="M81" s="65">
        <f t="shared" si="24"/>
        <v>0.88781408390447547</v>
      </c>
      <c r="N81" s="86">
        <f t="shared" si="25"/>
        <v>0</v>
      </c>
    </row>
    <row r="82" spans="1:14" x14ac:dyDescent="0.3">
      <c r="A82" s="64">
        <v>8</v>
      </c>
      <c r="B82" s="64" t="s">
        <v>1615</v>
      </c>
      <c r="C82" s="64" t="s">
        <v>1607</v>
      </c>
      <c r="D82" s="209">
        <v>10</v>
      </c>
      <c r="E82" s="209">
        <v>155</v>
      </c>
      <c r="F82" s="66">
        <f>('04a_Box_Dims'!$C26+1)*2</f>
        <v>4</v>
      </c>
      <c r="G82" s="65">
        <f>'04a_Box_Dims'!$M26</f>
        <v>2.25</v>
      </c>
      <c r="H82" s="66">
        <f t="shared" si="21"/>
        <v>60</v>
      </c>
      <c r="I82" s="65">
        <f>'04a_Box_Dims'!$AE26</f>
        <v>10</v>
      </c>
      <c r="J82" s="66">
        <f>0</f>
        <v>0</v>
      </c>
      <c r="K82" s="66">
        <f t="shared" si="22"/>
        <v>10000</v>
      </c>
      <c r="L82" s="86">
        <f t="shared" si="23"/>
        <v>600</v>
      </c>
      <c r="M82" s="65">
        <f t="shared" si="24"/>
        <v>0.61653755826699685</v>
      </c>
      <c r="N82" s="86">
        <f t="shared" si="25"/>
        <v>369.92253496019811</v>
      </c>
    </row>
    <row r="83" spans="1:14" x14ac:dyDescent="0.3">
      <c r="A83" s="64">
        <v>9</v>
      </c>
      <c r="B83" s="64" t="s">
        <v>1616</v>
      </c>
      <c r="C83" s="64" t="s">
        <v>1617</v>
      </c>
      <c r="D83" s="209">
        <v>12</v>
      </c>
      <c r="E83" s="209">
        <v>2</v>
      </c>
      <c r="F83" s="66">
        <f>4*('04a_Box_Dims'!$C26)*$E83</f>
        <v>8</v>
      </c>
      <c r="G83" s="65"/>
      <c r="H83" s="66">
        <f t="shared" si="21"/>
        <v>8</v>
      </c>
      <c r="I83" s="65">
        <f>'04a_Box_Dims'!$AE26</f>
        <v>10</v>
      </c>
      <c r="J83" s="66">
        <f>0</f>
        <v>0</v>
      </c>
      <c r="K83" s="66">
        <f t="shared" si="22"/>
        <v>10000</v>
      </c>
      <c r="L83" s="86">
        <f t="shared" si="23"/>
        <v>80</v>
      </c>
      <c r="M83" s="65">
        <f t="shared" si="24"/>
        <v>0.88781408390447547</v>
      </c>
      <c r="N83" s="86">
        <f t="shared" si="25"/>
        <v>71.025126712358031</v>
      </c>
    </row>
    <row r="84" spans="1:14" x14ac:dyDescent="0.3">
      <c r="A84" s="64">
        <v>10</v>
      </c>
      <c r="B84" s="64" t="s">
        <v>1618</v>
      </c>
      <c r="C84" s="64" t="s">
        <v>1619</v>
      </c>
      <c r="D84" s="209">
        <v>16</v>
      </c>
      <c r="E84" s="209">
        <v>120</v>
      </c>
      <c r="F84" s="66">
        <f>4</f>
        <v>4</v>
      </c>
      <c r="G84" s="65">
        <f>'04a_Box_Dims'!$Z26</f>
        <v>2.1213203435596424</v>
      </c>
      <c r="H84" s="66">
        <f t="shared" si="21"/>
        <v>72</v>
      </c>
      <c r="I84" s="65">
        <f>'04a_Box_Dims'!$W26</f>
        <v>3.7</v>
      </c>
      <c r="J84" s="66">
        <f>BX_wwbend</f>
        <v>900</v>
      </c>
      <c r="K84" s="66">
        <f t="shared" si="22"/>
        <v>4600</v>
      </c>
      <c r="L84" s="86">
        <f t="shared" si="23"/>
        <v>331.2</v>
      </c>
      <c r="M84" s="65">
        <f t="shared" si="24"/>
        <v>1.5783361491635119</v>
      </c>
      <c r="N84" s="86">
        <f t="shared" si="25"/>
        <v>522.74493260295515</v>
      </c>
    </row>
    <row r="85" spans="1:14" x14ac:dyDescent="0.3">
      <c r="A85" s="64">
        <v>11</v>
      </c>
      <c r="B85" s="64" t="s">
        <v>1620</v>
      </c>
      <c r="C85" s="64" t="s">
        <v>1607</v>
      </c>
      <c r="D85" s="209">
        <v>12</v>
      </c>
      <c r="E85" s="209">
        <v>180</v>
      </c>
      <c r="F85" s="66">
        <f>8</f>
        <v>8</v>
      </c>
      <c r="G85" s="65">
        <f>'04a_Box_Dims'!$W26</f>
        <v>3.7</v>
      </c>
      <c r="H85" s="66">
        <f t="shared" si="21"/>
        <v>168</v>
      </c>
      <c r="I85" s="65">
        <f>'04a_Box_Dims'!$Z26</f>
        <v>2.1213203435596424</v>
      </c>
      <c r="J85" s="66">
        <f>0</f>
        <v>0</v>
      </c>
      <c r="K85" s="66">
        <f t="shared" si="22"/>
        <v>2121</v>
      </c>
      <c r="L85" s="86">
        <f t="shared" si="23"/>
        <v>356.32799999999997</v>
      </c>
      <c r="M85" s="65">
        <f t="shared" si="24"/>
        <v>0.88781408390447547</v>
      </c>
      <c r="N85" s="86">
        <f t="shared" si="25"/>
        <v>316.35301688951392</v>
      </c>
    </row>
    <row r="86" spans="1:14" x14ac:dyDescent="0.3">
      <c r="A86" s="64">
        <v>12</v>
      </c>
      <c r="B86" s="64" t="s">
        <v>1621</v>
      </c>
      <c r="C86" s="64" t="s">
        <v>1622</v>
      </c>
      <c r="D86" s="83">
        <v>12</v>
      </c>
      <c r="E86" s="83">
        <v>200</v>
      </c>
      <c r="F86" s="66">
        <f>4</f>
        <v>4</v>
      </c>
      <c r="G86" s="65">
        <f>'04a_Box_Dims'!$J26</f>
        <v>3.5</v>
      </c>
      <c r="H86" s="66">
        <f t="shared" si="21"/>
        <v>72</v>
      </c>
      <c r="I86" s="65">
        <f>'04a_Box_Dims'!$J26</f>
        <v>3.5</v>
      </c>
      <c r="J86" s="66">
        <f>2*BX_hook</f>
        <v>600</v>
      </c>
      <c r="K86" s="66">
        <f t="shared" si="22"/>
        <v>4100</v>
      </c>
      <c r="L86" s="86">
        <f t="shared" si="23"/>
        <v>295.2</v>
      </c>
      <c r="M86" s="65">
        <f t="shared" si="24"/>
        <v>0.88781408390447547</v>
      </c>
      <c r="N86" s="86">
        <f t="shared" si="25"/>
        <v>262.08271756860114</v>
      </c>
    </row>
    <row r="87" spans="1:14" x14ac:dyDescent="0.3">
      <c r="A87" s="64">
        <v>13</v>
      </c>
      <c r="B87" s="64" t="s">
        <v>1623</v>
      </c>
      <c r="C87" s="64" t="s">
        <v>1607</v>
      </c>
      <c r="D87" s="209">
        <v>12</v>
      </c>
      <c r="E87" s="209">
        <v>225</v>
      </c>
      <c r="F87" s="66">
        <f>4</f>
        <v>4</v>
      </c>
      <c r="G87" s="65">
        <f>'04a_Box_Dims'!$J26</f>
        <v>3.5</v>
      </c>
      <c r="H87" s="66">
        <f t="shared" si="21"/>
        <v>64</v>
      </c>
      <c r="I87" s="65">
        <f>'04a_Box_Dims'!$J26</f>
        <v>3.5</v>
      </c>
      <c r="J87" s="66">
        <f>0</f>
        <v>0</v>
      </c>
      <c r="K87" s="66">
        <f t="shared" si="22"/>
        <v>3500</v>
      </c>
      <c r="L87" s="86">
        <f t="shared" si="23"/>
        <v>224</v>
      </c>
      <c r="M87" s="65">
        <f t="shared" si="24"/>
        <v>0.88781408390447547</v>
      </c>
      <c r="N87" s="86">
        <f t="shared" si="25"/>
        <v>198.87035479460252</v>
      </c>
    </row>
    <row r="88" spans="1:14" x14ac:dyDescent="0.3">
      <c r="A88" s="64">
        <v>14</v>
      </c>
      <c r="B88" s="64" t="s">
        <v>1624</v>
      </c>
      <c r="C88" s="64" t="s">
        <v>1613</v>
      </c>
      <c r="D88" s="83">
        <v>12</v>
      </c>
      <c r="E88" s="83">
        <v>3</v>
      </c>
      <c r="F88" s="66">
        <f>2*$E88</f>
        <v>6</v>
      </c>
      <c r="G88" s="65"/>
      <c r="H88" s="66">
        <f t="shared" si="21"/>
        <v>6</v>
      </c>
      <c r="I88" s="65">
        <f>'04a_Box_Dims'!$R26</f>
        <v>3.5</v>
      </c>
      <c r="J88" s="66">
        <f>0</f>
        <v>0</v>
      </c>
      <c r="K88" s="66">
        <f t="shared" si="22"/>
        <v>3500</v>
      </c>
      <c r="L88" s="86">
        <f t="shared" si="23"/>
        <v>21</v>
      </c>
      <c r="M88" s="65">
        <f t="shared" si="24"/>
        <v>0.88781408390447547</v>
      </c>
      <c r="N88" s="86">
        <f t="shared" si="25"/>
        <v>18.644095761993984</v>
      </c>
    </row>
    <row r="89" spans="1:14" x14ac:dyDescent="0.3">
      <c r="A89" s="64"/>
      <c r="B89" s="64"/>
      <c r="C89" s="64"/>
      <c r="D89" s="83"/>
      <c r="E89" s="83"/>
      <c r="F89" s="66"/>
      <c r="G89" s="65"/>
      <c r="H89" s="66"/>
      <c r="I89" s="65"/>
      <c r="J89" s="66"/>
      <c r="K89" s="66"/>
      <c r="L89" s="86"/>
      <c r="M89" s="65"/>
      <c r="N89" s="86"/>
    </row>
    <row r="90" spans="1:14" x14ac:dyDescent="0.3">
      <c r="A90" s="80" t="str">
        <f>'04a_Box_Dims'!$A27&amp;"   ("&amp;'04a_Box_Dims'!$B27&amp;")   —   No. on project: "&amp;'04a_Box_Dims'!$F27&amp;",  L used = "&amp;TEXT('04a_Box_Dims'!$AE27,"0.00")&amp;" m"</f>
        <v>2/3x2 box culvert   (BC|2/3x2)   —   No. on project: 0,  L used = 10.00 m</v>
      </c>
      <c r="B90" s="80"/>
      <c r="C90" s="80"/>
      <c r="D90" s="84"/>
      <c r="E90" s="84"/>
      <c r="F90" s="85"/>
      <c r="G90" s="88"/>
      <c r="H90" s="85"/>
      <c r="I90" s="88"/>
      <c r="J90" s="85"/>
      <c r="K90" s="85"/>
      <c r="L90" s="87"/>
      <c r="M90" s="88"/>
      <c r="N90" s="87"/>
    </row>
    <row r="91" spans="1:14" x14ac:dyDescent="0.3">
      <c r="A91" s="64">
        <v>1</v>
      </c>
      <c r="B91" s="64" t="s">
        <v>1606</v>
      </c>
      <c r="C91" s="64" t="s">
        <v>1607</v>
      </c>
      <c r="D91" s="209">
        <v>12</v>
      </c>
      <c r="E91" s="209">
        <v>210</v>
      </c>
      <c r="F91" s="66">
        <f>1</f>
        <v>1</v>
      </c>
      <c r="G91" s="65">
        <f>'04a_Box_Dims'!$AE27</f>
        <v>10</v>
      </c>
      <c r="H91" s="66">
        <f t="shared" ref="H91:H104" si="26">IF($G91="",$F91,$F91*(FLOOR($G91*1000/$E91,1)+1))</f>
        <v>48</v>
      </c>
      <c r="I91" s="65">
        <f>'04a_Box_Dims'!$K27</f>
        <v>6.25</v>
      </c>
      <c r="J91" s="66">
        <f>2*BX_hook</f>
        <v>600</v>
      </c>
      <c r="K91" s="66">
        <f t="shared" ref="K91:K104" si="27">ROUND($I91*1000+$J91,0)</f>
        <v>6850</v>
      </c>
      <c r="L91" s="86">
        <f t="shared" ref="L91:L104" si="28">$H91*$K91/1000</f>
        <v>328.8</v>
      </c>
      <c r="M91" s="65">
        <f t="shared" ref="M91:M104" si="29">PI()/4*($D91/1000)^2*BX_rho</f>
        <v>0.88781408390447547</v>
      </c>
      <c r="N91" s="86">
        <f t="shared" ref="N91:N104" si="30">$L91*$M91</f>
        <v>291.91327078779153</v>
      </c>
    </row>
    <row r="92" spans="1:14" x14ac:dyDescent="0.3">
      <c r="A92" s="64">
        <v>2</v>
      </c>
      <c r="B92" s="64" t="s">
        <v>1608</v>
      </c>
      <c r="C92" s="64" t="s">
        <v>1607</v>
      </c>
      <c r="D92" s="209">
        <v>12</v>
      </c>
      <c r="E92" s="209">
        <v>120</v>
      </c>
      <c r="F92" s="66">
        <f>1</f>
        <v>1</v>
      </c>
      <c r="G92" s="65">
        <f>'04a_Box_Dims'!$AE27</f>
        <v>10</v>
      </c>
      <c r="H92" s="66">
        <f t="shared" si="26"/>
        <v>84</v>
      </c>
      <c r="I92" s="65">
        <f>'04a_Box_Dims'!$K27</f>
        <v>6.25</v>
      </c>
      <c r="J92" s="66">
        <f>2*BX_hook</f>
        <v>600</v>
      </c>
      <c r="K92" s="66">
        <f t="shared" si="27"/>
        <v>6850</v>
      </c>
      <c r="L92" s="86">
        <f t="shared" si="28"/>
        <v>575.4</v>
      </c>
      <c r="M92" s="65">
        <f t="shared" si="29"/>
        <v>0.88781408390447547</v>
      </c>
      <c r="N92" s="86">
        <f t="shared" si="30"/>
        <v>510.84822387863517</v>
      </c>
    </row>
    <row r="93" spans="1:14" x14ac:dyDescent="0.3">
      <c r="A93" s="64">
        <v>3</v>
      </c>
      <c r="B93" s="64" t="s">
        <v>1609</v>
      </c>
      <c r="C93" s="64" t="s">
        <v>1607</v>
      </c>
      <c r="D93" s="209">
        <v>16</v>
      </c>
      <c r="E93" s="209">
        <v>145</v>
      </c>
      <c r="F93" s="66">
        <f>1</f>
        <v>1</v>
      </c>
      <c r="G93" s="65">
        <f>'04a_Box_Dims'!$AE27</f>
        <v>10</v>
      </c>
      <c r="H93" s="66">
        <f t="shared" si="26"/>
        <v>69</v>
      </c>
      <c r="I93" s="65">
        <f>'04a_Box_Dims'!$K27</f>
        <v>6.25</v>
      </c>
      <c r="J93" s="66">
        <f>2*BX_hook</f>
        <v>600</v>
      </c>
      <c r="K93" s="66">
        <f t="shared" si="27"/>
        <v>6850</v>
      </c>
      <c r="L93" s="86">
        <f t="shared" si="28"/>
        <v>472.65</v>
      </c>
      <c r="M93" s="65">
        <f t="shared" si="29"/>
        <v>1.5783361491635119</v>
      </c>
      <c r="N93" s="86">
        <f t="shared" si="30"/>
        <v>746.00058090213383</v>
      </c>
    </row>
    <row r="94" spans="1:14" x14ac:dyDescent="0.3">
      <c r="A94" s="64">
        <v>4</v>
      </c>
      <c r="B94" s="64" t="s">
        <v>1610</v>
      </c>
      <c r="C94" s="64" t="s">
        <v>1607</v>
      </c>
      <c r="D94" s="209">
        <v>12</v>
      </c>
      <c r="E94" s="209">
        <v>125</v>
      </c>
      <c r="F94" s="66">
        <f>1</f>
        <v>1</v>
      </c>
      <c r="G94" s="65">
        <f>'04a_Box_Dims'!$AE27</f>
        <v>10</v>
      </c>
      <c r="H94" s="66">
        <f t="shared" si="26"/>
        <v>81</v>
      </c>
      <c r="I94" s="65">
        <f>'04a_Box_Dims'!$K27</f>
        <v>6.25</v>
      </c>
      <c r="J94" s="66">
        <f>2*BX_hook</f>
        <v>600</v>
      </c>
      <c r="K94" s="66">
        <f t="shared" si="27"/>
        <v>6850</v>
      </c>
      <c r="L94" s="86">
        <f t="shared" si="28"/>
        <v>554.85</v>
      </c>
      <c r="M94" s="65">
        <f t="shared" si="29"/>
        <v>0.88781408390447547</v>
      </c>
      <c r="N94" s="86">
        <f t="shared" si="30"/>
        <v>492.60364445439825</v>
      </c>
    </row>
    <row r="95" spans="1:14" x14ac:dyDescent="0.3">
      <c r="A95" s="64">
        <v>5</v>
      </c>
      <c r="B95" s="64" t="s">
        <v>1611</v>
      </c>
      <c r="C95" s="64" t="s">
        <v>1607</v>
      </c>
      <c r="D95" s="209">
        <v>10</v>
      </c>
      <c r="E95" s="209">
        <v>155</v>
      </c>
      <c r="F95" s="66">
        <f>2</f>
        <v>2</v>
      </c>
      <c r="G95" s="65">
        <f>'04a_Box_Dims'!$K27</f>
        <v>6.25</v>
      </c>
      <c r="H95" s="66">
        <f t="shared" si="26"/>
        <v>82</v>
      </c>
      <c r="I95" s="65">
        <f>'04a_Box_Dims'!$AE27</f>
        <v>10</v>
      </c>
      <c r="J95" s="66">
        <f>0</f>
        <v>0</v>
      </c>
      <c r="K95" s="66">
        <f t="shared" si="27"/>
        <v>10000</v>
      </c>
      <c r="L95" s="86">
        <f t="shared" si="28"/>
        <v>820</v>
      </c>
      <c r="M95" s="65">
        <f t="shared" si="29"/>
        <v>0.61653755826699685</v>
      </c>
      <c r="N95" s="86">
        <f t="shared" si="30"/>
        <v>505.5607977789374</v>
      </c>
    </row>
    <row r="96" spans="1:14" x14ac:dyDescent="0.3">
      <c r="A96" s="64">
        <v>6</v>
      </c>
      <c r="B96" s="64" t="s">
        <v>1612</v>
      </c>
      <c r="C96" s="64" t="s">
        <v>1613</v>
      </c>
      <c r="D96" s="209">
        <v>12</v>
      </c>
      <c r="E96" s="209">
        <v>205</v>
      </c>
      <c r="F96" s="66">
        <f>4</f>
        <v>4</v>
      </c>
      <c r="G96" s="65">
        <f>'04a_Box_Dims'!$AE27</f>
        <v>10</v>
      </c>
      <c r="H96" s="66">
        <f t="shared" si="26"/>
        <v>196</v>
      </c>
      <c r="I96" s="65">
        <f>'04a_Box_Dims'!$M27</f>
        <v>2.25</v>
      </c>
      <c r="J96" s="66">
        <f>2*BX_hook</f>
        <v>600</v>
      </c>
      <c r="K96" s="66">
        <f t="shared" si="27"/>
        <v>2850</v>
      </c>
      <c r="L96" s="86">
        <f t="shared" si="28"/>
        <v>558.6</v>
      </c>
      <c r="M96" s="65">
        <f t="shared" si="29"/>
        <v>0.88781408390447547</v>
      </c>
      <c r="N96" s="86">
        <f t="shared" si="30"/>
        <v>495.93294726904003</v>
      </c>
    </row>
    <row r="97" spans="1:14" x14ac:dyDescent="0.3">
      <c r="A97" s="64">
        <v>7</v>
      </c>
      <c r="B97" s="64" t="s">
        <v>1614</v>
      </c>
      <c r="C97" s="64" t="s">
        <v>1613</v>
      </c>
      <c r="D97" s="209">
        <v>12</v>
      </c>
      <c r="E97" s="209">
        <v>205</v>
      </c>
      <c r="F97" s="66">
        <f>2*('04a_Box_Dims'!$C27)-2</f>
        <v>2</v>
      </c>
      <c r="G97" s="65">
        <f>'04a_Box_Dims'!$AE27</f>
        <v>10</v>
      </c>
      <c r="H97" s="66">
        <f t="shared" si="26"/>
        <v>98</v>
      </c>
      <c r="I97" s="65">
        <f>'04a_Box_Dims'!$M27</f>
        <v>2.25</v>
      </c>
      <c r="J97" s="66">
        <f>2*BX_hook</f>
        <v>600</v>
      </c>
      <c r="K97" s="66">
        <f t="shared" si="27"/>
        <v>2850</v>
      </c>
      <c r="L97" s="86">
        <f t="shared" si="28"/>
        <v>279.3</v>
      </c>
      <c r="M97" s="65">
        <f t="shared" si="29"/>
        <v>0.88781408390447547</v>
      </c>
      <c r="N97" s="86">
        <f t="shared" si="30"/>
        <v>247.96647363452001</v>
      </c>
    </row>
    <row r="98" spans="1:14" x14ac:dyDescent="0.3">
      <c r="A98" s="64">
        <v>8</v>
      </c>
      <c r="B98" s="64" t="s">
        <v>1615</v>
      </c>
      <c r="C98" s="64" t="s">
        <v>1607</v>
      </c>
      <c r="D98" s="209">
        <v>10</v>
      </c>
      <c r="E98" s="209">
        <v>155</v>
      </c>
      <c r="F98" s="66">
        <f>('04a_Box_Dims'!$C27+1)*2</f>
        <v>6</v>
      </c>
      <c r="G98" s="65">
        <f>'04a_Box_Dims'!$M27</f>
        <v>2.25</v>
      </c>
      <c r="H98" s="66">
        <f t="shared" si="26"/>
        <v>90</v>
      </c>
      <c r="I98" s="65">
        <f>'04a_Box_Dims'!$AE27</f>
        <v>10</v>
      </c>
      <c r="J98" s="66">
        <f>0</f>
        <v>0</v>
      </c>
      <c r="K98" s="66">
        <f t="shared" si="27"/>
        <v>10000</v>
      </c>
      <c r="L98" s="86">
        <f t="shared" si="28"/>
        <v>900</v>
      </c>
      <c r="M98" s="65">
        <f t="shared" si="29"/>
        <v>0.61653755826699685</v>
      </c>
      <c r="N98" s="86">
        <f t="shared" si="30"/>
        <v>554.88380244029713</v>
      </c>
    </row>
    <row r="99" spans="1:14" x14ac:dyDescent="0.3">
      <c r="A99" s="64">
        <v>9</v>
      </c>
      <c r="B99" s="64" t="s">
        <v>1616</v>
      </c>
      <c r="C99" s="64" t="s">
        <v>1617</v>
      </c>
      <c r="D99" s="209">
        <v>12</v>
      </c>
      <c r="E99" s="209">
        <v>2</v>
      </c>
      <c r="F99" s="66">
        <f>4*('04a_Box_Dims'!$C27)*$E99</f>
        <v>16</v>
      </c>
      <c r="G99" s="65"/>
      <c r="H99" s="66">
        <f t="shared" si="26"/>
        <v>16</v>
      </c>
      <c r="I99" s="65">
        <f>'04a_Box_Dims'!$AE27</f>
        <v>10</v>
      </c>
      <c r="J99" s="66">
        <f>0</f>
        <v>0</v>
      </c>
      <c r="K99" s="66">
        <f t="shared" si="27"/>
        <v>10000</v>
      </c>
      <c r="L99" s="86">
        <f t="shared" si="28"/>
        <v>160</v>
      </c>
      <c r="M99" s="65">
        <f t="shared" si="29"/>
        <v>0.88781408390447547</v>
      </c>
      <c r="N99" s="86">
        <f t="shared" si="30"/>
        <v>142.05025342471606</v>
      </c>
    </row>
    <row r="100" spans="1:14" x14ac:dyDescent="0.3">
      <c r="A100" s="64">
        <v>10</v>
      </c>
      <c r="B100" s="64" t="s">
        <v>1618</v>
      </c>
      <c r="C100" s="64" t="s">
        <v>1619</v>
      </c>
      <c r="D100" s="209">
        <v>16</v>
      </c>
      <c r="E100" s="209">
        <v>120</v>
      </c>
      <c r="F100" s="66">
        <f>4</f>
        <v>4</v>
      </c>
      <c r="G100" s="65">
        <f>'04a_Box_Dims'!$Z27</f>
        <v>2.1213203435596424</v>
      </c>
      <c r="H100" s="66">
        <f t="shared" si="26"/>
        <v>72</v>
      </c>
      <c r="I100" s="65">
        <f>'04a_Box_Dims'!$W27</f>
        <v>3.7</v>
      </c>
      <c r="J100" s="66">
        <f>BX_wwbend</f>
        <v>900</v>
      </c>
      <c r="K100" s="66">
        <f t="shared" si="27"/>
        <v>4600</v>
      </c>
      <c r="L100" s="86">
        <f t="shared" si="28"/>
        <v>331.2</v>
      </c>
      <c r="M100" s="65">
        <f t="shared" si="29"/>
        <v>1.5783361491635119</v>
      </c>
      <c r="N100" s="86">
        <f t="shared" si="30"/>
        <v>522.74493260295515</v>
      </c>
    </row>
    <row r="101" spans="1:14" x14ac:dyDescent="0.3">
      <c r="A101" s="64">
        <v>11</v>
      </c>
      <c r="B101" s="64" t="s">
        <v>1620</v>
      </c>
      <c r="C101" s="64" t="s">
        <v>1607</v>
      </c>
      <c r="D101" s="209">
        <v>12</v>
      </c>
      <c r="E101" s="209">
        <v>180</v>
      </c>
      <c r="F101" s="66">
        <f>8</f>
        <v>8</v>
      </c>
      <c r="G101" s="65">
        <f>'04a_Box_Dims'!$W27</f>
        <v>3.7</v>
      </c>
      <c r="H101" s="66">
        <f t="shared" si="26"/>
        <v>168</v>
      </c>
      <c r="I101" s="65">
        <f>'04a_Box_Dims'!$Z27</f>
        <v>2.1213203435596424</v>
      </c>
      <c r="J101" s="66">
        <f>0</f>
        <v>0</v>
      </c>
      <c r="K101" s="66">
        <f t="shared" si="27"/>
        <v>2121</v>
      </c>
      <c r="L101" s="86">
        <f t="shared" si="28"/>
        <v>356.32799999999997</v>
      </c>
      <c r="M101" s="65">
        <f t="shared" si="29"/>
        <v>0.88781408390447547</v>
      </c>
      <c r="N101" s="86">
        <f t="shared" si="30"/>
        <v>316.35301688951392</v>
      </c>
    </row>
    <row r="102" spans="1:14" x14ac:dyDescent="0.3">
      <c r="A102" s="64">
        <v>12</v>
      </c>
      <c r="B102" s="64" t="s">
        <v>1621</v>
      </c>
      <c r="C102" s="64" t="s">
        <v>1622</v>
      </c>
      <c r="D102" s="83">
        <v>12</v>
      </c>
      <c r="E102" s="83">
        <v>200</v>
      </c>
      <c r="F102" s="66">
        <f>4</f>
        <v>4</v>
      </c>
      <c r="G102" s="65">
        <f>'04a_Box_Dims'!$J27</f>
        <v>6.75</v>
      </c>
      <c r="H102" s="66">
        <f t="shared" si="26"/>
        <v>136</v>
      </c>
      <c r="I102" s="65">
        <f>'04a_Box_Dims'!$J27</f>
        <v>6.75</v>
      </c>
      <c r="J102" s="66">
        <f>2*BX_hook</f>
        <v>600</v>
      </c>
      <c r="K102" s="66">
        <f t="shared" si="27"/>
        <v>7350</v>
      </c>
      <c r="L102" s="86">
        <f t="shared" si="28"/>
        <v>999.6</v>
      </c>
      <c r="M102" s="65">
        <f t="shared" si="29"/>
        <v>0.88781408390447547</v>
      </c>
      <c r="N102" s="86">
        <f t="shared" si="30"/>
        <v>887.45895827091374</v>
      </c>
    </row>
    <row r="103" spans="1:14" x14ac:dyDescent="0.3">
      <c r="A103" s="64">
        <v>13</v>
      </c>
      <c r="B103" s="64" t="s">
        <v>1623</v>
      </c>
      <c r="C103" s="64" t="s">
        <v>1607</v>
      </c>
      <c r="D103" s="209">
        <v>12</v>
      </c>
      <c r="E103" s="209">
        <v>225</v>
      </c>
      <c r="F103" s="66">
        <f>4</f>
        <v>4</v>
      </c>
      <c r="G103" s="65">
        <f>'04a_Box_Dims'!$J27</f>
        <v>6.75</v>
      </c>
      <c r="H103" s="66">
        <f t="shared" si="26"/>
        <v>124</v>
      </c>
      <c r="I103" s="65">
        <f>'04a_Box_Dims'!$J27</f>
        <v>6.75</v>
      </c>
      <c r="J103" s="66">
        <f>0</f>
        <v>0</v>
      </c>
      <c r="K103" s="66">
        <f t="shared" si="27"/>
        <v>6750</v>
      </c>
      <c r="L103" s="86">
        <f t="shared" si="28"/>
        <v>837</v>
      </c>
      <c r="M103" s="65">
        <f t="shared" si="29"/>
        <v>0.88781408390447547</v>
      </c>
      <c r="N103" s="86">
        <f t="shared" si="30"/>
        <v>743.10038822804597</v>
      </c>
    </row>
    <row r="104" spans="1:14" x14ac:dyDescent="0.3">
      <c r="A104" s="64">
        <v>14</v>
      </c>
      <c r="B104" s="64" t="s">
        <v>1624</v>
      </c>
      <c r="C104" s="64" t="s">
        <v>1613</v>
      </c>
      <c r="D104" s="83">
        <v>12</v>
      </c>
      <c r="E104" s="83">
        <v>3</v>
      </c>
      <c r="F104" s="66">
        <f>2*$E104</f>
        <v>6</v>
      </c>
      <c r="G104" s="65"/>
      <c r="H104" s="66">
        <f t="shared" si="26"/>
        <v>6</v>
      </c>
      <c r="I104" s="65">
        <f>'04a_Box_Dims'!$R27</f>
        <v>6.75</v>
      </c>
      <c r="J104" s="66">
        <f>0</f>
        <v>0</v>
      </c>
      <c r="K104" s="66">
        <f t="shared" si="27"/>
        <v>6750</v>
      </c>
      <c r="L104" s="86">
        <f t="shared" si="28"/>
        <v>40.5</v>
      </c>
      <c r="M104" s="65">
        <f t="shared" si="29"/>
        <v>0.88781408390447547</v>
      </c>
      <c r="N104" s="86">
        <f t="shared" si="30"/>
        <v>35.956470398131259</v>
      </c>
    </row>
    <row r="105" spans="1:14" x14ac:dyDescent="0.3">
      <c r="A105" s="64"/>
      <c r="B105" s="64"/>
      <c r="C105" s="64"/>
      <c r="D105" s="83"/>
      <c r="E105" s="83"/>
      <c r="F105" s="66"/>
      <c r="G105" s="65"/>
      <c r="H105" s="66"/>
      <c r="I105" s="65"/>
      <c r="J105" s="66"/>
      <c r="K105" s="66"/>
      <c r="L105" s="86"/>
      <c r="M105" s="65"/>
      <c r="N105" s="86"/>
    </row>
    <row r="106" spans="1:14" x14ac:dyDescent="0.3">
      <c r="A106" s="80" t="str">
        <f>'04a_Box_Dims'!$A28&amp;"   ("&amp;'04a_Box_Dims'!$B28&amp;")   —   No. on project: "&amp;'04a_Box_Dims'!$F28&amp;",  L used = "&amp;TEXT('04a_Box_Dims'!$AE28,"0.00")&amp;" m"</f>
        <v>3/3x2 box culvert   (BC|3/3x2)   —   No. on project: 0,  L used = 10.00 m</v>
      </c>
      <c r="B106" s="80"/>
      <c r="C106" s="80"/>
      <c r="D106" s="84"/>
      <c r="E106" s="84"/>
      <c r="F106" s="85"/>
      <c r="G106" s="88"/>
      <c r="H106" s="85"/>
      <c r="I106" s="88"/>
      <c r="J106" s="85"/>
      <c r="K106" s="85"/>
      <c r="L106" s="87"/>
      <c r="M106" s="88"/>
      <c r="N106" s="87"/>
    </row>
    <row r="107" spans="1:14" x14ac:dyDescent="0.3">
      <c r="A107" s="64">
        <v>1</v>
      </c>
      <c r="B107" s="64" t="s">
        <v>1606</v>
      </c>
      <c r="C107" s="64" t="s">
        <v>1607</v>
      </c>
      <c r="D107" s="209">
        <v>12</v>
      </c>
      <c r="E107" s="209">
        <v>205</v>
      </c>
      <c r="F107" s="66">
        <f>1</f>
        <v>1</v>
      </c>
      <c r="G107" s="65">
        <f>'04a_Box_Dims'!$AE28</f>
        <v>10</v>
      </c>
      <c r="H107" s="66">
        <f t="shared" ref="H107:H120" si="31">IF($G107="",$F107,$F107*(FLOOR($G107*1000/$E107,1)+1))</f>
        <v>49</v>
      </c>
      <c r="I107" s="65">
        <f>'04a_Box_Dims'!$K28</f>
        <v>9.5</v>
      </c>
      <c r="J107" s="66">
        <f>2*BX_hook</f>
        <v>600</v>
      </c>
      <c r="K107" s="66">
        <f t="shared" ref="K107:K120" si="32">ROUND($I107*1000+$J107,0)</f>
        <v>10100</v>
      </c>
      <c r="L107" s="86">
        <f t="shared" ref="L107:L120" si="33">$H107*$K107/1000</f>
        <v>494.9</v>
      </c>
      <c r="M107" s="65">
        <f t="shared" ref="M107:M120" si="34">PI()/4*($D107/1000)^2*BX_rho</f>
        <v>0.88781408390447547</v>
      </c>
      <c r="N107" s="86">
        <f t="shared" ref="N107:N120" si="35">$L107*$M107</f>
        <v>439.37919012432491</v>
      </c>
    </row>
    <row r="108" spans="1:14" x14ac:dyDescent="0.3">
      <c r="A108" s="64">
        <v>2</v>
      </c>
      <c r="B108" s="64" t="s">
        <v>1608</v>
      </c>
      <c r="C108" s="64" t="s">
        <v>1607</v>
      </c>
      <c r="D108" s="209">
        <v>12</v>
      </c>
      <c r="E108" s="209">
        <v>130</v>
      </c>
      <c r="F108" s="66">
        <f>1</f>
        <v>1</v>
      </c>
      <c r="G108" s="65">
        <f>'04a_Box_Dims'!$AE28</f>
        <v>10</v>
      </c>
      <c r="H108" s="66">
        <f t="shared" si="31"/>
        <v>77</v>
      </c>
      <c r="I108" s="65">
        <f>'04a_Box_Dims'!$K28</f>
        <v>9.5</v>
      </c>
      <c r="J108" s="66">
        <f>2*BX_hook</f>
        <v>600</v>
      </c>
      <c r="K108" s="66">
        <f t="shared" si="32"/>
        <v>10100</v>
      </c>
      <c r="L108" s="86">
        <f t="shared" si="33"/>
        <v>777.7</v>
      </c>
      <c r="M108" s="65">
        <f t="shared" si="34"/>
        <v>0.88781408390447547</v>
      </c>
      <c r="N108" s="86">
        <f t="shared" si="35"/>
        <v>690.45301305251064</v>
      </c>
    </row>
    <row r="109" spans="1:14" x14ac:dyDescent="0.3">
      <c r="A109" s="64">
        <v>3</v>
      </c>
      <c r="B109" s="64" t="s">
        <v>1609</v>
      </c>
      <c r="C109" s="64" t="s">
        <v>1607</v>
      </c>
      <c r="D109" s="209">
        <v>16</v>
      </c>
      <c r="E109" s="209">
        <v>145</v>
      </c>
      <c r="F109" s="66">
        <f>1</f>
        <v>1</v>
      </c>
      <c r="G109" s="65">
        <f>'04a_Box_Dims'!$AE28</f>
        <v>10</v>
      </c>
      <c r="H109" s="66">
        <f t="shared" si="31"/>
        <v>69</v>
      </c>
      <c r="I109" s="65">
        <f>'04a_Box_Dims'!$K28</f>
        <v>9.5</v>
      </c>
      <c r="J109" s="66">
        <f>2*BX_hook</f>
        <v>600</v>
      </c>
      <c r="K109" s="66">
        <f t="shared" si="32"/>
        <v>10100</v>
      </c>
      <c r="L109" s="86">
        <f t="shared" si="33"/>
        <v>696.9</v>
      </c>
      <c r="M109" s="65">
        <f t="shared" si="34"/>
        <v>1.5783361491635119</v>
      </c>
      <c r="N109" s="86">
        <f t="shared" si="35"/>
        <v>1099.9424623520515</v>
      </c>
    </row>
    <row r="110" spans="1:14" x14ac:dyDescent="0.3">
      <c r="A110" s="64">
        <v>4</v>
      </c>
      <c r="B110" s="64" t="s">
        <v>1610</v>
      </c>
      <c r="C110" s="64" t="s">
        <v>1607</v>
      </c>
      <c r="D110" s="209">
        <v>12</v>
      </c>
      <c r="E110" s="209">
        <v>120</v>
      </c>
      <c r="F110" s="66">
        <f>1</f>
        <v>1</v>
      </c>
      <c r="G110" s="65">
        <f>'04a_Box_Dims'!$AE28</f>
        <v>10</v>
      </c>
      <c r="H110" s="66">
        <f t="shared" si="31"/>
        <v>84</v>
      </c>
      <c r="I110" s="65">
        <f>'04a_Box_Dims'!$K28</f>
        <v>9.5</v>
      </c>
      <c r="J110" s="66">
        <f>2*BX_hook</f>
        <v>600</v>
      </c>
      <c r="K110" s="66">
        <f t="shared" si="32"/>
        <v>10100</v>
      </c>
      <c r="L110" s="86">
        <f t="shared" si="33"/>
        <v>848.4</v>
      </c>
      <c r="M110" s="65">
        <f t="shared" si="34"/>
        <v>0.88781408390447547</v>
      </c>
      <c r="N110" s="86">
        <f t="shared" si="35"/>
        <v>753.22146878455692</v>
      </c>
    </row>
    <row r="111" spans="1:14" x14ac:dyDescent="0.3">
      <c r="A111" s="64">
        <v>5</v>
      </c>
      <c r="B111" s="64" t="s">
        <v>1611</v>
      </c>
      <c r="C111" s="64" t="s">
        <v>1607</v>
      </c>
      <c r="D111" s="209">
        <v>10</v>
      </c>
      <c r="E111" s="209">
        <v>155</v>
      </c>
      <c r="F111" s="66">
        <f>2</f>
        <v>2</v>
      </c>
      <c r="G111" s="65">
        <f>'04a_Box_Dims'!$K28</f>
        <v>9.5</v>
      </c>
      <c r="H111" s="66">
        <f t="shared" si="31"/>
        <v>124</v>
      </c>
      <c r="I111" s="65">
        <f>'04a_Box_Dims'!$AE28</f>
        <v>10</v>
      </c>
      <c r="J111" s="66">
        <f>0</f>
        <v>0</v>
      </c>
      <c r="K111" s="66">
        <f t="shared" si="32"/>
        <v>10000</v>
      </c>
      <c r="L111" s="86">
        <f t="shared" si="33"/>
        <v>1240</v>
      </c>
      <c r="M111" s="65">
        <f t="shared" si="34"/>
        <v>0.61653755826699685</v>
      </c>
      <c r="N111" s="86">
        <f t="shared" si="35"/>
        <v>764.50657225107614</v>
      </c>
    </row>
    <row r="112" spans="1:14" x14ac:dyDescent="0.3">
      <c r="A112" s="64">
        <v>6</v>
      </c>
      <c r="B112" s="64" t="s">
        <v>1612</v>
      </c>
      <c r="C112" s="64" t="s">
        <v>1613</v>
      </c>
      <c r="D112" s="209">
        <v>12</v>
      </c>
      <c r="E112" s="209">
        <v>165</v>
      </c>
      <c r="F112" s="66">
        <f>4</f>
        <v>4</v>
      </c>
      <c r="G112" s="65">
        <f>'04a_Box_Dims'!$AE28</f>
        <v>10</v>
      </c>
      <c r="H112" s="66">
        <f t="shared" si="31"/>
        <v>244</v>
      </c>
      <c r="I112" s="65">
        <f>'04a_Box_Dims'!$M28</f>
        <v>2.25</v>
      </c>
      <c r="J112" s="66">
        <f>2*BX_hook</f>
        <v>600</v>
      </c>
      <c r="K112" s="66">
        <f t="shared" si="32"/>
        <v>2850</v>
      </c>
      <c r="L112" s="86">
        <f t="shared" si="33"/>
        <v>695.4</v>
      </c>
      <c r="M112" s="65">
        <f t="shared" si="34"/>
        <v>0.88781408390447547</v>
      </c>
      <c r="N112" s="86">
        <f t="shared" si="35"/>
        <v>617.38591394717218</v>
      </c>
    </row>
    <row r="113" spans="1:14" x14ac:dyDescent="0.3">
      <c r="A113" s="64">
        <v>7</v>
      </c>
      <c r="B113" s="64" t="s">
        <v>1614</v>
      </c>
      <c r="C113" s="64" t="s">
        <v>1613</v>
      </c>
      <c r="D113" s="209">
        <v>12</v>
      </c>
      <c r="E113" s="209">
        <v>165</v>
      </c>
      <c r="F113" s="66">
        <f>2*('04a_Box_Dims'!$C28)-2</f>
        <v>4</v>
      </c>
      <c r="G113" s="65">
        <f>'04a_Box_Dims'!$AE28</f>
        <v>10</v>
      </c>
      <c r="H113" s="66">
        <f t="shared" si="31"/>
        <v>244</v>
      </c>
      <c r="I113" s="65">
        <f>'04a_Box_Dims'!$M28</f>
        <v>2.25</v>
      </c>
      <c r="J113" s="66">
        <f>2*BX_hook</f>
        <v>600</v>
      </c>
      <c r="K113" s="66">
        <f t="shared" si="32"/>
        <v>2850</v>
      </c>
      <c r="L113" s="86">
        <f t="shared" si="33"/>
        <v>695.4</v>
      </c>
      <c r="M113" s="65">
        <f t="shared" si="34"/>
        <v>0.88781408390447547</v>
      </c>
      <c r="N113" s="86">
        <f t="shared" si="35"/>
        <v>617.38591394717218</v>
      </c>
    </row>
    <row r="114" spans="1:14" x14ac:dyDescent="0.3">
      <c r="A114" s="64">
        <v>8</v>
      </c>
      <c r="B114" s="64" t="s">
        <v>1615</v>
      </c>
      <c r="C114" s="64" t="s">
        <v>1607</v>
      </c>
      <c r="D114" s="209">
        <v>10</v>
      </c>
      <c r="E114" s="209">
        <v>155</v>
      </c>
      <c r="F114" s="66">
        <f>('04a_Box_Dims'!$C28+1)*2</f>
        <v>8</v>
      </c>
      <c r="G114" s="65">
        <f>'04a_Box_Dims'!$M28</f>
        <v>2.25</v>
      </c>
      <c r="H114" s="66">
        <f t="shared" si="31"/>
        <v>120</v>
      </c>
      <c r="I114" s="65">
        <f>'04a_Box_Dims'!$AE28</f>
        <v>10</v>
      </c>
      <c r="J114" s="66">
        <f>0</f>
        <v>0</v>
      </c>
      <c r="K114" s="66">
        <f t="shared" si="32"/>
        <v>10000</v>
      </c>
      <c r="L114" s="86">
        <f t="shared" si="33"/>
        <v>1200</v>
      </c>
      <c r="M114" s="65">
        <f t="shared" si="34"/>
        <v>0.61653755826699685</v>
      </c>
      <c r="N114" s="86">
        <f t="shared" si="35"/>
        <v>739.84506992039621</v>
      </c>
    </row>
    <row r="115" spans="1:14" x14ac:dyDescent="0.3">
      <c r="A115" s="64">
        <v>9</v>
      </c>
      <c r="B115" s="64" t="s">
        <v>1616</v>
      </c>
      <c r="C115" s="64" t="s">
        <v>1617</v>
      </c>
      <c r="D115" s="209">
        <v>12</v>
      </c>
      <c r="E115" s="209">
        <v>2</v>
      </c>
      <c r="F115" s="66">
        <f>4*('04a_Box_Dims'!$C28)*$E115</f>
        <v>24</v>
      </c>
      <c r="G115" s="65"/>
      <c r="H115" s="66">
        <f t="shared" si="31"/>
        <v>24</v>
      </c>
      <c r="I115" s="65">
        <f>'04a_Box_Dims'!$AE28</f>
        <v>10</v>
      </c>
      <c r="J115" s="66">
        <f>0</f>
        <v>0</v>
      </c>
      <c r="K115" s="66">
        <f t="shared" si="32"/>
        <v>10000</v>
      </c>
      <c r="L115" s="86">
        <f t="shared" si="33"/>
        <v>240</v>
      </c>
      <c r="M115" s="65">
        <f t="shared" si="34"/>
        <v>0.88781408390447547</v>
      </c>
      <c r="N115" s="86">
        <f t="shared" si="35"/>
        <v>213.07538013707412</v>
      </c>
    </row>
    <row r="116" spans="1:14" x14ac:dyDescent="0.3">
      <c r="A116" s="64">
        <v>10</v>
      </c>
      <c r="B116" s="64" t="s">
        <v>1618</v>
      </c>
      <c r="C116" s="64" t="s">
        <v>1619</v>
      </c>
      <c r="D116" s="209">
        <v>16</v>
      </c>
      <c r="E116" s="209">
        <v>120</v>
      </c>
      <c r="F116" s="66">
        <f>4</f>
        <v>4</v>
      </c>
      <c r="G116" s="65">
        <f>'04a_Box_Dims'!$Z28</f>
        <v>2.1213203435596424</v>
      </c>
      <c r="H116" s="66">
        <f t="shared" si="31"/>
        <v>72</v>
      </c>
      <c r="I116" s="65">
        <f>'04a_Box_Dims'!$W28</f>
        <v>3.7</v>
      </c>
      <c r="J116" s="66">
        <f>BX_wwbend</f>
        <v>900</v>
      </c>
      <c r="K116" s="66">
        <f t="shared" si="32"/>
        <v>4600</v>
      </c>
      <c r="L116" s="86">
        <f t="shared" si="33"/>
        <v>331.2</v>
      </c>
      <c r="M116" s="65">
        <f t="shared" si="34"/>
        <v>1.5783361491635119</v>
      </c>
      <c r="N116" s="86">
        <f t="shared" si="35"/>
        <v>522.74493260295515</v>
      </c>
    </row>
    <row r="117" spans="1:14" x14ac:dyDescent="0.3">
      <c r="A117" s="64">
        <v>11</v>
      </c>
      <c r="B117" s="64" t="s">
        <v>1620</v>
      </c>
      <c r="C117" s="64" t="s">
        <v>1607</v>
      </c>
      <c r="D117" s="209">
        <v>12</v>
      </c>
      <c r="E117" s="209">
        <v>180</v>
      </c>
      <c r="F117" s="66">
        <f>8</f>
        <v>8</v>
      </c>
      <c r="G117" s="65">
        <f>'04a_Box_Dims'!$W28</f>
        <v>3.7</v>
      </c>
      <c r="H117" s="66">
        <f t="shared" si="31"/>
        <v>168</v>
      </c>
      <c r="I117" s="65">
        <f>'04a_Box_Dims'!$Z28</f>
        <v>2.1213203435596424</v>
      </c>
      <c r="J117" s="66">
        <f>0</f>
        <v>0</v>
      </c>
      <c r="K117" s="66">
        <f t="shared" si="32"/>
        <v>2121</v>
      </c>
      <c r="L117" s="86">
        <f t="shared" si="33"/>
        <v>356.32799999999997</v>
      </c>
      <c r="M117" s="65">
        <f t="shared" si="34"/>
        <v>0.88781408390447547</v>
      </c>
      <c r="N117" s="86">
        <f t="shared" si="35"/>
        <v>316.35301688951392</v>
      </c>
    </row>
    <row r="118" spans="1:14" x14ac:dyDescent="0.3">
      <c r="A118" s="64">
        <v>12</v>
      </c>
      <c r="B118" s="64" t="s">
        <v>1621</v>
      </c>
      <c r="C118" s="64" t="s">
        <v>1622</v>
      </c>
      <c r="D118" s="83">
        <v>12</v>
      </c>
      <c r="E118" s="83">
        <v>200</v>
      </c>
      <c r="F118" s="66">
        <f>4</f>
        <v>4</v>
      </c>
      <c r="G118" s="65">
        <f>'04a_Box_Dims'!$J28</f>
        <v>10</v>
      </c>
      <c r="H118" s="66">
        <f t="shared" si="31"/>
        <v>204</v>
      </c>
      <c r="I118" s="65">
        <f>'04a_Box_Dims'!$J28</f>
        <v>10</v>
      </c>
      <c r="J118" s="66">
        <f>2*BX_hook</f>
        <v>600</v>
      </c>
      <c r="K118" s="66">
        <f t="shared" si="32"/>
        <v>10600</v>
      </c>
      <c r="L118" s="86">
        <f t="shared" si="33"/>
        <v>2162.4</v>
      </c>
      <c r="M118" s="65">
        <f t="shared" si="34"/>
        <v>0.88781408390447547</v>
      </c>
      <c r="N118" s="86">
        <f t="shared" si="35"/>
        <v>1919.8091750350379</v>
      </c>
    </row>
    <row r="119" spans="1:14" x14ac:dyDescent="0.3">
      <c r="A119" s="64">
        <v>13</v>
      </c>
      <c r="B119" s="64" t="s">
        <v>1623</v>
      </c>
      <c r="C119" s="64" t="s">
        <v>1607</v>
      </c>
      <c r="D119" s="209">
        <v>12</v>
      </c>
      <c r="E119" s="209">
        <v>225</v>
      </c>
      <c r="F119" s="66">
        <f>4</f>
        <v>4</v>
      </c>
      <c r="G119" s="65">
        <f>'04a_Box_Dims'!$J28</f>
        <v>10</v>
      </c>
      <c r="H119" s="66">
        <f t="shared" si="31"/>
        <v>180</v>
      </c>
      <c r="I119" s="65">
        <f>'04a_Box_Dims'!$J28</f>
        <v>10</v>
      </c>
      <c r="J119" s="66">
        <f>0</f>
        <v>0</v>
      </c>
      <c r="K119" s="66">
        <f t="shared" si="32"/>
        <v>10000</v>
      </c>
      <c r="L119" s="86">
        <f t="shared" si="33"/>
        <v>1800</v>
      </c>
      <c r="M119" s="65">
        <f t="shared" si="34"/>
        <v>0.88781408390447547</v>
      </c>
      <c r="N119" s="86">
        <f t="shared" si="35"/>
        <v>1598.0653510280558</v>
      </c>
    </row>
    <row r="120" spans="1:14" x14ac:dyDescent="0.3">
      <c r="A120" s="64">
        <v>14</v>
      </c>
      <c r="B120" s="64" t="s">
        <v>1624</v>
      </c>
      <c r="C120" s="64" t="s">
        <v>1613</v>
      </c>
      <c r="D120" s="83">
        <v>12</v>
      </c>
      <c r="E120" s="83">
        <v>3</v>
      </c>
      <c r="F120" s="66">
        <f>2*$E120</f>
        <v>6</v>
      </c>
      <c r="G120" s="65"/>
      <c r="H120" s="66">
        <f t="shared" si="31"/>
        <v>6</v>
      </c>
      <c r="I120" s="65">
        <f>'04a_Box_Dims'!$R28</f>
        <v>10</v>
      </c>
      <c r="J120" s="66">
        <f>0</f>
        <v>0</v>
      </c>
      <c r="K120" s="66">
        <f t="shared" si="32"/>
        <v>10000</v>
      </c>
      <c r="L120" s="86">
        <f t="shared" si="33"/>
        <v>60</v>
      </c>
      <c r="M120" s="65">
        <f t="shared" si="34"/>
        <v>0.88781408390447547</v>
      </c>
      <c r="N120" s="86">
        <f t="shared" si="35"/>
        <v>53.26884503426853</v>
      </c>
    </row>
    <row r="121" spans="1:14" x14ac:dyDescent="0.3">
      <c r="A121" s="64"/>
      <c r="B121" s="64"/>
      <c r="C121" s="64"/>
      <c r="D121" s="83"/>
      <c r="E121" s="83"/>
      <c r="F121" s="66"/>
      <c r="G121" s="65"/>
      <c r="H121" s="66"/>
      <c r="I121" s="65"/>
      <c r="J121" s="66"/>
      <c r="K121" s="66"/>
      <c r="L121" s="86"/>
      <c r="M121" s="65"/>
      <c r="N121" s="86"/>
    </row>
    <row r="122" spans="1:14" x14ac:dyDescent="0.3">
      <c r="A122" s="80" t="str">
        <f>'04a_Box_Dims'!$A29&amp;"   ("&amp;'04a_Box_Dims'!$B29&amp;")   —   No. on project: "&amp;'04a_Box_Dims'!$F29&amp;",  L used = "&amp;TEXT('04a_Box_Dims'!$AE29,"0.00")&amp;" m"</f>
        <v>1/3x3 box culvert   (BC|1/3x3)   —   No. on project: 0,  L used = 10.00 m</v>
      </c>
      <c r="B122" s="80"/>
      <c r="C122" s="80"/>
      <c r="D122" s="84"/>
      <c r="E122" s="84"/>
      <c r="F122" s="85"/>
      <c r="G122" s="88"/>
      <c r="H122" s="85"/>
      <c r="I122" s="88"/>
      <c r="J122" s="85"/>
      <c r="K122" s="85"/>
      <c r="L122" s="87"/>
      <c r="M122" s="88"/>
      <c r="N122" s="87"/>
    </row>
    <row r="123" spans="1:14" x14ac:dyDescent="0.3">
      <c r="A123" s="64">
        <v>1</v>
      </c>
      <c r="B123" s="64" t="s">
        <v>1606</v>
      </c>
      <c r="C123" s="64" t="s">
        <v>1607</v>
      </c>
      <c r="D123" s="209">
        <v>12</v>
      </c>
      <c r="E123" s="209">
        <v>175</v>
      </c>
      <c r="F123" s="66">
        <f>1</f>
        <v>1</v>
      </c>
      <c r="G123" s="65">
        <f>'04a_Box_Dims'!$AE29</f>
        <v>10</v>
      </c>
      <c r="H123" s="66">
        <f t="shared" ref="H123:H136" si="36">IF($G123="",$F123,$F123*(FLOOR($G123*1000/$E123,1)+1))</f>
        <v>58</v>
      </c>
      <c r="I123" s="65">
        <f>'04a_Box_Dims'!$K29</f>
        <v>3</v>
      </c>
      <c r="J123" s="66">
        <f>2*BX_hook</f>
        <v>600</v>
      </c>
      <c r="K123" s="66">
        <f t="shared" ref="K123:K136" si="37">ROUND($I123*1000+$J123,0)</f>
        <v>3600</v>
      </c>
      <c r="L123" s="86">
        <f t="shared" ref="L123:L136" si="38">$H123*$K123/1000</f>
        <v>208.8</v>
      </c>
      <c r="M123" s="65">
        <f t="shared" ref="M123:M136" si="39">PI()/4*($D123/1000)^2*BX_rho</f>
        <v>0.88781408390447547</v>
      </c>
      <c r="N123" s="86">
        <f t="shared" ref="N123:N136" si="40">$L123*$M123</f>
        <v>185.37558071925449</v>
      </c>
    </row>
    <row r="124" spans="1:14" x14ac:dyDescent="0.3">
      <c r="A124" s="64">
        <v>2</v>
      </c>
      <c r="B124" s="64" t="s">
        <v>1608</v>
      </c>
      <c r="C124" s="64" t="s">
        <v>1607</v>
      </c>
      <c r="D124" s="209">
        <v>12</v>
      </c>
      <c r="E124" s="209">
        <v>155</v>
      </c>
      <c r="F124" s="66">
        <f>1</f>
        <v>1</v>
      </c>
      <c r="G124" s="65">
        <f>'04a_Box_Dims'!$AE29</f>
        <v>10</v>
      </c>
      <c r="H124" s="66">
        <f t="shared" si="36"/>
        <v>65</v>
      </c>
      <c r="I124" s="65">
        <f>'04a_Box_Dims'!$K29</f>
        <v>3</v>
      </c>
      <c r="J124" s="66">
        <f>2*BX_hook</f>
        <v>600</v>
      </c>
      <c r="K124" s="66">
        <f t="shared" si="37"/>
        <v>3600</v>
      </c>
      <c r="L124" s="86">
        <f t="shared" si="38"/>
        <v>234</v>
      </c>
      <c r="M124" s="65">
        <f t="shared" si="39"/>
        <v>0.88781408390447547</v>
      </c>
      <c r="N124" s="86">
        <f t="shared" si="40"/>
        <v>207.74849563364725</v>
      </c>
    </row>
    <row r="125" spans="1:14" x14ac:dyDescent="0.3">
      <c r="A125" s="64">
        <v>3</v>
      </c>
      <c r="B125" s="64" t="s">
        <v>1609</v>
      </c>
      <c r="C125" s="64" t="s">
        <v>1607</v>
      </c>
      <c r="D125" s="209">
        <v>12</v>
      </c>
      <c r="E125" s="209">
        <v>145</v>
      </c>
      <c r="F125" s="66">
        <f>1</f>
        <v>1</v>
      </c>
      <c r="G125" s="65">
        <f>'04a_Box_Dims'!$AE29</f>
        <v>10</v>
      </c>
      <c r="H125" s="66">
        <f t="shared" si="36"/>
        <v>69</v>
      </c>
      <c r="I125" s="65">
        <f>'04a_Box_Dims'!$K29</f>
        <v>3</v>
      </c>
      <c r="J125" s="66">
        <f>2*BX_hook</f>
        <v>600</v>
      </c>
      <c r="K125" s="66">
        <f t="shared" si="37"/>
        <v>3600</v>
      </c>
      <c r="L125" s="86">
        <f t="shared" si="38"/>
        <v>248.4</v>
      </c>
      <c r="M125" s="65">
        <f t="shared" si="39"/>
        <v>0.88781408390447547</v>
      </c>
      <c r="N125" s="86">
        <f t="shared" si="40"/>
        <v>220.53301844187172</v>
      </c>
    </row>
    <row r="126" spans="1:14" x14ac:dyDescent="0.3">
      <c r="A126" s="64">
        <v>4</v>
      </c>
      <c r="B126" s="64" t="s">
        <v>1610</v>
      </c>
      <c r="C126" s="64" t="s">
        <v>1607</v>
      </c>
      <c r="D126" s="209">
        <v>12</v>
      </c>
      <c r="E126" s="209">
        <v>120</v>
      </c>
      <c r="F126" s="66">
        <f>1</f>
        <v>1</v>
      </c>
      <c r="G126" s="65">
        <f>'04a_Box_Dims'!$AE29</f>
        <v>10</v>
      </c>
      <c r="H126" s="66">
        <f t="shared" si="36"/>
        <v>84</v>
      </c>
      <c r="I126" s="65">
        <f>'04a_Box_Dims'!$K29</f>
        <v>3</v>
      </c>
      <c r="J126" s="66">
        <f>2*BX_hook</f>
        <v>600</v>
      </c>
      <c r="K126" s="66">
        <f t="shared" si="37"/>
        <v>3600</v>
      </c>
      <c r="L126" s="86">
        <f t="shared" si="38"/>
        <v>302.39999999999998</v>
      </c>
      <c r="M126" s="65">
        <f t="shared" si="39"/>
        <v>0.88781408390447547</v>
      </c>
      <c r="N126" s="86">
        <f t="shared" si="40"/>
        <v>268.47497897271336</v>
      </c>
    </row>
    <row r="127" spans="1:14" x14ac:dyDescent="0.3">
      <c r="A127" s="64">
        <v>5</v>
      </c>
      <c r="B127" s="64" t="s">
        <v>1611</v>
      </c>
      <c r="C127" s="64" t="s">
        <v>1607</v>
      </c>
      <c r="D127" s="209">
        <v>10</v>
      </c>
      <c r="E127" s="209">
        <v>155</v>
      </c>
      <c r="F127" s="66">
        <f>2</f>
        <v>2</v>
      </c>
      <c r="G127" s="65">
        <f>'04a_Box_Dims'!$K29</f>
        <v>3</v>
      </c>
      <c r="H127" s="66">
        <f t="shared" si="36"/>
        <v>40</v>
      </c>
      <c r="I127" s="65">
        <f>'04a_Box_Dims'!$AE29</f>
        <v>10</v>
      </c>
      <c r="J127" s="66">
        <f>0</f>
        <v>0</v>
      </c>
      <c r="K127" s="66">
        <f t="shared" si="37"/>
        <v>10000</v>
      </c>
      <c r="L127" s="86">
        <f t="shared" si="38"/>
        <v>400</v>
      </c>
      <c r="M127" s="65">
        <f t="shared" si="39"/>
        <v>0.61653755826699685</v>
      </c>
      <c r="N127" s="86">
        <f t="shared" si="40"/>
        <v>246.61502330679875</v>
      </c>
    </row>
    <row r="128" spans="1:14" x14ac:dyDescent="0.3">
      <c r="A128" s="64">
        <v>6</v>
      </c>
      <c r="B128" s="64" t="s">
        <v>1612</v>
      </c>
      <c r="C128" s="64" t="s">
        <v>1613</v>
      </c>
      <c r="D128" s="209">
        <v>12</v>
      </c>
      <c r="E128" s="209">
        <v>145</v>
      </c>
      <c r="F128" s="66">
        <f>4</f>
        <v>4</v>
      </c>
      <c r="G128" s="65">
        <f>'04a_Box_Dims'!$AE29</f>
        <v>10</v>
      </c>
      <c r="H128" s="66">
        <f t="shared" si="36"/>
        <v>276</v>
      </c>
      <c r="I128" s="65">
        <f>'04a_Box_Dims'!$M29</f>
        <v>3.25</v>
      </c>
      <c r="J128" s="66">
        <f>2*BX_hook</f>
        <v>600</v>
      </c>
      <c r="K128" s="66">
        <f t="shared" si="37"/>
        <v>3850</v>
      </c>
      <c r="L128" s="86">
        <f t="shared" si="38"/>
        <v>1062.5999999999999</v>
      </c>
      <c r="M128" s="65">
        <f t="shared" si="39"/>
        <v>0.88781408390447547</v>
      </c>
      <c r="N128" s="86">
        <f t="shared" si="40"/>
        <v>943.39124555689557</v>
      </c>
    </row>
    <row r="129" spans="1:14" x14ac:dyDescent="0.3">
      <c r="A129" s="64">
        <v>7</v>
      </c>
      <c r="B129" s="64" t="s">
        <v>1614</v>
      </c>
      <c r="C129" s="64" t="s">
        <v>1613</v>
      </c>
      <c r="D129" s="209">
        <v>12</v>
      </c>
      <c r="E129" s="209">
        <v>145</v>
      </c>
      <c r="F129" s="66">
        <f>2*('04a_Box_Dims'!$C29)-2</f>
        <v>0</v>
      </c>
      <c r="G129" s="65">
        <f>'04a_Box_Dims'!$AE29</f>
        <v>10</v>
      </c>
      <c r="H129" s="66">
        <f t="shared" si="36"/>
        <v>0</v>
      </c>
      <c r="I129" s="65">
        <f>'04a_Box_Dims'!$M29</f>
        <v>3.25</v>
      </c>
      <c r="J129" s="66">
        <f>2*BX_hook</f>
        <v>600</v>
      </c>
      <c r="K129" s="66">
        <f t="shared" si="37"/>
        <v>3850</v>
      </c>
      <c r="L129" s="86">
        <f t="shared" si="38"/>
        <v>0</v>
      </c>
      <c r="M129" s="65">
        <f t="shared" si="39"/>
        <v>0.88781408390447547</v>
      </c>
      <c r="N129" s="86">
        <f t="shared" si="40"/>
        <v>0</v>
      </c>
    </row>
    <row r="130" spans="1:14" x14ac:dyDescent="0.3">
      <c r="A130" s="64">
        <v>8</v>
      </c>
      <c r="B130" s="64" t="s">
        <v>1615</v>
      </c>
      <c r="C130" s="64" t="s">
        <v>1607</v>
      </c>
      <c r="D130" s="209">
        <v>10</v>
      </c>
      <c r="E130" s="209">
        <v>155</v>
      </c>
      <c r="F130" s="66">
        <f>('04a_Box_Dims'!$C29+1)*2</f>
        <v>4</v>
      </c>
      <c r="G130" s="65">
        <f>'04a_Box_Dims'!$M29</f>
        <v>3.25</v>
      </c>
      <c r="H130" s="66">
        <f t="shared" si="36"/>
        <v>84</v>
      </c>
      <c r="I130" s="65">
        <f>'04a_Box_Dims'!$AE29</f>
        <v>10</v>
      </c>
      <c r="J130" s="66">
        <f>0</f>
        <v>0</v>
      </c>
      <c r="K130" s="66">
        <f t="shared" si="37"/>
        <v>10000</v>
      </c>
      <c r="L130" s="86">
        <f t="shared" si="38"/>
        <v>840</v>
      </c>
      <c r="M130" s="65">
        <f t="shared" si="39"/>
        <v>0.61653755826699685</v>
      </c>
      <c r="N130" s="86">
        <f t="shared" si="40"/>
        <v>517.89154894427736</v>
      </c>
    </row>
    <row r="131" spans="1:14" x14ac:dyDescent="0.3">
      <c r="A131" s="64">
        <v>9</v>
      </c>
      <c r="B131" s="64" t="s">
        <v>1616</v>
      </c>
      <c r="C131" s="64" t="s">
        <v>1617</v>
      </c>
      <c r="D131" s="209">
        <v>12</v>
      </c>
      <c r="E131" s="209">
        <v>2</v>
      </c>
      <c r="F131" s="66">
        <f>4*('04a_Box_Dims'!$C29)*$E131</f>
        <v>8</v>
      </c>
      <c r="G131" s="65"/>
      <c r="H131" s="66">
        <f t="shared" si="36"/>
        <v>8</v>
      </c>
      <c r="I131" s="65">
        <f>'04a_Box_Dims'!$AE29</f>
        <v>10</v>
      </c>
      <c r="J131" s="66">
        <f>0</f>
        <v>0</v>
      </c>
      <c r="K131" s="66">
        <f t="shared" si="37"/>
        <v>10000</v>
      </c>
      <c r="L131" s="86">
        <f t="shared" si="38"/>
        <v>80</v>
      </c>
      <c r="M131" s="65">
        <f t="shared" si="39"/>
        <v>0.88781408390447547</v>
      </c>
      <c r="N131" s="86">
        <f t="shared" si="40"/>
        <v>71.025126712358031</v>
      </c>
    </row>
    <row r="132" spans="1:14" x14ac:dyDescent="0.3">
      <c r="A132" s="64">
        <v>10</v>
      </c>
      <c r="B132" s="64" t="s">
        <v>1618</v>
      </c>
      <c r="C132" s="64" t="s">
        <v>1619</v>
      </c>
      <c r="D132" s="209">
        <v>20</v>
      </c>
      <c r="E132" s="209">
        <v>130</v>
      </c>
      <c r="F132" s="66">
        <f>4</f>
        <v>4</v>
      </c>
      <c r="G132" s="65">
        <f>'04a_Box_Dims'!$Z29</f>
        <v>2.1213203435596424</v>
      </c>
      <c r="H132" s="66">
        <f t="shared" si="36"/>
        <v>68</v>
      </c>
      <c r="I132" s="65">
        <f>'04a_Box_Dims'!$W29</f>
        <v>4.6999999999999993</v>
      </c>
      <c r="J132" s="66">
        <f>BX_wwbend</f>
        <v>900</v>
      </c>
      <c r="K132" s="66">
        <f t="shared" si="37"/>
        <v>5600</v>
      </c>
      <c r="L132" s="86">
        <f t="shared" si="38"/>
        <v>380.8</v>
      </c>
      <c r="M132" s="65">
        <f t="shared" si="39"/>
        <v>2.4661502330679874</v>
      </c>
      <c r="N132" s="86">
        <f t="shared" si="40"/>
        <v>939.11000875228967</v>
      </c>
    </row>
    <row r="133" spans="1:14" x14ac:dyDescent="0.3">
      <c r="A133" s="64">
        <v>11</v>
      </c>
      <c r="B133" s="64" t="s">
        <v>1620</v>
      </c>
      <c r="C133" s="64" t="s">
        <v>1607</v>
      </c>
      <c r="D133" s="209">
        <v>12</v>
      </c>
      <c r="E133" s="209">
        <v>145</v>
      </c>
      <c r="F133" s="66">
        <f>8</f>
        <v>8</v>
      </c>
      <c r="G133" s="65">
        <f>'04a_Box_Dims'!$W29</f>
        <v>4.6999999999999993</v>
      </c>
      <c r="H133" s="66">
        <f t="shared" si="36"/>
        <v>264</v>
      </c>
      <c r="I133" s="65">
        <f>'04a_Box_Dims'!$Z29</f>
        <v>2.1213203435596424</v>
      </c>
      <c r="J133" s="66">
        <f>0</f>
        <v>0</v>
      </c>
      <c r="K133" s="66">
        <f t="shared" si="37"/>
        <v>2121</v>
      </c>
      <c r="L133" s="86">
        <f t="shared" si="38"/>
        <v>559.94399999999996</v>
      </c>
      <c r="M133" s="65">
        <f t="shared" si="39"/>
        <v>0.88781408390447547</v>
      </c>
      <c r="N133" s="86">
        <f t="shared" si="40"/>
        <v>497.12616939780759</v>
      </c>
    </row>
    <row r="134" spans="1:14" x14ac:dyDescent="0.3">
      <c r="A134" s="64">
        <v>12</v>
      </c>
      <c r="B134" s="64" t="s">
        <v>1621</v>
      </c>
      <c r="C134" s="64" t="s">
        <v>1622</v>
      </c>
      <c r="D134" s="83">
        <v>12</v>
      </c>
      <c r="E134" s="83">
        <v>200</v>
      </c>
      <c r="F134" s="66">
        <f>4</f>
        <v>4</v>
      </c>
      <c r="G134" s="65">
        <f>'04a_Box_Dims'!$J29</f>
        <v>3.5</v>
      </c>
      <c r="H134" s="66">
        <f t="shared" si="36"/>
        <v>72</v>
      </c>
      <c r="I134" s="65">
        <f>'04a_Box_Dims'!$J29</f>
        <v>3.5</v>
      </c>
      <c r="J134" s="66">
        <f>2*BX_hook</f>
        <v>600</v>
      </c>
      <c r="K134" s="66">
        <f t="shared" si="37"/>
        <v>4100</v>
      </c>
      <c r="L134" s="86">
        <f t="shared" si="38"/>
        <v>295.2</v>
      </c>
      <c r="M134" s="65">
        <f t="shared" si="39"/>
        <v>0.88781408390447547</v>
      </c>
      <c r="N134" s="86">
        <f t="shared" si="40"/>
        <v>262.08271756860114</v>
      </c>
    </row>
    <row r="135" spans="1:14" x14ac:dyDescent="0.3">
      <c r="A135" s="64">
        <v>13</v>
      </c>
      <c r="B135" s="64" t="s">
        <v>1623</v>
      </c>
      <c r="C135" s="64" t="s">
        <v>1607</v>
      </c>
      <c r="D135" s="209">
        <v>12</v>
      </c>
      <c r="E135" s="209">
        <v>225</v>
      </c>
      <c r="F135" s="66">
        <f>4</f>
        <v>4</v>
      </c>
      <c r="G135" s="65">
        <f>'04a_Box_Dims'!$J29</f>
        <v>3.5</v>
      </c>
      <c r="H135" s="66">
        <f t="shared" si="36"/>
        <v>64</v>
      </c>
      <c r="I135" s="65">
        <f>'04a_Box_Dims'!$J29</f>
        <v>3.5</v>
      </c>
      <c r="J135" s="66">
        <f>0</f>
        <v>0</v>
      </c>
      <c r="K135" s="66">
        <f t="shared" si="37"/>
        <v>3500</v>
      </c>
      <c r="L135" s="86">
        <f t="shared" si="38"/>
        <v>224</v>
      </c>
      <c r="M135" s="65">
        <f t="shared" si="39"/>
        <v>0.88781408390447547</v>
      </c>
      <c r="N135" s="86">
        <f t="shared" si="40"/>
        <v>198.87035479460252</v>
      </c>
    </row>
    <row r="136" spans="1:14" x14ac:dyDescent="0.3">
      <c r="A136" s="64">
        <v>14</v>
      </c>
      <c r="B136" s="64" t="s">
        <v>1624</v>
      </c>
      <c r="C136" s="64" t="s">
        <v>1613</v>
      </c>
      <c r="D136" s="83">
        <v>12</v>
      </c>
      <c r="E136" s="83">
        <v>3</v>
      </c>
      <c r="F136" s="66">
        <f>2*$E136</f>
        <v>6</v>
      </c>
      <c r="G136" s="65"/>
      <c r="H136" s="66">
        <f t="shared" si="36"/>
        <v>6</v>
      </c>
      <c r="I136" s="65">
        <f>'04a_Box_Dims'!$R29</f>
        <v>3.5</v>
      </c>
      <c r="J136" s="66">
        <f>0</f>
        <v>0</v>
      </c>
      <c r="K136" s="66">
        <f t="shared" si="37"/>
        <v>3500</v>
      </c>
      <c r="L136" s="86">
        <f t="shared" si="38"/>
        <v>21</v>
      </c>
      <c r="M136" s="65">
        <f t="shared" si="39"/>
        <v>0.88781408390447547</v>
      </c>
      <c r="N136" s="86">
        <f t="shared" si="40"/>
        <v>18.644095761993984</v>
      </c>
    </row>
    <row r="137" spans="1:14" x14ac:dyDescent="0.3">
      <c r="A137" s="64"/>
      <c r="B137" s="64"/>
      <c r="C137" s="64"/>
      <c r="D137" s="83"/>
      <c r="E137" s="83"/>
      <c r="F137" s="66"/>
      <c r="G137" s="65"/>
      <c r="H137" s="66"/>
      <c r="I137" s="65"/>
      <c r="J137" s="66"/>
      <c r="K137" s="66"/>
      <c r="L137" s="86"/>
      <c r="M137" s="65"/>
      <c r="N137" s="86"/>
    </row>
    <row r="138" spans="1:14" x14ac:dyDescent="0.3">
      <c r="A138" s="80" t="str">
        <f>'04a_Box_Dims'!$A30&amp;"   ("&amp;'04a_Box_Dims'!$B30&amp;")   —   No. on project: "&amp;'04a_Box_Dims'!$F30&amp;",  L used = "&amp;TEXT('04a_Box_Dims'!$AE30,"0.00")&amp;" m"</f>
        <v>2/3x3 box culvert   (BC|2/3x3)   —   No. on project: 0,  L used = 10.00 m</v>
      </c>
      <c r="B138" s="80"/>
      <c r="C138" s="80"/>
      <c r="D138" s="84"/>
      <c r="E138" s="84"/>
      <c r="F138" s="85"/>
      <c r="G138" s="88"/>
      <c r="H138" s="85"/>
      <c r="I138" s="88"/>
      <c r="J138" s="85"/>
      <c r="K138" s="85"/>
      <c r="L138" s="87"/>
      <c r="M138" s="88"/>
      <c r="N138" s="87"/>
    </row>
    <row r="139" spans="1:14" x14ac:dyDescent="0.3">
      <c r="A139" s="64">
        <v>1</v>
      </c>
      <c r="B139" s="64" t="s">
        <v>1606</v>
      </c>
      <c r="C139" s="64" t="s">
        <v>1607</v>
      </c>
      <c r="D139" s="209">
        <v>12</v>
      </c>
      <c r="E139" s="209">
        <v>215</v>
      </c>
      <c r="F139" s="66">
        <f>1</f>
        <v>1</v>
      </c>
      <c r="G139" s="65">
        <f>'04a_Box_Dims'!$AE30</f>
        <v>10</v>
      </c>
      <c r="H139" s="66">
        <f t="shared" ref="H139:H152" si="41">IF($G139="",$F139,$F139*(FLOOR($G139*1000/$E139,1)+1))</f>
        <v>47</v>
      </c>
      <c r="I139" s="65">
        <f>'04a_Box_Dims'!$K30</f>
        <v>6.25</v>
      </c>
      <c r="J139" s="66">
        <f>2*BX_hook</f>
        <v>600</v>
      </c>
      <c r="K139" s="66">
        <f t="shared" ref="K139:K152" si="42">ROUND($I139*1000+$J139,0)</f>
        <v>6850</v>
      </c>
      <c r="L139" s="86">
        <f t="shared" ref="L139:L152" si="43">$H139*$K139/1000</f>
        <v>321.95</v>
      </c>
      <c r="M139" s="65">
        <f t="shared" ref="M139:M152" si="44">PI()/4*($D139/1000)^2*BX_rho</f>
        <v>0.88781408390447547</v>
      </c>
      <c r="N139" s="86">
        <f t="shared" ref="N139:N152" si="45">$L139*$M139</f>
        <v>285.83174431304587</v>
      </c>
    </row>
    <row r="140" spans="1:14" x14ac:dyDescent="0.3">
      <c r="A140" s="64">
        <v>2</v>
      </c>
      <c r="B140" s="64" t="s">
        <v>1608</v>
      </c>
      <c r="C140" s="64" t="s">
        <v>1607</v>
      </c>
      <c r="D140" s="209">
        <v>12</v>
      </c>
      <c r="E140" s="209">
        <v>130</v>
      </c>
      <c r="F140" s="66">
        <f>1</f>
        <v>1</v>
      </c>
      <c r="G140" s="65">
        <f>'04a_Box_Dims'!$AE30</f>
        <v>10</v>
      </c>
      <c r="H140" s="66">
        <f t="shared" si="41"/>
        <v>77</v>
      </c>
      <c r="I140" s="65">
        <f>'04a_Box_Dims'!$K30</f>
        <v>6.25</v>
      </c>
      <c r="J140" s="66">
        <f>2*BX_hook</f>
        <v>600</v>
      </c>
      <c r="K140" s="66">
        <f t="shared" si="42"/>
        <v>6850</v>
      </c>
      <c r="L140" s="86">
        <f t="shared" si="43"/>
        <v>527.45000000000005</v>
      </c>
      <c r="M140" s="65">
        <f t="shared" si="44"/>
        <v>0.88781408390447547</v>
      </c>
      <c r="N140" s="86">
        <f t="shared" si="45"/>
        <v>468.27753855541562</v>
      </c>
    </row>
    <row r="141" spans="1:14" x14ac:dyDescent="0.3">
      <c r="A141" s="64">
        <v>3</v>
      </c>
      <c r="B141" s="64" t="s">
        <v>1609</v>
      </c>
      <c r="C141" s="64" t="s">
        <v>1607</v>
      </c>
      <c r="D141" s="209">
        <v>16</v>
      </c>
      <c r="E141" s="209">
        <v>145</v>
      </c>
      <c r="F141" s="66">
        <f>1</f>
        <v>1</v>
      </c>
      <c r="G141" s="65">
        <f>'04a_Box_Dims'!$AE30</f>
        <v>10</v>
      </c>
      <c r="H141" s="66">
        <f t="shared" si="41"/>
        <v>69</v>
      </c>
      <c r="I141" s="65">
        <f>'04a_Box_Dims'!$K30</f>
        <v>6.25</v>
      </c>
      <c r="J141" s="66">
        <f>2*BX_hook</f>
        <v>600</v>
      </c>
      <c r="K141" s="66">
        <f t="shared" si="42"/>
        <v>6850</v>
      </c>
      <c r="L141" s="86">
        <f t="shared" si="43"/>
        <v>472.65</v>
      </c>
      <c r="M141" s="65">
        <f t="shared" si="44"/>
        <v>1.5783361491635119</v>
      </c>
      <c r="N141" s="86">
        <f t="shared" si="45"/>
        <v>746.00058090213383</v>
      </c>
    </row>
    <row r="142" spans="1:14" x14ac:dyDescent="0.3">
      <c r="A142" s="64">
        <v>4</v>
      </c>
      <c r="B142" s="64" t="s">
        <v>1610</v>
      </c>
      <c r="C142" s="64" t="s">
        <v>1607</v>
      </c>
      <c r="D142" s="209">
        <v>12</v>
      </c>
      <c r="E142" s="209">
        <v>130</v>
      </c>
      <c r="F142" s="66">
        <f>1</f>
        <v>1</v>
      </c>
      <c r="G142" s="65">
        <f>'04a_Box_Dims'!$AE30</f>
        <v>10</v>
      </c>
      <c r="H142" s="66">
        <f t="shared" si="41"/>
        <v>77</v>
      </c>
      <c r="I142" s="65">
        <f>'04a_Box_Dims'!$K30</f>
        <v>6.25</v>
      </c>
      <c r="J142" s="66">
        <f>2*BX_hook</f>
        <v>600</v>
      </c>
      <c r="K142" s="66">
        <f t="shared" si="42"/>
        <v>6850</v>
      </c>
      <c r="L142" s="86">
        <f t="shared" si="43"/>
        <v>527.45000000000005</v>
      </c>
      <c r="M142" s="65">
        <f t="shared" si="44"/>
        <v>0.88781408390447547</v>
      </c>
      <c r="N142" s="86">
        <f t="shared" si="45"/>
        <v>468.27753855541562</v>
      </c>
    </row>
    <row r="143" spans="1:14" x14ac:dyDescent="0.3">
      <c r="A143" s="64">
        <v>5</v>
      </c>
      <c r="B143" s="64" t="s">
        <v>1611</v>
      </c>
      <c r="C143" s="64" t="s">
        <v>1607</v>
      </c>
      <c r="D143" s="209">
        <v>10</v>
      </c>
      <c r="E143" s="209">
        <v>155</v>
      </c>
      <c r="F143" s="66">
        <f>2</f>
        <v>2</v>
      </c>
      <c r="G143" s="65">
        <f>'04a_Box_Dims'!$K30</f>
        <v>6.25</v>
      </c>
      <c r="H143" s="66">
        <f t="shared" si="41"/>
        <v>82</v>
      </c>
      <c r="I143" s="65">
        <f>'04a_Box_Dims'!$AE30</f>
        <v>10</v>
      </c>
      <c r="J143" s="66">
        <f>0</f>
        <v>0</v>
      </c>
      <c r="K143" s="66">
        <f t="shared" si="42"/>
        <v>10000</v>
      </c>
      <c r="L143" s="86">
        <f t="shared" si="43"/>
        <v>820</v>
      </c>
      <c r="M143" s="65">
        <f t="shared" si="44"/>
        <v>0.61653755826699685</v>
      </c>
      <c r="N143" s="86">
        <f t="shared" si="45"/>
        <v>505.5607977789374</v>
      </c>
    </row>
    <row r="144" spans="1:14" x14ac:dyDescent="0.3">
      <c r="A144" s="64">
        <v>6</v>
      </c>
      <c r="B144" s="64" t="s">
        <v>1612</v>
      </c>
      <c r="C144" s="64" t="s">
        <v>1613</v>
      </c>
      <c r="D144" s="209">
        <v>12</v>
      </c>
      <c r="E144" s="209">
        <v>145</v>
      </c>
      <c r="F144" s="66">
        <f>4</f>
        <v>4</v>
      </c>
      <c r="G144" s="65">
        <f>'04a_Box_Dims'!$AE30</f>
        <v>10</v>
      </c>
      <c r="H144" s="66">
        <f t="shared" si="41"/>
        <v>276</v>
      </c>
      <c r="I144" s="65">
        <f>'04a_Box_Dims'!$M30</f>
        <v>3.25</v>
      </c>
      <c r="J144" s="66">
        <f>2*BX_hook</f>
        <v>600</v>
      </c>
      <c r="K144" s="66">
        <f t="shared" si="42"/>
        <v>3850</v>
      </c>
      <c r="L144" s="86">
        <f t="shared" si="43"/>
        <v>1062.5999999999999</v>
      </c>
      <c r="M144" s="65">
        <f t="shared" si="44"/>
        <v>0.88781408390447547</v>
      </c>
      <c r="N144" s="86">
        <f t="shared" si="45"/>
        <v>943.39124555689557</v>
      </c>
    </row>
    <row r="145" spans="1:14" x14ac:dyDescent="0.3">
      <c r="A145" s="64">
        <v>7</v>
      </c>
      <c r="B145" s="64" t="s">
        <v>1614</v>
      </c>
      <c r="C145" s="64" t="s">
        <v>1613</v>
      </c>
      <c r="D145" s="209">
        <v>12</v>
      </c>
      <c r="E145" s="209">
        <v>145</v>
      </c>
      <c r="F145" s="66">
        <f>2*('04a_Box_Dims'!$C30)-2</f>
        <v>2</v>
      </c>
      <c r="G145" s="65">
        <f>'04a_Box_Dims'!$AE30</f>
        <v>10</v>
      </c>
      <c r="H145" s="66">
        <f t="shared" si="41"/>
        <v>138</v>
      </c>
      <c r="I145" s="65">
        <f>'04a_Box_Dims'!$M30</f>
        <v>3.25</v>
      </c>
      <c r="J145" s="66">
        <f>2*BX_hook</f>
        <v>600</v>
      </c>
      <c r="K145" s="66">
        <f t="shared" si="42"/>
        <v>3850</v>
      </c>
      <c r="L145" s="86">
        <f t="shared" si="43"/>
        <v>531.29999999999995</v>
      </c>
      <c r="M145" s="65">
        <f t="shared" si="44"/>
        <v>0.88781408390447547</v>
      </c>
      <c r="N145" s="86">
        <f t="shared" si="45"/>
        <v>471.69562277844778</v>
      </c>
    </row>
    <row r="146" spans="1:14" x14ac:dyDescent="0.3">
      <c r="A146" s="64">
        <v>8</v>
      </c>
      <c r="B146" s="64" t="s">
        <v>1615</v>
      </c>
      <c r="C146" s="64" t="s">
        <v>1607</v>
      </c>
      <c r="D146" s="209">
        <v>10</v>
      </c>
      <c r="E146" s="209">
        <v>155</v>
      </c>
      <c r="F146" s="66">
        <f>('04a_Box_Dims'!$C30+1)*2</f>
        <v>6</v>
      </c>
      <c r="G146" s="65">
        <f>'04a_Box_Dims'!$M30</f>
        <v>3.25</v>
      </c>
      <c r="H146" s="66">
        <f t="shared" si="41"/>
        <v>126</v>
      </c>
      <c r="I146" s="65">
        <f>'04a_Box_Dims'!$AE30</f>
        <v>10</v>
      </c>
      <c r="J146" s="66">
        <f>0</f>
        <v>0</v>
      </c>
      <c r="K146" s="66">
        <f t="shared" si="42"/>
        <v>10000</v>
      </c>
      <c r="L146" s="86">
        <f t="shared" si="43"/>
        <v>1260</v>
      </c>
      <c r="M146" s="65">
        <f t="shared" si="44"/>
        <v>0.61653755826699685</v>
      </c>
      <c r="N146" s="86">
        <f t="shared" si="45"/>
        <v>776.83732341641598</v>
      </c>
    </row>
    <row r="147" spans="1:14" x14ac:dyDescent="0.3">
      <c r="A147" s="64">
        <v>9</v>
      </c>
      <c r="B147" s="64" t="s">
        <v>1616</v>
      </c>
      <c r="C147" s="64" t="s">
        <v>1617</v>
      </c>
      <c r="D147" s="209">
        <v>12</v>
      </c>
      <c r="E147" s="209">
        <v>2</v>
      </c>
      <c r="F147" s="66">
        <f>4*('04a_Box_Dims'!$C30)*$E147</f>
        <v>16</v>
      </c>
      <c r="G147" s="65"/>
      <c r="H147" s="66">
        <f t="shared" si="41"/>
        <v>16</v>
      </c>
      <c r="I147" s="65">
        <f>'04a_Box_Dims'!$AE30</f>
        <v>10</v>
      </c>
      <c r="J147" s="66">
        <f>0</f>
        <v>0</v>
      </c>
      <c r="K147" s="66">
        <f t="shared" si="42"/>
        <v>10000</v>
      </c>
      <c r="L147" s="86">
        <f t="shared" si="43"/>
        <v>160</v>
      </c>
      <c r="M147" s="65">
        <f t="shared" si="44"/>
        <v>0.88781408390447547</v>
      </c>
      <c r="N147" s="86">
        <f t="shared" si="45"/>
        <v>142.05025342471606</v>
      </c>
    </row>
    <row r="148" spans="1:14" x14ac:dyDescent="0.3">
      <c r="A148" s="64">
        <v>10</v>
      </c>
      <c r="B148" s="64" t="s">
        <v>1618</v>
      </c>
      <c r="C148" s="64" t="s">
        <v>1619</v>
      </c>
      <c r="D148" s="209">
        <v>20</v>
      </c>
      <c r="E148" s="209">
        <v>130</v>
      </c>
      <c r="F148" s="66">
        <f>4</f>
        <v>4</v>
      </c>
      <c r="G148" s="65">
        <f>'04a_Box_Dims'!$Z30</f>
        <v>2.1213203435596424</v>
      </c>
      <c r="H148" s="66">
        <f t="shared" si="41"/>
        <v>68</v>
      </c>
      <c r="I148" s="65">
        <f>'04a_Box_Dims'!$W30</f>
        <v>4.6999999999999993</v>
      </c>
      <c r="J148" s="66">
        <f>BX_wwbend</f>
        <v>900</v>
      </c>
      <c r="K148" s="66">
        <f t="shared" si="42"/>
        <v>5600</v>
      </c>
      <c r="L148" s="86">
        <f t="shared" si="43"/>
        <v>380.8</v>
      </c>
      <c r="M148" s="65">
        <f t="shared" si="44"/>
        <v>2.4661502330679874</v>
      </c>
      <c r="N148" s="86">
        <f t="shared" si="45"/>
        <v>939.11000875228967</v>
      </c>
    </row>
    <row r="149" spans="1:14" x14ac:dyDescent="0.3">
      <c r="A149" s="64">
        <v>11</v>
      </c>
      <c r="B149" s="64" t="s">
        <v>1620</v>
      </c>
      <c r="C149" s="64" t="s">
        <v>1607</v>
      </c>
      <c r="D149" s="209">
        <v>12</v>
      </c>
      <c r="E149" s="209">
        <v>145</v>
      </c>
      <c r="F149" s="66">
        <f>8</f>
        <v>8</v>
      </c>
      <c r="G149" s="65">
        <f>'04a_Box_Dims'!$W30</f>
        <v>4.6999999999999993</v>
      </c>
      <c r="H149" s="66">
        <f t="shared" si="41"/>
        <v>264</v>
      </c>
      <c r="I149" s="65">
        <f>'04a_Box_Dims'!$Z30</f>
        <v>2.1213203435596424</v>
      </c>
      <c r="J149" s="66">
        <f>0</f>
        <v>0</v>
      </c>
      <c r="K149" s="66">
        <f t="shared" si="42"/>
        <v>2121</v>
      </c>
      <c r="L149" s="86">
        <f t="shared" si="43"/>
        <v>559.94399999999996</v>
      </c>
      <c r="M149" s="65">
        <f t="shared" si="44"/>
        <v>0.88781408390447547</v>
      </c>
      <c r="N149" s="86">
        <f t="shared" si="45"/>
        <v>497.12616939780759</v>
      </c>
    </row>
    <row r="150" spans="1:14" x14ac:dyDescent="0.3">
      <c r="A150" s="64">
        <v>12</v>
      </c>
      <c r="B150" s="64" t="s">
        <v>1621</v>
      </c>
      <c r="C150" s="64" t="s">
        <v>1622</v>
      </c>
      <c r="D150" s="83">
        <v>12</v>
      </c>
      <c r="E150" s="83">
        <v>200</v>
      </c>
      <c r="F150" s="66">
        <f>4</f>
        <v>4</v>
      </c>
      <c r="G150" s="65">
        <f>'04a_Box_Dims'!$J30</f>
        <v>6.75</v>
      </c>
      <c r="H150" s="66">
        <f t="shared" si="41"/>
        <v>136</v>
      </c>
      <c r="I150" s="65">
        <f>'04a_Box_Dims'!$J30</f>
        <v>6.75</v>
      </c>
      <c r="J150" s="66">
        <f>2*BX_hook</f>
        <v>600</v>
      </c>
      <c r="K150" s="66">
        <f t="shared" si="42"/>
        <v>7350</v>
      </c>
      <c r="L150" s="86">
        <f t="shared" si="43"/>
        <v>999.6</v>
      </c>
      <c r="M150" s="65">
        <f t="shared" si="44"/>
        <v>0.88781408390447547</v>
      </c>
      <c r="N150" s="86">
        <f t="shared" si="45"/>
        <v>887.45895827091374</v>
      </c>
    </row>
    <row r="151" spans="1:14" x14ac:dyDescent="0.3">
      <c r="A151" s="64">
        <v>13</v>
      </c>
      <c r="B151" s="64" t="s">
        <v>1623</v>
      </c>
      <c r="C151" s="64" t="s">
        <v>1607</v>
      </c>
      <c r="D151" s="209">
        <v>12</v>
      </c>
      <c r="E151" s="209">
        <v>225</v>
      </c>
      <c r="F151" s="66">
        <f>4</f>
        <v>4</v>
      </c>
      <c r="G151" s="65">
        <f>'04a_Box_Dims'!$J30</f>
        <v>6.75</v>
      </c>
      <c r="H151" s="66">
        <f t="shared" si="41"/>
        <v>124</v>
      </c>
      <c r="I151" s="65">
        <f>'04a_Box_Dims'!$J30</f>
        <v>6.75</v>
      </c>
      <c r="J151" s="66">
        <f>0</f>
        <v>0</v>
      </c>
      <c r="K151" s="66">
        <f t="shared" si="42"/>
        <v>6750</v>
      </c>
      <c r="L151" s="86">
        <f t="shared" si="43"/>
        <v>837</v>
      </c>
      <c r="M151" s="65">
        <f t="shared" si="44"/>
        <v>0.88781408390447547</v>
      </c>
      <c r="N151" s="86">
        <f t="shared" si="45"/>
        <v>743.10038822804597</v>
      </c>
    </row>
    <row r="152" spans="1:14" x14ac:dyDescent="0.3">
      <c r="A152" s="64">
        <v>14</v>
      </c>
      <c r="B152" s="64" t="s">
        <v>1624</v>
      </c>
      <c r="C152" s="64" t="s">
        <v>1613</v>
      </c>
      <c r="D152" s="83">
        <v>12</v>
      </c>
      <c r="E152" s="83">
        <v>3</v>
      </c>
      <c r="F152" s="66">
        <f>2*$E152</f>
        <v>6</v>
      </c>
      <c r="G152" s="65"/>
      <c r="H152" s="66">
        <f t="shared" si="41"/>
        <v>6</v>
      </c>
      <c r="I152" s="65">
        <f>'04a_Box_Dims'!$R30</f>
        <v>6.75</v>
      </c>
      <c r="J152" s="66">
        <f>0</f>
        <v>0</v>
      </c>
      <c r="K152" s="66">
        <f t="shared" si="42"/>
        <v>6750</v>
      </c>
      <c r="L152" s="86">
        <f t="shared" si="43"/>
        <v>40.5</v>
      </c>
      <c r="M152" s="65">
        <f t="shared" si="44"/>
        <v>0.88781408390447547</v>
      </c>
      <c r="N152" s="86">
        <f t="shared" si="45"/>
        <v>35.956470398131259</v>
      </c>
    </row>
    <row r="153" spans="1:14" x14ac:dyDescent="0.3">
      <c r="A153" s="64"/>
      <c r="B153" s="64"/>
      <c r="C153" s="64"/>
      <c r="D153" s="83"/>
      <c r="E153" s="83"/>
      <c r="F153" s="66"/>
      <c r="G153" s="65"/>
      <c r="H153" s="66"/>
      <c r="I153" s="65"/>
      <c r="J153" s="66"/>
      <c r="K153" s="66"/>
      <c r="L153" s="86"/>
      <c r="M153" s="65"/>
      <c r="N153" s="86"/>
    </row>
    <row r="154" spans="1:14" x14ac:dyDescent="0.3">
      <c r="A154" s="80" t="str">
        <f>'04a_Box_Dims'!$A31&amp;"   ("&amp;'04a_Box_Dims'!$B31&amp;")   —   No. on project: "&amp;'04a_Box_Dims'!$F31&amp;",  L used = "&amp;TEXT('04a_Box_Dims'!$AE31,"0.00")&amp;" m"</f>
        <v>3/3x3 box culvert   (BC|3/3x3)   —   No. on project: 0,  L used = 10.00 m</v>
      </c>
      <c r="B154" s="80"/>
      <c r="C154" s="80"/>
      <c r="D154" s="84"/>
      <c r="E154" s="84"/>
      <c r="F154" s="85"/>
      <c r="G154" s="88"/>
      <c r="H154" s="85"/>
      <c r="I154" s="88"/>
      <c r="J154" s="85"/>
      <c r="K154" s="85"/>
      <c r="L154" s="87"/>
      <c r="M154" s="88"/>
      <c r="N154" s="87"/>
    </row>
    <row r="155" spans="1:14" x14ac:dyDescent="0.3">
      <c r="A155" s="64">
        <v>1</v>
      </c>
      <c r="B155" s="64" t="s">
        <v>1606</v>
      </c>
      <c r="C155" s="64" t="s">
        <v>1607</v>
      </c>
      <c r="D155" s="209">
        <v>12</v>
      </c>
      <c r="E155" s="209">
        <v>210</v>
      </c>
      <c r="F155" s="66">
        <f>1</f>
        <v>1</v>
      </c>
      <c r="G155" s="65">
        <f>'04a_Box_Dims'!$AE31</f>
        <v>10</v>
      </c>
      <c r="H155" s="66">
        <f t="shared" ref="H155:H168" si="46">IF($G155="",$F155,$F155*(FLOOR($G155*1000/$E155,1)+1))</f>
        <v>48</v>
      </c>
      <c r="I155" s="65">
        <f>'04a_Box_Dims'!$K31</f>
        <v>9.5</v>
      </c>
      <c r="J155" s="66">
        <f>2*BX_hook</f>
        <v>600</v>
      </c>
      <c r="K155" s="66">
        <f t="shared" ref="K155:K168" si="47">ROUND($I155*1000+$J155,0)</f>
        <v>10100</v>
      </c>
      <c r="L155" s="86">
        <f t="shared" ref="L155:L168" si="48">$H155*$K155/1000</f>
        <v>484.8</v>
      </c>
      <c r="M155" s="65">
        <f t="shared" ref="M155:M168" si="49">PI()/4*($D155/1000)^2*BX_rho</f>
        <v>0.88781408390447547</v>
      </c>
      <c r="N155" s="86">
        <f t="shared" ref="N155:N168" si="50">$L155*$M155</f>
        <v>430.4122678768897</v>
      </c>
    </row>
    <row r="156" spans="1:14" x14ac:dyDescent="0.3">
      <c r="A156" s="64">
        <v>2</v>
      </c>
      <c r="B156" s="64" t="s">
        <v>1608</v>
      </c>
      <c r="C156" s="64" t="s">
        <v>1607</v>
      </c>
      <c r="D156" s="209">
        <v>16</v>
      </c>
      <c r="E156" s="209">
        <v>165</v>
      </c>
      <c r="F156" s="66">
        <f>1</f>
        <v>1</v>
      </c>
      <c r="G156" s="65">
        <f>'04a_Box_Dims'!$AE31</f>
        <v>10</v>
      </c>
      <c r="H156" s="66">
        <f t="shared" si="46"/>
        <v>61</v>
      </c>
      <c r="I156" s="65">
        <f>'04a_Box_Dims'!$K31</f>
        <v>9.5</v>
      </c>
      <c r="J156" s="66">
        <f>2*BX_hook</f>
        <v>600</v>
      </c>
      <c r="K156" s="66">
        <f t="shared" si="47"/>
        <v>10100</v>
      </c>
      <c r="L156" s="86">
        <f t="shared" si="48"/>
        <v>616.1</v>
      </c>
      <c r="M156" s="65">
        <f t="shared" si="49"/>
        <v>1.5783361491635119</v>
      </c>
      <c r="N156" s="86">
        <f t="shared" si="50"/>
        <v>972.4129014996397</v>
      </c>
    </row>
    <row r="157" spans="1:14" x14ac:dyDescent="0.3">
      <c r="A157" s="64">
        <v>3</v>
      </c>
      <c r="B157" s="64" t="s">
        <v>1609</v>
      </c>
      <c r="C157" s="64" t="s">
        <v>1607</v>
      </c>
      <c r="D157" s="209">
        <v>16</v>
      </c>
      <c r="E157" s="209">
        <v>140</v>
      </c>
      <c r="F157" s="66">
        <f>1</f>
        <v>1</v>
      </c>
      <c r="G157" s="65">
        <f>'04a_Box_Dims'!$AE31</f>
        <v>10</v>
      </c>
      <c r="H157" s="66">
        <f t="shared" si="46"/>
        <v>72</v>
      </c>
      <c r="I157" s="65">
        <f>'04a_Box_Dims'!$K31</f>
        <v>9.5</v>
      </c>
      <c r="J157" s="66">
        <f>2*BX_hook</f>
        <v>600</v>
      </c>
      <c r="K157" s="66">
        <f t="shared" si="47"/>
        <v>10100</v>
      </c>
      <c r="L157" s="86">
        <f t="shared" si="48"/>
        <v>727.2</v>
      </c>
      <c r="M157" s="65">
        <f t="shared" si="49"/>
        <v>1.5783361491635119</v>
      </c>
      <c r="N157" s="86">
        <f t="shared" si="50"/>
        <v>1147.766047671706</v>
      </c>
    </row>
    <row r="158" spans="1:14" x14ac:dyDescent="0.3">
      <c r="A158" s="64">
        <v>4</v>
      </c>
      <c r="B158" s="64" t="s">
        <v>1610</v>
      </c>
      <c r="C158" s="64" t="s">
        <v>1607</v>
      </c>
      <c r="D158" s="209">
        <v>12</v>
      </c>
      <c r="E158" s="209">
        <v>125</v>
      </c>
      <c r="F158" s="66">
        <f>1</f>
        <v>1</v>
      </c>
      <c r="G158" s="65">
        <f>'04a_Box_Dims'!$AE31</f>
        <v>10</v>
      </c>
      <c r="H158" s="66">
        <f t="shared" si="46"/>
        <v>81</v>
      </c>
      <c r="I158" s="65">
        <f>'04a_Box_Dims'!$K31</f>
        <v>9.5</v>
      </c>
      <c r="J158" s="66">
        <f>2*BX_hook</f>
        <v>600</v>
      </c>
      <c r="K158" s="66">
        <f t="shared" si="47"/>
        <v>10100</v>
      </c>
      <c r="L158" s="86">
        <f t="shared" si="48"/>
        <v>818.1</v>
      </c>
      <c r="M158" s="65">
        <f t="shared" si="49"/>
        <v>0.88781408390447547</v>
      </c>
      <c r="N158" s="86">
        <f t="shared" si="50"/>
        <v>726.32070204225136</v>
      </c>
    </row>
    <row r="159" spans="1:14" x14ac:dyDescent="0.3">
      <c r="A159" s="64">
        <v>5</v>
      </c>
      <c r="B159" s="64" t="s">
        <v>1611</v>
      </c>
      <c r="C159" s="64" t="s">
        <v>1607</v>
      </c>
      <c r="D159" s="209">
        <v>10</v>
      </c>
      <c r="E159" s="209">
        <v>155</v>
      </c>
      <c r="F159" s="66">
        <f>2</f>
        <v>2</v>
      </c>
      <c r="G159" s="65">
        <f>'04a_Box_Dims'!$K31</f>
        <v>9.5</v>
      </c>
      <c r="H159" s="66">
        <f t="shared" si="46"/>
        <v>124</v>
      </c>
      <c r="I159" s="65">
        <f>'04a_Box_Dims'!$AE31</f>
        <v>10</v>
      </c>
      <c r="J159" s="66">
        <f>0</f>
        <v>0</v>
      </c>
      <c r="K159" s="66">
        <f t="shared" si="47"/>
        <v>10000</v>
      </c>
      <c r="L159" s="86">
        <f t="shared" si="48"/>
        <v>1240</v>
      </c>
      <c r="M159" s="65">
        <f t="shared" si="49"/>
        <v>0.61653755826699685</v>
      </c>
      <c r="N159" s="86">
        <f t="shared" si="50"/>
        <v>764.50657225107614</v>
      </c>
    </row>
    <row r="160" spans="1:14" x14ac:dyDescent="0.3">
      <c r="A160" s="64">
        <v>6</v>
      </c>
      <c r="B160" s="64" t="s">
        <v>1612</v>
      </c>
      <c r="C160" s="64" t="s">
        <v>1613</v>
      </c>
      <c r="D160" s="209">
        <v>12</v>
      </c>
      <c r="E160" s="209">
        <v>115</v>
      </c>
      <c r="F160" s="66">
        <f>4</f>
        <v>4</v>
      </c>
      <c r="G160" s="65">
        <f>'04a_Box_Dims'!$AE31</f>
        <v>10</v>
      </c>
      <c r="H160" s="66">
        <f t="shared" si="46"/>
        <v>348</v>
      </c>
      <c r="I160" s="65">
        <f>'04a_Box_Dims'!$M31</f>
        <v>3.25</v>
      </c>
      <c r="J160" s="66">
        <f>2*BX_hook</f>
        <v>600</v>
      </c>
      <c r="K160" s="66">
        <f t="shared" si="47"/>
        <v>3850</v>
      </c>
      <c r="L160" s="86">
        <f t="shared" si="48"/>
        <v>1339.8</v>
      </c>
      <c r="M160" s="65">
        <f t="shared" si="49"/>
        <v>0.88781408390447547</v>
      </c>
      <c r="N160" s="86">
        <f t="shared" si="50"/>
        <v>1189.4933096152163</v>
      </c>
    </row>
    <row r="161" spans="1:14" x14ac:dyDescent="0.3">
      <c r="A161" s="64">
        <v>7</v>
      </c>
      <c r="B161" s="64" t="s">
        <v>1614</v>
      </c>
      <c r="C161" s="64" t="s">
        <v>1613</v>
      </c>
      <c r="D161" s="209">
        <v>12</v>
      </c>
      <c r="E161" s="209">
        <v>115</v>
      </c>
      <c r="F161" s="66">
        <f>2*('04a_Box_Dims'!$C31)-2</f>
        <v>4</v>
      </c>
      <c r="G161" s="65">
        <f>'04a_Box_Dims'!$AE31</f>
        <v>10</v>
      </c>
      <c r="H161" s="66">
        <f t="shared" si="46"/>
        <v>348</v>
      </c>
      <c r="I161" s="65">
        <f>'04a_Box_Dims'!$M31</f>
        <v>3.25</v>
      </c>
      <c r="J161" s="66">
        <f>2*BX_hook</f>
        <v>600</v>
      </c>
      <c r="K161" s="66">
        <f t="shared" si="47"/>
        <v>3850</v>
      </c>
      <c r="L161" s="86">
        <f t="shared" si="48"/>
        <v>1339.8</v>
      </c>
      <c r="M161" s="65">
        <f t="shared" si="49"/>
        <v>0.88781408390447547</v>
      </c>
      <c r="N161" s="86">
        <f t="shared" si="50"/>
        <v>1189.4933096152163</v>
      </c>
    </row>
    <row r="162" spans="1:14" x14ac:dyDescent="0.3">
      <c r="A162" s="64">
        <v>8</v>
      </c>
      <c r="B162" s="64" t="s">
        <v>1615</v>
      </c>
      <c r="C162" s="64" t="s">
        <v>1607</v>
      </c>
      <c r="D162" s="209">
        <v>10</v>
      </c>
      <c r="E162" s="209">
        <v>155</v>
      </c>
      <c r="F162" s="66">
        <f>('04a_Box_Dims'!$C31+1)*2</f>
        <v>8</v>
      </c>
      <c r="G162" s="65">
        <f>'04a_Box_Dims'!$M31</f>
        <v>3.25</v>
      </c>
      <c r="H162" s="66">
        <f t="shared" si="46"/>
        <v>168</v>
      </c>
      <c r="I162" s="65">
        <f>'04a_Box_Dims'!$AE31</f>
        <v>10</v>
      </c>
      <c r="J162" s="66">
        <f>0</f>
        <v>0</v>
      </c>
      <c r="K162" s="66">
        <f t="shared" si="47"/>
        <v>10000</v>
      </c>
      <c r="L162" s="86">
        <f t="shared" si="48"/>
        <v>1680</v>
      </c>
      <c r="M162" s="65">
        <f t="shared" si="49"/>
        <v>0.61653755826699685</v>
      </c>
      <c r="N162" s="86">
        <f t="shared" si="50"/>
        <v>1035.7830978885547</v>
      </c>
    </row>
    <row r="163" spans="1:14" x14ac:dyDescent="0.3">
      <c r="A163" s="64">
        <v>9</v>
      </c>
      <c r="B163" s="64" t="s">
        <v>1616</v>
      </c>
      <c r="C163" s="64" t="s">
        <v>1617</v>
      </c>
      <c r="D163" s="209">
        <v>12</v>
      </c>
      <c r="E163" s="209">
        <v>2</v>
      </c>
      <c r="F163" s="66">
        <f>4*('04a_Box_Dims'!$C31)*$E163</f>
        <v>24</v>
      </c>
      <c r="G163" s="65"/>
      <c r="H163" s="66">
        <f t="shared" si="46"/>
        <v>24</v>
      </c>
      <c r="I163" s="65">
        <f>'04a_Box_Dims'!$AE31</f>
        <v>10</v>
      </c>
      <c r="J163" s="66">
        <f>0</f>
        <v>0</v>
      </c>
      <c r="K163" s="66">
        <f t="shared" si="47"/>
        <v>10000</v>
      </c>
      <c r="L163" s="86">
        <f t="shared" si="48"/>
        <v>240</v>
      </c>
      <c r="M163" s="65">
        <f t="shared" si="49"/>
        <v>0.88781408390447547</v>
      </c>
      <c r="N163" s="86">
        <f t="shared" si="50"/>
        <v>213.07538013707412</v>
      </c>
    </row>
    <row r="164" spans="1:14" x14ac:dyDescent="0.3">
      <c r="A164" s="64">
        <v>10</v>
      </c>
      <c r="B164" s="64" t="s">
        <v>1618</v>
      </c>
      <c r="C164" s="64" t="s">
        <v>1619</v>
      </c>
      <c r="D164" s="209">
        <v>20</v>
      </c>
      <c r="E164" s="209">
        <v>130</v>
      </c>
      <c r="F164" s="66">
        <f>4</f>
        <v>4</v>
      </c>
      <c r="G164" s="65">
        <f>'04a_Box_Dims'!$Z31</f>
        <v>2.1213203435596424</v>
      </c>
      <c r="H164" s="66">
        <f t="shared" si="46"/>
        <v>68</v>
      </c>
      <c r="I164" s="65">
        <f>'04a_Box_Dims'!$W31</f>
        <v>4.6999999999999993</v>
      </c>
      <c r="J164" s="66">
        <f>BX_wwbend</f>
        <v>900</v>
      </c>
      <c r="K164" s="66">
        <f t="shared" si="47"/>
        <v>5600</v>
      </c>
      <c r="L164" s="86">
        <f t="shared" si="48"/>
        <v>380.8</v>
      </c>
      <c r="M164" s="65">
        <f t="shared" si="49"/>
        <v>2.4661502330679874</v>
      </c>
      <c r="N164" s="86">
        <f t="shared" si="50"/>
        <v>939.11000875228967</v>
      </c>
    </row>
    <row r="165" spans="1:14" x14ac:dyDescent="0.3">
      <c r="A165" s="64">
        <v>11</v>
      </c>
      <c r="B165" s="64" t="s">
        <v>1620</v>
      </c>
      <c r="C165" s="64" t="s">
        <v>1607</v>
      </c>
      <c r="D165" s="209">
        <v>12</v>
      </c>
      <c r="E165" s="209">
        <v>145</v>
      </c>
      <c r="F165" s="66">
        <f>8</f>
        <v>8</v>
      </c>
      <c r="G165" s="65">
        <f>'04a_Box_Dims'!$W31</f>
        <v>4.6999999999999993</v>
      </c>
      <c r="H165" s="66">
        <f t="shared" si="46"/>
        <v>264</v>
      </c>
      <c r="I165" s="65">
        <f>'04a_Box_Dims'!$Z31</f>
        <v>2.1213203435596424</v>
      </c>
      <c r="J165" s="66">
        <f>0</f>
        <v>0</v>
      </c>
      <c r="K165" s="66">
        <f t="shared" si="47"/>
        <v>2121</v>
      </c>
      <c r="L165" s="86">
        <f t="shared" si="48"/>
        <v>559.94399999999996</v>
      </c>
      <c r="M165" s="65">
        <f t="shared" si="49"/>
        <v>0.88781408390447547</v>
      </c>
      <c r="N165" s="86">
        <f t="shared" si="50"/>
        <v>497.12616939780759</v>
      </c>
    </row>
    <row r="166" spans="1:14" x14ac:dyDescent="0.3">
      <c r="A166" s="64">
        <v>12</v>
      </c>
      <c r="B166" s="64" t="s">
        <v>1621</v>
      </c>
      <c r="C166" s="64" t="s">
        <v>1622</v>
      </c>
      <c r="D166" s="83">
        <v>12</v>
      </c>
      <c r="E166" s="83">
        <v>200</v>
      </c>
      <c r="F166" s="66">
        <f>4</f>
        <v>4</v>
      </c>
      <c r="G166" s="65">
        <f>'04a_Box_Dims'!$J31</f>
        <v>10</v>
      </c>
      <c r="H166" s="66">
        <f t="shared" si="46"/>
        <v>204</v>
      </c>
      <c r="I166" s="65">
        <f>'04a_Box_Dims'!$J31</f>
        <v>10</v>
      </c>
      <c r="J166" s="66">
        <f>2*BX_hook</f>
        <v>600</v>
      </c>
      <c r="K166" s="66">
        <f t="shared" si="47"/>
        <v>10600</v>
      </c>
      <c r="L166" s="86">
        <f t="shared" si="48"/>
        <v>2162.4</v>
      </c>
      <c r="M166" s="65">
        <f t="shared" si="49"/>
        <v>0.88781408390447547</v>
      </c>
      <c r="N166" s="86">
        <f t="shared" si="50"/>
        <v>1919.8091750350379</v>
      </c>
    </row>
    <row r="167" spans="1:14" x14ac:dyDescent="0.3">
      <c r="A167" s="64">
        <v>13</v>
      </c>
      <c r="B167" s="64" t="s">
        <v>1623</v>
      </c>
      <c r="C167" s="64" t="s">
        <v>1607</v>
      </c>
      <c r="D167" s="209">
        <v>12</v>
      </c>
      <c r="E167" s="209">
        <v>225</v>
      </c>
      <c r="F167" s="66">
        <f>4</f>
        <v>4</v>
      </c>
      <c r="G167" s="65">
        <f>'04a_Box_Dims'!$J31</f>
        <v>10</v>
      </c>
      <c r="H167" s="66">
        <f t="shared" si="46"/>
        <v>180</v>
      </c>
      <c r="I167" s="65">
        <f>'04a_Box_Dims'!$J31</f>
        <v>10</v>
      </c>
      <c r="J167" s="66">
        <f>0</f>
        <v>0</v>
      </c>
      <c r="K167" s="66">
        <f t="shared" si="47"/>
        <v>10000</v>
      </c>
      <c r="L167" s="86">
        <f t="shared" si="48"/>
        <v>1800</v>
      </c>
      <c r="M167" s="65">
        <f t="shared" si="49"/>
        <v>0.88781408390447547</v>
      </c>
      <c r="N167" s="86">
        <f t="shared" si="50"/>
        <v>1598.0653510280558</v>
      </c>
    </row>
    <row r="168" spans="1:14" x14ac:dyDescent="0.3">
      <c r="A168" s="64">
        <v>14</v>
      </c>
      <c r="B168" s="64" t="s">
        <v>1624</v>
      </c>
      <c r="C168" s="64" t="s">
        <v>1613</v>
      </c>
      <c r="D168" s="83">
        <v>12</v>
      </c>
      <c r="E168" s="83">
        <v>3</v>
      </c>
      <c r="F168" s="66">
        <f>2*$E168</f>
        <v>6</v>
      </c>
      <c r="G168" s="65"/>
      <c r="H168" s="66">
        <f t="shared" si="46"/>
        <v>6</v>
      </c>
      <c r="I168" s="65">
        <f>'04a_Box_Dims'!$R31</f>
        <v>10</v>
      </c>
      <c r="J168" s="66">
        <f>0</f>
        <v>0</v>
      </c>
      <c r="K168" s="66">
        <f t="shared" si="47"/>
        <v>10000</v>
      </c>
      <c r="L168" s="86">
        <f t="shared" si="48"/>
        <v>60</v>
      </c>
      <c r="M168" s="65">
        <f t="shared" si="49"/>
        <v>0.88781408390447547</v>
      </c>
      <c r="N168" s="86">
        <f t="shared" si="50"/>
        <v>53.26884503426853</v>
      </c>
    </row>
    <row r="169" spans="1:14" x14ac:dyDescent="0.3">
      <c r="A169" s="64"/>
      <c r="B169" s="64"/>
      <c r="C169" s="64"/>
      <c r="D169" s="83"/>
      <c r="E169" s="83"/>
      <c r="F169" s="66"/>
      <c r="G169" s="65"/>
      <c r="H169" s="66"/>
      <c r="I169" s="65"/>
      <c r="J169" s="66"/>
      <c r="K169" s="66"/>
      <c r="L169" s="86"/>
      <c r="M169" s="65"/>
      <c r="N169" s="86"/>
    </row>
    <row r="170" spans="1:14" x14ac:dyDescent="0.3">
      <c r="A170" s="80" t="str">
        <f>'04a_Box_Dims'!$A32&amp;"   ("&amp;'04a_Box_Dims'!$B32&amp;")   —   No. on project: "&amp;'04a_Box_Dims'!$F32&amp;",  L used = "&amp;TEXT('04a_Box_Dims'!$AE32,"0.00")&amp;" m"</f>
        <v>4/3x3 box culvert   (BC|4/3x3)   —   No. on project: 0,  L used = 10.00 m</v>
      </c>
      <c r="B170" s="80"/>
      <c r="C170" s="80"/>
      <c r="D170" s="84"/>
      <c r="E170" s="84"/>
      <c r="F170" s="85"/>
      <c r="G170" s="88"/>
      <c r="H170" s="85"/>
      <c r="I170" s="88"/>
      <c r="J170" s="85"/>
      <c r="K170" s="85"/>
      <c r="L170" s="87"/>
      <c r="M170" s="88"/>
      <c r="N170" s="87"/>
    </row>
    <row r="171" spans="1:14" x14ac:dyDescent="0.3">
      <c r="A171" s="64">
        <v>1</v>
      </c>
      <c r="B171" s="64" t="s">
        <v>1606</v>
      </c>
      <c r="C171" s="64" t="s">
        <v>1607</v>
      </c>
      <c r="D171" s="209">
        <v>12</v>
      </c>
      <c r="E171" s="209">
        <v>215</v>
      </c>
      <c r="F171" s="66">
        <f>1</f>
        <v>1</v>
      </c>
      <c r="G171" s="65">
        <f>'04a_Box_Dims'!$AE32</f>
        <v>10</v>
      </c>
      <c r="H171" s="66">
        <f t="shared" ref="H171:H184" si="51">IF($G171="",$F171,$F171*(FLOOR($G171*1000/$E171,1)+1))</f>
        <v>47</v>
      </c>
      <c r="I171" s="65">
        <f>'04a_Box_Dims'!$K32</f>
        <v>12.75</v>
      </c>
      <c r="J171" s="66">
        <f>2*BX_hook</f>
        <v>600</v>
      </c>
      <c r="K171" s="66">
        <f t="shared" ref="K171:K184" si="52">ROUND($I171*1000+$J171,0)</f>
        <v>13350</v>
      </c>
      <c r="L171" s="86">
        <f t="shared" ref="L171:L184" si="53">$H171*$K171/1000</f>
        <v>627.45000000000005</v>
      </c>
      <c r="M171" s="65">
        <f t="shared" ref="M171:M184" si="54">PI()/4*($D171/1000)^2*BX_rho</f>
        <v>0.88781408390447547</v>
      </c>
      <c r="N171" s="86">
        <f t="shared" ref="N171:N184" si="55">$L171*$M171</f>
        <v>557.05894694586323</v>
      </c>
    </row>
    <row r="172" spans="1:14" x14ac:dyDescent="0.3">
      <c r="A172" s="64">
        <v>2</v>
      </c>
      <c r="B172" s="64" t="s">
        <v>1608</v>
      </c>
      <c r="C172" s="64" t="s">
        <v>1607</v>
      </c>
      <c r="D172" s="209">
        <v>16</v>
      </c>
      <c r="E172" s="209">
        <v>130</v>
      </c>
      <c r="F172" s="66">
        <f>1</f>
        <v>1</v>
      </c>
      <c r="G172" s="65">
        <f>'04a_Box_Dims'!$AE32</f>
        <v>10</v>
      </c>
      <c r="H172" s="66">
        <f t="shared" si="51"/>
        <v>77</v>
      </c>
      <c r="I172" s="65">
        <f>'04a_Box_Dims'!$K32</f>
        <v>12.75</v>
      </c>
      <c r="J172" s="66">
        <f>2*BX_hook</f>
        <v>600</v>
      </c>
      <c r="K172" s="66">
        <f t="shared" si="52"/>
        <v>13350</v>
      </c>
      <c r="L172" s="86">
        <f t="shared" si="53"/>
        <v>1027.95</v>
      </c>
      <c r="M172" s="65">
        <f t="shared" si="54"/>
        <v>1.5783361491635119</v>
      </c>
      <c r="N172" s="86">
        <f t="shared" si="55"/>
        <v>1622.4506445326322</v>
      </c>
    </row>
    <row r="173" spans="1:14" x14ac:dyDescent="0.3">
      <c r="A173" s="64">
        <v>3</v>
      </c>
      <c r="B173" s="64" t="s">
        <v>1609</v>
      </c>
      <c r="C173" s="64" t="s">
        <v>1607</v>
      </c>
      <c r="D173" s="209">
        <v>16</v>
      </c>
      <c r="E173" s="209">
        <v>125</v>
      </c>
      <c r="F173" s="66">
        <f>1</f>
        <v>1</v>
      </c>
      <c r="G173" s="65">
        <f>'04a_Box_Dims'!$AE32</f>
        <v>10</v>
      </c>
      <c r="H173" s="66">
        <f t="shared" si="51"/>
        <v>81</v>
      </c>
      <c r="I173" s="65">
        <f>'04a_Box_Dims'!$K32</f>
        <v>12.75</v>
      </c>
      <c r="J173" s="66">
        <f>2*BX_hook</f>
        <v>600</v>
      </c>
      <c r="K173" s="66">
        <f t="shared" si="52"/>
        <v>13350</v>
      </c>
      <c r="L173" s="86">
        <f t="shared" si="53"/>
        <v>1081.3499999999999</v>
      </c>
      <c r="M173" s="65">
        <f t="shared" si="54"/>
        <v>1.5783361491635119</v>
      </c>
      <c r="N173" s="86">
        <f t="shared" si="55"/>
        <v>1706.7337948979634</v>
      </c>
    </row>
    <row r="174" spans="1:14" x14ac:dyDescent="0.3">
      <c r="A174" s="64">
        <v>4</v>
      </c>
      <c r="B174" s="64" t="s">
        <v>1610</v>
      </c>
      <c r="C174" s="64" t="s">
        <v>1607</v>
      </c>
      <c r="D174" s="209">
        <v>12</v>
      </c>
      <c r="E174" s="209">
        <v>115</v>
      </c>
      <c r="F174" s="66">
        <f>1</f>
        <v>1</v>
      </c>
      <c r="G174" s="65">
        <f>'04a_Box_Dims'!$AE32</f>
        <v>10</v>
      </c>
      <c r="H174" s="66">
        <f t="shared" si="51"/>
        <v>87</v>
      </c>
      <c r="I174" s="65">
        <f>'04a_Box_Dims'!$K32</f>
        <v>12.75</v>
      </c>
      <c r="J174" s="66">
        <f>2*BX_hook</f>
        <v>600</v>
      </c>
      <c r="K174" s="66">
        <f t="shared" si="52"/>
        <v>13350</v>
      </c>
      <c r="L174" s="86">
        <f t="shared" si="53"/>
        <v>1161.45</v>
      </c>
      <c r="M174" s="65">
        <f t="shared" si="54"/>
        <v>0.88781408390447547</v>
      </c>
      <c r="N174" s="86">
        <f t="shared" si="55"/>
        <v>1031.151667750853</v>
      </c>
    </row>
    <row r="175" spans="1:14" x14ac:dyDescent="0.3">
      <c r="A175" s="64">
        <v>5</v>
      </c>
      <c r="B175" s="64" t="s">
        <v>1611</v>
      </c>
      <c r="C175" s="64" t="s">
        <v>1607</v>
      </c>
      <c r="D175" s="209">
        <v>10</v>
      </c>
      <c r="E175" s="209">
        <v>155</v>
      </c>
      <c r="F175" s="66">
        <f>2</f>
        <v>2</v>
      </c>
      <c r="G175" s="65">
        <f>'04a_Box_Dims'!$K32</f>
        <v>12.75</v>
      </c>
      <c r="H175" s="66">
        <f t="shared" si="51"/>
        <v>166</v>
      </c>
      <c r="I175" s="65">
        <f>'04a_Box_Dims'!$AE32</f>
        <v>10</v>
      </c>
      <c r="J175" s="66">
        <f>0</f>
        <v>0</v>
      </c>
      <c r="K175" s="66">
        <f t="shared" si="52"/>
        <v>10000</v>
      </c>
      <c r="L175" s="86">
        <f t="shared" si="53"/>
        <v>1660</v>
      </c>
      <c r="M175" s="65">
        <f t="shared" si="54"/>
        <v>0.61653755826699685</v>
      </c>
      <c r="N175" s="86">
        <f t="shared" si="55"/>
        <v>1023.4523467232148</v>
      </c>
    </row>
    <row r="176" spans="1:14" x14ac:dyDescent="0.3">
      <c r="A176" s="64">
        <v>6</v>
      </c>
      <c r="B176" s="64" t="s">
        <v>1612</v>
      </c>
      <c r="C176" s="64" t="s">
        <v>1613</v>
      </c>
      <c r="D176" s="209">
        <v>12</v>
      </c>
      <c r="E176" s="209">
        <v>100</v>
      </c>
      <c r="F176" s="66">
        <f>4</f>
        <v>4</v>
      </c>
      <c r="G176" s="65">
        <f>'04a_Box_Dims'!$AE32</f>
        <v>10</v>
      </c>
      <c r="H176" s="66">
        <f t="shared" si="51"/>
        <v>404</v>
      </c>
      <c r="I176" s="65">
        <f>'04a_Box_Dims'!$M32</f>
        <v>3.25</v>
      </c>
      <c r="J176" s="66">
        <f>2*BX_hook</f>
        <v>600</v>
      </c>
      <c r="K176" s="66">
        <f t="shared" si="52"/>
        <v>3850</v>
      </c>
      <c r="L176" s="86">
        <f t="shared" si="53"/>
        <v>1555.4</v>
      </c>
      <c r="M176" s="65">
        <f t="shared" si="54"/>
        <v>0.88781408390447547</v>
      </c>
      <c r="N176" s="86">
        <f t="shared" si="55"/>
        <v>1380.9060261050213</v>
      </c>
    </row>
    <row r="177" spans="1:14" x14ac:dyDescent="0.3">
      <c r="A177" s="64">
        <v>7</v>
      </c>
      <c r="B177" s="64" t="s">
        <v>1614</v>
      </c>
      <c r="C177" s="64" t="s">
        <v>1613</v>
      </c>
      <c r="D177" s="209">
        <v>12</v>
      </c>
      <c r="E177" s="209">
        <v>100</v>
      </c>
      <c r="F177" s="66">
        <f>2*('04a_Box_Dims'!$C32)-2</f>
        <v>6</v>
      </c>
      <c r="G177" s="65">
        <f>'04a_Box_Dims'!$AE32</f>
        <v>10</v>
      </c>
      <c r="H177" s="66">
        <f t="shared" si="51"/>
        <v>606</v>
      </c>
      <c r="I177" s="65">
        <f>'04a_Box_Dims'!$M32</f>
        <v>3.25</v>
      </c>
      <c r="J177" s="66">
        <f>2*BX_hook</f>
        <v>600</v>
      </c>
      <c r="K177" s="66">
        <f t="shared" si="52"/>
        <v>3850</v>
      </c>
      <c r="L177" s="86">
        <f t="shared" si="53"/>
        <v>2333.1</v>
      </c>
      <c r="M177" s="65">
        <f t="shared" si="54"/>
        <v>0.88781408390447547</v>
      </c>
      <c r="N177" s="86">
        <f t="shared" si="55"/>
        <v>2071.3590391575317</v>
      </c>
    </row>
    <row r="178" spans="1:14" x14ac:dyDescent="0.3">
      <c r="A178" s="64">
        <v>8</v>
      </c>
      <c r="B178" s="64" t="s">
        <v>1615</v>
      </c>
      <c r="C178" s="64" t="s">
        <v>1607</v>
      </c>
      <c r="D178" s="209">
        <v>10</v>
      </c>
      <c r="E178" s="209">
        <v>155</v>
      </c>
      <c r="F178" s="66">
        <f>('04a_Box_Dims'!$C32+1)*2</f>
        <v>10</v>
      </c>
      <c r="G178" s="65">
        <f>'04a_Box_Dims'!$M32</f>
        <v>3.25</v>
      </c>
      <c r="H178" s="66">
        <f t="shared" si="51"/>
        <v>210</v>
      </c>
      <c r="I178" s="65">
        <f>'04a_Box_Dims'!$AE32</f>
        <v>10</v>
      </c>
      <c r="J178" s="66">
        <f>0</f>
        <v>0</v>
      </c>
      <c r="K178" s="66">
        <f t="shared" si="52"/>
        <v>10000</v>
      </c>
      <c r="L178" s="86">
        <f t="shared" si="53"/>
        <v>2100</v>
      </c>
      <c r="M178" s="65">
        <f t="shared" si="54"/>
        <v>0.61653755826699685</v>
      </c>
      <c r="N178" s="86">
        <f t="shared" si="55"/>
        <v>1294.7288723606935</v>
      </c>
    </row>
    <row r="179" spans="1:14" x14ac:dyDescent="0.3">
      <c r="A179" s="64">
        <v>9</v>
      </c>
      <c r="B179" s="64" t="s">
        <v>1616</v>
      </c>
      <c r="C179" s="64" t="s">
        <v>1617</v>
      </c>
      <c r="D179" s="209">
        <v>12</v>
      </c>
      <c r="E179" s="209">
        <v>2</v>
      </c>
      <c r="F179" s="66">
        <f>4*('04a_Box_Dims'!$C32)*$E179</f>
        <v>32</v>
      </c>
      <c r="G179" s="65"/>
      <c r="H179" s="66">
        <f t="shared" si="51"/>
        <v>32</v>
      </c>
      <c r="I179" s="65">
        <f>'04a_Box_Dims'!$AE32</f>
        <v>10</v>
      </c>
      <c r="J179" s="66">
        <f>0</f>
        <v>0</v>
      </c>
      <c r="K179" s="66">
        <f t="shared" si="52"/>
        <v>10000</v>
      </c>
      <c r="L179" s="86">
        <f t="shared" si="53"/>
        <v>320</v>
      </c>
      <c r="M179" s="65">
        <f t="shared" si="54"/>
        <v>0.88781408390447547</v>
      </c>
      <c r="N179" s="86">
        <f t="shared" si="55"/>
        <v>284.10050684943212</v>
      </c>
    </row>
    <row r="180" spans="1:14" x14ac:dyDescent="0.3">
      <c r="A180" s="64">
        <v>10</v>
      </c>
      <c r="B180" s="64" t="s">
        <v>1618</v>
      </c>
      <c r="C180" s="64" t="s">
        <v>1619</v>
      </c>
      <c r="D180" s="209">
        <v>20</v>
      </c>
      <c r="E180" s="209">
        <v>130</v>
      </c>
      <c r="F180" s="66">
        <f>4</f>
        <v>4</v>
      </c>
      <c r="G180" s="65">
        <f>'04a_Box_Dims'!$Z32</f>
        <v>2.1213203435596424</v>
      </c>
      <c r="H180" s="66">
        <f t="shared" si="51"/>
        <v>68</v>
      </c>
      <c r="I180" s="65">
        <f>'04a_Box_Dims'!$W32</f>
        <v>4.6999999999999993</v>
      </c>
      <c r="J180" s="66">
        <f>BX_wwbend</f>
        <v>900</v>
      </c>
      <c r="K180" s="66">
        <f t="shared" si="52"/>
        <v>5600</v>
      </c>
      <c r="L180" s="86">
        <f t="shared" si="53"/>
        <v>380.8</v>
      </c>
      <c r="M180" s="65">
        <f t="shared" si="54"/>
        <v>2.4661502330679874</v>
      </c>
      <c r="N180" s="86">
        <f t="shared" si="55"/>
        <v>939.11000875228967</v>
      </c>
    </row>
    <row r="181" spans="1:14" x14ac:dyDescent="0.3">
      <c r="A181" s="64">
        <v>11</v>
      </c>
      <c r="B181" s="64" t="s">
        <v>1620</v>
      </c>
      <c r="C181" s="64" t="s">
        <v>1607</v>
      </c>
      <c r="D181" s="209">
        <v>12</v>
      </c>
      <c r="E181" s="209">
        <v>145</v>
      </c>
      <c r="F181" s="66">
        <f>8</f>
        <v>8</v>
      </c>
      <c r="G181" s="65">
        <f>'04a_Box_Dims'!$W32</f>
        <v>4.6999999999999993</v>
      </c>
      <c r="H181" s="66">
        <f t="shared" si="51"/>
        <v>264</v>
      </c>
      <c r="I181" s="65">
        <f>'04a_Box_Dims'!$Z32</f>
        <v>2.1213203435596424</v>
      </c>
      <c r="J181" s="66">
        <f>0</f>
        <v>0</v>
      </c>
      <c r="K181" s="66">
        <f t="shared" si="52"/>
        <v>2121</v>
      </c>
      <c r="L181" s="86">
        <f t="shared" si="53"/>
        <v>559.94399999999996</v>
      </c>
      <c r="M181" s="65">
        <f t="shared" si="54"/>
        <v>0.88781408390447547</v>
      </c>
      <c r="N181" s="86">
        <f t="shared" si="55"/>
        <v>497.12616939780759</v>
      </c>
    </row>
    <row r="182" spans="1:14" x14ac:dyDescent="0.3">
      <c r="A182" s="64">
        <v>12</v>
      </c>
      <c r="B182" s="64" t="s">
        <v>1621</v>
      </c>
      <c r="C182" s="64" t="s">
        <v>1622</v>
      </c>
      <c r="D182" s="83">
        <v>12</v>
      </c>
      <c r="E182" s="83">
        <v>200</v>
      </c>
      <c r="F182" s="66">
        <f>4</f>
        <v>4</v>
      </c>
      <c r="G182" s="65">
        <f>'04a_Box_Dims'!$J32</f>
        <v>13.25</v>
      </c>
      <c r="H182" s="66">
        <f t="shared" si="51"/>
        <v>268</v>
      </c>
      <c r="I182" s="65">
        <f>'04a_Box_Dims'!$J32</f>
        <v>13.25</v>
      </c>
      <c r="J182" s="66">
        <f>2*BX_hook</f>
        <v>600</v>
      </c>
      <c r="K182" s="66">
        <f t="shared" si="52"/>
        <v>13850</v>
      </c>
      <c r="L182" s="86">
        <f t="shared" si="53"/>
        <v>3711.8</v>
      </c>
      <c r="M182" s="65">
        <f t="shared" si="54"/>
        <v>0.88781408390447547</v>
      </c>
      <c r="N182" s="86">
        <f t="shared" si="55"/>
        <v>3295.3883166366322</v>
      </c>
    </row>
    <row r="183" spans="1:14" x14ac:dyDescent="0.3">
      <c r="A183" s="64">
        <v>13</v>
      </c>
      <c r="B183" s="64" t="s">
        <v>1623</v>
      </c>
      <c r="C183" s="64" t="s">
        <v>1607</v>
      </c>
      <c r="D183" s="209">
        <v>12</v>
      </c>
      <c r="E183" s="209">
        <v>225</v>
      </c>
      <c r="F183" s="66">
        <f>4</f>
        <v>4</v>
      </c>
      <c r="G183" s="65">
        <f>'04a_Box_Dims'!$J32</f>
        <v>13.25</v>
      </c>
      <c r="H183" s="66">
        <f t="shared" si="51"/>
        <v>236</v>
      </c>
      <c r="I183" s="65">
        <f>'04a_Box_Dims'!$J32</f>
        <v>13.25</v>
      </c>
      <c r="J183" s="66">
        <f>0</f>
        <v>0</v>
      </c>
      <c r="K183" s="66">
        <f t="shared" si="52"/>
        <v>13250</v>
      </c>
      <c r="L183" s="86">
        <f t="shared" si="53"/>
        <v>3127</v>
      </c>
      <c r="M183" s="65">
        <f t="shared" si="54"/>
        <v>0.88781408390447547</v>
      </c>
      <c r="N183" s="86">
        <f t="shared" si="55"/>
        <v>2776.1946403692946</v>
      </c>
    </row>
    <row r="184" spans="1:14" x14ac:dyDescent="0.3">
      <c r="A184" s="64">
        <v>14</v>
      </c>
      <c r="B184" s="64" t="s">
        <v>1624</v>
      </c>
      <c r="C184" s="64" t="s">
        <v>1613</v>
      </c>
      <c r="D184" s="83">
        <v>12</v>
      </c>
      <c r="E184" s="83">
        <v>3</v>
      </c>
      <c r="F184" s="66">
        <f>2*$E184</f>
        <v>6</v>
      </c>
      <c r="G184" s="65"/>
      <c r="H184" s="66">
        <f t="shared" si="51"/>
        <v>6</v>
      </c>
      <c r="I184" s="65">
        <f>'04a_Box_Dims'!$R32</f>
        <v>13.25</v>
      </c>
      <c r="J184" s="66">
        <f>0</f>
        <v>0</v>
      </c>
      <c r="K184" s="66">
        <f t="shared" si="52"/>
        <v>13250</v>
      </c>
      <c r="L184" s="86">
        <f t="shared" si="53"/>
        <v>79.5</v>
      </c>
      <c r="M184" s="65">
        <f t="shared" si="54"/>
        <v>0.88781408390447547</v>
      </c>
      <c r="N184" s="86">
        <f t="shared" si="55"/>
        <v>70.581219670405801</v>
      </c>
    </row>
    <row r="185" spans="1:14" x14ac:dyDescent="0.3">
      <c r="A185" s="64"/>
      <c r="B185" s="64"/>
      <c r="C185" s="64"/>
      <c r="D185" s="83"/>
      <c r="E185" s="83"/>
      <c r="F185" s="66"/>
      <c r="G185" s="65"/>
      <c r="H185" s="66"/>
      <c r="I185" s="65"/>
      <c r="J185" s="66"/>
      <c r="K185" s="66"/>
      <c r="L185" s="86"/>
      <c r="M185" s="65"/>
      <c r="N185" s="86"/>
    </row>
    <row r="186" spans="1:14" x14ac:dyDescent="0.3">
      <c r="A186" s="80" t="str">
        <f>'04a_Box_Dims'!$A33&amp;"   ("&amp;'04a_Box_Dims'!$B33&amp;")   —   No. on project: "&amp;'04a_Box_Dims'!$F33&amp;",  L used = "&amp;TEXT('04a_Box_Dims'!$AE33,"0.00")&amp;" m"</f>
        <v>1/4x3 box culvert   (BC|1/4x3)   —   No. on project: 0,  L used = 10.00 m</v>
      </c>
      <c r="B186" s="80"/>
      <c r="C186" s="80"/>
      <c r="D186" s="84"/>
      <c r="E186" s="84"/>
      <c r="F186" s="85"/>
      <c r="G186" s="88"/>
      <c r="H186" s="85"/>
      <c r="I186" s="88"/>
      <c r="J186" s="85"/>
      <c r="K186" s="85"/>
      <c r="L186" s="87"/>
      <c r="M186" s="64"/>
      <c r="N186" s="64"/>
    </row>
    <row r="187" spans="1:14" x14ac:dyDescent="0.3">
      <c r="A187" s="64">
        <v>1</v>
      </c>
      <c r="B187" s="64" t="s">
        <v>1606</v>
      </c>
      <c r="C187" s="64" t="s">
        <v>1607</v>
      </c>
      <c r="D187" s="209">
        <v>12</v>
      </c>
      <c r="E187" s="209">
        <v>145</v>
      </c>
      <c r="F187" s="66">
        <f>1</f>
        <v>1</v>
      </c>
      <c r="G187" s="65">
        <f>'04a_Box_Dims'!$AE33</f>
        <v>10</v>
      </c>
      <c r="H187" s="66">
        <f t="shared" ref="H187:H200" si="56">IF($G187="",$F187,$F187*(FLOOR($G187*1000/$E187,1)+1))</f>
        <v>69</v>
      </c>
      <c r="I187" s="65">
        <f>'04a_Box_Dims'!$K33</f>
        <v>4</v>
      </c>
      <c r="J187" s="66">
        <f>2*BX_hook</f>
        <v>600</v>
      </c>
      <c r="K187" s="66">
        <f t="shared" ref="K187:K200" si="57">ROUND($I187*1000+$J187,0)</f>
        <v>4600</v>
      </c>
      <c r="L187" s="86">
        <f t="shared" ref="L187:L200" si="58">$H187*$K187/1000</f>
        <v>317.39999999999998</v>
      </c>
      <c r="M187" s="65">
        <f t="shared" ref="M187:M200" si="59">PI()/4*($D187/1000)^2*BX_rho</f>
        <v>0.88781408390447547</v>
      </c>
      <c r="N187" s="86">
        <f t="shared" ref="N187:N200" si="60">$L187*$M187</f>
        <v>281.79219023128047</v>
      </c>
    </row>
    <row r="188" spans="1:14" x14ac:dyDescent="0.3">
      <c r="A188" s="64">
        <v>2</v>
      </c>
      <c r="B188" s="64" t="s">
        <v>1608</v>
      </c>
      <c r="C188" s="64" t="s">
        <v>1607</v>
      </c>
      <c r="D188" s="209">
        <v>12</v>
      </c>
      <c r="E188" s="209">
        <v>155</v>
      </c>
      <c r="F188" s="66">
        <f>1</f>
        <v>1</v>
      </c>
      <c r="G188" s="65">
        <f>'04a_Box_Dims'!$AE33</f>
        <v>10</v>
      </c>
      <c r="H188" s="66">
        <f t="shared" si="56"/>
        <v>65</v>
      </c>
      <c r="I188" s="65">
        <f>'04a_Box_Dims'!$K33</f>
        <v>4</v>
      </c>
      <c r="J188" s="66">
        <f>2*BX_hook</f>
        <v>600</v>
      </c>
      <c r="K188" s="66">
        <f t="shared" si="57"/>
        <v>4600</v>
      </c>
      <c r="L188" s="86">
        <f t="shared" si="58"/>
        <v>299</v>
      </c>
      <c r="M188" s="65">
        <f t="shared" si="59"/>
        <v>0.88781408390447547</v>
      </c>
      <c r="N188" s="86">
        <f t="shared" si="60"/>
        <v>265.45641108743814</v>
      </c>
    </row>
    <row r="189" spans="1:14" x14ac:dyDescent="0.3">
      <c r="A189" s="64">
        <v>3</v>
      </c>
      <c r="B189" s="64" t="s">
        <v>1609</v>
      </c>
      <c r="C189" s="64" t="s">
        <v>1607</v>
      </c>
      <c r="D189" s="209">
        <v>12</v>
      </c>
      <c r="E189" s="209">
        <v>150</v>
      </c>
      <c r="F189" s="66">
        <f>1</f>
        <v>1</v>
      </c>
      <c r="G189" s="65">
        <f>'04a_Box_Dims'!$AE33</f>
        <v>10</v>
      </c>
      <c r="H189" s="66">
        <f t="shared" si="56"/>
        <v>67</v>
      </c>
      <c r="I189" s="65">
        <f>'04a_Box_Dims'!$K33</f>
        <v>4</v>
      </c>
      <c r="J189" s="66">
        <f>2*BX_hook</f>
        <v>600</v>
      </c>
      <c r="K189" s="66">
        <f t="shared" si="57"/>
        <v>4600</v>
      </c>
      <c r="L189" s="86">
        <f t="shared" si="58"/>
        <v>308.2</v>
      </c>
      <c r="M189" s="65">
        <f t="shared" si="59"/>
        <v>0.88781408390447547</v>
      </c>
      <c r="N189" s="86">
        <f t="shared" si="60"/>
        <v>273.62430065935933</v>
      </c>
    </row>
    <row r="190" spans="1:14" x14ac:dyDescent="0.3">
      <c r="A190" s="64">
        <v>4</v>
      </c>
      <c r="B190" s="64" t="s">
        <v>1610</v>
      </c>
      <c r="C190" s="64" t="s">
        <v>1607</v>
      </c>
      <c r="D190" s="209">
        <v>12</v>
      </c>
      <c r="E190" s="209">
        <v>110</v>
      </c>
      <c r="F190" s="66">
        <f>1</f>
        <v>1</v>
      </c>
      <c r="G190" s="65">
        <f>'04a_Box_Dims'!$AE33</f>
        <v>10</v>
      </c>
      <c r="H190" s="66">
        <f t="shared" si="56"/>
        <v>91</v>
      </c>
      <c r="I190" s="65">
        <f>'04a_Box_Dims'!$K33</f>
        <v>4</v>
      </c>
      <c r="J190" s="66">
        <f>2*BX_hook</f>
        <v>600</v>
      </c>
      <c r="K190" s="66">
        <f t="shared" si="57"/>
        <v>4600</v>
      </c>
      <c r="L190" s="86">
        <f t="shared" si="58"/>
        <v>418.6</v>
      </c>
      <c r="M190" s="65">
        <f t="shared" si="59"/>
        <v>0.88781408390447547</v>
      </c>
      <c r="N190" s="86">
        <f t="shared" si="60"/>
        <v>371.63897552241343</v>
      </c>
    </row>
    <row r="191" spans="1:14" x14ac:dyDescent="0.3">
      <c r="A191" s="64">
        <v>5</v>
      </c>
      <c r="B191" s="64" t="s">
        <v>1611</v>
      </c>
      <c r="C191" s="64" t="s">
        <v>1607</v>
      </c>
      <c r="D191" s="209">
        <v>10</v>
      </c>
      <c r="E191" s="209">
        <v>110</v>
      </c>
      <c r="F191" s="66">
        <f>2</f>
        <v>2</v>
      </c>
      <c r="G191" s="65">
        <f>'04a_Box_Dims'!$K33</f>
        <v>4</v>
      </c>
      <c r="H191" s="66">
        <f t="shared" si="56"/>
        <v>74</v>
      </c>
      <c r="I191" s="65">
        <f>'04a_Box_Dims'!$AE33</f>
        <v>10</v>
      </c>
      <c r="J191" s="66">
        <f>0</f>
        <v>0</v>
      </c>
      <c r="K191" s="66">
        <f t="shared" si="57"/>
        <v>10000</v>
      </c>
      <c r="L191" s="86">
        <f t="shared" si="58"/>
        <v>740</v>
      </c>
      <c r="M191" s="65">
        <f t="shared" si="59"/>
        <v>0.61653755826699685</v>
      </c>
      <c r="N191" s="86">
        <f t="shared" si="60"/>
        <v>456.23779311757767</v>
      </c>
    </row>
    <row r="192" spans="1:14" x14ac:dyDescent="0.3">
      <c r="A192" s="64">
        <v>6</v>
      </c>
      <c r="B192" s="64" t="s">
        <v>1612</v>
      </c>
      <c r="C192" s="64" t="s">
        <v>1613</v>
      </c>
      <c r="D192" s="209">
        <v>12</v>
      </c>
      <c r="E192" s="209">
        <v>150</v>
      </c>
      <c r="F192" s="66">
        <f>4</f>
        <v>4</v>
      </c>
      <c r="G192" s="65">
        <f>'04a_Box_Dims'!$AE33</f>
        <v>10</v>
      </c>
      <c r="H192" s="66">
        <f t="shared" si="56"/>
        <v>268</v>
      </c>
      <c r="I192" s="65">
        <f>'04a_Box_Dims'!$M33</f>
        <v>3.35</v>
      </c>
      <c r="J192" s="66">
        <f>2*BX_hook</f>
        <v>600</v>
      </c>
      <c r="K192" s="66">
        <f t="shared" si="57"/>
        <v>3950</v>
      </c>
      <c r="L192" s="86">
        <f t="shared" si="58"/>
        <v>1058.5999999999999</v>
      </c>
      <c r="M192" s="65">
        <f t="shared" si="59"/>
        <v>0.88781408390447547</v>
      </c>
      <c r="N192" s="86">
        <f t="shared" si="60"/>
        <v>939.83998922127762</v>
      </c>
    </row>
    <row r="193" spans="1:14" x14ac:dyDescent="0.3">
      <c r="A193" s="64">
        <v>7</v>
      </c>
      <c r="B193" s="64" t="s">
        <v>1614</v>
      </c>
      <c r="C193" s="64" t="s">
        <v>1613</v>
      </c>
      <c r="D193" s="209">
        <v>12</v>
      </c>
      <c r="E193" s="209">
        <v>150</v>
      </c>
      <c r="F193" s="66">
        <f>2*('04a_Box_Dims'!$C33)-2</f>
        <v>0</v>
      </c>
      <c r="G193" s="65">
        <f>'04a_Box_Dims'!$AE33</f>
        <v>10</v>
      </c>
      <c r="H193" s="66">
        <f t="shared" si="56"/>
        <v>0</v>
      </c>
      <c r="I193" s="65">
        <f>'04a_Box_Dims'!$M33</f>
        <v>3.35</v>
      </c>
      <c r="J193" s="66">
        <f>2*BX_hook</f>
        <v>600</v>
      </c>
      <c r="K193" s="66">
        <f t="shared" si="57"/>
        <v>3950</v>
      </c>
      <c r="L193" s="86">
        <f t="shared" si="58"/>
        <v>0</v>
      </c>
      <c r="M193" s="65">
        <f t="shared" si="59"/>
        <v>0.88781408390447547</v>
      </c>
      <c r="N193" s="86">
        <f t="shared" si="60"/>
        <v>0</v>
      </c>
    </row>
    <row r="194" spans="1:14" x14ac:dyDescent="0.3">
      <c r="A194" s="64">
        <v>8</v>
      </c>
      <c r="B194" s="64" t="s">
        <v>1615</v>
      </c>
      <c r="C194" s="64" t="s">
        <v>1607</v>
      </c>
      <c r="D194" s="209">
        <v>10</v>
      </c>
      <c r="E194" s="209">
        <v>110</v>
      </c>
      <c r="F194" s="66">
        <f>('04a_Box_Dims'!$C33+1)*2</f>
        <v>4</v>
      </c>
      <c r="G194" s="65">
        <f>'04a_Box_Dims'!$M33</f>
        <v>3.35</v>
      </c>
      <c r="H194" s="66">
        <f t="shared" si="56"/>
        <v>124</v>
      </c>
      <c r="I194" s="65">
        <f>'04a_Box_Dims'!$AE33</f>
        <v>10</v>
      </c>
      <c r="J194" s="66">
        <f>0</f>
        <v>0</v>
      </c>
      <c r="K194" s="66">
        <f t="shared" si="57"/>
        <v>10000</v>
      </c>
      <c r="L194" s="86">
        <f t="shared" si="58"/>
        <v>1240</v>
      </c>
      <c r="M194" s="65">
        <f t="shared" si="59"/>
        <v>0.61653755826699685</v>
      </c>
      <c r="N194" s="86">
        <f t="shared" si="60"/>
        <v>764.50657225107614</v>
      </c>
    </row>
    <row r="195" spans="1:14" x14ac:dyDescent="0.3">
      <c r="A195" s="64">
        <v>9</v>
      </c>
      <c r="B195" s="64" t="s">
        <v>1616</v>
      </c>
      <c r="C195" s="64" t="s">
        <v>1617</v>
      </c>
      <c r="D195" s="209">
        <v>12</v>
      </c>
      <c r="E195" s="209">
        <v>2</v>
      </c>
      <c r="F195" s="66">
        <f>4*('04a_Box_Dims'!$C33)*$E195</f>
        <v>8</v>
      </c>
      <c r="G195" s="65"/>
      <c r="H195" s="66">
        <f t="shared" si="56"/>
        <v>8</v>
      </c>
      <c r="I195" s="65">
        <f>'04a_Box_Dims'!$AE33</f>
        <v>10</v>
      </c>
      <c r="J195" s="66">
        <f>0</f>
        <v>0</v>
      </c>
      <c r="K195" s="66">
        <f t="shared" si="57"/>
        <v>10000</v>
      </c>
      <c r="L195" s="86">
        <f t="shared" si="58"/>
        <v>80</v>
      </c>
      <c r="M195" s="65">
        <f t="shared" si="59"/>
        <v>0.88781408390447547</v>
      </c>
      <c r="N195" s="86">
        <f t="shared" si="60"/>
        <v>71.025126712358031</v>
      </c>
    </row>
    <row r="196" spans="1:14" x14ac:dyDescent="0.3">
      <c r="A196" s="64">
        <v>10</v>
      </c>
      <c r="B196" s="64" t="s">
        <v>1618</v>
      </c>
      <c r="C196" s="64" t="s">
        <v>1619</v>
      </c>
      <c r="D196" s="209">
        <v>20</v>
      </c>
      <c r="E196" s="209">
        <v>125</v>
      </c>
      <c r="F196" s="66">
        <f>4</f>
        <v>4</v>
      </c>
      <c r="G196" s="65">
        <f>'04a_Box_Dims'!$Z33</f>
        <v>2.1213203435596424</v>
      </c>
      <c r="H196" s="66">
        <f t="shared" si="56"/>
        <v>68</v>
      </c>
      <c r="I196" s="65">
        <f>'04a_Box_Dims'!$W33</f>
        <v>4.8999999999999995</v>
      </c>
      <c r="J196" s="66">
        <f>BX_wwbend</f>
        <v>900</v>
      </c>
      <c r="K196" s="66">
        <f t="shared" si="57"/>
        <v>5800</v>
      </c>
      <c r="L196" s="86">
        <f t="shared" si="58"/>
        <v>394.4</v>
      </c>
      <c r="M196" s="65">
        <f t="shared" si="59"/>
        <v>2.4661502330679874</v>
      </c>
      <c r="N196" s="86">
        <f t="shared" si="60"/>
        <v>972.64965192201419</v>
      </c>
    </row>
    <row r="197" spans="1:14" x14ac:dyDescent="0.3">
      <c r="A197" s="64">
        <v>11</v>
      </c>
      <c r="B197" s="64" t="s">
        <v>1620</v>
      </c>
      <c r="C197" s="64" t="s">
        <v>1607</v>
      </c>
      <c r="D197" s="209">
        <v>12</v>
      </c>
      <c r="E197" s="209">
        <v>135</v>
      </c>
      <c r="F197" s="66">
        <f>8</f>
        <v>8</v>
      </c>
      <c r="G197" s="65">
        <f>'04a_Box_Dims'!$W33</f>
        <v>4.8999999999999995</v>
      </c>
      <c r="H197" s="66">
        <f t="shared" si="56"/>
        <v>296</v>
      </c>
      <c r="I197" s="65">
        <f>'04a_Box_Dims'!$Z33</f>
        <v>2.1213203435596424</v>
      </c>
      <c r="J197" s="66">
        <f>0</f>
        <v>0</v>
      </c>
      <c r="K197" s="66">
        <f t="shared" si="57"/>
        <v>2121</v>
      </c>
      <c r="L197" s="86">
        <f t="shared" si="58"/>
        <v>627.81600000000003</v>
      </c>
      <c r="M197" s="65">
        <f t="shared" si="59"/>
        <v>0.88781408390447547</v>
      </c>
      <c r="N197" s="86">
        <f t="shared" si="60"/>
        <v>557.38388690057218</v>
      </c>
    </row>
    <row r="198" spans="1:14" x14ac:dyDescent="0.3">
      <c r="A198" s="64">
        <v>12</v>
      </c>
      <c r="B198" s="64" t="s">
        <v>1621</v>
      </c>
      <c r="C198" s="64" t="s">
        <v>1622</v>
      </c>
      <c r="D198" s="83">
        <v>12</v>
      </c>
      <c r="E198" s="83">
        <v>200</v>
      </c>
      <c r="F198" s="66">
        <f>4</f>
        <v>4</v>
      </c>
      <c r="G198" s="65">
        <f>'04a_Box_Dims'!$J33</f>
        <v>4.7</v>
      </c>
      <c r="H198" s="66">
        <f t="shared" si="56"/>
        <v>96</v>
      </c>
      <c r="I198" s="65">
        <f>'04a_Box_Dims'!$J33</f>
        <v>4.7</v>
      </c>
      <c r="J198" s="66">
        <f>2*BX_hook</f>
        <v>600</v>
      </c>
      <c r="K198" s="66">
        <f t="shared" si="57"/>
        <v>5300</v>
      </c>
      <c r="L198" s="86">
        <f t="shared" si="58"/>
        <v>508.8</v>
      </c>
      <c r="M198" s="65">
        <f t="shared" si="59"/>
        <v>0.88781408390447547</v>
      </c>
      <c r="N198" s="86">
        <f t="shared" si="60"/>
        <v>451.71980589059712</v>
      </c>
    </row>
    <row r="199" spans="1:14" x14ac:dyDescent="0.3">
      <c r="A199" s="64">
        <v>13</v>
      </c>
      <c r="B199" s="64" t="s">
        <v>1623</v>
      </c>
      <c r="C199" s="64" t="s">
        <v>1607</v>
      </c>
      <c r="D199" s="209">
        <v>12</v>
      </c>
      <c r="E199" s="209">
        <v>160</v>
      </c>
      <c r="F199" s="66">
        <f>4</f>
        <v>4</v>
      </c>
      <c r="G199" s="65">
        <f>'04a_Box_Dims'!$J33</f>
        <v>4.7</v>
      </c>
      <c r="H199" s="66">
        <f t="shared" si="56"/>
        <v>120</v>
      </c>
      <c r="I199" s="65">
        <f>'04a_Box_Dims'!$J33</f>
        <v>4.7</v>
      </c>
      <c r="J199" s="66">
        <f>0</f>
        <v>0</v>
      </c>
      <c r="K199" s="66">
        <f t="shared" si="57"/>
        <v>4700</v>
      </c>
      <c r="L199" s="86">
        <f t="shared" si="58"/>
        <v>564</v>
      </c>
      <c r="M199" s="65">
        <f t="shared" si="59"/>
        <v>0.88781408390447547</v>
      </c>
      <c r="N199" s="86">
        <f t="shared" si="60"/>
        <v>500.72714332212416</v>
      </c>
    </row>
    <row r="200" spans="1:14" x14ac:dyDescent="0.3">
      <c r="A200" s="64">
        <v>14</v>
      </c>
      <c r="B200" s="64" t="s">
        <v>1624</v>
      </c>
      <c r="C200" s="64" t="s">
        <v>1613</v>
      </c>
      <c r="D200" s="83">
        <v>12</v>
      </c>
      <c r="E200" s="83">
        <v>3</v>
      </c>
      <c r="F200" s="66">
        <f>2*$E200</f>
        <v>6</v>
      </c>
      <c r="G200" s="65"/>
      <c r="H200" s="66">
        <f t="shared" si="56"/>
        <v>6</v>
      </c>
      <c r="I200" s="65">
        <f>'04a_Box_Dims'!$R33</f>
        <v>4.7</v>
      </c>
      <c r="J200" s="66">
        <f>0</f>
        <v>0</v>
      </c>
      <c r="K200" s="66">
        <f t="shared" si="57"/>
        <v>4700</v>
      </c>
      <c r="L200" s="86">
        <f t="shared" si="58"/>
        <v>28.2</v>
      </c>
      <c r="M200" s="65">
        <f t="shared" si="59"/>
        <v>0.88781408390447547</v>
      </c>
      <c r="N200" s="86">
        <f t="shared" si="60"/>
        <v>25.036357166106207</v>
      </c>
    </row>
    <row r="201" spans="1:14" x14ac:dyDescent="0.3">
      <c r="A201" s="64"/>
      <c r="B201" s="64"/>
      <c r="C201" s="64"/>
      <c r="D201" s="83"/>
      <c r="E201" s="83"/>
      <c r="F201" s="66"/>
      <c r="G201" s="65"/>
      <c r="H201" s="66"/>
      <c r="I201" s="65"/>
      <c r="J201" s="66"/>
      <c r="K201" s="66"/>
      <c r="L201" s="86"/>
      <c r="M201" s="65"/>
      <c r="N201" s="86"/>
    </row>
    <row r="202" spans="1:14" x14ac:dyDescent="0.3">
      <c r="A202" s="80" t="str">
        <f>'04a_Box_Dims'!$A34&amp;"   ("&amp;'04a_Box_Dims'!$B34&amp;")   —   No. on project: "&amp;'04a_Box_Dims'!$F34&amp;",  L used = "&amp;TEXT('04a_Box_Dims'!$AE34,"0.00")&amp;" m"</f>
        <v>2/4x3 box culvert   (BC|2/4x3)   —   No. on project: 0,  L used = 10.00 m</v>
      </c>
      <c r="B202" s="80"/>
      <c r="C202" s="80"/>
      <c r="D202" s="84"/>
      <c r="E202" s="84"/>
      <c r="F202" s="85"/>
      <c r="G202" s="88"/>
      <c r="H202" s="85"/>
      <c r="I202" s="88"/>
      <c r="J202" s="85"/>
      <c r="K202" s="85"/>
      <c r="L202" s="87"/>
      <c r="M202" s="64"/>
      <c r="N202" s="64"/>
    </row>
    <row r="203" spans="1:14" x14ac:dyDescent="0.3">
      <c r="A203" s="64">
        <v>1</v>
      </c>
      <c r="B203" s="64" t="s">
        <v>1606</v>
      </c>
      <c r="C203" s="64" t="s">
        <v>1607</v>
      </c>
      <c r="D203" s="209">
        <v>12</v>
      </c>
      <c r="E203" s="209">
        <v>160</v>
      </c>
      <c r="F203" s="66">
        <f>1</f>
        <v>1</v>
      </c>
      <c r="G203" s="65">
        <f>'04a_Box_Dims'!$AE34</f>
        <v>10</v>
      </c>
      <c r="H203" s="66">
        <f t="shared" ref="H203:H216" si="61">IF($G203="",$F203,$F203*(FLOOR($G203*1000/$E203,1)+1))</f>
        <v>63</v>
      </c>
      <c r="I203" s="65">
        <f>'04a_Box_Dims'!$K34</f>
        <v>8.35</v>
      </c>
      <c r="J203" s="66">
        <f>2*BX_hook</f>
        <v>600</v>
      </c>
      <c r="K203" s="66">
        <f t="shared" ref="K203:K216" si="62">ROUND($I203*1000+$J203,0)</f>
        <v>8950</v>
      </c>
      <c r="L203" s="86">
        <f t="shared" ref="L203:L216" si="63">$H203*$K203/1000</f>
        <v>563.85</v>
      </c>
      <c r="M203" s="65">
        <f t="shared" ref="M203:M216" si="64">PI()/4*($D203/1000)^2*BX_rho</f>
        <v>0.88781408390447547</v>
      </c>
      <c r="N203" s="86">
        <f t="shared" ref="N203:N216" si="65">$L203*$M203</f>
        <v>500.59397120953849</v>
      </c>
    </row>
    <row r="204" spans="1:14" x14ac:dyDescent="0.3">
      <c r="A204" s="64">
        <v>2</v>
      </c>
      <c r="B204" s="64" t="s">
        <v>1608</v>
      </c>
      <c r="C204" s="64" t="s">
        <v>1607</v>
      </c>
      <c r="D204" s="209">
        <v>12</v>
      </c>
      <c r="E204" s="209">
        <v>125</v>
      </c>
      <c r="F204" s="66">
        <f>1</f>
        <v>1</v>
      </c>
      <c r="G204" s="65">
        <f>'04a_Box_Dims'!$AE34</f>
        <v>10</v>
      </c>
      <c r="H204" s="66">
        <f t="shared" si="61"/>
        <v>81</v>
      </c>
      <c r="I204" s="65">
        <f>'04a_Box_Dims'!$K34</f>
        <v>8.35</v>
      </c>
      <c r="J204" s="66">
        <f>2*BX_hook</f>
        <v>600</v>
      </c>
      <c r="K204" s="66">
        <f t="shared" si="62"/>
        <v>8950</v>
      </c>
      <c r="L204" s="86">
        <f t="shared" si="63"/>
        <v>724.95</v>
      </c>
      <c r="M204" s="65">
        <f t="shared" si="64"/>
        <v>0.88781408390447547</v>
      </c>
      <c r="N204" s="86">
        <f t="shared" si="65"/>
        <v>643.62082012654957</v>
      </c>
    </row>
    <row r="205" spans="1:14" x14ac:dyDescent="0.3">
      <c r="A205" s="64">
        <v>3</v>
      </c>
      <c r="B205" s="64" t="s">
        <v>1609</v>
      </c>
      <c r="C205" s="64" t="s">
        <v>1607</v>
      </c>
      <c r="D205" s="209">
        <v>16</v>
      </c>
      <c r="E205" s="209">
        <v>135</v>
      </c>
      <c r="F205" s="66">
        <f>1</f>
        <v>1</v>
      </c>
      <c r="G205" s="65">
        <f>'04a_Box_Dims'!$AE34</f>
        <v>10</v>
      </c>
      <c r="H205" s="66">
        <f t="shared" si="61"/>
        <v>75</v>
      </c>
      <c r="I205" s="65">
        <f>'04a_Box_Dims'!$K34</f>
        <v>8.35</v>
      </c>
      <c r="J205" s="66">
        <f>2*BX_hook</f>
        <v>600</v>
      </c>
      <c r="K205" s="66">
        <f t="shared" si="62"/>
        <v>8950</v>
      </c>
      <c r="L205" s="86">
        <f t="shared" si="63"/>
        <v>671.25</v>
      </c>
      <c r="M205" s="65">
        <f t="shared" si="64"/>
        <v>1.5783361491635119</v>
      </c>
      <c r="N205" s="86">
        <f t="shared" si="65"/>
        <v>1059.4581401260075</v>
      </c>
    </row>
    <row r="206" spans="1:14" x14ac:dyDescent="0.3">
      <c r="A206" s="64">
        <v>4</v>
      </c>
      <c r="B206" s="64" t="s">
        <v>1610</v>
      </c>
      <c r="C206" s="64" t="s">
        <v>1607</v>
      </c>
      <c r="D206" s="209">
        <v>12</v>
      </c>
      <c r="E206" s="209">
        <v>130</v>
      </c>
      <c r="F206" s="66">
        <f>1</f>
        <v>1</v>
      </c>
      <c r="G206" s="65">
        <f>'04a_Box_Dims'!$AE34</f>
        <v>10</v>
      </c>
      <c r="H206" s="66">
        <f t="shared" si="61"/>
        <v>77</v>
      </c>
      <c r="I206" s="65">
        <f>'04a_Box_Dims'!$K34</f>
        <v>8.35</v>
      </c>
      <c r="J206" s="66">
        <f>2*BX_hook</f>
        <v>600</v>
      </c>
      <c r="K206" s="66">
        <f t="shared" si="62"/>
        <v>8950</v>
      </c>
      <c r="L206" s="86">
        <f t="shared" si="63"/>
        <v>689.15</v>
      </c>
      <c r="M206" s="65">
        <f t="shared" si="64"/>
        <v>0.88781408390447547</v>
      </c>
      <c r="N206" s="86">
        <f t="shared" si="65"/>
        <v>611.83707592276926</v>
      </c>
    </row>
    <row r="207" spans="1:14" x14ac:dyDescent="0.3">
      <c r="A207" s="64">
        <v>5</v>
      </c>
      <c r="B207" s="64" t="s">
        <v>1611</v>
      </c>
      <c r="C207" s="64" t="s">
        <v>1607</v>
      </c>
      <c r="D207" s="209">
        <v>10</v>
      </c>
      <c r="E207" s="209">
        <v>110</v>
      </c>
      <c r="F207" s="66">
        <f>2</f>
        <v>2</v>
      </c>
      <c r="G207" s="65">
        <f>'04a_Box_Dims'!$K34</f>
        <v>8.35</v>
      </c>
      <c r="H207" s="66">
        <f t="shared" si="61"/>
        <v>152</v>
      </c>
      <c r="I207" s="65">
        <f>'04a_Box_Dims'!$AE34</f>
        <v>10</v>
      </c>
      <c r="J207" s="66">
        <f>0</f>
        <v>0</v>
      </c>
      <c r="K207" s="66">
        <f t="shared" si="62"/>
        <v>10000</v>
      </c>
      <c r="L207" s="86">
        <f t="shared" si="63"/>
        <v>1520</v>
      </c>
      <c r="M207" s="65">
        <f t="shared" si="64"/>
        <v>0.61653755826699685</v>
      </c>
      <c r="N207" s="86">
        <f t="shared" si="65"/>
        <v>937.13708856583526</v>
      </c>
    </row>
    <row r="208" spans="1:14" x14ac:dyDescent="0.3">
      <c r="A208" s="64">
        <v>6</v>
      </c>
      <c r="B208" s="64" t="s">
        <v>1612</v>
      </c>
      <c r="C208" s="64" t="s">
        <v>1613</v>
      </c>
      <c r="D208" s="209">
        <v>12</v>
      </c>
      <c r="E208" s="209">
        <v>140</v>
      </c>
      <c r="F208" s="66">
        <f>4</f>
        <v>4</v>
      </c>
      <c r="G208" s="65">
        <f>'04a_Box_Dims'!$AE34</f>
        <v>10</v>
      </c>
      <c r="H208" s="66">
        <f t="shared" si="61"/>
        <v>288</v>
      </c>
      <c r="I208" s="65">
        <f>'04a_Box_Dims'!$M34</f>
        <v>3.35</v>
      </c>
      <c r="J208" s="66">
        <f>2*BX_hook</f>
        <v>600</v>
      </c>
      <c r="K208" s="66">
        <f t="shared" si="62"/>
        <v>3950</v>
      </c>
      <c r="L208" s="86">
        <f t="shared" si="63"/>
        <v>1137.5999999999999</v>
      </c>
      <c r="M208" s="65">
        <f t="shared" si="64"/>
        <v>0.88781408390447547</v>
      </c>
      <c r="N208" s="86">
        <f t="shared" si="65"/>
        <v>1009.9773018497312</v>
      </c>
    </row>
    <row r="209" spans="1:14" x14ac:dyDescent="0.3">
      <c r="A209" s="64">
        <v>7</v>
      </c>
      <c r="B209" s="64" t="s">
        <v>1614</v>
      </c>
      <c r="C209" s="64" t="s">
        <v>1613</v>
      </c>
      <c r="D209" s="209">
        <v>12</v>
      </c>
      <c r="E209" s="209">
        <v>140</v>
      </c>
      <c r="F209" s="66">
        <f>2*('04a_Box_Dims'!$C34)-2</f>
        <v>2</v>
      </c>
      <c r="G209" s="65">
        <f>'04a_Box_Dims'!$AE34</f>
        <v>10</v>
      </c>
      <c r="H209" s="66">
        <f t="shared" si="61"/>
        <v>144</v>
      </c>
      <c r="I209" s="65">
        <f>'04a_Box_Dims'!$M34</f>
        <v>3.35</v>
      </c>
      <c r="J209" s="66">
        <f>2*BX_hook</f>
        <v>600</v>
      </c>
      <c r="K209" s="66">
        <f t="shared" si="62"/>
        <v>3950</v>
      </c>
      <c r="L209" s="86">
        <f t="shared" si="63"/>
        <v>568.79999999999995</v>
      </c>
      <c r="M209" s="65">
        <f t="shared" si="64"/>
        <v>0.88781408390447547</v>
      </c>
      <c r="N209" s="86">
        <f t="shared" si="65"/>
        <v>504.98865092486562</v>
      </c>
    </row>
    <row r="210" spans="1:14" x14ac:dyDescent="0.3">
      <c r="A210" s="64">
        <v>8</v>
      </c>
      <c r="B210" s="64" t="s">
        <v>1615</v>
      </c>
      <c r="C210" s="64" t="s">
        <v>1607</v>
      </c>
      <c r="D210" s="209">
        <v>10</v>
      </c>
      <c r="E210" s="209">
        <v>110</v>
      </c>
      <c r="F210" s="66">
        <f>('04a_Box_Dims'!$C34+1)*2</f>
        <v>6</v>
      </c>
      <c r="G210" s="65">
        <f>'04a_Box_Dims'!$M34</f>
        <v>3.35</v>
      </c>
      <c r="H210" s="66">
        <f t="shared" si="61"/>
        <v>186</v>
      </c>
      <c r="I210" s="65">
        <f>'04a_Box_Dims'!$AE34</f>
        <v>10</v>
      </c>
      <c r="J210" s="66">
        <f>0</f>
        <v>0</v>
      </c>
      <c r="K210" s="66">
        <f t="shared" si="62"/>
        <v>10000</v>
      </c>
      <c r="L210" s="86">
        <f t="shared" si="63"/>
        <v>1860</v>
      </c>
      <c r="M210" s="65">
        <f t="shared" si="64"/>
        <v>0.61653755826699685</v>
      </c>
      <c r="N210" s="86">
        <f t="shared" si="65"/>
        <v>1146.7598583766141</v>
      </c>
    </row>
    <row r="211" spans="1:14" x14ac:dyDescent="0.3">
      <c r="A211" s="64">
        <v>9</v>
      </c>
      <c r="B211" s="64" t="s">
        <v>1616</v>
      </c>
      <c r="C211" s="64" t="s">
        <v>1617</v>
      </c>
      <c r="D211" s="209">
        <v>12</v>
      </c>
      <c r="E211" s="209">
        <v>2</v>
      </c>
      <c r="F211" s="66">
        <f>4*('04a_Box_Dims'!$C34)*$E211</f>
        <v>16</v>
      </c>
      <c r="G211" s="65"/>
      <c r="H211" s="66">
        <f t="shared" si="61"/>
        <v>16</v>
      </c>
      <c r="I211" s="65">
        <f>'04a_Box_Dims'!$AE34</f>
        <v>10</v>
      </c>
      <c r="J211" s="66">
        <f>0</f>
        <v>0</v>
      </c>
      <c r="K211" s="66">
        <f t="shared" si="62"/>
        <v>10000</v>
      </c>
      <c r="L211" s="86">
        <f t="shared" si="63"/>
        <v>160</v>
      </c>
      <c r="M211" s="65">
        <f t="shared" si="64"/>
        <v>0.88781408390447547</v>
      </c>
      <c r="N211" s="86">
        <f t="shared" si="65"/>
        <v>142.05025342471606</v>
      </c>
    </row>
    <row r="212" spans="1:14" x14ac:dyDescent="0.3">
      <c r="A212" s="64">
        <v>10</v>
      </c>
      <c r="B212" s="64" t="s">
        <v>1618</v>
      </c>
      <c r="C212" s="64" t="s">
        <v>1619</v>
      </c>
      <c r="D212" s="209">
        <v>20</v>
      </c>
      <c r="E212" s="209">
        <v>125</v>
      </c>
      <c r="F212" s="66">
        <f>4</f>
        <v>4</v>
      </c>
      <c r="G212" s="65">
        <f>'04a_Box_Dims'!$Z34</f>
        <v>2.1213203435596424</v>
      </c>
      <c r="H212" s="66">
        <f t="shared" si="61"/>
        <v>68</v>
      </c>
      <c r="I212" s="65">
        <f>'04a_Box_Dims'!$W34</f>
        <v>4.8999999999999995</v>
      </c>
      <c r="J212" s="66">
        <f>BX_wwbend</f>
        <v>900</v>
      </c>
      <c r="K212" s="66">
        <f t="shared" si="62"/>
        <v>5800</v>
      </c>
      <c r="L212" s="86">
        <f t="shared" si="63"/>
        <v>394.4</v>
      </c>
      <c r="M212" s="65">
        <f t="shared" si="64"/>
        <v>2.4661502330679874</v>
      </c>
      <c r="N212" s="86">
        <f t="shared" si="65"/>
        <v>972.64965192201419</v>
      </c>
    </row>
    <row r="213" spans="1:14" x14ac:dyDescent="0.3">
      <c r="A213" s="64">
        <v>11</v>
      </c>
      <c r="B213" s="64" t="s">
        <v>1620</v>
      </c>
      <c r="C213" s="64" t="s">
        <v>1607</v>
      </c>
      <c r="D213" s="209">
        <v>12</v>
      </c>
      <c r="E213" s="209">
        <v>135</v>
      </c>
      <c r="F213" s="66">
        <f>8</f>
        <v>8</v>
      </c>
      <c r="G213" s="65">
        <f>'04a_Box_Dims'!$W34</f>
        <v>4.8999999999999995</v>
      </c>
      <c r="H213" s="66">
        <f t="shared" si="61"/>
        <v>296</v>
      </c>
      <c r="I213" s="65">
        <f>'04a_Box_Dims'!$Z34</f>
        <v>2.1213203435596424</v>
      </c>
      <c r="J213" s="66">
        <f>0</f>
        <v>0</v>
      </c>
      <c r="K213" s="66">
        <f t="shared" si="62"/>
        <v>2121</v>
      </c>
      <c r="L213" s="86">
        <f t="shared" si="63"/>
        <v>627.81600000000003</v>
      </c>
      <c r="M213" s="65">
        <f t="shared" si="64"/>
        <v>0.88781408390447547</v>
      </c>
      <c r="N213" s="86">
        <f t="shared" si="65"/>
        <v>557.38388690057218</v>
      </c>
    </row>
    <row r="214" spans="1:14" x14ac:dyDescent="0.3">
      <c r="A214" s="64">
        <v>12</v>
      </c>
      <c r="B214" s="64" t="s">
        <v>1621</v>
      </c>
      <c r="C214" s="64" t="s">
        <v>1622</v>
      </c>
      <c r="D214" s="83">
        <v>12</v>
      </c>
      <c r="E214" s="83">
        <v>200</v>
      </c>
      <c r="F214" s="66">
        <f>4</f>
        <v>4</v>
      </c>
      <c r="G214" s="65">
        <f>'04a_Box_Dims'!$J34</f>
        <v>9.0500000000000007</v>
      </c>
      <c r="H214" s="66">
        <f t="shared" si="61"/>
        <v>184</v>
      </c>
      <c r="I214" s="65">
        <f>'04a_Box_Dims'!$J34</f>
        <v>9.0500000000000007</v>
      </c>
      <c r="J214" s="66">
        <f>2*BX_hook</f>
        <v>600</v>
      </c>
      <c r="K214" s="66">
        <f t="shared" si="62"/>
        <v>9650</v>
      </c>
      <c r="L214" s="86">
        <f t="shared" si="63"/>
        <v>1775.6</v>
      </c>
      <c r="M214" s="65">
        <f t="shared" si="64"/>
        <v>0.88781408390447547</v>
      </c>
      <c r="N214" s="86">
        <f t="shared" si="65"/>
        <v>1576.4026873807866</v>
      </c>
    </row>
    <row r="215" spans="1:14" x14ac:dyDescent="0.3">
      <c r="A215" s="64">
        <v>13</v>
      </c>
      <c r="B215" s="64" t="s">
        <v>1623</v>
      </c>
      <c r="C215" s="64" t="s">
        <v>1607</v>
      </c>
      <c r="D215" s="209">
        <v>12</v>
      </c>
      <c r="E215" s="209">
        <v>160</v>
      </c>
      <c r="F215" s="66">
        <f>4</f>
        <v>4</v>
      </c>
      <c r="G215" s="65">
        <f>'04a_Box_Dims'!$J34</f>
        <v>9.0500000000000007</v>
      </c>
      <c r="H215" s="66">
        <f t="shared" si="61"/>
        <v>228</v>
      </c>
      <c r="I215" s="65">
        <f>'04a_Box_Dims'!$J34</f>
        <v>9.0500000000000007</v>
      </c>
      <c r="J215" s="66">
        <f>0</f>
        <v>0</v>
      </c>
      <c r="K215" s="66">
        <f t="shared" si="62"/>
        <v>9050</v>
      </c>
      <c r="L215" s="86">
        <f t="shared" si="63"/>
        <v>2063.4</v>
      </c>
      <c r="M215" s="65">
        <f t="shared" si="64"/>
        <v>0.88781408390447547</v>
      </c>
      <c r="N215" s="86">
        <f t="shared" si="65"/>
        <v>1831.9155807284947</v>
      </c>
    </row>
    <row r="216" spans="1:14" x14ac:dyDescent="0.3">
      <c r="A216" s="64">
        <v>14</v>
      </c>
      <c r="B216" s="64" t="s">
        <v>1624</v>
      </c>
      <c r="C216" s="64" t="s">
        <v>1613</v>
      </c>
      <c r="D216" s="83">
        <v>12</v>
      </c>
      <c r="E216" s="83">
        <v>3</v>
      </c>
      <c r="F216" s="66">
        <f>2*$E216</f>
        <v>6</v>
      </c>
      <c r="G216" s="65"/>
      <c r="H216" s="66">
        <f t="shared" si="61"/>
        <v>6</v>
      </c>
      <c r="I216" s="65">
        <f>'04a_Box_Dims'!$R34</f>
        <v>9.0500000000000007</v>
      </c>
      <c r="J216" s="66">
        <f>0</f>
        <v>0</v>
      </c>
      <c r="K216" s="66">
        <f t="shared" si="62"/>
        <v>9050</v>
      </c>
      <c r="L216" s="86">
        <f t="shared" si="63"/>
        <v>54.3</v>
      </c>
      <c r="M216" s="65">
        <f t="shared" si="64"/>
        <v>0.88781408390447547</v>
      </c>
      <c r="N216" s="86">
        <f t="shared" si="65"/>
        <v>48.208304756013014</v>
      </c>
    </row>
    <row r="217" spans="1:14" x14ac:dyDescent="0.3">
      <c r="A217" s="64"/>
      <c r="B217" s="64"/>
      <c r="C217" s="64"/>
      <c r="D217" s="83"/>
      <c r="E217" s="83"/>
      <c r="F217" s="66"/>
      <c r="G217" s="65"/>
      <c r="H217" s="66"/>
      <c r="I217" s="65"/>
      <c r="J217" s="66"/>
      <c r="K217" s="66"/>
      <c r="L217" s="86"/>
      <c r="M217" s="65"/>
      <c r="N217" s="86"/>
    </row>
    <row r="218" spans="1:14" x14ac:dyDescent="0.3">
      <c r="A218" s="80" t="str">
        <f>'04a_Box_Dims'!$A35&amp;"   ("&amp;'04a_Box_Dims'!$B35&amp;")   —   No. on project: "&amp;'04a_Box_Dims'!$F35&amp;",  L used = "&amp;TEXT('04a_Box_Dims'!$AE35,"0.00")&amp;" m"</f>
        <v>3/4x3 box culvert   (BC|3/4x3)   —   No. on project: 0,  L used = 10.00 m</v>
      </c>
      <c r="B218" s="80"/>
      <c r="C218" s="80"/>
      <c r="D218" s="84"/>
      <c r="E218" s="84"/>
      <c r="F218" s="85"/>
      <c r="G218" s="88"/>
      <c r="H218" s="85"/>
      <c r="I218" s="88"/>
      <c r="J218" s="85"/>
      <c r="K218" s="85"/>
      <c r="L218" s="87"/>
      <c r="M218" s="88"/>
      <c r="N218" s="87"/>
    </row>
    <row r="219" spans="1:14" x14ac:dyDescent="0.3">
      <c r="A219" s="64">
        <v>1</v>
      </c>
      <c r="B219" s="64" t="s">
        <v>1606</v>
      </c>
      <c r="C219" s="64" t="s">
        <v>1607</v>
      </c>
      <c r="D219" s="209">
        <v>12</v>
      </c>
      <c r="E219" s="209">
        <v>160</v>
      </c>
      <c r="F219" s="66">
        <f>1</f>
        <v>1</v>
      </c>
      <c r="G219" s="65">
        <f>'04a_Box_Dims'!$AE35</f>
        <v>10</v>
      </c>
      <c r="H219" s="66">
        <f t="shared" ref="H219:H232" si="66">IF($G219="",$F219,$F219*(FLOOR($G219*1000/$E219,1)+1))</f>
        <v>63</v>
      </c>
      <c r="I219" s="65">
        <f>'04a_Box_Dims'!$K35</f>
        <v>12.7</v>
      </c>
      <c r="J219" s="66">
        <f>2*BX_hook</f>
        <v>600</v>
      </c>
      <c r="K219" s="66">
        <f t="shared" ref="K219:K232" si="67">ROUND($I219*1000+$J219,0)</f>
        <v>13300</v>
      </c>
      <c r="L219" s="86">
        <f t="shared" ref="L219:L232" si="68">$H219*$K219/1000</f>
        <v>837.9</v>
      </c>
      <c r="M219" s="65">
        <f t="shared" ref="M219:M232" si="69">PI()/4*($D219/1000)^2*BX_rho</f>
        <v>0.88781408390447547</v>
      </c>
      <c r="N219" s="86">
        <f t="shared" ref="N219:N232" si="70">$L219*$M219</f>
        <v>743.89942090355999</v>
      </c>
    </row>
    <row r="220" spans="1:14" x14ac:dyDescent="0.3">
      <c r="A220" s="64">
        <v>2</v>
      </c>
      <c r="B220" s="64" t="s">
        <v>1608</v>
      </c>
      <c r="C220" s="64" t="s">
        <v>1607</v>
      </c>
      <c r="D220" s="209">
        <v>16</v>
      </c>
      <c r="E220" s="209">
        <v>165</v>
      </c>
      <c r="F220" s="66">
        <f>1</f>
        <v>1</v>
      </c>
      <c r="G220" s="65">
        <f>'04a_Box_Dims'!$AE35</f>
        <v>10</v>
      </c>
      <c r="H220" s="66">
        <f t="shared" si="66"/>
        <v>61</v>
      </c>
      <c r="I220" s="65">
        <f>'04a_Box_Dims'!$K35</f>
        <v>12.7</v>
      </c>
      <c r="J220" s="66">
        <f>2*BX_hook</f>
        <v>600</v>
      </c>
      <c r="K220" s="66">
        <f t="shared" si="67"/>
        <v>13300</v>
      </c>
      <c r="L220" s="86">
        <f t="shared" si="68"/>
        <v>811.3</v>
      </c>
      <c r="M220" s="65">
        <f t="shared" si="69"/>
        <v>1.5783361491635119</v>
      </c>
      <c r="N220" s="86">
        <f t="shared" si="70"/>
        <v>1280.5041178163572</v>
      </c>
    </row>
    <row r="221" spans="1:14" x14ac:dyDescent="0.3">
      <c r="A221" s="64">
        <v>3</v>
      </c>
      <c r="B221" s="64" t="s">
        <v>1609</v>
      </c>
      <c r="C221" s="64" t="s">
        <v>1607</v>
      </c>
      <c r="D221" s="209">
        <v>16</v>
      </c>
      <c r="E221" s="209">
        <v>125</v>
      </c>
      <c r="F221" s="66">
        <f>1</f>
        <v>1</v>
      </c>
      <c r="G221" s="65">
        <f>'04a_Box_Dims'!$AE35</f>
        <v>10</v>
      </c>
      <c r="H221" s="66">
        <f t="shared" si="66"/>
        <v>81</v>
      </c>
      <c r="I221" s="65">
        <f>'04a_Box_Dims'!$K35</f>
        <v>12.7</v>
      </c>
      <c r="J221" s="66">
        <f>2*BX_hook</f>
        <v>600</v>
      </c>
      <c r="K221" s="66">
        <f t="shared" si="67"/>
        <v>13300</v>
      </c>
      <c r="L221" s="86">
        <f t="shared" si="68"/>
        <v>1077.3</v>
      </c>
      <c r="M221" s="65">
        <f t="shared" si="69"/>
        <v>1.5783361491635119</v>
      </c>
      <c r="N221" s="86">
        <f t="shared" si="70"/>
        <v>1700.3415334938513</v>
      </c>
    </row>
    <row r="222" spans="1:14" x14ac:dyDescent="0.3">
      <c r="A222" s="64">
        <v>4</v>
      </c>
      <c r="B222" s="64" t="s">
        <v>1610</v>
      </c>
      <c r="C222" s="64" t="s">
        <v>1607</v>
      </c>
      <c r="D222" s="209">
        <v>12</v>
      </c>
      <c r="E222" s="209">
        <v>120</v>
      </c>
      <c r="F222" s="66">
        <f>1</f>
        <v>1</v>
      </c>
      <c r="G222" s="65">
        <f>'04a_Box_Dims'!$AE35</f>
        <v>10</v>
      </c>
      <c r="H222" s="66">
        <f t="shared" si="66"/>
        <v>84</v>
      </c>
      <c r="I222" s="65">
        <f>'04a_Box_Dims'!$K35</f>
        <v>12.7</v>
      </c>
      <c r="J222" s="66">
        <f>2*BX_hook</f>
        <v>600</v>
      </c>
      <c r="K222" s="66">
        <f t="shared" si="67"/>
        <v>13300</v>
      </c>
      <c r="L222" s="86">
        <f t="shared" si="68"/>
        <v>1117.2</v>
      </c>
      <c r="M222" s="65">
        <f t="shared" si="69"/>
        <v>0.88781408390447547</v>
      </c>
      <c r="N222" s="86">
        <f t="shared" si="70"/>
        <v>991.86589453808006</v>
      </c>
    </row>
    <row r="223" spans="1:14" x14ac:dyDescent="0.3">
      <c r="A223" s="64">
        <v>5</v>
      </c>
      <c r="B223" s="64" t="s">
        <v>1611</v>
      </c>
      <c r="C223" s="64" t="s">
        <v>1607</v>
      </c>
      <c r="D223" s="209">
        <v>10</v>
      </c>
      <c r="E223" s="209">
        <v>110</v>
      </c>
      <c r="F223" s="66">
        <f>2</f>
        <v>2</v>
      </c>
      <c r="G223" s="65">
        <f>'04a_Box_Dims'!$K35</f>
        <v>12.7</v>
      </c>
      <c r="H223" s="66">
        <f t="shared" si="66"/>
        <v>232</v>
      </c>
      <c r="I223" s="65">
        <f>'04a_Box_Dims'!$AE35</f>
        <v>10</v>
      </c>
      <c r="J223" s="66">
        <f>0</f>
        <v>0</v>
      </c>
      <c r="K223" s="66">
        <f t="shared" si="67"/>
        <v>10000</v>
      </c>
      <c r="L223" s="86">
        <f t="shared" si="68"/>
        <v>2320</v>
      </c>
      <c r="M223" s="65">
        <f t="shared" si="69"/>
        <v>0.61653755826699685</v>
      </c>
      <c r="N223" s="86">
        <f t="shared" si="70"/>
        <v>1430.3671351794328</v>
      </c>
    </row>
    <row r="224" spans="1:14" x14ac:dyDescent="0.3">
      <c r="A224" s="64">
        <v>6</v>
      </c>
      <c r="B224" s="64" t="s">
        <v>1612</v>
      </c>
      <c r="C224" s="64" t="s">
        <v>1613</v>
      </c>
      <c r="D224" s="209">
        <v>12</v>
      </c>
      <c r="E224" s="209">
        <v>110</v>
      </c>
      <c r="F224" s="66">
        <f>4</f>
        <v>4</v>
      </c>
      <c r="G224" s="65">
        <f>'04a_Box_Dims'!$AE35</f>
        <v>10</v>
      </c>
      <c r="H224" s="66">
        <f t="shared" si="66"/>
        <v>364</v>
      </c>
      <c r="I224" s="65">
        <f>'04a_Box_Dims'!$M35</f>
        <v>3.35</v>
      </c>
      <c r="J224" s="66">
        <f>2*BX_hook</f>
        <v>600</v>
      </c>
      <c r="K224" s="66">
        <f t="shared" si="67"/>
        <v>3950</v>
      </c>
      <c r="L224" s="86">
        <f t="shared" si="68"/>
        <v>1437.8</v>
      </c>
      <c r="M224" s="65">
        <f t="shared" si="69"/>
        <v>0.88781408390447547</v>
      </c>
      <c r="N224" s="86">
        <f t="shared" si="70"/>
        <v>1276.4990898378549</v>
      </c>
    </row>
    <row r="225" spans="1:14" x14ac:dyDescent="0.3">
      <c r="A225" s="64">
        <v>7</v>
      </c>
      <c r="B225" s="64" t="s">
        <v>1614</v>
      </c>
      <c r="C225" s="64" t="s">
        <v>1613</v>
      </c>
      <c r="D225" s="209">
        <v>12</v>
      </c>
      <c r="E225" s="209">
        <v>110</v>
      </c>
      <c r="F225" s="66">
        <f>2*('04a_Box_Dims'!$C35)-2</f>
        <v>4</v>
      </c>
      <c r="G225" s="65">
        <f>'04a_Box_Dims'!$AE35</f>
        <v>10</v>
      </c>
      <c r="H225" s="66">
        <f t="shared" si="66"/>
        <v>364</v>
      </c>
      <c r="I225" s="65">
        <f>'04a_Box_Dims'!$M35</f>
        <v>3.35</v>
      </c>
      <c r="J225" s="66">
        <f>2*BX_hook</f>
        <v>600</v>
      </c>
      <c r="K225" s="66">
        <f t="shared" si="67"/>
        <v>3950</v>
      </c>
      <c r="L225" s="86">
        <f t="shared" si="68"/>
        <v>1437.8</v>
      </c>
      <c r="M225" s="65">
        <f t="shared" si="69"/>
        <v>0.88781408390447547</v>
      </c>
      <c r="N225" s="86">
        <f t="shared" si="70"/>
        <v>1276.4990898378549</v>
      </c>
    </row>
    <row r="226" spans="1:14" x14ac:dyDescent="0.3">
      <c r="A226" s="64">
        <v>8</v>
      </c>
      <c r="B226" s="64" t="s">
        <v>1615</v>
      </c>
      <c r="C226" s="64" t="s">
        <v>1607</v>
      </c>
      <c r="D226" s="209">
        <v>10</v>
      </c>
      <c r="E226" s="209">
        <v>110</v>
      </c>
      <c r="F226" s="66">
        <f>('04a_Box_Dims'!$C35+1)*2</f>
        <v>8</v>
      </c>
      <c r="G226" s="65">
        <f>'04a_Box_Dims'!$M35</f>
        <v>3.35</v>
      </c>
      <c r="H226" s="66">
        <f t="shared" si="66"/>
        <v>248</v>
      </c>
      <c r="I226" s="65">
        <f>'04a_Box_Dims'!$AE35</f>
        <v>10</v>
      </c>
      <c r="J226" s="66">
        <f>0</f>
        <v>0</v>
      </c>
      <c r="K226" s="66">
        <f t="shared" si="67"/>
        <v>10000</v>
      </c>
      <c r="L226" s="86">
        <f t="shared" si="68"/>
        <v>2480</v>
      </c>
      <c r="M226" s="65">
        <f t="shared" si="69"/>
        <v>0.61653755826699685</v>
      </c>
      <c r="N226" s="86">
        <f t="shared" si="70"/>
        <v>1529.0131445021523</v>
      </c>
    </row>
    <row r="227" spans="1:14" x14ac:dyDescent="0.3">
      <c r="A227" s="64">
        <v>9</v>
      </c>
      <c r="B227" s="64" t="s">
        <v>1616</v>
      </c>
      <c r="C227" s="64" t="s">
        <v>1617</v>
      </c>
      <c r="D227" s="209">
        <v>12</v>
      </c>
      <c r="E227" s="209">
        <v>2</v>
      </c>
      <c r="F227" s="66">
        <f>4*('04a_Box_Dims'!$C35)*$E227</f>
        <v>24</v>
      </c>
      <c r="G227" s="65"/>
      <c r="H227" s="66">
        <f t="shared" si="66"/>
        <v>24</v>
      </c>
      <c r="I227" s="65">
        <f>'04a_Box_Dims'!$AE35</f>
        <v>10</v>
      </c>
      <c r="J227" s="66">
        <f>0</f>
        <v>0</v>
      </c>
      <c r="K227" s="66">
        <f t="shared" si="67"/>
        <v>10000</v>
      </c>
      <c r="L227" s="86">
        <f t="shared" si="68"/>
        <v>240</v>
      </c>
      <c r="M227" s="65">
        <f t="shared" si="69"/>
        <v>0.88781408390447547</v>
      </c>
      <c r="N227" s="86">
        <f t="shared" si="70"/>
        <v>213.07538013707412</v>
      </c>
    </row>
    <row r="228" spans="1:14" x14ac:dyDescent="0.3">
      <c r="A228" s="64">
        <v>10</v>
      </c>
      <c r="B228" s="64" t="s">
        <v>1618</v>
      </c>
      <c r="C228" s="64" t="s">
        <v>1619</v>
      </c>
      <c r="D228" s="209">
        <v>20</v>
      </c>
      <c r="E228" s="209">
        <v>125</v>
      </c>
      <c r="F228" s="66">
        <f>4</f>
        <v>4</v>
      </c>
      <c r="G228" s="65">
        <f>'04a_Box_Dims'!$Z35</f>
        <v>2.1213203435596424</v>
      </c>
      <c r="H228" s="66">
        <f t="shared" si="66"/>
        <v>68</v>
      </c>
      <c r="I228" s="65">
        <f>'04a_Box_Dims'!$W35</f>
        <v>4.8999999999999995</v>
      </c>
      <c r="J228" s="66">
        <f>BX_wwbend</f>
        <v>900</v>
      </c>
      <c r="K228" s="66">
        <f t="shared" si="67"/>
        <v>5800</v>
      </c>
      <c r="L228" s="86">
        <f t="shared" si="68"/>
        <v>394.4</v>
      </c>
      <c r="M228" s="65">
        <f t="shared" si="69"/>
        <v>2.4661502330679874</v>
      </c>
      <c r="N228" s="86">
        <f t="shared" si="70"/>
        <v>972.64965192201419</v>
      </c>
    </row>
    <row r="229" spans="1:14" x14ac:dyDescent="0.3">
      <c r="A229" s="64">
        <v>11</v>
      </c>
      <c r="B229" s="64" t="s">
        <v>1620</v>
      </c>
      <c r="C229" s="64" t="s">
        <v>1607</v>
      </c>
      <c r="D229" s="209">
        <v>12</v>
      </c>
      <c r="E229" s="209">
        <v>135</v>
      </c>
      <c r="F229" s="66">
        <f>8</f>
        <v>8</v>
      </c>
      <c r="G229" s="65">
        <f>'04a_Box_Dims'!$W35</f>
        <v>4.8999999999999995</v>
      </c>
      <c r="H229" s="66">
        <f t="shared" si="66"/>
        <v>296</v>
      </c>
      <c r="I229" s="65">
        <f>'04a_Box_Dims'!$Z35</f>
        <v>2.1213203435596424</v>
      </c>
      <c r="J229" s="66">
        <f>0</f>
        <v>0</v>
      </c>
      <c r="K229" s="66">
        <f t="shared" si="67"/>
        <v>2121</v>
      </c>
      <c r="L229" s="86">
        <f t="shared" si="68"/>
        <v>627.81600000000003</v>
      </c>
      <c r="M229" s="65">
        <f t="shared" si="69"/>
        <v>0.88781408390447547</v>
      </c>
      <c r="N229" s="86">
        <f t="shared" si="70"/>
        <v>557.38388690057218</v>
      </c>
    </row>
    <row r="230" spans="1:14" x14ac:dyDescent="0.3">
      <c r="A230" s="64">
        <v>12</v>
      </c>
      <c r="B230" s="64" t="s">
        <v>1621</v>
      </c>
      <c r="C230" s="64" t="s">
        <v>1622</v>
      </c>
      <c r="D230" s="83">
        <v>12</v>
      </c>
      <c r="E230" s="83">
        <v>200</v>
      </c>
      <c r="F230" s="66">
        <f>4</f>
        <v>4</v>
      </c>
      <c r="G230" s="65">
        <f>'04a_Box_Dims'!$J35</f>
        <v>13.4</v>
      </c>
      <c r="H230" s="66">
        <f t="shared" si="66"/>
        <v>272</v>
      </c>
      <c r="I230" s="65">
        <f>'04a_Box_Dims'!$J35</f>
        <v>13.4</v>
      </c>
      <c r="J230" s="66">
        <f>2*BX_hook</f>
        <v>600</v>
      </c>
      <c r="K230" s="66">
        <f t="shared" si="67"/>
        <v>14000</v>
      </c>
      <c r="L230" s="86">
        <f t="shared" si="68"/>
        <v>3808</v>
      </c>
      <c r="M230" s="65">
        <f t="shared" si="69"/>
        <v>0.88781408390447547</v>
      </c>
      <c r="N230" s="86">
        <f t="shared" si="70"/>
        <v>3380.7960315082428</v>
      </c>
    </row>
    <row r="231" spans="1:14" x14ac:dyDescent="0.3">
      <c r="A231" s="64">
        <v>13</v>
      </c>
      <c r="B231" s="64" t="s">
        <v>1623</v>
      </c>
      <c r="C231" s="64" t="s">
        <v>1607</v>
      </c>
      <c r="D231" s="209">
        <v>12</v>
      </c>
      <c r="E231" s="209">
        <v>160</v>
      </c>
      <c r="F231" s="66">
        <f>4</f>
        <v>4</v>
      </c>
      <c r="G231" s="65">
        <f>'04a_Box_Dims'!$J35</f>
        <v>13.4</v>
      </c>
      <c r="H231" s="66">
        <f t="shared" si="66"/>
        <v>336</v>
      </c>
      <c r="I231" s="65">
        <f>'04a_Box_Dims'!$J35</f>
        <v>13.4</v>
      </c>
      <c r="J231" s="66">
        <f>0</f>
        <v>0</v>
      </c>
      <c r="K231" s="66">
        <f t="shared" si="67"/>
        <v>13400</v>
      </c>
      <c r="L231" s="86">
        <f t="shared" si="68"/>
        <v>4502.3999999999996</v>
      </c>
      <c r="M231" s="65">
        <f t="shared" si="69"/>
        <v>0.88781408390447547</v>
      </c>
      <c r="N231" s="86">
        <f t="shared" si="70"/>
        <v>3997.29413137151</v>
      </c>
    </row>
    <row r="232" spans="1:14" x14ac:dyDescent="0.3">
      <c r="A232" s="64">
        <v>14</v>
      </c>
      <c r="B232" s="64" t="s">
        <v>1624</v>
      </c>
      <c r="C232" s="64" t="s">
        <v>1613</v>
      </c>
      <c r="D232" s="83">
        <v>12</v>
      </c>
      <c r="E232" s="83">
        <v>3</v>
      </c>
      <c r="F232" s="66">
        <f>2*$E232</f>
        <v>6</v>
      </c>
      <c r="G232" s="65"/>
      <c r="H232" s="66">
        <f t="shared" si="66"/>
        <v>6</v>
      </c>
      <c r="I232" s="65">
        <f>'04a_Box_Dims'!$R35</f>
        <v>13.4</v>
      </c>
      <c r="J232" s="66">
        <f>0</f>
        <v>0</v>
      </c>
      <c r="K232" s="66">
        <f t="shared" si="67"/>
        <v>13400</v>
      </c>
      <c r="L232" s="86">
        <f t="shared" si="68"/>
        <v>80.400000000000006</v>
      </c>
      <c r="M232" s="65">
        <f t="shared" si="69"/>
        <v>0.88781408390447547</v>
      </c>
      <c r="N232" s="86">
        <f t="shared" si="70"/>
        <v>71.380252345919828</v>
      </c>
    </row>
    <row r="233" spans="1:14" x14ac:dyDescent="0.3">
      <c r="A233" s="64"/>
      <c r="B233" s="64"/>
      <c r="C233" s="64"/>
      <c r="D233" s="64"/>
      <c r="E233" s="64"/>
      <c r="F233" s="64"/>
      <c r="G233" s="64"/>
      <c r="H233" s="64"/>
      <c r="I233" s="64"/>
      <c r="J233" s="64"/>
      <c r="K233" s="64"/>
      <c r="L233" s="64"/>
      <c r="M233" s="64"/>
      <c r="N233" s="64"/>
    </row>
    <row r="234" spans="1:14" x14ac:dyDescent="0.3">
      <c r="A234" s="80" t="str">
        <f>'04a_Box_Dims'!$A36&amp;"   ("&amp;'04a_Box_Dims'!$B36&amp;")   —   No. on project: "&amp;'04a_Box_Dims'!$F36&amp;",  L used = "&amp;TEXT('04a_Box_Dims'!$AE36,"0.00")&amp;" m"</f>
        <v>1/4x4 box culvert   (BC|1/4x4)   —   No. on project: 0,  L used = 10.00 m</v>
      </c>
      <c r="B234" s="80"/>
      <c r="C234" s="80"/>
      <c r="D234" s="84"/>
      <c r="E234" s="84"/>
      <c r="F234" s="85"/>
      <c r="G234" s="88"/>
      <c r="H234" s="85"/>
      <c r="I234" s="88"/>
      <c r="J234" s="85"/>
      <c r="K234" s="85"/>
      <c r="L234" s="87"/>
      <c r="M234" s="88"/>
      <c r="N234" s="87"/>
    </row>
    <row r="235" spans="1:14" x14ac:dyDescent="0.3">
      <c r="A235" s="64">
        <v>1</v>
      </c>
      <c r="B235" s="64" t="s">
        <v>1606</v>
      </c>
      <c r="C235" s="64" t="s">
        <v>1607</v>
      </c>
      <c r="D235" s="209">
        <v>12</v>
      </c>
      <c r="E235" s="209">
        <v>160</v>
      </c>
      <c r="F235" s="66">
        <f>1</f>
        <v>1</v>
      </c>
      <c r="G235" s="65">
        <f>'04a_Box_Dims'!$AE36</f>
        <v>10</v>
      </c>
      <c r="H235" s="66">
        <f t="shared" ref="H235:H248" si="71">IF($G235="",$F235,$F235*(FLOOR($G235*1000/$E235,1)+1))</f>
        <v>63</v>
      </c>
      <c r="I235" s="65">
        <f>'04a_Box_Dims'!$K36</f>
        <v>4</v>
      </c>
      <c r="J235" s="66">
        <f>2*BX_hook</f>
        <v>600</v>
      </c>
      <c r="K235" s="66">
        <f t="shared" ref="K235:K248" si="72">ROUND($I235*1000+$J235,0)</f>
        <v>4600</v>
      </c>
      <c r="L235" s="86">
        <f t="shared" ref="L235:L248" si="73">$H235*$K235/1000</f>
        <v>289.8</v>
      </c>
      <c r="M235" s="65">
        <f t="shared" ref="M235:M248" si="74">PI()/4*($D235/1000)^2*BX_rho</f>
        <v>0.88781408390447547</v>
      </c>
      <c r="N235" s="86">
        <f t="shared" ref="N235:N248" si="75">$L235*$M235</f>
        <v>257.288521515517</v>
      </c>
    </row>
    <row r="236" spans="1:14" x14ac:dyDescent="0.3">
      <c r="A236" s="64">
        <v>2</v>
      </c>
      <c r="B236" s="64" t="s">
        <v>1608</v>
      </c>
      <c r="C236" s="64" t="s">
        <v>1607</v>
      </c>
      <c r="D236" s="209">
        <v>12</v>
      </c>
      <c r="E236" s="209">
        <v>120</v>
      </c>
      <c r="F236" s="66">
        <f>1</f>
        <v>1</v>
      </c>
      <c r="G236" s="65">
        <f>'04a_Box_Dims'!$AE36</f>
        <v>10</v>
      </c>
      <c r="H236" s="66">
        <f t="shared" si="71"/>
        <v>84</v>
      </c>
      <c r="I236" s="65">
        <f>'04a_Box_Dims'!$K36</f>
        <v>4</v>
      </c>
      <c r="J236" s="66">
        <f>2*BX_hook</f>
        <v>600</v>
      </c>
      <c r="K236" s="66">
        <f t="shared" si="72"/>
        <v>4600</v>
      </c>
      <c r="L236" s="86">
        <f t="shared" si="73"/>
        <v>386.4</v>
      </c>
      <c r="M236" s="65">
        <f t="shared" si="74"/>
        <v>0.88781408390447547</v>
      </c>
      <c r="N236" s="86">
        <f t="shared" si="75"/>
        <v>343.05136202068928</v>
      </c>
    </row>
    <row r="237" spans="1:14" x14ac:dyDescent="0.3">
      <c r="A237" s="64">
        <v>3</v>
      </c>
      <c r="B237" s="64" t="s">
        <v>1609</v>
      </c>
      <c r="C237" s="64" t="s">
        <v>1607</v>
      </c>
      <c r="D237" s="209">
        <v>12</v>
      </c>
      <c r="E237" s="209">
        <v>130</v>
      </c>
      <c r="F237" s="66">
        <f>1</f>
        <v>1</v>
      </c>
      <c r="G237" s="65">
        <f>'04a_Box_Dims'!$AE36</f>
        <v>10</v>
      </c>
      <c r="H237" s="66">
        <f t="shared" si="71"/>
        <v>77</v>
      </c>
      <c r="I237" s="65">
        <f>'04a_Box_Dims'!$K36</f>
        <v>4</v>
      </c>
      <c r="J237" s="66">
        <f>2*BX_hook</f>
        <v>600</v>
      </c>
      <c r="K237" s="66">
        <f t="shared" si="72"/>
        <v>4600</v>
      </c>
      <c r="L237" s="86">
        <f t="shared" si="73"/>
        <v>354.2</v>
      </c>
      <c r="M237" s="65">
        <f t="shared" si="74"/>
        <v>0.88781408390447547</v>
      </c>
      <c r="N237" s="86">
        <f t="shared" si="75"/>
        <v>314.46374851896519</v>
      </c>
    </row>
    <row r="238" spans="1:14" x14ac:dyDescent="0.3">
      <c r="A238" s="64">
        <v>4</v>
      </c>
      <c r="B238" s="64" t="s">
        <v>1610</v>
      </c>
      <c r="C238" s="64" t="s">
        <v>1607</v>
      </c>
      <c r="D238" s="209">
        <v>12</v>
      </c>
      <c r="E238" s="209">
        <v>125</v>
      </c>
      <c r="F238" s="66">
        <f>1</f>
        <v>1</v>
      </c>
      <c r="G238" s="65">
        <f>'04a_Box_Dims'!$AE36</f>
        <v>10</v>
      </c>
      <c r="H238" s="66">
        <f t="shared" si="71"/>
        <v>81</v>
      </c>
      <c r="I238" s="65">
        <f>'04a_Box_Dims'!$K36</f>
        <v>4</v>
      </c>
      <c r="J238" s="66">
        <f>2*BX_hook</f>
        <v>600</v>
      </c>
      <c r="K238" s="66">
        <f t="shared" si="72"/>
        <v>4600</v>
      </c>
      <c r="L238" s="86">
        <f t="shared" si="73"/>
        <v>372.6</v>
      </c>
      <c r="M238" s="65">
        <f t="shared" si="74"/>
        <v>0.88781408390447547</v>
      </c>
      <c r="N238" s="86">
        <f t="shared" si="75"/>
        <v>330.79952766280758</v>
      </c>
    </row>
    <row r="239" spans="1:14" x14ac:dyDescent="0.3">
      <c r="A239" s="64">
        <v>5</v>
      </c>
      <c r="B239" s="64" t="s">
        <v>1611</v>
      </c>
      <c r="C239" s="64" t="s">
        <v>1607</v>
      </c>
      <c r="D239" s="209">
        <v>10</v>
      </c>
      <c r="E239" s="209">
        <v>110</v>
      </c>
      <c r="F239" s="66">
        <f>2</f>
        <v>2</v>
      </c>
      <c r="G239" s="65">
        <f>'04a_Box_Dims'!$K36</f>
        <v>4</v>
      </c>
      <c r="H239" s="66">
        <f t="shared" si="71"/>
        <v>74</v>
      </c>
      <c r="I239" s="65">
        <f>'04a_Box_Dims'!$AE36</f>
        <v>10</v>
      </c>
      <c r="J239" s="66">
        <f>0</f>
        <v>0</v>
      </c>
      <c r="K239" s="66">
        <f t="shared" si="72"/>
        <v>10000</v>
      </c>
      <c r="L239" s="86">
        <f t="shared" si="73"/>
        <v>740</v>
      </c>
      <c r="M239" s="65">
        <f t="shared" si="74"/>
        <v>0.61653755826699685</v>
      </c>
      <c r="N239" s="86">
        <f t="shared" si="75"/>
        <v>456.23779311757767</v>
      </c>
    </row>
    <row r="240" spans="1:14" x14ac:dyDescent="0.3">
      <c r="A240" s="64">
        <v>6</v>
      </c>
      <c r="B240" s="64" t="s">
        <v>1612</v>
      </c>
      <c r="C240" s="64" t="s">
        <v>1613</v>
      </c>
      <c r="D240" s="209">
        <v>12</v>
      </c>
      <c r="E240" s="209">
        <v>120</v>
      </c>
      <c r="F240" s="66">
        <f>4</f>
        <v>4</v>
      </c>
      <c r="G240" s="65">
        <f>'04a_Box_Dims'!$AE36</f>
        <v>10</v>
      </c>
      <c r="H240" s="66">
        <f t="shared" si="71"/>
        <v>336</v>
      </c>
      <c r="I240" s="65">
        <f>'04a_Box_Dims'!$M36</f>
        <v>4.3499999999999996</v>
      </c>
      <c r="J240" s="66">
        <f>2*BX_hook</f>
        <v>600</v>
      </c>
      <c r="K240" s="66">
        <f t="shared" si="72"/>
        <v>4950</v>
      </c>
      <c r="L240" s="86">
        <f t="shared" si="73"/>
        <v>1663.2</v>
      </c>
      <c r="M240" s="65">
        <f t="shared" si="74"/>
        <v>0.88781408390447547</v>
      </c>
      <c r="N240" s="86">
        <f t="shared" si="75"/>
        <v>1476.6123843499236</v>
      </c>
    </row>
    <row r="241" spans="1:14" x14ac:dyDescent="0.3">
      <c r="A241" s="64">
        <v>7</v>
      </c>
      <c r="B241" s="64" t="s">
        <v>1614</v>
      </c>
      <c r="C241" s="64" t="s">
        <v>1613</v>
      </c>
      <c r="D241" s="209">
        <v>12</v>
      </c>
      <c r="E241" s="209">
        <v>120</v>
      </c>
      <c r="F241" s="66">
        <f>2*('04a_Box_Dims'!$C36)-2</f>
        <v>0</v>
      </c>
      <c r="G241" s="65">
        <f>'04a_Box_Dims'!$AE36</f>
        <v>10</v>
      </c>
      <c r="H241" s="66">
        <f t="shared" si="71"/>
        <v>0</v>
      </c>
      <c r="I241" s="65">
        <f>'04a_Box_Dims'!$M36</f>
        <v>4.3499999999999996</v>
      </c>
      <c r="J241" s="66">
        <f>2*BX_hook</f>
        <v>600</v>
      </c>
      <c r="K241" s="66">
        <f t="shared" si="72"/>
        <v>4950</v>
      </c>
      <c r="L241" s="86">
        <f t="shared" si="73"/>
        <v>0</v>
      </c>
      <c r="M241" s="65">
        <f t="shared" si="74"/>
        <v>0.88781408390447547</v>
      </c>
      <c r="N241" s="86">
        <f t="shared" si="75"/>
        <v>0</v>
      </c>
    </row>
    <row r="242" spans="1:14" x14ac:dyDescent="0.3">
      <c r="A242" s="64">
        <v>8</v>
      </c>
      <c r="B242" s="64" t="s">
        <v>1615</v>
      </c>
      <c r="C242" s="64" t="s">
        <v>1607</v>
      </c>
      <c r="D242" s="209">
        <v>10</v>
      </c>
      <c r="E242" s="209">
        <v>110</v>
      </c>
      <c r="F242" s="66">
        <f>('04a_Box_Dims'!$C36+1)*2</f>
        <v>4</v>
      </c>
      <c r="G242" s="65">
        <f>'04a_Box_Dims'!$M36</f>
        <v>4.3499999999999996</v>
      </c>
      <c r="H242" s="66">
        <f t="shared" si="71"/>
        <v>160</v>
      </c>
      <c r="I242" s="65">
        <f>'04a_Box_Dims'!$AE36</f>
        <v>10</v>
      </c>
      <c r="J242" s="66">
        <f>0</f>
        <v>0</v>
      </c>
      <c r="K242" s="66">
        <f t="shared" si="72"/>
        <v>10000</v>
      </c>
      <c r="L242" s="86">
        <f t="shared" si="73"/>
        <v>1600</v>
      </c>
      <c r="M242" s="65">
        <f t="shared" si="74"/>
        <v>0.61653755826699685</v>
      </c>
      <c r="N242" s="86">
        <f t="shared" si="75"/>
        <v>986.46009322719499</v>
      </c>
    </row>
    <row r="243" spans="1:14" x14ac:dyDescent="0.3">
      <c r="A243" s="64">
        <v>9</v>
      </c>
      <c r="B243" s="64" t="s">
        <v>1616</v>
      </c>
      <c r="C243" s="64" t="s">
        <v>1617</v>
      </c>
      <c r="D243" s="209">
        <v>12</v>
      </c>
      <c r="E243" s="209">
        <v>2</v>
      </c>
      <c r="F243" s="66">
        <f>4*('04a_Box_Dims'!$C36)*$E243</f>
        <v>8</v>
      </c>
      <c r="G243" s="65"/>
      <c r="H243" s="66">
        <f t="shared" si="71"/>
        <v>8</v>
      </c>
      <c r="I243" s="65">
        <f>'04a_Box_Dims'!$AE36</f>
        <v>10</v>
      </c>
      <c r="J243" s="66">
        <f>0</f>
        <v>0</v>
      </c>
      <c r="K243" s="66">
        <f t="shared" si="72"/>
        <v>10000</v>
      </c>
      <c r="L243" s="86">
        <f t="shared" si="73"/>
        <v>80</v>
      </c>
      <c r="M243" s="65">
        <f t="shared" si="74"/>
        <v>0.88781408390447547</v>
      </c>
      <c r="N243" s="86">
        <f t="shared" si="75"/>
        <v>71.025126712358031</v>
      </c>
    </row>
    <row r="244" spans="1:14" x14ac:dyDescent="0.3">
      <c r="A244" s="64">
        <v>10</v>
      </c>
      <c r="B244" s="64" t="s">
        <v>1618</v>
      </c>
      <c r="C244" s="64" t="s">
        <v>1619</v>
      </c>
      <c r="D244" s="209">
        <v>25</v>
      </c>
      <c r="E244" s="209">
        <v>145</v>
      </c>
      <c r="F244" s="66">
        <f>4</f>
        <v>4</v>
      </c>
      <c r="G244" s="65">
        <f>'04a_Box_Dims'!$Z36</f>
        <v>2.1213203435596424</v>
      </c>
      <c r="H244" s="66">
        <f t="shared" si="71"/>
        <v>60</v>
      </c>
      <c r="I244" s="65">
        <f>'04a_Box_Dims'!$W36</f>
        <v>5.8999999999999995</v>
      </c>
      <c r="J244" s="66">
        <f>BX_wwbend</f>
        <v>900</v>
      </c>
      <c r="K244" s="66">
        <f t="shared" si="72"/>
        <v>6800</v>
      </c>
      <c r="L244" s="86">
        <f t="shared" si="73"/>
        <v>408</v>
      </c>
      <c r="M244" s="65">
        <f t="shared" si="74"/>
        <v>3.8533597391687309</v>
      </c>
      <c r="N244" s="86">
        <f t="shared" si="75"/>
        <v>1572.1707735808423</v>
      </c>
    </row>
    <row r="245" spans="1:14" x14ac:dyDescent="0.3">
      <c r="A245" s="64">
        <v>11</v>
      </c>
      <c r="B245" s="64" t="s">
        <v>1620</v>
      </c>
      <c r="C245" s="64" t="s">
        <v>1607</v>
      </c>
      <c r="D245" s="209">
        <v>12</v>
      </c>
      <c r="E245" s="209">
        <v>115</v>
      </c>
      <c r="F245" s="66">
        <f>8</f>
        <v>8</v>
      </c>
      <c r="G245" s="65">
        <f>'04a_Box_Dims'!$W36</f>
        <v>5.8999999999999995</v>
      </c>
      <c r="H245" s="66">
        <f t="shared" si="71"/>
        <v>416</v>
      </c>
      <c r="I245" s="65">
        <f>'04a_Box_Dims'!$Z36</f>
        <v>2.1213203435596424</v>
      </c>
      <c r="J245" s="66">
        <f>0</f>
        <v>0</v>
      </c>
      <c r="K245" s="66">
        <f t="shared" si="72"/>
        <v>2121</v>
      </c>
      <c r="L245" s="86">
        <f t="shared" si="73"/>
        <v>882.33600000000001</v>
      </c>
      <c r="M245" s="65">
        <f t="shared" si="74"/>
        <v>0.88781408390447547</v>
      </c>
      <c r="N245" s="86">
        <f t="shared" si="75"/>
        <v>783.3503275359393</v>
      </c>
    </row>
    <row r="246" spans="1:14" x14ac:dyDescent="0.3">
      <c r="A246" s="64">
        <v>12</v>
      </c>
      <c r="B246" s="64" t="s">
        <v>1621</v>
      </c>
      <c r="C246" s="64" t="s">
        <v>1622</v>
      </c>
      <c r="D246" s="83">
        <v>12</v>
      </c>
      <c r="E246" s="83">
        <v>200</v>
      </c>
      <c r="F246" s="66">
        <f>4</f>
        <v>4</v>
      </c>
      <c r="G246" s="65">
        <f>'04a_Box_Dims'!$J36</f>
        <v>4.7</v>
      </c>
      <c r="H246" s="66">
        <f t="shared" si="71"/>
        <v>96</v>
      </c>
      <c r="I246" s="65">
        <f>'04a_Box_Dims'!$J36</f>
        <v>4.7</v>
      </c>
      <c r="J246" s="66">
        <f>2*BX_hook</f>
        <v>600</v>
      </c>
      <c r="K246" s="66">
        <f t="shared" si="72"/>
        <v>5300</v>
      </c>
      <c r="L246" s="86">
        <f t="shared" si="73"/>
        <v>508.8</v>
      </c>
      <c r="M246" s="65">
        <f t="shared" si="74"/>
        <v>0.88781408390447547</v>
      </c>
      <c r="N246" s="86">
        <f t="shared" si="75"/>
        <v>451.71980589059712</v>
      </c>
    </row>
    <row r="247" spans="1:14" x14ac:dyDescent="0.3">
      <c r="A247" s="64">
        <v>13</v>
      </c>
      <c r="B247" s="64" t="s">
        <v>1623</v>
      </c>
      <c r="C247" s="64" t="s">
        <v>1607</v>
      </c>
      <c r="D247" s="209">
        <v>12</v>
      </c>
      <c r="E247" s="209">
        <v>160</v>
      </c>
      <c r="F247" s="66">
        <f>4</f>
        <v>4</v>
      </c>
      <c r="G247" s="65">
        <f>'04a_Box_Dims'!$J36</f>
        <v>4.7</v>
      </c>
      <c r="H247" s="66">
        <f t="shared" si="71"/>
        <v>120</v>
      </c>
      <c r="I247" s="65">
        <f>'04a_Box_Dims'!$J36</f>
        <v>4.7</v>
      </c>
      <c r="J247" s="66">
        <f>0</f>
        <v>0</v>
      </c>
      <c r="K247" s="66">
        <f t="shared" si="72"/>
        <v>4700</v>
      </c>
      <c r="L247" s="86">
        <f t="shared" si="73"/>
        <v>564</v>
      </c>
      <c r="M247" s="65">
        <f t="shared" si="74"/>
        <v>0.88781408390447547</v>
      </c>
      <c r="N247" s="86">
        <f t="shared" si="75"/>
        <v>500.72714332212416</v>
      </c>
    </row>
    <row r="248" spans="1:14" x14ac:dyDescent="0.3">
      <c r="A248" s="64">
        <v>14</v>
      </c>
      <c r="B248" s="64" t="s">
        <v>1624</v>
      </c>
      <c r="C248" s="64" t="s">
        <v>1613</v>
      </c>
      <c r="D248" s="83">
        <v>12</v>
      </c>
      <c r="E248" s="83">
        <v>3</v>
      </c>
      <c r="F248" s="66">
        <f>2*$E248</f>
        <v>6</v>
      </c>
      <c r="G248" s="65"/>
      <c r="H248" s="66">
        <f t="shared" si="71"/>
        <v>6</v>
      </c>
      <c r="I248" s="65">
        <f>'04a_Box_Dims'!$R36</f>
        <v>4.7</v>
      </c>
      <c r="J248" s="66">
        <f>0</f>
        <v>0</v>
      </c>
      <c r="K248" s="66">
        <f t="shared" si="72"/>
        <v>4700</v>
      </c>
      <c r="L248" s="86">
        <f t="shared" si="73"/>
        <v>28.2</v>
      </c>
      <c r="M248" s="65">
        <f t="shared" si="74"/>
        <v>0.88781408390447547</v>
      </c>
      <c r="N248" s="86">
        <f t="shared" si="75"/>
        <v>25.036357166106207</v>
      </c>
    </row>
    <row r="249" spans="1:14" x14ac:dyDescent="0.3">
      <c r="A249" s="64"/>
      <c r="B249" s="64"/>
      <c r="C249" s="64"/>
      <c r="D249" s="64"/>
      <c r="E249" s="64"/>
      <c r="F249" s="64"/>
      <c r="G249" s="64"/>
      <c r="H249" s="64"/>
      <c r="I249" s="64"/>
      <c r="J249" s="64"/>
      <c r="K249" s="64"/>
      <c r="L249" s="64"/>
      <c r="M249" s="64"/>
      <c r="N249" s="64"/>
    </row>
    <row r="250" spans="1:14" x14ac:dyDescent="0.3">
      <c r="A250" s="80" t="str">
        <f>'04a_Box_Dims'!$A37&amp;"   ("&amp;'04a_Box_Dims'!$B37&amp;")   —   No. on project: "&amp;'04a_Box_Dims'!$F37&amp;",  L used = "&amp;TEXT('04a_Box_Dims'!$AE37,"0.00")&amp;" m"</f>
        <v>2/4x4 box culvert   (BC|2/4x4)   —   No. on project: 0,  L used = 10.00 m</v>
      </c>
      <c r="B250" s="80"/>
      <c r="C250" s="80"/>
      <c r="D250" s="84"/>
      <c r="E250" s="84"/>
      <c r="F250" s="85"/>
      <c r="G250" s="88"/>
      <c r="H250" s="85"/>
      <c r="I250" s="88"/>
      <c r="J250" s="85"/>
      <c r="K250" s="85"/>
      <c r="L250" s="87"/>
      <c r="M250" s="88"/>
      <c r="N250" s="87"/>
    </row>
    <row r="251" spans="1:14" x14ac:dyDescent="0.3">
      <c r="A251" s="64">
        <v>1</v>
      </c>
      <c r="B251" s="64" t="s">
        <v>1606</v>
      </c>
      <c r="C251" s="64" t="s">
        <v>1607</v>
      </c>
      <c r="D251" s="209">
        <v>12</v>
      </c>
      <c r="E251" s="209">
        <v>160</v>
      </c>
      <c r="F251" s="66">
        <f>1</f>
        <v>1</v>
      </c>
      <c r="G251" s="65">
        <f>'04a_Box_Dims'!$AE37</f>
        <v>10</v>
      </c>
      <c r="H251" s="66">
        <f t="shared" ref="H251:H264" si="76">IF($G251="",$F251,$F251*(FLOOR($G251*1000/$E251,1)+1))</f>
        <v>63</v>
      </c>
      <c r="I251" s="65">
        <f>'04a_Box_Dims'!$K37</f>
        <v>8.35</v>
      </c>
      <c r="J251" s="66">
        <f>2*BX_hook</f>
        <v>600</v>
      </c>
      <c r="K251" s="66">
        <f t="shared" ref="K251:K264" si="77">ROUND($I251*1000+$J251,0)</f>
        <v>8950</v>
      </c>
      <c r="L251" s="86">
        <f t="shared" ref="L251:L264" si="78">$H251*$K251/1000</f>
        <v>563.85</v>
      </c>
      <c r="M251" s="65">
        <f t="shared" ref="M251:M264" si="79">PI()/4*($D251/1000)^2*BX_rho</f>
        <v>0.88781408390447547</v>
      </c>
      <c r="N251" s="86">
        <f t="shared" ref="N251:N264" si="80">$L251*$M251</f>
        <v>500.59397120953849</v>
      </c>
    </row>
    <row r="252" spans="1:14" x14ac:dyDescent="0.3">
      <c r="A252" s="64">
        <v>2</v>
      </c>
      <c r="B252" s="64" t="s">
        <v>1608</v>
      </c>
      <c r="C252" s="64" t="s">
        <v>1607</v>
      </c>
      <c r="D252" s="209">
        <v>12</v>
      </c>
      <c r="E252" s="209">
        <v>100</v>
      </c>
      <c r="F252" s="66">
        <f>1</f>
        <v>1</v>
      </c>
      <c r="G252" s="65">
        <f>'04a_Box_Dims'!$AE37</f>
        <v>10</v>
      </c>
      <c r="H252" s="66">
        <f t="shared" si="76"/>
        <v>101</v>
      </c>
      <c r="I252" s="65">
        <f>'04a_Box_Dims'!$K37</f>
        <v>8.35</v>
      </c>
      <c r="J252" s="66">
        <f>2*BX_hook</f>
        <v>600</v>
      </c>
      <c r="K252" s="66">
        <f t="shared" si="77"/>
        <v>8950</v>
      </c>
      <c r="L252" s="86">
        <f t="shared" si="78"/>
        <v>903.95</v>
      </c>
      <c r="M252" s="65">
        <f t="shared" si="79"/>
        <v>0.88781408390447547</v>
      </c>
      <c r="N252" s="86">
        <f t="shared" si="80"/>
        <v>802.5395411454507</v>
      </c>
    </row>
    <row r="253" spans="1:14" x14ac:dyDescent="0.3">
      <c r="A253" s="64">
        <v>3</v>
      </c>
      <c r="B253" s="64" t="s">
        <v>1609</v>
      </c>
      <c r="C253" s="64" t="s">
        <v>1607</v>
      </c>
      <c r="D253" s="209">
        <v>16</v>
      </c>
      <c r="E253" s="209">
        <v>135</v>
      </c>
      <c r="F253" s="66">
        <f>1</f>
        <v>1</v>
      </c>
      <c r="G253" s="65">
        <f>'04a_Box_Dims'!$AE37</f>
        <v>10</v>
      </c>
      <c r="H253" s="66">
        <f t="shared" si="76"/>
        <v>75</v>
      </c>
      <c r="I253" s="65">
        <f>'04a_Box_Dims'!$K37</f>
        <v>8.35</v>
      </c>
      <c r="J253" s="66">
        <f>2*BX_hook</f>
        <v>600</v>
      </c>
      <c r="K253" s="66">
        <f t="shared" si="77"/>
        <v>8950</v>
      </c>
      <c r="L253" s="86">
        <f t="shared" si="78"/>
        <v>671.25</v>
      </c>
      <c r="M253" s="65">
        <f t="shared" si="79"/>
        <v>1.5783361491635119</v>
      </c>
      <c r="N253" s="86">
        <f t="shared" si="80"/>
        <v>1059.4581401260075</v>
      </c>
    </row>
    <row r="254" spans="1:14" x14ac:dyDescent="0.3">
      <c r="A254" s="64">
        <v>4</v>
      </c>
      <c r="B254" s="64" t="s">
        <v>1610</v>
      </c>
      <c r="C254" s="64" t="s">
        <v>1607</v>
      </c>
      <c r="D254" s="209">
        <v>12</v>
      </c>
      <c r="E254" s="209">
        <v>135</v>
      </c>
      <c r="F254" s="66">
        <f>1</f>
        <v>1</v>
      </c>
      <c r="G254" s="65">
        <f>'04a_Box_Dims'!$AE37</f>
        <v>10</v>
      </c>
      <c r="H254" s="66">
        <f t="shared" si="76"/>
        <v>75</v>
      </c>
      <c r="I254" s="65">
        <f>'04a_Box_Dims'!$K37</f>
        <v>8.35</v>
      </c>
      <c r="J254" s="66">
        <f>2*BX_hook</f>
        <v>600</v>
      </c>
      <c r="K254" s="66">
        <f t="shared" si="77"/>
        <v>8950</v>
      </c>
      <c r="L254" s="86">
        <f t="shared" si="78"/>
        <v>671.25</v>
      </c>
      <c r="M254" s="65">
        <f t="shared" si="79"/>
        <v>0.88781408390447547</v>
      </c>
      <c r="N254" s="86">
        <f t="shared" si="80"/>
        <v>595.94520382087921</v>
      </c>
    </row>
    <row r="255" spans="1:14" x14ac:dyDescent="0.3">
      <c r="A255" s="64">
        <v>5</v>
      </c>
      <c r="B255" s="64" t="s">
        <v>1611</v>
      </c>
      <c r="C255" s="64" t="s">
        <v>1607</v>
      </c>
      <c r="D255" s="209">
        <v>10</v>
      </c>
      <c r="E255" s="209">
        <v>110</v>
      </c>
      <c r="F255" s="66">
        <f>2</f>
        <v>2</v>
      </c>
      <c r="G255" s="65">
        <f>'04a_Box_Dims'!$K37</f>
        <v>8.35</v>
      </c>
      <c r="H255" s="66">
        <f t="shared" si="76"/>
        <v>152</v>
      </c>
      <c r="I255" s="65">
        <f>'04a_Box_Dims'!$AE37</f>
        <v>10</v>
      </c>
      <c r="J255" s="66">
        <f>0</f>
        <v>0</v>
      </c>
      <c r="K255" s="66">
        <f t="shared" si="77"/>
        <v>10000</v>
      </c>
      <c r="L255" s="86">
        <f t="shared" si="78"/>
        <v>1520</v>
      </c>
      <c r="M255" s="65">
        <f t="shared" si="79"/>
        <v>0.61653755826699685</v>
      </c>
      <c r="N255" s="86">
        <f t="shared" si="80"/>
        <v>937.13708856583526</v>
      </c>
    </row>
    <row r="256" spans="1:14" x14ac:dyDescent="0.3">
      <c r="A256" s="64">
        <v>6</v>
      </c>
      <c r="B256" s="64" t="s">
        <v>1612</v>
      </c>
      <c r="C256" s="64" t="s">
        <v>1613</v>
      </c>
      <c r="D256" s="209">
        <v>12</v>
      </c>
      <c r="E256" s="209">
        <v>100</v>
      </c>
      <c r="F256" s="66">
        <f>4</f>
        <v>4</v>
      </c>
      <c r="G256" s="65">
        <f>'04a_Box_Dims'!$AE37</f>
        <v>10</v>
      </c>
      <c r="H256" s="66">
        <f t="shared" si="76"/>
        <v>404</v>
      </c>
      <c r="I256" s="65">
        <f>'04a_Box_Dims'!$M37</f>
        <v>4.3499999999999996</v>
      </c>
      <c r="J256" s="66">
        <f>2*BX_hook</f>
        <v>600</v>
      </c>
      <c r="K256" s="66">
        <f t="shared" si="77"/>
        <v>4950</v>
      </c>
      <c r="L256" s="86">
        <f t="shared" si="78"/>
        <v>1999.8</v>
      </c>
      <c r="M256" s="65">
        <f t="shared" si="79"/>
        <v>0.88781408390447547</v>
      </c>
      <c r="N256" s="86">
        <f t="shared" si="80"/>
        <v>1775.4506049921699</v>
      </c>
    </row>
    <row r="257" spans="1:14" x14ac:dyDescent="0.3">
      <c r="A257" s="64">
        <v>7</v>
      </c>
      <c r="B257" s="64" t="s">
        <v>1614</v>
      </c>
      <c r="C257" s="64" t="s">
        <v>1613</v>
      </c>
      <c r="D257" s="209">
        <v>12</v>
      </c>
      <c r="E257" s="209">
        <v>100</v>
      </c>
      <c r="F257" s="66">
        <f>2*('04a_Box_Dims'!$C37)-2</f>
        <v>2</v>
      </c>
      <c r="G257" s="65">
        <f>'04a_Box_Dims'!$AE37</f>
        <v>10</v>
      </c>
      <c r="H257" s="66">
        <f t="shared" si="76"/>
        <v>202</v>
      </c>
      <c r="I257" s="65">
        <f>'04a_Box_Dims'!$M37</f>
        <v>4.3499999999999996</v>
      </c>
      <c r="J257" s="66">
        <f>2*BX_hook</f>
        <v>600</v>
      </c>
      <c r="K257" s="66">
        <f t="shared" si="77"/>
        <v>4950</v>
      </c>
      <c r="L257" s="86">
        <f t="shared" si="78"/>
        <v>999.9</v>
      </c>
      <c r="M257" s="65">
        <f t="shared" si="79"/>
        <v>0.88781408390447547</v>
      </c>
      <c r="N257" s="86">
        <f t="shared" si="80"/>
        <v>887.72530249608496</v>
      </c>
    </row>
    <row r="258" spans="1:14" x14ac:dyDescent="0.3">
      <c r="A258" s="64">
        <v>8</v>
      </c>
      <c r="B258" s="64" t="s">
        <v>1615</v>
      </c>
      <c r="C258" s="64" t="s">
        <v>1607</v>
      </c>
      <c r="D258" s="209">
        <v>10</v>
      </c>
      <c r="E258" s="209">
        <v>110</v>
      </c>
      <c r="F258" s="66">
        <f>('04a_Box_Dims'!$C37+1)*2</f>
        <v>6</v>
      </c>
      <c r="G258" s="65">
        <f>'04a_Box_Dims'!$M37</f>
        <v>4.3499999999999996</v>
      </c>
      <c r="H258" s="66">
        <f t="shared" si="76"/>
        <v>240</v>
      </c>
      <c r="I258" s="65">
        <f>'04a_Box_Dims'!$AE37</f>
        <v>10</v>
      </c>
      <c r="J258" s="66">
        <f>0</f>
        <v>0</v>
      </c>
      <c r="K258" s="66">
        <f t="shared" si="77"/>
        <v>10000</v>
      </c>
      <c r="L258" s="86">
        <f t="shared" si="78"/>
        <v>2400</v>
      </c>
      <c r="M258" s="65">
        <f t="shared" si="79"/>
        <v>0.61653755826699685</v>
      </c>
      <c r="N258" s="86">
        <f t="shared" si="80"/>
        <v>1479.6901398407924</v>
      </c>
    </row>
    <row r="259" spans="1:14" x14ac:dyDescent="0.3">
      <c r="A259" s="64">
        <v>9</v>
      </c>
      <c r="B259" s="64" t="s">
        <v>1616</v>
      </c>
      <c r="C259" s="64" t="s">
        <v>1617</v>
      </c>
      <c r="D259" s="209">
        <v>12</v>
      </c>
      <c r="E259" s="209">
        <v>2</v>
      </c>
      <c r="F259" s="66">
        <f>4*('04a_Box_Dims'!$C37)*$E259</f>
        <v>16</v>
      </c>
      <c r="G259" s="65"/>
      <c r="H259" s="66">
        <f t="shared" si="76"/>
        <v>16</v>
      </c>
      <c r="I259" s="65">
        <f>'04a_Box_Dims'!$AE37</f>
        <v>10</v>
      </c>
      <c r="J259" s="66">
        <f>0</f>
        <v>0</v>
      </c>
      <c r="K259" s="66">
        <f t="shared" si="77"/>
        <v>10000</v>
      </c>
      <c r="L259" s="86">
        <f t="shared" si="78"/>
        <v>160</v>
      </c>
      <c r="M259" s="65">
        <f t="shared" si="79"/>
        <v>0.88781408390447547</v>
      </c>
      <c r="N259" s="86">
        <f t="shared" si="80"/>
        <v>142.05025342471606</v>
      </c>
    </row>
    <row r="260" spans="1:14" x14ac:dyDescent="0.3">
      <c r="A260" s="64">
        <v>10</v>
      </c>
      <c r="B260" s="64" t="s">
        <v>1618</v>
      </c>
      <c r="C260" s="64" t="s">
        <v>1619</v>
      </c>
      <c r="D260" s="209">
        <v>25</v>
      </c>
      <c r="E260" s="209">
        <v>145</v>
      </c>
      <c r="F260" s="66">
        <f>4</f>
        <v>4</v>
      </c>
      <c r="G260" s="65">
        <f>'04a_Box_Dims'!$Z37</f>
        <v>2.1213203435596424</v>
      </c>
      <c r="H260" s="66">
        <f t="shared" si="76"/>
        <v>60</v>
      </c>
      <c r="I260" s="65">
        <f>'04a_Box_Dims'!$W37</f>
        <v>5.8999999999999995</v>
      </c>
      <c r="J260" s="66">
        <f>BX_wwbend</f>
        <v>900</v>
      </c>
      <c r="K260" s="66">
        <f t="shared" si="77"/>
        <v>6800</v>
      </c>
      <c r="L260" s="86">
        <f t="shared" si="78"/>
        <v>408</v>
      </c>
      <c r="M260" s="65">
        <f t="shared" si="79"/>
        <v>3.8533597391687309</v>
      </c>
      <c r="N260" s="86">
        <f t="shared" si="80"/>
        <v>1572.1707735808423</v>
      </c>
    </row>
    <row r="261" spans="1:14" x14ac:dyDescent="0.3">
      <c r="A261" s="64">
        <v>11</v>
      </c>
      <c r="B261" s="64" t="s">
        <v>1620</v>
      </c>
      <c r="C261" s="64" t="s">
        <v>1607</v>
      </c>
      <c r="D261" s="209">
        <v>12</v>
      </c>
      <c r="E261" s="209">
        <v>115</v>
      </c>
      <c r="F261" s="66">
        <f>8</f>
        <v>8</v>
      </c>
      <c r="G261" s="65">
        <f>'04a_Box_Dims'!$W37</f>
        <v>5.8999999999999995</v>
      </c>
      <c r="H261" s="66">
        <f t="shared" si="76"/>
        <v>416</v>
      </c>
      <c r="I261" s="65">
        <f>'04a_Box_Dims'!$Z37</f>
        <v>2.1213203435596424</v>
      </c>
      <c r="J261" s="66">
        <f>0</f>
        <v>0</v>
      </c>
      <c r="K261" s="66">
        <f t="shared" si="77"/>
        <v>2121</v>
      </c>
      <c r="L261" s="86">
        <f t="shared" si="78"/>
        <v>882.33600000000001</v>
      </c>
      <c r="M261" s="65">
        <f t="shared" si="79"/>
        <v>0.88781408390447547</v>
      </c>
      <c r="N261" s="86">
        <f t="shared" si="80"/>
        <v>783.3503275359393</v>
      </c>
    </row>
    <row r="262" spans="1:14" x14ac:dyDescent="0.3">
      <c r="A262" s="64">
        <v>12</v>
      </c>
      <c r="B262" s="64" t="s">
        <v>1621</v>
      </c>
      <c r="C262" s="64" t="s">
        <v>1622</v>
      </c>
      <c r="D262" s="83">
        <v>12</v>
      </c>
      <c r="E262" s="83">
        <v>200</v>
      </c>
      <c r="F262" s="66">
        <f>4</f>
        <v>4</v>
      </c>
      <c r="G262" s="65">
        <f>'04a_Box_Dims'!$J37</f>
        <v>9.0500000000000007</v>
      </c>
      <c r="H262" s="66">
        <f t="shared" si="76"/>
        <v>184</v>
      </c>
      <c r="I262" s="65">
        <f>'04a_Box_Dims'!$J37</f>
        <v>9.0500000000000007</v>
      </c>
      <c r="J262" s="66">
        <f>2*BX_hook</f>
        <v>600</v>
      </c>
      <c r="K262" s="66">
        <f t="shared" si="77"/>
        <v>9650</v>
      </c>
      <c r="L262" s="86">
        <f t="shared" si="78"/>
        <v>1775.6</v>
      </c>
      <c r="M262" s="65">
        <f t="shared" si="79"/>
        <v>0.88781408390447547</v>
      </c>
      <c r="N262" s="86">
        <f t="shared" si="80"/>
        <v>1576.4026873807866</v>
      </c>
    </row>
    <row r="263" spans="1:14" x14ac:dyDescent="0.3">
      <c r="A263" s="64">
        <v>13</v>
      </c>
      <c r="B263" s="64" t="s">
        <v>1623</v>
      </c>
      <c r="C263" s="64" t="s">
        <v>1607</v>
      </c>
      <c r="D263" s="209">
        <v>12</v>
      </c>
      <c r="E263" s="209">
        <v>160</v>
      </c>
      <c r="F263" s="66">
        <f>4</f>
        <v>4</v>
      </c>
      <c r="G263" s="65">
        <f>'04a_Box_Dims'!$J37</f>
        <v>9.0500000000000007</v>
      </c>
      <c r="H263" s="66">
        <f t="shared" si="76"/>
        <v>228</v>
      </c>
      <c r="I263" s="65">
        <f>'04a_Box_Dims'!$J37</f>
        <v>9.0500000000000007</v>
      </c>
      <c r="J263" s="66">
        <f>0</f>
        <v>0</v>
      </c>
      <c r="K263" s="66">
        <f t="shared" si="77"/>
        <v>9050</v>
      </c>
      <c r="L263" s="86">
        <f t="shared" si="78"/>
        <v>2063.4</v>
      </c>
      <c r="M263" s="65">
        <f t="shared" si="79"/>
        <v>0.88781408390447547</v>
      </c>
      <c r="N263" s="86">
        <f t="shared" si="80"/>
        <v>1831.9155807284947</v>
      </c>
    </row>
    <row r="264" spans="1:14" x14ac:dyDescent="0.3">
      <c r="A264" s="64">
        <v>14</v>
      </c>
      <c r="B264" s="64" t="s">
        <v>1624</v>
      </c>
      <c r="C264" s="64" t="s">
        <v>1613</v>
      </c>
      <c r="D264" s="83">
        <v>12</v>
      </c>
      <c r="E264" s="83">
        <v>3</v>
      </c>
      <c r="F264" s="66">
        <f>2*$E264</f>
        <v>6</v>
      </c>
      <c r="G264" s="65"/>
      <c r="H264" s="66">
        <f t="shared" si="76"/>
        <v>6</v>
      </c>
      <c r="I264" s="65">
        <f>'04a_Box_Dims'!$R37</f>
        <v>9.0500000000000007</v>
      </c>
      <c r="J264" s="66">
        <f>0</f>
        <v>0</v>
      </c>
      <c r="K264" s="66">
        <f t="shared" si="77"/>
        <v>9050</v>
      </c>
      <c r="L264" s="86">
        <f t="shared" si="78"/>
        <v>54.3</v>
      </c>
      <c r="M264" s="65">
        <f t="shared" si="79"/>
        <v>0.88781408390447547</v>
      </c>
      <c r="N264" s="86">
        <f t="shared" si="80"/>
        <v>48.208304756013014</v>
      </c>
    </row>
    <row r="265" spans="1:14" x14ac:dyDescent="0.3">
      <c r="A265" s="64"/>
      <c r="B265" s="64"/>
      <c r="C265" s="64"/>
      <c r="D265" s="64"/>
      <c r="E265" s="64"/>
      <c r="F265" s="64"/>
      <c r="G265" s="64"/>
      <c r="H265" s="64"/>
      <c r="I265" s="64"/>
      <c r="J265" s="64"/>
      <c r="K265" s="64"/>
      <c r="L265" s="64"/>
      <c r="M265" s="64"/>
      <c r="N265" s="64"/>
    </row>
    <row r="266" spans="1:14" x14ac:dyDescent="0.3">
      <c r="A266" s="80" t="str">
        <f>'04a_Box_Dims'!$A38&amp;"   ("&amp;'04a_Box_Dims'!$B38&amp;")   —   No. on project: "&amp;'04a_Box_Dims'!$F38&amp;",  L used = "&amp;TEXT('04a_Box_Dims'!$AE38,"0.00")&amp;" m"</f>
        <v>3/4x4 box culvert   (BC|3/4x4)   —   No. on project: 0,  L used = 10.00 m</v>
      </c>
      <c r="B266" s="80"/>
      <c r="C266" s="80"/>
      <c r="D266" s="84"/>
      <c r="E266" s="84"/>
      <c r="F266" s="85"/>
      <c r="G266" s="88"/>
      <c r="H266" s="85"/>
      <c r="I266" s="88"/>
      <c r="J266" s="85"/>
      <c r="K266" s="85"/>
      <c r="L266" s="87"/>
      <c r="M266" s="88"/>
      <c r="N266" s="87"/>
    </row>
    <row r="267" spans="1:14" x14ac:dyDescent="0.3">
      <c r="A267" s="64">
        <v>1</v>
      </c>
      <c r="B267" s="64" t="s">
        <v>1606</v>
      </c>
      <c r="C267" s="64" t="s">
        <v>1607</v>
      </c>
      <c r="D267" s="209">
        <v>12</v>
      </c>
      <c r="E267" s="209">
        <v>160</v>
      </c>
      <c r="F267" s="66">
        <f>1</f>
        <v>1</v>
      </c>
      <c r="G267" s="65">
        <f>'04a_Box_Dims'!$AE38</f>
        <v>10</v>
      </c>
      <c r="H267" s="66">
        <f t="shared" ref="H267:H280" si="81">IF($G267="",$F267,$F267*(FLOOR($G267*1000/$E267,1)+1))</f>
        <v>63</v>
      </c>
      <c r="I267" s="65">
        <f>'04a_Box_Dims'!$K38</f>
        <v>12.7</v>
      </c>
      <c r="J267" s="66">
        <f>2*BX_hook</f>
        <v>600</v>
      </c>
      <c r="K267" s="66">
        <f t="shared" ref="K267:K280" si="82">ROUND($I267*1000+$J267,0)</f>
        <v>13300</v>
      </c>
      <c r="L267" s="86">
        <f t="shared" ref="L267:L280" si="83">$H267*$K267/1000</f>
        <v>837.9</v>
      </c>
      <c r="M267" s="65">
        <f t="shared" ref="M267:M280" si="84">PI()/4*($D267/1000)^2*BX_rho</f>
        <v>0.88781408390447547</v>
      </c>
      <c r="N267" s="86">
        <f t="shared" ref="N267:N280" si="85">$L267*$M267</f>
        <v>743.89942090355999</v>
      </c>
    </row>
    <row r="268" spans="1:14" x14ac:dyDescent="0.3">
      <c r="A268" s="64">
        <v>2</v>
      </c>
      <c r="B268" s="64" t="s">
        <v>1608</v>
      </c>
      <c r="C268" s="64" t="s">
        <v>1607</v>
      </c>
      <c r="D268" s="209">
        <v>16</v>
      </c>
      <c r="E268" s="209">
        <v>125</v>
      </c>
      <c r="F268" s="66">
        <f>1</f>
        <v>1</v>
      </c>
      <c r="G268" s="65">
        <f>'04a_Box_Dims'!$AE38</f>
        <v>10</v>
      </c>
      <c r="H268" s="66">
        <f t="shared" si="81"/>
        <v>81</v>
      </c>
      <c r="I268" s="65">
        <f>'04a_Box_Dims'!$K38</f>
        <v>12.7</v>
      </c>
      <c r="J268" s="66">
        <f>2*BX_hook</f>
        <v>600</v>
      </c>
      <c r="K268" s="66">
        <f t="shared" si="82"/>
        <v>13300</v>
      </c>
      <c r="L268" s="86">
        <f t="shared" si="83"/>
        <v>1077.3</v>
      </c>
      <c r="M268" s="65">
        <f t="shared" si="84"/>
        <v>1.5783361491635119</v>
      </c>
      <c r="N268" s="86">
        <f t="shared" si="85"/>
        <v>1700.3415334938513</v>
      </c>
    </row>
    <row r="269" spans="1:14" x14ac:dyDescent="0.3">
      <c r="A269" s="64">
        <v>3</v>
      </c>
      <c r="B269" s="64" t="s">
        <v>1609</v>
      </c>
      <c r="C269" s="64" t="s">
        <v>1607</v>
      </c>
      <c r="D269" s="209">
        <v>16</v>
      </c>
      <c r="E269" s="209">
        <v>120</v>
      </c>
      <c r="F269" s="66">
        <f>1</f>
        <v>1</v>
      </c>
      <c r="G269" s="65">
        <f>'04a_Box_Dims'!$AE38</f>
        <v>10</v>
      </c>
      <c r="H269" s="66">
        <f t="shared" si="81"/>
        <v>84</v>
      </c>
      <c r="I269" s="65">
        <f>'04a_Box_Dims'!$K38</f>
        <v>12.7</v>
      </c>
      <c r="J269" s="66">
        <f>2*BX_hook</f>
        <v>600</v>
      </c>
      <c r="K269" s="66">
        <f t="shared" si="82"/>
        <v>13300</v>
      </c>
      <c r="L269" s="86">
        <f t="shared" si="83"/>
        <v>1117.2</v>
      </c>
      <c r="M269" s="65">
        <f t="shared" si="84"/>
        <v>1.5783361491635119</v>
      </c>
      <c r="N269" s="86">
        <f t="shared" si="85"/>
        <v>1763.3171458454756</v>
      </c>
    </row>
    <row r="270" spans="1:14" x14ac:dyDescent="0.3">
      <c r="A270" s="64">
        <v>4</v>
      </c>
      <c r="B270" s="64" t="s">
        <v>1610</v>
      </c>
      <c r="C270" s="64" t="s">
        <v>1607</v>
      </c>
      <c r="D270" s="209">
        <v>12</v>
      </c>
      <c r="E270" s="209">
        <v>125</v>
      </c>
      <c r="F270" s="66">
        <f>1</f>
        <v>1</v>
      </c>
      <c r="G270" s="65">
        <f>'04a_Box_Dims'!$AE38</f>
        <v>10</v>
      </c>
      <c r="H270" s="66">
        <f t="shared" si="81"/>
        <v>81</v>
      </c>
      <c r="I270" s="65">
        <f>'04a_Box_Dims'!$K38</f>
        <v>12.7</v>
      </c>
      <c r="J270" s="66">
        <f>2*BX_hook</f>
        <v>600</v>
      </c>
      <c r="K270" s="66">
        <f t="shared" si="82"/>
        <v>13300</v>
      </c>
      <c r="L270" s="86">
        <f t="shared" si="83"/>
        <v>1077.3</v>
      </c>
      <c r="M270" s="65">
        <f t="shared" si="84"/>
        <v>0.88781408390447547</v>
      </c>
      <c r="N270" s="86">
        <f t="shared" si="85"/>
        <v>956.44211259029134</v>
      </c>
    </row>
    <row r="271" spans="1:14" x14ac:dyDescent="0.3">
      <c r="A271" s="64">
        <v>5</v>
      </c>
      <c r="B271" s="64" t="s">
        <v>1611</v>
      </c>
      <c r="C271" s="64" t="s">
        <v>1607</v>
      </c>
      <c r="D271" s="209">
        <v>10</v>
      </c>
      <c r="E271" s="209">
        <v>110</v>
      </c>
      <c r="F271" s="66">
        <f>2</f>
        <v>2</v>
      </c>
      <c r="G271" s="65">
        <f>'04a_Box_Dims'!$K38</f>
        <v>12.7</v>
      </c>
      <c r="H271" s="66">
        <f t="shared" si="81"/>
        <v>232</v>
      </c>
      <c r="I271" s="65">
        <f>'04a_Box_Dims'!$AE38</f>
        <v>10</v>
      </c>
      <c r="J271" s="66">
        <f>0</f>
        <v>0</v>
      </c>
      <c r="K271" s="66">
        <f t="shared" si="82"/>
        <v>10000</v>
      </c>
      <c r="L271" s="86">
        <f t="shared" si="83"/>
        <v>2320</v>
      </c>
      <c r="M271" s="65">
        <f t="shared" si="84"/>
        <v>0.61653755826699685</v>
      </c>
      <c r="N271" s="86">
        <f t="shared" si="85"/>
        <v>1430.3671351794328</v>
      </c>
    </row>
    <row r="272" spans="1:14" x14ac:dyDescent="0.3">
      <c r="A272" s="64">
        <v>6</v>
      </c>
      <c r="B272" s="64" t="s">
        <v>1612</v>
      </c>
      <c r="C272" s="64" t="s">
        <v>1613</v>
      </c>
      <c r="D272" s="209">
        <v>16</v>
      </c>
      <c r="E272" s="209">
        <v>145</v>
      </c>
      <c r="F272" s="66">
        <f>4</f>
        <v>4</v>
      </c>
      <c r="G272" s="65">
        <f>'04a_Box_Dims'!$AE38</f>
        <v>10</v>
      </c>
      <c r="H272" s="66">
        <f t="shared" si="81"/>
        <v>276</v>
      </c>
      <c r="I272" s="65">
        <f>'04a_Box_Dims'!$M38</f>
        <v>4.3499999999999996</v>
      </c>
      <c r="J272" s="66">
        <f>2*BX_hook</f>
        <v>600</v>
      </c>
      <c r="K272" s="66">
        <f t="shared" si="82"/>
        <v>4950</v>
      </c>
      <c r="L272" s="86">
        <f t="shared" si="83"/>
        <v>1366.2</v>
      </c>
      <c r="M272" s="65">
        <f t="shared" si="84"/>
        <v>1.5783361491635119</v>
      </c>
      <c r="N272" s="86">
        <f t="shared" si="85"/>
        <v>2156.3228469871901</v>
      </c>
    </row>
    <row r="273" spans="1:14" x14ac:dyDescent="0.3">
      <c r="A273" s="64">
        <v>7</v>
      </c>
      <c r="B273" s="64" t="s">
        <v>1614</v>
      </c>
      <c r="C273" s="64" t="s">
        <v>1613</v>
      </c>
      <c r="D273" s="209">
        <v>16</v>
      </c>
      <c r="E273" s="209">
        <v>145</v>
      </c>
      <c r="F273" s="66">
        <f>2*('04a_Box_Dims'!$C38)-2</f>
        <v>4</v>
      </c>
      <c r="G273" s="65">
        <f>'04a_Box_Dims'!$AE38</f>
        <v>10</v>
      </c>
      <c r="H273" s="66">
        <f t="shared" si="81"/>
        <v>276</v>
      </c>
      <c r="I273" s="65">
        <f>'04a_Box_Dims'!$M38</f>
        <v>4.3499999999999996</v>
      </c>
      <c r="J273" s="66">
        <f>2*BX_hook</f>
        <v>600</v>
      </c>
      <c r="K273" s="66">
        <f t="shared" si="82"/>
        <v>4950</v>
      </c>
      <c r="L273" s="86">
        <f t="shared" si="83"/>
        <v>1366.2</v>
      </c>
      <c r="M273" s="65">
        <f t="shared" si="84"/>
        <v>1.5783361491635119</v>
      </c>
      <c r="N273" s="86">
        <f t="shared" si="85"/>
        <v>2156.3228469871901</v>
      </c>
    </row>
    <row r="274" spans="1:14" x14ac:dyDescent="0.3">
      <c r="A274" s="64">
        <v>8</v>
      </c>
      <c r="B274" s="64" t="s">
        <v>1615</v>
      </c>
      <c r="C274" s="64" t="s">
        <v>1607</v>
      </c>
      <c r="D274" s="209">
        <v>10</v>
      </c>
      <c r="E274" s="209">
        <v>110</v>
      </c>
      <c r="F274" s="66">
        <f>('04a_Box_Dims'!$C38+1)*2</f>
        <v>8</v>
      </c>
      <c r="G274" s="65">
        <f>'04a_Box_Dims'!$M38</f>
        <v>4.3499999999999996</v>
      </c>
      <c r="H274" s="66">
        <f t="shared" si="81"/>
        <v>320</v>
      </c>
      <c r="I274" s="65">
        <f>'04a_Box_Dims'!$AE38</f>
        <v>10</v>
      </c>
      <c r="J274" s="66">
        <f>0</f>
        <v>0</v>
      </c>
      <c r="K274" s="66">
        <f t="shared" si="82"/>
        <v>10000</v>
      </c>
      <c r="L274" s="86">
        <f t="shared" si="83"/>
        <v>3200</v>
      </c>
      <c r="M274" s="65">
        <f t="shared" si="84"/>
        <v>0.61653755826699685</v>
      </c>
      <c r="N274" s="86">
        <f t="shared" si="85"/>
        <v>1972.92018645439</v>
      </c>
    </row>
    <row r="275" spans="1:14" x14ac:dyDescent="0.3">
      <c r="A275" s="64">
        <v>9</v>
      </c>
      <c r="B275" s="64" t="s">
        <v>1616</v>
      </c>
      <c r="C275" s="64" t="s">
        <v>1617</v>
      </c>
      <c r="D275" s="209">
        <v>12</v>
      </c>
      <c r="E275" s="209">
        <v>2</v>
      </c>
      <c r="F275" s="66">
        <f>4*('04a_Box_Dims'!$C38)*$E275</f>
        <v>24</v>
      </c>
      <c r="G275" s="65"/>
      <c r="H275" s="66">
        <f t="shared" si="81"/>
        <v>24</v>
      </c>
      <c r="I275" s="65">
        <f>'04a_Box_Dims'!$AE38</f>
        <v>10</v>
      </c>
      <c r="J275" s="66">
        <f>0</f>
        <v>0</v>
      </c>
      <c r="K275" s="66">
        <f t="shared" si="82"/>
        <v>10000</v>
      </c>
      <c r="L275" s="86">
        <f t="shared" si="83"/>
        <v>240</v>
      </c>
      <c r="M275" s="65">
        <f t="shared" si="84"/>
        <v>0.88781408390447547</v>
      </c>
      <c r="N275" s="86">
        <f t="shared" si="85"/>
        <v>213.07538013707412</v>
      </c>
    </row>
    <row r="276" spans="1:14" x14ac:dyDescent="0.3">
      <c r="A276" s="64">
        <v>10</v>
      </c>
      <c r="B276" s="64" t="s">
        <v>1618</v>
      </c>
      <c r="C276" s="64" t="s">
        <v>1619</v>
      </c>
      <c r="D276" s="209">
        <v>25</v>
      </c>
      <c r="E276" s="209">
        <v>145</v>
      </c>
      <c r="F276" s="66">
        <f>4</f>
        <v>4</v>
      </c>
      <c r="G276" s="65">
        <f>'04a_Box_Dims'!$Z38</f>
        <v>2.1213203435596424</v>
      </c>
      <c r="H276" s="66">
        <f t="shared" si="81"/>
        <v>60</v>
      </c>
      <c r="I276" s="65">
        <f>'04a_Box_Dims'!$W38</f>
        <v>5.8999999999999995</v>
      </c>
      <c r="J276" s="66">
        <f>BX_wwbend</f>
        <v>900</v>
      </c>
      <c r="K276" s="66">
        <f t="shared" si="82"/>
        <v>6800</v>
      </c>
      <c r="L276" s="86">
        <f t="shared" si="83"/>
        <v>408</v>
      </c>
      <c r="M276" s="65">
        <f t="shared" si="84"/>
        <v>3.8533597391687309</v>
      </c>
      <c r="N276" s="86">
        <f t="shared" si="85"/>
        <v>1572.1707735808423</v>
      </c>
    </row>
    <row r="277" spans="1:14" x14ac:dyDescent="0.3">
      <c r="A277" s="64">
        <v>11</v>
      </c>
      <c r="B277" s="64" t="s">
        <v>1620</v>
      </c>
      <c r="C277" s="64" t="s">
        <v>1607</v>
      </c>
      <c r="D277" s="209">
        <v>12</v>
      </c>
      <c r="E277" s="209">
        <v>115</v>
      </c>
      <c r="F277" s="66">
        <f>8</f>
        <v>8</v>
      </c>
      <c r="G277" s="65">
        <f>'04a_Box_Dims'!$W38</f>
        <v>5.8999999999999995</v>
      </c>
      <c r="H277" s="66">
        <f t="shared" si="81"/>
        <v>416</v>
      </c>
      <c r="I277" s="65">
        <f>'04a_Box_Dims'!$Z38</f>
        <v>2.1213203435596424</v>
      </c>
      <c r="J277" s="66">
        <f>0</f>
        <v>0</v>
      </c>
      <c r="K277" s="66">
        <f t="shared" si="82"/>
        <v>2121</v>
      </c>
      <c r="L277" s="86">
        <f t="shared" si="83"/>
        <v>882.33600000000001</v>
      </c>
      <c r="M277" s="65">
        <f t="shared" si="84"/>
        <v>0.88781408390447547</v>
      </c>
      <c r="N277" s="86">
        <f t="shared" si="85"/>
        <v>783.3503275359393</v>
      </c>
    </row>
    <row r="278" spans="1:14" x14ac:dyDescent="0.3">
      <c r="A278" s="64">
        <v>12</v>
      </c>
      <c r="B278" s="64" t="s">
        <v>1621</v>
      </c>
      <c r="C278" s="64" t="s">
        <v>1622</v>
      </c>
      <c r="D278" s="83">
        <v>12</v>
      </c>
      <c r="E278" s="83">
        <v>200</v>
      </c>
      <c r="F278" s="66">
        <f>4</f>
        <v>4</v>
      </c>
      <c r="G278" s="65">
        <f>'04a_Box_Dims'!$J38</f>
        <v>13.4</v>
      </c>
      <c r="H278" s="66">
        <f t="shared" si="81"/>
        <v>272</v>
      </c>
      <c r="I278" s="65">
        <f>'04a_Box_Dims'!$J38</f>
        <v>13.4</v>
      </c>
      <c r="J278" s="66">
        <f>2*BX_hook</f>
        <v>600</v>
      </c>
      <c r="K278" s="66">
        <f t="shared" si="82"/>
        <v>14000</v>
      </c>
      <c r="L278" s="86">
        <f t="shared" si="83"/>
        <v>3808</v>
      </c>
      <c r="M278" s="65">
        <f t="shared" si="84"/>
        <v>0.88781408390447547</v>
      </c>
      <c r="N278" s="86">
        <f t="shared" si="85"/>
        <v>3380.7960315082428</v>
      </c>
    </row>
    <row r="279" spans="1:14" x14ac:dyDescent="0.3">
      <c r="A279" s="64">
        <v>13</v>
      </c>
      <c r="B279" s="64" t="s">
        <v>1623</v>
      </c>
      <c r="C279" s="64" t="s">
        <v>1607</v>
      </c>
      <c r="D279" s="209">
        <v>12</v>
      </c>
      <c r="E279" s="209">
        <v>160</v>
      </c>
      <c r="F279" s="66">
        <f>4</f>
        <v>4</v>
      </c>
      <c r="G279" s="65">
        <f>'04a_Box_Dims'!$J38</f>
        <v>13.4</v>
      </c>
      <c r="H279" s="66">
        <f t="shared" si="81"/>
        <v>336</v>
      </c>
      <c r="I279" s="65">
        <f>'04a_Box_Dims'!$J38</f>
        <v>13.4</v>
      </c>
      <c r="J279" s="66">
        <f>0</f>
        <v>0</v>
      </c>
      <c r="K279" s="66">
        <f t="shared" si="82"/>
        <v>13400</v>
      </c>
      <c r="L279" s="86">
        <f t="shared" si="83"/>
        <v>4502.3999999999996</v>
      </c>
      <c r="M279" s="65">
        <f t="shared" si="84"/>
        <v>0.88781408390447547</v>
      </c>
      <c r="N279" s="86">
        <f t="shared" si="85"/>
        <v>3997.29413137151</v>
      </c>
    </row>
    <row r="280" spans="1:14" x14ac:dyDescent="0.3">
      <c r="A280" s="64">
        <v>14</v>
      </c>
      <c r="B280" s="64" t="s">
        <v>1624</v>
      </c>
      <c r="C280" s="64" t="s">
        <v>1613</v>
      </c>
      <c r="D280" s="83">
        <v>12</v>
      </c>
      <c r="E280" s="83">
        <v>3</v>
      </c>
      <c r="F280" s="66">
        <f>2*$E280</f>
        <v>6</v>
      </c>
      <c r="G280" s="65"/>
      <c r="H280" s="66">
        <f t="shared" si="81"/>
        <v>6</v>
      </c>
      <c r="I280" s="65">
        <f>'04a_Box_Dims'!$R38</f>
        <v>13.4</v>
      </c>
      <c r="J280" s="66">
        <f>0</f>
        <v>0</v>
      </c>
      <c r="K280" s="66">
        <f t="shared" si="82"/>
        <v>13400</v>
      </c>
      <c r="L280" s="86">
        <f t="shared" si="83"/>
        <v>80.400000000000006</v>
      </c>
      <c r="M280" s="65">
        <f t="shared" si="84"/>
        <v>0.88781408390447547</v>
      </c>
      <c r="N280" s="86">
        <f t="shared" si="85"/>
        <v>71.380252345919828</v>
      </c>
    </row>
    <row r="281" spans="1:14" x14ac:dyDescent="0.3">
      <c r="A281" s="64"/>
      <c r="B281" s="64"/>
      <c r="C281" s="64"/>
      <c r="D281" s="64"/>
      <c r="E281" s="64"/>
      <c r="F281" s="64"/>
      <c r="G281" s="64"/>
      <c r="H281" s="64"/>
      <c r="I281" s="64"/>
      <c r="J281" s="64"/>
      <c r="K281" s="64"/>
      <c r="L281" s="64"/>
      <c r="M281" s="64"/>
      <c r="N281" s="64"/>
    </row>
    <row r="282" spans="1:14" x14ac:dyDescent="0.3">
      <c r="A282" s="80" t="str">
        <f>'04a_Box_Dims'!$A39&amp;"   ("&amp;'04a_Box_Dims'!$B39&amp;")   —   No. on project: "&amp;'04a_Box_Dims'!$F39&amp;",  L used = "&amp;TEXT('04a_Box_Dims'!$AE39,"0.00")&amp;" m"</f>
        <v>4/4x4 box culvert   (BC|4/4x4)   —   No. on project: 0,  L used = 10.00 m</v>
      </c>
      <c r="B282" s="80"/>
      <c r="C282" s="80"/>
      <c r="D282" s="84"/>
      <c r="E282" s="84"/>
      <c r="F282" s="85"/>
      <c r="G282" s="88"/>
      <c r="H282" s="85"/>
      <c r="I282" s="88"/>
      <c r="J282" s="85"/>
      <c r="K282" s="85"/>
      <c r="L282" s="87"/>
      <c r="M282" s="88"/>
      <c r="N282" s="87"/>
    </row>
    <row r="283" spans="1:14" x14ac:dyDescent="0.3">
      <c r="A283" s="64">
        <v>1</v>
      </c>
      <c r="B283" s="64" t="s">
        <v>1606</v>
      </c>
      <c r="C283" s="64" t="s">
        <v>1607</v>
      </c>
      <c r="D283" s="209">
        <v>12</v>
      </c>
      <c r="E283" s="209">
        <v>160</v>
      </c>
      <c r="F283" s="66">
        <f>1</f>
        <v>1</v>
      </c>
      <c r="G283" s="65">
        <f>'04a_Box_Dims'!$AE39</f>
        <v>10</v>
      </c>
      <c r="H283" s="66">
        <f t="shared" ref="H283:H296" si="86">IF($G283="",$F283,$F283*(FLOOR($G283*1000/$E283,1)+1))</f>
        <v>63</v>
      </c>
      <c r="I283" s="65">
        <f>'04a_Box_Dims'!$K39</f>
        <v>17.05</v>
      </c>
      <c r="J283" s="66">
        <f>2*BX_hook</f>
        <v>600</v>
      </c>
      <c r="K283" s="66">
        <f t="shared" ref="K283:K296" si="87">ROUND($I283*1000+$J283,0)</f>
        <v>17650</v>
      </c>
      <c r="L283" s="86">
        <f t="shared" ref="L283:L296" si="88">$H283*$K283/1000</f>
        <v>1111.95</v>
      </c>
      <c r="M283" s="65">
        <f t="shared" ref="M283:M296" si="89">PI()/4*($D283/1000)^2*BX_rho</f>
        <v>0.88781408390447547</v>
      </c>
      <c r="N283" s="86">
        <f t="shared" ref="N283:N296" si="90">$L283*$M283</f>
        <v>987.20487059758159</v>
      </c>
    </row>
    <row r="284" spans="1:14" x14ac:dyDescent="0.3">
      <c r="A284" s="64">
        <v>2</v>
      </c>
      <c r="B284" s="64" t="s">
        <v>1608</v>
      </c>
      <c r="C284" s="64" t="s">
        <v>1607</v>
      </c>
      <c r="D284" s="209">
        <v>16</v>
      </c>
      <c r="E284" s="209">
        <v>100</v>
      </c>
      <c r="F284" s="66">
        <f>1</f>
        <v>1</v>
      </c>
      <c r="G284" s="65">
        <f>'04a_Box_Dims'!$AE39</f>
        <v>10</v>
      </c>
      <c r="H284" s="66">
        <f t="shared" si="86"/>
        <v>101</v>
      </c>
      <c r="I284" s="65">
        <f>'04a_Box_Dims'!$K39</f>
        <v>17.05</v>
      </c>
      <c r="J284" s="66">
        <f>2*BX_hook</f>
        <v>600</v>
      </c>
      <c r="K284" s="66">
        <f t="shared" si="87"/>
        <v>17650</v>
      </c>
      <c r="L284" s="86">
        <f t="shared" si="88"/>
        <v>1782.65</v>
      </c>
      <c r="M284" s="65">
        <f t="shared" si="89"/>
        <v>1.5783361491635119</v>
      </c>
      <c r="N284" s="86">
        <f t="shared" si="90"/>
        <v>2813.6209363063349</v>
      </c>
    </row>
    <row r="285" spans="1:14" x14ac:dyDescent="0.3">
      <c r="A285" s="64">
        <v>3</v>
      </c>
      <c r="B285" s="64" t="s">
        <v>1609</v>
      </c>
      <c r="C285" s="64" t="s">
        <v>1607</v>
      </c>
      <c r="D285" s="209">
        <v>16</v>
      </c>
      <c r="E285" s="209">
        <v>105</v>
      </c>
      <c r="F285" s="66">
        <f>1</f>
        <v>1</v>
      </c>
      <c r="G285" s="65">
        <f>'04a_Box_Dims'!$AE39</f>
        <v>10</v>
      </c>
      <c r="H285" s="66">
        <f t="shared" si="86"/>
        <v>96</v>
      </c>
      <c r="I285" s="65">
        <f>'04a_Box_Dims'!$K39</f>
        <v>17.05</v>
      </c>
      <c r="J285" s="66">
        <f>2*BX_hook</f>
        <v>600</v>
      </c>
      <c r="K285" s="66">
        <f t="shared" si="87"/>
        <v>17650</v>
      </c>
      <c r="L285" s="86">
        <f t="shared" si="88"/>
        <v>1694.4</v>
      </c>
      <c r="M285" s="65">
        <f t="shared" si="89"/>
        <v>1.5783361491635119</v>
      </c>
      <c r="N285" s="86">
        <f t="shared" si="90"/>
        <v>2674.3327711426546</v>
      </c>
    </row>
    <row r="286" spans="1:14" x14ac:dyDescent="0.3">
      <c r="A286" s="64">
        <v>4</v>
      </c>
      <c r="B286" s="64" t="s">
        <v>1610</v>
      </c>
      <c r="C286" s="64" t="s">
        <v>1607</v>
      </c>
      <c r="D286" s="209">
        <v>12</v>
      </c>
      <c r="E286" s="209">
        <v>115</v>
      </c>
      <c r="F286" s="66">
        <f>1</f>
        <v>1</v>
      </c>
      <c r="G286" s="65">
        <f>'04a_Box_Dims'!$AE39</f>
        <v>10</v>
      </c>
      <c r="H286" s="66">
        <f t="shared" si="86"/>
        <v>87</v>
      </c>
      <c r="I286" s="65">
        <f>'04a_Box_Dims'!$K39</f>
        <v>17.05</v>
      </c>
      <c r="J286" s="66">
        <f>2*BX_hook</f>
        <v>600</v>
      </c>
      <c r="K286" s="66">
        <f t="shared" si="87"/>
        <v>17650</v>
      </c>
      <c r="L286" s="86">
        <f t="shared" si="88"/>
        <v>1535.55</v>
      </c>
      <c r="M286" s="65">
        <f t="shared" si="89"/>
        <v>0.88781408390447547</v>
      </c>
      <c r="N286" s="86">
        <f t="shared" si="90"/>
        <v>1363.2829165395174</v>
      </c>
    </row>
    <row r="287" spans="1:14" x14ac:dyDescent="0.3">
      <c r="A287" s="64">
        <v>5</v>
      </c>
      <c r="B287" s="64" t="s">
        <v>1611</v>
      </c>
      <c r="C287" s="64" t="s">
        <v>1607</v>
      </c>
      <c r="D287" s="209">
        <v>10</v>
      </c>
      <c r="E287" s="209">
        <v>110</v>
      </c>
      <c r="F287" s="66">
        <f>2</f>
        <v>2</v>
      </c>
      <c r="G287" s="65">
        <f>'04a_Box_Dims'!$K39</f>
        <v>17.05</v>
      </c>
      <c r="H287" s="66">
        <f t="shared" si="86"/>
        <v>312</v>
      </c>
      <c r="I287" s="65">
        <f>'04a_Box_Dims'!$AE39</f>
        <v>10</v>
      </c>
      <c r="J287" s="66">
        <f>0</f>
        <v>0</v>
      </c>
      <c r="K287" s="66">
        <f t="shared" si="87"/>
        <v>10000</v>
      </c>
      <c r="L287" s="86">
        <f t="shared" si="88"/>
        <v>3120</v>
      </c>
      <c r="M287" s="65">
        <f t="shared" si="89"/>
        <v>0.61653755826699685</v>
      </c>
      <c r="N287" s="86">
        <f t="shared" si="90"/>
        <v>1923.5971817930301</v>
      </c>
    </row>
    <row r="288" spans="1:14" x14ac:dyDescent="0.3">
      <c r="A288" s="64">
        <v>6</v>
      </c>
      <c r="B288" s="64" t="s">
        <v>1612</v>
      </c>
      <c r="C288" s="64" t="s">
        <v>1613</v>
      </c>
      <c r="D288" s="209">
        <v>16</v>
      </c>
      <c r="E288" s="209">
        <v>120</v>
      </c>
      <c r="F288" s="66">
        <f>4</f>
        <v>4</v>
      </c>
      <c r="G288" s="65">
        <f>'04a_Box_Dims'!$AE39</f>
        <v>10</v>
      </c>
      <c r="H288" s="66">
        <f t="shared" si="86"/>
        <v>336</v>
      </c>
      <c r="I288" s="65">
        <f>'04a_Box_Dims'!$M39</f>
        <v>4.3499999999999996</v>
      </c>
      <c r="J288" s="66">
        <f>2*BX_hook</f>
        <v>600</v>
      </c>
      <c r="K288" s="66">
        <f t="shared" si="87"/>
        <v>4950</v>
      </c>
      <c r="L288" s="86">
        <f t="shared" si="88"/>
        <v>1663.2</v>
      </c>
      <c r="M288" s="65">
        <f t="shared" si="89"/>
        <v>1.5783361491635119</v>
      </c>
      <c r="N288" s="86">
        <f t="shared" si="90"/>
        <v>2625.0886832887531</v>
      </c>
    </row>
    <row r="289" spans="1:14" x14ac:dyDescent="0.3">
      <c r="A289" s="64">
        <v>7</v>
      </c>
      <c r="B289" s="64" t="s">
        <v>1614</v>
      </c>
      <c r="C289" s="64" t="s">
        <v>1613</v>
      </c>
      <c r="D289" s="209">
        <v>16</v>
      </c>
      <c r="E289" s="209">
        <v>120</v>
      </c>
      <c r="F289" s="66">
        <f>2*('04a_Box_Dims'!$C39)-2</f>
        <v>6</v>
      </c>
      <c r="G289" s="65">
        <f>'04a_Box_Dims'!$AE39</f>
        <v>10</v>
      </c>
      <c r="H289" s="66">
        <f t="shared" si="86"/>
        <v>504</v>
      </c>
      <c r="I289" s="65">
        <f>'04a_Box_Dims'!$M39</f>
        <v>4.3499999999999996</v>
      </c>
      <c r="J289" s="66">
        <f>2*BX_hook</f>
        <v>600</v>
      </c>
      <c r="K289" s="66">
        <f t="shared" si="87"/>
        <v>4950</v>
      </c>
      <c r="L289" s="86">
        <f t="shared" si="88"/>
        <v>2494.8000000000002</v>
      </c>
      <c r="M289" s="65">
        <f t="shared" si="89"/>
        <v>1.5783361491635119</v>
      </c>
      <c r="N289" s="86">
        <f t="shared" si="90"/>
        <v>3937.6330249331299</v>
      </c>
    </row>
    <row r="290" spans="1:14" x14ac:dyDescent="0.3">
      <c r="A290" s="64">
        <v>8</v>
      </c>
      <c r="B290" s="64" t="s">
        <v>1615</v>
      </c>
      <c r="C290" s="64" t="s">
        <v>1607</v>
      </c>
      <c r="D290" s="209">
        <v>10</v>
      </c>
      <c r="E290" s="209">
        <v>110</v>
      </c>
      <c r="F290" s="66">
        <f>('04a_Box_Dims'!$C39+1)*2</f>
        <v>10</v>
      </c>
      <c r="G290" s="65">
        <f>'04a_Box_Dims'!$M39</f>
        <v>4.3499999999999996</v>
      </c>
      <c r="H290" s="66">
        <f t="shared" si="86"/>
        <v>400</v>
      </c>
      <c r="I290" s="65">
        <f>'04a_Box_Dims'!$AE39</f>
        <v>10</v>
      </c>
      <c r="J290" s="66">
        <f>0</f>
        <v>0</v>
      </c>
      <c r="K290" s="66">
        <f t="shared" si="87"/>
        <v>10000</v>
      </c>
      <c r="L290" s="86">
        <f t="shared" si="88"/>
        <v>4000</v>
      </c>
      <c r="M290" s="65">
        <f t="shared" si="89"/>
        <v>0.61653755826699685</v>
      </c>
      <c r="N290" s="86">
        <f t="shared" si="90"/>
        <v>2466.1502330679873</v>
      </c>
    </row>
    <row r="291" spans="1:14" x14ac:dyDescent="0.3">
      <c r="A291" s="64">
        <v>9</v>
      </c>
      <c r="B291" s="64" t="s">
        <v>1616</v>
      </c>
      <c r="C291" s="64" t="s">
        <v>1617</v>
      </c>
      <c r="D291" s="209">
        <v>12</v>
      </c>
      <c r="E291" s="209">
        <v>2</v>
      </c>
      <c r="F291" s="66">
        <f>4*('04a_Box_Dims'!$C39)*$E291</f>
        <v>32</v>
      </c>
      <c r="G291" s="65"/>
      <c r="H291" s="66">
        <f t="shared" si="86"/>
        <v>32</v>
      </c>
      <c r="I291" s="65">
        <f>'04a_Box_Dims'!$AE39</f>
        <v>10</v>
      </c>
      <c r="J291" s="66">
        <f>0</f>
        <v>0</v>
      </c>
      <c r="K291" s="66">
        <f t="shared" si="87"/>
        <v>10000</v>
      </c>
      <c r="L291" s="86">
        <f t="shared" si="88"/>
        <v>320</v>
      </c>
      <c r="M291" s="65">
        <f t="shared" si="89"/>
        <v>0.88781408390447547</v>
      </c>
      <c r="N291" s="86">
        <f t="shared" si="90"/>
        <v>284.10050684943212</v>
      </c>
    </row>
    <row r="292" spans="1:14" x14ac:dyDescent="0.3">
      <c r="A292" s="64">
        <v>10</v>
      </c>
      <c r="B292" s="64" t="s">
        <v>1618</v>
      </c>
      <c r="C292" s="64" t="s">
        <v>1619</v>
      </c>
      <c r="D292" s="209">
        <v>25</v>
      </c>
      <c r="E292" s="209">
        <v>145</v>
      </c>
      <c r="F292" s="66">
        <f>4</f>
        <v>4</v>
      </c>
      <c r="G292" s="65">
        <f>'04a_Box_Dims'!$Z39</f>
        <v>2.1213203435596424</v>
      </c>
      <c r="H292" s="66">
        <f t="shared" si="86"/>
        <v>60</v>
      </c>
      <c r="I292" s="65">
        <f>'04a_Box_Dims'!$W39</f>
        <v>5.8999999999999995</v>
      </c>
      <c r="J292" s="66">
        <f>BX_wwbend</f>
        <v>900</v>
      </c>
      <c r="K292" s="66">
        <f t="shared" si="87"/>
        <v>6800</v>
      </c>
      <c r="L292" s="86">
        <f t="shared" si="88"/>
        <v>408</v>
      </c>
      <c r="M292" s="65">
        <f t="shared" si="89"/>
        <v>3.8533597391687309</v>
      </c>
      <c r="N292" s="86">
        <f t="shared" si="90"/>
        <v>1572.1707735808423</v>
      </c>
    </row>
    <row r="293" spans="1:14" x14ac:dyDescent="0.3">
      <c r="A293" s="64">
        <v>11</v>
      </c>
      <c r="B293" s="64" t="s">
        <v>1620</v>
      </c>
      <c r="C293" s="64" t="s">
        <v>1607</v>
      </c>
      <c r="D293" s="209">
        <v>12</v>
      </c>
      <c r="E293" s="209">
        <v>115</v>
      </c>
      <c r="F293" s="66">
        <f>8</f>
        <v>8</v>
      </c>
      <c r="G293" s="65">
        <f>'04a_Box_Dims'!$W39</f>
        <v>5.8999999999999995</v>
      </c>
      <c r="H293" s="66">
        <f t="shared" si="86"/>
        <v>416</v>
      </c>
      <c r="I293" s="65">
        <f>'04a_Box_Dims'!$Z39</f>
        <v>2.1213203435596424</v>
      </c>
      <c r="J293" s="66">
        <f>0</f>
        <v>0</v>
      </c>
      <c r="K293" s="66">
        <f t="shared" si="87"/>
        <v>2121</v>
      </c>
      <c r="L293" s="86">
        <f t="shared" si="88"/>
        <v>882.33600000000001</v>
      </c>
      <c r="M293" s="65">
        <f t="shared" si="89"/>
        <v>0.88781408390447547</v>
      </c>
      <c r="N293" s="86">
        <f t="shared" si="90"/>
        <v>783.3503275359393</v>
      </c>
    </row>
    <row r="294" spans="1:14" x14ac:dyDescent="0.3">
      <c r="A294" s="64">
        <v>12</v>
      </c>
      <c r="B294" s="64" t="s">
        <v>1621</v>
      </c>
      <c r="C294" s="64" t="s">
        <v>1622</v>
      </c>
      <c r="D294" s="83">
        <v>12</v>
      </c>
      <c r="E294" s="83">
        <v>200</v>
      </c>
      <c r="F294" s="66">
        <f>4</f>
        <v>4</v>
      </c>
      <c r="G294" s="65">
        <f>'04a_Box_Dims'!$J39</f>
        <v>17.75</v>
      </c>
      <c r="H294" s="66">
        <f t="shared" si="86"/>
        <v>356</v>
      </c>
      <c r="I294" s="65">
        <f>'04a_Box_Dims'!$J39</f>
        <v>17.75</v>
      </c>
      <c r="J294" s="66">
        <f>2*BX_hook</f>
        <v>600</v>
      </c>
      <c r="K294" s="66">
        <f t="shared" si="87"/>
        <v>18350</v>
      </c>
      <c r="L294" s="86">
        <f t="shared" si="88"/>
        <v>6532.6</v>
      </c>
      <c r="M294" s="65">
        <f t="shared" si="89"/>
        <v>0.88781408390447547</v>
      </c>
      <c r="N294" s="86">
        <f t="shared" si="90"/>
        <v>5799.7342845143767</v>
      </c>
    </row>
    <row r="295" spans="1:14" x14ac:dyDescent="0.3">
      <c r="A295" s="64">
        <v>13</v>
      </c>
      <c r="B295" s="64" t="s">
        <v>1623</v>
      </c>
      <c r="C295" s="64" t="s">
        <v>1607</v>
      </c>
      <c r="D295" s="209">
        <v>12</v>
      </c>
      <c r="E295" s="209">
        <v>160</v>
      </c>
      <c r="F295" s="66">
        <f>4</f>
        <v>4</v>
      </c>
      <c r="G295" s="65">
        <f>'04a_Box_Dims'!$J39</f>
        <v>17.75</v>
      </c>
      <c r="H295" s="66">
        <f t="shared" si="86"/>
        <v>444</v>
      </c>
      <c r="I295" s="65">
        <f>'04a_Box_Dims'!$J39</f>
        <v>17.75</v>
      </c>
      <c r="J295" s="66">
        <f>0</f>
        <v>0</v>
      </c>
      <c r="K295" s="66">
        <f t="shared" si="87"/>
        <v>17750</v>
      </c>
      <c r="L295" s="86">
        <f t="shared" si="88"/>
        <v>7881</v>
      </c>
      <c r="M295" s="65">
        <f t="shared" si="89"/>
        <v>0.88781408390447547</v>
      </c>
      <c r="N295" s="86">
        <f t="shared" si="90"/>
        <v>6996.8627952511715</v>
      </c>
    </row>
    <row r="296" spans="1:14" x14ac:dyDescent="0.3">
      <c r="A296" s="64">
        <v>14</v>
      </c>
      <c r="B296" s="64" t="s">
        <v>1624</v>
      </c>
      <c r="C296" s="64" t="s">
        <v>1613</v>
      </c>
      <c r="D296" s="83">
        <v>12</v>
      </c>
      <c r="E296" s="83">
        <v>3</v>
      </c>
      <c r="F296" s="66">
        <f>2*$E296</f>
        <v>6</v>
      </c>
      <c r="G296" s="65"/>
      <c r="H296" s="66">
        <f t="shared" si="86"/>
        <v>6</v>
      </c>
      <c r="I296" s="65">
        <f>'04a_Box_Dims'!$R39</f>
        <v>17.75</v>
      </c>
      <c r="J296" s="66">
        <f>0</f>
        <v>0</v>
      </c>
      <c r="K296" s="66">
        <f t="shared" si="87"/>
        <v>17750</v>
      </c>
      <c r="L296" s="86">
        <f t="shared" si="88"/>
        <v>106.5</v>
      </c>
      <c r="M296" s="65">
        <f t="shared" si="89"/>
        <v>0.88781408390447547</v>
      </c>
      <c r="N296" s="86">
        <f t="shared" si="90"/>
        <v>94.552199935826636</v>
      </c>
    </row>
    <row r="297" spans="1:14" x14ac:dyDescent="0.3">
      <c r="A297" s="64"/>
      <c r="B297" s="64"/>
      <c r="C297" s="64"/>
      <c r="D297" s="64"/>
      <c r="E297" s="64"/>
      <c r="F297" s="64"/>
      <c r="G297" s="64"/>
      <c r="H297" s="64"/>
      <c r="I297" s="64"/>
      <c r="J297" s="64"/>
      <c r="K297" s="64"/>
      <c r="L297" s="64"/>
      <c r="M297" s="64"/>
      <c r="N297" s="64"/>
    </row>
    <row r="298" spans="1:14" x14ac:dyDescent="0.3">
      <c r="A298" s="80" t="str">
        <f>'04a_Box_Dims'!$A40&amp;"   ("&amp;'04a_Box_Dims'!$B40&amp;")   —   No. on project: "&amp;'04a_Box_Dims'!$F40&amp;",  L used = "&amp;TEXT('04a_Box_Dims'!$AE40,"0.00")&amp;" m"</f>
        <v>2/3x2.4 box culvert   (BC|2/3x2.4)   —   No. on project: 0,  L used = 10.00 m</v>
      </c>
      <c r="B298" s="80"/>
      <c r="C298" s="80"/>
      <c r="D298" s="84"/>
      <c r="E298" s="84"/>
      <c r="F298" s="85"/>
      <c r="G298" s="88"/>
      <c r="H298" s="85"/>
      <c r="I298" s="88"/>
      <c r="J298" s="85"/>
      <c r="K298" s="85"/>
      <c r="L298" s="87"/>
      <c r="M298" s="88"/>
      <c r="N298" s="87"/>
    </row>
    <row r="299" spans="1:14" x14ac:dyDescent="0.3">
      <c r="A299" s="64">
        <v>1</v>
      </c>
      <c r="B299" s="64" t="s">
        <v>1606</v>
      </c>
      <c r="C299" s="64" t="s">
        <v>1607</v>
      </c>
      <c r="D299" s="209">
        <v>12</v>
      </c>
      <c r="E299" s="209">
        <v>210</v>
      </c>
      <c r="F299" s="66">
        <f>1</f>
        <v>1</v>
      </c>
      <c r="G299" s="65">
        <f>'04a_Box_Dims'!$AE40</f>
        <v>10</v>
      </c>
      <c r="H299" s="66">
        <f t="shared" ref="H299:H312" si="91">IF($G299="",$F299,$F299*(FLOOR($G299*1000/$E299,1)+1))</f>
        <v>48</v>
      </c>
      <c r="I299" s="65">
        <f>'04a_Box_Dims'!$K40</f>
        <v>6.25</v>
      </c>
      <c r="J299" s="66">
        <f>2*BX_hook</f>
        <v>600</v>
      </c>
      <c r="K299" s="66">
        <f t="shared" ref="K299:K312" si="92">ROUND($I299*1000+$J299,0)</f>
        <v>6850</v>
      </c>
      <c r="L299" s="86">
        <f t="shared" ref="L299:L312" si="93">$H299*$K299/1000</f>
        <v>328.8</v>
      </c>
      <c r="M299" s="65">
        <f t="shared" ref="M299:M312" si="94">PI()/4*($D299/1000)^2*BX_rho</f>
        <v>0.88781408390447547</v>
      </c>
      <c r="N299" s="86">
        <f t="shared" ref="N299:N312" si="95">$L299*$M299</f>
        <v>291.91327078779153</v>
      </c>
    </row>
    <row r="300" spans="1:14" x14ac:dyDescent="0.3">
      <c r="A300" s="64">
        <v>2</v>
      </c>
      <c r="B300" s="64" t="s">
        <v>1608</v>
      </c>
      <c r="C300" s="64" t="s">
        <v>1607</v>
      </c>
      <c r="D300" s="209">
        <v>12</v>
      </c>
      <c r="E300" s="209">
        <v>120</v>
      </c>
      <c r="F300" s="66">
        <f>1</f>
        <v>1</v>
      </c>
      <c r="G300" s="65">
        <f>'04a_Box_Dims'!$AE40</f>
        <v>10</v>
      </c>
      <c r="H300" s="66">
        <f t="shared" si="91"/>
        <v>84</v>
      </c>
      <c r="I300" s="65">
        <f>'04a_Box_Dims'!$K40</f>
        <v>6.25</v>
      </c>
      <c r="J300" s="66">
        <f>2*BX_hook</f>
        <v>600</v>
      </c>
      <c r="K300" s="66">
        <f t="shared" si="92"/>
        <v>6850</v>
      </c>
      <c r="L300" s="86">
        <f t="shared" si="93"/>
        <v>575.4</v>
      </c>
      <c r="M300" s="65">
        <f t="shared" si="94"/>
        <v>0.88781408390447547</v>
      </c>
      <c r="N300" s="86">
        <f t="shared" si="95"/>
        <v>510.84822387863517</v>
      </c>
    </row>
    <row r="301" spans="1:14" x14ac:dyDescent="0.3">
      <c r="A301" s="64">
        <v>3</v>
      </c>
      <c r="B301" s="64" t="s">
        <v>1609</v>
      </c>
      <c r="C301" s="64" t="s">
        <v>1607</v>
      </c>
      <c r="D301" s="209">
        <v>16</v>
      </c>
      <c r="E301" s="209">
        <v>145</v>
      </c>
      <c r="F301" s="66">
        <f>1</f>
        <v>1</v>
      </c>
      <c r="G301" s="65">
        <f>'04a_Box_Dims'!$AE40</f>
        <v>10</v>
      </c>
      <c r="H301" s="66">
        <f t="shared" si="91"/>
        <v>69</v>
      </c>
      <c r="I301" s="65">
        <f>'04a_Box_Dims'!$K40</f>
        <v>6.25</v>
      </c>
      <c r="J301" s="66">
        <f>2*BX_hook</f>
        <v>600</v>
      </c>
      <c r="K301" s="66">
        <f t="shared" si="92"/>
        <v>6850</v>
      </c>
      <c r="L301" s="86">
        <f t="shared" si="93"/>
        <v>472.65</v>
      </c>
      <c r="M301" s="65">
        <f t="shared" si="94"/>
        <v>1.5783361491635119</v>
      </c>
      <c r="N301" s="86">
        <f t="shared" si="95"/>
        <v>746.00058090213383</v>
      </c>
    </row>
    <row r="302" spans="1:14" x14ac:dyDescent="0.3">
      <c r="A302" s="64">
        <v>4</v>
      </c>
      <c r="B302" s="64" t="s">
        <v>1610</v>
      </c>
      <c r="C302" s="64" t="s">
        <v>1607</v>
      </c>
      <c r="D302" s="209">
        <v>12</v>
      </c>
      <c r="E302" s="209">
        <v>125</v>
      </c>
      <c r="F302" s="66">
        <f>1</f>
        <v>1</v>
      </c>
      <c r="G302" s="65">
        <f>'04a_Box_Dims'!$AE40</f>
        <v>10</v>
      </c>
      <c r="H302" s="66">
        <f t="shared" si="91"/>
        <v>81</v>
      </c>
      <c r="I302" s="65">
        <f>'04a_Box_Dims'!$K40</f>
        <v>6.25</v>
      </c>
      <c r="J302" s="66">
        <f>2*BX_hook</f>
        <v>600</v>
      </c>
      <c r="K302" s="66">
        <f t="shared" si="92"/>
        <v>6850</v>
      </c>
      <c r="L302" s="86">
        <f t="shared" si="93"/>
        <v>554.85</v>
      </c>
      <c r="M302" s="65">
        <f t="shared" si="94"/>
        <v>0.88781408390447547</v>
      </c>
      <c r="N302" s="86">
        <f t="shared" si="95"/>
        <v>492.60364445439825</v>
      </c>
    </row>
    <row r="303" spans="1:14" x14ac:dyDescent="0.3">
      <c r="A303" s="64">
        <v>5</v>
      </c>
      <c r="B303" s="64" t="s">
        <v>1611</v>
      </c>
      <c r="C303" s="64" t="s">
        <v>1607</v>
      </c>
      <c r="D303" s="209">
        <v>10</v>
      </c>
      <c r="E303" s="209">
        <v>155</v>
      </c>
      <c r="F303" s="66">
        <f>2</f>
        <v>2</v>
      </c>
      <c r="G303" s="65">
        <f>'04a_Box_Dims'!$K40</f>
        <v>6.25</v>
      </c>
      <c r="H303" s="66">
        <f t="shared" si="91"/>
        <v>82</v>
      </c>
      <c r="I303" s="65">
        <f>'04a_Box_Dims'!$AE40</f>
        <v>10</v>
      </c>
      <c r="J303" s="66">
        <f>0</f>
        <v>0</v>
      </c>
      <c r="K303" s="66">
        <f t="shared" si="92"/>
        <v>10000</v>
      </c>
      <c r="L303" s="86">
        <f t="shared" si="93"/>
        <v>820</v>
      </c>
      <c r="M303" s="65">
        <f t="shared" si="94"/>
        <v>0.61653755826699685</v>
      </c>
      <c r="N303" s="86">
        <f t="shared" si="95"/>
        <v>505.5607977789374</v>
      </c>
    </row>
    <row r="304" spans="1:14" x14ac:dyDescent="0.3">
      <c r="A304" s="64">
        <v>6</v>
      </c>
      <c r="B304" s="64" t="s">
        <v>1612</v>
      </c>
      <c r="C304" s="64" t="s">
        <v>1613</v>
      </c>
      <c r="D304" s="209">
        <v>12</v>
      </c>
      <c r="E304" s="209">
        <v>185</v>
      </c>
      <c r="F304" s="66">
        <f>4</f>
        <v>4</v>
      </c>
      <c r="G304" s="65">
        <f>'04a_Box_Dims'!$AE40</f>
        <v>10</v>
      </c>
      <c r="H304" s="66">
        <f t="shared" si="91"/>
        <v>220</v>
      </c>
      <c r="I304" s="65">
        <f>'04a_Box_Dims'!$M40</f>
        <v>2.65</v>
      </c>
      <c r="J304" s="66">
        <f>2*BX_hook</f>
        <v>600</v>
      </c>
      <c r="K304" s="66">
        <f t="shared" si="92"/>
        <v>3250</v>
      </c>
      <c r="L304" s="86">
        <f t="shared" si="93"/>
        <v>715</v>
      </c>
      <c r="M304" s="65">
        <f t="shared" si="94"/>
        <v>0.88781408390447547</v>
      </c>
      <c r="N304" s="86">
        <f t="shared" si="95"/>
        <v>634.78706999169992</v>
      </c>
    </row>
    <row r="305" spans="1:14" x14ac:dyDescent="0.3">
      <c r="A305" s="64">
        <v>7</v>
      </c>
      <c r="B305" s="64" t="s">
        <v>1614</v>
      </c>
      <c r="C305" s="64" t="s">
        <v>1613</v>
      </c>
      <c r="D305" s="209">
        <v>12</v>
      </c>
      <c r="E305" s="209">
        <v>185</v>
      </c>
      <c r="F305" s="66">
        <f>2*('04a_Box_Dims'!$C40)-2</f>
        <v>2</v>
      </c>
      <c r="G305" s="65">
        <f>'04a_Box_Dims'!$AE40</f>
        <v>10</v>
      </c>
      <c r="H305" s="66">
        <f t="shared" si="91"/>
        <v>110</v>
      </c>
      <c r="I305" s="65">
        <f>'04a_Box_Dims'!$M40</f>
        <v>2.65</v>
      </c>
      <c r="J305" s="66">
        <f>2*BX_hook</f>
        <v>600</v>
      </c>
      <c r="K305" s="66">
        <f t="shared" si="92"/>
        <v>3250</v>
      </c>
      <c r="L305" s="86">
        <f t="shared" si="93"/>
        <v>357.5</v>
      </c>
      <c r="M305" s="65">
        <f t="shared" si="94"/>
        <v>0.88781408390447547</v>
      </c>
      <c r="N305" s="86">
        <f t="shared" si="95"/>
        <v>317.39353499584996</v>
      </c>
    </row>
    <row r="306" spans="1:14" x14ac:dyDescent="0.3">
      <c r="A306" s="64">
        <v>8</v>
      </c>
      <c r="B306" s="64" t="s">
        <v>1615</v>
      </c>
      <c r="C306" s="64" t="s">
        <v>1607</v>
      </c>
      <c r="D306" s="209">
        <v>10</v>
      </c>
      <c r="E306" s="209">
        <v>155</v>
      </c>
      <c r="F306" s="66">
        <f>('04a_Box_Dims'!$C40+1)*2</f>
        <v>6</v>
      </c>
      <c r="G306" s="65">
        <f>'04a_Box_Dims'!$M40</f>
        <v>2.65</v>
      </c>
      <c r="H306" s="66">
        <f t="shared" si="91"/>
        <v>108</v>
      </c>
      <c r="I306" s="65">
        <f>'04a_Box_Dims'!$AE40</f>
        <v>10</v>
      </c>
      <c r="J306" s="66">
        <f>0</f>
        <v>0</v>
      </c>
      <c r="K306" s="66">
        <f t="shared" si="92"/>
        <v>10000</v>
      </c>
      <c r="L306" s="86">
        <f t="shared" si="93"/>
        <v>1080</v>
      </c>
      <c r="M306" s="65">
        <f t="shared" si="94"/>
        <v>0.61653755826699685</v>
      </c>
      <c r="N306" s="86">
        <f t="shared" si="95"/>
        <v>665.86056292835656</v>
      </c>
    </row>
    <row r="307" spans="1:14" x14ac:dyDescent="0.3">
      <c r="A307" s="64">
        <v>9</v>
      </c>
      <c r="B307" s="64" t="s">
        <v>1616</v>
      </c>
      <c r="C307" s="64" t="s">
        <v>1617</v>
      </c>
      <c r="D307" s="209">
        <v>12</v>
      </c>
      <c r="E307" s="209">
        <v>2</v>
      </c>
      <c r="F307" s="66">
        <f>4*('04a_Box_Dims'!$C40)*$E307</f>
        <v>16</v>
      </c>
      <c r="G307" s="65"/>
      <c r="H307" s="66">
        <f t="shared" si="91"/>
        <v>16</v>
      </c>
      <c r="I307" s="65">
        <f>'04a_Box_Dims'!$AE40</f>
        <v>10</v>
      </c>
      <c r="J307" s="66">
        <f>0</f>
        <v>0</v>
      </c>
      <c r="K307" s="66">
        <f t="shared" si="92"/>
        <v>10000</v>
      </c>
      <c r="L307" s="86">
        <f t="shared" si="93"/>
        <v>160</v>
      </c>
      <c r="M307" s="65">
        <f t="shared" si="94"/>
        <v>0.88781408390447547</v>
      </c>
      <c r="N307" s="86">
        <f t="shared" si="95"/>
        <v>142.05025342471606</v>
      </c>
    </row>
    <row r="308" spans="1:14" x14ac:dyDescent="0.3">
      <c r="A308" s="64">
        <v>10</v>
      </c>
      <c r="B308" s="64" t="s">
        <v>1618</v>
      </c>
      <c r="C308" s="64" t="s">
        <v>1619</v>
      </c>
      <c r="D308" s="209">
        <v>16</v>
      </c>
      <c r="E308" s="209">
        <v>100</v>
      </c>
      <c r="F308" s="66">
        <f>4</f>
        <v>4</v>
      </c>
      <c r="G308" s="65">
        <f>'04a_Box_Dims'!$Z40</f>
        <v>2.1213203435596424</v>
      </c>
      <c r="H308" s="66">
        <f t="shared" si="91"/>
        <v>88</v>
      </c>
      <c r="I308" s="65">
        <f>'04a_Box_Dims'!$W40</f>
        <v>4.0999999999999996</v>
      </c>
      <c r="J308" s="66">
        <f>BX_wwbend</f>
        <v>900</v>
      </c>
      <c r="K308" s="66">
        <f t="shared" si="92"/>
        <v>5000</v>
      </c>
      <c r="L308" s="86">
        <f t="shared" si="93"/>
        <v>440</v>
      </c>
      <c r="M308" s="65">
        <f t="shared" si="94"/>
        <v>1.5783361491635119</v>
      </c>
      <c r="N308" s="86">
        <f t="shared" si="95"/>
        <v>694.46790563194531</v>
      </c>
    </row>
    <row r="309" spans="1:14" x14ac:dyDescent="0.3">
      <c r="A309" s="64">
        <v>11</v>
      </c>
      <c r="B309" s="64" t="s">
        <v>1620</v>
      </c>
      <c r="C309" s="64" t="s">
        <v>1607</v>
      </c>
      <c r="D309" s="209">
        <v>12</v>
      </c>
      <c r="E309" s="209">
        <v>165</v>
      </c>
      <c r="F309" s="66">
        <f>8</f>
        <v>8</v>
      </c>
      <c r="G309" s="65">
        <f>'04a_Box_Dims'!$W40</f>
        <v>4.0999999999999996</v>
      </c>
      <c r="H309" s="66">
        <f t="shared" si="91"/>
        <v>200</v>
      </c>
      <c r="I309" s="65">
        <f>'04a_Box_Dims'!$Z40</f>
        <v>2.1213203435596424</v>
      </c>
      <c r="J309" s="66">
        <f>0</f>
        <v>0</v>
      </c>
      <c r="K309" s="66">
        <f t="shared" si="92"/>
        <v>2121</v>
      </c>
      <c r="L309" s="86">
        <f t="shared" si="93"/>
        <v>424.2</v>
      </c>
      <c r="M309" s="65">
        <f t="shared" si="94"/>
        <v>0.88781408390447547</v>
      </c>
      <c r="N309" s="86">
        <f t="shared" si="95"/>
        <v>376.61073439227846</v>
      </c>
    </row>
    <row r="310" spans="1:14" x14ac:dyDescent="0.3">
      <c r="A310" s="64">
        <v>12</v>
      </c>
      <c r="B310" s="64" t="s">
        <v>1621</v>
      </c>
      <c r="C310" s="64" t="s">
        <v>1622</v>
      </c>
      <c r="D310" s="83">
        <v>12</v>
      </c>
      <c r="E310" s="83">
        <v>200</v>
      </c>
      <c r="F310" s="66">
        <f>4</f>
        <v>4</v>
      </c>
      <c r="G310" s="65">
        <f>'04a_Box_Dims'!$J40</f>
        <v>6.75</v>
      </c>
      <c r="H310" s="66">
        <f t="shared" si="91"/>
        <v>136</v>
      </c>
      <c r="I310" s="65">
        <f>'04a_Box_Dims'!$J40</f>
        <v>6.75</v>
      </c>
      <c r="J310" s="66">
        <f>2*BX_hook</f>
        <v>600</v>
      </c>
      <c r="K310" s="66">
        <f t="shared" si="92"/>
        <v>7350</v>
      </c>
      <c r="L310" s="86">
        <f t="shared" si="93"/>
        <v>999.6</v>
      </c>
      <c r="M310" s="65">
        <f t="shared" si="94"/>
        <v>0.88781408390447547</v>
      </c>
      <c r="N310" s="86">
        <f t="shared" si="95"/>
        <v>887.45895827091374</v>
      </c>
    </row>
    <row r="311" spans="1:14" x14ac:dyDescent="0.3">
      <c r="A311" s="64">
        <v>13</v>
      </c>
      <c r="B311" s="64" t="s">
        <v>1623</v>
      </c>
      <c r="C311" s="64" t="s">
        <v>1607</v>
      </c>
      <c r="D311" s="209">
        <v>12</v>
      </c>
      <c r="E311" s="209">
        <v>225</v>
      </c>
      <c r="F311" s="66">
        <f>4</f>
        <v>4</v>
      </c>
      <c r="G311" s="65">
        <f>'04a_Box_Dims'!$J40</f>
        <v>6.75</v>
      </c>
      <c r="H311" s="66">
        <f t="shared" si="91"/>
        <v>124</v>
      </c>
      <c r="I311" s="65">
        <f>'04a_Box_Dims'!$J40</f>
        <v>6.75</v>
      </c>
      <c r="J311" s="66">
        <f>0</f>
        <v>0</v>
      </c>
      <c r="K311" s="66">
        <f t="shared" si="92"/>
        <v>6750</v>
      </c>
      <c r="L311" s="86">
        <f t="shared" si="93"/>
        <v>837</v>
      </c>
      <c r="M311" s="65">
        <f t="shared" si="94"/>
        <v>0.88781408390447547</v>
      </c>
      <c r="N311" s="86">
        <f t="shared" si="95"/>
        <v>743.10038822804597</v>
      </c>
    </row>
    <row r="312" spans="1:14" x14ac:dyDescent="0.3">
      <c r="A312" s="64">
        <v>14</v>
      </c>
      <c r="B312" s="64" t="s">
        <v>1624</v>
      </c>
      <c r="C312" s="64" t="s">
        <v>1613</v>
      </c>
      <c r="D312" s="83">
        <v>12</v>
      </c>
      <c r="E312" s="83">
        <v>3</v>
      </c>
      <c r="F312" s="66">
        <f>2*$E312</f>
        <v>6</v>
      </c>
      <c r="G312" s="65"/>
      <c r="H312" s="66">
        <f t="shared" si="91"/>
        <v>6</v>
      </c>
      <c r="I312" s="65">
        <f>'04a_Box_Dims'!$R40</f>
        <v>6.75</v>
      </c>
      <c r="J312" s="66">
        <f>0</f>
        <v>0</v>
      </c>
      <c r="K312" s="66">
        <f t="shared" si="92"/>
        <v>6750</v>
      </c>
      <c r="L312" s="86">
        <f t="shared" si="93"/>
        <v>40.5</v>
      </c>
      <c r="M312" s="65">
        <f t="shared" si="94"/>
        <v>0.88781408390447547</v>
      </c>
      <c r="N312" s="86">
        <f t="shared" si="95"/>
        <v>35.956470398131259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G2854"/>
  <sheetViews>
    <sheetView workbookViewId="0">
      <pane ySplit="4" topLeftCell="A5" activePane="bottomLeft" state="frozen"/>
      <selection pane="bottomLeft"/>
    </sheetView>
  </sheetViews>
  <sheetFormatPr defaultRowHeight="14.4" x14ac:dyDescent="0.3"/>
  <cols>
    <col min="1" max="1" width="7.44140625" customWidth="1"/>
    <col min="2" max="2" width="3" customWidth="1"/>
    <col min="3" max="3" width="11.44140625" customWidth="1"/>
    <col min="4" max="4" width="12.5546875" customWidth="1"/>
    <col min="5" max="5" width="46.33203125" customWidth="1"/>
    <col min="6" max="6" width="13.33203125" customWidth="1"/>
    <col min="7" max="7" width="6.6640625" customWidth="1"/>
    <col min="10" max="10" width="22.21875" customWidth="1"/>
  </cols>
  <sheetData>
    <row r="1" spans="1:33" ht="15.6" customHeight="1" x14ac:dyDescent="0.3">
      <c r="A1" s="53" t="s">
        <v>1625</v>
      </c>
    </row>
    <row r="2" spans="1:33" x14ac:dyDescent="0.3">
      <c r="A2" s="54" t="s">
        <v>1626</v>
      </c>
      <c r="J2" s="60" t="s">
        <v>1627</v>
      </c>
    </row>
    <row r="4" spans="1:33" ht="43.8" customHeight="1" thickBot="1" x14ac:dyDescent="0.35">
      <c r="A4" s="153" t="s">
        <v>1352</v>
      </c>
      <c r="B4" s="153" t="s">
        <v>1628</v>
      </c>
      <c r="C4" s="153" t="s">
        <v>1629</v>
      </c>
      <c r="D4" s="153" t="s">
        <v>1630</v>
      </c>
      <c r="E4" s="153" t="s">
        <v>1631</v>
      </c>
      <c r="F4" s="153" t="s">
        <v>1632</v>
      </c>
      <c r="G4" s="153" t="s">
        <v>43</v>
      </c>
      <c r="H4" s="153" t="s">
        <v>1633</v>
      </c>
      <c r="J4" s="62" t="s">
        <v>216</v>
      </c>
      <c r="K4" s="62" t="s">
        <v>1317</v>
      </c>
      <c r="L4" s="62" t="s">
        <v>1352</v>
      </c>
      <c r="M4" s="62" t="s">
        <v>1634</v>
      </c>
      <c r="N4" s="62" t="s">
        <v>1635</v>
      </c>
      <c r="O4" s="62" t="s">
        <v>1636</v>
      </c>
      <c r="P4" s="62" t="s">
        <v>1637</v>
      </c>
      <c r="Q4" s="62" t="s">
        <v>1638</v>
      </c>
      <c r="R4" s="62" t="s">
        <v>1639</v>
      </c>
      <c r="S4" s="62" t="s">
        <v>1640</v>
      </c>
      <c r="T4" s="62" t="s">
        <v>1641</v>
      </c>
      <c r="U4" s="62" t="s">
        <v>1642</v>
      </c>
      <c r="V4" s="62" t="s">
        <v>1643</v>
      </c>
      <c r="W4" s="62" t="s">
        <v>1644</v>
      </c>
      <c r="X4" s="62" t="s">
        <v>1645</v>
      </c>
      <c r="Y4" s="62" t="s">
        <v>1646</v>
      </c>
      <c r="Z4" s="62" t="s">
        <v>1647</v>
      </c>
      <c r="AA4" s="62" t="s">
        <v>1648</v>
      </c>
      <c r="AB4" s="62" t="s">
        <v>1649</v>
      </c>
      <c r="AC4" s="62" t="s">
        <v>1650</v>
      </c>
      <c r="AD4" s="62" t="s">
        <v>1651</v>
      </c>
      <c r="AE4" s="62" t="s">
        <v>1652</v>
      </c>
      <c r="AF4" s="62" t="s">
        <v>1653</v>
      </c>
      <c r="AG4" s="62" t="s">
        <v>1654</v>
      </c>
    </row>
    <row r="5" spans="1:33" x14ac:dyDescent="0.3">
      <c r="A5" s="94"/>
      <c r="B5" s="94"/>
      <c r="C5" s="91"/>
      <c r="D5" s="92"/>
      <c r="E5" s="64"/>
      <c r="F5" s="93"/>
      <c r="G5" s="94"/>
      <c r="H5" s="96"/>
      <c r="J5" s="22" t="str">
        <f>'04a_Box_Dims'!$A22</f>
        <v>1/2x2 box culvert</v>
      </c>
      <c r="K5" s="22" t="str">
        <f>'04a_Box_Dims'!$B22</f>
        <v>BC|1/2x2</v>
      </c>
      <c r="L5" s="90">
        <f>'04a_Box_Dims'!$F22</f>
        <v>0</v>
      </c>
      <c r="M5" s="89">
        <f>$F$21</f>
        <v>92</v>
      </c>
      <c r="N5" s="89">
        <f>$F$37</f>
        <v>2.25</v>
      </c>
      <c r="O5" s="89">
        <f>$F$61</f>
        <v>11.77</v>
      </c>
      <c r="P5" s="89">
        <f>$F$62</f>
        <v>0</v>
      </c>
      <c r="Q5" s="89">
        <f>$F$73</f>
        <v>6.25</v>
      </c>
      <c r="R5" s="89">
        <f>$F$74</f>
        <v>0</v>
      </c>
      <c r="S5" s="89">
        <f>$F$97</f>
        <v>11.35</v>
      </c>
      <c r="T5" s="89">
        <f>$F$98</f>
        <v>7.87</v>
      </c>
      <c r="U5" s="89">
        <f>$F$108</f>
        <v>68.400000000000006</v>
      </c>
      <c r="V5" s="89">
        <f>$F$114</f>
        <v>12</v>
      </c>
      <c r="W5" s="89">
        <f>$F$122</f>
        <v>4</v>
      </c>
      <c r="X5" s="89">
        <f>$F$128</f>
        <v>20</v>
      </c>
      <c r="Y5" s="89">
        <f>$F$134</f>
        <v>3</v>
      </c>
      <c r="Z5" s="89">
        <f>$F$144</f>
        <v>65.400000000000006</v>
      </c>
      <c r="AA5" s="97">
        <f>$F$148</f>
        <v>0</v>
      </c>
      <c r="AB5" s="97">
        <f>$F$149</f>
        <v>0.53</v>
      </c>
      <c r="AC5" s="97">
        <f>$F$150</f>
        <v>1.5469999999999999</v>
      </c>
      <c r="AD5" s="97">
        <f>$F$151</f>
        <v>0.52300000000000002</v>
      </c>
      <c r="AE5" s="97">
        <f>$F$152</f>
        <v>0</v>
      </c>
      <c r="AF5" s="97">
        <f>$F$153</f>
        <v>0</v>
      </c>
      <c r="AG5" s="89">
        <f>$F$61+$F$62+$F$73+$F$74+$F$97+$F$98</f>
        <v>37.239999999999995</v>
      </c>
    </row>
    <row r="6" spans="1:33" x14ac:dyDescent="0.3">
      <c r="A6" s="160" t="str">
        <f>'04a_Box_Dims'!$F22&amp;"  No.  "&amp;'04a_Box_Dims'!$A22&amp;"   (L = "&amp;TEXT('04a_Box_Dims'!$AE22,"0.00")&amp;" m)"</f>
        <v>0  No.  1/2x2 box culvert   (L = 10.00 m)</v>
      </c>
      <c r="B6" s="146"/>
      <c r="C6" s="162"/>
      <c r="D6" s="163"/>
      <c r="E6" s="147"/>
      <c r="F6" s="148"/>
      <c r="G6" s="146"/>
      <c r="H6" s="151"/>
      <c r="J6" s="22" t="str">
        <f>'04a_Box_Dims'!$A23</f>
        <v>2/2x2 box culvert</v>
      </c>
      <c r="K6" s="22" t="str">
        <f>'04a_Box_Dims'!$B23</f>
        <v>BC|2/2x2</v>
      </c>
      <c r="L6" s="90">
        <f>'04a_Box_Dims'!$F23</f>
        <v>0</v>
      </c>
      <c r="M6" s="89">
        <f>$F$171</f>
        <v>156</v>
      </c>
      <c r="N6" s="89">
        <f>$F$187</f>
        <v>3.75</v>
      </c>
      <c r="O6" s="89">
        <f>$F$211</f>
        <v>19.489999999999998</v>
      </c>
      <c r="P6" s="89">
        <f>$F$212</f>
        <v>0</v>
      </c>
      <c r="Q6" s="89">
        <f>$F$223</f>
        <v>11.88</v>
      </c>
      <c r="R6" s="89">
        <f>$F$224</f>
        <v>0</v>
      </c>
      <c r="S6" s="89">
        <f>$F$247</f>
        <v>17.61</v>
      </c>
      <c r="T6" s="89">
        <f>$F$248</f>
        <v>7.87</v>
      </c>
      <c r="U6" s="89">
        <f>$F$258</f>
        <v>71.099999999999994</v>
      </c>
      <c r="V6" s="89">
        <f>$F$264</f>
        <v>18.75</v>
      </c>
      <c r="W6" s="89">
        <f>$F$272</f>
        <v>6.25</v>
      </c>
      <c r="X6" s="89">
        <f>$F$278</f>
        <v>42.5</v>
      </c>
      <c r="Y6" s="89">
        <f>$F$284</f>
        <v>5.7</v>
      </c>
      <c r="Z6" s="89">
        <f>$F$294</f>
        <v>105.4</v>
      </c>
      <c r="AA6" s="97">
        <f>$F$298</f>
        <v>0</v>
      </c>
      <c r="AB6" s="97">
        <f>$F$299</f>
        <v>0.9</v>
      </c>
      <c r="AC6" s="97">
        <f>$F$300</f>
        <v>2.92</v>
      </c>
      <c r="AD6" s="97">
        <f>$F$301</f>
        <v>0.52300000000000002</v>
      </c>
      <c r="AE6" s="97">
        <f>$F$302</f>
        <v>0</v>
      </c>
      <c r="AF6" s="97">
        <f>$F$303</f>
        <v>0</v>
      </c>
      <c r="AG6" s="89">
        <f>$F$211+$F$212+$F$223+$F$224+$F$247+$F$248</f>
        <v>56.849999999999994</v>
      </c>
    </row>
    <row r="7" spans="1:33" x14ac:dyDescent="0.3">
      <c r="A7" s="161"/>
      <c r="B7" s="107"/>
      <c r="C7" s="111"/>
      <c r="D7" s="113"/>
      <c r="E7" s="149" t="s">
        <v>1438</v>
      </c>
      <c r="F7" s="150"/>
      <c r="G7" s="107"/>
      <c r="H7" s="95"/>
      <c r="J7" s="22" t="str">
        <f>'04a_Box_Dims'!$A24</f>
        <v>3/2x2 box culvert</v>
      </c>
      <c r="K7" s="22" t="str">
        <f>'04a_Box_Dims'!$B24</f>
        <v>BC|3/2x2</v>
      </c>
      <c r="L7" s="90">
        <f>'04a_Box_Dims'!$F24</f>
        <v>0</v>
      </c>
      <c r="M7" s="89">
        <f>$F$321</f>
        <v>220</v>
      </c>
      <c r="N7" s="89">
        <f>$F$337</f>
        <v>5.26</v>
      </c>
      <c r="O7" s="89">
        <f>$F$361</f>
        <v>27.21</v>
      </c>
      <c r="P7" s="89">
        <f>$F$362</f>
        <v>0</v>
      </c>
      <c r="Q7" s="89">
        <f>$F$373</f>
        <v>17.5</v>
      </c>
      <c r="R7" s="89">
        <f>$F$374</f>
        <v>0</v>
      </c>
      <c r="S7" s="89">
        <f>$F$397</f>
        <v>23.87</v>
      </c>
      <c r="T7" s="89">
        <f>$F$398</f>
        <v>7.87</v>
      </c>
      <c r="U7" s="89">
        <f>$F$408</f>
        <v>73.8</v>
      </c>
      <c r="V7" s="89">
        <f>$F$414</f>
        <v>25.5</v>
      </c>
      <c r="W7" s="89">
        <f>$F$422</f>
        <v>8.5</v>
      </c>
      <c r="X7" s="89">
        <f>$F$428</f>
        <v>65</v>
      </c>
      <c r="Y7" s="89">
        <f>$F$434</f>
        <v>8.4</v>
      </c>
      <c r="Z7" s="89">
        <f>$F$444</f>
        <v>145.4</v>
      </c>
      <c r="AA7" s="97">
        <f>$F$448</f>
        <v>0</v>
      </c>
      <c r="AB7" s="97">
        <f>$F$449</f>
        <v>1.258</v>
      </c>
      <c r="AC7" s="97">
        <f>$F$450</f>
        <v>4.6440000000000001</v>
      </c>
      <c r="AD7" s="97">
        <f>$F$451</f>
        <v>0.52300000000000002</v>
      </c>
      <c r="AE7" s="97">
        <f>$F$452</f>
        <v>0</v>
      </c>
      <c r="AF7" s="97">
        <f>$F$453</f>
        <v>0</v>
      </c>
      <c r="AG7" s="89">
        <f>$F$361+$F$362+$F$373+$F$374+$F$397+$F$398</f>
        <v>76.45</v>
      </c>
    </row>
    <row r="8" spans="1:33" x14ac:dyDescent="0.3">
      <c r="A8" s="161"/>
      <c r="B8" s="107"/>
      <c r="C8" s="111"/>
      <c r="D8" s="113"/>
      <c r="E8" s="63" t="s">
        <v>1655</v>
      </c>
      <c r="F8" s="150"/>
      <c r="G8" s="107"/>
      <c r="H8" s="95"/>
      <c r="J8" s="22" t="str">
        <f>'04a_Box_Dims'!$A25</f>
        <v>4/2x2 box culvert</v>
      </c>
      <c r="K8" s="22" t="str">
        <f>'04a_Box_Dims'!$B25</f>
        <v>BC|4/2x2</v>
      </c>
      <c r="L8" s="90">
        <f>'04a_Box_Dims'!$F25</f>
        <v>0</v>
      </c>
      <c r="M8" s="89">
        <f>$F$471</f>
        <v>285</v>
      </c>
      <c r="N8" s="89">
        <f>$F$487</f>
        <v>6.77</v>
      </c>
      <c r="O8" s="89">
        <f>$F$511</f>
        <v>34.92</v>
      </c>
      <c r="P8" s="89">
        <f>$F$512</f>
        <v>0</v>
      </c>
      <c r="Q8" s="89">
        <f>$F$523</f>
        <v>23.13</v>
      </c>
      <c r="R8" s="89">
        <f>$F$524</f>
        <v>0</v>
      </c>
      <c r="S8" s="89">
        <f>$F$547</f>
        <v>30.13</v>
      </c>
      <c r="T8" s="89">
        <f>$F$548</f>
        <v>7.87</v>
      </c>
      <c r="U8" s="89">
        <f>$F$558</f>
        <v>76.5</v>
      </c>
      <c r="V8" s="89">
        <f>$F$564</f>
        <v>32.25</v>
      </c>
      <c r="W8" s="89">
        <f>$F$572</f>
        <v>10.75</v>
      </c>
      <c r="X8" s="89">
        <f>$F$578</f>
        <v>87.5</v>
      </c>
      <c r="Y8" s="89">
        <f>$F$584</f>
        <v>11.1</v>
      </c>
      <c r="Z8" s="89">
        <f>$F$594</f>
        <v>185.4</v>
      </c>
      <c r="AA8" s="97">
        <f>$F$598</f>
        <v>0</v>
      </c>
      <c r="AB8" s="97">
        <f>$F$599</f>
        <v>1.6279999999999999</v>
      </c>
      <c r="AC8" s="97">
        <f>$F$600</f>
        <v>6.8460000000000001</v>
      </c>
      <c r="AD8" s="97">
        <f>$F$601</f>
        <v>0.52300000000000002</v>
      </c>
      <c r="AE8" s="97">
        <f>$F$602</f>
        <v>0</v>
      </c>
      <c r="AF8" s="97">
        <f>$F$603</f>
        <v>0</v>
      </c>
      <c r="AG8" s="89">
        <f>$F$511+$F$512+$F$523+$F$524+$F$547+$F$548</f>
        <v>96.05</v>
      </c>
    </row>
    <row r="9" spans="1:33" x14ac:dyDescent="0.3">
      <c r="A9" s="161">
        <f>1</f>
        <v>1</v>
      </c>
      <c r="B9" s="107" t="s">
        <v>1628</v>
      </c>
      <c r="C9" s="111">
        <f>'04a_Box_Dims'!$AE22</f>
        <v>10</v>
      </c>
      <c r="D9" s="113"/>
      <c r="E9" s="63" t="s">
        <v>1656</v>
      </c>
      <c r="F9" s="150"/>
      <c r="G9" s="107"/>
      <c r="H9" s="95"/>
      <c r="J9" s="22" t="str">
        <f>'04a_Box_Dims'!$A26</f>
        <v>1/3x2 box culvert</v>
      </c>
      <c r="K9" s="22" t="str">
        <f>'04a_Box_Dims'!$B26</f>
        <v>BC|1/3x2</v>
      </c>
      <c r="L9" s="90">
        <f>'04a_Box_Dims'!$F26</f>
        <v>0</v>
      </c>
      <c r="M9" s="89">
        <f>$F$621</f>
        <v>121</v>
      </c>
      <c r="N9" s="89">
        <f>$F$637</f>
        <v>2.92</v>
      </c>
      <c r="O9" s="89">
        <f>$F$661</f>
        <v>15.2</v>
      </c>
      <c r="P9" s="89">
        <f>$F$662</f>
        <v>0</v>
      </c>
      <c r="Q9" s="89">
        <f>$F$673</f>
        <v>8.75</v>
      </c>
      <c r="R9" s="89">
        <f>$F$674</f>
        <v>0</v>
      </c>
      <c r="S9" s="89">
        <f>$F$697</f>
        <v>11.71</v>
      </c>
      <c r="T9" s="89">
        <f>$F$698</f>
        <v>7.87</v>
      </c>
      <c r="U9" s="89">
        <f>$F$708</f>
        <v>69.599999999999994</v>
      </c>
      <c r="V9" s="89">
        <f>$F$714</f>
        <v>15</v>
      </c>
      <c r="W9" s="89">
        <f>$F$722</f>
        <v>5</v>
      </c>
      <c r="X9" s="89">
        <f>$F$728</f>
        <v>30</v>
      </c>
      <c r="Y9" s="89">
        <f>$F$734</f>
        <v>4.2</v>
      </c>
      <c r="Z9" s="89">
        <f>$F$744</f>
        <v>65.400000000000006</v>
      </c>
      <c r="AA9" s="97">
        <f>$F$748</f>
        <v>0</v>
      </c>
      <c r="AB9" s="97">
        <f>$F$749</f>
        <v>0.61699999999999999</v>
      </c>
      <c r="AC9" s="97">
        <f>$F$750</f>
        <v>2.371</v>
      </c>
      <c r="AD9" s="97">
        <f>$F$751</f>
        <v>0.52300000000000002</v>
      </c>
      <c r="AE9" s="97">
        <f>$F$752</f>
        <v>0</v>
      </c>
      <c r="AF9" s="97">
        <f>$F$753</f>
        <v>0</v>
      </c>
      <c r="AG9" s="89">
        <f>$F$661+$F$662+$F$673+$F$674+$F$697+$F$698</f>
        <v>43.529999999999994</v>
      </c>
    </row>
    <row r="10" spans="1:33" x14ac:dyDescent="0.3">
      <c r="A10" s="161"/>
      <c r="B10" s="107"/>
      <c r="C10" s="111">
        <f>'04a_Box_Dims'!$J22+2*BX_work</f>
        <v>3.1</v>
      </c>
      <c r="D10" s="113"/>
      <c r="E10" s="63"/>
      <c r="F10" s="150"/>
      <c r="G10" s="107"/>
      <c r="H10" s="95"/>
      <c r="J10" s="22" t="str">
        <f>'04a_Box_Dims'!$A27</f>
        <v>2/3x2 box culvert</v>
      </c>
      <c r="K10" s="22" t="str">
        <f>'04a_Box_Dims'!$B27</f>
        <v>BC|2/3x2</v>
      </c>
      <c r="L10" s="90">
        <f>'04a_Box_Dims'!$F27</f>
        <v>0</v>
      </c>
      <c r="M10" s="89">
        <f>$F$771</f>
        <v>213</v>
      </c>
      <c r="N10" s="89">
        <f>$F$787</f>
        <v>5.09</v>
      </c>
      <c r="O10" s="89">
        <f>$F$811</f>
        <v>26.35</v>
      </c>
      <c r="P10" s="89">
        <f>$F$812</f>
        <v>0</v>
      </c>
      <c r="Q10" s="89">
        <f>$F$823</f>
        <v>16.88</v>
      </c>
      <c r="R10" s="89">
        <f>$F$824</f>
        <v>0</v>
      </c>
      <c r="S10" s="89">
        <f>$F$847</f>
        <v>18.329999999999998</v>
      </c>
      <c r="T10" s="89">
        <f>$F$848</f>
        <v>7.87</v>
      </c>
      <c r="U10" s="89">
        <f>$F$858</f>
        <v>73.5</v>
      </c>
      <c r="V10" s="89">
        <f>$F$864</f>
        <v>24.75</v>
      </c>
      <c r="W10" s="89">
        <f>$F$872</f>
        <v>8.25</v>
      </c>
      <c r="X10" s="89">
        <f>$F$878</f>
        <v>62.5</v>
      </c>
      <c r="Y10" s="89">
        <f>$F$884</f>
        <v>8.1</v>
      </c>
      <c r="Z10" s="89">
        <f>$F$894</f>
        <v>105.4</v>
      </c>
      <c r="AA10" s="97">
        <f>$F$898</f>
        <v>0</v>
      </c>
      <c r="AB10" s="97">
        <f>$F$899</f>
        <v>1.06</v>
      </c>
      <c r="AC10" s="97">
        <f>$F$900</f>
        <v>4.1639999999999997</v>
      </c>
      <c r="AD10" s="97">
        <f>$F$901</f>
        <v>1.2689999999999999</v>
      </c>
      <c r="AE10" s="97">
        <f>$F$902</f>
        <v>0</v>
      </c>
      <c r="AF10" s="97">
        <f>$F$903</f>
        <v>0</v>
      </c>
      <c r="AG10" s="89">
        <f>$F$811+$F$812+$F$823+$F$824+$F$847+$F$848</f>
        <v>69.430000000000007</v>
      </c>
    </row>
    <row r="11" spans="1:33" x14ac:dyDescent="0.3">
      <c r="A11" s="161"/>
      <c r="B11" s="107"/>
      <c r="C11" s="111">
        <f>'04a_Box_Dims'!$L22+BX_blind+BX_exX</f>
        <v>2.6999999999999997</v>
      </c>
      <c r="D11" s="113">
        <f>$A9*$C9*$C10*$C11</f>
        <v>83.699999999999989</v>
      </c>
      <c r="E11" s="63"/>
      <c r="F11" s="150"/>
      <c r="G11" s="107"/>
      <c r="H11" s="95"/>
      <c r="J11" s="22" t="str">
        <f>'04a_Box_Dims'!$A28</f>
        <v>3/3x2 box culvert</v>
      </c>
      <c r="K11" s="22" t="str">
        <f>'04a_Box_Dims'!$B28</f>
        <v>BC|3/3x2</v>
      </c>
      <c r="L11" s="90">
        <f>'04a_Box_Dims'!$F28</f>
        <v>0</v>
      </c>
      <c r="M11" s="89">
        <f>$F$921</f>
        <v>306</v>
      </c>
      <c r="N11" s="89">
        <f>$F$937</f>
        <v>7.27</v>
      </c>
      <c r="O11" s="89">
        <f>$F$961</f>
        <v>37.5</v>
      </c>
      <c r="P11" s="89">
        <f>$F$962</f>
        <v>0</v>
      </c>
      <c r="Q11" s="89">
        <f>$F$973</f>
        <v>25</v>
      </c>
      <c r="R11" s="89">
        <f>$F$974</f>
        <v>0</v>
      </c>
      <c r="S11" s="89">
        <f>$F$997</f>
        <v>24.95</v>
      </c>
      <c r="T11" s="89">
        <f>$F$998</f>
        <v>7.87</v>
      </c>
      <c r="U11" s="89">
        <f>$F$1008</f>
        <v>77.400000000000006</v>
      </c>
      <c r="V11" s="89">
        <f>$F$1014</f>
        <v>34.5</v>
      </c>
      <c r="W11" s="89">
        <f>$F$1022</f>
        <v>11.5</v>
      </c>
      <c r="X11" s="89">
        <f>$F$1028</f>
        <v>95</v>
      </c>
      <c r="Y11" s="89">
        <f>$F$1034</f>
        <v>12</v>
      </c>
      <c r="Z11" s="89">
        <f>$F$1044</f>
        <v>145.4</v>
      </c>
      <c r="AA11" s="97">
        <f>$F$1048</f>
        <v>0</v>
      </c>
      <c r="AB11" s="97">
        <f>$F$1049</f>
        <v>1.504</v>
      </c>
      <c r="AC11" s="97">
        <f>$F$1050</f>
        <v>7.218</v>
      </c>
      <c r="AD11" s="97">
        <f>$F$1051</f>
        <v>1.623</v>
      </c>
      <c r="AE11" s="97">
        <f>$F$1052</f>
        <v>0</v>
      </c>
      <c r="AF11" s="97">
        <f>$F$1053</f>
        <v>0</v>
      </c>
      <c r="AG11" s="89">
        <f>$F$961+$F$962+$F$973+$F$974+$F$997+$F$998</f>
        <v>95.320000000000007</v>
      </c>
    </row>
    <row r="12" spans="1:33" x14ac:dyDescent="0.3">
      <c r="A12" s="161">
        <f>2</f>
        <v>2</v>
      </c>
      <c r="B12" s="107" t="s">
        <v>1628</v>
      </c>
      <c r="C12" s="111">
        <f>'04a_Box_Dims'!$O22</f>
        <v>1.5</v>
      </c>
      <c r="D12" s="113"/>
      <c r="E12" s="63" t="s">
        <v>1657</v>
      </c>
      <c r="F12" s="150"/>
      <c r="G12" s="107"/>
      <c r="H12" s="95"/>
      <c r="J12" s="22" t="str">
        <f>'04a_Box_Dims'!$A29</f>
        <v>1/3x3 box culvert</v>
      </c>
      <c r="K12" s="22" t="str">
        <f>'04a_Box_Dims'!$B29</f>
        <v>BC|1/3x3</v>
      </c>
      <c r="L12" s="90">
        <f>'04a_Box_Dims'!$F29</f>
        <v>0</v>
      </c>
      <c r="M12" s="89">
        <f>$F$1071</f>
        <v>162</v>
      </c>
      <c r="N12" s="89">
        <f>$F$1087</f>
        <v>2.95</v>
      </c>
      <c r="O12" s="89">
        <f>$F$1111</f>
        <v>15.42</v>
      </c>
      <c r="P12" s="89">
        <f>$F$1112</f>
        <v>0</v>
      </c>
      <c r="Q12" s="89">
        <f>$F$1123</f>
        <v>8.75</v>
      </c>
      <c r="R12" s="89">
        <f>$F$1124</f>
        <v>0</v>
      </c>
      <c r="S12" s="89">
        <f>$F$1147</f>
        <v>16.71</v>
      </c>
      <c r="T12" s="89">
        <f>$F$1148</f>
        <v>13.21</v>
      </c>
      <c r="U12" s="89">
        <f>$F$1158</f>
        <v>98.08</v>
      </c>
      <c r="V12" s="89">
        <f>$F$1164</f>
        <v>15</v>
      </c>
      <c r="W12" s="89">
        <f>$F$1172</f>
        <v>5</v>
      </c>
      <c r="X12" s="89">
        <f>$F$1178</f>
        <v>30</v>
      </c>
      <c r="Y12" s="89">
        <f>$F$1184</f>
        <v>4.2</v>
      </c>
      <c r="Z12" s="89">
        <f>$F$1194</f>
        <v>93.88</v>
      </c>
      <c r="AA12" s="97">
        <f>$F$1198</f>
        <v>0</v>
      </c>
      <c r="AB12" s="97">
        <f>$F$1199</f>
        <v>0.76500000000000001</v>
      </c>
      <c r="AC12" s="97">
        <f>$F$1200</f>
        <v>2.8730000000000002</v>
      </c>
      <c r="AD12" s="97">
        <f>$F$1201</f>
        <v>0</v>
      </c>
      <c r="AE12" s="97">
        <f>$F$1202</f>
        <v>0.93899999999999995</v>
      </c>
      <c r="AF12" s="97">
        <f>$F$1203</f>
        <v>0</v>
      </c>
      <c r="AG12" s="89">
        <f>$F$1111+$F$1112+$F$1123+$F$1124+$F$1147+$F$1148</f>
        <v>54.09</v>
      </c>
    </row>
    <row r="13" spans="1:33" x14ac:dyDescent="0.3">
      <c r="A13" s="161"/>
      <c r="B13" s="107"/>
      <c r="C13" s="111">
        <f>'04a_Box_Dims'!$Q22</f>
        <v>4</v>
      </c>
      <c r="D13" s="113"/>
      <c r="E13" s="63"/>
      <c r="F13" s="150"/>
      <c r="G13" s="107"/>
      <c r="H13" s="95"/>
      <c r="J13" s="22" t="str">
        <f>'04a_Box_Dims'!$A30</f>
        <v>2/3x3 box culvert</v>
      </c>
      <c r="K13" s="22" t="str">
        <f>'04a_Box_Dims'!$B30</f>
        <v>BC|2/3x3</v>
      </c>
      <c r="L13" s="90">
        <f>'04a_Box_Dims'!$F30</f>
        <v>0</v>
      </c>
      <c r="M13" s="89">
        <f>$F$1221</f>
        <v>287</v>
      </c>
      <c r="N13" s="89">
        <f>$F$1237</f>
        <v>5.13</v>
      </c>
      <c r="O13" s="89">
        <f>$F$1261</f>
        <v>26.57</v>
      </c>
      <c r="P13" s="89">
        <f>$F$1262</f>
        <v>0</v>
      </c>
      <c r="Q13" s="89">
        <f>$F$1273</f>
        <v>16.88</v>
      </c>
      <c r="R13" s="89">
        <f>$F$1274</f>
        <v>0</v>
      </c>
      <c r="S13" s="89">
        <f>$F$1297</f>
        <v>25.83</v>
      </c>
      <c r="T13" s="89">
        <f>$F$1298</f>
        <v>13.21</v>
      </c>
      <c r="U13" s="89">
        <f>$F$1308</f>
        <v>101.98</v>
      </c>
      <c r="V13" s="89">
        <f>$F$1314</f>
        <v>24.75</v>
      </c>
      <c r="W13" s="89">
        <f>$F$1322</f>
        <v>8.25</v>
      </c>
      <c r="X13" s="89">
        <f>$F$1328</f>
        <v>62.5</v>
      </c>
      <c r="Y13" s="89">
        <f>$F$1334</f>
        <v>8.1</v>
      </c>
      <c r="Z13" s="89">
        <f>$F$1344</f>
        <v>153.88</v>
      </c>
      <c r="AA13" s="97">
        <f>$F$1348</f>
        <v>0</v>
      </c>
      <c r="AB13" s="97">
        <f>$F$1349</f>
        <v>1.282</v>
      </c>
      <c r="AC13" s="97">
        <f>$F$1350</f>
        <v>4.9429999999999996</v>
      </c>
      <c r="AD13" s="97">
        <f>$F$1351</f>
        <v>0.746</v>
      </c>
      <c r="AE13" s="97">
        <f>$F$1352</f>
        <v>0.93899999999999995</v>
      </c>
      <c r="AF13" s="97">
        <f>$F$1353</f>
        <v>0</v>
      </c>
      <c r="AG13" s="89">
        <f>$F$1261+$F$1262+$F$1273+$F$1274+$F$1297+$F$1298</f>
        <v>82.490000000000009</v>
      </c>
    </row>
    <row r="14" spans="1:33" x14ac:dyDescent="0.3">
      <c r="A14" s="161"/>
      <c r="B14" s="107"/>
      <c r="C14" s="111">
        <f>'04a_Box_Dims'!$P22+BX_blind+BX_exX</f>
        <v>0.44999999999999996</v>
      </c>
      <c r="D14" s="113">
        <f>$A12*$C12*$C13*$C14</f>
        <v>5.3999999999999995</v>
      </c>
      <c r="E14" s="63"/>
      <c r="F14" s="150"/>
      <c r="G14" s="107"/>
      <c r="H14" s="95"/>
      <c r="J14" s="22" t="str">
        <f>'04a_Box_Dims'!$A31</f>
        <v>3/3x3 box culvert</v>
      </c>
      <c r="K14" s="22" t="str">
        <f>'04a_Box_Dims'!$B31</f>
        <v>BC|3/3x3</v>
      </c>
      <c r="L14" s="90">
        <f>'04a_Box_Dims'!$F31</f>
        <v>0</v>
      </c>
      <c r="M14" s="89">
        <f>$F$1371</f>
        <v>412</v>
      </c>
      <c r="N14" s="89">
        <f>$F$1387</f>
        <v>7.31</v>
      </c>
      <c r="O14" s="89">
        <f>$F$1411</f>
        <v>37.72</v>
      </c>
      <c r="P14" s="89">
        <f>$F$1412</f>
        <v>0</v>
      </c>
      <c r="Q14" s="89">
        <f>$F$1423</f>
        <v>25</v>
      </c>
      <c r="R14" s="89">
        <f>$F$1424</f>
        <v>0</v>
      </c>
      <c r="S14" s="89">
        <f>$F$1447</f>
        <v>34.950000000000003</v>
      </c>
      <c r="T14" s="89">
        <f>$F$1448</f>
        <v>13.21</v>
      </c>
      <c r="U14" s="89">
        <f>$F$1458</f>
        <v>105.88</v>
      </c>
      <c r="V14" s="89">
        <f>$F$1464</f>
        <v>34.5</v>
      </c>
      <c r="W14" s="89">
        <f>$F$1472</f>
        <v>11.5</v>
      </c>
      <c r="X14" s="89">
        <f>$F$1478</f>
        <v>95</v>
      </c>
      <c r="Y14" s="89">
        <f>$F$1484</f>
        <v>12</v>
      </c>
      <c r="Z14" s="89">
        <f>$F$1494</f>
        <v>213.88</v>
      </c>
      <c r="AA14" s="97">
        <f>$F$1498</f>
        <v>0</v>
      </c>
      <c r="AB14" s="97">
        <f>$F$1499</f>
        <v>1.8</v>
      </c>
      <c r="AC14" s="97">
        <f>$F$1500</f>
        <v>7.8170000000000002</v>
      </c>
      <c r="AD14" s="97">
        <f>$F$1501</f>
        <v>2.12</v>
      </c>
      <c r="AE14" s="97">
        <f>$F$1502</f>
        <v>0.93899999999999995</v>
      </c>
      <c r="AF14" s="97">
        <f>$F$1503</f>
        <v>0</v>
      </c>
      <c r="AG14" s="89">
        <f>$F$1411+$F$1412+$F$1423+$F$1424+$F$1447+$F$1448</f>
        <v>110.88</v>
      </c>
    </row>
    <row r="15" spans="1:33" x14ac:dyDescent="0.3">
      <c r="A15" s="161">
        <f>2</f>
        <v>2</v>
      </c>
      <c r="B15" s="107" t="s">
        <v>1628</v>
      </c>
      <c r="C15" s="111">
        <f>'04a_Box_Dims'!$R22</f>
        <v>2.5</v>
      </c>
      <c r="D15" s="113"/>
      <c r="E15" s="63" t="s">
        <v>1658</v>
      </c>
      <c r="F15" s="150"/>
      <c r="G15" s="107"/>
      <c r="H15" s="95"/>
      <c r="J15" s="22" t="str">
        <f>'04a_Box_Dims'!$A32</f>
        <v>4/3x3 box culvert</v>
      </c>
      <c r="K15" s="22" t="str">
        <f>'04a_Box_Dims'!$B32</f>
        <v>BC|4/3x3</v>
      </c>
      <c r="L15" s="90">
        <f>'04a_Box_Dims'!$F32</f>
        <v>0</v>
      </c>
      <c r="M15" s="89">
        <f>$F$1521</f>
        <v>538</v>
      </c>
      <c r="N15" s="89">
        <f>$F$1537</f>
        <v>9.48</v>
      </c>
      <c r="O15" s="89">
        <f>$F$1561</f>
        <v>48.86</v>
      </c>
      <c r="P15" s="89">
        <f>$F$1562</f>
        <v>0</v>
      </c>
      <c r="Q15" s="89">
        <f>$F$1573</f>
        <v>33.130000000000003</v>
      </c>
      <c r="R15" s="89">
        <f>$F$1574</f>
        <v>0</v>
      </c>
      <c r="S15" s="89">
        <f>$F$1597</f>
        <v>44.07</v>
      </c>
      <c r="T15" s="89">
        <f>$F$1598</f>
        <v>13.21</v>
      </c>
      <c r="U15" s="89">
        <f>$F$1608</f>
        <v>109.78</v>
      </c>
      <c r="V15" s="89">
        <f>$F$1614</f>
        <v>44.25</v>
      </c>
      <c r="W15" s="89">
        <f>$F$1622</f>
        <v>14.75</v>
      </c>
      <c r="X15" s="89">
        <f>$F$1628</f>
        <v>127.5</v>
      </c>
      <c r="Y15" s="89">
        <f>$F$1634</f>
        <v>15.9</v>
      </c>
      <c r="Z15" s="89">
        <f>$F$1644</f>
        <v>273.88</v>
      </c>
      <c r="AA15" s="97">
        <f>$F$1648</f>
        <v>0</v>
      </c>
      <c r="AB15" s="97">
        <f>$F$1649</f>
        <v>2.3180000000000001</v>
      </c>
      <c r="AC15" s="97">
        <f>$F$1650</f>
        <v>11.964</v>
      </c>
      <c r="AD15" s="97">
        <f>$F$1651</f>
        <v>3.3290000000000002</v>
      </c>
      <c r="AE15" s="97">
        <f>$F$1652</f>
        <v>0.93899999999999995</v>
      </c>
      <c r="AF15" s="97">
        <f>$F$1653</f>
        <v>0</v>
      </c>
      <c r="AG15" s="89">
        <f>$F$1561+$F$1562+$F$1573+$F$1574+$F$1597+$F$1598</f>
        <v>139.27000000000001</v>
      </c>
    </row>
    <row r="16" spans="1:33" x14ac:dyDescent="0.3">
      <c r="A16" s="161"/>
      <c r="B16" s="107"/>
      <c r="C16" s="111">
        <f>'04a_Box_Dims'!$S22</f>
        <v>0.2</v>
      </c>
      <c r="D16" s="113"/>
      <c r="E16" s="63"/>
      <c r="F16" s="150"/>
      <c r="G16" s="107"/>
      <c r="H16" s="95"/>
      <c r="J16" s="22" t="str">
        <f>'04a_Box_Dims'!$A33</f>
        <v>1/4x3 box culvert</v>
      </c>
      <c r="K16" s="22" t="str">
        <f>'04a_Box_Dims'!$B33</f>
        <v>BC|1/4x3</v>
      </c>
      <c r="L16" s="90">
        <f>'04a_Box_Dims'!$F33</f>
        <v>0</v>
      </c>
      <c r="M16" s="89">
        <f>$F$1671</f>
        <v>221</v>
      </c>
      <c r="N16" s="89">
        <f>$F$1687</f>
        <v>3.76</v>
      </c>
      <c r="O16" s="89">
        <f>$F$1711</f>
        <v>0.85</v>
      </c>
      <c r="P16" s="89">
        <f>$F$1712</f>
        <v>25.63</v>
      </c>
      <c r="Q16" s="89">
        <f>$F$1723</f>
        <v>0</v>
      </c>
      <c r="R16" s="89">
        <f>$F$1724</f>
        <v>16.45</v>
      </c>
      <c r="S16" s="89">
        <f>$F$1747</f>
        <v>0.45</v>
      </c>
      <c r="T16" s="89">
        <f>$F$1748</f>
        <v>37.56</v>
      </c>
      <c r="U16" s="89">
        <f>$F$1758</f>
        <v>101.22</v>
      </c>
      <c r="V16" s="89">
        <f>$F$1764</f>
        <v>18.600000000000001</v>
      </c>
      <c r="W16" s="89">
        <f>$F$1772</f>
        <v>8.68</v>
      </c>
      <c r="X16" s="89">
        <f>$F$1778</f>
        <v>40</v>
      </c>
      <c r="Y16" s="89">
        <f>$F$1784</f>
        <v>5.64</v>
      </c>
      <c r="Z16" s="89">
        <f>$F$1794</f>
        <v>95.58</v>
      </c>
      <c r="AA16" s="97">
        <f>$F$1798</f>
        <v>0</v>
      </c>
      <c r="AB16" s="97">
        <f>$F$1799</f>
        <v>1.2210000000000001</v>
      </c>
      <c r="AC16" s="97">
        <f>$F$1800</f>
        <v>3.738</v>
      </c>
      <c r="AD16" s="97">
        <f>$F$1801</f>
        <v>0</v>
      </c>
      <c r="AE16" s="97">
        <f>$F$1802</f>
        <v>0.97299999999999998</v>
      </c>
      <c r="AF16" s="97">
        <f>$F$1803</f>
        <v>0</v>
      </c>
      <c r="AG16" s="89">
        <f>$F$1711+$F$1712+$F$1723+$F$1724+$F$1747+$F$1748</f>
        <v>80.94</v>
      </c>
    </row>
    <row r="17" spans="1:33" x14ac:dyDescent="0.3">
      <c r="A17" s="161"/>
      <c r="B17" s="107"/>
      <c r="C17" s="111">
        <f>'04a_Box_Dims'!$T22+BX_blind</f>
        <v>0.5</v>
      </c>
      <c r="D17" s="113">
        <f>$A15*$C15*$C16*$C17</f>
        <v>0.5</v>
      </c>
      <c r="E17" s="63"/>
      <c r="F17" s="150"/>
      <c r="G17" s="107"/>
      <c r="H17" s="95"/>
      <c r="J17" s="22" t="str">
        <f>'04a_Box_Dims'!$A34</f>
        <v>2/4x3 box culvert</v>
      </c>
      <c r="K17" s="22" t="str">
        <f>'04a_Box_Dims'!$B34</f>
        <v>BC|2/4x3</v>
      </c>
      <c r="L17" s="90">
        <f>'04a_Box_Dims'!$F34</f>
        <v>0</v>
      </c>
      <c r="M17" s="89">
        <f>$F$1821</f>
        <v>399</v>
      </c>
      <c r="N17" s="89">
        <f>$F$1837</f>
        <v>6.67</v>
      </c>
      <c r="O17" s="89">
        <f>$F$1861</f>
        <v>1.63</v>
      </c>
      <c r="P17" s="89">
        <f>$F$1862</f>
        <v>45.43</v>
      </c>
      <c r="Q17" s="89">
        <f>$F$1873</f>
        <v>0</v>
      </c>
      <c r="R17" s="89">
        <f>$F$1874</f>
        <v>31.68</v>
      </c>
      <c r="S17" s="89">
        <f>$F$1897</f>
        <v>0.9</v>
      </c>
      <c r="T17" s="89">
        <f>$F$1898</f>
        <v>49.89</v>
      </c>
      <c r="U17" s="89">
        <f>$F$1908</f>
        <v>106.44</v>
      </c>
      <c r="V17" s="89">
        <f>$F$1914</f>
        <v>31.65</v>
      </c>
      <c r="W17" s="89">
        <f>$F$1922</f>
        <v>14.77</v>
      </c>
      <c r="X17" s="89">
        <f>$F$1928</f>
        <v>83.5</v>
      </c>
      <c r="Y17" s="89">
        <f>$F$1934</f>
        <v>10.86</v>
      </c>
      <c r="Z17" s="89">
        <f>$F$1944</f>
        <v>155.58000000000001</v>
      </c>
      <c r="AA17" s="97">
        <f>$F$1948</f>
        <v>0</v>
      </c>
      <c r="AB17" s="97">
        <f>$F$1949</f>
        <v>2.0840000000000001</v>
      </c>
      <c r="AC17" s="97">
        <f>$F$1950</f>
        <v>7.4269999999999996</v>
      </c>
      <c r="AD17" s="97">
        <f>$F$1951</f>
        <v>1.0589999999999999</v>
      </c>
      <c r="AE17" s="97">
        <f>$F$1952</f>
        <v>0.97299999999999998</v>
      </c>
      <c r="AF17" s="97">
        <f>$F$1953</f>
        <v>0</v>
      </c>
      <c r="AG17" s="89">
        <f>$F$1861+$F$1862+$F$1873+$F$1874+$F$1897+$F$1898</f>
        <v>129.53000000000003</v>
      </c>
    </row>
    <row r="18" spans="1:33" x14ac:dyDescent="0.3">
      <c r="A18" s="161">
        <f>4</f>
        <v>4</v>
      </c>
      <c r="B18" s="107" t="s">
        <v>1628</v>
      </c>
      <c r="C18" s="111">
        <f>'04a_Box_Dims'!$Z22</f>
        <v>2.1213203435596424</v>
      </c>
      <c r="D18" s="113"/>
      <c r="E18" s="63" t="s">
        <v>1659</v>
      </c>
      <c r="F18" s="150"/>
      <c r="G18" s="107"/>
      <c r="H18" s="95"/>
      <c r="J18" s="22" t="str">
        <f>'04a_Box_Dims'!$A35</f>
        <v>3/4x3 box culvert</v>
      </c>
      <c r="K18" s="22" t="str">
        <f>'04a_Box_Dims'!$B35</f>
        <v>BC|3/4x3</v>
      </c>
      <c r="L18" s="90">
        <f>'04a_Box_Dims'!$F35</f>
        <v>0</v>
      </c>
      <c r="M18" s="89">
        <f>$F$1971</f>
        <v>576</v>
      </c>
      <c r="N18" s="89">
        <f>$F$1987</f>
        <v>9.58</v>
      </c>
      <c r="O18" s="89">
        <f>$F$2011</f>
        <v>2.41</v>
      </c>
      <c r="P18" s="89">
        <f>$F$2012</f>
        <v>65.22</v>
      </c>
      <c r="Q18" s="89">
        <f>$F$2023</f>
        <v>0</v>
      </c>
      <c r="R18" s="89">
        <f>$F$2024</f>
        <v>46.9</v>
      </c>
      <c r="S18" s="89">
        <f>$F$2047</f>
        <v>1.35</v>
      </c>
      <c r="T18" s="89">
        <f>$F$2048</f>
        <v>62.21</v>
      </c>
      <c r="U18" s="89">
        <f>$F$2058</f>
        <v>111.66</v>
      </c>
      <c r="V18" s="89">
        <f>$F$2064</f>
        <v>44.7</v>
      </c>
      <c r="W18" s="89">
        <f>$F$2072</f>
        <v>20.86</v>
      </c>
      <c r="X18" s="89">
        <f>$F$2078</f>
        <v>127</v>
      </c>
      <c r="Y18" s="89">
        <f>$F$2084</f>
        <v>16.079999999999998</v>
      </c>
      <c r="Z18" s="89">
        <f>$F$2094</f>
        <v>215.58</v>
      </c>
      <c r="AA18" s="97">
        <f>$F$2098</f>
        <v>0</v>
      </c>
      <c r="AB18" s="97">
        <f>$F$2099</f>
        <v>2.9590000000000001</v>
      </c>
      <c r="AC18" s="97">
        <f>$F$2100</f>
        <v>12.509</v>
      </c>
      <c r="AD18" s="97">
        <f>$F$2101</f>
        <v>2.9809999999999999</v>
      </c>
      <c r="AE18" s="97">
        <f>$F$2102</f>
        <v>0.97299999999999998</v>
      </c>
      <c r="AF18" s="97">
        <f>$F$2103</f>
        <v>0</v>
      </c>
      <c r="AG18" s="89">
        <f>$F$2011+$F$2012+$F$2023+$F$2024+$F$2047+$F$2048</f>
        <v>178.09</v>
      </c>
    </row>
    <row r="19" spans="1:33" x14ac:dyDescent="0.3">
      <c r="A19" s="161"/>
      <c r="B19" s="107"/>
      <c r="C19" s="111">
        <f>'04a_Box_Dims'!$AC22</f>
        <v>0.81400000000000006</v>
      </c>
      <c r="D19" s="113"/>
      <c r="E19" s="63"/>
      <c r="F19" s="150"/>
      <c r="G19" s="107"/>
      <c r="H19" s="95"/>
      <c r="J19" s="22" t="str">
        <f>'04a_Box_Dims'!$A36</f>
        <v>1/4x4 box culvert</v>
      </c>
      <c r="K19" s="22" t="str">
        <f>'04a_Box_Dims'!$B36</f>
        <v>BC|1/4x4</v>
      </c>
      <c r="L19" s="90">
        <f>'04a_Box_Dims'!$F36</f>
        <v>0</v>
      </c>
      <c r="M19" s="89">
        <f>$F$2121</f>
        <v>274</v>
      </c>
      <c r="N19" s="89">
        <f>$F$2137</f>
        <v>3.76</v>
      </c>
      <c r="O19" s="89">
        <f>$F$2161</f>
        <v>0.85</v>
      </c>
      <c r="P19" s="89">
        <f>$F$2162</f>
        <v>25.63</v>
      </c>
      <c r="Q19" s="89">
        <f>$F$2173</f>
        <v>0</v>
      </c>
      <c r="R19" s="89">
        <f>$F$2174</f>
        <v>16.45</v>
      </c>
      <c r="S19" s="89">
        <f>$F$2197</f>
        <v>0.45</v>
      </c>
      <c r="T19" s="89">
        <f>$F$2198</f>
        <v>51.56</v>
      </c>
      <c r="U19" s="89">
        <f>$F$2208</f>
        <v>129.69999999999999</v>
      </c>
      <c r="V19" s="89">
        <f>$F$2214</f>
        <v>18.600000000000001</v>
      </c>
      <c r="W19" s="89">
        <f>$F$2222</f>
        <v>8.68</v>
      </c>
      <c r="X19" s="89">
        <f>$F$2228</f>
        <v>40</v>
      </c>
      <c r="Y19" s="89">
        <f>$F$2234</f>
        <v>5.64</v>
      </c>
      <c r="Z19" s="89">
        <f>$F$2244</f>
        <v>124.06</v>
      </c>
      <c r="AA19" s="97">
        <f>$F$2248</f>
        <v>0</v>
      </c>
      <c r="AB19" s="97">
        <f>$F$2249</f>
        <v>1.4430000000000001</v>
      </c>
      <c r="AC19" s="97">
        <f>$F$2250</f>
        <v>4.5540000000000003</v>
      </c>
      <c r="AD19" s="97">
        <f>$F$2251</f>
        <v>0</v>
      </c>
      <c r="AE19" s="97">
        <f>$F$2252</f>
        <v>0</v>
      </c>
      <c r="AF19" s="97">
        <f>$F$2253</f>
        <v>1.5720000000000001</v>
      </c>
      <c r="AG19" s="89">
        <f>$F$2161+$F$2162+$F$2173+$F$2174+$F$2197+$F$2198</f>
        <v>94.94</v>
      </c>
    </row>
    <row r="20" spans="1:33" x14ac:dyDescent="0.3">
      <c r="A20" s="161"/>
      <c r="B20" s="107"/>
      <c r="C20" s="111">
        <f>'04a_Box_Dims'!$AD22+BX_blind</f>
        <v>0.35</v>
      </c>
      <c r="D20" s="113">
        <f>$A18*$C18*$C19*$C20</f>
        <v>2.4174566635205683</v>
      </c>
      <c r="E20" s="63"/>
      <c r="F20" s="150"/>
      <c r="G20" s="107"/>
      <c r="H20" s="95"/>
      <c r="J20" s="22" t="str">
        <f>'04a_Box_Dims'!$A37</f>
        <v>2/4x4 box culvert</v>
      </c>
      <c r="K20" s="22" t="str">
        <f>'04a_Box_Dims'!$B37</f>
        <v>BC|2/4x4</v>
      </c>
      <c r="L20" s="90">
        <f>'04a_Box_Dims'!$F37</f>
        <v>0</v>
      </c>
      <c r="M20" s="89">
        <f>$F$2271</f>
        <v>495</v>
      </c>
      <c r="N20" s="89">
        <f>$F$2287</f>
        <v>6.67</v>
      </c>
      <c r="O20" s="89">
        <f>$F$2311</f>
        <v>1.63</v>
      </c>
      <c r="P20" s="89">
        <f>$F$2312</f>
        <v>45.43</v>
      </c>
      <c r="Q20" s="89">
        <f>$F$2323</f>
        <v>0</v>
      </c>
      <c r="R20" s="89">
        <f>$F$2324</f>
        <v>31.68</v>
      </c>
      <c r="S20" s="89">
        <f>$F$2347</f>
        <v>0.9</v>
      </c>
      <c r="T20" s="89">
        <f>$F$2348</f>
        <v>67.39</v>
      </c>
      <c r="U20" s="89">
        <f>$F$2358</f>
        <v>134.91999999999999</v>
      </c>
      <c r="V20" s="89">
        <f>$F$2364</f>
        <v>31.65</v>
      </c>
      <c r="W20" s="89">
        <f>$F$2372</f>
        <v>14.77</v>
      </c>
      <c r="X20" s="89">
        <f>$F$2378</f>
        <v>83.5</v>
      </c>
      <c r="Y20" s="89">
        <f>$F$2384</f>
        <v>10.86</v>
      </c>
      <c r="Z20" s="89">
        <f>$F$2394</f>
        <v>204.06</v>
      </c>
      <c r="AA20" s="97">
        <f>$F$2398</f>
        <v>0</v>
      </c>
      <c r="AB20" s="97">
        <f>$F$2399</f>
        <v>2.4169999999999998</v>
      </c>
      <c r="AC20" s="97">
        <f>$F$2400</f>
        <v>8.9440000000000008</v>
      </c>
      <c r="AD20" s="97">
        <f>$F$2401</f>
        <v>1.0589999999999999</v>
      </c>
      <c r="AE20" s="97">
        <f>$F$2402</f>
        <v>0</v>
      </c>
      <c r="AF20" s="97">
        <f>$F$2403</f>
        <v>1.5720000000000001</v>
      </c>
      <c r="AG20" s="89">
        <f>$F$2311+$F$2312+$F$2323+$F$2324+$F$2347+$F$2348</f>
        <v>147.03000000000003</v>
      </c>
    </row>
    <row r="21" spans="1:33" x14ac:dyDescent="0.3">
      <c r="A21" s="161"/>
      <c r="B21" s="107"/>
      <c r="C21" s="111"/>
      <c r="D21" s="113">
        <f>SUM($D$9:$D$20)</f>
        <v>92.017456663520562</v>
      </c>
      <c r="E21" s="63" t="s">
        <v>1660</v>
      </c>
      <c r="F21" s="150">
        <f>ROUND($D21,0)</f>
        <v>92</v>
      </c>
      <c r="G21" s="107" t="s">
        <v>1661</v>
      </c>
      <c r="H21" s="95"/>
      <c r="J21" s="22" t="str">
        <f>'04a_Box_Dims'!$A38</f>
        <v>3/4x4 box culvert</v>
      </c>
      <c r="K21" s="22" t="str">
        <f>'04a_Box_Dims'!$B38</f>
        <v>BC|3/4x4</v>
      </c>
      <c r="L21" s="90">
        <f>'04a_Box_Dims'!$F38</f>
        <v>0</v>
      </c>
      <c r="M21" s="89">
        <f>$F$2421</f>
        <v>716</v>
      </c>
      <c r="N21" s="89">
        <f>$F$2437</f>
        <v>9.58</v>
      </c>
      <c r="O21" s="89">
        <f>$F$2461</f>
        <v>2.41</v>
      </c>
      <c r="P21" s="89">
        <f>$F$2462</f>
        <v>65.22</v>
      </c>
      <c r="Q21" s="89">
        <f>$F$2473</f>
        <v>0</v>
      </c>
      <c r="R21" s="89">
        <f>$F$2474</f>
        <v>46.9</v>
      </c>
      <c r="S21" s="89">
        <f>$F$2497</f>
        <v>1.35</v>
      </c>
      <c r="T21" s="89">
        <f>$F$2498</f>
        <v>83.22</v>
      </c>
      <c r="U21" s="89">
        <f>$F$2508</f>
        <v>140.13999999999999</v>
      </c>
      <c r="V21" s="89">
        <f>$F$2514</f>
        <v>44.7</v>
      </c>
      <c r="W21" s="89">
        <f>$F$2522</f>
        <v>20.86</v>
      </c>
      <c r="X21" s="89">
        <f>$F$2528</f>
        <v>127</v>
      </c>
      <c r="Y21" s="89">
        <f>$F$2534</f>
        <v>16.079999999999998</v>
      </c>
      <c r="Z21" s="89">
        <f>$F$2544</f>
        <v>284.06</v>
      </c>
      <c r="AA21" s="97">
        <f>$F$2548</f>
        <v>0</v>
      </c>
      <c r="AB21" s="97">
        <f>$F$2549</f>
        <v>3.403</v>
      </c>
      <c r="AC21" s="97">
        <f>$F$2550</f>
        <v>10.146000000000001</v>
      </c>
      <c r="AD21" s="97">
        <f>$F$2551</f>
        <v>7.7759999999999998</v>
      </c>
      <c r="AE21" s="97">
        <f>$F$2552</f>
        <v>0</v>
      </c>
      <c r="AF21" s="97">
        <f>$F$2553</f>
        <v>1.5720000000000001</v>
      </c>
      <c r="AG21" s="89">
        <f>$F$2461+$F$2462+$F$2473+$F$2474+$F$2497+$F$2498</f>
        <v>199.1</v>
      </c>
    </row>
    <row r="22" spans="1:33" x14ac:dyDescent="0.3">
      <c r="A22" s="161"/>
      <c r="B22" s="107"/>
      <c r="C22" s="111"/>
      <c r="D22" s="113"/>
      <c r="E22" s="63"/>
      <c r="F22" s="150"/>
      <c r="G22" s="107"/>
      <c r="H22" s="95"/>
      <c r="J22" s="22" t="str">
        <f>'04a_Box_Dims'!$A39</f>
        <v>4/4x4 box culvert</v>
      </c>
      <c r="K22" s="22" t="str">
        <f>'04a_Box_Dims'!$B39</f>
        <v>BC|4/4x4</v>
      </c>
      <c r="L22" s="90">
        <f>'04a_Box_Dims'!$F39</f>
        <v>0</v>
      </c>
      <c r="M22" s="89">
        <f>$F$2571</f>
        <v>938</v>
      </c>
      <c r="N22" s="89">
        <f>$F$2587</f>
        <v>12.5</v>
      </c>
      <c r="O22" s="89">
        <f>$F$2611</f>
        <v>3.2</v>
      </c>
      <c r="P22" s="89">
        <f>$F$2612</f>
        <v>85.01</v>
      </c>
      <c r="Q22" s="89">
        <f>$F$2623</f>
        <v>0</v>
      </c>
      <c r="R22" s="89">
        <f>$F$2624</f>
        <v>62.13</v>
      </c>
      <c r="S22" s="89">
        <f>$F$2647</f>
        <v>1.8</v>
      </c>
      <c r="T22" s="89">
        <f>$F$2648</f>
        <v>99.05</v>
      </c>
      <c r="U22" s="89">
        <f>$F$2658</f>
        <v>145.36000000000001</v>
      </c>
      <c r="V22" s="89">
        <f>$F$2664</f>
        <v>57.75</v>
      </c>
      <c r="W22" s="89">
        <f>$F$2672</f>
        <v>26.95</v>
      </c>
      <c r="X22" s="89">
        <f>$F$2678</f>
        <v>170.5</v>
      </c>
      <c r="Y22" s="89">
        <f>$F$2684</f>
        <v>21.3</v>
      </c>
      <c r="Z22" s="89">
        <f>$F$2694</f>
        <v>364.06</v>
      </c>
      <c r="AA22" s="97">
        <f>$F$2698</f>
        <v>0</v>
      </c>
      <c r="AB22" s="97">
        <f>$F$2699</f>
        <v>4.3899999999999997</v>
      </c>
      <c r="AC22" s="97">
        <f>$F$2700</f>
        <v>16.309000000000001</v>
      </c>
      <c r="AD22" s="97">
        <f>$F$2701</f>
        <v>12.051</v>
      </c>
      <c r="AE22" s="97">
        <f>$F$2702</f>
        <v>0</v>
      </c>
      <c r="AF22" s="97">
        <f>$F$2703</f>
        <v>1.5720000000000001</v>
      </c>
      <c r="AG22" s="89">
        <f>$F$2611+$F$2612+$F$2623+$F$2624+$F$2647+$F$2648</f>
        <v>251.19</v>
      </c>
    </row>
    <row r="23" spans="1:33" x14ac:dyDescent="0.3">
      <c r="A23" s="161"/>
      <c r="B23" s="107"/>
      <c r="C23" s="111"/>
      <c r="D23" s="113"/>
      <c r="E23" s="149" t="s">
        <v>1323</v>
      </c>
      <c r="F23" s="150"/>
      <c r="G23" s="107"/>
      <c r="H23" s="95"/>
      <c r="J23" s="22" t="str">
        <f>'04a_Box_Dims'!$A40</f>
        <v>2/3x2.4 box culvert</v>
      </c>
      <c r="K23" s="22" t="str">
        <f>'04a_Box_Dims'!$B40</f>
        <v>BC|2/3x2.4</v>
      </c>
      <c r="L23" s="90">
        <f>'04a_Box_Dims'!$F40</f>
        <v>0</v>
      </c>
      <c r="M23" s="89">
        <f>$F$2721</f>
        <v>243</v>
      </c>
      <c r="N23" s="89">
        <f>$F$2737</f>
        <v>5.13</v>
      </c>
      <c r="O23" s="89">
        <f>$F$2761</f>
        <v>26.57</v>
      </c>
      <c r="P23" s="89">
        <f>$F$2762</f>
        <v>0</v>
      </c>
      <c r="Q23" s="89">
        <f>$F$2773</f>
        <v>16.88</v>
      </c>
      <c r="R23" s="89">
        <f>$F$2774</f>
        <v>0</v>
      </c>
      <c r="S23" s="89">
        <f>$F$2797</f>
        <v>21.33</v>
      </c>
      <c r="T23" s="89">
        <f>$F$2798</f>
        <v>9.7899999999999991</v>
      </c>
      <c r="U23" s="89">
        <f>$F$2808</f>
        <v>84.89</v>
      </c>
      <c r="V23" s="89">
        <f>$F$2814</f>
        <v>24.75</v>
      </c>
      <c r="W23" s="89">
        <f>$F$2822</f>
        <v>8.25</v>
      </c>
      <c r="X23" s="89">
        <f>$F$2828</f>
        <v>62.5</v>
      </c>
      <c r="Y23" s="89">
        <f>$F$2834</f>
        <v>8.1</v>
      </c>
      <c r="Z23" s="89">
        <f>$F$2844</f>
        <v>124.79</v>
      </c>
      <c r="AA23" s="97">
        <f>$F$2848</f>
        <v>0</v>
      </c>
      <c r="AB23" s="97">
        <f>$F$2849</f>
        <v>1.171</v>
      </c>
      <c r="AC23" s="97">
        <f>$F$2850</f>
        <v>4.4329999999999998</v>
      </c>
      <c r="AD23" s="97">
        <f>$F$2851</f>
        <v>1.44</v>
      </c>
      <c r="AE23" s="97">
        <f>$F$2852</f>
        <v>0</v>
      </c>
      <c r="AF23" s="97">
        <f>$F$2853</f>
        <v>0</v>
      </c>
      <c r="AG23" s="89">
        <f>$F$2761+$F$2762+$F$2773+$F$2774+$F$2797+$F$2798</f>
        <v>74.569999999999993</v>
      </c>
    </row>
    <row r="24" spans="1:33" x14ac:dyDescent="0.3">
      <c r="A24" s="161"/>
      <c r="B24" s="107"/>
      <c r="C24" s="111"/>
      <c r="D24" s="113"/>
      <c r="E24" s="63" t="s">
        <v>1662</v>
      </c>
      <c r="F24" s="150"/>
      <c r="G24" s="107"/>
      <c r="H24" s="95"/>
    </row>
    <row r="25" spans="1:33" x14ac:dyDescent="0.3">
      <c r="A25" s="161">
        <f>1</f>
        <v>1</v>
      </c>
      <c r="B25" s="107" t="s">
        <v>1628</v>
      </c>
      <c r="C25" s="111">
        <f>'04a_Box_Dims'!$AE22</f>
        <v>10</v>
      </c>
      <c r="D25" s="113"/>
      <c r="E25" s="63" t="s">
        <v>1663</v>
      </c>
      <c r="F25" s="150"/>
      <c r="G25" s="107"/>
      <c r="H25" s="95"/>
    </row>
    <row r="26" spans="1:33" x14ac:dyDescent="0.3">
      <c r="A26" s="161"/>
      <c r="B26" s="107"/>
      <c r="C26" s="111">
        <f>'04a_Box_Dims'!$J22</f>
        <v>2.5</v>
      </c>
      <c r="D26" s="113"/>
      <c r="E26" s="63"/>
      <c r="F26" s="150"/>
      <c r="G26" s="107"/>
      <c r="H26" s="95"/>
    </row>
    <row r="27" spans="1:33" x14ac:dyDescent="0.3">
      <c r="A27" s="161"/>
      <c r="B27" s="107"/>
      <c r="C27" s="111">
        <f>BX_blind</f>
        <v>0.05</v>
      </c>
      <c r="D27" s="113">
        <f>$A25*$C25*$C26*$C27</f>
        <v>1.25</v>
      </c>
      <c r="E27" s="63"/>
      <c r="F27" s="150"/>
      <c r="G27" s="107"/>
      <c r="H27" s="95"/>
    </row>
    <row r="28" spans="1:33" x14ac:dyDescent="0.3">
      <c r="A28" s="161">
        <f>2</f>
        <v>2</v>
      </c>
      <c r="B28" s="107" t="s">
        <v>1628</v>
      </c>
      <c r="C28" s="111">
        <f>'04a_Box_Dims'!$O22</f>
        <v>1.5</v>
      </c>
      <c r="D28" s="113"/>
      <c r="E28" s="63" t="s">
        <v>1657</v>
      </c>
      <c r="F28" s="150"/>
      <c r="G28" s="107"/>
      <c r="H28" s="95"/>
    </row>
    <row r="29" spans="1:33" x14ac:dyDescent="0.3">
      <c r="A29" s="161"/>
      <c r="B29" s="107"/>
      <c r="C29" s="111">
        <f>'04a_Box_Dims'!$Q22</f>
        <v>4</v>
      </c>
      <c r="D29" s="113"/>
      <c r="E29" s="63"/>
      <c r="F29" s="150"/>
      <c r="G29" s="107"/>
      <c r="H29" s="95"/>
    </row>
    <row r="30" spans="1:33" x14ac:dyDescent="0.3">
      <c r="A30" s="161"/>
      <c r="B30" s="107"/>
      <c r="C30" s="111">
        <f>BX_blind</f>
        <v>0.05</v>
      </c>
      <c r="D30" s="113">
        <f>$A28*$C28*$C29*$C30</f>
        <v>0.60000000000000009</v>
      </c>
      <c r="E30" s="63"/>
      <c r="F30" s="150"/>
      <c r="G30" s="107"/>
      <c r="H30" s="95"/>
    </row>
    <row r="31" spans="1:33" x14ac:dyDescent="0.3">
      <c r="A31" s="161">
        <f>2</f>
        <v>2</v>
      </c>
      <c r="B31" s="107" t="s">
        <v>1628</v>
      </c>
      <c r="C31" s="111">
        <f>'04a_Box_Dims'!$R22</f>
        <v>2.5</v>
      </c>
      <c r="D31" s="113"/>
      <c r="E31" s="63" t="s">
        <v>1658</v>
      </c>
      <c r="F31" s="150"/>
      <c r="G31" s="107"/>
      <c r="H31" s="95"/>
    </row>
    <row r="32" spans="1:33" x14ac:dyDescent="0.3">
      <c r="A32" s="161"/>
      <c r="B32" s="107"/>
      <c r="C32" s="111">
        <f>'04a_Box_Dims'!$S22</f>
        <v>0.2</v>
      </c>
      <c r="D32" s="113"/>
      <c r="E32" s="63"/>
      <c r="F32" s="150"/>
      <c r="G32" s="107"/>
      <c r="H32" s="95"/>
    </row>
    <row r="33" spans="1:8" x14ac:dyDescent="0.3">
      <c r="A33" s="161"/>
      <c r="B33" s="107"/>
      <c r="C33" s="111">
        <f>BX_blind</f>
        <v>0.05</v>
      </c>
      <c r="D33" s="113">
        <f>$A31*$C31*$C32*$C33</f>
        <v>0.05</v>
      </c>
      <c r="E33" s="63"/>
      <c r="F33" s="150"/>
      <c r="G33" s="107"/>
      <c r="H33" s="95"/>
    </row>
    <row r="34" spans="1:8" x14ac:dyDescent="0.3">
      <c r="A34" s="161">
        <f>4</f>
        <v>4</v>
      </c>
      <c r="B34" s="107" t="s">
        <v>1628</v>
      </c>
      <c r="C34" s="111">
        <f>'04a_Box_Dims'!$Z22</f>
        <v>2.1213203435596424</v>
      </c>
      <c r="D34" s="113"/>
      <c r="E34" s="63" t="s">
        <v>1659</v>
      </c>
      <c r="F34" s="150"/>
      <c r="G34" s="107"/>
      <c r="H34" s="95"/>
    </row>
    <row r="35" spans="1:8" x14ac:dyDescent="0.3">
      <c r="A35" s="161"/>
      <c r="B35" s="107"/>
      <c r="C35" s="111">
        <f>'04a_Box_Dims'!$AC22</f>
        <v>0.81400000000000006</v>
      </c>
      <c r="D35" s="113"/>
      <c r="E35" s="63"/>
      <c r="F35" s="150"/>
      <c r="G35" s="107"/>
      <c r="H35" s="95"/>
    </row>
    <row r="36" spans="1:8" x14ac:dyDescent="0.3">
      <c r="A36" s="161"/>
      <c r="B36" s="107"/>
      <c r="C36" s="111">
        <f>BX_blind</f>
        <v>0.05</v>
      </c>
      <c r="D36" s="113">
        <f>$A34*$C34*$C35*$C36</f>
        <v>0.34535095193150983</v>
      </c>
      <c r="E36" s="63"/>
      <c r="F36" s="150"/>
      <c r="G36" s="107"/>
      <c r="H36" s="95"/>
    </row>
    <row r="37" spans="1:8" x14ac:dyDescent="0.3">
      <c r="A37" s="161"/>
      <c r="B37" s="107"/>
      <c r="C37" s="111"/>
      <c r="D37" s="113">
        <f>SUM($D$25:$D$36)</f>
        <v>2.2453509519315098</v>
      </c>
      <c r="E37" s="63" t="s">
        <v>1660</v>
      </c>
      <c r="F37" s="150">
        <f>ROUND($D37,2)</f>
        <v>2.25</v>
      </c>
      <c r="G37" s="107" t="s">
        <v>1661</v>
      </c>
      <c r="H37" s="95"/>
    </row>
    <row r="38" spans="1:8" x14ac:dyDescent="0.3">
      <c r="A38" s="161"/>
      <c r="B38" s="107"/>
      <c r="C38" s="111"/>
      <c r="D38" s="113"/>
      <c r="E38" s="63"/>
      <c r="F38" s="150"/>
      <c r="G38" s="107"/>
      <c r="H38" s="95"/>
    </row>
    <row r="39" spans="1:8" x14ac:dyDescent="0.3">
      <c r="A39" s="161"/>
      <c r="B39" s="107"/>
      <c r="C39" s="111"/>
      <c r="D39" s="113"/>
      <c r="E39" s="149" t="s">
        <v>1324</v>
      </c>
      <c r="F39" s="150"/>
      <c r="G39" s="107"/>
      <c r="H39" s="95"/>
    </row>
    <row r="40" spans="1:8" x14ac:dyDescent="0.3">
      <c r="A40" s="161"/>
      <c r="B40" s="107"/>
      <c r="C40" s="111"/>
      <c r="D40" s="113"/>
      <c r="E40" s="63" t="s">
        <v>1664</v>
      </c>
      <c r="F40" s="150"/>
      <c r="G40" s="107"/>
      <c r="H40" s="95"/>
    </row>
    <row r="41" spans="1:8" x14ac:dyDescent="0.3">
      <c r="A41" s="161"/>
      <c r="B41" s="107"/>
      <c r="C41" s="111"/>
      <c r="D41" s="113">
        <f>$D37</f>
        <v>2.2453509519315098</v>
      </c>
      <c r="E41" s="63" t="s">
        <v>1665</v>
      </c>
      <c r="F41" s="150">
        <f>$F37</f>
        <v>2.25</v>
      </c>
      <c r="G41" s="107" t="s">
        <v>1661</v>
      </c>
      <c r="H41" s="95"/>
    </row>
    <row r="42" spans="1:8" x14ac:dyDescent="0.3">
      <c r="A42" s="161"/>
      <c r="B42" s="107"/>
      <c r="C42" s="111"/>
      <c r="D42" s="113"/>
      <c r="E42" s="63"/>
      <c r="F42" s="150"/>
      <c r="G42" s="107"/>
      <c r="H42" s="95"/>
    </row>
    <row r="43" spans="1:8" x14ac:dyDescent="0.3">
      <c r="A43" s="161"/>
      <c r="B43" s="107"/>
      <c r="C43" s="111"/>
      <c r="D43" s="113"/>
      <c r="E43" s="149" t="s">
        <v>1455</v>
      </c>
      <c r="F43" s="150"/>
      <c r="G43" s="107"/>
      <c r="H43" s="95"/>
    </row>
    <row r="44" spans="1:8" x14ac:dyDescent="0.3">
      <c r="A44" s="161"/>
      <c r="B44" s="107"/>
      <c r="C44" s="111"/>
      <c r="D44" s="113"/>
      <c r="E44" s="63" t="s">
        <v>1666</v>
      </c>
      <c r="F44" s="150"/>
      <c r="G44" s="107"/>
      <c r="H44" s="95"/>
    </row>
    <row r="45" spans="1:8" x14ac:dyDescent="0.3">
      <c r="A45" s="161">
        <f>1</f>
        <v>1</v>
      </c>
      <c r="B45" s="107" t="s">
        <v>1628</v>
      </c>
      <c r="C45" s="111">
        <f>'04a_Box_Dims'!$AE22</f>
        <v>10</v>
      </c>
      <c r="D45" s="113"/>
      <c r="E45" s="63" t="s">
        <v>1667</v>
      </c>
      <c r="F45" s="150"/>
      <c r="G45" s="107"/>
      <c r="H45" s="95"/>
    </row>
    <row r="46" spans="1:8" x14ac:dyDescent="0.3">
      <c r="A46" s="161"/>
      <c r="B46" s="107"/>
      <c r="C46" s="111">
        <f>'04a_Box_Dims'!$J22</f>
        <v>2.5</v>
      </c>
      <c r="D46" s="113"/>
      <c r="E46" s="63"/>
      <c r="F46" s="150"/>
      <c r="G46" s="107"/>
      <c r="H46" s="95"/>
    </row>
    <row r="47" spans="1:8" x14ac:dyDescent="0.3">
      <c r="A47" s="161"/>
      <c r="B47" s="107"/>
      <c r="C47" s="111">
        <f>'04a_Box_Dims'!$I22</f>
        <v>0.25</v>
      </c>
      <c r="D47" s="113">
        <f>$A45*$C45*$C46*$C47</f>
        <v>6.25</v>
      </c>
      <c r="E47" s="63"/>
      <c r="F47" s="150"/>
      <c r="G47" s="107"/>
      <c r="H47" s="95">
        <f>'04a_Box_Dims'!$I22</f>
        <v>0.25</v>
      </c>
    </row>
    <row r="48" spans="1:8" x14ac:dyDescent="0.3">
      <c r="A48" s="161">
        <f>2</f>
        <v>2</v>
      </c>
      <c r="B48" s="107" t="s">
        <v>1628</v>
      </c>
      <c r="C48" s="111">
        <f>'04a_Box_Dims'!$O22</f>
        <v>1.5</v>
      </c>
      <c r="D48" s="113"/>
      <c r="E48" s="63" t="s">
        <v>1657</v>
      </c>
      <c r="F48" s="150"/>
      <c r="G48" s="107"/>
      <c r="H48" s="95"/>
    </row>
    <row r="49" spans="1:8" x14ac:dyDescent="0.3">
      <c r="A49" s="161"/>
      <c r="B49" s="107"/>
      <c r="C49" s="111">
        <f>'04a_Box_Dims'!$Q22</f>
        <v>4</v>
      </c>
      <c r="D49" s="113"/>
      <c r="E49" s="63"/>
      <c r="F49" s="150"/>
      <c r="G49" s="107"/>
      <c r="H49" s="95"/>
    </row>
    <row r="50" spans="1:8" x14ac:dyDescent="0.3">
      <c r="A50" s="161"/>
      <c r="B50" s="107"/>
      <c r="C50" s="111">
        <f>'04a_Box_Dims'!$P22</f>
        <v>0.25</v>
      </c>
      <c r="D50" s="113">
        <f>$A48*$C48*$C49*$C50</f>
        <v>3</v>
      </c>
      <c r="E50" s="63"/>
      <c r="F50" s="150"/>
      <c r="G50" s="107"/>
      <c r="H50" s="95">
        <f>'04a_Box_Dims'!$P22</f>
        <v>0.25</v>
      </c>
    </row>
    <row r="51" spans="1:8" x14ac:dyDescent="0.3">
      <c r="A51" s="161">
        <f>2</f>
        <v>2</v>
      </c>
      <c r="B51" s="107" t="s">
        <v>1628</v>
      </c>
      <c r="C51" s="111">
        <f>'04a_Box_Dims'!$R22</f>
        <v>2.5</v>
      </c>
      <c r="D51" s="113"/>
      <c r="E51" s="63" t="s">
        <v>1658</v>
      </c>
      <c r="F51" s="150"/>
      <c r="G51" s="107"/>
      <c r="H51" s="95"/>
    </row>
    <row r="52" spans="1:8" x14ac:dyDescent="0.3">
      <c r="A52" s="161"/>
      <c r="B52" s="107"/>
      <c r="C52" s="111">
        <f>'04a_Box_Dims'!$S22</f>
        <v>0.2</v>
      </c>
      <c r="D52" s="113"/>
      <c r="E52" s="63"/>
      <c r="F52" s="150"/>
      <c r="G52" s="107"/>
      <c r="H52" s="95"/>
    </row>
    <row r="53" spans="1:8" x14ac:dyDescent="0.3">
      <c r="A53" s="161"/>
      <c r="B53" s="107"/>
      <c r="C53" s="111">
        <f>'04a_Box_Dims'!$T22</f>
        <v>0.45</v>
      </c>
      <c r="D53" s="113">
        <f>$A51*$C51*$C52*$C53</f>
        <v>0.45</v>
      </c>
      <c r="E53" s="63"/>
      <c r="F53" s="150"/>
      <c r="G53" s="107"/>
      <c r="H53" s="95">
        <f>'04a_Box_Dims'!$S22</f>
        <v>0.2</v>
      </c>
    </row>
    <row r="54" spans="1:8" x14ac:dyDescent="0.3">
      <c r="A54" s="161">
        <f>4</f>
        <v>4</v>
      </c>
      <c r="B54" s="107" t="s">
        <v>1628</v>
      </c>
      <c r="C54" s="111">
        <f>'04a_Box_Dims'!$Z22</f>
        <v>2.1213203435596424</v>
      </c>
      <c r="D54" s="113"/>
      <c r="E54" s="63" t="s">
        <v>1659</v>
      </c>
      <c r="F54" s="150"/>
      <c r="G54" s="107"/>
      <c r="H54" s="95"/>
    </row>
    <row r="55" spans="1:8" x14ac:dyDescent="0.3">
      <c r="A55" s="161"/>
      <c r="B55" s="107"/>
      <c r="C55" s="111">
        <f>'04a_Box_Dims'!$AC22</f>
        <v>0.81400000000000006</v>
      </c>
      <c r="D55" s="113"/>
      <c r="E55" s="63"/>
      <c r="F55" s="150"/>
      <c r="G55" s="107"/>
      <c r="H55" s="95"/>
    </row>
    <row r="56" spans="1:8" x14ac:dyDescent="0.3">
      <c r="A56" s="161"/>
      <c r="B56" s="107"/>
      <c r="C56" s="111">
        <f>'04a_Box_Dims'!$AD22</f>
        <v>0.3</v>
      </c>
      <c r="D56" s="113">
        <f>$A54*$C54*$C55*$C56</f>
        <v>2.0721057115890589</v>
      </c>
      <c r="E56" s="63"/>
      <c r="F56" s="150"/>
      <c r="G56" s="107"/>
      <c r="H56" s="95">
        <f>'04a_Box_Dims'!$AD22</f>
        <v>0.3</v>
      </c>
    </row>
    <row r="57" spans="1:8" x14ac:dyDescent="0.3">
      <c r="A57" s="161"/>
      <c r="B57" s="107"/>
      <c r="C57" s="111"/>
      <c r="D57" s="113">
        <f>SUM($D$45:$D$56)</f>
        <v>11.772105711589058</v>
      </c>
      <c r="E57" s="63" t="s">
        <v>1660</v>
      </c>
      <c r="F57" s="150">
        <f>ROUND($D57,2)</f>
        <v>11.77</v>
      </c>
      <c r="G57" s="107" t="s">
        <v>1661</v>
      </c>
      <c r="H57" s="95"/>
    </row>
    <row r="58" spans="1:8" x14ac:dyDescent="0.3">
      <c r="A58" s="161"/>
      <c r="B58" s="107"/>
      <c r="C58" s="111"/>
      <c r="D58" s="113"/>
      <c r="E58" s="63"/>
      <c r="F58" s="150"/>
      <c r="G58" s="107"/>
      <c r="H58" s="95"/>
    </row>
    <row r="59" spans="1:8" x14ac:dyDescent="0.3">
      <c r="A59" s="161"/>
      <c r="B59" s="107"/>
      <c r="C59" s="111"/>
      <c r="D59" s="113"/>
      <c r="E59" s="149" t="s">
        <v>1668</v>
      </c>
      <c r="F59" s="150"/>
      <c r="G59" s="107"/>
      <c r="H59" s="95"/>
    </row>
    <row r="60" spans="1:8" x14ac:dyDescent="0.3">
      <c r="A60" s="161"/>
      <c r="B60" s="107"/>
      <c r="C60" s="111"/>
      <c r="D60" s="113"/>
      <c r="E60" s="63" t="s">
        <v>1669</v>
      </c>
      <c r="F60" s="150"/>
      <c r="G60" s="107"/>
      <c r="H60" s="95"/>
    </row>
    <row r="61" spans="1:8" x14ac:dyDescent="0.3">
      <c r="A61" s="161"/>
      <c r="B61" s="107"/>
      <c r="C61" s="111"/>
      <c r="D61" s="113">
        <f>SUMIF($H$45:$H$56,"&lt;=0.3",$D$45:$D$56)</f>
        <v>11.772105711589058</v>
      </c>
      <c r="E61" s="63" t="s">
        <v>1670</v>
      </c>
      <c r="F61" s="150">
        <f>ROUND($D61,2)</f>
        <v>11.77</v>
      </c>
      <c r="G61" s="107" t="s">
        <v>1661</v>
      </c>
      <c r="H61" s="95"/>
    </row>
    <row r="62" spans="1:8" x14ac:dyDescent="0.3">
      <c r="A62" s="161"/>
      <c r="B62" s="107"/>
      <c r="C62" s="111"/>
      <c r="D62" s="113">
        <f>SUMIF($H$45:$H$56,"&gt;0.3",$D$45:$D$56)</f>
        <v>0</v>
      </c>
      <c r="E62" s="63" t="s">
        <v>1671</v>
      </c>
      <c r="F62" s="150">
        <f>ROUND($D62,2)</f>
        <v>0</v>
      </c>
      <c r="G62" s="107" t="s">
        <v>1661</v>
      </c>
      <c r="H62" s="95"/>
    </row>
    <row r="63" spans="1:8" x14ac:dyDescent="0.3">
      <c r="A63" s="161"/>
      <c r="B63" s="107"/>
      <c r="C63" s="111"/>
      <c r="D63" s="113"/>
      <c r="E63" s="63"/>
      <c r="F63" s="150"/>
      <c r="G63" s="107"/>
      <c r="H63" s="95"/>
    </row>
    <row r="64" spans="1:8" x14ac:dyDescent="0.3">
      <c r="A64" s="161"/>
      <c r="B64" s="107"/>
      <c r="C64" s="111"/>
      <c r="D64" s="113"/>
      <c r="E64" s="149" t="s">
        <v>1455</v>
      </c>
      <c r="F64" s="150"/>
      <c r="G64" s="107"/>
      <c r="H64" s="95"/>
    </row>
    <row r="65" spans="1:8" x14ac:dyDescent="0.3">
      <c r="A65" s="161"/>
      <c r="B65" s="107"/>
      <c r="C65" s="111"/>
      <c r="D65" s="113"/>
      <c r="E65" s="63" t="s">
        <v>1672</v>
      </c>
      <c r="F65" s="150"/>
      <c r="G65" s="107"/>
      <c r="H65" s="95"/>
    </row>
    <row r="66" spans="1:8" x14ac:dyDescent="0.3">
      <c r="A66" s="161">
        <f>1</f>
        <v>1</v>
      </c>
      <c r="B66" s="107" t="s">
        <v>1628</v>
      </c>
      <c r="C66" s="111">
        <f>'04a_Box_Dims'!$AE22</f>
        <v>10</v>
      </c>
      <c r="D66" s="113"/>
      <c r="E66" s="63" t="s">
        <v>1673</v>
      </c>
      <c r="F66" s="150"/>
      <c r="G66" s="107"/>
      <c r="H66" s="95"/>
    </row>
    <row r="67" spans="1:8" x14ac:dyDescent="0.3">
      <c r="A67" s="161"/>
      <c r="B67" s="107"/>
      <c r="C67" s="111">
        <f>'04a_Box_Dims'!$J22</f>
        <v>2.5</v>
      </c>
      <c r="D67" s="113"/>
      <c r="E67" s="63"/>
      <c r="F67" s="150"/>
      <c r="G67" s="107"/>
      <c r="H67" s="95"/>
    </row>
    <row r="68" spans="1:8" x14ac:dyDescent="0.3">
      <c r="A68" s="161"/>
      <c r="B68" s="107"/>
      <c r="C68" s="111">
        <f>'04a_Box_Dims'!$I22</f>
        <v>0.25</v>
      </c>
      <c r="D68" s="113">
        <f>$A66*$C66*$C67*$C68</f>
        <v>6.25</v>
      </c>
      <c r="E68" s="63"/>
      <c r="F68" s="150"/>
      <c r="G68" s="107"/>
      <c r="H68" s="95">
        <f>'04a_Box_Dims'!$I22</f>
        <v>0.25</v>
      </c>
    </row>
    <row r="69" spans="1:8" x14ac:dyDescent="0.3">
      <c r="A69" s="161"/>
      <c r="B69" s="107"/>
      <c r="C69" s="111"/>
      <c r="D69" s="113">
        <f>SUM($D$66:$D$68)</f>
        <v>6.25</v>
      </c>
      <c r="E69" s="63" t="s">
        <v>1660</v>
      </c>
      <c r="F69" s="150">
        <f>ROUND($D69,2)</f>
        <v>6.25</v>
      </c>
      <c r="G69" s="107" t="s">
        <v>1661</v>
      </c>
      <c r="H69" s="95"/>
    </row>
    <row r="70" spans="1:8" x14ac:dyDescent="0.3">
      <c r="A70" s="161"/>
      <c r="B70" s="107"/>
      <c r="C70" s="111"/>
      <c r="D70" s="113"/>
      <c r="E70" s="63"/>
      <c r="F70" s="150"/>
      <c r="G70" s="107"/>
      <c r="H70" s="95"/>
    </row>
    <row r="71" spans="1:8" x14ac:dyDescent="0.3">
      <c r="A71" s="161"/>
      <c r="B71" s="107"/>
      <c r="C71" s="111"/>
      <c r="D71" s="113"/>
      <c r="E71" s="149" t="s">
        <v>1674</v>
      </c>
      <c r="F71" s="150"/>
      <c r="G71" s="107"/>
      <c r="H71" s="95"/>
    </row>
    <row r="72" spans="1:8" x14ac:dyDescent="0.3">
      <c r="A72" s="161"/>
      <c r="B72" s="107"/>
      <c r="C72" s="111"/>
      <c r="D72" s="113"/>
      <c r="E72" s="63" t="s">
        <v>1675</v>
      </c>
      <c r="F72" s="150"/>
      <c r="G72" s="107"/>
      <c r="H72" s="95"/>
    </row>
    <row r="73" spans="1:8" x14ac:dyDescent="0.3">
      <c r="A73" s="161"/>
      <c r="B73" s="107"/>
      <c r="C73" s="111"/>
      <c r="D73" s="113">
        <f>SUMIF($H$66:$H$68,"&lt;=0.3",$D$66:$D$68)</f>
        <v>6.25</v>
      </c>
      <c r="E73" s="63" t="s">
        <v>1670</v>
      </c>
      <c r="F73" s="150">
        <f>ROUND($D73,2)</f>
        <v>6.25</v>
      </c>
      <c r="G73" s="107" t="s">
        <v>1661</v>
      </c>
      <c r="H73" s="95"/>
    </row>
    <row r="74" spans="1:8" x14ac:dyDescent="0.3">
      <c r="A74" s="161"/>
      <c r="B74" s="107"/>
      <c r="C74" s="111"/>
      <c r="D74" s="113">
        <f>SUMIF($H$66:$H$68,"&gt;0.3",$D$66:$D$68)</f>
        <v>0</v>
      </c>
      <c r="E74" s="63" t="s">
        <v>1671</v>
      </c>
      <c r="F74" s="150">
        <f>ROUND($D74,2)</f>
        <v>0</v>
      </c>
      <c r="G74" s="107" t="s">
        <v>1661</v>
      </c>
      <c r="H74" s="95"/>
    </row>
    <row r="75" spans="1:8" x14ac:dyDescent="0.3">
      <c r="A75" s="161"/>
      <c r="B75" s="107"/>
      <c r="C75" s="111"/>
      <c r="D75" s="113"/>
      <c r="E75" s="63"/>
      <c r="F75" s="150"/>
      <c r="G75" s="107"/>
      <c r="H75" s="95"/>
    </row>
    <row r="76" spans="1:8" x14ac:dyDescent="0.3">
      <c r="A76" s="161"/>
      <c r="B76" s="107"/>
      <c r="C76" s="111"/>
      <c r="D76" s="113"/>
      <c r="E76" s="149" t="s">
        <v>1455</v>
      </c>
      <c r="F76" s="150"/>
      <c r="G76" s="107"/>
      <c r="H76" s="95"/>
    </row>
    <row r="77" spans="1:8" x14ac:dyDescent="0.3">
      <c r="A77" s="161"/>
      <c r="B77" s="107"/>
      <c r="C77" s="111"/>
      <c r="D77" s="113"/>
      <c r="E77" s="63" t="s">
        <v>1676</v>
      </c>
      <c r="F77" s="150"/>
      <c r="G77" s="107"/>
      <c r="H77" s="95"/>
    </row>
    <row r="78" spans="1:8" x14ac:dyDescent="0.3">
      <c r="A78" s="161">
        <f>2</f>
        <v>2</v>
      </c>
      <c r="B78" s="107" t="s">
        <v>1628</v>
      </c>
      <c r="C78" s="111">
        <f>'04a_Box_Dims'!$AE22</f>
        <v>10</v>
      </c>
      <c r="D78" s="113"/>
      <c r="E78" s="63" t="s">
        <v>1677</v>
      </c>
      <c r="F78" s="150"/>
      <c r="G78" s="107"/>
      <c r="H78" s="95"/>
    </row>
    <row r="79" spans="1:8" x14ac:dyDescent="0.3">
      <c r="A79" s="161"/>
      <c r="B79" s="107"/>
      <c r="C79" s="111">
        <f>'04a_Box_Dims'!$E22</f>
        <v>2</v>
      </c>
      <c r="D79" s="113"/>
      <c r="E79" s="63"/>
      <c r="F79" s="150"/>
      <c r="G79" s="107"/>
      <c r="H79" s="95"/>
    </row>
    <row r="80" spans="1:8" x14ac:dyDescent="0.3">
      <c r="A80" s="161"/>
      <c r="B80" s="107"/>
      <c r="C80" s="111">
        <f>'04a_Box_Dims'!$I22</f>
        <v>0.25</v>
      </c>
      <c r="D80" s="113">
        <f>$A78*$C78*$C79*$C80</f>
        <v>10</v>
      </c>
      <c r="E80" s="63"/>
      <c r="F80" s="150"/>
      <c r="G80" s="107"/>
      <c r="H80" s="95">
        <f>'04a_Box_Dims'!$I22</f>
        <v>0.25</v>
      </c>
    </row>
    <row r="81" spans="1:8" x14ac:dyDescent="0.3">
      <c r="A81" s="161">
        <f>'04a_Box_Dims'!$C22-1</f>
        <v>0</v>
      </c>
      <c r="B81" s="107" t="s">
        <v>1628</v>
      </c>
      <c r="C81" s="111">
        <f>'04a_Box_Dims'!$AE22</f>
        <v>10</v>
      </c>
      <c r="D81" s="113"/>
      <c r="E81" s="63" t="s">
        <v>1678</v>
      </c>
      <c r="F81" s="150"/>
      <c r="G81" s="107"/>
      <c r="H81" s="95"/>
    </row>
    <row r="82" spans="1:8" x14ac:dyDescent="0.3">
      <c r="A82" s="161"/>
      <c r="B82" s="107"/>
      <c r="C82" s="111">
        <f>'04a_Box_Dims'!$E22</f>
        <v>2</v>
      </c>
      <c r="D82" s="113"/>
      <c r="E82" s="63"/>
      <c r="F82" s="150"/>
      <c r="G82" s="107"/>
      <c r="H82" s="95"/>
    </row>
    <row r="83" spans="1:8" x14ac:dyDescent="0.3">
      <c r="A83" s="161"/>
      <c r="B83" s="107"/>
      <c r="C83" s="111">
        <f>'04a_Box_Dims'!$I22</f>
        <v>0.25</v>
      </c>
      <c r="D83" s="113">
        <f>$A81*$C81*$C82*$C83</f>
        <v>0</v>
      </c>
      <c r="E83" s="63"/>
      <c r="F83" s="150"/>
      <c r="G83" s="107"/>
      <c r="H83" s="95">
        <f>'04a_Box_Dims'!$I22</f>
        <v>0.25</v>
      </c>
    </row>
    <row r="84" spans="1:8" x14ac:dyDescent="0.3">
      <c r="A84" s="161">
        <f>4*'04a_Box_Dims'!$C22</f>
        <v>4</v>
      </c>
      <c r="B84" s="107" t="s">
        <v>1628</v>
      </c>
      <c r="C84" s="111">
        <f>'04a_Box_Dims'!$AE22</f>
        <v>10</v>
      </c>
      <c r="D84" s="113"/>
      <c r="E84" s="63" t="s">
        <v>1679</v>
      </c>
      <c r="F84" s="150"/>
      <c r="G84" s="107"/>
      <c r="H84" s="95"/>
    </row>
    <row r="85" spans="1:8" x14ac:dyDescent="0.3">
      <c r="A85" s="161"/>
      <c r="B85" s="107"/>
      <c r="C85" s="111">
        <f>'04a_Box_Dims'!$N22</f>
        <v>0.15</v>
      </c>
      <c r="D85" s="113"/>
      <c r="E85" s="63"/>
      <c r="F85" s="150"/>
      <c r="G85" s="107"/>
      <c r="H85" s="95"/>
    </row>
    <row r="86" spans="1:8" x14ac:dyDescent="0.3">
      <c r="A86" s="161"/>
      <c r="B86" s="107"/>
      <c r="C86" s="111">
        <f>'04a_Box_Dims'!$N22/2</f>
        <v>7.4999999999999997E-2</v>
      </c>
      <c r="D86" s="113">
        <f>$A84*$C84*$C85*$C86</f>
        <v>0.44999999999999996</v>
      </c>
      <c r="E86" s="63"/>
      <c r="F86" s="150"/>
      <c r="G86" s="107"/>
      <c r="H86" s="95">
        <f>'04a_Box_Dims'!$N22</f>
        <v>0.15</v>
      </c>
    </row>
    <row r="87" spans="1:8" x14ac:dyDescent="0.3">
      <c r="A87" s="161">
        <f>2</f>
        <v>2</v>
      </c>
      <c r="B87" s="107" t="s">
        <v>1628</v>
      </c>
      <c r="C87" s="111">
        <f>'04a_Box_Dims'!$J22</f>
        <v>2.5</v>
      </c>
      <c r="D87" s="113"/>
      <c r="E87" s="63" t="s">
        <v>1680</v>
      </c>
      <c r="F87" s="150"/>
      <c r="G87" s="107"/>
      <c r="H87" s="95"/>
    </row>
    <row r="88" spans="1:8" x14ac:dyDescent="0.3">
      <c r="A88" s="161"/>
      <c r="B88" s="107"/>
      <c r="C88" s="111">
        <f>'04a_Box_Dims'!$U22</f>
        <v>0.6</v>
      </c>
      <c r="D88" s="113"/>
      <c r="E88" s="63"/>
      <c r="F88" s="150"/>
      <c r="G88" s="107"/>
      <c r="H88" s="95"/>
    </row>
    <row r="89" spans="1:8" x14ac:dyDescent="0.3">
      <c r="A89" s="161"/>
      <c r="B89" s="107"/>
      <c r="C89" s="111">
        <f>'04a_Box_Dims'!$V22</f>
        <v>0.3</v>
      </c>
      <c r="D89" s="113">
        <f>$A87*$C87*$C88*$C89</f>
        <v>0.89999999999999991</v>
      </c>
      <c r="E89" s="63"/>
      <c r="F89" s="150"/>
      <c r="G89" s="107"/>
      <c r="H89" s="95">
        <f>'04a_Box_Dims'!$V22</f>
        <v>0.3</v>
      </c>
    </row>
    <row r="90" spans="1:8" x14ac:dyDescent="0.3">
      <c r="A90" s="161">
        <f>4</f>
        <v>4</v>
      </c>
      <c r="B90" s="107" t="s">
        <v>1628</v>
      </c>
      <c r="C90" s="111">
        <f>'04a_Box_Dims'!$Z22</f>
        <v>2.1213203435596424</v>
      </c>
      <c r="D90" s="113"/>
      <c r="E90" s="63" t="s">
        <v>1681</v>
      </c>
      <c r="F90" s="150"/>
      <c r="G90" s="107"/>
      <c r="H90" s="95"/>
    </row>
    <row r="91" spans="1:8" x14ac:dyDescent="0.3">
      <c r="A91" s="161"/>
      <c r="B91" s="107"/>
      <c r="C91" s="111">
        <f>'04a_Box_Dims'!$Y22</f>
        <v>2.9928932188134527</v>
      </c>
      <c r="D91" s="113"/>
      <c r="E91" s="63"/>
      <c r="F91" s="150"/>
      <c r="G91" s="107"/>
      <c r="H91" s="95"/>
    </row>
    <row r="92" spans="1:8" x14ac:dyDescent="0.3">
      <c r="A92" s="161"/>
      <c r="B92" s="107"/>
      <c r="C92" s="111">
        <f>'04a_Box_Dims'!$AB22</f>
        <v>0.31</v>
      </c>
      <c r="D92" s="113">
        <f>$A90*$C90*$C91*$C92</f>
        <v>7.8726177362516392</v>
      </c>
      <c r="E92" s="63"/>
      <c r="F92" s="150"/>
      <c r="G92" s="107"/>
      <c r="H92" s="95">
        <f>'04a_Box_Dims'!$AB22</f>
        <v>0.31</v>
      </c>
    </row>
    <row r="93" spans="1:8" x14ac:dyDescent="0.3">
      <c r="A93" s="161"/>
      <c r="B93" s="107"/>
      <c r="C93" s="111"/>
      <c r="D93" s="113">
        <f>SUM($D$78:$D$92)</f>
        <v>19.222617736251639</v>
      </c>
      <c r="E93" s="63" t="s">
        <v>1660</v>
      </c>
      <c r="F93" s="150">
        <f>ROUND($D93,2)</f>
        <v>19.22</v>
      </c>
      <c r="G93" s="107" t="s">
        <v>1661</v>
      </c>
      <c r="H93" s="95"/>
    </row>
    <row r="94" spans="1:8" x14ac:dyDescent="0.3">
      <c r="A94" s="161"/>
      <c r="B94" s="107"/>
      <c r="C94" s="111"/>
      <c r="D94" s="113"/>
      <c r="E94" s="63"/>
      <c r="F94" s="150"/>
      <c r="G94" s="107"/>
      <c r="H94" s="95"/>
    </row>
    <row r="95" spans="1:8" x14ac:dyDescent="0.3">
      <c r="A95" s="161"/>
      <c r="B95" s="107"/>
      <c r="C95" s="111"/>
      <c r="D95" s="113"/>
      <c r="E95" s="149" t="s">
        <v>1682</v>
      </c>
      <c r="F95" s="150"/>
      <c r="G95" s="107"/>
      <c r="H95" s="95"/>
    </row>
    <row r="96" spans="1:8" x14ac:dyDescent="0.3">
      <c r="A96" s="161"/>
      <c r="B96" s="107"/>
      <c r="C96" s="111"/>
      <c r="D96" s="113"/>
      <c r="E96" s="63" t="s">
        <v>1683</v>
      </c>
      <c r="F96" s="150"/>
      <c r="G96" s="107"/>
      <c r="H96" s="95"/>
    </row>
    <row r="97" spans="1:8" x14ac:dyDescent="0.3">
      <c r="A97" s="161"/>
      <c r="B97" s="107"/>
      <c r="C97" s="111"/>
      <c r="D97" s="113">
        <f>SUMIF($H$78:$H$92,"&lt;=0.3",$D$78:$D$92)</f>
        <v>11.35</v>
      </c>
      <c r="E97" s="63" t="s">
        <v>1670</v>
      </c>
      <c r="F97" s="150">
        <f>ROUND($D97,2)</f>
        <v>11.35</v>
      </c>
      <c r="G97" s="107" t="s">
        <v>1661</v>
      </c>
      <c r="H97" s="95"/>
    </row>
    <row r="98" spans="1:8" x14ac:dyDescent="0.3">
      <c r="A98" s="161"/>
      <c r="B98" s="107"/>
      <c r="C98" s="111"/>
      <c r="D98" s="113">
        <f>SUMIF($H$78:$H$92,"&gt;0.3",$D$78:$D$92)</f>
        <v>7.8726177362516392</v>
      </c>
      <c r="E98" s="63" t="s">
        <v>1671</v>
      </c>
      <c r="F98" s="150">
        <f>ROUND($D98,2)</f>
        <v>7.87</v>
      </c>
      <c r="G98" s="107" t="s">
        <v>1661</v>
      </c>
      <c r="H98" s="95"/>
    </row>
    <row r="99" spans="1:8" x14ac:dyDescent="0.3">
      <c r="A99" s="161"/>
      <c r="B99" s="107"/>
      <c r="C99" s="111"/>
      <c r="D99" s="113"/>
      <c r="E99" s="63"/>
      <c r="F99" s="150"/>
      <c r="G99" s="107"/>
      <c r="H99" s="95"/>
    </row>
    <row r="100" spans="1:8" x14ac:dyDescent="0.3">
      <c r="A100" s="161"/>
      <c r="B100" s="107"/>
      <c r="C100" s="111"/>
      <c r="D100" s="113"/>
      <c r="E100" s="149" t="s">
        <v>1445</v>
      </c>
      <c r="F100" s="150"/>
      <c r="G100" s="107"/>
      <c r="H100" s="95"/>
    </row>
    <row r="101" spans="1:8" x14ac:dyDescent="0.3">
      <c r="A101" s="161"/>
      <c r="B101" s="107"/>
      <c r="C101" s="111"/>
      <c r="D101" s="113"/>
      <c r="E101" s="63" t="s">
        <v>1684</v>
      </c>
      <c r="F101" s="150"/>
      <c r="G101" s="107"/>
      <c r="H101" s="95"/>
    </row>
    <row r="102" spans="1:8" x14ac:dyDescent="0.3">
      <c r="A102" s="161">
        <f>2</f>
        <v>2</v>
      </c>
      <c r="B102" s="107" t="s">
        <v>1628</v>
      </c>
      <c r="C102" s="111">
        <f>'04a_Box_Dims'!$AE22</f>
        <v>10</v>
      </c>
      <c r="D102" s="113"/>
      <c r="E102" s="63" t="s">
        <v>1685</v>
      </c>
      <c r="F102" s="150"/>
      <c r="G102" s="107"/>
      <c r="H102" s="95"/>
    </row>
    <row r="103" spans="1:8" x14ac:dyDescent="0.3">
      <c r="A103" s="161"/>
      <c r="B103" s="107"/>
      <c r="C103" s="111">
        <f>'04a_Box_Dims'!$E22</f>
        <v>2</v>
      </c>
      <c r="D103" s="113">
        <f>$A102*$C102*$C103</f>
        <v>40</v>
      </c>
      <c r="E103" s="63"/>
      <c r="F103" s="150"/>
      <c r="G103" s="107"/>
      <c r="H103" s="95"/>
    </row>
    <row r="104" spans="1:8" x14ac:dyDescent="0.3">
      <c r="A104" s="161">
        <f>4</f>
        <v>4</v>
      </c>
      <c r="B104" s="107" t="s">
        <v>1628</v>
      </c>
      <c r="C104" s="111">
        <f>'04a_Box_Dims'!$Z22</f>
        <v>2.1213203435596424</v>
      </c>
      <c r="D104" s="113"/>
      <c r="E104" s="63" t="s">
        <v>1686</v>
      </c>
      <c r="F104" s="150"/>
      <c r="G104" s="107"/>
      <c r="H104" s="95"/>
    </row>
    <row r="105" spans="1:8" x14ac:dyDescent="0.3">
      <c r="A105" s="161"/>
      <c r="B105" s="107"/>
      <c r="C105" s="111">
        <f>'04a_Box_Dims'!$Y22</f>
        <v>2.9928932188134527</v>
      </c>
      <c r="D105" s="113">
        <f>$A104*$C104*$C105</f>
        <v>25.395541084682709</v>
      </c>
      <c r="E105" s="63"/>
      <c r="F105" s="150"/>
      <c r="G105" s="107"/>
      <c r="H105" s="95"/>
    </row>
    <row r="106" spans="1:8" x14ac:dyDescent="0.3">
      <c r="A106" s="161">
        <f>2</f>
        <v>2</v>
      </c>
      <c r="B106" s="107" t="s">
        <v>1628</v>
      </c>
      <c r="C106" s="111">
        <f>'04a_Box_Dims'!$J22</f>
        <v>2.5</v>
      </c>
      <c r="D106" s="113"/>
      <c r="E106" s="63" t="s">
        <v>1687</v>
      </c>
      <c r="F106" s="150"/>
      <c r="G106" s="107"/>
      <c r="H106" s="95"/>
    </row>
    <row r="107" spans="1:8" x14ac:dyDescent="0.3">
      <c r="A107" s="161"/>
      <c r="B107" s="107"/>
      <c r="C107" s="111">
        <f>'04a_Box_Dims'!$U22</f>
        <v>0.6</v>
      </c>
      <c r="D107" s="113">
        <f>$A106*$C106*$C107</f>
        <v>3</v>
      </c>
      <c r="E107" s="63"/>
      <c r="F107" s="150"/>
      <c r="G107" s="107"/>
      <c r="H107" s="95"/>
    </row>
    <row r="108" spans="1:8" x14ac:dyDescent="0.3">
      <c r="A108" s="161"/>
      <c r="B108" s="107"/>
      <c r="C108" s="111"/>
      <c r="D108" s="113">
        <f>SUM($D$102:$D$107)</f>
        <v>68.395541084682705</v>
      </c>
      <c r="E108" s="63" t="s">
        <v>1660</v>
      </c>
      <c r="F108" s="150">
        <f>ROUND($D108,2)</f>
        <v>68.400000000000006</v>
      </c>
      <c r="G108" s="107" t="s">
        <v>1688</v>
      </c>
      <c r="H108" s="95"/>
    </row>
    <row r="109" spans="1:8" x14ac:dyDescent="0.3">
      <c r="A109" s="161"/>
      <c r="B109" s="107"/>
      <c r="C109" s="111"/>
      <c r="D109" s="113"/>
      <c r="E109" s="63"/>
      <c r="F109" s="150"/>
      <c r="G109" s="107"/>
      <c r="H109" s="95"/>
    </row>
    <row r="110" spans="1:8" x14ac:dyDescent="0.3">
      <c r="A110" s="161"/>
      <c r="B110" s="107"/>
      <c r="C110" s="111"/>
      <c r="D110" s="113"/>
      <c r="E110" s="149" t="s">
        <v>1446</v>
      </c>
      <c r="F110" s="150"/>
      <c r="G110" s="107"/>
      <c r="H110" s="95"/>
    </row>
    <row r="111" spans="1:8" x14ac:dyDescent="0.3">
      <c r="A111" s="161"/>
      <c r="B111" s="107"/>
      <c r="C111" s="111"/>
      <c r="D111" s="113"/>
      <c r="E111" s="63" t="s">
        <v>1689</v>
      </c>
      <c r="F111" s="150"/>
      <c r="G111" s="107"/>
      <c r="H111" s="95"/>
    </row>
    <row r="112" spans="1:8" x14ac:dyDescent="0.3">
      <c r="A112" s="161">
        <f>2</f>
        <v>2</v>
      </c>
      <c r="B112" s="107" t="s">
        <v>1628</v>
      </c>
      <c r="C112" s="111">
        <f>'04a_Box_Dims'!$O22</f>
        <v>1.5</v>
      </c>
      <c r="D112" s="113"/>
      <c r="E112" s="63" t="s">
        <v>1690</v>
      </c>
      <c r="F112" s="150"/>
      <c r="G112" s="107"/>
      <c r="H112" s="95"/>
    </row>
    <row r="113" spans="1:8" x14ac:dyDescent="0.3">
      <c r="A113" s="161"/>
      <c r="B113" s="107"/>
      <c r="C113" s="111">
        <f>'04a_Box_Dims'!$Q22</f>
        <v>4</v>
      </c>
      <c r="D113" s="113">
        <f>$A112*$C112*$C113</f>
        <v>12</v>
      </c>
      <c r="E113" s="63"/>
      <c r="F113" s="150"/>
      <c r="G113" s="107"/>
      <c r="H113" s="95"/>
    </row>
    <row r="114" spans="1:8" x14ac:dyDescent="0.3">
      <c r="A114" s="161"/>
      <c r="B114" s="107"/>
      <c r="C114" s="111"/>
      <c r="D114" s="113">
        <f>SUM($D$112:$D$113)</f>
        <v>12</v>
      </c>
      <c r="E114" s="63" t="s">
        <v>1660</v>
      </c>
      <c r="F114" s="150">
        <f>ROUND($D114,2)</f>
        <v>12</v>
      </c>
      <c r="G114" s="107" t="s">
        <v>1688</v>
      </c>
      <c r="H114" s="95"/>
    </row>
    <row r="115" spans="1:8" x14ac:dyDescent="0.3">
      <c r="A115" s="161"/>
      <c r="B115" s="107"/>
      <c r="C115" s="111"/>
      <c r="D115" s="113"/>
      <c r="E115" s="63"/>
      <c r="F115" s="150"/>
      <c r="G115" s="107"/>
      <c r="H115" s="95"/>
    </row>
    <row r="116" spans="1:8" x14ac:dyDescent="0.3">
      <c r="A116" s="161"/>
      <c r="B116" s="107"/>
      <c r="C116" s="111"/>
      <c r="D116" s="113"/>
      <c r="E116" s="149" t="s">
        <v>1447</v>
      </c>
      <c r="F116" s="150"/>
      <c r="G116" s="107"/>
      <c r="H116" s="95"/>
    </row>
    <row r="117" spans="1:8" x14ac:dyDescent="0.3">
      <c r="A117" s="161"/>
      <c r="B117" s="107"/>
      <c r="C117" s="111"/>
      <c r="D117" s="113"/>
      <c r="E117" s="63" t="s">
        <v>1691</v>
      </c>
      <c r="F117" s="150"/>
      <c r="G117" s="107"/>
      <c r="H117" s="95"/>
    </row>
    <row r="118" spans="1:8" x14ac:dyDescent="0.3">
      <c r="A118" s="161">
        <f>4</f>
        <v>4</v>
      </c>
      <c r="B118" s="107" t="s">
        <v>1628</v>
      </c>
      <c r="C118" s="111">
        <f>'04a_Box_Dims'!$J22</f>
        <v>2.5</v>
      </c>
      <c r="D118" s="113"/>
      <c r="E118" s="63" t="s">
        <v>1692</v>
      </c>
      <c r="F118" s="150"/>
      <c r="G118" s="107"/>
      <c r="H118" s="95"/>
    </row>
    <row r="119" spans="1:8" x14ac:dyDescent="0.3">
      <c r="A119" s="161"/>
      <c r="B119" s="107"/>
      <c r="C119" s="111">
        <f>'04a_Box_Dims'!$I22</f>
        <v>0.25</v>
      </c>
      <c r="D119" s="113">
        <f>$A118*$C118*$C119</f>
        <v>2.5</v>
      </c>
      <c r="E119" s="63"/>
      <c r="F119" s="150"/>
      <c r="G119" s="107"/>
      <c r="H119" s="95"/>
    </row>
    <row r="120" spans="1:8" x14ac:dyDescent="0.3">
      <c r="A120" s="161">
        <f>4</f>
        <v>4</v>
      </c>
      <c r="B120" s="107" t="s">
        <v>1628</v>
      </c>
      <c r="C120" s="111">
        <f>'04a_Box_Dims'!$O22</f>
        <v>1.5</v>
      </c>
      <c r="D120" s="113"/>
      <c r="E120" s="63" t="s">
        <v>1693</v>
      </c>
      <c r="F120" s="150"/>
      <c r="G120" s="107"/>
      <c r="H120" s="95"/>
    </row>
    <row r="121" spans="1:8" x14ac:dyDescent="0.3">
      <c r="A121" s="161"/>
      <c r="B121" s="107"/>
      <c r="C121" s="111">
        <f>'04a_Box_Dims'!$P22</f>
        <v>0.25</v>
      </c>
      <c r="D121" s="113">
        <f>$A120*$C120*$C121</f>
        <v>1.5</v>
      </c>
      <c r="E121" s="63"/>
      <c r="F121" s="150"/>
      <c r="G121" s="107"/>
      <c r="H121" s="95"/>
    </row>
    <row r="122" spans="1:8" x14ac:dyDescent="0.3">
      <c r="A122" s="161"/>
      <c r="B122" s="107"/>
      <c r="C122" s="111"/>
      <c r="D122" s="113">
        <f>SUM($D$118:$D$121)</f>
        <v>4</v>
      </c>
      <c r="E122" s="63" t="s">
        <v>1660</v>
      </c>
      <c r="F122" s="150">
        <f>ROUND($D122,2)</f>
        <v>4</v>
      </c>
      <c r="G122" s="107" t="s">
        <v>1688</v>
      </c>
      <c r="H122" s="95"/>
    </row>
    <row r="123" spans="1:8" x14ac:dyDescent="0.3">
      <c r="A123" s="161"/>
      <c r="B123" s="107"/>
      <c r="C123" s="111"/>
      <c r="D123" s="113"/>
      <c r="E123" s="63"/>
      <c r="F123" s="150"/>
      <c r="G123" s="107"/>
      <c r="H123" s="95"/>
    </row>
    <row r="124" spans="1:8" x14ac:dyDescent="0.3">
      <c r="A124" s="161"/>
      <c r="B124" s="107"/>
      <c r="C124" s="111"/>
      <c r="D124" s="113"/>
      <c r="E124" s="149" t="s">
        <v>1448</v>
      </c>
      <c r="F124" s="150"/>
      <c r="G124" s="107"/>
      <c r="H124" s="95"/>
    </row>
    <row r="125" spans="1:8" x14ac:dyDescent="0.3">
      <c r="A125" s="161"/>
      <c r="B125" s="107"/>
      <c r="C125" s="111"/>
      <c r="D125" s="113"/>
      <c r="E125" s="63" t="s">
        <v>1694</v>
      </c>
      <c r="F125" s="150"/>
      <c r="G125" s="107"/>
      <c r="H125" s="95"/>
    </row>
    <row r="126" spans="1:8" x14ac:dyDescent="0.3">
      <c r="A126" s="161">
        <f>1</f>
        <v>1</v>
      </c>
      <c r="B126" s="107" t="s">
        <v>1628</v>
      </c>
      <c r="C126" s="111">
        <f>'04a_Box_Dims'!$AE22</f>
        <v>10</v>
      </c>
      <c r="D126" s="113"/>
      <c r="E126" s="63" t="s">
        <v>1695</v>
      </c>
      <c r="F126" s="150"/>
      <c r="G126" s="107"/>
      <c r="H126" s="95"/>
    </row>
    <row r="127" spans="1:8" x14ac:dyDescent="0.3">
      <c r="A127" s="161"/>
      <c r="B127" s="107"/>
      <c r="C127" s="111">
        <f>'04a_Box_Dims'!$K22</f>
        <v>2</v>
      </c>
      <c r="D127" s="113">
        <f>$A126*$C126*$C127</f>
        <v>20</v>
      </c>
      <c r="E127" s="63"/>
      <c r="F127" s="150"/>
      <c r="G127" s="107"/>
      <c r="H127" s="95"/>
    </row>
    <row r="128" spans="1:8" x14ac:dyDescent="0.3">
      <c r="A128" s="161"/>
      <c r="B128" s="107"/>
      <c r="C128" s="111"/>
      <c r="D128" s="113">
        <f>SUM($D$126:$D$127)</f>
        <v>20</v>
      </c>
      <c r="E128" s="63" t="s">
        <v>1660</v>
      </c>
      <c r="F128" s="150">
        <f>ROUND($D128,2)</f>
        <v>20</v>
      </c>
      <c r="G128" s="107" t="s">
        <v>1688</v>
      </c>
      <c r="H128" s="95"/>
    </row>
    <row r="129" spans="1:8" x14ac:dyDescent="0.3">
      <c r="A129" s="161"/>
      <c r="B129" s="107"/>
      <c r="C129" s="111"/>
      <c r="D129" s="113"/>
      <c r="E129" s="63"/>
      <c r="F129" s="150"/>
      <c r="G129" s="107"/>
      <c r="H129" s="95"/>
    </row>
    <row r="130" spans="1:8" x14ac:dyDescent="0.3">
      <c r="A130" s="161"/>
      <c r="B130" s="107"/>
      <c r="C130" s="111"/>
      <c r="D130" s="113"/>
      <c r="E130" s="149" t="s">
        <v>1449</v>
      </c>
      <c r="F130" s="150"/>
      <c r="G130" s="107"/>
      <c r="H130" s="95"/>
    </row>
    <row r="131" spans="1:8" x14ac:dyDescent="0.3">
      <c r="A131" s="161"/>
      <c r="B131" s="107"/>
      <c r="C131" s="111"/>
      <c r="D131" s="113"/>
      <c r="E131" s="63" t="s">
        <v>1696</v>
      </c>
      <c r="F131" s="150"/>
      <c r="G131" s="107"/>
      <c r="H131" s="95"/>
    </row>
    <row r="132" spans="1:8" x14ac:dyDescent="0.3">
      <c r="A132" s="161">
        <f>2</f>
        <v>2</v>
      </c>
      <c r="B132" s="107" t="s">
        <v>1628</v>
      </c>
      <c r="C132" s="111">
        <f>'04a_Box_Dims'!$J22</f>
        <v>2.5</v>
      </c>
      <c r="D132" s="113"/>
      <c r="E132" s="63" t="s">
        <v>1697</v>
      </c>
      <c r="F132" s="150"/>
      <c r="G132" s="107"/>
      <c r="H132" s="95"/>
    </row>
    <row r="133" spans="1:8" x14ac:dyDescent="0.3">
      <c r="A133" s="161"/>
      <c r="B133" s="107"/>
      <c r="C133" s="111">
        <f>'04a_Box_Dims'!$U22</f>
        <v>0.6</v>
      </c>
      <c r="D133" s="113">
        <f>$A132*$C132*$C133</f>
        <v>3</v>
      </c>
      <c r="E133" s="63"/>
      <c r="F133" s="150"/>
      <c r="G133" s="107"/>
      <c r="H133" s="95"/>
    </row>
    <row r="134" spans="1:8" x14ac:dyDescent="0.3">
      <c r="A134" s="161"/>
      <c r="B134" s="107"/>
      <c r="C134" s="111"/>
      <c r="D134" s="113">
        <f>SUM($D$132:$D$133)</f>
        <v>3</v>
      </c>
      <c r="E134" s="63" t="s">
        <v>1660</v>
      </c>
      <c r="F134" s="150">
        <f>ROUND($D134,2)</f>
        <v>3</v>
      </c>
      <c r="G134" s="107" t="s">
        <v>1688</v>
      </c>
      <c r="H134" s="95"/>
    </row>
    <row r="135" spans="1:8" x14ac:dyDescent="0.3">
      <c r="A135" s="161"/>
      <c r="B135" s="107"/>
      <c r="C135" s="111"/>
      <c r="D135" s="113"/>
      <c r="E135" s="63"/>
      <c r="F135" s="150"/>
      <c r="G135" s="107"/>
      <c r="H135" s="95"/>
    </row>
    <row r="136" spans="1:8" x14ac:dyDescent="0.3">
      <c r="A136" s="161"/>
      <c r="B136" s="107"/>
      <c r="C136" s="111"/>
      <c r="D136" s="113"/>
      <c r="E136" s="149" t="s">
        <v>1329</v>
      </c>
      <c r="F136" s="150"/>
      <c r="G136" s="107"/>
      <c r="H136" s="95"/>
    </row>
    <row r="137" spans="1:8" x14ac:dyDescent="0.3">
      <c r="A137" s="161"/>
      <c r="B137" s="107"/>
      <c r="C137" s="111"/>
      <c r="D137" s="113"/>
      <c r="E137" s="63" t="s">
        <v>1698</v>
      </c>
      <c r="F137" s="150"/>
      <c r="G137" s="107"/>
      <c r="H137" s="95"/>
    </row>
    <row r="138" spans="1:8" x14ac:dyDescent="0.3">
      <c r="A138" s="161">
        <f>2</f>
        <v>2</v>
      </c>
      <c r="B138" s="107" t="s">
        <v>1628</v>
      </c>
      <c r="C138" s="111">
        <f>'04a_Box_Dims'!$AE22</f>
        <v>10</v>
      </c>
      <c r="D138" s="113"/>
      <c r="E138" s="63" t="s">
        <v>1699</v>
      </c>
      <c r="F138" s="150"/>
      <c r="G138" s="107"/>
      <c r="H138" s="95"/>
    </row>
    <row r="139" spans="1:8" x14ac:dyDescent="0.3">
      <c r="A139" s="161"/>
      <c r="B139" s="107"/>
      <c r="C139" s="111">
        <f>'04a_Box_Dims'!$E22</f>
        <v>2</v>
      </c>
      <c r="D139" s="113">
        <f>$A138*$C138*$C139</f>
        <v>40</v>
      </c>
      <c r="E139" s="63"/>
      <c r="F139" s="150"/>
      <c r="G139" s="107"/>
      <c r="H139" s="95"/>
    </row>
    <row r="140" spans="1:8" x14ac:dyDescent="0.3">
      <c r="A140" s="161">
        <f>('04a_Box_Dims'!$C22-1)*2</f>
        <v>0</v>
      </c>
      <c r="B140" s="107" t="s">
        <v>1628</v>
      </c>
      <c r="C140" s="111">
        <f>'04a_Box_Dims'!$AE22</f>
        <v>10</v>
      </c>
      <c r="D140" s="113"/>
      <c r="E140" s="63" t="s">
        <v>1700</v>
      </c>
      <c r="F140" s="150"/>
      <c r="G140" s="107"/>
      <c r="H140" s="95"/>
    </row>
    <row r="141" spans="1:8" x14ac:dyDescent="0.3">
      <c r="A141" s="161"/>
      <c r="B141" s="107"/>
      <c r="C141" s="111">
        <f>'04a_Box_Dims'!$E22</f>
        <v>2</v>
      </c>
      <c r="D141" s="113">
        <f>$A140*$C140*$C141</f>
        <v>0</v>
      </c>
      <c r="E141" s="63"/>
      <c r="F141" s="150"/>
      <c r="G141" s="107"/>
      <c r="H141" s="95"/>
    </row>
    <row r="142" spans="1:8" x14ac:dyDescent="0.3">
      <c r="A142" s="161">
        <f>4</f>
        <v>4</v>
      </c>
      <c r="B142" s="107" t="s">
        <v>1628</v>
      </c>
      <c r="C142" s="111">
        <f>'04a_Box_Dims'!$Z22</f>
        <v>2.1213203435596424</v>
      </c>
      <c r="D142" s="113"/>
      <c r="E142" s="63" t="s">
        <v>1701</v>
      </c>
      <c r="F142" s="150"/>
      <c r="G142" s="107"/>
      <c r="H142" s="95"/>
    </row>
    <row r="143" spans="1:8" x14ac:dyDescent="0.3">
      <c r="A143" s="161"/>
      <c r="B143" s="107"/>
      <c r="C143" s="111">
        <f>'04a_Box_Dims'!$Y22</f>
        <v>2.9928932188134527</v>
      </c>
      <c r="D143" s="113">
        <f>$A142*$C142*$C143</f>
        <v>25.395541084682709</v>
      </c>
      <c r="E143" s="63"/>
      <c r="F143" s="150"/>
      <c r="G143" s="107"/>
      <c r="H143" s="95"/>
    </row>
    <row r="144" spans="1:8" x14ac:dyDescent="0.3">
      <c r="A144" s="161"/>
      <c r="B144" s="107"/>
      <c r="C144" s="111"/>
      <c r="D144" s="113">
        <f>SUM($D$138:$D$143)</f>
        <v>65.395541084682705</v>
      </c>
      <c r="E144" s="63" t="s">
        <v>1660</v>
      </c>
      <c r="F144" s="150">
        <f>ROUND($D144,2)</f>
        <v>65.400000000000006</v>
      </c>
      <c r="G144" s="107" t="s">
        <v>1688</v>
      </c>
      <c r="H144" s="95"/>
    </row>
    <row r="145" spans="1:8" x14ac:dyDescent="0.3">
      <c r="A145" s="161"/>
      <c r="B145" s="107"/>
      <c r="C145" s="111"/>
      <c r="D145" s="113"/>
      <c r="E145" s="63"/>
      <c r="F145" s="150"/>
      <c r="G145" s="107"/>
      <c r="H145" s="95"/>
    </row>
    <row r="146" spans="1:8" x14ac:dyDescent="0.3">
      <c r="A146" s="161"/>
      <c r="B146" s="107"/>
      <c r="C146" s="111"/>
      <c r="D146" s="113"/>
      <c r="E146" s="149" t="s">
        <v>1702</v>
      </c>
      <c r="F146" s="150"/>
      <c r="G146" s="107"/>
      <c r="H146" s="95"/>
    </row>
    <row r="147" spans="1:8" x14ac:dyDescent="0.3">
      <c r="A147" s="161"/>
      <c r="B147" s="107"/>
      <c r="C147" s="111"/>
      <c r="D147" s="113"/>
      <c r="E147" s="63" t="s">
        <v>1703</v>
      </c>
      <c r="F147" s="150"/>
      <c r="G147" s="107"/>
      <c r="H147" s="95"/>
    </row>
    <row r="148" spans="1:8" x14ac:dyDescent="0.3">
      <c r="A148" s="161"/>
      <c r="B148" s="107"/>
      <c r="C148" s="111"/>
      <c r="D148" s="113">
        <v>0</v>
      </c>
      <c r="E148" s="63" t="s">
        <v>1704</v>
      </c>
      <c r="F148" s="150">
        <f t="shared" ref="F148:F153" si="0">ROUND($D148,3)</f>
        <v>0</v>
      </c>
      <c r="G148" s="107" t="s">
        <v>1474</v>
      </c>
      <c r="H148" s="95"/>
    </row>
    <row r="149" spans="1:8" x14ac:dyDescent="0.3">
      <c r="A149" s="161"/>
      <c r="B149" s="107"/>
      <c r="C149" s="111"/>
      <c r="D149" s="113">
        <f>'04b_Box_Bars'!$S9/1000</f>
        <v>0.53022230010961735</v>
      </c>
      <c r="E149" s="63" t="s">
        <v>1705</v>
      </c>
      <c r="F149" s="150">
        <f t="shared" si="0"/>
        <v>0.53</v>
      </c>
      <c r="G149" s="107" t="s">
        <v>1474</v>
      </c>
      <c r="H149" s="95"/>
    </row>
    <row r="150" spans="1:8" x14ac:dyDescent="0.3">
      <c r="A150" s="161"/>
      <c r="B150" s="107"/>
      <c r="C150" s="111"/>
      <c r="D150" s="113">
        <f>'04b_Box_Bars'!$T9/1000</f>
        <v>1.5466857743643361</v>
      </c>
      <c r="E150" s="63" t="s">
        <v>1706</v>
      </c>
      <c r="F150" s="150">
        <f t="shared" si="0"/>
        <v>1.5469999999999999</v>
      </c>
      <c r="G150" s="107" t="s">
        <v>1474</v>
      </c>
      <c r="H150" s="95"/>
    </row>
    <row r="151" spans="1:8" x14ac:dyDescent="0.3">
      <c r="A151" s="161"/>
      <c r="B151" s="107"/>
      <c r="C151" s="111"/>
      <c r="D151" s="113">
        <f>'04b_Box_Bars'!$U9/1000</f>
        <v>0.52274493260295518</v>
      </c>
      <c r="E151" s="63" t="s">
        <v>1707</v>
      </c>
      <c r="F151" s="150">
        <f t="shared" si="0"/>
        <v>0.52300000000000002</v>
      </c>
      <c r="G151" s="107" t="s">
        <v>1474</v>
      </c>
      <c r="H151" s="95"/>
    </row>
    <row r="152" spans="1:8" x14ac:dyDescent="0.3">
      <c r="A152" s="161"/>
      <c r="B152" s="107"/>
      <c r="C152" s="111"/>
      <c r="D152" s="113">
        <f>'04b_Box_Bars'!$V9/1000</f>
        <v>0</v>
      </c>
      <c r="E152" s="63" t="s">
        <v>1708</v>
      </c>
      <c r="F152" s="150">
        <f t="shared" si="0"/>
        <v>0</v>
      </c>
      <c r="G152" s="107" t="s">
        <v>1474</v>
      </c>
      <c r="H152" s="95"/>
    </row>
    <row r="153" spans="1:8" x14ac:dyDescent="0.3">
      <c r="A153" s="161"/>
      <c r="B153" s="107"/>
      <c r="C153" s="111"/>
      <c r="D153" s="113">
        <f>'04b_Box_Bars'!$W9/1000</f>
        <v>0</v>
      </c>
      <c r="E153" s="63" t="s">
        <v>1709</v>
      </c>
      <c r="F153" s="150">
        <f t="shared" si="0"/>
        <v>0</v>
      </c>
      <c r="G153" s="107" t="s">
        <v>1474</v>
      </c>
      <c r="H153" s="95"/>
    </row>
    <row r="154" spans="1:8" x14ac:dyDescent="0.3">
      <c r="A154" s="161"/>
      <c r="B154" s="107"/>
      <c r="C154" s="111"/>
      <c r="D154" s="113"/>
      <c r="E154" s="63"/>
      <c r="F154" s="150"/>
      <c r="G154" s="107"/>
      <c r="H154" s="95"/>
    </row>
    <row r="155" spans="1:8" x14ac:dyDescent="0.3">
      <c r="A155" s="161"/>
      <c r="B155" s="107"/>
      <c r="C155" s="111"/>
      <c r="D155" s="113"/>
      <c r="E155" s="63"/>
      <c r="F155" s="150"/>
      <c r="G155" s="107"/>
      <c r="H155" s="95"/>
    </row>
    <row r="156" spans="1:8" x14ac:dyDescent="0.3">
      <c r="A156" s="160" t="str">
        <f>'04a_Box_Dims'!$F23&amp;"  No.  "&amp;'04a_Box_Dims'!$A23&amp;"   (L = "&amp;TEXT('04a_Box_Dims'!$AE23,"0.00")&amp;" m)"</f>
        <v>0  No.  2/2x2 box culvert   (L = 10.00 m)</v>
      </c>
      <c r="B156" s="146"/>
      <c r="C156" s="162"/>
      <c r="D156" s="163"/>
      <c r="E156" s="147"/>
      <c r="F156" s="148"/>
      <c r="G156" s="146"/>
      <c r="H156" s="151"/>
    </row>
    <row r="157" spans="1:8" x14ac:dyDescent="0.3">
      <c r="A157" s="161"/>
      <c r="B157" s="107"/>
      <c r="C157" s="111"/>
      <c r="D157" s="113"/>
      <c r="E157" s="149" t="s">
        <v>1438</v>
      </c>
      <c r="F157" s="150"/>
      <c r="G157" s="107"/>
      <c r="H157" s="95"/>
    </row>
    <row r="158" spans="1:8" x14ac:dyDescent="0.3">
      <c r="A158" s="161"/>
      <c r="B158" s="107"/>
      <c r="C158" s="111"/>
      <c r="D158" s="113"/>
      <c r="E158" s="63" t="s">
        <v>1655</v>
      </c>
      <c r="F158" s="150"/>
      <c r="G158" s="107"/>
      <c r="H158" s="95"/>
    </row>
    <row r="159" spans="1:8" x14ac:dyDescent="0.3">
      <c r="A159" s="161">
        <f>1</f>
        <v>1</v>
      </c>
      <c r="B159" s="107" t="s">
        <v>1628</v>
      </c>
      <c r="C159" s="111">
        <f>'04a_Box_Dims'!$AE23</f>
        <v>10</v>
      </c>
      <c r="D159" s="113"/>
      <c r="E159" s="63" t="s">
        <v>1656</v>
      </c>
      <c r="F159" s="150"/>
      <c r="G159" s="107"/>
      <c r="H159" s="95"/>
    </row>
    <row r="160" spans="1:8" x14ac:dyDescent="0.3">
      <c r="A160" s="161"/>
      <c r="B160" s="107"/>
      <c r="C160" s="111">
        <f>'04a_Box_Dims'!$J23+2*BX_work</f>
        <v>5.35</v>
      </c>
      <c r="D160" s="113"/>
      <c r="E160" s="63"/>
      <c r="F160" s="150"/>
      <c r="G160" s="107"/>
      <c r="H160" s="95"/>
    </row>
    <row r="161" spans="1:8" x14ac:dyDescent="0.3">
      <c r="A161" s="161"/>
      <c r="B161" s="107"/>
      <c r="C161" s="111">
        <f>'04a_Box_Dims'!$L23+BX_blind+BX_exX</f>
        <v>2.6999999999999997</v>
      </c>
      <c r="D161" s="113">
        <f>$A159*$C159*$C160*$C161</f>
        <v>144.44999999999999</v>
      </c>
      <c r="E161" s="63"/>
      <c r="F161" s="150"/>
      <c r="G161" s="107"/>
      <c r="H161" s="95"/>
    </row>
    <row r="162" spans="1:8" x14ac:dyDescent="0.3">
      <c r="A162" s="161">
        <f>2</f>
        <v>2</v>
      </c>
      <c r="B162" s="107" t="s">
        <v>1628</v>
      </c>
      <c r="C162" s="111">
        <f>'04a_Box_Dims'!$O23</f>
        <v>1.5</v>
      </c>
      <c r="D162" s="113"/>
      <c r="E162" s="63" t="s">
        <v>1657</v>
      </c>
      <c r="F162" s="150"/>
      <c r="G162" s="107"/>
      <c r="H162" s="95"/>
    </row>
    <row r="163" spans="1:8" x14ac:dyDescent="0.3">
      <c r="A163" s="161"/>
      <c r="B163" s="107"/>
      <c r="C163" s="111">
        <f>'04a_Box_Dims'!$Q23</f>
        <v>6.25</v>
      </c>
      <c r="D163" s="113"/>
      <c r="E163" s="63"/>
      <c r="F163" s="150"/>
      <c r="G163" s="107"/>
      <c r="H163" s="95"/>
    </row>
    <row r="164" spans="1:8" x14ac:dyDescent="0.3">
      <c r="A164" s="161"/>
      <c r="B164" s="107"/>
      <c r="C164" s="111">
        <f>'04a_Box_Dims'!$P23+BX_blind+BX_exX</f>
        <v>0.44999999999999996</v>
      </c>
      <c r="D164" s="113">
        <f>$A162*$C162*$C163*$C164</f>
        <v>8.4375</v>
      </c>
      <c r="E164" s="63"/>
      <c r="F164" s="150"/>
      <c r="G164" s="107"/>
      <c r="H164" s="95"/>
    </row>
    <row r="165" spans="1:8" x14ac:dyDescent="0.3">
      <c r="A165" s="161">
        <f>2</f>
        <v>2</v>
      </c>
      <c r="B165" s="107" t="s">
        <v>1628</v>
      </c>
      <c r="C165" s="111">
        <f>'04a_Box_Dims'!$R23</f>
        <v>4.75</v>
      </c>
      <c r="D165" s="113"/>
      <c r="E165" s="63" t="s">
        <v>1658</v>
      </c>
      <c r="F165" s="150"/>
      <c r="G165" s="107"/>
      <c r="H165" s="95"/>
    </row>
    <row r="166" spans="1:8" x14ac:dyDescent="0.3">
      <c r="A166" s="161"/>
      <c r="B166" s="107"/>
      <c r="C166" s="111">
        <f>'04a_Box_Dims'!$S23</f>
        <v>0.2</v>
      </c>
      <c r="D166" s="113"/>
      <c r="E166" s="63"/>
      <c r="F166" s="150"/>
      <c r="G166" s="107"/>
      <c r="H166" s="95"/>
    </row>
    <row r="167" spans="1:8" x14ac:dyDescent="0.3">
      <c r="A167" s="161"/>
      <c r="B167" s="107"/>
      <c r="C167" s="111">
        <f>'04a_Box_Dims'!$T23+BX_blind</f>
        <v>0.5</v>
      </c>
      <c r="D167" s="113">
        <f>$A165*$C165*$C166*$C167</f>
        <v>0.95000000000000007</v>
      </c>
      <c r="E167" s="63"/>
      <c r="F167" s="150"/>
      <c r="G167" s="107"/>
      <c r="H167" s="95"/>
    </row>
    <row r="168" spans="1:8" x14ac:dyDescent="0.3">
      <c r="A168" s="161">
        <f>4</f>
        <v>4</v>
      </c>
      <c r="B168" s="107" t="s">
        <v>1628</v>
      </c>
      <c r="C168" s="111">
        <f>'04a_Box_Dims'!$Z23</f>
        <v>2.1213203435596424</v>
      </c>
      <c r="D168" s="113"/>
      <c r="E168" s="63" t="s">
        <v>1659</v>
      </c>
      <c r="F168" s="150"/>
      <c r="G168" s="107"/>
      <c r="H168" s="95"/>
    </row>
    <row r="169" spans="1:8" x14ac:dyDescent="0.3">
      <c r="A169" s="161"/>
      <c r="B169" s="107"/>
      <c r="C169" s="111">
        <f>'04a_Box_Dims'!$AC23</f>
        <v>0.81400000000000006</v>
      </c>
      <c r="D169" s="113"/>
      <c r="E169" s="63"/>
      <c r="F169" s="150"/>
      <c r="G169" s="107"/>
      <c r="H169" s="95"/>
    </row>
    <row r="170" spans="1:8" x14ac:dyDescent="0.3">
      <c r="A170" s="161"/>
      <c r="B170" s="107"/>
      <c r="C170" s="111">
        <f>'04a_Box_Dims'!$AD23+BX_blind</f>
        <v>0.35</v>
      </c>
      <c r="D170" s="113">
        <f>$A168*$C168*$C169*$C170</f>
        <v>2.4174566635205683</v>
      </c>
      <c r="E170" s="63"/>
      <c r="F170" s="150"/>
      <c r="G170" s="107"/>
      <c r="H170" s="95"/>
    </row>
    <row r="171" spans="1:8" x14ac:dyDescent="0.3">
      <c r="A171" s="161"/>
      <c r="B171" s="107"/>
      <c r="C171" s="111"/>
      <c r="D171" s="113">
        <f>SUM($D$159:$D$170)</f>
        <v>156.25495666352055</v>
      </c>
      <c r="E171" s="63" t="s">
        <v>1660</v>
      </c>
      <c r="F171" s="150">
        <f>ROUND($D171,0)</f>
        <v>156</v>
      </c>
      <c r="G171" s="107" t="s">
        <v>1661</v>
      </c>
      <c r="H171" s="95"/>
    </row>
    <row r="172" spans="1:8" x14ac:dyDescent="0.3">
      <c r="A172" s="161"/>
      <c r="B172" s="107"/>
      <c r="C172" s="111"/>
      <c r="D172" s="113"/>
      <c r="E172" s="63"/>
      <c r="F172" s="150"/>
      <c r="G172" s="107"/>
      <c r="H172" s="95"/>
    </row>
    <row r="173" spans="1:8" x14ac:dyDescent="0.3">
      <c r="A173" s="161"/>
      <c r="B173" s="107"/>
      <c r="C173" s="111"/>
      <c r="D173" s="113"/>
      <c r="E173" s="149" t="s">
        <v>1323</v>
      </c>
      <c r="F173" s="150"/>
      <c r="G173" s="107"/>
      <c r="H173" s="95"/>
    </row>
    <row r="174" spans="1:8" x14ac:dyDescent="0.3">
      <c r="A174" s="161"/>
      <c r="B174" s="107"/>
      <c r="C174" s="111"/>
      <c r="D174" s="113"/>
      <c r="E174" s="63" t="s">
        <v>1662</v>
      </c>
      <c r="F174" s="150"/>
      <c r="G174" s="107"/>
      <c r="H174" s="95"/>
    </row>
    <row r="175" spans="1:8" x14ac:dyDescent="0.3">
      <c r="A175" s="161">
        <f>1</f>
        <v>1</v>
      </c>
      <c r="B175" s="107" t="s">
        <v>1628</v>
      </c>
      <c r="C175" s="111">
        <f>'04a_Box_Dims'!$AE23</f>
        <v>10</v>
      </c>
      <c r="D175" s="113"/>
      <c r="E175" s="63" t="s">
        <v>1663</v>
      </c>
      <c r="F175" s="150"/>
      <c r="G175" s="107"/>
      <c r="H175" s="95"/>
    </row>
    <row r="176" spans="1:8" x14ac:dyDescent="0.3">
      <c r="A176" s="161"/>
      <c r="B176" s="107"/>
      <c r="C176" s="111">
        <f>'04a_Box_Dims'!$J23</f>
        <v>4.75</v>
      </c>
      <c r="D176" s="113"/>
      <c r="E176" s="63"/>
      <c r="F176" s="150"/>
      <c r="G176" s="107"/>
      <c r="H176" s="95"/>
    </row>
    <row r="177" spans="1:8" x14ac:dyDescent="0.3">
      <c r="A177" s="161"/>
      <c r="B177" s="107"/>
      <c r="C177" s="111">
        <f>BX_blind</f>
        <v>0.05</v>
      </c>
      <c r="D177" s="113">
        <f>$A175*$C175*$C176*$C177</f>
        <v>2.375</v>
      </c>
      <c r="E177" s="63"/>
      <c r="F177" s="150"/>
      <c r="G177" s="107"/>
      <c r="H177" s="95"/>
    </row>
    <row r="178" spans="1:8" x14ac:dyDescent="0.3">
      <c r="A178" s="161">
        <f>2</f>
        <v>2</v>
      </c>
      <c r="B178" s="107" t="s">
        <v>1628</v>
      </c>
      <c r="C178" s="111">
        <f>'04a_Box_Dims'!$O23</f>
        <v>1.5</v>
      </c>
      <c r="D178" s="113"/>
      <c r="E178" s="63" t="s">
        <v>1657</v>
      </c>
      <c r="F178" s="150"/>
      <c r="G178" s="107"/>
      <c r="H178" s="95"/>
    </row>
    <row r="179" spans="1:8" x14ac:dyDescent="0.3">
      <c r="A179" s="161"/>
      <c r="B179" s="107"/>
      <c r="C179" s="111">
        <f>'04a_Box_Dims'!$Q23</f>
        <v>6.25</v>
      </c>
      <c r="D179" s="113"/>
      <c r="E179" s="63"/>
      <c r="F179" s="150"/>
      <c r="G179" s="107"/>
      <c r="H179" s="95"/>
    </row>
    <row r="180" spans="1:8" x14ac:dyDescent="0.3">
      <c r="A180" s="161"/>
      <c r="B180" s="107"/>
      <c r="C180" s="111">
        <f>BX_blind</f>
        <v>0.05</v>
      </c>
      <c r="D180" s="113">
        <f>$A178*$C178*$C179*$C180</f>
        <v>0.9375</v>
      </c>
      <c r="E180" s="63"/>
      <c r="F180" s="150"/>
      <c r="G180" s="107"/>
      <c r="H180" s="95"/>
    </row>
    <row r="181" spans="1:8" x14ac:dyDescent="0.3">
      <c r="A181" s="161">
        <f>2</f>
        <v>2</v>
      </c>
      <c r="B181" s="107" t="s">
        <v>1628</v>
      </c>
      <c r="C181" s="111">
        <f>'04a_Box_Dims'!$R23</f>
        <v>4.75</v>
      </c>
      <c r="D181" s="113"/>
      <c r="E181" s="63" t="s">
        <v>1658</v>
      </c>
      <c r="F181" s="150"/>
      <c r="G181" s="107"/>
      <c r="H181" s="95"/>
    </row>
    <row r="182" spans="1:8" x14ac:dyDescent="0.3">
      <c r="A182" s="161"/>
      <c r="B182" s="107"/>
      <c r="C182" s="111">
        <f>'04a_Box_Dims'!$S23</f>
        <v>0.2</v>
      </c>
      <c r="D182" s="113"/>
      <c r="E182" s="63"/>
      <c r="F182" s="150"/>
      <c r="G182" s="107"/>
      <c r="H182" s="95"/>
    </row>
    <row r="183" spans="1:8" x14ac:dyDescent="0.3">
      <c r="A183" s="161"/>
      <c r="B183" s="107"/>
      <c r="C183" s="111">
        <f>BX_blind</f>
        <v>0.05</v>
      </c>
      <c r="D183" s="113">
        <f>$A181*$C181*$C182*$C183</f>
        <v>9.5000000000000015E-2</v>
      </c>
      <c r="E183" s="63"/>
      <c r="F183" s="150"/>
      <c r="G183" s="107"/>
      <c r="H183" s="95"/>
    </row>
    <row r="184" spans="1:8" x14ac:dyDescent="0.3">
      <c r="A184" s="161">
        <f>4</f>
        <v>4</v>
      </c>
      <c r="B184" s="107" t="s">
        <v>1628</v>
      </c>
      <c r="C184" s="111">
        <f>'04a_Box_Dims'!$Z23</f>
        <v>2.1213203435596424</v>
      </c>
      <c r="D184" s="113"/>
      <c r="E184" s="63" t="s">
        <v>1659</v>
      </c>
      <c r="F184" s="150"/>
      <c r="G184" s="107"/>
      <c r="H184" s="95"/>
    </row>
    <row r="185" spans="1:8" x14ac:dyDescent="0.3">
      <c r="A185" s="161"/>
      <c r="B185" s="107"/>
      <c r="C185" s="111">
        <f>'04a_Box_Dims'!$AC23</f>
        <v>0.81400000000000006</v>
      </c>
      <c r="D185" s="113"/>
      <c r="E185" s="63"/>
      <c r="F185" s="150"/>
      <c r="G185" s="107"/>
      <c r="H185" s="95"/>
    </row>
    <row r="186" spans="1:8" x14ac:dyDescent="0.3">
      <c r="A186" s="161"/>
      <c r="B186" s="107"/>
      <c r="C186" s="111">
        <f>BX_blind</f>
        <v>0.05</v>
      </c>
      <c r="D186" s="113">
        <f>$A184*$C184*$C185*$C186</f>
        <v>0.34535095193150983</v>
      </c>
      <c r="E186" s="63"/>
      <c r="F186" s="150"/>
      <c r="G186" s="107"/>
      <c r="H186" s="95"/>
    </row>
    <row r="187" spans="1:8" x14ac:dyDescent="0.3">
      <c r="A187" s="161"/>
      <c r="B187" s="107"/>
      <c r="C187" s="111"/>
      <c r="D187" s="113">
        <f>SUM($D$175:$D$186)</f>
        <v>3.7528509519315101</v>
      </c>
      <c r="E187" s="63" t="s">
        <v>1660</v>
      </c>
      <c r="F187" s="150">
        <f>ROUND($D187,2)</f>
        <v>3.75</v>
      </c>
      <c r="G187" s="107" t="s">
        <v>1661</v>
      </c>
      <c r="H187" s="95"/>
    </row>
    <row r="188" spans="1:8" x14ac:dyDescent="0.3">
      <c r="A188" s="161"/>
      <c r="B188" s="107"/>
      <c r="C188" s="111"/>
      <c r="D188" s="113"/>
      <c r="E188" s="63"/>
      <c r="F188" s="150"/>
      <c r="G188" s="107"/>
      <c r="H188" s="95"/>
    </row>
    <row r="189" spans="1:8" x14ac:dyDescent="0.3">
      <c r="A189" s="161"/>
      <c r="B189" s="107"/>
      <c r="C189" s="111"/>
      <c r="D189" s="113"/>
      <c r="E189" s="149" t="s">
        <v>1324</v>
      </c>
      <c r="F189" s="150"/>
      <c r="G189" s="107"/>
      <c r="H189" s="95"/>
    </row>
    <row r="190" spans="1:8" x14ac:dyDescent="0.3">
      <c r="A190" s="161"/>
      <c r="B190" s="107"/>
      <c r="C190" s="111"/>
      <c r="D190" s="113"/>
      <c r="E190" s="63" t="s">
        <v>1664</v>
      </c>
      <c r="F190" s="150"/>
      <c r="G190" s="107"/>
      <c r="H190" s="95"/>
    </row>
    <row r="191" spans="1:8" x14ac:dyDescent="0.3">
      <c r="A191" s="161"/>
      <c r="B191" s="107"/>
      <c r="C191" s="111"/>
      <c r="D191" s="113">
        <f>$D187</f>
        <v>3.7528509519315101</v>
      </c>
      <c r="E191" s="63" t="s">
        <v>1665</v>
      </c>
      <c r="F191" s="150">
        <f>$F187</f>
        <v>3.75</v>
      </c>
      <c r="G191" s="107" t="s">
        <v>1661</v>
      </c>
      <c r="H191" s="95"/>
    </row>
    <row r="192" spans="1:8" x14ac:dyDescent="0.3">
      <c r="A192" s="161"/>
      <c r="B192" s="107"/>
      <c r="C192" s="111"/>
      <c r="D192" s="113"/>
      <c r="E192" s="63"/>
      <c r="F192" s="150"/>
      <c r="G192" s="107"/>
      <c r="H192" s="95"/>
    </row>
    <row r="193" spans="1:8" x14ac:dyDescent="0.3">
      <c r="A193" s="161"/>
      <c r="B193" s="107"/>
      <c r="C193" s="111"/>
      <c r="D193" s="113"/>
      <c r="E193" s="149" t="s">
        <v>1455</v>
      </c>
      <c r="F193" s="150"/>
      <c r="G193" s="107"/>
      <c r="H193" s="95"/>
    </row>
    <row r="194" spans="1:8" x14ac:dyDescent="0.3">
      <c r="A194" s="161"/>
      <c r="B194" s="107"/>
      <c r="C194" s="111"/>
      <c r="D194" s="113"/>
      <c r="E194" s="63" t="s">
        <v>1666</v>
      </c>
      <c r="F194" s="150"/>
      <c r="G194" s="107"/>
      <c r="H194" s="95"/>
    </row>
    <row r="195" spans="1:8" x14ac:dyDescent="0.3">
      <c r="A195" s="161">
        <f>1</f>
        <v>1</v>
      </c>
      <c r="B195" s="107" t="s">
        <v>1628</v>
      </c>
      <c r="C195" s="111">
        <f>'04a_Box_Dims'!$AE23</f>
        <v>10</v>
      </c>
      <c r="D195" s="113"/>
      <c r="E195" s="63" t="s">
        <v>1667</v>
      </c>
      <c r="F195" s="150"/>
      <c r="G195" s="107"/>
      <c r="H195" s="95"/>
    </row>
    <row r="196" spans="1:8" x14ac:dyDescent="0.3">
      <c r="A196" s="161"/>
      <c r="B196" s="107"/>
      <c r="C196" s="111">
        <f>'04a_Box_Dims'!$J23</f>
        <v>4.75</v>
      </c>
      <c r="D196" s="113"/>
      <c r="E196" s="63"/>
      <c r="F196" s="150"/>
      <c r="G196" s="107"/>
      <c r="H196" s="95"/>
    </row>
    <row r="197" spans="1:8" x14ac:dyDescent="0.3">
      <c r="A197" s="161"/>
      <c r="B197" s="107"/>
      <c r="C197" s="111">
        <f>'04a_Box_Dims'!$I23</f>
        <v>0.25</v>
      </c>
      <c r="D197" s="113">
        <f>$A195*$C195*$C196*$C197</f>
        <v>11.875</v>
      </c>
      <c r="E197" s="63"/>
      <c r="F197" s="150"/>
      <c r="G197" s="107"/>
      <c r="H197" s="95">
        <f>'04a_Box_Dims'!$I23</f>
        <v>0.25</v>
      </c>
    </row>
    <row r="198" spans="1:8" x14ac:dyDescent="0.3">
      <c r="A198" s="161">
        <f>2</f>
        <v>2</v>
      </c>
      <c r="B198" s="107" t="s">
        <v>1628</v>
      </c>
      <c r="C198" s="111">
        <f>'04a_Box_Dims'!$O23</f>
        <v>1.5</v>
      </c>
      <c r="D198" s="113"/>
      <c r="E198" s="63" t="s">
        <v>1657</v>
      </c>
      <c r="F198" s="150"/>
      <c r="G198" s="107"/>
      <c r="H198" s="95"/>
    </row>
    <row r="199" spans="1:8" x14ac:dyDescent="0.3">
      <c r="A199" s="161"/>
      <c r="B199" s="107"/>
      <c r="C199" s="111">
        <f>'04a_Box_Dims'!$Q23</f>
        <v>6.25</v>
      </c>
      <c r="D199" s="113"/>
      <c r="E199" s="63"/>
      <c r="F199" s="150"/>
      <c r="G199" s="107"/>
      <c r="H199" s="95"/>
    </row>
    <row r="200" spans="1:8" x14ac:dyDescent="0.3">
      <c r="A200" s="161"/>
      <c r="B200" s="107"/>
      <c r="C200" s="111">
        <f>'04a_Box_Dims'!$P23</f>
        <v>0.25</v>
      </c>
      <c r="D200" s="113">
        <f>$A198*$C198*$C199*$C200</f>
        <v>4.6875</v>
      </c>
      <c r="E200" s="63"/>
      <c r="F200" s="150"/>
      <c r="G200" s="107"/>
      <c r="H200" s="95">
        <f>'04a_Box_Dims'!$P23</f>
        <v>0.25</v>
      </c>
    </row>
    <row r="201" spans="1:8" x14ac:dyDescent="0.3">
      <c r="A201" s="161">
        <f>2</f>
        <v>2</v>
      </c>
      <c r="B201" s="107" t="s">
        <v>1628</v>
      </c>
      <c r="C201" s="111">
        <f>'04a_Box_Dims'!$R23</f>
        <v>4.75</v>
      </c>
      <c r="D201" s="113"/>
      <c r="E201" s="63" t="s">
        <v>1658</v>
      </c>
      <c r="F201" s="150"/>
      <c r="G201" s="107"/>
      <c r="H201" s="95"/>
    </row>
    <row r="202" spans="1:8" x14ac:dyDescent="0.3">
      <c r="A202" s="161"/>
      <c r="B202" s="107"/>
      <c r="C202" s="111">
        <f>'04a_Box_Dims'!$S23</f>
        <v>0.2</v>
      </c>
      <c r="D202" s="113"/>
      <c r="E202" s="63"/>
      <c r="F202" s="150"/>
      <c r="G202" s="107"/>
      <c r="H202" s="95"/>
    </row>
    <row r="203" spans="1:8" x14ac:dyDescent="0.3">
      <c r="A203" s="161"/>
      <c r="B203" s="107"/>
      <c r="C203" s="111">
        <f>'04a_Box_Dims'!$T23</f>
        <v>0.45</v>
      </c>
      <c r="D203" s="113">
        <f>$A201*$C201*$C202*$C203</f>
        <v>0.85500000000000009</v>
      </c>
      <c r="E203" s="63"/>
      <c r="F203" s="150"/>
      <c r="G203" s="107"/>
      <c r="H203" s="95">
        <f>'04a_Box_Dims'!$S23</f>
        <v>0.2</v>
      </c>
    </row>
    <row r="204" spans="1:8" x14ac:dyDescent="0.3">
      <c r="A204" s="161">
        <f>4</f>
        <v>4</v>
      </c>
      <c r="B204" s="107" t="s">
        <v>1628</v>
      </c>
      <c r="C204" s="111">
        <f>'04a_Box_Dims'!$Z23</f>
        <v>2.1213203435596424</v>
      </c>
      <c r="D204" s="113"/>
      <c r="E204" s="63" t="s">
        <v>1659</v>
      </c>
      <c r="F204" s="150"/>
      <c r="G204" s="107"/>
      <c r="H204" s="95"/>
    </row>
    <row r="205" spans="1:8" x14ac:dyDescent="0.3">
      <c r="A205" s="161"/>
      <c r="B205" s="107"/>
      <c r="C205" s="111">
        <f>'04a_Box_Dims'!$AC23</f>
        <v>0.81400000000000006</v>
      </c>
      <c r="D205" s="113"/>
      <c r="E205" s="63"/>
      <c r="F205" s="150"/>
      <c r="G205" s="107"/>
      <c r="H205" s="95"/>
    </row>
    <row r="206" spans="1:8" x14ac:dyDescent="0.3">
      <c r="A206" s="161"/>
      <c r="B206" s="107"/>
      <c r="C206" s="111">
        <f>'04a_Box_Dims'!$AD23</f>
        <v>0.3</v>
      </c>
      <c r="D206" s="113">
        <f>$A204*$C204*$C205*$C206</f>
        <v>2.0721057115890589</v>
      </c>
      <c r="E206" s="63"/>
      <c r="F206" s="150"/>
      <c r="G206" s="107"/>
      <c r="H206" s="95">
        <f>'04a_Box_Dims'!$AD23</f>
        <v>0.3</v>
      </c>
    </row>
    <row r="207" spans="1:8" x14ac:dyDescent="0.3">
      <c r="A207" s="161"/>
      <c r="B207" s="107"/>
      <c r="C207" s="111"/>
      <c r="D207" s="113">
        <f>SUM($D$195:$D$206)</f>
        <v>19.489605711589061</v>
      </c>
      <c r="E207" s="63" t="s">
        <v>1660</v>
      </c>
      <c r="F207" s="150">
        <f>ROUND($D207,2)</f>
        <v>19.489999999999998</v>
      </c>
      <c r="G207" s="107" t="s">
        <v>1661</v>
      </c>
      <c r="H207" s="95"/>
    </row>
    <row r="208" spans="1:8" x14ac:dyDescent="0.3">
      <c r="A208" s="161"/>
      <c r="B208" s="107"/>
      <c r="C208" s="111"/>
      <c r="D208" s="113"/>
      <c r="E208" s="63"/>
      <c r="F208" s="150"/>
      <c r="G208" s="107"/>
      <c r="H208" s="95"/>
    </row>
    <row r="209" spans="1:8" x14ac:dyDescent="0.3">
      <c r="A209" s="161"/>
      <c r="B209" s="107"/>
      <c r="C209" s="111"/>
      <c r="D209" s="113"/>
      <c r="E209" s="149" t="s">
        <v>1668</v>
      </c>
      <c r="F209" s="150"/>
      <c r="G209" s="107"/>
      <c r="H209" s="95"/>
    </row>
    <row r="210" spans="1:8" x14ac:dyDescent="0.3">
      <c r="A210" s="161"/>
      <c r="B210" s="107"/>
      <c r="C210" s="111"/>
      <c r="D210" s="113"/>
      <c r="E210" s="63" t="s">
        <v>1669</v>
      </c>
      <c r="F210" s="150"/>
      <c r="G210" s="107"/>
      <c r="H210" s="95"/>
    </row>
    <row r="211" spans="1:8" x14ac:dyDescent="0.3">
      <c r="A211" s="161"/>
      <c r="B211" s="107"/>
      <c r="C211" s="111"/>
      <c r="D211" s="113">
        <f>SUMIF($H$195:$H$206,"&lt;=0.3",$D$195:$D$206)</f>
        <v>19.489605711589061</v>
      </c>
      <c r="E211" s="63" t="s">
        <v>1670</v>
      </c>
      <c r="F211" s="150">
        <f>ROUND($D211,2)</f>
        <v>19.489999999999998</v>
      </c>
      <c r="G211" s="107" t="s">
        <v>1661</v>
      </c>
      <c r="H211" s="95"/>
    </row>
    <row r="212" spans="1:8" x14ac:dyDescent="0.3">
      <c r="A212" s="161"/>
      <c r="B212" s="107"/>
      <c r="C212" s="111"/>
      <c r="D212" s="113">
        <f>SUMIF($H$195:$H$206,"&gt;0.3",$D$195:$D$206)</f>
        <v>0</v>
      </c>
      <c r="E212" s="63" t="s">
        <v>1671</v>
      </c>
      <c r="F212" s="150">
        <f>ROUND($D212,2)</f>
        <v>0</v>
      </c>
      <c r="G212" s="107" t="s">
        <v>1661</v>
      </c>
      <c r="H212" s="95"/>
    </row>
    <row r="213" spans="1:8" x14ac:dyDescent="0.3">
      <c r="A213" s="161"/>
      <c r="B213" s="107"/>
      <c r="C213" s="111"/>
      <c r="D213" s="113"/>
      <c r="E213" s="63"/>
      <c r="F213" s="150"/>
      <c r="G213" s="107"/>
      <c r="H213" s="95"/>
    </row>
    <row r="214" spans="1:8" x14ac:dyDescent="0.3">
      <c r="A214" s="161"/>
      <c r="B214" s="107"/>
      <c r="C214" s="111"/>
      <c r="D214" s="113"/>
      <c r="E214" s="149" t="s">
        <v>1455</v>
      </c>
      <c r="F214" s="150"/>
      <c r="G214" s="107"/>
      <c r="H214" s="95"/>
    </row>
    <row r="215" spans="1:8" x14ac:dyDescent="0.3">
      <c r="A215" s="161"/>
      <c r="B215" s="107"/>
      <c r="C215" s="111"/>
      <c r="D215" s="113"/>
      <c r="E215" s="63" t="s">
        <v>1672</v>
      </c>
      <c r="F215" s="150"/>
      <c r="G215" s="107"/>
      <c r="H215" s="95"/>
    </row>
    <row r="216" spans="1:8" x14ac:dyDescent="0.3">
      <c r="A216" s="161">
        <f>1</f>
        <v>1</v>
      </c>
      <c r="B216" s="107" t="s">
        <v>1628</v>
      </c>
      <c r="C216" s="111">
        <f>'04a_Box_Dims'!$AE23</f>
        <v>10</v>
      </c>
      <c r="D216" s="113"/>
      <c r="E216" s="63" t="s">
        <v>1673</v>
      </c>
      <c r="F216" s="150"/>
      <c r="G216" s="107"/>
      <c r="H216" s="95"/>
    </row>
    <row r="217" spans="1:8" x14ac:dyDescent="0.3">
      <c r="A217" s="161"/>
      <c r="B217" s="107"/>
      <c r="C217" s="111">
        <f>'04a_Box_Dims'!$J23</f>
        <v>4.75</v>
      </c>
      <c r="D217" s="113"/>
      <c r="E217" s="63"/>
      <c r="F217" s="150"/>
      <c r="G217" s="107"/>
      <c r="H217" s="95"/>
    </row>
    <row r="218" spans="1:8" x14ac:dyDescent="0.3">
      <c r="A218" s="161"/>
      <c r="B218" s="107"/>
      <c r="C218" s="111">
        <f>'04a_Box_Dims'!$I23</f>
        <v>0.25</v>
      </c>
      <c r="D218" s="113">
        <f>$A216*$C216*$C217*$C218</f>
        <v>11.875</v>
      </c>
      <c r="E218" s="63"/>
      <c r="F218" s="150"/>
      <c r="G218" s="107"/>
      <c r="H218" s="95">
        <f>'04a_Box_Dims'!$I23</f>
        <v>0.25</v>
      </c>
    </row>
    <row r="219" spans="1:8" x14ac:dyDescent="0.3">
      <c r="A219" s="161"/>
      <c r="B219" s="107"/>
      <c r="C219" s="111"/>
      <c r="D219" s="113">
        <f>SUM($D$216:$D$218)</f>
        <v>11.875</v>
      </c>
      <c r="E219" s="63" t="s">
        <v>1660</v>
      </c>
      <c r="F219" s="150">
        <f>ROUND($D219,2)</f>
        <v>11.88</v>
      </c>
      <c r="G219" s="107" t="s">
        <v>1661</v>
      </c>
      <c r="H219" s="95"/>
    </row>
    <row r="220" spans="1:8" x14ac:dyDescent="0.3">
      <c r="A220" s="161"/>
      <c r="B220" s="107"/>
      <c r="C220" s="111"/>
      <c r="D220" s="113"/>
      <c r="E220" s="63"/>
      <c r="F220" s="150"/>
      <c r="G220" s="107"/>
      <c r="H220" s="95"/>
    </row>
    <row r="221" spans="1:8" x14ac:dyDescent="0.3">
      <c r="A221" s="161"/>
      <c r="B221" s="107"/>
      <c r="C221" s="111"/>
      <c r="D221" s="113"/>
      <c r="E221" s="149" t="s">
        <v>1674</v>
      </c>
      <c r="F221" s="150"/>
      <c r="G221" s="107"/>
      <c r="H221" s="95"/>
    </row>
    <row r="222" spans="1:8" x14ac:dyDescent="0.3">
      <c r="A222" s="161"/>
      <c r="B222" s="107"/>
      <c r="C222" s="111"/>
      <c r="D222" s="113"/>
      <c r="E222" s="63" t="s">
        <v>1675</v>
      </c>
      <c r="F222" s="150"/>
      <c r="G222" s="107"/>
      <c r="H222" s="95"/>
    </row>
    <row r="223" spans="1:8" x14ac:dyDescent="0.3">
      <c r="A223" s="161"/>
      <c r="B223" s="107"/>
      <c r="C223" s="111"/>
      <c r="D223" s="113">
        <f>SUMIF($H$216:$H$218,"&lt;=0.3",$D$216:$D$218)</f>
        <v>11.875</v>
      </c>
      <c r="E223" s="63" t="s">
        <v>1670</v>
      </c>
      <c r="F223" s="150">
        <f>ROUND($D223,2)</f>
        <v>11.88</v>
      </c>
      <c r="G223" s="107" t="s">
        <v>1661</v>
      </c>
      <c r="H223" s="95"/>
    </row>
    <row r="224" spans="1:8" x14ac:dyDescent="0.3">
      <c r="A224" s="161"/>
      <c r="B224" s="107"/>
      <c r="C224" s="111"/>
      <c r="D224" s="113">
        <f>SUMIF($H$216:$H$218,"&gt;0.3",$D$216:$D$218)</f>
        <v>0</v>
      </c>
      <c r="E224" s="63" t="s">
        <v>1671</v>
      </c>
      <c r="F224" s="150">
        <f>ROUND($D224,2)</f>
        <v>0</v>
      </c>
      <c r="G224" s="107" t="s">
        <v>1661</v>
      </c>
      <c r="H224" s="95"/>
    </row>
    <row r="225" spans="1:8" x14ac:dyDescent="0.3">
      <c r="A225" s="161"/>
      <c r="B225" s="107"/>
      <c r="C225" s="111"/>
      <c r="D225" s="113"/>
      <c r="E225" s="63"/>
      <c r="F225" s="150"/>
      <c r="G225" s="107"/>
      <c r="H225" s="95"/>
    </row>
    <row r="226" spans="1:8" x14ac:dyDescent="0.3">
      <c r="A226" s="161"/>
      <c r="B226" s="107"/>
      <c r="C226" s="111"/>
      <c r="D226" s="113"/>
      <c r="E226" s="149" t="s">
        <v>1455</v>
      </c>
      <c r="F226" s="150"/>
      <c r="G226" s="107"/>
      <c r="H226" s="95"/>
    </row>
    <row r="227" spans="1:8" x14ac:dyDescent="0.3">
      <c r="A227" s="161"/>
      <c r="B227" s="107"/>
      <c r="C227" s="111"/>
      <c r="D227" s="113"/>
      <c r="E227" s="63" t="s">
        <v>1676</v>
      </c>
      <c r="F227" s="150"/>
      <c r="G227" s="107"/>
      <c r="H227" s="95"/>
    </row>
    <row r="228" spans="1:8" x14ac:dyDescent="0.3">
      <c r="A228" s="161">
        <f>2</f>
        <v>2</v>
      </c>
      <c r="B228" s="107" t="s">
        <v>1628</v>
      </c>
      <c r="C228" s="111">
        <f>'04a_Box_Dims'!$AE23</f>
        <v>10</v>
      </c>
      <c r="D228" s="113"/>
      <c r="E228" s="63" t="s">
        <v>1677</v>
      </c>
      <c r="F228" s="150"/>
      <c r="G228" s="107"/>
      <c r="H228" s="95"/>
    </row>
    <row r="229" spans="1:8" x14ac:dyDescent="0.3">
      <c r="A229" s="161"/>
      <c r="B229" s="107"/>
      <c r="C229" s="111">
        <f>'04a_Box_Dims'!$E23</f>
        <v>2</v>
      </c>
      <c r="D229" s="113"/>
      <c r="E229" s="63"/>
      <c r="F229" s="150"/>
      <c r="G229" s="107"/>
      <c r="H229" s="95"/>
    </row>
    <row r="230" spans="1:8" x14ac:dyDescent="0.3">
      <c r="A230" s="161"/>
      <c r="B230" s="107"/>
      <c r="C230" s="111">
        <f>'04a_Box_Dims'!$I23</f>
        <v>0.25</v>
      </c>
      <c r="D230" s="113">
        <f>$A228*$C228*$C229*$C230</f>
        <v>10</v>
      </c>
      <c r="E230" s="63"/>
      <c r="F230" s="150"/>
      <c r="G230" s="107"/>
      <c r="H230" s="95">
        <f>'04a_Box_Dims'!$I23</f>
        <v>0.25</v>
      </c>
    </row>
    <row r="231" spans="1:8" x14ac:dyDescent="0.3">
      <c r="A231" s="161">
        <f>'04a_Box_Dims'!$C23-1</f>
        <v>1</v>
      </c>
      <c r="B231" s="107" t="s">
        <v>1628</v>
      </c>
      <c r="C231" s="111">
        <f>'04a_Box_Dims'!$AE23</f>
        <v>10</v>
      </c>
      <c r="D231" s="113"/>
      <c r="E231" s="63" t="s">
        <v>1678</v>
      </c>
      <c r="F231" s="150"/>
      <c r="G231" s="107"/>
      <c r="H231" s="95"/>
    </row>
    <row r="232" spans="1:8" x14ac:dyDescent="0.3">
      <c r="A232" s="161"/>
      <c r="B232" s="107"/>
      <c r="C232" s="111">
        <f>'04a_Box_Dims'!$E23</f>
        <v>2</v>
      </c>
      <c r="D232" s="113"/>
      <c r="E232" s="63"/>
      <c r="F232" s="150"/>
      <c r="G232" s="107"/>
      <c r="H232" s="95"/>
    </row>
    <row r="233" spans="1:8" x14ac:dyDescent="0.3">
      <c r="A233" s="161"/>
      <c r="B233" s="107"/>
      <c r="C233" s="111">
        <f>'04a_Box_Dims'!$I23</f>
        <v>0.25</v>
      </c>
      <c r="D233" s="113">
        <f>$A231*$C231*$C232*$C233</f>
        <v>5</v>
      </c>
      <c r="E233" s="63"/>
      <c r="F233" s="150"/>
      <c r="G233" s="107"/>
      <c r="H233" s="95">
        <f>'04a_Box_Dims'!$I23</f>
        <v>0.25</v>
      </c>
    </row>
    <row r="234" spans="1:8" x14ac:dyDescent="0.3">
      <c r="A234" s="161">
        <f>4*'04a_Box_Dims'!$C23</f>
        <v>8</v>
      </c>
      <c r="B234" s="107" t="s">
        <v>1628</v>
      </c>
      <c r="C234" s="111">
        <f>'04a_Box_Dims'!$AE23</f>
        <v>10</v>
      </c>
      <c r="D234" s="113"/>
      <c r="E234" s="63" t="s">
        <v>1679</v>
      </c>
      <c r="F234" s="150"/>
      <c r="G234" s="107"/>
      <c r="H234" s="95"/>
    </row>
    <row r="235" spans="1:8" x14ac:dyDescent="0.3">
      <c r="A235" s="161"/>
      <c r="B235" s="107"/>
      <c r="C235" s="111">
        <f>'04a_Box_Dims'!$N23</f>
        <v>0.15</v>
      </c>
      <c r="D235" s="113"/>
      <c r="E235" s="63"/>
      <c r="F235" s="150"/>
      <c r="G235" s="107"/>
      <c r="H235" s="95"/>
    </row>
    <row r="236" spans="1:8" x14ac:dyDescent="0.3">
      <c r="A236" s="161"/>
      <c r="B236" s="107"/>
      <c r="C236" s="111">
        <f>'04a_Box_Dims'!$N23/2</f>
        <v>7.4999999999999997E-2</v>
      </c>
      <c r="D236" s="113">
        <f>$A234*$C234*$C235*$C236</f>
        <v>0.89999999999999991</v>
      </c>
      <c r="E236" s="63"/>
      <c r="F236" s="150"/>
      <c r="G236" s="107"/>
      <c r="H236" s="95">
        <f>'04a_Box_Dims'!$N23</f>
        <v>0.15</v>
      </c>
    </row>
    <row r="237" spans="1:8" x14ac:dyDescent="0.3">
      <c r="A237" s="161">
        <f>2</f>
        <v>2</v>
      </c>
      <c r="B237" s="107" t="s">
        <v>1628</v>
      </c>
      <c r="C237" s="111">
        <f>'04a_Box_Dims'!$J23</f>
        <v>4.75</v>
      </c>
      <c r="D237" s="113"/>
      <c r="E237" s="63" t="s">
        <v>1680</v>
      </c>
      <c r="F237" s="150"/>
      <c r="G237" s="107"/>
      <c r="H237" s="95"/>
    </row>
    <row r="238" spans="1:8" x14ac:dyDescent="0.3">
      <c r="A238" s="161"/>
      <c r="B238" s="107"/>
      <c r="C238" s="111">
        <f>'04a_Box_Dims'!$U23</f>
        <v>0.6</v>
      </c>
      <c r="D238" s="113"/>
      <c r="E238" s="63"/>
      <c r="F238" s="150"/>
      <c r="G238" s="107"/>
      <c r="H238" s="95"/>
    </row>
    <row r="239" spans="1:8" x14ac:dyDescent="0.3">
      <c r="A239" s="161"/>
      <c r="B239" s="107"/>
      <c r="C239" s="111">
        <f>'04a_Box_Dims'!$V23</f>
        <v>0.3</v>
      </c>
      <c r="D239" s="113">
        <f>$A237*$C237*$C238*$C239</f>
        <v>1.71</v>
      </c>
      <c r="E239" s="63"/>
      <c r="F239" s="150"/>
      <c r="G239" s="107"/>
      <c r="H239" s="95">
        <f>'04a_Box_Dims'!$V23</f>
        <v>0.3</v>
      </c>
    </row>
    <row r="240" spans="1:8" x14ac:dyDescent="0.3">
      <c r="A240" s="161">
        <f>4</f>
        <v>4</v>
      </c>
      <c r="B240" s="107" t="s">
        <v>1628</v>
      </c>
      <c r="C240" s="111">
        <f>'04a_Box_Dims'!$Z23</f>
        <v>2.1213203435596424</v>
      </c>
      <c r="D240" s="113"/>
      <c r="E240" s="63" t="s">
        <v>1681</v>
      </c>
      <c r="F240" s="150"/>
      <c r="G240" s="107"/>
      <c r="H240" s="95"/>
    </row>
    <row r="241" spans="1:8" x14ac:dyDescent="0.3">
      <c r="A241" s="161"/>
      <c r="B241" s="107"/>
      <c r="C241" s="111">
        <f>'04a_Box_Dims'!$Y23</f>
        <v>2.9928932188134527</v>
      </c>
      <c r="D241" s="113"/>
      <c r="E241" s="63"/>
      <c r="F241" s="150"/>
      <c r="G241" s="107"/>
      <c r="H241" s="95"/>
    </row>
    <row r="242" spans="1:8" x14ac:dyDescent="0.3">
      <c r="A242" s="161"/>
      <c r="B242" s="107"/>
      <c r="C242" s="111">
        <f>'04a_Box_Dims'!$AB23</f>
        <v>0.31</v>
      </c>
      <c r="D242" s="113">
        <f>$A240*$C240*$C241*$C242</f>
        <v>7.8726177362516392</v>
      </c>
      <c r="E242" s="63"/>
      <c r="F242" s="150"/>
      <c r="G242" s="107"/>
      <c r="H242" s="95">
        <f>'04a_Box_Dims'!$AB23</f>
        <v>0.31</v>
      </c>
    </row>
    <row r="243" spans="1:8" x14ac:dyDescent="0.3">
      <c r="A243" s="161"/>
      <c r="B243" s="107"/>
      <c r="C243" s="111"/>
      <c r="D243" s="113">
        <f>SUM($D$228:$D$242)</f>
        <v>25.48261773625164</v>
      </c>
      <c r="E243" s="63" t="s">
        <v>1660</v>
      </c>
      <c r="F243" s="150">
        <f>ROUND($D243,2)</f>
        <v>25.48</v>
      </c>
      <c r="G243" s="107" t="s">
        <v>1661</v>
      </c>
      <c r="H243" s="95"/>
    </row>
    <row r="244" spans="1:8" x14ac:dyDescent="0.3">
      <c r="A244" s="161"/>
      <c r="B244" s="107"/>
      <c r="C244" s="111"/>
      <c r="D244" s="113"/>
      <c r="E244" s="63"/>
      <c r="F244" s="150"/>
      <c r="G244" s="107"/>
      <c r="H244" s="95"/>
    </row>
    <row r="245" spans="1:8" x14ac:dyDescent="0.3">
      <c r="A245" s="161"/>
      <c r="B245" s="107"/>
      <c r="C245" s="111"/>
      <c r="D245" s="113"/>
      <c r="E245" s="149" t="s">
        <v>1682</v>
      </c>
      <c r="F245" s="150"/>
      <c r="G245" s="107"/>
      <c r="H245" s="95"/>
    </row>
    <row r="246" spans="1:8" x14ac:dyDescent="0.3">
      <c r="A246" s="161"/>
      <c r="B246" s="107"/>
      <c r="C246" s="111"/>
      <c r="D246" s="113"/>
      <c r="E246" s="63" t="s">
        <v>1683</v>
      </c>
      <c r="F246" s="150"/>
      <c r="G246" s="107"/>
      <c r="H246" s="95"/>
    </row>
    <row r="247" spans="1:8" x14ac:dyDescent="0.3">
      <c r="A247" s="161"/>
      <c r="B247" s="107"/>
      <c r="C247" s="111"/>
      <c r="D247" s="113">
        <f>SUMIF($H$228:$H$242,"&lt;=0.3",$D$228:$D$242)</f>
        <v>17.61</v>
      </c>
      <c r="E247" s="63" t="s">
        <v>1670</v>
      </c>
      <c r="F247" s="150">
        <f>ROUND($D247,2)</f>
        <v>17.61</v>
      </c>
      <c r="G247" s="107" t="s">
        <v>1661</v>
      </c>
      <c r="H247" s="95"/>
    </row>
    <row r="248" spans="1:8" x14ac:dyDescent="0.3">
      <c r="A248" s="161"/>
      <c r="B248" s="107"/>
      <c r="C248" s="111"/>
      <c r="D248" s="113">
        <f>SUMIF($H$228:$H$242,"&gt;0.3",$D$228:$D$242)</f>
        <v>7.8726177362516392</v>
      </c>
      <c r="E248" s="63" t="s">
        <v>1671</v>
      </c>
      <c r="F248" s="150">
        <f>ROUND($D248,2)</f>
        <v>7.87</v>
      </c>
      <c r="G248" s="107" t="s">
        <v>1661</v>
      </c>
      <c r="H248" s="95"/>
    </row>
    <row r="249" spans="1:8" x14ac:dyDescent="0.3">
      <c r="A249" s="161"/>
      <c r="B249" s="107"/>
      <c r="C249" s="111"/>
      <c r="D249" s="113"/>
      <c r="E249" s="63"/>
      <c r="F249" s="150"/>
      <c r="G249" s="107"/>
      <c r="H249" s="95"/>
    </row>
    <row r="250" spans="1:8" x14ac:dyDescent="0.3">
      <c r="A250" s="161"/>
      <c r="B250" s="107"/>
      <c r="C250" s="111"/>
      <c r="D250" s="113"/>
      <c r="E250" s="149" t="s">
        <v>1445</v>
      </c>
      <c r="F250" s="150"/>
      <c r="G250" s="107"/>
      <c r="H250" s="95"/>
    </row>
    <row r="251" spans="1:8" x14ac:dyDescent="0.3">
      <c r="A251" s="161"/>
      <c r="B251" s="107"/>
      <c r="C251" s="111"/>
      <c r="D251" s="113"/>
      <c r="E251" s="63" t="s">
        <v>1684</v>
      </c>
      <c r="F251" s="150"/>
      <c r="G251" s="107"/>
      <c r="H251" s="95"/>
    </row>
    <row r="252" spans="1:8" x14ac:dyDescent="0.3">
      <c r="A252" s="161">
        <f>2</f>
        <v>2</v>
      </c>
      <c r="B252" s="107" t="s">
        <v>1628</v>
      </c>
      <c r="C252" s="111">
        <f>'04a_Box_Dims'!$AE23</f>
        <v>10</v>
      </c>
      <c r="D252" s="113"/>
      <c r="E252" s="63" t="s">
        <v>1685</v>
      </c>
      <c r="F252" s="150"/>
      <c r="G252" s="107"/>
      <c r="H252" s="95"/>
    </row>
    <row r="253" spans="1:8" x14ac:dyDescent="0.3">
      <c r="A253" s="161"/>
      <c r="B253" s="107"/>
      <c r="C253" s="111">
        <f>'04a_Box_Dims'!$E23</f>
        <v>2</v>
      </c>
      <c r="D253" s="113">
        <f>$A252*$C252*$C253</f>
        <v>40</v>
      </c>
      <c r="E253" s="63"/>
      <c r="F253" s="150"/>
      <c r="G253" s="107"/>
      <c r="H253" s="95"/>
    </row>
    <row r="254" spans="1:8" x14ac:dyDescent="0.3">
      <c r="A254" s="161">
        <f>4</f>
        <v>4</v>
      </c>
      <c r="B254" s="107" t="s">
        <v>1628</v>
      </c>
      <c r="C254" s="111">
        <f>'04a_Box_Dims'!$Z23</f>
        <v>2.1213203435596424</v>
      </c>
      <c r="D254" s="113"/>
      <c r="E254" s="63" t="s">
        <v>1686</v>
      </c>
      <c r="F254" s="150"/>
      <c r="G254" s="107"/>
      <c r="H254" s="95"/>
    </row>
    <row r="255" spans="1:8" x14ac:dyDescent="0.3">
      <c r="A255" s="161"/>
      <c r="B255" s="107"/>
      <c r="C255" s="111">
        <f>'04a_Box_Dims'!$Y23</f>
        <v>2.9928932188134527</v>
      </c>
      <c r="D255" s="113">
        <f>$A254*$C254*$C255</f>
        <v>25.395541084682709</v>
      </c>
      <c r="E255" s="63"/>
      <c r="F255" s="150"/>
      <c r="G255" s="107"/>
      <c r="H255" s="95"/>
    </row>
    <row r="256" spans="1:8" x14ac:dyDescent="0.3">
      <c r="A256" s="161">
        <f>2</f>
        <v>2</v>
      </c>
      <c r="B256" s="107" t="s">
        <v>1628</v>
      </c>
      <c r="C256" s="111">
        <f>'04a_Box_Dims'!$J23</f>
        <v>4.75</v>
      </c>
      <c r="D256" s="113"/>
      <c r="E256" s="63" t="s">
        <v>1687</v>
      </c>
      <c r="F256" s="150"/>
      <c r="G256" s="107"/>
      <c r="H256" s="95"/>
    </row>
    <row r="257" spans="1:8" x14ac:dyDescent="0.3">
      <c r="A257" s="161"/>
      <c r="B257" s="107"/>
      <c r="C257" s="111">
        <f>'04a_Box_Dims'!$U23</f>
        <v>0.6</v>
      </c>
      <c r="D257" s="113">
        <f>$A256*$C256*$C257</f>
        <v>5.7</v>
      </c>
      <c r="E257" s="63"/>
      <c r="F257" s="150"/>
      <c r="G257" s="107"/>
      <c r="H257" s="95"/>
    </row>
    <row r="258" spans="1:8" x14ac:dyDescent="0.3">
      <c r="A258" s="161"/>
      <c r="B258" s="107"/>
      <c r="C258" s="111"/>
      <c r="D258" s="113">
        <f>SUM($D$252:$D$257)</f>
        <v>71.095541084682708</v>
      </c>
      <c r="E258" s="63" t="s">
        <v>1660</v>
      </c>
      <c r="F258" s="150">
        <f>ROUND($D258,2)</f>
        <v>71.099999999999994</v>
      </c>
      <c r="G258" s="107" t="s">
        <v>1688</v>
      </c>
      <c r="H258" s="95"/>
    </row>
    <row r="259" spans="1:8" x14ac:dyDescent="0.3">
      <c r="A259" s="161"/>
      <c r="B259" s="107"/>
      <c r="C259" s="111"/>
      <c r="D259" s="113"/>
      <c r="E259" s="63"/>
      <c r="F259" s="150"/>
      <c r="G259" s="107"/>
      <c r="H259" s="95"/>
    </row>
    <row r="260" spans="1:8" x14ac:dyDescent="0.3">
      <c r="A260" s="161"/>
      <c r="B260" s="107"/>
      <c r="C260" s="111"/>
      <c r="D260" s="113"/>
      <c r="E260" s="149" t="s">
        <v>1446</v>
      </c>
      <c r="F260" s="150"/>
      <c r="G260" s="107"/>
      <c r="H260" s="95"/>
    </row>
    <row r="261" spans="1:8" x14ac:dyDescent="0.3">
      <c r="A261" s="161"/>
      <c r="B261" s="107"/>
      <c r="C261" s="111"/>
      <c r="D261" s="113"/>
      <c r="E261" s="63" t="s">
        <v>1689</v>
      </c>
      <c r="F261" s="150"/>
      <c r="G261" s="107"/>
      <c r="H261" s="95"/>
    </row>
    <row r="262" spans="1:8" x14ac:dyDescent="0.3">
      <c r="A262" s="161">
        <f>2</f>
        <v>2</v>
      </c>
      <c r="B262" s="107" t="s">
        <v>1628</v>
      </c>
      <c r="C262" s="111">
        <f>'04a_Box_Dims'!$O23</f>
        <v>1.5</v>
      </c>
      <c r="D262" s="113"/>
      <c r="E262" s="63" t="s">
        <v>1690</v>
      </c>
      <c r="F262" s="150"/>
      <c r="G262" s="107"/>
      <c r="H262" s="95"/>
    </row>
    <row r="263" spans="1:8" x14ac:dyDescent="0.3">
      <c r="A263" s="161"/>
      <c r="B263" s="107"/>
      <c r="C263" s="111">
        <f>'04a_Box_Dims'!$Q23</f>
        <v>6.25</v>
      </c>
      <c r="D263" s="113">
        <f>$A262*$C262*$C263</f>
        <v>18.75</v>
      </c>
      <c r="E263" s="63"/>
      <c r="F263" s="150"/>
      <c r="G263" s="107"/>
      <c r="H263" s="95"/>
    </row>
    <row r="264" spans="1:8" x14ac:dyDescent="0.3">
      <c r="A264" s="161"/>
      <c r="B264" s="107"/>
      <c r="C264" s="111"/>
      <c r="D264" s="113">
        <f>SUM($D$262:$D$263)</f>
        <v>18.75</v>
      </c>
      <c r="E264" s="63" t="s">
        <v>1660</v>
      </c>
      <c r="F264" s="150">
        <f>ROUND($D264,2)</f>
        <v>18.75</v>
      </c>
      <c r="G264" s="107" t="s">
        <v>1688</v>
      </c>
      <c r="H264" s="95"/>
    </row>
    <row r="265" spans="1:8" x14ac:dyDescent="0.3">
      <c r="A265" s="161"/>
      <c r="B265" s="107"/>
      <c r="C265" s="111"/>
      <c r="D265" s="113"/>
      <c r="E265" s="63"/>
      <c r="F265" s="150"/>
      <c r="G265" s="107"/>
      <c r="H265" s="95"/>
    </row>
    <row r="266" spans="1:8" x14ac:dyDescent="0.3">
      <c r="A266" s="161"/>
      <c r="B266" s="107"/>
      <c r="C266" s="111"/>
      <c r="D266" s="113"/>
      <c r="E266" s="149" t="s">
        <v>1447</v>
      </c>
      <c r="F266" s="150"/>
      <c r="G266" s="107"/>
      <c r="H266" s="95"/>
    </row>
    <row r="267" spans="1:8" x14ac:dyDescent="0.3">
      <c r="A267" s="161"/>
      <c r="B267" s="107"/>
      <c r="C267" s="111"/>
      <c r="D267" s="113"/>
      <c r="E267" s="63" t="s">
        <v>1691</v>
      </c>
      <c r="F267" s="150"/>
      <c r="G267" s="107"/>
      <c r="H267" s="95"/>
    </row>
    <row r="268" spans="1:8" x14ac:dyDescent="0.3">
      <c r="A268" s="161">
        <f>4</f>
        <v>4</v>
      </c>
      <c r="B268" s="107" t="s">
        <v>1628</v>
      </c>
      <c r="C268" s="111">
        <f>'04a_Box_Dims'!$J23</f>
        <v>4.75</v>
      </c>
      <c r="D268" s="113"/>
      <c r="E268" s="63" t="s">
        <v>1692</v>
      </c>
      <c r="F268" s="150"/>
      <c r="G268" s="107"/>
      <c r="H268" s="95"/>
    </row>
    <row r="269" spans="1:8" x14ac:dyDescent="0.3">
      <c r="A269" s="161"/>
      <c r="B269" s="107"/>
      <c r="C269" s="111">
        <f>'04a_Box_Dims'!$I23</f>
        <v>0.25</v>
      </c>
      <c r="D269" s="113">
        <f>$A268*$C268*$C269</f>
        <v>4.75</v>
      </c>
      <c r="E269" s="63"/>
      <c r="F269" s="150"/>
      <c r="G269" s="107"/>
      <c r="H269" s="95"/>
    </row>
    <row r="270" spans="1:8" x14ac:dyDescent="0.3">
      <c r="A270" s="161">
        <f>4</f>
        <v>4</v>
      </c>
      <c r="B270" s="107" t="s">
        <v>1628</v>
      </c>
      <c r="C270" s="111">
        <f>'04a_Box_Dims'!$O23</f>
        <v>1.5</v>
      </c>
      <c r="D270" s="113"/>
      <c r="E270" s="63" t="s">
        <v>1693</v>
      </c>
      <c r="F270" s="150"/>
      <c r="G270" s="107"/>
      <c r="H270" s="95"/>
    </row>
    <row r="271" spans="1:8" x14ac:dyDescent="0.3">
      <c r="A271" s="161"/>
      <c r="B271" s="107"/>
      <c r="C271" s="111">
        <f>'04a_Box_Dims'!$P23</f>
        <v>0.25</v>
      </c>
      <c r="D271" s="113">
        <f>$A270*$C270*$C271</f>
        <v>1.5</v>
      </c>
      <c r="E271" s="63"/>
      <c r="F271" s="150"/>
      <c r="G271" s="107"/>
      <c r="H271" s="95"/>
    </row>
    <row r="272" spans="1:8" x14ac:dyDescent="0.3">
      <c r="A272" s="161"/>
      <c r="B272" s="107"/>
      <c r="C272" s="111"/>
      <c r="D272" s="113">
        <f>SUM($D$268:$D$271)</f>
        <v>6.25</v>
      </c>
      <c r="E272" s="63" t="s">
        <v>1660</v>
      </c>
      <c r="F272" s="150">
        <f>ROUND($D272,2)</f>
        <v>6.25</v>
      </c>
      <c r="G272" s="107" t="s">
        <v>1688</v>
      </c>
      <c r="H272" s="95"/>
    </row>
    <row r="273" spans="1:8" x14ac:dyDescent="0.3">
      <c r="A273" s="161"/>
      <c r="B273" s="107"/>
      <c r="C273" s="111"/>
      <c r="D273" s="113"/>
      <c r="E273" s="63"/>
      <c r="F273" s="150"/>
      <c r="G273" s="107"/>
      <c r="H273" s="95"/>
    </row>
    <row r="274" spans="1:8" x14ac:dyDescent="0.3">
      <c r="A274" s="161"/>
      <c r="B274" s="107"/>
      <c r="C274" s="111"/>
      <c r="D274" s="113"/>
      <c r="E274" s="149" t="s">
        <v>1448</v>
      </c>
      <c r="F274" s="150"/>
      <c r="G274" s="107"/>
      <c r="H274" s="95"/>
    </row>
    <row r="275" spans="1:8" x14ac:dyDescent="0.3">
      <c r="A275" s="161"/>
      <c r="B275" s="107"/>
      <c r="C275" s="111"/>
      <c r="D275" s="113"/>
      <c r="E275" s="63" t="s">
        <v>1694</v>
      </c>
      <c r="F275" s="150"/>
      <c r="G275" s="107"/>
      <c r="H275" s="95"/>
    </row>
    <row r="276" spans="1:8" x14ac:dyDescent="0.3">
      <c r="A276" s="161">
        <f>1</f>
        <v>1</v>
      </c>
      <c r="B276" s="107" t="s">
        <v>1628</v>
      </c>
      <c r="C276" s="111">
        <f>'04a_Box_Dims'!$AE23</f>
        <v>10</v>
      </c>
      <c r="D276" s="113"/>
      <c r="E276" s="63" t="s">
        <v>1695</v>
      </c>
      <c r="F276" s="150"/>
      <c r="G276" s="107"/>
      <c r="H276" s="95"/>
    </row>
    <row r="277" spans="1:8" x14ac:dyDescent="0.3">
      <c r="A277" s="161"/>
      <c r="B277" s="107"/>
      <c r="C277" s="111">
        <f>'04a_Box_Dims'!$K23</f>
        <v>4.25</v>
      </c>
      <c r="D277" s="113">
        <f>$A276*$C276*$C277</f>
        <v>42.5</v>
      </c>
      <c r="E277" s="63"/>
      <c r="F277" s="150"/>
      <c r="G277" s="107"/>
      <c r="H277" s="95"/>
    </row>
    <row r="278" spans="1:8" x14ac:dyDescent="0.3">
      <c r="A278" s="161"/>
      <c r="B278" s="107"/>
      <c r="C278" s="111"/>
      <c r="D278" s="113">
        <f>SUM($D$276:$D$277)</f>
        <v>42.5</v>
      </c>
      <c r="E278" s="63" t="s">
        <v>1660</v>
      </c>
      <c r="F278" s="150">
        <f>ROUND($D278,2)</f>
        <v>42.5</v>
      </c>
      <c r="G278" s="107" t="s">
        <v>1688</v>
      </c>
      <c r="H278" s="95"/>
    </row>
    <row r="279" spans="1:8" x14ac:dyDescent="0.3">
      <c r="A279" s="161"/>
      <c r="B279" s="107"/>
      <c r="C279" s="111"/>
      <c r="D279" s="113"/>
      <c r="E279" s="63"/>
      <c r="F279" s="150"/>
      <c r="G279" s="107"/>
      <c r="H279" s="95"/>
    </row>
    <row r="280" spans="1:8" x14ac:dyDescent="0.3">
      <c r="A280" s="161"/>
      <c r="B280" s="107"/>
      <c r="C280" s="111"/>
      <c r="D280" s="113"/>
      <c r="E280" s="149" t="s">
        <v>1449</v>
      </c>
      <c r="F280" s="150"/>
      <c r="G280" s="107"/>
      <c r="H280" s="95"/>
    </row>
    <row r="281" spans="1:8" x14ac:dyDescent="0.3">
      <c r="A281" s="161"/>
      <c r="B281" s="107"/>
      <c r="C281" s="111"/>
      <c r="D281" s="113"/>
      <c r="E281" s="63" t="s">
        <v>1696</v>
      </c>
      <c r="F281" s="150"/>
      <c r="G281" s="107"/>
      <c r="H281" s="95"/>
    </row>
    <row r="282" spans="1:8" x14ac:dyDescent="0.3">
      <c r="A282" s="161">
        <f>2</f>
        <v>2</v>
      </c>
      <c r="B282" s="107" t="s">
        <v>1628</v>
      </c>
      <c r="C282" s="111">
        <f>'04a_Box_Dims'!$J23</f>
        <v>4.75</v>
      </c>
      <c r="D282" s="113"/>
      <c r="E282" s="63" t="s">
        <v>1697</v>
      </c>
      <c r="F282" s="150"/>
      <c r="G282" s="107"/>
      <c r="H282" s="95"/>
    </row>
    <row r="283" spans="1:8" x14ac:dyDescent="0.3">
      <c r="A283" s="161"/>
      <c r="B283" s="107"/>
      <c r="C283" s="111">
        <f>'04a_Box_Dims'!$U23</f>
        <v>0.6</v>
      </c>
      <c r="D283" s="113">
        <f>$A282*$C282*$C283</f>
        <v>5.7</v>
      </c>
      <c r="E283" s="63"/>
      <c r="F283" s="150"/>
      <c r="G283" s="107"/>
      <c r="H283" s="95"/>
    </row>
    <row r="284" spans="1:8" x14ac:dyDescent="0.3">
      <c r="A284" s="161"/>
      <c r="B284" s="107"/>
      <c r="C284" s="111"/>
      <c r="D284" s="113">
        <f>SUM($D$282:$D$283)</f>
        <v>5.7</v>
      </c>
      <c r="E284" s="63" t="s">
        <v>1660</v>
      </c>
      <c r="F284" s="150">
        <f>ROUND($D284,2)</f>
        <v>5.7</v>
      </c>
      <c r="G284" s="107" t="s">
        <v>1688</v>
      </c>
      <c r="H284" s="95"/>
    </row>
    <row r="285" spans="1:8" x14ac:dyDescent="0.3">
      <c r="A285" s="161"/>
      <c r="B285" s="107"/>
      <c r="C285" s="111"/>
      <c r="D285" s="113"/>
      <c r="E285" s="63"/>
      <c r="F285" s="150"/>
      <c r="G285" s="107"/>
      <c r="H285" s="95"/>
    </row>
    <row r="286" spans="1:8" x14ac:dyDescent="0.3">
      <c r="A286" s="161"/>
      <c r="B286" s="107"/>
      <c r="C286" s="111"/>
      <c r="D286" s="113"/>
      <c r="E286" s="149" t="s">
        <v>1329</v>
      </c>
      <c r="F286" s="150"/>
      <c r="G286" s="107"/>
      <c r="H286" s="95"/>
    </row>
    <row r="287" spans="1:8" x14ac:dyDescent="0.3">
      <c r="A287" s="161"/>
      <c r="B287" s="107"/>
      <c r="C287" s="111"/>
      <c r="D287" s="113"/>
      <c r="E287" s="63" t="s">
        <v>1698</v>
      </c>
      <c r="F287" s="150"/>
      <c r="G287" s="107"/>
      <c r="H287" s="95"/>
    </row>
    <row r="288" spans="1:8" x14ac:dyDescent="0.3">
      <c r="A288" s="161">
        <f>2</f>
        <v>2</v>
      </c>
      <c r="B288" s="107" t="s">
        <v>1628</v>
      </c>
      <c r="C288" s="111">
        <f>'04a_Box_Dims'!$AE23</f>
        <v>10</v>
      </c>
      <c r="D288" s="113"/>
      <c r="E288" s="63" t="s">
        <v>1699</v>
      </c>
      <c r="F288" s="150"/>
      <c r="G288" s="107"/>
      <c r="H288" s="95"/>
    </row>
    <row r="289" spans="1:8" x14ac:dyDescent="0.3">
      <c r="A289" s="161"/>
      <c r="B289" s="107"/>
      <c r="C289" s="111">
        <f>'04a_Box_Dims'!$E23</f>
        <v>2</v>
      </c>
      <c r="D289" s="113">
        <f>$A288*$C288*$C289</f>
        <v>40</v>
      </c>
      <c r="E289" s="63"/>
      <c r="F289" s="150"/>
      <c r="G289" s="107"/>
      <c r="H289" s="95"/>
    </row>
    <row r="290" spans="1:8" x14ac:dyDescent="0.3">
      <c r="A290" s="161">
        <f>('04a_Box_Dims'!$C23-1)*2</f>
        <v>2</v>
      </c>
      <c r="B290" s="107" t="s">
        <v>1628</v>
      </c>
      <c r="C290" s="111">
        <f>'04a_Box_Dims'!$AE23</f>
        <v>10</v>
      </c>
      <c r="D290" s="113"/>
      <c r="E290" s="63" t="s">
        <v>1700</v>
      </c>
      <c r="F290" s="150"/>
      <c r="G290" s="107"/>
      <c r="H290" s="95"/>
    </row>
    <row r="291" spans="1:8" x14ac:dyDescent="0.3">
      <c r="A291" s="161"/>
      <c r="B291" s="107"/>
      <c r="C291" s="111">
        <f>'04a_Box_Dims'!$E23</f>
        <v>2</v>
      </c>
      <c r="D291" s="113">
        <f>$A290*$C290*$C291</f>
        <v>40</v>
      </c>
      <c r="E291" s="63"/>
      <c r="F291" s="150"/>
      <c r="G291" s="107"/>
      <c r="H291" s="95"/>
    </row>
    <row r="292" spans="1:8" x14ac:dyDescent="0.3">
      <c r="A292" s="161">
        <f>4</f>
        <v>4</v>
      </c>
      <c r="B292" s="107" t="s">
        <v>1628</v>
      </c>
      <c r="C292" s="111">
        <f>'04a_Box_Dims'!$Z23</f>
        <v>2.1213203435596424</v>
      </c>
      <c r="D292" s="113"/>
      <c r="E292" s="63" t="s">
        <v>1701</v>
      </c>
      <c r="F292" s="150"/>
      <c r="G292" s="107"/>
      <c r="H292" s="95"/>
    </row>
    <row r="293" spans="1:8" x14ac:dyDescent="0.3">
      <c r="A293" s="161"/>
      <c r="B293" s="107"/>
      <c r="C293" s="111">
        <f>'04a_Box_Dims'!$Y23</f>
        <v>2.9928932188134527</v>
      </c>
      <c r="D293" s="113">
        <f>$A292*$C292*$C293</f>
        <v>25.395541084682709</v>
      </c>
      <c r="E293" s="63"/>
      <c r="F293" s="150"/>
      <c r="G293" s="107"/>
      <c r="H293" s="95"/>
    </row>
    <row r="294" spans="1:8" x14ac:dyDescent="0.3">
      <c r="A294" s="161"/>
      <c r="B294" s="107"/>
      <c r="C294" s="111"/>
      <c r="D294" s="113">
        <f>SUM($D$288:$D$293)</f>
        <v>105.3955410846827</v>
      </c>
      <c r="E294" s="63" t="s">
        <v>1660</v>
      </c>
      <c r="F294" s="150">
        <f>ROUND($D294,2)</f>
        <v>105.4</v>
      </c>
      <c r="G294" s="107" t="s">
        <v>1688</v>
      </c>
      <c r="H294" s="95"/>
    </row>
    <row r="295" spans="1:8" x14ac:dyDescent="0.3">
      <c r="A295" s="161"/>
      <c r="B295" s="107"/>
      <c r="C295" s="111"/>
      <c r="D295" s="113"/>
      <c r="E295" s="63"/>
      <c r="F295" s="150"/>
      <c r="G295" s="107"/>
      <c r="H295" s="95"/>
    </row>
    <row r="296" spans="1:8" x14ac:dyDescent="0.3">
      <c r="A296" s="161"/>
      <c r="B296" s="107"/>
      <c r="C296" s="111"/>
      <c r="D296" s="113"/>
      <c r="E296" s="149" t="s">
        <v>1702</v>
      </c>
      <c r="F296" s="150"/>
      <c r="G296" s="107"/>
      <c r="H296" s="95"/>
    </row>
    <row r="297" spans="1:8" x14ac:dyDescent="0.3">
      <c r="A297" s="161"/>
      <c r="B297" s="107"/>
      <c r="C297" s="111"/>
      <c r="D297" s="113"/>
      <c r="E297" s="63" t="s">
        <v>1703</v>
      </c>
      <c r="F297" s="150"/>
      <c r="G297" s="107"/>
      <c r="H297" s="95"/>
    </row>
    <row r="298" spans="1:8" x14ac:dyDescent="0.3">
      <c r="A298" s="161"/>
      <c r="B298" s="107"/>
      <c r="C298" s="111"/>
      <c r="D298" s="113">
        <v>0</v>
      </c>
      <c r="E298" s="63" t="s">
        <v>1704</v>
      </c>
      <c r="F298" s="150">
        <f t="shared" ref="F298:F303" si="1">ROUND($D298,3)</f>
        <v>0</v>
      </c>
      <c r="G298" s="107" t="s">
        <v>1474</v>
      </c>
      <c r="H298" s="95"/>
    </row>
    <row r="299" spans="1:8" x14ac:dyDescent="0.3">
      <c r="A299" s="161"/>
      <c r="B299" s="107"/>
      <c r="C299" s="111"/>
      <c r="D299" s="113">
        <f>'04b_Box_Bars'!$S10/1000</f>
        <v>0.90014483506981535</v>
      </c>
      <c r="E299" s="63" t="s">
        <v>1705</v>
      </c>
      <c r="F299" s="150">
        <f t="shared" si="1"/>
        <v>0.9</v>
      </c>
      <c r="G299" s="107" t="s">
        <v>1474</v>
      </c>
      <c r="H299" s="95"/>
    </row>
    <row r="300" spans="1:8" x14ac:dyDescent="0.3">
      <c r="A300" s="161"/>
      <c r="B300" s="107"/>
      <c r="C300" s="111"/>
      <c r="D300" s="113">
        <f>'04b_Box_Bars'!$T10/1000</f>
        <v>2.9197346458268028</v>
      </c>
      <c r="E300" s="63" t="s">
        <v>1706</v>
      </c>
      <c r="F300" s="150">
        <f t="shared" si="1"/>
        <v>2.92</v>
      </c>
      <c r="G300" s="107" t="s">
        <v>1474</v>
      </c>
      <c r="H300" s="95"/>
    </row>
    <row r="301" spans="1:8" x14ac:dyDescent="0.3">
      <c r="A301" s="161"/>
      <c r="B301" s="107"/>
      <c r="C301" s="111"/>
      <c r="D301" s="113">
        <f>'04b_Box_Bars'!$U10/1000</f>
        <v>0.52274493260295518</v>
      </c>
      <c r="E301" s="63" t="s">
        <v>1707</v>
      </c>
      <c r="F301" s="150">
        <f t="shared" si="1"/>
        <v>0.52300000000000002</v>
      </c>
      <c r="G301" s="107" t="s">
        <v>1474</v>
      </c>
      <c r="H301" s="95"/>
    </row>
    <row r="302" spans="1:8" x14ac:dyDescent="0.3">
      <c r="A302" s="161"/>
      <c r="B302" s="107"/>
      <c r="C302" s="111"/>
      <c r="D302" s="113">
        <f>'04b_Box_Bars'!$V10/1000</f>
        <v>0</v>
      </c>
      <c r="E302" s="63" t="s">
        <v>1708</v>
      </c>
      <c r="F302" s="150">
        <f t="shared" si="1"/>
        <v>0</v>
      </c>
      <c r="G302" s="107" t="s">
        <v>1474</v>
      </c>
      <c r="H302" s="95"/>
    </row>
    <row r="303" spans="1:8" x14ac:dyDescent="0.3">
      <c r="A303" s="161"/>
      <c r="B303" s="107"/>
      <c r="C303" s="111"/>
      <c r="D303" s="113">
        <f>'04b_Box_Bars'!$W10/1000</f>
        <v>0</v>
      </c>
      <c r="E303" s="63" t="s">
        <v>1709</v>
      </c>
      <c r="F303" s="150">
        <f t="shared" si="1"/>
        <v>0</v>
      </c>
      <c r="G303" s="107" t="s">
        <v>1474</v>
      </c>
      <c r="H303" s="95"/>
    </row>
    <row r="304" spans="1:8" x14ac:dyDescent="0.3">
      <c r="A304" s="161"/>
      <c r="B304" s="107"/>
      <c r="C304" s="111"/>
      <c r="D304" s="113"/>
      <c r="E304" s="63"/>
      <c r="F304" s="150"/>
      <c r="G304" s="107"/>
      <c r="H304" s="95"/>
    </row>
    <row r="305" spans="1:8" x14ac:dyDescent="0.3">
      <c r="A305" s="161"/>
      <c r="B305" s="107"/>
      <c r="C305" s="111"/>
      <c r="D305" s="113"/>
      <c r="E305" s="63"/>
      <c r="F305" s="150"/>
      <c r="G305" s="107"/>
      <c r="H305" s="95"/>
    </row>
    <row r="306" spans="1:8" x14ac:dyDescent="0.3">
      <c r="A306" s="160" t="str">
        <f>'04a_Box_Dims'!$F24&amp;"  No.  "&amp;'04a_Box_Dims'!$A24&amp;"   (L = "&amp;TEXT('04a_Box_Dims'!$AE24,"0.00")&amp;" m)"</f>
        <v>0  No.  3/2x2 box culvert   (L = 10.00 m)</v>
      </c>
      <c r="B306" s="146"/>
      <c r="C306" s="162"/>
      <c r="D306" s="163"/>
      <c r="E306" s="147"/>
      <c r="F306" s="148"/>
      <c r="G306" s="146"/>
      <c r="H306" s="151"/>
    </row>
    <row r="307" spans="1:8" x14ac:dyDescent="0.3">
      <c r="A307" s="161"/>
      <c r="B307" s="107"/>
      <c r="C307" s="111"/>
      <c r="D307" s="113"/>
      <c r="E307" s="149" t="s">
        <v>1438</v>
      </c>
      <c r="F307" s="150"/>
      <c r="G307" s="107"/>
      <c r="H307" s="95"/>
    </row>
    <row r="308" spans="1:8" x14ac:dyDescent="0.3">
      <c r="A308" s="161"/>
      <c r="B308" s="107"/>
      <c r="C308" s="111"/>
      <c r="D308" s="113"/>
      <c r="E308" s="63" t="s">
        <v>1655</v>
      </c>
      <c r="F308" s="150"/>
      <c r="G308" s="107"/>
      <c r="H308" s="95"/>
    </row>
    <row r="309" spans="1:8" x14ac:dyDescent="0.3">
      <c r="A309" s="161">
        <f>1</f>
        <v>1</v>
      </c>
      <c r="B309" s="107" t="s">
        <v>1628</v>
      </c>
      <c r="C309" s="111">
        <f>'04a_Box_Dims'!$AE24</f>
        <v>10</v>
      </c>
      <c r="D309" s="113"/>
      <c r="E309" s="63" t="s">
        <v>1656</v>
      </c>
      <c r="F309" s="150"/>
      <c r="G309" s="107"/>
      <c r="H309" s="95"/>
    </row>
    <row r="310" spans="1:8" x14ac:dyDescent="0.3">
      <c r="A310" s="161"/>
      <c r="B310" s="107"/>
      <c r="C310" s="111">
        <f>'04a_Box_Dims'!$J24+2*BX_work</f>
        <v>7.6</v>
      </c>
      <c r="D310" s="113"/>
      <c r="E310" s="63"/>
      <c r="F310" s="150"/>
      <c r="G310" s="107"/>
      <c r="H310" s="95"/>
    </row>
    <row r="311" spans="1:8" x14ac:dyDescent="0.3">
      <c r="A311" s="161"/>
      <c r="B311" s="107"/>
      <c r="C311" s="111">
        <f>'04a_Box_Dims'!$L24+BX_blind+BX_exX</f>
        <v>2.6999999999999997</v>
      </c>
      <c r="D311" s="113">
        <f>$A309*$C309*$C310*$C311</f>
        <v>205.2</v>
      </c>
      <c r="E311" s="63"/>
      <c r="F311" s="150"/>
      <c r="G311" s="107"/>
      <c r="H311" s="95"/>
    </row>
    <row r="312" spans="1:8" x14ac:dyDescent="0.3">
      <c r="A312" s="161">
        <f>2</f>
        <v>2</v>
      </c>
      <c r="B312" s="107" t="s">
        <v>1628</v>
      </c>
      <c r="C312" s="111">
        <f>'04a_Box_Dims'!$O24</f>
        <v>1.5</v>
      </c>
      <c r="D312" s="113"/>
      <c r="E312" s="63" t="s">
        <v>1657</v>
      </c>
      <c r="F312" s="150"/>
      <c r="G312" s="107"/>
      <c r="H312" s="95"/>
    </row>
    <row r="313" spans="1:8" x14ac:dyDescent="0.3">
      <c r="A313" s="161"/>
      <c r="B313" s="107"/>
      <c r="C313" s="111">
        <f>'04a_Box_Dims'!$Q24</f>
        <v>8.5</v>
      </c>
      <c r="D313" s="113"/>
      <c r="E313" s="63"/>
      <c r="F313" s="150"/>
      <c r="G313" s="107"/>
      <c r="H313" s="95"/>
    </row>
    <row r="314" spans="1:8" x14ac:dyDescent="0.3">
      <c r="A314" s="161"/>
      <c r="B314" s="107"/>
      <c r="C314" s="111">
        <f>'04a_Box_Dims'!$P24+BX_blind+BX_exX</f>
        <v>0.44999999999999996</v>
      </c>
      <c r="D314" s="113">
        <f>$A312*$C312*$C313*$C314</f>
        <v>11.475</v>
      </c>
      <c r="E314" s="63"/>
      <c r="F314" s="150"/>
      <c r="G314" s="107"/>
      <c r="H314" s="95"/>
    </row>
    <row r="315" spans="1:8" x14ac:dyDescent="0.3">
      <c r="A315" s="161">
        <f>2</f>
        <v>2</v>
      </c>
      <c r="B315" s="107" t="s">
        <v>1628</v>
      </c>
      <c r="C315" s="111">
        <f>'04a_Box_Dims'!$R24</f>
        <v>7</v>
      </c>
      <c r="D315" s="113"/>
      <c r="E315" s="63" t="s">
        <v>1658</v>
      </c>
      <c r="F315" s="150"/>
      <c r="G315" s="107"/>
      <c r="H315" s="95"/>
    </row>
    <row r="316" spans="1:8" x14ac:dyDescent="0.3">
      <c r="A316" s="161"/>
      <c r="B316" s="107"/>
      <c r="C316" s="111">
        <f>'04a_Box_Dims'!$S24</f>
        <v>0.2</v>
      </c>
      <c r="D316" s="113"/>
      <c r="E316" s="63"/>
      <c r="F316" s="150"/>
      <c r="G316" s="107"/>
      <c r="H316" s="95"/>
    </row>
    <row r="317" spans="1:8" x14ac:dyDescent="0.3">
      <c r="A317" s="161"/>
      <c r="B317" s="107"/>
      <c r="C317" s="111">
        <f>'04a_Box_Dims'!$T24+BX_blind</f>
        <v>0.5</v>
      </c>
      <c r="D317" s="113">
        <f>$A315*$C315*$C316*$C317</f>
        <v>1.4000000000000001</v>
      </c>
      <c r="E317" s="63"/>
      <c r="F317" s="150"/>
      <c r="G317" s="107"/>
      <c r="H317" s="95"/>
    </row>
    <row r="318" spans="1:8" x14ac:dyDescent="0.3">
      <c r="A318" s="161">
        <f>4</f>
        <v>4</v>
      </c>
      <c r="B318" s="107" t="s">
        <v>1628</v>
      </c>
      <c r="C318" s="111">
        <f>'04a_Box_Dims'!$Z24</f>
        <v>2.1213203435596424</v>
      </c>
      <c r="D318" s="113"/>
      <c r="E318" s="63" t="s">
        <v>1659</v>
      </c>
      <c r="F318" s="150"/>
      <c r="G318" s="107"/>
      <c r="H318" s="95"/>
    </row>
    <row r="319" spans="1:8" x14ac:dyDescent="0.3">
      <c r="A319" s="161"/>
      <c r="B319" s="107"/>
      <c r="C319" s="111">
        <f>'04a_Box_Dims'!$AC24</f>
        <v>0.81400000000000006</v>
      </c>
      <c r="D319" s="113"/>
      <c r="E319" s="63"/>
      <c r="F319" s="150"/>
      <c r="G319" s="107"/>
      <c r="H319" s="95"/>
    </row>
    <row r="320" spans="1:8" x14ac:dyDescent="0.3">
      <c r="A320" s="161"/>
      <c r="B320" s="107"/>
      <c r="C320" s="111">
        <f>'04a_Box_Dims'!$AD24+BX_blind</f>
        <v>0.35</v>
      </c>
      <c r="D320" s="113">
        <f>$A318*$C318*$C319*$C320</f>
        <v>2.4174566635205683</v>
      </c>
      <c r="E320" s="63"/>
      <c r="F320" s="150"/>
      <c r="G320" s="107"/>
      <c r="H320" s="95"/>
    </row>
    <row r="321" spans="1:8" x14ac:dyDescent="0.3">
      <c r="A321" s="161"/>
      <c r="B321" s="107"/>
      <c r="C321" s="111"/>
      <c r="D321" s="113">
        <f>SUM($D$309:$D$320)</f>
        <v>220.49245666352056</v>
      </c>
      <c r="E321" s="63" t="s">
        <v>1660</v>
      </c>
      <c r="F321" s="150">
        <f>ROUND($D321,0)</f>
        <v>220</v>
      </c>
      <c r="G321" s="107" t="s">
        <v>1661</v>
      </c>
      <c r="H321" s="95"/>
    </row>
    <row r="322" spans="1:8" x14ac:dyDescent="0.3">
      <c r="A322" s="161"/>
      <c r="B322" s="107"/>
      <c r="C322" s="111"/>
      <c r="D322" s="113"/>
      <c r="E322" s="63"/>
      <c r="F322" s="150"/>
      <c r="G322" s="107"/>
      <c r="H322" s="95"/>
    </row>
    <row r="323" spans="1:8" x14ac:dyDescent="0.3">
      <c r="A323" s="161"/>
      <c r="B323" s="107"/>
      <c r="C323" s="111"/>
      <c r="D323" s="113"/>
      <c r="E323" s="149" t="s">
        <v>1323</v>
      </c>
      <c r="F323" s="150"/>
      <c r="G323" s="107"/>
      <c r="H323" s="95"/>
    </row>
    <row r="324" spans="1:8" x14ac:dyDescent="0.3">
      <c r="A324" s="161"/>
      <c r="B324" s="107"/>
      <c r="C324" s="111"/>
      <c r="D324" s="113"/>
      <c r="E324" s="63" t="s">
        <v>1662</v>
      </c>
      <c r="F324" s="150"/>
      <c r="G324" s="107"/>
      <c r="H324" s="95"/>
    </row>
    <row r="325" spans="1:8" x14ac:dyDescent="0.3">
      <c r="A325" s="161">
        <f>1</f>
        <v>1</v>
      </c>
      <c r="B325" s="107" t="s">
        <v>1628</v>
      </c>
      <c r="C325" s="111">
        <f>'04a_Box_Dims'!$AE24</f>
        <v>10</v>
      </c>
      <c r="D325" s="113"/>
      <c r="E325" s="63" t="s">
        <v>1663</v>
      </c>
      <c r="F325" s="150"/>
      <c r="G325" s="107"/>
      <c r="H325" s="95"/>
    </row>
    <row r="326" spans="1:8" x14ac:dyDescent="0.3">
      <c r="A326" s="161"/>
      <c r="B326" s="107"/>
      <c r="C326" s="111">
        <f>'04a_Box_Dims'!$J24</f>
        <v>7</v>
      </c>
      <c r="D326" s="113"/>
      <c r="E326" s="63"/>
      <c r="F326" s="150"/>
      <c r="G326" s="107"/>
      <c r="H326" s="95"/>
    </row>
    <row r="327" spans="1:8" x14ac:dyDescent="0.3">
      <c r="A327" s="161"/>
      <c r="B327" s="107"/>
      <c r="C327" s="111">
        <f>BX_blind</f>
        <v>0.05</v>
      </c>
      <c r="D327" s="113">
        <f>$A325*$C325*$C326*$C327</f>
        <v>3.5</v>
      </c>
      <c r="E327" s="63"/>
      <c r="F327" s="150"/>
      <c r="G327" s="107"/>
      <c r="H327" s="95"/>
    </row>
    <row r="328" spans="1:8" x14ac:dyDescent="0.3">
      <c r="A328" s="161">
        <f>2</f>
        <v>2</v>
      </c>
      <c r="B328" s="107" t="s">
        <v>1628</v>
      </c>
      <c r="C328" s="111">
        <f>'04a_Box_Dims'!$O24</f>
        <v>1.5</v>
      </c>
      <c r="D328" s="113"/>
      <c r="E328" s="63" t="s">
        <v>1657</v>
      </c>
      <c r="F328" s="150"/>
      <c r="G328" s="107"/>
      <c r="H328" s="95"/>
    </row>
    <row r="329" spans="1:8" x14ac:dyDescent="0.3">
      <c r="A329" s="161"/>
      <c r="B329" s="107"/>
      <c r="C329" s="111">
        <f>'04a_Box_Dims'!$Q24</f>
        <v>8.5</v>
      </c>
      <c r="D329" s="113"/>
      <c r="E329" s="63"/>
      <c r="F329" s="150"/>
      <c r="G329" s="107"/>
      <c r="H329" s="95"/>
    </row>
    <row r="330" spans="1:8" x14ac:dyDescent="0.3">
      <c r="A330" s="161"/>
      <c r="B330" s="107"/>
      <c r="C330" s="111">
        <f>BX_blind</f>
        <v>0.05</v>
      </c>
      <c r="D330" s="113">
        <f>$A328*$C328*$C329*$C330</f>
        <v>1.2750000000000001</v>
      </c>
      <c r="E330" s="63"/>
      <c r="F330" s="150"/>
      <c r="G330" s="107"/>
      <c r="H330" s="95"/>
    </row>
    <row r="331" spans="1:8" x14ac:dyDescent="0.3">
      <c r="A331" s="161">
        <f>2</f>
        <v>2</v>
      </c>
      <c r="B331" s="107" t="s">
        <v>1628</v>
      </c>
      <c r="C331" s="111">
        <f>'04a_Box_Dims'!$R24</f>
        <v>7</v>
      </c>
      <c r="D331" s="113"/>
      <c r="E331" s="63" t="s">
        <v>1658</v>
      </c>
      <c r="F331" s="150"/>
      <c r="G331" s="107"/>
      <c r="H331" s="95"/>
    </row>
    <row r="332" spans="1:8" x14ac:dyDescent="0.3">
      <c r="A332" s="161"/>
      <c r="B332" s="107"/>
      <c r="C332" s="111">
        <f>'04a_Box_Dims'!$S24</f>
        <v>0.2</v>
      </c>
      <c r="D332" s="113"/>
      <c r="E332" s="63"/>
      <c r="F332" s="150"/>
      <c r="G332" s="107"/>
      <c r="H332" s="95"/>
    </row>
    <row r="333" spans="1:8" x14ac:dyDescent="0.3">
      <c r="A333" s="161"/>
      <c r="B333" s="107"/>
      <c r="C333" s="111">
        <f>BX_blind</f>
        <v>0.05</v>
      </c>
      <c r="D333" s="113">
        <f>$A331*$C331*$C332*$C333</f>
        <v>0.14000000000000001</v>
      </c>
      <c r="E333" s="63"/>
      <c r="F333" s="150"/>
      <c r="G333" s="107"/>
      <c r="H333" s="95"/>
    </row>
    <row r="334" spans="1:8" x14ac:dyDescent="0.3">
      <c r="A334" s="161">
        <f>4</f>
        <v>4</v>
      </c>
      <c r="B334" s="107" t="s">
        <v>1628</v>
      </c>
      <c r="C334" s="111">
        <f>'04a_Box_Dims'!$Z24</f>
        <v>2.1213203435596424</v>
      </c>
      <c r="D334" s="113"/>
      <c r="E334" s="63" t="s">
        <v>1659</v>
      </c>
      <c r="F334" s="150"/>
      <c r="G334" s="107"/>
      <c r="H334" s="95"/>
    </row>
    <row r="335" spans="1:8" x14ac:dyDescent="0.3">
      <c r="A335" s="161"/>
      <c r="B335" s="107"/>
      <c r="C335" s="111">
        <f>'04a_Box_Dims'!$AC24</f>
        <v>0.81400000000000006</v>
      </c>
      <c r="D335" s="113"/>
      <c r="E335" s="63"/>
      <c r="F335" s="150"/>
      <c r="G335" s="107"/>
      <c r="H335" s="95"/>
    </row>
    <row r="336" spans="1:8" x14ac:dyDescent="0.3">
      <c r="A336" s="161"/>
      <c r="B336" s="107"/>
      <c r="C336" s="111">
        <f>BX_blind</f>
        <v>0.05</v>
      </c>
      <c r="D336" s="113">
        <f>$A334*$C334*$C335*$C336</f>
        <v>0.34535095193150983</v>
      </c>
      <c r="E336" s="63"/>
      <c r="F336" s="150"/>
      <c r="G336" s="107"/>
      <c r="H336" s="95"/>
    </row>
    <row r="337" spans="1:8" x14ac:dyDescent="0.3">
      <c r="A337" s="161"/>
      <c r="B337" s="107"/>
      <c r="C337" s="111"/>
      <c r="D337" s="113">
        <f>SUM($D$325:$D$336)</f>
        <v>5.2603509519315095</v>
      </c>
      <c r="E337" s="63" t="s">
        <v>1660</v>
      </c>
      <c r="F337" s="150">
        <f>ROUND($D337,2)</f>
        <v>5.26</v>
      </c>
      <c r="G337" s="107" t="s">
        <v>1661</v>
      </c>
      <c r="H337" s="95"/>
    </row>
    <row r="338" spans="1:8" x14ac:dyDescent="0.3">
      <c r="A338" s="161"/>
      <c r="B338" s="107"/>
      <c r="C338" s="111"/>
      <c r="D338" s="113"/>
      <c r="E338" s="63"/>
      <c r="F338" s="150"/>
      <c r="G338" s="107"/>
      <c r="H338" s="95"/>
    </row>
    <row r="339" spans="1:8" x14ac:dyDescent="0.3">
      <c r="A339" s="161"/>
      <c r="B339" s="107"/>
      <c r="C339" s="111"/>
      <c r="D339" s="113"/>
      <c r="E339" s="149" t="s">
        <v>1324</v>
      </c>
      <c r="F339" s="150"/>
      <c r="G339" s="107"/>
      <c r="H339" s="95"/>
    </row>
    <row r="340" spans="1:8" x14ac:dyDescent="0.3">
      <c r="A340" s="161"/>
      <c r="B340" s="107"/>
      <c r="C340" s="111"/>
      <c r="D340" s="113"/>
      <c r="E340" s="63" t="s">
        <v>1664</v>
      </c>
      <c r="F340" s="150"/>
      <c r="G340" s="107"/>
      <c r="H340" s="95"/>
    </row>
    <row r="341" spans="1:8" x14ac:dyDescent="0.3">
      <c r="A341" s="161"/>
      <c r="B341" s="107"/>
      <c r="C341" s="111"/>
      <c r="D341" s="113">
        <f>$D337</f>
        <v>5.2603509519315095</v>
      </c>
      <c r="E341" s="63" t="s">
        <v>1665</v>
      </c>
      <c r="F341" s="150">
        <f>$F337</f>
        <v>5.26</v>
      </c>
      <c r="G341" s="107" t="s">
        <v>1661</v>
      </c>
      <c r="H341" s="95"/>
    </row>
    <row r="342" spans="1:8" x14ac:dyDescent="0.3">
      <c r="A342" s="161"/>
      <c r="B342" s="107"/>
      <c r="C342" s="111"/>
      <c r="D342" s="113"/>
      <c r="E342" s="63"/>
      <c r="F342" s="150"/>
      <c r="G342" s="107"/>
      <c r="H342" s="95"/>
    </row>
    <row r="343" spans="1:8" x14ac:dyDescent="0.3">
      <c r="A343" s="161"/>
      <c r="B343" s="107"/>
      <c r="C343" s="111"/>
      <c r="D343" s="113"/>
      <c r="E343" s="149" t="s">
        <v>1455</v>
      </c>
      <c r="F343" s="150"/>
      <c r="G343" s="107"/>
      <c r="H343" s="95"/>
    </row>
    <row r="344" spans="1:8" x14ac:dyDescent="0.3">
      <c r="A344" s="161"/>
      <c r="B344" s="107"/>
      <c r="C344" s="111"/>
      <c r="D344" s="113"/>
      <c r="E344" s="63" t="s">
        <v>1666</v>
      </c>
      <c r="F344" s="150"/>
      <c r="G344" s="107"/>
      <c r="H344" s="95"/>
    </row>
    <row r="345" spans="1:8" x14ac:dyDescent="0.3">
      <c r="A345" s="161">
        <f>1</f>
        <v>1</v>
      </c>
      <c r="B345" s="107" t="s">
        <v>1628</v>
      </c>
      <c r="C345" s="111">
        <f>'04a_Box_Dims'!$AE24</f>
        <v>10</v>
      </c>
      <c r="D345" s="113"/>
      <c r="E345" s="63" t="s">
        <v>1667</v>
      </c>
      <c r="F345" s="150"/>
      <c r="G345" s="107"/>
      <c r="H345" s="95"/>
    </row>
    <row r="346" spans="1:8" x14ac:dyDescent="0.3">
      <c r="A346" s="161"/>
      <c r="B346" s="107"/>
      <c r="C346" s="111">
        <f>'04a_Box_Dims'!$J24</f>
        <v>7</v>
      </c>
      <c r="D346" s="113"/>
      <c r="E346" s="63"/>
      <c r="F346" s="150"/>
      <c r="G346" s="107"/>
      <c r="H346" s="95"/>
    </row>
    <row r="347" spans="1:8" x14ac:dyDescent="0.3">
      <c r="A347" s="161"/>
      <c r="B347" s="107"/>
      <c r="C347" s="111">
        <f>'04a_Box_Dims'!$I24</f>
        <v>0.25</v>
      </c>
      <c r="D347" s="113">
        <f>$A345*$C345*$C346*$C347</f>
        <v>17.5</v>
      </c>
      <c r="E347" s="63"/>
      <c r="F347" s="150"/>
      <c r="G347" s="107"/>
      <c r="H347" s="95">
        <f>'04a_Box_Dims'!$I24</f>
        <v>0.25</v>
      </c>
    </row>
    <row r="348" spans="1:8" x14ac:dyDescent="0.3">
      <c r="A348" s="161">
        <f>2</f>
        <v>2</v>
      </c>
      <c r="B348" s="107" t="s">
        <v>1628</v>
      </c>
      <c r="C348" s="111">
        <f>'04a_Box_Dims'!$O24</f>
        <v>1.5</v>
      </c>
      <c r="D348" s="113"/>
      <c r="E348" s="63" t="s">
        <v>1657</v>
      </c>
      <c r="F348" s="150"/>
      <c r="G348" s="107"/>
      <c r="H348" s="95"/>
    </row>
    <row r="349" spans="1:8" x14ac:dyDescent="0.3">
      <c r="A349" s="161"/>
      <c r="B349" s="107"/>
      <c r="C349" s="111">
        <f>'04a_Box_Dims'!$Q24</f>
        <v>8.5</v>
      </c>
      <c r="D349" s="113"/>
      <c r="E349" s="63"/>
      <c r="F349" s="150"/>
      <c r="G349" s="107"/>
      <c r="H349" s="95"/>
    </row>
    <row r="350" spans="1:8" x14ac:dyDescent="0.3">
      <c r="A350" s="161"/>
      <c r="B350" s="107"/>
      <c r="C350" s="111">
        <f>'04a_Box_Dims'!$P24</f>
        <v>0.25</v>
      </c>
      <c r="D350" s="113">
        <f>$A348*$C348*$C349*$C350</f>
        <v>6.375</v>
      </c>
      <c r="E350" s="63"/>
      <c r="F350" s="150"/>
      <c r="G350" s="107"/>
      <c r="H350" s="95">
        <f>'04a_Box_Dims'!$P24</f>
        <v>0.25</v>
      </c>
    </row>
    <row r="351" spans="1:8" x14ac:dyDescent="0.3">
      <c r="A351" s="161">
        <f>2</f>
        <v>2</v>
      </c>
      <c r="B351" s="107" t="s">
        <v>1628</v>
      </c>
      <c r="C351" s="111">
        <f>'04a_Box_Dims'!$R24</f>
        <v>7</v>
      </c>
      <c r="D351" s="113"/>
      <c r="E351" s="63" t="s">
        <v>1658</v>
      </c>
      <c r="F351" s="150"/>
      <c r="G351" s="107"/>
      <c r="H351" s="95"/>
    </row>
    <row r="352" spans="1:8" x14ac:dyDescent="0.3">
      <c r="A352" s="161"/>
      <c r="B352" s="107"/>
      <c r="C352" s="111">
        <f>'04a_Box_Dims'!$S24</f>
        <v>0.2</v>
      </c>
      <c r="D352" s="113"/>
      <c r="E352" s="63"/>
      <c r="F352" s="150"/>
      <c r="G352" s="107"/>
      <c r="H352" s="95"/>
    </row>
    <row r="353" spans="1:8" x14ac:dyDescent="0.3">
      <c r="A353" s="161"/>
      <c r="B353" s="107"/>
      <c r="C353" s="111">
        <f>'04a_Box_Dims'!$T24</f>
        <v>0.45</v>
      </c>
      <c r="D353" s="113">
        <f>$A351*$C351*$C352*$C353</f>
        <v>1.2600000000000002</v>
      </c>
      <c r="E353" s="63"/>
      <c r="F353" s="150"/>
      <c r="G353" s="107"/>
      <c r="H353" s="95">
        <f>'04a_Box_Dims'!$S24</f>
        <v>0.2</v>
      </c>
    </row>
    <row r="354" spans="1:8" x14ac:dyDescent="0.3">
      <c r="A354" s="161">
        <f>4</f>
        <v>4</v>
      </c>
      <c r="B354" s="107" t="s">
        <v>1628</v>
      </c>
      <c r="C354" s="111">
        <f>'04a_Box_Dims'!$Z24</f>
        <v>2.1213203435596424</v>
      </c>
      <c r="D354" s="113"/>
      <c r="E354" s="63" t="s">
        <v>1659</v>
      </c>
      <c r="F354" s="150"/>
      <c r="G354" s="107"/>
      <c r="H354" s="95"/>
    </row>
    <row r="355" spans="1:8" x14ac:dyDescent="0.3">
      <c r="A355" s="161"/>
      <c r="B355" s="107"/>
      <c r="C355" s="111">
        <f>'04a_Box_Dims'!$AC24</f>
        <v>0.81400000000000006</v>
      </c>
      <c r="D355" s="113"/>
      <c r="E355" s="63"/>
      <c r="F355" s="150"/>
      <c r="G355" s="107"/>
      <c r="H355" s="95"/>
    </row>
    <row r="356" spans="1:8" x14ac:dyDescent="0.3">
      <c r="A356" s="161"/>
      <c r="B356" s="107"/>
      <c r="C356" s="111">
        <f>'04a_Box_Dims'!$AD24</f>
        <v>0.3</v>
      </c>
      <c r="D356" s="113">
        <f>$A354*$C354*$C355*$C356</f>
        <v>2.0721057115890589</v>
      </c>
      <c r="E356" s="63"/>
      <c r="F356" s="150"/>
      <c r="G356" s="107"/>
      <c r="H356" s="95">
        <f>'04a_Box_Dims'!$AD24</f>
        <v>0.3</v>
      </c>
    </row>
    <row r="357" spans="1:8" x14ac:dyDescent="0.3">
      <c r="A357" s="161"/>
      <c r="B357" s="107"/>
      <c r="C357" s="111"/>
      <c r="D357" s="113">
        <f>SUM($D$345:$D$356)</f>
        <v>27.207105711589062</v>
      </c>
      <c r="E357" s="63" t="s">
        <v>1660</v>
      </c>
      <c r="F357" s="150">
        <f>ROUND($D357,2)</f>
        <v>27.21</v>
      </c>
      <c r="G357" s="107" t="s">
        <v>1661</v>
      </c>
      <c r="H357" s="95"/>
    </row>
    <row r="358" spans="1:8" x14ac:dyDescent="0.3">
      <c r="A358" s="161"/>
      <c r="B358" s="107"/>
      <c r="C358" s="111"/>
      <c r="D358" s="113"/>
      <c r="E358" s="63"/>
      <c r="F358" s="150"/>
      <c r="G358" s="107"/>
      <c r="H358" s="95"/>
    </row>
    <row r="359" spans="1:8" x14ac:dyDescent="0.3">
      <c r="A359" s="161"/>
      <c r="B359" s="107"/>
      <c r="C359" s="111"/>
      <c r="D359" s="113"/>
      <c r="E359" s="149" t="s">
        <v>1668</v>
      </c>
      <c r="F359" s="150"/>
      <c r="G359" s="107"/>
      <c r="H359" s="95"/>
    </row>
    <row r="360" spans="1:8" x14ac:dyDescent="0.3">
      <c r="A360" s="161"/>
      <c r="B360" s="107"/>
      <c r="C360" s="111"/>
      <c r="D360" s="113"/>
      <c r="E360" s="63" t="s">
        <v>1669</v>
      </c>
      <c r="F360" s="150"/>
      <c r="G360" s="107"/>
      <c r="H360" s="95"/>
    </row>
    <row r="361" spans="1:8" x14ac:dyDescent="0.3">
      <c r="A361" s="161"/>
      <c r="B361" s="107"/>
      <c r="C361" s="111"/>
      <c r="D361" s="113">
        <f>SUMIF($H$345:$H$356,"&lt;=0.3",$D$345:$D$356)</f>
        <v>27.207105711589062</v>
      </c>
      <c r="E361" s="63" t="s">
        <v>1670</v>
      </c>
      <c r="F361" s="150">
        <f>ROUND($D361,2)</f>
        <v>27.21</v>
      </c>
      <c r="G361" s="107" t="s">
        <v>1661</v>
      </c>
      <c r="H361" s="95"/>
    </row>
    <row r="362" spans="1:8" x14ac:dyDescent="0.3">
      <c r="A362" s="161"/>
      <c r="B362" s="107"/>
      <c r="C362" s="111"/>
      <c r="D362" s="113">
        <f>SUMIF($H$345:$H$356,"&gt;0.3",$D$345:$D$356)</f>
        <v>0</v>
      </c>
      <c r="E362" s="63" t="s">
        <v>1671</v>
      </c>
      <c r="F362" s="150">
        <f>ROUND($D362,2)</f>
        <v>0</v>
      </c>
      <c r="G362" s="107" t="s">
        <v>1661</v>
      </c>
      <c r="H362" s="95"/>
    </row>
    <row r="363" spans="1:8" x14ac:dyDescent="0.3">
      <c r="A363" s="161"/>
      <c r="B363" s="107"/>
      <c r="C363" s="111"/>
      <c r="D363" s="113"/>
      <c r="E363" s="63"/>
      <c r="F363" s="150"/>
      <c r="G363" s="107"/>
      <c r="H363" s="95"/>
    </row>
    <row r="364" spans="1:8" x14ac:dyDescent="0.3">
      <c r="A364" s="161"/>
      <c r="B364" s="107"/>
      <c r="C364" s="111"/>
      <c r="D364" s="113"/>
      <c r="E364" s="149" t="s">
        <v>1455</v>
      </c>
      <c r="F364" s="150"/>
      <c r="G364" s="107"/>
      <c r="H364" s="95"/>
    </row>
    <row r="365" spans="1:8" x14ac:dyDescent="0.3">
      <c r="A365" s="161"/>
      <c r="B365" s="107"/>
      <c r="C365" s="111"/>
      <c r="D365" s="113"/>
      <c r="E365" s="63" t="s">
        <v>1672</v>
      </c>
      <c r="F365" s="150"/>
      <c r="G365" s="107"/>
      <c r="H365" s="95"/>
    </row>
    <row r="366" spans="1:8" x14ac:dyDescent="0.3">
      <c r="A366" s="161">
        <f>1</f>
        <v>1</v>
      </c>
      <c r="B366" s="107" t="s">
        <v>1628</v>
      </c>
      <c r="C366" s="111">
        <f>'04a_Box_Dims'!$AE24</f>
        <v>10</v>
      </c>
      <c r="D366" s="113"/>
      <c r="E366" s="63" t="s">
        <v>1673</v>
      </c>
      <c r="F366" s="150"/>
      <c r="G366" s="107"/>
      <c r="H366" s="95"/>
    </row>
    <row r="367" spans="1:8" x14ac:dyDescent="0.3">
      <c r="A367" s="161"/>
      <c r="B367" s="107"/>
      <c r="C367" s="111">
        <f>'04a_Box_Dims'!$J24</f>
        <v>7</v>
      </c>
      <c r="D367" s="113"/>
      <c r="E367" s="63"/>
      <c r="F367" s="150"/>
      <c r="G367" s="107"/>
      <c r="H367" s="95"/>
    </row>
    <row r="368" spans="1:8" x14ac:dyDescent="0.3">
      <c r="A368" s="161"/>
      <c r="B368" s="107"/>
      <c r="C368" s="111">
        <f>'04a_Box_Dims'!$I24</f>
        <v>0.25</v>
      </c>
      <c r="D368" s="113">
        <f>$A366*$C366*$C367*$C368</f>
        <v>17.5</v>
      </c>
      <c r="E368" s="63"/>
      <c r="F368" s="150"/>
      <c r="G368" s="107"/>
      <c r="H368" s="95">
        <f>'04a_Box_Dims'!$I24</f>
        <v>0.25</v>
      </c>
    </row>
    <row r="369" spans="1:8" x14ac:dyDescent="0.3">
      <c r="A369" s="161"/>
      <c r="B369" s="107"/>
      <c r="C369" s="111"/>
      <c r="D369" s="113">
        <f>SUM($D$366:$D$368)</f>
        <v>17.5</v>
      </c>
      <c r="E369" s="63" t="s">
        <v>1660</v>
      </c>
      <c r="F369" s="150">
        <f>ROUND($D369,2)</f>
        <v>17.5</v>
      </c>
      <c r="G369" s="107" t="s">
        <v>1661</v>
      </c>
      <c r="H369" s="95"/>
    </row>
    <row r="370" spans="1:8" x14ac:dyDescent="0.3">
      <c r="A370" s="161"/>
      <c r="B370" s="107"/>
      <c r="C370" s="111"/>
      <c r="D370" s="113"/>
      <c r="E370" s="63"/>
      <c r="F370" s="150"/>
      <c r="G370" s="107"/>
      <c r="H370" s="95"/>
    </row>
    <row r="371" spans="1:8" x14ac:dyDescent="0.3">
      <c r="A371" s="161"/>
      <c r="B371" s="107"/>
      <c r="C371" s="111"/>
      <c r="D371" s="113"/>
      <c r="E371" s="149" t="s">
        <v>1674</v>
      </c>
      <c r="F371" s="150"/>
      <c r="G371" s="107"/>
      <c r="H371" s="95"/>
    </row>
    <row r="372" spans="1:8" x14ac:dyDescent="0.3">
      <c r="A372" s="161"/>
      <c r="B372" s="107"/>
      <c r="C372" s="111"/>
      <c r="D372" s="113"/>
      <c r="E372" s="63" t="s">
        <v>1675</v>
      </c>
      <c r="F372" s="150"/>
      <c r="G372" s="107"/>
      <c r="H372" s="95"/>
    </row>
    <row r="373" spans="1:8" x14ac:dyDescent="0.3">
      <c r="A373" s="161"/>
      <c r="B373" s="107"/>
      <c r="C373" s="111"/>
      <c r="D373" s="113">
        <f>SUMIF($H$366:$H$368,"&lt;=0.3",$D$366:$D$368)</f>
        <v>17.5</v>
      </c>
      <c r="E373" s="63" t="s">
        <v>1670</v>
      </c>
      <c r="F373" s="150">
        <f>ROUND($D373,2)</f>
        <v>17.5</v>
      </c>
      <c r="G373" s="107" t="s">
        <v>1661</v>
      </c>
      <c r="H373" s="95"/>
    </row>
    <row r="374" spans="1:8" x14ac:dyDescent="0.3">
      <c r="A374" s="161"/>
      <c r="B374" s="107"/>
      <c r="C374" s="111"/>
      <c r="D374" s="113">
        <f>SUMIF($H$366:$H$368,"&gt;0.3",$D$366:$D$368)</f>
        <v>0</v>
      </c>
      <c r="E374" s="63" t="s">
        <v>1671</v>
      </c>
      <c r="F374" s="150">
        <f>ROUND($D374,2)</f>
        <v>0</v>
      </c>
      <c r="G374" s="107" t="s">
        <v>1661</v>
      </c>
      <c r="H374" s="95"/>
    </row>
    <row r="375" spans="1:8" x14ac:dyDescent="0.3">
      <c r="A375" s="161"/>
      <c r="B375" s="107"/>
      <c r="C375" s="111"/>
      <c r="D375" s="113"/>
      <c r="E375" s="63"/>
      <c r="F375" s="150"/>
      <c r="G375" s="107"/>
      <c r="H375" s="95"/>
    </row>
    <row r="376" spans="1:8" x14ac:dyDescent="0.3">
      <c r="A376" s="161"/>
      <c r="B376" s="107"/>
      <c r="C376" s="111"/>
      <c r="D376" s="113"/>
      <c r="E376" s="149" t="s">
        <v>1455</v>
      </c>
      <c r="F376" s="150"/>
      <c r="G376" s="107"/>
      <c r="H376" s="95"/>
    </row>
    <row r="377" spans="1:8" x14ac:dyDescent="0.3">
      <c r="A377" s="161"/>
      <c r="B377" s="107"/>
      <c r="C377" s="111"/>
      <c r="D377" s="113"/>
      <c r="E377" s="63" t="s">
        <v>1676</v>
      </c>
      <c r="F377" s="150"/>
      <c r="G377" s="107"/>
      <c r="H377" s="95"/>
    </row>
    <row r="378" spans="1:8" x14ac:dyDescent="0.3">
      <c r="A378" s="161">
        <f>2</f>
        <v>2</v>
      </c>
      <c r="B378" s="107" t="s">
        <v>1628</v>
      </c>
      <c r="C378" s="111">
        <f>'04a_Box_Dims'!$AE24</f>
        <v>10</v>
      </c>
      <c r="D378" s="113"/>
      <c r="E378" s="63" t="s">
        <v>1677</v>
      </c>
      <c r="F378" s="150"/>
      <c r="G378" s="107"/>
      <c r="H378" s="95"/>
    </row>
    <row r="379" spans="1:8" x14ac:dyDescent="0.3">
      <c r="A379" s="161"/>
      <c r="B379" s="107"/>
      <c r="C379" s="111">
        <f>'04a_Box_Dims'!$E24</f>
        <v>2</v>
      </c>
      <c r="D379" s="113"/>
      <c r="E379" s="63"/>
      <c r="F379" s="150"/>
      <c r="G379" s="107"/>
      <c r="H379" s="95"/>
    </row>
    <row r="380" spans="1:8" x14ac:dyDescent="0.3">
      <c r="A380" s="161"/>
      <c r="B380" s="107"/>
      <c r="C380" s="111">
        <f>'04a_Box_Dims'!$I24</f>
        <v>0.25</v>
      </c>
      <c r="D380" s="113">
        <f>$A378*$C378*$C379*$C380</f>
        <v>10</v>
      </c>
      <c r="E380" s="63"/>
      <c r="F380" s="150"/>
      <c r="G380" s="107"/>
      <c r="H380" s="95">
        <f>'04a_Box_Dims'!$I24</f>
        <v>0.25</v>
      </c>
    </row>
    <row r="381" spans="1:8" x14ac:dyDescent="0.3">
      <c r="A381" s="161">
        <f>'04a_Box_Dims'!$C24-1</f>
        <v>2</v>
      </c>
      <c r="B381" s="107" t="s">
        <v>1628</v>
      </c>
      <c r="C381" s="111">
        <f>'04a_Box_Dims'!$AE24</f>
        <v>10</v>
      </c>
      <c r="D381" s="113"/>
      <c r="E381" s="63" t="s">
        <v>1678</v>
      </c>
      <c r="F381" s="150"/>
      <c r="G381" s="107"/>
      <c r="H381" s="95"/>
    </row>
    <row r="382" spans="1:8" x14ac:dyDescent="0.3">
      <c r="A382" s="161"/>
      <c r="B382" s="107"/>
      <c r="C382" s="111">
        <f>'04a_Box_Dims'!$E24</f>
        <v>2</v>
      </c>
      <c r="D382" s="113"/>
      <c r="E382" s="63"/>
      <c r="F382" s="150"/>
      <c r="G382" s="107"/>
      <c r="H382" s="95"/>
    </row>
    <row r="383" spans="1:8" x14ac:dyDescent="0.3">
      <c r="A383" s="161"/>
      <c r="B383" s="107"/>
      <c r="C383" s="111">
        <f>'04a_Box_Dims'!$I24</f>
        <v>0.25</v>
      </c>
      <c r="D383" s="113">
        <f>$A381*$C381*$C382*$C383</f>
        <v>10</v>
      </c>
      <c r="E383" s="63"/>
      <c r="F383" s="150"/>
      <c r="G383" s="107"/>
      <c r="H383" s="95">
        <f>'04a_Box_Dims'!$I24</f>
        <v>0.25</v>
      </c>
    </row>
    <row r="384" spans="1:8" x14ac:dyDescent="0.3">
      <c r="A384" s="161">
        <f>4*'04a_Box_Dims'!$C24</f>
        <v>12</v>
      </c>
      <c r="B384" s="107" t="s">
        <v>1628</v>
      </c>
      <c r="C384" s="111">
        <f>'04a_Box_Dims'!$AE24</f>
        <v>10</v>
      </c>
      <c r="D384" s="113"/>
      <c r="E384" s="63" t="s">
        <v>1679</v>
      </c>
      <c r="F384" s="150"/>
      <c r="G384" s="107"/>
      <c r="H384" s="95"/>
    </row>
    <row r="385" spans="1:8" x14ac:dyDescent="0.3">
      <c r="A385" s="161"/>
      <c r="B385" s="107"/>
      <c r="C385" s="111">
        <f>'04a_Box_Dims'!$N24</f>
        <v>0.15</v>
      </c>
      <c r="D385" s="113"/>
      <c r="E385" s="63"/>
      <c r="F385" s="150"/>
      <c r="G385" s="107"/>
      <c r="H385" s="95"/>
    </row>
    <row r="386" spans="1:8" x14ac:dyDescent="0.3">
      <c r="A386" s="161"/>
      <c r="B386" s="107"/>
      <c r="C386" s="111">
        <f>'04a_Box_Dims'!$N24/2</f>
        <v>7.4999999999999997E-2</v>
      </c>
      <c r="D386" s="113">
        <f>$A384*$C384*$C385*$C386</f>
        <v>1.3499999999999999</v>
      </c>
      <c r="E386" s="63"/>
      <c r="F386" s="150"/>
      <c r="G386" s="107"/>
      <c r="H386" s="95">
        <f>'04a_Box_Dims'!$N24</f>
        <v>0.15</v>
      </c>
    </row>
    <row r="387" spans="1:8" x14ac:dyDescent="0.3">
      <c r="A387" s="161">
        <f>2</f>
        <v>2</v>
      </c>
      <c r="B387" s="107" t="s">
        <v>1628</v>
      </c>
      <c r="C387" s="111">
        <f>'04a_Box_Dims'!$J24</f>
        <v>7</v>
      </c>
      <c r="D387" s="113"/>
      <c r="E387" s="63" t="s">
        <v>1680</v>
      </c>
      <c r="F387" s="150"/>
      <c r="G387" s="107"/>
      <c r="H387" s="95"/>
    </row>
    <row r="388" spans="1:8" x14ac:dyDescent="0.3">
      <c r="A388" s="161"/>
      <c r="B388" s="107"/>
      <c r="C388" s="111">
        <f>'04a_Box_Dims'!$U24</f>
        <v>0.6</v>
      </c>
      <c r="D388" s="113"/>
      <c r="E388" s="63"/>
      <c r="F388" s="150"/>
      <c r="G388" s="107"/>
      <c r="H388" s="95"/>
    </row>
    <row r="389" spans="1:8" x14ac:dyDescent="0.3">
      <c r="A389" s="161"/>
      <c r="B389" s="107"/>
      <c r="C389" s="111">
        <f>'04a_Box_Dims'!$V24</f>
        <v>0.3</v>
      </c>
      <c r="D389" s="113">
        <f>$A387*$C387*$C388*$C389</f>
        <v>2.52</v>
      </c>
      <c r="E389" s="63"/>
      <c r="F389" s="150"/>
      <c r="G389" s="107"/>
      <c r="H389" s="95">
        <f>'04a_Box_Dims'!$V24</f>
        <v>0.3</v>
      </c>
    </row>
    <row r="390" spans="1:8" x14ac:dyDescent="0.3">
      <c r="A390" s="161">
        <f>4</f>
        <v>4</v>
      </c>
      <c r="B390" s="107" t="s">
        <v>1628</v>
      </c>
      <c r="C390" s="111">
        <f>'04a_Box_Dims'!$Z24</f>
        <v>2.1213203435596424</v>
      </c>
      <c r="D390" s="113"/>
      <c r="E390" s="63" t="s">
        <v>1681</v>
      </c>
      <c r="F390" s="150"/>
      <c r="G390" s="107"/>
      <c r="H390" s="95"/>
    </row>
    <row r="391" spans="1:8" x14ac:dyDescent="0.3">
      <c r="A391" s="161"/>
      <c r="B391" s="107"/>
      <c r="C391" s="111">
        <f>'04a_Box_Dims'!$Y24</f>
        <v>2.9928932188134527</v>
      </c>
      <c r="D391" s="113"/>
      <c r="E391" s="63"/>
      <c r="F391" s="150"/>
      <c r="G391" s="107"/>
      <c r="H391" s="95"/>
    </row>
    <row r="392" spans="1:8" x14ac:dyDescent="0.3">
      <c r="A392" s="161"/>
      <c r="B392" s="107"/>
      <c r="C392" s="111">
        <f>'04a_Box_Dims'!$AB24</f>
        <v>0.31</v>
      </c>
      <c r="D392" s="113">
        <f>$A390*$C390*$C391*$C392</f>
        <v>7.8726177362516392</v>
      </c>
      <c r="E392" s="63"/>
      <c r="F392" s="150"/>
      <c r="G392" s="107"/>
      <c r="H392" s="95">
        <f>'04a_Box_Dims'!$AB24</f>
        <v>0.31</v>
      </c>
    </row>
    <row r="393" spans="1:8" x14ac:dyDescent="0.3">
      <c r="A393" s="161"/>
      <c r="B393" s="107"/>
      <c r="C393" s="111"/>
      <c r="D393" s="113">
        <f>SUM($D$378:$D$392)</f>
        <v>31.742617736251638</v>
      </c>
      <c r="E393" s="63" t="s">
        <v>1660</v>
      </c>
      <c r="F393" s="150">
        <f>ROUND($D393,2)</f>
        <v>31.74</v>
      </c>
      <c r="G393" s="107" t="s">
        <v>1661</v>
      </c>
      <c r="H393" s="95"/>
    </row>
    <row r="394" spans="1:8" x14ac:dyDescent="0.3">
      <c r="A394" s="161"/>
      <c r="B394" s="107"/>
      <c r="C394" s="111"/>
      <c r="D394" s="113"/>
      <c r="E394" s="63"/>
      <c r="F394" s="150"/>
      <c r="G394" s="107"/>
      <c r="H394" s="95"/>
    </row>
    <row r="395" spans="1:8" x14ac:dyDescent="0.3">
      <c r="A395" s="161"/>
      <c r="B395" s="107"/>
      <c r="C395" s="111"/>
      <c r="D395" s="113"/>
      <c r="E395" s="149" t="s">
        <v>1682</v>
      </c>
      <c r="F395" s="150"/>
      <c r="G395" s="107"/>
      <c r="H395" s="95"/>
    </row>
    <row r="396" spans="1:8" x14ac:dyDescent="0.3">
      <c r="A396" s="161"/>
      <c r="B396" s="107"/>
      <c r="C396" s="111"/>
      <c r="D396" s="113"/>
      <c r="E396" s="63" t="s">
        <v>1683</v>
      </c>
      <c r="F396" s="150"/>
      <c r="G396" s="107"/>
      <c r="H396" s="95"/>
    </row>
    <row r="397" spans="1:8" x14ac:dyDescent="0.3">
      <c r="A397" s="161"/>
      <c r="B397" s="107"/>
      <c r="C397" s="111"/>
      <c r="D397" s="113">
        <f>SUMIF($H$378:$H$392,"&lt;=0.3",$D$378:$D$392)</f>
        <v>23.87</v>
      </c>
      <c r="E397" s="63" t="s">
        <v>1670</v>
      </c>
      <c r="F397" s="150">
        <f>ROUND($D397,2)</f>
        <v>23.87</v>
      </c>
      <c r="G397" s="107" t="s">
        <v>1661</v>
      </c>
      <c r="H397" s="95"/>
    </row>
    <row r="398" spans="1:8" x14ac:dyDescent="0.3">
      <c r="A398" s="161"/>
      <c r="B398" s="107"/>
      <c r="C398" s="111"/>
      <c r="D398" s="113">
        <f>SUMIF($H$378:$H$392,"&gt;0.3",$D$378:$D$392)</f>
        <v>7.8726177362516392</v>
      </c>
      <c r="E398" s="63" t="s">
        <v>1671</v>
      </c>
      <c r="F398" s="150">
        <f>ROUND($D398,2)</f>
        <v>7.87</v>
      </c>
      <c r="G398" s="107" t="s">
        <v>1661</v>
      </c>
      <c r="H398" s="95"/>
    </row>
    <row r="399" spans="1:8" x14ac:dyDescent="0.3">
      <c r="A399" s="161"/>
      <c r="B399" s="107"/>
      <c r="C399" s="111"/>
      <c r="D399" s="113"/>
      <c r="E399" s="63"/>
      <c r="F399" s="150"/>
      <c r="G399" s="107"/>
      <c r="H399" s="95"/>
    </row>
    <row r="400" spans="1:8" x14ac:dyDescent="0.3">
      <c r="A400" s="161"/>
      <c r="B400" s="107"/>
      <c r="C400" s="111"/>
      <c r="D400" s="113"/>
      <c r="E400" s="149" t="s">
        <v>1445</v>
      </c>
      <c r="F400" s="150"/>
      <c r="G400" s="107"/>
      <c r="H400" s="95"/>
    </row>
    <row r="401" spans="1:8" x14ac:dyDescent="0.3">
      <c r="A401" s="161"/>
      <c r="B401" s="107"/>
      <c r="C401" s="111"/>
      <c r="D401" s="113"/>
      <c r="E401" s="63" t="s">
        <v>1684</v>
      </c>
      <c r="F401" s="150"/>
      <c r="G401" s="107"/>
      <c r="H401" s="95"/>
    </row>
    <row r="402" spans="1:8" x14ac:dyDescent="0.3">
      <c r="A402" s="161">
        <f>2</f>
        <v>2</v>
      </c>
      <c r="B402" s="107" t="s">
        <v>1628</v>
      </c>
      <c r="C402" s="111">
        <f>'04a_Box_Dims'!$AE24</f>
        <v>10</v>
      </c>
      <c r="D402" s="113"/>
      <c r="E402" s="63" t="s">
        <v>1685</v>
      </c>
      <c r="F402" s="150"/>
      <c r="G402" s="107"/>
      <c r="H402" s="95"/>
    </row>
    <row r="403" spans="1:8" x14ac:dyDescent="0.3">
      <c r="A403" s="161"/>
      <c r="B403" s="107"/>
      <c r="C403" s="111">
        <f>'04a_Box_Dims'!$E24</f>
        <v>2</v>
      </c>
      <c r="D403" s="113">
        <f>$A402*$C402*$C403</f>
        <v>40</v>
      </c>
      <c r="E403" s="63"/>
      <c r="F403" s="150"/>
      <c r="G403" s="107"/>
      <c r="H403" s="95"/>
    </row>
    <row r="404" spans="1:8" x14ac:dyDescent="0.3">
      <c r="A404" s="161">
        <f>4</f>
        <v>4</v>
      </c>
      <c r="B404" s="107" t="s">
        <v>1628</v>
      </c>
      <c r="C404" s="111">
        <f>'04a_Box_Dims'!$Z24</f>
        <v>2.1213203435596424</v>
      </c>
      <c r="D404" s="113"/>
      <c r="E404" s="63" t="s">
        <v>1686</v>
      </c>
      <c r="F404" s="150"/>
      <c r="G404" s="107"/>
      <c r="H404" s="95"/>
    </row>
    <row r="405" spans="1:8" x14ac:dyDescent="0.3">
      <c r="A405" s="161"/>
      <c r="B405" s="107"/>
      <c r="C405" s="111">
        <f>'04a_Box_Dims'!$Y24</f>
        <v>2.9928932188134527</v>
      </c>
      <c r="D405" s="113">
        <f>$A404*$C404*$C405</f>
        <v>25.395541084682709</v>
      </c>
      <c r="E405" s="63"/>
      <c r="F405" s="150"/>
      <c r="G405" s="107"/>
      <c r="H405" s="95"/>
    </row>
    <row r="406" spans="1:8" x14ac:dyDescent="0.3">
      <c r="A406" s="161">
        <f>2</f>
        <v>2</v>
      </c>
      <c r="B406" s="107" t="s">
        <v>1628</v>
      </c>
      <c r="C406" s="111">
        <f>'04a_Box_Dims'!$J24</f>
        <v>7</v>
      </c>
      <c r="D406" s="113"/>
      <c r="E406" s="63" t="s">
        <v>1687</v>
      </c>
      <c r="F406" s="150"/>
      <c r="G406" s="107"/>
      <c r="H406" s="95"/>
    </row>
    <row r="407" spans="1:8" x14ac:dyDescent="0.3">
      <c r="A407" s="161"/>
      <c r="B407" s="107"/>
      <c r="C407" s="111">
        <f>'04a_Box_Dims'!$U24</f>
        <v>0.6</v>
      </c>
      <c r="D407" s="113">
        <f>$A406*$C406*$C407</f>
        <v>8.4</v>
      </c>
      <c r="E407" s="63"/>
      <c r="F407" s="150"/>
      <c r="G407" s="107"/>
      <c r="H407" s="95"/>
    </row>
    <row r="408" spans="1:8" x14ac:dyDescent="0.3">
      <c r="A408" s="161"/>
      <c r="B408" s="107"/>
      <c r="C408" s="111"/>
      <c r="D408" s="113">
        <f>SUM($D$402:$D$407)</f>
        <v>73.795541084682711</v>
      </c>
      <c r="E408" s="63" t="s">
        <v>1660</v>
      </c>
      <c r="F408" s="150">
        <f>ROUND($D408,2)</f>
        <v>73.8</v>
      </c>
      <c r="G408" s="107" t="s">
        <v>1688</v>
      </c>
      <c r="H408" s="95"/>
    </row>
    <row r="409" spans="1:8" x14ac:dyDescent="0.3">
      <c r="A409" s="161"/>
      <c r="B409" s="107"/>
      <c r="C409" s="111"/>
      <c r="D409" s="113"/>
      <c r="E409" s="63"/>
      <c r="F409" s="150"/>
      <c r="G409" s="107"/>
      <c r="H409" s="95"/>
    </row>
    <row r="410" spans="1:8" x14ac:dyDescent="0.3">
      <c r="A410" s="161"/>
      <c r="B410" s="107"/>
      <c r="C410" s="111"/>
      <c r="D410" s="113"/>
      <c r="E410" s="149" t="s">
        <v>1446</v>
      </c>
      <c r="F410" s="150"/>
      <c r="G410" s="107"/>
      <c r="H410" s="95"/>
    </row>
    <row r="411" spans="1:8" x14ac:dyDescent="0.3">
      <c r="A411" s="161"/>
      <c r="B411" s="107"/>
      <c r="C411" s="111"/>
      <c r="D411" s="113"/>
      <c r="E411" s="63" t="s">
        <v>1689</v>
      </c>
      <c r="F411" s="150"/>
      <c r="G411" s="107"/>
      <c r="H411" s="95"/>
    </row>
    <row r="412" spans="1:8" x14ac:dyDescent="0.3">
      <c r="A412" s="161">
        <f>2</f>
        <v>2</v>
      </c>
      <c r="B412" s="107" t="s">
        <v>1628</v>
      </c>
      <c r="C412" s="111">
        <f>'04a_Box_Dims'!$O24</f>
        <v>1.5</v>
      </c>
      <c r="D412" s="113"/>
      <c r="E412" s="63" t="s">
        <v>1690</v>
      </c>
      <c r="F412" s="150"/>
      <c r="G412" s="107"/>
      <c r="H412" s="95"/>
    </row>
    <row r="413" spans="1:8" x14ac:dyDescent="0.3">
      <c r="A413" s="161"/>
      <c r="B413" s="107"/>
      <c r="C413" s="111">
        <f>'04a_Box_Dims'!$Q24</f>
        <v>8.5</v>
      </c>
      <c r="D413" s="113">
        <f>$A412*$C412*$C413</f>
        <v>25.5</v>
      </c>
      <c r="E413" s="63"/>
      <c r="F413" s="150"/>
      <c r="G413" s="107"/>
      <c r="H413" s="95"/>
    </row>
    <row r="414" spans="1:8" x14ac:dyDescent="0.3">
      <c r="A414" s="161"/>
      <c r="B414" s="107"/>
      <c r="C414" s="111"/>
      <c r="D414" s="113">
        <f>SUM($D$412:$D$413)</f>
        <v>25.5</v>
      </c>
      <c r="E414" s="63" t="s">
        <v>1660</v>
      </c>
      <c r="F414" s="150">
        <f>ROUND($D414,2)</f>
        <v>25.5</v>
      </c>
      <c r="G414" s="107" t="s">
        <v>1688</v>
      </c>
      <c r="H414" s="95"/>
    </row>
    <row r="415" spans="1:8" x14ac:dyDescent="0.3">
      <c r="A415" s="161"/>
      <c r="B415" s="107"/>
      <c r="C415" s="111"/>
      <c r="D415" s="113"/>
      <c r="E415" s="63"/>
      <c r="F415" s="150"/>
      <c r="G415" s="107"/>
      <c r="H415" s="95"/>
    </row>
    <row r="416" spans="1:8" x14ac:dyDescent="0.3">
      <c r="A416" s="161"/>
      <c r="B416" s="107"/>
      <c r="C416" s="111"/>
      <c r="D416" s="113"/>
      <c r="E416" s="149" t="s">
        <v>1447</v>
      </c>
      <c r="F416" s="150"/>
      <c r="G416" s="107"/>
      <c r="H416" s="95"/>
    </row>
    <row r="417" spans="1:8" x14ac:dyDescent="0.3">
      <c r="A417" s="161"/>
      <c r="B417" s="107"/>
      <c r="C417" s="111"/>
      <c r="D417" s="113"/>
      <c r="E417" s="63" t="s">
        <v>1691</v>
      </c>
      <c r="F417" s="150"/>
      <c r="G417" s="107"/>
      <c r="H417" s="95"/>
    </row>
    <row r="418" spans="1:8" x14ac:dyDescent="0.3">
      <c r="A418" s="161">
        <f>4</f>
        <v>4</v>
      </c>
      <c r="B418" s="107" t="s">
        <v>1628</v>
      </c>
      <c r="C418" s="111">
        <f>'04a_Box_Dims'!$J24</f>
        <v>7</v>
      </c>
      <c r="D418" s="113"/>
      <c r="E418" s="63" t="s">
        <v>1692</v>
      </c>
      <c r="F418" s="150"/>
      <c r="G418" s="107"/>
      <c r="H418" s="95"/>
    </row>
    <row r="419" spans="1:8" x14ac:dyDescent="0.3">
      <c r="A419" s="161"/>
      <c r="B419" s="107"/>
      <c r="C419" s="111">
        <f>'04a_Box_Dims'!$I24</f>
        <v>0.25</v>
      </c>
      <c r="D419" s="113">
        <f>$A418*$C418*$C419</f>
        <v>7</v>
      </c>
      <c r="E419" s="63"/>
      <c r="F419" s="150"/>
      <c r="G419" s="107"/>
      <c r="H419" s="95"/>
    </row>
    <row r="420" spans="1:8" x14ac:dyDescent="0.3">
      <c r="A420" s="161">
        <f>4</f>
        <v>4</v>
      </c>
      <c r="B420" s="107" t="s">
        <v>1628</v>
      </c>
      <c r="C420" s="111">
        <f>'04a_Box_Dims'!$O24</f>
        <v>1.5</v>
      </c>
      <c r="D420" s="113"/>
      <c r="E420" s="63" t="s">
        <v>1693</v>
      </c>
      <c r="F420" s="150"/>
      <c r="G420" s="107"/>
      <c r="H420" s="95"/>
    </row>
    <row r="421" spans="1:8" x14ac:dyDescent="0.3">
      <c r="A421" s="161"/>
      <c r="B421" s="107"/>
      <c r="C421" s="111">
        <f>'04a_Box_Dims'!$P24</f>
        <v>0.25</v>
      </c>
      <c r="D421" s="113">
        <f>$A420*$C420*$C421</f>
        <v>1.5</v>
      </c>
      <c r="E421" s="63"/>
      <c r="F421" s="150"/>
      <c r="G421" s="107"/>
      <c r="H421" s="95"/>
    </row>
    <row r="422" spans="1:8" x14ac:dyDescent="0.3">
      <c r="A422" s="161"/>
      <c r="B422" s="107"/>
      <c r="C422" s="111"/>
      <c r="D422" s="113">
        <f>SUM($D$418:$D$421)</f>
        <v>8.5</v>
      </c>
      <c r="E422" s="63" t="s">
        <v>1660</v>
      </c>
      <c r="F422" s="150">
        <f>ROUND($D422,2)</f>
        <v>8.5</v>
      </c>
      <c r="G422" s="107" t="s">
        <v>1688</v>
      </c>
      <c r="H422" s="95"/>
    </row>
    <row r="423" spans="1:8" x14ac:dyDescent="0.3">
      <c r="A423" s="161"/>
      <c r="B423" s="107"/>
      <c r="C423" s="111"/>
      <c r="D423" s="113"/>
      <c r="E423" s="63"/>
      <c r="F423" s="150"/>
      <c r="G423" s="107"/>
      <c r="H423" s="95"/>
    </row>
    <row r="424" spans="1:8" x14ac:dyDescent="0.3">
      <c r="A424" s="161"/>
      <c r="B424" s="107"/>
      <c r="C424" s="111"/>
      <c r="D424" s="113"/>
      <c r="E424" s="149" t="s">
        <v>1448</v>
      </c>
      <c r="F424" s="150"/>
      <c r="G424" s="107"/>
      <c r="H424" s="95"/>
    </row>
    <row r="425" spans="1:8" x14ac:dyDescent="0.3">
      <c r="A425" s="161"/>
      <c r="B425" s="107"/>
      <c r="C425" s="111"/>
      <c r="D425" s="113"/>
      <c r="E425" s="63" t="s">
        <v>1694</v>
      </c>
      <c r="F425" s="150"/>
      <c r="G425" s="107"/>
      <c r="H425" s="95"/>
    </row>
    <row r="426" spans="1:8" x14ac:dyDescent="0.3">
      <c r="A426" s="161">
        <f>1</f>
        <v>1</v>
      </c>
      <c r="B426" s="107" t="s">
        <v>1628</v>
      </c>
      <c r="C426" s="111">
        <f>'04a_Box_Dims'!$AE24</f>
        <v>10</v>
      </c>
      <c r="D426" s="113"/>
      <c r="E426" s="63" t="s">
        <v>1695</v>
      </c>
      <c r="F426" s="150"/>
      <c r="G426" s="107"/>
      <c r="H426" s="95"/>
    </row>
    <row r="427" spans="1:8" x14ac:dyDescent="0.3">
      <c r="A427" s="161"/>
      <c r="B427" s="107"/>
      <c r="C427" s="111">
        <f>'04a_Box_Dims'!$K24</f>
        <v>6.5</v>
      </c>
      <c r="D427" s="113">
        <f>$A426*$C426*$C427</f>
        <v>65</v>
      </c>
      <c r="E427" s="63"/>
      <c r="F427" s="150"/>
      <c r="G427" s="107"/>
      <c r="H427" s="95"/>
    </row>
    <row r="428" spans="1:8" x14ac:dyDescent="0.3">
      <c r="A428" s="161"/>
      <c r="B428" s="107"/>
      <c r="C428" s="111"/>
      <c r="D428" s="113">
        <f>SUM($D$426:$D$427)</f>
        <v>65</v>
      </c>
      <c r="E428" s="63" t="s">
        <v>1660</v>
      </c>
      <c r="F428" s="150">
        <f>ROUND($D428,2)</f>
        <v>65</v>
      </c>
      <c r="G428" s="107" t="s">
        <v>1688</v>
      </c>
      <c r="H428" s="95"/>
    </row>
    <row r="429" spans="1:8" x14ac:dyDescent="0.3">
      <c r="A429" s="161"/>
      <c r="B429" s="107"/>
      <c r="C429" s="111"/>
      <c r="D429" s="113"/>
      <c r="E429" s="63"/>
      <c r="F429" s="150"/>
      <c r="G429" s="107"/>
      <c r="H429" s="95"/>
    </row>
    <row r="430" spans="1:8" x14ac:dyDescent="0.3">
      <c r="A430" s="161"/>
      <c r="B430" s="107"/>
      <c r="C430" s="111"/>
      <c r="D430" s="113"/>
      <c r="E430" s="149" t="s">
        <v>1449</v>
      </c>
      <c r="F430" s="150"/>
      <c r="G430" s="107"/>
      <c r="H430" s="95"/>
    </row>
    <row r="431" spans="1:8" x14ac:dyDescent="0.3">
      <c r="A431" s="161"/>
      <c r="B431" s="107"/>
      <c r="C431" s="111"/>
      <c r="D431" s="113"/>
      <c r="E431" s="63" t="s">
        <v>1696</v>
      </c>
      <c r="F431" s="150"/>
      <c r="G431" s="107"/>
      <c r="H431" s="95"/>
    </row>
    <row r="432" spans="1:8" x14ac:dyDescent="0.3">
      <c r="A432" s="161">
        <f>2</f>
        <v>2</v>
      </c>
      <c r="B432" s="107" t="s">
        <v>1628</v>
      </c>
      <c r="C432" s="111">
        <f>'04a_Box_Dims'!$J24</f>
        <v>7</v>
      </c>
      <c r="D432" s="113"/>
      <c r="E432" s="63" t="s">
        <v>1697</v>
      </c>
      <c r="F432" s="150"/>
      <c r="G432" s="107"/>
      <c r="H432" s="95"/>
    </row>
    <row r="433" spans="1:8" x14ac:dyDescent="0.3">
      <c r="A433" s="161"/>
      <c r="B433" s="107"/>
      <c r="C433" s="111">
        <f>'04a_Box_Dims'!$U24</f>
        <v>0.6</v>
      </c>
      <c r="D433" s="113">
        <f>$A432*$C432*$C433</f>
        <v>8.4</v>
      </c>
      <c r="E433" s="63"/>
      <c r="F433" s="150"/>
      <c r="G433" s="107"/>
      <c r="H433" s="95"/>
    </row>
    <row r="434" spans="1:8" x14ac:dyDescent="0.3">
      <c r="A434" s="161"/>
      <c r="B434" s="107"/>
      <c r="C434" s="111"/>
      <c r="D434" s="113">
        <f>SUM($D$432:$D$433)</f>
        <v>8.4</v>
      </c>
      <c r="E434" s="63" t="s">
        <v>1660</v>
      </c>
      <c r="F434" s="150">
        <f>ROUND($D434,2)</f>
        <v>8.4</v>
      </c>
      <c r="G434" s="107" t="s">
        <v>1688</v>
      </c>
      <c r="H434" s="95"/>
    </row>
    <row r="435" spans="1:8" x14ac:dyDescent="0.3">
      <c r="A435" s="161"/>
      <c r="B435" s="107"/>
      <c r="C435" s="111"/>
      <c r="D435" s="113"/>
      <c r="E435" s="63"/>
      <c r="F435" s="150"/>
      <c r="G435" s="107"/>
      <c r="H435" s="95"/>
    </row>
    <row r="436" spans="1:8" x14ac:dyDescent="0.3">
      <c r="A436" s="161"/>
      <c r="B436" s="107"/>
      <c r="C436" s="111"/>
      <c r="D436" s="113"/>
      <c r="E436" s="149" t="s">
        <v>1329</v>
      </c>
      <c r="F436" s="150"/>
      <c r="G436" s="107"/>
      <c r="H436" s="95"/>
    </row>
    <row r="437" spans="1:8" x14ac:dyDescent="0.3">
      <c r="A437" s="161"/>
      <c r="B437" s="107"/>
      <c r="C437" s="111"/>
      <c r="D437" s="113"/>
      <c r="E437" s="63" t="s">
        <v>1698</v>
      </c>
      <c r="F437" s="150"/>
      <c r="G437" s="107"/>
      <c r="H437" s="95"/>
    </row>
    <row r="438" spans="1:8" x14ac:dyDescent="0.3">
      <c r="A438" s="161">
        <f>2</f>
        <v>2</v>
      </c>
      <c r="B438" s="107" t="s">
        <v>1628</v>
      </c>
      <c r="C438" s="111">
        <f>'04a_Box_Dims'!$AE24</f>
        <v>10</v>
      </c>
      <c r="D438" s="113"/>
      <c r="E438" s="63" t="s">
        <v>1699</v>
      </c>
      <c r="F438" s="150"/>
      <c r="G438" s="107"/>
      <c r="H438" s="95"/>
    </row>
    <row r="439" spans="1:8" x14ac:dyDescent="0.3">
      <c r="A439" s="161"/>
      <c r="B439" s="107"/>
      <c r="C439" s="111">
        <f>'04a_Box_Dims'!$E24</f>
        <v>2</v>
      </c>
      <c r="D439" s="113">
        <f>$A438*$C438*$C439</f>
        <v>40</v>
      </c>
      <c r="E439" s="63"/>
      <c r="F439" s="150"/>
      <c r="G439" s="107"/>
      <c r="H439" s="95"/>
    </row>
    <row r="440" spans="1:8" x14ac:dyDescent="0.3">
      <c r="A440" s="161">
        <f>('04a_Box_Dims'!$C24-1)*2</f>
        <v>4</v>
      </c>
      <c r="B440" s="107" t="s">
        <v>1628</v>
      </c>
      <c r="C440" s="111">
        <f>'04a_Box_Dims'!$AE24</f>
        <v>10</v>
      </c>
      <c r="D440" s="113"/>
      <c r="E440" s="63" t="s">
        <v>1700</v>
      </c>
      <c r="F440" s="150"/>
      <c r="G440" s="107"/>
      <c r="H440" s="95"/>
    </row>
    <row r="441" spans="1:8" x14ac:dyDescent="0.3">
      <c r="A441" s="161"/>
      <c r="B441" s="107"/>
      <c r="C441" s="111">
        <f>'04a_Box_Dims'!$E24</f>
        <v>2</v>
      </c>
      <c r="D441" s="113">
        <f>$A440*$C440*$C441</f>
        <v>80</v>
      </c>
      <c r="E441" s="63"/>
      <c r="F441" s="150"/>
      <c r="G441" s="107"/>
      <c r="H441" s="95"/>
    </row>
    <row r="442" spans="1:8" x14ac:dyDescent="0.3">
      <c r="A442" s="161">
        <f>4</f>
        <v>4</v>
      </c>
      <c r="B442" s="107" t="s">
        <v>1628</v>
      </c>
      <c r="C442" s="111">
        <f>'04a_Box_Dims'!$Z24</f>
        <v>2.1213203435596424</v>
      </c>
      <c r="D442" s="113"/>
      <c r="E442" s="63" t="s">
        <v>1701</v>
      </c>
      <c r="F442" s="150"/>
      <c r="G442" s="107"/>
      <c r="H442" s="95"/>
    </row>
    <row r="443" spans="1:8" x14ac:dyDescent="0.3">
      <c r="A443" s="161"/>
      <c r="B443" s="107"/>
      <c r="C443" s="111">
        <f>'04a_Box_Dims'!$Y24</f>
        <v>2.9928932188134527</v>
      </c>
      <c r="D443" s="113">
        <f>$A442*$C442*$C443</f>
        <v>25.395541084682709</v>
      </c>
      <c r="E443" s="63"/>
      <c r="F443" s="150"/>
      <c r="G443" s="107"/>
      <c r="H443" s="95"/>
    </row>
    <row r="444" spans="1:8" x14ac:dyDescent="0.3">
      <c r="A444" s="161"/>
      <c r="B444" s="107"/>
      <c r="C444" s="111"/>
      <c r="D444" s="113">
        <f>SUM($D$438:$D$443)</f>
        <v>145.39554108468272</v>
      </c>
      <c r="E444" s="63" t="s">
        <v>1660</v>
      </c>
      <c r="F444" s="150">
        <f>ROUND($D444,2)</f>
        <v>145.4</v>
      </c>
      <c r="G444" s="107" t="s">
        <v>1688</v>
      </c>
      <c r="H444" s="95"/>
    </row>
    <row r="445" spans="1:8" x14ac:dyDescent="0.3">
      <c r="A445" s="161"/>
      <c r="B445" s="107"/>
      <c r="C445" s="111"/>
      <c r="D445" s="113"/>
      <c r="E445" s="63"/>
      <c r="F445" s="150"/>
      <c r="G445" s="107"/>
      <c r="H445" s="95"/>
    </row>
    <row r="446" spans="1:8" x14ac:dyDescent="0.3">
      <c r="A446" s="161"/>
      <c r="B446" s="107"/>
      <c r="C446" s="111"/>
      <c r="D446" s="113"/>
      <c r="E446" s="149" t="s">
        <v>1702</v>
      </c>
      <c r="F446" s="150"/>
      <c r="G446" s="107"/>
      <c r="H446" s="95"/>
    </row>
    <row r="447" spans="1:8" x14ac:dyDescent="0.3">
      <c r="A447" s="161"/>
      <c r="B447" s="107"/>
      <c r="C447" s="111"/>
      <c r="D447" s="113"/>
      <c r="E447" s="63" t="s">
        <v>1703</v>
      </c>
      <c r="F447" s="150"/>
      <c r="G447" s="107"/>
      <c r="H447" s="95"/>
    </row>
    <row r="448" spans="1:8" x14ac:dyDescent="0.3">
      <c r="A448" s="161"/>
      <c r="B448" s="107"/>
      <c r="C448" s="111"/>
      <c r="D448" s="113">
        <v>0</v>
      </c>
      <c r="E448" s="63" t="s">
        <v>1704</v>
      </c>
      <c r="F448" s="150">
        <f t="shared" ref="F448:F453" si="2">ROUND($D448,3)</f>
        <v>0</v>
      </c>
      <c r="G448" s="107" t="s">
        <v>1474</v>
      </c>
      <c r="H448" s="95"/>
    </row>
    <row r="449" spans="1:8" x14ac:dyDescent="0.3">
      <c r="A449" s="161"/>
      <c r="B449" s="107"/>
      <c r="C449" s="111"/>
      <c r="D449" s="113">
        <f>'04b_Box_Bars'!$S11/1000</f>
        <v>1.2577366188646735</v>
      </c>
      <c r="E449" s="63" t="s">
        <v>1705</v>
      </c>
      <c r="F449" s="150">
        <f t="shared" si="2"/>
        <v>1.258</v>
      </c>
      <c r="G449" s="107" t="s">
        <v>1474</v>
      </c>
      <c r="H449" s="95"/>
    </row>
    <row r="450" spans="1:8" x14ac:dyDescent="0.3">
      <c r="A450" s="161"/>
      <c r="B450" s="107"/>
      <c r="C450" s="111"/>
      <c r="D450" s="113">
        <f>'04b_Box_Bars'!$T11/1000</f>
        <v>4.6440915502902698</v>
      </c>
      <c r="E450" s="63" t="s">
        <v>1706</v>
      </c>
      <c r="F450" s="150">
        <f t="shared" si="2"/>
        <v>4.6440000000000001</v>
      </c>
      <c r="G450" s="107" t="s">
        <v>1474</v>
      </c>
      <c r="H450" s="95"/>
    </row>
    <row r="451" spans="1:8" x14ac:dyDescent="0.3">
      <c r="A451" s="161"/>
      <c r="B451" s="107"/>
      <c r="C451" s="111"/>
      <c r="D451" s="113">
        <f>'04b_Box_Bars'!$U11/1000</f>
        <v>0.52274493260295518</v>
      </c>
      <c r="E451" s="63" t="s">
        <v>1707</v>
      </c>
      <c r="F451" s="150">
        <f t="shared" si="2"/>
        <v>0.52300000000000002</v>
      </c>
      <c r="G451" s="107" t="s">
        <v>1474</v>
      </c>
      <c r="H451" s="95"/>
    </row>
    <row r="452" spans="1:8" x14ac:dyDescent="0.3">
      <c r="A452" s="161"/>
      <c r="B452" s="107"/>
      <c r="C452" s="111"/>
      <c r="D452" s="113">
        <f>'04b_Box_Bars'!$V11/1000</f>
        <v>0</v>
      </c>
      <c r="E452" s="63" t="s">
        <v>1708</v>
      </c>
      <c r="F452" s="150">
        <f t="shared" si="2"/>
        <v>0</v>
      </c>
      <c r="G452" s="107" t="s">
        <v>1474</v>
      </c>
      <c r="H452" s="95"/>
    </row>
    <row r="453" spans="1:8" x14ac:dyDescent="0.3">
      <c r="A453" s="161"/>
      <c r="B453" s="107"/>
      <c r="C453" s="111"/>
      <c r="D453" s="113">
        <f>'04b_Box_Bars'!$W11/1000</f>
        <v>0</v>
      </c>
      <c r="E453" s="63" t="s">
        <v>1709</v>
      </c>
      <c r="F453" s="150">
        <f t="shared" si="2"/>
        <v>0</v>
      </c>
      <c r="G453" s="107" t="s">
        <v>1474</v>
      </c>
      <c r="H453" s="95"/>
    </row>
    <row r="454" spans="1:8" x14ac:dyDescent="0.3">
      <c r="A454" s="161"/>
      <c r="B454" s="107"/>
      <c r="C454" s="111"/>
      <c r="D454" s="113"/>
      <c r="E454" s="63"/>
      <c r="F454" s="150"/>
      <c r="G454" s="107"/>
      <c r="H454" s="95"/>
    </row>
    <row r="455" spans="1:8" x14ac:dyDescent="0.3">
      <c r="A455" s="161"/>
      <c r="B455" s="107"/>
      <c r="C455" s="111"/>
      <c r="D455" s="113"/>
      <c r="E455" s="63"/>
      <c r="F455" s="150"/>
      <c r="G455" s="107"/>
      <c r="H455" s="95"/>
    </row>
    <row r="456" spans="1:8" x14ac:dyDescent="0.3">
      <c r="A456" s="160" t="str">
        <f>'04a_Box_Dims'!$F25&amp;"  No.  "&amp;'04a_Box_Dims'!$A25&amp;"   (L = "&amp;TEXT('04a_Box_Dims'!$AE25,"0.00")&amp;" m)"</f>
        <v>0  No.  4/2x2 box culvert   (L = 10.00 m)</v>
      </c>
      <c r="B456" s="146"/>
      <c r="C456" s="162"/>
      <c r="D456" s="163"/>
      <c r="E456" s="147"/>
      <c r="F456" s="148"/>
      <c r="G456" s="146"/>
      <c r="H456" s="151"/>
    </row>
    <row r="457" spans="1:8" x14ac:dyDescent="0.3">
      <c r="A457" s="161"/>
      <c r="B457" s="107"/>
      <c r="C457" s="111"/>
      <c r="D457" s="113"/>
      <c r="E457" s="149" t="s">
        <v>1438</v>
      </c>
      <c r="F457" s="150"/>
      <c r="G457" s="107"/>
      <c r="H457" s="95"/>
    </row>
    <row r="458" spans="1:8" x14ac:dyDescent="0.3">
      <c r="A458" s="161"/>
      <c r="B458" s="107"/>
      <c r="C458" s="111"/>
      <c r="D458" s="113"/>
      <c r="E458" s="63" t="s">
        <v>1655</v>
      </c>
      <c r="F458" s="150"/>
      <c r="G458" s="107"/>
      <c r="H458" s="95"/>
    </row>
    <row r="459" spans="1:8" x14ac:dyDescent="0.3">
      <c r="A459" s="161">
        <f>1</f>
        <v>1</v>
      </c>
      <c r="B459" s="107" t="s">
        <v>1628</v>
      </c>
      <c r="C459" s="111">
        <f>'04a_Box_Dims'!$AE25</f>
        <v>10</v>
      </c>
      <c r="D459" s="113"/>
      <c r="E459" s="63" t="s">
        <v>1656</v>
      </c>
      <c r="F459" s="150"/>
      <c r="G459" s="107"/>
      <c r="H459" s="95"/>
    </row>
    <row r="460" spans="1:8" x14ac:dyDescent="0.3">
      <c r="A460" s="161"/>
      <c r="B460" s="107"/>
      <c r="C460" s="111">
        <f>'04a_Box_Dims'!$J25+2*BX_work</f>
        <v>9.85</v>
      </c>
      <c r="D460" s="113"/>
      <c r="E460" s="63"/>
      <c r="F460" s="150"/>
      <c r="G460" s="107"/>
      <c r="H460" s="95"/>
    </row>
    <row r="461" spans="1:8" x14ac:dyDescent="0.3">
      <c r="A461" s="161"/>
      <c r="B461" s="107"/>
      <c r="C461" s="111">
        <f>'04a_Box_Dims'!$L25+BX_blind+BX_exX</f>
        <v>2.6999999999999997</v>
      </c>
      <c r="D461" s="113">
        <f>$A459*$C459*$C460*$C461</f>
        <v>265.95</v>
      </c>
      <c r="E461" s="63"/>
      <c r="F461" s="150"/>
      <c r="G461" s="107"/>
      <c r="H461" s="95"/>
    </row>
    <row r="462" spans="1:8" x14ac:dyDescent="0.3">
      <c r="A462" s="161">
        <f>2</f>
        <v>2</v>
      </c>
      <c r="B462" s="107" t="s">
        <v>1628</v>
      </c>
      <c r="C462" s="111">
        <f>'04a_Box_Dims'!$O25</f>
        <v>1.5</v>
      </c>
      <c r="D462" s="113"/>
      <c r="E462" s="63" t="s">
        <v>1657</v>
      </c>
      <c r="F462" s="150"/>
      <c r="G462" s="107"/>
      <c r="H462" s="95"/>
    </row>
    <row r="463" spans="1:8" x14ac:dyDescent="0.3">
      <c r="A463" s="161"/>
      <c r="B463" s="107"/>
      <c r="C463" s="111">
        <f>'04a_Box_Dims'!$Q25</f>
        <v>10.75</v>
      </c>
      <c r="D463" s="113"/>
      <c r="E463" s="63"/>
      <c r="F463" s="150"/>
      <c r="G463" s="107"/>
      <c r="H463" s="95"/>
    </row>
    <row r="464" spans="1:8" x14ac:dyDescent="0.3">
      <c r="A464" s="161"/>
      <c r="B464" s="107"/>
      <c r="C464" s="111">
        <f>'04a_Box_Dims'!$P25+BX_blind+BX_exX</f>
        <v>0.44999999999999996</v>
      </c>
      <c r="D464" s="113">
        <f>$A462*$C462*$C463*$C464</f>
        <v>14.512499999999999</v>
      </c>
      <c r="E464" s="63"/>
      <c r="F464" s="150"/>
      <c r="G464" s="107"/>
      <c r="H464" s="95"/>
    </row>
    <row r="465" spans="1:8" x14ac:dyDescent="0.3">
      <c r="A465" s="161">
        <f>2</f>
        <v>2</v>
      </c>
      <c r="B465" s="107" t="s">
        <v>1628</v>
      </c>
      <c r="C465" s="111">
        <f>'04a_Box_Dims'!$R25</f>
        <v>9.25</v>
      </c>
      <c r="D465" s="113"/>
      <c r="E465" s="63" t="s">
        <v>1658</v>
      </c>
      <c r="F465" s="150"/>
      <c r="G465" s="107"/>
      <c r="H465" s="95"/>
    </row>
    <row r="466" spans="1:8" x14ac:dyDescent="0.3">
      <c r="A466" s="161"/>
      <c r="B466" s="107"/>
      <c r="C466" s="111">
        <f>'04a_Box_Dims'!$S25</f>
        <v>0.2</v>
      </c>
      <c r="D466" s="113"/>
      <c r="E466" s="63"/>
      <c r="F466" s="150"/>
      <c r="G466" s="107"/>
      <c r="H466" s="95"/>
    </row>
    <row r="467" spans="1:8" x14ac:dyDescent="0.3">
      <c r="A467" s="161"/>
      <c r="B467" s="107"/>
      <c r="C467" s="111">
        <f>'04a_Box_Dims'!$T25+BX_blind</f>
        <v>0.5</v>
      </c>
      <c r="D467" s="113">
        <f>$A465*$C465*$C466*$C467</f>
        <v>1.85</v>
      </c>
      <c r="E467" s="63"/>
      <c r="F467" s="150"/>
      <c r="G467" s="107"/>
      <c r="H467" s="95"/>
    </row>
    <row r="468" spans="1:8" x14ac:dyDescent="0.3">
      <c r="A468" s="161">
        <f>4</f>
        <v>4</v>
      </c>
      <c r="B468" s="107" t="s">
        <v>1628</v>
      </c>
      <c r="C468" s="111">
        <f>'04a_Box_Dims'!$Z25</f>
        <v>2.1213203435596424</v>
      </c>
      <c r="D468" s="113"/>
      <c r="E468" s="63" t="s">
        <v>1659</v>
      </c>
      <c r="F468" s="150"/>
      <c r="G468" s="107"/>
      <c r="H468" s="95"/>
    </row>
    <row r="469" spans="1:8" x14ac:dyDescent="0.3">
      <c r="A469" s="161"/>
      <c r="B469" s="107"/>
      <c r="C469" s="111">
        <f>'04a_Box_Dims'!$AC25</f>
        <v>0.81400000000000006</v>
      </c>
      <c r="D469" s="113"/>
      <c r="E469" s="63"/>
      <c r="F469" s="150"/>
      <c r="G469" s="107"/>
      <c r="H469" s="95"/>
    </row>
    <row r="470" spans="1:8" x14ac:dyDescent="0.3">
      <c r="A470" s="161"/>
      <c r="B470" s="107"/>
      <c r="C470" s="111">
        <f>'04a_Box_Dims'!$AD25+BX_blind</f>
        <v>0.35</v>
      </c>
      <c r="D470" s="113">
        <f>$A468*$C468*$C469*$C470</f>
        <v>2.4174566635205683</v>
      </c>
      <c r="E470" s="63"/>
      <c r="F470" s="150"/>
      <c r="G470" s="107"/>
      <c r="H470" s="95"/>
    </row>
    <row r="471" spans="1:8" x14ac:dyDescent="0.3">
      <c r="A471" s="161"/>
      <c r="B471" s="107"/>
      <c r="C471" s="111"/>
      <c r="D471" s="113">
        <f>SUM($D$459:$D$470)</f>
        <v>284.72995666352057</v>
      </c>
      <c r="E471" s="63" t="s">
        <v>1660</v>
      </c>
      <c r="F471" s="150">
        <f>ROUND($D471,0)</f>
        <v>285</v>
      </c>
      <c r="G471" s="107" t="s">
        <v>1661</v>
      </c>
      <c r="H471" s="95"/>
    </row>
    <row r="472" spans="1:8" x14ac:dyDescent="0.3">
      <c r="A472" s="161"/>
      <c r="B472" s="107"/>
      <c r="C472" s="111"/>
      <c r="D472" s="113"/>
      <c r="E472" s="63"/>
      <c r="F472" s="150"/>
      <c r="G472" s="107"/>
      <c r="H472" s="95"/>
    </row>
    <row r="473" spans="1:8" x14ac:dyDescent="0.3">
      <c r="A473" s="161"/>
      <c r="B473" s="107"/>
      <c r="C473" s="111"/>
      <c r="D473" s="113"/>
      <c r="E473" s="149" t="s">
        <v>1323</v>
      </c>
      <c r="F473" s="150"/>
      <c r="G473" s="107"/>
      <c r="H473" s="95"/>
    </row>
    <row r="474" spans="1:8" x14ac:dyDescent="0.3">
      <c r="A474" s="161"/>
      <c r="B474" s="107"/>
      <c r="C474" s="111"/>
      <c r="D474" s="113"/>
      <c r="E474" s="63" t="s">
        <v>1662</v>
      </c>
      <c r="F474" s="150"/>
      <c r="G474" s="107"/>
      <c r="H474" s="95"/>
    </row>
    <row r="475" spans="1:8" x14ac:dyDescent="0.3">
      <c r="A475" s="161">
        <f>1</f>
        <v>1</v>
      </c>
      <c r="B475" s="107" t="s">
        <v>1628</v>
      </c>
      <c r="C475" s="111">
        <f>'04a_Box_Dims'!$AE25</f>
        <v>10</v>
      </c>
      <c r="D475" s="113"/>
      <c r="E475" s="63" t="s">
        <v>1663</v>
      </c>
      <c r="F475" s="150"/>
      <c r="G475" s="107"/>
      <c r="H475" s="95"/>
    </row>
    <row r="476" spans="1:8" x14ac:dyDescent="0.3">
      <c r="A476" s="161"/>
      <c r="B476" s="107"/>
      <c r="C476" s="111">
        <f>'04a_Box_Dims'!$J25</f>
        <v>9.25</v>
      </c>
      <c r="D476" s="113"/>
      <c r="E476" s="63"/>
      <c r="F476" s="150"/>
      <c r="G476" s="107"/>
      <c r="H476" s="95"/>
    </row>
    <row r="477" spans="1:8" x14ac:dyDescent="0.3">
      <c r="A477" s="161"/>
      <c r="B477" s="107"/>
      <c r="C477" s="111">
        <f>BX_blind</f>
        <v>0.05</v>
      </c>
      <c r="D477" s="113">
        <f>$A475*$C475*$C476*$C477</f>
        <v>4.625</v>
      </c>
      <c r="E477" s="63"/>
      <c r="F477" s="150"/>
      <c r="G477" s="107"/>
      <c r="H477" s="95"/>
    </row>
    <row r="478" spans="1:8" x14ac:dyDescent="0.3">
      <c r="A478" s="161">
        <f>2</f>
        <v>2</v>
      </c>
      <c r="B478" s="107" t="s">
        <v>1628</v>
      </c>
      <c r="C478" s="111">
        <f>'04a_Box_Dims'!$O25</f>
        <v>1.5</v>
      </c>
      <c r="D478" s="113"/>
      <c r="E478" s="63" t="s">
        <v>1657</v>
      </c>
      <c r="F478" s="150"/>
      <c r="G478" s="107"/>
      <c r="H478" s="95"/>
    </row>
    <row r="479" spans="1:8" x14ac:dyDescent="0.3">
      <c r="A479" s="161"/>
      <c r="B479" s="107"/>
      <c r="C479" s="111">
        <f>'04a_Box_Dims'!$Q25</f>
        <v>10.75</v>
      </c>
      <c r="D479" s="113"/>
      <c r="E479" s="63"/>
      <c r="F479" s="150"/>
      <c r="G479" s="107"/>
      <c r="H479" s="95"/>
    </row>
    <row r="480" spans="1:8" x14ac:dyDescent="0.3">
      <c r="A480" s="161"/>
      <c r="B480" s="107"/>
      <c r="C480" s="111">
        <f>BX_blind</f>
        <v>0.05</v>
      </c>
      <c r="D480" s="113">
        <f>$A478*$C478*$C479*$C480</f>
        <v>1.6125</v>
      </c>
      <c r="E480" s="63"/>
      <c r="F480" s="150"/>
      <c r="G480" s="107"/>
      <c r="H480" s="95"/>
    </row>
    <row r="481" spans="1:8" x14ac:dyDescent="0.3">
      <c r="A481" s="161">
        <f>2</f>
        <v>2</v>
      </c>
      <c r="B481" s="107" t="s">
        <v>1628</v>
      </c>
      <c r="C481" s="111">
        <f>'04a_Box_Dims'!$R25</f>
        <v>9.25</v>
      </c>
      <c r="D481" s="113"/>
      <c r="E481" s="63" t="s">
        <v>1658</v>
      </c>
      <c r="F481" s="150"/>
      <c r="G481" s="107"/>
      <c r="H481" s="95"/>
    </row>
    <row r="482" spans="1:8" x14ac:dyDescent="0.3">
      <c r="A482" s="161"/>
      <c r="B482" s="107"/>
      <c r="C482" s="111">
        <f>'04a_Box_Dims'!$S25</f>
        <v>0.2</v>
      </c>
      <c r="D482" s="113"/>
      <c r="E482" s="63"/>
      <c r="F482" s="150"/>
      <c r="G482" s="107"/>
      <c r="H482" s="95"/>
    </row>
    <row r="483" spans="1:8" x14ac:dyDescent="0.3">
      <c r="A483" s="161"/>
      <c r="B483" s="107"/>
      <c r="C483" s="111">
        <f>BX_blind</f>
        <v>0.05</v>
      </c>
      <c r="D483" s="113">
        <f>$A481*$C481*$C482*$C483</f>
        <v>0.18500000000000003</v>
      </c>
      <c r="E483" s="63"/>
      <c r="F483" s="150"/>
      <c r="G483" s="107"/>
      <c r="H483" s="95"/>
    </row>
    <row r="484" spans="1:8" x14ac:dyDescent="0.3">
      <c r="A484" s="161">
        <f>4</f>
        <v>4</v>
      </c>
      <c r="B484" s="107" t="s">
        <v>1628</v>
      </c>
      <c r="C484" s="111">
        <f>'04a_Box_Dims'!$Z25</f>
        <v>2.1213203435596424</v>
      </c>
      <c r="D484" s="113"/>
      <c r="E484" s="63" t="s">
        <v>1659</v>
      </c>
      <c r="F484" s="150"/>
      <c r="G484" s="107"/>
      <c r="H484" s="95"/>
    </row>
    <row r="485" spans="1:8" x14ac:dyDescent="0.3">
      <c r="A485" s="161"/>
      <c r="B485" s="107"/>
      <c r="C485" s="111">
        <f>'04a_Box_Dims'!$AC25</f>
        <v>0.81400000000000006</v>
      </c>
      <c r="D485" s="113"/>
      <c r="E485" s="63"/>
      <c r="F485" s="150"/>
      <c r="G485" s="107"/>
      <c r="H485" s="95"/>
    </row>
    <row r="486" spans="1:8" x14ac:dyDescent="0.3">
      <c r="A486" s="161"/>
      <c r="B486" s="107"/>
      <c r="C486" s="111">
        <f>BX_blind</f>
        <v>0.05</v>
      </c>
      <c r="D486" s="113">
        <f>$A484*$C484*$C485*$C486</f>
        <v>0.34535095193150983</v>
      </c>
      <c r="E486" s="63"/>
      <c r="F486" s="150"/>
      <c r="G486" s="107"/>
      <c r="H486" s="95"/>
    </row>
    <row r="487" spans="1:8" x14ac:dyDescent="0.3">
      <c r="A487" s="161"/>
      <c r="B487" s="107"/>
      <c r="C487" s="111"/>
      <c r="D487" s="113">
        <f>SUM($D$475:$D$486)</f>
        <v>6.7678509519315089</v>
      </c>
      <c r="E487" s="63" t="s">
        <v>1660</v>
      </c>
      <c r="F487" s="150">
        <f>ROUND($D487,2)</f>
        <v>6.77</v>
      </c>
      <c r="G487" s="107" t="s">
        <v>1661</v>
      </c>
      <c r="H487" s="95"/>
    </row>
    <row r="488" spans="1:8" x14ac:dyDescent="0.3">
      <c r="A488" s="161"/>
      <c r="B488" s="107"/>
      <c r="C488" s="111"/>
      <c r="D488" s="113"/>
      <c r="E488" s="63"/>
      <c r="F488" s="150"/>
      <c r="G488" s="107"/>
      <c r="H488" s="95"/>
    </row>
    <row r="489" spans="1:8" x14ac:dyDescent="0.3">
      <c r="A489" s="161"/>
      <c r="B489" s="107"/>
      <c r="C489" s="111"/>
      <c r="D489" s="113"/>
      <c r="E489" s="149" t="s">
        <v>1324</v>
      </c>
      <c r="F489" s="150"/>
      <c r="G489" s="107"/>
      <c r="H489" s="95"/>
    </row>
    <row r="490" spans="1:8" x14ac:dyDescent="0.3">
      <c r="A490" s="161"/>
      <c r="B490" s="107"/>
      <c r="C490" s="111"/>
      <c r="D490" s="113"/>
      <c r="E490" s="63" t="s">
        <v>1664</v>
      </c>
      <c r="F490" s="150"/>
      <c r="G490" s="107"/>
      <c r="H490" s="95"/>
    </row>
    <row r="491" spans="1:8" x14ac:dyDescent="0.3">
      <c r="A491" s="161"/>
      <c r="B491" s="107"/>
      <c r="C491" s="111"/>
      <c r="D491" s="113">
        <f>$D487</f>
        <v>6.7678509519315089</v>
      </c>
      <c r="E491" s="63" t="s">
        <v>1665</v>
      </c>
      <c r="F491" s="150">
        <f>$F487</f>
        <v>6.77</v>
      </c>
      <c r="G491" s="107" t="s">
        <v>1661</v>
      </c>
      <c r="H491" s="95"/>
    </row>
    <row r="492" spans="1:8" x14ac:dyDescent="0.3">
      <c r="A492" s="161"/>
      <c r="B492" s="107"/>
      <c r="C492" s="111"/>
      <c r="D492" s="113"/>
      <c r="E492" s="63"/>
      <c r="F492" s="150"/>
      <c r="G492" s="107"/>
      <c r="H492" s="95"/>
    </row>
    <row r="493" spans="1:8" x14ac:dyDescent="0.3">
      <c r="A493" s="161"/>
      <c r="B493" s="107"/>
      <c r="C493" s="111"/>
      <c r="D493" s="113"/>
      <c r="E493" s="149" t="s">
        <v>1455</v>
      </c>
      <c r="F493" s="150"/>
      <c r="G493" s="107"/>
      <c r="H493" s="95"/>
    </row>
    <row r="494" spans="1:8" x14ac:dyDescent="0.3">
      <c r="A494" s="161"/>
      <c r="B494" s="107"/>
      <c r="C494" s="111"/>
      <c r="D494" s="113"/>
      <c r="E494" s="63" t="s">
        <v>1666</v>
      </c>
      <c r="F494" s="150"/>
      <c r="G494" s="107"/>
      <c r="H494" s="95"/>
    </row>
    <row r="495" spans="1:8" x14ac:dyDescent="0.3">
      <c r="A495" s="161">
        <f>1</f>
        <v>1</v>
      </c>
      <c r="B495" s="107" t="s">
        <v>1628</v>
      </c>
      <c r="C495" s="111">
        <f>'04a_Box_Dims'!$AE25</f>
        <v>10</v>
      </c>
      <c r="D495" s="113"/>
      <c r="E495" s="63" t="s">
        <v>1667</v>
      </c>
      <c r="F495" s="150"/>
      <c r="G495" s="107"/>
      <c r="H495" s="95"/>
    </row>
    <row r="496" spans="1:8" x14ac:dyDescent="0.3">
      <c r="A496" s="161"/>
      <c r="B496" s="107"/>
      <c r="C496" s="111">
        <f>'04a_Box_Dims'!$J25</f>
        <v>9.25</v>
      </c>
      <c r="D496" s="113"/>
      <c r="E496" s="63"/>
      <c r="F496" s="150"/>
      <c r="G496" s="107"/>
      <c r="H496" s="95"/>
    </row>
    <row r="497" spans="1:8" x14ac:dyDescent="0.3">
      <c r="A497" s="161"/>
      <c r="B497" s="107"/>
      <c r="C497" s="111">
        <f>'04a_Box_Dims'!$I25</f>
        <v>0.25</v>
      </c>
      <c r="D497" s="113">
        <f>$A495*$C495*$C496*$C497</f>
        <v>23.125</v>
      </c>
      <c r="E497" s="63"/>
      <c r="F497" s="150"/>
      <c r="G497" s="107"/>
      <c r="H497" s="95">
        <f>'04a_Box_Dims'!$I25</f>
        <v>0.25</v>
      </c>
    </row>
    <row r="498" spans="1:8" x14ac:dyDescent="0.3">
      <c r="A498" s="161">
        <f>2</f>
        <v>2</v>
      </c>
      <c r="B498" s="107" t="s">
        <v>1628</v>
      </c>
      <c r="C498" s="111">
        <f>'04a_Box_Dims'!$O25</f>
        <v>1.5</v>
      </c>
      <c r="D498" s="113"/>
      <c r="E498" s="63" t="s">
        <v>1657</v>
      </c>
      <c r="F498" s="150"/>
      <c r="G498" s="107"/>
      <c r="H498" s="95"/>
    </row>
    <row r="499" spans="1:8" x14ac:dyDescent="0.3">
      <c r="A499" s="161"/>
      <c r="B499" s="107"/>
      <c r="C499" s="111">
        <f>'04a_Box_Dims'!$Q25</f>
        <v>10.75</v>
      </c>
      <c r="D499" s="113"/>
      <c r="E499" s="63"/>
      <c r="F499" s="150"/>
      <c r="G499" s="107"/>
      <c r="H499" s="95"/>
    </row>
    <row r="500" spans="1:8" x14ac:dyDescent="0.3">
      <c r="A500" s="161"/>
      <c r="B500" s="107"/>
      <c r="C500" s="111">
        <f>'04a_Box_Dims'!$P25</f>
        <v>0.25</v>
      </c>
      <c r="D500" s="113">
        <f>$A498*$C498*$C499*$C500</f>
        <v>8.0625</v>
      </c>
      <c r="E500" s="63"/>
      <c r="F500" s="150"/>
      <c r="G500" s="107"/>
      <c r="H500" s="95">
        <f>'04a_Box_Dims'!$P25</f>
        <v>0.25</v>
      </c>
    </row>
    <row r="501" spans="1:8" x14ac:dyDescent="0.3">
      <c r="A501" s="161">
        <f>2</f>
        <v>2</v>
      </c>
      <c r="B501" s="107" t="s">
        <v>1628</v>
      </c>
      <c r="C501" s="111">
        <f>'04a_Box_Dims'!$R25</f>
        <v>9.25</v>
      </c>
      <c r="D501" s="113"/>
      <c r="E501" s="63" t="s">
        <v>1658</v>
      </c>
      <c r="F501" s="150"/>
      <c r="G501" s="107"/>
      <c r="H501" s="95"/>
    </row>
    <row r="502" spans="1:8" x14ac:dyDescent="0.3">
      <c r="A502" s="161"/>
      <c r="B502" s="107"/>
      <c r="C502" s="111">
        <f>'04a_Box_Dims'!$S25</f>
        <v>0.2</v>
      </c>
      <c r="D502" s="113"/>
      <c r="E502" s="63"/>
      <c r="F502" s="150"/>
      <c r="G502" s="107"/>
      <c r="H502" s="95"/>
    </row>
    <row r="503" spans="1:8" x14ac:dyDescent="0.3">
      <c r="A503" s="161"/>
      <c r="B503" s="107"/>
      <c r="C503" s="111">
        <f>'04a_Box_Dims'!$T25</f>
        <v>0.45</v>
      </c>
      <c r="D503" s="113">
        <f>$A501*$C501*$C502*$C503</f>
        <v>1.665</v>
      </c>
      <c r="E503" s="63"/>
      <c r="F503" s="150"/>
      <c r="G503" s="107"/>
      <c r="H503" s="95">
        <f>'04a_Box_Dims'!$S25</f>
        <v>0.2</v>
      </c>
    </row>
    <row r="504" spans="1:8" x14ac:dyDescent="0.3">
      <c r="A504" s="161">
        <f>4</f>
        <v>4</v>
      </c>
      <c r="B504" s="107" t="s">
        <v>1628</v>
      </c>
      <c r="C504" s="111">
        <f>'04a_Box_Dims'!$Z25</f>
        <v>2.1213203435596424</v>
      </c>
      <c r="D504" s="113"/>
      <c r="E504" s="63" t="s">
        <v>1659</v>
      </c>
      <c r="F504" s="150"/>
      <c r="G504" s="107"/>
      <c r="H504" s="95"/>
    </row>
    <row r="505" spans="1:8" x14ac:dyDescent="0.3">
      <c r="A505" s="161"/>
      <c r="B505" s="107"/>
      <c r="C505" s="111">
        <f>'04a_Box_Dims'!$AC25</f>
        <v>0.81400000000000006</v>
      </c>
      <c r="D505" s="113"/>
      <c r="E505" s="63"/>
      <c r="F505" s="150"/>
      <c r="G505" s="107"/>
      <c r="H505" s="95"/>
    </row>
    <row r="506" spans="1:8" x14ac:dyDescent="0.3">
      <c r="A506" s="161"/>
      <c r="B506" s="107"/>
      <c r="C506" s="111">
        <f>'04a_Box_Dims'!$AD25</f>
        <v>0.3</v>
      </c>
      <c r="D506" s="113">
        <f>$A504*$C504*$C505*$C506</f>
        <v>2.0721057115890589</v>
      </c>
      <c r="E506" s="63"/>
      <c r="F506" s="150"/>
      <c r="G506" s="107"/>
      <c r="H506" s="95">
        <f>'04a_Box_Dims'!$AD25</f>
        <v>0.3</v>
      </c>
    </row>
    <row r="507" spans="1:8" x14ac:dyDescent="0.3">
      <c r="A507" s="161"/>
      <c r="B507" s="107"/>
      <c r="C507" s="111"/>
      <c r="D507" s="113">
        <f>SUM($D$495:$D$506)</f>
        <v>34.924605711589059</v>
      </c>
      <c r="E507" s="63" t="s">
        <v>1660</v>
      </c>
      <c r="F507" s="150">
        <f>ROUND($D507,2)</f>
        <v>34.92</v>
      </c>
      <c r="G507" s="107" t="s">
        <v>1661</v>
      </c>
      <c r="H507" s="95"/>
    </row>
    <row r="508" spans="1:8" x14ac:dyDescent="0.3">
      <c r="A508" s="161"/>
      <c r="B508" s="107"/>
      <c r="C508" s="111"/>
      <c r="D508" s="113"/>
      <c r="E508" s="63"/>
      <c r="F508" s="150"/>
      <c r="G508" s="107"/>
      <c r="H508" s="95"/>
    </row>
    <row r="509" spans="1:8" x14ac:dyDescent="0.3">
      <c r="A509" s="161"/>
      <c r="B509" s="107"/>
      <c r="C509" s="111"/>
      <c r="D509" s="113"/>
      <c r="E509" s="149" t="s">
        <v>1668</v>
      </c>
      <c r="F509" s="150"/>
      <c r="G509" s="107"/>
      <c r="H509" s="95"/>
    </row>
    <row r="510" spans="1:8" x14ac:dyDescent="0.3">
      <c r="A510" s="161"/>
      <c r="B510" s="107"/>
      <c r="C510" s="111"/>
      <c r="D510" s="113"/>
      <c r="E510" s="63" t="s">
        <v>1669</v>
      </c>
      <c r="F510" s="150"/>
      <c r="G510" s="107"/>
      <c r="H510" s="95"/>
    </row>
    <row r="511" spans="1:8" x14ac:dyDescent="0.3">
      <c r="A511" s="161"/>
      <c r="B511" s="107"/>
      <c r="C511" s="111"/>
      <c r="D511" s="113">
        <f>SUMIF($H$495:$H$506,"&lt;=0.3",$D$495:$D$506)</f>
        <v>34.924605711589059</v>
      </c>
      <c r="E511" s="63" t="s">
        <v>1670</v>
      </c>
      <c r="F511" s="150">
        <f>ROUND($D511,2)</f>
        <v>34.92</v>
      </c>
      <c r="G511" s="107" t="s">
        <v>1661</v>
      </c>
      <c r="H511" s="95"/>
    </row>
    <row r="512" spans="1:8" x14ac:dyDescent="0.3">
      <c r="A512" s="161"/>
      <c r="B512" s="107"/>
      <c r="C512" s="111"/>
      <c r="D512" s="113">
        <f>SUMIF($H$495:$H$506,"&gt;0.3",$D$495:$D$506)</f>
        <v>0</v>
      </c>
      <c r="E512" s="63" t="s">
        <v>1671</v>
      </c>
      <c r="F512" s="150">
        <f>ROUND($D512,2)</f>
        <v>0</v>
      </c>
      <c r="G512" s="107" t="s">
        <v>1661</v>
      </c>
      <c r="H512" s="95"/>
    </row>
    <row r="513" spans="1:8" x14ac:dyDescent="0.3">
      <c r="A513" s="161"/>
      <c r="B513" s="107"/>
      <c r="C513" s="111"/>
      <c r="D513" s="113"/>
      <c r="E513" s="63"/>
      <c r="F513" s="150"/>
      <c r="G513" s="107"/>
      <c r="H513" s="95"/>
    </row>
    <row r="514" spans="1:8" x14ac:dyDescent="0.3">
      <c r="A514" s="161"/>
      <c r="B514" s="107"/>
      <c r="C514" s="111"/>
      <c r="D514" s="113"/>
      <c r="E514" s="149" t="s">
        <v>1455</v>
      </c>
      <c r="F514" s="150"/>
      <c r="G514" s="107"/>
      <c r="H514" s="95"/>
    </row>
    <row r="515" spans="1:8" x14ac:dyDescent="0.3">
      <c r="A515" s="161"/>
      <c r="B515" s="107"/>
      <c r="C515" s="111"/>
      <c r="D515" s="113"/>
      <c r="E515" s="63" t="s">
        <v>1672</v>
      </c>
      <c r="F515" s="150"/>
      <c r="G515" s="107"/>
      <c r="H515" s="95"/>
    </row>
    <row r="516" spans="1:8" x14ac:dyDescent="0.3">
      <c r="A516" s="161">
        <f>1</f>
        <v>1</v>
      </c>
      <c r="B516" s="107" t="s">
        <v>1628</v>
      </c>
      <c r="C516" s="111">
        <f>'04a_Box_Dims'!$AE25</f>
        <v>10</v>
      </c>
      <c r="D516" s="113"/>
      <c r="E516" s="63" t="s">
        <v>1673</v>
      </c>
      <c r="F516" s="150"/>
      <c r="G516" s="107"/>
      <c r="H516" s="95"/>
    </row>
    <row r="517" spans="1:8" x14ac:dyDescent="0.3">
      <c r="A517" s="161"/>
      <c r="B517" s="107"/>
      <c r="C517" s="111">
        <f>'04a_Box_Dims'!$J25</f>
        <v>9.25</v>
      </c>
      <c r="D517" s="113"/>
      <c r="E517" s="63"/>
      <c r="F517" s="150"/>
      <c r="G517" s="107"/>
      <c r="H517" s="95"/>
    </row>
    <row r="518" spans="1:8" x14ac:dyDescent="0.3">
      <c r="A518" s="161"/>
      <c r="B518" s="107"/>
      <c r="C518" s="111">
        <f>'04a_Box_Dims'!$I25</f>
        <v>0.25</v>
      </c>
      <c r="D518" s="113">
        <f>$A516*$C516*$C517*$C518</f>
        <v>23.125</v>
      </c>
      <c r="E518" s="63"/>
      <c r="F518" s="150"/>
      <c r="G518" s="107"/>
      <c r="H518" s="95">
        <f>'04a_Box_Dims'!$I25</f>
        <v>0.25</v>
      </c>
    </row>
    <row r="519" spans="1:8" x14ac:dyDescent="0.3">
      <c r="A519" s="161"/>
      <c r="B519" s="107"/>
      <c r="C519" s="111"/>
      <c r="D519" s="113">
        <f>SUM($D$516:$D$518)</f>
        <v>23.125</v>
      </c>
      <c r="E519" s="63" t="s">
        <v>1660</v>
      </c>
      <c r="F519" s="150">
        <f>ROUND($D519,2)</f>
        <v>23.13</v>
      </c>
      <c r="G519" s="107" t="s">
        <v>1661</v>
      </c>
      <c r="H519" s="95"/>
    </row>
    <row r="520" spans="1:8" x14ac:dyDescent="0.3">
      <c r="A520" s="161"/>
      <c r="B520" s="107"/>
      <c r="C520" s="111"/>
      <c r="D520" s="113"/>
      <c r="E520" s="63"/>
      <c r="F520" s="150"/>
      <c r="G520" s="107"/>
      <c r="H520" s="95"/>
    </row>
    <row r="521" spans="1:8" x14ac:dyDescent="0.3">
      <c r="A521" s="161"/>
      <c r="B521" s="107"/>
      <c r="C521" s="111"/>
      <c r="D521" s="113"/>
      <c r="E521" s="149" t="s">
        <v>1674</v>
      </c>
      <c r="F521" s="150"/>
      <c r="G521" s="107"/>
      <c r="H521" s="95"/>
    </row>
    <row r="522" spans="1:8" x14ac:dyDescent="0.3">
      <c r="A522" s="161"/>
      <c r="B522" s="107"/>
      <c r="C522" s="111"/>
      <c r="D522" s="113"/>
      <c r="E522" s="63" t="s">
        <v>1675</v>
      </c>
      <c r="F522" s="150"/>
      <c r="G522" s="107"/>
      <c r="H522" s="95"/>
    </row>
    <row r="523" spans="1:8" x14ac:dyDescent="0.3">
      <c r="A523" s="161"/>
      <c r="B523" s="107"/>
      <c r="C523" s="111"/>
      <c r="D523" s="113">
        <f>SUMIF($H$516:$H$518,"&lt;=0.3",$D$516:$D$518)</f>
        <v>23.125</v>
      </c>
      <c r="E523" s="63" t="s">
        <v>1670</v>
      </c>
      <c r="F523" s="150">
        <f>ROUND($D523,2)</f>
        <v>23.13</v>
      </c>
      <c r="G523" s="107" t="s">
        <v>1661</v>
      </c>
      <c r="H523" s="95"/>
    </row>
    <row r="524" spans="1:8" x14ac:dyDescent="0.3">
      <c r="A524" s="161"/>
      <c r="B524" s="107"/>
      <c r="C524" s="111"/>
      <c r="D524" s="113">
        <f>SUMIF($H$516:$H$518,"&gt;0.3",$D$516:$D$518)</f>
        <v>0</v>
      </c>
      <c r="E524" s="63" t="s">
        <v>1671</v>
      </c>
      <c r="F524" s="150">
        <f>ROUND($D524,2)</f>
        <v>0</v>
      </c>
      <c r="G524" s="107" t="s">
        <v>1661</v>
      </c>
      <c r="H524" s="95"/>
    </row>
    <row r="525" spans="1:8" x14ac:dyDescent="0.3">
      <c r="A525" s="161"/>
      <c r="B525" s="107"/>
      <c r="C525" s="111"/>
      <c r="D525" s="113"/>
      <c r="E525" s="63"/>
      <c r="F525" s="150"/>
      <c r="G525" s="107"/>
      <c r="H525" s="95"/>
    </row>
    <row r="526" spans="1:8" x14ac:dyDescent="0.3">
      <c r="A526" s="161"/>
      <c r="B526" s="107"/>
      <c r="C526" s="111"/>
      <c r="D526" s="113"/>
      <c r="E526" s="149" t="s">
        <v>1455</v>
      </c>
      <c r="F526" s="150"/>
      <c r="G526" s="107"/>
      <c r="H526" s="95"/>
    </row>
    <row r="527" spans="1:8" x14ac:dyDescent="0.3">
      <c r="A527" s="161"/>
      <c r="B527" s="107"/>
      <c r="C527" s="111"/>
      <c r="D527" s="113"/>
      <c r="E527" s="63" t="s">
        <v>1676</v>
      </c>
      <c r="F527" s="150"/>
      <c r="G527" s="107"/>
      <c r="H527" s="95"/>
    </row>
    <row r="528" spans="1:8" x14ac:dyDescent="0.3">
      <c r="A528" s="161">
        <f>2</f>
        <v>2</v>
      </c>
      <c r="B528" s="107" t="s">
        <v>1628</v>
      </c>
      <c r="C528" s="111">
        <f>'04a_Box_Dims'!$AE25</f>
        <v>10</v>
      </c>
      <c r="D528" s="113"/>
      <c r="E528" s="63" t="s">
        <v>1677</v>
      </c>
      <c r="F528" s="150"/>
      <c r="G528" s="107"/>
      <c r="H528" s="95"/>
    </row>
    <row r="529" spans="1:8" x14ac:dyDescent="0.3">
      <c r="A529" s="161"/>
      <c r="B529" s="107"/>
      <c r="C529" s="111">
        <f>'04a_Box_Dims'!$E25</f>
        <v>2</v>
      </c>
      <c r="D529" s="113"/>
      <c r="E529" s="63"/>
      <c r="F529" s="150"/>
      <c r="G529" s="107"/>
      <c r="H529" s="95"/>
    </row>
    <row r="530" spans="1:8" x14ac:dyDescent="0.3">
      <c r="A530" s="161"/>
      <c r="B530" s="107"/>
      <c r="C530" s="111">
        <f>'04a_Box_Dims'!$I25</f>
        <v>0.25</v>
      </c>
      <c r="D530" s="113">
        <f>$A528*$C528*$C529*$C530</f>
        <v>10</v>
      </c>
      <c r="E530" s="63"/>
      <c r="F530" s="150"/>
      <c r="G530" s="107"/>
      <c r="H530" s="95">
        <f>'04a_Box_Dims'!$I25</f>
        <v>0.25</v>
      </c>
    </row>
    <row r="531" spans="1:8" x14ac:dyDescent="0.3">
      <c r="A531" s="161">
        <f>'04a_Box_Dims'!$C25-1</f>
        <v>3</v>
      </c>
      <c r="B531" s="107" t="s">
        <v>1628</v>
      </c>
      <c r="C531" s="111">
        <f>'04a_Box_Dims'!$AE25</f>
        <v>10</v>
      </c>
      <c r="D531" s="113"/>
      <c r="E531" s="63" t="s">
        <v>1678</v>
      </c>
      <c r="F531" s="150"/>
      <c r="G531" s="107"/>
      <c r="H531" s="95"/>
    </row>
    <row r="532" spans="1:8" x14ac:dyDescent="0.3">
      <c r="A532" s="161"/>
      <c r="B532" s="107"/>
      <c r="C532" s="111">
        <f>'04a_Box_Dims'!$E25</f>
        <v>2</v>
      </c>
      <c r="D532" s="113"/>
      <c r="E532" s="63"/>
      <c r="F532" s="150"/>
      <c r="G532" s="107"/>
      <c r="H532" s="95"/>
    </row>
    <row r="533" spans="1:8" x14ac:dyDescent="0.3">
      <c r="A533" s="161"/>
      <c r="B533" s="107"/>
      <c r="C533" s="111">
        <f>'04a_Box_Dims'!$I25</f>
        <v>0.25</v>
      </c>
      <c r="D533" s="113">
        <f>$A531*$C531*$C532*$C533</f>
        <v>15</v>
      </c>
      <c r="E533" s="63"/>
      <c r="F533" s="150"/>
      <c r="G533" s="107"/>
      <c r="H533" s="95">
        <f>'04a_Box_Dims'!$I25</f>
        <v>0.25</v>
      </c>
    </row>
    <row r="534" spans="1:8" x14ac:dyDescent="0.3">
      <c r="A534" s="161">
        <f>4*'04a_Box_Dims'!$C25</f>
        <v>16</v>
      </c>
      <c r="B534" s="107" t="s">
        <v>1628</v>
      </c>
      <c r="C534" s="111">
        <f>'04a_Box_Dims'!$AE25</f>
        <v>10</v>
      </c>
      <c r="D534" s="113"/>
      <c r="E534" s="63" t="s">
        <v>1679</v>
      </c>
      <c r="F534" s="150"/>
      <c r="G534" s="107"/>
      <c r="H534" s="95"/>
    </row>
    <row r="535" spans="1:8" x14ac:dyDescent="0.3">
      <c r="A535" s="161"/>
      <c r="B535" s="107"/>
      <c r="C535" s="111">
        <f>'04a_Box_Dims'!$N25</f>
        <v>0.15</v>
      </c>
      <c r="D535" s="113"/>
      <c r="E535" s="63"/>
      <c r="F535" s="150"/>
      <c r="G535" s="107"/>
      <c r="H535" s="95"/>
    </row>
    <row r="536" spans="1:8" x14ac:dyDescent="0.3">
      <c r="A536" s="161"/>
      <c r="B536" s="107"/>
      <c r="C536" s="111">
        <f>'04a_Box_Dims'!$N25/2</f>
        <v>7.4999999999999997E-2</v>
      </c>
      <c r="D536" s="113">
        <f>$A534*$C534*$C535*$C536</f>
        <v>1.7999999999999998</v>
      </c>
      <c r="E536" s="63"/>
      <c r="F536" s="150"/>
      <c r="G536" s="107"/>
      <c r="H536" s="95">
        <f>'04a_Box_Dims'!$N25</f>
        <v>0.15</v>
      </c>
    </row>
    <row r="537" spans="1:8" x14ac:dyDescent="0.3">
      <c r="A537" s="161">
        <f>2</f>
        <v>2</v>
      </c>
      <c r="B537" s="107" t="s">
        <v>1628</v>
      </c>
      <c r="C537" s="111">
        <f>'04a_Box_Dims'!$J25</f>
        <v>9.25</v>
      </c>
      <c r="D537" s="113"/>
      <c r="E537" s="63" t="s">
        <v>1680</v>
      </c>
      <c r="F537" s="150"/>
      <c r="G537" s="107"/>
      <c r="H537" s="95"/>
    </row>
    <row r="538" spans="1:8" x14ac:dyDescent="0.3">
      <c r="A538" s="161"/>
      <c r="B538" s="107"/>
      <c r="C538" s="111">
        <f>'04a_Box_Dims'!$U25</f>
        <v>0.6</v>
      </c>
      <c r="D538" s="113"/>
      <c r="E538" s="63"/>
      <c r="F538" s="150"/>
      <c r="G538" s="107"/>
      <c r="H538" s="95"/>
    </row>
    <row r="539" spans="1:8" x14ac:dyDescent="0.3">
      <c r="A539" s="161"/>
      <c r="B539" s="107"/>
      <c r="C539" s="111">
        <f>'04a_Box_Dims'!$V25</f>
        <v>0.3</v>
      </c>
      <c r="D539" s="113">
        <f>$A537*$C537*$C538*$C539</f>
        <v>3.3299999999999996</v>
      </c>
      <c r="E539" s="63"/>
      <c r="F539" s="150"/>
      <c r="G539" s="107"/>
      <c r="H539" s="95">
        <f>'04a_Box_Dims'!$V25</f>
        <v>0.3</v>
      </c>
    </row>
    <row r="540" spans="1:8" x14ac:dyDescent="0.3">
      <c r="A540" s="161">
        <f>4</f>
        <v>4</v>
      </c>
      <c r="B540" s="107" t="s">
        <v>1628</v>
      </c>
      <c r="C540" s="111">
        <f>'04a_Box_Dims'!$Z25</f>
        <v>2.1213203435596424</v>
      </c>
      <c r="D540" s="113"/>
      <c r="E540" s="63" t="s">
        <v>1681</v>
      </c>
      <c r="F540" s="150"/>
      <c r="G540" s="107"/>
      <c r="H540" s="95"/>
    </row>
    <row r="541" spans="1:8" x14ac:dyDescent="0.3">
      <c r="A541" s="161"/>
      <c r="B541" s="107"/>
      <c r="C541" s="111">
        <f>'04a_Box_Dims'!$Y25</f>
        <v>2.9928932188134527</v>
      </c>
      <c r="D541" s="113"/>
      <c r="E541" s="63"/>
      <c r="F541" s="150"/>
      <c r="G541" s="107"/>
      <c r="H541" s="95"/>
    </row>
    <row r="542" spans="1:8" x14ac:dyDescent="0.3">
      <c r="A542" s="161"/>
      <c r="B542" s="107"/>
      <c r="C542" s="111">
        <f>'04a_Box_Dims'!$AB25</f>
        <v>0.31</v>
      </c>
      <c r="D542" s="113">
        <f>$A540*$C540*$C541*$C542</f>
        <v>7.8726177362516392</v>
      </c>
      <c r="E542" s="63"/>
      <c r="F542" s="150"/>
      <c r="G542" s="107"/>
      <c r="H542" s="95">
        <f>'04a_Box_Dims'!$AB25</f>
        <v>0.31</v>
      </c>
    </row>
    <row r="543" spans="1:8" x14ac:dyDescent="0.3">
      <c r="A543" s="161"/>
      <c r="B543" s="107"/>
      <c r="C543" s="111"/>
      <c r="D543" s="113">
        <f>SUM($D$528:$D$542)</f>
        <v>38.002617736251636</v>
      </c>
      <c r="E543" s="63" t="s">
        <v>1660</v>
      </c>
      <c r="F543" s="150">
        <f>ROUND($D543,2)</f>
        <v>38</v>
      </c>
      <c r="G543" s="107" t="s">
        <v>1661</v>
      </c>
      <c r="H543" s="95"/>
    </row>
    <row r="544" spans="1:8" x14ac:dyDescent="0.3">
      <c r="A544" s="161"/>
      <c r="B544" s="107"/>
      <c r="C544" s="111"/>
      <c r="D544" s="113"/>
      <c r="E544" s="63"/>
      <c r="F544" s="150"/>
      <c r="G544" s="107"/>
      <c r="H544" s="95"/>
    </row>
    <row r="545" spans="1:8" x14ac:dyDescent="0.3">
      <c r="A545" s="161"/>
      <c r="B545" s="107"/>
      <c r="C545" s="111"/>
      <c r="D545" s="113"/>
      <c r="E545" s="149" t="s">
        <v>1682</v>
      </c>
      <c r="F545" s="150"/>
      <c r="G545" s="107"/>
      <c r="H545" s="95"/>
    </row>
    <row r="546" spans="1:8" x14ac:dyDescent="0.3">
      <c r="A546" s="161"/>
      <c r="B546" s="107"/>
      <c r="C546" s="111"/>
      <c r="D546" s="113"/>
      <c r="E546" s="63" t="s">
        <v>1683</v>
      </c>
      <c r="F546" s="150"/>
      <c r="G546" s="107"/>
      <c r="H546" s="95"/>
    </row>
    <row r="547" spans="1:8" x14ac:dyDescent="0.3">
      <c r="A547" s="161"/>
      <c r="B547" s="107"/>
      <c r="C547" s="111"/>
      <c r="D547" s="113">
        <f>SUMIF($H$528:$H$542,"&lt;=0.3",$D$528:$D$542)</f>
        <v>30.13</v>
      </c>
      <c r="E547" s="63" t="s">
        <v>1670</v>
      </c>
      <c r="F547" s="150">
        <f>ROUND($D547,2)</f>
        <v>30.13</v>
      </c>
      <c r="G547" s="107" t="s">
        <v>1661</v>
      </c>
      <c r="H547" s="95"/>
    </row>
    <row r="548" spans="1:8" x14ac:dyDescent="0.3">
      <c r="A548" s="161"/>
      <c r="B548" s="107"/>
      <c r="C548" s="111"/>
      <c r="D548" s="113">
        <f>SUMIF($H$528:$H$542,"&gt;0.3",$D$528:$D$542)</f>
        <v>7.8726177362516392</v>
      </c>
      <c r="E548" s="63" t="s">
        <v>1671</v>
      </c>
      <c r="F548" s="150">
        <f>ROUND($D548,2)</f>
        <v>7.87</v>
      </c>
      <c r="G548" s="107" t="s">
        <v>1661</v>
      </c>
      <c r="H548" s="95"/>
    </row>
    <row r="549" spans="1:8" x14ac:dyDescent="0.3">
      <c r="A549" s="161"/>
      <c r="B549" s="107"/>
      <c r="C549" s="111"/>
      <c r="D549" s="113"/>
      <c r="E549" s="63"/>
      <c r="F549" s="150"/>
      <c r="G549" s="107"/>
      <c r="H549" s="95"/>
    </row>
    <row r="550" spans="1:8" x14ac:dyDescent="0.3">
      <c r="A550" s="161"/>
      <c r="B550" s="107"/>
      <c r="C550" s="111"/>
      <c r="D550" s="113"/>
      <c r="E550" s="149" t="s">
        <v>1445</v>
      </c>
      <c r="F550" s="150"/>
      <c r="G550" s="107"/>
      <c r="H550" s="95"/>
    </row>
    <row r="551" spans="1:8" x14ac:dyDescent="0.3">
      <c r="A551" s="161"/>
      <c r="B551" s="107"/>
      <c r="C551" s="111"/>
      <c r="D551" s="113"/>
      <c r="E551" s="63" t="s">
        <v>1684</v>
      </c>
      <c r="F551" s="150"/>
      <c r="G551" s="107"/>
      <c r="H551" s="95"/>
    </row>
    <row r="552" spans="1:8" x14ac:dyDescent="0.3">
      <c r="A552" s="161">
        <f>2</f>
        <v>2</v>
      </c>
      <c r="B552" s="107" t="s">
        <v>1628</v>
      </c>
      <c r="C552" s="111">
        <f>'04a_Box_Dims'!$AE25</f>
        <v>10</v>
      </c>
      <c r="D552" s="113"/>
      <c r="E552" s="63" t="s">
        <v>1685</v>
      </c>
      <c r="F552" s="150"/>
      <c r="G552" s="107"/>
      <c r="H552" s="95"/>
    </row>
    <row r="553" spans="1:8" x14ac:dyDescent="0.3">
      <c r="A553" s="161"/>
      <c r="B553" s="107"/>
      <c r="C553" s="111">
        <f>'04a_Box_Dims'!$E25</f>
        <v>2</v>
      </c>
      <c r="D553" s="113">
        <f>$A552*$C552*$C553</f>
        <v>40</v>
      </c>
      <c r="E553" s="63"/>
      <c r="F553" s="150"/>
      <c r="G553" s="107"/>
      <c r="H553" s="95"/>
    </row>
    <row r="554" spans="1:8" x14ac:dyDescent="0.3">
      <c r="A554" s="161">
        <f>4</f>
        <v>4</v>
      </c>
      <c r="B554" s="107" t="s">
        <v>1628</v>
      </c>
      <c r="C554" s="111">
        <f>'04a_Box_Dims'!$Z25</f>
        <v>2.1213203435596424</v>
      </c>
      <c r="D554" s="113"/>
      <c r="E554" s="63" t="s">
        <v>1686</v>
      </c>
      <c r="F554" s="150"/>
      <c r="G554" s="107"/>
      <c r="H554" s="95"/>
    </row>
    <row r="555" spans="1:8" x14ac:dyDescent="0.3">
      <c r="A555" s="161"/>
      <c r="B555" s="107"/>
      <c r="C555" s="111">
        <f>'04a_Box_Dims'!$Y25</f>
        <v>2.9928932188134527</v>
      </c>
      <c r="D555" s="113">
        <f>$A554*$C554*$C555</f>
        <v>25.395541084682709</v>
      </c>
      <c r="E555" s="63"/>
      <c r="F555" s="150"/>
      <c r="G555" s="107"/>
      <c r="H555" s="95"/>
    </row>
    <row r="556" spans="1:8" x14ac:dyDescent="0.3">
      <c r="A556" s="161">
        <f>2</f>
        <v>2</v>
      </c>
      <c r="B556" s="107" t="s">
        <v>1628</v>
      </c>
      <c r="C556" s="111">
        <f>'04a_Box_Dims'!$J25</f>
        <v>9.25</v>
      </c>
      <c r="D556" s="113"/>
      <c r="E556" s="63" t="s">
        <v>1687</v>
      </c>
      <c r="F556" s="150"/>
      <c r="G556" s="107"/>
      <c r="H556" s="95"/>
    </row>
    <row r="557" spans="1:8" x14ac:dyDescent="0.3">
      <c r="A557" s="161"/>
      <c r="B557" s="107"/>
      <c r="C557" s="111">
        <f>'04a_Box_Dims'!$U25</f>
        <v>0.6</v>
      </c>
      <c r="D557" s="113">
        <f>$A556*$C556*$C557</f>
        <v>11.1</v>
      </c>
      <c r="E557" s="63"/>
      <c r="F557" s="150"/>
      <c r="G557" s="107"/>
      <c r="H557" s="95"/>
    </row>
    <row r="558" spans="1:8" x14ac:dyDescent="0.3">
      <c r="A558" s="161"/>
      <c r="B558" s="107"/>
      <c r="C558" s="111"/>
      <c r="D558" s="113">
        <f>SUM($D$552:$D$557)</f>
        <v>76.495541084682699</v>
      </c>
      <c r="E558" s="63" t="s">
        <v>1660</v>
      </c>
      <c r="F558" s="150">
        <f>ROUND($D558,2)</f>
        <v>76.5</v>
      </c>
      <c r="G558" s="107" t="s">
        <v>1688</v>
      </c>
      <c r="H558" s="95"/>
    </row>
    <row r="559" spans="1:8" x14ac:dyDescent="0.3">
      <c r="A559" s="161"/>
      <c r="B559" s="107"/>
      <c r="C559" s="111"/>
      <c r="D559" s="113"/>
      <c r="E559" s="63"/>
      <c r="F559" s="150"/>
      <c r="G559" s="107"/>
      <c r="H559" s="95"/>
    </row>
    <row r="560" spans="1:8" x14ac:dyDescent="0.3">
      <c r="A560" s="161"/>
      <c r="B560" s="107"/>
      <c r="C560" s="111"/>
      <c r="D560" s="113"/>
      <c r="E560" s="149" t="s">
        <v>1446</v>
      </c>
      <c r="F560" s="150"/>
      <c r="G560" s="107"/>
      <c r="H560" s="95"/>
    </row>
    <row r="561" spans="1:8" x14ac:dyDescent="0.3">
      <c r="A561" s="161"/>
      <c r="B561" s="107"/>
      <c r="C561" s="111"/>
      <c r="D561" s="113"/>
      <c r="E561" s="63" t="s">
        <v>1689</v>
      </c>
      <c r="F561" s="150"/>
      <c r="G561" s="107"/>
      <c r="H561" s="95"/>
    </row>
    <row r="562" spans="1:8" x14ac:dyDescent="0.3">
      <c r="A562" s="161">
        <f>2</f>
        <v>2</v>
      </c>
      <c r="B562" s="107" t="s">
        <v>1628</v>
      </c>
      <c r="C562" s="111">
        <f>'04a_Box_Dims'!$O25</f>
        <v>1.5</v>
      </c>
      <c r="D562" s="113"/>
      <c r="E562" s="63" t="s">
        <v>1690</v>
      </c>
      <c r="F562" s="150"/>
      <c r="G562" s="107"/>
      <c r="H562" s="95"/>
    </row>
    <row r="563" spans="1:8" x14ac:dyDescent="0.3">
      <c r="A563" s="161"/>
      <c r="B563" s="107"/>
      <c r="C563" s="111">
        <f>'04a_Box_Dims'!$Q25</f>
        <v>10.75</v>
      </c>
      <c r="D563" s="113">
        <f>$A562*$C562*$C563</f>
        <v>32.25</v>
      </c>
      <c r="E563" s="63"/>
      <c r="F563" s="150"/>
      <c r="G563" s="107"/>
      <c r="H563" s="95"/>
    </row>
    <row r="564" spans="1:8" x14ac:dyDescent="0.3">
      <c r="A564" s="161"/>
      <c r="B564" s="107"/>
      <c r="C564" s="111"/>
      <c r="D564" s="113">
        <f>SUM($D$562:$D$563)</f>
        <v>32.25</v>
      </c>
      <c r="E564" s="63" t="s">
        <v>1660</v>
      </c>
      <c r="F564" s="150">
        <f>ROUND($D564,2)</f>
        <v>32.25</v>
      </c>
      <c r="G564" s="107" t="s">
        <v>1688</v>
      </c>
      <c r="H564" s="95"/>
    </row>
    <row r="565" spans="1:8" x14ac:dyDescent="0.3">
      <c r="A565" s="161"/>
      <c r="B565" s="107"/>
      <c r="C565" s="111"/>
      <c r="D565" s="113"/>
      <c r="E565" s="63"/>
      <c r="F565" s="150"/>
      <c r="G565" s="107"/>
      <c r="H565" s="95"/>
    </row>
    <row r="566" spans="1:8" x14ac:dyDescent="0.3">
      <c r="A566" s="161"/>
      <c r="B566" s="107"/>
      <c r="C566" s="111"/>
      <c r="D566" s="113"/>
      <c r="E566" s="149" t="s">
        <v>1447</v>
      </c>
      <c r="F566" s="150"/>
      <c r="G566" s="107"/>
      <c r="H566" s="95"/>
    </row>
    <row r="567" spans="1:8" x14ac:dyDescent="0.3">
      <c r="A567" s="161"/>
      <c r="B567" s="107"/>
      <c r="C567" s="111"/>
      <c r="D567" s="113"/>
      <c r="E567" s="63" t="s">
        <v>1691</v>
      </c>
      <c r="F567" s="150"/>
      <c r="G567" s="107"/>
      <c r="H567" s="95"/>
    </row>
    <row r="568" spans="1:8" x14ac:dyDescent="0.3">
      <c r="A568" s="161">
        <f>4</f>
        <v>4</v>
      </c>
      <c r="B568" s="107" t="s">
        <v>1628</v>
      </c>
      <c r="C568" s="111">
        <f>'04a_Box_Dims'!$J25</f>
        <v>9.25</v>
      </c>
      <c r="D568" s="113"/>
      <c r="E568" s="63" t="s">
        <v>1692</v>
      </c>
      <c r="F568" s="150"/>
      <c r="G568" s="107"/>
      <c r="H568" s="95"/>
    </row>
    <row r="569" spans="1:8" x14ac:dyDescent="0.3">
      <c r="A569" s="161"/>
      <c r="B569" s="107"/>
      <c r="C569" s="111">
        <f>'04a_Box_Dims'!$I25</f>
        <v>0.25</v>
      </c>
      <c r="D569" s="113">
        <f>$A568*$C568*$C569</f>
        <v>9.25</v>
      </c>
      <c r="E569" s="63"/>
      <c r="F569" s="150"/>
      <c r="G569" s="107"/>
      <c r="H569" s="95"/>
    </row>
    <row r="570" spans="1:8" x14ac:dyDescent="0.3">
      <c r="A570" s="161">
        <f>4</f>
        <v>4</v>
      </c>
      <c r="B570" s="107" t="s">
        <v>1628</v>
      </c>
      <c r="C570" s="111">
        <f>'04a_Box_Dims'!$O25</f>
        <v>1.5</v>
      </c>
      <c r="D570" s="113"/>
      <c r="E570" s="63" t="s">
        <v>1693</v>
      </c>
      <c r="F570" s="150"/>
      <c r="G570" s="107"/>
      <c r="H570" s="95"/>
    </row>
    <row r="571" spans="1:8" x14ac:dyDescent="0.3">
      <c r="A571" s="161"/>
      <c r="B571" s="107"/>
      <c r="C571" s="111">
        <f>'04a_Box_Dims'!$P25</f>
        <v>0.25</v>
      </c>
      <c r="D571" s="113">
        <f>$A570*$C570*$C571</f>
        <v>1.5</v>
      </c>
      <c r="E571" s="63"/>
      <c r="F571" s="150"/>
      <c r="G571" s="107"/>
      <c r="H571" s="95"/>
    </row>
    <row r="572" spans="1:8" x14ac:dyDescent="0.3">
      <c r="A572" s="161"/>
      <c r="B572" s="107"/>
      <c r="C572" s="111"/>
      <c r="D572" s="113">
        <f>SUM($D$568:$D$571)</f>
        <v>10.75</v>
      </c>
      <c r="E572" s="63" t="s">
        <v>1660</v>
      </c>
      <c r="F572" s="150">
        <f>ROUND($D572,2)</f>
        <v>10.75</v>
      </c>
      <c r="G572" s="107" t="s">
        <v>1688</v>
      </c>
      <c r="H572" s="95"/>
    </row>
    <row r="573" spans="1:8" x14ac:dyDescent="0.3">
      <c r="A573" s="161"/>
      <c r="B573" s="107"/>
      <c r="C573" s="111"/>
      <c r="D573" s="113"/>
      <c r="E573" s="63"/>
      <c r="F573" s="150"/>
      <c r="G573" s="107"/>
      <c r="H573" s="95"/>
    </row>
    <row r="574" spans="1:8" x14ac:dyDescent="0.3">
      <c r="A574" s="161"/>
      <c r="B574" s="107"/>
      <c r="C574" s="111"/>
      <c r="D574" s="113"/>
      <c r="E574" s="149" t="s">
        <v>1448</v>
      </c>
      <c r="F574" s="150"/>
      <c r="G574" s="107"/>
      <c r="H574" s="95"/>
    </row>
    <row r="575" spans="1:8" x14ac:dyDescent="0.3">
      <c r="A575" s="161"/>
      <c r="B575" s="107"/>
      <c r="C575" s="111"/>
      <c r="D575" s="113"/>
      <c r="E575" s="63" t="s">
        <v>1694</v>
      </c>
      <c r="F575" s="150"/>
      <c r="G575" s="107"/>
      <c r="H575" s="95"/>
    </row>
    <row r="576" spans="1:8" x14ac:dyDescent="0.3">
      <c r="A576" s="161">
        <f>1</f>
        <v>1</v>
      </c>
      <c r="B576" s="107" t="s">
        <v>1628</v>
      </c>
      <c r="C576" s="111">
        <f>'04a_Box_Dims'!$AE25</f>
        <v>10</v>
      </c>
      <c r="D576" s="113"/>
      <c r="E576" s="63" t="s">
        <v>1695</v>
      </c>
      <c r="F576" s="150"/>
      <c r="G576" s="107"/>
      <c r="H576" s="95"/>
    </row>
    <row r="577" spans="1:8" x14ac:dyDescent="0.3">
      <c r="A577" s="161"/>
      <c r="B577" s="107"/>
      <c r="C577" s="111">
        <f>'04a_Box_Dims'!$K25</f>
        <v>8.75</v>
      </c>
      <c r="D577" s="113">
        <f>$A576*$C576*$C577</f>
        <v>87.5</v>
      </c>
      <c r="E577" s="63"/>
      <c r="F577" s="150"/>
      <c r="G577" s="107"/>
      <c r="H577" s="95"/>
    </row>
    <row r="578" spans="1:8" x14ac:dyDescent="0.3">
      <c r="A578" s="161"/>
      <c r="B578" s="107"/>
      <c r="C578" s="111"/>
      <c r="D578" s="113">
        <f>SUM($D$576:$D$577)</f>
        <v>87.5</v>
      </c>
      <c r="E578" s="63" t="s">
        <v>1660</v>
      </c>
      <c r="F578" s="150">
        <f>ROUND($D578,2)</f>
        <v>87.5</v>
      </c>
      <c r="G578" s="107" t="s">
        <v>1688</v>
      </c>
      <c r="H578" s="95"/>
    </row>
    <row r="579" spans="1:8" x14ac:dyDescent="0.3">
      <c r="A579" s="161"/>
      <c r="B579" s="107"/>
      <c r="C579" s="111"/>
      <c r="D579" s="113"/>
      <c r="E579" s="63"/>
      <c r="F579" s="150"/>
      <c r="G579" s="107"/>
      <c r="H579" s="95"/>
    </row>
    <row r="580" spans="1:8" x14ac:dyDescent="0.3">
      <c r="A580" s="161"/>
      <c r="B580" s="107"/>
      <c r="C580" s="111"/>
      <c r="D580" s="113"/>
      <c r="E580" s="149" t="s">
        <v>1449</v>
      </c>
      <c r="F580" s="150"/>
      <c r="G580" s="107"/>
      <c r="H580" s="95"/>
    </row>
    <row r="581" spans="1:8" x14ac:dyDescent="0.3">
      <c r="A581" s="161"/>
      <c r="B581" s="107"/>
      <c r="C581" s="111"/>
      <c r="D581" s="113"/>
      <c r="E581" s="63" t="s">
        <v>1696</v>
      </c>
      <c r="F581" s="150"/>
      <c r="G581" s="107"/>
      <c r="H581" s="95"/>
    </row>
    <row r="582" spans="1:8" x14ac:dyDescent="0.3">
      <c r="A582" s="161">
        <f>2</f>
        <v>2</v>
      </c>
      <c r="B582" s="107" t="s">
        <v>1628</v>
      </c>
      <c r="C582" s="111">
        <f>'04a_Box_Dims'!$J25</f>
        <v>9.25</v>
      </c>
      <c r="D582" s="113"/>
      <c r="E582" s="63" t="s">
        <v>1697</v>
      </c>
      <c r="F582" s="150"/>
      <c r="G582" s="107"/>
      <c r="H582" s="95"/>
    </row>
    <row r="583" spans="1:8" x14ac:dyDescent="0.3">
      <c r="A583" s="161"/>
      <c r="B583" s="107"/>
      <c r="C583" s="111">
        <f>'04a_Box_Dims'!$U25</f>
        <v>0.6</v>
      </c>
      <c r="D583" s="113">
        <f>$A582*$C582*$C583</f>
        <v>11.1</v>
      </c>
      <c r="E583" s="63"/>
      <c r="F583" s="150"/>
      <c r="G583" s="107"/>
      <c r="H583" s="95"/>
    </row>
    <row r="584" spans="1:8" x14ac:dyDescent="0.3">
      <c r="A584" s="161"/>
      <c r="B584" s="107"/>
      <c r="C584" s="111"/>
      <c r="D584" s="113">
        <f>SUM($D$582:$D$583)</f>
        <v>11.1</v>
      </c>
      <c r="E584" s="63" t="s">
        <v>1660</v>
      </c>
      <c r="F584" s="150">
        <f>ROUND($D584,2)</f>
        <v>11.1</v>
      </c>
      <c r="G584" s="107" t="s">
        <v>1688</v>
      </c>
      <c r="H584" s="95"/>
    </row>
    <row r="585" spans="1:8" x14ac:dyDescent="0.3">
      <c r="A585" s="161"/>
      <c r="B585" s="107"/>
      <c r="C585" s="111"/>
      <c r="D585" s="113"/>
      <c r="E585" s="63"/>
      <c r="F585" s="150"/>
      <c r="G585" s="107"/>
      <c r="H585" s="95"/>
    </row>
    <row r="586" spans="1:8" x14ac:dyDescent="0.3">
      <c r="A586" s="161"/>
      <c r="B586" s="107"/>
      <c r="C586" s="111"/>
      <c r="D586" s="113"/>
      <c r="E586" s="149" t="s">
        <v>1329</v>
      </c>
      <c r="F586" s="150"/>
      <c r="G586" s="107"/>
      <c r="H586" s="95"/>
    </row>
    <row r="587" spans="1:8" x14ac:dyDescent="0.3">
      <c r="A587" s="161"/>
      <c r="B587" s="107"/>
      <c r="C587" s="111"/>
      <c r="D587" s="113"/>
      <c r="E587" s="63" t="s">
        <v>1698</v>
      </c>
      <c r="F587" s="150"/>
      <c r="G587" s="107"/>
      <c r="H587" s="95"/>
    </row>
    <row r="588" spans="1:8" x14ac:dyDescent="0.3">
      <c r="A588" s="161">
        <f>2</f>
        <v>2</v>
      </c>
      <c r="B588" s="107" t="s">
        <v>1628</v>
      </c>
      <c r="C588" s="111">
        <f>'04a_Box_Dims'!$AE25</f>
        <v>10</v>
      </c>
      <c r="D588" s="113"/>
      <c r="E588" s="63" t="s">
        <v>1699</v>
      </c>
      <c r="F588" s="150"/>
      <c r="G588" s="107"/>
      <c r="H588" s="95"/>
    </row>
    <row r="589" spans="1:8" x14ac:dyDescent="0.3">
      <c r="A589" s="161"/>
      <c r="B589" s="107"/>
      <c r="C589" s="111">
        <f>'04a_Box_Dims'!$E25</f>
        <v>2</v>
      </c>
      <c r="D589" s="113">
        <f>$A588*$C588*$C589</f>
        <v>40</v>
      </c>
      <c r="E589" s="63"/>
      <c r="F589" s="150"/>
      <c r="G589" s="107"/>
      <c r="H589" s="95"/>
    </row>
    <row r="590" spans="1:8" x14ac:dyDescent="0.3">
      <c r="A590" s="161">
        <f>('04a_Box_Dims'!$C25-1)*2</f>
        <v>6</v>
      </c>
      <c r="B590" s="107" t="s">
        <v>1628</v>
      </c>
      <c r="C590" s="111">
        <f>'04a_Box_Dims'!$AE25</f>
        <v>10</v>
      </c>
      <c r="D590" s="113"/>
      <c r="E590" s="63" t="s">
        <v>1700</v>
      </c>
      <c r="F590" s="150"/>
      <c r="G590" s="107"/>
      <c r="H590" s="95"/>
    </row>
    <row r="591" spans="1:8" x14ac:dyDescent="0.3">
      <c r="A591" s="161"/>
      <c r="B591" s="107"/>
      <c r="C591" s="111">
        <f>'04a_Box_Dims'!$E25</f>
        <v>2</v>
      </c>
      <c r="D591" s="113">
        <f>$A590*$C590*$C591</f>
        <v>120</v>
      </c>
      <c r="E591" s="63"/>
      <c r="F591" s="150"/>
      <c r="G591" s="107"/>
      <c r="H591" s="95"/>
    </row>
    <row r="592" spans="1:8" x14ac:dyDescent="0.3">
      <c r="A592" s="161">
        <f>4</f>
        <v>4</v>
      </c>
      <c r="B592" s="107" t="s">
        <v>1628</v>
      </c>
      <c r="C592" s="111">
        <f>'04a_Box_Dims'!$Z25</f>
        <v>2.1213203435596424</v>
      </c>
      <c r="D592" s="113"/>
      <c r="E592" s="63" t="s">
        <v>1701</v>
      </c>
      <c r="F592" s="150"/>
      <c r="G592" s="107"/>
      <c r="H592" s="95"/>
    </row>
    <row r="593" spans="1:8" x14ac:dyDescent="0.3">
      <c r="A593" s="161"/>
      <c r="B593" s="107"/>
      <c r="C593" s="111">
        <f>'04a_Box_Dims'!$Y25</f>
        <v>2.9928932188134527</v>
      </c>
      <c r="D593" s="113">
        <f>$A592*$C592*$C593</f>
        <v>25.395541084682709</v>
      </c>
      <c r="E593" s="63"/>
      <c r="F593" s="150"/>
      <c r="G593" s="107"/>
      <c r="H593" s="95"/>
    </row>
    <row r="594" spans="1:8" x14ac:dyDescent="0.3">
      <c r="A594" s="161"/>
      <c r="B594" s="107"/>
      <c r="C594" s="111"/>
      <c r="D594" s="113">
        <f>SUM($D$588:$D$593)</f>
        <v>185.39554108468272</v>
      </c>
      <c r="E594" s="63" t="s">
        <v>1660</v>
      </c>
      <c r="F594" s="150">
        <f>ROUND($D594,2)</f>
        <v>185.4</v>
      </c>
      <c r="G594" s="107" t="s">
        <v>1688</v>
      </c>
      <c r="H594" s="95"/>
    </row>
    <row r="595" spans="1:8" x14ac:dyDescent="0.3">
      <c r="A595" s="161"/>
      <c r="B595" s="107"/>
      <c r="C595" s="111"/>
      <c r="D595" s="113"/>
      <c r="E595" s="63"/>
      <c r="F595" s="150"/>
      <c r="G595" s="107"/>
      <c r="H595" s="95"/>
    </row>
    <row r="596" spans="1:8" x14ac:dyDescent="0.3">
      <c r="A596" s="161"/>
      <c r="B596" s="107"/>
      <c r="C596" s="111"/>
      <c r="D596" s="113"/>
      <c r="E596" s="149" t="s">
        <v>1702</v>
      </c>
      <c r="F596" s="150"/>
      <c r="G596" s="107"/>
      <c r="H596" s="95"/>
    </row>
    <row r="597" spans="1:8" x14ac:dyDescent="0.3">
      <c r="A597" s="161"/>
      <c r="B597" s="107"/>
      <c r="C597" s="111"/>
      <c r="D597" s="113"/>
      <c r="E597" s="63" t="s">
        <v>1703</v>
      </c>
      <c r="F597" s="150"/>
      <c r="G597" s="107"/>
      <c r="H597" s="95"/>
    </row>
    <row r="598" spans="1:8" x14ac:dyDescent="0.3">
      <c r="A598" s="161"/>
      <c r="B598" s="107"/>
      <c r="C598" s="111"/>
      <c r="D598" s="113">
        <v>0</v>
      </c>
      <c r="E598" s="63" t="s">
        <v>1704</v>
      </c>
      <c r="F598" s="150">
        <f t="shared" ref="F598:F603" si="3">ROUND($D598,3)</f>
        <v>0</v>
      </c>
      <c r="G598" s="107" t="s">
        <v>1474</v>
      </c>
      <c r="H598" s="95"/>
    </row>
    <row r="599" spans="1:8" x14ac:dyDescent="0.3">
      <c r="A599" s="161"/>
      <c r="B599" s="107"/>
      <c r="C599" s="111"/>
      <c r="D599" s="113">
        <f>'04b_Box_Bars'!$S12/1000</f>
        <v>1.6276591538248717</v>
      </c>
      <c r="E599" s="63" t="s">
        <v>1705</v>
      </c>
      <c r="F599" s="150">
        <f t="shared" si="3"/>
        <v>1.6279999999999999</v>
      </c>
      <c r="G599" s="107" t="s">
        <v>1474</v>
      </c>
      <c r="H599" s="95"/>
    </row>
    <row r="600" spans="1:8" x14ac:dyDescent="0.3">
      <c r="A600" s="161"/>
      <c r="B600" s="107"/>
      <c r="C600" s="111"/>
      <c r="D600" s="113">
        <f>'04b_Box_Bars'!$T12/1000</f>
        <v>6.8458260876691739</v>
      </c>
      <c r="E600" s="63" t="s">
        <v>1706</v>
      </c>
      <c r="F600" s="150">
        <f t="shared" si="3"/>
        <v>6.8460000000000001</v>
      </c>
      <c r="G600" s="107" t="s">
        <v>1474</v>
      </c>
      <c r="H600" s="95"/>
    </row>
    <row r="601" spans="1:8" x14ac:dyDescent="0.3">
      <c r="A601" s="161"/>
      <c r="B601" s="107"/>
      <c r="C601" s="111"/>
      <c r="D601" s="113">
        <f>'04b_Box_Bars'!$U12/1000</f>
        <v>0.52274493260295518</v>
      </c>
      <c r="E601" s="63" t="s">
        <v>1707</v>
      </c>
      <c r="F601" s="150">
        <f t="shared" si="3"/>
        <v>0.52300000000000002</v>
      </c>
      <c r="G601" s="107" t="s">
        <v>1474</v>
      </c>
      <c r="H601" s="95"/>
    </row>
    <row r="602" spans="1:8" x14ac:dyDescent="0.3">
      <c r="A602" s="161"/>
      <c r="B602" s="107"/>
      <c r="C602" s="111"/>
      <c r="D602" s="113">
        <f>'04b_Box_Bars'!$V12/1000</f>
        <v>0</v>
      </c>
      <c r="E602" s="63" t="s">
        <v>1708</v>
      </c>
      <c r="F602" s="150">
        <f t="shared" si="3"/>
        <v>0</v>
      </c>
      <c r="G602" s="107" t="s">
        <v>1474</v>
      </c>
      <c r="H602" s="95"/>
    </row>
    <row r="603" spans="1:8" x14ac:dyDescent="0.3">
      <c r="A603" s="161"/>
      <c r="B603" s="107"/>
      <c r="C603" s="111"/>
      <c r="D603" s="113">
        <f>'04b_Box_Bars'!$W12/1000</f>
        <v>0</v>
      </c>
      <c r="E603" s="63" t="s">
        <v>1709</v>
      </c>
      <c r="F603" s="150">
        <f t="shared" si="3"/>
        <v>0</v>
      </c>
      <c r="G603" s="107" t="s">
        <v>1474</v>
      </c>
      <c r="H603" s="95"/>
    </row>
    <row r="604" spans="1:8" x14ac:dyDescent="0.3">
      <c r="A604" s="161"/>
      <c r="B604" s="107"/>
      <c r="C604" s="111"/>
      <c r="D604" s="113"/>
      <c r="E604" s="63"/>
      <c r="F604" s="150"/>
      <c r="G604" s="107"/>
      <c r="H604" s="95"/>
    </row>
    <row r="605" spans="1:8" x14ac:dyDescent="0.3">
      <c r="A605" s="161"/>
      <c r="B605" s="107"/>
      <c r="C605" s="111"/>
      <c r="D605" s="113"/>
      <c r="E605" s="63"/>
      <c r="F605" s="150"/>
      <c r="G605" s="107"/>
      <c r="H605" s="95"/>
    </row>
    <row r="606" spans="1:8" x14ac:dyDescent="0.3">
      <c r="A606" s="160" t="str">
        <f>'04a_Box_Dims'!$F26&amp;"  No.  "&amp;'04a_Box_Dims'!$A26&amp;"   (L = "&amp;TEXT('04a_Box_Dims'!$AE26,"0.00")&amp;" m)"</f>
        <v>0  No.  1/3x2 box culvert   (L = 10.00 m)</v>
      </c>
      <c r="B606" s="146"/>
      <c r="C606" s="162"/>
      <c r="D606" s="163"/>
      <c r="E606" s="147"/>
      <c r="F606" s="148"/>
      <c r="G606" s="146"/>
      <c r="H606" s="151"/>
    </row>
    <row r="607" spans="1:8" x14ac:dyDescent="0.3">
      <c r="A607" s="161"/>
      <c r="B607" s="107"/>
      <c r="C607" s="111"/>
      <c r="D607" s="113"/>
      <c r="E607" s="149" t="s">
        <v>1438</v>
      </c>
      <c r="F607" s="150"/>
      <c r="G607" s="107"/>
      <c r="H607" s="95"/>
    </row>
    <row r="608" spans="1:8" x14ac:dyDescent="0.3">
      <c r="A608" s="161"/>
      <c r="B608" s="107"/>
      <c r="C608" s="111"/>
      <c r="D608" s="113"/>
      <c r="E608" s="63" t="s">
        <v>1655</v>
      </c>
      <c r="F608" s="150"/>
      <c r="G608" s="107"/>
      <c r="H608" s="95"/>
    </row>
    <row r="609" spans="1:8" x14ac:dyDescent="0.3">
      <c r="A609" s="161">
        <f>1</f>
        <v>1</v>
      </c>
      <c r="B609" s="107" t="s">
        <v>1628</v>
      </c>
      <c r="C609" s="111">
        <f>'04a_Box_Dims'!$AE26</f>
        <v>10</v>
      </c>
      <c r="D609" s="113"/>
      <c r="E609" s="63" t="s">
        <v>1656</v>
      </c>
      <c r="F609" s="150"/>
      <c r="G609" s="107"/>
      <c r="H609" s="95"/>
    </row>
    <row r="610" spans="1:8" x14ac:dyDescent="0.3">
      <c r="A610" s="161"/>
      <c r="B610" s="107"/>
      <c r="C610" s="111">
        <f>'04a_Box_Dims'!$J26+2*BX_work</f>
        <v>4.0999999999999996</v>
      </c>
      <c r="D610" s="113"/>
      <c r="E610" s="63"/>
      <c r="F610" s="150"/>
      <c r="G610" s="107"/>
      <c r="H610" s="95"/>
    </row>
    <row r="611" spans="1:8" x14ac:dyDescent="0.3">
      <c r="A611" s="161"/>
      <c r="B611" s="107"/>
      <c r="C611" s="111">
        <f>'04a_Box_Dims'!$L26+BX_blind+BX_exX</f>
        <v>2.6999999999999997</v>
      </c>
      <c r="D611" s="113">
        <f>$A609*$C609*$C610*$C611</f>
        <v>110.69999999999999</v>
      </c>
      <c r="E611" s="63"/>
      <c r="F611" s="150"/>
      <c r="G611" s="107"/>
      <c r="H611" s="95"/>
    </row>
    <row r="612" spans="1:8" x14ac:dyDescent="0.3">
      <c r="A612" s="161">
        <f>2</f>
        <v>2</v>
      </c>
      <c r="B612" s="107" t="s">
        <v>1628</v>
      </c>
      <c r="C612" s="111">
        <f>'04a_Box_Dims'!$O26</f>
        <v>1.5</v>
      </c>
      <c r="D612" s="113"/>
      <c r="E612" s="63" t="s">
        <v>1657</v>
      </c>
      <c r="F612" s="150"/>
      <c r="G612" s="107"/>
      <c r="H612" s="95"/>
    </row>
    <row r="613" spans="1:8" x14ac:dyDescent="0.3">
      <c r="A613" s="161"/>
      <c r="B613" s="107"/>
      <c r="C613" s="111">
        <f>'04a_Box_Dims'!$Q26</f>
        <v>5</v>
      </c>
      <c r="D613" s="113"/>
      <c r="E613" s="63"/>
      <c r="F613" s="150"/>
      <c r="G613" s="107"/>
      <c r="H613" s="95"/>
    </row>
    <row r="614" spans="1:8" x14ac:dyDescent="0.3">
      <c r="A614" s="161"/>
      <c r="B614" s="107"/>
      <c r="C614" s="111">
        <f>'04a_Box_Dims'!$P26+BX_blind+BX_exX</f>
        <v>0.44999999999999996</v>
      </c>
      <c r="D614" s="113">
        <f>$A612*$C612*$C613*$C614</f>
        <v>6.7499999999999991</v>
      </c>
      <c r="E614" s="63"/>
      <c r="F614" s="150"/>
      <c r="G614" s="107"/>
      <c r="H614" s="95"/>
    </row>
    <row r="615" spans="1:8" x14ac:dyDescent="0.3">
      <c r="A615" s="161">
        <f>2</f>
        <v>2</v>
      </c>
      <c r="B615" s="107" t="s">
        <v>1628</v>
      </c>
      <c r="C615" s="111">
        <f>'04a_Box_Dims'!$R26</f>
        <v>3.5</v>
      </c>
      <c r="D615" s="113"/>
      <c r="E615" s="63" t="s">
        <v>1658</v>
      </c>
      <c r="F615" s="150"/>
      <c r="G615" s="107"/>
      <c r="H615" s="95"/>
    </row>
    <row r="616" spans="1:8" x14ac:dyDescent="0.3">
      <c r="A616" s="161"/>
      <c r="B616" s="107"/>
      <c r="C616" s="111">
        <f>'04a_Box_Dims'!$S26</f>
        <v>0.2</v>
      </c>
      <c r="D616" s="113"/>
      <c r="E616" s="63"/>
      <c r="F616" s="150"/>
      <c r="G616" s="107"/>
      <c r="H616" s="95"/>
    </row>
    <row r="617" spans="1:8" x14ac:dyDescent="0.3">
      <c r="A617" s="161"/>
      <c r="B617" s="107"/>
      <c r="C617" s="111">
        <f>'04a_Box_Dims'!$T26+BX_blind</f>
        <v>0.5</v>
      </c>
      <c r="D617" s="113">
        <f>$A615*$C615*$C616*$C617</f>
        <v>0.70000000000000007</v>
      </c>
      <c r="E617" s="63"/>
      <c r="F617" s="150"/>
      <c r="G617" s="107"/>
      <c r="H617" s="95"/>
    </row>
    <row r="618" spans="1:8" x14ac:dyDescent="0.3">
      <c r="A618" s="161">
        <f>4</f>
        <v>4</v>
      </c>
      <c r="B618" s="107" t="s">
        <v>1628</v>
      </c>
      <c r="C618" s="111">
        <f>'04a_Box_Dims'!$Z26</f>
        <v>2.1213203435596424</v>
      </c>
      <c r="D618" s="113"/>
      <c r="E618" s="63" t="s">
        <v>1659</v>
      </c>
      <c r="F618" s="150"/>
      <c r="G618" s="107"/>
      <c r="H618" s="95"/>
    </row>
    <row r="619" spans="1:8" x14ac:dyDescent="0.3">
      <c r="A619" s="161"/>
      <c r="B619" s="107"/>
      <c r="C619" s="111">
        <f>'04a_Box_Dims'!$AC26</f>
        <v>0.81400000000000006</v>
      </c>
      <c r="D619" s="113"/>
      <c r="E619" s="63"/>
      <c r="F619" s="150"/>
      <c r="G619" s="107"/>
      <c r="H619" s="95"/>
    </row>
    <row r="620" spans="1:8" x14ac:dyDescent="0.3">
      <c r="A620" s="161"/>
      <c r="B620" s="107"/>
      <c r="C620" s="111">
        <f>'04a_Box_Dims'!$AD26+BX_blind</f>
        <v>0.35</v>
      </c>
      <c r="D620" s="113">
        <f>$A618*$C618*$C619*$C620</f>
        <v>2.4174566635205683</v>
      </c>
      <c r="E620" s="63"/>
      <c r="F620" s="150"/>
      <c r="G620" s="107"/>
      <c r="H620" s="95"/>
    </row>
    <row r="621" spans="1:8" x14ac:dyDescent="0.3">
      <c r="A621" s="161"/>
      <c r="B621" s="107"/>
      <c r="C621" s="111"/>
      <c r="D621" s="113">
        <f>SUM($D$609:$D$620)</f>
        <v>120.56745666352056</v>
      </c>
      <c r="E621" s="63" t="s">
        <v>1660</v>
      </c>
      <c r="F621" s="150">
        <f>ROUND($D621,0)</f>
        <v>121</v>
      </c>
      <c r="G621" s="107" t="s">
        <v>1661</v>
      </c>
      <c r="H621" s="95"/>
    </row>
    <row r="622" spans="1:8" x14ac:dyDescent="0.3">
      <c r="A622" s="161"/>
      <c r="B622" s="107"/>
      <c r="C622" s="111"/>
      <c r="D622" s="113"/>
      <c r="E622" s="63"/>
      <c r="F622" s="150"/>
      <c r="G622" s="107"/>
      <c r="H622" s="95"/>
    </row>
    <row r="623" spans="1:8" x14ac:dyDescent="0.3">
      <c r="A623" s="161"/>
      <c r="B623" s="107"/>
      <c r="C623" s="111"/>
      <c r="D623" s="113"/>
      <c r="E623" s="149" t="s">
        <v>1323</v>
      </c>
      <c r="F623" s="150"/>
      <c r="G623" s="107"/>
      <c r="H623" s="95"/>
    </row>
    <row r="624" spans="1:8" x14ac:dyDescent="0.3">
      <c r="A624" s="161"/>
      <c r="B624" s="107"/>
      <c r="C624" s="111"/>
      <c r="D624" s="113"/>
      <c r="E624" s="63" t="s">
        <v>1662</v>
      </c>
      <c r="F624" s="150"/>
      <c r="G624" s="107"/>
      <c r="H624" s="95"/>
    </row>
    <row r="625" spans="1:8" x14ac:dyDescent="0.3">
      <c r="A625" s="161">
        <f>1</f>
        <v>1</v>
      </c>
      <c r="B625" s="107" t="s">
        <v>1628</v>
      </c>
      <c r="C625" s="111">
        <f>'04a_Box_Dims'!$AE26</f>
        <v>10</v>
      </c>
      <c r="D625" s="113"/>
      <c r="E625" s="63" t="s">
        <v>1663</v>
      </c>
      <c r="F625" s="150"/>
      <c r="G625" s="107"/>
      <c r="H625" s="95"/>
    </row>
    <row r="626" spans="1:8" x14ac:dyDescent="0.3">
      <c r="A626" s="161"/>
      <c r="B626" s="107"/>
      <c r="C626" s="111">
        <f>'04a_Box_Dims'!$J26</f>
        <v>3.5</v>
      </c>
      <c r="D626" s="113"/>
      <c r="E626" s="63"/>
      <c r="F626" s="150"/>
      <c r="G626" s="107"/>
      <c r="H626" s="95"/>
    </row>
    <row r="627" spans="1:8" x14ac:dyDescent="0.3">
      <c r="A627" s="161"/>
      <c r="B627" s="107"/>
      <c r="C627" s="111">
        <f>BX_blind</f>
        <v>0.05</v>
      </c>
      <c r="D627" s="113">
        <f>$A625*$C625*$C626*$C627</f>
        <v>1.75</v>
      </c>
      <c r="E627" s="63"/>
      <c r="F627" s="150"/>
      <c r="G627" s="107"/>
      <c r="H627" s="95"/>
    </row>
    <row r="628" spans="1:8" x14ac:dyDescent="0.3">
      <c r="A628" s="161">
        <f>2</f>
        <v>2</v>
      </c>
      <c r="B628" s="107" t="s">
        <v>1628</v>
      </c>
      <c r="C628" s="111">
        <f>'04a_Box_Dims'!$O26</f>
        <v>1.5</v>
      </c>
      <c r="D628" s="113"/>
      <c r="E628" s="63" t="s">
        <v>1657</v>
      </c>
      <c r="F628" s="150"/>
      <c r="G628" s="107"/>
      <c r="H628" s="95"/>
    </row>
    <row r="629" spans="1:8" x14ac:dyDescent="0.3">
      <c r="A629" s="161"/>
      <c r="B629" s="107"/>
      <c r="C629" s="111">
        <f>'04a_Box_Dims'!$Q26</f>
        <v>5</v>
      </c>
      <c r="D629" s="113"/>
      <c r="E629" s="63"/>
      <c r="F629" s="150"/>
      <c r="G629" s="107"/>
      <c r="H629" s="95"/>
    </row>
    <row r="630" spans="1:8" x14ac:dyDescent="0.3">
      <c r="A630" s="161"/>
      <c r="B630" s="107"/>
      <c r="C630" s="111">
        <f>BX_blind</f>
        <v>0.05</v>
      </c>
      <c r="D630" s="113">
        <f>$A628*$C628*$C629*$C630</f>
        <v>0.75</v>
      </c>
      <c r="E630" s="63"/>
      <c r="F630" s="150"/>
      <c r="G630" s="107"/>
      <c r="H630" s="95"/>
    </row>
    <row r="631" spans="1:8" x14ac:dyDescent="0.3">
      <c r="A631" s="161">
        <f>2</f>
        <v>2</v>
      </c>
      <c r="B631" s="107" t="s">
        <v>1628</v>
      </c>
      <c r="C631" s="111">
        <f>'04a_Box_Dims'!$R26</f>
        <v>3.5</v>
      </c>
      <c r="D631" s="113"/>
      <c r="E631" s="63" t="s">
        <v>1658</v>
      </c>
      <c r="F631" s="150"/>
      <c r="G631" s="107"/>
      <c r="H631" s="95"/>
    </row>
    <row r="632" spans="1:8" x14ac:dyDescent="0.3">
      <c r="A632" s="161"/>
      <c r="B632" s="107"/>
      <c r="C632" s="111">
        <f>'04a_Box_Dims'!$S26</f>
        <v>0.2</v>
      </c>
      <c r="D632" s="113"/>
      <c r="E632" s="63"/>
      <c r="F632" s="150"/>
      <c r="G632" s="107"/>
      <c r="H632" s="95"/>
    </row>
    <row r="633" spans="1:8" x14ac:dyDescent="0.3">
      <c r="A633" s="161"/>
      <c r="B633" s="107"/>
      <c r="C633" s="111">
        <f>BX_blind</f>
        <v>0.05</v>
      </c>
      <c r="D633" s="113">
        <f>$A631*$C631*$C632*$C633</f>
        <v>7.0000000000000007E-2</v>
      </c>
      <c r="E633" s="63"/>
      <c r="F633" s="150"/>
      <c r="G633" s="107"/>
      <c r="H633" s="95"/>
    </row>
    <row r="634" spans="1:8" x14ac:dyDescent="0.3">
      <c r="A634" s="161">
        <f>4</f>
        <v>4</v>
      </c>
      <c r="B634" s="107" t="s">
        <v>1628</v>
      </c>
      <c r="C634" s="111">
        <f>'04a_Box_Dims'!$Z26</f>
        <v>2.1213203435596424</v>
      </c>
      <c r="D634" s="113"/>
      <c r="E634" s="63" t="s">
        <v>1659</v>
      </c>
      <c r="F634" s="150"/>
      <c r="G634" s="107"/>
      <c r="H634" s="95"/>
    </row>
    <row r="635" spans="1:8" x14ac:dyDescent="0.3">
      <c r="A635" s="161"/>
      <c r="B635" s="107"/>
      <c r="C635" s="111">
        <f>'04a_Box_Dims'!$AC26</f>
        <v>0.81400000000000006</v>
      </c>
      <c r="D635" s="113"/>
      <c r="E635" s="63"/>
      <c r="F635" s="150"/>
      <c r="G635" s="107"/>
      <c r="H635" s="95"/>
    </row>
    <row r="636" spans="1:8" x14ac:dyDescent="0.3">
      <c r="A636" s="161"/>
      <c r="B636" s="107"/>
      <c r="C636" s="111">
        <f>BX_blind</f>
        <v>0.05</v>
      </c>
      <c r="D636" s="113">
        <f>$A634*$C634*$C635*$C636</f>
        <v>0.34535095193150983</v>
      </c>
      <c r="E636" s="63"/>
      <c r="F636" s="150"/>
      <c r="G636" s="107"/>
      <c r="H636" s="95"/>
    </row>
    <row r="637" spans="1:8" x14ac:dyDescent="0.3">
      <c r="A637" s="161"/>
      <c r="B637" s="107"/>
      <c r="C637" s="111"/>
      <c r="D637" s="113">
        <f>SUM($D$625:$D$636)</f>
        <v>2.9153509519315097</v>
      </c>
      <c r="E637" s="63" t="s">
        <v>1660</v>
      </c>
      <c r="F637" s="150">
        <f>ROUND($D637,2)</f>
        <v>2.92</v>
      </c>
      <c r="G637" s="107" t="s">
        <v>1661</v>
      </c>
      <c r="H637" s="95"/>
    </row>
    <row r="638" spans="1:8" x14ac:dyDescent="0.3">
      <c r="A638" s="161"/>
      <c r="B638" s="107"/>
      <c r="C638" s="111"/>
      <c r="D638" s="113"/>
      <c r="E638" s="63"/>
      <c r="F638" s="150"/>
      <c r="G638" s="107"/>
      <c r="H638" s="95"/>
    </row>
    <row r="639" spans="1:8" x14ac:dyDescent="0.3">
      <c r="A639" s="161"/>
      <c r="B639" s="107"/>
      <c r="C639" s="111"/>
      <c r="D639" s="113"/>
      <c r="E639" s="149" t="s">
        <v>1324</v>
      </c>
      <c r="F639" s="150"/>
      <c r="G639" s="107"/>
      <c r="H639" s="95"/>
    </row>
    <row r="640" spans="1:8" x14ac:dyDescent="0.3">
      <c r="A640" s="161"/>
      <c r="B640" s="107"/>
      <c r="C640" s="111"/>
      <c r="D640" s="113"/>
      <c r="E640" s="63" t="s">
        <v>1664</v>
      </c>
      <c r="F640" s="150"/>
      <c r="G640" s="107"/>
      <c r="H640" s="95"/>
    </row>
    <row r="641" spans="1:8" x14ac:dyDescent="0.3">
      <c r="A641" s="161"/>
      <c r="B641" s="107"/>
      <c r="C641" s="111"/>
      <c r="D641" s="113">
        <f>$D637</f>
        <v>2.9153509519315097</v>
      </c>
      <c r="E641" s="63" t="s">
        <v>1665</v>
      </c>
      <c r="F641" s="150">
        <f>$F637</f>
        <v>2.92</v>
      </c>
      <c r="G641" s="107" t="s">
        <v>1661</v>
      </c>
      <c r="H641" s="95"/>
    </row>
    <row r="642" spans="1:8" x14ac:dyDescent="0.3">
      <c r="A642" s="161"/>
      <c r="B642" s="107"/>
      <c r="C642" s="111"/>
      <c r="D642" s="113"/>
      <c r="E642" s="63"/>
      <c r="F642" s="150"/>
      <c r="G642" s="107"/>
      <c r="H642" s="95"/>
    </row>
    <row r="643" spans="1:8" x14ac:dyDescent="0.3">
      <c r="A643" s="161"/>
      <c r="B643" s="107"/>
      <c r="C643" s="111"/>
      <c r="D643" s="113"/>
      <c r="E643" s="149" t="s">
        <v>1455</v>
      </c>
      <c r="F643" s="150"/>
      <c r="G643" s="107"/>
      <c r="H643" s="95"/>
    </row>
    <row r="644" spans="1:8" x14ac:dyDescent="0.3">
      <c r="A644" s="161"/>
      <c r="B644" s="107"/>
      <c r="C644" s="111"/>
      <c r="D644" s="113"/>
      <c r="E644" s="63" t="s">
        <v>1666</v>
      </c>
      <c r="F644" s="150"/>
      <c r="G644" s="107"/>
      <c r="H644" s="95"/>
    </row>
    <row r="645" spans="1:8" x14ac:dyDescent="0.3">
      <c r="A645" s="161">
        <f>1</f>
        <v>1</v>
      </c>
      <c r="B645" s="107" t="s">
        <v>1628</v>
      </c>
      <c r="C645" s="111">
        <f>'04a_Box_Dims'!$AE26</f>
        <v>10</v>
      </c>
      <c r="D645" s="113"/>
      <c r="E645" s="63" t="s">
        <v>1667</v>
      </c>
      <c r="F645" s="150"/>
      <c r="G645" s="107"/>
      <c r="H645" s="95"/>
    </row>
    <row r="646" spans="1:8" x14ac:dyDescent="0.3">
      <c r="A646" s="161"/>
      <c r="B646" s="107"/>
      <c r="C646" s="111">
        <f>'04a_Box_Dims'!$J26</f>
        <v>3.5</v>
      </c>
      <c r="D646" s="113"/>
      <c r="E646" s="63"/>
      <c r="F646" s="150"/>
      <c r="G646" s="107"/>
      <c r="H646" s="95"/>
    </row>
    <row r="647" spans="1:8" x14ac:dyDescent="0.3">
      <c r="A647" s="161"/>
      <c r="B647" s="107"/>
      <c r="C647" s="111">
        <f>'04a_Box_Dims'!$I26</f>
        <v>0.25</v>
      </c>
      <c r="D647" s="113">
        <f>$A645*$C645*$C646*$C647</f>
        <v>8.75</v>
      </c>
      <c r="E647" s="63"/>
      <c r="F647" s="150"/>
      <c r="G647" s="107"/>
      <c r="H647" s="95">
        <f>'04a_Box_Dims'!$I26</f>
        <v>0.25</v>
      </c>
    </row>
    <row r="648" spans="1:8" x14ac:dyDescent="0.3">
      <c r="A648" s="161">
        <f>2</f>
        <v>2</v>
      </c>
      <c r="B648" s="107" t="s">
        <v>1628</v>
      </c>
      <c r="C648" s="111">
        <f>'04a_Box_Dims'!$O26</f>
        <v>1.5</v>
      </c>
      <c r="D648" s="113"/>
      <c r="E648" s="63" t="s">
        <v>1657</v>
      </c>
      <c r="F648" s="150"/>
      <c r="G648" s="107"/>
      <c r="H648" s="95"/>
    </row>
    <row r="649" spans="1:8" x14ac:dyDescent="0.3">
      <c r="A649" s="161"/>
      <c r="B649" s="107"/>
      <c r="C649" s="111">
        <f>'04a_Box_Dims'!$Q26</f>
        <v>5</v>
      </c>
      <c r="D649" s="113"/>
      <c r="E649" s="63"/>
      <c r="F649" s="150"/>
      <c r="G649" s="107"/>
      <c r="H649" s="95"/>
    </row>
    <row r="650" spans="1:8" x14ac:dyDescent="0.3">
      <c r="A650" s="161"/>
      <c r="B650" s="107"/>
      <c r="C650" s="111">
        <f>'04a_Box_Dims'!$P26</f>
        <v>0.25</v>
      </c>
      <c r="D650" s="113">
        <f>$A648*$C648*$C649*$C650</f>
        <v>3.75</v>
      </c>
      <c r="E650" s="63"/>
      <c r="F650" s="150"/>
      <c r="G650" s="107"/>
      <c r="H650" s="95">
        <f>'04a_Box_Dims'!$P26</f>
        <v>0.25</v>
      </c>
    </row>
    <row r="651" spans="1:8" x14ac:dyDescent="0.3">
      <c r="A651" s="161">
        <f>2</f>
        <v>2</v>
      </c>
      <c r="B651" s="107" t="s">
        <v>1628</v>
      </c>
      <c r="C651" s="111">
        <f>'04a_Box_Dims'!$R26</f>
        <v>3.5</v>
      </c>
      <c r="D651" s="113"/>
      <c r="E651" s="63" t="s">
        <v>1658</v>
      </c>
      <c r="F651" s="150"/>
      <c r="G651" s="107"/>
      <c r="H651" s="95"/>
    </row>
    <row r="652" spans="1:8" x14ac:dyDescent="0.3">
      <c r="A652" s="161"/>
      <c r="B652" s="107"/>
      <c r="C652" s="111">
        <f>'04a_Box_Dims'!$S26</f>
        <v>0.2</v>
      </c>
      <c r="D652" s="113"/>
      <c r="E652" s="63"/>
      <c r="F652" s="150"/>
      <c r="G652" s="107"/>
      <c r="H652" s="95"/>
    </row>
    <row r="653" spans="1:8" x14ac:dyDescent="0.3">
      <c r="A653" s="161"/>
      <c r="B653" s="107"/>
      <c r="C653" s="111">
        <f>'04a_Box_Dims'!$T26</f>
        <v>0.45</v>
      </c>
      <c r="D653" s="113">
        <f>$A651*$C651*$C652*$C653</f>
        <v>0.63000000000000012</v>
      </c>
      <c r="E653" s="63"/>
      <c r="F653" s="150"/>
      <c r="G653" s="107"/>
      <c r="H653" s="95">
        <f>'04a_Box_Dims'!$S26</f>
        <v>0.2</v>
      </c>
    </row>
    <row r="654" spans="1:8" x14ac:dyDescent="0.3">
      <c r="A654" s="161">
        <f>4</f>
        <v>4</v>
      </c>
      <c r="B654" s="107" t="s">
        <v>1628</v>
      </c>
      <c r="C654" s="111">
        <f>'04a_Box_Dims'!$Z26</f>
        <v>2.1213203435596424</v>
      </c>
      <c r="D654" s="113"/>
      <c r="E654" s="63" t="s">
        <v>1659</v>
      </c>
      <c r="F654" s="150"/>
      <c r="G654" s="107"/>
      <c r="H654" s="95"/>
    </row>
    <row r="655" spans="1:8" x14ac:dyDescent="0.3">
      <c r="A655" s="161"/>
      <c r="B655" s="107"/>
      <c r="C655" s="111">
        <f>'04a_Box_Dims'!$AC26</f>
        <v>0.81400000000000006</v>
      </c>
      <c r="D655" s="113"/>
      <c r="E655" s="63"/>
      <c r="F655" s="150"/>
      <c r="G655" s="107"/>
      <c r="H655" s="95"/>
    </row>
    <row r="656" spans="1:8" x14ac:dyDescent="0.3">
      <c r="A656" s="161"/>
      <c r="B656" s="107"/>
      <c r="C656" s="111">
        <f>'04a_Box_Dims'!$AD26</f>
        <v>0.3</v>
      </c>
      <c r="D656" s="113">
        <f>$A654*$C654*$C655*$C656</f>
        <v>2.0721057115890589</v>
      </c>
      <c r="E656" s="63"/>
      <c r="F656" s="150"/>
      <c r="G656" s="107"/>
      <c r="H656" s="95">
        <f>'04a_Box_Dims'!$AD26</f>
        <v>0.3</v>
      </c>
    </row>
    <row r="657" spans="1:8" x14ac:dyDescent="0.3">
      <c r="A657" s="161"/>
      <c r="B657" s="107"/>
      <c r="C657" s="111"/>
      <c r="D657" s="113">
        <f>SUM($D$645:$D$656)</f>
        <v>15.202105711589059</v>
      </c>
      <c r="E657" s="63" t="s">
        <v>1660</v>
      </c>
      <c r="F657" s="150">
        <f>ROUND($D657,2)</f>
        <v>15.2</v>
      </c>
      <c r="G657" s="107" t="s">
        <v>1661</v>
      </c>
      <c r="H657" s="95"/>
    </row>
    <row r="658" spans="1:8" x14ac:dyDescent="0.3">
      <c r="A658" s="161"/>
      <c r="B658" s="107"/>
      <c r="C658" s="111"/>
      <c r="D658" s="113"/>
      <c r="E658" s="63"/>
      <c r="F658" s="150"/>
      <c r="G658" s="107"/>
      <c r="H658" s="95"/>
    </row>
    <row r="659" spans="1:8" x14ac:dyDescent="0.3">
      <c r="A659" s="161"/>
      <c r="B659" s="107"/>
      <c r="C659" s="111"/>
      <c r="D659" s="113"/>
      <c r="E659" s="149" t="s">
        <v>1668</v>
      </c>
      <c r="F659" s="150"/>
      <c r="G659" s="107"/>
      <c r="H659" s="95"/>
    </row>
    <row r="660" spans="1:8" x14ac:dyDescent="0.3">
      <c r="A660" s="161"/>
      <c r="B660" s="107"/>
      <c r="C660" s="111"/>
      <c r="D660" s="113"/>
      <c r="E660" s="63" t="s">
        <v>1669</v>
      </c>
      <c r="F660" s="150"/>
      <c r="G660" s="107"/>
      <c r="H660" s="95"/>
    </row>
    <row r="661" spans="1:8" x14ac:dyDescent="0.3">
      <c r="A661" s="161"/>
      <c r="B661" s="107"/>
      <c r="C661" s="111"/>
      <c r="D661" s="113">
        <f>SUMIF($H$645:$H$656,"&lt;=0.3",$D$645:$D$656)</f>
        <v>15.202105711589059</v>
      </c>
      <c r="E661" s="63" t="s">
        <v>1670</v>
      </c>
      <c r="F661" s="150">
        <f>ROUND($D661,2)</f>
        <v>15.2</v>
      </c>
      <c r="G661" s="107" t="s">
        <v>1661</v>
      </c>
      <c r="H661" s="95"/>
    </row>
    <row r="662" spans="1:8" x14ac:dyDescent="0.3">
      <c r="A662" s="161"/>
      <c r="B662" s="107"/>
      <c r="C662" s="111"/>
      <c r="D662" s="113">
        <f>SUMIF($H$645:$H$656,"&gt;0.3",$D$645:$D$656)</f>
        <v>0</v>
      </c>
      <c r="E662" s="63" t="s">
        <v>1671</v>
      </c>
      <c r="F662" s="150">
        <f>ROUND($D662,2)</f>
        <v>0</v>
      </c>
      <c r="G662" s="107" t="s">
        <v>1661</v>
      </c>
      <c r="H662" s="95"/>
    </row>
    <row r="663" spans="1:8" x14ac:dyDescent="0.3">
      <c r="A663" s="161"/>
      <c r="B663" s="107"/>
      <c r="C663" s="111"/>
      <c r="D663" s="113"/>
      <c r="E663" s="63"/>
      <c r="F663" s="150"/>
      <c r="G663" s="107"/>
      <c r="H663" s="95"/>
    </row>
    <row r="664" spans="1:8" x14ac:dyDescent="0.3">
      <c r="A664" s="161"/>
      <c r="B664" s="107"/>
      <c r="C664" s="111"/>
      <c r="D664" s="113"/>
      <c r="E664" s="149" t="s">
        <v>1455</v>
      </c>
      <c r="F664" s="150"/>
      <c r="G664" s="107"/>
      <c r="H664" s="95"/>
    </row>
    <row r="665" spans="1:8" x14ac:dyDescent="0.3">
      <c r="A665" s="161"/>
      <c r="B665" s="107"/>
      <c r="C665" s="111"/>
      <c r="D665" s="113"/>
      <c r="E665" s="63" t="s">
        <v>1672</v>
      </c>
      <c r="F665" s="150"/>
      <c r="G665" s="107"/>
      <c r="H665" s="95"/>
    </row>
    <row r="666" spans="1:8" x14ac:dyDescent="0.3">
      <c r="A666" s="161">
        <f>1</f>
        <v>1</v>
      </c>
      <c r="B666" s="107" t="s">
        <v>1628</v>
      </c>
      <c r="C666" s="111">
        <f>'04a_Box_Dims'!$AE26</f>
        <v>10</v>
      </c>
      <c r="D666" s="113"/>
      <c r="E666" s="63" t="s">
        <v>1673</v>
      </c>
      <c r="F666" s="150"/>
      <c r="G666" s="107"/>
      <c r="H666" s="95"/>
    </row>
    <row r="667" spans="1:8" x14ac:dyDescent="0.3">
      <c r="A667" s="161"/>
      <c r="B667" s="107"/>
      <c r="C667" s="111">
        <f>'04a_Box_Dims'!$J26</f>
        <v>3.5</v>
      </c>
      <c r="D667" s="113"/>
      <c r="E667" s="63"/>
      <c r="F667" s="150"/>
      <c r="G667" s="107"/>
      <c r="H667" s="95"/>
    </row>
    <row r="668" spans="1:8" x14ac:dyDescent="0.3">
      <c r="A668" s="161"/>
      <c r="B668" s="107"/>
      <c r="C668" s="111">
        <f>'04a_Box_Dims'!$I26</f>
        <v>0.25</v>
      </c>
      <c r="D668" s="113">
        <f>$A666*$C666*$C667*$C668</f>
        <v>8.75</v>
      </c>
      <c r="E668" s="63"/>
      <c r="F668" s="150"/>
      <c r="G668" s="107"/>
      <c r="H668" s="95">
        <f>'04a_Box_Dims'!$I26</f>
        <v>0.25</v>
      </c>
    </row>
    <row r="669" spans="1:8" x14ac:dyDescent="0.3">
      <c r="A669" s="161"/>
      <c r="B669" s="107"/>
      <c r="C669" s="111"/>
      <c r="D669" s="113">
        <f>SUM($D$666:$D$668)</f>
        <v>8.75</v>
      </c>
      <c r="E669" s="63" t="s">
        <v>1660</v>
      </c>
      <c r="F669" s="150">
        <f>ROUND($D669,2)</f>
        <v>8.75</v>
      </c>
      <c r="G669" s="107" t="s">
        <v>1661</v>
      </c>
      <c r="H669" s="95"/>
    </row>
    <row r="670" spans="1:8" x14ac:dyDescent="0.3">
      <c r="A670" s="161"/>
      <c r="B670" s="107"/>
      <c r="C670" s="111"/>
      <c r="D670" s="113"/>
      <c r="E670" s="63"/>
      <c r="F670" s="150"/>
      <c r="G670" s="107"/>
      <c r="H670" s="95"/>
    </row>
    <row r="671" spans="1:8" x14ac:dyDescent="0.3">
      <c r="A671" s="161"/>
      <c r="B671" s="107"/>
      <c r="C671" s="111"/>
      <c r="D671" s="113"/>
      <c r="E671" s="149" t="s">
        <v>1674</v>
      </c>
      <c r="F671" s="150"/>
      <c r="G671" s="107"/>
      <c r="H671" s="95"/>
    </row>
    <row r="672" spans="1:8" x14ac:dyDescent="0.3">
      <c r="A672" s="161"/>
      <c r="B672" s="107"/>
      <c r="C672" s="111"/>
      <c r="D672" s="113"/>
      <c r="E672" s="63" t="s">
        <v>1675</v>
      </c>
      <c r="F672" s="150"/>
      <c r="G672" s="107"/>
      <c r="H672" s="95"/>
    </row>
    <row r="673" spans="1:8" x14ac:dyDescent="0.3">
      <c r="A673" s="161"/>
      <c r="B673" s="107"/>
      <c r="C673" s="111"/>
      <c r="D673" s="113">
        <f>SUMIF($H$666:$H$668,"&lt;=0.3",$D$666:$D$668)</f>
        <v>8.75</v>
      </c>
      <c r="E673" s="63" t="s">
        <v>1670</v>
      </c>
      <c r="F673" s="150">
        <f>ROUND($D673,2)</f>
        <v>8.75</v>
      </c>
      <c r="G673" s="107" t="s">
        <v>1661</v>
      </c>
      <c r="H673" s="95"/>
    </row>
    <row r="674" spans="1:8" x14ac:dyDescent="0.3">
      <c r="A674" s="161"/>
      <c r="B674" s="107"/>
      <c r="C674" s="111"/>
      <c r="D674" s="113">
        <f>SUMIF($H$666:$H$668,"&gt;0.3",$D$666:$D$668)</f>
        <v>0</v>
      </c>
      <c r="E674" s="63" t="s">
        <v>1671</v>
      </c>
      <c r="F674" s="150">
        <f>ROUND($D674,2)</f>
        <v>0</v>
      </c>
      <c r="G674" s="107" t="s">
        <v>1661</v>
      </c>
      <c r="H674" s="95"/>
    </row>
    <row r="675" spans="1:8" x14ac:dyDescent="0.3">
      <c r="A675" s="161"/>
      <c r="B675" s="107"/>
      <c r="C675" s="111"/>
      <c r="D675" s="113"/>
      <c r="E675" s="63"/>
      <c r="F675" s="150"/>
      <c r="G675" s="107"/>
      <c r="H675" s="95"/>
    </row>
    <row r="676" spans="1:8" x14ac:dyDescent="0.3">
      <c r="A676" s="161"/>
      <c r="B676" s="107"/>
      <c r="C676" s="111"/>
      <c r="D676" s="113"/>
      <c r="E676" s="149" t="s">
        <v>1455</v>
      </c>
      <c r="F676" s="150"/>
      <c r="G676" s="107"/>
      <c r="H676" s="95"/>
    </row>
    <row r="677" spans="1:8" x14ac:dyDescent="0.3">
      <c r="A677" s="161"/>
      <c r="B677" s="107"/>
      <c r="C677" s="111"/>
      <c r="D677" s="113"/>
      <c r="E677" s="63" t="s">
        <v>1676</v>
      </c>
      <c r="F677" s="150"/>
      <c r="G677" s="107"/>
      <c r="H677" s="95"/>
    </row>
    <row r="678" spans="1:8" x14ac:dyDescent="0.3">
      <c r="A678" s="161">
        <f>2</f>
        <v>2</v>
      </c>
      <c r="B678" s="107" t="s">
        <v>1628</v>
      </c>
      <c r="C678" s="111">
        <f>'04a_Box_Dims'!$AE26</f>
        <v>10</v>
      </c>
      <c r="D678" s="113"/>
      <c r="E678" s="63" t="s">
        <v>1677</v>
      </c>
      <c r="F678" s="150"/>
      <c r="G678" s="107"/>
      <c r="H678" s="95"/>
    </row>
    <row r="679" spans="1:8" x14ac:dyDescent="0.3">
      <c r="A679" s="161"/>
      <c r="B679" s="107"/>
      <c r="C679" s="111">
        <f>'04a_Box_Dims'!$E26</f>
        <v>2</v>
      </c>
      <c r="D679" s="113"/>
      <c r="E679" s="63"/>
      <c r="F679" s="150"/>
      <c r="G679" s="107"/>
      <c r="H679" s="95"/>
    </row>
    <row r="680" spans="1:8" x14ac:dyDescent="0.3">
      <c r="A680" s="161"/>
      <c r="B680" s="107"/>
      <c r="C680" s="111">
        <f>'04a_Box_Dims'!$I26</f>
        <v>0.25</v>
      </c>
      <c r="D680" s="113">
        <f>$A678*$C678*$C679*$C680</f>
        <v>10</v>
      </c>
      <c r="E680" s="63"/>
      <c r="F680" s="150"/>
      <c r="G680" s="107"/>
      <c r="H680" s="95">
        <f>'04a_Box_Dims'!$I26</f>
        <v>0.25</v>
      </c>
    </row>
    <row r="681" spans="1:8" x14ac:dyDescent="0.3">
      <c r="A681" s="161">
        <f>'04a_Box_Dims'!$C26-1</f>
        <v>0</v>
      </c>
      <c r="B681" s="107" t="s">
        <v>1628</v>
      </c>
      <c r="C681" s="111">
        <f>'04a_Box_Dims'!$AE26</f>
        <v>10</v>
      </c>
      <c r="D681" s="113"/>
      <c r="E681" s="63" t="s">
        <v>1678</v>
      </c>
      <c r="F681" s="150"/>
      <c r="G681" s="107"/>
      <c r="H681" s="95"/>
    </row>
    <row r="682" spans="1:8" x14ac:dyDescent="0.3">
      <c r="A682" s="161"/>
      <c r="B682" s="107"/>
      <c r="C682" s="111">
        <f>'04a_Box_Dims'!$E26</f>
        <v>2</v>
      </c>
      <c r="D682" s="113"/>
      <c r="E682" s="63"/>
      <c r="F682" s="150"/>
      <c r="G682" s="107"/>
      <c r="H682" s="95"/>
    </row>
    <row r="683" spans="1:8" x14ac:dyDescent="0.3">
      <c r="A683" s="161"/>
      <c r="B683" s="107"/>
      <c r="C683" s="111">
        <f>'04a_Box_Dims'!$I26</f>
        <v>0.25</v>
      </c>
      <c r="D683" s="113">
        <f>$A681*$C681*$C682*$C683</f>
        <v>0</v>
      </c>
      <c r="E683" s="63"/>
      <c r="F683" s="150"/>
      <c r="G683" s="107"/>
      <c r="H683" s="95">
        <f>'04a_Box_Dims'!$I26</f>
        <v>0.25</v>
      </c>
    </row>
    <row r="684" spans="1:8" x14ac:dyDescent="0.3">
      <c r="A684" s="161">
        <f>4*'04a_Box_Dims'!$C26</f>
        <v>4</v>
      </c>
      <c r="B684" s="107" t="s">
        <v>1628</v>
      </c>
      <c r="C684" s="111">
        <f>'04a_Box_Dims'!$AE26</f>
        <v>10</v>
      </c>
      <c r="D684" s="113"/>
      <c r="E684" s="63" t="s">
        <v>1679</v>
      </c>
      <c r="F684" s="150"/>
      <c r="G684" s="107"/>
      <c r="H684" s="95"/>
    </row>
    <row r="685" spans="1:8" x14ac:dyDescent="0.3">
      <c r="A685" s="161"/>
      <c r="B685" s="107"/>
      <c r="C685" s="111">
        <f>'04a_Box_Dims'!$N26</f>
        <v>0.15</v>
      </c>
      <c r="D685" s="113"/>
      <c r="E685" s="63"/>
      <c r="F685" s="150"/>
      <c r="G685" s="107"/>
      <c r="H685" s="95"/>
    </row>
    <row r="686" spans="1:8" x14ac:dyDescent="0.3">
      <c r="A686" s="161"/>
      <c r="B686" s="107"/>
      <c r="C686" s="111">
        <f>'04a_Box_Dims'!$N26/2</f>
        <v>7.4999999999999997E-2</v>
      </c>
      <c r="D686" s="113">
        <f>$A684*$C684*$C685*$C686</f>
        <v>0.44999999999999996</v>
      </c>
      <c r="E686" s="63"/>
      <c r="F686" s="150"/>
      <c r="G686" s="107"/>
      <c r="H686" s="95">
        <f>'04a_Box_Dims'!$N26</f>
        <v>0.15</v>
      </c>
    </row>
    <row r="687" spans="1:8" x14ac:dyDescent="0.3">
      <c r="A687" s="161">
        <f>2</f>
        <v>2</v>
      </c>
      <c r="B687" s="107" t="s">
        <v>1628</v>
      </c>
      <c r="C687" s="111">
        <f>'04a_Box_Dims'!$J26</f>
        <v>3.5</v>
      </c>
      <c r="D687" s="113"/>
      <c r="E687" s="63" t="s">
        <v>1680</v>
      </c>
      <c r="F687" s="150"/>
      <c r="G687" s="107"/>
      <c r="H687" s="95"/>
    </row>
    <row r="688" spans="1:8" x14ac:dyDescent="0.3">
      <c r="A688" s="161"/>
      <c r="B688" s="107"/>
      <c r="C688" s="111">
        <f>'04a_Box_Dims'!$U26</f>
        <v>0.6</v>
      </c>
      <c r="D688" s="113"/>
      <c r="E688" s="63"/>
      <c r="F688" s="150"/>
      <c r="G688" s="107"/>
      <c r="H688" s="95"/>
    </row>
    <row r="689" spans="1:8" x14ac:dyDescent="0.3">
      <c r="A689" s="161"/>
      <c r="B689" s="107"/>
      <c r="C689" s="111">
        <f>'04a_Box_Dims'!$V26</f>
        <v>0.3</v>
      </c>
      <c r="D689" s="113">
        <f>$A687*$C687*$C688*$C689</f>
        <v>1.26</v>
      </c>
      <c r="E689" s="63"/>
      <c r="F689" s="150"/>
      <c r="G689" s="107"/>
      <c r="H689" s="95">
        <f>'04a_Box_Dims'!$V26</f>
        <v>0.3</v>
      </c>
    </row>
    <row r="690" spans="1:8" x14ac:dyDescent="0.3">
      <c r="A690" s="161">
        <f>4</f>
        <v>4</v>
      </c>
      <c r="B690" s="107" t="s">
        <v>1628</v>
      </c>
      <c r="C690" s="111">
        <f>'04a_Box_Dims'!$Z26</f>
        <v>2.1213203435596424</v>
      </c>
      <c r="D690" s="113"/>
      <c r="E690" s="63" t="s">
        <v>1681</v>
      </c>
      <c r="F690" s="150"/>
      <c r="G690" s="107"/>
      <c r="H690" s="95"/>
    </row>
    <row r="691" spans="1:8" x14ac:dyDescent="0.3">
      <c r="A691" s="161"/>
      <c r="B691" s="107"/>
      <c r="C691" s="111">
        <f>'04a_Box_Dims'!$Y26</f>
        <v>2.9928932188134527</v>
      </c>
      <c r="D691" s="113"/>
      <c r="E691" s="63"/>
      <c r="F691" s="150"/>
      <c r="G691" s="107"/>
      <c r="H691" s="95"/>
    </row>
    <row r="692" spans="1:8" x14ac:dyDescent="0.3">
      <c r="A692" s="161"/>
      <c r="B692" s="107"/>
      <c r="C692" s="111">
        <f>'04a_Box_Dims'!$AB26</f>
        <v>0.31</v>
      </c>
      <c r="D692" s="113">
        <f>$A690*$C690*$C691*$C692</f>
        <v>7.8726177362516392</v>
      </c>
      <c r="E692" s="63"/>
      <c r="F692" s="150"/>
      <c r="G692" s="107"/>
      <c r="H692" s="95">
        <f>'04a_Box_Dims'!$AB26</f>
        <v>0.31</v>
      </c>
    </row>
    <row r="693" spans="1:8" x14ac:dyDescent="0.3">
      <c r="A693" s="161"/>
      <c r="B693" s="107"/>
      <c r="C693" s="111"/>
      <c r="D693" s="113">
        <f>SUM($D$678:$D$692)</f>
        <v>19.582617736251638</v>
      </c>
      <c r="E693" s="63" t="s">
        <v>1660</v>
      </c>
      <c r="F693" s="150">
        <f>ROUND($D693,2)</f>
        <v>19.579999999999998</v>
      </c>
      <c r="G693" s="107" t="s">
        <v>1661</v>
      </c>
      <c r="H693" s="95"/>
    </row>
    <row r="694" spans="1:8" x14ac:dyDescent="0.3">
      <c r="A694" s="161"/>
      <c r="B694" s="107"/>
      <c r="C694" s="111"/>
      <c r="D694" s="113"/>
      <c r="E694" s="63"/>
      <c r="F694" s="150"/>
      <c r="G694" s="107"/>
      <c r="H694" s="95"/>
    </row>
    <row r="695" spans="1:8" x14ac:dyDescent="0.3">
      <c r="A695" s="161"/>
      <c r="B695" s="107"/>
      <c r="C695" s="111"/>
      <c r="D695" s="113"/>
      <c r="E695" s="149" t="s">
        <v>1682</v>
      </c>
      <c r="F695" s="150"/>
      <c r="G695" s="107"/>
      <c r="H695" s="95"/>
    </row>
    <row r="696" spans="1:8" x14ac:dyDescent="0.3">
      <c r="A696" s="161"/>
      <c r="B696" s="107"/>
      <c r="C696" s="111"/>
      <c r="D696" s="113"/>
      <c r="E696" s="63" t="s">
        <v>1683</v>
      </c>
      <c r="F696" s="150"/>
      <c r="G696" s="107"/>
      <c r="H696" s="95"/>
    </row>
    <row r="697" spans="1:8" x14ac:dyDescent="0.3">
      <c r="A697" s="161"/>
      <c r="B697" s="107"/>
      <c r="C697" s="111"/>
      <c r="D697" s="113">
        <f>SUMIF($H$678:$H$692,"&lt;=0.3",$D$678:$D$692)</f>
        <v>11.709999999999999</v>
      </c>
      <c r="E697" s="63" t="s">
        <v>1670</v>
      </c>
      <c r="F697" s="150">
        <f>ROUND($D697,2)</f>
        <v>11.71</v>
      </c>
      <c r="G697" s="107" t="s">
        <v>1661</v>
      </c>
      <c r="H697" s="95"/>
    </row>
    <row r="698" spans="1:8" x14ac:dyDescent="0.3">
      <c r="A698" s="161"/>
      <c r="B698" s="107"/>
      <c r="C698" s="111"/>
      <c r="D698" s="113">
        <f>SUMIF($H$678:$H$692,"&gt;0.3",$D$678:$D$692)</f>
        <v>7.8726177362516392</v>
      </c>
      <c r="E698" s="63" t="s">
        <v>1671</v>
      </c>
      <c r="F698" s="150">
        <f>ROUND($D698,2)</f>
        <v>7.87</v>
      </c>
      <c r="G698" s="107" t="s">
        <v>1661</v>
      </c>
      <c r="H698" s="95"/>
    </row>
    <row r="699" spans="1:8" x14ac:dyDescent="0.3">
      <c r="A699" s="161"/>
      <c r="B699" s="107"/>
      <c r="C699" s="111"/>
      <c r="D699" s="113"/>
      <c r="E699" s="63"/>
      <c r="F699" s="150"/>
      <c r="G699" s="107"/>
      <c r="H699" s="95"/>
    </row>
    <row r="700" spans="1:8" x14ac:dyDescent="0.3">
      <c r="A700" s="161"/>
      <c r="B700" s="107"/>
      <c r="C700" s="111"/>
      <c r="D700" s="113"/>
      <c r="E700" s="149" t="s">
        <v>1445</v>
      </c>
      <c r="F700" s="150"/>
      <c r="G700" s="107"/>
      <c r="H700" s="95"/>
    </row>
    <row r="701" spans="1:8" x14ac:dyDescent="0.3">
      <c r="A701" s="161"/>
      <c r="B701" s="107"/>
      <c r="C701" s="111"/>
      <c r="D701" s="113"/>
      <c r="E701" s="63" t="s">
        <v>1684</v>
      </c>
      <c r="F701" s="150"/>
      <c r="G701" s="107"/>
      <c r="H701" s="95"/>
    </row>
    <row r="702" spans="1:8" x14ac:dyDescent="0.3">
      <c r="A702" s="161">
        <f>2</f>
        <v>2</v>
      </c>
      <c r="B702" s="107" t="s">
        <v>1628</v>
      </c>
      <c r="C702" s="111">
        <f>'04a_Box_Dims'!$AE26</f>
        <v>10</v>
      </c>
      <c r="D702" s="113"/>
      <c r="E702" s="63" t="s">
        <v>1685</v>
      </c>
      <c r="F702" s="150"/>
      <c r="G702" s="107"/>
      <c r="H702" s="95"/>
    </row>
    <row r="703" spans="1:8" x14ac:dyDescent="0.3">
      <c r="A703" s="161"/>
      <c r="B703" s="107"/>
      <c r="C703" s="111">
        <f>'04a_Box_Dims'!$E26</f>
        <v>2</v>
      </c>
      <c r="D703" s="113">
        <f>$A702*$C702*$C703</f>
        <v>40</v>
      </c>
      <c r="E703" s="63"/>
      <c r="F703" s="150"/>
      <c r="G703" s="107"/>
      <c r="H703" s="95"/>
    </row>
    <row r="704" spans="1:8" x14ac:dyDescent="0.3">
      <c r="A704" s="161">
        <f>4</f>
        <v>4</v>
      </c>
      <c r="B704" s="107" t="s">
        <v>1628</v>
      </c>
      <c r="C704" s="111">
        <f>'04a_Box_Dims'!$Z26</f>
        <v>2.1213203435596424</v>
      </c>
      <c r="D704" s="113"/>
      <c r="E704" s="63" t="s">
        <v>1686</v>
      </c>
      <c r="F704" s="150"/>
      <c r="G704" s="107"/>
      <c r="H704" s="95"/>
    </row>
    <row r="705" spans="1:8" x14ac:dyDescent="0.3">
      <c r="A705" s="161"/>
      <c r="B705" s="107"/>
      <c r="C705" s="111">
        <f>'04a_Box_Dims'!$Y26</f>
        <v>2.9928932188134527</v>
      </c>
      <c r="D705" s="113">
        <f>$A704*$C704*$C705</f>
        <v>25.395541084682709</v>
      </c>
      <c r="E705" s="63"/>
      <c r="F705" s="150"/>
      <c r="G705" s="107"/>
      <c r="H705" s="95"/>
    </row>
    <row r="706" spans="1:8" x14ac:dyDescent="0.3">
      <c r="A706" s="161">
        <f>2</f>
        <v>2</v>
      </c>
      <c r="B706" s="107" t="s">
        <v>1628</v>
      </c>
      <c r="C706" s="111">
        <f>'04a_Box_Dims'!$J26</f>
        <v>3.5</v>
      </c>
      <c r="D706" s="113"/>
      <c r="E706" s="63" t="s">
        <v>1687</v>
      </c>
      <c r="F706" s="150"/>
      <c r="G706" s="107"/>
      <c r="H706" s="95"/>
    </row>
    <row r="707" spans="1:8" x14ac:dyDescent="0.3">
      <c r="A707" s="161"/>
      <c r="B707" s="107"/>
      <c r="C707" s="111">
        <f>'04a_Box_Dims'!$U26</f>
        <v>0.6</v>
      </c>
      <c r="D707" s="113">
        <f>$A706*$C706*$C707</f>
        <v>4.2</v>
      </c>
      <c r="E707" s="63"/>
      <c r="F707" s="150"/>
      <c r="G707" s="107"/>
      <c r="H707" s="95"/>
    </row>
    <row r="708" spans="1:8" x14ac:dyDescent="0.3">
      <c r="A708" s="161"/>
      <c r="B708" s="107"/>
      <c r="C708" s="111"/>
      <c r="D708" s="113">
        <f>SUM($D$702:$D$707)</f>
        <v>69.595541084682708</v>
      </c>
      <c r="E708" s="63" t="s">
        <v>1660</v>
      </c>
      <c r="F708" s="150">
        <f>ROUND($D708,2)</f>
        <v>69.599999999999994</v>
      </c>
      <c r="G708" s="107" t="s">
        <v>1688</v>
      </c>
      <c r="H708" s="95"/>
    </row>
    <row r="709" spans="1:8" x14ac:dyDescent="0.3">
      <c r="A709" s="161"/>
      <c r="B709" s="107"/>
      <c r="C709" s="111"/>
      <c r="D709" s="113"/>
      <c r="E709" s="63"/>
      <c r="F709" s="150"/>
      <c r="G709" s="107"/>
      <c r="H709" s="95"/>
    </row>
    <row r="710" spans="1:8" x14ac:dyDescent="0.3">
      <c r="A710" s="161"/>
      <c r="B710" s="107"/>
      <c r="C710" s="111"/>
      <c r="D710" s="113"/>
      <c r="E710" s="149" t="s">
        <v>1446</v>
      </c>
      <c r="F710" s="150"/>
      <c r="G710" s="107"/>
      <c r="H710" s="95"/>
    </row>
    <row r="711" spans="1:8" x14ac:dyDescent="0.3">
      <c r="A711" s="161"/>
      <c r="B711" s="107"/>
      <c r="C711" s="111"/>
      <c r="D711" s="113"/>
      <c r="E711" s="63" t="s">
        <v>1689</v>
      </c>
      <c r="F711" s="150"/>
      <c r="G711" s="107"/>
      <c r="H711" s="95"/>
    </row>
    <row r="712" spans="1:8" x14ac:dyDescent="0.3">
      <c r="A712" s="161">
        <f>2</f>
        <v>2</v>
      </c>
      <c r="B712" s="107" t="s">
        <v>1628</v>
      </c>
      <c r="C712" s="111">
        <f>'04a_Box_Dims'!$O26</f>
        <v>1.5</v>
      </c>
      <c r="D712" s="113"/>
      <c r="E712" s="63" t="s">
        <v>1690</v>
      </c>
      <c r="F712" s="150"/>
      <c r="G712" s="107"/>
      <c r="H712" s="95"/>
    </row>
    <row r="713" spans="1:8" x14ac:dyDescent="0.3">
      <c r="A713" s="161"/>
      <c r="B713" s="107"/>
      <c r="C713" s="111">
        <f>'04a_Box_Dims'!$Q26</f>
        <v>5</v>
      </c>
      <c r="D713" s="113">
        <f>$A712*$C712*$C713</f>
        <v>15</v>
      </c>
      <c r="E713" s="63"/>
      <c r="F713" s="150"/>
      <c r="G713" s="107"/>
      <c r="H713" s="95"/>
    </row>
    <row r="714" spans="1:8" x14ac:dyDescent="0.3">
      <c r="A714" s="161"/>
      <c r="B714" s="107"/>
      <c r="C714" s="111"/>
      <c r="D714" s="113">
        <f>SUM($D$712:$D$713)</f>
        <v>15</v>
      </c>
      <c r="E714" s="63" t="s">
        <v>1660</v>
      </c>
      <c r="F714" s="150">
        <f>ROUND($D714,2)</f>
        <v>15</v>
      </c>
      <c r="G714" s="107" t="s">
        <v>1688</v>
      </c>
      <c r="H714" s="95"/>
    </row>
    <row r="715" spans="1:8" x14ac:dyDescent="0.3">
      <c r="A715" s="161"/>
      <c r="B715" s="107"/>
      <c r="C715" s="111"/>
      <c r="D715" s="113"/>
      <c r="E715" s="63"/>
      <c r="F715" s="150"/>
      <c r="G715" s="107"/>
      <c r="H715" s="95"/>
    </row>
    <row r="716" spans="1:8" x14ac:dyDescent="0.3">
      <c r="A716" s="161"/>
      <c r="B716" s="107"/>
      <c r="C716" s="111"/>
      <c r="D716" s="113"/>
      <c r="E716" s="149" t="s">
        <v>1447</v>
      </c>
      <c r="F716" s="150"/>
      <c r="G716" s="107"/>
      <c r="H716" s="95"/>
    </row>
    <row r="717" spans="1:8" x14ac:dyDescent="0.3">
      <c r="A717" s="161"/>
      <c r="B717" s="107"/>
      <c r="C717" s="111"/>
      <c r="D717" s="113"/>
      <c r="E717" s="63" t="s">
        <v>1691</v>
      </c>
      <c r="F717" s="150"/>
      <c r="G717" s="107"/>
      <c r="H717" s="95"/>
    </row>
    <row r="718" spans="1:8" x14ac:dyDescent="0.3">
      <c r="A718" s="161">
        <f>4</f>
        <v>4</v>
      </c>
      <c r="B718" s="107" t="s">
        <v>1628</v>
      </c>
      <c r="C718" s="111">
        <f>'04a_Box_Dims'!$J26</f>
        <v>3.5</v>
      </c>
      <c r="D718" s="113"/>
      <c r="E718" s="63" t="s">
        <v>1692</v>
      </c>
      <c r="F718" s="150"/>
      <c r="G718" s="107"/>
      <c r="H718" s="95"/>
    </row>
    <row r="719" spans="1:8" x14ac:dyDescent="0.3">
      <c r="A719" s="161"/>
      <c r="B719" s="107"/>
      <c r="C719" s="111">
        <f>'04a_Box_Dims'!$I26</f>
        <v>0.25</v>
      </c>
      <c r="D719" s="113">
        <f>$A718*$C718*$C719</f>
        <v>3.5</v>
      </c>
      <c r="E719" s="63"/>
      <c r="F719" s="150"/>
      <c r="G719" s="107"/>
      <c r="H719" s="95"/>
    </row>
    <row r="720" spans="1:8" x14ac:dyDescent="0.3">
      <c r="A720" s="161">
        <f>4</f>
        <v>4</v>
      </c>
      <c r="B720" s="107" t="s">
        <v>1628</v>
      </c>
      <c r="C720" s="111">
        <f>'04a_Box_Dims'!$O26</f>
        <v>1.5</v>
      </c>
      <c r="D720" s="113"/>
      <c r="E720" s="63" t="s">
        <v>1693</v>
      </c>
      <c r="F720" s="150"/>
      <c r="G720" s="107"/>
      <c r="H720" s="95"/>
    </row>
    <row r="721" spans="1:8" x14ac:dyDescent="0.3">
      <c r="A721" s="161"/>
      <c r="B721" s="107"/>
      <c r="C721" s="111">
        <f>'04a_Box_Dims'!$P26</f>
        <v>0.25</v>
      </c>
      <c r="D721" s="113">
        <f>$A720*$C720*$C721</f>
        <v>1.5</v>
      </c>
      <c r="E721" s="63"/>
      <c r="F721" s="150"/>
      <c r="G721" s="107"/>
      <c r="H721" s="95"/>
    </row>
    <row r="722" spans="1:8" x14ac:dyDescent="0.3">
      <c r="A722" s="161"/>
      <c r="B722" s="107"/>
      <c r="C722" s="111"/>
      <c r="D722" s="113">
        <f>SUM($D$718:$D$721)</f>
        <v>5</v>
      </c>
      <c r="E722" s="63" t="s">
        <v>1660</v>
      </c>
      <c r="F722" s="150">
        <f>ROUND($D722,2)</f>
        <v>5</v>
      </c>
      <c r="G722" s="107" t="s">
        <v>1688</v>
      </c>
      <c r="H722" s="95"/>
    </row>
    <row r="723" spans="1:8" x14ac:dyDescent="0.3">
      <c r="A723" s="161"/>
      <c r="B723" s="107"/>
      <c r="C723" s="111"/>
      <c r="D723" s="113"/>
      <c r="E723" s="63"/>
      <c r="F723" s="150"/>
      <c r="G723" s="107"/>
      <c r="H723" s="95"/>
    </row>
    <row r="724" spans="1:8" x14ac:dyDescent="0.3">
      <c r="A724" s="161"/>
      <c r="B724" s="107"/>
      <c r="C724" s="111"/>
      <c r="D724" s="113"/>
      <c r="E724" s="149" t="s">
        <v>1448</v>
      </c>
      <c r="F724" s="150"/>
      <c r="G724" s="107"/>
      <c r="H724" s="95"/>
    </row>
    <row r="725" spans="1:8" x14ac:dyDescent="0.3">
      <c r="A725" s="161"/>
      <c r="B725" s="107"/>
      <c r="C725" s="111"/>
      <c r="D725" s="113"/>
      <c r="E725" s="63" t="s">
        <v>1694</v>
      </c>
      <c r="F725" s="150"/>
      <c r="G725" s="107"/>
      <c r="H725" s="95"/>
    </row>
    <row r="726" spans="1:8" x14ac:dyDescent="0.3">
      <c r="A726" s="161">
        <f>1</f>
        <v>1</v>
      </c>
      <c r="B726" s="107" t="s">
        <v>1628</v>
      </c>
      <c r="C726" s="111">
        <f>'04a_Box_Dims'!$AE26</f>
        <v>10</v>
      </c>
      <c r="D726" s="113"/>
      <c r="E726" s="63" t="s">
        <v>1695</v>
      </c>
      <c r="F726" s="150"/>
      <c r="G726" s="107"/>
      <c r="H726" s="95"/>
    </row>
    <row r="727" spans="1:8" x14ac:dyDescent="0.3">
      <c r="A727" s="161"/>
      <c r="B727" s="107"/>
      <c r="C727" s="111">
        <f>'04a_Box_Dims'!$K26</f>
        <v>3</v>
      </c>
      <c r="D727" s="113">
        <f>$A726*$C726*$C727</f>
        <v>30</v>
      </c>
      <c r="E727" s="63"/>
      <c r="F727" s="150"/>
      <c r="G727" s="107"/>
      <c r="H727" s="95"/>
    </row>
    <row r="728" spans="1:8" x14ac:dyDescent="0.3">
      <c r="A728" s="161"/>
      <c r="B728" s="107"/>
      <c r="C728" s="111"/>
      <c r="D728" s="113">
        <f>SUM($D$726:$D$727)</f>
        <v>30</v>
      </c>
      <c r="E728" s="63" t="s">
        <v>1660</v>
      </c>
      <c r="F728" s="150">
        <f>ROUND($D728,2)</f>
        <v>30</v>
      </c>
      <c r="G728" s="107" t="s">
        <v>1688</v>
      </c>
      <c r="H728" s="95"/>
    </row>
    <row r="729" spans="1:8" x14ac:dyDescent="0.3">
      <c r="A729" s="161"/>
      <c r="B729" s="107"/>
      <c r="C729" s="111"/>
      <c r="D729" s="113"/>
      <c r="E729" s="63"/>
      <c r="F729" s="150"/>
      <c r="G729" s="107"/>
      <c r="H729" s="95"/>
    </row>
    <row r="730" spans="1:8" x14ac:dyDescent="0.3">
      <c r="A730" s="161"/>
      <c r="B730" s="107"/>
      <c r="C730" s="111"/>
      <c r="D730" s="113"/>
      <c r="E730" s="149" t="s">
        <v>1449</v>
      </c>
      <c r="F730" s="150"/>
      <c r="G730" s="107"/>
      <c r="H730" s="95"/>
    </row>
    <row r="731" spans="1:8" x14ac:dyDescent="0.3">
      <c r="A731" s="161"/>
      <c r="B731" s="107"/>
      <c r="C731" s="111"/>
      <c r="D731" s="113"/>
      <c r="E731" s="63" t="s">
        <v>1696</v>
      </c>
      <c r="F731" s="150"/>
      <c r="G731" s="107"/>
      <c r="H731" s="95"/>
    </row>
    <row r="732" spans="1:8" x14ac:dyDescent="0.3">
      <c r="A732" s="161">
        <f>2</f>
        <v>2</v>
      </c>
      <c r="B732" s="107" t="s">
        <v>1628</v>
      </c>
      <c r="C732" s="111">
        <f>'04a_Box_Dims'!$J26</f>
        <v>3.5</v>
      </c>
      <c r="D732" s="113"/>
      <c r="E732" s="63" t="s">
        <v>1697</v>
      </c>
      <c r="F732" s="150"/>
      <c r="G732" s="107"/>
      <c r="H732" s="95"/>
    </row>
    <row r="733" spans="1:8" x14ac:dyDescent="0.3">
      <c r="A733" s="161"/>
      <c r="B733" s="107"/>
      <c r="C733" s="111">
        <f>'04a_Box_Dims'!$U26</f>
        <v>0.6</v>
      </c>
      <c r="D733" s="113">
        <f>$A732*$C732*$C733</f>
        <v>4.2</v>
      </c>
      <c r="E733" s="63"/>
      <c r="F733" s="150"/>
      <c r="G733" s="107"/>
      <c r="H733" s="95"/>
    </row>
    <row r="734" spans="1:8" x14ac:dyDescent="0.3">
      <c r="A734" s="161"/>
      <c r="B734" s="107"/>
      <c r="C734" s="111"/>
      <c r="D734" s="113">
        <f>SUM($D$732:$D$733)</f>
        <v>4.2</v>
      </c>
      <c r="E734" s="63" t="s">
        <v>1660</v>
      </c>
      <c r="F734" s="150">
        <f>ROUND($D734,2)</f>
        <v>4.2</v>
      </c>
      <c r="G734" s="107" t="s">
        <v>1688</v>
      </c>
      <c r="H734" s="95"/>
    </row>
    <row r="735" spans="1:8" x14ac:dyDescent="0.3">
      <c r="A735" s="161"/>
      <c r="B735" s="107"/>
      <c r="C735" s="111"/>
      <c r="D735" s="113"/>
      <c r="E735" s="63"/>
      <c r="F735" s="150"/>
      <c r="G735" s="107"/>
      <c r="H735" s="95"/>
    </row>
    <row r="736" spans="1:8" x14ac:dyDescent="0.3">
      <c r="A736" s="161"/>
      <c r="B736" s="107"/>
      <c r="C736" s="111"/>
      <c r="D736" s="113"/>
      <c r="E736" s="149" t="s">
        <v>1329</v>
      </c>
      <c r="F736" s="150"/>
      <c r="G736" s="107"/>
      <c r="H736" s="95"/>
    </row>
    <row r="737" spans="1:8" x14ac:dyDescent="0.3">
      <c r="A737" s="161"/>
      <c r="B737" s="107"/>
      <c r="C737" s="111"/>
      <c r="D737" s="113"/>
      <c r="E737" s="63" t="s">
        <v>1698</v>
      </c>
      <c r="F737" s="150"/>
      <c r="G737" s="107"/>
      <c r="H737" s="95"/>
    </row>
    <row r="738" spans="1:8" x14ac:dyDescent="0.3">
      <c r="A738" s="161">
        <f>2</f>
        <v>2</v>
      </c>
      <c r="B738" s="107" t="s">
        <v>1628</v>
      </c>
      <c r="C738" s="111">
        <f>'04a_Box_Dims'!$AE26</f>
        <v>10</v>
      </c>
      <c r="D738" s="113"/>
      <c r="E738" s="63" t="s">
        <v>1699</v>
      </c>
      <c r="F738" s="150"/>
      <c r="G738" s="107"/>
      <c r="H738" s="95"/>
    </row>
    <row r="739" spans="1:8" x14ac:dyDescent="0.3">
      <c r="A739" s="161"/>
      <c r="B739" s="107"/>
      <c r="C739" s="111">
        <f>'04a_Box_Dims'!$E26</f>
        <v>2</v>
      </c>
      <c r="D739" s="113">
        <f>$A738*$C738*$C739</f>
        <v>40</v>
      </c>
      <c r="E739" s="63"/>
      <c r="F739" s="150"/>
      <c r="G739" s="107"/>
      <c r="H739" s="95"/>
    </row>
    <row r="740" spans="1:8" x14ac:dyDescent="0.3">
      <c r="A740" s="161">
        <f>('04a_Box_Dims'!$C26-1)*2</f>
        <v>0</v>
      </c>
      <c r="B740" s="107" t="s">
        <v>1628</v>
      </c>
      <c r="C740" s="111">
        <f>'04a_Box_Dims'!$AE26</f>
        <v>10</v>
      </c>
      <c r="D740" s="113"/>
      <c r="E740" s="63" t="s">
        <v>1700</v>
      </c>
      <c r="F740" s="150"/>
      <c r="G740" s="107"/>
      <c r="H740" s="95"/>
    </row>
    <row r="741" spans="1:8" x14ac:dyDescent="0.3">
      <c r="A741" s="161"/>
      <c r="B741" s="107"/>
      <c r="C741" s="111">
        <f>'04a_Box_Dims'!$E26</f>
        <v>2</v>
      </c>
      <c r="D741" s="113">
        <f>$A740*$C740*$C741</f>
        <v>0</v>
      </c>
      <c r="E741" s="63"/>
      <c r="F741" s="150"/>
      <c r="G741" s="107"/>
      <c r="H741" s="95"/>
    </row>
    <row r="742" spans="1:8" x14ac:dyDescent="0.3">
      <c r="A742" s="161">
        <f>4</f>
        <v>4</v>
      </c>
      <c r="B742" s="107" t="s">
        <v>1628</v>
      </c>
      <c r="C742" s="111">
        <f>'04a_Box_Dims'!$Z26</f>
        <v>2.1213203435596424</v>
      </c>
      <c r="D742" s="113"/>
      <c r="E742" s="63" t="s">
        <v>1701</v>
      </c>
      <c r="F742" s="150"/>
      <c r="G742" s="107"/>
      <c r="H742" s="95"/>
    </row>
    <row r="743" spans="1:8" x14ac:dyDescent="0.3">
      <c r="A743" s="161"/>
      <c r="B743" s="107"/>
      <c r="C743" s="111">
        <f>'04a_Box_Dims'!$Y26</f>
        <v>2.9928932188134527</v>
      </c>
      <c r="D743" s="113">
        <f>$A742*$C742*$C743</f>
        <v>25.395541084682709</v>
      </c>
      <c r="E743" s="63"/>
      <c r="F743" s="150"/>
      <c r="G743" s="107"/>
      <c r="H743" s="95"/>
    </row>
    <row r="744" spans="1:8" x14ac:dyDescent="0.3">
      <c r="A744" s="161"/>
      <c r="B744" s="107"/>
      <c r="C744" s="111"/>
      <c r="D744" s="113">
        <f>SUM($D$738:$D$743)</f>
        <v>65.395541084682705</v>
      </c>
      <c r="E744" s="63" t="s">
        <v>1660</v>
      </c>
      <c r="F744" s="150">
        <f>ROUND($D744,2)</f>
        <v>65.400000000000006</v>
      </c>
      <c r="G744" s="107" t="s">
        <v>1688</v>
      </c>
      <c r="H744" s="95"/>
    </row>
    <row r="745" spans="1:8" x14ac:dyDescent="0.3">
      <c r="A745" s="161"/>
      <c r="B745" s="107"/>
      <c r="C745" s="111"/>
      <c r="D745" s="113"/>
      <c r="E745" s="63"/>
      <c r="F745" s="150"/>
      <c r="G745" s="107"/>
      <c r="H745" s="95"/>
    </row>
    <row r="746" spans="1:8" x14ac:dyDescent="0.3">
      <c r="A746" s="161"/>
      <c r="B746" s="107"/>
      <c r="C746" s="111"/>
      <c r="D746" s="113"/>
      <c r="E746" s="149" t="s">
        <v>1702</v>
      </c>
      <c r="F746" s="150"/>
      <c r="G746" s="107"/>
      <c r="H746" s="95"/>
    </row>
    <row r="747" spans="1:8" x14ac:dyDescent="0.3">
      <c r="A747" s="161"/>
      <c r="B747" s="107"/>
      <c r="C747" s="111"/>
      <c r="D747" s="113"/>
      <c r="E747" s="63" t="s">
        <v>1703</v>
      </c>
      <c r="F747" s="150"/>
      <c r="G747" s="107"/>
      <c r="H747" s="95"/>
    </row>
    <row r="748" spans="1:8" x14ac:dyDescent="0.3">
      <c r="A748" s="161"/>
      <c r="B748" s="107"/>
      <c r="C748" s="111"/>
      <c r="D748" s="113">
        <v>0</v>
      </c>
      <c r="E748" s="63" t="s">
        <v>1704</v>
      </c>
      <c r="F748" s="150">
        <f t="shared" ref="F748:F753" si="4">ROUND($D748,3)</f>
        <v>0</v>
      </c>
      <c r="G748" s="107" t="s">
        <v>1474</v>
      </c>
      <c r="H748" s="95"/>
    </row>
    <row r="749" spans="1:8" x14ac:dyDescent="0.3">
      <c r="A749" s="161"/>
      <c r="B749" s="107"/>
      <c r="C749" s="111"/>
      <c r="D749" s="113">
        <f>'04b_Box_Bars'!$S13/1000</f>
        <v>0.61653755826699685</v>
      </c>
      <c r="E749" s="63" t="s">
        <v>1705</v>
      </c>
      <c r="F749" s="150">
        <f t="shared" si="4"/>
        <v>0.61699999999999999</v>
      </c>
      <c r="G749" s="107" t="s">
        <v>1474</v>
      </c>
      <c r="H749" s="95"/>
    </row>
    <row r="750" spans="1:8" x14ac:dyDescent="0.3">
      <c r="A750" s="161"/>
      <c r="B750" s="107"/>
      <c r="C750" s="111"/>
      <c r="D750" s="113">
        <f>'04b_Box_Bars'!$T13/1000</f>
        <v>2.3707548070444706</v>
      </c>
      <c r="E750" s="63" t="s">
        <v>1706</v>
      </c>
      <c r="F750" s="150">
        <f t="shared" si="4"/>
        <v>2.371</v>
      </c>
      <c r="G750" s="107" t="s">
        <v>1474</v>
      </c>
      <c r="H750" s="95"/>
    </row>
    <row r="751" spans="1:8" x14ac:dyDescent="0.3">
      <c r="A751" s="161"/>
      <c r="B751" s="107"/>
      <c r="C751" s="111"/>
      <c r="D751" s="113">
        <f>'04b_Box_Bars'!$U13/1000</f>
        <v>0.52274493260295518</v>
      </c>
      <c r="E751" s="63" t="s">
        <v>1707</v>
      </c>
      <c r="F751" s="150">
        <f t="shared" si="4"/>
        <v>0.52300000000000002</v>
      </c>
      <c r="G751" s="107" t="s">
        <v>1474</v>
      </c>
      <c r="H751" s="95"/>
    </row>
    <row r="752" spans="1:8" x14ac:dyDescent="0.3">
      <c r="A752" s="161"/>
      <c r="B752" s="107"/>
      <c r="C752" s="111"/>
      <c r="D752" s="113">
        <f>'04b_Box_Bars'!$V13/1000</f>
        <v>0</v>
      </c>
      <c r="E752" s="63" t="s">
        <v>1708</v>
      </c>
      <c r="F752" s="150">
        <f t="shared" si="4"/>
        <v>0</v>
      </c>
      <c r="G752" s="107" t="s">
        <v>1474</v>
      </c>
      <c r="H752" s="95"/>
    </row>
    <row r="753" spans="1:8" x14ac:dyDescent="0.3">
      <c r="A753" s="161"/>
      <c r="B753" s="107"/>
      <c r="C753" s="111"/>
      <c r="D753" s="113">
        <f>'04b_Box_Bars'!$W13/1000</f>
        <v>0</v>
      </c>
      <c r="E753" s="63" t="s">
        <v>1709</v>
      </c>
      <c r="F753" s="150">
        <f t="shared" si="4"/>
        <v>0</v>
      </c>
      <c r="G753" s="107" t="s">
        <v>1474</v>
      </c>
      <c r="H753" s="95"/>
    </row>
    <row r="754" spans="1:8" x14ac:dyDescent="0.3">
      <c r="A754" s="161"/>
      <c r="B754" s="107"/>
      <c r="C754" s="111"/>
      <c r="D754" s="113"/>
      <c r="E754" s="63"/>
      <c r="F754" s="150"/>
      <c r="G754" s="107"/>
      <c r="H754" s="95"/>
    </row>
    <row r="756" spans="1:8" x14ac:dyDescent="0.3">
      <c r="A756" s="160" t="str">
        <f>'04a_Box_Dims'!$F27&amp;"  No.  "&amp;'04a_Box_Dims'!$A27&amp;"   (L = "&amp;TEXT('04a_Box_Dims'!$AE27,"0.00")&amp;" m)"</f>
        <v>0  No.  2/3x2 box culvert   (L = 10.00 m)</v>
      </c>
      <c r="B756" s="146"/>
      <c r="C756" s="162"/>
      <c r="D756" s="163"/>
      <c r="E756" s="147"/>
      <c r="F756" s="148"/>
      <c r="G756" s="146"/>
      <c r="H756" s="151"/>
    </row>
    <row r="757" spans="1:8" x14ac:dyDescent="0.3">
      <c r="A757" s="161"/>
      <c r="B757" s="107"/>
      <c r="C757" s="111"/>
      <c r="D757" s="113"/>
      <c r="E757" s="149" t="s">
        <v>1438</v>
      </c>
      <c r="F757" s="150"/>
      <c r="G757" s="107"/>
      <c r="H757" s="95"/>
    </row>
    <row r="758" spans="1:8" x14ac:dyDescent="0.3">
      <c r="A758" s="161"/>
      <c r="B758" s="107"/>
      <c r="C758" s="111"/>
      <c r="D758" s="113"/>
      <c r="E758" s="63" t="s">
        <v>1655</v>
      </c>
      <c r="F758" s="150"/>
      <c r="G758" s="107"/>
      <c r="H758" s="95"/>
    </row>
    <row r="759" spans="1:8" x14ac:dyDescent="0.3">
      <c r="A759" s="161">
        <f>1</f>
        <v>1</v>
      </c>
      <c r="B759" s="107" t="s">
        <v>1628</v>
      </c>
      <c r="C759" s="111">
        <f>'04a_Box_Dims'!$AE27</f>
        <v>10</v>
      </c>
      <c r="D759" s="113"/>
      <c r="E759" s="63" t="s">
        <v>1656</v>
      </c>
      <c r="F759" s="150"/>
      <c r="G759" s="107"/>
      <c r="H759" s="95"/>
    </row>
    <row r="760" spans="1:8" x14ac:dyDescent="0.3">
      <c r="A760" s="161"/>
      <c r="B760" s="107"/>
      <c r="C760" s="111">
        <f>'04a_Box_Dims'!$J27+2*BX_work</f>
        <v>7.35</v>
      </c>
      <c r="D760" s="113"/>
      <c r="E760" s="63"/>
      <c r="F760" s="150"/>
      <c r="G760" s="107"/>
      <c r="H760" s="95"/>
    </row>
    <row r="761" spans="1:8" x14ac:dyDescent="0.3">
      <c r="A761" s="161"/>
      <c r="B761" s="107"/>
      <c r="C761" s="111">
        <f>'04a_Box_Dims'!$L27+BX_blind+BX_exX</f>
        <v>2.6999999999999997</v>
      </c>
      <c r="D761" s="113">
        <f>$A759*$C759*$C760*$C761</f>
        <v>198.45</v>
      </c>
      <c r="E761" s="63"/>
      <c r="F761" s="150"/>
      <c r="G761" s="107"/>
      <c r="H761" s="95"/>
    </row>
    <row r="762" spans="1:8" x14ac:dyDescent="0.3">
      <c r="A762" s="161">
        <f>2</f>
        <v>2</v>
      </c>
      <c r="B762" s="107" t="s">
        <v>1628</v>
      </c>
      <c r="C762" s="111">
        <f>'04a_Box_Dims'!$O27</f>
        <v>1.5</v>
      </c>
      <c r="D762" s="113"/>
      <c r="E762" s="63" t="s">
        <v>1657</v>
      </c>
      <c r="F762" s="150"/>
      <c r="G762" s="107"/>
      <c r="H762" s="95"/>
    </row>
    <row r="763" spans="1:8" x14ac:dyDescent="0.3">
      <c r="A763" s="161"/>
      <c r="B763" s="107"/>
      <c r="C763" s="111">
        <f>'04a_Box_Dims'!$Q27</f>
        <v>8.25</v>
      </c>
      <c r="D763" s="113"/>
      <c r="E763" s="63"/>
      <c r="F763" s="150"/>
      <c r="G763" s="107"/>
      <c r="H763" s="95"/>
    </row>
    <row r="764" spans="1:8" x14ac:dyDescent="0.3">
      <c r="A764" s="161"/>
      <c r="B764" s="107"/>
      <c r="C764" s="111">
        <f>'04a_Box_Dims'!$P27+BX_blind+BX_exX</f>
        <v>0.44999999999999996</v>
      </c>
      <c r="D764" s="113">
        <f>$A762*$C762*$C763*$C764</f>
        <v>11.137499999999999</v>
      </c>
      <c r="E764" s="63"/>
      <c r="F764" s="150"/>
      <c r="G764" s="107"/>
      <c r="H764" s="95"/>
    </row>
    <row r="765" spans="1:8" x14ac:dyDescent="0.3">
      <c r="A765" s="161">
        <f>2</f>
        <v>2</v>
      </c>
      <c r="B765" s="107" t="s">
        <v>1628</v>
      </c>
      <c r="C765" s="111">
        <f>'04a_Box_Dims'!$R27</f>
        <v>6.75</v>
      </c>
      <c r="D765" s="113"/>
      <c r="E765" s="63" t="s">
        <v>1658</v>
      </c>
      <c r="F765" s="150"/>
      <c r="G765" s="107"/>
      <c r="H765" s="95"/>
    </row>
    <row r="766" spans="1:8" x14ac:dyDescent="0.3">
      <c r="A766" s="161"/>
      <c r="B766" s="107"/>
      <c r="C766" s="111">
        <f>'04a_Box_Dims'!$S27</f>
        <v>0.2</v>
      </c>
      <c r="D766" s="113"/>
      <c r="E766" s="63"/>
      <c r="F766" s="150"/>
      <c r="G766" s="107"/>
      <c r="H766" s="95"/>
    </row>
    <row r="767" spans="1:8" x14ac:dyDescent="0.3">
      <c r="A767" s="161"/>
      <c r="B767" s="107"/>
      <c r="C767" s="111">
        <f>'04a_Box_Dims'!$T27+BX_blind</f>
        <v>0.5</v>
      </c>
      <c r="D767" s="113">
        <f>$A765*$C765*$C766*$C767</f>
        <v>1.35</v>
      </c>
      <c r="E767" s="63"/>
      <c r="F767" s="150"/>
      <c r="G767" s="107"/>
      <c r="H767" s="95"/>
    </row>
    <row r="768" spans="1:8" x14ac:dyDescent="0.3">
      <c r="A768" s="161">
        <f>4</f>
        <v>4</v>
      </c>
      <c r="B768" s="107" t="s">
        <v>1628</v>
      </c>
      <c r="C768" s="111">
        <f>'04a_Box_Dims'!$Z27</f>
        <v>2.1213203435596424</v>
      </c>
      <c r="D768" s="113"/>
      <c r="E768" s="63" t="s">
        <v>1659</v>
      </c>
      <c r="F768" s="150"/>
      <c r="G768" s="107"/>
      <c r="H768" s="95"/>
    </row>
    <row r="769" spans="1:8" x14ac:dyDescent="0.3">
      <c r="A769" s="161"/>
      <c r="B769" s="107"/>
      <c r="C769" s="111">
        <f>'04a_Box_Dims'!$AC27</f>
        <v>0.81400000000000006</v>
      </c>
      <c r="D769" s="113"/>
      <c r="E769" s="63"/>
      <c r="F769" s="150"/>
      <c r="G769" s="107"/>
      <c r="H769" s="95"/>
    </row>
    <row r="770" spans="1:8" x14ac:dyDescent="0.3">
      <c r="A770" s="161"/>
      <c r="B770" s="107"/>
      <c r="C770" s="111">
        <f>'04a_Box_Dims'!$AD27+BX_blind</f>
        <v>0.35</v>
      </c>
      <c r="D770" s="113">
        <f>$A768*$C768*$C769*$C770</f>
        <v>2.4174566635205683</v>
      </c>
      <c r="E770" s="63"/>
      <c r="F770" s="150"/>
      <c r="G770" s="107"/>
      <c r="H770" s="95"/>
    </row>
    <row r="771" spans="1:8" x14ac:dyDescent="0.3">
      <c r="A771" s="161"/>
      <c r="B771" s="107"/>
      <c r="C771" s="111"/>
      <c r="D771" s="113">
        <f>SUM($D$759:$D$770)</f>
        <v>213.35495666352054</v>
      </c>
      <c r="E771" s="63" t="s">
        <v>1660</v>
      </c>
      <c r="F771" s="150">
        <f>ROUND($D771,0)</f>
        <v>213</v>
      </c>
      <c r="G771" s="107" t="s">
        <v>1661</v>
      </c>
      <c r="H771" s="95"/>
    </row>
    <row r="772" spans="1:8" x14ac:dyDescent="0.3">
      <c r="A772" s="161"/>
      <c r="B772" s="107"/>
      <c r="C772" s="111"/>
      <c r="D772" s="113"/>
      <c r="E772" s="63"/>
      <c r="F772" s="150"/>
      <c r="G772" s="107"/>
      <c r="H772" s="95"/>
    </row>
    <row r="773" spans="1:8" x14ac:dyDescent="0.3">
      <c r="A773" s="161"/>
      <c r="B773" s="107"/>
      <c r="C773" s="111"/>
      <c r="D773" s="113"/>
      <c r="E773" s="149" t="s">
        <v>1323</v>
      </c>
      <c r="F773" s="150"/>
      <c r="G773" s="107"/>
      <c r="H773" s="95"/>
    </row>
    <row r="774" spans="1:8" x14ac:dyDescent="0.3">
      <c r="A774" s="161"/>
      <c r="B774" s="107"/>
      <c r="C774" s="111"/>
      <c r="D774" s="113"/>
      <c r="E774" s="63" t="s">
        <v>1662</v>
      </c>
      <c r="F774" s="150"/>
      <c r="G774" s="107"/>
      <c r="H774" s="95"/>
    </row>
    <row r="775" spans="1:8" x14ac:dyDescent="0.3">
      <c r="A775" s="161">
        <f>1</f>
        <v>1</v>
      </c>
      <c r="B775" s="107" t="s">
        <v>1628</v>
      </c>
      <c r="C775" s="111">
        <f>'04a_Box_Dims'!$AE27</f>
        <v>10</v>
      </c>
      <c r="D775" s="113"/>
      <c r="E775" s="63" t="s">
        <v>1663</v>
      </c>
      <c r="F775" s="150"/>
      <c r="G775" s="107"/>
      <c r="H775" s="95"/>
    </row>
    <row r="776" spans="1:8" x14ac:dyDescent="0.3">
      <c r="A776" s="161"/>
      <c r="B776" s="107"/>
      <c r="C776" s="111">
        <f>'04a_Box_Dims'!$J27</f>
        <v>6.75</v>
      </c>
      <c r="D776" s="113"/>
      <c r="E776" s="63"/>
      <c r="F776" s="150"/>
      <c r="G776" s="107"/>
      <c r="H776" s="95"/>
    </row>
    <row r="777" spans="1:8" x14ac:dyDescent="0.3">
      <c r="A777" s="161"/>
      <c r="B777" s="107"/>
      <c r="C777" s="111">
        <f>BX_blind</f>
        <v>0.05</v>
      </c>
      <c r="D777" s="113">
        <f>$A775*$C775*$C776*$C777</f>
        <v>3.375</v>
      </c>
      <c r="E777" s="63"/>
      <c r="F777" s="150"/>
      <c r="G777" s="107"/>
      <c r="H777" s="95"/>
    </row>
    <row r="778" spans="1:8" x14ac:dyDescent="0.3">
      <c r="A778" s="161">
        <f>2</f>
        <v>2</v>
      </c>
      <c r="B778" s="107" t="s">
        <v>1628</v>
      </c>
      <c r="C778" s="111">
        <f>'04a_Box_Dims'!$O27</f>
        <v>1.5</v>
      </c>
      <c r="D778" s="113"/>
      <c r="E778" s="63" t="s">
        <v>1657</v>
      </c>
      <c r="F778" s="150"/>
      <c r="G778" s="107"/>
      <c r="H778" s="95"/>
    </row>
    <row r="779" spans="1:8" x14ac:dyDescent="0.3">
      <c r="A779" s="161"/>
      <c r="B779" s="107"/>
      <c r="C779" s="111">
        <f>'04a_Box_Dims'!$Q27</f>
        <v>8.25</v>
      </c>
      <c r="D779" s="113"/>
      <c r="E779" s="63"/>
      <c r="F779" s="150"/>
      <c r="G779" s="107"/>
      <c r="H779" s="95"/>
    </row>
    <row r="780" spans="1:8" x14ac:dyDescent="0.3">
      <c r="A780" s="161"/>
      <c r="B780" s="107"/>
      <c r="C780" s="111">
        <f>BX_blind</f>
        <v>0.05</v>
      </c>
      <c r="D780" s="113">
        <f>$A778*$C778*$C779*$C780</f>
        <v>1.2375</v>
      </c>
      <c r="E780" s="63"/>
      <c r="F780" s="150"/>
      <c r="G780" s="107"/>
      <c r="H780" s="95"/>
    </row>
    <row r="781" spans="1:8" x14ac:dyDescent="0.3">
      <c r="A781" s="161">
        <f>2</f>
        <v>2</v>
      </c>
      <c r="B781" s="107" t="s">
        <v>1628</v>
      </c>
      <c r="C781" s="111">
        <f>'04a_Box_Dims'!$R27</f>
        <v>6.75</v>
      </c>
      <c r="D781" s="113"/>
      <c r="E781" s="63" t="s">
        <v>1658</v>
      </c>
      <c r="F781" s="150"/>
      <c r="G781" s="107"/>
      <c r="H781" s="95"/>
    </row>
    <row r="782" spans="1:8" x14ac:dyDescent="0.3">
      <c r="A782" s="161"/>
      <c r="B782" s="107"/>
      <c r="C782" s="111">
        <f>'04a_Box_Dims'!$S27</f>
        <v>0.2</v>
      </c>
      <c r="D782" s="113"/>
      <c r="E782" s="63"/>
      <c r="F782" s="150"/>
      <c r="G782" s="107"/>
      <c r="H782" s="95"/>
    </row>
    <row r="783" spans="1:8" x14ac:dyDescent="0.3">
      <c r="A783" s="161"/>
      <c r="B783" s="107"/>
      <c r="C783" s="111">
        <f>BX_blind</f>
        <v>0.05</v>
      </c>
      <c r="D783" s="113">
        <f>$A781*$C781*$C782*$C783</f>
        <v>0.13500000000000001</v>
      </c>
      <c r="E783" s="63"/>
      <c r="F783" s="150"/>
      <c r="G783" s="107"/>
      <c r="H783" s="95"/>
    </row>
    <row r="784" spans="1:8" x14ac:dyDescent="0.3">
      <c r="A784" s="161">
        <f>4</f>
        <v>4</v>
      </c>
      <c r="B784" s="107" t="s">
        <v>1628</v>
      </c>
      <c r="C784" s="111">
        <f>'04a_Box_Dims'!$Z27</f>
        <v>2.1213203435596424</v>
      </c>
      <c r="D784" s="113"/>
      <c r="E784" s="63" t="s">
        <v>1659</v>
      </c>
      <c r="F784" s="150"/>
      <c r="G784" s="107"/>
      <c r="H784" s="95"/>
    </row>
    <row r="785" spans="1:8" x14ac:dyDescent="0.3">
      <c r="A785" s="161"/>
      <c r="B785" s="107"/>
      <c r="C785" s="111">
        <f>'04a_Box_Dims'!$AC27</f>
        <v>0.81400000000000006</v>
      </c>
      <c r="D785" s="113"/>
      <c r="E785" s="63"/>
      <c r="F785" s="150"/>
      <c r="G785" s="107"/>
      <c r="H785" s="95"/>
    </row>
    <row r="786" spans="1:8" x14ac:dyDescent="0.3">
      <c r="A786" s="161"/>
      <c r="B786" s="107"/>
      <c r="C786" s="111">
        <f>BX_blind</f>
        <v>0.05</v>
      </c>
      <c r="D786" s="113">
        <f>$A784*$C784*$C785*$C786</f>
        <v>0.34535095193150983</v>
      </c>
      <c r="E786" s="63"/>
      <c r="F786" s="150"/>
      <c r="G786" s="107"/>
      <c r="H786" s="95"/>
    </row>
    <row r="787" spans="1:8" x14ac:dyDescent="0.3">
      <c r="A787" s="161"/>
      <c r="B787" s="107"/>
      <c r="C787" s="111"/>
      <c r="D787" s="113">
        <f>SUM($D$775:$D$786)</f>
        <v>5.0928509519315091</v>
      </c>
      <c r="E787" s="63" t="s">
        <v>1660</v>
      </c>
      <c r="F787" s="150">
        <f>ROUND($D787,2)</f>
        <v>5.09</v>
      </c>
      <c r="G787" s="107" t="s">
        <v>1661</v>
      </c>
      <c r="H787" s="95"/>
    </row>
    <row r="788" spans="1:8" x14ac:dyDescent="0.3">
      <c r="A788" s="161"/>
      <c r="B788" s="107"/>
      <c r="C788" s="111"/>
      <c r="D788" s="113"/>
      <c r="E788" s="63"/>
      <c r="F788" s="150"/>
      <c r="G788" s="107"/>
      <c r="H788" s="95"/>
    </row>
    <row r="789" spans="1:8" x14ac:dyDescent="0.3">
      <c r="A789" s="161"/>
      <c r="B789" s="107"/>
      <c r="C789" s="111"/>
      <c r="D789" s="113"/>
      <c r="E789" s="149" t="s">
        <v>1324</v>
      </c>
      <c r="F789" s="150"/>
      <c r="G789" s="107"/>
      <c r="H789" s="95"/>
    </row>
    <row r="790" spans="1:8" x14ac:dyDescent="0.3">
      <c r="A790" s="161"/>
      <c r="B790" s="107"/>
      <c r="C790" s="111"/>
      <c r="D790" s="113"/>
      <c r="E790" s="63" t="s">
        <v>1664</v>
      </c>
      <c r="F790" s="150"/>
      <c r="G790" s="107"/>
      <c r="H790" s="95"/>
    </row>
    <row r="791" spans="1:8" x14ac:dyDescent="0.3">
      <c r="A791" s="161"/>
      <c r="B791" s="107"/>
      <c r="C791" s="111"/>
      <c r="D791" s="113">
        <f>$D787</f>
        <v>5.0928509519315091</v>
      </c>
      <c r="E791" s="63" t="s">
        <v>1665</v>
      </c>
      <c r="F791" s="150">
        <f>$F787</f>
        <v>5.09</v>
      </c>
      <c r="G791" s="107" t="s">
        <v>1661</v>
      </c>
      <c r="H791" s="95"/>
    </row>
    <row r="792" spans="1:8" x14ac:dyDescent="0.3">
      <c r="A792" s="161"/>
      <c r="B792" s="107"/>
      <c r="C792" s="111"/>
      <c r="D792" s="113"/>
      <c r="E792" s="63"/>
      <c r="F792" s="150"/>
      <c r="G792" s="107"/>
      <c r="H792" s="95"/>
    </row>
    <row r="793" spans="1:8" x14ac:dyDescent="0.3">
      <c r="A793" s="161"/>
      <c r="B793" s="107"/>
      <c r="C793" s="111"/>
      <c r="D793" s="113"/>
      <c r="E793" s="149" t="s">
        <v>1455</v>
      </c>
      <c r="F793" s="150"/>
      <c r="G793" s="107"/>
      <c r="H793" s="95"/>
    </row>
    <row r="794" spans="1:8" x14ac:dyDescent="0.3">
      <c r="A794" s="161"/>
      <c r="B794" s="107"/>
      <c r="C794" s="111"/>
      <c r="D794" s="113"/>
      <c r="E794" s="63" t="s">
        <v>1666</v>
      </c>
      <c r="F794" s="150"/>
      <c r="G794" s="107"/>
      <c r="H794" s="95"/>
    </row>
    <row r="795" spans="1:8" x14ac:dyDescent="0.3">
      <c r="A795" s="161">
        <f>1</f>
        <v>1</v>
      </c>
      <c r="B795" s="107" t="s">
        <v>1628</v>
      </c>
      <c r="C795" s="111">
        <f>'04a_Box_Dims'!$AE27</f>
        <v>10</v>
      </c>
      <c r="D795" s="113"/>
      <c r="E795" s="63" t="s">
        <v>1667</v>
      </c>
      <c r="F795" s="150"/>
      <c r="G795" s="107"/>
      <c r="H795" s="95"/>
    </row>
    <row r="796" spans="1:8" x14ac:dyDescent="0.3">
      <c r="A796" s="161"/>
      <c r="B796" s="107"/>
      <c r="C796" s="111">
        <f>'04a_Box_Dims'!$J27</f>
        <v>6.75</v>
      </c>
      <c r="D796" s="113"/>
      <c r="E796" s="63"/>
      <c r="F796" s="150"/>
      <c r="G796" s="107"/>
      <c r="H796" s="95"/>
    </row>
    <row r="797" spans="1:8" x14ac:dyDescent="0.3">
      <c r="A797" s="161"/>
      <c r="B797" s="107"/>
      <c r="C797" s="111">
        <f>'04a_Box_Dims'!$I27</f>
        <v>0.25</v>
      </c>
      <c r="D797" s="113">
        <f>$A795*$C795*$C796*$C797</f>
        <v>16.875</v>
      </c>
      <c r="E797" s="63"/>
      <c r="F797" s="150"/>
      <c r="G797" s="107"/>
      <c r="H797" s="95">
        <f>'04a_Box_Dims'!$I27</f>
        <v>0.25</v>
      </c>
    </row>
    <row r="798" spans="1:8" x14ac:dyDescent="0.3">
      <c r="A798" s="161">
        <f>2</f>
        <v>2</v>
      </c>
      <c r="B798" s="107" t="s">
        <v>1628</v>
      </c>
      <c r="C798" s="111">
        <f>'04a_Box_Dims'!$O27</f>
        <v>1.5</v>
      </c>
      <c r="D798" s="113"/>
      <c r="E798" s="63" t="s">
        <v>1657</v>
      </c>
      <c r="F798" s="150"/>
      <c r="G798" s="107"/>
      <c r="H798" s="95"/>
    </row>
    <row r="799" spans="1:8" x14ac:dyDescent="0.3">
      <c r="A799" s="161"/>
      <c r="B799" s="107"/>
      <c r="C799" s="111">
        <f>'04a_Box_Dims'!$Q27</f>
        <v>8.25</v>
      </c>
      <c r="D799" s="113"/>
      <c r="E799" s="63"/>
      <c r="F799" s="150"/>
      <c r="G799" s="107"/>
      <c r="H799" s="95"/>
    </row>
    <row r="800" spans="1:8" x14ac:dyDescent="0.3">
      <c r="A800" s="161"/>
      <c r="B800" s="107"/>
      <c r="C800" s="111">
        <f>'04a_Box_Dims'!$P27</f>
        <v>0.25</v>
      </c>
      <c r="D800" s="113">
        <f>$A798*$C798*$C799*$C800</f>
        <v>6.1875</v>
      </c>
      <c r="E800" s="63"/>
      <c r="F800" s="150"/>
      <c r="G800" s="107"/>
      <c r="H800" s="95">
        <f>'04a_Box_Dims'!$P27</f>
        <v>0.25</v>
      </c>
    </row>
    <row r="801" spans="1:8" x14ac:dyDescent="0.3">
      <c r="A801" s="161">
        <f>2</f>
        <v>2</v>
      </c>
      <c r="B801" s="107" t="s">
        <v>1628</v>
      </c>
      <c r="C801" s="111">
        <f>'04a_Box_Dims'!$R27</f>
        <v>6.75</v>
      </c>
      <c r="D801" s="113"/>
      <c r="E801" s="63" t="s">
        <v>1658</v>
      </c>
      <c r="F801" s="150"/>
      <c r="G801" s="107"/>
      <c r="H801" s="95"/>
    </row>
    <row r="802" spans="1:8" x14ac:dyDescent="0.3">
      <c r="A802" s="161"/>
      <c r="B802" s="107"/>
      <c r="C802" s="111">
        <f>'04a_Box_Dims'!$S27</f>
        <v>0.2</v>
      </c>
      <c r="D802" s="113"/>
      <c r="E802" s="63"/>
      <c r="F802" s="150"/>
      <c r="G802" s="107"/>
      <c r="H802" s="95"/>
    </row>
    <row r="803" spans="1:8" x14ac:dyDescent="0.3">
      <c r="A803" s="161"/>
      <c r="B803" s="107"/>
      <c r="C803" s="111">
        <f>'04a_Box_Dims'!$T27</f>
        <v>0.45</v>
      </c>
      <c r="D803" s="113">
        <f>$A801*$C801*$C802*$C803</f>
        <v>1.2150000000000001</v>
      </c>
      <c r="E803" s="63"/>
      <c r="F803" s="150"/>
      <c r="G803" s="107"/>
      <c r="H803" s="95">
        <f>'04a_Box_Dims'!$S27</f>
        <v>0.2</v>
      </c>
    </row>
    <row r="804" spans="1:8" x14ac:dyDescent="0.3">
      <c r="A804" s="161">
        <f>4</f>
        <v>4</v>
      </c>
      <c r="B804" s="107" t="s">
        <v>1628</v>
      </c>
      <c r="C804" s="111">
        <f>'04a_Box_Dims'!$Z27</f>
        <v>2.1213203435596424</v>
      </c>
      <c r="D804" s="113"/>
      <c r="E804" s="63" t="s">
        <v>1659</v>
      </c>
      <c r="F804" s="150"/>
      <c r="G804" s="107"/>
      <c r="H804" s="95"/>
    </row>
    <row r="805" spans="1:8" x14ac:dyDescent="0.3">
      <c r="A805" s="161"/>
      <c r="B805" s="107"/>
      <c r="C805" s="111">
        <f>'04a_Box_Dims'!$AC27</f>
        <v>0.81400000000000006</v>
      </c>
      <c r="D805" s="113"/>
      <c r="E805" s="63"/>
      <c r="F805" s="150"/>
      <c r="G805" s="107"/>
      <c r="H805" s="95"/>
    </row>
    <row r="806" spans="1:8" x14ac:dyDescent="0.3">
      <c r="A806" s="161"/>
      <c r="B806" s="107"/>
      <c r="C806" s="111">
        <f>'04a_Box_Dims'!$AD27</f>
        <v>0.3</v>
      </c>
      <c r="D806" s="113">
        <f>$A804*$C804*$C805*$C806</f>
        <v>2.0721057115890589</v>
      </c>
      <c r="E806" s="63"/>
      <c r="F806" s="150"/>
      <c r="G806" s="107"/>
      <c r="H806" s="95">
        <f>'04a_Box_Dims'!$AD27</f>
        <v>0.3</v>
      </c>
    </row>
    <row r="807" spans="1:8" x14ac:dyDescent="0.3">
      <c r="A807" s="161"/>
      <c r="B807" s="107"/>
      <c r="C807" s="111"/>
      <c r="D807" s="113">
        <f>SUM($D$795:$D$806)</f>
        <v>26.34960571158906</v>
      </c>
      <c r="E807" s="63" t="s">
        <v>1660</v>
      </c>
      <c r="F807" s="150">
        <f>ROUND($D807,2)</f>
        <v>26.35</v>
      </c>
      <c r="G807" s="107" t="s">
        <v>1661</v>
      </c>
      <c r="H807" s="95"/>
    </row>
    <row r="808" spans="1:8" x14ac:dyDescent="0.3">
      <c r="A808" s="161"/>
      <c r="B808" s="107"/>
      <c r="C808" s="111"/>
      <c r="D808" s="113"/>
      <c r="E808" s="63"/>
      <c r="F808" s="150"/>
      <c r="G808" s="107"/>
      <c r="H808" s="95"/>
    </row>
    <row r="809" spans="1:8" x14ac:dyDescent="0.3">
      <c r="A809" s="161"/>
      <c r="B809" s="107"/>
      <c r="C809" s="111"/>
      <c r="D809" s="113"/>
      <c r="E809" s="149" t="s">
        <v>1668</v>
      </c>
      <c r="F809" s="150"/>
      <c r="G809" s="107"/>
      <c r="H809" s="95"/>
    </row>
    <row r="810" spans="1:8" x14ac:dyDescent="0.3">
      <c r="A810" s="161"/>
      <c r="B810" s="107"/>
      <c r="C810" s="111"/>
      <c r="D810" s="113"/>
      <c r="E810" s="63" t="s">
        <v>1669</v>
      </c>
      <c r="F810" s="150"/>
      <c r="G810" s="107"/>
      <c r="H810" s="95"/>
    </row>
    <row r="811" spans="1:8" x14ac:dyDescent="0.3">
      <c r="A811" s="161"/>
      <c r="B811" s="107"/>
      <c r="C811" s="111"/>
      <c r="D811" s="113">
        <f>SUMIF($H$795:$H$806,"&lt;=0.3",$D$795:$D$806)</f>
        <v>26.34960571158906</v>
      </c>
      <c r="E811" s="63" t="s">
        <v>1670</v>
      </c>
      <c r="F811" s="150">
        <f>ROUND($D811,2)</f>
        <v>26.35</v>
      </c>
      <c r="G811" s="107" t="s">
        <v>1661</v>
      </c>
      <c r="H811" s="95"/>
    </row>
    <row r="812" spans="1:8" x14ac:dyDescent="0.3">
      <c r="A812" s="161"/>
      <c r="B812" s="107"/>
      <c r="C812" s="111"/>
      <c r="D812" s="113">
        <f>SUMIF($H$795:$H$806,"&gt;0.3",$D$795:$D$806)</f>
        <v>0</v>
      </c>
      <c r="E812" s="63" t="s">
        <v>1671</v>
      </c>
      <c r="F812" s="150">
        <f>ROUND($D812,2)</f>
        <v>0</v>
      </c>
      <c r="G812" s="107" t="s">
        <v>1661</v>
      </c>
      <c r="H812" s="95"/>
    </row>
    <row r="813" spans="1:8" x14ac:dyDescent="0.3">
      <c r="A813" s="161"/>
      <c r="B813" s="107"/>
      <c r="C813" s="111"/>
      <c r="D813" s="113"/>
      <c r="E813" s="63"/>
      <c r="F813" s="150"/>
      <c r="G813" s="107"/>
      <c r="H813" s="95"/>
    </row>
    <row r="814" spans="1:8" x14ac:dyDescent="0.3">
      <c r="A814" s="161"/>
      <c r="B814" s="107"/>
      <c r="C814" s="111"/>
      <c r="D814" s="113"/>
      <c r="E814" s="149" t="s">
        <v>1455</v>
      </c>
      <c r="F814" s="150"/>
      <c r="G814" s="107"/>
      <c r="H814" s="95"/>
    </row>
    <row r="815" spans="1:8" x14ac:dyDescent="0.3">
      <c r="A815" s="161"/>
      <c r="B815" s="107"/>
      <c r="C815" s="111"/>
      <c r="D815" s="113"/>
      <c r="E815" s="63" t="s">
        <v>1672</v>
      </c>
      <c r="F815" s="150"/>
      <c r="G815" s="107"/>
      <c r="H815" s="95"/>
    </row>
    <row r="816" spans="1:8" x14ac:dyDescent="0.3">
      <c r="A816" s="161">
        <f>1</f>
        <v>1</v>
      </c>
      <c r="B816" s="107" t="s">
        <v>1628</v>
      </c>
      <c r="C816" s="111">
        <f>'04a_Box_Dims'!$AE27</f>
        <v>10</v>
      </c>
      <c r="D816" s="113"/>
      <c r="E816" s="63" t="s">
        <v>1673</v>
      </c>
      <c r="F816" s="150"/>
      <c r="G816" s="107"/>
      <c r="H816" s="95"/>
    </row>
    <row r="817" spans="1:8" x14ac:dyDescent="0.3">
      <c r="A817" s="161"/>
      <c r="B817" s="107"/>
      <c r="C817" s="111">
        <f>'04a_Box_Dims'!$J27</f>
        <v>6.75</v>
      </c>
      <c r="D817" s="113"/>
      <c r="E817" s="63"/>
      <c r="F817" s="150"/>
      <c r="G817" s="107"/>
      <c r="H817" s="95"/>
    </row>
    <row r="818" spans="1:8" x14ac:dyDescent="0.3">
      <c r="A818" s="161"/>
      <c r="B818" s="107"/>
      <c r="C818" s="111">
        <f>'04a_Box_Dims'!$I27</f>
        <v>0.25</v>
      </c>
      <c r="D818" s="113">
        <f>$A816*$C816*$C817*$C818</f>
        <v>16.875</v>
      </c>
      <c r="E818" s="63"/>
      <c r="F818" s="150"/>
      <c r="G818" s="107"/>
      <c r="H818" s="95">
        <f>'04a_Box_Dims'!$I27</f>
        <v>0.25</v>
      </c>
    </row>
    <row r="819" spans="1:8" x14ac:dyDescent="0.3">
      <c r="A819" s="161"/>
      <c r="B819" s="107"/>
      <c r="C819" s="111"/>
      <c r="D819" s="113">
        <f>SUM($D$816:$D$818)</f>
        <v>16.875</v>
      </c>
      <c r="E819" s="63" t="s">
        <v>1660</v>
      </c>
      <c r="F819" s="150">
        <f>ROUND($D819,2)</f>
        <v>16.88</v>
      </c>
      <c r="G819" s="107" t="s">
        <v>1661</v>
      </c>
      <c r="H819" s="95"/>
    </row>
    <row r="820" spans="1:8" x14ac:dyDescent="0.3">
      <c r="A820" s="161"/>
      <c r="B820" s="107"/>
      <c r="C820" s="111"/>
      <c r="D820" s="113"/>
      <c r="E820" s="63"/>
      <c r="F820" s="150"/>
      <c r="G820" s="107"/>
      <c r="H820" s="95"/>
    </row>
    <row r="821" spans="1:8" x14ac:dyDescent="0.3">
      <c r="A821" s="161"/>
      <c r="B821" s="107"/>
      <c r="C821" s="111"/>
      <c r="D821" s="113"/>
      <c r="E821" s="149" t="s">
        <v>1674</v>
      </c>
      <c r="F821" s="150"/>
      <c r="G821" s="107"/>
      <c r="H821" s="95"/>
    </row>
    <row r="822" spans="1:8" x14ac:dyDescent="0.3">
      <c r="A822" s="161"/>
      <c r="B822" s="107"/>
      <c r="C822" s="111"/>
      <c r="D822" s="113"/>
      <c r="E822" s="63" t="s">
        <v>1675</v>
      </c>
      <c r="F822" s="150"/>
      <c r="G822" s="107"/>
      <c r="H822" s="95"/>
    </row>
    <row r="823" spans="1:8" x14ac:dyDescent="0.3">
      <c r="A823" s="161"/>
      <c r="B823" s="107"/>
      <c r="C823" s="111"/>
      <c r="D823" s="113">
        <f>SUMIF($H$816:$H$818,"&lt;=0.3",$D$816:$D$818)</f>
        <v>16.875</v>
      </c>
      <c r="E823" s="63" t="s">
        <v>1670</v>
      </c>
      <c r="F823" s="150">
        <f>ROUND($D823,2)</f>
        <v>16.88</v>
      </c>
      <c r="G823" s="107" t="s">
        <v>1661</v>
      </c>
      <c r="H823" s="95"/>
    </row>
    <row r="824" spans="1:8" x14ac:dyDescent="0.3">
      <c r="A824" s="161"/>
      <c r="B824" s="107"/>
      <c r="C824" s="111"/>
      <c r="D824" s="113">
        <f>SUMIF($H$816:$H$818,"&gt;0.3",$D$816:$D$818)</f>
        <v>0</v>
      </c>
      <c r="E824" s="63" t="s">
        <v>1671</v>
      </c>
      <c r="F824" s="150">
        <f>ROUND($D824,2)</f>
        <v>0</v>
      </c>
      <c r="G824" s="107" t="s">
        <v>1661</v>
      </c>
      <c r="H824" s="95"/>
    </row>
    <row r="825" spans="1:8" x14ac:dyDescent="0.3">
      <c r="A825" s="161"/>
      <c r="B825" s="107"/>
      <c r="C825" s="111"/>
      <c r="D825" s="113"/>
      <c r="E825" s="63"/>
      <c r="F825" s="150"/>
      <c r="G825" s="107"/>
      <c r="H825" s="95"/>
    </row>
    <row r="826" spans="1:8" x14ac:dyDescent="0.3">
      <c r="A826" s="161"/>
      <c r="B826" s="107"/>
      <c r="C826" s="111"/>
      <c r="D826" s="113"/>
      <c r="E826" s="149" t="s">
        <v>1455</v>
      </c>
      <c r="F826" s="150"/>
      <c r="G826" s="107"/>
      <c r="H826" s="95"/>
    </row>
    <row r="827" spans="1:8" x14ac:dyDescent="0.3">
      <c r="A827" s="161"/>
      <c r="B827" s="107"/>
      <c r="C827" s="111"/>
      <c r="D827" s="113"/>
      <c r="E827" s="63" t="s">
        <v>1676</v>
      </c>
      <c r="F827" s="150"/>
      <c r="G827" s="107"/>
      <c r="H827" s="95"/>
    </row>
    <row r="828" spans="1:8" x14ac:dyDescent="0.3">
      <c r="A828" s="161">
        <f>2</f>
        <v>2</v>
      </c>
      <c r="B828" s="107" t="s">
        <v>1628</v>
      </c>
      <c r="C828" s="111">
        <f>'04a_Box_Dims'!$AE27</f>
        <v>10</v>
      </c>
      <c r="D828" s="113"/>
      <c r="E828" s="63" t="s">
        <v>1677</v>
      </c>
      <c r="F828" s="150"/>
      <c r="G828" s="107"/>
      <c r="H828" s="95"/>
    </row>
    <row r="829" spans="1:8" x14ac:dyDescent="0.3">
      <c r="A829" s="161"/>
      <c r="B829" s="107"/>
      <c r="C829" s="111">
        <f>'04a_Box_Dims'!$E27</f>
        <v>2</v>
      </c>
      <c r="D829" s="113"/>
      <c r="E829" s="63"/>
      <c r="F829" s="150"/>
      <c r="G829" s="107"/>
      <c r="H829" s="95"/>
    </row>
    <row r="830" spans="1:8" x14ac:dyDescent="0.3">
      <c r="A830" s="161"/>
      <c r="B830" s="107"/>
      <c r="C830" s="111">
        <f>'04a_Box_Dims'!$I27</f>
        <v>0.25</v>
      </c>
      <c r="D830" s="113">
        <f>$A828*$C828*$C829*$C830</f>
        <v>10</v>
      </c>
      <c r="E830" s="63"/>
      <c r="F830" s="150"/>
      <c r="G830" s="107"/>
      <c r="H830" s="95">
        <f>'04a_Box_Dims'!$I27</f>
        <v>0.25</v>
      </c>
    </row>
    <row r="831" spans="1:8" x14ac:dyDescent="0.3">
      <c r="A831" s="161">
        <f>'04a_Box_Dims'!$C27-1</f>
        <v>1</v>
      </c>
      <c r="B831" s="107" t="s">
        <v>1628</v>
      </c>
      <c r="C831" s="111">
        <f>'04a_Box_Dims'!$AE27</f>
        <v>10</v>
      </c>
      <c r="D831" s="113"/>
      <c r="E831" s="63" t="s">
        <v>1678</v>
      </c>
      <c r="F831" s="150"/>
      <c r="G831" s="107"/>
      <c r="H831" s="95"/>
    </row>
    <row r="832" spans="1:8" x14ac:dyDescent="0.3">
      <c r="A832" s="161"/>
      <c r="B832" s="107"/>
      <c r="C832" s="111">
        <f>'04a_Box_Dims'!$E27</f>
        <v>2</v>
      </c>
      <c r="D832" s="113"/>
      <c r="E832" s="63"/>
      <c r="F832" s="150"/>
      <c r="G832" s="107"/>
      <c r="H832" s="95"/>
    </row>
    <row r="833" spans="1:8" x14ac:dyDescent="0.3">
      <c r="A833" s="161"/>
      <c r="B833" s="107"/>
      <c r="C833" s="111">
        <f>'04a_Box_Dims'!$I27</f>
        <v>0.25</v>
      </c>
      <c r="D833" s="113">
        <f>$A831*$C831*$C832*$C833</f>
        <v>5</v>
      </c>
      <c r="E833" s="63"/>
      <c r="F833" s="150"/>
      <c r="G833" s="107"/>
      <c r="H833" s="95">
        <f>'04a_Box_Dims'!$I27</f>
        <v>0.25</v>
      </c>
    </row>
    <row r="834" spans="1:8" x14ac:dyDescent="0.3">
      <c r="A834" s="161">
        <f>4*'04a_Box_Dims'!$C27</f>
        <v>8</v>
      </c>
      <c r="B834" s="107" t="s">
        <v>1628</v>
      </c>
      <c r="C834" s="111">
        <f>'04a_Box_Dims'!$AE27</f>
        <v>10</v>
      </c>
      <c r="D834" s="113"/>
      <c r="E834" s="63" t="s">
        <v>1679</v>
      </c>
      <c r="F834" s="150"/>
      <c r="G834" s="107"/>
      <c r="H834" s="95"/>
    </row>
    <row r="835" spans="1:8" x14ac:dyDescent="0.3">
      <c r="A835" s="161"/>
      <c r="B835" s="107"/>
      <c r="C835" s="111">
        <f>'04a_Box_Dims'!$N27</f>
        <v>0.15</v>
      </c>
      <c r="D835" s="113"/>
      <c r="E835" s="63"/>
      <c r="F835" s="150"/>
      <c r="G835" s="107"/>
      <c r="H835" s="95"/>
    </row>
    <row r="836" spans="1:8" x14ac:dyDescent="0.3">
      <c r="A836" s="161"/>
      <c r="B836" s="107"/>
      <c r="C836" s="111">
        <f>'04a_Box_Dims'!$N27/2</f>
        <v>7.4999999999999997E-2</v>
      </c>
      <c r="D836" s="113">
        <f>$A834*$C834*$C835*$C836</f>
        <v>0.89999999999999991</v>
      </c>
      <c r="E836" s="63"/>
      <c r="F836" s="150"/>
      <c r="G836" s="107"/>
      <c r="H836" s="95">
        <f>'04a_Box_Dims'!$N27</f>
        <v>0.15</v>
      </c>
    </row>
    <row r="837" spans="1:8" x14ac:dyDescent="0.3">
      <c r="A837" s="161">
        <f>2</f>
        <v>2</v>
      </c>
      <c r="B837" s="107" t="s">
        <v>1628</v>
      </c>
      <c r="C837" s="111">
        <f>'04a_Box_Dims'!$J27</f>
        <v>6.75</v>
      </c>
      <c r="D837" s="113"/>
      <c r="E837" s="63" t="s">
        <v>1680</v>
      </c>
      <c r="F837" s="150"/>
      <c r="G837" s="107"/>
      <c r="H837" s="95"/>
    </row>
    <row r="838" spans="1:8" x14ac:dyDescent="0.3">
      <c r="A838" s="161"/>
      <c r="B838" s="107"/>
      <c r="C838" s="111">
        <f>'04a_Box_Dims'!$U27</f>
        <v>0.6</v>
      </c>
      <c r="D838" s="113"/>
      <c r="E838" s="63"/>
      <c r="F838" s="150"/>
      <c r="G838" s="107"/>
      <c r="H838" s="95"/>
    </row>
    <row r="839" spans="1:8" x14ac:dyDescent="0.3">
      <c r="A839" s="161"/>
      <c r="B839" s="107"/>
      <c r="C839" s="111">
        <f>'04a_Box_Dims'!$V27</f>
        <v>0.3</v>
      </c>
      <c r="D839" s="113">
        <f>$A837*$C837*$C838*$C839</f>
        <v>2.4299999999999997</v>
      </c>
      <c r="E839" s="63"/>
      <c r="F839" s="150"/>
      <c r="G839" s="107"/>
      <c r="H839" s="95">
        <f>'04a_Box_Dims'!$V27</f>
        <v>0.3</v>
      </c>
    </row>
    <row r="840" spans="1:8" x14ac:dyDescent="0.3">
      <c r="A840" s="161">
        <f>4</f>
        <v>4</v>
      </c>
      <c r="B840" s="107" t="s">
        <v>1628</v>
      </c>
      <c r="C840" s="111">
        <f>'04a_Box_Dims'!$Z27</f>
        <v>2.1213203435596424</v>
      </c>
      <c r="D840" s="113"/>
      <c r="E840" s="63" t="s">
        <v>1681</v>
      </c>
      <c r="F840" s="150"/>
      <c r="G840" s="107"/>
      <c r="H840" s="95"/>
    </row>
    <row r="841" spans="1:8" x14ac:dyDescent="0.3">
      <c r="A841" s="161"/>
      <c r="B841" s="107"/>
      <c r="C841" s="111">
        <f>'04a_Box_Dims'!$Y27</f>
        <v>2.9928932188134527</v>
      </c>
      <c r="D841" s="113"/>
      <c r="E841" s="63"/>
      <c r="F841" s="150"/>
      <c r="G841" s="107"/>
      <c r="H841" s="95"/>
    </row>
    <row r="842" spans="1:8" x14ac:dyDescent="0.3">
      <c r="A842" s="161"/>
      <c r="B842" s="107"/>
      <c r="C842" s="111">
        <f>'04a_Box_Dims'!$AB27</f>
        <v>0.31</v>
      </c>
      <c r="D842" s="113">
        <f>$A840*$C840*$C841*$C842</f>
        <v>7.8726177362516392</v>
      </c>
      <c r="E842" s="63"/>
      <c r="F842" s="150"/>
      <c r="G842" s="107"/>
      <c r="H842" s="95">
        <f>'04a_Box_Dims'!$AB27</f>
        <v>0.31</v>
      </c>
    </row>
    <row r="843" spans="1:8" x14ac:dyDescent="0.3">
      <c r="A843" s="161"/>
      <c r="B843" s="107"/>
      <c r="C843" s="111"/>
      <c r="D843" s="113">
        <f>SUM($D$828:$D$842)</f>
        <v>26.202617736251639</v>
      </c>
      <c r="E843" s="63" t="s">
        <v>1660</v>
      </c>
      <c r="F843" s="150">
        <f>ROUND($D843,2)</f>
        <v>26.2</v>
      </c>
      <c r="G843" s="107" t="s">
        <v>1661</v>
      </c>
      <c r="H843" s="95"/>
    </row>
    <row r="844" spans="1:8" x14ac:dyDescent="0.3">
      <c r="A844" s="161"/>
      <c r="B844" s="107"/>
      <c r="C844" s="111"/>
      <c r="D844" s="113"/>
      <c r="E844" s="63"/>
      <c r="F844" s="150"/>
      <c r="G844" s="107"/>
      <c r="H844" s="95"/>
    </row>
    <row r="845" spans="1:8" x14ac:dyDescent="0.3">
      <c r="A845" s="161"/>
      <c r="B845" s="107"/>
      <c r="C845" s="111"/>
      <c r="D845" s="113"/>
      <c r="E845" s="149" t="s">
        <v>1682</v>
      </c>
      <c r="F845" s="150"/>
      <c r="G845" s="107"/>
      <c r="H845" s="95"/>
    </row>
    <row r="846" spans="1:8" x14ac:dyDescent="0.3">
      <c r="A846" s="161"/>
      <c r="B846" s="107"/>
      <c r="C846" s="111"/>
      <c r="D846" s="113"/>
      <c r="E846" s="63" t="s">
        <v>1683</v>
      </c>
      <c r="F846" s="150"/>
      <c r="G846" s="107"/>
      <c r="H846" s="95"/>
    </row>
    <row r="847" spans="1:8" x14ac:dyDescent="0.3">
      <c r="A847" s="161"/>
      <c r="B847" s="107"/>
      <c r="C847" s="111"/>
      <c r="D847" s="113">
        <f>SUMIF($H$828:$H$842,"&lt;=0.3",$D$828:$D$842)</f>
        <v>18.329999999999998</v>
      </c>
      <c r="E847" s="63" t="s">
        <v>1670</v>
      </c>
      <c r="F847" s="150">
        <f>ROUND($D847,2)</f>
        <v>18.329999999999998</v>
      </c>
      <c r="G847" s="107" t="s">
        <v>1661</v>
      </c>
      <c r="H847" s="95"/>
    </row>
    <row r="848" spans="1:8" x14ac:dyDescent="0.3">
      <c r="A848" s="161"/>
      <c r="B848" s="107"/>
      <c r="C848" s="111"/>
      <c r="D848" s="113">
        <f>SUMIF($H$828:$H$842,"&gt;0.3",$D$828:$D$842)</f>
        <v>7.8726177362516392</v>
      </c>
      <c r="E848" s="63" t="s">
        <v>1671</v>
      </c>
      <c r="F848" s="150">
        <f>ROUND($D848,2)</f>
        <v>7.87</v>
      </c>
      <c r="G848" s="107" t="s">
        <v>1661</v>
      </c>
      <c r="H848" s="95"/>
    </row>
    <row r="849" spans="1:8" x14ac:dyDescent="0.3">
      <c r="A849" s="161"/>
      <c r="B849" s="107"/>
      <c r="C849" s="111"/>
      <c r="D849" s="113"/>
      <c r="E849" s="63"/>
      <c r="F849" s="150"/>
      <c r="G849" s="107"/>
      <c r="H849" s="95"/>
    </row>
    <row r="850" spans="1:8" x14ac:dyDescent="0.3">
      <c r="A850" s="161"/>
      <c r="B850" s="107"/>
      <c r="C850" s="111"/>
      <c r="D850" s="113"/>
      <c r="E850" s="149" t="s">
        <v>1445</v>
      </c>
      <c r="F850" s="150"/>
      <c r="G850" s="107"/>
      <c r="H850" s="95"/>
    </row>
    <row r="851" spans="1:8" x14ac:dyDescent="0.3">
      <c r="A851" s="161"/>
      <c r="B851" s="107"/>
      <c r="C851" s="111"/>
      <c r="D851" s="113"/>
      <c r="E851" s="63" t="s">
        <v>1684</v>
      </c>
      <c r="F851" s="150"/>
      <c r="G851" s="107"/>
      <c r="H851" s="95"/>
    </row>
    <row r="852" spans="1:8" x14ac:dyDescent="0.3">
      <c r="A852" s="161">
        <f>2</f>
        <v>2</v>
      </c>
      <c r="B852" s="107" t="s">
        <v>1628</v>
      </c>
      <c r="C852" s="111">
        <f>'04a_Box_Dims'!$AE27</f>
        <v>10</v>
      </c>
      <c r="D852" s="113"/>
      <c r="E852" s="63" t="s">
        <v>1685</v>
      </c>
      <c r="F852" s="150"/>
      <c r="G852" s="107"/>
      <c r="H852" s="95"/>
    </row>
    <row r="853" spans="1:8" x14ac:dyDescent="0.3">
      <c r="A853" s="161"/>
      <c r="B853" s="107"/>
      <c r="C853" s="111">
        <f>'04a_Box_Dims'!$E27</f>
        <v>2</v>
      </c>
      <c r="D853" s="113">
        <f>$A852*$C852*$C853</f>
        <v>40</v>
      </c>
      <c r="E853" s="63"/>
      <c r="F853" s="150"/>
      <c r="G853" s="107"/>
      <c r="H853" s="95"/>
    </row>
    <row r="854" spans="1:8" x14ac:dyDescent="0.3">
      <c r="A854" s="161">
        <f>4</f>
        <v>4</v>
      </c>
      <c r="B854" s="107" t="s">
        <v>1628</v>
      </c>
      <c r="C854" s="111">
        <f>'04a_Box_Dims'!$Z27</f>
        <v>2.1213203435596424</v>
      </c>
      <c r="D854" s="113"/>
      <c r="E854" s="63" t="s">
        <v>1686</v>
      </c>
      <c r="F854" s="150"/>
      <c r="G854" s="107"/>
      <c r="H854" s="95"/>
    </row>
    <row r="855" spans="1:8" x14ac:dyDescent="0.3">
      <c r="A855" s="161"/>
      <c r="B855" s="107"/>
      <c r="C855" s="111">
        <f>'04a_Box_Dims'!$Y27</f>
        <v>2.9928932188134527</v>
      </c>
      <c r="D855" s="113">
        <f>$A854*$C854*$C855</f>
        <v>25.395541084682709</v>
      </c>
      <c r="E855" s="63"/>
      <c r="F855" s="150"/>
      <c r="G855" s="107"/>
      <c r="H855" s="95"/>
    </row>
    <row r="856" spans="1:8" x14ac:dyDescent="0.3">
      <c r="A856" s="161">
        <f>2</f>
        <v>2</v>
      </c>
      <c r="B856" s="107" t="s">
        <v>1628</v>
      </c>
      <c r="C856" s="111">
        <f>'04a_Box_Dims'!$J27</f>
        <v>6.75</v>
      </c>
      <c r="D856" s="113"/>
      <c r="E856" s="63" t="s">
        <v>1687</v>
      </c>
      <c r="F856" s="150"/>
      <c r="G856" s="107"/>
      <c r="H856" s="95"/>
    </row>
    <row r="857" spans="1:8" x14ac:dyDescent="0.3">
      <c r="A857" s="161"/>
      <c r="B857" s="107"/>
      <c r="C857" s="111">
        <f>'04a_Box_Dims'!$U27</f>
        <v>0.6</v>
      </c>
      <c r="D857" s="113">
        <f>$A856*$C856*$C857</f>
        <v>8.1</v>
      </c>
      <c r="E857" s="63"/>
      <c r="F857" s="150"/>
      <c r="G857" s="107"/>
      <c r="H857" s="95"/>
    </row>
    <row r="858" spans="1:8" x14ac:dyDescent="0.3">
      <c r="A858" s="161"/>
      <c r="B858" s="107"/>
      <c r="C858" s="111"/>
      <c r="D858" s="113">
        <f>SUM($D$852:$D$857)</f>
        <v>73.495541084682699</v>
      </c>
      <c r="E858" s="63" t="s">
        <v>1660</v>
      </c>
      <c r="F858" s="150">
        <f>ROUND($D858,2)</f>
        <v>73.5</v>
      </c>
      <c r="G858" s="107" t="s">
        <v>1688</v>
      </c>
      <c r="H858" s="95"/>
    </row>
    <row r="859" spans="1:8" x14ac:dyDescent="0.3">
      <c r="A859" s="161"/>
      <c r="B859" s="107"/>
      <c r="C859" s="111"/>
      <c r="D859" s="113"/>
      <c r="E859" s="63"/>
      <c r="F859" s="150"/>
      <c r="G859" s="107"/>
      <c r="H859" s="95"/>
    </row>
    <row r="860" spans="1:8" x14ac:dyDescent="0.3">
      <c r="A860" s="161"/>
      <c r="B860" s="107"/>
      <c r="C860" s="111"/>
      <c r="D860" s="113"/>
      <c r="E860" s="149" t="s">
        <v>1446</v>
      </c>
      <c r="F860" s="150"/>
      <c r="G860" s="107"/>
      <c r="H860" s="95"/>
    </row>
    <row r="861" spans="1:8" x14ac:dyDescent="0.3">
      <c r="A861" s="161"/>
      <c r="B861" s="107"/>
      <c r="C861" s="111"/>
      <c r="D861" s="113"/>
      <c r="E861" s="63" t="s">
        <v>1689</v>
      </c>
      <c r="F861" s="150"/>
      <c r="G861" s="107"/>
      <c r="H861" s="95"/>
    </row>
    <row r="862" spans="1:8" x14ac:dyDescent="0.3">
      <c r="A862" s="161">
        <f>2</f>
        <v>2</v>
      </c>
      <c r="B862" s="107" t="s">
        <v>1628</v>
      </c>
      <c r="C862" s="111">
        <f>'04a_Box_Dims'!$O27</f>
        <v>1.5</v>
      </c>
      <c r="D862" s="113"/>
      <c r="E862" s="63" t="s">
        <v>1690</v>
      </c>
      <c r="F862" s="150"/>
      <c r="G862" s="107"/>
      <c r="H862" s="95"/>
    </row>
    <row r="863" spans="1:8" x14ac:dyDescent="0.3">
      <c r="A863" s="161"/>
      <c r="B863" s="107"/>
      <c r="C863" s="111">
        <f>'04a_Box_Dims'!$Q27</f>
        <v>8.25</v>
      </c>
      <c r="D863" s="113">
        <f>$A862*$C862*$C863</f>
        <v>24.75</v>
      </c>
      <c r="E863" s="63"/>
      <c r="F863" s="150"/>
      <c r="G863" s="107"/>
      <c r="H863" s="95"/>
    </row>
    <row r="864" spans="1:8" x14ac:dyDescent="0.3">
      <c r="A864" s="161"/>
      <c r="B864" s="107"/>
      <c r="C864" s="111"/>
      <c r="D864" s="113">
        <f>SUM($D$862:$D$863)</f>
        <v>24.75</v>
      </c>
      <c r="E864" s="63" t="s">
        <v>1660</v>
      </c>
      <c r="F864" s="150">
        <f>ROUND($D864,2)</f>
        <v>24.75</v>
      </c>
      <c r="G864" s="107" t="s">
        <v>1688</v>
      </c>
      <c r="H864" s="95"/>
    </row>
    <row r="865" spans="1:8" x14ac:dyDescent="0.3">
      <c r="A865" s="161"/>
      <c r="B865" s="107"/>
      <c r="C865" s="111"/>
      <c r="D865" s="113"/>
      <c r="E865" s="63"/>
      <c r="F865" s="150"/>
      <c r="G865" s="107"/>
      <c r="H865" s="95"/>
    </row>
    <row r="866" spans="1:8" x14ac:dyDescent="0.3">
      <c r="A866" s="161"/>
      <c r="B866" s="107"/>
      <c r="C866" s="111"/>
      <c r="D866" s="113"/>
      <c r="E866" s="149" t="s">
        <v>1447</v>
      </c>
      <c r="F866" s="150"/>
      <c r="G866" s="107"/>
      <c r="H866" s="95"/>
    </row>
    <row r="867" spans="1:8" x14ac:dyDescent="0.3">
      <c r="A867" s="161"/>
      <c r="B867" s="107"/>
      <c r="C867" s="111"/>
      <c r="D867" s="113"/>
      <c r="E867" s="63" t="s">
        <v>1691</v>
      </c>
      <c r="F867" s="150"/>
      <c r="G867" s="107"/>
      <c r="H867" s="95"/>
    </row>
    <row r="868" spans="1:8" x14ac:dyDescent="0.3">
      <c r="A868" s="161">
        <f>4</f>
        <v>4</v>
      </c>
      <c r="B868" s="107" t="s">
        <v>1628</v>
      </c>
      <c r="C868" s="111">
        <f>'04a_Box_Dims'!$J27</f>
        <v>6.75</v>
      </c>
      <c r="D868" s="113"/>
      <c r="E868" s="63" t="s">
        <v>1692</v>
      </c>
      <c r="F868" s="150"/>
      <c r="G868" s="107"/>
      <c r="H868" s="95"/>
    </row>
    <row r="869" spans="1:8" x14ac:dyDescent="0.3">
      <c r="A869" s="161"/>
      <c r="B869" s="107"/>
      <c r="C869" s="111">
        <f>'04a_Box_Dims'!$I27</f>
        <v>0.25</v>
      </c>
      <c r="D869" s="113">
        <f>$A868*$C868*$C869</f>
        <v>6.75</v>
      </c>
      <c r="E869" s="63"/>
      <c r="F869" s="150"/>
      <c r="G869" s="107"/>
      <c r="H869" s="95"/>
    </row>
    <row r="870" spans="1:8" x14ac:dyDescent="0.3">
      <c r="A870" s="161">
        <f>4</f>
        <v>4</v>
      </c>
      <c r="B870" s="107" t="s">
        <v>1628</v>
      </c>
      <c r="C870" s="111">
        <f>'04a_Box_Dims'!$O27</f>
        <v>1.5</v>
      </c>
      <c r="D870" s="113"/>
      <c r="E870" s="63" t="s">
        <v>1693</v>
      </c>
      <c r="F870" s="150"/>
      <c r="G870" s="107"/>
      <c r="H870" s="95"/>
    </row>
    <row r="871" spans="1:8" x14ac:dyDescent="0.3">
      <c r="A871" s="161"/>
      <c r="B871" s="107"/>
      <c r="C871" s="111">
        <f>'04a_Box_Dims'!$P27</f>
        <v>0.25</v>
      </c>
      <c r="D871" s="113">
        <f>$A870*$C870*$C871</f>
        <v>1.5</v>
      </c>
      <c r="E871" s="63"/>
      <c r="F871" s="150"/>
      <c r="G871" s="107"/>
      <c r="H871" s="95"/>
    </row>
    <row r="872" spans="1:8" x14ac:dyDescent="0.3">
      <c r="A872" s="161"/>
      <c r="B872" s="107"/>
      <c r="C872" s="111"/>
      <c r="D872" s="113">
        <f>SUM($D$868:$D$871)</f>
        <v>8.25</v>
      </c>
      <c r="E872" s="63" t="s">
        <v>1660</v>
      </c>
      <c r="F872" s="150">
        <f>ROUND($D872,2)</f>
        <v>8.25</v>
      </c>
      <c r="G872" s="107" t="s">
        <v>1688</v>
      </c>
      <c r="H872" s="95"/>
    </row>
    <row r="873" spans="1:8" x14ac:dyDescent="0.3">
      <c r="A873" s="161"/>
      <c r="B873" s="107"/>
      <c r="C873" s="111"/>
      <c r="D873" s="113"/>
      <c r="E873" s="63"/>
      <c r="F873" s="150"/>
      <c r="G873" s="107"/>
      <c r="H873" s="95"/>
    </row>
    <row r="874" spans="1:8" x14ac:dyDescent="0.3">
      <c r="A874" s="161"/>
      <c r="B874" s="107"/>
      <c r="C874" s="111"/>
      <c r="D874" s="113"/>
      <c r="E874" s="149" t="s">
        <v>1448</v>
      </c>
      <c r="F874" s="150"/>
      <c r="G874" s="107"/>
      <c r="H874" s="95"/>
    </row>
    <row r="875" spans="1:8" x14ac:dyDescent="0.3">
      <c r="A875" s="161"/>
      <c r="B875" s="107"/>
      <c r="C875" s="111"/>
      <c r="D875" s="113"/>
      <c r="E875" s="63" t="s">
        <v>1694</v>
      </c>
      <c r="F875" s="150"/>
      <c r="G875" s="107"/>
      <c r="H875" s="95"/>
    </row>
    <row r="876" spans="1:8" x14ac:dyDescent="0.3">
      <c r="A876" s="161">
        <f>1</f>
        <v>1</v>
      </c>
      <c r="B876" s="107" t="s">
        <v>1628</v>
      </c>
      <c r="C876" s="111">
        <f>'04a_Box_Dims'!$AE27</f>
        <v>10</v>
      </c>
      <c r="D876" s="113"/>
      <c r="E876" s="63" t="s">
        <v>1695</v>
      </c>
      <c r="F876" s="150"/>
      <c r="G876" s="107"/>
      <c r="H876" s="95"/>
    </row>
    <row r="877" spans="1:8" x14ac:dyDescent="0.3">
      <c r="A877" s="161"/>
      <c r="B877" s="107"/>
      <c r="C877" s="111">
        <f>'04a_Box_Dims'!$K27</f>
        <v>6.25</v>
      </c>
      <c r="D877" s="113">
        <f>$A876*$C876*$C877</f>
        <v>62.5</v>
      </c>
      <c r="E877" s="63"/>
      <c r="F877" s="150"/>
      <c r="G877" s="107"/>
      <c r="H877" s="95"/>
    </row>
    <row r="878" spans="1:8" x14ac:dyDescent="0.3">
      <c r="A878" s="161"/>
      <c r="B878" s="107"/>
      <c r="C878" s="111"/>
      <c r="D878" s="113">
        <f>SUM($D$876:$D$877)</f>
        <v>62.5</v>
      </c>
      <c r="E878" s="63" t="s">
        <v>1660</v>
      </c>
      <c r="F878" s="150">
        <f>ROUND($D878,2)</f>
        <v>62.5</v>
      </c>
      <c r="G878" s="107" t="s">
        <v>1688</v>
      </c>
      <c r="H878" s="95"/>
    </row>
    <row r="879" spans="1:8" x14ac:dyDescent="0.3">
      <c r="A879" s="161"/>
      <c r="B879" s="107"/>
      <c r="C879" s="111"/>
      <c r="D879" s="113"/>
      <c r="E879" s="63"/>
      <c r="F879" s="150"/>
      <c r="G879" s="107"/>
      <c r="H879" s="95"/>
    </row>
    <row r="880" spans="1:8" x14ac:dyDescent="0.3">
      <c r="A880" s="161"/>
      <c r="B880" s="107"/>
      <c r="C880" s="111"/>
      <c r="D880" s="113"/>
      <c r="E880" s="149" t="s">
        <v>1449</v>
      </c>
      <c r="F880" s="150"/>
      <c r="G880" s="107"/>
      <c r="H880" s="95"/>
    </row>
    <row r="881" spans="1:8" x14ac:dyDescent="0.3">
      <c r="A881" s="161"/>
      <c r="B881" s="107"/>
      <c r="C881" s="111"/>
      <c r="D881" s="113"/>
      <c r="E881" s="63" t="s">
        <v>1696</v>
      </c>
      <c r="F881" s="150"/>
      <c r="G881" s="107"/>
      <c r="H881" s="95"/>
    </row>
    <row r="882" spans="1:8" x14ac:dyDescent="0.3">
      <c r="A882" s="161">
        <f>2</f>
        <v>2</v>
      </c>
      <c r="B882" s="107" t="s">
        <v>1628</v>
      </c>
      <c r="C882" s="111">
        <f>'04a_Box_Dims'!$J27</f>
        <v>6.75</v>
      </c>
      <c r="D882" s="113"/>
      <c r="E882" s="63" t="s">
        <v>1697</v>
      </c>
      <c r="F882" s="150"/>
      <c r="G882" s="107"/>
      <c r="H882" s="95"/>
    </row>
    <row r="883" spans="1:8" x14ac:dyDescent="0.3">
      <c r="A883" s="161"/>
      <c r="B883" s="107"/>
      <c r="C883" s="111">
        <f>'04a_Box_Dims'!$U27</f>
        <v>0.6</v>
      </c>
      <c r="D883" s="113">
        <f>$A882*$C882*$C883</f>
        <v>8.1</v>
      </c>
      <c r="E883" s="63"/>
      <c r="F883" s="150"/>
      <c r="G883" s="107"/>
      <c r="H883" s="95"/>
    </row>
    <row r="884" spans="1:8" x14ac:dyDescent="0.3">
      <c r="A884" s="161"/>
      <c r="B884" s="107"/>
      <c r="C884" s="111"/>
      <c r="D884" s="113">
        <f>SUM($D$882:$D$883)</f>
        <v>8.1</v>
      </c>
      <c r="E884" s="63" t="s">
        <v>1660</v>
      </c>
      <c r="F884" s="150">
        <f>ROUND($D884,2)</f>
        <v>8.1</v>
      </c>
      <c r="G884" s="107" t="s">
        <v>1688</v>
      </c>
      <c r="H884" s="95"/>
    </row>
    <row r="885" spans="1:8" x14ac:dyDescent="0.3">
      <c r="A885" s="161"/>
      <c r="B885" s="107"/>
      <c r="C885" s="111"/>
      <c r="D885" s="113"/>
      <c r="E885" s="63"/>
      <c r="F885" s="150"/>
      <c r="G885" s="107"/>
      <c r="H885" s="95"/>
    </row>
    <row r="886" spans="1:8" x14ac:dyDescent="0.3">
      <c r="A886" s="161"/>
      <c r="B886" s="107"/>
      <c r="C886" s="111"/>
      <c r="D886" s="113"/>
      <c r="E886" s="149" t="s">
        <v>1329</v>
      </c>
      <c r="F886" s="150"/>
      <c r="G886" s="107"/>
      <c r="H886" s="95"/>
    </row>
    <row r="887" spans="1:8" x14ac:dyDescent="0.3">
      <c r="A887" s="161"/>
      <c r="B887" s="107"/>
      <c r="C887" s="111"/>
      <c r="D887" s="113"/>
      <c r="E887" s="63" t="s">
        <v>1698</v>
      </c>
      <c r="F887" s="150"/>
      <c r="G887" s="107"/>
      <c r="H887" s="95"/>
    </row>
    <row r="888" spans="1:8" x14ac:dyDescent="0.3">
      <c r="A888" s="161">
        <f>2</f>
        <v>2</v>
      </c>
      <c r="B888" s="107" t="s">
        <v>1628</v>
      </c>
      <c r="C888" s="111">
        <f>'04a_Box_Dims'!$AE27</f>
        <v>10</v>
      </c>
      <c r="D888" s="113"/>
      <c r="E888" s="63" t="s">
        <v>1699</v>
      </c>
      <c r="F888" s="150"/>
      <c r="G888" s="107"/>
      <c r="H888" s="95"/>
    </row>
    <row r="889" spans="1:8" x14ac:dyDescent="0.3">
      <c r="A889" s="161"/>
      <c r="B889" s="107"/>
      <c r="C889" s="111">
        <f>'04a_Box_Dims'!$E27</f>
        <v>2</v>
      </c>
      <c r="D889" s="113">
        <f>$A888*$C888*$C889</f>
        <v>40</v>
      </c>
      <c r="E889" s="63"/>
      <c r="F889" s="150"/>
      <c r="G889" s="107"/>
      <c r="H889" s="95"/>
    </row>
    <row r="890" spans="1:8" x14ac:dyDescent="0.3">
      <c r="A890" s="161">
        <f>('04a_Box_Dims'!$C27-1)*2</f>
        <v>2</v>
      </c>
      <c r="B890" s="107" t="s">
        <v>1628</v>
      </c>
      <c r="C890" s="111">
        <f>'04a_Box_Dims'!$AE27</f>
        <v>10</v>
      </c>
      <c r="D890" s="113"/>
      <c r="E890" s="63" t="s">
        <v>1700</v>
      </c>
      <c r="F890" s="150"/>
      <c r="G890" s="107"/>
      <c r="H890" s="95"/>
    </row>
    <row r="891" spans="1:8" x14ac:dyDescent="0.3">
      <c r="A891" s="161"/>
      <c r="B891" s="107"/>
      <c r="C891" s="111">
        <f>'04a_Box_Dims'!$E27</f>
        <v>2</v>
      </c>
      <c r="D891" s="113">
        <f>$A890*$C890*$C891</f>
        <v>40</v>
      </c>
      <c r="E891" s="63"/>
      <c r="F891" s="150"/>
      <c r="G891" s="107"/>
      <c r="H891" s="95"/>
    </row>
    <row r="892" spans="1:8" x14ac:dyDescent="0.3">
      <c r="A892" s="161">
        <f>4</f>
        <v>4</v>
      </c>
      <c r="B892" s="107" t="s">
        <v>1628</v>
      </c>
      <c r="C892" s="111">
        <f>'04a_Box_Dims'!$Z27</f>
        <v>2.1213203435596424</v>
      </c>
      <c r="D892" s="113"/>
      <c r="E892" s="63" t="s">
        <v>1701</v>
      </c>
      <c r="F892" s="150"/>
      <c r="G892" s="107"/>
      <c r="H892" s="95"/>
    </row>
    <row r="893" spans="1:8" x14ac:dyDescent="0.3">
      <c r="A893" s="161"/>
      <c r="B893" s="107"/>
      <c r="C893" s="111">
        <f>'04a_Box_Dims'!$Y27</f>
        <v>2.9928932188134527</v>
      </c>
      <c r="D893" s="113">
        <f>$A892*$C892*$C893</f>
        <v>25.395541084682709</v>
      </c>
      <c r="E893" s="63"/>
      <c r="F893" s="150"/>
      <c r="G893" s="107"/>
      <c r="H893" s="95"/>
    </row>
    <row r="894" spans="1:8" x14ac:dyDescent="0.3">
      <c r="A894" s="161"/>
      <c r="B894" s="107"/>
      <c r="C894" s="111"/>
      <c r="D894" s="113">
        <f>SUM($D$888:$D$893)</f>
        <v>105.3955410846827</v>
      </c>
      <c r="E894" s="63" t="s">
        <v>1660</v>
      </c>
      <c r="F894" s="150">
        <f>ROUND($D894,2)</f>
        <v>105.4</v>
      </c>
      <c r="G894" s="107" t="s">
        <v>1688</v>
      </c>
      <c r="H894" s="95"/>
    </row>
    <row r="895" spans="1:8" x14ac:dyDescent="0.3">
      <c r="A895" s="161"/>
      <c r="B895" s="107"/>
      <c r="C895" s="111"/>
      <c r="D895" s="113"/>
      <c r="E895" s="63"/>
      <c r="F895" s="150"/>
      <c r="G895" s="107"/>
      <c r="H895" s="95"/>
    </row>
    <row r="896" spans="1:8" x14ac:dyDescent="0.3">
      <c r="A896" s="161"/>
      <c r="B896" s="107"/>
      <c r="C896" s="111"/>
      <c r="D896" s="113"/>
      <c r="E896" s="149" t="s">
        <v>1702</v>
      </c>
      <c r="F896" s="150"/>
      <c r="G896" s="107"/>
      <c r="H896" s="95"/>
    </row>
    <row r="897" spans="1:8" x14ac:dyDescent="0.3">
      <c r="A897" s="161"/>
      <c r="B897" s="107"/>
      <c r="C897" s="111"/>
      <c r="D897" s="113"/>
      <c r="E897" s="63" t="s">
        <v>1703</v>
      </c>
      <c r="F897" s="150"/>
      <c r="G897" s="107"/>
      <c r="H897" s="95"/>
    </row>
    <row r="898" spans="1:8" x14ac:dyDescent="0.3">
      <c r="A898" s="161"/>
      <c r="B898" s="107"/>
      <c r="C898" s="111"/>
      <c r="D898" s="113">
        <v>0</v>
      </c>
      <c r="E898" s="63" t="s">
        <v>1704</v>
      </c>
      <c r="F898" s="150">
        <f t="shared" ref="F898:F903" si="5">ROUND($D898,3)</f>
        <v>0</v>
      </c>
      <c r="G898" s="107" t="s">
        <v>1474</v>
      </c>
      <c r="H898" s="95"/>
    </row>
    <row r="899" spans="1:8" x14ac:dyDescent="0.3">
      <c r="A899" s="161"/>
      <c r="B899" s="107"/>
      <c r="C899" s="111"/>
      <c r="D899" s="113">
        <f>'04b_Box_Bars'!$S14/1000</f>
        <v>1.0604446002192345</v>
      </c>
      <c r="E899" s="63" t="s">
        <v>1705</v>
      </c>
      <c r="F899" s="150">
        <f t="shared" si="5"/>
        <v>1.06</v>
      </c>
      <c r="G899" s="107" t="s">
        <v>1474</v>
      </c>
      <c r="H899" s="95"/>
    </row>
    <row r="900" spans="1:8" x14ac:dyDescent="0.3">
      <c r="A900" s="161"/>
      <c r="B900" s="107"/>
      <c r="C900" s="111"/>
      <c r="D900" s="113">
        <f>'04b_Box_Bars'!$T14/1000</f>
        <v>4.1641836472357063</v>
      </c>
      <c r="E900" s="63" t="s">
        <v>1706</v>
      </c>
      <c r="F900" s="150">
        <f t="shared" si="5"/>
        <v>4.1639999999999997</v>
      </c>
      <c r="G900" s="107" t="s">
        <v>1474</v>
      </c>
      <c r="H900" s="95"/>
    </row>
    <row r="901" spans="1:8" x14ac:dyDescent="0.3">
      <c r="A901" s="161"/>
      <c r="B901" s="107"/>
      <c r="C901" s="111"/>
      <c r="D901" s="113">
        <f>'04b_Box_Bars'!$U14/1000</f>
        <v>1.2687455135050891</v>
      </c>
      <c r="E901" s="63" t="s">
        <v>1707</v>
      </c>
      <c r="F901" s="150">
        <f t="shared" si="5"/>
        <v>1.2689999999999999</v>
      </c>
      <c r="G901" s="107" t="s">
        <v>1474</v>
      </c>
      <c r="H901" s="95"/>
    </row>
    <row r="902" spans="1:8" x14ac:dyDescent="0.3">
      <c r="A902" s="161"/>
      <c r="B902" s="107"/>
      <c r="C902" s="111"/>
      <c r="D902" s="113">
        <f>'04b_Box_Bars'!$V14/1000</f>
        <v>0</v>
      </c>
      <c r="E902" s="63" t="s">
        <v>1708</v>
      </c>
      <c r="F902" s="150">
        <f t="shared" si="5"/>
        <v>0</v>
      </c>
      <c r="G902" s="107" t="s">
        <v>1474</v>
      </c>
      <c r="H902" s="95"/>
    </row>
    <row r="903" spans="1:8" x14ac:dyDescent="0.3">
      <c r="A903" s="161"/>
      <c r="B903" s="107"/>
      <c r="C903" s="111"/>
      <c r="D903" s="113">
        <f>'04b_Box_Bars'!$W14/1000</f>
        <v>0</v>
      </c>
      <c r="E903" s="63" t="s">
        <v>1709</v>
      </c>
      <c r="F903" s="150">
        <f t="shared" si="5"/>
        <v>0</v>
      </c>
      <c r="G903" s="107" t="s">
        <v>1474</v>
      </c>
      <c r="H903" s="95"/>
    </row>
    <row r="904" spans="1:8" x14ac:dyDescent="0.3">
      <c r="A904" s="161"/>
      <c r="B904" s="107"/>
      <c r="C904" s="111"/>
      <c r="D904" s="113"/>
      <c r="E904" s="63"/>
      <c r="F904" s="150"/>
      <c r="G904" s="107"/>
      <c r="H904" s="95"/>
    </row>
    <row r="906" spans="1:8" x14ac:dyDescent="0.3">
      <c r="A906" s="160" t="str">
        <f>'04a_Box_Dims'!$F28&amp;"  No.  "&amp;'04a_Box_Dims'!$A28&amp;"   (L = "&amp;TEXT('04a_Box_Dims'!$AE28,"0.00")&amp;" m)"</f>
        <v>0  No.  3/3x2 box culvert   (L = 10.00 m)</v>
      </c>
      <c r="B906" s="146"/>
      <c r="C906" s="162"/>
      <c r="D906" s="163"/>
      <c r="E906" s="147"/>
      <c r="F906" s="148"/>
      <c r="G906" s="146"/>
      <c r="H906" s="151"/>
    </row>
    <row r="907" spans="1:8" x14ac:dyDescent="0.3">
      <c r="A907" s="161"/>
      <c r="B907" s="107"/>
      <c r="C907" s="111"/>
      <c r="D907" s="113"/>
      <c r="E907" s="149" t="s">
        <v>1438</v>
      </c>
      <c r="F907" s="150"/>
      <c r="G907" s="107"/>
      <c r="H907" s="95"/>
    </row>
    <row r="908" spans="1:8" x14ac:dyDescent="0.3">
      <c r="A908" s="161"/>
      <c r="B908" s="107"/>
      <c r="C908" s="111"/>
      <c r="D908" s="113"/>
      <c r="E908" s="63" t="s">
        <v>1655</v>
      </c>
      <c r="F908" s="150"/>
      <c r="G908" s="107"/>
      <c r="H908" s="95"/>
    </row>
    <row r="909" spans="1:8" x14ac:dyDescent="0.3">
      <c r="A909" s="161">
        <f>1</f>
        <v>1</v>
      </c>
      <c r="B909" s="107" t="s">
        <v>1628</v>
      </c>
      <c r="C909" s="111">
        <f>'04a_Box_Dims'!$AE28</f>
        <v>10</v>
      </c>
      <c r="D909" s="113"/>
      <c r="E909" s="63" t="s">
        <v>1656</v>
      </c>
      <c r="F909" s="150"/>
      <c r="G909" s="107"/>
      <c r="H909" s="95"/>
    </row>
    <row r="910" spans="1:8" x14ac:dyDescent="0.3">
      <c r="A910" s="161"/>
      <c r="B910" s="107"/>
      <c r="C910" s="111">
        <f>'04a_Box_Dims'!$J28+2*BX_work</f>
        <v>10.6</v>
      </c>
      <c r="D910" s="113"/>
      <c r="E910" s="63"/>
      <c r="F910" s="150"/>
      <c r="G910" s="107"/>
      <c r="H910" s="95"/>
    </row>
    <row r="911" spans="1:8" x14ac:dyDescent="0.3">
      <c r="A911" s="161"/>
      <c r="B911" s="107"/>
      <c r="C911" s="111">
        <f>'04a_Box_Dims'!$L28+BX_blind+BX_exX</f>
        <v>2.6999999999999997</v>
      </c>
      <c r="D911" s="113">
        <f>$A909*$C909*$C910*$C911</f>
        <v>286.2</v>
      </c>
      <c r="E911" s="63"/>
      <c r="F911" s="150"/>
      <c r="G911" s="107"/>
      <c r="H911" s="95"/>
    </row>
    <row r="912" spans="1:8" x14ac:dyDescent="0.3">
      <c r="A912" s="161">
        <f>2</f>
        <v>2</v>
      </c>
      <c r="B912" s="107" t="s">
        <v>1628</v>
      </c>
      <c r="C912" s="111">
        <f>'04a_Box_Dims'!$O28</f>
        <v>1.5</v>
      </c>
      <c r="D912" s="113"/>
      <c r="E912" s="63" t="s">
        <v>1657</v>
      </c>
      <c r="F912" s="150"/>
      <c r="G912" s="107"/>
      <c r="H912" s="95"/>
    </row>
    <row r="913" spans="1:8" x14ac:dyDescent="0.3">
      <c r="A913" s="161"/>
      <c r="B913" s="107"/>
      <c r="C913" s="111">
        <f>'04a_Box_Dims'!$Q28</f>
        <v>11.5</v>
      </c>
      <c r="D913" s="113"/>
      <c r="E913" s="63"/>
      <c r="F913" s="150"/>
      <c r="G913" s="107"/>
      <c r="H913" s="95"/>
    </row>
    <row r="914" spans="1:8" x14ac:dyDescent="0.3">
      <c r="A914" s="161"/>
      <c r="B914" s="107"/>
      <c r="C914" s="111">
        <f>'04a_Box_Dims'!$P28+BX_blind+BX_exX</f>
        <v>0.44999999999999996</v>
      </c>
      <c r="D914" s="113">
        <f>$A912*$C912*$C913*$C914</f>
        <v>15.524999999999999</v>
      </c>
      <c r="E914" s="63"/>
      <c r="F914" s="150"/>
      <c r="G914" s="107"/>
      <c r="H914" s="95"/>
    </row>
    <row r="915" spans="1:8" x14ac:dyDescent="0.3">
      <c r="A915" s="161">
        <f>2</f>
        <v>2</v>
      </c>
      <c r="B915" s="107" t="s">
        <v>1628</v>
      </c>
      <c r="C915" s="111">
        <f>'04a_Box_Dims'!$R28</f>
        <v>10</v>
      </c>
      <c r="D915" s="113"/>
      <c r="E915" s="63" t="s">
        <v>1658</v>
      </c>
      <c r="F915" s="150"/>
      <c r="G915" s="107"/>
      <c r="H915" s="95"/>
    </row>
    <row r="916" spans="1:8" x14ac:dyDescent="0.3">
      <c r="A916" s="161"/>
      <c r="B916" s="107"/>
      <c r="C916" s="111">
        <f>'04a_Box_Dims'!$S28</f>
        <v>0.2</v>
      </c>
      <c r="D916" s="113"/>
      <c r="E916" s="63"/>
      <c r="F916" s="150"/>
      <c r="G916" s="107"/>
      <c r="H916" s="95"/>
    </row>
    <row r="917" spans="1:8" x14ac:dyDescent="0.3">
      <c r="A917" s="161"/>
      <c r="B917" s="107"/>
      <c r="C917" s="111">
        <f>'04a_Box_Dims'!$T28+BX_blind</f>
        <v>0.5</v>
      </c>
      <c r="D917" s="113">
        <f>$A915*$C915*$C916*$C917</f>
        <v>2</v>
      </c>
      <c r="E917" s="63"/>
      <c r="F917" s="150"/>
      <c r="G917" s="107"/>
      <c r="H917" s="95"/>
    </row>
    <row r="918" spans="1:8" x14ac:dyDescent="0.3">
      <c r="A918" s="161">
        <f>4</f>
        <v>4</v>
      </c>
      <c r="B918" s="107" t="s">
        <v>1628</v>
      </c>
      <c r="C918" s="111">
        <f>'04a_Box_Dims'!$Z28</f>
        <v>2.1213203435596424</v>
      </c>
      <c r="D918" s="113"/>
      <c r="E918" s="63" t="s">
        <v>1659</v>
      </c>
      <c r="F918" s="150"/>
      <c r="G918" s="107"/>
      <c r="H918" s="95"/>
    </row>
    <row r="919" spans="1:8" x14ac:dyDescent="0.3">
      <c r="A919" s="161"/>
      <c r="B919" s="107"/>
      <c r="C919" s="111">
        <f>'04a_Box_Dims'!$AC28</f>
        <v>0.81400000000000006</v>
      </c>
      <c r="D919" s="113"/>
      <c r="E919" s="63"/>
      <c r="F919" s="150"/>
      <c r="G919" s="107"/>
      <c r="H919" s="95"/>
    </row>
    <row r="920" spans="1:8" x14ac:dyDescent="0.3">
      <c r="A920" s="161"/>
      <c r="B920" s="107"/>
      <c r="C920" s="111">
        <f>'04a_Box_Dims'!$AD28+BX_blind</f>
        <v>0.35</v>
      </c>
      <c r="D920" s="113">
        <f>$A918*$C918*$C919*$C920</f>
        <v>2.4174566635205683</v>
      </c>
      <c r="E920" s="63"/>
      <c r="F920" s="150"/>
      <c r="G920" s="107"/>
      <c r="H920" s="95"/>
    </row>
    <row r="921" spans="1:8" x14ac:dyDescent="0.3">
      <c r="A921" s="161"/>
      <c r="B921" s="107"/>
      <c r="C921" s="111"/>
      <c r="D921" s="113">
        <f>SUM($D$909:$D$920)</f>
        <v>306.14245666352053</v>
      </c>
      <c r="E921" s="63" t="s">
        <v>1660</v>
      </c>
      <c r="F921" s="150">
        <f>ROUND($D921,0)</f>
        <v>306</v>
      </c>
      <c r="G921" s="107" t="s">
        <v>1661</v>
      </c>
      <c r="H921" s="95"/>
    </row>
    <row r="922" spans="1:8" x14ac:dyDescent="0.3">
      <c r="A922" s="161"/>
      <c r="B922" s="107"/>
      <c r="C922" s="111"/>
      <c r="D922" s="113"/>
      <c r="E922" s="63"/>
      <c r="F922" s="150"/>
      <c r="G922" s="107"/>
      <c r="H922" s="95"/>
    </row>
    <row r="923" spans="1:8" x14ac:dyDescent="0.3">
      <c r="A923" s="161"/>
      <c r="B923" s="107"/>
      <c r="C923" s="111"/>
      <c r="D923" s="113"/>
      <c r="E923" s="149" t="s">
        <v>1323</v>
      </c>
      <c r="F923" s="150"/>
      <c r="G923" s="107"/>
      <c r="H923" s="95"/>
    </row>
    <row r="924" spans="1:8" x14ac:dyDescent="0.3">
      <c r="A924" s="161"/>
      <c r="B924" s="107"/>
      <c r="C924" s="111"/>
      <c r="D924" s="113"/>
      <c r="E924" s="63" t="s">
        <v>1662</v>
      </c>
      <c r="F924" s="150"/>
      <c r="G924" s="107"/>
      <c r="H924" s="95"/>
    </row>
    <row r="925" spans="1:8" x14ac:dyDescent="0.3">
      <c r="A925" s="161">
        <f>1</f>
        <v>1</v>
      </c>
      <c r="B925" s="107" t="s">
        <v>1628</v>
      </c>
      <c r="C925" s="111">
        <f>'04a_Box_Dims'!$AE28</f>
        <v>10</v>
      </c>
      <c r="D925" s="113"/>
      <c r="E925" s="63" t="s">
        <v>1663</v>
      </c>
      <c r="F925" s="150"/>
      <c r="G925" s="107"/>
      <c r="H925" s="95"/>
    </row>
    <row r="926" spans="1:8" x14ac:dyDescent="0.3">
      <c r="A926" s="161"/>
      <c r="B926" s="107"/>
      <c r="C926" s="111">
        <f>'04a_Box_Dims'!$J28</f>
        <v>10</v>
      </c>
      <c r="D926" s="113"/>
      <c r="E926" s="63"/>
      <c r="F926" s="150"/>
      <c r="G926" s="107"/>
      <c r="H926" s="95"/>
    </row>
    <row r="927" spans="1:8" x14ac:dyDescent="0.3">
      <c r="A927" s="161"/>
      <c r="B927" s="107"/>
      <c r="C927" s="111">
        <f>BX_blind</f>
        <v>0.05</v>
      </c>
      <c r="D927" s="113">
        <f>$A925*$C925*$C926*$C927</f>
        <v>5</v>
      </c>
      <c r="E927" s="63"/>
      <c r="F927" s="150"/>
      <c r="G927" s="107"/>
      <c r="H927" s="95"/>
    </row>
    <row r="928" spans="1:8" x14ac:dyDescent="0.3">
      <c r="A928" s="161">
        <f>2</f>
        <v>2</v>
      </c>
      <c r="B928" s="107" t="s">
        <v>1628</v>
      </c>
      <c r="C928" s="111">
        <f>'04a_Box_Dims'!$O28</f>
        <v>1.5</v>
      </c>
      <c r="D928" s="113"/>
      <c r="E928" s="63" t="s">
        <v>1657</v>
      </c>
      <c r="F928" s="150"/>
      <c r="G928" s="107"/>
      <c r="H928" s="95"/>
    </row>
    <row r="929" spans="1:8" x14ac:dyDescent="0.3">
      <c r="A929" s="161"/>
      <c r="B929" s="107"/>
      <c r="C929" s="111">
        <f>'04a_Box_Dims'!$Q28</f>
        <v>11.5</v>
      </c>
      <c r="D929" s="113"/>
      <c r="E929" s="63"/>
      <c r="F929" s="150"/>
      <c r="G929" s="107"/>
      <c r="H929" s="95"/>
    </row>
    <row r="930" spans="1:8" x14ac:dyDescent="0.3">
      <c r="A930" s="161"/>
      <c r="B930" s="107"/>
      <c r="C930" s="111">
        <f>BX_blind</f>
        <v>0.05</v>
      </c>
      <c r="D930" s="113">
        <f>$A928*$C928*$C929*$C930</f>
        <v>1.7250000000000001</v>
      </c>
      <c r="E930" s="63"/>
      <c r="F930" s="150"/>
      <c r="G930" s="107"/>
      <c r="H930" s="95"/>
    </row>
    <row r="931" spans="1:8" x14ac:dyDescent="0.3">
      <c r="A931" s="161">
        <f>2</f>
        <v>2</v>
      </c>
      <c r="B931" s="107" t="s">
        <v>1628</v>
      </c>
      <c r="C931" s="111">
        <f>'04a_Box_Dims'!$R28</f>
        <v>10</v>
      </c>
      <c r="D931" s="113"/>
      <c r="E931" s="63" t="s">
        <v>1658</v>
      </c>
      <c r="F931" s="150"/>
      <c r="G931" s="107"/>
      <c r="H931" s="95"/>
    </row>
    <row r="932" spans="1:8" x14ac:dyDescent="0.3">
      <c r="A932" s="161"/>
      <c r="B932" s="107"/>
      <c r="C932" s="111">
        <f>'04a_Box_Dims'!$S28</f>
        <v>0.2</v>
      </c>
      <c r="D932" s="113"/>
      <c r="E932" s="63"/>
      <c r="F932" s="150"/>
      <c r="G932" s="107"/>
      <c r="H932" s="95"/>
    </row>
    <row r="933" spans="1:8" x14ac:dyDescent="0.3">
      <c r="A933" s="161"/>
      <c r="B933" s="107"/>
      <c r="C933" s="111">
        <f>BX_blind</f>
        <v>0.05</v>
      </c>
      <c r="D933" s="113">
        <f>$A931*$C931*$C932*$C933</f>
        <v>0.2</v>
      </c>
      <c r="E933" s="63"/>
      <c r="F933" s="150"/>
      <c r="G933" s="107"/>
      <c r="H933" s="95"/>
    </row>
    <row r="934" spans="1:8" x14ac:dyDescent="0.3">
      <c r="A934" s="161">
        <f>4</f>
        <v>4</v>
      </c>
      <c r="B934" s="107" t="s">
        <v>1628</v>
      </c>
      <c r="C934" s="111">
        <f>'04a_Box_Dims'!$Z28</f>
        <v>2.1213203435596424</v>
      </c>
      <c r="D934" s="113"/>
      <c r="E934" s="63" t="s">
        <v>1659</v>
      </c>
      <c r="F934" s="150"/>
      <c r="G934" s="107"/>
      <c r="H934" s="95"/>
    </row>
    <row r="935" spans="1:8" x14ac:dyDescent="0.3">
      <c r="A935" s="161"/>
      <c r="B935" s="107"/>
      <c r="C935" s="111">
        <f>'04a_Box_Dims'!$AC28</f>
        <v>0.81400000000000006</v>
      </c>
      <c r="D935" s="113"/>
      <c r="E935" s="63"/>
      <c r="F935" s="150"/>
      <c r="G935" s="107"/>
      <c r="H935" s="95"/>
    </row>
    <row r="936" spans="1:8" x14ac:dyDescent="0.3">
      <c r="A936" s="161"/>
      <c r="B936" s="107"/>
      <c r="C936" s="111">
        <f>BX_blind</f>
        <v>0.05</v>
      </c>
      <c r="D936" s="113">
        <f>$A934*$C934*$C935*$C936</f>
        <v>0.34535095193150983</v>
      </c>
      <c r="E936" s="63"/>
      <c r="F936" s="150"/>
      <c r="G936" s="107"/>
      <c r="H936" s="95"/>
    </row>
    <row r="937" spans="1:8" x14ac:dyDescent="0.3">
      <c r="A937" s="161"/>
      <c r="B937" s="107"/>
      <c r="C937" s="111"/>
      <c r="D937" s="113">
        <f>SUM($D$925:$D$936)</f>
        <v>7.2703509519315093</v>
      </c>
      <c r="E937" s="63" t="s">
        <v>1660</v>
      </c>
      <c r="F937" s="150">
        <f>ROUND($D937,2)</f>
        <v>7.27</v>
      </c>
      <c r="G937" s="107" t="s">
        <v>1661</v>
      </c>
      <c r="H937" s="95"/>
    </row>
    <row r="938" spans="1:8" x14ac:dyDescent="0.3">
      <c r="A938" s="161"/>
      <c r="B938" s="107"/>
      <c r="C938" s="111"/>
      <c r="D938" s="113"/>
      <c r="E938" s="63"/>
      <c r="F938" s="150"/>
      <c r="G938" s="107"/>
      <c r="H938" s="95"/>
    </row>
    <row r="939" spans="1:8" x14ac:dyDescent="0.3">
      <c r="A939" s="161"/>
      <c r="B939" s="107"/>
      <c r="C939" s="111"/>
      <c r="D939" s="113"/>
      <c r="E939" s="149" t="s">
        <v>1324</v>
      </c>
      <c r="F939" s="150"/>
      <c r="G939" s="107"/>
      <c r="H939" s="95"/>
    </row>
    <row r="940" spans="1:8" x14ac:dyDescent="0.3">
      <c r="A940" s="161"/>
      <c r="B940" s="107"/>
      <c r="C940" s="111"/>
      <c r="D940" s="113"/>
      <c r="E940" s="63" t="s">
        <v>1664</v>
      </c>
      <c r="F940" s="150"/>
      <c r="G940" s="107"/>
      <c r="H940" s="95"/>
    </row>
    <row r="941" spans="1:8" x14ac:dyDescent="0.3">
      <c r="A941" s="161"/>
      <c r="B941" s="107"/>
      <c r="C941" s="111"/>
      <c r="D941" s="113">
        <f>$D937</f>
        <v>7.2703509519315093</v>
      </c>
      <c r="E941" s="63" t="s">
        <v>1665</v>
      </c>
      <c r="F941" s="150">
        <f>$F937</f>
        <v>7.27</v>
      </c>
      <c r="G941" s="107" t="s">
        <v>1661</v>
      </c>
      <c r="H941" s="95"/>
    </row>
    <row r="942" spans="1:8" x14ac:dyDescent="0.3">
      <c r="A942" s="161"/>
      <c r="B942" s="107"/>
      <c r="C942" s="111"/>
      <c r="D942" s="113"/>
      <c r="E942" s="63"/>
      <c r="F942" s="150"/>
      <c r="G942" s="107"/>
      <c r="H942" s="95"/>
    </row>
    <row r="943" spans="1:8" x14ac:dyDescent="0.3">
      <c r="A943" s="161"/>
      <c r="B943" s="107"/>
      <c r="C943" s="111"/>
      <c r="D943" s="113"/>
      <c r="E943" s="149" t="s">
        <v>1455</v>
      </c>
      <c r="F943" s="150"/>
      <c r="G943" s="107"/>
      <c r="H943" s="95"/>
    </row>
    <row r="944" spans="1:8" x14ac:dyDescent="0.3">
      <c r="A944" s="161"/>
      <c r="B944" s="107"/>
      <c r="C944" s="111"/>
      <c r="D944" s="113"/>
      <c r="E944" s="63" t="s">
        <v>1666</v>
      </c>
      <c r="F944" s="150"/>
      <c r="G944" s="107"/>
      <c r="H944" s="95"/>
    </row>
    <row r="945" spans="1:8" x14ac:dyDescent="0.3">
      <c r="A945" s="161">
        <f>1</f>
        <v>1</v>
      </c>
      <c r="B945" s="107" t="s">
        <v>1628</v>
      </c>
      <c r="C945" s="111">
        <f>'04a_Box_Dims'!$AE28</f>
        <v>10</v>
      </c>
      <c r="D945" s="113"/>
      <c r="E945" s="63" t="s">
        <v>1667</v>
      </c>
      <c r="F945" s="150"/>
      <c r="G945" s="107"/>
      <c r="H945" s="95"/>
    </row>
    <row r="946" spans="1:8" x14ac:dyDescent="0.3">
      <c r="A946" s="161"/>
      <c r="B946" s="107"/>
      <c r="C946" s="111">
        <f>'04a_Box_Dims'!$J28</f>
        <v>10</v>
      </c>
      <c r="D946" s="113"/>
      <c r="E946" s="63"/>
      <c r="F946" s="150"/>
      <c r="G946" s="107"/>
      <c r="H946" s="95"/>
    </row>
    <row r="947" spans="1:8" x14ac:dyDescent="0.3">
      <c r="A947" s="161"/>
      <c r="B947" s="107"/>
      <c r="C947" s="111">
        <f>'04a_Box_Dims'!$I28</f>
        <v>0.25</v>
      </c>
      <c r="D947" s="113">
        <f>$A945*$C945*$C946*$C947</f>
        <v>25</v>
      </c>
      <c r="E947" s="63"/>
      <c r="F947" s="150"/>
      <c r="G947" s="107"/>
      <c r="H947" s="95">
        <f>'04a_Box_Dims'!$I28</f>
        <v>0.25</v>
      </c>
    </row>
    <row r="948" spans="1:8" x14ac:dyDescent="0.3">
      <c r="A948" s="161">
        <f>2</f>
        <v>2</v>
      </c>
      <c r="B948" s="107" t="s">
        <v>1628</v>
      </c>
      <c r="C948" s="111">
        <f>'04a_Box_Dims'!$O28</f>
        <v>1.5</v>
      </c>
      <c r="D948" s="113"/>
      <c r="E948" s="63" t="s">
        <v>1657</v>
      </c>
      <c r="F948" s="150"/>
      <c r="G948" s="107"/>
      <c r="H948" s="95"/>
    </row>
    <row r="949" spans="1:8" x14ac:dyDescent="0.3">
      <c r="A949" s="161"/>
      <c r="B949" s="107"/>
      <c r="C949" s="111">
        <f>'04a_Box_Dims'!$Q28</f>
        <v>11.5</v>
      </c>
      <c r="D949" s="113"/>
      <c r="E949" s="63"/>
      <c r="F949" s="150"/>
      <c r="G949" s="107"/>
      <c r="H949" s="95"/>
    </row>
    <row r="950" spans="1:8" x14ac:dyDescent="0.3">
      <c r="A950" s="161"/>
      <c r="B950" s="107"/>
      <c r="C950" s="111">
        <f>'04a_Box_Dims'!$P28</f>
        <v>0.25</v>
      </c>
      <c r="D950" s="113">
        <f>$A948*$C948*$C949*$C950</f>
        <v>8.625</v>
      </c>
      <c r="E950" s="63"/>
      <c r="F950" s="150"/>
      <c r="G950" s="107"/>
      <c r="H950" s="95">
        <f>'04a_Box_Dims'!$P28</f>
        <v>0.25</v>
      </c>
    </row>
    <row r="951" spans="1:8" x14ac:dyDescent="0.3">
      <c r="A951" s="161">
        <f>2</f>
        <v>2</v>
      </c>
      <c r="B951" s="107" t="s">
        <v>1628</v>
      </c>
      <c r="C951" s="111">
        <f>'04a_Box_Dims'!$R28</f>
        <v>10</v>
      </c>
      <c r="D951" s="113"/>
      <c r="E951" s="63" t="s">
        <v>1658</v>
      </c>
      <c r="F951" s="150"/>
      <c r="G951" s="107"/>
      <c r="H951" s="95"/>
    </row>
    <row r="952" spans="1:8" x14ac:dyDescent="0.3">
      <c r="A952" s="161"/>
      <c r="B952" s="107"/>
      <c r="C952" s="111">
        <f>'04a_Box_Dims'!$S28</f>
        <v>0.2</v>
      </c>
      <c r="D952" s="113"/>
      <c r="E952" s="63"/>
      <c r="F952" s="150"/>
      <c r="G952" s="107"/>
      <c r="H952" s="95"/>
    </row>
    <row r="953" spans="1:8" x14ac:dyDescent="0.3">
      <c r="A953" s="161"/>
      <c r="B953" s="107"/>
      <c r="C953" s="111">
        <f>'04a_Box_Dims'!$T28</f>
        <v>0.45</v>
      </c>
      <c r="D953" s="113">
        <f>$A951*$C951*$C952*$C953</f>
        <v>1.8</v>
      </c>
      <c r="E953" s="63"/>
      <c r="F953" s="150"/>
      <c r="G953" s="107"/>
      <c r="H953" s="95">
        <f>'04a_Box_Dims'!$S28</f>
        <v>0.2</v>
      </c>
    </row>
    <row r="954" spans="1:8" x14ac:dyDescent="0.3">
      <c r="A954" s="161">
        <f>4</f>
        <v>4</v>
      </c>
      <c r="B954" s="107" t="s">
        <v>1628</v>
      </c>
      <c r="C954" s="111">
        <f>'04a_Box_Dims'!$Z28</f>
        <v>2.1213203435596424</v>
      </c>
      <c r="D954" s="113"/>
      <c r="E954" s="63" t="s">
        <v>1659</v>
      </c>
      <c r="F954" s="150"/>
      <c r="G954" s="107"/>
      <c r="H954" s="95"/>
    </row>
    <row r="955" spans="1:8" x14ac:dyDescent="0.3">
      <c r="A955" s="161"/>
      <c r="B955" s="107"/>
      <c r="C955" s="111">
        <f>'04a_Box_Dims'!$AC28</f>
        <v>0.81400000000000006</v>
      </c>
      <c r="D955" s="113"/>
      <c r="E955" s="63"/>
      <c r="F955" s="150"/>
      <c r="G955" s="107"/>
      <c r="H955" s="95"/>
    </row>
    <row r="956" spans="1:8" x14ac:dyDescent="0.3">
      <c r="A956" s="161"/>
      <c r="B956" s="107"/>
      <c r="C956" s="111">
        <f>'04a_Box_Dims'!$AD28</f>
        <v>0.3</v>
      </c>
      <c r="D956" s="113">
        <f>$A954*$C954*$C955*$C956</f>
        <v>2.0721057115890589</v>
      </c>
      <c r="E956" s="63"/>
      <c r="F956" s="150"/>
      <c r="G956" s="107"/>
      <c r="H956" s="95">
        <f>'04a_Box_Dims'!$AD28</f>
        <v>0.3</v>
      </c>
    </row>
    <row r="957" spans="1:8" x14ac:dyDescent="0.3">
      <c r="A957" s="161"/>
      <c r="B957" s="107"/>
      <c r="C957" s="111"/>
      <c r="D957" s="113">
        <f>SUM($D$945:$D$956)</f>
        <v>37.497105711589057</v>
      </c>
      <c r="E957" s="63" t="s">
        <v>1660</v>
      </c>
      <c r="F957" s="150">
        <f>ROUND($D957,2)</f>
        <v>37.5</v>
      </c>
      <c r="G957" s="107" t="s">
        <v>1661</v>
      </c>
      <c r="H957" s="95"/>
    </row>
    <row r="958" spans="1:8" x14ac:dyDescent="0.3">
      <c r="A958" s="161"/>
      <c r="B958" s="107"/>
      <c r="C958" s="111"/>
      <c r="D958" s="113"/>
      <c r="E958" s="63"/>
      <c r="F958" s="150"/>
      <c r="G958" s="107"/>
      <c r="H958" s="95"/>
    </row>
    <row r="959" spans="1:8" x14ac:dyDescent="0.3">
      <c r="A959" s="161"/>
      <c r="B959" s="107"/>
      <c r="C959" s="111"/>
      <c r="D959" s="113"/>
      <c r="E959" s="149" t="s">
        <v>1668</v>
      </c>
      <c r="F959" s="150"/>
      <c r="G959" s="107"/>
      <c r="H959" s="95"/>
    </row>
    <row r="960" spans="1:8" x14ac:dyDescent="0.3">
      <c r="A960" s="161"/>
      <c r="B960" s="107"/>
      <c r="C960" s="111"/>
      <c r="D960" s="113"/>
      <c r="E960" s="63" t="s">
        <v>1669</v>
      </c>
      <c r="F960" s="150"/>
      <c r="G960" s="107"/>
      <c r="H960" s="95"/>
    </row>
    <row r="961" spans="1:8" x14ac:dyDescent="0.3">
      <c r="A961" s="161"/>
      <c r="B961" s="107"/>
      <c r="C961" s="111"/>
      <c r="D961" s="113">
        <f>SUMIF($H$945:$H$956,"&lt;=0.3",$D$945:$D$956)</f>
        <v>37.497105711589057</v>
      </c>
      <c r="E961" s="63" t="s">
        <v>1670</v>
      </c>
      <c r="F961" s="150">
        <f>ROUND($D961,2)</f>
        <v>37.5</v>
      </c>
      <c r="G961" s="107" t="s">
        <v>1661</v>
      </c>
      <c r="H961" s="95"/>
    </row>
    <row r="962" spans="1:8" x14ac:dyDescent="0.3">
      <c r="A962" s="161"/>
      <c r="B962" s="107"/>
      <c r="C962" s="111"/>
      <c r="D962" s="113">
        <f>SUMIF($H$945:$H$956,"&gt;0.3",$D$945:$D$956)</f>
        <v>0</v>
      </c>
      <c r="E962" s="63" t="s">
        <v>1671</v>
      </c>
      <c r="F962" s="150">
        <f>ROUND($D962,2)</f>
        <v>0</v>
      </c>
      <c r="G962" s="107" t="s">
        <v>1661</v>
      </c>
      <c r="H962" s="95"/>
    </row>
    <row r="963" spans="1:8" x14ac:dyDescent="0.3">
      <c r="A963" s="161"/>
      <c r="B963" s="107"/>
      <c r="C963" s="111"/>
      <c r="D963" s="113"/>
      <c r="E963" s="63"/>
      <c r="F963" s="150"/>
      <c r="G963" s="107"/>
      <c r="H963" s="95"/>
    </row>
    <row r="964" spans="1:8" x14ac:dyDescent="0.3">
      <c r="A964" s="161"/>
      <c r="B964" s="107"/>
      <c r="C964" s="111"/>
      <c r="D964" s="113"/>
      <c r="E964" s="149" t="s">
        <v>1455</v>
      </c>
      <c r="F964" s="150"/>
      <c r="G964" s="107"/>
      <c r="H964" s="95"/>
    </row>
    <row r="965" spans="1:8" x14ac:dyDescent="0.3">
      <c r="A965" s="161"/>
      <c r="B965" s="107"/>
      <c r="C965" s="111"/>
      <c r="D965" s="113"/>
      <c r="E965" s="63" t="s">
        <v>1672</v>
      </c>
      <c r="F965" s="150"/>
      <c r="G965" s="107"/>
      <c r="H965" s="95"/>
    </row>
    <row r="966" spans="1:8" x14ac:dyDescent="0.3">
      <c r="A966" s="161">
        <f>1</f>
        <v>1</v>
      </c>
      <c r="B966" s="107" t="s">
        <v>1628</v>
      </c>
      <c r="C966" s="111">
        <f>'04a_Box_Dims'!$AE28</f>
        <v>10</v>
      </c>
      <c r="D966" s="113"/>
      <c r="E966" s="63" t="s">
        <v>1673</v>
      </c>
      <c r="F966" s="150"/>
      <c r="G966" s="107"/>
      <c r="H966" s="95"/>
    </row>
    <row r="967" spans="1:8" x14ac:dyDescent="0.3">
      <c r="A967" s="161"/>
      <c r="B967" s="107"/>
      <c r="C967" s="111">
        <f>'04a_Box_Dims'!$J28</f>
        <v>10</v>
      </c>
      <c r="D967" s="113"/>
      <c r="E967" s="63"/>
      <c r="F967" s="150"/>
      <c r="G967" s="107"/>
      <c r="H967" s="95"/>
    </row>
    <row r="968" spans="1:8" x14ac:dyDescent="0.3">
      <c r="A968" s="161"/>
      <c r="B968" s="107"/>
      <c r="C968" s="111">
        <f>'04a_Box_Dims'!$I28</f>
        <v>0.25</v>
      </c>
      <c r="D968" s="113">
        <f>$A966*$C966*$C967*$C968</f>
        <v>25</v>
      </c>
      <c r="E968" s="63"/>
      <c r="F968" s="150"/>
      <c r="G968" s="107"/>
      <c r="H968" s="95">
        <f>'04a_Box_Dims'!$I28</f>
        <v>0.25</v>
      </c>
    </row>
    <row r="969" spans="1:8" x14ac:dyDescent="0.3">
      <c r="A969" s="161"/>
      <c r="B969" s="107"/>
      <c r="C969" s="111"/>
      <c r="D969" s="113">
        <f>SUM($D$966:$D$968)</f>
        <v>25</v>
      </c>
      <c r="E969" s="63" t="s">
        <v>1660</v>
      </c>
      <c r="F969" s="150">
        <f>ROUND($D969,2)</f>
        <v>25</v>
      </c>
      <c r="G969" s="107" t="s">
        <v>1661</v>
      </c>
      <c r="H969" s="95"/>
    </row>
    <row r="970" spans="1:8" x14ac:dyDescent="0.3">
      <c r="A970" s="161"/>
      <c r="B970" s="107"/>
      <c r="C970" s="111"/>
      <c r="D970" s="113"/>
      <c r="E970" s="63"/>
      <c r="F970" s="150"/>
      <c r="G970" s="107"/>
      <c r="H970" s="95"/>
    </row>
    <row r="971" spans="1:8" x14ac:dyDescent="0.3">
      <c r="A971" s="161"/>
      <c r="B971" s="107"/>
      <c r="C971" s="111"/>
      <c r="D971" s="113"/>
      <c r="E971" s="149" t="s">
        <v>1674</v>
      </c>
      <c r="F971" s="150"/>
      <c r="G971" s="107"/>
      <c r="H971" s="95"/>
    </row>
    <row r="972" spans="1:8" x14ac:dyDescent="0.3">
      <c r="A972" s="161"/>
      <c r="B972" s="107"/>
      <c r="C972" s="111"/>
      <c r="D972" s="113"/>
      <c r="E972" s="63" t="s">
        <v>1675</v>
      </c>
      <c r="F972" s="150"/>
      <c r="G972" s="107"/>
      <c r="H972" s="95"/>
    </row>
    <row r="973" spans="1:8" x14ac:dyDescent="0.3">
      <c r="A973" s="161"/>
      <c r="B973" s="107"/>
      <c r="C973" s="111"/>
      <c r="D973" s="113">
        <f>SUMIF($H$966:$H$968,"&lt;=0.3",$D$966:$D$968)</f>
        <v>25</v>
      </c>
      <c r="E973" s="63" t="s">
        <v>1670</v>
      </c>
      <c r="F973" s="150">
        <f>ROUND($D973,2)</f>
        <v>25</v>
      </c>
      <c r="G973" s="107" t="s">
        <v>1661</v>
      </c>
      <c r="H973" s="95"/>
    </row>
    <row r="974" spans="1:8" x14ac:dyDescent="0.3">
      <c r="A974" s="161"/>
      <c r="B974" s="107"/>
      <c r="C974" s="111"/>
      <c r="D974" s="113">
        <f>SUMIF($H$966:$H$968,"&gt;0.3",$D$966:$D$968)</f>
        <v>0</v>
      </c>
      <c r="E974" s="63" t="s">
        <v>1671</v>
      </c>
      <c r="F974" s="150">
        <f>ROUND($D974,2)</f>
        <v>0</v>
      </c>
      <c r="G974" s="107" t="s">
        <v>1661</v>
      </c>
      <c r="H974" s="95"/>
    </row>
    <row r="975" spans="1:8" x14ac:dyDescent="0.3">
      <c r="A975" s="161"/>
      <c r="B975" s="107"/>
      <c r="C975" s="111"/>
      <c r="D975" s="113"/>
      <c r="E975" s="63"/>
      <c r="F975" s="150"/>
      <c r="G975" s="107"/>
      <c r="H975" s="95"/>
    </row>
    <row r="976" spans="1:8" x14ac:dyDescent="0.3">
      <c r="A976" s="161"/>
      <c r="B976" s="107"/>
      <c r="C976" s="111"/>
      <c r="D976" s="113"/>
      <c r="E976" s="149" t="s">
        <v>1455</v>
      </c>
      <c r="F976" s="150"/>
      <c r="G976" s="107"/>
      <c r="H976" s="95"/>
    </row>
    <row r="977" spans="1:8" x14ac:dyDescent="0.3">
      <c r="A977" s="161"/>
      <c r="B977" s="107"/>
      <c r="C977" s="111"/>
      <c r="D977" s="113"/>
      <c r="E977" s="63" t="s">
        <v>1676</v>
      </c>
      <c r="F977" s="150"/>
      <c r="G977" s="107"/>
      <c r="H977" s="95"/>
    </row>
    <row r="978" spans="1:8" x14ac:dyDescent="0.3">
      <c r="A978" s="161">
        <f>2</f>
        <v>2</v>
      </c>
      <c r="B978" s="107" t="s">
        <v>1628</v>
      </c>
      <c r="C978" s="111">
        <f>'04a_Box_Dims'!$AE28</f>
        <v>10</v>
      </c>
      <c r="D978" s="113"/>
      <c r="E978" s="63" t="s">
        <v>1677</v>
      </c>
      <c r="F978" s="150"/>
      <c r="G978" s="107"/>
      <c r="H978" s="95"/>
    </row>
    <row r="979" spans="1:8" x14ac:dyDescent="0.3">
      <c r="A979" s="161"/>
      <c r="B979" s="107"/>
      <c r="C979" s="111">
        <f>'04a_Box_Dims'!$E28</f>
        <v>2</v>
      </c>
      <c r="D979" s="113"/>
      <c r="E979" s="63"/>
      <c r="F979" s="150"/>
      <c r="G979" s="107"/>
      <c r="H979" s="95"/>
    </row>
    <row r="980" spans="1:8" x14ac:dyDescent="0.3">
      <c r="A980" s="161"/>
      <c r="B980" s="107"/>
      <c r="C980" s="111">
        <f>'04a_Box_Dims'!$I28</f>
        <v>0.25</v>
      </c>
      <c r="D980" s="113">
        <f>$A978*$C978*$C979*$C980</f>
        <v>10</v>
      </c>
      <c r="E980" s="63"/>
      <c r="F980" s="150"/>
      <c r="G980" s="107"/>
      <c r="H980" s="95">
        <f>'04a_Box_Dims'!$I28</f>
        <v>0.25</v>
      </c>
    </row>
    <row r="981" spans="1:8" x14ac:dyDescent="0.3">
      <c r="A981" s="161">
        <f>'04a_Box_Dims'!$C28-1</f>
        <v>2</v>
      </c>
      <c r="B981" s="107" t="s">
        <v>1628</v>
      </c>
      <c r="C981" s="111">
        <f>'04a_Box_Dims'!$AE28</f>
        <v>10</v>
      </c>
      <c r="D981" s="113"/>
      <c r="E981" s="63" t="s">
        <v>1678</v>
      </c>
      <c r="F981" s="150"/>
      <c r="G981" s="107"/>
      <c r="H981" s="95"/>
    </row>
    <row r="982" spans="1:8" x14ac:dyDescent="0.3">
      <c r="A982" s="161"/>
      <c r="B982" s="107"/>
      <c r="C982" s="111">
        <f>'04a_Box_Dims'!$E28</f>
        <v>2</v>
      </c>
      <c r="D982" s="113"/>
      <c r="E982" s="63"/>
      <c r="F982" s="150"/>
      <c r="G982" s="107"/>
      <c r="H982" s="95"/>
    </row>
    <row r="983" spans="1:8" x14ac:dyDescent="0.3">
      <c r="A983" s="161"/>
      <c r="B983" s="107"/>
      <c r="C983" s="111">
        <f>'04a_Box_Dims'!$I28</f>
        <v>0.25</v>
      </c>
      <c r="D983" s="113">
        <f>$A981*$C981*$C982*$C983</f>
        <v>10</v>
      </c>
      <c r="E983" s="63"/>
      <c r="F983" s="150"/>
      <c r="G983" s="107"/>
      <c r="H983" s="95">
        <f>'04a_Box_Dims'!$I28</f>
        <v>0.25</v>
      </c>
    </row>
    <row r="984" spans="1:8" x14ac:dyDescent="0.3">
      <c r="A984" s="161">
        <f>4*'04a_Box_Dims'!$C28</f>
        <v>12</v>
      </c>
      <c r="B984" s="107" t="s">
        <v>1628</v>
      </c>
      <c r="C984" s="111">
        <f>'04a_Box_Dims'!$AE28</f>
        <v>10</v>
      </c>
      <c r="D984" s="113"/>
      <c r="E984" s="63" t="s">
        <v>1679</v>
      </c>
      <c r="F984" s="150"/>
      <c r="G984" s="107"/>
      <c r="H984" s="95"/>
    </row>
    <row r="985" spans="1:8" x14ac:dyDescent="0.3">
      <c r="A985" s="161"/>
      <c r="B985" s="107"/>
      <c r="C985" s="111">
        <f>'04a_Box_Dims'!$N28</f>
        <v>0.15</v>
      </c>
      <c r="D985" s="113"/>
      <c r="E985" s="63"/>
      <c r="F985" s="150"/>
      <c r="G985" s="107"/>
      <c r="H985" s="95"/>
    </row>
    <row r="986" spans="1:8" x14ac:dyDescent="0.3">
      <c r="A986" s="161"/>
      <c r="B986" s="107"/>
      <c r="C986" s="111">
        <f>'04a_Box_Dims'!$N28/2</f>
        <v>7.4999999999999997E-2</v>
      </c>
      <c r="D986" s="113">
        <f>$A984*$C984*$C985*$C986</f>
        <v>1.3499999999999999</v>
      </c>
      <c r="E986" s="63"/>
      <c r="F986" s="150"/>
      <c r="G986" s="107"/>
      <c r="H986" s="95">
        <f>'04a_Box_Dims'!$N28</f>
        <v>0.15</v>
      </c>
    </row>
    <row r="987" spans="1:8" x14ac:dyDescent="0.3">
      <c r="A987" s="161">
        <f>2</f>
        <v>2</v>
      </c>
      <c r="B987" s="107" t="s">
        <v>1628</v>
      </c>
      <c r="C987" s="111">
        <f>'04a_Box_Dims'!$J28</f>
        <v>10</v>
      </c>
      <c r="D987" s="113"/>
      <c r="E987" s="63" t="s">
        <v>1680</v>
      </c>
      <c r="F987" s="150"/>
      <c r="G987" s="107"/>
      <c r="H987" s="95"/>
    </row>
    <row r="988" spans="1:8" x14ac:dyDescent="0.3">
      <c r="A988" s="161"/>
      <c r="B988" s="107"/>
      <c r="C988" s="111">
        <f>'04a_Box_Dims'!$U28</f>
        <v>0.6</v>
      </c>
      <c r="D988" s="113"/>
      <c r="E988" s="63"/>
      <c r="F988" s="150"/>
      <c r="G988" s="107"/>
      <c r="H988" s="95"/>
    </row>
    <row r="989" spans="1:8" x14ac:dyDescent="0.3">
      <c r="A989" s="161"/>
      <c r="B989" s="107"/>
      <c r="C989" s="111">
        <f>'04a_Box_Dims'!$V28</f>
        <v>0.3</v>
      </c>
      <c r="D989" s="113">
        <f>$A987*$C987*$C988*$C989</f>
        <v>3.5999999999999996</v>
      </c>
      <c r="E989" s="63"/>
      <c r="F989" s="150"/>
      <c r="G989" s="107"/>
      <c r="H989" s="95">
        <f>'04a_Box_Dims'!$V28</f>
        <v>0.3</v>
      </c>
    </row>
    <row r="990" spans="1:8" x14ac:dyDescent="0.3">
      <c r="A990" s="161">
        <f>4</f>
        <v>4</v>
      </c>
      <c r="B990" s="107" t="s">
        <v>1628</v>
      </c>
      <c r="C990" s="111">
        <f>'04a_Box_Dims'!$Z28</f>
        <v>2.1213203435596424</v>
      </c>
      <c r="D990" s="113"/>
      <c r="E990" s="63" t="s">
        <v>1681</v>
      </c>
      <c r="F990" s="150"/>
      <c r="G990" s="107"/>
      <c r="H990" s="95"/>
    </row>
    <row r="991" spans="1:8" x14ac:dyDescent="0.3">
      <c r="A991" s="161"/>
      <c r="B991" s="107"/>
      <c r="C991" s="111">
        <f>'04a_Box_Dims'!$Y28</f>
        <v>2.9928932188134527</v>
      </c>
      <c r="D991" s="113"/>
      <c r="E991" s="63"/>
      <c r="F991" s="150"/>
      <c r="G991" s="107"/>
      <c r="H991" s="95"/>
    </row>
    <row r="992" spans="1:8" x14ac:dyDescent="0.3">
      <c r="A992" s="161"/>
      <c r="B992" s="107"/>
      <c r="C992" s="111">
        <f>'04a_Box_Dims'!$AB28</f>
        <v>0.31</v>
      </c>
      <c r="D992" s="113">
        <f>$A990*$C990*$C991*$C992</f>
        <v>7.8726177362516392</v>
      </c>
      <c r="E992" s="63"/>
      <c r="F992" s="150"/>
      <c r="G992" s="107"/>
      <c r="H992" s="95">
        <f>'04a_Box_Dims'!$AB28</f>
        <v>0.31</v>
      </c>
    </row>
    <row r="993" spans="1:8" x14ac:dyDescent="0.3">
      <c r="A993" s="161"/>
      <c r="B993" s="107"/>
      <c r="C993" s="111"/>
      <c r="D993" s="113">
        <f>SUM($D$978:$D$992)</f>
        <v>32.822617736251644</v>
      </c>
      <c r="E993" s="63" t="s">
        <v>1660</v>
      </c>
      <c r="F993" s="150">
        <f>ROUND($D993,2)</f>
        <v>32.82</v>
      </c>
      <c r="G993" s="107" t="s">
        <v>1661</v>
      </c>
      <c r="H993" s="95"/>
    </row>
    <row r="994" spans="1:8" x14ac:dyDescent="0.3">
      <c r="A994" s="161"/>
      <c r="B994" s="107"/>
      <c r="C994" s="111"/>
      <c r="D994" s="113"/>
      <c r="E994" s="63"/>
      <c r="F994" s="150"/>
      <c r="G994" s="107"/>
      <c r="H994" s="95"/>
    </row>
    <row r="995" spans="1:8" x14ac:dyDescent="0.3">
      <c r="A995" s="161"/>
      <c r="B995" s="107"/>
      <c r="C995" s="111"/>
      <c r="D995" s="113"/>
      <c r="E995" s="149" t="s">
        <v>1682</v>
      </c>
      <c r="F995" s="150"/>
      <c r="G995" s="107"/>
      <c r="H995" s="95"/>
    </row>
    <row r="996" spans="1:8" x14ac:dyDescent="0.3">
      <c r="A996" s="161"/>
      <c r="B996" s="107"/>
      <c r="C996" s="111"/>
      <c r="D996" s="113"/>
      <c r="E996" s="63" t="s">
        <v>1683</v>
      </c>
      <c r="F996" s="150"/>
      <c r="G996" s="107"/>
      <c r="H996" s="95"/>
    </row>
    <row r="997" spans="1:8" x14ac:dyDescent="0.3">
      <c r="A997" s="161"/>
      <c r="B997" s="107"/>
      <c r="C997" s="111"/>
      <c r="D997" s="113">
        <f>SUMIF($H$978:$H$992,"&lt;=0.3",$D$978:$D$992)</f>
        <v>24.950000000000003</v>
      </c>
      <c r="E997" s="63" t="s">
        <v>1670</v>
      </c>
      <c r="F997" s="150">
        <f>ROUND($D997,2)</f>
        <v>24.95</v>
      </c>
      <c r="G997" s="107" t="s">
        <v>1661</v>
      </c>
      <c r="H997" s="95"/>
    </row>
    <row r="998" spans="1:8" x14ac:dyDescent="0.3">
      <c r="A998" s="161"/>
      <c r="B998" s="107"/>
      <c r="C998" s="111"/>
      <c r="D998" s="113">
        <f>SUMIF($H$978:$H$992,"&gt;0.3",$D$978:$D$992)</f>
        <v>7.8726177362516392</v>
      </c>
      <c r="E998" s="63" t="s">
        <v>1671</v>
      </c>
      <c r="F998" s="150">
        <f>ROUND($D998,2)</f>
        <v>7.87</v>
      </c>
      <c r="G998" s="107" t="s">
        <v>1661</v>
      </c>
      <c r="H998" s="95"/>
    </row>
    <row r="999" spans="1:8" x14ac:dyDescent="0.3">
      <c r="A999" s="161"/>
      <c r="B999" s="107"/>
      <c r="C999" s="111"/>
      <c r="D999" s="113"/>
      <c r="E999" s="63"/>
      <c r="F999" s="150"/>
      <c r="G999" s="107"/>
      <c r="H999" s="95"/>
    </row>
    <row r="1000" spans="1:8" x14ac:dyDescent="0.3">
      <c r="A1000" s="161"/>
      <c r="B1000" s="107"/>
      <c r="C1000" s="111"/>
      <c r="D1000" s="113"/>
      <c r="E1000" s="149" t="s">
        <v>1445</v>
      </c>
      <c r="F1000" s="150"/>
      <c r="G1000" s="107"/>
      <c r="H1000" s="95"/>
    </row>
    <row r="1001" spans="1:8" x14ac:dyDescent="0.3">
      <c r="A1001" s="161"/>
      <c r="B1001" s="107"/>
      <c r="C1001" s="111"/>
      <c r="D1001" s="113"/>
      <c r="E1001" s="63" t="s">
        <v>1684</v>
      </c>
      <c r="F1001" s="150"/>
      <c r="G1001" s="107"/>
      <c r="H1001" s="95"/>
    </row>
    <row r="1002" spans="1:8" x14ac:dyDescent="0.3">
      <c r="A1002" s="161">
        <f>2</f>
        <v>2</v>
      </c>
      <c r="B1002" s="107" t="s">
        <v>1628</v>
      </c>
      <c r="C1002" s="111">
        <f>'04a_Box_Dims'!$AE28</f>
        <v>10</v>
      </c>
      <c r="D1002" s="113"/>
      <c r="E1002" s="63" t="s">
        <v>1685</v>
      </c>
      <c r="F1002" s="150"/>
      <c r="G1002" s="107"/>
      <c r="H1002" s="95"/>
    </row>
    <row r="1003" spans="1:8" x14ac:dyDescent="0.3">
      <c r="A1003" s="161"/>
      <c r="B1003" s="107"/>
      <c r="C1003" s="111">
        <f>'04a_Box_Dims'!$E28</f>
        <v>2</v>
      </c>
      <c r="D1003" s="113">
        <f>$A1002*$C1002*$C1003</f>
        <v>40</v>
      </c>
      <c r="E1003" s="63"/>
      <c r="F1003" s="150"/>
      <c r="G1003" s="107"/>
      <c r="H1003" s="95"/>
    </row>
    <row r="1004" spans="1:8" x14ac:dyDescent="0.3">
      <c r="A1004" s="161">
        <f>4</f>
        <v>4</v>
      </c>
      <c r="B1004" s="107" t="s">
        <v>1628</v>
      </c>
      <c r="C1004" s="111">
        <f>'04a_Box_Dims'!$Z28</f>
        <v>2.1213203435596424</v>
      </c>
      <c r="D1004" s="113"/>
      <c r="E1004" s="63" t="s">
        <v>1686</v>
      </c>
      <c r="F1004" s="150"/>
      <c r="G1004" s="107"/>
      <c r="H1004" s="95"/>
    </row>
    <row r="1005" spans="1:8" x14ac:dyDescent="0.3">
      <c r="A1005" s="161"/>
      <c r="B1005" s="107"/>
      <c r="C1005" s="111">
        <f>'04a_Box_Dims'!$Y28</f>
        <v>2.9928932188134527</v>
      </c>
      <c r="D1005" s="113">
        <f>$A1004*$C1004*$C1005</f>
        <v>25.395541084682709</v>
      </c>
      <c r="E1005" s="63"/>
      <c r="F1005" s="150"/>
      <c r="G1005" s="107"/>
      <c r="H1005" s="95"/>
    </row>
    <row r="1006" spans="1:8" x14ac:dyDescent="0.3">
      <c r="A1006" s="161">
        <f>2</f>
        <v>2</v>
      </c>
      <c r="B1006" s="107" t="s">
        <v>1628</v>
      </c>
      <c r="C1006" s="111">
        <f>'04a_Box_Dims'!$J28</f>
        <v>10</v>
      </c>
      <c r="D1006" s="113"/>
      <c r="E1006" s="63" t="s">
        <v>1687</v>
      </c>
      <c r="F1006" s="150"/>
      <c r="G1006" s="107"/>
      <c r="H1006" s="95"/>
    </row>
    <row r="1007" spans="1:8" x14ac:dyDescent="0.3">
      <c r="A1007" s="161"/>
      <c r="B1007" s="107"/>
      <c r="C1007" s="111">
        <f>'04a_Box_Dims'!$U28</f>
        <v>0.6</v>
      </c>
      <c r="D1007" s="113">
        <f>$A1006*$C1006*$C1007</f>
        <v>12</v>
      </c>
      <c r="E1007" s="63"/>
      <c r="F1007" s="150"/>
      <c r="G1007" s="107"/>
      <c r="H1007" s="95"/>
    </row>
    <row r="1008" spans="1:8" x14ac:dyDescent="0.3">
      <c r="A1008" s="161"/>
      <c r="B1008" s="107"/>
      <c r="C1008" s="111"/>
      <c r="D1008" s="113">
        <f>SUM($D$1002:$D$1007)</f>
        <v>77.395541084682705</v>
      </c>
      <c r="E1008" s="63" t="s">
        <v>1660</v>
      </c>
      <c r="F1008" s="150">
        <f>ROUND($D1008,2)</f>
        <v>77.400000000000006</v>
      </c>
      <c r="G1008" s="107" t="s">
        <v>1688</v>
      </c>
      <c r="H1008" s="95"/>
    </row>
    <row r="1009" spans="1:8" x14ac:dyDescent="0.3">
      <c r="A1009" s="161"/>
      <c r="B1009" s="107"/>
      <c r="C1009" s="111"/>
      <c r="D1009" s="113"/>
      <c r="E1009" s="63"/>
      <c r="F1009" s="150"/>
      <c r="G1009" s="107"/>
      <c r="H1009" s="95"/>
    </row>
    <row r="1010" spans="1:8" x14ac:dyDescent="0.3">
      <c r="A1010" s="161"/>
      <c r="B1010" s="107"/>
      <c r="C1010" s="111"/>
      <c r="D1010" s="113"/>
      <c r="E1010" s="149" t="s">
        <v>1446</v>
      </c>
      <c r="F1010" s="150"/>
      <c r="G1010" s="107"/>
      <c r="H1010" s="95"/>
    </row>
    <row r="1011" spans="1:8" x14ac:dyDescent="0.3">
      <c r="A1011" s="161"/>
      <c r="B1011" s="107"/>
      <c r="C1011" s="111"/>
      <c r="D1011" s="113"/>
      <c r="E1011" s="63" t="s">
        <v>1689</v>
      </c>
      <c r="F1011" s="150"/>
      <c r="G1011" s="107"/>
      <c r="H1011" s="95"/>
    </row>
    <row r="1012" spans="1:8" x14ac:dyDescent="0.3">
      <c r="A1012" s="161">
        <f>2</f>
        <v>2</v>
      </c>
      <c r="B1012" s="107" t="s">
        <v>1628</v>
      </c>
      <c r="C1012" s="111">
        <f>'04a_Box_Dims'!$O28</f>
        <v>1.5</v>
      </c>
      <c r="D1012" s="113"/>
      <c r="E1012" s="63" t="s">
        <v>1690</v>
      </c>
      <c r="F1012" s="150"/>
      <c r="G1012" s="107"/>
      <c r="H1012" s="95"/>
    </row>
    <row r="1013" spans="1:8" x14ac:dyDescent="0.3">
      <c r="A1013" s="161"/>
      <c r="B1013" s="107"/>
      <c r="C1013" s="111">
        <f>'04a_Box_Dims'!$Q28</f>
        <v>11.5</v>
      </c>
      <c r="D1013" s="113">
        <f>$A1012*$C1012*$C1013</f>
        <v>34.5</v>
      </c>
      <c r="E1013" s="63"/>
      <c r="F1013" s="150"/>
      <c r="G1013" s="107"/>
      <c r="H1013" s="95"/>
    </row>
    <row r="1014" spans="1:8" x14ac:dyDescent="0.3">
      <c r="A1014" s="161"/>
      <c r="B1014" s="107"/>
      <c r="C1014" s="111"/>
      <c r="D1014" s="113">
        <f>SUM($D$1012:$D$1013)</f>
        <v>34.5</v>
      </c>
      <c r="E1014" s="63" t="s">
        <v>1660</v>
      </c>
      <c r="F1014" s="150">
        <f>ROUND($D1014,2)</f>
        <v>34.5</v>
      </c>
      <c r="G1014" s="107" t="s">
        <v>1688</v>
      </c>
      <c r="H1014" s="95"/>
    </row>
    <row r="1015" spans="1:8" x14ac:dyDescent="0.3">
      <c r="A1015" s="161"/>
      <c r="B1015" s="107"/>
      <c r="C1015" s="111"/>
      <c r="D1015" s="113"/>
      <c r="E1015" s="63"/>
      <c r="F1015" s="150"/>
      <c r="G1015" s="107"/>
      <c r="H1015" s="95"/>
    </row>
    <row r="1016" spans="1:8" x14ac:dyDescent="0.3">
      <c r="A1016" s="161"/>
      <c r="B1016" s="107"/>
      <c r="C1016" s="111"/>
      <c r="D1016" s="113"/>
      <c r="E1016" s="149" t="s">
        <v>1447</v>
      </c>
      <c r="F1016" s="150"/>
      <c r="G1016" s="107"/>
      <c r="H1016" s="95"/>
    </row>
    <row r="1017" spans="1:8" x14ac:dyDescent="0.3">
      <c r="A1017" s="161"/>
      <c r="B1017" s="107"/>
      <c r="C1017" s="111"/>
      <c r="D1017" s="113"/>
      <c r="E1017" s="63" t="s">
        <v>1691</v>
      </c>
      <c r="F1017" s="150"/>
      <c r="G1017" s="107"/>
      <c r="H1017" s="95"/>
    </row>
    <row r="1018" spans="1:8" x14ac:dyDescent="0.3">
      <c r="A1018" s="161">
        <f>4</f>
        <v>4</v>
      </c>
      <c r="B1018" s="107" t="s">
        <v>1628</v>
      </c>
      <c r="C1018" s="111">
        <f>'04a_Box_Dims'!$J28</f>
        <v>10</v>
      </c>
      <c r="D1018" s="113"/>
      <c r="E1018" s="63" t="s">
        <v>1692</v>
      </c>
      <c r="F1018" s="150"/>
      <c r="G1018" s="107"/>
      <c r="H1018" s="95"/>
    </row>
    <row r="1019" spans="1:8" x14ac:dyDescent="0.3">
      <c r="A1019" s="161"/>
      <c r="B1019" s="107"/>
      <c r="C1019" s="111">
        <f>'04a_Box_Dims'!$I28</f>
        <v>0.25</v>
      </c>
      <c r="D1019" s="113">
        <f>$A1018*$C1018*$C1019</f>
        <v>10</v>
      </c>
      <c r="E1019" s="63"/>
      <c r="F1019" s="150"/>
      <c r="G1019" s="107"/>
      <c r="H1019" s="95"/>
    </row>
    <row r="1020" spans="1:8" x14ac:dyDescent="0.3">
      <c r="A1020" s="161">
        <f>4</f>
        <v>4</v>
      </c>
      <c r="B1020" s="107" t="s">
        <v>1628</v>
      </c>
      <c r="C1020" s="111">
        <f>'04a_Box_Dims'!$O28</f>
        <v>1.5</v>
      </c>
      <c r="D1020" s="113"/>
      <c r="E1020" s="63" t="s">
        <v>1693</v>
      </c>
      <c r="F1020" s="150"/>
      <c r="G1020" s="107"/>
      <c r="H1020" s="95"/>
    </row>
    <row r="1021" spans="1:8" x14ac:dyDescent="0.3">
      <c r="A1021" s="161"/>
      <c r="B1021" s="107"/>
      <c r="C1021" s="111">
        <f>'04a_Box_Dims'!$P28</f>
        <v>0.25</v>
      </c>
      <c r="D1021" s="113">
        <f>$A1020*$C1020*$C1021</f>
        <v>1.5</v>
      </c>
      <c r="E1021" s="63"/>
      <c r="F1021" s="150"/>
      <c r="G1021" s="107"/>
      <c r="H1021" s="95"/>
    </row>
    <row r="1022" spans="1:8" x14ac:dyDescent="0.3">
      <c r="A1022" s="161"/>
      <c r="B1022" s="107"/>
      <c r="C1022" s="111"/>
      <c r="D1022" s="113">
        <f>SUM($D$1018:$D$1021)</f>
        <v>11.5</v>
      </c>
      <c r="E1022" s="63" t="s">
        <v>1660</v>
      </c>
      <c r="F1022" s="150">
        <f>ROUND($D1022,2)</f>
        <v>11.5</v>
      </c>
      <c r="G1022" s="107" t="s">
        <v>1688</v>
      </c>
      <c r="H1022" s="95"/>
    </row>
    <row r="1023" spans="1:8" x14ac:dyDescent="0.3">
      <c r="A1023" s="161"/>
      <c r="B1023" s="107"/>
      <c r="C1023" s="111"/>
      <c r="D1023" s="113"/>
      <c r="E1023" s="63"/>
      <c r="F1023" s="150"/>
      <c r="G1023" s="107"/>
      <c r="H1023" s="95"/>
    </row>
    <row r="1024" spans="1:8" x14ac:dyDescent="0.3">
      <c r="A1024" s="161"/>
      <c r="B1024" s="107"/>
      <c r="C1024" s="111"/>
      <c r="D1024" s="113"/>
      <c r="E1024" s="149" t="s">
        <v>1448</v>
      </c>
      <c r="F1024" s="150"/>
      <c r="G1024" s="107"/>
      <c r="H1024" s="95"/>
    </row>
    <row r="1025" spans="1:8" x14ac:dyDescent="0.3">
      <c r="A1025" s="161"/>
      <c r="B1025" s="107"/>
      <c r="C1025" s="111"/>
      <c r="D1025" s="113"/>
      <c r="E1025" s="63" t="s">
        <v>1694</v>
      </c>
      <c r="F1025" s="150"/>
      <c r="G1025" s="107"/>
      <c r="H1025" s="95"/>
    </row>
    <row r="1026" spans="1:8" x14ac:dyDescent="0.3">
      <c r="A1026" s="161">
        <f>1</f>
        <v>1</v>
      </c>
      <c r="B1026" s="107" t="s">
        <v>1628</v>
      </c>
      <c r="C1026" s="111">
        <f>'04a_Box_Dims'!$AE28</f>
        <v>10</v>
      </c>
      <c r="D1026" s="113"/>
      <c r="E1026" s="63" t="s">
        <v>1695</v>
      </c>
      <c r="F1026" s="150"/>
      <c r="G1026" s="107"/>
      <c r="H1026" s="95"/>
    </row>
    <row r="1027" spans="1:8" x14ac:dyDescent="0.3">
      <c r="A1027" s="161"/>
      <c r="B1027" s="107"/>
      <c r="C1027" s="111">
        <f>'04a_Box_Dims'!$K28</f>
        <v>9.5</v>
      </c>
      <c r="D1027" s="113">
        <f>$A1026*$C1026*$C1027</f>
        <v>95</v>
      </c>
      <c r="E1027" s="63"/>
      <c r="F1027" s="150"/>
      <c r="G1027" s="107"/>
      <c r="H1027" s="95"/>
    </row>
    <row r="1028" spans="1:8" x14ac:dyDescent="0.3">
      <c r="A1028" s="161"/>
      <c r="B1028" s="107"/>
      <c r="C1028" s="111"/>
      <c r="D1028" s="113">
        <f>SUM($D$1026:$D$1027)</f>
        <v>95</v>
      </c>
      <c r="E1028" s="63" t="s">
        <v>1660</v>
      </c>
      <c r="F1028" s="150">
        <f>ROUND($D1028,2)</f>
        <v>95</v>
      </c>
      <c r="G1028" s="107" t="s">
        <v>1688</v>
      </c>
      <c r="H1028" s="95"/>
    </row>
    <row r="1029" spans="1:8" x14ac:dyDescent="0.3">
      <c r="A1029" s="161"/>
      <c r="B1029" s="107"/>
      <c r="C1029" s="111"/>
      <c r="D1029" s="113"/>
      <c r="E1029" s="63"/>
      <c r="F1029" s="150"/>
      <c r="G1029" s="107"/>
      <c r="H1029" s="95"/>
    </row>
    <row r="1030" spans="1:8" x14ac:dyDescent="0.3">
      <c r="A1030" s="161"/>
      <c r="B1030" s="107"/>
      <c r="C1030" s="111"/>
      <c r="D1030" s="113"/>
      <c r="E1030" s="149" t="s">
        <v>1449</v>
      </c>
      <c r="F1030" s="150"/>
      <c r="G1030" s="107"/>
      <c r="H1030" s="95"/>
    </row>
    <row r="1031" spans="1:8" x14ac:dyDescent="0.3">
      <c r="A1031" s="161"/>
      <c r="B1031" s="107"/>
      <c r="C1031" s="111"/>
      <c r="D1031" s="113"/>
      <c r="E1031" s="63" t="s">
        <v>1696</v>
      </c>
      <c r="F1031" s="150"/>
      <c r="G1031" s="107"/>
      <c r="H1031" s="95"/>
    </row>
    <row r="1032" spans="1:8" x14ac:dyDescent="0.3">
      <c r="A1032" s="161">
        <f>2</f>
        <v>2</v>
      </c>
      <c r="B1032" s="107" t="s">
        <v>1628</v>
      </c>
      <c r="C1032" s="111">
        <f>'04a_Box_Dims'!$J28</f>
        <v>10</v>
      </c>
      <c r="D1032" s="113"/>
      <c r="E1032" s="63" t="s">
        <v>1697</v>
      </c>
      <c r="F1032" s="150"/>
      <c r="G1032" s="107"/>
      <c r="H1032" s="95"/>
    </row>
    <row r="1033" spans="1:8" x14ac:dyDescent="0.3">
      <c r="A1033" s="161"/>
      <c r="B1033" s="107"/>
      <c r="C1033" s="111">
        <f>'04a_Box_Dims'!$U28</f>
        <v>0.6</v>
      </c>
      <c r="D1033" s="113">
        <f>$A1032*$C1032*$C1033</f>
        <v>12</v>
      </c>
      <c r="E1033" s="63"/>
      <c r="F1033" s="150"/>
      <c r="G1033" s="107"/>
      <c r="H1033" s="95"/>
    </row>
    <row r="1034" spans="1:8" x14ac:dyDescent="0.3">
      <c r="A1034" s="161"/>
      <c r="B1034" s="107"/>
      <c r="C1034" s="111"/>
      <c r="D1034" s="113">
        <f>SUM($D$1032:$D$1033)</f>
        <v>12</v>
      </c>
      <c r="E1034" s="63" t="s">
        <v>1660</v>
      </c>
      <c r="F1034" s="150">
        <f>ROUND($D1034,2)</f>
        <v>12</v>
      </c>
      <c r="G1034" s="107" t="s">
        <v>1688</v>
      </c>
      <c r="H1034" s="95"/>
    </row>
    <row r="1035" spans="1:8" x14ac:dyDescent="0.3">
      <c r="A1035" s="161"/>
      <c r="B1035" s="107"/>
      <c r="C1035" s="111"/>
      <c r="D1035" s="113"/>
      <c r="E1035" s="63"/>
      <c r="F1035" s="150"/>
      <c r="G1035" s="107"/>
      <c r="H1035" s="95"/>
    </row>
    <row r="1036" spans="1:8" x14ac:dyDescent="0.3">
      <c r="A1036" s="161"/>
      <c r="B1036" s="107"/>
      <c r="C1036" s="111"/>
      <c r="D1036" s="113"/>
      <c r="E1036" s="149" t="s">
        <v>1329</v>
      </c>
      <c r="F1036" s="150"/>
      <c r="G1036" s="107"/>
      <c r="H1036" s="95"/>
    </row>
    <row r="1037" spans="1:8" x14ac:dyDescent="0.3">
      <c r="A1037" s="161"/>
      <c r="B1037" s="107"/>
      <c r="C1037" s="111"/>
      <c r="D1037" s="113"/>
      <c r="E1037" s="63" t="s">
        <v>1698</v>
      </c>
      <c r="F1037" s="150"/>
      <c r="G1037" s="107"/>
      <c r="H1037" s="95"/>
    </row>
    <row r="1038" spans="1:8" x14ac:dyDescent="0.3">
      <c r="A1038" s="161">
        <f>2</f>
        <v>2</v>
      </c>
      <c r="B1038" s="107" t="s">
        <v>1628</v>
      </c>
      <c r="C1038" s="111">
        <f>'04a_Box_Dims'!$AE28</f>
        <v>10</v>
      </c>
      <c r="D1038" s="113"/>
      <c r="E1038" s="63" t="s">
        <v>1699</v>
      </c>
      <c r="F1038" s="150"/>
      <c r="G1038" s="107"/>
      <c r="H1038" s="95"/>
    </row>
    <row r="1039" spans="1:8" x14ac:dyDescent="0.3">
      <c r="A1039" s="161"/>
      <c r="B1039" s="107"/>
      <c r="C1039" s="111">
        <f>'04a_Box_Dims'!$E28</f>
        <v>2</v>
      </c>
      <c r="D1039" s="113">
        <f>$A1038*$C1038*$C1039</f>
        <v>40</v>
      </c>
      <c r="E1039" s="63"/>
      <c r="F1039" s="150"/>
      <c r="G1039" s="107"/>
      <c r="H1039" s="95"/>
    </row>
    <row r="1040" spans="1:8" x14ac:dyDescent="0.3">
      <c r="A1040" s="161">
        <f>('04a_Box_Dims'!$C28-1)*2</f>
        <v>4</v>
      </c>
      <c r="B1040" s="107" t="s">
        <v>1628</v>
      </c>
      <c r="C1040" s="111">
        <f>'04a_Box_Dims'!$AE28</f>
        <v>10</v>
      </c>
      <c r="D1040" s="113"/>
      <c r="E1040" s="63" t="s">
        <v>1700</v>
      </c>
      <c r="F1040" s="150"/>
      <c r="G1040" s="107"/>
      <c r="H1040" s="95"/>
    </row>
    <row r="1041" spans="1:8" x14ac:dyDescent="0.3">
      <c r="A1041" s="161"/>
      <c r="B1041" s="107"/>
      <c r="C1041" s="111">
        <f>'04a_Box_Dims'!$E28</f>
        <v>2</v>
      </c>
      <c r="D1041" s="113">
        <f>$A1040*$C1040*$C1041</f>
        <v>80</v>
      </c>
      <c r="E1041" s="63"/>
      <c r="F1041" s="150"/>
      <c r="G1041" s="107"/>
      <c r="H1041" s="95"/>
    </row>
    <row r="1042" spans="1:8" x14ac:dyDescent="0.3">
      <c r="A1042" s="161">
        <f>4</f>
        <v>4</v>
      </c>
      <c r="B1042" s="107" t="s">
        <v>1628</v>
      </c>
      <c r="C1042" s="111">
        <f>'04a_Box_Dims'!$Z28</f>
        <v>2.1213203435596424</v>
      </c>
      <c r="D1042" s="113"/>
      <c r="E1042" s="63" t="s">
        <v>1701</v>
      </c>
      <c r="F1042" s="150"/>
      <c r="G1042" s="107"/>
      <c r="H1042" s="95"/>
    </row>
    <row r="1043" spans="1:8" x14ac:dyDescent="0.3">
      <c r="A1043" s="161"/>
      <c r="B1043" s="107"/>
      <c r="C1043" s="111">
        <f>'04a_Box_Dims'!$Y28</f>
        <v>2.9928932188134527</v>
      </c>
      <c r="D1043" s="113">
        <f>$A1042*$C1042*$C1043</f>
        <v>25.395541084682709</v>
      </c>
      <c r="E1043" s="63"/>
      <c r="F1043" s="150"/>
      <c r="G1043" s="107"/>
      <c r="H1043" s="95"/>
    </row>
    <row r="1044" spans="1:8" x14ac:dyDescent="0.3">
      <c r="A1044" s="161"/>
      <c r="B1044" s="107"/>
      <c r="C1044" s="111"/>
      <c r="D1044" s="113">
        <f>SUM($D$1038:$D$1043)</f>
        <v>145.39554108468272</v>
      </c>
      <c r="E1044" s="63" t="s">
        <v>1660</v>
      </c>
      <c r="F1044" s="150">
        <f>ROUND($D1044,2)</f>
        <v>145.4</v>
      </c>
      <c r="G1044" s="107" t="s">
        <v>1688</v>
      </c>
      <c r="H1044" s="95"/>
    </row>
    <row r="1045" spans="1:8" x14ac:dyDescent="0.3">
      <c r="A1045" s="161"/>
      <c r="B1045" s="107"/>
      <c r="C1045" s="111"/>
      <c r="D1045" s="113"/>
      <c r="E1045" s="63"/>
      <c r="F1045" s="150"/>
      <c r="G1045" s="107"/>
      <c r="H1045" s="95"/>
    </row>
    <row r="1046" spans="1:8" x14ac:dyDescent="0.3">
      <c r="A1046" s="161"/>
      <c r="B1046" s="107"/>
      <c r="C1046" s="111"/>
      <c r="D1046" s="113"/>
      <c r="E1046" s="149" t="s">
        <v>1702</v>
      </c>
      <c r="F1046" s="150"/>
      <c r="G1046" s="107"/>
      <c r="H1046" s="95"/>
    </row>
    <row r="1047" spans="1:8" x14ac:dyDescent="0.3">
      <c r="A1047" s="161"/>
      <c r="B1047" s="107"/>
      <c r="C1047" s="111"/>
      <c r="D1047" s="113"/>
      <c r="E1047" s="63" t="s">
        <v>1703</v>
      </c>
      <c r="F1047" s="150"/>
      <c r="G1047" s="107"/>
      <c r="H1047" s="95"/>
    </row>
    <row r="1048" spans="1:8" x14ac:dyDescent="0.3">
      <c r="A1048" s="161"/>
      <c r="B1048" s="107"/>
      <c r="C1048" s="111"/>
      <c r="D1048" s="113">
        <v>0</v>
      </c>
      <c r="E1048" s="63" t="s">
        <v>1704</v>
      </c>
      <c r="F1048" s="150">
        <f t="shared" ref="F1048:F1053" si="6">ROUND($D1048,3)</f>
        <v>0</v>
      </c>
      <c r="G1048" s="107" t="s">
        <v>1474</v>
      </c>
      <c r="H1048" s="95"/>
    </row>
    <row r="1049" spans="1:8" x14ac:dyDescent="0.3">
      <c r="A1049" s="161"/>
      <c r="B1049" s="107"/>
      <c r="C1049" s="111"/>
      <c r="D1049" s="113">
        <f>'04b_Box_Bars'!$S15/1000</f>
        <v>1.5043516421714724</v>
      </c>
      <c r="E1049" s="63" t="s">
        <v>1705</v>
      </c>
      <c r="F1049" s="150">
        <f t="shared" si="6"/>
        <v>1.504</v>
      </c>
      <c r="G1049" s="107" t="s">
        <v>1474</v>
      </c>
      <c r="H1049" s="95"/>
    </row>
    <row r="1050" spans="1:8" x14ac:dyDescent="0.3">
      <c r="A1050" s="161"/>
      <c r="B1050" s="107"/>
      <c r="C1050" s="111"/>
      <c r="D1050" s="113">
        <f>'04b_Box_Bars'!$T15/1000</f>
        <v>7.2183972679796877</v>
      </c>
      <c r="E1050" s="63" t="s">
        <v>1706</v>
      </c>
      <c r="F1050" s="150">
        <f t="shared" si="6"/>
        <v>7.218</v>
      </c>
      <c r="G1050" s="107" t="s">
        <v>1474</v>
      </c>
      <c r="H1050" s="95"/>
    </row>
    <row r="1051" spans="1:8" x14ac:dyDescent="0.3">
      <c r="A1051" s="161"/>
      <c r="B1051" s="107"/>
      <c r="C1051" s="111"/>
      <c r="D1051" s="113">
        <f>'04b_Box_Bars'!$U15/1000</f>
        <v>1.6226873949550067</v>
      </c>
      <c r="E1051" s="63" t="s">
        <v>1707</v>
      </c>
      <c r="F1051" s="150">
        <f t="shared" si="6"/>
        <v>1.623</v>
      </c>
      <c r="G1051" s="107" t="s">
        <v>1474</v>
      </c>
      <c r="H1051" s="95"/>
    </row>
    <row r="1052" spans="1:8" x14ac:dyDescent="0.3">
      <c r="A1052" s="161"/>
      <c r="B1052" s="107"/>
      <c r="C1052" s="111"/>
      <c r="D1052" s="113">
        <f>'04b_Box_Bars'!$V15/1000</f>
        <v>0</v>
      </c>
      <c r="E1052" s="63" t="s">
        <v>1708</v>
      </c>
      <c r="F1052" s="150">
        <f t="shared" si="6"/>
        <v>0</v>
      </c>
      <c r="G1052" s="107" t="s">
        <v>1474</v>
      </c>
      <c r="H1052" s="95"/>
    </row>
    <row r="1053" spans="1:8" x14ac:dyDescent="0.3">
      <c r="A1053" s="161"/>
      <c r="B1053" s="107"/>
      <c r="C1053" s="111"/>
      <c r="D1053" s="113">
        <f>'04b_Box_Bars'!$W15/1000</f>
        <v>0</v>
      </c>
      <c r="E1053" s="63" t="s">
        <v>1709</v>
      </c>
      <c r="F1053" s="150">
        <f t="shared" si="6"/>
        <v>0</v>
      </c>
      <c r="G1053" s="107" t="s">
        <v>1474</v>
      </c>
      <c r="H1053" s="95"/>
    </row>
    <row r="1054" spans="1:8" x14ac:dyDescent="0.3">
      <c r="A1054" s="161"/>
      <c r="B1054" s="107"/>
      <c r="C1054" s="111"/>
      <c r="D1054" s="113"/>
      <c r="E1054" s="63"/>
      <c r="F1054" s="150"/>
      <c r="G1054" s="107"/>
      <c r="H1054" s="95"/>
    </row>
    <row r="1056" spans="1:8" x14ac:dyDescent="0.3">
      <c r="A1056" s="160" t="str">
        <f>'04a_Box_Dims'!$F29&amp;"  No.  "&amp;'04a_Box_Dims'!$A29&amp;"   (L = "&amp;TEXT('04a_Box_Dims'!$AE29,"0.00")&amp;" m)"</f>
        <v>0  No.  1/3x3 box culvert   (L = 10.00 m)</v>
      </c>
      <c r="B1056" s="146"/>
      <c r="C1056" s="162"/>
      <c r="D1056" s="163"/>
      <c r="E1056" s="147"/>
      <c r="F1056" s="148"/>
      <c r="G1056" s="146"/>
      <c r="H1056" s="151"/>
    </row>
    <row r="1057" spans="1:8" x14ac:dyDescent="0.3">
      <c r="A1057" s="161"/>
      <c r="B1057" s="107"/>
      <c r="C1057" s="111"/>
      <c r="D1057" s="113"/>
      <c r="E1057" s="149" t="s">
        <v>1438</v>
      </c>
      <c r="F1057" s="150"/>
      <c r="G1057" s="107"/>
      <c r="H1057" s="95"/>
    </row>
    <row r="1058" spans="1:8" x14ac:dyDescent="0.3">
      <c r="A1058" s="161"/>
      <c r="B1058" s="107"/>
      <c r="C1058" s="111"/>
      <c r="D1058" s="113"/>
      <c r="E1058" s="63" t="s">
        <v>1655</v>
      </c>
      <c r="F1058" s="150"/>
      <c r="G1058" s="107"/>
      <c r="H1058" s="95"/>
    </row>
    <row r="1059" spans="1:8" x14ac:dyDescent="0.3">
      <c r="A1059" s="161">
        <f>1</f>
        <v>1</v>
      </c>
      <c r="B1059" s="107" t="s">
        <v>1628</v>
      </c>
      <c r="C1059" s="111">
        <f>'04a_Box_Dims'!$AE29</f>
        <v>10</v>
      </c>
      <c r="D1059" s="113"/>
      <c r="E1059" s="63" t="s">
        <v>1656</v>
      </c>
      <c r="F1059" s="150"/>
      <c r="G1059" s="107"/>
      <c r="H1059" s="95"/>
    </row>
    <row r="1060" spans="1:8" x14ac:dyDescent="0.3">
      <c r="A1060" s="161"/>
      <c r="B1060" s="107"/>
      <c r="C1060" s="111">
        <f>'04a_Box_Dims'!$J29+2*BX_work</f>
        <v>4.0999999999999996</v>
      </c>
      <c r="D1060" s="113"/>
      <c r="E1060" s="63"/>
      <c r="F1060" s="150"/>
      <c r="G1060" s="107"/>
      <c r="H1060" s="95"/>
    </row>
    <row r="1061" spans="1:8" x14ac:dyDescent="0.3">
      <c r="A1061" s="161"/>
      <c r="B1061" s="107"/>
      <c r="C1061" s="111">
        <f>'04a_Box_Dims'!$L29+BX_blind+BX_exX</f>
        <v>3.6999999999999997</v>
      </c>
      <c r="D1061" s="113">
        <f>$A1059*$C1059*$C1060*$C1061</f>
        <v>151.69999999999999</v>
      </c>
      <c r="E1061" s="63"/>
      <c r="F1061" s="150"/>
      <c r="G1061" s="107"/>
      <c r="H1061" s="95"/>
    </row>
    <row r="1062" spans="1:8" x14ac:dyDescent="0.3">
      <c r="A1062" s="161">
        <f>2</f>
        <v>2</v>
      </c>
      <c r="B1062" s="107" t="s">
        <v>1628</v>
      </c>
      <c r="C1062" s="111">
        <f>'04a_Box_Dims'!$O29</f>
        <v>1.5</v>
      </c>
      <c r="D1062" s="113"/>
      <c r="E1062" s="63" t="s">
        <v>1657</v>
      </c>
      <c r="F1062" s="150"/>
      <c r="G1062" s="107"/>
      <c r="H1062" s="95"/>
    </row>
    <row r="1063" spans="1:8" x14ac:dyDescent="0.3">
      <c r="A1063" s="161"/>
      <c r="B1063" s="107"/>
      <c r="C1063" s="111">
        <f>'04a_Box_Dims'!$Q29</f>
        <v>5</v>
      </c>
      <c r="D1063" s="113"/>
      <c r="E1063" s="63"/>
      <c r="F1063" s="150"/>
      <c r="G1063" s="107"/>
      <c r="H1063" s="95"/>
    </row>
    <row r="1064" spans="1:8" x14ac:dyDescent="0.3">
      <c r="A1064" s="161"/>
      <c r="B1064" s="107"/>
      <c r="C1064" s="111">
        <f>'04a_Box_Dims'!$P29+BX_blind+BX_exX</f>
        <v>0.44999999999999996</v>
      </c>
      <c r="D1064" s="113">
        <f>$A1062*$C1062*$C1063*$C1064</f>
        <v>6.7499999999999991</v>
      </c>
      <c r="E1064" s="63"/>
      <c r="F1064" s="150"/>
      <c r="G1064" s="107"/>
      <c r="H1064" s="95"/>
    </row>
    <row r="1065" spans="1:8" x14ac:dyDescent="0.3">
      <c r="A1065" s="161">
        <f>2</f>
        <v>2</v>
      </c>
      <c r="B1065" s="107" t="s">
        <v>1628</v>
      </c>
      <c r="C1065" s="111">
        <f>'04a_Box_Dims'!$R29</f>
        <v>3.5</v>
      </c>
      <c r="D1065" s="113"/>
      <c r="E1065" s="63" t="s">
        <v>1658</v>
      </c>
      <c r="F1065" s="150"/>
      <c r="G1065" s="107"/>
      <c r="H1065" s="95"/>
    </row>
    <row r="1066" spans="1:8" x14ac:dyDescent="0.3">
      <c r="A1066" s="161"/>
      <c r="B1066" s="107"/>
      <c r="C1066" s="111">
        <f>'04a_Box_Dims'!$S29</f>
        <v>0.2</v>
      </c>
      <c r="D1066" s="113"/>
      <c r="E1066" s="63"/>
      <c r="F1066" s="150"/>
      <c r="G1066" s="107"/>
      <c r="H1066" s="95"/>
    </row>
    <row r="1067" spans="1:8" x14ac:dyDescent="0.3">
      <c r="A1067" s="161"/>
      <c r="B1067" s="107"/>
      <c r="C1067" s="111">
        <f>'04a_Box_Dims'!$T29+BX_blind</f>
        <v>0.5</v>
      </c>
      <c r="D1067" s="113">
        <f>$A1065*$C1065*$C1066*$C1067</f>
        <v>0.70000000000000007</v>
      </c>
      <c r="E1067" s="63"/>
      <c r="F1067" s="150"/>
      <c r="G1067" s="107"/>
      <c r="H1067" s="95"/>
    </row>
    <row r="1068" spans="1:8" x14ac:dyDescent="0.3">
      <c r="A1068" s="161">
        <f>4</f>
        <v>4</v>
      </c>
      <c r="B1068" s="107" t="s">
        <v>1628</v>
      </c>
      <c r="C1068" s="111">
        <f>'04a_Box_Dims'!$Z29</f>
        <v>2.1213203435596424</v>
      </c>
      <c r="D1068" s="113"/>
      <c r="E1068" s="63" t="s">
        <v>1659</v>
      </c>
      <c r="F1068" s="150"/>
      <c r="G1068" s="107"/>
      <c r="H1068" s="95"/>
    </row>
    <row r="1069" spans="1:8" x14ac:dyDescent="0.3">
      <c r="A1069" s="161"/>
      <c r="B1069" s="107"/>
      <c r="C1069" s="111">
        <f>'04a_Box_Dims'!$AC29</f>
        <v>0.9</v>
      </c>
      <c r="D1069" s="113"/>
      <c r="E1069" s="63"/>
      <c r="F1069" s="150"/>
      <c r="G1069" s="107"/>
      <c r="H1069" s="95"/>
    </row>
    <row r="1070" spans="1:8" x14ac:dyDescent="0.3">
      <c r="A1070" s="161"/>
      <c r="B1070" s="107"/>
      <c r="C1070" s="111">
        <f>'04a_Box_Dims'!$AD29+BX_blind</f>
        <v>0.35</v>
      </c>
      <c r="D1070" s="113">
        <f>$A1068*$C1068*$C1069*$C1070</f>
        <v>2.6728636328851492</v>
      </c>
      <c r="E1070" s="63"/>
      <c r="F1070" s="150"/>
      <c r="G1070" s="107"/>
      <c r="H1070" s="95"/>
    </row>
    <row r="1071" spans="1:8" x14ac:dyDescent="0.3">
      <c r="A1071" s="161"/>
      <c r="B1071" s="107"/>
      <c r="C1071" s="111"/>
      <c r="D1071" s="113">
        <f>SUM($D$1059:$D$1070)</f>
        <v>161.82286363288512</v>
      </c>
      <c r="E1071" s="63" t="s">
        <v>1660</v>
      </c>
      <c r="F1071" s="150">
        <f>ROUND($D1071,0)</f>
        <v>162</v>
      </c>
      <c r="G1071" s="107" t="s">
        <v>1661</v>
      </c>
      <c r="H1071" s="95"/>
    </row>
    <row r="1072" spans="1:8" x14ac:dyDescent="0.3">
      <c r="A1072" s="161"/>
      <c r="B1072" s="107"/>
      <c r="C1072" s="111"/>
      <c r="D1072" s="113"/>
      <c r="E1072" s="63"/>
      <c r="F1072" s="150"/>
      <c r="G1072" s="107"/>
      <c r="H1072" s="95"/>
    </row>
    <row r="1073" spans="1:8" x14ac:dyDescent="0.3">
      <c r="A1073" s="161"/>
      <c r="B1073" s="107"/>
      <c r="C1073" s="111"/>
      <c r="D1073" s="113"/>
      <c r="E1073" s="149" t="s">
        <v>1323</v>
      </c>
      <c r="F1073" s="150"/>
      <c r="G1073" s="107"/>
      <c r="H1073" s="95"/>
    </row>
    <row r="1074" spans="1:8" x14ac:dyDescent="0.3">
      <c r="A1074" s="161"/>
      <c r="B1074" s="107"/>
      <c r="C1074" s="111"/>
      <c r="D1074" s="113"/>
      <c r="E1074" s="63" t="s">
        <v>1662</v>
      </c>
      <c r="F1074" s="150"/>
      <c r="G1074" s="107"/>
      <c r="H1074" s="95"/>
    </row>
    <row r="1075" spans="1:8" x14ac:dyDescent="0.3">
      <c r="A1075" s="161">
        <f>1</f>
        <v>1</v>
      </c>
      <c r="B1075" s="107" t="s">
        <v>1628</v>
      </c>
      <c r="C1075" s="111">
        <f>'04a_Box_Dims'!$AE29</f>
        <v>10</v>
      </c>
      <c r="D1075" s="113"/>
      <c r="E1075" s="63" t="s">
        <v>1663</v>
      </c>
      <c r="F1075" s="150"/>
      <c r="G1075" s="107"/>
      <c r="H1075" s="95"/>
    </row>
    <row r="1076" spans="1:8" x14ac:dyDescent="0.3">
      <c r="A1076" s="161"/>
      <c r="B1076" s="107"/>
      <c r="C1076" s="111">
        <f>'04a_Box_Dims'!$J29</f>
        <v>3.5</v>
      </c>
      <c r="D1076" s="113"/>
      <c r="E1076" s="63"/>
      <c r="F1076" s="150"/>
      <c r="G1076" s="107"/>
      <c r="H1076" s="95"/>
    </row>
    <row r="1077" spans="1:8" x14ac:dyDescent="0.3">
      <c r="A1077" s="161"/>
      <c r="B1077" s="107"/>
      <c r="C1077" s="111">
        <f>BX_blind</f>
        <v>0.05</v>
      </c>
      <c r="D1077" s="113">
        <f>$A1075*$C1075*$C1076*$C1077</f>
        <v>1.75</v>
      </c>
      <c r="E1077" s="63"/>
      <c r="F1077" s="150"/>
      <c r="G1077" s="107"/>
      <c r="H1077" s="95"/>
    </row>
    <row r="1078" spans="1:8" x14ac:dyDescent="0.3">
      <c r="A1078" s="161">
        <f>2</f>
        <v>2</v>
      </c>
      <c r="B1078" s="107" t="s">
        <v>1628</v>
      </c>
      <c r="C1078" s="111">
        <f>'04a_Box_Dims'!$O29</f>
        <v>1.5</v>
      </c>
      <c r="D1078" s="113"/>
      <c r="E1078" s="63" t="s">
        <v>1657</v>
      </c>
      <c r="F1078" s="150"/>
      <c r="G1078" s="107"/>
      <c r="H1078" s="95"/>
    </row>
    <row r="1079" spans="1:8" x14ac:dyDescent="0.3">
      <c r="A1079" s="161"/>
      <c r="B1079" s="107"/>
      <c r="C1079" s="111">
        <f>'04a_Box_Dims'!$Q29</f>
        <v>5</v>
      </c>
      <c r="D1079" s="113"/>
      <c r="E1079" s="63"/>
      <c r="F1079" s="150"/>
      <c r="G1079" s="107"/>
      <c r="H1079" s="95"/>
    </row>
    <row r="1080" spans="1:8" x14ac:dyDescent="0.3">
      <c r="A1080" s="161"/>
      <c r="B1080" s="107"/>
      <c r="C1080" s="111">
        <f>BX_blind</f>
        <v>0.05</v>
      </c>
      <c r="D1080" s="113">
        <f>$A1078*$C1078*$C1079*$C1080</f>
        <v>0.75</v>
      </c>
      <c r="E1080" s="63"/>
      <c r="F1080" s="150"/>
      <c r="G1080" s="107"/>
      <c r="H1080" s="95"/>
    </row>
    <row r="1081" spans="1:8" x14ac:dyDescent="0.3">
      <c r="A1081" s="161">
        <f>2</f>
        <v>2</v>
      </c>
      <c r="B1081" s="107" t="s">
        <v>1628</v>
      </c>
      <c r="C1081" s="111">
        <f>'04a_Box_Dims'!$R29</f>
        <v>3.5</v>
      </c>
      <c r="D1081" s="113"/>
      <c r="E1081" s="63" t="s">
        <v>1658</v>
      </c>
      <c r="F1081" s="150"/>
      <c r="G1081" s="107"/>
      <c r="H1081" s="95"/>
    </row>
    <row r="1082" spans="1:8" x14ac:dyDescent="0.3">
      <c r="A1082" s="161"/>
      <c r="B1082" s="107"/>
      <c r="C1082" s="111">
        <f>'04a_Box_Dims'!$S29</f>
        <v>0.2</v>
      </c>
      <c r="D1082" s="113"/>
      <c r="E1082" s="63"/>
      <c r="F1082" s="150"/>
      <c r="G1082" s="107"/>
      <c r="H1082" s="95"/>
    </row>
    <row r="1083" spans="1:8" x14ac:dyDescent="0.3">
      <c r="A1083" s="161"/>
      <c r="B1083" s="107"/>
      <c r="C1083" s="111">
        <f>BX_blind</f>
        <v>0.05</v>
      </c>
      <c r="D1083" s="113">
        <f>$A1081*$C1081*$C1082*$C1083</f>
        <v>7.0000000000000007E-2</v>
      </c>
      <c r="E1083" s="63"/>
      <c r="F1083" s="150"/>
      <c r="G1083" s="107"/>
      <c r="H1083" s="95"/>
    </row>
    <row r="1084" spans="1:8" x14ac:dyDescent="0.3">
      <c r="A1084" s="161">
        <f>4</f>
        <v>4</v>
      </c>
      <c r="B1084" s="107" t="s">
        <v>1628</v>
      </c>
      <c r="C1084" s="111">
        <f>'04a_Box_Dims'!$Z29</f>
        <v>2.1213203435596424</v>
      </c>
      <c r="D1084" s="113"/>
      <c r="E1084" s="63" t="s">
        <v>1659</v>
      </c>
      <c r="F1084" s="150"/>
      <c r="G1084" s="107"/>
      <c r="H1084" s="95"/>
    </row>
    <row r="1085" spans="1:8" x14ac:dyDescent="0.3">
      <c r="A1085" s="161"/>
      <c r="B1085" s="107"/>
      <c r="C1085" s="111">
        <f>'04a_Box_Dims'!$AC29</f>
        <v>0.9</v>
      </c>
      <c r="D1085" s="113"/>
      <c r="E1085" s="63"/>
      <c r="F1085" s="150"/>
      <c r="G1085" s="107"/>
      <c r="H1085" s="95"/>
    </row>
    <row r="1086" spans="1:8" x14ac:dyDescent="0.3">
      <c r="A1086" s="161"/>
      <c r="B1086" s="107"/>
      <c r="C1086" s="111">
        <f>BX_blind</f>
        <v>0.05</v>
      </c>
      <c r="D1086" s="113">
        <f>$A1084*$C1084*$C1085*$C1086</f>
        <v>0.38183766184073564</v>
      </c>
      <c r="E1086" s="63"/>
      <c r="F1086" s="150"/>
      <c r="G1086" s="107"/>
      <c r="H1086" s="95"/>
    </row>
    <row r="1087" spans="1:8" x14ac:dyDescent="0.3">
      <c r="A1087" s="161"/>
      <c r="B1087" s="107"/>
      <c r="C1087" s="111"/>
      <c r="D1087" s="113">
        <f>SUM($D$1075:$D$1086)</f>
        <v>2.9518376618407354</v>
      </c>
      <c r="E1087" s="63" t="s">
        <v>1660</v>
      </c>
      <c r="F1087" s="150">
        <f>ROUND($D1087,2)</f>
        <v>2.95</v>
      </c>
      <c r="G1087" s="107" t="s">
        <v>1661</v>
      </c>
      <c r="H1087" s="95"/>
    </row>
    <row r="1088" spans="1:8" x14ac:dyDescent="0.3">
      <c r="A1088" s="161"/>
      <c r="B1088" s="107"/>
      <c r="C1088" s="111"/>
      <c r="D1088" s="113"/>
      <c r="E1088" s="63"/>
      <c r="F1088" s="150"/>
      <c r="G1088" s="107"/>
      <c r="H1088" s="95"/>
    </row>
    <row r="1089" spans="1:8" x14ac:dyDescent="0.3">
      <c r="A1089" s="161"/>
      <c r="B1089" s="107"/>
      <c r="C1089" s="111"/>
      <c r="D1089" s="113"/>
      <c r="E1089" s="149" t="s">
        <v>1324</v>
      </c>
      <c r="F1089" s="150"/>
      <c r="G1089" s="107"/>
      <c r="H1089" s="95"/>
    </row>
    <row r="1090" spans="1:8" x14ac:dyDescent="0.3">
      <c r="A1090" s="161"/>
      <c r="B1090" s="107"/>
      <c r="C1090" s="111"/>
      <c r="D1090" s="113"/>
      <c r="E1090" s="63" t="s">
        <v>1664</v>
      </c>
      <c r="F1090" s="150"/>
      <c r="G1090" s="107"/>
      <c r="H1090" s="95"/>
    </row>
    <row r="1091" spans="1:8" x14ac:dyDescent="0.3">
      <c r="A1091" s="161"/>
      <c r="B1091" s="107"/>
      <c r="C1091" s="111"/>
      <c r="D1091" s="113">
        <f>$D1087</f>
        <v>2.9518376618407354</v>
      </c>
      <c r="E1091" s="63" t="s">
        <v>1665</v>
      </c>
      <c r="F1091" s="150">
        <f>$F1087</f>
        <v>2.95</v>
      </c>
      <c r="G1091" s="107" t="s">
        <v>1661</v>
      </c>
      <c r="H1091" s="95"/>
    </row>
    <row r="1092" spans="1:8" x14ac:dyDescent="0.3">
      <c r="A1092" s="161"/>
      <c r="B1092" s="107"/>
      <c r="C1092" s="111"/>
      <c r="D1092" s="113"/>
      <c r="E1092" s="63"/>
      <c r="F1092" s="150"/>
      <c r="G1092" s="107"/>
      <c r="H1092" s="95"/>
    </row>
    <row r="1093" spans="1:8" x14ac:dyDescent="0.3">
      <c r="A1093" s="161"/>
      <c r="B1093" s="107"/>
      <c r="C1093" s="111"/>
      <c r="D1093" s="113"/>
      <c r="E1093" s="149" t="s">
        <v>1455</v>
      </c>
      <c r="F1093" s="150"/>
      <c r="G1093" s="107"/>
      <c r="H1093" s="95"/>
    </row>
    <row r="1094" spans="1:8" x14ac:dyDescent="0.3">
      <c r="A1094" s="161"/>
      <c r="B1094" s="107"/>
      <c r="C1094" s="111"/>
      <c r="D1094" s="113"/>
      <c r="E1094" s="63" t="s">
        <v>1666</v>
      </c>
      <c r="F1094" s="150"/>
      <c r="G1094" s="107"/>
      <c r="H1094" s="95"/>
    </row>
    <row r="1095" spans="1:8" x14ac:dyDescent="0.3">
      <c r="A1095" s="161">
        <f>1</f>
        <v>1</v>
      </c>
      <c r="B1095" s="107" t="s">
        <v>1628</v>
      </c>
      <c r="C1095" s="111">
        <f>'04a_Box_Dims'!$AE29</f>
        <v>10</v>
      </c>
      <c r="D1095" s="113"/>
      <c r="E1095" s="63" t="s">
        <v>1667</v>
      </c>
      <c r="F1095" s="150"/>
      <c r="G1095" s="107"/>
      <c r="H1095" s="95"/>
    </row>
    <row r="1096" spans="1:8" x14ac:dyDescent="0.3">
      <c r="A1096" s="161"/>
      <c r="B1096" s="107"/>
      <c r="C1096" s="111">
        <f>'04a_Box_Dims'!$J29</f>
        <v>3.5</v>
      </c>
      <c r="D1096" s="113"/>
      <c r="E1096" s="63"/>
      <c r="F1096" s="150"/>
      <c r="G1096" s="107"/>
      <c r="H1096" s="95"/>
    </row>
    <row r="1097" spans="1:8" x14ac:dyDescent="0.3">
      <c r="A1097" s="161"/>
      <c r="B1097" s="107"/>
      <c r="C1097" s="111">
        <f>'04a_Box_Dims'!$I29</f>
        <v>0.25</v>
      </c>
      <c r="D1097" s="113">
        <f>$A1095*$C1095*$C1096*$C1097</f>
        <v>8.75</v>
      </c>
      <c r="E1097" s="63"/>
      <c r="F1097" s="150"/>
      <c r="G1097" s="107"/>
      <c r="H1097" s="95">
        <f>'04a_Box_Dims'!$I29</f>
        <v>0.25</v>
      </c>
    </row>
    <row r="1098" spans="1:8" x14ac:dyDescent="0.3">
      <c r="A1098" s="161">
        <f>2</f>
        <v>2</v>
      </c>
      <c r="B1098" s="107" t="s">
        <v>1628</v>
      </c>
      <c r="C1098" s="111">
        <f>'04a_Box_Dims'!$O29</f>
        <v>1.5</v>
      </c>
      <c r="D1098" s="113"/>
      <c r="E1098" s="63" t="s">
        <v>1657</v>
      </c>
      <c r="F1098" s="150"/>
      <c r="G1098" s="107"/>
      <c r="H1098" s="95"/>
    </row>
    <row r="1099" spans="1:8" x14ac:dyDescent="0.3">
      <c r="A1099" s="161"/>
      <c r="B1099" s="107"/>
      <c r="C1099" s="111">
        <f>'04a_Box_Dims'!$Q29</f>
        <v>5</v>
      </c>
      <c r="D1099" s="113"/>
      <c r="E1099" s="63"/>
      <c r="F1099" s="150"/>
      <c r="G1099" s="107"/>
      <c r="H1099" s="95"/>
    </row>
    <row r="1100" spans="1:8" x14ac:dyDescent="0.3">
      <c r="A1100" s="161"/>
      <c r="B1100" s="107"/>
      <c r="C1100" s="111">
        <f>'04a_Box_Dims'!$P29</f>
        <v>0.25</v>
      </c>
      <c r="D1100" s="113">
        <f>$A1098*$C1098*$C1099*$C1100</f>
        <v>3.75</v>
      </c>
      <c r="E1100" s="63"/>
      <c r="F1100" s="150"/>
      <c r="G1100" s="107"/>
      <c r="H1100" s="95">
        <f>'04a_Box_Dims'!$P29</f>
        <v>0.25</v>
      </c>
    </row>
    <row r="1101" spans="1:8" x14ac:dyDescent="0.3">
      <c r="A1101" s="161">
        <f>2</f>
        <v>2</v>
      </c>
      <c r="B1101" s="107" t="s">
        <v>1628</v>
      </c>
      <c r="C1101" s="111">
        <f>'04a_Box_Dims'!$R29</f>
        <v>3.5</v>
      </c>
      <c r="D1101" s="113"/>
      <c r="E1101" s="63" t="s">
        <v>1658</v>
      </c>
      <c r="F1101" s="150"/>
      <c r="G1101" s="107"/>
      <c r="H1101" s="95"/>
    </row>
    <row r="1102" spans="1:8" x14ac:dyDescent="0.3">
      <c r="A1102" s="161"/>
      <c r="B1102" s="107"/>
      <c r="C1102" s="111">
        <f>'04a_Box_Dims'!$S29</f>
        <v>0.2</v>
      </c>
      <c r="D1102" s="113"/>
      <c r="E1102" s="63"/>
      <c r="F1102" s="150"/>
      <c r="G1102" s="107"/>
      <c r="H1102" s="95"/>
    </row>
    <row r="1103" spans="1:8" x14ac:dyDescent="0.3">
      <c r="A1103" s="161"/>
      <c r="B1103" s="107"/>
      <c r="C1103" s="111">
        <f>'04a_Box_Dims'!$T29</f>
        <v>0.45</v>
      </c>
      <c r="D1103" s="113">
        <f>$A1101*$C1101*$C1102*$C1103</f>
        <v>0.63000000000000012</v>
      </c>
      <c r="E1103" s="63"/>
      <c r="F1103" s="150"/>
      <c r="G1103" s="107"/>
      <c r="H1103" s="95">
        <f>'04a_Box_Dims'!$S29</f>
        <v>0.2</v>
      </c>
    </row>
    <row r="1104" spans="1:8" x14ac:dyDescent="0.3">
      <c r="A1104" s="161">
        <f>4</f>
        <v>4</v>
      </c>
      <c r="B1104" s="107" t="s">
        <v>1628</v>
      </c>
      <c r="C1104" s="111">
        <f>'04a_Box_Dims'!$Z29</f>
        <v>2.1213203435596424</v>
      </c>
      <c r="D1104" s="113"/>
      <c r="E1104" s="63" t="s">
        <v>1659</v>
      </c>
      <c r="F1104" s="150"/>
      <c r="G1104" s="107"/>
      <c r="H1104" s="95"/>
    </row>
    <row r="1105" spans="1:8" x14ac:dyDescent="0.3">
      <c r="A1105" s="161"/>
      <c r="B1105" s="107"/>
      <c r="C1105" s="111">
        <f>'04a_Box_Dims'!$AC29</f>
        <v>0.9</v>
      </c>
      <c r="D1105" s="113"/>
      <c r="E1105" s="63"/>
      <c r="F1105" s="150"/>
      <c r="G1105" s="107"/>
      <c r="H1105" s="95"/>
    </row>
    <row r="1106" spans="1:8" x14ac:dyDescent="0.3">
      <c r="A1106" s="161"/>
      <c r="B1106" s="107"/>
      <c r="C1106" s="111">
        <f>'04a_Box_Dims'!$AD29</f>
        <v>0.3</v>
      </c>
      <c r="D1106" s="113">
        <f>$A1104*$C1104*$C1105*$C1106</f>
        <v>2.2910259710444136</v>
      </c>
      <c r="E1106" s="63"/>
      <c r="F1106" s="150"/>
      <c r="G1106" s="107"/>
      <c r="H1106" s="95">
        <f>'04a_Box_Dims'!$AD29</f>
        <v>0.3</v>
      </c>
    </row>
    <row r="1107" spans="1:8" x14ac:dyDescent="0.3">
      <c r="A1107" s="161"/>
      <c r="B1107" s="107"/>
      <c r="C1107" s="111"/>
      <c r="D1107" s="113">
        <f>SUM($D$1095:$D$1106)</f>
        <v>15.421025971044415</v>
      </c>
      <c r="E1107" s="63" t="s">
        <v>1660</v>
      </c>
      <c r="F1107" s="150">
        <f>ROUND($D1107,2)</f>
        <v>15.42</v>
      </c>
      <c r="G1107" s="107" t="s">
        <v>1661</v>
      </c>
      <c r="H1107" s="95"/>
    </row>
    <row r="1108" spans="1:8" x14ac:dyDescent="0.3">
      <c r="A1108" s="161"/>
      <c r="B1108" s="107"/>
      <c r="C1108" s="111"/>
      <c r="D1108" s="113"/>
      <c r="E1108" s="63"/>
      <c r="F1108" s="150"/>
      <c r="G1108" s="107"/>
      <c r="H1108" s="95"/>
    </row>
    <row r="1109" spans="1:8" x14ac:dyDescent="0.3">
      <c r="A1109" s="161"/>
      <c r="B1109" s="107"/>
      <c r="C1109" s="111"/>
      <c r="D1109" s="113"/>
      <c r="E1109" s="149" t="s">
        <v>1668</v>
      </c>
      <c r="F1109" s="150"/>
      <c r="G1109" s="107"/>
      <c r="H1109" s="95"/>
    </row>
    <row r="1110" spans="1:8" x14ac:dyDescent="0.3">
      <c r="A1110" s="161"/>
      <c r="B1110" s="107"/>
      <c r="C1110" s="111"/>
      <c r="D1110" s="113"/>
      <c r="E1110" s="63" t="s">
        <v>1669</v>
      </c>
      <c r="F1110" s="150"/>
      <c r="G1110" s="107"/>
      <c r="H1110" s="95"/>
    </row>
    <row r="1111" spans="1:8" x14ac:dyDescent="0.3">
      <c r="A1111" s="161"/>
      <c r="B1111" s="107"/>
      <c r="C1111" s="111"/>
      <c r="D1111" s="113">
        <f>SUMIF($H$1095:$H$1106,"&lt;=0.3",$D$1095:$D$1106)</f>
        <v>15.421025971044415</v>
      </c>
      <c r="E1111" s="63" t="s">
        <v>1670</v>
      </c>
      <c r="F1111" s="150">
        <f>ROUND($D1111,2)</f>
        <v>15.42</v>
      </c>
      <c r="G1111" s="107" t="s">
        <v>1661</v>
      </c>
      <c r="H1111" s="95"/>
    </row>
    <row r="1112" spans="1:8" x14ac:dyDescent="0.3">
      <c r="A1112" s="161"/>
      <c r="B1112" s="107"/>
      <c r="C1112" s="111"/>
      <c r="D1112" s="113">
        <f>SUMIF($H$1095:$H$1106,"&gt;0.3",$D$1095:$D$1106)</f>
        <v>0</v>
      </c>
      <c r="E1112" s="63" t="s">
        <v>1671</v>
      </c>
      <c r="F1112" s="150">
        <f>ROUND($D1112,2)</f>
        <v>0</v>
      </c>
      <c r="G1112" s="107" t="s">
        <v>1661</v>
      </c>
      <c r="H1112" s="95"/>
    </row>
    <row r="1113" spans="1:8" x14ac:dyDescent="0.3">
      <c r="A1113" s="161"/>
      <c r="B1113" s="107"/>
      <c r="C1113" s="111"/>
      <c r="D1113" s="113"/>
      <c r="E1113" s="63"/>
      <c r="F1113" s="150"/>
      <c r="G1113" s="107"/>
      <c r="H1113" s="95"/>
    </row>
    <row r="1114" spans="1:8" x14ac:dyDescent="0.3">
      <c r="A1114" s="161"/>
      <c r="B1114" s="107"/>
      <c r="C1114" s="111"/>
      <c r="D1114" s="113"/>
      <c r="E1114" s="149" t="s">
        <v>1455</v>
      </c>
      <c r="F1114" s="150"/>
      <c r="G1114" s="107"/>
      <c r="H1114" s="95"/>
    </row>
    <row r="1115" spans="1:8" x14ac:dyDescent="0.3">
      <c r="A1115" s="161"/>
      <c r="B1115" s="107"/>
      <c r="C1115" s="111"/>
      <c r="D1115" s="113"/>
      <c r="E1115" s="63" t="s">
        <v>1672</v>
      </c>
      <c r="F1115" s="150"/>
      <c r="G1115" s="107"/>
      <c r="H1115" s="95"/>
    </row>
    <row r="1116" spans="1:8" x14ac:dyDescent="0.3">
      <c r="A1116" s="161">
        <f>1</f>
        <v>1</v>
      </c>
      <c r="B1116" s="107" t="s">
        <v>1628</v>
      </c>
      <c r="C1116" s="111">
        <f>'04a_Box_Dims'!$AE29</f>
        <v>10</v>
      </c>
      <c r="D1116" s="113"/>
      <c r="E1116" s="63" t="s">
        <v>1673</v>
      </c>
      <c r="F1116" s="150"/>
      <c r="G1116" s="107"/>
      <c r="H1116" s="95"/>
    </row>
    <row r="1117" spans="1:8" x14ac:dyDescent="0.3">
      <c r="A1117" s="161"/>
      <c r="B1117" s="107"/>
      <c r="C1117" s="111">
        <f>'04a_Box_Dims'!$J29</f>
        <v>3.5</v>
      </c>
      <c r="D1117" s="113"/>
      <c r="E1117" s="63"/>
      <c r="F1117" s="150"/>
      <c r="G1117" s="107"/>
      <c r="H1117" s="95"/>
    </row>
    <row r="1118" spans="1:8" x14ac:dyDescent="0.3">
      <c r="A1118" s="161"/>
      <c r="B1118" s="107"/>
      <c r="C1118" s="111">
        <f>'04a_Box_Dims'!$I29</f>
        <v>0.25</v>
      </c>
      <c r="D1118" s="113">
        <f>$A1116*$C1116*$C1117*$C1118</f>
        <v>8.75</v>
      </c>
      <c r="E1118" s="63"/>
      <c r="F1118" s="150"/>
      <c r="G1118" s="107"/>
      <c r="H1118" s="95">
        <f>'04a_Box_Dims'!$I29</f>
        <v>0.25</v>
      </c>
    </row>
    <row r="1119" spans="1:8" x14ac:dyDescent="0.3">
      <c r="A1119" s="161"/>
      <c r="B1119" s="107"/>
      <c r="C1119" s="111"/>
      <c r="D1119" s="113">
        <f>SUM($D$1116:$D$1118)</f>
        <v>8.75</v>
      </c>
      <c r="E1119" s="63" t="s">
        <v>1660</v>
      </c>
      <c r="F1119" s="150">
        <f>ROUND($D1119,2)</f>
        <v>8.75</v>
      </c>
      <c r="G1119" s="107" t="s">
        <v>1661</v>
      </c>
      <c r="H1119" s="95"/>
    </row>
    <row r="1120" spans="1:8" x14ac:dyDescent="0.3">
      <c r="A1120" s="161"/>
      <c r="B1120" s="107"/>
      <c r="C1120" s="111"/>
      <c r="D1120" s="113"/>
      <c r="E1120" s="63"/>
      <c r="F1120" s="150"/>
      <c r="G1120" s="107"/>
      <c r="H1120" s="95"/>
    </row>
    <row r="1121" spans="1:8" x14ac:dyDescent="0.3">
      <c r="A1121" s="161"/>
      <c r="B1121" s="107"/>
      <c r="C1121" s="111"/>
      <c r="D1121" s="113"/>
      <c r="E1121" s="149" t="s">
        <v>1674</v>
      </c>
      <c r="F1121" s="150"/>
      <c r="G1121" s="107"/>
      <c r="H1121" s="95"/>
    </row>
    <row r="1122" spans="1:8" x14ac:dyDescent="0.3">
      <c r="A1122" s="161"/>
      <c r="B1122" s="107"/>
      <c r="C1122" s="111"/>
      <c r="D1122" s="113"/>
      <c r="E1122" s="63" t="s">
        <v>1675</v>
      </c>
      <c r="F1122" s="150"/>
      <c r="G1122" s="107"/>
      <c r="H1122" s="95"/>
    </row>
    <row r="1123" spans="1:8" x14ac:dyDescent="0.3">
      <c r="A1123" s="161"/>
      <c r="B1123" s="107"/>
      <c r="C1123" s="111"/>
      <c r="D1123" s="113">
        <f>SUMIF($H$1116:$H$1118,"&lt;=0.3",$D$1116:$D$1118)</f>
        <v>8.75</v>
      </c>
      <c r="E1123" s="63" t="s">
        <v>1670</v>
      </c>
      <c r="F1123" s="150">
        <f>ROUND($D1123,2)</f>
        <v>8.75</v>
      </c>
      <c r="G1123" s="107" t="s">
        <v>1661</v>
      </c>
      <c r="H1123" s="95"/>
    </row>
    <row r="1124" spans="1:8" x14ac:dyDescent="0.3">
      <c r="A1124" s="161"/>
      <c r="B1124" s="107"/>
      <c r="C1124" s="111"/>
      <c r="D1124" s="113">
        <f>SUMIF($H$1116:$H$1118,"&gt;0.3",$D$1116:$D$1118)</f>
        <v>0</v>
      </c>
      <c r="E1124" s="63" t="s">
        <v>1671</v>
      </c>
      <c r="F1124" s="150">
        <f>ROUND($D1124,2)</f>
        <v>0</v>
      </c>
      <c r="G1124" s="107" t="s">
        <v>1661</v>
      </c>
      <c r="H1124" s="95"/>
    </row>
    <row r="1125" spans="1:8" x14ac:dyDescent="0.3">
      <c r="A1125" s="161"/>
      <c r="B1125" s="107"/>
      <c r="C1125" s="111"/>
      <c r="D1125" s="113"/>
      <c r="E1125" s="63"/>
      <c r="F1125" s="150"/>
      <c r="G1125" s="107"/>
      <c r="H1125" s="95"/>
    </row>
    <row r="1126" spans="1:8" x14ac:dyDescent="0.3">
      <c r="A1126" s="161"/>
      <c r="B1126" s="107"/>
      <c r="C1126" s="111"/>
      <c r="D1126" s="113"/>
      <c r="E1126" s="149" t="s">
        <v>1455</v>
      </c>
      <c r="F1126" s="150"/>
      <c r="G1126" s="107"/>
      <c r="H1126" s="95"/>
    </row>
    <row r="1127" spans="1:8" x14ac:dyDescent="0.3">
      <c r="A1127" s="161"/>
      <c r="B1127" s="107"/>
      <c r="C1127" s="111"/>
      <c r="D1127" s="113"/>
      <c r="E1127" s="63" t="s">
        <v>1676</v>
      </c>
      <c r="F1127" s="150"/>
      <c r="G1127" s="107"/>
      <c r="H1127" s="95"/>
    </row>
    <row r="1128" spans="1:8" x14ac:dyDescent="0.3">
      <c r="A1128" s="161">
        <f>2</f>
        <v>2</v>
      </c>
      <c r="B1128" s="107" t="s">
        <v>1628</v>
      </c>
      <c r="C1128" s="111">
        <f>'04a_Box_Dims'!$AE29</f>
        <v>10</v>
      </c>
      <c r="D1128" s="113"/>
      <c r="E1128" s="63" t="s">
        <v>1677</v>
      </c>
      <c r="F1128" s="150"/>
      <c r="G1128" s="107"/>
      <c r="H1128" s="95"/>
    </row>
    <row r="1129" spans="1:8" x14ac:dyDescent="0.3">
      <c r="A1129" s="161"/>
      <c r="B1129" s="107"/>
      <c r="C1129" s="111">
        <f>'04a_Box_Dims'!$E29</f>
        <v>3</v>
      </c>
      <c r="D1129" s="113"/>
      <c r="E1129" s="63"/>
      <c r="F1129" s="150"/>
      <c r="G1129" s="107"/>
      <c r="H1129" s="95"/>
    </row>
    <row r="1130" spans="1:8" x14ac:dyDescent="0.3">
      <c r="A1130" s="161"/>
      <c r="B1130" s="107"/>
      <c r="C1130" s="111">
        <f>'04a_Box_Dims'!$I29</f>
        <v>0.25</v>
      </c>
      <c r="D1130" s="113">
        <f>$A1128*$C1128*$C1129*$C1130</f>
        <v>15</v>
      </c>
      <c r="E1130" s="63"/>
      <c r="F1130" s="150"/>
      <c r="G1130" s="107"/>
      <c r="H1130" s="95">
        <f>'04a_Box_Dims'!$I29</f>
        <v>0.25</v>
      </c>
    </row>
    <row r="1131" spans="1:8" x14ac:dyDescent="0.3">
      <c r="A1131" s="161">
        <f>'04a_Box_Dims'!$C29-1</f>
        <v>0</v>
      </c>
      <c r="B1131" s="107" t="s">
        <v>1628</v>
      </c>
      <c r="C1131" s="111">
        <f>'04a_Box_Dims'!$AE29</f>
        <v>10</v>
      </c>
      <c r="D1131" s="113"/>
      <c r="E1131" s="63" t="s">
        <v>1678</v>
      </c>
      <c r="F1131" s="150"/>
      <c r="G1131" s="107"/>
      <c r="H1131" s="95"/>
    </row>
    <row r="1132" spans="1:8" x14ac:dyDescent="0.3">
      <c r="A1132" s="161"/>
      <c r="B1132" s="107"/>
      <c r="C1132" s="111">
        <f>'04a_Box_Dims'!$E29</f>
        <v>3</v>
      </c>
      <c r="D1132" s="113"/>
      <c r="E1132" s="63"/>
      <c r="F1132" s="150"/>
      <c r="G1132" s="107"/>
      <c r="H1132" s="95"/>
    </row>
    <row r="1133" spans="1:8" x14ac:dyDescent="0.3">
      <c r="A1133" s="161"/>
      <c r="B1133" s="107"/>
      <c r="C1133" s="111">
        <f>'04a_Box_Dims'!$I29</f>
        <v>0.25</v>
      </c>
      <c r="D1133" s="113">
        <f>$A1131*$C1131*$C1132*$C1133</f>
        <v>0</v>
      </c>
      <c r="E1133" s="63"/>
      <c r="F1133" s="150"/>
      <c r="G1133" s="107"/>
      <c r="H1133" s="95">
        <f>'04a_Box_Dims'!$I29</f>
        <v>0.25</v>
      </c>
    </row>
    <row r="1134" spans="1:8" x14ac:dyDescent="0.3">
      <c r="A1134" s="161">
        <f>4*'04a_Box_Dims'!$C29</f>
        <v>4</v>
      </c>
      <c r="B1134" s="107" t="s">
        <v>1628</v>
      </c>
      <c r="C1134" s="111">
        <f>'04a_Box_Dims'!$AE29</f>
        <v>10</v>
      </c>
      <c r="D1134" s="113"/>
      <c r="E1134" s="63" t="s">
        <v>1679</v>
      </c>
      <c r="F1134" s="150"/>
      <c r="G1134" s="107"/>
      <c r="H1134" s="95"/>
    </row>
    <row r="1135" spans="1:8" x14ac:dyDescent="0.3">
      <c r="A1135" s="161"/>
      <c r="B1135" s="107"/>
      <c r="C1135" s="111">
        <f>'04a_Box_Dims'!$N29</f>
        <v>0.15</v>
      </c>
      <c r="D1135" s="113"/>
      <c r="E1135" s="63"/>
      <c r="F1135" s="150"/>
      <c r="G1135" s="107"/>
      <c r="H1135" s="95"/>
    </row>
    <row r="1136" spans="1:8" x14ac:dyDescent="0.3">
      <c r="A1136" s="161"/>
      <c r="B1136" s="107"/>
      <c r="C1136" s="111">
        <f>'04a_Box_Dims'!$N29/2</f>
        <v>7.4999999999999997E-2</v>
      </c>
      <c r="D1136" s="113">
        <f>$A1134*$C1134*$C1135*$C1136</f>
        <v>0.44999999999999996</v>
      </c>
      <c r="E1136" s="63"/>
      <c r="F1136" s="150"/>
      <c r="G1136" s="107"/>
      <c r="H1136" s="95">
        <f>'04a_Box_Dims'!$N29</f>
        <v>0.15</v>
      </c>
    </row>
    <row r="1137" spans="1:8" x14ac:dyDescent="0.3">
      <c r="A1137" s="161">
        <f>2</f>
        <v>2</v>
      </c>
      <c r="B1137" s="107" t="s">
        <v>1628</v>
      </c>
      <c r="C1137" s="111">
        <f>'04a_Box_Dims'!$J29</f>
        <v>3.5</v>
      </c>
      <c r="D1137" s="113"/>
      <c r="E1137" s="63" t="s">
        <v>1680</v>
      </c>
      <c r="F1137" s="150"/>
      <c r="G1137" s="107"/>
      <c r="H1137" s="95"/>
    </row>
    <row r="1138" spans="1:8" x14ac:dyDescent="0.3">
      <c r="A1138" s="161"/>
      <c r="B1138" s="107"/>
      <c r="C1138" s="111">
        <f>'04a_Box_Dims'!$U29</f>
        <v>0.6</v>
      </c>
      <c r="D1138" s="113"/>
      <c r="E1138" s="63"/>
      <c r="F1138" s="150"/>
      <c r="G1138" s="107"/>
      <c r="H1138" s="95"/>
    </row>
    <row r="1139" spans="1:8" x14ac:dyDescent="0.3">
      <c r="A1139" s="161"/>
      <c r="B1139" s="107"/>
      <c r="C1139" s="111">
        <f>'04a_Box_Dims'!$V29</f>
        <v>0.3</v>
      </c>
      <c r="D1139" s="113">
        <f>$A1137*$C1137*$C1138*$C1139</f>
        <v>1.26</v>
      </c>
      <c r="E1139" s="63"/>
      <c r="F1139" s="150"/>
      <c r="G1139" s="107"/>
      <c r="H1139" s="95">
        <f>'04a_Box_Dims'!$V29</f>
        <v>0.3</v>
      </c>
    </row>
    <row r="1140" spans="1:8" x14ac:dyDescent="0.3">
      <c r="A1140" s="161">
        <f>4</f>
        <v>4</v>
      </c>
      <c r="B1140" s="107" t="s">
        <v>1628</v>
      </c>
      <c r="C1140" s="111">
        <f>'04a_Box_Dims'!$Z29</f>
        <v>2.1213203435596424</v>
      </c>
      <c r="D1140" s="113"/>
      <c r="E1140" s="63" t="s">
        <v>1681</v>
      </c>
      <c r="F1140" s="150"/>
      <c r="G1140" s="107"/>
      <c r="H1140" s="95"/>
    </row>
    <row r="1141" spans="1:8" x14ac:dyDescent="0.3">
      <c r="A1141" s="161"/>
      <c r="B1141" s="107"/>
      <c r="C1141" s="111">
        <f>'04a_Box_Dims'!$Y29</f>
        <v>3.9928932188134518</v>
      </c>
      <c r="D1141" s="113"/>
      <c r="E1141" s="63"/>
      <c r="F1141" s="150"/>
      <c r="G1141" s="107"/>
      <c r="H1141" s="95"/>
    </row>
    <row r="1142" spans="1:8" x14ac:dyDescent="0.3">
      <c r="A1142" s="161"/>
      <c r="B1142" s="107"/>
      <c r="C1142" s="111">
        <f>'04a_Box_Dims'!$AB29</f>
        <v>0.39</v>
      </c>
      <c r="D1142" s="113">
        <f>$A1140*$C1140*$C1141*$C1142</f>
        <v>13.213520758979296</v>
      </c>
      <c r="E1142" s="63"/>
      <c r="F1142" s="150"/>
      <c r="G1142" s="107"/>
      <c r="H1142" s="95">
        <f>'04a_Box_Dims'!$AB29</f>
        <v>0.39</v>
      </c>
    </row>
    <row r="1143" spans="1:8" x14ac:dyDescent="0.3">
      <c r="A1143" s="161"/>
      <c r="B1143" s="107"/>
      <c r="C1143" s="111"/>
      <c r="D1143" s="113">
        <f>SUM($D$1128:$D$1142)</f>
        <v>29.923520758979297</v>
      </c>
      <c r="E1143" s="63" t="s">
        <v>1660</v>
      </c>
      <c r="F1143" s="150">
        <f>ROUND($D1143,2)</f>
        <v>29.92</v>
      </c>
      <c r="G1143" s="107" t="s">
        <v>1661</v>
      </c>
      <c r="H1143" s="95"/>
    </row>
    <row r="1144" spans="1:8" x14ac:dyDescent="0.3">
      <c r="A1144" s="161"/>
      <c r="B1144" s="107"/>
      <c r="C1144" s="111"/>
      <c r="D1144" s="113"/>
      <c r="E1144" s="63"/>
      <c r="F1144" s="150"/>
      <c r="G1144" s="107"/>
      <c r="H1144" s="95"/>
    </row>
    <row r="1145" spans="1:8" x14ac:dyDescent="0.3">
      <c r="A1145" s="161"/>
      <c r="B1145" s="107"/>
      <c r="C1145" s="111"/>
      <c r="D1145" s="113"/>
      <c r="E1145" s="149" t="s">
        <v>1682</v>
      </c>
      <c r="F1145" s="150"/>
      <c r="G1145" s="107"/>
      <c r="H1145" s="95"/>
    </row>
    <row r="1146" spans="1:8" x14ac:dyDescent="0.3">
      <c r="A1146" s="161"/>
      <c r="B1146" s="107"/>
      <c r="C1146" s="111"/>
      <c r="D1146" s="113"/>
      <c r="E1146" s="63" t="s">
        <v>1683</v>
      </c>
      <c r="F1146" s="150"/>
      <c r="G1146" s="107"/>
      <c r="H1146" s="95"/>
    </row>
    <row r="1147" spans="1:8" x14ac:dyDescent="0.3">
      <c r="A1147" s="161"/>
      <c r="B1147" s="107"/>
      <c r="C1147" s="111"/>
      <c r="D1147" s="113">
        <f>SUMIF($H$1128:$H$1142,"&lt;=0.3",$D$1128:$D$1142)</f>
        <v>16.71</v>
      </c>
      <c r="E1147" s="63" t="s">
        <v>1670</v>
      </c>
      <c r="F1147" s="150">
        <f>ROUND($D1147,2)</f>
        <v>16.71</v>
      </c>
      <c r="G1147" s="107" t="s">
        <v>1661</v>
      </c>
      <c r="H1147" s="95"/>
    </row>
    <row r="1148" spans="1:8" x14ac:dyDescent="0.3">
      <c r="A1148" s="161"/>
      <c r="B1148" s="107"/>
      <c r="C1148" s="111"/>
      <c r="D1148" s="113">
        <f>SUMIF($H$1128:$H$1142,"&gt;0.3",$D$1128:$D$1142)</f>
        <v>13.213520758979296</v>
      </c>
      <c r="E1148" s="63" t="s">
        <v>1671</v>
      </c>
      <c r="F1148" s="150">
        <f>ROUND($D1148,2)</f>
        <v>13.21</v>
      </c>
      <c r="G1148" s="107" t="s">
        <v>1661</v>
      </c>
      <c r="H1148" s="95"/>
    </row>
    <row r="1149" spans="1:8" x14ac:dyDescent="0.3">
      <c r="A1149" s="161"/>
      <c r="B1149" s="107"/>
      <c r="C1149" s="111"/>
      <c r="D1149" s="113"/>
      <c r="E1149" s="63"/>
      <c r="F1149" s="150"/>
      <c r="G1149" s="107"/>
      <c r="H1149" s="95"/>
    </row>
    <row r="1150" spans="1:8" x14ac:dyDescent="0.3">
      <c r="A1150" s="161"/>
      <c r="B1150" s="107"/>
      <c r="C1150" s="111"/>
      <c r="D1150" s="113"/>
      <c r="E1150" s="149" t="s">
        <v>1445</v>
      </c>
      <c r="F1150" s="150"/>
      <c r="G1150" s="107"/>
      <c r="H1150" s="95"/>
    </row>
    <row r="1151" spans="1:8" x14ac:dyDescent="0.3">
      <c r="A1151" s="161"/>
      <c r="B1151" s="107"/>
      <c r="C1151" s="111"/>
      <c r="D1151" s="113"/>
      <c r="E1151" s="63" t="s">
        <v>1684</v>
      </c>
      <c r="F1151" s="150"/>
      <c r="G1151" s="107"/>
      <c r="H1151" s="95"/>
    </row>
    <row r="1152" spans="1:8" x14ac:dyDescent="0.3">
      <c r="A1152" s="161">
        <f>2</f>
        <v>2</v>
      </c>
      <c r="B1152" s="107" t="s">
        <v>1628</v>
      </c>
      <c r="C1152" s="111">
        <f>'04a_Box_Dims'!$AE29</f>
        <v>10</v>
      </c>
      <c r="D1152" s="113"/>
      <c r="E1152" s="63" t="s">
        <v>1685</v>
      </c>
      <c r="F1152" s="150"/>
      <c r="G1152" s="107"/>
      <c r="H1152" s="95"/>
    </row>
    <row r="1153" spans="1:8" x14ac:dyDescent="0.3">
      <c r="A1153" s="161"/>
      <c r="B1153" s="107"/>
      <c r="C1153" s="111">
        <f>'04a_Box_Dims'!$E29</f>
        <v>3</v>
      </c>
      <c r="D1153" s="113">
        <f>$A1152*$C1152*$C1153</f>
        <v>60</v>
      </c>
      <c r="E1153" s="63"/>
      <c r="F1153" s="150"/>
      <c r="G1153" s="107"/>
      <c r="H1153" s="95"/>
    </row>
    <row r="1154" spans="1:8" x14ac:dyDescent="0.3">
      <c r="A1154" s="161">
        <f>4</f>
        <v>4</v>
      </c>
      <c r="B1154" s="107" t="s">
        <v>1628</v>
      </c>
      <c r="C1154" s="111">
        <f>'04a_Box_Dims'!$Z29</f>
        <v>2.1213203435596424</v>
      </c>
      <c r="D1154" s="113"/>
      <c r="E1154" s="63" t="s">
        <v>1686</v>
      </c>
      <c r="F1154" s="150"/>
      <c r="G1154" s="107"/>
      <c r="H1154" s="95"/>
    </row>
    <row r="1155" spans="1:8" x14ac:dyDescent="0.3">
      <c r="A1155" s="161"/>
      <c r="B1155" s="107"/>
      <c r="C1155" s="111">
        <f>'04a_Box_Dims'!$Y29</f>
        <v>3.9928932188134518</v>
      </c>
      <c r="D1155" s="113">
        <f>$A1154*$C1154*$C1155</f>
        <v>33.880822458921273</v>
      </c>
      <c r="E1155" s="63"/>
      <c r="F1155" s="150"/>
      <c r="G1155" s="107"/>
      <c r="H1155" s="95"/>
    </row>
    <row r="1156" spans="1:8" x14ac:dyDescent="0.3">
      <c r="A1156" s="161">
        <f>2</f>
        <v>2</v>
      </c>
      <c r="B1156" s="107" t="s">
        <v>1628</v>
      </c>
      <c r="C1156" s="111">
        <f>'04a_Box_Dims'!$J29</f>
        <v>3.5</v>
      </c>
      <c r="D1156" s="113"/>
      <c r="E1156" s="63" t="s">
        <v>1687</v>
      </c>
      <c r="F1156" s="150"/>
      <c r="G1156" s="107"/>
      <c r="H1156" s="95"/>
    </row>
    <row r="1157" spans="1:8" x14ac:dyDescent="0.3">
      <c r="A1157" s="161"/>
      <c r="B1157" s="107"/>
      <c r="C1157" s="111">
        <f>'04a_Box_Dims'!$U29</f>
        <v>0.6</v>
      </c>
      <c r="D1157" s="113">
        <f>$A1156*$C1156*$C1157</f>
        <v>4.2</v>
      </c>
      <c r="E1157" s="63"/>
      <c r="F1157" s="150"/>
      <c r="G1157" s="107"/>
      <c r="H1157" s="95"/>
    </row>
    <row r="1158" spans="1:8" x14ac:dyDescent="0.3">
      <c r="A1158" s="161"/>
      <c r="B1158" s="107"/>
      <c r="C1158" s="111"/>
      <c r="D1158" s="113">
        <f>SUM($D$1152:$D$1157)</f>
        <v>98.080822458921276</v>
      </c>
      <c r="E1158" s="63" t="s">
        <v>1660</v>
      </c>
      <c r="F1158" s="150">
        <f>ROUND($D1158,2)</f>
        <v>98.08</v>
      </c>
      <c r="G1158" s="107" t="s">
        <v>1688</v>
      </c>
      <c r="H1158" s="95"/>
    </row>
    <row r="1159" spans="1:8" x14ac:dyDescent="0.3">
      <c r="A1159" s="161"/>
      <c r="B1159" s="107"/>
      <c r="C1159" s="111"/>
      <c r="D1159" s="113"/>
      <c r="E1159" s="63"/>
      <c r="F1159" s="150"/>
      <c r="G1159" s="107"/>
      <c r="H1159" s="95"/>
    </row>
    <row r="1160" spans="1:8" x14ac:dyDescent="0.3">
      <c r="A1160" s="161"/>
      <c r="B1160" s="107"/>
      <c r="C1160" s="111"/>
      <c r="D1160" s="113"/>
      <c r="E1160" s="149" t="s">
        <v>1446</v>
      </c>
      <c r="F1160" s="150"/>
      <c r="G1160" s="107"/>
      <c r="H1160" s="95"/>
    </row>
    <row r="1161" spans="1:8" x14ac:dyDescent="0.3">
      <c r="A1161" s="161"/>
      <c r="B1161" s="107"/>
      <c r="C1161" s="111"/>
      <c r="D1161" s="113"/>
      <c r="E1161" s="63" t="s">
        <v>1689</v>
      </c>
      <c r="F1161" s="150"/>
      <c r="G1161" s="107"/>
      <c r="H1161" s="95"/>
    </row>
    <row r="1162" spans="1:8" x14ac:dyDescent="0.3">
      <c r="A1162" s="161">
        <f>2</f>
        <v>2</v>
      </c>
      <c r="B1162" s="107" t="s">
        <v>1628</v>
      </c>
      <c r="C1162" s="111">
        <f>'04a_Box_Dims'!$O29</f>
        <v>1.5</v>
      </c>
      <c r="D1162" s="113"/>
      <c r="E1162" s="63" t="s">
        <v>1690</v>
      </c>
      <c r="F1162" s="150"/>
      <c r="G1162" s="107"/>
      <c r="H1162" s="95"/>
    </row>
    <row r="1163" spans="1:8" x14ac:dyDescent="0.3">
      <c r="A1163" s="161"/>
      <c r="B1163" s="107"/>
      <c r="C1163" s="111">
        <f>'04a_Box_Dims'!$Q29</f>
        <v>5</v>
      </c>
      <c r="D1163" s="113">
        <f>$A1162*$C1162*$C1163</f>
        <v>15</v>
      </c>
      <c r="E1163" s="63"/>
      <c r="F1163" s="150"/>
      <c r="G1163" s="107"/>
      <c r="H1163" s="95"/>
    </row>
    <row r="1164" spans="1:8" x14ac:dyDescent="0.3">
      <c r="A1164" s="161"/>
      <c r="B1164" s="107"/>
      <c r="C1164" s="111"/>
      <c r="D1164" s="113">
        <f>SUM($D$1162:$D$1163)</f>
        <v>15</v>
      </c>
      <c r="E1164" s="63" t="s">
        <v>1660</v>
      </c>
      <c r="F1164" s="150">
        <f>ROUND($D1164,2)</f>
        <v>15</v>
      </c>
      <c r="G1164" s="107" t="s">
        <v>1688</v>
      </c>
      <c r="H1164" s="95"/>
    </row>
    <row r="1165" spans="1:8" x14ac:dyDescent="0.3">
      <c r="A1165" s="161"/>
      <c r="B1165" s="107"/>
      <c r="C1165" s="111"/>
      <c r="D1165" s="113"/>
      <c r="E1165" s="63"/>
      <c r="F1165" s="150"/>
      <c r="G1165" s="107"/>
      <c r="H1165" s="95"/>
    </row>
    <row r="1166" spans="1:8" x14ac:dyDescent="0.3">
      <c r="A1166" s="161"/>
      <c r="B1166" s="107"/>
      <c r="C1166" s="111"/>
      <c r="D1166" s="113"/>
      <c r="E1166" s="149" t="s">
        <v>1447</v>
      </c>
      <c r="F1166" s="150"/>
      <c r="G1166" s="107"/>
      <c r="H1166" s="95"/>
    </row>
    <row r="1167" spans="1:8" x14ac:dyDescent="0.3">
      <c r="A1167" s="161"/>
      <c r="B1167" s="107"/>
      <c r="C1167" s="111"/>
      <c r="D1167" s="113"/>
      <c r="E1167" s="63" t="s">
        <v>1691</v>
      </c>
      <c r="F1167" s="150"/>
      <c r="G1167" s="107"/>
      <c r="H1167" s="95"/>
    </row>
    <row r="1168" spans="1:8" x14ac:dyDescent="0.3">
      <c r="A1168" s="161">
        <f>4</f>
        <v>4</v>
      </c>
      <c r="B1168" s="107" t="s">
        <v>1628</v>
      </c>
      <c r="C1168" s="111">
        <f>'04a_Box_Dims'!$J29</f>
        <v>3.5</v>
      </c>
      <c r="D1168" s="113"/>
      <c r="E1168" s="63" t="s">
        <v>1692</v>
      </c>
      <c r="F1168" s="150"/>
      <c r="G1168" s="107"/>
      <c r="H1168" s="95"/>
    </row>
    <row r="1169" spans="1:8" x14ac:dyDescent="0.3">
      <c r="A1169" s="161"/>
      <c r="B1169" s="107"/>
      <c r="C1169" s="111">
        <f>'04a_Box_Dims'!$I29</f>
        <v>0.25</v>
      </c>
      <c r="D1169" s="113">
        <f>$A1168*$C1168*$C1169</f>
        <v>3.5</v>
      </c>
      <c r="E1169" s="63"/>
      <c r="F1169" s="150"/>
      <c r="G1169" s="107"/>
      <c r="H1169" s="95"/>
    </row>
    <row r="1170" spans="1:8" x14ac:dyDescent="0.3">
      <c r="A1170" s="161">
        <f>4</f>
        <v>4</v>
      </c>
      <c r="B1170" s="107" t="s">
        <v>1628</v>
      </c>
      <c r="C1170" s="111">
        <f>'04a_Box_Dims'!$O29</f>
        <v>1.5</v>
      </c>
      <c r="D1170" s="113"/>
      <c r="E1170" s="63" t="s">
        <v>1693</v>
      </c>
      <c r="F1170" s="150"/>
      <c r="G1170" s="107"/>
      <c r="H1170" s="95"/>
    </row>
    <row r="1171" spans="1:8" x14ac:dyDescent="0.3">
      <c r="A1171" s="161"/>
      <c r="B1171" s="107"/>
      <c r="C1171" s="111">
        <f>'04a_Box_Dims'!$P29</f>
        <v>0.25</v>
      </c>
      <c r="D1171" s="113">
        <f>$A1170*$C1170*$C1171</f>
        <v>1.5</v>
      </c>
      <c r="E1171" s="63"/>
      <c r="F1171" s="150"/>
      <c r="G1171" s="107"/>
      <c r="H1171" s="95"/>
    </row>
    <row r="1172" spans="1:8" x14ac:dyDescent="0.3">
      <c r="A1172" s="161"/>
      <c r="B1172" s="107"/>
      <c r="C1172" s="111"/>
      <c r="D1172" s="113">
        <f>SUM($D$1168:$D$1171)</f>
        <v>5</v>
      </c>
      <c r="E1172" s="63" t="s">
        <v>1660</v>
      </c>
      <c r="F1172" s="150">
        <f>ROUND($D1172,2)</f>
        <v>5</v>
      </c>
      <c r="G1172" s="107" t="s">
        <v>1688</v>
      </c>
      <c r="H1172" s="95"/>
    </row>
    <row r="1173" spans="1:8" x14ac:dyDescent="0.3">
      <c r="A1173" s="161"/>
      <c r="B1173" s="107"/>
      <c r="C1173" s="111"/>
      <c r="D1173" s="113"/>
      <c r="E1173" s="63"/>
      <c r="F1173" s="150"/>
      <c r="G1173" s="107"/>
      <c r="H1173" s="95"/>
    </row>
    <row r="1174" spans="1:8" x14ac:dyDescent="0.3">
      <c r="A1174" s="161"/>
      <c r="B1174" s="107"/>
      <c r="C1174" s="111"/>
      <c r="D1174" s="113"/>
      <c r="E1174" s="149" t="s">
        <v>1448</v>
      </c>
      <c r="F1174" s="150"/>
      <c r="G1174" s="107"/>
      <c r="H1174" s="95"/>
    </row>
    <row r="1175" spans="1:8" x14ac:dyDescent="0.3">
      <c r="A1175" s="161"/>
      <c r="B1175" s="107"/>
      <c r="C1175" s="111"/>
      <c r="D1175" s="113"/>
      <c r="E1175" s="63" t="s">
        <v>1694</v>
      </c>
      <c r="F1175" s="150"/>
      <c r="G1175" s="107"/>
      <c r="H1175" s="95"/>
    </row>
    <row r="1176" spans="1:8" x14ac:dyDescent="0.3">
      <c r="A1176" s="161">
        <f>1</f>
        <v>1</v>
      </c>
      <c r="B1176" s="107" t="s">
        <v>1628</v>
      </c>
      <c r="C1176" s="111">
        <f>'04a_Box_Dims'!$AE29</f>
        <v>10</v>
      </c>
      <c r="D1176" s="113"/>
      <c r="E1176" s="63" t="s">
        <v>1695</v>
      </c>
      <c r="F1176" s="150"/>
      <c r="G1176" s="107"/>
      <c r="H1176" s="95"/>
    </row>
    <row r="1177" spans="1:8" x14ac:dyDescent="0.3">
      <c r="A1177" s="161"/>
      <c r="B1177" s="107"/>
      <c r="C1177" s="111">
        <f>'04a_Box_Dims'!$K29</f>
        <v>3</v>
      </c>
      <c r="D1177" s="113">
        <f>$A1176*$C1176*$C1177</f>
        <v>30</v>
      </c>
      <c r="E1177" s="63"/>
      <c r="F1177" s="150"/>
      <c r="G1177" s="107"/>
      <c r="H1177" s="95"/>
    </row>
    <row r="1178" spans="1:8" x14ac:dyDescent="0.3">
      <c r="A1178" s="161"/>
      <c r="B1178" s="107"/>
      <c r="C1178" s="111"/>
      <c r="D1178" s="113">
        <f>SUM($D$1176:$D$1177)</f>
        <v>30</v>
      </c>
      <c r="E1178" s="63" t="s">
        <v>1660</v>
      </c>
      <c r="F1178" s="150">
        <f>ROUND($D1178,2)</f>
        <v>30</v>
      </c>
      <c r="G1178" s="107" t="s">
        <v>1688</v>
      </c>
      <c r="H1178" s="95"/>
    </row>
    <row r="1179" spans="1:8" x14ac:dyDescent="0.3">
      <c r="A1179" s="161"/>
      <c r="B1179" s="107"/>
      <c r="C1179" s="111"/>
      <c r="D1179" s="113"/>
      <c r="E1179" s="63"/>
      <c r="F1179" s="150"/>
      <c r="G1179" s="107"/>
      <c r="H1179" s="95"/>
    </row>
    <row r="1180" spans="1:8" x14ac:dyDescent="0.3">
      <c r="A1180" s="161"/>
      <c r="B1180" s="107"/>
      <c r="C1180" s="111"/>
      <c r="D1180" s="113"/>
      <c r="E1180" s="149" t="s">
        <v>1449</v>
      </c>
      <c r="F1180" s="150"/>
      <c r="G1180" s="107"/>
      <c r="H1180" s="95"/>
    </row>
    <row r="1181" spans="1:8" x14ac:dyDescent="0.3">
      <c r="A1181" s="161"/>
      <c r="B1181" s="107"/>
      <c r="C1181" s="111"/>
      <c r="D1181" s="113"/>
      <c r="E1181" s="63" t="s">
        <v>1696</v>
      </c>
      <c r="F1181" s="150"/>
      <c r="G1181" s="107"/>
      <c r="H1181" s="95"/>
    </row>
    <row r="1182" spans="1:8" x14ac:dyDescent="0.3">
      <c r="A1182" s="161">
        <f>2</f>
        <v>2</v>
      </c>
      <c r="B1182" s="107" t="s">
        <v>1628</v>
      </c>
      <c r="C1182" s="111">
        <f>'04a_Box_Dims'!$J29</f>
        <v>3.5</v>
      </c>
      <c r="D1182" s="113"/>
      <c r="E1182" s="63" t="s">
        <v>1697</v>
      </c>
      <c r="F1182" s="150"/>
      <c r="G1182" s="107"/>
      <c r="H1182" s="95"/>
    </row>
    <row r="1183" spans="1:8" x14ac:dyDescent="0.3">
      <c r="A1183" s="161"/>
      <c r="B1183" s="107"/>
      <c r="C1183" s="111">
        <f>'04a_Box_Dims'!$U29</f>
        <v>0.6</v>
      </c>
      <c r="D1183" s="113">
        <f>$A1182*$C1182*$C1183</f>
        <v>4.2</v>
      </c>
      <c r="E1183" s="63"/>
      <c r="F1183" s="150"/>
      <c r="G1183" s="107"/>
      <c r="H1183" s="95"/>
    </row>
    <row r="1184" spans="1:8" x14ac:dyDescent="0.3">
      <c r="A1184" s="161"/>
      <c r="B1184" s="107"/>
      <c r="C1184" s="111"/>
      <c r="D1184" s="113">
        <f>SUM($D$1182:$D$1183)</f>
        <v>4.2</v>
      </c>
      <c r="E1184" s="63" t="s">
        <v>1660</v>
      </c>
      <c r="F1184" s="150">
        <f>ROUND($D1184,2)</f>
        <v>4.2</v>
      </c>
      <c r="G1184" s="107" t="s">
        <v>1688</v>
      </c>
      <c r="H1184" s="95"/>
    </row>
    <row r="1185" spans="1:8" x14ac:dyDescent="0.3">
      <c r="A1185" s="161"/>
      <c r="B1185" s="107"/>
      <c r="C1185" s="111"/>
      <c r="D1185" s="113"/>
      <c r="E1185" s="63"/>
      <c r="F1185" s="150"/>
      <c r="G1185" s="107"/>
      <c r="H1185" s="95"/>
    </row>
    <row r="1186" spans="1:8" x14ac:dyDescent="0.3">
      <c r="A1186" s="161"/>
      <c r="B1186" s="107"/>
      <c r="C1186" s="111"/>
      <c r="D1186" s="113"/>
      <c r="E1186" s="149" t="s">
        <v>1329</v>
      </c>
      <c r="F1186" s="150"/>
      <c r="G1186" s="107"/>
      <c r="H1186" s="95"/>
    </row>
    <row r="1187" spans="1:8" x14ac:dyDescent="0.3">
      <c r="A1187" s="161"/>
      <c r="B1187" s="107"/>
      <c r="C1187" s="111"/>
      <c r="D1187" s="113"/>
      <c r="E1187" s="63" t="s">
        <v>1698</v>
      </c>
      <c r="F1187" s="150"/>
      <c r="G1187" s="107"/>
      <c r="H1187" s="95"/>
    </row>
    <row r="1188" spans="1:8" x14ac:dyDescent="0.3">
      <c r="A1188" s="161">
        <f>2</f>
        <v>2</v>
      </c>
      <c r="B1188" s="107" t="s">
        <v>1628</v>
      </c>
      <c r="C1188" s="111">
        <f>'04a_Box_Dims'!$AE29</f>
        <v>10</v>
      </c>
      <c r="D1188" s="113"/>
      <c r="E1188" s="63" t="s">
        <v>1699</v>
      </c>
      <c r="F1188" s="150"/>
      <c r="G1188" s="107"/>
      <c r="H1188" s="95"/>
    </row>
    <row r="1189" spans="1:8" x14ac:dyDescent="0.3">
      <c r="A1189" s="161"/>
      <c r="B1189" s="107"/>
      <c r="C1189" s="111">
        <f>'04a_Box_Dims'!$E29</f>
        <v>3</v>
      </c>
      <c r="D1189" s="113">
        <f>$A1188*$C1188*$C1189</f>
        <v>60</v>
      </c>
      <c r="E1189" s="63"/>
      <c r="F1189" s="150"/>
      <c r="G1189" s="107"/>
      <c r="H1189" s="95"/>
    </row>
    <row r="1190" spans="1:8" x14ac:dyDescent="0.3">
      <c r="A1190" s="161">
        <f>('04a_Box_Dims'!$C29-1)*2</f>
        <v>0</v>
      </c>
      <c r="B1190" s="107" t="s">
        <v>1628</v>
      </c>
      <c r="C1190" s="111">
        <f>'04a_Box_Dims'!$AE29</f>
        <v>10</v>
      </c>
      <c r="D1190" s="113"/>
      <c r="E1190" s="63" t="s">
        <v>1700</v>
      </c>
      <c r="F1190" s="150"/>
      <c r="G1190" s="107"/>
      <c r="H1190" s="95"/>
    </row>
    <row r="1191" spans="1:8" x14ac:dyDescent="0.3">
      <c r="A1191" s="161"/>
      <c r="B1191" s="107"/>
      <c r="C1191" s="111">
        <f>'04a_Box_Dims'!$E29</f>
        <v>3</v>
      </c>
      <c r="D1191" s="113">
        <f>$A1190*$C1190*$C1191</f>
        <v>0</v>
      </c>
      <c r="E1191" s="63"/>
      <c r="F1191" s="150"/>
      <c r="G1191" s="107"/>
      <c r="H1191" s="95"/>
    </row>
    <row r="1192" spans="1:8" x14ac:dyDescent="0.3">
      <c r="A1192" s="161">
        <f>4</f>
        <v>4</v>
      </c>
      <c r="B1192" s="107" t="s">
        <v>1628</v>
      </c>
      <c r="C1192" s="111">
        <f>'04a_Box_Dims'!$Z29</f>
        <v>2.1213203435596424</v>
      </c>
      <c r="D1192" s="113"/>
      <c r="E1192" s="63" t="s">
        <v>1701</v>
      </c>
      <c r="F1192" s="150"/>
      <c r="G1192" s="107"/>
      <c r="H1192" s="95"/>
    </row>
    <row r="1193" spans="1:8" x14ac:dyDescent="0.3">
      <c r="A1193" s="161"/>
      <c r="B1193" s="107"/>
      <c r="C1193" s="111">
        <f>'04a_Box_Dims'!$Y29</f>
        <v>3.9928932188134518</v>
      </c>
      <c r="D1193" s="113">
        <f>$A1192*$C1192*$C1193</f>
        <v>33.880822458921273</v>
      </c>
      <c r="E1193" s="63"/>
      <c r="F1193" s="150"/>
      <c r="G1193" s="107"/>
      <c r="H1193" s="95"/>
    </row>
    <row r="1194" spans="1:8" x14ac:dyDescent="0.3">
      <c r="A1194" s="161"/>
      <c r="B1194" s="107"/>
      <c r="C1194" s="111"/>
      <c r="D1194" s="113">
        <f>SUM($D$1188:$D$1193)</f>
        <v>93.880822458921273</v>
      </c>
      <c r="E1194" s="63" t="s">
        <v>1660</v>
      </c>
      <c r="F1194" s="150">
        <f>ROUND($D1194,2)</f>
        <v>93.88</v>
      </c>
      <c r="G1194" s="107" t="s">
        <v>1688</v>
      </c>
      <c r="H1194" s="95"/>
    </row>
    <row r="1195" spans="1:8" x14ac:dyDescent="0.3">
      <c r="A1195" s="161"/>
      <c r="B1195" s="107"/>
      <c r="C1195" s="111"/>
      <c r="D1195" s="113"/>
      <c r="E1195" s="63"/>
      <c r="F1195" s="150"/>
      <c r="G1195" s="107"/>
      <c r="H1195" s="95"/>
    </row>
    <row r="1196" spans="1:8" x14ac:dyDescent="0.3">
      <c r="A1196" s="161"/>
      <c r="B1196" s="107"/>
      <c r="C1196" s="111"/>
      <c r="D1196" s="113"/>
      <c r="E1196" s="149" t="s">
        <v>1702</v>
      </c>
      <c r="F1196" s="150"/>
      <c r="G1196" s="107"/>
      <c r="H1196" s="95"/>
    </row>
    <row r="1197" spans="1:8" x14ac:dyDescent="0.3">
      <c r="A1197" s="161"/>
      <c r="B1197" s="107"/>
      <c r="C1197" s="111"/>
      <c r="D1197" s="113"/>
      <c r="E1197" s="63" t="s">
        <v>1703</v>
      </c>
      <c r="F1197" s="150"/>
      <c r="G1197" s="107"/>
      <c r="H1197" s="95"/>
    </row>
    <row r="1198" spans="1:8" x14ac:dyDescent="0.3">
      <c r="A1198" s="161"/>
      <c r="B1198" s="107"/>
      <c r="C1198" s="111"/>
      <c r="D1198" s="113">
        <v>0</v>
      </c>
      <c r="E1198" s="63" t="s">
        <v>1704</v>
      </c>
      <c r="F1198" s="150">
        <f t="shared" ref="F1198:F1203" si="7">ROUND($D1198,3)</f>
        <v>0</v>
      </c>
      <c r="G1198" s="107" t="s">
        <v>1474</v>
      </c>
      <c r="H1198" s="95"/>
    </row>
    <row r="1199" spans="1:8" x14ac:dyDescent="0.3">
      <c r="A1199" s="161"/>
      <c r="B1199" s="107"/>
      <c r="C1199" s="111"/>
      <c r="D1199" s="113">
        <f>'04b_Box_Bars'!$S16/1000</f>
        <v>0.7645065722510761</v>
      </c>
      <c r="E1199" s="63" t="s">
        <v>1705</v>
      </c>
      <c r="F1199" s="150">
        <f t="shared" si="7"/>
        <v>0.76500000000000001</v>
      </c>
      <c r="G1199" s="107" t="s">
        <v>1474</v>
      </c>
      <c r="H1199" s="95"/>
    </row>
    <row r="1200" spans="1:8" x14ac:dyDescent="0.3">
      <c r="A1200" s="161"/>
      <c r="B1200" s="107"/>
      <c r="C1200" s="111"/>
      <c r="D1200" s="113">
        <f>'04b_Box_Bars'!$T16/1000</f>
        <v>2.8732717835597459</v>
      </c>
      <c r="E1200" s="63" t="s">
        <v>1706</v>
      </c>
      <c r="F1200" s="150">
        <f t="shared" si="7"/>
        <v>2.8730000000000002</v>
      </c>
      <c r="G1200" s="107" t="s">
        <v>1474</v>
      </c>
      <c r="H1200" s="95"/>
    </row>
    <row r="1201" spans="1:8" x14ac:dyDescent="0.3">
      <c r="A1201" s="161"/>
      <c r="B1201" s="107"/>
      <c r="C1201" s="111"/>
      <c r="D1201" s="113">
        <f>'04b_Box_Bars'!$U16/1000</f>
        <v>0</v>
      </c>
      <c r="E1201" s="63" t="s">
        <v>1707</v>
      </c>
      <c r="F1201" s="150">
        <f t="shared" si="7"/>
        <v>0</v>
      </c>
      <c r="G1201" s="107" t="s">
        <v>1474</v>
      </c>
      <c r="H1201" s="95"/>
    </row>
    <row r="1202" spans="1:8" x14ac:dyDescent="0.3">
      <c r="A1202" s="161"/>
      <c r="B1202" s="107"/>
      <c r="C1202" s="111"/>
      <c r="D1202" s="113">
        <f>'04b_Box_Bars'!$V16/1000</f>
        <v>0.93911000875228967</v>
      </c>
      <c r="E1202" s="63" t="s">
        <v>1708</v>
      </c>
      <c r="F1202" s="150">
        <f t="shared" si="7"/>
        <v>0.93899999999999995</v>
      </c>
      <c r="G1202" s="107" t="s">
        <v>1474</v>
      </c>
      <c r="H1202" s="95"/>
    </row>
    <row r="1203" spans="1:8" x14ac:dyDescent="0.3">
      <c r="A1203" s="161"/>
      <c r="B1203" s="107"/>
      <c r="C1203" s="111"/>
      <c r="D1203" s="113">
        <f>'04b_Box_Bars'!$W16/1000</f>
        <v>0</v>
      </c>
      <c r="E1203" s="63" t="s">
        <v>1709</v>
      </c>
      <c r="F1203" s="150">
        <f t="shared" si="7"/>
        <v>0</v>
      </c>
      <c r="G1203" s="107" t="s">
        <v>1474</v>
      </c>
      <c r="H1203" s="95"/>
    </row>
    <row r="1204" spans="1:8" x14ac:dyDescent="0.3">
      <c r="A1204" s="161"/>
      <c r="B1204" s="107"/>
      <c r="C1204" s="111"/>
      <c r="D1204" s="113"/>
      <c r="E1204" s="63"/>
      <c r="F1204" s="150"/>
      <c r="G1204" s="107"/>
      <c r="H1204" s="95"/>
    </row>
    <row r="1205" spans="1:8" x14ac:dyDescent="0.3">
      <c r="A1205" s="161"/>
      <c r="B1205" s="107"/>
      <c r="C1205" s="111"/>
      <c r="D1205" s="113"/>
      <c r="E1205" s="63"/>
      <c r="F1205" s="150"/>
      <c r="G1205" s="107"/>
      <c r="H1205" s="95"/>
    </row>
    <row r="1206" spans="1:8" x14ac:dyDescent="0.3">
      <c r="A1206" s="160" t="str">
        <f>'04a_Box_Dims'!$F30&amp;"  No.  "&amp;'04a_Box_Dims'!$A30&amp;"   (L = "&amp;TEXT('04a_Box_Dims'!$AE30,"0.00")&amp;" m)"</f>
        <v>0  No.  2/3x3 box culvert   (L = 10.00 m)</v>
      </c>
      <c r="B1206" s="146"/>
      <c r="C1206" s="162"/>
      <c r="D1206" s="163"/>
      <c r="E1206" s="147"/>
      <c r="F1206" s="148"/>
      <c r="G1206" s="146"/>
      <c r="H1206" s="151"/>
    </row>
    <row r="1207" spans="1:8" x14ac:dyDescent="0.3">
      <c r="A1207" s="161"/>
      <c r="B1207" s="107"/>
      <c r="C1207" s="111"/>
      <c r="D1207" s="113"/>
      <c r="E1207" s="149" t="s">
        <v>1438</v>
      </c>
      <c r="F1207" s="150"/>
      <c r="G1207" s="107"/>
      <c r="H1207" s="95"/>
    </row>
    <row r="1208" spans="1:8" x14ac:dyDescent="0.3">
      <c r="A1208" s="161"/>
      <c r="B1208" s="107"/>
      <c r="C1208" s="111"/>
      <c r="D1208" s="113"/>
      <c r="E1208" s="63" t="s">
        <v>1655</v>
      </c>
      <c r="F1208" s="150"/>
      <c r="G1208" s="107"/>
      <c r="H1208" s="95"/>
    </row>
    <row r="1209" spans="1:8" x14ac:dyDescent="0.3">
      <c r="A1209" s="161">
        <f>1</f>
        <v>1</v>
      </c>
      <c r="B1209" s="107" t="s">
        <v>1628</v>
      </c>
      <c r="C1209" s="111">
        <f>'04a_Box_Dims'!$AE30</f>
        <v>10</v>
      </c>
      <c r="D1209" s="113"/>
      <c r="E1209" s="63" t="s">
        <v>1656</v>
      </c>
      <c r="F1209" s="150"/>
      <c r="G1209" s="107"/>
      <c r="H1209" s="95"/>
    </row>
    <row r="1210" spans="1:8" x14ac:dyDescent="0.3">
      <c r="A1210" s="161"/>
      <c r="B1210" s="107"/>
      <c r="C1210" s="111">
        <f>'04a_Box_Dims'!$J30+2*BX_work</f>
        <v>7.35</v>
      </c>
      <c r="D1210" s="113"/>
      <c r="E1210" s="63"/>
      <c r="F1210" s="150"/>
      <c r="G1210" s="107"/>
      <c r="H1210" s="95"/>
    </row>
    <row r="1211" spans="1:8" x14ac:dyDescent="0.3">
      <c r="A1211" s="161"/>
      <c r="B1211" s="107"/>
      <c r="C1211" s="111">
        <f>'04a_Box_Dims'!$L30+BX_blind+BX_exX</f>
        <v>3.6999999999999997</v>
      </c>
      <c r="D1211" s="113">
        <f>$A1209*$C1209*$C1210*$C1211</f>
        <v>271.95</v>
      </c>
      <c r="E1211" s="63"/>
      <c r="F1211" s="150"/>
      <c r="G1211" s="107"/>
      <c r="H1211" s="95"/>
    </row>
    <row r="1212" spans="1:8" x14ac:dyDescent="0.3">
      <c r="A1212" s="161">
        <f>2</f>
        <v>2</v>
      </c>
      <c r="B1212" s="107" t="s">
        <v>1628</v>
      </c>
      <c r="C1212" s="111">
        <f>'04a_Box_Dims'!$O30</f>
        <v>1.5</v>
      </c>
      <c r="D1212" s="113"/>
      <c r="E1212" s="63" t="s">
        <v>1657</v>
      </c>
      <c r="F1212" s="150"/>
      <c r="G1212" s="107"/>
      <c r="H1212" s="95"/>
    </row>
    <row r="1213" spans="1:8" x14ac:dyDescent="0.3">
      <c r="A1213" s="161"/>
      <c r="B1213" s="107"/>
      <c r="C1213" s="111">
        <f>'04a_Box_Dims'!$Q30</f>
        <v>8.25</v>
      </c>
      <c r="D1213" s="113"/>
      <c r="E1213" s="63"/>
      <c r="F1213" s="150"/>
      <c r="G1213" s="107"/>
      <c r="H1213" s="95"/>
    </row>
    <row r="1214" spans="1:8" x14ac:dyDescent="0.3">
      <c r="A1214" s="161"/>
      <c r="B1214" s="107"/>
      <c r="C1214" s="111">
        <f>'04a_Box_Dims'!$P30+BX_blind+BX_exX</f>
        <v>0.44999999999999996</v>
      </c>
      <c r="D1214" s="113">
        <f>$A1212*$C1212*$C1213*$C1214</f>
        <v>11.137499999999999</v>
      </c>
      <c r="E1214" s="63"/>
      <c r="F1214" s="150"/>
      <c r="G1214" s="107"/>
      <c r="H1214" s="95"/>
    </row>
    <row r="1215" spans="1:8" x14ac:dyDescent="0.3">
      <c r="A1215" s="161">
        <f>2</f>
        <v>2</v>
      </c>
      <c r="B1215" s="107" t="s">
        <v>1628</v>
      </c>
      <c r="C1215" s="111">
        <f>'04a_Box_Dims'!$R30</f>
        <v>6.75</v>
      </c>
      <c r="D1215" s="113"/>
      <c r="E1215" s="63" t="s">
        <v>1658</v>
      </c>
      <c r="F1215" s="150"/>
      <c r="G1215" s="107"/>
      <c r="H1215" s="95"/>
    </row>
    <row r="1216" spans="1:8" x14ac:dyDescent="0.3">
      <c r="A1216" s="161"/>
      <c r="B1216" s="107"/>
      <c r="C1216" s="111">
        <f>'04a_Box_Dims'!$S30</f>
        <v>0.2</v>
      </c>
      <c r="D1216" s="113"/>
      <c r="E1216" s="63"/>
      <c r="F1216" s="150"/>
      <c r="G1216" s="107"/>
      <c r="H1216" s="95"/>
    </row>
    <row r="1217" spans="1:8" x14ac:dyDescent="0.3">
      <c r="A1217" s="161"/>
      <c r="B1217" s="107"/>
      <c r="C1217" s="111">
        <f>'04a_Box_Dims'!$T30+BX_blind</f>
        <v>0.5</v>
      </c>
      <c r="D1217" s="113">
        <f>$A1215*$C1215*$C1216*$C1217</f>
        <v>1.35</v>
      </c>
      <c r="E1217" s="63"/>
      <c r="F1217" s="150"/>
      <c r="G1217" s="107"/>
      <c r="H1217" s="95"/>
    </row>
    <row r="1218" spans="1:8" x14ac:dyDescent="0.3">
      <c r="A1218" s="161">
        <f>4</f>
        <v>4</v>
      </c>
      <c r="B1218" s="107" t="s">
        <v>1628</v>
      </c>
      <c r="C1218" s="111">
        <f>'04a_Box_Dims'!$Z30</f>
        <v>2.1213203435596424</v>
      </c>
      <c r="D1218" s="113"/>
      <c r="E1218" s="63" t="s">
        <v>1659</v>
      </c>
      <c r="F1218" s="150"/>
      <c r="G1218" s="107"/>
      <c r="H1218" s="95"/>
    </row>
    <row r="1219" spans="1:8" x14ac:dyDescent="0.3">
      <c r="A1219" s="161"/>
      <c r="B1219" s="107"/>
      <c r="C1219" s="111">
        <f>'04a_Box_Dims'!$AC30</f>
        <v>0.9</v>
      </c>
      <c r="D1219" s="113"/>
      <c r="E1219" s="63"/>
      <c r="F1219" s="150"/>
      <c r="G1219" s="107"/>
      <c r="H1219" s="95"/>
    </row>
    <row r="1220" spans="1:8" x14ac:dyDescent="0.3">
      <c r="A1220" s="161"/>
      <c r="B1220" s="107"/>
      <c r="C1220" s="111">
        <f>'04a_Box_Dims'!$AD30+BX_blind</f>
        <v>0.35</v>
      </c>
      <c r="D1220" s="113">
        <f>$A1218*$C1218*$C1219*$C1220</f>
        <v>2.6728636328851492</v>
      </c>
      <c r="E1220" s="63"/>
      <c r="F1220" s="150"/>
      <c r="G1220" s="107"/>
      <c r="H1220" s="95"/>
    </row>
    <row r="1221" spans="1:8" x14ac:dyDescent="0.3">
      <c r="A1221" s="161"/>
      <c r="B1221" s="107"/>
      <c r="C1221" s="111"/>
      <c r="D1221" s="113">
        <f>SUM($D$1209:$D$1220)</f>
        <v>287.11036363288514</v>
      </c>
      <c r="E1221" s="63" t="s">
        <v>1660</v>
      </c>
      <c r="F1221" s="150">
        <f>ROUND($D1221,0)</f>
        <v>287</v>
      </c>
      <c r="G1221" s="107" t="s">
        <v>1661</v>
      </c>
      <c r="H1221" s="95"/>
    </row>
    <row r="1222" spans="1:8" x14ac:dyDescent="0.3">
      <c r="A1222" s="161"/>
      <c r="B1222" s="107"/>
      <c r="C1222" s="111"/>
      <c r="D1222" s="113"/>
      <c r="E1222" s="63"/>
      <c r="F1222" s="150"/>
      <c r="G1222" s="107"/>
      <c r="H1222" s="95"/>
    </row>
    <row r="1223" spans="1:8" x14ac:dyDescent="0.3">
      <c r="A1223" s="161"/>
      <c r="B1223" s="107"/>
      <c r="C1223" s="111"/>
      <c r="D1223" s="113"/>
      <c r="E1223" s="149" t="s">
        <v>1323</v>
      </c>
      <c r="F1223" s="150"/>
      <c r="G1223" s="107"/>
      <c r="H1223" s="95"/>
    </row>
    <row r="1224" spans="1:8" x14ac:dyDescent="0.3">
      <c r="A1224" s="161"/>
      <c r="B1224" s="107"/>
      <c r="C1224" s="111"/>
      <c r="D1224" s="113"/>
      <c r="E1224" s="63" t="s">
        <v>1662</v>
      </c>
      <c r="F1224" s="150"/>
      <c r="G1224" s="107"/>
      <c r="H1224" s="95"/>
    </row>
    <row r="1225" spans="1:8" x14ac:dyDescent="0.3">
      <c r="A1225" s="161">
        <f>1</f>
        <v>1</v>
      </c>
      <c r="B1225" s="107" t="s">
        <v>1628</v>
      </c>
      <c r="C1225" s="111">
        <f>'04a_Box_Dims'!$AE30</f>
        <v>10</v>
      </c>
      <c r="D1225" s="113"/>
      <c r="E1225" s="63" t="s">
        <v>1663</v>
      </c>
      <c r="F1225" s="150"/>
      <c r="G1225" s="107"/>
      <c r="H1225" s="95"/>
    </row>
    <row r="1226" spans="1:8" x14ac:dyDescent="0.3">
      <c r="A1226" s="161"/>
      <c r="B1226" s="107"/>
      <c r="C1226" s="111">
        <f>'04a_Box_Dims'!$J30</f>
        <v>6.75</v>
      </c>
      <c r="D1226" s="113"/>
      <c r="E1226" s="63"/>
      <c r="F1226" s="150"/>
      <c r="G1226" s="107"/>
      <c r="H1226" s="95"/>
    </row>
    <row r="1227" spans="1:8" x14ac:dyDescent="0.3">
      <c r="A1227" s="161"/>
      <c r="B1227" s="107"/>
      <c r="C1227" s="111">
        <f>BX_blind</f>
        <v>0.05</v>
      </c>
      <c r="D1227" s="113">
        <f>$A1225*$C1225*$C1226*$C1227</f>
        <v>3.375</v>
      </c>
      <c r="E1227" s="63"/>
      <c r="F1227" s="150"/>
      <c r="G1227" s="107"/>
      <c r="H1227" s="95"/>
    </row>
    <row r="1228" spans="1:8" x14ac:dyDescent="0.3">
      <c r="A1228" s="161">
        <f>2</f>
        <v>2</v>
      </c>
      <c r="B1228" s="107" t="s">
        <v>1628</v>
      </c>
      <c r="C1228" s="111">
        <f>'04a_Box_Dims'!$O30</f>
        <v>1.5</v>
      </c>
      <c r="D1228" s="113"/>
      <c r="E1228" s="63" t="s">
        <v>1657</v>
      </c>
      <c r="F1228" s="150"/>
      <c r="G1228" s="107"/>
      <c r="H1228" s="95"/>
    </row>
    <row r="1229" spans="1:8" x14ac:dyDescent="0.3">
      <c r="A1229" s="161"/>
      <c r="B1229" s="107"/>
      <c r="C1229" s="111">
        <f>'04a_Box_Dims'!$Q30</f>
        <v>8.25</v>
      </c>
      <c r="D1229" s="113"/>
      <c r="E1229" s="63"/>
      <c r="F1229" s="150"/>
      <c r="G1229" s="107"/>
      <c r="H1229" s="95"/>
    </row>
    <row r="1230" spans="1:8" x14ac:dyDescent="0.3">
      <c r="A1230" s="161"/>
      <c r="B1230" s="107"/>
      <c r="C1230" s="111">
        <f>BX_blind</f>
        <v>0.05</v>
      </c>
      <c r="D1230" s="113">
        <f>$A1228*$C1228*$C1229*$C1230</f>
        <v>1.2375</v>
      </c>
      <c r="E1230" s="63"/>
      <c r="F1230" s="150"/>
      <c r="G1230" s="107"/>
      <c r="H1230" s="95"/>
    </row>
    <row r="1231" spans="1:8" x14ac:dyDescent="0.3">
      <c r="A1231" s="161">
        <f>2</f>
        <v>2</v>
      </c>
      <c r="B1231" s="107" t="s">
        <v>1628</v>
      </c>
      <c r="C1231" s="111">
        <f>'04a_Box_Dims'!$R30</f>
        <v>6.75</v>
      </c>
      <c r="D1231" s="113"/>
      <c r="E1231" s="63" t="s">
        <v>1658</v>
      </c>
      <c r="F1231" s="150"/>
      <c r="G1231" s="107"/>
      <c r="H1231" s="95"/>
    </row>
    <row r="1232" spans="1:8" x14ac:dyDescent="0.3">
      <c r="A1232" s="161"/>
      <c r="B1232" s="107"/>
      <c r="C1232" s="111">
        <f>'04a_Box_Dims'!$S30</f>
        <v>0.2</v>
      </c>
      <c r="D1232" s="113"/>
      <c r="E1232" s="63"/>
      <c r="F1232" s="150"/>
      <c r="G1232" s="107"/>
      <c r="H1232" s="95"/>
    </row>
    <row r="1233" spans="1:8" x14ac:dyDescent="0.3">
      <c r="A1233" s="161"/>
      <c r="B1233" s="107"/>
      <c r="C1233" s="111">
        <f>BX_blind</f>
        <v>0.05</v>
      </c>
      <c r="D1233" s="113">
        <f>$A1231*$C1231*$C1232*$C1233</f>
        <v>0.13500000000000001</v>
      </c>
      <c r="E1233" s="63"/>
      <c r="F1233" s="150"/>
      <c r="G1233" s="107"/>
      <c r="H1233" s="95"/>
    </row>
    <row r="1234" spans="1:8" x14ac:dyDescent="0.3">
      <c r="A1234" s="161">
        <f>4</f>
        <v>4</v>
      </c>
      <c r="B1234" s="107" t="s">
        <v>1628</v>
      </c>
      <c r="C1234" s="111">
        <f>'04a_Box_Dims'!$Z30</f>
        <v>2.1213203435596424</v>
      </c>
      <c r="D1234" s="113"/>
      <c r="E1234" s="63" t="s">
        <v>1659</v>
      </c>
      <c r="F1234" s="150"/>
      <c r="G1234" s="107"/>
      <c r="H1234" s="95"/>
    </row>
    <row r="1235" spans="1:8" x14ac:dyDescent="0.3">
      <c r="A1235" s="161"/>
      <c r="B1235" s="107"/>
      <c r="C1235" s="111">
        <f>'04a_Box_Dims'!$AC30</f>
        <v>0.9</v>
      </c>
      <c r="D1235" s="113"/>
      <c r="E1235" s="63"/>
      <c r="F1235" s="150"/>
      <c r="G1235" s="107"/>
      <c r="H1235" s="95"/>
    </row>
    <row r="1236" spans="1:8" x14ac:dyDescent="0.3">
      <c r="A1236" s="161"/>
      <c r="B1236" s="107"/>
      <c r="C1236" s="111">
        <f>BX_blind</f>
        <v>0.05</v>
      </c>
      <c r="D1236" s="113">
        <f>$A1234*$C1234*$C1235*$C1236</f>
        <v>0.38183766184073564</v>
      </c>
      <c r="E1236" s="63"/>
      <c r="F1236" s="150"/>
      <c r="G1236" s="107"/>
      <c r="H1236" s="95"/>
    </row>
    <row r="1237" spans="1:8" x14ac:dyDescent="0.3">
      <c r="A1237" s="161"/>
      <c r="B1237" s="107"/>
      <c r="C1237" s="111"/>
      <c r="D1237" s="113">
        <f>SUM($D$1225:$D$1236)</f>
        <v>5.1293376618407356</v>
      </c>
      <c r="E1237" s="63" t="s">
        <v>1660</v>
      </c>
      <c r="F1237" s="150">
        <f>ROUND($D1237,2)</f>
        <v>5.13</v>
      </c>
      <c r="G1237" s="107" t="s">
        <v>1661</v>
      </c>
      <c r="H1237" s="95"/>
    </row>
    <row r="1238" spans="1:8" x14ac:dyDescent="0.3">
      <c r="A1238" s="161"/>
      <c r="B1238" s="107"/>
      <c r="C1238" s="111"/>
      <c r="D1238" s="113"/>
      <c r="E1238" s="63"/>
      <c r="F1238" s="150"/>
      <c r="G1238" s="107"/>
      <c r="H1238" s="95"/>
    </row>
    <row r="1239" spans="1:8" x14ac:dyDescent="0.3">
      <c r="A1239" s="161"/>
      <c r="B1239" s="107"/>
      <c r="C1239" s="111"/>
      <c r="D1239" s="113"/>
      <c r="E1239" s="149" t="s">
        <v>1324</v>
      </c>
      <c r="F1239" s="150"/>
      <c r="G1239" s="107"/>
      <c r="H1239" s="95"/>
    </row>
    <row r="1240" spans="1:8" x14ac:dyDescent="0.3">
      <c r="A1240" s="161"/>
      <c r="B1240" s="107"/>
      <c r="C1240" s="111"/>
      <c r="D1240" s="113"/>
      <c r="E1240" s="63" t="s">
        <v>1664</v>
      </c>
      <c r="F1240" s="150"/>
      <c r="G1240" s="107"/>
      <c r="H1240" s="95"/>
    </row>
    <row r="1241" spans="1:8" x14ac:dyDescent="0.3">
      <c r="A1241" s="161"/>
      <c r="B1241" s="107"/>
      <c r="C1241" s="111"/>
      <c r="D1241" s="113">
        <f>$D1237</f>
        <v>5.1293376618407356</v>
      </c>
      <c r="E1241" s="63" t="s">
        <v>1665</v>
      </c>
      <c r="F1241" s="150">
        <f>$F1237</f>
        <v>5.13</v>
      </c>
      <c r="G1241" s="107" t="s">
        <v>1661</v>
      </c>
      <c r="H1241" s="95"/>
    </row>
    <row r="1242" spans="1:8" x14ac:dyDescent="0.3">
      <c r="A1242" s="161"/>
      <c r="B1242" s="107"/>
      <c r="C1242" s="111"/>
      <c r="D1242" s="113"/>
      <c r="E1242" s="63"/>
      <c r="F1242" s="150"/>
      <c r="G1242" s="107"/>
      <c r="H1242" s="95"/>
    </row>
    <row r="1243" spans="1:8" x14ac:dyDescent="0.3">
      <c r="A1243" s="161"/>
      <c r="B1243" s="107"/>
      <c r="C1243" s="111"/>
      <c r="D1243" s="113"/>
      <c r="E1243" s="149" t="s">
        <v>1455</v>
      </c>
      <c r="F1243" s="150"/>
      <c r="G1243" s="107"/>
      <c r="H1243" s="95"/>
    </row>
    <row r="1244" spans="1:8" x14ac:dyDescent="0.3">
      <c r="A1244" s="161"/>
      <c r="B1244" s="107"/>
      <c r="C1244" s="111"/>
      <c r="D1244" s="113"/>
      <c r="E1244" s="63" t="s">
        <v>1666</v>
      </c>
      <c r="F1244" s="150"/>
      <c r="G1244" s="107"/>
      <c r="H1244" s="95"/>
    </row>
    <row r="1245" spans="1:8" x14ac:dyDescent="0.3">
      <c r="A1245" s="161">
        <f>1</f>
        <v>1</v>
      </c>
      <c r="B1245" s="107" t="s">
        <v>1628</v>
      </c>
      <c r="C1245" s="111">
        <f>'04a_Box_Dims'!$AE30</f>
        <v>10</v>
      </c>
      <c r="D1245" s="113"/>
      <c r="E1245" s="63" t="s">
        <v>1667</v>
      </c>
      <c r="F1245" s="150"/>
      <c r="G1245" s="107"/>
      <c r="H1245" s="95"/>
    </row>
    <row r="1246" spans="1:8" x14ac:dyDescent="0.3">
      <c r="A1246" s="161"/>
      <c r="B1246" s="107"/>
      <c r="C1246" s="111">
        <f>'04a_Box_Dims'!$J30</f>
        <v>6.75</v>
      </c>
      <c r="D1246" s="113"/>
      <c r="E1246" s="63"/>
      <c r="F1246" s="150"/>
      <c r="G1246" s="107"/>
      <c r="H1246" s="95"/>
    </row>
    <row r="1247" spans="1:8" x14ac:dyDescent="0.3">
      <c r="A1247" s="161"/>
      <c r="B1247" s="107"/>
      <c r="C1247" s="111">
        <f>'04a_Box_Dims'!$I30</f>
        <v>0.25</v>
      </c>
      <c r="D1247" s="113">
        <f>$A1245*$C1245*$C1246*$C1247</f>
        <v>16.875</v>
      </c>
      <c r="E1247" s="63"/>
      <c r="F1247" s="150"/>
      <c r="G1247" s="107"/>
      <c r="H1247" s="95">
        <f>'04a_Box_Dims'!$I30</f>
        <v>0.25</v>
      </c>
    </row>
    <row r="1248" spans="1:8" x14ac:dyDescent="0.3">
      <c r="A1248" s="161">
        <f>2</f>
        <v>2</v>
      </c>
      <c r="B1248" s="107" t="s">
        <v>1628</v>
      </c>
      <c r="C1248" s="111">
        <f>'04a_Box_Dims'!$O30</f>
        <v>1.5</v>
      </c>
      <c r="D1248" s="113"/>
      <c r="E1248" s="63" t="s">
        <v>1657</v>
      </c>
      <c r="F1248" s="150"/>
      <c r="G1248" s="107"/>
      <c r="H1248" s="95"/>
    </row>
    <row r="1249" spans="1:8" x14ac:dyDescent="0.3">
      <c r="A1249" s="161"/>
      <c r="B1249" s="107"/>
      <c r="C1249" s="111">
        <f>'04a_Box_Dims'!$Q30</f>
        <v>8.25</v>
      </c>
      <c r="D1249" s="113"/>
      <c r="E1249" s="63"/>
      <c r="F1249" s="150"/>
      <c r="G1249" s="107"/>
      <c r="H1249" s="95"/>
    </row>
    <row r="1250" spans="1:8" x14ac:dyDescent="0.3">
      <c r="A1250" s="161"/>
      <c r="B1250" s="107"/>
      <c r="C1250" s="111">
        <f>'04a_Box_Dims'!$P30</f>
        <v>0.25</v>
      </c>
      <c r="D1250" s="113">
        <f>$A1248*$C1248*$C1249*$C1250</f>
        <v>6.1875</v>
      </c>
      <c r="E1250" s="63"/>
      <c r="F1250" s="150"/>
      <c r="G1250" s="107"/>
      <c r="H1250" s="95">
        <f>'04a_Box_Dims'!$P30</f>
        <v>0.25</v>
      </c>
    </row>
    <row r="1251" spans="1:8" x14ac:dyDescent="0.3">
      <c r="A1251" s="161">
        <f>2</f>
        <v>2</v>
      </c>
      <c r="B1251" s="107" t="s">
        <v>1628</v>
      </c>
      <c r="C1251" s="111">
        <f>'04a_Box_Dims'!$R30</f>
        <v>6.75</v>
      </c>
      <c r="D1251" s="113"/>
      <c r="E1251" s="63" t="s">
        <v>1658</v>
      </c>
      <c r="F1251" s="150"/>
      <c r="G1251" s="107"/>
      <c r="H1251" s="95"/>
    </row>
    <row r="1252" spans="1:8" x14ac:dyDescent="0.3">
      <c r="A1252" s="161"/>
      <c r="B1252" s="107"/>
      <c r="C1252" s="111">
        <f>'04a_Box_Dims'!$S30</f>
        <v>0.2</v>
      </c>
      <c r="D1252" s="113"/>
      <c r="E1252" s="63"/>
      <c r="F1252" s="150"/>
      <c r="G1252" s="107"/>
      <c r="H1252" s="95"/>
    </row>
    <row r="1253" spans="1:8" x14ac:dyDescent="0.3">
      <c r="A1253" s="161"/>
      <c r="B1253" s="107"/>
      <c r="C1253" s="111">
        <f>'04a_Box_Dims'!$T30</f>
        <v>0.45</v>
      </c>
      <c r="D1253" s="113">
        <f>$A1251*$C1251*$C1252*$C1253</f>
        <v>1.2150000000000001</v>
      </c>
      <c r="E1253" s="63"/>
      <c r="F1253" s="150"/>
      <c r="G1253" s="107"/>
      <c r="H1253" s="95">
        <f>'04a_Box_Dims'!$S30</f>
        <v>0.2</v>
      </c>
    </row>
    <row r="1254" spans="1:8" x14ac:dyDescent="0.3">
      <c r="A1254" s="161">
        <f>4</f>
        <v>4</v>
      </c>
      <c r="B1254" s="107" t="s">
        <v>1628</v>
      </c>
      <c r="C1254" s="111">
        <f>'04a_Box_Dims'!$Z30</f>
        <v>2.1213203435596424</v>
      </c>
      <c r="D1254" s="113"/>
      <c r="E1254" s="63" t="s">
        <v>1659</v>
      </c>
      <c r="F1254" s="150"/>
      <c r="G1254" s="107"/>
      <c r="H1254" s="95"/>
    </row>
    <row r="1255" spans="1:8" x14ac:dyDescent="0.3">
      <c r="A1255" s="161"/>
      <c r="B1255" s="107"/>
      <c r="C1255" s="111">
        <f>'04a_Box_Dims'!$AC30</f>
        <v>0.9</v>
      </c>
      <c r="D1255" s="113"/>
      <c r="E1255" s="63"/>
      <c r="F1255" s="150"/>
      <c r="G1255" s="107"/>
      <c r="H1255" s="95"/>
    </row>
    <row r="1256" spans="1:8" x14ac:dyDescent="0.3">
      <c r="A1256" s="161"/>
      <c r="B1256" s="107"/>
      <c r="C1256" s="111">
        <f>'04a_Box_Dims'!$AD30</f>
        <v>0.3</v>
      </c>
      <c r="D1256" s="113">
        <f>$A1254*$C1254*$C1255*$C1256</f>
        <v>2.2910259710444136</v>
      </c>
      <c r="E1256" s="63"/>
      <c r="F1256" s="150"/>
      <c r="G1256" s="107"/>
      <c r="H1256" s="95">
        <f>'04a_Box_Dims'!$AD30</f>
        <v>0.3</v>
      </c>
    </row>
    <row r="1257" spans="1:8" x14ac:dyDescent="0.3">
      <c r="A1257" s="161"/>
      <c r="B1257" s="107"/>
      <c r="C1257" s="111"/>
      <c r="D1257" s="113">
        <f>SUM($D$1245:$D$1256)</f>
        <v>26.568525971044412</v>
      </c>
      <c r="E1257" s="63" t="s">
        <v>1660</v>
      </c>
      <c r="F1257" s="150">
        <f>ROUND($D1257,2)</f>
        <v>26.57</v>
      </c>
      <c r="G1257" s="107" t="s">
        <v>1661</v>
      </c>
      <c r="H1257" s="95"/>
    </row>
    <row r="1258" spans="1:8" x14ac:dyDescent="0.3">
      <c r="A1258" s="161"/>
      <c r="B1258" s="107"/>
      <c r="C1258" s="111"/>
      <c r="D1258" s="113"/>
      <c r="E1258" s="63"/>
      <c r="F1258" s="150"/>
      <c r="G1258" s="107"/>
      <c r="H1258" s="95"/>
    </row>
    <row r="1259" spans="1:8" x14ac:dyDescent="0.3">
      <c r="A1259" s="161"/>
      <c r="B1259" s="107"/>
      <c r="C1259" s="111"/>
      <c r="D1259" s="113"/>
      <c r="E1259" s="149" t="s">
        <v>1668</v>
      </c>
      <c r="F1259" s="150"/>
      <c r="G1259" s="107"/>
      <c r="H1259" s="95"/>
    </row>
    <row r="1260" spans="1:8" x14ac:dyDescent="0.3">
      <c r="A1260" s="161"/>
      <c r="B1260" s="107"/>
      <c r="C1260" s="111"/>
      <c r="D1260" s="113"/>
      <c r="E1260" s="63" t="s">
        <v>1669</v>
      </c>
      <c r="F1260" s="150"/>
      <c r="G1260" s="107"/>
      <c r="H1260" s="95"/>
    </row>
    <row r="1261" spans="1:8" x14ac:dyDescent="0.3">
      <c r="A1261" s="161"/>
      <c r="B1261" s="107"/>
      <c r="C1261" s="111"/>
      <c r="D1261" s="113">
        <f>SUMIF($H$1245:$H$1256,"&lt;=0.3",$D$1245:$D$1256)</f>
        <v>26.568525971044412</v>
      </c>
      <c r="E1261" s="63" t="s">
        <v>1670</v>
      </c>
      <c r="F1261" s="150">
        <f>ROUND($D1261,2)</f>
        <v>26.57</v>
      </c>
      <c r="G1261" s="107" t="s">
        <v>1661</v>
      </c>
      <c r="H1261" s="95"/>
    </row>
    <row r="1262" spans="1:8" x14ac:dyDescent="0.3">
      <c r="A1262" s="161"/>
      <c r="B1262" s="107"/>
      <c r="C1262" s="111"/>
      <c r="D1262" s="113">
        <f>SUMIF($H$1245:$H$1256,"&gt;0.3",$D$1245:$D$1256)</f>
        <v>0</v>
      </c>
      <c r="E1262" s="63" t="s">
        <v>1671</v>
      </c>
      <c r="F1262" s="150">
        <f>ROUND($D1262,2)</f>
        <v>0</v>
      </c>
      <c r="G1262" s="107" t="s">
        <v>1661</v>
      </c>
      <c r="H1262" s="95"/>
    </row>
    <row r="1263" spans="1:8" x14ac:dyDescent="0.3">
      <c r="A1263" s="161"/>
      <c r="B1263" s="107"/>
      <c r="C1263" s="111"/>
      <c r="D1263" s="113"/>
      <c r="E1263" s="63"/>
      <c r="F1263" s="150"/>
      <c r="G1263" s="107"/>
      <c r="H1263" s="95"/>
    </row>
    <row r="1264" spans="1:8" x14ac:dyDescent="0.3">
      <c r="A1264" s="161"/>
      <c r="B1264" s="107"/>
      <c r="C1264" s="111"/>
      <c r="D1264" s="113"/>
      <c r="E1264" s="149" t="s">
        <v>1455</v>
      </c>
      <c r="F1264" s="150"/>
      <c r="G1264" s="107"/>
      <c r="H1264" s="95"/>
    </row>
    <row r="1265" spans="1:8" x14ac:dyDescent="0.3">
      <c r="A1265" s="161"/>
      <c r="B1265" s="107"/>
      <c r="C1265" s="111"/>
      <c r="D1265" s="113"/>
      <c r="E1265" s="63" t="s">
        <v>1672</v>
      </c>
      <c r="F1265" s="150"/>
      <c r="G1265" s="107"/>
      <c r="H1265" s="95"/>
    </row>
    <row r="1266" spans="1:8" x14ac:dyDescent="0.3">
      <c r="A1266" s="161">
        <f>1</f>
        <v>1</v>
      </c>
      <c r="B1266" s="107" t="s">
        <v>1628</v>
      </c>
      <c r="C1266" s="111">
        <f>'04a_Box_Dims'!$AE30</f>
        <v>10</v>
      </c>
      <c r="D1266" s="113"/>
      <c r="E1266" s="63" t="s">
        <v>1673</v>
      </c>
      <c r="F1266" s="150"/>
      <c r="G1266" s="107"/>
      <c r="H1266" s="95"/>
    </row>
    <row r="1267" spans="1:8" x14ac:dyDescent="0.3">
      <c r="A1267" s="161"/>
      <c r="B1267" s="107"/>
      <c r="C1267" s="111">
        <f>'04a_Box_Dims'!$J30</f>
        <v>6.75</v>
      </c>
      <c r="D1267" s="113"/>
      <c r="E1267" s="63"/>
      <c r="F1267" s="150"/>
      <c r="G1267" s="107"/>
      <c r="H1267" s="95"/>
    </row>
    <row r="1268" spans="1:8" x14ac:dyDescent="0.3">
      <c r="A1268" s="161"/>
      <c r="B1268" s="107"/>
      <c r="C1268" s="111">
        <f>'04a_Box_Dims'!$I30</f>
        <v>0.25</v>
      </c>
      <c r="D1268" s="113">
        <f>$A1266*$C1266*$C1267*$C1268</f>
        <v>16.875</v>
      </c>
      <c r="E1268" s="63"/>
      <c r="F1268" s="150"/>
      <c r="G1268" s="107"/>
      <c r="H1268" s="95">
        <f>'04a_Box_Dims'!$I30</f>
        <v>0.25</v>
      </c>
    </row>
    <row r="1269" spans="1:8" x14ac:dyDescent="0.3">
      <c r="A1269" s="161"/>
      <c r="B1269" s="107"/>
      <c r="C1269" s="111"/>
      <c r="D1269" s="113">
        <f>SUM($D$1266:$D$1268)</f>
        <v>16.875</v>
      </c>
      <c r="E1269" s="63" t="s">
        <v>1660</v>
      </c>
      <c r="F1269" s="150">
        <f>ROUND($D1269,2)</f>
        <v>16.88</v>
      </c>
      <c r="G1269" s="107" t="s">
        <v>1661</v>
      </c>
      <c r="H1269" s="95"/>
    </row>
    <row r="1270" spans="1:8" x14ac:dyDescent="0.3">
      <c r="A1270" s="161"/>
      <c r="B1270" s="107"/>
      <c r="C1270" s="111"/>
      <c r="D1270" s="113"/>
      <c r="E1270" s="63"/>
      <c r="F1270" s="150"/>
      <c r="G1270" s="107"/>
      <c r="H1270" s="95"/>
    </row>
    <row r="1271" spans="1:8" x14ac:dyDescent="0.3">
      <c r="A1271" s="161"/>
      <c r="B1271" s="107"/>
      <c r="C1271" s="111"/>
      <c r="D1271" s="113"/>
      <c r="E1271" s="149" t="s">
        <v>1674</v>
      </c>
      <c r="F1271" s="150"/>
      <c r="G1271" s="107"/>
      <c r="H1271" s="95"/>
    </row>
    <row r="1272" spans="1:8" x14ac:dyDescent="0.3">
      <c r="A1272" s="161"/>
      <c r="B1272" s="107"/>
      <c r="C1272" s="111"/>
      <c r="D1272" s="113"/>
      <c r="E1272" s="63" t="s">
        <v>1675</v>
      </c>
      <c r="F1272" s="150"/>
      <c r="G1272" s="107"/>
      <c r="H1272" s="95"/>
    </row>
    <row r="1273" spans="1:8" x14ac:dyDescent="0.3">
      <c r="A1273" s="161"/>
      <c r="B1273" s="107"/>
      <c r="C1273" s="111"/>
      <c r="D1273" s="113">
        <f>SUMIF($H$1266:$H$1268,"&lt;=0.3",$D$1266:$D$1268)</f>
        <v>16.875</v>
      </c>
      <c r="E1273" s="63" t="s">
        <v>1670</v>
      </c>
      <c r="F1273" s="150">
        <f>ROUND($D1273,2)</f>
        <v>16.88</v>
      </c>
      <c r="G1273" s="107" t="s">
        <v>1661</v>
      </c>
      <c r="H1273" s="95"/>
    </row>
    <row r="1274" spans="1:8" x14ac:dyDescent="0.3">
      <c r="A1274" s="161"/>
      <c r="B1274" s="107"/>
      <c r="C1274" s="111"/>
      <c r="D1274" s="113">
        <f>SUMIF($H$1266:$H$1268,"&gt;0.3",$D$1266:$D$1268)</f>
        <v>0</v>
      </c>
      <c r="E1274" s="63" t="s">
        <v>1671</v>
      </c>
      <c r="F1274" s="150">
        <f>ROUND($D1274,2)</f>
        <v>0</v>
      </c>
      <c r="G1274" s="107" t="s">
        <v>1661</v>
      </c>
      <c r="H1274" s="95"/>
    </row>
    <row r="1275" spans="1:8" x14ac:dyDescent="0.3">
      <c r="A1275" s="161"/>
      <c r="B1275" s="107"/>
      <c r="C1275" s="111"/>
      <c r="D1275" s="113"/>
      <c r="E1275" s="63"/>
      <c r="F1275" s="150"/>
      <c r="G1275" s="107"/>
      <c r="H1275" s="95"/>
    </row>
    <row r="1276" spans="1:8" x14ac:dyDescent="0.3">
      <c r="A1276" s="161"/>
      <c r="B1276" s="107"/>
      <c r="C1276" s="111"/>
      <c r="D1276" s="113"/>
      <c r="E1276" s="149" t="s">
        <v>1455</v>
      </c>
      <c r="F1276" s="150"/>
      <c r="G1276" s="107"/>
      <c r="H1276" s="95"/>
    </row>
    <row r="1277" spans="1:8" x14ac:dyDescent="0.3">
      <c r="A1277" s="161"/>
      <c r="B1277" s="107"/>
      <c r="C1277" s="111"/>
      <c r="D1277" s="113"/>
      <c r="E1277" s="63" t="s">
        <v>1676</v>
      </c>
      <c r="F1277" s="150"/>
      <c r="G1277" s="107"/>
      <c r="H1277" s="95"/>
    </row>
    <row r="1278" spans="1:8" x14ac:dyDescent="0.3">
      <c r="A1278" s="161">
        <f>2</f>
        <v>2</v>
      </c>
      <c r="B1278" s="107" t="s">
        <v>1628</v>
      </c>
      <c r="C1278" s="111">
        <f>'04a_Box_Dims'!$AE30</f>
        <v>10</v>
      </c>
      <c r="D1278" s="113"/>
      <c r="E1278" s="63" t="s">
        <v>1677</v>
      </c>
      <c r="F1278" s="150"/>
      <c r="G1278" s="107"/>
      <c r="H1278" s="95"/>
    </row>
    <row r="1279" spans="1:8" x14ac:dyDescent="0.3">
      <c r="A1279" s="161"/>
      <c r="B1279" s="107"/>
      <c r="C1279" s="111">
        <f>'04a_Box_Dims'!$E30</f>
        <v>3</v>
      </c>
      <c r="D1279" s="113"/>
      <c r="E1279" s="63"/>
      <c r="F1279" s="150"/>
      <c r="G1279" s="107"/>
      <c r="H1279" s="95"/>
    </row>
    <row r="1280" spans="1:8" x14ac:dyDescent="0.3">
      <c r="A1280" s="161"/>
      <c r="B1280" s="107"/>
      <c r="C1280" s="111">
        <f>'04a_Box_Dims'!$I30</f>
        <v>0.25</v>
      </c>
      <c r="D1280" s="113">
        <f>$A1278*$C1278*$C1279*$C1280</f>
        <v>15</v>
      </c>
      <c r="E1280" s="63"/>
      <c r="F1280" s="150"/>
      <c r="G1280" s="107"/>
      <c r="H1280" s="95">
        <f>'04a_Box_Dims'!$I30</f>
        <v>0.25</v>
      </c>
    </row>
    <row r="1281" spans="1:8" x14ac:dyDescent="0.3">
      <c r="A1281" s="161">
        <f>'04a_Box_Dims'!$C30-1</f>
        <v>1</v>
      </c>
      <c r="B1281" s="107" t="s">
        <v>1628</v>
      </c>
      <c r="C1281" s="111">
        <f>'04a_Box_Dims'!$AE30</f>
        <v>10</v>
      </c>
      <c r="D1281" s="113"/>
      <c r="E1281" s="63" t="s">
        <v>1678</v>
      </c>
      <c r="F1281" s="150"/>
      <c r="G1281" s="107"/>
      <c r="H1281" s="95"/>
    </row>
    <row r="1282" spans="1:8" x14ac:dyDescent="0.3">
      <c r="A1282" s="161"/>
      <c r="B1282" s="107"/>
      <c r="C1282" s="111">
        <f>'04a_Box_Dims'!$E30</f>
        <v>3</v>
      </c>
      <c r="D1282" s="113"/>
      <c r="E1282" s="63"/>
      <c r="F1282" s="150"/>
      <c r="G1282" s="107"/>
      <c r="H1282" s="95"/>
    </row>
    <row r="1283" spans="1:8" x14ac:dyDescent="0.3">
      <c r="A1283" s="161"/>
      <c r="B1283" s="107"/>
      <c r="C1283" s="111">
        <f>'04a_Box_Dims'!$I30</f>
        <v>0.25</v>
      </c>
      <c r="D1283" s="113">
        <f>$A1281*$C1281*$C1282*$C1283</f>
        <v>7.5</v>
      </c>
      <c r="E1283" s="63"/>
      <c r="F1283" s="150"/>
      <c r="G1283" s="107"/>
      <c r="H1283" s="95">
        <f>'04a_Box_Dims'!$I30</f>
        <v>0.25</v>
      </c>
    </row>
    <row r="1284" spans="1:8" x14ac:dyDescent="0.3">
      <c r="A1284" s="161">
        <f>4*'04a_Box_Dims'!$C30</f>
        <v>8</v>
      </c>
      <c r="B1284" s="107" t="s">
        <v>1628</v>
      </c>
      <c r="C1284" s="111">
        <f>'04a_Box_Dims'!$AE30</f>
        <v>10</v>
      </c>
      <c r="D1284" s="113"/>
      <c r="E1284" s="63" t="s">
        <v>1679</v>
      </c>
      <c r="F1284" s="150"/>
      <c r="G1284" s="107"/>
      <c r="H1284" s="95"/>
    </row>
    <row r="1285" spans="1:8" x14ac:dyDescent="0.3">
      <c r="A1285" s="161"/>
      <c r="B1285" s="107"/>
      <c r="C1285" s="111">
        <f>'04a_Box_Dims'!$N30</f>
        <v>0.15</v>
      </c>
      <c r="D1285" s="113"/>
      <c r="E1285" s="63"/>
      <c r="F1285" s="150"/>
      <c r="G1285" s="107"/>
      <c r="H1285" s="95"/>
    </row>
    <row r="1286" spans="1:8" x14ac:dyDescent="0.3">
      <c r="A1286" s="161"/>
      <c r="B1286" s="107"/>
      <c r="C1286" s="111">
        <f>'04a_Box_Dims'!$N30/2</f>
        <v>7.4999999999999997E-2</v>
      </c>
      <c r="D1286" s="113">
        <f>$A1284*$C1284*$C1285*$C1286</f>
        <v>0.89999999999999991</v>
      </c>
      <c r="E1286" s="63"/>
      <c r="F1286" s="150"/>
      <c r="G1286" s="107"/>
      <c r="H1286" s="95">
        <f>'04a_Box_Dims'!$N30</f>
        <v>0.15</v>
      </c>
    </row>
    <row r="1287" spans="1:8" x14ac:dyDescent="0.3">
      <c r="A1287" s="161">
        <f>2</f>
        <v>2</v>
      </c>
      <c r="B1287" s="107" t="s">
        <v>1628</v>
      </c>
      <c r="C1287" s="111">
        <f>'04a_Box_Dims'!$J30</f>
        <v>6.75</v>
      </c>
      <c r="D1287" s="113"/>
      <c r="E1287" s="63" t="s">
        <v>1680</v>
      </c>
      <c r="F1287" s="150"/>
      <c r="G1287" s="107"/>
      <c r="H1287" s="95"/>
    </row>
    <row r="1288" spans="1:8" x14ac:dyDescent="0.3">
      <c r="A1288" s="161"/>
      <c r="B1288" s="107"/>
      <c r="C1288" s="111">
        <f>'04a_Box_Dims'!$U30</f>
        <v>0.6</v>
      </c>
      <c r="D1288" s="113"/>
      <c r="E1288" s="63"/>
      <c r="F1288" s="150"/>
      <c r="G1288" s="107"/>
      <c r="H1288" s="95"/>
    </row>
    <row r="1289" spans="1:8" x14ac:dyDescent="0.3">
      <c r="A1289" s="161"/>
      <c r="B1289" s="107"/>
      <c r="C1289" s="111">
        <f>'04a_Box_Dims'!$V30</f>
        <v>0.3</v>
      </c>
      <c r="D1289" s="113">
        <f>$A1287*$C1287*$C1288*$C1289</f>
        <v>2.4299999999999997</v>
      </c>
      <c r="E1289" s="63"/>
      <c r="F1289" s="150"/>
      <c r="G1289" s="107"/>
      <c r="H1289" s="95">
        <f>'04a_Box_Dims'!$V30</f>
        <v>0.3</v>
      </c>
    </row>
    <row r="1290" spans="1:8" x14ac:dyDescent="0.3">
      <c r="A1290" s="161">
        <f>4</f>
        <v>4</v>
      </c>
      <c r="B1290" s="107" t="s">
        <v>1628</v>
      </c>
      <c r="C1290" s="111">
        <f>'04a_Box_Dims'!$Z30</f>
        <v>2.1213203435596424</v>
      </c>
      <c r="D1290" s="113"/>
      <c r="E1290" s="63" t="s">
        <v>1681</v>
      </c>
      <c r="F1290" s="150"/>
      <c r="G1290" s="107"/>
      <c r="H1290" s="95"/>
    </row>
    <row r="1291" spans="1:8" x14ac:dyDescent="0.3">
      <c r="A1291" s="161"/>
      <c r="B1291" s="107"/>
      <c r="C1291" s="111">
        <f>'04a_Box_Dims'!$Y30</f>
        <v>3.9928932188134518</v>
      </c>
      <c r="D1291" s="113"/>
      <c r="E1291" s="63"/>
      <c r="F1291" s="150"/>
      <c r="G1291" s="107"/>
      <c r="H1291" s="95"/>
    </row>
    <row r="1292" spans="1:8" x14ac:dyDescent="0.3">
      <c r="A1292" s="161"/>
      <c r="B1292" s="107"/>
      <c r="C1292" s="111">
        <f>'04a_Box_Dims'!$AB30</f>
        <v>0.39</v>
      </c>
      <c r="D1292" s="113">
        <f>$A1290*$C1290*$C1291*$C1292</f>
        <v>13.213520758979296</v>
      </c>
      <c r="E1292" s="63"/>
      <c r="F1292" s="150"/>
      <c r="G1292" s="107"/>
      <c r="H1292" s="95">
        <f>'04a_Box_Dims'!$AB30</f>
        <v>0.39</v>
      </c>
    </row>
    <row r="1293" spans="1:8" x14ac:dyDescent="0.3">
      <c r="A1293" s="161"/>
      <c r="B1293" s="107"/>
      <c r="C1293" s="111"/>
      <c r="D1293" s="113">
        <f>SUM($D$1278:$D$1292)</f>
        <v>39.043520758979298</v>
      </c>
      <c r="E1293" s="63" t="s">
        <v>1660</v>
      </c>
      <c r="F1293" s="150">
        <f>ROUND($D1293,2)</f>
        <v>39.04</v>
      </c>
      <c r="G1293" s="107" t="s">
        <v>1661</v>
      </c>
      <c r="H1293" s="95"/>
    </row>
    <row r="1294" spans="1:8" x14ac:dyDescent="0.3">
      <c r="A1294" s="161"/>
      <c r="B1294" s="107"/>
      <c r="C1294" s="111"/>
      <c r="D1294" s="113"/>
      <c r="E1294" s="63"/>
      <c r="F1294" s="150"/>
      <c r="G1294" s="107"/>
      <c r="H1294" s="95"/>
    </row>
    <row r="1295" spans="1:8" x14ac:dyDescent="0.3">
      <c r="A1295" s="161"/>
      <c r="B1295" s="107"/>
      <c r="C1295" s="111"/>
      <c r="D1295" s="113"/>
      <c r="E1295" s="149" t="s">
        <v>1682</v>
      </c>
      <c r="F1295" s="150"/>
      <c r="G1295" s="107"/>
      <c r="H1295" s="95"/>
    </row>
    <row r="1296" spans="1:8" x14ac:dyDescent="0.3">
      <c r="A1296" s="161"/>
      <c r="B1296" s="107"/>
      <c r="C1296" s="111"/>
      <c r="D1296" s="113"/>
      <c r="E1296" s="63" t="s">
        <v>1683</v>
      </c>
      <c r="F1296" s="150"/>
      <c r="G1296" s="107"/>
      <c r="H1296" s="95"/>
    </row>
    <row r="1297" spans="1:8" x14ac:dyDescent="0.3">
      <c r="A1297" s="161"/>
      <c r="B1297" s="107"/>
      <c r="C1297" s="111"/>
      <c r="D1297" s="113">
        <f>SUMIF($H$1278:$H$1292,"&lt;=0.3",$D$1278:$D$1292)</f>
        <v>25.83</v>
      </c>
      <c r="E1297" s="63" t="s">
        <v>1670</v>
      </c>
      <c r="F1297" s="150">
        <f>ROUND($D1297,2)</f>
        <v>25.83</v>
      </c>
      <c r="G1297" s="107" t="s">
        <v>1661</v>
      </c>
      <c r="H1297" s="95"/>
    </row>
    <row r="1298" spans="1:8" x14ac:dyDescent="0.3">
      <c r="A1298" s="161"/>
      <c r="B1298" s="107"/>
      <c r="C1298" s="111"/>
      <c r="D1298" s="113">
        <f>SUMIF($H$1278:$H$1292,"&gt;0.3",$D$1278:$D$1292)</f>
        <v>13.213520758979296</v>
      </c>
      <c r="E1298" s="63" t="s">
        <v>1671</v>
      </c>
      <c r="F1298" s="150">
        <f>ROUND($D1298,2)</f>
        <v>13.21</v>
      </c>
      <c r="G1298" s="107" t="s">
        <v>1661</v>
      </c>
      <c r="H1298" s="95"/>
    </row>
    <row r="1299" spans="1:8" x14ac:dyDescent="0.3">
      <c r="A1299" s="161"/>
      <c r="B1299" s="107"/>
      <c r="C1299" s="111"/>
      <c r="D1299" s="113"/>
      <c r="E1299" s="63"/>
      <c r="F1299" s="150"/>
      <c r="G1299" s="107"/>
      <c r="H1299" s="95"/>
    </row>
    <row r="1300" spans="1:8" x14ac:dyDescent="0.3">
      <c r="A1300" s="161"/>
      <c r="B1300" s="107"/>
      <c r="C1300" s="111"/>
      <c r="D1300" s="113"/>
      <c r="E1300" s="149" t="s">
        <v>1445</v>
      </c>
      <c r="F1300" s="150"/>
      <c r="G1300" s="107"/>
      <c r="H1300" s="95"/>
    </row>
    <row r="1301" spans="1:8" x14ac:dyDescent="0.3">
      <c r="A1301" s="161"/>
      <c r="B1301" s="107"/>
      <c r="C1301" s="111"/>
      <c r="D1301" s="113"/>
      <c r="E1301" s="63" t="s">
        <v>1684</v>
      </c>
      <c r="F1301" s="150"/>
      <c r="G1301" s="107"/>
      <c r="H1301" s="95"/>
    </row>
    <row r="1302" spans="1:8" x14ac:dyDescent="0.3">
      <c r="A1302" s="161">
        <f>2</f>
        <v>2</v>
      </c>
      <c r="B1302" s="107" t="s">
        <v>1628</v>
      </c>
      <c r="C1302" s="111">
        <f>'04a_Box_Dims'!$AE30</f>
        <v>10</v>
      </c>
      <c r="D1302" s="113"/>
      <c r="E1302" s="63" t="s">
        <v>1685</v>
      </c>
      <c r="F1302" s="150"/>
      <c r="G1302" s="107"/>
      <c r="H1302" s="95"/>
    </row>
    <row r="1303" spans="1:8" x14ac:dyDescent="0.3">
      <c r="A1303" s="161"/>
      <c r="B1303" s="107"/>
      <c r="C1303" s="111">
        <f>'04a_Box_Dims'!$E30</f>
        <v>3</v>
      </c>
      <c r="D1303" s="113">
        <f>$A1302*$C1302*$C1303</f>
        <v>60</v>
      </c>
      <c r="E1303" s="63"/>
      <c r="F1303" s="150"/>
      <c r="G1303" s="107"/>
      <c r="H1303" s="95"/>
    </row>
    <row r="1304" spans="1:8" x14ac:dyDescent="0.3">
      <c r="A1304" s="161">
        <f>4</f>
        <v>4</v>
      </c>
      <c r="B1304" s="107" t="s">
        <v>1628</v>
      </c>
      <c r="C1304" s="111">
        <f>'04a_Box_Dims'!$Z30</f>
        <v>2.1213203435596424</v>
      </c>
      <c r="D1304" s="113"/>
      <c r="E1304" s="63" t="s">
        <v>1686</v>
      </c>
      <c r="F1304" s="150"/>
      <c r="G1304" s="107"/>
      <c r="H1304" s="95"/>
    </row>
    <row r="1305" spans="1:8" x14ac:dyDescent="0.3">
      <c r="A1305" s="161"/>
      <c r="B1305" s="107"/>
      <c r="C1305" s="111">
        <f>'04a_Box_Dims'!$Y30</f>
        <v>3.9928932188134518</v>
      </c>
      <c r="D1305" s="113">
        <f>$A1304*$C1304*$C1305</f>
        <v>33.880822458921273</v>
      </c>
      <c r="E1305" s="63"/>
      <c r="F1305" s="150"/>
      <c r="G1305" s="107"/>
      <c r="H1305" s="95"/>
    </row>
    <row r="1306" spans="1:8" x14ac:dyDescent="0.3">
      <c r="A1306" s="161">
        <f>2</f>
        <v>2</v>
      </c>
      <c r="B1306" s="107" t="s">
        <v>1628</v>
      </c>
      <c r="C1306" s="111">
        <f>'04a_Box_Dims'!$J30</f>
        <v>6.75</v>
      </c>
      <c r="D1306" s="113"/>
      <c r="E1306" s="63" t="s">
        <v>1687</v>
      </c>
      <c r="F1306" s="150"/>
      <c r="G1306" s="107"/>
      <c r="H1306" s="95"/>
    </row>
    <row r="1307" spans="1:8" x14ac:dyDescent="0.3">
      <c r="A1307" s="161"/>
      <c r="B1307" s="107"/>
      <c r="C1307" s="111">
        <f>'04a_Box_Dims'!$U30</f>
        <v>0.6</v>
      </c>
      <c r="D1307" s="113">
        <f>$A1306*$C1306*$C1307</f>
        <v>8.1</v>
      </c>
      <c r="E1307" s="63"/>
      <c r="F1307" s="150"/>
      <c r="G1307" s="107"/>
      <c r="H1307" s="95"/>
    </row>
    <row r="1308" spans="1:8" x14ac:dyDescent="0.3">
      <c r="A1308" s="161"/>
      <c r="B1308" s="107"/>
      <c r="C1308" s="111"/>
      <c r="D1308" s="113">
        <f>SUM($D$1302:$D$1307)</f>
        <v>101.98082245892127</v>
      </c>
      <c r="E1308" s="63" t="s">
        <v>1660</v>
      </c>
      <c r="F1308" s="150">
        <f>ROUND($D1308,2)</f>
        <v>101.98</v>
      </c>
      <c r="G1308" s="107" t="s">
        <v>1688</v>
      </c>
      <c r="H1308" s="95"/>
    </row>
    <row r="1309" spans="1:8" x14ac:dyDescent="0.3">
      <c r="A1309" s="161"/>
      <c r="B1309" s="107"/>
      <c r="C1309" s="111"/>
      <c r="D1309" s="113"/>
      <c r="E1309" s="63"/>
      <c r="F1309" s="150"/>
      <c r="G1309" s="107"/>
      <c r="H1309" s="95"/>
    </row>
    <row r="1310" spans="1:8" x14ac:dyDescent="0.3">
      <c r="A1310" s="161"/>
      <c r="B1310" s="107"/>
      <c r="C1310" s="111"/>
      <c r="D1310" s="113"/>
      <c r="E1310" s="149" t="s">
        <v>1446</v>
      </c>
      <c r="F1310" s="150"/>
      <c r="G1310" s="107"/>
      <c r="H1310" s="95"/>
    </row>
    <row r="1311" spans="1:8" x14ac:dyDescent="0.3">
      <c r="A1311" s="161"/>
      <c r="B1311" s="107"/>
      <c r="C1311" s="111"/>
      <c r="D1311" s="113"/>
      <c r="E1311" s="63" t="s">
        <v>1689</v>
      </c>
      <c r="F1311" s="150"/>
      <c r="G1311" s="107"/>
      <c r="H1311" s="95"/>
    </row>
    <row r="1312" spans="1:8" x14ac:dyDescent="0.3">
      <c r="A1312" s="161">
        <f>2</f>
        <v>2</v>
      </c>
      <c r="B1312" s="107" t="s">
        <v>1628</v>
      </c>
      <c r="C1312" s="111">
        <f>'04a_Box_Dims'!$O30</f>
        <v>1.5</v>
      </c>
      <c r="D1312" s="113"/>
      <c r="E1312" s="63" t="s">
        <v>1690</v>
      </c>
      <c r="F1312" s="150"/>
      <c r="G1312" s="107"/>
      <c r="H1312" s="95"/>
    </row>
    <row r="1313" spans="1:8" x14ac:dyDescent="0.3">
      <c r="A1313" s="161"/>
      <c r="B1313" s="107"/>
      <c r="C1313" s="111">
        <f>'04a_Box_Dims'!$Q30</f>
        <v>8.25</v>
      </c>
      <c r="D1313" s="113">
        <f>$A1312*$C1312*$C1313</f>
        <v>24.75</v>
      </c>
      <c r="E1313" s="63"/>
      <c r="F1313" s="150"/>
      <c r="G1313" s="107"/>
      <c r="H1313" s="95"/>
    </row>
    <row r="1314" spans="1:8" x14ac:dyDescent="0.3">
      <c r="A1314" s="161"/>
      <c r="B1314" s="107"/>
      <c r="C1314" s="111"/>
      <c r="D1314" s="113">
        <f>SUM($D$1312:$D$1313)</f>
        <v>24.75</v>
      </c>
      <c r="E1314" s="63" t="s">
        <v>1660</v>
      </c>
      <c r="F1314" s="150">
        <f>ROUND($D1314,2)</f>
        <v>24.75</v>
      </c>
      <c r="G1314" s="107" t="s">
        <v>1688</v>
      </c>
      <c r="H1314" s="95"/>
    </row>
    <row r="1315" spans="1:8" x14ac:dyDescent="0.3">
      <c r="A1315" s="161"/>
      <c r="B1315" s="107"/>
      <c r="C1315" s="111"/>
      <c r="D1315" s="113"/>
      <c r="E1315" s="63"/>
      <c r="F1315" s="150"/>
      <c r="G1315" s="107"/>
      <c r="H1315" s="95"/>
    </row>
    <row r="1316" spans="1:8" x14ac:dyDescent="0.3">
      <c r="A1316" s="161"/>
      <c r="B1316" s="107"/>
      <c r="C1316" s="111"/>
      <c r="D1316" s="113"/>
      <c r="E1316" s="149" t="s">
        <v>1447</v>
      </c>
      <c r="F1316" s="150"/>
      <c r="G1316" s="107"/>
      <c r="H1316" s="95"/>
    </row>
    <row r="1317" spans="1:8" x14ac:dyDescent="0.3">
      <c r="A1317" s="161"/>
      <c r="B1317" s="107"/>
      <c r="C1317" s="111"/>
      <c r="D1317" s="113"/>
      <c r="E1317" s="63" t="s">
        <v>1691</v>
      </c>
      <c r="F1317" s="150"/>
      <c r="G1317" s="107"/>
      <c r="H1317" s="95"/>
    </row>
    <row r="1318" spans="1:8" x14ac:dyDescent="0.3">
      <c r="A1318" s="161">
        <f>4</f>
        <v>4</v>
      </c>
      <c r="B1318" s="107" t="s">
        <v>1628</v>
      </c>
      <c r="C1318" s="111">
        <f>'04a_Box_Dims'!$J30</f>
        <v>6.75</v>
      </c>
      <c r="D1318" s="113"/>
      <c r="E1318" s="63" t="s">
        <v>1692</v>
      </c>
      <c r="F1318" s="150"/>
      <c r="G1318" s="107"/>
      <c r="H1318" s="95"/>
    </row>
    <row r="1319" spans="1:8" x14ac:dyDescent="0.3">
      <c r="A1319" s="161"/>
      <c r="B1319" s="107"/>
      <c r="C1319" s="111">
        <f>'04a_Box_Dims'!$I30</f>
        <v>0.25</v>
      </c>
      <c r="D1319" s="113">
        <f>$A1318*$C1318*$C1319</f>
        <v>6.75</v>
      </c>
      <c r="E1319" s="63"/>
      <c r="F1319" s="150"/>
      <c r="G1319" s="107"/>
      <c r="H1319" s="95"/>
    </row>
    <row r="1320" spans="1:8" x14ac:dyDescent="0.3">
      <c r="A1320" s="161">
        <f>4</f>
        <v>4</v>
      </c>
      <c r="B1320" s="107" t="s">
        <v>1628</v>
      </c>
      <c r="C1320" s="111">
        <f>'04a_Box_Dims'!$O30</f>
        <v>1.5</v>
      </c>
      <c r="D1320" s="113"/>
      <c r="E1320" s="63" t="s">
        <v>1693</v>
      </c>
      <c r="F1320" s="150"/>
      <c r="G1320" s="107"/>
      <c r="H1320" s="95"/>
    </row>
    <row r="1321" spans="1:8" x14ac:dyDescent="0.3">
      <c r="A1321" s="161"/>
      <c r="B1321" s="107"/>
      <c r="C1321" s="111">
        <f>'04a_Box_Dims'!$P30</f>
        <v>0.25</v>
      </c>
      <c r="D1321" s="113">
        <f>$A1320*$C1320*$C1321</f>
        <v>1.5</v>
      </c>
      <c r="E1321" s="63"/>
      <c r="F1321" s="150"/>
      <c r="G1321" s="107"/>
      <c r="H1321" s="95"/>
    </row>
    <row r="1322" spans="1:8" x14ac:dyDescent="0.3">
      <c r="A1322" s="161"/>
      <c r="B1322" s="107"/>
      <c r="C1322" s="111"/>
      <c r="D1322" s="113">
        <f>SUM($D$1318:$D$1321)</f>
        <v>8.25</v>
      </c>
      <c r="E1322" s="63" t="s">
        <v>1660</v>
      </c>
      <c r="F1322" s="150">
        <f>ROUND($D1322,2)</f>
        <v>8.25</v>
      </c>
      <c r="G1322" s="107" t="s">
        <v>1688</v>
      </c>
      <c r="H1322" s="95"/>
    </row>
    <row r="1323" spans="1:8" x14ac:dyDescent="0.3">
      <c r="A1323" s="161"/>
      <c r="B1323" s="107"/>
      <c r="C1323" s="111"/>
      <c r="D1323" s="113"/>
      <c r="E1323" s="63"/>
      <c r="F1323" s="150"/>
      <c r="G1323" s="107"/>
      <c r="H1323" s="95"/>
    </row>
    <row r="1324" spans="1:8" x14ac:dyDescent="0.3">
      <c r="A1324" s="161"/>
      <c r="B1324" s="107"/>
      <c r="C1324" s="111"/>
      <c r="D1324" s="113"/>
      <c r="E1324" s="149" t="s">
        <v>1448</v>
      </c>
      <c r="F1324" s="150"/>
      <c r="G1324" s="107"/>
      <c r="H1324" s="95"/>
    </row>
    <row r="1325" spans="1:8" x14ac:dyDescent="0.3">
      <c r="A1325" s="161"/>
      <c r="B1325" s="107"/>
      <c r="C1325" s="111"/>
      <c r="D1325" s="113"/>
      <c r="E1325" s="63" t="s">
        <v>1694</v>
      </c>
      <c r="F1325" s="150"/>
      <c r="G1325" s="107"/>
      <c r="H1325" s="95"/>
    </row>
    <row r="1326" spans="1:8" x14ac:dyDescent="0.3">
      <c r="A1326" s="161">
        <f>1</f>
        <v>1</v>
      </c>
      <c r="B1326" s="107" t="s">
        <v>1628</v>
      </c>
      <c r="C1326" s="111">
        <f>'04a_Box_Dims'!$AE30</f>
        <v>10</v>
      </c>
      <c r="D1326" s="113"/>
      <c r="E1326" s="63" t="s">
        <v>1695</v>
      </c>
      <c r="F1326" s="150"/>
      <c r="G1326" s="107"/>
      <c r="H1326" s="95"/>
    </row>
    <row r="1327" spans="1:8" x14ac:dyDescent="0.3">
      <c r="A1327" s="161"/>
      <c r="B1327" s="107"/>
      <c r="C1327" s="111">
        <f>'04a_Box_Dims'!$K30</f>
        <v>6.25</v>
      </c>
      <c r="D1327" s="113">
        <f>$A1326*$C1326*$C1327</f>
        <v>62.5</v>
      </c>
      <c r="E1327" s="63"/>
      <c r="F1327" s="150"/>
      <c r="G1327" s="107"/>
      <c r="H1327" s="95"/>
    </row>
    <row r="1328" spans="1:8" x14ac:dyDescent="0.3">
      <c r="A1328" s="161"/>
      <c r="B1328" s="107"/>
      <c r="C1328" s="111"/>
      <c r="D1328" s="113">
        <f>SUM($D$1326:$D$1327)</f>
        <v>62.5</v>
      </c>
      <c r="E1328" s="63" t="s">
        <v>1660</v>
      </c>
      <c r="F1328" s="150">
        <f>ROUND($D1328,2)</f>
        <v>62.5</v>
      </c>
      <c r="G1328" s="107" t="s">
        <v>1688</v>
      </c>
      <c r="H1328" s="95"/>
    </row>
    <row r="1329" spans="1:8" x14ac:dyDescent="0.3">
      <c r="A1329" s="161"/>
      <c r="B1329" s="107"/>
      <c r="C1329" s="111"/>
      <c r="D1329" s="113"/>
      <c r="E1329" s="63"/>
      <c r="F1329" s="150"/>
      <c r="G1329" s="107"/>
      <c r="H1329" s="95"/>
    </row>
    <row r="1330" spans="1:8" x14ac:dyDescent="0.3">
      <c r="A1330" s="161"/>
      <c r="B1330" s="107"/>
      <c r="C1330" s="111"/>
      <c r="D1330" s="113"/>
      <c r="E1330" s="149" t="s">
        <v>1449</v>
      </c>
      <c r="F1330" s="150"/>
      <c r="G1330" s="107"/>
      <c r="H1330" s="95"/>
    </row>
    <row r="1331" spans="1:8" x14ac:dyDescent="0.3">
      <c r="A1331" s="161"/>
      <c r="B1331" s="107"/>
      <c r="C1331" s="111"/>
      <c r="D1331" s="113"/>
      <c r="E1331" s="63" t="s">
        <v>1696</v>
      </c>
      <c r="F1331" s="150"/>
      <c r="G1331" s="107"/>
      <c r="H1331" s="95"/>
    </row>
    <row r="1332" spans="1:8" x14ac:dyDescent="0.3">
      <c r="A1332" s="161">
        <f>2</f>
        <v>2</v>
      </c>
      <c r="B1332" s="107" t="s">
        <v>1628</v>
      </c>
      <c r="C1332" s="111">
        <f>'04a_Box_Dims'!$J30</f>
        <v>6.75</v>
      </c>
      <c r="D1332" s="113"/>
      <c r="E1332" s="63" t="s">
        <v>1697</v>
      </c>
      <c r="F1332" s="150"/>
      <c r="G1332" s="107"/>
      <c r="H1332" s="95"/>
    </row>
    <row r="1333" spans="1:8" x14ac:dyDescent="0.3">
      <c r="A1333" s="161"/>
      <c r="B1333" s="107"/>
      <c r="C1333" s="111">
        <f>'04a_Box_Dims'!$U30</f>
        <v>0.6</v>
      </c>
      <c r="D1333" s="113">
        <f>$A1332*$C1332*$C1333</f>
        <v>8.1</v>
      </c>
      <c r="E1333" s="63"/>
      <c r="F1333" s="150"/>
      <c r="G1333" s="107"/>
      <c r="H1333" s="95"/>
    </row>
    <row r="1334" spans="1:8" x14ac:dyDescent="0.3">
      <c r="A1334" s="161"/>
      <c r="B1334" s="107"/>
      <c r="C1334" s="111"/>
      <c r="D1334" s="113">
        <f>SUM($D$1332:$D$1333)</f>
        <v>8.1</v>
      </c>
      <c r="E1334" s="63" t="s">
        <v>1660</v>
      </c>
      <c r="F1334" s="150">
        <f>ROUND($D1334,2)</f>
        <v>8.1</v>
      </c>
      <c r="G1334" s="107" t="s">
        <v>1688</v>
      </c>
      <c r="H1334" s="95"/>
    </row>
    <row r="1335" spans="1:8" x14ac:dyDescent="0.3">
      <c r="A1335" s="161"/>
      <c r="B1335" s="107"/>
      <c r="C1335" s="111"/>
      <c r="D1335" s="113"/>
      <c r="E1335" s="63"/>
      <c r="F1335" s="150"/>
      <c r="G1335" s="107"/>
      <c r="H1335" s="95"/>
    </row>
    <row r="1336" spans="1:8" x14ac:dyDescent="0.3">
      <c r="A1336" s="161"/>
      <c r="B1336" s="107"/>
      <c r="C1336" s="111"/>
      <c r="D1336" s="113"/>
      <c r="E1336" s="149" t="s">
        <v>1329</v>
      </c>
      <c r="F1336" s="150"/>
      <c r="G1336" s="107"/>
      <c r="H1336" s="95"/>
    </row>
    <row r="1337" spans="1:8" x14ac:dyDescent="0.3">
      <c r="A1337" s="161"/>
      <c r="B1337" s="107"/>
      <c r="C1337" s="111"/>
      <c r="D1337" s="113"/>
      <c r="E1337" s="63" t="s">
        <v>1698</v>
      </c>
      <c r="F1337" s="150"/>
      <c r="G1337" s="107"/>
      <c r="H1337" s="95"/>
    </row>
    <row r="1338" spans="1:8" x14ac:dyDescent="0.3">
      <c r="A1338" s="161">
        <f>2</f>
        <v>2</v>
      </c>
      <c r="B1338" s="107" t="s">
        <v>1628</v>
      </c>
      <c r="C1338" s="111">
        <f>'04a_Box_Dims'!$AE30</f>
        <v>10</v>
      </c>
      <c r="D1338" s="113"/>
      <c r="E1338" s="63" t="s">
        <v>1699</v>
      </c>
      <c r="F1338" s="150"/>
      <c r="G1338" s="107"/>
      <c r="H1338" s="95"/>
    </row>
    <row r="1339" spans="1:8" x14ac:dyDescent="0.3">
      <c r="A1339" s="161"/>
      <c r="B1339" s="107"/>
      <c r="C1339" s="111">
        <f>'04a_Box_Dims'!$E30</f>
        <v>3</v>
      </c>
      <c r="D1339" s="113">
        <f>$A1338*$C1338*$C1339</f>
        <v>60</v>
      </c>
      <c r="E1339" s="63"/>
      <c r="F1339" s="150"/>
      <c r="G1339" s="107"/>
      <c r="H1339" s="95"/>
    </row>
    <row r="1340" spans="1:8" x14ac:dyDescent="0.3">
      <c r="A1340" s="161">
        <f>('04a_Box_Dims'!$C30-1)*2</f>
        <v>2</v>
      </c>
      <c r="B1340" s="107" t="s">
        <v>1628</v>
      </c>
      <c r="C1340" s="111">
        <f>'04a_Box_Dims'!$AE30</f>
        <v>10</v>
      </c>
      <c r="D1340" s="113"/>
      <c r="E1340" s="63" t="s">
        <v>1700</v>
      </c>
      <c r="F1340" s="150"/>
      <c r="G1340" s="107"/>
      <c r="H1340" s="95"/>
    </row>
    <row r="1341" spans="1:8" x14ac:dyDescent="0.3">
      <c r="A1341" s="161"/>
      <c r="B1341" s="107"/>
      <c r="C1341" s="111">
        <f>'04a_Box_Dims'!$E30</f>
        <v>3</v>
      </c>
      <c r="D1341" s="113">
        <f>$A1340*$C1340*$C1341</f>
        <v>60</v>
      </c>
      <c r="E1341" s="63"/>
      <c r="F1341" s="150"/>
      <c r="G1341" s="107"/>
      <c r="H1341" s="95"/>
    </row>
    <row r="1342" spans="1:8" x14ac:dyDescent="0.3">
      <c r="A1342" s="161">
        <f>4</f>
        <v>4</v>
      </c>
      <c r="B1342" s="107" t="s">
        <v>1628</v>
      </c>
      <c r="C1342" s="111">
        <f>'04a_Box_Dims'!$Z30</f>
        <v>2.1213203435596424</v>
      </c>
      <c r="D1342" s="113"/>
      <c r="E1342" s="63" t="s">
        <v>1701</v>
      </c>
      <c r="F1342" s="150"/>
      <c r="G1342" s="107"/>
      <c r="H1342" s="95"/>
    </row>
    <row r="1343" spans="1:8" x14ac:dyDescent="0.3">
      <c r="A1343" s="161"/>
      <c r="B1343" s="107"/>
      <c r="C1343" s="111">
        <f>'04a_Box_Dims'!$Y30</f>
        <v>3.9928932188134518</v>
      </c>
      <c r="D1343" s="113">
        <f>$A1342*$C1342*$C1343</f>
        <v>33.880822458921273</v>
      </c>
      <c r="E1343" s="63"/>
      <c r="F1343" s="150"/>
      <c r="G1343" s="107"/>
      <c r="H1343" s="95"/>
    </row>
    <row r="1344" spans="1:8" x14ac:dyDescent="0.3">
      <c r="A1344" s="161"/>
      <c r="B1344" s="107"/>
      <c r="C1344" s="111"/>
      <c r="D1344" s="113">
        <f>SUM($D$1338:$D$1343)</f>
        <v>153.88082245892127</v>
      </c>
      <c r="E1344" s="63" t="s">
        <v>1660</v>
      </c>
      <c r="F1344" s="150">
        <f>ROUND($D1344,2)</f>
        <v>153.88</v>
      </c>
      <c r="G1344" s="107" t="s">
        <v>1688</v>
      </c>
      <c r="H1344" s="95"/>
    </row>
    <row r="1345" spans="1:8" x14ac:dyDescent="0.3">
      <c r="A1345" s="161"/>
      <c r="B1345" s="107"/>
      <c r="C1345" s="111"/>
      <c r="D1345" s="113"/>
      <c r="E1345" s="63"/>
      <c r="F1345" s="150"/>
      <c r="G1345" s="107"/>
      <c r="H1345" s="95"/>
    </row>
    <row r="1346" spans="1:8" x14ac:dyDescent="0.3">
      <c r="A1346" s="161"/>
      <c r="B1346" s="107"/>
      <c r="C1346" s="111"/>
      <c r="D1346" s="113"/>
      <c r="E1346" s="149" t="s">
        <v>1702</v>
      </c>
      <c r="F1346" s="150"/>
      <c r="G1346" s="107"/>
      <c r="H1346" s="95"/>
    </row>
    <row r="1347" spans="1:8" x14ac:dyDescent="0.3">
      <c r="A1347" s="161"/>
      <c r="B1347" s="107"/>
      <c r="C1347" s="111"/>
      <c r="D1347" s="113"/>
      <c r="E1347" s="63" t="s">
        <v>1703</v>
      </c>
      <c r="F1347" s="150"/>
      <c r="G1347" s="107"/>
      <c r="H1347" s="95"/>
    </row>
    <row r="1348" spans="1:8" x14ac:dyDescent="0.3">
      <c r="A1348" s="161"/>
      <c r="B1348" s="107"/>
      <c r="C1348" s="111"/>
      <c r="D1348" s="113">
        <v>0</v>
      </c>
      <c r="E1348" s="63" t="s">
        <v>1704</v>
      </c>
      <c r="F1348" s="150">
        <f t="shared" ref="F1348:F1353" si="8">ROUND($D1348,3)</f>
        <v>0</v>
      </c>
      <c r="G1348" s="107" t="s">
        <v>1474</v>
      </c>
      <c r="H1348" s="95"/>
    </row>
    <row r="1349" spans="1:8" x14ac:dyDescent="0.3">
      <c r="A1349" s="161"/>
      <c r="B1349" s="107"/>
      <c r="C1349" s="111"/>
      <c r="D1349" s="113">
        <f>'04b_Box_Bars'!$S17/1000</f>
        <v>1.2823981211953532</v>
      </c>
      <c r="E1349" s="63" t="s">
        <v>1705</v>
      </c>
      <c r="F1349" s="150">
        <f t="shared" si="8"/>
        <v>1.282</v>
      </c>
      <c r="G1349" s="107" t="s">
        <v>1474</v>
      </c>
      <c r="H1349" s="95"/>
    </row>
    <row r="1350" spans="1:8" x14ac:dyDescent="0.3">
      <c r="A1350" s="161"/>
      <c r="B1350" s="107"/>
      <c r="C1350" s="111"/>
      <c r="D1350" s="113">
        <f>'04b_Box_Bars'!$T17/1000</f>
        <v>4.9431659294788348</v>
      </c>
      <c r="E1350" s="63" t="s">
        <v>1706</v>
      </c>
      <c r="F1350" s="150">
        <f t="shared" si="8"/>
        <v>4.9429999999999996</v>
      </c>
      <c r="G1350" s="107" t="s">
        <v>1474</v>
      </c>
      <c r="H1350" s="95"/>
    </row>
    <row r="1351" spans="1:8" x14ac:dyDescent="0.3">
      <c r="A1351" s="161"/>
      <c r="B1351" s="107"/>
      <c r="C1351" s="111"/>
      <c r="D1351" s="113">
        <f>'04b_Box_Bars'!$U17/1000</f>
        <v>0.74600058090213384</v>
      </c>
      <c r="E1351" s="63" t="s">
        <v>1707</v>
      </c>
      <c r="F1351" s="150">
        <f t="shared" si="8"/>
        <v>0.746</v>
      </c>
      <c r="G1351" s="107" t="s">
        <v>1474</v>
      </c>
      <c r="H1351" s="95"/>
    </row>
    <row r="1352" spans="1:8" x14ac:dyDescent="0.3">
      <c r="A1352" s="161"/>
      <c r="B1352" s="107"/>
      <c r="C1352" s="111"/>
      <c r="D1352" s="113">
        <f>'04b_Box_Bars'!$V17/1000</f>
        <v>0.93911000875228967</v>
      </c>
      <c r="E1352" s="63" t="s">
        <v>1708</v>
      </c>
      <c r="F1352" s="150">
        <f t="shared" si="8"/>
        <v>0.93899999999999995</v>
      </c>
      <c r="G1352" s="107" t="s">
        <v>1474</v>
      </c>
      <c r="H1352" s="95"/>
    </row>
    <row r="1353" spans="1:8" x14ac:dyDescent="0.3">
      <c r="A1353" s="161"/>
      <c r="B1353" s="107"/>
      <c r="C1353" s="111"/>
      <c r="D1353" s="113">
        <f>'04b_Box_Bars'!$W17/1000</f>
        <v>0</v>
      </c>
      <c r="E1353" s="63" t="s">
        <v>1709</v>
      </c>
      <c r="F1353" s="150">
        <f t="shared" si="8"/>
        <v>0</v>
      </c>
      <c r="G1353" s="107" t="s">
        <v>1474</v>
      </c>
      <c r="H1353" s="95"/>
    </row>
    <row r="1354" spans="1:8" x14ac:dyDescent="0.3">
      <c r="A1354" s="161"/>
      <c r="B1354" s="107"/>
      <c r="C1354" s="111"/>
      <c r="D1354" s="113"/>
      <c r="E1354" s="63"/>
      <c r="F1354" s="150"/>
      <c r="G1354" s="107"/>
      <c r="H1354" s="95"/>
    </row>
    <row r="1355" spans="1:8" x14ac:dyDescent="0.3">
      <c r="A1355" s="161"/>
      <c r="B1355" s="107"/>
      <c r="C1355" s="111"/>
      <c r="D1355" s="113"/>
      <c r="E1355" s="63"/>
      <c r="F1355" s="150"/>
      <c r="G1355" s="107"/>
      <c r="H1355" s="95"/>
    </row>
    <row r="1356" spans="1:8" x14ac:dyDescent="0.3">
      <c r="A1356" s="160" t="str">
        <f>'04a_Box_Dims'!$F31&amp;"  No.  "&amp;'04a_Box_Dims'!$A31&amp;"   (L = "&amp;TEXT('04a_Box_Dims'!$AE31,"0.00")&amp;" m)"</f>
        <v>0  No.  3/3x3 box culvert   (L = 10.00 m)</v>
      </c>
      <c r="B1356" s="146"/>
      <c r="C1356" s="162"/>
      <c r="D1356" s="163"/>
      <c r="E1356" s="147"/>
      <c r="F1356" s="148"/>
      <c r="G1356" s="146"/>
      <c r="H1356" s="151"/>
    </row>
    <row r="1357" spans="1:8" x14ac:dyDescent="0.3">
      <c r="A1357" s="161"/>
      <c r="B1357" s="107"/>
      <c r="C1357" s="111"/>
      <c r="D1357" s="113"/>
      <c r="E1357" s="149" t="s">
        <v>1438</v>
      </c>
      <c r="F1357" s="150"/>
      <c r="G1357" s="107"/>
      <c r="H1357" s="95"/>
    </row>
    <row r="1358" spans="1:8" x14ac:dyDescent="0.3">
      <c r="A1358" s="161"/>
      <c r="B1358" s="107"/>
      <c r="C1358" s="111"/>
      <c r="D1358" s="113"/>
      <c r="E1358" s="63" t="s">
        <v>1655</v>
      </c>
      <c r="F1358" s="150"/>
      <c r="G1358" s="107"/>
      <c r="H1358" s="95"/>
    </row>
    <row r="1359" spans="1:8" x14ac:dyDescent="0.3">
      <c r="A1359" s="161">
        <f>1</f>
        <v>1</v>
      </c>
      <c r="B1359" s="107" t="s">
        <v>1628</v>
      </c>
      <c r="C1359" s="111">
        <f>'04a_Box_Dims'!$AE31</f>
        <v>10</v>
      </c>
      <c r="D1359" s="113"/>
      <c r="E1359" s="63" t="s">
        <v>1656</v>
      </c>
      <c r="F1359" s="150"/>
      <c r="G1359" s="107"/>
      <c r="H1359" s="95"/>
    </row>
    <row r="1360" spans="1:8" x14ac:dyDescent="0.3">
      <c r="A1360" s="161"/>
      <c r="B1360" s="107"/>
      <c r="C1360" s="111">
        <f>'04a_Box_Dims'!$J31+2*BX_work</f>
        <v>10.6</v>
      </c>
      <c r="D1360" s="113"/>
      <c r="E1360" s="63"/>
      <c r="F1360" s="150"/>
      <c r="G1360" s="107"/>
      <c r="H1360" s="95"/>
    </row>
    <row r="1361" spans="1:8" x14ac:dyDescent="0.3">
      <c r="A1361" s="161"/>
      <c r="B1361" s="107"/>
      <c r="C1361" s="111">
        <f>'04a_Box_Dims'!$L31+BX_blind+BX_exX</f>
        <v>3.6999999999999997</v>
      </c>
      <c r="D1361" s="113">
        <f>$A1359*$C1359*$C1360*$C1361</f>
        <v>392.2</v>
      </c>
      <c r="E1361" s="63"/>
      <c r="F1361" s="150"/>
      <c r="G1361" s="107"/>
      <c r="H1361" s="95"/>
    </row>
    <row r="1362" spans="1:8" x14ac:dyDescent="0.3">
      <c r="A1362" s="161">
        <f>2</f>
        <v>2</v>
      </c>
      <c r="B1362" s="107" t="s">
        <v>1628</v>
      </c>
      <c r="C1362" s="111">
        <f>'04a_Box_Dims'!$O31</f>
        <v>1.5</v>
      </c>
      <c r="D1362" s="113"/>
      <c r="E1362" s="63" t="s">
        <v>1657</v>
      </c>
      <c r="F1362" s="150"/>
      <c r="G1362" s="107"/>
      <c r="H1362" s="95"/>
    </row>
    <row r="1363" spans="1:8" x14ac:dyDescent="0.3">
      <c r="A1363" s="161"/>
      <c r="B1363" s="107"/>
      <c r="C1363" s="111">
        <f>'04a_Box_Dims'!$Q31</f>
        <v>11.5</v>
      </c>
      <c r="D1363" s="113"/>
      <c r="E1363" s="63"/>
      <c r="F1363" s="150"/>
      <c r="G1363" s="107"/>
      <c r="H1363" s="95"/>
    </row>
    <row r="1364" spans="1:8" x14ac:dyDescent="0.3">
      <c r="A1364" s="161"/>
      <c r="B1364" s="107"/>
      <c r="C1364" s="111">
        <f>'04a_Box_Dims'!$P31+BX_blind+BX_exX</f>
        <v>0.44999999999999996</v>
      </c>
      <c r="D1364" s="113">
        <f>$A1362*$C1362*$C1363*$C1364</f>
        <v>15.524999999999999</v>
      </c>
      <c r="E1364" s="63"/>
      <c r="F1364" s="150"/>
      <c r="G1364" s="107"/>
      <c r="H1364" s="95"/>
    </row>
    <row r="1365" spans="1:8" x14ac:dyDescent="0.3">
      <c r="A1365" s="161">
        <f>2</f>
        <v>2</v>
      </c>
      <c r="B1365" s="107" t="s">
        <v>1628</v>
      </c>
      <c r="C1365" s="111">
        <f>'04a_Box_Dims'!$R31</f>
        <v>10</v>
      </c>
      <c r="D1365" s="113"/>
      <c r="E1365" s="63" t="s">
        <v>1658</v>
      </c>
      <c r="F1365" s="150"/>
      <c r="G1365" s="107"/>
      <c r="H1365" s="95"/>
    </row>
    <row r="1366" spans="1:8" x14ac:dyDescent="0.3">
      <c r="A1366" s="161"/>
      <c r="B1366" s="107"/>
      <c r="C1366" s="111">
        <f>'04a_Box_Dims'!$S31</f>
        <v>0.2</v>
      </c>
      <c r="D1366" s="113"/>
      <c r="E1366" s="63"/>
      <c r="F1366" s="150"/>
      <c r="G1366" s="107"/>
      <c r="H1366" s="95"/>
    </row>
    <row r="1367" spans="1:8" x14ac:dyDescent="0.3">
      <c r="A1367" s="161"/>
      <c r="B1367" s="107"/>
      <c r="C1367" s="111">
        <f>'04a_Box_Dims'!$T31+BX_blind</f>
        <v>0.5</v>
      </c>
      <c r="D1367" s="113">
        <f>$A1365*$C1365*$C1366*$C1367</f>
        <v>2</v>
      </c>
      <c r="E1367" s="63"/>
      <c r="F1367" s="150"/>
      <c r="G1367" s="107"/>
      <c r="H1367" s="95"/>
    </row>
    <row r="1368" spans="1:8" x14ac:dyDescent="0.3">
      <c r="A1368" s="161">
        <f>4</f>
        <v>4</v>
      </c>
      <c r="B1368" s="107" t="s">
        <v>1628</v>
      </c>
      <c r="C1368" s="111">
        <f>'04a_Box_Dims'!$Z31</f>
        <v>2.1213203435596424</v>
      </c>
      <c r="D1368" s="113"/>
      <c r="E1368" s="63" t="s">
        <v>1659</v>
      </c>
      <c r="F1368" s="150"/>
      <c r="G1368" s="107"/>
      <c r="H1368" s="95"/>
    </row>
    <row r="1369" spans="1:8" x14ac:dyDescent="0.3">
      <c r="A1369" s="161"/>
      <c r="B1369" s="107"/>
      <c r="C1369" s="111">
        <f>'04a_Box_Dims'!$AC31</f>
        <v>0.9</v>
      </c>
      <c r="D1369" s="113"/>
      <c r="E1369" s="63"/>
      <c r="F1369" s="150"/>
      <c r="G1369" s="107"/>
      <c r="H1369" s="95"/>
    </row>
    <row r="1370" spans="1:8" x14ac:dyDescent="0.3">
      <c r="A1370" s="161"/>
      <c r="B1370" s="107"/>
      <c r="C1370" s="111">
        <f>'04a_Box_Dims'!$AD31+BX_blind</f>
        <v>0.35</v>
      </c>
      <c r="D1370" s="113">
        <f>$A1368*$C1368*$C1369*$C1370</f>
        <v>2.6728636328851492</v>
      </c>
      <c r="E1370" s="63"/>
      <c r="F1370" s="150"/>
      <c r="G1370" s="107"/>
      <c r="H1370" s="95"/>
    </row>
    <row r="1371" spans="1:8" x14ac:dyDescent="0.3">
      <c r="A1371" s="161"/>
      <c r="B1371" s="107"/>
      <c r="C1371" s="111"/>
      <c r="D1371" s="113">
        <f>SUM($D$1359:$D$1370)</f>
        <v>412.39786363288511</v>
      </c>
      <c r="E1371" s="63" t="s">
        <v>1660</v>
      </c>
      <c r="F1371" s="150">
        <f>ROUND($D1371,0)</f>
        <v>412</v>
      </c>
      <c r="G1371" s="107" t="s">
        <v>1661</v>
      </c>
      <c r="H1371" s="95"/>
    </row>
    <row r="1372" spans="1:8" x14ac:dyDescent="0.3">
      <c r="A1372" s="161"/>
      <c r="B1372" s="107"/>
      <c r="C1372" s="111"/>
      <c r="D1372" s="113"/>
      <c r="E1372" s="63"/>
      <c r="F1372" s="150"/>
      <c r="G1372" s="107"/>
      <c r="H1372" s="95"/>
    </row>
    <row r="1373" spans="1:8" x14ac:dyDescent="0.3">
      <c r="A1373" s="161"/>
      <c r="B1373" s="107"/>
      <c r="C1373" s="111"/>
      <c r="D1373" s="113"/>
      <c r="E1373" s="149" t="s">
        <v>1323</v>
      </c>
      <c r="F1373" s="150"/>
      <c r="G1373" s="107"/>
      <c r="H1373" s="95"/>
    </row>
    <row r="1374" spans="1:8" x14ac:dyDescent="0.3">
      <c r="A1374" s="161"/>
      <c r="B1374" s="107"/>
      <c r="C1374" s="111"/>
      <c r="D1374" s="113"/>
      <c r="E1374" s="63" t="s">
        <v>1662</v>
      </c>
      <c r="F1374" s="150"/>
      <c r="G1374" s="107"/>
      <c r="H1374" s="95"/>
    </row>
    <row r="1375" spans="1:8" x14ac:dyDescent="0.3">
      <c r="A1375" s="161">
        <f>1</f>
        <v>1</v>
      </c>
      <c r="B1375" s="107" t="s">
        <v>1628</v>
      </c>
      <c r="C1375" s="111">
        <f>'04a_Box_Dims'!$AE31</f>
        <v>10</v>
      </c>
      <c r="D1375" s="113"/>
      <c r="E1375" s="63" t="s">
        <v>1663</v>
      </c>
      <c r="F1375" s="150"/>
      <c r="G1375" s="107"/>
      <c r="H1375" s="95"/>
    </row>
    <row r="1376" spans="1:8" x14ac:dyDescent="0.3">
      <c r="A1376" s="161"/>
      <c r="B1376" s="107"/>
      <c r="C1376" s="111">
        <f>'04a_Box_Dims'!$J31</f>
        <v>10</v>
      </c>
      <c r="D1376" s="113"/>
      <c r="E1376" s="63"/>
      <c r="F1376" s="150"/>
      <c r="G1376" s="107"/>
      <c r="H1376" s="95"/>
    </row>
    <row r="1377" spans="1:8" x14ac:dyDescent="0.3">
      <c r="A1377" s="161"/>
      <c r="B1377" s="107"/>
      <c r="C1377" s="111">
        <f>BX_blind</f>
        <v>0.05</v>
      </c>
      <c r="D1377" s="113">
        <f>$A1375*$C1375*$C1376*$C1377</f>
        <v>5</v>
      </c>
      <c r="E1377" s="63"/>
      <c r="F1377" s="150"/>
      <c r="G1377" s="107"/>
      <c r="H1377" s="95"/>
    </row>
    <row r="1378" spans="1:8" x14ac:dyDescent="0.3">
      <c r="A1378" s="161">
        <f>2</f>
        <v>2</v>
      </c>
      <c r="B1378" s="107" t="s">
        <v>1628</v>
      </c>
      <c r="C1378" s="111">
        <f>'04a_Box_Dims'!$O31</f>
        <v>1.5</v>
      </c>
      <c r="D1378" s="113"/>
      <c r="E1378" s="63" t="s">
        <v>1657</v>
      </c>
      <c r="F1378" s="150"/>
      <c r="G1378" s="107"/>
      <c r="H1378" s="95"/>
    </row>
    <row r="1379" spans="1:8" x14ac:dyDescent="0.3">
      <c r="A1379" s="161"/>
      <c r="B1379" s="107"/>
      <c r="C1379" s="111">
        <f>'04a_Box_Dims'!$Q31</f>
        <v>11.5</v>
      </c>
      <c r="D1379" s="113"/>
      <c r="E1379" s="63"/>
      <c r="F1379" s="150"/>
      <c r="G1379" s="107"/>
      <c r="H1379" s="95"/>
    </row>
    <row r="1380" spans="1:8" x14ac:dyDescent="0.3">
      <c r="A1380" s="161"/>
      <c r="B1380" s="107"/>
      <c r="C1380" s="111">
        <f>BX_blind</f>
        <v>0.05</v>
      </c>
      <c r="D1380" s="113">
        <f>$A1378*$C1378*$C1379*$C1380</f>
        <v>1.7250000000000001</v>
      </c>
      <c r="E1380" s="63"/>
      <c r="F1380" s="150"/>
      <c r="G1380" s="107"/>
      <c r="H1380" s="95"/>
    </row>
    <row r="1381" spans="1:8" x14ac:dyDescent="0.3">
      <c r="A1381" s="161">
        <f>2</f>
        <v>2</v>
      </c>
      <c r="B1381" s="107" t="s">
        <v>1628</v>
      </c>
      <c r="C1381" s="111">
        <f>'04a_Box_Dims'!$R31</f>
        <v>10</v>
      </c>
      <c r="D1381" s="113"/>
      <c r="E1381" s="63" t="s">
        <v>1658</v>
      </c>
      <c r="F1381" s="150"/>
      <c r="G1381" s="107"/>
      <c r="H1381" s="95"/>
    </row>
    <row r="1382" spans="1:8" x14ac:dyDescent="0.3">
      <c r="A1382" s="161"/>
      <c r="B1382" s="107"/>
      <c r="C1382" s="111">
        <f>'04a_Box_Dims'!$S31</f>
        <v>0.2</v>
      </c>
      <c r="D1382" s="113"/>
      <c r="E1382" s="63"/>
      <c r="F1382" s="150"/>
      <c r="G1382" s="107"/>
      <c r="H1382" s="95"/>
    </row>
    <row r="1383" spans="1:8" x14ac:dyDescent="0.3">
      <c r="A1383" s="161"/>
      <c r="B1383" s="107"/>
      <c r="C1383" s="111">
        <f>BX_blind</f>
        <v>0.05</v>
      </c>
      <c r="D1383" s="113">
        <f>$A1381*$C1381*$C1382*$C1383</f>
        <v>0.2</v>
      </c>
      <c r="E1383" s="63"/>
      <c r="F1383" s="150"/>
      <c r="G1383" s="107"/>
      <c r="H1383" s="95"/>
    </row>
    <row r="1384" spans="1:8" x14ac:dyDescent="0.3">
      <c r="A1384" s="161">
        <f>4</f>
        <v>4</v>
      </c>
      <c r="B1384" s="107" t="s">
        <v>1628</v>
      </c>
      <c r="C1384" s="111">
        <f>'04a_Box_Dims'!$Z31</f>
        <v>2.1213203435596424</v>
      </c>
      <c r="D1384" s="113"/>
      <c r="E1384" s="63" t="s">
        <v>1659</v>
      </c>
      <c r="F1384" s="150"/>
      <c r="G1384" s="107"/>
      <c r="H1384" s="95"/>
    </row>
    <row r="1385" spans="1:8" x14ac:dyDescent="0.3">
      <c r="A1385" s="161"/>
      <c r="B1385" s="107"/>
      <c r="C1385" s="111">
        <f>'04a_Box_Dims'!$AC31</f>
        <v>0.9</v>
      </c>
      <c r="D1385" s="113"/>
      <c r="E1385" s="63"/>
      <c r="F1385" s="150"/>
      <c r="G1385" s="107"/>
      <c r="H1385" s="95"/>
    </row>
    <row r="1386" spans="1:8" x14ac:dyDescent="0.3">
      <c r="A1386" s="161"/>
      <c r="B1386" s="107"/>
      <c r="C1386" s="111">
        <f>BX_blind</f>
        <v>0.05</v>
      </c>
      <c r="D1386" s="113">
        <f>$A1384*$C1384*$C1385*$C1386</f>
        <v>0.38183766184073564</v>
      </c>
      <c r="E1386" s="63"/>
      <c r="F1386" s="150"/>
      <c r="G1386" s="107"/>
      <c r="H1386" s="95"/>
    </row>
    <row r="1387" spans="1:8" x14ac:dyDescent="0.3">
      <c r="A1387" s="161"/>
      <c r="B1387" s="107"/>
      <c r="C1387" s="111"/>
      <c r="D1387" s="113">
        <f>SUM($D$1375:$D$1386)</f>
        <v>7.3068376618407358</v>
      </c>
      <c r="E1387" s="63" t="s">
        <v>1660</v>
      </c>
      <c r="F1387" s="150">
        <f>ROUND($D1387,2)</f>
        <v>7.31</v>
      </c>
      <c r="G1387" s="107" t="s">
        <v>1661</v>
      </c>
      <c r="H1387" s="95"/>
    </row>
    <row r="1388" spans="1:8" x14ac:dyDescent="0.3">
      <c r="A1388" s="161"/>
      <c r="B1388" s="107"/>
      <c r="C1388" s="111"/>
      <c r="D1388" s="113"/>
      <c r="E1388" s="63"/>
      <c r="F1388" s="150"/>
      <c r="G1388" s="107"/>
      <c r="H1388" s="95"/>
    </row>
    <row r="1389" spans="1:8" x14ac:dyDescent="0.3">
      <c r="A1389" s="161"/>
      <c r="B1389" s="107"/>
      <c r="C1389" s="111"/>
      <c r="D1389" s="113"/>
      <c r="E1389" s="149" t="s">
        <v>1324</v>
      </c>
      <c r="F1389" s="150"/>
      <c r="G1389" s="107"/>
      <c r="H1389" s="95"/>
    </row>
    <row r="1390" spans="1:8" x14ac:dyDescent="0.3">
      <c r="A1390" s="161"/>
      <c r="B1390" s="107"/>
      <c r="C1390" s="111"/>
      <c r="D1390" s="113"/>
      <c r="E1390" s="63" t="s">
        <v>1664</v>
      </c>
      <c r="F1390" s="150"/>
      <c r="G1390" s="107"/>
      <c r="H1390" s="95"/>
    </row>
    <row r="1391" spans="1:8" x14ac:dyDescent="0.3">
      <c r="A1391" s="161"/>
      <c r="B1391" s="107"/>
      <c r="C1391" s="111"/>
      <c r="D1391" s="113">
        <f>$D1387</f>
        <v>7.3068376618407358</v>
      </c>
      <c r="E1391" s="63" t="s">
        <v>1665</v>
      </c>
      <c r="F1391" s="150">
        <f>$F1387</f>
        <v>7.31</v>
      </c>
      <c r="G1391" s="107" t="s">
        <v>1661</v>
      </c>
      <c r="H1391" s="95"/>
    </row>
    <row r="1392" spans="1:8" x14ac:dyDescent="0.3">
      <c r="A1392" s="161"/>
      <c r="B1392" s="107"/>
      <c r="C1392" s="111"/>
      <c r="D1392" s="113"/>
      <c r="E1392" s="63"/>
      <c r="F1392" s="150"/>
      <c r="G1392" s="107"/>
      <c r="H1392" s="95"/>
    </row>
    <row r="1393" spans="1:8" x14ac:dyDescent="0.3">
      <c r="A1393" s="161"/>
      <c r="B1393" s="107"/>
      <c r="C1393" s="111"/>
      <c r="D1393" s="113"/>
      <c r="E1393" s="149" t="s">
        <v>1455</v>
      </c>
      <c r="F1393" s="150"/>
      <c r="G1393" s="107"/>
      <c r="H1393" s="95"/>
    </row>
    <row r="1394" spans="1:8" x14ac:dyDescent="0.3">
      <c r="A1394" s="161"/>
      <c r="B1394" s="107"/>
      <c r="C1394" s="111"/>
      <c r="D1394" s="113"/>
      <c r="E1394" s="63" t="s">
        <v>1666</v>
      </c>
      <c r="F1394" s="150"/>
      <c r="G1394" s="107"/>
      <c r="H1394" s="95"/>
    </row>
    <row r="1395" spans="1:8" x14ac:dyDescent="0.3">
      <c r="A1395" s="161">
        <f>1</f>
        <v>1</v>
      </c>
      <c r="B1395" s="107" t="s">
        <v>1628</v>
      </c>
      <c r="C1395" s="111">
        <f>'04a_Box_Dims'!$AE31</f>
        <v>10</v>
      </c>
      <c r="D1395" s="113"/>
      <c r="E1395" s="63" t="s">
        <v>1667</v>
      </c>
      <c r="F1395" s="150"/>
      <c r="G1395" s="107"/>
      <c r="H1395" s="95"/>
    </row>
    <row r="1396" spans="1:8" x14ac:dyDescent="0.3">
      <c r="A1396" s="161"/>
      <c r="B1396" s="107"/>
      <c r="C1396" s="111">
        <f>'04a_Box_Dims'!$J31</f>
        <v>10</v>
      </c>
      <c r="D1396" s="113"/>
      <c r="E1396" s="63"/>
      <c r="F1396" s="150"/>
      <c r="G1396" s="107"/>
      <c r="H1396" s="95"/>
    </row>
    <row r="1397" spans="1:8" x14ac:dyDescent="0.3">
      <c r="A1397" s="161"/>
      <c r="B1397" s="107"/>
      <c r="C1397" s="111">
        <f>'04a_Box_Dims'!$I31</f>
        <v>0.25</v>
      </c>
      <c r="D1397" s="113">
        <f>$A1395*$C1395*$C1396*$C1397</f>
        <v>25</v>
      </c>
      <c r="E1397" s="63"/>
      <c r="F1397" s="150"/>
      <c r="G1397" s="107"/>
      <c r="H1397" s="95">
        <f>'04a_Box_Dims'!$I31</f>
        <v>0.25</v>
      </c>
    </row>
    <row r="1398" spans="1:8" x14ac:dyDescent="0.3">
      <c r="A1398" s="161">
        <f>2</f>
        <v>2</v>
      </c>
      <c r="B1398" s="107" t="s">
        <v>1628</v>
      </c>
      <c r="C1398" s="111">
        <f>'04a_Box_Dims'!$O31</f>
        <v>1.5</v>
      </c>
      <c r="D1398" s="113"/>
      <c r="E1398" s="63" t="s">
        <v>1657</v>
      </c>
      <c r="F1398" s="150"/>
      <c r="G1398" s="107"/>
      <c r="H1398" s="95"/>
    </row>
    <row r="1399" spans="1:8" x14ac:dyDescent="0.3">
      <c r="A1399" s="161"/>
      <c r="B1399" s="107"/>
      <c r="C1399" s="111">
        <f>'04a_Box_Dims'!$Q31</f>
        <v>11.5</v>
      </c>
      <c r="D1399" s="113"/>
      <c r="E1399" s="63"/>
      <c r="F1399" s="150"/>
      <c r="G1399" s="107"/>
      <c r="H1399" s="95"/>
    </row>
    <row r="1400" spans="1:8" x14ac:dyDescent="0.3">
      <c r="A1400" s="161"/>
      <c r="B1400" s="107"/>
      <c r="C1400" s="111">
        <f>'04a_Box_Dims'!$P31</f>
        <v>0.25</v>
      </c>
      <c r="D1400" s="113">
        <f>$A1398*$C1398*$C1399*$C1400</f>
        <v>8.625</v>
      </c>
      <c r="E1400" s="63"/>
      <c r="F1400" s="150"/>
      <c r="G1400" s="107"/>
      <c r="H1400" s="95">
        <f>'04a_Box_Dims'!$P31</f>
        <v>0.25</v>
      </c>
    </row>
    <row r="1401" spans="1:8" x14ac:dyDescent="0.3">
      <c r="A1401" s="161">
        <f>2</f>
        <v>2</v>
      </c>
      <c r="B1401" s="107" t="s">
        <v>1628</v>
      </c>
      <c r="C1401" s="111">
        <f>'04a_Box_Dims'!$R31</f>
        <v>10</v>
      </c>
      <c r="D1401" s="113"/>
      <c r="E1401" s="63" t="s">
        <v>1658</v>
      </c>
      <c r="F1401" s="150"/>
      <c r="G1401" s="107"/>
      <c r="H1401" s="95"/>
    </row>
    <row r="1402" spans="1:8" x14ac:dyDescent="0.3">
      <c r="A1402" s="161"/>
      <c r="B1402" s="107"/>
      <c r="C1402" s="111">
        <f>'04a_Box_Dims'!$S31</f>
        <v>0.2</v>
      </c>
      <c r="D1402" s="113"/>
      <c r="E1402" s="63"/>
      <c r="F1402" s="150"/>
      <c r="G1402" s="107"/>
      <c r="H1402" s="95"/>
    </row>
    <row r="1403" spans="1:8" x14ac:dyDescent="0.3">
      <c r="A1403" s="161"/>
      <c r="B1403" s="107"/>
      <c r="C1403" s="111">
        <f>'04a_Box_Dims'!$T31</f>
        <v>0.45</v>
      </c>
      <c r="D1403" s="113">
        <f>$A1401*$C1401*$C1402*$C1403</f>
        <v>1.8</v>
      </c>
      <c r="E1403" s="63"/>
      <c r="F1403" s="150"/>
      <c r="G1403" s="107"/>
      <c r="H1403" s="95">
        <f>'04a_Box_Dims'!$S31</f>
        <v>0.2</v>
      </c>
    </row>
    <row r="1404" spans="1:8" x14ac:dyDescent="0.3">
      <c r="A1404" s="161">
        <f>4</f>
        <v>4</v>
      </c>
      <c r="B1404" s="107" t="s">
        <v>1628</v>
      </c>
      <c r="C1404" s="111">
        <f>'04a_Box_Dims'!$Z31</f>
        <v>2.1213203435596424</v>
      </c>
      <c r="D1404" s="113"/>
      <c r="E1404" s="63" t="s">
        <v>1659</v>
      </c>
      <c r="F1404" s="150"/>
      <c r="G1404" s="107"/>
      <c r="H1404" s="95"/>
    </row>
    <row r="1405" spans="1:8" x14ac:dyDescent="0.3">
      <c r="A1405" s="161"/>
      <c r="B1405" s="107"/>
      <c r="C1405" s="111">
        <f>'04a_Box_Dims'!$AC31</f>
        <v>0.9</v>
      </c>
      <c r="D1405" s="113"/>
      <c r="E1405" s="63"/>
      <c r="F1405" s="150"/>
      <c r="G1405" s="107"/>
      <c r="H1405" s="95"/>
    </row>
    <row r="1406" spans="1:8" x14ac:dyDescent="0.3">
      <c r="A1406" s="161"/>
      <c r="B1406" s="107"/>
      <c r="C1406" s="111">
        <f>'04a_Box_Dims'!$AD31</f>
        <v>0.3</v>
      </c>
      <c r="D1406" s="113">
        <f>$A1404*$C1404*$C1405*$C1406</f>
        <v>2.2910259710444136</v>
      </c>
      <c r="E1406" s="63"/>
      <c r="F1406" s="150"/>
      <c r="G1406" s="107"/>
      <c r="H1406" s="95">
        <f>'04a_Box_Dims'!$AD31</f>
        <v>0.3</v>
      </c>
    </row>
    <row r="1407" spans="1:8" x14ac:dyDescent="0.3">
      <c r="A1407" s="161"/>
      <c r="B1407" s="107"/>
      <c r="C1407" s="111"/>
      <c r="D1407" s="113">
        <f>SUM($D$1395:$D$1406)</f>
        <v>37.716025971044409</v>
      </c>
      <c r="E1407" s="63" t="s">
        <v>1660</v>
      </c>
      <c r="F1407" s="150">
        <f>ROUND($D1407,2)</f>
        <v>37.72</v>
      </c>
      <c r="G1407" s="107" t="s">
        <v>1661</v>
      </c>
      <c r="H1407" s="95"/>
    </row>
    <row r="1408" spans="1:8" x14ac:dyDescent="0.3">
      <c r="A1408" s="161"/>
      <c r="B1408" s="107"/>
      <c r="C1408" s="111"/>
      <c r="D1408" s="113"/>
      <c r="E1408" s="63"/>
      <c r="F1408" s="150"/>
      <c r="G1408" s="107"/>
      <c r="H1408" s="95"/>
    </row>
    <row r="1409" spans="1:8" x14ac:dyDescent="0.3">
      <c r="A1409" s="161"/>
      <c r="B1409" s="107"/>
      <c r="C1409" s="111"/>
      <c r="D1409" s="113"/>
      <c r="E1409" s="149" t="s">
        <v>1668</v>
      </c>
      <c r="F1409" s="150"/>
      <c r="G1409" s="107"/>
      <c r="H1409" s="95"/>
    </row>
    <row r="1410" spans="1:8" x14ac:dyDescent="0.3">
      <c r="A1410" s="161"/>
      <c r="B1410" s="107"/>
      <c r="C1410" s="111"/>
      <c r="D1410" s="113"/>
      <c r="E1410" s="63" t="s">
        <v>1669</v>
      </c>
      <c r="F1410" s="150"/>
      <c r="G1410" s="107"/>
      <c r="H1410" s="95"/>
    </row>
    <row r="1411" spans="1:8" x14ac:dyDescent="0.3">
      <c r="A1411" s="161"/>
      <c r="B1411" s="107"/>
      <c r="C1411" s="111"/>
      <c r="D1411" s="113">
        <f>SUMIF($H$1395:$H$1406,"&lt;=0.3",$D$1395:$D$1406)</f>
        <v>37.716025971044409</v>
      </c>
      <c r="E1411" s="63" t="s">
        <v>1670</v>
      </c>
      <c r="F1411" s="150">
        <f>ROUND($D1411,2)</f>
        <v>37.72</v>
      </c>
      <c r="G1411" s="107" t="s">
        <v>1661</v>
      </c>
      <c r="H1411" s="95"/>
    </row>
    <row r="1412" spans="1:8" x14ac:dyDescent="0.3">
      <c r="A1412" s="161"/>
      <c r="B1412" s="107"/>
      <c r="C1412" s="111"/>
      <c r="D1412" s="113">
        <f>SUMIF($H$1395:$H$1406,"&gt;0.3",$D$1395:$D$1406)</f>
        <v>0</v>
      </c>
      <c r="E1412" s="63" t="s">
        <v>1671</v>
      </c>
      <c r="F1412" s="150">
        <f>ROUND($D1412,2)</f>
        <v>0</v>
      </c>
      <c r="G1412" s="107" t="s">
        <v>1661</v>
      </c>
      <c r="H1412" s="95"/>
    </row>
    <row r="1413" spans="1:8" x14ac:dyDescent="0.3">
      <c r="A1413" s="161"/>
      <c r="B1413" s="107"/>
      <c r="C1413" s="111"/>
      <c r="D1413" s="113"/>
      <c r="E1413" s="63"/>
      <c r="F1413" s="150"/>
      <c r="G1413" s="107"/>
      <c r="H1413" s="95"/>
    </row>
    <row r="1414" spans="1:8" x14ac:dyDescent="0.3">
      <c r="A1414" s="161"/>
      <c r="B1414" s="107"/>
      <c r="C1414" s="111"/>
      <c r="D1414" s="113"/>
      <c r="E1414" s="149" t="s">
        <v>1455</v>
      </c>
      <c r="F1414" s="150"/>
      <c r="G1414" s="107"/>
      <c r="H1414" s="95"/>
    </row>
    <row r="1415" spans="1:8" x14ac:dyDescent="0.3">
      <c r="A1415" s="161"/>
      <c r="B1415" s="107"/>
      <c r="C1415" s="111"/>
      <c r="D1415" s="113"/>
      <c r="E1415" s="63" t="s">
        <v>1672</v>
      </c>
      <c r="F1415" s="150"/>
      <c r="G1415" s="107"/>
      <c r="H1415" s="95"/>
    </row>
    <row r="1416" spans="1:8" x14ac:dyDescent="0.3">
      <c r="A1416" s="161">
        <f>1</f>
        <v>1</v>
      </c>
      <c r="B1416" s="107" t="s">
        <v>1628</v>
      </c>
      <c r="C1416" s="111">
        <f>'04a_Box_Dims'!$AE31</f>
        <v>10</v>
      </c>
      <c r="D1416" s="113"/>
      <c r="E1416" s="63" t="s">
        <v>1673</v>
      </c>
      <c r="F1416" s="150"/>
      <c r="G1416" s="107"/>
      <c r="H1416" s="95"/>
    </row>
    <row r="1417" spans="1:8" x14ac:dyDescent="0.3">
      <c r="A1417" s="161"/>
      <c r="B1417" s="107"/>
      <c r="C1417" s="111">
        <f>'04a_Box_Dims'!$J31</f>
        <v>10</v>
      </c>
      <c r="D1417" s="113"/>
      <c r="E1417" s="63"/>
      <c r="F1417" s="150"/>
      <c r="G1417" s="107"/>
      <c r="H1417" s="95"/>
    </row>
    <row r="1418" spans="1:8" x14ac:dyDescent="0.3">
      <c r="A1418" s="161"/>
      <c r="B1418" s="107"/>
      <c r="C1418" s="111">
        <f>'04a_Box_Dims'!$I31</f>
        <v>0.25</v>
      </c>
      <c r="D1418" s="113">
        <f>$A1416*$C1416*$C1417*$C1418</f>
        <v>25</v>
      </c>
      <c r="E1418" s="63"/>
      <c r="F1418" s="150"/>
      <c r="G1418" s="107"/>
      <c r="H1418" s="95">
        <f>'04a_Box_Dims'!$I31</f>
        <v>0.25</v>
      </c>
    </row>
    <row r="1419" spans="1:8" x14ac:dyDescent="0.3">
      <c r="A1419" s="161"/>
      <c r="B1419" s="107"/>
      <c r="C1419" s="111"/>
      <c r="D1419" s="113">
        <f>SUM($D$1416:$D$1418)</f>
        <v>25</v>
      </c>
      <c r="E1419" s="63" t="s">
        <v>1660</v>
      </c>
      <c r="F1419" s="150">
        <f>ROUND($D1419,2)</f>
        <v>25</v>
      </c>
      <c r="G1419" s="107" t="s">
        <v>1661</v>
      </c>
      <c r="H1419" s="95"/>
    </row>
    <row r="1420" spans="1:8" x14ac:dyDescent="0.3">
      <c r="A1420" s="161"/>
      <c r="B1420" s="107"/>
      <c r="C1420" s="111"/>
      <c r="D1420" s="113"/>
      <c r="E1420" s="63"/>
      <c r="F1420" s="150"/>
      <c r="G1420" s="107"/>
      <c r="H1420" s="95"/>
    </row>
    <row r="1421" spans="1:8" x14ac:dyDescent="0.3">
      <c r="A1421" s="161"/>
      <c r="B1421" s="107"/>
      <c r="C1421" s="111"/>
      <c r="D1421" s="113"/>
      <c r="E1421" s="149" t="s">
        <v>1674</v>
      </c>
      <c r="F1421" s="150"/>
      <c r="G1421" s="107"/>
      <c r="H1421" s="95"/>
    </row>
    <row r="1422" spans="1:8" x14ac:dyDescent="0.3">
      <c r="A1422" s="161"/>
      <c r="B1422" s="107"/>
      <c r="C1422" s="111"/>
      <c r="D1422" s="113"/>
      <c r="E1422" s="63" t="s">
        <v>1675</v>
      </c>
      <c r="F1422" s="150"/>
      <c r="G1422" s="107"/>
      <c r="H1422" s="95"/>
    </row>
    <row r="1423" spans="1:8" x14ac:dyDescent="0.3">
      <c r="A1423" s="161"/>
      <c r="B1423" s="107"/>
      <c r="C1423" s="111"/>
      <c r="D1423" s="113">
        <f>SUMIF($H$1416:$H$1418,"&lt;=0.3",$D$1416:$D$1418)</f>
        <v>25</v>
      </c>
      <c r="E1423" s="63" t="s">
        <v>1670</v>
      </c>
      <c r="F1423" s="150">
        <f>ROUND($D1423,2)</f>
        <v>25</v>
      </c>
      <c r="G1423" s="107" t="s">
        <v>1661</v>
      </c>
      <c r="H1423" s="95"/>
    </row>
    <row r="1424" spans="1:8" x14ac:dyDescent="0.3">
      <c r="A1424" s="161"/>
      <c r="B1424" s="107"/>
      <c r="C1424" s="111"/>
      <c r="D1424" s="113">
        <f>SUMIF($H$1416:$H$1418,"&gt;0.3",$D$1416:$D$1418)</f>
        <v>0</v>
      </c>
      <c r="E1424" s="63" t="s">
        <v>1671</v>
      </c>
      <c r="F1424" s="150">
        <f>ROUND($D1424,2)</f>
        <v>0</v>
      </c>
      <c r="G1424" s="107" t="s">
        <v>1661</v>
      </c>
      <c r="H1424" s="95"/>
    </row>
    <row r="1425" spans="1:8" x14ac:dyDescent="0.3">
      <c r="A1425" s="161"/>
      <c r="B1425" s="107"/>
      <c r="C1425" s="111"/>
      <c r="D1425" s="113"/>
      <c r="E1425" s="63"/>
      <c r="F1425" s="150"/>
      <c r="G1425" s="107"/>
      <c r="H1425" s="95"/>
    </row>
    <row r="1426" spans="1:8" x14ac:dyDescent="0.3">
      <c r="A1426" s="161"/>
      <c r="B1426" s="107"/>
      <c r="C1426" s="111"/>
      <c r="D1426" s="113"/>
      <c r="E1426" s="149" t="s">
        <v>1455</v>
      </c>
      <c r="F1426" s="150"/>
      <c r="G1426" s="107"/>
      <c r="H1426" s="95"/>
    </row>
    <row r="1427" spans="1:8" x14ac:dyDescent="0.3">
      <c r="A1427" s="161"/>
      <c r="B1427" s="107"/>
      <c r="C1427" s="111"/>
      <c r="D1427" s="113"/>
      <c r="E1427" s="63" t="s">
        <v>1676</v>
      </c>
      <c r="F1427" s="150"/>
      <c r="G1427" s="107"/>
      <c r="H1427" s="95"/>
    </row>
    <row r="1428" spans="1:8" x14ac:dyDescent="0.3">
      <c r="A1428" s="161">
        <f>2</f>
        <v>2</v>
      </c>
      <c r="B1428" s="107" t="s">
        <v>1628</v>
      </c>
      <c r="C1428" s="111">
        <f>'04a_Box_Dims'!$AE31</f>
        <v>10</v>
      </c>
      <c r="D1428" s="113"/>
      <c r="E1428" s="63" t="s">
        <v>1677</v>
      </c>
      <c r="F1428" s="150"/>
      <c r="G1428" s="107"/>
      <c r="H1428" s="95"/>
    </row>
    <row r="1429" spans="1:8" x14ac:dyDescent="0.3">
      <c r="A1429" s="161"/>
      <c r="B1429" s="107"/>
      <c r="C1429" s="111">
        <f>'04a_Box_Dims'!$E31</f>
        <v>3</v>
      </c>
      <c r="D1429" s="113"/>
      <c r="E1429" s="63"/>
      <c r="F1429" s="150"/>
      <c r="G1429" s="107"/>
      <c r="H1429" s="95"/>
    </row>
    <row r="1430" spans="1:8" x14ac:dyDescent="0.3">
      <c r="A1430" s="161"/>
      <c r="B1430" s="107"/>
      <c r="C1430" s="111">
        <f>'04a_Box_Dims'!$I31</f>
        <v>0.25</v>
      </c>
      <c r="D1430" s="113">
        <f>$A1428*$C1428*$C1429*$C1430</f>
        <v>15</v>
      </c>
      <c r="E1430" s="63"/>
      <c r="F1430" s="150"/>
      <c r="G1430" s="107"/>
      <c r="H1430" s="95">
        <f>'04a_Box_Dims'!$I31</f>
        <v>0.25</v>
      </c>
    </row>
    <row r="1431" spans="1:8" x14ac:dyDescent="0.3">
      <c r="A1431" s="161">
        <f>'04a_Box_Dims'!$C31-1</f>
        <v>2</v>
      </c>
      <c r="B1431" s="107" t="s">
        <v>1628</v>
      </c>
      <c r="C1431" s="111">
        <f>'04a_Box_Dims'!$AE31</f>
        <v>10</v>
      </c>
      <c r="D1431" s="113"/>
      <c r="E1431" s="63" t="s">
        <v>1678</v>
      </c>
      <c r="F1431" s="150"/>
      <c r="G1431" s="107"/>
      <c r="H1431" s="95"/>
    </row>
    <row r="1432" spans="1:8" x14ac:dyDescent="0.3">
      <c r="A1432" s="161"/>
      <c r="B1432" s="107"/>
      <c r="C1432" s="111">
        <f>'04a_Box_Dims'!$E31</f>
        <v>3</v>
      </c>
      <c r="D1432" s="113"/>
      <c r="E1432" s="63"/>
      <c r="F1432" s="150"/>
      <c r="G1432" s="107"/>
      <c r="H1432" s="95"/>
    </row>
    <row r="1433" spans="1:8" x14ac:dyDescent="0.3">
      <c r="A1433" s="161"/>
      <c r="B1433" s="107"/>
      <c r="C1433" s="111">
        <f>'04a_Box_Dims'!$I31</f>
        <v>0.25</v>
      </c>
      <c r="D1433" s="113">
        <f>$A1431*$C1431*$C1432*$C1433</f>
        <v>15</v>
      </c>
      <c r="E1433" s="63"/>
      <c r="F1433" s="150"/>
      <c r="G1433" s="107"/>
      <c r="H1433" s="95">
        <f>'04a_Box_Dims'!$I31</f>
        <v>0.25</v>
      </c>
    </row>
    <row r="1434" spans="1:8" x14ac:dyDescent="0.3">
      <c r="A1434" s="161">
        <f>4*'04a_Box_Dims'!$C31</f>
        <v>12</v>
      </c>
      <c r="B1434" s="107" t="s">
        <v>1628</v>
      </c>
      <c r="C1434" s="111">
        <f>'04a_Box_Dims'!$AE31</f>
        <v>10</v>
      </c>
      <c r="D1434" s="113"/>
      <c r="E1434" s="63" t="s">
        <v>1679</v>
      </c>
      <c r="F1434" s="150"/>
      <c r="G1434" s="107"/>
      <c r="H1434" s="95"/>
    </row>
    <row r="1435" spans="1:8" x14ac:dyDescent="0.3">
      <c r="A1435" s="161"/>
      <c r="B1435" s="107"/>
      <c r="C1435" s="111">
        <f>'04a_Box_Dims'!$N31</f>
        <v>0.15</v>
      </c>
      <c r="D1435" s="113"/>
      <c r="E1435" s="63"/>
      <c r="F1435" s="150"/>
      <c r="G1435" s="107"/>
      <c r="H1435" s="95"/>
    </row>
    <row r="1436" spans="1:8" x14ac:dyDescent="0.3">
      <c r="A1436" s="161"/>
      <c r="B1436" s="107"/>
      <c r="C1436" s="111">
        <f>'04a_Box_Dims'!$N31/2</f>
        <v>7.4999999999999997E-2</v>
      </c>
      <c r="D1436" s="113">
        <f>$A1434*$C1434*$C1435*$C1436</f>
        <v>1.3499999999999999</v>
      </c>
      <c r="E1436" s="63"/>
      <c r="F1436" s="150"/>
      <c r="G1436" s="107"/>
      <c r="H1436" s="95">
        <f>'04a_Box_Dims'!$N31</f>
        <v>0.15</v>
      </c>
    </row>
    <row r="1437" spans="1:8" x14ac:dyDescent="0.3">
      <c r="A1437" s="161">
        <f>2</f>
        <v>2</v>
      </c>
      <c r="B1437" s="107" t="s">
        <v>1628</v>
      </c>
      <c r="C1437" s="111">
        <f>'04a_Box_Dims'!$J31</f>
        <v>10</v>
      </c>
      <c r="D1437" s="113"/>
      <c r="E1437" s="63" t="s">
        <v>1680</v>
      </c>
      <c r="F1437" s="150"/>
      <c r="G1437" s="107"/>
      <c r="H1437" s="95"/>
    </row>
    <row r="1438" spans="1:8" x14ac:dyDescent="0.3">
      <c r="A1438" s="161"/>
      <c r="B1438" s="107"/>
      <c r="C1438" s="111">
        <f>'04a_Box_Dims'!$U31</f>
        <v>0.6</v>
      </c>
      <c r="D1438" s="113"/>
      <c r="E1438" s="63"/>
      <c r="F1438" s="150"/>
      <c r="G1438" s="107"/>
      <c r="H1438" s="95"/>
    </row>
    <row r="1439" spans="1:8" x14ac:dyDescent="0.3">
      <c r="A1439" s="161"/>
      <c r="B1439" s="107"/>
      <c r="C1439" s="111">
        <f>'04a_Box_Dims'!$V31</f>
        <v>0.3</v>
      </c>
      <c r="D1439" s="113">
        <f>$A1437*$C1437*$C1438*$C1439</f>
        <v>3.5999999999999996</v>
      </c>
      <c r="E1439" s="63"/>
      <c r="F1439" s="150"/>
      <c r="G1439" s="107"/>
      <c r="H1439" s="95">
        <f>'04a_Box_Dims'!$V31</f>
        <v>0.3</v>
      </c>
    </row>
    <row r="1440" spans="1:8" x14ac:dyDescent="0.3">
      <c r="A1440" s="161">
        <f>4</f>
        <v>4</v>
      </c>
      <c r="B1440" s="107" t="s">
        <v>1628</v>
      </c>
      <c r="C1440" s="111">
        <f>'04a_Box_Dims'!$Z31</f>
        <v>2.1213203435596424</v>
      </c>
      <c r="D1440" s="113"/>
      <c r="E1440" s="63" t="s">
        <v>1681</v>
      </c>
      <c r="F1440" s="150"/>
      <c r="G1440" s="107"/>
      <c r="H1440" s="95"/>
    </row>
    <row r="1441" spans="1:8" x14ac:dyDescent="0.3">
      <c r="A1441" s="161"/>
      <c r="B1441" s="107"/>
      <c r="C1441" s="111">
        <f>'04a_Box_Dims'!$Y31</f>
        <v>3.9928932188134518</v>
      </c>
      <c r="D1441" s="113"/>
      <c r="E1441" s="63"/>
      <c r="F1441" s="150"/>
      <c r="G1441" s="107"/>
      <c r="H1441" s="95"/>
    </row>
    <row r="1442" spans="1:8" x14ac:dyDescent="0.3">
      <c r="A1442" s="161"/>
      <c r="B1442" s="107"/>
      <c r="C1442" s="111">
        <f>'04a_Box_Dims'!$AB31</f>
        <v>0.39</v>
      </c>
      <c r="D1442" s="113">
        <f>$A1440*$C1440*$C1441*$C1442</f>
        <v>13.213520758979296</v>
      </c>
      <c r="E1442" s="63"/>
      <c r="F1442" s="150"/>
      <c r="G1442" s="107"/>
      <c r="H1442" s="95">
        <f>'04a_Box_Dims'!$AB31</f>
        <v>0.39</v>
      </c>
    </row>
    <row r="1443" spans="1:8" x14ac:dyDescent="0.3">
      <c r="A1443" s="161"/>
      <c r="B1443" s="107"/>
      <c r="C1443" s="111"/>
      <c r="D1443" s="113">
        <f>SUM($D$1428:$D$1442)</f>
        <v>48.163520758979303</v>
      </c>
      <c r="E1443" s="63" t="s">
        <v>1660</v>
      </c>
      <c r="F1443" s="150">
        <f>ROUND($D1443,2)</f>
        <v>48.16</v>
      </c>
      <c r="G1443" s="107" t="s">
        <v>1661</v>
      </c>
      <c r="H1443" s="95"/>
    </row>
    <row r="1444" spans="1:8" x14ac:dyDescent="0.3">
      <c r="A1444" s="161"/>
      <c r="B1444" s="107"/>
      <c r="C1444" s="111"/>
      <c r="D1444" s="113"/>
      <c r="E1444" s="63"/>
      <c r="F1444" s="150"/>
      <c r="G1444" s="107"/>
      <c r="H1444" s="95"/>
    </row>
    <row r="1445" spans="1:8" x14ac:dyDescent="0.3">
      <c r="A1445" s="161"/>
      <c r="B1445" s="107"/>
      <c r="C1445" s="111"/>
      <c r="D1445" s="113"/>
      <c r="E1445" s="149" t="s">
        <v>1682</v>
      </c>
      <c r="F1445" s="150"/>
      <c r="G1445" s="107"/>
      <c r="H1445" s="95"/>
    </row>
    <row r="1446" spans="1:8" x14ac:dyDescent="0.3">
      <c r="A1446" s="161"/>
      <c r="B1446" s="107"/>
      <c r="C1446" s="111"/>
      <c r="D1446" s="113"/>
      <c r="E1446" s="63" t="s">
        <v>1683</v>
      </c>
      <c r="F1446" s="150"/>
      <c r="G1446" s="107"/>
      <c r="H1446" s="95"/>
    </row>
    <row r="1447" spans="1:8" x14ac:dyDescent="0.3">
      <c r="A1447" s="161"/>
      <c r="B1447" s="107"/>
      <c r="C1447" s="111"/>
      <c r="D1447" s="113">
        <f>SUMIF($H$1428:$H$1442,"&lt;=0.3",$D$1428:$D$1442)</f>
        <v>34.950000000000003</v>
      </c>
      <c r="E1447" s="63" t="s">
        <v>1670</v>
      </c>
      <c r="F1447" s="150">
        <f>ROUND($D1447,2)</f>
        <v>34.950000000000003</v>
      </c>
      <c r="G1447" s="107" t="s">
        <v>1661</v>
      </c>
      <c r="H1447" s="95"/>
    </row>
    <row r="1448" spans="1:8" x14ac:dyDescent="0.3">
      <c r="A1448" s="161"/>
      <c r="B1448" s="107"/>
      <c r="C1448" s="111"/>
      <c r="D1448" s="113">
        <f>SUMIF($H$1428:$H$1442,"&gt;0.3",$D$1428:$D$1442)</f>
        <v>13.213520758979296</v>
      </c>
      <c r="E1448" s="63" t="s">
        <v>1671</v>
      </c>
      <c r="F1448" s="150">
        <f>ROUND($D1448,2)</f>
        <v>13.21</v>
      </c>
      <c r="G1448" s="107" t="s">
        <v>1661</v>
      </c>
      <c r="H1448" s="95"/>
    </row>
    <row r="1449" spans="1:8" x14ac:dyDescent="0.3">
      <c r="A1449" s="161"/>
      <c r="B1449" s="107"/>
      <c r="C1449" s="111"/>
      <c r="D1449" s="113"/>
      <c r="E1449" s="63"/>
      <c r="F1449" s="150"/>
      <c r="G1449" s="107"/>
      <c r="H1449" s="95"/>
    </row>
    <row r="1450" spans="1:8" x14ac:dyDescent="0.3">
      <c r="A1450" s="161"/>
      <c r="B1450" s="107"/>
      <c r="C1450" s="111"/>
      <c r="D1450" s="113"/>
      <c r="E1450" s="149" t="s">
        <v>1445</v>
      </c>
      <c r="F1450" s="150"/>
      <c r="G1450" s="107"/>
      <c r="H1450" s="95"/>
    </row>
    <row r="1451" spans="1:8" x14ac:dyDescent="0.3">
      <c r="A1451" s="161"/>
      <c r="B1451" s="107"/>
      <c r="C1451" s="111"/>
      <c r="D1451" s="113"/>
      <c r="E1451" s="63" t="s">
        <v>1684</v>
      </c>
      <c r="F1451" s="150"/>
      <c r="G1451" s="107"/>
      <c r="H1451" s="95"/>
    </row>
    <row r="1452" spans="1:8" x14ac:dyDescent="0.3">
      <c r="A1452" s="161">
        <f>2</f>
        <v>2</v>
      </c>
      <c r="B1452" s="107" t="s">
        <v>1628</v>
      </c>
      <c r="C1452" s="111">
        <f>'04a_Box_Dims'!$AE31</f>
        <v>10</v>
      </c>
      <c r="D1452" s="113"/>
      <c r="E1452" s="63" t="s">
        <v>1685</v>
      </c>
      <c r="F1452" s="150"/>
      <c r="G1452" s="107"/>
      <c r="H1452" s="95"/>
    </row>
    <row r="1453" spans="1:8" x14ac:dyDescent="0.3">
      <c r="A1453" s="161"/>
      <c r="B1453" s="107"/>
      <c r="C1453" s="111">
        <f>'04a_Box_Dims'!$E31</f>
        <v>3</v>
      </c>
      <c r="D1453" s="113">
        <f>$A1452*$C1452*$C1453</f>
        <v>60</v>
      </c>
      <c r="E1453" s="63"/>
      <c r="F1453" s="150"/>
      <c r="G1453" s="107"/>
      <c r="H1453" s="95"/>
    </row>
    <row r="1454" spans="1:8" x14ac:dyDescent="0.3">
      <c r="A1454" s="161">
        <f>4</f>
        <v>4</v>
      </c>
      <c r="B1454" s="107" t="s">
        <v>1628</v>
      </c>
      <c r="C1454" s="111">
        <f>'04a_Box_Dims'!$Z31</f>
        <v>2.1213203435596424</v>
      </c>
      <c r="D1454" s="113"/>
      <c r="E1454" s="63" t="s">
        <v>1686</v>
      </c>
      <c r="F1454" s="150"/>
      <c r="G1454" s="107"/>
      <c r="H1454" s="95"/>
    </row>
    <row r="1455" spans="1:8" x14ac:dyDescent="0.3">
      <c r="A1455" s="161"/>
      <c r="B1455" s="107"/>
      <c r="C1455" s="111">
        <f>'04a_Box_Dims'!$Y31</f>
        <v>3.9928932188134518</v>
      </c>
      <c r="D1455" s="113">
        <f>$A1454*$C1454*$C1455</f>
        <v>33.880822458921273</v>
      </c>
      <c r="E1455" s="63"/>
      <c r="F1455" s="150"/>
      <c r="G1455" s="107"/>
      <c r="H1455" s="95"/>
    </row>
    <row r="1456" spans="1:8" x14ac:dyDescent="0.3">
      <c r="A1456" s="161">
        <f>2</f>
        <v>2</v>
      </c>
      <c r="B1456" s="107" t="s">
        <v>1628</v>
      </c>
      <c r="C1456" s="111">
        <f>'04a_Box_Dims'!$J31</f>
        <v>10</v>
      </c>
      <c r="D1456" s="113"/>
      <c r="E1456" s="63" t="s">
        <v>1687</v>
      </c>
      <c r="F1456" s="150"/>
      <c r="G1456" s="107"/>
      <c r="H1456" s="95"/>
    </row>
    <row r="1457" spans="1:8" x14ac:dyDescent="0.3">
      <c r="A1457" s="161"/>
      <c r="B1457" s="107"/>
      <c r="C1457" s="111">
        <f>'04a_Box_Dims'!$U31</f>
        <v>0.6</v>
      </c>
      <c r="D1457" s="113">
        <f>$A1456*$C1456*$C1457</f>
        <v>12</v>
      </c>
      <c r="E1457" s="63"/>
      <c r="F1457" s="150"/>
      <c r="G1457" s="107"/>
      <c r="H1457" s="95"/>
    </row>
    <row r="1458" spans="1:8" x14ac:dyDescent="0.3">
      <c r="A1458" s="161"/>
      <c r="B1458" s="107"/>
      <c r="C1458" s="111"/>
      <c r="D1458" s="113">
        <f>SUM($D$1452:$D$1457)</f>
        <v>105.88082245892127</v>
      </c>
      <c r="E1458" s="63" t="s">
        <v>1660</v>
      </c>
      <c r="F1458" s="150">
        <f>ROUND($D1458,2)</f>
        <v>105.88</v>
      </c>
      <c r="G1458" s="107" t="s">
        <v>1688</v>
      </c>
      <c r="H1458" s="95"/>
    </row>
    <row r="1459" spans="1:8" x14ac:dyDescent="0.3">
      <c r="A1459" s="161"/>
      <c r="B1459" s="107"/>
      <c r="C1459" s="111"/>
      <c r="D1459" s="113"/>
      <c r="E1459" s="63"/>
      <c r="F1459" s="150"/>
      <c r="G1459" s="107"/>
      <c r="H1459" s="95"/>
    </row>
    <row r="1460" spans="1:8" x14ac:dyDescent="0.3">
      <c r="A1460" s="161"/>
      <c r="B1460" s="107"/>
      <c r="C1460" s="111"/>
      <c r="D1460" s="113"/>
      <c r="E1460" s="149" t="s">
        <v>1446</v>
      </c>
      <c r="F1460" s="150"/>
      <c r="G1460" s="107"/>
      <c r="H1460" s="95"/>
    </row>
    <row r="1461" spans="1:8" x14ac:dyDescent="0.3">
      <c r="A1461" s="161"/>
      <c r="B1461" s="107"/>
      <c r="C1461" s="111"/>
      <c r="D1461" s="113"/>
      <c r="E1461" s="63" t="s">
        <v>1689</v>
      </c>
      <c r="F1461" s="150"/>
      <c r="G1461" s="107"/>
      <c r="H1461" s="95"/>
    </row>
    <row r="1462" spans="1:8" x14ac:dyDescent="0.3">
      <c r="A1462" s="161">
        <f>2</f>
        <v>2</v>
      </c>
      <c r="B1462" s="107" t="s">
        <v>1628</v>
      </c>
      <c r="C1462" s="111">
        <f>'04a_Box_Dims'!$O31</f>
        <v>1.5</v>
      </c>
      <c r="D1462" s="113"/>
      <c r="E1462" s="63" t="s">
        <v>1690</v>
      </c>
      <c r="F1462" s="150"/>
      <c r="G1462" s="107"/>
      <c r="H1462" s="95"/>
    </row>
    <row r="1463" spans="1:8" x14ac:dyDescent="0.3">
      <c r="A1463" s="161"/>
      <c r="B1463" s="107"/>
      <c r="C1463" s="111">
        <f>'04a_Box_Dims'!$Q31</f>
        <v>11.5</v>
      </c>
      <c r="D1463" s="113">
        <f>$A1462*$C1462*$C1463</f>
        <v>34.5</v>
      </c>
      <c r="E1463" s="63"/>
      <c r="F1463" s="150"/>
      <c r="G1463" s="107"/>
      <c r="H1463" s="95"/>
    </row>
    <row r="1464" spans="1:8" x14ac:dyDescent="0.3">
      <c r="A1464" s="161"/>
      <c r="B1464" s="107"/>
      <c r="C1464" s="111"/>
      <c r="D1464" s="113">
        <f>SUM($D$1462:$D$1463)</f>
        <v>34.5</v>
      </c>
      <c r="E1464" s="63" t="s">
        <v>1660</v>
      </c>
      <c r="F1464" s="150">
        <f>ROUND($D1464,2)</f>
        <v>34.5</v>
      </c>
      <c r="G1464" s="107" t="s">
        <v>1688</v>
      </c>
      <c r="H1464" s="95"/>
    </row>
    <row r="1465" spans="1:8" x14ac:dyDescent="0.3">
      <c r="A1465" s="161"/>
      <c r="B1465" s="107"/>
      <c r="C1465" s="111"/>
      <c r="D1465" s="113"/>
      <c r="E1465" s="63"/>
      <c r="F1465" s="150"/>
      <c r="G1465" s="107"/>
      <c r="H1465" s="95"/>
    </row>
    <row r="1466" spans="1:8" x14ac:dyDescent="0.3">
      <c r="A1466" s="161"/>
      <c r="B1466" s="107"/>
      <c r="C1466" s="111"/>
      <c r="D1466" s="113"/>
      <c r="E1466" s="149" t="s">
        <v>1447</v>
      </c>
      <c r="F1466" s="150"/>
      <c r="G1466" s="107"/>
      <c r="H1466" s="95"/>
    </row>
    <row r="1467" spans="1:8" x14ac:dyDescent="0.3">
      <c r="A1467" s="161"/>
      <c r="B1467" s="107"/>
      <c r="C1467" s="111"/>
      <c r="D1467" s="113"/>
      <c r="E1467" s="63" t="s">
        <v>1691</v>
      </c>
      <c r="F1467" s="150"/>
      <c r="G1467" s="107"/>
      <c r="H1467" s="95"/>
    </row>
    <row r="1468" spans="1:8" x14ac:dyDescent="0.3">
      <c r="A1468" s="161">
        <f>4</f>
        <v>4</v>
      </c>
      <c r="B1468" s="107" t="s">
        <v>1628</v>
      </c>
      <c r="C1468" s="111">
        <f>'04a_Box_Dims'!$J31</f>
        <v>10</v>
      </c>
      <c r="D1468" s="113"/>
      <c r="E1468" s="63" t="s">
        <v>1692</v>
      </c>
      <c r="F1468" s="150"/>
      <c r="G1468" s="107"/>
      <c r="H1468" s="95"/>
    </row>
    <row r="1469" spans="1:8" x14ac:dyDescent="0.3">
      <c r="A1469" s="161"/>
      <c r="B1469" s="107"/>
      <c r="C1469" s="111">
        <f>'04a_Box_Dims'!$I31</f>
        <v>0.25</v>
      </c>
      <c r="D1469" s="113">
        <f>$A1468*$C1468*$C1469</f>
        <v>10</v>
      </c>
      <c r="E1469" s="63"/>
      <c r="F1469" s="150"/>
      <c r="G1469" s="107"/>
      <c r="H1469" s="95"/>
    </row>
    <row r="1470" spans="1:8" x14ac:dyDescent="0.3">
      <c r="A1470" s="161">
        <f>4</f>
        <v>4</v>
      </c>
      <c r="B1470" s="107" t="s">
        <v>1628</v>
      </c>
      <c r="C1470" s="111">
        <f>'04a_Box_Dims'!$O31</f>
        <v>1.5</v>
      </c>
      <c r="D1470" s="113"/>
      <c r="E1470" s="63" t="s">
        <v>1693</v>
      </c>
      <c r="F1470" s="150"/>
      <c r="G1470" s="107"/>
      <c r="H1470" s="95"/>
    </row>
    <row r="1471" spans="1:8" x14ac:dyDescent="0.3">
      <c r="A1471" s="161"/>
      <c r="B1471" s="107"/>
      <c r="C1471" s="111">
        <f>'04a_Box_Dims'!$P31</f>
        <v>0.25</v>
      </c>
      <c r="D1471" s="113">
        <f>$A1470*$C1470*$C1471</f>
        <v>1.5</v>
      </c>
      <c r="E1471" s="63"/>
      <c r="F1471" s="150"/>
      <c r="G1471" s="107"/>
      <c r="H1471" s="95"/>
    </row>
    <row r="1472" spans="1:8" x14ac:dyDescent="0.3">
      <c r="A1472" s="161"/>
      <c r="B1472" s="107"/>
      <c r="C1472" s="111"/>
      <c r="D1472" s="113">
        <f>SUM($D$1468:$D$1471)</f>
        <v>11.5</v>
      </c>
      <c r="E1472" s="63" t="s">
        <v>1660</v>
      </c>
      <c r="F1472" s="150">
        <f>ROUND($D1472,2)</f>
        <v>11.5</v>
      </c>
      <c r="G1472" s="107" t="s">
        <v>1688</v>
      </c>
      <c r="H1472" s="95"/>
    </row>
    <row r="1473" spans="1:8" x14ac:dyDescent="0.3">
      <c r="A1473" s="161"/>
      <c r="B1473" s="107"/>
      <c r="C1473" s="111"/>
      <c r="D1473" s="113"/>
      <c r="E1473" s="63"/>
      <c r="F1473" s="150"/>
      <c r="G1473" s="107"/>
      <c r="H1473" s="95"/>
    </row>
    <row r="1474" spans="1:8" x14ac:dyDescent="0.3">
      <c r="A1474" s="161"/>
      <c r="B1474" s="107"/>
      <c r="C1474" s="111"/>
      <c r="D1474" s="113"/>
      <c r="E1474" s="149" t="s">
        <v>1448</v>
      </c>
      <c r="F1474" s="150"/>
      <c r="G1474" s="107"/>
      <c r="H1474" s="95"/>
    </row>
    <row r="1475" spans="1:8" x14ac:dyDescent="0.3">
      <c r="A1475" s="161"/>
      <c r="B1475" s="107"/>
      <c r="C1475" s="111"/>
      <c r="D1475" s="113"/>
      <c r="E1475" s="63" t="s">
        <v>1694</v>
      </c>
      <c r="F1475" s="150"/>
      <c r="G1475" s="107"/>
      <c r="H1475" s="95"/>
    </row>
    <row r="1476" spans="1:8" x14ac:dyDescent="0.3">
      <c r="A1476" s="161">
        <f>1</f>
        <v>1</v>
      </c>
      <c r="B1476" s="107" t="s">
        <v>1628</v>
      </c>
      <c r="C1476" s="111">
        <f>'04a_Box_Dims'!$AE31</f>
        <v>10</v>
      </c>
      <c r="D1476" s="113"/>
      <c r="E1476" s="63" t="s">
        <v>1695</v>
      </c>
      <c r="F1476" s="150"/>
      <c r="G1476" s="107"/>
      <c r="H1476" s="95"/>
    </row>
    <row r="1477" spans="1:8" x14ac:dyDescent="0.3">
      <c r="A1477" s="161"/>
      <c r="B1477" s="107"/>
      <c r="C1477" s="111">
        <f>'04a_Box_Dims'!$K31</f>
        <v>9.5</v>
      </c>
      <c r="D1477" s="113">
        <f>$A1476*$C1476*$C1477</f>
        <v>95</v>
      </c>
      <c r="E1477" s="63"/>
      <c r="F1477" s="150"/>
      <c r="G1477" s="107"/>
      <c r="H1477" s="95"/>
    </row>
    <row r="1478" spans="1:8" x14ac:dyDescent="0.3">
      <c r="A1478" s="161"/>
      <c r="B1478" s="107"/>
      <c r="C1478" s="111"/>
      <c r="D1478" s="113">
        <f>SUM($D$1476:$D$1477)</f>
        <v>95</v>
      </c>
      <c r="E1478" s="63" t="s">
        <v>1660</v>
      </c>
      <c r="F1478" s="150">
        <f>ROUND($D1478,2)</f>
        <v>95</v>
      </c>
      <c r="G1478" s="107" t="s">
        <v>1688</v>
      </c>
      <c r="H1478" s="95"/>
    </row>
    <row r="1479" spans="1:8" x14ac:dyDescent="0.3">
      <c r="A1479" s="161"/>
      <c r="B1479" s="107"/>
      <c r="C1479" s="111"/>
      <c r="D1479" s="113"/>
      <c r="E1479" s="63"/>
      <c r="F1479" s="150"/>
      <c r="G1479" s="107"/>
      <c r="H1479" s="95"/>
    </row>
    <row r="1480" spans="1:8" x14ac:dyDescent="0.3">
      <c r="A1480" s="161"/>
      <c r="B1480" s="107"/>
      <c r="C1480" s="111"/>
      <c r="D1480" s="113"/>
      <c r="E1480" s="149" t="s">
        <v>1449</v>
      </c>
      <c r="F1480" s="150"/>
      <c r="G1480" s="107"/>
      <c r="H1480" s="95"/>
    </row>
    <row r="1481" spans="1:8" x14ac:dyDescent="0.3">
      <c r="A1481" s="161"/>
      <c r="B1481" s="107"/>
      <c r="C1481" s="111"/>
      <c r="D1481" s="113"/>
      <c r="E1481" s="63" t="s">
        <v>1696</v>
      </c>
      <c r="F1481" s="150"/>
      <c r="G1481" s="107"/>
      <c r="H1481" s="95"/>
    </row>
    <row r="1482" spans="1:8" x14ac:dyDescent="0.3">
      <c r="A1482" s="161">
        <f>2</f>
        <v>2</v>
      </c>
      <c r="B1482" s="107" t="s">
        <v>1628</v>
      </c>
      <c r="C1482" s="111">
        <f>'04a_Box_Dims'!$J31</f>
        <v>10</v>
      </c>
      <c r="D1482" s="113"/>
      <c r="E1482" s="63" t="s">
        <v>1697</v>
      </c>
      <c r="F1482" s="150"/>
      <c r="G1482" s="107"/>
      <c r="H1482" s="95"/>
    </row>
    <row r="1483" spans="1:8" x14ac:dyDescent="0.3">
      <c r="A1483" s="161"/>
      <c r="B1483" s="107"/>
      <c r="C1483" s="111">
        <f>'04a_Box_Dims'!$U31</f>
        <v>0.6</v>
      </c>
      <c r="D1483" s="113">
        <f>$A1482*$C1482*$C1483</f>
        <v>12</v>
      </c>
      <c r="E1483" s="63"/>
      <c r="F1483" s="150"/>
      <c r="G1483" s="107"/>
      <c r="H1483" s="95"/>
    </row>
    <row r="1484" spans="1:8" x14ac:dyDescent="0.3">
      <c r="A1484" s="161"/>
      <c r="B1484" s="107"/>
      <c r="C1484" s="111"/>
      <c r="D1484" s="113">
        <f>SUM($D$1482:$D$1483)</f>
        <v>12</v>
      </c>
      <c r="E1484" s="63" t="s">
        <v>1660</v>
      </c>
      <c r="F1484" s="150">
        <f>ROUND($D1484,2)</f>
        <v>12</v>
      </c>
      <c r="G1484" s="107" t="s">
        <v>1688</v>
      </c>
      <c r="H1484" s="95"/>
    </row>
    <row r="1485" spans="1:8" x14ac:dyDescent="0.3">
      <c r="A1485" s="161"/>
      <c r="B1485" s="107"/>
      <c r="C1485" s="111"/>
      <c r="D1485" s="113"/>
      <c r="E1485" s="63"/>
      <c r="F1485" s="150"/>
      <c r="G1485" s="107"/>
      <c r="H1485" s="95"/>
    </row>
    <row r="1486" spans="1:8" x14ac:dyDescent="0.3">
      <c r="A1486" s="161"/>
      <c r="B1486" s="107"/>
      <c r="C1486" s="111"/>
      <c r="D1486" s="113"/>
      <c r="E1486" s="149" t="s">
        <v>1329</v>
      </c>
      <c r="F1486" s="150"/>
      <c r="G1486" s="107"/>
      <c r="H1486" s="95"/>
    </row>
    <row r="1487" spans="1:8" x14ac:dyDescent="0.3">
      <c r="A1487" s="161"/>
      <c r="B1487" s="107"/>
      <c r="C1487" s="111"/>
      <c r="D1487" s="113"/>
      <c r="E1487" s="63" t="s">
        <v>1698</v>
      </c>
      <c r="F1487" s="150"/>
      <c r="G1487" s="107"/>
      <c r="H1487" s="95"/>
    </row>
    <row r="1488" spans="1:8" x14ac:dyDescent="0.3">
      <c r="A1488" s="161">
        <f>2</f>
        <v>2</v>
      </c>
      <c r="B1488" s="107" t="s">
        <v>1628</v>
      </c>
      <c r="C1488" s="111">
        <f>'04a_Box_Dims'!$AE31</f>
        <v>10</v>
      </c>
      <c r="D1488" s="113"/>
      <c r="E1488" s="63" t="s">
        <v>1699</v>
      </c>
      <c r="F1488" s="150"/>
      <c r="G1488" s="107"/>
      <c r="H1488" s="95"/>
    </row>
    <row r="1489" spans="1:8" x14ac:dyDescent="0.3">
      <c r="A1489" s="161"/>
      <c r="B1489" s="107"/>
      <c r="C1489" s="111">
        <f>'04a_Box_Dims'!$E31</f>
        <v>3</v>
      </c>
      <c r="D1489" s="113">
        <f>$A1488*$C1488*$C1489</f>
        <v>60</v>
      </c>
      <c r="E1489" s="63"/>
      <c r="F1489" s="150"/>
      <c r="G1489" s="107"/>
      <c r="H1489" s="95"/>
    </row>
    <row r="1490" spans="1:8" x14ac:dyDescent="0.3">
      <c r="A1490" s="161">
        <f>('04a_Box_Dims'!$C31-1)*2</f>
        <v>4</v>
      </c>
      <c r="B1490" s="107" t="s">
        <v>1628</v>
      </c>
      <c r="C1490" s="111">
        <f>'04a_Box_Dims'!$AE31</f>
        <v>10</v>
      </c>
      <c r="D1490" s="113"/>
      <c r="E1490" s="63" t="s">
        <v>1700</v>
      </c>
      <c r="F1490" s="150"/>
      <c r="G1490" s="107"/>
      <c r="H1490" s="95"/>
    </row>
    <row r="1491" spans="1:8" x14ac:dyDescent="0.3">
      <c r="A1491" s="161"/>
      <c r="B1491" s="107"/>
      <c r="C1491" s="111">
        <f>'04a_Box_Dims'!$E31</f>
        <v>3</v>
      </c>
      <c r="D1491" s="113">
        <f>$A1490*$C1490*$C1491</f>
        <v>120</v>
      </c>
      <c r="E1491" s="63"/>
      <c r="F1491" s="150"/>
      <c r="G1491" s="107"/>
      <c r="H1491" s="95"/>
    </row>
    <row r="1492" spans="1:8" x14ac:dyDescent="0.3">
      <c r="A1492" s="161">
        <f>4</f>
        <v>4</v>
      </c>
      <c r="B1492" s="107" t="s">
        <v>1628</v>
      </c>
      <c r="C1492" s="111">
        <f>'04a_Box_Dims'!$Z31</f>
        <v>2.1213203435596424</v>
      </c>
      <c r="D1492" s="113"/>
      <c r="E1492" s="63" t="s">
        <v>1701</v>
      </c>
      <c r="F1492" s="150"/>
      <c r="G1492" s="107"/>
      <c r="H1492" s="95"/>
    </row>
    <row r="1493" spans="1:8" x14ac:dyDescent="0.3">
      <c r="A1493" s="161"/>
      <c r="B1493" s="107"/>
      <c r="C1493" s="111">
        <f>'04a_Box_Dims'!$Y31</f>
        <v>3.9928932188134518</v>
      </c>
      <c r="D1493" s="113">
        <f>$A1492*$C1492*$C1493</f>
        <v>33.880822458921273</v>
      </c>
      <c r="E1493" s="63"/>
      <c r="F1493" s="150"/>
      <c r="G1493" s="107"/>
      <c r="H1493" s="95"/>
    </row>
    <row r="1494" spans="1:8" x14ac:dyDescent="0.3">
      <c r="A1494" s="161"/>
      <c r="B1494" s="107"/>
      <c r="C1494" s="111"/>
      <c r="D1494" s="113">
        <f>SUM($D$1488:$D$1493)</f>
        <v>213.88082245892127</v>
      </c>
      <c r="E1494" s="63" t="s">
        <v>1660</v>
      </c>
      <c r="F1494" s="150">
        <f>ROUND($D1494,2)</f>
        <v>213.88</v>
      </c>
      <c r="G1494" s="107" t="s">
        <v>1688</v>
      </c>
      <c r="H1494" s="95"/>
    </row>
    <row r="1495" spans="1:8" x14ac:dyDescent="0.3">
      <c r="A1495" s="161"/>
      <c r="B1495" s="107"/>
      <c r="C1495" s="111"/>
      <c r="D1495" s="113"/>
      <c r="E1495" s="63"/>
      <c r="F1495" s="150"/>
      <c r="G1495" s="107"/>
      <c r="H1495" s="95"/>
    </row>
    <row r="1496" spans="1:8" x14ac:dyDescent="0.3">
      <c r="A1496" s="161"/>
      <c r="B1496" s="107"/>
      <c r="C1496" s="111"/>
      <c r="D1496" s="113"/>
      <c r="E1496" s="149" t="s">
        <v>1702</v>
      </c>
      <c r="F1496" s="150"/>
      <c r="G1496" s="107"/>
      <c r="H1496" s="95"/>
    </row>
    <row r="1497" spans="1:8" x14ac:dyDescent="0.3">
      <c r="A1497" s="161"/>
      <c r="B1497" s="107"/>
      <c r="C1497" s="111"/>
      <c r="D1497" s="113"/>
      <c r="E1497" s="63" t="s">
        <v>1703</v>
      </c>
      <c r="F1497" s="150"/>
      <c r="G1497" s="107"/>
      <c r="H1497" s="95"/>
    </row>
    <row r="1498" spans="1:8" x14ac:dyDescent="0.3">
      <c r="A1498" s="161"/>
      <c r="B1498" s="107"/>
      <c r="C1498" s="111"/>
      <c r="D1498" s="113">
        <v>0</v>
      </c>
      <c r="E1498" s="63" t="s">
        <v>1704</v>
      </c>
      <c r="F1498" s="150">
        <f t="shared" ref="F1498:F1503" si="9">ROUND($D1498,3)</f>
        <v>0</v>
      </c>
      <c r="G1498" s="107" t="s">
        <v>1474</v>
      </c>
      <c r="H1498" s="95"/>
    </row>
    <row r="1499" spans="1:8" x14ac:dyDescent="0.3">
      <c r="A1499" s="161"/>
      <c r="B1499" s="107"/>
      <c r="C1499" s="111"/>
      <c r="D1499" s="113">
        <f>'04b_Box_Bars'!$S18/1000</f>
        <v>1.8002896701396307</v>
      </c>
      <c r="E1499" s="63" t="s">
        <v>1705</v>
      </c>
      <c r="F1499" s="150">
        <f t="shared" si="9"/>
        <v>1.8</v>
      </c>
      <c r="G1499" s="107" t="s">
        <v>1474</v>
      </c>
      <c r="H1499" s="95"/>
    </row>
    <row r="1500" spans="1:8" x14ac:dyDescent="0.3">
      <c r="A1500" s="161"/>
      <c r="B1500" s="107"/>
      <c r="C1500" s="111"/>
      <c r="D1500" s="113">
        <f>'04b_Box_Bars'!$T18/1000</f>
        <v>7.8170645097818179</v>
      </c>
      <c r="E1500" s="63" t="s">
        <v>1706</v>
      </c>
      <c r="F1500" s="150">
        <f t="shared" si="9"/>
        <v>7.8170000000000002</v>
      </c>
      <c r="G1500" s="107" t="s">
        <v>1474</v>
      </c>
      <c r="H1500" s="95"/>
    </row>
    <row r="1501" spans="1:8" x14ac:dyDescent="0.3">
      <c r="A1501" s="161"/>
      <c r="B1501" s="107"/>
      <c r="C1501" s="111"/>
      <c r="D1501" s="113">
        <f>'04b_Box_Bars'!$U18/1000</f>
        <v>2.1201789491713456</v>
      </c>
      <c r="E1501" s="63" t="s">
        <v>1707</v>
      </c>
      <c r="F1501" s="150">
        <f t="shared" si="9"/>
        <v>2.12</v>
      </c>
      <c r="G1501" s="107" t="s">
        <v>1474</v>
      </c>
      <c r="H1501" s="95"/>
    </row>
    <row r="1502" spans="1:8" x14ac:dyDescent="0.3">
      <c r="A1502" s="161"/>
      <c r="B1502" s="107"/>
      <c r="C1502" s="111"/>
      <c r="D1502" s="113">
        <f>'04b_Box_Bars'!$V18/1000</f>
        <v>0.93911000875228967</v>
      </c>
      <c r="E1502" s="63" t="s">
        <v>1708</v>
      </c>
      <c r="F1502" s="150">
        <f t="shared" si="9"/>
        <v>0.93899999999999995</v>
      </c>
      <c r="G1502" s="107" t="s">
        <v>1474</v>
      </c>
      <c r="H1502" s="95"/>
    </row>
    <row r="1503" spans="1:8" x14ac:dyDescent="0.3">
      <c r="A1503" s="161"/>
      <c r="B1503" s="107"/>
      <c r="C1503" s="111"/>
      <c r="D1503" s="113">
        <f>'04b_Box_Bars'!$W18/1000</f>
        <v>0</v>
      </c>
      <c r="E1503" s="63" t="s">
        <v>1709</v>
      </c>
      <c r="F1503" s="150">
        <f t="shared" si="9"/>
        <v>0</v>
      </c>
      <c r="G1503" s="107" t="s">
        <v>1474</v>
      </c>
      <c r="H1503" s="95"/>
    </row>
    <row r="1504" spans="1:8" x14ac:dyDescent="0.3">
      <c r="A1504" s="161"/>
      <c r="B1504" s="107"/>
      <c r="C1504" s="111"/>
      <c r="D1504" s="113"/>
      <c r="E1504" s="63"/>
      <c r="F1504" s="150"/>
      <c r="G1504" s="107"/>
      <c r="H1504" s="95"/>
    </row>
    <row r="1505" spans="1:8" x14ac:dyDescent="0.3">
      <c r="A1505" s="161"/>
      <c r="B1505" s="107"/>
      <c r="C1505" s="111"/>
      <c r="D1505" s="113"/>
      <c r="E1505" s="63"/>
      <c r="F1505" s="150"/>
      <c r="G1505" s="107"/>
      <c r="H1505" s="95"/>
    </row>
    <row r="1506" spans="1:8" x14ac:dyDescent="0.3">
      <c r="A1506" s="160" t="str">
        <f>'04a_Box_Dims'!$F32&amp;"  No.  "&amp;'04a_Box_Dims'!$A32&amp;"   (L = "&amp;TEXT('04a_Box_Dims'!$AE32,"0.00")&amp;" m)"</f>
        <v>0  No.  4/3x3 box culvert   (L = 10.00 m)</v>
      </c>
      <c r="B1506" s="146"/>
      <c r="C1506" s="162"/>
      <c r="D1506" s="163"/>
      <c r="E1506" s="147"/>
      <c r="F1506" s="148"/>
      <c r="G1506" s="146"/>
      <c r="H1506" s="151"/>
    </row>
    <row r="1507" spans="1:8" x14ac:dyDescent="0.3">
      <c r="A1507" s="161"/>
      <c r="B1507" s="107"/>
      <c r="C1507" s="111"/>
      <c r="D1507" s="113"/>
      <c r="E1507" s="149" t="s">
        <v>1438</v>
      </c>
      <c r="F1507" s="150"/>
      <c r="G1507" s="107"/>
      <c r="H1507" s="95"/>
    </row>
    <row r="1508" spans="1:8" x14ac:dyDescent="0.3">
      <c r="A1508" s="161"/>
      <c r="B1508" s="107"/>
      <c r="C1508" s="111"/>
      <c r="D1508" s="113"/>
      <c r="E1508" s="63" t="s">
        <v>1655</v>
      </c>
      <c r="F1508" s="150"/>
      <c r="G1508" s="107"/>
      <c r="H1508" s="95"/>
    </row>
    <row r="1509" spans="1:8" x14ac:dyDescent="0.3">
      <c r="A1509" s="161">
        <f>1</f>
        <v>1</v>
      </c>
      <c r="B1509" s="107" t="s">
        <v>1628</v>
      </c>
      <c r="C1509" s="111">
        <f>'04a_Box_Dims'!$AE32</f>
        <v>10</v>
      </c>
      <c r="D1509" s="113"/>
      <c r="E1509" s="63" t="s">
        <v>1656</v>
      </c>
      <c r="F1509" s="150"/>
      <c r="G1509" s="107"/>
      <c r="H1509" s="95"/>
    </row>
    <row r="1510" spans="1:8" x14ac:dyDescent="0.3">
      <c r="A1510" s="161"/>
      <c r="B1510" s="107"/>
      <c r="C1510" s="111">
        <f>'04a_Box_Dims'!$J32+2*BX_work</f>
        <v>13.85</v>
      </c>
      <c r="D1510" s="113"/>
      <c r="E1510" s="63"/>
      <c r="F1510" s="150"/>
      <c r="G1510" s="107"/>
      <c r="H1510" s="95"/>
    </row>
    <row r="1511" spans="1:8" x14ac:dyDescent="0.3">
      <c r="A1511" s="161"/>
      <c r="B1511" s="107"/>
      <c r="C1511" s="111">
        <f>'04a_Box_Dims'!$L32+BX_blind+BX_exX</f>
        <v>3.6999999999999997</v>
      </c>
      <c r="D1511" s="113">
        <f>$A1509*$C1509*$C1510*$C1511</f>
        <v>512.44999999999993</v>
      </c>
      <c r="E1511" s="63"/>
      <c r="F1511" s="150"/>
      <c r="G1511" s="107"/>
      <c r="H1511" s="95"/>
    </row>
    <row r="1512" spans="1:8" x14ac:dyDescent="0.3">
      <c r="A1512" s="161">
        <f>2</f>
        <v>2</v>
      </c>
      <c r="B1512" s="107" t="s">
        <v>1628</v>
      </c>
      <c r="C1512" s="111">
        <f>'04a_Box_Dims'!$O32</f>
        <v>1.5</v>
      </c>
      <c r="D1512" s="113"/>
      <c r="E1512" s="63" t="s">
        <v>1657</v>
      </c>
      <c r="F1512" s="150"/>
      <c r="G1512" s="107"/>
      <c r="H1512" s="95"/>
    </row>
    <row r="1513" spans="1:8" x14ac:dyDescent="0.3">
      <c r="A1513" s="161"/>
      <c r="B1513" s="107"/>
      <c r="C1513" s="111">
        <f>'04a_Box_Dims'!$Q32</f>
        <v>14.75</v>
      </c>
      <c r="D1513" s="113"/>
      <c r="E1513" s="63"/>
      <c r="F1513" s="150"/>
      <c r="G1513" s="107"/>
      <c r="H1513" s="95"/>
    </row>
    <row r="1514" spans="1:8" x14ac:dyDescent="0.3">
      <c r="A1514" s="161"/>
      <c r="B1514" s="107"/>
      <c r="C1514" s="111">
        <f>'04a_Box_Dims'!$P32+BX_blind+BX_exX</f>
        <v>0.44999999999999996</v>
      </c>
      <c r="D1514" s="113">
        <f>$A1512*$C1512*$C1513*$C1514</f>
        <v>19.912499999999998</v>
      </c>
      <c r="E1514" s="63"/>
      <c r="F1514" s="150"/>
      <c r="G1514" s="107"/>
      <c r="H1514" s="95"/>
    </row>
    <row r="1515" spans="1:8" x14ac:dyDescent="0.3">
      <c r="A1515" s="161">
        <f>2</f>
        <v>2</v>
      </c>
      <c r="B1515" s="107" t="s">
        <v>1628</v>
      </c>
      <c r="C1515" s="111">
        <f>'04a_Box_Dims'!$R32</f>
        <v>13.25</v>
      </c>
      <c r="D1515" s="113"/>
      <c r="E1515" s="63" t="s">
        <v>1658</v>
      </c>
      <c r="F1515" s="150"/>
      <c r="G1515" s="107"/>
      <c r="H1515" s="95"/>
    </row>
    <row r="1516" spans="1:8" x14ac:dyDescent="0.3">
      <c r="A1516" s="161"/>
      <c r="B1516" s="107"/>
      <c r="C1516" s="111">
        <f>'04a_Box_Dims'!$S32</f>
        <v>0.2</v>
      </c>
      <c r="D1516" s="113"/>
      <c r="E1516" s="63"/>
      <c r="F1516" s="150"/>
      <c r="G1516" s="107"/>
      <c r="H1516" s="95"/>
    </row>
    <row r="1517" spans="1:8" x14ac:dyDescent="0.3">
      <c r="A1517" s="161"/>
      <c r="B1517" s="107"/>
      <c r="C1517" s="111">
        <f>'04a_Box_Dims'!$T32+BX_blind</f>
        <v>0.5</v>
      </c>
      <c r="D1517" s="113">
        <f>$A1515*$C1515*$C1516*$C1517</f>
        <v>2.6500000000000004</v>
      </c>
      <c r="E1517" s="63"/>
      <c r="F1517" s="150"/>
      <c r="G1517" s="107"/>
      <c r="H1517" s="95"/>
    </row>
    <row r="1518" spans="1:8" x14ac:dyDescent="0.3">
      <c r="A1518" s="161">
        <f>4</f>
        <v>4</v>
      </c>
      <c r="B1518" s="107" t="s">
        <v>1628</v>
      </c>
      <c r="C1518" s="111">
        <f>'04a_Box_Dims'!$Z32</f>
        <v>2.1213203435596424</v>
      </c>
      <c r="D1518" s="113"/>
      <c r="E1518" s="63" t="s">
        <v>1659</v>
      </c>
      <c r="F1518" s="150"/>
      <c r="G1518" s="107"/>
      <c r="H1518" s="95"/>
    </row>
    <row r="1519" spans="1:8" x14ac:dyDescent="0.3">
      <c r="A1519" s="161"/>
      <c r="B1519" s="107"/>
      <c r="C1519" s="111">
        <f>'04a_Box_Dims'!$AC32</f>
        <v>0.9</v>
      </c>
      <c r="D1519" s="113"/>
      <c r="E1519" s="63"/>
      <c r="F1519" s="150"/>
      <c r="G1519" s="107"/>
      <c r="H1519" s="95"/>
    </row>
    <row r="1520" spans="1:8" x14ac:dyDescent="0.3">
      <c r="A1520" s="161"/>
      <c r="B1520" s="107"/>
      <c r="C1520" s="111">
        <f>'04a_Box_Dims'!$AD32+BX_blind</f>
        <v>0.35</v>
      </c>
      <c r="D1520" s="113">
        <f>$A1518*$C1518*$C1519*$C1520</f>
        <v>2.6728636328851492</v>
      </c>
      <c r="E1520" s="63"/>
      <c r="F1520" s="150"/>
      <c r="G1520" s="107"/>
      <c r="H1520" s="95"/>
    </row>
    <row r="1521" spans="1:8" x14ac:dyDescent="0.3">
      <c r="A1521" s="161"/>
      <c r="B1521" s="107"/>
      <c r="C1521" s="111"/>
      <c r="D1521" s="113">
        <f>SUM($D$1509:$D$1520)</f>
        <v>537.68536363288513</v>
      </c>
      <c r="E1521" s="63" t="s">
        <v>1660</v>
      </c>
      <c r="F1521" s="150">
        <f>ROUND($D1521,0)</f>
        <v>538</v>
      </c>
      <c r="G1521" s="107" t="s">
        <v>1661</v>
      </c>
      <c r="H1521" s="95"/>
    </row>
    <row r="1522" spans="1:8" x14ac:dyDescent="0.3">
      <c r="A1522" s="161"/>
      <c r="B1522" s="107"/>
      <c r="C1522" s="111"/>
      <c r="D1522" s="113"/>
      <c r="E1522" s="63"/>
      <c r="F1522" s="150"/>
      <c r="G1522" s="107"/>
      <c r="H1522" s="95"/>
    </row>
    <row r="1523" spans="1:8" x14ac:dyDescent="0.3">
      <c r="A1523" s="161"/>
      <c r="B1523" s="107"/>
      <c r="C1523" s="111"/>
      <c r="D1523" s="113"/>
      <c r="E1523" s="149" t="s">
        <v>1323</v>
      </c>
      <c r="F1523" s="150"/>
      <c r="G1523" s="107"/>
      <c r="H1523" s="95"/>
    </row>
    <row r="1524" spans="1:8" x14ac:dyDescent="0.3">
      <c r="A1524" s="161"/>
      <c r="B1524" s="107"/>
      <c r="C1524" s="111"/>
      <c r="D1524" s="113"/>
      <c r="E1524" s="63" t="s">
        <v>1662</v>
      </c>
      <c r="F1524" s="150"/>
      <c r="G1524" s="107"/>
      <c r="H1524" s="95"/>
    </row>
    <row r="1525" spans="1:8" x14ac:dyDescent="0.3">
      <c r="A1525" s="161">
        <f>1</f>
        <v>1</v>
      </c>
      <c r="B1525" s="107" t="s">
        <v>1628</v>
      </c>
      <c r="C1525" s="111">
        <f>'04a_Box_Dims'!$AE32</f>
        <v>10</v>
      </c>
      <c r="D1525" s="113"/>
      <c r="E1525" s="63" t="s">
        <v>1663</v>
      </c>
      <c r="F1525" s="150"/>
      <c r="G1525" s="107"/>
      <c r="H1525" s="95"/>
    </row>
    <row r="1526" spans="1:8" x14ac:dyDescent="0.3">
      <c r="A1526" s="161"/>
      <c r="B1526" s="107"/>
      <c r="C1526" s="111">
        <f>'04a_Box_Dims'!$J32</f>
        <v>13.25</v>
      </c>
      <c r="D1526" s="113"/>
      <c r="E1526" s="63"/>
      <c r="F1526" s="150"/>
      <c r="G1526" s="107"/>
      <c r="H1526" s="95"/>
    </row>
    <row r="1527" spans="1:8" x14ac:dyDescent="0.3">
      <c r="A1527" s="161"/>
      <c r="B1527" s="107"/>
      <c r="C1527" s="111">
        <f>BX_blind</f>
        <v>0.05</v>
      </c>
      <c r="D1527" s="113">
        <f>$A1525*$C1525*$C1526*$C1527</f>
        <v>6.625</v>
      </c>
      <c r="E1527" s="63"/>
      <c r="F1527" s="150"/>
      <c r="G1527" s="107"/>
      <c r="H1527" s="95"/>
    </row>
    <row r="1528" spans="1:8" x14ac:dyDescent="0.3">
      <c r="A1528" s="161">
        <f>2</f>
        <v>2</v>
      </c>
      <c r="B1528" s="107" t="s">
        <v>1628</v>
      </c>
      <c r="C1528" s="111">
        <f>'04a_Box_Dims'!$O32</f>
        <v>1.5</v>
      </c>
      <c r="D1528" s="113"/>
      <c r="E1528" s="63" t="s">
        <v>1657</v>
      </c>
      <c r="F1528" s="150"/>
      <c r="G1528" s="107"/>
      <c r="H1528" s="95"/>
    </row>
    <row r="1529" spans="1:8" x14ac:dyDescent="0.3">
      <c r="A1529" s="161"/>
      <c r="B1529" s="107"/>
      <c r="C1529" s="111">
        <f>'04a_Box_Dims'!$Q32</f>
        <v>14.75</v>
      </c>
      <c r="D1529" s="113"/>
      <c r="E1529" s="63"/>
      <c r="F1529" s="150"/>
      <c r="G1529" s="107"/>
      <c r="H1529" s="95"/>
    </row>
    <row r="1530" spans="1:8" x14ac:dyDescent="0.3">
      <c r="A1530" s="161"/>
      <c r="B1530" s="107"/>
      <c r="C1530" s="111">
        <f>BX_blind</f>
        <v>0.05</v>
      </c>
      <c r="D1530" s="113">
        <f>$A1528*$C1528*$C1529*$C1530</f>
        <v>2.2124999999999999</v>
      </c>
      <c r="E1530" s="63"/>
      <c r="F1530" s="150"/>
      <c r="G1530" s="107"/>
      <c r="H1530" s="95"/>
    </row>
    <row r="1531" spans="1:8" x14ac:dyDescent="0.3">
      <c r="A1531" s="161">
        <f>2</f>
        <v>2</v>
      </c>
      <c r="B1531" s="107" t="s">
        <v>1628</v>
      </c>
      <c r="C1531" s="111">
        <f>'04a_Box_Dims'!$R32</f>
        <v>13.25</v>
      </c>
      <c r="D1531" s="113"/>
      <c r="E1531" s="63" t="s">
        <v>1658</v>
      </c>
      <c r="F1531" s="150"/>
      <c r="G1531" s="107"/>
      <c r="H1531" s="95"/>
    </row>
    <row r="1532" spans="1:8" x14ac:dyDescent="0.3">
      <c r="A1532" s="161"/>
      <c r="B1532" s="107"/>
      <c r="C1532" s="111">
        <f>'04a_Box_Dims'!$S32</f>
        <v>0.2</v>
      </c>
      <c r="D1532" s="113"/>
      <c r="E1532" s="63"/>
      <c r="F1532" s="150"/>
      <c r="G1532" s="107"/>
      <c r="H1532" s="95"/>
    </row>
    <row r="1533" spans="1:8" x14ac:dyDescent="0.3">
      <c r="A1533" s="161"/>
      <c r="B1533" s="107"/>
      <c r="C1533" s="111">
        <f>BX_blind</f>
        <v>0.05</v>
      </c>
      <c r="D1533" s="113">
        <f>$A1531*$C1531*$C1532*$C1533</f>
        <v>0.26500000000000007</v>
      </c>
      <c r="E1533" s="63"/>
      <c r="F1533" s="150"/>
      <c r="G1533" s="107"/>
      <c r="H1533" s="95"/>
    </row>
    <row r="1534" spans="1:8" x14ac:dyDescent="0.3">
      <c r="A1534" s="161">
        <f>4</f>
        <v>4</v>
      </c>
      <c r="B1534" s="107" t="s">
        <v>1628</v>
      </c>
      <c r="C1534" s="111">
        <f>'04a_Box_Dims'!$Z32</f>
        <v>2.1213203435596424</v>
      </c>
      <c r="D1534" s="113"/>
      <c r="E1534" s="63" t="s">
        <v>1659</v>
      </c>
      <c r="F1534" s="150"/>
      <c r="G1534" s="107"/>
      <c r="H1534" s="95"/>
    </row>
    <row r="1535" spans="1:8" x14ac:dyDescent="0.3">
      <c r="A1535" s="161"/>
      <c r="B1535" s="107"/>
      <c r="C1535" s="111">
        <f>'04a_Box_Dims'!$AC32</f>
        <v>0.9</v>
      </c>
      <c r="D1535" s="113"/>
      <c r="E1535" s="63"/>
      <c r="F1535" s="150"/>
      <c r="G1535" s="107"/>
      <c r="H1535" s="95"/>
    </row>
    <row r="1536" spans="1:8" x14ac:dyDescent="0.3">
      <c r="A1536" s="161"/>
      <c r="B1536" s="107"/>
      <c r="C1536" s="111">
        <f>BX_blind</f>
        <v>0.05</v>
      </c>
      <c r="D1536" s="113">
        <f>$A1534*$C1534*$C1535*$C1536</f>
        <v>0.38183766184073564</v>
      </c>
      <c r="E1536" s="63"/>
      <c r="F1536" s="150"/>
      <c r="G1536" s="107"/>
      <c r="H1536" s="95"/>
    </row>
    <row r="1537" spans="1:8" x14ac:dyDescent="0.3">
      <c r="A1537" s="161"/>
      <c r="B1537" s="107"/>
      <c r="C1537" s="111"/>
      <c r="D1537" s="113">
        <f>SUM($D$1525:$D$1536)</f>
        <v>9.4843376618407369</v>
      </c>
      <c r="E1537" s="63" t="s">
        <v>1660</v>
      </c>
      <c r="F1537" s="150">
        <f>ROUND($D1537,2)</f>
        <v>9.48</v>
      </c>
      <c r="G1537" s="107" t="s">
        <v>1661</v>
      </c>
      <c r="H1537" s="95"/>
    </row>
    <row r="1538" spans="1:8" x14ac:dyDescent="0.3">
      <c r="A1538" s="161"/>
      <c r="B1538" s="107"/>
      <c r="C1538" s="111"/>
      <c r="D1538" s="113"/>
      <c r="E1538" s="63"/>
      <c r="F1538" s="150"/>
      <c r="G1538" s="107"/>
      <c r="H1538" s="95"/>
    </row>
    <row r="1539" spans="1:8" x14ac:dyDescent="0.3">
      <c r="A1539" s="161"/>
      <c r="B1539" s="107"/>
      <c r="C1539" s="111"/>
      <c r="D1539" s="113"/>
      <c r="E1539" s="149" t="s">
        <v>1324</v>
      </c>
      <c r="F1539" s="150"/>
      <c r="G1539" s="107"/>
      <c r="H1539" s="95"/>
    </row>
    <row r="1540" spans="1:8" x14ac:dyDescent="0.3">
      <c r="A1540" s="161"/>
      <c r="B1540" s="107"/>
      <c r="C1540" s="111"/>
      <c r="D1540" s="113"/>
      <c r="E1540" s="63" t="s">
        <v>1664</v>
      </c>
      <c r="F1540" s="150"/>
      <c r="G1540" s="107"/>
      <c r="H1540" s="95"/>
    </row>
    <row r="1541" spans="1:8" x14ac:dyDescent="0.3">
      <c r="A1541" s="161"/>
      <c r="B1541" s="107"/>
      <c r="C1541" s="111"/>
      <c r="D1541" s="113">
        <f>$D1537</f>
        <v>9.4843376618407369</v>
      </c>
      <c r="E1541" s="63" t="s">
        <v>1665</v>
      </c>
      <c r="F1541" s="150">
        <f>$F1537</f>
        <v>9.48</v>
      </c>
      <c r="G1541" s="107" t="s">
        <v>1661</v>
      </c>
      <c r="H1541" s="95"/>
    </row>
    <row r="1542" spans="1:8" x14ac:dyDescent="0.3">
      <c r="A1542" s="161"/>
      <c r="B1542" s="107"/>
      <c r="C1542" s="111"/>
      <c r="D1542" s="113"/>
      <c r="E1542" s="63"/>
      <c r="F1542" s="150"/>
      <c r="G1542" s="107"/>
      <c r="H1542" s="95"/>
    </row>
    <row r="1543" spans="1:8" x14ac:dyDescent="0.3">
      <c r="A1543" s="161"/>
      <c r="B1543" s="107"/>
      <c r="C1543" s="111"/>
      <c r="D1543" s="113"/>
      <c r="E1543" s="149" t="s">
        <v>1455</v>
      </c>
      <c r="F1543" s="150"/>
      <c r="G1543" s="107"/>
      <c r="H1543" s="95"/>
    </row>
    <row r="1544" spans="1:8" x14ac:dyDescent="0.3">
      <c r="A1544" s="161"/>
      <c r="B1544" s="107"/>
      <c r="C1544" s="111"/>
      <c r="D1544" s="113"/>
      <c r="E1544" s="63" t="s">
        <v>1666</v>
      </c>
      <c r="F1544" s="150"/>
      <c r="G1544" s="107"/>
      <c r="H1544" s="95"/>
    </row>
    <row r="1545" spans="1:8" x14ac:dyDescent="0.3">
      <c r="A1545" s="161">
        <f>1</f>
        <v>1</v>
      </c>
      <c r="B1545" s="107" t="s">
        <v>1628</v>
      </c>
      <c r="C1545" s="111">
        <f>'04a_Box_Dims'!$AE32</f>
        <v>10</v>
      </c>
      <c r="D1545" s="113"/>
      <c r="E1545" s="63" t="s">
        <v>1667</v>
      </c>
      <c r="F1545" s="150"/>
      <c r="G1545" s="107"/>
      <c r="H1545" s="95"/>
    </row>
    <row r="1546" spans="1:8" x14ac:dyDescent="0.3">
      <c r="A1546" s="161"/>
      <c r="B1546" s="107"/>
      <c r="C1546" s="111">
        <f>'04a_Box_Dims'!$J32</f>
        <v>13.25</v>
      </c>
      <c r="D1546" s="113"/>
      <c r="E1546" s="63"/>
      <c r="F1546" s="150"/>
      <c r="G1546" s="107"/>
      <c r="H1546" s="95"/>
    </row>
    <row r="1547" spans="1:8" x14ac:dyDescent="0.3">
      <c r="A1547" s="161"/>
      <c r="B1547" s="107"/>
      <c r="C1547" s="111">
        <f>'04a_Box_Dims'!$I32</f>
        <v>0.25</v>
      </c>
      <c r="D1547" s="113">
        <f>$A1545*$C1545*$C1546*$C1547</f>
        <v>33.125</v>
      </c>
      <c r="E1547" s="63"/>
      <c r="F1547" s="150"/>
      <c r="G1547" s="107"/>
      <c r="H1547" s="95">
        <f>'04a_Box_Dims'!$I32</f>
        <v>0.25</v>
      </c>
    </row>
    <row r="1548" spans="1:8" x14ac:dyDescent="0.3">
      <c r="A1548" s="161">
        <f>2</f>
        <v>2</v>
      </c>
      <c r="B1548" s="107" t="s">
        <v>1628</v>
      </c>
      <c r="C1548" s="111">
        <f>'04a_Box_Dims'!$O32</f>
        <v>1.5</v>
      </c>
      <c r="D1548" s="113"/>
      <c r="E1548" s="63" t="s">
        <v>1657</v>
      </c>
      <c r="F1548" s="150"/>
      <c r="G1548" s="107"/>
      <c r="H1548" s="95"/>
    </row>
    <row r="1549" spans="1:8" x14ac:dyDescent="0.3">
      <c r="A1549" s="161"/>
      <c r="B1549" s="107"/>
      <c r="C1549" s="111">
        <f>'04a_Box_Dims'!$Q32</f>
        <v>14.75</v>
      </c>
      <c r="D1549" s="113"/>
      <c r="E1549" s="63"/>
      <c r="F1549" s="150"/>
      <c r="G1549" s="107"/>
      <c r="H1549" s="95"/>
    </row>
    <row r="1550" spans="1:8" x14ac:dyDescent="0.3">
      <c r="A1550" s="161"/>
      <c r="B1550" s="107"/>
      <c r="C1550" s="111">
        <f>'04a_Box_Dims'!$P32</f>
        <v>0.25</v>
      </c>
      <c r="D1550" s="113">
        <f>$A1548*$C1548*$C1549*$C1550</f>
        <v>11.0625</v>
      </c>
      <c r="E1550" s="63"/>
      <c r="F1550" s="150"/>
      <c r="G1550" s="107"/>
      <c r="H1550" s="95">
        <f>'04a_Box_Dims'!$P32</f>
        <v>0.25</v>
      </c>
    </row>
    <row r="1551" spans="1:8" x14ac:dyDescent="0.3">
      <c r="A1551" s="161">
        <f>2</f>
        <v>2</v>
      </c>
      <c r="B1551" s="107" t="s">
        <v>1628</v>
      </c>
      <c r="C1551" s="111">
        <f>'04a_Box_Dims'!$R32</f>
        <v>13.25</v>
      </c>
      <c r="D1551" s="113"/>
      <c r="E1551" s="63" t="s">
        <v>1658</v>
      </c>
      <c r="F1551" s="150"/>
      <c r="G1551" s="107"/>
      <c r="H1551" s="95"/>
    </row>
    <row r="1552" spans="1:8" x14ac:dyDescent="0.3">
      <c r="A1552" s="161"/>
      <c r="B1552" s="107"/>
      <c r="C1552" s="111">
        <f>'04a_Box_Dims'!$S32</f>
        <v>0.2</v>
      </c>
      <c r="D1552" s="113"/>
      <c r="E1552" s="63"/>
      <c r="F1552" s="150"/>
      <c r="G1552" s="107"/>
      <c r="H1552" s="95"/>
    </row>
    <row r="1553" spans="1:8" x14ac:dyDescent="0.3">
      <c r="A1553" s="161"/>
      <c r="B1553" s="107"/>
      <c r="C1553" s="111">
        <f>'04a_Box_Dims'!$T32</f>
        <v>0.45</v>
      </c>
      <c r="D1553" s="113">
        <f>$A1551*$C1551*$C1552*$C1553</f>
        <v>2.3850000000000002</v>
      </c>
      <c r="E1553" s="63"/>
      <c r="F1553" s="150"/>
      <c r="G1553" s="107"/>
      <c r="H1553" s="95">
        <f>'04a_Box_Dims'!$S32</f>
        <v>0.2</v>
      </c>
    </row>
    <row r="1554" spans="1:8" x14ac:dyDescent="0.3">
      <c r="A1554" s="161">
        <f>4</f>
        <v>4</v>
      </c>
      <c r="B1554" s="107" t="s">
        <v>1628</v>
      </c>
      <c r="C1554" s="111">
        <f>'04a_Box_Dims'!$Z32</f>
        <v>2.1213203435596424</v>
      </c>
      <c r="D1554" s="113"/>
      <c r="E1554" s="63" t="s">
        <v>1659</v>
      </c>
      <c r="F1554" s="150"/>
      <c r="G1554" s="107"/>
      <c r="H1554" s="95"/>
    </row>
    <row r="1555" spans="1:8" x14ac:dyDescent="0.3">
      <c r="A1555" s="161"/>
      <c r="B1555" s="107"/>
      <c r="C1555" s="111">
        <f>'04a_Box_Dims'!$AC32</f>
        <v>0.9</v>
      </c>
      <c r="D1555" s="113"/>
      <c r="E1555" s="63"/>
      <c r="F1555" s="150"/>
      <c r="G1555" s="107"/>
      <c r="H1555" s="95"/>
    </row>
    <row r="1556" spans="1:8" x14ac:dyDescent="0.3">
      <c r="A1556" s="161"/>
      <c r="B1556" s="107"/>
      <c r="C1556" s="111">
        <f>'04a_Box_Dims'!$AD32</f>
        <v>0.3</v>
      </c>
      <c r="D1556" s="113">
        <f>$A1554*$C1554*$C1555*$C1556</f>
        <v>2.2910259710444136</v>
      </c>
      <c r="E1556" s="63"/>
      <c r="F1556" s="150"/>
      <c r="G1556" s="107"/>
      <c r="H1556" s="95">
        <f>'04a_Box_Dims'!$AD32</f>
        <v>0.3</v>
      </c>
    </row>
    <row r="1557" spans="1:8" x14ac:dyDescent="0.3">
      <c r="A1557" s="161"/>
      <c r="B1557" s="107"/>
      <c r="C1557" s="111"/>
      <c r="D1557" s="113">
        <f>SUM($D$1545:$D$1556)</f>
        <v>48.86352597104441</v>
      </c>
      <c r="E1557" s="63" t="s">
        <v>1660</v>
      </c>
      <c r="F1557" s="150">
        <f>ROUND($D1557,2)</f>
        <v>48.86</v>
      </c>
      <c r="G1557" s="107" t="s">
        <v>1661</v>
      </c>
      <c r="H1557" s="95"/>
    </row>
    <row r="1558" spans="1:8" x14ac:dyDescent="0.3">
      <c r="A1558" s="161"/>
      <c r="B1558" s="107"/>
      <c r="C1558" s="111"/>
      <c r="D1558" s="113"/>
      <c r="E1558" s="63"/>
      <c r="F1558" s="150"/>
      <c r="G1558" s="107"/>
      <c r="H1558" s="95"/>
    </row>
    <row r="1559" spans="1:8" x14ac:dyDescent="0.3">
      <c r="A1559" s="161"/>
      <c r="B1559" s="107"/>
      <c r="C1559" s="111"/>
      <c r="D1559" s="113"/>
      <c r="E1559" s="149" t="s">
        <v>1668</v>
      </c>
      <c r="F1559" s="150"/>
      <c r="G1559" s="107"/>
      <c r="H1559" s="95"/>
    </row>
    <row r="1560" spans="1:8" x14ac:dyDescent="0.3">
      <c r="A1560" s="161"/>
      <c r="B1560" s="107"/>
      <c r="C1560" s="111"/>
      <c r="D1560" s="113"/>
      <c r="E1560" s="63" t="s">
        <v>1669</v>
      </c>
      <c r="F1560" s="150"/>
      <c r="G1560" s="107"/>
      <c r="H1560" s="95"/>
    </row>
    <row r="1561" spans="1:8" x14ac:dyDescent="0.3">
      <c r="A1561" s="161"/>
      <c r="B1561" s="107"/>
      <c r="C1561" s="111"/>
      <c r="D1561" s="113">
        <f>SUMIF($H$1545:$H$1556,"&lt;=0.3",$D$1545:$D$1556)</f>
        <v>48.86352597104441</v>
      </c>
      <c r="E1561" s="63" t="s">
        <v>1670</v>
      </c>
      <c r="F1561" s="150">
        <f>ROUND($D1561,2)</f>
        <v>48.86</v>
      </c>
      <c r="G1561" s="107" t="s">
        <v>1661</v>
      </c>
      <c r="H1561" s="95"/>
    </row>
    <row r="1562" spans="1:8" x14ac:dyDescent="0.3">
      <c r="A1562" s="161"/>
      <c r="B1562" s="107"/>
      <c r="C1562" s="111"/>
      <c r="D1562" s="113">
        <f>SUMIF($H$1545:$H$1556,"&gt;0.3",$D$1545:$D$1556)</f>
        <v>0</v>
      </c>
      <c r="E1562" s="63" t="s">
        <v>1671</v>
      </c>
      <c r="F1562" s="150">
        <f>ROUND($D1562,2)</f>
        <v>0</v>
      </c>
      <c r="G1562" s="107" t="s">
        <v>1661</v>
      </c>
      <c r="H1562" s="95"/>
    </row>
    <row r="1563" spans="1:8" x14ac:dyDescent="0.3">
      <c r="A1563" s="161"/>
      <c r="B1563" s="107"/>
      <c r="C1563" s="111"/>
      <c r="D1563" s="113"/>
      <c r="E1563" s="63"/>
      <c r="F1563" s="150"/>
      <c r="G1563" s="107"/>
      <c r="H1563" s="95"/>
    </row>
    <row r="1564" spans="1:8" x14ac:dyDescent="0.3">
      <c r="A1564" s="161"/>
      <c r="B1564" s="107"/>
      <c r="C1564" s="111"/>
      <c r="D1564" s="113"/>
      <c r="E1564" s="149" t="s">
        <v>1455</v>
      </c>
      <c r="F1564" s="150"/>
      <c r="G1564" s="107"/>
      <c r="H1564" s="95"/>
    </row>
    <row r="1565" spans="1:8" x14ac:dyDescent="0.3">
      <c r="A1565" s="161"/>
      <c r="B1565" s="107"/>
      <c r="C1565" s="111"/>
      <c r="D1565" s="113"/>
      <c r="E1565" s="63" t="s">
        <v>1672</v>
      </c>
      <c r="F1565" s="150"/>
      <c r="G1565" s="107"/>
      <c r="H1565" s="95"/>
    </row>
    <row r="1566" spans="1:8" x14ac:dyDescent="0.3">
      <c r="A1566" s="161">
        <f>1</f>
        <v>1</v>
      </c>
      <c r="B1566" s="107" t="s">
        <v>1628</v>
      </c>
      <c r="C1566" s="111">
        <f>'04a_Box_Dims'!$AE32</f>
        <v>10</v>
      </c>
      <c r="D1566" s="113"/>
      <c r="E1566" s="63" t="s">
        <v>1673</v>
      </c>
      <c r="F1566" s="150"/>
      <c r="G1566" s="107"/>
      <c r="H1566" s="95"/>
    </row>
    <row r="1567" spans="1:8" x14ac:dyDescent="0.3">
      <c r="A1567" s="161"/>
      <c r="B1567" s="107"/>
      <c r="C1567" s="111">
        <f>'04a_Box_Dims'!$J32</f>
        <v>13.25</v>
      </c>
      <c r="D1567" s="113"/>
      <c r="E1567" s="63"/>
      <c r="F1567" s="150"/>
      <c r="G1567" s="107"/>
      <c r="H1567" s="95"/>
    </row>
    <row r="1568" spans="1:8" x14ac:dyDescent="0.3">
      <c r="A1568" s="161"/>
      <c r="B1568" s="107"/>
      <c r="C1568" s="111">
        <f>'04a_Box_Dims'!$I32</f>
        <v>0.25</v>
      </c>
      <c r="D1568" s="113">
        <f>$A1566*$C1566*$C1567*$C1568</f>
        <v>33.125</v>
      </c>
      <c r="E1568" s="63"/>
      <c r="F1568" s="150"/>
      <c r="G1568" s="107"/>
      <c r="H1568" s="95">
        <f>'04a_Box_Dims'!$I32</f>
        <v>0.25</v>
      </c>
    </row>
    <row r="1569" spans="1:8" x14ac:dyDescent="0.3">
      <c r="A1569" s="161"/>
      <c r="B1569" s="107"/>
      <c r="C1569" s="111"/>
      <c r="D1569" s="113">
        <f>SUM($D$1566:$D$1568)</f>
        <v>33.125</v>
      </c>
      <c r="E1569" s="63" t="s">
        <v>1660</v>
      </c>
      <c r="F1569" s="150">
        <f>ROUND($D1569,2)</f>
        <v>33.130000000000003</v>
      </c>
      <c r="G1569" s="107" t="s">
        <v>1661</v>
      </c>
      <c r="H1569" s="95"/>
    </row>
    <row r="1570" spans="1:8" x14ac:dyDescent="0.3">
      <c r="A1570" s="161"/>
      <c r="B1570" s="107"/>
      <c r="C1570" s="111"/>
      <c r="D1570" s="113"/>
      <c r="E1570" s="63"/>
      <c r="F1570" s="150"/>
      <c r="G1570" s="107"/>
      <c r="H1570" s="95"/>
    </row>
    <row r="1571" spans="1:8" x14ac:dyDescent="0.3">
      <c r="A1571" s="161"/>
      <c r="B1571" s="107"/>
      <c r="C1571" s="111"/>
      <c r="D1571" s="113"/>
      <c r="E1571" s="149" t="s">
        <v>1674</v>
      </c>
      <c r="F1571" s="150"/>
      <c r="G1571" s="107"/>
      <c r="H1571" s="95"/>
    </row>
    <row r="1572" spans="1:8" x14ac:dyDescent="0.3">
      <c r="A1572" s="161"/>
      <c r="B1572" s="107"/>
      <c r="C1572" s="111"/>
      <c r="D1572" s="113"/>
      <c r="E1572" s="63" t="s">
        <v>1675</v>
      </c>
      <c r="F1572" s="150"/>
      <c r="G1572" s="107"/>
      <c r="H1572" s="95"/>
    </row>
    <row r="1573" spans="1:8" x14ac:dyDescent="0.3">
      <c r="A1573" s="161"/>
      <c r="B1573" s="107"/>
      <c r="C1573" s="111"/>
      <c r="D1573" s="113">
        <f>SUMIF($H$1566:$H$1568,"&lt;=0.3",$D$1566:$D$1568)</f>
        <v>33.125</v>
      </c>
      <c r="E1573" s="63" t="s">
        <v>1670</v>
      </c>
      <c r="F1573" s="150">
        <f>ROUND($D1573,2)</f>
        <v>33.130000000000003</v>
      </c>
      <c r="G1573" s="107" t="s">
        <v>1661</v>
      </c>
      <c r="H1573" s="95"/>
    </row>
    <row r="1574" spans="1:8" x14ac:dyDescent="0.3">
      <c r="A1574" s="161"/>
      <c r="B1574" s="107"/>
      <c r="C1574" s="111"/>
      <c r="D1574" s="113">
        <f>SUMIF($H$1566:$H$1568,"&gt;0.3",$D$1566:$D$1568)</f>
        <v>0</v>
      </c>
      <c r="E1574" s="63" t="s">
        <v>1671</v>
      </c>
      <c r="F1574" s="150">
        <f>ROUND($D1574,2)</f>
        <v>0</v>
      </c>
      <c r="G1574" s="107" t="s">
        <v>1661</v>
      </c>
      <c r="H1574" s="95"/>
    </row>
    <row r="1575" spans="1:8" x14ac:dyDescent="0.3">
      <c r="A1575" s="161"/>
      <c r="B1575" s="107"/>
      <c r="C1575" s="111"/>
      <c r="D1575" s="113"/>
      <c r="E1575" s="63"/>
      <c r="F1575" s="150"/>
      <c r="G1575" s="107"/>
      <c r="H1575" s="95"/>
    </row>
    <row r="1576" spans="1:8" x14ac:dyDescent="0.3">
      <c r="A1576" s="161"/>
      <c r="B1576" s="107"/>
      <c r="C1576" s="111"/>
      <c r="D1576" s="113"/>
      <c r="E1576" s="149" t="s">
        <v>1455</v>
      </c>
      <c r="F1576" s="150"/>
      <c r="G1576" s="107"/>
      <c r="H1576" s="95"/>
    </row>
    <row r="1577" spans="1:8" x14ac:dyDescent="0.3">
      <c r="A1577" s="161"/>
      <c r="B1577" s="107"/>
      <c r="C1577" s="111"/>
      <c r="D1577" s="113"/>
      <c r="E1577" s="63" t="s">
        <v>1676</v>
      </c>
      <c r="F1577" s="150"/>
      <c r="G1577" s="107"/>
      <c r="H1577" s="95"/>
    </row>
    <row r="1578" spans="1:8" x14ac:dyDescent="0.3">
      <c r="A1578" s="161">
        <f>2</f>
        <v>2</v>
      </c>
      <c r="B1578" s="107" t="s">
        <v>1628</v>
      </c>
      <c r="C1578" s="111">
        <f>'04a_Box_Dims'!$AE32</f>
        <v>10</v>
      </c>
      <c r="D1578" s="113"/>
      <c r="E1578" s="63" t="s">
        <v>1677</v>
      </c>
      <c r="F1578" s="150"/>
      <c r="G1578" s="107"/>
      <c r="H1578" s="95"/>
    </row>
    <row r="1579" spans="1:8" x14ac:dyDescent="0.3">
      <c r="A1579" s="161"/>
      <c r="B1579" s="107"/>
      <c r="C1579" s="111">
        <f>'04a_Box_Dims'!$E32</f>
        <v>3</v>
      </c>
      <c r="D1579" s="113"/>
      <c r="E1579" s="63"/>
      <c r="F1579" s="150"/>
      <c r="G1579" s="107"/>
      <c r="H1579" s="95"/>
    </row>
    <row r="1580" spans="1:8" x14ac:dyDescent="0.3">
      <c r="A1580" s="161"/>
      <c r="B1580" s="107"/>
      <c r="C1580" s="111">
        <f>'04a_Box_Dims'!$I32</f>
        <v>0.25</v>
      </c>
      <c r="D1580" s="113">
        <f>$A1578*$C1578*$C1579*$C1580</f>
        <v>15</v>
      </c>
      <c r="E1580" s="63"/>
      <c r="F1580" s="150"/>
      <c r="G1580" s="107"/>
      <c r="H1580" s="95">
        <f>'04a_Box_Dims'!$I32</f>
        <v>0.25</v>
      </c>
    </row>
    <row r="1581" spans="1:8" x14ac:dyDescent="0.3">
      <c r="A1581" s="161">
        <f>'04a_Box_Dims'!$C32-1</f>
        <v>3</v>
      </c>
      <c r="B1581" s="107" t="s">
        <v>1628</v>
      </c>
      <c r="C1581" s="111">
        <f>'04a_Box_Dims'!$AE32</f>
        <v>10</v>
      </c>
      <c r="D1581" s="113"/>
      <c r="E1581" s="63" t="s">
        <v>1678</v>
      </c>
      <c r="F1581" s="150"/>
      <c r="G1581" s="107"/>
      <c r="H1581" s="95"/>
    </row>
    <row r="1582" spans="1:8" x14ac:dyDescent="0.3">
      <c r="A1582" s="161"/>
      <c r="B1582" s="107"/>
      <c r="C1582" s="111">
        <f>'04a_Box_Dims'!$E32</f>
        <v>3</v>
      </c>
      <c r="D1582" s="113"/>
      <c r="E1582" s="63"/>
      <c r="F1582" s="150"/>
      <c r="G1582" s="107"/>
      <c r="H1582" s="95"/>
    </row>
    <row r="1583" spans="1:8" x14ac:dyDescent="0.3">
      <c r="A1583" s="161"/>
      <c r="B1583" s="107"/>
      <c r="C1583" s="111">
        <f>'04a_Box_Dims'!$I32</f>
        <v>0.25</v>
      </c>
      <c r="D1583" s="113">
        <f>$A1581*$C1581*$C1582*$C1583</f>
        <v>22.5</v>
      </c>
      <c r="E1583" s="63"/>
      <c r="F1583" s="150"/>
      <c r="G1583" s="107"/>
      <c r="H1583" s="95">
        <f>'04a_Box_Dims'!$I32</f>
        <v>0.25</v>
      </c>
    </row>
    <row r="1584" spans="1:8" x14ac:dyDescent="0.3">
      <c r="A1584" s="161">
        <f>4*'04a_Box_Dims'!$C32</f>
        <v>16</v>
      </c>
      <c r="B1584" s="107" t="s">
        <v>1628</v>
      </c>
      <c r="C1584" s="111">
        <f>'04a_Box_Dims'!$AE32</f>
        <v>10</v>
      </c>
      <c r="D1584" s="113"/>
      <c r="E1584" s="63" t="s">
        <v>1679</v>
      </c>
      <c r="F1584" s="150"/>
      <c r="G1584" s="107"/>
      <c r="H1584" s="95"/>
    </row>
    <row r="1585" spans="1:8" x14ac:dyDescent="0.3">
      <c r="A1585" s="161"/>
      <c r="B1585" s="107"/>
      <c r="C1585" s="111">
        <f>'04a_Box_Dims'!$N32</f>
        <v>0.15</v>
      </c>
      <c r="D1585" s="113"/>
      <c r="E1585" s="63"/>
      <c r="F1585" s="150"/>
      <c r="G1585" s="107"/>
      <c r="H1585" s="95"/>
    </row>
    <row r="1586" spans="1:8" x14ac:dyDescent="0.3">
      <c r="A1586" s="161"/>
      <c r="B1586" s="107"/>
      <c r="C1586" s="111">
        <f>'04a_Box_Dims'!$N32/2</f>
        <v>7.4999999999999997E-2</v>
      </c>
      <c r="D1586" s="113">
        <f>$A1584*$C1584*$C1585*$C1586</f>
        <v>1.7999999999999998</v>
      </c>
      <c r="E1586" s="63"/>
      <c r="F1586" s="150"/>
      <c r="G1586" s="107"/>
      <c r="H1586" s="95">
        <f>'04a_Box_Dims'!$N32</f>
        <v>0.15</v>
      </c>
    </row>
    <row r="1587" spans="1:8" x14ac:dyDescent="0.3">
      <c r="A1587" s="161">
        <f>2</f>
        <v>2</v>
      </c>
      <c r="B1587" s="107" t="s">
        <v>1628</v>
      </c>
      <c r="C1587" s="111">
        <f>'04a_Box_Dims'!$J32</f>
        <v>13.25</v>
      </c>
      <c r="D1587" s="113"/>
      <c r="E1587" s="63" t="s">
        <v>1680</v>
      </c>
      <c r="F1587" s="150"/>
      <c r="G1587" s="107"/>
      <c r="H1587" s="95"/>
    </row>
    <row r="1588" spans="1:8" x14ac:dyDescent="0.3">
      <c r="A1588" s="161"/>
      <c r="B1588" s="107"/>
      <c r="C1588" s="111">
        <f>'04a_Box_Dims'!$U32</f>
        <v>0.6</v>
      </c>
      <c r="D1588" s="113"/>
      <c r="E1588" s="63"/>
      <c r="F1588" s="150"/>
      <c r="G1588" s="107"/>
      <c r="H1588" s="95"/>
    </row>
    <row r="1589" spans="1:8" x14ac:dyDescent="0.3">
      <c r="A1589" s="161"/>
      <c r="B1589" s="107"/>
      <c r="C1589" s="111">
        <f>'04a_Box_Dims'!$V32</f>
        <v>0.3</v>
      </c>
      <c r="D1589" s="113">
        <f>$A1587*$C1587*$C1588*$C1589</f>
        <v>4.7699999999999996</v>
      </c>
      <c r="E1589" s="63"/>
      <c r="F1589" s="150"/>
      <c r="G1589" s="107"/>
      <c r="H1589" s="95">
        <f>'04a_Box_Dims'!$V32</f>
        <v>0.3</v>
      </c>
    </row>
    <row r="1590" spans="1:8" x14ac:dyDescent="0.3">
      <c r="A1590" s="161">
        <f>4</f>
        <v>4</v>
      </c>
      <c r="B1590" s="107" t="s">
        <v>1628</v>
      </c>
      <c r="C1590" s="111">
        <f>'04a_Box_Dims'!$Z32</f>
        <v>2.1213203435596424</v>
      </c>
      <c r="D1590" s="113"/>
      <c r="E1590" s="63" t="s">
        <v>1681</v>
      </c>
      <c r="F1590" s="150"/>
      <c r="G1590" s="107"/>
      <c r="H1590" s="95"/>
    </row>
    <row r="1591" spans="1:8" x14ac:dyDescent="0.3">
      <c r="A1591" s="161"/>
      <c r="B1591" s="107"/>
      <c r="C1591" s="111">
        <f>'04a_Box_Dims'!$Y32</f>
        <v>3.9928932188134518</v>
      </c>
      <c r="D1591" s="113"/>
      <c r="E1591" s="63"/>
      <c r="F1591" s="150"/>
      <c r="G1591" s="107"/>
      <c r="H1591" s="95"/>
    </row>
    <row r="1592" spans="1:8" x14ac:dyDescent="0.3">
      <c r="A1592" s="161"/>
      <c r="B1592" s="107"/>
      <c r="C1592" s="111">
        <f>'04a_Box_Dims'!$AB32</f>
        <v>0.39</v>
      </c>
      <c r="D1592" s="113">
        <f>$A1590*$C1590*$C1591*$C1592</f>
        <v>13.213520758979296</v>
      </c>
      <c r="E1592" s="63"/>
      <c r="F1592" s="150"/>
      <c r="G1592" s="107"/>
      <c r="H1592" s="95">
        <f>'04a_Box_Dims'!$AB32</f>
        <v>0.39</v>
      </c>
    </row>
    <row r="1593" spans="1:8" x14ac:dyDescent="0.3">
      <c r="A1593" s="161"/>
      <c r="B1593" s="107"/>
      <c r="C1593" s="111"/>
      <c r="D1593" s="113">
        <f>SUM($D$1578:$D$1592)</f>
        <v>57.283520758979293</v>
      </c>
      <c r="E1593" s="63" t="s">
        <v>1660</v>
      </c>
      <c r="F1593" s="150">
        <f>ROUND($D1593,2)</f>
        <v>57.28</v>
      </c>
      <c r="G1593" s="107" t="s">
        <v>1661</v>
      </c>
      <c r="H1593" s="95"/>
    </row>
    <row r="1594" spans="1:8" x14ac:dyDescent="0.3">
      <c r="A1594" s="161"/>
      <c r="B1594" s="107"/>
      <c r="C1594" s="111"/>
      <c r="D1594" s="113"/>
      <c r="E1594" s="63"/>
      <c r="F1594" s="150"/>
      <c r="G1594" s="107"/>
      <c r="H1594" s="95"/>
    </row>
    <row r="1595" spans="1:8" x14ac:dyDescent="0.3">
      <c r="A1595" s="161"/>
      <c r="B1595" s="107"/>
      <c r="C1595" s="111"/>
      <c r="D1595" s="113"/>
      <c r="E1595" s="149" t="s">
        <v>1682</v>
      </c>
      <c r="F1595" s="150"/>
      <c r="G1595" s="107"/>
      <c r="H1595" s="95"/>
    </row>
    <row r="1596" spans="1:8" x14ac:dyDescent="0.3">
      <c r="A1596" s="161"/>
      <c r="B1596" s="107"/>
      <c r="C1596" s="111"/>
      <c r="D1596" s="113"/>
      <c r="E1596" s="63" t="s">
        <v>1683</v>
      </c>
      <c r="F1596" s="150"/>
      <c r="G1596" s="107"/>
      <c r="H1596" s="95"/>
    </row>
    <row r="1597" spans="1:8" x14ac:dyDescent="0.3">
      <c r="A1597" s="161"/>
      <c r="B1597" s="107"/>
      <c r="C1597" s="111"/>
      <c r="D1597" s="113">
        <f>SUMIF($H$1578:$H$1592,"&lt;=0.3",$D$1578:$D$1592)</f>
        <v>44.069999999999993</v>
      </c>
      <c r="E1597" s="63" t="s">
        <v>1670</v>
      </c>
      <c r="F1597" s="150">
        <f>ROUND($D1597,2)</f>
        <v>44.07</v>
      </c>
      <c r="G1597" s="107" t="s">
        <v>1661</v>
      </c>
      <c r="H1597" s="95"/>
    </row>
    <row r="1598" spans="1:8" x14ac:dyDescent="0.3">
      <c r="A1598" s="161"/>
      <c r="B1598" s="107"/>
      <c r="C1598" s="111"/>
      <c r="D1598" s="113">
        <f>SUMIF($H$1578:$H$1592,"&gt;0.3",$D$1578:$D$1592)</f>
        <v>13.213520758979296</v>
      </c>
      <c r="E1598" s="63" t="s">
        <v>1671</v>
      </c>
      <c r="F1598" s="150">
        <f>ROUND($D1598,2)</f>
        <v>13.21</v>
      </c>
      <c r="G1598" s="107" t="s">
        <v>1661</v>
      </c>
      <c r="H1598" s="95"/>
    </row>
    <row r="1599" spans="1:8" x14ac:dyDescent="0.3">
      <c r="A1599" s="161"/>
      <c r="B1599" s="107"/>
      <c r="C1599" s="111"/>
      <c r="D1599" s="113"/>
      <c r="E1599" s="63"/>
      <c r="F1599" s="150"/>
      <c r="G1599" s="107"/>
      <c r="H1599" s="95"/>
    </row>
    <row r="1600" spans="1:8" x14ac:dyDescent="0.3">
      <c r="A1600" s="161"/>
      <c r="B1600" s="107"/>
      <c r="C1600" s="111"/>
      <c r="D1600" s="113"/>
      <c r="E1600" s="149" t="s">
        <v>1445</v>
      </c>
      <c r="F1600" s="150"/>
      <c r="G1600" s="107"/>
      <c r="H1600" s="95"/>
    </row>
    <row r="1601" spans="1:8" x14ac:dyDescent="0.3">
      <c r="A1601" s="161"/>
      <c r="B1601" s="107"/>
      <c r="C1601" s="111"/>
      <c r="D1601" s="113"/>
      <c r="E1601" s="63" t="s">
        <v>1684</v>
      </c>
      <c r="F1601" s="150"/>
      <c r="G1601" s="107"/>
      <c r="H1601" s="95"/>
    </row>
    <row r="1602" spans="1:8" x14ac:dyDescent="0.3">
      <c r="A1602" s="161">
        <f>2</f>
        <v>2</v>
      </c>
      <c r="B1602" s="107" t="s">
        <v>1628</v>
      </c>
      <c r="C1602" s="111">
        <f>'04a_Box_Dims'!$AE32</f>
        <v>10</v>
      </c>
      <c r="D1602" s="113"/>
      <c r="E1602" s="63" t="s">
        <v>1685</v>
      </c>
      <c r="F1602" s="150"/>
      <c r="G1602" s="107"/>
      <c r="H1602" s="95"/>
    </row>
    <row r="1603" spans="1:8" x14ac:dyDescent="0.3">
      <c r="A1603" s="161"/>
      <c r="B1603" s="107"/>
      <c r="C1603" s="111">
        <f>'04a_Box_Dims'!$E32</f>
        <v>3</v>
      </c>
      <c r="D1603" s="113">
        <f>$A1602*$C1602*$C1603</f>
        <v>60</v>
      </c>
      <c r="E1603" s="63"/>
      <c r="F1603" s="150"/>
      <c r="G1603" s="107"/>
      <c r="H1603" s="95"/>
    </row>
    <row r="1604" spans="1:8" x14ac:dyDescent="0.3">
      <c r="A1604" s="161">
        <f>4</f>
        <v>4</v>
      </c>
      <c r="B1604" s="107" t="s">
        <v>1628</v>
      </c>
      <c r="C1604" s="111">
        <f>'04a_Box_Dims'!$Z32</f>
        <v>2.1213203435596424</v>
      </c>
      <c r="D1604" s="113"/>
      <c r="E1604" s="63" t="s">
        <v>1686</v>
      </c>
      <c r="F1604" s="150"/>
      <c r="G1604" s="107"/>
      <c r="H1604" s="95"/>
    </row>
    <row r="1605" spans="1:8" x14ac:dyDescent="0.3">
      <c r="A1605" s="161"/>
      <c r="B1605" s="107"/>
      <c r="C1605" s="111">
        <f>'04a_Box_Dims'!$Y32</f>
        <v>3.9928932188134518</v>
      </c>
      <c r="D1605" s="113">
        <f>$A1604*$C1604*$C1605</f>
        <v>33.880822458921273</v>
      </c>
      <c r="E1605" s="63"/>
      <c r="F1605" s="150"/>
      <c r="G1605" s="107"/>
      <c r="H1605" s="95"/>
    </row>
    <row r="1606" spans="1:8" x14ac:dyDescent="0.3">
      <c r="A1606" s="161">
        <f>2</f>
        <v>2</v>
      </c>
      <c r="B1606" s="107" t="s">
        <v>1628</v>
      </c>
      <c r="C1606" s="111">
        <f>'04a_Box_Dims'!$J32</f>
        <v>13.25</v>
      </c>
      <c r="D1606" s="113"/>
      <c r="E1606" s="63" t="s">
        <v>1687</v>
      </c>
      <c r="F1606" s="150"/>
      <c r="G1606" s="107"/>
      <c r="H1606" s="95"/>
    </row>
    <row r="1607" spans="1:8" x14ac:dyDescent="0.3">
      <c r="A1607" s="161"/>
      <c r="B1607" s="107"/>
      <c r="C1607" s="111">
        <f>'04a_Box_Dims'!$U32</f>
        <v>0.6</v>
      </c>
      <c r="D1607" s="113">
        <f>$A1606*$C1606*$C1607</f>
        <v>15.899999999999999</v>
      </c>
      <c r="E1607" s="63"/>
      <c r="F1607" s="150"/>
      <c r="G1607" s="107"/>
      <c r="H1607" s="95"/>
    </row>
    <row r="1608" spans="1:8" x14ac:dyDescent="0.3">
      <c r="A1608" s="161"/>
      <c r="B1608" s="107"/>
      <c r="C1608" s="111"/>
      <c r="D1608" s="113">
        <f>SUM($D$1602:$D$1607)</f>
        <v>109.78082245892128</v>
      </c>
      <c r="E1608" s="63" t="s">
        <v>1660</v>
      </c>
      <c r="F1608" s="150">
        <f>ROUND($D1608,2)</f>
        <v>109.78</v>
      </c>
      <c r="G1608" s="107" t="s">
        <v>1688</v>
      </c>
      <c r="H1608" s="95"/>
    </row>
    <row r="1609" spans="1:8" x14ac:dyDescent="0.3">
      <c r="A1609" s="161"/>
      <c r="B1609" s="107"/>
      <c r="C1609" s="111"/>
      <c r="D1609" s="113"/>
      <c r="E1609" s="63"/>
      <c r="F1609" s="150"/>
      <c r="G1609" s="107"/>
      <c r="H1609" s="95"/>
    </row>
    <row r="1610" spans="1:8" x14ac:dyDescent="0.3">
      <c r="A1610" s="161"/>
      <c r="B1610" s="107"/>
      <c r="C1610" s="111"/>
      <c r="D1610" s="113"/>
      <c r="E1610" s="149" t="s">
        <v>1446</v>
      </c>
      <c r="F1610" s="150"/>
      <c r="G1610" s="107"/>
      <c r="H1610" s="95"/>
    </row>
    <row r="1611" spans="1:8" x14ac:dyDescent="0.3">
      <c r="A1611" s="161"/>
      <c r="B1611" s="107"/>
      <c r="C1611" s="111"/>
      <c r="D1611" s="113"/>
      <c r="E1611" s="63" t="s">
        <v>1689</v>
      </c>
      <c r="F1611" s="150"/>
      <c r="G1611" s="107"/>
      <c r="H1611" s="95"/>
    </row>
    <row r="1612" spans="1:8" x14ac:dyDescent="0.3">
      <c r="A1612" s="161">
        <f>2</f>
        <v>2</v>
      </c>
      <c r="B1612" s="107" t="s">
        <v>1628</v>
      </c>
      <c r="C1612" s="111">
        <f>'04a_Box_Dims'!$O32</f>
        <v>1.5</v>
      </c>
      <c r="D1612" s="113"/>
      <c r="E1612" s="63" t="s">
        <v>1690</v>
      </c>
      <c r="F1612" s="150"/>
      <c r="G1612" s="107"/>
      <c r="H1612" s="95"/>
    </row>
    <row r="1613" spans="1:8" x14ac:dyDescent="0.3">
      <c r="A1613" s="161"/>
      <c r="B1613" s="107"/>
      <c r="C1613" s="111">
        <f>'04a_Box_Dims'!$Q32</f>
        <v>14.75</v>
      </c>
      <c r="D1613" s="113">
        <f>$A1612*$C1612*$C1613</f>
        <v>44.25</v>
      </c>
      <c r="E1613" s="63"/>
      <c r="F1613" s="150"/>
      <c r="G1613" s="107"/>
      <c r="H1613" s="95"/>
    </row>
    <row r="1614" spans="1:8" x14ac:dyDescent="0.3">
      <c r="A1614" s="161"/>
      <c r="B1614" s="107"/>
      <c r="C1614" s="111"/>
      <c r="D1614" s="113">
        <f>SUM($D$1612:$D$1613)</f>
        <v>44.25</v>
      </c>
      <c r="E1614" s="63" t="s">
        <v>1660</v>
      </c>
      <c r="F1614" s="150">
        <f>ROUND($D1614,2)</f>
        <v>44.25</v>
      </c>
      <c r="G1614" s="107" t="s">
        <v>1688</v>
      </c>
      <c r="H1614" s="95"/>
    </row>
    <row r="1615" spans="1:8" x14ac:dyDescent="0.3">
      <c r="A1615" s="161"/>
      <c r="B1615" s="107"/>
      <c r="C1615" s="111"/>
      <c r="D1615" s="113"/>
      <c r="E1615" s="63"/>
      <c r="F1615" s="150"/>
      <c r="G1615" s="107"/>
      <c r="H1615" s="95"/>
    </row>
    <row r="1616" spans="1:8" x14ac:dyDescent="0.3">
      <c r="A1616" s="161"/>
      <c r="B1616" s="107"/>
      <c r="C1616" s="111"/>
      <c r="D1616" s="113"/>
      <c r="E1616" s="149" t="s">
        <v>1447</v>
      </c>
      <c r="F1616" s="150"/>
      <c r="G1616" s="107"/>
      <c r="H1616" s="95"/>
    </row>
    <row r="1617" spans="1:8" x14ac:dyDescent="0.3">
      <c r="A1617" s="161"/>
      <c r="B1617" s="107"/>
      <c r="C1617" s="111"/>
      <c r="D1617" s="113"/>
      <c r="E1617" s="63" t="s">
        <v>1691</v>
      </c>
      <c r="F1617" s="150"/>
      <c r="G1617" s="107"/>
      <c r="H1617" s="95"/>
    </row>
    <row r="1618" spans="1:8" x14ac:dyDescent="0.3">
      <c r="A1618" s="161">
        <f>4</f>
        <v>4</v>
      </c>
      <c r="B1618" s="107" t="s">
        <v>1628</v>
      </c>
      <c r="C1618" s="111">
        <f>'04a_Box_Dims'!$J32</f>
        <v>13.25</v>
      </c>
      <c r="D1618" s="113"/>
      <c r="E1618" s="63" t="s">
        <v>1692</v>
      </c>
      <c r="F1618" s="150"/>
      <c r="G1618" s="107"/>
      <c r="H1618" s="95"/>
    </row>
    <row r="1619" spans="1:8" x14ac:dyDescent="0.3">
      <c r="A1619" s="161"/>
      <c r="B1619" s="107"/>
      <c r="C1619" s="111">
        <f>'04a_Box_Dims'!$I32</f>
        <v>0.25</v>
      </c>
      <c r="D1619" s="113">
        <f>$A1618*$C1618*$C1619</f>
        <v>13.25</v>
      </c>
      <c r="E1619" s="63"/>
      <c r="F1619" s="150"/>
      <c r="G1619" s="107"/>
      <c r="H1619" s="95"/>
    </row>
    <row r="1620" spans="1:8" x14ac:dyDescent="0.3">
      <c r="A1620" s="161">
        <f>4</f>
        <v>4</v>
      </c>
      <c r="B1620" s="107" t="s">
        <v>1628</v>
      </c>
      <c r="C1620" s="111">
        <f>'04a_Box_Dims'!$O32</f>
        <v>1.5</v>
      </c>
      <c r="D1620" s="113"/>
      <c r="E1620" s="63" t="s">
        <v>1693</v>
      </c>
      <c r="F1620" s="150"/>
      <c r="G1620" s="107"/>
      <c r="H1620" s="95"/>
    </row>
    <row r="1621" spans="1:8" x14ac:dyDescent="0.3">
      <c r="A1621" s="161"/>
      <c r="B1621" s="107"/>
      <c r="C1621" s="111">
        <f>'04a_Box_Dims'!$P32</f>
        <v>0.25</v>
      </c>
      <c r="D1621" s="113">
        <f>$A1620*$C1620*$C1621</f>
        <v>1.5</v>
      </c>
      <c r="E1621" s="63"/>
      <c r="F1621" s="150"/>
      <c r="G1621" s="107"/>
      <c r="H1621" s="95"/>
    </row>
    <row r="1622" spans="1:8" x14ac:dyDescent="0.3">
      <c r="A1622" s="161"/>
      <c r="B1622" s="107"/>
      <c r="C1622" s="111"/>
      <c r="D1622" s="113">
        <f>SUM($D$1618:$D$1621)</f>
        <v>14.75</v>
      </c>
      <c r="E1622" s="63" t="s">
        <v>1660</v>
      </c>
      <c r="F1622" s="150">
        <f>ROUND($D1622,2)</f>
        <v>14.75</v>
      </c>
      <c r="G1622" s="107" t="s">
        <v>1688</v>
      </c>
      <c r="H1622" s="95"/>
    </row>
    <row r="1623" spans="1:8" x14ac:dyDescent="0.3">
      <c r="A1623" s="161"/>
      <c r="B1623" s="107"/>
      <c r="C1623" s="111"/>
      <c r="D1623" s="113"/>
      <c r="E1623" s="63"/>
      <c r="F1623" s="150"/>
      <c r="G1623" s="107"/>
      <c r="H1623" s="95"/>
    </row>
    <row r="1624" spans="1:8" x14ac:dyDescent="0.3">
      <c r="A1624" s="161"/>
      <c r="B1624" s="107"/>
      <c r="C1624" s="111"/>
      <c r="D1624" s="113"/>
      <c r="E1624" s="149" t="s">
        <v>1448</v>
      </c>
      <c r="F1624" s="150"/>
      <c r="G1624" s="107"/>
      <c r="H1624" s="95"/>
    </row>
    <row r="1625" spans="1:8" x14ac:dyDescent="0.3">
      <c r="A1625" s="161"/>
      <c r="B1625" s="107"/>
      <c r="C1625" s="111"/>
      <c r="D1625" s="113"/>
      <c r="E1625" s="63" t="s">
        <v>1694</v>
      </c>
      <c r="F1625" s="150"/>
      <c r="G1625" s="107"/>
      <c r="H1625" s="95"/>
    </row>
    <row r="1626" spans="1:8" x14ac:dyDescent="0.3">
      <c r="A1626" s="161">
        <f>1</f>
        <v>1</v>
      </c>
      <c r="B1626" s="107" t="s">
        <v>1628</v>
      </c>
      <c r="C1626" s="111">
        <f>'04a_Box_Dims'!$AE32</f>
        <v>10</v>
      </c>
      <c r="D1626" s="113"/>
      <c r="E1626" s="63" t="s">
        <v>1695</v>
      </c>
      <c r="F1626" s="150"/>
      <c r="G1626" s="107"/>
      <c r="H1626" s="95"/>
    </row>
    <row r="1627" spans="1:8" x14ac:dyDescent="0.3">
      <c r="A1627" s="161"/>
      <c r="B1627" s="107"/>
      <c r="C1627" s="111">
        <f>'04a_Box_Dims'!$K32</f>
        <v>12.75</v>
      </c>
      <c r="D1627" s="113">
        <f>$A1626*$C1626*$C1627</f>
        <v>127.5</v>
      </c>
      <c r="E1627" s="63"/>
      <c r="F1627" s="150"/>
      <c r="G1627" s="107"/>
      <c r="H1627" s="95"/>
    </row>
    <row r="1628" spans="1:8" x14ac:dyDescent="0.3">
      <c r="A1628" s="161"/>
      <c r="B1628" s="107"/>
      <c r="C1628" s="111"/>
      <c r="D1628" s="113">
        <f>SUM($D$1626:$D$1627)</f>
        <v>127.5</v>
      </c>
      <c r="E1628" s="63" t="s">
        <v>1660</v>
      </c>
      <c r="F1628" s="150">
        <f>ROUND($D1628,2)</f>
        <v>127.5</v>
      </c>
      <c r="G1628" s="107" t="s">
        <v>1688</v>
      </c>
      <c r="H1628" s="95"/>
    </row>
    <row r="1629" spans="1:8" x14ac:dyDescent="0.3">
      <c r="A1629" s="161"/>
      <c r="B1629" s="107"/>
      <c r="C1629" s="111"/>
      <c r="D1629" s="113"/>
      <c r="E1629" s="63"/>
      <c r="F1629" s="150"/>
      <c r="G1629" s="107"/>
      <c r="H1629" s="95"/>
    </row>
    <row r="1630" spans="1:8" x14ac:dyDescent="0.3">
      <c r="A1630" s="161"/>
      <c r="B1630" s="107"/>
      <c r="C1630" s="111"/>
      <c r="D1630" s="113"/>
      <c r="E1630" s="149" t="s">
        <v>1449</v>
      </c>
      <c r="F1630" s="150"/>
      <c r="G1630" s="107"/>
      <c r="H1630" s="95"/>
    </row>
    <row r="1631" spans="1:8" x14ac:dyDescent="0.3">
      <c r="A1631" s="161"/>
      <c r="B1631" s="107"/>
      <c r="C1631" s="111"/>
      <c r="D1631" s="113"/>
      <c r="E1631" s="63" t="s">
        <v>1696</v>
      </c>
      <c r="F1631" s="150"/>
      <c r="G1631" s="107"/>
      <c r="H1631" s="95"/>
    </row>
    <row r="1632" spans="1:8" x14ac:dyDescent="0.3">
      <c r="A1632" s="161">
        <f>2</f>
        <v>2</v>
      </c>
      <c r="B1632" s="107" t="s">
        <v>1628</v>
      </c>
      <c r="C1632" s="111">
        <f>'04a_Box_Dims'!$J32</f>
        <v>13.25</v>
      </c>
      <c r="D1632" s="113"/>
      <c r="E1632" s="63" t="s">
        <v>1697</v>
      </c>
      <c r="F1632" s="150"/>
      <c r="G1632" s="107"/>
      <c r="H1632" s="95"/>
    </row>
    <row r="1633" spans="1:8" x14ac:dyDescent="0.3">
      <c r="A1633" s="161"/>
      <c r="B1633" s="107"/>
      <c r="C1633" s="111">
        <f>'04a_Box_Dims'!$U32</f>
        <v>0.6</v>
      </c>
      <c r="D1633" s="113">
        <f>$A1632*$C1632*$C1633</f>
        <v>15.899999999999999</v>
      </c>
      <c r="E1633" s="63"/>
      <c r="F1633" s="150"/>
      <c r="G1633" s="107"/>
      <c r="H1633" s="95"/>
    </row>
    <row r="1634" spans="1:8" x14ac:dyDescent="0.3">
      <c r="A1634" s="161"/>
      <c r="B1634" s="107"/>
      <c r="C1634" s="111"/>
      <c r="D1634" s="113">
        <f>SUM($D$1632:$D$1633)</f>
        <v>15.899999999999999</v>
      </c>
      <c r="E1634" s="63" t="s">
        <v>1660</v>
      </c>
      <c r="F1634" s="150">
        <f>ROUND($D1634,2)</f>
        <v>15.9</v>
      </c>
      <c r="G1634" s="107" t="s">
        <v>1688</v>
      </c>
      <c r="H1634" s="95"/>
    </row>
    <row r="1635" spans="1:8" x14ac:dyDescent="0.3">
      <c r="A1635" s="161"/>
      <c r="B1635" s="107"/>
      <c r="C1635" s="111"/>
      <c r="D1635" s="113"/>
      <c r="E1635" s="63"/>
      <c r="F1635" s="150"/>
      <c r="G1635" s="107"/>
      <c r="H1635" s="95"/>
    </row>
    <row r="1636" spans="1:8" x14ac:dyDescent="0.3">
      <c r="A1636" s="161"/>
      <c r="B1636" s="107"/>
      <c r="C1636" s="111"/>
      <c r="D1636" s="113"/>
      <c r="E1636" s="149" t="s">
        <v>1329</v>
      </c>
      <c r="F1636" s="150"/>
      <c r="G1636" s="107"/>
      <c r="H1636" s="95"/>
    </row>
    <row r="1637" spans="1:8" x14ac:dyDescent="0.3">
      <c r="A1637" s="161"/>
      <c r="B1637" s="107"/>
      <c r="C1637" s="111"/>
      <c r="D1637" s="113"/>
      <c r="E1637" s="63" t="s">
        <v>1698</v>
      </c>
      <c r="F1637" s="150"/>
      <c r="G1637" s="107"/>
      <c r="H1637" s="95"/>
    </row>
    <row r="1638" spans="1:8" x14ac:dyDescent="0.3">
      <c r="A1638" s="161">
        <f>2</f>
        <v>2</v>
      </c>
      <c r="B1638" s="107" t="s">
        <v>1628</v>
      </c>
      <c r="C1638" s="111">
        <f>'04a_Box_Dims'!$AE32</f>
        <v>10</v>
      </c>
      <c r="D1638" s="113"/>
      <c r="E1638" s="63" t="s">
        <v>1699</v>
      </c>
      <c r="F1638" s="150"/>
      <c r="G1638" s="107"/>
      <c r="H1638" s="95"/>
    </row>
    <row r="1639" spans="1:8" x14ac:dyDescent="0.3">
      <c r="A1639" s="161"/>
      <c r="B1639" s="107"/>
      <c r="C1639" s="111">
        <f>'04a_Box_Dims'!$E32</f>
        <v>3</v>
      </c>
      <c r="D1639" s="113">
        <f>$A1638*$C1638*$C1639</f>
        <v>60</v>
      </c>
      <c r="E1639" s="63"/>
      <c r="F1639" s="150"/>
      <c r="G1639" s="107"/>
      <c r="H1639" s="95"/>
    </row>
    <row r="1640" spans="1:8" x14ac:dyDescent="0.3">
      <c r="A1640" s="161">
        <f>('04a_Box_Dims'!$C32-1)*2</f>
        <v>6</v>
      </c>
      <c r="B1640" s="107" t="s">
        <v>1628</v>
      </c>
      <c r="C1640" s="111">
        <f>'04a_Box_Dims'!$AE32</f>
        <v>10</v>
      </c>
      <c r="D1640" s="113"/>
      <c r="E1640" s="63" t="s">
        <v>1700</v>
      </c>
      <c r="F1640" s="150"/>
      <c r="G1640" s="107"/>
      <c r="H1640" s="95"/>
    </row>
    <row r="1641" spans="1:8" x14ac:dyDescent="0.3">
      <c r="A1641" s="161"/>
      <c r="B1641" s="107"/>
      <c r="C1641" s="111">
        <f>'04a_Box_Dims'!$E32</f>
        <v>3</v>
      </c>
      <c r="D1641" s="113">
        <f>$A1640*$C1640*$C1641</f>
        <v>180</v>
      </c>
      <c r="E1641" s="63"/>
      <c r="F1641" s="150"/>
      <c r="G1641" s="107"/>
      <c r="H1641" s="95"/>
    </row>
    <row r="1642" spans="1:8" x14ac:dyDescent="0.3">
      <c r="A1642" s="161">
        <f>4</f>
        <v>4</v>
      </c>
      <c r="B1642" s="107" t="s">
        <v>1628</v>
      </c>
      <c r="C1642" s="111">
        <f>'04a_Box_Dims'!$Z32</f>
        <v>2.1213203435596424</v>
      </c>
      <c r="D1642" s="113"/>
      <c r="E1642" s="63" t="s">
        <v>1701</v>
      </c>
      <c r="F1642" s="150"/>
      <c r="G1642" s="107"/>
      <c r="H1642" s="95"/>
    </row>
    <row r="1643" spans="1:8" x14ac:dyDescent="0.3">
      <c r="A1643" s="161"/>
      <c r="B1643" s="107"/>
      <c r="C1643" s="111">
        <f>'04a_Box_Dims'!$Y32</f>
        <v>3.9928932188134518</v>
      </c>
      <c r="D1643" s="113">
        <f>$A1642*$C1642*$C1643</f>
        <v>33.880822458921273</v>
      </c>
      <c r="E1643" s="63"/>
      <c r="F1643" s="150"/>
      <c r="G1643" s="107"/>
      <c r="H1643" s="95"/>
    </row>
    <row r="1644" spans="1:8" x14ac:dyDescent="0.3">
      <c r="A1644" s="161"/>
      <c r="B1644" s="107"/>
      <c r="C1644" s="111"/>
      <c r="D1644" s="113">
        <f>SUM($D$1638:$D$1643)</f>
        <v>273.88082245892127</v>
      </c>
      <c r="E1644" s="63" t="s">
        <v>1660</v>
      </c>
      <c r="F1644" s="150">
        <f>ROUND($D1644,2)</f>
        <v>273.88</v>
      </c>
      <c r="G1644" s="107" t="s">
        <v>1688</v>
      </c>
      <c r="H1644" s="95"/>
    </row>
    <row r="1645" spans="1:8" x14ac:dyDescent="0.3">
      <c r="A1645" s="161"/>
      <c r="B1645" s="107"/>
      <c r="C1645" s="111"/>
      <c r="D1645" s="113"/>
      <c r="E1645" s="63"/>
      <c r="F1645" s="150"/>
      <c r="G1645" s="107"/>
      <c r="H1645" s="95"/>
    </row>
    <row r="1646" spans="1:8" x14ac:dyDescent="0.3">
      <c r="A1646" s="161"/>
      <c r="B1646" s="107"/>
      <c r="C1646" s="111"/>
      <c r="D1646" s="113"/>
      <c r="E1646" s="149" t="s">
        <v>1702</v>
      </c>
      <c r="F1646" s="150"/>
      <c r="G1646" s="107"/>
      <c r="H1646" s="95"/>
    </row>
    <row r="1647" spans="1:8" x14ac:dyDescent="0.3">
      <c r="A1647" s="161"/>
      <c r="B1647" s="107"/>
      <c r="C1647" s="111"/>
      <c r="D1647" s="113"/>
      <c r="E1647" s="63" t="s">
        <v>1703</v>
      </c>
      <c r="F1647" s="150"/>
      <c r="G1647" s="107"/>
      <c r="H1647" s="95"/>
    </row>
    <row r="1648" spans="1:8" x14ac:dyDescent="0.3">
      <c r="A1648" s="161"/>
      <c r="B1648" s="107"/>
      <c r="C1648" s="111"/>
      <c r="D1648" s="113">
        <v>0</v>
      </c>
      <c r="E1648" s="63" t="s">
        <v>1704</v>
      </c>
      <c r="F1648" s="150">
        <f t="shared" ref="F1648:F1653" si="10">ROUND($D1648,3)</f>
        <v>0</v>
      </c>
      <c r="G1648" s="107" t="s">
        <v>1474</v>
      </c>
      <c r="H1648" s="95"/>
    </row>
    <row r="1649" spans="1:8" x14ac:dyDescent="0.3">
      <c r="A1649" s="161"/>
      <c r="B1649" s="107"/>
      <c r="C1649" s="111"/>
      <c r="D1649" s="113">
        <f>'04b_Box_Bars'!$S19/1000</f>
        <v>2.3181812190839084</v>
      </c>
      <c r="E1649" s="63" t="s">
        <v>1705</v>
      </c>
      <c r="F1649" s="150">
        <f t="shared" si="10"/>
        <v>2.3180000000000001</v>
      </c>
      <c r="G1649" s="107" t="s">
        <v>1474</v>
      </c>
      <c r="H1649" s="95"/>
    </row>
    <row r="1650" spans="1:8" x14ac:dyDescent="0.3">
      <c r="A1650" s="161"/>
      <c r="B1650" s="107"/>
      <c r="C1650" s="111"/>
      <c r="D1650" s="113">
        <f>'04b_Box_Bars'!$T19/1000</f>
        <v>11.963866532882841</v>
      </c>
      <c r="E1650" s="63" t="s">
        <v>1706</v>
      </c>
      <c r="F1650" s="150">
        <f t="shared" si="10"/>
        <v>11.964</v>
      </c>
      <c r="G1650" s="107" t="s">
        <v>1474</v>
      </c>
      <c r="H1650" s="95"/>
    </row>
    <row r="1651" spans="1:8" x14ac:dyDescent="0.3">
      <c r="A1651" s="161"/>
      <c r="B1651" s="107"/>
      <c r="C1651" s="111"/>
      <c r="D1651" s="113">
        <f>'04b_Box_Bars'!$U19/1000</f>
        <v>3.3291844394305952</v>
      </c>
      <c r="E1651" s="63" t="s">
        <v>1707</v>
      </c>
      <c r="F1651" s="150">
        <f t="shared" si="10"/>
        <v>3.3290000000000002</v>
      </c>
      <c r="G1651" s="107" t="s">
        <v>1474</v>
      </c>
      <c r="H1651" s="95"/>
    </row>
    <row r="1652" spans="1:8" x14ac:dyDescent="0.3">
      <c r="A1652" s="161"/>
      <c r="B1652" s="107"/>
      <c r="C1652" s="111"/>
      <c r="D1652" s="113">
        <f>'04b_Box_Bars'!$V19/1000</f>
        <v>0.93911000875228967</v>
      </c>
      <c r="E1652" s="63" t="s">
        <v>1708</v>
      </c>
      <c r="F1652" s="150">
        <f t="shared" si="10"/>
        <v>0.93899999999999995</v>
      </c>
      <c r="G1652" s="107" t="s">
        <v>1474</v>
      </c>
      <c r="H1652" s="95"/>
    </row>
    <row r="1653" spans="1:8" x14ac:dyDescent="0.3">
      <c r="A1653" s="161"/>
      <c r="B1653" s="107"/>
      <c r="C1653" s="111"/>
      <c r="D1653" s="113">
        <f>'04b_Box_Bars'!$W19/1000</f>
        <v>0</v>
      </c>
      <c r="E1653" s="63" t="s">
        <v>1709</v>
      </c>
      <c r="F1653" s="150">
        <f t="shared" si="10"/>
        <v>0</v>
      </c>
      <c r="G1653" s="107" t="s">
        <v>1474</v>
      </c>
      <c r="H1653" s="95"/>
    </row>
    <row r="1654" spans="1:8" x14ac:dyDescent="0.3">
      <c r="A1654" s="161"/>
      <c r="B1654" s="107"/>
      <c r="C1654" s="111"/>
      <c r="D1654" s="113"/>
      <c r="E1654" s="63"/>
      <c r="F1654" s="150"/>
      <c r="G1654" s="107"/>
      <c r="H1654" s="95"/>
    </row>
    <row r="1655" spans="1:8" x14ac:dyDescent="0.3">
      <c r="A1655" s="161"/>
      <c r="B1655" s="107"/>
      <c r="C1655" s="111"/>
      <c r="D1655" s="113"/>
      <c r="E1655" s="63"/>
      <c r="F1655" s="150"/>
      <c r="G1655" s="107"/>
      <c r="H1655" s="95"/>
    </row>
    <row r="1656" spans="1:8" x14ac:dyDescent="0.3">
      <c r="A1656" s="160" t="str">
        <f>'04a_Box_Dims'!$F33&amp;"  No.  "&amp;'04a_Box_Dims'!$A33&amp;"   (L = "&amp;TEXT('04a_Box_Dims'!$AE33,"0.00")&amp;" m)"</f>
        <v>0  No.  1/4x3 box culvert   (L = 10.00 m)</v>
      </c>
      <c r="B1656" s="146"/>
      <c r="C1656" s="162"/>
      <c r="D1656" s="163"/>
      <c r="E1656" s="147"/>
      <c r="F1656" s="148"/>
      <c r="G1656" s="146"/>
      <c r="H1656" s="151"/>
    </row>
    <row r="1657" spans="1:8" x14ac:dyDescent="0.3">
      <c r="A1657" s="161"/>
      <c r="B1657" s="107"/>
      <c r="C1657" s="111"/>
      <c r="D1657" s="113"/>
      <c r="E1657" s="149" t="s">
        <v>1438</v>
      </c>
      <c r="F1657" s="150"/>
      <c r="G1657" s="107"/>
      <c r="H1657" s="95"/>
    </row>
    <row r="1658" spans="1:8" x14ac:dyDescent="0.3">
      <c r="A1658" s="161"/>
      <c r="B1658" s="107"/>
      <c r="C1658" s="111"/>
      <c r="D1658" s="113"/>
      <c r="E1658" s="63" t="s">
        <v>1655</v>
      </c>
      <c r="F1658" s="150"/>
      <c r="G1658" s="107"/>
      <c r="H1658" s="95"/>
    </row>
    <row r="1659" spans="1:8" x14ac:dyDescent="0.3">
      <c r="A1659" s="161">
        <f>1</f>
        <v>1</v>
      </c>
      <c r="B1659" s="107" t="s">
        <v>1628</v>
      </c>
      <c r="C1659" s="111">
        <f>'04a_Box_Dims'!$AE33</f>
        <v>10</v>
      </c>
      <c r="D1659" s="113"/>
      <c r="E1659" s="63" t="s">
        <v>1656</v>
      </c>
      <c r="F1659" s="150"/>
      <c r="G1659" s="107"/>
      <c r="H1659" s="95"/>
    </row>
    <row r="1660" spans="1:8" x14ac:dyDescent="0.3">
      <c r="A1660" s="161"/>
      <c r="B1660" s="107"/>
      <c r="C1660" s="111">
        <f>'04a_Box_Dims'!$J33+2*BX_work</f>
        <v>5.3</v>
      </c>
      <c r="D1660" s="113"/>
      <c r="E1660" s="63"/>
      <c r="F1660" s="150"/>
      <c r="G1660" s="107"/>
      <c r="H1660" s="95"/>
    </row>
    <row r="1661" spans="1:8" x14ac:dyDescent="0.3">
      <c r="A1661" s="161"/>
      <c r="B1661" s="107"/>
      <c r="C1661" s="111">
        <f>'04a_Box_Dims'!$L33+BX_blind+BX_exX</f>
        <v>3.9</v>
      </c>
      <c r="D1661" s="113">
        <f>$A1659*$C1659*$C1660*$C1661</f>
        <v>206.7</v>
      </c>
      <c r="E1661" s="63"/>
      <c r="F1661" s="150"/>
      <c r="G1661" s="107"/>
      <c r="H1661" s="95"/>
    </row>
    <row r="1662" spans="1:8" x14ac:dyDescent="0.3">
      <c r="A1662" s="161">
        <f>2</f>
        <v>2</v>
      </c>
      <c r="B1662" s="107" t="s">
        <v>1628</v>
      </c>
      <c r="C1662" s="111">
        <f>'04a_Box_Dims'!$O33</f>
        <v>1.5</v>
      </c>
      <c r="D1662" s="113"/>
      <c r="E1662" s="63" t="s">
        <v>1657</v>
      </c>
      <c r="F1662" s="150"/>
      <c r="G1662" s="107"/>
      <c r="H1662" s="95"/>
    </row>
    <row r="1663" spans="1:8" x14ac:dyDescent="0.3">
      <c r="A1663" s="161"/>
      <c r="B1663" s="107"/>
      <c r="C1663" s="111">
        <f>'04a_Box_Dims'!$Q33</f>
        <v>6.2</v>
      </c>
      <c r="D1663" s="113"/>
      <c r="E1663" s="63"/>
      <c r="F1663" s="150"/>
      <c r="G1663" s="107"/>
      <c r="H1663" s="95"/>
    </row>
    <row r="1664" spans="1:8" x14ac:dyDescent="0.3">
      <c r="A1664" s="161"/>
      <c r="B1664" s="107"/>
      <c r="C1664" s="111">
        <f>'04a_Box_Dims'!$P33+BX_blind+BX_exX</f>
        <v>0.55000000000000004</v>
      </c>
      <c r="D1664" s="113">
        <f>$A1662*$C1662*$C1663*$C1664</f>
        <v>10.230000000000002</v>
      </c>
      <c r="E1664" s="63"/>
      <c r="F1664" s="150"/>
      <c r="G1664" s="107"/>
      <c r="H1664" s="95"/>
    </row>
    <row r="1665" spans="1:8" x14ac:dyDescent="0.3">
      <c r="A1665" s="161">
        <f>2</f>
        <v>2</v>
      </c>
      <c r="B1665" s="107" t="s">
        <v>1628</v>
      </c>
      <c r="C1665" s="111">
        <f>'04a_Box_Dims'!$R33</f>
        <v>4.7</v>
      </c>
      <c r="D1665" s="113"/>
      <c r="E1665" s="63" t="s">
        <v>1658</v>
      </c>
      <c r="F1665" s="150"/>
      <c r="G1665" s="107"/>
      <c r="H1665" s="95"/>
    </row>
    <row r="1666" spans="1:8" x14ac:dyDescent="0.3">
      <c r="A1666" s="161"/>
      <c r="B1666" s="107"/>
      <c r="C1666" s="111">
        <f>'04a_Box_Dims'!$S33</f>
        <v>0.2</v>
      </c>
      <c r="D1666" s="113"/>
      <c r="E1666" s="63"/>
      <c r="F1666" s="150"/>
      <c r="G1666" s="107"/>
      <c r="H1666" s="95"/>
    </row>
    <row r="1667" spans="1:8" x14ac:dyDescent="0.3">
      <c r="A1667" s="161"/>
      <c r="B1667" s="107"/>
      <c r="C1667" s="111">
        <f>'04a_Box_Dims'!$T33+BX_blind</f>
        <v>0.5</v>
      </c>
      <c r="D1667" s="113">
        <f>$A1665*$C1665*$C1666*$C1667</f>
        <v>0.94000000000000006</v>
      </c>
      <c r="E1667" s="63"/>
      <c r="F1667" s="150"/>
      <c r="G1667" s="107"/>
      <c r="H1667" s="95"/>
    </row>
    <row r="1668" spans="1:8" x14ac:dyDescent="0.3">
      <c r="A1668" s="161">
        <f>4</f>
        <v>4</v>
      </c>
      <c r="B1668" s="107" t="s">
        <v>1628</v>
      </c>
      <c r="C1668" s="111">
        <f>'04a_Box_Dims'!$Z33</f>
        <v>2.1213203435596424</v>
      </c>
      <c r="D1668" s="113"/>
      <c r="E1668" s="63" t="s">
        <v>1659</v>
      </c>
      <c r="F1668" s="150"/>
      <c r="G1668" s="107"/>
      <c r="H1668" s="95"/>
    </row>
    <row r="1669" spans="1:8" x14ac:dyDescent="0.3">
      <c r="A1669" s="161"/>
      <c r="B1669" s="107"/>
      <c r="C1669" s="111">
        <f>'04a_Box_Dims'!$AC33</f>
        <v>0.9</v>
      </c>
      <c r="D1669" s="113"/>
      <c r="E1669" s="63"/>
      <c r="F1669" s="150"/>
      <c r="G1669" s="107"/>
      <c r="H1669" s="95"/>
    </row>
    <row r="1670" spans="1:8" x14ac:dyDescent="0.3">
      <c r="A1670" s="161"/>
      <c r="B1670" s="107"/>
      <c r="C1670" s="111">
        <f>'04a_Box_Dims'!$AD33+BX_blind</f>
        <v>0.4</v>
      </c>
      <c r="D1670" s="113">
        <f>$A1668*$C1668*$C1669*$C1670</f>
        <v>3.0547012947258851</v>
      </c>
      <c r="E1670" s="63"/>
      <c r="F1670" s="150"/>
      <c r="G1670" s="107"/>
      <c r="H1670" s="95"/>
    </row>
    <row r="1671" spans="1:8" x14ac:dyDescent="0.3">
      <c r="A1671" s="161"/>
      <c r="B1671" s="107"/>
      <c r="C1671" s="111"/>
      <c r="D1671" s="113">
        <f>SUM($D$1659:$D$1670)</f>
        <v>220.92470129472585</v>
      </c>
      <c r="E1671" s="63" t="s">
        <v>1660</v>
      </c>
      <c r="F1671" s="150">
        <f>ROUND($D1671,0)</f>
        <v>221</v>
      </c>
      <c r="G1671" s="107" t="s">
        <v>1661</v>
      </c>
      <c r="H1671" s="95"/>
    </row>
    <row r="1672" spans="1:8" x14ac:dyDescent="0.3">
      <c r="A1672" s="161"/>
      <c r="B1672" s="107"/>
      <c r="C1672" s="111"/>
      <c r="D1672" s="113"/>
      <c r="E1672" s="63"/>
      <c r="F1672" s="150"/>
      <c r="G1672" s="107"/>
      <c r="H1672" s="95"/>
    </row>
    <row r="1673" spans="1:8" x14ac:dyDescent="0.3">
      <c r="A1673" s="161"/>
      <c r="B1673" s="107"/>
      <c r="C1673" s="111"/>
      <c r="D1673" s="113"/>
      <c r="E1673" s="149" t="s">
        <v>1323</v>
      </c>
      <c r="F1673" s="150"/>
      <c r="G1673" s="107"/>
      <c r="H1673" s="95"/>
    </row>
    <row r="1674" spans="1:8" x14ac:dyDescent="0.3">
      <c r="A1674" s="161"/>
      <c r="B1674" s="107"/>
      <c r="C1674" s="111"/>
      <c r="D1674" s="113"/>
      <c r="E1674" s="63" t="s">
        <v>1662</v>
      </c>
      <c r="F1674" s="150"/>
      <c r="G1674" s="107"/>
      <c r="H1674" s="95"/>
    </row>
    <row r="1675" spans="1:8" x14ac:dyDescent="0.3">
      <c r="A1675" s="161">
        <f>1</f>
        <v>1</v>
      </c>
      <c r="B1675" s="107" t="s">
        <v>1628</v>
      </c>
      <c r="C1675" s="111">
        <f>'04a_Box_Dims'!$AE33</f>
        <v>10</v>
      </c>
      <c r="D1675" s="113"/>
      <c r="E1675" s="63" t="s">
        <v>1663</v>
      </c>
      <c r="F1675" s="150"/>
      <c r="G1675" s="107"/>
      <c r="H1675" s="95"/>
    </row>
    <row r="1676" spans="1:8" x14ac:dyDescent="0.3">
      <c r="A1676" s="161"/>
      <c r="B1676" s="107"/>
      <c r="C1676" s="111">
        <f>'04a_Box_Dims'!$J33</f>
        <v>4.7</v>
      </c>
      <c r="D1676" s="113"/>
      <c r="E1676" s="63"/>
      <c r="F1676" s="150"/>
      <c r="G1676" s="107"/>
      <c r="H1676" s="95"/>
    </row>
    <row r="1677" spans="1:8" x14ac:dyDescent="0.3">
      <c r="A1677" s="161"/>
      <c r="B1677" s="107"/>
      <c r="C1677" s="111">
        <f>BX_blind</f>
        <v>0.05</v>
      </c>
      <c r="D1677" s="113">
        <f>$A1675*$C1675*$C1676*$C1677</f>
        <v>2.35</v>
      </c>
      <c r="E1677" s="63"/>
      <c r="F1677" s="150"/>
      <c r="G1677" s="107"/>
      <c r="H1677" s="95"/>
    </row>
    <row r="1678" spans="1:8" x14ac:dyDescent="0.3">
      <c r="A1678" s="161">
        <f>2</f>
        <v>2</v>
      </c>
      <c r="B1678" s="107" t="s">
        <v>1628</v>
      </c>
      <c r="C1678" s="111">
        <f>'04a_Box_Dims'!$O33</f>
        <v>1.5</v>
      </c>
      <c r="D1678" s="113"/>
      <c r="E1678" s="63" t="s">
        <v>1657</v>
      </c>
      <c r="F1678" s="150"/>
      <c r="G1678" s="107"/>
      <c r="H1678" s="95"/>
    </row>
    <row r="1679" spans="1:8" x14ac:dyDescent="0.3">
      <c r="A1679" s="161"/>
      <c r="B1679" s="107"/>
      <c r="C1679" s="111">
        <f>'04a_Box_Dims'!$Q33</f>
        <v>6.2</v>
      </c>
      <c r="D1679" s="113"/>
      <c r="E1679" s="63"/>
      <c r="F1679" s="150"/>
      <c r="G1679" s="107"/>
      <c r="H1679" s="95"/>
    </row>
    <row r="1680" spans="1:8" x14ac:dyDescent="0.3">
      <c r="A1680" s="161"/>
      <c r="B1680" s="107"/>
      <c r="C1680" s="111">
        <f>BX_blind</f>
        <v>0.05</v>
      </c>
      <c r="D1680" s="113">
        <f>$A1678*$C1678*$C1679*$C1680</f>
        <v>0.93000000000000016</v>
      </c>
      <c r="E1680" s="63"/>
      <c r="F1680" s="150"/>
      <c r="G1680" s="107"/>
      <c r="H1680" s="95"/>
    </row>
    <row r="1681" spans="1:8" x14ac:dyDescent="0.3">
      <c r="A1681" s="161">
        <f>2</f>
        <v>2</v>
      </c>
      <c r="B1681" s="107" t="s">
        <v>1628</v>
      </c>
      <c r="C1681" s="111">
        <f>'04a_Box_Dims'!$R33</f>
        <v>4.7</v>
      </c>
      <c r="D1681" s="113"/>
      <c r="E1681" s="63" t="s">
        <v>1658</v>
      </c>
      <c r="F1681" s="150"/>
      <c r="G1681" s="107"/>
      <c r="H1681" s="95"/>
    </row>
    <row r="1682" spans="1:8" x14ac:dyDescent="0.3">
      <c r="A1682" s="161"/>
      <c r="B1682" s="107"/>
      <c r="C1682" s="111">
        <f>'04a_Box_Dims'!$S33</f>
        <v>0.2</v>
      </c>
      <c r="D1682" s="113"/>
      <c r="E1682" s="63"/>
      <c r="F1682" s="150"/>
      <c r="G1682" s="107"/>
      <c r="H1682" s="95"/>
    </row>
    <row r="1683" spans="1:8" x14ac:dyDescent="0.3">
      <c r="A1683" s="161"/>
      <c r="B1683" s="107"/>
      <c r="C1683" s="111">
        <f>BX_blind</f>
        <v>0.05</v>
      </c>
      <c r="D1683" s="113">
        <f>$A1681*$C1681*$C1682*$C1683</f>
        <v>9.4000000000000014E-2</v>
      </c>
      <c r="E1683" s="63"/>
      <c r="F1683" s="150"/>
      <c r="G1683" s="107"/>
      <c r="H1683" s="95"/>
    </row>
    <row r="1684" spans="1:8" x14ac:dyDescent="0.3">
      <c r="A1684" s="161">
        <f>4</f>
        <v>4</v>
      </c>
      <c r="B1684" s="107" t="s">
        <v>1628</v>
      </c>
      <c r="C1684" s="111">
        <f>'04a_Box_Dims'!$Z33</f>
        <v>2.1213203435596424</v>
      </c>
      <c r="D1684" s="113"/>
      <c r="E1684" s="63" t="s">
        <v>1659</v>
      </c>
      <c r="F1684" s="150"/>
      <c r="G1684" s="107"/>
      <c r="H1684" s="95"/>
    </row>
    <row r="1685" spans="1:8" x14ac:dyDescent="0.3">
      <c r="A1685" s="161"/>
      <c r="B1685" s="107"/>
      <c r="C1685" s="111">
        <f>'04a_Box_Dims'!$AC33</f>
        <v>0.9</v>
      </c>
      <c r="D1685" s="113"/>
      <c r="E1685" s="63"/>
      <c r="F1685" s="150"/>
      <c r="G1685" s="107"/>
      <c r="H1685" s="95"/>
    </row>
    <row r="1686" spans="1:8" x14ac:dyDescent="0.3">
      <c r="A1686" s="161"/>
      <c r="B1686" s="107"/>
      <c r="C1686" s="111">
        <f>BX_blind</f>
        <v>0.05</v>
      </c>
      <c r="D1686" s="113">
        <f>$A1684*$C1684*$C1685*$C1686</f>
        <v>0.38183766184073564</v>
      </c>
      <c r="E1686" s="63"/>
      <c r="F1686" s="150"/>
      <c r="G1686" s="107"/>
      <c r="H1686" s="95"/>
    </row>
    <row r="1687" spans="1:8" x14ac:dyDescent="0.3">
      <c r="A1687" s="161"/>
      <c r="B1687" s="107"/>
      <c r="C1687" s="111"/>
      <c r="D1687" s="113">
        <f>SUM($D$1675:$D$1686)</f>
        <v>3.7558376618407356</v>
      </c>
      <c r="E1687" s="63" t="s">
        <v>1660</v>
      </c>
      <c r="F1687" s="150">
        <f>ROUND($D1687,2)</f>
        <v>3.76</v>
      </c>
      <c r="G1687" s="107" t="s">
        <v>1661</v>
      </c>
      <c r="H1687" s="95"/>
    </row>
    <row r="1688" spans="1:8" x14ac:dyDescent="0.3">
      <c r="A1688" s="161"/>
      <c r="B1688" s="107"/>
      <c r="C1688" s="111"/>
      <c r="D1688" s="113"/>
      <c r="E1688" s="63"/>
      <c r="F1688" s="150"/>
      <c r="G1688" s="107"/>
      <c r="H1688" s="95"/>
    </row>
    <row r="1689" spans="1:8" x14ac:dyDescent="0.3">
      <c r="A1689" s="161"/>
      <c r="B1689" s="107"/>
      <c r="C1689" s="111"/>
      <c r="D1689" s="113"/>
      <c r="E1689" s="149" t="s">
        <v>1324</v>
      </c>
      <c r="F1689" s="150"/>
      <c r="G1689" s="107"/>
      <c r="H1689" s="95"/>
    </row>
    <row r="1690" spans="1:8" x14ac:dyDescent="0.3">
      <c r="A1690" s="161"/>
      <c r="B1690" s="107"/>
      <c r="C1690" s="111"/>
      <c r="D1690" s="113"/>
      <c r="E1690" s="63" t="s">
        <v>1664</v>
      </c>
      <c r="F1690" s="150"/>
      <c r="G1690" s="107"/>
      <c r="H1690" s="95"/>
    </row>
    <row r="1691" spans="1:8" x14ac:dyDescent="0.3">
      <c r="A1691" s="161"/>
      <c r="B1691" s="107"/>
      <c r="C1691" s="111"/>
      <c r="D1691" s="113">
        <f>$D1687</f>
        <v>3.7558376618407356</v>
      </c>
      <c r="E1691" s="63" t="s">
        <v>1665</v>
      </c>
      <c r="F1691" s="150">
        <f>$F1687</f>
        <v>3.76</v>
      </c>
      <c r="G1691" s="107" t="s">
        <v>1661</v>
      </c>
      <c r="H1691" s="95"/>
    </row>
    <row r="1692" spans="1:8" x14ac:dyDescent="0.3">
      <c r="A1692" s="161"/>
      <c r="B1692" s="107"/>
      <c r="C1692" s="111"/>
      <c r="D1692" s="113"/>
      <c r="E1692" s="63"/>
      <c r="F1692" s="150"/>
      <c r="G1692" s="107"/>
      <c r="H1692" s="95"/>
    </row>
    <row r="1693" spans="1:8" x14ac:dyDescent="0.3">
      <c r="A1693" s="161"/>
      <c r="B1693" s="107"/>
      <c r="C1693" s="111"/>
      <c r="D1693" s="113"/>
      <c r="E1693" s="149" t="s">
        <v>1455</v>
      </c>
      <c r="F1693" s="150"/>
      <c r="G1693" s="107"/>
      <c r="H1693" s="95"/>
    </row>
    <row r="1694" spans="1:8" x14ac:dyDescent="0.3">
      <c r="A1694" s="161"/>
      <c r="B1694" s="107"/>
      <c r="C1694" s="111"/>
      <c r="D1694" s="113"/>
      <c r="E1694" s="63" t="s">
        <v>1666</v>
      </c>
      <c r="F1694" s="150"/>
      <c r="G1694" s="107"/>
      <c r="H1694" s="95"/>
    </row>
    <row r="1695" spans="1:8" x14ac:dyDescent="0.3">
      <c r="A1695" s="161">
        <f>1</f>
        <v>1</v>
      </c>
      <c r="B1695" s="107" t="s">
        <v>1628</v>
      </c>
      <c r="C1695" s="111">
        <f>'04a_Box_Dims'!$AE33</f>
        <v>10</v>
      </c>
      <c r="D1695" s="113"/>
      <c r="E1695" s="63" t="s">
        <v>1667</v>
      </c>
      <c r="F1695" s="150"/>
      <c r="G1695" s="107"/>
      <c r="H1695" s="95"/>
    </row>
    <row r="1696" spans="1:8" x14ac:dyDescent="0.3">
      <c r="A1696" s="161"/>
      <c r="B1696" s="107"/>
      <c r="C1696" s="111">
        <f>'04a_Box_Dims'!$J33</f>
        <v>4.7</v>
      </c>
      <c r="D1696" s="113"/>
      <c r="E1696" s="63"/>
      <c r="F1696" s="150"/>
      <c r="G1696" s="107"/>
      <c r="H1696" s="95"/>
    </row>
    <row r="1697" spans="1:8" x14ac:dyDescent="0.3">
      <c r="A1697" s="161"/>
      <c r="B1697" s="107"/>
      <c r="C1697" s="111">
        <f>'04a_Box_Dims'!$I33</f>
        <v>0.35000000000000003</v>
      </c>
      <c r="D1697" s="113">
        <f>$A1695*$C1695*$C1696*$C1697</f>
        <v>16.450000000000003</v>
      </c>
      <c r="E1697" s="63"/>
      <c r="F1697" s="150"/>
      <c r="G1697" s="107"/>
      <c r="H1697" s="95">
        <f>'04a_Box_Dims'!$I33</f>
        <v>0.35000000000000003</v>
      </c>
    </row>
    <row r="1698" spans="1:8" x14ac:dyDescent="0.3">
      <c r="A1698" s="161">
        <f>2</f>
        <v>2</v>
      </c>
      <c r="B1698" s="107" t="s">
        <v>1628</v>
      </c>
      <c r="C1698" s="111">
        <f>'04a_Box_Dims'!$O33</f>
        <v>1.5</v>
      </c>
      <c r="D1698" s="113"/>
      <c r="E1698" s="63" t="s">
        <v>1657</v>
      </c>
      <c r="F1698" s="150"/>
      <c r="G1698" s="107"/>
      <c r="H1698" s="95"/>
    </row>
    <row r="1699" spans="1:8" x14ac:dyDescent="0.3">
      <c r="A1699" s="161"/>
      <c r="B1699" s="107"/>
      <c r="C1699" s="111">
        <f>'04a_Box_Dims'!$Q33</f>
        <v>6.2</v>
      </c>
      <c r="D1699" s="113"/>
      <c r="E1699" s="63"/>
      <c r="F1699" s="150"/>
      <c r="G1699" s="107"/>
      <c r="H1699" s="95"/>
    </row>
    <row r="1700" spans="1:8" x14ac:dyDescent="0.3">
      <c r="A1700" s="161"/>
      <c r="B1700" s="107"/>
      <c r="C1700" s="111">
        <f>'04a_Box_Dims'!$P33</f>
        <v>0.35000000000000003</v>
      </c>
      <c r="D1700" s="113">
        <f>$A1698*$C1698*$C1699*$C1700</f>
        <v>6.5100000000000007</v>
      </c>
      <c r="E1700" s="63"/>
      <c r="F1700" s="150"/>
      <c r="G1700" s="107"/>
      <c r="H1700" s="95">
        <f>'04a_Box_Dims'!$P33</f>
        <v>0.35000000000000003</v>
      </c>
    </row>
    <row r="1701" spans="1:8" x14ac:dyDescent="0.3">
      <c r="A1701" s="161">
        <f>2</f>
        <v>2</v>
      </c>
      <c r="B1701" s="107" t="s">
        <v>1628</v>
      </c>
      <c r="C1701" s="111">
        <f>'04a_Box_Dims'!$R33</f>
        <v>4.7</v>
      </c>
      <c r="D1701" s="113"/>
      <c r="E1701" s="63" t="s">
        <v>1658</v>
      </c>
      <c r="F1701" s="150"/>
      <c r="G1701" s="107"/>
      <c r="H1701" s="95"/>
    </row>
    <row r="1702" spans="1:8" x14ac:dyDescent="0.3">
      <c r="A1702" s="161"/>
      <c r="B1702" s="107"/>
      <c r="C1702" s="111">
        <f>'04a_Box_Dims'!$S33</f>
        <v>0.2</v>
      </c>
      <c r="D1702" s="113"/>
      <c r="E1702" s="63"/>
      <c r="F1702" s="150"/>
      <c r="G1702" s="107"/>
      <c r="H1702" s="95"/>
    </row>
    <row r="1703" spans="1:8" x14ac:dyDescent="0.3">
      <c r="A1703" s="161"/>
      <c r="B1703" s="107"/>
      <c r="C1703" s="111">
        <f>'04a_Box_Dims'!$T33</f>
        <v>0.45</v>
      </c>
      <c r="D1703" s="113">
        <f>$A1701*$C1701*$C1702*$C1703</f>
        <v>0.84600000000000009</v>
      </c>
      <c r="E1703" s="63"/>
      <c r="F1703" s="150"/>
      <c r="G1703" s="107"/>
      <c r="H1703" s="95">
        <f>'04a_Box_Dims'!$S33</f>
        <v>0.2</v>
      </c>
    </row>
    <row r="1704" spans="1:8" x14ac:dyDescent="0.3">
      <c r="A1704" s="161">
        <f>4</f>
        <v>4</v>
      </c>
      <c r="B1704" s="107" t="s">
        <v>1628</v>
      </c>
      <c r="C1704" s="111">
        <f>'04a_Box_Dims'!$Z33</f>
        <v>2.1213203435596424</v>
      </c>
      <c r="D1704" s="113"/>
      <c r="E1704" s="63" t="s">
        <v>1659</v>
      </c>
      <c r="F1704" s="150"/>
      <c r="G1704" s="107"/>
      <c r="H1704" s="95"/>
    </row>
    <row r="1705" spans="1:8" x14ac:dyDescent="0.3">
      <c r="A1705" s="161"/>
      <c r="B1705" s="107"/>
      <c r="C1705" s="111">
        <f>'04a_Box_Dims'!$AC33</f>
        <v>0.9</v>
      </c>
      <c r="D1705" s="113"/>
      <c r="E1705" s="63"/>
      <c r="F1705" s="150"/>
      <c r="G1705" s="107"/>
      <c r="H1705" s="95"/>
    </row>
    <row r="1706" spans="1:8" x14ac:dyDescent="0.3">
      <c r="A1706" s="161"/>
      <c r="B1706" s="107"/>
      <c r="C1706" s="111">
        <f>'04a_Box_Dims'!$AD33</f>
        <v>0.35000000000000003</v>
      </c>
      <c r="D1706" s="113">
        <f>$A1704*$C1704*$C1705*$C1706</f>
        <v>2.6728636328851496</v>
      </c>
      <c r="E1706" s="63"/>
      <c r="F1706" s="150"/>
      <c r="G1706" s="107"/>
      <c r="H1706" s="95">
        <f>'04a_Box_Dims'!$AD33</f>
        <v>0.35000000000000003</v>
      </c>
    </row>
    <row r="1707" spans="1:8" x14ac:dyDescent="0.3">
      <c r="A1707" s="161"/>
      <c r="B1707" s="107"/>
      <c r="C1707" s="111"/>
      <c r="D1707" s="113">
        <f>SUM($D$1695:$D$1706)</f>
        <v>26.478863632885155</v>
      </c>
      <c r="E1707" s="63" t="s">
        <v>1660</v>
      </c>
      <c r="F1707" s="150">
        <f>ROUND($D1707,2)</f>
        <v>26.48</v>
      </c>
      <c r="G1707" s="107" t="s">
        <v>1661</v>
      </c>
      <c r="H1707" s="95"/>
    </row>
    <row r="1708" spans="1:8" x14ac:dyDescent="0.3">
      <c r="A1708" s="161"/>
      <c r="B1708" s="107"/>
      <c r="C1708" s="111"/>
      <c r="D1708" s="113"/>
      <c r="E1708" s="63"/>
      <c r="F1708" s="150"/>
      <c r="G1708" s="107"/>
      <c r="H1708" s="95"/>
    </row>
    <row r="1709" spans="1:8" x14ac:dyDescent="0.3">
      <c r="A1709" s="161"/>
      <c r="B1709" s="107"/>
      <c r="C1709" s="111"/>
      <c r="D1709" s="113"/>
      <c r="E1709" s="149" t="s">
        <v>1668</v>
      </c>
      <c r="F1709" s="150"/>
      <c r="G1709" s="107"/>
      <c r="H1709" s="95"/>
    </row>
    <row r="1710" spans="1:8" x14ac:dyDescent="0.3">
      <c r="A1710" s="161"/>
      <c r="B1710" s="107"/>
      <c r="C1710" s="111"/>
      <c r="D1710" s="113"/>
      <c r="E1710" s="63" t="s">
        <v>1669</v>
      </c>
      <c r="F1710" s="150"/>
      <c r="G1710" s="107"/>
      <c r="H1710" s="95"/>
    </row>
    <row r="1711" spans="1:8" x14ac:dyDescent="0.3">
      <c r="A1711" s="161"/>
      <c r="B1711" s="107"/>
      <c r="C1711" s="111"/>
      <c r="D1711" s="113">
        <f>SUMIF($H$1695:$H$1706,"&lt;=0.3",$D$1695:$D$1706)</f>
        <v>0.84600000000000009</v>
      </c>
      <c r="E1711" s="63" t="s">
        <v>1670</v>
      </c>
      <c r="F1711" s="150">
        <f>ROUND($D1711,2)</f>
        <v>0.85</v>
      </c>
      <c r="G1711" s="107" t="s">
        <v>1661</v>
      </c>
      <c r="H1711" s="95"/>
    </row>
    <row r="1712" spans="1:8" x14ac:dyDescent="0.3">
      <c r="A1712" s="161"/>
      <c r="B1712" s="107"/>
      <c r="C1712" s="111"/>
      <c r="D1712" s="113">
        <f>SUMIF($H$1695:$H$1706,"&gt;0.3",$D$1695:$D$1706)</f>
        <v>25.632863632885154</v>
      </c>
      <c r="E1712" s="63" t="s">
        <v>1671</v>
      </c>
      <c r="F1712" s="150">
        <f>ROUND($D1712,2)</f>
        <v>25.63</v>
      </c>
      <c r="G1712" s="107" t="s">
        <v>1661</v>
      </c>
      <c r="H1712" s="95"/>
    </row>
    <row r="1713" spans="1:8" x14ac:dyDescent="0.3">
      <c r="A1713" s="161"/>
      <c r="B1713" s="107"/>
      <c r="C1713" s="111"/>
      <c r="D1713" s="113"/>
      <c r="E1713" s="63"/>
      <c r="F1713" s="150"/>
      <c r="G1713" s="107"/>
      <c r="H1713" s="95"/>
    </row>
    <row r="1714" spans="1:8" x14ac:dyDescent="0.3">
      <c r="A1714" s="161"/>
      <c r="B1714" s="107"/>
      <c r="C1714" s="111"/>
      <c r="D1714" s="113"/>
      <c r="E1714" s="149" t="s">
        <v>1455</v>
      </c>
      <c r="F1714" s="150"/>
      <c r="G1714" s="107"/>
      <c r="H1714" s="95"/>
    </row>
    <row r="1715" spans="1:8" x14ac:dyDescent="0.3">
      <c r="A1715" s="161"/>
      <c r="B1715" s="107"/>
      <c r="C1715" s="111"/>
      <c r="D1715" s="113"/>
      <c r="E1715" s="63" t="s">
        <v>1672</v>
      </c>
      <c r="F1715" s="150"/>
      <c r="G1715" s="107"/>
      <c r="H1715" s="95"/>
    </row>
    <row r="1716" spans="1:8" x14ac:dyDescent="0.3">
      <c r="A1716" s="161">
        <f>1</f>
        <v>1</v>
      </c>
      <c r="B1716" s="107" t="s">
        <v>1628</v>
      </c>
      <c r="C1716" s="111">
        <f>'04a_Box_Dims'!$AE33</f>
        <v>10</v>
      </c>
      <c r="D1716" s="113"/>
      <c r="E1716" s="63" t="s">
        <v>1673</v>
      </c>
      <c r="F1716" s="150"/>
      <c r="G1716" s="107"/>
      <c r="H1716" s="95"/>
    </row>
    <row r="1717" spans="1:8" x14ac:dyDescent="0.3">
      <c r="A1717" s="161"/>
      <c r="B1717" s="107"/>
      <c r="C1717" s="111">
        <f>'04a_Box_Dims'!$J33</f>
        <v>4.7</v>
      </c>
      <c r="D1717" s="113"/>
      <c r="E1717" s="63"/>
      <c r="F1717" s="150"/>
      <c r="G1717" s="107"/>
      <c r="H1717" s="95"/>
    </row>
    <row r="1718" spans="1:8" x14ac:dyDescent="0.3">
      <c r="A1718" s="161"/>
      <c r="B1718" s="107"/>
      <c r="C1718" s="111">
        <f>'04a_Box_Dims'!$I33</f>
        <v>0.35000000000000003</v>
      </c>
      <c r="D1718" s="113">
        <f>$A1716*$C1716*$C1717*$C1718</f>
        <v>16.450000000000003</v>
      </c>
      <c r="E1718" s="63"/>
      <c r="F1718" s="150"/>
      <c r="G1718" s="107"/>
      <c r="H1718" s="95">
        <f>'04a_Box_Dims'!$I33</f>
        <v>0.35000000000000003</v>
      </c>
    </row>
    <row r="1719" spans="1:8" x14ac:dyDescent="0.3">
      <c r="A1719" s="161"/>
      <c r="B1719" s="107"/>
      <c r="C1719" s="111"/>
      <c r="D1719" s="113">
        <f>SUM($D$1716:$D$1718)</f>
        <v>16.450000000000003</v>
      </c>
      <c r="E1719" s="63" t="s">
        <v>1660</v>
      </c>
      <c r="F1719" s="150">
        <f>ROUND($D1719,2)</f>
        <v>16.45</v>
      </c>
      <c r="G1719" s="107" t="s">
        <v>1661</v>
      </c>
      <c r="H1719" s="95"/>
    </row>
    <row r="1720" spans="1:8" x14ac:dyDescent="0.3">
      <c r="A1720" s="161"/>
      <c r="B1720" s="107"/>
      <c r="C1720" s="111"/>
      <c r="D1720" s="113"/>
      <c r="E1720" s="63"/>
      <c r="F1720" s="150"/>
      <c r="G1720" s="107"/>
      <c r="H1720" s="95"/>
    </row>
    <row r="1721" spans="1:8" x14ac:dyDescent="0.3">
      <c r="A1721" s="161"/>
      <c r="B1721" s="107"/>
      <c r="C1721" s="111"/>
      <c r="D1721" s="113"/>
      <c r="E1721" s="149" t="s">
        <v>1674</v>
      </c>
      <c r="F1721" s="150"/>
      <c r="G1721" s="107"/>
      <c r="H1721" s="95"/>
    </row>
    <row r="1722" spans="1:8" x14ac:dyDescent="0.3">
      <c r="A1722" s="161"/>
      <c r="B1722" s="107"/>
      <c r="C1722" s="111"/>
      <c r="D1722" s="113"/>
      <c r="E1722" s="63" t="s">
        <v>1675</v>
      </c>
      <c r="F1722" s="150"/>
      <c r="G1722" s="107"/>
      <c r="H1722" s="95"/>
    </row>
    <row r="1723" spans="1:8" x14ac:dyDescent="0.3">
      <c r="A1723" s="161"/>
      <c r="B1723" s="107"/>
      <c r="C1723" s="111"/>
      <c r="D1723" s="113">
        <f>SUMIF($H$1716:$H$1718,"&lt;=0.3",$D$1716:$D$1718)</f>
        <v>0</v>
      </c>
      <c r="E1723" s="63" t="s">
        <v>1670</v>
      </c>
      <c r="F1723" s="150">
        <f>ROUND($D1723,2)</f>
        <v>0</v>
      </c>
      <c r="G1723" s="107" t="s">
        <v>1661</v>
      </c>
      <c r="H1723" s="95"/>
    </row>
    <row r="1724" spans="1:8" x14ac:dyDescent="0.3">
      <c r="A1724" s="161"/>
      <c r="B1724" s="107"/>
      <c r="C1724" s="111"/>
      <c r="D1724" s="113">
        <f>SUMIF($H$1716:$H$1718,"&gt;0.3",$D$1716:$D$1718)</f>
        <v>16.450000000000003</v>
      </c>
      <c r="E1724" s="63" t="s">
        <v>1671</v>
      </c>
      <c r="F1724" s="150">
        <f>ROUND($D1724,2)</f>
        <v>16.45</v>
      </c>
      <c r="G1724" s="107" t="s">
        <v>1661</v>
      </c>
      <c r="H1724" s="95"/>
    </row>
    <row r="1725" spans="1:8" x14ac:dyDescent="0.3">
      <c r="A1725" s="161"/>
      <c r="B1725" s="107"/>
      <c r="C1725" s="111"/>
      <c r="D1725" s="113"/>
      <c r="E1725" s="63"/>
      <c r="F1725" s="150"/>
      <c r="G1725" s="107"/>
      <c r="H1725" s="95"/>
    </row>
    <row r="1726" spans="1:8" x14ac:dyDescent="0.3">
      <c r="A1726" s="161"/>
      <c r="B1726" s="107"/>
      <c r="C1726" s="111"/>
      <c r="D1726" s="113"/>
      <c r="E1726" s="149" t="s">
        <v>1455</v>
      </c>
      <c r="F1726" s="150"/>
      <c r="G1726" s="107"/>
      <c r="H1726" s="95"/>
    </row>
    <row r="1727" spans="1:8" x14ac:dyDescent="0.3">
      <c r="A1727" s="161"/>
      <c r="B1727" s="107"/>
      <c r="C1727" s="111"/>
      <c r="D1727" s="113"/>
      <c r="E1727" s="63" t="s">
        <v>1676</v>
      </c>
      <c r="F1727" s="150"/>
      <c r="G1727" s="107"/>
      <c r="H1727" s="95"/>
    </row>
    <row r="1728" spans="1:8" x14ac:dyDescent="0.3">
      <c r="A1728" s="161">
        <f>2</f>
        <v>2</v>
      </c>
      <c r="B1728" s="107" t="s">
        <v>1628</v>
      </c>
      <c r="C1728" s="111">
        <f>'04a_Box_Dims'!$AE33</f>
        <v>10</v>
      </c>
      <c r="D1728" s="113"/>
      <c r="E1728" s="63" t="s">
        <v>1677</v>
      </c>
      <c r="F1728" s="150"/>
      <c r="G1728" s="107"/>
      <c r="H1728" s="95"/>
    </row>
    <row r="1729" spans="1:8" x14ac:dyDescent="0.3">
      <c r="A1729" s="161"/>
      <c r="B1729" s="107"/>
      <c r="C1729" s="111">
        <f>'04a_Box_Dims'!$E33</f>
        <v>3</v>
      </c>
      <c r="D1729" s="113"/>
      <c r="E1729" s="63"/>
      <c r="F1729" s="150"/>
      <c r="G1729" s="107"/>
      <c r="H1729" s="95"/>
    </row>
    <row r="1730" spans="1:8" x14ac:dyDescent="0.3">
      <c r="A1730" s="161"/>
      <c r="B1730" s="107"/>
      <c r="C1730" s="111">
        <f>'04a_Box_Dims'!$I33</f>
        <v>0.35000000000000003</v>
      </c>
      <c r="D1730" s="113">
        <f>$A1728*$C1728*$C1729*$C1730</f>
        <v>21.000000000000004</v>
      </c>
      <c r="E1730" s="63"/>
      <c r="F1730" s="150"/>
      <c r="G1730" s="107"/>
      <c r="H1730" s="95">
        <f>'04a_Box_Dims'!$I33</f>
        <v>0.35000000000000003</v>
      </c>
    </row>
    <row r="1731" spans="1:8" x14ac:dyDescent="0.3">
      <c r="A1731" s="161">
        <f>'04a_Box_Dims'!$C33-1</f>
        <v>0</v>
      </c>
      <c r="B1731" s="107" t="s">
        <v>1628</v>
      </c>
      <c r="C1731" s="111">
        <f>'04a_Box_Dims'!$AE33</f>
        <v>10</v>
      </c>
      <c r="D1731" s="113"/>
      <c r="E1731" s="63" t="s">
        <v>1678</v>
      </c>
      <c r="F1731" s="150"/>
      <c r="G1731" s="107"/>
      <c r="H1731" s="95"/>
    </row>
    <row r="1732" spans="1:8" x14ac:dyDescent="0.3">
      <c r="A1732" s="161"/>
      <c r="B1732" s="107"/>
      <c r="C1732" s="111">
        <f>'04a_Box_Dims'!$E33</f>
        <v>3</v>
      </c>
      <c r="D1732" s="113"/>
      <c r="E1732" s="63"/>
      <c r="F1732" s="150"/>
      <c r="G1732" s="107"/>
      <c r="H1732" s="95"/>
    </row>
    <row r="1733" spans="1:8" x14ac:dyDescent="0.3">
      <c r="A1733" s="161"/>
      <c r="B1733" s="107"/>
      <c r="C1733" s="111">
        <f>'04a_Box_Dims'!$I33</f>
        <v>0.35000000000000003</v>
      </c>
      <c r="D1733" s="113">
        <f>$A1731*$C1731*$C1732*$C1733</f>
        <v>0</v>
      </c>
      <c r="E1733" s="63"/>
      <c r="F1733" s="150"/>
      <c r="G1733" s="107"/>
      <c r="H1733" s="95">
        <f>'04a_Box_Dims'!$I33</f>
        <v>0.35000000000000003</v>
      </c>
    </row>
    <row r="1734" spans="1:8" x14ac:dyDescent="0.3">
      <c r="A1734" s="161">
        <f>4*'04a_Box_Dims'!$C33</f>
        <v>4</v>
      </c>
      <c r="B1734" s="107" t="s">
        <v>1628</v>
      </c>
      <c r="C1734" s="111">
        <f>'04a_Box_Dims'!$AE33</f>
        <v>10</v>
      </c>
      <c r="D1734" s="113"/>
      <c r="E1734" s="63" t="s">
        <v>1679</v>
      </c>
      <c r="F1734" s="150"/>
      <c r="G1734" s="107"/>
      <c r="H1734" s="95"/>
    </row>
    <row r="1735" spans="1:8" x14ac:dyDescent="0.3">
      <c r="A1735" s="161"/>
      <c r="B1735" s="107"/>
      <c r="C1735" s="111">
        <f>'04a_Box_Dims'!$N33</f>
        <v>0.15</v>
      </c>
      <c r="D1735" s="113"/>
      <c r="E1735" s="63"/>
      <c r="F1735" s="150"/>
      <c r="G1735" s="107"/>
      <c r="H1735" s="95"/>
    </row>
    <row r="1736" spans="1:8" x14ac:dyDescent="0.3">
      <c r="A1736" s="161"/>
      <c r="B1736" s="107"/>
      <c r="C1736" s="111">
        <f>'04a_Box_Dims'!$N33/2</f>
        <v>7.4999999999999997E-2</v>
      </c>
      <c r="D1736" s="113">
        <f>$A1734*$C1734*$C1735*$C1736</f>
        <v>0.44999999999999996</v>
      </c>
      <c r="E1736" s="63"/>
      <c r="F1736" s="150"/>
      <c r="G1736" s="107"/>
      <c r="H1736" s="95">
        <f>'04a_Box_Dims'!$N33</f>
        <v>0.15</v>
      </c>
    </row>
    <row r="1737" spans="1:8" x14ac:dyDescent="0.3">
      <c r="A1737" s="161">
        <f>2</f>
        <v>2</v>
      </c>
      <c r="B1737" s="107" t="s">
        <v>1628</v>
      </c>
      <c r="C1737" s="111">
        <f>'04a_Box_Dims'!$J33</f>
        <v>4.7</v>
      </c>
      <c r="D1737" s="113"/>
      <c r="E1737" s="63" t="s">
        <v>1680</v>
      </c>
      <c r="F1737" s="150"/>
      <c r="G1737" s="107"/>
      <c r="H1737" s="95"/>
    </row>
    <row r="1738" spans="1:8" x14ac:dyDescent="0.3">
      <c r="A1738" s="161"/>
      <c r="B1738" s="107"/>
      <c r="C1738" s="111">
        <f>'04a_Box_Dims'!$U33</f>
        <v>0.6</v>
      </c>
      <c r="D1738" s="113"/>
      <c r="E1738" s="63"/>
      <c r="F1738" s="150"/>
      <c r="G1738" s="107"/>
      <c r="H1738" s="95"/>
    </row>
    <row r="1739" spans="1:8" x14ac:dyDescent="0.3">
      <c r="A1739" s="161"/>
      <c r="B1739" s="107"/>
      <c r="C1739" s="111">
        <f>'04a_Box_Dims'!$V33</f>
        <v>0.35000000000000003</v>
      </c>
      <c r="D1739" s="113">
        <f>$A1737*$C1737*$C1738*$C1739</f>
        <v>1.974</v>
      </c>
      <c r="E1739" s="63"/>
      <c r="F1739" s="150"/>
      <c r="G1739" s="107"/>
      <c r="H1739" s="95">
        <f>'04a_Box_Dims'!$V33</f>
        <v>0.35000000000000003</v>
      </c>
    </row>
    <row r="1740" spans="1:8" x14ac:dyDescent="0.3">
      <c r="A1740" s="161">
        <f>4</f>
        <v>4</v>
      </c>
      <c r="B1740" s="107" t="s">
        <v>1628</v>
      </c>
      <c r="C1740" s="111">
        <f>'04a_Box_Dims'!$Z33</f>
        <v>2.1213203435596424</v>
      </c>
      <c r="D1740" s="113"/>
      <c r="E1740" s="63" t="s">
        <v>1681</v>
      </c>
      <c r="F1740" s="150"/>
      <c r="G1740" s="107"/>
      <c r="H1740" s="95"/>
    </row>
    <row r="1741" spans="1:8" x14ac:dyDescent="0.3">
      <c r="A1741" s="161"/>
      <c r="B1741" s="107"/>
      <c r="C1741" s="111">
        <f>'04a_Box_Dims'!$Y33</f>
        <v>4.1928932188134524</v>
      </c>
      <c r="D1741" s="113"/>
      <c r="E1741" s="63"/>
      <c r="F1741" s="150"/>
      <c r="G1741" s="107"/>
      <c r="H1741" s="95"/>
    </row>
    <row r="1742" spans="1:8" x14ac:dyDescent="0.3">
      <c r="A1742" s="161"/>
      <c r="B1742" s="107"/>
      <c r="C1742" s="111">
        <f>'04a_Box_Dims'!$AB33</f>
        <v>0.41</v>
      </c>
      <c r="D1742" s="113">
        <f>$A1740*$C1740*$C1741*$C1742</f>
        <v>14.586930280845285</v>
      </c>
      <c r="E1742" s="63"/>
      <c r="F1742" s="150"/>
      <c r="G1742" s="107"/>
      <c r="H1742" s="95">
        <f>'04a_Box_Dims'!$AB33</f>
        <v>0.41</v>
      </c>
    </row>
    <row r="1743" spans="1:8" x14ac:dyDescent="0.3">
      <c r="A1743" s="161"/>
      <c r="B1743" s="107"/>
      <c r="C1743" s="111"/>
      <c r="D1743" s="113">
        <f>SUM($D$1728:$D$1742)</f>
        <v>38.010930280845287</v>
      </c>
      <c r="E1743" s="63" t="s">
        <v>1660</v>
      </c>
      <c r="F1743" s="150">
        <f>ROUND($D1743,2)</f>
        <v>38.01</v>
      </c>
      <c r="G1743" s="107" t="s">
        <v>1661</v>
      </c>
      <c r="H1743" s="95"/>
    </row>
    <row r="1744" spans="1:8" x14ac:dyDescent="0.3">
      <c r="A1744" s="161"/>
      <c r="B1744" s="107"/>
      <c r="C1744" s="111"/>
      <c r="D1744" s="113"/>
      <c r="E1744" s="63"/>
      <c r="F1744" s="150"/>
      <c r="G1744" s="107"/>
      <c r="H1744" s="95"/>
    </row>
    <row r="1745" spans="1:8" x14ac:dyDescent="0.3">
      <c r="A1745" s="161"/>
      <c r="B1745" s="107"/>
      <c r="C1745" s="111"/>
      <c r="D1745" s="113"/>
      <c r="E1745" s="149" t="s">
        <v>1682</v>
      </c>
      <c r="F1745" s="150"/>
      <c r="G1745" s="107"/>
      <c r="H1745" s="95"/>
    </row>
    <row r="1746" spans="1:8" x14ac:dyDescent="0.3">
      <c r="A1746" s="161"/>
      <c r="B1746" s="107"/>
      <c r="C1746" s="111"/>
      <c r="D1746" s="113"/>
      <c r="E1746" s="63" t="s">
        <v>1683</v>
      </c>
      <c r="F1746" s="150"/>
      <c r="G1746" s="107"/>
      <c r="H1746" s="95"/>
    </row>
    <row r="1747" spans="1:8" x14ac:dyDescent="0.3">
      <c r="A1747" s="161"/>
      <c r="B1747" s="107"/>
      <c r="C1747" s="111"/>
      <c r="D1747" s="113">
        <f>SUMIF($H$1728:$H$1742,"&lt;=0.3",$D$1728:$D$1742)</f>
        <v>0.44999999999999996</v>
      </c>
      <c r="E1747" s="63" t="s">
        <v>1670</v>
      </c>
      <c r="F1747" s="150">
        <f>ROUND($D1747,2)</f>
        <v>0.45</v>
      </c>
      <c r="G1747" s="107" t="s">
        <v>1661</v>
      </c>
      <c r="H1747" s="95"/>
    </row>
    <row r="1748" spans="1:8" x14ac:dyDescent="0.3">
      <c r="A1748" s="161"/>
      <c r="B1748" s="107"/>
      <c r="C1748" s="111"/>
      <c r="D1748" s="113">
        <f>SUMIF($H$1728:$H$1742,"&gt;0.3",$D$1728:$D$1742)</f>
        <v>37.560930280845291</v>
      </c>
      <c r="E1748" s="63" t="s">
        <v>1671</v>
      </c>
      <c r="F1748" s="150">
        <f>ROUND($D1748,2)</f>
        <v>37.56</v>
      </c>
      <c r="G1748" s="107" t="s">
        <v>1661</v>
      </c>
      <c r="H1748" s="95"/>
    </row>
    <row r="1749" spans="1:8" x14ac:dyDescent="0.3">
      <c r="A1749" s="161"/>
      <c r="B1749" s="107"/>
      <c r="C1749" s="111"/>
      <c r="D1749" s="113"/>
      <c r="E1749" s="63"/>
      <c r="F1749" s="150"/>
      <c r="G1749" s="107"/>
      <c r="H1749" s="95"/>
    </row>
    <row r="1750" spans="1:8" x14ac:dyDescent="0.3">
      <c r="A1750" s="161"/>
      <c r="B1750" s="107"/>
      <c r="C1750" s="111"/>
      <c r="D1750" s="113"/>
      <c r="E1750" s="149" t="s">
        <v>1445</v>
      </c>
      <c r="F1750" s="150"/>
      <c r="G1750" s="107"/>
      <c r="H1750" s="95"/>
    </row>
    <row r="1751" spans="1:8" x14ac:dyDescent="0.3">
      <c r="A1751" s="161"/>
      <c r="B1751" s="107"/>
      <c r="C1751" s="111"/>
      <c r="D1751" s="113"/>
      <c r="E1751" s="63" t="s">
        <v>1684</v>
      </c>
      <c r="F1751" s="150"/>
      <c r="G1751" s="107"/>
      <c r="H1751" s="95"/>
    </row>
    <row r="1752" spans="1:8" x14ac:dyDescent="0.3">
      <c r="A1752" s="161">
        <f>2</f>
        <v>2</v>
      </c>
      <c r="B1752" s="107" t="s">
        <v>1628</v>
      </c>
      <c r="C1752" s="111">
        <f>'04a_Box_Dims'!$AE33</f>
        <v>10</v>
      </c>
      <c r="D1752" s="113"/>
      <c r="E1752" s="63" t="s">
        <v>1685</v>
      </c>
      <c r="F1752" s="150"/>
      <c r="G1752" s="107"/>
      <c r="H1752" s="95"/>
    </row>
    <row r="1753" spans="1:8" x14ac:dyDescent="0.3">
      <c r="A1753" s="161"/>
      <c r="B1753" s="107"/>
      <c r="C1753" s="111">
        <f>'04a_Box_Dims'!$E33</f>
        <v>3</v>
      </c>
      <c r="D1753" s="113">
        <f>$A1752*$C1752*$C1753</f>
        <v>60</v>
      </c>
      <c r="E1753" s="63"/>
      <c r="F1753" s="150"/>
      <c r="G1753" s="107"/>
      <c r="H1753" s="95"/>
    </row>
    <row r="1754" spans="1:8" x14ac:dyDescent="0.3">
      <c r="A1754" s="161">
        <f>4</f>
        <v>4</v>
      </c>
      <c r="B1754" s="107" t="s">
        <v>1628</v>
      </c>
      <c r="C1754" s="111">
        <f>'04a_Box_Dims'!$Z33</f>
        <v>2.1213203435596424</v>
      </c>
      <c r="D1754" s="113"/>
      <c r="E1754" s="63" t="s">
        <v>1686</v>
      </c>
      <c r="F1754" s="150"/>
      <c r="G1754" s="107"/>
      <c r="H1754" s="95"/>
    </row>
    <row r="1755" spans="1:8" x14ac:dyDescent="0.3">
      <c r="A1755" s="161"/>
      <c r="B1755" s="107"/>
      <c r="C1755" s="111">
        <f>'04a_Box_Dims'!$Y33</f>
        <v>4.1928932188134524</v>
      </c>
      <c r="D1755" s="113">
        <f>$A1754*$C1754*$C1755</f>
        <v>35.577878733768991</v>
      </c>
      <c r="E1755" s="63"/>
      <c r="F1755" s="150"/>
      <c r="G1755" s="107"/>
      <c r="H1755" s="95"/>
    </row>
    <row r="1756" spans="1:8" x14ac:dyDescent="0.3">
      <c r="A1756" s="161">
        <f>2</f>
        <v>2</v>
      </c>
      <c r="B1756" s="107" t="s">
        <v>1628</v>
      </c>
      <c r="C1756" s="111">
        <f>'04a_Box_Dims'!$J33</f>
        <v>4.7</v>
      </c>
      <c r="D1756" s="113"/>
      <c r="E1756" s="63" t="s">
        <v>1687</v>
      </c>
      <c r="F1756" s="150"/>
      <c r="G1756" s="107"/>
      <c r="H1756" s="95"/>
    </row>
    <row r="1757" spans="1:8" x14ac:dyDescent="0.3">
      <c r="A1757" s="161"/>
      <c r="B1757" s="107"/>
      <c r="C1757" s="111">
        <f>'04a_Box_Dims'!$U33</f>
        <v>0.6</v>
      </c>
      <c r="D1757" s="113">
        <f>$A1756*$C1756*$C1757</f>
        <v>5.64</v>
      </c>
      <c r="E1757" s="63"/>
      <c r="F1757" s="150"/>
      <c r="G1757" s="107"/>
      <c r="H1757" s="95"/>
    </row>
    <row r="1758" spans="1:8" x14ac:dyDescent="0.3">
      <c r="A1758" s="161"/>
      <c r="B1758" s="107"/>
      <c r="C1758" s="111"/>
      <c r="D1758" s="113">
        <f>SUM($D$1752:$D$1757)</f>
        <v>101.21787873376898</v>
      </c>
      <c r="E1758" s="63" t="s">
        <v>1660</v>
      </c>
      <c r="F1758" s="150">
        <f>ROUND($D1758,2)</f>
        <v>101.22</v>
      </c>
      <c r="G1758" s="107" t="s">
        <v>1688</v>
      </c>
      <c r="H1758" s="95"/>
    </row>
    <row r="1759" spans="1:8" x14ac:dyDescent="0.3">
      <c r="A1759" s="161"/>
      <c r="B1759" s="107"/>
      <c r="C1759" s="111"/>
      <c r="D1759" s="113"/>
      <c r="E1759" s="63"/>
      <c r="F1759" s="150"/>
      <c r="G1759" s="107"/>
      <c r="H1759" s="95"/>
    </row>
    <row r="1760" spans="1:8" x14ac:dyDescent="0.3">
      <c r="A1760" s="161"/>
      <c r="B1760" s="107"/>
      <c r="C1760" s="111"/>
      <c r="D1760" s="113"/>
      <c r="E1760" s="149" t="s">
        <v>1446</v>
      </c>
      <c r="F1760" s="150"/>
      <c r="G1760" s="107"/>
      <c r="H1760" s="95"/>
    </row>
    <row r="1761" spans="1:8" x14ac:dyDescent="0.3">
      <c r="A1761" s="161"/>
      <c r="B1761" s="107"/>
      <c r="C1761" s="111"/>
      <c r="D1761" s="113"/>
      <c r="E1761" s="63" t="s">
        <v>1689</v>
      </c>
      <c r="F1761" s="150"/>
      <c r="G1761" s="107"/>
      <c r="H1761" s="95"/>
    </row>
    <row r="1762" spans="1:8" x14ac:dyDescent="0.3">
      <c r="A1762" s="161">
        <f>2</f>
        <v>2</v>
      </c>
      <c r="B1762" s="107" t="s">
        <v>1628</v>
      </c>
      <c r="C1762" s="111">
        <f>'04a_Box_Dims'!$O33</f>
        <v>1.5</v>
      </c>
      <c r="D1762" s="113"/>
      <c r="E1762" s="63" t="s">
        <v>1690</v>
      </c>
      <c r="F1762" s="150"/>
      <c r="G1762" s="107"/>
      <c r="H1762" s="95"/>
    </row>
    <row r="1763" spans="1:8" x14ac:dyDescent="0.3">
      <c r="A1763" s="161"/>
      <c r="B1763" s="107"/>
      <c r="C1763" s="111">
        <f>'04a_Box_Dims'!$Q33</f>
        <v>6.2</v>
      </c>
      <c r="D1763" s="113">
        <f>$A1762*$C1762*$C1763</f>
        <v>18.600000000000001</v>
      </c>
      <c r="E1763" s="63"/>
      <c r="F1763" s="150"/>
      <c r="G1763" s="107"/>
      <c r="H1763" s="95"/>
    </row>
    <row r="1764" spans="1:8" x14ac:dyDescent="0.3">
      <c r="A1764" s="161"/>
      <c r="B1764" s="107"/>
      <c r="C1764" s="111"/>
      <c r="D1764" s="113">
        <f>SUM($D$1762:$D$1763)</f>
        <v>18.600000000000001</v>
      </c>
      <c r="E1764" s="63" t="s">
        <v>1660</v>
      </c>
      <c r="F1764" s="150">
        <f>ROUND($D1764,2)</f>
        <v>18.600000000000001</v>
      </c>
      <c r="G1764" s="107" t="s">
        <v>1688</v>
      </c>
      <c r="H1764" s="95"/>
    </row>
    <row r="1765" spans="1:8" x14ac:dyDescent="0.3">
      <c r="A1765" s="161"/>
      <c r="B1765" s="107"/>
      <c r="C1765" s="111"/>
      <c r="D1765" s="113"/>
      <c r="E1765" s="63"/>
      <c r="F1765" s="150"/>
      <c r="G1765" s="107"/>
      <c r="H1765" s="95"/>
    </row>
    <row r="1766" spans="1:8" x14ac:dyDescent="0.3">
      <c r="A1766" s="161"/>
      <c r="B1766" s="107"/>
      <c r="C1766" s="111"/>
      <c r="D1766" s="113"/>
      <c r="E1766" s="149" t="s">
        <v>1447</v>
      </c>
      <c r="F1766" s="150"/>
      <c r="G1766" s="107"/>
      <c r="H1766" s="95"/>
    </row>
    <row r="1767" spans="1:8" x14ac:dyDescent="0.3">
      <c r="A1767" s="161"/>
      <c r="B1767" s="107"/>
      <c r="C1767" s="111"/>
      <c r="D1767" s="113"/>
      <c r="E1767" s="63" t="s">
        <v>1691</v>
      </c>
      <c r="F1767" s="150"/>
      <c r="G1767" s="107"/>
      <c r="H1767" s="95"/>
    </row>
    <row r="1768" spans="1:8" x14ac:dyDescent="0.3">
      <c r="A1768" s="161">
        <f>4</f>
        <v>4</v>
      </c>
      <c r="B1768" s="107" t="s">
        <v>1628</v>
      </c>
      <c r="C1768" s="111">
        <f>'04a_Box_Dims'!$J33</f>
        <v>4.7</v>
      </c>
      <c r="D1768" s="113"/>
      <c r="E1768" s="63" t="s">
        <v>1692</v>
      </c>
      <c r="F1768" s="150"/>
      <c r="G1768" s="107"/>
      <c r="H1768" s="95"/>
    </row>
    <row r="1769" spans="1:8" x14ac:dyDescent="0.3">
      <c r="A1769" s="161"/>
      <c r="B1769" s="107"/>
      <c r="C1769" s="111">
        <f>'04a_Box_Dims'!$I33</f>
        <v>0.35000000000000003</v>
      </c>
      <c r="D1769" s="113">
        <f>$A1768*$C1768*$C1769</f>
        <v>6.580000000000001</v>
      </c>
      <c r="E1769" s="63"/>
      <c r="F1769" s="150"/>
      <c r="G1769" s="107"/>
      <c r="H1769" s="95"/>
    </row>
    <row r="1770" spans="1:8" x14ac:dyDescent="0.3">
      <c r="A1770" s="161">
        <f>4</f>
        <v>4</v>
      </c>
      <c r="B1770" s="107" t="s">
        <v>1628</v>
      </c>
      <c r="C1770" s="111">
        <f>'04a_Box_Dims'!$O33</f>
        <v>1.5</v>
      </c>
      <c r="D1770" s="113"/>
      <c r="E1770" s="63" t="s">
        <v>1693</v>
      </c>
      <c r="F1770" s="150"/>
      <c r="G1770" s="107"/>
      <c r="H1770" s="95"/>
    </row>
    <row r="1771" spans="1:8" x14ac:dyDescent="0.3">
      <c r="A1771" s="161"/>
      <c r="B1771" s="107"/>
      <c r="C1771" s="111">
        <f>'04a_Box_Dims'!$P33</f>
        <v>0.35000000000000003</v>
      </c>
      <c r="D1771" s="113">
        <f>$A1770*$C1770*$C1771</f>
        <v>2.1</v>
      </c>
      <c r="E1771" s="63"/>
      <c r="F1771" s="150"/>
      <c r="G1771" s="107"/>
      <c r="H1771" s="95"/>
    </row>
    <row r="1772" spans="1:8" x14ac:dyDescent="0.3">
      <c r="A1772" s="161"/>
      <c r="B1772" s="107"/>
      <c r="C1772" s="111"/>
      <c r="D1772" s="113">
        <f>SUM($D$1768:$D$1771)</f>
        <v>8.6800000000000015</v>
      </c>
      <c r="E1772" s="63" t="s">
        <v>1660</v>
      </c>
      <c r="F1772" s="150">
        <f>ROUND($D1772,2)</f>
        <v>8.68</v>
      </c>
      <c r="G1772" s="107" t="s">
        <v>1688</v>
      </c>
      <c r="H1772" s="95"/>
    </row>
    <row r="1773" spans="1:8" x14ac:dyDescent="0.3">
      <c r="A1773" s="161"/>
      <c r="B1773" s="107"/>
      <c r="C1773" s="111"/>
      <c r="D1773" s="113"/>
      <c r="E1773" s="63"/>
      <c r="F1773" s="150"/>
      <c r="G1773" s="107"/>
      <c r="H1773" s="95"/>
    </row>
    <row r="1774" spans="1:8" x14ac:dyDescent="0.3">
      <c r="A1774" s="161"/>
      <c r="B1774" s="107"/>
      <c r="C1774" s="111"/>
      <c r="D1774" s="113"/>
      <c r="E1774" s="149" t="s">
        <v>1448</v>
      </c>
      <c r="F1774" s="150"/>
      <c r="G1774" s="107"/>
      <c r="H1774" s="95"/>
    </row>
    <row r="1775" spans="1:8" x14ac:dyDescent="0.3">
      <c r="A1775" s="161"/>
      <c r="B1775" s="107"/>
      <c r="C1775" s="111"/>
      <c r="D1775" s="113"/>
      <c r="E1775" s="63" t="s">
        <v>1694</v>
      </c>
      <c r="F1775" s="150"/>
      <c r="G1775" s="107"/>
      <c r="H1775" s="95"/>
    </row>
    <row r="1776" spans="1:8" x14ac:dyDescent="0.3">
      <c r="A1776" s="161">
        <f>1</f>
        <v>1</v>
      </c>
      <c r="B1776" s="107" t="s">
        <v>1628</v>
      </c>
      <c r="C1776" s="111">
        <f>'04a_Box_Dims'!$AE33</f>
        <v>10</v>
      </c>
      <c r="D1776" s="113"/>
      <c r="E1776" s="63" t="s">
        <v>1695</v>
      </c>
      <c r="F1776" s="150"/>
      <c r="G1776" s="107"/>
      <c r="H1776" s="95"/>
    </row>
    <row r="1777" spans="1:8" x14ac:dyDescent="0.3">
      <c r="A1777" s="161"/>
      <c r="B1777" s="107"/>
      <c r="C1777" s="111">
        <f>'04a_Box_Dims'!$K33</f>
        <v>4</v>
      </c>
      <c r="D1777" s="113">
        <f>$A1776*$C1776*$C1777</f>
        <v>40</v>
      </c>
      <c r="E1777" s="63"/>
      <c r="F1777" s="150"/>
      <c r="G1777" s="107"/>
      <c r="H1777" s="95"/>
    </row>
    <row r="1778" spans="1:8" x14ac:dyDescent="0.3">
      <c r="A1778" s="161"/>
      <c r="B1778" s="107"/>
      <c r="C1778" s="111"/>
      <c r="D1778" s="113">
        <f>SUM($D$1776:$D$1777)</f>
        <v>40</v>
      </c>
      <c r="E1778" s="63" t="s">
        <v>1660</v>
      </c>
      <c r="F1778" s="150">
        <f>ROUND($D1778,2)</f>
        <v>40</v>
      </c>
      <c r="G1778" s="107" t="s">
        <v>1688</v>
      </c>
      <c r="H1778" s="95"/>
    </row>
    <row r="1779" spans="1:8" x14ac:dyDescent="0.3">
      <c r="A1779" s="161"/>
      <c r="B1779" s="107"/>
      <c r="C1779" s="111"/>
      <c r="D1779" s="113"/>
      <c r="E1779" s="63"/>
      <c r="F1779" s="150"/>
      <c r="G1779" s="107"/>
      <c r="H1779" s="95"/>
    </row>
    <row r="1780" spans="1:8" x14ac:dyDescent="0.3">
      <c r="A1780" s="161"/>
      <c r="B1780" s="107"/>
      <c r="C1780" s="111"/>
      <c r="D1780" s="113"/>
      <c r="E1780" s="149" t="s">
        <v>1449</v>
      </c>
      <c r="F1780" s="150"/>
      <c r="G1780" s="107"/>
      <c r="H1780" s="95"/>
    </row>
    <row r="1781" spans="1:8" x14ac:dyDescent="0.3">
      <c r="A1781" s="161"/>
      <c r="B1781" s="107"/>
      <c r="C1781" s="111"/>
      <c r="D1781" s="113"/>
      <c r="E1781" s="63" t="s">
        <v>1696</v>
      </c>
      <c r="F1781" s="150"/>
      <c r="G1781" s="107"/>
      <c r="H1781" s="95"/>
    </row>
    <row r="1782" spans="1:8" x14ac:dyDescent="0.3">
      <c r="A1782" s="161">
        <f>2</f>
        <v>2</v>
      </c>
      <c r="B1782" s="107" t="s">
        <v>1628</v>
      </c>
      <c r="C1782" s="111">
        <f>'04a_Box_Dims'!$J33</f>
        <v>4.7</v>
      </c>
      <c r="D1782" s="113"/>
      <c r="E1782" s="63" t="s">
        <v>1697</v>
      </c>
      <c r="F1782" s="150"/>
      <c r="G1782" s="107"/>
      <c r="H1782" s="95"/>
    </row>
    <row r="1783" spans="1:8" x14ac:dyDescent="0.3">
      <c r="A1783" s="161"/>
      <c r="B1783" s="107"/>
      <c r="C1783" s="111">
        <f>'04a_Box_Dims'!$U33</f>
        <v>0.6</v>
      </c>
      <c r="D1783" s="113">
        <f>$A1782*$C1782*$C1783</f>
        <v>5.64</v>
      </c>
      <c r="E1783" s="63"/>
      <c r="F1783" s="150"/>
      <c r="G1783" s="107"/>
      <c r="H1783" s="95"/>
    </row>
    <row r="1784" spans="1:8" x14ac:dyDescent="0.3">
      <c r="A1784" s="161"/>
      <c r="B1784" s="107"/>
      <c r="C1784" s="111"/>
      <c r="D1784" s="113">
        <f>SUM($D$1782:$D$1783)</f>
        <v>5.64</v>
      </c>
      <c r="E1784" s="63" t="s">
        <v>1660</v>
      </c>
      <c r="F1784" s="150">
        <f>ROUND($D1784,2)</f>
        <v>5.64</v>
      </c>
      <c r="G1784" s="107" t="s">
        <v>1688</v>
      </c>
      <c r="H1784" s="95"/>
    </row>
    <row r="1785" spans="1:8" x14ac:dyDescent="0.3">
      <c r="A1785" s="161"/>
      <c r="B1785" s="107"/>
      <c r="C1785" s="111"/>
      <c r="D1785" s="113"/>
      <c r="E1785" s="63"/>
      <c r="F1785" s="150"/>
      <c r="G1785" s="107"/>
      <c r="H1785" s="95"/>
    </row>
    <row r="1786" spans="1:8" x14ac:dyDescent="0.3">
      <c r="A1786" s="161"/>
      <c r="B1786" s="107"/>
      <c r="C1786" s="111"/>
      <c r="D1786" s="113"/>
      <c r="E1786" s="149" t="s">
        <v>1329</v>
      </c>
      <c r="F1786" s="150"/>
      <c r="G1786" s="107"/>
      <c r="H1786" s="95"/>
    </row>
    <row r="1787" spans="1:8" x14ac:dyDescent="0.3">
      <c r="A1787" s="161"/>
      <c r="B1787" s="107"/>
      <c r="C1787" s="111"/>
      <c r="D1787" s="113"/>
      <c r="E1787" s="63" t="s">
        <v>1698</v>
      </c>
      <c r="F1787" s="150"/>
      <c r="G1787" s="107"/>
      <c r="H1787" s="95"/>
    </row>
    <row r="1788" spans="1:8" x14ac:dyDescent="0.3">
      <c r="A1788" s="161">
        <f>2</f>
        <v>2</v>
      </c>
      <c r="B1788" s="107" t="s">
        <v>1628</v>
      </c>
      <c r="C1788" s="111">
        <f>'04a_Box_Dims'!$AE33</f>
        <v>10</v>
      </c>
      <c r="D1788" s="113"/>
      <c r="E1788" s="63" t="s">
        <v>1699</v>
      </c>
      <c r="F1788" s="150"/>
      <c r="G1788" s="107"/>
      <c r="H1788" s="95"/>
    </row>
    <row r="1789" spans="1:8" x14ac:dyDescent="0.3">
      <c r="A1789" s="161"/>
      <c r="B1789" s="107"/>
      <c r="C1789" s="111">
        <f>'04a_Box_Dims'!$E33</f>
        <v>3</v>
      </c>
      <c r="D1789" s="113">
        <f>$A1788*$C1788*$C1789</f>
        <v>60</v>
      </c>
      <c r="E1789" s="63"/>
      <c r="F1789" s="150"/>
      <c r="G1789" s="107"/>
      <c r="H1789" s="95"/>
    </row>
    <row r="1790" spans="1:8" x14ac:dyDescent="0.3">
      <c r="A1790" s="161">
        <f>('04a_Box_Dims'!$C33-1)*2</f>
        <v>0</v>
      </c>
      <c r="B1790" s="107" t="s">
        <v>1628</v>
      </c>
      <c r="C1790" s="111">
        <f>'04a_Box_Dims'!$AE33</f>
        <v>10</v>
      </c>
      <c r="D1790" s="113"/>
      <c r="E1790" s="63" t="s">
        <v>1700</v>
      </c>
      <c r="F1790" s="150"/>
      <c r="G1790" s="107"/>
      <c r="H1790" s="95"/>
    </row>
    <row r="1791" spans="1:8" x14ac:dyDescent="0.3">
      <c r="A1791" s="161"/>
      <c r="B1791" s="107"/>
      <c r="C1791" s="111">
        <f>'04a_Box_Dims'!$E33</f>
        <v>3</v>
      </c>
      <c r="D1791" s="113">
        <f>$A1790*$C1790*$C1791</f>
        <v>0</v>
      </c>
      <c r="E1791" s="63"/>
      <c r="F1791" s="150"/>
      <c r="G1791" s="107"/>
      <c r="H1791" s="95"/>
    </row>
    <row r="1792" spans="1:8" x14ac:dyDescent="0.3">
      <c r="A1792" s="161">
        <f>4</f>
        <v>4</v>
      </c>
      <c r="B1792" s="107" t="s">
        <v>1628</v>
      </c>
      <c r="C1792" s="111">
        <f>'04a_Box_Dims'!$Z33</f>
        <v>2.1213203435596424</v>
      </c>
      <c r="D1792" s="113"/>
      <c r="E1792" s="63" t="s">
        <v>1701</v>
      </c>
      <c r="F1792" s="150"/>
      <c r="G1792" s="107"/>
      <c r="H1792" s="95"/>
    </row>
    <row r="1793" spans="1:8" x14ac:dyDescent="0.3">
      <c r="A1793" s="161"/>
      <c r="B1793" s="107"/>
      <c r="C1793" s="111">
        <f>'04a_Box_Dims'!$Y33</f>
        <v>4.1928932188134524</v>
      </c>
      <c r="D1793" s="113">
        <f>$A1792*$C1792*$C1793</f>
        <v>35.577878733768991</v>
      </c>
      <c r="E1793" s="63"/>
      <c r="F1793" s="150"/>
      <c r="G1793" s="107"/>
      <c r="H1793" s="95"/>
    </row>
    <row r="1794" spans="1:8" x14ac:dyDescent="0.3">
      <c r="A1794" s="161"/>
      <c r="B1794" s="107"/>
      <c r="C1794" s="111"/>
      <c r="D1794" s="113">
        <f>SUM($D$1788:$D$1793)</f>
        <v>95.577878733768983</v>
      </c>
      <c r="E1794" s="63" t="s">
        <v>1660</v>
      </c>
      <c r="F1794" s="150">
        <f>ROUND($D1794,2)</f>
        <v>95.58</v>
      </c>
      <c r="G1794" s="107" t="s">
        <v>1688</v>
      </c>
      <c r="H1794" s="95"/>
    </row>
    <row r="1795" spans="1:8" x14ac:dyDescent="0.3">
      <c r="A1795" s="161"/>
      <c r="B1795" s="107"/>
      <c r="C1795" s="111"/>
      <c r="D1795" s="113"/>
      <c r="E1795" s="63"/>
      <c r="F1795" s="150"/>
      <c r="G1795" s="107"/>
      <c r="H1795" s="95"/>
    </row>
    <row r="1796" spans="1:8" x14ac:dyDescent="0.3">
      <c r="A1796" s="161"/>
      <c r="B1796" s="107"/>
      <c r="C1796" s="111"/>
      <c r="D1796" s="113"/>
      <c r="E1796" s="149" t="s">
        <v>1702</v>
      </c>
      <c r="F1796" s="150"/>
      <c r="G1796" s="107"/>
      <c r="H1796" s="95"/>
    </row>
    <row r="1797" spans="1:8" x14ac:dyDescent="0.3">
      <c r="A1797" s="161"/>
      <c r="B1797" s="107"/>
      <c r="C1797" s="111"/>
      <c r="D1797" s="113"/>
      <c r="E1797" s="63" t="s">
        <v>1703</v>
      </c>
      <c r="F1797" s="150"/>
      <c r="G1797" s="107"/>
      <c r="H1797" s="95"/>
    </row>
    <row r="1798" spans="1:8" x14ac:dyDescent="0.3">
      <c r="A1798" s="161"/>
      <c r="B1798" s="107"/>
      <c r="C1798" s="111"/>
      <c r="D1798" s="113">
        <v>0</v>
      </c>
      <c r="E1798" s="63" t="s">
        <v>1704</v>
      </c>
      <c r="F1798" s="150">
        <f t="shared" ref="F1798:F1803" si="11">ROUND($D1798,3)</f>
        <v>0</v>
      </c>
      <c r="G1798" s="107" t="s">
        <v>1474</v>
      </c>
      <c r="H1798" s="95"/>
    </row>
    <row r="1799" spans="1:8" x14ac:dyDescent="0.3">
      <c r="A1799" s="161"/>
      <c r="B1799" s="107"/>
      <c r="C1799" s="111"/>
      <c r="D1799" s="113">
        <f>'04b_Box_Bars'!$S20/1000</f>
        <v>1.2207443653686536</v>
      </c>
      <c r="E1799" s="63" t="s">
        <v>1705</v>
      </c>
      <c r="F1799" s="150">
        <f t="shared" si="11"/>
        <v>1.2210000000000001</v>
      </c>
      <c r="G1799" s="107" t="s">
        <v>1474</v>
      </c>
      <c r="H1799" s="95"/>
    </row>
    <row r="1800" spans="1:8" x14ac:dyDescent="0.3">
      <c r="A1800" s="161"/>
      <c r="B1800" s="107"/>
      <c r="C1800" s="111"/>
      <c r="D1800" s="113">
        <f>'04b_Box_Bars'!$T20/1000</f>
        <v>3.7382441867135263</v>
      </c>
      <c r="E1800" s="63" t="s">
        <v>1706</v>
      </c>
      <c r="F1800" s="150">
        <f t="shared" si="11"/>
        <v>3.738</v>
      </c>
      <c r="G1800" s="107" t="s">
        <v>1474</v>
      </c>
      <c r="H1800" s="95"/>
    </row>
    <row r="1801" spans="1:8" x14ac:dyDescent="0.3">
      <c r="A1801" s="161"/>
      <c r="B1801" s="107"/>
      <c r="C1801" s="111"/>
      <c r="D1801" s="113">
        <f>'04b_Box_Bars'!$U20/1000</f>
        <v>0</v>
      </c>
      <c r="E1801" s="63" t="s">
        <v>1707</v>
      </c>
      <c r="F1801" s="150">
        <f t="shared" si="11"/>
        <v>0</v>
      </c>
      <c r="G1801" s="107" t="s">
        <v>1474</v>
      </c>
      <c r="H1801" s="95"/>
    </row>
    <row r="1802" spans="1:8" x14ac:dyDescent="0.3">
      <c r="A1802" s="161"/>
      <c r="B1802" s="107"/>
      <c r="C1802" s="111"/>
      <c r="D1802" s="113">
        <f>'04b_Box_Bars'!$V20/1000</f>
        <v>0.97264965192201414</v>
      </c>
      <c r="E1802" s="63" t="s">
        <v>1708</v>
      </c>
      <c r="F1802" s="150">
        <f t="shared" si="11"/>
        <v>0.97299999999999998</v>
      </c>
      <c r="G1802" s="107" t="s">
        <v>1474</v>
      </c>
      <c r="H1802" s="95"/>
    </row>
    <row r="1803" spans="1:8" x14ac:dyDescent="0.3">
      <c r="A1803" s="161"/>
      <c r="B1803" s="107"/>
      <c r="C1803" s="111"/>
      <c r="D1803" s="113">
        <f>'04b_Box_Bars'!$W20/1000</f>
        <v>0</v>
      </c>
      <c r="E1803" s="63" t="s">
        <v>1709</v>
      </c>
      <c r="F1803" s="150">
        <f t="shared" si="11"/>
        <v>0</v>
      </c>
      <c r="G1803" s="107" t="s">
        <v>1474</v>
      </c>
      <c r="H1803" s="95"/>
    </row>
    <row r="1804" spans="1:8" x14ac:dyDescent="0.3">
      <c r="A1804" s="161"/>
      <c r="B1804" s="107"/>
      <c r="C1804" s="111"/>
      <c r="D1804" s="113"/>
      <c r="E1804" s="63"/>
      <c r="F1804" s="150"/>
      <c r="G1804" s="107"/>
      <c r="H1804" s="95"/>
    </row>
    <row r="1806" spans="1:8" x14ac:dyDescent="0.3">
      <c r="A1806" s="160" t="str">
        <f>'04a_Box_Dims'!$F34&amp;"  No.  "&amp;'04a_Box_Dims'!$A34&amp;"   (L = "&amp;TEXT('04a_Box_Dims'!$AE34,"0.00")&amp;" m)"</f>
        <v>0  No.  2/4x3 box culvert   (L = 10.00 m)</v>
      </c>
      <c r="B1806" s="146"/>
      <c r="C1806" s="162"/>
      <c r="D1806" s="163"/>
      <c r="E1806" s="147"/>
      <c r="F1806" s="148"/>
      <c r="G1806" s="146"/>
      <c r="H1806" s="151"/>
    </row>
    <row r="1807" spans="1:8" x14ac:dyDescent="0.3">
      <c r="A1807" s="161"/>
      <c r="B1807" s="107"/>
      <c r="C1807" s="111"/>
      <c r="D1807" s="113"/>
      <c r="E1807" s="149" t="s">
        <v>1438</v>
      </c>
      <c r="F1807" s="150"/>
      <c r="G1807" s="107"/>
      <c r="H1807" s="95"/>
    </row>
    <row r="1808" spans="1:8" x14ac:dyDescent="0.3">
      <c r="A1808" s="161"/>
      <c r="B1808" s="107"/>
      <c r="C1808" s="111"/>
      <c r="D1808" s="113"/>
      <c r="E1808" s="63" t="s">
        <v>1655</v>
      </c>
      <c r="F1808" s="150"/>
      <c r="G1808" s="107"/>
      <c r="H1808" s="95"/>
    </row>
    <row r="1809" spans="1:8" x14ac:dyDescent="0.3">
      <c r="A1809" s="161">
        <f>1</f>
        <v>1</v>
      </c>
      <c r="B1809" s="107" t="s">
        <v>1628</v>
      </c>
      <c r="C1809" s="111">
        <f>'04a_Box_Dims'!$AE34</f>
        <v>10</v>
      </c>
      <c r="D1809" s="113"/>
      <c r="E1809" s="63" t="s">
        <v>1656</v>
      </c>
      <c r="F1809" s="150"/>
      <c r="G1809" s="107"/>
      <c r="H1809" s="95"/>
    </row>
    <row r="1810" spans="1:8" x14ac:dyDescent="0.3">
      <c r="A1810" s="161"/>
      <c r="B1810" s="107"/>
      <c r="C1810" s="111">
        <f>'04a_Box_Dims'!$J34+2*BX_work</f>
        <v>9.65</v>
      </c>
      <c r="D1810" s="113"/>
      <c r="E1810" s="63"/>
      <c r="F1810" s="150"/>
      <c r="G1810" s="107"/>
      <c r="H1810" s="95"/>
    </row>
    <row r="1811" spans="1:8" x14ac:dyDescent="0.3">
      <c r="A1811" s="161"/>
      <c r="B1811" s="107"/>
      <c r="C1811" s="111">
        <f>'04a_Box_Dims'!$L34+BX_blind+BX_exX</f>
        <v>3.9</v>
      </c>
      <c r="D1811" s="113">
        <f>$A1809*$C1809*$C1810*$C1811</f>
        <v>376.34999999999997</v>
      </c>
      <c r="E1811" s="63"/>
      <c r="F1811" s="150"/>
      <c r="G1811" s="107"/>
      <c r="H1811" s="95"/>
    </row>
    <row r="1812" spans="1:8" x14ac:dyDescent="0.3">
      <c r="A1812" s="161">
        <f>2</f>
        <v>2</v>
      </c>
      <c r="B1812" s="107" t="s">
        <v>1628</v>
      </c>
      <c r="C1812" s="111">
        <f>'04a_Box_Dims'!$O34</f>
        <v>1.5</v>
      </c>
      <c r="D1812" s="113"/>
      <c r="E1812" s="63" t="s">
        <v>1657</v>
      </c>
      <c r="F1812" s="150"/>
      <c r="G1812" s="107"/>
      <c r="H1812" s="95"/>
    </row>
    <row r="1813" spans="1:8" x14ac:dyDescent="0.3">
      <c r="A1813" s="161"/>
      <c r="B1813" s="107"/>
      <c r="C1813" s="111">
        <f>'04a_Box_Dims'!$Q34</f>
        <v>10.55</v>
      </c>
      <c r="D1813" s="113"/>
      <c r="E1813" s="63"/>
      <c r="F1813" s="150"/>
      <c r="G1813" s="107"/>
      <c r="H1813" s="95"/>
    </row>
    <row r="1814" spans="1:8" x14ac:dyDescent="0.3">
      <c r="A1814" s="161"/>
      <c r="B1814" s="107"/>
      <c r="C1814" s="111">
        <f>'04a_Box_Dims'!$P34+BX_blind+BX_exX</f>
        <v>0.55000000000000004</v>
      </c>
      <c r="D1814" s="113">
        <f>$A1812*$C1812*$C1813*$C1814</f>
        <v>17.407500000000002</v>
      </c>
      <c r="E1814" s="63"/>
      <c r="F1814" s="150"/>
      <c r="G1814" s="107"/>
      <c r="H1814" s="95"/>
    </row>
    <row r="1815" spans="1:8" x14ac:dyDescent="0.3">
      <c r="A1815" s="161">
        <f>2</f>
        <v>2</v>
      </c>
      <c r="B1815" s="107" t="s">
        <v>1628</v>
      </c>
      <c r="C1815" s="111">
        <f>'04a_Box_Dims'!$R34</f>
        <v>9.0500000000000007</v>
      </c>
      <c r="D1815" s="113"/>
      <c r="E1815" s="63" t="s">
        <v>1658</v>
      </c>
      <c r="F1815" s="150"/>
      <c r="G1815" s="107"/>
      <c r="H1815" s="95"/>
    </row>
    <row r="1816" spans="1:8" x14ac:dyDescent="0.3">
      <c r="A1816" s="161"/>
      <c r="B1816" s="107"/>
      <c r="C1816" s="111">
        <f>'04a_Box_Dims'!$S34</f>
        <v>0.2</v>
      </c>
      <c r="D1816" s="113"/>
      <c r="E1816" s="63"/>
      <c r="F1816" s="150"/>
      <c r="G1816" s="107"/>
      <c r="H1816" s="95"/>
    </row>
    <row r="1817" spans="1:8" x14ac:dyDescent="0.3">
      <c r="A1817" s="161"/>
      <c r="B1817" s="107"/>
      <c r="C1817" s="111">
        <f>'04a_Box_Dims'!$T34+BX_blind</f>
        <v>0.5</v>
      </c>
      <c r="D1817" s="113">
        <f>$A1815*$C1815*$C1816*$C1817</f>
        <v>1.8100000000000003</v>
      </c>
      <c r="E1817" s="63"/>
      <c r="F1817" s="150"/>
      <c r="G1817" s="107"/>
      <c r="H1817" s="95"/>
    </row>
    <row r="1818" spans="1:8" x14ac:dyDescent="0.3">
      <c r="A1818" s="161">
        <f>4</f>
        <v>4</v>
      </c>
      <c r="B1818" s="107" t="s">
        <v>1628</v>
      </c>
      <c r="C1818" s="111">
        <f>'04a_Box_Dims'!$Z34</f>
        <v>2.1213203435596424</v>
      </c>
      <c r="D1818" s="113"/>
      <c r="E1818" s="63" t="s">
        <v>1659</v>
      </c>
      <c r="F1818" s="150"/>
      <c r="G1818" s="107"/>
      <c r="H1818" s="95"/>
    </row>
    <row r="1819" spans="1:8" x14ac:dyDescent="0.3">
      <c r="A1819" s="161"/>
      <c r="B1819" s="107"/>
      <c r="C1819" s="111">
        <f>'04a_Box_Dims'!$AC34</f>
        <v>0.9</v>
      </c>
      <c r="D1819" s="113"/>
      <c r="E1819" s="63"/>
      <c r="F1819" s="150"/>
      <c r="G1819" s="107"/>
      <c r="H1819" s="95"/>
    </row>
    <row r="1820" spans="1:8" x14ac:dyDescent="0.3">
      <c r="A1820" s="161"/>
      <c r="B1820" s="107"/>
      <c r="C1820" s="111">
        <f>'04a_Box_Dims'!$AD34+BX_blind</f>
        <v>0.4</v>
      </c>
      <c r="D1820" s="113">
        <f>$A1818*$C1818*$C1819*$C1820</f>
        <v>3.0547012947258851</v>
      </c>
      <c r="E1820" s="63"/>
      <c r="F1820" s="150"/>
      <c r="G1820" s="107"/>
      <c r="H1820" s="95"/>
    </row>
    <row r="1821" spans="1:8" x14ac:dyDescent="0.3">
      <c r="A1821" s="161"/>
      <c r="B1821" s="107"/>
      <c r="C1821" s="111"/>
      <c r="D1821" s="113">
        <f>SUM($D$1809:$D$1820)</f>
        <v>398.62220129472587</v>
      </c>
      <c r="E1821" s="63" t="s">
        <v>1660</v>
      </c>
      <c r="F1821" s="150">
        <f>ROUND($D1821,0)</f>
        <v>399</v>
      </c>
      <c r="G1821" s="107" t="s">
        <v>1661</v>
      </c>
      <c r="H1821" s="95"/>
    </row>
    <row r="1822" spans="1:8" x14ac:dyDescent="0.3">
      <c r="A1822" s="161"/>
      <c r="B1822" s="107"/>
      <c r="C1822" s="111"/>
      <c r="D1822" s="113"/>
      <c r="E1822" s="63"/>
      <c r="F1822" s="150"/>
      <c r="G1822" s="107"/>
      <c r="H1822" s="95"/>
    </row>
    <row r="1823" spans="1:8" x14ac:dyDescent="0.3">
      <c r="A1823" s="161"/>
      <c r="B1823" s="107"/>
      <c r="C1823" s="111"/>
      <c r="D1823" s="113"/>
      <c r="E1823" s="149" t="s">
        <v>1323</v>
      </c>
      <c r="F1823" s="150"/>
      <c r="G1823" s="107"/>
      <c r="H1823" s="95"/>
    </row>
    <row r="1824" spans="1:8" x14ac:dyDescent="0.3">
      <c r="A1824" s="161"/>
      <c r="B1824" s="107"/>
      <c r="C1824" s="111"/>
      <c r="D1824" s="113"/>
      <c r="E1824" s="63" t="s">
        <v>1662</v>
      </c>
      <c r="F1824" s="150"/>
      <c r="G1824" s="107"/>
      <c r="H1824" s="95"/>
    </row>
    <row r="1825" spans="1:8" x14ac:dyDescent="0.3">
      <c r="A1825" s="161">
        <f>1</f>
        <v>1</v>
      </c>
      <c r="B1825" s="107" t="s">
        <v>1628</v>
      </c>
      <c r="C1825" s="111">
        <f>'04a_Box_Dims'!$AE34</f>
        <v>10</v>
      </c>
      <c r="D1825" s="113"/>
      <c r="E1825" s="63" t="s">
        <v>1663</v>
      </c>
      <c r="F1825" s="150"/>
      <c r="G1825" s="107"/>
      <c r="H1825" s="95"/>
    </row>
    <row r="1826" spans="1:8" x14ac:dyDescent="0.3">
      <c r="A1826" s="161"/>
      <c r="B1826" s="107"/>
      <c r="C1826" s="111">
        <f>'04a_Box_Dims'!$J34</f>
        <v>9.0500000000000007</v>
      </c>
      <c r="D1826" s="113"/>
      <c r="E1826" s="63"/>
      <c r="F1826" s="150"/>
      <c r="G1826" s="107"/>
      <c r="H1826" s="95"/>
    </row>
    <row r="1827" spans="1:8" x14ac:dyDescent="0.3">
      <c r="A1827" s="161"/>
      <c r="B1827" s="107"/>
      <c r="C1827" s="111">
        <f>BX_blind</f>
        <v>0.05</v>
      </c>
      <c r="D1827" s="113">
        <f>$A1825*$C1825*$C1826*$C1827</f>
        <v>4.5250000000000004</v>
      </c>
      <c r="E1827" s="63"/>
      <c r="F1827" s="150"/>
      <c r="G1827" s="107"/>
      <c r="H1827" s="95"/>
    </row>
    <row r="1828" spans="1:8" x14ac:dyDescent="0.3">
      <c r="A1828" s="161">
        <f>2</f>
        <v>2</v>
      </c>
      <c r="B1828" s="107" t="s">
        <v>1628</v>
      </c>
      <c r="C1828" s="111">
        <f>'04a_Box_Dims'!$O34</f>
        <v>1.5</v>
      </c>
      <c r="D1828" s="113"/>
      <c r="E1828" s="63" t="s">
        <v>1657</v>
      </c>
      <c r="F1828" s="150"/>
      <c r="G1828" s="107"/>
      <c r="H1828" s="95"/>
    </row>
    <row r="1829" spans="1:8" x14ac:dyDescent="0.3">
      <c r="A1829" s="161"/>
      <c r="B1829" s="107"/>
      <c r="C1829" s="111">
        <f>'04a_Box_Dims'!$Q34</f>
        <v>10.55</v>
      </c>
      <c r="D1829" s="113"/>
      <c r="E1829" s="63"/>
      <c r="F1829" s="150"/>
      <c r="G1829" s="107"/>
      <c r="H1829" s="95"/>
    </row>
    <row r="1830" spans="1:8" x14ac:dyDescent="0.3">
      <c r="A1830" s="161"/>
      <c r="B1830" s="107"/>
      <c r="C1830" s="111">
        <f>BX_blind</f>
        <v>0.05</v>
      </c>
      <c r="D1830" s="113">
        <f>$A1828*$C1828*$C1829*$C1830</f>
        <v>1.5825000000000002</v>
      </c>
      <c r="E1830" s="63"/>
      <c r="F1830" s="150"/>
      <c r="G1830" s="107"/>
      <c r="H1830" s="95"/>
    </row>
    <row r="1831" spans="1:8" x14ac:dyDescent="0.3">
      <c r="A1831" s="161">
        <f>2</f>
        <v>2</v>
      </c>
      <c r="B1831" s="107" t="s">
        <v>1628</v>
      </c>
      <c r="C1831" s="111">
        <f>'04a_Box_Dims'!$R34</f>
        <v>9.0500000000000007</v>
      </c>
      <c r="D1831" s="113"/>
      <c r="E1831" s="63" t="s">
        <v>1658</v>
      </c>
      <c r="F1831" s="150"/>
      <c r="G1831" s="107"/>
      <c r="H1831" s="95"/>
    </row>
    <row r="1832" spans="1:8" x14ac:dyDescent="0.3">
      <c r="A1832" s="161"/>
      <c r="B1832" s="107"/>
      <c r="C1832" s="111">
        <f>'04a_Box_Dims'!$S34</f>
        <v>0.2</v>
      </c>
      <c r="D1832" s="113"/>
      <c r="E1832" s="63"/>
      <c r="F1832" s="150"/>
      <c r="G1832" s="107"/>
      <c r="H1832" s="95"/>
    </row>
    <row r="1833" spans="1:8" x14ac:dyDescent="0.3">
      <c r="A1833" s="161"/>
      <c r="B1833" s="107"/>
      <c r="C1833" s="111">
        <f>BX_blind</f>
        <v>0.05</v>
      </c>
      <c r="D1833" s="113">
        <f>$A1831*$C1831*$C1832*$C1833</f>
        <v>0.18100000000000005</v>
      </c>
      <c r="E1833" s="63"/>
      <c r="F1833" s="150"/>
      <c r="G1833" s="107"/>
      <c r="H1833" s="95"/>
    </row>
    <row r="1834" spans="1:8" x14ac:dyDescent="0.3">
      <c r="A1834" s="161">
        <f>4</f>
        <v>4</v>
      </c>
      <c r="B1834" s="107" t="s">
        <v>1628</v>
      </c>
      <c r="C1834" s="111">
        <f>'04a_Box_Dims'!$Z34</f>
        <v>2.1213203435596424</v>
      </c>
      <c r="D1834" s="113"/>
      <c r="E1834" s="63" t="s">
        <v>1659</v>
      </c>
      <c r="F1834" s="150"/>
      <c r="G1834" s="107"/>
      <c r="H1834" s="95"/>
    </row>
    <row r="1835" spans="1:8" x14ac:dyDescent="0.3">
      <c r="A1835" s="161"/>
      <c r="B1835" s="107"/>
      <c r="C1835" s="111">
        <f>'04a_Box_Dims'!$AC34</f>
        <v>0.9</v>
      </c>
      <c r="D1835" s="113"/>
      <c r="E1835" s="63"/>
      <c r="F1835" s="150"/>
      <c r="G1835" s="107"/>
      <c r="H1835" s="95"/>
    </row>
    <row r="1836" spans="1:8" x14ac:dyDescent="0.3">
      <c r="A1836" s="161"/>
      <c r="B1836" s="107"/>
      <c r="C1836" s="111">
        <f>BX_blind</f>
        <v>0.05</v>
      </c>
      <c r="D1836" s="113">
        <f>$A1834*$C1834*$C1835*$C1836</f>
        <v>0.38183766184073564</v>
      </c>
      <c r="E1836" s="63"/>
      <c r="F1836" s="150"/>
      <c r="G1836" s="107"/>
      <c r="H1836" s="95"/>
    </row>
    <row r="1837" spans="1:8" x14ac:dyDescent="0.3">
      <c r="A1837" s="161"/>
      <c r="B1837" s="107"/>
      <c r="C1837" s="111"/>
      <c r="D1837" s="113">
        <f>SUM($D$1825:$D$1836)</f>
        <v>6.6703376618407368</v>
      </c>
      <c r="E1837" s="63" t="s">
        <v>1660</v>
      </c>
      <c r="F1837" s="150">
        <f>ROUND($D1837,2)</f>
        <v>6.67</v>
      </c>
      <c r="G1837" s="107" t="s">
        <v>1661</v>
      </c>
      <c r="H1837" s="95"/>
    </row>
    <row r="1838" spans="1:8" x14ac:dyDescent="0.3">
      <c r="A1838" s="161"/>
      <c r="B1838" s="107"/>
      <c r="C1838" s="111"/>
      <c r="D1838" s="113"/>
      <c r="E1838" s="63"/>
      <c r="F1838" s="150"/>
      <c r="G1838" s="107"/>
      <c r="H1838" s="95"/>
    </row>
    <row r="1839" spans="1:8" x14ac:dyDescent="0.3">
      <c r="A1839" s="161"/>
      <c r="B1839" s="107"/>
      <c r="C1839" s="111"/>
      <c r="D1839" s="113"/>
      <c r="E1839" s="149" t="s">
        <v>1324</v>
      </c>
      <c r="F1839" s="150"/>
      <c r="G1839" s="107"/>
      <c r="H1839" s="95"/>
    </row>
    <row r="1840" spans="1:8" x14ac:dyDescent="0.3">
      <c r="A1840" s="161"/>
      <c r="B1840" s="107"/>
      <c r="C1840" s="111"/>
      <c r="D1840" s="113"/>
      <c r="E1840" s="63" t="s">
        <v>1664</v>
      </c>
      <c r="F1840" s="150"/>
      <c r="G1840" s="107"/>
      <c r="H1840" s="95"/>
    </row>
    <row r="1841" spans="1:8" x14ac:dyDescent="0.3">
      <c r="A1841" s="161"/>
      <c r="B1841" s="107"/>
      <c r="C1841" s="111"/>
      <c r="D1841" s="113">
        <f>$D1837</f>
        <v>6.6703376618407368</v>
      </c>
      <c r="E1841" s="63" t="s">
        <v>1665</v>
      </c>
      <c r="F1841" s="150">
        <f>$F1837</f>
        <v>6.67</v>
      </c>
      <c r="G1841" s="107" t="s">
        <v>1661</v>
      </c>
      <c r="H1841" s="95"/>
    </row>
    <row r="1842" spans="1:8" x14ac:dyDescent="0.3">
      <c r="A1842" s="161"/>
      <c r="B1842" s="107"/>
      <c r="C1842" s="111"/>
      <c r="D1842" s="113"/>
      <c r="E1842" s="63"/>
      <c r="F1842" s="150"/>
      <c r="G1842" s="107"/>
      <c r="H1842" s="95"/>
    </row>
    <row r="1843" spans="1:8" x14ac:dyDescent="0.3">
      <c r="A1843" s="161"/>
      <c r="B1843" s="107"/>
      <c r="C1843" s="111"/>
      <c r="D1843" s="113"/>
      <c r="E1843" s="149" t="s">
        <v>1455</v>
      </c>
      <c r="F1843" s="150"/>
      <c r="G1843" s="107"/>
      <c r="H1843" s="95"/>
    </row>
    <row r="1844" spans="1:8" x14ac:dyDescent="0.3">
      <c r="A1844" s="161"/>
      <c r="B1844" s="107"/>
      <c r="C1844" s="111"/>
      <c r="D1844" s="113"/>
      <c r="E1844" s="63" t="s">
        <v>1666</v>
      </c>
      <c r="F1844" s="150"/>
      <c r="G1844" s="107"/>
      <c r="H1844" s="95"/>
    </row>
    <row r="1845" spans="1:8" x14ac:dyDescent="0.3">
      <c r="A1845" s="161">
        <f>1</f>
        <v>1</v>
      </c>
      <c r="B1845" s="107" t="s">
        <v>1628</v>
      </c>
      <c r="C1845" s="111">
        <f>'04a_Box_Dims'!$AE34</f>
        <v>10</v>
      </c>
      <c r="D1845" s="113"/>
      <c r="E1845" s="63" t="s">
        <v>1667</v>
      </c>
      <c r="F1845" s="150"/>
      <c r="G1845" s="107"/>
      <c r="H1845" s="95"/>
    </row>
    <row r="1846" spans="1:8" x14ac:dyDescent="0.3">
      <c r="A1846" s="161"/>
      <c r="B1846" s="107"/>
      <c r="C1846" s="111">
        <f>'04a_Box_Dims'!$J34</f>
        <v>9.0500000000000007</v>
      </c>
      <c r="D1846" s="113"/>
      <c r="E1846" s="63"/>
      <c r="F1846" s="150"/>
      <c r="G1846" s="107"/>
      <c r="H1846" s="95"/>
    </row>
    <row r="1847" spans="1:8" x14ac:dyDescent="0.3">
      <c r="A1847" s="161"/>
      <c r="B1847" s="107"/>
      <c r="C1847" s="111">
        <f>'04a_Box_Dims'!$I34</f>
        <v>0.35000000000000003</v>
      </c>
      <c r="D1847" s="113">
        <f>$A1845*$C1845*$C1846*$C1847</f>
        <v>31.675000000000004</v>
      </c>
      <c r="E1847" s="63"/>
      <c r="F1847" s="150"/>
      <c r="G1847" s="107"/>
      <c r="H1847" s="95">
        <f>'04a_Box_Dims'!$I34</f>
        <v>0.35000000000000003</v>
      </c>
    </row>
    <row r="1848" spans="1:8" x14ac:dyDescent="0.3">
      <c r="A1848" s="161">
        <f>2</f>
        <v>2</v>
      </c>
      <c r="B1848" s="107" t="s">
        <v>1628</v>
      </c>
      <c r="C1848" s="111">
        <f>'04a_Box_Dims'!$O34</f>
        <v>1.5</v>
      </c>
      <c r="D1848" s="113"/>
      <c r="E1848" s="63" t="s">
        <v>1657</v>
      </c>
      <c r="F1848" s="150"/>
      <c r="G1848" s="107"/>
      <c r="H1848" s="95"/>
    </row>
    <row r="1849" spans="1:8" x14ac:dyDescent="0.3">
      <c r="A1849" s="161"/>
      <c r="B1849" s="107"/>
      <c r="C1849" s="111">
        <f>'04a_Box_Dims'!$Q34</f>
        <v>10.55</v>
      </c>
      <c r="D1849" s="113"/>
      <c r="E1849" s="63"/>
      <c r="F1849" s="150"/>
      <c r="G1849" s="107"/>
      <c r="H1849" s="95"/>
    </row>
    <row r="1850" spans="1:8" x14ac:dyDescent="0.3">
      <c r="A1850" s="161"/>
      <c r="B1850" s="107"/>
      <c r="C1850" s="111">
        <f>'04a_Box_Dims'!$P34</f>
        <v>0.35000000000000003</v>
      </c>
      <c r="D1850" s="113">
        <f>$A1848*$C1848*$C1849*$C1850</f>
        <v>11.077500000000002</v>
      </c>
      <c r="E1850" s="63"/>
      <c r="F1850" s="150"/>
      <c r="G1850" s="107"/>
      <c r="H1850" s="95">
        <f>'04a_Box_Dims'!$P34</f>
        <v>0.35000000000000003</v>
      </c>
    </row>
    <row r="1851" spans="1:8" x14ac:dyDescent="0.3">
      <c r="A1851" s="161">
        <f>2</f>
        <v>2</v>
      </c>
      <c r="B1851" s="107" t="s">
        <v>1628</v>
      </c>
      <c r="C1851" s="111">
        <f>'04a_Box_Dims'!$R34</f>
        <v>9.0500000000000007</v>
      </c>
      <c r="D1851" s="113"/>
      <c r="E1851" s="63" t="s">
        <v>1658</v>
      </c>
      <c r="F1851" s="150"/>
      <c r="G1851" s="107"/>
      <c r="H1851" s="95"/>
    </row>
    <row r="1852" spans="1:8" x14ac:dyDescent="0.3">
      <c r="A1852" s="161"/>
      <c r="B1852" s="107"/>
      <c r="C1852" s="111">
        <f>'04a_Box_Dims'!$S34</f>
        <v>0.2</v>
      </c>
      <c r="D1852" s="113"/>
      <c r="E1852" s="63"/>
      <c r="F1852" s="150"/>
      <c r="G1852" s="107"/>
      <c r="H1852" s="95"/>
    </row>
    <row r="1853" spans="1:8" x14ac:dyDescent="0.3">
      <c r="A1853" s="161"/>
      <c r="B1853" s="107"/>
      <c r="C1853" s="111">
        <f>'04a_Box_Dims'!$T34</f>
        <v>0.45</v>
      </c>
      <c r="D1853" s="113">
        <f>$A1851*$C1851*$C1852*$C1853</f>
        <v>1.6290000000000002</v>
      </c>
      <c r="E1853" s="63"/>
      <c r="F1853" s="150"/>
      <c r="G1853" s="107"/>
      <c r="H1853" s="95">
        <f>'04a_Box_Dims'!$S34</f>
        <v>0.2</v>
      </c>
    </row>
    <row r="1854" spans="1:8" x14ac:dyDescent="0.3">
      <c r="A1854" s="161">
        <f>4</f>
        <v>4</v>
      </c>
      <c r="B1854" s="107" t="s">
        <v>1628</v>
      </c>
      <c r="C1854" s="111">
        <f>'04a_Box_Dims'!$Z34</f>
        <v>2.1213203435596424</v>
      </c>
      <c r="D1854" s="113"/>
      <c r="E1854" s="63" t="s">
        <v>1659</v>
      </c>
      <c r="F1854" s="150"/>
      <c r="G1854" s="107"/>
      <c r="H1854" s="95"/>
    </row>
    <row r="1855" spans="1:8" x14ac:dyDescent="0.3">
      <c r="A1855" s="161"/>
      <c r="B1855" s="107"/>
      <c r="C1855" s="111">
        <f>'04a_Box_Dims'!$AC34</f>
        <v>0.9</v>
      </c>
      <c r="D1855" s="113"/>
      <c r="E1855" s="63"/>
      <c r="F1855" s="150"/>
      <c r="G1855" s="107"/>
      <c r="H1855" s="95"/>
    </row>
    <row r="1856" spans="1:8" x14ac:dyDescent="0.3">
      <c r="A1856" s="161"/>
      <c r="B1856" s="107"/>
      <c r="C1856" s="111">
        <f>'04a_Box_Dims'!$AD34</f>
        <v>0.35000000000000003</v>
      </c>
      <c r="D1856" s="113">
        <f>$A1854*$C1854*$C1855*$C1856</f>
        <v>2.6728636328851496</v>
      </c>
      <c r="E1856" s="63"/>
      <c r="F1856" s="150"/>
      <c r="G1856" s="107"/>
      <c r="H1856" s="95">
        <f>'04a_Box_Dims'!$AD34</f>
        <v>0.35000000000000003</v>
      </c>
    </row>
    <row r="1857" spans="1:8" x14ac:dyDescent="0.3">
      <c r="A1857" s="161"/>
      <c r="B1857" s="107"/>
      <c r="C1857" s="111"/>
      <c r="D1857" s="113">
        <f>SUM($D$1845:$D$1856)</f>
        <v>47.054363632885149</v>
      </c>
      <c r="E1857" s="63" t="s">
        <v>1660</v>
      </c>
      <c r="F1857" s="150">
        <f>ROUND($D1857,2)</f>
        <v>47.05</v>
      </c>
      <c r="G1857" s="107" t="s">
        <v>1661</v>
      </c>
      <c r="H1857" s="95"/>
    </row>
    <row r="1858" spans="1:8" x14ac:dyDescent="0.3">
      <c r="A1858" s="161"/>
      <c r="B1858" s="107"/>
      <c r="C1858" s="111"/>
      <c r="D1858" s="113"/>
      <c r="E1858" s="63"/>
      <c r="F1858" s="150"/>
      <c r="G1858" s="107"/>
      <c r="H1858" s="95"/>
    </row>
    <row r="1859" spans="1:8" x14ac:dyDescent="0.3">
      <c r="A1859" s="161"/>
      <c r="B1859" s="107"/>
      <c r="C1859" s="111"/>
      <c r="D1859" s="113"/>
      <c r="E1859" s="149" t="s">
        <v>1668</v>
      </c>
      <c r="F1859" s="150"/>
      <c r="G1859" s="107"/>
      <c r="H1859" s="95"/>
    </row>
    <row r="1860" spans="1:8" x14ac:dyDescent="0.3">
      <c r="A1860" s="161"/>
      <c r="B1860" s="107"/>
      <c r="C1860" s="111"/>
      <c r="D1860" s="113"/>
      <c r="E1860" s="63" t="s">
        <v>1669</v>
      </c>
      <c r="F1860" s="150"/>
      <c r="G1860" s="107"/>
      <c r="H1860" s="95"/>
    </row>
    <row r="1861" spans="1:8" x14ac:dyDescent="0.3">
      <c r="A1861" s="161"/>
      <c r="B1861" s="107"/>
      <c r="C1861" s="111"/>
      <c r="D1861" s="113">
        <f>SUMIF($H$1845:$H$1856,"&lt;=0.3",$D$1845:$D$1856)</f>
        <v>1.6290000000000002</v>
      </c>
      <c r="E1861" s="63" t="s">
        <v>1670</v>
      </c>
      <c r="F1861" s="150">
        <f>ROUND($D1861,2)</f>
        <v>1.63</v>
      </c>
      <c r="G1861" s="107" t="s">
        <v>1661</v>
      </c>
      <c r="H1861" s="95"/>
    </row>
    <row r="1862" spans="1:8" x14ac:dyDescent="0.3">
      <c r="A1862" s="161"/>
      <c r="B1862" s="107"/>
      <c r="C1862" s="111"/>
      <c r="D1862" s="113">
        <f>SUMIF($H$1845:$H$1856,"&gt;0.3",$D$1845:$D$1856)</f>
        <v>45.425363632885151</v>
      </c>
      <c r="E1862" s="63" t="s">
        <v>1671</v>
      </c>
      <c r="F1862" s="150">
        <f>ROUND($D1862,2)</f>
        <v>45.43</v>
      </c>
      <c r="G1862" s="107" t="s">
        <v>1661</v>
      </c>
      <c r="H1862" s="95"/>
    </row>
    <row r="1863" spans="1:8" x14ac:dyDescent="0.3">
      <c r="A1863" s="161"/>
      <c r="B1863" s="107"/>
      <c r="C1863" s="111"/>
      <c r="D1863" s="113"/>
      <c r="E1863" s="63"/>
      <c r="F1863" s="150"/>
      <c r="G1863" s="107"/>
      <c r="H1863" s="95"/>
    </row>
    <row r="1864" spans="1:8" x14ac:dyDescent="0.3">
      <c r="A1864" s="161"/>
      <c r="B1864" s="107"/>
      <c r="C1864" s="111"/>
      <c r="D1864" s="113"/>
      <c r="E1864" s="149" t="s">
        <v>1455</v>
      </c>
      <c r="F1864" s="150"/>
      <c r="G1864" s="107"/>
      <c r="H1864" s="95"/>
    </row>
    <row r="1865" spans="1:8" x14ac:dyDescent="0.3">
      <c r="A1865" s="161"/>
      <c r="B1865" s="107"/>
      <c r="C1865" s="111"/>
      <c r="D1865" s="113"/>
      <c r="E1865" s="63" t="s">
        <v>1672</v>
      </c>
      <c r="F1865" s="150"/>
      <c r="G1865" s="107"/>
      <c r="H1865" s="95"/>
    </row>
    <row r="1866" spans="1:8" x14ac:dyDescent="0.3">
      <c r="A1866" s="161">
        <f>1</f>
        <v>1</v>
      </c>
      <c r="B1866" s="107" t="s">
        <v>1628</v>
      </c>
      <c r="C1866" s="111">
        <f>'04a_Box_Dims'!$AE34</f>
        <v>10</v>
      </c>
      <c r="D1866" s="113"/>
      <c r="E1866" s="63" t="s">
        <v>1673</v>
      </c>
      <c r="F1866" s="150"/>
      <c r="G1866" s="107"/>
      <c r="H1866" s="95"/>
    </row>
    <row r="1867" spans="1:8" x14ac:dyDescent="0.3">
      <c r="A1867" s="161"/>
      <c r="B1867" s="107"/>
      <c r="C1867" s="111">
        <f>'04a_Box_Dims'!$J34</f>
        <v>9.0500000000000007</v>
      </c>
      <c r="D1867" s="113"/>
      <c r="E1867" s="63"/>
      <c r="F1867" s="150"/>
      <c r="G1867" s="107"/>
      <c r="H1867" s="95"/>
    </row>
    <row r="1868" spans="1:8" x14ac:dyDescent="0.3">
      <c r="A1868" s="161"/>
      <c r="B1868" s="107"/>
      <c r="C1868" s="111">
        <f>'04a_Box_Dims'!$I34</f>
        <v>0.35000000000000003</v>
      </c>
      <c r="D1868" s="113">
        <f>$A1866*$C1866*$C1867*$C1868</f>
        <v>31.675000000000004</v>
      </c>
      <c r="E1868" s="63"/>
      <c r="F1868" s="150"/>
      <c r="G1868" s="107"/>
      <c r="H1868" s="95">
        <f>'04a_Box_Dims'!$I34</f>
        <v>0.35000000000000003</v>
      </c>
    </row>
    <row r="1869" spans="1:8" x14ac:dyDescent="0.3">
      <c r="A1869" s="161"/>
      <c r="B1869" s="107"/>
      <c r="C1869" s="111"/>
      <c r="D1869" s="113">
        <f>SUM($D$1866:$D$1868)</f>
        <v>31.675000000000004</v>
      </c>
      <c r="E1869" s="63" t="s">
        <v>1660</v>
      </c>
      <c r="F1869" s="150">
        <f>ROUND($D1869,2)</f>
        <v>31.68</v>
      </c>
      <c r="G1869" s="107" t="s">
        <v>1661</v>
      </c>
      <c r="H1869" s="95"/>
    </row>
    <row r="1870" spans="1:8" x14ac:dyDescent="0.3">
      <c r="A1870" s="161"/>
      <c r="B1870" s="107"/>
      <c r="C1870" s="111"/>
      <c r="D1870" s="113"/>
      <c r="E1870" s="63"/>
      <c r="F1870" s="150"/>
      <c r="G1870" s="107"/>
      <c r="H1870" s="95"/>
    </row>
    <row r="1871" spans="1:8" x14ac:dyDescent="0.3">
      <c r="A1871" s="161"/>
      <c r="B1871" s="107"/>
      <c r="C1871" s="111"/>
      <c r="D1871" s="113"/>
      <c r="E1871" s="149" t="s">
        <v>1674</v>
      </c>
      <c r="F1871" s="150"/>
      <c r="G1871" s="107"/>
      <c r="H1871" s="95"/>
    </row>
    <row r="1872" spans="1:8" x14ac:dyDescent="0.3">
      <c r="A1872" s="161"/>
      <c r="B1872" s="107"/>
      <c r="C1872" s="111"/>
      <c r="D1872" s="113"/>
      <c r="E1872" s="63" t="s">
        <v>1675</v>
      </c>
      <c r="F1872" s="150"/>
      <c r="G1872" s="107"/>
      <c r="H1872" s="95"/>
    </row>
    <row r="1873" spans="1:8" x14ac:dyDescent="0.3">
      <c r="A1873" s="161"/>
      <c r="B1873" s="107"/>
      <c r="C1873" s="111"/>
      <c r="D1873" s="113">
        <f>SUMIF($H$1866:$H$1868,"&lt;=0.3",$D$1866:$D$1868)</f>
        <v>0</v>
      </c>
      <c r="E1873" s="63" t="s">
        <v>1670</v>
      </c>
      <c r="F1873" s="150">
        <f>ROUND($D1873,2)</f>
        <v>0</v>
      </c>
      <c r="G1873" s="107" t="s">
        <v>1661</v>
      </c>
      <c r="H1873" s="95"/>
    </row>
    <row r="1874" spans="1:8" x14ac:dyDescent="0.3">
      <c r="A1874" s="161"/>
      <c r="B1874" s="107"/>
      <c r="C1874" s="111"/>
      <c r="D1874" s="113">
        <f>SUMIF($H$1866:$H$1868,"&gt;0.3",$D$1866:$D$1868)</f>
        <v>31.675000000000004</v>
      </c>
      <c r="E1874" s="63" t="s">
        <v>1671</v>
      </c>
      <c r="F1874" s="150">
        <f>ROUND($D1874,2)</f>
        <v>31.68</v>
      </c>
      <c r="G1874" s="107" t="s">
        <v>1661</v>
      </c>
      <c r="H1874" s="95"/>
    </row>
    <row r="1875" spans="1:8" x14ac:dyDescent="0.3">
      <c r="A1875" s="161"/>
      <c r="B1875" s="107"/>
      <c r="C1875" s="111"/>
      <c r="D1875" s="113"/>
      <c r="E1875" s="63"/>
      <c r="F1875" s="150"/>
      <c r="G1875" s="107"/>
      <c r="H1875" s="95"/>
    </row>
    <row r="1876" spans="1:8" x14ac:dyDescent="0.3">
      <c r="A1876" s="161"/>
      <c r="B1876" s="107"/>
      <c r="C1876" s="111"/>
      <c r="D1876" s="113"/>
      <c r="E1876" s="149" t="s">
        <v>1455</v>
      </c>
      <c r="F1876" s="150"/>
      <c r="G1876" s="107"/>
      <c r="H1876" s="95"/>
    </row>
    <row r="1877" spans="1:8" x14ac:dyDescent="0.3">
      <c r="A1877" s="161"/>
      <c r="B1877" s="107"/>
      <c r="C1877" s="111"/>
      <c r="D1877" s="113"/>
      <c r="E1877" s="63" t="s">
        <v>1676</v>
      </c>
      <c r="F1877" s="150"/>
      <c r="G1877" s="107"/>
      <c r="H1877" s="95"/>
    </row>
    <row r="1878" spans="1:8" x14ac:dyDescent="0.3">
      <c r="A1878" s="161">
        <f>2</f>
        <v>2</v>
      </c>
      <c r="B1878" s="107" t="s">
        <v>1628</v>
      </c>
      <c r="C1878" s="111">
        <f>'04a_Box_Dims'!$AE34</f>
        <v>10</v>
      </c>
      <c r="D1878" s="113"/>
      <c r="E1878" s="63" t="s">
        <v>1677</v>
      </c>
      <c r="F1878" s="150"/>
      <c r="G1878" s="107"/>
      <c r="H1878" s="95"/>
    </row>
    <row r="1879" spans="1:8" x14ac:dyDescent="0.3">
      <c r="A1879" s="161"/>
      <c r="B1879" s="107"/>
      <c r="C1879" s="111">
        <f>'04a_Box_Dims'!$E34</f>
        <v>3</v>
      </c>
      <c r="D1879" s="113"/>
      <c r="E1879" s="63"/>
      <c r="F1879" s="150"/>
      <c r="G1879" s="107"/>
      <c r="H1879" s="95"/>
    </row>
    <row r="1880" spans="1:8" x14ac:dyDescent="0.3">
      <c r="A1880" s="161"/>
      <c r="B1880" s="107"/>
      <c r="C1880" s="111">
        <f>'04a_Box_Dims'!$I34</f>
        <v>0.35000000000000003</v>
      </c>
      <c r="D1880" s="113">
        <f>$A1878*$C1878*$C1879*$C1880</f>
        <v>21.000000000000004</v>
      </c>
      <c r="E1880" s="63"/>
      <c r="F1880" s="150"/>
      <c r="G1880" s="107"/>
      <c r="H1880" s="95">
        <f>'04a_Box_Dims'!$I34</f>
        <v>0.35000000000000003</v>
      </c>
    </row>
    <row r="1881" spans="1:8" x14ac:dyDescent="0.3">
      <c r="A1881" s="161">
        <f>'04a_Box_Dims'!$C34-1</f>
        <v>1</v>
      </c>
      <c r="B1881" s="107" t="s">
        <v>1628</v>
      </c>
      <c r="C1881" s="111">
        <f>'04a_Box_Dims'!$AE34</f>
        <v>10</v>
      </c>
      <c r="D1881" s="113"/>
      <c r="E1881" s="63" t="s">
        <v>1678</v>
      </c>
      <c r="F1881" s="150"/>
      <c r="G1881" s="107"/>
      <c r="H1881" s="95"/>
    </row>
    <row r="1882" spans="1:8" x14ac:dyDescent="0.3">
      <c r="A1882" s="161"/>
      <c r="B1882" s="107"/>
      <c r="C1882" s="111">
        <f>'04a_Box_Dims'!$E34</f>
        <v>3</v>
      </c>
      <c r="D1882" s="113"/>
      <c r="E1882" s="63"/>
      <c r="F1882" s="150"/>
      <c r="G1882" s="107"/>
      <c r="H1882" s="95"/>
    </row>
    <row r="1883" spans="1:8" x14ac:dyDescent="0.3">
      <c r="A1883" s="161"/>
      <c r="B1883" s="107"/>
      <c r="C1883" s="111">
        <f>'04a_Box_Dims'!$I34</f>
        <v>0.35000000000000003</v>
      </c>
      <c r="D1883" s="113">
        <f>$A1881*$C1881*$C1882*$C1883</f>
        <v>10.500000000000002</v>
      </c>
      <c r="E1883" s="63"/>
      <c r="F1883" s="150"/>
      <c r="G1883" s="107"/>
      <c r="H1883" s="95">
        <f>'04a_Box_Dims'!$I34</f>
        <v>0.35000000000000003</v>
      </c>
    </row>
    <row r="1884" spans="1:8" x14ac:dyDescent="0.3">
      <c r="A1884" s="161">
        <f>4*'04a_Box_Dims'!$C34</f>
        <v>8</v>
      </c>
      <c r="B1884" s="107" t="s">
        <v>1628</v>
      </c>
      <c r="C1884" s="111">
        <f>'04a_Box_Dims'!$AE34</f>
        <v>10</v>
      </c>
      <c r="D1884" s="113"/>
      <c r="E1884" s="63" t="s">
        <v>1679</v>
      </c>
      <c r="F1884" s="150"/>
      <c r="G1884" s="107"/>
      <c r="H1884" s="95"/>
    </row>
    <row r="1885" spans="1:8" x14ac:dyDescent="0.3">
      <c r="A1885" s="161"/>
      <c r="B1885" s="107"/>
      <c r="C1885" s="111">
        <f>'04a_Box_Dims'!$N34</f>
        <v>0.15</v>
      </c>
      <c r="D1885" s="113"/>
      <c r="E1885" s="63"/>
      <c r="F1885" s="150"/>
      <c r="G1885" s="107"/>
      <c r="H1885" s="95"/>
    </row>
    <row r="1886" spans="1:8" x14ac:dyDescent="0.3">
      <c r="A1886" s="161"/>
      <c r="B1886" s="107"/>
      <c r="C1886" s="111">
        <f>'04a_Box_Dims'!$N34/2</f>
        <v>7.4999999999999997E-2</v>
      </c>
      <c r="D1886" s="113">
        <f>$A1884*$C1884*$C1885*$C1886</f>
        <v>0.89999999999999991</v>
      </c>
      <c r="E1886" s="63"/>
      <c r="F1886" s="150"/>
      <c r="G1886" s="107"/>
      <c r="H1886" s="95">
        <f>'04a_Box_Dims'!$N34</f>
        <v>0.15</v>
      </c>
    </row>
    <row r="1887" spans="1:8" x14ac:dyDescent="0.3">
      <c r="A1887" s="161">
        <f>2</f>
        <v>2</v>
      </c>
      <c r="B1887" s="107" t="s">
        <v>1628</v>
      </c>
      <c r="C1887" s="111">
        <f>'04a_Box_Dims'!$J34</f>
        <v>9.0500000000000007</v>
      </c>
      <c r="D1887" s="113"/>
      <c r="E1887" s="63" t="s">
        <v>1680</v>
      </c>
      <c r="F1887" s="150"/>
      <c r="G1887" s="107"/>
      <c r="H1887" s="95"/>
    </row>
    <row r="1888" spans="1:8" x14ac:dyDescent="0.3">
      <c r="A1888" s="161"/>
      <c r="B1888" s="107"/>
      <c r="C1888" s="111">
        <f>'04a_Box_Dims'!$U34</f>
        <v>0.6</v>
      </c>
      <c r="D1888" s="113"/>
      <c r="E1888" s="63"/>
      <c r="F1888" s="150"/>
      <c r="G1888" s="107"/>
      <c r="H1888" s="95"/>
    </row>
    <row r="1889" spans="1:8" x14ac:dyDescent="0.3">
      <c r="A1889" s="161"/>
      <c r="B1889" s="107"/>
      <c r="C1889" s="111">
        <f>'04a_Box_Dims'!$V34</f>
        <v>0.35000000000000003</v>
      </c>
      <c r="D1889" s="113">
        <f>$A1887*$C1887*$C1888*$C1889</f>
        <v>3.8010000000000006</v>
      </c>
      <c r="E1889" s="63"/>
      <c r="F1889" s="150"/>
      <c r="G1889" s="107"/>
      <c r="H1889" s="95">
        <f>'04a_Box_Dims'!$V34</f>
        <v>0.35000000000000003</v>
      </c>
    </row>
    <row r="1890" spans="1:8" x14ac:dyDescent="0.3">
      <c r="A1890" s="161">
        <f>4</f>
        <v>4</v>
      </c>
      <c r="B1890" s="107" t="s">
        <v>1628</v>
      </c>
      <c r="C1890" s="111">
        <f>'04a_Box_Dims'!$Z34</f>
        <v>2.1213203435596424</v>
      </c>
      <c r="D1890" s="113"/>
      <c r="E1890" s="63" t="s">
        <v>1681</v>
      </c>
      <c r="F1890" s="150"/>
      <c r="G1890" s="107"/>
      <c r="H1890" s="95"/>
    </row>
    <row r="1891" spans="1:8" x14ac:dyDescent="0.3">
      <c r="A1891" s="161"/>
      <c r="B1891" s="107"/>
      <c r="C1891" s="111">
        <f>'04a_Box_Dims'!$Y34</f>
        <v>4.1928932188134524</v>
      </c>
      <c r="D1891" s="113"/>
      <c r="E1891" s="63"/>
      <c r="F1891" s="150"/>
      <c r="G1891" s="107"/>
      <c r="H1891" s="95"/>
    </row>
    <row r="1892" spans="1:8" x14ac:dyDescent="0.3">
      <c r="A1892" s="161"/>
      <c r="B1892" s="107"/>
      <c r="C1892" s="111">
        <f>'04a_Box_Dims'!$AB34</f>
        <v>0.41</v>
      </c>
      <c r="D1892" s="113">
        <f>$A1890*$C1890*$C1891*$C1892</f>
        <v>14.586930280845285</v>
      </c>
      <c r="E1892" s="63"/>
      <c r="F1892" s="150"/>
      <c r="G1892" s="107"/>
      <c r="H1892" s="95">
        <f>'04a_Box_Dims'!$AB34</f>
        <v>0.41</v>
      </c>
    </row>
    <row r="1893" spans="1:8" x14ac:dyDescent="0.3">
      <c r="A1893" s="161"/>
      <c r="B1893" s="107"/>
      <c r="C1893" s="111"/>
      <c r="D1893" s="113">
        <f>SUM($D$1878:$D$1892)</f>
        <v>50.787930280845295</v>
      </c>
      <c r="E1893" s="63" t="s">
        <v>1660</v>
      </c>
      <c r="F1893" s="150">
        <f>ROUND($D1893,2)</f>
        <v>50.79</v>
      </c>
      <c r="G1893" s="107" t="s">
        <v>1661</v>
      </c>
      <c r="H1893" s="95"/>
    </row>
    <row r="1894" spans="1:8" x14ac:dyDescent="0.3">
      <c r="A1894" s="161"/>
      <c r="B1894" s="107"/>
      <c r="C1894" s="111"/>
      <c r="D1894" s="113"/>
      <c r="E1894" s="63"/>
      <c r="F1894" s="150"/>
      <c r="G1894" s="107"/>
      <c r="H1894" s="95"/>
    </row>
    <row r="1895" spans="1:8" x14ac:dyDescent="0.3">
      <c r="A1895" s="161"/>
      <c r="B1895" s="107"/>
      <c r="C1895" s="111"/>
      <c r="D1895" s="113"/>
      <c r="E1895" s="149" t="s">
        <v>1682</v>
      </c>
      <c r="F1895" s="150"/>
      <c r="G1895" s="107"/>
      <c r="H1895" s="95"/>
    </row>
    <row r="1896" spans="1:8" x14ac:dyDescent="0.3">
      <c r="A1896" s="161"/>
      <c r="B1896" s="107"/>
      <c r="C1896" s="111"/>
      <c r="D1896" s="113"/>
      <c r="E1896" s="63" t="s">
        <v>1683</v>
      </c>
      <c r="F1896" s="150"/>
      <c r="G1896" s="107"/>
      <c r="H1896" s="95"/>
    </row>
    <row r="1897" spans="1:8" x14ac:dyDescent="0.3">
      <c r="A1897" s="161"/>
      <c r="B1897" s="107"/>
      <c r="C1897" s="111"/>
      <c r="D1897" s="113">
        <f>SUMIF($H$1878:$H$1892,"&lt;=0.3",$D$1878:$D$1892)</f>
        <v>0.89999999999999991</v>
      </c>
      <c r="E1897" s="63" t="s">
        <v>1670</v>
      </c>
      <c r="F1897" s="150">
        <f>ROUND($D1897,2)</f>
        <v>0.9</v>
      </c>
      <c r="G1897" s="107" t="s">
        <v>1661</v>
      </c>
      <c r="H1897" s="95"/>
    </row>
    <row r="1898" spans="1:8" x14ac:dyDescent="0.3">
      <c r="A1898" s="161"/>
      <c r="B1898" s="107"/>
      <c r="C1898" s="111"/>
      <c r="D1898" s="113">
        <f>SUMIF($H$1878:$H$1892,"&gt;0.3",$D$1878:$D$1892)</f>
        <v>49.887930280845296</v>
      </c>
      <c r="E1898" s="63" t="s">
        <v>1671</v>
      </c>
      <c r="F1898" s="150">
        <f>ROUND($D1898,2)</f>
        <v>49.89</v>
      </c>
      <c r="G1898" s="107" t="s">
        <v>1661</v>
      </c>
      <c r="H1898" s="95"/>
    </row>
    <row r="1899" spans="1:8" x14ac:dyDescent="0.3">
      <c r="A1899" s="161"/>
      <c r="B1899" s="107"/>
      <c r="C1899" s="111"/>
      <c r="D1899" s="113"/>
      <c r="E1899" s="63"/>
      <c r="F1899" s="150"/>
      <c r="G1899" s="107"/>
      <c r="H1899" s="95"/>
    </row>
    <row r="1900" spans="1:8" x14ac:dyDescent="0.3">
      <c r="A1900" s="161"/>
      <c r="B1900" s="107"/>
      <c r="C1900" s="111"/>
      <c r="D1900" s="113"/>
      <c r="E1900" s="149" t="s">
        <v>1445</v>
      </c>
      <c r="F1900" s="150"/>
      <c r="G1900" s="107"/>
      <c r="H1900" s="95"/>
    </row>
    <row r="1901" spans="1:8" x14ac:dyDescent="0.3">
      <c r="A1901" s="161"/>
      <c r="B1901" s="107"/>
      <c r="C1901" s="111"/>
      <c r="D1901" s="113"/>
      <c r="E1901" s="63" t="s">
        <v>1684</v>
      </c>
      <c r="F1901" s="150"/>
      <c r="G1901" s="107"/>
      <c r="H1901" s="95"/>
    </row>
    <row r="1902" spans="1:8" x14ac:dyDescent="0.3">
      <c r="A1902" s="161">
        <f>2</f>
        <v>2</v>
      </c>
      <c r="B1902" s="107" t="s">
        <v>1628</v>
      </c>
      <c r="C1902" s="111">
        <f>'04a_Box_Dims'!$AE34</f>
        <v>10</v>
      </c>
      <c r="D1902" s="113"/>
      <c r="E1902" s="63" t="s">
        <v>1685</v>
      </c>
      <c r="F1902" s="150"/>
      <c r="G1902" s="107"/>
      <c r="H1902" s="95"/>
    </row>
    <row r="1903" spans="1:8" x14ac:dyDescent="0.3">
      <c r="A1903" s="161"/>
      <c r="B1903" s="107"/>
      <c r="C1903" s="111">
        <f>'04a_Box_Dims'!$E34</f>
        <v>3</v>
      </c>
      <c r="D1903" s="113">
        <f>$A1902*$C1902*$C1903</f>
        <v>60</v>
      </c>
      <c r="E1903" s="63"/>
      <c r="F1903" s="150"/>
      <c r="G1903" s="107"/>
      <c r="H1903" s="95"/>
    </row>
    <row r="1904" spans="1:8" x14ac:dyDescent="0.3">
      <c r="A1904" s="161">
        <f>4</f>
        <v>4</v>
      </c>
      <c r="B1904" s="107" t="s">
        <v>1628</v>
      </c>
      <c r="C1904" s="111">
        <f>'04a_Box_Dims'!$Z34</f>
        <v>2.1213203435596424</v>
      </c>
      <c r="D1904" s="113"/>
      <c r="E1904" s="63" t="s">
        <v>1686</v>
      </c>
      <c r="F1904" s="150"/>
      <c r="G1904" s="107"/>
      <c r="H1904" s="95"/>
    </row>
    <row r="1905" spans="1:8" x14ac:dyDescent="0.3">
      <c r="A1905" s="161"/>
      <c r="B1905" s="107"/>
      <c r="C1905" s="111">
        <f>'04a_Box_Dims'!$Y34</f>
        <v>4.1928932188134524</v>
      </c>
      <c r="D1905" s="113">
        <f>$A1904*$C1904*$C1905</f>
        <v>35.577878733768991</v>
      </c>
      <c r="E1905" s="63"/>
      <c r="F1905" s="150"/>
      <c r="G1905" s="107"/>
      <c r="H1905" s="95"/>
    </row>
    <row r="1906" spans="1:8" x14ac:dyDescent="0.3">
      <c r="A1906" s="161">
        <f>2</f>
        <v>2</v>
      </c>
      <c r="B1906" s="107" t="s">
        <v>1628</v>
      </c>
      <c r="C1906" s="111">
        <f>'04a_Box_Dims'!$J34</f>
        <v>9.0500000000000007</v>
      </c>
      <c r="D1906" s="113"/>
      <c r="E1906" s="63" t="s">
        <v>1687</v>
      </c>
      <c r="F1906" s="150"/>
      <c r="G1906" s="107"/>
      <c r="H1906" s="95"/>
    </row>
    <row r="1907" spans="1:8" x14ac:dyDescent="0.3">
      <c r="A1907" s="161"/>
      <c r="B1907" s="107"/>
      <c r="C1907" s="111">
        <f>'04a_Box_Dims'!$U34</f>
        <v>0.6</v>
      </c>
      <c r="D1907" s="113">
        <f>$A1906*$C1906*$C1907</f>
        <v>10.860000000000001</v>
      </c>
      <c r="E1907" s="63"/>
      <c r="F1907" s="150"/>
      <c r="G1907" s="107"/>
      <c r="H1907" s="95"/>
    </row>
    <row r="1908" spans="1:8" x14ac:dyDescent="0.3">
      <c r="A1908" s="161"/>
      <c r="B1908" s="107"/>
      <c r="C1908" s="111"/>
      <c r="D1908" s="113">
        <f>SUM($D$1902:$D$1907)</f>
        <v>106.43787873376898</v>
      </c>
      <c r="E1908" s="63" t="s">
        <v>1660</v>
      </c>
      <c r="F1908" s="150">
        <f>ROUND($D1908,2)</f>
        <v>106.44</v>
      </c>
      <c r="G1908" s="107" t="s">
        <v>1688</v>
      </c>
      <c r="H1908" s="95"/>
    </row>
    <row r="1909" spans="1:8" x14ac:dyDescent="0.3">
      <c r="A1909" s="161"/>
      <c r="B1909" s="107"/>
      <c r="C1909" s="111"/>
      <c r="D1909" s="113"/>
      <c r="E1909" s="63"/>
      <c r="F1909" s="150"/>
      <c r="G1909" s="107"/>
      <c r="H1909" s="95"/>
    </row>
    <row r="1910" spans="1:8" x14ac:dyDescent="0.3">
      <c r="A1910" s="161"/>
      <c r="B1910" s="107"/>
      <c r="C1910" s="111"/>
      <c r="D1910" s="113"/>
      <c r="E1910" s="149" t="s">
        <v>1446</v>
      </c>
      <c r="F1910" s="150"/>
      <c r="G1910" s="107"/>
      <c r="H1910" s="95"/>
    </row>
    <row r="1911" spans="1:8" x14ac:dyDescent="0.3">
      <c r="A1911" s="161"/>
      <c r="B1911" s="107"/>
      <c r="C1911" s="111"/>
      <c r="D1911" s="113"/>
      <c r="E1911" s="63" t="s">
        <v>1689</v>
      </c>
      <c r="F1911" s="150"/>
      <c r="G1911" s="107"/>
      <c r="H1911" s="95"/>
    </row>
    <row r="1912" spans="1:8" x14ac:dyDescent="0.3">
      <c r="A1912" s="161">
        <f>2</f>
        <v>2</v>
      </c>
      <c r="B1912" s="107" t="s">
        <v>1628</v>
      </c>
      <c r="C1912" s="111">
        <f>'04a_Box_Dims'!$O34</f>
        <v>1.5</v>
      </c>
      <c r="D1912" s="113"/>
      <c r="E1912" s="63" t="s">
        <v>1690</v>
      </c>
      <c r="F1912" s="150"/>
      <c r="G1912" s="107"/>
      <c r="H1912" s="95"/>
    </row>
    <row r="1913" spans="1:8" x14ac:dyDescent="0.3">
      <c r="A1913" s="161"/>
      <c r="B1913" s="107"/>
      <c r="C1913" s="111">
        <f>'04a_Box_Dims'!$Q34</f>
        <v>10.55</v>
      </c>
      <c r="D1913" s="113">
        <f>$A1912*$C1912*$C1913</f>
        <v>31.650000000000002</v>
      </c>
      <c r="E1913" s="63"/>
      <c r="F1913" s="150"/>
      <c r="G1913" s="107"/>
      <c r="H1913" s="95"/>
    </row>
    <row r="1914" spans="1:8" x14ac:dyDescent="0.3">
      <c r="A1914" s="161"/>
      <c r="B1914" s="107"/>
      <c r="C1914" s="111"/>
      <c r="D1914" s="113">
        <f>SUM($D$1912:$D$1913)</f>
        <v>31.650000000000002</v>
      </c>
      <c r="E1914" s="63" t="s">
        <v>1660</v>
      </c>
      <c r="F1914" s="150">
        <f>ROUND($D1914,2)</f>
        <v>31.65</v>
      </c>
      <c r="G1914" s="107" t="s">
        <v>1688</v>
      </c>
      <c r="H1914" s="95"/>
    </row>
    <row r="1915" spans="1:8" x14ac:dyDescent="0.3">
      <c r="A1915" s="161"/>
      <c r="B1915" s="107"/>
      <c r="C1915" s="111"/>
      <c r="D1915" s="113"/>
      <c r="E1915" s="63"/>
      <c r="F1915" s="150"/>
      <c r="G1915" s="107"/>
      <c r="H1915" s="95"/>
    </row>
    <row r="1916" spans="1:8" x14ac:dyDescent="0.3">
      <c r="A1916" s="161"/>
      <c r="B1916" s="107"/>
      <c r="C1916" s="111"/>
      <c r="D1916" s="113"/>
      <c r="E1916" s="149" t="s">
        <v>1447</v>
      </c>
      <c r="F1916" s="150"/>
      <c r="G1916" s="107"/>
      <c r="H1916" s="95"/>
    </row>
    <row r="1917" spans="1:8" x14ac:dyDescent="0.3">
      <c r="A1917" s="161"/>
      <c r="B1917" s="107"/>
      <c r="C1917" s="111"/>
      <c r="D1917" s="113"/>
      <c r="E1917" s="63" t="s">
        <v>1691</v>
      </c>
      <c r="F1917" s="150"/>
      <c r="G1917" s="107"/>
      <c r="H1917" s="95"/>
    </row>
    <row r="1918" spans="1:8" x14ac:dyDescent="0.3">
      <c r="A1918" s="161">
        <f>4</f>
        <v>4</v>
      </c>
      <c r="B1918" s="107" t="s">
        <v>1628</v>
      </c>
      <c r="C1918" s="111">
        <f>'04a_Box_Dims'!$J34</f>
        <v>9.0500000000000007</v>
      </c>
      <c r="D1918" s="113"/>
      <c r="E1918" s="63" t="s">
        <v>1692</v>
      </c>
      <c r="F1918" s="150"/>
      <c r="G1918" s="107"/>
      <c r="H1918" s="95"/>
    </row>
    <row r="1919" spans="1:8" x14ac:dyDescent="0.3">
      <c r="A1919" s="161"/>
      <c r="B1919" s="107"/>
      <c r="C1919" s="111">
        <f>'04a_Box_Dims'!$I34</f>
        <v>0.35000000000000003</v>
      </c>
      <c r="D1919" s="113">
        <f>$A1918*$C1918*$C1919</f>
        <v>12.670000000000002</v>
      </c>
      <c r="E1919" s="63"/>
      <c r="F1919" s="150"/>
      <c r="G1919" s="107"/>
      <c r="H1919" s="95"/>
    </row>
    <row r="1920" spans="1:8" x14ac:dyDescent="0.3">
      <c r="A1920" s="161">
        <f>4</f>
        <v>4</v>
      </c>
      <c r="B1920" s="107" t="s">
        <v>1628</v>
      </c>
      <c r="C1920" s="111">
        <f>'04a_Box_Dims'!$O34</f>
        <v>1.5</v>
      </c>
      <c r="D1920" s="113"/>
      <c r="E1920" s="63" t="s">
        <v>1693</v>
      </c>
      <c r="F1920" s="150"/>
      <c r="G1920" s="107"/>
      <c r="H1920" s="95"/>
    </row>
    <row r="1921" spans="1:8" x14ac:dyDescent="0.3">
      <c r="A1921" s="161"/>
      <c r="B1921" s="107"/>
      <c r="C1921" s="111">
        <f>'04a_Box_Dims'!$P34</f>
        <v>0.35000000000000003</v>
      </c>
      <c r="D1921" s="113">
        <f>$A1920*$C1920*$C1921</f>
        <v>2.1</v>
      </c>
      <c r="E1921" s="63"/>
      <c r="F1921" s="150"/>
      <c r="G1921" s="107"/>
      <c r="H1921" s="95"/>
    </row>
    <row r="1922" spans="1:8" x14ac:dyDescent="0.3">
      <c r="A1922" s="161"/>
      <c r="B1922" s="107"/>
      <c r="C1922" s="111"/>
      <c r="D1922" s="113">
        <f>SUM($D$1918:$D$1921)</f>
        <v>14.770000000000001</v>
      </c>
      <c r="E1922" s="63" t="s">
        <v>1660</v>
      </c>
      <c r="F1922" s="150">
        <f>ROUND($D1922,2)</f>
        <v>14.77</v>
      </c>
      <c r="G1922" s="107" t="s">
        <v>1688</v>
      </c>
      <c r="H1922" s="95"/>
    </row>
    <row r="1923" spans="1:8" x14ac:dyDescent="0.3">
      <c r="A1923" s="161"/>
      <c r="B1923" s="107"/>
      <c r="C1923" s="111"/>
      <c r="D1923" s="113"/>
      <c r="E1923" s="63"/>
      <c r="F1923" s="150"/>
      <c r="G1923" s="107"/>
      <c r="H1923" s="95"/>
    </row>
    <row r="1924" spans="1:8" x14ac:dyDescent="0.3">
      <c r="A1924" s="161"/>
      <c r="B1924" s="107"/>
      <c r="C1924" s="111"/>
      <c r="D1924" s="113"/>
      <c r="E1924" s="149" t="s">
        <v>1448</v>
      </c>
      <c r="F1924" s="150"/>
      <c r="G1924" s="107"/>
      <c r="H1924" s="95"/>
    </row>
    <row r="1925" spans="1:8" x14ac:dyDescent="0.3">
      <c r="A1925" s="161"/>
      <c r="B1925" s="107"/>
      <c r="C1925" s="111"/>
      <c r="D1925" s="113"/>
      <c r="E1925" s="63" t="s">
        <v>1694</v>
      </c>
      <c r="F1925" s="150"/>
      <c r="G1925" s="107"/>
      <c r="H1925" s="95"/>
    </row>
    <row r="1926" spans="1:8" x14ac:dyDescent="0.3">
      <c r="A1926" s="161">
        <f>1</f>
        <v>1</v>
      </c>
      <c r="B1926" s="107" t="s">
        <v>1628</v>
      </c>
      <c r="C1926" s="111">
        <f>'04a_Box_Dims'!$AE34</f>
        <v>10</v>
      </c>
      <c r="D1926" s="113"/>
      <c r="E1926" s="63" t="s">
        <v>1695</v>
      </c>
      <c r="F1926" s="150"/>
      <c r="G1926" s="107"/>
      <c r="H1926" s="95"/>
    </row>
    <row r="1927" spans="1:8" x14ac:dyDescent="0.3">
      <c r="A1927" s="161"/>
      <c r="B1927" s="107"/>
      <c r="C1927" s="111">
        <f>'04a_Box_Dims'!$K34</f>
        <v>8.35</v>
      </c>
      <c r="D1927" s="113">
        <f>$A1926*$C1926*$C1927</f>
        <v>83.5</v>
      </c>
      <c r="E1927" s="63"/>
      <c r="F1927" s="150"/>
      <c r="G1927" s="107"/>
      <c r="H1927" s="95"/>
    </row>
    <row r="1928" spans="1:8" x14ac:dyDescent="0.3">
      <c r="A1928" s="161"/>
      <c r="B1928" s="107"/>
      <c r="C1928" s="111"/>
      <c r="D1928" s="113">
        <f>SUM($D$1926:$D$1927)</f>
        <v>83.5</v>
      </c>
      <c r="E1928" s="63" t="s">
        <v>1660</v>
      </c>
      <c r="F1928" s="150">
        <f>ROUND($D1928,2)</f>
        <v>83.5</v>
      </c>
      <c r="G1928" s="107" t="s">
        <v>1688</v>
      </c>
      <c r="H1928" s="95"/>
    </row>
    <row r="1929" spans="1:8" x14ac:dyDescent="0.3">
      <c r="A1929" s="161"/>
      <c r="B1929" s="107"/>
      <c r="C1929" s="111"/>
      <c r="D1929" s="113"/>
      <c r="E1929" s="63"/>
      <c r="F1929" s="150"/>
      <c r="G1929" s="107"/>
      <c r="H1929" s="95"/>
    </row>
    <row r="1930" spans="1:8" x14ac:dyDescent="0.3">
      <c r="A1930" s="161"/>
      <c r="B1930" s="107"/>
      <c r="C1930" s="111"/>
      <c r="D1930" s="113"/>
      <c r="E1930" s="149" t="s">
        <v>1449</v>
      </c>
      <c r="F1930" s="150"/>
      <c r="G1930" s="107"/>
      <c r="H1930" s="95"/>
    </row>
    <row r="1931" spans="1:8" x14ac:dyDescent="0.3">
      <c r="A1931" s="161"/>
      <c r="B1931" s="107"/>
      <c r="C1931" s="111"/>
      <c r="D1931" s="113"/>
      <c r="E1931" s="63" t="s">
        <v>1696</v>
      </c>
      <c r="F1931" s="150"/>
      <c r="G1931" s="107"/>
      <c r="H1931" s="95"/>
    </row>
    <row r="1932" spans="1:8" x14ac:dyDescent="0.3">
      <c r="A1932" s="161">
        <f>2</f>
        <v>2</v>
      </c>
      <c r="B1932" s="107" t="s">
        <v>1628</v>
      </c>
      <c r="C1932" s="111">
        <f>'04a_Box_Dims'!$J34</f>
        <v>9.0500000000000007</v>
      </c>
      <c r="D1932" s="113"/>
      <c r="E1932" s="63" t="s">
        <v>1697</v>
      </c>
      <c r="F1932" s="150"/>
      <c r="G1932" s="107"/>
      <c r="H1932" s="95"/>
    </row>
    <row r="1933" spans="1:8" x14ac:dyDescent="0.3">
      <c r="A1933" s="161"/>
      <c r="B1933" s="107"/>
      <c r="C1933" s="111">
        <f>'04a_Box_Dims'!$U34</f>
        <v>0.6</v>
      </c>
      <c r="D1933" s="113">
        <f>$A1932*$C1932*$C1933</f>
        <v>10.860000000000001</v>
      </c>
      <c r="E1933" s="63"/>
      <c r="F1933" s="150"/>
      <c r="G1933" s="107"/>
      <c r="H1933" s="95"/>
    </row>
    <row r="1934" spans="1:8" x14ac:dyDescent="0.3">
      <c r="A1934" s="161"/>
      <c r="B1934" s="107"/>
      <c r="C1934" s="111"/>
      <c r="D1934" s="113">
        <f>SUM($D$1932:$D$1933)</f>
        <v>10.860000000000001</v>
      </c>
      <c r="E1934" s="63" t="s">
        <v>1660</v>
      </c>
      <c r="F1934" s="150">
        <f>ROUND($D1934,2)</f>
        <v>10.86</v>
      </c>
      <c r="G1934" s="107" t="s">
        <v>1688</v>
      </c>
      <c r="H1934" s="95"/>
    </row>
    <row r="1935" spans="1:8" x14ac:dyDescent="0.3">
      <c r="A1935" s="161"/>
      <c r="B1935" s="107"/>
      <c r="C1935" s="111"/>
      <c r="D1935" s="113"/>
      <c r="E1935" s="63"/>
      <c r="F1935" s="150"/>
      <c r="G1935" s="107"/>
      <c r="H1935" s="95"/>
    </row>
    <row r="1936" spans="1:8" x14ac:dyDescent="0.3">
      <c r="A1936" s="161"/>
      <c r="B1936" s="107"/>
      <c r="C1936" s="111"/>
      <c r="D1936" s="113"/>
      <c r="E1936" s="149" t="s">
        <v>1329</v>
      </c>
      <c r="F1936" s="150"/>
      <c r="G1936" s="107"/>
      <c r="H1936" s="95"/>
    </row>
    <row r="1937" spans="1:8" x14ac:dyDescent="0.3">
      <c r="A1937" s="161"/>
      <c r="B1937" s="107"/>
      <c r="C1937" s="111"/>
      <c r="D1937" s="113"/>
      <c r="E1937" s="63" t="s">
        <v>1698</v>
      </c>
      <c r="F1937" s="150"/>
      <c r="G1937" s="107"/>
      <c r="H1937" s="95"/>
    </row>
    <row r="1938" spans="1:8" x14ac:dyDescent="0.3">
      <c r="A1938" s="161">
        <f>2</f>
        <v>2</v>
      </c>
      <c r="B1938" s="107" t="s">
        <v>1628</v>
      </c>
      <c r="C1938" s="111">
        <f>'04a_Box_Dims'!$AE34</f>
        <v>10</v>
      </c>
      <c r="D1938" s="113"/>
      <c r="E1938" s="63" t="s">
        <v>1699</v>
      </c>
      <c r="F1938" s="150"/>
      <c r="G1938" s="107"/>
      <c r="H1938" s="95"/>
    </row>
    <row r="1939" spans="1:8" x14ac:dyDescent="0.3">
      <c r="A1939" s="161"/>
      <c r="B1939" s="107"/>
      <c r="C1939" s="111">
        <f>'04a_Box_Dims'!$E34</f>
        <v>3</v>
      </c>
      <c r="D1939" s="113">
        <f>$A1938*$C1938*$C1939</f>
        <v>60</v>
      </c>
      <c r="E1939" s="63"/>
      <c r="F1939" s="150"/>
      <c r="G1939" s="107"/>
      <c r="H1939" s="95"/>
    </row>
    <row r="1940" spans="1:8" x14ac:dyDescent="0.3">
      <c r="A1940" s="161">
        <f>('04a_Box_Dims'!$C34-1)*2</f>
        <v>2</v>
      </c>
      <c r="B1940" s="107" t="s">
        <v>1628</v>
      </c>
      <c r="C1940" s="111">
        <f>'04a_Box_Dims'!$AE34</f>
        <v>10</v>
      </c>
      <c r="D1940" s="113"/>
      <c r="E1940" s="63" t="s">
        <v>1700</v>
      </c>
      <c r="F1940" s="150"/>
      <c r="G1940" s="107"/>
      <c r="H1940" s="95"/>
    </row>
    <row r="1941" spans="1:8" x14ac:dyDescent="0.3">
      <c r="A1941" s="161"/>
      <c r="B1941" s="107"/>
      <c r="C1941" s="111">
        <f>'04a_Box_Dims'!$E34</f>
        <v>3</v>
      </c>
      <c r="D1941" s="113">
        <f>$A1940*$C1940*$C1941</f>
        <v>60</v>
      </c>
      <c r="E1941" s="63"/>
      <c r="F1941" s="150"/>
      <c r="G1941" s="107"/>
      <c r="H1941" s="95"/>
    </row>
    <row r="1942" spans="1:8" x14ac:dyDescent="0.3">
      <c r="A1942" s="161">
        <f>4</f>
        <v>4</v>
      </c>
      <c r="B1942" s="107" t="s">
        <v>1628</v>
      </c>
      <c r="C1942" s="111">
        <f>'04a_Box_Dims'!$Z34</f>
        <v>2.1213203435596424</v>
      </c>
      <c r="D1942" s="113"/>
      <c r="E1942" s="63" t="s">
        <v>1701</v>
      </c>
      <c r="F1942" s="150"/>
      <c r="G1942" s="107"/>
      <c r="H1942" s="95"/>
    </row>
    <row r="1943" spans="1:8" x14ac:dyDescent="0.3">
      <c r="A1943" s="161"/>
      <c r="B1943" s="107"/>
      <c r="C1943" s="111">
        <f>'04a_Box_Dims'!$Y34</f>
        <v>4.1928932188134524</v>
      </c>
      <c r="D1943" s="113">
        <f>$A1942*$C1942*$C1943</f>
        <v>35.577878733768991</v>
      </c>
      <c r="E1943" s="63"/>
      <c r="F1943" s="150"/>
      <c r="G1943" s="107"/>
      <c r="H1943" s="95"/>
    </row>
    <row r="1944" spans="1:8" x14ac:dyDescent="0.3">
      <c r="A1944" s="161"/>
      <c r="B1944" s="107"/>
      <c r="C1944" s="111"/>
      <c r="D1944" s="113">
        <f>SUM($D$1938:$D$1943)</f>
        <v>155.57787873376898</v>
      </c>
      <c r="E1944" s="63" t="s">
        <v>1660</v>
      </c>
      <c r="F1944" s="150">
        <f>ROUND($D1944,2)</f>
        <v>155.58000000000001</v>
      </c>
      <c r="G1944" s="107" t="s">
        <v>1688</v>
      </c>
      <c r="H1944" s="95"/>
    </row>
    <row r="1945" spans="1:8" x14ac:dyDescent="0.3">
      <c r="A1945" s="161"/>
      <c r="B1945" s="107"/>
      <c r="C1945" s="111"/>
      <c r="D1945" s="113"/>
      <c r="E1945" s="63"/>
      <c r="F1945" s="150"/>
      <c r="G1945" s="107"/>
      <c r="H1945" s="95"/>
    </row>
    <row r="1946" spans="1:8" x14ac:dyDescent="0.3">
      <c r="A1946" s="161"/>
      <c r="B1946" s="107"/>
      <c r="C1946" s="111"/>
      <c r="D1946" s="113"/>
      <c r="E1946" s="149" t="s">
        <v>1702</v>
      </c>
      <c r="F1946" s="150"/>
      <c r="G1946" s="107"/>
      <c r="H1946" s="95"/>
    </row>
    <row r="1947" spans="1:8" x14ac:dyDescent="0.3">
      <c r="A1947" s="161"/>
      <c r="B1947" s="107"/>
      <c r="C1947" s="111"/>
      <c r="D1947" s="113"/>
      <c r="E1947" s="63" t="s">
        <v>1703</v>
      </c>
      <c r="F1947" s="150"/>
      <c r="G1947" s="107"/>
      <c r="H1947" s="95"/>
    </row>
    <row r="1948" spans="1:8" x14ac:dyDescent="0.3">
      <c r="A1948" s="161"/>
      <c r="B1948" s="107"/>
      <c r="C1948" s="111"/>
      <c r="D1948" s="113">
        <v>0</v>
      </c>
      <c r="E1948" s="63" t="s">
        <v>1704</v>
      </c>
      <c r="F1948" s="150">
        <f t="shared" ref="F1948:F1953" si="12">ROUND($D1948,3)</f>
        <v>0</v>
      </c>
      <c r="G1948" s="107" t="s">
        <v>1474</v>
      </c>
      <c r="H1948" s="95"/>
    </row>
    <row r="1949" spans="1:8" x14ac:dyDescent="0.3">
      <c r="A1949" s="161"/>
      <c r="B1949" s="107"/>
      <c r="C1949" s="111"/>
      <c r="D1949" s="113">
        <f>'04b_Box_Bars'!$S21/1000</f>
        <v>2.0838969469424491</v>
      </c>
      <c r="E1949" s="63" t="s">
        <v>1705</v>
      </c>
      <c r="F1949" s="150">
        <f t="shared" si="12"/>
        <v>2.0840000000000001</v>
      </c>
      <c r="G1949" s="107" t="s">
        <v>1474</v>
      </c>
      <c r="H1949" s="95"/>
    </row>
    <row r="1950" spans="1:8" x14ac:dyDescent="0.3">
      <c r="A1950" s="161"/>
      <c r="B1950" s="107"/>
      <c r="C1950" s="111"/>
      <c r="D1950" s="113">
        <f>'04b_Box_Bars'!$T21/1000</f>
        <v>7.4269785332240366</v>
      </c>
      <c r="E1950" s="63" t="s">
        <v>1706</v>
      </c>
      <c r="F1950" s="150">
        <f t="shared" si="12"/>
        <v>7.4269999999999996</v>
      </c>
      <c r="G1950" s="107" t="s">
        <v>1474</v>
      </c>
      <c r="H1950" s="95"/>
    </row>
    <row r="1951" spans="1:8" x14ac:dyDescent="0.3">
      <c r="A1951" s="161"/>
      <c r="B1951" s="107"/>
      <c r="C1951" s="111"/>
      <c r="D1951" s="113">
        <f>'04b_Box_Bars'!$U21/1000</f>
        <v>1.0594581401260075</v>
      </c>
      <c r="E1951" s="63" t="s">
        <v>1707</v>
      </c>
      <c r="F1951" s="150">
        <f t="shared" si="12"/>
        <v>1.0589999999999999</v>
      </c>
      <c r="G1951" s="107" t="s">
        <v>1474</v>
      </c>
      <c r="H1951" s="95"/>
    </row>
    <row r="1952" spans="1:8" x14ac:dyDescent="0.3">
      <c r="A1952" s="161"/>
      <c r="B1952" s="107"/>
      <c r="C1952" s="111"/>
      <c r="D1952" s="113">
        <f>'04b_Box_Bars'!$V21/1000</f>
        <v>0.97264965192201414</v>
      </c>
      <c r="E1952" s="63" t="s">
        <v>1708</v>
      </c>
      <c r="F1952" s="150">
        <f t="shared" si="12"/>
        <v>0.97299999999999998</v>
      </c>
      <c r="G1952" s="107" t="s">
        <v>1474</v>
      </c>
      <c r="H1952" s="95"/>
    </row>
    <row r="1953" spans="1:8" x14ac:dyDescent="0.3">
      <c r="A1953" s="161"/>
      <c r="B1953" s="107"/>
      <c r="C1953" s="111"/>
      <c r="D1953" s="113">
        <f>'04b_Box_Bars'!$W21/1000</f>
        <v>0</v>
      </c>
      <c r="E1953" s="63" t="s">
        <v>1709</v>
      </c>
      <c r="F1953" s="150">
        <f t="shared" si="12"/>
        <v>0</v>
      </c>
      <c r="G1953" s="107" t="s">
        <v>1474</v>
      </c>
      <c r="H1953" s="95"/>
    </row>
    <row r="1954" spans="1:8" x14ac:dyDescent="0.3">
      <c r="A1954" s="161"/>
      <c r="B1954" s="107"/>
      <c r="C1954" s="111"/>
      <c r="D1954" s="113"/>
      <c r="E1954" s="63"/>
      <c r="F1954" s="150"/>
      <c r="G1954" s="107"/>
      <c r="H1954" s="95"/>
    </row>
    <row r="1956" spans="1:8" x14ac:dyDescent="0.3">
      <c r="A1956" s="160" t="str">
        <f>'04a_Box_Dims'!$F35&amp;"  No.  "&amp;'04a_Box_Dims'!$A35&amp;"   (L = "&amp;TEXT('04a_Box_Dims'!$AE35,"0.00")&amp;" m)"</f>
        <v>0  No.  3/4x3 box culvert   (L = 10.00 m)</v>
      </c>
      <c r="B1956" s="146"/>
      <c r="C1956" s="162"/>
      <c r="D1956" s="163"/>
      <c r="E1956" s="147"/>
      <c r="F1956" s="148"/>
      <c r="G1956" s="146"/>
      <c r="H1956" s="151"/>
    </row>
    <row r="1957" spans="1:8" x14ac:dyDescent="0.3">
      <c r="A1957" s="161"/>
      <c r="B1957" s="107"/>
      <c r="C1957" s="111"/>
      <c r="D1957" s="113"/>
      <c r="E1957" s="149" t="s">
        <v>1438</v>
      </c>
      <c r="F1957" s="150"/>
      <c r="G1957" s="107"/>
      <c r="H1957" s="95"/>
    </row>
    <row r="1958" spans="1:8" x14ac:dyDescent="0.3">
      <c r="A1958" s="161"/>
      <c r="B1958" s="107"/>
      <c r="C1958" s="111"/>
      <c r="D1958" s="113"/>
      <c r="E1958" s="63" t="s">
        <v>1655</v>
      </c>
      <c r="F1958" s="150"/>
      <c r="G1958" s="107"/>
      <c r="H1958" s="95"/>
    </row>
    <row r="1959" spans="1:8" x14ac:dyDescent="0.3">
      <c r="A1959" s="161">
        <f>1</f>
        <v>1</v>
      </c>
      <c r="B1959" s="107" t="s">
        <v>1628</v>
      </c>
      <c r="C1959" s="111">
        <f>'04a_Box_Dims'!$AE35</f>
        <v>10</v>
      </c>
      <c r="D1959" s="113"/>
      <c r="E1959" s="63" t="s">
        <v>1656</v>
      </c>
      <c r="F1959" s="150"/>
      <c r="G1959" s="107"/>
      <c r="H1959" s="95"/>
    </row>
    <row r="1960" spans="1:8" x14ac:dyDescent="0.3">
      <c r="A1960" s="161"/>
      <c r="B1960" s="107"/>
      <c r="C1960" s="111">
        <f>'04a_Box_Dims'!$J35+2*BX_work</f>
        <v>14</v>
      </c>
      <c r="D1960" s="113"/>
      <c r="E1960" s="63"/>
      <c r="F1960" s="150"/>
      <c r="G1960" s="107"/>
      <c r="H1960" s="95"/>
    </row>
    <row r="1961" spans="1:8" x14ac:dyDescent="0.3">
      <c r="A1961" s="161"/>
      <c r="B1961" s="107"/>
      <c r="C1961" s="111">
        <f>'04a_Box_Dims'!$L35+BX_blind+BX_exX</f>
        <v>3.9</v>
      </c>
      <c r="D1961" s="113">
        <f>$A1959*$C1959*$C1960*$C1961</f>
        <v>546</v>
      </c>
      <c r="E1961" s="63"/>
      <c r="F1961" s="150"/>
      <c r="G1961" s="107"/>
      <c r="H1961" s="95"/>
    </row>
    <row r="1962" spans="1:8" x14ac:dyDescent="0.3">
      <c r="A1962" s="161">
        <f>2</f>
        <v>2</v>
      </c>
      <c r="B1962" s="107" t="s">
        <v>1628</v>
      </c>
      <c r="C1962" s="111">
        <f>'04a_Box_Dims'!$O35</f>
        <v>1.5</v>
      </c>
      <c r="D1962" s="113"/>
      <c r="E1962" s="63" t="s">
        <v>1657</v>
      </c>
      <c r="F1962" s="150"/>
      <c r="G1962" s="107"/>
      <c r="H1962" s="95"/>
    </row>
    <row r="1963" spans="1:8" x14ac:dyDescent="0.3">
      <c r="A1963" s="161"/>
      <c r="B1963" s="107"/>
      <c r="C1963" s="111">
        <f>'04a_Box_Dims'!$Q35</f>
        <v>14.9</v>
      </c>
      <c r="D1963" s="113"/>
      <c r="E1963" s="63"/>
      <c r="F1963" s="150"/>
      <c r="G1963" s="107"/>
      <c r="H1963" s="95"/>
    </row>
    <row r="1964" spans="1:8" x14ac:dyDescent="0.3">
      <c r="A1964" s="161"/>
      <c r="B1964" s="107"/>
      <c r="C1964" s="111">
        <f>'04a_Box_Dims'!$P35+BX_blind+BX_exX</f>
        <v>0.55000000000000004</v>
      </c>
      <c r="D1964" s="113">
        <f>$A1962*$C1962*$C1963*$C1964</f>
        <v>24.585000000000004</v>
      </c>
      <c r="E1964" s="63"/>
      <c r="F1964" s="150"/>
      <c r="G1964" s="107"/>
      <c r="H1964" s="95"/>
    </row>
    <row r="1965" spans="1:8" x14ac:dyDescent="0.3">
      <c r="A1965" s="161">
        <f>2</f>
        <v>2</v>
      </c>
      <c r="B1965" s="107" t="s">
        <v>1628</v>
      </c>
      <c r="C1965" s="111">
        <f>'04a_Box_Dims'!$R35</f>
        <v>13.4</v>
      </c>
      <c r="D1965" s="113"/>
      <c r="E1965" s="63" t="s">
        <v>1658</v>
      </c>
      <c r="F1965" s="150"/>
      <c r="G1965" s="107"/>
      <c r="H1965" s="95"/>
    </row>
    <row r="1966" spans="1:8" x14ac:dyDescent="0.3">
      <c r="A1966" s="161"/>
      <c r="B1966" s="107"/>
      <c r="C1966" s="111">
        <f>'04a_Box_Dims'!$S35</f>
        <v>0.2</v>
      </c>
      <c r="D1966" s="113"/>
      <c r="E1966" s="63"/>
      <c r="F1966" s="150"/>
      <c r="G1966" s="107"/>
      <c r="H1966" s="95"/>
    </row>
    <row r="1967" spans="1:8" x14ac:dyDescent="0.3">
      <c r="A1967" s="161"/>
      <c r="B1967" s="107"/>
      <c r="C1967" s="111">
        <f>'04a_Box_Dims'!$T35+BX_blind</f>
        <v>0.5</v>
      </c>
      <c r="D1967" s="113">
        <f>$A1965*$C1965*$C1966*$C1967</f>
        <v>2.68</v>
      </c>
      <c r="E1967" s="63"/>
      <c r="F1967" s="150"/>
      <c r="G1967" s="107"/>
      <c r="H1967" s="95"/>
    </row>
    <row r="1968" spans="1:8" x14ac:dyDescent="0.3">
      <c r="A1968" s="161">
        <f>4</f>
        <v>4</v>
      </c>
      <c r="B1968" s="107" t="s">
        <v>1628</v>
      </c>
      <c r="C1968" s="111">
        <f>'04a_Box_Dims'!$Z35</f>
        <v>2.1213203435596424</v>
      </c>
      <c r="D1968" s="113"/>
      <c r="E1968" s="63" t="s">
        <v>1659</v>
      </c>
      <c r="F1968" s="150"/>
      <c r="G1968" s="107"/>
      <c r="H1968" s="95"/>
    </row>
    <row r="1969" spans="1:8" x14ac:dyDescent="0.3">
      <c r="A1969" s="161"/>
      <c r="B1969" s="107"/>
      <c r="C1969" s="111">
        <f>'04a_Box_Dims'!$AC35</f>
        <v>0.9</v>
      </c>
      <c r="D1969" s="113"/>
      <c r="E1969" s="63"/>
      <c r="F1969" s="150"/>
      <c r="G1969" s="107"/>
      <c r="H1969" s="95"/>
    </row>
    <row r="1970" spans="1:8" x14ac:dyDescent="0.3">
      <c r="A1970" s="161"/>
      <c r="B1970" s="107"/>
      <c r="C1970" s="111">
        <f>'04a_Box_Dims'!$AD35+BX_blind</f>
        <v>0.4</v>
      </c>
      <c r="D1970" s="113">
        <f>$A1968*$C1968*$C1969*$C1970</f>
        <v>3.0547012947258851</v>
      </c>
      <c r="E1970" s="63"/>
      <c r="F1970" s="150"/>
      <c r="G1970" s="107"/>
      <c r="H1970" s="95"/>
    </row>
    <row r="1971" spans="1:8" x14ac:dyDescent="0.3">
      <c r="A1971" s="161"/>
      <c r="B1971" s="107"/>
      <c r="C1971" s="111"/>
      <c r="D1971" s="113">
        <f>SUM($D$1959:$D$1970)</f>
        <v>576.31970129472586</v>
      </c>
      <c r="E1971" s="63" t="s">
        <v>1660</v>
      </c>
      <c r="F1971" s="150">
        <f>ROUND($D1971,0)</f>
        <v>576</v>
      </c>
      <c r="G1971" s="107" t="s">
        <v>1661</v>
      </c>
      <c r="H1971" s="95"/>
    </row>
    <row r="1972" spans="1:8" x14ac:dyDescent="0.3">
      <c r="A1972" s="161"/>
      <c r="B1972" s="107"/>
      <c r="C1972" s="111"/>
      <c r="D1972" s="113"/>
      <c r="E1972" s="63"/>
      <c r="F1972" s="150"/>
      <c r="G1972" s="107"/>
      <c r="H1972" s="95"/>
    </row>
    <row r="1973" spans="1:8" x14ac:dyDescent="0.3">
      <c r="A1973" s="161"/>
      <c r="B1973" s="107"/>
      <c r="C1973" s="111"/>
      <c r="D1973" s="113"/>
      <c r="E1973" s="149" t="s">
        <v>1323</v>
      </c>
      <c r="F1973" s="150"/>
      <c r="G1973" s="107"/>
      <c r="H1973" s="95"/>
    </row>
    <row r="1974" spans="1:8" x14ac:dyDescent="0.3">
      <c r="A1974" s="161"/>
      <c r="B1974" s="107"/>
      <c r="C1974" s="111"/>
      <c r="D1974" s="113"/>
      <c r="E1974" s="63" t="s">
        <v>1662</v>
      </c>
      <c r="F1974" s="150"/>
      <c r="G1974" s="107"/>
      <c r="H1974" s="95"/>
    </row>
    <row r="1975" spans="1:8" x14ac:dyDescent="0.3">
      <c r="A1975" s="161">
        <f>1</f>
        <v>1</v>
      </c>
      <c r="B1975" s="107" t="s">
        <v>1628</v>
      </c>
      <c r="C1975" s="111">
        <f>'04a_Box_Dims'!$AE35</f>
        <v>10</v>
      </c>
      <c r="D1975" s="113"/>
      <c r="E1975" s="63" t="s">
        <v>1663</v>
      </c>
      <c r="F1975" s="150"/>
      <c r="G1975" s="107"/>
      <c r="H1975" s="95"/>
    </row>
    <row r="1976" spans="1:8" x14ac:dyDescent="0.3">
      <c r="A1976" s="161"/>
      <c r="B1976" s="107"/>
      <c r="C1976" s="111">
        <f>'04a_Box_Dims'!$J35</f>
        <v>13.4</v>
      </c>
      <c r="D1976" s="113"/>
      <c r="E1976" s="63"/>
      <c r="F1976" s="150"/>
      <c r="G1976" s="107"/>
      <c r="H1976" s="95"/>
    </row>
    <row r="1977" spans="1:8" x14ac:dyDescent="0.3">
      <c r="A1977" s="161"/>
      <c r="B1977" s="107"/>
      <c r="C1977" s="111">
        <f>BX_blind</f>
        <v>0.05</v>
      </c>
      <c r="D1977" s="113">
        <f>$A1975*$C1975*$C1976*$C1977</f>
        <v>6.7</v>
      </c>
      <c r="E1977" s="63"/>
      <c r="F1977" s="150"/>
      <c r="G1977" s="107"/>
      <c r="H1977" s="95"/>
    </row>
    <row r="1978" spans="1:8" x14ac:dyDescent="0.3">
      <c r="A1978" s="161">
        <f>2</f>
        <v>2</v>
      </c>
      <c r="B1978" s="107" t="s">
        <v>1628</v>
      </c>
      <c r="C1978" s="111">
        <f>'04a_Box_Dims'!$O35</f>
        <v>1.5</v>
      </c>
      <c r="D1978" s="113"/>
      <c r="E1978" s="63" t="s">
        <v>1657</v>
      </c>
      <c r="F1978" s="150"/>
      <c r="G1978" s="107"/>
      <c r="H1978" s="95"/>
    </row>
    <row r="1979" spans="1:8" x14ac:dyDescent="0.3">
      <c r="A1979" s="161"/>
      <c r="B1979" s="107"/>
      <c r="C1979" s="111">
        <f>'04a_Box_Dims'!$Q35</f>
        <v>14.9</v>
      </c>
      <c r="D1979" s="113"/>
      <c r="E1979" s="63"/>
      <c r="F1979" s="150"/>
      <c r="G1979" s="107"/>
      <c r="H1979" s="95"/>
    </row>
    <row r="1980" spans="1:8" x14ac:dyDescent="0.3">
      <c r="A1980" s="161"/>
      <c r="B1980" s="107"/>
      <c r="C1980" s="111">
        <f>BX_blind</f>
        <v>0.05</v>
      </c>
      <c r="D1980" s="113">
        <f>$A1978*$C1978*$C1979*$C1980</f>
        <v>2.2350000000000003</v>
      </c>
      <c r="E1980" s="63"/>
      <c r="F1980" s="150"/>
      <c r="G1980" s="107"/>
      <c r="H1980" s="95"/>
    </row>
    <row r="1981" spans="1:8" x14ac:dyDescent="0.3">
      <c r="A1981" s="161">
        <f>2</f>
        <v>2</v>
      </c>
      <c r="B1981" s="107" t="s">
        <v>1628</v>
      </c>
      <c r="C1981" s="111">
        <f>'04a_Box_Dims'!$R35</f>
        <v>13.4</v>
      </c>
      <c r="D1981" s="113"/>
      <c r="E1981" s="63" t="s">
        <v>1658</v>
      </c>
      <c r="F1981" s="150"/>
      <c r="G1981" s="107"/>
      <c r="H1981" s="95"/>
    </row>
    <row r="1982" spans="1:8" x14ac:dyDescent="0.3">
      <c r="A1982" s="161"/>
      <c r="B1982" s="107"/>
      <c r="C1982" s="111">
        <f>'04a_Box_Dims'!$S35</f>
        <v>0.2</v>
      </c>
      <c r="D1982" s="113"/>
      <c r="E1982" s="63"/>
      <c r="F1982" s="150"/>
      <c r="G1982" s="107"/>
      <c r="H1982" s="95"/>
    </row>
    <row r="1983" spans="1:8" x14ac:dyDescent="0.3">
      <c r="A1983" s="161"/>
      <c r="B1983" s="107"/>
      <c r="C1983" s="111">
        <f>BX_blind</f>
        <v>0.05</v>
      </c>
      <c r="D1983" s="113">
        <f>$A1981*$C1981*$C1982*$C1983</f>
        <v>0.26800000000000002</v>
      </c>
      <c r="E1983" s="63"/>
      <c r="F1983" s="150"/>
      <c r="G1983" s="107"/>
      <c r="H1983" s="95"/>
    </row>
    <row r="1984" spans="1:8" x14ac:dyDescent="0.3">
      <c r="A1984" s="161">
        <f>4</f>
        <v>4</v>
      </c>
      <c r="B1984" s="107" t="s">
        <v>1628</v>
      </c>
      <c r="C1984" s="111">
        <f>'04a_Box_Dims'!$Z35</f>
        <v>2.1213203435596424</v>
      </c>
      <c r="D1984" s="113"/>
      <c r="E1984" s="63" t="s">
        <v>1659</v>
      </c>
      <c r="F1984" s="150"/>
      <c r="G1984" s="107"/>
      <c r="H1984" s="95"/>
    </row>
    <row r="1985" spans="1:8" x14ac:dyDescent="0.3">
      <c r="A1985" s="161"/>
      <c r="B1985" s="107"/>
      <c r="C1985" s="111">
        <f>'04a_Box_Dims'!$AC35</f>
        <v>0.9</v>
      </c>
      <c r="D1985" s="113"/>
      <c r="E1985" s="63"/>
      <c r="F1985" s="150"/>
      <c r="G1985" s="107"/>
      <c r="H1985" s="95"/>
    </row>
    <row r="1986" spans="1:8" x14ac:dyDescent="0.3">
      <c r="A1986" s="161"/>
      <c r="B1986" s="107"/>
      <c r="C1986" s="111">
        <f>BX_blind</f>
        <v>0.05</v>
      </c>
      <c r="D1986" s="113">
        <f>$A1984*$C1984*$C1985*$C1986</f>
        <v>0.38183766184073564</v>
      </c>
      <c r="E1986" s="63"/>
      <c r="F1986" s="150"/>
      <c r="G1986" s="107"/>
      <c r="H1986" s="95"/>
    </row>
    <row r="1987" spans="1:8" x14ac:dyDescent="0.3">
      <c r="A1987" s="161"/>
      <c r="B1987" s="107"/>
      <c r="C1987" s="111"/>
      <c r="D1987" s="113">
        <f>SUM($D$1975:$D$1986)</f>
        <v>9.5848376618407372</v>
      </c>
      <c r="E1987" s="63" t="s">
        <v>1660</v>
      </c>
      <c r="F1987" s="150">
        <f>ROUND($D1987,2)</f>
        <v>9.58</v>
      </c>
      <c r="G1987" s="107" t="s">
        <v>1661</v>
      </c>
      <c r="H1987" s="95"/>
    </row>
    <row r="1988" spans="1:8" x14ac:dyDescent="0.3">
      <c r="A1988" s="161"/>
      <c r="B1988" s="107"/>
      <c r="C1988" s="111"/>
      <c r="D1988" s="113"/>
      <c r="E1988" s="63"/>
      <c r="F1988" s="150"/>
      <c r="G1988" s="107"/>
      <c r="H1988" s="95"/>
    </row>
    <row r="1989" spans="1:8" x14ac:dyDescent="0.3">
      <c r="A1989" s="161"/>
      <c r="B1989" s="107"/>
      <c r="C1989" s="111"/>
      <c r="D1989" s="113"/>
      <c r="E1989" s="149" t="s">
        <v>1324</v>
      </c>
      <c r="F1989" s="150"/>
      <c r="G1989" s="107"/>
      <c r="H1989" s="95"/>
    </row>
    <row r="1990" spans="1:8" x14ac:dyDescent="0.3">
      <c r="A1990" s="161"/>
      <c r="B1990" s="107"/>
      <c r="C1990" s="111"/>
      <c r="D1990" s="113"/>
      <c r="E1990" s="63" t="s">
        <v>1664</v>
      </c>
      <c r="F1990" s="150"/>
      <c r="G1990" s="107"/>
      <c r="H1990" s="95"/>
    </row>
    <row r="1991" spans="1:8" x14ac:dyDescent="0.3">
      <c r="A1991" s="161"/>
      <c r="B1991" s="107"/>
      <c r="C1991" s="111"/>
      <c r="D1991" s="113">
        <f>$D1987</f>
        <v>9.5848376618407372</v>
      </c>
      <c r="E1991" s="63" t="s">
        <v>1665</v>
      </c>
      <c r="F1991" s="150">
        <f>$F1987</f>
        <v>9.58</v>
      </c>
      <c r="G1991" s="107" t="s">
        <v>1661</v>
      </c>
      <c r="H1991" s="95"/>
    </row>
    <row r="1992" spans="1:8" x14ac:dyDescent="0.3">
      <c r="A1992" s="161"/>
      <c r="B1992" s="107"/>
      <c r="C1992" s="111"/>
      <c r="D1992" s="113"/>
      <c r="E1992" s="63"/>
      <c r="F1992" s="150"/>
      <c r="G1992" s="107"/>
      <c r="H1992" s="95"/>
    </row>
    <row r="1993" spans="1:8" x14ac:dyDescent="0.3">
      <c r="A1993" s="161"/>
      <c r="B1993" s="107"/>
      <c r="C1993" s="111"/>
      <c r="D1993" s="113"/>
      <c r="E1993" s="149" t="s">
        <v>1455</v>
      </c>
      <c r="F1993" s="150"/>
      <c r="G1993" s="107"/>
      <c r="H1993" s="95"/>
    </row>
    <row r="1994" spans="1:8" x14ac:dyDescent="0.3">
      <c r="A1994" s="161"/>
      <c r="B1994" s="107"/>
      <c r="C1994" s="111"/>
      <c r="D1994" s="113"/>
      <c r="E1994" s="63" t="s">
        <v>1666</v>
      </c>
      <c r="F1994" s="150"/>
      <c r="G1994" s="107"/>
      <c r="H1994" s="95"/>
    </row>
    <row r="1995" spans="1:8" x14ac:dyDescent="0.3">
      <c r="A1995" s="161">
        <f>1</f>
        <v>1</v>
      </c>
      <c r="B1995" s="107" t="s">
        <v>1628</v>
      </c>
      <c r="C1995" s="111">
        <f>'04a_Box_Dims'!$AE35</f>
        <v>10</v>
      </c>
      <c r="D1995" s="113"/>
      <c r="E1995" s="63" t="s">
        <v>1667</v>
      </c>
      <c r="F1995" s="150"/>
      <c r="G1995" s="107"/>
      <c r="H1995" s="95"/>
    </row>
    <row r="1996" spans="1:8" x14ac:dyDescent="0.3">
      <c r="A1996" s="161"/>
      <c r="B1996" s="107"/>
      <c r="C1996" s="111">
        <f>'04a_Box_Dims'!$J35</f>
        <v>13.4</v>
      </c>
      <c r="D1996" s="113"/>
      <c r="E1996" s="63"/>
      <c r="F1996" s="150"/>
      <c r="G1996" s="107"/>
      <c r="H1996" s="95"/>
    </row>
    <row r="1997" spans="1:8" x14ac:dyDescent="0.3">
      <c r="A1997" s="161"/>
      <c r="B1997" s="107"/>
      <c r="C1997" s="111">
        <f>'04a_Box_Dims'!$I35</f>
        <v>0.35000000000000003</v>
      </c>
      <c r="D1997" s="113">
        <f>$A1995*$C1995*$C1996*$C1997</f>
        <v>46.900000000000006</v>
      </c>
      <c r="E1997" s="63"/>
      <c r="F1997" s="150"/>
      <c r="G1997" s="107"/>
      <c r="H1997" s="95">
        <f>'04a_Box_Dims'!$I35</f>
        <v>0.35000000000000003</v>
      </c>
    </row>
    <row r="1998" spans="1:8" x14ac:dyDescent="0.3">
      <c r="A1998" s="161">
        <f>2</f>
        <v>2</v>
      </c>
      <c r="B1998" s="107" t="s">
        <v>1628</v>
      </c>
      <c r="C1998" s="111">
        <f>'04a_Box_Dims'!$O35</f>
        <v>1.5</v>
      </c>
      <c r="D1998" s="113"/>
      <c r="E1998" s="63" t="s">
        <v>1657</v>
      </c>
      <c r="F1998" s="150"/>
      <c r="G1998" s="107"/>
      <c r="H1998" s="95"/>
    </row>
    <row r="1999" spans="1:8" x14ac:dyDescent="0.3">
      <c r="A1999" s="161"/>
      <c r="B1999" s="107"/>
      <c r="C1999" s="111">
        <f>'04a_Box_Dims'!$Q35</f>
        <v>14.9</v>
      </c>
      <c r="D1999" s="113"/>
      <c r="E1999" s="63"/>
      <c r="F1999" s="150"/>
      <c r="G1999" s="107"/>
      <c r="H1999" s="95"/>
    </row>
    <row r="2000" spans="1:8" x14ac:dyDescent="0.3">
      <c r="A2000" s="161"/>
      <c r="B2000" s="107"/>
      <c r="C2000" s="111">
        <f>'04a_Box_Dims'!$P35</f>
        <v>0.35000000000000003</v>
      </c>
      <c r="D2000" s="113">
        <f>$A1998*$C1998*$C1999*$C2000</f>
        <v>15.645000000000003</v>
      </c>
      <c r="E2000" s="63"/>
      <c r="F2000" s="150"/>
      <c r="G2000" s="107"/>
      <c r="H2000" s="95">
        <f>'04a_Box_Dims'!$P35</f>
        <v>0.35000000000000003</v>
      </c>
    </row>
    <row r="2001" spans="1:8" x14ac:dyDescent="0.3">
      <c r="A2001" s="161">
        <f>2</f>
        <v>2</v>
      </c>
      <c r="B2001" s="107" t="s">
        <v>1628</v>
      </c>
      <c r="C2001" s="111">
        <f>'04a_Box_Dims'!$R35</f>
        <v>13.4</v>
      </c>
      <c r="D2001" s="113"/>
      <c r="E2001" s="63" t="s">
        <v>1658</v>
      </c>
      <c r="F2001" s="150"/>
      <c r="G2001" s="107"/>
      <c r="H2001" s="95"/>
    </row>
    <row r="2002" spans="1:8" x14ac:dyDescent="0.3">
      <c r="A2002" s="161"/>
      <c r="B2002" s="107"/>
      <c r="C2002" s="111">
        <f>'04a_Box_Dims'!$S35</f>
        <v>0.2</v>
      </c>
      <c r="D2002" s="113"/>
      <c r="E2002" s="63"/>
      <c r="F2002" s="150"/>
      <c r="G2002" s="107"/>
      <c r="H2002" s="95"/>
    </row>
    <row r="2003" spans="1:8" x14ac:dyDescent="0.3">
      <c r="A2003" s="161"/>
      <c r="B2003" s="107"/>
      <c r="C2003" s="111">
        <f>'04a_Box_Dims'!$T35</f>
        <v>0.45</v>
      </c>
      <c r="D2003" s="113">
        <f>$A2001*$C2001*$C2002*$C2003</f>
        <v>2.4120000000000004</v>
      </c>
      <c r="E2003" s="63"/>
      <c r="F2003" s="150"/>
      <c r="G2003" s="107"/>
      <c r="H2003" s="95">
        <f>'04a_Box_Dims'!$S35</f>
        <v>0.2</v>
      </c>
    </row>
    <row r="2004" spans="1:8" x14ac:dyDescent="0.3">
      <c r="A2004" s="161">
        <f>4</f>
        <v>4</v>
      </c>
      <c r="B2004" s="107" t="s">
        <v>1628</v>
      </c>
      <c r="C2004" s="111">
        <f>'04a_Box_Dims'!$Z35</f>
        <v>2.1213203435596424</v>
      </c>
      <c r="D2004" s="113"/>
      <c r="E2004" s="63" t="s">
        <v>1659</v>
      </c>
      <c r="F2004" s="150"/>
      <c r="G2004" s="107"/>
      <c r="H2004" s="95"/>
    </row>
    <row r="2005" spans="1:8" x14ac:dyDescent="0.3">
      <c r="A2005" s="161"/>
      <c r="B2005" s="107"/>
      <c r="C2005" s="111">
        <f>'04a_Box_Dims'!$AC35</f>
        <v>0.9</v>
      </c>
      <c r="D2005" s="113"/>
      <c r="E2005" s="63"/>
      <c r="F2005" s="150"/>
      <c r="G2005" s="107"/>
      <c r="H2005" s="95"/>
    </row>
    <row r="2006" spans="1:8" x14ac:dyDescent="0.3">
      <c r="A2006" s="161"/>
      <c r="B2006" s="107"/>
      <c r="C2006" s="111">
        <f>'04a_Box_Dims'!$AD35</f>
        <v>0.35000000000000003</v>
      </c>
      <c r="D2006" s="113">
        <f>$A2004*$C2004*$C2005*$C2006</f>
        <v>2.6728636328851496</v>
      </c>
      <c r="E2006" s="63"/>
      <c r="F2006" s="150"/>
      <c r="G2006" s="107"/>
      <c r="H2006" s="95">
        <f>'04a_Box_Dims'!$AD35</f>
        <v>0.35000000000000003</v>
      </c>
    </row>
    <row r="2007" spans="1:8" x14ac:dyDescent="0.3">
      <c r="A2007" s="161"/>
      <c r="B2007" s="107"/>
      <c r="C2007" s="111"/>
      <c r="D2007" s="113">
        <f>SUM($D$1995:$D$2006)</f>
        <v>67.629863632885161</v>
      </c>
      <c r="E2007" s="63" t="s">
        <v>1660</v>
      </c>
      <c r="F2007" s="150">
        <f>ROUND($D2007,2)</f>
        <v>67.63</v>
      </c>
      <c r="G2007" s="107" t="s">
        <v>1661</v>
      </c>
      <c r="H2007" s="95"/>
    </row>
    <row r="2008" spans="1:8" x14ac:dyDescent="0.3">
      <c r="A2008" s="161"/>
      <c r="B2008" s="107"/>
      <c r="C2008" s="111"/>
      <c r="D2008" s="113"/>
      <c r="E2008" s="63"/>
      <c r="F2008" s="150"/>
      <c r="G2008" s="107"/>
      <c r="H2008" s="95"/>
    </row>
    <row r="2009" spans="1:8" x14ac:dyDescent="0.3">
      <c r="A2009" s="161"/>
      <c r="B2009" s="107"/>
      <c r="C2009" s="111"/>
      <c r="D2009" s="113"/>
      <c r="E2009" s="149" t="s">
        <v>1668</v>
      </c>
      <c r="F2009" s="150"/>
      <c r="G2009" s="107"/>
      <c r="H2009" s="95"/>
    </row>
    <row r="2010" spans="1:8" x14ac:dyDescent="0.3">
      <c r="A2010" s="161"/>
      <c r="B2010" s="107"/>
      <c r="C2010" s="111"/>
      <c r="D2010" s="113"/>
      <c r="E2010" s="63" t="s">
        <v>1669</v>
      </c>
      <c r="F2010" s="150"/>
      <c r="G2010" s="107"/>
      <c r="H2010" s="95"/>
    </row>
    <row r="2011" spans="1:8" x14ac:dyDescent="0.3">
      <c r="A2011" s="161"/>
      <c r="B2011" s="107"/>
      <c r="C2011" s="111"/>
      <c r="D2011" s="113">
        <f>SUMIF($H$1995:$H$2006,"&lt;=0.3",$D$1995:$D$2006)</f>
        <v>2.4120000000000004</v>
      </c>
      <c r="E2011" s="63" t="s">
        <v>1670</v>
      </c>
      <c r="F2011" s="150">
        <f>ROUND($D2011,2)</f>
        <v>2.41</v>
      </c>
      <c r="G2011" s="107" t="s">
        <v>1661</v>
      </c>
      <c r="H2011" s="95"/>
    </row>
    <row r="2012" spans="1:8" x14ac:dyDescent="0.3">
      <c r="A2012" s="161"/>
      <c r="B2012" s="107"/>
      <c r="C2012" s="111"/>
      <c r="D2012" s="113">
        <f>SUMIF($H$1995:$H$2006,"&gt;0.3",$D$1995:$D$2006)</f>
        <v>65.217863632885155</v>
      </c>
      <c r="E2012" s="63" t="s">
        <v>1671</v>
      </c>
      <c r="F2012" s="150">
        <f>ROUND($D2012,2)</f>
        <v>65.22</v>
      </c>
      <c r="G2012" s="107" t="s">
        <v>1661</v>
      </c>
      <c r="H2012" s="95"/>
    </row>
    <row r="2013" spans="1:8" x14ac:dyDescent="0.3">
      <c r="A2013" s="161"/>
      <c r="B2013" s="107"/>
      <c r="C2013" s="111"/>
      <c r="D2013" s="113"/>
      <c r="E2013" s="63"/>
      <c r="F2013" s="150"/>
      <c r="G2013" s="107"/>
      <c r="H2013" s="95"/>
    </row>
    <row r="2014" spans="1:8" x14ac:dyDescent="0.3">
      <c r="A2014" s="161"/>
      <c r="B2014" s="107"/>
      <c r="C2014" s="111"/>
      <c r="D2014" s="113"/>
      <c r="E2014" s="149" t="s">
        <v>1455</v>
      </c>
      <c r="F2014" s="150"/>
      <c r="G2014" s="107"/>
      <c r="H2014" s="95"/>
    </row>
    <row r="2015" spans="1:8" x14ac:dyDescent="0.3">
      <c r="A2015" s="161"/>
      <c r="B2015" s="107"/>
      <c r="C2015" s="111"/>
      <c r="D2015" s="113"/>
      <c r="E2015" s="63" t="s">
        <v>1672</v>
      </c>
      <c r="F2015" s="150"/>
      <c r="G2015" s="107"/>
      <c r="H2015" s="95"/>
    </row>
    <row r="2016" spans="1:8" x14ac:dyDescent="0.3">
      <c r="A2016" s="161">
        <f>1</f>
        <v>1</v>
      </c>
      <c r="B2016" s="107" t="s">
        <v>1628</v>
      </c>
      <c r="C2016" s="111">
        <f>'04a_Box_Dims'!$AE35</f>
        <v>10</v>
      </c>
      <c r="D2016" s="113"/>
      <c r="E2016" s="63" t="s">
        <v>1673</v>
      </c>
      <c r="F2016" s="150"/>
      <c r="G2016" s="107"/>
      <c r="H2016" s="95"/>
    </row>
    <row r="2017" spans="1:8" x14ac:dyDescent="0.3">
      <c r="A2017" s="161"/>
      <c r="B2017" s="107"/>
      <c r="C2017" s="111">
        <f>'04a_Box_Dims'!$J35</f>
        <v>13.4</v>
      </c>
      <c r="D2017" s="113"/>
      <c r="E2017" s="63"/>
      <c r="F2017" s="150"/>
      <c r="G2017" s="107"/>
      <c r="H2017" s="95"/>
    </row>
    <row r="2018" spans="1:8" x14ac:dyDescent="0.3">
      <c r="A2018" s="161"/>
      <c r="B2018" s="107"/>
      <c r="C2018" s="111">
        <f>'04a_Box_Dims'!$I35</f>
        <v>0.35000000000000003</v>
      </c>
      <c r="D2018" s="113">
        <f>$A2016*$C2016*$C2017*$C2018</f>
        <v>46.900000000000006</v>
      </c>
      <c r="E2018" s="63"/>
      <c r="F2018" s="150"/>
      <c r="G2018" s="107"/>
      <c r="H2018" s="95">
        <f>'04a_Box_Dims'!$I35</f>
        <v>0.35000000000000003</v>
      </c>
    </row>
    <row r="2019" spans="1:8" x14ac:dyDescent="0.3">
      <c r="A2019" s="161"/>
      <c r="B2019" s="107"/>
      <c r="C2019" s="111"/>
      <c r="D2019" s="113">
        <f>SUM($D$2016:$D$2018)</f>
        <v>46.900000000000006</v>
      </c>
      <c r="E2019" s="63" t="s">
        <v>1660</v>
      </c>
      <c r="F2019" s="150">
        <f>ROUND($D2019,2)</f>
        <v>46.9</v>
      </c>
      <c r="G2019" s="107" t="s">
        <v>1661</v>
      </c>
      <c r="H2019" s="95"/>
    </row>
    <row r="2020" spans="1:8" x14ac:dyDescent="0.3">
      <c r="A2020" s="161"/>
      <c r="B2020" s="107"/>
      <c r="C2020" s="111"/>
      <c r="D2020" s="113"/>
      <c r="E2020" s="63"/>
      <c r="F2020" s="150"/>
      <c r="G2020" s="107"/>
      <c r="H2020" s="95"/>
    </row>
    <row r="2021" spans="1:8" x14ac:dyDescent="0.3">
      <c r="A2021" s="161"/>
      <c r="B2021" s="107"/>
      <c r="C2021" s="111"/>
      <c r="D2021" s="113"/>
      <c r="E2021" s="149" t="s">
        <v>1674</v>
      </c>
      <c r="F2021" s="150"/>
      <c r="G2021" s="107"/>
      <c r="H2021" s="95"/>
    </row>
    <row r="2022" spans="1:8" x14ac:dyDescent="0.3">
      <c r="A2022" s="161"/>
      <c r="B2022" s="107"/>
      <c r="C2022" s="111"/>
      <c r="D2022" s="113"/>
      <c r="E2022" s="63" t="s">
        <v>1675</v>
      </c>
      <c r="F2022" s="150"/>
      <c r="G2022" s="107"/>
      <c r="H2022" s="95"/>
    </row>
    <row r="2023" spans="1:8" x14ac:dyDescent="0.3">
      <c r="A2023" s="161"/>
      <c r="B2023" s="107"/>
      <c r="C2023" s="111"/>
      <c r="D2023" s="113">
        <f>SUMIF($H$2016:$H$2018,"&lt;=0.3",$D$2016:$D$2018)</f>
        <v>0</v>
      </c>
      <c r="E2023" s="63" t="s">
        <v>1670</v>
      </c>
      <c r="F2023" s="150">
        <f>ROUND($D2023,2)</f>
        <v>0</v>
      </c>
      <c r="G2023" s="107" t="s">
        <v>1661</v>
      </c>
      <c r="H2023" s="95"/>
    </row>
    <row r="2024" spans="1:8" x14ac:dyDescent="0.3">
      <c r="A2024" s="161"/>
      <c r="B2024" s="107"/>
      <c r="C2024" s="111"/>
      <c r="D2024" s="113">
        <f>SUMIF($H$2016:$H$2018,"&gt;0.3",$D$2016:$D$2018)</f>
        <v>46.900000000000006</v>
      </c>
      <c r="E2024" s="63" t="s">
        <v>1671</v>
      </c>
      <c r="F2024" s="150">
        <f>ROUND($D2024,2)</f>
        <v>46.9</v>
      </c>
      <c r="G2024" s="107" t="s">
        <v>1661</v>
      </c>
      <c r="H2024" s="95"/>
    </row>
    <row r="2025" spans="1:8" x14ac:dyDescent="0.3">
      <c r="A2025" s="161"/>
      <c r="B2025" s="107"/>
      <c r="C2025" s="111"/>
      <c r="D2025" s="113"/>
      <c r="E2025" s="63"/>
      <c r="F2025" s="150"/>
      <c r="G2025" s="107"/>
      <c r="H2025" s="95"/>
    </row>
    <row r="2026" spans="1:8" x14ac:dyDescent="0.3">
      <c r="A2026" s="161"/>
      <c r="B2026" s="107"/>
      <c r="C2026" s="111"/>
      <c r="D2026" s="113"/>
      <c r="E2026" s="149" t="s">
        <v>1455</v>
      </c>
      <c r="F2026" s="150"/>
      <c r="G2026" s="107"/>
      <c r="H2026" s="95"/>
    </row>
    <row r="2027" spans="1:8" x14ac:dyDescent="0.3">
      <c r="A2027" s="161"/>
      <c r="B2027" s="107"/>
      <c r="C2027" s="111"/>
      <c r="D2027" s="113"/>
      <c r="E2027" s="63" t="s">
        <v>1676</v>
      </c>
      <c r="F2027" s="150"/>
      <c r="G2027" s="107"/>
      <c r="H2027" s="95"/>
    </row>
    <row r="2028" spans="1:8" x14ac:dyDescent="0.3">
      <c r="A2028" s="161">
        <f>2</f>
        <v>2</v>
      </c>
      <c r="B2028" s="107" t="s">
        <v>1628</v>
      </c>
      <c r="C2028" s="111">
        <f>'04a_Box_Dims'!$AE35</f>
        <v>10</v>
      </c>
      <c r="D2028" s="113"/>
      <c r="E2028" s="63" t="s">
        <v>1677</v>
      </c>
      <c r="F2028" s="150"/>
      <c r="G2028" s="107"/>
      <c r="H2028" s="95"/>
    </row>
    <row r="2029" spans="1:8" x14ac:dyDescent="0.3">
      <c r="A2029" s="161"/>
      <c r="B2029" s="107"/>
      <c r="C2029" s="111">
        <f>'04a_Box_Dims'!$E35</f>
        <v>3</v>
      </c>
      <c r="D2029" s="113"/>
      <c r="E2029" s="63"/>
      <c r="F2029" s="150"/>
      <c r="G2029" s="107"/>
      <c r="H2029" s="95"/>
    </row>
    <row r="2030" spans="1:8" x14ac:dyDescent="0.3">
      <c r="A2030" s="161"/>
      <c r="B2030" s="107"/>
      <c r="C2030" s="111">
        <f>'04a_Box_Dims'!$I35</f>
        <v>0.35000000000000003</v>
      </c>
      <c r="D2030" s="113">
        <f>$A2028*$C2028*$C2029*$C2030</f>
        <v>21.000000000000004</v>
      </c>
      <c r="E2030" s="63"/>
      <c r="F2030" s="150"/>
      <c r="G2030" s="107"/>
      <c r="H2030" s="95">
        <f>'04a_Box_Dims'!$I35</f>
        <v>0.35000000000000003</v>
      </c>
    </row>
    <row r="2031" spans="1:8" x14ac:dyDescent="0.3">
      <c r="A2031" s="161">
        <f>'04a_Box_Dims'!$C35-1</f>
        <v>2</v>
      </c>
      <c r="B2031" s="107" t="s">
        <v>1628</v>
      </c>
      <c r="C2031" s="111">
        <f>'04a_Box_Dims'!$AE35</f>
        <v>10</v>
      </c>
      <c r="D2031" s="113"/>
      <c r="E2031" s="63" t="s">
        <v>1678</v>
      </c>
      <c r="F2031" s="150"/>
      <c r="G2031" s="107"/>
      <c r="H2031" s="95"/>
    </row>
    <row r="2032" spans="1:8" x14ac:dyDescent="0.3">
      <c r="A2032" s="161"/>
      <c r="B2032" s="107"/>
      <c r="C2032" s="111">
        <f>'04a_Box_Dims'!$E35</f>
        <v>3</v>
      </c>
      <c r="D2032" s="113"/>
      <c r="E2032" s="63"/>
      <c r="F2032" s="150"/>
      <c r="G2032" s="107"/>
      <c r="H2032" s="95"/>
    </row>
    <row r="2033" spans="1:8" x14ac:dyDescent="0.3">
      <c r="A2033" s="161"/>
      <c r="B2033" s="107"/>
      <c r="C2033" s="111">
        <f>'04a_Box_Dims'!$I35</f>
        <v>0.35000000000000003</v>
      </c>
      <c r="D2033" s="113">
        <f>$A2031*$C2031*$C2032*$C2033</f>
        <v>21.000000000000004</v>
      </c>
      <c r="E2033" s="63"/>
      <c r="F2033" s="150"/>
      <c r="G2033" s="107"/>
      <c r="H2033" s="95">
        <f>'04a_Box_Dims'!$I35</f>
        <v>0.35000000000000003</v>
      </c>
    </row>
    <row r="2034" spans="1:8" x14ac:dyDescent="0.3">
      <c r="A2034" s="161">
        <f>4*'04a_Box_Dims'!$C35</f>
        <v>12</v>
      </c>
      <c r="B2034" s="107" t="s">
        <v>1628</v>
      </c>
      <c r="C2034" s="111">
        <f>'04a_Box_Dims'!$AE35</f>
        <v>10</v>
      </c>
      <c r="D2034" s="113"/>
      <c r="E2034" s="63" t="s">
        <v>1679</v>
      </c>
      <c r="F2034" s="150"/>
      <c r="G2034" s="107"/>
      <c r="H2034" s="95"/>
    </row>
    <row r="2035" spans="1:8" x14ac:dyDescent="0.3">
      <c r="A2035" s="161"/>
      <c r="B2035" s="107"/>
      <c r="C2035" s="111">
        <f>'04a_Box_Dims'!$N35</f>
        <v>0.15</v>
      </c>
      <c r="D2035" s="113"/>
      <c r="E2035" s="63"/>
      <c r="F2035" s="150"/>
      <c r="G2035" s="107"/>
      <c r="H2035" s="95"/>
    </row>
    <row r="2036" spans="1:8" x14ac:dyDescent="0.3">
      <c r="A2036" s="161"/>
      <c r="B2036" s="107"/>
      <c r="C2036" s="111">
        <f>'04a_Box_Dims'!$N35/2</f>
        <v>7.4999999999999997E-2</v>
      </c>
      <c r="D2036" s="113">
        <f>$A2034*$C2034*$C2035*$C2036</f>
        <v>1.3499999999999999</v>
      </c>
      <c r="E2036" s="63"/>
      <c r="F2036" s="150"/>
      <c r="G2036" s="107"/>
      <c r="H2036" s="95">
        <f>'04a_Box_Dims'!$N35</f>
        <v>0.15</v>
      </c>
    </row>
    <row r="2037" spans="1:8" x14ac:dyDescent="0.3">
      <c r="A2037" s="161">
        <f>2</f>
        <v>2</v>
      </c>
      <c r="B2037" s="107" t="s">
        <v>1628</v>
      </c>
      <c r="C2037" s="111">
        <f>'04a_Box_Dims'!$J35</f>
        <v>13.4</v>
      </c>
      <c r="D2037" s="113"/>
      <c r="E2037" s="63" t="s">
        <v>1680</v>
      </c>
      <c r="F2037" s="150"/>
      <c r="G2037" s="107"/>
      <c r="H2037" s="95"/>
    </row>
    <row r="2038" spans="1:8" x14ac:dyDescent="0.3">
      <c r="A2038" s="161"/>
      <c r="B2038" s="107"/>
      <c r="C2038" s="111">
        <f>'04a_Box_Dims'!$U35</f>
        <v>0.6</v>
      </c>
      <c r="D2038" s="113"/>
      <c r="E2038" s="63"/>
      <c r="F2038" s="150"/>
      <c r="G2038" s="107"/>
      <c r="H2038" s="95"/>
    </row>
    <row r="2039" spans="1:8" x14ac:dyDescent="0.3">
      <c r="A2039" s="161"/>
      <c r="B2039" s="107"/>
      <c r="C2039" s="111">
        <f>'04a_Box_Dims'!$V35</f>
        <v>0.35000000000000003</v>
      </c>
      <c r="D2039" s="113">
        <f>$A2037*$C2037*$C2038*$C2039</f>
        <v>5.6280000000000001</v>
      </c>
      <c r="E2039" s="63"/>
      <c r="F2039" s="150"/>
      <c r="G2039" s="107"/>
      <c r="H2039" s="95">
        <f>'04a_Box_Dims'!$V35</f>
        <v>0.35000000000000003</v>
      </c>
    </row>
    <row r="2040" spans="1:8" x14ac:dyDescent="0.3">
      <c r="A2040" s="161">
        <f>4</f>
        <v>4</v>
      </c>
      <c r="B2040" s="107" t="s">
        <v>1628</v>
      </c>
      <c r="C2040" s="111">
        <f>'04a_Box_Dims'!$Z35</f>
        <v>2.1213203435596424</v>
      </c>
      <c r="D2040" s="113"/>
      <c r="E2040" s="63" t="s">
        <v>1681</v>
      </c>
      <c r="F2040" s="150"/>
      <c r="G2040" s="107"/>
      <c r="H2040" s="95"/>
    </row>
    <row r="2041" spans="1:8" x14ac:dyDescent="0.3">
      <c r="A2041" s="161"/>
      <c r="B2041" s="107"/>
      <c r="C2041" s="111">
        <f>'04a_Box_Dims'!$Y35</f>
        <v>4.1928932188134524</v>
      </c>
      <c r="D2041" s="113"/>
      <c r="E2041" s="63"/>
      <c r="F2041" s="150"/>
      <c r="G2041" s="107"/>
      <c r="H2041" s="95"/>
    </row>
    <row r="2042" spans="1:8" x14ac:dyDescent="0.3">
      <c r="A2042" s="161"/>
      <c r="B2042" s="107"/>
      <c r="C2042" s="111">
        <f>'04a_Box_Dims'!$AB35</f>
        <v>0.41</v>
      </c>
      <c r="D2042" s="113">
        <f>$A2040*$C2040*$C2041*$C2042</f>
        <v>14.586930280845285</v>
      </c>
      <c r="E2042" s="63"/>
      <c r="F2042" s="150"/>
      <c r="G2042" s="107"/>
      <c r="H2042" s="95">
        <f>'04a_Box_Dims'!$AB35</f>
        <v>0.41</v>
      </c>
    </row>
    <row r="2043" spans="1:8" x14ac:dyDescent="0.3">
      <c r="A2043" s="161"/>
      <c r="B2043" s="107"/>
      <c r="C2043" s="111"/>
      <c r="D2043" s="113">
        <f>SUM($D$2028:$D$2042)</f>
        <v>63.564930280845296</v>
      </c>
      <c r="E2043" s="63" t="s">
        <v>1660</v>
      </c>
      <c r="F2043" s="150">
        <f>ROUND($D2043,2)</f>
        <v>63.56</v>
      </c>
      <c r="G2043" s="107" t="s">
        <v>1661</v>
      </c>
      <c r="H2043" s="95"/>
    </row>
    <row r="2044" spans="1:8" x14ac:dyDescent="0.3">
      <c r="A2044" s="161"/>
      <c r="B2044" s="107"/>
      <c r="C2044" s="111"/>
      <c r="D2044" s="113"/>
      <c r="E2044" s="63"/>
      <c r="F2044" s="150"/>
      <c r="G2044" s="107"/>
      <c r="H2044" s="95"/>
    </row>
    <row r="2045" spans="1:8" x14ac:dyDescent="0.3">
      <c r="A2045" s="161"/>
      <c r="B2045" s="107"/>
      <c r="C2045" s="111"/>
      <c r="D2045" s="113"/>
      <c r="E2045" s="149" t="s">
        <v>1682</v>
      </c>
      <c r="F2045" s="150"/>
      <c r="G2045" s="107"/>
      <c r="H2045" s="95"/>
    </row>
    <row r="2046" spans="1:8" x14ac:dyDescent="0.3">
      <c r="A2046" s="161"/>
      <c r="B2046" s="107"/>
      <c r="C2046" s="111"/>
      <c r="D2046" s="113"/>
      <c r="E2046" s="63" t="s">
        <v>1683</v>
      </c>
      <c r="F2046" s="150"/>
      <c r="G2046" s="107"/>
      <c r="H2046" s="95"/>
    </row>
    <row r="2047" spans="1:8" x14ac:dyDescent="0.3">
      <c r="A2047" s="161"/>
      <c r="B2047" s="107"/>
      <c r="C2047" s="111"/>
      <c r="D2047" s="113">
        <f>SUMIF($H$2028:$H$2042,"&lt;=0.3",$D$2028:$D$2042)</f>
        <v>1.3499999999999999</v>
      </c>
      <c r="E2047" s="63" t="s">
        <v>1670</v>
      </c>
      <c r="F2047" s="150">
        <f>ROUND($D2047,2)</f>
        <v>1.35</v>
      </c>
      <c r="G2047" s="107" t="s">
        <v>1661</v>
      </c>
      <c r="H2047" s="95"/>
    </row>
    <row r="2048" spans="1:8" x14ac:dyDescent="0.3">
      <c r="A2048" s="161"/>
      <c r="B2048" s="107"/>
      <c r="C2048" s="111"/>
      <c r="D2048" s="113">
        <f>SUMIF($H$2028:$H$2042,"&gt;0.3",$D$2028:$D$2042)</f>
        <v>62.214930280845294</v>
      </c>
      <c r="E2048" s="63" t="s">
        <v>1671</v>
      </c>
      <c r="F2048" s="150">
        <f>ROUND($D2048,2)</f>
        <v>62.21</v>
      </c>
      <c r="G2048" s="107" t="s">
        <v>1661</v>
      </c>
      <c r="H2048" s="95"/>
    </row>
    <row r="2049" spans="1:8" x14ac:dyDescent="0.3">
      <c r="A2049" s="161"/>
      <c r="B2049" s="107"/>
      <c r="C2049" s="111"/>
      <c r="D2049" s="113"/>
      <c r="E2049" s="63"/>
      <c r="F2049" s="150"/>
      <c r="G2049" s="107"/>
      <c r="H2049" s="95"/>
    </row>
    <row r="2050" spans="1:8" x14ac:dyDescent="0.3">
      <c r="A2050" s="161"/>
      <c r="B2050" s="107"/>
      <c r="C2050" s="111"/>
      <c r="D2050" s="113"/>
      <c r="E2050" s="149" t="s">
        <v>1445</v>
      </c>
      <c r="F2050" s="150"/>
      <c r="G2050" s="107"/>
      <c r="H2050" s="95"/>
    </row>
    <row r="2051" spans="1:8" x14ac:dyDescent="0.3">
      <c r="A2051" s="161"/>
      <c r="B2051" s="107"/>
      <c r="C2051" s="111"/>
      <c r="D2051" s="113"/>
      <c r="E2051" s="63" t="s">
        <v>1684</v>
      </c>
      <c r="F2051" s="150"/>
      <c r="G2051" s="107"/>
      <c r="H2051" s="95"/>
    </row>
    <row r="2052" spans="1:8" x14ac:dyDescent="0.3">
      <c r="A2052" s="161">
        <f>2</f>
        <v>2</v>
      </c>
      <c r="B2052" s="107" t="s">
        <v>1628</v>
      </c>
      <c r="C2052" s="111">
        <f>'04a_Box_Dims'!$AE35</f>
        <v>10</v>
      </c>
      <c r="D2052" s="113"/>
      <c r="E2052" s="63" t="s">
        <v>1685</v>
      </c>
      <c r="F2052" s="150"/>
      <c r="G2052" s="107"/>
      <c r="H2052" s="95"/>
    </row>
    <row r="2053" spans="1:8" x14ac:dyDescent="0.3">
      <c r="A2053" s="161"/>
      <c r="B2053" s="107"/>
      <c r="C2053" s="111">
        <f>'04a_Box_Dims'!$E35</f>
        <v>3</v>
      </c>
      <c r="D2053" s="113">
        <f>$A2052*$C2052*$C2053</f>
        <v>60</v>
      </c>
      <c r="E2053" s="63"/>
      <c r="F2053" s="150"/>
      <c r="G2053" s="107"/>
      <c r="H2053" s="95"/>
    </row>
    <row r="2054" spans="1:8" x14ac:dyDescent="0.3">
      <c r="A2054" s="161">
        <f>4</f>
        <v>4</v>
      </c>
      <c r="B2054" s="107" t="s">
        <v>1628</v>
      </c>
      <c r="C2054" s="111">
        <f>'04a_Box_Dims'!$Z35</f>
        <v>2.1213203435596424</v>
      </c>
      <c r="D2054" s="113"/>
      <c r="E2054" s="63" t="s">
        <v>1686</v>
      </c>
      <c r="F2054" s="150"/>
      <c r="G2054" s="107"/>
      <c r="H2054" s="95"/>
    </row>
    <row r="2055" spans="1:8" x14ac:dyDescent="0.3">
      <c r="A2055" s="161"/>
      <c r="B2055" s="107"/>
      <c r="C2055" s="111">
        <f>'04a_Box_Dims'!$Y35</f>
        <v>4.1928932188134524</v>
      </c>
      <c r="D2055" s="113">
        <f>$A2054*$C2054*$C2055</f>
        <v>35.577878733768991</v>
      </c>
      <c r="E2055" s="63"/>
      <c r="F2055" s="150"/>
      <c r="G2055" s="107"/>
      <c r="H2055" s="95"/>
    </row>
    <row r="2056" spans="1:8" x14ac:dyDescent="0.3">
      <c r="A2056" s="161">
        <f>2</f>
        <v>2</v>
      </c>
      <c r="B2056" s="107" t="s">
        <v>1628</v>
      </c>
      <c r="C2056" s="111">
        <f>'04a_Box_Dims'!$J35</f>
        <v>13.4</v>
      </c>
      <c r="D2056" s="113"/>
      <c r="E2056" s="63" t="s">
        <v>1687</v>
      </c>
      <c r="F2056" s="150"/>
      <c r="G2056" s="107"/>
      <c r="H2056" s="95"/>
    </row>
    <row r="2057" spans="1:8" x14ac:dyDescent="0.3">
      <c r="A2057" s="161"/>
      <c r="B2057" s="107"/>
      <c r="C2057" s="111">
        <f>'04a_Box_Dims'!$U35</f>
        <v>0.6</v>
      </c>
      <c r="D2057" s="113">
        <f>$A2056*$C2056*$C2057</f>
        <v>16.079999999999998</v>
      </c>
      <c r="E2057" s="63"/>
      <c r="F2057" s="150"/>
      <c r="G2057" s="107"/>
      <c r="H2057" s="95"/>
    </row>
    <row r="2058" spans="1:8" x14ac:dyDescent="0.3">
      <c r="A2058" s="161"/>
      <c r="B2058" s="107"/>
      <c r="C2058" s="111"/>
      <c r="D2058" s="113">
        <f>SUM($D$2052:$D$2057)</f>
        <v>111.65787873376898</v>
      </c>
      <c r="E2058" s="63" t="s">
        <v>1660</v>
      </c>
      <c r="F2058" s="150">
        <f>ROUND($D2058,2)</f>
        <v>111.66</v>
      </c>
      <c r="G2058" s="107" t="s">
        <v>1688</v>
      </c>
      <c r="H2058" s="95"/>
    </row>
    <row r="2059" spans="1:8" x14ac:dyDescent="0.3">
      <c r="A2059" s="161"/>
      <c r="B2059" s="107"/>
      <c r="C2059" s="111"/>
      <c r="D2059" s="113"/>
      <c r="E2059" s="63"/>
      <c r="F2059" s="150"/>
      <c r="G2059" s="107"/>
      <c r="H2059" s="95"/>
    </row>
    <row r="2060" spans="1:8" x14ac:dyDescent="0.3">
      <c r="A2060" s="161"/>
      <c r="B2060" s="107"/>
      <c r="C2060" s="111"/>
      <c r="D2060" s="113"/>
      <c r="E2060" s="149" t="s">
        <v>1446</v>
      </c>
      <c r="F2060" s="150"/>
      <c r="G2060" s="107"/>
      <c r="H2060" s="95"/>
    </row>
    <row r="2061" spans="1:8" x14ac:dyDescent="0.3">
      <c r="A2061" s="161"/>
      <c r="B2061" s="107"/>
      <c r="C2061" s="111"/>
      <c r="D2061" s="113"/>
      <c r="E2061" s="63" t="s">
        <v>1689</v>
      </c>
      <c r="F2061" s="150"/>
      <c r="G2061" s="107"/>
      <c r="H2061" s="95"/>
    </row>
    <row r="2062" spans="1:8" x14ac:dyDescent="0.3">
      <c r="A2062" s="161">
        <f>2</f>
        <v>2</v>
      </c>
      <c r="B2062" s="107" t="s">
        <v>1628</v>
      </c>
      <c r="C2062" s="111">
        <f>'04a_Box_Dims'!$O35</f>
        <v>1.5</v>
      </c>
      <c r="D2062" s="113"/>
      <c r="E2062" s="63" t="s">
        <v>1690</v>
      </c>
      <c r="F2062" s="150"/>
      <c r="G2062" s="107"/>
      <c r="H2062" s="95"/>
    </row>
    <row r="2063" spans="1:8" x14ac:dyDescent="0.3">
      <c r="A2063" s="161"/>
      <c r="B2063" s="107"/>
      <c r="C2063" s="111">
        <f>'04a_Box_Dims'!$Q35</f>
        <v>14.9</v>
      </c>
      <c r="D2063" s="113">
        <f>$A2062*$C2062*$C2063</f>
        <v>44.7</v>
      </c>
      <c r="E2063" s="63"/>
      <c r="F2063" s="150"/>
      <c r="G2063" s="107"/>
      <c r="H2063" s="95"/>
    </row>
    <row r="2064" spans="1:8" x14ac:dyDescent="0.3">
      <c r="A2064" s="161"/>
      <c r="B2064" s="107"/>
      <c r="C2064" s="111"/>
      <c r="D2064" s="113">
        <f>SUM($D$2062:$D$2063)</f>
        <v>44.7</v>
      </c>
      <c r="E2064" s="63" t="s">
        <v>1660</v>
      </c>
      <c r="F2064" s="150">
        <f>ROUND($D2064,2)</f>
        <v>44.7</v>
      </c>
      <c r="G2064" s="107" t="s">
        <v>1688</v>
      </c>
      <c r="H2064" s="95"/>
    </row>
    <row r="2065" spans="1:8" x14ac:dyDescent="0.3">
      <c r="A2065" s="161"/>
      <c r="B2065" s="107"/>
      <c r="C2065" s="111"/>
      <c r="D2065" s="113"/>
      <c r="E2065" s="63"/>
      <c r="F2065" s="150"/>
      <c r="G2065" s="107"/>
      <c r="H2065" s="95"/>
    </row>
    <row r="2066" spans="1:8" x14ac:dyDescent="0.3">
      <c r="A2066" s="161"/>
      <c r="B2066" s="107"/>
      <c r="C2066" s="111"/>
      <c r="D2066" s="113"/>
      <c r="E2066" s="149" t="s">
        <v>1447</v>
      </c>
      <c r="F2066" s="150"/>
      <c r="G2066" s="107"/>
      <c r="H2066" s="95"/>
    </row>
    <row r="2067" spans="1:8" x14ac:dyDescent="0.3">
      <c r="A2067" s="161"/>
      <c r="B2067" s="107"/>
      <c r="C2067" s="111"/>
      <c r="D2067" s="113"/>
      <c r="E2067" s="63" t="s">
        <v>1691</v>
      </c>
      <c r="F2067" s="150"/>
      <c r="G2067" s="107"/>
      <c r="H2067" s="95"/>
    </row>
    <row r="2068" spans="1:8" x14ac:dyDescent="0.3">
      <c r="A2068" s="161">
        <f>4</f>
        <v>4</v>
      </c>
      <c r="B2068" s="107" t="s">
        <v>1628</v>
      </c>
      <c r="C2068" s="111">
        <f>'04a_Box_Dims'!$J35</f>
        <v>13.4</v>
      </c>
      <c r="D2068" s="113"/>
      <c r="E2068" s="63" t="s">
        <v>1692</v>
      </c>
      <c r="F2068" s="150"/>
      <c r="G2068" s="107"/>
      <c r="H2068" s="95"/>
    </row>
    <row r="2069" spans="1:8" x14ac:dyDescent="0.3">
      <c r="A2069" s="161"/>
      <c r="B2069" s="107"/>
      <c r="C2069" s="111">
        <f>'04a_Box_Dims'!$I35</f>
        <v>0.35000000000000003</v>
      </c>
      <c r="D2069" s="113">
        <f>$A2068*$C2068*$C2069</f>
        <v>18.760000000000002</v>
      </c>
      <c r="E2069" s="63"/>
      <c r="F2069" s="150"/>
      <c r="G2069" s="107"/>
      <c r="H2069" s="95"/>
    </row>
    <row r="2070" spans="1:8" x14ac:dyDescent="0.3">
      <c r="A2070" s="161">
        <f>4</f>
        <v>4</v>
      </c>
      <c r="B2070" s="107" t="s">
        <v>1628</v>
      </c>
      <c r="C2070" s="111">
        <f>'04a_Box_Dims'!$O35</f>
        <v>1.5</v>
      </c>
      <c r="D2070" s="113"/>
      <c r="E2070" s="63" t="s">
        <v>1693</v>
      </c>
      <c r="F2070" s="150"/>
      <c r="G2070" s="107"/>
      <c r="H2070" s="95"/>
    </row>
    <row r="2071" spans="1:8" x14ac:dyDescent="0.3">
      <c r="A2071" s="161"/>
      <c r="B2071" s="107"/>
      <c r="C2071" s="111">
        <f>'04a_Box_Dims'!$P35</f>
        <v>0.35000000000000003</v>
      </c>
      <c r="D2071" s="113">
        <f>$A2070*$C2070*$C2071</f>
        <v>2.1</v>
      </c>
      <c r="E2071" s="63"/>
      <c r="F2071" s="150"/>
      <c r="G2071" s="107"/>
      <c r="H2071" s="95"/>
    </row>
    <row r="2072" spans="1:8" x14ac:dyDescent="0.3">
      <c r="A2072" s="161"/>
      <c r="B2072" s="107"/>
      <c r="C2072" s="111"/>
      <c r="D2072" s="113">
        <f>SUM($D$2068:$D$2071)</f>
        <v>20.860000000000003</v>
      </c>
      <c r="E2072" s="63" t="s">
        <v>1660</v>
      </c>
      <c r="F2072" s="150">
        <f>ROUND($D2072,2)</f>
        <v>20.86</v>
      </c>
      <c r="G2072" s="107" t="s">
        <v>1688</v>
      </c>
      <c r="H2072" s="95"/>
    </row>
    <row r="2073" spans="1:8" x14ac:dyDescent="0.3">
      <c r="A2073" s="161"/>
      <c r="B2073" s="107"/>
      <c r="C2073" s="111"/>
      <c r="D2073" s="113"/>
      <c r="E2073" s="63"/>
      <c r="F2073" s="150"/>
      <c r="G2073" s="107"/>
      <c r="H2073" s="95"/>
    </row>
    <row r="2074" spans="1:8" x14ac:dyDescent="0.3">
      <c r="A2074" s="161"/>
      <c r="B2074" s="107"/>
      <c r="C2074" s="111"/>
      <c r="D2074" s="113"/>
      <c r="E2074" s="149" t="s">
        <v>1448</v>
      </c>
      <c r="F2074" s="150"/>
      <c r="G2074" s="107"/>
      <c r="H2074" s="95"/>
    </row>
    <row r="2075" spans="1:8" x14ac:dyDescent="0.3">
      <c r="A2075" s="161"/>
      <c r="B2075" s="107"/>
      <c r="C2075" s="111"/>
      <c r="D2075" s="113"/>
      <c r="E2075" s="63" t="s">
        <v>1694</v>
      </c>
      <c r="F2075" s="150"/>
      <c r="G2075" s="107"/>
      <c r="H2075" s="95"/>
    </row>
    <row r="2076" spans="1:8" x14ac:dyDescent="0.3">
      <c r="A2076" s="161">
        <f>1</f>
        <v>1</v>
      </c>
      <c r="B2076" s="107" t="s">
        <v>1628</v>
      </c>
      <c r="C2076" s="111">
        <f>'04a_Box_Dims'!$AE35</f>
        <v>10</v>
      </c>
      <c r="D2076" s="113"/>
      <c r="E2076" s="63" t="s">
        <v>1695</v>
      </c>
      <c r="F2076" s="150"/>
      <c r="G2076" s="107"/>
      <c r="H2076" s="95"/>
    </row>
    <row r="2077" spans="1:8" x14ac:dyDescent="0.3">
      <c r="A2077" s="161"/>
      <c r="B2077" s="107"/>
      <c r="C2077" s="111">
        <f>'04a_Box_Dims'!$K35</f>
        <v>12.7</v>
      </c>
      <c r="D2077" s="113">
        <f>$A2076*$C2076*$C2077</f>
        <v>127</v>
      </c>
      <c r="E2077" s="63"/>
      <c r="F2077" s="150"/>
      <c r="G2077" s="107"/>
      <c r="H2077" s="95"/>
    </row>
    <row r="2078" spans="1:8" x14ac:dyDescent="0.3">
      <c r="A2078" s="161"/>
      <c r="B2078" s="107"/>
      <c r="C2078" s="111"/>
      <c r="D2078" s="113">
        <f>SUM($D$2076:$D$2077)</f>
        <v>127</v>
      </c>
      <c r="E2078" s="63" t="s">
        <v>1660</v>
      </c>
      <c r="F2078" s="150">
        <f>ROUND($D2078,2)</f>
        <v>127</v>
      </c>
      <c r="G2078" s="107" t="s">
        <v>1688</v>
      </c>
      <c r="H2078" s="95"/>
    </row>
    <row r="2079" spans="1:8" x14ac:dyDescent="0.3">
      <c r="A2079" s="161"/>
      <c r="B2079" s="107"/>
      <c r="C2079" s="111"/>
      <c r="D2079" s="113"/>
      <c r="E2079" s="63"/>
      <c r="F2079" s="150"/>
      <c r="G2079" s="107"/>
      <c r="H2079" s="95"/>
    </row>
    <row r="2080" spans="1:8" x14ac:dyDescent="0.3">
      <c r="A2080" s="161"/>
      <c r="B2080" s="107"/>
      <c r="C2080" s="111"/>
      <c r="D2080" s="113"/>
      <c r="E2080" s="149" t="s">
        <v>1449</v>
      </c>
      <c r="F2080" s="150"/>
      <c r="G2080" s="107"/>
      <c r="H2080" s="95"/>
    </row>
    <row r="2081" spans="1:8" x14ac:dyDescent="0.3">
      <c r="A2081" s="161"/>
      <c r="B2081" s="107"/>
      <c r="C2081" s="111"/>
      <c r="D2081" s="113"/>
      <c r="E2081" s="63" t="s">
        <v>1696</v>
      </c>
      <c r="F2081" s="150"/>
      <c r="G2081" s="107"/>
      <c r="H2081" s="95"/>
    </row>
    <row r="2082" spans="1:8" x14ac:dyDescent="0.3">
      <c r="A2082" s="161">
        <f>2</f>
        <v>2</v>
      </c>
      <c r="B2082" s="107" t="s">
        <v>1628</v>
      </c>
      <c r="C2082" s="111">
        <f>'04a_Box_Dims'!$J35</f>
        <v>13.4</v>
      </c>
      <c r="D2082" s="113"/>
      <c r="E2082" s="63" t="s">
        <v>1697</v>
      </c>
      <c r="F2082" s="150"/>
      <c r="G2082" s="107"/>
      <c r="H2082" s="95"/>
    </row>
    <row r="2083" spans="1:8" x14ac:dyDescent="0.3">
      <c r="A2083" s="161"/>
      <c r="B2083" s="107"/>
      <c r="C2083" s="111">
        <f>'04a_Box_Dims'!$U35</f>
        <v>0.6</v>
      </c>
      <c r="D2083" s="113">
        <f>$A2082*$C2082*$C2083</f>
        <v>16.079999999999998</v>
      </c>
      <c r="E2083" s="63"/>
      <c r="F2083" s="150"/>
      <c r="G2083" s="107"/>
      <c r="H2083" s="95"/>
    </row>
    <row r="2084" spans="1:8" x14ac:dyDescent="0.3">
      <c r="A2084" s="161"/>
      <c r="B2084" s="107"/>
      <c r="C2084" s="111"/>
      <c r="D2084" s="113">
        <f>SUM($D$2082:$D$2083)</f>
        <v>16.079999999999998</v>
      </c>
      <c r="E2084" s="63" t="s">
        <v>1660</v>
      </c>
      <c r="F2084" s="150">
        <f>ROUND($D2084,2)</f>
        <v>16.079999999999998</v>
      </c>
      <c r="G2084" s="107" t="s">
        <v>1688</v>
      </c>
      <c r="H2084" s="95"/>
    </row>
    <row r="2085" spans="1:8" x14ac:dyDescent="0.3">
      <c r="A2085" s="161"/>
      <c r="B2085" s="107"/>
      <c r="C2085" s="111"/>
      <c r="D2085" s="113"/>
      <c r="E2085" s="63"/>
      <c r="F2085" s="150"/>
      <c r="G2085" s="107"/>
      <c r="H2085" s="95"/>
    </row>
    <row r="2086" spans="1:8" x14ac:dyDescent="0.3">
      <c r="A2086" s="161"/>
      <c r="B2086" s="107"/>
      <c r="C2086" s="111"/>
      <c r="D2086" s="113"/>
      <c r="E2086" s="149" t="s">
        <v>1329</v>
      </c>
      <c r="F2086" s="150"/>
      <c r="G2086" s="107"/>
      <c r="H2086" s="95"/>
    </row>
    <row r="2087" spans="1:8" x14ac:dyDescent="0.3">
      <c r="A2087" s="161"/>
      <c r="B2087" s="107"/>
      <c r="C2087" s="111"/>
      <c r="D2087" s="113"/>
      <c r="E2087" s="63" t="s">
        <v>1698</v>
      </c>
      <c r="F2087" s="150"/>
      <c r="G2087" s="107"/>
      <c r="H2087" s="95"/>
    </row>
    <row r="2088" spans="1:8" x14ac:dyDescent="0.3">
      <c r="A2088" s="161">
        <f>2</f>
        <v>2</v>
      </c>
      <c r="B2088" s="107" t="s">
        <v>1628</v>
      </c>
      <c r="C2088" s="111">
        <f>'04a_Box_Dims'!$AE35</f>
        <v>10</v>
      </c>
      <c r="D2088" s="113"/>
      <c r="E2088" s="63" t="s">
        <v>1699</v>
      </c>
      <c r="F2088" s="150"/>
      <c r="G2088" s="107"/>
      <c r="H2088" s="95"/>
    </row>
    <row r="2089" spans="1:8" x14ac:dyDescent="0.3">
      <c r="A2089" s="161"/>
      <c r="B2089" s="107"/>
      <c r="C2089" s="111">
        <f>'04a_Box_Dims'!$E35</f>
        <v>3</v>
      </c>
      <c r="D2089" s="113">
        <f>$A2088*$C2088*$C2089</f>
        <v>60</v>
      </c>
      <c r="E2089" s="63"/>
      <c r="F2089" s="150"/>
      <c r="G2089" s="107"/>
      <c r="H2089" s="95"/>
    </row>
    <row r="2090" spans="1:8" x14ac:dyDescent="0.3">
      <c r="A2090" s="161">
        <f>('04a_Box_Dims'!$C35-1)*2</f>
        <v>4</v>
      </c>
      <c r="B2090" s="107" t="s">
        <v>1628</v>
      </c>
      <c r="C2090" s="111">
        <f>'04a_Box_Dims'!$AE35</f>
        <v>10</v>
      </c>
      <c r="D2090" s="113"/>
      <c r="E2090" s="63" t="s">
        <v>1700</v>
      </c>
      <c r="F2090" s="150"/>
      <c r="G2090" s="107"/>
      <c r="H2090" s="95"/>
    </row>
    <row r="2091" spans="1:8" x14ac:dyDescent="0.3">
      <c r="A2091" s="161"/>
      <c r="B2091" s="107"/>
      <c r="C2091" s="111">
        <f>'04a_Box_Dims'!$E35</f>
        <v>3</v>
      </c>
      <c r="D2091" s="113">
        <f>$A2090*$C2090*$C2091</f>
        <v>120</v>
      </c>
      <c r="E2091" s="63"/>
      <c r="F2091" s="150"/>
      <c r="G2091" s="107"/>
      <c r="H2091" s="95"/>
    </row>
    <row r="2092" spans="1:8" x14ac:dyDescent="0.3">
      <c r="A2092" s="161">
        <f>4</f>
        <v>4</v>
      </c>
      <c r="B2092" s="107" t="s">
        <v>1628</v>
      </c>
      <c r="C2092" s="111">
        <f>'04a_Box_Dims'!$Z35</f>
        <v>2.1213203435596424</v>
      </c>
      <c r="D2092" s="113"/>
      <c r="E2092" s="63" t="s">
        <v>1701</v>
      </c>
      <c r="F2092" s="150"/>
      <c r="G2092" s="107"/>
      <c r="H2092" s="95"/>
    </row>
    <row r="2093" spans="1:8" x14ac:dyDescent="0.3">
      <c r="A2093" s="161"/>
      <c r="B2093" s="107"/>
      <c r="C2093" s="111">
        <f>'04a_Box_Dims'!$Y35</f>
        <v>4.1928932188134524</v>
      </c>
      <c r="D2093" s="113">
        <f>$A2092*$C2092*$C2093</f>
        <v>35.577878733768991</v>
      </c>
      <c r="E2093" s="63"/>
      <c r="F2093" s="150"/>
      <c r="G2093" s="107"/>
      <c r="H2093" s="95"/>
    </row>
    <row r="2094" spans="1:8" x14ac:dyDescent="0.3">
      <c r="A2094" s="161"/>
      <c r="B2094" s="107"/>
      <c r="C2094" s="111"/>
      <c r="D2094" s="113">
        <f>SUM($D$2088:$D$2093)</f>
        <v>215.57787873376898</v>
      </c>
      <c r="E2094" s="63" t="s">
        <v>1660</v>
      </c>
      <c r="F2094" s="150">
        <f>ROUND($D2094,2)</f>
        <v>215.58</v>
      </c>
      <c r="G2094" s="107" t="s">
        <v>1688</v>
      </c>
      <c r="H2094" s="95"/>
    </row>
    <row r="2095" spans="1:8" x14ac:dyDescent="0.3">
      <c r="A2095" s="161"/>
      <c r="B2095" s="107"/>
      <c r="C2095" s="111"/>
      <c r="D2095" s="113"/>
      <c r="E2095" s="63"/>
      <c r="F2095" s="150"/>
      <c r="G2095" s="107"/>
      <c r="H2095" s="95"/>
    </row>
    <row r="2096" spans="1:8" x14ac:dyDescent="0.3">
      <c r="A2096" s="161"/>
      <c r="B2096" s="107"/>
      <c r="C2096" s="111"/>
      <c r="D2096" s="113"/>
      <c r="E2096" s="149" t="s">
        <v>1702</v>
      </c>
      <c r="F2096" s="150"/>
      <c r="G2096" s="107"/>
      <c r="H2096" s="95"/>
    </row>
    <row r="2097" spans="1:8" x14ac:dyDescent="0.3">
      <c r="A2097" s="161"/>
      <c r="B2097" s="107"/>
      <c r="C2097" s="111"/>
      <c r="D2097" s="113"/>
      <c r="E2097" s="63" t="s">
        <v>1703</v>
      </c>
      <c r="F2097" s="150"/>
      <c r="G2097" s="107"/>
      <c r="H2097" s="95"/>
    </row>
    <row r="2098" spans="1:8" x14ac:dyDescent="0.3">
      <c r="A2098" s="161"/>
      <c r="B2098" s="107"/>
      <c r="C2098" s="111"/>
      <c r="D2098" s="113">
        <v>0</v>
      </c>
      <c r="E2098" s="63" t="s">
        <v>1704</v>
      </c>
      <c r="F2098" s="150">
        <f t="shared" ref="F2098:F2103" si="13">ROUND($D2098,3)</f>
        <v>0</v>
      </c>
      <c r="G2098" s="107" t="s">
        <v>1474</v>
      </c>
      <c r="H2098" s="95"/>
    </row>
    <row r="2099" spans="1:8" x14ac:dyDescent="0.3">
      <c r="A2099" s="161"/>
      <c r="B2099" s="107"/>
      <c r="C2099" s="111"/>
      <c r="D2099" s="113">
        <f>'04b_Box_Bars'!$S22/1000</f>
        <v>2.9593802796815853</v>
      </c>
      <c r="E2099" s="63" t="s">
        <v>1705</v>
      </c>
      <c r="F2099" s="150">
        <f t="shared" si="13"/>
        <v>2.9590000000000001</v>
      </c>
      <c r="G2099" s="107" t="s">
        <v>1474</v>
      </c>
      <c r="H2099" s="95"/>
    </row>
    <row r="2100" spans="1:8" x14ac:dyDescent="0.3">
      <c r="A2100" s="161"/>
      <c r="B2100" s="107"/>
      <c r="C2100" s="111"/>
      <c r="D2100" s="113">
        <f>'04b_Box_Bars'!$T22/1000</f>
        <v>12.508693177380668</v>
      </c>
      <c r="E2100" s="63" t="s">
        <v>1706</v>
      </c>
      <c r="F2100" s="150">
        <f t="shared" si="13"/>
        <v>12.509</v>
      </c>
      <c r="G2100" s="107" t="s">
        <v>1474</v>
      </c>
      <c r="H2100" s="95"/>
    </row>
    <row r="2101" spans="1:8" x14ac:dyDescent="0.3">
      <c r="A2101" s="161"/>
      <c r="B2101" s="107"/>
      <c r="C2101" s="111"/>
      <c r="D2101" s="113">
        <f>'04b_Box_Bars'!$U22/1000</f>
        <v>2.9808456513102084</v>
      </c>
      <c r="E2101" s="63" t="s">
        <v>1707</v>
      </c>
      <c r="F2101" s="150">
        <f t="shared" si="13"/>
        <v>2.9809999999999999</v>
      </c>
      <c r="G2101" s="107" t="s">
        <v>1474</v>
      </c>
      <c r="H2101" s="95"/>
    </row>
    <row r="2102" spans="1:8" x14ac:dyDescent="0.3">
      <c r="A2102" s="161"/>
      <c r="B2102" s="107"/>
      <c r="C2102" s="111"/>
      <c r="D2102" s="113">
        <f>'04b_Box_Bars'!$V22/1000</f>
        <v>0.97264965192201414</v>
      </c>
      <c r="E2102" s="63" t="s">
        <v>1708</v>
      </c>
      <c r="F2102" s="150">
        <f t="shared" si="13"/>
        <v>0.97299999999999998</v>
      </c>
      <c r="G2102" s="107" t="s">
        <v>1474</v>
      </c>
      <c r="H2102" s="95"/>
    </row>
    <row r="2103" spans="1:8" x14ac:dyDescent="0.3">
      <c r="A2103" s="161"/>
      <c r="B2103" s="107"/>
      <c r="C2103" s="111"/>
      <c r="D2103" s="113">
        <f>'04b_Box_Bars'!$W22/1000</f>
        <v>0</v>
      </c>
      <c r="E2103" s="63" t="s">
        <v>1709</v>
      </c>
      <c r="F2103" s="150">
        <f t="shared" si="13"/>
        <v>0</v>
      </c>
      <c r="G2103" s="107" t="s">
        <v>1474</v>
      </c>
      <c r="H2103" s="95"/>
    </row>
    <row r="2104" spans="1:8" x14ac:dyDescent="0.3">
      <c r="A2104" s="161"/>
      <c r="B2104" s="107"/>
      <c r="C2104" s="111"/>
      <c r="D2104" s="113"/>
      <c r="E2104" s="63"/>
      <c r="F2104" s="150"/>
      <c r="G2104" s="107"/>
      <c r="H2104" s="95"/>
    </row>
    <row r="2105" spans="1:8" x14ac:dyDescent="0.3">
      <c r="A2105" s="161"/>
      <c r="B2105" s="107"/>
      <c r="C2105" s="111"/>
      <c r="D2105" s="113"/>
      <c r="E2105" s="63"/>
      <c r="F2105" s="150"/>
      <c r="G2105" s="107"/>
      <c r="H2105" s="95"/>
    </row>
    <row r="2106" spans="1:8" x14ac:dyDescent="0.3">
      <c r="A2106" s="160" t="str">
        <f>'04a_Box_Dims'!$F36&amp;"  No.  "&amp;'04a_Box_Dims'!$A36&amp;"   (L = "&amp;TEXT('04a_Box_Dims'!$AE36,"0.00")&amp;" m)"</f>
        <v>0  No.  1/4x4 box culvert   (L = 10.00 m)</v>
      </c>
      <c r="B2106" s="146"/>
      <c r="C2106" s="162"/>
      <c r="D2106" s="163"/>
      <c r="E2106" s="147"/>
      <c r="F2106" s="148"/>
      <c r="G2106" s="146"/>
      <c r="H2106" s="151"/>
    </row>
    <row r="2107" spans="1:8" x14ac:dyDescent="0.3">
      <c r="A2107" s="161"/>
      <c r="B2107" s="107"/>
      <c r="C2107" s="111"/>
      <c r="D2107" s="113"/>
      <c r="E2107" s="149" t="s">
        <v>1438</v>
      </c>
      <c r="F2107" s="150"/>
      <c r="G2107" s="107"/>
      <c r="H2107" s="95"/>
    </row>
    <row r="2108" spans="1:8" x14ac:dyDescent="0.3">
      <c r="A2108" s="161"/>
      <c r="B2108" s="107"/>
      <c r="C2108" s="111"/>
      <c r="D2108" s="113"/>
      <c r="E2108" s="63" t="s">
        <v>1655</v>
      </c>
      <c r="F2108" s="150"/>
      <c r="G2108" s="107"/>
      <c r="H2108" s="95"/>
    </row>
    <row r="2109" spans="1:8" x14ac:dyDescent="0.3">
      <c r="A2109" s="161">
        <f>1</f>
        <v>1</v>
      </c>
      <c r="B2109" s="107" t="s">
        <v>1628</v>
      </c>
      <c r="C2109" s="111">
        <f>'04a_Box_Dims'!$AE36</f>
        <v>10</v>
      </c>
      <c r="D2109" s="113"/>
      <c r="E2109" s="63" t="s">
        <v>1656</v>
      </c>
      <c r="F2109" s="150"/>
      <c r="G2109" s="107"/>
      <c r="H2109" s="95"/>
    </row>
    <row r="2110" spans="1:8" x14ac:dyDescent="0.3">
      <c r="A2110" s="161"/>
      <c r="B2110" s="107"/>
      <c r="C2110" s="111">
        <f>'04a_Box_Dims'!$J36+2*BX_work</f>
        <v>5.3</v>
      </c>
      <c r="D2110" s="113"/>
      <c r="E2110" s="63"/>
      <c r="F2110" s="150"/>
      <c r="G2110" s="107"/>
      <c r="H2110" s="95"/>
    </row>
    <row r="2111" spans="1:8" x14ac:dyDescent="0.3">
      <c r="A2111" s="161"/>
      <c r="B2111" s="107"/>
      <c r="C2111" s="111">
        <f>'04a_Box_Dims'!$L36+BX_blind+BX_exX</f>
        <v>4.9000000000000004</v>
      </c>
      <c r="D2111" s="113">
        <f>$A2109*$C2109*$C2110*$C2111</f>
        <v>259.70000000000005</v>
      </c>
      <c r="E2111" s="63"/>
      <c r="F2111" s="150"/>
      <c r="G2111" s="107"/>
      <c r="H2111" s="95"/>
    </row>
    <row r="2112" spans="1:8" x14ac:dyDescent="0.3">
      <c r="A2112" s="161">
        <f>2</f>
        <v>2</v>
      </c>
      <c r="B2112" s="107" t="s">
        <v>1628</v>
      </c>
      <c r="C2112" s="111">
        <f>'04a_Box_Dims'!$O36</f>
        <v>1.5</v>
      </c>
      <c r="D2112" s="113"/>
      <c r="E2112" s="63" t="s">
        <v>1657</v>
      </c>
      <c r="F2112" s="150"/>
      <c r="G2112" s="107"/>
      <c r="H2112" s="95"/>
    </row>
    <row r="2113" spans="1:8" x14ac:dyDescent="0.3">
      <c r="A2113" s="161"/>
      <c r="B2113" s="107"/>
      <c r="C2113" s="111">
        <f>'04a_Box_Dims'!$Q36</f>
        <v>6.2</v>
      </c>
      <c r="D2113" s="113"/>
      <c r="E2113" s="63"/>
      <c r="F2113" s="150"/>
      <c r="G2113" s="107"/>
      <c r="H2113" s="95"/>
    </row>
    <row r="2114" spans="1:8" x14ac:dyDescent="0.3">
      <c r="A2114" s="161"/>
      <c r="B2114" s="107"/>
      <c r="C2114" s="111">
        <f>'04a_Box_Dims'!$P36+BX_blind+BX_exX</f>
        <v>0.55000000000000004</v>
      </c>
      <c r="D2114" s="113">
        <f>$A2112*$C2112*$C2113*$C2114</f>
        <v>10.230000000000002</v>
      </c>
      <c r="E2114" s="63"/>
      <c r="F2114" s="150"/>
      <c r="G2114" s="107"/>
      <c r="H2114" s="95"/>
    </row>
    <row r="2115" spans="1:8" x14ac:dyDescent="0.3">
      <c r="A2115" s="161">
        <f>2</f>
        <v>2</v>
      </c>
      <c r="B2115" s="107" t="s">
        <v>1628</v>
      </c>
      <c r="C2115" s="111">
        <f>'04a_Box_Dims'!$R36</f>
        <v>4.7</v>
      </c>
      <c r="D2115" s="113"/>
      <c r="E2115" s="63" t="s">
        <v>1658</v>
      </c>
      <c r="F2115" s="150"/>
      <c r="G2115" s="107"/>
      <c r="H2115" s="95"/>
    </row>
    <row r="2116" spans="1:8" x14ac:dyDescent="0.3">
      <c r="A2116" s="161"/>
      <c r="B2116" s="107"/>
      <c r="C2116" s="111">
        <f>'04a_Box_Dims'!$S36</f>
        <v>0.2</v>
      </c>
      <c r="D2116" s="113"/>
      <c r="E2116" s="63"/>
      <c r="F2116" s="150"/>
      <c r="G2116" s="107"/>
      <c r="H2116" s="95"/>
    </row>
    <row r="2117" spans="1:8" x14ac:dyDescent="0.3">
      <c r="A2117" s="161"/>
      <c r="B2117" s="107"/>
      <c r="C2117" s="111">
        <f>'04a_Box_Dims'!$T36+BX_blind</f>
        <v>0.5</v>
      </c>
      <c r="D2117" s="113">
        <f>$A2115*$C2115*$C2116*$C2117</f>
        <v>0.94000000000000006</v>
      </c>
      <c r="E2117" s="63"/>
      <c r="F2117" s="150"/>
      <c r="G2117" s="107"/>
      <c r="H2117" s="95"/>
    </row>
    <row r="2118" spans="1:8" x14ac:dyDescent="0.3">
      <c r="A2118" s="161">
        <f>4</f>
        <v>4</v>
      </c>
      <c r="B2118" s="107" t="s">
        <v>1628</v>
      </c>
      <c r="C2118" s="111">
        <f>'04a_Box_Dims'!$Z36</f>
        <v>2.1213203435596424</v>
      </c>
      <c r="D2118" s="113"/>
      <c r="E2118" s="63" t="s">
        <v>1659</v>
      </c>
      <c r="F2118" s="150"/>
      <c r="G2118" s="107"/>
      <c r="H2118" s="95"/>
    </row>
    <row r="2119" spans="1:8" x14ac:dyDescent="0.3">
      <c r="A2119" s="161"/>
      <c r="B2119" s="107"/>
      <c r="C2119" s="111">
        <f>'04a_Box_Dims'!$AC36</f>
        <v>0.9</v>
      </c>
      <c r="D2119" s="113"/>
      <c r="E2119" s="63"/>
      <c r="F2119" s="150"/>
      <c r="G2119" s="107"/>
      <c r="H2119" s="95"/>
    </row>
    <row r="2120" spans="1:8" x14ac:dyDescent="0.3">
      <c r="A2120" s="161"/>
      <c r="B2120" s="107"/>
      <c r="C2120" s="111">
        <f>'04a_Box_Dims'!$AD36+BX_blind</f>
        <v>0.4</v>
      </c>
      <c r="D2120" s="113">
        <f>$A2118*$C2118*$C2119*$C2120</f>
        <v>3.0547012947258851</v>
      </c>
      <c r="E2120" s="63"/>
      <c r="F2120" s="150"/>
      <c r="G2120" s="107"/>
      <c r="H2120" s="95"/>
    </row>
    <row r="2121" spans="1:8" x14ac:dyDescent="0.3">
      <c r="A2121" s="161"/>
      <c r="B2121" s="107"/>
      <c r="C2121" s="111"/>
      <c r="D2121" s="113">
        <f>SUM($D$2109:$D$2120)</f>
        <v>273.92470129472593</v>
      </c>
      <c r="E2121" s="63" t="s">
        <v>1660</v>
      </c>
      <c r="F2121" s="150">
        <f>ROUND($D2121,0)</f>
        <v>274</v>
      </c>
      <c r="G2121" s="107" t="s">
        <v>1661</v>
      </c>
      <c r="H2121" s="95"/>
    </row>
    <row r="2122" spans="1:8" x14ac:dyDescent="0.3">
      <c r="A2122" s="161"/>
      <c r="B2122" s="107"/>
      <c r="C2122" s="111"/>
      <c r="D2122" s="113"/>
      <c r="E2122" s="63"/>
      <c r="F2122" s="150"/>
      <c r="G2122" s="107"/>
      <c r="H2122" s="95"/>
    </row>
    <row r="2123" spans="1:8" x14ac:dyDescent="0.3">
      <c r="A2123" s="161"/>
      <c r="B2123" s="107"/>
      <c r="C2123" s="111"/>
      <c r="D2123" s="113"/>
      <c r="E2123" s="149" t="s">
        <v>1323</v>
      </c>
      <c r="F2123" s="150"/>
      <c r="G2123" s="107"/>
      <c r="H2123" s="95"/>
    </row>
    <row r="2124" spans="1:8" x14ac:dyDescent="0.3">
      <c r="A2124" s="161"/>
      <c r="B2124" s="107"/>
      <c r="C2124" s="111"/>
      <c r="D2124" s="113"/>
      <c r="E2124" s="63" t="s">
        <v>1662</v>
      </c>
      <c r="F2124" s="150"/>
      <c r="G2124" s="107"/>
      <c r="H2124" s="95"/>
    </row>
    <row r="2125" spans="1:8" x14ac:dyDescent="0.3">
      <c r="A2125" s="161">
        <f>1</f>
        <v>1</v>
      </c>
      <c r="B2125" s="107" t="s">
        <v>1628</v>
      </c>
      <c r="C2125" s="111">
        <f>'04a_Box_Dims'!$AE36</f>
        <v>10</v>
      </c>
      <c r="D2125" s="113"/>
      <c r="E2125" s="63" t="s">
        <v>1663</v>
      </c>
      <c r="F2125" s="150"/>
      <c r="G2125" s="107"/>
      <c r="H2125" s="95"/>
    </row>
    <row r="2126" spans="1:8" x14ac:dyDescent="0.3">
      <c r="A2126" s="161"/>
      <c r="B2126" s="107"/>
      <c r="C2126" s="111">
        <f>'04a_Box_Dims'!$J36</f>
        <v>4.7</v>
      </c>
      <c r="D2126" s="113"/>
      <c r="E2126" s="63"/>
      <c r="F2126" s="150"/>
      <c r="G2126" s="107"/>
      <c r="H2126" s="95"/>
    </row>
    <row r="2127" spans="1:8" x14ac:dyDescent="0.3">
      <c r="A2127" s="161"/>
      <c r="B2127" s="107"/>
      <c r="C2127" s="111">
        <f>BX_blind</f>
        <v>0.05</v>
      </c>
      <c r="D2127" s="113">
        <f>$A2125*$C2125*$C2126*$C2127</f>
        <v>2.35</v>
      </c>
      <c r="E2127" s="63"/>
      <c r="F2127" s="150"/>
      <c r="G2127" s="107"/>
      <c r="H2127" s="95"/>
    </row>
    <row r="2128" spans="1:8" x14ac:dyDescent="0.3">
      <c r="A2128" s="161">
        <f>2</f>
        <v>2</v>
      </c>
      <c r="B2128" s="107" t="s">
        <v>1628</v>
      </c>
      <c r="C2128" s="111">
        <f>'04a_Box_Dims'!$O36</f>
        <v>1.5</v>
      </c>
      <c r="D2128" s="113"/>
      <c r="E2128" s="63" t="s">
        <v>1657</v>
      </c>
      <c r="F2128" s="150"/>
      <c r="G2128" s="107"/>
      <c r="H2128" s="95"/>
    </row>
    <row r="2129" spans="1:8" x14ac:dyDescent="0.3">
      <c r="A2129" s="161"/>
      <c r="B2129" s="107"/>
      <c r="C2129" s="111">
        <f>'04a_Box_Dims'!$Q36</f>
        <v>6.2</v>
      </c>
      <c r="D2129" s="113"/>
      <c r="E2129" s="63"/>
      <c r="F2129" s="150"/>
      <c r="G2129" s="107"/>
      <c r="H2129" s="95"/>
    </row>
    <row r="2130" spans="1:8" x14ac:dyDescent="0.3">
      <c r="A2130" s="161"/>
      <c r="B2130" s="107"/>
      <c r="C2130" s="111">
        <f>BX_blind</f>
        <v>0.05</v>
      </c>
      <c r="D2130" s="113">
        <f>$A2128*$C2128*$C2129*$C2130</f>
        <v>0.93000000000000016</v>
      </c>
      <c r="E2130" s="63"/>
      <c r="F2130" s="150"/>
      <c r="G2130" s="107"/>
      <c r="H2130" s="95"/>
    </row>
    <row r="2131" spans="1:8" x14ac:dyDescent="0.3">
      <c r="A2131" s="161">
        <f>2</f>
        <v>2</v>
      </c>
      <c r="B2131" s="107" t="s">
        <v>1628</v>
      </c>
      <c r="C2131" s="111">
        <f>'04a_Box_Dims'!$R36</f>
        <v>4.7</v>
      </c>
      <c r="D2131" s="113"/>
      <c r="E2131" s="63" t="s">
        <v>1658</v>
      </c>
      <c r="F2131" s="150"/>
      <c r="G2131" s="107"/>
      <c r="H2131" s="95"/>
    </row>
    <row r="2132" spans="1:8" x14ac:dyDescent="0.3">
      <c r="A2132" s="161"/>
      <c r="B2132" s="107"/>
      <c r="C2132" s="111">
        <f>'04a_Box_Dims'!$S36</f>
        <v>0.2</v>
      </c>
      <c r="D2132" s="113"/>
      <c r="E2132" s="63"/>
      <c r="F2132" s="150"/>
      <c r="G2132" s="107"/>
      <c r="H2132" s="95"/>
    </row>
    <row r="2133" spans="1:8" x14ac:dyDescent="0.3">
      <c r="A2133" s="161"/>
      <c r="B2133" s="107"/>
      <c r="C2133" s="111">
        <f>BX_blind</f>
        <v>0.05</v>
      </c>
      <c r="D2133" s="113">
        <f>$A2131*$C2131*$C2132*$C2133</f>
        <v>9.4000000000000014E-2</v>
      </c>
      <c r="E2133" s="63"/>
      <c r="F2133" s="150"/>
      <c r="G2133" s="107"/>
      <c r="H2133" s="95"/>
    </row>
    <row r="2134" spans="1:8" x14ac:dyDescent="0.3">
      <c r="A2134" s="161">
        <f>4</f>
        <v>4</v>
      </c>
      <c r="B2134" s="107" t="s">
        <v>1628</v>
      </c>
      <c r="C2134" s="111">
        <f>'04a_Box_Dims'!$Z36</f>
        <v>2.1213203435596424</v>
      </c>
      <c r="D2134" s="113"/>
      <c r="E2134" s="63" t="s">
        <v>1659</v>
      </c>
      <c r="F2134" s="150"/>
      <c r="G2134" s="107"/>
      <c r="H2134" s="95"/>
    </row>
    <row r="2135" spans="1:8" x14ac:dyDescent="0.3">
      <c r="A2135" s="161"/>
      <c r="B2135" s="107"/>
      <c r="C2135" s="111">
        <f>'04a_Box_Dims'!$AC36</f>
        <v>0.9</v>
      </c>
      <c r="D2135" s="113"/>
      <c r="E2135" s="63"/>
      <c r="F2135" s="150"/>
      <c r="G2135" s="107"/>
      <c r="H2135" s="95"/>
    </row>
    <row r="2136" spans="1:8" x14ac:dyDescent="0.3">
      <c r="A2136" s="161"/>
      <c r="B2136" s="107"/>
      <c r="C2136" s="111">
        <f>BX_blind</f>
        <v>0.05</v>
      </c>
      <c r="D2136" s="113">
        <f>$A2134*$C2134*$C2135*$C2136</f>
        <v>0.38183766184073564</v>
      </c>
      <c r="E2136" s="63"/>
      <c r="F2136" s="150"/>
      <c r="G2136" s="107"/>
      <c r="H2136" s="95"/>
    </row>
    <row r="2137" spans="1:8" x14ac:dyDescent="0.3">
      <c r="A2137" s="161"/>
      <c r="B2137" s="107"/>
      <c r="C2137" s="111"/>
      <c r="D2137" s="113">
        <f>SUM($D$2125:$D$2136)</f>
        <v>3.7558376618407356</v>
      </c>
      <c r="E2137" s="63" t="s">
        <v>1660</v>
      </c>
      <c r="F2137" s="150">
        <f>ROUND($D2137,2)</f>
        <v>3.76</v>
      </c>
      <c r="G2137" s="107" t="s">
        <v>1661</v>
      </c>
      <c r="H2137" s="95"/>
    </row>
    <row r="2138" spans="1:8" x14ac:dyDescent="0.3">
      <c r="A2138" s="161"/>
      <c r="B2138" s="107"/>
      <c r="C2138" s="111"/>
      <c r="D2138" s="113"/>
      <c r="E2138" s="63"/>
      <c r="F2138" s="150"/>
      <c r="G2138" s="107"/>
      <c r="H2138" s="95"/>
    </row>
    <row r="2139" spans="1:8" x14ac:dyDescent="0.3">
      <c r="A2139" s="161"/>
      <c r="B2139" s="107"/>
      <c r="C2139" s="111"/>
      <c r="D2139" s="113"/>
      <c r="E2139" s="149" t="s">
        <v>1324</v>
      </c>
      <c r="F2139" s="150"/>
      <c r="G2139" s="107"/>
      <c r="H2139" s="95"/>
    </row>
    <row r="2140" spans="1:8" x14ac:dyDescent="0.3">
      <c r="A2140" s="161"/>
      <c r="B2140" s="107"/>
      <c r="C2140" s="111"/>
      <c r="D2140" s="113"/>
      <c r="E2140" s="63" t="s">
        <v>1664</v>
      </c>
      <c r="F2140" s="150"/>
      <c r="G2140" s="107"/>
      <c r="H2140" s="95"/>
    </row>
    <row r="2141" spans="1:8" x14ac:dyDescent="0.3">
      <c r="A2141" s="161"/>
      <c r="B2141" s="107"/>
      <c r="C2141" s="111"/>
      <c r="D2141" s="113">
        <f>$D2137</f>
        <v>3.7558376618407356</v>
      </c>
      <c r="E2141" s="63" t="s">
        <v>1665</v>
      </c>
      <c r="F2141" s="150">
        <f>$F2137</f>
        <v>3.76</v>
      </c>
      <c r="G2141" s="107" t="s">
        <v>1661</v>
      </c>
      <c r="H2141" s="95"/>
    </row>
    <row r="2142" spans="1:8" x14ac:dyDescent="0.3">
      <c r="A2142" s="161"/>
      <c r="B2142" s="107"/>
      <c r="C2142" s="111"/>
      <c r="D2142" s="113"/>
      <c r="E2142" s="63"/>
      <c r="F2142" s="150"/>
      <c r="G2142" s="107"/>
      <c r="H2142" s="95"/>
    </row>
    <row r="2143" spans="1:8" x14ac:dyDescent="0.3">
      <c r="A2143" s="161"/>
      <c r="B2143" s="107"/>
      <c r="C2143" s="111"/>
      <c r="D2143" s="113"/>
      <c r="E2143" s="149" t="s">
        <v>1455</v>
      </c>
      <c r="F2143" s="150"/>
      <c r="G2143" s="107"/>
      <c r="H2143" s="95"/>
    </row>
    <row r="2144" spans="1:8" x14ac:dyDescent="0.3">
      <c r="A2144" s="161"/>
      <c r="B2144" s="107"/>
      <c r="C2144" s="111"/>
      <c r="D2144" s="113"/>
      <c r="E2144" s="63" t="s">
        <v>1666</v>
      </c>
      <c r="F2144" s="150"/>
      <c r="G2144" s="107"/>
      <c r="H2144" s="95"/>
    </row>
    <row r="2145" spans="1:8" x14ac:dyDescent="0.3">
      <c r="A2145" s="161">
        <f>1</f>
        <v>1</v>
      </c>
      <c r="B2145" s="107" t="s">
        <v>1628</v>
      </c>
      <c r="C2145" s="111">
        <f>'04a_Box_Dims'!$AE36</f>
        <v>10</v>
      </c>
      <c r="D2145" s="113"/>
      <c r="E2145" s="63" t="s">
        <v>1667</v>
      </c>
      <c r="F2145" s="150"/>
      <c r="G2145" s="107"/>
      <c r="H2145" s="95"/>
    </row>
    <row r="2146" spans="1:8" x14ac:dyDescent="0.3">
      <c r="A2146" s="161"/>
      <c r="B2146" s="107"/>
      <c r="C2146" s="111">
        <f>'04a_Box_Dims'!$J36</f>
        <v>4.7</v>
      </c>
      <c r="D2146" s="113"/>
      <c r="E2146" s="63"/>
      <c r="F2146" s="150"/>
      <c r="G2146" s="107"/>
      <c r="H2146" s="95"/>
    </row>
    <row r="2147" spans="1:8" x14ac:dyDescent="0.3">
      <c r="A2147" s="161"/>
      <c r="B2147" s="107"/>
      <c r="C2147" s="111">
        <f>'04a_Box_Dims'!$I36</f>
        <v>0.35000000000000003</v>
      </c>
      <c r="D2147" s="113">
        <f>$A2145*$C2145*$C2146*$C2147</f>
        <v>16.450000000000003</v>
      </c>
      <c r="E2147" s="63"/>
      <c r="F2147" s="150"/>
      <c r="G2147" s="107"/>
      <c r="H2147" s="95">
        <f>'04a_Box_Dims'!$I36</f>
        <v>0.35000000000000003</v>
      </c>
    </row>
    <row r="2148" spans="1:8" x14ac:dyDescent="0.3">
      <c r="A2148" s="161">
        <f>2</f>
        <v>2</v>
      </c>
      <c r="B2148" s="107" t="s">
        <v>1628</v>
      </c>
      <c r="C2148" s="111">
        <f>'04a_Box_Dims'!$O36</f>
        <v>1.5</v>
      </c>
      <c r="D2148" s="113"/>
      <c r="E2148" s="63" t="s">
        <v>1657</v>
      </c>
      <c r="F2148" s="150"/>
      <c r="G2148" s="107"/>
      <c r="H2148" s="95"/>
    </row>
    <row r="2149" spans="1:8" x14ac:dyDescent="0.3">
      <c r="A2149" s="161"/>
      <c r="B2149" s="107"/>
      <c r="C2149" s="111">
        <f>'04a_Box_Dims'!$Q36</f>
        <v>6.2</v>
      </c>
      <c r="D2149" s="113"/>
      <c r="E2149" s="63"/>
      <c r="F2149" s="150"/>
      <c r="G2149" s="107"/>
      <c r="H2149" s="95"/>
    </row>
    <row r="2150" spans="1:8" x14ac:dyDescent="0.3">
      <c r="A2150" s="161"/>
      <c r="B2150" s="107"/>
      <c r="C2150" s="111">
        <f>'04a_Box_Dims'!$P36</f>
        <v>0.35000000000000003</v>
      </c>
      <c r="D2150" s="113">
        <f>$A2148*$C2148*$C2149*$C2150</f>
        <v>6.5100000000000007</v>
      </c>
      <c r="E2150" s="63"/>
      <c r="F2150" s="150"/>
      <c r="G2150" s="107"/>
      <c r="H2150" s="95">
        <f>'04a_Box_Dims'!$P36</f>
        <v>0.35000000000000003</v>
      </c>
    </row>
    <row r="2151" spans="1:8" x14ac:dyDescent="0.3">
      <c r="A2151" s="161">
        <f>2</f>
        <v>2</v>
      </c>
      <c r="B2151" s="107" t="s">
        <v>1628</v>
      </c>
      <c r="C2151" s="111">
        <f>'04a_Box_Dims'!$R36</f>
        <v>4.7</v>
      </c>
      <c r="D2151" s="113"/>
      <c r="E2151" s="63" t="s">
        <v>1658</v>
      </c>
      <c r="F2151" s="150"/>
      <c r="G2151" s="107"/>
      <c r="H2151" s="95"/>
    </row>
    <row r="2152" spans="1:8" x14ac:dyDescent="0.3">
      <c r="A2152" s="161"/>
      <c r="B2152" s="107"/>
      <c r="C2152" s="111">
        <f>'04a_Box_Dims'!$S36</f>
        <v>0.2</v>
      </c>
      <c r="D2152" s="113"/>
      <c r="E2152" s="63"/>
      <c r="F2152" s="150"/>
      <c r="G2152" s="107"/>
      <c r="H2152" s="95"/>
    </row>
    <row r="2153" spans="1:8" x14ac:dyDescent="0.3">
      <c r="A2153" s="161"/>
      <c r="B2153" s="107"/>
      <c r="C2153" s="111">
        <f>'04a_Box_Dims'!$T36</f>
        <v>0.45</v>
      </c>
      <c r="D2153" s="113">
        <f>$A2151*$C2151*$C2152*$C2153</f>
        <v>0.84600000000000009</v>
      </c>
      <c r="E2153" s="63"/>
      <c r="F2153" s="150"/>
      <c r="G2153" s="107"/>
      <c r="H2153" s="95">
        <f>'04a_Box_Dims'!$S36</f>
        <v>0.2</v>
      </c>
    </row>
    <row r="2154" spans="1:8" x14ac:dyDescent="0.3">
      <c r="A2154" s="161">
        <f>4</f>
        <v>4</v>
      </c>
      <c r="B2154" s="107" t="s">
        <v>1628</v>
      </c>
      <c r="C2154" s="111">
        <f>'04a_Box_Dims'!$Z36</f>
        <v>2.1213203435596424</v>
      </c>
      <c r="D2154" s="113"/>
      <c r="E2154" s="63" t="s">
        <v>1659</v>
      </c>
      <c r="F2154" s="150"/>
      <c r="G2154" s="107"/>
      <c r="H2154" s="95"/>
    </row>
    <row r="2155" spans="1:8" x14ac:dyDescent="0.3">
      <c r="A2155" s="161"/>
      <c r="B2155" s="107"/>
      <c r="C2155" s="111">
        <f>'04a_Box_Dims'!$AC36</f>
        <v>0.9</v>
      </c>
      <c r="D2155" s="113"/>
      <c r="E2155" s="63"/>
      <c r="F2155" s="150"/>
      <c r="G2155" s="107"/>
      <c r="H2155" s="95"/>
    </row>
    <row r="2156" spans="1:8" x14ac:dyDescent="0.3">
      <c r="A2156" s="161"/>
      <c r="B2156" s="107"/>
      <c r="C2156" s="111">
        <f>'04a_Box_Dims'!$AD36</f>
        <v>0.35000000000000003</v>
      </c>
      <c r="D2156" s="113">
        <f>$A2154*$C2154*$C2155*$C2156</f>
        <v>2.6728636328851496</v>
      </c>
      <c r="E2156" s="63"/>
      <c r="F2156" s="150"/>
      <c r="G2156" s="107"/>
      <c r="H2156" s="95">
        <f>'04a_Box_Dims'!$AD36</f>
        <v>0.35000000000000003</v>
      </c>
    </row>
    <row r="2157" spans="1:8" x14ac:dyDescent="0.3">
      <c r="A2157" s="161"/>
      <c r="B2157" s="107"/>
      <c r="C2157" s="111"/>
      <c r="D2157" s="113">
        <f>SUM($D$2145:$D$2156)</f>
        <v>26.478863632885155</v>
      </c>
      <c r="E2157" s="63" t="s">
        <v>1660</v>
      </c>
      <c r="F2157" s="150">
        <f>ROUND($D2157,2)</f>
        <v>26.48</v>
      </c>
      <c r="G2157" s="107" t="s">
        <v>1661</v>
      </c>
      <c r="H2157" s="95"/>
    </row>
    <row r="2158" spans="1:8" x14ac:dyDescent="0.3">
      <c r="A2158" s="161"/>
      <c r="B2158" s="107"/>
      <c r="C2158" s="111"/>
      <c r="D2158" s="113"/>
      <c r="E2158" s="63"/>
      <c r="F2158" s="150"/>
      <c r="G2158" s="107"/>
      <c r="H2158" s="95"/>
    </row>
    <row r="2159" spans="1:8" x14ac:dyDescent="0.3">
      <c r="A2159" s="161"/>
      <c r="B2159" s="107"/>
      <c r="C2159" s="111"/>
      <c r="D2159" s="113"/>
      <c r="E2159" s="149" t="s">
        <v>1668</v>
      </c>
      <c r="F2159" s="150"/>
      <c r="G2159" s="107"/>
      <c r="H2159" s="95"/>
    </row>
    <row r="2160" spans="1:8" x14ac:dyDescent="0.3">
      <c r="A2160" s="161"/>
      <c r="B2160" s="107"/>
      <c r="C2160" s="111"/>
      <c r="D2160" s="113"/>
      <c r="E2160" s="63" t="s">
        <v>1669</v>
      </c>
      <c r="F2160" s="150"/>
      <c r="G2160" s="107"/>
      <c r="H2160" s="95"/>
    </row>
    <row r="2161" spans="1:8" x14ac:dyDescent="0.3">
      <c r="A2161" s="161"/>
      <c r="B2161" s="107"/>
      <c r="C2161" s="111"/>
      <c r="D2161" s="113">
        <f>SUMIF($H$2145:$H$2156,"&lt;=0.3",$D$2145:$D$2156)</f>
        <v>0.84600000000000009</v>
      </c>
      <c r="E2161" s="63" t="s">
        <v>1670</v>
      </c>
      <c r="F2161" s="150">
        <f>ROUND($D2161,2)</f>
        <v>0.85</v>
      </c>
      <c r="G2161" s="107" t="s">
        <v>1661</v>
      </c>
      <c r="H2161" s="95"/>
    </row>
    <row r="2162" spans="1:8" x14ac:dyDescent="0.3">
      <c r="A2162" s="161"/>
      <c r="B2162" s="107"/>
      <c r="C2162" s="111"/>
      <c r="D2162" s="113">
        <f>SUMIF($H$2145:$H$2156,"&gt;0.3",$D$2145:$D$2156)</f>
        <v>25.632863632885154</v>
      </c>
      <c r="E2162" s="63" t="s">
        <v>1671</v>
      </c>
      <c r="F2162" s="150">
        <f>ROUND($D2162,2)</f>
        <v>25.63</v>
      </c>
      <c r="G2162" s="107" t="s">
        <v>1661</v>
      </c>
      <c r="H2162" s="95"/>
    </row>
    <row r="2163" spans="1:8" x14ac:dyDescent="0.3">
      <c r="A2163" s="161"/>
      <c r="B2163" s="107"/>
      <c r="C2163" s="111"/>
      <c r="D2163" s="113"/>
      <c r="E2163" s="63"/>
      <c r="F2163" s="150"/>
      <c r="G2163" s="107"/>
      <c r="H2163" s="95"/>
    </row>
    <row r="2164" spans="1:8" x14ac:dyDescent="0.3">
      <c r="A2164" s="161"/>
      <c r="B2164" s="107"/>
      <c r="C2164" s="111"/>
      <c r="D2164" s="113"/>
      <c r="E2164" s="149" t="s">
        <v>1455</v>
      </c>
      <c r="F2164" s="150"/>
      <c r="G2164" s="107"/>
      <c r="H2164" s="95"/>
    </row>
    <row r="2165" spans="1:8" x14ac:dyDescent="0.3">
      <c r="A2165" s="161"/>
      <c r="B2165" s="107"/>
      <c r="C2165" s="111"/>
      <c r="D2165" s="113"/>
      <c r="E2165" s="63" t="s">
        <v>1672</v>
      </c>
      <c r="F2165" s="150"/>
      <c r="G2165" s="107"/>
      <c r="H2165" s="95"/>
    </row>
    <row r="2166" spans="1:8" x14ac:dyDescent="0.3">
      <c r="A2166" s="161">
        <f>1</f>
        <v>1</v>
      </c>
      <c r="B2166" s="107" t="s">
        <v>1628</v>
      </c>
      <c r="C2166" s="111">
        <f>'04a_Box_Dims'!$AE36</f>
        <v>10</v>
      </c>
      <c r="D2166" s="113"/>
      <c r="E2166" s="63" t="s">
        <v>1673</v>
      </c>
      <c r="F2166" s="150"/>
      <c r="G2166" s="107"/>
      <c r="H2166" s="95"/>
    </row>
    <row r="2167" spans="1:8" x14ac:dyDescent="0.3">
      <c r="A2167" s="161"/>
      <c r="B2167" s="107"/>
      <c r="C2167" s="111">
        <f>'04a_Box_Dims'!$J36</f>
        <v>4.7</v>
      </c>
      <c r="D2167" s="113"/>
      <c r="E2167" s="63"/>
      <c r="F2167" s="150"/>
      <c r="G2167" s="107"/>
      <c r="H2167" s="95"/>
    </row>
    <row r="2168" spans="1:8" x14ac:dyDescent="0.3">
      <c r="A2168" s="161"/>
      <c r="B2168" s="107"/>
      <c r="C2168" s="111">
        <f>'04a_Box_Dims'!$I36</f>
        <v>0.35000000000000003</v>
      </c>
      <c r="D2168" s="113">
        <f>$A2166*$C2166*$C2167*$C2168</f>
        <v>16.450000000000003</v>
      </c>
      <c r="E2168" s="63"/>
      <c r="F2168" s="150"/>
      <c r="G2168" s="107"/>
      <c r="H2168" s="95">
        <f>'04a_Box_Dims'!$I36</f>
        <v>0.35000000000000003</v>
      </c>
    </row>
    <row r="2169" spans="1:8" x14ac:dyDescent="0.3">
      <c r="A2169" s="161"/>
      <c r="B2169" s="107"/>
      <c r="C2169" s="111"/>
      <c r="D2169" s="113">
        <f>SUM($D$2166:$D$2168)</f>
        <v>16.450000000000003</v>
      </c>
      <c r="E2169" s="63" t="s">
        <v>1660</v>
      </c>
      <c r="F2169" s="150">
        <f>ROUND($D2169,2)</f>
        <v>16.45</v>
      </c>
      <c r="G2169" s="107" t="s">
        <v>1661</v>
      </c>
      <c r="H2169" s="95"/>
    </row>
    <row r="2170" spans="1:8" x14ac:dyDescent="0.3">
      <c r="A2170" s="161"/>
      <c r="B2170" s="107"/>
      <c r="C2170" s="111"/>
      <c r="D2170" s="113"/>
      <c r="E2170" s="63"/>
      <c r="F2170" s="150"/>
      <c r="G2170" s="107"/>
      <c r="H2170" s="95"/>
    </row>
    <row r="2171" spans="1:8" x14ac:dyDescent="0.3">
      <c r="A2171" s="161"/>
      <c r="B2171" s="107"/>
      <c r="C2171" s="111"/>
      <c r="D2171" s="113"/>
      <c r="E2171" s="149" t="s">
        <v>1674</v>
      </c>
      <c r="F2171" s="150"/>
      <c r="G2171" s="107"/>
      <c r="H2171" s="95"/>
    </row>
    <row r="2172" spans="1:8" x14ac:dyDescent="0.3">
      <c r="A2172" s="161"/>
      <c r="B2172" s="107"/>
      <c r="C2172" s="111"/>
      <c r="D2172" s="113"/>
      <c r="E2172" s="63" t="s">
        <v>1675</v>
      </c>
      <c r="F2172" s="150"/>
      <c r="G2172" s="107"/>
      <c r="H2172" s="95"/>
    </row>
    <row r="2173" spans="1:8" x14ac:dyDescent="0.3">
      <c r="A2173" s="161"/>
      <c r="B2173" s="107"/>
      <c r="C2173" s="111"/>
      <c r="D2173" s="113">
        <f>SUMIF($H$2166:$H$2168,"&lt;=0.3",$D$2166:$D$2168)</f>
        <v>0</v>
      </c>
      <c r="E2173" s="63" t="s">
        <v>1670</v>
      </c>
      <c r="F2173" s="150">
        <f>ROUND($D2173,2)</f>
        <v>0</v>
      </c>
      <c r="G2173" s="107" t="s">
        <v>1661</v>
      </c>
      <c r="H2173" s="95"/>
    </row>
    <row r="2174" spans="1:8" x14ac:dyDescent="0.3">
      <c r="A2174" s="161"/>
      <c r="B2174" s="107"/>
      <c r="C2174" s="111"/>
      <c r="D2174" s="113">
        <f>SUMIF($H$2166:$H$2168,"&gt;0.3",$D$2166:$D$2168)</f>
        <v>16.450000000000003</v>
      </c>
      <c r="E2174" s="63" t="s">
        <v>1671</v>
      </c>
      <c r="F2174" s="150">
        <f>ROUND($D2174,2)</f>
        <v>16.45</v>
      </c>
      <c r="G2174" s="107" t="s">
        <v>1661</v>
      </c>
      <c r="H2174" s="95"/>
    </row>
    <row r="2175" spans="1:8" x14ac:dyDescent="0.3">
      <c r="A2175" s="161"/>
      <c r="B2175" s="107"/>
      <c r="C2175" s="111"/>
      <c r="D2175" s="113"/>
      <c r="E2175" s="63"/>
      <c r="F2175" s="150"/>
      <c r="G2175" s="107"/>
      <c r="H2175" s="95"/>
    </row>
    <row r="2176" spans="1:8" x14ac:dyDescent="0.3">
      <c r="A2176" s="161"/>
      <c r="B2176" s="107"/>
      <c r="C2176" s="111"/>
      <c r="D2176" s="113"/>
      <c r="E2176" s="149" t="s">
        <v>1455</v>
      </c>
      <c r="F2176" s="150"/>
      <c r="G2176" s="107"/>
      <c r="H2176" s="95"/>
    </row>
    <row r="2177" spans="1:8" x14ac:dyDescent="0.3">
      <c r="A2177" s="161"/>
      <c r="B2177" s="107"/>
      <c r="C2177" s="111"/>
      <c r="D2177" s="113"/>
      <c r="E2177" s="63" t="s">
        <v>1676</v>
      </c>
      <c r="F2177" s="150"/>
      <c r="G2177" s="107"/>
      <c r="H2177" s="95"/>
    </row>
    <row r="2178" spans="1:8" x14ac:dyDescent="0.3">
      <c r="A2178" s="161">
        <f>2</f>
        <v>2</v>
      </c>
      <c r="B2178" s="107" t="s">
        <v>1628</v>
      </c>
      <c r="C2178" s="111">
        <f>'04a_Box_Dims'!$AE36</f>
        <v>10</v>
      </c>
      <c r="D2178" s="113"/>
      <c r="E2178" s="63" t="s">
        <v>1677</v>
      </c>
      <c r="F2178" s="150"/>
      <c r="G2178" s="107"/>
      <c r="H2178" s="95"/>
    </row>
    <row r="2179" spans="1:8" x14ac:dyDescent="0.3">
      <c r="A2179" s="161"/>
      <c r="B2179" s="107"/>
      <c r="C2179" s="111">
        <f>'04a_Box_Dims'!$E36</f>
        <v>4</v>
      </c>
      <c r="D2179" s="113"/>
      <c r="E2179" s="63"/>
      <c r="F2179" s="150"/>
      <c r="G2179" s="107"/>
      <c r="H2179" s="95"/>
    </row>
    <row r="2180" spans="1:8" x14ac:dyDescent="0.3">
      <c r="A2180" s="161"/>
      <c r="B2180" s="107"/>
      <c r="C2180" s="111">
        <f>'04a_Box_Dims'!$I36</f>
        <v>0.35000000000000003</v>
      </c>
      <c r="D2180" s="113">
        <f>$A2178*$C2178*$C2179*$C2180</f>
        <v>28.000000000000004</v>
      </c>
      <c r="E2180" s="63"/>
      <c r="F2180" s="150"/>
      <c r="G2180" s="107"/>
      <c r="H2180" s="95">
        <f>'04a_Box_Dims'!$I36</f>
        <v>0.35000000000000003</v>
      </c>
    </row>
    <row r="2181" spans="1:8" x14ac:dyDescent="0.3">
      <c r="A2181" s="161">
        <f>'04a_Box_Dims'!$C36-1</f>
        <v>0</v>
      </c>
      <c r="B2181" s="107" t="s">
        <v>1628</v>
      </c>
      <c r="C2181" s="111">
        <f>'04a_Box_Dims'!$AE36</f>
        <v>10</v>
      </c>
      <c r="D2181" s="113"/>
      <c r="E2181" s="63" t="s">
        <v>1678</v>
      </c>
      <c r="F2181" s="150"/>
      <c r="G2181" s="107"/>
      <c r="H2181" s="95"/>
    </row>
    <row r="2182" spans="1:8" x14ac:dyDescent="0.3">
      <c r="A2182" s="161"/>
      <c r="B2182" s="107"/>
      <c r="C2182" s="111">
        <f>'04a_Box_Dims'!$E36</f>
        <v>4</v>
      </c>
      <c r="D2182" s="113"/>
      <c r="E2182" s="63"/>
      <c r="F2182" s="150"/>
      <c r="G2182" s="107"/>
      <c r="H2182" s="95"/>
    </row>
    <row r="2183" spans="1:8" x14ac:dyDescent="0.3">
      <c r="A2183" s="161"/>
      <c r="B2183" s="107"/>
      <c r="C2183" s="111">
        <f>'04a_Box_Dims'!$I36</f>
        <v>0.35000000000000003</v>
      </c>
      <c r="D2183" s="113">
        <f>$A2181*$C2181*$C2182*$C2183</f>
        <v>0</v>
      </c>
      <c r="E2183" s="63"/>
      <c r="F2183" s="150"/>
      <c r="G2183" s="107"/>
      <c r="H2183" s="95">
        <f>'04a_Box_Dims'!$I36</f>
        <v>0.35000000000000003</v>
      </c>
    </row>
    <row r="2184" spans="1:8" x14ac:dyDescent="0.3">
      <c r="A2184" s="161">
        <f>4*'04a_Box_Dims'!$C36</f>
        <v>4</v>
      </c>
      <c r="B2184" s="107" t="s">
        <v>1628</v>
      </c>
      <c r="C2184" s="111">
        <f>'04a_Box_Dims'!$AE36</f>
        <v>10</v>
      </c>
      <c r="D2184" s="113"/>
      <c r="E2184" s="63" t="s">
        <v>1679</v>
      </c>
      <c r="F2184" s="150"/>
      <c r="G2184" s="107"/>
      <c r="H2184" s="95"/>
    </row>
    <row r="2185" spans="1:8" x14ac:dyDescent="0.3">
      <c r="A2185" s="161"/>
      <c r="B2185" s="107"/>
      <c r="C2185" s="111">
        <f>'04a_Box_Dims'!$N36</f>
        <v>0.15</v>
      </c>
      <c r="D2185" s="113"/>
      <c r="E2185" s="63"/>
      <c r="F2185" s="150"/>
      <c r="G2185" s="107"/>
      <c r="H2185" s="95"/>
    </row>
    <row r="2186" spans="1:8" x14ac:dyDescent="0.3">
      <c r="A2186" s="161"/>
      <c r="B2186" s="107"/>
      <c r="C2186" s="111">
        <f>'04a_Box_Dims'!$N36/2</f>
        <v>7.4999999999999997E-2</v>
      </c>
      <c r="D2186" s="113">
        <f>$A2184*$C2184*$C2185*$C2186</f>
        <v>0.44999999999999996</v>
      </c>
      <c r="E2186" s="63"/>
      <c r="F2186" s="150"/>
      <c r="G2186" s="107"/>
      <c r="H2186" s="95">
        <f>'04a_Box_Dims'!$N36</f>
        <v>0.15</v>
      </c>
    </row>
    <row r="2187" spans="1:8" x14ac:dyDescent="0.3">
      <c r="A2187" s="161">
        <f>2</f>
        <v>2</v>
      </c>
      <c r="B2187" s="107" t="s">
        <v>1628</v>
      </c>
      <c r="C2187" s="111">
        <f>'04a_Box_Dims'!$J36</f>
        <v>4.7</v>
      </c>
      <c r="D2187" s="113"/>
      <c r="E2187" s="63" t="s">
        <v>1680</v>
      </c>
      <c r="F2187" s="150"/>
      <c r="G2187" s="107"/>
      <c r="H2187" s="95"/>
    </row>
    <row r="2188" spans="1:8" x14ac:dyDescent="0.3">
      <c r="A2188" s="161"/>
      <c r="B2188" s="107"/>
      <c r="C2188" s="111">
        <f>'04a_Box_Dims'!$U36</f>
        <v>0.6</v>
      </c>
      <c r="D2188" s="113"/>
      <c r="E2188" s="63"/>
      <c r="F2188" s="150"/>
      <c r="G2188" s="107"/>
      <c r="H2188" s="95"/>
    </row>
    <row r="2189" spans="1:8" x14ac:dyDescent="0.3">
      <c r="A2189" s="161"/>
      <c r="B2189" s="107"/>
      <c r="C2189" s="111">
        <f>'04a_Box_Dims'!$V36</f>
        <v>0.35000000000000003</v>
      </c>
      <c r="D2189" s="113">
        <f>$A2187*$C2187*$C2188*$C2189</f>
        <v>1.974</v>
      </c>
      <c r="E2189" s="63"/>
      <c r="F2189" s="150"/>
      <c r="G2189" s="107"/>
      <c r="H2189" s="95">
        <f>'04a_Box_Dims'!$V36</f>
        <v>0.35000000000000003</v>
      </c>
    </row>
    <row r="2190" spans="1:8" x14ac:dyDescent="0.3">
      <c r="A2190" s="161">
        <f>4</f>
        <v>4</v>
      </c>
      <c r="B2190" s="107" t="s">
        <v>1628</v>
      </c>
      <c r="C2190" s="111">
        <f>'04a_Box_Dims'!$Z36</f>
        <v>2.1213203435596424</v>
      </c>
      <c r="D2190" s="113"/>
      <c r="E2190" s="63" t="s">
        <v>1681</v>
      </c>
      <c r="F2190" s="150"/>
      <c r="G2190" s="107"/>
      <c r="H2190" s="95"/>
    </row>
    <row r="2191" spans="1:8" x14ac:dyDescent="0.3">
      <c r="A2191" s="161"/>
      <c r="B2191" s="107"/>
      <c r="C2191" s="111">
        <f>'04a_Box_Dims'!$Y36</f>
        <v>5.1928932188134524</v>
      </c>
      <c r="D2191" s="113"/>
      <c r="E2191" s="63"/>
      <c r="F2191" s="150"/>
      <c r="G2191" s="107"/>
      <c r="H2191" s="95"/>
    </row>
    <row r="2192" spans="1:8" x14ac:dyDescent="0.3">
      <c r="A2192" s="161"/>
      <c r="B2192" s="107"/>
      <c r="C2192" s="111">
        <f>'04a_Box_Dims'!$AB36</f>
        <v>0.49</v>
      </c>
      <c r="D2192" s="113">
        <f>$A2190*$C2190*$C2191*$C2192</f>
        <v>21.590948452923705</v>
      </c>
      <c r="E2192" s="63"/>
      <c r="F2192" s="150"/>
      <c r="G2192" s="107"/>
      <c r="H2192" s="95">
        <f>'04a_Box_Dims'!$AB36</f>
        <v>0.49</v>
      </c>
    </row>
    <row r="2193" spans="1:8" x14ac:dyDescent="0.3">
      <c r="A2193" s="161"/>
      <c r="B2193" s="107"/>
      <c r="C2193" s="111"/>
      <c r="D2193" s="113">
        <f>SUM($D$2178:$D$2192)</f>
        <v>52.014948452923704</v>
      </c>
      <c r="E2193" s="63" t="s">
        <v>1660</v>
      </c>
      <c r="F2193" s="150">
        <f>ROUND($D2193,2)</f>
        <v>52.01</v>
      </c>
      <c r="G2193" s="107" t="s">
        <v>1661</v>
      </c>
      <c r="H2193" s="95"/>
    </row>
    <row r="2194" spans="1:8" x14ac:dyDescent="0.3">
      <c r="A2194" s="161"/>
      <c r="B2194" s="107"/>
      <c r="C2194" s="111"/>
      <c r="D2194" s="113"/>
      <c r="E2194" s="63"/>
      <c r="F2194" s="150"/>
      <c r="G2194" s="107"/>
      <c r="H2194" s="95"/>
    </row>
    <row r="2195" spans="1:8" x14ac:dyDescent="0.3">
      <c r="A2195" s="161"/>
      <c r="B2195" s="107"/>
      <c r="C2195" s="111"/>
      <c r="D2195" s="113"/>
      <c r="E2195" s="149" t="s">
        <v>1682</v>
      </c>
      <c r="F2195" s="150"/>
      <c r="G2195" s="107"/>
      <c r="H2195" s="95"/>
    </row>
    <row r="2196" spans="1:8" x14ac:dyDescent="0.3">
      <c r="A2196" s="161"/>
      <c r="B2196" s="107"/>
      <c r="C2196" s="111"/>
      <c r="D2196" s="113"/>
      <c r="E2196" s="63" t="s">
        <v>1683</v>
      </c>
      <c r="F2196" s="150"/>
      <c r="G2196" s="107"/>
      <c r="H2196" s="95"/>
    </row>
    <row r="2197" spans="1:8" x14ac:dyDescent="0.3">
      <c r="A2197" s="161"/>
      <c r="B2197" s="107"/>
      <c r="C2197" s="111"/>
      <c r="D2197" s="113">
        <f>SUMIF($H$2178:$H$2192,"&lt;=0.3",$D$2178:$D$2192)</f>
        <v>0.44999999999999996</v>
      </c>
      <c r="E2197" s="63" t="s">
        <v>1670</v>
      </c>
      <c r="F2197" s="150">
        <f>ROUND($D2197,2)</f>
        <v>0.45</v>
      </c>
      <c r="G2197" s="107" t="s">
        <v>1661</v>
      </c>
      <c r="H2197" s="95"/>
    </row>
    <row r="2198" spans="1:8" x14ac:dyDescent="0.3">
      <c r="A2198" s="161"/>
      <c r="B2198" s="107"/>
      <c r="C2198" s="111"/>
      <c r="D2198" s="113">
        <f>SUMIF($H$2178:$H$2192,"&gt;0.3",$D$2178:$D$2192)</f>
        <v>51.564948452923709</v>
      </c>
      <c r="E2198" s="63" t="s">
        <v>1671</v>
      </c>
      <c r="F2198" s="150">
        <f>ROUND($D2198,2)</f>
        <v>51.56</v>
      </c>
      <c r="G2198" s="107" t="s">
        <v>1661</v>
      </c>
      <c r="H2198" s="95"/>
    </row>
    <row r="2199" spans="1:8" x14ac:dyDescent="0.3">
      <c r="A2199" s="161"/>
      <c r="B2199" s="107"/>
      <c r="C2199" s="111"/>
      <c r="D2199" s="113"/>
      <c r="E2199" s="63"/>
      <c r="F2199" s="150"/>
      <c r="G2199" s="107"/>
      <c r="H2199" s="95"/>
    </row>
    <row r="2200" spans="1:8" x14ac:dyDescent="0.3">
      <c r="A2200" s="161"/>
      <c r="B2200" s="107"/>
      <c r="C2200" s="111"/>
      <c r="D2200" s="113"/>
      <c r="E2200" s="149" t="s">
        <v>1445</v>
      </c>
      <c r="F2200" s="150"/>
      <c r="G2200" s="107"/>
      <c r="H2200" s="95"/>
    </row>
    <row r="2201" spans="1:8" x14ac:dyDescent="0.3">
      <c r="A2201" s="161"/>
      <c r="B2201" s="107"/>
      <c r="C2201" s="111"/>
      <c r="D2201" s="113"/>
      <c r="E2201" s="63" t="s">
        <v>1684</v>
      </c>
      <c r="F2201" s="150"/>
      <c r="G2201" s="107"/>
      <c r="H2201" s="95"/>
    </row>
    <row r="2202" spans="1:8" x14ac:dyDescent="0.3">
      <c r="A2202" s="161">
        <f>2</f>
        <v>2</v>
      </c>
      <c r="B2202" s="107" t="s">
        <v>1628</v>
      </c>
      <c r="C2202" s="111">
        <f>'04a_Box_Dims'!$AE36</f>
        <v>10</v>
      </c>
      <c r="D2202" s="113"/>
      <c r="E2202" s="63" t="s">
        <v>1685</v>
      </c>
      <c r="F2202" s="150"/>
      <c r="G2202" s="107"/>
      <c r="H2202" s="95"/>
    </row>
    <row r="2203" spans="1:8" x14ac:dyDescent="0.3">
      <c r="A2203" s="161"/>
      <c r="B2203" s="107"/>
      <c r="C2203" s="111">
        <f>'04a_Box_Dims'!$E36</f>
        <v>4</v>
      </c>
      <c r="D2203" s="113">
        <f>$A2202*$C2202*$C2203</f>
        <v>80</v>
      </c>
      <c r="E2203" s="63"/>
      <c r="F2203" s="150"/>
      <c r="G2203" s="107"/>
      <c r="H2203" s="95"/>
    </row>
    <row r="2204" spans="1:8" x14ac:dyDescent="0.3">
      <c r="A2204" s="161">
        <f>4</f>
        <v>4</v>
      </c>
      <c r="B2204" s="107" t="s">
        <v>1628</v>
      </c>
      <c r="C2204" s="111">
        <f>'04a_Box_Dims'!$Z36</f>
        <v>2.1213203435596424</v>
      </c>
      <c r="D2204" s="113"/>
      <c r="E2204" s="63" t="s">
        <v>1686</v>
      </c>
      <c r="F2204" s="150"/>
      <c r="G2204" s="107"/>
      <c r="H2204" s="95"/>
    </row>
    <row r="2205" spans="1:8" x14ac:dyDescent="0.3">
      <c r="A2205" s="161"/>
      <c r="B2205" s="107"/>
      <c r="C2205" s="111">
        <f>'04a_Box_Dims'!$Y36</f>
        <v>5.1928932188134524</v>
      </c>
      <c r="D2205" s="113">
        <f>$A2204*$C2204*$C2205</f>
        <v>44.063160108007558</v>
      </c>
      <c r="E2205" s="63"/>
      <c r="F2205" s="150"/>
      <c r="G2205" s="107"/>
      <c r="H2205" s="95"/>
    </row>
    <row r="2206" spans="1:8" x14ac:dyDescent="0.3">
      <c r="A2206" s="161">
        <f>2</f>
        <v>2</v>
      </c>
      <c r="B2206" s="107" t="s">
        <v>1628</v>
      </c>
      <c r="C2206" s="111">
        <f>'04a_Box_Dims'!$J36</f>
        <v>4.7</v>
      </c>
      <c r="D2206" s="113"/>
      <c r="E2206" s="63" t="s">
        <v>1687</v>
      </c>
      <c r="F2206" s="150"/>
      <c r="G2206" s="107"/>
      <c r="H2206" s="95"/>
    </row>
    <row r="2207" spans="1:8" x14ac:dyDescent="0.3">
      <c r="A2207" s="161"/>
      <c r="B2207" s="107"/>
      <c r="C2207" s="111">
        <f>'04a_Box_Dims'!$U36</f>
        <v>0.6</v>
      </c>
      <c r="D2207" s="113">
        <f>$A2206*$C2206*$C2207</f>
        <v>5.64</v>
      </c>
      <c r="E2207" s="63"/>
      <c r="F2207" s="150"/>
      <c r="G2207" s="107"/>
      <c r="H2207" s="95"/>
    </row>
    <row r="2208" spans="1:8" x14ac:dyDescent="0.3">
      <c r="A2208" s="161"/>
      <c r="B2208" s="107"/>
      <c r="C2208" s="111"/>
      <c r="D2208" s="113">
        <f>SUM($D$2202:$D$2207)</f>
        <v>129.70316010800755</v>
      </c>
      <c r="E2208" s="63" t="s">
        <v>1660</v>
      </c>
      <c r="F2208" s="150">
        <f>ROUND($D2208,2)</f>
        <v>129.69999999999999</v>
      </c>
      <c r="G2208" s="107" t="s">
        <v>1688</v>
      </c>
      <c r="H2208" s="95"/>
    </row>
    <row r="2209" spans="1:8" x14ac:dyDescent="0.3">
      <c r="A2209" s="161"/>
      <c r="B2209" s="107"/>
      <c r="C2209" s="111"/>
      <c r="D2209" s="113"/>
      <c r="E2209" s="63"/>
      <c r="F2209" s="150"/>
      <c r="G2209" s="107"/>
      <c r="H2209" s="95"/>
    </row>
    <row r="2210" spans="1:8" x14ac:dyDescent="0.3">
      <c r="A2210" s="161"/>
      <c r="B2210" s="107"/>
      <c r="C2210" s="111"/>
      <c r="D2210" s="113"/>
      <c r="E2210" s="149" t="s">
        <v>1446</v>
      </c>
      <c r="F2210" s="150"/>
      <c r="G2210" s="107"/>
      <c r="H2210" s="95"/>
    </row>
    <row r="2211" spans="1:8" x14ac:dyDescent="0.3">
      <c r="A2211" s="161"/>
      <c r="B2211" s="107"/>
      <c r="C2211" s="111"/>
      <c r="D2211" s="113"/>
      <c r="E2211" s="63" t="s">
        <v>1689</v>
      </c>
      <c r="F2211" s="150"/>
      <c r="G2211" s="107"/>
      <c r="H2211" s="95"/>
    </row>
    <row r="2212" spans="1:8" x14ac:dyDescent="0.3">
      <c r="A2212" s="161">
        <f>2</f>
        <v>2</v>
      </c>
      <c r="B2212" s="107" t="s">
        <v>1628</v>
      </c>
      <c r="C2212" s="111">
        <f>'04a_Box_Dims'!$O36</f>
        <v>1.5</v>
      </c>
      <c r="D2212" s="113"/>
      <c r="E2212" s="63" t="s">
        <v>1690</v>
      </c>
      <c r="F2212" s="150"/>
      <c r="G2212" s="107"/>
      <c r="H2212" s="95"/>
    </row>
    <row r="2213" spans="1:8" x14ac:dyDescent="0.3">
      <c r="A2213" s="161"/>
      <c r="B2213" s="107"/>
      <c r="C2213" s="111">
        <f>'04a_Box_Dims'!$Q36</f>
        <v>6.2</v>
      </c>
      <c r="D2213" s="113">
        <f>$A2212*$C2212*$C2213</f>
        <v>18.600000000000001</v>
      </c>
      <c r="E2213" s="63"/>
      <c r="F2213" s="150"/>
      <c r="G2213" s="107"/>
      <c r="H2213" s="95"/>
    </row>
    <row r="2214" spans="1:8" x14ac:dyDescent="0.3">
      <c r="A2214" s="161"/>
      <c r="B2214" s="107"/>
      <c r="C2214" s="111"/>
      <c r="D2214" s="113">
        <f>SUM($D$2212:$D$2213)</f>
        <v>18.600000000000001</v>
      </c>
      <c r="E2214" s="63" t="s">
        <v>1660</v>
      </c>
      <c r="F2214" s="150">
        <f>ROUND($D2214,2)</f>
        <v>18.600000000000001</v>
      </c>
      <c r="G2214" s="107" t="s">
        <v>1688</v>
      </c>
      <c r="H2214" s="95"/>
    </row>
    <row r="2215" spans="1:8" x14ac:dyDescent="0.3">
      <c r="A2215" s="161"/>
      <c r="B2215" s="107"/>
      <c r="C2215" s="111"/>
      <c r="D2215" s="113"/>
      <c r="E2215" s="63"/>
      <c r="F2215" s="150"/>
      <c r="G2215" s="107"/>
      <c r="H2215" s="95"/>
    </row>
    <row r="2216" spans="1:8" x14ac:dyDescent="0.3">
      <c r="A2216" s="161"/>
      <c r="B2216" s="107"/>
      <c r="C2216" s="111"/>
      <c r="D2216" s="113"/>
      <c r="E2216" s="149" t="s">
        <v>1447</v>
      </c>
      <c r="F2216" s="150"/>
      <c r="G2216" s="107"/>
      <c r="H2216" s="95"/>
    </row>
    <row r="2217" spans="1:8" x14ac:dyDescent="0.3">
      <c r="A2217" s="161"/>
      <c r="B2217" s="107"/>
      <c r="C2217" s="111"/>
      <c r="D2217" s="113"/>
      <c r="E2217" s="63" t="s">
        <v>1691</v>
      </c>
      <c r="F2217" s="150"/>
      <c r="G2217" s="107"/>
      <c r="H2217" s="95"/>
    </row>
    <row r="2218" spans="1:8" x14ac:dyDescent="0.3">
      <c r="A2218" s="161">
        <f>4</f>
        <v>4</v>
      </c>
      <c r="B2218" s="107" t="s">
        <v>1628</v>
      </c>
      <c r="C2218" s="111">
        <f>'04a_Box_Dims'!$J36</f>
        <v>4.7</v>
      </c>
      <c r="D2218" s="113"/>
      <c r="E2218" s="63" t="s">
        <v>1692</v>
      </c>
      <c r="F2218" s="150"/>
      <c r="G2218" s="107"/>
      <c r="H2218" s="95"/>
    </row>
    <row r="2219" spans="1:8" x14ac:dyDescent="0.3">
      <c r="A2219" s="161"/>
      <c r="B2219" s="107"/>
      <c r="C2219" s="111">
        <f>'04a_Box_Dims'!$I36</f>
        <v>0.35000000000000003</v>
      </c>
      <c r="D2219" s="113">
        <f>$A2218*$C2218*$C2219</f>
        <v>6.580000000000001</v>
      </c>
      <c r="E2219" s="63"/>
      <c r="F2219" s="150"/>
      <c r="G2219" s="107"/>
      <c r="H2219" s="95"/>
    </row>
    <row r="2220" spans="1:8" x14ac:dyDescent="0.3">
      <c r="A2220" s="161">
        <f>4</f>
        <v>4</v>
      </c>
      <c r="B2220" s="107" t="s">
        <v>1628</v>
      </c>
      <c r="C2220" s="111">
        <f>'04a_Box_Dims'!$O36</f>
        <v>1.5</v>
      </c>
      <c r="D2220" s="113"/>
      <c r="E2220" s="63" t="s">
        <v>1693</v>
      </c>
      <c r="F2220" s="150"/>
      <c r="G2220" s="107"/>
      <c r="H2220" s="95"/>
    </row>
    <row r="2221" spans="1:8" x14ac:dyDescent="0.3">
      <c r="A2221" s="161"/>
      <c r="B2221" s="107"/>
      <c r="C2221" s="111">
        <f>'04a_Box_Dims'!$P36</f>
        <v>0.35000000000000003</v>
      </c>
      <c r="D2221" s="113">
        <f>$A2220*$C2220*$C2221</f>
        <v>2.1</v>
      </c>
      <c r="E2221" s="63"/>
      <c r="F2221" s="150"/>
      <c r="G2221" s="107"/>
      <c r="H2221" s="95"/>
    </row>
    <row r="2222" spans="1:8" x14ac:dyDescent="0.3">
      <c r="A2222" s="161"/>
      <c r="B2222" s="107"/>
      <c r="C2222" s="111"/>
      <c r="D2222" s="113">
        <f>SUM($D$2218:$D$2221)</f>
        <v>8.6800000000000015</v>
      </c>
      <c r="E2222" s="63" t="s">
        <v>1660</v>
      </c>
      <c r="F2222" s="150">
        <f>ROUND($D2222,2)</f>
        <v>8.68</v>
      </c>
      <c r="G2222" s="107" t="s">
        <v>1688</v>
      </c>
      <c r="H2222" s="95"/>
    </row>
    <row r="2223" spans="1:8" x14ac:dyDescent="0.3">
      <c r="A2223" s="161"/>
      <c r="B2223" s="107"/>
      <c r="C2223" s="111"/>
      <c r="D2223" s="113"/>
      <c r="E2223" s="63"/>
      <c r="F2223" s="150"/>
      <c r="G2223" s="107"/>
      <c r="H2223" s="95"/>
    </row>
    <row r="2224" spans="1:8" x14ac:dyDescent="0.3">
      <c r="A2224" s="161"/>
      <c r="B2224" s="107"/>
      <c r="C2224" s="111"/>
      <c r="D2224" s="113"/>
      <c r="E2224" s="149" t="s">
        <v>1448</v>
      </c>
      <c r="F2224" s="150"/>
      <c r="G2224" s="107"/>
      <c r="H2224" s="95"/>
    </row>
    <row r="2225" spans="1:8" x14ac:dyDescent="0.3">
      <c r="A2225" s="161"/>
      <c r="B2225" s="107"/>
      <c r="C2225" s="111"/>
      <c r="D2225" s="113"/>
      <c r="E2225" s="63" t="s">
        <v>1694</v>
      </c>
      <c r="F2225" s="150"/>
      <c r="G2225" s="107"/>
      <c r="H2225" s="95"/>
    </row>
    <row r="2226" spans="1:8" x14ac:dyDescent="0.3">
      <c r="A2226" s="161">
        <f>1</f>
        <v>1</v>
      </c>
      <c r="B2226" s="107" t="s">
        <v>1628</v>
      </c>
      <c r="C2226" s="111">
        <f>'04a_Box_Dims'!$AE36</f>
        <v>10</v>
      </c>
      <c r="D2226" s="113"/>
      <c r="E2226" s="63" t="s">
        <v>1695</v>
      </c>
      <c r="F2226" s="150"/>
      <c r="G2226" s="107"/>
      <c r="H2226" s="95"/>
    </row>
    <row r="2227" spans="1:8" x14ac:dyDescent="0.3">
      <c r="A2227" s="161"/>
      <c r="B2227" s="107"/>
      <c r="C2227" s="111">
        <f>'04a_Box_Dims'!$K36</f>
        <v>4</v>
      </c>
      <c r="D2227" s="113">
        <f>$A2226*$C2226*$C2227</f>
        <v>40</v>
      </c>
      <c r="E2227" s="63"/>
      <c r="F2227" s="150"/>
      <c r="G2227" s="107"/>
      <c r="H2227" s="95"/>
    </row>
    <row r="2228" spans="1:8" x14ac:dyDescent="0.3">
      <c r="A2228" s="161"/>
      <c r="B2228" s="107"/>
      <c r="C2228" s="111"/>
      <c r="D2228" s="113">
        <f>SUM($D$2226:$D$2227)</f>
        <v>40</v>
      </c>
      <c r="E2228" s="63" t="s">
        <v>1660</v>
      </c>
      <c r="F2228" s="150">
        <f>ROUND($D2228,2)</f>
        <v>40</v>
      </c>
      <c r="G2228" s="107" t="s">
        <v>1688</v>
      </c>
      <c r="H2228" s="95"/>
    </row>
    <row r="2229" spans="1:8" x14ac:dyDescent="0.3">
      <c r="A2229" s="161"/>
      <c r="B2229" s="107"/>
      <c r="C2229" s="111"/>
      <c r="D2229" s="113"/>
      <c r="E2229" s="63"/>
      <c r="F2229" s="150"/>
      <c r="G2229" s="107"/>
      <c r="H2229" s="95"/>
    </row>
    <row r="2230" spans="1:8" x14ac:dyDescent="0.3">
      <c r="A2230" s="161"/>
      <c r="B2230" s="107"/>
      <c r="C2230" s="111"/>
      <c r="D2230" s="113"/>
      <c r="E2230" s="149" t="s">
        <v>1449</v>
      </c>
      <c r="F2230" s="150"/>
      <c r="G2230" s="107"/>
      <c r="H2230" s="95"/>
    </row>
    <row r="2231" spans="1:8" x14ac:dyDescent="0.3">
      <c r="A2231" s="161"/>
      <c r="B2231" s="107"/>
      <c r="C2231" s="111"/>
      <c r="D2231" s="113"/>
      <c r="E2231" s="63" t="s">
        <v>1696</v>
      </c>
      <c r="F2231" s="150"/>
      <c r="G2231" s="107"/>
      <c r="H2231" s="95"/>
    </row>
    <row r="2232" spans="1:8" x14ac:dyDescent="0.3">
      <c r="A2232" s="161">
        <f>2</f>
        <v>2</v>
      </c>
      <c r="B2232" s="107" t="s">
        <v>1628</v>
      </c>
      <c r="C2232" s="111">
        <f>'04a_Box_Dims'!$J36</f>
        <v>4.7</v>
      </c>
      <c r="D2232" s="113"/>
      <c r="E2232" s="63" t="s">
        <v>1697</v>
      </c>
      <c r="F2232" s="150"/>
      <c r="G2232" s="107"/>
      <c r="H2232" s="95"/>
    </row>
    <row r="2233" spans="1:8" x14ac:dyDescent="0.3">
      <c r="A2233" s="161"/>
      <c r="B2233" s="107"/>
      <c r="C2233" s="111">
        <f>'04a_Box_Dims'!$U36</f>
        <v>0.6</v>
      </c>
      <c r="D2233" s="113">
        <f>$A2232*$C2232*$C2233</f>
        <v>5.64</v>
      </c>
      <c r="E2233" s="63"/>
      <c r="F2233" s="150"/>
      <c r="G2233" s="107"/>
      <c r="H2233" s="95"/>
    </row>
    <row r="2234" spans="1:8" x14ac:dyDescent="0.3">
      <c r="A2234" s="161"/>
      <c r="B2234" s="107"/>
      <c r="C2234" s="111"/>
      <c r="D2234" s="113">
        <f>SUM($D$2232:$D$2233)</f>
        <v>5.64</v>
      </c>
      <c r="E2234" s="63" t="s">
        <v>1660</v>
      </c>
      <c r="F2234" s="150">
        <f>ROUND($D2234,2)</f>
        <v>5.64</v>
      </c>
      <c r="G2234" s="107" t="s">
        <v>1688</v>
      </c>
      <c r="H2234" s="95"/>
    </row>
    <row r="2235" spans="1:8" x14ac:dyDescent="0.3">
      <c r="A2235" s="161"/>
      <c r="B2235" s="107"/>
      <c r="C2235" s="111"/>
      <c r="D2235" s="113"/>
      <c r="E2235" s="63"/>
      <c r="F2235" s="150"/>
      <c r="G2235" s="107"/>
      <c r="H2235" s="95"/>
    </row>
    <row r="2236" spans="1:8" x14ac:dyDescent="0.3">
      <c r="A2236" s="161"/>
      <c r="B2236" s="107"/>
      <c r="C2236" s="111"/>
      <c r="D2236" s="113"/>
      <c r="E2236" s="149" t="s">
        <v>1329</v>
      </c>
      <c r="F2236" s="150"/>
      <c r="G2236" s="107"/>
      <c r="H2236" s="95"/>
    </row>
    <row r="2237" spans="1:8" x14ac:dyDescent="0.3">
      <c r="A2237" s="161"/>
      <c r="B2237" s="107"/>
      <c r="C2237" s="111"/>
      <c r="D2237" s="113"/>
      <c r="E2237" s="63" t="s">
        <v>1698</v>
      </c>
      <c r="F2237" s="150"/>
      <c r="G2237" s="107"/>
      <c r="H2237" s="95"/>
    </row>
    <row r="2238" spans="1:8" x14ac:dyDescent="0.3">
      <c r="A2238" s="161">
        <f>2</f>
        <v>2</v>
      </c>
      <c r="B2238" s="107" t="s">
        <v>1628</v>
      </c>
      <c r="C2238" s="111">
        <f>'04a_Box_Dims'!$AE36</f>
        <v>10</v>
      </c>
      <c r="D2238" s="113"/>
      <c r="E2238" s="63" t="s">
        <v>1699</v>
      </c>
      <c r="F2238" s="150"/>
      <c r="G2238" s="107"/>
      <c r="H2238" s="95"/>
    </row>
    <row r="2239" spans="1:8" x14ac:dyDescent="0.3">
      <c r="A2239" s="161"/>
      <c r="B2239" s="107"/>
      <c r="C2239" s="111">
        <f>'04a_Box_Dims'!$E36</f>
        <v>4</v>
      </c>
      <c r="D2239" s="113">
        <f>$A2238*$C2238*$C2239</f>
        <v>80</v>
      </c>
      <c r="E2239" s="63"/>
      <c r="F2239" s="150"/>
      <c r="G2239" s="107"/>
      <c r="H2239" s="95"/>
    </row>
    <row r="2240" spans="1:8" x14ac:dyDescent="0.3">
      <c r="A2240" s="161">
        <f>('04a_Box_Dims'!$C36-1)*2</f>
        <v>0</v>
      </c>
      <c r="B2240" s="107" t="s">
        <v>1628</v>
      </c>
      <c r="C2240" s="111">
        <f>'04a_Box_Dims'!$AE36</f>
        <v>10</v>
      </c>
      <c r="D2240" s="113"/>
      <c r="E2240" s="63" t="s">
        <v>1700</v>
      </c>
      <c r="F2240" s="150"/>
      <c r="G2240" s="107"/>
      <c r="H2240" s="95"/>
    </row>
    <row r="2241" spans="1:8" x14ac:dyDescent="0.3">
      <c r="A2241" s="161"/>
      <c r="B2241" s="107"/>
      <c r="C2241" s="111">
        <f>'04a_Box_Dims'!$E36</f>
        <v>4</v>
      </c>
      <c r="D2241" s="113">
        <f>$A2240*$C2240*$C2241</f>
        <v>0</v>
      </c>
      <c r="E2241" s="63"/>
      <c r="F2241" s="150"/>
      <c r="G2241" s="107"/>
      <c r="H2241" s="95"/>
    </row>
    <row r="2242" spans="1:8" x14ac:dyDescent="0.3">
      <c r="A2242" s="161">
        <f>4</f>
        <v>4</v>
      </c>
      <c r="B2242" s="107" t="s">
        <v>1628</v>
      </c>
      <c r="C2242" s="111">
        <f>'04a_Box_Dims'!$Z36</f>
        <v>2.1213203435596424</v>
      </c>
      <c r="D2242" s="113"/>
      <c r="E2242" s="63" t="s">
        <v>1701</v>
      </c>
      <c r="F2242" s="150"/>
      <c r="G2242" s="107"/>
      <c r="H2242" s="95"/>
    </row>
    <row r="2243" spans="1:8" x14ac:dyDescent="0.3">
      <c r="A2243" s="161"/>
      <c r="B2243" s="107"/>
      <c r="C2243" s="111">
        <f>'04a_Box_Dims'!$Y36</f>
        <v>5.1928932188134524</v>
      </c>
      <c r="D2243" s="113">
        <f>$A2242*$C2242*$C2243</f>
        <v>44.063160108007558</v>
      </c>
      <c r="E2243" s="63"/>
      <c r="F2243" s="150"/>
      <c r="G2243" s="107"/>
      <c r="H2243" s="95"/>
    </row>
    <row r="2244" spans="1:8" x14ac:dyDescent="0.3">
      <c r="A2244" s="161"/>
      <c r="B2244" s="107"/>
      <c r="C2244" s="111"/>
      <c r="D2244" s="113">
        <f>SUM($D$2238:$D$2243)</f>
        <v>124.06316010800757</v>
      </c>
      <c r="E2244" s="63" t="s">
        <v>1660</v>
      </c>
      <c r="F2244" s="150">
        <f>ROUND($D2244,2)</f>
        <v>124.06</v>
      </c>
      <c r="G2244" s="107" t="s">
        <v>1688</v>
      </c>
      <c r="H2244" s="95"/>
    </row>
    <row r="2245" spans="1:8" x14ac:dyDescent="0.3">
      <c r="A2245" s="161"/>
      <c r="B2245" s="107"/>
      <c r="C2245" s="111"/>
      <c r="D2245" s="113"/>
      <c r="E2245" s="63"/>
      <c r="F2245" s="150"/>
      <c r="G2245" s="107"/>
      <c r="H2245" s="95"/>
    </row>
    <row r="2246" spans="1:8" x14ac:dyDescent="0.3">
      <c r="A2246" s="161"/>
      <c r="B2246" s="107"/>
      <c r="C2246" s="111"/>
      <c r="D2246" s="113"/>
      <c r="E2246" s="149" t="s">
        <v>1702</v>
      </c>
      <c r="F2246" s="150"/>
      <c r="G2246" s="107"/>
      <c r="H2246" s="95"/>
    </row>
    <row r="2247" spans="1:8" x14ac:dyDescent="0.3">
      <c r="A2247" s="161"/>
      <c r="B2247" s="107"/>
      <c r="C2247" s="111"/>
      <c r="D2247" s="113"/>
      <c r="E2247" s="63" t="s">
        <v>1703</v>
      </c>
      <c r="F2247" s="150"/>
      <c r="G2247" s="107"/>
      <c r="H2247" s="95"/>
    </row>
    <row r="2248" spans="1:8" x14ac:dyDescent="0.3">
      <c r="A2248" s="161"/>
      <c r="B2248" s="107"/>
      <c r="C2248" s="111"/>
      <c r="D2248" s="113">
        <v>0</v>
      </c>
      <c r="E2248" s="63" t="s">
        <v>1704</v>
      </c>
      <c r="F2248" s="150">
        <f t="shared" ref="F2248:F2253" si="14">ROUND($D2248,3)</f>
        <v>0</v>
      </c>
      <c r="G2248" s="107" t="s">
        <v>1474</v>
      </c>
      <c r="H2248" s="95"/>
    </row>
    <row r="2249" spans="1:8" x14ac:dyDescent="0.3">
      <c r="A2249" s="161"/>
      <c r="B2249" s="107"/>
      <c r="C2249" s="111"/>
      <c r="D2249" s="113">
        <f>'04b_Box_Bars'!$S23/1000</f>
        <v>1.4426978863447726</v>
      </c>
      <c r="E2249" s="63" t="s">
        <v>1705</v>
      </c>
      <c r="F2249" s="150">
        <f t="shared" si="14"/>
        <v>1.4430000000000001</v>
      </c>
      <c r="G2249" s="107" t="s">
        <v>1474</v>
      </c>
      <c r="H2249" s="95"/>
    </row>
    <row r="2250" spans="1:8" x14ac:dyDescent="0.3">
      <c r="A2250" s="161"/>
      <c r="B2250" s="107"/>
      <c r="C2250" s="111"/>
      <c r="D2250" s="113">
        <f>'04b_Box_Bars'!$T23/1000</f>
        <v>4.5540743046950274</v>
      </c>
      <c r="E2250" s="63" t="s">
        <v>1706</v>
      </c>
      <c r="F2250" s="150">
        <f t="shared" si="14"/>
        <v>4.5540000000000003</v>
      </c>
      <c r="G2250" s="107" t="s">
        <v>1474</v>
      </c>
      <c r="H2250" s="95"/>
    </row>
    <row r="2251" spans="1:8" x14ac:dyDescent="0.3">
      <c r="A2251" s="161"/>
      <c r="B2251" s="107"/>
      <c r="C2251" s="111"/>
      <c r="D2251" s="113">
        <f>'04b_Box_Bars'!$U23/1000</f>
        <v>0</v>
      </c>
      <c r="E2251" s="63" t="s">
        <v>1707</v>
      </c>
      <c r="F2251" s="150">
        <f t="shared" si="14"/>
        <v>0</v>
      </c>
      <c r="G2251" s="107" t="s">
        <v>1474</v>
      </c>
      <c r="H2251" s="95"/>
    </row>
    <row r="2252" spans="1:8" x14ac:dyDescent="0.3">
      <c r="A2252" s="161"/>
      <c r="B2252" s="107"/>
      <c r="C2252" s="111"/>
      <c r="D2252" s="113">
        <f>'04b_Box_Bars'!$V23/1000</f>
        <v>0</v>
      </c>
      <c r="E2252" s="63" t="s">
        <v>1708</v>
      </c>
      <c r="F2252" s="150">
        <f t="shared" si="14"/>
        <v>0</v>
      </c>
      <c r="G2252" s="107" t="s">
        <v>1474</v>
      </c>
      <c r="H2252" s="95"/>
    </row>
    <row r="2253" spans="1:8" x14ac:dyDescent="0.3">
      <c r="A2253" s="161"/>
      <c r="B2253" s="107"/>
      <c r="C2253" s="111"/>
      <c r="D2253" s="113">
        <f>'04b_Box_Bars'!$W23/1000</f>
        <v>1.5721707735808423</v>
      </c>
      <c r="E2253" s="63" t="s">
        <v>1709</v>
      </c>
      <c r="F2253" s="150">
        <f t="shared" si="14"/>
        <v>1.5720000000000001</v>
      </c>
      <c r="G2253" s="107" t="s">
        <v>1474</v>
      </c>
      <c r="H2253" s="95"/>
    </row>
    <row r="2254" spans="1:8" x14ac:dyDescent="0.3">
      <c r="A2254" s="161"/>
      <c r="B2254" s="107"/>
      <c r="C2254" s="111"/>
      <c r="D2254" s="113"/>
      <c r="E2254" s="63"/>
      <c r="F2254" s="150"/>
      <c r="G2254" s="107"/>
      <c r="H2254" s="95"/>
    </row>
    <row r="2255" spans="1:8" x14ac:dyDescent="0.3">
      <c r="A2255" s="161"/>
      <c r="B2255" s="107"/>
      <c r="C2255" s="111"/>
      <c r="D2255" s="113"/>
      <c r="E2255" s="63"/>
      <c r="F2255" s="150"/>
      <c r="G2255" s="107"/>
      <c r="H2255" s="95"/>
    </row>
    <row r="2256" spans="1:8" x14ac:dyDescent="0.3">
      <c r="A2256" s="160" t="str">
        <f>'04a_Box_Dims'!$F37&amp;"  No.  "&amp;'04a_Box_Dims'!$A37&amp;"   (L = "&amp;TEXT('04a_Box_Dims'!$AE37,"0.00")&amp;" m)"</f>
        <v>0  No.  2/4x4 box culvert   (L = 10.00 m)</v>
      </c>
      <c r="B2256" s="146"/>
      <c r="C2256" s="162"/>
      <c r="D2256" s="163"/>
      <c r="E2256" s="147"/>
      <c r="F2256" s="148"/>
      <c r="G2256" s="146"/>
      <c r="H2256" s="151"/>
    </row>
    <row r="2257" spans="1:8" x14ac:dyDescent="0.3">
      <c r="A2257" s="161"/>
      <c r="B2257" s="107"/>
      <c r="C2257" s="111"/>
      <c r="D2257" s="113"/>
      <c r="E2257" s="149" t="s">
        <v>1438</v>
      </c>
      <c r="F2257" s="150"/>
      <c r="G2257" s="107"/>
      <c r="H2257" s="95"/>
    </row>
    <row r="2258" spans="1:8" x14ac:dyDescent="0.3">
      <c r="A2258" s="161"/>
      <c r="B2258" s="107"/>
      <c r="C2258" s="111"/>
      <c r="D2258" s="113"/>
      <c r="E2258" s="63" t="s">
        <v>1655</v>
      </c>
      <c r="F2258" s="150"/>
      <c r="G2258" s="107"/>
      <c r="H2258" s="95"/>
    </row>
    <row r="2259" spans="1:8" x14ac:dyDescent="0.3">
      <c r="A2259" s="161">
        <f>1</f>
        <v>1</v>
      </c>
      <c r="B2259" s="107" t="s">
        <v>1628</v>
      </c>
      <c r="C2259" s="111">
        <f>'04a_Box_Dims'!$AE37</f>
        <v>10</v>
      </c>
      <c r="D2259" s="113"/>
      <c r="E2259" s="63" t="s">
        <v>1656</v>
      </c>
      <c r="F2259" s="150"/>
      <c r="G2259" s="107"/>
      <c r="H2259" s="95"/>
    </row>
    <row r="2260" spans="1:8" x14ac:dyDescent="0.3">
      <c r="A2260" s="161"/>
      <c r="B2260" s="107"/>
      <c r="C2260" s="111">
        <f>'04a_Box_Dims'!$J37+2*BX_work</f>
        <v>9.65</v>
      </c>
      <c r="D2260" s="113"/>
      <c r="E2260" s="63"/>
      <c r="F2260" s="150"/>
      <c r="G2260" s="107"/>
      <c r="H2260" s="95"/>
    </row>
    <row r="2261" spans="1:8" x14ac:dyDescent="0.3">
      <c r="A2261" s="161"/>
      <c r="B2261" s="107"/>
      <c r="C2261" s="111">
        <f>'04a_Box_Dims'!$L37+BX_blind+BX_exX</f>
        <v>4.9000000000000004</v>
      </c>
      <c r="D2261" s="113">
        <f>$A2259*$C2259*$C2260*$C2261</f>
        <v>472.85</v>
      </c>
      <c r="E2261" s="63"/>
      <c r="F2261" s="150"/>
      <c r="G2261" s="107"/>
      <c r="H2261" s="95"/>
    </row>
    <row r="2262" spans="1:8" x14ac:dyDescent="0.3">
      <c r="A2262" s="161">
        <f>2</f>
        <v>2</v>
      </c>
      <c r="B2262" s="107" t="s">
        <v>1628</v>
      </c>
      <c r="C2262" s="111">
        <f>'04a_Box_Dims'!$O37</f>
        <v>1.5</v>
      </c>
      <c r="D2262" s="113"/>
      <c r="E2262" s="63" t="s">
        <v>1657</v>
      </c>
      <c r="F2262" s="150"/>
      <c r="G2262" s="107"/>
      <c r="H2262" s="95"/>
    </row>
    <row r="2263" spans="1:8" x14ac:dyDescent="0.3">
      <c r="A2263" s="161"/>
      <c r="B2263" s="107"/>
      <c r="C2263" s="111">
        <f>'04a_Box_Dims'!$Q37</f>
        <v>10.55</v>
      </c>
      <c r="D2263" s="113"/>
      <c r="E2263" s="63"/>
      <c r="F2263" s="150"/>
      <c r="G2263" s="107"/>
      <c r="H2263" s="95"/>
    </row>
    <row r="2264" spans="1:8" x14ac:dyDescent="0.3">
      <c r="A2264" s="161"/>
      <c r="B2264" s="107"/>
      <c r="C2264" s="111">
        <f>'04a_Box_Dims'!$P37+BX_blind+BX_exX</f>
        <v>0.55000000000000004</v>
      </c>
      <c r="D2264" s="113">
        <f>$A2262*$C2262*$C2263*$C2264</f>
        <v>17.407500000000002</v>
      </c>
      <c r="E2264" s="63"/>
      <c r="F2264" s="150"/>
      <c r="G2264" s="107"/>
      <c r="H2264" s="95"/>
    </row>
    <row r="2265" spans="1:8" x14ac:dyDescent="0.3">
      <c r="A2265" s="161">
        <f>2</f>
        <v>2</v>
      </c>
      <c r="B2265" s="107" t="s">
        <v>1628</v>
      </c>
      <c r="C2265" s="111">
        <f>'04a_Box_Dims'!$R37</f>
        <v>9.0500000000000007</v>
      </c>
      <c r="D2265" s="113"/>
      <c r="E2265" s="63" t="s">
        <v>1658</v>
      </c>
      <c r="F2265" s="150"/>
      <c r="G2265" s="107"/>
      <c r="H2265" s="95"/>
    </row>
    <row r="2266" spans="1:8" x14ac:dyDescent="0.3">
      <c r="A2266" s="161"/>
      <c r="B2266" s="107"/>
      <c r="C2266" s="111">
        <f>'04a_Box_Dims'!$S37</f>
        <v>0.2</v>
      </c>
      <c r="D2266" s="113"/>
      <c r="E2266" s="63"/>
      <c r="F2266" s="150"/>
      <c r="G2266" s="107"/>
      <c r="H2266" s="95"/>
    </row>
    <row r="2267" spans="1:8" x14ac:dyDescent="0.3">
      <c r="A2267" s="161"/>
      <c r="B2267" s="107"/>
      <c r="C2267" s="111">
        <f>'04a_Box_Dims'!$T37+BX_blind</f>
        <v>0.5</v>
      </c>
      <c r="D2267" s="113">
        <f>$A2265*$C2265*$C2266*$C2267</f>
        <v>1.8100000000000003</v>
      </c>
      <c r="E2267" s="63"/>
      <c r="F2267" s="150"/>
      <c r="G2267" s="107"/>
      <c r="H2267" s="95"/>
    </row>
    <row r="2268" spans="1:8" x14ac:dyDescent="0.3">
      <c r="A2268" s="161">
        <f>4</f>
        <v>4</v>
      </c>
      <c r="B2268" s="107" t="s">
        <v>1628</v>
      </c>
      <c r="C2268" s="111">
        <f>'04a_Box_Dims'!$Z37</f>
        <v>2.1213203435596424</v>
      </c>
      <c r="D2268" s="113"/>
      <c r="E2268" s="63" t="s">
        <v>1659</v>
      </c>
      <c r="F2268" s="150"/>
      <c r="G2268" s="107"/>
      <c r="H2268" s="95"/>
    </row>
    <row r="2269" spans="1:8" x14ac:dyDescent="0.3">
      <c r="A2269" s="161"/>
      <c r="B2269" s="107"/>
      <c r="C2269" s="111">
        <f>'04a_Box_Dims'!$AC37</f>
        <v>0.9</v>
      </c>
      <c r="D2269" s="113"/>
      <c r="E2269" s="63"/>
      <c r="F2269" s="150"/>
      <c r="G2269" s="107"/>
      <c r="H2269" s="95"/>
    </row>
    <row r="2270" spans="1:8" x14ac:dyDescent="0.3">
      <c r="A2270" s="161"/>
      <c r="B2270" s="107"/>
      <c r="C2270" s="111">
        <f>'04a_Box_Dims'!$AD37+BX_blind</f>
        <v>0.4</v>
      </c>
      <c r="D2270" s="113">
        <f>$A2268*$C2268*$C2269*$C2270</f>
        <v>3.0547012947258851</v>
      </c>
      <c r="E2270" s="63"/>
      <c r="F2270" s="150"/>
      <c r="G2270" s="107"/>
      <c r="H2270" s="95"/>
    </row>
    <row r="2271" spans="1:8" x14ac:dyDescent="0.3">
      <c r="A2271" s="161"/>
      <c r="B2271" s="107"/>
      <c r="C2271" s="111"/>
      <c r="D2271" s="113">
        <f>SUM($D$2259:$D$2270)</f>
        <v>495.12220129472593</v>
      </c>
      <c r="E2271" s="63" t="s">
        <v>1660</v>
      </c>
      <c r="F2271" s="150">
        <f>ROUND($D2271,0)</f>
        <v>495</v>
      </c>
      <c r="G2271" s="107" t="s">
        <v>1661</v>
      </c>
      <c r="H2271" s="95"/>
    </row>
    <row r="2272" spans="1:8" x14ac:dyDescent="0.3">
      <c r="A2272" s="161"/>
      <c r="B2272" s="107"/>
      <c r="C2272" s="111"/>
      <c r="D2272" s="113"/>
      <c r="E2272" s="63"/>
      <c r="F2272" s="150"/>
      <c r="G2272" s="107"/>
      <c r="H2272" s="95"/>
    </row>
    <row r="2273" spans="1:8" x14ac:dyDescent="0.3">
      <c r="A2273" s="161"/>
      <c r="B2273" s="107"/>
      <c r="C2273" s="111"/>
      <c r="D2273" s="113"/>
      <c r="E2273" s="149" t="s">
        <v>1323</v>
      </c>
      <c r="F2273" s="150"/>
      <c r="G2273" s="107"/>
      <c r="H2273" s="95"/>
    </row>
    <row r="2274" spans="1:8" x14ac:dyDescent="0.3">
      <c r="A2274" s="161"/>
      <c r="B2274" s="107"/>
      <c r="C2274" s="111"/>
      <c r="D2274" s="113"/>
      <c r="E2274" s="63" t="s">
        <v>1662</v>
      </c>
      <c r="F2274" s="150"/>
      <c r="G2274" s="107"/>
      <c r="H2274" s="95"/>
    </row>
    <row r="2275" spans="1:8" x14ac:dyDescent="0.3">
      <c r="A2275" s="161">
        <f>1</f>
        <v>1</v>
      </c>
      <c r="B2275" s="107" t="s">
        <v>1628</v>
      </c>
      <c r="C2275" s="111">
        <f>'04a_Box_Dims'!$AE37</f>
        <v>10</v>
      </c>
      <c r="D2275" s="113"/>
      <c r="E2275" s="63" t="s">
        <v>1663</v>
      </c>
      <c r="F2275" s="150"/>
      <c r="G2275" s="107"/>
      <c r="H2275" s="95"/>
    </row>
    <row r="2276" spans="1:8" x14ac:dyDescent="0.3">
      <c r="A2276" s="161"/>
      <c r="B2276" s="107"/>
      <c r="C2276" s="111">
        <f>'04a_Box_Dims'!$J37</f>
        <v>9.0500000000000007</v>
      </c>
      <c r="D2276" s="113"/>
      <c r="E2276" s="63"/>
      <c r="F2276" s="150"/>
      <c r="G2276" s="107"/>
      <c r="H2276" s="95"/>
    </row>
    <row r="2277" spans="1:8" x14ac:dyDescent="0.3">
      <c r="A2277" s="161"/>
      <c r="B2277" s="107"/>
      <c r="C2277" s="111">
        <f>BX_blind</f>
        <v>0.05</v>
      </c>
      <c r="D2277" s="113">
        <f>$A2275*$C2275*$C2276*$C2277</f>
        <v>4.5250000000000004</v>
      </c>
      <c r="E2277" s="63"/>
      <c r="F2277" s="150"/>
      <c r="G2277" s="107"/>
      <c r="H2277" s="95"/>
    </row>
    <row r="2278" spans="1:8" x14ac:dyDescent="0.3">
      <c r="A2278" s="161">
        <f>2</f>
        <v>2</v>
      </c>
      <c r="B2278" s="107" t="s">
        <v>1628</v>
      </c>
      <c r="C2278" s="111">
        <f>'04a_Box_Dims'!$O37</f>
        <v>1.5</v>
      </c>
      <c r="D2278" s="113"/>
      <c r="E2278" s="63" t="s">
        <v>1657</v>
      </c>
      <c r="F2278" s="150"/>
      <c r="G2278" s="107"/>
      <c r="H2278" s="95"/>
    </row>
    <row r="2279" spans="1:8" x14ac:dyDescent="0.3">
      <c r="A2279" s="161"/>
      <c r="B2279" s="107"/>
      <c r="C2279" s="111">
        <f>'04a_Box_Dims'!$Q37</f>
        <v>10.55</v>
      </c>
      <c r="D2279" s="113"/>
      <c r="E2279" s="63"/>
      <c r="F2279" s="150"/>
      <c r="G2279" s="107"/>
      <c r="H2279" s="95"/>
    </row>
    <row r="2280" spans="1:8" x14ac:dyDescent="0.3">
      <c r="A2280" s="161"/>
      <c r="B2280" s="107"/>
      <c r="C2280" s="111">
        <f>BX_blind</f>
        <v>0.05</v>
      </c>
      <c r="D2280" s="113">
        <f>$A2278*$C2278*$C2279*$C2280</f>
        <v>1.5825000000000002</v>
      </c>
      <c r="E2280" s="63"/>
      <c r="F2280" s="150"/>
      <c r="G2280" s="107"/>
      <c r="H2280" s="95"/>
    </row>
    <row r="2281" spans="1:8" x14ac:dyDescent="0.3">
      <c r="A2281" s="161">
        <f>2</f>
        <v>2</v>
      </c>
      <c r="B2281" s="107" t="s">
        <v>1628</v>
      </c>
      <c r="C2281" s="111">
        <f>'04a_Box_Dims'!$R37</f>
        <v>9.0500000000000007</v>
      </c>
      <c r="D2281" s="113"/>
      <c r="E2281" s="63" t="s">
        <v>1658</v>
      </c>
      <c r="F2281" s="150"/>
      <c r="G2281" s="107"/>
      <c r="H2281" s="95"/>
    </row>
    <row r="2282" spans="1:8" x14ac:dyDescent="0.3">
      <c r="A2282" s="161"/>
      <c r="B2282" s="107"/>
      <c r="C2282" s="111">
        <f>'04a_Box_Dims'!$S37</f>
        <v>0.2</v>
      </c>
      <c r="D2282" s="113"/>
      <c r="E2282" s="63"/>
      <c r="F2282" s="150"/>
      <c r="G2282" s="107"/>
      <c r="H2282" s="95"/>
    </row>
    <row r="2283" spans="1:8" x14ac:dyDescent="0.3">
      <c r="A2283" s="161"/>
      <c r="B2283" s="107"/>
      <c r="C2283" s="111">
        <f>BX_blind</f>
        <v>0.05</v>
      </c>
      <c r="D2283" s="113">
        <f>$A2281*$C2281*$C2282*$C2283</f>
        <v>0.18100000000000005</v>
      </c>
      <c r="E2283" s="63"/>
      <c r="F2283" s="150"/>
      <c r="G2283" s="107"/>
      <c r="H2283" s="95"/>
    </row>
    <row r="2284" spans="1:8" x14ac:dyDescent="0.3">
      <c r="A2284" s="161">
        <f>4</f>
        <v>4</v>
      </c>
      <c r="B2284" s="107" t="s">
        <v>1628</v>
      </c>
      <c r="C2284" s="111">
        <f>'04a_Box_Dims'!$Z37</f>
        <v>2.1213203435596424</v>
      </c>
      <c r="D2284" s="113"/>
      <c r="E2284" s="63" t="s">
        <v>1659</v>
      </c>
      <c r="F2284" s="150"/>
      <c r="G2284" s="107"/>
      <c r="H2284" s="95"/>
    </row>
    <row r="2285" spans="1:8" x14ac:dyDescent="0.3">
      <c r="A2285" s="161"/>
      <c r="B2285" s="107"/>
      <c r="C2285" s="111">
        <f>'04a_Box_Dims'!$AC37</f>
        <v>0.9</v>
      </c>
      <c r="D2285" s="113"/>
      <c r="E2285" s="63"/>
      <c r="F2285" s="150"/>
      <c r="G2285" s="107"/>
      <c r="H2285" s="95"/>
    </row>
    <row r="2286" spans="1:8" x14ac:dyDescent="0.3">
      <c r="A2286" s="161"/>
      <c r="B2286" s="107"/>
      <c r="C2286" s="111">
        <f>BX_blind</f>
        <v>0.05</v>
      </c>
      <c r="D2286" s="113">
        <f>$A2284*$C2284*$C2285*$C2286</f>
        <v>0.38183766184073564</v>
      </c>
      <c r="E2286" s="63"/>
      <c r="F2286" s="150"/>
      <c r="G2286" s="107"/>
      <c r="H2286" s="95"/>
    </row>
    <row r="2287" spans="1:8" x14ac:dyDescent="0.3">
      <c r="A2287" s="161"/>
      <c r="B2287" s="107"/>
      <c r="C2287" s="111"/>
      <c r="D2287" s="113">
        <f>SUM($D$2275:$D$2286)</f>
        <v>6.6703376618407368</v>
      </c>
      <c r="E2287" s="63" t="s">
        <v>1660</v>
      </c>
      <c r="F2287" s="150">
        <f>ROUND($D2287,2)</f>
        <v>6.67</v>
      </c>
      <c r="G2287" s="107" t="s">
        <v>1661</v>
      </c>
      <c r="H2287" s="95"/>
    </row>
    <row r="2288" spans="1:8" x14ac:dyDescent="0.3">
      <c r="A2288" s="161"/>
      <c r="B2288" s="107"/>
      <c r="C2288" s="111"/>
      <c r="D2288" s="113"/>
      <c r="E2288" s="63"/>
      <c r="F2288" s="150"/>
      <c r="G2288" s="107"/>
      <c r="H2288" s="95"/>
    </row>
    <row r="2289" spans="1:8" x14ac:dyDescent="0.3">
      <c r="A2289" s="161"/>
      <c r="B2289" s="107"/>
      <c r="C2289" s="111"/>
      <c r="D2289" s="113"/>
      <c r="E2289" s="149" t="s">
        <v>1324</v>
      </c>
      <c r="F2289" s="150"/>
      <c r="G2289" s="107"/>
      <c r="H2289" s="95"/>
    </row>
    <row r="2290" spans="1:8" x14ac:dyDescent="0.3">
      <c r="A2290" s="161"/>
      <c r="B2290" s="107"/>
      <c r="C2290" s="111"/>
      <c r="D2290" s="113"/>
      <c r="E2290" s="63" t="s">
        <v>1664</v>
      </c>
      <c r="F2290" s="150"/>
      <c r="G2290" s="107"/>
      <c r="H2290" s="95"/>
    </row>
    <row r="2291" spans="1:8" x14ac:dyDescent="0.3">
      <c r="A2291" s="161"/>
      <c r="B2291" s="107"/>
      <c r="C2291" s="111"/>
      <c r="D2291" s="113">
        <f>$D2287</f>
        <v>6.6703376618407368</v>
      </c>
      <c r="E2291" s="63" t="s">
        <v>1665</v>
      </c>
      <c r="F2291" s="150">
        <f>$F2287</f>
        <v>6.67</v>
      </c>
      <c r="G2291" s="107" t="s">
        <v>1661</v>
      </c>
      <c r="H2291" s="95"/>
    </row>
    <row r="2292" spans="1:8" x14ac:dyDescent="0.3">
      <c r="A2292" s="161"/>
      <c r="B2292" s="107"/>
      <c r="C2292" s="111"/>
      <c r="D2292" s="113"/>
      <c r="E2292" s="63"/>
      <c r="F2292" s="150"/>
      <c r="G2292" s="107"/>
      <c r="H2292" s="95"/>
    </row>
    <row r="2293" spans="1:8" x14ac:dyDescent="0.3">
      <c r="A2293" s="161"/>
      <c r="B2293" s="107"/>
      <c r="C2293" s="111"/>
      <c r="D2293" s="113"/>
      <c r="E2293" s="149" t="s">
        <v>1455</v>
      </c>
      <c r="F2293" s="150"/>
      <c r="G2293" s="107"/>
      <c r="H2293" s="95"/>
    </row>
    <row r="2294" spans="1:8" x14ac:dyDescent="0.3">
      <c r="A2294" s="161"/>
      <c r="B2294" s="107"/>
      <c r="C2294" s="111"/>
      <c r="D2294" s="113"/>
      <c r="E2294" s="63" t="s">
        <v>1666</v>
      </c>
      <c r="F2294" s="150"/>
      <c r="G2294" s="107"/>
      <c r="H2294" s="95"/>
    </row>
    <row r="2295" spans="1:8" x14ac:dyDescent="0.3">
      <c r="A2295" s="161">
        <f>1</f>
        <v>1</v>
      </c>
      <c r="B2295" s="107" t="s">
        <v>1628</v>
      </c>
      <c r="C2295" s="111">
        <f>'04a_Box_Dims'!$AE37</f>
        <v>10</v>
      </c>
      <c r="D2295" s="113"/>
      <c r="E2295" s="63" t="s">
        <v>1667</v>
      </c>
      <c r="F2295" s="150"/>
      <c r="G2295" s="107"/>
      <c r="H2295" s="95"/>
    </row>
    <row r="2296" spans="1:8" x14ac:dyDescent="0.3">
      <c r="A2296" s="161"/>
      <c r="B2296" s="107"/>
      <c r="C2296" s="111">
        <f>'04a_Box_Dims'!$J37</f>
        <v>9.0500000000000007</v>
      </c>
      <c r="D2296" s="113"/>
      <c r="E2296" s="63"/>
      <c r="F2296" s="150"/>
      <c r="G2296" s="107"/>
      <c r="H2296" s="95"/>
    </row>
    <row r="2297" spans="1:8" x14ac:dyDescent="0.3">
      <c r="A2297" s="161"/>
      <c r="B2297" s="107"/>
      <c r="C2297" s="111">
        <f>'04a_Box_Dims'!$I37</f>
        <v>0.35000000000000003</v>
      </c>
      <c r="D2297" s="113">
        <f>$A2295*$C2295*$C2296*$C2297</f>
        <v>31.675000000000004</v>
      </c>
      <c r="E2297" s="63"/>
      <c r="F2297" s="150"/>
      <c r="G2297" s="107"/>
      <c r="H2297" s="95">
        <f>'04a_Box_Dims'!$I37</f>
        <v>0.35000000000000003</v>
      </c>
    </row>
    <row r="2298" spans="1:8" x14ac:dyDescent="0.3">
      <c r="A2298" s="161">
        <f>2</f>
        <v>2</v>
      </c>
      <c r="B2298" s="107" t="s">
        <v>1628</v>
      </c>
      <c r="C2298" s="111">
        <f>'04a_Box_Dims'!$O37</f>
        <v>1.5</v>
      </c>
      <c r="D2298" s="113"/>
      <c r="E2298" s="63" t="s">
        <v>1657</v>
      </c>
      <c r="F2298" s="150"/>
      <c r="G2298" s="107"/>
      <c r="H2298" s="95"/>
    </row>
    <row r="2299" spans="1:8" x14ac:dyDescent="0.3">
      <c r="A2299" s="161"/>
      <c r="B2299" s="107"/>
      <c r="C2299" s="111">
        <f>'04a_Box_Dims'!$Q37</f>
        <v>10.55</v>
      </c>
      <c r="D2299" s="113"/>
      <c r="E2299" s="63"/>
      <c r="F2299" s="150"/>
      <c r="G2299" s="107"/>
      <c r="H2299" s="95"/>
    </row>
    <row r="2300" spans="1:8" x14ac:dyDescent="0.3">
      <c r="A2300" s="161"/>
      <c r="B2300" s="107"/>
      <c r="C2300" s="111">
        <f>'04a_Box_Dims'!$P37</f>
        <v>0.35000000000000003</v>
      </c>
      <c r="D2300" s="113">
        <f>$A2298*$C2298*$C2299*$C2300</f>
        <v>11.077500000000002</v>
      </c>
      <c r="E2300" s="63"/>
      <c r="F2300" s="150"/>
      <c r="G2300" s="107"/>
      <c r="H2300" s="95">
        <f>'04a_Box_Dims'!$P37</f>
        <v>0.35000000000000003</v>
      </c>
    </row>
    <row r="2301" spans="1:8" x14ac:dyDescent="0.3">
      <c r="A2301" s="161">
        <f>2</f>
        <v>2</v>
      </c>
      <c r="B2301" s="107" t="s">
        <v>1628</v>
      </c>
      <c r="C2301" s="111">
        <f>'04a_Box_Dims'!$R37</f>
        <v>9.0500000000000007</v>
      </c>
      <c r="D2301" s="113"/>
      <c r="E2301" s="63" t="s">
        <v>1658</v>
      </c>
      <c r="F2301" s="150"/>
      <c r="G2301" s="107"/>
      <c r="H2301" s="95"/>
    </row>
    <row r="2302" spans="1:8" x14ac:dyDescent="0.3">
      <c r="A2302" s="161"/>
      <c r="B2302" s="107"/>
      <c r="C2302" s="111">
        <f>'04a_Box_Dims'!$S37</f>
        <v>0.2</v>
      </c>
      <c r="D2302" s="113"/>
      <c r="E2302" s="63"/>
      <c r="F2302" s="150"/>
      <c r="G2302" s="107"/>
      <c r="H2302" s="95"/>
    </row>
    <row r="2303" spans="1:8" x14ac:dyDescent="0.3">
      <c r="A2303" s="161"/>
      <c r="B2303" s="107"/>
      <c r="C2303" s="111">
        <f>'04a_Box_Dims'!$T37</f>
        <v>0.45</v>
      </c>
      <c r="D2303" s="113">
        <f>$A2301*$C2301*$C2302*$C2303</f>
        <v>1.6290000000000002</v>
      </c>
      <c r="E2303" s="63"/>
      <c r="F2303" s="150"/>
      <c r="G2303" s="107"/>
      <c r="H2303" s="95">
        <f>'04a_Box_Dims'!$S37</f>
        <v>0.2</v>
      </c>
    </row>
    <row r="2304" spans="1:8" x14ac:dyDescent="0.3">
      <c r="A2304" s="161">
        <f>4</f>
        <v>4</v>
      </c>
      <c r="B2304" s="107" t="s">
        <v>1628</v>
      </c>
      <c r="C2304" s="111">
        <f>'04a_Box_Dims'!$Z37</f>
        <v>2.1213203435596424</v>
      </c>
      <c r="D2304" s="113"/>
      <c r="E2304" s="63" t="s">
        <v>1659</v>
      </c>
      <c r="F2304" s="150"/>
      <c r="G2304" s="107"/>
      <c r="H2304" s="95"/>
    </row>
    <row r="2305" spans="1:8" x14ac:dyDescent="0.3">
      <c r="A2305" s="161"/>
      <c r="B2305" s="107"/>
      <c r="C2305" s="111">
        <f>'04a_Box_Dims'!$AC37</f>
        <v>0.9</v>
      </c>
      <c r="D2305" s="113"/>
      <c r="E2305" s="63"/>
      <c r="F2305" s="150"/>
      <c r="G2305" s="107"/>
      <c r="H2305" s="95"/>
    </row>
    <row r="2306" spans="1:8" x14ac:dyDescent="0.3">
      <c r="A2306" s="161"/>
      <c r="B2306" s="107"/>
      <c r="C2306" s="111">
        <f>'04a_Box_Dims'!$AD37</f>
        <v>0.35000000000000003</v>
      </c>
      <c r="D2306" s="113">
        <f>$A2304*$C2304*$C2305*$C2306</f>
        <v>2.6728636328851496</v>
      </c>
      <c r="E2306" s="63"/>
      <c r="F2306" s="150"/>
      <c r="G2306" s="107"/>
      <c r="H2306" s="95">
        <f>'04a_Box_Dims'!$AD37</f>
        <v>0.35000000000000003</v>
      </c>
    </row>
    <row r="2307" spans="1:8" x14ac:dyDescent="0.3">
      <c r="A2307" s="161"/>
      <c r="B2307" s="107"/>
      <c r="C2307" s="111"/>
      <c r="D2307" s="113">
        <f>SUM($D$2295:$D$2306)</f>
        <v>47.054363632885149</v>
      </c>
      <c r="E2307" s="63" t="s">
        <v>1660</v>
      </c>
      <c r="F2307" s="150">
        <f>ROUND($D2307,2)</f>
        <v>47.05</v>
      </c>
      <c r="G2307" s="107" t="s">
        <v>1661</v>
      </c>
      <c r="H2307" s="95"/>
    </row>
    <row r="2308" spans="1:8" x14ac:dyDescent="0.3">
      <c r="A2308" s="161"/>
      <c r="B2308" s="107"/>
      <c r="C2308" s="111"/>
      <c r="D2308" s="113"/>
      <c r="E2308" s="63"/>
      <c r="F2308" s="150"/>
      <c r="G2308" s="107"/>
      <c r="H2308" s="95"/>
    </row>
    <row r="2309" spans="1:8" x14ac:dyDescent="0.3">
      <c r="A2309" s="161"/>
      <c r="B2309" s="107"/>
      <c r="C2309" s="111"/>
      <c r="D2309" s="113"/>
      <c r="E2309" s="149" t="s">
        <v>1668</v>
      </c>
      <c r="F2309" s="150"/>
      <c r="G2309" s="107"/>
      <c r="H2309" s="95"/>
    </row>
    <row r="2310" spans="1:8" x14ac:dyDescent="0.3">
      <c r="A2310" s="161"/>
      <c r="B2310" s="107"/>
      <c r="C2310" s="111"/>
      <c r="D2310" s="113"/>
      <c r="E2310" s="63" t="s">
        <v>1669</v>
      </c>
      <c r="F2310" s="150"/>
      <c r="G2310" s="107"/>
      <c r="H2310" s="95"/>
    </row>
    <row r="2311" spans="1:8" x14ac:dyDescent="0.3">
      <c r="A2311" s="161"/>
      <c r="B2311" s="107"/>
      <c r="C2311" s="111"/>
      <c r="D2311" s="113">
        <f>SUMIF($H$2295:$H$2306,"&lt;=0.3",$D$2295:$D$2306)</f>
        <v>1.6290000000000002</v>
      </c>
      <c r="E2311" s="63" t="s">
        <v>1670</v>
      </c>
      <c r="F2311" s="150">
        <f>ROUND($D2311,2)</f>
        <v>1.63</v>
      </c>
      <c r="G2311" s="107" t="s">
        <v>1661</v>
      </c>
      <c r="H2311" s="95"/>
    </row>
    <row r="2312" spans="1:8" x14ac:dyDescent="0.3">
      <c r="A2312" s="161"/>
      <c r="B2312" s="107"/>
      <c r="C2312" s="111"/>
      <c r="D2312" s="113">
        <f>SUMIF($H$2295:$H$2306,"&gt;0.3",$D$2295:$D$2306)</f>
        <v>45.425363632885151</v>
      </c>
      <c r="E2312" s="63" t="s">
        <v>1671</v>
      </c>
      <c r="F2312" s="150">
        <f>ROUND($D2312,2)</f>
        <v>45.43</v>
      </c>
      <c r="G2312" s="107" t="s">
        <v>1661</v>
      </c>
      <c r="H2312" s="95"/>
    </row>
    <row r="2313" spans="1:8" x14ac:dyDescent="0.3">
      <c r="A2313" s="161"/>
      <c r="B2313" s="107"/>
      <c r="C2313" s="111"/>
      <c r="D2313" s="113"/>
      <c r="E2313" s="63"/>
      <c r="F2313" s="150"/>
      <c r="G2313" s="107"/>
      <c r="H2313" s="95"/>
    </row>
    <row r="2314" spans="1:8" x14ac:dyDescent="0.3">
      <c r="A2314" s="161"/>
      <c r="B2314" s="107"/>
      <c r="C2314" s="111"/>
      <c r="D2314" s="113"/>
      <c r="E2314" s="149" t="s">
        <v>1455</v>
      </c>
      <c r="F2314" s="150"/>
      <c r="G2314" s="107"/>
      <c r="H2314" s="95"/>
    </row>
    <row r="2315" spans="1:8" x14ac:dyDescent="0.3">
      <c r="A2315" s="161"/>
      <c r="B2315" s="107"/>
      <c r="C2315" s="111"/>
      <c r="D2315" s="113"/>
      <c r="E2315" s="63" t="s">
        <v>1672</v>
      </c>
      <c r="F2315" s="150"/>
      <c r="G2315" s="107"/>
      <c r="H2315" s="95"/>
    </row>
    <row r="2316" spans="1:8" x14ac:dyDescent="0.3">
      <c r="A2316" s="161">
        <f>1</f>
        <v>1</v>
      </c>
      <c r="B2316" s="107" t="s">
        <v>1628</v>
      </c>
      <c r="C2316" s="111">
        <f>'04a_Box_Dims'!$AE37</f>
        <v>10</v>
      </c>
      <c r="D2316" s="113"/>
      <c r="E2316" s="63" t="s">
        <v>1673</v>
      </c>
      <c r="F2316" s="150"/>
      <c r="G2316" s="107"/>
      <c r="H2316" s="95"/>
    </row>
    <row r="2317" spans="1:8" x14ac:dyDescent="0.3">
      <c r="A2317" s="161"/>
      <c r="B2317" s="107"/>
      <c r="C2317" s="111">
        <f>'04a_Box_Dims'!$J37</f>
        <v>9.0500000000000007</v>
      </c>
      <c r="D2317" s="113"/>
      <c r="E2317" s="63"/>
      <c r="F2317" s="150"/>
      <c r="G2317" s="107"/>
      <c r="H2317" s="95"/>
    </row>
    <row r="2318" spans="1:8" x14ac:dyDescent="0.3">
      <c r="A2318" s="161"/>
      <c r="B2318" s="107"/>
      <c r="C2318" s="111">
        <f>'04a_Box_Dims'!$I37</f>
        <v>0.35000000000000003</v>
      </c>
      <c r="D2318" s="113">
        <f>$A2316*$C2316*$C2317*$C2318</f>
        <v>31.675000000000004</v>
      </c>
      <c r="E2318" s="63"/>
      <c r="F2318" s="150"/>
      <c r="G2318" s="107"/>
      <c r="H2318" s="95">
        <f>'04a_Box_Dims'!$I37</f>
        <v>0.35000000000000003</v>
      </c>
    </row>
    <row r="2319" spans="1:8" x14ac:dyDescent="0.3">
      <c r="A2319" s="161"/>
      <c r="B2319" s="107"/>
      <c r="C2319" s="111"/>
      <c r="D2319" s="113">
        <f>SUM($D$2316:$D$2318)</f>
        <v>31.675000000000004</v>
      </c>
      <c r="E2319" s="63" t="s">
        <v>1660</v>
      </c>
      <c r="F2319" s="150">
        <f>ROUND($D2319,2)</f>
        <v>31.68</v>
      </c>
      <c r="G2319" s="107" t="s">
        <v>1661</v>
      </c>
      <c r="H2319" s="95"/>
    </row>
    <row r="2320" spans="1:8" x14ac:dyDescent="0.3">
      <c r="A2320" s="161"/>
      <c r="B2320" s="107"/>
      <c r="C2320" s="111"/>
      <c r="D2320" s="113"/>
      <c r="E2320" s="63"/>
      <c r="F2320" s="150"/>
      <c r="G2320" s="107"/>
      <c r="H2320" s="95"/>
    </row>
    <row r="2321" spans="1:8" x14ac:dyDescent="0.3">
      <c r="A2321" s="161"/>
      <c r="B2321" s="107"/>
      <c r="C2321" s="111"/>
      <c r="D2321" s="113"/>
      <c r="E2321" s="149" t="s">
        <v>1674</v>
      </c>
      <c r="F2321" s="150"/>
      <c r="G2321" s="107"/>
      <c r="H2321" s="95"/>
    </row>
    <row r="2322" spans="1:8" x14ac:dyDescent="0.3">
      <c r="A2322" s="161"/>
      <c r="B2322" s="107"/>
      <c r="C2322" s="111"/>
      <c r="D2322" s="113"/>
      <c r="E2322" s="63" t="s">
        <v>1675</v>
      </c>
      <c r="F2322" s="150"/>
      <c r="G2322" s="107"/>
      <c r="H2322" s="95"/>
    </row>
    <row r="2323" spans="1:8" x14ac:dyDescent="0.3">
      <c r="A2323" s="161"/>
      <c r="B2323" s="107"/>
      <c r="C2323" s="111"/>
      <c r="D2323" s="113">
        <f>SUMIF($H$2316:$H$2318,"&lt;=0.3",$D$2316:$D$2318)</f>
        <v>0</v>
      </c>
      <c r="E2323" s="63" t="s">
        <v>1670</v>
      </c>
      <c r="F2323" s="150">
        <f>ROUND($D2323,2)</f>
        <v>0</v>
      </c>
      <c r="G2323" s="107" t="s">
        <v>1661</v>
      </c>
      <c r="H2323" s="95"/>
    </row>
    <row r="2324" spans="1:8" x14ac:dyDescent="0.3">
      <c r="A2324" s="161"/>
      <c r="B2324" s="107"/>
      <c r="C2324" s="111"/>
      <c r="D2324" s="113">
        <f>SUMIF($H$2316:$H$2318,"&gt;0.3",$D$2316:$D$2318)</f>
        <v>31.675000000000004</v>
      </c>
      <c r="E2324" s="63" t="s">
        <v>1671</v>
      </c>
      <c r="F2324" s="150">
        <f>ROUND($D2324,2)</f>
        <v>31.68</v>
      </c>
      <c r="G2324" s="107" t="s">
        <v>1661</v>
      </c>
      <c r="H2324" s="95"/>
    </row>
    <row r="2325" spans="1:8" x14ac:dyDescent="0.3">
      <c r="A2325" s="161"/>
      <c r="B2325" s="107"/>
      <c r="C2325" s="111"/>
      <c r="D2325" s="113"/>
      <c r="E2325" s="63"/>
      <c r="F2325" s="150"/>
      <c r="G2325" s="107"/>
      <c r="H2325" s="95"/>
    </row>
    <row r="2326" spans="1:8" x14ac:dyDescent="0.3">
      <c r="A2326" s="161"/>
      <c r="B2326" s="107"/>
      <c r="C2326" s="111"/>
      <c r="D2326" s="113"/>
      <c r="E2326" s="149" t="s">
        <v>1455</v>
      </c>
      <c r="F2326" s="150"/>
      <c r="G2326" s="107"/>
      <c r="H2326" s="95"/>
    </row>
    <row r="2327" spans="1:8" x14ac:dyDescent="0.3">
      <c r="A2327" s="161"/>
      <c r="B2327" s="107"/>
      <c r="C2327" s="111"/>
      <c r="D2327" s="113"/>
      <c r="E2327" s="63" t="s">
        <v>1676</v>
      </c>
      <c r="F2327" s="150"/>
      <c r="G2327" s="107"/>
      <c r="H2327" s="95"/>
    </row>
    <row r="2328" spans="1:8" x14ac:dyDescent="0.3">
      <c r="A2328" s="161">
        <f>2</f>
        <v>2</v>
      </c>
      <c r="B2328" s="107" t="s">
        <v>1628</v>
      </c>
      <c r="C2328" s="111">
        <f>'04a_Box_Dims'!$AE37</f>
        <v>10</v>
      </c>
      <c r="D2328" s="113"/>
      <c r="E2328" s="63" t="s">
        <v>1677</v>
      </c>
      <c r="F2328" s="150"/>
      <c r="G2328" s="107"/>
      <c r="H2328" s="95"/>
    </row>
    <row r="2329" spans="1:8" x14ac:dyDescent="0.3">
      <c r="A2329" s="161"/>
      <c r="B2329" s="107"/>
      <c r="C2329" s="111">
        <f>'04a_Box_Dims'!$E37</f>
        <v>4</v>
      </c>
      <c r="D2329" s="113"/>
      <c r="E2329" s="63"/>
      <c r="F2329" s="150"/>
      <c r="G2329" s="107"/>
      <c r="H2329" s="95"/>
    </row>
    <row r="2330" spans="1:8" x14ac:dyDescent="0.3">
      <c r="A2330" s="161"/>
      <c r="B2330" s="107"/>
      <c r="C2330" s="111">
        <f>'04a_Box_Dims'!$I37</f>
        <v>0.35000000000000003</v>
      </c>
      <c r="D2330" s="113">
        <f>$A2328*$C2328*$C2329*$C2330</f>
        <v>28.000000000000004</v>
      </c>
      <c r="E2330" s="63"/>
      <c r="F2330" s="150"/>
      <c r="G2330" s="107"/>
      <c r="H2330" s="95">
        <f>'04a_Box_Dims'!$I37</f>
        <v>0.35000000000000003</v>
      </c>
    </row>
    <row r="2331" spans="1:8" x14ac:dyDescent="0.3">
      <c r="A2331" s="161">
        <f>'04a_Box_Dims'!$C37-1</f>
        <v>1</v>
      </c>
      <c r="B2331" s="107" t="s">
        <v>1628</v>
      </c>
      <c r="C2331" s="111">
        <f>'04a_Box_Dims'!$AE37</f>
        <v>10</v>
      </c>
      <c r="D2331" s="113"/>
      <c r="E2331" s="63" t="s">
        <v>1678</v>
      </c>
      <c r="F2331" s="150"/>
      <c r="G2331" s="107"/>
      <c r="H2331" s="95"/>
    </row>
    <row r="2332" spans="1:8" x14ac:dyDescent="0.3">
      <c r="A2332" s="161"/>
      <c r="B2332" s="107"/>
      <c r="C2332" s="111">
        <f>'04a_Box_Dims'!$E37</f>
        <v>4</v>
      </c>
      <c r="D2332" s="113"/>
      <c r="E2332" s="63"/>
      <c r="F2332" s="150"/>
      <c r="G2332" s="107"/>
      <c r="H2332" s="95"/>
    </row>
    <row r="2333" spans="1:8" x14ac:dyDescent="0.3">
      <c r="A2333" s="161"/>
      <c r="B2333" s="107"/>
      <c r="C2333" s="111">
        <f>'04a_Box_Dims'!$I37</f>
        <v>0.35000000000000003</v>
      </c>
      <c r="D2333" s="113">
        <f>$A2331*$C2331*$C2332*$C2333</f>
        <v>14.000000000000002</v>
      </c>
      <c r="E2333" s="63"/>
      <c r="F2333" s="150"/>
      <c r="G2333" s="107"/>
      <c r="H2333" s="95">
        <f>'04a_Box_Dims'!$I37</f>
        <v>0.35000000000000003</v>
      </c>
    </row>
    <row r="2334" spans="1:8" x14ac:dyDescent="0.3">
      <c r="A2334" s="161">
        <f>4*'04a_Box_Dims'!$C37</f>
        <v>8</v>
      </c>
      <c r="B2334" s="107" t="s">
        <v>1628</v>
      </c>
      <c r="C2334" s="111">
        <f>'04a_Box_Dims'!$AE37</f>
        <v>10</v>
      </c>
      <c r="D2334" s="113"/>
      <c r="E2334" s="63" t="s">
        <v>1679</v>
      </c>
      <c r="F2334" s="150"/>
      <c r="G2334" s="107"/>
      <c r="H2334" s="95"/>
    </row>
    <row r="2335" spans="1:8" x14ac:dyDescent="0.3">
      <c r="A2335" s="161"/>
      <c r="B2335" s="107"/>
      <c r="C2335" s="111">
        <f>'04a_Box_Dims'!$N37</f>
        <v>0.15</v>
      </c>
      <c r="D2335" s="113"/>
      <c r="E2335" s="63"/>
      <c r="F2335" s="150"/>
      <c r="G2335" s="107"/>
      <c r="H2335" s="95"/>
    </row>
    <row r="2336" spans="1:8" x14ac:dyDescent="0.3">
      <c r="A2336" s="161"/>
      <c r="B2336" s="107"/>
      <c r="C2336" s="111">
        <f>'04a_Box_Dims'!$N37/2</f>
        <v>7.4999999999999997E-2</v>
      </c>
      <c r="D2336" s="113">
        <f>$A2334*$C2334*$C2335*$C2336</f>
        <v>0.89999999999999991</v>
      </c>
      <c r="E2336" s="63"/>
      <c r="F2336" s="150"/>
      <c r="G2336" s="107"/>
      <c r="H2336" s="95">
        <f>'04a_Box_Dims'!$N37</f>
        <v>0.15</v>
      </c>
    </row>
    <row r="2337" spans="1:8" x14ac:dyDescent="0.3">
      <c r="A2337" s="161">
        <f>2</f>
        <v>2</v>
      </c>
      <c r="B2337" s="107" t="s">
        <v>1628</v>
      </c>
      <c r="C2337" s="111">
        <f>'04a_Box_Dims'!$J37</f>
        <v>9.0500000000000007</v>
      </c>
      <c r="D2337" s="113"/>
      <c r="E2337" s="63" t="s">
        <v>1680</v>
      </c>
      <c r="F2337" s="150"/>
      <c r="G2337" s="107"/>
      <c r="H2337" s="95"/>
    </row>
    <row r="2338" spans="1:8" x14ac:dyDescent="0.3">
      <c r="A2338" s="161"/>
      <c r="B2338" s="107"/>
      <c r="C2338" s="111">
        <f>'04a_Box_Dims'!$U37</f>
        <v>0.6</v>
      </c>
      <c r="D2338" s="113"/>
      <c r="E2338" s="63"/>
      <c r="F2338" s="150"/>
      <c r="G2338" s="107"/>
      <c r="H2338" s="95"/>
    </row>
    <row r="2339" spans="1:8" x14ac:dyDescent="0.3">
      <c r="A2339" s="161"/>
      <c r="B2339" s="107"/>
      <c r="C2339" s="111">
        <f>'04a_Box_Dims'!$V37</f>
        <v>0.35000000000000003</v>
      </c>
      <c r="D2339" s="113">
        <f>$A2337*$C2337*$C2338*$C2339</f>
        <v>3.8010000000000006</v>
      </c>
      <c r="E2339" s="63"/>
      <c r="F2339" s="150"/>
      <c r="G2339" s="107"/>
      <c r="H2339" s="95">
        <f>'04a_Box_Dims'!$V37</f>
        <v>0.35000000000000003</v>
      </c>
    </row>
    <row r="2340" spans="1:8" x14ac:dyDescent="0.3">
      <c r="A2340" s="161">
        <f>4</f>
        <v>4</v>
      </c>
      <c r="B2340" s="107" t="s">
        <v>1628</v>
      </c>
      <c r="C2340" s="111">
        <f>'04a_Box_Dims'!$Z37</f>
        <v>2.1213203435596424</v>
      </c>
      <c r="D2340" s="113"/>
      <c r="E2340" s="63" t="s">
        <v>1681</v>
      </c>
      <c r="F2340" s="150"/>
      <c r="G2340" s="107"/>
      <c r="H2340" s="95"/>
    </row>
    <row r="2341" spans="1:8" x14ac:dyDescent="0.3">
      <c r="A2341" s="161"/>
      <c r="B2341" s="107"/>
      <c r="C2341" s="111">
        <f>'04a_Box_Dims'!$Y37</f>
        <v>5.1928932188134524</v>
      </c>
      <c r="D2341" s="113"/>
      <c r="E2341" s="63"/>
      <c r="F2341" s="150"/>
      <c r="G2341" s="107"/>
      <c r="H2341" s="95"/>
    </row>
    <row r="2342" spans="1:8" x14ac:dyDescent="0.3">
      <c r="A2342" s="161"/>
      <c r="B2342" s="107"/>
      <c r="C2342" s="111">
        <f>'04a_Box_Dims'!$AB37</f>
        <v>0.49</v>
      </c>
      <c r="D2342" s="113">
        <f>$A2340*$C2340*$C2341*$C2342</f>
        <v>21.590948452923705</v>
      </c>
      <c r="E2342" s="63"/>
      <c r="F2342" s="150"/>
      <c r="G2342" s="107"/>
      <c r="H2342" s="95">
        <f>'04a_Box_Dims'!$AB37</f>
        <v>0.49</v>
      </c>
    </row>
    <row r="2343" spans="1:8" x14ac:dyDescent="0.3">
      <c r="A2343" s="161"/>
      <c r="B2343" s="107"/>
      <c r="C2343" s="111"/>
      <c r="D2343" s="113">
        <f>SUM($D$2328:$D$2342)</f>
        <v>68.29194845292372</v>
      </c>
      <c r="E2343" s="63" t="s">
        <v>1660</v>
      </c>
      <c r="F2343" s="150">
        <f>ROUND($D2343,2)</f>
        <v>68.290000000000006</v>
      </c>
      <c r="G2343" s="107" t="s">
        <v>1661</v>
      </c>
      <c r="H2343" s="95"/>
    </row>
    <row r="2344" spans="1:8" x14ac:dyDescent="0.3">
      <c r="A2344" s="161"/>
      <c r="B2344" s="107"/>
      <c r="C2344" s="111"/>
      <c r="D2344" s="113"/>
      <c r="E2344" s="63"/>
      <c r="F2344" s="150"/>
      <c r="G2344" s="107"/>
      <c r="H2344" s="95"/>
    </row>
    <row r="2345" spans="1:8" x14ac:dyDescent="0.3">
      <c r="A2345" s="161"/>
      <c r="B2345" s="107"/>
      <c r="C2345" s="111"/>
      <c r="D2345" s="113"/>
      <c r="E2345" s="149" t="s">
        <v>1682</v>
      </c>
      <c r="F2345" s="150"/>
      <c r="G2345" s="107"/>
      <c r="H2345" s="95"/>
    </row>
    <row r="2346" spans="1:8" x14ac:dyDescent="0.3">
      <c r="A2346" s="161"/>
      <c r="B2346" s="107"/>
      <c r="C2346" s="111"/>
      <c r="D2346" s="113"/>
      <c r="E2346" s="63" t="s">
        <v>1683</v>
      </c>
      <c r="F2346" s="150"/>
      <c r="G2346" s="107"/>
      <c r="H2346" s="95"/>
    </row>
    <row r="2347" spans="1:8" x14ac:dyDescent="0.3">
      <c r="A2347" s="161"/>
      <c r="B2347" s="107"/>
      <c r="C2347" s="111"/>
      <c r="D2347" s="113">
        <f>SUMIF($H$2328:$H$2342,"&lt;=0.3",$D$2328:$D$2342)</f>
        <v>0.89999999999999991</v>
      </c>
      <c r="E2347" s="63" t="s">
        <v>1670</v>
      </c>
      <c r="F2347" s="150">
        <f>ROUND($D2347,2)</f>
        <v>0.9</v>
      </c>
      <c r="G2347" s="107" t="s">
        <v>1661</v>
      </c>
      <c r="H2347" s="95"/>
    </row>
    <row r="2348" spans="1:8" x14ac:dyDescent="0.3">
      <c r="A2348" s="161"/>
      <c r="B2348" s="107"/>
      <c r="C2348" s="111"/>
      <c r="D2348" s="113">
        <f>SUMIF($H$2328:$H$2342,"&gt;0.3",$D$2328:$D$2342)</f>
        <v>67.391948452923714</v>
      </c>
      <c r="E2348" s="63" t="s">
        <v>1671</v>
      </c>
      <c r="F2348" s="150">
        <f>ROUND($D2348,2)</f>
        <v>67.39</v>
      </c>
      <c r="G2348" s="107" t="s">
        <v>1661</v>
      </c>
      <c r="H2348" s="95"/>
    </row>
    <row r="2349" spans="1:8" x14ac:dyDescent="0.3">
      <c r="A2349" s="161"/>
      <c r="B2349" s="107"/>
      <c r="C2349" s="111"/>
      <c r="D2349" s="113"/>
      <c r="E2349" s="63"/>
      <c r="F2349" s="150"/>
      <c r="G2349" s="107"/>
      <c r="H2349" s="95"/>
    </row>
    <row r="2350" spans="1:8" x14ac:dyDescent="0.3">
      <c r="A2350" s="161"/>
      <c r="B2350" s="107"/>
      <c r="C2350" s="111"/>
      <c r="D2350" s="113"/>
      <c r="E2350" s="149" t="s">
        <v>1445</v>
      </c>
      <c r="F2350" s="150"/>
      <c r="G2350" s="107"/>
      <c r="H2350" s="95"/>
    </row>
    <row r="2351" spans="1:8" x14ac:dyDescent="0.3">
      <c r="A2351" s="161"/>
      <c r="B2351" s="107"/>
      <c r="C2351" s="111"/>
      <c r="D2351" s="113"/>
      <c r="E2351" s="63" t="s">
        <v>1684</v>
      </c>
      <c r="F2351" s="150"/>
      <c r="G2351" s="107"/>
      <c r="H2351" s="95"/>
    </row>
    <row r="2352" spans="1:8" x14ac:dyDescent="0.3">
      <c r="A2352" s="161">
        <f>2</f>
        <v>2</v>
      </c>
      <c r="B2352" s="107" t="s">
        <v>1628</v>
      </c>
      <c r="C2352" s="111">
        <f>'04a_Box_Dims'!$AE37</f>
        <v>10</v>
      </c>
      <c r="D2352" s="113"/>
      <c r="E2352" s="63" t="s">
        <v>1685</v>
      </c>
      <c r="F2352" s="150"/>
      <c r="G2352" s="107"/>
      <c r="H2352" s="95"/>
    </row>
    <row r="2353" spans="1:8" x14ac:dyDescent="0.3">
      <c r="A2353" s="161"/>
      <c r="B2353" s="107"/>
      <c r="C2353" s="111">
        <f>'04a_Box_Dims'!$E37</f>
        <v>4</v>
      </c>
      <c r="D2353" s="113">
        <f>$A2352*$C2352*$C2353</f>
        <v>80</v>
      </c>
      <c r="E2353" s="63"/>
      <c r="F2353" s="150"/>
      <c r="G2353" s="107"/>
      <c r="H2353" s="95"/>
    </row>
    <row r="2354" spans="1:8" x14ac:dyDescent="0.3">
      <c r="A2354" s="161">
        <f>4</f>
        <v>4</v>
      </c>
      <c r="B2354" s="107" t="s">
        <v>1628</v>
      </c>
      <c r="C2354" s="111">
        <f>'04a_Box_Dims'!$Z37</f>
        <v>2.1213203435596424</v>
      </c>
      <c r="D2354" s="113"/>
      <c r="E2354" s="63" t="s">
        <v>1686</v>
      </c>
      <c r="F2354" s="150"/>
      <c r="G2354" s="107"/>
      <c r="H2354" s="95"/>
    </row>
    <row r="2355" spans="1:8" x14ac:dyDescent="0.3">
      <c r="A2355" s="161"/>
      <c r="B2355" s="107"/>
      <c r="C2355" s="111">
        <f>'04a_Box_Dims'!$Y37</f>
        <v>5.1928932188134524</v>
      </c>
      <c r="D2355" s="113">
        <f>$A2354*$C2354*$C2355</f>
        <v>44.063160108007558</v>
      </c>
      <c r="E2355" s="63"/>
      <c r="F2355" s="150"/>
      <c r="G2355" s="107"/>
      <c r="H2355" s="95"/>
    </row>
    <row r="2356" spans="1:8" x14ac:dyDescent="0.3">
      <c r="A2356" s="161">
        <f>2</f>
        <v>2</v>
      </c>
      <c r="B2356" s="107" t="s">
        <v>1628</v>
      </c>
      <c r="C2356" s="111">
        <f>'04a_Box_Dims'!$J37</f>
        <v>9.0500000000000007</v>
      </c>
      <c r="D2356" s="113"/>
      <c r="E2356" s="63" t="s">
        <v>1687</v>
      </c>
      <c r="F2356" s="150"/>
      <c r="G2356" s="107"/>
      <c r="H2356" s="95"/>
    </row>
    <row r="2357" spans="1:8" x14ac:dyDescent="0.3">
      <c r="A2357" s="161"/>
      <c r="B2357" s="107"/>
      <c r="C2357" s="111">
        <f>'04a_Box_Dims'!$U37</f>
        <v>0.6</v>
      </c>
      <c r="D2357" s="113">
        <f>$A2356*$C2356*$C2357</f>
        <v>10.860000000000001</v>
      </c>
      <c r="E2357" s="63"/>
      <c r="F2357" s="150"/>
      <c r="G2357" s="107"/>
      <c r="H2357" s="95"/>
    </row>
    <row r="2358" spans="1:8" x14ac:dyDescent="0.3">
      <c r="A2358" s="161"/>
      <c r="B2358" s="107"/>
      <c r="C2358" s="111"/>
      <c r="D2358" s="113">
        <f>SUM($D$2352:$D$2357)</f>
        <v>134.92316010800758</v>
      </c>
      <c r="E2358" s="63" t="s">
        <v>1660</v>
      </c>
      <c r="F2358" s="150">
        <f>ROUND($D2358,2)</f>
        <v>134.91999999999999</v>
      </c>
      <c r="G2358" s="107" t="s">
        <v>1688</v>
      </c>
      <c r="H2358" s="95"/>
    </row>
    <row r="2359" spans="1:8" x14ac:dyDescent="0.3">
      <c r="A2359" s="161"/>
      <c r="B2359" s="107"/>
      <c r="C2359" s="111"/>
      <c r="D2359" s="113"/>
      <c r="E2359" s="63"/>
      <c r="F2359" s="150"/>
      <c r="G2359" s="107"/>
      <c r="H2359" s="95"/>
    </row>
    <row r="2360" spans="1:8" x14ac:dyDescent="0.3">
      <c r="A2360" s="161"/>
      <c r="B2360" s="107"/>
      <c r="C2360" s="111"/>
      <c r="D2360" s="113"/>
      <c r="E2360" s="149" t="s">
        <v>1446</v>
      </c>
      <c r="F2360" s="150"/>
      <c r="G2360" s="107"/>
      <c r="H2360" s="95"/>
    </row>
    <row r="2361" spans="1:8" x14ac:dyDescent="0.3">
      <c r="A2361" s="161"/>
      <c r="B2361" s="107"/>
      <c r="C2361" s="111"/>
      <c r="D2361" s="113"/>
      <c r="E2361" s="63" t="s">
        <v>1689</v>
      </c>
      <c r="F2361" s="150"/>
      <c r="G2361" s="107"/>
      <c r="H2361" s="95"/>
    </row>
    <row r="2362" spans="1:8" x14ac:dyDescent="0.3">
      <c r="A2362" s="161">
        <f>2</f>
        <v>2</v>
      </c>
      <c r="B2362" s="107" t="s">
        <v>1628</v>
      </c>
      <c r="C2362" s="111">
        <f>'04a_Box_Dims'!$O37</f>
        <v>1.5</v>
      </c>
      <c r="D2362" s="113"/>
      <c r="E2362" s="63" t="s">
        <v>1690</v>
      </c>
      <c r="F2362" s="150"/>
      <c r="G2362" s="107"/>
      <c r="H2362" s="95"/>
    </row>
    <row r="2363" spans="1:8" x14ac:dyDescent="0.3">
      <c r="A2363" s="161"/>
      <c r="B2363" s="107"/>
      <c r="C2363" s="111">
        <f>'04a_Box_Dims'!$Q37</f>
        <v>10.55</v>
      </c>
      <c r="D2363" s="113">
        <f>$A2362*$C2362*$C2363</f>
        <v>31.650000000000002</v>
      </c>
      <c r="E2363" s="63"/>
      <c r="F2363" s="150"/>
      <c r="G2363" s="107"/>
      <c r="H2363" s="95"/>
    </row>
    <row r="2364" spans="1:8" x14ac:dyDescent="0.3">
      <c r="A2364" s="161"/>
      <c r="B2364" s="107"/>
      <c r="C2364" s="111"/>
      <c r="D2364" s="113">
        <f>SUM($D$2362:$D$2363)</f>
        <v>31.650000000000002</v>
      </c>
      <c r="E2364" s="63" t="s">
        <v>1660</v>
      </c>
      <c r="F2364" s="150">
        <f>ROUND($D2364,2)</f>
        <v>31.65</v>
      </c>
      <c r="G2364" s="107" t="s">
        <v>1688</v>
      </c>
      <c r="H2364" s="95"/>
    </row>
    <row r="2365" spans="1:8" x14ac:dyDescent="0.3">
      <c r="A2365" s="161"/>
      <c r="B2365" s="107"/>
      <c r="C2365" s="111"/>
      <c r="D2365" s="113"/>
      <c r="E2365" s="63"/>
      <c r="F2365" s="150"/>
      <c r="G2365" s="107"/>
      <c r="H2365" s="95"/>
    </row>
    <row r="2366" spans="1:8" x14ac:dyDescent="0.3">
      <c r="A2366" s="161"/>
      <c r="B2366" s="107"/>
      <c r="C2366" s="111"/>
      <c r="D2366" s="113"/>
      <c r="E2366" s="149" t="s">
        <v>1447</v>
      </c>
      <c r="F2366" s="150"/>
      <c r="G2366" s="107"/>
      <c r="H2366" s="95"/>
    </row>
    <row r="2367" spans="1:8" x14ac:dyDescent="0.3">
      <c r="A2367" s="161"/>
      <c r="B2367" s="107"/>
      <c r="C2367" s="111"/>
      <c r="D2367" s="113"/>
      <c r="E2367" s="63" t="s">
        <v>1691</v>
      </c>
      <c r="F2367" s="150"/>
      <c r="G2367" s="107"/>
      <c r="H2367" s="95"/>
    </row>
    <row r="2368" spans="1:8" x14ac:dyDescent="0.3">
      <c r="A2368" s="161">
        <f>4</f>
        <v>4</v>
      </c>
      <c r="B2368" s="107" t="s">
        <v>1628</v>
      </c>
      <c r="C2368" s="111">
        <f>'04a_Box_Dims'!$J37</f>
        <v>9.0500000000000007</v>
      </c>
      <c r="D2368" s="113"/>
      <c r="E2368" s="63" t="s">
        <v>1692</v>
      </c>
      <c r="F2368" s="150"/>
      <c r="G2368" s="107"/>
      <c r="H2368" s="95"/>
    </row>
    <row r="2369" spans="1:8" x14ac:dyDescent="0.3">
      <c r="A2369" s="161"/>
      <c r="B2369" s="107"/>
      <c r="C2369" s="111">
        <f>'04a_Box_Dims'!$I37</f>
        <v>0.35000000000000003</v>
      </c>
      <c r="D2369" s="113">
        <f>$A2368*$C2368*$C2369</f>
        <v>12.670000000000002</v>
      </c>
      <c r="E2369" s="63"/>
      <c r="F2369" s="150"/>
      <c r="G2369" s="107"/>
      <c r="H2369" s="95"/>
    </row>
    <row r="2370" spans="1:8" x14ac:dyDescent="0.3">
      <c r="A2370" s="161">
        <f>4</f>
        <v>4</v>
      </c>
      <c r="B2370" s="107" t="s">
        <v>1628</v>
      </c>
      <c r="C2370" s="111">
        <f>'04a_Box_Dims'!$O37</f>
        <v>1.5</v>
      </c>
      <c r="D2370" s="113"/>
      <c r="E2370" s="63" t="s">
        <v>1693</v>
      </c>
      <c r="F2370" s="150"/>
      <c r="G2370" s="107"/>
      <c r="H2370" s="95"/>
    </row>
    <row r="2371" spans="1:8" x14ac:dyDescent="0.3">
      <c r="A2371" s="161"/>
      <c r="B2371" s="107"/>
      <c r="C2371" s="111">
        <f>'04a_Box_Dims'!$P37</f>
        <v>0.35000000000000003</v>
      </c>
      <c r="D2371" s="113">
        <f>$A2370*$C2370*$C2371</f>
        <v>2.1</v>
      </c>
      <c r="E2371" s="63"/>
      <c r="F2371" s="150"/>
      <c r="G2371" s="107"/>
      <c r="H2371" s="95"/>
    </row>
    <row r="2372" spans="1:8" x14ac:dyDescent="0.3">
      <c r="A2372" s="161"/>
      <c r="B2372" s="107"/>
      <c r="C2372" s="111"/>
      <c r="D2372" s="113">
        <f>SUM($D$2368:$D$2371)</f>
        <v>14.770000000000001</v>
      </c>
      <c r="E2372" s="63" t="s">
        <v>1660</v>
      </c>
      <c r="F2372" s="150">
        <f>ROUND($D2372,2)</f>
        <v>14.77</v>
      </c>
      <c r="G2372" s="107" t="s">
        <v>1688</v>
      </c>
      <c r="H2372" s="95"/>
    </row>
    <row r="2373" spans="1:8" x14ac:dyDescent="0.3">
      <c r="A2373" s="161"/>
      <c r="B2373" s="107"/>
      <c r="C2373" s="111"/>
      <c r="D2373" s="113"/>
      <c r="E2373" s="63"/>
      <c r="F2373" s="150"/>
      <c r="G2373" s="107"/>
      <c r="H2373" s="95"/>
    </row>
    <row r="2374" spans="1:8" x14ac:dyDescent="0.3">
      <c r="A2374" s="161"/>
      <c r="B2374" s="107"/>
      <c r="C2374" s="111"/>
      <c r="D2374" s="113"/>
      <c r="E2374" s="149" t="s">
        <v>1448</v>
      </c>
      <c r="F2374" s="150"/>
      <c r="G2374" s="107"/>
      <c r="H2374" s="95"/>
    </row>
    <row r="2375" spans="1:8" x14ac:dyDescent="0.3">
      <c r="A2375" s="161"/>
      <c r="B2375" s="107"/>
      <c r="C2375" s="111"/>
      <c r="D2375" s="113"/>
      <c r="E2375" s="63" t="s">
        <v>1694</v>
      </c>
      <c r="F2375" s="150"/>
      <c r="G2375" s="107"/>
      <c r="H2375" s="95"/>
    </row>
    <row r="2376" spans="1:8" x14ac:dyDescent="0.3">
      <c r="A2376" s="161">
        <f>1</f>
        <v>1</v>
      </c>
      <c r="B2376" s="107" t="s">
        <v>1628</v>
      </c>
      <c r="C2376" s="111">
        <f>'04a_Box_Dims'!$AE37</f>
        <v>10</v>
      </c>
      <c r="D2376" s="113"/>
      <c r="E2376" s="63" t="s">
        <v>1695</v>
      </c>
      <c r="F2376" s="150"/>
      <c r="G2376" s="107"/>
      <c r="H2376" s="95"/>
    </row>
    <row r="2377" spans="1:8" x14ac:dyDescent="0.3">
      <c r="A2377" s="161"/>
      <c r="B2377" s="107"/>
      <c r="C2377" s="111">
        <f>'04a_Box_Dims'!$K37</f>
        <v>8.35</v>
      </c>
      <c r="D2377" s="113">
        <f>$A2376*$C2376*$C2377</f>
        <v>83.5</v>
      </c>
      <c r="E2377" s="63"/>
      <c r="F2377" s="150"/>
      <c r="G2377" s="107"/>
      <c r="H2377" s="95"/>
    </row>
    <row r="2378" spans="1:8" x14ac:dyDescent="0.3">
      <c r="A2378" s="161"/>
      <c r="B2378" s="107"/>
      <c r="C2378" s="111"/>
      <c r="D2378" s="113">
        <f>SUM($D$2376:$D$2377)</f>
        <v>83.5</v>
      </c>
      <c r="E2378" s="63" t="s">
        <v>1660</v>
      </c>
      <c r="F2378" s="150">
        <f>ROUND($D2378,2)</f>
        <v>83.5</v>
      </c>
      <c r="G2378" s="107" t="s">
        <v>1688</v>
      </c>
      <c r="H2378" s="95"/>
    </row>
    <row r="2379" spans="1:8" x14ac:dyDescent="0.3">
      <c r="A2379" s="161"/>
      <c r="B2379" s="107"/>
      <c r="C2379" s="111"/>
      <c r="D2379" s="113"/>
      <c r="E2379" s="63"/>
      <c r="F2379" s="150"/>
      <c r="G2379" s="107"/>
      <c r="H2379" s="95"/>
    </row>
    <row r="2380" spans="1:8" x14ac:dyDescent="0.3">
      <c r="A2380" s="161"/>
      <c r="B2380" s="107"/>
      <c r="C2380" s="111"/>
      <c r="D2380" s="113"/>
      <c r="E2380" s="149" t="s">
        <v>1449</v>
      </c>
      <c r="F2380" s="150"/>
      <c r="G2380" s="107"/>
      <c r="H2380" s="95"/>
    </row>
    <row r="2381" spans="1:8" x14ac:dyDescent="0.3">
      <c r="A2381" s="161"/>
      <c r="B2381" s="107"/>
      <c r="C2381" s="111"/>
      <c r="D2381" s="113"/>
      <c r="E2381" s="63" t="s">
        <v>1696</v>
      </c>
      <c r="F2381" s="150"/>
      <c r="G2381" s="107"/>
      <c r="H2381" s="95"/>
    </row>
    <row r="2382" spans="1:8" x14ac:dyDescent="0.3">
      <c r="A2382" s="161">
        <f>2</f>
        <v>2</v>
      </c>
      <c r="B2382" s="107" t="s">
        <v>1628</v>
      </c>
      <c r="C2382" s="111">
        <f>'04a_Box_Dims'!$J37</f>
        <v>9.0500000000000007</v>
      </c>
      <c r="D2382" s="113"/>
      <c r="E2382" s="63" t="s">
        <v>1697</v>
      </c>
      <c r="F2382" s="150"/>
      <c r="G2382" s="107"/>
      <c r="H2382" s="95"/>
    </row>
    <row r="2383" spans="1:8" x14ac:dyDescent="0.3">
      <c r="A2383" s="161"/>
      <c r="B2383" s="107"/>
      <c r="C2383" s="111">
        <f>'04a_Box_Dims'!$U37</f>
        <v>0.6</v>
      </c>
      <c r="D2383" s="113">
        <f>$A2382*$C2382*$C2383</f>
        <v>10.860000000000001</v>
      </c>
      <c r="E2383" s="63"/>
      <c r="F2383" s="150"/>
      <c r="G2383" s="107"/>
      <c r="H2383" s="95"/>
    </row>
    <row r="2384" spans="1:8" x14ac:dyDescent="0.3">
      <c r="A2384" s="161"/>
      <c r="B2384" s="107"/>
      <c r="C2384" s="111"/>
      <c r="D2384" s="113">
        <f>SUM($D$2382:$D$2383)</f>
        <v>10.860000000000001</v>
      </c>
      <c r="E2384" s="63" t="s">
        <v>1660</v>
      </c>
      <c r="F2384" s="150">
        <f>ROUND($D2384,2)</f>
        <v>10.86</v>
      </c>
      <c r="G2384" s="107" t="s">
        <v>1688</v>
      </c>
      <c r="H2384" s="95"/>
    </row>
    <row r="2385" spans="1:8" x14ac:dyDescent="0.3">
      <c r="A2385" s="161"/>
      <c r="B2385" s="107"/>
      <c r="C2385" s="111"/>
      <c r="D2385" s="113"/>
      <c r="E2385" s="63"/>
      <c r="F2385" s="150"/>
      <c r="G2385" s="107"/>
      <c r="H2385" s="95"/>
    </row>
    <row r="2386" spans="1:8" x14ac:dyDescent="0.3">
      <c r="A2386" s="161"/>
      <c r="B2386" s="107"/>
      <c r="C2386" s="111"/>
      <c r="D2386" s="113"/>
      <c r="E2386" s="149" t="s">
        <v>1329</v>
      </c>
      <c r="F2386" s="150"/>
      <c r="G2386" s="107"/>
      <c r="H2386" s="95"/>
    </row>
    <row r="2387" spans="1:8" x14ac:dyDescent="0.3">
      <c r="A2387" s="161"/>
      <c r="B2387" s="107"/>
      <c r="C2387" s="111"/>
      <c r="D2387" s="113"/>
      <c r="E2387" s="63" t="s">
        <v>1698</v>
      </c>
      <c r="F2387" s="150"/>
      <c r="G2387" s="107"/>
      <c r="H2387" s="95"/>
    </row>
    <row r="2388" spans="1:8" x14ac:dyDescent="0.3">
      <c r="A2388" s="161">
        <f>2</f>
        <v>2</v>
      </c>
      <c r="B2388" s="107" t="s">
        <v>1628</v>
      </c>
      <c r="C2388" s="111">
        <f>'04a_Box_Dims'!$AE37</f>
        <v>10</v>
      </c>
      <c r="D2388" s="113"/>
      <c r="E2388" s="63" t="s">
        <v>1699</v>
      </c>
      <c r="F2388" s="150"/>
      <c r="G2388" s="107"/>
      <c r="H2388" s="95"/>
    </row>
    <row r="2389" spans="1:8" x14ac:dyDescent="0.3">
      <c r="A2389" s="161"/>
      <c r="B2389" s="107"/>
      <c r="C2389" s="111">
        <f>'04a_Box_Dims'!$E37</f>
        <v>4</v>
      </c>
      <c r="D2389" s="113">
        <f>$A2388*$C2388*$C2389</f>
        <v>80</v>
      </c>
      <c r="E2389" s="63"/>
      <c r="F2389" s="150"/>
      <c r="G2389" s="107"/>
      <c r="H2389" s="95"/>
    </row>
    <row r="2390" spans="1:8" x14ac:dyDescent="0.3">
      <c r="A2390" s="161">
        <f>('04a_Box_Dims'!$C37-1)*2</f>
        <v>2</v>
      </c>
      <c r="B2390" s="107" t="s">
        <v>1628</v>
      </c>
      <c r="C2390" s="111">
        <f>'04a_Box_Dims'!$AE37</f>
        <v>10</v>
      </c>
      <c r="D2390" s="113"/>
      <c r="E2390" s="63" t="s">
        <v>1700</v>
      </c>
      <c r="F2390" s="150"/>
      <c r="G2390" s="107"/>
      <c r="H2390" s="95"/>
    </row>
    <row r="2391" spans="1:8" x14ac:dyDescent="0.3">
      <c r="A2391" s="161"/>
      <c r="B2391" s="107"/>
      <c r="C2391" s="111">
        <f>'04a_Box_Dims'!$E37</f>
        <v>4</v>
      </c>
      <c r="D2391" s="113">
        <f>$A2390*$C2390*$C2391</f>
        <v>80</v>
      </c>
      <c r="E2391" s="63"/>
      <c r="F2391" s="150"/>
      <c r="G2391" s="107"/>
      <c r="H2391" s="95"/>
    </row>
    <row r="2392" spans="1:8" x14ac:dyDescent="0.3">
      <c r="A2392" s="161">
        <f>4</f>
        <v>4</v>
      </c>
      <c r="B2392" s="107" t="s">
        <v>1628</v>
      </c>
      <c r="C2392" s="111">
        <f>'04a_Box_Dims'!$Z37</f>
        <v>2.1213203435596424</v>
      </c>
      <c r="D2392" s="113"/>
      <c r="E2392" s="63" t="s">
        <v>1701</v>
      </c>
      <c r="F2392" s="150"/>
      <c r="G2392" s="107"/>
      <c r="H2392" s="95"/>
    </row>
    <row r="2393" spans="1:8" x14ac:dyDescent="0.3">
      <c r="A2393" s="161"/>
      <c r="B2393" s="107"/>
      <c r="C2393" s="111">
        <f>'04a_Box_Dims'!$Y37</f>
        <v>5.1928932188134524</v>
      </c>
      <c r="D2393" s="113">
        <f>$A2392*$C2392*$C2393</f>
        <v>44.063160108007558</v>
      </c>
      <c r="E2393" s="63"/>
      <c r="F2393" s="150"/>
      <c r="G2393" s="107"/>
      <c r="H2393" s="95"/>
    </row>
    <row r="2394" spans="1:8" x14ac:dyDescent="0.3">
      <c r="A2394" s="161"/>
      <c r="B2394" s="107"/>
      <c r="C2394" s="111"/>
      <c r="D2394" s="113">
        <f>SUM($D$2388:$D$2393)</f>
        <v>204.06316010800757</v>
      </c>
      <c r="E2394" s="63" t="s">
        <v>1660</v>
      </c>
      <c r="F2394" s="150">
        <f>ROUND($D2394,2)</f>
        <v>204.06</v>
      </c>
      <c r="G2394" s="107" t="s">
        <v>1688</v>
      </c>
      <c r="H2394" s="95"/>
    </row>
    <row r="2395" spans="1:8" x14ac:dyDescent="0.3">
      <c r="A2395" s="161"/>
      <c r="B2395" s="107"/>
      <c r="C2395" s="111"/>
      <c r="D2395" s="113"/>
      <c r="E2395" s="63"/>
      <c r="F2395" s="150"/>
      <c r="G2395" s="107"/>
      <c r="H2395" s="95"/>
    </row>
    <row r="2396" spans="1:8" x14ac:dyDescent="0.3">
      <c r="A2396" s="161"/>
      <c r="B2396" s="107"/>
      <c r="C2396" s="111"/>
      <c r="D2396" s="113"/>
      <c r="E2396" s="149" t="s">
        <v>1702</v>
      </c>
      <c r="F2396" s="150"/>
      <c r="G2396" s="107"/>
      <c r="H2396" s="95"/>
    </row>
    <row r="2397" spans="1:8" x14ac:dyDescent="0.3">
      <c r="A2397" s="161"/>
      <c r="B2397" s="107"/>
      <c r="C2397" s="111"/>
      <c r="D2397" s="113"/>
      <c r="E2397" s="63" t="s">
        <v>1703</v>
      </c>
      <c r="F2397" s="150"/>
      <c r="G2397" s="107"/>
      <c r="H2397" s="95"/>
    </row>
    <row r="2398" spans="1:8" x14ac:dyDescent="0.3">
      <c r="A2398" s="161"/>
      <c r="B2398" s="107"/>
      <c r="C2398" s="111"/>
      <c r="D2398" s="113">
        <v>0</v>
      </c>
      <c r="E2398" s="63" t="s">
        <v>1704</v>
      </c>
      <c r="F2398" s="150">
        <f t="shared" ref="F2398:F2403" si="15">ROUND($D2398,3)</f>
        <v>0</v>
      </c>
      <c r="G2398" s="107" t="s">
        <v>1474</v>
      </c>
      <c r="H2398" s="95"/>
    </row>
    <row r="2399" spans="1:8" x14ac:dyDescent="0.3">
      <c r="A2399" s="161"/>
      <c r="B2399" s="107"/>
      <c r="C2399" s="111"/>
      <c r="D2399" s="113">
        <f>'04b_Box_Bars'!$S24/1000</f>
        <v>2.4168272284066279</v>
      </c>
      <c r="E2399" s="63" t="s">
        <v>1705</v>
      </c>
      <c r="F2399" s="150">
        <f t="shared" si="15"/>
        <v>2.4169999999999998</v>
      </c>
      <c r="G2399" s="107" t="s">
        <v>1474</v>
      </c>
      <c r="H2399" s="95"/>
    </row>
    <row r="2400" spans="1:8" x14ac:dyDescent="0.3">
      <c r="A2400" s="161"/>
      <c r="B2400" s="107"/>
      <c r="C2400" s="111"/>
      <c r="D2400" s="113">
        <f>'04b_Box_Bars'!$T24/1000</f>
        <v>8.9441817774900745</v>
      </c>
      <c r="E2400" s="63" t="s">
        <v>1706</v>
      </c>
      <c r="F2400" s="150">
        <f t="shared" si="15"/>
        <v>8.9440000000000008</v>
      </c>
      <c r="G2400" s="107" t="s">
        <v>1474</v>
      </c>
      <c r="H2400" s="95"/>
    </row>
    <row r="2401" spans="1:8" x14ac:dyDescent="0.3">
      <c r="A2401" s="161"/>
      <c r="B2401" s="107"/>
      <c r="C2401" s="111"/>
      <c r="D2401" s="113">
        <f>'04b_Box_Bars'!$U24/1000</f>
        <v>1.0594581401260075</v>
      </c>
      <c r="E2401" s="63" t="s">
        <v>1707</v>
      </c>
      <c r="F2401" s="150">
        <f t="shared" si="15"/>
        <v>1.0589999999999999</v>
      </c>
      <c r="G2401" s="107" t="s">
        <v>1474</v>
      </c>
      <c r="H2401" s="95"/>
    </row>
    <row r="2402" spans="1:8" x14ac:dyDescent="0.3">
      <c r="A2402" s="161"/>
      <c r="B2402" s="107"/>
      <c r="C2402" s="111"/>
      <c r="D2402" s="113">
        <f>'04b_Box_Bars'!$V24/1000</f>
        <v>0</v>
      </c>
      <c r="E2402" s="63" t="s">
        <v>1708</v>
      </c>
      <c r="F2402" s="150">
        <f t="shared" si="15"/>
        <v>0</v>
      </c>
      <c r="G2402" s="107" t="s">
        <v>1474</v>
      </c>
      <c r="H2402" s="95"/>
    </row>
    <row r="2403" spans="1:8" x14ac:dyDescent="0.3">
      <c r="A2403" s="161"/>
      <c r="B2403" s="107"/>
      <c r="C2403" s="111"/>
      <c r="D2403" s="113">
        <f>'04b_Box_Bars'!$W24/1000</f>
        <v>1.5721707735808423</v>
      </c>
      <c r="E2403" s="63" t="s">
        <v>1709</v>
      </c>
      <c r="F2403" s="150">
        <f t="shared" si="15"/>
        <v>1.5720000000000001</v>
      </c>
      <c r="G2403" s="107" t="s">
        <v>1474</v>
      </c>
      <c r="H2403" s="95"/>
    </row>
    <row r="2404" spans="1:8" x14ac:dyDescent="0.3">
      <c r="A2404" s="161"/>
      <c r="B2404" s="107"/>
      <c r="C2404" s="111"/>
      <c r="D2404" s="113"/>
      <c r="E2404" s="63"/>
      <c r="F2404" s="150"/>
      <c r="G2404" s="107"/>
      <c r="H2404" s="95"/>
    </row>
    <row r="2405" spans="1:8" x14ac:dyDescent="0.3">
      <c r="A2405" s="161"/>
      <c r="B2405" s="107"/>
      <c r="C2405" s="111"/>
      <c r="D2405" s="113"/>
      <c r="E2405" s="63"/>
      <c r="F2405" s="150"/>
      <c r="G2405" s="107"/>
      <c r="H2405" s="95"/>
    </row>
    <row r="2406" spans="1:8" x14ac:dyDescent="0.3">
      <c r="A2406" s="160" t="str">
        <f>'04a_Box_Dims'!$F38&amp;"  No.  "&amp;'04a_Box_Dims'!$A38&amp;"   (L = "&amp;TEXT('04a_Box_Dims'!$AE38,"0.00")&amp;" m)"</f>
        <v>0  No.  3/4x4 box culvert   (L = 10.00 m)</v>
      </c>
      <c r="B2406" s="146"/>
      <c r="C2406" s="162"/>
      <c r="D2406" s="163"/>
      <c r="E2406" s="147"/>
      <c r="F2406" s="148"/>
      <c r="G2406" s="146"/>
      <c r="H2406" s="151"/>
    </row>
    <row r="2407" spans="1:8" x14ac:dyDescent="0.3">
      <c r="A2407" s="161"/>
      <c r="B2407" s="107"/>
      <c r="C2407" s="111"/>
      <c r="D2407" s="113"/>
      <c r="E2407" s="149" t="s">
        <v>1438</v>
      </c>
      <c r="F2407" s="150"/>
      <c r="G2407" s="107"/>
      <c r="H2407" s="95"/>
    </row>
    <row r="2408" spans="1:8" x14ac:dyDescent="0.3">
      <c r="A2408" s="161"/>
      <c r="B2408" s="107"/>
      <c r="C2408" s="111"/>
      <c r="D2408" s="113"/>
      <c r="E2408" s="63" t="s">
        <v>1655</v>
      </c>
      <c r="F2408" s="150"/>
      <c r="G2408" s="107"/>
      <c r="H2408" s="95"/>
    </row>
    <row r="2409" spans="1:8" x14ac:dyDescent="0.3">
      <c r="A2409" s="161">
        <f>1</f>
        <v>1</v>
      </c>
      <c r="B2409" s="107" t="s">
        <v>1628</v>
      </c>
      <c r="C2409" s="111">
        <f>'04a_Box_Dims'!$AE38</f>
        <v>10</v>
      </c>
      <c r="D2409" s="113"/>
      <c r="E2409" s="63" t="s">
        <v>1656</v>
      </c>
      <c r="F2409" s="150"/>
      <c r="G2409" s="107"/>
      <c r="H2409" s="95"/>
    </row>
    <row r="2410" spans="1:8" x14ac:dyDescent="0.3">
      <c r="A2410" s="161"/>
      <c r="B2410" s="107"/>
      <c r="C2410" s="111">
        <f>'04a_Box_Dims'!$J38+2*BX_work</f>
        <v>14</v>
      </c>
      <c r="D2410" s="113"/>
      <c r="E2410" s="63"/>
      <c r="F2410" s="150"/>
      <c r="G2410" s="107"/>
      <c r="H2410" s="95"/>
    </row>
    <row r="2411" spans="1:8" x14ac:dyDescent="0.3">
      <c r="A2411" s="161"/>
      <c r="B2411" s="107"/>
      <c r="C2411" s="111">
        <f>'04a_Box_Dims'!$L38+BX_blind+BX_exX</f>
        <v>4.9000000000000004</v>
      </c>
      <c r="D2411" s="113">
        <f>$A2409*$C2409*$C2410*$C2411</f>
        <v>686</v>
      </c>
      <c r="E2411" s="63"/>
      <c r="F2411" s="150"/>
      <c r="G2411" s="107"/>
      <c r="H2411" s="95"/>
    </row>
    <row r="2412" spans="1:8" x14ac:dyDescent="0.3">
      <c r="A2412" s="161">
        <f>2</f>
        <v>2</v>
      </c>
      <c r="B2412" s="107" t="s">
        <v>1628</v>
      </c>
      <c r="C2412" s="111">
        <f>'04a_Box_Dims'!$O38</f>
        <v>1.5</v>
      </c>
      <c r="D2412" s="113"/>
      <c r="E2412" s="63" t="s">
        <v>1657</v>
      </c>
      <c r="F2412" s="150"/>
      <c r="G2412" s="107"/>
      <c r="H2412" s="95"/>
    </row>
    <row r="2413" spans="1:8" x14ac:dyDescent="0.3">
      <c r="A2413" s="161"/>
      <c r="B2413" s="107"/>
      <c r="C2413" s="111">
        <f>'04a_Box_Dims'!$Q38</f>
        <v>14.9</v>
      </c>
      <c r="D2413" s="113"/>
      <c r="E2413" s="63"/>
      <c r="F2413" s="150"/>
      <c r="G2413" s="107"/>
      <c r="H2413" s="95"/>
    </row>
    <row r="2414" spans="1:8" x14ac:dyDescent="0.3">
      <c r="A2414" s="161"/>
      <c r="B2414" s="107"/>
      <c r="C2414" s="111">
        <f>'04a_Box_Dims'!$P38+BX_blind+BX_exX</f>
        <v>0.55000000000000004</v>
      </c>
      <c r="D2414" s="113">
        <f>$A2412*$C2412*$C2413*$C2414</f>
        <v>24.585000000000004</v>
      </c>
      <c r="E2414" s="63"/>
      <c r="F2414" s="150"/>
      <c r="G2414" s="107"/>
      <c r="H2414" s="95"/>
    </row>
    <row r="2415" spans="1:8" x14ac:dyDescent="0.3">
      <c r="A2415" s="161">
        <f>2</f>
        <v>2</v>
      </c>
      <c r="B2415" s="107" t="s">
        <v>1628</v>
      </c>
      <c r="C2415" s="111">
        <f>'04a_Box_Dims'!$R38</f>
        <v>13.4</v>
      </c>
      <c r="D2415" s="113"/>
      <c r="E2415" s="63" t="s">
        <v>1658</v>
      </c>
      <c r="F2415" s="150"/>
      <c r="G2415" s="107"/>
      <c r="H2415" s="95"/>
    </row>
    <row r="2416" spans="1:8" x14ac:dyDescent="0.3">
      <c r="A2416" s="161"/>
      <c r="B2416" s="107"/>
      <c r="C2416" s="111">
        <f>'04a_Box_Dims'!$S38</f>
        <v>0.2</v>
      </c>
      <c r="D2416" s="113"/>
      <c r="E2416" s="63"/>
      <c r="F2416" s="150"/>
      <c r="G2416" s="107"/>
      <c r="H2416" s="95"/>
    </row>
    <row r="2417" spans="1:8" x14ac:dyDescent="0.3">
      <c r="A2417" s="161"/>
      <c r="B2417" s="107"/>
      <c r="C2417" s="111">
        <f>'04a_Box_Dims'!$T38+BX_blind</f>
        <v>0.5</v>
      </c>
      <c r="D2417" s="113">
        <f>$A2415*$C2415*$C2416*$C2417</f>
        <v>2.68</v>
      </c>
      <c r="E2417" s="63"/>
      <c r="F2417" s="150"/>
      <c r="G2417" s="107"/>
      <c r="H2417" s="95"/>
    </row>
    <row r="2418" spans="1:8" x14ac:dyDescent="0.3">
      <c r="A2418" s="161">
        <f>4</f>
        <v>4</v>
      </c>
      <c r="B2418" s="107" t="s">
        <v>1628</v>
      </c>
      <c r="C2418" s="111">
        <f>'04a_Box_Dims'!$Z38</f>
        <v>2.1213203435596424</v>
      </c>
      <c r="D2418" s="113"/>
      <c r="E2418" s="63" t="s">
        <v>1659</v>
      </c>
      <c r="F2418" s="150"/>
      <c r="G2418" s="107"/>
      <c r="H2418" s="95"/>
    </row>
    <row r="2419" spans="1:8" x14ac:dyDescent="0.3">
      <c r="A2419" s="161"/>
      <c r="B2419" s="107"/>
      <c r="C2419" s="111">
        <f>'04a_Box_Dims'!$AC38</f>
        <v>0.9</v>
      </c>
      <c r="D2419" s="113"/>
      <c r="E2419" s="63"/>
      <c r="F2419" s="150"/>
      <c r="G2419" s="107"/>
      <c r="H2419" s="95"/>
    </row>
    <row r="2420" spans="1:8" x14ac:dyDescent="0.3">
      <c r="A2420" s="161"/>
      <c r="B2420" s="107"/>
      <c r="C2420" s="111">
        <f>'04a_Box_Dims'!$AD38+BX_blind</f>
        <v>0.4</v>
      </c>
      <c r="D2420" s="113">
        <f>$A2418*$C2418*$C2419*$C2420</f>
        <v>3.0547012947258851</v>
      </c>
      <c r="E2420" s="63"/>
      <c r="F2420" s="150"/>
      <c r="G2420" s="107"/>
      <c r="H2420" s="95"/>
    </row>
    <row r="2421" spans="1:8" x14ac:dyDescent="0.3">
      <c r="A2421" s="161"/>
      <c r="B2421" s="107"/>
      <c r="C2421" s="111"/>
      <c r="D2421" s="113">
        <f>SUM($D$2409:$D$2420)</f>
        <v>716.31970129472586</v>
      </c>
      <c r="E2421" s="63" t="s">
        <v>1660</v>
      </c>
      <c r="F2421" s="150">
        <f>ROUND($D2421,0)</f>
        <v>716</v>
      </c>
      <c r="G2421" s="107" t="s">
        <v>1661</v>
      </c>
      <c r="H2421" s="95"/>
    </row>
    <row r="2422" spans="1:8" x14ac:dyDescent="0.3">
      <c r="A2422" s="161"/>
      <c r="B2422" s="107"/>
      <c r="C2422" s="111"/>
      <c r="D2422" s="113"/>
      <c r="E2422" s="63"/>
      <c r="F2422" s="150"/>
      <c r="G2422" s="107"/>
      <c r="H2422" s="95"/>
    </row>
    <row r="2423" spans="1:8" x14ac:dyDescent="0.3">
      <c r="A2423" s="161"/>
      <c r="B2423" s="107"/>
      <c r="C2423" s="111"/>
      <c r="D2423" s="113"/>
      <c r="E2423" s="149" t="s">
        <v>1323</v>
      </c>
      <c r="F2423" s="150"/>
      <c r="G2423" s="107"/>
      <c r="H2423" s="95"/>
    </row>
    <row r="2424" spans="1:8" x14ac:dyDescent="0.3">
      <c r="A2424" s="161"/>
      <c r="B2424" s="107"/>
      <c r="C2424" s="111"/>
      <c r="D2424" s="113"/>
      <c r="E2424" s="63" t="s">
        <v>1662</v>
      </c>
      <c r="F2424" s="150"/>
      <c r="G2424" s="107"/>
      <c r="H2424" s="95"/>
    </row>
    <row r="2425" spans="1:8" x14ac:dyDescent="0.3">
      <c r="A2425" s="161">
        <f>1</f>
        <v>1</v>
      </c>
      <c r="B2425" s="107" t="s">
        <v>1628</v>
      </c>
      <c r="C2425" s="111">
        <f>'04a_Box_Dims'!$AE38</f>
        <v>10</v>
      </c>
      <c r="D2425" s="113"/>
      <c r="E2425" s="63" t="s">
        <v>1663</v>
      </c>
      <c r="F2425" s="150"/>
      <c r="G2425" s="107"/>
      <c r="H2425" s="95"/>
    </row>
    <row r="2426" spans="1:8" x14ac:dyDescent="0.3">
      <c r="A2426" s="161"/>
      <c r="B2426" s="107"/>
      <c r="C2426" s="111">
        <f>'04a_Box_Dims'!$J38</f>
        <v>13.4</v>
      </c>
      <c r="D2426" s="113"/>
      <c r="E2426" s="63"/>
      <c r="F2426" s="150"/>
      <c r="G2426" s="107"/>
      <c r="H2426" s="95"/>
    </row>
    <row r="2427" spans="1:8" x14ac:dyDescent="0.3">
      <c r="A2427" s="161"/>
      <c r="B2427" s="107"/>
      <c r="C2427" s="111">
        <f>BX_blind</f>
        <v>0.05</v>
      </c>
      <c r="D2427" s="113">
        <f>$A2425*$C2425*$C2426*$C2427</f>
        <v>6.7</v>
      </c>
      <c r="E2427" s="63"/>
      <c r="F2427" s="150"/>
      <c r="G2427" s="107"/>
      <c r="H2427" s="95"/>
    </row>
    <row r="2428" spans="1:8" x14ac:dyDescent="0.3">
      <c r="A2428" s="161">
        <f>2</f>
        <v>2</v>
      </c>
      <c r="B2428" s="107" t="s">
        <v>1628</v>
      </c>
      <c r="C2428" s="111">
        <f>'04a_Box_Dims'!$O38</f>
        <v>1.5</v>
      </c>
      <c r="D2428" s="113"/>
      <c r="E2428" s="63" t="s">
        <v>1657</v>
      </c>
      <c r="F2428" s="150"/>
      <c r="G2428" s="107"/>
      <c r="H2428" s="95"/>
    </row>
    <row r="2429" spans="1:8" x14ac:dyDescent="0.3">
      <c r="A2429" s="161"/>
      <c r="B2429" s="107"/>
      <c r="C2429" s="111">
        <f>'04a_Box_Dims'!$Q38</f>
        <v>14.9</v>
      </c>
      <c r="D2429" s="113"/>
      <c r="E2429" s="63"/>
      <c r="F2429" s="150"/>
      <c r="G2429" s="107"/>
      <c r="H2429" s="95"/>
    </row>
    <row r="2430" spans="1:8" x14ac:dyDescent="0.3">
      <c r="A2430" s="161"/>
      <c r="B2430" s="107"/>
      <c r="C2430" s="111">
        <f>BX_blind</f>
        <v>0.05</v>
      </c>
      <c r="D2430" s="113">
        <f>$A2428*$C2428*$C2429*$C2430</f>
        <v>2.2350000000000003</v>
      </c>
      <c r="E2430" s="63"/>
      <c r="F2430" s="150"/>
      <c r="G2430" s="107"/>
      <c r="H2430" s="95"/>
    </row>
    <row r="2431" spans="1:8" x14ac:dyDescent="0.3">
      <c r="A2431" s="161">
        <f>2</f>
        <v>2</v>
      </c>
      <c r="B2431" s="107" t="s">
        <v>1628</v>
      </c>
      <c r="C2431" s="111">
        <f>'04a_Box_Dims'!$R38</f>
        <v>13.4</v>
      </c>
      <c r="D2431" s="113"/>
      <c r="E2431" s="63" t="s">
        <v>1658</v>
      </c>
      <c r="F2431" s="150"/>
      <c r="G2431" s="107"/>
      <c r="H2431" s="95"/>
    </row>
    <row r="2432" spans="1:8" x14ac:dyDescent="0.3">
      <c r="A2432" s="161"/>
      <c r="B2432" s="107"/>
      <c r="C2432" s="111">
        <f>'04a_Box_Dims'!$S38</f>
        <v>0.2</v>
      </c>
      <c r="D2432" s="113"/>
      <c r="E2432" s="63"/>
      <c r="F2432" s="150"/>
      <c r="G2432" s="107"/>
      <c r="H2432" s="95"/>
    </row>
    <row r="2433" spans="1:8" x14ac:dyDescent="0.3">
      <c r="A2433" s="161"/>
      <c r="B2433" s="107"/>
      <c r="C2433" s="111">
        <f>BX_blind</f>
        <v>0.05</v>
      </c>
      <c r="D2433" s="113">
        <f>$A2431*$C2431*$C2432*$C2433</f>
        <v>0.26800000000000002</v>
      </c>
      <c r="E2433" s="63"/>
      <c r="F2433" s="150"/>
      <c r="G2433" s="107"/>
      <c r="H2433" s="95"/>
    </row>
    <row r="2434" spans="1:8" x14ac:dyDescent="0.3">
      <c r="A2434" s="161">
        <f>4</f>
        <v>4</v>
      </c>
      <c r="B2434" s="107" t="s">
        <v>1628</v>
      </c>
      <c r="C2434" s="111">
        <f>'04a_Box_Dims'!$Z38</f>
        <v>2.1213203435596424</v>
      </c>
      <c r="D2434" s="113"/>
      <c r="E2434" s="63" t="s">
        <v>1659</v>
      </c>
      <c r="F2434" s="150"/>
      <c r="G2434" s="107"/>
      <c r="H2434" s="95"/>
    </row>
    <row r="2435" spans="1:8" x14ac:dyDescent="0.3">
      <c r="A2435" s="161"/>
      <c r="B2435" s="107"/>
      <c r="C2435" s="111">
        <f>'04a_Box_Dims'!$AC38</f>
        <v>0.9</v>
      </c>
      <c r="D2435" s="113"/>
      <c r="E2435" s="63"/>
      <c r="F2435" s="150"/>
      <c r="G2435" s="107"/>
      <c r="H2435" s="95"/>
    </row>
    <row r="2436" spans="1:8" x14ac:dyDescent="0.3">
      <c r="A2436" s="161"/>
      <c r="B2436" s="107"/>
      <c r="C2436" s="111">
        <f>BX_blind</f>
        <v>0.05</v>
      </c>
      <c r="D2436" s="113">
        <f>$A2434*$C2434*$C2435*$C2436</f>
        <v>0.38183766184073564</v>
      </c>
      <c r="E2436" s="63"/>
      <c r="F2436" s="150"/>
      <c r="G2436" s="107"/>
      <c r="H2436" s="95"/>
    </row>
    <row r="2437" spans="1:8" x14ac:dyDescent="0.3">
      <c r="A2437" s="161"/>
      <c r="B2437" s="107"/>
      <c r="C2437" s="111"/>
      <c r="D2437" s="113">
        <f>SUM($D$2425:$D$2436)</f>
        <v>9.5848376618407372</v>
      </c>
      <c r="E2437" s="63" t="s">
        <v>1660</v>
      </c>
      <c r="F2437" s="150">
        <f>ROUND($D2437,2)</f>
        <v>9.58</v>
      </c>
      <c r="G2437" s="107" t="s">
        <v>1661</v>
      </c>
      <c r="H2437" s="95"/>
    </row>
    <row r="2438" spans="1:8" x14ac:dyDescent="0.3">
      <c r="A2438" s="161"/>
      <c r="B2438" s="107"/>
      <c r="C2438" s="111"/>
      <c r="D2438" s="113"/>
      <c r="E2438" s="63"/>
      <c r="F2438" s="150"/>
      <c r="G2438" s="107"/>
      <c r="H2438" s="95"/>
    </row>
    <row r="2439" spans="1:8" x14ac:dyDescent="0.3">
      <c r="A2439" s="161"/>
      <c r="B2439" s="107"/>
      <c r="C2439" s="111"/>
      <c r="D2439" s="113"/>
      <c r="E2439" s="149" t="s">
        <v>1324</v>
      </c>
      <c r="F2439" s="150"/>
      <c r="G2439" s="107"/>
      <c r="H2439" s="95"/>
    </row>
    <row r="2440" spans="1:8" x14ac:dyDescent="0.3">
      <c r="A2440" s="161"/>
      <c r="B2440" s="107"/>
      <c r="C2440" s="111"/>
      <c r="D2440" s="113"/>
      <c r="E2440" s="63" t="s">
        <v>1664</v>
      </c>
      <c r="F2440" s="150"/>
      <c r="G2440" s="107"/>
      <c r="H2440" s="95"/>
    </row>
    <row r="2441" spans="1:8" x14ac:dyDescent="0.3">
      <c r="A2441" s="161"/>
      <c r="B2441" s="107"/>
      <c r="C2441" s="111"/>
      <c r="D2441" s="113">
        <f>$D2437</f>
        <v>9.5848376618407372</v>
      </c>
      <c r="E2441" s="63" t="s">
        <v>1665</v>
      </c>
      <c r="F2441" s="150">
        <f>$F2437</f>
        <v>9.58</v>
      </c>
      <c r="G2441" s="107" t="s">
        <v>1661</v>
      </c>
      <c r="H2441" s="95"/>
    </row>
    <row r="2442" spans="1:8" x14ac:dyDescent="0.3">
      <c r="A2442" s="161"/>
      <c r="B2442" s="107"/>
      <c r="C2442" s="111"/>
      <c r="D2442" s="113"/>
      <c r="E2442" s="63"/>
      <c r="F2442" s="150"/>
      <c r="G2442" s="107"/>
      <c r="H2442" s="95"/>
    </row>
    <row r="2443" spans="1:8" x14ac:dyDescent="0.3">
      <c r="A2443" s="161"/>
      <c r="B2443" s="107"/>
      <c r="C2443" s="111"/>
      <c r="D2443" s="113"/>
      <c r="E2443" s="149" t="s">
        <v>1455</v>
      </c>
      <c r="F2443" s="150"/>
      <c r="G2443" s="107"/>
      <c r="H2443" s="95"/>
    </row>
    <row r="2444" spans="1:8" x14ac:dyDescent="0.3">
      <c r="A2444" s="161"/>
      <c r="B2444" s="107"/>
      <c r="C2444" s="111"/>
      <c r="D2444" s="113"/>
      <c r="E2444" s="63" t="s">
        <v>1666</v>
      </c>
      <c r="F2444" s="150"/>
      <c r="G2444" s="107"/>
      <c r="H2444" s="95"/>
    </row>
    <row r="2445" spans="1:8" x14ac:dyDescent="0.3">
      <c r="A2445" s="161">
        <f>1</f>
        <v>1</v>
      </c>
      <c r="B2445" s="107" t="s">
        <v>1628</v>
      </c>
      <c r="C2445" s="111">
        <f>'04a_Box_Dims'!$AE38</f>
        <v>10</v>
      </c>
      <c r="D2445" s="113"/>
      <c r="E2445" s="63" t="s">
        <v>1667</v>
      </c>
      <c r="F2445" s="150"/>
      <c r="G2445" s="107"/>
      <c r="H2445" s="95"/>
    </row>
    <row r="2446" spans="1:8" x14ac:dyDescent="0.3">
      <c r="A2446" s="161"/>
      <c r="B2446" s="107"/>
      <c r="C2446" s="111">
        <f>'04a_Box_Dims'!$J38</f>
        <v>13.4</v>
      </c>
      <c r="D2446" s="113"/>
      <c r="E2446" s="63"/>
      <c r="F2446" s="150"/>
      <c r="G2446" s="107"/>
      <c r="H2446" s="95"/>
    </row>
    <row r="2447" spans="1:8" x14ac:dyDescent="0.3">
      <c r="A2447" s="161"/>
      <c r="B2447" s="107"/>
      <c r="C2447" s="111">
        <f>'04a_Box_Dims'!$I38</f>
        <v>0.35000000000000003</v>
      </c>
      <c r="D2447" s="113">
        <f>$A2445*$C2445*$C2446*$C2447</f>
        <v>46.900000000000006</v>
      </c>
      <c r="E2447" s="63"/>
      <c r="F2447" s="150"/>
      <c r="G2447" s="107"/>
      <c r="H2447" s="95">
        <f>'04a_Box_Dims'!$I38</f>
        <v>0.35000000000000003</v>
      </c>
    </row>
    <row r="2448" spans="1:8" x14ac:dyDescent="0.3">
      <c r="A2448" s="161">
        <f>2</f>
        <v>2</v>
      </c>
      <c r="B2448" s="107" t="s">
        <v>1628</v>
      </c>
      <c r="C2448" s="111">
        <f>'04a_Box_Dims'!$O38</f>
        <v>1.5</v>
      </c>
      <c r="D2448" s="113"/>
      <c r="E2448" s="63" t="s">
        <v>1657</v>
      </c>
      <c r="F2448" s="150"/>
      <c r="G2448" s="107"/>
      <c r="H2448" s="95"/>
    </row>
    <row r="2449" spans="1:8" x14ac:dyDescent="0.3">
      <c r="A2449" s="161"/>
      <c r="B2449" s="107"/>
      <c r="C2449" s="111">
        <f>'04a_Box_Dims'!$Q38</f>
        <v>14.9</v>
      </c>
      <c r="D2449" s="113"/>
      <c r="E2449" s="63"/>
      <c r="F2449" s="150"/>
      <c r="G2449" s="107"/>
      <c r="H2449" s="95"/>
    </row>
    <row r="2450" spans="1:8" x14ac:dyDescent="0.3">
      <c r="A2450" s="161"/>
      <c r="B2450" s="107"/>
      <c r="C2450" s="111">
        <f>'04a_Box_Dims'!$P38</f>
        <v>0.35000000000000003</v>
      </c>
      <c r="D2450" s="113">
        <f>$A2448*$C2448*$C2449*$C2450</f>
        <v>15.645000000000003</v>
      </c>
      <c r="E2450" s="63"/>
      <c r="F2450" s="150"/>
      <c r="G2450" s="107"/>
      <c r="H2450" s="95">
        <f>'04a_Box_Dims'!$P38</f>
        <v>0.35000000000000003</v>
      </c>
    </row>
    <row r="2451" spans="1:8" x14ac:dyDescent="0.3">
      <c r="A2451" s="161">
        <f>2</f>
        <v>2</v>
      </c>
      <c r="B2451" s="107" t="s">
        <v>1628</v>
      </c>
      <c r="C2451" s="111">
        <f>'04a_Box_Dims'!$R38</f>
        <v>13.4</v>
      </c>
      <c r="D2451" s="113"/>
      <c r="E2451" s="63" t="s">
        <v>1658</v>
      </c>
      <c r="F2451" s="150"/>
      <c r="G2451" s="107"/>
      <c r="H2451" s="95"/>
    </row>
    <row r="2452" spans="1:8" x14ac:dyDescent="0.3">
      <c r="A2452" s="161"/>
      <c r="B2452" s="107"/>
      <c r="C2452" s="111">
        <f>'04a_Box_Dims'!$S38</f>
        <v>0.2</v>
      </c>
      <c r="D2452" s="113"/>
      <c r="E2452" s="63"/>
      <c r="F2452" s="150"/>
      <c r="G2452" s="107"/>
      <c r="H2452" s="95"/>
    </row>
    <row r="2453" spans="1:8" x14ac:dyDescent="0.3">
      <c r="A2453" s="161"/>
      <c r="B2453" s="107"/>
      <c r="C2453" s="111">
        <f>'04a_Box_Dims'!$T38</f>
        <v>0.45</v>
      </c>
      <c r="D2453" s="113">
        <f>$A2451*$C2451*$C2452*$C2453</f>
        <v>2.4120000000000004</v>
      </c>
      <c r="E2453" s="63"/>
      <c r="F2453" s="150"/>
      <c r="G2453" s="107"/>
      <c r="H2453" s="95">
        <f>'04a_Box_Dims'!$S38</f>
        <v>0.2</v>
      </c>
    </row>
    <row r="2454" spans="1:8" x14ac:dyDescent="0.3">
      <c r="A2454" s="161">
        <f>4</f>
        <v>4</v>
      </c>
      <c r="B2454" s="107" t="s">
        <v>1628</v>
      </c>
      <c r="C2454" s="111">
        <f>'04a_Box_Dims'!$Z38</f>
        <v>2.1213203435596424</v>
      </c>
      <c r="D2454" s="113"/>
      <c r="E2454" s="63" t="s">
        <v>1659</v>
      </c>
      <c r="F2454" s="150"/>
      <c r="G2454" s="107"/>
      <c r="H2454" s="95"/>
    </row>
    <row r="2455" spans="1:8" x14ac:dyDescent="0.3">
      <c r="A2455" s="161"/>
      <c r="B2455" s="107"/>
      <c r="C2455" s="111">
        <f>'04a_Box_Dims'!$AC38</f>
        <v>0.9</v>
      </c>
      <c r="D2455" s="113"/>
      <c r="E2455" s="63"/>
      <c r="F2455" s="150"/>
      <c r="G2455" s="107"/>
      <c r="H2455" s="95"/>
    </row>
    <row r="2456" spans="1:8" x14ac:dyDescent="0.3">
      <c r="A2456" s="161"/>
      <c r="B2456" s="107"/>
      <c r="C2456" s="111">
        <f>'04a_Box_Dims'!$AD38</f>
        <v>0.35000000000000003</v>
      </c>
      <c r="D2456" s="113">
        <f>$A2454*$C2454*$C2455*$C2456</f>
        <v>2.6728636328851496</v>
      </c>
      <c r="E2456" s="63"/>
      <c r="F2456" s="150"/>
      <c r="G2456" s="107"/>
      <c r="H2456" s="95">
        <f>'04a_Box_Dims'!$AD38</f>
        <v>0.35000000000000003</v>
      </c>
    </row>
    <row r="2457" spans="1:8" x14ac:dyDescent="0.3">
      <c r="A2457" s="161"/>
      <c r="B2457" s="107"/>
      <c r="C2457" s="111"/>
      <c r="D2457" s="113">
        <f>SUM($D$2445:$D$2456)</f>
        <v>67.629863632885161</v>
      </c>
      <c r="E2457" s="63" t="s">
        <v>1660</v>
      </c>
      <c r="F2457" s="150">
        <f>ROUND($D2457,2)</f>
        <v>67.63</v>
      </c>
      <c r="G2457" s="107" t="s">
        <v>1661</v>
      </c>
      <c r="H2457" s="95"/>
    </row>
    <row r="2458" spans="1:8" x14ac:dyDescent="0.3">
      <c r="A2458" s="161"/>
      <c r="B2458" s="107"/>
      <c r="C2458" s="111"/>
      <c r="D2458" s="113"/>
      <c r="E2458" s="63"/>
      <c r="F2458" s="150"/>
      <c r="G2458" s="107"/>
      <c r="H2458" s="95"/>
    </row>
    <row r="2459" spans="1:8" x14ac:dyDescent="0.3">
      <c r="A2459" s="161"/>
      <c r="B2459" s="107"/>
      <c r="C2459" s="111"/>
      <c r="D2459" s="113"/>
      <c r="E2459" s="149" t="s">
        <v>1668</v>
      </c>
      <c r="F2459" s="150"/>
      <c r="G2459" s="107"/>
      <c r="H2459" s="95"/>
    </row>
    <row r="2460" spans="1:8" x14ac:dyDescent="0.3">
      <c r="A2460" s="161"/>
      <c r="B2460" s="107"/>
      <c r="C2460" s="111"/>
      <c r="D2460" s="113"/>
      <c r="E2460" s="63" t="s">
        <v>1669</v>
      </c>
      <c r="F2460" s="150"/>
      <c r="G2460" s="107"/>
      <c r="H2460" s="95"/>
    </row>
    <row r="2461" spans="1:8" x14ac:dyDescent="0.3">
      <c r="A2461" s="161"/>
      <c r="B2461" s="107"/>
      <c r="C2461" s="111"/>
      <c r="D2461" s="113">
        <f>SUMIF($H$2445:$H$2456,"&lt;=0.3",$D$2445:$D$2456)</f>
        <v>2.4120000000000004</v>
      </c>
      <c r="E2461" s="63" t="s">
        <v>1670</v>
      </c>
      <c r="F2461" s="150">
        <f>ROUND($D2461,2)</f>
        <v>2.41</v>
      </c>
      <c r="G2461" s="107" t="s">
        <v>1661</v>
      </c>
      <c r="H2461" s="95"/>
    </row>
    <row r="2462" spans="1:8" x14ac:dyDescent="0.3">
      <c r="A2462" s="161"/>
      <c r="B2462" s="107"/>
      <c r="C2462" s="111"/>
      <c r="D2462" s="113">
        <f>SUMIF($H$2445:$H$2456,"&gt;0.3",$D$2445:$D$2456)</f>
        <v>65.217863632885155</v>
      </c>
      <c r="E2462" s="63" t="s">
        <v>1671</v>
      </c>
      <c r="F2462" s="150">
        <f>ROUND($D2462,2)</f>
        <v>65.22</v>
      </c>
      <c r="G2462" s="107" t="s">
        <v>1661</v>
      </c>
      <c r="H2462" s="95"/>
    </row>
    <row r="2463" spans="1:8" x14ac:dyDescent="0.3">
      <c r="A2463" s="161"/>
      <c r="B2463" s="107"/>
      <c r="C2463" s="111"/>
      <c r="D2463" s="113"/>
      <c r="E2463" s="63"/>
      <c r="F2463" s="150"/>
      <c r="G2463" s="107"/>
      <c r="H2463" s="95"/>
    </row>
    <row r="2464" spans="1:8" x14ac:dyDescent="0.3">
      <c r="A2464" s="161"/>
      <c r="B2464" s="107"/>
      <c r="C2464" s="111"/>
      <c r="D2464" s="113"/>
      <c r="E2464" s="149" t="s">
        <v>1455</v>
      </c>
      <c r="F2464" s="150"/>
      <c r="G2464" s="107"/>
      <c r="H2464" s="95"/>
    </row>
    <row r="2465" spans="1:8" x14ac:dyDescent="0.3">
      <c r="A2465" s="161"/>
      <c r="B2465" s="107"/>
      <c r="C2465" s="111"/>
      <c r="D2465" s="113"/>
      <c r="E2465" s="63" t="s">
        <v>1672</v>
      </c>
      <c r="F2465" s="150"/>
      <c r="G2465" s="107"/>
      <c r="H2465" s="95"/>
    </row>
    <row r="2466" spans="1:8" x14ac:dyDescent="0.3">
      <c r="A2466" s="161">
        <f>1</f>
        <v>1</v>
      </c>
      <c r="B2466" s="107" t="s">
        <v>1628</v>
      </c>
      <c r="C2466" s="111">
        <f>'04a_Box_Dims'!$AE38</f>
        <v>10</v>
      </c>
      <c r="D2466" s="113"/>
      <c r="E2466" s="63" t="s">
        <v>1673</v>
      </c>
      <c r="F2466" s="150"/>
      <c r="G2466" s="107"/>
      <c r="H2466" s="95"/>
    </row>
    <row r="2467" spans="1:8" x14ac:dyDescent="0.3">
      <c r="A2467" s="161"/>
      <c r="B2467" s="107"/>
      <c r="C2467" s="111">
        <f>'04a_Box_Dims'!$J38</f>
        <v>13.4</v>
      </c>
      <c r="D2467" s="113"/>
      <c r="E2467" s="63"/>
      <c r="F2467" s="150"/>
      <c r="G2467" s="107"/>
      <c r="H2467" s="95"/>
    </row>
    <row r="2468" spans="1:8" x14ac:dyDescent="0.3">
      <c r="A2468" s="161"/>
      <c r="B2468" s="107"/>
      <c r="C2468" s="111">
        <f>'04a_Box_Dims'!$I38</f>
        <v>0.35000000000000003</v>
      </c>
      <c r="D2468" s="113">
        <f>$A2466*$C2466*$C2467*$C2468</f>
        <v>46.900000000000006</v>
      </c>
      <c r="E2468" s="63"/>
      <c r="F2468" s="150"/>
      <c r="G2468" s="107"/>
      <c r="H2468" s="95">
        <f>'04a_Box_Dims'!$I38</f>
        <v>0.35000000000000003</v>
      </c>
    </row>
    <row r="2469" spans="1:8" x14ac:dyDescent="0.3">
      <c r="A2469" s="161"/>
      <c r="B2469" s="107"/>
      <c r="C2469" s="111"/>
      <c r="D2469" s="113">
        <f>SUM($D$2466:$D$2468)</f>
        <v>46.900000000000006</v>
      </c>
      <c r="E2469" s="63" t="s">
        <v>1660</v>
      </c>
      <c r="F2469" s="150">
        <f>ROUND($D2469,2)</f>
        <v>46.9</v>
      </c>
      <c r="G2469" s="107" t="s">
        <v>1661</v>
      </c>
      <c r="H2469" s="95"/>
    </row>
    <row r="2470" spans="1:8" x14ac:dyDescent="0.3">
      <c r="A2470" s="161"/>
      <c r="B2470" s="107"/>
      <c r="C2470" s="111"/>
      <c r="D2470" s="113"/>
      <c r="E2470" s="63"/>
      <c r="F2470" s="150"/>
      <c r="G2470" s="107"/>
      <c r="H2470" s="95"/>
    </row>
    <row r="2471" spans="1:8" x14ac:dyDescent="0.3">
      <c r="A2471" s="161"/>
      <c r="B2471" s="107"/>
      <c r="C2471" s="111"/>
      <c r="D2471" s="113"/>
      <c r="E2471" s="149" t="s">
        <v>1674</v>
      </c>
      <c r="F2471" s="150"/>
      <c r="G2471" s="107"/>
      <c r="H2471" s="95"/>
    </row>
    <row r="2472" spans="1:8" x14ac:dyDescent="0.3">
      <c r="A2472" s="161"/>
      <c r="B2472" s="107"/>
      <c r="C2472" s="111"/>
      <c r="D2472" s="113"/>
      <c r="E2472" s="63" t="s">
        <v>1675</v>
      </c>
      <c r="F2472" s="150"/>
      <c r="G2472" s="107"/>
      <c r="H2472" s="95"/>
    </row>
    <row r="2473" spans="1:8" x14ac:dyDescent="0.3">
      <c r="A2473" s="161"/>
      <c r="B2473" s="107"/>
      <c r="C2473" s="111"/>
      <c r="D2473" s="113">
        <f>SUMIF($H$2466:$H$2468,"&lt;=0.3",$D$2466:$D$2468)</f>
        <v>0</v>
      </c>
      <c r="E2473" s="63" t="s">
        <v>1670</v>
      </c>
      <c r="F2473" s="150">
        <f>ROUND($D2473,2)</f>
        <v>0</v>
      </c>
      <c r="G2473" s="107" t="s">
        <v>1661</v>
      </c>
      <c r="H2473" s="95"/>
    </row>
    <row r="2474" spans="1:8" x14ac:dyDescent="0.3">
      <c r="A2474" s="161"/>
      <c r="B2474" s="107"/>
      <c r="C2474" s="111"/>
      <c r="D2474" s="113">
        <f>SUMIF($H$2466:$H$2468,"&gt;0.3",$D$2466:$D$2468)</f>
        <v>46.900000000000006</v>
      </c>
      <c r="E2474" s="63" t="s">
        <v>1671</v>
      </c>
      <c r="F2474" s="150">
        <f>ROUND($D2474,2)</f>
        <v>46.9</v>
      </c>
      <c r="G2474" s="107" t="s">
        <v>1661</v>
      </c>
      <c r="H2474" s="95"/>
    </row>
    <row r="2475" spans="1:8" x14ac:dyDescent="0.3">
      <c r="A2475" s="161"/>
      <c r="B2475" s="107"/>
      <c r="C2475" s="111"/>
      <c r="D2475" s="113"/>
      <c r="E2475" s="63"/>
      <c r="F2475" s="150"/>
      <c r="G2475" s="107"/>
      <c r="H2475" s="95"/>
    </row>
    <row r="2476" spans="1:8" x14ac:dyDescent="0.3">
      <c r="A2476" s="161"/>
      <c r="B2476" s="107"/>
      <c r="C2476" s="111"/>
      <c r="D2476" s="113"/>
      <c r="E2476" s="149" t="s">
        <v>1455</v>
      </c>
      <c r="F2476" s="150"/>
      <c r="G2476" s="107"/>
      <c r="H2476" s="95"/>
    </row>
    <row r="2477" spans="1:8" x14ac:dyDescent="0.3">
      <c r="A2477" s="161"/>
      <c r="B2477" s="107"/>
      <c r="C2477" s="111"/>
      <c r="D2477" s="113"/>
      <c r="E2477" s="63" t="s">
        <v>1676</v>
      </c>
      <c r="F2477" s="150"/>
      <c r="G2477" s="107"/>
      <c r="H2477" s="95"/>
    </row>
    <row r="2478" spans="1:8" x14ac:dyDescent="0.3">
      <c r="A2478" s="161">
        <f>2</f>
        <v>2</v>
      </c>
      <c r="B2478" s="107" t="s">
        <v>1628</v>
      </c>
      <c r="C2478" s="111">
        <f>'04a_Box_Dims'!$AE38</f>
        <v>10</v>
      </c>
      <c r="D2478" s="113"/>
      <c r="E2478" s="63" t="s">
        <v>1677</v>
      </c>
      <c r="F2478" s="150"/>
      <c r="G2478" s="107"/>
      <c r="H2478" s="95"/>
    </row>
    <row r="2479" spans="1:8" x14ac:dyDescent="0.3">
      <c r="A2479" s="161"/>
      <c r="B2479" s="107"/>
      <c r="C2479" s="111">
        <f>'04a_Box_Dims'!$E38</f>
        <v>4</v>
      </c>
      <c r="D2479" s="113"/>
      <c r="E2479" s="63"/>
      <c r="F2479" s="150"/>
      <c r="G2479" s="107"/>
      <c r="H2479" s="95"/>
    </row>
    <row r="2480" spans="1:8" x14ac:dyDescent="0.3">
      <c r="A2480" s="161"/>
      <c r="B2480" s="107"/>
      <c r="C2480" s="111">
        <f>'04a_Box_Dims'!$I38</f>
        <v>0.35000000000000003</v>
      </c>
      <c r="D2480" s="113">
        <f>$A2478*$C2478*$C2479*$C2480</f>
        <v>28.000000000000004</v>
      </c>
      <c r="E2480" s="63"/>
      <c r="F2480" s="150"/>
      <c r="G2480" s="107"/>
      <c r="H2480" s="95">
        <f>'04a_Box_Dims'!$I38</f>
        <v>0.35000000000000003</v>
      </c>
    </row>
    <row r="2481" spans="1:8" x14ac:dyDescent="0.3">
      <c r="A2481" s="161">
        <f>'04a_Box_Dims'!$C38-1</f>
        <v>2</v>
      </c>
      <c r="B2481" s="107" t="s">
        <v>1628</v>
      </c>
      <c r="C2481" s="111">
        <f>'04a_Box_Dims'!$AE38</f>
        <v>10</v>
      </c>
      <c r="D2481" s="113"/>
      <c r="E2481" s="63" t="s">
        <v>1678</v>
      </c>
      <c r="F2481" s="150"/>
      <c r="G2481" s="107"/>
      <c r="H2481" s="95"/>
    </row>
    <row r="2482" spans="1:8" x14ac:dyDescent="0.3">
      <c r="A2482" s="161"/>
      <c r="B2482" s="107"/>
      <c r="C2482" s="111">
        <f>'04a_Box_Dims'!$E38</f>
        <v>4</v>
      </c>
      <c r="D2482" s="113"/>
      <c r="E2482" s="63"/>
      <c r="F2482" s="150"/>
      <c r="G2482" s="107"/>
      <c r="H2482" s="95"/>
    </row>
    <row r="2483" spans="1:8" x14ac:dyDescent="0.3">
      <c r="A2483" s="161"/>
      <c r="B2483" s="107"/>
      <c r="C2483" s="111">
        <f>'04a_Box_Dims'!$I38</f>
        <v>0.35000000000000003</v>
      </c>
      <c r="D2483" s="113">
        <f>$A2481*$C2481*$C2482*$C2483</f>
        <v>28.000000000000004</v>
      </c>
      <c r="E2483" s="63"/>
      <c r="F2483" s="150"/>
      <c r="G2483" s="107"/>
      <c r="H2483" s="95">
        <f>'04a_Box_Dims'!$I38</f>
        <v>0.35000000000000003</v>
      </c>
    </row>
    <row r="2484" spans="1:8" x14ac:dyDescent="0.3">
      <c r="A2484" s="161">
        <f>4*'04a_Box_Dims'!$C38</f>
        <v>12</v>
      </c>
      <c r="B2484" s="107" t="s">
        <v>1628</v>
      </c>
      <c r="C2484" s="111">
        <f>'04a_Box_Dims'!$AE38</f>
        <v>10</v>
      </c>
      <c r="D2484" s="113"/>
      <c r="E2484" s="63" t="s">
        <v>1679</v>
      </c>
      <c r="F2484" s="150"/>
      <c r="G2484" s="107"/>
      <c r="H2484" s="95"/>
    </row>
    <row r="2485" spans="1:8" x14ac:dyDescent="0.3">
      <c r="A2485" s="161"/>
      <c r="B2485" s="107"/>
      <c r="C2485" s="111">
        <f>'04a_Box_Dims'!$N38</f>
        <v>0.15</v>
      </c>
      <c r="D2485" s="113"/>
      <c r="E2485" s="63"/>
      <c r="F2485" s="150"/>
      <c r="G2485" s="107"/>
      <c r="H2485" s="95"/>
    </row>
    <row r="2486" spans="1:8" x14ac:dyDescent="0.3">
      <c r="A2486" s="161"/>
      <c r="B2486" s="107"/>
      <c r="C2486" s="111">
        <f>'04a_Box_Dims'!$N38/2</f>
        <v>7.4999999999999997E-2</v>
      </c>
      <c r="D2486" s="113">
        <f>$A2484*$C2484*$C2485*$C2486</f>
        <v>1.3499999999999999</v>
      </c>
      <c r="E2486" s="63"/>
      <c r="F2486" s="150"/>
      <c r="G2486" s="107"/>
      <c r="H2486" s="95">
        <f>'04a_Box_Dims'!$N38</f>
        <v>0.15</v>
      </c>
    </row>
    <row r="2487" spans="1:8" x14ac:dyDescent="0.3">
      <c r="A2487" s="161">
        <f>2</f>
        <v>2</v>
      </c>
      <c r="B2487" s="107" t="s">
        <v>1628</v>
      </c>
      <c r="C2487" s="111">
        <f>'04a_Box_Dims'!$J38</f>
        <v>13.4</v>
      </c>
      <c r="D2487" s="113"/>
      <c r="E2487" s="63" t="s">
        <v>1680</v>
      </c>
      <c r="F2487" s="150"/>
      <c r="G2487" s="107"/>
      <c r="H2487" s="95"/>
    </row>
    <row r="2488" spans="1:8" x14ac:dyDescent="0.3">
      <c r="A2488" s="161"/>
      <c r="B2488" s="107"/>
      <c r="C2488" s="111">
        <f>'04a_Box_Dims'!$U38</f>
        <v>0.6</v>
      </c>
      <c r="D2488" s="113"/>
      <c r="E2488" s="63"/>
      <c r="F2488" s="150"/>
      <c r="G2488" s="107"/>
      <c r="H2488" s="95"/>
    </row>
    <row r="2489" spans="1:8" x14ac:dyDescent="0.3">
      <c r="A2489" s="161"/>
      <c r="B2489" s="107"/>
      <c r="C2489" s="111">
        <f>'04a_Box_Dims'!$V38</f>
        <v>0.35000000000000003</v>
      </c>
      <c r="D2489" s="113">
        <f>$A2487*$C2487*$C2488*$C2489</f>
        <v>5.6280000000000001</v>
      </c>
      <c r="E2489" s="63"/>
      <c r="F2489" s="150"/>
      <c r="G2489" s="107"/>
      <c r="H2489" s="95">
        <f>'04a_Box_Dims'!$V38</f>
        <v>0.35000000000000003</v>
      </c>
    </row>
    <row r="2490" spans="1:8" x14ac:dyDescent="0.3">
      <c r="A2490" s="161">
        <f>4</f>
        <v>4</v>
      </c>
      <c r="B2490" s="107" t="s">
        <v>1628</v>
      </c>
      <c r="C2490" s="111">
        <f>'04a_Box_Dims'!$Z38</f>
        <v>2.1213203435596424</v>
      </c>
      <c r="D2490" s="113"/>
      <c r="E2490" s="63" t="s">
        <v>1681</v>
      </c>
      <c r="F2490" s="150"/>
      <c r="G2490" s="107"/>
      <c r="H2490" s="95"/>
    </row>
    <row r="2491" spans="1:8" x14ac:dyDescent="0.3">
      <c r="A2491" s="161"/>
      <c r="B2491" s="107"/>
      <c r="C2491" s="111">
        <f>'04a_Box_Dims'!$Y38</f>
        <v>5.1928932188134524</v>
      </c>
      <c r="D2491" s="113"/>
      <c r="E2491" s="63"/>
      <c r="F2491" s="150"/>
      <c r="G2491" s="107"/>
      <c r="H2491" s="95"/>
    </row>
    <row r="2492" spans="1:8" x14ac:dyDescent="0.3">
      <c r="A2492" s="161"/>
      <c r="B2492" s="107"/>
      <c r="C2492" s="111">
        <f>'04a_Box_Dims'!$AB38</f>
        <v>0.49</v>
      </c>
      <c r="D2492" s="113">
        <f>$A2490*$C2490*$C2491*$C2492</f>
        <v>21.590948452923705</v>
      </c>
      <c r="E2492" s="63"/>
      <c r="F2492" s="150"/>
      <c r="G2492" s="107"/>
      <c r="H2492" s="95">
        <f>'04a_Box_Dims'!$AB38</f>
        <v>0.49</v>
      </c>
    </row>
    <row r="2493" spans="1:8" x14ac:dyDescent="0.3">
      <c r="A2493" s="161"/>
      <c r="B2493" s="107"/>
      <c r="C2493" s="111"/>
      <c r="D2493" s="113">
        <f>SUM($D$2478:$D$2492)</f>
        <v>84.568948452923706</v>
      </c>
      <c r="E2493" s="63" t="s">
        <v>1660</v>
      </c>
      <c r="F2493" s="150">
        <f>ROUND($D2493,2)</f>
        <v>84.57</v>
      </c>
      <c r="G2493" s="107" t="s">
        <v>1661</v>
      </c>
      <c r="H2493" s="95"/>
    </row>
    <row r="2494" spans="1:8" x14ac:dyDescent="0.3">
      <c r="A2494" s="161"/>
      <c r="B2494" s="107"/>
      <c r="C2494" s="111"/>
      <c r="D2494" s="113"/>
      <c r="E2494" s="63"/>
      <c r="F2494" s="150"/>
      <c r="G2494" s="107"/>
      <c r="H2494" s="95"/>
    </row>
    <row r="2495" spans="1:8" x14ac:dyDescent="0.3">
      <c r="A2495" s="161"/>
      <c r="B2495" s="107"/>
      <c r="C2495" s="111"/>
      <c r="D2495" s="113"/>
      <c r="E2495" s="149" t="s">
        <v>1682</v>
      </c>
      <c r="F2495" s="150"/>
      <c r="G2495" s="107"/>
      <c r="H2495" s="95"/>
    </row>
    <row r="2496" spans="1:8" x14ac:dyDescent="0.3">
      <c r="A2496" s="161"/>
      <c r="B2496" s="107"/>
      <c r="C2496" s="111"/>
      <c r="D2496" s="113"/>
      <c r="E2496" s="63" t="s">
        <v>1683</v>
      </c>
      <c r="F2496" s="150"/>
      <c r="G2496" s="107"/>
      <c r="H2496" s="95"/>
    </row>
    <row r="2497" spans="1:8" x14ac:dyDescent="0.3">
      <c r="A2497" s="161"/>
      <c r="B2497" s="107"/>
      <c r="C2497" s="111"/>
      <c r="D2497" s="113">
        <f>SUMIF($H$2478:$H$2492,"&lt;=0.3",$D$2478:$D$2492)</f>
        <v>1.3499999999999999</v>
      </c>
      <c r="E2497" s="63" t="s">
        <v>1670</v>
      </c>
      <c r="F2497" s="150">
        <f>ROUND($D2497,2)</f>
        <v>1.35</v>
      </c>
      <c r="G2497" s="107" t="s">
        <v>1661</v>
      </c>
      <c r="H2497" s="95"/>
    </row>
    <row r="2498" spans="1:8" x14ac:dyDescent="0.3">
      <c r="A2498" s="161"/>
      <c r="B2498" s="107"/>
      <c r="C2498" s="111"/>
      <c r="D2498" s="113">
        <f>SUMIF($H$2478:$H$2492,"&gt;0.3",$D$2478:$D$2492)</f>
        <v>83.218948452923712</v>
      </c>
      <c r="E2498" s="63" t="s">
        <v>1671</v>
      </c>
      <c r="F2498" s="150">
        <f>ROUND($D2498,2)</f>
        <v>83.22</v>
      </c>
      <c r="G2498" s="107" t="s">
        <v>1661</v>
      </c>
      <c r="H2498" s="95"/>
    </row>
    <row r="2499" spans="1:8" x14ac:dyDescent="0.3">
      <c r="A2499" s="161"/>
      <c r="B2499" s="107"/>
      <c r="C2499" s="111"/>
      <c r="D2499" s="113"/>
      <c r="E2499" s="63"/>
      <c r="F2499" s="150"/>
      <c r="G2499" s="107"/>
      <c r="H2499" s="95"/>
    </row>
    <row r="2500" spans="1:8" x14ac:dyDescent="0.3">
      <c r="A2500" s="161"/>
      <c r="B2500" s="107"/>
      <c r="C2500" s="111"/>
      <c r="D2500" s="113"/>
      <c r="E2500" s="149" t="s">
        <v>1445</v>
      </c>
      <c r="F2500" s="150"/>
      <c r="G2500" s="107"/>
      <c r="H2500" s="95"/>
    </row>
    <row r="2501" spans="1:8" x14ac:dyDescent="0.3">
      <c r="A2501" s="161"/>
      <c r="B2501" s="107"/>
      <c r="C2501" s="111"/>
      <c r="D2501" s="113"/>
      <c r="E2501" s="63" t="s">
        <v>1684</v>
      </c>
      <c r="F2501" s="150"/>
      <c r="G2501" s="107"/>
      <c r="H2501" s="95"/>
    </row>
    <row r="2502" spans="1:8" x14ac:dyDescent="0.3">
      <c r="A2502" s="161">
        <f>2</f>
        <v>2</v>
      </c>
      <c r="B2502" s="107" t="s">
        <v>1628</v>
      </c>
      <c r="C2502" s="111">
        <f>'04a_Box_Dims'!$AE38</f>
        <v>10</v>
      </c>
      <c r="D2502" s="113"/>
      <c r="E2502" s="63" t="s">
        <v>1685</v>
      </c>
      <c r="F2502" s="150"/>
      <c r="G2502" s="107"/>
      <c r="H2502" s="95"/>
    </row>
    <row r="2503" spans="1:8" x14ac:dyDescent="0.3">
      <c r="A2503" s="161"/>
      <c r="B2503" s="107"/>
      <c r="C2503" s="111">
        <f>'04a_Box_Dims'!$E38</f>
        <v>4</v>
      </c>
      <c r="D2503" s="113">
        <f>$A2502*$C2502*$C2503</f>
        <v>80</v>
      </c>
      <c r="E2503" s="63"/>
      <c r="F2503" s="150"/>
      <c r="G2503" s="107"/>
      <c r="H2503" s="95"/>
    </row>
    <row r="2504" spans="1:8" x14ac:dyDescent="0.3">
      <c r="A2504" s="161">
        <f>4</f>
        <v>4</v>
      </c>
      <c r="B2504" s="107" t="s">
        <v>1628</v>
      </c>
      <c r="C2504" s="111">
        <f>'04a_Box_Dims'!$Z38</f>
        <v>2.1213203435596424</v>
      </c>
      <c r="D2504" s="113"/>
      <c r="E2504" s="63" t="s">
        <v>1686</v>
      </c>
      <c r="F2504" s="150"/>
      <c r="G2504" s="107"/>
      <c r="H2504" s="95"/>
    </row>
    <row r="2505" spans="1:8" x14ac:dyDescent="0.3">
      <c r="A2505" s="161"/>
      <c r="B2505" s="107"/>
      <c r="C2505" s="111">
        <f>'04a_Box_Dims'!$Y38</f>
        <v>5.1928932188134524</v>
      </c>
      <c r="D2505" s="113">
        <f>$A2504*$C2504*$C2505</f>
        <v>44.063160108007558</v>
      </c>
      <c r="E2505" s="63"/>
      <c r="F2505" s="150"/>
      <c r="G2505" s="107"/>
      <c r="H2505" s="95"/>
    </row>
    <row r="2506" spans="1:8" x14ac:dyDescent="0.3">
      <c r="A2506" s="161">
        <f>2</f>
        <v>2</v>
      </c>
      <c r="B2506" s="107" t="s">
        <v>1628</v>
      </c>
      <c r="C2506" s="111">
        <f>'04a_Box_Dims'!$J38</f>
        <v>13.4</v>
      </c>
      <c r="D2506" s="113"/>
      <c r="E2506" s="63" t="s">
        <v>1687</v>
      </c>
      <c r="F2506" s="150"/>
      <c r="G2506" s="107"/>
      <c r="H2506" s="95"/>
    </row>
    <row r="2507" spans="1:8" x14ac:dyDescent="0.3">
      <c r="A2507" s="161"/>
      <c r="B2507" s="107"/>
      <c r="C2507" s="111">
        <f>'04a_Box_Dims'!$U38</f>
        <v>0.6</v>
      </c>
      <c r="D2507" s="113">
        <f>$A2506*$C2506*$C2507</f>
        <v>16.079999999999998</v>
      </c>
      <c r="E2507" s="63"/>
      <c r="F2507" s="150"/>
      <c r="G2507" s="107"/>
      <c r="H2507" s="95"/>
    </row>
    <row r="2508" spans="1:8" x14ac:dyDescent="0.3">
      <c r="A2508" s="161"/>
      <c r="B2508" s="107"/>
      <c r="C2508" s="111"/>
      <c r="D2508" s="113">
        <f>SUM($D$2502:$D$2507)</f>
        <v>140.14316010800758</v>
      </c>
      <c r="E2508" s="63" t="s">
        <v>1660</v>
      </c>
      <c r="F2508" s="150">
        <f>ROUND($D2508,2)</f>
        <v>140.13999999999999</v>
      </c>
      <c r="G2508" s="107" t="s">
        <v>1688</v>
      </c>
      <c r="H2508" s="95"/>
    </row>
    <row r="2509" spans="1:8" x14ac:dyDescent="0.3">
      <c r="A2509" s="161"/>
      <c r="B2509" s="107"/>
      <c r="C2509" s="111"/>
      <c r="D2509" s="113"/>
      <c r="E2509" s="63"/>
      <c r="F2509" s="150"/>
      <c r="G2509" s="107"/>
      <c r="H2509" s="95"/>
    </row>
    <row r="2510" spans="1:8" x14ac:dyDescent="0.3">
      <c r="A2510" s="161"/>
      <c r="B2510" s="107"/>
      <c r="C2510" s="111"/>
      <c r="D2510" s="113"/>
      <c r="E2510" s="149" t="s">
        <v>1446</v>
      </c>
      <c r="F2510" s="150"/>
      <c r="G2510" s="107"/>
      <c r="H2510" s="95"/>
    </row>
    <row r="2511" spans="1:8" x14ac:dyDescent="0.3">
      <c r="A2511" s="161"/>
      <c r="B2511" s="107"/>
      <c r="C2511" s="111"/>
      <c r="D2511" s="113"/>
      <c r="E2511" s="63" t="s">
        <v>1689</v>
      </c>
      <c r="F2511" s="150"/>
      <c r="G2511" s="107"/>
      <c r="H2511" s="95"/>
    </row>
    <row r="2512" spans="1:8" x14ac:dyDescent="0.3">
      <c r="A2512" s="161">
        <f>2</f>
        <v>2</v>
      </c>
      <c r="B2512" s="107" t="s">
        <v>1628</v>
      </c>
      <c r="C2512" s="111">
        <f>'04a_Box_Dims'!$O38</f>
        <v>1.5</v>
      </c>
      <c r="D2512" s="113"/>
      <c r="E2512" s="63" t="s">
        <v>1690</v>
      </c>
      <c r="F2512" s="150"/>
      <c r="G2512" s="107"/>
      <c r="H2512" s="95"/>
    </row>
    <row r="2513" spans="1:8" x14ac:dyDescent="0.3">
      <c r="A2513" s="161"/>
      <c r="B2513" s="107"/>
      <c r="C2513" s="111">
        <f>'04a_Box_Dims'!$Q38</f>
        <v>14.9</v>
      </c>
      <c r="D2513" s="113">
        <f>$A2512*$C2512*$C2513</f>
        <v>44.7</v>
      </c>
      <c r="E2513" s="63"/>
      <c r="F2513" s="150"/>
      <c r="G2513" s="107"/>
      <c r="H2513" s="95"/>
    </row>
    <row r="2514" spans="1:8" x14ac:dyDescent="0.3">
      <c r="A2514" s="161"/>
      <c r="B2514" s="107"/>
      <c r="C2514" s="111"/>
      <c r="D2514" s="113">
        <f>SUM($D$2512:$D$2513)</f>
        <v>44.7</v>
      </c>
      <c r="E2514" s="63" t="s">
        <v>1660</v>
      </c>
      <c r="F2514" s="150">
        <f>ROUND($D2514,2)</f>
        <v>44.7</v>
      </c>
      <c r="G2514" s="107" t="s">
        <v>1688</v>
      </c>
      <c r="H2514" s="95"/>
    </row>
    <row r="2515" spans="1:8" x14ac:dyDescent="0.3">
      <c r="A2515" s="161"/>
      <c r="B2515" s="107"/>
      <c r="C2515" s="111"/>
      <c r="D2515" s="113"/>
      <c r="E2515" s="63"/>
      <c r="F2515" s="150"/>
      <c r="G2515" s="107"/>
      <c r="H2515" s="95"/>
    </row>
    <row r="2516" spans="1:8" x14ac:dyDescent="0.3">
      <c r="A2516" s="161"/>
      <c r="B2516" s="107"/>
      <c r="C2516" s="111"/>
      <c r="D2516" s="113"/>
      <c r="E2516" s="149" t="s">
        <v>1447</v>
      </c>
      <c r="F2516" s="150"/>
      <c r="G2516" s="107"/>
      <c r="H2516" s="95"/>
    </row>
    <row r="2517" spans="1:8" x14ac:dyDescent="0.3">
      <c r="A2517" s="161"/>
      <c r="B2517" s="107"/>
      <c r="C2517" s="111"/>
      <c r="D2517" s="113"/>
      <c r="E2517" s="63" t="s">
        <v>1691</v>
      </c>
      <c r="F2517" s="150"/>
      <c r="G2517" s="107"/>
      <c r="H2517" s="95"/>
    </row>
    <row r="2518" spans="1:8" x14ac:dyDescent="0.3">
      <c r="A2518" s="161">
        <f>4</f>
        <v>4</v>
      </c>
      <c r="B2518" s="107" t="s">
        <v>1628</v>
      </c>
      <c r="C2518" s="111">
        <f>'04a_Box_Dims'!$J38</f>
        <v>13.4</v>
      </c>
      <c r="D2518" s="113"/>
      <c r="E2518" s="63" t="s">
        <v>1692</v>
      </c>
      <c r="F2518" s="150"/>
      <c r="G2518" s="107"/>
      <c r="H2518" s="95"/>
    </row>
    <row r="2519" spans="1:8" x14ac:dyDescent="0.3">
      <c r="A2519" s="161"/>
      <c r="B2519" s="107"/>
      <c r="C2519" s="111">
        <f>'04a_Box_Dims'!$I38</f>
        <v>0.35000000000000003</v>
      </c>
      <c r="D2519" s="113">
        <f>$A2518*$C2518*$C2519</f>
        <v>18.760000000000002</v>
      </c>
      <c r="E2519" s="63"/>
      <c r="F2519" s="150"/>
      <c r="G2519" s="107"/>
      <c r="H2519" s="95"/>
    </row>
    <row r="2520" spans="1:8" x14ac:dyDescent="0.3">
      <c r="A2520" s="161">
        <f>4</f>
        <v>4</v>
      </c>
      <c r="B2520" s="107" t="s">
        <v>1628</v>
      </c>
      <c r="C2520" s="111">
        <f>'04a_Box_Dims'!$O38</f>
        <v>1.5</v>
      </c>
      <c r="D2520" s="113"/>
      <c r="E2520" s="63" t="s">
        <v>1693</v>
      </c>
      <c r="F2520" s="150"/>
      <c r="G2520" s="107"/>
      <c r="H2520" s="95"/>
    </row>
    <row r="2521" spans="1:8" x14ac:dyDescent="0.3">
      <c r="A2521" s="161"/>
      <c r="B2521" s="107"/>
      <c r="C2521" s="111">
        <f>'04a_Box_Dims'!$P38</f>
        <v>0.35000000000000003</v>
      </c>
      <c r="D2521" s="113">
        <f>$A2520*$C2520*$C2521</f>
        <v>2.1</v>
      </c>
      <c r="E2521" s="63"/>
      <c r="F2521" s="150"/>
      <c r="G2521" s="107"/>
      <c r="H2521" s="95"/>
    </row>
    <row r="2522" spans="1:8" x14ac:dyDescent="0.3">
      <c r="A2522" s="161"/>
      <c r="B2522" s="107"/>
      <c r="C2522" s="111"/>
      <c r="D2522" s="113">
        <f>SUM($D$2518:$D$2521)</f>
        <v>20.860000000000003</v>
      </c>
      <c r="E2522" s="63" t="s">
        <v>1660</v>
      </c>
      <c r="F2522" s="150">
        <f>ROUND($D2522,2)</f>
        <v>20.86</v>
      </c>
      <c r="G2522" s="107" t="s">
        <v>1688</v>
      </c>
      <c r="H2522" s="95"/>
    </row>
    <row r="2523" spans="1:8" x14ac:dyDescent="0.3">
      <c r="A2523" s="161"/>
      <c r="B2523" s="107"/>
      <c r="C2523" s="111"/>
      <c r="D2523" s="113"/>
      <c r="E2523" s="63"/>
      <c r="F2523" s="150"/>
      <c r="G2523" s="107"/>
      <c r="H2523" s="95"/>
    </row>
    <row r="2524" spans="1:8" x14ac:dyDescent="0.3">
      <c r="A2524" s="161"/>
      <c r="B2524" s="107"/>
      <c r="C2524" s="111"/>
      <c r="D2524" s="113"/>
      <c r="E2524" s="149" t="s">
        <v>1448</v>
      </c>
      <c r="F2524" s="150"/>
      <c r="G2524" s="107"/>
      <c r="H2524" s="95"/>
    </row>
    <row r="2525" spans="1:8" x14ac:dyDescent="0.3">
      <c r="A2525" s="161"/>
      <c r="B2525" s="107"/>
      <c r="C2525" s="111"/>
      <c r="D2525" s="113"/>
      <c r="E2525" s="63" t="s">
        <v>1694</v>
      </c>
      <c r="F2525" s="150"/>
      <c r="G2525" s="107"/>
      <c r="H2525" s="95"/>
    </row>
    <row r="2526" spans="1:8" x14ac:dyDescent="0.3">
      <c r="A2526" s="161">
        <f>1</f>
        <v>1</v>
      </c>
      <c r="B2526" s="107" t="s">
        <v>1628</v>
      </c>
      <c r="C2526" s="111">
        <f>'04a_Box_Dims'!$AE38</f>
        <v>10</v>
      </c>
      <c r="D2526" s="113"/>
      <c r="E2526" s="63" t="s">
        <v>1695</v>
      </c>
      <c r="F2526" s="150"/>
      <c r="G2526" s="107"/>
      <c r="H2526" s="95"/>
    </row>
    <row r="2527" spans="1:8" x14ac:dyDescent="0.3">
      <c r="A2527" s="161"/>
      <c r="B2527" s="107"/>
      <c r="C2527" s="111">
        <f>'04a_Box_Dims'!$K38</f>
        <v>12.7</v>
      </c>
      <c r="D2527" s="113">
        <f>$A2526*$C2526*$C2527</f>
        <v>127</v>
      </c>
      <c r="E2527" s="63"/>
      <c r="F2527" s="150"/>
      <c r="G2527" s="107"/>
      <c r="H2527" s="95"/>
    </row>
    <row r="2528" spans="1:8" x14ac:dyDescent="0.3">
      <c r="A2528" s="161"/>
      <c r="B2528" s="107"/>
      <c r="C2528" s="111"/>
      <c r="D2528" s="113">
        <f>SUM($D$2526:$D$2527)</f>
        <v>127</v>
      </c>
      <c r="E2528" s="63" t="s">
        <v>1660</v>
      </c>
      <c r="F2528" s="150">
        <f>ROUND($D2528,2)</f>
        <v>127</v>
      </c>
      <c r="G2528" s="107" t="s">
        <v>1688</v>
      </c>
      <c r="H2528" s="95"/>
    </row>
    <row r="2529" spans="1:8" x14ac:dyDescent="0.3">
      <c r="A2529" s="161"/>
      <c r="B2529" s="107"/>
      <c r="C2529" s="111"/>
      <c r="D2529" s="113"/>
      <c r="E2529" s="63"/>
      <c r="F2529" s="150"/>
      <c r="G2529" s="107"/>
      <c r="H2529" s="95"/>
    </row>
    <row r="2530" spans="1:8" x14ac:dyDescent="0.3">
      <c r="A2530" s="161"/>
      <c r="B2530" s="107"/>
      <c r="C2530" s="111"/>
      <c r="D2530" s="113"/>
      <c r="E2530" s="149" t="s">
        <v>1449</v>
      </c>
      <c r="F2530" s="150"/>
      <c r="G2530" s="107"/>
      <c r="H2530" s="95"/>
    </row>
    <row r="2531" spans="1:8" x14ac:dyDescent="0.3">
      <c r="A2531" s="161"/>
      <c r="B2531" s="107"/>
      <c r="C2531" s="111"/>
      <c r="D2531" s="113"/>
      <c r="E2531" s="63" t="s">
        <v>1696</v>
      </c>
      <c r="F2531" s="150"/>
      <c r="G2531" s="107"/>
      <c r="H2531" s="95"/>
    </row>
    <row r="2532" spans="1:8" x14ac:dyDescent="0.3">
      <c r="A2532" s="161">
        <f>2</f>
        <v>2</v>
      </c>
      <c r="B2532" s="107" t="s">
        <v>1628</v>
      </c>
      <c r="C2532" s="111">
        <f>'04a_Box_Dims'!$J38</f>
        <v>13.4</v>
      </c>
      <c r="D2532" s="113"/>
      <c r="E2532" s="63" t="s">
        <v>1697</v>
      </c>
      <c r="F2532" s="150"/>
      <c r="G2532" s="107"/>
      <c r="H2532" s="95"/>
    </row>
    <row r="2533" spans="1:8" x14ac:dyDescent="0.3">
      <c r="A2533" s="161"/>
      <c r="B2533" s="107"/>
      <c r="C2533" s="111">
        <f>'04a_Box_Dims'!$U38</f>
        <v>0.6</v>
      </c>
      <c r="D2533" s="113">
        <f>$A2532*$C2532*$C2533</f>
        <v>16.079999999999998</v>
      </c>
      <c r="E2533" s="63"/>
      <c r="F2533" s="150"/>
      <c r="G2533" s="107"/>
      <c r="H2533" s="95"/>
    </row>
    <row r="2534" spans="1:8" x14ac:dyDescent="0.3">
      <c r="A2534" s="161"/>
      <c r="B2534" s="107"/>
      <c r="C2534" s="111"/>
      <c r="D2534" s="113">
        <f>SUM($D$2532:$D$2533)</f>
        <v>16.079999999999998</v>
      </c>
      <c r="E2534" s="63" t="s">
        <v>1660</v>
      </c>
      <c r="F2534" s="150">
        <f>ROUND($D2534,2)</f>
        <v>16.079999999999998</v>
      </c>
      <c r="G2534" s="107" t="s">
        <v>1688</v>
      </c>
      <c r="H2534" s="95"/>
    </row>
    <row r="2535" spans="1:8" x14ac:dyDescent="0.3">
      <c r="A2535" s="161"/>
      <c r="B2535" s="107"/>
      <c r="C2535" s="111"/>
      <c r="D2535" s="113"/>
      <c r="E2535" s="63"/>
      <c r="F2535" s="150"/>
      <c r="G2535" s="107"/>
      <c r="H2535" s="95"/>
    </row>
    <row r="2536" spans="1:8" x14ac:dyDescent="0.3">
      <c r="A2536" s="161"/>
      <c r="B2536" s="107"/>
      <c r="C2536" s="111"/>
      <c r="D2536" s="113"/>
      <c r="E2536" s="149" t="s">
        <v>1329</v>
      </c>
      <c r="F2536" s="150"/>
      <c r="G2536" s="107"/>
      <c r="H2536" s="95"/>
    </row>
    <row r="2537" spans="1:8" x14ac:dyDescent="0.3">
      <c r="A2537" s="161"/>
      <c r="B2537" s="107"/>
      <c r="C2537" s="111"/>
      <c r="D2537" s="113"/>
      <c r="E2537" s="63" t="s">
        <v>1698</v>
      </c>
      <c r="F2537" s="150"/>
      <c r="G2537" s="107"/>
      <c r="H2537" s="95"/>
    </row>
    <row r="2538" spans="1:8" x14ac:dyDescent="0.3">
      <c r="A2538" s="161">
        <f>2</f>
        <v>2</v>
      </c>
      <c r="B2538" s="107" t="s">
        <v>1628</v>
      </c>
      <c r="C2538" s="111">
        <f>'04a_Box_Dims'!$AE38</f>
        <v>10</v>
      </c>
      <c r="D2538" s="113"/>
      <c r="E2538" s="63" t="s">
        <v>1699</v>
      </c>
      <c r="F2538" s="150"/>
      <c r="G2538" s="107"/>
      <c r="H2538" s="95"/>
    </row>
    <row r="2539" spans="1:8" x14ac:dyDescent="0.3">
      <c r="A2539" s="161"/>
      <c r="B2539" s="107"/>
      <c r="C2539" s="111">
        <f>'04a_Box_Dims'!$E38</f>
        <v>4</v>
      </c>
      <c r="D2539" s="113">
        <f>$A2538*$C2538*$C2539</f>
        <v>80</v>
      </c>
      <c r="E2539" s="63"/>
      <c r="F2539" s="150"/>
      <c r="G2539" s="107"/>
      <c r="H2539" s="95"/>
    </row>
    <row r="2540" spans="1:8" x14ac:dyDescent="0.3">
      <c r="A2540" s="161">
        <f>('04a_Box_Dims'!$C38-1)*2</f>
        <v>4</v>
      </c>
      <c r="B2540" s="107" t="s">
        <v>1628</v>
      </c>
      <c r="C2540" s="111">
        <f>'04a_Box_Dims'!$AE38</f>
        <v>10</v>
      </c>
      <c r="D2540" s="113"/>
      <c r="E2540" s="63" t="s">
        <v>1700</v>
      </c>
      <c r="F2540" s="150"/>
      <c r="G2540" s="107"/>
      <c r="H2540" s="95"/>
    </row>
    <row r="2541" spans="1:8" x14ac:dyDescent="0.3">
      <c r="A2541" s="161"/>
      <c r="B2541" s="107"/>
      <c r="C2541" s="111">
        <f>'04a_Box_Dims'!$E38</f>
        <v>4</v>
      </c>
      <c r="D2541" s="113">
        <f>$A2540*$C2540*$C2541</f>
        <v>160</v>
      </c>
      <c r="E2541" s="63"/>
      <c r="F2541" s="150"/>
      <c r="G2541" s="107"/>
      <c r="H2541" s="95"/>
    </row>
    <row r="2542" spans="1:8" x14ac:dyDescent="0.3">
      <c r="A2542" s="161">
        <f>4</f>
        <v>4</v>
      </c>
      <c r="B2542" s="107" t="s">
        <v>1628</v>
      </c>
      <c r="C2542" s="111">
        <f>'04a_Box_Dims'!$Z38</f>
        <v>2.1213203435596424</v>
      </c>
      <c r="D2542" s="113"/>
      <c r="E2542" s="63" t="s">
        <v>1701</v>
      </c>
      <c r="F2542" s="150"/>
      <c r="G2542" s="107"/>
      <c r="H2542" s="95"/>
    </row>
    <row r="2543" spans="1:8" x14ac:dyDescent="0.3">
      <c r="A2543" s="161"/>
      <c r="B2543" s="107"/>
      <c r="C2543" s="111">
        <f>'04a_Box_Dims'!$Y38</f>
        <v>5.1928932188134524</v>
      </c>
      <c r="D2543" s="113">
        <f>$A2542*$C2542*$C2543</f>
        <v>44.063160108007558</v>
      </c>
      <c r="E2543" s="63"/>
      <c r="F2543" s="150"/>
      <c r="G2543" s="107"/>
      <c r="H2543" s="95"/>
    </row>
    <row r="2544" spans="1:8" x14ac:dyDescent="0.3">
      <c r="A2544" s="161"/>
      <c r="B2544" s="107"/>
      <c r="C2544" s="111"/>
      <c r="D2544" s="113">
        <f>SUM($D$2538:$D$2543)</f>
        <v>284.06316010800754</v>
      </c>
      <c r="E2544" s="63" t="s">
        <v>1660</v>
      </c>
      <c r="F2544" s="150">
        <f>ROUND($D2544,2)</f>
        <v>284.06</v>
      </c>
      <c r="G2544" s="107" t="s">
        <v>1688</v>
      </c>
      <c r="H2544" s="95"/>
    </row>
    <row r="2545" spans="1:8" x14ac:dyDescent="0.3">
      <c r="A2545" s="161"/>
      <c r="B2545" s="107"/>
      <c r="C2545" s="111"/>
      <c r="D2545" s="113"/>
      <c r="E2545" s="63"/>
      <c r="F2545" s="150"/>
      <c r="G2545" s="107"/>
      <c r="H2545" s="95"/>
    </row>
    <row r="2546" spans="1:8" x14ac:dyDescent="0.3">
      <c r="A2546" s="161"/>
      <c r="B2546" s="107"/>
      <c r="C2546" s="111"/>
      <c r="D2546" s="113"/>
      <c r="E2546" s="149" t="s">
        <v>1702</v>
      </c>
      <c r="F2546" s="150"/>
      <c r="G2546" s="107"/>
      <c r="H2546" s="95"/>
    </row>
    <row r="2547" spans="1:8" x14ac:dyDescent="0.3">
      <c r="A2547" s="161"/>
      <c r="B2547" s="107"/>
      <c r="C2547" s="111"/>
      <c r="D2547" s="113"/>
      <c r="E2547" s="63" t="s">
        <v>1703</v>
      </c>
      <c r="F2547" s="150"/>
      <c r="G2547" s="107"/>
      <c r="H2547" s="95"/>
    </row>
    <row r="2548" spans="1:8" x14ac:dyDescent="0.3">
      <c r="A2548" s="161"/>
      <c r="B2548" s="107"/>
      <c r="C2548" s="111"/>
      <c r="D2548" s="113">
        <v>0</v>
      </c>
      <c r="E2548" s="63" t="s">
        <v>1704</v>
      </c>
      <c r="F2548" s="150">
        <f t="shared" ref="F2548:F2553" si="16">ROUND($D2548,3)</f>
        <v>0</v>
      </c>
      <c r="G2548" s="107" t="s">
        <v>1474</v>
      </c>
      <c r="H2548" s="95"/>
    </row>
    <row r="2549" spans="1:8" x14ac:dyDescent="0.3">
      <c r="A2549" s="161"/>
      <c r="B2549" s="107"/>
      <c r="C2549" s="111"/>
      <c r="D2549" s="113">
        <f>'04b_Box_Bars'!$S25/1000</f>
        <v>3.4032873216338229</v>
      </c>
      <c r="E2549" s="63" t="s">
        <v>1705</v>
      </c>
      <c r="F2549" s="150">
        <f t="shared" si="16"/>
        <v>3.403</v>
      </c>
      <c r="G2549" s="107" t="s">
        <v>1474</v>
      </c>
      <c r="H2549" s="95"/>
    </row>
    <row r="2550" spans="1:8" x14ac:dyDescent="0.3">
      <c r="A2550" s="161"/>
      <c r="B2550" s="107"/>
      <c r="C2550" s="111"/>
      <c r="D2550" s="113">
        <f>'04b_Box_Bars'!$T25/1000</f>
        <v>10.146237656392538</v>
      </c>
      <c r="E2550" s="63" t="s">
        <v>1706</v>
      </c>
      <c r="F2550" s="150">
        <f t="shared" si="16"/>
        <v>10.146000000000001</v>
      </c>
      <c r="G2550" s="107" t="s">
        <v>1474</v>
      </c>
      <c r="H2550" s="95"/>
    </row>
    <row r="2551" spans="1:8" x14ac:dyDescent="0.3">
      <c r="A2551" s="161"/>
      <c r="B2551" s="107"/>
      <c r="C2551" s="111"/>
      <c r="D2551" s="113">
        <f>'04b_Box_Bars'!$U25/1000</f>
        <v>7.7763043733137076</v>
      </c>
      <c r="E2551" s="63" t="s">
        <v>1707</v>
      </c>
      <c r="F2551" s="150">
        <f t="shared" si="16"/>
        <v>7.7759999999999998</v>
      </c>
      <c r="G2551" s="107" t="s">
        <v>1474</v>
      </c>
      <c r="H2551" s="95"/>
    </row>
    <row r="2552" spans="1:8" x14ac:dyDescent="0.3">
      <c r="A2552" s="161"/>
      <c r="B2552" s="107"/>
      <c r="C2552" s="111"/>
      <c r="D2552" s="113">
        <f>'04b_Box_Bars'!$V25/1000</f>
        <v>0</v>
      </c>
      <c r="E2552" s="63" t="s">
        <v>1708</v>
      </c>
      <c r="F2552" s="150">
        <f t="shared" si="16"/>
        <v>0</v>
      </c>
      <c r="G2552" s="107" t="s">
        <v>1474</v>
      </c>
      <c r="H2552" s="95"/>
    </row>
    <row r="2553" spans="1:8" x14ac:dyDescent="0.3">
      <c r="A2553" s="161"/>
      <c r="B2553" s="107"/>
      <c r="C2553" s="111"/>
      <c r="D2553" s="113">
        <f>'04b_Box_Bars'!$W25/1000</f>
        <v>1.5721707735808423</v>
      </c>
      <c r="E2553" s="63" t="s">
        <v>1709</v>
      </c>
      <c r="F2553" s="150">
        <f t="shared" si="16"/>
        <v>1.5720000000000001</v>
      </c>
      <c r="G2553" s="107" t="s">
        <v>1474</v>
      </c>
      <c r="H2553" s="95"/>
    </row>
    <row r="2554" spans="1:8" x14ac:dyDescent="0.3">
      <c r="A2554" s="161"/>
      <c r="B2554" s="107"/>
      <c r="C2554" s="111"/>
      <c r="D2554" s="113"/>
      <c r="E2554" s="63"/>
      <c r="F2554" s="150"/>
      <c r="G2554" s="107"/>
      <c r="H2554" s="95"/>
    </row>
    <row r="2555" spans="1:8" x14ac:dyDescent="0.3">
      <c r="A2555" s="161"/>
      <c r="B2555" s="107"/>
      <c r="C2555" s="111"/>
      <c r="D2555" s="113"/>
      <c r="E2555" s="63"/>
      <c r="F2555" s="150"/>
      <c r="G2555" s="107"/>
      <c r="H2555" s="95"/>
    </row>
    <row r="2556" spans="1:8" x14ac:dyDescent="0.3">
      <c r="A2556" s="160" t="str">
        <f>'04a_Box_Dims'!$F39&amp;"  No.  "&amp;'04a_Box_Dims'!$A39&amp;"   (L = "&amp;TEXT('04a_Box_Dims'!$AE39,"0.00")&amp;" m)"</f>
        <v>0  No.  4/4x4 box culvert   (L = 10.00 m)</v>
      </c>
      <c r="B2556" s="146"/>
      <c r="C2556" s="162"/>
      <c r="D2556" s="163"/>
      <c r="E2556" s="147"/>
      <c r="F2556" s="148"/>
      <c r="G2556" s="146"/>
      <c r="H2556" s="151"/>
    </row>
    <row r="2557" spans="1:8" x14ac:dyDescent="0.3">
      <c r="A2557" s="161"/>
      <c r="B2557" s="107"/>
      <c r="C2557" s="111"/>
      <c r="D2557" s="113"/>
      <c r="E2557" s="149" t="s">
        <v>1438</v>
      </c>
      <c r="F2557" s="150"/>
      <c r="G2557" s="107"/>
      <c r="H2557" s="95"/>
    </row>
    <row r="2558" spans="1:8" x14ac:dyDescent="0.3">
      <c r="A2558" s="161"/>
      <c r="B2558" s="107"/>
      <c r="C2558" s="111"/>
      <c r="D2558" s="113"/>
      <c r="E2558" s="63" t="s">
        <v>1655</v>
      </c>
      <c r="F2558" s="150"/>
      <c r="G2558" s="107"/>
      <c r="H2558" s="95"/>
    </row>
    <row r="2559" spans="1:8" x14ac:dyDescent="0.3">
      <c r="A2559" s="161">
        <f>1</f>
        <v>1</v>
      </c>
      <c r="B2559" s="107" t="s">
        <v>1628</v>
      </c>
      <c r="C2559" s="111">
        <f>'04a_Box_Dims'!$AE39</f>
        <v>10</v>
      </c>
      <c r="D2559" s="113"/>
      <c r="E2559" s="63" t="s">
        <v>1656</v>
      </c>
      <c r="F2559" s="150"/>
      <c r="G2559" s="107"/>
      <c r="H2559" s="95"/>
    </row>
    <row r="2560" spans="1:8" x14ac:dyDescent="0.3">
      <c r="A2560" s="161"/>
      <c r="B2560" s="107"/>
      <c r="C2560" s="111">
        <f>'04a_Box_Dims'!$J39+2*BX_work</f>
        <v>18.350000000000001</v>
      </c>
      <c r="D2560" s="113"/>
      <c r="E2560" s="63"/>
      <c r="F2560" s="150"/>
      <c r="G2560" s="107"/>
      <c r="H2560" s="95"/>
    </row>
    <row r="2561" spans="1:8" x14ac:dyDescent="0.3">
      <c r="A2561" s="161"/>
      <c r="B2561" s="107"/>
      <c r="C2561" s="111">
        <f>'04a_Box_Dims'!$L39+BX_blind+BX_exX</f>
        <v>4.9000000000000004</v>
      </c>
      <c r="D2561" s="113">
        <f>$A2559*$C2559*$C2560*$C2561</f>
        <v>899.15000000000009</v>
      </c>
      <c r="E2561" s="63"/>
      <c r="F2561" s="150"/>
      <c r="G2561" s="107"/>
      <c r="H2561" s="95"/>
    </row>
    <row r="2562" spans="1:8" x14ac:dyDescent="0.3">
      <c r="A2562" s="161">
        <f>2</f>
        <v>2</v>
      </c>
      <c r="B2562" s="107" t="s">
        <v>1628</v>
      </c>
      <c r="C2562" s="111">
        <f>'04a_Box_Dims'!$O39</f>
        <v>1.5</v>
      </c>
      <c r="D2562" s="113"/>
      <c r="E2562" s="63" t="s">
        <v>1657</v>
      </c>
      <c r="F2562" s="150"/>
      <c r="G2562" s="107"/>
      <c r="H2562" s="95"/>
    </row>
    <row r="2563" spans="1:8" x14ac:dyDescent="0.3">
      <c r="A2563" s="161"/>
      <c r="B2563" s="107"/>
      <c r="C2563" s="111">
        <f>'04a_Box_Dims'!$Q39</f>
        <v>19.25</v>
      </c>
      <c r="D2563" s="113"/>
      <c r="E2563" s="63"/>
      <c r="F2563" s="150"/>
      <c r="G2563" s="107"/>
      <c r="H2563" s="95"/>
    </row>
    <row r="2564" spans="1:8" x14ac:dyDescent="0.3">
      <c r="A2564" s="161"/>
      <c r="B2564" s="107"/>
      <c r="C2564" s="111">
        <f>'04a_Box_Dims'!$P39+BX_blind+BX_exX</f>
        <v>0.55000000000000004</v>
      </c>
      <c r="D2564" s="113">
        <f>$A2562*$C2562*$C2563*$C2564</f>
        <v>31.762500000000003</v>
      </c>
      <c r="E2564" s="63"/>
      <c r="F2564" s="150"/>
      <c r="G2564" s="107"/>
      <c r="H2564" s="95"/>
    </row>
    <row r="2565" spans="1:8" x14ac:dyDescent="0.3">
      <c r="A2565" s="161">
        <f>2</f>
        <v>2</v>
      </c>
      <c r="B2565" s="107" t="s">
        <v>1628</v>
      </c>
      <c r="C2565" s="111">
        <f>'04a_Box_Dims'!$R39</f>
        <v>17.75</v>
      </c>
      <c r="D2565" s="113"/>
      <c r="E2565" s="63" t="s">
        <v>1658</v>
      </c>
      <c r="F2565" s="150"/>
      <c r="G2565" s="107"/>
      <c r="H2565" s="95"/>
    </row>
    <row r="2566" spans="1:8" x14ac:dyDescent="0.3">
      <c r="A2566" s="161"/>
      <c r="B2566" s="107"/>
      <c r="C2566" s="111">
        <f>'04a_Box_Dims'!$S39</f>
        <v>0.2</v>
      </c>
      <c r="D2566" s="113"/>
      <c r="E2566" s="63"/>
      <c r="F2566" s="150"/>
      <c r="G2566" s="107"/>
      <c r="H2566" s="95"/>
    </row>
    <row r="2567" spans="1:8" x14ac:dyDescent="0.3">
      <c r="A2567" s="161"/>
      <c r="B2567" s="107"/>
      <c r="C2567" s="111">
        <f>'04a_Box_Dims'!$T39+BX_blind</f>
        <v>0.5</v>
      </c>
      <c r="D2567" s="113">
        <f>$A2565*$C2565*$C2566*$C2567</f>
        <v>3.5500000000000003</v>
      </c>
      <c r="E2567" s="63"/>
      <c r="F2567" s="150"/>
      <c r="G2567" s="107"/>
      <c r="H2567" s="95"/>
    </row>
    <row r="2568" spans="1:8" x14ac:dyDescent="0.3">
      <c r="A2568" s="161">
        <f>4</f>
        <v>4</v>
      </c>
      <c r="B2568" s="107" t="s">
        <v>1628</v>
      </c>
      <c r="C2568" s="111">
        <f>'04a_Box_Dims'!$Z39</f>
        <v>2.1213203435596424</v>
      </c>
      <c r="D2568" s="113"/>
      <c r="E2568" s="63" t="s">
        <v>1659</v>
      </c>
      <c r="F2568" s="150"/>
      <c r="G2568" s="107"/>
      <c r="H2568" s="95"/>
    </row>
    <row r="2569" spans="1:8" x14ac:dyDescent="0.3">
      <c r="A2569" s="161"/>
      <c r="B2569" s="107"/>
      <c r="C2569" s="111">
        <f>'04a_Box_Dims'!$AC39</f>
        <v>0.9</v>
      </c>
      <c r="D2569" s="113"/>
      <c r="E2569" s="63"/>
      <c r="F2569" s="150"/>
      <c r="G2569" s="107"/>
      <c r="H2569" s="95"/>
    </row>
    <row r="2570" spans="1:8" x14ac:dyDescent="0.3">
      <c r="A2570" s="161"/>
      <c r="B2570" s="107"/>
      <c r="C2570" s="111">
        <f>'04a_Box_Dims'!$AD39+BX_blind</f>
        <v>0.4</v>
      </c>
      <c r="D2570" s="113">
        <f>$A2568*$C2568*$C2569*$C2570</f>
        <v>3.0547012947258851</v>
      </c>
      <c r="E2570" s="63"/>
      <c r="F2570" s="150"/>
      <c r="G2570" s="107"/>
      <c r="H2570" s="95"/>
    </row>
    <row r="2571" spans="1:8" x14ac:dyDescent="0.3">
      <c r="A2571" s="161"/>
      <c r="B2571" s="107"/>
      <c r="C2571" s="111"/>
      <c r="D2571" s="113">
        <f>SUM($D$2559:$D$2570)</f>
        <v>937.51720129472596</v>
      </c>
      <c r="E2571" s="63" t="s">
        <v>1660</v>
      </c>
      <c r="F2571" s="150">
        <f>ROUND($D2571,0)</f>
        <v>938</v>
      </c>
      <c r="G2571" s="107" t="s">
        <v>1661</v>
      </c>
      <c r="H2571" s="95"/>
    </row>
    <row r="2572" spans="1:8" x14ac:dyDescent="0.3">
      <c r="A2572" s="161"/>
      <c r="B2572" s="107"/>
      <c r="C2572" s="111"/>
      <c r="D2572" s="113"/>
      <c r="E2572" s="63"/>
      <c r="F2572" s="150"/>
      <c r="G2572" s="107"/>
      <c r="H2572" s="95"/>
    </row>
    <row r="2573" spans="1:8" x14ac:dyDescent="0.3">
      <c r="A2573" s="161"/>
      <c r="B2573" s="107"/>
      <c r="C2573" s="111"/>
      <c r="D2573" s="113"/>
      <c r="E2573" s="149" t="s">
        <v>1323</v>
      </c>
      <c r="F2573" s="150"/>
      <c r="G2573" s="107"/>
      <c r="H2573" s="95"/>
    </row>
    <row r="2574" spans="1:8" x14ac:dyDescent="0.3">
      <c r="A2574" s="161"/>
      <c r="B2574" s="107"/>
      <c r="C2574" s="111"/>
      <c r="D2574" s="113"/>
      <c r="E2574" s="63" t="s">
        <v>1662</v>
      </c>
      <c r="F2574" s="150"/>
      <c r="G2574" s="107"/>
      <c r="H2574" s="95"/>
    </row>
    <row r="2575" spans="1:8" x14ac:dyDescent="0.3">
      <c r="A2575" s="161">
        <f>1</f>
        <v>1</v>
      </c>
      <c r="B2575" s="107" t="s">
        <v>1628</v>
      </c>
      <c r="C2575" s="111">
        <f>'04a_Box_Dims'!$AE39</f>
        <v>10</v>
      </c>
      <c r="D2575" s="113"/>
      <c r="E2575" s="63" t="s">
        <v>1663</v>
      </c>
      <c r="F2575" s="150"/>
      <c r="G2575" s="107"/>
      <c r="H2575" s="95"/>
    </row>
    <row r="2576" spans="1:8" x14ac:dyDescent="0.3">
      <c r="A2576" s="161"/>
      <c r="B2576" s="107"/>
      <c r="C2576" s="111">
        <f>'04a_Box_Dims'!$J39</f>
        <v>17.75</v>
      </c>
      <c r="D2576" s="113"/>
      <c r="E2576" s="63"/>
      <c r="F2576" s="150"/>
      <c r="G2576" s="107"/>
      <c r="H2576" s="95"/>
    </row>
    <row r="2577" spans="1:8" x14ac:dyDescent="0.3">
      <c r="A2577" s="161"/>
      <c r="B2577" s="107"/>
      <c r="C2577" s="111">
        <f>BX_blind</f>
        <v>0.05</v>
      </c>
      <c r="D2577" s="113">
        <f>$A2575*$C2575*$C2576*$C2577</f>
        <v>8.875</v>
      </c>
      <c r="E2577" s="63"/>
      <c r="F2577" s="150"/>
      <c r="G2577" s="107"/>
      <c r="H2577" s="95"/>
    </row>
    <row r="2578" spans="1:8" x14ac:dyDescent="0.3">
      <c r="A2578" s="161">
        <f>2</f>
        <v>2</v>
      </c>
      <c r="B2578" s="107" t="s">
        <v>1628</v>
      </c>
      <c r="C2578" s="111">
        <f>'04a_Box_Dims'!$O39</f>
        <v>1.5</v>
      </c>
      <c r="D2578" s="113"/>
      <c r="E2578" s="63" t="s">
        <v>1657</v>
      </c>
      <c r="F2578" s="150"/>
      <c r="G2578" s="107"/>
      <c r="H2578" s="95"/>
    </row>
    <row r="2579" spans="1:8" x14ac:dyDescent="0.3">
      <c r="A2579" s="161"/>
      <c r="B2579" s="107"/>
      <c r="C2579" s="111">
        <f>'04a_Box_Dims'!$Q39</f>
        <v>19.25</v>
      </c>
      <c r="D2579" s="113"/>
      <c r="E2579" s="63"/>
      <c r="F2579" s="150"/>
      <c r="G2579" s="107"/>
      <c r="H2579" s="95"/>
    </row>
    <row r="2580" spans="1:8" x14ac:dyDescent="0.3">
      <c r="A2580" s="161"/>
      <c r="B2580" s="107"/>
      <c r="C2580" s="111">
        <f>BX_blind</f>
        <v>0.05</v>
      </c>
      <c r="D2580" s="113">
        <f>$A2578*$C2578*$C2579*$C2580</f>
        <v>2.8875000000000002</v>
      </c>
      <c r="E2580" s="63"/>
      <c r="F2580" s="150"/>
      <c r="G2580" s="107"/>
      <c r="H2580" s="95"/>
    </row>
    <row r="2581" spans="1:8" x14ac:dyDescent="0.3">
      <c r="A2581" s="161">
        <f>2</f>
        <v>2</v>
      </c>
      <c r="B2581" s="107" t="s">
        <v>1628</v>
      </c>
      <c r="C2581" s="111">
        <f>'04a_Box_Dims'!$R39</f>
        <v>17.75</v>
      </c>
      <c r="D2581" s="113"/>
      <c r="E2581" s="63" t="s">
        <v>1658</v>
      </c>
      <c r="F2581" s="150"/>
      <c r="G2581" s="107"/>
      <c r="H2581" s="95"/>
    </row>
    <row r="2582" spans="1:8" x14ac:dyDescent="0.3">
      <c r="A2582" s="161"/>
      <c r="B2582" s="107"/>
      <c r="C2582" s="111">
        <f>'04a_Box_Dims'!$S39</f>
        <v>0.2</v>
      </c>
      <c r="D2582" s="113"/>
      <c r="E2582" s="63"/>
      <c r="F2582" s="150"/>
      <c r="G2582" s="107"/>
      <c r="H2582" s="95"/>
    </row>
    <row r="2583" spans="1:8" x14ac:dyDescent="0.3">
      <c r="A2583" s="161"/>
      <c r="B2583" s="107"/>
      <c r="C2583" s="111">
        <f>BX_blind</f>
        <v>0.05</v>
      </c>
      <c r="D2583" s="113">
        <f>$A2581*$C2581*$C2582*$C2583</f>
        <v>0.35500000000000004</v>
      </c>
      <c r="E2583" s="63"/>
      <c r="F2583" s="150"/>
      <c r="G2583" s="107"/>
      <c r="H2583" s="95"/>
    </row>
    <row r="2584" spans="1:8" x14ac:dyDescent="0.3">
      <c r="A2584" s="161">
        <f>4</f>
        <v>4</v>
      </c>
      <c r="B2584" s="107" t="s">
        <v>1628</v>
      </c>
      <c r="C2584" s="111">
        <f>'04a_Box_Dims'!$Z39</f>
        <v>2.1213203435596424</v>
      </c>
      <c r="D2584" s="113"/>
      <c r="E2584" s="63" t="s">
        <v>1659</v>
      </c>
      <c r="F2584" s="150"/>
      <c r="G2584" s="107"/>
      <c r="H2584" s="95"/>
    </row>
    <row r="2585" spans="1:8" x14ac:dyDescent="0.3">
      <c r="A2585" s="161"/>
      <c r="B2585" s="107"/>
      <c r="C2585" s="111">
        <f>'04a_Box_Dims'!$AC39</f>
        <v>0.9</v>
      </c>
      <c r="D2585" s="113"/>
      <c r="E2585" s="63"/>
      <c r="F2585" s="150"/>
      <c r="G2585" s="107"/>
      <c r="H2585" s="95"/>
    </row>
    <row r="2586" spans="1:8" x14ac:dyDescent="0.3">
      <c r="A2586" s="161"/>
      <c r="B2586" s="107"/>
      <c r="C2586" s="111">
        <f>BX_blind</f>
        <v>0.05</v>
      </c>
      <c r="D2586" s="113">
        <f>$A2584*$C2584*$C2585*$C2586</f>
        <v>0.38183766184073564</v>
      </c>
      <c r="E2586" s="63"/>
      <c r="F2586" s="150"/>
      <c r="G2586" s="107"/>
      <c r="H2586" s="95"/>
    </row>
    <row r="2587" spans="1:8" x14ac:dyDescent="0.3">
      <c r="A2587" s="161"/>
      <c r="B2587" s="107"/>
      <c r="C2587" s="111"/>
      <c r="D2587" s="113">
        <f>SUM($D$2575:$D$2586)</f>
        <v>12.499337661840736</v>
      </c>
      <c r="E2587" s="63" t="s">
        <v>1660</v>
      </c>
      <c r="F2587" s="150">
        <f>ROUND($D2587,2)</f>
        <v>12.5</v>
      </c>
      <c r="G2587" s="107" t="s">
        <v>1661</v>
      </c>
      <c r="H2587" s="95"/>
    </row>
    <row r="2588" spans="1:8" x14ac:dyDescent="0.3">
      <c r="A2588" s="161"/>
      <c r="B2588" s="107"/>
      <c r="C2588" s="111"/>
      <c r="D2588" s="113"/>
      <c r="E2588" s="63"/>
      <c r="F2588" s="150"/>
      <c r="G2588" s="107"/>
      <c r="H2588" s="95"/>
    </row>
    <row r="2589" spans="1:8" x14ac:dyDescent="0.3">
      <c r="A2589" s="161"/>
      <c r="B2589" s="107"/>
      <c r="C2589" s="111"/>
      <c r="D2589" s="113"/>
      <c r="E2589" s="149" t="s">
        <v>1324</v>
      </c>
      <c r="F2589" s="150"/>
      <c r="G2589" s="107"/>
      <c r="H2589" s="95"/>
    </row>
    <row r="2590" spans="1:8" x14ac:dyDescent="0.3">
      <c r="A2590" s="161"/>
      <c r="B2590" s="107"/>
      <c r="C2590" s="111"/>
      <c r="D2590" s="113"/>
      <c r="E2590" s="63" t="s">
        <v>1664</v>
      </c>
      <c r="F2590" s="150"/>
      <c r="G2590" s="107"/>
      <c r="H2590" s="95"/>
    </row>
    <row r="2591" spans="1:8" x14ac:dyDescent="0.3">
      <c r="A2591" s="161"/>
      <c r="B2591" s="107"/>
      <c r="C2591" s="111"/>
      <c r="D2591" s="113">
        <f>$D2587</f>
        <v>12.499337661840736</v>
      </c>
      <c r="E2591" s="63" t="s">
        <v>1665</v>
      </c>
      <c r="F2591" s="150">
        <f>$F2587</f>
        <v>12.5</v>
      </c>
      <c r="G2591" s="107" t="s">
        <v>1661</v>
      </c>
      <c r="H2591" s="95"/>
    </row>
    <row r="2592" spans="1:8" x14ac:dyDescent="0.3">
      <c r="A2592" s="161"/>
      <c r="B2592" s="107"/>
      <c r="C2592" s="111"/>
      <c r="D2592" s="113"/>
      <c r="E2592" s="63"/>
      <c r="F2592" s="150"/>
      <c r="G2592" s="107"/>
      <c r="H2592" s="95"/>
    </row>
    <row r="2593" spans="1:8" x14ac:dyDescent="0.3">
      <c r="A2593" s="161"/>
      <c r="B2593" s="107"/>
      <c r="C2593" s="111"/>
      <c r="D2593" s="113"/>
      <c r="E2593" s="149" t="s">
        <v>1455</v>
      </c>
      <c r="F2593" s="150"/>
      <c r="G2593" s="107"/>
      <c r="H2593" s="95"/>
    </row>
    <row r="2594" spans="1:8" x14ac:dyDescent="0.3">
      <c r="A2594" s="161"/>
      <c r="B2594" s="107"/>
      <c r="C2594" s="111"/>
      <c r="D2594" s="113"/>
      <c r="E2594" s="63" t="s">
        <v>1666</v>
      </c>
      <c r="F2594" s="150"/>
      <c r="G2594" s="107"/>
      <c r="H2594" s="95"/>
    </row>
    <row r="2595" spans="1:8" x14ac:dyDescent="0.3">
      <c r="A2595" s="161">
        <f>1</f>
        <v>1</v>
      </c>
      <c r="B2595" s="107" t="s">
        <v>1628</v>
      </c>
      <c r="C2595" s="111">
        <f>'04a_Box_Dims'!$AE39</f>
        <v>10</v>
      </c>
      <c r="D2595" s="113"/>
      <c r="E2595" s="63" t="s">
        <v>1667</v>
      </c>
      <c r="F2595" s="150"/>
      <c r="G2595" s="107"/>
      <c r="H2595" s="95"/>
    </row>
    <row r="2596" spans="1:8" x14ac:dyDescent="0.3">
      <c r="A2596" s="161"/>
      <c r="B2596" s="107"/>
      <c r="C2596" s="111">
        <f>'04a_Box_Dims'!$J39</f>
        <v>17.75</v>
      </c>
      <c r="D2596" s="113"/>
      <c r="E2596" s="63"/>
      <c r="F2596" s="150"/>
      <c r="G2596" s="107"/>
      <c r="H2596" s="95"/>
    </row>
    <row r="2597" spans="1:8" x14ac:dyDescent="0.3">
      <c r="A2597" s="161"/>
      <c r="B2597" s="107"/>
      <c r="C2597" s="111">
        <f>'04a_Box_Dims'!$I39</f>
        <v>0.35000000000000003</v>
      </c>
      <c r="D2597" s="113">
        <f>$A2595*$C2595*$C2596*$C2597</f>
        <v>62.125000000000007</v>
      </c>
      <c r="E2597" s="63"/>
      <c r="F2597" s="150"/>
      <c r="G2597" s="107"/>
      <c r="H2597" s="95">
        <f>'04a_Box_Dims'!$I39</f>
        <v>0.35000000000000003</v>
      </c>
    </row>
    <row r="2598" spans="1:8" x14ac:dyDescent="0.3">
      <c r="A2598" s="161">
        <f>2</f>
        <v>2</v>
      </c>
      <c r="B2598" s="107" t="s">
        <v>1628</v>
      </c>
      <c r="C2598" s="111">
        <f>'04a_Box_Dims'!$O39</f>
        <v>1.5</v>
      </c>
      <c r="D2598" s="113"/>
      <c r="E2598" s="63" t="s">
        <v>1657</v>
      </c>
      <c r="F2598" s="150"/>
      <c r="G2598" s="107"/>
      <c r="H2598" s="95"/>
    </row>
    <row r="2599" spans="1:8" x14ac:dyDescent="0.3">
      <c r="A2599" s="161"/>
      <c r="B2599" s="107"/>
      <c r="C2599" s="111">
        <f>'04a_Box_Dims'!$Q39</f>
        <v>19.25</v>
      </c>
      <c r="D2599" s="113"/>
      <c r="E2599" s="63"/>
      <c r="F2599" s="150"/>
      <c r="G2599" s="107"/>
      <c r="H2599" s="95"/>
    </row>
    <row r="2600" spans="1:8" x14ac:dyDescent="0.3">
      <c r="A2600" s="161"/>
      <c r="B2600" s="107"/>
      <c r="C2600" s="111">
        <f>'04a_Box_Dims'!$P39</f>
        <v>0.35000000000000003</v>
      </c>
      <c r="D2600" s="113">
        <f>$A2598*$C2598*$C2599*$C2600</f>
        <v>20.212500000000002</v>
      </c>
      <c r="E2600" s="63"/>
      <c r="F2600" s="150"/>
      <c r="G2600" s="107"/>
      <c r="H2600" s="95">
        <f>'04a_Box_Dims'!$P39</f>
        <v>0.35000000000000003</v>
      </c>
    </row>
    <row r="2601" spans="1:8" x14ac:dyDescent="0.3">
      <c r="A2601" s="161">
        <f>2</f>
        <v>2</v>
      </c>
      <c r="B2601" s="107" t="s">
        <v>1628</v>
      </c>
      <c r="C2601" s="111">
        <f>'04a_Box_Dims'!$R39</f>
        <v>17.75</v>
      </c>
      <c r="D2601" s="113"/>
      <c r="E2601" s="63" t="s">
        <v>1658</v>
      </c>
      <c r="F2601" s="150"/>
      <c r="G2601" s="107"/>
      <c r="H2601" s="95"/>
    </row>
    <row r="2602" spans="1:8" x14ac:dyDescent="0.3">
      <c r="A2602" s="161"/>
      <c r="B2602" s="107"/>
      <c r="C2602" s="111">
        <f>'04a_Box_Dims'!$S39</f>
        <v>0.2</v>
      </c>
      <c r="D2602" s="113"/>
      <c r="E2602" s="63"/>
      <c r="F2602" s="150"/>
      <c r="G2602" s="107"/>
      <c r="H2602" s="95"/>
    </row>
    <row r="2603" spans="1:8" x14ac:dyDescent="0.3">
      <c r="A2603" s="161"/>
      <c r="B2603" s="107"/>
      <c r="C2603" s="111">
        <f>'04a_Box_Dims'!$T39</f>
        <v>0.45</v>
      </c>
      <c r="D2603" s="113">
        <f>$A2601*$C2601*$C2602*$C2603</f>
        <v>3.1950000000000003</v>
      </c>
      <c r="E2603" s="63"/>
      <c r="F2603" s="150"/>
      <c r="G2603" s="107"/>
      <c r="H2603" s="95">
        <f>'04a_Box_Dims'!$S39</f>
        <v>0.2</v>
      </c>
    </row>
    <row r="2604" spans="1:8" x14ac:dyDescent="0.3">
      <c r="A2604" s="161">
        <f>4</f>
        <v>4</v>
      </c>
      <c r="B2604" s="107" t="s">
        <v>1628</v>
      </c>
      <c r="C2604" s="111">
        <f>'04a_Box_Dims'!$Z39</f>
        <v>2.1213203435596424</v>
      </c>
      <c r="D2604" s="113"/>
      <c r="E2604" s="63" t="s">
        <v>1659</v>
      </c>
      <c r="F2604" s="150"/>
      <c r="G2604" s="107"/>
      <c r="H2604" s="95"/>
    </row>
    <row r="2605" spans="1:8" x14ac:dyDescent="0.3">
      <c r="A2605" s="161"/>
      <c r="B2605" s="107"/>
      <c r="C2605" s="111">
        <f>'04a_Box_Dims'!$AC39</f>
        <v>0.9</v>
      </c>
      <c r="D2605" s="113"/>
      <c r="E2605" s="63"/>
      <c r="F2605" s="150"/>
      <c r="G2605" s="107"/>
      <c r="H2605" s="95"/>
    </row>
    <row r="2606" spans="1:8" x14ac:dyDescent="0.3">
      <c r="A2606" s="161"/>
      <c r="B2606" s="107"/>
      <c r="C2606" s="111">
        <f>'04a_Box_Dims'!$AD39</f>
        <v>0.35000000000000003</v>
      </c>
      <c r="D2606" s="113">
        <f>$A2604*$C2604*$C2605*$C2606</f>
        <v>2.6728636328851496</v>
      </c>
      <c r="E2606" s="63"/>
      <c r="F2606" s="150"/>
      <c r="G2606" s="107"/>
      <c r="H2606" s="95">
        <f>'04a_Box_Dims'!$AD39</f>
        <v>0.35000000000000003</v>
      </c>
    </row>
    <row r="2607" spans="1:8" x14ac:dyDescent="0.3">
      <c r="A2607" s="161"/>
      <c r="B2607" s="107"/>
      <c r="C2607" s="111"/>
      <c r="D2607" s="113">
        <f>SUM($D$2595:$D$2606)</f>
        <v>88.205363632885152</v>
      </c>
      <c r="E2607" s="63" t="s">
        <v>1660</v>
      </c>
      <c r="F2607" s="150">
        <f>ROUND($D2607,2)</f>
        <v>88.21</v>
      </c>
      <c r="G2607" s="107" t="s">
        <v>1661</v>
      </c>
      <c r="H2607" s="95"/>
    </row>
    <row r="2608" spans="1:8" x14ac:dyDescent="0.3">
      <c r="A2608" s="161"/>
      <c r="B2608" s="107"/>
      <c r="C2608" s="111"/>
      <c r="D2608" s="113"/>
      <c r="E2608" s="63"/>
      <c r="F2608" s="150"/>
      <c r="G2608" s="107"/>
      <c r="H2608" s="95"/>
    </row>
    <row r="2609" spans="1:8" x14ac:dyDescent="0.3">
      <c r="A2609" s="161"/>
      <c r="B2609" s="107"/>
      <c r="C2609" s="111"/>
      <c r="D2609" s="113"/>
      <c r="E2609" s="149" t="s">
        <v>1668</v>
      </c>
      <c r="F2609" s="150"/>
      <c r="G2609" s="107"/>
      <c r="H2609" s="95"/>
    </row>
    <row r="2610" spans="1:8" x14ac:dyDescent="0.3">
      <c r="A2610" s="161"/>
      <c r="B2610" s="107"/>
      <c r="C2610" s="111"/>
      <c r="D2610" s="113"/>
      <c r="E2610" s="63" t="s">
        <v>1669</v>
      </c>
      <c r="F2610" s="150"/>
      <c r="G2610" s="107"/>
      <c r="H2610" s="95"/>
    </row>
    <row r="2611" spans="1:8" x14ac:dyDescent="0.3">
      <c r="A2611" s="161"/>
      <c r="B2611" s="107"/>
      <c r="C2611" s="111"/>
      <c r="D2611" s="113">
        <f>SUMIF($H$2595:$H$2606,"&lt;=0.3",$D$2595:$D$2606)</f>
        <v>3.1950000000000003</v>
      </c>
      <c r="E2611" s="63" t="s">
        <v>1670</v>
      </c>
      <c r="F2611" s="150">
        <f>ROUND($D2611,2)</f>
        <v>3.2</v>
      </c>
      <c r="G2611" s="107" t="s">
        <v>1661</v>
      </c>
      <c r="H2611" s="95"/>
    </row>
    <row r="2612" spans="1:8" x14ac:dyDescent="0.3">
      <c r="A2612" s="161"/>
      <c r="B2612" s="107"/>
      <c r="C2612" s="111"/>
      <c r="D2612" s="113">
        <f>SUMIF($H$2595:$H$2606,"&gt;0.3",$D$2595:$D$2606)</f>
        <v>85.010363632885159</v>
      </c>
      <c r="E2612" s="63" t="s">
        <v>1671</v>
      </c>
      <c r="F2612" s="150">
        <f>ROUND($D2612,2)</f>
        <v>85.01</v>
      </c>
      <c r="G2612" s="107" t="s">
        <v>1661</v>
      </c>
      <c r="H2612" s="95"/>
    </row>
    <row r="2613" spans="1:8" x14ac:dyDescent="0.3">
      <c r="A2613" s="161"/>
      <c r="B2613" s="107"/>
      <c r="C2613" s="111"/>
      <c r="D2613" s="113"/>
      <c r="E2613" s="63"/>
      <c r="F2613" s="150"/>
      <c r="G2613" s="107"/>
      <c r="H2613" s="95"/>
    </row>
    <row r="2614" spans="1:8" x14ac:dyDescent="0.3">
      <c r="A2614" s="161"/>
      <c r="B2614" s="107"/>
      <c r="C2614" s="111"/>
      <c r="D2614" s="113"/>
      <c r="E2614" s="149" t="s">
        <v>1455</v>
      </c>
      <c r="F2614" s="150"/>
      <c r="G2614" s="107"/>
      <c r="H2614" s="95"/>
    </row>
    <row r="2615" spans="1:8" x14ac:dyDescent="0.3">
      <c r="A2615" s="161"/>
      <c r="B2615" s="107"/>
      <c r="C2615" s="111"/>
      <c r="D2615" s="113"/>
      <c r="E2615" s="63" t="s">
        <v>1672</v>
      </c>
      <c r="F2615" s="150"/>
      <c r="G2615" s="107"/>
      <c r="H2615" s="95"/>
    </row>
    <row r="2616" spans="1:8" x14ac:dyDescent="0.3">
      <c r="A2616" s="161">
        <f>1</f>
        <v>1</v>
      </c>
      <c r="B2616" s="107" t="s">
        <v>1628</v>
      </c>
      <c r="C2616" s="111">
        <f>'04a_Box_Dims'!$AE39</f>
        <v>10</v>
      </c>
      <c r="D2616" s="113"/>
      <c r="E2616" s="63" t="s">
        <v>1673</v>
      </c>
      <c r="F2616" s="150"/>
      <c r="G2616" s="107"/>
      <c r="H2616" s="95"/>
    </row>
    <row r="2617" spans="1:8" x14ac:dyDescent="0.3">
      <c r="A2617" s="161"/>
      <c r="B2617" s="107"/>
      <c r="C2617" s="111">
        <f>'04a_Box_Dims'!$J39</f>
        <v>17.75</v>
      </c>
      <c r="D2617" s="113"/>
      <c r="E2617" s="63"/>
      <c r="F2617" s="150"/>
      <c r="G2617" s="107"/>
      <c r="H2617" s="95"/>
    </row>
    <row r="2618" spans="1:8" x14ac:dyDescent="0.3">
      <c r="A2618" s="161"/>
      <c r="B2618" s="107"/>
      <c r="C2618" s="111">
        <f>'04a_Box_Dims'!$I39</f>
        <v>0.35000000000000003</v>
      </c>
      <c r="D2618" s="113">
        <f>$A2616*$C2616*$C2617*$C2618</f>
        <v>62.125000000000007</v>
      </c>
      <c r="E2618" s="63"/>
      <c r="F2618" s="150"/>
      <c r="G2618" s="107"/>
      <c r="H2618" s="95">
        <f>'04a_Box_Dims'!$I39</f>
        <v>0.35000000000000003</v>
      </c>
    </row>
    <row r="2619" spans="1:8" x14ac:dyDescent="0.3">
      <c r="A2619" s="161"/>
      <c r="B2619" s="107"/>
      <c r="C2619" s="111"/>
      <c r="D2619" s="113">
        <f>SUM($D$2616:$D$2618)</f>
        <v>62.125000000000007</v>
      </c>
      <c r="E2619" s="63" t="s">
        <v>1660</v>
      </c>
      <c r="F2619" s="150">
        <f>ROUND($D2619,2)</f>
        <v>62.13</v>
      </c>
      <c r="G2619" s="107" t="s">
        <v>1661</v>
      </c>
      <c r="H2619" s="95"/>
    </row>
    <row r="2620" spans="1:8" x14ac:dyDescent="0.3">
      <c r="A2620" s="161"/>
      <c r="B2620" s="107"/>
      <c r="C2620" s="111"/>
      <c r="D2620" s="113"/>
      <c r="E2620" s="63"/>
      <c r="F2620" s="150"/>
      <c r="G2620" s="107"/>
      <c r="H2620" s="95"/>
    </row>
    <row r="2621" spans="1:8" x14ac:dyDescent="0.3">
      <c r="A2621" s="161"/>
      <c r="B2621" s="107"/>
      <c r="C2621" s="111"/>
      <c r="D2621" s="113"/>
      <c r="E2621" s="149" t="s">
        <v>1674</v>
      </c>
      <c r="F2621" s="150"/>
      <c r="G2621" s="107"/>
      <c r="H2621" s="95"/>
    </row>
    <row r="2622" spans="1:8" x14ac:dyDescent="0.3">
      <c r="A2622" s="161"/>
      <c r="B2622" s="107"/>
      <c r="C2622" s="111"/>
      <c r="D2622" s="113"/>
      <c r="E2622" s="63" t="s">
        <v>1675</v>
      </c>
      <c r="F2622" s="150"/>
      <c r="G2622" s="107"/>
      <c r="H2622" s="95"/>
    </row>
    <row r="2623" spans="1:8" x14ac:dyDescent="0.3">
      <c r="A2623" s="161"/>
      <c r="B2623" s="107"/>
      <c r="C2623" s="111"/>
      <c r="D2623" s="113">
        <f>SUMIF($H$2616:$H$2618,"&lt;=0.3",$D$2616:$D$2618)</f>
        <v>0</v>
      </c>
      <c r="E2623" s="63" t="s">
        <v>1670</v>
      </c>
      <c r="F2623" s="150">
        <f>ROUND($D2623,2)</f>
        <v>0</v>
      </c>
      <c r="G2623" s="107" t="s">
        <v>1661</v>
      </c>
      <c r="H2623" s="95"/>
    </row>
    <row r="2624" spans="1:8" x14ac:dyDescent="0.3">
      <c r="A2624" s="161"/>
      <c r="B2624" s="107"/>
      <c r="C2624" s="111"/>
      <c r="D2624" s="113">
        <f>SUMIF($H$2616:$H$2618,"&gt;0.3",$D$2616:$D$2618)</f>
        <v>62.125000000000007</v>
      </c>
      <c r="E2624" s="63" t="s">
        <v>1671</v>
      </c>
      <c r="F2624" s="150">
        <f>ROUND($D2624,2)</f>
        <v>62.13</v>
      </c>
      <c r="G2624" s="107" t="s">
        <v>1661</v>
      </c>
      <c r="H2624" s="95"/>
    </row>
    <row r="2625" spans="1:8" x14ac:dyDescent="0.3">
      <c r="A2625" s="161"/>
      <c r="B2625" s="107"/>
      <c r="C2625" s="111"/>
      <c r="D2625" s="113"/>
      <c r="E2625" s="63"/>
      <c r="F2625" s="150"/>
      <c r="G2625" s="107"/>
      <c r="H2625" s="95"/>
    </row>
    <row r="2626" spans="1:8" x14ac:dyDescent="0.3">
      <c r="A2626" s="161"/>
      <c r="B2626" s="107"/>
      <c r="C2626" s="111"/>
      <c r="D2626" s="113"/>
      <c r="E2626" s="149" t="s">
        <v>1455</v>
      </c>
      <c r="F2626" s="150"/>
      <c r="G2626" s="107"/>
      <c r="H2626" s="95"/>
    </row>
    <row r="2627" spans="1:8" x14ac:dyDescent="0.3">
      <c r="A2627" s="161"/>
      <c r="B2627" s="107"/>
      <c r="C2627" s="111"/>
      <c r="D2627" s="113"/>
      <c r="E2627" s="63" t="s">
        <v>1676</v>
      </c>
      <c r="F2627" s="150"/>
      <c r="G2627" s="107"/>
      <c r="H2627" s="95"/>
    </row>
    <row r="2628" spans="1:8" x14ac:dyDescent="0.3">
      <c r="A2628" s="161">
        <f>2</f>
        <v>2</v>
      </c>
      <c r="B2628" s="107" t="s">
        <v>1628</v>
      </c>
      <c r="C2628" s="111">
        <f>'04a_Box_Dims'!$AE39</f>
        <v>10</v>
      </c>
      <c r="D2628" s="113"/>
      <c r="E2628" s="63" t="s">
        <v>1677</v>
      </c>
      <c r="F2628" s="150"/>
      <c r="G2628" s="107"/>
      <c r="H2628" s="95"/>
    </row>
    <row r="2629" spans="1:8" x14ac:dyDescent="0.3">
      <c r="A2629" s="161"/>
      <c r="B2629" s="107"/>
      <c r="C2629" s="111">
        <f>'04a_Box_Dims'!$E39</f>
        <v>4</v>
      </c>
      <c r="D2629" s="113"/>
      <c r="E2629" s="63"/>
      <c r="F2629" s="150"/>
      <c r="G2629" s="107"/>
      <c r="H2629" s="95"/>
    </row>
    <row r="2630" spans="1:8" x14ac:dyDescent="0.3">
      <c r="A2630" s="161"/>
      <c r="B2630" s="107"/>
      <c r="C2630" s="111">
        <f>'04a_Box_Dims'!$I39</f>
        <v>0.35000000000000003</v>
      </c>
      <c r="D2630" s="113">
        <f>$A2628*$C2628*$C2629*$C2630</f>
        <v>28.000000000000004</v>
      </c>
      <c r="E2630" s="63"/>
      <c r="F2630" s="150"/>
      <c r="G2630" s="107"/>
      <c r="H2630" s="95">
        <f>'04a_Box_Dims'!$I39</f>
        <v>0.35000000000000003</v>
      </c>
    </row>
    <row r="2631" spans="1:8" x14ac:dyDescent="0.3">
      <c r="A2631" s="161">
        <f>'04a_Box_Dims'!$C39-1</f>
        <v>3</v>
      </c>
      <c r="B2631" s="107" t="s">
        <v>1628</v>
      </c>
      <c r="C2631" s="111">
        <f>'04a_Box_Dims'!$AE39</f>
        <v>10</v>
      </c>
      <c r="D2631" s="113"/>
      <c r="E2631" s="63" t="s">
        <v>1678</v>
      </c>
      <c r="F2631" s="150"/>
      <c r="G2631" s="107"/>
      <c r="H2631" s="95"/>
    </row>
    <row r="2632" spans="1:8" x14ac:dyDescent="0.3">
      <c r="A2632" s="161"/>
      <c r="B2632" s="107"/>
      <c r="C2632" s="111">
        <f>'04a_Box_Dims'!$E39</f>
        <v>4</v>
      </c>
      <c r="D2632" s="113"/>
      <c r="E2632" s="63"/>
      <c r="F2632" s="150"/>
      <c r="G2632" s="107"/>
      <c r="H2632" s="95"/>
    </row>
    <row r="2633" spans="1:8" x14ac:dyDescent="0.3">
      <c r="A2633" s="161"/>
      <c r="B2633" s="107"/>
      <c r="C2633" s="111">
        <f>'04a_Box_Dims'!$I39</f>
        <v>0.35000000000000003</v>
      </c>
      <c r="D2633" s="113">
        <f>$A2631*$C2631*$C2632*$C2633</f>
        <v>42.000000000000007</v>
      </c>
      <c r="E2633" s="63"/>
      <c r="F2633" s="150"/>
      <c r="G2633" s="107"/>
      <c r="H2633" s="95">
        <f>'04a_Box_Dims'!$I39</f>
        <v>0.35000000000000003</v>
      </c>
    </row>
    <row r="2634" spans="1:8" x14ac:dyDescent="0.3">
      <c r="A2634" s="161">
        <f>4*'04a_Box_Dims'!$C39</f>
        <v>16</v>
      </c>
      <c r="B2634" s="107" t="s">
        <v>1628</v>
      </c>
      <c r="C2634" s="111">
        <f>'04a_Box_Dims'!$AE39</f>
        <v>10</v>
      </c>
      <c r="D2634" s="113"/>
      <c r="E2634" s="63" t="s">
        <v>1679</v>
      </c>
      <c r="F2634" s="150"/>
      <c r="G2634" s="107"/>
      <c r="H2634" s="95"/>
    </row>
    <row r="2635" spans="1:8" x14ac:dyDescent="0.3">
      <c r="A2635" s="161"/>
      <c r="B2635" s="107"/>
      <c r="C2635" s="111">
        <f>'04a_Box_Dims'!$N39</f>
        <v>0.15</v>
      </c>
      <c r="D2635" s="113"/>
      <c r="E2635" s="63"/>
      <c r="F2635" s="150"/>
      <c r="G2635" s="107"/>
      <c r="H2635" s="95"/>
    </row>
    <row r="2636" spans="1:8" x14ac:dyDescent="0.3">
      <c r="A2636" s="161"/>
      <c r="B2636" s="107"/>
      <c r="C2636" s="111">
        <f>'04a_Box_Dims'!$N39/2</f>
        <v>7.4999999999999997E-2</v>
      </c>
      <c r="D2636" s="113">
        <f>$A2634*$C2634*$C2635*$C2636</f>
        <v>1.7999999999999998</v>
      </c>
      <c r="E2636" s="63"/>
      <c r="F2636" s="150"/>
      <c r="G2636" s="107"/>
      <c r="H2636" s="95">
        <f>'04a_Box_Dims'!$N39</f>
        <v>0.15</v>
      </c>
    </row>
    <row r="2637" spans="1:8" x14ac:dyDescent="0.3">
      <c r="A2637" s="161">
        <f>2</f>
        <v>2</v>
      </c>
      <c r="B2637" s="107" t="s">
        <v>1628</v>
      </c>
      <c r="C2637" s="111">
        <f>'04a_Box_Dims'!$J39</f>
        <v>17.75</v>
      </c>
      <c r="D2637" s="113"/>
      <c r="E2637" s="63" t="s">
        <v>1680</v>
      </c>
      <c r="F2637" s="150"/>
      <c r="G2637" s="107"/>
      <c r="H2637" s="95"/>
    </row>
    <row r="2638" spans="1:8" x14ac:dyDescent="0.3">
      <c r="A2638" s="161"/>
      <c r="B2638" s="107"/>
      <c r="C2638" s="111">
        <f>'04a_Box_Dims'!$U39</f>
        <v>0.6</v>
      </c>
      <c r="D2638" s="113"/>
      <c r="E2638" s="63"/>
      <c r="F2638" s="150"/>
      <c r="G2638" s="107"/>
      <c r="H2638" s="95"/>
    </row>
    <row r="2639" spans="1:8" x14ac:dyDescent="0.3">
      <c r="A2639" s="161"/>
      <c r="B2639" s="107"/>
      <c r="C2639" s="111">
        <f>'04a_Box_Dims'!$V39</f>
        <v>0.35000000000000003</v>
      </c>
      <c r="D2639" s="113">
        <f>$A2637*$C2637*$C2638*$C2639</f>
        <v>7.455000000000001</v>
      </c>
      <c r="E2639" s="63"/>
      <c r="F2639" s="150"/>
      <c r="G2639" s="107"/>
      <c r="H2639" s="95">
        <f>'04a_Box_Dims'!$V39</f>
        <v>0.35000000000000003</v>
      </c>
    </row>
    <row r="2640" spans="1:8" x14ac:dyDescent="0.3">
      <c r="A2640" s="161">
        <f>4</f>
        <v>4</v>
      </c>
      <c r="B2640" s="107" t="s">
        <v>1628</v>
      </c>
      <c r="C2640" s="111">
        <f>'04a_Box_Dims'!$Z39</f>
        <v>2.1213203435596424</v>
      </c>
      <c r="D2640" s="113"/>
      <c r="E2640" s="63" t="s">
        <v>1681</v>
      </c>
      <c r="F2640" s="150"/>
      <c r="G2640" s="107"/>
      <c r="H2640" s="95"/>
    </row>
    <row r="2641" spans="1:8" x14ac:dyDescent="0.3">
      <c r="A2641" s="161"/>
      <c r="B2641" s="107"/>
      <c r="C2641" s="111">
        <f>'04a_Box_Dims'!$Y39</f>
        <v>5.1928932188134524</v>
      </c>
      <c r="D2641" s="113"/>
      <c r="E2641" s="63"/>
      <c r="F2641" s="150"/>
      <c r="G2641" s="107"/>
      <c r="H2641" s="95"/>
    </row>
    <row r="2642" spans="1:8" x14ac:dyDescent="0.3">
      <c r="A2642" s="161"/>
      <c r="B2642" s="107"/>
      <c r="C2642" s="111">
        <f>'04a_Box_Dims'!$AB39</f>
        <v>0.49</v>
      </c>
      <c r="D2642" s="113">
        <f>$A2640*$C2640*$C2641*$C2642</f>
        <v>21.590948452923705</v>
      </c>
      <c r="E2642" s="63"/>
      <c r="F2642" s="150"/>
      <c r="G2642" s="107"/>
      <c r="H2642" s="95">
        <f>'04a_Box_Dims'!$AB39</f>
        <v>0.49</v>
      </c>
    </row>
    <row r="2643" spans="1:8" x14ac:dyDescent="0.3">
      <c r="A2643" s="161"/>
      <c r="B2643" s="107"/>
      <c r="C2643" s="111"/>
      <c r="D2643" s="113">
        <f>SUM($D$2628:$D$2642)</f>
        <v>100.84594845292372</v>
      </c>
      <c r="E2643" s="63" t="s">
        <v>1660</v>
      </c>
      <c r="F2643" s="150">
        <f>ROUND($D2643,2)</f>
        <v>100.85</v>
      </c>
      <c r="G2643" s="107" t="s">
        <v>1661</v>
      </c>
      <c r="H2643" s="95"/>
    </row>
    <row r="2644" spans="1:8" x14ac:dyDescent="0.3">
      <c r="A2644" s="161"/>
      <c r="B2644" s="107"/>
      <c r="C2644" s="111"/>
      <c r="D2644" s="113"/>
      <c r="E2644" s="63"/>
      <c r="F2644" s="150"/>
      <c r="G2644" s="107"/>
      <c r="H2644" s="95"/>
    </row>
    <row r="2645" spans="1:8" x14ac:dyDescent="0.3">
      <c r="A2645" s="161"/>
      <c r="B2645" s="107"/>
      <c r="C2645" s="111"/>
      <c r="D2645" s="113"/>
      <c r="E2645" s="149" t="s">
        <v>1682</v>
      </c>
      <c r="F2645" s="150"/>
      <c r="G2645" s="107"/>
      <c r="H2645" s="95"/>
    </row>
    <row r="2646" spans="1:8" x14ac:dyDescent="0.3">
      <c r="A2646" s="161"/>
      <c r="B2646" s="107"/>
      <c r="C2646" s="111"/>
      <c r="D2646" s="113"/>
      <c r="E2646" s="63" t="s">
        <v>1683</v>
      </c>
      <c r="F2646" s="150"/>
      <c r="G2646" s="107"/>
      <c r="H2646" s="95"/>
    </row>
    <row r="2647" spans="1:8" x14ac:dyDescent="0.3">
      <c r="A2647" s="161"/>
      <c r="B2647" s="107"/>
      <c r="C2647" s="111"/>
      <c r="D2647" s="113">
        <f>SUMIF($H$2628:$H$2642,"&lt;=0.3",$D$2628:$D$2642)</f>
        <v>1.7999999999999998</v>
      </c>
      <c r="E2647" s="63" t="s">
        <v>1670</v>
      </c>
      <c r="F2647" s="150">
        <f>ROUND($D2647,2)</f>
        <v>1.8</v>
      </c>
      <c r="G2647" s="107" t="s">
        <v>1661</v>
      </c>
      <c r="H2647" s="95"/>
    </row>
    <row r="2648" spans="1:8" x14ac:dyDescent="0.3">
      <c r="A2648" s="161"/>
      <c r="B2648" s="107"/>
      <c r="C2648" s="111"/>
      <c r="D2648" s="113">
        <f>SUMIF($H$2628:$H$2642,"&gt;0.3",$D$2628:$D$2642)</f>
        <v>99.04594845292371</v>
      </c>
      <c r="E2648" s="63" t="s">
        <v>1671</v>
      </c>
      <c r="F2648" s="150">
        <f>ROUND($D2648,2)</f>
        <v>99.05</v>
      </c>
      <c r="G2648" s="107" t="s">
        <v>1661</v>
      </c>
      <c r="H2648" s="95"/>
    </row>
    <row r="2649" spans="1:8" x14ac:dyDescent="0.3">
      <c r="A2649" s="161"/>
      <c r="B2649" s="107"/>
      <c r="C2649" s="111"/>
      <c r="D2649" s="113"/>
      <c r="E2649" s="63"/>
      <c r="F2649" s="150"/>
      <c r="G2649" s="107"/>
      <c r="H2649" s="95"/>
    </row>
    <row r="2650" spans="1:8" x14ac:dyDescent="0.3">
      <c r="A2650" s="161"/>
      <c r="B2650" s="107"/>
      <c r="C2650" s="111"/>
      <c r="D2650" s="113"/>
      <c r="E2650" s="149" t="s">
        <v>1445</v>
      </c>
      <c r="F2650" s="150"/>
      <c r="G2650" s="107"/>
      <c r="H2650" s="95"/>
    </row>
    <row r="2651" spans="1:8" x14ac:dyDescent="0.3">
      <c r="A2651" s="161"/>
      <c r="B2651" s="107"/>
      <c r="C2651" s="111"/>
      <c r="D2651" s="113"/>
      <c r="E2651" s="63" t="s">
        <v>1684</v>
      </c>
      <c r="F2651" s="150"/>
      <c r="G2651" s="107"/>
      <c r="H2651" s="95"/>
    </row>
    <row r="2652" spans="1:8" x14ac:dyDescent="0.3">
      <c r="A2652" s="161">
        <f>2</f>
        <v>2</v>
      </c>
      <c r="B2652" s="107" t="s">
        <v>1628</v>
      </c>
      <c r="C2652" s="111">
        <f>'04a_Box_Dims'!$AE39</f>
        <v>10</v>
      </c>
      <c r="D2652" s="113"/>
      <c r="E2652" s="63" t="s">
        <v>1685</v>
      </c>
      <c r="F2652" s="150"/>
      <c r="G2652" s="107"/>
      <c r="H2652" s="95"/>
    </row>
    <row r="2653" spans="1:8" x14ac:dyDescent="0.3">
      <c r="A2653" s="161"/>
      <c r="B2653" s="107"/>
      <c r="C2653" s="111">
        <f>'04a_Box_Dims'!$E39</f>
        <v>4</v>
      </c>
      <c r="D2653" s="113">
        <f>$A2652*$C2652*$C2653</f>
        <v>80</v>
      </c>
      <c r="E2653" s="63"/>
      <c r="F2653" s="150"/>
      <c r="G2653" s="107"/>
      <c r="H2653" s="95"/>
    </row>
    <row r="2654" spans="1:8" x14ac:dyDescent="0.3">
      <c r="A2654" s="161">
        <f>4</f>
        <v>4</v>
      </c>
      <c r="B2654" s="107" t="s">
        <v>1628</v>
      </c>
      <c r="C2654" s="111">
        <f>'04a_Box_Dims'!$Z39</f>
        <v>2.1213203435596424</v>
      </c>
      <c r="D2654" s="113"/>
      <c r="E2654" s="63" t="s">
        <v>1686</v>
      </c>
      <c r="F2654" s="150"/>
      <c r="G2654" s="107"/>
      <c r="H2654" s="95"/>
    </row>
    <row r="2655" spans="1:8" x14ac:dyDescent="0.3">
      <c r="A2655" s="161"/>
      <c r="B2655" s="107"/>
      <c r="C2655" s="111">
        <f>'04a_Box_Dims'!$Y39</f>
        <v>5.1928932188134524</v>
      </c>
      <c r="D2655" s="113">
        <f>$A2654*$C2654*$C2655</f>
        <v>44.063160108007558</v>
      </c>
      <c r="E2655" s="63"/>
      <c r="F2655" s="150"/>
      <c r="G2655" s="107"/>
      <c r="H2655" s="95"/>
    </row>
    <row r="2656" spans="1:8" x14ac:dyDescent="0.3">
      <c r="A2656" s="161">
        <f>2</f>
        <v>2</v>
      </c>
      <c r="B2656" s="107" t="s">
        <v>1628</v>
      </c>
      <c r="C2656" s="111">
        <f>'04a_Box_Dims'!$J39</f>
        <v>17.75</v>
      </c>
      <c r="D2656" s="113"/>
      <c r="E2656" s="63" t="s">
        <v>1687</v>
      </c>
      <c r="F2656" s="150"/>
      <c r="G2656" s="107"/>
      <c r="H2656" s="95"/>
    </row>
    <row r="2657" spans="1:8" x14ac:dyDescent="0.3">
      <c r="A2657" s="161"/>
      <c r="B2657" s="107"/>
      <c r="C2657" s="111">
        <f>'04a_Box_Dims'!$U39</f>
        <v>0.6</v>
      </c>
      <c r="D2657" s="113">
        <f>$A2656*$C2656*$C2657</f>
        <v>21.3</v>
      </c>
      <c r="E2657" s="63"/>
      <c r="F2657" s="150"/>
      <c r="G2657" s="107"/>
      <c r="H2657" s="95"/>
    </row>
    <row r="2658" spans="1:8" x14ac:dyDescent="0.3">
      <c r="A2658" s="161"/>
      <c r="B2658" s="107"/>
      <c r="C2658" s="111"/>
      <c r="D2658" s="113">
        <f>SUM($D$2652:$D$2657)</f>
        <v>145.36316010800758</v>
      </c>
      <c r="E2658" s="63" t="s">
        <v>1660</v>
      </c>
      <c r="F2658" s="150">
        <f>ROUND($D2658,2)</f>
        <v>145.36000000000001</v>
      </c>
      <c r="G2658" s="107" t="s">
        <v>1688</v>
      </c>
      <c r="H2658" s="95"/>
    </row>
    <row r="2659" spans="1:8" x14ac:dyDescent="0.3">
      <c r="A2659" s="161"/>
      <c r="B2659" s="107"/>
      <c r="C2659" s="111"/>
      <c r="D2659" s="113"/>
      <c r="E2659" s="63"/>
      <c r="F2659" s="150"/>
      <c r="G2659" s="107"/>
      <c r="H2659" s="95"/>
    </row>
    <row r="2660" spans="1:8" x14ac:dyDescent="0.3">
      <c r="A2660" s="161"/>
      <c r="B2660" s="107"/>
      <c r="C2660" s="111"/>
      <c r="D2660" s="113"/>
      <c r="E2660" s="149" t="s">
        <v>1446</v>
      </c>
      <c r="F2660" s="150"/>
      <c r="G2660" s="107"/>
      <c r="H2660" s="95"/>
    </row>
    <row r="2661" spans="1:8" x14ac:dyDescent="0.3">
      <c r="A2661" s="161"/>
      <c r="B2661" s="107"/>
      <c r="C2661" s="111"/>
      <c r="D2661" s="113"/>
      <c r="E2661" s="63" t="s">
        <v>1689</v>
      </c>
      <c r="F2661" s="150"/>
      <c r="G2661" s="107"/>
      <c r="H2661" s="95"/>
    </row>
    <row r="2662" spans="1:8" x14ac:dyDescent="0.3">
      <c r="A2662" s="161">
        <f>2</f>
        <v>2</v>
      </c>
      <c r="B2662" s="107" t="s">
        <v>1628</v>
      </c>
      <c r="C2662" s="111">
        <f>'04a_Box_Dims'!$O39</f>
        <v>1.5</v>
      </c>
      <c r="D2662" s="113"/>
      <c r="E2662" s="63" t="s">
        <v>1690</v>
      </c>
      <c r="F2662" s="150"/>
      <c r="G2662" s="107"/>
      <c r="H2662" s="95"/>
    </row>
    <row r="2663" spans="1:8" x14ac:dyDescent="0.3">
      <c r="A2663" s="161"/>
      <c r="B2663" s="107"/>
      <c r="C2663" s="111">
        <f>'04a_Box_Dims'!$Q39</f>
        <v>19.25</v>
      </c>
      <c r="D2663" s="113">
        <f>$A2662*$C2662*$C2663</f>
        <v>57.75</v>
      </c>
      <c r="E2663" s="63"/>
      <c r="F2663" s="150"/>
      <c r="G2663" s="107"/>
      <c r="H2663" s="95"/>
    </row>
    <row r="2664" spans="1:8" x14ac:dyDescent="0.3">
      <c r="A2664" s="161"/>
      <c r="B2664" s="107"/>
      <c r="C2664" s="111"/>
      <c r="D2664" s="113">
        <f>SUM($D$2662:$D$2663)</f>
        <v>57.75</v>
      </c>
      <c r="E2664" s="63" t="s">
        <v>1660</v>
      </c>
      <c r="F2664" s="150">
        <f>ROUND($D2664,2)</f>
        <v>57.75</v>
      </c>
      <c r="G2664" s="107" t="s">
        <v>1688</v>
      </c>
      <c r="H2664" s="95"/>
    </row>
    <row r="2665" spans="1:8" x14ac:dyDescent="0.3">
      <c r="A2665" s="161"/>
      <c r="B2665" s="107"/>
      <c r="C2665" s="111"/>
      <c r="D2665" s="113"/>
      <c r="E2665" s="63"/>
      <c r="F2665" s="150"/>
      <c r="G2665" s="107"/>
      <c r="H2665" s="95"/>
    </row>
    <row r="2666" spans="1:8" x14ac:dyDescent="0.3">
      <c r="A2666" s="161"/>
      <c r="B2666" s="107"/>
      <c r="C2666" s="111"/>
      <c r="D2666" s="113"/>
      <c r="E2666" s="149" t="s">
        <v>1447</v>
      </c>
      <c r="F2666" s="150"/>
      <c r="G2666" s="107"/>
      <c r="H2666" s="95"/>
    </row>
    <row r="2667" spans="1:8" x14ac:dyDescent="0.3">
      <c r="A2667" s="161"/>
      <c r="B2667" s="107"/>
      <c r="C2667" s="111"/>
      <c r="D2667" s="113"/>
      <c r="E2667" s="63" t="s">
        <v>1691</v>
      </c>
      <c r="F2667" s="150"/>
      <c r="G2667" s="107"/>
      <c r="H2667" s="95"/>
    </row>
    <row r="2668" spans="1:8" x14ac:dyDescent="0.3">
      <c r="A2668" s="161">
        <f>4</f>
        <v>4</v>
      </c>
      <c r="B2668" s="107" t="s">
        <v>1628</v>
      </c>
      <c r="C2668" s="111">
        <f>'04a_Box_Dims'!$J39</f>
        <v>17.75</v>
      </c>
      <c r="D2668" s="113"/>
      <c r="E2668" s="63" t="s">
        <v>1692</v>
      </c>
      <c r="F2668" s="150"/>
      <c r="G2668" s="107"/>
      <c r="H2668" s="95"/>
    </row>
    <row r="2669" spans="1:8" x14ac:dyDescent="0.3">
      <c r="A2669" s="161"/>
      <c r="B2669" s="107"/>
      <c r="C2669" s="111">
        <f>'04a_Box_Dims'!$I39</f>
        <v>0.35000000000000003</v>
      </c>
      <c r="D2669" s="113">
        <f>$A2668*$C2668*$C2669</f>
        <v>24.85</v>
      </c>
      <c r="E2669" s="63"/>
      <c r="F2669" s="150"/>
      <c r="G2669" s="107"/>
      <c r="H2669" s="95"/>
    </row>
    <row r="2670" spans="1:8" x14ac:dyDescent="0.3">
      <c r="A2670" s="161">
        <f>4</f>
        <v>4</v>
      </c>
      <c r="B2670" s="107" t="s">
        <v>1628</v>
      </c>
      <c r="C2670" s="111">
        <f>'04a_Box_Dims'!$O39</f>
        <v>1.5</v>
      </c>
      <c r="D2670" s="113"/>
      <c r="E2670" s="63" t="s">
        <v>1693</v>
      </c>
      <c r="F2670" s="150"/>
      <c r="G2670" s="107"/>
      <c r="H2670" s="95"/>
    </row>
    <row r="2671" spans="1:8" x14ac:dyDescent="0.3">
      <c r="A2671" s="161"/>
      <c r="B2671" s="107"/>
      <c r="C2671" s="111">
        <f>'04a_Box_Dims'!$P39</f>
        <v>0.35000000000000003</v>
      </c>
      <c r="D2671" s="113">
        <f>$A2670*$C2670*$C2671</f>
        <v>2.1</v>
      </c>
      <c r="E2671" s="63"/>
      <c r="F2671" s="150"/>
      <c r="G2671" s="107"/>
      <c r="H2671" s="95"/>
    </row>
    <row r="2672" spans="1:8" x14ac:dyDescent="0.3">
      <c r="A2672" s="161"/>
      <c r="B2672" s="107"/>
      <c r="C2672" s="111"/>
      <c r="D2672" s="113">
        <f>SUM($D$2668:$D$2671)</f>
        <v>26.950000000000003</v>
      </c>
      <c r="E2672" s="63" t="s">
        <v>1660</v>
      </c>
      <c r="F2672" s="150">
        <f>ROUND($D2672,2)</f>
        <v>26.95</v>
      </c>
      <c r="G2672" s="107" t="s">
        <v>1688</v>
      </c>
      <c r="H2672" s="95"/>
    </row>
    <row r="2673" spans="1:8" x14ac:dyDescent="0.3">
      <c r="A2673" s="161"/>
      <c r="B2673" s="107"/>
      <c r="C2673" s="111"/>
      <c r="D2673" s="113"/>
      <c r="E2673" s="63"/>
      <c r="F2673" s="150"/>
      <c r="G2673" s="107"/>
      <c r="H2673" s="95"/>
    </row>
    <row r="2674" spans="1:8" x14ac:dyDescent="0.3">
      <c r="A2674" s="161"/>
      <c r="B2674" s="107"/>
      <c r="C2674" s="111"/>
      <c r="D2674" s="113"/>
      <c r="E2674" s="149" t="s">
        <v>1448</v>
      </c>
      <c r="F2674" s="150"/>
      <c r="G2674" s="107"/>
      <c r="H2674" s="95"/>
    </row>
    <row r="2675" spans="1:8" x14ac:dyDescent="0.3">
      <c r="A2675" s="161"/>
      <c r="B2675" s="107"/>
      <c r="C2675" s="111"/>
      <c r="D2675" s="113"/>
      <c r="E2675" s="63" t="s">
        <v>1694</v>
      </c>
      <c r="F2675" s="150"/>
      <c r="G2675" s="107"/>
      <c r="H2675" s="95"/>
    </row>
    <row r="2676" spans="1:8" x14ac:dyDescent="0.3">
      <c r="A2676" s="161">
        <f>1</f>
        <v>1</v>
      </c>
      <c r="B2676" s="107" t="s">
        <v>1628</v>
      </c>
      <c r="C2676" s="111">
        <f>'04a_Box_Dims'!$AE39</f>
        <v>10</v>
      </c>
      <c r="D2676" s="113"/>
      <c r="E2676" s="63" t="s">
        <v>1695</v>
      </c>
      <c r="F2676" s="150"/>
      <c r="G2676" s="107"/>
      <c r="H2676" s="95"/>
    </row>
    <row r="2677" spans="1:8" x14ac:dyDescent="0.3">
      <c r="A2677" s="161"/>
      <c r="B2677" s="107"/>
      <c r="C2677" s="111">
        <f>'04a_Box_Dims'!$K39</f>
        <v>17.05</v>
      </c>
      <c r="D2677" s="113">
        <f>$A2676*$C2676*$C2677</f>
        <v>170.5</v>
      </c>
      <c r="E2677" s="63"/>
      <c r="F2677" s="150"/>
      <c r="G2677" s="107"/>
      <c r="H2677" s="95"/>
    </row>
    <row r="2678" spans="1:8" x14ac:dyDescent="0.3">
      <c r="A2678" s="161"/>
      <c r="B2678" s="107"/>
      <c r="C2678" s="111"/>
      <c r="D2678" s="113">
        <f>SUM($D$2676:$D$2677)</f>
        <v>170.5</v>
      </c>
      <c r="E2678" s="63" t="s">
        <v>1660</v>
      </c>
      <c r="F2678" s="150">
        <f>ROUND($D2678,2)</f>
        <v>170.5</v>
      </c>
      <c r="G2678" s="107" t="s">
        <v>1688</v>
      </c>
      <c r="H2678" s="95"/>
    </row>
    <row r="2679" spans="1:8" x14ac:dyDescent="0.3">
      <c r="A2679" s="161"/>
      <c r="B2679" s="107"/>
      <c r="C2679" s="111"/>
      <c r="D2679" s="113"/>
      <c r="E2679" s="63"/>
      <c r="F2679" s="150"/>
      <c r="G2679" s="107"/>
      <c r="H2679" s="95"/>
    </row>
    <row r="2680" spans="1:8" x14ac:dyDescent="0.3">
      <c r="A2680" s="161"/>
      <c r="B2680" s="107"/>
      <c r="C2680" s="111"/>
      <c r="D2680" s="113"/>
      <c r="E2680" s="149" t="s">
        <v>1449</v>
      </c>
      <c r="F2680" s="150"/>
      <c r="G2680" s="107"/>
      <c r="H2680" s="95"/>
    </row>
    <row r="2681" spans="1:8" x14ac:dyDescent="0.3">
      <c r="A2681" s="161"/>
      <c r="B2681" s="107"/>
      <c r="C2681" s="111"/>
      <c r="D2681" s="113"/>
      <c r="E2681" s="63" t="s">
        <v>1696</v>
      </c>
      <c r="F2681" s="150"/>
      <c r="G2681" s="107"/>
      <c r="H2681" s="95"/>
    </row>
    <row r="2682" spans="1:8" x14ac:dyDescent="0.3">
      <c r="A2682" s="161">
        <f>2</f>
        <v>2</v>
      </c>
      <c r="B2682" s="107" t="s">
        <v>1628</v>
      </c>
      <c r="C2682" s="111">
        <f>'04a_Box_Dims'!$J39</f>
        <v>17.75</v>
      </c>
      <c r="D2682" s="113"/>
      <c r="E2682" s="63" t="s">
        <v>1697</v>
      </c>
      <c r="F2682" s="150"/>
      <c r="G2682" s="107"/>
      <c r="H2682" s="95"/>
    </row>
    <row r="2683" spans="1:8" x14ac:dyDescent="0.3">
      <c r="A2683" s="161"/>
      <c r="B2683" s="107"/>
      <c r="C2683" s="111">
        <f>'04a_Box_Dims'!$U39</f>
        <v>0.6</v>
      </c>
      <c r="D2683" s="113">
        <f>$A2682*$C2682*$C2683</f>
        <v>21.3</v>
      </c>
      <c r="E2683" s="63"/>
      <c r="F2683" s="150"/>
      <c r="G2683" s="107"/>
      <c r="H2683" s="95"/>
    </row>
    <row r="2684" spans="1:8" x14ac:dyDescent="0.3">
      <c r="A2684" s="161"/>
      <c r="B2684" s="107"/>
      <c r="C2684" s="111"/>
      <c r="D2684" s="113">
        <f>SUM($D$2682:$D$2683)</f>
        <v>21.3</v>
      </c>
      <c r="E2684" s="63" t="s">
        <v>1660</v>
      </c>
      <c r="F2684" s="150">
        <f>ROUND($D2684,2)</f>
        <v>21.3</v>
      </c>
      <c r="G2684" s="107" t="s">
        <v>1688</v>
      </c>
      <c r="H2684" s="95"/>
    </row>
    <row r="2685" spans="1:8" x14ac:dyDescent="0.3">
      <c r="A2685" s="161"/>
      <c r="B2685" s="107"/>
      <c r="C2685" s="111"/>
      <c r="D2685" s="113"/>
      <c r="E2685" s="63"/>
      <c r="F2685" s="150"/>
      <c r="G2685" s="107"/>
      <c r="H2685" s="95"/>
    </row>
    <row r="2686" spans="1:8" x14ac:dyDescent="0.3">
      <c r="A2686" s="161"/>
      <c r="B2686" s="107"/>
      <c r="C2686" s="111"/>
      <c r="D2686" s="113"/>
      <c r="E2686" s="149" t="s">
        <v>1329</v>
      </c>
      <c r="F2686" s="150"/>
      <c r="G2686" s="107"/>
      <c r="H2686" s="95"/>
    </row>
    <row r="2687" spans="1:8" x14ac:dyDescent="0.3">
      <c r="A2687" s="161"/>
      <c r="B2687" s="107"/>
      <c r="C2687" s="111"/>
      <c r="D2687" s="113"/>
      <c r="E2687" s="63" t="s">
        <v>1698</v>
      </c>
      <c r="F2687" s="150"/>
      <c r="G2687" s="107"/>
      <c r="H2687" s="95"/>
    </row>
    <row r="2688" spans="1:8" x14ac:dyDescent="0.3">
      <c r="A2688" s="161">
        <f>2</f>
        <v>2</v>
      </c>
      <c r="B2688" s="107" t="s">
        <v>1628</v>
      </c>
      <c r="C2688" s="111">
        <f>'04a_Box_Dims'!$AE39</f>
        <v>10</v>
      </c>
      <c r="D2688" s="113"/>
      <c r="E2688" s="63" t="s">
        <v>1699</v>
      </c>
      <c r="F2688" s="150"/>
      <c r="G2688" s="107"/>
      <c r="H2688" s="95"/>
    </row>
    <row r="2689" spans="1:8" x14ac:dyDescent="0.3">
      <c r="A2689" s="161"/>
      <c r="B2689" s="107"/>
      <c r="C2689" s="111">
        <f>'04a_Box_Dims'!$E39</f>
        <v>4</v>
      </c>
      <c r="D2689" s="113">
        <f>$A2688*$C2688*$C2689</f>
        <v>80</v>
      </c>
      <c r="E2689" s="63"/>
      <c r="F2689" s="150"/>
      <c r="G2689" s="107"/>
      <c r="H2689" s="95"/>
    </row>
    <row r="2690" spans="1:8" x14ac:dyDescent="0.3">
      <c r="A2690" s="161">
        <f>('04a_Box_Dims'!$C39-1)*2</f>
        <v>6</v>
      </c>
      <c r="B2690" s="107" t="s">
        <v>1628</v>
      </c>
      <c r="C2690" s="111">
        <f>'04a_Box_Dims'!$AE39</f>
        <v>10</v>
      </c>
      <c r="D2690" s="113"/>
      <c r="E2690" s="63" t="s">
        <v>1700</v>
      </c>
      <c r="F2690" s="150"/>
      <c r="G2690" s="107"/>
      <c r="H2690" s="95"/>
    </row>
    <row r="2691" spans="1:8" x14ac:dyDescent="0.3">
      <c r="A2691" s="161"/>
      <c r="B2691" s="107"/>
      <c r="C2691" s="111">
        <f>'04a_Box_Dims'!$E39</f>
        <v>4</v>
      </c>
      <c r="D2691" s="113">
        <f>$A2690*$C2690*$C2691</f>
        <v>240</v>
      </c>
      <c r="E2691" s="63"/>
      <c r="F2691" s="150"/>
      <c r="G2691" s="107"/>
      <c r="H2691" s="95"/>
    </row>
    <row r="2692" spans="1:8" x14ac:dyDescent="0.3">
      <c r="A2692" s="161">
        <f>4</f>
        <v>4</v>
      </c>
      <c r="B2692" s="107" t="s">
        <v>1628</v>
      </c>
      <c r="C2692" s="111">
        <f>'04a_Box_Dims'!$Z39</f>
        <v>2.1213203435596424</v>
      </c>
      <c r="D2692" s="113"/>
      <c r="E2692" s="63" t="s">
        <v>1701</v>
      </c>
      <c r="F2692" s="150"/>
      <c r="G2692" s="107"/>
      <c r="H2692" s="95"/>
    </row>
    <row r="2693" spans="1:8" x14ac:dyDescent="0.3">
      <c r="A2693" s="161"/>
      <c r="B2693" s="107"/>
      <c r="C2693" s="111">
        <f>'04a_Box_Dims'!$Y39</f>
        <v>5.1928932188134524</v>
      </c>
      <c r="D2693" s="113">
        <f>$A2692*$C2692*$C2693</f>
        <v>44.063160108007558</v>
      </c>
      <c r="E2693" s="63"/>
      <c r="F2693" s="150"/>
      <c r="G2693" s="107"/>
      <c r="H2693" s="95"/>
    </row>
    <row r="2694" spans="1:8" x14ac:dyDescent="0.3">
      <c r="A2694" s="161"/>
      <c r="B2694" s="107"/>
      <c r="C2694" s="111"/>
      <c r="D2694" s="113">
        <f>SUM($D$2688:$D$2693)</f>
        <v>364.06316010800754</v>
      </c>
      <c r="E2694" s="63" t="s">
        <v>1660</v>
      </c>
      <c r="F2694" s="150">
        <f>ROUND($D2694,2)</f>
        <v>364.06</v>
      </c>
      <c r="G2694" s="107" t="s">
        <v>1688</v>
      </c>
      <c r="H2694" s="95"/>
    </row>
    <row r="2695" spans="1:8" x14ac:dyDescent="0.3">
      <c r="A2695" s="161"/>
      <c r="B2695" s="107"/>
      <c r="C2695" s="111"/>
      <c r="D2695" s="113"/>
      <c r="E2695" s="63"/>
      <c r="F2695" s="150"/>
      <c r="G2695" s="107"/>
      <c r="H2695" s="95"/>
    </row>
    <row r="2696" spans="1:8" x14ac:dyDescent="0.3">
      <c r="A2696" s="161"/>
      <c r="B2696" s="107"/>
      <c r="C2696" s="111"/>
      <c r="D2696" s="113"/>
      <c r="E2696" s="149" t="s">
        <v>1702</v>
      </c>
      <c r="F2696" s="150"/>
      <c r="G2696" s="107"/>
      <c r="H2696" s="95"/>
    </row>
    <row r="2697" spans="1:8" x14ac:dyDescent="0.3">
      <c r="A2697" s="161"/>
      <c r="B2697" s="107"/>
      <c r="C2697" s="111"/>
      <c r="D2697" s="113"/>
      <c r="E2697" s="63" t="s">
        <v>1703</v>
      </c>
      <c r="F2697" s="150"/>
      <c r="G2697" s="107"/>
      <c r="H2697" s="95"/>
    </row>
    <row r="2698" spans="1:8" x14ac:dyDescent="0.3">
      <c r="A2698" s="161"/>
      <c r="B2698" s="107"/>
      <c r="C2698" s="111"/>
      <c r="D2698" s="113">
        <v>0</v>
      </c>
      <c r="E2698" s="63" t="s">
        <v>1704</v>
      </c>
      <c r="F2698" s="150">
        <f t="shared" ref="F2698:F2703" si="17">ROUND($D2698,3)</f>
        <v>0</v>
      </c>
      <c r="G2698" s="107" t="s">
        <v>1474</v>
      </c>
      <c r="H2698" s="95"/>
    </row>
    <row r="2699" spans="1:8" x14ac:dyDescent="0.3">
      <c r="A2699" s="161"/>
      <c r="B2699" s="107"/>
      <c r="C2699" s="111"/>
      <c r="D2699" s="113">
        <f>'04b_Box_Bars'!$S26/1000</f>
        <v>4.3897474148610174</v>
      </c>
      <c r="E2699" s="63" t="s">
        <v>1705</v>
      </c>
      <c r="F2699" s="150">
        <f t="shared" si="17"/>
        <v>4.3899999999999997</v>
      </c>
      <c r="G2699" s="107" t="s">
        <v>1474</v>
      </c>
      <c r="H2699" s="95"/>
    </row>
    <row r="2700" spans="1:8" x14ac:dyDescent="0.3">
      <c r="A2700" s="161"/>
      <c r="B2700" s="107"/>
      <c r="C2700" s="111"/>
      <c r="D2700" s="113">
        <f>'04b_Box_Bars'!$T26/1000</f>
        <v>16.309087901223844</v>
      </c>
      <c r="E2700" s="63" t="s">
        <v>1706</v>
      </c>
      <c r="F2700" s="150">
        <f t="shared" si="17"/>
        <v>16.309000000000001</v>
      </c>
      <c r="G2700" s="107" t="s">
        <v>1474</v>
      </c>
      <c r="H2700" s="95"/>
    </row>
    <row r="2701" spans="1:8" x14ac:dyDescent="0.3">
      <c r="A2701" s="161"/>
      <c r="B2701" s="107"/>
      <c r="C2701" s="111"/>
      <c r="D2701" s="113">
        <f>'04b_Box_Bars'!$U26/1000</f>
        <v>12.050675415670872</v>
      </c>
      <c r="E2701" s="63" t="s">
        <v>1707</v>
      </c>
      <c r="F2701" s="150">
        <f t="shared" si="17"/>
        <v>12.051</v>
      </c>
      <c r="G2701" s="107" t="s">
        <v>1474</v>
      </c>
      <c r="H2701" s="95"/>
    </row>
    <row r="2702" spans="1:8" x14ac:dyDescent="0.3">
      <c r="A2702" s="161"/>
      <c r="B2702" s="107"/>
      <c r="C2702" s="111"/>
      <c r="D2702" s="113">
        <f>'04b_Box_Bars'!$V26/1000</f>
        <v>0</v>
      </c>
      <c r="E2702" s="63" t="s">
        <v>1708</v>
      </c>
      <c r="F2702" s="150">
        <f t="shared" si="17"/>
        <v>0</v>
      </c>
      <c r="G2702" s="107" t="s">
        <v>1474</v>
      </c>
      <c r="H2702" s="95"/>
    </row>
    <row r="2703" spans="1:8" x14ac:dyDescent="0.3">
      <c r="A2703" s="161"/>
      <c r="B2703" s="107"/>
      <c r="C2703" s="111"/>
      <c r="D2703" s="113">
        <f>'04b_Box_Bars'!$W26/1000</f>
        <v>1.5721707735808423</v>
      </c>
      <c r="E2703" s="63" t="s">
        <v>1709</v>
      </c>
      <c r="F2703" s="150">
        <f t="shared" si="17"/>
        <v>1.5720000000000001</v>
      </c>
      <c r="G2703" s="107" t="s">
        <v>1474</v>
      </c>
      <c r="H2703" s="95"/>
    </row>
    <row r="2704" spans="1:8" x14ac:dyDescent="0.3">
      <c r="A2704" s="161"/>
      <c r="B2704" s="107"/>
      <c r="C2704" s="111"/>
      <c r="D2704" s="113"/>
      <c r="E2704" s="63"/>
      <c r="F2704" s="150"/>
      <c r="G2704" s="107"/>
      <c r="H2704" s="95"/>
    </row>
    <row r="2705" spans="1:8" x14ac:dyDescent="0.3">
      <c r="A2705" s="161"/>
      <c r="B2705" s="107"/>
      <c r="C2705" s="111"/>
      <c r="D2705" s="113"/>
      <c r="E2705" s="63"/>
      <c r="F2705" s="150"/>
      <c r="G2705" s="107"/>
      <c r="H2705" s="95"/>
    </row>
    <row r="2706" spans="1:8" x14ac:dyDescent="0.3">
      <c r="A2706" s="160" t="str">
        <f>'04a_Box_Dims'!$F40&amp;"  No.  "&amp;'04a_Box_Dims'!$A40&amp;"   (L = "&amp;TEXT('04a_Box_Dims'!$AE40,"0.00")&amp;" m)"</f>
        <v>0  No.  2/3x2.4 box culvert   (L = 10.00 m)</v>
      </c>
      <c r="B2706" s="146"/>
      <c r="C2706" s="162"/>
      <c r="D2706" s="163"/>
      <c r="E2706" s="147"/>
      <c r="F2706" s="148"/>
      <c r="G2706" s="146"/>
      <c r="H2706" s="151"/>
    </row>
    <row r="2707" spans="1:8" x14ac:dyDescent="0.3">
      <c r="A2707" s="161"/>
      <c r="B2707" s="107"/>
      <c r="C2707" s="111"/>
      <c r="D2707" s="113"/>
      <c r="E2707" s="149" t="s">
        <v>1438</v>
      </c>
      <c r="F2707" s="150"/>
      <c r="G2707" s="107"/>
      <c r="H2707" s="95"/>
    </row>
    <row r="2708" spans="1:8" x14ac:dyDescent="0.3">
      <c r="A2708" s="161"/>
      <c r="B2708" s="107"/>
      <c r="C2708" s="111"/>
      <c r="D2708" s="113"/>
      <c r="E2708" s="63" t="s">
        <v>1655</v>
      </c>
      <c r="F2708" s="150"/>
      <c r="G2708" s="107"/>
      <c r="H2708" s="95"/>
    </row>
    <row r="2709" spans="1:8" x14ac:dyDescent="0.3">
      <c r="A2709" s="161">
        <f>1</f>
        <v>1</v>
      </c>
      <c r="B2709" s="107" t="s">
        <v>1628</v>
      </c>
      <c r="C2709" s="111">
        <f>'04a_Box_Dims'!$AE40</f>
        <v>10</v>
      </c>
      <c r="D2709" s="113"/>
      <c r="E2709" s="63" t="s">
        <v>1656</v>
      </c>
      <c r="F2709" s="150"/>
      <c r="G2709" s="107"/>
      <c r="H2709" s="95"/>
    </row>
    <row r="2710" spans="1:8" x14ac:dyDescent="0.3">
      <c r="A2710" s="161"/>
      <c r="B2710" s="107"/>
      <c r="C2710" s="111">
        <f>'04a_Box_Dims'!$J40+2*BX_work</f>
        <v>7.35</v>
      </c>
      <c r="D2710" s="113"/>
      <c r="E2710" s="63"/>
      <c r="F2710" s="150"/>
      <c r="G2710" s="107"/>
      <c r="H2710" s="95"/>
    </row>
    <row r="2711" spans="1:8" x14ac:dyDescent="0.3">
      <c r="A2711" s="161"/>
      <c r="B2711" s="107"/>
      <c r="C2711" s="111">
        <f>'04a_Box_Dims'!$L40+BX_blind+BX_exX</f>
        <v>3.0999999999999996</v>
      </c>
      <c r="D2711" s="113">
        <f>$A2709*$C2709*$C2710*$C2711</f>
        <v>227.84999999999997</v>
      </c>
      <c r="E2711" s="63"/>
      <c r="F2711" s="150"/>
      <c r="G2711" s="107"/>
      <c r="H2711" s="95"/>
    </row>
    <row r="2712" spans="1:8" x14ac:dyDescent="0.3">
      <c r="A2712" s="161">
        <f>2</f>
        <v>2</v>
      </c>
      <c r="B2712" s="107" t="s">
        <v>1628</v>
      </c>
      <c r="C2712" s="111">
        <f>'04a_Box_Dims'!$O40</f>
        <v>1.5</v>
      </c>
      <c r="D2712" s="113"/>
      <c r="E2712" s="63" t="s">
        <v>1657</v>
      </c>
      <c r="F2712" s="150"/>
      <c r="G2712" s="107"/>
      <c r="H2712" s="95"/>
    </row>
    <row r="2713" spans="1:8" x14ac:dyDescent="0.3">
      <c r="A2713" s="161"/>
      <c r="B2713" s="107"/>
      <c r="C2713" s="111">
        <f>'04a_Box_Dims'!$Q40</f>
        <v>8.25</v>
      </c>
      <c r="D2713" s="113"/>
      <c r="E2713" s="63"/>
      <c r="F2713" s="150"/>
      <c r="G2713" s="107"/>
      <c r="H2713" s="95"/>
    </row>
    <row r="2714" spans="1:8" x14ac:dyDescent="0.3">
      <c r="A2714" s="161"/>
      <c r="B2714" s="107"/>
      <c r="C2714" s="111">
        <f>'04a_Box_Dims'!$P40+BX_blind+BX_exX</f>
        <v>0.44999999999999996</v>
      </c>
      <c r="D2714" s="113">
        <f>$A2712*$C2712*$C2713*$C2714</f>
        <v>11.137499999999999</v>
      </c>
      <c r="E2714" s="63"/>
      <c r="F2714" s="150"/>
      <c r="G2714" s="107"/>
      <c r="H2714" s="95"/>
    </row>
    <row r="2715" spans="1:8" x14ac:dyDescent="0.3">
      <c r="A2715" s="161">
        <f>2</f>
        <v>2</v>
      </c>
      <c r="B2715" s="107" t="s">
        <v>1628</v>
      </c>
      <c r="C2715" s="111">
        <f>'04a_Box_Dims'!$R40</f>
        <v>6.75</v>
      </c>
      <c r="D2715" s="113"/>
      <c r="E2715" s="63" t="s">
        <v>1658</v>
      </c>
      <c r="F2715" s="150"/>
      <c r="G2715" s="107"/>
      <c r="H2715" s="95"/>
    </row>
    <row r="2716" spans="1:8" x14ac:dyDescent="0.3">
      <c r="A2716" s="161"/>
      <c r="B2716" s="107"/>
      <c r="C2716" s="111">
        <f>'04a_Box_Dims'!$S40</f>
        <v>0.2</v>
      </c>
      <c r="D2716" s="113"/>
      <c r="E2716" s="63"/>
      <c r="F2716" s="150"/>
      <c r="G2716" s="107"/>
      <c r="H2716" s="95"/>
    </row>
    <row r="2717" spans="1:8" x14ac:dyDescent="0.3">
      <c r="A2717" s="161"/>
      <c r="B2717" s="107"/>
      <c r="C2717" s="111">
        <f>'04a_Box_Dims'!$T40+BX_blind</f>
        <v>0.5</v>
      </c>
      <c r="D2717" s="113">
        <f>$A2715*$C2715*$C2716*$C2717</f>
        <v>1.35</v>
      </c>
      <c r="E2717" s="63"/>
      <c r="F2717" s="150"/>
      <c r="G2717" s="107"/>
      <c r="H2717" s="95"/>
    </row>
    <row r="2718" spans="1:8" x14ac:dyDescent="0.3">
      <c r="A2718" s="161">
        <f>4</f>
        <v>4</v>
      </c>
      <c r="B2718" s="107" t="s">
        <v>1628</v>
      </c>
      <c r="C2718" s="111">
        <f>'04a_Box_Dims'!$Z40</f>
        <v>2.1213203435596424</v>
      </c>
      <c r="D2718" s="113"/>
      <c r="E2718" s="63" t="s">
        <v>1659</v>
      </c>
      <c r="F2718" s="150"/>
      <c r="G2718" s="107"/>
      <c r="H2718" s="95"/>
    </row>
    <row r="2719" spans="1:8" x14ac:dyDescent="0.3">
      <c r="A2719" s="161"/>
      <c r="B2719" s="107"/>
      <c r="C2719" s="111">
        <f>'04a_Box_Dims'!$AC40</f>
        <v>0.9</v>
      </c>
      <c r="D2719" s="113"/>
      <c r="E2719" s="63"/>
      <c r="F2719" s="150"/>
      <c r="G2719" s="107"/>
      <c r="H2719" s="95"/>
    </row>
    <row r="2720" spans="1:8" x14ac:dyDescent="0.3">
      <c r="A2720" s="161"/>
      <c r="B2720" s="107"/>
      <c r="C2720" s="111">
        <f>'04a_Box_Dims'!$AD40+BX_blind</f>
        <v>0.35</v>
      </c>
      <c r="D2720" s="113">
        <f>$A2718*$C2718*$C2719*$C2720</f>
        <v>2.6728636328851492</v>
      </c>
      <c r="E2720" s="63"/>
      <c r="F2720" s="150"/>
      <c r="G2720" s="107"/>
      <c r="H2720" s="95"/>
    </row>
    <row r="2721" spans="1:8" x14ac:dyDescent="0.3">
      <c r="A2721" s="161"/>
      <c r="B2721" s="107"/>
      <c r="C2721" s="111"/>
      <c r="D2721" s="113">
        <f>SUM($D$2709:$D$2720)</f>
        <v>243.01036363288509</v>
      </c>
      <c r="E2721" s="63" t="s">
        <v>1660</v>
      </c>
      <c r="F2721" s="150">
        <f>ROUND($D2721,0)</f>
        <v>243</v>
      </c>
      <c r="G2721" s="107" t="s">
        <v>1661</v>
      </c>
      <c r="H2721" s="95"/>
    </row>
    <row r="2722" spans="1:8" x14ac:dyDescent="0.3">
      <c r="A2722" s="161"/>
      <c r="B2722" s="107"/>
      <c r="C2722" s="111"/>
      <c r="D2722" s="113"/>
      <c r="E2722" s="63"/>
      <c r="F2722" s="150"/>
      <c r="G2722" s="107"/>
      <c r="H2722" s="95"/>
    </row>
    <row r="2723" spans="1:8" x14ac:dyDescent="0.3">
      <c r="A2723" s="161"/>
      <c r="B2723" s="107"/>
      <c r="C2723" s="111"/>
      <c r="D2723" s="113"/>
      <c r="E2723" s="149" t="s">
        <v>1323</v>
      </c>
      <c r="F2723" s="150"/>
      <c r="G2723" s="107"/>
      <c r="H2723" s="95"/>
    </row>
    <row r="2724" spans="1:8" x14ac:dyDescent="0.3">
      <c r="A2724" s="161"/>
      <c r="B2724" s="107"/>
      <c r="C2724" s="111"/>
      <c r="D2724" s="113"/>
      <c r="E2724" s="63" t="s">
        <v>1662</v>
      </c>
      <c r="F2724" s="150"/>
      <c r="G2724" s="107"/>
      <c r="H2724" s="95"/>
    </row>
    <row r="2725" spans="1:8" x14ac:dyDescent="0.3">
      <c r="A2725" s="161">
        <f>1</f>
        <v>1</v>
      </c>
      <c r="B2725" s="107" t="s">
        <v>1628</v>
      </c>
      <c r="C2725" s="111">
        <f>'04a_Box_Dims'!$AE40</f>
        <v>10</v>
      </c>
      <c r="D2725" s="113"/>
      <c r="E2725" s="63" t="s">
        <v>1663</v>
      </c>
      <c r="F2725" s="150"/>
      <c r="G2725" s="107"/>
      <c r="H2725" s="95"/>
    </row>
    <row r="2726" spans="1:8" x14ac:dyDescent="0.3">
      <c r="A2726" s="161"/>
      <c r="B2726" s="107"/>
      <c r="C2726" s="111">
        <f>'04a_Box_Dims'!$J40</f>
        <v>6.75</v>
      </c>
      <c r="D2726" s="113"/>
      <c r="E2726" s="63"/>
      <c r="F2726" s="150"/>
      <c r="G2726" s="107"/>
      <c r="H2726" s="95"/>
    </row>
    <row r="2727" spans="1:8" x14ac:dyDescent="0.3">
      <c r="A2727" s="161"/>
      <c r="B2727" s="107"/>
      <c r="C2727" s="111">
        <f>BX_blind</f>
        <v>0.05</v>
      </c>
      <c r="D2727" s="113">
        <f>$A2725*$C2725*$C2726*$C2727</f>
        <v>3.375</v>
      </c>
      <c r="E2727" s="63"/>
      <c r="F2727" s="150"/>
      <c r="G2727" s="107"/>
      <c r="H2727" s="95"/>
    </row>
    <row r="2728" spans="1:8" x14ac:dyDescent="0.3">
      <c r="A2728" s="161">
        <f>2</f>
        <v>2</v>
      </c>
      <c r="B2728" s="107" t="s">
        <v>1628</v>
      </c>
      <c r="C2728" s="111">
        <f>'04a_Box_Dims'!$O40</f>
        <v>1.5</v>
      </c>
      <c r="D2728" s="113"/>
      <c r="E2728" s="63" t="s">
        <v>1657</v>
      </c>
      <c r="F2728" s="150"/>
      <c r="G2728" s="107"/>
      <c r="H2728" s="95"/>
    </row>
    <row r="2729" spans="1:8" x14ac:dyDescent="0.3">
      <c r="A2729" s="161"/>
      <c r="B2729" s="107"/>
      <c r="C2729" s="111">
        <f>'04a_Box_Dims'!$Q40</f>
        <v>8.25</v>
      </c>
      <c r="D2729" s="113"/>
      <c r="E2729" s="63"/>
      <c r="F2729" s="150"/>
      <c r="G2729" s="107"/>
      <c r="H2729" s="95"/>
    </row>
    <row r="2730" spans="1:8" x14ac:dyDescent="0.3">
      <c r="A2730" s="161"/>
      <c r="B2730" s="107"/>
      <c r="C2730" s="111">
        <f>BX_blind</f>
        <v>0.05</v>
      </c>
      <c r="D2730" s="113">
        <f>$A2728*$C2728*$C2729*$C2730</f>
        <v>1.2375</v>
      </c>
      <c r="E2730" s="63"/>
      <c r="F2730" s="150"/>
      <c r="G2730" s="107"/>
      <c r="H2730" s="95"/>
    </row>
    <row r="2731" spans="1:8" x14ac:dyDescent="0.3">
      <c r="A2731" s="161">
        <f>2</f>
        <v>2</v>
      </c>
      <c r="B2731" s="107" t="s">
        <v>1628</v>
      </c>
      <c r="C2731" s="111">
        <f>'04a_Box_Dims'!$R40</f>
        <v>6.75</v>
      </c>
      <c r="D2731" s="113"/>
      <c r="E2731" s="63" t="s">
        <v>1658</v>
      </c>
      <c r="F2731" s="150"/>
      <c r="G2731" s="107"/>
      <c r="H2731" s="95"/>
    </row>
    <row r="2732" spans="1:8" x14ac:dyDescent="0.3">
      <c r="A2732" s="161"/>
      <c r="B2732" s="107"/>
      <c r="C2732" s="111">
        <f>'04a_Box_Dims'!$S40</f>
        <v>0.2</v>
      </c>
      <c r="D2732" s="113"/>
      <c r="E2732" s="63"/>
      <c r="F2732" s="150"/>
      <c r="G2732" s="107"/>
      <c r="H2732" s="95"/>
    </row>
    <row r="2733" spans="1:8" x14ac:dyDescent="0.3">
      <c r="A2733" s="161"/>
      <c r="B2733" s="107"/>
      <c r="C2733" s="111">
        <f>BX_blind</f>
        <v>0.05</v>
      </c>
      <c r="D2733" s="113">
        <f>$A2731*$C2731*$C2732*$C2733</f>
        <v>0.13500000000000001</v>
      </c>
      <c r="E2733" s="63"/>
      <c r="F2733" s="150"/>
      <c r="G2733" s="107"/>
      <c r="H2733" s="95"/>
    </row>
    <row r="2734" spans="1:8" x14ac:dyDescent="0.3">
      <c r="A2734" s="161">
        <f>4</f>
        <v>4</v>
      </c>
      <c r="B2734" s="107" t="s">
        <v>1628</v>
      </c>
      <c r="C2734" s="111">
        <f>'04a_Box_Dims'!$Z40</f>
        <v>2.1213203435596424</v>
      </c>
      <c r="D2734" s="113"/>
      <c r="E2734" s="63" t="s">
        <v>1659</v>
      </c>
      <c r="F2734" s="150"/>
      <c r="G2734" s="107"/>
      <c r="H2734" s="95"/>
    </row>
    <row r="2735" spans="1:8" x14ac:dyDescent="0.3">
      <c r="A2735" s="161"/>
      <c r="B2735" s="107"/>
      <c r="C2735" s="111">
        <f>'04a_Box_Dims'!$AC40</f>
        <v>0.9</v>
      </c>
      <c r="D2735" s="113"/>
      <c r="E2735" s="63"/>
      <c r="F2735" s="150"/>
      <c r="G2735" s="107"/>
      <c r="H2735" s="95"/>
    </row>
    <row r="2736" spans="1:8" x14ac:dyDescent="0.3">
      <c r="A2736" s="161"/>
      <c r="B2736" s="107"/>
      <c r="C2736" s="111">
        <f>BX_blind</f>
        <v>0.05</v>
      </c>
      <c r="D2736" s="113">
        <f>$A2734*$C2734*$C2735*$C2736</f>
        <v>0.38183766184073564</v>
      </c>
      <c r="E2736" s="63"/>
      <c r="F2736" s="150"/>
      <c r="G2736" s="107"/>
      <c r="H2736" s="95"/>
    </row>
    <row r="2737" spans="1:8" x14ac:dyDescent="0.3">
      <c r="A2737" s="161"/>
      <c r="B2737" s="107"/>
      <c r="C2737" s="111"/>
      <c r="D2737" s="113">
        <f>SUM($D$2725:$D$2736)</f>
        <v>5.1293376618407356</v>
      </c>
      <c r="E2737" s="63" t="s">
        <v>1660</v>
      </c>
      <c r="F2737" s="150">
        <f>ROUND($D2737,2)</f>
        <v>5.13</v>
      </c>
      <c r="G2737" s="107" t="s">
        <v>1661</v>
      </c>
      <c r="H2737" s="95"/>
    </row>
    <row r="2738" spans="1:8" x14ac:dyDescent="0.3">
      <c r="A2738" s="161"/>
      <c r="B2738" s="107"/>
      <c r="C2738" s="111"/>
      <c r="D2738" s="113"/>
      <c r="E2738" s="63"/>
      <c r="F2738" s="150"/>
      <c r="G2738" s="107"/>
      <c r="H2738" s="95"/>
    </row>
    <row r="2739" spans="1:8" x14ac:dyDescent="0.3">
      <c r="A2739" s="161"/>
      <c r="B2739" s="107"/>
      <c r="C2739" s="111"/>
      <c r="D2739" s="113"/>
      <c r="E2739" s="149" t="s">
        <v>1324</v>
      </c>
      <c r="F2739" s="150"/>
      <c r="G2739" s="107"/>
      <c r="H2739" s="95"/>
    </row>
    <row r="2740" spans="1:8" x14ac:dyDescent="0.3">
      <c r="A2740" s="161"/>
      <c r="B2740" s="107"/>
      <c r="C2740" s="111"/>
      <c r="D2740" s="113"/>
      <c r="E2740" s="63" t="s">
        <v>1664</v>
      </c>
      <c r="F2740" s="150"/>
      <c r="G2740" s="107"/>
      <c r="H2740" s="95"/>
    </row>
    <row r="2741" spans="1:8" x14ac:dyDescent="0.3">
      <c r="A2741" s="161"/>
      <c r="B2741" s="107"/>
      <c r="C2741" s="111"/>
      <c r="D2741" s="113">
        <f>$D2737</f>
        <v>5.1293376618407356</v>
      </c>
      <c r="E2741" s="63" t="s">
        <v>1665</v>
      </c>
      <c r="F2741" s="150">
        <f>$F2737</f>
        <v>5.13</v>
      </c>
      <c r="G2741" s="107" t="s">
        <v>1661</v>
      </c>
      <c r="H2741" s="95"/>
    </row>
    <row r="2742" spans="1:8" x14ac:dyDescent="0.3">
      <c r="A2742" s="161"/>
      <c r="B2742" s="107"/>
      <c r="C2742" s="111"/>
      <c r="D2742" s="113"/>
      <c r="E2742" s="63"/>
      <c r="F2742" s="150"/>
      <c r="G2742" s="107"/>
      <c r="H2742" s="95"/>
    </row>
    <row r="2743" spans="1:8" x14ac:dyDescent="0.3">
      <c r="A2743" s="161"/>
      <c r="B2743" s="107"/>
      <c r="C2743" s="111"/>
      <c r="D2743" s="113"/>
      <c r="E2743" s="149" t="s">
        <v>1455</v>
      </c>
      <c r="F2743" s="150"/>
      <c r="G2743" s="107"/>
      <c r="H2743" s="95"/>
    </row>
    <row r="2744" spans="1:8" x14ac:dyDescent="0.3">
      <c r="A2744" s="161"/>
      <c r="B2744" s="107"/>
      <c r="C2744" s="111"/>
      <c r="D2744" s="113"/>
      <c r="E2744" s="63" t="s">
        <v>1666</v>
      </c>
      <c r="F2744" s="150"/>
      <c r="G2744" s="107"/>
      <c r="H2744" s="95"/>
    </row>
    <row r="2745" spans="1:8" x14ac:dyDescent="0.3">
      <c r="A2745" s="161">
        <f>1</f>
        <v>1</v>
      </c>
      <c r="B2745" s="107" t="s">
        <v>1628</v>
      </c>
      <c r="C2745" s="111">
        <f>'04a_Box_Dims'!$AE40</f>
        <v>10</v>
      </c>
      <c r="D2745" s="113"/>
      <c r="E2745" s="63" t="s">
        <v>1667</v>
      </c>
      <c r="F2745" s="150"/>
      <c r="G2745" s="107"/>
      <c r="H2745" s="95"/>
    </row>
    <row r="2746" spans="1:8" x14ac:dyDescent="0.3">
      <c r="A2746" s="161"/>
      <c r="B2746" s="107"/>
      <c r="C2746" s="111">
        <f>'04a_Box_Dims'!$J40</f>
        <v>6.75</v>
      </c>
      <c r="D2746" s="113"/>
      <c r="E2746" s="63"/>
      <c r="F2746" s="150"/>
      <c r="G2746" s="107"/>
      <c r="H2746" s="95"/>
    </row>
    <row r="2747" spans="1:8" x14ac:dyDescent="0.3">
      <c r="A2747" s="161"/>
      <c r="B2747" s="107"/>
      <c r="C2747" s="111">
        <f>'04a_Box_Dims'!$I40</f>
        <v>0.25</v>
      </c>
      <c r="D2747" s="113">
        <f>$A2745*$C2745*$C2746*$C2747</f>
        <v>16.875</v>
      </c>
      <c r="E2747" s="63"/>
      <c r="F2747" s="150"/>
      <c r="G2747" s="107"/>
      <c r="H2747" s="95">
        <f>'04a_Box_Dims'!$I40</f>
        <v>0.25</v>
      </c>
    </row>
    <row r="2748" spans="1:8" x14ac:dyDescent="0.3">
      <c r="A2748" s="161">
        <f>2</f>
        <v>2</v>
      </c>
      <c r="B2748" s="107" t="s">
        <v>1628</v>
      </c>
      <c r="C2748" s="111">
        <f>'04a_Box_Dims'!$O40</f>
        <v>1.5</v>
      </c>
      <c r="D2748" s="113"/>
      <c r="E2748" s="63" t="s">
        <v>1657</v>
      </c>
      <c r="F2748" s="150"/>
      <c r="G2748" s="107"/>
      <c r="H2748" s="95"/>
    </row>
    <row r="2749" spans="1:8" x14ac:dyDescent="0.3">
      <c r="A2749" s="161"/>
      <c r="B2749" s="107"/>
      <c r="C2749" s="111">
        <f>'04a_Box_Dims'!$Q40</f>
        <v>8.25</v>
      </c>
      <c r="D2749" s="113"/>
      <c r="E2749" s="63"/>
      <c r="F2749" s="150"/>
      <c r="G2749" s="107"/>
      <c r="H2749" s="95"/>
    </row>
    <row r="2750" spans="1:8" x14ac:dyDescent="0.3">
      <c r="A2750" s="161"/>
      <c r="B2750" s="107"/>
      <c r="C2750" s="111">
        <f>'04a_Box_Dims'!$P40</f>
        <v>0.25</v>
      </c>
      <c r="D2750" s="113">
        <f>$A2748*$C2748*$C2749*$C2750</f>
        <v>6.1875</v>
      </c>
      <c r="E2750" s="63"/>
      <c r="F2750" s="150"/>
      <c r="G2750" s="107"/>
      <c r="H2750" s="95">
        <f>'04a_Box_Dims'!$P40</f>
        <v>0.25</v>
      </c>
    </row>
    <row r="2751" spans="1:8" x14ac:dyDescent="0.3">
      <c r="A2751" s="161">
        <f>2</f>
        <v>2</v>
      </c>
      <c r="B2751" s="107" t="s">
        <v>1628</v>
      </c>
      <c r="C2751" s="111">
        <f>'04a_Box_Dims'!$R40</f>
        <v>6.75</v>
      </c>
      <c r="D2751" s="113"/>
      <c r="E2751" s="63" t="s">
        <v>1658</v>
      </c>
      <c r="F2751" s="150"/>
      <c r="G2751" s="107"/>
      <c r="H2751" s="95"/>
    </row>
    <row r="2752" spans="1:8" x14ac:dyDescent="0.3">
      <c r="A2752" s="161"/>
      <c r="B2752" s="107"/>
      <c r="C2752" s="111">
        <f>'04a_Box_Dims'!$S40</f>
        <v>0.2</v>
      </c>
      <c r="D2752" s="113"/>
      <c r="E2752" s="63"/>
      <c r="F2752" s="150"/>
      <c r="G2752" s="107"/>
      <c r="H2752" s="95"/>
    </row>
    <row r="2753" spans="1:8" x14ac:dyDescent="0.3">
      <c r="A2753" s="161"/>
      <c r="B2753" s="107"/>
      <c r="C2753" s="111">
        <f>'04a_Box_Dims'!$T40</f>
        <v>0.45</v>
      </c>
      <c r="D2753" s="113">
        <f>$A2751*$C2751*$C2752*$C2753</f>
        <v>1.2150000000000001</v>
      </c>
      <c r="E2753" s="63"/>
      <c r="F2753" s="150"/>
      <c r="G2753" s="107"/>
      <c r="H2753" s="95">
        <f>'04a_Box_Dims'!$S40</f>
        <v>0.2</v>
      </c>
    </row>
    <row r="2754" spans="1:8" x14ac:dyDescent="0.3">
      <c r="A2754" s="161">
        <f>4</f>
        <v>4</v>
      </c>
      <c r="B2754" s="107" t="s">
        <v>1628</v>
      </c>
      <c r="C2754" s="111">
        <f>'04a_Box_Dims'!$Z40</f>
        <v>2.1213203435596424</v>
      </c>
      <c r="D2754" s="113"/>
      <c r="E2754" s="63" t="s">
        <v>1659</v>
      </c>
      <c r="F2754" s="150"/>
      <c r="G2754" s="107"/>
      <c r="H2754" s="95"/>
    </row>
    <row r="2755" spans="1:8" x14ac:dyDescent="0.3">
      <c r="A2755" s="161"/>
      <c r="B2755" s="107"/>
      <c r="C2755" s="111">
        <f>'04a_Box_Dims'!$AC40</f>
        <v>0.9</v>
      </c>
      <c r="D2755" s="113"/>
      <c r="E2755" s="63"/>
      <c r="F2755" s="150"/>
      <c r="G2755" s="107"/>
      <c r="H2755" s="95"/>
    </row>
    <row r="2756" spans="1:8" x14ac:dyDescent="0.3">
      <c r="A2756" s="161"/>
      <c r="B2756" s="107"/>
      <c r="C2756" s="111">
        <f>'04a_Box_Dims'!$AD40</f>
        <v>0.3</v>
      </c>
      <c r="D2756" s="113">
        <f>$A2754*$C2754*$C2755*$C2756</f>
        <v>2.2910259710444136</v>
      </c>
      <c r="E2756" s="63"/>
      <c r="F2756" s="150"/>
      <c r="G2756" s="107"/>
      <c r="H2756" s="95">
        <f>'04a_Box_Dims'!$AD40</f>
        <v>0.3</v>
      </c>
    </row>
    <row r="2757" spans="1:8" x14ac:dyDescent="0.3">
      <c r="A2757" s="161"/>
      <c r="B2757" s="107"/>
      <c r="C2757" s="111"/>
      <c r="D2757" s="113">
        <f>SUM($D$2745:$D$2756)</f>
        <v>26.568525971044412</v>
      </c>
      <c r="E2757" s="63" t="s">
        <v>1660</v>
      </c>
      <c r="F2757" s="150">
        <f>ROUND($D2757,2)</f>
        <v>26.57</v>
      </c>
      <c r="G2757" s="107" t="s">
        <v>1661</v>
      </c>
      <c r="H2757" s="95"/>
    </row>
    <row r="2758" spans="1:8" x14ac:dyDescent="0.3">
      <c r="A2758" s="161"/>
      <c r="B2758" s="107"/>
      <c r="C2758" s="111"/>
      <c r="D2758" s="113"/>
      <c r="E2758" s="63"/>
      <c r="F2758" s="150"/>
      <c r="G2758" s="107"/>
      <c r="H2758" s="95"/>
    </row>
    <row r="2759" spans="1:8" x14ac:dyDescent="0.3">
      <c r="A2759" s="161"/>
      <c r="B2759" s="107"/>
      <c r="C2759" s="111"/>
      <c r="D2759" s="113"/>
      <c r="E2759" s="149" t="s">
        <v>1668</v>
      </c>
      <c r="F2759" s="150"/>
      <c r="G2759" s="107"/>
      <c r="H2759" s="95"/>
    </row>
    <row r="2760" spans="1:8" x14ac:dyDescent="0.3">
      <c r="A2760" s="161"/>
      <c r="B2760" s="107"/>
      <c r="C2760" s="111"/>
      <c r="D2760" s="113"/>
      <c r="E2760" s="63" t="s">
        <v>1669</v>
      </c>
      <c r="F2760" s="150"/>
      <c r="G2760" s="107"/>
      <c r="H2760" s="95"/>
    </row>
    <row r="2761" spans="1:8" x14ac:dyDescent="0.3">
      <c r="A2761" s="161"/>
      <c r="B2761" s="107"/>
      <c r="C2761" s="111"/>
      <c r="D2761" s="113">
        <f>SUMIF($H$2745:$H$2756,"&lt;=0.3",$D$2745:$D$2756)</f>
        <v>26.568525971044412</v>
      </c>
      <c r="E2761" s="63" t="s">
        <v>1670</v>
      </c>
      <c r="F2761" s="150">
        <f>ROUND($D2761,2)</f>
        <v>26.57</v>
      </c>
      <c r="G2761" s="107" t="s">
        <v>1661</v>
      </c>
      <c r="H2761" s="95"/>
    </row>
    <row r="2762" spans="1:8" x14ac:dyDescent="0.3">
      <c r="A2762" s="161"/>
      <c r="B2762" s="107"/>
      <c r="C2762" s="111"/>
      <c r="D2762" s="113">
        <f>SUMIF($H$2745:$H$2756,"&gt;0.3",$D$2745:$D$2756)</f>
        <v>0</v>
      </c>
      <c r="E2762" s="63" t="s">
        <v>1671</v>
      </c>
      <c r="F2762" s="150">
        <f>ROUND($D2762,2)</f>
        <v>0</v>
      </c>
      <c r="G2762" s="107" t="s">
        <v>1661</v>
      </c>
      <c r="H2762" s="95"/>
    </row>
    <row r="2763" spans="1:8" x14ac:dyDescent="0.3">
      <c r="A2763" s="161"/>
      <c r="B2763" s="107"/>
      <c r="C2763" s="111"/>
      <c r="D2763" s="113"/>
      <c r="E2763" s="63"/>
      <c r="F2763" s="150"/>
      <c r="G2763" s="107"/>
      <c r="H2763" s="95"/>
    </row>
    <row r="2764" spans="1:8" x14ac:dyDescent="0.3">
      <c r="A2764" s="161"/>
      <c r="B2764" s="107"/>
      <c r="C2764" s="111"/>
      <c r="D2764" s="113"/>
      <c r="E2764" s="149" t="s">
        <v>1455</v>
      </c>
      <c r="F2764" s="150"/>
      <c r="G2764" s="107"/>
      <c r="H2764" s="95"/>
    </row>
    <row r="2765" spans="1:8" x14ac:dyDescent="0.3">
      <c r="A2765" s="161"/>
      <c r="B2765" s="107"/>
      <c r="C2765" s="111"/>
      <c r="D2765" s="113"/>
      <c r="E2765" s="63" t="s">
        <v>1672</v>
      </c>
      <c r="F2765" s="150"/>
      <c r="G2765" s="107"/>
      <c r="H2765" s="95"/>
    </row>
    <row r="2766" spans="1:8" x14ac:dyDescent="0.3">
      <c r="A2766" s="161">
        <f>1</f>
        <v>1</v>
      </c>
      <c r="B2766" s="107" t="s">
        <v>1628</v>
      </c>
      <c r="C2766" s="111">
        <f>'04a_Box_Dims'!$AE40</f>
        <v>10</v>
      </c>
      <c r="D2766" s="113"/>
      <c r="E2766" s="63" t="s">
        <v>1673</v>
      </c>
      <c r="F2766" s="150"/>
      <c r="G2766" s="107"/>
      <c r="H2766" s="95"/>
    </row>
    <row r="2767" spans="1:8" x14ac:dyDescent="0.3">
      <c r="A2767" s="161"/>
      <c r="B2767" s="107"/>
      <c r="C2767" s="111">
        <f>'04a_Box_Dims'!$J40</f>
        <v>6.75</v>
      </c>
      <c r="D2767" s="113"/>
      <c r="E2767" s="63"/>
      <c r="F2767" s="150"/>
      <c r="G2767" s="107"/>
      <c r="H2767" s="95"/>
    </row>
    <row r="2768" spans="1:8" x14ac:dyDescent="0.3">
      <c r="A2768" s="161"/>
      <c r="B2768" s="107"/>
      <c r="C2768" s="111">
        <f>'04a_Box_Dims'!$I40</f>
        <v>0.25</v>
      </c>
      <c r="D2768" s="113">
        <f>$A2766*$C2766*$C2767*$C2768</f>
        <v>16.875</v>
      </c>
      <c r="E2768" s="63"/>
      <c r="F2768" s="150"/>
      <c r="G2768" s="107"/>
      <c r="H2768" s="95">
        <f>'04a_Box_Dims'!$I40</f>
        <v>0.25</v>
      </c>
    </row>
    <row r="2769" spans="1:8" x14ac:dyDescent="0.3">
      <c r="A2769" s="161"/>
      <c r="B2769" s="107"/>
      <c r="C2769" s="111"/>
      <c r="D2769" s="113">
        <f>SUM($D$2766:$D$2768)</f>
        <v>16.875</v>
      </c>
      <c r="E2769" s="63" t="s">
        <v>1660</v>
      </c>
      <c r="F2769" s="150">
        <f>ROUND($D2769,2)</f>
        <v>16.88</v>
      </c>
      <c r="G2769" s="107" t="s">
        <v>1661</v>
      </c>
      <c r="H2769" s="95"/>
    </row>
    <row r="2770" spans="1:8" x14ac:dyDescent="0.3">
      <c r="A2770" s="161"/>
      <c r="B2770" s="107"/>
      <c r="C2770" s="111"/>
      <c r="D2770" s="113"/>
      <c r="E2770" s="63"/>
      <c r="F2770" s="150"/>
      <c r="G2770" s="107"/>
      <c r="H2770" s="95"/>
    </row>
    <row r="2771" spans="1:8" x14ac:dyDescent="0.3">
      <c r="A2771" s="161"/>
      <c r="B2771" s="107"/>
      <c r="C2771" s="111"/>
      <c r="D2771" s="113"/>
      <c r="E2771" s="149" t="s">
        <v>1674</v>
      </c>
      <c r="F2771" s="150"/>
      <c r="G2771" s="107"/>
      <c r="H2771" s="95"/>
    </row>
    <row r="2772" spans="1:8" x14ac:dyDescent="0.3">
      <c r="A2772" s="161"/>
      <c r="B2772" s="107"/>
      <c r="C2772" s="111"/>
      <c r="D2772" s="113"/>
      <c r="E2772" s="63" t="s">
        <v>1675</v>
      </c>
      <c r="F2772" s="150"/>
      <c r="G2772" s="107"/>
      <c r="H2772" s="95"/>
    </row>
    <row r="2773" spans="1:8" x14ac:dyDescent="0.3">
      <c r="A2773" s="161"/>
      <c r="B2773" s="107"/>
      <c r="C2773" s="111"/>
      <c r="D2773" s="113">
        <f>SUMIF($H$2766:$H$2768,"&lt;=0.3",$D$2766:$D$2768)</f>
        <v>16.875</v>
      </c>
      <c r="E2773" s="63" t="s">
        <v>1670</v>
      </c>
      <c r="F2773" s="150">
        <f>ROUND($D2773,2)</f>
        <v>16.88</v>
      </c>
      <c r="G2773" s="107" t="s">
        <v>1661</v>
      </c>
      <c r="H2773" s="95"/>
    </row>
    <row r="2774" spans="1:8" x14ac:dyDescent="0.3">
      <c r="A2774" s="161"/>
      <c r="B2774" s="107"/>
      <c r="C2774" s="111"/>
      <c r="D2774" s="113">
        <f>SUMIF($H$2766:$H$2768,"&gt;0.3",$D$2766:$D$2768)</f>
        <v>0</v>
      </c>
      <c r="E2774" s="63" t="s">
        <v>1671</v>
      </c>
      <c r="F2774" s="150">
        <f>ROUND($D2774,2)</f>
        <v>0</v>
      </c>
      <c r="G2774" s="107" t="s">
        <v>1661</v>
      </c>
      <c r="H2774" s="95"/>
    </row>
    <row r="2775" spans="1:8" x14ac:dyDescent="0.3">
      <c r="A2775" s="161"/>
      <c r="B2775" s="107"/>
      <c r="C2775" s="111"/>
      <c r="D2775" s="113"/>
      <c r="E2775" s="63"/>
      <c r="F2775" s="150"/>
      <c r="G2775" s="107"/>
      <c r="H2775" s="95"/>
    </row>
    <row r="2776" spans="1:8" x14ac:dyDescent="0.3">
      <c r="A2776" s="161"/>
      <c r="B2776" s="107"/>
      <c r="C2776" s="111"/>
      <c r="D2776" s="113"/>
      <c r="E2776" s="149" t="s">
        <v>1455</v>
      </c>
      <c r="F2776" s="150"/>
      <c r="G2776" s="107"/>
      <c r="H2776" s="95"/>
    </row>
    <row r="2777" spans="1:8" x14ac:dyDescent="0.3">
      <c r="A2777" s="161"/>
      <c r="B2777" s="107"/>
      <c r="C2777" s="111"/>
      <c r="D2777" s="113"/>
      <c r="E2777" s="63" t="s">
        <v>1676</v>
      </c>
      <c r="F2777" s="150"/>
      <c r="G2777" s="107"/>
      <c r="H2777" s="95"/>
    </row>
    <row r="2778" spans="1:8" x14ac:dyDescent="0.3">
      <c r="A2778" s="161">
        <f>2</f>
        <v>2</v>
      </c>
      <c r="B2778" s="107" t="s">
        <v>1628</v>
      </c>
      <c r="C2778" s="111">
        <f>'04a_Box_Dims'!$AE40</f>
        <v>10</v>
      </c>
      <c r="D2778" s="113"/>
      <c r="E2778" s="63" t="s">
        <v>1677</v>
      </c>
      <c r="F2778" s="150"/>
      <c r="G2778" s="107"/>
      <c r="H2778" s="95"/>
    </row>
    <row r="2779" spans="1:8" x14ac:dyDescent="0.3">
      <c r="A2779" s="161"/>
      <c r="B2779" s="107"/>
      <c r="C2779" s="111">
        <f>'04a_Box_Dims'!$E40</f>
        <v>2.4</v>
      </c>
      <c r="D2779" s="113"/>
      <c r="E2779" s="63"/>
      <c r="F2779" s="150"/>
      <c r="G2779" s="107"/>
      <c r="H2779" s="95"/>
    </row>
    <row r="2780" spans="1:8" x14ac:dyDescent="0.3">
      <c r="A2780" s="161"/>
      <c r="B2780" s="107"/>
      <c r="C2780" s="111">
        <f>'04a_Box_Dims'!$I40</f>
        <v>0.25</v>
      </c>
      <c r="D2780" s="113">
        <f>$A2778*$C2778*$C2779*$C2780</f>
        <v>12</v>
      </c>
      <c r="E2780" s="63"/>
      <c r="F2780" s="150"/>
      <c r="G2780" s="107"/>
      <c r="H2780" s="95">
        <f>'04a_Box_Dims'!$I40</f>
        <v>0.25</v>
      </c>
    </row>
    <row r="2781" spans="1:8" x14ac:dyDescent="0.3">
      <c r="A2781" s="161">
        <f>'04a_Box_Dims'!$C40-1</f>
        <v>1</v>
      </c>
      <c r="B2781" s="107" t="s">
        <v>1628</v>
      </c>
      <c r="C2781" s="111">
        <f>'04a_Box_Dims'!$AE40</f>
        <v>10</v>
      </c>
      <c r="D2781" s="113"/>
      <c r="E2781" s="63" t="s">
        <v>1678</v>
      </c>
      <c r="F2781" s="150"/>
      <c r="G2781" s="107"/>
      <c r="H2781" s="95"/>
    </row>
    <row r="2782" spans="1:8" x14ac:dyDescent="0.3">
      <c r="A2782" s="161"/>
      <c r="B2782" s="107"/>
      <c r="C2782" s="111">
        <f>'04a_Box_Dims'!$E40</f>
        <v>2.4</v>
      </c>
      <c r="D2782" s="113"/>
      <c r="E2782" s="63"/>
      <c r="F2782" s="150"/>
      <c r="G2782" s="107"/>
      <c r="H2782" s="95"/>
    </row>
    <row r="2783" spans="1:8" x14ac:dyDescent="0.3">
      <c r="A2783" s="161"/>
      <c r="B2783" s="107"/>
      <c r="C2783" s="111">
        <f>'04a_Box_Dims'!$I40</f>
        <v>0.25</v>
      </c>
      <c r="D2783" s="113">
        <f>$A2781*$C2781*$C2782*$C2783</f>
        <v>6</v>
      </c>
      <c r="E2783" s="63"/>
      <c r="F2783" s="150"/>
      <c r="G2783" s="107"/>
      <c r="H2783" s="95">
        <f>'04a_Box_Dims'!$I40</f>
        <v>0.25</v>
      </c>
    </row>
    <row r="2784" spans="1:8" x14ac:dyDescent="0.3">
      <c r="A2784" s="161">
        <f>4*'04a_Box_Dims'!$C40</f>
        <v>8</v>
      </c>
      <c r="B2784" s="107" t="s">
        <v>1628</v>
      </c>
      <c r="C2784" s="111">
        <f>'04a_Box_Dims'!$AE40</f>
        <v>10</v>
      </c>
      <c r="D2784" s="113"/>
      <c r="E2784" s="63" t="s">
        <v>1679</v>
      </c>
      <c r="F2784" s="150"/>
      <c r="G2784" s="107"/>
      <c r="H2784" s="95"/>
    </row>
    <row r="2785" spans="1:8" x14ac:dyDescent="0.3">
      <c r="A2785" s="161"/>
      <c r="B2785" s="107"/>
      <c r="C2785" s="111">
        <f>'04a_Box_Dims'!$N40</f>
        <v>0.15</v>
      </c>
      <c r="D2785" s="113"/>
      <c r="E2785" s="63"/>
      <c r="F2785" s="150"/>
      <c r="G2785" s="107"/>
      <c r="H2785" s="95"/>
    </row>
    <row r="2786" spans="1:8" x14ac:dyDescent="0.3">
      <c r="A2786" s="161"/>
      <c r="B2786" s="107"/>
      <c r="C2786" s="111">
        <f>'04a_Box_Dims'!$N40/2</f>
        <v>7.4999999999999997E-2</v>
      </c>
      <c r="D2786" s="113">
        <f>$A2784*$C2784*$C2785*$C2786</f>
        <v>0.89999999999999991</v>
      </c>
      <c r="E2786" s="63"/>
      <c r="F2786" s="150"/>
      <c r="G2786" s="107"/>
      <c r="H2786" s="95">
        <f>'04a_Box_Dims'!$N40</f>
        <v>0.15</v>
      </c>
    </row>
    <row r="2787" spans="1:8" x14ac:dyDescent="0.3">
      <c r="A2787" s="161">
        <f>2</f>
        <v>2</v>
      </c>
      <c r="B2787" s="107" t="s">
        <v>1628</v>
      </c>
      <c r="C2787" s="111">
        <f>'04a_Box_Dims'!$J40</f>
        <v>6.75</v>
      </c>
      <c r="D2787" s="113"/>
      <c r="E2787" s="63" t="s">
        <v>1680</v>
      </c>
      <c r="F2787" s="150"/>
      <c r="G2787" s="107"/>
      <c r="H2787" s="95"/>
    </row>
    <row r="2788" spans="1:8" x14ac:dyDescent="0.3">
      <c r="A2788" s="161"/>
      <c r="B2788" s="107"/>
      <c r="C2788" s="111">
        <f>'04a_Box_Dims'!$U40</f>
        <v>0.6</v>
      </c>
      <c r="D2788" s="113"/>
      <c r="E2788" s="63"/>
      <c r="F2788" s="150"/>
      <c r="G2788" s="107"/>
      <c r="H2788" s="95"/>
    </row>
    <row r="2789" spans="1:8" x14ac:dyDescent="0.3">
      <c r="A2789" s="161"/>
      <c r="B2789" s="107"/>
      <c r="C2789" s="111">
        <f>'04a_Box_Dims'!$V40</f>
        <v>0.3</v>
      </c>
      <c r="D2789" s="113">
        <f>$A2787*$C2787*$C2788*$C2789</f>
        <v>2.4299999999999997</v>
      </c>
      <c r="E2789" s="63"/>
      <c r="F2789" s="150"/>
      <c r="G2789" s="107"/>
      <c r="H2789" s="95">
        <f>'04a_Box_Dims'!$V40</f>
        <v>0.3</v>
      </c>
    </row>
    <row r="2790" spans="1:8" x14ac:dyDescent="0.3">
      <c r="A2790" s="161">
        <f>4</f>
        <v>4</v>
      </c>
      <c r="B2790" s="107" t="s">
        <v>1628</v>
      </c>
      <c r="C2790" s="111">
        <f>'04a_Box_Dims'!$Z40</f>
        <v>2.1213203435596424</v>
      </c>
      <c r="D2790" s="113"/>
      <c r="E2790" s="63" t="s">
        <v>1681</v>
      </c>
      <c r="F2790" s="150"/>
      <c r="G2790" s="107"/>
      <c r="H2790" s="95"/>
    </row>
    <row r="2791" spans="1:8" x14ac:dyDescent="0.3">
      <c r="A2791" s="161"/>
      <c r="B2791" s="107"/>
      <c r="C2791" s="111">
        <f>'04a_Box_Dims'!$Y40</f>
        <v>3.3928932188134522</v>
      </c>
      <c r="D2791" s="113"/>
      <c r="E2791" s="63"/>
      <c r="F2791" s="150"/>
      <c r="G2791" s="107"/>
      <c r="H2791" s="95"/>
    </row>
    <row r="2792" spans="1:8" x14ac:dyDescent="0.3">
      <c r="A2792" s="161"/>
      <c r="B2792" s="107"/>
      <c r="C2792" s="111">
        <f>'04a_Box_Dims'!$AB40</f>
        <v>0.34</v>
      </c>
      <c r="D2792" s="113">
        <f>$A2790*$C2790*$C2791*$C2792</f>
        <v>9.7884822356885657</v>
      </c>
      <c r="E2792" s="63"/>
      <c r="F2792" s="150"/>
      <c r="G2792" s="107"/>
      <c r="H2792" s="95">
        <f>'04a_Box_Dims'!$AB40</f>
        <v>0.34</v>
      </c>
    </row>
    <row r="2793" spans="1:8" x14ac:dyDescent="0.3">
      <c r="A2793" s="161"/>
      <c r="B2793" s="107"/>
      <c r="C2793" s="111"/>
      <c r="D2793" s="113">
        <f>SUM($D$2778:$D$2792)</f>
        <v>31.118482235688564</v>
      </c>
      <c r="E2793" s="63" t="s">
        <v>1660</v>
      </c>
      <c r="F2793" s="150">
        <f>ROUND($D2793,2)</f>
        <v>31.12</v>
      </c>
      <c r="G2793" s="107" t="s">
        <v>1661</v>
      </c>
      <c r="H2793" s="95"/>
    </row>
    <row r="2794" spans="1:8" x14ac:dyDescent="0.3">
      <c r="A2794" s="161"/>
      <c r="B2794" s="107"/>
      <c r="C2794" s="111"/>
      <c r="D2794" s="113"/>
      <c r="E2794" s="63"/>
      <c r="F2794" s="150"/>
      <c r="G2794" s="107"/>
      <c r="H2794" s="95"/>
    </row>
    <row r="2795" spans="1:8" x14ac:dyDescent="0.3">
      <c r="A2795" s="161"/>
      <c r="B2795" s="107"/>
      <c r="C2795" s="111"/>
      <c r="D2795" s="113"/>
      <c r="E2795" s="149" t="s">
        <v>1682</v>
      </c>
      <c r="F2795" s="150"/>
      <c r="G2795" s="107"/>
      <c r="H2795" s="95"/>
    </row>
    <row r="2796" spans="1:8" x14ac:dyDescent="0.3">
      <c r="A2796" s="161"/>
      <c r="B2796" s="107"/>
      <c r="C2796" s="111"/>
      <c r="D2796" s="113"/>
      <c r="E2796" s="63" t="s">
        <v>1683</v>
      </c>
      <c r="F2796" s="150"/>
      <c r="G2796" s="107"/>
      <c r="H2796" s="95"/>
    </row>
    <row r="2797" spans="1:8" x14ac:dyDescent="0.3">
      <c r="A2797" s="161"/>
      <c r="B2797" s="107"/>
      <c r="C2797" s="111"/>
      <c r="D2797" s="113">
        <f>SUMIF($H$2778:$H$2792,"&lt;=0.3",$D$2778:$D$2792)</f>
        <v>21.33</v>
      </c>
      <c r="E2797" s="63" t="s">
        <v>1670</v>
      </c>
      <c r="F2797" s="150">
        <f>ROUND($D2797,2)</f>
        <v>21.33</v>
      </c>
      <c r="G2797" s="107" t="s">
        <v>1661</v>
      </c>
      <c r="H2797" s="95"/>
    </row>
    <row r="2798" spans="1:8" x14ac:dyDescent="0.3">
      <c r="A2798" s="161"/>
      <c r="B2798" s="107"/>
      <c r="C2798" s="111"/>
      <c r="D2798" s="113">
        <f>SUMIF($H$2778:$H$2792,"&gt;0.3",$D$2778:$D$2792)</f>
        <v>9.7884822356885657</v>
      </c>
      <c r="E2798" s="63" t="s">
        <v>1671</v>
      </c>
      <c r="F2798" s="150">
        <f>ROUND($D2798,2)</f>
        <v>9.7899999999999991</v>
      </c>
      <c r="G2798" s="107" t="s">
        <v>1661</v>
      </c>
      <c r="H2798" s="95"/>
    </row>
    <row r="2799" spans="1:8" x14ac:dyDescent="0.3">
      <c r="A2799" s="161"/>
      <c r="B2799" s="107"/>
      <c r="C2799" s="111"/>
      <c r="D2799" s="113"/>
      <c r="E2799" s="63"/>
      <c r="F2799" s="150"/>
      <c r="G2799" s="107"/>
      <c r="H2799" s="95"/>
    </row>
    <row r="2800" spans="1:8" x14ac:dyDescent="0.3">
      <c r="A2800" s="161"/>
      <c r="B2800" s="107"/>
      <c r="C2800" s="111"/>
      <c r="D2800" s="113"/>
      <c r="E2800" s="149" t="s">
        <v>1445</v>
      </c>
      <c r="F2800" s="150"/>
      <c r="G2800" s="107"/>
      <c r="H2800" s="95"/>
    </row>
    <row r="2801" spans="1:8" x14ac:dyDescent="0.3">
      <c r="A2801" s="161"/>
      <c r="B2801" s="107"/>
      <c r="C2801" s="111"/>
      <c r="D2801" s="113"/>
      <c r="E2801" s="63" t="s">
        <v>1684</v>
      </c>
      <c r="F2801" s="150"/>
      <c r="G2801" s="107"/>
      <c r="H2801" s="95"/>
    </row>
    <row r="2802" spans="1:8" x14ac:dyDescent="0.3">
      <c r="A2802" s="161">
        <f>2</f>
        <v>2</v>
      </c>
      <c r="B2802" s="107" t="s">
        <v>1628</v>
      </c>
      <c r="C2802" s="111">
        <f>'04a_Box_Dims'!$AE40</f>
        <v>10</v>
      </c>
      <c r="D2802" s="113"/>
      <c r="E2802" s="63" t="s">
        <v>1685</v>
      </c>
      <c r="F2802" s="150"/>
      <c r="G2802" s="107"/>
      <c r="H2802" s="95"/>
    </row>
    <row r="2803" spans="1:8" x14ac:dyDescent="0.3">
      <c r="A2803" s="161"/>
      <c r="B2803" s="107"/>
      <c r="C2803" s="111">
        <f>'04a_Box_Dims'!$E40</f>
        <v>2.4</v>
      </c>
      <c r="D2803" s="113">
        <f>$A2802*$C2802*$C2803</f>
        <v>48</v>
      </c>
      <c r="E2803" s="63"/>
      <c r="F2803" s="150"/>
      <c r="G2803" s="107"/>
      <c r="H2803" s="95"/>
    </row>
    <row r="2804" spans="1:8" x14ac:dyDescent="0.3">
      <c r="A2804" s="161">
        <f>4</f>
        <v>4</v>
      </c>
      <c r="B2804" s="107" t="s">
        <v>1628</v>
      </c>
      <c r="C2804" s="111">
        <f>'04a_Box_Dims'!$Z40</f>
        <v>2.1213203435596424</v>
      </c>
      <c r="D2804" s="113"/>
      <c r="E2804" s="63" t="s">
        <v>1686</v>
      </c>
      <c r="F2804" s="150"/>
      <c r="G2804" s="107"/>
      <c r="H2804" s="95"/>
    </row>
    <row r="2805" spans="1:8" x14ac:dyDescent="0.3">
      <c r="A2805" s="161"/>
      <c r="B2805" s="107"/>
      <c r="C2805" s="111">
        <f>'04a_Box_Dims'!$Y40</f>
        <v>3.3928932188134522</v>
      </c>
      <c r="D2805" s="113">
        <f>$A2804*$C2804*$C2805</f>
        <v>28.789653634378134</v>
      </c>
      <c r="E2805" s="63"/>
      <c r="F2805" s="150"/>
      <c r="G2805" s="107"/>
      <c r="H2805" s="95"/>
    </row>
    <row r="2806" spans="1:8" x14ac:dyDescent="0.3">
      <c r="A2806" s="161">
        <f>2</f>
        <v>2</v>
      </c>
      <c r="B2806" s="107" t="s">
        <v>1628</v>
      </c>
      <c r="C2806" s="111">
        <f>'04a_Box_Dims'!$J40</f>
        <v>6.75</v>
      </c>
      <c r="D2806" s="113"/>
      <c r="E2806" s="63" t="s">
        <v>1687</v>
      </c>
      <c r="F2806" s="150"/>
      <c r="G2806" s="107"/>
      <c r="H2806" s="95"/>
    </row>
    <row r="2807" spans="1:8" x14ac:dyDescent="0.3">
      <c r="A2807" s="161"/>
      <c r="B2807" s="107"/>
      <c r="C2807" s="111">
        <f>'04a_Box_Dims'!$U40</f>
        <v>0.6</v>
      </c>
      <c r="D2807" s="113">
        <f>$A2806*$C2806*$C2807</f>
        <v>8.1</v>
      </c>
      <c r="E2807" s="63"/>
      <c r="F2807" s="150"/>
      <c r="G2807" s="107"/>
      <c r="H2807" s="95"/>
    </row>
    <row r="2808" spans="1:8" x14ac:dyDescent="0.3">
      <c r="A2808" s="161"/>
      <c r="B2808" s="107"/>
      <c r="C2808" s="111"/>
      <c r="D2808" s="113">
        <f>SUM($D$2802:$D$2807)</f>
        <v>84.889653634378135</v>
      </c>
      <c r="E2808" s="63" t="s">
        <v>1660</v>
      </c>
      <c r="F2808" s="150">
        <f>ROUND($D2808,2)</f>
        <v>84.89</v>
      </c>
      <c r="G2808" s="107" t="s">
        <v>1688</v>
      </c>
      <c r="H2808" s="95"/>
    </row>
    <row r="2809" spans="1:8" x14ac:dyDescent="0.3">
      <c r="A2809" s="161"/>
      <c r="B2809" s="107"/>
      <c r="C2809" s="111"/>
      <c r="D2809" s="113"/>
      <c r="E2809" s="63"/>
      <c r="F2809" s="150"/>
      <c r="G2809" s="107"/>
      <c r="H2809" s="95"/>
    </row>
    <row r="2810" spans="1:8" x14ac:dyDescent="0.3">
      <c r="A2810" s="161"/>
      <c r="B2810" s="107"/>
      <c r="C2810" s="111"/>
      <c r="D2810" s="113"/>
      <c r="E2810" s="149" t="s">
        <v>1446</v>
      </c>
      <c r="F2810" s="150"/>
      <c r="G2810" s="107"/>
      <c r="H2810" s="95"/>
    </row>
    <row r="2811" spans="1:8" x14ac:dyDescent="0.3">
      <c r="A2811" s="161"/>
      <c r="B2811" s="107"/>
      <c r="C2811" s="111"/>
      <c r="D2811" s="113"/>
      <c r="E2811" s="63" t="s">
        <v>1689</v>
      </c>
      <c r="F2811" s="150"/>
      <c r="G2811" s="107"/>
      <c r="H2811" s="95"/>
    </row>
    <row r="2812" spans="1:8" x14ac:dyDescent="0.3">
      <c r="A2812" s="161">
        <f>2</f>
        <v>2</v>
      </c>
      <c r="B2812" s="107" t="s">
        <v>1628</v>
      </c>
      <c r="C2812" s="111">
        <f>'04a_Box_Dims'!$O40</f>
        <v>1.5</v>
      </c>
      <c r="D2812" s="113"/>
      <c r="E2812" s="63" t="s">
        <v>1690</v>
      </c>
      <c r="F2812" s="150"/>
      <c r="G2812" s="107"/>
      <c r="H2812" s="95"/>
    </row>
    <row r="2813" spans="1:8" x14ac:dyDescent="0.3">
      <c r="A2813" s="161"/>
      <c r="B2813" s="107"/>
      <c r="C2813" s="111">
        <f>'04a_Box_Dims'!$Q40</f>
        <v>8.25</v>
      </c>
      <c r="D2813" s="113">
        <f>$A2812*$C2812*$C2813</f>
        <v>24.75</v>
      </c>
      <c r="E2813" s="63"/>
      <c r="F2813" s="150"/>
      <c r="G2813" s="107"/>
      <c r="H2813" s="95"/>
    </row>
    <row r="2814" spans="1:8" x14ac:dyDescent="0.3">
      <c r="A2814" s="161"/>
      <c r="B2814" s="107"/>
      <c r="C2814" s="111"/>
      <c r="D2814" s="113">
        <f>SUM($D$2812:$D$2813)</f>
        <v>24.75</v>
      </c>
      <c r="E2814" s="63" t="s">
        <v>1660</v>
      </c>
      <c r="F2814" s="150">
        <f>ROUND($D2814,2)</f>
        <v>24.75</v>
      </c>
      <c r="G2814" s="107" t="s">
        <v>1688</v>
      </c>
      <c r="H2814" s="95"/>
    </row>
    <row r="2815" spans="1:8" x14ac:dyDescent="0.3">
      <c r="A2815" s="161"/>
      <c r="B2815" s="107"/>
      <c r="C2815" s="111"/>
      <c r="D2815" s="113"/>
      <c r="E2815" s="63"/>
      <c r="F2815" s="150"/>
      <c r="G2815" s="107"/>
      <c r="H2815" s="95"/>
    </row>
    <row r="2816" spans="1:8" x14ac:dyDescent="0.3">
      <c r="A2816" s="161"/>
      <c r="B2816" s="107"/>
      <c r="C2816" s="111"/>
      <c r="D2816" s="113"/>
      <c r="E2816" s="149" t="s">
        <v>1447</v>
      </c>
      <c r="F2816" s="150"/>
      <c r="G2816" s="107"/>
      <c r="H2816" s="95"/>
    </row>
    <row r="2817" spans="1:8" x14ac:dyDescent="0.3">
      <c r="A2817" s="161"/>
      <c r="B2817" s="107"/>
      <c r="C2817" s="111"/>
      <c r="D2817" s="113"/>
      <c r="E2817" s="63" t="s">
        <v>1691</v>
      </c>
      <c r="F2817" s="150"/>
      <c r="G2817" s="107"/>
      <c r="H2817" s="95"/>
    </row>
    <row r="2818" spans="1:8" x14ac:dyDescent="0.3">
      <c r="A2818" s="161">
        <f>4</f>
        <v>4</v>
      </c>
      <c r="B2818" s="107" t="s">
        <v>1628</v>
      </c>
      <c r="C2818" s="111">
        <f>'04a_Box_Dims'!$J40</f>
        <v>6.75</v>
      </c>
      <c r="D2818" s="113"/>
      <c r="E2818" s="63" t="s">
        <v>1692</v>
      </c>
      <c r="F2818" s="150"/>
      <c r="G2818" s="107"/>
      <c r="H2818" s="95"/>
    </row>
    <row r="2819" spans="1:8" x14ac:dyDescent="0.3">
      <c r="A2819" s="161"/>
      <c r="B2819" s="107"/>
      <c r="C2819" s="111">
        <f>'04a_Box_Dims'!$I40</f>
        <v>0.25</v>
      </c>
      <c r="D2819" s="113">
        <f>$A2818*$C2818*$C2819</f>
        <v>6.75</v>
      </c>
      <c r="E2819" s="63"/>
      <c r="F2819" s="150"/>
      <c r="G2819" s="107"/>
      <c r="H2819" s="95"/>
    </row>
    <row r="2820" spans="1:8" x14ac:dyDescent="0.3">
      <c r="A2820" s="161">
        <f>4</f>
        <v>4</v>
      </c>
      <c r="B2820" s="107" t="s">
        <v>1628</v>
      </c>
      <c r="C2820" s="111">
        <f>'04a_Box_Dims'!$O40</f>
        <v>1.5</v>
      </c>
      <c r="D2820" s="113"/>
      <c r="E2820" s="63" t="s">
        <v>1693</v>
      </c>
      <c r="F2820" s="150"/>
      <c r="G2820" s="107"/>
      <c r="H2820" s="95"/>
    </row>
    <row r="2821" spans="1:8" x14ac:dyDescent="0.3">
      <c r="A2821" s="161"/>
      <c r="B2821" s="107"/>
      <c r="C2821" s="111">
        <f>'04a_Box_Dims'!$P40</f>
        <v>0.25</v>
      </c>
      <c r="D2821" s="113">
        <f>$A2820*$C2820*$C2821</f>
        <v>1.5</v>
      </c>
      <c r="E2821" s="63"/>
      <c r="F2821" s="150"/>
      <c r="G2821" s="107"/>
      <c r="H2821" s="95"/>
    </row>
    <row r="2822" spans="1:8" x14ac:dyDescent="0.3">
      <c r="A2822" s="161"/>
      <c r="B2822" s="107"/>
      <c r="C2822" s="111"/>
      <c r="D2822" s="113">
        <f>SUM($D$2818:$D$2821)</f>
        <v>8.25</v>
      </c>
      <c r="E2822" s="63" t="s">
        <v>1660</v>
      </c>
      <c r="F2822" s="150">
        <f>ROUND($D2822,2)</f>
        <v>8.25</v>
      </c>
      <c r="G2822" s="107" t="s">
        <v>1688</v>
      </c>
      <c r="H2822" s="95"/>
    </row>
    <row r="2823" spans="1:8" x14ac:dyDescent="0.3">
      <c r="A2823" s="161"/>
      <c r="B2823" s="107"/>
      <c r="C2823" s="111"/>
      <c r="D2823" s="113"/>
      <c r="E2823" s="63"/>
      <c r="F2823" s="150"/>
      <c r="G2823" s="107"/>
      <c r="H2823" s="95"/>
    </row>
    <row r="2824" spans="1:8" x14ac:dyDescent="0.3">
      <c r="A2824" s="161"/>
      <c r="B2824" s="107"/>
      <c r="C2824" s="111"/>
      <c r="D2824" s="113"/>
      <c r="E2824" s="149" t="s">
        <v>1448</v>
      </c>
      <c r="F2824" s="150"/>
      <c r="G2824" s="107"/>
      <c r="H2824" s="95"/>
    </row>
    <row r="2825" spans="1:8" x14ac:dyDescent="0.3">
      <c r="A2825" s="161"/>
      <c r="B2825" s="107"/>
      <c r="C2825" s="111"/>
      <c r="D2825" s="113"/>
      <c r="E2825" s="63" t="s">
        <v>1694</v>
      </c>
      <c r="F2825" s="150"/>
      <c r="G2825" s="107"/>
      <c r="H2825" s="95"/>
    </row>
    <row r="2826" spans="1:8" x14ac:dyDescent="0.3">
      <c r="A2826" s="161">
        <f>1</f>
        <v>1</v>
      </c>
      <c r="B2826" s="107" t="s">
        <v>1628</v>
      </c>
      <c r="C2826" s="111">
        <f>'04a_Box_Dims'!$AE40</f>
        <v>10</v>
      </c>
      <c r="D2826" s="113"/>
      <c r="E2826" s="63" t="s">
        <v>1695</v>
      </c>
      <c r="F2826" s="150"/>
      <c r="G2826" s="107"/>
      <c r="H2826" s="95"/>
    </row>
    <row r="2827" spans="1:8" x14ac:dyDescent="0.3">
      <c r="A2827" s="161"/>
      <c r="B2827" s="107"/>
      <c r="C2827" s="111">
        <f>'04a_Box_Dims'!$K40</f>
        <v>6.25</v>
      </c>
      <c r="D2827" s="113">
        <f>$A2826*$C2826*$C2827</f>
        <v>62.5</v>
      </c>
      <c r="E2827" s="63"/>
      <c r="F2827" s="150"/>
      <c r="G2827" s="107"/>
      <c r="H2827" s="95"/>
    </row>
    <row r="2828" spans="1:8" x14ac:dyDescent="0.3">
      <c r="A2828" s="161"/>
      <c r="B2828" s="107"/>
      <c r="C2828" s="111"/>
      <c r="D2828" s="113">
        <f>SUM($D$2826:$D$2827)</f>
        <v>62.5</v>
      </c>
      <c r="E2828" s="63" t="s">
        <v>1660</v>
      </c>
      <c r="F2828" s="150">
        <f>ROUND($D2828,2)</f>
        <v>62.5</v>
      </c>
      <c r="G2828" s="107" t="s">
        <v>1688</v>
      </c>
      <c r="H2828" s="95"/>
    </row>
    <row r="2829" spans="1:8" x14ac:dyDescent="0.3">
      <c r="A2829" s="161"/>
      <c r="B2829" s="107"/>
      <c r="C2829" s="111"/>
      <c r="D2829" s="113"/>
      <c r="E2829" s="63"/>
      <c r="F2829" s="150"/>
      <c r="G2829" s="107"/>
      <c r="H2829" s="95"/>
    </row>
    <row r="2830" spans="1:8" x14ac:dyDescent="0.3">
      <c r="A2830" s="161"/>
      <c r="B2830" s="107"/>
      <c r="C2830" s="111"/>
      <c r="D2830" s="113"/>
      <c r="E2830" s="149" t="s">
        <v>1449</v>
      </c>
      <c r="F2830" s="150"/>
      <c r="G2830" s="107"/>
      <c r="H2830" s="95"/>
    </row>
    <row r="2831" spans="1:8" x14ac:dyDescent="0.3">
      <c r="A2831" s="161"/>
      <c r="B2831" s="107"/>
      <c r="C2831" s="111"/>
      <c r="D2831" s="113"/>
      <c r="E2831" s="63" t="s">
        <v>1696</v>
      </c>
      <c r="F2831" s="150"/>
      <c r="G2831" s="107"/>
      <c r="H2831" s="95"/>
    </row>
    <row r="2832" spans="1:8" x14ac:dyDescent="0.3">
      <c r="A2832" s="161">
        <f>2</f>
        <v>2</v>
      </c>
      <c r="B2832" s="107" t="s">
        <v>1628</v>
      </c>
      <c r="C2832" s="111">
        <f>'04a_Box_Dims'!$J40</f>
        <v>6.75</v>
      </c>
      <c r="D2832" s="113"/>
      <c r="E2832" s="63" t="s">
        <v>1697</v>
      </c>
      <c r="F2832" s="150"/>
      <c r="G2832" s="107"/>
      <c r="H2832" s="95"/>
    </row>
    <row r="2833" spans="1:8" x14ac:dyDescent="0.3">
      <c r="A2833" s="161"/>
      <c r="B2833" s="107"/>
      <c r="C2833" s="111">
        <f>'04a_Box_Dims'!$U40</f>
        <v>0.6</v>
      </c>
      <c r="D2833" s="113">
        <f>$A2832*$C2832*$C2833</f>
        <v>8.1</v>
      </c>
      <c r="E2833" s="63"/>
      <c r="F2833" s="150"/>
      <c r="G2833" s="107"/>
      <c r="H2833" s="95"/>
    </row>
    <row r="2834" spans="1:8" x14ac:dyDescent="0.3">
      <c r="A2834" s="161"/>
      <c r="B2834" s="107"/>
      <c r="C2834" s="111"/>
      <c r="D2834" s="113">
        <f>SUM($D$2832:$D$2833)</f>
        <v>8.1</v>
      </c>
      <c r="E2834" s="63" t="s">
        <v>1660</v>
      </c>
      <c r="F2834" s="150">
        <f>ROUND($D2834,2)</f>
        <v>8.1</v>
      </c>
      <c r="G2834" s="107" t="s">
        <v>1688</v>
      </c>
      <c r="H2834" s="95"/>
    </row>
    <row r="2835" spans="1:8" x14ac:dyDescent="0.3">
      <c r="A2835" s="161"/>
      <c r="B2835" s="107"/>
      <c r="C2835" s="111"/>
      <c r="D2835" s="113"/>
      <c r="E2835" s="63"/>
      <c r="F2835" s="150"/>
      <c r="G2835" s="107"/>
      <c r="H2835" s="95"/>
    </row>
    <row r="2836" spans="1:8" x14ac:dyDescent="0.3">
      <c r="A2836" s="161"/>
      <c r="B2836" s="107"/>
      <c r="C2836" s="111"/>
      <c r="D2836" s="113"/>
      <c r="E2836" s="149" t="s">
        <v>1329</v>
      </c>
      <c r="F2836" s="150"/>
      <c r="G2836" s="107"/>
      <c r="H2836" s="95"/>
    </row>
    <row r="2837" spans="1:8" x14ac:dyDescent="0.3">
      <c r="A2837" s="161"/>
      <c r="B2837" s="107"/>
      <c r="C2837" s="111"/>
      <c r="D2837" s="113"/>
      <c r="E2837" s="63" t="s">
        <v>1698</v>
      </c>
      <c r="F2837" s="150"/>
      <c r="G2837" s="107"/>
      <c r="H2837" s="95"/>
    </row>
    <row r="2838" spans="1:8" x14ac:dyDescent="0.3">
      <c r="A2838" s="161">
        <f>2</f>
        <v>2</v>
      </c>
      <c r="B2838" s="107" t="s">
        <v>1628</v>
      </c>
      <c r="C2838" s="111">
        <f>'04a_Box_Dims'!$AE40</f>
        <v>10</v>
      </c>
      <c r="D2838" s="113"/>
      <c r="E2838" s="63" t="s">
        <v>1699</v>
      </c>
      <c r="F2838" s="150"/>
      <c r="G2838" s="107"/>
      <c r="H2838" s="95"/>
    </row>
    <row r="2839" spans="1:8" x14ac:dyDescent="0.3">
      <c r="A2839" s="161"/>
      <c r="B2839" s="107"/>
      <c r="C2839" s="111">
        <f>'04a_Box_Dims'!$E40</f>
        <v>2.4</v>
      </c>
      <c r="D2839" s="113">
        <f>$A2838*$C2838*$C2839</f>
        <v>48</v>
      </c>
      <c r="E2839" s="63"/>
      <c r="F2839" s="150"/>
      <c r="G2839" s="107"/>
      <c r="H2839" s="95"/>
    </row>
    <row r="2840" spans="1:8" x14ac:dyDescent="0.3">
      <c r="A2840" s="161">
        <f>('04a_Box_Dims'!$C40-1)*2</f>
        <v>2</v>
      </c>
      <c r="B2840" s="107" t="s">
        <v>1628</v>
      </c>
      <c r="C2840" s="111">
        <f>'04a_Box_Dims'!$AE40</f>
        <v>10</v>
      </c>
      <c r="D2840" s="113"/>
      <c r="E2840" s="63" t="s">
        <v>1700</v>
      </c>
      <c r="F2840" s="150"/>
      <c r="G2840" s="107"/>
      <c r="H2840" s="95"/>
    </row>
    <row r="2841" spans="1:8" x14ac:dyDescent="0.3">
      <c r="A2841" s="161"/>
      <c r="B2841" s="107"/>
      <c r="C2841" s="111">
        <f>'04a_Box_Dims'!$E40</f>
        <v>2.4</v>
      </c>
      <c r="D2841" s="113">
        <f>$A2840*$C2840*$C2841</f>
        <v>48</v>
      </c>
      <c r="E2841" s="63"/>
      <c r="F2841" s="150"/>
      <c r="G2841" s="107"/>
      <c r="H2841" s="95"/>
    </row>
    <row r="2842" spans="1:8" x14ac:dyDescent="0.3">
      <c r="A2842" s="161">
        <f>4</f>
        <v>4</v>
      </c>
      <c r="B2842" s="107" t="s">
        <v>1628</v>
      </c>
      <c r="C2842" s="111">
        <f>'04a_Box_Dims'!$Z40</f>
        <v>2.1213203435596424</v>
      </c>
      <c r="D2842" s="113"/>
      <c r="E2842" s="63" t="s">
        <v>1701</v>
      </c>
      <c r="F2842" s="150"/>
      <c r="G2842" s="107"/>
      <c r="H2842" s="95"/>
    </row>
    <row r="2843" spans="1:8" x14ac:dyDescent="0.3">
      <c r="A2843" s="161"/>
      <c r="B2843" s="107"/>
      <c r="C2843" s="111">
        <f>'04a_Box_Dims'!$Y40</f>
        <v>3.3928932188134522</v>
      </c>
      <c r="D2843" s="113">
        <f>$A2842*$C2842*$C2843</f>
        <v>28.789653634378134</v>
      </c>
      <c r="E2843" s="63"/>
      <c r="F2843" s="150"/>
      <c r="G2843" s="107"/>
      <c r="H2843" s="95"/>
    </row>
    <row r="2844" spans="1:8" x14ac:dyDescent="0.3">
      <c r="A2844" s="161"/>
      <c r="B2844" s="107"/>
      <c r="C2844" s="111"/>
      <c r="D2844" s="113">
        <f>SUM($D$2838:$D$2843)</f>
        <v>124.78965363437814</v>
      </c>
      <c r="E2844" s="63" t="s">
        <v>1660</v>
      </c>
      <c r="F2844" s="150">
        <f>ROUND($D2844,2)</f>
        <v>124.79</v>
      </c>
      <c r="G2844" s="107" t="s">
        <v>1688</v>
      </c>
      <c r="H2844" s="95"/>
    </row>
    <row r="2845" spans="1:8" x14ac:dyDescent="0.3">
      <c r="A2845" s="161"/>
      <c r="B2845" s="107"/>
      <c r="C2845" s="111"/>
      <c r="D2845" s="113"/>
      <c r="E2845" s="63"/>
      <c r="F2845" s="150"/>
      <c r="G2845" s="107"/>
      <c r="H2845" s="95"/>
    </row>
    <row r="2846" spans="1:8" x14ac:dyDescent="0.3">
      <c r="A2846" s="161"/>
      <c r="B2846" s="107"/>
      <c r="C2846" s="111"/>
      <c r="D2846" s="113"/>
      <c r="E2846" s="149" t="s">
        <v>1702</v>
      </c>
      <c r="F2846" s="150"/>
      <c r="G2846" s="107"/>
      <c r="H2846" s="95"/>
    </row>
    <row r="2847" spans="1:8" x14ac:dyDescent="0.3">
      <c r="A2847" s="161"/>
      <c r="B2847" s="107"/>
      <c r="C2847" s="111"/>
      <c r="D2847" s="113"/>
      <c r="E2847" s="63" t="s">
        <v>1703</v>
      </c>
      <c r="F2847" s="150"/>
      <c r="G2847" s="107"/>
      <c r="H2847" s="95"/>
    </row>
    <row r="2848" spans="1:8" x14ac:dyDescent="0.3">
      <c r="A2848" s="161"/>
      <c r="B2848" s="107"/>
      <c r="C2848" s="111"/>
      <c r="D2848" s="113">
        <v>0</v>
      </c>
      <c r="E2848" s="63" t="s">
        <v>1704</v>
      </c>
      <c r="F2848" s="150">
        <f t="shared" ref="F2848:F2853" si="18">ROUND($D2848,3)</f>
        <v>0</v>
      </c>
      <c r="G2848" s="107" t="s">
        <v>1474</v>
      </c>
      <c r="H2848" s="95"/>
    </row>
    <row r="2849" spans="1:8" x14ac:dyDescent="0.3">
      <c r="A2849" s="161"/>
      <c r="B2849" s="107"/>
      <c r="C2849" s="111"/>
      <c r="D2849" s="113">
        <f>'04b_Box_Bars'!$S27/1000</f>
        <v>1.1714213607072939</v>
      </c>
      <c r="E2849" s="63" t="s">
        <v>1705</v>
      </c>
      <c r="F2849" s="150">
        <f t="shared" si="18"/>
        <v>1.171</v>
      </c>
      <c r="G2849" s="107" t="s">
        <v>1474</v>
      </c>
      <c r="H2849" s="95"/>
    </row>
    <row r="2850" spans="1:8" x14ac:dyDescent="0.3">
      <c r="A2850" s="161"/>
      <c r="B2850" s="107"/>
      <c r="C2850" s="111"/>
      <c r="D2850" s="113">
        <f>'04b_Box_Bars'!$T27/1000</f>
        <v>4.4327225488224604</v>
      </c>
      <c r="E2850" s="63" t="s">
        <v>1706</v>
      </c>
      <c r="F2850" s="150">
        <f t="shared" si="18"/>
        <v>4.4329999999999998</v>
      </c>
      <c r="G2850" s="107" t="s">
        <v>1474</v>
      </c>
      <c r="H2850" s="95"/>
    </row>
    <row r="2851" spans="1:8" x14ac:dyDescent="0.3">
      <c r="A2851" s="161"/>
      <c r="B2851" s="107"/>
      <c r="C2851" s="111"/>
      <c r="D2851" s="113">
        <f>'04b_Box_Bars'!$U27/1000</f>
        <v>1.4404684865340791</v>
      </c>
      <c r="E2851" s="63" t="s">
        <v>1707</v>
      </c>
      <c r="F2851" s="150">
        <f t="shared" si="18"/>
        <v>1.44</v>
      </c>
      <c r="G2851" s="107" t="s">
        <v>1474</v>
      </c>
      <c r="H2851" s="95"/>
    </row>
    <row r="2852" spans="1:8" x14ac:dyDescent="0.3">
      <c r="A2852" s="161"/>
      <c r="B2852" s="107"/>
      <c r="C2852" s="111"/>
      <c r="D2852" s="113">
        <f>'04b_Box_Bars'!$V27/1000</f>
        <v>0</v>
      </c>
      <c r="E2852" s="63" t="s">
        <v>1708</v>
      </c>
      <c r="F2852" s="150">
        <f t="shared" si="18"/>
        <v>0</v>
      </c>
      <c r="G2852" s="107" t="s">
        <v>1474</v>
      </c>
      <c r="H2852" s="95"/>
    </row>
    <row r="2853" spans="1:8" x14ac:dyDescent="0.3">
      <c r="A2853" s="161"/>
      <c r="B2853" s="107"/>
      <c r="C2853" s="111"/>
      <c r="D2853" s="113">
        <f>'04b_Box_Bars'!$W27/1000</f>
        <v>0</v>
      </c>
      <c r="E2853" s="63" t="s">
        <v>1709</v>
      </c>
      <c r="F2853" s="150">
        <f t="shared" si="18"/>
        <v>0</v>
      </c>
      <c r="G2853" s="107" t="s">
        <v>1474</v>
      </c>
      <c r="H2853" s="95"/>
    </row>
    <row r="2854" spans="1:8" x14ac:dyDescent="0.3">
      <c r="A2854" s="161"/>
      <c r="B2854" s="107"/>
      <c r="C2854" s="111"/>
      <c r="D2854" s="113"/>
      <c r="E2854" s="63"/>
      <c r="F2854" s="150"/>
      <c r="G2854" s="107"/>
      <c r="H2854" s="95"/>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27"/>
  <sheetViews>
    <sheetView workbookViewId="0">
      <pane ySplit="4" topLeftCell="A5" activePane="bottomLeft" state="frozen"/>
      <selection pane="bottomLeft"/>
    </sheetView>
  </sheetViews>
  <sheetFormatPr defaultRowHeight="14.4" x14ac:dyDescent="0.3"/>
  <cols>
    <col min="1" max="1" width="11.44140625" customWidth="1"/>
    <col min="2" max="2" width="55.5546875" customWidth="1"/>
    <col min="3" max="3" width="8.109375" customWidth="1"/>
    <col min="4" max="4" width="14.44140625" customWidth="1"/>
    <col min="5" max="5" width="15.21875" customWidth="1"/>
    <col min="6" max="6" width="13.33203125" customWidth="1"/>
  </cols>
  <sheetData>
    <row r="1" spans="1:6" ht="15.6" customHeight="1" x14ac:dyDescent="0.3">
      <c r="A1" s="53" t="s">
        <v>1710</v>
      </c>
    </row>
    <row r="2" spans="1:6" x14ac:dyDescent="0.3">
      <c r="A2" s="54" t="s">
        <v>1711</v>
      </c>
    </row>
    <row r="4" spans="1:6" ht="43.2" customHeight="1" x14ac:dyDescent="0.3">
      <c r="A4" s="62" t="s">
        <v>1712</v>
      </c>
      <c r="B4" s="62" t="s">
        <v>1713</v>
      </c>
      <c r="C4" s="62" t="s">
        <v>43</v>
      </c>
      <c r="D4" s="62" t="s">
        <v>222</v>
      </c>
      <c r="E4" s="62" t="s">
        <v>1714</v>
      </c>
      <c r="F4" s="62" t="s">
        <v>1715</v>
      </c>
    </row>
    <row r="5" spans="1:6" x14ac:dyDescent="0.3">
      <c r="A5" s="99" t="str">
        <f>'04_Box_Engine'!$G$3</f>
        <v>E 323</v>
      </c>
      <c r="B5" s="99" t="str">
        <f>'04_Box_Engine'!$G$4</f>
        <v>Excavate foundation 0.5-1.0 m</v>
      </c>
      <c r="C5" s="99" t="str">
        <f>'04_Box_Engine'!$G$5</f>
        <v>m³</v>
      </c>
      <c r="D5" s="100">
        <f>'04_Box_Engine'!$G$26</f>
        <v>0</v>
      </c>
      <c r="E5" s="99" t="str">
        <f>IF(COUNTIF('07_Items'!$A:$A,'04_Box_Engine'!$G$3)&gt;0,"yes","NOT IN BILL")</f>
        <v>yes</v>
      </c>
      <c r="F5" s="99" t="str">
        <f>IF(COUNTIF('07_Items'!$A:$A,'04_Box_Engine'!$G$3)=0,"—",IF(N(SUMIF('08_Rates'!$A:$A,'04_Box_Engine'!$G$3,'08_Rates'!$D:$D))&gt;0,"yes","NO RATE"))</f>
        <v>yes</v>
      </c>
    </row>
    <row r="6" spans="1:6" x14ac:dyDescent="0.3">
      <c r="A6" s="101" t="str">
        <f>'04_Box_Engine'!$H$3</f>
        <v>E 900.1b</v>
      </c>
      <c r="B6" s="101" t="str">
        <f>'04_Box_Engine'!$H$4</f>
        <v>Haulage fine aggregate (0-20 km)</v>
      </c>
      <c r="C6" s="101" t="str">
        <f>'04_Box_Engine'!$H$5</f>
        <v>m³·km</v>
      </c>
      <c r="D6" s="102">
        <f>'04_Box_Engine'!$H$26</f>
        <v>0</v>
      </c>
      <c r="E6" s="101" t="str">
        <f>IF(COUNTIF('07_Items'!$A:$A,'04_Box_Engine'!$H$3)&gt;0,"yes","NOT IN BILL")</f>
        <v>yes</v>
      </c>
      <c r="F6" s="101" t="str">
        <f>IF(COUNTIF('07_Items'!$A:$A,'04_Box_Engine'!$H$3)=0,"—",IF(N(SUMIF('08_Rates'!$A:$A,'04_Box_Engine'!$H$3,'08_Rates'!$D:$D))&gt;0,"yes","NO RATE"))</f>
        <v>yes</v>
      </c>
    </row>
    <row r="7" spans="1:6" x14ac:dyDescent="0.3">
      <c r="A7" s="101" t="str">
        <f>'04_Box_Engine'!$I$3</f>
        <v>F 224</v>
      </c>
      <c r="B7" s="101" t="str">
        <f>'04_Box_Engine'!$I$4</f>
        <v>Provide C10 lean concrete</v>
      </c>
      <c r="C7" s="101" t="str">
        <f>'04_Box_Engine'!$I$5</f>
        <v>m³</v>
      </c>
      <c r="D7" s="102">
        <f>'04_Box_Engine'!$I$26</f>
        <v>0</v>
      </c>
      <c r="E7" s="101" t="str">
        <f>IF(COUNTIF('07_Items'!$A:$A,'04_Box_Engine'!$I$3)&gt;0,"yes","NOT IN BILL")</f>
        <v>yes</v>
      </c>
      <c r="F7" s="101" t="str">
        <f>IF(COUNTIF('07_Items'!$A:$A,'04_Box_Engine'!$I$3)=0,"—",IF(N(SUMIF('08_Rates'!$A:$A,'04_Box_Engine'!$I$3,'08_Rates'!$D:$D))&gt;0,"yes","NO RATE"))</f>
        <v>yes</v>
      </c>
    </row>
    <row r="8" spans="1:6" x14ac:dyDescent="0.3">
      <c r="A8" s="101" t="str">
        <f>'04_Box_Engine'!$J$3</f>
        <v>F 511</v>
      </c>
      <c r="B8" s="101" t="str">
        <f>'04_Box_Engine'!$J$4</f>
        <v>Blinding layer 50 mm</v>
      </c>
      <c r="C8" s="101" t="str">
        <f>'04_Box_Engine'!$J$5</f>
        <v>m³</v>
      </c>
      <c r="D8" s="102">
        <f>'04_Box_Engine'!$J$26</f>
        <v>0</v>
      </c>
      <c r="E8" s="101" t="str">
        <f>IF(COUNTIF('07_Items'!$A:$A,'04_Box_Engine'!$J$3)&gt;0,"yes","NOT IN BILL")</f>
        <v>yes</v>
      </c>
      <c r="F8" s="101" t="str">
        <f>IF(COUNTIF('07_Items'!$A:$A,'04_Box_Engine'!$J$3)=0,"—",IF(N(SUMIF('08_Rates'!$A:$A,'04_Box_Engine'!$J$3,'08_Rates'!$D:$D))&gt;0,"yes","NO RATE"))</f>
        <v>yes</v>
      </c>
    </row>
    <row r="9" spans="1:6" x14ac:dyDescent="0.3">
      <c r="A9" s="101" t="str">
        <f>'04_Box_Engine'!$K$3</f>
        <v>F 622</v>
      </c>
      <c r="B9" s="101" t="str">
        <f>'04_Box_Engine'!$K$4</f>
        <v>RC bases/footings 150-300 mm</v>
      </c>
      <c r="C9" s="101" t="str">
        <f>'04_Box_Engine'!$K$5</f>
        <v>m³</v>
      </c>
      <c r="D9" s="102">
        <f>'04_Box_Engine'!$K$26</f>
        <v>0</v>
      </c>
      <c r="E9" s="101" t="str">
        <f>IF(COUNTIF('07_Items'!$A:$A,'04_Box_Engine'!$K$3)&gt;0,"yes","NOT IN BILL")</f>
        <v>yes</v>
      </c>
      <c r="F9" s="101" t="str">
        <f>IF(COUNTIF('07_Items'!$A:$A,'04_Box_Engine'!$K$3)=0,"—",IF(N(SUMIF('08_Rates'!$A:$A,'04_Box_Engine'!$K$3,'08_Rates'!$D:$D))&gt;0,"yes","NO RATE"))</f>
        <v>yes</v>
      </c>
    </row>
    <row r="10" spans="1:6" x14ac:dyDescent="0.3">
      <c r="A10" s="101" t="str">
        <f>'04_Box_Engine'!$L$3</f>
        <v>F 623</v>
      </c>
      <c r="B10" s="101" t="str">
        <f>'04_Box_Engine'!$L$4</f>
        <v>RC bases/footings 300-500 mm</v>
      </c>
      <c r="C10" s="101" t="str">
        <f>'04_Box_Engine'!$L$5</f>
        <v>m³</v>
      </c>
      <c r="D10" s="102">
        <f>'04_Box_Engine'!$L$26</f>
        <v>0</v>
      </c>
      <c r="E10" s="101" t="str">
        <f>IF(COUNTIF('07_Items'!$A:$A,'04_Box_Engine'!$L$3)&gt;0,"yes","NOT IN BILL")</f>
        <v>yes</v>
      </c>
      <c r="F10" s="101" t="str">
        <f>IF(COUNTIF('07_Items'!$A:$A,'04_Box_Engine'!$L$3)=0,"—",IF(N(SUMIF('08_Rates'!$A:$A,'04_Box_Engine'!$L$3,'08_Rates'!$D:$D))&gt;0,"yes","NO RATE"))</f>
        <v>yes</v>
      </c>
    </row>
    <row r="11" spans="1:6" x14ac:dyDescent="0.3">
      <c r="A11" s="101" t="str">
        <f>'04_Box_Engine'!$M$3</f>
        <v>F 632</v>
      </c>
      <c r="B11" s="101" t="str">
        <f>'04_Box_Engine'!$M$4</f>
        <v>RC suspended slab 150-300 mm</v>
      </c>
      <c r="C11" s="101" t="str">
        <f>'04_Box_Engine'!$M$5</f>
        <v>m³</v>
      </c>
      <c r="D11" s="102">
        <f>'04_Box_Engine'!$M$26</f>
        <v>0</v>
      </c>
      <c r="E11" s="101" t="str">
        <f>IF(COUNTIF('07_Items'!$A:$A,'04_Box_Engine'!$M$3)&gt;0,"yes","NOT IN BILL")</f>
        <v>yes</v>
      </c>
      <c r="F11" s="101" t="str">
        <f>IF(COUNTIF('07_Items'!$A:$A,'04_Box_Engine'!$M$3)=0,"—",IF(N(SUMIF('08_Rates'!$A:$A,'04_Box_Engine'!$M$3,'08_Rates'!$D:$D))&gt;0,"yes","NO RATE"))</f>
        <v>yes</v>
      </c>
    </row>
    <row r="12" spans="1:6" x14ac:dyDescent="0.3">
      <c r="A12" s="101" t="str">
        <f>'04_Box_Engine'!$N$3</f>
        <v>F 633</v>
      </c>
      <c r="B12" s="101" t="str">
        <f>'04_Box_Engine'!$N$4</f>
        <v>RC suspended slab 300-500 mm</v>
      </c>
      <c r="C12" s="101" t="str">
        <f>'04_Box_Engine'!$N$5</f>
        <v>m³</v>
      </c>
      <c r="D12" s="102">
        <f>'04_Box_Engine'!$N$26</f>
        <v>0</v>
      </c>
      <c r="E12" s="101" t="str">
        <f>IF(COUNTIF('07_Items'!$A:$A,'04_Box_Engine'!$N$3)&gt;0,"yes","NOT IN BILL")</f>
        <v>yes</v>
      </c>
      <c r="F12" s="101" t="str">
        <f>IF(COUNTIF('07_Items'!$A:$A,'04_Box_Engine'!$N$3)=0,"—",IF(N(SUMIF('08_Rates'!$A:$A,'04_Box_Engine'!$N$3,'08_Rates'!$D:$D))&gt;0,"yes","NO RATE"))</f>
        <v>yes</v>
      </c>
    </row>
    <row r="13" spans="1:6" x14ac:dyDescent="0.3">
      <c r="A13" s="101" t="str">
        <f>'04_Box_Engine'!$O$3</f>
        <v>F 642</v>
      </c>
      <c r="B13" s="101" t="str">
        <f>'04_Box_Engine'!$O$4</f>
        <v>RC walls 150-300 mm</v>
      </c>
      <c r="C13" s="101" t="str">
        <f>'04_Box_Engine'!$O$5</f>
        <v>m³</v>
      </c>
      <c r="D13" s="102">
        <f>'04_Box_Engine'!$O$26</f>
        <v>0</v>
      </c>
      <c r="E13" s="101" t="str">
        <f>IF(COUNTIF('07_Items'!$A:$A,'04_Box_Engine'!$O$3)&gt;0,"yes","NOT IN BILL")</f>
        <v>yes</v>
      </c>
      <c r="F13" s="101" t="str">
        <f>IF(COUNTIF('07_Items'!$A:$A,'04_Box_Engine'!$O$3)=0,"—",IF(N(SUMIF('08_Rates'!$A:$A,'04_Box_Engine'!$O$3,'08_Rates'!$D:$D))&gt;0,"yes","NO RATE"))</f>
        <v>yes</v>
      </c>
    </row>
    <row r="14" spans="1:6" x14ac:dyDescent="0.3">
      <c r="A14" s="101" t="str">
        <f>'04_Box_Engine'!$P$3</f>
        <v>F 643</v>
      </c>
      <c r="B14" s="101" t="str">
        <f>'04_Box_Engine'!$P$4</f>
        <v>RC walls 300-500 mm</v>
      </c>
      <c r="C14" s="101" t="str">
        <f>'04_Box_Engine'!$P$5</f>
        <v>m³</v>
      </c>
      <c r="D14" s="102">
        <f>'04_Box_Engine'!$P$26</f>
        <v>0</v>
      </c>
      <c r="E14" s="101" t="str">
        <f>IF(COUNTIF('07_Items'!$A:$A,'04_Box_Engine'!$P$3)&gt;0,"yes","NOT IN BILL")</f>
        <v>yes</v>
      </c>
      <c r="F14" s="101" t="str">
        <f>IF(COUNTIF('07_Items'!$A:$A,'04_Box_Engine'!$P$3)=0,"—",IF(N(SUMIF('08_Rates'!$A:$A,'04_Box_Engine'!$P$3,'08_Rates'!$D:$D))&gt;0,"yes","NO RATE"))</f>
        <v>yes</v>
      </c>
    </row>
    <row r="15" spans="1:6" x14ac:dyDescent="0.3">
      <c r="A15" s="101" t="str">
        <f>'04_Box_Engine'!$Q$3</f>
        <v>G 114</v>
      </c>
      <c r="B15" s="101" t="str">
        <f>'04_Box_Engine'!$Q$4</f>
        <v>Rough formwork vertical</v>
      </c>
      <c r="C15" s="101" t="str">
        <f>'04_Box_Engine'!$Q$5</f>
        <v>m²</v>
      </c>
      <c r="D15" s="102">
        <f>'04_Box_Engine'!$Q$26</f>
        <v>0</v>
      </c>
      <c r="E15" s="101" t="str">
        <f>IF(COUNTIF('07_Items'!$A:$A,'04_Box_Engine'!$Q$3)&gt;0,"yes","NOT IN BILL")</f>
        <v>yes</v>
      </c>
      <c r="F15" s="101" t="str">
        <f>IF(COUNTIF('07_Items'!$A:$A,'04_Box_Engine'!$Q$3)=0,"—",IF(N(SUMIF('08_Rates'!$A:$A,'04_Box_Engine'!$Q$3,'08_Rates'!$D:$D))&gt;0,"yes","NO RATE"))</f>
        <v>yes</v>
      </c>
    </row>
    <row r="16" spans="1:6" x14ac:dyDescent="0.3">
      <c r="A16" s="101" t="str">
        <f>'04_Box_Engine'!$R$3</f>
        <v>G 115</v>
      </c>
      <c r="B16" s="101" t="str">
        <f>'04_Box_Engine'!$R$4</f>
        <v>Rough formwork exceeding 1.22 m</v>
      </c>
      <c r="C16" s="101" t="str">
        <f>'04_Box_Engine'!$R$5</f>
        <v>m²</v>
      </c>
      <c r="D16" s="102">
        <f>'04_Box_Engine'!$R$26</f>
        <v>0</v>
      </c>
      <c r="E16" s="101" t="str">
        <f>IF(COUNTIF('07_Items'!$A:$A,'04_Box_Engine'!$R$3)&gt;0,"yes","NOT IN BILL")</f>
        <v>yes</v>
      </c>
      <c r="F16" s="101" t="str">
        <f>IF(COUNTIF('07_Items'!$A:$A,'04_Box_Engine'!$R$3)=0,"—",IF(N(SUMIF('08_Rates'!$A:$A,'04_Box_Engine'!$R$3,'08_Rates'!$D:$D))&gt;0,"yes","NO RATE"))</f>
        <v>yes</v>
      </c>
    </row>
    <row r="17" spans="1:6" x14ac:dyDescent="0.3">
      <c r="A17" s="101" t="str">
        <f>'04_Box_Engine'!$S$3</f>
        <v>G 143</v>
      </c>
      <c r="B17" s="101" t="str">
        <f>'04_Box_Engine'!$S$4</f>
        <v>Sawn formwork 0.2-0.4 m</v>
      </c>
      <c r="C17" s="101" t="str">
        <f>'04_Box_Engine'!$S$5</f>
        <v>m²</v>
      </c>
      <c r="D17" s="102">
        <f>'04_Box_Engine'!$S$26</f>
        <v>0</v>
      </c>
      <c r="E17" s="101" t="str">
        <f>IF(COUNTIF('07_Items'!$A:$A,'04_Box_Engine'!$S$3)&gt;0,"yes","NOT IN BILL")</f>
        <v>yes</v>
      </c>
      <c r="F17" s="101" t="str">
        <f>IF(COUNTIF('07_Items'!$A:$A,'04_Box_Engine'!$S$3)=0,"—",IF(N(SUMIF('08_Rates'!$A:$A,'04_Box_Engine'!$S$3,'08_Rates'!$D:$D))&gt;0,"yes","NO RATE"))</f>
        <v>yes</v>
      </c>
    </row>
    <row r="18" spans="1:6" x14ac:dyDescent="0.3">
      <c r="A18" s="101" t="str">
        <f>'04_Box_Engine'!$T$3</f>
        <v>G 145</v>
      </c>
      <c r="B18" s="101" t="str">
        <f>'04_Box_Engine'!$T$4</f>
        <v>Fair formwork to soffits exceeding 1.2 m</v>
      </c>
      <c r="C18" s="101" t="str">
        <f>'04_Box_Engine'!$T$5</f>
        <v>m²</v>
      </c>
      <c r="D18" s="102">
        <f>'04_Box_Engine'!$T$26</f>
        <v>0</v>
      </c>
      <c r="E18" s="101" t="str">
        <f>IF(COUNTIF('07_Items'!$A:$A,'04_Box_Engine'!$T$3)&gt;0,"yes","NOT IN BILL")</f>
        <v>yes</v>
      </c>
      <c r="F18" s="101" t="str">
        <f>IF(COUNTIF('07_Items'!$A:$A,'04_Box_Engine'!$T$3)=0,"—",IF(N(SUMIF('08_Rates'!$A:$A,'04_Box_Engine'!$T$3,'08_Rates'!$D:$D))&gt;0,"yes","NO RATE"))</f>
        <v>yes</v>
      </c>
    </row>
    <row r="19" spans="1:6" x14ac:dyDescent="0.3">
      <c r="A19" s="101" t="str">
        <f>'04_Box_Engine'!$U$3</f>
        <v>G 244</v>
      </c>
      <c r="B19" s="101" t="str">
        <f>'04_Box_Engine'!$U$4</f>
        <v>Fair formwork 0.4-1.22 m</v>
      </c>
      <c r="C19" s="101" t="str">
        <f>'04_Box_Engine'!$U$5</f>
        <v>m²</v>
      </c>
      <c r="D19" s="102">
        <f>'04_Box_Engine'!$U$26</f>
        <v>0</v>
      </c>
      <c r="E19" s="101" t="str">
        <f>IF(COUNTIF('07_Items'!$A:$A,'04_Box_Engine'!$U$3)&gt;0,"yes","NOT IN BILL")</f>
        <v>yes</v>
      </c>
      <c r="F19" s="101" t="str">
        <f>IF(COUNTIF('07_Items'!$A:$A,'04_Box_Engine'!$U$3)=0,"—",IF(N(SUMIF('08_Rates'!$A:$A,'04_Box_Engine'!$U$3,'08_Rates'!$D:$D))&gt;0,"yes","NO RATE"))</f>
        <v>yes</v>
      </c>
    </row>
    <row r="20" spans="1:6" x14ac:dyDescent="0.3">
      <c r="A20" s="101" t="str">
        <f>'04_Box_Engine'!$V$3</f>
        <v>G 245</v>
      </c>
      <c r="B20" s="101" t="str">
        <f>'04_Box_Engine'!$V$4</f>
        <v>Fair formwork exceeding 1.22 m</v>
      </c>
      <c r="C20" s="101" t="str">
        <f>'04_Box_Engine'!$V$5</f>
        <v>m²</v>
      </c>
      <c r="D20" s="102">
        <f>'04_Box_Engine'!$V$26</f>
        <v>0</v>
      </c>
      <c r="E20" s="101" t="str">
        <f>IF(COUNTIF('07_Items'!$A:$A,'04_Box_Engine'!$V$3)&gt;0,"yes","NOT IN BILL")</f>
        <v>yes</v>
      </c>
      <c r="F20" s="101" t="str">
        <f>IF(COUNTIF('07_Items'!$A:$A,'04_Box_Engine'!$V$3)=0,"—",IF(N(SUMIF('08_Rates'!$A:$A,'04_Box_Engine'!$V$3,'08_Rates'!$D:$D))&gt;0,"yes","NO RATE"))</f>
        <v>yes</v>
      </c>
    </row>
    <row r="21" spans="1:6" x14ac:dyDescent="0.3">
      <c r="A21" s="101" t="str">
        <f>'04_Box_Engine'!$W$3</f>
        <v>G 512</v>
      </c>
      <c r="B21" s="101" t="str">
        <f>'04_Box_Engine'!$W$4</f>
        <v>8 mm reinforcement</v>
      </c>
      <c r="C21" s="101" t="str">
        <f>'04_Box_Engine'!$W$5</f>
        <v>t</v>
      </c>
      <c r="D21" s="102">
        <f>'04_Box_Engine'!$W$26</f>
        <v>0</v>
      </c>
      <c r="E21" s="101" t="str">
        <f>IF(COUNTIF('07_Items'!$A:$A,'04_Box_Engine'!$W$3)&gt;0,"yes","NOT IN BILL")</f>
        <v>yes</v>
      </c>
      <c r="F21" s="101" t="str">
        <f>IF(COUNTIF('07_Items'!$A:$A,'04_Box_Engine'!$W$3)=0,"—",IF(N(SUMIF('08_Rates'!$A:$A,'04_Box_Engine'!$W$3,'08_Rates'!$D:$D))&gt;0,"yes","NO RATE"))</f>
        <v>yes</v>
      </c>
    </row>
    <row r="22" spans="1:6" x14ac:dyDescent="0.3">
      <c r="A22" s="101" t="str">
        <f>'04_Box_Engine'!$X$3</f>
        <v>G 513</v>
      </c>
      <c r="B22" s="101" t="str">
        <f>'04_Box_Engine'!$X$4</f>
        <v>10 mm reinforcement</v>
      </c>
      <c r="C22" s="101" t="str">
        <f>'04_Box_Engine'!$X$5</f>
        <v>t</v>
      </c>
      <c r="D22" s="102">
        <f>'04_Box_Engine'!$X$26</f>
        <v>0</v>
      </c>
      <c r="E22" s="101" t="str">
        <f>IF(COUNTIF('07_Items'!$A:$A,'04_Box_Engine'!$X$3)&gt;0,"yes","NOT IN BILL")</f>
        <v>yes</v>
      </c>
      <c r="F22" s="101" t="str">
        <f>IF(COUNTIF('07_Items'!$A:$A,'04_Box_Engine'!$X$3)=0,"—",IF(N(SUMIF('08_Rates'!$A:$A,'04_Box_Engine'!$X$3,'08_Rates'!$D:$D))&gt;0,"yes","NO RATE"))</f>
        <v>yes</v>
      </c>
    </row>
    <row r="23" spans="1:6" x14ac:dyDescent="0.3">
      <c r="A23" s="101" t="str">
        <f>'04_Box_Engine'!$Y$3</f>
        <v>G 514</v>
      </c>
      <c r="B23" s="101" t="str">
        <f>'04_Box_Engine'!$Y$4</f>
        <v>12 mm reinforcement</v>
      </c>
      <c r="C23" s="101" t="str">
        <f>'04_Box_Engine'!$Y$5</f>
        <v>t</v>
      </c>
      <c r="D23" s="102">
        <f>'04_Box_Engine'!$Y$26</f>
        <v>0</v>
      </c>
      <c r="E23" s="101" t="str">
        <f>IF(COUNTIF('07_Items'!$A:$A,'04_Box_Engine'!$Y$3)&gt;0,"yes","NOT IN BILL")</f>
        <v>yes</v>
      </c>
      <c r="F23" s="101" t="str">
        <f>IF(COUNTIF('07_Items'!$A:$A,'04_Box_Engine'!$Y$3)=0,"—",IF(N(SUMIF('08_Rates'!$A:$A,'04_Box_Engine'!$Y$3,'08_Rates'!$D:$D))&gt;0,"yes","NO RATE"))</f>
        <v>yes</v>
      </c>
    </row>
    <row r="24" spans="1:6" x14ac:dyDescent="0.3">
      <c r="A24" s="101" t="str">
        <f>'04_Box_Engine'!$Z$3</f>
        <v>G 515</v>
      </c>
      <c r="B24" s="101" t="str">
        <f>'04_Box_Engine'!$Z$4</f>
        <v>16 mm reinforcement</v>
      </c>
      <c r="C24" s="101" t="str">
        <f>'04_Box_Engine'!$Z$5</f>
        <v>t</v>
      </c>
      <c r="D24" s="102">
        <f>'04_Box_Engine'!$Z$26</f>
        <v>0</v>
      </c>
      <c r="E24" s="101" t="str">
        <f>IF(COUNTIF('07_Items'!$A:$A,'04_Box_Engine'!$Z$3)&gt;0,"yes","NOT IN BILL")</f>
        <v>yes</v>
      </c>
      <c r="F24" s="101" t="str">
        <f>IF(COUNTIF('07_Items'!$A:$A,'04_Box_Engine'!$Z$3)=0,"—",IF(N(SUMIF('08_Rates'!$A:$A,'04_Box_Engine'!$Z$3,'08_Rates'!$D:$D))&gt;0,"yes","NO RATE"))</f>
        <v>yes</v>
      </c>
    </row>
    <row r="25" spans="1:6" x14ac:dyDescent="0.3">
      <c r="A25" s="101" t="str">
        <f>'04_Box_Engine'!$AA$3</f>
        <v>G 516</v>
      </c>
      <c r="B25" s="101" t="str">
        <f>'04_Box_Engine'!$AA$4</f>
        <v>20 mm reinforcement</v>
      </c>
      <c r="C25" s="101" t="str">
        <f>'04_Box_Engine'!$AA$5</f>
        <v>t</v>
      </c>
      <c r="D25" s="102">
        <f>'04_Box_Engine'!$AA$26</f>
        <v>0</v>
      </c>
      <c r="E25" s="101" t="str">
        <f>IF(COUNTIF('07_Items'!$A:$A,'04_Box_Engine'!$AA$3)&gt;0,"yes","NOT IN BILL")</f>
        <v>yes</v>
      </c>
      <c r="F25" s="101" t="str">
        <f>IF(COUNTIF('07_Items'!$A:$A,'04_Box_Engine'!$AA$3)=0,"—",IF(N(SUMIF('08_Rates'!$A:$A,'04_Box_Engine'!$AA$3,'08_Rates'!$D:$D))&gt;0,"yes","NO RATE"))</f>
        <v>yes</v>
      </c>
    </row>
    <row r="26" spans="1:6" x14ac:dyDescent="0.3">
      <c r="A26" s="101" t="str">
        <f>'04_Box_Engine'!$AB$3</f>
        <v>F 263</v>
      </c>
      <c r="B26" s="101" t="str">
        <f>'04_Box_Engine'!$AB$4</f>
        <v>Provide C30 concrete (sum of RC placing items)</v>
      </c>
      <c r="C26" s="101" t="str">
        <f>'04_Box_Engine'!$AB$5</f>
        <v>m³</v>
      </c>
      <c r="D26" s="102">
        <f>'04_Box_Engine'!$AB$26</f>
        <v>0</v>
      </c>
      <c r="E26" s="101" t="str">
        <f>IF(COUNTIF('07_Items'!$A:$A,'04_Box_Engine'!$AB$3)&gt;0,"yes","NOT IN BILL")</f>
        <v>yes</v>
      </c>
      <c r="F26" s="101" t="str">
        <f>IF(COUNTIF('07_Items'!$A:$A,'04_Box_Engine'!$AB$3)=0,"—",IF(N(SUMIF('08_Rates'!$A:$A,'04_Box_Engine'!$AB$3,'08_Rates'!$D:$D))&gt;0,"yes","NO RATE"))</f>
        <v>yes</v>
      </c>
    </row>
    <row r="27" spans="1:6" x14ac:dyDescent="0.3">
      <c r="A27" s="103" t="str">
        <f>'04_Box_Engine'!$AC$3</f>
        <v>E 900.2b</v>
      </c>
      <c r="B27" s="103" t="str">
        <f>'04_Box_Engine'!$AC$4</f>
        <v>Haulage coarse aggregate (20-100 km)</v>
      </c>
      <c r="C27" s="103" t="str">
        <f>'04_Box_Engine'!$AC$5</f>
        <v>m³·km</v>
      </c>
      <c r="D27" s="104">
        <f>'04_Box_Engine'!$AC$26</f>
        <v>0</v>
      </c>
      <c r="E27" s="103" t="str">
        <f>IF(COUNTIF('07_Items'!$A:$A,'04_Box_Engine'!$AC$3)&gt;0,"yes","NOT IN BILL")</f>
        <v>yes</v>
      </c>
      <c r="F27" s="103" t="str">
        <f>IF(COUNTIF('07_Items'!$A:$A,'04_Box_Engine'!$AC$3)=0,"—",IF(N(SUMIF('08_Rates'!$A:$A,'04_Box_Engine'!$AC$3,'08_Rates'!$D:$D))&gt;0,"yes","NO RATE"))</f>
        <v>yes</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7B3F00"/>
    <pageSetUpPr fitToPage="1"/>
  </sheetPr>
  <dimension ref="A1:X1000"/>
  <sheetViews>
    <sheetView showGridLines="0" workbookViewId="0">
      <pane xSplit="2" ySplit="5" topLeftCell="C6" activePane="bottomRight" state="frozen"/>
      <selection pane="topRight" activeCell="C1" sqref="C1"/>
      <selection pane="bottomLeft" activeCell="A6" sqref="A6"/>
      <selection pane="bottomRight" activeCell="AD20" sqref="AD20"/>
    </sheetView>
  </sheetViews>
  <sheetFormatPr defaultColWidth="14.44140625" defaultRowHeight="15" customHeight="1" x14ac:dyDescent="0.3"/>
  <cols>
    <col min="1" max="1" width="26" customWidth="1"/>
    <col min="2" max="24" width="10" customWidth="1"/>
    <col min="25" max="26" width="8.6640625" customWidth="1"/>
  </cols>
  <sheetData>
    <row r="1" spans="1:24" ht="19.8" customHeight="1" x14ac:dyDescent="0.4">
      <c r="A1" s="1" t="s">
        <v>1716</v>
      </c>
    </row>
    <row r="2" spans="1:24" ht="14.4" customHeight="1" x14ac:dyDescent="0.3">
      <c r="A2" s="2" t="s">
        <v>1717</v>
      </c>
    </row>
    <row r="3" spans="1:24" ht="14.4" customHeight="1" x14ac:dyDescent="0.3">
      <c r="T3" s="4" t="s">
        <v>1718</v>
      </c>
      <c r="U3" s="4" t="s">
        <v>1719</v>
      </c>
      <c r="V3" s="4" t="s">
        <v>1720</v>
      </c>
      <c r="W3" s="4" t="s">
        <v>1721</v>
      </c>
      <c r="X3" s="4" t="s">
        <v>1722</v>
      </c>
    </row>
    <row r="4" spans="1:24" ht="30.6" customHeight="1" x14ac:dyDescent="0.3">
      <c r="A4" s="3" t="s">
        <v>216</v>
      </c>
      <c r="B4" s="3" t="s">
        <v>1317</v>
      </c>
      <c r="C4" s="3" t="s">
        <v>1352</v>
      </c>
      <c r="D4" s="3" t="s">
        <v>1353</v>
      </c>
      <c r="E4" s="3" t="s">
        <v>1354</v>
      </c>
      <c r="F4" s="3" t="s">
        <v>218</v>
      </c>
      <c r="G4" s="3" t="s">
        <v>1723</v>
      </c>
      <c r="H4" s="3" t="s">
        <v>1724</v>
      </c>
      <c r="I4" s="3" t="s">
        <v>1725</v>
      </c>
      <c r="J4" s="3" t="s">
        <v>1726</v>
      </c>
      <c r="K4" s="3" t="s">
        <v>1358</v>
      </c>
      <c r="L4" s="3" t="s">
        <v>1727</v>
      </c>
      <c r="M4" s="3" t="s">
        <v>1728</v>
      </c>
      <c r="N4" s="3" t="s">
        <v>1729</v>
      </c>
      <c r="O4" s="3" t="s">
        <v>1730</v>
      </c>
      <c r="P4" s="3" t="s">
        <v>1731</v>
      </c>
      <c r="Q4" s="3" t="s">
        <v>1732</v>
      </c>
      <c r="R4" s="3" t="s">
        <v>1733</v>
      </c>
      <c r="S4" s="3" t="s">
        <v>1734</v>
      </c>
      <c r="T4" s="10" t="s">
        <v>1735</v>
      </c>
      <c r="U4" s="10" t="s">
        <v>1736</v>
      </c>
      <c r="V4" s="10" t="s">
        <v>1737</v>
      </c>
      <c r="W4" s="10" t="s">
        <v>1402</v>
      </c>
      <c r="X4" s="10" t="s">
        <v>1403</v>
      </c>
    </row>
    <row r="5" spans="1:24" ht="14.4" customHeight="1" x14ac:dyDescent="0.3">
      <c r="T5" s="24" t="s">
        <v>63</v>
      </c>
      <c r="U5" s="24" t="s">
        <v>67</v>
      </c>
      <c r="V5" s="24" t="s">
        <v>67</v>
      </c>
      <c r="W5" s="24" t="s">
        <v>1404</v>
      </c>
      <c r="X5" s="24" t="s">
        <v>1404</v>
      </c>
    </row>
    <row r="6" spans="1:24" ht="14.4" customHeight="1" x14ac:dyDescent="0.3">
      <c r="A6" s="25" t="s">
        <v>1738</v>
      </c>
      <c r="B6" s="25" t="s">
        <v>1739</v>
      </c>
      <c r="C6" s="25">
        <f>COUNTIF('02_Culverts'!$J$5:$J$104,"UC|1/700X900")</f>
        <v>0</v>
      </c>
      <c r="D6" s="25">
        <f>SUMIF('02_Culverts'!$J$5:$J$104,"UC|1/700X900",'02_Culverts'!$F$5:$F$104)</f>
        <v>0</v>
      </c>
      <c r="E6" s="25">
        <f t="shared" ref="E6:E17" si="0">IF($C6=0,0,$D6/$C6)</f>
        <v>0</v>
      </c>
      <c r="F6" s="26">
        <v>1</v>
      </c>
      <c r="G6" s="26">
        <v>0.9</v>
      </c>
      <c r="H6" s="26">
        <v>0.7</v>
      </c>
      <c r="I6" s="27">
        <v>0.2</v>
      </c>
      <c r="J6" s="27">
        <v>0.2</v>
      </c>
      <c r="K6" s="26">
        <f t="shared" ref="K6:K17" si="1">$F6*$G6+($F6+1)*$I6</f>
        <v>1.3</v>
      </c>
      <c r="L6" s="27">
        <v>1.3</v>
      </c>
      <c r="M6" s="27">
        <v>0.3</v>
      </c>
      <c r="N6" s="27">
        <v>0.4</v>
      </c>
      <c r="O6" s="27">
        <v>1.2</v>
      </c>
      <c r="P6" s="27">
        <v>0.5</v>
      </c>
      <c r="Q6" s="27">
        <v>0.4</v>
      </c>
      <c r="R6" s="27">
        <v>0.05</v>
      </c>
      <c r="S6" s="27">
        <v>0.2</v>
      </c>
      <c r="T6" s="26">
        <f t="shared" ref="T6:T17" si="2">$D6</f>
        <v>0</v>
      </c>
      <c r="U6" s="26">
        <f>COUNTIFS('02_Culverts'!$J$5:$J$104,"UC|1/700X900",'02_Culverts'!$G$5:$G$104,"Skew")</f>
        <v>0</v>
      </c>
      <c r="V6" s="26">
        <f t="shared" ref="V6:V17" si="3">$C6-U6+$C6</f>
        <v>0</v>
      </c>
      <c r="W6" s="26">
        <f t="shared" ref="W6:W17" si="4">(($C6*$E6*$K6*$S6+V6*$K6*($L6-$M6)*$S6+U6*$K6*$L6*$S6)*P_FineLean+($C6*$E6*$K6*$T6+$C6*2*$K6*$N6*$Q6+$C6*2*$O6*$P6*$T6+$C6*$E6*$K6*$J6)*P_FineStr)*P_HaulSand</f>
        <v>0</v>
      </c>
      <c r="X6" s="26">
        <f t="shared" ref="X6:X17" si="5">(($C6*$E6*$K6*$S6+V6*$K6*($L6-$M6)*$S6+U6*$K6*$L6*$S6)*P_CoarseLean+($C6*$E6*$K6*$T6+$C6*2*$K6*$N6*$Q6+$C6*2*$O6*$P6*$T6+$C6*$E6*$K6*$J6)*P_CoarseStr)*P_HaulCoarse</f>
        <v>0</v>
      </c>
    </row>
    <row r="7" spans="1:24" ht="14.4" customHeight="1" x14ac:dyDescent="0.3">
      <c r="A7" s="25" t="s">
        <v>1740</v>
      </c>
      <c r="B7" s="25" t="s">
        <v>1741</v>
      </c>
      <c r="C7" s="25">
        <f>COUNTIF('02_Culverts'!$J$5:$J$104,"UC|2/700X900")</f>
        <v>0</v>
      </c>
      <c r="D7" s="25">
        <f>SUMIF('02_Culverts'!$J$5:$J$104,"UC|2/700X900",'02_Culverts'!$F$5:$F$104)</f>
        <v>0</v>
      </c>
      <c r="E7" s="25">
        <f t="shared" si="0"/>
        <v>0</v>
      </c>
      <c r="F7" s="26">
        <v>2</v>
      </c>
      <c r="G7" s="26">
        <v>0.9</v>
      </c>
      <c r="H7" s="26">
        <v>0.7</v>
      </c>
      <c r="I7" s="27">
        <v>0.2</v>
      </c>
      <c r="J7" s="27">
        <v>0.2</v>
      </c>
      <c r="K7" s="26">
        <f t="shared" si="1"/>
        <v>2.4000000000000004</v>
      </c>
      <c r="L7" s="27">
        <v>1.3</v>
      </c>
      <c r="M7" s="27">
        <v>0.3</v>
      </c>
      <c r="N7" s="27">
        <v>0.4</v>
      </c>
      <c r="O7" s="27">
        <v>1.2</v>
      </c>
      <c r="P7" s="27">
        <v>0.5</v>
      </c>
      <c r="Q7" s="27">
        <v>0.4</v>
      </c>
      <c r="R7" s="27">
        <v>0.05</v>
      </c>
      <c r="S7" s="27">
        <v>0.2</v>
      </c>
      <c r="T7" s="26">
        <f t="shared" si="2"/>
        <v>0</v>
      </c>
      <c r="U7" s="26">
        <f>COUNTIFS('02_Culverts'!$J$5:$J$104,"UC|2/700X900",'02_Culverts'!$G$5:$G$104,"Skew")</f>
        <v>0</v>
      </c>
      <c r="V7" s="26">
        <f t="shared" si="3"/>
        <v>0</v>
      </c>
      <c r="W7" s="26">
        <f t="shared" si="4"/>
        <v>0</v>
      </c>
      <c r="X7" s="26">
        <f t="shared" si="5"/>
        <v>0</v>
      </c>
    </row>
    <row r="8" spans="1:24" ht="14.4" customHeight="1" x14ac:dyDescent="0.3">
      <c r="A8" s="25" t="s">
        <v>1742</v>
      </c>
      <c r="B8" s="25" t="s">
        <v>1743</v>
      </c>
      <c r="C8" s="25">
        <f>COUNTIF('02_Culverts'!$J$5:$J$104,"UC|3/700X900")</f>
        <v>0</v>
      </c>
      <c r="D8" s="25">
        <f>SUMIF('02_Culverts'!$J$5:$J$104,"UC|3/700X900",'02_Culverts'!$F$5:$F$104)</f>
        <v>0</v>
      </c>
      <c r="E8" s="25">
        <f t="shared" si="0"/>
        <v>0</v>
      </c>
      <c r="F8" s="26">
        <v>3</v>
      </c>
      <c r="G8" s="26">
        <v>0.9</v>
      </c>
      <c r="H8" s="26">
        <v>0.7</v>
      </c>
      <c r="I8" s="27">
        <v>0.2</v>
      </c>
      <c r="J8" s="27">
        <v>0.2</v>
      </c>
      <c r="K8" s="26">
        <f t="shared" si="1"/>
        <v>3.5</v>
      </c>
      <c r="L8" s="27">
        <v>1.3</v>
      </c>
      <c r="M8" s="27">
        <v>0.3</v>
      </c>
      <c r="N8" s="27">
        <v>0.4</v>
      </c>
      <c r="O8" s="27">
        <v>1.2</v>
      </c>
      <c r="P8" s="27">
        <v>0.5</v>
      </c>
      <c r="Q8" s="27">
        <v>0.4</v>
      </c>
      <c r="R8" s="27">
        <v>0.05</v>
      </c>
      <c r="S8" s="27">
        <v>0.2</v>
      </c>
      <c r="T8" s="26">
        <f t="shared" si="2"/>
        <v>0</v>
      </c>
      <c r="U8" s="26">
        <f>COUNTIFS('02_Culverts'!$J$5:$J$104,"UC|3/700X900",'02_Culverts'!$G$5:$G$104,"Skew")</f>
        <v>0</v>
      </c>
      <c r="V8" s="26">
        <f t="shared" si="3"/>
        <v>0</v>
      </c>
      <c r="W8" s="26">
        <f t="shared" si="4"/>
        <v>0</v>
      </c>
      <c r="X8" s="26">
        <f t="shared" si="5"/>
        <v>0</v>
      </c>
    </row>
    <row r="9" spans="1:24" ht="14.4" customHeight="1" x14ac:dyDescent="0.3">
      <c r="A9" s="25" t="s">
        <v>1744</v>
      </c>
      <c r="B9" s="25" t="s">
        <v>1745</v>
      </c>
      <c r="C9" s="25">
        <f>COUNTIF('02_Culverts'!$J$5:$J$104,"UC|1/900X1200")</f>
        <v>0</v>
      </c>
      <c r="D9" s="25">
        <f>SUMIF('02_Culverts'!$J$5:$J$104,"UC|1/900X1200",'02_Culverts'!$F$5:$F$104)</f>
        <v>0</v>
      </c>
      <c r="E9" s="25">
        <f t="shared" si="0"/>
        <v>0</v>
      </c>
      <c r="F9" s="26">
        <v>1</v>
      </c>
      <c r="G9" s="26">
        <v>1.2</v>
      </c>
      <c r="H9" s="26">
        <v>0.9</v>
      </c>
      <c r="I9" s="27">
        <v>0.2</v>
      </c>
      <c r="J9" s="27">
        <v>0.2</v>
      </c>
      <c r="K9" s="26">
        <f t="shared" si="1"/>
        <v>1.6</v>
      </c>
      <c r="L9" s="27">
        <v>1.3</v>
      </c>
      <c r="M9" s="27">
        <v>0.3</v>
      </c>
      <c r="N9" s="27">
        <v>0.4</v>
      </c>
      <c r="O9" s="27">
        <v>1.2</v>
      </c>
      <c r="P9" s="27">
        <v>0.5</v>
      </c>
      <c r="Q9" s="27">
        <v>0.4</v>
      </c>
      <c r="R9" s="27">
        <v>0.05</v>
      </c>
      <c r="S9" s="27">
        <v>0.2</v>
      </c>
      <c r="T9" s="26">
        <f t="shared" si="2"/>
        <v>0</v>
      </c>
      <c r="U9" s="26">
        <f>COUNTIFS('02_Culverts'!$J$5:$J$104,"UC|1/900X1200",'02_Culverts'!$G$5:$G$104,"Skew")</f>
        <v>0</v>
      </c>
      <c r="V9" s="26">
        <f t="shared" si="3"/>
        <v>0</v>
      </c>
      <c r="W9" s="26">
        <f t="shared" si="4"/>
        <v>0</v>
      </c>
      <c r="X9" s="26">
        <f t="shared" si="5"/>
        <v>0</v>
      </c>
    </row>
    <row r="10" spans="1:24" ht="14.4" customHeight="1" x14ac:dyDescent="0.3">
      <c r="A10" s="25" t="s">
        <v>1746</v>
      </c>
      <c r="B10" s="25" t="s">
        <v>1747</v>
      </c>
      <c r="C10" s="25">
        <f>COUNTIF('02_Culverts'!$J$5:$J$104,"UC|2/900X1200")</f>
        <v>0</v>
      </c>
      <c r="D10" s="25">
        <f>SUMIF('02_Culverts'!$J$5:$J$104,"UC|2/900X1200",'02_Culverts'!$F$5:$F$104)</f>
        <v>0</v>
      </c>
      <c r="E10" s="25">
        <f t="shared" si="0"/>
        <v>0</v>
      </c>
      <c r="F10" s="26">
        <v>2</v>
      </c>
      <c r="G10" s="26">
        <v>1.2</v>
      </c>
      <c r="H10" s="26">
        <v>0.9</v>
      </c>
      <c r="I10" s="27">
        <v>0.2</v>
      </c>
      <c r="J10" s="27">
        <v>0.2</v>
      </c>
      <c r="K10" s="26">
        <f t="shared" si="1"/>
        <v>3</v>
      </c>
      <c r="L10" s="27">
        <v>1.3</v>
      </c>
      <c r="M10" s="27">
        <v>0.3</v>
      </c>
      <c r="N10" s="27">
        <v>0.4</v>
      </c>
      <c r="O10" s="27">
        <v>1.2</v>
      </c>
      <c r="P10" s="27">
        <v>0.5</v>
      </c>
      <c r="Q10" s="27">
        <v>0.4</v>
      </c>
      <c r="R10" s="27">
        <v>0.05</v>
      </c>
      <c r="S10" s="27">
        <v>0.2</v>
      </c>
      <c r="T10" s="26">
        <f t="shared" si="2"/>
        <v>0</v>
      </c>
      <c r="U10" s="26">
        <f>COUNTIFS('02_Culverts'!$J$5:$J$104,"UC|2/900X1200",'02_Culverts'!$G$5:$G$104,"Skew")</f>
        <v>0</v>
      </c>
      <c r="V10" s="26">
        <f t="shared" si="3"/>
        <v>0</v>
      </c>
      <c r="W10" s="26">
        <f t="shared" si="4"/>
        <v>0</v>
      </c>
      <c r="X10" s="26">
        <f t="shared" si="5"/>
        <v>0</v>
      </c>
    </row>
    <row r="11" spans="1:24" ht="14.4" customHeight="1" x14ac:dyDescent="0.3">
      <c r="A11" s="25" t="s">
        <v>1748</v>
      </c>
      <c r="B11" s="25" t="s">
        <v>1749</v>
      </c>
      <c r="C11" s="25">
        <f>COUNTIF('02_Culverts'!$J$5:$J$104,"UC|3/900X1200")</f>
        <v>0</v>
      </c>
      <c r="D11" s="25">
        <f>SUMIF('02_Culverts'!$J$5:$J$104,"UC|3/900X1200",'02_Culverts'!$F$5:$F$104)</f>
        <v>0</v>
      </c>
      <c r="E11" s="25">
        <f t="shared" si="0"/>
        <v>0</v>
      </c>
      <c r="F11" s="26">
        <v>3</v>
      </c>
      <c r="G11" s="26">
        <v>1.2</v>
      </c>
      <c r="H11" s="26">
        <v>0.9</v>
      </c>
      <c r="I11" s="27">
        <v>0.2</v>
      </c>
      <c r="J11" s="27">
        <v>0.2</v>
      </c>
      <c r="K11" s="26">
        <f t="shared" si="1"/>
        <v>4.3999999999999995</v>
      </c>
      <c r="L11" s="27">
        <v>1.3</v>
      </c>
      <c r="M11" s="27">
        <v>0.3</v>
      </c>
      <c r="N11" s="27">
        <v>0.4</v>
      </c>
      <c r="O11" s="27">
        <v>1.2</v>
      </c>
      <c r="P11" s="27">
        <v>0.5</v>
      </c>
      <c r="Q11" s="27">
        <v>0.4</v>
      </c>
      <c r="R11" s="27">
        <v>0.05</v>
      </c>
      <c r="S11" s="27">
        <v>0.2</v>
      </c>
      <c r="T11" s="26">
        <f t="shared" si="2"/>
        <v>0</v>
      </c>
      <c r="U11" s="26">
        <f>COUNTIFS('02_Culverts'!$J$5:$J$104,"UC|3/900X1200",'02_Culverts'!$G$5:$G$104,"Skew")</f>
        <v>0</v>
      </c>
      <c r="V11" s="26">
        <f t="shared" si="3"/>
        <v>0</v>
      </c>
      <c r="W11" s="26">
        <f t="shared" si="4"/>
        <v>0</v>
      </c>
      <c r="X11" s="26">
        <f t="shared" si="5"/>
        <v>0</v>
      </c>
    </row>
    <row r="12" spans="1:24" ht="14.4" customHeight="1" x14ac:dyDescent="0.3">
      <c r="A12" s="25" t="s">
        <v>1750</v>
      </c>
      <c r="B12" s="25" t="s">
        <v>1751</v>
      </c>
      <c r="C12" s="25">
        <f>COUNTIF('02_Culverts'!$J$5:$J$104,"UC|1/1250X1800")</f>
        <v>0</v>
      </c>
      <c r="D12" s="25">
        <f>SUMIF('02_Culverts'!$J$5:$J$104,"UC|1/1250X1800",'02_Culverts'!$F$5:$F$104)</f>
        <v>0</v>
      </c>
      <c r="E12" s="25">
        <f t="shared" si="0"/>
        <v>0</v>
      </c>
      <c r="F12" s="26">
        <v>1</v>
      </c>
      <c r="G12" s="26">
        <v>1.8</v>
      </c>
      <c r="H12" s="26">
        <v>1.25</v>
      </c>
      <c r="I12" s="27">
        <v>0.2</v>
      </c>
      <c r="J12" s="27">
        <v>0.2</v>
      </c>
      <c r="K12" s="26">
        <f t="shared" si="1"/>
        <v>2.2000000000000002</v>
      </c>
      <c r="L12" s="27">
        <v>1.3</v>
      </c>
      <c r="M12" s="27">
        <v>0.3</v>
      </c>
      <c r="N12" s="27">
        <v>0.4</v>
      </c>
      <c r="O12" s="27">
        <v>1.2</v>
      </c>
      <c r="P12" s="27">
        <v>0.5</v>
      </c>
      <c r="Q12" s="27">
        <v>0.4</v>
      </c>
      <c r="R12" s="27">
        <v>0.05</v>
      </c>
      <c r="S12" s="27">
        <v>0.2</v>
      </c>
      <c r="T12" s="26">
        <f t="shared" si="2"/>
        <v>0</v>
      </c>
      <c r="U12" s="26">
        <f>COUNTIFS('02_Culverts'!$J$5:$J$104,"UC|1/1250X1800",'02_Culverts'!$G$5:$G$104,"Skew")</f>
        <v>0</v>
      </c>
      <c r="V12" s="26">
        <f t="shared" si="3"/>
        <v>0</v>
      </c>
      <c r="W12" s="26">
        <f t="shared" si="4"/>
        <v>0</v>
      </c>
      <c r="X12" s="26">
        <f t="shared" si="5"/>
        <v>0</v>
      </c>
    </row>
    <row r="13" spans="1:24" ht="14.4" customHeight="1" x14ac:dyDescent="0.3">
      <c r="A13" s="25" t="s">
        <v>1752</v>
      </c>
      <c r="B13" s="25" t="s">
        <v>1753</v>
      </c>
      <c r="C13" s="25">
        <f>COUNTIF('02_Culverts'!$J$5:$J$104,"UC|2/1250X1800")</f>
        <v>0</v>
      </c>
      <c r="D13" s="25">
        <f>SUMIF('02_Culverts'!$J$5:$J$104,"UC|2/1250X1800",'02_Culverts'!$F$5:$F$104)</f>
        <v>0</v>
      </c>
      <c r="E13" s="25">
        <f t="shared" si="0"/>
        <v>0</v>
      </c>
      <c r="F13" s="26">
        <v>2</v>
      </c>
      <c r="G13" s="26">
        <v>1.8</v>
      </c>
      <c r="H13" s="26">
        <v>1.25</v>
      </c>
      <c r="I13" s="27">
        <v>0.2</v>
      </c>
      <c r="J13" s="27">
        <v>0.2</v>
      </c>
      <c r="K13" s="26">
        <f t="shared" si="1"/>
        <v>4.2</v>
      </c>
      <c r="L13" s="27">
        <v>1.3</v>
      </c>
      <c r="M13" s="27">
        <v>0.3</v>
      </c>
      <c r="N13" s="27">
        <v>0.4</v>
      </c>
      <c r="O13" s="27">
        <v>1.2</v>
      </c>
      <c r="P13" s="27">
        <v>0.5</v>
      </c>
      <c r="Q13" s="27">
        <v>0.4</v>
      </c>
      <c r="R13" s="27">
        <v>0.05</v>
      </c>
      <c r="S13" s="27">
        <v>0.2</v>
      </c>
      <c r="T13" s="26">
        <f t="shared" si="2"/>
        <v>0</v>
      </c>
      <c r="U13" s="26">
        <f>COUNTIFS('02_Culverts'!$J$5:$J$104,"UC|2/1250X1800",'02_Culverts'!$G$5:$G$104,"Skew")</f>
        <v>0</v>
      </c>
      <c r="V13" s="26">
        <f t="shared" si="3"/>
        <v>0</v>
      </c>
      <c r="W13" s="26">
        <f t="shared" si="4"/>
        <v>0</v>
      </c>
      <c r="X13" s="26">
        <f t="shared" si="5"/>
        <v>0</v>
      </c>
    </row>
    <row r="14" spans="1:24" ht="14.4" customHeight="1" x14ac:dyDescent="0.3">
      <c r="A14" s="25" t="s">
        <v>1754</v>
      </c>
      <c r="B14" s="25" t="s">
        <v>1755</v>
      </c>
      <c r="C14" s="25">
        <f>COUNTIF('02_Culverts'!$J$5:$J$104,"UC|3/1250X1800")</f>
        <v>0</v>
      </c>
      <c r="D14" s="25">
        <f>SUMIF('02_Culverts'!$J$5:$J$104,"UC|3/1250X1800",'02_Culverts'!$F$5:$F$104)</f>
        <v>0</v>
      </c>
      <c r="E14" s="25">
        <f t="shared" si="0"/>
        <v>0</v>
      </c>
      <c r="F14" s="26">
        <v>3</v>
      </c>
      <c r="G14" s="26">
        <v>1.8</v>
      </c>
      <c r="H14" s="26">
        <v>1.25</v>
      </c>
      <c r="I14" s="27">
        <v>0.2</v>
      </c>
      <c r="J14" s="27">
        <v>0.2</v>
      </c>
      <c r="K14" s="26">
        <f t="shared" si="1"/>
        <v>6.2</v>
      </c>
      <c r="L14" s="27">
        <v>1.3</v>
      </c>
      <c r="M14" s="27">
        <v>0.3</v>
      </c>
      <c r="N14" s="27">
        <v>0.4</v>
      </c>
      <c r="O14" s="27">
        <v>1.2</v>
      </c>
      <c r="P14" s="27">
        <v>0.5</v>
      </c>
      <c r="Q14" s="27">
        <v>0.4</v>
      </c>
      <c r="R14" s="27">
        <v>0.05</v>
      </c>
      <c r="S14" s="27">
        <v>0.2</v>
      </c>
      <c r="T14" s="26">
        <f t="shared" si="2"/>
        <v>0</v>
      </c>
      <c r="U14" s="26">
        <f>COUNTIFS('02_Culverts'!$J$5:$J$104,"UC|3/1250X1800",'02_Culverts'!$G$5:$G$104,"Skew")</f>
        <v>0</v>
      </c>
      <c r="V14" s="26">
        <f t="shared" si="3"/>
        <v>0</v>
      </c>
      <c r="W14" s="26">
        <f t="shared" si="4"/>
        <v>0</v>
      </c>
      <c r="X14" s="26">
        <f t="shared" si="5"/>
        <v>0</v>
      </c>
    </row>
    <row r="15" spans="1:24" ht="14.4" customHeight="1" x14ac:dyDescent="0.3">
      <c r="A15" s="25" t="s">
        <v>1756</v>
      </c>
      <c r="B15" s="25" t="s">
        <v>1757</v>
      </c>
      <c r="C15" s="25">
        <f>COUNTIF('02_Culverts'!$J$5:$J$104,"UC|1/1800X1800")</f>
        <v>0</v>
      </c>
      <c r="D15" s="25">
        <f>SUMIF('02_Culverts'!$J$5:$J$104,"UC|1/1800X1800",'02_Culverts'!$F$5:$F$104)</f>
        <v>0</v>
      </c>
      <c r="E15" s="25">
        <f t="shared" si="0"/>
        <v>0</v>
      </c>
      <c r="F15" s="26">
        <v>1</v>
      </c>
      <c r="G15" s="26">
        <v>1.8</v>
      </c>
      <c r="H15" s="26">
        <v>1.8</v>
      </c>
      <c r="I15" s="27">
        <v>0.2</v>
      </c>
      <c r="J15" s="27">
        <v>0.2</v>
      </c>
      <c r="K15" s="26">
        <f t="shared" si="1"/>
        <v>2.2000000000000002</v>
      </c>
      <c r="L15" s="27">
        <v>1.3</v>
      </c>
      <c r="M15" s="27">
        <v>0.3</v>
      </c>
      <c r="N15" s="27">
        <v>0.4</v>
      </c>
      <c r="O15" s="27">
        <v>1.2</v>
      </c>
      <c r="P15" s="27">
        <v>0.5</v>
      </c>
      <c r="Q15" s="27">
        <v>0.4</v>
      </c>
      <c r="R15" s="27">
        <v>0.05</v>
      </c>
      <c r="S15" s="27">
        <v>0.2</v>
      </c>
      <c r="T15" s="26">
        <f t="shared" si="2"/>
        <v>0</v>
      </c>
      <c r="U15" s="26">
        <f>COUNTIFS('02_Culverts'!$J$5:$J$104,"UC|1/1800X1800",'02_Culverts'!$G$5:$G$104,"Skew")</f>
        <v>0</v>
      </c>
      <c r="V15" s="26">
        <f t="shared" si="3"/>
        <v>0</v>
      </c>
      <c r="W15" s="26">
        <f t="shared" si="4"/>
        <v>0</v>
      </c>
      <c r="X15" s="26">
        <f t="shared" si="5"/>
        <v>0</v>
      </c>
    </row>
    <row r="16" spans="1:24" ht="14.4" customHeight="1" x14ac:dyDescent="0.3">
      <c r="A16" s="25" t="s">
        <v>1758</v>
      </c>
      <c r="B16" s="25" t="s">
        <v>1759</v>
      </c>
      <c r="C16" s="25">
        <f>COUNTIF('02_Culverts'!$J$5:$J$104,"UC|2/1800X1800")</f>
        <v>0</v>
      </c>
      <c r="D16" s="25">
        <f>SUMIF('02_Culverts'!$J$5:$J$104,"UC|2/1800X1800",'02_Culverts'!$F$5:$F$104)</f>
        <v>0</v>
      </c>
      <c r="E16" s="25">
        <f t="shared" si="0"/>
        <v>0</v>
      </c>
      <c r="F16" s="26">
        <v>2</v>
      </c>
      <c r="G16" s="26">
        <v>1.8</v>
      </c>
      <c r="H16" s="26">
        <v>1.8</v>
      </c>
      <c r="I16" s="27">
        <v>0.2</v>
      </c>
      <c r="J16" s="27">
        <v>0.2</v>
      </c>
      <c r="K16" s="26">
        <f t="shared" si="1"/>
        <v>4.2</v>
      </c>
      <c r="L16" s="27">
        <v>1.3</v>
      </c>
      <c r="M16" s="27">
        <v>0.3</v>
      </c>
      <c r="N16" s="27">
        <v>0.4</v>
      </c>
      <c r="O16" s="27">
        <v>1.2</v>
      </c>
      <c r="P16" s="27">
        <v>0.5</v>
      </c>
      <c r="Q16" s="27">
        <v>0.4</v>
      </c>
      <c r="R16" s="27">
        <v>0.05</v>
      </c>
      <c r="S16" s="27">
        <v>0.2</v>
      </c>
      <c r="T16" s="26">
        <f t="shared" si="2"/>
        <v>0</v>
      </c>
      <c r="U16" s="26">
        <f>COUNTIFS('02_Culverts'!$J$5:$J$104,"UC|2/1800X1800",'02_Culverts'!$G$5:$G$104,"Skew")</f>
        <v>0</v>
      </c>
      <c r="V16" s="26">
        <f t="shared" si="3"/>
        <v>0</v>
      </c>
      <c r="W16" s="26">
        <f t="shared" si="4"/>
        <v>0</v>
      </c>
      <c r="X16" s="26">
        <f t="shared" si="5"/>
        <v>0</v>
      </c>
    </row>
    <row r="17" spans="1:24" ht="14.4" customHeight="1" x14ac:dyDescent="0.3">
      <c r="A17" s="25" t="s">
        <v>1760</v>
      </c>
      <c r="B17" s="25" t="s">
        <v>1761</v>
      </c>
      <c r="C17" s="25">
        <f>COUNTIF('02_Culverts'!$J$5:$J$104,"UC|3/1800X1800")</f>
        <v>0</v>
      </c>
      <c r="D17" s="25">
        <f>SUMIF('02_Culverts'!$J$5:$J$104,"UC|3/1800X1800",'02_Culverts'!$F$5:$F$104)</f>
        <v>0</v>
      </c>
      <c r="E17" s="25">
        <f t="shared" si="0"/>
        <v>0</v>
      </c>
      <c r="F17" s="26">
        <v>3</v>
      </c>
      <c r="G17" s="26">
        <v>1.8</v>
      </c>
      <c r="H17" s="26">
        <v>1.8</v>
      </c>
      <c r="I17" s="27">
        <v>0.2</v>
      </c>
      <c r="J17" s="27">
        <v>0.2</v>
      </c>
      <c r="K17" s="26">
        <f t="shared" si="1"/>
        <v>6.2</v>
      </c>
      <c r="L17" s="27">
        <v>1.3</v>
      </c>
      <c r="M17" s="27">
        <v>0.3</v>
      </c>
      <c r="N17" s="27">
        <v>0.4</v>
      </c>
      <c r="O17" s="27">
        <v>1.2</v>
      </c>
      <c r="P17" s="27">
        <v>0.5</v>
      </c>
      <c r="Q17" s="27">
        <v>0.4</v>
      </c>
      <c r="R17" s="27">
        <v>0.05</v>
      </c>
      <c r="S17" s="27">
        <v>0.2</v>
      </c>
      <c r="T17" s="26">
        <f t="shared" si="2"/>
        <v>0</v>
      </c>
      <c r="U17" s="26">
        <f>COUNTIFS('02_Culverts'!$J$5:$J$104,"UC|3/1800X1800",'02_Culverts'!$G$5:$G$104,"Skew")</f>
        <v>0</v>
      </c>
      <c r="V17" s="26">
        <f t="shared" si="3"/>
        <v>0</v>
      </c>
      <c r="W17" s="26">
        <f t="shared" si="4"/>
        <v>0</v>
      </c>
      <c r="X17" s="26">
        <f t="shared" si="5"/>
        <v>0</v>
      </c>
    </row>
    <row r="21" spans="1:24" ht="15.75" customHeight="1" x14ac:dyDescent="0.3"/>
    <row r="22" spans="1:24" ht="15.75" customHeight="1" x14ac:dyDescent="0.3"/>
    <row r="23" spans="1:24" ht="15.75" customHeight="1" x14ac:dyDescent="0.3"/>
    <row r="24" spans="1:24" ht="15.75" customHeight="1" x14ac:dyDescent="0.3"/>
    <row r="25" spans="1:24" ht="15.75" customHeight="1" x14ac:dyDescent="0.3"/>
    <row r="26" spans="1:24" ht="15.75" customHeight="1" x14ac:dyDescent="0.3"/>
    <row r="27" spans="1:24" ht="15.75" customHeight="1" x14ac:dyDescent="0.3"/>
    <row r="28" spans="1:24" ht="15.75" customHeight="1" x14ac:dyDescent="0.3"/>
    <row r="29" spans="1:24" ht="15.75" customHeight="1" x14ac:dyDescent="0.3"/>
    <row r="30" spans="1:24" ht="15.75" customHeight="1" x14ac:dyDescent="0.3"/>
    <row r="31" spans="1:24" ht="15.75" customHeight="1" x14ac:dyDescent="0.3"/>
    <row r="32" spans="1:24"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rintOptions horizontalCentered="1"/>
  <pageMargins left="0.75" right="0.75" top="1" bottom="1"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7B3F00"/>
    <pageSetUpPr fitToPage="1"/>
  </sheetPr>
  <dimension ref="A1:F1000"/>
  <sheetViews>
    <sheetView showGridLines="0" workbookViewId="0">
      <pane ySplit="4" topLeftCell="A5" activePane="bottomLeft" state="frozen"/>
      <selection pane="bottomLeft" activeCell="F13" sqref="F13"/>
    </sheetView>
  </sheetViews>
  <sheetFormatPr defaultColWidth="14.44140625" defaultRowHeight="15" customHeight="1" x14ac:dyDescent="0.3"/>
  <cols>
    <col min="1" max="1" width="12" customWidth="1"/>
    <col min="2" max="2" width="44" customWidth="1"/>
    <col min="3" max="3" width="9" customWidth="1"/>
    <col min="4" max="4" width="11" customWidth="1"/>
    <col min="5" max="5" width="14" customWidth="1"/>
    <col min="6" max="6" width="46" customWidth="1"/>
    <col min="7" max="26" width="8.6640625" customWidth="1"/>
  </cols>
  <sheetData>
    <row r="1" spans="1:5" ht="19.8" customHeight="1" x14ac:dyDescent="0.4">
      <c r="A1" s="1" t="s">
        <v>1762</v>
      </c>
    </row>
    <row r="2" spans="1:5" ht="14.4" customHeight="1" x14ac:dyDescent="0.3">
      <c r="A2" s="2" t="s">
        <v>1763</v>
      </c>
    </row>
    <row r="4" spans="1:5" ht="14.4" customHeight="1" x14ac:dyDescent="0.3">
      <c r="A4" s="3" t="s">
        <v>40</v>
      </c>
      <c r="B4" s="3" t="s">
        <v>1764</v>
      </c>
      <c r="C4" s="3" t="s">
        <v>43</v>
      </c>
      <c r="D4" s="3" t="s">
        <v>42</v>
      </c>
      <c r="E4" s="3" t="s">
        <v>1516</v>
      </c>
    </row>
    <row r="5" spans="1:5" ht="14.4" customHeight="1" x14ac:dyDescent="0.3">
      <c r="A5" s="9" t="s">
        <v>1765</v>
      </c>
      <c r="B5" s="11" t="s">
        <v>1766</v>
      </c>
      <c r="C5" s="11" t="s">
        <v>63</v>
      </c>
      <c r="D5" s="30">
        <f>SUM('01_Stations'!$D$6:$D$1005)*P_Interval</f>
        <v>0</v>
      </c>
      <c r="E5" s="14" t="s">
        <v>1767</v>
      </c>
    </row>
    <row r="6" spans="1:5" ht="14.4" customHeight="1" x14ac:dyDescent="0.3">
      <c r="A6" s="9" t="s">
        <v>1768</v>
      </c>
      <c r="B6" s="11" t="s">
        <v>1769</v>
      </c>
      <c r="C6" s="11" t="s">
        <v>63</v>
      </c>
      <c r="D6" s="30">
        <f>COUNTIF('01_Stations'!$E$6:$E$1005,"EB")*P_Interval</f>
        <v>0</v>
      </c>
      <c r="E6" s="14"/>
    </row>
    <row r="7" spans="1:5" ht="14.4" customHeight="1" x14ac:dyDescent="0.3">
      <c r="A7" s="9" t="s">
        <v>1770</v>
      </c>
      <c r="B7" s="11" t="s">
        <v>1771</v>
      </c>
      <c r="C7" s="11" t="s">
        <v>63</v>
      </c>
      <c r="D7" s="30">
        <f>COUNTIF('01_Stations'!$E$6:$E$1005,"GB")*P_Interval</f>
        <v>0</v>
      </c>
      <c r="E7" s="14"/>
    </row>
    <row r="8" spans="1:5" ht="14.4" customHeight="1" x14ac:dyDescent="0.3">
      <c r="A8" s="9" t="s">
        <v>1772</v>
      </c>
      <c r="B8" s="11" t="s">
        <v>1773</v>
      </c>
      <c r="C8" s="11" t="s">
        <v>63</v>
      </c>
      <c r="D8" s="30">
        <f>COUNTIF('01_Stations'!$E$6:$E$1005,"SB")*P_Interval</f>
        <v>0</v>
      </c>
      <c r="E8" s="14"/>
    </row>
    <row r="9" spans="1:5" ht="14.4" customHeight="1" x14ac:dyDescent="0.3">
      <c r="A9" s="9" t="s">
        <v>1774</v>
      </c>
      <c r="B9" s="11" t="s">
        <v>1775</v>
      </c>
      <c r="C9" s="11" t="s">
        <v>63</v>
      </c>
      <c r="D9" s="30">
        <f>COUNTIF('01_Stations'!$E$6:$E$1005,"LB")*P_Interval</f>
        <v>0</v>
      </c>
      <c r="E9" s="14"/>
    </row>
    <row r="10" spans="1:5" ht="14.4" customHeight="1" x14ac:dyDescent="0.3">
      <c r="A10" s="9" t="s">
        <v>1776</v>
      </c>
      <c r="B10" s="11" t="s">
        <v>1777</v>
      </c>
      <c r="C10" s="11" t="s">
        <v>63</v>
      </c>
      <c r="D10" s="30">
        <f>COUNTIF('01_Stations'!$E$6:$E$1005,"TB")*P_Interval</f>
        <v>0</v>
      </c>
      <c r="E10" s="14"/>
    </row>
    <row r="11" spans="1:5" ht="14.4" customHeight="1" x14ac:dyDescent="0.3">
      <c r="A11" s="9" t="s">
        <v>1778</v>
      </c>
      <c r="B11" s="11" t="s">
        <v>1779</v>
      </c>
      <c r="C11" s="11" t="s">
        <v>63</v>
      </c>
      <c r="D11" s="30">
        <f>SUM('01_Stations'!$F$6:$F$1005)*P_Interval</f>
        <v>0</v>
      </c>
      <c r="E11" s="14"/>
    </row>
    <row r="12" spans="1:5" ht="14.4" customHeight="1" x14ac:dyDescent="0.3">
      <c r="A12" s="9" t="s">
        <v>1780</v>
      </c>
      <c r="B12" s="11" t="s">
        <v>1781</v>
      </c>
      <c r="C12" s="11" t="s">
        <v>63</v>
      </c>
      <c r="D12" s="30">
        <f>IFERROR(AVERAGEIF('01_Stations'!$G$6:$G$1005,"&gt;0")/100,0)</f>
        <v>0</v>
      </c>
      <c r="E12" s="14" t="s">
        <v>1782</v>
      </c>
    </row>
    <row r="13" spans="1:5" ht="14.4" customHeight="1" x14ac:dyDescent="0.3">
      <c r="A13" s="9" t="s">
        <v>1783</v>
      </c>
      <c r="B13" s="11" t="s">
        <v>266</v>
      </c>
      <c r="C13" s="11" t="s">
        <v>300</v>
      </c>
      <c r="D13" s="30">
        <f>SUM('01_Stations'!$H$6:$H$1005)</f>
        <v>0</v>
      </c>
      <c r="E13" s="14" t="s">
        <v>1784</v>
      </c>
    </row>
    <row r="14" spans="1:5" ht="14.4" customHeight="1" x14ac:dyDescent="0.3">
      <c r="A14" s="9" t="s">
        <v>1785</v>
      </c>
      <c r="B14" s="11" t="s">
        <v>1786</v>
      </c>
      <c r="C14" s="11" t="s">
        <v>63</v>
      </c>
      <c r="D14" s="30">
        <f>SUM('01_Stations'!$I$6:$I$1005)*P_Interval</f>
        <v>0</v>
      </c>
      <c r="E14" s="14"/>
    </row>
    <row r="15" spans="1:5" ht="14.4" customHeight="1" x14ac:dyDescent="0.3">
      <c r="A15" s="9" t="s">
        <v>1787</v>
      </c>
      <c r="B15" s="11" t="s">
        <v>1788</v>
      </c>
      <c r="C15" s="11" t="s">
        <v>63</v>
      </c>
      <c r="D15" s="30">
        <f>IFERROR(AVERAGEIF('01_Stations'!$J$6:$J$1005,"&gt;0")/100,0)</f>
        <v>0</v>
      </c>
      <c r="E15" s="14"/>
    </row>
    <row r="16" spans="1:5" ht="14.4" customHeight="1" x14ac:dyDescent="0.3">
      <c r="A16" s="9" t="s">
        <v>1789</v>
      </c>
      <c r="B16" s="11" t="s">
        <v>1790</v>
      </c>
      <c r="C16" s="11" t="s">
        <v>63</v>
      </c>
      <c r="D16" s="30">
        <f>IFERROR(AVERAGEIF('01_Stations'!$K$6:$K$1005,"&gt;0"),0)</f>
        <v>0</v>
      </c>
      <c r="E16" s="14"/>
    </row>
    <row r="17" spans="1:5" ht="14.4" customHeight="1" x14ac:dyDescent="0.3">
      <c r="A17" s="9" t="s">
        <v>1791</v>
      </c>
      <c r="B17" s="11" t="s">
        <v>1792</v>
      </c>
      <c r="C17" s="11" t="s">
        <v>63</v>
      </c>
      <c r="D17" s="30">
        <f>SUM('01_Stations'!$L$6:$L$1005)*P_Interval</f>
        <v>0</v>
      </c>
      <c r="E17" s="14"/>
    </row>
    <row r="18" spans="1:5" ht="14.4" customHeight="1" x14ac:dyDescent="0.3">
      <c r="A18" s="9" t="s">
        <v>1793</v>
      </c>
      <c r="B18" s="11" t="s">
        <v>1794</v>
      </c>
      <c r="C18" s="11" t="s">
        <v>63</v>
      </c>
      <c r="D18" s="30">
        <f>IFERROR(AVERAGEIF('01_Stations'!$M$6:$M$1005,"&gt;0")/100,0)</f>
        <v>0</v>
      </c>
      <c r="E18" s="14"/>
    </row>
    <row r="19" spans="1:5" ht="14.4" customHeight="1" x14ac:dyDescent="0.3">
      <c r="A19" s="9" t="s">
        <v>1795</v>
      </c>
      <c r="B19" s="11" t="s">
        <v>1796</v>
      </c>
      <c r="C19" s="11" t="s">
        <v>63</v>
      </c>
      <c r="D19" s="30">
        <f>IFERROR(AVERAGEIF('01_Stations'!$N$6:$N$1005,"&gt;0"),0)</f>
        <v>0</v>
      </c>
      <c r="E19" s="14"/>
    </row>
    <row r="20" spans="1:5" ht="14.4" customHeight="1" x14ac:dyDescent="0.3">
      <c r="A20" s="9" t="s">
        <v>1797</v>
      </c>
      <c r="B20" s="11" t="s">
        <v>273</v>
      </c>
      <c r="C20" s="11" t="s">
        <v>301</v>
      </c>
      <c r="D20" s="30">
        <f>SUM('01_Stations'!$O$6:$O$1005)</f>
        <v>0</v>
      </c>
      <c r="E20" s="14"/>
    </row>
    <row r="21" spans="1:5" ht="15.75" customHeight="1" x14ac:dyDescent="0.3">
      <c r="A21" s="9" t="s">
        <v>1798</v>
      </c>
      <c r="B21" s="11" t="s">
        <v>1799</v>
      </c>
      <c r="C21" s="11" t="s">
        <v>63</v>
      </c>
      <c r="D21" s="30">
        <f>(COUNTIF('01_Stations'!$P$6:$P$1005,"CL")+COUNTIF('01_Stations'!$Q$6:$Q$1005,"CL"))*P_Interval</f>
        <v>0</v>
      </c>
      <c r="E21" s="14"/>
    </row>
    <row r="22" spans="1:5" ht="15.75" customHeight="1" x14ac:dyDescent="0.3">
      <c r="A22" s="9" t="s">
        <v>1800</v>
      </c>
      <c r="B22" s="11" t="s">
        <v>1801</v>
      </c>
      <c r="C22" s="11" t="s">
        <v>63</v>
      </c>
      <c r="D22" s="30">
        <f>(COUNTIF('01_Stations'!$P$6:$P$1005,"RE")+COUNTIF('01_Stations'!$Q$6:$Q$1005,"RE"))*P_Interval</f>
        <v>0</v>
      </c>
      <c r="E22" s="14"/>
    </row>
    <row r="23" spans="1:5" ht="15.75" customHeight="1" x14ac:dyDescent="0.3">
      <c r="A23" s="9" t="s">
        <v>1802</v>
      </c>
      <c r="B23" s="11" t="s">
        <v>1803</v>
      </c>
      <c r="C23" s="11" t="s">
        <v>63</v>
      </c>
      <c r="D23" s="30">
        <f>(COUNTIF('01_Stations'!$P$6:$P$1005,"EC")+COUNTIF('01_Stations'!$Q$6:$Q$1005,"EC"))*P_Interval</f>
        <v>0</v>
      </c>
      <c r="E23" s="14"/>
    </row>
    <row r="24" spans="1:5" ht="15.75" customHeight="1" x14ac:dyDescent="0.3">
      <c r="A24" s="9" t="s">
        <v>1804</v>
      </c>
      <c r="B24" s="11" t="s">
        <v>1805</v>
      </c>
      <c r="C24" s="11" t="s">
        <v>63</v>
      </c>
      <c r="D24" s="30">
        <f>(COUNTIF('01_Stations'!$U$6:$U$1005,45)+COUNTIF('01_Stations'!$W$6:$W$1005,45))*P_Interval</f>
        <v>0</v>
      </c>
      <c r="E24" s="14"/>
    </row>
    <row r="25" spans="1:5" ht="15.75" customHeight="1" x14ac:dyDescent="0.3">
      <c r="A25" s="9" t="s">
        <v>1806</v>
      </c>
      <c r="B25" s="11" t="s">
        <v>1807</v>
      </c>
      <c r="C25" s="11" t="s">
        <v>63</v>
      </c>
      <c r="D25" s="30">
        <f>(COUNTIF('01_Stations'!$U$6:$U$1005,60)+COUNTIF('01_Stations'!$W$6:$W$1005,60))*P_Interval</f>
        <v>0</v>
      </c>
      <c r="E25" s="14"/>
    </row>
    <row r="26" spans="1:5" ht="15.75" customHeight="1" x14ac:dyDescent="0.3">
      <c r="A26" s="9" t="s">
        <v>1808</v>
      </c>
      <c r="B26" s="11" t="s">
        <v>1809</v>
      </c>
      <c r="C26" s="11" t="s">
        <v>63</v>
      </c>
      <c r="D26" s="30">
        <f>(COUNTIF('01_Stations'!$U$6:$U$1005,75)+COUNTIF('01_Stations'!$W$6:$W$1005,75))*P_Interval</f>
        <v>0</v>
      </c>
      <c r="E26" s="14"/>
    </row>
    <row r="27" spans="1:5" ht="15.75" customHeight="1" x14ac:dyDescent="0.3">
      <c r="A27" s="9" t="s">
        <v>1810</v>
      </c>
      <c r="B27" s="11" t="s">
        <v>1811</v>
      </c>
      <c r="C27" s="11" t="s">
        <v>63</v>
      </c>
      <c r="D27" s="30">
        <f>(COUNTIF('01_Stations'!$U$6:$U$1005,90)+COUNTIF('01_Stations'!$W$6:$W$1005,90))*P_Interval</f>
        <v>0</v>
      </c>
      <c r="E27" s="14"/>
    </row>
    <row r="28" spans="1:5" ht="15.75" customHeight="1" x14ac:dyDescent="0.3">
      <c r="A28" s="9" t="s">
        <v>1812</v>
      </c>
      <c r="B28" s="11" t="s">
        <v>1813</v>
      </c>
      <c r="C28" s="11" t="s">
        <v>63</v>
      </c>
      <c r="D28" s="30">
        <f>(SUM('01_Stations'!$X$6:$X$1005)+SUM('01_Stations'!$Y$6:$Y$1005))*P_Interval</f>
        <v>0</v>
      </c>
      <c r="E28" s="14"/>
    </row>
    <row r="29" spans="1:5" ht="15.75" customHeight="1" x14ac:dyDescent="0.3">
      <c r="A29" s="9" t="s">
        <v>1814</v>
      </c>
      <c r="B29" s="11" t="s">
        <v>1815</v>
      </c>
      <c r="C29" s="11" t="s">
        <v>63</v>
      </c>
      <c r="D29" s="30">
        <f>(SUM('01_Stations'!$Z$6:$Z$1005)+SUM('01_Stations'!$AA$6:$AA$1005))*P_Interval</f>
        <v>0</v>
      </c>
      <c r="E29" s="14"/>
    </row>
    <row r="30" spans="1:5" ht="15.75" customHeight="1" x14ac:dyDescent="0.3">
      <c r="A30" s="9" t="s">
        <v>1816</v>
      </c>
      <c r="B30" s="11" t="s">
        <v>1817</v>
      </c>
      <c r="C30" s="11" t="s">
        <v>63</v>
      </c>
      <c r="D30" s="30">
        <f>SUM('01_Stations'!$AB$6:$AB$1005)*P_Interval</f>
        <v>0</v>
      </c>
      <c r="E30" s="14"/>
    </row>
    <row r="31" spans="1:5" ht="15.75" customHeight="1" x14ac:dyDescent="0.3">
      <c r="A31" s="9" t="s">
        <v>1818</v>
      </c>
      <c r="B31" s="11" t="s">
        <v>1819</v>
      </c>
      <c r="C31" s="11" t="s">
        <v>63</v>
      </c>
      <c r="D31" s="30">
        <f>IFERROR(AVERAGEIF('01_Stations'!$AC$6:$AC$1005,"&gt;0"),0)</f>
        <v>0</v>
      </c>
      <c r="E31" s="14"/>
    </row>
    <row r="32" spans="1:5" ht="15.75" customHeight="1" x14ac:dyDescent="0.3">
      <c r="A32" s="9" t="s">
        <v>1820</v>
      </c>
      <c r="B32" s="11" t="s">
        <v>1821</v>
      </c>
      <c r="C32" s="11" t="s">
        <v>63</v>
      </c>
      <c r="D32" s="30">
        <f>SUM('01_Stations'!$AD$6:$AD$1005)+SUM('01_Stations'!$AE$6:$AE$1005)</f>
        <v>0</v>
      </c>
      <c r="E32" s="14" t="s">
        <v>1822</v>
      </c>
    </row>
    <row r="33" spans="1:6" ht="15.75" customHeight="1" x14ac:dyDescent="0.3">
      <c r="A33" s="9" t="s">
        <v>1823</v>
      </c>
      <c r="B33" s="11" t="s">
        <v>1824</v>
      </c>
      <c r="C33" s="11" t="s">
        <v>63</v>
      </c>
      <c r="D33" s="30">
        <f>(SUM('01_Stations'!$AF$6:$AF$1005)+SUM('01_Stations'!$AG$6:$AG$1005))*P_Interval</f>
        <v>0</v>
      </c>
      <c r="E33" s="14"/>
    </row>
    <row r="34" spans="1:6" ht="15.75" customHeight="1" x14ac:dyDescent="0.3">
      <c r="A34" s="9" t="s">
        <v>1825</v>
      </c>
      <c r="B34" s="11" t="s">
        <v>1826</v>
      </c>
      <c r="C34" s="11" t="s">
        <v>63</v>
      </c>
      <c r="D34" s="30">
        <f>SUM('01_Stations'!$AH$6:$AH$1005)*P_Interval</f>
        <v>0</v>
      </c>
      <c r="E34" s="14"/>
    </row>
    <row r="35" spans="1:6" ht="15.75" customHeight="1" x14ac:dyDescent="0.3">
      <c r="A35" s="9" t="s">
        <v>1827</v>
      </c>
      <c r="B35" s="11" t="s">
        <v>1828</v>
      </c>
      <c r="C35" s="11" t="s">
        <v>63</v>
      </c>
      <c r="D35" s="30">
        <f>SUM('01_Stations'!$AI$6:$AI$1005)*P_Interval</f>
        <v>0</v>
      </c>
      <c r="E35" s="14"/>
    </row>
    <row r="36" spans="1:6" ht="15.75" customHeight="1" x14ac:dyDescent="0.3">
      <c r="A36" s="9" t="s">
        <v>1829</v>
      </c>
      <c r="B36" s="11" t="s">
        <v>1830</v>
      </c>
      <c r="C36" s="11" t="s">
        <v>63</v>
      </c>
      <c r="D36" s="30">
        <f>SUM('01_Stations'!$AJ$6:$AJ$1005)*P_Interval</f>
        <v>0</v>
      </c>
      <c r="E36" s="14"/>
    </row>
    <row r="37" spans="1:6" ht="15.75" customHeight="1" x14ac:dyDescent="0.3">
      <c r="A37" s="9" t="s">
        <v>1831</v>
      </c>
      <c r="B37" s="11" t="s">
        <v>1832</v>
      </c>
      <c r="C37" s="11" t="s">
        <v>63</v>
      </c>
      <c r="D37" s="30">
        <f>COUNTIF('01_Stations'!$AK$6:$AK$1005,"&gt;0")*P_Interval</f>
        <v>0</v>
      </c>
      <c r="E37" s="14"/>
    </row>
    <row r="38" spans="1:6" ht="15.75" customHeight="1" x14ac:dyDescent="0.3">
      <c r="A38" s="9" t="s">
        <v>1833</v>
      </c>
      <c r="B38" s="11" t="s">
        <v>1834</v>
      </c>
      <c r="C38" s="11" t="s">
        <v>63</v>
      </c>
      <c r="D38" s="30">
        <f>COUNTIF('01_Stations'!$AL$6:$AL$1005,"&gt;0")*P_Interval</f>
        <v>0</v>
      </c>
      <c r="E38" s="14"/>
    </row>
    <row r="39" spans="1:6" ht="15.75" customHeight="1" x14ac:dyDescent="0.3">
      <c r="A39" s="9" t="s">
        <v>1835</v>
      </c>
      <c r="B39" s="11" t="s">
        <v>1836</v>
      </c>
      <c r="C39" s="11" t="s">
        <v>63</v>
      </c>
      <c r="D39" s="30">
        <f>SUM('01_Stations'!$AM$6:$AM$1005)*P_Interval</f>
        <v>0</v>
      </c>
      <c r="E39" s="14"/>
    </row>
    <row r="40" spans="1:6" ht="15.75" customHeight="1" x14ac:dyDescent="0.3">
      <c r="A40" s="9" t="s">
        <v>1837</v>
      </c>
      <c r="B40" s="11" t="s">
        <v>1838</v>
      </c>
      <c r="C40" s="11" t="s">
        <v>63</v>
      </c>
      <c r="D40" s="30">
        <f>SUM('01_Stations'!$AN$6:$AN$1005)*P_Interval</f>
        <v>0</v>
      </c>
      <c r="E40" s="14"/>
    </row>
    <row r="41" spans="1:6" ht="15.75" customHeight="1" x14ac:dyDescent="0.3">
      <c r="A41" s="9" t="s">
        <v>1839</v>
      </c>
      <c r="B41" s="11" t="s">
        <v>1840</v>
      </c>
      <c r="C41" s="11" t="s">
        <v>63</v>
      </c>
      <c r="D41" s="30">
        <f>SUM('01_Stations'!$AO$6:$AO$1005)*P_Interval</f>
        <v>0</v>
      </c>
      <c r="E41" s="14"/>
    </row>
    <row r="42" spans="1:6" ht="15.75" customHeight="1" x14ac:dyDescent="0.3"/>
    <row r="43" spans="1:6" ht="15.75" customHeight="1" x14ac:dyDescent="0.3"/>
    <row r="44" spans="1:6" ht="15.75" customHeight="1" x14ac:dyDescent="0.3">
      <c r="A44" s="20" t="s">
        <v>1841</v>
      </c>
    </row>
    <row r="45" spans="1:6" ht="15.75" customHeight="1" x14ac:dyDescent="0.3">
      <c r="A45" s="3" t="s">
        <v>1842</v>
      </c>
      <c r="B45" s="3" t="s">
        <v>1713</v>
      </c>
      <c r="C45" s="3" t="s">
        <v>43</v>
      </c>
      <c r="D45" s="3" t="s">
        <v>1843</v>
      </c>
      <c r="E45" s="3" t="s">
        <v>222</v>
      </c>
      <c r="F45" s="3" t="s">
        <v>1516</v>
      </c>
    </row>
    <row r="46" spans="1:6" ht="15.75" customHeight="1" x14ac:dyDescent="0.3">
      <c r="A46" s="11" t="s">
        <v>1844</v>
      </c>
      <c r="B46" s="11" t="s">
        <v>1845</v>
      </c>
      <c r="C46" s="11" t="s">
        <v>1846</v>
      </c>
      <c r="D46" s="11" t="s">
        <v>1847</v>
      </c>
      <c r="E46" s="30">
        <f>L_TB*P_ClearW/10000</f>
        <v>0</v>
      </c>
      <c r="F46" s="14" t="s">
        <v>1848</v>
      </c>
    </row>
    <row r="47" spans="1:6" ht="15.75" customHeight="1" x14ac:dyDescent="0.3">
      <c r="A47" s="11" t="s">
        <v>1849</v>
      </c>
      <c r="B47" s="11" t="s">
        <v>1850</v>
      </c>
      <c r="C47" s="11" t="s">
        <v>1846</v>
      </c>
      <c r="D47" s="11" t="s">
        <v>1847</v>
      </c>
      <c r="E47" s="30">
        <f>L_LB*P_ClearW/10000</f>
        <v>0</v>
      </c>
      <c r="F47" s="14"/>
    </row>
    <row r="48" spans="1:6" ht="15.75" customHeight="1" x14ac:dyDescent="0.3">
      <c r="A48" s="11" t="s">
        <v>1851</v>
      </c>
      <c r="B48" s="11" t="s">
        <v>1852</v>
      </c>
      <c r="C48" s="11" t="s">
        <v>1846</v>
      </c>
      <c r="D48" s="11" t="s">
        <v>1847</v>
      </c>
      <c r="E48" s="30">
        <f>L_SB*P_ClearW/10000</f>
        <v>0</v>
      </c>
      <c r="F48" s="14"/>
    </row>
    <row r="49" spans="1:6" ht="15.75" customHeight="1" x14ac:dyDescent="0.3">
      <c r="A49" s="11" t="s">
        <v>1853</v>
      </c>
      <c r="B49" s="11" t="s">
        <v>1854</v>
      </c>
      <c r="C49" s="11" t="s">
        <v>1846</v>
      </c>
      <c r="D49" s="11" t="s">
        <v>1847</v>
      </c>
      <c r="E49" s="30">
        <f>L_GB*P_ClearW/10000</f>
        <v>0</v>
      </c>
      <c r="F49" s="14"/>
    </row>
    <row r="50" spans="1:6" ht="15.75" customHeight="1" x14ac:dyDescent="0.3">
      <c r="A50" s="11" t="s">
        <v>1855</v>
      </c>
      <c r="B50" s="11" t="s">
        <v>1856</v>
      </c>
      <c r="C50" s="11" t="s">
        <v>1846</v>
      </c>
      <c r="D50" s="11" t="s">
        <v>1847</v>
      </c>
      <c r="E50" s="30">
        <f>L_EB*P_ClearW/10000</f>
        <v>0</v>
      </c>
      <c r="F50" s="14"/>
    </row>
    <row r="51" spans="1:6" ht="15.75" customHeight="1" x14ac:dyDescent="0.3">
      <c r="A51" s="11" t="s">
        <v>1857</v>
      </c>
      <c r="B51" s="11" t="s">
        <v>1858</v>
      </c>
      <c r="C51" s="11" t="s">
        <v>300</v>
      </c>
      <c r="D51" s="11" t="s">
        <v>1847</v>
      </c>
      <c r="E51" s="30">
        <f>L_Cut*W_Cut*H_Cut</f>
        <v>0</v>
      </c>
      <c r="F51" s="14" t="s">
        <v>1859</v>
      </c>
    </row>
    <row r="52" spans="1:6" ht="15.75" customHeight="1" x14ac:dyDescent="0.3">
      <c r="A52" s="11" t="s">
        <v>1860</v>
      </c>
      <c r="B52" s="11" t="s">
        <v>1861</v>
      </c>
      <c r="C52" s="11" t="s">
        <v>300</v>
      </c>
      <c r="D52" s="11" t="s">
        <v>1847</v>
      </c>
      <c r="E52" s="30">
        <f>L_FillW*W_FillW*H_FillW</f>
        <v>0</v>
      </c>
      <c r="F52" s="14"/>
    </row>
    <row r="53" spans="1:6" ht="15.75" customHeight="1" x14ac:dyDescent="0.3">
      <c r="A53" s="11" t="s">
        <v>1862</v>
      </c>
      <c r="B53" s="11" t="s">
        <v>1863</v>
      </c>
      <c r="C53" s="11" t="s">
        <v>300</v>
      </c>
      <c r="D53" s="11" t="s">
        <v>1847</v>
      </c>
      <c r="E53" s="30">
        <f>L_Raise*P_FW*H_Raise</f>
        <v>0</v>
      </c>
      <c r="F53" s="14" t="s">
        <v>1864</v>
      </c>
    </row>
    <row r="54" spans="1:6" ht="15.75" customHeight="1" x14ac:dyDescent="0.3">
      <c r="A54" s="11" t="s">
        <v>1865</v>
      </c>
      <c r="B54" s="11" t="s">
        <v>1866</v>
      </c>
      <c r="C54" s="11" t="s">
        <v>300</v>
      </c>
      <c r="D54" s="11" t="s">
        <v>1847</v>
      </c>
      <c r="E54" s="30">
        <f>V_Gully</f>
        <v>0</v>
      </c>
      <c r="F54" s="14" t="s">
        <v>1867</v>
      </c>
    </row>
    <row r="55" spans="1:6" ht="15.75" customHeight="1" x14ac:dyDescent="0.3">
      <c r="A55" s="11" t="s">
        <v>1868</v>
      </c>
      <c r="B55" s="11" t="s">
        <v>1869</v>
      </c>
      <c r="C55" s="11" t="s">
        <v>301</v>
      </c>
      <c r="D55" s="11" t="s">
        <v>1847</v>
      </c>
      <c r="E55" s="30">
        <f>A_Pitch</f>
        <v>0</v>
      </c>
      <c r="F55" s="14"/>
    </row>
    <row r="56" spans="1:6" ht="15.75" customHeight="1" x14ac:dyDescent="0.3">
      <c r="A56" s="11" t="s">
        <v>1870</v>
      </c>
      <c r="B56" s="11" t="s">
        <v>1871</v>
      </c>
      <c r="C56" s="11" t="s">
        <v>301</v>
      </c>
      <c r="D56" s="11" t="s">
        <v>1847</v>
      </c>
      <c r="E56" s="30">
        <f>L_Blading*P_FW</f>
        <v>0</v>
      </c>
      <c r="F56" s="14"/>
    </row>
    <row r="57" spans="1:6" ht="15.75" customHeight="1" x14ac:dyDescent="0.3">
      <c r="A57" s="11" t="s">
        <v>1872</v>
      </c>
      <c r="B57" s="11" t="s">
        <v>1873</v>
      </c>
      <c r="C57" s="11" t="s">
        <v>301</v>
      </c>
      <c r="D57" s="11" t="s">
        <v>1847</v>
      </c>
      <c r="E57" s="30">
        <f>L_Scarify*P_FW</f>
        <v>0</v>
      </c>
      <c r="F57" s="14"/>
    </row>
    <row r="58" spans="1:6" ht="15.75" customHeight="1" x14ac:dyDescent="0.3">
      <c r="A58" s="11" t="s">
        <v>1874</v>
      </c>
      <c r="B58" s="11" t="s">
        <v>1875</v>
      </c>
      <c r="C58" s="11" t="s">
        <v>301</v>
      </c>
      <c r="D58" s="11" t="s">
        <v>1847</v>
      </c>
      <c r="E58" s="30">
        <f>L_Reshape*P_FW</f>
        <v>0</v>
      </c>
      <c r="F58" s="14" t="s">
        <v>1876</v>
      </c>
    </row>
    <row r="59" spans="1:6" ht="15.75" customHeight="1" x14ac:dyDescent="0.3">
      <c r="A59" s="11" t="s">
        <v>1877</v>
      </c>
      <c r="B59" s="11" t="s">
        <v>1878</v>
      </c>
      <c r="C59" s="11" t="s">
        <v>301</v>
      </c>
      <c r="D59" s="11" t="s">
        <v>1847</v>
      </c>
      <c r="E59" s="30">
        <f>L_Subbase*P_FW</f>
        <v>0</v>
      </c>
      <c r="F59" s="14"/>
    </row>
    <row r="60" spans="1:6" ht="15.75" customHeight="1" x14ac:dyDescent="0.3">
      <c r="A60" s="11" t="s">
        <v>1879</v>
      </c>
      <c r="B60" s="11" t="s">
        <v>1880</v>
      </c>
      <c r="C60" s="11" t="s">
        <v>301</v>
      </c>
      <c r="D60" s="11" t="s">
        <v>1847</v>
      </c>
      <c r="E60" s="30">
        <f>L_Base*P_FW</f>
        <v>0</v>
      </c>
      <c r="F60" s="14"/>
    </row>
    <row r="61" spans="1:6" ht="15.75" customHeight="1" x14ac:dyDescent="0.3">
      <c r="A61" s="11" t="s">
        <v>1881</v>
      </c>
      <c r="B61" s="11" t="s">
        <v>1882</v>
      </c>
      <c r="C61" s="11" t="s">
        <v>1404</v>
      </c>
      <c r="D61" s="11" t="s">
        <v>1847</v>
      </c>
      <c r="E61" s="30">
        <f>L_Subbase*P_FW*P_SubbaseT*P_OH_Sub+L_Base*P_FW*P_BaseT*P_OH_Base</f>
        <v>0</v>
      </c>
      <c r="F61" s="14" t="s">
        <v>1883</v>
      </c>
    </row>
    <row r="62" spans="1:6" ht="15.75" customHeight="1" x14ac:dyDescent="0.3">
      <c r="A62" s="11" t="s">
        <v>1884</v>
      </c>
      <c r="B62" s="11" t="s">
        <v>1885</v>
      </c>
      <c r="C62" s="11" t="s">
        <v>1886</v>
      </c>
      <c r="D62" s="11" t="s">
        <v>1847</v>
      </c>
      <c r="E62" s="30">
        <f>(L_Seal1+L_Seal2)*P_SealW*P_Seal1Rate</f>
        <v>0</v>
      </c>
      <c r="F62" s="14"/>
    </row>
    <row r="63" spans="1:6" ht="15.75" customHeight="1" x14ac:dyDescent="0.3">
      <c r="A63" s="11" t="s">
        <v>1887</v>
      </c>
      <c r="B63" s="11" t="s">
        <v>1888</v>
      </c>
      <c r="C63" s="11" t="s">
        <v>1886</v>
      </c>
      <c r="D63" s="11" t="s">
        <v>1847</v>
      </c>
      <c r="E63" s="30">
        <f>L_Prime*P_PrimeW*P_PrimeRate*P_BinderPct</f>
        <v>0</v>
      </c>
      <c r="F63" s="14"/>
    </row>
    <row r="64" spans="1:6" ht="15.75" customHeight="1" x14ac:dyDescent="0.3">
      <c r="A64" s="11" t="s">
        <v>1889</v>
      </c>
      <c r="B64" s="11" t="s">
        <v>1890</v>
      </c>
      <c r="C64" s="11" t="s">
        <v>1886</v>
      </c>
      <c r="D64" s="11" t="s">
        <v>1847</v>
      </c>
      <c r="E64" s="30">
        <f>L_Prime*P_PrimeW*P_PrimeRate*P_CutterPct</f>
        <v>0</v>
      </c>
      <c r="F64" s="14"/>
    </row>
    <row r="65" spans="1:6" ht="15.75" customHeight="1" x14ac:dyDescent="0.3">
      <c r="A65" s="11" t="s">
        <v>1891</v>
      </c>
      <c r="B65" s="11" t="s">
        <v>1892</v>
      </c>
      <c r="C65" s="11" t="s">
        <v>300</v>
      </c>
      <c r="D65" s="11" t="s">
        <v>1847</v>
      </c>
      <c r="E65" s="30">
        <f>(L_Seal1+L_Seal2)*P_SealW/P_Chip10</f>
        <v>0</v>
      </c>
      <c r="F65" s="14"/>
    </row>
    <row r="66" spans="1:6" ht="15.75" customHeight="1" x14ac:dyDescent="0.3">
      <c r="A66" s="11" t="s">
        <v>1893</v>
      </c>
      <c r="B66" s="11" t="s">
        <v>1894</v>
      </c>
      <c r="C66" s="11" t="s">
        <v>300</v>
      </c>
      <c r="D66" s="11" t="s">
        <v>1847</v>
      </c>
      <c r="E66" s="30">
        <f>L_Prime*P_PrimeW/P_Chip14</f>
        <v>0</v>
      </c>
      <c r="F66" s="14"/>
    </row>
    <row r="67" spans="1:6" ht="15.75" customHeight="1" x14ac:dyDescent="0.3">
      <c r="A67" s="11" t="s">
        <v>1895</v>
      </c>
      <c r="B67" s="11" t="s">
        <v>1896</v>
      </c>
      <c r="C67" s="11" t="s">
        <v>1404</v>
      </c>
      <c r="D67" s="11" t="s">
        <v>1847</v>
      </c>
      <c r="E67" s="30">
        <f>(E65+E66)*P_HaulChip</f>
        <v>0</v>
      </c>
      <c r="F67" s="14" t="s">
        <v>1897</v>
      </c>
    </row>
    <row r="68" spans="1:6" ht="15.75" customHeight="1" x14ac:dyDescent="0.3">
      <c r="A68" s="11" t="s">
        <v>1898</v>
      </c>
      <c r="B68" s="11" t="s">
        <v>1899</v>
      </c>
      <c r="C68" s="11" t="s">
        <v>67</v>
      </c>
      <c r="D68" s="11" t="s">
        <v>1847</v>
      </c>
      <c r="E68" s="30">
        <f>L_Seal1/1000*P_SignsPerKm</f>
        <v>0</v>
      </c>
      <c r="F68" s="14" t="s">
        <v>1900</v>
      </c>
    </row>
    <row r="69" spans="1:6" ht="15.75" customHeight="1" x14ac:dyDescent="0.3">
      <c r="A69" s="11" t="s">
        <v>1901</v>
      </c>
      <c r="B69" s="11" t="s">
        <v>1902</v>
      </c>
      <c r="C69" s="11" t="s">
        <v>67</v>
      </c>
      <c r="D69" s="11" t="s">
        <v>1847</v>
      </c>
      <c r="E69" s="30">
        <f>L_Seal1/1000*P_SignsPerKm</f>
        <v>0</v>
      </c>
      <c r="F69" s="14"/>
    </row>
    <row r="70" spans="1:6" ht="15.75" customHeight="1" x14ac:dyDescent="0.3">
      <c r="A70" s="11" t="s">
        <v>1903</v>
      </c>
      <c r="B70" s="11" t="s">
        <v>1904</v>
      </c>
      <c r="C70" s="11" t="s">
        <v>67</v>
      </c>
      <c r="D70" s="11" t="s">
        <v>1847</v>
      </c>
      <c r="E70" s="30">
        <f>L_Seal1/1000*P_SignsPerKm</f>
        <v>0</v>
      </c>
      <c r="F70" s="14"/>
    </row>
    <row r="71" spans="1:6" ht="15.75" customHeight="1" x14ac:dyDescent="0.3">
      <c r="A71" s="11" t="s">
        <v>1905</v>
      </c>
      <c r="B71" s="11" t="s">
        <v>1906</v>
      </c>
      <c r="C71" s="11" t="s">
        <v>63</v>
      </c>
      <c r="D71" s="11" t="s">
        <v>1847</v>
      </c>
      <c r="E71" s="30">
        <f>L_Seal1*P_LaneLineF</f>
        <v>0</v>
      </c>
      <c r="F71" s="14"/>
    </row>
    <row r="72" spans="1:6" ht="15.75" customHeight="1" x14ac:dyDescent="0.3">
      <c r="A72" s="11" t="s">
        <v>1907</v>
      </c>
      <c r="B72" s="11" t="s">
        <v>1908</v>
      </c>
      <c r="C72" s="11" t="s">
        <v>63</v>
      </c>
      <c r="D72" s="11" t="s">
        <v>1847</v>
      </c>
      <c r="E72" s="30">
        <f>L_Seal1/1000*P_StopPerKm</f>
        <v>0</v>
      </c>
      <c r="F72" s="14"/>
    </row>
    <row r="73" spans="1:6" ht="15.75" customHeight="1" x14ac:dyDescent="0.3">
      <c r="A73" s="11" t="s">
        <v>1909</v>
      </c>
      <c r="B73" s="11" t="s">
        <v>1910</v>
      </c>
      <c r="C73" s="11" t="s">
        <v>63</v>
      </c>
      <c r="D73" s="11" t="s">
        <v>1847</v>
      </c>
      <c r="E73" s="30">
        <f>L_Seal1*P_CentreLnF</f>
        <v>0</v>
      </c>
      <c r="F73" s="14"/>
    </row>
    <row r="74" spans="1:6" ht="15.75" customHeight="1" x14ac:dyDescent="0.3">
      <c r="A74" s="11" t="s">
        <v>1911</v>
      </c>
      <c r="B74" s="11" t="s">
        <v>1912</v>
      </c>
      <c r="C74" s="11" t="s">
        <v>63</v>
      </c>
      <c r="D74" s="11" t="s">
        <v>1847</v>
      </c>
      <c r="E74" s="30">
        <f>L_Seal1*P_EdgeLnF</f>
        <v>0</v>
      </c>
      <c r="F74" s="14"/>
    </row>
    <row r="75" spans="1:6" ht="15.75" customHeight="1" x14ac:dyDescent="0.3">
      <c r="A75" s="11" t="s">
        <v>1913</v>
      </c>
      <c r="B75" s="11" t="s">
        <v>1914</v>
      </c>
      <c r="C75" s="11" t="s">
        <v>63</v>
      </c>
      <c r="D75" s="11" t="s">
        <v>1847</v>
      </c>
      <c r="E75" s="30">
        <f>L_Seal1/1000*P_PedXF</f>
        <v>0</v>
      </c>
      <c r="F75" s="14"/>
    </row>
    <row r="76" spans="1:6" ht="15.75" customHeight="1" x14ac:dyDescent="0.3">
      <c r="A76" s="11" t="s">
        <v>1915</v>
      </c>
      <c r="B76" s="11" t="s">
        <v>1916</v>
      </c>
      <c r="C76" s="11" t="s">
        <v>67</v>
      </c>
      <c r="D76" s="11" t="s">
        <v>1847</v>
      </c>
      <c r="E76" s="30">
        <f>L_Seal1/1000*P_RampsPerKm</f>
        <v>0</v>
      </c>
      <c r="F76" s="14"/>
    </row>
    <row r="77" spans="1:6" ht="15.75" customHeight="1" x14ac:dyDescent="0.3">
      <c r="A77" s="11" t="s">
        <v>1917</v>
      </c>
      <c r="B77" s="11" t="s">
        <v>1918</v>
      </c>
      <c r="C77" s="11" t="s">
        <v>63</v>
      </c>
      <c r="D77" s="11" t="s">
        <v>1919</v>
      </c>
      <c r="E77" s="30">
        <f>L_DitchEC</f>
        <v>0</v>
      </c>
      <c r="F77" s="14"/>
    </row>
    <row r="78" spans="1:6" ht="15.75" customHeight="1" x14ac:dyDescent="0.3">
      <c r="A78" s="11" t="s">
        <v>1920</v>
      </c>
      <c r="B78" s="11" t="s">
        <v>1921</v>
      </c>
      <c r="C78" s="11" t="s">
        <v>63</v>
      </c>
      <c r="D78" s="11" t="s">
        <v>1919</v>
      </c>
      <c r="E78" s="30">
        <f>L_DitchRE</f>
        <v>0</v>
      </c>
      <c r="F78" s="14"/>
    </row>
    <row r="79" spans="1:6" ht="15.75" customHeight="1" x14ac:dyDescent="0.3">
      <c r="A79" s="11" t="s">
        <v>1922</v>
      </c>
      <c r="B79" s="11" t="s">
        <v>1923</v>
      </c>
      <c r="C79" s="11" t="s">
        <v>63</v>
      </c>
      <c r="D79" s="11" t="s">
        <v>1919</v>
      </c>
      <c r="E79" s="30">
        <f>L_DitchCL</f>
        <v>0</v>
      </c>
      <c r="F79" s="14"/>
    </row>
    <row r="80" spans="1:6" ht="15.75" customHeight="1" x14ac:dyDescent="0.3">
      <c r="A80" s="11" t="s">
        <v>1924</v>
      </c>
      <c r="B80" s="11" t="s">
        <v>1925</v>
      </c>
      <c r="C80" s="11" t="s">
        <v>63</v>
      </c>
      <c r="D80" s="11" t="s">
        <v>1919</v>
      </c>
      <c r="E80" s="30">
        <f>L_Turn</f>
        <v>0</v>
      </c>
      <c r="F80" s="14"/>
    </row>
    <row r="81" spans="1:6" ht="15.75" customHeight="1" x14ac:dyDescent="0.3">
      <c r="A81" s="11" t="s">
        <v>1926</v>
      </c>
      <c r="B81" s="11" t="s">
        <v>1927</v>
      </c>
      <c r="C81" s="11" t="s">
        <v>67</v>
      </c>
      <c r="D81" s="11" t="s">
        <v>1919</v>
      </c>
      <c r="E81" s="30">
        <f>IF(S_Scour=0,0,L_Scour/S_Scour)</f>
        <v>0</v>
      </c>
      <c r="F81" s="14" t="s">
        <v>1928</v>
      </c>
    </row>
    <row r="82" spans="1:6" ht="15.75" customHeight="1" x14ac:dyDescent="0.3">
      <c r="A82" s="11" t="s">
        <v>1929</v>
      </c>
      <c r="B82" s="11" t="s">
        <v>1930</v>
      </c>
      <c r="C82" s="11" t="s">
        <v>63</v>
      </c>
      <c r="D82" s="11" t="s">
        <v>1919</v>
      </c>
      <c r="E82" s="30">
        <f>L_UD45</f>
        <v>0</v>
      </c>
      <c r="F82" s="14"/>
    </row>
    <row r="83" spans="1:6" ht="15.75" customHeight="1" x14ac:dyDescent="0.3">
      <c r="A83" s="11" t="s">
        <v>1931</v>
      </c>
      <c r="B83" s="11" t="s">
        <v>1932</v>
      </c>
      <c r="C83" s="11" t="s">
        <v>63</v>
      </c>
      <c r="D83" s="11" t="s">
        <v>1919</v>
      </c>
      <c r="E83" s="30">
        <f>L_UD60</f>
        <v>0</v>
      </c>
      <c r="F83" s="14"/>
    </row>
    <row r="84" spans="1:6" ht="15.75" customHeight="1" x14ac:dyDescent="0.3">
      <c r="A84" s="11" t="s">
        <v>1933</v>
      </c>
      <c r="B84" s="11" t="s">
        <v>1934</v>
      </c>
      <c r="C84" s="11" t="s">
        <v>63</v>
      </c>
      <c r="D84" s="11" t="s">
        <v>1919</v>
      </c>
      <c r="E84" s="30">
        <f>L_UD75</f>
        <v>0</v>
      </c>
      <c r="F84" s="14"/>
    </row>
    <row r="85" spans="1:6" ht="15.75" customHeight="1" x14ac:dyDescent="0.3">
      <c r="A85" s="11" t="s">
        <v>1935</v>
      </c>
      <c r="B85" s="11" t="s">
        <v>1936</v>
      </c>
      <c r="C85" s="11" t="s">
        <v>63</v>
      </c>
      <c r="D85" s="11" t="s">
        <v>1919</v>
      </c>
      <c r="E85" s="30">
        <f>L_UD90</f>
        <v>0</v>
      </c>
      <c r="F85" s="14"/>
    </row>
    <row r="86" spans="1:6" ht="15.75" customHeight="1" x14ac:dyDescent="0.3">
      <c r="A86" s="11" t="s">
        <v>1937</v>
      </c>
      <c r="B86" s="11" t="s">
        <v>1938</v>
      </c>
      <c r="C86" s="11" t="s">
        <v>63</v>
      </c>
      <c r="D86" s="11" t="s">
        <v>1919</v>
      </c>
      <c r="E86" s="30">
        <f>L_Trap</f>
        <v>0</v>
      </c>
      <c r="F86" s="14"/>
    </row>
    <row r="87" spans="1:6" ht="15.75" customHeight="1" x14ac:dyDescent="0.3">
      <c r="A87" s="11" t="s">
        <v>1939</v>
      </c>
      <c r="B87" s="11" t="s">
        <v>1940</v>
      </c>
      <c r="C87" s="11" t="s">
        <v>63</v>
      </c>
      <c r="D87" s="11" t="s">
        <v>1919</v>
      </c>
      <c r="E87" s="30">
        <f>L_Kerb</f>
        <v>0</v>
      </c>
      <c r="F87" s="14"/>
    </row>
    <row r="88" spans="1:6" ht="15.75" customHeight="1" x14ac:dyDescent="0.3">
      <c r="A88" s="11" t="s">
        <v>1941</v>
      </c>
      <c r="B88" s="11" t="s">
        <v>1942</v>
      </c>
      <c r="C88" s="11" t="s">
        <v>63</v>
      </c>
      <c r="D88" s="11" t="s">
        <v>1919</v>
      </c>
      <c r="E88" s="30">
        <f>L_RetW</f>
        <v>0</v>
      </c>
      <c r="F88" s="14" t="s">
        <v>1943</v>
      </c>
    </row>
    <row r="89" spans="1:6" ht="15.75" customHeight="1" x14ac:dyDescent="0.3">
      <c r="A89" s="11" t="s">
        <v>1944</v>
      </c>
      <c r="B89" s="11" t="s">
        <v>1945</v>
      </c>
      <c r="C89" s="11" t="s">
        <v>1404</v>
      </c>
      <c r="D89" s="11" t="s">
        <v>1919</v>
      </c>
      <c r="E89" s="30">
        <f>(0.26922*E82+0.372*E83+0.495*E84+0.63*E85)*P_FineStr*P_HaulSand</f>
        <v>0</v>
      </c>
      <c r="F89" s="14"/>
    </row>
    <row r="90" spans="1:6" ht="15.75" customHeight="1" x14ac:dyDescent="0.3">
      <c r="A90" s="11" t="s">
        <v>1946</v>
      </c>
      <c r="B90" s="11" t="s">
        <v>1947</v>
      </c>
      <c r="C90" s="11" t="s">
        <v>1404</v>
      </c>
      <c r="D90" s="11" t="s">
        <v>1919</v>
      </c>
      <c r="E90" s="30">
        <f>(0.26922*E82+0.372*E83+0.495*E84+0.63*E85)*P_CoarseStr*P_HaulCoarse</f>
        <v>0</v>
      </c>
      <c r="F90" s="14"/>
    </row>
    <row r="91" spans="1:6" ht="15.75" customHeight="1" x14ac:dyDescent="0.3"/>
    <row r="92" spans="1:6" ht="15.75" customHeight="1" x14ac:dyDescent="0.3"/>
    <row r="93" spans="1:6" ht="15.75" customHeight="1" x14ac:dyDescent="0.3"/>
    <row r="94" spans="1:6" ht="15.75" customHeight="1" x14ac:dyDescent="0.3"/>
    <row r="95" spans="1:6" ht="15.75" customHeight="1" x14ac:dyDescent="0.3"/>
    <row r="96" spans="1: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rintOptions horizontalCentered="1"/>
  <pageMargins left="0.75" right="0.75" top="1" bottom="1"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808080"/>
    <pageSetUpPr fitToPage="1"/>
  </sheetPr>
  <dimension ref="A1:D1001"/>
  <sheetViews>
    <sheetView showGridLines="0" workbookViewId="0">
      <pane ySplit="4" topLeftCell="A162" activePane="bottomLeft" state="frozen"/>
      <selection pane="bottomLeft" activeCell="B186" sqref="B186"/>
    </sheetView>
  </sheetViews>
  <sheetFormatPr defaultColWidth="14.44140625" defaultRowHeight="15" customHeight="1" x14ac:dyDescent="0.3"/>
  <cols>
    <col min="1" max="1" width="14" customWidth="1"/>
    <col min="2" max="2" width="82" customWidth="1"/>
    <col min="3" max="3" width="10" customWidth="1"/>
    <col min="4" max="4" width="34" customWidth="1"/>
    <col min="5" max="26" width="8.6640625" customWidth="1"/>
  </cols>
  <sheetData>
    <row r="1" spans="1:4" ht="19.8" customHeight="1" x14ac:dyDescent="0.4">
      <c r="A1" s="1" t="s">
        <v>1948</v>
      </c>
    </row>
    <row r="2" spans="1:4" ht="14.4" customHeight="1" x14ac:dyDescent="0.3">
      <c r="A2" s="2" t="s">
        <v>1949</v>
      </c>
    </row>
    <row r="4" spans="1:4" ht="14.4" customHeight="1" x14ac:dyDescent="0.3">
      <c r="A4" s="3" t="s">
        <v>1842</v>
      </c>
      <c r="B4" s="3" t="s">
        <v>1713</v>
      </c>
      <c r="C4" s="3" t="s">
        <v>43</v>
      </c>
      <c r="D4" s="3" t="s">
        <v>1950</v>
      </c>
    </row>
    <row r="5" spans="1:4" ht="14.4" customHeight="1" x14ac:dyDescent="0.3">
      <c r="A5" s="17"/>
      <c r="B5" s="17"/>
      <c r="C5" s="17"/>
      <c r="D5" s="17"/>
    </row>
    <row r="6" spans="1:4" ht="14.4" customHeight="1" x14ac:dyDescent="0.3">
      <c r="A6" s="17"/>
      <c r="B6" s="17"/>
      <c r="C6" s="17"/>
      <c r="D6" s="17"/>
    </row>
    <row r="7" spans="1:4" ht="14.4" customHeight="1" x14ac:dyDescent="0.3">
      <c r="A7" s="17"/>
      <c r="B7" s="17"/>
      <c r="C7" s="17"/>
      <c r="D7" s="17"/>
    </row>
    <row r="8" spans="1:4" ht="14.4" customHeight="1" x14ac:dyDescent="0.3">
      <c r="A8" s="17"/>
      <c r="B8" s="17"/>
      <c r="C8" s="17"/>
      <c r="D8" s="17"/>
    </row>
    <row r="9" spans="1:4" ht="14.4" customHeight="1" x14ac:dyDescent="0.3">
      <c r="A9" s="17" t="s">
        <v>1951</v>
      </c>
      <c r="B9" s="17" t="s">
        <v>1952</v>
      </c>
      <c r="C9" s="17" t="s">
        <v>1953</v>
      </c>
      <c r="D9" s="17" t="s">
        <v>1954</v>
      </c>
    </row>
    <row r="10" spans="1:4" ht="14.4" customHeight="1" x14ac:dyDescent="0.3">
      <c r="A10" s="17" t="s">
        <v>1955</v>
      </c>
      <c r="B10" s="17" t="s">
        <v>1956</v>
      </c>
      <c r="C10" s="17" t="s">
        <v>1953</v>
      </c>
      <c r="D10" s="17" t="s">
        <v>1954</v>
      </c>
    </row>
    <row r="11" spans="1:4" ht="14.4" customHeight="1" x14ac:dyDescent="0.3">
      <c r="A11" s="17" t="s">
        <v>1957</v>
      </c>
      <c r="B11" s="17" t="s">
        <v>1958</v>
      </c>
      <c r="C11" s="17" t="s">
        <v>1953</v>
      </c>
      <c r="D11" s="17" t="s">
        <v>1954</v>
      </c>
    </row>
    <row r="12" spans="1:4" ht="14.4" customHeight="1" x14ac:dyDescent="0.3">
      <c r="A12" s="17" t="s">
        <v>1959</v>
      </c>
      <c r="B12" s="17" t="s">
        <v>1960</v>
      </c>
      <c r="C12" s="17" t="s">
        <v>1953</v>
      </c>
      <c r="D12" s="17" t="s">
        <v>1954</v>
      </c>
    </row>
    <row r="13" spans="1:4" ht="14.4" customHeight="1" x14ac:dyDescent="0.3">
      <c r="A13" s="17" t="s">
        <v>1961</v>
      </c>
      <c r="B13" s="17" t="s">
        <v>1962</v>
      </c>
      <c r="C13" s="17" t="s">
        <v>1953</v>
      </c>
      <c r="D13" s="17" t="s">
        <v>1954</v>
      </c>
    </row>
    <row r="14" spans="1:4" ht="14.4" customHeight="1" x14ac:dyDescent="0.3">
      <c r="A14" s="17" t="s">
        <v>1963</v>
      </c>
      <c r="B14" s="17" t="s">
        <v>1964</v>
      </c>
      <c r="C14" s="17" t="s">
        <v>1965</v>
      </c>
      <c r="D14" s="17" t="s">
        <v>1954</v>
      </c>
    </row>
    <row r="15" spans="1:4" ht="14.4" customHeight="1" x14ac:dyDescent="0.3">
      <c r="A15" s="17" t="s">
        <v>1966</v>
      </c>
      <c r="B15" s="17" t="s">
        <v>1967</v>
      </c>
      <c r="C15" s="17" t="s">
        <v>1968</v>
      </c>
      <c r="D15" s="17" t="s">
        <v>1954</v>
      </c>
    </row>
    <row r="16" spans="1:4" ht="14.4" customHeight="1" x14ac:dyDescent="0.3">
      <c r="A16" s="17" t="s">
        <v>1969</v>
      </c>
      <c r="B16" s="17" t="s">
        <v>1970</v>
      </c>
      <c r="C16" s="17" t="s">
        <v>1965</v>
      </c>
      <c r="D16" s="17" t="s">
        <v>1954</v>
      </c>
    </row>
    <row r="17" spans="1:4" ht="14.4" customHeight="1" x14ac:dyDescent="0.3">
      <c r="A17" s="17" t="s">
        <v>1971</v>
      </c>
      <c r="B17" s="17" t="s">
        <v>1972</v>
      </c>
      <c r="C17" s="17"/>
      <c r="D17" s="17" t="s">
        <v>1954</v>
      </c>
    </row>
    <row r="18" spans="1:4" ht="14.4" customHeight="1" x14ac:dyDescent="0.3">
      <c r="A18" s="17" t="s">
        <v>1973</v>
      </c>
      <c r="B18" s="17" t="s">
        <v>1974</v>
      </c>
      <c r="C18" s="17" t="s">
        <v>1953</v>
      </c>
      <c r="D18" s="17" t="s">
        <v>1954</v>
      </c>
    </row>
    <row r="19" spans="1:4" ht="14.4" customHeight="1" x14ac:dyDescent="0.3">
      <c r="A19" s="17" t="s">
        <v>1975</v>
      </c>
      <c r="B19" s="17" t="s">
        <v>1976</v>
      </c>
      <c r="C19" s="17" t="s">
        <v>1953</v>
      </c>
      <c r="D19" s="17" t="s">
        <v>1954</v>
      </c>
    </row>
    <row r="20" spans="1:4" ht="14.4" customHeight="1" x14ac:dyDescent="0.3">
      <c r="A20" s="17" t="s">
        <v>1977</v>
      </c>
      <c r="B20" s="17" t="s">
        <v>1978</v>
      </c>
      <c r="C20" s="17" t="s">
        <v>67</v>
      </c>
      <c r="D20" s="17" t="s">
        <v>1954</v>
      </c>
    </row>
    <row r="21" spans="1:4" ht="15.75" customHeight="1" x14ac:dyDescent="0.3">
      <c r="A21" s="17" t="s">
        <v>1979</v>
      </c>
      <c r="B21" s="17" t="s">
        <v>1980</v>
      </c>
      <c r="C21" s="17" t="s">
        <v>1981</v>
      </c>
      <c r="D21" s="17" t="s">
        <v>1954</v>
      </c>
    </row>
    <row r="22" spans="1:4" ht="15.75" customHeight="1" x14ac:dyDescent="0.3">
      <c r="A22" s="17" t="s">
        <v>1982</v>
      </c>
      <c r="B22" s="17" t="s">
        <v>1983</v>
      </c>
      <c r="C22" s="17" t="s">
        <v>63</v>
      </c>
      <c r="D22" s="17" t="s">
        <v>1954</v>
      </c>
    </row>
    <row r="23" spans="1:4" ht="15.75" customHeight="1" x14ac:dyDescent="0.3">
      <c r="A23" s="17" t="s">
        <v>1984</v>
      </c>
      <c r="B23" s="17" t="s">
        <v>1985</v>
      </c>
      <c r="C23" s="17" t="s">
        <v>1986</v>
      </c>
      <c r="D23" s="17" t="s">
        <v>1954</v>
      </c>
    </row>
    <row r="24" spans="1:4" ht="15.75" customHeight="1" x14ac:dyDescent="0.3">
      <c r="A24" s="17" t="s">
        <v>1987</v>
      </c>
      <c r="B24" s="17" t="s">
        <v>1988</v>
      </c>
      <c r="C24" s="17" t="s">
        <v>67</v>
      </c>
      <c r="D24" s="17" t="s">
        <v>1954</v>
      </c>
    </row>
    <row r="25" spans="1:4" ht="15.75" customHeight="1" x14ac:dyDescent="0.3">
      <c r="A25" s="17" t="s">
        <v>1989</v>
      </c>
      <c r="B25" s="17" t="s">
        <v>1990</v>
      </c>
      <c r="C25" s="17" t="s">
        <v>1953</v>
      </c>
      <c r="D25" s="17" t="s">
        <v>1954</v>
      </c>
    </row>
    <row r="26" spans="1:4" ht="15.75" customHeight="1" x14ac:dyDescent="0.3">
      <c r="A26" s="17" t="s">
        <v>1991</v>
      </c>
      <c r="B26" s="17" t="s">
        <v>1992</v>
      </c>
      <c r="C26" s="17" t="s">
        <v>1986</v>
      </c>
      <c r="D26" s="17" t="s">
        <v>1954</v>
      </c>
    </row>
    <row r="27" spans="1:4" ht="15.75" customHeight="1" x14ac:dyDescent="0.3">
      <c r="A27" s="17" t="s">
        <v>1993</v>
      </c>
      <c r="B27" s="17" t="s">
        <v>1994</v>
      </c>
      <c r="C27" s="17" t="s">
        <v>1953</v>
      </c>
      <c r="D27" s="17" t="s">
        <v>1954</v>
      </c>
    </row>
    <row r="28" spans="1:4" ht="15.75" customHeight="1" x14ac:dyDescent="0.3">
      <c r="A28" s="17" t="s">
        <v>1995</v>
      </c>
      <c r="B28" s="17" t="s">
        <v>1996</v>
      </c>
      <c r="C28" s="17" t="s">
        <v>1997</v>
      </c>
      <c r="D28" s="17" t="s">
        <v>1954</v>
      </c>
    </row>
    <row r="29" spans="1:4" ht="15.75" customHeight="1" x14ac:dyDescent="0.3">
      <c r="A29" s="17" t="s">
        <v>1998</v>
      </c>
      <c r="B29" s="17" t="s">
        <v>1999</v>
      </c>
      <c r="C29" s="17" t="s">
        <v>1997</v>
      </c>
      <c r="D29" s="17" t="s">
        <v>1954</v>
      </c>
    </row>
    <row r="30" spans="1:4" ht="15.75" customHeight="1" x14ac:dyDescent="0.3">
      <c r="A30" s="17" t="s">
        <v>2000</v>
      </c>
      <c r="B30" s="17" t="s">
        <v>2001</v>
      </c>
      <c r="C30" s="17" t="s">
        <v>1997</v>
      </c>
      <c r="D30" s="17" t="s">
        <v>1954</v>
      </c>
    </row>
    <row r="31" spans="1:4" ht="15.75" customHeight="1" x14ac:dyDescent="0.3">
      <c r="A31" s="17" t="s">
        <v>2002</v>
      </c>
      <c r="B31" s="17" t="s">
        <v>2003</v>
      </c>
      <c r="C31" s="17" t="s">
        <v>1997</v>
      </c>
      <c r="D31" s="17" t="s">
        <v>1954</v>
      </c>
    </row>
    <row r="32" spans="1:4" ht="15.75" customHeight="1" x14ac:dyDescent="0.3">
      <c r="A32" s="17" t="s">
        <v>2004</v>
      </c>
      <c r="B32" s="17" t="s">
        <v>2005</v>
      </c>
      <c r="C32" s="17" t="s">
        <v>1997</v>
      </c>
      <c r="D32" s="17" t="s">
        <v>1954</v>
      </c>
    </row>
    <row r="33" spans="1:4" ht="15.75" customHeight="1" x14ac:dyDescent="0.3">
      <c r="A33" s="17" t="s">
        <v>2006</v>
      </c>
      <c r="B33" s="17" t="s">
        <v>2007</v>
      </c>
      <c r="C33" s="17" t="s">
        <v>1997</v>
      </c>
      <c r="D33" s="17" t="s">
        <v>1954</v>
      </c>
    </row>
    <row r="34" spans="1:4" ht="15.75" customHeight="1" x14ac:dyDescent="0.3">
      <c r="A34" s="17" t="s">
        <v>2008</v>
      </c>
      <c r="B34" s="17" t="s">
        <v>2009</v>
      </c>
      <c r="C34" s="17" t="s">
        <v>1997</v>
      </c>
      <c r="D34" s="17" t="s">
        <v>1954</v>
      </c>
    </row>
    <row r="35" spans="1:4" ht="15.75" customHeight="1" x14ac:dyDescent="0.3">
      <c r="A35" s="17" t="s">
        <v>2010</v>
      </c>
      <c r="B35" s="17" t="s">
        <v>2011</v>
      </c>
      <c r="C35" s="17" t="s">
        <v>2012</v>
      </c>
      <c r="D35" s="17" t="s">
        <v>1954</v>
      </c>
    </row>
    <row r="36" spans="1:4" ht="15.75" customHeight="1" x14ac:dyDescent="0.3">
      <c r="A36" s="17" t="s">
        <v>2013</v>
      </c>
      <c r="B36" s="17" t="s">
        <v>2014</v>
      </c>
      <c r="C36" s="17" t="s">
        <v>1997</v>
      </c>
      <c r="D36" s="17" t="s">
        <v>1954</v>
      </c>
    </row>
    <row r="37" spans="1:4" ht="15.75" customHeight="1" x14ac:dyDescent="0.3">
      <c r="A37" s="17" t="s">
        <v>2015</v>
      </c>
      <c r="B37" s="17" t="s">
        <v>2016</v>
      </c>
      <c r="C37" s="17" t="s">
        <v>2017</v>
      </c>
      <c r="D37" s="17" t="s">
        <v>1954</v>
      </c>
    </row>
    <row r="38" spans="1:4" ht="15.75" customHeight="1" x14ac:dyDescent="0.3">
      <c r="A38" s="17" t="s">
        <v>2018</v>
      </c>
      <c r="B38" s="17" t="s">
        <v>2019</v>
      </c>
      <c r="C38" s="17" t="s">
        <v>2012</v>
      </c>
      <c r="D38" s="17" t="s">
        <v>1954</v>
      </c>
    </row>
    <row r="39" spans="1:4" ht="15.75" customHeight="1" x14ac:dyDescent="0.3">
      <c r="A39" s="17" t="s">
        <v>1844</v>
      </c>
      <c r="B39" s="17" t="s">
        <v>1845</v>
      </c>
      <c r="C39" s="17" t="s">
        <v>1846</v>
      </c>
      <c r="D39" s="17" t="s">
        <v>2020</v>
      </c>
    </row>
    <row r="40" spans="1:4" ht="15.75" customHeight="1" x14ac:dyDescent="0.3">
      <c r="A40" s="17" t="s">
        <v>1849</v>
      </c>
      <c r="B40" s="17" t="s">
        <v>1850</v>
      </c>
      <c r="C40" s="17" t="s">
        <v>1846</v>
      </c>
      <c r="D40" s="17" t="s">
        <v>2020</v>
      </c>
    </row>
    <row r="41" spans="1:4" ht="15.75" customHeight="1" x14ac:dyDescent="0.3">
      <c r="A41" s="17" t="s">
        <v>1851</v>
      </c>
      <c r="B41" s="17" t="s">
        <v>1852</v>
      </c>
      <c r="C41" s="17" t="s">
        <v>1846</v>
      </c>
      <c r="D41" s="17" t="s">
        <v>2020</v>
      </c>
    </row>
    <row r="42" spans="1:4" ht="15.75" customHeight="1" x14ac:dyDescent="0.3">
      <c r="A42" s="17" t="s">
        <v>1853</v>
      </c>
      <c r="B42" s="17" t="s">
        <v>1854</v>
      </c>
      <c r="C42" s="17" t="s">
        <v>1846</v>
      </c>
      <c r="D42" s="17" t="s">
        <v>2020</v>
      </c>
    </row>
    <row r="43" spans="1:4" ht="15.75" customHeight="1" x14ac:dyDescent="0.3">
      <c r="A43" s="17" t="s">
        <v>1855</v>
      </c>
      <c r="B43" s="17" t="s">
        <v>1856</v>
      </c>
      <c r="C43" s="17" t="s">
        <v>1846</v>
      </c>
      <c r="D43" s="17" t="s">
        <v>2020</v>
      </c>
    </row>
    <row r="44" spans="1:4" ht="15.75" customHeight="1" x14ac:dyDescent="0.3">
      <c r="A44" s="17" t="s">
        <v>2021</v>
      </c>
      <c r="B44" s="17" t="s">
        <v>2022</v>
      </c>
      <c r="C44" s="17" t="s">
        <v>2023</v>
      </c>
      <c r="D44" s="17" t="s">
        <v>2020</v>
      </c>
    </row>
    <row r="45" spans="1:4" ht="15.75" customHeight="1" x14ac:dyDescent="0.3">
      <c r="A45" s="17" t="s">
        <v>2024</v>
      </c>
      <c r="B45" s="17" t="s">
        <v>2025</v>
      </c>
      <c r="C45" s="17" t="s">
        <v>2023</v>
      </c>
      <c r="D45" s="17" t="s">
        <v>2020</v>
      </c>
    </row>
    <row r="46" spans="1:4" ht="15.75" customHeight="1" x14ac:dyDescent="0.3">
      <c r="A46" s="17" t="s">
        <v>2026</v>
      </c>
      <c r="B46" s="17"/>
      <c r="C46" s="17"/>
      <c r="D46" s="17" t="s">
        <v>2020</v>
      </c>
    </row>
    <row r="47" spans="1:4" ht="15.75" customHeight="1" x14ac:dyDescent="0.3">
      <c r="A47" s="17" t="s">
        <v>2027</v>
      </c>
      <c r="B47" s="17" t="s">
        <v>2028</v>
      </c>
      <c r="C47" s="17" t="s">
        <v>2023</v>
      </c>
      <c r="D47" s="17" t="s">
        <v>2029</v>
      </c>
    </row>
    <row r="48" spans="1:4" ht="15.75" customHeight="1" x14ac:dyDescent="0.3">
      <c r="A48" s="17" t="s">
        <v>2030</v>
      </c>
      <c r="B48" s="17" t="s">
        <v>2031</v>
      </c>
      <c r="C48" s="17" t="s">
        <v>2023</v>
      </c>
      <c r="D48" s="17" t="s">
        <v>2029</v>
      </c>
    </row>
    <row r="49" spans="1:4" ht="15.75" customHeight="1" x14ac:dyDescent="0.3">
      <c r="A49" s="17" t="s">
        <v>2032</v>
      </c>
      <c r="B49" s="17" t="s">
        <v>2033</v>
      </c>
      <c r="C49" s="17" t="s">
        <v>2023</v>
      </c>
      <c r="D49" s="17" t="s">
        <v>2029</v>
      </c>
    </row>
    <row r="50" spans="1:4" ht="15.75" customHeight="1" x14ac:dyDescent="0.3">
      <c r="A50" s="17" t="s">
        <v>1322</v>
      </c>
      <c r="B50" s="17" t="s">
        <v>2034</v>
      </c>
      <c r="C50" s="17" t="s">
        <v>2023</v>
      </c>
      <c r="D50" s="17" t="s">
        <v>2029</v>
      </c>
    </row>
    <row r="51" spans="1:4" ht="15.75" customHeight="1" x14ac:dyDescent="0.3">
      <c r="A51" s="17" t="s">
        <v>1438</v>
      </c>
      <c r="B51" s="17" t="s">
        <v>2035</v>
      </c>
      <c r="C51" s="17" t="s">
        <v>2023</v>
      </c>
      <c r="D51" s="17" t="s">
        <v>2029</v>
      </c>
    </row>
    <row r="52" spans="1:4" ht="15.75" customHeight="1" x14ac:dyDescent="0.3">
      <c r="A52" s="17" t="s">
        <v>1860</v>
      </c>
      <c r="B52" s="17" t="s">
        <v>1861</v>
      </c>
      <c r="C52" s="17" t="s">
        <v>300</v>
      </c>
      <c r="D52" s="17" t="s">
        <v>2029</v>
      </c>
    </row>
    <row r="53" spans="1:4" ht="15.75" customHeight="1" x14ac:dyDescent="0.3">
      <c r="A53" s="17" t="s">
        <v>2036</v>
      </c>
      <c r="B53" s="17" t="s">
        <v>2037</v>
      </c>
      <c r="C53" s="17" t="s">
        <v>2023</v>
      </c>
      <c r="D53" s="17" t="s">
        <v>2029</v>
      </c>
    </row>
    <row r="54" spans="1:4" ht="15.75" customHeight="1" x14ac:dyDescent="0.3">
      <c r="A54" s="17" t="s">
        <v>2038</v>
      </c>
      <c r="B54" s="17" t="s">
        <v>2039</v>
      </c>
      <c r="C54" s="17" t="s">
        <v>2023</v>
      </c>
      <c r="D54" s="17" t="s">
        <v>2029</v>
      </c>
    </row>
    <row r="55" spans="1:4" ht="15.75" customHeight="1" x14ac:dyDescent="0.3">
      <c r="A55" s="17" t="s">
        <v>1874</v>
      </c>
      <c r="B55" s="17" t="s">
        <v>1875</v>
      </c>
      <c r="C55" s="17" t="s">
        <v>301</v>
      </c>
      <c r="D55" s="17" t="s">
        <v>2029</v>
      </c>
    </row>
    <row r="56" spans="1:4" ht="15.75" customHeight="1" x14ac:dyDescent="0.3">
      <c r="A56" s="17" t="s">
        <v>2040</v>
      </c>
      <c r="B56" s="17" t="s">
        <v>2041</v>
      </c>
      <c r="C56" s="17" t="s">
        <v>2023</v>
      </c>
      <c r="D56" s="17" t="s">
        <v>2029</v>
      </c>
    </row>
    <row r="57" spans="1:4" ht="15.75" customHeight="1" x14ac:dyDescent="0.3">
      <c r="A57" s="17" t="s">
        <v>2042</v>
      </c>
      <c r="B57" s="17" t="s">
        <v>2043</v>
      </c>
      <c r="C57" s="17" t="s">
        <v>2023</v>
      </c>
      <c r="D57" s="17" t="s">
        <v>2029</v>
      </c>
    </row>
    <row r="58" spans="1:4" ht="15.75" customHeight="1" x14ac:dyDescent="0.3">
      <c r="A58" s="17" t="s">
        <v>1868</v>
      </c>
      <c r="B58" s="17" t="s">
        <v>2044</v>
      </c>
      <c r="C58" s="17" t="s">
        <v>2045</v>
      </c>
      <c r="D58" s="17" t="s">
        <v>2029</v>
      </c>
    </row>
    <row r="59" spans="1:4" ht="15.75" customHeight="1" x14ac:dyDescent="0.3">
      <c r="A59" s="17" t="s">
        <v>2046</v>
      </c>
      <c r="B59" s="17" t="s">
        <v>2047</v>
      </c>
      <c r="C59" s="17" t="s">
        <v>2023</v>
      </c>
      <c r="D59" s="17" t="s">
        <v>2029</v>
      </c>
    </row>
    <row r="60" spans="1:4" ht="15.75" customHeight="1" x14ac:dyDescent="0.3">
      <c r="A60" s="17" t="s">
        <v>2048</v>
      </c>
      <c r="B60" s="17" t="s">
        <v>2049</v>
      </c>
      <c r="C60" s="17" t="s">
        <v>2045</v>
      </c>
      <c r="D60" s="17" t="s">
        <v>2029</v>
      </c>
    </row>
    <row r="61" spans="1:4" ht="15.75" customHeight="1" x14ac:dyDescent="0.3">
      <c r="A61" s="17" t="s">
        <v>2050</v>
      </c>
      <c r="B61" s="17" t="s">
        <v>2051</v>
      </c>
      <c r="C61" s="17" t="s">
        <v>2052</v>
      </c>
      <c r="D61" s="17" t="s">
        <v>2029</v>
      </c>
    </row>
    <row r="62" spans="1:4" ht="15.75" customHeight="1" x14ac:dyDescent="0.3">
      <c r="A62" s="17" t="s">
        <v>2053</v>
      </c>
      <c r="B62" s="17" t="s">
        <v>2054</v>
      </c>
      <c r="C62" s="17" t="s">
        <v>2052</v>
      </c>
      <c r="D62" s="17" t="s">
        <v>2029</v>
      </c>
    </row>
    <row r="63" spans="1:4" ht="15.75" customHeight="1" x14ac:dyDescent="0.3">
      <c r="A63" s="17" t="s">
        <v>1323</v>
      </c>
      <c r="B63" s="17" t="s">
        <v>2055</v>
      </c>
      <c r="C63" s="17" t="s">
        <v>2023</v>
      </c>
      <c r="D63" s="17" t="s">
        <v>2056</v>
      </c>
    </row>
    <row r="64" spans="1:4" ht="15.75" customHeight="1" x14ac:dyDescent="0.3">
      <c r="A64" s="17" t="s">
        <v>1325</v>
      </c>
      <c r="B64" s="17" t="s">
        <v>2057</v>
      </c>
      <c r="C64" s="17" t="s">
        <v>2023</v>
      </c>
      <c r="D64" s="17" t="s">
        <v>2056</v>
      </c>
    </row>
    <row r="65" spans="1:4" ht="15.75" customHeight="1" x14ac:dyDescent="0.3">
      <c r="A65" s="17" t="s">
        <v>1455</v>
      </c>
      <c r="B65" s="17" t="s">
        <v>2058</v>
      </c>
      <c r="C65" s="17" t="s">
        <v>2023</v>
      </c>
      <c r="D65" s="17" t="s">
        <v>2056</v>
      </c>
    </row>
    <row r="66" spans="1:4" ht="15.75" customHeight="1" x14ac:dyDescent="0.3">
      <c r="A66" s="17" t="s">
        <v>1350</v>
      </c>
      <c r="B66" s="17" t="s">
        <v>2059</v>
      </c>
      <c r="C66" s="17" t="s">
        <v>2052</v>
      </c>
      <c r="D66" s="17" t="s">
        <v>2056</v>
      </c>
    </row>
    <row r="67" spans="1:4" ht="15.75" customHeight="1" x14ac:dyDescent="0.3">
      <c r="A67" s="17" t="s">
        <v>1351</v>
      </c>
      <c r="B67" s="17" t="s">
        <v>2060</v>
      </c>
      <c r="C67" s="17" t="s">
        <v>2052</v>
      </c>
      <c r="D67" s="17" t="s">
        <v>2056</v>
      </c>
    </row>
    <row r="68" spans="1:4" ht="15.75" customHeight="1" x14ac:dyDescent="0.3">
      <c r="A68" s="17" t="s">
        <v>2061</v>
      </c>
      <c r="B68" s="17" t="s">
        <v>2062</v>
      </c>
      <c r="C68" s="17" t="s">
        <v>2052</v>
      </c>
      <c r="D68" s="17" t="s">
        <v>2056</v>
      </c>
    </row>
    <row r="69" spans="1:4" ht="15.75" customHeight="1" x14ac:dyDescent="0.3">
      <c r="A69" s="17" t="s">
        <v>1324</v>
      </c>
      <c r="B69" s="17" t="s">
        <v>2063</v>
      </c>
      <c r="C69" s="17" t="s">
        <v>2023</v>
      </c>
      <c r="D69" s="17" t="s">
        <v>2056</v>
      </c>
    </row>
    <row r="70" spans="1:4" ht="15.75" customHeight="1" x14ac:dyDescent="0.3">
      <c r="A70" s="17" t="s">
        <v>1326</v>
      </c>
      <c r="B70" s="17" t="s">
        <v>2064</v>
      </c>
      <c r="C70" s="17" t="s">
        <v>2065</v>
      </c>
      <c r="D70" s="17" t="s">
        <v>2056</v>
      </c>
    </row>
    <row r="71" spans="1:4" ht="15.75" customHeight="1" x14ac:dyDescent="0.3">
      <c r="A71" s="17" t="s">
        <v>1327</v>
      </c>
      <c r="B71" s="17" t="s">
        <v>2066</v>
      </c>
      <c r="C71" s="17" t="s">
        <v>2065</v>
      </c>
      <c r="D71" s="17" t="s">
        <v>2056</v>
      </c>
    </row>
    <row r="72" spans="1:4" ht="15.75" customHeight="1" x14ac:dyDescent="0.3">
      <c r="A72" s="17" t="s">
        <v>1439</v>
      </c>
      <c r="B72" s="17" t="s">
        <v>2067</v>
      </c>
      <c r="C72" s="17" t="s">
        <v>2023</v>
      </c>
      <c r="D72" s="17" t="s">
        <v>2056</v>
      </c>
    </row>
    <row r="73" spans="1:4" ht="15.75" customHeight="1" x14ac:dyDescent="0.3">
      <c r="A73" s="17" t="s">
        <v>1440</v>
      </c>
      <c r="B73" s="17" t="s">
        <v>2068</v>
      </c>
      <c r="C73" s="17" t="s">
        <v>2023</v>
      </c>
      <c r="D73" s="17" t="s">
        <v>2056</v>
      </c>
    </row>
    <row r="74" spans="1:4" ht="15.75" customHeight="1" x14ac:dyDescent="0.3">
      <c r="A74" s="17" t="s">
        <v>1441</v>
      </c>
      <c r="B74" s="17" t="s">
        <v>2069</v>
      </c>
      <c r="C74" s="17" t="s">
        <v>2023</v>
      </c>
      <c r="D74" s="17" t="s">
        <v>2056</v>
      </c>
    </row>
    <row r="75" spans="1:4" ht="15.75" customHeight="1" x14ac:dyDescent="0.3">
      <c r="A75" s="17" t="s">
        <v>1442</v>
      </c>
      <c r="B75" s="17" t="s">
        <v>2070</v>
      </c>
      <c r="C75" s="17" t="s">
        <v>2023</v>
      </c>
      <c r="D75" s="17" t="s">
        <v>2056</v>
      </c>
    </row>
    <row r="76" spans="1:4" ht="15.75" customHeight="1" x14ac:dyDescent="0.3">
      <c r="A76" s="17" t="s">
        <v>1443</v>
      </c>
      <c r="B76" s="17" t="s">
        <v>2071</v>
      </c>
      <c r="C76" s="17" t="s">
        <v>2023</v>
      </c>
      <c r="D76" s="17" t="s">
        <v>2056</v>
      </c>
    </row>
    <row r="77" spans="1:4" ht="15.75" customHeight="1" x14ac:dyDescent="0.3">
      <c r="A77" s="17" t="s">
        <v>1444</v>
      </c>
      <c r="B77" s="17" t="s">
        <v>2072</v>
      </c>
      <c r="C77" s="17" t="s">
        <v>2023</v>
      </c>
      <c r="D77" s="17" t="s">
        <v>2056</v>
      </c>
    </row>
    <row r="78" spans="1:4" ht="15.75" customHeight="1" x14ac:dyDescent="0.3">
      <c r="A78" s="17" t="s">
        <v>1445</v>
      </c>
      <c r="B78" s="17" t="s">
        <v>2073</v>
      </c>
      <c r="C78" s="17" t="s">
        <v>2045</v>
      </c>
      <c r="D78" s="17" t="s">
        <v>2074</v>
      </c>
    </row>
    <row r="79" spans="1:4" ht="15.75" customHeight="1" x14ac:dyDescent="0.3">
      <c r="A79" s="17" t="s">
        <v>1446</v>
      </c>
      <c r="B79" s="17" t="s">
        <v>2075</v>
      </c>
      <c r="C79" s="17" t="s">
        <v>2045</v>
      </c>
      <c r="D79" s="17" t="s">
        <v>2074</v>
      </c>
    </row>
    <row r="80" spans="1:4" ht="15.75" customHeight="1" x14ac:dyDescent="0.3">
      <c r="A80" s="17" t="s">
        <v>1447</v>
      </c>
      <c r="B80" s="17" t="s">
        <v>2076</v>
      </c>
      <c r="C80" s="17" t="s">
        <v>2045</v>
      </c>
      <c r="D80" s="17" t="s">
        <v>2074</v>
      </c>
    </row>
    <row r="81" spans="1:4" ht="15.75" customHeight="1" x14ac:dyDescent="0.3">
      <c r="A81" s="17" t="s">
        <v>1448</v>
      </c>
      <c r="B81" s="17" t="s">
        <v>2077</v>
      </c>
      <c r="C81" s="17" t="s">
        <v>2045</v>
      </c>
      <c r="D81" s="17" t="s">
        <v>2074</v>
      </c>
    </row>
    <row r="82" spans="1:4" ht="15.75" customHeight="1" x14ac:dyDescent="0.3">
      <c r="A82" s="17" t="s">
        <v>1449</v>
      </c>
      <c r="B82" s="17" t="s">
        <v>2078</v>
      </c>
      <c r="C82" s="17" t="s">
        <v>2045</v>
      </c>
      <c r="D82" s="17" t="s">
        <v>2074</v>
      </c>
    </row>
    <row r="83" spans="1:4" ht="15.75" customHeight="1" x14ac:dyDescent="0.3">
      <c r="A83" s="17" t="s">
        <v>1329</v>
      </c>
      <c r="B83" s="17" t="s">
        <v>2079</v>
      </c>
      <c r="C83" s="17" t="s">
        <v>2045</v>
      </c>
      <c r="D83" s="17" t="s">
        <v>2074</v>
      </c>
    </row>
    <row r="84" spans="1:4" ht="15.75" customHeight="1" x14ac:dyDescent="0.3">
      <c r="A84" s="17" t="s">
        <v>1450</v>
      </c>
      <c r="B84" s="17" t="s">
        <v>2080</v>
      </c>
      <c r="C84" s="17" t="s">
        <v>2081</v>
      </c>
      <c r="D84" s="17" t="s">
        <v>2074</v>
      </c>
    </row>
    <row r="85" spans="1:4" ht="15.75" customHeight="1" x14ac:dyDescent="0.3">
      <c r="A85" s="17" t="s">
        <v>1451</v>
      </c>
      <c r="B85" s="17" t="s">
        <v>2082</v>
      </c>
      <c r="C85" s="17" t="s">
        <v>2081</v>
      </c>
      <c r="D85" s="17" t="s">
        <v>2074</v>
      </c>
    </row>
    <row r="86" spans="1:4" ht="15.75" customHeight="1" x14ac:dyDescent="0.3">
      <c r="A86" s="17" t="s">
        <v>1452</v>
      </c>
      <c r="B86" s="17" t="s">
        <v>2083</v>
      </c>
      <c r="C86" s="17" t="s">
        <v>2081</v>
      </c>
      <c r="D86" s="17" t="s">
        <v>2074</v>
      </c>
    </row>
    <row r="87" spans="1:4" ht="15.75" customHeight="1" x14ac:dyDescent="0.3">
      <c r="A87" s="17" t="s">
        <v>1453</v>
      </c>
      <c r="B87" s="17" t="s">
        <v>2084</v>
      </c>
      <c r="C87" s="17" t="s">
        <v>2081</v>
      </c>
      <c r="D87" s="17" t="s">
        <v>2074</v>
      </c>
    </row>
    <row r="88" spans="1:4" ht="15.75" customHeight="1" x14ac:dyDescent="0.3">
      <c r="A88" s="17" t="s">
        <v>1454</v>
      </c>
      <c r="B88" s="17" t="s">
        <v>2085</v>
      </c>
      <c r="C88" s="17" t="s">
        <v>2081</v>
      </c>
      <c r="D88" s="17" t="s">
        <v>2074</v>
      </c>
    </row>
    <row r="89" spans="1:4" ht="15.75" customHeight="1" x14ac:dyDescent="0.3">
      <c r="A89" s="17" t="s">
        <v>2086</v>
      </c>
      <c r="B89" s="17" t="s">
        <v>2087</v>
      </c>
      <c r="C89" s="17" t="s">
        <v>2045</v>
      </c>
      <c r="D89" s="17" t="s">
        <v>2074</v>
      </c>
    </row>
    <row r="90" spans="1:4" ht="15.75" customHeight="1" x14ac:dyDescent="0.3">
      <c r="A90" s="17" t="s">
        <v>2088</v>
      </c>
      <c r="B90" s="17" t="s">
        <v>2089</v>
      </c>
      <c r="C90" s="17"/>
      <c r="D90" s="17" t="s">
        <v>2074</v>
      </c>
    </row>
    <row r="91" spans="1:4" ht="15.75" customHeight="1" x14ac:dyDescent="0.3">
      <c r="A91" s="17" t="s">
        <v>1330</v>
      </c>
      <c r="B91" s="17" t="s">
        <v>2090</v>
      </c>
      <c r="C91" s="17" t="s">
        <v>63</v>
      </c>
      <c r="D91" s="17" t="s">
        <v>2091</v>
      </c>
    </row>
    <row r="92" spans="1:4" ht="15.75" customHeight="1" x14ac:dyDescent="0.3">
      <c r="A92" s="17" t="s">
        <v>1331</v>
      </c>
      <c r="B92" s="17" t="s">
        <v>2092</v>
      </c>
      <c r="C92" s="17" t="s">
        <v>63</v>
      </c>
      <c r="D92" s="17" t="s">
        <v>2091</v>
      </c>
    </row>
    <row r="93" spans="1:4" ht="15.75" customHeight="1" x14ac:dyDescent="0.3">
      <c r="A93" s="17" t="s">
        <v>1332</v>
      </c>
      <c r="B93" s="17" t="s">
        <v>2093</v>
      </c>
      <c r="C93" s="17" t="s">
        <v>63</v>
      </c>
      <c r="D93" s="17" t="s">
        <v>2091</v>
      </c>
    </row>
    <row r="94" spans="1:4" ht="15.75" customHeight="1" x14ac:dyDescent="0.3">
      <c r="A94" s="17" t="s">
        <v>1333</v>
      </c>
      <c r="B94" s="17" t="s">
        <v>2094</v>
      </c>
      <c r="C94" s="17" t="s">
        <v>63</v>
      </c>
      <c r="D94" s="17" t="s">
        <v>2091</v>
      </c>
    </row>
    <row r="95" spans="1:4" ht="15.75" customHeight="1" x14ac:dyDescent="0.3">
      <c r="A95" s="17" t="s">
        <v>1334</v>
      </c>
      <c r="B95" s="17" t="s">
        <v>2095</v>
      </c>
      <c r="C95" s="17" t="s">
        <v>63</v>
      </c>
      <c r="D95" s="17" t="s">
        <v>2091</v>
      </c>
    </row>
    <row r="96" spans="1:4" ht="15.75" customHeight="1" x14ac:dyDescent="0.3">
      <c r="A96" s="17" t="s">
        <v>1335</v>
      </c>
      <c r="B96" s="17" t="s">
        <v>2096</v>
      </c>
      <c r="C96" s="17" t="s">
        <v>63</v>
      </c>
      <c r="D96" s="17" t="s">
        <v>2097</v>
      </c>
    </row>
    <row r="97" spans="1:4" ht="15.75" customHeight="1" x14ac:dyDescent="0.3">
      <c r="A97" s="17" t="s">
        <v>1338</v>
      </c>
      <c r="B97" s="17" t="s">
        <v>2098</v>
      </c>
      <c r="C97" s="17" t="s">
        <v>63</v>
      </c>
      <c r="D97" s="17" t="s">
        <v>2097</v>
      </c>
    </row>
    <row r="98" spans="1:4" ht="15.75" customHeight="1" x14ac:dyDescent="0.3">
      <c r="A98" s="17" t="s">
        <v>1339</v>
      </c>
      <c r="B98" s="17" t="s">
        <v>2099</v>
      </c>
      <c r="C98" s="17" t="s">
        <v>63</v>
      </c>
      <c r="D98" s="17" t="s">
        <v>2097</v>
      </c>
    </row>
    <row r="99" spans="1:4" ht="15.75" customHeight="1" x14ac:dyDescent="0.3">
      <c r="A99" s="17" t="s">
        <v>1340</v>
      </c>
      <c r="B99" s="17" t="s">
        <v>2100</v>
      </c>
      <c r="C99" s="17" t="s">
        <v>63</v>
      </c>
      <c r="D99" s="17" t="s">
        <v>2097</v>
      </c>
    </row>
    <row r="100" spans="1:4" ht="15.75" customHeight="1" x14ac:dyDescent="0.3">
      <c r="A100" s="17" t="s">
        <v>1341</v>
      </c>
      <c r="B100" s="17" t="s">
        <v>2101</v>
      </c>
      <c r="C100" s="17" t="s">
        <v>63</v>
      </c>
      <c r="D100" s="17" t="s">
        <v>2097</v>
      </c>
    </row>
    <row r="101" spans="1:4" ht="15.75" customHeight="1" x14ac:dyDescent="0.3">
      <c r="A101" s="17" t="s">
        <v>1342</v>
      </c>
      <c r="B101" s="17" t="s">
        <v>2102</v>
      </c>
      <c r="C101" s="17" t="s">
        <v>63</v>
      </c>
      <c r="D101" s="17" t="s">
        <v>2097</v>
      </c>
    </row>
    <row r="102" spans="1:4" ht="15.75" customHeight="1" x14ac:dyDescent="0.3">
      <c r="A102" s="17" t="s">
        <v>1343</v>
      </c>
      <c r="B102" s="17" t="s">
        <v>2103</v>
      </c>
      <c r="C102" s="17" t="s">
        <v>63</v>
      </c>
      <c r="D102" s="17" t="s">
        <v>2097</v>
      </c>
    </row>
    <row r="103" spans="1:4" ht="15.75" customHeight="1" x14ac:dyDescent="0.3">
      <c r="A103" s="17" t="s">
        <v>1344</v>
      </c>
      <c r="B103" s="17" t="s">
        <v>2104</v>
      </c>
      <c r="C103" s="17" t="s">
        <v>63</v>
      </c>
      <c r="D103" s="17" t="s">
        <v>2097</v>
      </c>
    </row>
    <row r="104" spans="1:4" ht="15.75" customHeight="1" x14ac:dyDescent="0.3">
      <c r="A104" s="17" t="s">
        <v>1345</v>
      </c>
      <c r="B104" s="17" t="s">
        <v>2105</v>
      </c>
      <c r="C104" s="17" t="s">
        <v>63</v>
      </c>
      <c r="D104" s="17" t="s">
        <v>2097</v>
      </c>
    </row>
    <row r="105" spans="1:4" ht="15.75" customHeight="1" x14ac:dyDescent="0.3">
      <c r="A105" s="17" t="s">
        <v>1346</v>
      </c>
      <c r="B105" s="17" t="s">
        <v>2106</v>
      </c>
      <c r="C105" s="17" t="s">
        <v>63</v>
      </c>
      <c r="D105" s="17" t="s">
        <v>2097</v>
      </c>
    </row>
    <row r="106" spans="1:4" ht="15.75" customHeight="1" x14ac:dyDescent="0.3">
      <c r="A106" s="17" t="s">
        <v>1347</v>
      </c>
      <c r="B106" s="17" t="s">
        <v>2107</v>
      </c>
      <c r="C106" s="17" t="s">
        <v>63</v>
      </c>
      <c r="D106" s="17" t="s">
        <v>2097</v>
      </c>
    </row>
    <row r="107" spans="1:4" ht="15.75" customHeight="1" x14ac:dyDescent="0.3">
      <c r="A107" s="17" t="s">
        <v>1348</v>
      </c>
      <c r="B107" s="17" t="s">
        <v>2108</v>
      </c>
      <c r="C107" s="17" t="s">
        <v>63</v>
      </c>
      <c r="D107" s="17" t="s">
        <v>2097</v>
      </c>
    </row>
    <row r="108" spans="1:4" ht="15.75" customHeight="1" x14ac:dyDescent="0.3">
      <c r="A108" s="17" t="s">
        <v>1349</v>
      </c>
      <c r="B108" s="17" t="s">
        <v>2109</v>
      </c>
      <c r="C108" s="17" t="s">
        <v>63</v>
      </c>
      <c r="D108" s="17" t="s">
        <v>2097</v>
      </c>
    </row>
    <row r="109" spans="1:4" ht="15.75" customHeight="1" x14ac:dyDescent="0.3">
      <c r="A109" s="17" t="s">
        <v>1917</v>
      </c>
      <c r="B109" s="17" t="s">
        <v>1918</v>
      </c>
      <c r="C109" s="17" t="s">
        <v>63</v>
      </c>
      <c r="D109" s="17" t="s">
        <v>2110</v>
      </c>
    </row>
    <row r="110" spans="1:4" ht="15.75" customHeight="1" x14ac:dyDescent="0.3">
      <c r="A110" s="17" t="s">
        <v>1920</v>
      </c>
      <c r="B110" s="17" t="s">
        <v>1921</v>
      </c>
      <c r="C110" s="17" t="s">
        <v>63</v>
      </c>
      <c r="D110" s="17" t="s">
        <v>2110</v>
      </c>
    </row>
    <row r="111" spans="1:4" ht="15.75" customHeight="1" x14ac:dyDescent="0.3">
      <c r="A111" s="17" t="s">
        <v>1922</v>
      </c>
      <c r="B111" s="17" t="s">
        <v>1923</v>
      </c>
      <c r="C111" s="17" t="s">
        <v>63</v>
      </c>
      <c r="D111" s="17" t="s">
        <v>2110</v>
      </c>
    </row>
    <row r="112" spans="1:4" ht="15.75" customHeight="1" x14ac:dyDescent="0.3">
      <c r="A112" s="17" t="s">
        <v>1924</v>
      </c>
      <c r="B112" s="17" t="s">
        <v>1925</v>
      </c>
      <c r="C112" s="17" t="s">
        <v>63</v>
      </c>
      <c r="D112" s="17" t="s">
        <v>2110</v>
      </c>
    </row>
    <row r="113" spans="1:4" ht="15.75" customHeight="1" x14ac:dyDescent="0.3">
      <c r="A113" s="17" t="s">
        <v>1926</v>
      </c>
      <c r="B113" s="17" t="s">
        <v>1927</v>
      </c>
      <c r="C113" s="17" t="s">
        <v>67</v>
      </c>
      <c r="D113" s="17" t="s">
        <v>2110</v>
      </c>
    </row>
    <row r="114" spans="1:4" ht="15.75" customHeight="1" x14ac:dyDescent="0.3">
      <c r="A114" s="17" t="s">
        <v>1929</v>
      </c>
      <c r="B114" s="17" t="s">
        <v>1930</v>
      </c>
      <c r="C114" s="17" t="s">
        <v>63</v>
      </c>
      <c r="D114" s="17" t="s">
        <v>2110</v>
      </c>
    </row>
    <row r="115" spans="1:4" ht="15.75" customHeight="1" x14ac:dyDescent="0.3">
      <c r="A115" s="17" t="s">
        <v>1937</v>
      </c>
      <c r="B115" s="17" t="s">
        <v>1938</v>
      </c>
      <c r="C115" s="17" t="s">
        <v>63</v>
      </c>
      <c r="D115" s="17" t="s">
        <v>2110</v>
      </c>
    </row>
    <row r="116" spans="1:4" ht="15.75" customHeight="1" x14ac:dyDescent="0.3">
      <c r="A116" s="17" t="s">
        <v>2111</v>
      </c>
      <c r="B116" s="17" t="s">
        <v>2112</v>
      </c>
      <c r="C116" s="17" t="s">
        <v>63</v>
      </c>
      <c r="D116" s="17" t="s">
        <v>2110</v>
      </c>
    </row>
    <row r="117" spans="1:4" ht="15.75" customHeight="1" x14ac:dyDescent="0.3">
      <c r="A117" s="17" t="s">
        <v>1931</v>
      </c>
      <c r="B117" s="17" t="s">
        <v>1932</v>
      </c>
      <c r="C117" s="17" t="s">
        <v>63</v>
      </c>
      <c r="D117" s="17" t="s">
        <v>2110</v>
      </c>
    </row>
    <row r="118" spans="1:4" ht="15.75" customHeight="1" x14ac:dyDescent="0.3">
      <c r="A118" s="17" t="s">
        <v>1933</v>
      </c>
      <c r="B118" s="17" t="s">
        <v>1934</v>
      </c>
      <c r="C118" s="17" t="s">
        <v>63</v>
      </c>
      <c r="D118" s="17" t="s">
        <v>2110</v>
      </c>
    </row>
    <row r="119" spans="1:4" ht="15.75" customHeight="1" x14ac:dyDescent="0.3">
      <c r="A119" s="17" t="s">
        <v>1935</v>
      </c>
      <c r="B119" s="17" t="s">
        <v>1936</v>
      </c>
      <c r="C119" s="17" t="s">
        <v>63</v>
      </c>
      <c r="D119" s="17" t="s">
        <v>2110</v>
      </c>
    </row>
    <row r="120" spans="1:4" ht="15.75" customHeight="1" x14ac:dyDescent="0.3">
      <c r="A120" s="17" t="s">
        <v>1944</v>
      </c>
      <c r="B120" s="17" t="s">
        <v>1945</v>
      </c>
      <c r="C120" s="17" t="s">
        <v>1404</v>
      </c>
      <c r="D120" s="17" t="s">
        <v>2110</v>
      </c>
    </row>
    <row r="121" spans="1:4" ht="15.75" customHeight="1" x14ac:dyDescent="0.3">
      <c r="A121" s="17" t="s">
        <v>1946</v>
      </c>
      <c r="B121" s="17" t="s">
        <v>1947</v>
      </c>
      <c r="C121" s="17" t="s">
        <v>1404</v>
      </c>
      <c r="D121" s="17" t="s">
        <v>2110</v>
      </c>
    </row>
    <row r="122" spans="1:4" ht="15.75" customHeight="1" x14ac:dyDescent="0.3">
      <c r="A122" s="17" t="s">
        <v>2113</v>
      </c>
      <c r="B122" s="17" t="s">
        <v>2114</v>
      </c>
      <c r="C122" s="17" t="s">
        <v>2052</v>
      </c>
      <c r="D122" s="17" t="s">
        <v>2110</v>
      </c>
    </row>
    <row r="123" spans="1:4" ht="15.75" customHeight="1" x14ac:dyDescent="0.3">
      <c r="A123" s="17" t="s">
        <v>2115</v>
      </c>
      <c r="B123" s="17" t="s">
        <v>2114</v>
      </c>
      <c r="C123" s="17" t="s">
        <v>2052</v>
      </c>
      <c r="D123" s="17" t="s">
        <v>2110</v>
      </c>
    </row>
    <row r="124" spans="1:4" ht="15.75" customHeight="1" x14ac:dyDescent="0.3">
      <c r="A124" s="17" t="s">
        <v>2116</v>
      </c>
      <c r="B124" s="17" t="s">
        <v>2117</v>
      </c>
      <c r="C124" s="17" t="s">
        <v>63</v>
      </c>
      <c r="D124" s="17" t="s">
        <v>2118</v>
      </c>
    </row>
    <row r="125" spans="1:4" ht="15.75" customHeight="1" x14ac:dyDescent="0.3">
      <c r="A125" s="17" t="s">
        <v>2119</v>
      </c>
      <c r="B125" s="17" t="s">
        <v>1736</v>
      </c>
      <c r="C125" s="17" t="s">
        <v>67</v>
      </c>
      <c r="D125" s="17" t="s">
        <v>2118</v>
      </c>
    </row>
    <row r="126" spans="1:4" ht="15.75" customHeight="1" x14ac:dyDescent="0.3">
      <c r="A126" s="17" t="s">
        <v>2120</v>
      </c>
      <c r="B126" s="17" t="s">
        <v>2121</v>
      </c>
      <c r="C126" s="17" t="s">
        <v>67</v>
      </c>
      <c r="D126" s="17" t="s">
        <v>2118</v>
      </c>
    </row>
    <row r="127" spans="1:4" ht="15.75" customHeight="1" x14ac:dyDescent="0.3">
      <c r="A127" s="17" t="s">
        <v>2122</v>
      </c>
      <c r="B127" s="17" t="s">
        <v>2117</v>
      </c>
      <c r="C127" s="17" t="s">
        <v>63</v>
      </c>
      <c r="D127" s="17" t="s">
        <v>2118</v>
      </c>
    </row>
    <row r="128" spans="1:4" ht="15.75" customHeight="1" x14ac:dyDescent="0.3">
      <c r="A128" s="17" t="s">
        <v>2123</v>
      </c>
      <c r="B128" s="17" t="s">
        <v>1736</v>
      </c>
      <c r="C128" s="17" t="s">
        <v>67</v>
      </c>
      <c r="D128" s="17" t="s">
        <v>2118</v>
      </c>
    </row>
    <row r="129" spans="1:4" ht="15.75" customHeight="1" x14ac:dyDescent="0.3">
      <c r="A129" s="17" t="s">
        <v>2124</v>
      </c>
      <c r="B129" s="17" t="s">
        <v>2121</v>
      </c>
      <c r="C129" s="17" t="s">
        <v>67</v>
      </c>
      <c r="D129" s="17" t="s">
        <v>2118</v>
      </c>
    </row>
    <row r="130" spans="1:4" ht="15.75" customHeight="1" x14ac:dyDescent="0.3">
      <c r="A130" s="17" t="s">
        <v>2125</v>
      </c>
      <c r="B130" s="17" t="s">
        <v>2117</v>
      </c>
      <c r="C130" s="17" t="s">
        <v>63</v>
      </c>
      <c r="D130" s="17" t="s">
        <v>2118</v>
      </c>
    </row>
    <row r="131" spans="1:4" ht="15.75" customHeight="1" x14ac:dyDescent="0.3">
      <c r="A131" s="17" t="s">
        <v>2126</v>
      </c>
      <c r="B131" s="17" t="s">
        <v>1736</v>
      </c>
      <c r="C131" s="17" t="s">
        <v>67</v>
      </c>
      <c r="D131" s="17" t="s">
        <v>2118</v>
      </c>
    </row>
    <row r="132" spans="1:4" ht="15.75" customHeight="1" x14ac:dyDescent="0.3">
      <c r="A132" s="17" t="s">
        <v>2127</v>
      </c>
      <c r="B132" s="17" t="s">
        <v>2121</v>
      </c>
      <c r="C132" s="17" t="s">
        <v>67</v>
      </c>
      <c r="D132" s="17" t="s">
        <v>2118</v>
      </c>
    </row>
    <row r="133" spans="1:4" ht="15.75" customHeight="1" x14ac:dyDescent="0.3">
      <c r="A133" s="17" t="s">
        <v>2128</v>
      </c>
      <c r="B133" s="17" t="s">
        <v>2117</v>
      </c>
      <c r="C133" s="17" t="s">
        <v>63</v>
      </c>
      <c r="D133" s="17" t="s">
        <v>2118</v>
      </c>
    </row>
    <row r="134" spans="1:4" ht="15.75" customHeight="1" x14ac:dyDescent="0.3">
      <c r="A134" s="17" t="s">
        <v>2129</v>
      </c>
      <c r="B134" s="17" t="s">
        <v>1736</v>
      </c>
      <c r="C134" s="17" t="s">
        <v>67</v>
      </c>
      <c r="D134" s="17" t="s">
        <v>2118</v>
      </c>
    </row>
    <row r="135" spans="1:4" ht="15.75" customHeight="1" x14ac:dyDescent="0.3">
      <c r="A135" s="17" t="s">
        <v>2130</v>
      </c>
      <c r="B135" s="17" t="s">
        <v>2121</v>
      </c>
      <c r="C135" s="17" t="s">
        <v>67</v>
      </c>
      <c r="D135" s="17" t="s">
        <v>2118</v>
      </c>
    </row>
    <row r="136" spans="1:4" ht="15.75" customHeight="1" x14ac:dyDescent="0.3">
      <c r="A136" s="17" t="s">
        <v>2131</v>
      </c>
      <c r="B136" s="17" t="s">
        <v>2117</v>
      </c>
      <c r="C136" s="17" t="s">
        <v>63</v>
      </c>
      <c r="D136" s="17" t="s">
        <v>2118</v>
      </c>
    </row>
    <row r="137" spans="1:4" ht="15.75" customHeight="1" x14ac:dyDescent="0.3">
      <c r="A137" s="17" t="s">
        <v>2132</v>
      </c>
      <c r="B137" s="17" t="s">
        <v>1736</v>
      </c>
      <c r="C137" s="17" t="s">
        <v>67</v>
      </c>
      <c r="D137" s="17" t="s">
        <v>2118</v>
      </c>
    </row>
    <row r="138" spans="1:4" ht="15.75" customHeight="1" x14ac:dyDescent="0.3">
      <c r="A138" s="17" t="s">
        <v>2133</v>
      </c>
      <c r="B138" s="17" t="s">
        <v>2121</v>
      </c>
      <c r="C138" s="17" t="s">
        <v>67</v>
      </c>
      <c r="D138" s="17" t="s">
        <v>2118</v>
      </c>
    </row>
    <row r="139" spans="1:4" ht="15.75" customHeight="1" x14ac:dyDescent="0.3">
      <c r="A139" s="17" t="s">
        <v>2134</v>
      </c>
      <c r="B139" s="17" t="s">
        <v>2117</v>
      </c>
      <c r="C139" s="17" t="s">
        <v>63</v>
      </c>
      <c r="D139" s="17" t="s">
        <v>2118</v>
      </c>
    </row>
    <row r="140" spans="1:4" ht="15.75" customHeight="1" x14ac:dyDescent="0.3">
      <c r="A140" s="17" t="s">
        <v>2135</v>
      </c>
      <c r="B140" s="17" t="s">
        <v>1736</v>
      </c>
      <c r="C140" s="17" t="s">
        <v>67</v>
      </c>
      <c r="D140" s="17" t="s">
        <v>2118</v>
      </c>
    </row>
    <row r="141" spans="1:4" ht="15.75" customHeight="1" x14ac:dyDescent="0.3">
      <c r="A141" s="17" t="s">
        <v>2136</v>
      </c>
      <c r="B141" s="17" t="s">
        <v>2121</v>
      </c>
      <c r="C141" s="17" t="s">
        <v>67</v>
      </c>
      <c r="D141" s="17" t="s">
        <v>2118</v>
      </c>
    </row>
    <row r="142" spans="1:4" ht="15.75" customHeight="1" x14ac:dyDescent="0.3">
      <c r="A142" s="17" t="s">
        <v>2137</v>
      </c>
      <c r="B142" s="17" t="s">
        <v>2117</v>
      </c>
      <c r="C142" s="17" t="s">
        <v>63</v>
      </c>
      <c r="D142" s="17" t="s">
        <v>2118</v>
      </c>
    </row>
    <row r="143" spans="1:4" ht="15.75" customHeight="1" x14ac:dyDescent="0.3">
      <c r="A143" s="17" t="s">
        <v>2138</v>
      </c>
      <c r="B143" s="17" t="s">
        <v>1736</v>
      </c>
      <c r="C143" s="17" t="s">
        <v>67</v>
      </c>
      <c r="D143" s="17" t="s">
        <v>2118</v>
      </c>
    </row>
    <row r="144" spans="1:4" ht="15.75" customHeight="1" x14ac:dyDescent="0.3">
      <c r="A144" s="17" t="s">
        <v>2139</v>
      </c>
      <c r="B144" s="17" t="s">
        <v>2121</v>
      </c>
      <c r="C144" s="17" t="s">
        <v>67</v>
      </c>
      <c r="D144" s="17" t="s">
        <v>2118</v>
      </c>
    </row>
    <row r="145" spans="1:4" ht="15.75" customHeight="1" x14ac:dyDescent="0.3">
      <c r="A145" s="17" t="s">
        <v>2140</v>
      </c>
      <c r="B145" s="17" t="s">
        <v>2117</v>
      </c>
      <c r="C145" s="17" t="s">
        <v>63</v>
      </c>
      <c r="D145" s="17" t="s">
        <v>2118</v>
      </c>
    </row>
    <row r="146" spans="1:4" ht="15.75" customHeight="1" x14ac:dyDescent="0.3">
      <c r="A146" s="17" t="s">
        <v>2141</v>
      </c>
      <c r="B146" s="17" t="s">
        <v>1736</v>
      </c>
      <c r="C146" s="17" t="s">
        <v>67</v>
      </c>
      <c r="D146" s="17" t="s">
        <v>2118</v>
      </c>
    </row>
    <row r="147" spans="1:4" ht="15.75" customHeight="1" x14ac:dyDescent="0.3">
      <c r="A147" s="17" t="s">
        <v>2142</v>
      </c>
      <c r="B147" s="17" t="s">
        <v>2121</v>
      </c>
      <c r="C147" s="17" t="s">
        <v>67</v>
      </c>
      <c r="D147" s="17" t="s">
        <v>2118</v>
      </c>
    </row>
    <row r="148" spans="1:4" ht="15.75" customHeight="1" x14ac:dyDescent="0.3">
      <c r="A148" s="17" t="s">
        <v>2143</v>
      </c>
      <c r="B148" s="17" t="s">
        <v>2117</v>
      </c>
      <c r="C148" s="17" t="s">
        <v>63</v>
      </c>
      <c r="D148" s="17" t="s">
        <v>2118</v>
      </c>
    </row>
    <row r="149" spans="1:4" ht="15.75" customHeight="1" x14ac:dyDescent="0.3">
      <c r="A149" s="17" t="s">
        <v>2144</v>
      </c>
      <c r="B149" s="17" t="s">
        <v>1736</v>
      </c>
      <c r="C149" s="17" t="s">
        <v>67</v>
      </c>
      <c r="D149" s="17" t="s">
        <v>2118</v>
      </c>
    </row>
    <row r="150" spans="1:4" ht="15.75" customHeight="1" x14ac:dyDescent="0.3">
      <c r="A150" s="17" t="s">
        <v>2145</v>
      </c>
      <c r="B150" s="17" t="s">
        <v>2121</v>
      </c>
      <c r="C150" s="17" t="s">
        <v>67</v>
      </c>
      <c r="D150" s="17" t="s">
        <v>2118</v>
      </c>
    </row>
    <row r="151" spans="1:4" ht="15.75" customHeight="1" x14ac:dyDescent="0.3">
      <c r="A151" s="17" t="s">
        <v>2146</v>
      </c>
      <c r="B151" s="17" t="s">
        <v>2117</v>
      </c>
      <c r="C151" s="17" t="s">
        <v>63</v>
      </c>
      <c r="D151" s="17" t="s">
        <v>2118</v>
      </c>
    </row>
    <row r="152" spans="1:4" ht="15.75" customHeight="1" x14ac:dyDescent="0.3">
      <c r="A152" s="17" t="s">
        <v>2147</v>
      </c>
      <c r="B152" s="17" t="s">
        <v>1736</v>
      </c>
      <c r="C152" s="17" t="s">
        <v>67</v>
      </c>
      <c r="D152" s="17" t="s">
        <v>2118</v>
      </c>
    </row>
    <row r="153" spans="1:4" ht="15.75" customHeight="1" x14ac:dyDescent="0.3">
      <c r="A153" s="17" t="s">
        <v>2148</v>
      </c>
      <c r="B153" s="17" t="s">
        <v>2121</v>
      </c>
      <c r="C153" s="17" t="s">
        <v>67</v>
      </c>
      <c r="D153" s="17" t="s">
        <v>2118</v>
      </c>
    </row>
    <row r="154" spans="1:4" ht="15.75" customHeight="1" x14ac:dyDescent="0.3">
      <c r="A154" s="17" t="s">
        <v>2149</v>
      </c>
      <c r="B154" s="17" t="s">
        <v>2117</v>
      </c>
      <c r="C154" s="17" t="s">
        <v>63</v>
      </c>
      <c r="D154" s="17" t="s">
        <v>2118</v>
      </c>
    </row>
    <row r="155" spans="1:4" ht="15.75" customHeight="1" x14ac:dyDescent="0.3">
      <c r="A155" s="17" t="s">
        <v>2150</v>
      </c>
      <c r="B155" s="17" t="s">
        <v>1736</v>
      </c>
      <c r="C155" s="17" t="s">
        <v>67</v>
      </c>
      <c r="D155" s="17" t="s">
        <v>2118</v>
      </c>
    </row>
    <row r="156" spans="1:4" ht="15.75" customHeight="1" x14ac:dyDescent="0.3">
      <c r="A156" s="17" t="s">
        <v>2151</v>
      </c>
      <c r="B156" s="17" t="s">
        <v>2121</v>
      </c>
      <c r="C156" s="17" t="s">
        <v>67</v>
      </c>
      <c r="D156" s="17" t="s">
        <v>2118</v>
      </c>
    </row>
    <row r="157" spans="1:4" ht="15.75" customHeight="1" x14ac:dyDescent="0.3">
      <c r="A157" s="17" t="s">
        <v>2152</v>
      </c>
      <c r="B157" s="17" t="s">
        <v>2117</v>
      </c>
      <c r="C157" s="17" t="s">
        <v>63</v>
      </c>
      <c r="D157" s="17" t="s">
        <v>2118</v>
      </c>
    </row>
    <row r="158" spans="1:4" ht="15.75" customHeight="1" x14ac:dyDescent="0.3">
      <c r="A158" s="17" t="s">
        <v>2153</v>
      </c>
      <c r="B158" s="17" t="s">
        <v>1736</v>
      </c>
      <c r="C158" s="17" t="s">
        <v>67</v>
      </c>
      <c r="D158" s="17" t="s">
        <v>2118</v>
      </c>
    </row>
    <row r="159" spans="1:4" ht="15.75" customHeight="1" x14ac:dyDescent="0.3">
      <c r="A159" s="17" t="s">
        <v>2154</v>
      </c>
      <c r="B159" s="17" t="s">
        <v>2121</v>
      </c>
      <c r="C159" s="17" t="s">
        <v>67</v>
      </c>
      <c r="D159" s="17" t="s">
        <v>2118</v>
      </c>
    </row>
    <row r="160" spans="1:4" ht="15.75" customHeight="1" x14ac:dyDescent="0.3">
      <c r="A160" s="17" t="s">
        <v>1877</v>
      </c>
      <c r="B160" s="17" t="s">
        <v>1878</v>
      </c>
      <c r="C160" s="17" t="s">
        <v>301</v>
      </c>
      <c r="D160" s="17" t="s">
        <v>2155</v>
      </c>
    </row>
    <row r="161" spans="1:4" ht="15.75" customHeight="1" x14ac:dyDescent="0.3">
      <c r="A161" s="17" t="s">
        <v>1879</v>
      </c>
      <c r="B161" s="17" t="s">
        <v>2156</v>
      </c>
      <c r="C161" s="17" t="s">
        <v>2045</v>
      </c>
      <c r="D161" s="17" t="s">
        <v>2155</v>
      </c>
    </row>
    <row r="162" spans="1:4" ht="15.75" customHeight="1" x14ac:dyDescent="0.3">
      <c r="A162" s="17" t="s">
        <v>1881</v>
      </c>
      <c r="B162" s="17" t="s">
        <v>1882</v>
      </c>
      <c r="C162" s="17" t="s">
        <v>1404</v>
      </c>
      <c r="D162" s="17" t="s">
        <v>2155</v>
      </c>
    </row>
    <row r="163" spans="1:4" ht="15.75" customHeight="1" x14ac:dyDescent="0.3">
      <c r="A163" s="17" t="s">
        <v>2157</v>
      </c>
      <c r="B163" s="17" t="s">
        <v>2060</v>
      </c>
      <c r="C163" s="17" t="s">
        <v>2052</v>
      </c>
      <c r="D163" s="17" t="s">
        <v>2155</v>
      </c>
    </row>
    <row r="164" spans="1:4" ht="15.75" customHeight="1" x14ac:dyDescent="0.3">
      <c r="A164" s="17" t="s">
        <v>1884</v>
      </c>
      <c r="B164" s="17" t="s">
        <v>2158</v>
      </c>
      <c r="C164" s="17" t="s">
        <v>2159</v>
      </c>
      <c r="D164" s="17" t="s">
        <v>2155</v>
      </c>
    </row>
    <row r="165" spans="1:4" ht="15.75" customHeight="1" x14ac:dyDescent="0.3">
      <c r="A165" s="17" t="s">
        <v>1887</v>
      </c>
      <c r="B165" s="17" t="s">
        <v>2160</v>
      </c>
      <c r="C165" s="17" t="s">
        <v>2159</v>
      </c>
      <c r="D165" s="17" t="s">
        <v>2155</v>
      </c>
    </row>
    <row r="166" spans="1:4" ht="15.75" customHeight="1" x14ac:dyDescent="0.3">
      <c r="A166" s="17" t="s">
        <v>1889</v>
      </c>
      <c r="B166" s="17" t="s">
        <v>2161</v>
      </c>
      <c r="C166" s="17" t="s">
        <v>2159</v>
      </c>
      <c r="D166" s="17" t="s">
        <v>2155</v>
      </c>
    </row>
    <row r="167" spans="1:4" ht="15.75" customHeight="1" x14ac:dyDescent="0.3">
      <c r="A167" s="17" t="s">
        <v>1891</v>
      </c>
      <c r="B167" s="17" t="s">
        <v>2162</v>
      </c>
      <c r="C167" s="17" t="s">
        <v>2023</v>
      </c>
      <c r="D167" s="17" t="s">
        <v>2155</v>
      </c>
    </row>
    <row r="168" spans="1:4" ht="15.75" customHeight="1" x14ac:dyDescent="0.3">
      <c r="A168" s="17" t="s">
        <v>1893</v>
      </c>
      <c r="B168" s="17" t="s">
        <v>2163</v>
      </c>
      <c r="C168" s="17" t="s">
        <v>2023</v>
      </c>
      <c r="D168" s="17" t="s">
        <v>2155</v>
      </c>
    </row>
    <row r="169" spans="1:4" ht="15.75" customHeight="1" x14ac:dyDescent="0.3">
      <c r="A169" s="17" t="s">
        <v>2164</v>
      </c>
      <c r="B169" s="17" t="s">
        <v>2158</v>
      </c>
      <c r="C169" s="17" t="s">
        <v>2159</v>
      </c>
      <c r="D169" s="17" t="s">
        <v>2155</v>
      </c>
    </row>
    <row r="170" spans="1:4" ht="15.75" customHeight="1" x14ac:dyDescent="0.3">
      <c r="A170" s="17" t="s">
        <v>1895</v>
      </c>
      <c r="B170" s="17" t="s">
        <v>2165</v>
      </c>
      <c r="C170" s="17" t="s">
        <v>2052</v>
      </c>
      <c r="D170" s="17" t="s">
        <v>2155</v>
      </c>
    </row>
    <row r="171" spans="1:4" ht="15.75" customHeight="1" x14ac:dyDescent="0.3">
      <c r="A171" s="17" t="s">
        <v>2166</v>
      </c>
      <c r="B171" s="17" t="s">
        <v>2167</v>
      </c>
      <c r="C171" s="17" t="s">
        <v>63</v>
      </c>
      <c r="D171" s="17" t="s">
        <v>2155</v>
      </c>
    </row>
    <row r="172" spans="1:4" ht="15.75" customHeight="1" x14ac:dyDescent="0.3">
      <c r="A172" s="17" t="s">
        <v>2168</v>
      </c>
      <c r="B172" s="17" t="s">
        <v>2169</v>
      </c>
      <c r="C172" s="17" t="s">
        <v>2170</v>
      </c>
      <c r="D172" s="17" t="s">
        <v>2171</v>
      </c>
    </row>
    <row r="173" spans="1:4" ht="15.75" customHeight="1" x14ac:dyDescent="0.3">
      <c r="A173" s="17" t="s">
        <v>1898</v>
      </c>
      <c r="B173" s="17" t="s">
        <v>1899</v>
      </c>
      <c r="C173" s="17" t="s">
        <v>67</v>
      </c>
      <c r="D173" s="17" t="s">
        <v>2171</v>
      </c>
    </row>
    <row r="174" spans="1:4" ht="15.75" customHeight="1" x14ac:dyDescent="0.3">
      <c r="A174" s="17" t="s">
        <v>1901</v>
      </c>
      <c r="B174" s="17" t="s">
        <v>1902</v>
      </c>
      <c r="C174" s="17" t="s">
        <v>67</v>
      </c>
      <c r="D174" s="17" t="s">
        <v>2171</v>
      </c>
    </row>
    <row r="175" spans="1:4" ht="15.75" customHeight="1" x14ac:dyDescent="0.3">
      <c r="A175" s="17" t="s">
        <v>1903</v>
      </c>
      <c r="B175" s="17" t="s">
        <v>1904</v>
      </c>
      <c r="C175" s="17" t="s">
        <v>67</v>
      </c>
      <c r="D175" s="17" t="s">
        <v>2171</v>
      </c>
    </row>
    <row r="176" spans="1:4" ht="15.75" customHeight="1" x14ac:dyDescent="0.3">
      <c r="A176" s="17" t="s">
        <v>1905</v>
      </c>
      <c r="B176" s="17" t="s">
        <v>1906</v>
      </c>
      <c r="C176" s="17" t="s">
        <v>63</v>
      </c>
      <c r="D176" s="17" t="s">
        <v>2171</v>
      </c>
    </row>
    <row r="177" spans="1:4" ht="15.75" customHeight="1" x14ac:dyDescent="0.3">
      <c r="A177" s="17" t="s">
        <v>1907</v>
      </c>
      <c r="B177" s="17" t="s">
        <v>1908</v>
      </c>
      <c r="C177" s="17" t="s">
        <v>63</v>
      </c>
      <c r="D177" s="17" t="s">
        <v>2171</v>
      </c>
    </row>
    <row r="178" spans="1:4" ht="15.75" customHeight="1" x14ac:dyDescent="0.3">
      <c r="A178" s="17" t="s">
        <v>1909</v>
      </c>
      <c r="B178" s="17" t="s">
        <v>1910</v>
      </c>
      <c r="C178" s="17" t="s">
        <v>63</v>
      </c>
      <c r="D178" s="17" t="s">
        <v>2171</v>
      </c>
    </row>
    <row r="179" spans="1:4" ht="15.75" customHeight="1" x14ac:dyDescent="0.3">
      <c r="A179" s="17" t="s">
        <v>1911</v>
      </c>
      <c r="B179" s="17" t="s">
        <v>1912</v>
      </c>
      <c r="C179" s="17" t="s">
        <v>63</v>
      </c>
      <c r="D179" s="17" t="s">
        <v>2171</v>
      </c>
    </row>
    <row r="180" spans="1:4" ht="15.75" customHeight="1" x14ac:dyDescent="0.3">
      <c r="A180" s="17" t="s">
        <v>1913</v>
      </c>
      <c r="B180" s="17" t="s">
        <v>1914</v>
      </c>
      <c r="C180" s="17" t="s">
        <v>63</v>
      </c>
      <c r="D180" s="17" t="s">
        <v>2171</v>
      </c>
    </row>
    <row r="181" spans="1:4" ht="15.75" customHeight="1" x14ac:dyDescent="0.3">
      <c r="A181" s="17" t="s">
        <v>1915</v>
      </c>
      <c r="B181" s="17" t="s">
        <v>1916</v>
      </c>
      <c r="C181" s="17" t="s">
        <v>67</v>
      </c>
      <c r="D181" s="17" t="s">
        <v>2171</v>
      </c>
    </row>
    <row r="182" spans="1:4" ht="15.75" customHeight="1" x14ac:dyDescent="0.3">
      <c r="A182" s="17" t="s">
        <v>2172</v>
      </c>
      <c r="B182" s="17" t="s">
        <v>2173</v>
      </c>
      <c r="C182" s="17"/>
      <c r="D182" s="17" t="s">
        <v>2171</v>
      </c>
    </row>
    <row r="183" spans="1:4" ht="15.75" customHeight="1" x14ac:dyDescent="0.3">
      <c r="A183" s="17" t="s">
        <v>2174</v>
      </c>
      <c r="B183" s="17" t="s">
        <v>2175</v>
      </c>
      <c r="C183" s="17"/>
      <c r="D183" s="17" t="s">
        <v>2171</v>
      </c>
    </row>
    <row r="184" spans="1:4" ht="15.75" customHeight="1" x14ac:dyDescent="0.3">
      <c r="A184" s="17" t="s">
        <v>1857</v>
      </c>
      <c r="B184" s="17" t="s">
        <v>1858</v>
      </c>
      <c r="C184" s="17" t="s">
        <v>300</v>
      </c>
      <c r="D184" s="17" t="s">
        <v>2176</v>
      </c>
    </row>
    <row r="185" spans="1:4" ht="15.75" customHeight="1" x14ac:dyDescent="0.3">
      <c r="A185" s="17" t="s">
        <v>1862</v>
      </c>
      <c r="B185" s="17" t="s">
        <v>1863</v>
      </c>
      <c r="C185" s="17" t="s">
        <v>300</v>
      </c>
      <c r="D185" s="17" t="s">
        <v>2176</v>
      </c>
    </row>
    <row r="186" spans="1:4" ht="15.75" customHeight="1" x14ac:dyDescent="0.3">
      <c r="A186" s="17" t="s">
        <v>1865</v>
      </c>
      <c r="B186" s="17" t="s">
        <v>1866</v>
      </c>
      <c r="C186" s="17" t="s">
        <v>300</v>
      </c>
      <c r="D186" s="17" t="s">
        <v>2176</v>
      </c>
    </row>
    <row r="187" spans="1:4" ht="15.75" customHeight="1" x14ac:dyDescent="0.3">
      <c r="A187" s="17" t="s">
        <v>2177</v>
      </c>
      <c r="B187" s="17" t="s">
        <v>1869</v>
      </c>
      <c r="C187" s="17" t="s">
        <v>301</v>
      </c>
      <c r="D187" s="17" t="s">
        <v>2176</v>
      </c>
    </row>
    <row r="188" spans="1:4" ht="15.75" customHeight="1" x14ac:dyDescent="0.3">
      <c r="A188" s="17" t="s">
        <v>1870</v>
      </c>
      <c r="B188" s="17" t="s">
        <v>1871</v>
      </c>
      <c r="C188" s="17" t="s">
        <v>301</v>
      </c>
      <c r="D188" s="17" t="s">
        <v>2176</v>
      </c>
    </row>
    <row r="189" spans="1:4" ht="15.75" customHeight="1" x14ac:dyDescent="0.3">
      <c r="A189" s="17" t="s">
        <v>1872</v>
      </c>
      <c r="B189" s="17" t="s">
        <v>1873</v>
      </c>
      <c r="C189" s="17" t="s">
        <v>301</v>
      </c>
      <c r="D189" s="17" t="s">
        <v>2176</v>
      </c>
    </row>
    <row r="190" spans="1:4" ht="15.75" customHeight="1" x14ac:dyDescent="0.3">
      <c r="A190" s="17" t="s">
        <v>2178</v>
      </c>
      <c r="B190" s="17" t="s">
        <v>1880</v>
      </c>
      <c r="C190" s="17" t="s">
        <v>301</v>
      </c>
      <c r="D190" s="17" t="s">
        <v>2176</v>
      </c>
    </row>
    <row r="191" spans="1:4" ht="15.75" customHeight="1" x14ac:dyDescent="0.3">
      <c r="A191" s="17" t="s">
        <v>2179</v>
      </c>
      <c r="B191" s="17" t="s">
        <v>1885</v>
      </c>
      <c r="C191" s="17" t="s">
        <v>1886</v>
      </c>
      <c r="D191" s="17" t="s">
        <v>2176</v>
      </c>
    </row>
    <row r="192" spans="1:4" ht="15.75" customHeight="1" x14ac:dyDescent="0.3">
      <c r="A192" s="17" t="s">
        <v>2180</v>
      </c>
      <c r="B192" s="17" t="s">
        <v>1888</v>
      </c>
      <c r="C192" s="17" t="s">
        <v>1886</v>
      </c>
      <c r="D192" s="17" t="s">
        <v>2176</v>
      </c>
    </row>
    <row r="193" spans="1:4" ht="15.75" customHeight="1" x14ac:dyDescent="0.3">
      <c r="A193" s="17" t="s">
        <v>2181</v>
      </c>
      <c r="B193" s="17" t="s">
        <v>1890</v>
      </c>
      <c r="C193" s="17" t="s">
        <v>1886</v>
      </c>
      <c r="D193" s="17" t="s">
        <v>2176</v>
      </c>
    </row>
    <row r="194" spans="1:4" ht="15.75" customHeight="1" x14ac:dyDescent="0.3">
      <c r="A194" s="17" t="s">
        <v>2182</v>
      </c>
      <c r="B194" s="17" t="s">
        <v>1892</v>
      </c>
      <c r="C194" s="17" t="s">
        <v>300</v>
      </c>
      <c r="D194" s="17" t="s">
        <v>2176</v>
      </c>
    </row>
    <row r="195" spans="1:4" ht="15.75" customHeight="1" x14ac:dyDescent="0.3">
      <c r="A195" s="17" t="s">
        <v>2183</v>
      </c>
      <c r="B195" s="17" t="s">
        <v>1894</v>
      </c>
      <c r="C195" s="17" t="s">
        <v>300</v>
      </c>
      <c r="D195" s="17" t="s">
        <v>2176</v>
      </c>
    </row>
    <row r="196" spans="1:4" ht="15.75" customHeight="1" x14ac:dyDescent="0.3">
      <c r="A196" s="17" t="s">
        <v>2184</v>
      </c>
      <c r="B196" s="17" t="s">
        <v>1896</v>
      </c>
      <c r="C196" s="17" t="s">
        <v>1404</v>
      </c>
      <c r="D196" s="17" t="s">
        <v>2176</v>
      </c>
    </row>
    <row r="197" spans="1:4" ht="15.75" customHeight="1" x14ac:dyDescent="0.3">
      <c r="A197" s="17" t="s">
        <v>1939</v>
      </c>
      <c r="B197" s="17" t="s">
        <v>1940</v>
      </c>
      <c r="C197" s="17" t="s">
        <v>63</v>
      </c>
      <c r="D197" s="17" t="s">
        <v>2176</v>
      </c>
    </row>
    <row r="198" spans="1:4" ht="15.75" customHeight="1" x14ac:dyDescent="0.3">
      <c r="A198" s="17" t="s">
        <v>1941</v>
      </c>
      <c r="B198" s="17" t="s">
        <v>1942</v>
      </c>
      <c r="C198" s="17" t="s">
        <v>63</v>
      </c>
      <c r="D198" s="17" t="s">
        <v>2176</v>
      </c>
    </row>
    <row r="199" spans="1:4" ht="15.75" customHeight="1" x14ac:dyDescent="0.3"/>
    <row r="200" spans="1:4" ht="15.75" customHeight="1" x14ac:dyDescent="0.3"/>
    <row r="201" spans="1:4" ht="15.75" customHeight="1" x14ac:dyDescent="0.3"/>
    <row r="202" spans="1:4" ht="15.75" customHeight="1" x14ac:dyDescent="0.3"/>
    <row r="203" spans="1:4" ht="15.75" customHeight="1" x14ac:dyDescent="0.3"/>
    <row r="204" spans="1:4" ht="15.75" customHeight="1" x14ac:dyDescent="0.3"/>
    <row r="205" spans="1:4" ht="15.75" customHeight="1" x14ac:dyDescent="0.3"/>
    <row r="206" spans="1:4" ht="15.75" customHeight="1" x14ac:dyDescent="0.3"/>
    <row r="207" spans="1:4" ht="15.75" customHeight="1" x14ac:dyDescent="0.3"/>
    <row r="208" spans="1:4"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sheetData>
  <printOptions horizontalCentered="1"/>
  <pageMargins left="0.75" right="0.75" top="1" bottom="1"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808080"/>
    <pageSetUpPr fitToPage="1"/>
  </sheetPr>
  <dimension ref="A1:F1001"/>
  <sheetViews>
    <sheetView showGridLines="0" tabSelected="1" workbookViewId="0">
      <pane ySplit="4" topLeftCell="A183" activePane="bottomLeft" state="frozen"/>
      <selection pane="bottomLeft" activeCell="C206" sqref="C206"/>
    </sheetView>
  </sheetViews>
  <sheetFormatPr defaultColWidth="14.44140625" defaultRowHeight="15" customHeight="1" x14ac:dyDescent="0.3"/>
  <cols>
    <col min="1" max="1" width="14" customWidth="1"/>
    <col min="2" max="2" width="66" customWidth="1"/>
    <col min="3" max="3" width="9" customWidth="1"/>
    <col min="4" max="4" width="14" customWidth="1"/>
    <col min="5" max="5" width="9" customWidth="1"/>
    <col min="6" max="6" width="28" customWidth="1"/>
    <col min="7" max="26" width="8.6640625" customWidth="1"/>
  </cols>
  <sheetData>
    <row r="1" spans="1:6" ht="19.8" customHeight="1" x14ac:dyDescent="0.4">
      <c r="A1" s="1" t="s">
        <v>2185</v>
      </c>
    </row>
    <row r="2" spans="1:6" ht="14.4" customHeight="1" x14ac:dyDescent="0.3">
      <c r="A2" s="2" t="s">
        <v>2186</v>
      </c>
    </row>
    <row r="4" spans="1:6" ht="14.4" customHeight="1" x14ac:dyDescent="0.3">
      <c r="A4" s="3" t="s">
        <v>1842</v>
      </c>
      <c r="B4" s="3" t="s">
        <v>1713</v>
      </c>
      <c r="C4" s="3" t="s">
        <v>43</v>
      </c>
      <c r="D4" s="3" t="s">
        <v>2187</v>
      </c>
      <c r="E4" s="3" t="s">
        <v>2188</v>
      </c>
      <c r="F4" s="3" t="s">
        <v>1843</v>
      </c>
    </row>
    <row r="5" spans="1:6" ht="14.4" customHeight="1" x14ac:dyDescent="0.3">
      <c r="A5" s="17"/>
      <c r="B5" s="17"/>
      <c r="C5" s="17"/>
      <c r="D5" s="32"/>
      <c r="E5" s="17"/>
      <c r="F5" s="17"/>
    </row>
    <row r="6" spans="1:6" ht="14.4" customHeight="1" x14ac:dyDescent="0.3">
      <c r="A6" s="17"/>
      <c r="B6" s="17"/>
      <c r="C6" s="17"/>
      <c r="D6" s="32"/>
      <c r="E6" s="17"/>
      <c r="F6" s="17"/>
    </row>
    <row r="7" spans="1:6" ht="14.4" customHeight="1" x14ac:dyDescent="0.3">
      <c r="A7" s="17"/>
      <c r="B7" s="17"/>
      <c r="C7" s="17"/>
      <c r="D7" s="32"/>
      <c r="E7" s="17"/>
      <c r="F7" s="17"/>
    </row>
    <row r="8" spans="1:6" ht="14.4" customHeight="1" x14ac:dyDescent="0.3">
      <c r="A8" s="17"/>
      <c r="B8" s="17"/>
      <c r="C8" s="17"/>
      <c r="D8" s="32"/>
      <c r="E8" s="17"/>
      <c r="F8" s="17"/>
    </row>
    <row r="9" spans="1:6" ht="14.4" customHeight="1" x14ac:dyDescent="0.3">
      <c r="A9" s="17" t="s">
        <v>1951</v>
      </c>
      <c r="B9" s="17" t="str">
        <f t="array" ref="B9">IFERROR(INDEX('07_Items'!$B$5:$B$198,MATCH($A9,'07_Items'!$A$5:$A$198,0)),"")</f>
        <v>Performance Bond</v>
      </c>
      <c r="C9" s="17" t="str">
        <f t="array" ref="C9">IFERROR(INDEX('07_Items'!$C$5:$C$198,MATCH($A9,'07_Items'!$A$5:$A$198,0)),"")</f>
        <v>sum</v>
      </c>
      <c r="D9" s="32"/>
      <c r="E9" s="17" t="s">
        <v>2189</v>
      </c>
      <c r="F9" s="17" t="s">
        <v>2190</v>
      </c>
    </row>
    <row r="10" spans="1:6" ht="14.4" customHeight="1" x14ac:dyDescent="0.3">
      <c r="A10" s="17" t="s">
        <v>1955</v>
      </c>
      <c r="B10" s="17" t="str">
        <f t="array" ref="B10">IFERROR(INDEX('07_Items'!$B$5:$B$198,MATCH($A10,'07_Items'!$A$5:$A$198,0)),"")</f>
        <v xml:space="preserve">Insurance of Works, Clause 21(a) </v>
      </c>
      <c r="C10" s="17" t="str">
        <f t="array" ref="C10">IFERROR(INDEX('07_Items'!$C$5:$C$198,MATCH($A10,'07_Items'!$A$5:$A$198,0)),"")</f>
        <v>sum</v>
      </c>
      <c r="D10" s="32"/>
      <c r="E10" s="17" t="s">
        <v>2189</v>
      </c>
      <c r="F10" s="17" t="s">
        <v>2190</v>
      </c>
    </row>
    <row r="11" spans="1:6" ht="14.4" customHeight="1" x14ac:dyDescent="0.3">
      <c r="A11" s="17" t="s">
        <v>1957</v>
      </c>
      <c r="B11" s="17" t="str">
        <f t="array" ref="B11">IFERROR(INDEX('07_Items'!$B$5:$B$198,MATCH($A11,'07_Items'!$A$5:$A$198,0)),"")</f>
        <v>Insurance of Constructional Plant, Clause 21(b)</v>
      </c>
      <c r="C11" s="17" t="str">
        <f t="array" ref="C11">IFERROR(INDEX('07_Items'!$C$5:$C$198,MATCH($A11,'07_Items'!$A$5:$A$198,0)),"")</f>
        <v>sum</v>
      </c>
      <c r="D11" s="32"/>
      <c r="E11" s="17" t="s">
        <v>2189</v>
      </c>
      <c r="F11" s="17" t="s">
        <v>2190</v>
      </c>
    </row>
    <row r="12" spans="1:6" ht="14.4" customHeight="1" x14ac:dyDescent="0.3">
      <c r="A12" s="17" t="s">
        <v>1959</v>
      </c>
      <c r="B12" s="17" t="str">
        <f t="array" ref="B12">IFERROR(INDEX('07_Items'!$B$5:$B$198,MATCH($A12,'07_Items'!$A$5:$A$198,0)),"")</f>
        <v>Third Party Insurance, Clause 23</v>
      </c>
      <c r="C12" s="17" t="str">
        <f t="array" ref="C12">IFERROR(INDEX('07_Items'!$C$5:$C$198,MATCH($A12,'07_Items'!$A$5:$A$198,0)),"")</f>
        <v>sum</v>
      </c>
      <c r="D12" s="32"/>
      <c r="E12" s="17" t="s">
        <v>2189</v>
      </c>
      <c r="F12" s="17" t="s">
        <v>2190</v>
      </c>
    </row>
    <row r="13" spans="1:6" ht="14.4" customHeight="1" x14ac:dyDescent="0.3">
      <c r="A13" s="17" t="s">
        <v>1961</v>
      </c>
      <c r="B13" s="17" t="str">
        <f t="array" ref="B13">IFERROR(INDEX('07_Items'!$B$5:$B$198,MATCH($A13,'07_Items'!$A$5:$A$198,0)),"")</f>
        <v>Insurance Against Accident to Workmen, Clause 24</v>
      </c>
      <c r="C13" s="17" t="str">
        <f t="array" ref="C13">IFERROR(INDEX('07_Items'!$C$5:$C$198,MATCH($A13,'07_Items'!$A$5:$A$198,0)),"")</f>
        <v>sum</v>
      </c>
      <c r="D13" s="32"/>
      <c r="E13" s="17" t="s">
        <v>2189</v>
      </c>
      <c r="F13" s="17" t="s">
        <v>2190</v>
      </c>
    </row>
    <row r="14" spans="1:6" ht="14.4" customHeight="1" x14ac:dyDescent="0.3">
      <c r="A14" s="17" t="s">
        <v>1963</v>
      </c>
      <c r="B14" s="17" t="str">
        <f t="array" ref="B14">IFERROR(INDEX('07_Items'!$B$5:$B$198,MATCH($A14,'07_Items'!$A$5:$A$198,0)),"")</f>
        <v>Maintain RE's permanent office accommodation.</v>
      </c>
      <c r="C14" s="17" t="str">
        <f t="array" ref="C14">IFERROR(INDEX('07_Items'!$C$5:$C$198,MATCH($A14,'07_Items'!$A$5:$A$198,0)),"")</f>
        <v>P.Sum</v>
      </c>
      <c r="D14" s="32"/>
      <c r="E14" s="17" t="s">
        <v>2189</v>
      </c>
      <c r="F14" s="17" t="s">
        <v>2190</v>
      </c>
    </row>
    <row r="15" spans="1:6" ht="14.4" customHeight="1" x14ac:dyDescent="0.3">
      <c r="A15" s="17" t="s">
        <v>1966</v>
      </c>
      <c r="B15" s="17" t="str">
        <f t="array" ref="B15">IFERROR(INDEX('07_Items'!$B$5:$B$198,MATCH($A15,'07_Items'!$A$5:$A$198,0)),"")</f>
        <v>Maintain and operate R. E.'s vehicle.</v>
      </c>
      <c r="C15" s="17" t="str">
        <f t="array" ref="C15">IFERROR(INDEX('07_Items'!$C$5:$C$198,MATCH($A15,'07_Items'!$A$5:$A$198,0)),"")</f>
        <v>veh.-mth</v>
      </c>
      <c r="D15" s="32"/>
      <c r="E15" s="17" t="s">
        <v>2189</v>
      </c>
      <c r="F15" s="17" t="s">
        <v>2190</v>
      </c>
    </row>
    <row r="16" spans="1:6" ht="14.4" customHeight="1" x14ac:dyDescent="0.3">
      <c r="A16" s="17" t="s">
        <v>1969</v>
      </c>
      <c r="B16" s="17" t="str">
        <f t="array" ref="B16">IFERROR(INDEX('07_Items'!$B$5:$B$198,MATCH($A16,'07_Items'!$A$5:$A$198,0)),"")</f>
        <v>Provide RE's office equipment as specified</v>
      </c>
      <c r="C16" s="17" t="str">
        <f t="array" ref="C16">IFERROR(INDEX('07_Items'!$C$5:$C$198,MATCH($A16,'07_Items'!$A$5:$A$198,0)),"")</f>
        <v>P.Sum</v>
      </c>
      <c r="D16" s="32"/>
      <c r="E16" s="17" t="s">
        <v>2189</v>
      </c>
      <c r="F16" s="17" t="s">
        <v>2190</v>
      </c>
    </row>
    <row r="17" spans="1:6" ht="14.4" customHeight="1" x14ac:dyDescent="0.3">
      <c r="A17" s="17" t="s">
        <v>1971</v>
      </c>
      <c r="B17" s="17" t="str">
        <f t="array" ref="B17">IFERROR(INDEX('07_Items'!$B$5:$B$198,MATCH($A17,'07_Items'!$A$5:$A$198,0)),"")</f>
        <v>Maintianing permanent living accommodation for</v>
      </c>
      <c r="C17" s="17">
        <f t="array" ref="C17">IFERROR(INDEX('07_Items'!$C$5:$C$198,MATCH($A17,'07_Items'!$A$5:$A$198,0)),"")</f>
        <v>0</v>
      </c>
      <c r="D17" s="32"/>
      <c r="E17" s="17" t="s">
        <v>2189</v>
      </c>
      <c r="F17" s="17" t="s">
        <v>2190</v>
      </c>
    </row>
    <row r="18" spans="1:6" ht="14.4" customHeight="1" x14ac:dyDescent="0.3">
      <c r="A18" s="17" t="s">
        <v>1973</v>
      </c>
      <c r="B18" s="17" t="str">
        <f t="array" ref="B18">IFERROR(INDEX('07_Items'!$B$5:$B$198,MATCH($A18,'07_Items'!$A$5:$A$198,0)),"")</f>
        <v>Provide for material site investigation</v>
      </c>
      <c r="C18" s="17" t="str">
        <f t="array" ref="C18">IFERROR(INDEX('07_Items'!$C$5:$C$198,MATCH($A18,'07_Items'!$A$5:$A$198,0)),"")</f>
        <v>sum</v>
      </c>
      <c r="D18" s="32"/>
      <c r="E18" s="17" t="s">
        <v>2189</v>
      </c>
      <c r="F18" s="17" t="s">
        <v>2190</v>
      </c>
    </row>
    <row r="19" spans="1:6" ht="14.4" customHeight="1" x14ac:dyDescent="0.3">
      <c r="A19" s="17" t="s">
        <v>1975</v>
      </c>
      <c r="B19" s="17" t="str">
        <f t="array" ref="B19">IFERROR(INDEX('07_Items'!$B$5:$B$198,MATCH($A19,'07_Items'!$A$5:$A$198,0)),"")</f>
        <v>Provide traffic diversion</v>
      </c>
      <c r="C19" s="17" t="str">
        <f t="array" ref="C19">IFERROR(INDEX('07_Items'!$C$5:$C$198,MATCH($A19,'07_Items'!$A$5:$A$198,0)),"")</f>
        <v>sum</v>
      </c>
      <c r="D19" s="32"/>
      <c r="E19" s="17" t="s">
        <v>2189</v>
      </c>
      <c r="F19" s="17" t="s">
        <v>2190</v>
      </c>
    </row>
    <row r="20" spans="1:6" ht="14.4" customHeight="1" x14ac:dyDescent="0.3">
      <c r="A20" s="17" t="s">
        <v>1977</v>
      </c>
      <c r="B20" s="17" t="str">
        <f t="array" ref="B20">IFERROR(INDEX('07_Items'!$B$5:$B$198,MATCH($A20,'07_Items'!$A$5:$A$198,0)),"")</f>
        <v>Installation of sign post indicating Contract Name,Contractor and Contract Supervisory Agency.</v>
      </c>
      <c r="C20" s="17" t="str">
        <f t="array" ref="C20">IFERROR(INDEX('07_Items'!$C$5:$C$198,MATCH($A20,'07_Items'!$A$5:$A$198,0)),"")</f>
        <v>nr</v>
      </c>
      <c r="D20" s="32">
        <v>3000</v>
      </c>
      <c r="E20" s="17" t="s">
        <v>2189</v>
      </c>
      <c r="F20" s="17" t="s">
        <v>2190</v>
      </c>
    </row>
    <row r="21" spans="1:6" ht="15.75" customHeight="1" x14ac:dyDescent="0.3">
      <c r="A21" s="17" t="s">
        <v>1979</v>
      </c>
      <c r="B21" s="17" t="str">
        <f t="array" ref="B21">IFERROR(INDEX('07_Items'!$B$5:$B$198,MATCH($A21,'07_Items'!$A$5:$A$198,0)),"")</f>
        <v>Providing progress photographs as per Specification</v>
      </c>
      <c r="C21" s="17" t="str">
        <f t="array" ref="C21">IFERROR(INDEX('07_Items'!$C$5:$C$198,MATCH($A21,'07_Items'!$A$5:$A$198,0)),"")</f>
        <v>Nr</v>
      </c>
      <c r="D21" s="32">
        <v>50</v>
      </c>
      <c r="E21" s="17" t="s">
        <v>2189</v>
      </c>
      <c r="F21" s="17" t="s">
        <v>2190</v>
      </c>
    </row>
    <row r="22" spans="1:6" ht="15.75" customHeight="1" x14ac:dyDescent="0.3">
      <c r="A22" s="17" t="s">
        <v>1982</v>
      </c>
      <c r="B22" s="17" t="str">
        <f t="array" ref="B22">IFERROR(INDEX('07_Items'!$B$5:$B$198,MATCH($A22,'07_Items'!$A$5:$A$198,0)),"")</f>
        <v>Setting out of works</v>
      </c>
      <c r="C22" s="17" t="str">
        <f t="array" ref="C22">IFERROR(INDEX('07_Items'!$C$5:$C$198,MATCH($A22,'07_Items'!$A$5:$A$198,0)),"")</f>
        <v>m</v>
      </c>
      <c r="D22" s="32">
        <v>3</v>
      </c>
      <c r="E22" s="17" t="s">
        <v>2189</v>
      </c>
      <c r="F22" s="17" t="s">
        <v>2190</v>
      </c>
    </row>
    <row r="23" spans="1:6" ht="15.75" customHeight="1" x14ac:dyDescent="0.3">
      <c r="A23" s="17" t="s">
        <v>1984</v>
      </c>
      <c r="B23" s="17" t="str">
        <f t="array" ref="B23">IFERROR(INDEX('07_Items'!$B$5:$B$198,MATCH($A23,'07_Items'!$A$5:$A$198,0)),"")</f>
        <v>Keeping of employment records</v>
      </c>
      <c r="C23" s="17" t="str">
        <f t="array" ref="C23">IFERROR(INDEX('07_Items'!$C$5:$C$198,MATCH($A23,'07_Items'!$A$5:$A$198,0)),"")</f>
        <v>mth</v>
      </c>
      <c r="D23" s="32"/>
      <c r="E23" s="17" t="s">
        <v>2189</v>
      </c>
      <c r="F23" s="17" t="s">
        <v>2190</v>
      </c>
    </row>
    <row r="24" spans="1:6" ht="15.75" customHeight="1" x14ac:dyDescent="0.3">
      <c r="A24" s="17" t="s">
        <v>1987</v>
      </c>
      <c r="B24" s="17" t="str">
        <f t="array" ref="B24">IFERROR(INDEX('07_Items'!$B$5:$B$198,MATCH($A24,'07_Items'!$A$5:$A$198,0)),"")</f>
        <v>Installation of sign post indicating Town Name.</v>
      </c>
      <c r="C24" s="17" t="str">
        <f t="array" ref="C24">IFERROR(INDEX('07_Items'!$C$5:$C$198,MATCH($A24,'07_Items'!$A$5:$A$198,0)),"")</f>
        <v>nr</v>
      </c>
      <c r="D24" s="32">
        <v>100</v>
      </c>
      <c r="E24" s="17" t="s">
        <v>2189</v>
      </c>
      <c r="F24" s="17" t="s">
        <v>2190</v>
      </c>
    </row>
    <row r="25" spans="1:6" ht="15.75" customHeight="1" x14ac:dyDescent="0.3">
      <c r="A25" s="17" t="s">
        <v>1989</v>
      </c>
      <c r="B25" s="17" t="str">
        <f t="array" ref="B25">IFERROR(INDEX('07_Items'!$B$5:$B$198,MATCH($A25,'07_Items'!$A$5:$A$198,0)),"")</f>
        <v>Setting up Contractor's compound</v>
      </c>
      <c r="C25" s="17" t="str">
        <f t="array" ref="C25">IFERROR(INDEX('07_Items'!$C$5:$C$198,MATCH($A25,'07_Items'!$A$5:$A$198,0)),"")</f>
        <v>sum</v>
      </c>
      <c r="D25" s="32"/>
      <c r="E25" s="17" t="s">
        <v>2189</v>
      </c>
      <c r="F25" s="17" t="s">
        <v>2190</v>
      </c>
    </row>
    <row r="26" spans="1:6" ht="15.75" customHeight="1" x14ac:dyDescent="0.3">
      <c r="A26" s="17" t="s">
        <v>1991</v>
      </c>
      <c r="B26" s="17" t="str">
        <f t="array" ref="B26">IFERROR(INDEX('07_Items'!$B$5:$B$198,MATCH($A26,'07_Items'!$A$5:$A$198,0)),"")</f>
        <v>Maintain Contractor's Compound</v>
      </c>
      <c r="C26" s="17" t="str">
        <f t="array" ref="C26">IFERROR(INDEX('07_Items'!$C$5:$C$198,MATCH($A26,'07_Items'!$A$5:$A$198,0)),"")</f>
        <v>mth</v>
      </c>
      <c r="D26" s="32">
        <v>3000</v>
      </c>
      <c r="E26" s="17" t="s">
        <v>2189</v>
      </c>
      <c r="F26" s="17" t="s">
        <v>2190</v>
      </c>
    </row>
    <row r="27" spans="1:6" ht="15.75" customHeight="1" x14ac:dyDescent="0.3">
      <c r="A27" s="17" t="s">
        <v>1993</v>
      </c>
      <c r="B27" s="17" t="str">
        <f t="array" ref="B27">IFERROR(INDEX('07_Items'!$B$5:$B$198,MATCH($A27,'07_Items'!$A$5:$A$198,0)),"")</f>
        <v>Removing Contractor's Compound</v>
      </c>
      <c r="C27" s="17" t="str">
        <f t="array" ref="C27">IFERROR(INDEX('07_Items'!$C$5:$C$198,MATCH($A27,'07_Items'!$A$5:$A$198,0)),"")</f>
        <v>sum</v>
      </c>
      <c r="D27" s="32"/>
      <c r="E27" s="17" t="s">
        <v>2189</v>
      </c>
      <c r="F27" s="17" t="s">
        <v>2190</v>
      </c>
    </row>
    <row r="28" spans="1:6" ht="15.75" customHeight="1" x14ac:dyDescent="0.3">
      <c r="A28" s="17" t="s">
        <v>1995</v>
      </c>
      <c r="B28" s="17" t="str">
        <f t="array" ref="B28">IFERROR(INDEX('07_Items'!$B$5:$B$198,MATCH($A28,'07_Items'!$A$5:$A$198,0)),"")</f>
        <v>Provide safe drinking water for site employees including storage facilities (Polytank, etc.)</v>
      </c>
      <c r="C28" s="17" t="str">
        <f t="array" ref="C28">IFERROR(INDEX('07_Items'!$C$5:$C$198,MATCH($A28,'07_Items'!$A$5:$A$198,0)),"")</f>
        <v>P. Sum</v>
      </c>
      <c r="D28" s="32"/>
      <c r="E28" s="17" t="s">
        <v>2189</v>
      </c>
      <c r="F28" s="17" t="s">
        <v>2190</v>
      </c>
    </row>
    <row r="29" spans="1:6" ht="15.75" customHeight="1" x14ac:dyDescent="0.3">
      <c r="A29" s="17" t="s">
        <v>1998</v>
      </c>
      <c r="B29" s="17" t="str">
        <f t="array" ref="B29">IFERROR(INDEX('07_Items'!$B$5:$B$198,MATCH($A29,'07_Items'!$A$5:$A$198,0)),"")</f>
        <v>Provide and maintain protective clothing, safety equipment for use by site employees</v>
      </c>
      <c r="C29" s="17" t="str">
        <f t="array" ref="C29">IFERROR(INDEX('07_Items'!$C$5:$C$198,MATCH($A29,'07_Items'!$A$5:$A$198,0)),"")</f>
        <v>P. Sum</v>
      </c>
      <c r="D29" s="32"/>
      <c r="E29" s="17" t="s">
        <v>2189</v>
      </c>
      <c r="F29" s="17" t="s">
        <v>2190</v>
      </c>
    </row>
    <row r="30" spans="1:6" ht="15.75" customHeight="1" x14ac:dyDescent="0.3">
      <c r="A30" s="17" t="s">
        <v>2000</v>
      </c>
      <c r="B30" s="17" t="str">
        <f t="array" ref="B30">IFERROR(INDEX('07_Items'!$B$5:$B$198,MATCH($A30,'07_Items'!$A$5:$A$198,0)),"")</f>
        <v>Replacement of protective clothing, safety equipment and first aid kit items</v>
      </c>
      <c r="C30" s="17" t="str">
        <f t="array" ref="C30">IFERROR(INDEX('07_Items'!$C$5:$C$198,MATCH($A30,'07_Items'!$A$5:$A$198,0)),"")</f>
        <v>P. Sum</v>
      </c>
      <c r="D30" s="32"/>
      <c r="E30" s="17" t="s">
        <v>2189</v>
      </c>
      <c r="F30" s="17" t="s">
        <v>2190</v>
      </c>
    </row>
    <row r="31" spans="1:6" ht="15.75" customHeight="1" x14ac:dyDescent="0.3">
      <c r="A31" s="17" t="s">
        <v>2002</v>
      </c>
      <c r="B31" s="17" t="str">
        <f t="array" ref="B31">IFERROR(INDEX('07_Items'!$B$5:$B$198,MATCH($A31,'07_Items'!$A$5:$A$198,0)),"")</f>
        <v>Provide and maintain temporary latrines, relocate as necessary and remove and backfill on completion</v>
      </c>
      <c r="C31" s="17" t="str">
        <f t="array" ref="C31">IFERROR(INDEX('07_Items'!$C$5:$C$198,MATCH($A31,'07_Items'!$A$5:$A$198,0)),"")</f>
        <v>P. Sum</v>
      </c>
      <c r="D31" s="32"/>
      <c r="E31" s="17" t="s">
        <v>2189</v>
      </c>
      <c r="F31" s="17" t="s">
        <v>2190</v>
      </c>
    </row>
    <row r="32" spans="1:6" ht="15.75" customHeight="1" x14ac:dyDescent="0.3">
      <c r="A32" s="17" t="s">
        <v>2004</v>
      </c>
      <c r="B32" s="17" t="str">
        <f t="array" ref="B32">IFERROR(INDEX('07_Items'!$B$5:$B$198,MATCH($A32,'07_Items'!$A$5:$A$198,0)),"")</f>
        <v>Provide First Aid kit and train First Aider</v>
      </c>
      <c r="C32" s="17" t="str">
        <f t="array" ref="C32">IFERROR(INDEX('07_Items'!$C$5:$C$198,MATCH($A32,'07_Items'!$A$5:$A$198,0)),"")</f>
        <v>P. Sum</v>
      </c>
      <c r="D32" s="32"/>
      <c r="E32" s="17" t="s">
        <v>2189</v>
      </c>
      <c r="F32" s="17" t="s">
        <v>2190</v>
      </c>
    </row>
    <row r="33" spans="1:6" ht="15.75" customHeight="1" x14ac:dyDescent="0.3">
      <c r="A33" s="17" t="s">
        <v>2006</v>
      </c>
      <c r="B33" s="17" t="str">
        <f t="array" ref="B33">IFERROR(INDEX('07_Items'!$B$5:$B$198,MATCH($A33,'07_Items'!$A$5:$A$198,0)),"")</f>
        <v xml:space="preserve">Provide assistance to and facilitate site visits by MOH personnel to educate workers and local communities in STDs HIV/AIDS awareness and consultation meetings once every month. </v>
      </c>
      <c r="C33" s="17" t="str">
        <f t="array" ref="C33">IFERROR(INDEX('07_Items'!$C$5:$C$198,MATCH($A33,'07_Items'!$A$5:$A$198,0)),"")</f>
        <v>P. Sum</v>
      </c>
      <c r="D33" s="32"/>
      <c r="E33" s="17" t="s">
        <v>2189</v>
      </c>
      <c r="F33" s="17" t="s">
        <v>2190</v>
      </c>
    </row>
    <row r="34" spans="1:6" ht="15.75" customHeight="1" x14ac:dyDescent="0.3">
      <c r="A34" s="17" t="s">
        <v>2008</v>
      </c>
      <c r="B34" s="17" t="str">
        <f t="array" ref="B34">IFERROR(INDEX('07_Items'!$B$5:$B$198,MATCH($A34,'07_Items'!$A$5:$A$198,0)),"")</f>
        <v>Provide for Project Management Services</v>
      </c>
      <c r="C34" s="17" t="str">
        <f t="array" ref="C34">IFERROR(INDEX('07_Items'!$C$5:$C$198,MATCH($A34,'07_Items'!$A$5:$A$198,0)),"")</f>
        <v>P. Sum</v>
      </c>
      <c r="D34" s="32"/>
      <c r="E34" s="17" t="s">
        <v>2189</v>
      </c>
      <c r="F34" s="17" t="s">
        <v>2190</v>
      </c>
    </row>
    <row r="35" spans="1:6" ht="15.75" customHeight="1" x14ac:dyDescent="0.3">
      <c r="A35" s="17" t="s">
        <v>2010</v>
      </c>
      <c r="B35" s="17" t="str">
        <f t="array" ref="B35">IFERROR(INDEX('07_Items'!$B$5:$B$198,MATCH($A35,'07_Items'!$A$5:$A$198,0)),"")</f>
        <v>Percentage adjustment on items A231, A420.1, A420.2, A420.3, A420.4, A420.5, A420.6 and A420.7</v>
      </c>
      <c r="C35" s="17" t="str">
        <f t="array" ref="C35">IFERROR(INDEX('07_Items'!$C$5:$C$198,MATCH($A35,'07_Items'!$A$5:$A$198,0)),"")</f>
        <v>%</v>
      </c>
      <c r="D35" s="32">
        <v>25</v>
      </c>
      <c r="E35" s="17" t="s">
        <v>2189</v>
      </c>
      <c r="F35" s="17" t="s">
        <v>2190</v>
      </c>
    </row>
    <row r="36" spans="1:6" ht="15.75" customHeight="1" x14ac:dyDescent="0.3">
      <c r="A36" s="17" t="s">
        <v>2013</v>
      </c>
      <c r="B36" s="17" t="str">
        <f t="array" ref="B36">IFERROR(INDEX('07_Items'!$B$5:$B$198,MATCH($A36,'07_Items'!$A$5:$A$198,0)),"")</f>
        <v>Pay compensation to property owners</v>
      </c>
      <c r="C36" s="17" t="str">
        <f t="array" ref="C36">IFERROR(INDEX('07_Items'!$C$5:$C$198,MATCH($A36,'07_Items'!$A$5:$A$198,0)),"")</f>
        <v>P. Sum</v>
      </c>
      <c r="D36" s="32"/>
      <c r="E36" s="17" t="s">
        <v>2189</v>
      </c>
      <c r="F36" s="17" t="s">
        <v>2190</v>
      </c>
    </row>
    <row r="37" spans="1:6" ht="15.75" customHeight="1" x14ac:dyDescent="0.3">
      <c r="A37" s="17" t="s">
        <v>2015</v>
      </c>
      <c r="B37" s="17" t="str">
        <f t="array" ref="B37">IFERROR(INDEX('07_Items'!$B$5:$B$198,MATCH($A37,'07_Items'!$A$5:$A$198,0)),"")</f>
        <v>Relocation of existing services</v>
      </c>
      <c r="C37" s="17" t="str">
        <f t="array" ref="C37">IFERROR(INDEX('07_Items'!$C$5:$C$198,MATCH($A37,'07_Items'!$A$5:$A$198,0)),"")</f>
        <v>p. sum</v>
      </c>
      <c r="D37" s="32"/>
      <c r="E37" s="17" t="s">
        <v>2189</v>
      </c>
      <c r="F37" s="17" t="s">
        <v>2190</v>
      </c>
    </row>
    <row r="38" spans="1:6" ht="15.75" customHeight="1" x14ac:dyDescent="0.3">
      <c r="A38" s="17" t="s">
        <v>2018</v>
      </c>
      <c r="B38" s="17" t="str">
        <f t="array" ref="B38">IFERROR(INDEX('07_Items'!$B$5:$B$198,MATCH($A38,'07_Items'!$A$5:$A$198,0)),"")</f>
        <v>Percentage adjustment on Item A420.9 and A420.10</v>
      </c>
      <c r="C38" s="17" t="str">
        <f t="array" ref="C38">IFERROR(INDEX('07_Items'!$C$5:$C$198,MATCH($A38,'07_Items'!$A$5:$A$198,0)),"")</f>
        <v>%</v>
      </c>
      <c r="D38" s="32">
        <v>25</v>
      </c>
      <c r="E38" s="17" t="s">
        <v>2189</v>
      </c>
      <c r="F38" s="17" t="s">
        <v>2190</v>
      </c>
    </row>
    <row r="39" spans="1:6" ht="15.75" customHeight="1" x14ac:dyDescent="0.3">
      <c r="A39" s="17" t="s">
        <v>1844</v>
      </c>
      <c r="B39" s="17" t="str">
        <f t="array" ref="B39">IFERROR(INDEX('07_Items'!$B$5:$B$198,MATCH($A39,'07_Items'!$A$5:$A$198,0)),"")</f>
        <v>Clear thick bush</v>
      </c>
      <c r="C39" s="17" t="str">
        <f t="array" ref="C39">IFERROR(INDEX('07_Items'!$C$5:$C$198,MATCH($A39,'07_Items'!$A$5:$A$198,0)),"")</f>
        <v>Ha</v>
      </c>
      <c r="D39" s="32">
        <v>15250</v>
      </c>
      <c r="E39" s="17" t="s">
        <v>2189</v>
      </c>
      <c r="F39" s="17" t="s">
        <v>2190</v>
      </c>
    </row>
    <row r="40" spans="1:6" ht="15.75" customHeight="1" x14ac:dyDescent="0.3">
      <c r="A40" s="17" t="s">
        <v>1849</v>
      </c>
      <c r="B40" s="17" t="str">
        <f t="array" ref="B40">IFERROR(INDEX('07_Items'!$B$5:$B$198,MATCH($A40,'07_Items'!$A$5:$A$198,0)),"")</f>
        <v>Clear light bush</v>
      </c>
      <c r="C40" s="17" t="str">
        <f t="array" ref="C40">IFERROR(INDEX('07_Items'!$C$5:$C$198,MATCH($A40,'07_Items'!$A$5:$A$198,0)),"")</f>
        <v>Ha</v>
      </c>
      <c r="D40" s="32">
        <v>15250</v>
      </c>
      <c r="E40" s="17" t="s">
        <v>2189</v>
      </c>
      <c r="F40" s="17" t="s">
        <v>2190</v>
      </c>
    </row>
    <row r="41" spans="1:6" ht="15.75" customHeight="1" x14ac:dyDescent="0.3">
      <c r="A41" s="17" t="s">
        <v>1851</v>
      </c>
      <c r="B41" s="17" t="str">
        <f t="array" ref="B41">IFERROR(INDEX('07_Items'!$B$5:$B$198,MATCH($A41,'07_Items'!$A$5:$A$198,0)),"")</f>
        <v>Clear savannah bush</v>
      </c>
      <c r="C41" s="17" t="str">
        <f t="array" ref="C41">IFERROR(INDEX('07_Items'!$C$5:$C$198,MATCH($A41,'07_Items'!$A$5:$A$198,0)),"")</f>
        <v>Ha</v>
      </c>
      <c r="D41" s="32">
        <v>7500</v>
      </c>
      <c r="E41" s="17" t="s">
        <v>2189</v>
      </c>
      <c r="F41" s="17" t="s">
        <v>2190</v>
      </c>
    </row>
    <row r="42" spans="1:6" ht="15.75" customHeight="1" x14ac:dyDescent="0.3">
      <c r="A42" s="17" t="s">
        <v>1853</v>
      </c>
      <c r="B42" s="17" t="str">
        <f t="array" ref="B42">IFERROR(INDEX('07_Items'!$B$5:$B$198,MATCH($A42,'07_Items'!$A$5:$A$198,0)),"")</f>
        <v>Clear grass bush</v>
      </c>
      <c r="C42" s="17" t="str">
        <f t="array" ref="C42">IFERROR(INDEX('07_Items'!$C$5:$C$198,MATCH($A42,'07_Items'!$A$5:$A$198,0)),"")</f>
        <v>Ha</v>
      </c>
      <c r="D42" s="32">
        <v>4800</v>
      </c>
      <c r="E42" s="17" t="s">
        <v>2189</v>
      </c>
      <c r="F42" s="17" t="s">
        <v>2190</v>
      </c>
    </row>
    <row r="43" spans="1:6" ht="15.75" customHeight="1" x14ac:dyDescent="0.3">
      <c r="A43" s="17" t="s">
        <v>1855</v>
      </c>
      <c r="B43" s="17" t="str">
        <f t="array" ref="B43">IFERROR(INDEX('07_Items'!$B$5:$B$198,MATCH($A43,'07_Items'!$A$5:$A$198,0)),"")</f>
        <v>Clear existing bush</v>
      </c>
      <c r="C43" s="17" t="str">
        <f t="array" ref="C43">IFERROR(INDEX('07_Items'!$C$5:$C$198,MATCH($A43,'07_Items'!$A$5:$A$198,0)),"")</f>
        <v>Ha</v>
      </c>
      <c r="D43" s="32">
        <v>4800</v>
      </c>
      <c r="E43" s="17" t="s">
        <v>2189</v>
      </c>
      <c r="F43" s="17" t="s">
        <v>2190</v>
      </c>
    </row>
    <row r="44" spans="1:6" ht="15.75" customHeight="1" x14ac:dyDescent="0.3">
      <c r="A44" s="17" t="s">
        <v>2021</v>
      </c>
      <c r="B44" s="17" t="str">
        <f t="array" ref="B44">IFERROR(INDEX('07_Items'!$B$5:$B$198,MATCH($A44,'07_Items'!$A$5:$A$198,0)),"")</f>
        <v>Demolish existing mass concrete structure approximate volume 250-500cu.m</v>
      </c>
      <c r="C44" s="17" t="str">
        <f t="array" ref="C44">IFERROR(INDEX('07_Items'!$C$5:$C$198,MATCH($A44,'07_Items'!$A$5:$A$198,0)),"")</f>
        <v>cu.m</v>
      </c>
      <c r="D44" s="32">
        <v>500</v>
      </c>
      <c r="E44" s="17" t="s">
        <v>2189</v>
      </c>
      <c r="F44" s="17" t="s">
        <v>2190</v>
      </c>
    </row>
    <row r="45" spans="1:6" ht="15.75" customHeight="1" x14ac:dyDescent="0.3">
      <c r="A45" s="17" t="s">
        <v>2024</v>
      </c>
      <c r="B45" s="17" t="str">
        <f t="array" ref="B45">IFERROR(INDEX('07_Items'!$B$5:$B$198,MATCH($A45,'07_Items'!$A$5:$A$198,0)),"")</f>
        <v>Demolish existing reinforced concrete structure approximate volume 250-500cu.m</v>
      </c>
      <c r="C45" s="17" t="str">
        <f t="array" ref="C45">IFERROR(INDEX('07_Items'!$C$5:$C$198,MATCH($A45,'07_Items'!$A$5:$A$198,0)),"")</f>
        <v>cu.m</v>
      </c>
      <c r="D45" s="32">
        <v>600</v>
      </c>
      <c r="E45" s="17" t="s">
        <v>2189</v>
      </c>
      <c r="F45" s="17" t="s">
        <v>2190</v>
      </c>
    </row>
    <row r="46" spans="1:6" ht="15.75" customHeight="1" x14ac:dyDescent="0.3">
      <c r="A46" s="17" t="s">
        <v>2026</v>
      </c>
      <c r="B46" s="17">
        <f t="array" ref="B46">IFERROR(INDEX('07_Items'!$B$5:$B$198,MATCH($A46,'07_Items'!$A$5:$A$198,0)),"")</f>
        <v>0</v>
      </c>
      <c r="C46" s="17">
        <f t="array" ref="C46">IFERROR(INDEX('07_Items'!$C$5:$C$198,MATCH($A46,'07_Items'!$A$5:$A$198,0)),"")</f>
        <v>0</v>
      </c>
      <c r="D46" s="32"/>
      <c r="E46" s="17" t="s">
        <v>2189</v>
      </c>
      <c r="F46" s="17" t="s">
        <v>2190</v>
      </c>
    </row>
    <row r="47" spans="1:6" ht="15.75" customHeight="1" x14ac:dyDescent="0.3">
      <c r="A47" s="17" t="s">
        <v>2027</v>
      </c>
      <c r="B47" s="17" t="str">
        <f t="array" ref="B47">IFERROR(INDEX('07_Items'!$B$5:$B$198,MATCH($A47,'07_Items'!$A$5:$A$198,0)),"")</f>
        <v>Excavate unsuitable material in swampy area and dispose</v>
      </c>
      <c r="C47" s="17" t="str">
        <f t="array" ref="C47">IFERROR(INDEX('07_Items'!$C$5:$C$198,MATCH($A47,'07_Items'!$A$5:$A$198,0)),"")</f>
        <v>cu.m</v>
      </c>
      <c r="D47" s="32">
        <v>50</v>
      </c>
      <c r="E47" s="17" t="s">
        <v>2189</v>
      </c>
      <c r="F47" s="17" t="s">
        <v>2190</v>
      </c>
    </row>
    <row r="48" spans="1:6" ht="15.75" customHeight="1" x14ac:dyDescent="0.3">
      <c r="A48" s="17" t="s">
        <v>2030</v>
      </c>
      <c r="B48" s="17" t="str">
        <f t="array" ref="B48">IFERROR(INDEX('07_Items'!$B$5:$B$198,MATCH($A48,'07_Items'!$A$5:$A$198,0)),"")</f>
        <v>Excavate for cutting, material other than topsoil,rock or artificial hard material</v>
      </c>
      <c r="C48" s="17" t="str">
        <f t="array" ref="C48">IFERROR(INDEX('07_Items'!$C$5:$C$198,MATCH($A48,'07_Items'!$A$5:$A$198,0)),"")</f>
        <v>cu.m</v>
      </c>
      <c r="D48" s="32">
        <v>45</v>
      </c>
      <c r="E48" s="17" t="s">
        <v>2189</v>
      </c>
      <c r="F48" s="17" t="s">
        <v>2190</v>
      </c>
    </row>
    <row r="49" spans="1:6" ht="15.75" customHeight="1" x14ac:dyDescent="0.3">
      <c r="A49" s="17" t="s">
        <v>2032</v>
      </c>
      <c r="B49" s="17" t="str">
        <f t="array" ref="B49">IFERROR(INDEX('07_Items'!$B$5:$B$198,MATCH($A49,'07_Items'!$A$5:$A$198,0)),"")</f>
        <v>Excavate soft rock</v>
      </c>
      <c r="C49" s="17" t="str">
        <f t="array" ref="C49">IFERROR(INDEX('07_Items'!$C$5:$C$198,MATCH($A49,'07_Items'!$A$5:$A$198,0)),"")</f>
        <v>cu.m</v>
      </c>
      <c r="D49" s="32">
        <v>750</v>
      </c>
      <c r="E49" s="17" t="s">
        <v>2189</v>
      </c>
      <c r="F49" s="17" t="s">
        <v>2190</v>
      </c>
    </row>
    <row r="50" spans="1:6" ht="15.75" customHeight="1" x14ac:dyDescent="0.3">
      <c r="A50" s="17" t="s">
        <v>1322</v>
      </c>
      <c r="B50" s="17" t="str">
        <f t="array" ref="B50">IFERROR(INDEX('07_Items'!$B$5:$B$198,MATCH($A50,'07_Items'!$A$5:$A$198,0)),"")</f>
        <v>Excavation for foundations material other than topsoil, rock or artificial hard material maximum depth: not exceeding 0.25-0.5m</v>
      </c>
      <c r="C50" s="17" t="str">
        <f t="array" ref="C50">IFERROR(INDEX('07_Items'!$C$5:$C$198,MATCH($A50,'07_Items'!$A$5:$A$198,0)),"")</f>
        <v>cu.m</v>
      </c>
      <c r="D50" s="32">
        <v>280</v>
      </c>
      <c r="E50" s="17" t="s">
        <v>2189</v>
      </c>
      <c r="F50" s="17" t="s">
        <v>2190</v>
      </c>
    </row>
    <row r="51" spans="1:6" ht="15.75" customHeight="1" x14ac:dyDescent="0.3">
      <c r="A51" s="17" t="s">
        <v>1438</v>
      </c>
      <c r="B51" s="17" t="str">
        <f t="array" ref="B51">IFERROR(INDEX('07_Items'!$B$5:$B$198,MATCH($A51,'07_Items'!$A$5:$A$198,0)),"")</f>
        <v>Ditto item E 322,maximum depth 0.5-1.0m,ditto</v>
      </c>
      <c r="C51" s="17" t="str">
        <f t="array" ref="C51">IFERROR(INDEX('07_Items'!$C$5:$C$198,MATCH($A51,'07_Items'!$A$5:$A$198,0)),"")</f>
        <v>cu.m</v>
      </c>
      <c r="D51" s="32">
        <v>330</v>
      </c>
      <c r="E51" s="17" t="s">
        <v>2189</v>
      </c>
      <c r="F51" s="17" t="s">
        <v>2190</v>
      </c>
    </row>
    <row r="52" spans="1:6" ht="15.75" customHeight="1" x14ac:dyDescent="0.3">
      <c r="A52" s="17" t="s">
        <v>1860</v>
      </c>
      <c r="B52" s="17" t="str">
        <f t="array" ref="B52">IFERROR(INDEX('07_Items'!$B$5:$B$198,MATCH($A52,'07_Items'!$A$5:$A$198,0)),"")</f>
        <v>Fill to widen road</v>
      </c>
      <c r="C52" s="17" t="str">
        <f t="array" ref="C52">IFERROR(INDEX('07_Items'!$C$5:$C$198,MATCH($A52,'07_Items'!$A$5:$A$198,0)),"")</f>
        <v>m³</v>
      </c>
      <c r="D52" s="32">
        <v>84</v>
      </c>
      <c r="E52" s="17" t="s">
        <v>2189</v>
      </c>
      <c r="F52" s="17" t="s">
        <v>2190</v>
      </c>
    </row>
    <row r="53" spans="1:6" ht="15.75" customHeight="1" x14ac:dyDescent="0.3">
      <c r="A53" s="17" t="s">
        <v>2036</v>
      </c>
      <c r="B53" s="17" t="str">
        <f t="array" ref="B53">IFERROR(INDEX('07_Items'!$B$5:$B$198,MATCH($A53,'07_Items'!$A$5:$A$198,0)),"")</f>
        <v>Disposal of excavated material other than topsoil, rock or artificial hard material</v>
      </c>
      <c r="C53" s="17" t="str">
        <f t="array" ref="C53">IFERROR(INDEX('07_Items'!$C$5:$C$198,MATCH($A53,'07_Items'!$A$5:$A$198,0)),"")</f>
        <v>cu.m</v>
      </c>
      <c r="D53" s="32">
        <v>25</v>
      </c>
      <c r="E53" s="17" t="s">
        <v>2189</v>
      </c>
      <c r="F53" s="17" t="s">
        <v>2190</v>
      </c>
    </row>
    <row r="54" spans="1:6" ht="15.75" customHeight="1" x14ac:dyDescent="0.3">
      <c r="A54" s="17" t="s">
        <v>2038</v>
      </c>
      <c r="B54" s="17" t="str">
        <f t="array" ref="B54">IFERROR(INDEX('07_Items'!$B$5:$B$198,MATCH($A54,'07_Items'!$A$5:$A$198,0)),"")</f>
        <v>Excavate inlet and outlet channels and dispose</v>
      </c>
      <c r="C54" s="17" t="str">
        <f t="array" ref="C54">IFERROR(INDEX('07_Items'!$C$5:$C$198,MATCH($A54,'07_Items'!$A$5:$A$198,0)),"")</f>
        <v>cu.m</v>
      </c>
      <c r="D54" s="32">
        <v>60</v>
      </c>
      <c r="E54" s="17" t="s">
        <v>2189</v>
      </c>
      <c r="F54" s="17" t="s">
        <v>2190</v>
      </c>
    </row>
    <row r="55" spans="1:6" ht="15.75" customHeight="1" x14ac:dyDescent="0.3">
      <c r="A55" s="17" t="s">
        <v>1874</v>
      </c>
      <c r="B55" s="17" t="str">
        <f t="array" ref="B55">IFERROR(INDEX('07_Items'!$B$5:$B$198,MATCH($A55,'07_Items'!$A$5:$A$198,0)),"")</f>
        <v>Reshape road surface</v>
      </c>
      <c r="C55" s="17" t="str">
        <f t="array" ref="C55">IFERROR(INDEX('07_Items'!$C$5:$C$198,MATCH($A55,'07_Items'!$A$5:$A$198,0)),"")</f>
        <v>m²</v>
      </c>
      <c r="D55" s="32">
        <v>1.5</v>
      </c>
      <c r="E55" s="17" t="s">
        <v>2189</v>
      </c>
      <c r="F55" s="17" t="s">
        <v>2190</v>
      </c>
    </row>
    <row r="56" spans="1:6" ht="15.75" customHeight="1" x14ac:dyDescent="0.3">
      <c r="A56" s="17" t="s">
        <v>2040</v>
      </c>
      <c r="B56" s="17" t="str">
        <f t="array" ref="B56">IFERROR(INDEX('07_Items'!$B$5:$B$198,MATCH($A56,'07_Items'!$A$5:$A$198,0)),"")</f>
        <v>Filling with material from excavation.</v>
      </c>
      <c r="C56" s="17" t="str">
        <f t="array" ref="C56">IFERROR(INDEX('07_Items'!$C$5:$C$198,MATCH($A56,'07_Items'!$A$5:$A$198,0)),"")</f>
        <v>cu.m</v>
      </c>
      <c r="D56" s="32">
        <v>15</v>
      </c>
      <c r="E56" s="17" t="s">
        <v>2189</v>
      </c>
      <c r="F56" s="17" t="s">
        <v>2190</v>
      </c>
    </row>
    <row r="57" spans="1:6" ht="15.75" customHeight="1" x14ac:dyDescent="0.3">
      <c r="A57" s="17" t="s">
        <v>2042</v>
      </c>
      <c r="B57" s="17" t="str">
        <f t="array" ref="B57">IFERROR(INDEX('07_Items'!$B$5:$B$198,MATCH($A57,'07_Items'!$A$5:$A$198,0)),"")</f>
        <v>Filling with material from borrow pit</v>
      </c>
      <c r="C57" s="17" t="str">
        <f t="array" ref="C57">IFERROR(INDEX('07_Items'!$C$5:$C$198,MATCH($A57,'07_Items'!$A$5:$A$198,0)),"")</f>
        <v>cu.m</v>
      </c>
      <c r="D57" s="32">
        <v>15</v>
      </c>
      <c r="E57" s="17" t="s">
        <v>2189</v>
      </c>
      <c r="F57" s="17" t="s">
        <v>2190</v>
      </c>
    </row>
    <row r="58" spans="1:6" ht="15.75" customHeight="1" x14ac:dyDescent="0.3">
      <c r="A58" s="17" t="s">
        <v>1868</v>
      </c>
      <c r="B58" s="17" t="str">
        <f t="array" ref="B58">IFERROR(INDEX('07_Items'!$B$5:$B$198,MATCH($A58,'07_Items'!$A$5:$A$198,0)),"")</f>
        <v xml:space="preserve">Construction of concrete pitching to embankment as per Drawing No………. </v>
      </c>
      <c r="C58" s="17" t="str">
        <f t="array" ref="C58">IFERROR(INDEX('07_Items'!$C$5:$C$198,MATCH($A58,'07_Items'!$A$5:$A$198,0)),"")</f>
        <v>sq.m</v>
      </c>
      <c r="D58" s="32">
        <v>500</v>
      </c>
      <c r="E58" s="17" t="s">
        <v>2189</v>
      </c>
      <c r="F58" s="17" t="s">
        <v>2190</v>
      </c>
    </row>
    <row r="59" spans="1:6" ht="15.75" customHeight="1" x14ac:dyDescent="0.3">
      <c r="A59" s="17" t="s">
        <v>2046</v>
      </c>
      <c r="B59" s="17" t="str">
        <f t="array" ref="B59">IFERROR(INDEX('07_Items'!$B$5:$B$198,MATCH($A59,'07_Items'!$A$5:$A$198,0)),"")</f>
        <v>Providing and placing crushed stones.</v>
      </c>
      <c r="C59" s="17" t="str">
        <f t="array" ref="C59">IFERROR(INDEX('07_Items'!$C$5:$C$198,MATCH($A59,'07_Items'!$A$5:$A$198,0)),"")</f>
        <v>cu.m</v>
      </c>
      <c r="D59" s="32">
        <v>620</v>
      </c>
      <c r="E59" s="17" t="s">
        <v>2189</v>
      </c>
      <c r="F59" s="17" t="s">
        <v>2190</v>
      </c>
    </row>
    <row r="60" spans="1:6" ht="15.75" customHeight="1" x14ac:dyDescent="0.3">
      <c r="A60" s="17" t="s">
        <v>2048</v>
      </c>
      <c r="B60" s="17" t="str">
        <f t="array" ref="B60">IFERROR(INDEX('07_Items'!$B$5:$B$198,MATCH($A60,'07_Items'!$A$5:$A$198,0)),"")</f>
        <v>Reinstatement of borrow pits</v>
      </c>
      <c r="C60" s="17" t="str">
        <f t="array" ref="C60">IFERROR(INDEX('07_Items'!$C$5:$C$198,MATCH($A60,'07_Items'!$A$5:$A$198,0)),"")</f>
        <v>sq.m</v>
      </c>
      <c r="D60" s="32">
        <v>1</v>
      </c>
      <c r="E60" s="17" t="s">
        <v>2189</v>
      </c>
      <c r="F60" s="17" t="s">
        <v>2190</v>
      </c>
    </row>
    <row r="61" spans="1:6" ht="15.75" customHeight="1" x14ac:dyDescent="0.3">
      <c r="A61" s="17" t="s">
        <v>2050</v>
      </c>
      <c r="B61" s="17" t="str">
        <f t="array" ref="B61">IFERROR(INDEX('07_Items'!$B$5:$B$198,MATCH($A61,'07_Items'!$A$5:$A$198,0)),"")</f>
        <v>Haulage in excess of 1km for all items (0-20km).</v>
      </c>
      <c r="C61" s="17" t="str">
        <f t="array" ref="C61">IFERROR(INDEX('07_Items'!$C$5:$C$198,MATCH($A61,'07_Items'!$A$5:$A$198,0)),"")</f>
        <v>cu.m-km</v>
      </c>
      <c r="D61" s="32">
        <v>9</v>
      </c>
      <c r="E61" s="17" t="s">
        <v>2189</v>
      </c>
      <c r="F61" s="17" t="s">
        <v>2190</v>
      </c>
    </row>
    <row r="62" spans="1:6" ht="15.75" customHeight="1" x14ac:dyDescent="0.3">
      <c r="A62" s="17" t="s">
        <v>2053</v>
      </c>
      <c r="B62" s="17" t="str">
        <f t="array" ref="B62">IFERROR(INDEX('07_Items'!$B$5:$B$198,MATCH($A62,'07_Items'!$A$5:$A$198,0)),"")</f>
        <v>Haulage in excess of 1km for all items (20-100km).</v>
      </c>
      <c r="C62" s="17" t="str">
        <f t="array" ref="C62">IFERROR(INDEX('07_Items'!$C$5:$C$198,MATCH($A62,'07_Items'!$A$5:$A$198,0)),"")</f>
        <v>cu.m-km</v>
      </c>
      <c r="D62" s="32">
        <v>8.5</v>
      </c>
      <c r="E62" s="17" t="s">
        <v>2189</v>
      </c>
      <c r="F62" s="17" t="s">
        <v>2190</v>
      </c>
    </row>
    <row r="63" spans="1:6" ht="15.75" customHeight="1" x14ac:dyDescent="0.3">
      <c r="A63" s="17" t="s">
        <v>1323</v>
      </c>
      <c r="B63" s="17" t="str">
        <f t="array" ref="B63">IFERROR(INDEX('07_Items'!$B$5:$B$198,MATCH($A63,'07_Items'!$A$5:$A$198,0)),"")</f>
        <v>Grade C10, cement to BS 12 or BS 146, 40 mm aggregate</v>
      </c>
      <c r="C63" s="17" t="str">
        <f t="array" ref="C63">IFERROR(INDEX('07_Items'!$C$5:$C$198,MATCH($A63,'07_Items'!$A$5:$A$198,0)),"")</f>
        <v>cu.m</v>
      </c>
      <c r="D63" s="32">
        <v>1450</v>
      </c>
      <c r="E63" s="17" t="s">
        <v>2189</v>
      </c>
      <c r="F63" s="17" t="s">
        <v>2190</v>
      </c>
    </row>
    <row r="64" spans="1:6" ht="15.75" customHeight="1" x14ac:dyDescent="0.3">
      <c r="A64" s="17" t="s">
        <v>1325</v>
      </c>
      <c r="B64" s="17" t="str">
        <f t="array" ref="B64">IFERROR(INDEX('07_Items'!$B$5:$B$198,MATCH($A64,'07_Items'!$A$5:$A$198,0)),"")</f>
        <v>Grade C25, cement to BS 12 or BS 146, 20 mm aggregate</v>
      </c>
      <c r="C64" s="17" t="str">
        <f t="array" ref="C64">IFERROR(INDEX('07_Items'!$C$5:$C$198,MATCH($A64,'07_Items'!$A$5:$A$198,0)),"")</f>
        <v>cu.m</v>
      </c>
      <c r="D64" s="32">
        <v>1650</v>
      </c>
      <c r="E64" s="17" t="s">
        <v>2189</v>
      </c>
      <c r="F64" s="17" t="s">
        <v>2190</v>
      </c>
    </row>
    <row r="65" spans="1:6" ht="15.75" customHeight="1" x14ac:dyDescent="0.3">
      <c r="A65" s="17" t="s">
        <v>1455</v>
      </c>
      <c r="B65" s="17" t="str">
        <f t="array" ref="B65">IFERROR(INDEX('07_Items'!$B$5:$B$198,MATCH($A65,'07_Items'!$A$5:$A$198,0)),"")</f>
        <v>Grade C30, cement to BS 12 or BS 146, 20 mm aggregate</v>
      </c>
      <c r="C65" s="17" t="str">
        <f t="array" ref="C65">IFERROR(INDEX('07_Items'!$C$5:$C$198,MATCH($A65,'07_Items'!$A$5:$A$198,0)),"")</f>
        <v>cu.m</v>
      </c>
      <c r="D65" s="32">
        <v>2200</v>
      </c>
      <c r="E65" s="17" t="s">
        <v>2189</v>
      </c>
      <c r="F65" s="17" t="s">
        <v>2190</v>
      </c>
    </row>
    <row r="66" spans="1:6" ht="15.75" customHeight="1" x14ac:dyDescent="0.3">
      <c r="A66" s="17" t="s">
        <v>1350</v>
      </c>
      <c r="B66" s="17" t="str">
        <f t="array" ref="B66">IFERROR(INDEX('07_Items'!$B$5:$B$198,MATCH($A66,'07_Items'!$A$5:$A$198,0)),"")</f>
        <v>Haulage of aggregate in excess of 1km (0 - 20km)</v>
      </c>
      <c r="C66" s="17" t="str">
        <f t="array" ref="C66">IFERROR(INDEX('07_Items'!$C$5:$C$198,MATCH($A66,'07_Items'!$A$5:$A$198,0)),"")</f>
        <v>cu.m-km</v>
      </c>
      <c r="D66" s="32">
        <v>9</v>
      </c>
      <c r="E66" s="17" t="s">
        <v>2189</v>
      </c>
      <c r="F66" s="17" t="s">
        <v>2190</v>
      </c>
    </row>
    <row r="67" spans="1:6" ht="15.75" customHeight="1" x14ac:dyDescent="0.3">
      <c r="A67" s="17" t="s">
        <v>1351</v>
      </c>
      <c r="B67" s="17" t="str">
        <f t="array" ref="B67">IFERROR(INDEX('07_Items'!$B$5:$B$198,MATCH($A67,'07_Items'!$A$5:$A$198,0)),"")</f>
        <v>Haulage of aggregate in excess of 1km (20 - 100km)</v>
      </c>
      <c r="C67" s="17" t="str">
        <f t="array" ref="C67">IFERROR(INDEX('07_Items'!$C$5:$C$198,MATCH($A67,'07_Items'!$A$5:$A$198,0)),"")</f>
        <v>cu.m-km</v>
      </c>
      <c r="D67" s="32">
        <v>8.5</v>
      </c>
      <c r="E67" s="17" t="s">
        <v>2189</v>
      </c>
      <c r="F67" s="17" t="s">
        <v>2190</v>
      </c>
    </row>
    <row r="68" spans="1:6" ht="15.75" customHeight="1" x14ac:dyDescent="0.3">
      <c r="A68" s="17" t="s">
        <v>2061</v>
      </c>
      <c r="B68" s="17" t="str">
        <f t="array" ref="B68">IFERROR(INDEX('07_Items'!$B$5:$B$198,MATCH($A68,'07_Items'!$A$5:$A$198,0)),"")</f>
        <v>Haulage of aggregate in excess of 1km (100 - 200km)</v>
      </c>
      <c r="C68" s="17" t="str">
        <f t="array" ref="C68">IFERROR(INDEX('07_Items'!$C$5:$C$198,MATCH($A68,'07_Items'!$A$5:$A$198,0)),"")</f>
        <v>cu.m-km</v>
      </c>
      <c r="D68" s="32">
        <v>8</v>
      </c>
      <c r="E68" s="17" t="s">
        <v>2189</v>
      </c>
      <c r="F68" s="17" t="s">
        <v>2190</v>
      </c>
    </row>
    <row r="69" spans="1:6" ht="15.75" customHeight="1" x14ac:dyDescent="0.3">
      <c r="A69" s="17" t="s">
        <v>1324</v>
      </c>
      <c r="B69" s="17" t="str">
        <f t="array" ref="B69">IFERROR(INDEX('07_Items'!$B$5:$B$198,MATCH($A69,'07_Items'!$A$5:$A$198,0)),"")</f>
        <v>Mass lean concrete in 50mm thick blinding layer.</v>
      </c>
      <c r="C69" s="17" t="str">
        <f t="array" ref="C69">IFERROR(INDEX('07_Items'!$C$5:$C$198,MATCH($A69,'07_Items'!$A$5:$A$198,0)),"")</f>
        <v>cu.m</v>
      </c>
      <c r="D69" s="32">
        <v>400</v>
      </c>
      <c r="E69" s="17" t="s">
        <v>2189</v>
      </c>
      <c r="F69" s="17" t="s">
        <v>2190</v>
      </c>
    </row>
    <row r="70" spans="1:6" ht="15.75" customHeight="1" x14ac:dyDescent="0.3">
      <c r="A70" s="17" t="s">
        <v>1326</v>
      </c>
      <c r="B70" s="17" t="str">
        <f t="array" ref="B70">IFERROR(INDEX('07_Items'!$B$5:$B$198,MATCH($A70,'07_Items'!$A$5:$A$198,0)),"")</f>
        <v>Bases, footings, aprons and ground slabs, thickness 150mm</v>
      </c>
      <c r="C70" s="17" t="str">
        <f t="array" ref="C70">IFERROR(INDEX('07_Items'!$C$5:$C$198,MATCH($A70,'07_Items'!$A$5:$A$198,0)),"")</f>
        <v>Cu.m</v>
      </c>
      <c r="D70" s="32">
        <v>450</v>
      </c>
      <c r="E70" s="17" t="s">
        <v>2189</v>
      </c>
      <c r="F70" s="17" t="s">
        <v>2190</v>
      </c>
    </row>
    <row r="71" spans="1:6" ht="15.75" customHeight="1" x14ac:dyDescent="0.3">
      <c r="A71" s="17" t="s">
        <v>1327</v>
      </c>
      <c r="B71" s="17" t="str">
        <f t="array" ref="B71">IFERROR(INDEX('07_Items'!$B$5:$B$198,MATCH($A71,'07_Items'!$A$5:$A$198,0)),"")</f>
        <v>Apron and walls thickness 150-300mm</v>
      </c>
      <c r="C71" s="17" t="str">
        <f t="array" ref="C71">IFERROR(INDEX('07_Items'!$C$5:$C$198,MATCH($A71,'07_Items'!$A$5:$A$198,0)),"")</f>
        <v>Cu.m</v>
      </c>
      <c r="D71" s="32">
        <v>450</v>
      </c>
      <c r="E71" s="17" t="s">
        <v>2189</v>
      </c>
      <c r="F71" s="17" t="s">
        <v>2190</v>
      </c>
    </row>
    <row r="72" spans="1:6" ht="15.75" customHeight="1" x14ac:dyDescent="0.3">
      <c r="A72" s="17" t="s">
        <v>1439</v>
      </c>
      <c r="B72" s="17" t="str">
        <f t="array" ref="B72">IFERROR(INDEX('07_Items'!$B$5:$B$198,MATCH($A72,'07_Items'!$A$5:$A$198,0)),"")</f>
        <v>Bases, footings, aprons and ground slabs, thickness 150-300mm</v>
      </c>
      <c r="C72" s="17" t="str">
        <f t="array" ref="C72">IFERROR(INDEX('07_Items'!$C$5:$C$198,MATCH($A72,'07_Items'!$A$5:$A$198,0)),"")</f>
        <v>cu.m</v>
      </c>
      <c r="D72" s="32">
        <v>660</v>
      </c>
      <c r="E72" s="17" t="s">
        <v>2189</v>
      </c>
      <c r="F72" s="17" t="s">
        <v>2190</v>
      </c>
    </row>
    <row r="73" spans="1:6" ht="15.75" customHeight="1" x14ac:dyDescent="0.3">
      <c r="A73" s="17" t="s">
        <v>1440</v>
      </c>
      <c r="B73" s="17" t="str">
        <f t="array" ref="B73">IFERROR(INDEX('07_Items'!$B$5:$B$198,MATCH($A73,'07_Items'!$A$5:$A$198,0)),"")</f>
        <v>Bases, footings, aprons and ground slabs, thickness 300-500mm</v>
      </c>
      <c r="C73" s="17" t="str">
        <f t="array" ref="C73">IFERROR(INDEX('07_Items'!$C$5:$C$198,MATCH($A73,'07_Items'!$A$5:$A$198,0)),"")</f>
        <v>cu.m</v>
      </c>
      <c r="D73" s="32">
        <v>660</v>
      </c>
      <c r="E73" s="17" t="s">
        <v>2189</v>
      </c>
      <c r="F73" s="17" t="s">
        <v>2190</v>
      </c>
    </row>
    <row r="74" spans="1:6" ht="15.75" customHeight="1" x14ac:dyDescent="0.3">
      <c r="A74" s="17" t="s">
        <v>1441</v>
      </c>
      <c r="B74" s="17" t="str">
        <f t="array" ref="B74">IFERROR(INDEX('07_Items'!$B$5:$B$198,MATCH($A74,'07_Items'!$A$5:$A$198,0)),"")</f>
        <v>Suspended slab, thickness 150-300mm</v>
      </c>
      <c r="C74" s="17" t="str">
        <f t="array" ref="C74">IFERROR(INDEX('07_Items'!$C$5:$C$198,MATCH($A74,'07_Items'!$A$5:$A$198,0)),"")</f>
        <v>cu.m</v>
      </c>
      <c r="D74" s="32">
        <v>660</v>
      </c>
      <c r="E74" s="17" t="s">
        <v>2189</v>
      </c>
      <c r="F74" s="17" t="s">
        <v>2190</v>
      </c>
    </row>
    <row r="75" spans="1:6" ht="15.75" customHeight="1" x14ac:dyDescent="0.3">
      <c r="A75" s="17" t="s">
        <v>1442</v>
      </c>
      <c r="B75" s="17" t="str">
        <f t="array" ref="B75">IFERROR(INDEX('07_Items'!$B$5:$B$198,MATCH($A75,'07_Items'!$A$5:$A$198,0)),"")</f>
        <v>Suspended slab, thickness 300-500mm</v>
      </c>
      <c r="C75" s="17" t="str">
        <f t="array" ref="C75">IFERROR(INDEX('07_Items'!$C$5:$C$198,MATCH($A75,'07_Items'!$A$5:$A$198,0)),"")</f>
        <v>cu.m</v>
      </c>
      <c r="D75" s="32">
        <v>660</v>
      </c>
      <c r="E75" s="17" t="s">
        <v>2189</v>
      </c>
      <c r="F75" s="17" t="s">
        <v>2190</v>
      </c>
    </row>
    <row r="76" spans="1:6" ht="15.75" customHeight="1" x14ac:dyDescent="0.3">
      <c r="A76" s="17" t="s">
        <v>1443</v>
      </c>
      <c r="B76" s="17" t="str">
        <f t="array" ref="B76">IFERROR(INDEX('07_Items'!$B$5:$B$198,MATCH($A76,'07_Items'!$A$5:$A$198,0)),"")</f>
        <v>Walls, thickness 150-300mm</v>
      </c>
      <c r="C76" s="17" t="str">
        <f t="array" ref="C76">IFERROR(INDEX('07_Items'!$C$5:$C$198,MATCH($A76,'07_Items'!$A$5:$A$198,0)),"")</f>
        <v>cu.m</v>
      </c>
      <c r="D76" s="32">
        <v>660</v>
      </c>
      <c r="E76" s="17" t="s">
        <v>2189</v>
      </c>
      <c r="F76" s="17" t="s">
        <v>2191</v>
      </c>
    </row>
    <row r="77" spans="1:6" ht="15.75" customHeight="1" x14ac:dyDescent="0.3">
      <c r="A77" s="17" t="s">
        <v>1444</v>
      </c>
      <c r="B77" s="17" t="str">
        <f t="array" ref="B77">IFERROR(INDEX('07_Items'!$B$5:$B$198,MATCH($A77,'07_Items'!$A$5:$A$198,0)),"")</f>
        <v>Walls, thickness 300-500mm</v>
      </c>
      <c r="C77" s="17" t="str">
        <f t="array" ref="C77">IFERROR(INDEX('07_Items'!$C$5:$C$198,MATCH($A77,'07_Items'!$A$5:$A$198,0)),"")</f>
        <v>cu.m</v>
      </c>
      <c r="D77" s="32">
        <v>660</v>
      </c>
      <c r="E77" s="17" t="s">
        <v>2189</v>
      </c>
      <c r="F77" s="17" t="s">
        <v>2190</v>
      </c>
    </row>
    <row r="78" spans="1:6" ht="15.75" customHeight="1" x14ac:dyDescent="0.3">
      <c r="A78" s="17" t="s">
        <v>1445</v>
      </c>
      <c r="B78" s="17" t="str">
        <f t="array" ref="B78">IFERROR(INDEX('07_Items'!$B$5:$B$198,MATCH($A78,'07_Items'!$A$5:$A$198,0)),"")</f>
        <v>Rough formwork to vertical surfaces, any width.</v>
      </c>
      <c r="C78" s="17" t="str">
        <f t="array" ref="C78">IFERROR(INDEX('07_Items'!$C$5:$C$198,MATCH($A78,'07_Items'!$A$5:$A$198,0)),"")</f>
        <v>sq.m</v>
      </c>
      <c r="D78" s="32">
        <v>140</v>
      </c>
      <c r="E78" s="17" t="s">
        <v>2189</v>
      </c>
      <c r="F78" s="17" t="s">
        <v>2192</v>
      </c>
    </row>
    <row r="79" spans="1:6" ht="15.75" customHeight="1" x14ac:dyDescent="0.3">
      <c r="A79" s="17" t="s">
        <v>1446</v>
      </c>
      <c r="B79" s="17" t="str">
        <f t="array" ref="B79">IFERROR(INDEX('07_Items'!$B$5:$B$198,MATCH($A79,'07_Items'!$A$5:$A$198,0)),"")</f>
        <v>Ditto item G 114, exceeding 1.22m wide</v>
      </c>
      <c r="C79" s="17" t="str">
        <f t="array" ref="C79">IFERROR(INDEX('07_Items'!$C$5:$C$198,MATCH($A79,'07_Items'!$A$5:$A$198,0)),"")</f>
        <v>sq.m</v>
      </c>
      <c r="D79" s="32">
        <v>140</v>
      </c>
      <c r="E79" s="17" t="s">
        <v>2189</v>
      </c>
      <c r="F79" s="17" t="s">
        <v>2190</v>
      </c>
    </row>
    <row r="80" spans="1:6" ht="15.75" customHeight="1" x14ac:dyDescent="0.3">
      <c r="A80" s="17" t="s">
        <v>1447</v>
      </c>
      <c r="B80" s="17" t="str">
        <f t="array" ref="B80">IFERROR(INDEX('07_Items'!$B$5:$B$198,MATCH($A80,'07_Items'!$A$5:$A$198,0)),"")</f>
        <v xml:space="preserve">Sawn formwork to vertical surfaces, 0.2-0.4m wide </v>
      </c>
      <c r="C80" s="17" t="str">
        <f t="array" ref="C80">IFERROR(INDEX('07_Items'!$C$5:$C$198,MATCH($A80,'07_Items'!$A$5:$A$198,0)),"")</f>
        <v>sq.m</v>
      </c>
      <c r="D80" s="32">
        <v>155</v>
      </c>
      <c r="E80" s="17" t="s">
        <v>2189</v>
      </c>
      <c r="F80" s="17" t="s">
        <v>2190</v>
      </c>
    </row>
    <row r="81" spans="1:6" ht="15.75" customHeight="1" x14ac:dyDescent="0.3">
      <c r="A81" s="17" t="s">
        <v>1448</v>
      </c>
      <c r="B81" s="17" t="str">
        <f t="array" ref="B81">IFERROR(INDEX('07_Items'!$B$5:$B$198,MATCH($A81,'07_Items'!$A$5:$A$198,0)),"")</f>
        <v>Fair formwork to soffits of slabs, exceeding 1.2m wide</v>
      </c>
      <c r="C81" s="17" t="str">
        <f t="array" ref="C81">IFERROR(INDEX('07_Items'!$C$5:$C$198,MATCH($A81,'07_Items'!$A$5:$A$198,0)),"")</f>
        <v>sq.m</v>
      </c>
      <c r="D81" s="32">
        <v>155</v>
      </c>
      <c r="E81" s="17" t="s">
        <v>2189</v>
      </c>
      <c r="F81" s="17" t="s">
        <v>2193</v>
      </c>
    </row>
    <row r="82" spans="1:6" ht="15.75" customHeight="1" x14ac:dyDescent="0.3">
      <c r="A82" s="17" t="s">
        <v>1449</v>
      </c>
      <c r="B82" s="17" t="str">
        <f t="array" ref="B82">IFERROR(INDEX('07_Items'!$B$5:$B$198,MATCH($A82,'07_Items'!$A$5:$A$198,0)),"")</f>
        <v xml:space="preserve">Fair formwork to vertical surfaces, 0.2-0.4m wide </v>
      </c>
      <c r="C82" s="17" t="str">
        <f t="array" ref="C82">IFERROR(INDEX('07_Items'!$C$5:$C$198,MATCH($A82,'07_Items'!$A$5:$A$198,0)),"")</f>
        <v>sq.m</v>
      </c>
      <c r="D82" s="32">
        <v>155</v>
      </c>
      <c r="E82" s="17" t="s">
        <v>2189</v>
      </c>
      <c r="F82" s="17" t="s">
        <v>2190</v>
      </c>
    </row>
    <row r="83" spans="1:6" ht="15.75" customHeight="1" x14ac:dyDescent="0.3">
      <c r="A83" s="17" t="s">
        <v>1329</v>
      </c>
      <c r="B83" s="17" t="str">
        <f t="array" ref="B83">IFERROR(INDEX('07_Items'!$B$5:$B$198,MATCH($A83,'07_Items'!$A$5:$A$198,0)),"")</f>
        <v>Ditto item G 243, exceeding 1.22m wide</v>
      </c>
      <c r="C83" s="17" t="str">
        <f t="array" ref="C83">IFERROR(INDEX('07_Items'!$C$5:$C$198,MATCH($A83,'07_Items'!$A$5:$A$198,0)),"")</f>
        <v>sq.m</v>
      </c>
      <c r="D83" s="32">
        <v>155</v>
      </c>
      <c r="E83" s="17" t="s">
        <v>2189</v>
      </c>
      <c r="F83" s="17" t="s">
        <v>2190</v>
      </c>
    </row>
    <row r="84" spans="1:6" ht="15.75" customHeight="1" x14ac:dyDescent="0.3">
      <c r="A84" s="17" t="s">
        <v>1450</v>
      </c>
      <c r="B84" s="17" t="str">
        <f t="array" ref="B84">IFERROR(INDEX('07_Items'!$B$5:$B$198,MATCH($A84,'07_Items'!$A$5:$A$198,0)),"")</f>
        <v>8mm diameter ditto item G 511</v>
      </c>
      <c r="C84" s="17" t="str">
        <f t="array" ref="C84">IFERROR(INDEX('07_Items'!$C$5:$C$198,MATCH($A84,'07_Items'!$A$5:$A$198,0)),"")</f>
        <v>T</v>
      </c>
      <c r="D84" s="32">
        <v>18500</v>
      </c>
      <c r="E84" s="17" t="s">
        <v>2189</v>
      </c>
      <c r="F84" s="17" t="s">
        <v>2190</v>
      </c>
    </row>
    <row r="85" spans="1:6" ht="15.75" customHeight="1" x14ac:dyDescent="0.3">
      <c r="A85" s="17" t="s">
        <v>1451</v>
      </c>
      <c r="B85" s="17" t="str">
        <f t="array" ref="B85">IFERROR(INDEX('07_Items'!$B$5:$B$198,MATCH($A85,'07_Items'!$A$5:$A$198,0)),"")</f>
        <v>10mm diameter ditto item G 511</v>
      </c>
      <c r="C85" s="17" t="str">
        <f t="array" ref="C85">IFERROR(INDEX('07_Items'!$C$5:$C$198,MATCH($A85,'07_Items'!$A$5:$A$198,0)),"")</f>
        <v>T</v>
      </c>
      <c r="D85" s="32">
        <v>18500</v>
      </c>
      <c r="E85" s="17" t="s">
        <v>2189</v>
      </c>
      <c r="F85" s="17" t="s">
        <v>2190</v>
      </c>
    </row>
    <row r="86" spans="1:6" ht="15.75" customHeight="1" x14ac:dyDescent="0.3">
      <c r="A86" s="17" t="s">
        <v>1452</v>
      </c>
      <c r="B86" s="17" t="str">
        <f t="array" ref="B86">IFERROR(INDEX('07_Items'!$B$5:$B$198,MATCH($A86,'07_Items'!$A$5:$A$198,0)),"")</f>
        <v>12mm diameter ditto item G 511</v>
      </c>
      <c r="C86" s="17" t="str">
        <f t="array" ref="C86">IFERROR(INDEX('07_Items'!$C$5:$C$198,MATCH($A86,'07_Items'!$A$5:$A$198,0)),"")</f>
        <v>T</v>
      </c>
      <c r="D86" s="32">
        <v>18500</v>
      </c>
      <c r="E86" s="17" t="s">
        <v>2189</v>
      </c>
      <c r="F86" s="17" t="s">
        <v>2190</v>
      </c>
    </row>
    <row r="87" spans="1:6" ht="15.75" customHeight="1" x14ac:dyDescent="0.3">
      <c r="A87" s="17" t="s">
        <v>1453</v>
      </c>
      <c r="B87" s="17" t="str">
        <f t="array" ref="B87">IFERROR(INDEX('07_Items'!$B$5:$B$198,MATCH($A87,'07_Items'!$A$5:$A$198,0)),"")</f>
        <v>16mm diameter ditto item G 511</v>
      </c>
      <c r="C87" s="17" t="str">
        <f t="array" ref="C87">IFERROR(INDEX('07_Items'!$C$5:$C$198,MATCH($A87,'07_Items'!$A$5:$A$198,0)),"")</f>
        <v>T</v>
      </c>
      <c r="D87" s="32">
        <v>18500</v>
      </c>
      <c r="E87" s="17" t="s">
        <v>2189</v>
      </c>
      <c r="F87" s="17" t="s">
        <v>2190</v>
      </c>
    </row>
    <row r="88" spans="1:6" ht="15.75" customHeight="1" x14ac:dyDescent="0.3">
      <c r="A88" s="17" t="s">
        <v>1454</v>
      </c>
      <c r="B88" s="17" t="str">
        <f t="array" ref="B88">IFERROR(INDEX('07_Items'!$B$5:$B$198,MATCH($A88,'07_Items'!$A$5:$A$198,0)),"")</f>
        <v>20mm diameter ditto item G 511</v>
      </c>
      <c r="C88" s="17" t="str">
        <f t="array" ref="C88">IFERROR(INDEX('07_Items'!$C$5:$C$198,MATCH($A88,'07_Items'!$A$5:$A$198,0)),"")</f>
        <v>T</v>
      </c>
      <c r="D88" s="32">
        <v>18500</v>
      </c>
      <c r="E88" s="17" t="s">
        <v>2189</v>
      </c>
      <c r="F88" s="17" t="s">
        <v>2190</v>
      </c>
    </row>
    <row r="89" spans="1:6" ht="15.75" customHeight="1" x14ac:dyDescent="0.3">
      <c r="A89" s="17" t="s">
        <v>2086</v>
      </c>
      <c r="B89" s="17" t="str">
        <f t="array" ref="B89">IFERROR(INDEX('07_Items'!$B$5:$B$198,MATCH($A89,'07_Items'!$A$5:$A$198,0)),"")</f>
        <v>Mild Steel Fabric Reinforcement</v>
      </c>
      <c r="C89" s="17" t="str">
        <f t="array" ref="C89">IFERROR(INDEX('07_Items'!$C$5:$C$198,MATCH($A89,'07_Items'!$A$5:$A$198,0)),"")</f>
        <v>sq.m</v>
      </c>
      <c r="D89" s="32">
        <v>20</v>
      </c>
      <c r="E89" s="17" t="s">
        <v>2189</v>
      </c>
      <c r="F89" s="17" t="s">
        <v>2190</v>
      </c>
    </row>
    <row r="90" spans="1:6" ht="15.75" customHeight="1" x14ac:dyDescent="0.3">
      <c r="A90" s="17" t="s">
        <v>2088</v>
      </c>
      <c r="B90" s="17" t="str">
        <f t="array" ref="B90">IFERROR(INDEX('07_Items'!$B$5:$B$198,MATCH($A90,'07_Items'!$A$5:$A$198,0)),"")</f>
        <v>Horizontal joint between slabs with 10mm thick</v>
      </c>
      <c r="C90" s="17">
        <f t="array" ref="C90">IFERROR(INDEX('07_Items'!$C$5:$C$198,MATCH($A90,'07_Items'!$A$5:$A$198,0)),"")</f>
        <v>0</v>
      </c>
      <c r="D90" s="32">
        <v>18500</v>
      </c>
      <c r="E90" s="17" t="s">
        <v>2189</v>
      </c>
      <c r="F90" s="17" t="s">
        <v>2190</v>
      </c>
    </row>
    <row r="91" spans="1:6" ht="15.75" customHeight="1" x14ac:dyDescent="0.3">
      <c r="A91" s="17" t="s">
        <v>1330</v>
      </c>
      <c r="B91" s="17" t="str">
        <f t="array" ref="B91">IFERROR(INDEX('07_Items'!$B$5:$B$198,MATCH($A91,'07_Items'!$A$5:$A$198,0)),"")</f>
        <v>Provide, lay and joint 1/600mm diameter pipe in trench</v>
      </c>
      <c r="C91" s="17" t="str">
        <f t="array" ref="C91">IFERROR(INDEX('07_Items'!$C$5:$C$198,MATCH($A91,'07_Items'!$A$5:$A$198,0)),"")</f>
        <v>m</v>
      </c>
      <c r="D91" s="32">
        <v>2600</v>
      </c>
      <c r="E91" s="17" t="s">
        <v>2189</v>
      </c>
      <c r="F91" s="17" t="s">
        <v>2190</v>
      </c>
    </row>
    <row r="92" spans="1:6" ht="15.75" customHeight="1" x14ac:dyDescent="0.3">
      <c r="A92" s="17" t="s">
        <v>1331</v>
      </c>
      <c r="B92" s="17" t="str">
        <f t="array" ref="B92">IFERROR(INDEX('07_Items'!$B$5:$B$198,MATCH($A92,'07_Items'!$A$5:$A$198,0)),"")</f>
        <v>Ditto item I 232, 900mm diameter ditto</v>
      </c>
      <c r="C92" s="17" t="str">
        <f t="array" ref="C92">IFERROR(INDEX('07_Items'!$C$5:$C$198,MATCH($A92,'07_Items'!$A$5:$A$198,0)),"")</f>
        <v>m</v>
      </c>
      <c r="D92" s="32">
        <v>3000</v>
      </c>
      <c r="E92" s="17" t="s">
        <v>2189</v>
      </c>
      <c r="F92" s="17" t="s">
        <v>2190</v>
      </c>
    </row>
    <row r="93" spans="1:6" ht="15.75" customHeight="1" x14ac:dyDescent="0.3">
      <c r="A93" s="17" t="s">
        <v>1332</v>
      </c>
      <c r="B93" s="17" t="str">
        <f t="array" ref="B93">IFERROR(INDEX('07_Items'!$B$5:$B$198,MATCH($A93,'07_Items'!$A$5:$A$198,0)),"")</f>
        <v>Ditto item I 232, 1200mm diameter ditto</v>
      </c>
      <c r="C93" s="17" t="str">
        <f t="array" ref="C93">IFERROR(INDEX('07_Items'!$C$5:$C$198,MATCH($A93,'07_Items'!$A$5:$A$198,0)),"")</f>
        <v>m</v>
      </c>
      <c r="D93" s="32">
        <v>3500</v>
      </c>
      <c r="E93" s="17" t="s">
        <v>2189</v>
      </c>
      <c r="F93" s="17" t="s">
        <v>2190</v>
      </c>
    </row>
    <row r="94" spans="1:6" ht="15.75" customHeight="1" x14ac:dyDescent="0.3">
      <c r="A94" s="17" t="s">
        <v>1333</v>
      </c>
      <c r="B94" s="17" t="str">
        <f t="array" ref="B94">IFERROR(INDEX('07_Items'!$B$5:$B$198,MATCH($A94,'07_Items'!$A$5:$A$198,0)),"")</f>
        <v>Ditto item I 232, 1500mm diameter ditto</v>
      </c>
      <c r="C94" s="17" t="str">
        <f t="array" ref="C94">IFERROR(INDEX('07_Items'!$C$5:$C$198,MATCH($A94,'07_Items'!$A$5:$A$198,0)),"")</f>
        <v>m</v>
      </c>
      <c r="D94" s="32">
        <v>5000</v>
      </c>
      <c r="E94" s="17" t="s">
        <v>2189</v>
      </c>
      <c r="F94" s="17" t="s">
        <v>2190</v>
      </c>
    </row>
    <row r="95" spans="1:6" ht="15.75" customHeight="1" x14ac:dyDescent="0.3">
      <c r="A95" s="17" t="s">
        <v>1334</v>
      </c>
      <c r="B95" s="17" t="str">
        <f t="array" ref="B95">IFERROR(INDEX('07_Items'!$B$5:$B$198,MATCH($A95,'07_Items'!$A$5:$A$198,0)),"")</f>
        <v>Ditto item I 232, 1800mm diameter ditto</v>
      </c>
      <c r="C95" s="17" t="str">
        <f t="array" ref="C95">IFERROR(INDEX('07_Items'!$C$5:$C$198,MATCH($A95,'07_Items'!$A$5:$A$198,0)),"")</f>
        <v>m</v>
      </c>
      <c r="D95" s="32">
        <v>6500</v>
      </c>
      <c r="E95" s="17" t="s">
        <v>2189</v>
      </c>
      <c r="F95" s="17" t="s">
        <v>2190</v>
      </c>
    </row>
    <row r="96" spans="1:6" ht="15.75" customHeight="1" x14ac:dyDescent="0.3">
      <c r="A96" s="17" t="s">
        <v>1335</v>
      </c>
      <c r="B96" s="17" t="str">
        <f t="array" ref="B96">IFERROR(INDEX('07_Items'!$B$5:$B$198,MATCH($A96,'07_Items'!$A$5:$A$198,0)),"")</f>
        <v>Provide and place mass concrete Grade C20/40 aggregate, 150mm thick in beds and surround to single 600 mm Pipe Culvert</v>
      </c>
      <c r="C96" s="17" t="str">
        <f t="array" ref="C96">IFERROR(INDEX('07_Items'!$C$5:$C$198,MATCH($A96,'07_Items'!$A$5:$A$198,0)),"")</f>
        <v>m</v>
      </c>
      <c r="D96" s="32">
        <v>3000</v>
      </c>
      <c r="E96" s="17" t="s">
        <v>2189</v>
      </c>
      <c r="F96" s="17" t="s">
        <v>2190</v>
      </c>
    </row>
    <row r="97" spans="1:6" ht="15.75" customHeight="1" x14ac:dyDescent="0.3">
      <c r="A97" s="17" t="s">
        <v>1338</v>
      </c>
      <c r="B97" s="17" t="str">
        <f t="array" ref="B97">IFERROR(INDEX('07_Items'!$B$5:$B$198,MATCH($A97,'07_Items'!$A$5:$A$198,0)),"")</f>
        <v>Provide and place mass concrete Grade C20/40 aggregate, 150mm thick in beds and surround to single</v>
      </c>
      <c r="C97" s="17" t="str">
        <f t="array" ref="C97">IFERROR(INDEX('07_Items'!$C$5:$C$198,MATCH($A97,'07_Items'!$A$5:$A$198,0)),"")</f>
        <v>m</v>
      </c>
      <c r="D97" s="32">
        <v>3400</v>
      </c>
      <c r="E97" s="17" t="s">
        <v>2189</v>
      </c>
      <c r="F97" s="17" t="s">
        <v>2190</v>
      </c>
    </row>
    <row r="98" spans="1:6" ht="15.75" customHeight="1" x14ac:dyDescent="0.3">
      <c r="A98" s="17" t="s">
        <v>1339</v>
      </c>
      <c r="B98" s="17" t="str">
        <f t="array" ref="B98">IFERROR(INDEX('07_Items'!$B$5:$B$198,MATCH($A98,'07_Items'!$A$5:$A$198,0)),"")</f>
        <v>Ditto item L 343.1, double 900mm ditto</v>
      </c>
      <c r="C98" s="17" t="str">
        <f t="array" ref="C98">IFERROR(INDEX('07_Items'!$C$5:$C$198,MATCH($A98,'07_Items'!$A$5:$A$198,0)),"")</f>
        <v>m</v>
      </c>
      <c r="D98" s="32">
        <v>4500</v>
      </c>
      <c r="E98" s="17" t="s">
        <v>2189</v>
      </c>
      <c r="F98" s="17" t="s">
        <v>2190</v>
      </c>
    </row>
    <row r="99" spans="1:6" ht="15.75" customHeight="1" x14ac:dyDescent="0.3">
      <c r="A99" s="17" t="s">
        <v>1340</v>
      </c>
      <c r="B99" s="17" t="str">
        <f t="array" ref="B99">IFERROR(INDEX('07_Items'!$B$5:$B$198,MATCH($A99,'07_Items'!$A$5:$A$198,0)),"")</f>
        <v>Ditto item L 343.1, tripple 900mm ditto</v>
      </c>
      <c r="C99" s="17" t="str">
        <f t="array" ref="C99">IFERROR(INDEX('07_Items'!$C$5:$C$198,MATCH($A99,'07_Items'!$A$5:$A$198,0)),"")</f>
        <v>m</v>
      </c>
      <c r="D99" s="32">
        <v>6000</v>
      </c>
      <c r="E99" s="17" t="s">
        <v>2189</v>
      </c>
      <c r="F99" s="17" t="s">
        <v>2190</v>
      </c>
    </row>
    <row r="100" spans="1:6" ht="15.75" customHeight="1" x14ac:dyDescent="0.3">
      <c r="A100" s="17" t="s">
        <v>1341</v>
      </c>
      <c r="B100" s="17" t="str">
        <f t="array" ref="B100">IFERROR(INDEX('07_Items'!$B$5:$B$198,MATCH($A100,'07_Items'!$A$5:$A$198,0)),"")</f>
        <v xml:space="preserve"> Provide and place mass concrete in bed and surround to single 1200mm diameter pipe</v>
      </c>
      <c r="C100" s="17" t="str">
        <f t="array" ref="C100">IFERROR(INDEX('07_Items'!$C$5:$C$198,MATCH($A100,'07_Items'!$A$5:$A$198,0)),"")</f>
        <v>m</v>
      </c>
      <c r="D100" s="32">
        <v>4200</v>
      </c>
      <c r="E100" s="17" t="s">
        <v>2189</v>
      </c>
      <c r="F100" s="17" t="s">
        <v>2190</v>
      </c>
    </row>
    <row r="101" spans="1:6" ht="15.75" customHeight="1" x14ac:dyDescent="0.3">
      <c r="A101" s="17" t="s">
        <v>1342</v>
      </c>
      <c r="B101" s="17" t="str">
        <f t="array" ref="B101">IFERROR(INDEX('07_Items'!$B$5:$B$198,MATCH($A101,'07_Items'!$A$5:$A$198,0)),"")</f>
        <v>Provide and place mass concrete in bed and surround to double1200mm diameter nominal distant 2700mm</v>
      </c>
      <c r="C101" s="17" t="str">
        <f t="array" ref="C101">IFERROR(INDEX('07_Items'!$C$5:$C$198,MATCH($A101,'07_Items'!$A$5:$A$198,0)),"")</f>
        <v>m</v>
      </c>
      <c r="D101" s="32">
        <v>6500</v>
      </c>
      <c r="E101" s="17" t="s">
        <v>2189</v>
      </c>
      <c r="F101" s="17" t="s">
        <v>2190</v>
      </c>
    </row>
    <row r="102" spans="1:6" ht="15.75" customHeight="1" x14ac:dyDescent="0.3">
      <c r="A102" s="17" t="s">
        <v>1343</v>
      </c>
      <c r="B102" s="17" t="str">
        <f t="array" ref="B102">IFERROR(INDEX('07_Items'!$B$5:$B$198,MATCH($A102,'07_Items'!$A$5:$A$198,0)),"")</f>
        <v>Provide and place mass concrete in bed and surround to tripple 1200mm diameter nominal distant 2700mm</v>
      </c>
      <c r="C102" s="17" t="str">
        <f t="array" ref="C102">IFERROR(INDEX('07_Items'!$C$5:$C$198,MATCH($A102,'07_Items'!$A$5:$A$198,0)),"")</f>
        <v>m</v>
      </c>
      <c r="D102" s="32">
        <v>8000</v>
      </c>
      <c r="E102" s="17" t="s">
        <v>2189</v>
      </c>
      <c r="F102" s="17" t="s">
        <v>2190</v>
      </c>
    </row>
    <row r="103" spans="1:6" ht="15.75" customHeight="1" x14ac:dyDescent="0.3">
      <c r="A103" s="17" t="s">
        <v>1344</v>
      </c>
      <c r="B103" s="17" t="str">
        <f t="array" ref="B103">IFERROR(INDEX('07_Items'!$B$5:$B$198,MATCH($A103,'07_Items'!$A$5:$A$198,0)),"")</f>
        <v>Provide and place mass concrete in bed and surround to single 1500mm diameter pipe</v>
      </c>
      <c r="C103" s="17" t="str">
        <f t="array" ref="C103">IFERROR(INDEX('07_Items'!$C$5:$C$198,MATCH($A103,'07_Items'!$A$5:$A$198,0)),"")</f>
        <v>m</v>
      </c>
      <c r="D103" s="32">
        <v>6000</v>
      </c>
      <c r="E103" s="17" t="s">
        <v>2189</v>
      </c>
      <c r="F103" s="17" t="s">
        <v>2190</v>
      </c>
    </row>
    <row r="104" spans="1:6" ht="15.75" customHeight="1" x14ac:dyDescent="0.3">
      <c r="A104" s="17" t="s">
        <v>1345</v>
      </c>
      <c r="B104" s="17" t="str">
        <f t="array" ref="B104">IFERROR(INDEX('07_Items'!$B$5:$B$198,MATCH($A104,'07_Items'!$A$5:$A$198,0)),"")</f>
        <v>Provide and place mass concrete in bed and surround to double1500mm diameter nominal distant 3900mm</v>
      </c>
      <c r="C104" s="17" t="str">
        <f t="array" ref="C104">IFERROR(INDEX('07_Items'!$C$5:$C$198,MATCH($A104,'07_Items'!$A$5:$A$198,0)),"")</f>
        <v>m</v>
      </c>
      <c r="D104" s="32">
        <v>9600</v>
      </c>
      <c r="E104" s="17" t="s">
        <v>2189</v>
      </c>
      <c r="F104" s="17" t="s">
        <v>2190</v>
      </c>
    </row>
    <row r="105" spans="1:6" ht="15.75" customHeight="1" x14ac:dyDescent="0.3">
      <c r="A105" s="17" t="s">
        <v>1346</v>
      </c>
      <c r="B105" s="17" t="str">
        <f t="array" ref="B105">IFERROR(INDEX('07_Items'!$B$5:$B$198,MATCH($A105,'07_Items'!$A$5:$A$198,0)),"")</f>
        <v>Provide and place mass concrete in bed and surround to tripple 1500mm diameter nominal distant 6000mm</v>
      </c>
      <c r="C105" s="17" t="str">
        <f t="array" ref="C105">IFERROR(INDEX('07_Items'!$C$5:$C$198,MATCH($A105,'07_Items'!$A$5:$A$198,0)),"")</f>
        <v>m</v>
      </c>
      <c r="D105" s="32">
        <v>14200</v>
      </c>
      <c r="E105" s="17" t="s">
        <v>2189</v>
      </c>
      <c r="F105" s="17" t="s">
        <v>2190</v>
      </c>
    </row>
    <row r="106" spans="1:6" ht="15.75" customHeight="1" x14ac:dyDescent="0.3">
      <c r="A106" s="17" t="s">
        <v>1347</v>
      </c>
      <c r="B106" s="17" t="str">
        <f t="array" ref="B106">IFERROR(INDEX('07_Items'!$B$5:$B$198,MATCH($A106,'07_Items'!$A$5:$A$198,0)),"")</f>
        <v>Provide and place mass concrete in bed and surround to single1800mm diameter nominal distant 3900mm</v>
      </c>
      <c r="C106" s="17" t="str">
        <f t="array" ref="C106">IFERROR(INDEX('07_Items'!$C$5:$C$198,MATCH($A106,'07_Items'!$A$5:$A$198,0)),"")</f>
        <v>m</v>
      </c>
      <c r="D106" s="32">
        <v>9500</v>
      </c>
      <c r="E106" s="17" t="s">
        <v>2189</v>
      </c>
      <c r="F106" s="17" t="s">
        <v>2190</v>
      </c>
    </row>
    <row r="107" spans="1:6" ht="15.75" customHeight="1" x14ac:dyDescent="0.3">
      <c r="A107" s="17" t="s">
        <v>1348</v>
      </c>
      <c r="B107" s="17" t="str">
        <f t="array" ref="B107">IFERROR(INDEX('07_Items'!$B$5:$B$198,MATCH($A107,'07_Items'!$A$5:$A$198,0)),"")</f>
        <v>Provide and place mass concrete in bed and surround to double 1800mm diameter nominal distant 3900mm</v>
      </c>
      <c r="C107" s="17" t="str">
        <f t="array" ref="C107">IFERROR(INDEX('07_Items'!$C$5:$C$198,MATCH($A107,'07_Items'!$A$5:$A$198,0)),"")</f>
        <v>m</v>
      </c>
      <c r="D107" s="32">
        <v>13000</v>
      </c>
      <c r="E107" s="17" t="s">
        <v>2189</v>
      </c>
      <c r="F107" s="17" t="s">
        <v>2190</v>
      </c>
    </row>
    <row r="108" spans="1:6" ht="15.75" customHeight="1" x14ac:dyDescent="0.3">
      <c r="A108" s="17" t="s">
        <v>1349</v>
      </c>
      <c r="B108" s="17" t="str">
        <f t="array" ref="B108">IFERROR(INDEX('07_Items'!$B$5:$B$198,MATCH($A108,'07_Items'!$A$5:$A$198,0)),"")</f>
        <v>Provide and place mass concrete in bed and surround to tripple1800mm diameter nominal distant 3900mm</v>
      </c>
      <c r="C108" s="17" t="str">
        <f t="array" ref="C108">IFERROR(INDEX('07_Items'!$C$5:$C$198,MATCH($A108,'07_Items'!$A$5:$A$198,0)),"")</f>
        <v>m</v>
      </c>
      <c r="D108" s="32">
        <v>16600</v>
      </c>
      <c r="E108" s="17" t="s">
        <v>2189</v>
      </c>
      <c r="F108" s="17" t="s">
        <v>2190</v>
      </c>
    </row>
    <row r="109" spans="1:6" ht="15.75" customHeight="1" x14ac:dyDescent="0.3">
      <c r="A109" s="17" t="s">
        <v>1917</v>
      </c>
      <c r="B109" s="17" t="str">
        <f t="array" ref="B109">IFERROR(INDEX('07_Items'!$B$5:$B$198,MATCH($A109,'07_Items'!$A$5:$A$198,0)),"")</f>
        <v>Excavate V-shaped ditches</v>
      </c>
      <c r="C109" s="17" t="str">
        <f t="array" ref="C109">IFERROR(INDEX('07_Items'!$C$5:$C$198,MATCH($A109,'07_Items'!$A$5:$A$198,0)),"")</f>
        <v>m</v>
      </c>
      <c r="D109" s="32">
        <v>12</v>
      </c>
      <c r="E109" s="17" t="s">
        <v>2189</v>
      </c>
      <c r="F109" s="17" t="s">
        <v>2190</v>
      </c>
    </row>
    <row r="110" spans="1:6" ht="15.75" customHeight="1" x14ac:dyDescent="0.3">
      <c r="A110" s="17" t="s">
        <v>1920</v>
      </c>
      <c r="B110" s="17" t="str">
        <f t="array" ref="B110">IFERROR(INDEX('07_Items'!$B$5:$B$198,MATCH($A110,'07_Items'!$A$5:$A$198,0)),"")</f>
        <v>Re-excavate V-shaped ditches</v>
      </c>
      <c r="C110" s="17" t="str">
        <f t="array" ref="C110">IFERROR(INDEX('07_Items'!$C$5:$C$198,MATCH($A110,'07_Items'!$A$5:$A$198,0)),"")</f>
        <v>m</v>
      </c>
      <c r="D110" s="32">
        <v>12</v>
      </c>
      <c r="E110" s="17" t="s">
        <v>2189</v>
      </c>
      <c r="F110" s="17" t="s">
        <v>2190</v>
      </c>
    </row>
    <row r="111" spans="1:6" ht="15.75" customHeight="1" x14ac:dyDescent="0.3">
      <c r="A111" s="17" t="s">
        <v>1922</v>
      </c>
      <c r="B111" s="17" t="str">
        <f t="array" ref="B111">IFERROR(INDEX('07_Items'!$B$5:$B$198,MATCH($A111,'07_Items'!$A$5:$A$198,0)),"")</f>
        <v>Clean V-shaped ditches</v>
      </c>
      <c r="C111" s="17" t="str">
        <f t="array" ref="C111">IFERROR(INDEX('07_Items'!$C$5:$C$198,MATCH($A111,'07_Items'!$A$5:$A$198,0)),"")</f>
        <v>m</v>
      </c>
      <c r="D111" s="32">
        <v>12</v>
      </c>
      <c r="E111" s="17" t="s">
        <v>2189</v>
      </c>
      <c r="F111" s="17" t="s">
        <v>2190</v>
      </c>
    </row>
    <row r="112" spans="1:6" ht="15.75" customHeight="1" x14ac:dyDescent="0.3">
      <c r="A112" s="17" t="s">
        <v>1924</v>
      </c>
      <c r="B112" s="17" t="str">
        <f t="array" ref="B112">IFERROR(INDEX('07_Items'!$B$5:$B$198,MATCH($A112,'07_Items'!$A$5:$A$198,0)),"")</f>
        <v>Excavate ditches for turnouts</v>
      </c>
      <c r="C112" s="17" t="str">
        <f t="array" ref="C112">IFERROR(INDEX('07_Items'!$C$5:$C$198,MATCH($A112,'07_Items'!$A$5:$A$198,0)),"")</f>
        <v>m</v>
      </c>
      <c r="D112" s="32">
        <v>12</v>
      </c>
      <c r="E112" s="17" t="s">
        <v>2189</v>
      </c>
      <c r="F112" s="17" t="s">
        <v>2190</v>
      </c>
    </row>
    <row r="113" spans="1:6" ht="15.75" customHeight="1" x14ac:dyDescent="0.3">
      <c r="A113" s="17" t="s">
        <v>1926</v>
      </c>
      <c r="B113" s="17" t="str">
        <f t="array" ref="B113">IFERROR(INDEX('07_Items'!$B$5:$B$198,MATCH($A113,'07_Items'!$A$5:$A$198,0)),"")</f>
        <v>Provision of scour checks</v>
      </c>
      <c r="C113" s="17" t="str">
        <f t="array" ref="C113">IFERROR(INDEX('07_Items'!$C$5:$C$198,MATCH($A113,'07_Items'!$A$5:$A$198,0)),"")</f>
        <v>nr</v>
      </c>
      <c r="D113" s="32">
        <v>12</v>
      </c>
      <c r="E113" s="17" t="s">
        <v>2189</v>
      </c>
      <c r="F113" s="17" t="s">
        <v>2190</v>
      </c>
    </row>
    <row r="114" spans="1:6" ht="15.75" customHeight="1" x14ac:dyDescent="0.3">
      <c r="A114" s="17" t="s">
        <v>1929</v>
      </c>
      <c r="B114" s="17" t="str">
        <f t="array" ref="B114">IFERROR(INDEX('07_Items'!$B$5:$B$198,MATCH($A114,'07_Items'!$A$5:$A$198,0)),"")</f>
        <v>450 × 450 concrete lined U-drain</v>
      </c>
      <c r="C114" s="17" t="str">
        <f t="array" ref="C114">IFERROR(INDEX('07_Items'!$C$5:$C$198,MATCH($A114,'07_Items'!$A$5:$A$198,0)),"")</f>
        <v>m</v>
      </c>
      <c r="D114" s="32">
        <v>1000</v>
      </c>
      <c r="E114" s="17" t="s">
        <v>2189</v>
      </c>
      <c r="F114" s="17" t="s">
        <v>2190</v>
      </c>
    </row>
    <row r="115" spans="1:6" ht="15.75" customHeight="1" x14ac:dyDescent="0.3">
      <c r="A115" s="17" t="s">
        <v>1937</v>
      </c>
      <c r="B115" s="17" t="str">
        <f t="array" ref="B115">IFERROR(INDEX('07_Items'!$B$5:$B$198,MATCH($A115,'07_Items'!$A$5:$A$198,0)),"")</f>
        <v>Trapezoidal concrete lined drain</v>
      </c>
      <c r="C115" s="17" t="str">
        <f t="array" ref="C115">IFERROR(INDEX('07_Items'!$C$5:$C$198,MATCH($A115,'07_Items'!$A$5:$A$198,0)),"")</f>
        <v>m</v>
      </c>
      <c r="D115" s="32">
        <v>1800</v>
      </c>
      <c r="E115" s="17" t="s">
        <v>2189</v>
      </c>
      <c r="F115" s="17" t="s">
        <v>2190</v>
      </c>
    </row>
    <row r="116" spans="1:6" ht="15.75" customHeight="1" x14ac:dyDescent="0.3">
      <c r="A116" s="17" t="s">
        <v>2111</v>
      </c>
      <c r="B116" s="17" t="str">
        <f t="array" ref="B116">IFERROR(INDEX('07_Items'!$B$5:$B$198,MATCH($A116,'07_Items'!$A$5:$A$198,0)),"")</f>
        <v>Concrete U-Drain cross-sectional (0.75-1.00 sq.m) [600 x 750 x 150mm thick wall internally]</v>
      </c>
      <c r="C116" s="17" t="str">
        <f t="array" ref="C116">IFERROR(INDEX('07_Items'!$C$5:$C$198,MATCH($A116,'07_Items'!$A$5:$A$198,0)),"")</f>
        <v>m</v>
      </c>
      <c r="D116" s="32">
        <v>1380</v>
      </c>
      <c r="E116" s="17" t="s">
        <v>2189</v>
      </c>
      <c r="F116" s="17" t="s">
        <v>2190</v>
      </c>
    </row>
    <row r="117" spans="1:6" ht="15.75" customHeight="1" x14ac:dyDescent="0.3">
      <c r="A117" s="17" t="s">
        <v>1931</v>
      </c>
      <c r="B117" s="17" t="str">
        <f t="array" ref="B117">IFERROR(INDEX('07_Items'!$B$5:$B$198,MATCH($A117,'07_Items'!$A$5:$A$198,0)),"")</f>
        <v>600 × 600 concrete lined U-drain</v>
      </c>
      <c r="C117" s="17" t="str">
        <f t="array" ref="C117">IFERROR(INDEX('07_Items'!$C$5:$C$198,MATCH($A117,'07_Items'!$A$5:$A$198,0)),"")</f>
        <v>m</v>
      </c>
      <c r="D117" s="32">
        <v>1364</v>
      </c>
      <c r="E117" s="17" t="s">
        <v>2189</v>
      </c>
      <c r="F117" s="17" t="s">
        <v>2190</v>
      </c>
    </row>
    <row r="118" spans="1:6" ht="15.75" customHeight="1" x14ac:dyDescent="0.3">
      <c r="A118" s="17" t="s">
        <v>1933</v>
      </c>
      <c r="B118" s="17" t="str">
        <f t="array" ref="B118">IFERROR(INDEX('07_Items'!$B$5:$B$198,MATCH($A118,'07_Items'!$A$5:$A$198,0)),"")</f>
        <v>750 × 750 concrete lined U-drain</v>
      </c>
      <c r="C118" s="17" t="str">
        <f t="array" ref="C118">IFERROR(INDEX('07_Items'!$C$5:$C$198,MATCH($A118,'07_Items'!$A$5:$A$198,0)),"")</f>
        <v>m</v>
      </c>
      <c r="D118" s="32">
        <v>1680</v>
      </c>
      <c r="E118" s="17" t="s">
        <v>2189</v>
      </c>
      <c r="F118" s="17" t="s">
        <v>2190</v>
      </c>
    </row>
    <row r="119" spans="1:6" ht="15.75" customHeight="1" x14ac:dyDescent="0.3">
      <c r="A119" s="17" t="s">
        <v>1935</v>
      </c>
      <c r="B119" s="17" t="str">
        <f t="array" ref="B119">IFERROR(INDEX('07_Items'!$B$5:$B$198,MATCH($A119,'07_Items'!$A$5:$A$198,0)),"")</f>
        <v>900 × 900 concrete lined U-drain</v>
      </c>
      <c r="C119" s="17" t="str">
        <f t="array" ref="C119">IFERROR(INDEX('07_Items'!$C$5:$C$198,MATCH($A119,'07_Items'!$A$5:$A$198,0)),"")</f>
        <v>m</v>
      </c>
      <c r="D119" s="32">
        <v>1950</v>
      </c>
      <c r="E119" s="17" t="s">
        <v>2189</v>
      </c>
      <c r="F119" s="17" t="s">
        <v>2190</v>
      </c>
    </row>
    <row r="120" spans="1:6" ht="15.75" customHeight="1" x14ac:dyDescent="0.3">
      <c r="A120" s="17" t="s">
        <v>1944</v>
      </c>
      <c r="B120" s="17" t="str">
        <f t="array" ref="B120">IFERROR(INDEX('07_Items'!$B$5:$B$198,MATCH($A120,'07_Items'!$A$5:$A$198,0)),"")</f>
        <v>Haulage fine agg. for drains (0-20 km)</v>
      </c>
      <c r="C120" s="17" t="str">
        <f t="array" ref="C120">IFERROR(INDEX('07_Items'!$C$5:$C$198,MATCH($A120,'07_Items'!$A$5:$A$198,0)),"")</f>
        <v>m³·km</v>
      </c>
      <c r="D120" s="32">
        <v>9</v>
      </c>
      <c r="E120" s="17" t="s">
        <v>2189</v>
      </c>
      <c r="F120" s="17" t="s">
        <v>2190</v>
      </c>
    </row>
    <row r="121" spans="1:6" ht="15.75" customHeight="1" x14ac:dyDescent="0.3">
      <c r="A121" s="17" t="s">
        <v>1946</v>
      </c>
      <c r="B121" s="17" t="str">
        <f t="array" ref="B121">IFERROR(INDEX('07_Items'!$B$5:$B$198,MATCH($A121,'07_Items'!$A$5:$A$198,0)),"")</f>
        <v>Haulage coarse agg. for drains (20-100 km)</v>
      </c>
      <c r="C121" s="17" t="str">
        <f t="array" ref="C121">IFERROR(INDEX('07_Items'!$C$5:$C$198,MATCH($A121,'07_Items'!$A$5:$A$198,0)),"")</f>
        <v>m³·km</v>
      </c>
      <c r="D121" s="32">
        <v>8.5</v>
      </c>
      <c r="E121" s="17" t="s">
        <v>2189</v>
      </c>
      <c r="F121" s="17" t="s">
        <v>2190</v>
      </c>
    </row>
    <row r="122" spans="1:6" ht="15.75" customHeight="1" x14ac:dyDescent="0.3">
      <c r="A122" s="17" t="s">
        <v>2113</v>
      </c>
      <c r="B122" s="17" t="str">
        <f t="array" ref="B122">IFERROR(INDEX('07_Items'!$B$5:$B$198,MATCH($A122,'07_Items'!$A$5:$A$198,0)),"")</f>
        <v>Haulage of aggregate in excess of 1km (100-250km)</v>
      </c>
      <c r="C122" s="17" t="str">
        <f t="array" ref="C122">IFERROR(INDEX('07_Items'!$C$5:$C$198,MATCH($A122,'07_Items'!$A$5:$A$198,0)),"")</f>
        <v>cu.m-km</v>
      </c>
      <c r="D122" s="32">
        <v>8</v>
      </c>
      <c r="E122" s="17" t="s">
        <v>2189</v>
      </c>
      <c r="F122" s="17" t="s">
        <v>2190</v>
      </c>
    </row>
    <row r="123" spans="1:6" ht="15.75" customHeight="1" x14ac:dyDescent="0.3">
      <c r="A123" s="17" t="s">
        <v>2115</v>
      </c>
      <c r="B123" s="17" t="str">
        <f t="array" ref="B123">IFERROR(INDEX('07_Items'!$B$5:$B$198,MATCH($A123,'07_Items'!$A$5:$A$198,0)),"")</f>
        <v>Haulage of aggregate in excess of 1km (100-250km)</v>
      </c>
      <c r="C123" s="17" t="str">
        <f t="array" ref="C123">IFERROR(INDEX('07_Items'!$C$5:$C$198,MATCH($A123,'07_Items'!$A$5:$A$198,0)),"")</f>
        <v>cu.m-km</v>
      </c>
      <c r="D123" s="32">
        <v>7</v>
      </c>
      <c r="E123" s="17" t="s">
        <v>2189</v>
      </c>
      <c r="F123" s="17" t="s">
        <v>2190</v>
      </c>
    </row>
    <row r="124" spans="1:6" ht="15.75" customHeight="1" x14ac:dyDescent="0.3">
      <c r="A124" s="17" t="s">
        <v>2116</v>
      </c>
      <c r="B124" s="17" t="str">
        <f t="array" ref="B124">IFERROR(INDEX('07_Items'!$B$5:$B$198,MATCH($A124,'07_Items'!$A$5:$A$198,0)),"")</f>
        <v>Barrel of U culvert</v>
      </c>
      <c r="C124" s="17" t="str">
        <f t="array" ref="C124">IFERROR(INDEX('07_Items'!$C$5:$C$198,MATCH($A124,'07_Items'!$A$5:$A$198,0)),"")</f>
        <v>m</v>
      </c>
      <c r="D124" s="32">
        <v>1500</v>
      </c>
      <c r="E124" s="17" t="s">
        <v>2189</v>
      </c>
      <c r="F124" s="17" t="s">
        <v>2190</v>
      </c>
    </row>
    <row r="125" spans="1:6" ht="15.75" customHeight="1" x14ac:dyDescent="0.3">
      <c r="A125" s="17" t="s">
        <v>2119</v>
      </c>
      <c r="B125" s="17" t="str">
        <f t="array" ref="B125">IFERROR(INDEX('07_Items'!$B$5:$B$198,MATCH($A125,'07_Items'!$A$5:$A$198,0)),"")</f>
        <v>Catchpit inlet structure</v>
      </c>
      <c r="C125" s="17" t="str">
        <f t="array" ref="C125">IFERROR(INDEX('07_Items'!$C$5:$C$198,MATCH($A125,'07_Items'!$A$5:$A$198,0)),"")</f>
        <v>nr</v>
      </c>
      <c r="D125" s="32">
        <v>1200</v>
      </c>
      <c r="E125" s="17" t="s">
        <v>2189</v>
      </c>
      <c r="F125" s="17" t="s">
        <v>2190</v>
      </c>
    </row>
    <row r="126" spans="1:6" ht="15.75" customHeight="1" x14ac:dyDescent="0.3">
      <c r="A126" s="17" t="s">
        <v>2120</v>
      </c>
      <c r="B126" s="17" t="str">
        <f t="array" ref="B126">IFERROR(INDEX('07_Items'!$B$5:$B$198,MATCH($A126,'07_Items'!$A$5:$A$198,0)),"")</f>
        <v>Wingwall and aprons outlet structure</v>
      </c>
      <c r="C126" s="17" t="str">
        <f t="array" ref="C126">IFERROR(INDEX('07_Items'!$C$5:$C$198,MATCH($A126,'07_Items'!$A$5:$A$198,0)),"")</f>
        <v>nr</v>
      </c>
      <c r="D126" s="32">
        <v>1300</v>
      </c>
      <c r="E126" s="17" t="s">
        <v>2189</v>
      </c>
      <c r="F126" s="17" t="s">
        <v>2190</v>
      </c>
    </row>
    <row r="127" spans="1:6" ht="15.75" customHeight="1" x14ac:dyDescent="0.3">
      <c r="A127" s="17" t="s">
        <v>2122</v>
      </c>
      <c r="B127" s="17" t="str">
        <f t="array" ref="B127">IFERROR(INDEX('07_Items'!$B$5:$B$198,MATCH($A127,'07_Items'!$A$5:$A$198,0)),"")</f>
        <v>Barrel of U culvert</v>
      </c>
      <c r="C127" s="17" t="str">
        <f t="array" ref="C127">IFERROR(INDEX('07_Items'!$C$5:$C$198,MATCH($A127,'07_Items'!$A$5:$A$198,0)),"")</f>
        <v>m</v>
      </c>
      <c r="D127" s="32">
        <v>2000</v>
      </c>
      <c r="E127" s="17" t="s">
        <v>2189</v>
      </c>
      <c r="F127" s="17" t="s">
        <v>2190</v>
      </c>
    </row>
    <row r="128" spans="1:6" ht="15.75" customHeight="1" x14ac:dyDescent="0.3">
      <c r="A128" s="17" t="s">
        <v>2123</v>
      </c>
      <c r="B128" s="17" t="str">
        <f t="array" ref="B128">IFERROR(INDEX('07_Items'!$B$5:$B$198,MATCH($A128,'07_Items'!$A$5:$A$198,0)),"")</f>
        <v>Catchpit inlet structure</v>
      </c>
      <c r="C128" s="17" t="str">
        <f t="array" ref="C128">IFERROR(INDEX('07_Items'!$C$5:$C$198,MATCH($A128,'07_Items'!$A$5:$A$198,0)),"")</f>
        <v>nr</v>
      </c>
      <c r="D128" s="32">
        <v>2200</v>
      </c>
      <c r="E128" s="17" t="s">
        <v>2189</v>
      </c>
      <c r="F128" s="17" t="s">
        <v>2190</v>
      </c>
    </row>
    <row r="129" spans="1:6" ht="15.75" customHeight="1" x14ac:dyDescent="0.3">
      <c r="A129" s="17" t="s">
        <v>2124</v>
      </c>
      <c r="B129" s="17" t="str">
        <f t="array" ref="B129">IFERROR(INDEX('07_Items'!$B$5:$B$198,MATCH($A129,'07_Items'!$A$5:$A$198,0)),"")</f>
        <v>Wingwall and aprons outlet structure</v>
      </c>
      <c r="C129" s="17" t="str">
        <f t="array" ref="C129">IFERROR(INDEX('07_Items'!$C$5:$C$198,MATCH($A129,'07_Items'!$A$5:$A$198,0)),"")</f>
        <v>nr</v>
      </c>
      <c r="D129" s="32">
        <v>2400</v>
      </c>
      <c r="E129" s="17" t="s">
        <v>2189</v>
      </c>
      <c r="F129" s="17" t="s">
        <v>2190</v>
      </c>
    </row>
    <row r="130" spans="1:6" ht="15.75" customHeight="1" x14ac:dyDescent="0.3">
      <c r="A130" s="17" t="s">
        <v>2125</v>
      </c>
      <c r="B130" s="17" t="str">
        <f t="array" ref="B130">IFERROR(INDEX('07_Items'!$B$5:$B$198,MATCH($A130,'07_Items'!$A$5:$A$198,0)),"")</f>
        <v>Barrel of U culvert</v>
      </c>
      <c r="C130" s="17" t="str">
        <f t="array" ref="C130">IFERROR(INDEX('07_Items'!$C$5:$C$198,MATCH($A130,'07_Items'!$A$5:$A$198,0)),"")</f>
        <v>m</v>
      </c>
      <c r="D130" s="32">
        <v>2400</v>
      </c>
      <c r="E130" s="17" t="s">
        <v>2189</v>
      </c>
      <c r="F130" s="17" t="s">
        <v>2190</v>
      </c>
    </row>
    <row r="131" spans="1:6" ht="15.75" customHeight="1" x14ac:dyDescent="0.3">
      <c r="A131" s="17" t="s">
        <v>2126</v>
      </c>
      <c r="B131" s="17" t="str">
        <f t="array" ref="B131">IFERROR(INDEX('07_Items'!$B$5:$B$198,MATCH($A131,'07_Items'!$A$5:$A$198,0)),"")</f>
        <v>Catchpit inlet structure</v>
      </c>
      <c r="C131" s="17" t="str">
        <f t="array" ref="C131">IFERROR(INDEX('07_Items'!$C$5:$C$198,MATCH($A131,'07_Items'!$A$5:$A$198,0)),"")</f>
        <v>nr</v>
      </c>
      <c r="D131" s="32">
        <v>2600</v>
      </c>
      <c r="E131" s="17" t="s">
        <v>2189</v>
      </c>
      <c r="F131" s="17" t="s">
        <v>2190</v>
      </c>
    </row>
    <row r="132" spans="1:6" ht="15.75" customHeight="1" x14ac:dyDescent="0.3">
      <c r="A132" s="17" t="s">
        <v>2127</v>
      </c>
      <c r="B132" s="17" t="str">
        <f t="array" ref="B132">IFERROR(INDEX('07_Items'!$B$5:$B$198,MATCH($A132,'07_Items'!$A$5:$A$198,0)),"")</f>
        <v>Wingwall and aprons outlet structure</v>
      </c>
      <c r="C132" s="17" t="str">
        <f t="array" ref="C132">IFERROR(INDEX('07_Items'!$C$5:$C$198,MATCH($A132,'07_Items'!$A$5:$A$198,0)),"")</f>
        <v>nr</v>
      </c>
      <c r="D132" s="32">
        <v>2700</v>
      </c>
      <c r="E132" s="17" t="s">
        <v>2189</v>
      </c>
      <c r="F132" s="17" t="s">
        <v>2190</v>
      </c>
    </row>
    <row r="133" spans="1:6" ht="15.75" customHeight="1" x14ac:dyDescent="0.3">
      <c r="A133" s="17" t="s">
        <v>2128</v>
      </c>
      <c r="B133" s="17" t="str">
        <f t="array" ref="B133">IFERROR(INDEX('07_Items'!$B$5:$B$198,MATCH($A133,'07_Items'!$A$5:$A$198,0)),"")</f>
        <v>Barrel of U culvert</v>
      </c>
      <c r="C133" s="17" t="str">
        <f t="array" ref="C133">IFERROR(INDEX('07_Items'!$C$5:$C$198,MATCH($A133,'07_Items'!$A$5:$A$198,0)),"")</f>
        <v>m</v>
      </c>
      <c r="D133" s="32">
        <v>2800</v>
      </c>
      <c r="E133" s="17" t="s">
        <v>2189</v>
      </c>
      <c r="F133" s="17" t="s">
        <v>2190</v>
      </c>
    </row>
    <row r="134" spans="1:6" ht="15.75" customHeight="1" x14ac:dyDescent="0.3">
      <c r="A134" s="17" t="s">
        <v>2129</v>
      </c>
      <c r="B134" s="17" t="str">
        <f t="array" ref="B134">IFERROR(INDEX('07_Items'!$B$5:$B$198,MATCH($A134,'07_Items'!$A$5:$A$198,0)),"")</f>
        <v>Catchpit inlet structure</v>
      </c>
      <c r="C134" s="17" t="str">
        <f t="array" ref="C134">IFERROR(INDEX('07_Items'!$C$5:$C$198,MATCH($A134,'07_Items'!$A$5:$A$198,0)),"")</f>
        <v>nr</v>
      </c>
      <c r="D134" s="32">
        <v>3000</v>
      </c>
      <c r="E134" s="17" t="s">
        <v>2189</v>
      </c>
      <c r="F134" s="17" t="s">
        <v>2190</v>
      </c>
    </row>
    <row r="135" spans="1:6" ht="15.75" customHeight="1" x14ac:dyDescent="0.3">
      <c r="A135" s="17" t="s">
        <v>2130</v>
      </c>
      <c r="B135" s="17" t="str">
        <f t="array" ref="B135">IFERROR(INDEX('07_Items'!$B$5:$B$198,MATCH($A135,'07_Items'!$A$5:$A$198,0)),"")</f>
        <v>Wingwall and aprons outlet structure</v>
      </c>
      <c r="C135" s="17" t="str">
        <f t="array" ref="C135">IFERROR(INDEX('07_Items'!$C$5:$C$198,MATCH($A135,'07_Items'!$A$5:$A$198,0)),"")</f>
        <v>nr</v>
      </c>
      <c r="D135" s="32">
        <v>3200</v>
      </c>
      <c r="E135" s="17" t="s">
        <v>2189</v>
      </c>
      <c r="F135" s="17" t="s">
        <v>2190</v>
      </c>
    </row>
    <row r="136" spans="1:6" ht="15.75" customHeight="1" x14ac:dyDescent="0.3">
      <c r="A136" s="17" t="s">
        <v>2131</v>
      </c>
      <c r="B136" s="17" t="str">
        <f t="array" ref="B136">IFERROR(INDEX('07_Items'!$B$5:$B$198,MATCH($A136,'07_Items'!$A$5:$A$198,0)),"")</f>
        <v>Barrel of U culvert</v>
      </c>
      <c r="C136" s="17" t="str">
        <f t="array" ref="C136">IFERROR(INDEX('07_Items'!$C$5:$C$198,MATCH($A136,'07_Items'!$A$5:$A$198,0)),"")</f>
        <v>m</v>
      </c>
      <c r="D136" s="32">
        <v>3200</v>
      </c>
      <c r="E136" s="17" t="s">
        <v>2189</v>
      </c>
      <c r="F136" s="17" t="s">
        <v>2190</v>
      </c>
    </row>
    <row r="137" spans="1:6" ht="15.75" customHeight="1" x14ac:dyDescent="0.3">
      <c r="A137" s="17" t="s">
        <v>2132</v>
      </c>
      <c r="B137" s="17" t="str">
        <f t="array" ref="B137">IFERROR(INDEX('07_Items'!$B$5:$B$198,MATCH($A137,'07_Items'!$A$5:$A$198,0)),"")</f>
        <v>Catchpit inlet structure</v>
      </c>
      <c r="C137" s="17" t="str">
        <f t="array" ref="C137">IFERROR(INDEX('07_Items'!$C$5:$C$198,MATCH($A137,'07_Items'!$A$5:$A$198,0)),"")</f>
        <v>nr</v>
      </c>
      <c r="D137" s="32">
        <v>3400</v>
      </c>
      <c r="E137" s="17" t="s">
        <v>2189</v>
      </c>
      <c r="F137" s="17" t="s">
        <v>2190</v>
      </c>
    </row>
    <row r="138" spans="1:6" ht="15.75" customHeight="1" x14ac:dyDescent="0.3">
      <c r="A138" s="17" t="s">
        <v>2133</v>
      </c>
      <c r="B138" s="17" t="str">
        <f t="array" ref="B138">IFERROR(INDEX('07_Items'!$B$5:$B$198,MATCH($A138,'07_Items'!$A$5:$A$198,0)),"")</f>
        <v>Wingwall and aprons outlet structure</v>
      </c>
      <c r="C138" s="17" t="str">
        <f t="array" ref="C138">IFERROR(INDEX('07_Items'!$C$5:$C$198,MATCH($A138,'07_Items'!$A$5:$A$198,0)),"")</f>
        <v>nr</v>
      </c>
      <c r="D138" s="32">
        <v>3500</v>
      </c>
      <c r="E138" s="17" t="s">
        <v>2189</v>
      </c>
      <c r="F138" s="17" t="s">
        <v>2190</v>
      </c>
    </row>
    <row r="139" spans="1:6" ht="15.75" customHeight="1" x14ac:dyDescent="0.3">
      <c r="A139" s="17" t="s">
        <v>2134</v>
      </c>
      <c r="B139" s="17" t="str">
        <f t="array" ref="B139">IFERROR(INDEX('07_Items'!$B$5:$B$198,MATCH($A139,'07_Items'!$A$5:$A$198,0)),"")</f>
        <v>Barrel of U culvert</v>
      </c>
      <c r="C139" s="17" t="str">
        <f t="array" ref="C139">IFERROR(INDEX('07_Items'!$C$5:$C$198,MATCH($A139,'07_Items'!$A$5:$A$198,0)),"")</f>
        <v>m</v>
      </c>
      <c r="D139" s="32">
        <v>3600</v>
      </c>
      <c r="E139" s="17" t="s">
        <v>2189</v>
      </c>
      <c r="F139" s="17" t="s">
        <v>2190</v>
      </c>
    </row>
    <row r="140" spans="1:6" ht="15.75" customHeight="1" x14ac:dyDescent="0.3">
      <c r="A140" s="17" t="s">
        <v>2135</v>
      </c>
      <c r="B140" s="17" t="str">
        <f t="array" ref="B140">IFERROR(INDEX('07_Items'!$B$5:$B$198,MATCH($A140,'07_Items'!$A$5:$A$198,0)),"")</f>
        <v>Catchpit inlet structure</v>
      </c>
      <c r="C140" s="17" t="str">
        <f t="array" ref="C140">IFERROR(INDEX('07_Items'!$C$5:$C$198,MATCH($A140,'07_Items'!$A$5:$A$198,0)),"")</f>
        <v>nr</v>
      </c>
      <c r="D140" s="32">
        <v>3500</v>
      </c>
      <c r="E140" s="17" t="s">
        <v>2189</v>
      </c>
      <c r="F140" s="17" t="s">
        <v>2190</v>
      </c>
    </row>
    <row r="141" spans="1:6" ht="15.75" customHeight="1" x14ac:dyDescent="0.3">
      <c r="A141" s="17" t="s">
        <v>2136</v>
      </c>
      <c r="B141" s="17" t="str">
        <f t="array" ref="B141">IFERROR(INDEX('07_Items'!$B$5:$B$198,MATCH($A141,'07_Items'!$A$5:$A$198,0)),"")</f>
        <v>Wingwall and aprons outlet structure</v>
      </c>
      <c r="C141" s="17" t="str">
        <f t="array" ref="C141">IFERROR(INDEX('07_Items'!$C$5:$C$198,MATCH($A141,'07_Items'!$A$5:$A$198,0)),"")</f>
        <v>nr</v>
      </c>
      <c r="D141" s="32">
        <v>3600</v>
      </c>
      <c r="E141" s="17" t="s">
        <v>2189</v>
      </c>
      <c r="F141" s="17" t="s">
        <v>2190</v>
      </c>
    </row>
    <row r="142" spans="1:6" ht="15.75" customHeight="1" x14ac:dyDescent="0.3">
      <c r="A142" s="17" t="s">
        <v>2137</v>
      </c>
      <c r="B142" s="17" t="str">
        <f t="array" ref="B142">IFERROR(INDEX('07_Items'!$B$5:$B$198,MATCH($A142,'07_Items'!$A$5:$A$198,0)),"")</f>
        <v>Barrel of U culvert</v>
      </c>
      <c r="C142" s="17" t="str">
        <f t="array" ref="C142">IFERROR(INDEX('07_Items'!$C$5:$C$198,MATCH($A142,'07_Items'!$A$5:$A$198,0)),"")</f>
        <v>m</v>
      </c>
      <c r="D142" s="32">
        <v>3800</v>
      </c>
      <c r="E142" s="17" t="s">
        <v>2189</v>
      </c>
      <c r="F142" s="17" t="s">
        <v>2190</v>
      </c>
    </row>
    <row r="143" spans="1:6" ht="15.75" customHeight="1" x14ac:dyDescent="0.3">
      <c r="A143" s="17" t="s">
        <v>2138</v>
      </c>
      <c r="B143" s="17" t="str">
        <f t="array" ref="B143">IFERROR(INDEX('07_Items'!$B$5:$B$198,MATCH($A143,'07_Items'!$A$5:$A$198,0)),"")</f>
        <v>Catchpit inlet structure</v>
      </c>
      <c r="C143" s="17" t="str">
        <f t="array" ref="C143">IFERROR(INDEX('07_Items'!$C$5:$C$198,MATCH($A143,'07_Items'!$A$5:$A$198,0)),"")</f>
        <v>nr</v>
      </c>
      <c r="D143" s="32">
        <v>3600</v>
      </c>
      <c r="E143" s="17" t="s">
        <v>2189</v>
      </c>
      <c r="F143" s="17" t="s">
        <v>2190</v>
      </c>
    </row>
    <row r="144" spans="1:6" ht="15.75" customHeight="1" x14ac:dyDescent="0.3">
      <c r="A144" s="17" t="s">
        <v>2139</v>
      </c>
      <c r="B144" s="17" t="str">
        <f t="array" ref="B144">IFERROR(INDEX('07_Items'!$B$5:$B$198,MATCH($A144,'07_Items'!$A$5:$A$198,0)),"")</f>
        <v>Wingwall and aprons outlet structure</v>
      </c>
      <c r="C144" s="17" t="str">
        <f t="array" ref="C144">IFERROR(INDEX('07_Items'!$C$5:$C$198,MATCH($A144,'07_Items'!$A$5:$A$198,0)),"")</f>
        <v>nr</v>
      </c>
      <c r="D144" s="32">
        <v>3800</v>
      </c>
      <c r="E144" s="17" t="s">
        <v>2189</v>
      </c>
      <c r="F144" s="17" t="s">
        <v>2190</v>
      </c>
    </row>
    <row r="145" spans="1:6" ht="15.75" customHeight="1" x14ac:dyDescent="0.3">
      <c r="A145" s="17" t="s">
        <v>2140</v>
      </c>
      <c r="B145" s="17" t="str">
        <f t="array" ref="B145">IFERROR(INDEX('07_Items'!$B$5:$B$198,MATCH($A145,'07_Items'!$A$5:$A$198,0)),"")</f>
        <v>Barrel of U culvert</v>
      </c>
      <c r="C145" s="17" t="str">
        <f t="array" ref="C145">IFERROR(INDEX('07_Items'!$C$5:$C$198,MATCH($A145,'07_Items'!$A$5:$A$198,0)),"")</f>
        <v>m</v>
      </c>
      <c r="D145" s="32">
        <v>4000</v>
      </c>
      <c r="E145" s="17" t="s">
        <v>2189</v>
      </c>
      <c r="F145" s="17" t="s">
        <v>2190</v>
      </c>
    </row>
    <row r="146" spans="1:6" ht="15.75" customHeight="1" x14ac:dyDescent="0.3">
      <c r="A146" s="17" t="s">
        <v>2141</v>
      </c>
      <c r="B146" s="17" t="str">
        <f t="array" ref="B146">IFERROR(INDEX('07_Items'!$B$5:$B$198,MATCH($A146,'07_Items'!$A$5:$A$198,0)),"")</f>
        <v>Catchpit inlet structure</v>
      </c>
      <c r="C146" s="17" t="str">
        <f t="array" ref="C146">IFERROR(INDEX('07_Items'!$C$5:$C$198,MATCH($A146,'07_Items'!$A$5:$A$198,0)),"")</f>
        <v>nr</v>
      </c>
      <c r="D146" s="32">
        <v>3800</v>
      </c>
      <c r="E146" s="17" t="s">
        <v>2189</v>
      </c>
      <c r="F146" s="17" t="s">
        <v>2190</v>
      </c>
    </row>
    <row r="147" spans="1:6" ht="15.75" customHeight="1" x14ac:dyDescent="0.3">
      <c r="A147" s="17" t="s">
        <v>2142</v>
      </c>
      <c r="B147" s="17" t="str">
        <f t="array" ref="B147">IFERROR(INDEX('07_Items'!$B$5:$B$198,MATCH($A147,'07_Items'!$A$5:$A$198,0)),"")</f>
        <v>Wingwall and aprons outlet structure</v>
      </c>
      <c r="C147" s="17" t="str">
        <f t="array" ref="C147">IFERROR(INDEX('07_Items'!$C$5:$C$198,MATCH($A147,'07_Items'!$A$5:$A$198,0)),"")</f>
        <v>nr</v>
      </c>
      <c r="D147" s="32">
        <v>3600</v>
      </c>
      <c r="E147" s="17" t="s">
        <v>2189</v>
      </c>
      <c r="F147" s="17" t="s">
        <v>2190</v>
      </c>
    </row>
    <row r="148" spans="1:6" ht="15.75" customHeight="1" x14ac:dyDescent="0.3">
      <c r="A148" s="17" t="s">
        <v>2143</v>
      </c>
      <c r="B148" s="17" t="str">
        <f t="array" ref="B148">IFERROR(INDEX('07_Items'!$B$5:$B$198,MATCH($A148,'07_Items'!$A$5:$A$198,0)),"")</f>
        <v>Barrel of U culvert</v>
      </c>
      <c r="C148" s="17" t="str">
        <f t="array" ref="C148">IFERROR(INDEX('07_Items'!$C$5:$C$198,MATCH($A148,'07_Items'!$A$5:$A$198,0)),"")</f>
        <v>m</v>
      </c>
      <c r="D148" s="32">
        <v>4200</v>
      </c>
      <c r="E148" s="17" t="s">
        <v>2189</v>
      </c>
      <c r="F148" s="17" t="s">
        <v>2190</v>
      </c>
    </row>
    <row r="149" spans="1:6" ht="15.75" customHeight="1" x14ac:dyDescent="0.3">
      <c r="A149" s="17" t="s">
        <v>2144</v>
      </c>
      <c r="B149" s="17" t="str">
        <f t="array" ref="B149">IFERROR(INDEX('07_Items'!$B$5:$B$198,MATCH($A149,'07_Items'!$A$5:$A$198,0)),"")</f>
        <v>Catchpit inlet structure</v>
      </c>
      <c r="C149" s="17" t="str">
        <f t="array" ref="C149">IFERROR(INDEX('07_Items'!$C$5:$C$198,MATCH($A149,'07_Items'!$A$5:$A$198,0)),"")</f>
        <v>nr</v>
      </c>
      <c r="D149" s="32">
        <v>4000</v>
      </c>
      <c r="E149" s="17" t="s">
        <v>2189</v>
      </c>
      <c r="F149" s="17" t="s">
        <v>2190</v>
      </c>
    </row>
    <row r="150" spans="1:6" ht="15.75" customHeight="1" x14ac:dyDescent="0.3">
      <c r="A150" s="17" t="s">
        <v>2145</v>
      </c>
      <c r="B150" s="17" t="str">
        <f t="array" ref="B150">IFERROR(INDEX('07_Items'!$B$5:$B$198,MATCH($A150,'07_Items'!$A$5:$A$198,0)),"")</f>
        <v>Wingwall and aprons outlet structure</v>
      </c>
      <c r="C150" s="17" t="str">
        <f t="array" ref="C150">IFERROR(INDEX('07_Items'!$C$5:$C$198,MATCH($A150,'07_Items'!$A$5:$A$198,0)),"")</f>
        <v>nr</v>
      </c>
      <c r="D150" s="32">
        <v>3600</v>
      </c>
      <c r="E150" s="17" t="s">
        <v>2189</v>
      </c>
      <c r="F150" s="17" t="s">
        <v>2190</v>
      </c>
    </row>
    <row r="151" spans="1:6" ht="15.75" customHeight="1" x14ac:dyDescent="0.3">
      <c r="A151" s="17" t="s">
        <v>2146</v>
      </c>
      <c r="B151" s="17" t="str">
        <f t="array" ref="B151">IFERROR(INDEX('07_Items'!$B$5:$B$198,MATCH($A151,'07_Items'!$A$5:$A$198,0)),"")</f>
        <v>Barrel of U culvert</v>
      </c>
      <c r="C151" s="17" t="str">
        <f t="array" ref="C151">IFERROR(INDEX('07_Items'!$C$5:$C$198,MATCH($A151,'07_Items'!$A$5:$A$198,0)),"")</f>
        <v>m</v>
      </c>
      <c r="D151" s="32">
        <v>4500</v>
      </c>
      <c r="E151" s="17" t="s">
        <v>2189</v>
      </c>
      <c r="F151" s="17" t="s">
        <v>2190</v>
      </c>
    </row>
    <row r="152" spans="1:6" ht="15.75" customHeight="1" x14ac:dyDescent="0.3">
      <c r="A152" s="17" t="s">
        <v>2147</v>
      </c>
      <c r="B152" s="17" t="str">
        <f t="array" ref="B152">IFERROR(INDEX('07_Items'!$B$5:$B$198,MATCH($A152,'07_Items'!$A$5:$A$198,0)),"")</f>
        <v>Catchpit inlet structure</v>
      </c>
      <c r="C152" s="17" t="str">
        <f t="array" ref="C152">IFERROR(INDEX('07_Items'!$C$5:$C$198,MATCH($A152,'07_Items'!$A$5:$A$198,0)),"")</f>
        <v>nr</v>
      </c>
      <c r="D152" s="32">
        <v>4000</v>
      </c>
      <c r="E152" s="17" t="s">
        <v>2189</v>
      </c>
      <c r="F152" s="17" t="s">
        <v>2190</v>
      </c>
    </row>
    <row r="153" spans="1:6" ht="15.75" customHeight="1" x14ac:dyDescent="0.3">
      <c r="A153" s="17" t="s">
        <v>2148</v>
      </c>
      <c r="B153" s="17" t="str">
        <f t="array" ref="B153">IFERROR(INDEX('07_Items'!$B$5:$B$198,MATCH($A153,'07_Items'!$A$5:$A$198,0)),"")</f>
        <v>Wingwall and aprons outlet structure</v>
      </c>
      <c r="C153" s="17" t="str">
        <f t="array" ref="C153">IFERROR(INDEX('07_Items'!$C$5:$C$198,MATCH($A153,'07_Items'!$A$5:$A$198,0)),"")</f>
        <v>nr</v>
      </c>
      <c r="D153" s="32">
        <v>4100</v>
      </c>
      <c r="E153" s="17" t="s">
        <v>2189</v>
      </c>
      <c r="F153" s="17" t="s">
        <v>2190</v>
      </c>
    </row>
    <row r="154" spans="1:6" ht="15.75" customHeight="1" x14ac:dyDescent="0.3">
      <c r="A154" s="17" t="s">
        <v>2149</v>
      </c>
      <c r="B154" s="17" t="str">
        <f t="array" ref="B154">IFERROR(INDEX('07_Items'!$B$5:$B$198,MATCH($A154,'07_Items'!$A$5:$A$198,0)),"")</f>
        <v>Barrel of U culvert</v>
      </c>
      <c r="C154" s="17" t="str">
        <f t="array" ref="C154">IFERROR(INDEX('07_Items'!$C$5:$C$198,MATCH($A154,'07_Items'!$A$5:$A$198,0)),"")</f>
        <v>m</v>
      </c>
      <c r="D154" s="32">
        <v>4800</v>
      </c>
      <c r="E154" s="17" t="s">
        <v>2189</v>
      </c>
      <c r="F154" s="17" t="s">
        <v>2190</v>
      </c>
    </row>
    <row r="155" spans="1:6" ht="15.75" customHeight="1" x14ac:dyDescent="0.3">
      <c r="A155" s="17" t="s">
        <v>2150</v>
      </c>
      <c r="B155" s="17" t="str">
        <f t="array" ref="B155">IFERROR(INDEX('07_Items'!$B$5:$B$198,MATCH($A155,'07_Items'!$A$5:$A$198,0)),"")</f>
        <v>Catchpit inlet structure</v>
      </c>
      <c r="C155" s="17" t="str">
        <f t="array" ref="C155">IFERROR(INDEX('07_Items'!$C$5:$C$198,MATCH($A155,'07_Items'!$A$5:$A$198,0)),"")</f>
        <v>nr</v>
      </c>
      <c r="D155" s="32">
        <v>4500</v>
      </c>
      <c r="E155" s="17" t="s">
        <v>2189</v>
      </c>
      <c r="F155" s="17" t="s">
        <v>2190</v>
      </c>
    </row>
    <row r="156" spans="1:6" ht="15.75" customHeight="1" x14ac:dyDescent="0.3">
      <c r="A156" s="17" t="s">
        <v>2151</v>
      </c>
      <c r="B156" s="17" t="str">
        <f t="array" ref="B156">IFERROR(INDEX('07_Items'!$B$5:$B$198,MATCH($A156,'07_Items'!$A$5:$A$198,0)),"")</f>
        <v>Wingwall and aprons outlet structure</v>
      </c>
      <c r="C156" s="17" t="str">
        <f t="array" ref="C156">IFERROR(INDEX('07_Items'!$C$5:$C$198,MATCH($A156,'07_Items'!$A$5:$A$198,0)),"")</f>
        <v>nr</v>
      </c>
      <c r="D156" s="32">
        <v>4600</v>
      </c>
      <c r="E156" s="17" t="s">
        <v>2189</v>
      </c>
      <c r="F156" s="17" t="s">
        <v>2190</v>
      </c>
    </row>
    <row r="157" spans="1:6" ht="15.75" customHeight="1" x14ac:dyDescent="0.3">
      <c r="A157" s="17" t="s">
        <v>2152</v>
      </c>
      <c r="B157" s="17" t="str">
        <f t="array" ref="B157">IFERROR(INDEX('07_Items'!$B$5:$B$198,MATCH($A157,'07_Items'!$A$5:$A$198,0)),"")</f>
        <v>Barrel of U culvert</v>
      </c>
      <c r="C157" s="17" t="str">
        <f t="array" ref="C157">IFERROR(INDEX('07_Items'!$C$5:$C$198,MATCH($A157,'07_Items'!$A$5:$A$198,0)),"")</f>
        <v>m</v>
      </c>
      <c r="D157" s="32">
        <v>5000</v>
      </c>
      <c r="E157" s="17" t="s">
        <v>2189</v>
      </c>
      <c r="F157" s="17" t="s">
        <v>2190</v>
      </c>
    </row>
    <row r="158" spans="1:6" ht="15.75" customHeight="1" x14ac:dyDescent="0.3">
      <c r="A158" s="17" t="s">
        <v>2153</v>
      </c>
      <c r="B158" s="17" t="str">
        <f t="array" ref="B158">IFERROR(INDEX('07_Items'!$B$5:$B$198,MATCH($A158,'07_Items'!$A$5:$A$198,0)),"")</f>
        <v>Catchpit inlet structure</v>
      </c>
      <c r="C158" s="17" t="str">
        <f t="array" ref="C158">IFERROR(INDEX('07_Items'!$C$5:$C$198,MATCH($A158,'07_Items'!$A$5:$A$198,0)),"")</f>
        <v>nr</v>
      </c>
      <c r="D158" s="32">
        <v>5200</v>
      </c>
      <c r="E158" s="17" t="s">
        <v>2189</v>
      </c>
      <c r="F158" s="17" t="s">
        <v>2190</v>
      </c>
    </row>
    <row r="159" spans="1:6" ht="15.75" customHeight="1" x14ac:dyDescent="0.3">
      <c r="A159" s="17" t="s">
        <v>2154</v>
      </c>
      <c r="B159" s="17" t="str">
        <f t="array" ref="B159">IFERROR(INDEX('07_Items'!$B$5:$B$198,MATCH($A159,'07_Items'!$A$5:$A$198,0)),"")</f>
        <v>Wingwall and aprons outlet structure</v>
      </c>
      <c r="C159" s="17" t="str">
        <f t="array" ref="C159">IFERROR(INDEX('07_Items'!$C$5:$C$198,MATCH($A159,'07_Items'!$A$5:$A$198,0)),"")</f>
        <v>nr</v>
      </c>
      <c r="D159" s="32">
        <v>5300</v>
      </c>
      <c r="E159" s="17" t="s">
        <v>2189</v>
      </c>
      <c r="F159" s="17" t="s">
        <v>2190</v>
      </c>
    </row>
    <row r="160" spans="1:6" ht="15.75" customHeight="1" x14ac:dyDescent="0.3">
      <c r="A160" s="17" t="s">
        <v>1877</v>
      </c>
      <c r="B160" s="17" t="str">
        <f t="array" ref="B160">IFERROR(INDEX('07_Items'!$B$5:$B$198,MATCH($A160,'07_Items'!$A$5:$A$198,0)),"")</f>
        <v>Gravel sub-base, haulage 1 km</v>
      </c>
      <c r="C160" s="17" t="str">
        <f t="array" ref="C160">IFERROR(INDEX('07_Items'!$C$5:$C$198,MATCH($A160,'07_Items'!$A$5:$A$198,0)),"")</f>
        <v>m²</v>
      </c>
      <c r="D160" s="32">
        <v>18</v>
      </c>
      <c r="E160" s="17" t="s">
        <v>2189</v>
      </c>
      <c r="F160" s="17" t="s">
        <v>2190</v>
      </c>
    </row>
    <row r="161" spans="1:6" ht="15.75" customHeight="1" x14ac:dyDescent="0.3">
      <c r="A161" s="17" t="s">
        <v>1879</v>
      </c>
      <c r="B161" s="17" t="str">
        <f t="array" ref="B161">IFERROR(INDEX('07_Items'!$B$5:$B$198,MATCH($A161,'07_Items'!$A$5:$A$198,0)),"")</f>
        <v>Sub-bases,flexible road bases and surfacing,Granular material DTp Specified type 2,depth: 150mm thick</v>
      </c>
      <c r="C161" s="17" t="str">
        <f t="array" ref="C161">IFERROR(INDEX('07_Items'!$C$5:$C$198,MATCH($A161,'07_Items'!$A$5:$A$198,0)),"")</f>
        <v>sq.m</v>
      </c>
      <c r="D161" s="32">
        <v>22</v>
      </c>
      <c r="E161" s="17" t="s">
        <v>2189</v>
      </c>
      <c r="F161" s="17" t="s">
        <v>2190</v>
      </c>
    </row>
    <row r="162" spans="1:6" ht="15.75" customHeight="1" x14ac:dyDescent="0.3">
      <c r="A162" s="17" t="s">
        <v>1881</v>
      </c>
      <c r="B162" s="17" t="str">
        <f t="array" ref="B162">IFERROR(INDEX('07_Items'!$B$5:$B$198,MATCH($A162,'07_Items'!$A$5:$A$198,0)),"")</f>
        <v>Haulage sub-base &amp; base beyond 1 km</v>
      </c>
      <c r="C162" s="17" t="str">
        <f t="array" ref="C162">IFERROR(INDEX('07_Items'!$C$5:$C$198,MATCH($A162,'07_Items'!$A$5:$A$198,0)),"")</f>
        <v>m³·km</v>
      </c>
      <c r="D162" s="32">
        <v>8.5</v>
      </c>
      <c r="E162" s="17" t="s">
        <v>2189</v>
      </c>
      <c r="F162" s="17" t="s">
        <v>2190</v>
      </c>
    </row>
    <row r="163" spans="1:6" ht="15.75" customHeight="1" x14ac:dyDescent="0.3">
      <c r="A163" s="17" t="s">
        <v>2157</v>
      </c>
      <c r="B163" s="17" t="str">
        <f t="array" ref="B163">IFERROR(INDEX('07_Items'!$B$5:$B$198,MATCH($A163,'07_Items'!$A$5:$A$198,0)),"")</f>
        <v>Haulage of aggregate in excess of 1km (20 - 100km)</v>
      </c>
      <c r="C163" s="17" t="str">
        <f t="array" ref="C163">IFERROR(INDEX('07_Items'!$C$5:$C$198,MATCH($A163,'07_Items'!$A$5:$A$198,0)),"")</f>
        <v>cu.m-km</v>
      </c>
      <c r="D163" s="32">
        <v>8.5</v>
      </c>
      <c r="E163" s="17" t="s">
        <v>2189</v>
      </c>
      <c r="F163" s="17" t="s">
        <v>2190</v>
      </c>
    </row>
    <row r="164" spans="1:6" ht="15.75" customHeight="1" x14ac:dyDescent="0.3">
      <c r="A164" s="17" t="s">
        <v>1884</v>
      </c>
      <c r="B164" s="17" t="str">
        <f t="array" ref="B164">IFERROR(INDEX('07_Items'!$B$5:$B$198,MATCH($A164,'07_Items'!$A$5:$A$198,0)),"")</f>
        <v>Supply, design inc. adhesive agent, prepare surface,seal work</v>
      </c>
      <c r="C164" s="17" t="str">
        <f t="array" ref="C164">IFERROR(INDEX('07_Items'!$C$5:$C$198,MATCH($A164,'07_Items'!$A$5:$A$198,0)),"")</f>
        <v>litre</v>
      </c>
      <c r="D164" s="32">
        <v>25.5</v>
      </c>
      <c r="E164" s="17" t="s">
        <v>2189</v>
      </c>
      <c r="F164" s="17" t="s">
        <v>2190</v>
      </c>
    </row>
    <row r="165" spans="1:6" ht="15.75" customHeight="1" x14ac:dyDescent="0.3">
      <c r="A165" s="17" t="s">
        <v>1887</v>
      </c>
      <c r="B165" s="17" t="str">
        <f t="array" ref="B165">IFERROR(INDEX('07_Items'!$B$5:$B$198,MATCH($A165,'07_Items'!$A$5:$A$198,0)),"")</f>
        <v>Supply, design inc. adhesive agent, prepare surface, primerseal work</v>
      </c>
      <c r="C165" s="17" t="str">
        <f t="array" ref="C165">IFERROR(INDEX('07_Items'!$C$5:$C$198,MATCH($A165,'07_Items'!$A$5:$A$198,0)),"")</f>
        <v>litre</v>
      </c>
      <c r="D165" s="32">
        <v>26.6</v>
      </c>
      <c r="E165" s="17" t="s">
        <v>2189</v>
      </c>
      <c r="F165" s="17" t="s">
        <v>2190</v>
      </c>
    </row>
    <row r="166" spans="1:6" ht="15.75" customHeight="1" x14ac:dyDescent="0.3">
      <c r="A166" s="17" t="s">
        <v>1889</v>
      </c>
      <c r="B166" s="17" t="str">
        <f t="array" ref="B166">IFERROR(INDEX('07_Items'!$B$5:$B$198,MATCH($A166,'07_Items'!$A$5:$A$198,0)),"")</f>
        <v>Supply, design inc. cutter oil (ATK kerosine) primer seal</v>
      </c>
      <c r="C166" s="17" t="str">
        <f t="array" ref="C166">IFERROR(INDEX('07_Items'!$C$5:$C$198,MATCH($A166,'07_Items'!$A$5:$A$198,0)),"")</f>
        <v>litre</v>
      </c>
      <c r="D166" s="32">
        <v>28</v>
      </c>
      <c r="E166" s="17" t="s">
        <v>2189</v>
      </c>
      <c r="F166" s="17" t="s">
        <v>2190</v>
      </c>
    </row>
    <row r="167" spans="1:6" ht="15.75" customHeight="1" x14ac:dyDescent="0.3">
      <c r="A167" s="17" t="s">
        <v>1891</v>
      </c>
      <c r="B167" s="17" t="str">
        <f t="array" ref="B167">IFERROR(INDEX('07_Items'!$B$5:$B$198,MATCH($A167,'07_Items'!$A$5:$A$198,0)),"")</f>
        <v>Supply, precoat, design spray rate, incorporarate 10mm chips including 1km haulage</v>
      </c>
      <c r="C167" s="17" t="str">
        <f t="array" ref="C167">IFERROR(INDEX('07_Items'!$C$5:$C$198,MATCH($A167,'07_Items'!$A$5:$A$198,0)),"")</f>
        <v>cu.m</v>
      </c>
      <c r="D167" s="32">
        <v>1550</v>
      </c>
      <c r="E167" s="17" t="s">
        <v>2189</v>
      </c>
      <c r="F167" s="17" t="s">
        <v>2190</v>
      </c>
    </row>
    <row r="168" spans="1:6" ht="15.75" customHeight="1" x14ac:dyDescent="0.3">
      <c r="A168" s="17" t="s">
        <v>1893</v>
      </c>
      <c r="B168" s="17" t="str">
        <f t="array" ref="B168">IFERROR(INDEX('07_Items'!$B$5:$B$198,MATCH($A168,'07_Items'!$A$5:$A$198,0)),"")</f>
        <v>Supply, precoat, design spray rate, incorporarate 14mm chips including 1km haulage</v>
      </c>
      <c r="C168" s="17" t="str">
        <f t="array" ref="C168">IFERROR(INDEX('07_Items'!$C$5:$C$198,MATCH($A168,'07_Items'!$A$5:$A$198,0)),"")</f>
        <v>cu.m</v>
      </c>
      <c r="D168" s="32">
        <v>1600</v>
      </c>
      <c r="E168" s="17" t="s">
        <v>2189</v>
      </c>
      <c r="F168" s="17" t="s">
        <v>2190</v>
      </c>
    </row>
    <row r="169" spans="1:6" ht="15.75" customHeight="1" x14ac:dyDescent="0.3">
      <c r="A169" s="17" t="s">
        <v>2164</v>
      </c>
      <c r="B169" s="17" t="str">
        <f t="array" ref="B169">IFERROR(INDEX('07_Items'!$B$5:$B$198,MATCH($A169,'07_Items'!$A$5:$A$198,0)),"")</f>
        <v>Supply, design inc. adhesive agent, prepare surface,seal work</v>
      </c>
      <c r="C169" s="17" t="str">
        <f t="array" ref="C169">IFERROR(INDEX('07_Items'!$C$5:$C$198,MATCH($A169,'07_Items'!$A$5:$A$198,0)),"")</f>
        <v>litre</v>
      </c>
      <c r="D169" s="32">
        <v>25.5</v>
      </c>
      <c r="E169" s="17" t="s">
        <v>2189</v>
      </c>
      <c r="F169" s="17" t="s">
        <v>2190</v>
      </c>
    </row>
    <row r="170" spans="1:6" ht="15.75" customHeight="1" x14ac:dyDescent="0.3">
      <c r="A170" s="17" t="s">
        <v>1895</v>
      </c>
      <c r="B170" s="17" t="str">
        <f t="array" ref="B170">IFERROR(INDEX('07_Items'!$B$5:$B$198,MATCH($A170,'07_Items'!$A$5:$A$198,0)),"")</f>
        <v>Haulage of chippings and quarry dust (20 - 100Km)</v>
      </c>
      <c r="C170" s="17" t="str">
        <f t="array" ref="C170">IFERROR(INDEX('07_Items'!$C$5:$C$198,MATCH($A170,'07_Items'!$A$5:$A$198,0)),"")</f>
        <v>cu.m-km</v>
      </c>
      <c r="D170" s="32">
        <v>8.5</v>
      </c>
      <c r="E170" s="17" t="s">
        <v>2189</v>
      </c>
      <c r="F170" s="17" t="s">
        <v>2190</v>
      </c>
    </row>
    <row r="171" spans="1:6" ht="15.75" customHeight="1" x14ac:dyDescent="0.3">
      <c r="A171" s="17" t="s">
        <v>2166</v>
      </c>
      <c r="B171" s="17" t="str">
        <f t="array" ref="B171">IFERROR(INDEX('07_Items'!$B$5:$B$198,MATCH($A171,'07_Items'!$A$5:$A$198,0)),"")</f>
        <v>Provide and place precast concrete kerbs,straight or curved to radius exceeding 12m (as per drawing)</v>
      </c>
      <c r="C171" s="17" t="str">
        <f t="array" ref="C171">IFERROR(INDEX('07_Items'!$C$5:$C$198,MATCH($A171,'07_Items'!$A$5:$A$198,0)),"")</f>
        <v>m</v>
      </c>
      <c r="D171" s="32">
        <v>350</v>
      </c>
      <c r="E171" s="17" t="s">
        <v>2189</v>
      </c>
      <c r="F171" s="17" t="s">
        <v>2190</v>
      </c>
    </row>
    <row r="172" spans="1:6" ht="15.75" customHeight="1" x14ac:dyDescent="0.3">
      <c r="A172" s="17" t="s">
        <v>2168</v>
      </c>
      <c r="B172" s="17" t="str">
        <f t="array" ref="B172">IFERROR(INDEX('07_Items'!$B$5:$B$198,MATCH($A172,'07_Items'!$A$5:$A$198,0)),"")</f>
        <v>Provide and erect mica post of square size 200mm wide, 600mm high and base 450mm painted red and white strips.</v>
      </c>
      <c r="C172" s="17" t="str">
        <f t="array" ref="C172">IFERROR(INDEX('07_Items'!$C$5:$C$198,MATCH($A172,'07_Items'!$A$5:$A$198,0)),"")</f>
        <v>Nr.</v>
      </c>
      <c r="D172" s="32">
        <v>350</v>
      </c>
      <c r="E172" s="17" t="s">
        <v>2189</v>
      </c>
      <c r="F172" s="17" t="s">
        <v>2190</v>
      </c>
    </row>
    <row r="173" spans="1:6" ht="15.75" customHeight="1" x14ac:dyDescent="0.3">
      <c r="A173" s="17" t="s">
        <v>1898</v>
      </c>
      <c r="B173" s="17" t="str">
        <f t="array" ref="B173">IFERROR(INDEX('07_Items'!$B$5:$B$198,MATCH($A173,'07_Items'!$A$5:$A$198,0)),"")</f>
        <v>Reflective warning traffic signs</v>
      </c>
      <c r="C173" s="17" t="str">
        <f t="array" ref="C173">IFERROR(INDEX('07_Items'!$C$5:$C$198,MATCH($A173,'07_Items'!$A$5:$A$198,0)),"")</f>
        <v>nr</v>
      </c>
      <c r="D173" s="32">
        <v>3000</v>
      </c>
      <c r="E173" s="17" t="s">
        <v>2189</v>
      </c>
      <c r="F173" s="17" t="s">
        <v>2190</v>
      </c>
    </row>
    <row r="174" spans="1:6" ht="15.75" customHeight="1" x14ac:dyDescent="0.3">
      <c r="A174" s="17" t="s">
        <v>1901</v>
      </c>
      <c r="B174" s="17" t="str">
        <f t="array" ref="B174">IFERROR(INDEX('07_Items'!$B$5:$B$198,MATCH($A174,'07_Items'!$A$5:$A$198,0)),"")</f>
        <v>Reflective informatory traffic signs</v>
      </c>
      <c r="C174" s="17" t="str">
        <f t="array" ref="C174">IFERROR(INDEX('07_Items'!$C$5:$C$198,MATCH($A174,'07_Items'!$A$5:$A$198,0)),"")</f>
        <v>nr</v>
      </c>
      <c r="D174" s="32">
        <v>3000</v>
      </c>
      <c r="E174" s="17" t="s">
        <v>2189</v>
      </c>
      <c r="F174" s="17" t="s">
        <v>2190</v>
      </c>
    </row>
    <row r="175" spans="1:6" ht="15.75" customHeight="1" x14ac:dyDescent="0.3">
      <c r="A175" s="17" t="s">
        <v>1903</v>
      </c>
      <c r="B175" s="17" t="str">
        <f t="array" ref="B175">IFERROR(INDEX('07_Items'!$B$5:$B$198,MATCH($A175,'07_Items'!$A$5:$A$198,0)),"")</f>
        <v>Reflective mandatory traffic signs</v>
      </c>
      <c r="C175" s="17" t="str">
        <f t="array" ref="C175">IFERROR(INDEX('07_Items'!$C$5:$C$198,MATCH($A175,'07_Items'!$A$5:$A$198,0)),"")</f>
        <v>nr</v>
      </c>
      <c r="D175" s="32">
        <v>3000</v>
      </c>
      <c r="E175" s="17" t="s">
        <v>2189</v>
      </c>
      <c r="F175" s="17" t="s">
        <v>2190</v>
      </c>
    </row>
    <row r="176" spans="1:6" ht="15.75" customHeight="1" x14ac:dyDescent="0.3">
      <c r="A176" s="17" t="s">
        <v>1905</v>
      </c>
      <c r="B176" s="17" t="str">
        <f t="array" ref="B176">IFERROR(INDEX('07_Items'!$B$5:$B$198,MATCH($A176,'07_Items'!$A$5:$A$198,0)),"")</f>
        <v>120 mm lane separation line</v>
      </c>
      <c r="C176" s="17" t="str">
        <f t="array" ref="C176">IFERROR(INDEX('07_Items'!$C$5:$C$198,MATCH($A176,'07_Items'!$A$5:$A$198,0)),"")</f>
        <v>m</v>
      </c>
      <c r="D176" s="32">
        <v>60</v>
      </c>
      <c r="E176" s="17" t="s">
        <v>2189</v>
      </c>
      <c r="F176" s="17" t="s">
        <v>2190</v>
      </c>
    </row>
    <row r="177" spans="1:6" ht="15.75" customHeight="1" x14ac:dyDescent="0.3">
      <c r="A177" s="17" t="s">
        <v>1907</v>
      </c>
      <c r="B177" s="17" t="str">
        <f t="array" ref="B177">IFERROR(INDEX('07_Items'!$B$5:$B$198,MATCH($A177,'07_Items'!$A$5:$A$198,0)),"")</f>
        <v>300 mm continuous STOP line</v>
      </c>
      <c r="C177" s="17" t="str">
        <f t="array" ref="C177">IFERROR(INDEX('07_Items'!$C$5:$C$198,MATCH($A177,'07_Items'!$A$5:$A$198,0)),"")</f>
        <v>m</v>
      </c>
      <c r="D177" s="32">
        <v>350</v>
      </c>
      <c r="E177" s="17" t="s">
        <v>2189</v>
      </c>
      <c r="F177" s="17" t="s">
        <v>2190</v>
      </c>
    </row>
    <row r="178" spans="1:6" ht="15.75" customHeight="1" x14ac:dyDescent="0.3">
      <c r="A178" s="17" t="s">
        <v>1909</v>
      </c>
      <c r="B178" s="17" t="str">
        <f t="array" ref="B178">IFERROR(INDEX('07_Items'!$B$5:$B$198,MATCH($A178,'07_Items'!$A$5:$A$198,0)),"")</f>
        <v>120 mm intermittent centre line</v>
      </c>
      <c r="C178" s="17" t="str">
        <f t="array" ref="C178">IFERROR(INDEX('07_Items'!$C$5:$C$198,MATCH($A178,'07_Items'!$A$5:$A$198,0)),"")</f>
        <v>m</v>
      </c>
      <c r="D178" s="32">
        <v>60</v>
      </c>
      <c r="E178" s="17" t="s">
        <v>2189</v>
      </c>
      <c r="F178" s="17" t="s">
        <v>2190</v>
      </c>
    </row>
    <row r="179" spans="1:6" ht="15.75" customHeight="1" x14ac:dyDescent="0.3">
      <c r="A179" s="17" t="s">
        <v>1911</v>
      </c>
      <c r="B179" s="17" t="str">
        <f t="array" ref="B179">IFERROR(INDEX('07_Items'!$B$5:$B$198,MATCH($A179,'07_Items'!$A$5:$A$198,0)),"")</f>
        <v>120 mm continuous edge line</v>
      </c>
      <c r="C179" s="17" t="str">
        <f t="array" ref="C179">IFERROR(INDEX('07_Items'!$C$5:$C$198,MATCH($A179,'07_Items'!$A$5:$A$198,0)),"")</f>
        <v>m</v>
      </c>
      <c r="D179" s="32">
        <v>60</v>
      </c>
      <c r="E179" s="17" t="s">
        <v>2189</v>
      </c>
      <c r="F179" s="17" t="s">
        <v>2190</v>
      </c>
    </row>
    <row r="180" spans="1:6" ht="15.75" customHeight="1" x14ac:dyDescent="0.3">
      <c r="A180" s="17" t="s">
        <v>1913</v>
      </c>
      <c r="B180" s="17" t="str">
        <f t="array" ref="B180">IFERROR(INDEX('07_Items'!$B$5:$B$198,MATCH($A180,'07_Items'!$A$5:$A$198,0)),"")</f>
        <v>350 mm pedestrian crossing stripes</v>
      </c>
      <c r="C180" s="17" t="str">
        <f t="array" ref="C180">IFERROR(INDEX('07_Items'!$C$5:$C$198,MATCH($A180,'07_Items'!$A$5:$A$198,0)),"")</f>
        <v>m</v>
      </c>
      <c r="D180" s="32">
        <v>350</v>
      </c>
      <c r="E180" s="17" t="s">
        <v>2189</v>
      </c>
      <c r="F180" s="17" t="s">
        <v>2190</v>
      </c>
    </row>
    <row r="181" spans="1:6" ht="15.75" customHeight="1" x14ac:dyDescent="0.3">
      <c r="A181" s="17" t="s">
        <v>1915</v>
      </c>
      <c r="B181" s="17" t="str">
        <f t="array" ref="B181">IFERROR(INDEX('07_Items'!$B$5:$B$198,MATCH($A181,'07_Items'!$A$5:$A$198,0)),"")</f>
        <v>Construct speed ramps</v>
      </c>
      <c r="C181" s="17" t="str">
        <f t="array" ref="C181">IFERROR(INDEX('07_Items'!$C$5:$C$198,MATCH($A181,'07_Items'!$A$5:$A$198,0)),"")</f>
        <v>nr</v>
      </c>
      <c r="D181" s="32">
        <v>13700</v>
      </c>
      <c r="E181" s="17" t="s">
        <v>2189</v>
      </c>
      <c r="F181" s="17" t="s">
        <v>2190</v>
      </c>
    </row>
    <row r="182" spans="1:6" ht="15.75" customHeight="1" x14ac:dyDescent="0.3">
      <c r="A182" s="17" t="s">
        <v>2172</v>
      </c>
      <c r="B182" s="17" t="str">
        <f t="array" ref="B182">IFERROR(INDEX('07_Items'!$B$5:$B$198,MATCH($A182,'07_Items'!$A$5:$A$198,0)),"")</f>
        <v>SPECIFIED PROVISIONAL SUMS</v>
      </c>
      <c r="C182" s="17">
        <f t="array" ref="C182">IFERROR(INDEX('07_Items'!$C$5:$C$198,MATCH($A182,'07_Items'!$A$5:$A$198,0)),"")</f>
        <v>0</v>
      </c>
      <c r="D182" s="32"/>
      <c r="E182" s="17" t="s">
        <v>2189</v>
      </c>
      <c r="F182" s="17" t="s">
        <v>2190</v>
      </c>
    </row>
    <row r="183" spans="1:6" ht="15.75" customHeight="1" x14ac:dyDescent="0.3">
      <c r="A183" s="17" t="s">
        <v>2174</v>
      </c>
      <c r="B183" s="17" t="str">
        <f t="array" ref="B183">IFERROR(INDEX('07_Items'!$B$5:$B$198,MATCH($A183,'07_Items'!$A$5:$A$198,0)),"")</f>
        <v xml:space="preserve">CONTINGENCIES </v>
      </c>
      <c r="C183" s="17">
        <f t="array" ref="C183">IFERROR(INDEX('07_Items'!$C$5:$C$198,MATCH($A183,'07_Items'!$A$5:$A$198,0)),"")</f>
        <v>0</v>
      </c>
      <c r="D183" s="32"/>
      <c r="E183" s="17" t="s">
        <v>2189</v>
      </c>
      <c r="F183" s="17" t="s">
        <v>2190</v>
      </c>
    </row>
    <row r="184" spans="1:6" ht="15.75" customHeight="1" x14ac:dyDescent="0.3">
      <c r="A184" s="17" t="s">
        <v>1857</v>
      </c>
      <c r="B184" s="17" t="str">
        <f t="array" ref="B184">IFERROR(INDEX('07_Items'!$B$5:$B$198,MATCH($A184,'07_Items'!$A$5:$A$198,0)),"")</f>
        <v>Excavate to widen road</v>
      </c>
      <c r="C184" s="17" t="str">
        <f t="array" ref="C184">IFERROR(INDEX('07_Items'!$C$5:$C$198,MATCH($A184,'07_Items'!$A$5:$A$198,0)),"")</f>
        <v>m³</v>
      </c>
      <c r="D184" s="32">
        <v>250</v>
      </c>
      <c r="E184" s="17"/>
      <c r="F184" s="17" t="s">
        <v>2194</v>
      </c>
    </row>
    <row r="185" spans="1:6" ht="15.75" customHeight="1" x14ac:dyDescent="0.3">
      <c r="A185" s="17" t="s">
        <v>1862</v>
      </c>
      <c r="B185" s="17" t="str">
        <f t="array" ref="B185">IFERROR(INDEX('07_Items'!$B$5:$B$198,MATCH($A185,'07_Items'!$A$5:$A$198,0)),"")</f>
        <v>Raising of road in low-lying areas</v>
      </c>
      <c r="C185" s="17" t="str">
        <f t="array" ref="C185">IFERROR(INDEX('07_Items'!$C$5:$C$198,MATCH($A185,'07_Items'!$A$5:$A$198,0)),"")</f>
        <v>m³</v>
      </c>
      <c r="D185" s="32">
        <v>300</v>
      </c>
      <c r="E185" s="17"/>
      <c r="F185" s="17" t="s">
        <v>2194</v>
      </c>
    </row>
    <row r="186" spans="1:6" ht="15.75" customHeight="1" x14ac:dyDescent="0.3">
      <c r="A186" s="17" t="s">
        <v>1865</v>
      </c>
      <c r="B186" s="17" t="str">
        <f t="array" ref="B186">IFERROR(INDEX('07_Items'!$B$5:$B$198,MATCH($A186,'07_Items'!$A$5:$A$198,0)),"")</f>
        <v>Filling of deep gullies</v>
      </c>
      <c r="C186" s="17" t="str">
        <f t="array" ref="C186">IFERROR(INDEX('07_Items'!$C$5:$C$198,MATCH($A186,'07_Items'!$A$5:$A$198,0)),"")</f>
        <v>m³</v>
      </c>
      <c r="D186" s="32">
        <v>350</v>
      </c>
      <c r="E186" s="17"/>
      <c r="F186" s="17" t="s">
        <v>2194</v>
      </c>
    </row>
    <row r="187" spans="1:6" ht="15.75" customHeight="1" x14ac:dyDescent="0.3">
      <c r="A187" s="17" t="s">
        <v>2177</v>
      </c>
      <c r="B187" s="17" t="str">
        <f t="array" ref="B187">IFERROR(INDEX('07_Items'!$B$5:$B$198,MATCH($A187,'07_Items'!$A$5:$A$198,0)),"")</f>
        <v>Stone pitching to embankment</v>
      </c>
      <c r="C187" s="17" t="str">
        <f t="array" ref="C187">IFERROR(INDEX('07_Items'!$C$5:$C$198,MATCH($A187,'07_Items'!$A$5:$A$198,0)),"")</f>
        <v>m²</v>
      </c>
      <c r="D187" s="32">
        <v>500</v>
      </c>
      <c r="E187" s="17"/>
      <c r="F187" s="17" t="s">
        <v>2194</v>
      </c>
    </row>
    <row r="188" spans="1:6" ht="15.75" customHeight="1" x14ac:dyDescent="0.3">
      <c r="A188" s="17" t="s">
        <v>1870</v>
      </c>
      <c r="B188" s="17" t="str">
        <f t="array" ref="B188">IFERROR(INDEX('07_Items'!$B$5:$B$198,MATCH($A188,'07_Items'!$A$5:$A$198,0)),"")</f>
        <v>Blading road surface to crossfalls</v>
      </c>
      <c r="C188" s="17" t="str">
        <f t="array" ref="C188">IFERROR(INDEX('07_Items'!$C$5:$C$198,MATCH($A188,'07_Items'!$A$5:$A$198,0)),"")</f>
        <v>m²</v>
      </c>
      <c r="D188" s="32">
        <v>12</v>
      </c>
      <c r="E188" s="17"/>
      <c r="F188" s="17" t="s">
        <v>2194</v>
      </c>
    </row>
    <row r="189" spans="1:6" ht="15.75" customHeight="1" x14ac:dyDescent="0.3">
      <c r="A189" s="17" t="s">
        <v>1872</v>
      </c>
      <c r="B189" s="17" t="str">
        <f t="array" ref="B189">IFERROR(INDEX('07_Items'!$B$5:$B$198,MATCH($A189,'07_Items'!$A$5:$A$198,0)),"")</f>
        <v>Scarify, reshape and compact surface</v>
      </c>
      <c r="C189" s="17" t="str">
        <f t="array" ref="C189">IFERROR(INDEX('07_Items'!$C$5:$C$198,MATCH($A189,'07_Items'!$A$5:$A$198,0)),"")</f>
        <v>m²</v>
      </c>
      <c r="D189" s="32">
        <v>18</v>
      </c>
      <c r="E189" s="17"/>
      <c r="F189" s="17" t="s">
        <v>2194</v>
      </c>
    </row>
    <row r="190" spans="1:6" ht="15.75" customHeight="1" x14ac:dyDescent="0.3">
      <c r="A190" s="17" t="s">
        <v>2178</v>
      </c>
      <c r="B190" s="17" t="str">
        <f t="array" ref="B190">IFERROR(INDEX('07_Items'!$B$5:$B$198,MATCH($A190,'07_Items'!$A$5:$A$198,0)),"")</f>
        <v>Gravel base, haulage 1 km</v>
      </c>
      <c r="C190" s="17" t="str">
        <f t="array" ref="C190">IFERROR(INDEX('07_Items'!$C$5:$C$198,MATCH($A190,'07_Items'!$A$5:$A$198,0)),"")</f>
        <v>m²</v>
      </c>
      <c r="D190" s="32">
        <v>25</v>
      </c>
      <c r="E190" s="17"/>
      <c r="F190" s="17" t="s">
        <v>2194</v>
      </c>
    </row>
    <row r="191" spans="1:6" ht="15.75" customHeight="1" x14ac:dyDescent="0.3">
      <c r="A191" s="17" t="s">
        <v>2179</v>
      </c>
      <c r="B191" s="17" t="str">
        <f t="array" ref="B191">IFERROR(INDEX('07_Items'!$B$5:$B$198,MATCH($A191,'07_Items'!$A$5:$A$198,0)),"")</f>
        <v>Binder for first &amp; second seal</v>
      </c>
      <c r="C191" s="17" t="str">
        <f t="array" ref="C191">IFERROR(INDEX('07_Items'!$C$5:$C$198,MATCH($A191,'07_Items'!$A$5:$A$198,0)),"")</f>
        <v>Litres</v>
      </c>
      <c r="D191" s="32">
        <v>40</v>
      </c>
      <c r="E191" s="17"/>
      <c r="F191" s="17" t="s">
        <v>2194</v>
      </c>
    </row>
    <row r="192" spans="1:6" ht="15.75" customHeight="1" x14ac:dyDescent="0.3">
      <c r="A192" s="17" t="s">
        <v>2180</v>
      </c>
      <c r="B192" s="17" t="str">
        <f t="array" ref="B192">IFERROR(INDEX('07_Items'!$B$5:$B$198,MATCH($A192,'07_Items'!$A$5:$A$198,0)),"")</f>
        <v>Binder for primer seal</v>
      </c>
      <c r="C192" s="17" t="str">
        <f t="array" ref="C192">IFERROR(INDEX('07_Items'!$C$5:$C$198,MATCH($A192,'07_Items'!$A$5:$A$198,0)),"")</f>
        <v>Litres</v>
      </c>
      <c r="D192" s="32">
        <v>35</v>
      </c>
      <c r="E192" s="17"/>
      <c r="F192" s="17" t="s">
        <v>2194</v>
      </c>
    </row>
    <row r="193" spans="1:6" ht="15.75" customHeight="1" x14ac:dyDescent="0.3">
      <c r="A193" s="17" t="s">
        <v>2181</v>
      </c>
      <c r="B193" s="17" t="str">
        <f t="array" ref="B193">IFERROR(INDEX('07_Items'!$B$5:$B$198,MATCH($A193,'07_Items'!$A$5:$A$198,0)),"")</f>
        <v>Cutter oil for primer seal</v>
      </c>
      <c r="C193" s="17" t="str">
        <f t="array" ref="C193">IFERROR(INDEX('07_Items'!$C$5:$C$198,MATCH($A193,'07_Items'!$A$5:$A$198,0)),"")</f>
        <v>Litres</v>
      </c>
      <c r="D193" s="32">
        <v>18</v>
      </c>
      <c r="E193" s="17"/>
      <c r="F193" s="17" t="s">
        <v>2194</v>
      </c>
    </row>
    <row r="194" spans="1:6" ht="15.75" customHeight="1" x14ac:dyDescent="0.3">
      <c r="A194" s="17" t="s">
        <v>2182</v>
      </c>
      <c r="B194" s="17" t="str">
        <f t="array" ref="B194">IFERROR(INDEX('07_Items'!$B$5:$B$198,MATCH($A194,'07_Items'!$A$5:$A$198,0)),"")</f>
        <v>10 mm chippings</v>
      </c>
      <c r="C194" s="17" t="str">
        <f t="array" ref="C194">IFERROR(INDEX('07_Items'!$C$5:$C$198,MATCH($A194,'07_Items'!$A$5:$A$198,0)),"")</f>
        <v>m³</v>
      </c>
      <c r="D194" s="32">
        <v>200</v>
      </c>
      <c r="E194" s="17"/>
      <c r="F194" s="17" t="s">
        <v>2194</v>
      </c>
    </row>
    <row r="195" spans="1:6" ht="15.75" customHeight="1" x14ac:dyDescent="0.3">
      <c r="A195" s="17" t="s">
        <v>2183</v>
      </c>
      <c r="B195" s="17" t="str">
        <f t="array" ref="B195">IFERROR(INDEX('07_Items'!$B$5:$B$198,MATCH($A195,'07_Items'!$A$5:$A$198,0)),"")</f>
        <v>14 mm chippings</v>
      </c>
      <c r="C195" s="17" t="str">
        <f t="array" ref="C195">IFERROR(INDEX('07_Items'!$C$5:$C$198,MATCH($A195,'07_Items'!$A$5:$A$198,0)),"")</f>
        <v>m³</v>
      </c>
      <c r="D195" s="32">
        <v>250</v>
      </c>
      <c r="E195" s="17"/>
      <c r="F195" s="17" t="s">
        <v>2194</v>
      </c>
    </row>
    <row r="196" spans="1:6" ht="15.75" customHeight="1" x14ac:dyDescent="0.3">
      <c r="A196" s="17" t="s">
        <v>2184</v>
      </c>
      <c r="B196" s="17" t="str">
        <f t="array" ref="B196">IFERROR(INDEX('07_Items'!$B$5:$B$198,MATCH($A196,'07_Items'!$A$5:$A$198,0)),"")</f>
        <v>Haulage of chippings beyond 1 km</v>
      </c>
      <c r="C196" s="17" t="str">
        <f t="array" ref="C196">IFERROR(INDEX('07_Items'!$C$5:$C$198,MATCH($A196,'07_Items'!$A$5:$A$198,0)),"")</f>
        <v>m³·km</v>
      </c>
      <c r="D196" s="32">
        <v>8.5</v>
      </c>
      <c r="E196" s="17"/>
      <c r="F196" s="17" t="s">
        <v>2194</v>
      </c>
    </row>
    <row r="197" spans="1:6" ht="15.75" customHeight="1" x14ac:dyDescent="0.3">
      <c r="A197" s="17" t="s">
        <v>1939</v>
      </c>
      <c r="B197" s="17" t="str">
        <f t="array" ref="B197">IFERROR(INDEX('07_Items'!$B$5:$B$198,MATCH($A197,'07_Items'!$A$5:$A$198,0)),"")</f>
        <v>Concrete kerb</v>
      </c>
      <c r="C197" s="17" t="str">
        <f t="array" ref="C197">IFERROR(INDEX('07_Items'!$C$5:$C$198,MATCH($A197,'07_Items'!$A$5:$A$198,0)),"")</f>
        <v>m</v>
      </c>
      <c r="D197" s="32">
        <v>500</v>
      </c>
      <c r="E197" s="17"/>
      <c r="F197" s="17" t="s">
        <v>2194</v>
      </c>
    </row>
    <row r="198" spans="1:6" ht="15.75" customHeight="1" x14ac:dyDescent="0.3">
      <c r="A198" s="17" t="s">
        <v>1941</v>
      </c>
      <c r="B198" s="17" t="str">
        <f t="array" ref="B198">IFERROR(INDEX('07_Items'!$B$5:$B$198,MATCH($A198,'07_Items'!$A$5:$A$198,0)),"")</f>
        <v>Retaining wall</v>
      </c>
      <c r="C198" s="17" t="str">
        <f t="array" ref="C198">IFERROR(INDEX('07_Items'!$C$5:$C$198,MATCH($A198,'07_Items'!$A$5:$A$198,0)),"")</f>
        <v>m</v>
      </c>
      <c r="D198" s="32">
        <v>1500</v>
      </c>
      <c r="E198" s="17"/>
      <c r="F198" s="17" t="s">
        <v>2194</v>
      </c>
    </row>
    <row r="199" spans="1:6" ht="15.75" customHeight="1" x14ac:dyDescent="0.3"/>
    <row r="200" spans="1:6" ht="15.75" customHeight="1" x14ac:dyDescent="0.3"/>
    <row r="201" spans="1:6" ht="15.75" customHeight="1" x14ac:dyDescent="0.3"/>
    <row r="202" spans="1:6" ht="15.75" customHeight="1" x14ac:dyDescent="0.3"/>
    <row r="203" spans="1:6" ht="15.75" customHeight="1" x14ac:dyDescent="0.3"/>
    <row r="204" spans="1:6" ht="15.75" customHeight="1" x14ac:dyDescent="0.3"/>
    <row r="205" spans="1:6" ht="15.75" customHeight="1" x14ac:dyDescent="0.3"/>
    <row r="206" spans="1:6" ht="15.75" customHeight="1" x14ac:dyDescent="0.3"/>
    <row r="207" spans="1:6" ht="15.75" customHeight="1" x14ac:dyDescent="0.3"/>
    <row r="208" spans="1:6"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sheetData>
  <printOptions horizontalCentered="1"/>
  <pageMargins left="0.75" right="0.75" top="1" bottom="1"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Q425"/>
  <sheetViews>
    <sheetView workbookViewId="0">
      <pane xSplit="3" topLeftCell="D1" activePane="topRight" state="frozen"/>
      <selection pane="topRight" activeCell="D13" sqref="D13"/>
    </sheetView>
  </sheetViews>
  <sheetFormatPr defaultRowHeight="14.4" x14ac:dyDescent="0.3"/>
  <cols>
    <col min="1" max="1" width="16.109375" customWidth="1"/>
    <col min="2" max="2" width="34.44140625" customWidth="1"/>
    <col min="3" max="3" width="10" customWidth="1"/>
    <col min="4" max="43" width="5" customWidth="1"/>
  </cols>
  <sheetData>
    <row r="1" spans="1:43" ht="18" customHeight="1" x14ac:dyDescent="0.35">
      <c r="A1" s="105" t="s">
        <v>2195</v>
      </c>
    </row>
    <row r="2" spans="1:43" x14ac:dyDescent="0.3">
      <c r="A2" s="54" t="s">
        <v>2196</v>
      </c>
    </row>
    <row r="3" spans="1:43" ht="22.05" customHeight="1" x14ac:dyDescent="0.3">
      <c r="A3" s="179" t="s">
        <v>2197</v>
      </c>
      <c r="B3" s="179"/>
      <c r="C3" s="239">
        <f>P_RoadName</f>
        <v>0</v>
      </c>
      <c r="D3" s="242"/>
      <c r="E3" s="242"/>
      <c r="F3" s="242"/>
      <c r="G3" s="242"/>
      <c r="H3" s="240"/>
      <c r="I3" s="179"/>
      <c r="J3" s="179"/>
      <c r="K3" s="179"/>
      <c r="L3" s="179"/>
      <c r="M3" s="179"/>
      <c r="N3" s="179"/>
      <c r="O3" s="179"/>
      <c r="P3" s="179"/>
      <c r="Q3" s="179"/>
    </row>
    <row r="4" spans="1:43" ht="22.05" customHeight="1" x14ac:dyDescent="0.3">
      <c r="A4" s="179" t="s">
        <v>2198</v>
      </c>
      <c r="B4" s="179"/>
      <c r="C4" s="239">
        <f>P_Region</f>
        <v>0</v>
      </c>
      <c r="D4" s="242"/>
      <c r="E4" s="242"/>
      <c r="F4" s="242"/>
      <c r="G4" s="242"/>
      <c r="H4" s="240"/>
      <c r="I4" s="179"/>
      <c r="J4" s="239" t="s">
        <v>2199</v>
      </c>
      <c r="K4" s="240"/>
      <c r="L4" s="239">
        <f>P_District</f>
        <v>0</v>
      </c>
      <c r="M4" s="242"/>
      <c r="N4" s="242"/>
      <c r="O4" s="242"/>
      <c r="P4" s="242"/>
      <c r="Q4" s="240"/>
    </row>
    <row r="5" spans="1:43" ht="22.05" customHeight="1" thickBot="1" x14ac:dyDescent="0.35">
      <c r="A5" s="179" t="s">
        <v>2200</v>
      </c>
      <c r="B5" s="179"/>
      <c r="C5" s="239">
        <f>P_RoadCode</f>
        <v>0</v>
      </c>
      <c r="D5" s="242"/>
      <c r="E5" s="242"/>
      <c r="F5" s="242"/>
      <c r="G5" s="242"/>
      <c r="H5" s="240"/>
      <c r="I5" s="179"/>
      <c r="J5" s="239" t="s">
        <v>2201</v>
      </c>
      <c r="K5" s="240"/>
      <c r="L5" s="241">
        <f>P_Length_km</f>
        <v>0</v>
      </c>
      <c r="M5" s="242"/>
      <c r="N5" s="242"/>
      <c r="O5" s="242"/>
      <c r="P5" s="242"/>
      <c r="Q5" s="240"/>
    </row>
    <row r="6" spans="1:43" ht="19.95" customHeight="1" thickBot="1" x14ac:dyDescent="0.35">
      <c r="A6" s="176" t="s">
        <v>2202</v>
      </c>
      <c r="B6" s="177"/>
      <c r="C6" s="177"/>
      <c r="D6" s="178" t="str">
        <f>IF(P_Length_km*1000&lt;=0,"— beyond the end of the road —","")</f>
        <v>— beyond the end of the road —</v>
      </c>
      <c r="E6" s="178"/>
      <c r="F6" s="178"/>
      <c r="G6" s="178"/>
      <c r="H6" s="178"/>
      <c r="I6" s="178"/>
      <c r="J6" s="178"/>
      <c r="K6" s="178"/>
      <c r="L6" s="178"/>
      <c r="M6" s="178"/>
      <c r="N6" s="178"/>
      <c r="O6" s="178"/>
      <c r="P6" s="178"/>
      <c r="Q6" s="178"/>
      <c r="R6" s="173"/>
      <c r="S6" s="173"/>
      <c r="T6" s="173"/>
      <c r="U6" s="173"/>
      <c r="V6" s="173"/>
      <c r="W6" s="173"/>
      <c r="X6" s="173"/>
      <c r="Y6" s="173"/>
      <c r="Z6" s="173"/>
      <c r="AA6" s="173"/>
      <c r="AB6" s="173"/>
      <c r="AC6" s="173"/>
      <c r="AD6" s="173"/>
      <c r="AE6" s="173"/>
      <c r="AF6" s="173"/>
      <c r="AG6" s="173"/>
      <c r="AH6" s="173"/>
      <c r="AI6" s="173"/>
      <c r="AJ6" s="173"/>
      <c r="AK6" s="173"/>
      <c r="AL6" s="173"/>
      <c r="AM6" s="173"/>
      <c r="AN6" s="173"/>
      <c r="AO6" s="173"/>
      <c r="AP6" s="173"/>
      <c r="AQ6" s="175"/>
    </row>
    <row r="7" spans="1:43" x14ac:dyDescent="0.3">
      <c r="A7" s="170" t="s">
        <v>2203</v>
      </c>
      <c r="B7" s="170"/>
      <c r="C7" s="170" t="s">
        <v>2204</v>
      </c>
      <c r="D7" s="171">
        <v>0</v>
      </c>
      <c r="E7" s="171"/>
      <c r="F7" s="171">
        <v>100</v>
      </c>
      <c r="G7" s="171"/>
      <c r="H7" s="171">
        <v>200</v>
      </c>
      <c r="I7" s="171"/>
      <c r="J7" s="171">
        <v>300</v>
      </c>
      <c r="K7" s="171"/>
      <c r="L7" s="171">
        <v>400</v>
      </c>
      <c r="M7" s="171"/>
      <c r="N7" s="171">
        <v>500</v>
      </c>
      <c r="O7" s="171"/>
      <c r="P7" s="171">
        <v>600</v>
      </c>
      <c r="Q7" s="171"/>
      <c r="R7" s="171">
        <v>700</v>
      </c>
      <c r="S7" s="171"/>
      <c r="T7" s="171">
        <v>800</v>
      </c>
      <c r="U7" s="171"/>
      <c r="V7" s="171">
        <v>900</v>
      </c>
      <c r="W7" s="171"/>
      <c r="X7" s="171">
        <v>0</v>
      </c>
      <c r="Y7" s="171"/>
      <c r="Z7" s="171">
        <v>100</v>
      </c>
      <c r="AA7" s="171"/>
      <c r="AB7" s="171">
        <v>200</v>
      </c>
      <c r="AC7" s="171"/>
      <c r="AD7" s="171">
        <v>300</v>
      </c>
      <c r="AE7" s="171"/>
      <c r="AF7" s="171">
        <v>400</v>
      </c>
      <c r="AG7" s="171"/>
      <c r="AH7" s="171">
        <v>500</v>
      </c>
      <c r="AI7" s="171"/>
      <c r="AJ7" s="171">
        <v>600</v>
      </c>
      <c r="AK7" s="171"/>
      <c r="AL7" s="171">
        <v>700</v>
      </c>
      <c r="AM7" s="171"/>
      <c r="AN7" s="171">
        <v>800</v>
      </c>
      <c r="AO7" s="171"/>
      <c r="AP7" s="171">
        <v>900</v>
      </c>
      <c r="AQ7" s="171"/>
    </row>
    <row r="8" spans="1:43" ht="15" customHeight="1" x14ac:dyDescent="0.3">
      <c r="A8" s="235" t="s">
        <v>2205</v>
      </c>
      <c r="B8" s="167" t="s">
        <v>263</v>
      </c>
      <c r="C8" s="168"/>
      <c r="D8" s="169" t="str">
        <f>IF('01_Stations'!$D$6=1,"▓","")</f>
        <v/>
      </c>
      <c r="E8" s="169" t="str">
        <f>IF('01_Stations'!$D$7=1,"▓","")</f>
        <v/>
      </c>
      <c r="F8" s="169" t="str">
        <f>IF('01_Stations'!$D$8=1,"▓","")</f>
        <v/>
      </c>
      <c r="G8" s="169" t="str">
        <f>IF('01_Stations'!$D$9=1,"▓","")</f>
        <v/>
      </c>
      <c r="H8" s="169" t="str">
        <f>IF('01_Stations'!$D$10=1,"▓","")</f>
        <v/>
      </c>
      <c r="I8" s="169" t="str">
        <f>IF('01_Stations'!$D$11=1,"▓","")</f>
        <v/>
      </c>
      <c r="J8" s="169" t="str">
        <f>IF('01_Stations'!$D$12=1,"▓","")</f>
        <v/>
      </c>
      <c r="K8" s="169" t="str">
        <f>IF('01_Stations'!$D$13=1,"▓","")</f>
        <v/>
      </c>
      <c r="L8" s="169" t="str">
        <f>IF('01_Stations'!$D$14=1,"▓","")</f>
        <v/>
      </c>
      <c r="M8" s="169" t="str">
        <f>IF('01_Stations'!$D$15=1,"▓","")</f>
        <v/>
      </c>
      <c r="N8" s="169" t="str">
        <f>IF('01_Stations'!$D$16=1,"▓","")</f>
        <v/>
      </c>
      <c r="O8" s="169" t="str">
        <f>IF('01_Stations'!$D$17=1,"▓","")</f>
        <v/>
      </c>
      <c r="P8" s="169" t="str">
        <f>IF('01_Stations'!$D$18=1,"▓","")</f>
        <v/>
      </c>
      <c r="Q8" s="169" t="str">
        <f>IF('01_Stations'!$D$19=1,"▓","")</f>
        <v/>
      </c>
      <c r="R8" s="169" t="str">
        <f>IF('01_Stations'!$D$20=1,"▓","")</f>
        <v/>
      </c>
      <c r="S8" s="169" t="str">
        <f>IF('01_Stations'!$D$21=1,"▓","")</f>
        <v/>
      </c>
      <c r="T8" s="169" t="str">
        <f>IF('01_Stations'!$D$22=1,"▓","")</f>
        <v/>
      </c>
      <c r="U8" s="169" t="str">
        <f>IF('01_Stations'!$D$23=1,"▓","")</f>
        <v/>
      </c>
      <c r="V8" s="169" t="str">
        <f>IF('01_Stations'!$D$24=1,"▓","")</f>
        <v/>
      </c>
      <c r="W8" s="169" t="str">
        <f>IF('01_Stations'!$D$25=1,"▓","")</f>
        <v/>
      </c>
      <c r="X8" s="169" t="str">
        <f>IF('01_Stations'!$D$26=1,"▓","")</f>
        <v/>
      </c>
      <c r="Y8" s="169" t="str">
        <f>IF('01_Stations'!$D$27=1,"▓","")</f>
        <v/>
      </c>
      <c r="Z8" s="169" t="str">
        <f>IF('01_Stations'!$D$28=1,"▓","")</f>
        <v/>
      </c>
      <c r="AA8" s="169" t="str">
        <f>IF('01_Stations'!$D$29=1,"▓","")</f>
        <v/>
      </c>
      <c r="AB8" s="169" t="str">
        <f>IF('01_Stations'!$D$30=1,"▓","")</f>
        <v/>
      </c>
      <c r="AC8" s="169" t="str">
        <f>IF('01_Stations'!$D$31=1,"▓","")</f>
        <v/>
      </c>
      <c r="AD8" s="169" t="str">
        <f>IF('01_Stations'!$D$32=1,"▓","")</f>
        <v/>
      </c>
      <c r="AE8" s="169" t="str">
        <f>IF('01_Stations'!$D$33=1,"▓","")</f>
        <v/>
      </c>
      <c r="AF8" s="169" t="str">
        <f>IF('01_Stations'!$D$34=1,"▓","")</f>
        <v/>
      </c>
      <c r="AG8" s="169" t="str">
        <f>IF('01_Stations'!$D$35=1,"▓","")</f>
        <v/>
      </c>
      <c r="AH8" s="169" t="str">
        <f>IF('01_Stations'!$D$36=1,"▓","")</f>
        <v/>
      </c>
      <c r="AI8" s="169" t="str">
        <f>IF('01_Stations'!$D$37=1,"▓","")</f>
        <v/>
      </c>
      <c r="AJ8" s="169" t="str">
        <f>IF('01_Stations'!$D$38=1,"▓","")</f>
        <v/>
      </c>
      <c r="AK8" s="169" t="str">
        <f>IF('01_Stations'!$D$39=1,"▓","")</f>
        <v/>
      </c>
      <c r="AL8" s="169" t="str">
        <f>IF('01_Stations'!$D$40=1,"▓","")</f>
        <v/>
      </c>
      <c r="AM8" s="169" t="str">
        <f>IF('01_Stations'!$D$41=1,"▓","")</f>
        <v/>
      </c>
      <c r="AN8" s="169" t="str">
        <f>IF('01_Stations'!$D$42=1,"▓","")</f>
        <v/>
      </c>
      <c r="AO8" s="169" t="str">
        <f>IF('01_Stations'!$D$43=1,"▓","")</f>
        <v/>
      </c>
      <c r="AP8" s="169" t="str">
        <f>IF('01_Stations'!$D$44=1,"▓","")</f>
        <v/>
      </c>
      <c r="AQ8" s="169" t="str">
        <f>IF('01_Stations'!$D$45=1,"▓","")</f>
        <v/>
      </c>
    </row>
    <row r="9" spans="1:43" ht="15" customHeight="1" x14ac:dyDescent="0.3">
      <c r="A9" s="236"/>
      <c r="B9" s="165" t="s">
        <v>2206</v>
      </c>
      <c r="C9" s="166"/>
      <c r="D9" s="164" t="str">
        <f>IF('01_Stations'!$E$6="","",'01_Stations'!$E$6)</f>
        <v/>
      </c>
      <c r="E9" s="164" t="str">
        <f>IF('01_Stations'!$E$7="","",'01_Stations'!$E$7)</f>
        <v/>
      </c>
      <c r="F9" s="164" t="str">
        <f>IF('01_Stations'!$E$8="","",'01_Stations'!$E$8)</f>
        <v/>
      </c>
      <c r="G9" s="164" t="str">
        <f>IF('01_Stations'!$E$9="","",'01_Stations'!$E$9)</f>
        <v/>
      </c>
      <c r="H9" s="164" t="str">
        <f>IF('01_Stations'!$E$10="","",'01_Stations'!$E$10)</f>
        <v/>
      </c>
      <c r="I9" s="164" t="str">
        <f>IF('01_Stations'!$E$11="","",'01_Stations'!$E$11)</f>
        <v/>
      </c>
      <c r="J9" s="164" t="str">
        <f>IF('01_Stations'!$E$12="","",'01_Stations'!$E$12)</f>
        <v/>
      </c>
      <c r="K9" s="164" t="str">
        <f>IF('01_Stations'!$E$13="","",'01_Stations'!$E$13)</f>
        <v/>
      </c>
      <c r="L9" s="164" t="str">
        <f>IF('01_Stations'!$E$14="","",'01_Stations'!$E$14)</f>
        <v/>
      </c>
      <c r="M9" s="164" t="str">
        <f>IF('01_Stations'!$E$15="","",'01_Stations'!$E$15)</f>
        <v/>
      </c>
      <c r="N9" s="164" t="str">
        <f>IF('01_Stations'!$E$16="","",'01_Stations'!$E$16)</f>
        <v/>
      </c>
      <c r="O9" s="164" t="str">
        <f>IF('01_Stations'!$E$17="","",'01_Stations'!$E$17)</f>
        <v/>
      </c>
      <c r="P9" s="164" t="str">
        <f>IF('01_Stations'!$E$18="","",'01_Stations'!$E$18)</f>
        <v/>
      </c>
      <c r="Q9" s="164" t="str">
        <f>IF('01_Stations'!$E$19="","",'01_Stations'!$E$19)</f>
        <v/>
      </c>
      <c r="R9" s="164" t="str">
        <f>IF('01_Stations'!$E$20="","",'01_Stations'!$E$20)</f>
        <v/>
      </c>
      <c r="S9" s="164" t="str">
        <f>IF('01_Stations'!$E$21="","",'01_Stations'!$E$21)</f>
        <v/>
      </c>
      <c r="T9" s="164" t="str">
        <f>IF('01_Stations'!$E$22="","",'01_Stations'!$E$22)</f>
        <v/>
      </c>
      <c r="U9" s="164" t="str">
        <f>IF('01_Stations'!$E$23="","",'01_Stations'!$E$23)</f>
        <v/>
      </c>
      <c r="V9" s="164" t="str">
        <f>IF('01_Stations'!$E$24="","",'01_Stations'!$E$24)</f>
        <v/>
      </c>
      <c r="W9" s="164" t="str">
        <f>IF('01_Stations'!$E$25="","",'01_Stations'!$E$25)</f>
        <v/>
      </c>
      <c r="X9" s="164" t="str">
        <f>IF('01_Stations'!$E$26="","",'01_Stations'!$E$26)</f>
        <v/>
      </c>
      <c r="Y9" s="164" t="str">
        <f>IF('01_Stations'!$E$27="","",'01_Stations'!$E$27)</f>
        <v/>
      </c>
      <c r="Z9" s="164" t="str">
        <f>IF('01_Stations'!$E$28="","",'01_Stations'!$E$28)</f>
        <v/>
      </c>
      <c r="AA9" s="164" t="str">
        <f>IF('01_Stations'!$E$29="","",'01_Stations'!$E$29)</f>
        <v/>
      </c>
      <c r="AB9" s="164" t="str">
        <f>IF('01_Stations'!$E$30="","",'01_Stations'!$E$30)</f>
        <v/>
      </c>
      <c r="AC9" s="164" t="str">
        <f>IF('01_Stations'!$E$31="","",'01_Stations'!$E$31)</f>
        <v/>
      </c>
      <c r="AD9" s="164" t="str">
        <f>IF('01_Stations'!$E$32="","",'01_Stations'!$E$32)</f>
        <v/>
      </c>
      <c r="AE9" s="164" t="str">
        <f>IF('01_Stations'!$E$33="","",'01_Stations'!$E$33)</f>
        <v/>
      </c>
      <c r="AF9" s="164" t="str">
        <f>IF('01_Stations'!$E$34="","",'01_Stations'!$E$34)</f>
        <v/>
      </c>
      <c r="AG9" s="164" t="str">
        <f>IF('01_Stations'!$E$35="","",'01_Stations'!$E$35)</f>
        <v/>
      </c>
      <c r="AH9" s="164" t="str">
        <f>IF('01_Stations'!$E$36="","",'01_Stations'!$E$36)</f>
        <v/>
      </c>
      <c r="AI9" s="164" t="str">
        <f>IF('01_Stations'!$E$37="","",'01_Stations'!$E$37)</f>
        <v/>
      </c>
      <c r="AJ9" s="164" t="str">
        <f>IF('01_Stations'!$E$38="","",'01_Stations'!$E$38)</f>
        <v/>
      </c>
      <c r="AK9" s="164" t="str">
        <f>IF('01_Stations'!$E$39="","",'01_Stations'!$E$39)</f>
        <v/>
      </c>
      <c r="AL9" s="164" t="str">
        <f>IF('01_Stations'!$E$40="","",'01_Stations'!$E$40)</f>
        <v/>
      </c>
      <c r="AM9" s="164" t="str">
        <f>IF('01_Stations'!$E$41="","",'01_Stations'!$E$41)</f>
        <v/>
      </c>
      <c r="AN9" s="164" t="str">
        <f>IF('01_Stations'!$E$42="","",'01_Stations'!$E$42)</f>
        <v/>
      </c>
      <c r="AO9" s="164" t="str">
        <f>IF('01_Stations'!$E$43="","",'01_Stations'!$E$43)</f>
        <v/>
      </c>
      <c r="AP9" s="164" t="str">
        <f>IF('01_Stations'!$E$44="","",'01_Stations'!$E$44)</f>
        <v/>
      </c>
      <c r="AQ9" s="164" t="str">
        <f>IF('01_Stations'!$E$45="","",'01_Stations'!$E$45)</f>
        <v/>
      </c>
    </row>
    <row r="10" spans="1:43" ht="15" customHeight="1" x14ac:dyDescent="0.3">
      <c r="A10" s="236"/>
      <c r="B10" s="165" t="s">
        <v>2207</v>
      </c>
      <c r="C10" s="166"/>
      <c r="D10" s="164" t="str">
        <f>IF('01_Stations'!$F$6=1,"───","")</f>
        <v/>
      </c>
      <c r="E10" s="164" t="str">
        <f>IF('01_Stations'!$F$7=1,"───","")</f>
        <v/>
      </c>
      <c r="F10" s="164" t="str">
        <f>IF('01_Stations'!$F$8=1,"───","")</f>
        <v/>
      </c>
      <c r="G10" s="164" t="str">
        <f>IF('01_Stations'!$F$9=1,"───","")</f>
        <v/>
      </c>
      <c r="H10" s="164" t="str">
        <f>IF('01_Stations'!$F$10=1,"───","")</f>
        <v/>
      </c>
      <c r="I10" s="164" t="str">
        <f>IF('01_Stations'!$F$11=1,"───","")</f>
        <v/>
      </c>
      <c r="J10" s="164" t="str">
        <f>IF('01_Stations'!$F$12=1,"───","")</f>
        <v/>
      </c>
      <c r="K10" s="164" t="str">
        <f>IF('01_Stations'!$F$13=1,"───","")</f>
        <v/>
      </c>
      <c r="L10" s="164" t="str">
        <f>IF('01_Stations'!$F$14=1,"───","")</f>
        <v/>
      </c>
      <c r="M10" s="164" t="str">
        <f>IF('01_Stations'!$F$15=1,"───","")</f>
        <v/>
      </c>
      <c r="N10" s="164" t="str">
        <f>IF('01_Stations'!$F$16=1,"───","")</f>
        <v/>
      </c>
      <c r="O10" s="164" t="str">
        <f>IF('01_Stations'!$F$17=1,"───","")</f>
        <v/>
      </c>
      <c r="P10" s="164" t="str">
        <f>IF('01_Stations'!$F$18=1,"───","")</f>
        <v/>
      </c>
      <c r="Q10" s="164" t="str">
        <f>IF('01_Stations'!$F$19=1,"───","")</f>
        <v/>
      </c>
      <c r="R10" s="164" t="str">
        <f>IF('01_Stations'!$F$20=1,"───","")</f>
        <v/>
      </c>
      <c r="S10" s="164" t="str">
        <f>IF('01_Stations'!$F$21=1,"───","")</f>
        <v/>
      </c>
      <c r="T10" s="164" t="str">
        <f>IF('01_Stations'!$F$22=1,"───","")</f>
        <v/>
      </c>
      <c r="U10" s="164" t="str">
        <f>IF('01_Stations'!$F$23=1,"───","")</f>
        <v/>
      </c>
      <c r="V10" s="164" t="str">
        <f>IF('01_Stations'!$F$24=1,"───","")</f>
        <v/>
      </c>
      <c r="W10" s="164" t="str">
        <f>IF('01_Stations'!$F$25=1,"───","")</f>
        <v/>
      </c>
      <c r="X10" s="164" t="str">
        <f>IF('01_Stations'!$F$26=1,"───","")</f>
        <v/>
      </c>
      <c r="Y10" s="164" t="str">
        <f>IF('01_Stations'!$F$27=1,"───","")</f>
        <v/>
      </c>
      <c r="Z10" s="164" t="str">
        <f>IF('01_Stations'!$F$28=1,"───","")</f>
        <v/>
      </c>
      <c r="AA10" s="164" t="str">
        <f>IF('01_Stations'!$F$29=1,"───","")</f>
        <v/>
      </c>
      <c r="AB10" s="164" t="str">
        <f>IF('01_Stations'!$F$30=1,"───","")</f>
        <v/>
      </c>
      <c r="AC10" s="164" t="str">
        <f>IF('01_Stations'!$F$31=1,"───","")</f>
        <v/>
      </c>
      <c r="AD10" s="164" t="str">
        <f>IF('01_Stations'!$F$32=1,"───","")</f>
        <v/>
      </c>
      <c r="AE10" s="164" t="str">
        <f>IF('01_Stations'!$F$33=1,"───","")</f>
        <v/>
      </c>
      <c r="AF10" s="164" t="str">
        <f>IF('01_Stations'!$F$34=1,"───","")</f>
        <v/>
      </c>
      <c r="AG10" s="164" t="str">
        <f>IF('01_Stations'!$F$35=1,"───","")</f>
        <v/>
      </c>
      <c r="AH10" s="164" t="str">
        <f>IF('01_Stations'!$F$36=1,"───","")</f>
        <v/>
      </c>
      <c r="AI10" s="164" t="str">
        <f>IF('01_Stations'!$F$37=1,"───","")</f>
        <v/>
      </c>
      <c r="AJ10" s="164" t="str">
        <f>IF('01_Stations'!$F$38=1,"───","")</f>
        <v/>
      </c>
      <c r="AK10" s="164" t="str">
        <f>IF('01_Stations'!$F$39=1,"───","")</f>
        <v/>
      </c>
      <c r="AL10" s="164" t="str">
        <f>IF('01_Stations'!$F$40=1,"───","")</f>
        <v/>
      </c>
      <c r="AM10" s="164" t="str">
        <f>IF('01_Stations'!$F$41=1,"───","")</f>
        <v/>
      </c>
      <c r="AN10" s="164" t="str">
        <f>IF('01_Stations'!$F$42=1,"───","")</f>
        <v/>
      </c>
      <c r="AO10" s="164" t="str">
        <f>IF('01_Stations'!$F$43=1,"───","")</f>
        <v/>
      </c>
      <c r="AP10" s="164" t="str">
        <f>IF('01_Stations'!$F$44=1,"───","")</f>
        <v/>
      </c>
      <c r="AQ10" s="164" t="str">
        <f>IF('01_Stations'!$F$45=1,"───","")</f>
        <v/>
      </c>
    </row>
    <row r="11" spans="1:43" ht="15" customHeight="1" x14ac:dyDescent="0.3">
      <c r="A11" s="236"/>
      <c r="B11" s="165" t="s">
        <v>265</v>
      </c>
      <c r="C11" s="166" t="s">
        <v>299</v>
      </c>
      <c r="D11" s="164" t="str">
        <f>IF(N('01_Stations'!$G$6)&gt;0,'01_Stations'!$G$6,"")</f>
        <v/>
      </c>
      <c r="E11" s="164" t="str">
        <f>IF(N('01_Stations'!$G$7)&gt;0,'01_Stations'!$G$7,"")</f>
        <v/>
      </c>
      <c r="F11" s="164" t="str">
        <f>IF(N('01_Stations'!$G$8)&gt;0,'01_Stations'!$G$8,"")</f>
        <v/>
      </c>
      <c r="G11" s="164" t="str">
        <f>IF(N('01_Stations'!$G$9)&gt;0,'01_Stations'!$G$9,"")</f>
        <v/>
      </c>
      <c r="H11" s="164" t="str">
        <f>IF(N('01_Stations'!$G$10)&gt;0,'01_Stations'!$G$10,"")</f>
        <v/>
      </c>
      <c r="I11" s="164" t="str">
        <f>IF(N('01_Stations'!$G$11)&gt;0,'01_Stations'!$G$11,"")</f>
        <v/>
      </c>
      <c r="J11" s="164" t="str">
        <f>IF(N('01_Stations'!$G$12)&gt;0,'01_Stations'!$G$12,"")</f>
        <v/>
      </c>
      <c r="K11" s="164" t="str">
        <f>IF(N('01_Stations'!$G$13)&gt;0,'01_Stations'!$G$13,"")</f>
        <v/>
      </c>
      <c r="L11" s="164" t="str">
        <f>IF(N('01_Stations'!$G$14)&gt;0,'01_Stations'!$G$14,"")</f>
        <v/>
      </c>
      <c r="M11" s="164" t="str">
        <f>IF(N('01_Stations'!$G$15)&gt;0,'01_Stations'!$G$15,"")</f>
        <v/>
      </c>
      <c r="N11" s="164" t="str">
        <f>IF(N('01_Stations'!$G$16)&gt;0,'01_Stations'!$G$16,"")</f>
        <v/>
      </c>
      <c r="O11" s="164" t="str">
        <f>IF(N('01_Stations'!$G$17)&gt;0,'01_Stations'!$G$17,"")</f>
        <v/>
      </c>
      <c r="P11" s="164" t="str">
        <f>IF(N('01_Stations'!$G$18)&gt;0,'01_Stations'!$G$18,"")</f>
        <v/>
      </c>
      <c r="Q11" s="164" t="str">
        <f>IF(N('01_Stations'!$G$19)&gt;0,'01_Stations'!$G$19,"")</f>
        <v/>
      </c>
      <c r="R11" s="164" t="str">
        <f>IF(N('01_Stations'!$G$20)&gt;0,'01_Stations'!$G$20,"")</f>
        <v/>
      </c>
      <c r="S11" s="164" t="str">
        <f>IF(N('01_Stations'!$G$21)&gt;0,'01_Stations'!$G$21,"")</f>
        <v/>
      </c>
      <c r="T11" s="164" t="str">
        <f>IF(N('01_Stations'!$G$22)&gt;0,'01_Stations'!$G$22,"")</f>
        <v/>
      </c>
      <c r="U11" s="164" t="str">
        <f>IF(N('01_Stations'!$G$23)&gt;0,'01_Stations'!$G$23,"")</f>
        <v/>
      </c>
      <c r="V11" s="164" t="str">
        <f>IF(N('01_Stations'!$G$24)&gt;0,'01_Stations'!$G$24,"")</f>
        <v/>
      </c>
      <c r="W11" s="164" t="str">
        <f>IF(N('01_Stations'!$G$25)&gt;0,'01_Stations'!$G$25,"")</f>
        <v/>
      </c>
      <c r="X11" s="164" t="str">
        <f>IF(N('01_Stations'!$G$26)&gt;0,'01_Stations'!$G$26,"")</f>
        <v/>
      </c>
      <c r="Y11" s="164" t="str">
        <f>IF(N('01_Stations'!$G$27)&gt;0,'01_Stations'!$G$27,"")</f>
        <v/>
      </c>
      <c r="Z11" s="164" t="str">
        <f>IF(N('01_Stations'!$G$28)&gt;0,'01_Stations'!$G$28,"")</f>
        <v/>
      </c>
      <c r="AA11" s="164" t="str">
        <f>IF(N('01_Stations'!$G$29)&gt;0,'01_Stations'!$G$29,"")</f>
        <v/>
      </c>
      <c r="AB11" s="164" t="str">
        <f>IF(N('01_Stations'!$G$30)&gt;0,'01_Stations'!$G$30,"")</f>
        <v/>
      </c>
      <c r="AC11" s="164" t="str">
        <f>IF(N('01_Stations'!$G$31)&gt;0,'01_Stations'!$G$31,"")</f>
        <v/>
      </c>
      <c r="AD11" s="164" t="str">
        <f>IF(N('01_Stations'!$G$32)&gt;0,'01_Stations'!$G$32,"")</f>
        <v/>
      </c>
      <c r="AE11" s="164" t="str">
        <f>IF(N('01_Stations'!$G$33)&gt;0,'01_Stations'!$G$33,"")</f>
        <v/>
      </c>
      <c r="AF11" s="164" t="str">
        <f>IF(N('01_Stations'!$G$34)&gt;0,'01_Stations'!$G$34,"")</f>
        <v/>
      </c>
      <c r="AG11" s="164" t="str">
        <f>IF(N('01_Stations'!$G$35)&gt;0,'01_Stations'!$G$35,"")</f>
        <v/>
      </c>
      <c r="AH11" s="164" t="str">
        <f>IF(N('01_Stations'!$G$36)&gt;0,'01_Stations'!$G$36,"")</f>
        <v/>
      </c>
      <c r="AI11" s="164" t="str">
        <f>IF(N('01_Stations'!$G$37)&gt;0,'01_Stations'!$G$37,"")</f>
        <v/>
      </c>
      <c r="AJ11" s="164" t="str">
        <f>IF(N('01_Stations'!$G$38)&gt;0,'01_Stations'!$G$38,"")</f>
        <v/>
      </c>
      <c r="AK11" s="164" t="str">
        <f>IF(N('01_Stations'!$G$39)&gt;0,'01_Stations'!$G$39,"")</f>
        <v/>
      </c>
      <c r="AL11" s="164" t="str">
        <f>IF(N('01_Stations'!$G$40)&gt;0,'01_Stations'!$G$40,"")</f>
        <v/>
      </c>
      <c r="AM11" s="164" t="str">
        <f>IF(N('01_Stations'!$G$41)&gt;0,'01_Stations'!$G$41,"")</f>
        <v/>
      </c>
      <c r="AN11" s="164" t="str">
        <f>IF(N('01_Stations'!$G$42)&gt;0,'01_Stations'!$G$42,"")</f>
        <v/>
      </c>
      <c r="AO11" s="164" t="str">
        <f>IF(N('01_Stations'!$G$43)&gt;0,'01_Stations'!$G$43,"")</f>
        <v/>
      </c>
      <c r="AP11" s="164" t="str">
        <f>IF(N('01_Stations'!$G$44)&gt;0,'01_Stations'!$G$44,"")</f>
        <v/>
      </c>
      <c r="AQ11" s="164" t="str">
        <f>IF(N('01_Stations'!$G$45)&gt;0,'01_Stations'!$G$45,"")</f>
        <v/>
      </c>
    </row>
    <row r="12" spans="1:43" ht="15" customHeight="1" x14ac:dyDescent="0.3">
      <c r="A12" s="236"/>
      <c r="B12" s="165" t="s">
        <v>1866</v>
      </c>
      <c r="C12" s="166" t="s">
        <v>300</v>
      </c>
      <c r="D12" s="164" t="str">
        <f>IF(N('01_Stations'!$H$6)&gt;0,'01_Stations'!$H$6,"")</f>
        <v/>
      </c>
      <c r="E12" s="164" t="str">
        <f>IF(N('01_Stations'!$H$7)&gt;0,'01_Stations'!$H$7,"")</f>
        <v/>
      </c>
      <c r="F12" s="164" t="str">
        <f>IF(N('01_Stations'!$H$8)&gt;0,'01_Stations'!$H$8,"")</f>
        <v/>
      </c>
      <c r="G12" s="164" t="str">
        <f>IF(N('01_Stations'!$H$9)&gt;0,'01_Stations'!$H$9,"")</f>
        <v/>
      </c>
      <c r="H12" s="164" t="str">
        <f>IF(N('01_Stations'!$H$10)&gt;0,'01_Stations'!$H$10,"")</f>
        <v/>
      </c>
      <c r="I12" s="164" t="str">
        <f>IF(N('01_Stations'!$H$11)&gt;0,'01_Stations'!$H$11,"")</f>
        <v/>
      </c>
      <c r="J12" s="164" t="str">
        <f>IF(N('01_Stations'!$H$12)&gt;0,'01_Stations'!$H$12,"")</f>
        <v/>
      </c>
      <c r="K12" s="164" t="str">
        <f>IF(N('01_Stations'!$H$13)&gt;0,'01_Stations'!$H$13,"")</f>
        <v/>
      </c>
      <c r="L12" s="164" t="str">
        <f>IF(N('01_Stations'!$H$14)&gt;0,'01_Stations'!$H$14,"")</f>
        <v/>
      </c>
      <c r="M12" s="164" t="str">
        <f>IF(N('01_Stations'!$H$15)&gt;0,'01_Stations'!$H$15,"")</f>
        <v/>
      </c>
      <c r="N12" s="164" t="str">
        <f>IF(N('01_Stations'!$H$16)&gt;0,'01_Stations'!$H$16,"")</f>
        <v/>
      </c>
      <c r="O12" s="164" t="str">
        <f>IF(N('01_Stations'!$H$17)&gt;0,'01_Stations'!$H$17,"")</f>
        <v/>
      </c>
      <c r="P12" s="164" t="str">
        <f>IF(N('01_Stations'!$H$18)&gt;0,'01_Stations'!$H$18,"")</f>
        <v/>
      </c>
      <c r="Q12" s="164" t="str">
        <f>IF(N('01_Stations'!$H$19)&gt;0,'01_Stations'!$H$19,"")</f>
        <v/>
      </c>
      <c r="R12" s="164" t="str">
        <f>IF(N('01_Stations'!$H$20)&gt;0,'01_Stations'!$H$20,"")</f>
        <v/>
      </c>
      <c r="S12" s="164" t="str">
        <f>IF(N('01_Stations'!$H$21)&gt;0,'01_Stations'!$H$21,"")</f>
        <v/>
      </c>
      <c r="T12" s="164" t="str">
        <f>IF(N('01_Stations'!$H$22)&gt;0,'01_Stations'!$H$22,"")</f>
        <v/>
      </c>
      <c r="U12" s="164" t="str">
        <f>IF(N('01_Stations'!$H$23)&gt;0,'01_Stations'!$H$23,"")</f>
        <v/>
      </c>
      <c r="V12" s="164" t="str">
        <f>IF(N('01_Stations'!$H$24)&gt;0,'01_Stations'!$H$24,"")</f>
        <v/>
      </c>
      <c r="W12" s="164" t="str">
        <f>IF(N('01_Stations'!$H$25)&gt;0,'01_Stations'!$H$25,"")</f>
        <v/>
      </c>
      <c r="X12" s="164" t="str">
        <f>IF(N('01_Stations'!$H$26)&gt;0,'01_Stations'!$H$26,"")</f>
        <v/>
      </c>
      <c r="Y12" s="164" t="str">
        <f>IF(N('01_Stations'!$H$27)&gt;0,'01_Stations'!$H$27,"")</f>
        <v/>
      </c>
      <c r="Z12" s="164" t="str">
        <f>IF(N('01_Stations'!$H$28)&gt;0,'01_Stations'!$H$28,"")</f>
        <v/>
      </c>
      <c r="AA12" s="164" t="str">
        <f>IF(N('01_Stations'!$H$29)&gt;0,'01_Stations'!$H$29,"")</f>
        <v/>
      </c>
      <c r="AB12" s="164" t="str">
        <f>IF(N('01_Stations'!$H$30)&gt;0,'01_Stations'!$H$30,"")</f>
        <v/>
      </c>
      <c r="AC12" s="164" t="str">
        <f>IF(N('01_Stations'!$H$31)&gt;0,'01_Stations'!$H$31,"")</f>
        <v/>
      </c>
      <c r="AD12" s="164" t="str">
        <f>IF(N('01_Stations'!$H$32)&gt;0,'01_Stations'!$H$32,"")</f>
        <v/>
      </c>
      <c r="AE12" s="164" t="str">
        <f>IF(N('01_Stations'!$H$33)&gt;0,'01_Stations'!$H$33,"")</f>
        <v/>
      </c>
      <c r="AF12" s="164" t="str">
        <f>IF(N('01_Stations'!$H$34)&gt;0,'01_Stations'!$H$34,"")</f>
        <v/>
      </c>
      <c r="AG12" s="164" t="str">
        <f>IF(N('01_Stations'!$H$35)&gt;0,'01_Stations'!$H$35,"")</f>
        <v/>
      </c>
      <c r="AH12" s="164" t="str">
        <f>IF(N('01_Stations'!$H$36)&gt;0,'01_Stations'!$H$36,"")</f>
        <v/>
      </c>
      <c r="AI12" s="164" t="str">
        <f>IF(N('01_Stations'!$H$37)&gt;0,'01_Stations'!$H$37,"")</f>
        <v/>
      </c>
      <c r="AJ12" s="164" t="str">
        <f>IF(N('01_Stations'!$H$38)&gt;0,'01_Stations'!$H$38,"")</f>
        <v/>
      </c>
      <c r="AK12" s="164" t="str">
        <f>IF(N('01_Stations'!$H$39)&gt;0,'01_Stations'!$H$39,"")</f>
        <v/>
      </c>
      <c r="AL12" s="164" t="str">
        <f>IF(N('01_Stations'!$H$40)&gt;0,'01_Stations'!$H$40,"")</f>
        <v/>
      </c>
      <c r="AM12" s="164" t="str">
        <f>IF(N('01_Stations'!$H$41)&gt;0,'01_Stations'!$H$41,"")</f>
        <v/>
      </c>
      <c r="AN12" s="164" t="str">
        <f>IF(N('01_Stations'!$H$42)&gt;0,'01_Stations'!$H$42,"")</f>
        <v/>
      </c>
      <c r="AO12" s="164" t="str">
        <f>IF(N('01_Stations'!$H$43)&gt;0,'01_Stations'!$H$43,"")</f>
        <v/>
      </c>
      <c r="AP12" s="164" t="str">
        <f>IF(N('01_Stations'!$H$44)&gt;0,'01_Stations'!$H$44,"")</f>
        <v/>
      </c>
      <c r="AQ12" s="164" t="str">
        <f>IF(N('01_Stations'!$H$45)&gt;0,'01_Stations'!$H$45,"")</f>
        <v/>
      </c>
    </row>
    <row r="13" spans="1:43" ht="15" customHeight="1" x14ac:dyDescent="0.3">
      <c r="A13" s="236"/>
      <c r="B13" s="165" t="s">
        <v>267</v>
      </c>
      <c r="C13" s="166"/>
      <c r="D13" s="164" t="str">
        <f>IF('01_Stations'!$I$6=1,"───","")</f>
        <v/>
      </c>
      <c r="E13" s="164" t="str">
        <f>IF('01_Stations'!$I$7=1,"───","")</f>
        <v/>
      </c>
      <c r="F13" s="164" t="str">
        <f>IF('01_Stations'!$I$8=1,"───","")</f>
        <v/>
      </c>
      <c r="G13" s="164" t="str">
        <f>IF('01_Stations'!$I$9=1,"───","")</f>
        <v/>
      </c>
      <c r="H13" s="164" t="str">
        <f>IF('01_Stations'!$I$10=1,"───","")</f>
        <v/>
      </c>
      <c r="I13" s="164" t="str">
        <f>IF('01_Stations'!$I$11=1,"───","")</f>
        <v/>
      </c>
      <c r="J13" s="164" t="str">
        <f>IF('01_Stations'!$I$12=1,"───","")</f>
        <v/>
      </c>
      <c r="K13" s="164" t="str">
        <f>IF('01_Stations'!$I$13=1,"───","")</f>
        <v/>
      </c>
      <c r="L13" s="164" t="str">
        <f>IF('01_Stations'!$I$14=1,"───","")</f>
        <v/>
      </c>
      <c r="M13" s="164" t="str">
        <f>IF('01_Stations'!$I$15=1,"───","")</f>
        <v/>
      </c>
      <c r="N13" s="164" t="str">
        <f>IF('01_Stations'!$I$16=1,"───","")</f>
        <v/>
      </c>
      <c r="O13" s="164" t="str">
        <f>IF('01_Stations'!$I$17=1,"───","")</f>
        <v/>
      </c>
      <c r="P13" s="164" t="str">
        <f>IF('01_Stations'!$I$18=1,"───","")</f>
        <v/>
      </c>
      <c r="Q13" s="164" t="str">
        <f>IF('01_Stations'!$I$19=1,"───","")</f>
        <v/>
      </c>
      <c r="R13" s="164" t="str">
        <f>IF('01_Stations'!$I$20=1,"───","")</f>
        <v/>
      </c>
      <c r="S13" s="164" t="str">
        <f>IF('01_Stations'!$I$21=1,"───","")</f>
        <v/>
      </c>
      <c r="T13" s="164" t="str">
        <f>IF('01_Stations'!$I$22=1,"───","")</f>
        <v/>
      </c>
      <c r="U13" s="164" t="str">
        <f>IF('01_Stations'!$I$23=1,"───","")</f>
        <v/>
      </c>
      <c r="V13" s="164" t="str">
        <f>IF('01_Stations'!$I$24=1,"───","")</f>
        <v/>
      </c>
      <c r="W13" s="164" t="str">
        <f>IF('01_Stations'!$I$25=1,"───","")</f>
        <v/>
      </c>
      <c r="X13" s="164" t="str">
        <f>IF('01_Stations'!$I$26=1,"───","")</f>
        <v/>
      </c>
      <c r="Y13" s="164" t="str">
        <f>IF('01_Stations'!$I$27=1,"───","")</f>
        <v/>
      </c>
      <c r="Z13" s="164" t="str">
        <f>IF('01_Stations'!$I$28=1,"───","")</f>
        <v/>
      </c>
      <c r="AA13" s="164" t="str">
        <f>IF('01_Stations'!$I$29=1,"───","")</f>
        <v/>
      </c>
      <c r="AB13" s="164" t="str">
        <f>IF('01_Stations'!$I$30=1,"───","")</f>
        <v/>
      </c>
      <c r="AC13" s="164" t="str">
        <f>IF('01_Stations'!$I$31=1,"───","")</f>
        <v/>
      </c>
      <c r="AD13" s="164" t="str">
        <f>IF('01_Stations'!$I$32=1,"───","")</f>
        <v/>
      </c>
      <c r="AE13" s="164" t="str">
        <f>IF('01_Stations'!$I$33=1,"───","")</f>
        <v/>
      </c>
      <c r="AF13" s="164" t="str">
        <f>IF('01_Stations'!$I$34=1,"───","")</f>
        <v/>
      </c>
      <c r="AG13" s="164" t="str">
        <f>IF('01_Stations'!$I$35=1,"───","")</f>
        <v/>
      </c>
      <c r="AH13" s="164" t="str">
        <f>IF('01_Stations'!$I$36=1,"───","")</f>
        <v/>
      </c>
      <c r="AI13" s="164" t="str">
        <f>IF('01_Stations'!$I$37=1,"───","")</f>
        <v/>
      </c>
      <c r="AJ13" s="164" t="str">
        <f>IF('01_Stations'!$I$38=1,"───","")</f>
        <v/>
      </c>
      <c r="AK13" s="164" t="str">
        <f>IF('01_Stations'!$I$39=1,"───","")</f>
        <v/>
      </c>
      <c r="AL13" s="164" t="str">
        <f>IF('01_Stations'!$I$40=1,"───","")</f>
        <v/>
      </c>
      <c r="AM13" s="164" t="str">
        <f>IF('01_Stations'!$I$41=1,"───","")</f>
        <v/>
      </c>
      <c r="AN13" s="164" t="str">
        <f>IF('01_Stations'!$I$42=1,"───","")</f>
        <v/>
      </c>
      <c r="AO13" s="164" t="str">
        <f>IF('01_Stations'!$I$43=1,"───","")</f>
        <v/>
      </c>
      <c r="AP13" s="164" t="str">
        <f>IF('01_Stations'!$I$44=1,"───","")</f>
        <v/>
      </c>
      <c r="AQ13" s="164" t="str">
        <f>IF('01_Stations'!$I$45=1,"───","")</f>
        <v/>
      </c>
    </row>
    <row r="14" spans="1:43" ht="15" customHeight="1" x14ac:dyDescent="0.3">
      <c r="A14" s="236"/>
      <c r="B14" s="165" t="s">
        <v>268</v>
      </c>
      <c r="C14" s="166" t="s">
        <v>299</v>
      </c>
      <c r="D14" s="164" t="str">
        <f>IF(N('01_Stations'!$J$6)&gt;0,'01_Stations'!$J$6,"")</f>
        <v/>
      </c>
      <c r="E14" s="164" t="str">
        <f>IF(N('01_Stations'!$J$7)&gt;0,'01_Stations'!$J$7,"")</f>
        <v/>
      </c>
      <c r="F14" s="164" t="str">
        <f>IF(N('01_Stations'!$J$8)&gt;0,'01_Stations'!$J$8,"")</f>
        <v/>
      </c>
      <c r="G14" s="164" t="str">
        <f>IF(N('01_Stations'!$J$9)&gt;0,'01_Stations'!$J$9,"")</f>
        <v/>
      </c>
      <c r="H14" s="164" t="str">
        <f>IF(N('01_Stations'!$J$10)&gt;0,'01_Stations'!$J$10,"")</f>
        <v/>
      </c>
      <c r="I14" s="164" t="str">
        <f>IF(N('01_Stations'!$J$11)&gt;0,'01_Stations'!$J$11,"")</f>
        <v/>
      </c>
      <c r="J14" s="164" t="str">
        <f>IF(N('01_Stations'!$J$12)&gt;0,'01_Stations'!$J$12,"")</f>
        <v/>
      </c>
      <c r="K14" s="164" t="str">
        <f>IF(N('01_Stations'!$J$13)&gt;0,'01_Stations'!$J$13,"")</f>
        <v/>
      </c>
      <c r="L14" s="164" t="str">
        <f>IF(N('01_Stations'!$J$14)&gt;0,'01_Stations'!$J$14,"")</f>
        <v/>
      </c>
      <c r="M14" s="164" t="str">
        <f>IF(N('01_Stations'!$J$15)&gt;0,'01_Stations'!$J$15,"")</f>
        <v/>
      </c>
      <c r="N14" s="164" t="str">
        <f>IF(N('01_Stations'!$J$16)&gt;0,'01_Stations'!$J$16,"")</f>
        <v/>
      </c>
      <c r="O14" s="164" t="str">
        <f>IF(N('01_Stations'!$J$17)&gt;0,'01_Stations'!$J$17,"")</f>
        <v/>
      </c>
      <c r="P14" s="164" t="str">
        <f>IF(N('01_Stations'!$J$18)&gt;0,'01_Stations'!$J$18,"")</f>
        <v/>
      </c>
      <c r="Q14" s="164" t="str">
        <f>IF(N('01_Stations'!$J$19)&gt;0,'01_Stations'!$J$19,"")</f>
        <v/>
      </c>
      <c r="R14" s="164" t="str">
        <f>IF(N('01_Stations'!$J$20)&gt;0,'01_Stations'!$J$20,"")</f>
        <v/>
      </c>
      <c r="S14" s="164" t="str">
        <f>IF(N('01_Stations'!$J$21)&gt;0,'01_Stations'!$J$21,"")</f>
        <v/>
      </c>
      <c r="T14" s="164" t="str">
        <f>IF(N('01_Stations'!$J$22)&gt;0,'01_Stations'!$J$22,"")</f>
        <v/>
      </c>
      <c r="U14" s="164" t="str">
        <f>IF(N('01_Stations'!$J$23)&gt;0,'01_Stations'!$J$23,"")</f>
        <v/>
      </c>
      <c r="V14" s="164" t="str">
        <f>IF(N('01_Stations'!$J$24)&gt;0,'01_Stations'!$J$24,"")</f>
        <v/>
      </c>
      <c r="W14" s="164" t="str">
        <f>IF(N('01_Stations'!$J$25)&gt;0,'01_Stations'!$J$25,"")</f>
        <v/>
      </c>
      <c r="X14" s="164" t="str">
        <f>IF(N('01_Stations'!$J$26)&gt;0,'01_Stations'!$J$26,"")</f>
        <v/>
      </c>
      <c r="Y14" s="164" t="str">
        <f>IF(N('01_Stations'!$J$27)&gt;0,'01_Stations'!$J$27,"")</f>
        <v/>
      </c>
      <c r="Z14" s="164" t="str">
        <f>IF(N('01_Stations'!$J$28)&gt;0,'01_Stations'!$J$28,"")</f>
        <v/>
      </c>
      <c r="AA14" s="164" t="str">
        <f>IF(N('01_Stations'!$J$29)&gt;0,'01_Stations'!$J$29,"")</f>
        <v/>
      </c>
      <c r="AB14" s="164" t="str">
        <f>IF(N('01_Stations'!$J$30)&gt;0,'01_Stations'!$J$30,"")</f>
        <v/>
      </c>
      <c r="AC14" s="164" t="str">
        <f>IF(N('01_Stations'!$J$31)&gt;0,'01_Stations'!$J$31,"")</f>
        <v/>
      </c>
      <c r="AD14" s="164" t="str">
        <f>IF(N('01_Stations'!$J$32)&gt;0,'01_Stations'!$J$32,"")</f>
        <v/>
      </c>
      <c r="AE14" s="164" t="str">
        <f>IF(N('01_Stations'!$J$33)&gt;0,'01_Stations'!$J$33,"")</f>
        <v/>
      </c>
      <c r="AF14" s="164" t="str">
        <f>IF(N('01_Stations'!$J$34)&gt;0,'01_Stations'!$J$34,"")</f>
        <v/>
      </c>
      <c r="AG14" s="164" t="str">
        <f>IF(N('01_Stations'!$J$35)&gt;0,'01_Stations'!$J$35,"")</f>
        <v/>
      </c>
      <c r="AH14" s="164" t="str">
        <f>IF(N('01_Stations'!$J$36)&gt;0,'01_Stations'!$J$36,"")</f>
        <v/>
      </c>
      <c r="AI14" s="164" t="str">
        <f>IF(N('01_Stations'!$J$37)&gt;0,'01_Stations'!$J$37,"")</f>
        <v/>
      </c>
      <c r="AJ14" s="164" t="str">
        <f>IF(N('01_Stations'!$J$38)&gt;0,'01_Stations'!$J$38,"")</f>
        <v/>
      </c>
      <c r="AK14" s="164" t="str">
        <f>IF(N('01_Stations'!$J$39)&gt;0,'01_Stations'!$J$39,"")</f>
        <v/>
      </c>
      <c r="AL14" s="164" t="str">
        <f>IF(N('01_Stations'!$J$40)&gt;0,'01_Stations'!$J$40,"")</f>
        <v/>
      </c>
      <c r="AM14" s="164" t="str">
        <f>IF(N('01_Stations'!$J$41)&gt;0,'01_Stations'!$J$41,"")</f>
        <v/>
      </c>
      <c r="AN14" s="164" t="str">
        <f>IF(N('01_Stations'!$J$42)&gt;0,'01_Stations'!$J$42,"")</f>
        <v/>
      </c>
      <c r="AO14" s="164" t="str">
        <f>IF(N('01_Stations'!$J$43)&gt;0,'01_Stations'!$J$43,"")</f>
        <v/>
      </c>
      <c r="AP14" s="164" t="str">
        <f>IF(N('01_Stations'!$J$44)&gt;0,'01_Stations'!$J$44,"")</f>
        <v/>
      </c>
      <c r="AQ14" s="164" t="str">
        <f>IF(N('01_Stations'!$J$45)&gt;0,'01_Stations'!$J$45,"")</f>
        <v/>
      </c>
    </row>
    <row r="15" spans="1:43" ht="15" customHeight="1" x14ac:dyDescent="0.3">
      <c r="A15" s="236"/>
      <c r="B15" s="165" t="s">
        <v>2208</v>
      </c>
      <c r="C15" s="166" t="s">
        <v>63</v>
      </c>
      <c r="D15" s="164" t="str">
        <f>IF(N('01_Stations'!$K$6)&gt;0,'01_Stations'!$K$6,"")</f>
        <v/>
      </c>
      <c r="E15" s="164" t="str">
        <f>IF(N('01_Stations'!$K$7)&gt;0,'01_Stations'!$K$7,"")</f>
        <v/>
      </c>
      <c r="F15" s="164" t="str">
        <f>IF(N('01_Stations'!$K$8)&gt;0,'01_Stations'!$K$8,"")</f>
        <v/>
      </c>
      <c r="G15" s="164" t="str">
        <f>IF(N('01_Stations'!$K$9)&gt;0,'01_Stations'!$K$9,"")</f>
        <v/>
      </c>
      <c r="H15" s="164" t="str">
        <f>IF(N('01_Stations'!$K$10)&gt;0,'01_Stations'!$K$10,"")</f>
        <v/>
      </c>
      <c r="I15" s="164" t="str">
        <f>IF(N('01_Stations'!$K$11)&gt;0,'01_Stations'!$K$11,"")</f>
        <v/>
      </c>
      <c r="J15" s="164" t="str">
        <f>IF(N('01_Stations'!$K$12)&gt;0,'01_Stations'!$K$12,"")</f>
        <v/>
      </c>
      <c r="K15" s="164" t="str">
        <f>IF(N('01_Stations'!$K$13)&gt;0,'01_Stations'!$K$13,"")</f>
        <v/>
      </c>
      <c r="L15" s="164" t="str">
        <f>IF(N('01_Stations'!$K$14)&gt;0,'01_Stations'!$K$14,"")</f>
        <v/>
      </c>
      <c r="M15" s="164" t="str">
        <f>IF(N('01_Stations'!$K$15)&gt;0,'01_Stations'!$K$15,"")</f>
        <v/>
      </c>
      <c r="N15" s="164" t="str">
        <f>IF(N('01_Stations'!$K$16)&gt;0,'01_Stations'!$K$16,"")</f>
        <v/>
      </c>
      <c r="O15" s="164" t="str">
        <f>IF(N('01_Stations'!$K$17)&gt;0,'01_Stations'!$K$17,"")</f>
        <v/>
      </c>
      <c r="P15" s="164" t="str">
        <f>IF(N('01_Stations'!$K$18)&gt;0,'01_Stations'!$K$18,"")</f>
        <v/>
      </c>
      <c r="Q15" s="164" t="str">
        <f>IF(N('01_Stations'!$K$19)&gt;0,'01_Stations'!$K$19,"")</f>
        <v/>
      </c>
      <c r="R15" s="164" t="str">
        <f>IF(N('01_Stations'!$K$20)&gt;0,'01_Stations'!$K$20,"")</f>
        <v/>
      </c>
      <c r="S15" s="164" t="str">
        <f>IF(N('01_Stations'!$K$21)&gt;0,'01_Stations'!$K$21,"")</f>
        <v/>
      </c>
      <c r="T15" s="164" t="str">
        <f>IF(N('01_Stations'!$K$22)&gt;0,'01_Stations'!$K$22,"")</f>
        <v/>
      </c>
      <c r="U15" s="164" t="str">
        <f>IF(N('01_Stations'!$K$23)&gt;0,'01_Stations'!$K$23,"")</f>
        <v/>
      </c>
      <c r="V15" s="164" t="str">
        <f>IF(N('01_Stations'!$K$24)&gt;0,'01_Stations'!$K$24,"")</f>
        <v/>
      </c>
      <c r="W15" s="164" t="str">
        <f>IF(N('01_Stations'!$K$25)&gt;0,'01_Stations'!$K$25,"")</f>
        <v/>
      </c>
      <c r="X15" s="164" t="str">
        <f>IF(N('01_Stations'!$K$26)&gt;0,'01_Stations'!$K$26,"")</f>
        <v/>
      </c>
      <c r="Y15" s="164" t="str">
        <f>IF(N('01_Stations'!$K$27)&gt;0,'01_Stations'!$K$27,"")</f>
        <v/>
      </c>
      <c r="Z15" s="164" t="str">
        <f>IF(N('01_Stations'!$K$28)&gt;0,'01_Stations'!$K$28,"")</f>
        <v/>
      </c>
      <c r="AA15" s="164" t="str">
        <f>IF(N('01_Stations'!$K$29)&gt;0,'01_Stations'!$K$29,"")</f>
        <v/>
      </c>
      <c r="AB15" s="164" t="str">
        <f>IF(N('01_Stations'!$K$30)&gt;0,'01_Stations'!$K$30,"")</f>
        <v/>
      </c>
      <c r="AC15" s="164" t="str">
        <f>IF(N('01_Stations'!$K$31)&gt;0,'01_Stations'!$K$31,"")</f>
        <v/>
      </c>
      <c r="AD15" s="164" t="str">
        <f>IF(N('01_Stations'!$K$32)&gt;0,'01_Stations'!$K$32,"")</f>
        <v/>
      </c>
      <c r="AE15" s="164" t="str">
        <f>IF(N('01_Stations'!$K$33)&gt;0,'01_Stations'!$K$33,"")</f>
        <v/>
      </c>
      <c r="AF15" s="164" t="str">
        <f>IF(N('01_Stations'!$K$34)&gt;0,'01_Stations'!$K$34,"")</f>
        <v/>
      </c>
      <c r="AG15" s="164" t="str">
        <f>IF(N('01_Stations'!$K$35)&gt;0,'01_Stations'!$K$35,"")</f>
        <v/>
      </c>
      <c r="AH15" s="164" t="str">
        <f>IF(N('01_Stations'!$K$36)&gt;0,'01_Stations'!$K$36,"")</f>
        <v/>
      </c>
      <c r="AI15" s="164" t="str">
        <f>IF(N('01_Stations'!$K$37)&gt;0,'01_Stations'!$K$37,"")</f>
        <v/>
      </c>
      <c r="AJ15" s="164" t="str">
        <f>IF(N('01_Stations'!$K$38)&gt;0,'01_Stations'!$K$38,"")</f>
        <v/>
      </c>
      <c r="AK15" s="164" t="str">
        <f>IF(N('01_Stations'!$K$39)&gt;0,'01_Stations'!$K$39,"")</f>
        <v/>
      </c>
      <c r="AL15" s="164" t="str">
        <f>IF(N('01_Stations'!$K$40)&gt;0,'01_Stations'!$K$40,"")</f>
        <v/>
      </c>
      <c r="AM15" s="164" t="str">
        <f>IF(N('01_Stations'!$K$41)&gt;0,'01_Stations'!$K$41,"")</f>
        <v/>
      </c>
      <c r="AN15" s="164" t="str">
        <f>IF(N('01_Stations'!$K$42)&gt;0,'01_Stations'!$K$42,"")</f>
        <v/>
      </c>
      <c r="AO15" s="164" t="str">
        <f>IF(N('01_Stations'!$K$43)&gt;0,'01_Stations'!$K$43,"")</f>
        <v/>
      </c>
      <c r="AP15" s="164" t="str">
        <f>IF(N('01_Stations'!$K$44)&gt;0,'01_Stations'!$K$44,"")</f>
        <v/>
      </c>
      <c r="AQ15" s="164" t="str">
        <f>IF(N('01_Stations'!$K$45)&gt;0,'01_Stations'!$K$45,"")</f>
        <v/>
      </c>
    </row>
    <row r="16" spans="1:43" ht="15" customHeight="1" x14ac:dyDescent="0.3">
      <c r="A16" s="236"/>
      <c r="B16" s="165" t="s">
        <v>270</v>
      </c>
      <c r="C16" s="166"/>
      <c r="D16" s="164" t="str">
        <f>IF('01_Stations'!$L$6=1,"───","")</f>
        <v/>
      </c>
      <c r="E16" s="164" t="str">
        <f>IF('01_Stations'!$L$7=1,"───","")</f>
        <v/>
      </c>
      <c r="F16" s="164" t="str">
        <f>IF('01_Stations'!$L$8=1,"───","")</f>
        <v/>
      </c>
      <c r="G16" s="164" t="str">
        <f>IF('01_Stations'!$L$9=1,"───","")</f>
        <v/>
      </c>
      <c r="H16" s="164" t="str">
        <f>IF('01_Stations'!$L$10=1,"───","")</f>
        <v/>
      </c>
      <c r="I16" s="164" t="str">
        <f>IF('01_Stations'!$L$11=1,"───","")</f>
        <v/>
      </c>
      <c r="J16" s="164" t="str">
        <f>IF('01_Stations'!$L$12=1,"───","")</f>
        <v/>
      </c>
      <c r="K16" s="164" t="str">
        <f>IF('01_Stations'!$L$13=1,"───","")</f>
        <v/>
      </c>
      <c r="L16" s="164" t="str">
        <f>IF('01_Stations'!$L$14=1,"───","")</f>
        <v/>
      </c>
      <c r="M16" s="164" t="str">
        <f>IF('01_Stations'!$L$15=1,"───","")</f>
        <v/>
      </c>
      <c r="N16" s="164" t="str">
        <f>IF('01_Stations'!$L$16=1,"───","")</f>
        <v/>
      </c>
      <c r="O16" s="164" t="str">
        <f>IF('01_Stations'!$L$17=1,"───","")</f>
        <v/>
      </c>
      <c r="P16" s="164" t="str">
        <f>IF('01_Stations'!$L$18=1,"───","")</f>
        <v/>
      </c>
      <c r="Q16" s="164" t="str">
        <f>IF('01_Stations'!$L$19=1,"───","")</f>
        <v/>
      </c>
      <c r="R16" s="164" t="str">
        <f>IF('01_Stations'!$L$20=1,"───","")</f>
        <v/>
      </c>
      <c r="S16" s="164" t="str">
        <f>IF('01_Stations'!$L$21=1,"───","")</f>
        <v/>
      </c>
      <c r="T16" s="164" t="str">
        <f>IF('01_Stations'!$L$22=1,"───","")</f>
        <v/>
      </c>
      <c r="U16" s="164" t="str">
        <f>IF('01_Stations'!$L$23=1,"───","")</f>
        <v/>
      </c>
      <c r="V16" s="164" t="str">
        <f>IF('01_Stations'!$L$24=1,"───","")</f>
        <v/>
      </c>
      <c r="W16" s="164" t="str">
        <f>IF('01_Stations'!$L$25=1,"───","")</f>
        <v/>
      </c>
      <c r="X16" s="164" t="str">
        <f>IF('01_Stations'!$L$26=1,"───","")</f>
        <v/>
      </c>
      <c r="Y16" s="164" t="str">
        <f>IF('01_Stations'!$L$27=1,"───","")</f>
        <v/>
      </c>
      <c r="Z16" s="164" t="str">
        <f>IF('01_Stations'!$L$28=1,"───","")</f>
        <v/>
      </c>
      <c r="AA16" s="164" t="str">
        <f>IF('01_Stations'!$L$29=1,"───","")</f>
        <v/>
      </c>
      <c r="AB16" s="164" t="str">
        <f>IF('01_Stations'!$L$30=1,"───","")</f>
        <v/>
      </c>
      <c r="AC16" s="164" t="str">
        <f>IF('01_Stations'!$L$31=1,"───","")</f>
        <v/>
      </c>
      <c r="AD16" s="164" t="str">
        <f>IF('01_Stations'!$L$32=1,"───","")</f>
        <v/>
      </c>
      <c r="AE16" s="164" t="str">
        <f>IF('01_Stations'!$L$33=1,"───","")</f>
        <v/>
      </c>
      <c r="AF16" s="164" t="str">
        <f>IF('01_Stations'!$L$34=1,"───","")</f>
        <v/>
      </c>
      <c r="AG16" s="164" t="str">
        <f>IF('01_Stations'!$L$35=1,"───","")</f>
        <v/>
      </c>
      <c r="AH16" s="164" t="str">
        <f>IF('01_Stations'!$L$36=1,"───","")</f>
        <v/>
      </c>
      <c r="AI16" s="164" t="str">
        <f>IF('01_Stations'!$L$37=1,"───","")</f>
        <v/>
      </c>
      <c r="AJ16" s="164" t="str">
        <f>IF('01_Stations'!$L$38=1,"───","")</f>
        <v/>
      </c>
      <c r="AK16" s="164" t="str">
        <f>IF('01_Stations'!$L$39=1,"───","")</f>
        <v/>
      </c>
      <c r="AL16" s="164" t="str">
        <f>IF('01_Stations'!$L$40=1,"───","")</f>
        <v/>
      </c>
      <c r="AM16" s="164" t="str">
        <f>IF('01_Stations'!$L$41=1,"───","")</f>
        <v/>
      </c>
      <c r="AN16" s="164" t="str">
        <f>IF('01_Stations'!$L$42=1,"───","")</f>
        <v/>
      </c>
      <c r="AO16" s="164" t="str">
        <f>IF('01_Stations'!$L$43=1,"───","")</f>
        <v/>
      </c>
      <c r="AP16" s="164" t="str">
        <f>IF('01_Stations'!$L$44=1,"───","")</f>
        <v/>
      </c>
      <c r="AQ16" s="164" t="str">
        <f>IF('01_Stations'!$L$45=1,"───","")</f>
        <v/>
      </c>
    </row>
    <row r="17" spans="1:43" ht="15" customHeight="1" x14ac:dyDescent="0.3">
      <c r="A17" s="236"/>
      <c r="B17" s="165" t="s">
        <v>265</v>
      </c>
      <c r="C17" s="166" t="s">
        <v>299</v>
      </c>
      <c r="D17" s="164" t="str">
        <f>IF(N('01_Stations'!$M$6)&gt;0,'01_Stations'!$M$6,"")</f>
        <v/>
      </c>
      <c r="E17" s="164" t="str">
        <f>IF(N('01_Stations'!$M$7)&gt;0,'01_Stations'!$M$7,"")</f>
        <v/>
      </c>
      <c r="F17" s="164" t="str">
        <f>IF(N('01_Stations'!$M$8)&gt;0,'01_Stations'!$M$8,"")</f>
        <v/>
      </c>
      <c r="G17" s="164" t="str">
        <f>IF(N('01_Stations'!$M$9)&gt;0,'01_Stations'!$M$9,"")</f>
        <v/>
      </c>
      <c r="H17" s="164" t="str">
        <f>IF(N('01_Stations'!$M$10)&gt;0,'01_Stations'!$M$10,"")</f>
        <v/>
      </c>
      <c r="I17" s="164" t="str">
        <f>IF(N('01_Stations'!$M$11)&gt;0,'01_Stations'!$M$11,"")</f>
        <v/>
      </c>
      <c r="J17" s="164" t="str">
        <f>IF(N('01_Stations'!$M$12)&gt;0,'01_Stations'!$M$12,"")</f>
        <v/>
      </c>
      <c r="K17" s="164" t="str">
        <f>IF(N('01_Stations'!$M$13)&gt;0,'01_Stations'!$M$13,"")</f>
        <v/>
      </c>
      <c r="L17" s="164" t="str">
        <f>IF(N('01_Stations'!$M$14)&gt;0,'01_Stations'!$M$14,"")</f>
        <v/>
      </c>
      <c r="M17" s="164" t="str">
        <f>IF(N('01_Stations'!$M$15)&gt;0,'01_Stations'!$M$15,"")</f>
        <v/>
      </c>
      <c r="N17" s="164" t="str">
        <f>IF(N('01_Stations'!$M$16)&gt;0,'01_Stations'!$M$16,"")</f>
        <v/>
      </c>
      <c r="O17" s="164" t="str">
        <f>IF(N('01_Stations'!$M$17)&gt;0,'01_Stations'!$M$17,"")</f>
        <v/>
      </c>
      <c r="P17" s="164" t="str">
        <f>IF(N('01_Stations'!$M$18)&gt;0,'01_Stations'!$M$18,"")</f>
        <v/>
      </c>
      <c r="Q17" s="164" t="str">
        <f>IF(N('01_Stations'!$M$19)&gt;0,'01_Stations'!$M$19,"")</f>
        <v/>
      </c>
      <c r="R17" s="164" t="str">
        <f>IF(N('01_Stations'!$M$20)&gt;0,'01_Stations'!$M$20,"")</f>
        <v/>
      </c>
      <c r="S17" s="164" t="str">
        <f>IF(N('01_Stations'!$M$21)&gt;0,'01_Stations'!$M$21,"")</f>
        <v/>
      </c>
      <c r="T17" s="164" t="str">
        <f>IF(N('01_Stations'!$M$22)&gt;0,'01_Stations'!$M$22,"")</f>
        <v/>
      </c>
      <c r="U17" s="164" t="str">
        <f>IF(N('01_Stations'!$M$23)&gt;0,'01_Stations'!$M$23,"")</f>
        <v/>
      </c>
      <c r="V17" s="164" t="str">
        <f>IF(N('01_Stations'!$M$24)&gt;0,'01_Stations'!$M$24,"")</f>
        <v/>
      </c>
      <c r="W17" s="164" t="str">
        <f>IF(N('01_Stations'!$M$25)&gt;0,'01_Stations'!$M$25,"")</f>
        <v/>
      </c>
      <c r="X17" s="164" t="str">
        <f>IF(N('01_Stations'!$M$26)&gt;0,'01_Stations'!$M$26,"")</f>
        <v/>
      </c>
      <c r="Y17" s="164" t="str">
        <f>IF(N('01_Stations'!$M$27)&gt;0,'01_Stations'!$M$27,"")</f>
        <v/>
      </c>
      <c r="Z17" s="164" t="str">
        <f>IF(N('01_Stations'!$M$28)&gt;0,'01_Stations'!$M$28,"")</f>
        <v/>
      </c>
      <c r="AA17" s="164" t="str">
        <f>IF(N('01_Stations'!$M$29)&gt;0,'01_Stations'!$M$29,"")</f>
        <v/>
      </c>
      <c r="AB17" s="164" t="str">
        <f>IF(N('01_Stations'!$M$30)&gt;0,'01_Stations'!$M$30,"")</f>
        <v/>
      </c>
      <c r="AC17" s="164" t="str">
        <f>IF(N('01_Stations'!$M$31)&gt;0,'01_Stations'!$M$31,"")</f>
        <v/>
      </c>
      <c r="AD17" s="164" t="str">
        <f>IF(N('01_Stations'!$M$32)&gt;0,'01_Stations'!$M$32,"")</f>
        <v/>
      </c>
      <c r="AE17" s="164" t="str">
        <f>IF(N('01_Stations'!$M$33)&gt;0,'01_Stations'!$M$33,"")</f>
        <v/>
      </c>
      <c r="AF17" s="164" t="str">
        <f>IF(N('01_Stations'!$M$34)&gt;0,'01_Stations'!$M$34,"")</f>
        <v/>
      </c>
      <c r="AG17" s="164" t="str">
        <f>IF(N('01_Stations'!$M$35)&gt;0,'01_Stations'!$M$35,"")</f>
        <v/>
      </c>
      <c r="AH17" s="164" t="str">
        <f>IF(N('01_Stations'!$M$36)&gt;0,'01_Stations'!$M$36,"")</f>
        <v/>
      </c>
      <c r="AI17" s="164" t="str">
        <f>IF(N('01_Stations'!$M$37)&gt;0,'01_Stations'!$M$37,"")</f>
        <v/>
      </c>
      <c r="AJ17" s="164" t="str">
        <f>IF(N('01_Stations'!$M$38)&gt;0,'01_Stations'!$M$38,"")</f>
        <v/>
      </c>
      <c r="AK17" s="164" t="str">
        <f>IF(N('01_Stations'!$M$39)&gt;0,'01_Stations'!$M$39,"")</f>
        <v/>
      </c>
      <c r="AL17" s="164" t="str">
        <f>IF(N('01_Stations'!$M$40)&gt;0,'01_Stations'!$M$40,"")</f>
        <v/>
      </c>
      <c r="AM17" s="164" t="str">
        <f>IF(N('01_Stations'!$M$41)&gt;0,'01_Stations'!$M$41,"")</f>
        <v/>
      </c>
      <c r="AN17" s="164" t="str">
        <f>IF(N('01_Stations'!$M$42)&gt;0,'01_Stations'!$M$42,"")</f>
        <v/>
      </c>
      <c r="AO17" s="164" t="str">
        <f>IF(N('01_Stations'!$M$43)&gt;0,'01_Stations'!$M$43,"")</f>
        <v/>
      </c>
      <c r="AP17" s="164" t="str">
        <f>IF(N('01_Stations'!$M$44)&gt;0,'01_Stations'!$M$44,"")</f>
        <v/>
      </c>
      <c r="AQ17" s="164" t="str">
        <f>IF(N('01_Stations'!$M$45)&gt;0,'01_Stations'!$M$45,"")</f>
        <v/>
      </c>
    </row>
    <row r="18" spans="1:43" ht="15" customHeight="1" x14ac:dyDescent="0.3">
      <c r="A18" s="236"/>
      <c r="B18" s="165" t="s">
        <v>2208</v>
      </c>
      <c r="C18" s="166" t="s">
        <v>63</v>
      </c>
      <c r="D18" s="164" t="str">
        <f>IF(N('01_Stations'!$N$6)&gt;0,'01_Stations'!$N$6,"")</f>
        <v/>
      </c>
      <c r="E18" s="164" t="str">
        <f>IF(N('01_Stations'!$N$7)&gt;0,'01_Stations'!$N$7,"")</f>
        <v/>
      </c>
      <c r="F18" s="164" t="str">
        <f>IF(N('01_Stations'!$N$8)&gt;0,'01_Stations'!$N$8,"")</f>
        <v/>
      </c>
      <c r="G18" s="164" t="str">
        <f>IF(N('01_Stations'!$N$9)&gt;0,'01_Stations'!$N$9,"")</f>
        <v/>
      </c>
      <c r="H18" s="164" t="str">
        <f>IF(N('01_Stations'!$N$10)&gt;0,'01_Stations'!$N$10,"")</f>
        <v/>
      </c>
      <c r="I18" s="164" t="str">
        <f>IF(N('01_Stations'!$N$11)&gt;0,'01_Stations'!$N$11,"")</f>
        <v/>
      </c>
      <c r="J18" s="164" t="str">
        <f>IF(N('01_Stations'!$N$12)&gt;0,'01_Stations'!$N$12,"")</f>
        <v/>
      </c>
      <c r="K18" s="164" t="str">
        <f>IF(N('01_Stations'!$N$13)&gt;0,'01_Stations'!$N$13,"")</f>
        <v/>
      </c>
      <c r="L18" s="164" t="str">
        <f>IF(N('01_Stations'!$N$14)&gt;0,'01_Stations'!$N$14,"")</f>
        <v/>
      </c>
      <c r="M18" s="164" t="str">
        <f>IF(N('01_Stations'!$N$15)&gt;0,'01_Stations'!$N$15,"")</f>
        <v/>
      </c>
      <c r="N18" s="164" t="str">
        <f>IF(N('01_Stations'!$N$16)&gt;0,'01_Stations'!$N$16,"")</f>
        <v/>
      </c>
      <c r="O18" s="164" t="str">
        <f>IF(N('01_Stations'!$N$17)&gt;0,'01_Stations'!$N$17,"")</f>
        <v/>
      </c>
      <c r="P18" s="164" t="str">
        <f>IF(N('01_Stations'!$N$18)&gt;0,'01_Stations'!$N$18,"")</f>
        <v/>
      </c>
      <c r="Q18" s="164" t="str">
        <f>IF(N('01_Stations'!$N$19)&gt;0,'01_Stations'!$N$19,"")</f>
        <v/>
      </c>
      <c r="R18" s="164" t="str">
        <f>IF(N('01_Stations'!$N$20)&gt;0,'01_Stations'!$N$20,"")</f>
        <v/>
      </c>
      <c r="S18" s="164" t="str">
        <f>IF(N('01_Stations'!$N$21)&gt;0,'01_Stations'!$N$21,"")</f>
        <v/>
      </c>
      <c r="T18" s="164" t="str">
        <f>IF(N('01_Stations'!$N$22)&gt;0,'01_Stations'!$N$22,"")</f>
        <v/>
      </c>
      <c r="U18" s="164" t="str">
        <f>IF(N('01_Stations'!$N$23)&gt;0,'01_Stations'!$N$23,"")</f>
        <v/>
      </c>
      <c r="V18" s="164" t="str">
        <f>IF(N('01_Stations'!$N$24)&gt;0,'01_Stations'!$N$24,"")</f>
        <v/>
      </c>
      <c r="W18" s="164" t="str">
        <f>IF(N('01_Stations'!$N$25)&gt;0,'01_Stations'!$N$25,"")</f>
        <v/>
      </c>
      <c r="X18" s="164" t="str">
        <f>IF(N('01_Stations'!$N$26)&gt;0,'01_Stations'!$N$26,"")</f>
        <v/>
      </c>
      <c r="Y18" s="164" t="str">
        <f>IF(N('01_Stations'!$N$27)&gt;0,'01_Stations'!$N$27,"")</f>
        <v/>
      </c>
      <c r="Z18" s="164" t="str">
        <f>IF(N('01_Stations'!$N$28)&gt;0,'01_Stations'!$N$28,"")</f>
        <v/>
      </c>
      <c r="AA18" s="164" t="str">
        <f>IF(N('01_Stations'!$N$29)&gt;0,'01_Stations'!$N$29,"")</f>
        <v/>
      </c>
      <c r="AB18" s="164" t="str">
        <f>IF(N('01_Stations'!$N$30)&gt;0,'01_Stations'!$N$30,"")</f>
        <v/>
      </c>
      <c r="AC18" s="164" t="str">
        <f>IF(N('01_Stations'!$N$31)&gt;0,'01_Stations'!$N$31,"")</f>
        <v/>
      </c>
      <c r="AD18" s="164" t="str">
        <f>IF(N('01_Stations'!$N$32)&gt;0,'01_Stations'!$N$32,"")</f>
        <v/>
      </c>
      <c r="AE18" s="164" t="str">
        <f>IF(N('01_Stations'!$N$33)&gt;0,'01_Stations'!$N$33,"")</f>
        <v/>
      </c>
      <c r="AF18" s="164" t="str">
        <f>IF(N('01_Stations'!$N$34)&gt;0,'01_Stations'!$N$34,"")</f>
        <v/>
      </c>
      <c r="AG18" s="164" t="str">
        <f>IF(N('01_Stations'!$N$35)&gt;0,'01_Stations'!$N$35,"")</f>
        <v/>
      </c>
      <c r="AH18" s="164" t="str">
        <f>IF(N('01_Stations'!$N$36)&gt;0,'01_Stations'!$N$36,"")</f>
        <v/>
      </c>
      <c r="AI18" s="164" t="str">
        <f>IF(N('01_Stations'!$N$37)&gt;0,'01_Stations'!$N$37,"")</f>
        <v/>
      </c>
      <c r="AJ18" s="164" t="str">
        <f>IF(N('01_Stations'!$N$38)&gt;0,'01_Stations'!$N$38,"")</f>
        <v/>
      </c>
      <c r="AK18" s="164" t="str">
        <f>IF(N('01_Stations'!$N$39)&gt;0,'01_Stations'!$N$39,"")</f>
        <v/>
      </c>
      <c r="AL18" s="164" t="str">
        <f>IF(N('01_Stations'!$N$40)&gt;0,'01_Stations'!$N$40,"")</f>
        <v/>
      </c>
      <c r="AM18" s="164" t="str">
        <f>IF(N('01_Stations'!$N$41)&gt;0,'01_Stations'!$N$41,"")</f>
        <v/>
      </c>
      <c r="AN18" s="164" t="str">
        <f>IF(N('01_Stations'!$N$42)&gt;0,'01_Stations'!$N$42,"")</f>
        <v/>
      </c>
      <c r="AO18" s="164" t="str">
        <f>IF(N('01_Stations'!$N$43)&gt;0,'01_Stations'!$N$43,"")</f>
        <v/>
      </c>
      <c r="AP18" s="164" t="str">
        <f>IF(N('01_Stations'!$N$44)&gt;0,'01_Stations'!$N$44,"")</f>
        <v/>
      </c>
      <c r="AQ18" s="164" t="str">
        <f>IF(N('01_Stations'!$N$45)&gt;0,'01_Stations'!$N$45,"")</f>
        <v/>
      </c>
    </row>
    <row r="19" spans="1:43" ht="15" customHeight="1" x14ac:dyDescent="0.3">
      <c r="A19" s="237"/>
      <c r="B19" s="165" t="s">
        <v>2209</v>
      </c>
      <c r="C19" s="166" t="s">
        <v>301</v>
      </c>
      <c r="D19" s="164" t="str">
        <f>IF(N('01_Stations'!$O$6)&gt;0,'01_Stations'!$O$6,"")</f>
        <v/>
      </c>
      <c r="E19" s="164" t="str">
        <f>IF(N('01_Stations'!$O$7)&gt;0,'01_Stations'!$O$7,"")</f>
        <v/>
      </c>
      <c r="F19" s="164" t="str">
        <f>IF(N('01_Stations'!$O$8)&gt;0,'01_Stations'!$O$8,"")</f>
        <v/>
      </c>
      <c r="G19" s="164" t="str">
        <f>IF(N('01_Stations'!$O$9)&gt;0,'01_Stations'!$O$9,"")</f>
        <v/>
      </c>
      <c r="H19" s="164" t="str">
        <f>IF(N('01_Stations'!$O$10)&gt;0,'01_Stations'!$O$10,"")</f>
        <v/>
      </c>
      <c r="I19" s="164" t="str">
        <f>IF(N('01_Stations'!$O$11)&gt;0,'01_Stations'!$O$11,"")</f>
        <v/>
      </c>
      <c r="J19" s="164" t="str">
        <f>IF(N('01_Stations'!$O$12)&gt;0,'01_Stations'!$O$12,"")</f>
        <v/>
      </c>
      <c r="K19" s="164" t="str">
        <f>IF(N('01_Stations'!$O$13)&gt;0,'01_Stations'!$O$13,"")</f>
        <v/>
      </c>
      <c r="L19" s="164" t="str">
        <f>IF(N('01_Stations'!$O$14)&gt;0,'01_Stations'!$O$14,"")</f>
        <v/>
      </c>
      <c r="M19" s="164" t="str">
        <f>IF(N('01_Stations'!$O$15)&gt;0,'01_Stations'!$O$15,"")</f>
        <v/>
      </c>
      <c r="N19" s="164" t="str">
        <f>IF(N('01_Stations'!$O$16)&gt;0,'01_Stations'!$O$16,"")</f>
        <v/>
      </c>
      <c r="O19" s="164" t="str">
        <f>IF(N('01_Stations'!$O$17)&gt;0,'01_Stations'!$O$17,"")</f>
        <v/>
      </c>
      <c r="P19" s="164" t="str">
        <f>IF(N('01_Stations'!$O$18)&gt;0,'01_Stations'!$O$18,"")</f>
        <v/>
      </c>
      <c r="Q19" s="164" t="str">
        <f>IF(N('01_Stations'!$O$19)&gt;0,'01_Stations'!$O$19,"")</f>
        <v/>
      </c>
      <c r="R19" s="164" t="str">
        <f>IF(N('01_Stations'!$O$20)&gt;0,'01_Stations'!$O$20,"")</f>
        <v/>
      </c>
      <c r="S19" s="164" t="str">
        <f>IF(N('01_Stations'!$O$21)&gt;0,'01_Stations'!$O$21,"")</f>
        <v/>
      </c>
      <c r="T19" s="164" t="str">
        <f>IF(N('01_Stations'!$O$22)&gt;0,'01_Stations'!$O$22,"")</f>
        <v/>
      </c>
      <c r="U19" s="164" t="str">
        <f>IF(N('01_Stations'!$O$23)&gt;0,'01_Stations'!$O$23,"")</f>
        <v/>
      </c>
      <c r="V19" s="164" t="str">
        <f>IF(N('01_Stations'!$O$24)&gt;0,'01_Stations'!$O$24,"")</f>
        <v/>
      </c>
      <c r="W19" s="164" t="str">
        <f>IF(N('01_Stations'!$O$25)&gt;0,'01_Stations'!$O$25,"")</f>
        <v/>
      </c>
      <c r="X19" s="164" t="str">
        <f>IF(N('01_Stations'!$O$26)&gt;0,'01_Stations'!$O$26,"")</f>
        <v/>
      </c>
      <c r="Y19" s="164" t="str">
        <f>IF(N('01_Stations'!$O$27)&gt;0,'01_Stations'!$O$27,"")</f>
        <v/>
      </c>
      <c r="Z19" s="164" t="str">
        <f>IF(N('01_Stations'!$O$28)&gt;0,'01_Stations'!$O$28,"")</f>
        <v/>
      </c>
      <c r="AA19" s="164" t="str">
        <f>IF(N('01_Stations'!$O$29)&gt;0,'01_Stations'!$O$29,"")</f>
        <v/>
      </c>
      <c r="AB19" s="164" t="str">
        <f>IF(N('01_Stations'!$O$30)&gt;0,'01_Stations'!$O$30,"")</f>
        <v/>
      </c>
      <c r="AC19" s="164" t="str">
        <f>IF(N('01_Stations'!$O$31)&gt;0,'01_Stations'!$O$31,"")</f>
        <v/>
      </c>
      <c r="AD19" s="164" t="str">
        <f>IF(N('01_Stations'!$O$32)&gt;0,'01_Stations'!$O$32,"")</f>
        <v/>
      </c>
      <c r="AE19" s="164" t="str">
        <f>IF(N('01_Stations'!$O$33)&gt;0,'01_Stations'!$O$33,"")</f>
        <v/>
      </c>
      <c r="AF19" s="164" t="str">
        <f>IF(N('01_Stations'!$O$34)&gt;0,'01_Stations'!$O$34,"")</f>
        <v/>
      </c>
      <c r="AG19" s="164" t="str">
        <f>IF(N('01_Stations'!$O$35)&gt;0,'01_Stations'!$O$35,"")</f>
        <v/>
      </c>
      <c r="AH19" s="164" t="str">
        <f>IF(N('01_Stations'!$O$36)&gt;0,'01_Stations'!$O$36,"")</f>
        <v/>
      </c>
      <c r="AI19" s="164" t="str">
        <f>IF(N('01_Stations'!$O$37)&gt;0,'01_Stations'!$O$37,"")</f>
        <v/>
      </c>
      <c r="AJ19" s="164" t="str">
        <f>IF(N('01_Stations'!$O$38)&gt;0,'01_Stations'!$O$38,"")</f>
        <v/>
      </c>
      <c r="AK19" s="164" t="str">
        <f>IF(N('01_Stations'!$O$39)&gt;0,'01_Stations'!$O$39,"")</f>
        <v/>
      </c>
      <c r="AL19" s="164" t="str">
        <f>IF(N('01_Stations'!$O$40)&gt;0,'01_Stations'!$O$40,"")</f>
        <v/>
      </c>
      <c r="AM19" s="164" t="str">
        <f>IF(N('01_Stations'!$O$41)&gt;0,'01_Stations'!$O$41,"")</f>
        <v/>
      </c>
      <c r="AN19" s="164" t="str">
        <f>IF(N('01_Stations'!$O$42)&gt;0,'01_Stations'!$O$42,"")</f>
        <v/>
      </c>
      <c r="AO19" s="164" t="str">
        <f>IF(N('01_Stations'!$O$43)&gt;0,'01_Stations'!$O$43,"")</f>
        <v/>
      </c>
      <c r="AP19" s="164" t="str">
        <f>IF(N('01_Stations'!$O$44)&gt;0,'01_Stations'!$O$44,"")</f>
        <v/>
      </c>
      <c r="AQ19" s="164" t="str">
        <f>IF(N('01_Stations'!$O$45)&gt;0,'01_Stations'!$O$45,"")</f>
        <v/>
      </c>
    </row>
    <row r="20" spans="1:43" ht="15" customHeight="1" x14ac:dyDescent="0.3">
      <c r="A20" s="238" t="s">
        <v>2210</v>
      </c>
      <c r="B20" s="165" t="s">
        <v>2211</v>
      </c>
      <c r="C20" s="166" t="s">
        <v>1622</v>
      </c>
      <c r="D20" s="164" t="str">
        <f>IF('01_Stations'!$P$6="","",'01_Stations'!$P$6)</f>
        <v/>
      </c>
      <c r="E20" s="164" t="str">
        <f>IF('01_Stations'!$P$7="","",'01_Stations'!$P$7)</f>
        <v/>
      </c>
      <c r="F20" s="164" t="str">
        <f>IF('01_Stations'!$P$8="","",'01_Stations'!$P$8)</f>
        <v/>
      </c>
      <c r="G20" s="164" t="str">
        <f>IF('01_Stations'!$P$9="","",'01_Stations'!$P$9)</f>
        <v/>
      </c>
      <c r="H20" s="164" t="str">
        <f>IF('01_Stations'!$P$10="","",'01_Stations'!$P$10)</f>
        <v/>
      </c>
      <c r="I20" s="164" t="str">
        <f>IF('01_Stations'!$P$11="","",'01_Stations'!$P$11)</f>
        <v/>
      </c>
      <c r="J20" s="164" t="str">
        <f>IF('01_Stations'!$P$12="","",'01_Stations'!$P$12)</f>
        <v/>
      </c>
      <c r="K20" s="164" t="str">
        <f>IF('01_Stations'!$P$13="","",'01_Stations'!$P$13)</f>
        <v/>
      </c>
      <c r="L20" s="164" t="str">
        <f>IF('01_Stations'!$P$14="","",'01_Stations'!$P$14)</f>
        <v/>
      </c>
      <c r="M20" s="164" t="str">
        <f>IF('01_Stations'!$P$15="","",'01_Stations'!$P$15)</f>
        <v/>
      </c>
      <c r="N20" s="164" t="str">
        <f>IF('01_Stations'!$P$16="","",'01_Stations'!$P$16)</f>
        <v/>
      </c>
      <c r="O20" s="164" t="str">
        <f>IF('01_Stations'!$P$17="","",'01_Stations'!$P$17)</f>
        <v/>
      </c>
      <c r="P20" s="164" t="str">
        <f>IF('01_Stations'!$P$18="","",'01_Stations'!$P$18)</f>
        <v/>
      </c>
      <c r="Q20" s="164" t="str">
        <f>IF('01_Stations'!$P$19="","",'01_Stations'!$P$19)</f>
        <v/>
      </c>
      <c r="R20" s="164" t="str">
        <f>IF('01_Stations'!$P$20="","",'01_Stations'!$P$20)</f>
        <v/>
      </c>
      <c r="S20" s="164" t="str">
        <f>IF('01_Stations'!$P$21="","",'01_Stations'!$P$21)</f>
        <v/>
      </c>
      <c r="T20" s="164" t="str">
        <f>IF('01_Stations'!$P$22="","",'01_Stations'!$P$22)</f>
        <v/>
      </c>
      <c r="U20" s="164" t="str">
        <f>IF('01_Stations'!$P$23="","",'01_Stations'!$P$23)</f>
        <v/>
      </c>
      <c r="V20" s="164" t="str">
        <f>IF('01_Stations'!$P$24="","",'01_Stations'!$P$24)</f>
        <v/>
      </c>
      <c r="W20" s="164" t="str">
        <f>IF('01_Stations'!$P$25="","",'01_Stations'!$P$25)</f>
        <v/>
      </c>
      <c r="X20" s="164" t="str">
        <f>IF('01_Stations'!$P$26="","",'01_Stations'!$P$26)</f>
        <v/>
      </c>
      <c r="Y20" s="164" t="str">
        <f>IF('01_Stations'!$P$27="","",'01_Stations'!$P$27)</f>
        <v/>
      </c>
      <c r="Z20" s="164" t="str">
        <f>IF('01_Stations'!$P$28="","",'01_Stations'!$P$28)</f>
        <v/>
      </c>
      <c r="AA20" s="164" t="str">
        <f>IF('01_Stations'!$P$29="","",'01_Stations'!$P$29)</f>
        <v/>
      </c>
      <c r="AB20" s="164" t="str">
        <f>IF('01_Stations'!$P$30="","",'01_Stations'!$P$30)</f>
        <v/>
      </c>
      <c r="AC20" s="164" t="str">
        <f>IF('01_Stations'!$P$31="","",'01_Stations'!$P$31)</f>
        <v/>
      </c>
      <c r="AD20" s="164" t="str">
        <f>IF('01_Stations'!$P$32="","",'01_Stations'!$P$32)</f>
        <v/>
      </c>
      <c r="AE20" s="164" t="str">
        <f>IF('01_Stations'!$P$33="","",'01_Stations'!$P$33)</f>
        <v/>
      </c>
      <c r="AF20" s="164" t="str">
        <f>IF('01_Stations'!$P$34="","",'01_Stations'!$P$34)</f>
        <v/>
      </c>
      <c r="AG20" s="164" t="str">
        <f>IF('01_Stations'!$P$35="","",'01_Stations'!$P$35)</f>
        <v/>
      </c>
      <c r="AH20" s="164" t="str">
        <f>IF('01_Stations'!$P$36="","",'01_Stations'!$P$36)</f>
        <v/>
      </c>
      <c r="AI20" s="164" t="str">
        <f>IF('01_Stations'!$P$37="","",'01_Stations'!$P$37)</f>
        <v/>
      </c>
      <c r="AJ20" s="164" t="str">
        <f>IF('01_Stations'!$P$38="","",'01_Stations'!$P$38)</f>
        <v/>
      </c>
      <c r="AK20" s="164" t="str">
        <f>IF('01_Stations'!$P$39="","",'01_Stations'!$P$39)</f>
        <v/>
      </c>
      <c r="AL20" s="164" t="str">
        <f>IF('01_Stations'!$P$40="","",'01_Stations'!$P$40)</f>
        <v/>
      </c>
      <c r="AM20" s="164" t="str">
        <f>IF('01_Stations'!$P$41="","",'01_Stations'!$P$41)</f>
        <v/>
      </c>
      <c r="AN20" s="164" t="str">
        <f>IF('01_Stations'!$P$42="","",'01_Stations'!$P$42)</f>
        <v/>
      </c>
      <c r="AO20" s="164" t="str">
        <f>IF('01_Stations'!$P$43="","",'01_Stations'!$P$43)</f>
        <v/>
      </c>
      <c r="AP20" s="164" t="str">
        <f>IF('01_Stations'!$P$44="","",'01_Stations'!$P$44)</f>
        <v/>
      </c>
      <c r="AQ20" s="164" t="str">
        <f>IF('01_Stations'!$P$45="","",'01_Stations'!$P$45)</f>
        <v/>
      </c>
    </row>
    <row r="21" spans="1:43" ht="15" customHeight="1" x14ac:dyDescent="0.3">
      <c r="A21" s="236"/>
      <c r="B21" s="165"/>
      <c r="C21" s="166" t="s">
        <v>2212</v>
      </c>
      <c r="D21" s="164" t="str">
        <f>IF('01_Stations'!$Q$6="","",'01_Stations'!$Q$6)</f>
        <v/>
      </c>
      <c r="E21" s="164" t="str">
        <f>IF('01_Stations'!$Q$7="","",'01_Stations'!$Q$7)</f>
        <v/>
      </c>
      <c r="F21" s="164" t="str">
        <f>IF('01_Stations'!$Q$8="","",'01_Stations'!$Q$8)</f>
        <v/>
      </c>
      <c r="G21" s="164" t="str">
        <f>IF('01_Stations'!$Q$9="","",'01_Stations'!$Q$9)</f>
        <v/>
      </c>
      <c r="H21" s="164" t="str">
        <f>IF('01_Stations'!$Q$10="","",'01_Stations'!$Q$10)</f>
        <v/>
      </c>
      <c r="I21" s="164" t="str">
        <f>IF('01_Stations'!$Q$11="","",'01_Stations'!$Q$11)</f>
        <v/>
      </c>
      <c r="J21" s="164" t="str">
        <f>IF('01_Stations'!$Q$12="","",'01_Stations'!$Q$12)</f>
        <v/>
      </c>
      <c r="K21" s="164" t="str">
        <f>IF('01_Stations'!$Q$13="","",'01_Stations'!$Q$13)</f>
        <v/>
      </c>
      <c r="L21" s="164" t="str">
        <f>IF('01_Stations'!$Q$14="","",'01_Stations'!$Q$14)</f>
        <v/>
      </c>
      <c r="M21" s="164" t="str">
        <f>IF('01_Stations'!$Q$15="","",'01_Stations'!$Q$15)</f>
        <v/>
      </c>
      <c r="N21" s="164" t="str">
        <f>IF('01_Stations'!$Q$16="","",'01_Stations'!$Q$16)</f>
        <v/>
      </c>
      <c r="O21" s="164" t="str">
        <f>IF('01_Stations'!$Q$17="","",'01_Stations'!$Q$17)</f>
        <v/>
      </c>
      <c r="P21" s="164" t="str">
        <f>IF('01_Stations'!$Q$18="","",'01_Stations'!$Q$18)</f>
        <v/>
      </c>
      <c r="Q21" s="164" t="str">
        <f>IF('01_Stations'!$Q$19="","",'01_Stations'!$Q$19)</f>
        <v/>
      </c>
      <c r="R21" s="164" t="str">
        <f>IF('01_Stations'!$Q$20="","",'01_Stations'!$Q$20)</f>
        <v/>
      </c>
      <c r="S21" s="164" t="str">
        <f>IF('01_Stations'!$Q$21="","",'01_Stations'!$Q$21)</f>
        <v/>
      </c>
      <c r="T21" s="164" t="str">
        <f>IF('01_Stations'!$Q$22="","",'01_Stations'!$Q$22)</f>
        <v/>
      </c>
      <c r="U21" s="164" t="str">
        <f>IF('01_Stations'!$Q$23="","",'01_Stations'!$Q$23)</f>
        <v/>
      </c>
      <c r="V21" s="164" t="str">
        <f>IF('01_Stations'!$Q$24="","",'01_Stations'!$Q$24)</f>
        <v/>
      </c>
      <c r="W21" s="164" t="str">
        <f>IF('01_Stations'!$Q$25="","",'01_Stations'!$Q$25)</f>
        <v/>
      </c>
      <c r="X21" s="164" t="str">
        <f>IF('01_Stations'!$Q$26="","",'01_Stations'!$Q$26)</f>
        <v/>
      </c>
      <c r="Y21" s="164" t="str">
        <f>IF('01_Stations'!$Q$27="","",'01_Stations'!$Q$27)</f>
        <v/>
      </c>
      <c r="Z21" s="164" t="str">
        <f>IF('01_Stations'!$Q$28="","",'01_Stations'!$Q$28)</f>
        <v/>
      </c>
      <c r="AA21" s="164" t="str">
        <f>IF('01_Stations'!$Q$29="","",'01_Stations'!$Q$29)</f>
        <v/>
      </c>
      <c r="AB21" s="164" t="str">
        <f>IF('01_Stations'!$Q$30="","",'01_Stations'!$Q$30)</f>
        <v/>
      </c>
      <c r="AC21" s="164" t="str">
        <f>IF('01_Stations'!$Q$31="","",'01_Stations'!$Q$31)</f>
        <v/>
      </c>
      <c r="AD21" s="164" t="str">
        <f>IF('01_Stations'!$Q$32="","",'01_Stations'!$Q$32)</f>
        <v/>
      </c>
      <c r="AE21" s="164" t="str">
        <f>IF('01_Stations'!$Q$33="","",'01_Stations'!$Q$33)</f>
        <v/>
      </c>
      <c r="AF21" s="164" t="str">
        <f>IF('01_Stations'!$Q$34="","",'01_Stations'!$Q$34)</f>
        <v/>
      </c>
      <c r="AG21" s="164" t="str">
        <f>IF('01_Stations'!$Q$35="","",'01_Stations'!$Q$35)</f>
        <v/>
      </c>
      <c r="AH21" s="164" t="str">
        <f>IF('01_Stations'!$Q$36="","",'01_Stations'!$Q$36)</f>
        <v/>
      </c>
      <c r="AI21" s="164" t="str">
        <f>IF('01_Stations'!$Q$37="","",'01_Stations'!$Q$37)</f>
        <v/>
      </c>
      <c r="AJ21" s="164" t="str">
        <f>IF('01_Stations'!$Q$38="","",'01_Stations'!$Q$38)</f>
        <v/>
      </c>
      <c r="AK21" s="164" t="str">
        <f>IF('01_Stations'!$Q$39="","",'01_Stations'!$Q$39)</f>
        <v/>
      </c>
      <c r="AL21" s="164" t="str">
        <f>IF('01_Stations'!$Q$40="","",'01_Stations'!$Q$40)</f>
        <v/>
      </c>
      <c r="AM21" s="164" t="str">
        <f>IF('01_Stations'!$Q$41="","",'01_Stations'!$Q$41)</f>
        <v/>
      </c>
      <c r="AN21" s="164" t="str">
        <f>IF('01_Stations'!$Q$42="","",'01_Stations'!$Q$42)</f>
        <v/>
      </c>
      <c r="AO21" s="164" t="str">
        <f>IF('01_Stations'!$Q$43="","",'01_Stations'!$Q$43)</f>
        <v/>
      </c>
      <c r="AP21" s="164" t="str">
        <f>IF('01_Stations'!$Q$44="","",'01_Stations'!$Q$44)</f>
        <v/>
      </c>
      <c r="AQ21" s="164" t="str">
        <f>IF('01_Stations'!$Q$45="","",'01_Stations'!$Q$45)</f>
        <v/>
      </c>
    </row>
    <row r="22" spans="1:43" ht="15" customHeight="1" x14ac:dyDescent="0.3">
      <c r="A22" s="236"/>
      <c r="B22" s="165" t="s">
        <v>2213</v>
      </c>
      <c r="C22" s="166"/>
      <c r="D22" s="164" t="str">
        <f>IF('01_Stations'!$R$6=1,"ϰ",IF('01_Stations'!$R$6=2,"І",IF('01_Stations'!$R$6=3,"╦","")))</f>
        <v/>
      </c>
      <c r="E22" s="164" t="str">
        <f>IF('01_Stations'!$R$7=1,"ϰ",IF('01_Stations'!$R$7=2,"І",IF('01_Stations'!$R$7=3,"╦","")))</f>
        <v/>
      </c>
      <c r="F22" s="164" t="str">
        <f>IF('01_Stations'!$R$8=1,"ϰ",IF('01_Stations'!$R$8=2,"І",IF('01_Stations'!$R$8=3,"╦","")))</f>
        <v/>
      </c>
      <c r="G22" s="164" t="str">
        <f>IF('01_Stations'!$R$9=1,"ϰ",IF('01_Stations'!$R$9=2,"І",IF('01_Stations'!$R$9=3,"╦","")))</f>
        <v/>
      </c>
      <c r="H22" s="164" t="str">
        <f>IF('01_Stations'!$R$10=1,"ϰ",IF('01_Stations'!$R$10=2,"І",IF('01_Stations'!$R$10=3,"╦","")))</f>
        <v/>
      </c>
      <c r="I22" s="164" t="str">
        <f>IF('01_Stations'!$R$11=1,"ϰ",IF('01_Stations'!$R$11=2,"І",IF('01_Stations'!$R$11=3,"╦","")))</f>
        <v/>
      </c>
      <c r="J22" s="164" t="str">
        <f>IF('01_Stations'!$R$12=1,"ϰ",IF('01_Stations'!$R$12=2,"І",IF('01_Stations'!$R$12=3,"╦","")))</f>
        <v/>
      </c>
      <c r="K22" s="164" t="str">
        <f>IF('01_Stations'!$R$13=1,"ϰ",IF('01_Stations'!$R$13=2,"І",IF('01_Stations'!$R$13=3,"╦","")))</f>
        <v/>
      </c>
      <c r="L22" s="164" t="str">
        <f>IF('01_Stations'!$R$14=1,"ϰ",IF('01_Stations'!$R$14=2,"І",IF('01_Stations'!$R$14=3,"╦","")))</f>
        <v/>
      </c>
      <c r="M22" s="164" t="str">
        <f>IF('01_Stations'!$R$15=1,"ϰ",IF('01_Stations'!$R$15=2,"І",IF('01_Stations'!$R$15=3,"╦","")))</f>
        <v/>
      </c>
      <c r="N22" s="164" t="str">
        <f>IF('01_Stations'!$R$16=1,"ϰ",IF('01_Stations'!$R$16=2,"І",IF('01_Stations'!$R$16=3,"╦","")))</f>
        <v/>
      </c>
      <c r="O22" s="164" t="str">
        <f>IF('01_Stations'!$R$17=1,"ϰ",IF('01_Stations'!$R$17=2,"І",IF('01_Stations'!$R$17=3,"╦","")))</f>
        <v/>
      </c>
      <c r="P22" s="164" t="str">
        <f>IF('01_Stations'!$R$18=1,"ϰ",IF('01_Stations'!$R$18=2,"І",IF('01_Stations'!$R$18=3,"╦","")))</f>
        <v/>
      </c>
      <c r="Q22" s="164" t="str">
        <f>IF('01_Stations'!$R$19=1,"ϰ",IF('01_Stations'!$R$19=2,"І",IF('01_Stations'!$R$19=3,"╦","")))</f>
        <v/>
      </c>
      <c r="R22" s="164" t="str">
        <f>IF('01_Stations'!$R$20=1,"ϰ",IF('01_Stations'!$R$20=2,"І",IF('01_Stations'!$R$20=3,"╦","")))</f>
        <v/>
      </c>
      <c r="S22" s="164" t="str">
        <f>IF('01_Stations'!$R$21=1,"ϰ",IF('01_Stations'!$R$21=2,"І",IF('01_Stations'!$R$21=3,"╦","")))</f>
        <v/>
      </c>
      <c r="T22" s="164" t="str">
        <f>IF('01_Stations'!$R$22=1,"ϰ",IF('01_Stations'!$R$22=2,"І",IF('01_Stations'!$R$22=3,"╦","")))</f>
        <v/>
      </c>
      <c r="U22" s="164" t="str">
        <f>IF('01_Stations'!$R$23=1,"ϰ",IF('01_Stations'!$R$23=2,"І",IF('01_Stations'!$R$23=3,"╦","")))</f>
        <v/>
      </c>
      <c r="V22" s="164" t="str">
        <f>IF('01_Stations'!$R$24=1,"ϰ",IF('01_Stations'!$R$24=2,"І",IF('01_Stations'!$R$24=3,"╦","")))</f>
        <v/>
      </c>
      <c r="W22" s="164" t="str">
        <f>IF('01_Stations'!$R$25=1,"ϰ",IF('01_Stations'!$R$25=2,"І",IF('01_Stations'!$R$25=3,"╦","")))</f>
        <v/>
      </c>
      <c r="X22" s="164" t="str">
        <f>IF('01_Stations'!$R$26=1,"ϰ",IF('01_Stations'!$R$26=2,"І",IF('01_Stations'!$R$26=3,"╦","")))</f>
        <v/>
      </c>
      <c r="Y22" s="164" t="str">
        <f>IF('01_Stations'!$R$27=1,"ϰ",IF('01_Stations'!$R$27=2,"І",IF('01_Stations'!$R$27=3,"╦","")))</f>
        <v/>
      </c>
      <c r="Z22" s="164" t="str">
        <f>IF('01_Stations'!$R$28=1,"ϰ",IF('01_Stations'!$R$28=2,"І",IF('01_Stations'!$R$28=3,"╦","")))</f>
        <v/>
      </c>
      <c r="AA22" s="164" t="str">
        <f>IF('01_Stations'!$R$29=1,"ϰ",IF('01_Stations'!$R$29=2,"І",IF('01_Stations'!$R$29=3,"╦","")))</f>
        <v/>
      </c>
      <c r="AB22" s="164" t="str">
        <f>IF('01_Stations'!$R$30=1,"ϰ",IF('01_Stations'!$R$30=2,"І",IF('01_Stations'!$R$30=3,"╦","")))</f>
        <v/>
      </c>
      <c r="AC22" s="164" t="str">
        <f>IF('01_Stations'!$R$31=1,"ϰ",IF('01_Stations'!$R$31=2,"І",IF('01_Stations'!$R$31=3,"╦","")))</f>
        <v/>
      </c>
      <c r="AD22" s="164" t="str">
        <f>IF('01_Stations'!$R$32=1,"ϰ",IF('01_Stations'!$R$32=2,"І",IF('01_Stations'!$R$32=3,"╦","")))</f>
        <v/>
      </c>
      <c r="AE22" s="164" t="str">
        <f>IF('01_Stations'!$R$33=1,"ϰ",IF('01_Stations'!$R$33=2,"І",IF('01_Stations'!$R$33=3,"╦","")))</f>
        <v/>
      </c>
      <c r="AF22" s="164" t="str">
        <f>IF('01_Stations'!$R$34=1,"ϰ",IF('01_Stations'!$R$34=2,"І",IF('01_Stations'!$R$34=3,"╦","")))</f>
        <v/>
      </c>
      <c r="AG22" s="164" t="str">
        <f>IF('01_Stations'!$R$35=1,"ϰ",IF('01_Stations'!$R$35=2,"І",IF('01_Stations'!$R$35=3,"╦","")))</f>
        <v/>
      </c>
      <c r="AH22" s="164" t="str">
        <f>IF('01_Stations'!$R$36=1,"ϰ",IF('01_Stations'!$R$36=2,"І",IF('01_Stations'!$R$36=3,"╦","")))</f>
        <v/>
      </c>
      <c r="AI22" s="164" t="str">
        <f>IF('01_Stations'!$R$37=1,"ϰ",IF('01_Stations'!$R$37=2,"І",IF('01_Stations'!$R$37=3,"╦","")))</f>
        <v/>
      </c>
      <c r="AJ22" s="164" t="str">
        <f>IF('01_Stations'!$R$38=1,"ϰ",IF('01_Stations'!$R$38=2,"І",IF('01_Stations'!$R$38=3,"╦","")))</f>
        <v/>
      </c>
      <c r="AK22" s="164" t="str">
        <f>IF('01_Stations'!$R$39=1,"ϰ",IF('01_Stations'!$R$39=2,"І",IF('01_Stations'!$R$39=3,"╦","")))</f>
        <v/>
      </c>
      <c r="AL22" s="164" t="str">
        <f>IF('01_Stations'!$R$40=1,"ϰ",IF('01_Stations'!$R$40=2,"І",IF('01_Stations'!$R$40=3,"╦","")))</f>
        <v/>
      </c>
      <c r="AM22" s="164" t="str">
        <f>IF('01_Stations'!$R$41=1,"ϰ",IF('01_Stations'!$R$41=2,"І",IF('01_Stations'!$R$41=3,"╦","")))</f>
        <v/>
      </c>
      <c r="AN22" s="164" t="str">
        <f>IF('01_Stations'!$R$42=1,"ϰ",IF('01_Stations'!$R$42=2,"І",IF('01_Stations'!$R$42=3,"╦","")))</f>
        <v/>
      </c>
      <c r="AO22" s="164" t="str">
        <f>IF('01_Stations'!$R$43=1,"ϰ",IF('01_Stations'!$R$43=2,"І",IF('01_Stations'!$R$43=3,"╦","")))</f>
        <v/>
      </c>
      <c r="AP22" s="164" t="str">
        <f>IF('01_Stations'!$R$44=1,"ϰ",IF('01_Stations'!$R$44=2,"І",IF('01_Stations'!$R$44=3,"╦","")))</f>
        <v/>
      </c>
      <c r="AQ22" s="164" t="str">
        <f>IF('01_Stations'!$R$45=1,"ϰ",IF('01_Stations'!$R$45=2,"І",IF('01_Stations'!$R$45=3,"╦","")))</f>
        <v/>
      </c>
    </row>
    <row r="23" spans="1:43" ht="15" customHeight="1" x14ac:dyDescent="0.3">
      <c r="A23" s="236"/>
      <c r="B23" s="165" t="s">
        <v>2214</v>
      </c>
      <c r="C23" s="166"/>
      <c r="D23" s="164" t="str">
        <f>IF('01_Stations'!$S$6=1,"Ӂ",IF('01_Stations'!$S$6=2,"Җ",""))</f>
        <v/>
      </c>
      <c r="E23" s="164" t="str">
        <f>IF('01_Stations'!$S$7=1,"Ӂ",IF('01_Stations'!$S$7=2,"Җ",""))</f>
        <v/>
      </c>
      <c r="F23" s="164" t="str">
        <f>IF('01_Stations'!$S$8=1,"Ӂ",IF('01_Stations'!$S$8=2,"Җ",""))</f>
        <v/>
      </c>
      <c r="G23" s="164" t="str">
        <f>IF('01_Stations'!$S$9=1,"Ӂ",IF('01_Stations'!$S$9=2,"Җ",""))</f>
        <v/>
      </c>
      <c r="H23" s="164" t="str">
        <f>IF('01_Stations'!$S$10=1,"Ӂ",IF('01_Stations'!$S$10=2,"Җ",""))</f>
        <v/>
      </c>
      <c r="I23" s="164" t="str">
        <f>IF('01_Stations'!$S$11=1,"Ӂ",IF('01_Stations'!$S$11=2,"Җ",""))</f>
        <v/>
      </c>
      <c r="J23" s="164" t="str">
        <f>IF('01_Stations'!$S$12=1,"Ӂ",IF('01_Stations'!$S$12=2,"Җ",""))</f>
        <v/>
      </c>
      <c r="K23" s="164" t="str">
        <f>IF('01_Stations'!$S$13=1,"Ӂ",IF('01_Stations'!$S$13=2,"Җ",""))</f>
        <v/>
      </c>
      <c r="L23" s="164" t="str">
        <f>IF('01_Stations'!$S$14=1,"Ӂ",IF('01_Stations'!$S$14=2,"Җ",""))</f>
        <v/>
      </c>
      <c r="M23" s="164" t="str">
        <f>IF('01_Stations'!$S$15=1,"Ӂ",IF('01_Stations'!$S$15=2,"Җ",""))</f>
        <v/>
      </c>
      <c r="N23" s="164" t="str">
        <f>IF('01_Stations'!$S$16=1,"Ӂ",IF('01_Stations'!$S$16=2,"Җ",""))</f>
        <v/>
      </c>
      <c r="O23" s="164" t="str">
        <f>IF('01_Stations'!$S$17=1,"Ӂ",IF('01_Stations'!$S$17=2,"Җ",""))</f>
        <v/>
      </c>
      <c r="P23" s="164" t="str">
        <f>IF('01_Stations'!$S$18=1,"Ӂ",IF('01_Stations'!$S$18=2,"Җ",""))</f>
        <v/>
      </c>
      <c r="Q23" s="164" t="str">
        <f>IF('01_Stations'!$S$19=1,"Ӂ",IF('01_Stations'!$S$19=2,"Җ",""))</f>
        <v/>
      </c>
      <c r="R23" s="164" t="str">
        <f>IF('01_Stations'!$S$20=1,"Ӂ",IF('01_Stations'!$S$20=2,"Җ",""))</f>
        <v/>
      </c>
      <c r="S23" s="164" t="str">
        <f>IF('01_Stations'!$S$21=1,"Ӂ",IF('01_Stations'!$S$21=2,"Җ",""))</f>
        <v/>
      </c>
      <c r="T23" s="164" t="str">
        <f>IF('01_Stations'!$S$22=1,"Ӂ",IF('01_Stations'!$S$22=2,"Җ",""))</f>
        <v/>
      </c>
      <c r="U23" s="164" t="str">
        <f>IF('01_Stations'!$S$23=1,"Ӂ",IF('01_Stations'!$S$23=2,"Җ",""))</f>
        <v/>
      </c>
      <c r="V23" s="164" t="str">
        <f>IF('01_Stations'!$S$24=1,"Ӂ",IF('01_Stations'!$S$24=2,"Җ",""))</f>
        <v/>
      </c>
      <c r="W23" s="164" t="str">
        <f>IF('01_Stations'!$S$25=1,"Ӂ",IF('01_Stations'!$S$25=2,"Җ",""))</f>
        <v/>
      </c>
      <c r="X23" s="164" t="str">
        <f>IF('01_Stations'!$S$26=1,"Ӂ",IF('01_Stations'!$S$26=2,"Җ",""))</f>
        <v/>
      </c>
      <c r="Y23" s="164" t="str">
        <f>IF('01_Stations'!$S$27=1,"Ӂ",IF('01_Stations'!$S$27=2,"Җ",""))</f>
        <v/>
      </c>
      <c r="Z23" s="164" t="str">
        <f>IF('01_Stations'!$S$28=1,"Ӂ",IF('01_Stations'!$S$28=2,"Җ",""))</f>
        <v/>
      </c>
      <c r="AA23" s="164" t="str">
        <f>IF('01_Stations'!$S$29=1,"Ӂ",IF('01_Stations'!$S$29=2,"Җ",""))</f>
        <v/>
      </c>
      <c r="AB23" s="164" t="str">
        <f>IF('01_Stations'!$S$30=1,"Ӂ",IF('01_Stations'!$S$30=2,"Җ",""))</f>
        <v/>
      </c>
      <c r="AC23" s="164" t="str">
        <f>IF('01_Stations'!$S$31=1,"Ӂ",IF('01_Stations'!$S$31=2,"Җ",""))</f>
        <v/>
      </c>
      <c r="AD23" s="164" t="str">
        <f>IF('01_Stations'!$S$32=1,"Ӂ",IF('01_Stations'!$S$32=2,"Җ",""))</f>
        <v/>
      </c>
      <c r="AE23" s="164" t="str">
        <f>IF('01_Stations'!$S$33=1,"Ӂ",IF('01_Stations'!$S$33=2,"Җ",""))</f>
        <v/>
      </c>
      <c r="AF23" s="164" t="str">
        <f>IF('01_Stations'!$S$34=1,"Ӂ",IF('01_Stations'!$S$34=2,"Җ",""))</f>
        <v/>
      </c>
      <c r="AG23" s="164" t="str">
        <f>IF('01_Stations'!$S$35=1,"Ӂ",IF('01_Stations'!$S$35=2,"Җ",""))</f>
        <v/>
      </c>
      <c r="AH23" s="164" t="str">
        <f>IF('01_Stations'!$S$36=1,"Ӂ",IF('01_Stations'!$S$36=2,"Җ",""))</f>
        <v/>
      </c>
      <c r="AI23" s="164" t="str">
        <f>IF('01_Stations'!$S$37=1,"Ӂ",IF('01_Stations'!$S$37=2,"Җ",""))</f>
        <v/>
      </c>
      <c r="AJ23" s="164" t="str">
        <f>IF('01_Stations'!$S$38=1,"Ӂ",IF('01_Stations'!$S$38=2,"Җ",""))</f>
        <v/>
      </c>
      <c r="AK23" s="164" t="str">
        <f>IF('01_Stations'!$S$39=1,"Ӂ",IF('01_Stations'!$S$39=2,"Җ",""))</f>
        <v/>
      </c>
      <c r="AL23" s="164" t="str">
        <f>IF('01_Stations'!$S$40=1,"Ӂ",IF('01_Stations'!$S$40=2,"Җ",""))</f>
        <v/>
      </c>
      <c r="AM23" s="164" t="str">
        <f>IF('01_Stations'!$S$41=1,"Ӂ",IF('01_Stations'!$S$41=2,"Җ",""))</f>
        <v/>
      </c>
      <c r="AN23" s="164" t="str">
        <f>IF('01_Stations'!$S$42=1,"Ӂ",IF('01_Stations'!$S$42=2,"Җ",""))</f>
        <v/>
      </c>
      <c r="AO23" s="164" t="str">
        <f>IF('01_Stations'!$S$43=1,"Ӂ",IF('01_Stations'!$S$43=2,"Җ",""))</f>
        <v/>
      </c>
      <c r="AP23" s="164" t="str">
        <f>IF('01_Stations'!$S$44=1,"Ӂ",IF('01_Stations'!$S$44=2,"Җ",""))</f>
        <v/>
      </c>
      <c r="AQ23" s="164" t="str">
        <f>IF('01_Stations'!$S$45=1,"Ӂ",IF('01_Stations'!$S$45=2,"Җ",""))</f>
        <v/>
      </c>
    </row>
    <row r="24" spans="1:43" ht="15" customHeight="1" x14ac:dyDescent="0.3">
      <c r="A24" s="236"/>
      <c r="B24" s="165" t="s">
        <v>2215</v>
      </c>
      <c r="C24" s="166" t="s">
        <v>1622</v>
      </c>
      <c r="D24" s="164" t="str">
        <f>IF('01_Stations'!$T$6=1,"───","")</f>
        <v/>
      </c>
      <c r="E24" s="164" t="str">
        <f>IF('01_Stations'!$T$7=1,"───","")</f>
        <v/>
      </c>
      <c r="F24" s="164" t="str">
        <f>IF('01_Stations'!$T$8=1,"───","")</f>
        <v/>
      </c>
      <c r="G24" s="164" t="str">
        <f>IF('01_Stations'!$T$9=1,"───","")</f>
        <v/>
      </c>
      <c r="H24" s="164" t="str">
        <f>IF('01_Stations'!$T$10=1,"───","")</f>
        <v/>
      </c>
      <c r="I24" s="164" t="str">
        <f>IF('01_Stations'!$T$11=1,"───","")</f>
        <v/>
      </c>
      <c r="J24" s="164" t="str">
        <f>IF('01_Stations'!$T$12=1,"───","")</f>
        <v/>
      </c>
      <c r="K24" s="164" t="str">
        <f>IF('01_Stations'!$T$13=1,"───","")</f>
        <v/>
      </c>
      <c r="L24" s="164" t="str">
        <f>IF('01_Stations'!$T$14=1,"───","")</f>
        <v/>
      </c>
      <c r="M24" s="164" t="str">
        <f>IF('01_Stations'!$T$15=1,"───","")</f>
        <v/>
      </c>
      <c r="N24" s="164" t="str">
        <f>IF('01_Stations'!$T$16=1,"───","")</f>
        <v/>
      </c>
      <c r="O24" s="164" t="str">
        <f>IF('01_Stations'!$T$17=1,"───","")</f>
        <v/>
      </c>
      <c r="P24" s="164" t="str">
        <f>IF('01_Stations'!$T$18=1,"───","")</f>
        <v/>
      </c>
      <c r="Q24" s="164" t="str">
        <f>IF('01_Stations'!$T$19=1,"───","")</f>
        <v/>
      </c>
      <c r="R24" s="164" t="str">
        <f>IF('01_Stations'!$T$20=1,"───","")</f>
        <v/>
      </c>
      <c r="S24" s="164" t="str">
        <f>IF('01_Stations'!$T$21=1,"───","")</f>
        <v/>
      </c>
      <c r="T24" s="164" t="str">
        <f>IF('01_Stations'!$T$22=1,"───","")</f>
        <v/>
      </c>
      <c r="U24" s="164" t="str">
        <f>IF('01_Stations'!$T$23=1,"───","")</f>
        <v/>
      </c>
      <c r="V24" s="164" t="str">
        <f>IF('01_Stations'!$T$24=1,"───","")</f>
        <v/>
      </c>
      <c r="W24" s="164" t="str">
        <f>IF('01_Stations'!$T$25=1,"───","")</f>
        <v/>
      </c>
      <c r="X24" s="164" t="str">
        <f>IF('01_Stations'!$T$26=1,"───","")</f>
        <v/>
      </c>
      <c r="Y24" s="164" t="str">
        <f>IF('01_Stations'!$T$27=1,"───","")</f>
        <v/>
      </c>
      <c r="Z24" s="164" t="str">
        <f>IF('01_Stations'!$T$28=1,"───","")</f>
        <v/>
      </c>
      <c r="AA24" s="164" t="str">
        <f>IF('01_Stations'!$T$29=1,"───","")</f>
        <v/>
      </c>
      <c r="AB24" s="164" t="str">
        <f>IF('01_Stations'!$T$30=1,"───","")</f>
        <v/>
      </c>
      <c r="AC24" s="164" t="str">
        <f>IF('01_Stations'!$T$31=1,"───","")</f>
        <v/>
      </c>
      <c r="AD24" s="164" t="str">
        <f>IF('01_Stations'!$T$32=1,"───","")</f>
        <v/>
      </c>
      <c r="AE24" s="164" t="str">
        <f>IF('01_Stations'!$T$33=1,"───","")</f>
        <v/>
      </c>
      <c r="AF24" s="164" t="str">
        <f>IF('01_Stations'!$T$34=1,"───","")</f>
        <v/>
      </c>
      <c r="AG24" s="164" t="str">
        <f>IF('01_Stations'!$T$35=1,"───","")</f>
        <v/>
      </c>
      <c r="AH24" s="164" t="str">
        <f>IF('01_Stations'!$T$36=1,"───","")</f>
        <v/>
      </c>
      <c r="AI24" s="164" t="str">
        <f>IF('01_Stations'!$T$37=1,"───","")</f>
        <v/>
      </c>
      <c r="AJ24" s="164" t="str">
        <f>IF('01_Stations'!$T$38=1,"───","")</f>
        <v/>
      </c>
      <c r="AK24" s="164" t="str">
        <f>IF('01_Stations'!$T$39=1,"───","")</f>
        <v/>
      </c>
      <c r="AL24" s="164" t="str">
        <f>IF('01_Stations'!$T$40=1,"───","")</f>
        <v/>
      </c>
      <c r="AM24" s="164" t="str">
        <f>IF('01_Stations'!$T$41=1,"───","")</f>
        <v/>
      </c>
      <c r="AN24" s="164" t="str">
        <f>IF('01_Stations'!$T$42=1,"───","")</f>
        <v/>
      </c>
      <c r="AO24" s="164" t="str">
        <f>IF('01_Stations'!$T$43=1,"───","")</f>
        <v/>
      </c>
      <c r="AP24" s="164" t="str">
        <f>IF('01_Stations'!$T$44=1,"───","")</f>
        <v/>
      </c>
      <c r="AQ24" s="164" t="str">
        <f>IF('01_Stations'!$T$45=1,"───","")</f>
        <v/>
      </c>
    </row>
    <row r="25" spans="1:43" ht="15" customHeight="1" x14ac:dyDescent="0.3">
      <c r="A25" s="236"/>
      <c r="B25" s="165"/>
      <c r="C25" s="166" t="s">
        <v>2216</v>
      </c>
      <c r="D25" s="164" t="str">
        <f>IF(N('01_Stations'!$U$6)&gt;0,'01_Stations'!$U$6,"")</f>
        <v/>
      </c>
      <c r="E25" s="164" t="str">
        <f>IF(N('01_Stations'!$U$7)&gt;0,'01_Stations'!$U$7,"")</f>
        <v/>
      </c>
      <c r="F25" s="164" t="str">
        <f>IF(N('01_Stations'!$U$8)&gt;0,'01_Stations'!$U$8,"")</f>
        <v/>
      </c>
      <c r="G25" s="164" t="str">
        <f>IF(N('01_Stations'!$U$9)&gt;0,'01_Stations'!$U$9,"")</f>
        <v/>
      </c>
      <c r="H25" s="164" t="str">
        <f>IF(N('01_Stations'!$U$10)&gt;0,'01_Stations'!$U$10,"")</f>
        <v/>
      </c>
      <c r="I25" s="164" t="str">
        <f>IF(N('01_Stations'!$U$11)&gt;0,'01_Stations'!$U$11,"")</f>
        <v/>
      </c>
      <c r="J25" s="164" t="str">
        <f>IF(N('01_Stations'!$U$12)&gt;0,'01_Stations'!$U$12,"")</f>
        <v/>
      </c>
      <c r="K25" s="164" t="str">
        <f>IF(N('01_Stations'!$U$13)&gt;0,'01_Stations'!$U$13,"")</f>
        <v/>
      </c>
      <c r="L25" s="164" t="str">
        <f>IF(N('01_Stations'!$U$14)&gt;0,'01_Stations'!$U$14,"")</f>
        <v/>
      </c>
      <c r="M25" s="164" t="str">
        <f>IF(N('01_Stations'!$U$15)&gt;0,'01_Stations'!$U$15,"")</f>
        <v/>
      </c>
      <c r="N25" s="164" t="str">
        <f>IF(N('01_Stations'!$U$16)&gt;0,'01_Stations'!$U$16,"")</f>
        <v/>
      </c>
      <c r="O25" s="164" t="str">
        <f>IF(N('01_Stations'!$U$17)&gt;0,'01_Stations'!$U$17,"")</f>
        <v/>
      </c>
      <c r="P25" s="164" t="str">
        <f>IF(N('01_Stations'!$U$18)&gt;0,'01_Stations'!$U$18,"")</f>
        <v/>
      </c>
      <c r="Q25" s="164" t="str">
        <f>IF(N('01_Stations'!$U$19)&gt;0,'01_Stations'!$U$19,"")</f>
        <v/>
      </c>
      <c r="R25" s="164" t="str">
        <f>IF(N('01_Stations'!$U$20)&gt;0,'01_Stations'!$U$20,"")</f>
        <v/>
      </c>
      <c r="S25" s="164" t="str">
        <f>IF(N('01_Stations'!$U$21)&gt;0,'01_Stations'!$U$21,"")</f>
        <v/>
      </c>
      <c r="T25" s="164" t="str">
        <f>IF(N('01_Stations'!$U$22)&gt;0,'01_Stations'!$U$22,"")</f>
        <v/>
      </c>
      <c r="U25" s="164" t="str">
        <f>IF(N('01_Stations'!$U$23)&gt;0,'01_Stations'!$U$23,"")</f>
        <v/>
      </c>
      <c r="V25" s="164" t="str">
        <f>IF(N('01_Stations'!$U$24)&gt;0,'01_Stations'!$U$24,"")</f>
        <v/>
      </c>
      <c r="W25" s="164" t="str">
        <f>IF(N('01_Stations'!$U$25)&gt;0,'01_Stations'!$U$25,"")</f>
        <v/>
      </c>
      <c r="X25" s="164" t="str">
        <f>IF(N('01_Stations'!$U$26)&gt;0,'01_Stations'!$U$26,"")</f>
        <v/>
      </c>
      <c r="Y25" s="164" t="str">
        <f>IF(N('01_Stations'!$U$27)&gt;0,'01_Stations'!$U$27,"")</f>
        <v/>
      </c>
      <c r="Z25" s="164" t="str">
        <f>IF(N('01_Stations'!$U$28)&gt;0,'01_Stations'!$U$28,"")</f>
        <v/>
      </c>
      <c r="AA25" s="164" t="str">
        <f>IF(N('01_Stations'!$U$29)&gt;0,'01_Stations'!$U$29,"")</f>
        <v/>
      </c>
      <c r="AB25" s="164" t="str">
        <f>IF(N('01_Stations'!$U$30)&gt;0,'01_Stations'!$U$30,"")</f>
        <v/>
      </c>
      <c r="AC25" s="164" t="str">
        <f>IF(N('01_Stations'!$U$31)&gt;0,'01_Stations'!$U$31,"")</f>
        <v/>
      </c>
      <c r="AD25" s="164" t="str">
        <f>IF(N('01_Stations'!$U$32)&gt;0,'01_Stations'!$U$32,"")</f>
        <v/>
      </c>
      <c r="AE25" s="164" t="str">
        <f>IF(N('01_Stations'!$U$33)&gt;0,'01_Stations'!$U$33,"")</f>
        <v/>
      </c>
      <c r="AF25" s="164" t="str">
        <f>IF(N('01_Stations'!$U$34)&gt;0,'01_Stations'!$U$34,"")</f>
        <v/>
      </c>
      <c r="AG25" s="164" t="str">
        <f>IF(N('01_Stations'!$U$35)&gt;0,'01_Stations'!$U$35,"")</f>
        <v/>
      </c>
      <c r="AH25" s="164" t="str">
        <f>IF(N('01_Stations'!$U$36)&gt;0,'01_Stations'!$U$36,"")</f>
        <v/>
      </c>
      <c r="AI25" s="164" t="str">
        <f>IF(N('01_Stations'!$U$37)&gt;0,'01_Stations'!$U$37,"")</f>
        <v/>
      </c>
      <c r="AJ25" s="164" t="str">
        <f>IF(N('01_Stations'!$U$38)&gt;0,'01_Stations'!$U$38,"")</f>
        <v/>
      </c>
      <c r="AK25" s="164" t="str">
        <f>IF(N('01_Stations'!$U$39)&gt;0,'01_Stations'!$U$39,"")</f>
        <v/>
      </c>
      <c r="AL25" s="164" t="str">
        <f>IF(N('01_Stations'!$U$40)&gt;0,'01_Stations'!$U$40,"")</f>
        <v/>
      </c>
      <c r="AM25" s="164" t="str">
        <f>IF(N('01_Stations'!$U$41)&gt;0,'01_Stations'!$U$41,"")</f>
        <v/>
      </c>
      <c r="AN25" s="164" t="str">
        <f>IF(N('01_Stations'!$U$42)&gt;0,'01_Stations'!$U$42,"")</f>
        <v/>
      </c>
      <c r="AO25" s="164" t="str">
        <f>IF(N('01_Stations'!$U$43)&gt;0,'01_Stations'!$U$43,"")</f>
        <v/>
      </c>
      <c r="AP25" s="164" t="str">
        <f>IF(N('01_Stations'!$U$44)&gt;0,'01_Stations'!$U$44,"")</f>
        <v/>
      </c>
      <c r="AQ25" s="164" t="str">
        <f>IF(N('01_Stations'!$U$45)&gt;0,'01_Stations'!$U$45,"")</f>
        <v/>
      </c>
    </row>
    <row r="26" spans="1:43" ht="15" customHeight="1" x14ac:dyDescent="0.3">
      <c r="A26" s="236"/>
      <c r="B26" s="165"/>
      <c r="C26" s="166" t="s">
        <v>2212</v>
      </c>
      <c r="D26" s="164" t="str">
        <f>IF('01_Stations'!$V$6=1,"───","")</f>
        <v/>
      </c>
      <c r="E26" s="164" t="str">
        <f>IF('01_Stations'!$V$7=1,"───","")</f>
        <v/>
      </c>
      <c r="F26" s="164" t="str">
        <f>IF('01_Stations'!$V$8=1,"───","")</f>
        <v/>
      </c>
      <c r="G26" s="164" t="str">
        <f>IF('01_Stations'!$V$9=1,"───","")</f>
        <v/>
      </c>
      <c r="H26" s="164" t="str">
        <f>IF('01_Stations'!$V$10=1,"───","")</f>
        <v/>
      </c>
      <c r="I26" s="164" t="str">
        <f>IF('01_Stations'!$V$11=1,"───","")</f>
        <v/>
      </c>
      <c r="J26" s="164" t="str">
        <f>IF('01_Stations'!$V$12=1,"───","")</f>
        <v/>
      </c>
      <c r="K26" s="164" t="str">
        <f>IF('01_Stations'!$V$13=1,"───","")</f>
        <v/>
      </c>
      <c r="L26" s="164" t="str">
        <f>IF('01_Stations'!$V$14=1,"───","")</f>
        <v/>
      </c>
      <c r="M26" s="164" t="str">
        <f>IF('01_Stations'!$V$15=1,"───","")</f>
        <v/>
      </c>
      <c r="N26" s="164" t="str">
        <f>IF('01_Stations'!$V$16=1,"───","")</f>
        <v/>
      </c>
      <c r="O26" s="164" t="str">
        <f>IF('01_Stations'!$V$17=1,"───","")</f>
        <v/>
      </c>
      <c r="P26" s="164" t="str">
        <f>IF('01_Stations'!$V$18=1,"───","")</f>
        <v/>
      </c>
      <c r="Q26" s="164" t="str">
        <f>IF('01_Stations'!$V$19=1,"───","")</f>
        <v/>
      </c>
      <c r="R26" s="164" t="str">
        <f>IF('01_Stations'!$V$20=1,"───","")</f>
        <v/>
      </c>
      <c r="S26" s="164" t="str">
        <f>IF('01_Stations'!$V$21=1,"───","")</f>
        <v/>
      </c>
      <c r="T26" s="164" t="str">
        <f>IF('01_Stations'!$V$22=1,"───","")</f>
        <v/>
      </c>
      <c r="U26" s="164" t="str">
        <f>IF('01_Stations'!$V$23=1,"───","")</f>
        <v/>
      </c>
      <c r="V26" s="164" t="str">
        <f>IF('01_Stations'!$V$24=1,"───","")</f>
        <v/>
      </c>
      <c r="W26" s="164" t="str">
        <f>IF('01_Stations'!$V$25=1,"───","")</f>
        <v/>
      </c>
      <c r="X26" s="164" t="str">
        <f>IF('01_Stations'!$V$26=1,"───","")</f>
        <v/>
      </c>
      <c r="Y26" s="164" t="str">
        <f>IF('01_Stations'!$V$27=1,"───","")</f>
        <v/>
      </c>
      <c r="Z26" s="164" t="str">
        <f>IF('01_Stations'!$V$28=1,"───","")</f>
        <v/>
      </c>
      <c r="AA26" s="164" t="str">
        <f>IF('01_Stations'!$V$29=1,"───","")</f>
        <v/>
      </c>
      <c r="AB26" s="164" t="str">
        <f>IF('01_Stations'!$V$30=1,"───","")</f>
        <v/>
      </c>
      <c r="AC26" s="164" t="str">
        <f>IF('01_Stations'!$V$31=1,"───","")</f>
        <v/>
      </c>
      <c r="AD26" s="164" t="str">
        <f>IF('01_Stations'!$V$32=1,"───","")</f>
        <v/>
      </c>
      <c r="AE26" s="164" t="str">
        <f>IF('01_Stations'!$V$33=1,"───","")</f>
        <v/>
      </c>
      <c r="AF26" s="164" t="str">
        <f>IF('01_Stations'!$V$34=1,"───","")</f>
        <v/>
      </c>
      <c r="AG26" s="164" t="str">
        <f>IF('01_Stations'!$V$35=1,"───","")</f>
        <v/>
      </c>
      <c r="AH26" s="164" t="str">
        <f>IF('01_Stations'!$V$36=1,"───","")</f>
        <v/>
      </c>
      <c r="AI26" s="164" t="str">
        <f>IF('01_Stations'!$V$37=1,"───","")</f>
        <v/>
      </c>
      <c r="AJ26" s="164" t="str">
        <f>IF('01_Stations'!$V$38=1,"───","")</f>
        <v/>
      </c>
      <c r="AK26" s="164" t="str">
        <f>IF('01_Stations'!$V$39=1,"───","")</f>
        <v/>
      </c>
      <c r="AL26" s="164" t="str">
        <f>IF('01_Stations'!$V$40=1,"───","")</f>
        <v/>
      </c>
      <c r="AM26" s="164" t="str">
        <f>IF('01_Stations'!$V$41=1,"───","")</f>
        <v/>
      </c>
      <c r="AN26" s="164" t="str">
        <f>IF('01_Stations'!$V$42=1,"───","")</f>
        <v/>
      </c>
      <c r="AO26" s="164" t="str">
        <f>IF('01_Stations'!$V$43=1,"───","")</f>
        <v/>
      </c>
      <c r="AP26" s="164" t="str">
        <f>IF('01_Stations'!$V$44=1,"───","")</f>
        <v/>
      </c>
      <c r="AQ26" s="164" t="str">
        <f>IF('01_Stations'!$V$45=1,"───","")</f>
        <v/>
      </c>
    </row>
    <row r="27" spans="1:43" ht="15" customHeight="1" x14ac:dyDescent="0.3">
      <c r="A27" s="236"/>
      <c r="B27" s="165"/>
      <c r="C27" s="166" t="s">
        <v>2216</v>
      </c>
      <c r="D27" s="164" t="str">
        <f>IF(N('01_Stations'!$W$6)&gt;0,'01_Stations'!$W$6,"")</f>
        <v/>
      </c>
      <c r="E27" s="164" t="str">
        <f>IF(N('01_Stations'!$W$7)&gt;0,'01_Stations'!$W$7,"")</f>
        <v/>
      </c>
      <c r="F27" s="164" t="str">
        <f>IF(N('01_Stations'!$W$8)&gt;0,'01_Stations'!$W$8,"")</f>
        <v/>
      </c>
      <c r="G27" s="164" t="str">
        <f>IF(N('01_Stations'!$W$9)&gt;0,'01_Stations'!$W$9,"")</f>
        <v/>
      </c>
      <c r="H27" s="164" t="str">
        <f>IF(N('01_Stations'!$W$10)&gt;0,'01_Stations'!$W$10,"")</f>
        <v/>
      </c>
      <c r="I27" s="164" t="str">
        <f>IF(N('01_Stations'!$W$11)&gt;0,'01_Stations'!$W$11,"")</f>
        <v/>
      </c>
      <c r="J27" s="164" t="str">
        <f>IF(N('01_Stations'!$W$12)&gt;0,'01_Stations'!$W$12,"")</f>
        <v/>
      </c>
      <c r="K27" s="164" t="str">
        <f>IF(N('01_Stations'!$W$13)&gt;0,'01_Stations'!$W$13,"")</f>
        <v/>
      </c>
      <c r="L27" s="164" t="str">
        <f>IF(N('01_Stations'!$W$14)&gt;0,'01_Stations'!$W$14,"")</f>
        <v/>
      </c>
      <c r="M27" s="164" t="str">
        <f>IF(N('01_Stations'!$W$15)&gt;0,'01_Stations'!$W$15,"")</f>
        <v/>
      </c>
      <c r="N27" s="164" t="str">
        <f>IF(N('01_Stations'!$W$16)&gt;0,'01_Stations'!$W$16,"")</f>
        <v/>
      </c>
      <c r="O27" s="164" t="str">
        <f>IF(N('01_Stations'!$W$17)&gt;0,'01_Stations'!$W$17,"")</f>
        <v/>
      </c>
      <c r="P27" s="164" t="str">
        <f>IF(N('01_Stations'!$W$18)&gt;0,'01_Stations'!$W$18,"")</f>
        <v/>
      </c>
      <c r="Q27" s="164" t="str">
        <f>IF(N('01_Stations'!$W$19)&gt;0,'01_Stations'!$W$19,"")</f>
        <v/>
      </c>
      <c r="R27" s="164" t="str">
        <f>IF(N('01_Stations'!$W$20)&gt;0,'01_Stations'!$W$20,"")</f>
        <v/>
      </c>
      <c r="S27" s="164" t="str">
        <f>IF(N('01_Stations'!$W$21)&gt;0,'01_Stations'!$W$21,"")</f>
        <v/>
      </c>
      <c r="T27" s="164" t="str">
        <f>IF(N('01_Stations'!$W$22)&gt;0,'01_Stations'!$W$22,"")</f>
        <v/>
      </c>
      <c r="U27" s="164" t="str">
        <f>IF(N('01_Stations'!$W$23)&gt;0,'01_Stations'!$W$23,"")</f>
        <v/>
      </c>
      <c r="V27" s="164" t="str">
        <f>IF(N('01_Stations'!$W$24)&gt;0,'01_Stations'!$W$24,"")</f>
        <v/>
      </c>
      <c r="W27" s="164" t="str">
        <f>IF(N('01_Stations'!$W$25)&gt;0,'01_Stations'!$W$25,"")</f>
        <v/>
      </c>
      <c r="X27" s="164" t="str">
        <f>IF(N('01_Stations'!$W$26)&gt;0,'01_Stations'!$W$26,"")</f>
        <v/>
      </c>
      <c r="Y27" s="164" t="str">
        <f>IF(N('01_Stations'!$W$27)&gt;0,'01_Stations'!$W$27,"")</f>
        <v/>
      </c>
      <c r="Z27" s="164" t="str">
        <f>IF(N('01_Stations'!$W$28)&gt;0,'01_Stations'!$W$28,"")</f>
        <v/>
      </c>
      <c r="AA27" s="164" t="str">
        <f>IF(N('01_Stations'!$W$29)&gt;0,'01_Stations'!$W$29,"")</f>
        <v/>
      </c>
      <c r="AB27" s="164" t="str">
        <f>IF(N('01_Stations'!$W$30)&gt;0,'01_Stations'!$W$30,"")</f>
        <v/>
      </c>
      <c r="AC27" s="164" t="str">
        <f>IF(N('01_Stations'!$W$31)&gt;0,'01_Stations'!$W$31,"")</f>
        <v/>
      </c>
      <c r="AD27" s="164" t="str">
        <f>IF(N('01_Stations'!$W$32)&gt;0,'01_Stations'!$W$32,"")</f>
        <v/>
      </c>
      <c r="AE27" s="164" t="str">
        <f>IF(N('01_Stations'!$W$33)&gt;0,'01_Stations'!$W$33,"")</f>
        <v/>
      </c>
      <c r="AF27" s="164" t="str">
        <f>IF(N('01_Stations'!$W$34)&gt;0,'01_Stations'!$W$34,"")</f>
        <v/>
      </c>
      <c r="AG27" s="164" t="str">
        <f>IF(N('01_Stations'!$W$35)&gt;0,'01_Stations'!$W$35,"")</f>
        <v/>
      </c>
      <c r="AH27" s="164" t="str">
        <f>IF(N('01_Stations'!$W$36)&gt;0,'01_Stations'!$W$36,"")</f>
        <v/>
      </c>
      <c r="AI27" s="164" t="str">
        <f>IF(N('01_Stations'!$W$37)&gt;0,'01_Stations'!$W$37,"")</f>
        <v/>
      </c>
      <c r="AJ27" s="164" t="str">
        <f>IF(N('01_Stations'!$W$38)&gt;0,'01_Stations'!$W$38,"")</f>
        <v/>
      </c>
      <c r="AK27" s="164" t="str">
        <f>IF(N('01_Stations'!$W$39)&gt;0,'01_Stations'!$W$39,"")</f>
        <v/>
      </c>
      <c r="AL27" s="164" t="str">
        <f>IF(N('01_Stations'!$W$40)&gt;0,'01_Stations'!$W$40,"")</f>
        <v/>
      </c>
      <c r="AM27" s="164" t="str">
        <f>IF(N('01_Stations'!$W$41)&gt;0,'01_Stations'!$W$41,"")</f>
        <v/>
      </c>
      <c r="AN27" s="164" t="str">
        <f>IF(N('01_Stations'!$W$42)&gt;0,'01_Stations'!$W$42,"")</f>
        <v/>
      </c>
      <c r="AO27" s="164" t="str">
        <f>IF(N('01_Stations'!$W$43)&gt;0,'01_Stations'!$W$43,"")</f>
        <v/>
      </c>
      <c r="AP27" s="164" t="str">
        <f>IF(N('01_Stations'!$W$44)&gt;0,'01_Stations'!$W$44,"")</f>
        <v/>
      </c>
      <c r="AQ27" s="164" t="str">
        <f>IF(N('01_Stations'!$W$45)&gt;0,'01_Stations'!$W$45,"")</f>
        <v/>
      </c>
    </row>
    <row r="28" spans="1:43" ht="15" customHeight="1" x14ac:dyDescent="0.3">
      <c r="A28" s="236"/>
      <c r="B28" s="165" t="s">
        <v>2217</v>
      </c>
      <c r="C28" s="166" t="s">
        <v>1622</v>
      </c>
      <c r="D28" s="164" t="str">
        <f>IF('01_Stations'!$X$6=1,"───","")</f>
        <v/>
      </c>
      <c r="E28" s="164" t="str">
        <f>IF('01_Stations'!$X$7=1,"───","")</f>
        <v/>
      </c>
      <c r="F28" s="164" t="str">
        <f>IF('01_Stations'!$X$8=1,"───","")</f>
        <v/>
      </c>
      <c r="G28" s="164" t="str">
        <f>IF('01_Stations'!$X$9=1,"───","")</f>
        <v/>
      </c>
      <c r="H28" s="164" t="str">
        <f>IF('01_Stations'!$X$10=1,"───","")</f>
        <v/>
      </c>
      <c r="I28" s="164" t="str">
        <f>IF('01_Stations'!$X$11=1,"───","")</f>
        <v/>
      </c>
      <c r="J28" s="164" t="str">
        <f>IF('01_Stations'!$X$12=1,"───","")</f>
        <v/>
      </c>
      <c r="K28" s="164" t="str">
        <f>IF('01_Stations'!$X$13=1,"───","")</f>
        <v/>
      </c>
      <c r="L28" s="164" t="str">
        <f>IF('01_Stations'!$X$14=1,"───","")</f>
        <v/>
      </c>
      <c r="M28" s="164" t="str">
        <f>IF('01_Stations'!$X$15=1,"───","")</f>
        <v/>
      </c>
      <c r="N28" s="164" t="str">
        <f>IF('01_Stations'!$X$16=1,"───","")</f>
        <v/>
      </c>
      <c r="O28" s="164" t="str">
        <f>IF('01_Stations'!$X$17=1,"───","")</f>
        <v/>
      </c>
      <c r="P28" s="164" t="str">
        <f>IF('01_Stations'!$X$18=1,"───","")</f>
        <v/>
      </c>
      <c r="Q28" s="164" t="str">
        <f>IF('01_Stations'!$X$19=1,"───","")</f>
        <v/>
      </c>
      <c r="R28" s="164" t="str">
        <f>IF('01_Stations'!$X$20=1,"───","")</f>
        <v/>
      </c>
      <c r="S28" s="164" t="str">
        <f>IF('01_Stations'!$X$21=1,"───","")</f>
        <v/>
      </c>
      <c r="T28" s="164" t="str">
        <f>IF('01_Stations'!$X$22=1,"───","")</f>
        <v/>
      </c>
      <c r="U28" s="164" t="str">
        <f>IF('01_Stations'!$X$23=1,"───","")</f>
        <v/>
      </c>
      <c r="V28" s="164" t="str">
        <f>IF('01_Stations'!$X$24=1,"───","")</f>
        <v/>
      </c>
      <c r="W28" s="164" t="str">
        <f>IF('01_Stations'!$X$25=1,"───","")</f>
        <v/>
      </c>
      <c r="X28" s="164" t="str">
        <f>IF('01_Stations'!$X$26=1,"───","")</f>
        <v/>
      </c>
      <c r="Y28" s="164" t="str">
        <f>IF('01_Stations'!$X$27=1,"───","")</f>
        <v/>
      </c>
      <c r="Z28" s="164" t="str">
        <f>IF('01_Stations'!$X$28=1,"───","")</f>
        <v/>
      </c>
      <c r="AA28" s="164" t="str">
        <f>IF('01_Stations'!$X$29=1,"───","")</f>
        <v/>
      </c>
      <c r="AB28" s="164" t="str">
        <f>IF('01_Stations'!$X$30=1,"───","")</f>
        <v/>
      </c>
      <c r="AC28" s="164" t="str">
        <f>IF('01_Stations'!$X$31=1,"───","")</f>
        <v/>
      </c>
      <c r="AD28" s="164" t="str">
        <f>IF('01_Stations'!$X$32=1,"───","")</f>
        <v/>
      </c>
      <c r="AE28" s="164" t="str">
        <f>IF('01_Stations'!$X$33=1,"───","")</f>
        <v/>
      </c>
      <c r="AF28" s="164" t="str">
        <f>IF('01_Stations'!$X$34=1,"───","")</f>
        <v/>
      </c>
      <c r="AG28" s="164" t="str">
        <f>IF('01_Stations'!$X$35=1,"───","")</f>
        <v/>
      </c>
      <c r="AH28" s="164" t="str">
        <f>IF('01_Stations'!$X$36=1,"───","")</f>
        <v/>
      </c>
      <c r="AI28" s="164" t="str">
        <f>IF('01_Stations'!$X$37=1,"───","")</f>
        <v/>
      </c>
      <c r="AJ28" s="164" t="str">
        <f>IF('01_Stations'!$X$38=1,"───","")</f>
        <v/>
      </c>
      <c r="AK28" s="164" t="str">
        <f>IF('01_Stations'!$X$39=1,"───","")</f>
        <v/>
      </c>
      <c r="AL28" s="164" t="str">
        <f>IF('01_Stations'!$X$40=1,"───","")</f>
        <v/>
      </c>
      <c r="AM28" s="164" t="str">
        <f>IF('01_Stations'!$X$41=1,"───","")</f>
        <v/>
      </c>
      <c r="AN28" s="164" t="str">
        <f>IF('01_Stations'!$X$42=1,"───","")</f>
        <v/>
      </c>
      <c r="AO28" s="164" t="str">
        <f>IF('01_Stations'!$X$43=1,"───","")</f>
        <v/>
      </c>
      <c r="AP28" s="164" t="str">
        <f>IF('01_Stations'!$X$44=1,"───","")</f>
        <v/>
      </c>
      <c r="AQ28" s="164" t="str">
        <f>IF('01_Stations'!$X$45=1,"───","")</f>
        <v/>
      </c>
    </row>
    <row r="29" spans="1:43" ht="15" customHeight="1" x14ac:dyDescent="0.3">
      <c r="A29" s="236"/>
      <c r="B29" s="165"/>
      <c r="C29" s="166" t="s">
        <v>2212</v>
      </c>
      <c r="D29" s="164" t="str">
        <f>IF('01_Stations'!$Y$6=1,"───","")</f>
        <v/>
      </c>
      <c r="E29" s="164" t="str">
        <f>IF('01_Stations'!$Y$7=1,"───","")</f>
        <v/>
      </c>
      <c r="F29" s="164" t="str">
        <f>IF('01_Stations'!$Y$8=1,"───","")</f>
        <v/>
      </c>
      <c r="G29" s="164" t="str">
        <f>IF('01_Stations'!$Y$9=1,"───","")</f>
        <v/>
      </c>
      <c r="H29" s="164" t="str">
        <f>IF('01_Stations'!$Y$10=1,"───","")</f>
        <v/>
      </c>
      <c r="I29" s="164" t="str">
        <f>IF('01_Stations'!$Y$11=1,"───","")</f>
        <v/>
      </c>
      <c r="J29" s="164" t="str">
        <f>IF('01_Stations'!$Y$12=1,"───","")</f>
        <v/>
      </c>
      <c r="K29" s="164" t="str">
        <f>IF('01_Stations'!$Y$13=1,"───","")</f>
        <v/>
      </c>
      <c r="L29" s="164" t="str">
        <f>IF('01_Stations'!$Y$14=1,"───","")</f>
        <v/>
      </c>
      <c r="M29" s="164" t="str">
        <f>IF('01_Stations'!$Y$15=1,"───","")</f>
        <v/>
      </c>
      <c r="N29" s="164" t="str">
        <f>IF('01_Stations'!$Y$16=1,"───","")</f>
        <v/>
      </c>
      <c r="O29" s="164" t="str">
        <f>IF('01_Stations'!$Y$17=1,"───","")</f>
        <v/>
      </c>
      <c r="P29" s="164" t="str">
        <f>IF('01_Stations'!$Y$18=1,"───","")</f>
        <v/>
      </c>
      <c r="Q29" s="164" t="str">
        <f>IF('01_Stations'!$Y$19=1,"───","")</f>
        <v/>
      </c>
      <c r="R29" s="164" t="str">
        <f>IF('01_Stations'!$Y$20=1,"───","")</f>
        <v/>
      </c>
      <c r="S29" s="164" t="str">
        <f>IF('01_Stations'!$Y$21=1,"───","")</f>
        <v/>
      </c>
      <c r="T29" s="164" t="str">
        <f>IF('01_Stations'!$Y$22=1,"───","")</f>
        <v/>
      </c>
      <c r="U29" s="164" t="str">
        <f>IF('01_Stations'!$Y$23=1,"───","")</f>
        <v/>
      </c>
      <c r="V29" s="164" t="str">
        <f>IF('01_Stations'!$Y$24=1,"───","")</f>
        <v/>
      </c>
      <c r="W29" s="164" t="str">
        <f>IF('01_Stations'!$Y$25=1,"───","")</f>
        <v/>
      </c>
      <c r="X29" s="164" t="str">
        <f>IF('01_Stations'!$Y$26=1,"───","")</f>
        <v/>
      </c>
      <c r="Y29" s="164" t="str">
        <f>IF('01_Stations'!$Y$27=1,"───","")</f>
        <v/>
      </c>
      <c r="Z29" s="164" t="str">
        <f>IF('01_Stations'!$Y$28=1,"───","")</f>
        <v/>
      </c>
      <c r="AA29" s="164" t="str">
        <f>IF('01_Stations'!$Y$29=1,"───","")</f>
        <v/>
      </c>
      <c r="AB29" s="164" t="str">
        <f>IF('01_Stations'!$Y$30=1,"───","")</f>
        <v/>
      </c>
      <c r="AC29" s="164" t="str">
        <f>IF('01_Stations'!$Y$31=1,"───","")</f>
        <v/>
      </c>
      <c r="AD29" s="164" t="str">
        <f>IF('01_Stations'!$Y$32=1,"───","")</f>
        <v/>
      </c>
      <c r="AE29" s="164" t="str">
        <f>IF('01_Stations'!$Y$33=1,"───","")</f>
        <v/>
      </c>
      <c r="AF29" s="164" t="str">
        <f>IF('01_Stations'!$Y$34=1,"───","")</f>
        <v/>
      </c>
      <c r="AG29" s="164" t="str">
        <f>IF('01_Stations'!$Y$35=1,"───","")</f>
        <v/>
      </c>
      <c r="AH29" s="164" t="str">
        <f>IF('01_Stations'!$Y$36=1,"───","")</f>
        <v/>
      </c>
      <c r="AI29" s="164" t="str">
        <f>IF('01_Stations'!$Y$37=1,"───","")</f>
        <v/>
      </c>
      <c r="AJ29" s="164" t="str">
        <f>IF('01_Stations'!$Y$38=1,"───","")</f>
        <v/>
      </c>
      <c r="AK29" s="164" t="str">
        <f>IF('01_Stations'!$Y$39=1,"───","")</f>
        <v/>
      </c>
      <c r="AL29" s="164" t="str">
        <f>IF('01_Stations'!$Y$40=1,"───","")</f>
        <v/>
      </c>
      <c r="AM29" s="164" t="str">
        <f>IF('01_Stations'!$Y$41=1,"───","")</f>
        <v/>
      </c>
      <c r="AN29" s="164" t="str">
        <f>IF('01_Stations'!$Y$42=1,"───","")</f>
        <v/>
      </c>
      <c r="AO29" s="164" t="str">
        <f>IF('01_Stations'!$Y$43=1,"───","")</f>
        <v/>
      </c>
      <c r="AP29" s="164" t="str">
        <f>IF('01_Stations'!$Y$44=1,"───","")</f>
        <v/>
      </c>
      <c r="AQ29" s="164" t="str">
        <f>IF('01_Stations'!$Y$45=1,"───","")</f>
        <v/>
      </c>
    </row>
    <row r="30" spans="1:43" ht="15" customHeight="1" x14ac:dyDescent="0.3">
      <c r="A30" s="236"/>
      <c r="B30" s="165" t="s">
        <v>2218</v>
      </c>
      <c r="C30" s="166" t="s">
        <v>1622</v>
      </c>
      <c r="D30" s="164" t="str">
        <f>IF('01_Stations'!$Z$6=1,"───","")</f>
        <v/>
      </c>
      <c r="E30" s="164" t="str">
        <f>IF('01_Stations'!$Z$7=1,"───","")</f>
        <v/>
      </c>
      <c r="F30" s="164" t="str">
        <f>IF('01_Stations'!$Z$8=1,"───","")</f>
        <v/>
      </c>
      <c r="G30" s="164" t="str">
        <f>IF('01_Stations'!$Z$9=1,"───","")</f>
        <v/>
      </c>
      <c r="H30" s="164" t="str">
        <f>IF('01_Stations'!$Z$10=1,"───","")</f>
        <v/>
      </c>
      <c r="I30" s="164" t="str">
        <f>IF('01_Stations'!$Z$11=1,"───","")</f>
        <v/>
      </c>
      <c r="J30" s="164" t="str">
        <f>IF('01_Stations'!$Z$12=1,"───","")</f>
        <v/>
      </c>
      <c r="K30" s="164" t="str">
        <f>IF('01_Stations'!$Z$13=1,"───","")</f>
        <v/>
      </c>
      <c r="L30" s="164" t="str">
        <f>IF('01_Stations'!$Z$14=1,"───","")</f>
        <v/>
      </c>
      <c r="M30" s="164" t="str">
        <f>IF('01_Stations'!$Z$15=1,"───","")</f>
        <v/>
      </c>
      <c r="N30" s="164" t="str">
        <f>IF('01_Stations'!$Z$16=1,"───","")</f>
        <v/>
      </c>
      <c r="O30" s="164" t="str">
        <f>IF('01_Stations'!$Z$17=1,"───","")</f>
        <v/>
      </c>
      <c r="P30" s="164" t="str">
        <f>IF('01_Stations'!$Z$18=1,"───","")</f>
        <v/>
      </c>
      <c r="Q30" s="164" t="str">
        <f>IF('01_Stations'!$Z$19=1,"───","")</f>
        <v/>
      </c>
      <c r="R30" s="164" t="str">
        <f>IF('01_Stations'!$Z$20=1,"───","")</f>
        <v/>
      </c>
      <c r="S30" s="164" t="str">
        <f>IF('01_Stations'!$Z$21=1,"───","")</f>
        <v/>
      </c>
      <c r="T30" s="164" t="str">
        <f>IF('01_Stations'!$Z$22=1,"───","")</f>
        <v/>
      </c>
      <c r="U30" s="164" t="str">
        <f>IF('01_Stations'!$Z$23=1,"───","")</f>
        <v/>
      </c>
      <c r="V30" s="164" t="str">
        <f>IF('01_Stations'!$Z$24=1,"───","")</f>
        <v/>
      </c>
      <c r="W30" s="164" t="str">
        <f>IF('01_Stations'!$Z$25=1,"───","")</f>
        <v/>
      </c>
      <c r="X30" s="164" t="str">
        <f>IF('01_Stations'!$Z$26=1,"───","")</f>
        <v/>
      </c>
      <c r="Y30" s="164" t="str">
        <f>IF('01_Stations'!$Z$27=1,"───","")</f>
        <v/>
      </c>
      <c r="Z30" s="164" t="str">
        <f>IF('01_Stations'!$Z$28=1,"───","")</f>
        <v/>
      </c>
      <c r="AA30" s="164" t="str">
        <f>IF('01_Stations'!$Z$29=1,"───","")</f>
        <v/>
      </c>
      <c r="AB30" s="164" t="str">
        <f>IF('01_Stations'!$Z$30=1,"───","")</f>
        <v/>
      </c>
      <c r="AC30" s="164" t="str">
        <f>IF('01_Stations'!$Z$31=1,"───","")</f>
        <v/>
      </c>
      <c r="AD30" s="164" t="str">
        <f>IF('01_Stations'!$Z$32=1,"───","")</f>
        <v/>
      </c>
      <c r="AE30" s="164" t="str">
        <f>IF('01_Stations'!$Z$33=1,"───","")</f>
        <v/>
      </c>
      <c r="AF30" s="164" t="str">
        <f>IF('01_Stations'!$Z$34=1,"───","")</f>
        <v/>
      </c>
      <c r="AG30" s="164" t="str">
        <f>IF('01_Stations'!$Z$35=1,"───","")</f>
        <v/>
      </c>
      <c r="AH30" s="164" t="str">
        <f>IF('01_Stations'!$Z$36=1,"───","")</f>
        <v/>
      </c>
      <c r="AI30" s="164" t="str">
        <f>IF('01_Stations'!$Z$37=1,"───","")</f>
        <v/>
      </c>
      <c r="AJ30" s="164" t="str">
        <f>IF('01_Stations'!$Z$38=1,"───","")</f>
        <v/>
      </c>
      <c r="AK30" s="164" t="str">
        <f>IF('01_Stations'!$Z$39=1,"───","")</f>
        <v/>
      </c>
      <c r="AL30" s="164" t="str">
        <f>IF('01_Stations'!$Z$40=1,"───","")</f>
        <v/>
      </c>
      <c r="AM30" s="164" t="str">
        <f>IF('01_Stations'!$Z$41=1,"───","")</f>
        <v/>
      </c>
      <c r="AN30" s="164" t="str">
        <f>IF('01_Stations'!$Z$42=1,"───","")</f>
        <v/>
      </c>
      <c r="AO30" s="164" t="str">
        <f>IF('01_Stations'!$Z$43=1,"───","")</f>
        <v/>
      </c>
      <c r="AP30" s="164" t="str">
        <f>IF('01_Stations'!$Z$44=1,"───","")</f>
        <v/>
      </c>
      <c r="AQ30" s="164" t="str">
        <f>IF('01_Stations'!$Z$45=1,"───","")</f>
        <v/>
      </c>
    </row>
    <row r="31" spans="1:43" ht="15" customHeight="1" x14ac:dyDescent="0.3">
      <c r="A31" s="236"/>
      <c r="B31" s="165"/>
      <c r="C31" s="166" t="s">
        <v>2212</v>
      </c>
      <c r="D31" s="164" t="str">
        <f>IF('01_Stations'!$AA$6=1,"───","")</f>
        <v/>
      </c>
      <c r="E31" s="164" t="str">
        <f>IF('01_Stations'!$AA$7=1,"───","")</f>
        <v/>
      </c>
      <c r="F31" s="164" t="str">
        <f>IF('01_Stations'!$AA$8=1,"───","")</f>
        <v/>
      </c>
      <c r="G31" s="164" t="str">
        <f>IF('01_Stations'!$AA$9=1,"───","")</f>
        <v/>
      </c>
      <c r="H31" s="164" t="str">
        <f>IF('01_Stations'!$AA$10=1,"───","")</f>
        <v/>
      </c>
      <c r="I31" s="164" t="str">
        <f>IF('01_Stations'!$AA$11=1,"───","")</f>
        <v/>
      </c>
      <c r="J31" s="164" t="str">
        <f>IF('01_Stations'!$AA$12=1,"───","")</f>
        <v/>
      </c>
      <c r="K31" s="164" t="str">
        <f>IF('01_Stations'!$AA$13=1,"───","")</f>
        <v/>
      </c>
      <c r="L31" s="164" t="str">
        <f>IF('01_Stations'!$AA$14=1,"───","")</f>
        <v/>
      </c>
      <c r="M31" s="164" t="str">
        <f>IF('01_Stations'!$AA$15=1,"───","")</f>
        <v/>
      </c>
      <c r="N31" s="164" t="str">
        <f>IF('01_Stations'!$AA$16=1,"───","")</f>
        <v/>
      </c>
      <c r="O31" s="164" t="str">
        <f>IF('01_Stations'!$AA$17=1,"───","")</f>
        <v/>
      </c>
      <c r="P31" s="164" t="str">
        <f>IF('01_Stations'!$AA$18=1,"───","")</f>
        <v/>
      </c>
      <c r="Q31" s="164" t="str">
        <f>IF('01_Stations'!$AA$19=1,"───","")</f>
        <v/>
      </c>
      <c r="R31" s="164" t="str">
        <f>IF('01_Stations'!$AA$20=1,"───","")</f>
        <v/>
      </c>
      <c r="S31" s="164" t="str">
        <f>IF('01_Stations'!$AA$21=1,"───","")</f>
        <v/>
      </c>
      <c r="T31" s="164" t="str">
        <f>IF('01_Stations'!$AA$22=1,"───","")</f>
        <v/>
      </c>
      <c r="U31" s="164" t="str">
        <f>IF('01_Stations'!$AA$23=1,"───","")</f>
        <v/>
      </c>
      <c r="V31" s="164" t="str">
        <f>IF('01_Stations'!$AA$24=1,"───","")</f>
        <v/>
      </c>
      <c r="W31" s="164" t="str">
        <f>IF('01_Stations'!$AA$25=1,"───","")</f>
        <v/>
      </c>
      <c r="X31" s="164" t="str">
        <f>IF('01_Stations'!$AA$26=1,"───","")</f>
        <v/>
      </c>
      <c r="Y31" s="164" t="str">
        <f>IF('01_Stations'!$AA$27=1,"───","")</f>
        <v/>
      </c>
      <c r="Z31" s="164" t="str">
        <f>IF('01_Stations'!$AA$28=1,"───","")</f>
        <v/>
      </c>
      <c r="AA31" s="164" t="str">
        <f>IF('01_Stations'!$AA$29=1,"───","")</f>
        <v/>
      </c>
      <c r="AB31" s="164" t="str">
        <f>IF('01_Stations'!$AA$30=1,"───","")</f>
        <v/>
      </c>
      <c r="AC31" s="164" t="str">
        <f>IF('01_Stations'!$AA$31=1,"───","")</f>
        <v/>
      </c>
      <c r="AD31" s="164" t="str">
        <f>IF('01_Stations'!$AA$32=1,"───","")</f>
        <v/>
      </c>
      <c r="AE31" s="164" t="str">
        <f>IF('01_Stations'!$AA$33=1,"───","")</f>
        <v/>
      </c>
      <c r="AF31" s="164" t="str">
        <f>IF('01_Stations'!$AA$34=1,"───","")</f>
        <v/>
      </c>
      <c r="AG31" s="164" t="str">
        <f>IF('01_Stations'!$AA$35=1,"───","")</f>
        <v/>
      </c>
      <c r="AH31" s="164" t="str">
        <f>IF('01_Stations'!$AA$36=1,"───","")</f>
        <v/>
      </c>
      <c r="AI31" s="164" t="str">
        <f>IF('01_Stations'!$AA$37=1,"───","")</f>
        <v/>
      </c>
      <c r="AJ31" s="164" t="str">
        <f>IF('01_Stations'!$AA$38=1,"───","")</f>
        <v/>
      </c>
      <c r="AK31" s="164" t="str">
        <f>IF('01_Stations'!$AA$39=1,"───","")</f>
        <v/>
      </c>
      <c r="AL31" s="164" t="str">
        <f>IF('01_Stations'!$AA$40=1,"───","")</f>
        <v/>
      </c>
      <c r="AM31" s="164" t="str">
        <f>IF('01_Stations'!$AA$41=1,"───","")</f>
        <v/>
      </c>
      <c r="AN31" s="164" t="str">
        <f>IF('01_Stations'!$AA$42=1,"───","")</f>
        <v/>
      </c>
      <c r="AO31" s="164" t="str">
        <f>IF('01_Stations'!$AA$43=1,"───","")</f>
        <v/>
      </c>
      <c r="AP31" s="164" t="str">
        <f>IF('01_Stations'!$AA$44=1,"───","")</f>
        <v/>
      </c>
      <c r="AQ31" s="164" t="str">
        <f>IF('01_Stations'!$AA$45=1,"───","")</f>
        <v/>
      </c>
    </row>
    <row r="32" spans="1:43" ht="15" customHeight="1" x14ac:dyDescent="0.3">
      <c r="A32" s="236"/>
      <c r="B32" s="165" t="s">
        <v>200</v>
      </c>
      <c r="C32" s="166" t="s">
        <v>2219</v>
      </c>
      <c r="D32" s="164" t="str">
        <f>IF('01_Stations'!$AB$6=1,"───","")</f>
        <v/>
      </c>
      <c r="E32" s="164" t="str">
        <f>IF('01_Stations'!$AB$7=1,"───","")</f>
        <v/>
      </c>
      <c r="F32" s="164" t="str">
        <f>IF('01_Stations'!$AB$8=1,"───","")</f>
        <v/>
      </c>
      <c r="G32" s="164" t="str">
        <f>IF('01_Stations'!$AB$9=1,"───","")</f>
        <v/>
      </c>
      <c r="H32" s="164" t="str">
        <f>IF('01_Stations'!$AB$10=1,"───","")</f>
        <v/>
      </c>
      <c r="I32" s="164" t="str">
        <f>IF('01_Stations'!$AB$11=1,"───","")</f>
        <v/>
      </c>
      <c r="J32" s="164" t="str">
        <f>IF('01_Stations'!$AB$12=1,"───","")</f>
        <v/>
      </c>
      <c r="K32" s="164" t="str">
        <f>IF('01_Stations'!$AB$13=1,"───","")</f>
        <v/>
      </c>
      <c r="L32" s="164" t="str">
        <f>IF('01_Stations'!$AB$14=1,"───","")</f>
        <v/>
      </c>
      <c r="M32" s="164" t="str">
        <f>IF('01_Stations'!$AB$15=1,"───","")</f>
        <v/>
      </c>
      <c r="N32" s="164" t="str">
        <f>IF('01_Stations'!$AB$16=1,"───","")</f>
        <v/>
      </c>
      <c r="O32" s="164" t="str">
        <f>IF('01_Stations'!$AB$17=1,"───","")</f>
        <v/>
      </c>
      <c r="P32" s="164" t="str">
        <f>IF('01_Stations'!$AB$18=1,"───","")</f>
        <v/>
      </c>
      <c r="Q32" s="164" t="str">
        <f>IF('01_Stations'!$AB$19=1,"───","")</f>
        <v/>
      </c>
      <c r="R32" s="164" t="str">
        <f>IF('01_Stations'!$AB$20=1,"───","")</f>
        <v/>
      </c>
      <c r="S32" s="164" t="str">
        <f>IF('01_Stations'!$AB$21=1,"───","")</f>
        <v/>
      </c>
      <c r="T32" s="164" t="str">
        <f>IF('01_Stations'!$AB$22=1,"───","")</f>
        <v/>
      </c>
      <c r="U32" s="164" t="str">
        <f>IF('01_Stations'!$AB$23=1,"───","")</f>
        <v/>
      </c>
      <c r="V32" s="164" t="str">
        <f>IF('01_Stations'!$AB$24=1,"───","")</f>
        <v/>
      </c>
      <c r="W32" s="164" t="str">
        <f>IF('01_Stations'!$AB$25=1,"───","")</f>
        <v/>
      </c>
      <c r="X32" s="164" t="str">
        <f>IF('01_Stations'!$AB$26=1,"───","")</f>
        <v/>
      </c>
      <c r="Y32" s="164" t="str">
        <f>IF('01_Stations'!$AB$27=1,"───","")</f>
        <v/>
      </c>
      <c r="Z32" s="164" t="str">
        <f>IF('01_Stations'!$AB$28=1,"───","")</f>
        <v/>
      </c>
      <c r="AA32" s="164" t="str">
        <f>IF('01_Stations'!$AB$29=1,"───","")</f>
        <v/>
      </c>
      <c r="AB32" s="164" t="str">
        <f>IF('01_Stations'!$AB$30=1,"───","")</f>
        <v/>
      </c>
      <c r="AC32" s="164" t="str">
        <f>IF('01_Stations'!$AB$31=1,"───","")</f>
        <v/>
      </c>
      <c r="AD32" s="164" t="str">
        <f>IF('01_Stations'!$AB$32=1,"───","")</f>
        <v/>
      </c>
      <c r="AE32" s="164" t="str">
        <f>IF('01_Stations'!$AB$33=1,"───","")</f>
        <v/>
      </c>
      <c r="AF32" s="164" t="str">
        <f>IF('01_Stations'!$AB$34=1,"───","")</f>
        <v/>
      </c>
      <c r="AG32" s="164" t="str">
        <f>IF('01_Stations'!$AB$35=1,"───","")</f>
        <v/>
      </c>
      <c r="AH32" s="164" t="str">
        <f>IF('01_Stations'!$AB$36=1,"───","")</f>
        <v/>
      </c>
      <c r="AI32" s="164" t="str">
        <f>IF('01_Stations'!$AB$37=1,"───","")</f>
        <v/>
      </c>
      <c r="AJ32" s="164" t="str">
        <f>IF('01_Stations'!$AB$38=1,"───","")</f>
        <v/>
      </c>
      <c r="AK32" s="164" t="str">
        <f>IF('01_Stations'!$AB$39=1,"───","")</f>
        <v/>
      </c>
      <c r="AL32" s="164" t="str">
        <f>IF('01_Stations'!$AB$40=1,"───","")</f>
        <v/>
      </c>
      <c r="AM32" s="164" t="str">
        <f>IF('01_Stations'!$AB$41=1,"───","")</f>
        <v/>
      </c>
      <c r="AN32" s="164" t="str">
        <f>IF('01_Stations'!$AB$42=1,"───","")</f>
        <v/>
      </c>
      <c r="AO32" s="164" t="str">
        <f>IF('01_Stations'!$AB$43=1,"───","")</f>
        <v/>
      </c>
      <c r="AP32" s="164" t="str">
        <f>IF('01_Stations'!$AB$44=1,"───","")</f>
        <v/>
      </c>
      <c r="AQ32" s="164" t="str">
        <f>IF('01_Stations'!$AB$45=1,"───","")</f>
        <v/>
      </c>
    </row>
    <row r="33" spans="1:43" ht="15" customHeight="1" x14ac:dyDescent="0.3">
      <c r="A33" s="236"/>
      <c r="B33" s="165"/>
      <c r="C33" s="166" t="s">
        <v>2220</v>
      </c>
      <c r="D33" s="164" t="str">
        <f>IF(N('01_Stations'!$AC$6)&gt;0,'01_Stations'!$AC$6,"")</f>
        <v/>
      </c>
      <c r="E33" s="164" t="str">
        <f>IF(N('01_Stations'!$AC$7)&gt;0,'01_Stations'!$AC$7,"")</f>
        <v/>
      </c>
      <c r="F33" s="164" t="str">
        <f>IF(N('01_Stations'!$AC$8)&gt;0,'01_Stations'!$AC$8,"")</f>
        <v/>
      </c>
      <c r="G33" s="164" t="str">
        <f>IF(N('01_Stations'!$AC$9)&gt;0,'01_Stations'!$AC$9,"")</f>
        <v/>
      </c>
      <c r="H33" s="164" t="str">
        <f>IF(N('01_Stations'!$AC$10)&gt;0,'01_Stations'!$AC$10,"")</f>
        <v/>
      </c>
      <c r="I33" s="164" t="str">
        <f>IF(N('01_Stations'!$AC$11)&gt;0,'01_Stations'!$AC$11,"")</f>
        <v/>
      </c>
      <c r="J33" s="164" t="str">
        <f>IF(N('01_Stations'!$AC$12)&gt;0,'01_Stations'!$AC$12,"")</f>
        <v/>
      </c>
      <c r="K33" s="164" t="str">
        <f>IF(N('01_Stations'!$AC$13)&gt;0,'01_Stations'!$AC$13,"")</f>
        <v/>
      </c>
      <c r="L33" s="164" t="str">
        <f>IF(N('01_Stations'!$AC$14)&gt;0,'01_Stations'!$AC$14,"")</f>
        <v/>
      </c>
      <c r="M33" s="164" t="str">
        <f>IF(N('01_Stations'!$AC$15)&gt;0,'01_Stations'!$AC$15,"")</f>
        <v/>
      </c>
      <c r="N33" s="164" t="str">
        <f>IF(N('01_Stations'!$AC$16)&gt;0,'01_Stations'!$AC$16,"")</f>
        <v/>
      </c>
      <c r="O33" s="164" t="str">
        <f>IF(N('01_Stations'!$AC$17)&gt;0,'01_Stations'!$AC$17,"")</f>
        <v/>
      </c>
      <c r="P33" s="164" t="str">
        <f>IF(N('01_Stations'!$AC$18)&gt;0,'01_Stations'!$AC$18,"")</f>
        <v/>
      </c>
      <c r="Q33" s="164" t="str">
        <f>IF(N('01_Stations'!$AC$19)&gt;0,'01_Stations'!$AC$19,"")</f>
        <v/>
      </c>
      <c r="R33" s="164" t="str">
        <f>IF(N('01_Stations'!$AC$20)&gt;0,'01_Stations'!$AC$20,"")</f>
        <v/>
      </c>
      <c r="S33" s="164" t="str">
        <f>IF(N('01_Stations'!$AC$21)&gt;0,'01_Stations'!$AC$21,"")</f>
        <v/>
      </c>
      <c r="T33" s="164" t="str">
        <f>IF(N('01_Stations'!$AC$22)&gt;0,'01_Stations'!$AC$22,"")</f>
        <v/>
      </c>
      <c r="U33" s="164" t="str">
        <f>IF(N('01_Stations'!$AC$23)&gt;0,'01_Stations'!$AC$23,"")</f>
        <v/>
      </c>
      <c r="V33" s="164" t="str">
        <f>IF(N('01_Stations'!$AC$24)&gt;0,'01_Stations'!$AC$24,"")</f>
        <v/>
      </c>
      <c r="W33" s="164" t="str">
        <f>IF(N('01_Stations'!$AC$25)&gt;0,'01_Stations'!$AC$25,"")</f>
        <v/>
      </c>
      <c r="X33" s="164" t="str">
        <f>IF(N('01_Stations'!$AC$26)&gt;0,'01_Stations'!$AC$26,"")</f>
        <v/>
      </c>
      <c r="Y33" s="164" t="str">
        <f>IF(N('01_Stations'!$AC$27)&gt;0,'01_Stations'!$AC$27,"")</f>
        <v/>
      </c>
      <c r="Z33" s="164" t="str">
        <f>IF(N('01_Stations'!$AC$28)&gt;0,'01_Stations'!$AC$28,"")</f>
        <v/>
      </c>
      <c r="AA33" s="164" t="str">
        <f>IF(N('01_Stations'!$AC$29)&gt;0,'01_Stations'!$AC$29,"")</f>
        <v/>
      </c>
      <c r="AB33" s="164" t="str">
        <f>IF(N('01_Stations'!$AC$30)&gt;0,'01_Stations'!$AC$30,"")</f>
        <v/>
      </c>
      <c r="AC33" s="164" t="str">
        <f>IF(N('01_Stations'!$AC$31)&gt;0,'01_Stations'!$AC$31,"")</f>
        <v/>
      </c>
      <c r="AD33" s="164" t="str">
        <f>IF(N('01_Stations'!$AC$32)&gt;0,'01_Stations'!$AC$32,"")</f>
        <v/>
      </c>
      <c r="AE33" s="164" t="str">
        <f>IF(N('01_Stations'!$AC$33)&gt;0,'01_Stations'!$AC$33,"")</f>
        <v/>
      </c>
      <c r="AF33" s="164" t="str">
        <f>IF(N('01_Stations'!$AC$34)&gt;0,'01_Stations'!$AC$34,"")</f>
        <v/>
      </c>
      <c r="AG33" s="164" t="str">
        <f>IF(N('01_Stations'!$AC$35)&gt;0,'01_Stations'!$AC$35,"")</f>
        <v/>
      </c>
      <c r="AH33" s="164" t="str">
        <f>IF(N('01_Stations'!$AC$36)&gt;0,'01_Stations'!$AC$36,"")</f>
        <v/>
      </c>
      <c r="AI33" s="164" t="str">
        <f>IF(N('01_Stations'!$AC$37)&gt;0,'01_Stations'!$AC$37,"")</f>
        <v/>
      </c>
      <c r="AJ33" s="164" t="str">
        <f>IF(N('01_Stations'!$AC$38)&gt;0,'01_Stations'!$AC$38,"")</f>
        <v/>
      </c>
      <c r="AK33" s="164" t="str">
        <f>IF(N('01_Stations'!$AC$39)&gt;0,'01_Stations'!$AC$39,"")</f>
        <v/>
      </c>
      <c r="AL33" s="164" t="str">
        <f>IF(N('01_Stations'!$AC$40)&gt;0,'01_Stations'!$AC$40,"")</f>
        <v/>
      </c>
      <c r="AM33" s="164" t="str">
        <f>IF(N('01_Stations'!$AC$41)&gt;0,'01_Stations'!$AC$41,"")</f>
        <v/>
      </c>
      <c r="AN33" s="164" t="str">
        <f>IF(N('01_Stations'!$AC$42)&gt;0,'01_Stations'!$AC$42,"")</f>
        <v/>
      </c>
      <c r="AO33" s="164" t="str">
        <f>IF(N('01_Stations'!$AC$43)&gt;0,'01_Stations'!$AC$43,"")</f>
        <v/>
      </c>
      <c r="AP33" s="164" t="str">
        <f>IF(N('01_Stations'!$AC$44)&gt;0,'01_Stations'!$AC$44,"")</f>
        <v/>
      </c>
      <c r="AQ33" s="164" t="str">
        <f>IF(N('01_Stations'!$AC$45)&gt;0,'01_Stations'!$AC$45,"")</f>
        <v/>
      </c>
    </row>
    <row r="34" spans="1:43" ht="15" customHeight="1" x14ac:dyDescent="0.3">
      <c r="A34" s="236"/>
      <c r="B34" s="165" t="s">
        <v>2221</v>
      </c>
      <c r="C34" s="166" t="s">
        <v>1622</v>
      </c>
      <c r="D34" s="164" t="str">
        <f>IF(N('01_Stations'!$AD$6)&gt;0,'01_Stations'!$AD$6,"")</f>
        <v/>
      </c>
      <c r="E34" s="164" t="str">
        <f>IF(N('01_Stations'!$AD$7)&gt;0,'01_Stations'!$AD$7,"")</f>
        <v/>
      </c>
      <c r="F34" s="164" t="str">
        <f>IF(N('01_Stations'!$AD$8)&gt;0,'01_Stations'!$AD$8,"")</f>
        <v/>
      </c>
      <c r="G34" s="164" t="str">
        <f>IF(N('01_Stations'!$AD$9)&gt;0,'01_Stations'!$AD$9,"")</f>
        <v/>
      </c>
      <c r="H34" s="164" t="str">
        <f>IF(N('01_Stations'!$AD$10)&gt;0,'01_Stations'!$AD$10,"")</f>
        <v/>
      </c>
      <c r="I34" s="164" t="str">
        <f>IF(N('01_Stations'!$AD$11)&gt;0,'01_Stations'!$AD$11,"")</f>
        <v/>
      </c>
      <c r="J34" s="164" t="str">
        <f>IF(N('01_Stations'!$AD$12)&gt;0,'01_Stations'!$AD$12,"")</f>
        <v/>
      </c>
      <c r="K34" s="164" t="str">
        <f>IF(N('01_Stations'!$AD$13)&gt;0,'01_Stations'!$AD$13,"")</f>
        <v/>
      </c>
      <c r="L34" s="164" t="str">
        <f>IF(N('01_Stations'!$AD$14)&gt;0,'01_Stations'!$AD$14,"")</f>
        <v/>
      </c>
      <c r="M34" s="164" t="str">
        <f>IF(N('01_Stations'!$AD$15)&gt;0,'01_Stations'!$AD$15,"")</f>
        <v/>
      </c>
      <c r="N34" s="164" t="str">
        <f>IF(N('01_Stations'!$AD$16)&gt;0,'01_Stations'!$AD$16,"")</f>
        <v/>
      </c>
      <c r="O34" s="164" t="str">
        <f>IF(N('01_Stations'!$AD$17)&gt;0,'01_Stations'!$AD$17,"")</f>
        <v/>
      </c>
      <c r="P34" s="164" t="str">
        <f>IF(N('01_Stations'!$AD$18)&gt;0,'01_Stations'!$AD$18,"")</f>
        <v/>
      </c>
      <c r="Q34" s="164" t="str">
        <f>IF(N('01_Stations'!$AD$19)&gt;0,'01_Stations'!$AD$19,"")</f>
        <v/>
      </c>
      <c r="R34" s="164" t="str">
        <f>IF(N('01_Stations'!$AD$20)&gt;0,'01_Stations'!$AD$20,"")</f>
        <v/>
      </c>
      <c r="S34" s="164" t="str">
        <f>IF(N('01_Stations'!$AD$21)&gt;0,'01_Stations'!$AD$21,"")</f>
        <v/>
      </c>
      <c r="T34" s="164" t="str">
        <f>IF(N('01_Stations'!$AD$22)&gt;0,'01_Stations'!$AD$22,"")</f>
        <v/>
      </c>
      <c r="U34" s="164" t="str">
        <f>IF(N('01_Stations'!$AD$23)&gt;0,'01_Stations'!$AD$23,"")</f>
        <v/>
      </c>
      <c r="V34" s="164" t="str">
        <f>IF(N('01_Stations'!$AD$24)&gt;0,'01_Stations'!$AD$24,"")</f>
        <v/>
      </c>
      <c r="W34" s="164" t="str">
        <f>IF(N('01_Stations'!$AD$25)&gt;0,'01_Stations'!$AD$25,"")</f>
        <v/>
      </c>
      <c r="X34" s="164" t="str">
        <f>IF(N('01_Stations'!$AD$26)&gt;0,'01_Stations'!$AD$26,"")</f>
        <v/>
      </c>
      <c r="Y34" s="164" t="str">
        <f>IF(N('01_Stations'!$AD$27)&gt;0,'01_Stations'!$AD$27,"")</f>
        <v/>
      </c>
      <c r="Z34" s="164" t="str">
        <f>IF(N('01_Stations'!$AD$28)&gt;0,'01_Stations'!$AD$28,"")</f>
        <v/>
      </c>
      <c r="AA34" s="164" t="str">
        <f>IF(N('01_Stations'!$AD$29)&gt;0,'01_Stations'!$AD$29,"")</f>
        <v/>
      </c>
      <c r="AB34" s="164" t="str">
        <f>IF(N('01_Stations'!$AD$30)&gt;0,'01_Stations'!$AD$30,"")</f>
        <v/>
      </c>
      <c r="AC34" s="164" t="str">
        <f>IF(N('01_Stations'!$AD$31)&gt;0,'01_Stations'!$AD$31,"")</f>
        <v/>
      </c>
      <c r="AD34" s="164" t="str">
        <f>IF(N('01_Stations'!$AD$32)&gt;0,'01_Stations'!$AD$32,"")</f>
        <v/>
      </c>
      <c r="AE34" s="164" t="str">
        <f>IF(N('01_Stations'!$AD$33)&gt;0,'01_Stations'!$AD$33,"")</f>
        <v/>
      </c>
      <c r="AF34" s="164" t="str">
        <f>IF(N('01_Stations'!$AD$34)&gt;0,'01_Stations'!$AD$34,"")</f>
        <v/>
      </c>
      <c r="AG34" s="164" t="str">
        <f>IF(N('01_Stations'!$AD$35)&gt;0,'01_Stations'!$AD$35,"")</f>
        <v/>
      </c>
      <c r="AH34" s="164" t="str">
        <f>IF(N('01_Stations'!$AD$36)&gt;0,'01_Stations'!$AD$36,"")</f>
        <v/>
      </c>
      <c r="AI34" s="164" t="str">
        <f>IF(N('01_Stations'!$AD$37)&gt;0,'01_Stations'!$AD$37,"")</f>
        <v/>
      </c>
      <c r="AJ34" s="164" t="str">
        <f>IF(N('01_Stations'!$AD$38)&gt;0,'01_Stations'!$AD$38,"")</f>
        <v/>
      </c>
      <c r="AK34" s="164" t="str">
        <f>IF(N('01_Stations'!$AD$39)&gt;0,'01_Stations'!$AD$39,"")</f>
        <v/>
      </c>
      <c r="AL34" s="164" t="str">
        <f>IF(N('01_Stations'!$AD$40)&gt;0,'01_Stations'!$AD$40,"")</f>
        <v/>
      </c>
      <c r="AM34" s="164" t="str">
        <f>IF(N('01_Stations'!$AD$41)&gt;0,'01_Stations'!$AD$41,"")</f>
        <v/>
      </c>
      <c r="AN34" s="164" t="str">
        <f>IF(N('01_Stations'!$AD$42)&gt;0,'01_Stations'!$AD$42,"")</f>
        <v/>
      </c>
      <c r="AO34" s="164" t="str">
        <f>IF(N('01_Stations'!$AD$43)&gt;0,'01_Stations'!$AD$43,"")</f>
        <v/>
      </c>
      <c r="AP34" s="164" t="str">
        <f>IF(N('01_Stations'!$AD$44)&gt;0,'01_Stations'!$AD$44,"")</f>
        <v/>
      </c>
      <c r="AQ34" s="164" t="str">
        <f>IF(N('01_Stations'!$AD$45)&gt;0,'01_Stations'!$AD$45,"")</f>
        <v/>
      </c>
    </row>
    <row r="35" spans="1:43" ht="15" customHeight="1" x14ac:dyDescent="0.3">
      <c r="A35" s="236"/>
      <c r="B35" s="165"/>
      <c r="C35" s="166" t="s">
        <v>2212</v>
      </c>
      <c r="D35" s="164" t="str">
        <f>IF(N('01_Stations'!$AE$6)&gt;0,'01_Stations'!$AE$6,"")</f>
        <v/>
      </c>
      <c r="E35" s="164" t="str">
        <f>IF(N('01_Stations'!$AE$7)&gt;0,'01_Stations'!$AE$7,"")</f>
        <v/>
      </c>
      <c r="F35" s="164" t="str">
        <f>IF(N('01_Stations'!$AE$8)&gt;0,'01_Stations'!$AE$8,"")</f>
        <v/>
      </c>
      <c r="G35" s="164" t="str">
        <f>IF(N('01_Stations'!$AE$9)&gt;0,'01_Stations'!$AE$9,"")</f>
        <v/>
      </c>
      <c r="H35" s="164" t="str">
        <f>IF(N('01_Stations'!$AE$10)&gt;0,'01_Stations'!$AE$10,"")</f>
        <v/>
      </c>
      <c r="I35" s="164" t="str">
        <f>IF(N('01_Stations'!$AE$11)&gt;0,'01_Stations'!$AE$11,"")</f>
        <v/>
      </c>
      <c r="J35" s="164" t="str">
        <f>IF(N('01_Stations'!$AE$12)&gt;0,'01_Stations'!$AE$12,"")</f>
        <v/>
      </c>
      <c r="K35" s="164" t="str">
        <f>IF(N('01_Stations'!$AE$13)&gt;0,'01_Stations'!$AE$13,"")</f>
        <v/>
      </c>
      <c r="L35" s="164" t="str">
        <f>IF(N('01_Stations'!$AE$14)&gt;0,'01_Stations'!$AE$14,"")</f>
        <v/>
      </c>
      <c r="M35" s="164" t="str">
        <f>IF(N('01_Stations'!$AE$15)&gt;0,'01_Stations'!$AE$15,"")</f>
        <v/>
      </c>
      <c r="N35" s="164" t="str">
        <f>IF(N('01_Stations'!$AE$16)&gt;0,'01_Stations'!$AE$16,"")</f>
        <v/>
      </c>
      <c r="O35" s="164" t="str">
        <f>IF(N('01_Stations'!$AE$17)&gt;0,'01_Stations'!$AE$17,"")</f>
        <v/>
      </c>
      <c r="P35" s="164" t="str">
        <f>IF(N('01_Stations'!$AE$18)&gt;0,'01_Stations'!$AE$18,"")</f>
        <v/>
      </c>
      <c r="Q35" s="164" t="str">
        <f>IF(N('01_Stations'!$AE$19)&gt;0,'01_Stations'!$AE$19,"")</f>
        <v/>
      </c>
      <c r="R35" s="164" t="str">
        <f>IF(N('01_Stations'!$AE$20)&gt;0,'01_Stations'!$AE$20,"")</f>
        <v/>
      </c>
      <c r="S35" s="164" t="str">
        <f>IF(N('01_Stations'!$AE$21)&gt;0,'01_Stations'!$AE$21,"")</f>
        <v/>
      </c>
      <c r="T35" s="164" t="str">
        <f>IF(N('01_Stations'!$AE$22)&gt;0,'01_Stations'!$AE$22,"")</f>
        <v/>
      </c>
      <c r="U35" s="164" t="str">
        <f>IF(N('01_Stations'!$AE$23)&gt;0,'01_Stations'!$AE$23,"")</f>
        <v/>
      </c>
      <c r="V35" s="164" t="str">
        <f>IF(N('01_Stations'!$AE$24)&gt;0,'01_Stations'!$AE$24,"")</f>
        <v/>
      </c>
      <c r="W35" s="164" t="str">
        <f>IF(N('01_Stations'!$AE$25)&gt;0,'01_Stations'!$AE$25,"")</f>
        <v/>
      </c>
      <c r="X35" s="164" t="str">
        <f>IF(N('01_Stations'!$AE$26)&gt;0,'01_Stations'!$AE$26,"")</f>
        <v/>
      </c>
      <c r="Y35" s="164" t="str">
        <f>IF(N('01_Stations'!$AE$27)&gt;0,'01_Stations'!$AE$27,"")</f>
        <v/>
      </c>
      <c r="Z35" s="164" t="str">
        <f>IF(N('01_Stations'!$AE$28)&gt;0,'01_Stations'!$AE$28,"")</f>
        <v/>
      </c>
      <c r="AA35" s="164" t="str">
        <f>IF(N('01_Stations'!$AE$29)&gt;0,'01_Stations'!$AE$29,"")</f>
        <v/>
      </c>
      <c r="AB35" s="164" t="str">
        <f>IF(N('01_Stations'!$AE$30)&gt;0,'01_Stations'!$AE$30,"")</f>
        <v/>
      </c>
      <c r="AC35" s="164" t="str">
        <f>IF(N('01_Stations'!$AE$31)&gt;0,'01_Stations'!$AE$31,"")</f>
        <v/>
      </c>
      <c r="AD35" s="164" t="str">
        <f>IF(N('01_Stations'!$AE$32)&gt;0,'01_Stations'!$AE$32,"")</f>
        <v/>
      </c>
      <c r="AE35" s="164" t="str">
        <f>IF(N('01_Stations'!$AE$33)&gt;0,'01_Stations'!$AE$33,"")</f>
        <v/>
      </c>
      <c r="AF35" s="164" t="str">
        <f>IF(N('01_Stations'!$AE$34)&gt;0,'01_Stations'!$AE$34,"")</f>
        <v/>
      </c>
      <c r="AG35" s="164" t="str">
        <f>IF(N('01_Stations'!$AE$35)&gt;0,'01_Stations'!$AE$35,"")</f>
        <v/>
      </c>
      <c r="AH35" s="164" t="str">
        <f>IF(N('01_Stations'!$AE$36)&gt;0,'01_Stations'!$AE$36,"")</f>
        <v/>
      </c>
      <c r="AI35" s="164" t="str">
        <f>IF(N('01_Stations'!$AE$37)&gt;0,'01_Stations'!$AE$37,"")</f>
        <v/>
      </c>
      <c r="AJ35" s="164" t="str">
        <f>IF(N('01_Stations'!$AE$38)&gt;0,'01_Stations'!$AE$38,"")</f>
        <v/>
      </c>
      <c r="AK35" s="164" t="str">
        <f>IF(N('01_Stations'!$AE$39)&gt;0,'01_Stations'!$AE$39,"")</f>
        <v/>
      </c>
      <c r="AL35" s="164" t="str">
        <f>IF(N('01_Stations'!$AE$40)&gt;0,'01_Stations'!$AE$40,"")</f>
        <v/>
      </c>
      <c r="AM35" s="164" t="str">
        <f>IF(N('01_Stations'!$AE$41)&gt;0,'01_Stations'!$AE$41,"")</f>
        <v/>
      </c>
      <c r="AN35" s="164" t="str">
        <f>IF(N('01_Stations'!$AE$42)&gt;0,'01_Stations'!$AE$42,"")</f>
        <v/>
      </c>
      <c r="AO35" s="164" t="str">
        <f>IF(N('01_Stations'!$AE$43)&gt;0,'01_Stations'!$AE$43,"")</f>
        <v/>
      </c>
      <c r="AP35" s="164" t="str">
        <f>IF(N('01_Stations'!$AE$44)&gt;0,'01_Stations'!$AE$44,"")</f>
        <v/>
      </c>
      <c r="AQ35" s="164" t="str">
        <f>IF(N('01_Stations'!$AE$45)&gt;0,'01_Stations'!$AE$45,"")</f>
        <v/>
      </c>
    </row>
    <row r="36" spans="1:43" ht="15" customHeight="1" x14ac:dyDescent="0.3">
      <c r="A36" s="236"/>
      <c r="B36" s="165" t="s">
        <v>1942</v>
      </c>
      <c r="C36" s="166" t="s">
        <v>1622</v>
      </c>
      <c r="D36" s="164" t="str">
        <f>IF('01_Stations'!$AF$6=1,"───","")</f>
        <v/>
      </c>
      <c r="E36" s="164" t="str">
        <f>IF('01_Stations'!$AF$7=1,"───","")</f>
        <v/>
      </c>
      <c r="F36" s="164" t="str">
        <f>IF('01_Stations'!$AF$8=1,"───","")</f>
        <v/>
      </c>
      <c r="G36" s="164" t="str">
        <f>IF('01_Stations'!$AF$9=1,"───","")</f>
        <v/>
      </c>
      <c r="H36" s="164" t="str">
        <f>IF('01_Stations'!$AF$10=1,"───","")</f>
        <v/>
      </c>
      <c r="I36" s="164" t="str">
        <f>IF('01_Stations'!$AF$11=1,"───","")</f>
        <v/>
      </c>
      <c r="J36" s="164" t="str">
        <f>IF('01_Stations'!$AF$12=1,"───","")</f>
        <v/>
      </c>
      <c r="K36" s="164" t="str">
        <f>IF('01_Stations'!$AF$13=1,"───","")</f>
        <v/>
      </c>
      <c r="L36" s="164" t="str">
        <f>IF('01_Stations'!$AF$14=1,"───","")</f>
        <v/>
      </c>
      <c r="M36" s="164" t="str">
        <f>IF('01_Stations'!$AF$15=1,"───","")</f>
        <v/>
      </c>
      <c r="N36" s="164" t="str">
        <f>IF('01_Stations'!$AF$16=1,"───","")</f>
        <v/>
      </c>
      <c r="O36" s="164" t="str">
        <f>IF('01_Stations'!$AF$17=1,"───","")</f>
        <v/>
      </c>
      <c r="P36" s="164" t="str">
        <f>IF('01_Stations'!$AF$18=1,"───","")</f>
        <v/>
      </c>
      <c r="Q36" s="164" t="str">
        <f>IF('01_Stations'!$AF$19=1,"───","")</f>
        <v/>
      </c>
      <c r="R36" s="164" t="str">
        <f>IF('01_Stations'!$AF$20=1,"───","")</f>
        <v/>
      </c>
      <c r="S36" s="164" t="str">
        <f>IF('01_Stations'!$AF$21=1,"───","")</f>
        <v/>
      </c>
      <c r="T36" s="164" t="str">
        <f>IF('01_Stations'!$AF$22=1,"───","")</f>
        <v/>
      </c>
      <c r="U36" s="164" t="str">
        <f>IF('01_Stations'!$AF$23=1,"───","")</f>
        <v/>
      </c>
      <c r="V36" s="164" t="str">
        <f>IF('01_Stations'!$AF$24=1,"───","")</f>
        <v/>
      </c>
      <c r="W36" s="164" t="str">
        <f>IF('01_Stations'!$AF$25=1,"───","")</f>
        <v/>
      </c>
      <c r="X36" s="164" t="str">
        <f>IF('01_Stations'!$AF$26=1,"───","")</f>
        <v/>
      </c>
      <c r="Y36" s="164" t="str">
        <f>IF('01_Stations'!$AF$27=1,"───","")</f>
        <v/>
      </c>
      <c r="Z36" s="164" t="str">
        <f>IF('01_Stations'!$AF$28=1,"───","")</f>
        <v/>
      </c>
      <c r="AA36" s="164" t="str">
        <f>IF('01_Stations'!$AF$29=1,"───","")</f>
        <v/>
      </c>
      <c r="AB36" s="164" t="str">
        <f>IF('01_Stations'!$AF$30=1,"───","")</f>
        <v/>
      </c>
      <c r="AC36" s="164" t="str">
        <f>IF('01_Stations'!$AF$31=1,"───","")</f>
        <v/>
      </c>
      <c r="AD36" s="164" t="str">
        <f>IF('01_Stations'!$AF$32=1,"───","")</f>
        <v/>
      </c>
      <c r="AE36" s="164" t="str">
        <f>IF('01_Stations'!$AF$33=1,"───","")</f>
        <v/>
      </c>
      <c r="AF36" s="164" t="str">
        <f>IF('01_Stations'!$AF$34=1,"───","")</f>
        <v/>
      </c>
      <c r="AG36" s="164" t="str">
        <f>IF('01_Stations'!$AF$35=1,"───","")</f>
        <v/>
      </c>
      <c r="AH36" s="164" t="str">
        <f>IF('01_Stations'!$AF$36=1,"───","")</f>
        <v/>
      </c>
      <c r="AI36" s="164" t="str">
        <f>IF('01_Stations'!$AF$37=1,"───","")</f>
        <v/>
      </c>
      <c r="AJ36" s="164" t="str">
        <f>IF('01_Stations'!$AF$38=1,"───","")</f>
        <v/>
      </c>
      <c r="AK36" s="164" t="str">
        <f>IF('01_Stations'!$AF$39=1,"───","")</f>
        <v/>
      </c>
      <c r="AL36" s="164" t="str">
        <f>IF('01_Stations'!$AF$40=1,"───","")</f>
        <v/>
      </c>
      <c r="AM36" s="164" t="str">
        <f>IF('01_Stations'!$AF$41=1,"───","")</f>
        <v/>
      </c>
      <c r="AN36" s="164" t="str">
        <f>IF('01_Stations'!$AF$42=1,"───","")</f>
        <v/>
      </c>
      <c r="AO36" s="164" t="str">
        <f>IF('01_Stations'!$AF$43=1,"───","")</f>
        <v/>
      </c>
      <c r="AP36" s="164" t="str">
        <f>IF('01_Stations'!$AF$44=1,"───","")</f>
        <v/>
      </c>
      <c r="AQ36" s="164" t="str">
        <f>IF('01_Stations'!$AF$45=1,"───","")</f>
        <v/>
      </c>
    </row>
    <row r="37" spans="1:43" ht="15" customHeight="1" x14ac:dyDescent="0.3">
      <c r="A37" s="237"/>
      <c r="B37" s="165"/>
      <c r="C37" s="166" t="s">
        <v>2212</v>
      </c>
      <c r="D37" s="164" t="str">
        <f>IF('01_Stations'!$AG$6=1,"───","")</f>
        <v/>
      </c>
      <c r="E37" s="164" t="str">
        <f>IF('01_Stations'!$AG$7=1,"───","")</f>
        <v/>
      </c>
      <c r="F37" s="164" t="str">
        <f>IF('01_Stations'!$AG$8=1,"───","")</f>
        <v/>
      </c>
      <c r="G37" s="164" t="str">
        <f>IF('01_Stations'!$AG$9=1,"───","")</f>
        <v/>
      </c>
      <c r="H37" s="164" t="str">
        <f>IF('01_Stations'!$AG$10=1,"───","")</f>
        <v/>
      </c>
      <c r="I37" s="164" t="str">
        <f>IF('01_Stations'!$AG$11=1,"───","")</f>
        <v/>
      </c>
      <c r="J37" s="164" t="str">
        <f>IF('01_Stations'!$AG$12=1,"───","")</f>
        <v/>
      </c>
      <c r="K37" s="164" t="str">
        <f>IF('01_Stations'!$AG$13=1,"───","")</f>
        <v/>
      </c>
      <c r="L37" s="164" t="str">
        <f>IF('01_Stations'!$AG$14=1,"───","")</f>
        <v/>
      </c>
      <c r="M37" s="164" t="str">
        <f>IF('01_Stations'!$AG$15=1,"───","")</f>
        <v/>
      </c>
      <c r="N37" s="164" t="str">
        <f>IF('01_Stations'!$AG$16=1,"───","")</f>
        <v/>
      </c>
      <c r="O37" s="164" t="str">
        <f>IF('01_Stations'!$AG$17=1,"───","")</f>
        <v/>
      </c>
      <c r="P37" s="164" t="str">
        <f>IF('01_Stations'!$AG$18=1,"───","")</f>
        <v/>
      </c>
      <c r="Q37" s="164" t="str">
        <f>IF('01_Stations'!$AG$19=1,"───","")</f>
        <v/>
      </c>
      <c r="R37" s="164" t="str">
        <f>IF('01_Stations'!$AG$20=1,"───","")</f>
        <v/>
      </c>
      <c r="S37" s="164" t="str">
        <f>IF('01_Stations'!$AG$21=1,"───","")</f>
        <v/>
      </c>
      <c r="T37" s="164" t="str">
        <f>IF('01_Stations'!$AG$22=1,"───","")</f>
        <v/>
      </c>
      <c r="U37" s="164" t="str">
        <f>IF('01_Stations'!$AG$23=1,"───","")</f>
        <v/>
      </c>
      <c r="V37" s="164" t="str">
        <f>IF('01_Stations'!$AG$24=1,"───","")</f>
        <v/>
      </c>
      <c r="W37" s="164" t="str">
        <f>IF('01_Stations'!$AG$25=1,"───","")</f>
        <v/>
      </c>
      <c r="X37" s="164" t="str">
        <f>IF('01_Stations'!$AG$26=1,"───","")</f>
        <v/>
      </c>
      <c r="Y37" s="164" t="str">
        <f>IF('01_Stations'!$AG$27=1,"───","")</f>
        <v/>
      </c>
      <c r="Z37" s="164" t="str">
        <f>IF('01_Stations'!$AG$28=1,"───","")</f>
        <v/>
      </c>
      <c r="AA37" s="164" t="str">
        <f>IF('01_Stations'!$AG$29=1,"───","")</f>
        <v/>
      </c>
      <c r="AB37" s="164" t="str">
        <f>IF('01_Stations'!$AG$30=1,"───","")</f>
        <v/>
      </c>
      <c r="AC37" s="164" t="str">
        <f>IF('01_Stations'!$AG$31=1,"───","")</f>
        <v/>
      </c>
      <c r="AD37" s="164" t="str">
        <f>IF('01_Stations'!$AG$32=1,"───","")</f>
        <v/>
      </c>
      <c r="AE37" s="164" t="str">
        <f>IF('01_Stations'!$AG$33=1,"───","")</f>
        <v/>
      </c>
      <c r="AF37" s="164" t="str">
        <f>IF('01_Stations'!$AG$34=1,"───","")</f>
        <v/>
      </c>
      <c r="AG37" s="164" t="str">
        <f>IF('01_Stations'!$AG$35=1,"───","")</f>
        <v/>
      </c>
      <c r="AH37" s="164" t="str">
        <f>IF('01_Stations'!$AG$36=1,"───","")</f>
        <v/>
      </c>
      <c r="AI37" s="164" t="str">
        <f>IF('01_Stations'!$AG$37=1,"───","")</f>
        <v/>
      </c>
      <c r="AJ37" s="164" t="str">
        <f>IF('01_Stations'!$AG$38=1,"───","")</f>
        <v/>
      </c>
      <c r="AK37" s="164" t="str">
        <f>IF('01_Stations'!$AG$39=1,"───","")</f>
        <v/>
      </c>
      <c r="AL37" s="164" t="str">
        <f>IF('01_Stations'!$AG$40=1,"───","")</f>
        <v/>
      </c>
      <c r="AM37" s="164" t="str">
        <f>IF('01_Stations'!$AG$41=1,"───","")</f>
        <v/>
      </c>
      <c r="AN37" s="164" t="str">
        <f>IF('01_Stations'!$AG$42=1,"───","")</f>
        <v/>
      </c>
      <c r="AO37" s="164" t="str">
        <f>IF('01_Stations'!$AG$43=1,"───","")</f>
        <v/>
      </c>
      <c r="AP37" s="164" t="str">
        <f>IF('01_Stations'!$AG$44=1,"───","")</f>
        <v/>
      </c>
      <c r="AQ37" s="164" t="str">
        <f>IF('01_Stations'!$AG$45=1,"───","")</f>
        <v/>
      </c>
    </row>
    <row r="38" spans="1:43" ht="15" customHeight="1" x14ac:dyDescent="0.3">
      <c r="A38" s="238" t="s">
        <v>2222</v>
      </c>
      <c r="B38" s="165" t="s">
        <v>291</v>
      </c>
      <c r="C38" s="166"/>
      <c r="D38" s="164" t="str">
        <f>IF('01_Stations'!$AH$6=1,"───","")</f>
        <v/>
      </c>
      <c r="E38" s="164" t="str">
        <f>IF('01_Stations'!$AH$7=1,"───","")</f>
        <v/>
      </c>
      <c r="F38" s="164" t="str">
        <f>IF('01_Stations'!$AH$8=1,"───","")</f>
        <v/>
      </c>
      <c r="G38" s="164" t="str">
        <f>IF('01_Stations'!$AH$9=1,"───","")</f>
        <v/>
      </c>
      <c r="H38" s="164" t="str">
        <f>IF('01_Stations'!$AH$10=1,"───","")</f>
        <v/>
      </c>
      <c r="I38" s="164" t="str">
        <f>IF('01_Stations'!$AH$11=1,"───","")</f>
        <v/>
      </c>
      <c r="J38" s="164" t="str">
        <f>IF('01_Stations'!$AH$12=1,"───","")</f>
        <v/>
      </c>
      <c r="K38" s="164" t="str">
        <f>IF('01_Stations'!$AH$13=1,"───","")</f>
        <v/>
      </c>
      <c r="L38" s="164" t="str">
        <f>IF('01_Stations'!$AH$14=1,"───","")</f>
        <v/>
      </c>
      <c r="M38" s="164" t="str">
        <f>IF('01_Stations'!$AH$15=1,"───","")</f>
        <v/>
      </c>
      <c r="N38" s="164" t="str">
        <f>IF('01_Stations'!$AH$16=1,"───","")</f>
        <v/>
      </c>
      <c r="O38" s="164" t="str">
        <f>IF('01_Stations'!$AH$17=1,"───","")</f>
        <v/>
      </c>
      <c r="P38" s="164" t="str">
        <f>IF('01_Stations'!$AH$18=1,"───","")</f>
        <v/>
      </c>
      <c r="Q38" s="164" t="str">
        <f>IF('01_Stations'!$AH$19=1,"───","")</f>
        <v/>
      </c>
      <c r="R38" s="164" t="str">
        <f>IF('01_Stations'!$AH$20=1,"───","")</f>
        <v/>
      </c>
      <c r="S38" s="164" t="str">
        <f>IF('01_Stations'!$AH$21=1,"───","")</f>
        <v/>
      </c>
      <c r="T38" s="164" t="str">
        <f>IF('01_Stations'!$AH$22=1,"───","")</f>
        <v/>
      </c>
      <c r="U38" s="164" t="str">
        <f>IF('01_Stations'!$AH$23=1,"───","")</f>
        <v/>
      </c>
      <c r="V38" s="164" t="str">
        <f>IF('01_Stations'!$AH$24=1,"───","")</f>
        <v/>
      </c>
      <c r="W38" s="164" t="str">
        <f>IF('01_Stations'!$AH$25=1,"───","")</f>
        <v/>
      </c>
      <c r="X38" s="164" t="str">
        <f>IF('01_Stations'!$AH$26=1,"───","")</f>
        <v/>
      </c>
      <c r="Y38" s="164" t="str">
        <f>IF('01_Stations'!$AH$27=1,"───","")</f>
        <v/>
      </c>
      <c r="Z38" s="164" t="str">
        <f>IF('01_Stations'!$AH$28=1,"───","")</f>
        <v/>
      </c>
      <c r="AA38" s="164" t="str">
        <f>IF('01_Stations'!$AH$29=1,"───","")</f>
        <v/>
      </c>
      <c r="AB38" s="164" t="str">
        <f>IF('01_Stations'!$AH$30=1,"───","")</f>
        <v/>
      </c>
      <c r="AC38" s="164" t="str">
        <f>IF('01_Stations'!$AH$31=1,"───","")</f>
        <v/>
      </c>
      <c r="AD38" s="164" t="str">
        <f>IF('01_Stations'!$AH$32=1,"───","")</f>
        <v/>
      </c>
      <c r="AE38" s="164" t="str">
        <f>IF('01_Stations'!$AH$33=1,"───","")</f>
        <v/>
      </c>
      <c r="AF38" s="164" t="str">
        <f>IF('01_Stations'!$AH$34=1,"───","")</f>
        <v/>
      </c>
      <c r="AG38" s="164" t="str">
        <f>IF('01_Stations'!$AH$35=1,"───","")</f>
        <v/>
      </c>
      <c r="AH38" s="164" t="str">
        <f>IF('01_Stations'!$AH$36=1,"───","")</f>
        <v/>
      </c>
      <c r="AI38" s="164" t="str">
        <f>IF('01_Stations'!$AH$37=1,"───","")</f>
        <v/>
      </c>
      <c r="AJ38" s="164" t="str">
        <f>IF('01_Stations'!$AH$38=1,"───","")</f>
        <v/>
      </c>
      <c r="AK38" s="164" t="str">
        <f>IF('01_Stations'!$AH$39=1,"───","")</f>
        <v/>
      </c>
      <c r="AL38" s="164" t="str">
        <f>IF('01_Stations'!$AH$40=1,"───","")</f>
        <v/>
      </c>
      <c r="AM38" s="164" t="str">
        <f>IF('01_Stations'!$AH$41=1,"───","")</f>
        <v/>
      </c>
      <c r="AN38" s="164" t="str">
        <f>IF('01_Stations'!$AH$42=1,"───","")</f>
        <v/>
      </c>
      <c r="AO38" s="164" t="str">
        <f>IF('01_Stations'!$AH$43=1,"───","")</f>
        <v/>
      </c>
      <c r="AP38" s="164" t="str">
        <f>IF('01_Stations'!$AH$44=1,"───","")</f>
        <v/>
      </c>
      <c r="AQ38" s="164" t="str">
        <f>IF('01_Stations'!$AH$45=1,"───","")</f>
        <v/>
      </c>
    </row>
    <row r="39" spans="1:43" ht="15" customHeight="1" x14ac:dyDescent="0.3">
      <c r="A39" s="236"/>
      <c r="B39" s="165" t="s">
        <v>292</v>
      </c>
      <c r="C39" s="166"/>
      <c r="D39" s="164" t="str">
        <f>IF('01_Stations'!$AI$6=1,"───","")</f>
        <v/>
      </c>
      <c r="E39" s="164" t="str">
        <f>IF('01_Stations'!$AI$7=1,"───","")</f>
        <v/>
      </c>
      <c r="F39" s="164" t="str">
        <f>IF('01_Stations'!$AI$8=1,"───","")</f>
        <v/>
      </c>
      <c r="G39" s="164" t="str">
        <f>IF('01_Stations'!$AI$9=1,"───","")</f>
        <v/>
      </c>
      <c r="H39" s="164" t="str">
        <f>IF('01_Stations'!$AI$10=1,"───","")</f>
        <v/>
      </c>
      <c r="I39" s="164" t="str">
        <f>IF('01_Stations'!$AI$11=1,"───","")</f>
        <v/>
      </c>
      <c r="J39" s="164" t="str">
        <f>IF('01_Stations'!$AI$12=1,"───","")</f>
        <v/>
      </c>
      <c r="K39" s="164" t="str">
        <f>IF('01_Stations'!$AI$13=1,"───","")</f>
        <v/>
      </c>
      <c r="L39" s="164" t="str">
        <f>IF('01_Stations'!$AI$14=1,"───","")</f>
        <v/>
      </c>
      <c r="M39" s="164" t="str">
        <f>IF('01_Stations'!$AI$15=1,"───","")</f>
        <v/>
      </c>
      <c r="N39" s="164" t="str">
        <f>IF('01_Stations'!$AI$16=1,"───","")</f>
        <v/>
      </c>
      <c r="O39" s="164" t="str">
        <f>IF('01_Stations'!$AI$17=1,"───","")</f>
        <v/>
      </c>
      <c r="P39" s="164" t="str">
        <f>IF('01_Stations'!$AI$18=1,"───","")</f>
        <v/>
      </c>
      <c r="Q39" s="164" t="str">
        <f>IF('01_Stations'!$AI$19=1,"───","")</f>
        <v/>
      </c>
      <c r="R39" s="164" t="str">
        <f>IF('01_Stations'!$AI$20=1,"───","")</f>
        <v/>
      </c>
      <c r="S39" s="164" t="str">
        <f>IF('01_Stations'!$AI$21=1,"───","")</f>
        <v/>
      </c>
      <c r="T39" s="164" t="str">
        <f>IF('01_Stations'!$AI$22=1,"───","")</f>
        <v/>
      </c>
      <c r="U39" s="164" t="str">
        <f>IF('01_Stations'!$AI$23=1,"───","")</f>
        <v/>
      </c>
      <c r="V39" s="164" t="str">
        <f>IF('01_Stations'!$AI$24=1,"───","")</f>
        <v/>
      </c>
      <c r="W39" s="164" t="str">
        <f>IF('01_Stations'!$AI$25=1,"───","")</f>
        <v/>
      </c>
      <c r="X39" s="164" t="str">
        <f>IF('01_Stations'!$AI$26=1,"───","")</f>
        <v/>
      </c>
      <c r="Y39" s="164" t="str">
        <f>IF('01_Stations'!$AI$27=1,"───","")</f>
        <v/>
      </c>
      <c r="Z39" s="164" t="str">
        <f>IF('01_Stations'!$AI$28=1,"───","")</f>
        <v/>
      </c>
      <c r="AA39" s="164" t="str">
        <f>IF('01_Stations'!$AI$29=1,"───","")</f>
        <v/>
      </c>
      <c r="AB39" s="164" t="str">
        <f>IF('01_Stations'!$AI$30=1,"───","")</f>
        <v/>
      </c>
      <c r="AC39" s="164" t="str">
        <f>IF('01_Stations'!$AI$31=1,"───","")</f>
        <v/>
      </c>
      <c r="AD39" s="164" t="str">
        <f>IF('01_Stations'!$AI$32=1,"───","")</f>
        <v/>
      </c>
      <c r="AE39" s="164" t="str">
        <f>IF('01_Stations'!$AI$33=1,"───","")</f>
        <v/>
      </c>
      <c r="AF39" s="164" t="str">
        <f>IF('01_Stations'!$AI$34=1,"───","")</f>
        <v/>
      </c>
      <c r="AG39" s="164" t="str">
        <f>IF('01_Stations'!$AI$35=1,"───","")</f>
        <v/>
      </c>
      <c r="AH39" s="164" t="str">
        <f>IF('01_Stations'!$AI$36=1,"───","")</f>
        <v/>
      </c>
      <c r="AI39" s="164" t="str">
        <f>IF('01_Stations'!$AI$37=1,"───","")</f>
        <v/>
      </c>
      <c r="AJ39" s="164" t="str">
        <f>IF('01_Stations'!$AI$38=1,"───","")</f>
        <v/>
      </c>
      <c r="AK39" s="164" t="str">
        <f>IF('01_Stations'!$AI$39=1,"───","")</f>
        <v/>
      </c>
      <c r="AL39" s="164" t="str">
        <f>IF('01_Stations'!$AI$40=1,"───","")</f>
        <v/>
      </c>
      <c r="AM39" s="164" t="str">
        <f>IF('01_Stations'!$AI$41=1,"───","")</f>
        <v/>
      </c>
      <c r="AN39" s="164" t="str">
        <f>IF('01_Stations'!$AI$42=1,"───","")</f>
        <v/>
      </c>
      <c r="AO39" s="164" t="str">
        <f>IF('01_Stations'!$AI$43=1,"───","")</f>
        <v/>
      </c>
      <c r="AP39" s="164" t="str">
        <f>IF('01_Stations'!$AI$44=1,"───","")</f>
        <v/>
      </c>
      <c r="AQ39" s="164" t="str">
        <f>IF('01_Stations'!$AI$45=1,"───","")</f>
        <v/>
      </c>
    </row>
    <row r="40" spans="1:43" ht="15" customHeight="1" x14ac:dyDescent="0.3">
      <c r="A40" s="236"/>
      <c r="B40" s="165" t="s">
        <v>293</v>
      </c>
      <c r="C40" s="166"/>
      <c r="D40" s="164" t="str">
        <f>IF('01_Stations'!$AJ$6=1,"───","")</f>
        <v/>
      </c>
      <c r="E40" s="164" t="str">
        <f>IF('01_Stations'!$AJ$7=1,"───","")</f>
        <v/>
      </c>
      <c r="F40" s="164" t="str">
        <f>IF('01_Stations'!$AJ$8=1,"───","")</f>
        <v/>
      </c>
      <c r="G40" s="164" t="str">
        <f>IF('01_Stations'!$AJ$9=1,"───","")</f>
        <v/>
      </c>
      <c r="H40" s="164" t="str">
        <f>IF('01_Stations'!$AJ$10=1,"───","")</f>
        <v/>
      </c>
      <c r="I40" s="164" t="str">
        <f>IF('01_Stations'!$AJ$11=1,"───","")</f>
        <v/>
      </c>
      <c r="J40" s="164" t="str">
        <f>IF('01_Stations'!$AJ$12=1,"───","")</f>
        <v/>
      </c>
      <c r="K40" s="164" t="str">
        <f>IF('01_Stations'!$AJ$13=1,"───","")</f>
        <v/>
      </c>
      <c r="L40" s="164" t="str">
        <f>IF('01_Stations'!$AJ$14=1,"───","")</f>
        <v/>
      </c>
      <c r="M40" s="164" t="str">
        <f>IF('01_Stations'!$AJ$15=1,"───","")</f>
        <v/>
      </c>
      <c r="N40" s="164" t="str">
        <f>IF('01_Stations'!$AJ$16=1,"───","")</f>
        <v/>
      </c>
      <c r="O40" s="164" t="str">
        <f>IF('01_Stations'!$AJ$17=1,"───","")</f>
        <v/>
      </c>
      <c r="P40" s="164" t="str">
        <f>IF('01_Stations'!$AJ$18=1,"───","")</f>
        <v/>
      </c>
      <c r="Q40" s="164" t="str">
        <f>IF('01_Stations'!$AJ$19=1,"───","")</f>
        <v/>
      </c>
      <c r="R40" s="164" t="str">
        <f>IF('01_Stations'!$AJ$20=1,"───","")</f>
        <v/>
      </c>
      <c r="S40" s="164" t="str">
        <f>IF('01_Stations'!$AJ$21=1,"───","")</f>
        <v/>
      </c>
      <c r="T40" s="164" t="str">
        <f>IF('01_Stations'!$AJ$22=1,"───","")</f>
        <v/>
      </c>
      <c r="U40" s="164" t="str">
        <f>IF('01_Stations'!$AJ$23=1,"───","")</f>
        <v/>
      </c>
      <c r="V40" s="164" t="str">
        <f>IF('01_Stations'!$AJ$24=1,"───","")</f>
        <v/>
      </c>
      <c r="W40" s="164" t="str">
        <f>IF('01_Stations'!$AJ$25=1,"───","")</f>
        <v/>
      </c>
      <c r="X40" s="164" t="str">
        <f>IF('01_Stations'!$AJ$26=1,"───","")</f>
        <v/>
      </c>
      <c r="Y40" s="164" t="str">
        <f>IF('01_Stations'!$AJ$27=1,"───","")</f>
        <v/>
      </c>
      <c r="Z40" s="164" t="str">
        <f>IF('01_Stations'!$AJ$28=1,"───","")</f>
        <v/>
      </c>
      <c r="AA40" s="164" t="str">
        <f>IF('01_Stations'!$AJ$29=1,"───","")</f>
        <v/>
      </c>
      <c r="AB40" s="164" t="str">
        <f>IF('01_Stations'!$AJ$30=1,"───","")</f>
        <v/>
      </c>
      <c r="AC40" s="164" t="str">
        <f>IF('01_Stations'!$AJ$31=1,"───","")</f>
        <v/>
      </c>
      <c r="AD40" s="164" t="str">
        <f>IF('01_Stations'!$AJ$32=1,"───","")</f>
        <v/>
      </c>
      <c r="AE40" s="164" t="str">
        <f>IF('01_Stations'!$AJ$33=1,"───","")</f>
        <v/>
      </c>
      <c r="AF40" s="164" t="str">
        <f>IF('01_Stations'!$AJ$34=1,"───","")</f>
        <v/>
      </c>
      <c r="AG40" s="164" t="str">
        <f>IF('01_Stations'!$AJ$35=1,"───","")</f>
        <v/>
      </c>
      <c r="AH40" s="164" t="str">
        <f>IF('01_Stations'!$AJ$36=1,"───","")</f>
        <v/>
      </c>
      <c r="AI40" s="164" t="str">
        <f>IF('01_Stations'!$AJ$37=1,"───","")</f>
        <v/>
      </c>
      <c r="AJ40" s="164" t="str">
        <f>IF('01_Stations'!$AJ$38=1,"───","")</f>
        <v/>
      </c>
      <c r="AK40" s="164" t="str">
        <f>IF('01_Stations'!$AJ$39=1,"───","")</f>
        <v/>
      </c>
      <c r="AL40" s="164" t="str">
        <f>IF('01_Stations'!$AJ$40=1,"───","")</f>
        <v/>
      </c>
      <c r="AM40" s="164" t="str">
        <f>IF('01_Stations'!$AJ$41=1,"───","")</f>
        <v/>
      </c>
      <c r="AN40" s="164" t="str">
        <f>IF('01_Stations'!$AJ$42=1,"───","")</f>
        <v/>
      </c>
      <c r="AO40" s="164" t="str">
        <f>IF('01_Stations'!$AJ$43=1,"───","")</f>
        <v/>
      </c>
      <c r="AP40" s="164" t="str">
        <f>IF('01_Stations'!$AJ$44=1,"───","")</f>
        <v/>
      </c>
      <c r="AQ40" s="164" t="str">
        <f>IF('01_Stations'!$AJ$45=1,"───","")</f>
        <v/>
      </c>
    </row>
    <row r="41" spans="1:43" ht="15" customHeight="1" x14ac:dyDescent="0.3">
      <c r="A41" s="236"/>
      <c r="B41" s="165" t="s">
        <v>294</v>
      </c>
      <c r="C41" s="166" t="s">
        <v>299</v>
      </c>
      <c r="D41" s="164" t="str">
        <f>IF(N('01_Stations'!$AK$6)&gt;0,'01_Stations'!$AK$6,"")</f>
        <v/>
      </c>
      <c r="E41" s="164" t="str">
        <f>IF(N('01_Stations'!$AK$7)&gt;0,'01_Stations'!$AK$7,"")</f>
        <v/>
      </c>
      <c r="F41" s="164" t="str">
        <f>IF(N('01_Stations'!$AK$8)&gt;0,'01_Stations'!$AK$8,"")</f>
        <v/>
      </c>
      <c r="G41" s="164" t="str">
        <f>IF(N('01_Stations'!$AK$9)&gt;0,'01_Stations'!$AK$9,"")</f>
        <v/>
      </c>
      <c r="H41" s="164" t="str">
        <f>IF(N('01_Stations'!$AK$10)&gt;0,'01_Stations'!$AK$10,"")</f>
        <v/>
      </c>
      <c r="I41" s="164" t="str">
        <f>IF(N('01_Stations'!$AK$11)&gt;0,'01_Stations'!$AK$11,"")</f>
        <v/>
      </c>
      <c r="J41" s="164" t="str">
        <f>IF(N('01_Stations'!$AK$12)&gt;0,'01_Stations'!$AK$12,"")</f>
        <v/>
      </c>
      <c r="K41" s="164" t="str">
        <f>IF(N('01_Stations'!$AK$13)&gt;0,'01_Stations'!$AK$13,"")</f>
        <v/>
      </c>
      <c r="L41" s="164" t="str">
        <f>IF(N('01_Stations'!$AK$14)&gt;0,'01_Stations'!$AK$14,"")</f>
        <v/>
      </c>
      <c r="M41" s="164" t="str">
        <f>IF(N('01_Stations'!$AK$15)&gt;0,'01_Stations'!$AK$15,"")</f>
        <v/>
      </c>
      <c r="N41" s="164" t="str">
        <f>IF(N('01_Stations'!$AK$16)&gt;0,'01_Stations'!$AK$16,"")</f>
        <v/>
      </c>
      <c r="O41" s="164" t="str">
        <f>IF(N('01_Stations'!$AK$17)&gt;0,'01_Stations'!$AK$17,"")</f>
        <v/>
      </c>
      <c r="P41" s="164" t="str">
        <f>IF(N('01_Stations'!$AK$18)&gt;0,'01_Stations'!$AK$18,"")</f>
        <v/>
      </c>
      <c r="Q41" s="164" t="str">
        <f>IF(N('01_Stations'!$AK$19)&gt;0,'01_Stations'!$AK$19,"")</f>
        <v/>
      </c>
      <c r="R41" s="164" t="str">
        <f>IF(N('01_Stations'!$AK$20)&gt;0,'01_Stations'!$AK$20,"")</f>
        <v/>
      </c>
      <c r="S41" s="164" t="str">
        <f>IF(N('01_Stations'!$AK$21)&gt;0,'01_Stations'!$AK$21,"")</f>
        <v/>
      </c>
      <c r="T41" s="164" t="str">
        <f>IF(N('01_Stations'!$AK$22)&gt;0,'01_Stations'!$AK$22,"")</f>
        <v/>
      </c>
      <c r="U41" s="164" t="str">
        <f>IF(N('01_Stations'!$AK$23)&gt;0,'01_Stations'!$AK$23,"")</f>
        <v/>
      </c>
      <c r="V41" s="164" t="str">
        <f>IF(N('01_Stations'!$AK$24)&gt;0,'01_Stations'!$AK$24,"")</f>
        <v/>
      </c>
      <c r="W41" s="164" t="str">
        <f>IF(N('01_Stations'!$AK$25)&gt;0,'01_Stations'!$AK$25,"")</f>
        <v/>
      </c>
      <c r="X41" s="164" t="str">
        <f>IF(N('01_Stations'!$AK$26)&gt;0,'01_Stations'!$AK$26,"")</f>
        <v/>
      </c>
      <c r="Y41" s="164" t="str">
        <f>IF(N('01_Stations'!$AK$27)&gt;0,'01_Stations'!$AK$27,"")</f>
        <v/>
      </c>
      <c r="Z41" s="164" t="str">
        <f>IF(N('01_Stations'!$AK$28)&gt;0,'01_Stations'!$AK$28,"")</f>
        <v/>
      </c>
      <c r="AA41" s="164" t="str">
        <f>IF(N('01_Stations'!$AK$29)&gt;0,'01_Stations'!$AK$29,"")</f>
        <v/>
      </c>
      <c r="AB41" s="164" t="str">
        <f>IF(N('01_Stations'!$AK$30)&gt;0,'01_Stations'!$AK$30,"")</f>
        <v/>
      </c>
      <c r="AC41" s="164" t="str">
        <f>IF(N('01_Stations'!$AK$31)&gt;0,'01_Stations'!$AK$31,"")</f>
        <v/>
      </c>
      <c r="AD41" s="164" t="str">
        <f>IF(N('01_Stations'!$AK$32)&gt;0,'01_Stations'!$AK$32,"")</f>
        <v/>
      </c>
      <c r="AE41" s="164" t="str">
        <f>IF(N('01_Stations'!$AK$33)&gt;0,'01_Stations'!$AK$33,"")</f>
        <v/>
      </c>
      <c r="AF41" s="164" t="str">
        <f>IF(N('01_Stations'!$AK$34)&gt;0,'01_Stations'!$AK$34,"")</f>
        <v/>
      </c>
      <c r="AG41" s="164" t="str">
        <f>IF(N('01_Stations'!$AK$35)&gt;0,'01_Stations'!$AK$35,"")</f>
        <v/>
      </c>
      <c r="AH41" s="164" t="str">
        <f>IF(N('01_Stations'!$AK$36)&gt;0,'01_Stations'!$AK$36,"")</f>
        <v/>
      </c>
      <c r="AI41" s="164" t="str">
        <f>IF(N('01_Stations'!$AK$37)&gt;0,'01_Stations'!$AK$37,"")</f>
        <v/>
      </c>
      <c r="AJ41" s="164" t="str">
        <f>IF(N('01_Stations'!$AK$38)&gt;0,'01_Stations'!$AK$38,"")</f>
        <v/>
      </c>
      <c r="AK41" s="164" t="str">
        <f>IF(N('01_Stations'!$AK$39)&gt;0,'01_Stations'!$AK$39,"")</f>
        <v/>
      </c>
      <c r="AL41" s="164" t="str">
        <f>IF(N('01_Stations'!$AK$40)&gt;0,'01_Stations'!$AK$40,"")</f>
        <v/>
      </c>
      <c r="AM41" s="164" t="str">
        <f>IF(N('01_Stations'!$AK$41)&gt;0,'01_Stations'!$AK$41,"")</f>
        <v/>
      </c>
      <c r="AN41" s="164" t="str">
        <f>IF(N('01_Stations'!$AK$42)&gt;0,'01_Stations'!$AK$42,"")</f>
        <v/>
      </c>
      <c r="AO41" s="164" t="str">
        <f>IF(N('01_Stations'!$AK$43)&gt;0,'01_Stations'!$AK$43,"")</f>
        <v/>
      </c>
      <c r="AP41" s="164" t="str">
        <f>IF(N('01_Stations'!$AK$44)&gt;0,'01_Stations'!$AK$44,"")</f>
        <v/>
      </c>
      <c r="AQ41" s="164" t="str">
        <f>IF(N('01_Stations'!$AK$45)&gt;0,'01_Stations'!$AK$45,"")</f>
        <v/>
      </c>
    </row>
    <row r="42" spans="1:43" ht="15" customHeight="1" x14ac:dyDescent="0.3">
      <c r="A42" s="236"/>
      <c r="B42" s="165" t="s">
        <v>295</v>
      </c>
      <c r="C42" s="166" t="s">
        <v>299</v>
      </c>
      <c r="D42" s="164" t="str">
        <f>IF(N('01_Stations'!$AL$6)&gt;0,'01_Stations'!$AL$6,"")</f>
        <v/>
      </c>
      <c r="E42" s="164" t="str">
        <f>IF(N('01_Stations'!$AL$7)&gt;0,'01_Stations'!$AL$7,"")</f>
        <v/>
      </c>
      <c r="F42" s="164" t="str">
        <f>IF(N('01_Stations'!$AL$8)&gt;0,'01_Stations'!$AL$8,"")</f>
        <v/>
      </c>
      <c r="G42" s="164" t="str">
        <f>IF(N('01_Stations'!$AL$9)&gt;0,'01_Stations'!$AL$9,"")</f>
        <v/>
      </c>
      <c r="H42" s="164" t="str">
        <f>IF(N('01_Stations'!$AL$10)&gt;0,'01_Stations'!$AL$10,"")</f>
        <v/>
      </c>
      <c r="I42" s="164" t="str">
        <f>IF(N('01_Stations'!$AL$11)&gt;0,'01_Stations'!$AL$11,"")</f>
        <v/>
      </c>
      <c r="J42" s="164" t="str">
        <f>IF(N('01_Stations'!$AL$12)&gt;0,'01_Stations'!$AL$12,"")</f>
        <v/>
      </c>
      <c r="K42" s="164" t="str">
        <f>IF(N('01_Stations'!$AL$13)&gt;0,'01_Stations'!$AL$13,"")</f>
        <v/>
      </c>
      <c r="L42" s="164" t="str">
        <f>IF(N('01_Stations'!$AL$14)&gt;0,'01_Stations'!$AL$14,"")</f>
        <v/>
      </c>
      <c r="M42" s="164" t="str">
        <f>IF(N('01_Stations'!$AL$15)&gt;0,'01_Stations'!$AL$15,"")</f>
        <v/>
      </c>
      <c r="N42" s="164" t="str">
        <f>IF(N('01_Stations'!$AL$16)&gt;0,'01_Stations'!$AL$16,"")</f>
        <v/>
      </c>
      <c r="O42" s="164" t="str">
        <f>IF(N('01_Stations'!$AL$17)&gt;0,'01_Stations'!$AL$17,"")</f>
        <v/>
      </c>
      <c r="P42" s="164" t="str">
        <f>IF(N('01_Stations'!$AL$18)&gt;0,'01_Stations'!$AL$18,"")</f>
        <v/>
      </c>
      <c r="Q42" s="164" t="str">
        <f>IF(N('01_Stations'!$AL$19)&gt;0,'01_Stations'!$AL$19,"")</f>
        <v/>
      </c>
      <c r="R42" s="164" t="str">
        <f>IF(N('01_Stations'!$AL$20)&gt;0,'01_Stations'!$AL$20,"")</f>
        <v/>
      </c>
      <c r="S42" s="164" t="str">
        <f>IF(N('01_Stations'!$AL$21)&gt;0,'01_Stations'!$AL$21,"")</f>
        <v/>
      </c>
      <c r="T42" s="164" t="str">
        <f>IF(N('01_Stations'!$AL$22)&gt;0,'01_Stations'!$AL$22,"")</f>
        <v/>
      </c>
      <c r="U42" s="164" t="str">
        <f>IF(N('01_Stations'!$AL$23)&gt;0,'01_Stations'!$AL$23,"")</f>
        <v/>
      </c>
      <c r="V42" s="164" t="str">
        <f>IF(N('01_Stations'!$AL$24)&gt;0,'01_Stations'!$AL$24,"")</f>
        <v/>
      </c>
      <c r="W42" s="164" t="str">
        <f>IF(N('01_Stations'!$AL$25)&gt;0,'01_Stations'!$AL$25,"")</f>
        <v/>
      </c>
      <c r="X42" s="164" t="str">
        <f>IF(N('01_Stations'!$AL$26)&gt;0,'01_Stations'!$AL$26,"")</f>
        <v/>
      </c>
      <c r="Y42" s="164" t="str">
        <f>IF(N('01_Stations'!$AL$27)&gt;0,'01_Stations'!$AL$27,"")</f>
        <v/>
      </c>
      <c r="Z42" s="164" t="str">
        <f>IF(N('01_Stations'!$AL$28)&gt;0,'01_Stations'!$AL$28,"")</f>
        <v/>
      </c>
      <c r="AA42" s="164" t="str">
        <f>IF(N('01_Stations'!$AL$29)&gt;0,'01_Stations'!$AL$29,"")</f>
        <v/>
      </c>
      <c r="AB42" s="164" t="str">
        <f>IF(N('01_Stations'!$AL$30)&gt;0,'01_Stations'!$AL$30,"")</f>
        <v/>
      </c>
      <c r="AC42" s="164" t="str">
        <f>IF(N('01_Stations'!$AL$31)&gt;0,'01_Stations'!$AL$31,"")</f>
        <v/>
      </c>
      <c r="AD42" s="164" t="str">
        <f>IF(N('01_Stations'!$AL$32)&gt;0,'01_Stations'!$AL$32,"")</f>
        <v/>
      </c>
      <c r="AE42" s="164" t="str">
        <f>IF(N('01_Stations'!$AL$33)&gt;0,'01_Stations'!$AL$33,"")</f>
        <v/>
      </c>
      <c r="AF42" s="164" t="str">
        <f>IF(N('01_Stations'!$AL$34)&gt;0,'01_Stations'!$AL$34,"")</f>
        <v/>
      </c>
      <c r="AG42" s="164" t="str">
        <f>IF(N('01_Stations'!$AL$35)&gt;0,'01_Stations'!$AL$35,"")</f>
        <v/>
      </c>
      <c r="AH42" s="164" t="str">
        <f>IF(N('01_Stations'!$AL$36)&gt;0,'01_Stations'!$AL$36,"")</f>
        <v/>
      </c>
      <c r="AI42" s="164" t="str">
        <f>IF(N('01_Stations'!$AL$37)&gt;0,'01_Stations'!$AL$37,"")</f>
        <v/>
      </c>
      <c r="AJ42" s="164" t="str">
        <f>IF(N('01_Stations'!$AL$38)&gt;0,'01_Stations'!$AL$38,"")</f>
        <v/>
      </c>
      <c r="AK42" s="164" t="str">
        <f>IF(N('01_Stations'!$AL$39)&gt;0,'01_Stations'!$AL$39,"")</f>
        <v/>
      </c>
      <c r="AL42" s="164" t="str">
        <f>IF(N('01_Stations'!$AL$40)&gt;0,'01_Stations'!$AL$40,"")</f>
        <v/>
      </c>
      <c r="AM42" s="164" t="str">
        <f>IF(N('01_Stations'!$AL$41)&gt;0,'01_Stations'!$AL$41,"")</f>
        <v/>
      </c>
      <c r="AN42" s="164" t="str">
        <f>IF(N('01_Stations'!$AL$42)&gt;0,'01_Stations'!$AL$42,"")</f>
        <v/>
      </c>
      <c r="AO42" s="164" t="str">
        <f>IF(N('01_Stations'!$AL$43)&gt;0,'01_Stations'!$AL$43,"")</f>
        <v/>
      </c>
      <c r="AP42" s="164" t="str">
        <f>IF(N('01_Stations'!$AL$44)&gt;0,'01_Stations'!$AL$44,"")</f>
        <v/>
      </c>
      <c r="AQ42" s="164" t="str">
        <f>IF(N('01_Stations'!$AL$45)&gt;0,'01_Stations'!$AL$45,"")</f>
        <v/>
      </c>
    </row>
    <row r="43" spans="1:43" ht="15" customHeight="1" x14ac:dyDescent="0.3">
      <c r="A43" s="236"/>
      <c r="B43" s="165" t="s">
        <v>230</v>
      </c>
      <c r="C43" s="166"/>
      <c r="D43" s="164" t="str">
        <f>IF('01_Stations'!$AM$6=1,"───","")</f>
        <v/>
      </c>
      <c r="E43" s="164" t="str">
        <f>IF('01_Stations'!$AM$7=1,"───","")</f>
        <v/>
      </c>
      <c r="F43" s="164" t="str">
        <f>IF('01_Stations'!$AM$8=1,"───","")</f>
        <v/>
      </c>
      <c r="G43" s="164" t="str">
        <f>IF('01_Stations'!$AM$9=1,"───","")</f>
        <v/>
      </c>
      <c r="H43" s="164" t="str">
        <f>IF('01_Stations'!$AM$10=1,"───","")</f>
        <v/>
      </c>
      <c r="I43" s="164" t="str">
        <f>IF('01_Stations'!$AM$11=1,"───","")</f>
        <v/>
      </c>
      <c r="J43" s="164" t="str">
        <f>IF('01_Stations'!$AM$12=1,"───","")</f>
        <v/>
      </c>
      <c r="K43" s="164" t="str">
        <f>IF('01_Stations'!$AM$13=1,"───","")</f>
        <v/>
      </c>
      <c r="L43" s="164" t="str">
        <f>IF('01_Stations'!$AM$14=1,"───","")</f>
        <v/>
      </c>
      <c r="M43" s="164" t="str">
        <f>IF('01_Stations'!$AM$15=1,"───","")</f>
        <v/>
      </c>
      <c r="N43" s="164" t="str">
        <f>IF('01_Stations'!$AM$16=1,"───","")</f>
        <v/>
      </c>
      <c r="O43" s="164" t="str">
        <f>IF('01_Stations'!$AM$17=1,"───","")</f>
        <v/>
      </c>
      <c r="P43" s="164" t="str">
        <f>IF('01_Stations'!$AM$18=1,"───","")</f>
        <v/>
      </c>
      <c r="Q43" s="164" t="str">
        <f>IF('01_Stations'!$AM$19=1,"───","")</f>
        <v/>
      </c>
      <c r="R43" s="164" t="str">
        <f>IF('01_Stations'!$AM$20=1,"───","")</f>
        <v/>
      </c>
      <c r="S43" s="164" t="str">
        <f>IF('01_Stations'!$AM$21=1,"───","")</f>
        <v/>
      </c>
      <c r="T43" s="164" t="str">
        <f>IF('01_Stations'!$AM$22=1,"───","")</f>
        <v/>
      </c>
      <c r="U43" s="164" t="str">
        <f>IF('01_Stations'!$AM$23=1,"───","")</f>
        <v/>
      </c>
      <c r="V43" s="164" t="str">
        <f>IF('01_Stations'!$AM$24=1,"───","")</f>
        <v/>
      </c>
      <c r="W43" s="164" t="str">
        <f>IF('01_Stations'!$AM$25=1,"───","")</f>
        <v/>
      </c>
      <c r="X43" s="164" t="str">
        <f>IF('01_Stations'!$AM$26=1,"───","")</f>
        <v/>
      </c>
      <c r="Y43" s="164" t="str">
        <f>IF('01_Stations'!$AM$27=1,"───","")</f>
        <v/>
      </c>
      <c r="Z43" s="164" t="str">
        <f>IF('01_Stations'!$AM$28=1,"───","")</f>
        <v/>
      </c>
      <c r="AA43" s="164" t="str">
        <f>IF('01_Stations'!$AM$29=1,"───","")</f>
        <v/>
      </c>
      <c r="AB43" s="164" t="str">
        <f>IF('01_Stations'!$AM$30=1,"───","")</f>
        <v/>
      </c>
      <c r="AC43" s="164" t="str">
        <f>IF('01_Stations'!$AM$31=1,"───","")</f>
        <v/>
      </c>
      <c r="AD43" s="164" t="str">
        <f>IF('01_Stations'!$AM$32=1,"───","")</f>
        <v/>
      </c>
      <c r="AE43" s="164" t="str">
        <f>IF('01_Stations'!$AM$33=1,"───","")</f>
        <v/>
      </c>
      <c r="AF43" s="164" t="str">
        <f>IF('01_Stations'!$AM$34=1,"───","")</f>
        <v/>
      </c>
      <c r="AG43" s="164" t="str">
        <f>IF('01_Stations'!$AM$35=1,"───","")</f>
        <v/>
      </c>
      <c r="AH43" s="164" t="str">
        <f>IF('01_Stations'!$AM$36=1,"───","")</f>
        <v/>
      </c>
      <c r="AI43" s="164" t="str">
        <f>IF('01_Stations'!$AM$37=1,"───","")</f>
        <v/>
      </c>
      <c r="AJ43" s="164" t="str">
        <f>IF('01_Stations'!$AM$38=1,"───","")</f>
        <v/>
      </c>
      <c r="AK43" s="164" t="str">
        <f>IF('01_Stations'!$AM$39=1,"───","")</f>
        <v/>
      </c>
      <c r="AL43" s="164" t="str">
        <f>IF('01_Stations'!$AM$40=1,"───","")</f>
        <v/>
      </c>
      <c r="AM43" s="164" t="str">
        <f>IF('01_Stations'!$AM$41=1,"───","")</f>
        <v/>
      </c>
      <c r="AN43" s="164" t="str">
        <f>IF('01_Stations'!$AM$42=1,"───","")</f>
        <v/>
      </c>
      <c r="AO43" s="164" t="str">
        <f>IF('01_Stations'!$AM$43=1,"───","")</f>
        <v/>
      </c>
      <c r="AP43" s="164" t="str">
        <f>IF('01_Stations'!$AM$44=1,"───","")</f>
        <v/>
      </c>
      <c r="AQ43" s="164" t="str">
        <f>IF('01_Stations'!$AM$45=1,"───","")</f>
        <v/>
      </c>
    </row>
    <row r="44" spans="1:43" ht="15" customHeight="1" x14ac:dyDescent="0.3">
      <c r="A44" s="236"/>
      <c r="B44" s="165" t="s">
        <v>231</v>
      </c>
      <c r="C44" s="166"/>
      <c r="D44" s="164" t="str">
        <f>IF('01_Stations'!$AN$6=1,"───","")</f>
        <v/>
      </c>
      <c r="E44" s="164" t="str">
        <f>IF('01_Stations'!$AN$7=1,"───","")</f>
        <v/>
      </c>
      <c r="F44" s="164" t="str">
        <f>IF('01_Stations'!$AN$8=1,"───","")</f>
        <v/>
      </c>
      <c r="G44" s="164" t="str">
        <f>IF('01_Stations'!$AN$9=1,"───","")</f>
        <v/>
      </c>
      <c r="H44" s="164" t="str">
        <f>IF('01_Stations'!$AN$10=1,"───","")</f>
        <v/>
      </c>
      <c r="I44" s="164" t="str">
        <f>IF('01_Stations'!$AN$11=1,"───","")</f>
        <v/>
      </c>
      <c r="J44" s="164" t="str">
        <f>IF('01_Stations'!$AN$12=1,"───","")</f>
        <v/>
      </c>
      <c r="K44" s="164" t="str">
        <f>IF('01_Stations'!$AN$13=1,"───","")</f>
        <v/>
      </c>
      <c r="L44" s="164" t="str">
        <f>IF('01_Stations'!$AN$14=1,"───","")</f>
        <v/>
      </c>
      <c r="M44" s="164" t="str">
        <f>IF('01_Stations'!$AN$15=1,"───","")</f>
        <v/>
      </c>
      <c r="N44" s="164" t="str">
        <f>IF('01_Stations'!$AN$16=1,"───","")</f>
        <v/>
      </c>
      <c r="O44" s="164" t="str">
        <f>IF('01_Stations'!$AN$17=1,"───","")</f>
        <v/>
      </c>
      <c r="P44" s="164" t="str">
        <f>IF('01_Stations'!$AN$18=1,"───","")</f>
        <v/>
      </c>
      <c r="Q44" s="164" t="str">
        <f>IF('01_Stations'!$AN$19=1,"───","")</f>
        <v/>
      </c>
      <c r="R44" s="164" t="str">
        <f>IF('01_Stations'!$AN$20=1,"───","")</f>
        <v/>
      </c>
      <c r="S44" s="164" t="str">
        <f>IF('01_Stations'!$AN$21=1,"───","")</f>
        <v/>
      </c>
      <c r="T44" s="164" t="str">
        <f>IF('01_Stations'!$AN$22=1,"───","")</f>
        <v/>
      </c>
      <c r="U44" s="164" t="str">
        <f>IF('01_Stations'!$AN$23=1,"───","")</f>
        <v/>
      </c>
      <c r="V44" s="164" t="str">
        <f>IF('01_Stations'!$AN$24=1,"───","")</f>
        <v/>
      </c>
      <c r="W44" s="164" t="str">
        <f>IF('01_Stations'!$AN$25=1,"───","")</f>
        <v/>
      </c>
      <c r="X44" s="164" t="str">
        <f>IF('01_Stations'!$AN$26=1,"───","")</f>
        <v/>
      </c>
      <c r="Y44" s="164" t="str">
        <f>IF('01_Stations'!$AN$27=1,"───","")</f>
        <v/>
      </c>
      <c r="Z44" s="164" t="str">
        <f>IF('01_Stations'!$AN$28=1,"───","")</f>
        <v/>
      </c>
      <c r="AA44" s="164" t="str">
        <f>IF('01_Stations'!$AN$29=1,"───","")</f>
        <v/>
      </c>
      <c r="AB44" s="164" t="str">
        <f>IF('01_Stations'!$AN$30=1,"───","")</f>
        <v/>
      </c>
      <c r="AC44" s="164" t="str">
        <f>IF('01_Stations'!$AN$31=1,"───","")</f>
        <v/>
      </c>
      <c r="AD44" s="164" t="str">
        <f>IF('01_Stations'!$AN$32=1,"───","")</f>
        <v/>
      </c>
      <c r="AE44" s="164" t="str">
        <f>IF('01_Stations'!$AN$33=1,"───","")</f>
        <v/>
      </c>
      <c r="AF44" s="164" t="str">
        <f>IF('01_Stations'!$AN$34=1,"───","")</f>
        <v/>
      </c>
      <c r="AG44" s="164" t="str">
        <f>IF('01_Stations'!$AN$35=1,"───","")</f>
        <v/>
      </c>
      <c r="AH44" s="164" t="str">
        <f>IF('01_Stations'!$AN$36=1,"───","")</f>
        <v/>
      </c>
      <c r="AI44" s="164" t="str">
        <f>IF('01_Stations'!$AN$37=1,"───","")</f>
        <v/>
      </c>
      <c r="AJ44" s="164" t="str">
        <f>IF('01_Stations'!$AN$38=1,"───","")</f>
        <v/>
      </c>
      <c r="AK44" s="164" t="str">
        <f>IF('01_Stations'!$AN$39=1,"───","")</f>
        <v/>
      </c>
      <c r="AL44" s="164" t="str">
        <f>IF('01_Stations'!$AN$40=1,"───","")</f>
        <v/>
      </c>
      <c r="AM44" s="164" t="str">
        <f>IF('01_Stations'!$AN$41=1,"───","")</f>
        <v/>
      </c>
      <c r="AN44" s="164" t="str">
        <f>IF('01_Stations'!$AN$42=1,"───","")</f>
        <v/>
      </c>
      <c r="AO44" s="164" t="str">
        <f>IF('01_Stations'!$AN$43=1,"───","")</f>
        <v/>
      </c>
      <c r="AP44" s="164" t="str">
        <f>IF('01_Stations'!$AN$44=1,"───","")</f>
        <v/>
      </c>
      <c r="AQ44" s="164" t="str">
        <f>IF('01_Stations'!$AN$45=1,"───","")</f>
        <v/>
      </c>
    </row>
    <row r="45" spans="1:43" ht="15" customHeight="1" x14ac:dyDescent="0.3">
      <c r="A45" s="237"/>
      <c r="B45" s="165" t="s">
        <v>232</v>
      </c>
      <c r="C45" s="166"/>
      <c r="D45" s="164" t="str">
        <f>IF('01_Stations'!$AO$6=1,"───","")</f>
        <v/>
      </c>
      <c r="E45" s="164" t="str">
        <f>IF('01_Stations'!$AO$7=1,"───","")</f>
        <v/>
      </c>
      <c r="F45" s="164" t="str">
        <f>IF('01_Stations'!$AO$8=1,"───","")</f>
        <v/>
      </c>
      <c r="G45" s="164" t="str">
        <f>IF('01_Stations'!$AO$9=1,"───","")</f>
        <v/>
      </c>
      <c r="H45" s="164" t="str">
        <f>IF('01_Stations'!$AO$10=1,"───","")</f>
        <v/>
      </c>
      <c r="I45" s="164" t="str">
        <f>IF('01_Stations'!$AO$11=1,"───","")</f>
        <v/>
      </c>
      <c r="J45" s="164" t="str">
        <f>IF('01_Stations'!$AO$12=1,"───","")</f>
        <v/>
      </c>
      <c r="K45" s="164" t="str">
        <f>IF('01_Stations'!$AO$13=1,"───","")</f>
        <v/>
      </c>
      <c r="L45" s="164" t="str">
        <f>IF('01_Stations'!$AO$14=1,"───","")</f>
        <v/>
      </c>
      <c r="M45" s="164" t="str">
        <f>IF('01_Stations'!$AO$15=1,"───","")</f>
        <v/>
      </c>
      <c r="N45" s="164" t="str">
        <f>IF('01_Stations'!$AO$16=1,"───","")</f>
        <v/>
      </c>
      <c r="O45" s="164" t="str">
        <f>IF('01_Stations'!$AO$17=1,"───","")</f>
        <v/>
      </c>
      <c r="P45" s="164" t="str">
        <f>IF('01_Stations'!$AO$18=1,"───","")</f>
        <v/>
      </c>
      <c r="Q45" s="164" t="str">
        <f>IF('01_Stations'!$AO$19=1,"───","")</f>
        <v/>
      </c>
      <c r="R45" s="164" t="str">
        <f>IF('01_Stations'!$AO$20=1,"───","")</f>
        <v/>
      </c>
      <c r="S45" s="164" t="str">
        <f>IF('01_Stations'!$AO$21=1,"───","")</f>
        <v/>
      </c>
      <c r="T45" s="164" t="str">
        <f>IF('01_Stations'!$AO$22=1,"───","")</f>
        <v/>
      </c>
      <c r="U45" s="164" t="str">
        <f>IF('01_Stations'!$AO$23=1,"───","")</f>
        <v/>
      </c>
      <c r="V45" s="164" t="str">
        <f>IF('01_Stations'!$AO$24=1,"───","")</f>
        <v/>
      </c>
      <c r="W45" s="164" t="str">
        <f>IF('01_Stations'!$AO$25=1,"───","")</f>
        <v/>
      </c>
      <c r="X45" s="164" t="str">
        <f>IF('01_Stations'!$AO$26=1,"───","")</f>
        <v/>
      </c>
      <c r="Y45" s="164" t="str">
        <f>IF('01_Stations'!$AO$27=1,"───","")</f>
        <v/>
      </c>
      <c r="Z45" s="164" t="str">
        <f>IF('01_Stations'!$AO$28=1,"───","")</f>
        <v/>
      </c>
      <c r="AA45" s="164" t="str">
        <f>IF('01_Stations'!$AO$29=1,"───","")</f>
        <v/>
      </c>
      <c r="AB45" s="164" t="str">
        <f>IF('01_Stations'!$AO$30=1,"───","")</f>
        <v/>
      </c>
      <c r="AC45" s="164" t="str">
        <f>IF('01_Stations'!$AO$31=1,"───","")</f>
        <v/>
      </c>
      <c r="AD45" s="164" t="str">
        <f>IF('01_Stations'!$AO$32=1,"───","")</f>
        <v/>
      </c>
      <c r="AE45" s="164" t="str">
        <f>IF('01_Stations'!$AO$33=1,"───","")</f>
        <v/>
      </c>
      <c r="AF45" s="164" t="str">
        <f>IF('01_Stations'!$AO$34=1,"───","")</f>
        <v/>
      </c>
      <c r="AG45" s="164" t="str">
        <f>IF('01_Stations'!$AO$35=1,"───","")</f>
        <v/>
      </c>
      <c r="AH45" s="164" t="str">
        <f>IF('01_Stations'!$AO$36=1,"───","")</f>
        <v/>
      </c>
      <c r="AI45" s="164" t="str">
        <f>IF('01_Stations'!$AO$37=1,"───","")</f>
        <v/>
      </c>
      <c r="AJ45" s="164" t="str">
        <f>IF('01_Stations'!$AO$38=1,"───","")</f>
        <v/>
      </c>
      <c r="AK45" s="164" t="str">
        <f>IF('01_Stations'!$AO$39=1,"───","")</f>
        <v/>
      </c>
      <c r="AL45" s="164" t="str">
        <f>IF('01_Stations'!$AO$40=1,"───","")</f>
        <v/>
      </c>
      <c r="AM45" s="164" t="str">
        <f>IF('01_Stations'!$AO$41=1,"───","")</f>
        <v/>
      </c>
      <c r="AN45" s="164" t="str">
        <f>IF('01_Stations'!$AO$42=1,"───","")</f>
        <v/>
      </c>
      <c r="AO45" s="164" t="str">
        <f>IF('01_Stations'!$AO$43=1,"───","")</f>
        <v/>
      </c>
      <c r="AP45" s="164" t="str">
        <f>IF('01_Stations'!$AO$44=1,"───","")</f>
        <v/>
      </c>
      <c r="AQ45" s="164" t="str">
        <f>IF('01_Stations'!$AO$45=1,"───","")</f>
        <v/>
      </c>
    </row>
    <row r="46" spans="1:43" x14ac:dyDescent="0.3">
      <c r="A46" s="64"/>
      <c r="B46" s="64"/>
      <c r="C46" s="64"/>
      <c r="D46" s="106"/>
      <c r="E46" s="106"/>
      <c r="F46" s="106"/>
      <c r="G46" s="106"/>
      <c r="H46" s="106"/>
      <c r="I46" s="106"/>
      <c r="J46" s="106"/>
      <c r="K46" s="106"/>
      <c r="L46" s="106"/>
      <c r="M46" s="106"/>
      <c r="N46" s="106"/>
      <c r="O46" s="106"/>
      <c r="P46" s="106"/>
      <c r="Q46" s="106"/>
      <c r="R46" s="106"/>
      <c r="S46" s="106"/>
      <c r="T46" s="106"/>
      <c r="U46" s="106"/>
      <c r="V46" s="106"/>
      <c r="W46" s="106"/>
      <c r="X46" s="106"/>
      <c r="Y46" s="106"/>
      <c r="Z46" s="106"/>
      <c r="AA46" s="106"/>
      <c r="AB46" s="106"/>
      <c r="AC46" s="106"/>
      <c r="AD46" s="106"/>
      <c r="AE46" s="106"/>
      <c r="AF46" s="106"/>
      <c r="AG46" s="106"/>
      <c r="AH46" s="106"/>
      <c r="AI46" s="106"/>
      <c r="AJ46" s="106"/>
      <c r="AK46" s="106"/>
      <c r="AL46" s="106"/>
      <c r="AM46" s="106"/>
      <c r="AN46" s="106"/>
      <c r="AO46" s="106"/>
      <c r="AP46" s="106"/>
      <c r="AQ46" s="106"/>
    </row>
    <row r="47" spans="1:43" ht="15" customHeight="1" thickBot="1" x14ac:dyDescent="0.35">
      <c r="A47" s="64"/>
      <c r="B47" s="64"/>
      <c r="C47" s="64"/>
      <c r="D47" s="106"/>
      <c r="E47" s="106"/>
      <c r="F47" s="106"/>
      <c r="G47" s="106"/>
      <c r="H47" s="106"/>
      <c r="I47" s="106"/>
      <c r="J47" s="106"/>
      <c r="K47" s="106"/>
      <c r="L47" s="106"/>
      <c r="M47" s="106"/>
      <c r="N47" s="106"/>
      <c r="O47" s="106"/>
      <c r="P47" s="106"/>
      <c r="Q47" s="106"/>
      <c r="R47" s="106"/>
      <c r="S47" s="106"/>
      <c r="T47" s="106"/>
      <c r="U47" s="106"/>
      <c r="V47" s="106"/>
      <c r="W47" s="106"/>
      <c r="X47" s="106"/>
      <c r="Y47" s="106"/>
      <c r="Z47" s="106"/>
      <c r="AA47" s="106"/>
      <c r="AB47" s="106"/>
      <c r="AC47" s="106"/>
      <c r="AD47" s="106"/>
      <c r="AE47" s="106"/>
      <c r="AF47" s="106"/>
      <c r="AG47" s="106"/>
      <c r="AH47" s="106"/>
      <c r="AI47" s="106"/>
      <c r="AJ47" s="106"/>
      <c r="AK47" s="106"/>
      <c r="AL47" s="106"/>
      <c r="AM47" s="106"/>
      <c r="AN47" s="106"/>
      <c r="AO47" s="106"/>
      <c r="AP47" s="106"/>
      <c r="AQ47" s="106"/>
    </row>
    <row r="48" spans="1:43" ht="19.95" customHeight="1" thickBot="1" x14ac:dyDescent="0.35">
      <c r="A48" s="174" t="s">
        <v>2223</v>
      </c>
      <c r="B48" s="172"/>
      <c r="C48" s="172"/>
      <c r="D48" s="173" t="str">
        <f>IF(P_Length_km*1000&lt;=2000,"— beyond the end of the road —","")</f>
        <v>— beyond the end of the road —</v>
      </c>
      <c r="E48" s="173"/>
      <c r="F48" s="173"/>
      <c r="G48" s="173"/>
      <c r="H48" s="173"/>
      <c r="I48" s="173"/>
      <c r="J48" s="173"/>
      <c r="K48" s="173"/>
      <c r="L48" s="173"/>
      <c r="M48" s="173"/>
      <c r="N48" s="173"/>
      <c r="O48" s="173"/>
      <c r="P48" s="173"/>
      <c r="Q48" s="173"/>
      <c r="R48" s="173"/>
      <c r="S48" s="173"/>
      <c r="T48" s="173"/>
      <c r="U48" s="173"/>
      <c r="V48" s="173"/>
      <c r="W48" s="173"/>
      <c r="X48" s="173"/>
      <c r="Y48" s="173"/>
      <c r="Z48" s="173"/>
      <c r="AA48" s="173"/>
      <c r="AB48" s="173"/>
      <c r="AC48" s="173"/>
      <c r="AD48" s="173"/>
      <c r="AE48" s="173"/>
      <c r="AF48" s="173"/>
      <c r="AG48" s="173"/>
      <c r="AH48" s="173"/>
      <c r="AI48" s="173"/>
      <c r="AJ48" s="173"/>
      <c r="AK48" s="173"/>
      <c r="AL48" s="173"/>
      <c r="AM48" s="173"/>
      <c r="AN48" s="173"/>
      <c r="AO48" s="173"/>
      <c r="AP48" s="173"/>
      <c r="AQ48" s="175"/>
    </row>
    <row r="49" spans="1:43" x14ac:dyDescent="0.3">
      <c r="A49" s="170" t="s">
        <v>2224</v>
      </c>
      <c r="B49" s="170"/>
      <c r="C49" s="170" t="s">
        <v>2204</v>
      </c>
      <c r="D49" s="171">
        <v>0</v>
      </c>
      <c r="E49" s="171"/>
      <c r="F49" s="171">
        <v>100</v>
      </c>
      <c r="G49" s="171"/>
      <c r="H49" s="171">
        <v>200</v>
      </c>
      <c r="I49" s="171"/>
      <c r="J49" s="171">
        <v>300</v>
      </c>
      <c r="K49" s="171"/>
      <c r="L49" s="171">
        <v>400</v>
      </c>
      <c r="M49" s="171"/>
      <c r="N49" s="171">
        <v>500</v>
      </c>
      <c r="O49" s="171"/>
      <c r="P49" s="171">
        <v>600</v>
      </c>
      <c r="Q49" s="171"/>
      <c r="R49" s="171">
        <v>700</v>
      </c>
      <c r="S49" s="171"/>
      <c r="T49" s="171">
        <v>800</v>
      </c>
      <c r="U49" s="171"/>
      <c r="V49" s="171">
        <v>900</v>
      </c>
      <c r="W49" s="171"/>
      <c r="X49" s="171">
        <v>0</v>
      </c>
      <c r="Y49" s="171"/>
      <c r="Z49" s="171">
        <v>100</v>
      </c>
      <c r="AA49" s="171"/>
      <c r="AB49" s="171">
        <v>200</v>
      </c>
      <c r="AC49" s="171"/>
      <c r="AD49" s="171">
        <v>300</v>
      </c>
      <c r="AE49" s="171"/>
      <c r="AF49" s="171">
        <v>400</v>
      </c>
      <c r="AG49" s="171"/>
      <c r="AH49" s="171">
        <v>500</v>
      </c>
      <c r="AI49" s="171"/>
      <c r="AJ49" s="171">
        <v>600</v>
      </c>
      <c r="AK49" s="171"/>
      <c r="AL49" s="171">
        <v>700</v>
      </c>
      <c r="AM49" s="171"/>
      <c r="AN49" s="171">
        <v>800</v>
      </c>
      <c r="AO49" s="171"/>
      <c r="AP49" s="171">
        <v>900</v>
      </c>
      <c r="AQ49" s="171"/>
    </row>
    <row r="50" spans="1:43" ht="15" customHeight="1" x14ac:dyDescent="0.3">
      <c r="A50" s="235" t="s">
        <v>2205</v>
      </c>
      <c r="B50" s="167" t="s">
        <v>263</v>
      </c>
      <c r="C50" s="168"/>
      <c r="D50" s="169" t="str">
        <f>IF('01_Stations'!$D$46=1,"▓","")</f>
        <v/>
      </c>
      <c r="E50" s="169" t="str">
        <f>IF('01_Stations'!$D$47=1,"▓","")</f>
        <v/>
      </c>
      <c r="F50" s="169" t="str">
        <f>IF('01_Stations'!$D$48=1,"▓","")</f>
        <v/>
      </c>
      <c r="G50" s="169" t="str">
        <f>IF('01_Stations'!$D$49=1,"▓","")</f>
        <v/>
      </c>
      <c r="H50" s="169" t="str">
        <f>IF('01_Stations'!$D$50=1,"▓","")</f>
        <v/>
      </c>
      <c r="I50" s="169" t="str">
        <f>IF('01_Stations'!$D$51=1,"▓","")</f>
        <v/>
      </c>
      <c r="J50" s="169" t="str">
        <f>IF('01_Stations'!$D$52=1,"▓","")</f>
        <v/>
      </c>
      <c r="K50" s="169" t="str">
        <f>IF('01_Stations'!$D$53=1,"▓","")</f>
        <v/>
      </c>
      <c r="L50" s="169" t="str">
        <f>IF('01_Stations'!$D$54=1,"▓","")</f>
        <v/>
      </c>
      <c r="M50" s="169" t="str">
        <f>IF('01_Stations'!$D$55=1,"▓","")</f>
        <v/>
      </c>
      <c r="N50" s="169" t="str">
        <f>IF('01_Stations'!$D$56=1,"▓","")</f>
        <v/>
      </c>
      <c r="O50" s="169" t="str">
        <f>IF('01_Stations'!$D$57=1,"▓","")</f>
        <v/>
      </c>
      <c r="P50" s="169" t="str">
        <f>IF('01_Stations'!$D$58=1,"▓","")</f>
        <v/>
      </c>
      <c r="Q50" s="169" t="str">
        <f>IF('01_Stations'!$D$59=1,"▓","")</f>
        <v/>
      </c>
      <c r="R50" s="169" t="str">
        <f>IF('01_Stations'!$D$60=1,"▓","")</f>
        <v/>
      </c>
      <c r="S50" s="169" t="str">
        <f>IF('01_Stations'!$D$61=1,"▓","")</f>
        <v/>
      </c>
      <c r="T50" s="169" t="str">
        <f>IF('01_Stations'!$D$62=1,"▓","")</f>
        <v/>
      </c>
      <c r="U50" s="169" t="str">
        <f>IF('01_Stations'!$D$63=1,"▓","")</f>
        <v/>
      </c>
      <c r="V50" s="169" t="str">
        <f>IF('01_Stations'!$D$64=1,"▓","")</f>
        <v/>
      </c>
      <c r="W50" s="169" t="str">
        <f>IF('01_Stations'!$D$65=1,"▓","")</f>
        <v/>
      </c>
      <c r="X50" s="169" t="str">
        <f>IF('01_Stations'!$D$66=1,"▓","")</f>
        <v/>
      </c>
      <c r="Y50" s="169" t="str">
        <f>IF('01_Stations'!$D$67=1,"▓","")</f>
        <v/>
      </c>
      <c r="Z50" s="169" t="str">
        <f>IF('01_Stations'!$D$68=1,"▓","")</f>
        <v/>
      </c>
      <c r="AA50" s="169" t="str">
        <f>IF('01_Stations'!$D$69=1,"▓","")</f>
        <v/>
      </c>
      <c r="AB50" s="169" t="str">
        <f>IF('01_Stations'!$D$70=1,"▓","")</f>
        <v/>
      </c>
      <c r="AC50" s="169" t="str">
        <f>IF('01_Stations'!$D$71=1,"▓","")</f>
        <v/>
      </c>
      <c r="AD50" s="169" t="str">
        <f>IF('01_Stations'!$D$72=1,"▓","")</f>
        <v/>
      </c>
      <c r="AE50" s="169" t="str">
        <f>IF('01_Stations'!$D$73=1,"▓","")</f>
        <v/>
      </c>
      <c r="AF50" s="169" t="str">
        <f>IF('01_Stations'!$D$74=1,"▓","")</f>
        <v/>
      </c>
      <c r="AG50" s="169" t="str">
        <f>IF('01_Stations'!$D$75=1,"▓","")</f>
        <v/>
      </c>
      <c r="AH50" s="169" t="str">
        <f>IF('01_Stations'!$D$76=1,"▓","")</f>
        <v/>
      </c>
      <c r="AI50" s="169" t="str">
        <f>IF('01_Stations'!$D$77=1,"▓","")</f>
        <v/>
      </c>
      <c r="AJ50" s="169" t="str">
        <f>IF('01_Stations'!$D$78=1,"▓","")</f>
        <v/>
      </c>
      <c r="AK50" s="169" t="str">
        <f>IF('01_Stations'!$D$79=1,"▓","")</f>
        <v/>
      </c>
      <c r="AL50" s="169" t="str">
        <f>IF('01_Stations'!$D$80=1,"▓","")</f>
        <v/>
      </c>
      <c r="AM50" s="169" t="str">
        <f>IF('01_Stations'!$D$81=1,"▓","")</f>
        <v/>
      </c>
      <c r="AN50" s="169" t="str">
        <f>IF('01_Stations'!$D$82=1,"▓","")</f>
        <v/>
      </c>
      <c r="AO50" s="169" t="str">
        <f>IF('01_Stations'!$D$83=1,"▓","")</f>
        <v/>
      </c>
      <c r="AP50" s="169" t="str">
        <f>IF('01_Stations'!$D$84=1,"▓","")</f>
        <v/>
      </c>
      <c r="AQ50" s="169" t="str">
        <f>IF('01_Stations'!$D$85=1,"▓","")</f>
        <v/>
      </c>
    </row>
    <row r="51" spans="1:43" ht="15" customHeight="1" x14ac:dyDescent="0.3">
      <c r="A51" s="236"/>
      <c r="B51" s="165" t="s">
        <v>2206</v>
      </c>
      <c r="C51" s="166"/>
      <c r="D51" s="164" t="str">
        <f>IF('01_Stations'!$E$46="","",'01_Stations'!$E$46)</f>
        <v/>
      </c>
      <c r="E51" s="164" t="str">
        <f>IF('01_Stations'!$E$47="","",'01_Stations'!$E$47)</f>
        <v/>
      </c>
      <c r="F51" s="164" t="str">
        <f>IF('01_Stations'!$E$48="","",'01_Stations'!$E$48)</f>
        <v/>
      </c>
      <c r="G51" s="164" t="str">
        <f>IF('01_Stations'!$E$49="","",'01_Stations'!$E$49)</f>
        <v/>
      </c>
      <c r="H51" s="164" t="str">
        <f>IF('01_Stations'!$E$50="","",'01_Stations'!$E$50)</f>
        <v/>
      </c>
      <c r="I51" s="164" t="str">
        <f>IF('01_Stations'!$E$51="","",'01_Stations'!$E$51)</f>
        <v/>
      </c>
      <c r="J51" s="164" t="str">
        <f>IF('01_Stations'!$E$52="","",'01_Stations'!$E$52)</f>
        <v/>
      </c>
      <c r="K51" s="164" t="str">
        <f>IF('01_Stations'!$E$53="","",'01_Stations'!$E$53)</f>
        <v/>
      </c>
      <c r="L51" s="164" t="str">
        <f>IF('01_Stations'!$E$54="","",'01_Stations'!$E$54)</f>
        <v/>
      </c>
      <c r="M51" s="164" t="str">
        <f>IF('01_Stations'!$E$55="","",'01_Stations'!$E$55)</f>
        <v/>
      </c>
      <c r="N51" s="164" t="str">
        <f>IF('01_Stations'!$E$56="","",'01_Stations'!$E$56)</f>
        <v/>
      </c>
      <c r="O51" s="164" t="str">
        <f>IF('01_Stations'!$E$57="","",'01_Stations'!$E$57)</f>
        <v/>
      </c>
      <c r="P51" s="164" t="str">
        <f>IF('01_Stations'!$E$58="","",'01_Stations'!$E$58)</f>
        <v/>
      </c>
      <c r="Q51" s="164" t="str">
        <f>IF('01_Stations'!$E$59="","",'01_Stations'!$E$59)</f>
        <v/>
      </c>
      <c r="R51" s="164" t="str">
        <f>IF('01_Stations'!$E$60="","",'01_Stations'!$E$60)</f>
        <v/>
      </c>
      <c r="S51" s="164" t="str">
        <f>IF('01_Stations'!$E$61="","",'01_Stations'!$E$61)</f>
        <v/>
      </c>
      <c r="T51" s="164" t="str">
        <f>IF('01_Stations'!$E$62="","",'01_Stations'!$E$62)</f>
        <v/>
      </c>
      <c r="U51" s="164" t="str">
        <f>IF('01_Stations'!$E$63="","",'01_Stations'!$E$63)</f>
        <v/>
      </c>
      <c r="V51" s="164" t="str">
        <f>IF('01_Stations'!$E$64="","",'01_Stations'!$E$64)</f>
        <v/>
      </c>
      <c r="W51" s="164" t="str">
        <f>IF('01_Stations'!$E$65="","",'01_Stations'!$E$65)</f>
        <v/>
      </c>
      <c r="X51" s="164" t="str">
        <f>IF('01_Stations'!$E$66="","",'01_Stations'!$E$66)</f>
        <v/>
      </c>
      <c r="Y51" s="164" t="str">
        <f>IF('01_Stations'!$E$67="","",'01_Stations'!$E$67)</f>
        <v/>
      </c>
      <c r="Z51" s="164" t="str">
        <f>IF('01_Stations'!$E$68="","",'01_Stations'!$E$68)</f>
        <v/>
      </c>
      <c r="AA51" s="164" t="str">
        <f>IF('01_Stations'!$E$69="","",'01_Stations'!$E$69)</f>
        <v/>
      </c>
      <c r="AB51" s="164" t="str">
        <f>IF('01_Stations'!$E$70="","",'01_Stations'!$E$70)</f>
        <v/>
      </c>
      <c r="AC51" s="164" t="str">
        <f>IF('01_Stations'!$E$71="","",'01_Stations'!$E$71)</f>
        <v/>
      </c>
      <c r="AD51" s="164" t="str">
        <f>IF('01_Stations'!$E$72="","",'01_Stations'!$E$72)</f>
        <v/>
      </c>
      <c r="AE51" s="164" t="str">
        <f>IF('01_Stations'!$E$73="","",'01_Stations'!$E$73)</f>
        <v/>
      </c>
      <c r="AF51" s="164" t="str">
        <f>IF('01_Stations'!$E$74="","",'01_Stations'!$E$74)</f>
        <v/>
      </c>
      <c r="AG51" s="164" t="str">
        <f>IF('01_Stations'!$E$75="","",'01_Stations'!$E$75)</f>
        <v/>
      </c>
      <c r="AH51" s="164" t="str">
        <f>IF('01_Stations'!$E$76="","",'01_Stations'!$E$76)</f>
        <v/>
      </c>
      <c r="AI51" s="164" t="str">
        <f>IF('01_Stations'!$E$77="","",'01_Stations'!$E$77)</f>
        <v/>
      </c>
      <c r="AJ51" s="164" t="str">
        <f>IF('01_Stations'!$E$78="","",'01_Stations'!$E$78)</f>
        <v/>
      </c>
      <c r="AK51" s="164" t="str">
        <f>IF('01_Stations'!$E$79="","",'01_Stations'!$E$79)</f>
        <v/>
      </c>
      <c r="AL51" s="164" t="str">
        <f>IF('01_Stations'!$E$80="","",'01_Stations'!$E$80)</f>
        <v/>
      </c>
      <c r="AM51" s="164" t="str">
        <f>IF('01_Stations'!$E$81="","",'01_Stations'!$E$81)</f>
        <v/>
      </c>
      <c r="AN51" s="164" t="str">
        <f>IF('01_Stations'!$E$82="","",'01_Stations'!$E$82)</f>
        <v/>
      </c>
      <c r="AO51" s="164" t="str">
        <f>IF('01_Stations'!$E$83="","",'01_Stations'!$E$83)</f>
        <v/>
      </c>
      <c r="AP51" s="164" t="str">
        <f>IF('01_Stations'!$E$84="","",'01_Stations'!$E$84)</f>
        <v/>
      </c>
      <c r="AQ51" s="164" t="str">
        <f>IF('01_Stations'!$E$85="","",'01_Stations'!$E$85)</f>
        <v/>
      </c>
    </row>
    <row r="52" spans="1:43" ht="15" customHeight="1" x14ac:dyDescent="0.3">
      <c r="A52" s="236"/>
      <c r="B52" s="165" t="s">
        <v>2207</v>
      </c>
      <c r="C52" s="166"/>
      <c r="D52" s="164" t="str">
        <f>IF('01_Stations'!$F$46=1,"───","")</f>
        <v/>
      </c>
      <c r="E52" s="164" t="str">
        <f>IF('01_Stations'!$F$47=1,"───","")</f>
        <v/>
      </c>
      <c r="F52" s="164" t="str">
        <f>IF('01_Stations'!$F$48=1,"───","")</f>
        <v/>
      </c>
      <c r="G52" s="164" t="str">
        <f>IF('01_Stations'!$F$49=1,"───","")</f>
        <v/>
      </c>
      <c r="H52" s="164" t="str">
        <f>IF('01_Stations'!$F$50=1,"───","")</f>
        <v/>
      </c>
      <c r="I52" s="164" t="str">
        <f>IF('01_Stations'!$F$51=1,"───","")</f>
        <v/>
      </c>
      <c r="J52" s="164" t="str">
        <f>IF('01_Stations'!$F$52=1,"───","")</f>
        <v/>
      </c>
      <c r="K52" s="164" t="str">
        <f>IF('01_Stations'!$F$53=1,"───","")</f>
        <v/>
      </c>
      <c r="L52" s="164" t="str">
        <f>IF('01_Stations'!$F$54=1,"───","")</f>
        <v/>
      </c>
      <c r="M52" s="164" t="str">
        <f>IF('01_Stations'!$F$55=1,"───","")</f>
        <v/>
      </c>
      <c r="N52" s="164" t="str">
        <f>IF('01_Stations'!$F$56=1,"───","")</f>
        <v/>
      </c>
      <c r="O52" s="164" t="str">
        <f>IF('01_Stations'!$F$57=1,"───","")</f>
        <v/>
      </c>
      <c r="P52" s="164" t="str">
        <f>IF('01_Stations'!$F$58=1,"───","")</f>
        <v/>
      </c>
      <c r="Q52" s="164" t="str">
        <f>IF('01_Stations'!$F$59=1,"───","")</f>
        <v/>
      </c>
      <c r="R52" s="164" t="str">
        <f>IF('01_Stations'!$F$60=1,"───","")</f>
        <v/>
      </c>
      <c r="S52" s="164" t="str">
        <f>IF('01_Stations'!$F$61=1,"───","")</f>
        <v/>
      </c>
      <c r="T52" s="164" t="str">
        <f>IF('01_Stations'!$F$62=1,"───","")</f>
        <v/>
      </c>
      <c r="U52" s="164" t="str">
        <f>IF('01_Stations'!$F$63=1,"───","")</f>
        <v/>
      </c>
      <c r="V52" s="164" t="str">
        <f>IF('01_Stations'!$F$64=1,"───","")</f>
        <v/>
      </c>
      <c r="W52" s="164" t="str">
        <f>IF('01_Stations'!$F$65=1,"───","")</f>
        <v/>
      </c>
      <c r="X52" s="164" t="str">
        <f>IF('01_Stations'!$F$66=1,"───","")</f>
        <v/>
      </c>
      <c r="Y52" s="164" t="str">
        <f>IF('01_Stations'!$F$67=1,"───","")</f>
        <v/>
      </c>
      <c r="Z52" s="164" t="str">
        <f>IF('01_Stations'!$F$68=1,"───","")</f>
        <v/>
      </c>
      <c r="AA52" s="164" t="str">
        <f>IF('01_Stations'!$F$69=1,"───","")</f>
        <v/>
      </c>
      <c r="AB52" s="164" t="str">
        <f>IF('01_Stations'!$F$70=1,"───","")</f>
        <v/>
      </c>
      <c r="AC52" s="164" t="str">
        <f>IF('01_Stations'!$F$71=1,"───","")</f>
        <v/>
      </c>
      <c r="AD52" s="164" t="str">
        <f>IF('01_Stations'!$F$72=1,"───","")</f>
        <v/>
      </c>
      <c r="AE52" s="164" t="str">
        <f>IF('01_Stations'!$F$73=1,"───","")</f>
        <v/>
      </c>
      <c r="AF52" s="164" t="str">
        <f>IF('01_Stations'!$F$74=1,"───","")</f>
        <v/>
      </c>
      <c r="AG52" s="164" t="str">
        <f>IF('01_Stations'!$F$75=1,"───","")</f>
        <v/>
      </c>
      <c r="AH52" s="164" t="str">
        <f>IF('01_Stations'!$F$76=1,"───","")</f>
        <v/>
      </c>
      <c r="AI52" s="164" t="str">
        <f>IF('01_Stations'!$F$77=1,"───","")</f>
        <v/>
      </c>
      <c r="AJ52" s="164" t="str">
        <f>IF('01_Stations'!$F$78=1,"───","")</f>
        <v/>
      </c>
      <c r="AK52" s="164" t="str">
        <f>IF('01_Stations'!$F$79=1,"───","")</f>
        <v/>
      </c>
      <c r="AL52" s="164" t="str">
        <f>IF('01_Stations'!$F$80=1,"───","")</f>
        <v/>
      </c>
      <c r="AM52" s="164" t="str">
        <f>IF('01_Stations'!$F$81=1,"───","")</f>
        <v/>
      </c>
      <c r="AN52" s="164" t="str">
        <f>IF('01_Stations'!$F$82=1,"───","")</f>
        <v/>
      </c>
      <c r="AO52" s="164" t="str">
        <f>IF('01_Stations'!$F$83=1,"───","")</f>
        <v/>
      </c>
      <c r="AP52" s="164" t="str">
        <f>IF('01_Stations'!$F$84=1,"───","")</f>
        <v/>
      </c>
      <c r="AQ52" s="164" t="str">
        <f>IF('01_Stations'!$F$85=1,"───","")</f>
        <v/>
      </c>
    </row>
    <row r="53" spans="1:43" ht="15" customHeight="1" x14ac:dyDescent="0.3">
      <c r="A53" s="236"/>
      <c r="B53" s="165" t="s">
        <v>265</v>
      </c>
      <c r="C53" s="166" t="s">
        <v>299</v>
      </c>
      <c r="D53" s="164" t="str">
        <f>IF(N('01_Stations'!$G$46)&gt;0,'01_Stations'!$G$46,"")</f>
        <v/>
      </c>
      <c r="E53" s="164" t="str">
        <f>IF(N('01_Stations'!$G$47)&gt;0,'01_Stations'!$G$47,"")</f>
        <v/>
      </c>
      <c r="F53" s="164" t="str">
        <f>IF(N('01_Stations'!$G$48)&gt;0,'01_Stations'!$G$48,"")</f>
        <v/>
      </c>
      <c r="G53" s="164" t="str">
        <f>IF(N('01_Stations'!$G$49)&gt;0,'01_Stations'!$G$49,"")</f>
        <v/>
      </c>
      <c r="H53" s="164" t="str">
        <f>IF(N('01_Stations'!$G$50)&gt;0,'01_Stations'!$G$50,"")</f>
        <v/>
      </c>
      <c r="I53" s="164" t="str">
        <f>IF(N('01_Stations'!$G$51)&gt;0,'01_Stations'!$G$51,"")</f>
        <v/>
      </c>
      <c r="J53" s="164" t="str">
        <f>IF(N('01_Stations'!$G$52)&gt;0,'01_Stations'!$G$52,"")</f>
        <v/>
      </c>
      <c r="K53" s="164" t="str">
        <f>IF(N('01_Stations'!$G$53)&gt;0,'01_Stations'!$G$53,"")</f>
        <v/>
      </c>
      <c r="L53" s="164" t="str">
        <f>IF(N('01_Stations'!$G$54)&gt;0,'01_Stations'!$G$54,"")</f>
        <v/>
      </c>
      <c r="M53" s="164" t="str">
        <f>IF(N('01_Stations'!$G$55)&gt;0,'01_Stations'!$G$55,"")</f>
        <v/>
      </c>
      <c r="N53" s="164" t="str">
        <f>IF(N('01_Stations'!$G$56)&gt;0,'01_Stations'!$G$56,"")</f>
        <v/>
      </c>
      <c r="O53" s="164" t="str">
        <f>IF(N('01_Stations'!$G$57)&gt;0,'01_Stations'!$G$57,"")</f>
        <v/>
      </c>
      <c r="P53" s="164" t="str">
        <f>IF(N('01_Stations'!$G$58)&gt;0,'01_Stations'!$G$58,"")</f>
        <v/>
      </c>
      <c r="Q53" s="164" t="str">
        <f>IF(N('01_Stations'!$G$59)&gt;0,'01_Stations'!$G$59,"")</f>
        <v/>
      </c>
      <c r="R53" s="164" t="str">
        <f>IF(N('01_Stations'!$G$60)&gt;0,'01_Stations'!$G$60,"")</f>
        <v/>
      </c>
      <c r="S53" s="164" t="str">
        <f>IF(N('01_Stations'!$G$61)&gt;0,'01_Stations'!$G$61,"")</f>
        <v/>
      </c>
      <c r="T53" s="164" t="str">
        <f>IF(N('01_Stations'!$G$62)&gt;0,'01_Stations'!$G$62,"")</f>
        <v/>
      </c>
      <c r="U53" s="164" t="str">
        <f>IF(N('01_Stations'!$G$63)&gt;0,'01_Stations'!$G$63,"")</f>
        <v/>
      </c>
      <c r="V53" s="164" t="str">
        <f>IF(N('01_Stations'!$G$64)&gt;0,'01_Stations'!$G$64,"")</f>
        <v/>
      </c>
      <c r="W53" s="164" t="str">
        <f>IF(N('01_Stations'!$G$65)&gt;0,'01_Stations'!$G$65,"")</f>
        <v/>
      </c>
      <c r="X53" s="164" t="str">
        <f>IF(N('01_Stations'!$G$66)&gt;0,'01_Stations'!$G$66,"")</f>
        <v/>
      </c>
      <c r="Y53" s="164" t="str">
        <f>IF(N('01_Stations'!$G$67)&gt;0,'01_Stations'!$G$67,"")</f>
        <v/>
      </c>
      <c r="Z53" s="164" t="str">
        <f>IF(N('01_Stations'!$G$68)&gt;0,'01_Stations'!$G$68,"")</f>
        <v/>
      </c>
      <c r="AA53" s="164" t="str">
        <f>IF(N('01_Stations'!$G$69)&gt;0,'01_Stations'!$G$69,"")</f>
        <v/>
      </c>
      <c r="AB53" s="164" t="str">
        <f>IF(N('01_Stations'!$G$70)&gt;0,'01_Stations'!$G$70,"")</f>
        <v/>
      </c>
      <c r="AC53" s="164" t="str">
        <f>IF(N('01_Stations'!$G$71)&gt;0,'01_Stations'!$G$71,"")</f>
        <v/>
      </c>
      <c r="AD53" s="164" t="str">
        <f>IF(N('01_Stations'!$G$72)&gt;0,'01_Stations'!$G$72,"")</f>
        <v/>
      </c>
      <c r="AE53" s="164" t="str">
        <f>IF(N('01_Stations'!$G$73)&gt;0,'01_Stations'!$G$73,"")</f>
        <v/>
      </c>
      <c r="AF53" s="164" t="str">
        <f>IF(N('01_Stations'!$G$74)&gt;0,'01_Stations'!$G$74,"")</f>
        <v/>
      </c>
      <c r="AG53" s="164" t="str">
        <f>IF(N('01_Stations'!$G$75)&gt;0,'01_Stations'!$G$75,"")</f>
        <v/>
      </c>
      <c r="AH53" s="164" t="str">
        <f>IF(N('01_Stations'!$G$76)&gt;0,'01_Stations'!$G$76,"")</f>
        <v/>
      </c>
      <c r="AI53" s="164" t="str">
        <f>IF(N('01_Stations'!$G$77)&gt;0,'01_Stations'!$G$77,"")</f>
        <v/>
      </c>
      <c r="AJ53" s="164" t="str">
        <f>IF(N('01_Stations'!$G$78)&gt;0,'01_Stations'!$G$78,"")</f>
        <v/>
      </c>
      <c r="AK53" s="164" t="str">
        <f>IF(N('01_Stations'!$G$79)&gt;0,'01_Stations'!$G$79,"")</f>
        <v/>
      </c>
      <c r="AL53" s="164" t="str">
        <f>IF(N('01_Stations'!$G$80)&gt;0,'01_Stations'!$G$80,"")</f>
        <v/>
      </c>
      <c r="AM53" s="164" t="str">
        <f>IF(N('01_Stations'!$G$81)&gt;0,'01_Stations'!$G$81,"")</f>
        <v/>
      </c>
      <c r="AN53" s="164" t="str">
        <f>IF(N('01_Stations'!$G$82)&gt;0,'01_Stations'!$G$82,"")</f>
        <v/>
      </c>
      <c r="AO53" s="164" t="str">
        <f>IF(N('01_Stations'!$G$83)&gt;0,'01_Stations'!$G$83,"")</f>
        <v/>
      </c>
      <c r="AP53" s="164" t="str">
        <f>IF(N('01_Stations'!$G$84)&gt;0,'01_Stations'!$G$84,"")</f>
        <v/>
      </c>
      <c r="AQ53" s="164" t="str">
        <f>IF(N('01_Stations'!$G$85)&gt;0,'01_Stations'!$G$85,"")</f>
        <v/>
      </c>
    </row>
    <row r="54" spans="1:43" ht="15" customHeight="1" x14ac:dyDescent="0.3">
      <c r="A54" s="236"/>
      <c r="B54" s="165" t="s">
        <v>1866</v>
      </c>
      <c r="C54" s="166" t="s">
        <v>300</v>
      </c>
      <c r="D54" s="164" t="str">
        <f>IF(N('01_Stations'!$H$46)&gt;0,'01_Stations'!$H$46,"")</f>
        <v/>
      </c>
      <c r="E54" s="164" t="str">
        <f>IF(N('01_Stations'!$H$47)&gt;0,'01_Stations'!$H$47,"")</f>
        <v/>
      </c>
      <c r="F54" s="164" t="str">
        <f>IF(N('01_Stations'!$H$48)&gt;0,'01_Stations'!$H$48,"")</f>
        <v/>
      </c>
      <c r="G54" s="164" t="str">
        <f>IF(N('01_Stations'!$H$49)&gt;0,'01_Stations'!$H$49,"")</f>
        <v/>
      </c>
      <c r="H54" s="164" t="str">
        <f>IF(N('01_Stations'!$H$50)&gt;0,'01_Stations'!$H$50,"")</f>
        <v/>
      </c>
      <c r="I54" s="164" t="str">
        <f>IF(N('01_Stations'!$H$51)&gt;0,'01_Stations'!$H$51,"")</f>
        <v/>
      </c>
      <c r="J54" s="164" t="str">
        <f>IF(N('01_Stations'!$H$52)&gt;0,'01_Stations'!$H$52,"")</f>
        <v/>
      </c>
      <c r="K54" s="164" t="str">
        <f>IF(N('01_Stations'!$H$53)&gt;0,'01_Stations'!$H$53,"")</f>
        <v/>
      </c>
      <c r="L54" s="164" t="str">
        <f>IF(N('01_Stations'!$H$54)&gt;0,'01_Stations'!$H$54,"")</f>
        <v/>
      </c>
      <c r="M54" s="164" t="str">
        <f>IF(N('01_Stations'!$H$55)&gt;0,'01_Stations'!$H$55,"")</f>
        <v/>
      </c>
      <c r="N54" s="164" t="str">
        <f>IF(N('01_Stations'!$H$56)&gt;0,'01_Stations'!$H$56,"")</f>
        <v/>
      </c>
      <c r="O54" s="164" t="str">
        <f>IF(N('01_Stations'!$H$57)&gt;0,'01_Stations'!$H$57,"")</f>
        <v/>
      </c>
      <c r="P54" s="164" t="str">
        <f>IF(N('01_Stations'!$H$58)&gt;0,'01_Stations'!$H$58,"")</f>
        <v/>
      </c>
      <c r="Q54" s="164" t="str">
        <f>IF(N('01_Stations'!$H$59)&gt;0,'01_Stations'!$H$59,"")</f>
        <v/>
      </c>
      <c r="R54" s="164" t="str">
        <f>IF(N('01_Stations'!$H$60)&gt;0,'01_Stations'!$H$60,"")</f>
        <v/>
      </c>
      <c r="S54" s="164" t="str">
        <f>IF(N('01_Stations'!$H$61)&gt;0,'01_Stations'!$H$61,"")</f>
        <v/>
      </c>
      <c r="T54" s="164" t="str">
        <f>IF(N('01_Stations'!$H$62)&gt;0,'01_Stations'!$H$62,"")</f>
        <v/>
      </c>
      <c r="U54" s="164" t="str">
        <f>IF(N('01_Stations'!$H$63)&gt;0,'01_Stations'!$H$63,"")</f>
        <v/>
      </c>
      <c r="V54" s="164" t="str">
        <f>IF(N('01_Stations'!$H$64)&gt;0,'01_Stations'!$H$64,"")</f>
        <v/>
      </c>
      <c r="W54" s="164" t="str">
        <f>IF(N('01_Stations'!$H$65)&gt;0,'01_Stations'!$H$65,"")</f>
        <v/>
      </c>
      <c r="X54" s="164" t="str">
        <f>IF(N('01_Stations'!$H$66)&gt;0,'01_Stations'!$H$66,"")</f>
        <v/>
      </c>
      <c r="Y54" s="164" t="str">
        <f>IF(N('01_Stations'!$H$67)&gt;0,'01_Stations'!$H$67,"")</f>
        <v/>
      </c>
      <c r="Z54" s="164" t="str">
        <f>IF(N('01_Stations'!$H$68)&gt;0,'01_Stations'!$H$68,"")</f>
        <v/>
      </c>
      <c r="AA54" s="164" t="str">
        <f>IF(N('01_Stations'!$H$69)&gt;0,'01_Stations'!$H$69,"")</f>
        <v/>
      </c>
      <c r="AB54" s="164" t="str">
        <f>IF(N('01_Stations'!$H$70)&gt;0,'01_Stations'!$H$70,"")</f>
        <v/>
      </c>
      <c r="AC54" s="164" t="str">
        <f>IF(N('01_Stations'!$H$71)&gt;0,'01_Stations'!$H$71,"")</f>
        <v/>
      </c>
      <c r="AD54" s="164" t="str">
        <f>IF(N('01_Stations'!$H$72)&gt;0,'01_Stations'!$H$72,"")</f>
        <v/>
      </c>
      <c r="AE54" s="164" t="str">
        <f>IF(N('01_Stations'!$H$73)&gt;0,'01_Stations'!$H$73,"")</f>
        <v/>
      </c>
      <c r="AF54" s="164" t="str">
        <f>IF(N('01_Stations'!$H$74)&gt;0,'01_Stations'!$H$74,"")</f>
        <v/>
      </c>
      <c r="AG54" s="164" t="str">
        <f>IF(N('01_Stations'!$H$75)&gt;0,'01_Stations'!$H$75,"")</f>
        <v/>
      </c>
      <c r="AH54" s="164" t="str">
        <f>IF(N('01_Stations'!$H$76)&gt;0,'01_Stations'!$H$76,"")</f>
        <v/>
      </c>
      <c r="AI54" s="164" t="str">
        <f>IF(N('01_Stations'!$H$77)&gt;0,'01_Stations'!$H$77,"")</f>
        <v/>
      </c>
      <c r="AJ54" s="164" t="str">
        <f>IF(N('01_Stations'!$H$78)&gt;0,'01_Stations'!$H$78,"")</f>
        <v/>
      </c>
      <c r="AK54" s="164" t="str">
        <f>IF(N('01_Stations'!$H$79)&gt;0,'01_Stations'!$H$79,"")</f>
        <v/>
      </c>
      <c r="AL54" s="164" t="str">
        <f>IF(N('01_Stations'!$H$80)&gt;0,'01_Stations'!$H$80,"")</f>
        <v/>
      </c>
      <c r="AM54" s="164" t="str">
        <f>IF(N('01_Stations'!$H$81)&gt;0,'01_Stations'!$H$81,"")</f>
        <v/>
      </c>
      <c r="AN54" s="164" t="str">
        <f>IF(N('01_Stations'!$H$82)&gt;0,'01_Stations'!$H$82,"")</f>
        <v/>
      </c>
      <c r="AO54" s="164" t="str">
        <f>IF(N('01_Stations'!$H$83)&gt;0,'01_Stations'!$H$83,"")</f>
        <v/>
      </c>
      <c r="AP54" s="164" t="str">
        <f>IF(N('01_Stations'!$H$84)&gt;0,'01_Stations'!$H$84,"")</f>
        <v/>
      </c>
      <c r="AQ54" s="164" t="str">
        <f>IF(N('01_Stations'!$H$85)&gt;0,'01_Stations'!$H$85,"")</f>
        <v/>
      </c>
    </row>
    <row r="55" spans="1:43" ht="15" customHeight="1" x14ac:dyDescent="0.3">
      <c r="A55" s="236"/>
      <c r="B55" s="165" t="s">
        <v>267</v>
      </c>
      <c r="C55" s="166"/>
      <c r="D55" s="164" t="str">
        <f>IF('01_Stations'!$I$46=1,"───","")</f>
        <v/>
      </c>
      <c r="E55" s="164" t="str">
        <f>IF('01_Stations'!$I$47=1,"───","")</f>
        <v/>
      </c>
      <c r="F55" s="164" t="str">
        <f>IF('01_Stations'!$I$48=1,"───","")</f>
        <v/>
      </c>
      <c r="G55" s="164" t="str">
        <f>IF('01_Stations'!$I$49=1,"───","")</f>
        <v/>
      </c>
      <c r="H55" s="164" t="str">
        <f>IF('01_Stations'!$I$50=1,"───","")</f>
        <v/>
      </c>
      <c r="I55" s="164" t="str">
        <f>IF('01_Stations'!$I$51=1,"───","")</f>
        <v/>
      </c>
      <c r="J55" s="164" t="str">
        <f>IF('01_Stations'!$I$52=1,"───","")</f>
        <v/>
      </c>
      <c r="K55" s="164" t="str">
        <f>IF('01_Stations'!$I$53=1,"───","")</f>
        <v/>
      </c>
      <c r="L55" s="164" t="str">
        <f>IF('01_Stations'!$I$54=1,"───","")</f>
        <v/>
      </c>
      <c r="M55" s="164" t="str">
        <f>IF('01_Stations'!$I$55=1,"───","")</f>
        <v/>
      </c>
      <c r="N55" s="164" t="str">
        <f>IF('01_Stations'!$I$56=1,"───","")</f>
        <v/>
      </c>
      <c r="O55" s="164" t="str">
        <f>IF('01_Stations'!$I$57=1,"───","")</f>
        <v/>
      </c>
      <c r="P55" s="164" t="str">
        <f>IF('01_Stations'!$I$58=1,"───","")</f>
        <v/>
      </c>
      <c r="Q55" s="164" t="str">
        <f>IF('01_Stations'!$I$59=1,"───","")</f>
        <v/>
      </c>
      <c r="R55" s="164" t="str">
        <f>IF('01_Stations'!$I$60=1,"───","")</f>
        <v/>
      </c>
      <c r="S55" s="164" t="str">
        <f>IF('01_Stations'!$I$61=1,"───","")</f>
        <v/>
      </c>
      <c r="T55" s="164" t="str">
        <f>IF('01_Stations'!$I$62=1,"───","")</f>
        <v/>
      </c>
      <c r="U55" s="164" t="str">
        <f>IF('01_Stations'!$I$63=1,"───","")</f>
        <v/>
      </c>
      <c r="V55" s="164" t="str">
        <f>IF('01_Stations'!$I$64=1,"───","")</f>
        <v/>
      </c>
      <c r="W55" s="164" t="str">
        <f>IF('01_Stations'!$I$65=1,"───","")</f>
        <v/>
      </c>
      <c r="X55" s="164" t="str">
        <f>IF('01_Stations'!$I$66=1,"───","")</f>
        <v/>
      </c>
      <c r="Y55" s="164" t="str">
        <f>IF('01_Stations'!$I$67=1,"───","")</f>
        <v/>
      </c>
      <c r="Z55" s="164" t="str">
        <f>IF('01_Stations'!$I$68=1,"───","")</f>
        <v/>
      </c>
      <c r="AA55" s="164" t="str">
        <f>IF('01_Stations'!$I$69=1,"───","")</f>
        <v/>
      </c>
      <c r="AB55" s="164" t="str">
        <f>IF('01_Stations'!$I$70=1,"───","")</f>
        <v/>
      </c>
      <c r="AC55" s="164" t="str">
        <f>IF('01_Stations'!$I$71=1,"───","")</f>
        <v/>
      </c>
      <c r="AD55" s="164" t="str">
        <f>IF('01_Stations'!$I$72=1,"───","")</f>
        <v/>
      </c>
      <c r="AE55" s="164" t="str">
        <f>IF('01_Stations'!$I$73=1,"───","")</f>
        <v/>
      </c>
      <c r="AF55" s="164" t="str">
        <f>IF('01_Stations'!$I$74=1,"───","")</f>
        <v/>
      </c>
      <c r="AG55" s="164" t="str">
        <f>IF('01_Stations'!$I$75=1,"───","")</f>
        <v/>
      </c>
      <c r="AH55" s="164" t="str">
        <f>IF('01_Stations'!$I$76=1,"───","")</f>
        <v/>
      </c>
      <c r="AI55" s="164" t="str">
        <f>IF('01_Stations'!$I$77=1,"───","")</f>
        <v/>
      </c>
      <c r="AJ55" s="164" t="str">
        <f>IF('01_Stations'!$I$78=1,"───","")</f>
        <v/>
      </c>
      <c r="AK55" s="164" t="str">
        <f>IF('01_Stations'!$I$79=1,"───","")</f>
        <v/>
      </c>
      <c r="AL55" s="164" t="str">
        <f>IF('01_Stations'!$I$80=1,"───","")</f>
        <v/>
      </c>
      <c r="AM55" s="164" t="str">
        <f>IF('01_Stations'!$I$81=1,"───","")</f>
        <v/>
      </c>
      <c r="AN55" s="164" t="str">
        <f>IF('01_Stations'!$I$82=1,"───","")</f>
        <v/>
      </c>
      <c r="AO55" s="164" t="str">
        <f>IF('01_Stations'!$I$83=1,"───","")</f>
        <v/>
      </c>
      <c r="AP55" s="164" t="str">
        <f>IF('01_Stations'!$I$84=1,"───","")</f>
        <v/>
      </c>
      <c r="AQ55" s="164" t="str">
        <f>IF('01_Stations'!$I$85=1,"───","")</f>
        <v/>
      </c>
    </row>
    <row r="56" spans="1:43" ht="15" customHeight="1" x14ac:dyDescent="0.3">
      <c r="A56" s="236"/>
      <c r="B56" s="165" t="s">
        <v>268</v>
      </c>
      <c r="C56" s="166" t="s">
        <v>299</v>
      </c>
      <c r="D56" s="164" t="str">
        <f>IF(N('01_Stations'!$J$46)&gt;0,'01_Stations'!$J$46,"")</f>
        <v/>
      </c>
      <c r="E56" s="164" t="str">
        <f>IF(N('01_Stations'!$J$47)&gt;0,'01_Stations'!$J$47,"")</f>
        <v/>
      </c>
      <c r="F56" s="164" t="str">
        <f>IF(N('01_Stations'!$J$48)&gt;0,'01_Stations'!$J$48,"")</f>
        <v/>
      </c>
      <c r="G56" s="164" t="str">
        <f>IF(N('01_Stations'!$J$49)&gt;0,'01_Stations'!$J$49,"")</f>
        <v/>
      </c>
      <c r="H56" s="164" t="str">
        <f>IF(N('01_Stations'!$J$50)&gt;0,'01_Stations'!$J$50,"")</f>
        <v/>
      </c>
      <c r="I56" s="164" t="str">
        <f>IF(N('01_Stations'!$J$51)&gt;0,'01_Stations'!$J$51,"")</f>
        <v/>
      </c>
      <c r="J56" s="164" t="str">
        <f>IF(N('01_Stations'!$J$52)&gt;0,'01_Stations'!$J$52,"")</f>
        <v/>
      </c>
      <c r="K56" s="164" t="str">
        <f>IF(N('01_Stations'!$J$53)&gt;0,'01_Stations'!$J$53,"")</f>
        <v/>
      </c>
      <c r="L56" s="164" t="str">
        <f>IF(N('01_Stations'!$J$54)&gt;0,'01_Stations'!$J$54,"")</f>
        <v/>
      </c>
      <c r="M56" s="164" t="str">
        <f>IF(N('01_Stations'!$J$55)&gt;0,'01_Stations'!$J$55,"")</f>
        <v/>
      </c>
      <c r="N56" s="164" t="str">
        <f>IF(N('01_Stations'!$J$56)&gt;0,'01_Stations'!$J$56,"")</f>
        <v/>
      </c>
      <c r="O56" s="164" t="str">
        <f>IF(N('01_Stations'!$J$57)&gt;0,'01_Stations'!$J$57,"")</f>
        <v/>
      </c>
      <c r="P56" s="164" t="str">
        <f>IF(N('01_Stations'!$J$58)&gt;0,'01_Stations'!$J$58,"")</f>
        <v/>
      </c>
      <c r="Q56" s="164" t="str">
        <f>IF(N('01_Stations'!$J$59)&gt;0,'01_Stations'!$J$59,"")</f>
        <v/>
      </c>
      <c r="R56" s="164" t="str">
        <f>IF(N('01_Stations'!$J$60)&gt;0,'01_Stations'!$J$60,"")</f>
        <v/>
      </c>
      <c r="S56" s="164" t="str">
        <f>IF(N('01_Stations'!$J$61)&gt;0,'01_Stations'!$J$61,"")</f>
        <v/>
      </c>
      <c r="T56" s="164" t="str">
        <f>IF(N('01_Stations'!$J$62)&gt;0,'01_Stations'!$J$62,"")</f>
        <v/>
      </c>
      <c r="U56" s="164" t="str">
        <f>IF(N('01_Stations'!$J$63)&gt;0,'01_Stations'!$J$63,"")</f>
        <v/>
      </c>
      <c r="V56" s="164" t="str">
        <f>IF(N('01_Stations'!$J$64)&gt;0,'01_Stations'!$J$64,"")</f>
        <v/>
      </c>
      <c r="W56" s="164" t="str">
        <f>IF(N('01_Stations'!$J$65)&gt;0,'01_Stations'!$J$65,"")</f>
        <v/>
      </c>
      <c r="X56" s="164" t="str">
        <f>IF(N('01_Stations'!$J$66)&gt;0,'01_Stations'!$J$66,"")</f>
        <v/>
      </c>
      <c r="Y56" s="164" t="str">
        <f>IF(N('01_Stations'!$J$67)&gt;0,'01_Stations'!$J$67,"")</f>
        <v/>
      </c>
      <c r="Z56" s="164" t="str">
        <f>IF(N('01_Stations'!$J$68)&gt;0,'01_Stations'!$J$68,"")</f>
        <v/>
      </c>
      <c r="AA56" s="164" t="str">
        <f>IF(N('01_Stations'!$J$69)&gt;0,'01_Stations'!$J$69,"")</f>
        <v/>
      </c>
      <c r="AB56" s="164" t="str">
        <f>IF(N('01_Stations'!$J$70)&gt;0,'01_Stations'!$J$70,"")</f>
        <v/>
      </c>
      <c r="AC56" s="164" t="str">
        <f>IF(N('01_Stations'!$J$71)&gt;0,'01_Stations'!$J$71,"")</f>
        <v/>
      </c>
      <c r="AD56" s="164" t="str">
        <f>IF(N('01_Stations'!$J$72)&gt;0,'01_Stations'!$J$72,"")</f>
        <v/>
      </c>
      <c r="AE56" s="164" t="str">
        <f>IF(N('01_Stations'!$J$73)&gt;0,'01_Stations'!$J$73,"")</f>
        <v/>
      </c>
      <c r="AF56" s="164" t="str">
        <f>IF(N('01_Stations'!$J$74)&gt;0,'01_Stations'!$J$74,"")</f>
        <v/>
      </c>
      <c r="AG56" s="164" t="str">
        <f>IF(N('01_Stations'!$J$75)&gt;0,'01_Stations'!$J$75,"")</f>
        <v/>
      </c>
      <c r="AH56" s="164" t="str">
        <f>IF(N('01_Stations'!$J$76)&gt;0,'01_Stations'!$J$76,"")</f>
        <v/>
      </c>
      <c r="AI56" s="164" t="str">
        <f>IF(N('01_Stations'!$J$77)&gt;0,'01_Stations'!$J$77,"")</f>
        <v/>
      </c>
      <c r="AJ56" s="164" t="str">
        <f>IF(N('01_Stations'!$J$78)&gt;0,'01_Stations'!$J$78,"")</f>
        <v/>
      </c>
      <c r="AK56" s="164" t="str">
        <f>IF(N('01_Stations'!$J$79)&gt;0,'01_Stations'!$J$79,"")</f>
        <v/>
      </c>
      <c r="AL56" s="164" t="str">
        <f>IF(N('01_Stations'!$J$80)&gt;0,'01_Stations'!$J$80,"")</f>
        <v/>
      </c>
      <c r="AM56" s="164" t="str">
        <f>IF(N('01_Stations'!$J$81)&gt;0,'01_Stations'!$J$81,"")</f>
        <v/>
      </c>
      <c r="AN56" s="164" t="str">
        <f>IF(N('01_Stations'!$J$82)&gt;0,'01_Stations'!$J$82,"")</f>
        <v/>
      </c>
      <c r="AO56" s="164" t="str">
        <f>IF(N('01_Stations'!$J$83)&gt;0,'01_Stations'!$J$83,"")</f>
        <v/>
      </c>
      <c r="AP56" s="164" t="str">
        <f>IF(N('01_Stations'!$J$84)&gt;0,'01_Stations'!$J$84,"")</f>
        <v/>
      </c>
      <c r="AQ56" s="164" t="str">
        <f>IF(N('01_Stations'!$J$85)&gt;0,'01_Stations'!$J$85,"")</f>
        <v/>
      </c>
    </row>
    <row r="57" spans="1:43" ht="15" customHeight="1" x14ac:dyDescent="0.3">
      <c r="A57" s="236"/>
      <c r="B57" s="165" t="s">
        <v>2208</v>
      </c>
      <c r="C57" s="166" t="s">
        <v>63</v>
      </c>
      <c r="D57" s="164" t="str">
        <f>IF(N('01_Stations'!$K$46)&gt;0,'01_Stations'!$K$46,"")</f>
        <v/>
      </c>
      <c r="E57" s="164" t="str">
        <f>IF(N('01_Stations'!$K$47)&gt;0,'01_Stations'!$K$47,"")</f>
        <v/>
      </c>
      <c r="F57" s="164" t="str">
        <f>IF(N('01_Stations'!$K$48)&gt;0,'01_Stations'!$K$48,"")</f>
        <v/>
      </c>
      <c r="G57" s="164" t="str">
        <f>IF(N('01_Stations'!$K$49)&gt;0,'01_Stations'!$K$49,"")</f>
        <v/>
      </c>
      <c r="H57" s="164" t="str">
        <f>IF(N('01_Stations'!$K$50)&gt;0,'01_Stations'!$K$50,"")</f>
        <v/>
      </c>
      <c r="I57" s="164" t="str">
        <f>IF(N('01_Stations'!$K$51)&gt;0,'01_Stations'!$K$51,"")</f>
        <v/>
      </c>
      <c r="J57" s="164" t="str">
        <f>IF(N('01_Stations'!$K$52)&gt;0,'01_Stations'!$K$52,"")</f>
        <v/>
      </c>
      <c r="K57" s="164" t="str">
        <f>IF(N('01_Stations'!$K$53)&gt;0,'01_Stations'!$K$53,"")</f>
        <v/>
      </c>
      <c r="L57" s="164" t="str">
        <f>IF(N('01_Stations'!$K$54)&gt;0,'01_Stations'!$K$54,"")</f>
        <v/>
      </c>
      <c r="M57" s="164" t="str">
        <f>IF(N('01_Stations'!$K$55)&gt;0,'01_Stations'!$K$55,"")</f>
        <v/>
      </c>
      <c r="N57" s="164" t="str">
        <f>IF(N('01_Stations'!$K$56)&gt;0,'01_Stations'!$K$56,"")</f>
        <v/>
      </c>
      <c r="O57" s="164" t="str">
        <f>IF(N('01_Stations'!$K$57)&gt;0,'01_Stations'!$K$57,"")</f>
        <v/>
      </c>
      <c r="P57" s="164" t="str">
        <f>IF(N('01_Stations'!$K$58)&gt;0,'01_Stations'!$K$58,"")</f>
        <v/>
      </c>
      <c r="Q57" s="164" t="str">
        <f>IF(N('01_Stations'!$K$59)&gt;0,'01_Stations'!$K$59,"")</f>
        <v/>
      </c>
      <c r="R57" s="164" t="str">
        <f>IF(N('01_Stations'!$K$60)&gt;0,'01_Stations'!$K$60,"")</f>
        <v/>
      </c>
      <c r="S57" s="164" t="str">
        <f>IF(N('01_Stations'!$K$61)&gt;0,'01_Stations'!$K$61,"")</f>
        <v/>
      </c>
      <c r="T57" s="164" t="str">
        <f>IF(N('01_Stations'!$K$62)&gt;0,'01_Stations'!$K$62,"")</f>
        <v/>
      </c>
      <c r="U57" s="164" t="str">
        <f>IF(N('01_Stations'!$K$63)&gt;0,'01_Stations'!$K$63,"")</f>
        <v/>
      </c>
      <c r="V57" s="164" t="str">
        <f>IF(N('01_Stations'!$K$64)&gt;0,'01_Stations'!$K$64,"")</f>
        <v/>
      </c>
      <c r="W57" s="164" t="str">
        <f>IF(N('01_Stations'!$K$65)&gt;0,'01_Stations'!$K$65,"")</f>
        <v/>
      </c>
      <c r="X57" s="164" t="str">
        <f>IF(N('01_Stations'!$K$66)&gt;0,'01_Stations'!$K$66,"")</f>
        <v/>
      </c>
      <c r="Y57" s="164" t="str">
        <f>IF(N('01_Stations'!$K$67)&gt;0,'01_Stations'!$K$67,"")</f>
        <v/>
      </c>
      <c r="Z57" s="164" t="str">
        <f>IF(N('01_Stations'!$K$68)&gt;0,'01_Stations'!$K$68,"")</f>
        <v/>
      </c>
      <c r="AA57" s="164" t="str">
        <f>IF(N('01_Stations'!$K$69)&gt;0,'01_Stations'!$K$69,"")</f>
        <v/>
      </c>
      <c r="AB57" s="164" t="str">
        <f>IF(N('01_Stations'!$K$70)&gt;0,'01_Stations'!$K$70,"")</f>
        <v/>
      </c>
      <c r="AC57" s="164" t="str">
        <f>IF(N('01_Stations'!$K$71)&gt;0,'01_Stations'!$K$71,"")</f>
        <v/>
      </c>
      <c r="AD57" s="164" t="str">
        <f>IF(N('01_Stations'!$K$72)&gt;0,'01_Stations'!$K$72,"")</f>
        <v/>
      </c>
      <c r="AE57" s="164" t="str">
        <f>IF(N('01_Stations'!$K$73)&gt;0,'01_Stations'!$K$73,"")</f>
        <v/>
      </c>
      <c r="AF57" s="164" t="str">
        <f>IF(N('01_Stations'!$K$74)&gt;0,'01_Stations'!$K$74,"")</f>
        <v/>
      </c>
      <c r="AG57" s="164" t="str">
        <f>IF(N('01_Stations'!$K$75)&gt;0,'01_Stations'!$K$75,"")</f>
        <v/>
      </c>
      <c r="AH57" s="164" t="str">
        <f>IF(N('01_Stations'!$K$76)&gt;0,'01_Stations'!$K$76,"")</f>
        <v/>
      </c>
      <c r="AI57" s="164" t="str">
        <f>IF(N('01_Stations'!$K$77)&gt;0,'01_Stations'!$K$77,"")</f>
        <v/>
      </c>
      <c r="AJ57" s="164" t="str">
        <f>IF(N('01_Stations'!$K$78)&gt;0,'01_Stations'!$K$78,"")</f>
        <v/>
      </c>
      <c r="AK57" s="164" t="str">
        <f>IF(N('01_Stations'!$K$79)&gt;0,'01_Stations'!$K$79,"")</f>
        <v/>
      </c>
      <c r="AL57" s="164" t="str">
        <f>IF(N('01_Stations'!$K$80)&gt;0,'01_Stations'!$K$80,"")</f>
        <v/>
      </c>
      <c r="AM57" s="164" t="str">
        <f>IF(N('01_Stations'!$K$81)&gt;0,'01_Stations'!$K$81,"")</f>
        <v/>
      </c>
      <c r="AN57" s="164" t="str">
        <f>IF(N('01_Stations'!$K$82)&gt;0,'01_Stations'!$K$82,"")</f>
        <v/>
      </c>
      <c r="AO57" s="164" t="str">
        <f>IF(N('01_Stations'!$K$83)&gt;0,'01_Stations'!$K$83,"")</f>
        <v/>
      </c>
      <c r="AP57" s="164" t="str">
        <f>IF(N('01_Stations'!$K$84)&gt;0,'01_Stations'!$K$84,"")</f>
        <v/>
      </c>
      <c r="AQ57" s="164" t="str">
        <f>IF(N('01_Stations'!$K$85)&gt;0,'01_Stations'!$K$85,"")</f>
        <v/>
      </c>
    </row>
    <row r="58" spans="1:43" ht="15" customHeight="1" x14ac:dyDescent="0.3">
      <c r="A58" s="236"/>
      <c r="B58" s="165" t="s">
        <v>270</v>
      </c>
      <c r="C58" s="166"/>
      <c r="D58" s="164" t="str">
        <f>IF('01_Stations'!$L$46=1,"───","")</f>
        <v/>
      </c>
      <c r="E58" s="164" t="str">
        <f>IF('01_Stations'!$L$47=1,"───","")</f>
        <v/>
      </c>
      <c r="F58" s="164" t="str">
        <f>IF('01_Stations'!$L$48=1,"───","")</f>
        <v/>
      </c>
      <c r="G58" s="164" t="str">
        <f>IF('01_Stations'!$L$49=1,"───","")</f>
        <v/>
      </c>
      <c r="H58" s="164" t="str">
        <f>IF('01_Stations'!$L$50=1,"───","")</f>
        <v/>
      </c>
      <c r="I58" s="164" t="str">
        <f>IF('01_Stations'!$L$51=1,"───","")</f>
        <v/>
      </c>
      <c r="J58" s="164" t="str">
        <f>IF('01_Stations'!$L$52=1,"───","")</f>
        <v/>
      </c>
      <c r="K58" s="164" t="str">
        <f>IF('01_Stations'!$L$53=1,"───","")</f>
        <v/>
      </c>
      <c r="L58" s="164" t="str">
        <f>IF('01_Stations'!$L$54=1,"───","")</f>
        <v/>
      </c>
      <c r="M58" s="164" t="str">
        <f>IF('01_Stations'!$L$55=1,"───","")</f>
        <v/>
      </c>
      <c r="N58" s="164" t="str">
        <f>IF('01_Stations'!$L$56=1,"───","")</f>
        <v/>
      </c>
      <c r="O58" s="164" t="str">
        <f>IF('01_Stations'!$L$57=1,"───","")</f>
        <v/>
      </c>
      <c r="P58" s="164" t="str">
        <f>IF('01_Stations'!$L$58=1,"───","")</f>
        <v/>
      </c>
      <c r="Q58" s="164" t="str">
        <f>IF('01_Stations'!$L$59=1,"───","")</f>
        <v/>
      </c>
      <c r="R58" s="164" t="str">
        <f>IF('01_Stations'!$L$60=1,"───","")</f>
        <v/>
      </c>
      <c r="S58" s="164" t="str">
        <f>IF('01_Stations'!$L$61=1,"───","")</f>
        <v/>
      </c>
      <c r="T58" s="164" t="str">
        <f>IF('01_Stations'!$L$62=1,"───","")</f>
        <v/>
      </c>
      <c r="U58" s="164" t="str">
        <f>IF('01_Stations'!$L$63=1,"───","")</f>
        <v/>
      </c>
      <c r="V58" s="164" t="str">
        <f>IF('01_Stations'!$L$64=1,"───","")</f>
        <v/>
      </c>
      <c r="W58" s="164" t="str">
        <f>IF('01_Stations'!$L$65=1,"───","")</f>
        <v/>
      </c>
      <c r="X58" s="164" t="str">
        <f>IF('01_Stations'!$L$66=1,"───","")</f>
        <v/>
      </c>
      <c r="Y58" s="164" t="str">
        <f>IF('01_Stations'!$L$67=1,"───","")</f>
        <v/>
      </c>
      <c r="Z58" s="164" t="str">
        <f>IF('01_Stations'!$L$68=1,"───","")</f>
        <v/>
      </c>
      <c r="AA58" s="164" t="str">
        <f>IF('01_Stations'!$L$69=1,"───","")</f>
        <v/>
      </c>
      <c r="AB58" s="164" t="str">
        <f>IF('01_Stations'!$L$70=1,"───","")</f>
        <v/>
      </c>
      <c r="AC58" s="164" t="str">
        <f>IF('01_Stations'!$L$71=1,"───","")</f>
        <v/>
      </c>
      <c r="AD58" s="164" t="str">
        <f>IF('01_Stations'!$L$72=1,"───","")</f>
        <v/>
      </c>
      <c r="AE58" s="164" t="str">
        <f>IF('01_Stations'!$L$73=1,"───","")</f>
        <v/>
      </c>
      <c r="AF58" s="164" t="str">
        <f>IF('01_Stations'!$L$74=1,"───","")</f>
        <v/>
      </c>
      <c r="AG58" s="164" t="str">
        <f>IF('01_Stations'!$L$75=1,"───","")</f>
        <v/>
      </c>
      <c r="AH58" s="164" t="str">
        <f>IF('01_Stations'!$L$76=1,"───","")</f>
        <v/>
      </c>
      <c r="AI58" s="164" t="str">
        <f>IF('01_Stations'!$L$77=1,"───","")</f>
        <v/>
      </c>
      <c r="AJ58" s="164" t="str">
        <f>IF('01_Stations'!$L$78=1,"───","")</f>
        <v/>
      </c>
      <c r="AK58" s="164" t="str">
        <f>IF('01_Stations'!$L$79=1,"───","")</f>
        <v/>
      </c>
      <c r="AL58" s="164" t="str">
        <f>IF('01_Stations'!$L$80=1,"───","")</f>
        <v/>
      </c>
      <c r="AM58" s="164" t="str">
        <f>IF('01_Stations'!$L$81=1,"───","")</f>
        <v/>
      </c>
      <c r="AN58" s="164" t="str">
        <f>IF('01_Stations'!$L$82=1,"───","")</f>
        <v/>
      </c>
      <c r="AO58" s="164" t="str">
        <f>IF('01_Stations'!$L$83=1,"───","")</f>
        <v/>
      </c>
      <c r="AP58" s="164" t="str">
        <f>IF('01_Stations'!$L$84=1,"───","")</f>
        <v/>
      </c>
      <c r="AQ58" s="164" t="str">
        <f>IF('01_Stations'!$L$85=1,"───","")</f>
        <v/>
      </c>
    </row>
    <row r="59" spans="1:43" ht="15" customHeight="1" x14ac:dyDescent="0.3">
      <c r="A59" s="236"/>
      <c r="B59" s="165" t="s">
        <v>265</v>
      </c>
      <c r="C59" s="166" t="s">
        <v>299</v>
      </c>
      <c r="D59" s="164" t="str">
        <f>IF(N('01_Stations'!$M$46)&gt;0,'01_Stations'!$M$46,"")</f>
        <v/>
      </c>
      <c r="E59" s="164" t="str">
        <f>IF(N('01_Stations'!$M$47)&gt;0,'01_Stations'!$M$47,"")</f>
        <v/>
      </c>
      <c r="F59" s="164" t="str">
        <f>IF(N('01_Stations'!$M$48)&gt;0,'01_Stations'!$M$48,"")</f>
        <v/>
      </c>
      <c r="G59" s="164" t="str">
        <f>IF(N('01_Stations'!$M$49)&gt;0,'01_Stations'!$M$49,"")</f>
        <v/>
      </c>
      <c r="H59" s="164" t="str">
        <f>IF(N('01_Stations'!$M$50)&gt;0,'01_Stations'!$M$50,"")</f>
        <v/>
      </c>
      <c r="I59" s="164" t="str">
        <f>IF(N('01_Stations'!$M$51)&gt;0,'01_Stations'!$M$51,"")</f>
        <v/>
      </c>
      <c r="J59" s="164" t="str">
        <f>IF(N('01_Stations'!$M$52)&gt;0,'01_Stations'!$M$52,"")</f>
        <v/>
      </c>
      <c r="K59" s="164" t="str">
        <f>IF(N('01_Stations'!$M$53)&gt;0,'01_Stations'!$M$53,"")</f>
        <v/>
      </c>
      <c r="L59" s="164" t="str">
        <f>IF(N('01_Stations'!$M$54)&gt;0,'01_Stations'!$M$54,"")</f>
        <v/>
      </c>
      <c r="M59" s="164" t="str">
        <f>IF(N('01_Stations'!$M$55)&gt;0,'01_Stations'!$M$55,"")</f>
        <v/>
      </c>
      <c r="N59" s="164" t="str">
        <f>IF(N('01_Stations'!$M$56)&gt;0,'01_Stations'!$M$56,"")</f>
        <v/>
      </c>
      <c r="O59" s="164" t="str">
        <f>IF(N('01_Stations'!$M$57)&gt;0,'01_Stations'!$M$57,"")</f>
        <v/>
      </c>
      <c r="P59" s="164" t="str">
        <f>IF(N('01_Stations'!$M$58)&gt;0,'01_Stations'!$M$58,"")</f>
        <v/>
      </c>
      <c r="Q59" s="164" t="str">
        <f>IF(N('01_Stations'!$M$59)&gt;0,'01_Stations'!$M$59,"")</f>
        <v/>
      </c>
      <c r="R59" s="164" t="str">
        <f>IF(N('01_Stations'!$M$60)&gt;0,'01_Stations'!$M$60,"")</f>
        <v/>
      </c>
      <c r="S59" s="164" t="str">
        <f>IF(N('01_Stations'!$M$61)&gt;0,'01_Stations'!$M$61,"")</f>
        <v/>
      </c>
      <c r="T59" s="164" t="str">
        <f>IF(N('01_Stations'!$M$62)&gt;0,'01_Stations'!$M$62,"")</f>
        <v/>
      </c>
      <c r="U59" s="164" t="str">
        <f>IF(N('01_Stations'!$M$63)&gt;0,'01_Stations'!$M$63,"")</f>
        <v/>
      </c>
      <c r="V59" s="164" t="str">
        <f>IF(N('01_Stations'!$M$64)&gt;0,'01_Stations'!$M$64,"")</f>
        <v/>
      </c>
      <c r="W59" s="164" t="str">
        <f>IF(N('01_Stations'!$M$65)&gt;0,'01_Stations'!$M$65,"")</f>
        <v/>
      </c>
      <c r="X59" s="164" t="str">
        <f>IF(N('01_Stations'!$M$66)&gt;0,'01_Stations'!$M$66,"")</f>
        <v/>
      </c>
      <c r="Y59" s="164" t="str">
        <f>IF(N('01_Stations'!$M$67)&gt;0,'01_Stations'!$M$67,"")</f>
        <v/>
      </c>
      <c r="Z59" s="164" t="str">
        <f>IF(N('01_Stations'!$M$68)&gt;0,'01_Stations'!$M$68,"")</f>
        <v/>
      </c>
      <c r="AA59" s="164" t="str">
        <f>IF(N('01_Stations'!$M$69)&gt;0,'01_Stations'!$M$69,"")</f>
        <v/>
      </c>
      <c r="AB59" s="164" t="str">
        <f>IF(N('01_Stations'!$M$70)&gt;0,'01_Stations'!$M$70,"")</f>
        <v/>
      </c>
      <c r="AC59" s="164" t="str">
        <f>IF(N('01_Stations'!$M$71)&gt;0,'01_Stations'!$M$71,"")</f>
        <v/>
      </c>
      <c r="AD59" s="164" t="str">
        <f>IF(N('01_Stations'!$M$72)&gt;0,'01_Stations'!$M$72,"")</f>
        <v/>
      </c>
      <c r="AE59" s="164" t="str">
        <f>IF(N('01_Stations'!$M$73)&gt;0,'01_Stations'!$M$73,"")</f>
        <v/>
      </c>
      <c r="AF59" s="164" t="str">
        <f>IF(N('01_Stations'!$M$74)&gt;0,'01_Stations'!$M$74,"")</f>
        <v/>
      </c>
      <c r="AG59" s="164" t="str">
        <f>IF(N('01_Stations'!$M$75)&gt;0,'01_Stations'!$M$75,"")</f>
        <v/>
      </c>
      <c r="AH59" s="164" t="str">
        <f>IF(N('01_Stations'!$M$76)&gt;0,'01_Stations'!$M$76,"")</f>
        <v/>
      </c>
      <c r="AI59" s="164" t="str">
        <f>IF(N('01_Stations'!$M$77)&gt;0,'01_Stations'!$M$77,"")</f>
        <v/>
      </c>
      <c r="AJ59" s="164" t="str">
        <f>IF(N('01_Stations'!$M$78)&gt;0,'01_Stations'!$M$78,"")</f>
        <v/>
      </c>
      <c r="AK59" s="164" t="str">
        <f>IF(N('01_Stations'!$M$79)&gt;0,'01_Stations'!$M$79,"")</f>
        <v/>
      </c>
      <c r="AL59" s="164" t="str">
        <f>IF(N('01_Stations'!$M$80)&gt;0,'01_Stations'!$M$80,"")</f>
        <v/>
      </c>
      <c r="AM59" s="164" t="str">
        <f>IF(N('01_Stations'!$M$81)&gt;0,'01_Stations'!$M$81,"")</f>
        <v/>
      </c>
      <c r="AN59" s="164" t="str">
        <f>IF(N('01_Stations'!$M$82)&gt;0,'01_Stations'!$M$82,"")</f>
        <v/>
      </c>
      <c r="AO59" s="164" t="str">
        <f>IF(N('01_Stations'!$M$83)&gt;0,'01_Stations'!$M$83,"")</f>
        <v/>
      </c>
      <c r="AP59" s="164" t="str">
        <f>IF(N('01_Stations'!$M$84)&gt;0,'01_Stations'!$M$84,"")</f>
        <v/>
      </c>
      <c r="AQ59" s="164" t="str">
        <f>IF(N('01_Stations'!$M$85)&gt;0,'01_Stations'!$M$85,"")</f>
        <v/>
      </c>
    </row>
    <row r="60" spans="1:43" ht="15" customHeight="1" x14ac:dyDescent="0.3">
      <c r="A60" s="236"/>
      <c r="B60" s="165" t="s">
        <v>2208</v>
      </c>
      <c r="C60" s="166" t="s">
        <v>63</v>
      </c>
      <c r="D60" s="164" t="str">
        <f>IF(N('01_Stations'!$N$46)&gt;0,'01_Stations'!$N$46,"")</f>
        <v/>
      </c>
      <c r="E60" s="164" t="str">
        <f>IF(N('01_Stations'!$N$47)&gt;0,'01_Stations'!$N$47,"")</f>
        <v/>
      </c>
      <c r="F60" s="164" t="str">
        <f>IF(N('01_Stations'!$N$48)&gt;0,'01_Stations'!$N$48,"")</f>
        <v/>
      </c>
      <c r="G60" s="164" t="str">
        <f>IF(N('01_Stations'!$N$49)&gt;0,'01_Stations'!$N$49,"")</f>
        <v/>
      </c>
      <c r="H60" s="164" t="str">
        <f>IF(N('01_Stations'!$N$50)&gt;0,'01_Stations'!$N$50,"")</f>
        <v/>
      </c>
      <c r="I60" s="164" t="str">
        <f>IF(N('01_Stations'!$N$51)&gt;0,'01_Stations'!$N$51,"")</f>
        <v/>
      </c>
      <c r="J60" s="164" t="str">
        <f>IF(N('01_Stations'!$N$52)&gt;0,'01_Stations'!$N$52,"")</f>
        <v/>
      </c>
      <c r="K60" s="164" t="str">
        <f>IF(N('01_Stations'!$N$53)&gt;0,'01_Stations'!$N$53,"")</f>
        <v/>
      </c>
      <c r="L60" s="164" t="str">
        <f>IF(N('01_Stations'!$N$54)&gt;0,'01_Stations'!$N$54,"")</f>
        <v/>
      </c>
      <c r="M60" s="164" t="str">
        <f>IF(N('01_Stations'!$N$55)&gt;0,'01_Stations'!$N$55,"")</f>
        <v/>
      </c>
      <c r="N60" s="164" t="str">
        <f>IF(N('01_Stations'!$N$56)&gt;0,'01_Stations'!$N$56,"")</f>
        <v/>
      </c>
      <c r="O60" s="164" t="str">
        <f>IF(N('01_Stations'!$N$57)&gt;0,'01_Stations'!$N$57,"")</f>
        <v/>
      </c>
      <c r="P60" s="164" t="str">
        <f>IF(N('01_Stations'!$N$58)&gt;0,'01_Stations'!$N$58,"")</f>
        <v/>
      </c>
      <c r="Q60" s="164" t="str">
        <f>IF(N('01_Stations'!$N$59)&gt;0,'01_Stations'!$N$59,"")</f>
        <v/>
      </c>
      <c r="R60" s="164" t="str">
        <f>IF(N('01_Stations'!$N$60)&gt;0,'01_Stations'!$N$60,"")</f>
        <v/>
      </c>
      <c r="S60" s="164" t="str">
        <f>IF(N('01_Stations'!$N$61)&gt;0,'01_Stations'!$N$61,"")</f>
        <v/>
      </c>
      <c r="T60" s="164" t="str">
        <f>IF(N('01_Stations'!$N$62)&gt;0,'01_Stations'!$N$62,"")</f>
        <v/>
      </c>
      <c r="U60" s="164" t="str">
        <f>IF(N('01_Stations'!$N$63)&gt;0,'01_Stations'!$N$63,"")</f>
        <v/>
      </c>
      <c r="V60" s="164" t="str">
        <f>IF(N('01_Stations'!$N$64)&gt;0,'01_Stations'!$N$64,"")</f>
        <v/>
      </c>
      <c r="W60" s="164" t="str">
        <f>IF(N('01_Stations'!$N$65)&gt;0,'01_Stations'!$N$65,"")</f>
        <v/>
      </c>
      <c r="X60" s="164" t="str">
        <f>IF(N('01_Stations'!$N$66)&gt;0,'01_Stations'!$N$66,"")</f>
        <v/>
      </c>
      <c r="Y60" s="164" t="str">
        <f>IF(N('01_Stations'!$N$67)&gt;0,'01_Stations'!$N$67,"")</f>
        <v/>
      </c>
      <c r="Z60" s="164" t="str">
        <f>IF(N('01_Stations'!$N$68)&gt;0,'01_Stations'!$N$68,"")</f>
        <v/>
      </c>
      <c r="AA60" s="164" t="str">
        <f>IF(N('01_Stations'!$N$69)&gt;0,'01_Stations'!$N$69,"")</f>
        <v/>
      </c>
      <c r="AB60" s="164" t="str">
        <f>IF(N('01_Stations'!$N$70)&gt;0,'01_Stations'!$N$70,"")</f>
        <v/>
      </c>
      <c r="AC60" s="164" t="str">
        <f>IF(N('01_Stations'!$N$71)&gt;0,'01_Stations'!$N$71,"")</f>
        <v/>
      </c>
      <c r="AD60" s="164" t="str">
        <f>IF(N('01_Stations'!$N$72)&gt;0,'01_Stations'!$N$72,"")</f>
        <v/>
      </c>
      <c r="AE60" s="164" t="str">
        <f>IF(N('01_Stations'!$N$73)&gt;0,'01_Stations'!$N$73,"")</f>
        <v/>
      </c>
      <c r="AF60" s="164" t="str">
        <f>IF(N('01_Stations'!$N$74)&gt;0,'01_Stations'!$N$74,"")</f>
        <v/>
      </c>
      <c r="AG60" s="164" t="str">
        <f>IF(N('01_Stations'!$N$75)&gt;0,'01_Stations'!$N$75,"")</f>
        <v/>
      </c>
      <c r="AH60" s="164" t="str">
        <f>IF(N('01_Stations'!$N$76)&gt;0,'01_Stations'!$N$76,"")</f>
        <v/>
      </c>
      <c r="AI60" s="164" t="str">
        <f>IF(N('01_Stations'!$N$77)&gt;0,'01_Stations'!$N$77,"")</f>
        <v/>
      </c>
      <c r="AJ60" s="164" t="str">
        <f>IF(N('01_Stations'!$N$78)&gt;0,'01_Stations'!$N$78,"")</f>
        <v/>
      </c>
      <c r="AK60" s="164" t="str">
        <f>IF(N('01_Stations'!$N$79)&gt;0,'01_Stations'!$N$79,"")</f>
        <v/>
      </c>
      <c r="AL60" s="164" t="str">
        <f>IF(N('01_Stations'!$N$80)&gt;0,'01_Stations'!$N$80,"")</f>
        <v/>
      </c>
      <c r="AM60" s="164" t="str">
        <f>IF(N('01_Stations'!$N$81)&gt;0,'01_Stations'!$N$81,"")</f>
        <v/>
      </c>
      <c r="AN60" s="164" t="str">
        <f>IF(N('01_Stations'!$N$82)&gt;0,'01_Stations'!$N$82,"")</f>
        <v/>
      </c>
      <c r="AO60" s="164" t="str">
        <f>IF(N('01_Stations'!$N$83)&gt;0,'01_Stations'!$N$83,"")</f>
        <v/>
      </c>
      <c r="AP60" s="164" t="str">
        <f>IF(N('01_Stations'!$N$84)&gt;0,'01_Stations'!$N$84,"")</f>
        <v/>
      </c>
      <c r="AQ60" s="164" t="str">
        <f>IF(N('01_Stations'!$N$85)&gt;0,'01_Stations'!$N$85,"")</f>
        <v/>
      </c>
    </row>
    <row r="61" spans="1:43" ht="15" customHeight="1" x14ac:dyDescent="0.3">
      <c r="A61" s="237"/>
      <c r="B61" s="165" t="s">
        <v>2209</v>
      </c>
      <c r="C61" s="166" t="s">
        <v>301</v>
      </c>
      <c r="D61" s="164" t="str">
        <f>IF(N('01_Stations'!$O$46)&gt;0,'01_Stations'!$O$46,"")</f>
        <v/>
      </c>
      <c r="E61" s="164" t="str">
        <f>IF(N('01_Stations'!$O$47)&gt;0,'01_Stations'!$O$47,"")</f>
        <v/>
      </c>
      <c r="F61" s="164" t="str">
        <f>IF(N('01_Stations'!$O$48)&gt;0,'01_Stations'!$O$48,"")</f>
        <v/>
      </c>
      <c r="G61" s="164" t="str">
        <f>IF(N('01_Stations'!$O$49)&gt;0,'01_Stations'!$O$49,"")</f>
        <v/>
      </c>
      <c r="H61" s="164" t="str">
        <f>IF(N('01_Stations'!$O$50)&gt;0,'01_Stations'!$O$50,"")</f>
        <v/>
      </c>
      <c r="I61" s="164" t="str">
        <f>IF(N('01_Stations'!$O$51)&gt;0,'01_Stations'!$O$51,"")</f>
        <v/>
      </c>
      <c r="J61" s="164" t="str">
        <f>IF(N('01_Stations'!$O$52)&gt;0,'01_Stations'!$O$52,"")</f>
        <v/>
      </c>
      <c r="K61" s="164" t="str">
        <f>IF(N('01_Stations'!$O$53)&gt;0,'01_Stations'!$O$53,"")</f>
        <v/>
      </c>
      <c r="L61" s="164" t="str">
        <f>IF(N('01_Stations'!$O$54)&gt;0,'01_Stations'!$O$54,"")</f>
        <v/>
      </c>
      <c r="M61" s="164" t="str">
        <f>IF(N('01_Stations'!$O$55)&gt;0,'01_Stations'!$O$55,"")</f>
        <v/>
      </c>
      <c r="N61" s="164" t="str">
        <f>IF(N('01_Stations'!$O$56)&gt;0,'01_Stations'!$O$56,"")</f>
        <v/>
      </c>
      <c r="O61" s="164" t="str">
        <f>IF(N('01_Stations'!$O$57)&gt;0,'01_Stations'!$O$57,"")</f>
        <v/>
      </c>
      <c r="P61" s="164" t="str">
        <f>IF(N('01_Stations'!$O$58)&gt;0,'01_Stations'!$O$58,"")</f>
        <v/>
      </c>
      <c r="Q61" s="164" t="str">
        <f>IF(N('01_Stations'!$O$59)&gt;0,'01_Stations'!$O$59,"")</f>
        <v/>
      </c>
      <c r="R61" s="164" t="str">
        <f>IF(N('01_Stations'!$O$60)&gt;0,'01_Stations'!$O$60,"")</f>
        <v/>
      </c>
      <c r="S61" s="164" t="str">
        <f>IF(N('01_Stations'!$O$61)&gt;0,'01_Stations'!$O$61,"")</f>
        <v/>
      </c>
      <c r="T61" s="164" t="str">
        <f>IF(N('01_Stations'!$O$62)&gt;0,'01_Stations'!$O$62,"")</f>
        <v/>
      </c>
      <c r="U61" s="164" t="str">
        <f>IF(N('01_Stations'!$O$63)&gt;0,'01_Stations'!$O$63,"")</f>
        <v/>
      </c>
      <c r="V61" s="164" t="str">
        <f>IF(N('01_Stations'!$O$64)&gt;0,'01_Stations'!$O$64,"")</f>
        <v/>
      </c>
      <c r="W61" s="164" t="str">
        <f>IF(N('01_Stations'!$O$65)&gt;0,'01_Stations'!$O$65,"")</f>
        <v/>
      </c>
      <c r="X61" s="164" t="str">
        <f>IF(N('01_Stations'!$O$66)&gt;0,'01_Stations'!$O$66,"")</f>
        <v/>
      </c>
      <c r="Y61" s="164" t="str">
        <f>IF(N('01_Stations'!$O$67)&gt;0,'01_Stations'!$O$67,"")</f>
        <v/>
      </c>
      <c r="Z61" s="164" t="str">
        <f>IF(N('01_Stations'!$O$68)&gt;0,'01_Stations'!$O$68,"")</f>
        <v/>
      </c>
      <c r="AA61" s="164" t="str">
        <f>IF(N('01_Stations'!$O$69)&gt;0,'01_Stations'!$O$69,"")</f>
        <v/>
      </c>
      <c r="AB61" s="164" t="str">
        <f>IF(N('01_Stations'!$O$70)&gt;0,'01_Stations'!$O$70,"")</f>
        <v/>
      </c>
      <c r="AC61" s="164" t="str">
        <f>IF(N('01_Stations'!$O$71)&gt;0,'01_Stations'!$O$71,"")</f>
        <v/>
      </c>
      <c r="AD61" s="164" t="str">
        <f>IF(N('01_Stations'!$O$72)&gt;0,'01_Stations'!$O$72,"")</f>
        <v/>
      </c>
      <c r="AE61" s="164" t="str">
        <f>IF(N('01_Stations'!$O$73)&gt;0,'01_Stations'!$O$73,"")</f>
        <v/>
      </c>
      <c r="AF61" s="164" t="str">
        <f>IF(N('01_Stations'!$O$74)&gt;0,'01_Stations'!$O$74,"")</f>
        <v/>
      </c>
      <c r="AG61" s="164" t="str">
        <f>IF(N('01_Stations'!$O$75)&gt;0,'01_Stations'!$O$75,"")</f>
        <v/>
      </c>
      <c r="AH61" s="164" t="str">
        <f>IF(N('01_Stations'!$O$76)&gt;0,'01_Stations'!$O$76,"")</f>
        <v/>
      </c>
      <c r="AI61" s="164" t="str">
        <f>IF(N('01_Stations'!$O$77)&gt;0,'01_Stations'!$O$77,"")</f>
        <v/>
      </c>
      <c r="AJ61" s="164" t="str">
        <f>IF(N('01_Stations'!$O$78)&gt;0,'01_Stations'!$O$78,"")</f>
        <v/>
      </c>
      <c r="AK61" s="164" t="str">
        <f>IF(N('01_Stations'!$O$79)&gt;0,'01_Stations'!$O$79,"")</f>
        <v/>
      </c>
      <c r="AL61" s="164" t="str">
        <f>IF(N('01_Stations'!$O$80)&gt;0,'01_Stations'!$O$80,"")</f>
        <v/>
      </c>
      <c r="AM61" s="164" t="str">
        <f>IF(N('01_Stations'!$O$81)&gt;0,'01_Stations'!$O$81,"")</f>
        <v/>
      </c>
      <c r="AN61" s="164" t="str">
        <f>IF(N('01_Stations'!$O$82)&gt;0,'01_Stations'!$O$82,"")</f>
        <v/>
      </c>
      <c r="AO61" s="164" t="str">
        <f>IF(N('01_Stations'!$O$83)&gt;0,'01_Stations'!$O$83,"")</f>
        <v/>
      </c>
      <c r="AP61" s="164" t="str">
        <f>IF(N('01_Stations'!$O$84)&gt;0,'01_Stations'!$O$84,"")</f>
        <v/>
      </c>
      <c r="AQ61" s="164" t="str">
        <f>IF(N('01_Stations'!$O$85)&gt;0,'01_Stations'!$O$85,"")</f>
        <v/>
      </c>
    </row>
    <row r="62" spans="1:43" ht="15" customHeight="1" x14ac:dyDescent="0.3">
      <c r="A62" s="238" t="s">
        <v>2210</v>
      </c>
      <c r="B62" s="165" t="s">
        <v>2211</v>
      </c>
      <c r="C62" s="166" t="s">
        <v>1622</v>
      </c>
      <c r="D62" s="164" t="str">
        <f>IF('01_Stations'!$P$46="","",'01_Stations'!$P$46)</f>
        <v/>
      </c>
      <c r="E62" s="164" t="str">
        <f>IF('01_Stations'!$P$47="","",'01_Stations'!$P$47)</f>
        <v/>
      </c>
      <c r="F62" s="164" t="str">
        <f>IF('01_Stations'!$P$48="","",'01_Stations'!$P$48)</f>
        <v/>
      </c>
      <c r="G62" s="164" t="str">
        <f>IF('01_Stations'!$P$49="","",'01_Stations'!$P$49)</f>
        <v/>
      </c>
      <c r="H62" s="164" t="str">
        <f>IF('01_Stations'!$P$50="","",'01_Stations'!$P$50)</f>
        <v/>
      </c>
      <c r="I62" s="164" t="str">
        <f>IF('01_Stations'!$P$51="","",'01_Stations'!$P$51)</f>
        <v/>
      </c>
      <c r="J62" s="164" t="str">
        <f>IF('01_Stations'!$P$52="","",'01_Stations'!$P$52)</f>
        <v/>
      </c>
      <c r="K62" s="164" t="str">
        <f>IF('01_Stations'!$P$53="","",'01_Stations'!$P$53)</f>
        <v/>
      </c>
      <c r="L62" s="164" t="str">
        <f>IF('01_Stations'!$P$54="","",'01_Stations'!$P$54)</f>
        <v/>
      </c>
      <c r="M62" s="164" t="str">
        <f>IF('01_Stations'!$P$55="","",'01_Stations'!$P$55)</f>
        <v/>
      </c>
      <c r="N62" s="164" t="str">
        <f>IF('01_Stations'!$P$56="","",'01_Stations'!$P$56)</f>
        <v/>
      </c>
      <c r="O62" s="164" t="str">
        <f>IF('01_Stations'!$P$57="","",'01_Stations'!$P$57)</f>
        <v/>
      </c>
      <c r="P62" s="164" t="str">
        <f>IF('01_Stations'!$P$58="","",'01_Stations'!$P$58)</f>
        <v/>
      </c>
      <c r="Q62" s="164" t="str">
        <f>IF('01_Stations'!$P$59="","",'01_Stations'!$P$59)</f>
        <v/>
      </c>
      <c r="R62" s="164" t="str">
        <f>IF('01_Stations'!$P$60="","",'01_Stations'!$P$60)</f>
        <v/>
      </c>
      <c r="S62" s="164" t="str">
        <f>IF('01_Stations'!$P$61="","",'01_Stations'!$P$61)</f>
        <v/>
      </c>
      <c r="T62" s="164" t="str">
        <f>IF('01_Stations'!$P$62="","",'01_Stations'!$P$62)</f>
        <v/>
      </c>
      <c r="U62" s="164" t="str">
        <f>IF('01_Stations'!$P$63="","",'01_Stations'!$P$63)</f>
        <v/>
      </c>
      <c r="V62" s="164" t="str">
        <f>IF('01_Stations'!$P$64="","",'01_Stations'!$P$64)</f>
        <v/>
      </c>
      <c r="W62" s="164" t="str">
        <f>IF('01_Stations'!$P$65="","",'01_Stations'!$P$65)</f>
        <v/>
      </c>
      <c r="X62" s="164" t="str">
        <f>IF('01_Stations'!$P$66="","",'01_Stations'!$P$66)</f>
        <v/>
      </c>
      <c r="Y62" s="164" t="str">
        <f>IF('01_Stations'!$P$67="","",'01_Stations'!$P$67)</f>
        <v/>
      </c>
      <c r="Z62" s="164" t="str">
        <f>IF('01_Stations'!$P$68="","",'01_Stations'!$P$68)</f>
        <v/>
      </c>
      <c r="AA62" s="164" t="str">
        <f>IF('01_Stations'!$P$69="","",'01_Stations'!$P$69)</f>
        <v/>
      </c>
      <c r="AB62" s="164" t="str">
        <f>IF('01_Stations'!$P$70="","",'01_Stations'!$P$70)</f>
        <v/>
      </c>
      <c r="AC62" s="164" t="str">
        <f>IF('01_Stations'!$P$71="","",'01_Stations'!$P$71)</f>
        <v/>
      </c>
      <c r="AD62" s="164" t="str">
        <f>IF('01_Stations'!$P$72="","",'01_Stations'!$P$72)</f>
        <v/>
      </c>
      <c r="AE62" s="164" t="str">
        <f>IF('01_Stations'!$P$73="","",'01_Stations'!$P$73)</f>
        <v/>
      </c>
      <c r="AF62" s="164" t="str">
        <f>IF('01_Stations'!$P$74="","",'01_Stations'!$P$74)</f>
        <v/>
      </c>
      <c r="AG62" s="164" t="str">
        <f>IF('01_Stations'!$P$75="","",'01_Stations'!$P$75)</f>
        <v/>
      </c>
      <c r="AH62" s="164" t="str">
        <f>IF('01_Stations'!$P$76="","",'01_Stations'!$P$76)</f>
        <v/>
      </c>
      <c r="AI62" s="164" t="str">
        <f>IF('01_Stations'!$P$77="","",'01_Stations'!$P$77)</f>
        <v/>
      </c>
      <c r="AJ62" s="164" t="str">
        <f>IF('01_Stations'!$P$78="","",'01_Stations'!$P$78)</f>
        <v/>
      </c>
      <c r="AK62" s="164" t="str">
        <f>IF('01_Stations'!$P$79="","",'01_Stations'!$P$79)</f>
        <v/>
      </c>
      <c r="AL62" s="164" t="str">
        <f>IF('01_Stations'!$P$80="","",'01_Stations'!$P$80)</f>
        <v/>
      </c>
      <c r="AM62" s="164" t="str">
        <f>IF('01_Stations'!$P$81="","",'01_Stations'!$P$81)</f>
        <v/>
      </c>
      <c r="AN62" s="164" t="str">
        <f>IF('01_Stations'!$P$82="","",'01_Stations'!$P$82)</f>
        <v/>
      </c>
      <c r="AO62" s="164" t="str">
        <f>IF('01_Stations'!$P$83="","",'01_Stations'!$P$83)</f>
        <v/>
      </c>
      <c r="AP62" s="164" t="str">
        <f>IF('01_Stations'!$P$84="","",'01_Stations'!$P$84)</f>
        <v/>
      </c>
      <c r="AQ62" s="164" t="str">
        <f>IF('01_Stations'!$P$85="","",'01_Stations'!$P$85)</f>
        <v/>
      </c>
    </row>
    <row r="63" spans="1:43" ht="15" customHeight="1" x14ac:dyDescent="0.3">
      <c r="A63" s="236"/>
      <c r="B63" s="165"/>
      <c r="C63" s="166" t="s">
        <v>2212</v>
      </c>
      <c r="D63" s="164" t="str">
        <f>IF('01_Stations'!$Q$46="","",'01_Stations'!$Q$46)</f>
        <v/>
      </c>
      <c r="E63" s="164" t="str">
        <f>IF('01_Stations'!$Q$47="","",'01_Stations'!$Q$47)</f>
        <v/>
      </c>
      <c r="F63" s="164" t="str">
        <f>IF('01_Stations'!$Q$48="","",'01_Stations'!$Q$48)</f>
        <v/>
      </c>
      <c r="G63" s="164" t="str">
        <f>IF('01_Stations'!$Q$49="","",'01_Stations'!$Q$49)</f>
        <v/>
      </c>
      <c r="H63" s="164" t="str">
        <f>IF('01_Stations'!$Q$50="","",'01_Stations'!$Q$50)</f>
        <v/>
      </c>
      <c r="I63" s="164" t="str">
        <f>IF('01_Stations'!$Q$51="","",'01_Stations'!$Q$51)</f>
        <v/>
      </c>
      <c r="J63" s="164" t="str">
        <f>IF('01_Stations'!$Q$52="","",'01_Stations'!$Q$52)</f>
        <v/>
      </c>
      <c r="K63" s="164" t="str">
        <f>IF('01_Stations'!$Q$53="","",'01_Stations'!$Q$53)</f>
        <v/>
      </c>
      <c r="L63" s="164" t="str">
        <f>IF('01_Stations'!$Q$54="","",'01_Stations'!$Q$54)</f>
        <v/>
      </c>
      <c r="M63" s="164" t="str">
        <f>IF('01_Stations'!$Q$55="","",'01_Stations'!$Q$55)</f>
        <v/>
      </c>
      <c r="N63" s="164" t="str">
        <f>IF('01_Stations'!$Q$56="","",'01_Stations'!$Q$56)</f>
        <v/>
      </c>
      <c r="O63" s="164" t="str">
        <f>IF('01_Stations'!$Q$57="","",'01_Stations'!$Q$57)</f>
        <v/>
      </c>
      <c r="P63" s="164" t="str">
        <f>IF('01_Stations'!$Q$58="","",'01_Stations'!$Q$58)</f>
        <v/>
      </c>
      <c r="Q63" s="164" t="str">
        <f>IF('01_Stations'!$Q$59="","",'01_Stations'!$Q$59)</f>
        <v/>
      </c>
      <c r="R63" s="164" t="str">
        <f>IF('01_Stations'!$Q$60="","",'01_Stations'!$Q$60)</f>
        <v/>
      </c>
      <c r="S63" s="164" t="str">
        <f>IF('01_Stations'!$Q$61="","",'01_Stations'!$Q$61)</f>
        <v/>
      </c>
      <c r="T63" s="164" t="str">
        <f>IF('01_Stations'!$Q$62="","",'01_Stations'!$Q$62)</f>
        <v/>
      </c>
      <c r="U63" s="164" t="str">
        <f>IF('01_Stations'!$Q$63="","",'01_Stations'!$Q$63)</f>
        <v/>
      </c>
      <c r="V63" s="164" t="str">
        <f>IF('01_Stations'!$Q$64="","",'01_Stations'!$Q$64)</f>
        <v/>
      </c>
      <c r="W63" s="164" t="str">
        <f>IF('01_Stations'!$Q$65="","",'01_Stations'!$Q$65)</f>
        <v/>
      </c>
      <c r="X63" s="164" t="str">
        <f>IF('01_Stations'!$Q$66="","",'01_Stations'!$Q$66)</f>
        <v/>
      </c>
      <c r="Y63" s="164" t="str">
        <f>IF('01_Stations'!$Q$67="","",'01_Stations'!$Q$67)</f>
        <v/>
      </c>
      <c r="Z63" s="164" t="str">
        <f>IF('01_Stations'!$Q$68="","",'01_Stations'!$Q$68)</f>
        <v/>
      </c>
      <c r="AA63" s="164" t="str">
        <f>IF('01_Stations'!$Q$69="","",'01_Stations'!$Q$69)</f>
        <v/>
      </c>
      <c r="AB63" s="164" t="str">
        <f>IF('01_Stations'!$Q$70="","",'01_Stations'!$Q$70)</f>
        <v/>
      </c>
      <c r="AC63" s="164" t="str">
        <f>IF('01_Stations'!$Q$71="","",'01_Stations'!$Q$71)</f>
        <v/>
      </c>
      <c r="AD63" s="164" t="str">
        <f>IF('01_Stations'!$Q$72="","",'01_Stations'!$Q$72)</f>
        <v/>
      </c>
      <c r="AE63" s="164" t="str">
        <f>IF('01_Stations'!$Q$73="","",'01_Stations'!$Q$73)</f>
        <v/>
      </c>
      <c r="AF63" s="164" t="str">
        <f>IF('01_Stations'!$Q$74="","",'01_Stations'!$Q$74)</f>
        <v/>
      </c>
      <c r="AG63" s="164" t="str">
        <f>IF('01_Stations'!$Q$75="","",'01_Stations'!$Q$75)</f>
        <v/>
      </c>
      <c r="AH63" s="164" t="str">
        <f>IF('01_Stations'!$Q$76="","",'01_Stations'!$Q$76)</f>
        <v/>
      </c>
      <c r="AI63" s="164" t="str">
        <f>IF('01_Stations'!$Q$77="","",'01_Stations'!$Q$77)</f>
        <v/>
      </c>
      <c r="AJ63" s="164" t="str">
        <f>IF('01_Stations'!$Q$78="","",'01_Stations'!$Q$78)</f>
        <v/>
      </c>
      <c r="AK63" s="164" t="str">
        <f>IF('01_Stations'!$Q$79="","",'01_Stations'!$Q$79)</f>
        <v/>
      </c>
      <c r="AL63" s="164" t="str">
        <f>IF('01_Stations'!$Q$80="","",'01_Stations'!$Q$80)</f>
        <v/>
      </c>
      <c r="AM63" s="164" t="str">
        <f>IF('01_Stations'!$Q$81="","",'01_Stations'!$Q$81)</f>
        <v/>
      </c>
      <c r="AN63" s="164" t="str">
        <f>IF('01_Stations'!$Q$82="","",'01_Stations'!$Q$82)</f>
        <v/>
      </c>
      <c r="AO63" s="164" t="str">
        <f>IF('01_Stations'!$Q$83="","",'01_Stations'!$Q$83)</f>
        <v/>
      </c>
      <c r="AP63" s="164" t="str">
        <f>IF('01_Stations'!$Q$84="","",'01_Stations'!$Q$84)</f>
        <v/>
      </c>
      <c r="AQ63" s="164" t="str">
        <f>IF('01_Stations'!$Q$85="","",'01_Stations'!$Q$85)</f>
        <v/>
      </c>
    </row>
    <row r="64" spans="1:43" ht="15" customHeight="1" x14ac:dyDescent="0.3">
      <c r="A64" s="236"/>
      <c r="B64" s="165" t="s">
        <v>2213</v>
      </c>
      <c r="C64" s="166"/>
      <c r="D64" s="164" t="str">
        <f>IF('01_Stations'!$R$46=1,"ϰ",IF('01_Stations'!$R$46=2,"І",IF('01_Stations'!$R$46=3,"╦","")))</f>
        <v/>
      </c>
      <c r="E64" s="164" t="str">
        <f>IF('01_Stations'!$R$47=1,"ϰ",IF('01_Stations'!$R$47=2,"І",IF('01_Stations'!$R$47=3,"╦","")))</f>
        <v/>
      </c>
      <c r="F64" s="164" t="str">
        <f>IF('01_Stations'!$R$48=1,"ϰ",IF('01_Stations'!$R$48=2,"І",IF('01_Stations'!$R$48=3,"╦","")))</f>
        <v/>
      </c>
      <c r="G64" s="164" t="str">
        <f>IF('01_Stations'!$R$49=1,"ϰ",IF('01_Stations'!$R$49=2,"І",IF('01_Stations'!$R$49=3,"╦","")))</f>
        <v/>
      </c>
      <c r="H64" s="164" t="str">
        <f>IF('01_Stations'!$R$50=1,"ϰ",IF('01_Stations'!$R$50=2,"І",IF('01_Stations'!$R$50=3,"╦","")))</f>
        <v/>
      </c>
      <c r="I64" s="164" t="str">
        <f>IF('01_Stations'!$R$51=1,"ϰ",IF('01_Stations'!$R$51=2,"І",IF('01_Stations'!$R$51=3,"╦","")))</f>
        <v/>
      </c>
      <c r="J64" s="164" t="str">
        <f>IF('01_Stations'!$R$52=1,"ϰ",IF('01_Stations'!$R$52=2,"І",IF('01_Stations'!$R$52=3,"╦","")))</f>
        <v/>
      </c>
      <c r="K64" s="164" t="str">
        <f>IF('01_Stations'!$R$53=1,"ϰ",IF('01_Stations'!$R$53=2,"І",IF('01_Stations'!$R$53=3,"╦","")))</f>
        <v/>
      </c>
      <c r="L64" s="164" t="str">
        <f>IF('01_Stations'!$R$54=1,"ϰ",IF('01_Stations'!$R$54=2,"І",IF('01_Stations'!$R$54=3,"╦","")))</f>
        <v/>
      </c>
      <c r="M64" s="164" t="str">
        <f>IF('01_Stations'!$R$55=1,"ϰ",IF('01_Stations'!$R$55=2,"І",IF('01_Stations'!$R$55=3,"╦","")))</f>
        <v/>
      </c>
      <c r="N64" s="164" t="str">
        <f>IF('01_Stations'!$R$56=1,"ϰ",IF('01_Stations'!$R$56=2,"І",IF('01_Stations'!$R$56=3,"╦","")))</f>
        <v/>
      </c>
      <c r="O64" s="164" t="str">
        <f>IF('01_Stations'!$R$57=1,"ϰ",IF('01_Stations'!$R$57=2,"І",IF('01_Stations'!$R$57=3,"╦","")))</f>
        <v/>
      </c>
      <c r="P64" s="164" t="str">
        <f>IF('01_Stations'!$R$58=1,"ϰ",IF('01_Stations'!$R$58=2,"І",IF('01_Stations'!$R$58=3,"╦","")))</f>
        <v/>
      </c>
      <c r="Q64" s="164" t="str">
        <f>IF('01_Stations'!$R$59=1,"ϰ",IF('01_Stations'!$R$59=2,"І",IF('01_Stations'!$R$59=3,"╦","")))</f>
        <v/>
      </c>
      <c r="R64" s="164" t="str">
        <f>IF('01_Stations'!$R$60=1,"ϰ",IF('01_Stations'!$R$60=2,"І",IF('01_Stations'!$R$60=3,"╦","")))</f>
        <v/>
      </c>
      <c r="S64" s="164" t="str">
        <f>IF('01_Stations'!$R$61=1,"ϰ",IF('01_Stations'!$R$61=2,"І",IF('01_Stations'!$R$61=3,"╦","")))</f>
        <v/>
      </c>
      <c r="T64" s="164" t="str">
        <f>IF('01_Stations'!$R$62=1,"ϰ",IF('01_Stations'!$R$62=2,"І",IF('01_Stations'!$R$62=3,"╦","")))</f>
        <v/>
      </c>
      <c r="U64" s="164" t="str">
        <f>IF('01_Stations'!$R$63=1,"ϰ",IF('01_Stations'!$R$63=2,"І",IF('01_Stations'!$R$63=3,"╦","")))</f>
        <v/>
      </c>
      <c r="V64" s="164" t="str">
        <f>IF('01_Stations'!$R$64=1,"ϰ",IF('01_Stations'!$R$64=2,"І",IF('01_Stations'!$R$64=3,"╦","")))</f>
        <v/>
      </c>
      <c r="W64" s="164" t="str">
        <f>IF('01_Stations'!$R$65=1,"ϰ",IF('01_Stations'!$R$65=2,"І",IF('01_Stations'!$R$65=3,"╦","")))</f>
        <v/>
      </c>
      <c r="X64" s="164" t="str">
        <f>IF('01_Stations'!$R$66=1,"ϰ",IF('01_Stations'!$R$66=2,"І",IF('01_Stations'!$R$66=3,"╦","")))</f>
        <v/>
      </c>
      <c r="Y64" s="164" t="str">
        <f>IF('01_Stations'!$R$67=1,"ϰ",IF('01_Stations'!$R$67=2,"І",IF('01_Stations'!$R$67=3,"╦","")))</f>
        <v/>
      </c>
      <c r="Z64" s="164" t="str">
        <f>IF('01_Stations'!$R$68=1,"ϰ",IF('01_Stations'!$R$68=2,"І",IF('01_Stations'!$R$68=3,"╦","")))</f>
        <v/>
      </c>
      <c r="AA64" s="164" t="str">
        <f>IF('01_Stations'!$R$69=1,"ϰ",IF('01_Stations'!$R$69=2,"І",IF('01_Stations'!$R$69=3,"╦","")))</f>
        <v/>
      </c>
      <c r="AB64" s="164" t="str">
        <f>IF('01_Stations'!$R$70=1,"ϰ",IF('01_Stations'!$R$70=2,"І",IF('01_Stations'!$R$70=3,"╦","")))</f>
        <v/>
      </c>
      <c r="AC64" s="164" t="str">
        <f>IF('01_Stations'!$R$71=1,"ϰ",IF('01_Stations'!$R$71=2,"І",IF('01_Stations'!$R$71=3,"╦","")))</f>
        <v/>
      </c>
      <c r="AD64" s="164" t="str">
        <f>IF('01_Stations'!$R$72=1,"ϰ",IF('01_Stations'!$R$72=2,"І",IF('01_Stations'!$R$72=3,"╦","")))</f>
        <v/>
      </c>
      <c r="AE64" s="164" t="str">
        <f>IF('01_Stations'!$R$73=1,"ϰ",IF('01_Stations'!$R$73=2,"І",IF('01_Stations'!$R$73=3,"╦","")))</f>
        <v/>
      </c>
      <c r="AF64" s="164" t="str">
        <f>IF('01_Stations'!$R$74=1,"ϰ",IF('01_Stations'!$R$74=2,"І",IF('01_Stations'!$R$74=3,"╦","")))</f>
        <v/>
      </c>
      <c r="AG64" s="164" t="str">
        <f>IF('01_Stations'!$R$75=1,"ϰ",IF('01_Stations'!$R$75=2,"І",IF('01_Stations'!$R$75=3,"╦","")))</f>
        <v/>
      </c>
      <c r="AH64" s="164" t="str">
        <f>IF('01_Stations'!$R$76=1,"ϰ",IF('01_Stations'!$R$76=2,"І",IF('01_Stations'!$R$76=3,"╦","")))</f>
        <v/>
      </c>
      <c r="AI64" s="164" t="str">
        <f>IF('01_Stations'!$R$77=1,"ϰ",IF('01_Stations'!$R$77=2,"І",IF('01_Stations'!$R$77=3,"╦","")))</f>
        <v/>
      </c>
      <c r="AJ64" s="164" t="str">
        <f>IF('01_Stations'!$R$78=1,"ϰ",IF('01_Stations'!$R$78=2,"І",IF('01_Stations'!$R$78=3,"╦","")))</f>
        <v/>
      </c>
      <c r="AK64" s="164" t="str">
        <f>IF('01_Stations'!$R$79=1,"ϰ",IF('01_Stations'!$R$79=2,"І",IF('01_Stations'!$R$79=3,"╦","")))</f>
        <v/>
      </c>
      <c r="AL64" s="164" t="str">
        <f>IF('01_Stations'!$R$80=1,"ϰ",IF('01_Stations'!$R$80=2,"І",IF('01_Stations'!$R$80=3,"╦","")))</f>
        <v/>
      </c>
      <c r="AM64" s="164" t="str">
        <f>IF('01_Stations'!$R$81=1,"ϰ",IF('01_Stations'!$R$81=2,"І",IF('01_Stations'!$R$81=3,"╦","")))</f>
        <v/>
      </c>
      <c r="AN64" s="164" t="str">
        <f>IF('01_Stations'!$R$82=1,"ϰ",IF('01_Stations'!$R$82=2,"І",IF('01_Stations'!$R$82=3,"╦","")))</f>
        <v/>
      </c>
      <c r="AO64" s="164" t="str">
        <f>IF('01_Stations'!$R$83=1,"ϰ",IF('01_Stations'!$R$83=2,"І",IF('01_Stations'!$R$83=3,"╦","")))</f>
        <v/>
      </c>
      <c r="AP64" s="164" t="str">
        <f>IF('01_Stations'!$R$84=1,"ϰ",IF('01_Stations'!$R$84=2,"І",IF('01_Stations'!$R$84=3,"╦","")))</f>
        <v/>
      </c>
      <c r="AQ64" s="164" t="str">
        <f>IF('01_Stations'!$R$85=1,"ϰ",IF('01_Stations'!$R$85=2,"І",IF('01_Stations'!$R$85=3,"╦","")))</f>
        <v/>
      </c>
    </row>
    <row r="65" spans="1:43" ht="15" customHeight="1" x14ac:dyDescent="0.3">
      <c r="A65" s="236"/>
      <c r="B65" s="165" t="s">
        <v>2214</v>
      </c>
      <c r="C65" s="166"/>
      <c r="D65" s="164" t="str">
        <f>IF('01_Stations'!$S$46=1,"Ӂ",IF('01_Stations'!$S$46=2,"Җ",""))</f>
        <v/>
      </c>
      <c r="E65" s="164" t="str">
        <f>IF('01_Stations'!$S$47=1,"Ӂ",IF('01_Stations'!$S$47=2,"Җ",""))</f>
        <v/>
      </c>
      <c r="F65" s="164" t="str">
        <f>IF('01_Stations'!$S$48=1,"Ӂ",IF('01_Stations'!$S$48=2,"Җ",""))</f>
        <v/>
      </c>
      <c r="G65" s="164" t="str">
        <f>IF('01_Stations'!$S$49=1,"Ӂ",IF('01_Stations'!$S$49=2,"Җ",""))</f>
        <v/>
      </c>
      <c r="H65" s="164" t="str">
        <f>IF('01_Stations'!$S$50=1,"Ӂ",IF('01_Stations'!$S$50=2,"Җ",""))</f>
        <v/>
      </c>
      <c r="I65" s="164" t="str">
        <f>IF('01_Stations'!$S$51=1,"Ӂ",IF('01_Stations'!$S$51=2,"Җ",""))</f>
        <v/>
      </c>
      <c r="J65" s="164" t="str">
        <f>IF('01_Stations'!$S$52=1,"Ӂ",IF('01_Stations'!$S$52=2,"Җ",""))</f>
        <v/>
      </c>
      <c r="K65" s="164" t="str">
        <f>IF('01_Stations'!$S$53=1,"Ӂ",IF('01_Stations'!$S$53=2,"Җ",""))</f>
        <v/>
      </c>
      <c r="L65" s="164" t="str">
        <f>IF('01_Stations'!$S$54=1,"Ӂ",IF('01_Stations'!$S$54=2,"Җ",""))</f>
        <v/>
      </c>
      <c r="M65" s="164" t="str">
        <f>IF('01_Stations'!$S$55=1,"Ӂ",IF('01_Stations'!$S$55=2,"Җ",""))</f>
        <v/>
      </c>
      <c r="N65" s="164" t="str">
        <f>IF('01_Stations'!$S$56=1,"Ӂ",IF('01_Stations'!$S$56=2,"Җ",""))</f>
        <v/>
      </c>
      <c r="O65" s="164" t="str">
        <f>IF('01_Stations'!$S$57=1,"Ӂ",IF('01_Stations'!$S$57=2,"Җ",""))</f>
        <v/>
      </c>
      <c r="P65" s="164" t="str">
        <f>IF('01_Stations'!$S$58=1,"Ӂ",IF('01_Stations'!$S$58=2,"Җ",""))</f>
        <v/>
      </c>
      <c r="Q65" s="164" t="str">
        <f>IF('01_Stations'!$S$59=1,"Ӂ",IF('01_Stations'!$S$59=2,"Җ",""))</f>
        <v/>
      </c>
      <c r="R65" s="164" t="str">
        <f>IF('01_Stations'!$S$60=1,"Ӂ",IF('01_Stations'!$S$60=2,"Җ",""))</f>
        <v/>
      </c>
      <c r="S65" s="164" t="str">
        <f>IF('01_Stations'!$S$61=1,"Ӂ",IF('01_Stations'!$S$61=2,"Җ",""))</f>
        <v/>
      </c>
      <c r="T65" s="164" t="str">
        <f>IF('01_Stations'!$S$62=1,"Ӂ",IF('01_Stations'!$S$62=2,"Җ",""))</f>
        <v/>
      </c>
      <c r="U65" s="164" t="str">
        <f>IF('01_Stations'!$S$63=1,"Ӂ",IF('01_Stations'!$S$63=2,"Җ",""))</f>
        <v/>
      </c>
      <c r="V65" s="164" t="str">
        <f>IF('01_Stations'!$S$64=1,"Ӂ",IF('01_Stations'!$S$64=2,"Җ",""))</f>
        <v/>
      </c>
      <c r="W65" s="164" t="str">
        <f>IF('01_Stations'!$S$65=1,"Ӂ",IF('01_Stations'!$S$65=2,"Җ",""))</f>
        <v/>
      </c>
      <c r="X65" s="164" t="str">
        <f>IF('01_Stations'!$S$66=1,"Ӂ",IF('01_Stations'!$S$66=2,"Җ",""))</f>
        <v/>
      </c>
      <c r="Y65" s="164" t="str">
        <f>IF('01_Stations'!$S$67=1,"Ӂ",IF('01_Stations'!$S$67=2,"Җ",""))</f>
        <v/>
      </c>
      <c r="Z65" s="164" t="str">
        <f>IF('01_Stations'!$S$68=1,"Ӂ",IF('01_Stations'!$S$68=2,"Җ",""))</f>
        <v/>
      </c>
      <c r="AA65" s="164" t="str">
        <f>IF('01_Stations'!$S$69=1,"Ӂ",IF('01_Stations'!$S$69=2,"Җ",""))</f>
        <v/>
      </c>
      <c r="AB65" s="164" t="str">
        <f>IF('01_Stations'!$S$70=1,"Ӂ",IF('01_Stations'!$S$70=2,"Җ",""))</f>
        <v/>
      </c>
      <c r="AC65" s="164" t="str">
        <f>IF('01_Stations'!$S$71=1,"Ӂ",IF('01_Stations'!$S$71=2,"Җ",""))</f>
        <v/>
      </c>
      <c r="AD65" s="164" t="str">
        <f>IF('01_Stations'!$S$72=1,"Ӂ",IF('01_Stations'!$S$72=2,"Җ",""))</f>
        <v/>
      </c>
      <c r="AE65" s="164" t="str">
        <f>IF('01_Stations'!$S$73=1,"Ӂ",IF('01_Stations'!$S$73=2,"Җ",""))</f>
        <v/>
      </c>
      <c r="AF65" s="164" t="str">
        <f>IF('01_Stations'!$S$74=1,"Ӂ",IF('01_Stations'!$S$74=2,"Җ",""))</f>
        <v/>
      </c>
      <c r="AG65" s="164" t="str">
        <f>IF('01_Stations'!$S$75=1,"Ӂ",IF('01_Stations'!$S$75=2,"Җ",""))</f>
        <v/>
      </c>
      <c r="AH65" s="164" t="str">
        <f>IF('01_Stations'!$S$76=1,"Ӂ",IF('01_Stations'!$S$76=2,"Җ",""))</f>
        <v/>
      </c>
      <c r="AI65" s="164" t="str">
        <f>IF('01_Stations'!$S$77=1,"Ӂ",IF('01_Stations'!$S$77=2,"Җ",""))</f>
        <v/>
      </c>
      <c r="AJ65" s="164" t="str">
        <f>IF('01_Stations'!$S$78=1,"Ӂ",IF('01_Stations'!$S$78=2,"Җ",""))</f>
        <v/>
      </c>
      <c r="AK65" s="164" t="str">
        <f>IF('01_Stations'!$S$79=1,"Ӂ",IF('01_Stations'!$S$79=2,"Җ",""))</f>
        <v/>
      </c>
      <c r="AL65" s="164" t="str">
        <f>IF('01_Stations'!$S$80=1,"Ӂ",IF('01_Stations'!$S$80=2,"Җ",""))</f>
        <v/>
      </c>
      <c r="AM65" s="164" t="str">
        <f>IF('01_Stations'!$S$81=1,"Ӂ",IF('01_Stations'!$S$81=2,"Җ",""))</f>
        <v/>
      </c>
      <c r="AN65" s="164" t="str">
        <f>IF('01_Stations'!$S$82=1,"Ӂ",IF('01_Stations'!$S$82=2,"Җ",""))</f>
        <v/>
      </c>
      <c r="AO65" s="164" t="str">
        <f>IF('01_Stations'!$S$83=1,"Ӂ",IF('01_Stations'!$S$83=2,"Җ",""))</f>
        <v/>
      </c>
      <c r="AP65" s="164" t="str">
        <f>IF('01_Stations'!$S$84=1,"Ӂ",IF('01_Stations'!$S$84=2,"Җ",""))</f>
        <v/>
      </c>
      <c r="AQ65" s="164" t="str">
        <f>IF('01_Stations'!$S$85=1,"Ӂ",IF('01_Stations'!$S$85=2,"Җ",""))</f>
        <v/>
      </c>
    </row>
    <row r="66" spans="1:43" ht="15" customHeight="1" x14ac:dyDescent="0.3">
      <c r="A66" s="236"/>
      <c r="B66" s="165" t="s">
        <v>2215</v>
      </c>
      <c r="C66" s="166" t="s">
        <v>1622</v>
      </c>
      <c r="D66" s="164" t="str">
        <f>IF('01_Stations'!$T$46=1,"───","")</f>
        <v/>
      </c>
      <c r="E66" s="164" t="str">
        <f>IF('01_Stations'!$T$47=1,"───","")</f>
        <v/>
      </c>
      <c r="F66" s="164" t="str">
        <f>IF('01_Stations'!$T$48=1,"───","")</f>
        <v/>
      </c>
      <c r="G66" s="164" t="str">
        <f>IF('01_Stations'!$T$49=1,"───","")</f>
        <v/>
      </c>
      <c r="H66" s="164" t="str">
        <f>IF('01_Stations'!$T$50=1,"───","")</f>
        <v/>
      </c>
      <c r="I66" s="164" t="str">
        <f>IF('01_Stations'!$T$51=1,"───","")</f>
        <v/>
      </c>
      <c r="J66" s="164" t="str">
        <f>IF('01_Stations'!$T$52=1,"───","")</f>
        <v/>
      </c>
      <c r="K66" s="164" t="str">
        <f>IF('01_Stations'!$T$53=1,"───","")</f>
        <v/>
      </c>
      <c r="L66" s="164" t="str">
        <f>IF('01_Stations'!$T$54=1,"───","")</f>
        <v/>
      </c>
      <c r="M66" s="164" t="str">
        <f>IF('01_Stations'!$T$55=1,"───","")</f>
        <v/>
      </c>
      <c r="N66" s="164" t="str">
        <f>IF('01_Stations'!$T$56=1,"───","")</f>
        <v/>
      </c>
      <c r="O66" s="164" t="str">
        <f>IF('01_Stations'!$T$57=1,"───","")</f>
        <v/>
      </c>
      <c r="P66" s="164" t="str">
        <f>IF('01_Stations'!$T$58=1,"───","")</f>
        <v/>
      </c>
      <c r="Q66" s="164" t="str">
        <f>IF('01_Stations'!$T$59=1,"───","")</f>
        <v/>
      </c>
      <c r="R66" s="164" t="str">
        <f>IF('01_Stations'!$T$60=1,"───","")</f>
        <v/>
      </c>
      <c r="S66" s="164" t="str">
        <f>IF('01_Stations'!$T$61=1,"───","")</f>
        <v/>
      </c>
      <c r="T66" s="164" t="str">
        <f>IF('01_Stations'!$T$62=1,"───","")</f>
        <v/>
      </c>
      <c r="U66" s="164" t="str">
        <f>IF('01_Stations'!$T$63=1,"───","")</f>
        <v/>
      </c>
      <c r="V66" s="164" t="str">
        <f>IF('01_Stations'!$T$64=1,"───","")</f>
        <v/>
      </c>
      <c r="W66" s="164" t="str">
        <f>IF('01_Stations'!$T$65=1,"───","")</f>
        <v/>
      </c>
      <c r="X66" s="164" t="str">
        <f>IF('01_Stations'!$T$66=1,"───","")</f>
        <v/>
      </c>
      <c r="Y66" s="164" t="str">
        <f>IF('01_Stations'!$T$67=1,"───","")</f>
        <v/>
      </c>
      <c r="Z66" s="164" t="str">
        <f>IF('01_Stations'!$T$68=1,"───","")</f>
        <v/>
      </c>
      <c r="AA66" s="164" t="str">
        <f>IF('01_Stations'!$T$69=1,"───","")</f>
        <v/>
      </c>
      <c r="AB66" s="164" t="str">
        <f>IF('01_Stations'!$T$70=1,"───","")</f>
        <v/>
      </c>
      <c r="AC66" s="164" t="str">
        <f>IF('01_Stations'!$T$71=1,"───","")</f>
        <v/>
      </c>
      <c r="AD66" s="164" t="str">
        <f>IF('01_Stations'!$T$72=1,"───","")</f>
        <v/>
      </c>
      <c r="AE66" s="164" t="str">
        <f>IF('01_Stations'!$T$73=1,"───","")</f>
        <v/>
      </c>
      <c r="AF66" s="164" t="str">
        <f>IF('01_Stations'!$T$74=1,"───","")</f>
        <v/>
      </c>
      <c r="AG66" s="164" t="str">
        <f>IF('01_Stations'!$T$75=1,"───","")</f>
        <v/>
      </c>
      <c r="AH66" s="164" t="str">
        <f>IF('01_Stations'!$T$76=1,"───","")</f>
        <v/>
      </c>
      <c r="AI66" s="164" t="str">
        <f>IF('01_Stations'!$T$77=1,"───","")</f>
        <v/>
      </c>
      <c r="AJ66" s="164" t="str">
        <f>IF('01_Stations'!$T$78=1,"───","")</f>
        <v/>
      </c>
      <c r="AK66" s="164" t="str">
        <f>IF('01_Stations'!$T$79=1,"───","")</f>
        <v/>
      </c>
      <c r="AL66" s="164" t="str">
        <f>IF('01_Stations'!$T$80=1,"───","")</f>
        <v/>
      </c>
      <c r="AM66" s="164" t="str">
        <f>IF('01_Stations'!$T$81=1,"───","")</f>
        <v/>
      </c>
      <c r="AN66" s="164" t="str">
        <f>IF('01_Stations'!$T$82=1,"───","")</f>
        <v/>
      </c>
      <c r="AO66" s="164" t="str">
        <f>IF('01_Stations'!$T$83=1,"───","")</f>
        <v/>
      </c>
      <c r="AP66" s="164" t="str">
        <f>IF('01_Stations'!$T$84=1,"───","")</f>
        <v/>
      </c>
      <c r="AQ66" s="164" t="str">
        <f>IF('01_Stations'!$T$85=1,"───","")</f>
        <v/>
      </c>
    </row>
    <row r="67" spans="1:43" ht="15" customHeight="1" x14ac:dyDescent="0.3">
      <c r="A67" s="236"/>
      <c r="B67" s="165"/>
      <c r="C67" s="166" t="s">
        <v>2216</v>
      </c>
      <c r="D67" s="164" t="str">
        <f>IF(N('01_Stations'!$U$46)&gt;0,'01_Stations'!$U$46,"")</f>
        <v/>
      </c>
      <c r="E67" s="164" t="str">
        <f>IF(N('01_Stations'!$U$47)&gt;0,'01_Stations'!$U$47,"")</f>
        <v/>
      </c>
      <c r="F67" s="164" t="str">
        <f>IF(N('01_Stations'!$U$48)&gt;0,'01_Stations'!$U$48,"")</f>
        <v/>
      </c>
      <c r="G67" s="164" t="str">
        <f>IF(N('01_Stations'!$U$49)&gt;0,'01_Stations'!$U$49,"")</f>
        <v/>
      </c>
      <c r="H67" s="164" t="str">
        <f>IF(N('01_Stations'!$U$50)&gt;0,'01_Stations'!$U$50,"")</f>
        <v/>
      </c>
      <c r="I67" s="164" t="str">
        <f>IF(N('01_Stations'!$U$51)&gt;0,'01_Stations'!$U$51,"")</f>
        <v/>
      </c>
      <c r="J67" s="164" t="str">
        <f>IF(N('01_Stations'!$U$52)&gt;0,'01_Stations'!$U$52,"")</f>
        <v/>
      </c>
      <c r="K67" s="164" t="str">
        <f>IF(N('01_Stations'!$U$53)&gt;0,'01_Stations'!$U$53,"")</f>
        <v/>
      </c>
      <c r="L67" s="164" t="str">
        <f>IF(N('01_Stations'!$U$54)&gt;0,'01_Stations'!$U$54,"")</f>
        <v/>
      </c>
      <c r="M67" s="164" t="str">
        <f>IF(N('01_Stations'!$U$55)&gt;0,'01_Stations'!$U$55,"")</f>
        <v/>
      </c>
      <c r="N67" s="164" t="str">
        <f>IF(N('01_Stations'!$U$56)&gt;0,'01_Stations'!$U$56,"")</f>
        <v/>
      </c>
      <c r="O67" s="164" t="str">
        <f>IF(N('01_Stations'!$U$57)&gt;0,'01_Stations'!$U$57,"")</f>
        <v/>
      </c>
      <c r="P67" s="164" t="str">
        <f>IF(N('01_Stations'!$U$58)&gt;0,'01_Stations'!$U$58,"")</f>
        <v/>
      </c>
      <c r="Q67" s="164" t="str">
        <f>IF(N('01_Stations'!$U$59)&gt;0,'01_Stations'!$U$59,"")</f>
        <v/>
      </c>
      <c r="R67" s="164" t="str">
        <f>IF(N('01_Stations'!$U$60)&gt;0,'01_Stations'!$U$60,"")</f>
        <v/>
      </c>
      <c r="S67" s="164" t="str">
        <f>IF(N('01_Stations'!$U$61)&gt;0,'01_Stations'!$U$61,"")</f>
        <v/>
      </c>
      <c r="T67" s="164" t="str">
        <f>IF(N('01_Stations'!$U$62)&gt;0,'01_Stations'!$U$62,"")</f>
        <v/>
      </c>
      <c r="U67" s="164" t="str">
        <f>IF(N('01_Stations'!$U$63)&gt;0,'01_Stations'!$U$63,"")</f>
        <v/>
      </c>
      <c r="V67" s="164" t="str">
        <f>IF(N('01_Stations'!$U$64)&gt;0,'01_Stations'!$U$64,"")</f>
        <v/>
      </c>
      <c r="W67" s="164" t="str">
        <f>IF(N('01_Stations'!$U$65)&gt;0,'01_Stations'!$U$65,"")</f>
        <v/>
      </c>
      <c r="X67" s="164" t="str">
        <f>IF(N('01_Stations'!$U$66)&gt;0,'01_Stations'!$U$66,"")</f>
        <v/>
      </c>
      <c r="Y67" s="164" t="str">
        <f>IF(N('01_Stations'!$U$67)&gt;0,'01_Stations'!$U$67,"")</f>
        <v/>
      </c>
      <c r="Z67" s="164" t="str">
        <f>IF(N('01_Stations'!$U$68)&gt;0,'01_Stations'!$U$68,"")</f>
        <v/>
      </c>
      <c r="AA67" s="164" t="str">
        <f>IF(N('01_Stations'!$U$69)&gt;0,'01_Stations'!$U$69,"")</f>
        <v/>
      </c>
      <c r="AB67" s="164" t="str">
        <f>IF(N('01_Stations'!$U$70)&gt;0,'01_Stations'!$U$70,"")</f>
        <v/>
      </c>
      <c r="AC67" s="164" t="str">
        <f>IF(N('01_Stations'!$U$71)&gt;0,'01_Stations'!$U$71,"")</f>
        <v/>
      </c>
      <c r="AD67" s="164" t="str">
        <f>IF(N('01_Stations'!$U$72)&gt;0,'01_Stations'!$U$72,"")</f>
        <v/>
      </c>
      <c r="AE67" s="164" t="str">
        <f>IF(N('01_Stations'!$U$73)&gt;0,'01_Stations'!$U$73,"")</f>
        <v/>
      </c>
      <c r="AF67" s="164" t="str">
        <f>IF(N('01_Stations'!$U$74)&gt;0,'01_Stations'!$U$74,"")</f>
        <v/>
      </c>
      <c r="AG67" s="164" t="str">
        <f>IF(N('01_Stations'!$U$75)&gt;0,'01_Stations'!$U$75,"")</f>
        <v/>
      </c>
      <c r="AH67" s="164" t="str">
        <f>IF(N('01_Stations'!$U$76)&gt;0,'01_Stations'!$U$76,"")</f>
        <v/>
      </c>
      <c r="AI67" s="164" t="str">
        <f>IF(N('01_Stations'!$U$77)&gt;0,'01_Stations'!$U$77,"")</f>
        <v/>
      </c>
      <c r="AJ67" s="164" t="str">
        <f>IF(N('01_Stations'!$U$78)&gt;0,'01_Stations'!$U$78,"")</f>
        <v/>
      </c>
      <c r="AK67" s="164" t="str">
        <f>IF(N('01_Stations'!$U$79)&gt;0,'01_Stations'!$U$79,"")</f>
        <v/>
      </c>
      <c r="AL67" s="164" t="str">
        <f>IF(N('01_Stations'!$U$80)&gt;0,'01_Stations'!$U$80,"")</f>
        <v/>
      </c>
      <c r="AM67" s="164" t="str">
        <f>IF(N('01_Stations'!$U$81)&gt;0,'01_Stations'!$U$81,"")</f>
        <v/>
      </c>
      <c r="AN67" s="164" t="str">
        <f>IF(N('01_Stations'!$U$82)&gt;0,'01_Stations'!$U$82,"")</f>
        <v/>
      </c>
      <c r="AO67" s="164" t="str">
        <f>IF(N('01_Stations'!$U$83)&gt;0,'01_Stations'!$U$83,"")</f>
        <v/>
      </c>
      <c r="AP67" s="164" t="str">
        <f>IF(N('01_Stations'!$U$84)&gt;0,'01_Stations'!$U$84,"")</f>
        <v/>
      </c>
      <c r="AQ67" s="164" t="str">
        <f>IF(N('01_Stations'!$U$85)&gt;0,'01_Stations'!$U$85,"")</f>
        <v/>
      </c>
    </row>
    <row r="68" spans="1:43" ht="15" customHeight="1" x14ac:dyDescent="0.3">
      <c r="A68" s="236"/>
      <c r="B68" s="165"/>
      <c r="C68" s="166" t="s">
        <v>2212</v>
      </c>
      <c r="D68" s="164" t="str">
        <f>IF('01_Stations'!$V$46=1,"───","")</f>
        <v/>
      </c>
      <c r="E68" s="164" t="str">
        <f>IF('01_Stations'!$V$47=1,"───","")</f>
        <v/>
      </c>
      <c r="F68" s="164" t="str">
        <f>IF('01_Stations'!$V$48=1,"───","")</f>
        <v/>
      </c>
      <c r="G68" s="164" t="str">
        <f>IF('01_Stations'!$V$49=1,"───","")</f>
        <v/>
      </c>
      <c r="H68" s="164" t="str">
        <f>IF('01_Stations'!$V$50=1,"───","")</f>
        <v/>
      </c>
      <c r="I68" s="164" t="str">
        <f>IF('01_Stations'!$V$51=1,"───","")</f>
        <v/>
      </c>
      <c r="J68" s="164" t="str">
        <f>IF('01_Stations'!$V$52=1,"───","")</f>
        <v/>
      </c>
      <c r="K68" s="164" t="str">
        <f>IF('01_Stations'!$V$53=1,"───","")</f>
        <v/>
      </c>
      <c r="L68" s="164" t="str">
        <f>IF('01_Stations'!$V$54=1,"───","")</f>
        <v/>
      </c>
      <c r="M68" s="164" t="str">
        <f>IF('01_Stations'!$V$55=1,"───","")</f>
        <v/>
      </c>
      <c r="N68" s="164" t="str">
        <f>IF('01_Stations'!$V$56=1,"───","")</f>
        <v/>
      </c>
      <c r="O68" s="164" t="str">
        <f>IF('01_Stations'!$V$57=1,"───","")</f>
        <v/>
      </c>
      <c r="P68" s="164" t="str">
        <f>IF('01_Stations'!$V$58=1,"───","")</f>
        <v/>
      </c>
      <c r="Q68" s="164" t="str">
        <f>IF('01_Stations'!$V$59=1,"───","")</f>
        <v/>
      </c>
      <c r="R68" s="164" t="str">
        <f>IF('01_Stations'!$V$60=1,"───","")</f>
        <v/>
      </c>
      <c r="S68" s="164" t="str">
        <f>IF('01_Stations'!$V$61=1,"───","")</f>
        <v/>
      </c>
      <c r="T68" s="164" t="str">
        <f>IF('01_Stations'!$V$62=1,"───","")</f>
        <v/>
      </c>
      <c r="U68" s="164" t="str">
        <f>IF('01_Stations'!$V$63=1,"───","")</f>
        <v/>
      </c>
      <c r="V68" s="164" t="str">
        <f>IF('01_Stations'!$V$64=1,"───","")</f>
        <v/>
      </c>
      <c r="W68" s="164" t="str">
        <f>IF('01_Stations'!$V$65=1,"───","")</f>
        <v/>
      </c>
      <c r="X68" s="164" t="str">
        <f>IF('01_Stations'!$V$66=1,"───","")</f>
        <v/>
      </c>
      <c r="Y68" s="164" t="str">
        <f>IF('01_Stations'!$V$67=1,"───","")</f>
        <v/>
      </c>
      <c r="Z68" s="164" t="str">
        <f>IF('01_Stations'!$V$68=1,"───","")</f>
        <v/>
      </c>
      <c r="AA68" s="164" t="str">
        <f>IF('01_Stations'!$V$69=1,"───","")</f>
        <v/>
      </c>
      <c r="AB68" s="164" t="str">
        <f>IF('01_Stations'!$V$70=1,"───","")</f>
        <v/>
      </c>
      <c r="AC68" s="164" t="str">
        <f>IF('01_Stations'!$V$71=1,"───","")</f>
        <v/>
      </c>
      <c r="AD68" s="164" t="str">
        <f>IF('01_Stations'!$V$72=1,"───","")</f>
        <v/>
      </c>
      <c r="AE68" s="164" t="str">
        <f>IF('01_Stations'!$V$73=1,"───","")</f>
        <v/>
      </c>
      <c r="AF68" s="164" t="str">
        <f>IF('01_Stations'!$V$74=1,"───","")</f>
        <v/>
      </c>
      <c r="AG68" s="164" t="str">
        <f>IF('01_Stations'!$V$75=1,"───","")</f>
        <v/>
      </c>
      <c r="AH68" s="164" t="str">
        <f>IF('01_Stations'!$V$76=1,"───","")</f>
        <v/>
      </c>
      <c r="AI68" s="164" t="str">
        <f>IF('01_Stations'!$V$77=1,"───","")</f>
        <v/>
      </c>
      <c r="AJ68" s="164" t="str">
        <f>IF('01_Stations'!$V$78=1,"───","")</f>
        <v/>
      </c>
      <c r="AK68" s="164" t="str">
        <f>IF('01_Stations'!$V$79=1,"───","")</f>
        <v/>
      </c>
      <c r="AL68" s="164" t="str">
        <f>IF('01_Stations'!$V$80=1,"───","")</f>
        <v/>
      </c>
      <c r="AM68" s="164" t="str">
        <f>IF('01_Stations'!$V$81=1,"───","")</f>
        <v/>
      </c>
      <c r="AN68" s="164" t="str">
        <f>IF('01_Stations'!$V$82=1,"───","")</f>
        <v/>
      </c>
      <c r="AO68" s="164" t="str">
        <f>IF('01_Stations'!$V$83=1,"───","")</f>
        <v/>
      </c>
      <c r="AP68" s="164" t="str">
        <f>IF('01_Stations'!$V$84=1,"───","")</f>
        <v/>
      </c>
      <c r="AQ68" s="164" t="str">
        <f>IF('01_Stations'!$V$85=1,"───","")</f>
        <v/>
      </c>
    </row>
    <row r="69" spans="1:43" ht="15" customHeight="1" x14ac:dyDescent="0.3">
      <c r="A69" s="236"/>
      <c r="B69" s="165"/>
      <c r="C69" s="166" t="s">
        <v>2216</v>
      </c>
      <c r="D69" s="164" t="str">
        <f>IF(N('01_Stations'!$W$46)&gt;0,'01_Stations'!$W$46,"")</f>
        <v/>
      </c>
      <c r="E69" s="164" t="str">
        <f>IF(N('01_Stations'!$W$47)&gt;0,'01_Stations'!$W$47,"")</f>
        <v/>
      </c>
      <c r="F69" s="164" t="str">
        <f>IF(N('01_Stations'!$W$48)&gt;0,'01_Stations'!$W$48,"")</f>
        <v/>
      </c>
      <c r="G69" s="164" t="str">
        <f>IF(N('01_Stations'!$W$49)&gt;0,'01_Stations'!$W$49,"")</f>
        <v/>
      </c>
      <c r="H69" s="164" t="str">
        <f>IF(N('01_Stations'!$W$50)&gt;0,'01_Stations'!$W$50,"")</f>
        <v/>
      </c>
      <c r="I69" s="164" t="str">
        <f>IF(N('01_Stations'!$W$51)&gt;0,'01_Stations'!$W$51,"")</f>
        <v/>
      </c>
      <c r="J69" s="164" t="str">
        <f>IF(N('01_Stations'!$W$52)&gt;0,'01_Stations'!$W$52,"")</f>
        <v/>
      </c>
      <c r="K69" s="164" t="str">
        <f>IF(N('01_Stations'!$W$53)&gt;0,'01_Stations'!$W$53,"")</f>
        <v/>
      </c>
      <c r="L69" s="164" t="str">
        <f>IF(N('01_Stations'!$W$54)&gt;0,'01_Stations'!$W$54,"")</f>
        <v/>
      </c>
      <c r="M69" s="164" t="str">
        <f>IF(N('01_Stations'!$W$55)&gt;0,'01_Stations'!$W$55,"")</f>
        <v/>
      </c>
      <c r="N69" s="164" t="str">
        <f>IF(N('01_Stations'!$W$56)&gt;0,'01_Stations'!$W$56,"")</f>
        <v/>
      </c>
      <c r="O69" s="164" t="str">
        <f>IF(N('01_Stations'!$W$57)&gt;0,'01_Stations'!$W$57,"")</f>
        <v/>
      </c>
      <c r="P69" s="164" t="str">
        <f>IF(N('01_Stations'!$W$58)&gt;0,'01_Stations'!$W$58,"")</f>
        <v/>
      </c>
      <c r="Q69" s="164" t="str">
        <f>IF(N('01_Stations'!$W$59)&gt;0,'01_Stations'!$W$59,"")</f>
        <v/>
      </c>
      <c r="R69" s="164" t="str">
        <f>IF(N('01_Stations'!$W$60)&gt;0,'01_Stations'!$W$60,"")</f>
        <v/>
      </c>
      <c r="S69" s="164" t="str">
        <f>IF(N('01_Stations'!$W$61)&gt;0,'01_Stations'!$W$61,"")</f>
        <v/>
      </c>
      <c r="T69" s="164" t="str">
        <f>IF(N('01_Stations'!$W$62)&gt;0,'01_Stations'!$W$62,"")</f>
        <v/>
      </c>
      <c r="U69" s="164" t="str">
        <f>IF(N('01_Stations'!$W$63)&gt;0,'01_Stations'!$W$63,"")</f>
        <v/>
      </c>
      <c r="V69" s="164" t="str">
        <f>IF(N('01_Stations'!$W$64)&gt;0,'01_Stations'!$W$64,"")</f>
        <v/>
      </c>
      <c r="W69" s="164" t="str">
        <f>IF(N('01_Stations'!$W$65)&gt;0,'01_Stations'!$W$65,"")</f>
        <v/>
      </c>
      <c r="X69" s="164" t="str">
        <f>IF(N('01_Stations'!$W$66)&gt;0,'01_Stations'!$W$66,"")</f>
        <v/>
      </c>
      <c r="Y69" s="164" t="str">
        <f>IF(N('01_Stations'!$W$67)&gt;0,'01_Stations'!$W$67,"")</f>
        <v/>
      </c>
      <c r="Z69" s="164" t="str">
        <f>IF(N('01_Stations'!$W$68)&gt;0,'01_Stations'!$W$68,"")</f>
        <v/>
      </c>
      <c r="AA69" s="164" t="str">
        <f>IF(N('01_Stations'!$W$69)&gt;0,'01_Stations'!$W$69,"")</f>
        <v/>
      </c>
      <c r="AB69" s="164" t="str">
        <f>IF(N('01_Stations'!$W$70)&gt;0,'01_Stations'!$W$70,"")</f>
        <v/>
      </c>
      <c r="AC69" s="164" t="str">
        <f>IF(N('01_Stations'!$W$71)&gt;0,'01_Stations'!$W$71,"")</f>
        <v/>
      </c>
      <c r="AD69" s="164" t="str">
        <f>IF(N('01_Stations'!$W$72)&gt;0,'01_Stations'!$W$72,"")</f>
        <v/>
      </c>
      <c r="AE69" s="164" t="str">
        <f>IF(N('01_Stations'!$W$73)&gt;0,'01_Stations'!$W$73,"")</f>
        <v/>
      </c>
      <c r="AF69" s="164" t="str">
        <f>IF(N('01_Stations'!$W$74)&gt;0,'01_Stations'!$W$74,"")</f>
        <v/>
      </c>
      <c r="AG69" s="164" t="str">
        <f>IF(N('01_Stations'!$W$75)&gt;0,'01_Stations'!$W$75,"")</f>
        <v/>
      </c>
      <c r="AH69" s="164" t="str">
        <f>IF(N('01_Stations'!$W$76)&gt;0,'01_Stations'!$W$76,"")</f>
        <v/>
      </c>
      <c r="AI69" s="164" t="str">
        <f>IF(N('01_Stations'!$W$77)&gt;0,'01_Stations'!$W$77,"")</f>
        <v/>
      </c>
      <c r="AJ69" s="164" t="str">
        <f>IF(N('01_Stations'!$W$78)&gt;0,'01_Stations'!$W$78,"")</f>
        <v/>
      </c>
      <c r="AK69" s="164" t="str">
        <f>IF(N('01_Stations'!$W$79)&gt;0,'01_Stations'!$W$79,"")</f>
        <v/>
      </c>
      <c r="AL69" s="164" t="str">
        <f>IF(N('01_Stations'!$W$80)&gt;0,'01_Stations'!$W$80,"")</f>
        <v/>
      </c>
      <c r="AM69" s="164" t="str">
        <f>IF(N('01_Stations'!$W$81)&gt;0,'01_Stations'!$W$81,"")</f>
        <v/>
      </c>
      <c r="AN69" s="164" t="str">
        <f>IF(N('01_Stations'!$W$82)&gt;0,'01_Stations'!$W$82,"")</f>
        <v/>
      </c>
      <c r="AO69" s="164" t="str">
        <f>IF(N('01_Stations'!$W$83)&gt;0,'01_Stations'!$W$83,"")</f>
        <v/>
      </c>
      <c r="AP69" s="164" t="str">
        <f>IF(N('01_Stations'!$W$84)&gt;0,'01_Stations'!$W$84,"")</f>
        <v/>
      </c>
      <c r="AQ69" s="164" t="str">
        <f>IF(N('01_Stations'!$W$85)&gt;0,'01_Stations'!$W$85,"")</f>
        <v/>
      </c>
    </row>
    <row r="70" spans="1:43" ht="15" customHeight="1" x14ac:dyDescent="0.3">
      <c r="A70" s="236"/>
      <c r="B70" s="165" t="s">
        <v>2217</v>
      </c>
      <c r="C70" s="166" t="s">
        <v>1622</v>
      </c>
      <c r="D70" s="164" t="str">
        <f>IF('01_Stations'!$X$46=1,"───","")</f>
        <v/>
      </c>
      <c r="E70" s="164" t="str">
        <f>IF('01_Stations'!$X$47=1,"───","")</f>
        <v/>
      </c>
      <c r="F70" s="164" t="str">
        <f>IF('01_Stations'!$X$48=1,"───","")</f>
        <v/>
      </c>
      <c r="G70" s="164" t="str">
        <f>IF('01_Stations'!$X$49=1,"───","")</f>
        <v/>
      </c>
      <c r="H70" s="164" t="str">
        <f>IF('01_Stations'!$X$50=1,"───","")</f>
        <v/>
      </c>
      <c r="I70" s="164" t="str">
        <f>IF('01_Stations'!$X$51=1,"───","")</f>
        <v/>
      </c>
      <c r="J70" s="164" t="str">
        <f>IF('01_Stations'!$X$52=1,"───","")</f>
        <v/>
      </c>
      <c r="K70" s="164" t="str">
        <f>IF('01_Stations'!$X$53=1,"───","")</f>
        <v/>
      </c>
      <c r="L70" s="164" t="str">
        <f>IF('01_Stations'!$X$54=1,"───","")</f>
        <v/>
      </c>
      <c r="M70" s="164" t="str">
        <f>IF('01_Stations'!$X$55=1,"───","")</f>
        <v/>
      </c>
      <c r="N70" s="164" t="str">
        <f>IF('01_Stations'!$X$56=1,"───","")</f>
        <v/>
      </c>
      <c r="O70" s="164" t="str">
        <f>IF('01_Stations'!$X$57=1,"───","")</f>
        <v/>
      </c>
      <c r="P70" s="164" t="str">
        <f>IF('01_Stations'!$X$58=1,"───","")</f>
        <v/>
      </c>
      <c r="Q70" s="164" t="str">
        <f>IF('01_Stations'!$X$59=1,"───","")</f>
        <v/>
      </c>
      <c r="R70" s="164" t="str">
        <f>IF('01_Stations'!$X$60=1,"───","")</f>
        <v/>
      </c>
      <c r="S70" s="164" t="str">
        <f>IF('01_Stations'!$X$61=1,"───","")</f>
        <v/>
      </c>
      <c r="T70" s="164" t="str">
        <f>IF('01_Stations'!$X$62=1,"───","")</f>
        <v/>
      </c>
      <c r="U70" s="164" t="str">
        <f>IF('01_Stations'!$X$63=1,"───","")</f>
        <v/>
      </c>
      <c r="V70" s="164" t="str">
        <f>IF('01_Stations'!$X$64=1,"───","")</f>
        <v/>
      </c>
      <c r="W70" s="164" t="str">
        <f>IF('01_Stations'!$X$65=1,"───","")</f>
        <v/>
      </c>
      <c r="X70" s="164" t="str">
        <f>IF('01_Stations'!$X$66=1,"───","")</f>
        <v/>
      </c>
      <c r="Y70" s="164" t="str">
        <f>IF('01_Stations'!$X$67=1,"───","")</f>
        <v/>
      </c>
      <c r="Z70" s="164" t="str">
        <f>IF('01_Stations'!$X$68=1,"───","")</f>
        <v/>
      </c>
      <c r="AA70" s="164" t="str">
        <f>IF('01_Stations'!$X$69=1,"───","")</f>
        <v/>
      </c>
      <c r="AB70" s="164" t="str">
        <f>IF('01_Stations'!$X$70=1,"───","")</f>
        <v/>
      </c>
      <c r="AC70" s="164" t="str">
        <f>IF('01_Stations'!$X$71=1,"───","")</f>
        <v/>
      </c>
      <c r="AD70" s="164" t="str">
        <f>IF('01_Stations'!$X$72=1,"───","")</f>
        <v/>
      </c>
      <c r="AE70" s="164" t="str">
        <f>IF('01_Stations'!$X$73=1,"───","")</f>
        <v/>
      </c>
      <c r="AF70" s="164" t="str">
        <f>IF('01_Stations'!$X$74=1,"───","")</f>
        <v/>
      </c>
      <c r="AG70" s="164" t="str">
        <f>IF('01_Stations'!$X$75=1,"───","")</f>
        <v/>
      </c>
      <c r="AH70" s="164" t="str">
        <f>IF('01_Stations'!$X$76=1,"───","")</f>
        <v/>
      </c>
      <c r="AI70" s="164" t="str">
        <f>IF('01_Stations'!$X$77=1,"───","")</f>
        <v/>
      </c>
      <c r="AJ70" s="164" t="str">
        <f>IF('01_Stations'!$X$78=1,"───","")</f>
        <v/>
      </c>
      <c r="AK70" s="164" t="str">
        <f>IF('01_Stations'!$X$79=1,"───","")</f>
        <v/>
      </c>
      <c r="AL70" s="164" t="str">
        <f>IF('01_Stations'!$X$80=1,"───","")</f>
        <v/>
      </c>
      <c r="AM70" s="164" t="str">
        <f>IF('01_Stations'!$X$81=1,"───","")</f>
        <v/>
      </c>
      <c r="AN70" s="164" t="str">
        <f>IF('01_Stations'!$X$82=1,"───","")</f>
        <v/>
      </c>
      <c r="AO70" s="164" t="str">
        <f>IF('01_Stations'!$X$83=1,"───","")</f>
        <v/>
      </c>
      <c r="AP70" s="164" t="str">
        <f>IF('01_Stations'!$X$84=1,"───","")</f>
        <v/>
      </c>
      <c r="AQ70" s="164" t="str">
        <f>IF('01_Stations'!$X$85=1,"───","")</f>
        <v/>
      </c>
    </row>
    <row r="71" spans="1:43" ht="15" customHeight="1" x14ac:dyDescent="0.3">
      <c r="A71" s="236"/>
      <c r="B71" s="165"/>
      <c r="C71" s="166" t="s">
        <v>2212</v>
      </c>
      <c r="D71" s="164" t="str">
        <f>IF('01_Stations'!$Y$46=1,"───","")</f>
        <v/>
      </c>
      <c r="E71" s="164" t="str">
        <f>IF('01_Stations'!$Y$47=1,"───","")</f>
        <v/>
      </c>
      <c r="F71" s="164" t="str">
        <f>IF('01_Stations'!$Y$48=1,"───","")</f>
        <v/>
      </c>
      <c r="G71" s="164" t="str">
        <f>IF('01_Stations'!$Y$49=1,"───","")</f>
        <v/>
      </c>
      <c r="H71" s="164" t="str">
        <f>IF('01_Stations'!$Y$50=1,"───","")</f>
        <v/>
      </c>
      <c r="I71" s="164" t="str">
        <f>IF('01_Stations'!$Y$51=1,"───","")</f>
        <v/>
      </c>
      <c r="J71" s="164" t="str">
        <f>IF('01_Stations'!$Y$52=1,"───","")</f>
        <v/>
      </c>
      <c r="K71" s="164" t="str">
        <f>IF('01_Stations'!$Y$53=1,"───","")</f>
        <v/>
      </c>
      <c r="L71" s="164" t="str">
        <f>IF('01_Stations'!$Y$54=1,"───","")</f>
        <v/>
      </c>
      <c r="M71" s="164" t="str">
        <f>IF('01_Stations'!$Y$55=1,"───","")</f>
        <v/>
      </c>
      <c r="N71" s="164" t="str">
        <f>IF('01_Stations'!$Y$56=1,"───","")</f>
        <v/>
      </c>
      <c r="O71" s="164" t="str">
        <f>IF('01_Stations'!$Y$57=1,"───","")</f>
        <v/>
      </c>
      <c r="P71" s="164" t="str">
        <f>IF('01_Stations'!$Y$58=1,"───","")</f>
        <v/>
      </c>
      <c r="Q71" s="164" t="str">
        <f>IF('01_Stations'!$Y$59=1,"───","")</f>
        <v/>
      </c>
      <c r="R71" s="164" t="str">
        <f>IF('01_Stations'!$Y$60=1,"───","")</f>
        <v/>
      </c>
      <c r="S71" s="164" t="str">
        <f>IF('01_Stations'!$Y$61=1,"───","")</f>
        <v/>
      </c>
      <c r="T71" s="164" t="str">
        <f>IF('01_Stations'!$Y$62=1,"───","")</f>
        <v/>
      </c>
      <c r="U71" s="164" t="str">
        <f>IF('01_Stations'!$Y$63=1,"───","")</f>
        <v/>
      </c>
      <c r="V71" s="164" t="str">
        <f>IF('01_Stations'!$Y$64=1,"───","")</f>
        <v/>
      </c>
      <c r="W71" s="164" t="str">
        <f>IF('01_Stations'!$Y$65=1,"───","")</f>
        <v/>
      </c>
      <c r="X71" s="164" t="str">
        <f>IF('01_Stations'!$Y$66=1,"───","")</f>
        <v/>
      </c>
      <c r="Y71" s="164" t="str">
        <f>IF('01_Stations'!$Y$67=1,"───","")</f>
        <v/>
      </c>
      <c r="Z71" s="164" t="str">
        <f>IF('01_Stations'!$Y$68=1,"───","")</f>
        <v/>
      </c>
      <c r="AA71" s="164" t="str">
        <f>IF('01_Stations'!$Y$69=1,"───","")</f>
        <v/>
      </c>
      <c r="AB71" s="164" t="str">
        <f>IF('01_Stations'!$Y$70=1,"───","")</f>
        <v/>
      </c>
      <c r="AC71" s="164" t="str">
        <f>IF('01_Stations'!$Y$71=1,"───","")</f>
        <v/>
      </c>
      <c r="AD71" s="164" t="str">
        <f>IF('01_Stations'!$Y$72=1,"───","")</f>
        <v/>
      </c>
      <c r="AE71" s="164" t="str">
        <f>IF('01_Stations'!$Y$73=1,"───","")</f>
        <v/>
      </c>
      <c r="AF71" s="164" t="str">
        <f>IF('01_Stations'!$Y$74=1,"───","")</f>
        <v/>
      </c>
      <c r="AG71" s="164" t="str">
        <f>IF('01_Stations'!$Y$75=1,"───","")</f>
        <v/>
      </c>
      <c r="AH71" s="164" t="str">
        <f>IF('01_Stations'!$Y$76=1,"───","")</f>
        <v/>
      </c>
      <c r="AI71" s="164" t="str">
        <f>IF('01_Stations'!$Y$77=1,"───","")</f>
        <v/>
      </c>
      <c r="AJ71" s="164" t="str">
        <f>IF('01_Stations'!$Y$78=1,"───","")</f>
        <v/>
      </c>
      <c r="AK71" s="164" t="str">
        <f>IF('01_Stations'!$Y$79=1,"───","")</f>
        <v/>
      </c>
      <c r="AL71" s="164" t="str">
        <f>IF('01_Stations'!$Y$80=1,"───","")</f>
        <v/>
      </c>
      <c r="AM71" s="164" t="str">
        <f>IF('01_Stations'!$Y$81=1,"───","")</f>
        <v/>
      </c>
      <c r="AN71" s="164" t="str">
        <f>IF('01_Stations'!$Y$82=1,"───","")</f>
        <v/>
      </c>
      <c r="AO71" s="164" t="str">
        <f>IF('01_Stations'!$Y$83=1,"───","")</f>
        <v/>
      </c>
      <c r="AP71" s="164" t="str">
        <f>IF('01_Stations'!$Y$84=1,"───","")</f>
        <v/>
      </c>
      <c r="AQ71" s="164" t="str">
        <f>IF('01_Stations'!$Y$85=1,"───","")</f>
        <v/>
      </c>
    </row>
    <row r="72" spans="1:43" ht="15" customHeight="1" x14ac:dyDescent="0.3">
      <c r="A72" s="236"/>
      <c r="B72" s="165" t="s">
        <v>2218</v>
      </c>
      <c r="C72" s="166" t="s">
        <v>1622</v>
      </c>
      <c r="D72" s="164" t="str">
        <f>IF('01_Stations'!$Z$46=1,"───","")</f>
        <v/>
      </c>
      <c r="E72" s="164" t="str">
        <f>IF('01_Stations'!$Z$47=1,"───","")</f>
        <v/>
      </c>
      <c r="F72" s="164" t="str">
        <f>IF('01_Stations'!$Z$48=1,"───","")</f>
        <v/>
      </c>
      <c r="G72" s="164" t="str">
        <f>IF('01_Stations'!$Z$49=1,"───","")</f>
        <v/>
      </c>
      <c r="H72" s="164" t="str">
        <f>IF('01_Stations'!$Z$50=1,"───","")</f>
        <v/>
      </c>
      <c r="I72" s="164" t="str">
        <f>IF('01_Stations'!$Z$51=1,"───","")</f>
        <v/>
      </c>
      <c r="J72" s="164" t="str">
        <f>IF('01_Stations'!$Z$52=1,"───","")</f>
        <v/>
      </c>
      <c r="K72" s="164" t="str">
        <f>IF('01_Stations'!$Z$53=1,"───","")</f>
        <v/>
      </c>
      <c r="L72" s="164" t="str">
        <f>IF('01_Stations'!$Z$54=1,"───","")</f>
        <v/>
      </c>
      <c r="M72" s="164" t="str">
        <f>IF('01_Stations'!$Z$55=1,"───","")</f>
        <v/>
      </c>
      <c r="N72" s="164" t="str">
        <f>IF('01_Stations'!$Z$56=1,"───","")</f>
        <v/>
      </c>
      <c r="O72" s="164" t="str">
        <f>IF('01_Stations'!$Z$57=1,"───","")</f>
        <v/>
      </c>
      <c r="P72" s="164" t="str">
        <f>IF('01_Stations'!$Z$58=1,"───","")</f>
        <v/>
      </c>
      <c r="Q72" s="164" t="str">
        <f>IF('01_Stations'!$Z$59=1,"───","")</f>
        <v/>
      </c>
      <c r="R72" s="164" t="str">
        <f>IF('01_Stations'!$Z$60=1,"───","")</f>
        <v/>
      </c>
      <c r="S72" s="164" t="str">
        <f>IF('01_Stations'!$Z$61=1,"───","")</f>
        <v/>
      </c>
      <c r="T72" s="164" t="str">
        <f>IF('01_Stations'!$Z$62=1,"───","")</f>
        <v/>
      </c>
      <c r="U72" s="164" t="str">
        <f>IF('01_Stations'!$Z$63=1,"───","")</f>
        <v/>
      </c>
      <c r="V72" s="164" t="str">
        <f>IF('01_Stations'!$Z$64=1,"───","")</f>
        <v/>
      </c>
      <c r="W72" s="164" t="str">
        <f>IF('01_Stations'!$Z$65=1,"───","")</f>
        <v/>
      </c>
      <c r="X72" s="164" t="str">
        <f>IF('01_Stations'!$Z$66=1,"───","")</f>
        <v/>
      </c>
      <c r="Y72" s="164" t="str">
        <f>IF('01_Stations'!$Z$67=1,"───","")</f>
        <v/>
      </c>
      <c r="Z72" s="164" t="str">
        <f>IF('01_Stations'!$Z$68=1,"───","")</f>
        <v/>
      </c>
      <c r="AA72" s="164" t="str">
        <f>IF('01_Stations'!$Z$69=1,"───","")</f>
        <v/>
      </c>
      <c r="AB72" s="164" t="str">
        <f>IF('01_Stations'!$Z$70=1,"───","")</f>
        <v/>
      </c>
      <c r="AC72" s="164" t="str">
        <f>IF('01_Stations'!$Z$71=1,"───","")</f>
        <v/>
      </c>
      <c r="AD72" s="164" t="str">
        <f>IF('01_Stations'!$Z$72=1,"───","")</f>
        <v/>
      </c>
      <c r="AE72" s="164" t="str">
        <f>IF('01_Stations'!$Z$73=1,"───","")</f>
        <v/>
      </c>
      <c r="AF72" s="164" t="str">
        <f>IF('01_Stations'!$Z$74=1,"───","")</f>
        <v/>
      </c>
      <c r="AG72" s="164" t="str">
        <f>IF('01_Stations'!$Z$75=1,"───","")</f>
        <v/>
      </c>
      <c r="AH72" s="164" t="str">
        <f>IF('01_Stations'!$Z$76=1,"───","")</f>
        <v/>
      </c>
      <c r="AI72" s="164" t="str">
        <f>IF('01_Stations'!$Z$77=1,"───","")</f>
        <v/>
      </c>
      <c r="AJ72" s="164" t="str">
        <f>IF('01_Stations'!$Z$78=1,"───","")</f>
        <v/>
      </c>
      <c r="AK72" s="164" t="str">
        <f>IF('01_Stations'!$Z$79=1,"───","")</f>
        <v/>
      </c>
      <c r="AL72" s="164" t="str">
        <f>IF('01_Stations'!$Z$80=1,"───","")</f>
        <v/>
      </c>
      <c r="AM72" s="164" t="str">
        <f>IF('01_Stations'!$Z$81=1,"───","")</f>
        <v/>
      </c>
      <c r="AN72" s="164" t="str">
        <f>IF('01_Stations'!$Z$82=1,"───","")</f>
        <v/>
      </c>
      <c r="AO72" s="164" t="str">
        <f>IF('01_Stations'!$Z$83=1,"───","")</f>
        <v/>
      </c>
      <c r="AP72" s="164" t="str">
        <f>IF('01_Stations'!$Z$84=1,"───","")</f>
        <v/>
      </c>
      <c r="AQ72" s="164" t="str">
        <f>IF('01_Stations'!$Z$85=1,"───","")</f>
        <v/>
      </c>
    </row>
    <row r="73" spans="1:43" ht="15" customHeight="1" x14ac:dyDescent="0.3">
      <c r="A73" s="236"/>
      <c r="B73" s="165"/>
      <c r="C73" s="166" t="s">
        <v>2212</v>
      </c>
      <c r="D73" s="164" t="str">
        <f>IF('01_Stations'!$AA$46=1,"───","")</f>
        <v/>
      </c>
      <c r="E73" s="164" t="str">
        <f>IF('01_Stations'!$AA$47=1,"───","")</f>
        <v/>
      </c>
      <c r="F73" s="164" t="str">
        <f>IF('01_Stations'!$AA$48=1,"───","")</f>
        <v/>
      </c>
      <c r="G73" s="164" t="str">
        <f>IF('01_Stations'!$AA$49=1,"───","")</f>
        <v/>
      </c>
      <c r="H73" s="164" t="str">
        <f>IF('01_Stations'!$AA$50=1,"───","")</f>
        <v/>
      </c>
      <c r="I73" s="164" t="str">
        <f>IF('01_Stations'!$AA$51=1,"───","")</f>
        <v/>
      </c>
      <c r="J73" s="164" t="str">
        <f>IF('01_Stations'!$AA$52=1,"───","")</f>
        <v/>
      </c>
      <c r="K73" s="164" t="str">
        <f>IF('01_Stations'!$AA$53=1,"───","")</f>
        <v/>
      </c>
      <c r="L73" s="164" t="str">
        <f>IF('01_Stations'!$AA$54=1,"───","")</f>
        <v/>
      </c>
      <c r="M73" s="164" t="str">
        <f>IF('01_Stations'!$AA$55=1,"───","")</f>
        <v/>
      </c>
      <c r="N73" s="164" t="str">
        <f>IF('01_Stations'!$AA$56=1,"───","")</f>
        <v/>
      </c>
      <c r="O73" s="164" t="str">
        <f>IF('01_Stations'!$AA$57=1,"───","")</f>
        <v/>
      </c>
      <c r="P73" s="164" t="str">
        <f>IF('01_Stations'!$AA$58=1,"───","")</f>
        <v/>
      </c>
      <c r="Q73" s="164" t="str">
        <f>IF('01_Stations'!$AA$59=1,"───","")</f>
        <v/>
      </c>
      <c r="R73" s="164" t="str">
        <f>IF('01_Stations'!$AA$60=1,"───","")</f>
        <v/>
      </c>
      <c r="S73" s="164" t="str">
        <f>IF('01_Stations'!$AA$61=1,"───","")</f>
        <v/>
      </c>
      <c r="T73" s="164" t="str">
        <f>IF('01_Stations'!$AA$62=1,"───","")</f>
        <v/>
      </c>
      <c r="U73" s="164" t="str">
        <f>IF('01_Stations'!$AA$63=1,"───","")</f>
        <v/>
      </c>
      <c r="V73" s="164" t="str">
        <f>IF('01_Stations'!$AA$64=1,"───","")</f>
        <v/>
      </c>
      <c r="W73" s="164" t="str">
        <f>IF('01_Stations'!$AA$65=1,"───","")</f>
        <v/>
      </c>
      <c r="X73" s="164" t="str">
        <f>IF('01_Stations'!$AA$66=1,"───","")</f>
        <v/>
      </c>
      <c r="Y73" s="164" t="str">
        <f>IF('01_Stations'!$AA$67=1,"───","")</f>
        <v/>
      </c>
      <c r="Z73" s="164" t="str">
        <f>IF('01_Stations'!$AA$68=1,"───","")</f>
        <v/>
      </c>
      <c r="AA73" s="164" t="str">
        <f>IF('01_Stations'!$AA$69=1,"───","")</f>
        <v/>
      </c>
      <c r="AB73" s="164" t="str">
        <f>IF('01_Stations'!$AA$70=1,"───","")</f>
        <v/>
      </c>
      <c r="AC73" s="164" t="str">
        <f>IF('01_Stations'!$AA$71=1,"───","")</f>
        <v/>
      </c>
      <c r="AD73" s="164" t="str">
        <f>IF('01_Stations'!$AA$72=1,"───","")</f>
        <v/>
      </c>
      <c r="AE73" s="164" t="str">
        <f>IF('01_Stations'!$AA$73=1,"───","")</f>
        <v/>
      </c>
      <c r="AF73" s="164" t="str">
        <f>IF('01_Stations'!$AA$74=1,"───","")</f>
        <v/>
      </c>
      <c r="AG73" s="164" t="str">
        <f>IF('01_Stations'!$AA$75=1,"───","")</f>
        <v/>
      </c>
      <c r="AH73" s="164" t="str">
        <f>IF('01_Stations'!$AA$76=1,"───","")</f>
        <v/>
      </c>
      <c r="AI73" s="164" t="str">
        <f>IF('01_Stations'!$AA$77=1,"───","")</f>
        <v/>
      </c>
      <c r="AJ73" s="164" t="str">
        <f>IF('01_Stations'!$AA$78=1,"───","")</f>
        <v/>
      </c>
      <c r="AK73" s="164" t="str">
        <f>IF('01_Stations'!$AA$79=1,"───","")</f>
        <v/>
      </c>
      <c r="AL73" s="164" t="str">
        <f>IF('01_Stations'!$AA$80=1,"───","")</f>
        <v/>
      </c>
      <c r="AM73" s="164" t="str">
        <f>IF('01_Stations'!$AA$81=1,"───","")</f>
        <v/>
      </c>
      <c r="AN73" s="164" t="str">
        <f>IF('01_Stations'!$AA$82=1,"───","")</f>
        <v/>
      </c>
      <c r="AO73" s="164" t="str">
        <f>IF('01_Stations'!$AA$83=1,"───","")</f>
        <v/>
      </c>
      <c r="AP73" s="164" t="str">
        <f>IF('01_Stations'!$AA$84=1,"───","")</f>
        <v/>
      </c>
      <c r="AQ73" s="164" t="str">
        <f>IF('01_Stations'!$AA$85=1,"───","")</f>
        <v/>
      </c>
    </row>
    <row r="74" spans="1:43" ht="15" customHeight="1" x14ac:dyDescent="0.3">
      <c r="A74" s="236"/>
      <c r="B74" s="165" t="s">
        <v>200</v>
      </c>
      <c r="C74" s="166" t="s">
        <v>2219</v>
      </c>
      <c r="D74" s="164" t="str">
        <f>IF('01_Stations'!$AB$46=1,"───","")</f>
        <v/>
      </c>
      <c r="E74" s="164" t="str">
        <f>IF('01_Stations'!$AB$47=1,"───","")</f>
        <v/>
      </c>
      <c r="F74" s="164" t="str">
        <f>IF('01_Stations'!$AB$48=1,"───","")</f>
        <v/>
      </c>
      <c r="G74" s="164" t="str">
        <f>IF('01_Stations'!$AB$49=1,"───","")</f>
        <v/>
      </c>
      <c r="H74" s="164" t="str">
        <f>IF('01_Stations'!$AB$50=1,"───","")</f>
        <v/>
      </c>
      <c r="I74" s="164" t="str">
        <f>IF('01_Stations'!$AB$51=1,"───","")</f>
        <v/>
      </c>
      <c r="J74" s="164" t="str">
        <f>IF('01_Stations'!$AB$52=1,"───","")</f>
        <v/>
      </c>
      <c r="K74" s="164" t="str">
        <f>IF('01_Stations'!$AB$53=1,"───","")</f>
        <v/>
      </c>
      <c r="L74" s="164" t="str">
        <f>IF('01_Stations'!$AB$54=1,"───","")</f>
        <v/>
      </c>
      <c r="M74" s="164" t="str">
        <f>IF('01_Stations'!$AB$55=1,"───","")</f>
        <v/>
      </c>
      <c r="N74" s="164" t="str">
        <f>IF('01_Stations'!$AB$56=1,"───","")</f>
        <v/>
      </c>
      <c r="O74" s="164" t="str">
        <f>IF('01_Stations'!$AB$57=1,"───","")</f>
        <v/>
      </c>
      <c r="P74" s="164" t="str">
        <f>IF('01_Stations'!$AB$58=1,"───","")</f>
        <v/>
      </c>
      <c r="Q74" s="164" t="str">
        <f>IF('01_Stations'!$AB$59=1,"───","")</f>
        <v/>
      </c>
      <c r="R74" s="164" t="str">
        <f>IF('01_Stations'!$AB$60=1,"───","")</f>
        <v/>
      </c>
      <c r="S74" s="164" t="str">
        <f>IF('01_Stations'!$AB$61=1,"───","")</f>
        <v/>
      </c>
      <c r="T74" s="164" t="str">
        <f>IF('01_Stations'!$AB$62=1,"───","")</f>
        <v/>
      </c>
      <c r="U74" s="164" t="str">
        <f>IF('01_Stations'!$AB$63=1,"───","")</f>
        <v/>
      </c>
      <c r="V74" s="164" t="str">
        <f>IF('01_Stations'!$AB$64=1,"───","")</f>
        <v/>
      </c>
      <c r="W74" s="164" t="str">
        <f>IF('01_Stations'!$AB$65=1,"───","")</f>
        <v/>
      </c>
      <c r="X74" s="164" t="str">
        <f>IF('01_Stations'!$AB$66=1,"───","")</f>
        <v/>
      </c>
      <c r="Y74" s="164" t="str">
        <f>IF('01_Stations'!$AB$67=1,"───","")</f>
        <v/>
      </c>
      <c r="Z74" s="164" t="str">
        <f>IF('01_Stations'!$AB$68=1,"───","")</f>
        <v/>
      </c>
      <c r="AA74" s="164" t="str">
        <f>IF('01_Stations'!$AB$69=1,"───","")</f>
        <v/>
      </c>
      <c r="AB74" s="164" t="str">
        <f>IF('01_Stations'!$AB$70=1,"───","")</f>
        <v/>
      </c>
      <c r="AC74" s="164" t="str">
        <f>IF('01_Stations'!$AB$71=1,"───","")</f>
        <v/>
      </c>
      <c r="AD74" s="164" t="str">
        <f>IF('01_Stations'!$AB$72=1,"───","")</f>
        <v/>
      </c>
      <c r="AE74" s="164" t="str">
        <f>IF('01_Stations'!$AB$73=1,"───","")</f>
        <v/>
      </c>
      <c r="AF74" s="164" t="str">
        <f>IF('01_Stations'!$AB$74=1,"───","")</f>
        <v/>
      </c>
      <c r="AG74" s="164" t="str">
        <f>IF('01_Stations'!$AB$75=1,"───","")</f>
        <v/>
      </c>
      <c r="AH74" s="164" t="str">
        <f>IF('01_Stations'!$AB$76=1,"───","")</f>
        <v/>
      </c>
      <c r="AI74" s="164" t="str">
        <f>IF('01_Stations'!$AB$77=1,"───","")</f>
        <v/>
      </c>
      <c r="AJ74" s="164" t="str">
        <f>IF('01_Stations'!$AB$78=1,"───","")</f>
        <v/>
      </c>
      <c r="AK74" s="164" t="str">
        <f>IF('01_Stations'!$AB$79=1,"───","")</f>
        <v/>
      </c>
      <c r="AL74" s="164" t="str">
        <f>IF('01_Stations'!$AB$80=1,"───","")</f>
        <v/>
      </c>
      <c r="AM74" s="164" t="str">
        <f>IF('01_Stations'!$AB$81=1,"───","")</f>
        <v/>
      </c>
      <c r="AN74" s="164" t="str">
        <f>IF('01_Stations'!$AB$82=1,"───","")</f>
        <v/>
      </c>
      <c r="AO74" s="164" t="str">
        <f>IF('01_Stations'!$AB$83=1,"───","")</f>
        <v/>
      </c>
      <c r="AP74" s="164" t="str">
        <f>IF('01_Stations'!$AB$84=1,"───","")</f>
        <v/>
      </c>
      <c r="AQ74" s="164" t="str">
        <f>IF('01_Stations'!$AB$85=1,"───","")</f>
        <v/>
      </c>
    </row>
    <row r="75" spans="1:43" ht="15" customHeight="1" x14ac:dyDescent="0.3">
      <c r="A75" s="236"/>
      <c r="B75" s="165"/>
      <c r="C75" s="166" t="s">
        <v>2220</v>
      </c>
      <c r="D75" s="164" t="str">
        <f>IF(N('01_Stations'!$AC$46)&gt;0,'01_Stations'!$AC$46,"")</f>
        <v/>
      </c>
      <c r="E75" s="164" t="str">
        <f>IF(N('01_Stations'!$AC$47)&gt;0,'01_Stations'!$AC$47,"")</f>
        <v/>
      </c>
      <c r="F75" s="164" t="str">
        <f>IF(N('01_Stations'!$AC$48)&gt;0,'01_Stations'!$AC$48,"")</f>
        <v/>
      </c>
      <c r="G75" s="164" t="str">
        <f>IF(N('01_Stations'!$AC$49)&gt;0,'01_Stations'!$AC$49,"")</f>
        <v/>
      </c>
      <c r="H75" s="164" t="str">
        <f>IF(N('01_Stations'!$AC$50)&gt;0,'01_Stations'!$AC$50,"")</f>
        <v/>
      </c>
      <c r="I75" s="164" t="str">
        <f>IF(N('01_Stations'!$AC$51)&gt;0,'01_Stations'!$AC$51,"")</f>
        <v/>
      </c>
      <c r="J75" s="164" t="str">
        <f>IF(N('01_Stations'!$AC$52)&gt;0,'01_Stations'!$AC$52,"")</f>
        <v/>
      </c>
      <c r="K75" s="164" t="str">
        <f>IF(N('01_Stations'!$AC$53)&gt;0,'01_Stations'!$AC$53,"")</f>
        <v/>
      </c>
      <c r="L75" s="164" t="str">
        <f>IF(N('01_Stations'!$AC$54)&gt;0,'01_Stations'!$AC$54,"")</f>
        <v/>
      </c>
      <c r="M75" s="164" t="str">
        <f>IF(N('01_Stations'!$AC$55)&gt;0,'01_Stations'!$AC$55,"")</f>
        <v/>
      </c>
      <c r="N75" s="164" t="str">
        <f>IF(N('01_Stations'!$AC$56)&gt;0,'01_Stations'!$AC$56,"")</f>
        <v/>
      </c>
      <c r="O75" s="164" t="str">
        <f>IF(N('01_Stations'!$AC$57)&gt;0,'01_Stations'!$AC$57,"")</f>
        <v/>
      </c>
      <c r="P75" s="164" t="str">
        <f>IF(N('01_Stations'!$AC$58)&gt;0,'01_Stations'!$AC$58,"")</f>
        <v/>
      </c>
      <c r="Q75" s="164" t="str">
        <f>IF(N('01_Stations'!$AC$59)&gt;0,'01_Stations'!$AC$59,"")</f>
        <v/>
      </c>
      <c r="R75" s="164" t="str">
        <f>IF(N('01_Stations'!$AC$60)&gt;0,'01_Stations'!$AC$60,"")</f>
        <v/>
      </c>
      <c r="S75" s="164" t="str">
        <f>IF(N('01_Stations'!$AC$61)&gt;0,'01_Stations'!$AC$61,"")</f>
        <v/>
      </c>
      <c r="T75" s="164" t="str">
        <f>IF(N('01_Stations'!$AC$62)&gt;0,'01_Stations'!$AC$62,"")</f>
        <v/>
      </c>
      <c r="U75" s="164" t="str">
        <f>IF(N('01_Stations'!$AC$63)&gt;0,'01_Stations'!$AC$63,"")</f>
        <v/>
      </c>
      <c r="V75" s="164" t="str">
        <f>IF(N('01_Stations'!$AC$64)&gt;0,'01_Stations'!$AC$64,"")</f>
        <v/>
      </c>
      <c r="W75" s="164" t="str">
        <f>IF(N('01_Stations'!$AC$65)&gt;0,'01_Stations'!$AC$65,"")</f>
        <v/>
      </c>
      <c r="X75" s="164" t="str">
        <f>IF(N('01_Stations'!$AC$66)&gt;0,'01_Stations'!$AC$66,"")</f>
        <v/>
      </c>
      <c r="Y75" s="164" t="str">
        <f>IF(N('01_Stations'!$AC$67)&gt;0,'01_Stations'!$AC$67,"")</f>
        <v/>
      </c>
      <c r="Z75" s="164" t="str">
        <f>IF(N('01_Stations'!$AC$68)&gt;0,'01_Stations'!$AC$68,"")</f>
        <v/>
      </c>
      <c r="AA75" s="164" t="str">
        <f>IF(N('01_Stations'!$AC$69)&gt;0,'01_Stations'!$AC$69,"")</f>
        <v/>
      </c>
      <c r="AB75" s="164" t="str">
        <f>IF(N('01_Stations'!$AC$70)&gt;0,'01_Stations'!$AC$70,"")</f>
        <v/>
      </c>
      <c r="AC75" s="164" t="str">
        <f>IF(N('01_Stations'!$AC$71)&gt;0,'01_Stations'!$AC$71,"")</f>
        <v/>
      </c>
      <c r="AD75" s="164" t="str">
        <f>IF(N('01_Stations'!$AC$72)&gt;0,'01_Stations'!$AC$72,"")</f>
        <v/>
      </c>
      <c r="AE75" s="164" t="str">
        <f>IF(N('01_Stations'!$AC$73)&gt;0,'01_Stations'!$AC$73,"")</f>
        <v/>
      </c>
      <c r="AF75" s="164" t="str">
        <f>IF(N('01_Stations'!$AC$74)&gt;0,'01_Stations'!$AC$74,"")</f>
        <v/>
      </c>
      <c r="AG75" s="164" t="str">
        <f>IF(N('01_Stations'!$AC$75)&gt;0,'01_Stations'!$AC$75,"")</f>
        <v/>
      </c>
      <c r="AH75" s="164" t="str">
        <f>IF(N('01_Stations'!$AC$76)&gt;0,'01_Stations'!$AC$76,"")</f>
        <v/>
      </c>
      <c r="AI75" s="164" t="str">
        <f>IF(N('01_Stations'!$AC$77)&gt;0,'01_Stations'!$AC$77,"")</f>
        <v/>
      </c>
      <c r="AJ75" s="164" t="str">
        <f>IF(N('01_Stations'!$AC$78)&gt;0,'01_Stations'!$AC$78,"")</f>
        <v/>
      </c>
      <c r="AK75" s="164" t="str">
        <f>IF(N('01_Stations'!$AC$79)&gt;0,'01_Stations'!$AC$79,"")</f>
        <v/>
      </c>
      <c r="AL75" s="164" t="str">
        <f>IF(N('01_Stations'!$AC$80)&gt;0,'01_Stations'!$AC$80,"")</f>
        <v/>
      </c>
      <c r="AM75" s="164" t="str">
        <f>IF(N('01_Stations'!$AC$81)&gt;0,'01_Stations'!$AC$81,"")</f>
        <v/>
      </c>
      <c r="AN75" s="164" t="str">
        <f>IF(N('01_Stations'!$AC$82)&gt;0,'01_Stations'!$AC$82,"")</f>
        <v/>
      </c>
      <c r="AO75" s="164" t="str">
        <f>IF(N('01_Stations'!$AC$83)&gt;0,'01_Stations'!$AC$83,"")</f>
        <v/>
      </c>
      <c r="AP75" s="164" t="str">
        <f>IF(N('01_Stations'!$AC$84)&gt;0,'01_Stations'!$AC$84,"")</f>
        <v/>
      </c>
      <c r="AQ75" s="164" t="str">
        <f>IF(N('01_Stations'!$AC$85)&gt;0,'01_Stations'!$AC$85,"")</f>
        <v/>
      </c>
    </row>
    <row r="76" spans="1:43" ht="15" customHeight="1" x14ac:dyDescent="0.3">
      <c r="A76" s="236"/>
      <c r="B76" s="165" t="s">
        <v>2221</v>
      </c>
      <c r="C76" s="166" t="s">
        <v>1622</v>
      </c>
      <c r="D76" s="164" t="str">
        <f>IF(N('01_Stations'!$AD$46)&gt;0,'01_Stations'!$AD$46,"")</f>
        <v/>
      </c>
      <c r="E76" s="164" t="str">
        <f>IF(N('01_Stations'!$AD$47)&gt;0,'01_Stations'!$AD$47,"")</f>
        <v/>
      </c>
      <c r="F76" s="164" t="str">
        <f>IF(N('01_Stations'!$AD$48)&gt;0,'01_Stations'!$AD$48,"")</f>
        <v/>
      </c>
      <c r="G76" s="164" t="str">
        <f>IF(N('01_Stations'!$AD$49)&gt;0,'01_Stations'!$AD$49,"")</f>
        <v/>
      </c>
      <c r="H76" s="164" t="str">
        <f>IF(N('01_Stations'!$AD$50)&gt;0,'01_Stations'!$AD$50,"")</f>
        <v/>
      </c>
      <c r="I76" s="164" t="str">
        <f>IF(N('01_Stations'!$AD$51)&gt;0,'01_Stations'!$AD$51,"")</f>
        <v/>
      </c>
      <c r="J76" s="164" t="str">
        <f>IF(N('01_Stations'!$AD$52)&gt;0,'01_Stations'!$AD$52,"")</f>
        <v/>
      </c>
      <c r="K76" s="164" t="str">
        <f>IF(N('01_Stations'!$AD$53)&gt;0,'01_Stations'!$AD$53,"")</f>
        <v/>
      </c>
      <c r="L76" s="164" t="str">
        <f>IF(N('01_Stations'!$AD$54)&gt;0,'01_Stations'!$AD$54,"")</f>
        <v/>
      </c>
      <c r="M76" s="164" t="str">
        <f>IF(N('01_Stations'!$AD$55)&gt;0,'01_Stations'!$AD$55,"")</f>
        <v/>
      </c>
      <c r="N76" s="164" t="str">
        <f>IF(N('01_Stations'!$AD$56)&gt;0,'01_Stations'!$AD$56,"")</f>
        <v/>
      </c>
      <c r="O76" s="164" t="str">
        <f>IF(N('01_Stations'!$AD$57)&gt;0,'01_Stations'!$AD$57,"")</f>
        <v/>
      </c>
      <c r="P76" s="164" t="str">
        <f>IF(N('01_Stations'!$AD$58)&gt;0,'01_Stations'!$AD$58,"")</f>
        <v/>
      </c>
      <c r="Q76" s="164" t="str">
        <f>IF(N('01_Stations'!$AD$59)&gt;0,'01_Stations'!$AD$59,"")</f>
        <v/>
      </c>
      <c r="R76" s="164" t="str">
        <f>IF(N('01_Stations'!$AD$60)&gt;0,'01_Stations'!$AD$60,"")</f>
        <v/>
      </c>
      <c r="S76" s="164" t="str">
        <f>IF(N('01_Stations'!$AD$61)&gt;0,'01_Stations'!$AD$61,"")</f>
        <v/>
      </c>
      <c r="T76" s="164" t="str">
        <f>IF(N('01_Stations'!$AD$62)&gt;0,'01_Stations'!$AD$62,"")</f>
        <v/>
      </c>
      <c r="U76" s="164" t="str">
        <f>IF(N('01_Stations'!$AD$63)&gt;0,'01_Stations'!$AD$63,"")</f>
        <v/>
      </c>
      <c r="V76" s="164" t="str">
        <f>IF(N('01_Stations'!$AD$64)&gt;0,'01_Stations'!$AD$64,"")</f>
        <v/>
      </c>
      <c r="W76" s="164" t="str">
        <f>IF(N('01_Stations'!$AD$65)&gt;0,'01_Stations'!$AD$65,"")</f>
        <v/>
      </c>
      <c r="X76" s="164" t="str">
        <f>IF(N('01_Stations'!$AD$66)&gt;0,'01_Stations'!$AD$66,"")</f>
        <v/>
      </c>
      <c r="Y76" s="164" t="str">
        <f>IF(N('01_Stations'!$AD$67)&gt;0,'01_Stations'!$AD$67,"")</f>
        <v/>
      </c>
      <c r="Z76" s="164" t="str">
        <f>IF(N('01_Stations'!$AD$68)&gt;0,'01_Stations'!$AD$68,"")</f>
        <v/>
      </c>
      <c r="AA76" s="164" t="str">
        <f>IF(N('01_Stations'!$AD$69)&gt;0,'01_Stations'!$AD$69,"")</f>
        <v/>
      </c>
      <c r="AB76" s="164" t="str">
        <f>IF(N('01_Stations'!$AD$70)&gt;0,'01_Stations'!$AD$70,"")</f>
        <v/>
      </c>
      <c r="AC76" s="164" t="str">
        <f>IF(N('01_Stations'!$AD$71)&gt;0,'01_Stations'!$AD$71,"")</f>
        <v/>
      </c>
      <c r="AD76" s="164" t="str">
        <f>IF(N('01_Stations'!$AD$72)&gt;0,'01_Stations'!$AD$72,"")</f>
        <v/>
      </c>
      <c r="AE76" s="164" t="str">
        <f>IF(N('01_Stations'!$AD$73)&gt;0,'01_Stations'!$AD$73,"")</f>
        <v/>
      </c>
      <c r="AF76" s="164" t="str">
        <f>IF(N('01_Stations'!$AD$74)&gt;0,'01_Stations'!$AD$74,"")</f>
        <v/>
      </c>
      <c r="AG76" s="164" t="str">
        <f>IF(N('01_Stations'!$AD$75)&gt;0,'01_Stations'!$AD$75,"")</f>
        <v/>
      </c>
      <c r="AH76" s="164" t="str">
        <f>IF(N('01_Stations'!$AD$76)&gt;0,'01_Stations'!$AD$76,"")</f>
        <v/>
      </c>
      <c r="AI76" s="164" t="str">
        <f>IF(N('01_Stations'!$AD$77)&gt;0,'01_Stations'!$AD$77,"")</f>
        <v/>
      </c>
      <c r="AJ76" s="164" t="str">
        <f>IF(N('01_Stations'!$AD$78)&gt;0,'01_Stations'!$AD$78,"")</f>
        <v/>
      </c>
      <c r="AK76" s="164" t="str">
        <f>IF(N('01_Stations'!$AD$79)&gt;0,'01_Stations'!$AD$79,"")</f>
        <v/>
      </c>
      <c r="AL76" s="164" t="str">
        <f>IF(N('01_Stations'!$AD$80)&gt;0,'01_Stations'!$AD$80,"")</f>
        <v/>
      </c>
      <c r="AM76" s="164" t="str">
        <f>IF(N('01_Stations'!$AD$81)&gt;0,'01_Stations'!$AD$81,"")</f>
        <v/>
      </c>
      <c r="AN76" s="164" t="str">
        <f>IF(N('01_Stations'!$AD$82)&gt;0,'01_Stations'!$AD$82,"")</f>
        <v/>
      </c>
      <c r="AO76" s="164" t="str">
        <f>IF(N('01_Stations'!$AD$83)&gt;0,'01_Stations'!$AD$83,"")</f>
        <v/>
      </c>
      <c r="AP76" s="164" t="str">
        <f>IF(N('01_Stations'!$AD$84)&gt;0,'01_Stations'!$AD$84,"")</f>
        <v/>
      </c>
      <c r="AQ76" s="164" t="str">
        <f>IF(N('01_Stations'!$AD$85)&gt;0,'01_Stations'!$AD$85,"")</f>
        <v/>
      </c>
    </row>
    <row r="77" spans="1:43" ht="15" customHeight="1" x14ac:dyDescent="0.3">
      <c r="A77" s="236"/>
      <c r="B77" s="165"/>
      <c r="C77" s="166" t="s">
        <v>2212</v>
      </c>
      <c r="D77" s="164" t="str">
        <f>IF(N('01_Stations'!$AE$46)&gt;0,'01_Stations'!$AE$46,"")</f>
        <v/>
      </c>
      <c r="E77" s="164" t="str">
        <f>IF(N('01_Stations'!$AE$47)&gt;0,'01_Stations'!$AE$47,"")</f>
        <v/>
      </c>
      <c r="F77" s="164" t="str">
        <f>IF(N('01_Stations'!$AE$48)&gt;0,'01_Stations'!$AE$48,"")</f>
        <v/>
      </c>
      <c r="G77" s="164" t="str">
        <f>IF(N('01_Stations'!$AE$49)&gt;0,'01_Stations'!$AE$49,"")</f>
        <v/>
      </c>
      <c r="H77" s="164" t="str">
        <f>IF(N('01_Stations'!$AE$50)&gt;0,'01_Stations'!$AE$50,"")</f>
        <v/>
      </c>
      <c r="I77" s="164" t="str">
        <f>IF(N('01_Stations'!$AE$51)&gt;0,'01_Stations'!$AE$51,"")</f>
        <v/>
      </c>
      <c r="J77" s="164" t="str">
        <f>IF(N('01_Stations'!$AE$52)&gt;0,'01_Stations'!$AE$52,"")</f>
        <v/>
      </c>
      <c r="K77" s="164" t="str">
        <f>IF(N('01_Stations'!$AE$53)&gt;0,'01_Stations'!$AE$53,"")</f>
        <v/>
      </c>
      <c r="L77" s="164" t="str">
        <f>IF(N('01_Stations'!$AE$54)&gt;0,'01_Stations'!$AE$54,"")</f>
        <v/>
      </c>
      <c r="M77" s="164" t="str">
        <f>IF(N('01_Stations'!$AE$55)&gt;0,'01_Stations'!$AE$55,"")</f>
        <v/>
      </c>
      <c r="N77" s="164" t="str">
        <f>IF(N('01_Stations'!$AE$56)&gt;0,'01_Stations'!$AE$56,"")</f>
        <v/>
      </c>
      <c r="O77" s="164" t="str">
        <f>IF(N('01_Stations'!$AE$57)&gt;0,'01_Stations'!$AE$57,"")</f>
        <v/>
      </c>
      <c r="P77" s="164" t="str">
        <f>IF(N('01_Stations'!$AE$58)&gt;0,'01_Stations'!$AE$58,"")</f>
        <v/>
      </c>
      <c r="Q77" s="164" t="str">
        <f>IF(N('01_Stations'!$AE$59)&gt;0,'01_Stations'!$AE$59,"")</f>
        <v/>
      </c>
      <c r="R77" s="164" t="str">
        <f>IF(N('01_Stations'!$AE$60)&gt;0,'01_Stations'!$AE$60,"")</f>
        <v/>
      </c>
      <c r="S77" s="164" t="str">
        <f>IF(N('01_Stations'!$AE$61)&gt;0,'01_Stations'!$AE$61,"")</f>
        <v/>
      </c>
      <c r="T77" s="164" t="str">
        <f>IF(N('01_Stations'!$AE$62)&gt;0,'01_Stations'!$AE$62,"")</f>
        <v/>
      </c>
      <c r="U77" s="164" t="str">
        <f>IF(N('01_Stations'!$AE$63)&gt;0,'01_Stations'!$AE$63,"")</f>
        <v/>
      </c>
      <c r="V77" s="164" t="str">
        <f>IF(N('01_Stations'!$AE$64)&gt;0,'01_Stations'!$AE$64,"")</f>
        <v/>
      </c>
      <c r="W77" s="164" t="str">
        <f>IF(N('01_Stations'!$AE$65)&gt;0,'01_Stations'!$AE$65,"")</f>
        <v/>
      </c>
      <c r="X77" s="164" t="str">
        <f>IF(N('01_Stations'!$AE$66)&gt;0,'01_Stations'!$AE$66,"")</f>
        <v/>
      </c>
      <c r="Y77" s="164" t="str">
        <f>IF(N('01_Stations'!$AE$67)&gt;0,'01_Stations'!$AE$67,"")</f>
        <v/>
      </c>
      <c r="Z77" s="164" t="str">
        <f>IF(N('01_Stations'!$AE$68)&gt;0,'01_Stations'!$AE$68,"")</f>
        <v/>
      </c>
      <c r="AA77" s="164" t="str">
        <f>IF(N('01_Stations'!$AE$69)&gt;0,'01_Stations'!$AE$69,"")</f>
        <v/>
      </c>
      <c r="AB77" s="164" t="str">
        <f>IF(N('01_Stations'!$AE$70)&gt;0,'01_Stations'!$AE$70,"")</f>
        <v/>
      </c>
      <c r="AC77" s="164" t="str">
        <f>IF(N('01_Stations'!$AE$71)&gt;0,'01_Stations'!$AE$71,"")</f>
        <v/>
      </c>
      <c r="AD77" s="164" t="str">
        <f>IF(N('01_Stations'!$AE$72)&gt;0,'01_Stations'!$AE$72,"")</f>
        <v/>
      </c>
      <c r="AE77" s="164" t="str">
        <f>IF(N('01_Stations'!$AE$73)&gt;0,'01_Stations'!$AE$73,"")</f>
        <v/>
      </c>
      <c r="AF77" s="164" t="str">
        <f>IF(N('01_Stations'!$AE$74)&gt;0,'01_Stations'!$AE$74,"")</f>
        <v/>
      </c>
      <c r="AG77" s="164" t="str">
        <f>IF(N('01_Stations'!$AE$75)&gt;0,'01_Stations'!$AE$75,"")</f>
        <v/>
      </c>
      <c r="AH77" s="164" t="str">
        <f>IF(N('01_Stations'!$AE$76)&gt;0,'01_Stations'!$AE$76,"")</f>
        <v/>
      </c>
      <c r="AI77" s="164" t="str">
        <f>IF(N('01_Stations'!$AE$77)&gt;0,'01_Stations'!$AE$77,"")</f>
        <v/>
      </c>
      <c r="AJ77" s="164" t="str">
        <f>IF(N('01_Stations'!$AE$78)&gt;0,'01_Stations'!$AE$78,"")</f>
        <v/>
      </c>
      <c r="AK77" s="164" t="str">
        <f>IF(N('01_Stations'!$AE$79)&gt;0,'01_Stations'!$AE$79,"")</f>
        <v/>
      </c>
      <c r="AL77" s="164" t="str">
        <f>IF(N('01_Stations'!$AE$80)&gt;0,'01_Stations'!$AE$80,"")</f>
        <v/>
      </c>
      <c r="AM77" s="164" t="str">
        <f>IF(N('01_Stations'!$AE$81)&gt;0,'01_Stations'!$AE$81,"")</f>
        <v/>
      </c>
      <c r="AN77" s="164" t="str">
        <f>IF(N('01_Stations'!$AE$82)&gt;0,'01_Stations'!$AE$82,"")</f>
        <v/>
      </c>
      <c r="AO77" s="164" t="str">
        <f>IF(N('01_Stations'!$AE$83)&gt;0,'01_Stations'!$AE$83,"")</f>
        <v/>
      </c>
      <c r="AP77" s="164" t="str">
        <f>IF(N('01_Stations'!$AE$84)&gt;0,'01_Stations'!$AE$84,"")</f>
        <v/>
      </c>
      <c r="AQ77" s="164" t="str">
        <f>IF(N('01_Stations'!$AE$85)&gt;0,'01_Stations'!$AE$85,"")</f>
        <v/>
      </c>
    </row>
    <row r="78" spans="1:43" ht="15" customHeight="1" x14ac:dyDescent="0.3">
      <c r="A78" s="236"/>
      <c r="B78" s="165" t="s">
        <v>1942</v>
      </c>
      <c r="C78" s="166" t="s">
        <v>1622</v>
      </c>
      <c r="D78" s="164" t="str">
        <f>IF('01_Stations'!$AF$46=1,"───","")</f>
        <v/>
      </c>
      <c r="E78" s="164" t="str">
        <f>IF('01_Stations'!$AF$47=1,"───","")</f>
        <v/>
      </c>
      <c r="F78" s="164" t="str">
        <f>IF('01_Stations'!$AF$48=1,"───","")</f>
        <v/>
      </c>
      <c r="G78" s="164" t="str">
        <f>IF('01_Stations'!$AF$49=1,"───","")</f>
        <v/>
      </c>
      <c r="H78" s="164" t="str">
        <f>IF('01_Stations'!$AF$50=1,"───","")</f>
        <v/>
      </c>
      <c r="I78" s="164" t="str">
        <f>IF('01_Stations'!$AF$51=1,"───","")</f>
        <v/>
      </c>
      <c r="J78" s="164" t="str">
        <f>IF('01_Stations'!$AF$52=1,"───","")</f>
        <v/>
      </c>
      <c r="K78" s="164" t="str">
        <f>IF('01_Stations'!$AF$53=1,"───","")</f>
        <v/>
      </c>
      <c r="L78" s="164" t="str">
        <f>IF('01_Stations'!$AF$54=1,"───","")</f>
        <v/>
      </c>
      <c r="M78" s="164" t="str">
        <f>IF('01_Stations'!$AF$55=1,"───","")</f>
        <v/>
      </c>
      <c r="N78" s="164" t="str">
        <f>IF('01_Stations'!$AF$56=1,"───","")</f>
        <v/>
      </c>
      <c r="O78" s="164" t="str">
        <f>IF('01_Stations'!$AF$57=1,"───","")</f>
        <v/>
      </c>
      <c r="P78" s="164" t="str">
        <f>IF('01_Stations'!$AF$58=1,"───","")</f>
        <v/>
      </c>
      <c r="Q78" s="164" t="str">
        <f>IF('01_Stations'!$AF$59=1,"───","")</f>
        <v/>
      </c>
      <c r="R78" s="164" t="str">
        <f>IF('01_Stations'!$AF$60=1,"───","")</f>
        <v/>
      </c>
      <c r="S78" s="164" t="str">
        <f>IF('01_Stations'!$AF$61=1,"───","")</f>
        <v/>
      </c>
      <c r="T78" s="164" t="str">
        <f>IF('01_Stations'!$AF$62=1,"───","")</f>
        <v/>
      </c>
      <c r="U78" s="164" t="str">
        <f>IF('01_Stations'!$AF$63=1,"───","")</f>
        <v/>
      </c>
      <c r="V78" s="164" t="str">
        <f>IF('01_Stations'!$AF$64=1,"───","")</f>
        <v/>
      </c>
      <c r="W78" s="164" t="str">
        <f>IF('01_Stations'!$AF$65=1,"───","")</f>
        <v/>
      </c>
      <c r="X78" s="164" t="str">
        <f>IF('01_Stations'!$AF$66=1,"───","")</f>
        <v/>
      </c>
      <c r="Y78" s="164" t="str">
        <f>IF('01_Stations'!$AF$67=1,"───","")</f>
        <v/>
      </c>
      <c r="Z78" s="164" t="str">
        <f>IF('01_Stations'!$AF$68=1,"───","")</f>
        <v/>
      </c>
      <c r="AA78" s="164" t="str">
        <f>IF('01_Stations'!$AF$69=1,"───","")</f>
        <v/>
      </c>
      <c r="AB78" s="164" t="str">
        <f>IF('01_Stations'!$AF$70=1,"───","")</f>
        <v/>
      </c>
      <c r="AC78" s="164" t="str">
        <f>IF('01_Stations'!$AF$71=1,"───","")</f>
        <v/>
      </c>
      <c r="AD78" s="164" t="str">
        <f>IF('01_Stations'!$AF$72=1,"───","")</f>
        <v/>
      </c>
      <c r="AE78" s="164" t="str">
        <f>IF('01_Stations'!$AF$73=1,"───","")</f>
        <v/>
      </c>
      <c r="AF78" s="164" t="str">
        <f>IF('01_Stations'!$AF$74=1,"───","")</f>
        <v/>
      </c>
      <c r="AG78" s="164" t="str">
        <f>IF('01_Stations'!$AF$75=1,"───","")</f>
        <v/>
      </c>
      <c r="AH78" s="164" t="str">
        <f>IF('01_Stations'!$AF$76=1,"───","")</f>
        <v/>
      </c>
      <c r="AI78" s="164" t="str">
        <f>IF('01_Stations'!$AF$77=1,"───","")</f>
        <v/>
      </c>
      <c r="AJ78" s="164" t="str">
        <f>IF('01_Stations'!$AF$78=1,"───","")</f>
        <v/>
      </c>
      <c r="AK78" s="164" t="str">
        <f>IF('01_Stations'!$AF$79=1,"───","")</f>
        <v/>
      </c>
      <c r="AL78" s="164" t="str">
        <f>IF('01_Stations'!$AF$80=1,"───","")</f>
        <v/>
      </c>
      <c r="AM78" s="164" t="str">
        <f>IF('01_Stations'!$AF$81=1,"───","")</f>
        <v/>
      </c>
      <c r="AN78" s="164" t="str">
        <f>IF('01_Stations'!$AF$82=1,"───","")</f>
        <v/>
      </c>
      <c r="AO78" s="164" t="str">
        <f>IF('01_Stations'!$AF$83=1,"───","")</f>
        <v/>
      </c>
      <c r="AP78" s="164" t="str">
        <f>IF('01_Stations'!$AF$84=1,"───","")</f>
        <v/>
      </c>
      <c r="AQ78" s="164" t="str">
        <f>IF('01_Stations'!$AF$85=1,"───","")</f>
        <v/>
      </c>
    </row>
    <row r="79" spans="1:43" ht="15" customHeight="1" x14ac:dyDescent="0.3">
      <c r="A79" s="237"/>
      <c r="B79" s="165"/>
      <c r="C79" s="166" t="s">
        <v>2212</v>
      </c>
      <c r="D79" s="164" t="str">
        <f>IF('01_Stations'!$AG$46=1,"───","")</f>
        <v/>
      </c>
      <c r="E79" s="164" t="str">
        <f>IF('01_Stations'!$AG$47=1,"───","")</f>
        <v/>
      </c>
      <c r="F79" s="164" t="str">
        <f>IF('01_Stations'!$AG$48=1,"───","")</f>
        <v/>
      </c>
      <c r="G79" s="164" t="str">
        <f>IF('01_Stations'!$AG$49=1,"───","")</f>
        <v/>
      </c>
      <c r="H79" s="164" t="str">
        <f>IF('01_Stations'!$AG$50=1,"───","")</f>
        <v/>
      </c>
      <c r="I79" s="164" t="str">
        <f>IF('01_Stations'!$AG$51=1,"───","")</f>
        <v/>
      </c>
      <c r="J79" s="164" t="str">
        <f>IF('01_Stations'!$AG$52=1,"───","")</f>
        <v/>
      </c>
      <c r="K79" s="164" t="str">
        <f>IF('01_Stations'!$AG$53=1,"───","")</f>
        <v/>
      </c>
      <c r="L79" s="164" t="str">
        <f>IF('01_Stations'!$AG$54=1,"───","")</f>
        <v/>
      </c>
      <c r="M79" s="164" t="str">
        <f>IF('01_Stations'!$AG$55=1,"───","")</f>
        <v/>
      </c>
      <c r="N79" s="164" t="str">
        <f>IF('01_Stations'!$AG$56=1,"───","")</f>
        <v/>
      </c>
      <c r="O79" s="164" t="str">
        <f>IF('01_Stations'!$AG$57=1,"───","")</f>
        <v/>
      </c>
      <c r="P79" s="164" t="str">
        <f>IF('01_Stations'!$AG$58=1,"───","")</f>
        <v/>
      </c>
      <c r="Q79" s="164" t="str">
        <f>IF('01_Stations'!$AG$59=1,"───","")</f>
        <v/>
      </c>
      <c r="R79" s="164" t="str">
        <f>IF('01_Stations'!$AG$60=1,"───","")</f>
        <v/>
      </c>
      <c r="S79" s="164" t="str">
        <f>IF('01_Stations'!$AG$61=1,"───","")</f>
        <v/>
      </c>
      <c r="T79" s="164" t="str">
        <f>IF('01_Stations'!$AG$62=1,"───","")</f>
        <v/>
      </c>
      <c r="U79" s="164" t="str">
        <f>IF('01_Stations'!$AG$63=1,"───","")</f>
        <v/>
      </c>
      <c r="V79" s="164" t="str">
        <f>IF('01_Stations'!$AG$64=1,"───","")</f>
        <v/>
      </c>
      <c r="W79" s="164" t="str">
        <f>IF('01_Stations'!$AG$65=1,"───","")</f>
        <v/>
      </c>
      <c r="X79" s="164" t="str">
        <f>IF('01_Stations'!$AG$66=1,"───","")</f>
        <v/>
      </c>
      <c r="Y79" s="164" t="str">
        <f>IF('01_Stations'!$AG$67=1,"───","")</f>
        <v/>
      </c>
      <c r="Z79" s="164" t="str">
        <f>IF('01_Stations'!$AG$68=1,"───","")</f>
        <v/>
      </c>
      <c r="AA79" s="164" t="str">
        <f>IF('01_Stations'!$AG$69=1,"───","")</f>
        <v/>
      </c>
      <c r="AB79" s="164" t="str">
        <f>IF('01_Stations'!$AG$70=1,"───","")</f>
        <v/>
      </c>
      <c r="AC79" s="164" t="str">
        <f>IF('01_Stations'!$AG$71=1,"───","")</f>
        <v/>
      </c>
      <c r="AD79" s="164" t="str">
        <f>IF('01_Stations'!$AG$72=1,"───","")</f>
        <v/>
      </c>
      <c r="AE79" s="164" t="str">
        <f>IF('01_Stations'!$AG$73=1,"───","")</f>
        <v/>
      </c>
      <c r="AF79" s="164" t="str">
        <f>IF('01_Stations'!$AG$74=1,"───","")</f>
        <v/>
      </c>
      <c r="AG79" s="164" t="str">
        <f>IF('01_Stations'!$AG$75=1,"───","")</f>
        <v/>
      </c>
      <c r="AH79" s="164" t="str">
        <f>IF('01_Stations'!$AG$76=1,"───","")</f>
        <v/>
      </c>
      <c r="AI79" s="164" t="str">
        <f>IF('01_Stations'!$AG$77=1,"───","")</f>
        <v/>
      </c>
      <c r="AJ79" s="164" t="str">
        <f>IF('01_Stations'!$AG$78=1,"───","")</f>
        <v/>
      </c>
      <c r="AK79" s="164" t="str">
        <f>IF('01_Stations'!$AG$79=1,"───","")</f>
        <v/>
      </c>
      <c r="AL79" s="164" t="str">
        <f>IF('01_Stations'!$AG$80=1,"───","")</f>
        <v/>
      </c>
      <c r="AM79" s="164" t="str">
        <f>IF('01_Stations'!$AG$81=1,"───","")</f>
        <v/>
      </c>
      <c r="AN79" s="164" t="str">
        <f>IF('01_Stations'!$AG$82=1,"───","")</f>
        <v/>
      </c>
      <c r="AO79" s="164" t="str">
        <f>IF('01_Stations'!$AG$83=1,"───","")</f>
        <v/>
      </c>
      <c r="AP79" s="164" t="str">
        <f>IF('01_Stations'!$AG$84=1,"───","")</f>
        <v/>
      </c>
      <c r="AQ79" s="164" t="str">
        <f>IF('01_Stations'!$AG$85=1,"───","")</f>
        <v/>
      </c>
    </row>
    <row r="80" spans="1:43" ht="15" customHeight="1" x14ac:dyDescent="0.3">
      <c r="A80" s="238" t="s">
        <v>2222</v>
      </c>
      <c r="B80" s="165" t="s">
        <v>291</v>
      </c>
      <c r="C80" s="166"/>
      <c r="D80" s="164" t="str">
        <f>IF('01_Stations'!$AH$46=1,"───","")</f>
        <v/>
      </c>
      <c r="E80" s="164" t="str">
        <f>IF('01_Stations'!$AH$47=1,"───","")</f>
        <v/>
      </c>
      <c r="F80" s="164" t="str">
        <f>IF('01_Stations'!$AH$48=1,"───","")</f>
        <v/>
      </c>
      <c r="G80" s="164" t="str">
        <f>IF('01_Stations'!$AH$49=1,"───","")</f>
        <v/>
      </c>
      <c r="H80" s="164" t="str">
        <f>IF('01_Stations'!$AH$50=1,"───","")</f>
        <v/>
      </c>
      <c r="I80" s="164" t="str">
        <f>IF('01_Stations'!$AH$51=1,"───","")</f>
        <v/>
      </c>
      <c r="J80" s="164" t="str">
        <f>IF('01_Stations'!$AH$52=1,"───","")</f>
        <v/>
      </c>
      <c r="K80" s="164" t="str">
        <f>IF('01_Stations'!$AH$53=1,"───","")</f>
        <v/>
      </c>
      <c r="L80" s="164" t="str">
        <f>IF('01_Stations'!$AH$54=1,"───","")</f>
        <v/>
      </c>
      <c r="M80" s="164" t="str">
        <f>IF('01_Stations'!$AH$55=1,"───","")</f>
        <v/>
      </c>
      <c r="N80" s="164" t="str">
        <f>IF('01_Stations'!$AH$56=1,"───","")</f>
        <v/>
      </c>
      <c r="O80" s="164" t="str">
        <f>IF('01_Stations'!$AH$57=1,"───","")</f>
        <v/>
      </c>
      <c r="P80" s="164" t="str">
        <f>IF('01_Stations'!$AH$58=1,"───","")</f>
        <v/>
      </c>
      <c r="Q80" s="164" t="str">
        <f>IF('01_Stations'!$AH$59=1,"───","")</f>
        <v/>
      </c>
      <c r="R80" s="164" t="str">
        <f>IF('01_Stations'!$AH$60=1,"───","")</f>
        <v/>
      </c>
      <c r="S80" s="164" t="str">
        <f>IF('01_Stations'!$AH$61=1,"───","")</f>
        <v/>
      </c>
      <c r="T80" s="164" t="str">
        <f>IF('01_Stations'!$AH$62=1,"───","")</f>
        <v/>
      </c>
      <c r="U80" s="164" t="str">
        <f>IF('01_Stations'!$AH$63=1,"───","")</f>
        <v/>
      </c>
      <c r="V80" s="164" t="str">
        <f>IF('01_Stations'!$AH$64=1,"───","")</f>
        <v/>
      </c>
      <c r="W80" s="164" t="str">
        <f>IF('01_Stations'!$AH$65=1,"───","")</f>
        <v/>
      </c>
      <c r="X80" s="164" t="str">
        <f>IF('01_Stations'!$AH$66=1,"───","")</f>
        <v/>
      </c>
      <c r="Y80" s="164" t="str">
        <f>IF('01_Stations'!$AH$67=1,"───","")</f>
        <v/>
      </c>
      <c r="Z80" s="164" t="str">
        <f>IF('01_Stations'!$AH$68=1,"───","")</f>
        <v/>
      </c>
      <c r="AA80" s="164" t="str">
        <f>IF('01_Stations'!$AH$69=1,"───","")</f>
        <v/>
      </c>
      <c r="AB80" s="164" t="str">
        <f>IF('01_Stations'!$AH$70=1,"───","")</f>
        <v/>
      </c>
      <c r="AC80" s="164" t="str">
        <f>IF('01_Stations'!$AH$71=1,"───","")</f>
        <v/>
      </c>
      <c r="AD80" s="164" t="str">
        <f>IF('01_Stations'!$AH$72=1,"───","")</f>
        <v/>
      </c>
      <c r="AE80" s="164" t="str">
        <f>IF('01_Stations'!$AH$73=1,"───","")</f>
        <v/>
      </c>
      <c r="AF80" s="164" t="str">
        <f>IF('01_Stations'!$AH$74=1,"───","")</f>
        <v/>
      </c>
      <c r="AG80" s="164" t="str">
        <f>IF('01_Stations'!$AH$75=1,"───","")</f>
        <v/>
      </c>
      <c r="AH80" s="164" t="str">
        <f>IF('01_Stations'!$AH$76=1,"───","")</f>
        <v/>
      </c>
      <c r="AI80" s="164" t="str">
        <f>IF('01_Stations'!$AH$77=1,"───","")</f>
        <v/>
      </c>
      <c r="AJ80" s="164" t="str">
        <f>IF('01_Stations'!$AH$78=1,"───","")</f>
        <v/>
      </c>
      <c r="AK80" s="164" t="str">
        <f>IF('01_Stations'!$AH$79=1,"───","")</f>
        <v/>
      </c>
      <c r="AL80" s="164" t="str">
        <f>IF('01_Stations'!$AH$80=1,"───","")</f>
        <v/>
      </c>
      <c r="AM80" s="164" t="str">
        <f>IF('01_Stations'!$AH$81=1,"───","")</f>
        <v/>
      </c>
      <c r="AN80" s="164" t="str">
        <f>IF('01_Stations'!$AH$82=1,"───","")</f>
        <v/>
      </c>
      <c r="AO80" s="164" t="str">
        <f>IF('01_Stations'!$AH$83=1,"───","")</f>
        <v/>
      </c>
      <c r="AP80" s="164" t="str">
        <f>IF('01_Stations'!$AH$84=1,"───","")</f>
        <v/>
      </c>
      <c r="AQ80" s="164" t="str">
        <f>IF('01_Stations'!$AH$85=1,"───","")</f>
        <v/>
      </c>
    </row>
    <row r="81" spans="1:43" ht="15" customHeight="1" x14ac:dyDescent="0.3">
      <c r="A81" s="236"/>
      <c r="B81" s="165" t="s">
        <v>292</v>
      </c>
      <c r="C81" s="166"/>
      <c r="D81" s="164" t="str">
        <f>IF('01_Stations'!$AI$46=1,"───","")</f>
        <v/>
      </c>
      <c r="E81" s="164" t="str">
        <f>IF('01_Stations'!$AI$47=1,"───","")</f>
        <v/>
      </c>
      <c r="F81" s="164" t="str">
        <f>IF('01_Stations'!$AI$48=1,"───","")</f>
        <v/>
      </c>
      <c r="G81" s="164" t="str">
        <f>IF('01_Stations'!$AI$49=1,"───","")</f>
        <v/>
      </c>
      <c r="H81" s="164" t="str">
        <f>IF('01_Stations'!$AI$50=1,"───","")</f>
        <v/>
      </c>
      <c r="I81" s="164" t="str">
        <f>IF('01_Stations'!$AI$51=1,"───","")</f>
        <v/>
      </c>
      <c r="J81" s="164" t="str">
        <f>IF('01_Stations'!$AI$52=1,"───","")</f>
        <v/>
      </c>
      <c r="K81" s="164" t="str">
        <f>IF('01_Stations'!$AI$53=1,"───","")</f>
        <v/>
      </c>
      <c r="L81" s="164" t="str">
        <f>IF('01_Stations'!$AI$54=1,"───","")</f>
        <v/>
      </c>
      <c r="M81" s="164" t="str">
        <f>IF('01_Stations'!$AI$55=1,"───","")</f>
        <v/>
      </c>
      <c r="N81" s="164" t="str">
        <f>IF('01_Stations'!$AI$56=1,"───","")</f>
        <v/>
      </c>
      <c r="O81" s="164" t="str">
        <f>IF('01_Stations'!$AI$57=1,"───","")</f>
        <v/>
      </c>
      <c r="P81" s="164" t="str">
        <f>IF('01_Stations'!$AI$58=1,"───","")</f>
        <v/>
      </c>
      <c r="Q81" s="164" t="str">
        <f>IF('01_Stations'!$AI$59=1,"───","")</f>
        <v/>
      </c>
      <c r="R81" s="164" t="str">
        <f>IF('01_Stations'!$AI$60=1,"───","")</f>
        <v/>
      </c>
      <c r="S81" s="164" t="str">
        <f>IF('01_Stations'!$AI$61=1,"───","")</f>
        <v/>
      </c>
      <c r="T81" s="164" t="str">
        <f>IF('01_Stations'!$AI$62=1,"───","")</f>
        <v/>
      </c>
      <c r="U81" s="164" t="str">
        <f>IF('01_Stations'!$AI$63=1,"───","")</f>
        <v/>
      </c>
      <c r="V81" s="164" t="str">
        <f>IF('01_Stations'!$AI$64=1,"───","")</f>
        <v/>
      </c>
      <c r="W81" s="164" t="str">
        <f>IF('01_Stations'!$AI$65=1,"───","")</f>
        <v/>
      </c>
      <c r="X81" s="164" t="str">
        <f>IF('01_Stations'!$AI$66=1,"───","")</f>
        <v/>
      </c>
      <c r="Y81" s="164" t="str">
        <f>IF('01_Stations'!$AI$67=1,"───","")</f>
        <v/>
      </c>
      <c r="Z81" s="164" t="str">
        <f>IF('01_Stations'!$AI$68=1,"───","")</f>
        <v/>
      </c>
      <c r="AA81" s="164" t="str">
        <f>IF('01_Stations'!$AI$69=1,"───","")</f>
        <v/>
      </c>
      <c r="AB81" s="164" t="str">
        <f>IF('01_Stations'!$AI$70=1,"───","")</f>
        <v/>
      </c>
      <c r="AC81" s="164" t="str">
        <f>IF('01_Stations'!$AI$71=1,"───","")</f>
        <v/>
      </c>
      <c r="AD81" s="164" t="str">
        <f>IF('01_Stations'!$AI$72=1,"───","")</f>
        <v/>
      </c>
      <c r="AE81" s="164" t="str">
        <f>IF('01_Stations'!$AI$73=1,"───","")</f>
        <v/>
      </c>
      <c r="AF81" s="164" t="str">
        <f>IF('01_Stations'!$AI$74=1,"───","")</f>
        <v/>
      </c>
      <c r="AG81" s="164" t="str">
        <f>IF('01_Stations'!$AI$75=1,"───","")</f>
        <v/>
      </c>
      <c r="AH81" s="164" t="str">
        <f>IF('01_Stations'!$AI$76=1,"───","")</f>
        <v/>
      </c>
      <c r="AI81" s="164" t="str">
        <f>IF('01_Stations'!$AI$77=1,"───","")</f>
        <v/>
      </c>
      <c r="AJ81" s="164" t="str">
        <f>IF('01_Stations'!$AI$78=1,"───","")</f>
        <v/>
      </c>
      <c r="AK81" s="164" t="str">
        <f>IF('01_Stations'!$AI$79=1,"───","")</f>
        <v/>
      </c>
      <c r="AL81" s="164" t="str">
        <f>IF('01_Stations'!$AI$80=1,"───","")</f>
        <v/>
      </c>
      <c r="AM81" s="164" t="str">
        <f>IF('01_Stations'!$AI$81=1,"───","")</f>
        <v/>
      </c>
      <c r="AN81" s="164" t="str">
        <f>IF('01_Stations'!$AI$82=1,"───","")</f>
        <v/>
      </c>
      <c r="AO81" s="164" t="str">
        <f>IF('01_Stations'!$AI$83=1,"───","")</f>
        <v/>
      </c>
      <c r="AP81" s="164" t="str">
        <f>IF('01_Stations'!$AI$84=1,"───","")</f>
        <v/>
      </c>
      <c r="AQ81" s="164" t="str">
        <f>IF('01_Stations'!$AI$85=1,"───","")</f>
        <v/>
      </c>
    </row>
    <row r="82" spans="1:43" ht="15" customHeight="1" x14ac:dyDescent="0.3">
      <c r="A82" s="236"/>
      <c r="B82" s="165" t="s">
        <v>293</v>
      </c>
      <c r="C82" s="166"/>
      <c r="D82" s="164" t="str">
        <f>IF('01_Stations'!$AJ$46=1,"───","")</f>
        <v/>
      </c>
      <c r="E82" s="164" t="str">
        <f>IF('01_Stations'!$AJ$47=1,"───","")</f>
        <v/>
      </c>
      <c r="F82" s="164" t="str">
        <f>IF('01_Stations'!$AJ$48=1,"───","")</f>
        <v/>
      </c>
      <c r="G82" s="164" t="str">
        <f>IF('01_Stations'!$AJ$49=1,"───","")</f>
        <v/>
      </c>
      <c r="H82" s="164" t="str">
        <f>IF('01_Stations'!$AJ$50=1,"───","")</f>
        <v/>
      </c>
      <c r="I82" s="164" t="str">
        <f>IF('01_Stations'!$AJ$51=1,"───","")</f>
        <v/>
      </c>
      <c r="J82" s="164" t="str">
        <f>IF('01_Stations'!$AJ$52=1,"───","")</f>
        <v/>
      </c>
      <c r="K82" s="164" t="str">
        <f>IF('01_Stations'!$AJ$53=1,"───","")</f>
        <v/>
      </c>
      <c r="L82" s="164" t="str">
        <f>IF('01_Stations'!$AJ$54=1,"───","")</f>
        <v/>
      </c>
      <c r="M82" s="164" t="str">
        <f>IF('01_Stations'!$AJ$55=1,"───","")</f>
        <v/>
      </c>
      <c r="N82" s="164" t="str">
        <f>IF('01_Stations'!$AJ$56=1,"───","")</f>
        <v/>
      </c>
      <c r="O82" s="164" t="str">
        <f>IF('01_Stations'!$AJ$57=1,"───","")</f>
        <v/>
      </c>
      <c r="P82" s="164" t="str">
        <f>IF('01_Stations'!$AJ$58=1,"───","")</f>
        <v/>
      </c>
      <c r="Q82" s="164" t="str">
        <f>IF('01_Stations'!$AJ$59=1,"───","")</f>
        <v/>
      </c>
      <c r="R82" s="164" t="str">
        <f>IF('01_Stations'!$AJ$60=1,"───","")</f>
        <v/>
      </c>
      <c r="S82" s="164" t="str">
        <f>IF('01_Stations'!$AJ$61=1,"───","")</f>
        <v/>
      </c>
      <c r="T82" s="164" t="str">
        <f>IF('01_Stations'!$AJ$62=1,"───","")</f>
        <v/>
      </c>
      <c r="U82" s="164" t="str">
        <f>IF('01_Stations'!$AJ$63=1,"───","")</f>
        <v/>
      </c>
      <c r="V82" s="164" t="str">
        <f>IF('01_Stations'!$AJ$64=1,"───","")</f>
        <v/>
      </c>
      <c r="W82" s="164" t="str">
        <f>IF('01_Stations'!$AJ$65=1,"───","")</f>
        <v/>
      </c>
      <c r="X82" s="164" t="str">
        <f>IF('01_Stations'!$AJ$66=1,"───","")</f>
        <v/>
      </c>
      <c r="Y82" s="164" t="str">
        <f>IF('01_Stations'!$AJ$67=1,"───","")</f>
        <v/>
      </c>
      <c r="Z82" s="164" t="str">
        <f>IF('01_Stations'!$AJ$68=1,"───","")</f>
        <v/>
      </c>
      <c r="AA82" s="164" t="str">
        <f>IF('01_Stations'!$AJ$69=1,"───","")</f>
        <v/>
      </c>
      <c r="AB82" s="164" t="str">
        <f>IF('01_Stations'!$AJ$70=1,"───","")</f>
        <v/>
      </c>
      <c r="AC82" s="164" t="str">
        <f>IF('01_Stations'!$AJ$71=1,"───","")</f>
        <v/>
      </c>
      <c r="AD82" s="164" t="str">
        <f>IF('01_Stations'!$AJ$72=1,"───","")</f>
        <v/>
      </c>
      <c r="AE82" s="164" t="str">
        <f>IF('01_Stations'!$AJ$73=1,"───","")</f>
        <v/>
      </c>
      <c r="AF82" s="164" t="str">
        <f>IF('01_Stations'!$AJ$74=1,"───","")</f>
        <v/>
      </c>
      <c r="AG82" s="164" t="str">
        <f>IF('01_Stations'!$AJ$75=1,"───","")</f>
        <v/>
      </c>
      <c r="AH82" s="164" t="str">
        <f>IF('01_Stations'!$AJ$76=1,"───","")</f>
        <v/>
      </c>
      <c r="AI82" s="164" t="str">
        <f>IF('01_Stations'!$AJ$77=1,"───","")</f>
        <v/>
      </c>
      <c r="AJ82" s="164" t="str">
        <f>IF('01_Stations'!$AJ$78=1,"───","")</f>
        <v/>
      </c>
      <c r="AK82" s="164" t="str">
        <f>IF('01_Stations'!$AJ$79=1,"───","")</f>
        <v/>
      </c>
      <c r="AL82" s="164" t="str">
        <f>IF('01_Stations'!$AJ$80=1,"───","")</f>
        <v/>
      </c>
      <c r="AM82" s="164" t="str">
        <f>IF('01_Stations'!$AJ$81=1,"───","")</f>
        <v/>
      </c>
      <c r="AN82" s="164" t="str">
        <f>IF('01_Stations'!$AJ$82=1,"───","")</f>
        <v/>
      </c>
      <c r="AO82" s="164" t="str">
        <f>IF('01_Stations'!$AJ$83=1,"───","")</f>
        <v/>
      </c>
      <c r="AP82" s="164" t="str">
        <f>IF('01_Stations'!$AJ$84=1,"───","")</f>
        <v/>
      </c>
      <c r="AQ82" s="164" t="str">
        <f>IF('01_Stations'!$AJ$85=1,"───","")</f>
        <v/>
      </c>
    </row>
    <row r="83" spans="1:43" ht="15" customHeight="1" x14ac:dyDescent="0.3">
      <c r="A83" s="236"/>
      <c r="B83" s="165" t="s">
        <v>294</v>
      </c>
      <c r="C83" s="166" t="s">
        <v>299</v>
      </c>
      <c r="D83" s="164" t="str">
        <f>IF(N('01_Stations'!$AK$46)&gt;0,'01_Stations'!$AK$46,"")</f>
        <v/>
      </c>
      <c r="E83" s="164" t="str">
        <f>IF(N('01_Stations'!$AK$47)&gt;0,'01_Stations'!$AK$47,"")</f>
        <v/>
      </c>
      <c r="F83" s="164" t="str">
        <f>IF(N('01_Stations'!$AK$48)&gt;0,'01_Stations'!$AK$48,"")</f>
        <v/>
      </c>
      <c r="G83" s="164" t="str">
        <f>IF(N('01_Stations'!$AK$49)&gt;0,'01_Stations'!$AK$49,"")</f>
        <v/>
      </c>
      <c r="H83" s="164" t="str">
        <f>IF(N('01_Stations'!$AK$50)&gt;0,'01_Stations'!$AK$50,"")</f>
        <v/>
      </c>
      <c r="I83" s="164" t="str">
        <f>IF(N('01_Stations'!$AK$51)&gt;0,'01_Stations'!$AK$51,"")</f>
        <v/>
      </c>
      <c r="J83" s="164" t="str">
        <f>IF(N('01_Stations'!$AK$52)&gt;0,'01_Stations'!$AK$52,"")</f>
        <v/>
      </c>
      <c r="K83" s="164" t="str">
        <f>IF(N('01_Stations'!$AK$53)&gt;0,'01_Stations'!$AK$53,"")</f>
        <v/>
      </c>
      <c r="L83" s="164" t="str">
        <f>IF(N('01_Stations'!$AK$54)&gt;0,'01_Stations'!$AK$54,"")</f>
        <v/>
      </c>
      <c r="M83" s="164" t="str">
        <f>IF(N('01_Stations'!$AK$55)&gt;0,'01_Stations'!$AK$55,"")</f>
        <v/>
      </c>
      <c r="N83" s="164" t="str">
        <f>IF(N('01_Stations'!$AK$56)&gt;0,'01_Stations'!$AK$56,"")</f>
        <v/>
      </c>
      <c r="O83" s="164" t="str">
        <f>IF(N('01_Stations'!$AK$57)&gt;0,'01_Stations'!$AK$57,"")</f>
        <v/>
      </c>
      <c r="P83" s="164" t="str">
        <f>IF(N('01_Stations'!$AK$58)&gt;0,'01_Stations'!$AK$58,"")</f>
        <v/>
      </c>
      <c r="Q83" s="164" t="str">
        <f>IF(N('01_Stations'!$AK$59)&gt;0,'01_Stations'!$AK$59,"")</f>
        <v/>
      </c>
      <c r="R83" s="164" t="str">
        <f>IF(N('01_Stations'!$AK$60)&gt;0,'01_Stations'!$AK$60,"")</f>
        <v/>
      </c>
      <c r="S83" s="164" t="str">
        <f>IF(N('01_Stations'!$AK$61)&gt;0,'01_Stations'!$AK$61,"")</f>
        <v/>
      </c>
      <c r="T83" s="164" t="str">
        <f>IF(N('01_Stations'!$AK$62)&gt;0,'01_Stations'!$AK$62,"")</f>
        <v/>
      </c>
      <c r="U83" s="164" t="str">
        <f>IF(N('01_Stations'!$AK$63)&gt;0,'01_Stations'!$AK$63,"")</f>
        <v/>
      </c>
      <c r="V83" s="164" t="str">
        <f>IF(N('01_Stations'!$AK$64)&gt;0,'01_Stations'!$AK$64,"")</f>
        <v/>
      </c>
      <c r="W83" s="164" t="str">
        <f>IF(N('01_Stations'!$AK$65)&gt;0,'01_Stations'!$AK$65,"")</f>
        <v/>
      </c>
      <c r="X83" s="164" t="str">
        <f>IF(N('01_Stations'!$AK$66)&gt;0,'01_Stations'!$AK$66,"")</f>
        <v/>
      </c>
      <c r="Y83" s="164" t="str">
        <f>IF(N('01_Stations'!$AK$67)&gt;0,'01_Stations'!$AK$67,"")</f>
        <v/>
      </c>
      <c r="Z83" s="164" t="str">
        <f>IF(N('01_Stations'!$AK$68)&gt;0,'01_Stations'!$AK$68,"")</f>
        <v/>
      </c>
      <c r="AA83" s="164" t="str">
        <f>IF(N('01_Stations'!$AK$69)&gt;0,'01_Stations'!$AK$69,"")</f>
        <v/>
      </c>
      <c r="AB83" s="164" t="str">
        <f>IF(N('01_Stations'!$AK$70)&gt;0,'01_Stations'!$AK$70,"")</f>
        <v/>
      </c>
      <c r="AC83" s="164" t="str">
        <f>IF(N('01_Stations'!$AK$71)&gt;0,'01_Stations'!$AK$71,"")</f>
        <v/>
      </c>
      <c r="AD83" s="164" t="str">
        <f>IF(N('01_Stations'!$AK$72)&gt;0,'01_Stations'!$AK$72,"")</f>
        <v/>
      </c>
      <c r="AE83" s="164" t="str">
        <f>IF(N('01_Stations'!$AK$73)&gt;0,'01_Stations'!$AK$73,"")</f>
        <v/>
      </c>
      <c r="AF83" s="164" t="str">
        <f>IF(N('01_Stations'!$AK$74)&gt;0,'01_Stations'!$AK$74,"")</f>
        <v/>
      </c>
      <c r="AG83" s="164" t="str">
        <f>IF(N('01_Stations'!$AK$75)&gt;0,'01_Stations'!$AK$75,"")</f>
        <v/>
      </c>
      <c r="AH83" s="164" t="str">
        <f>IF(N('01_Stations'!$AK$76)&gt;0,'01_Stations'!$AK$76,"")</f>
        <v/>
      </c>
      <c r="AI83" s="164" t="str">
        <f>IF(N('01_Stations'!$AK$77)&gt;0,'01_Stations'!$AK$77,"")</f>
        <v/>
      </c>
      <c r="AJ83" s="164" t="str">
        <f>IF(N('01_Stations'!$AK$78)&gt;0,'01_Stations'!$AK$78,"")</f>
        <v/>
      </c>
      <c r="AK83" s="164" t="str">
        <f>IF(N('01_Stations'!$AK$79)&gt;0,'01_Stations'!$AK$79,"")</f>
        <v/>
      </c>
      <c r="AL83" s="164" t="str">
        <f>IF(N('01_Stations'!$AK$80)&gt;0,'01_Stations'!$AK$80,"")</f>
        <v/>
      </c>
      <c r="AM83" s="164" t="str">
        <f>IF(N('01_Stations'!$AK$81)&gt;0,'01_Stations'!$AK$81,"")</f>
        <v/>
      </c>
      <c r="AN83" s="164" t="str">
        <f>IF(N('01_Stations'!$AK$82)&gt;0,'01_Stations'!$AK$82,"")</f>
        <v/>
      </c>
      <c r="AO83" s="164" t="str">
        <f>IF(N('01_Stations'!$AK$83)&gt;0,'01_Stations'!$AK$83,"")</f>
        <v/>
      </c>
      <c r="AP83" s="164" t="str">
        <f>IF(N('01_Stations'!$AK$84)&gt;0,'01_Stations'!$AK$84,"")</f>
        <v/>
      </c>
      <c r="AQ83" s="164" t="str">
        <f>IF(N('01_Stations'!$AK$85)&gt;0,'01_Stations'!$AK$85,"")</f>
        <v/>
      </c>
    </row>
    <row r="84" spans="1:43" ht="15" customHeight="1" x14ac:dyDescent="0.3">
      <c r="A84" s="236"/>
      <c r="B84" s="165" t="s">
        <v>295</v>
      </c>
      <c r="C84" s="166" t="s">
        <v>299</v>
      </c>
      <c r="D84" s="164" t="str">
        <f>IF(N('01_Stations'!$AL$46)&gt;0,'01_Stations'!$AL$46,"")</f>
        <v/>
      </c>
      <c r="E84" s="164" t="str">
        <f>IF(N('01_Stations'!$AL$47)&gt;0,'01_Stations'!$AL$47,"")</f>
        <v/>
      </c>
      <c r="F84" s="164" t="str">
        <f>IF(N('01_Stations'!$AL$48)&gt;0,'01_Stations'!$AL$48,"")</f>
        <v/>
      </c>
      <c r="G84" s="164" t="str">
        <f>IF(N('01_Stations'!$AL$49)&gt;0,'01_Stations'!$AL$49,"")</f>
        <v/>
      </c>
      <c r="H84" s="164" t="str">
        <f>IF(N('01_Stations'!$AL$50)&gt;0,'01_Stations'!$AL$50,"")</f>
        <v/>
      </c>
      <c r="I84" s="164" t="str">
        <f>IF(N('01_Stations'!$AL$51)&gt;0,'01_Stations'!$AL$51,"")</f>
        <v/>
      </c>
      <c r="J84" s="164" t="str">
        <f>IF(N('01_Stations'!$AL$52)&gt;0,'01_Stations'!$AL$52,"")</f>
        <v/>
      </c>
      <c r="K84" s="164" t="str">
        <f>IF(N('01_Stations'!$AL$53)&gt;0,'01_Stations'!$AL$53,"")</f>
        <v/>
      </c>
      <c r="L84" s="164" t="str">
        <f>IF(N('01_Stations'!$AL$54)&gt;0,'01_Stations'!$AL$54,"")</f>
        <v/>
      </c>
      <c r="M84" s="164" t="str">
        <f>IF(N('01_Stations'!$AL$55)&gt;0,'01_Stations'!$AL$55,"")</f>
        <v/>
      </c>
      <c r="N84" s="164" t="str">
        <f>IF(N('01_Stations'!$AL$56)&gt;0,'01_Stations'!$AL$56,"")</f>
        <v/>
      </c>
      <c r="O84" s="164" t="str">
        <f>IF(N('01_Stations'!$AL$57)&gt;0,'01_Stations'!$AL$57,"")</f>
        <v/>
      </c>
      <c r="P84" s="164" t="str">
        <f>IF(N('01_Stations'!$AL$58)&gt;0,'01_Stations'!$AL$58,"")</f>
        <v/>
      </c>
      <c r="Q84" s="164" t="str">
        <f>IF(N('01_Stations'!$AL$59)&gt;0,'01_Stations'!$AL$59,"")</f>
        <v/>
      </c>
      <c r="R84" s="164" t="str">
        <f>IF(N('01_Stations'!$AL$60)&gt;0,'01_Stations'!$AL$60,"")</f>
        <v/>
      </c>
      <c r="S84" s="164" t="str">
        <f>IF(N('01_Stations'!$AL$61)&gt;0,'01_Stations'!$AL$61,"")</f>
        <v/>
      </c>
      <c r="T84" s="164" t="str">
        <f>IF(N('01_Stations'!$AL$62)&gt;0,'01_Stations'!$AL$62,"")</f>
        <v/>
      </c>
      <c r="U84" s="164" t="str">
        <f>IF(N('01_Stations'!$AL$63)&gt;0,'01_Stations'!$AL$63,"")</f>
        <v/>
      </c>
      <c r="V84" s="164" t="str">
        <f>IF(N('01_Stations'!$AL$64)&gt;0,'01_Stations'!$AL$64,"")</f>
        <v/>
      </c>
      <c r="W84" s="164" t="str">
        <f>IF(N('01_Stations'!$AL$65)&gt;0,'01_Stations'!$AL$65,"")</f>
        <v/>
      </c>
      <c r="X84" s="164" t="str">
        <f>IF(N('01_Stations'!$AL$66)&gt;0,'01_Stations'!$AL$66,"")</f>
        <v/>
      </c>
      <c r="Y84" s="164" t="str">
        <f>IF(N('01_Stations'!$AL$67)&gt;0,'01_Stations'!$AL$67,"")</f>
        <v/>
      </c>
      <c r="Z84" s="164" t="str">
        <f>IF(N('01_Stations'!$AL$68)&gt;0,'01_Stations'!$AL$68,"")</f>
        <v/>
      </c>
      <c r="AA84" s="164" t="str">
        <f>IF(N('01_Stations'!$AL$69)&gt;0,'01_Stations'!$AL$69,"")</f>
        <v/>
      </c>
      <c r="AB84" s="164" t="str">
        <f>IF(N('01_Stations'!$AL$70)&gt;0,'01_Stations'!$AL$70,"")</f>
        <v/>
      </c>
      <c r="AC84" s="164" t="str">
        <f>IF(N('01_Stations'!$AL$71)&gt;0,'01_Stations'!$AL$71,"")</f>
        <v/>
      </c>
      <c r="AD84" s="164" t="str">
        <f>IF(N('01_Stations'!$AL$72)&gt;0,'01_Stations'!$AL$72,"")</f>
        <v/>
      </c>
      <c r="AE84" s="164" t="str">
        <f>IF(N('01_Stations'!$AL$73)&gt;0,'01_Stations'!$AL$73,"")</f>
        <v/>
      </c>
      <c r="AF84" s="164" t="str">
        <f>IF(N('01_Stations'!$AL$74)&gt;0,'01_Stations'!$AL$74,"")</f>
        <v/>
      </c>
      <c r="AG84" s="164" t="str">
        <f>IF(N('01_Stations'!$AL$75)&gt;0,'01_Stations'!$AL$75,"")</f>
        <v/>
      </c>
      <c r="AH84" s="164" t="str">
        <f>IF(N('01_Stations'!$AL$76)&gt;0,'01_Stations'!$AL$76,"")</f>
        <v/>
      </c>
      <c r="AI84" s="164" t="str">
        <f>IF(N('01_Stations'!$AL$77)&gt;0,'01_Stations'!$AL$77,"")</f>
        <v/>
      </c>
      <c r="AJ84" s="164" t="str">
        <f>IF(N('01_Stations'!$AL$78)&gt;0,'01_Stations'!$AL$78,"")</f>
        <v/>
      </c>
      <c r="AK84" s="164" t="str">
        <f>IF(N('01_Stations'!$AL$79)&gt;0,'01_Stations'!$AL$79,"")</f>
        <v/>
      </c>
      <c r="AL84" s="164" t="str">
        <f>IF(N('01_Stations'!$AL$80)&gt;0,'01_Stations'!$AL$80,"")</f>
        <v/>
      </c>
      <c r="AM84" s="164" t="str">
        <f>IF(N('01_Stations'!$AL$81)&gt;0,'01_Stations'!$AL$81,"")</f>
        <v/>
      </c>
      <c r="AN84" s="164" t="str">
        <f>IF(N('01_Stations'!$AL$82)&gt;0,'01_Stations'!$AL$82,"")</f>
        <v/>
      </c>
      <c r="AO84" s="164" t="str">
        <f>IF(N('01_Stations'!$AL$83)&gt;0,'01_Stations'!$AL$83,"")</f>
        <v/>
      </c>
      <c r="AP84" s="164" t="str">
        <f>IF(N('01_Stations'!$AL$84)&gt;0,'01_Stations'!$AL$84,"")</f>
        <v/>
      </c>
      <c r="AQ84" s="164" t="str">
        <f>IF(N('01_Stations'!$AL$85)&gt;0,'01_Stations'!$AL$85,"")</f>
        <v/>
      </c>
    </row>
    <row r="85" spans="1:43" ht="15" customHeight="1" x14ac:dyDescent="0.3">
      <c r="A85" s="236"/>
      <c r="B85" s="165" t="s">
        <v>230</v>
      </c>
      <c r="C85" s="166"/>
      <c r="D85" s="164" t="str">
        <f>IF('01_Stations'!$AM$46=1,"───","")</f>
        <v/>
      </c>
      <c r="E85" s="164" t="str">
        <f>IF('01_Stations'!$AM$47=1,"───","")</f>
        <v/>
      </c>
      <c r="F85" s="164" t="str">
        <f>IF('01_Stations'!$AM$48=1,"───","")</f>
        <v/>
      </c>
      <c r="G85" s="164" t="str">
        <f>IF('01_Stations'!$AM$49=1,"───","")</f>
        <v/>
      </c>
      <c r="H85" s="164" t="str">
        <f>IF('01_Stations'!$AM$50=1,"───","")</f>
        <v/>
      </c>
      <c r="I85" s="164" t="str">
        <f>IF('01_Stations'!$AM$51=1,"───","")</f>
        <v/>
      </c>
      <c r="J85" s="164" t="str">
        <f>IF('01_Stations'!$AM$52=1,"───","")</f>
        <v/>
      </c>
      <c r="K85" s="164" t="str">
        <f>IF('01_Stations'!$AM$53=1,"───","")</f>
        <v/>
      </c>
      <c r="L85" s="164" t="str">
        <f>IF('01_Stations'!$AM$54=1,"───","")</f>
        <v/>
      </c>
      <c r="M85" s="164" t="str">
        <f>IF('01_Stations'!$AM$55=1,"───","")</f>
        <v/>
      </c>
      <c r="N85" s="164" t="str">
        <f>IF('01_Stations'!$AM$56=1,"───","")</f>
        <v/>
      </c>
      <c r="O85" s="164" t="str">
        <f>IF('01_Stations'!$AM$57=1,"───","")</f>
        <v/>
      </c>
      <c r="P85" s="164" t="str">
        <f>IF('01_Stations'!$AM$58=1,"───","")</f>
        <v/>
      </c>
      <c r="Q85" s="164" t="str">
        <f>IF('01_Stations'!$AM$59=1,"───","")</f>
        <v/>
      </c>
      <c r="R85" s="164" t="str">
        <f>IF('01_Stations'!$AM$60=1,"───","")</f>
        <v/>
      </c>
      <c r="S85" s="164" t="str">
        <f>IF('01_Stations'!$AM$61=1,"───","")</f>
        <v/>
      </c>
      <c r="T85" s="164" t="str">
        <f>IF('01_Stations'!$AM$62=1,"───","")</f>
        <v/>
      </c>
      <c r="U85" s="164" t="str">
        <f>IF('01_Stations'!$AM$63=1,"───","")</f>
        <v/>
      </c>
      <c r="V85" s="164" t="str">
        <f>IF('01_Stations'!$AM$64=1,"───","")</f>
        <v/>
      </c>
      <c r="W85" s="164" t="str">
        <f>IF('01_Stations'!$AM$65=1,"───","")</f>
        <v/>
      </c>
      <c r="X85" s="164" t="str">
        <f>IF('01_Stations'!$AM$66=1,"───","")</f>
        <v/>
      </c>
      <c r="Y85" s="164" t="str">
        <f>IF('01_Stations'!$AM$67=1,"───","")</f>
        <v/>
      </c>
      <c r="Z85" s="164" t="str">
        <f>IF('01_Stations'!$AM$68=1,"───","")</f>
        <v/>
      </c>
      <c r="AA85" s="164" t="str">
        <f>IF('01_Stations'!$AM$69=1,"───","")</f>
        <v/>
      </c>
      <c r="AB85" s="164" t="str">
        <f>IF('01_Stations'!$AM$70=1,"───","")</f>
        <v/>
      </c>
      <c r="AC85" s="164" t="str">
        <f>IF('01_Stations'!$AM$71=1,"───","")</f>
        <v/>
      </c>
      <c r="AD85" s="164" t="str">
        <f>IF('01_Stations'!$AM$72=1,"───","")</f>
        <v/>
      </c>
      <c r="AE85" s="164" t="str">
        <f>IF('01_Stations'!$AM$73=1,"───","")</f>
        <v/>
      </c>
      <c r="AF85" s="164" t="str">
        <f>IF('01_Stations'!$AM$74=1,"───","")</f>
        <v/>
      </c>
      <c r="AG85" s="164" t="str">
        <f>IF('01_Stations'!$AM$75=1,"───","")</f>
        <v/>
      </c>
      <c r="AH85" s="164" t="str">
        <f>IF('01_Stations'!$AM$76=1,"───","")</f>
        <v/>
      </c>
      <c r="AI85" s="164" t="str">
        <f>IF('01_Stations'!$AM$77=1,"───","")</f>
        <v/>
      </c>
      <c r="AJ85" s="164" t="str">
        <f>IF('01_Stations'!$AM$78=1,"───","")</f>
        <v/>
      </c>
      <c r="AK85" s="164" t="str">
        <f>IF('01_Stations'!$AM$79=1,"───","")</f>
        <v/>
      </c>
      <c r="AL85" s="164" t="str">
        <f>IF('01_Stations'!$AM$80=1,"───","")</f>
        <v/>
      </c>
      <c r="AM85" s="164" t="str">
        <f>IF('01_Stations'!$AM$81=1,"───","")</f>
        <v/>
      </c>
      <c r="AN85" s="164" t="str">
        <f>IF('01_Stations'!$AM$82=1,"───","")</f>
        <v/>
      </c>
      <c r="AO85" s="164" t="str">
        <f>IF('01_Stations'!$AM$83=1,"───","")</f>
        <v/>
      </c>
      <c r="AP85" s="164" t="str">
        <f>IF('01_Stations'!$AM$84=1,"───","")</f>
        <v/>
      </c>
      <c r="AQ85" s="164" t="str">
        <f>IF('01_Stations'!$AM$85=1,"───","")</f>
        <v/>
      </c>
    </row>
    <row r="86" spans="1:43" ht="15" customHeight="1" x14ac:dyDescent="0.3">
      <c r="A86" s="236"/>
      <c r="B86" s="165" t="s">
        <v>231</v>
      </c>
      <c r="C86" s="166"/>
      <c r="D86" s="164" t="str">
        <f>IF('01_Stations'!$AN$46=1,"───","")</f>
        <v/>
      </c>
      <c r="E86" s="164" t="str">
        <f>IF('01_Stations'!$AN$47=1,"───","")</f>
        <v/>
      </c>
      <c r="F86" s="164" t="str">
        <f>IF('01_Stations'!$AN$48=1,"───","")</f>
        <v/>
      </c>
      <c r="G86" s="164" t="str">
        <f>IF('01_Stations'!$AN$49=1,"───","")</f>
        <v/>
      </c>
      <c r="H86" s="164" t="str">
        <f>IF('01_Stations'!$AN$50=1,"───","")</f>
        <v/>
      </c>
      <c r="I86" s="164" t="str">
        <f>IF('01_Stations'!$AN$51=1,"───","")</f>
        <v/>
      </c>
      <c r="J86" s="164" t="str">
        <f>IF('01_Stations'!$AN$52=1,"───","")</f>
        <v/>
      </c>
      <c r="K86" s="164" t="str">
        <f>IF('01_Stations'!$AN$53=1,"───","")</f>
        <v/>
      </c>
      <c r="L86" s="164" t="str">
        <f>IF('01_Stations'!$AN$54=1,"───","")</f>
        <v/>
      </c>
      <c r="M86" s="164" t="str">
        <f>IF('01_Stations'!$AN$55=1,"───","")</f>
        <v/>
      </c>
      <c r="N86" s="164" t="str">
        <f>IF('01_Stations'!$AN$56=1,"───","")</f>
        <v/>
      </c>
      <c r="O86" s="164" t="str">
        <f>IF('01_Stations'!$AN$57=1,"───","")</f>
        <v/>
      </c>
      <c r="P86" s="164" t="str">
        <f>IF('01_Stations'!$AN$58=1,"───","")</f>
        <v/>
      </c>
      <c r="Q86" s="164" t="str">
        <f>IF('01_Stations'!$AN$59=1,"───","")</f>
        <v/>
      </c>
      <c r="R86" s="164" t="str">
        <f>IF('01_Stations'!$AN$60=1,"───","")</f>
        <v/>
      </c>
      <c r="S86" s="164" t="str">
        <f>IF('01_Stations'!$AN$61=1,"───","")</f>
        <v/>
      </c>
      <c r="T86" s="164" t="str">
        <f>IF('01_Stations'!$AN$62=1,"───","")</f>
        <v/>
      </c>
      <c r="U86" s="164" t="str">
        <f>IF('01_Stations'!$AN$63=1,"───","")</f>
        <v/>
      </c>
      <c r="V86" s="164" t="str">
        <f>IF('01_Stations'!$AN$64=1,"───","")</f>
        <v/>
      </c>
      <c r="W86" s="164" t="str">
        <f>IF('01_Stations'!$AN$65=1,"───","")</f>
        <v/>
      </c>
      <c r="X86" s="164" t="str">
        <f>IF('01_Stations'!$AN$66=1,"───","")</f>
        <v/>
      </c>
      <c r="Y86" s="164" t="str">
        <f>IF('01_Stations'!$AN$67=1,"───","")</f>
        <v/>
      </c>
      <c r="Z86" s="164" t="str">
        <f>IF('01_Stations'!$AN$68=1,"───","")</f>
        <v/>
      </c>
      <c r="AA86" s="164" t="str">
        <f>IF('01_Stations'!$AN$69=1,"───","")</f>
        <v/>
      </c>
      <c r="AB86" s="164" t="str">
        <f>IF('01_Stations'!$AN$70=1,"───","")</f>
        <v/>
      </c>
      <c r="AC86" s="164" t="str">
        <f>IF('01_Stations'!$AN$71=1,"───","")</f>
        <v/>
      </c>
      <c r="AD86" s="164" t="str">
        <f>IF('01_Stations'!$AN$72=1,"───","")</f>
        <v/>
      </c>
      <c r="AE86" s="164" t="str">
        <f>IF('01_Stations'!$AN$73=1,"───","")</f>
        <v/>
      </c>
      <c r="AF86" s="164" t="str">
        <f>IF('01_Stations'!$AN$74=1,"───","")</f>
        <v/>
      </c>
      <c r="AG86" s="164" t="str">
        <f>IF('01_Stations'!$AN$75=1,"───","")</f>
        <v/>
      </c>
      <c r="AH86" s="164" t="str">
        <f>IF('01_Stations'!$AN$76=1,"───","")</f>
        <v/>
      </c>
      <c r="AI86" s="164" t="str">
        <f>IF('01_Stations'!$AN$77=1,"───","")</f>
        <v/>
      </c>
      <c r="AJ86" s="164" t="str">
        <f>IF('01_Stations'!$AN$78=1,"───","")</f>
        <v/>
      </c>
      <c r="AK86" s="164" t="str">
        <f>IF('01_Stations'!$AN$79=1,"───","")</f>
        <v/>
      </c>
      <c r="AL86" s="164" t="str">
        <f>IF('01_Stations'!$AN$80=1,"───","")</f>
        <v/>
      </c>
      <c r="AM86" s="164" t="str">
        <f>IF('01_Stations'!$AN$81=1,"───","")</f>
        <v/>
      </c>
      <c r="AN86" s="164" t="str">
        <f>IF('01_Stations'!$AN$82=1,"───","")</f>
        <v/>
      </c>
      <c r="AO86" s="164" t="str">
        <f>IF('01_Stations'!$AN$83=1,"───","")</f>
        <v/>
      </c>
      <c r="AP86" s="164" t="str">
        <f>IF('01_Stations'!$AN$84=1,"───","")</f>
        <v/>
      </c>
      <c r="AQ86" s="164" t="str">
        <f>IF('01_Stations'!$AN$85=1,"───","")</f>
        <v/>
      </c>
    </row>
    <row r="87" spans="1:43" ht="15" customHeight="1" x14ac:dyDescent="0.3">
      <c r="A87" s="237"/>
      <c r="B87" s="165" t="s">
        <v>232</v>
      </c>
      <c r="C87" s="166"/>
      <c r="D87" s="164" t="str">
        <f>IF('01_Stations'!$AO$46=1,"───","")</f>
        <v/>
      </c>
      <c r="E87" s="164" t="str">
        <f>IF('01_Stations'!$AO$47=1,"───","")</f>
        <v/>
      </c>
      <c r="F87" s="164" t="str">
        <f>IF('01_Stations'!$AO$48=1,"───","")</f>
        <v/>
      </c>
      <c r="G87" s="164" t="str">
        <f>IF('01_Stations'!$AO$49=1,"───","")</f>
        <v/>
      </c>
      <c r="H87" s="164" t="str">
        <f>IF('01_Stations'!$AO$50=1,"───","")</f>
        <v/>
      </c>
      <c r="I87" s="164" t="str">
        <f>IF('01_Stations'!$AO$51=1,"───","")</f>
        <v/>
      </c>
      <c r="J87" s="164" t="str">
        <f>IF('01_Stations'!$AO$52=1,"───","")</f>
        <v/>
      </c>
      <c r="K87" s="164" t="str">
        <f>IF('01_Stations'!$AO$53=1,"───","")</f>
        <v/>
      </c>
      <c r="L87" s="164" t="str">
        <f>IF('01_Stations'!$AO$54=1,"───","")</f>
        <v/>
      </c>
      <c r="M87" s="164" t="str">
        <f>IF('01_Stations'!$AO$55=1,"───","")</f>
        <v/>
      </c>
      <c r="N87" s="164" t="str">
        <f>IF('01_Stations'!$AO$56=1,"───","")</f>
        <v/>
      </c>
      <c r="O87" s="164" t="str">
        <f>IF('01_Stations'!$AO$57=1,"───","")</f>
        <v/>
      </c>
      <c r="P87" s="164" t="str">
        <f>IF('01_Stations'!$AO$58=1,"───","")</f>
        <v/>
      </c>
      <c r="Q87" s="164" t="str">
        <f>IF('01_Stations'!$AO$59=1,"───","")</f>
        <v/>
      </c>
      <c r="R87" s="164" t="str">
        <f>IF('01_Stations'!$AO$60=1,"───","")</f>
        <v/>
      </c>
      <c r="S87" s="164" t="str">
        <f>IF('01_Stations'!$AO$61=1,"───","")</f>
        <v/>
      </c>
      <c r="T87" s="164" t="str">
        <f>IF('01_Stations'!$AO$62=1,"───","")</f>
        <v/>
      </c>
      <c r="U87" s="164" t="str">
        <f>IF('01_Stations'!$AO$63=1,"───","")</f>
        <v/>
      </c>
      <c r="V87" s="164" t="str">
        <f>IF('01_Stations'!$AO$64=1,"───","")</f>
        <v/>
      </c>
      <c r="W87" s="164" t="str">
        <f>IF('01_Stations'!$AO$65=1,"───","")</f>
        <v/>
      </c>
      <c r="X87" s="164" t="str">
        <f>IF('01_Stations'!$AO$66=1,"───","")</f>
        <v/>
      </c>
      <c r="Y87" s="164" t="str">
        <f>IF('01_Stations'!$AO$67=1,"───","")</f>
        <v/>
      </c>
      <c r="Z87" s="164" t="str">
        <f>IF('01_Stations'!$AO$68=1,"───","")</f>
        <v/>
      </c>
      <c r="AA87" s="164" t="str">
        <f>IF('01_Stations'!$AO$69=1,"───","")</f>
        <v/>
      </c>
      <c r="AB87" s="164" t="str">
        <f>IF('01_Stations'!$AO$70=1,"───","")</f>
        <v/>
      </c>
      <c r="AC87" s="164" t="str">
        <f>IF('01_Stations'!$AO$71=1,"───","")</f>
        <v/>
      </c>
      <c r="AD87" s="164" t="str">
        <f>IF('01_Stations'!$AO$72=1,"───","")</f>
        <v/>
      </c>
      <c r="AE87" s="164" t="str">
        <f>IF('01_Stations'!$AO$73=1,"───","")</f>
        <v/>
      </c>
      <c r="AF87" s="164" t="str">
        <f>IF('01_Stations'!$AO$74=1,"───","")</f>
        <v/>
      </c>
      <c r="AG87" s="164" t="str">
        <f>IF('01_Stations'!$AO$75=1,"───","")</f>
        <v/>
      </c>
      <c r="AH87" s="164" t="str">
        <f>IF('01_Stations'!$AO$76=1,"───","")</f>
        <v/>
      </c>
      <c r="AI87" s="164" t="str">
        <f>IF('01_Stations'!$AO$77=1,"───","")</f>
        <v/>
      </c>
      <c r="AJ87" s="164" t="str">
        <f>IF('01_Stations'!$AO$78=1,"───","")</f>
        <v/>
      </c>
      <c r="AK87" s="164" t="str">
        <f>IF('01_Stations'!$AO$79=1,"───","")</f>
        <v/>
      </c>
      <c r="AL87" s="164" t="str">
        <f>IF('01_Stations'!$AO$80=1,"───","")</f>
        <v/>
      </c>
      <c r="AM87" s="164" t="str">
        <f>IF('01_Stations'!$AO$81=1,"───","")</f>
        <v/>
      </c>
      <c r="AN87" s="164" t="str">
        <f>IF('01_Stations'!$AO$82=1,"───","")</f>
        <v/>
      </c>
      <c r="AO87" s="164" t="str">
        <f>IF('01_Stations'!$AO$83=1,"───","")</f>
        <v/>
      </c>
      <c r="AP87" s="164" t="str">
        <f>IF('01_Stations'!$AO$84=1,"───","")</f>
        <v/>
      </c>
      <c r="AQ87" s="164" t="str">
        <f>IF('01_Stations'!$AO$85=1,"───","")</f>
        <v/>
      </c>
    </row>
    <row r="88" spans="1:43" x14ac:dyDescent="0.3">
      <c r="A88" s="64"/>
      <c r="B88" s="64"/>
      <c r="C88" s="64"/>
      <c r="D88" s="106"/>
      <c r="E88" s="106"/>
      <c r="F88" s="106"/>
      <c r="G88" s="106"/>
      <c r="H88" s="106"/>
      <c r="I88" s="106"/>
      <c r="J88" s="106"/>
      <c r="K88" s="106"/>
      <c r="L88" s="106"/>
      <c r="M88" s="106"/>
      <c r="N88" s="106"/>
      <c r="O88" s="106"/>
      <c r="P88" s="106"/>
      <c r="Q88" s="106"/>
      <c r="R88" s="106"/>
      <c r="S88" s="106"/>
      <c r="T88" s="106"/>
      <c r="U88" s="106"/>
      <c r="V88" s="106"/>
      <c r="W88" s="106"/>
      <c r="X88" s="106"/>
      <c r="Y88" s="106"/>
      <c r="Z88" s="106"/>
      <c r="AA88" s="106"/>
      <c r="AB88" s="106"/>
      <c r="AC88" s="106"/>
      <c r="AD88" s="106"/>
      <c r="AE88" s="106"/>
      <c r="AF88" s="106"/>
      <c r="AG88" s="106"/>
      <c r="AH88" s="106"/>
      <c r="AI88" s="106"/>
      <c r="AJ88" s="106"/>
      <c r="AK88" s="106"/>
      <c r="AL88" s="106"/>
      <c r="AM88" s="106"/>
      <c r="AN88" s="106"/>
      <c r="AO88" s="106"/>
      <c r="AP88" s="106"/>
      <c r="AQ88" s="106"/>
    </row>
    <row r="89" spans="1:43" ht="15" customHeight="1" thickBot="1" x14ac:dyDescent="0.35">
      <c r="A89" s="64"/>
      <c r="B89" s="64"/>
      <c r="C89" s="64"/>
      <c r="D89" s="106"/>
      <c r="E89" s="106"/>
      <c r="F89" s="106"/>
      <c r="G89" s="106"/>
      <c r="H89" s="106"/>
      <c r="I89" s="106"/>
      <c r="J89" s="106"/>
      <c r="K89" s="106"/>
      <c r="L89" s="106"/>
      <c r="M89" s="106"/>
      <c r="N89" s="106"/>
      <c r="O89" s="106"/>
      <c r="P89" s="106"/>
      <c r="Q89" s="106"/>
      <c r="R89" s="106"/>
      <c r="S89" s="106"/>
      <c r="T89" s="106"/>
      <c r="U89" s="106"/>
      <c r="V89" s="106"/>
      <c r="W89" s="106"/>
      <c r="X89" s="106"/>
      <c r="Y89" s="106"/>
      <c r="Z89" s="106"/>
      <c r="AA89" s="106"/>
      <c r="AB89" s="106"/>
      <c r="AC89" s="106"/>
      <c r="AD89" s="106"/>
      <c r="AE89" s="106"/>
      <c r="AF89" s="106"/>
      <c r="AG89" s="106"/>
      <c r="AH89" s="106"/>
      <c r="AI89" s="106"/>
      <c r="AJ89" s="106"/>
      <c r="AK89" s="106"/>
      <c r="AL89" s="106"/>
      <c r="AM89" s="106"/>
      <c r="AN89" s="106"/>
      <c r="AO89" s="106"/>
      <c r="AP89" s="106"/>
      <c r="AQ89" s="106"/>
    </row>
    <row r="90" spans="1:43" ht="19.95" customHeight="1" thickBot="1" x14ac:dyDescent="0.35">
      <c r="A90" s="174" t="s">
        <v>2225</v>
      </c>
      <c r="B90" s="172"/>
      <c r="C90" s="172"/>
      <c r="D90" s="173" t="str">
        <f>IF(P_Length_km*1000&lt;=4000,"— beyond the end of the road —","")</f>
        <v>— beyond the end of the road —</v>
      </c>
      <c r="E90" s="173"/>
      <c r="F90" s="173"/>
      <c r="G90" s="173"/>
      <c r="H90" s="173"/>
      <c r="I90" s="173"/>
      <c r="J90" s="173"/>
      <c r="K90" s="173"/>
      <c r="L90" s="173"/>
      <c r="M90" s="173"/>
      <c r="N90" s="173"/>
      <c r="O90" s="173"/>
      <c r="P90" s="173"/>
      <c r="Q90" s="173"/>
      <c r="R90" s="173"/>
      <c r="S90" s="173"/>
      <c r="T90" s="173"/>
      <c r="U90" s="173"/>
      <c r="V90" s="173"/>
      <c r="W90" s="173"/>
      <c r="X90" s="173"/>
      <c r="Y90" s="173"/>
      <c r="Z90" s="173"/>
      <c r="AA90" s="173"/>
      <c r="AB90" s="173"/>
      <c r="AC90" s="173"/>
      <c r="AD90" s="173"/>
      <c r="AE90" s="173"/>
      <c r="AF90" s="173"/>
      <c r="AG90" s="173"/>
      <c r="AH90" s="173"/>
      <c r="AI90" s="173"/>
      <c r="AJ90" s="173"/>
      <c r="AK90" s="173"/>
      <c r="AL90" s="173"/>
      <c r="AM90" s="173"/>
      <c r="AN90" s="173"/>
      <c r="AO90" s="173"/>
      <c r="AP90" s="173"/>
      <c r="AQ90" s="175"/>
    </row>
    <row r="91" spans="1:43" x14ac:dyDescent="0.3">
      <c r="A91" s="170" t="s">
        <v>2226</v>
      </c>
      <c r="B91" s="170"/>
      <c r="C91" s="170" t="s">
        <v>2204</v>
      </c>
      <c r="D91" s="171">
        <v>0</v>
      </c>
      <c r="E91" s="171"/>
      <c r="F91" s="171">
        <v>100</v>
      </c>
      <c r="G91" s="171"/>
      <c r="H91" s="171">
        <v>200</v>
      </c>
      <c r="I91" s="171"/>
      <c r="J91" s="171">
        <v>300</v>
      </c>
      <c r="K91" s="171"/>
      <c r="L91" s="171">
        <v>400</v>
      </c>
      <c r="M91" s="171"/>
      <c r="N91" s="171">
        <v>500</v>
      </c>
      <c r="O91" s="171"/>
      <c r="P91" s="171">
        <v>600</v>
      </c>
      <c r="Q91" s="171"/>
      <c r="R91" s="171">
        <v>700</v>
      </c>
      <c r="S91" s="171"/>
      <c r="T91" s="171">
        <v>800</v>
      </c>
      <c r="U91" s="171"/>
      <c r="V91" s="171">
        <v>900</v>
      </c>
      <c r="W91" s="171"/>
      <c r="X91" s="171">
        <v>0</v>
      </c>
      <c r="Y91" s="171"/>
      <c r="Z91" s="171">
        <v>100</v>
      </c>
      <c r="AA91" s="171"/>
      <c r="AB91" s="171">
        <v>200</v>
      </c>
      <c r="AC91" s="171"/>
      <c r="AD91" s="171">
        <v>300</v>
      </c>
      <c r="AE91" s="171"/>
      <c r="AF91" s="171">
        <v>400</v>
      </c>
      <c r="AG91" s="171"/>
      <c r="AH91" s="171">
        <v>500</v>
      </c>
      <c r="AI91" s="171"/>
      <c r="AJ91" s="171">
        <v>600</v>
      </c>
      <c r="AK91" s="171"/>
      <c r="AL91" s="171">
        <v>700</v>
      </c>
      <c r="AM91" s="171"/>
      <c r="AN91" s="171">
        <v>800</v>
      </c>
      <c r="AO91" s="171"/>
      <c r="AP91" s="171">
        <v>900</v>
      </c>
      <c r="AQ91" s="171"/>
    </row>
    <row r="92" spans="1:43" ht="15" customHeight="1" x14ac:dyDescent="0.3">
      <c r="A92" s="235" t="s">
        <v>2205</v>
      </c>
      <c r="B92" s="167" t="s">
        <v>263</v>
      </c>
      <c r="C92" s="168"/>
      <c r="D92" s="169" t="str">
        <f>IF('01_Stations'!$D$86=1,"▓","")</f>
        <v/>
      </c>
      <c r="E92" s="169" t="str">
        <f>IF('01_Stations'!$D$87=1,"▓","")</f>
        <v/>
      </c>
      <c r="F92" s="169" t="str">
        <f>IF('01_Stations'!$D$88=1,"▓","")</f>
        <v/>
      </c>
      <c r="G92" s="169" t="str">
        <f>IF('01_Stations'!$D$89=1,"▓","")</f>
        <v/>
      </c>
      <c r="H92" s="169" t="str">
        <f>IF('01_Stations'!$D$90=1,"▓","")</f>
        <v/>
      </c>
      <c r="I92" s="169" t="str">
        <f>IF('01_Stations'!$D$91=1,"▓","")</f>
        <v/>
      </c>
      <c r="J92" s="169" t="str">
        <f>IF('01_Stations'!$D$92=1,"▓","")</f>
        <v/>
      </c>
      <c r="K92" s="169" t="str">
        <f>IF('01_Stations'!$D$93=1,"▓","")</f>
        <v/>
      </c>
      <c r="L92" s="169" t="str">
        <f>IF('01_Stations'!$D$94=1,"▓","")</f>
        <v/>
      </c>
      <c r="M92" s="169" t="str">
        <f>IF('01_Stations'!$D$95=1,"▓","")</f>
        <v/>
      </c>
      <c r="N92" s="169" t="str">
        <f>IF('01_Stations'!$D$96=1,"▓","")</f>
        <v/>
      </c>
      <c r="O92" s="169" t="str">
        <f>IF('01_Stations'!$D$97=1,"▓","")</f>
        <v/>
      </c>
      <c r="P92" s="169" t="str">
        <f>IF('01_Stations'!$D$98=1,"▓","")</f>
        <v/>
      </c>
      <c r="Q92" s="169" t="str">
        <f>IF('01_Stations'!$D$99=1,"▓","")</f>
        <v/>
      </c>
      <c r="R92" s="169" t="str">
        <f>IF('01_Stations'!$D$100=1,"▓","")</f>
        <v/>
      </c>
      <c r="S92" s="169" t="str">
        <f>IF('01_Stations'!$D$101=1,"▓","")</f>
        <v/>
      </c>
      <c r="T92" s="169" t="str">
        <f>IF('01_Stations'!$D$102=1,"▓","")</f>
        <v/>
      </c>
      <c r="U92" s="169" t="str">
        <f>IF('01_Stations'!$D$103=1,"▓","")</f>
        <v/>
      </c>
      <c r="V92" s="169" t="str">
        <f>IF('01_Stations'!$D$104=1,"▓","")</f>
        <v/>
      </c>
      <c r="W92" s="169" t="str">
        <f>IF('01_Stations'!$D$105=1,"▓","")</f>
        <v/>
      </c>
      <c r="X92" s="169" t="str">
        <f>IF('01_Stations'!$D$106=1,"▓","")</f>
        <v/>
      </c>
      <c r="Y92" s="169" t="str">
        <f>IF('01_Stations'!$D$107=1,"▓","")</f>
        <v/>
      </c>
      <c r="Z92" s="169" t="str">
        <f>IF('01_Stations'!$D$108=1,"▓","")</f>
        <v/>
      </c>
      <c r="AA92" s="169" t="str">
        <f>IF('01_Stations'!$D$109=1,"▓","")</f>
        <v/>
      </c>
      <c r="AB92" s="169" t="str">
        <f>IF('01_Stations'!$D$110=1,"▓","")</f>
        <v/>
      </c>
      <c r="AC92" s="169" t="str">
        <f>IF('01_Stations'!$D$111=1,"▓","")</f>
        <v/>
      </c>
      <c r="AD92" s="169" t="str">
        <f>IF('01_Stations'!$D$112=1,"▓","")</f>
        <v/>
      </c>
      <c r="AE92" s="169" t="str">
        <f>IF('01_Stations'!$D$113=1,"▓","")</f>
        <v/>
      </c>
      <c r="AF92" s="169" t="str">
        <f>IF('01_Stations'!$D$114=1,"▓","")</f>
        <v/>
      </c>
      <c r="AG92" s="169" t="str">
        <f>IF('01_Stations'!$D$115=1,"▓","")</f>
        <v/>
      </c>
      <c r="AH92" s="169" t="str">
        <f>IF('01_Stations'!$D$116=1,"▓","")</f>
        <v/>
      </c>
      <c r="AI92" s="169" t="str">
        <f>IF('01_Stations'!$D$117=1,"▓","")</f>
        <v/>
      </c>
      <c r="AJ92" s="169" t="str">
        <f>IF('01_Stations'!$D$118=1,"▓","")</f>
        <v/>
      </c>
      <c r="AK92" s="169" t="str">
        <f>IF('01_Stations'!$D$119=1,"▓","")</f>
        <v/>
      </c>
      <c r="AL92" s="169" t="str">
        <f>IF('01_Stations'!$D$120=1,"▓","")</f>
        <v/>
      </c>
      <c r="AM92" s="169" t="str">
        <f>IF('01_Stations'!$D$121=1,"▓","")</f>
        <v/>
      </c>
      <c r="AN92" s="169" t="str">
        <f>IF('01_Stations'!$D$122=1,"▓","")</f>
        <v/>
      </c>
      <c r="AO92" s="169" t="str">
        <f>IF('01_Stations'!$D$123=1,"▓","")</f>
        <v/>
      </c>
      <c r="AP92" s="169" t="str">
        <f>IF('01_Stations'!$D$124=1,"▓","")</f>
        <v/>
      </c>
      <c r="AQ92" s="169" t="str">
        <f>IF('01_Stations'!$D$125=1,"▓","")</f>
        <v/>
      </c>
    </row>
    <row r="93" spans="1:43" ht="15" customHeight="1" x14ac:dyDescent="0.3">
      <c r="A93" s="236"/>
      <c r="B93" s="165" t="s">
        <v>2206</v>
      </c>
      <c r="C93" s="166"/>
      <c r="D93" s="164" t="str">
        <f>IF('01_Stations'!$E$86="","",'01_Stations'!$E$86)</f>
        <v/>
      </c>
      <c r="E93" s="164" t="str">
        <f>IF('01_Stations'!$E$87="","",'01_Stations'!$E$87)</f>
        <v/>
      </c>
      <c r="F93" s="164" t="str">
        <f>IF('01_Stations'!$E$88="","",'01_Stations'!$E$88)</f>
        <v/>
      </c>
      <c r="G93" s="164" t="str">
        <f>IF('01_Stations'!$E$89="","",'01_Stations'!$E$89)</f>
        <v/>
      </c>
      <c r="H93" s="164" t="str">
        <f>IF('01_Stations'!$E$90="","",'01_Stations'!$E$90)</f>
        <v/>
      </c>
      <c r="I93" s="164" t="str">
        <f>IF('01_Stations'!$E$91="","",'01_Stations'!$E$91)</f>
        <v/>
      </c>
      <c r="J93" s="164" t="str">
        <f>IF('01_Stations'!$E$92="","",'01_Stations'!$E$92)</f>
        <v/>
      </c>
      <c r="K93" s="164" t="str">
        <f>IF('01_Stations'!$E$93="","",'01_Stations'!$E$93)</f>
        <v/>
      </c>
      <c r="L93" s="164" t="str">
        <f>IF('01_Stations'!$E$94="","",'01_Stations'!$E$94)</f>
        <v/>
      </c>
      <c r="M93" s="164" t="str">
        <f>IF('01_Stations'!$E$95="","",'01_Stations'!$E$95)</f>
        <v/>
      </c>
      <c r="N93" s="164" t="str">
        <f>IF('01_Stations'!$E$96="","",'01_Stations'!$E$96)</f>
        <v/>
      </c>
      <c r="O93" s="164" t="str">
        <f>IF('01_Stations'!$E$97="","",'01_Stations'!$E$97)</f>
        <v/>
      </c>
      <c r="P93" s="164" t="str">
        <f>IF('01_Stations'!$E$98="","",'01_Stations'!$E$98)</f>
        <v/>
      </c>
      <c r="Q93" s="164" t="str">
        <f>IF('01_Stations'!$E$99="","",'01_Stations'!$E$99)</f>
        <v/>
      </c>
      <c r="R93" s="164" t="str">
        <f>IF('01_Stations'!$E$100="","",'01_Stations'!$E$100)</f>
        <v/>
      </c>
      <c r="S93" s="164" t="str">
        <f>IF('01_Stations'!$E$101="","",'01_Stations'!$E$101)</f>
        <v/>
      </c>
      <c r="T93" s="164" t="str">
        <f>IF('01_Stations'!$E$102="","",'01_Stations'!$E$102)</f>
        <v/>
      </c>
      <c r="U93" s="164" t="str">
        <f>IF('01_Stations'!$E$103="","",'01_Stations'!$E$103)</f>
        <v/>
      </c>
      <c r="V93" s="164" t="str">
        <f>IF('01_Stations'!$E$104="","",'01_Stations'!$E$104)</f>
        <v/>
      </c>
      <c r="W93" s="164" t="str">
        <f>IF('01_Stations'!$E$105="","",'01_Stations'!$E$105)</f>
        <v/>
      </c>
      <c r="X93" s="164" t="str">
        <f>IF('01_Stations'!$E$106="","",'01_Stations'!$E$106)</f>
        <v/>
      </c>
      <c r="Y93" s="164" t="str">
        <f>IF('01_Stations'!$E$107="","",'01_Stations'!$E$107)</f>
        <v/>
      </c>
      <c r="Z93" s="164" t="str">
        <f>IF('01_Stations'!$E$108="","",'01_Stations'!$E$108)</f>
        <v/>
      </c>
      <c r="AA93" s="164" t="str">
        <f>IF('01_Stations'!$E$109="","",'01_Stations'!$E$109)</f>
        <v/>
      </c>
      <c r="AB93" s="164" t="str">
        <f>IF('01_Stations'!$E$110="","",'01_Stations'!$E$110)</f>
        <v/>
      </c>
      <c r="AC93" s="164" t="str">
        <f>IF('01_Stations'!$E$111="","",'01_Stations'!$E$111)</f>
        <v/>
      </c>
      <c r="AD93" s="164" t="str">
        <f>IF('01_Stations'!$E$112="","",'01_Stations'!$E$112)</f>
        <v/>
      </c>
      <c r="AE93" s="164" t="str">
        <f>IF('01_Stations'!$E$113="","",'01_Stations'!$E$113)</f>
        <v/>
      </c>
      <c r="AF93" s="164" t="str">
        <f>IF('01_Stations'!$E$114="","",'01_Stations'!$E$114)</f>
        <v/>
      </c>
      <c r="AG93" s="164" t="str">
        <f>IF('01_Stations'!$E$115="","",'01_Stations'!$E$115)</f>
        <v/>
      </c>
      <c r="AH93" s="164" t="str">
        <f>IF('01_Stations'!$E$116="","",'01_Stations'!$E$116)</f>
        <v/>
      </c>
      <c r="AI93" s="164" t="str">
        <f>IF('01_Stations'!$E$117="","",'01_Stations'!$E$117)</f>
        <v/>
      </c>
      <c r="AJ93" s="164" t="str">
        <f>IF('01_Stations'!$E$118="","",'01_Stations'!$E$118)</f>
        <v/>
      </c>
      <c r="AK93" s="164" t="str">
        <f>IF('01_Stations'!$E$119="","",'01_Stations'!$E$119)</f>
        <v/>
      </c>
      <c r="AL93" s="164" t="str">
        <f>IF('01_Stations'!$E$120="","",'01_Stations'!$E$120)</f>
        <v/>
      </c>
      <c r="AM93" s="164" t="str">
        <f>IF('01_Stations'!$E$121="","",'01_Stations'!$E$121)</f>
        <v/>
      </c>
      <c r="AN93" s="164" t="str">
        <f>IF('01_Stations'!$E$122="","",'01_Stations'!$E$122)</f>
        <v/>
      </c>
      <c r="AO93" s="164" t="str">
        <f>IF('01_Stations'!$E$123="","",'01_Stations'!$E$123)</f>
        <v/>
      </c>
      <c r="AP93" s="164" t="str">
        <f>IF('01_Stations'!$E$124="","",'01_Stations'!$E$124)</f>
        <v/>
      </c>
      <c r="AQ93" s="164" t="str">
        <f>IF('01_Stations'!$E$125="","",'01_Stations'!$E$125)</f>
        <v/>
      </c>
    </row>
    <row r="94" spans="1:43" ht="15" customHeight="1" x14ac:dyDescent="0.3">
      <c r="A94" s="236"/>
      <c r="B94" s="165" t="s">
        <v>2207</v>
      </c>
      <c r="C94" s="166"/>
      <c r="D94" s="164" t="str">
        <f>IF('01_Stations'!$F$86=1,"───","")</f>
        <v/>
      </c>
      <c r="E94" s="164" t="str">
        <f>IF('01_Stations'!$F$87=1,"───","")</f>
        <v/>
      </c>
      <c r="F94" s="164" t="str">
        <f>IF('01_Stations'!$F$88=1,"───","")</f>
        <v/>
      </c>
      <c r="G94" s="164" t="str">
        <f>IF('01_Stations'!$F$89=1,"───","")</f>
        <v/>
      </c>
      <c r="H94" s="164" t="str">
        <f>IF('01_Stations'!$F$90=1,"───","")</f>
        <v/>
      </c>
      <c r="I94" s="164" t="str">
        <f>IF('01_Stations'!$F$91=1,"───","")</f>
        <v/>
      </c>
      <c r="J94" s="164" t="str">
        <f>IF('01_Stations'!$F$92=1,"───","")</f>
        <v/>
      </c>
      <c r="K94" s="164" t="str">
        <f>IF('01_Stations'!$F$93=1,"───","")</f>
        <v/>
      </c>
      <c r="L94" s="164" t="str">
        <f>IF('01_Stations'!$F$94=1,"───","")</f>
        <v/>
      </c>
      <c r="M94" s="164" t="str">
        <f>IF('01_Stations'!$F$95=1,"───","")</f>
        <v/>
      </c>
      <c r="N94" s="164" t="str">
        <f>IF('01_Stations'!$F$96=1,"───","")</f>
        <v/>
      </c>
      <c r="O94" s="164" t="str">
        <f>IF('01_Stations'!$F$97=1,"───","")</f>
        <v/>
      </c>
      <c r="P94" s="164" t="str">
        <f>IF('01_Stations'!$F$98=1,"───","")</f>
        <v/>
      </c>
      <c r="Q94" s="164" t="str">
        <f>IF('01_Stations'!$F$99=1,"───","")</f>
        <v/>
      </c>
      <c r="R94" s="164" t="str">
        <f>IF('01_Stations'!$F$100=1,"───","")</f>
        <v/>
      </c>
      <c r="S94" s="164" t="str">
        <f>IF('01_Stations'!$F$101=1,"───","")</f>
        <v/>
      </c>
      <c r="T94" s="164" t="str">
        <f>IF('01_Stations'!$F$102=1,"───","")</f>
        <v/>
      </c>
      <c r="U94" s="164" t="str">
        <f>IF('01_Stations'!$F$103=1,"───","")</f>
        <v/>
      </c>
      <c r="V94" s="164" t="str">
        <f>IF('01_Stations'!$F$104=1,"───","")</f>
        <v/>
      </c>
      <c r="W94" s="164" t="str">
        <f>IF('01_Stations'!$F$105=1,"───","")</f>
        <v/>
      </c>
      <c r="X94" s="164" t="str">
        <f>IF('01_Stations'!$F$106=1,"───","")</f>
        <v/>
      </c>
      <c r="Y94" s="164" t="str">
        <f>IF('01_Stations'!$F$107=1,"───","")</f>
        <v/>
      </c>
      <c r="Z94" s="164" t="str">
        <f>IF('01_Stations'!$F$108=1,"───","")</f>
        <v/>
      </c>
      <c r="AA94" s="164" t="str">
        <f>IF('01_Stations'!$F$109=1,"───","")</f>
        <v/>
      </c>
      <c r="AB94" s="164" t="str">
        <f>IF('01_Stations'!$F$110=1,"───","")</f>
        <v/>
      </c>
      <c r="AC94" s="164" t="str">
        <f>IF('01_Stations'!$F$111=1,"───","")</f>
        <v/>
      </c>
      <c r="AD94" s="164" t="str">
        <f>IF('01_Stations'!$F$112=1,"───","")</f>
        <v/>
      </c>
      <c r="AE94" s="164" t="str">
        <f>IF('01_Stations'!$F$113=1,"───","")</f>
        <v/>
      </c>
      <c r="AF94" s="164" t="str">
        <f>IF('01_Stations'!$F$114=1,"───","")</f>
        <v/>
      </c>
      <c r="AG94" s="164" t="str">
        <f>IF('01_Stations'!$F$115=1,"───","")</f>
        <v/>
      </c>
      <c r="AH94" s="164" t="str">
        <f>IF('01_Stations'!$F$116=1,"───","")</f>
        <v/>
      </c>
      <c r="AI94" s="164" t="str">
        <f>IF('01_Stations'!$F$117=1,"───","")</f>
        <v/>
      </c>
      <c r="AJ94" s="164" t="str">
        <f>IF('01_Stations'!$F$118=1,"───","")</f>
        <v/>
      </c>
      <c r="AK94" s="164" t="str">
        <f>IF('01_Stations'!$F$119=1,"───","")</f>
        <v/>
      </c>
      <c r="AL94" s="164" t="str">
        <f>IF('01_Stations'!$F$120=1,"───","")</f>
        <v/>
      </c>
      <c r="AM94" s="164" t="str">
        <f>IF('01_Stations'!$F$121=1,"───","")</f>
        <v/>
      </c>
      <c r="AN94" s="164" t="str">
        <f>IF('01_Stations'!$F$122=1,"───","")</f>
        <v/>
      </c>
      <c r="AO94" s="164" t="str">
        <f>IF('01_Stations'!$F$123=1,"───","")</f>
        <v/>
      </c>
      <c r="AP94" s="164" t="str">
        <f>IF('01_Stations'!$F$124=1,"───","")</f>
        <v/>
      </c>
      <c r="AQ94" s="164" t="str">
        <f>IF('01_Stations'!$F$125=1,"───","")</f>
        <v/>
      </c>
    </row>
    <row r="95" spans="1:43" ht="15" customHeight="1" x14ac:dyDescent="0.3">
      <c r="A95" s="236"/>
      <c r="B95" s="165" t="s">
        <v>265</v>
      </c>
      <c r="C95" s="166" t="s">
        <v>299</v>
      </c>
      <c r="D95" s="164" t="str">
        <f>IF(N('01_Stations'!$G$86)&gt;0,'01_Stations'!$G$86,"")</f>
        <v/>
      </c>
      <c r="E95" s="164" t="str">
        <f>IF(N('01_Stations'!$G$87)&gt;0,'01_Stations'!$G$87,"")</f>
        <v/>
      </c>
      <c r="F95" s="164" t="str">
        <f>IF(N('01_Stations'!$G$88)&gt;0,'01_Stations'!$G$88,"")</f>
        <v/>
      </c>
      <c r="G95" s="164" t="str">
        <f>IF(N('01_Stations'!$G$89)&gt;0,'01_Stations'!$G$89,"")</f>
        <v/>
      </c>
      <c r="H95" s="164" t="str">
        <f>IF(N('01_Stations'!$G$90)&gt;0,'01_Stations'!$G$90,"")</f>
        <v/>
      </c>
      <c r="I95" s="164" t="str">
        <f>IF(N('01_Stations'!$G$91)&gt;0,'01_Stations'!$G$91,"")</f>
        <v/>
      </c>
      <c r="J95" s="164" t="str">
        <f>IF(N('01_Stations'!$G$92)&gt;0,'01_Stations'!$G$92,"")</f>
        <v/>
      </c>
      <c r="K95" s="164" t="str">
        <f>IF(N('01_Stations'!$G$93)&gt;0,'01_Stations'!$G$93,"")</f>
        <v/>
      </c>
      <c r="L95" s="164" t="str">
        <f>IF(N('01_Stations'!$G$94)&gt;0,'01_Stations'!$G$94,"")</f>
        <v/>
      </c>
      <c r="M95" s="164" t="str">
        <f>IF(N('01_Stations'!$G$95)&gt;0,'01_Stations'!$G$95,"")</f>
        <v/>
      </c>
      <c r="N95" s="164" t="str">
        <f>IF(N('01_Stations'!$G$96)&gt;0,'01_Stations'!$G$96,"")</f>
        <v/>
      </c>
      <c r="O95" s="164" t="str">
        <f>IF(N('01_Stations'!$G$97)&gt;0,'01_Stations'!$G$97,"")</f>
        <v/>
      </c>
      <c r="P95" s="164" t="str">
        <f>IF(N('01_Stations'!$G$98)&gt;0,'01_Stations'!$G$98,"")</f>
        <v/>
      </c>
      <c r="Q95" s="164" t="str">
        <f>IF(N('01_Stations'!$G$99)&gt;0,'01_Stations'!$G$99,"")</f>
        <v/>
      </c>
      <c r="R95" s="164" t="str">
        <f>IF(N('01_Stations'!$G$100)&gt;0,'01_Stations'!$G$100,"")</f>
        <v/>
      </c>
      <c r="S95" s="164" t="str">
        <f>IF(N('01_Stations'!$G$101)&gt;0,'01_Stations'!$G$101,"")</f>
        <v/>
      </c>
      <c r="T95" s="164" t="str">
        <f>IF(N('01_Stations'!$G$102)&gt;0,'01_Stations'!$G$102,"")</f>
        <v/>
      </c>
      <c r="U95" s="164" t="str">
        <f>IF(N('01_Stations'!$G$103)&gt;0,'01_Stations'!$G$103,"")</f>
        <v/>
      </c>
      <c r="V95" s="164" t="str">
        <f>IF(N('01_Stations'!$G$104)&gt;0,'01_Stations'!$G$104,"")</f>
        <v/>
      </c>
      <c r="W95" s="164" t="str">
        <f>IF(N('01_Stations'!$G$105)&gt;0,'01_Stations'!$G$105,"")</f>
        <v/>
      </c>
      <c r="X95" s="164" t="str">
        <f>IF(N('01_Stations'!$G$106)&gt;0,'01_Stations'!$G$106,"")</f>
        <v/>
      </c>
      <c r="Y95" s="164" t="str">
        <f>IF(N('01_Stations'!$G$107)&gt;0,'01_Stations'!$G$107,"")</f>
        <v/>
      </c>
      <c r="Z95" s="164" t="str">
        <f>IF(N('01_Stations'!$G$108)&gt;0,'01_Stations'!$G$108,"")</f>
        <v/>
      </c>
      <c r="AA95" s="164" t="str">
        <f>IF(N('01_Stations'!$G$109)&gt;0,'01_Stations'!$G$109,"")</f>
        <v/>
      </c>
      <c r="AB95" s="164" t="str">
        <f>IF(N('01_Stations'!$G$110)&gt;0,'01_Stations'!$G$110,"")</f>
        <v/>
      </c>
      <c r="AC95" s="164" t="str">
        <f>IF(N('01_Stations'!$G$111)&gt;0,'01_Stations'!$G$111,"")</f>
        <v/>
      </c>
      <c r="AD95" s="164" t="str">
        <f>IF(N('01_Stations'!$G$112)&gt;0,'01_Stations'!$G$112,"")</f>
        <v/>
      </c>
      <c r="AE95" s="164" t="str">
        <f>IF(N('01_Stations'!$G$113)&gt;0,'01_Stations'!$G$113,"")</f>
        <v/>
      </c>
      <c r="AF95" s="164" t="str">
        <f>IF(N('01_Stations'!$G$114)&gt;0,'01_Stations'!$G$114,"")</f>
        <v/>
      </c>
      <c r="AG95" s="164" t="str">
        <f>IF(N('01_Stations'!$G$115)&gt;0,'01_Stations'!$G$115,"")</f>
        <v/>
      </c>
      <c r="AH95" s="164" t="str">
        <f>IF(N('01_Stations'!$G$116)&gt;0,'01_Stations'!$G$116,"")</f>
        <v/>
      </c>
      <c r="AI95" s="164" t="str">
        <f>IF(N('01_Stations'!$G$117)&gt;0,'01_Stations'!$G$117,"")</f>
        <v/>
      </c>
      <c r="AJ95" s="164" t="str">
        <f>IF(N('01_Stations'!$G$118)&gt;0,'01_Stations'!$G$118,"")</f>
        <v/>
      </c>
      <c r="AK95" s="164" t="str">
        <f>IF(N('01_Stations'!$G$119)&gt;0,'01_Stations'!$G$119,"")</f>
        <v/>
      </c>
      <c r="AL95" s="164" t="str">
        <f>IF(N('01_Stations'!$G$120)&gt;0,'01_Stations'!$G$120,"")</f>
        <v/>
      </c>
      <c r="AM95" s="164" t="str">
        <f>IF(N('01_Stations'!$G$121)&gt;0,'01_Stations'!$G$121,"")</f>
        <v/>
      </c>
      <c r="AN95" s="164" t="str">
        <f>IF(N('01_Stations'!$G$122)&gt;0,'01_Stations'!$G$122,"")</f>
        <v/>
      </c>
      <c r="AO95" s="164" t="str">
        <f>IF(N('01_Stations'!$G$123)&gt;0,'01_Stations'!$G$123,"")</f>
        <v/>
      </c>
      <c r="AP95" s="164" t="str">
        <f>IF(N('01_Stations'!$G$124)&gt;0,'01_Stations'!$G$124,"")</f>
        <v/>
      </c>
      <c r="AQ95" s="164" t="str">
        <f>IF(N('01_Stations'!$G$125)&gt;0,'01_Stations'!$G$125,"")</f>
        <v/>
      </c>
    </row>
    <row r="96" spans="1:43" ht="15" customHeight="1" x14ac:dyDescent="0.3">
      <c r="A96" s="236"/>
      <c r="B96" s="165" t="s">
        <v>1866</v>
      </c>
      <c r="C96" s="166" t="s">
        <v>300</v>
      </c>
      <c r="D96" s="164" t="str">
        <f>IF(N('01_Stations'!$H$86)&gt;0,'01_Stations'!$H$86,"")</f>
        <v/>
      </c>
      <c r="E96" s="164" t="str">
        <f>IF(N('01_Stations'!$H$87)&gt;0,'01_Stations'!$H$87,"")</f>
        <v/>
      </c>
      <c r="F96" s="164" t="str">
        <f>IF(N('01_Stations'!$H$88)&gt;0,'01_Stations'!$H$88,"")</f>
        <v/>
      </c>
      <c r="G96" s="164" t="str">
        <f>IF(N('01_Stations'!$H$89)&gt;0,'01_Stations'!$H$89,"")</f>
        <v/>
      </c>
      <c r="H96" s="164" t="str">
        <f>IF(N('01_Stations'!$H$90)&gt;0,'01_Stations'!$H$90,"")</f>
        <v/>
      </c>
      <c r="I96" s="164" t="str">
        <f>IF(N('01_Stations'!$H$91)&gt;0,'01_Stations'!$H$91,"")</f>
        <v/>
      </c>
      <c r="J96" s="164" t="str">
        <f>IF(N('01_Stations'!$H$92)&gt;0,'01_Stations'!$H$92,"")</f>
        <v/>
      </c>
      <c r="K96" s="164" t="str">
        <f>IF(N('01_Stations'!$H$93)&gt;0,'01_Stations'!$H$93,"")</f>
        <v/>
      </c>
      <c r="L96" s="164" t="str">
        <f>IF(N('01_Stations'!$H$94)&gt;0,'01_Stations'!$H$94,"")</f>
        <v/>
      </c>
      <c r="M96" s="164" t="str">
        <f>IF(N('01_Stations'!$H$95)&gt;0,'01_Stations'!$H$95,"")</f>
        <v/>
      </c>
      <c r="N96" s="164" t="str">
        <f>IF(N('01_Stations'!$H$96)&gt;0,'01_Stations'!$H$96,"")</f>
        <v/>
      </c>
      <c r="O96" s="164" t="str">
        <f>IF(N('01_Stations'!$H$97)&gt;0,'01_Stations'!$H$97,"")</f>
        <v/>
      </c>
      <c r="P96" s="164" t="str">
        <f>IF(N('01_Stations'!$H$98)&gt;0,'01_Stations'!$H$98,"")</f>
        <v/>
      </c>
      <c r="Q96" s="164" t="str">
        <f>IF(N('01_Stations'!$H$99)&gt;0,'01_Stations'!$H$99,"")</f>
        <v/>
      </c>
      <c r="R96" s="164" t="str">
        <f>IF(N('01_Stations'!$H$100)&gt;0,'01_Stations'!$H$100,"")</f>
        <v/>
      </c>
      <c r="S96" s="164" t="str">
        <f>IF(N('01_Stations'!$H$101)&gt;0,'01_Stations'!$H$101,"")</f>
        <v/>
      </c>
      <c r="T96" s="164" t="str">
        <f>IF(N('01_Stations'!$H$102)&gt;0,'01_Stations'!$H$102,"")</f>
        <v/>
      </c>
      <c r="U96" s="164" t="str">
        <f>IF(N('01_Stations'!$H$103)&gt;0,'01_Stations'!$H$103,"")</f>
        <v/>
      </c>
      <c r="V96" s="164" t="str">
        <f>IF(N('01_Stations'!$H$104)&gt;0,'01_Stations'!$H$104,"")</f>
        <v/>
      </c>
      <c r="W96" s="164" t="str">
        <f>IF(N('01_Stations'!$H$105)&gt;0,'01_Stations'!$H$105,"")</f>
        <v/>
      </c>
      <c r="X96" s="164" t="str">
        <f>IF(N('01_Stations'!$H$106)&gt;0,'01_Stations'!$H$106,"")</f>
        <v/>
      </c>
      <c r="Y96" s="164" t="str">
        <f>IF(N('01_Stations'!$H$107)&gt;0,'01_Stations'!$H$107,"")</f>
        <v/>
      </c>
      <c r="Z96" s="164" t="str">
        <f>IF(N('01_Stations'!$H$108)&gt;0,'01_Stations'!$H$108,"")</f>
        <v/>
      </c>
      <c r="AA96" s="164" t="str">
        <f>IF(N('01_Stations'!$H$109)&gt;0,'01_Stations'!$H$109,"")</f>
        <v/>
      </c>
      <c r="AB96" s="164" t="str">
        <f>IF(N('01_Stations'!$H$110)&gt;0,'01_Stations'!$H$110,"")</f>
        <v/>
      </c>
      <c r="AC96" s="164" t="str">
        <f>IF(N('01_Stations'!$H$111)&gt;0,'01_Stations'!$H$111,"")</f>
        <v/>
      </c>
      <c r="AD96" s="164" t="str">
        <f>IF(N('01_Stations'!$H$112)&gt;0,'01_Stations'!$H$112,"")</f>
        <v/>
      </c>
      <c r="AE96" s="164" t="str">
        <f>IF(N('01_Stations'!$H$113)&gt;0,'01_Stations'!$H$113,"")</f>
        <v/>
      </c>
      <c r="AF96" s="164" t="str">
        <f>IF(N('01_Stations'!$H$114)&gt;0,'01_Stations'!$H$114,"")</f>
        <v/>
      </c>
      <c r="AG96" s="164" t="str">
        <f>IF(N('01_Stations'!$H$115)&gt;0,'01_Stations'!$H$115,"")</f>
        <v/>
      </c>
      <c r="AH96" s="164" t="str">
        <f>IF(N('01_Stations'!$H$116)&gt;0,'01_Stations'!$H$116,"")</f>
        <v/>
      </c>
      <c r="AI96" s="164" t="str">
        <f>IF(N('01_Stations'!$H$117)&gt;0,'01_Stations'!$H$117,"")</f>
        <v/>
      </c>
      <c r="AJ96" s="164" t="str">
        <f>IF(N('01_Stations'!$H$118)&gt;0,'01_Stations'!$H$118,"")</f>
        <v/>
      </c>
      <c r="AK96" s="164" t="str">
        <f>IF(N('01_Stations'!$H$119)&gt;0,'01_Stations'!$H$119,"")</f>
        <v/>
      </c>
      <c r="AL96" s="164" t="str">
        <f>IF(N('01_Stations'!$H$120)&gt;0,'01_Stations'!$H$120,"")</f>
        <v/>
      </c>
      <c r="AM96" s="164" t="str">
        <f>IF(N('01_Stations'!$H$121)&gt;0,'01_Stations'!$H$121,"")</f>
        <v/>
      </c>
      <c r="AN96" s="164" t="str">
        <f>IF(N('01_Stations'!$H$122)&gt;0,'01_Stations'!$H$122,"")</f>
        <v/>
      </c>
      <c r="AO96" s="164" t="str">
        <f>IF(N('01_Stations'!$H$123)&gt;0,'01_Stations'!$H$123,"")</f>
        <v/>
      </c>
      <c r="AP96" s="164" t="str">
        <f>IF(N('01_Stations'!$H$124)&gt;0,'01_Stations'!$H$124,"")</f>
        <v/>
      </c>
      <c r="AQ96" s="164" t="str">
        <f>IF(N('01_Stations'!$H$125)&gt;0,'01_Stations'!$H$125,"")</f>
        <v/>
      </c>
    </row>
    <row r="97" spans="1:43" ht="15" customHeight="1" x14ac:dyDescent="0.3">
      <c r="A97" s="236"/>
      <c r="B97" s="165" t="s">
        <v>267</v>
      </c>
      <c r="C97" s="166"/>
      <c r="D97" s="164" t="str">
        <f>IF('01_Stations'!$I$86=1,"───","")</f>
        <v/>
      </c>
      <c r="E97" s="164" t="str">
        <f>IF('01_Stations'!$I$87=1,"───","")</f>
        <v/>
      </c>
      <c r="F97" s="164" t="str">
        <f>IF('01_Stations'!$I$88=1,"───","")</f>
        <v/>
      </c>
      <c r="G97" s="164" t="str">
        <f>IF('01_Stations'!$I$89=1,"───","")</f>
        <v/>
      </c>
      <c r="H97" s="164" t="str">
        <f>IF('01_Stations'!$I$90=1,"───","")</f>
        <v/>
      </c>
      <c r="I97" s="164" t="str">
        <f>IF('01_Stations'!$I$91=1,"───","")</f>
        <v/>
      </c>
      <c r="J97" s="164" t="str">
        <f>IF('01_Stations'!$I$92=1,"───","")</f>
        <v/>
      </c>
      <c r="K97" s="164" t="str">
        <f>IF('01_Stations'!$I$93=1,"───","")</f>
        <v/>
      </c>
      <c r="L97" s="164" t="str">
        <f>IF('01_Stations'!$I$94=1,"───","")</f>
        <v/>
      </c>
      <c r="M97" s="164" t="str">
        <f>IF('01_Stations'!$I$95=1,"───","")</f>
        <v/>
      </c>
      <c r="N97" s="164" t="str">
        <f>IF('01_Stations'!$I$96=1,"───","")</f>
        <v/>
      </c>
      <c r="O97" s="164" t="str">
        <f>IF('01_Stations'!$I$97=1,"───","")</f>
        <v/>
      </c>
      <c r="P97" s="164" t="str">
        <f>IF('01_Stations'!$I$98=1,"───","")</f>
        <v/>
      </c>
      <c r="Q97" s="164" t="str">
        <f>IF('01_Stations'!$I$99=1,"───","")</f>
        <v/>
      </c>
      <c r="R97" s="164" t="str">
        <f>IF('01_Stations'!$I$100=1,"───","")</f>
        <v/>
      </c>
      <c r="S97" s="164" t="str">
        <f>IF('01_Stations'!$I$101=1,"───","")</f>
        <v/>
      </c>
      <c r="T97" s="164" t="str">
        <f>IF('01_Stations'!$I$102=1,"───","")</f>
        <v/>
      </c>
      <c r="U97" s="164" t="str">
        <f>IF('01_Stations'!$I$103=1,"───","")</f>
        <v/>
      </c>
      <c r="V97" s="164" t="str">
        <f>IF('01_Stations'!$I$104=1,"───","")</f>
        <v/>
      </c>
      <c r="W97" s="164" t="str">
        <f>IF('01_Stations'!$I$105=1,"───","")</f>
        <v/>
      </c>
      <c r="X97" s="164" t="str">
        <f>IF('01_Stations'!$I$106=1,"───","")</f>
        <v/>
      </c>
      <c r="Y97" s="164" t="str">
        <f>IF('01_Stations'!$I$107=1,"───","")</f>
        <v/>
      </c>
      <c r="Z97" s="164" t="str">
        <f>IF('01_Stations'!$I$108=1,"───","")</f>
        <v/>
      </c>
      <c r="AA97" s="164" t="str">
        <f>IF('01_Stations'!$I$109=1,"───","")</f>
        <v/>
      </c>
      <c r="AB97" s="164" t="str">
        <f>IF('01_Stations'!$I$110=1,"───","")</f>
        <v/>
      </c>
      <c r="AC97" s="164" t="str">
        <f>IF('01_Stations'!$I$111=1,"───","")</f>
        <v/>
      </c>
      <c r="AD97" s="164" t="str">
        <f>IF('01_Stations'!$I$112=1,"───","")</f>
        <v/>
      </c>
      <c r="AE97" s="164" t="str">
        <f>IF('01_Stations'!$I$113=1,"───","")</f>
        <v/>
      </c>
      <c r="AF97" s="164" t="str">
        <f>IF('01_Stations'!$I$114=1,"───","")</f>
        <v/>
      </c>
      <c r="AG97" s="164" t="str">
        <f>IF('01_Stations'!$I$115=1,"───","")</f>
        <v/>
      </c>
      <c r="AH97" s="164" t="str">
        <f>IF('01_Stations'!$I$116=1,"───","")</f>
        <v/>
      </c>
      <c r="AI97" s="164" t="str">
        <f>IF('01_Stations'!$I$117=1,"───","")</f>
        <v/>
      </c>
      <c r="AJ97" s="164" t="str">
        <f>IF('01_Stations'!$I$118=1,"───","")</f>
        <v/>
      </c>
      <c r="AK97" s="164" t="str">
        <f>IF('01_Stations'!$I$119=1,"───","")</f>
        <v/>
      </c>
      <c r="AL97" s="164" t="str">
        <f>IF('01_Stations'!$I$120=1,"───","")</f>
        <v/>
      </c>
      <c r="AM97" s="164" t="str">
        <f>IF('01_Stations'!$I$121=1,"───","")</f>
        <v/>
      </c>
      <c r="AN97" s="164" t="str">
        <f>IF('01_Stations'!$I$122=1,"───","")</f>
        <v/>
      </c>
      <c r="AO97" s="164" t="str">
        <f>IF('01_Stations'!$I$123=1,"───","")</f>
        <v/>
      </c>
      <c r="AP97" s="164" t="str">
        <f>IF('01_Stations'!$I$124=1,"───","")</f>
        <v/>
      </c>
      <c r="AQ97" s="164" t="str">
        <f>IF('01_Stations'!$I$125=1,"───","")</f>
        <v/>
      </c>
    </row>
    <row r="98" spans="1:43" ht="15" customHeight="1" x14ac:dyDescent="0.3">
      <c r="A98" s="236"/>
      <c r="B98" s="165" t="s">
        <v>268</v>
      </c>
      <c r="C98" s="166" t="s">
        <v>299</v>
      </c>
      <c r="D98" s="164" t="str">
        <f>IF(N('01_Stations'!$J$86)&gt;0,'01_Stations'!$J$86,"")</f>
        <v/>
      </c>
      <c r="E98" s="164" t="str">
        <f>IF(N('01_Stations'!$J$87)&gt;0,'01_Stations'!$J$87,"")</f>
        <v/>
      </c>
      <c r="F98" s="164" t="str">
        <f>IF(N('01_Stations'!$J$88)&gt;0,'01_Stations'!$J$88,"")</f>
        <v/>
      </c>
      <c r="G98" s="164" t="str">
        <f>IF(N('01_Stations'!$J$89)&gt;0,'01_Stations'!$J$89,"")</f>
        <v/>
      </c>
      <c r="H98" s="164" t="str">
        <f>IF(N('01_Stations'!$J$90)&gt;0,'01_Stations'!$J$90,"")</f>
        <v/>
      </c>
      <c r="I98" s="164" t="str">
        <f>IF(N('01_Stations'!$J$91)&gt;0,'01_Stations'!$J$91,"")</f>
        <v/>
      </c>
      <c r="J98" s="164" t="str">
        <f>IF(N('01_Stations'!$J$92)&gt;0,'01_Stations'!$J$92,"")</f>
        <v/>
      </c>
      <c r="K98" s="164" t="str">
        <f>IF(N('01_Stations'!$J$93)&gt;0,'01_Stations'!$J$93,"")</f>
        <v/>
      </c>
      <c r="L98" s="164" t="str">
        <f>IF(N('01_Stations'!$J$94)&gt;0,'01_Stations'!$J$94,"")</f>
        <v/>
      </c>
      <c r="M98" s="164" t="str">
        <f>IF(N('01_Stations'!$J$95)&gt;0,'01_Stations'!$J$95,"")</f>
        <v/>
      </c>
      <c r="N98" s="164" t="str">
        <f>IF(N('01_Stations'!$J$96)&gt;0,'01_Stations'!$J$96,"")</f>
        <v/>
      </c>
      <c r="O98" s="164" t="str">
        <f>IF(N('01_Stations'!$J$97)&gt;0,'01_Stations'!$J$97,"")</f>
        <v/>
      </c>
      <c r="P98" s="164" t="str">
        <f>IF(N('01_Stations'!$J$98)&gt;0,'01_Stations'!$J$98,"")</f>
        <v/>
      </c>
      <c r="Q98" s="164" t="str">
        <f>IF(N('01_Stations'!$J$99)&gt;0,'01_Stations'!$J$99,"")</f>
        <v/>
      </c>
      <c r="R98" s="164" t="str">
        <f>IF(N('01_Stations'!$J$100)&gt;0,'01_Stations'!$J$100,"")</f>
        <v/>
      </c>
      <c r="S98" s="164" t="str">
        <f>IF(N('01_Stations'!$J$101)&gt;0,'01_Stations'!$J$101,"")</f>
        <v/>
      </c>
      <c r="T98" s="164" t="str">
        <f>IF(N('01_Stations'!$J$102)&gt;0,'01_Stations'!$J$102,"")</f>
        <v/>
      </c>
      <c r="U98" s="164" t="str">
        <f>IF(N('01_Stations'!$J$103)&gt;0,'01_Stations'!$J$103,"")</f>
        <v/>
      </c>
      <c r="V98" s="164" t="str">
        <f>IF(N('01_Stations'!$J$104)&gt;0,'01_Stations'!$J$104,"")</f>
        <v/>
      </c>
      <c r="W98" s="164" t="str">
        <f>IF(N('01_Stations'!$J$105)&gt;0,'01_Stations'!$J$105,"")</f>
        <v/>
      </c>
      <c r="X98" s="164" t="str">
        <f>IF(N('01_Stations'!$J$106)&gt;0,'01_Stations'!$J$106,"")</f>
        <v/>
      </c>
      <c r="Y98" s="164" t="str">
        <f>IF(N('01_Stations'!$J$107)&gt;0,'01_Stations'!$J$107,"")</f>
        <v/>
      </c>
      <c r="Z98" s="164" t="str">
        <f>IF(N('01_Stations'!$J$108)&gt;0,'01_Stations'!$J$108,"")</f>
        <v/>
      </c>
      <c r="AA98" s="164" t="str">
        <f>IF(N('01_Stations'!$J$109)&gt;0,'01_Stations'!$J$109,"")</f>
        <v/>
      </c>
      <c r="AB98" s="164" t="str">
        <f>IF(N('01_Stations'!$J$110)&gt;0,'01_Stations'!$J$110,"")</f>
        <v/>
      </c>
      <c r="AC98" s="164" t="str">
        <f>IF(N('01_Stations'!$J$111)&gt;0,'01_Stations'!$J$111,"")</f>
        <v/>
      </c>
      <c r="AD98" s="164" t="str">
        <f>IF(N('01_Stations'!$J$112)&gt;0,'01_Stations'!$J$112,"")</f>
        <v/>
      </c>
      <c r="AE98" s="164" t="str">
        <f>IF(N('01_Stations'!$J$113)&gt;0,'01_Stations'!$J$113,"")</f>
        <v/>
      </c>
      <c r="AF98" s="164" t="str">
        <f>IF(N('01_Stations'!$J$114)&gt;0,'01_Stations'!$J$114,"")</f>
        <v/>
      </c>
      <c r="AG98" s="164" t="str">
        <f>IF(N('01_Stations'!$J$115)&gt;0,'01_Stations'!$J$115,"")</f>
        <v/>
      </c>
      <c r="AH98" s="164" t="str">
        <f>IF(N('01_Stations'!$J$116)&gt;0,'01_Stations'!$J$116,"")</f>
        <v/>
      </c>
      <c r="AI98" s="164" t="str">
        <f>IF(N('01_Stations'!$J$117)&gt;0,'01_Stations'!$J$117,"")</f>
        <v/>
      </c>
      <c r="AJ98" s="164" t="str">
        <f>IF(N('01_Stations'!$J$118)&gt;0,'01_Stations'!$J$118,"")</f>
        <v/>
      </c>
      <c r="AK98" s="164" t="str">
        <f>IF(N('01_Stations'!$J$119)&gt;0,'01_Stations'!$J$119,"")</f>
        <v/>
      </c>
      <c r="AL98" s="164" t="str">
        <f>IF(N('01_Stations'!$J$120)&gt;0,'01_Stations'!$J$120,"")</f>
        <v/>
      </c>
      <c r="AM98" s="164" t="str">
        <f>IF(N('01_Stations'!$J$121)&gt;0,'01_Stations'!$J$121,"")</f>
        <v/>
      </c>
      <c r="AN98" s="164" t="str">
        <f>IF(N('01_Stations'!$J$122)&gt;0,'01_Stations'!$J$122,"")</f>
        <v/>
      </c>
      <c r="AO98" s="164" t="str">
        <f>IF(N('01_Stations'!$J$123)&gt;0,'01_Stations'!$J$123,"")</f>
        <v/>
      </c>
      <c r="AP98" s="164" t="str">
        <f>IF(N('01_Stations'!$J$124)&gt;0,'01_Stations'!$J$124,"")</f>
        <v/>
      </c>
      <c r="AQ98" s="164" t="str">
        <f>IF(N('01_Stations'!$J$125)&gt;0,'01_Stations'!$J$125,"")</f>
        <v/>
      </c>
    </row>
    <row r="99" spans="1:43" ht="15" customHeight="1" x14ac:dyDescent="0.3">
      <c r="A99" s="236"/>
      <c r="B99" s="165" t="s">
        <v>2208</v>
      </c>
      <c r="C99" s="166" t="s">
        <v>63</v>
      </c>
      <c r="D99" s="164" t="str">
        <f>IF(N('01_Stations'!$K$86)&gt;0,'01_Stations'!$K$86,"")</f>
        <v/>
      </c>
      <c r="E99" s="164" t="str">
        <f>IF(N('01_Stations'!$K$87)&gt;0,'01_Stations'!$K$87,"")</f>
        <v/>
      </c>
      <c r="F99" s="164" t="str">
        <f>IF(N('01_Stations'!$K$88)&gt;0,'01_Stations'!$K$88,"")</f>
        <v/>
      </c>
      <c r="G99" s="164" t="str">
        <f>IF(N('01_Stations'!$K$89)&gt;0,'01_Stations'!$K$89,"")</f>
        <v/>
      </c>
      <c r="H99" s="164" t="str">
        <f>IF(N('01_Stations'!$K$90)&gt;0,'01_Stations'!$K$90,"")</f>
        <v/>
      </c>
      <c r="I99" s="164" t="str">
        <f>IF(N('01_Stations'!$K$91)&gt;0,'01_Stations'!$K$91,"")</f>
        <v/>
      </c>
      <c r="J99" s="164" t="str">
        <f>IF(N('01_Stations'!$K$92)&gt;0,'01_Stations'!$K$92,"")</f>
        <v/>
      </c>
      <c r="K99" s="164" t="str">
        <f>IF(N('01_Stations'!$K$93)&gt;0,'01_Stations'!$K$93,"")</f>
        <v/>
      </c>
      <c r="L99" s="164" t="str">
        <f>IF(N('01_Stations'!$K$94)&gt;0,'01_Stations'!$K$94,"")</f>
        <v/>
      </c>
      <c r="M99" s="164" t="str">
        <f>IF(N('01_Stations'!$K$95)&gt;0,'01_Stations'!$K$95,"")</f>
        <v/>
      </c>
      <c r="N99" s="164" t="str">
        <f>IF(N('01_Stations'!$K$96)&gt;0,'01_Stations'!$K$96,"")</f>
        <v/>
      </c>
      <c r="O99" s="164" t="str">
        <f>IF(N('01_Stations'!$K$97)&gt;0,'01_Stations'!$K$97,"")</f>
        <v/>
      </c>
      <c r="P99" s="164" t="str">
        <f>IF(N('01_Stations'!$K$98)&gt;0,'01_Stations'!$K$98,"")</f>
        <v/>
      </c>
      <c r="Q99" s="164" t="str">
        <f>IF(N('01_Stations'!$K$99)&gt;0,'01_Stations'!$K$99,"")</f>
        <v/>
      </c>
      <c r="R99" s="164" t="str">
        <f>IF(N('01_Stations'!$K$100)&gt;0,'01_Stations'!$K$100,"")</f>
        <v/>
      </c>
      <c r="S99" s="164" t="str">
        <f>IF(N('01_Stations'!$K$101)&gt;0,'01_Stations'!$K$101,"")</f>
        <v/>
      </c>
      <c r="T99" s="164" t="str">
        <f>IF(N('01_Stations'!$K$102)&gt;0,'01_Stations'!$K$102,"")</f>
        <v/>
      </c>
      <c r="U99" s="164" t="str">
        <f>IF(N('01_Stations'!$K$103)&gt;0,'01_Stations'!$K$103,"")</f>
        <v/>
      </c>
      <c r="V99" s="164" t="str">
        <f>IF(N('01_Stations'!$K$104)&gt;0,'01_Stations'!$K$104,"")</f>
        <v/>
      </c>
      <c r="W99" s="164" t="str">
        <f>IF(N('01_Stations'!$K$105)&gt;0,'01_Stations'!$K$105,"")</f>
        <v/>
      </c>
      <c r="X99" s="164" t="str">
        <f>IF(N('01_Stations'!$K$106)&gt;0,'01_Stations'!$K$106,"")</f>
        <v/>
      </c>
      <c r="Y99" s="164" t="str">
        <f>IF(N('01_Stations'!$K$107)&gt;0,'01_Stations'!$K$107,"")</f>
        <v/>
      </c>
      <c r="Z99" s="164" t="str">
        <f>IF(N('01_Stations'!$K$108)&gt;0,'01_Stations'!$K$108,"")</f>
        <v/>
      </c>
      <c r="AA99" s="164" t="str">
        <f>IF(N('01_Stations'!$K$109)&gt;0,'01_Stations'!$K$109,"")</f>
        <v/>
      </c>
      <c r="AB99" s="164" t="str">
        <f>IF(N('01_Stations'!$K$110)&gt;0,'01_Stations'!$K$110,"")</f>
        <v/>
      </c>
      <c r="AC99" s="164" t="str">
        <f>IF(N('01_Stations'!$K$111)&gt;0,'01_Stations'!$K$111,"")</f>
        <v/>
      </c>
      <c r="AD99" s="164" t="str">
        <f>IF(N('01_Stations'!$K$112)&gt;0,'01_Stations'!$K$112,"")</f>
        <v/>
      </c>
      <c r="AE99" s="164" t="str">
        <f>IF(N('01_Stations'!$K$113)&gt;0,'01_Stations'!$K$113,"")</f>
        <v/>
      </c>
      <c r="AF99" s="164" t="str">
        <f>IF(N('01_Stations'!$K$114)&gt;0,'01_Stations'!$K$114,"")</f>
        <v/>
      </c>
      <c r="AG99" s="164" t="str">
        <f>IF(N('01_Stations'!$K$115)&gt;0,'01_Stations'!$K$115,"")</f>
        <v/>
      </c>
      <c r="AH99" s="164" t="str">
        <f>IF(N('01_Stations'!$K$116)&gt;0,'01_Stations'!$K$116,"")</f>
        <v/>
      </c>
      <c r="AI99" s="164" t="str">
        <f>IF(N('01_Stations'!$K$117)&gt;0,'01_Stations'!$K$117,"")</f>
        <v/>
      </c>
      <c r="AJ99" s="164" t="str">
        <f>IF(N('01_Stations'!$K$118)&gt;0,'01_Stations'!$K$118,"")</f>
        <v/>
      </c>
      <c r="AK99" s="164" t="str">
        <f>IF(N('01_Stations'!$K$119)&gt;0,'01_Stations'!$K$119,"")</f>
        <v/>
      </c>
      <c r="AL99" s="164" t="str">
        <f>IF(N('01_Stations'!$K$120)&gt;0,'01_Stations'!$K$120,"")</f>
        <v/>
      </c>
      <c r="AM99" s="164" t="str">
        <f>IF(N('01_Stations'!$K$121)&gt;0,'01_Stations'!$K$121,"")</f>
        <v/>
      </c>
      <c r="AN99" s="164" t="str">
        <f>IF(N('01_Stations'!$K$122)&gt;0,'01_Stations'!$K$122,"")</f>
        <v/>
      </c>
      <c r="AO99" s="164" t="str">
        <f>IF(N('01_Stations'!$K$123)&gt;0,'01_Stations'!$K$123,"")</f>
        <v/>
      </c>
      <c r="AP99" s="164" t="str">
        <f>IF(N('01_Stations'!$K$124)&gt;0,'01_Stations'!$K$124,"")</f>
        <v/>
      </c>
      <c r="AQ99" s="164" t="str">
        <f>IF(N('01_Stations'!$K$125)&gt;0,'01_Stations'!$K$125,"")</f>
        <v/>
      </c>
    </row>
    <row r="100" spans="1:43" ht="15" customHeight="1" x14ac:dyDescent="0.3">
      <c r="A100" s="236"/>
      <c r="B100" s="165" t="s">
        <v>270</v>
      </c>
      <c r="C100" s="166"/>
      <c r="D100" s="164" t="str">
        <f>IF('01_Stations'!$L$86=1,"───","")</f>
        <v/>
      </c>
      <c r="E100" s="164" t="str">
        <f>IF('01_Stations'!$L$87=1,"───","")</f>
        <v/>
      </c>
      <c r="F100" s="164" t="str">
        <f>IF('01_Stations'!$L$88=1,"───","")</f>
        <v/>
      </c>
      <c r="G100" s="164" t="str">
        <f>IF('01_Stations'!$L$89=1,"───","")</f>
        <v/>
      </c>
      <c r="H100" s="164" t="str">
        <f>IF('01_Stations'!$L$90=1,"───","")</f>
        <v/>
      </c>
      <c r="I100" s="164" t="str">
        <f>IF('01_Stations'!$L$91=1,"───","")</f>
        <v/>
      </c>
      <c r="J100" s="164" t="str">
        <f>IF('01_Stations'!$L$92=1,"───","")</f>
        <v/>
      </c>
      <c r="K100" s="164" t="str">
        <f>IF('01_Stations'!$L$93=1,"───","")</f>
        <v/>
      </c>
      <c r="L100" s="164" t="str">
        <f>IF('01_Stations'!$L$94=1,"───","")</f>
        <v/>
      </c>
      <c r="M100" s="164" t="str">
        <f>IF('01_Stations'!$L$95=1,"───","")</f>
        <v/>
      </c>
      <c r="N100" s="164" t="str">
        <f>IF('01_Stations'!$L$96=1,"───","")</f>
        <v/>
      </c>
      <c r="O100" s="164" t="str">
        <f>IF('01_Stations'!$L$97=1,"───","")</f>
        <v/>
      </c>
      <c r="P100" s="164" t="str">
        <f>IF('01_Stations'!$L$98=1,"───","")</f>
        <v/>
      </c>
      <c r="Q100" s="164" t="str">
        <f>IF('01_Stations'!$L$99=1,"───","")</f>
        <v/>
      </c>
      <c r="R100" s="164" t="str">
        <f>IF('01_Stations'!$L$100=1,"───","")</f>
        <v/>
      </c>
      <c r="S100" s="164" t="str">
        <f>IF('01_Stations'!$L$101=1,"───","")</f>
        <v/>
      </c>
      <c r="T100" s="164" t="str">
        <f>IF('01_Stations'!$L$102=1,"───","")</f>
        <v/>
      </c>
      <c r="U100" s="164" t="str">
        <f>IF('01_Stations'!$L$103=1,"───","")</f>
        <v/>
      </c>
      <c r="V100" s="164" t="str">
        <f>IF('01_Stations'!$L$104=1,"───","")</f>
        <v/>
      </c>
      <c r="W100" s="164" t="str">
        <f>IF('01_Stations'!$L$105=1,"───","")</f>
        <v/>
      </c>
      <c r="X100" s="164" t="str">
        <f>IF('01_Stations'!$L$106=1,"───","")</f>
        <v/>
      </c>
      <c r="Y100" s="164" t="str">
        <f>IF('01_Stations'!$L$107=1,"───","")</f>
        <v/>
      </c>
      <c r="Z100" s="164" t="str">
        <f>IF('01_Stations'!$L$108=1,"───","")</f>
        <v/>
      </c>
      <c r="AA100" s="164" t="str">
        <f>IF('01_Stations'!$L$109=1,"───","")</f>
        <v/>
      </c>
      <c r="AB100" s="164" t="str">
        <f>IF('01_Stations'!$L$110=1,"───","")</f>
        <v/>
      </c>
      <c r="AC100" s="164" t="str">
        <f>IF('01_Stations'!$L$111=1,"───","")</f>
        <v/>
      </c>
      <c r="AD100" s="164" t="str">
        <f>IF('01_Stations'!$L$112=1,"───","")</f>
        <v/>
      </c>
      <c r="AE100" s="164" t="str">
        <f>IF('01_Stations'!$L$113=1,"───","")</f>
        <v/>
      </c>
      <c r="AF100" s="164" t="str">
        <f>IF('01_Stations'!$L$114=1,"───","")</f>
        <v/>
      </c>
      <c r="AG100" s="164" t="str">
        <f>IF('01_Stations'!$L$115=1,"───","")</f>
        <v/>
      </c>
      <c r="AH100" s="164" t="str">
        <f>IF('01_Stations'!$L$116=1,"───","")</f>
        <v/>
      </c>
      <c r="AI100" s="164" t="str">
        <f>IF('01_Stations'!$L$117=1,"───","")</f>
        <v/>
      </c>
      <c r="AJ100" s="164" t="str">
        <f>IF('01_Stations'!$L$118=1,"───","")</f>
        <v/>
      </c>
      <c r="AK100" s="164" t="str">
        <f>IF('01_Stations'!$L$119=1,"───","")</f>
        <v/>
      </c>
      <c r="AL100" s="164" t="str">
        <f>IF('01_Stations'!$L$120=1,"───","")</f>
        <v/>
      </c>
      <c r="AM100" s="164" t="str">
        <f>IF('01_Stations'!$L$121=1,"───","")</f>
        <v/>
      </c>
      <c r="AN100" s="164" t="str">
        <f>IF('01_Stations'!$L$122=1,"───","")</f>
        <v/>
      </c>
      <c r="AO100" s="164" t="str">
        <f>IF('01_Stations'!$L$123=1,"───","")</f>
        <v/>
      </c>
      <c r="AP100" s="164" t="str">
        <f>IF('01_Stations'!$L$124=1,"───","")</f>
        <v/>
      </c>
      <c r="AQ100" s="164" t="str">
        <f>IF('01_Stations'!$L$125=1,"───","")</f>
        <v/>
      </c>
    </row>
    <row r="101" spans="1:43" ht="15" customHeight="1" x14ac:dyDescent="0.3">
      <c r="A101" s="236"/>
      <c r="B101" s="165" t="s">
        <v>265</v>
      </c>
      <c r="C101" s="166" t="s">
        <v>299</v>
      </c>
      <c r="D101" s="164" t="str">
        <f>IF(N('01_Stations'!$M$86)&gt;0,'01_Stations'!$M$86,"")</f>
        <v/>
      </c>
      <c r="E101" s="164" t="str">
        <f>IF(N('01_Stations'!$M$87)&gt;0,'01_Stations'!$M$87,"")</f>
        <v/>
      </c>
      <c r="F101" s="164" t="str">
        <f>IF(N('01_Stations'!$M$88)&gt;0,'01_Stations'!$M$88,"")</f>
        <v/>
      </c>
      <c r="G101" s="164" t="str">
        <f>IF(N('01_Stations'!$M$89)&gt;0,'01_Stations'!$M$89,"")</f>
        <v/>
      </c>
      <c r="H101" s="164" t="str">
        <f>IF(N('01_Stations'!$M$90)&gt;0,'01_Stations'!$M$90,"")</f>
        <v/>
      </c>
      <c r="I101" s="164" t="str">
        <f>IF(N('01_Stations'!$M$91)&gt;0,'01_Stations'!$M$91,"")</f>
        <v/>
      </c>
      <c r="J101" s="164" t="str">
        <f>IF(N('01_Stations'!$M$92)&gt;0,'01_Stations'!$M$92,"")</f>
        <v/>
      </c>
      <c r="K101" s="164" t="str">
        <f>IF(N('01_Stations'!$M$93)&gt;0,'01_Stations'!$M$93,"")</f>
        <v/>
      </c>
      <c r="L101" s="164" t="str">
        <f>IF(N('01_Stations'!$M$94)&gt;0,'01_Stations'!$M$94,"")</f>
        <v/>
      </c>
      <c r="M101" s="164" t="str">
        <f>IF(N('01_Stations'!$M$95)&gt;0,'01_Stations'!$M$95,"")</f>
        <v/>
      </c>
      <c r="N101" s="164" t="str">
        <f>IF(N('01_Stations'!$M$96)&gt;0,'01_Stations'!$M$96,"")</f>
        <v/>
      </c>
      <c r="O101" s="164" t="str">
        <f>IF(N('01_Stations'!$M$97)&gt;0,'01_Stations'!$M$97,"")</f>
        <v/>
      </c>
      <c r="P101" s="164" t="str">
        <f>IF(N('01_Stations'!$M$98)&gt;0,'01_Stations'!$M$98,"")</f>
        <v/>
      </c>
      <c r="Q101" s="164" t="str">
        <f>IF(N('01_Stations'!$M$99)&gt;0,'01_Stations'!$M$99,"")</f>
        <v/>
      </c>
      <c r="R101" s="164" t="str">
        <f>IF(N('01_Stations'!$M$100)&gt;0,'01_Stations'!$M$100,"")</f>
        <v/>
      </c>
      <c r="S101" s="164" t="str">
        <f>IF(N('01_Stations'!$M$101)&gt;0,'01_Stations'!$M$101,"")</f>
        <v/>
      </c>
      <c r="T101" s="164" t="str">
        <f>IF(N('01_Stations'!$M$102)&gt;0,'01_Stations'!$M$102,"")</f>
        <v/>
      </c>
      <c r="U101" s="164" t="str">
        <f>IF(N('01_Stations'!$M$103)&gt;0,'01_Stations'!$M$103,"")</f>
        <v/>
      </c>
      <c r="V101" s="164" t="str">
        <f>IF(N('01_Stations'!$M$104)&gt;0,'01_Stations'!$M$104,"")</f>
        <v/>
      </c>
      <c r="W101" s="164" t="str">
        <f>IF(N('01_Stations'!$M$105)&gt;0,'01_Stations'!$M$105,"")</f>
        <v/>
      </c>
      <c r="X101" s="164" t="str">
        <f>IF(N('01_Stations'!$M$106)&gt;0,'01_Stations'!$M$106,"")</f>
        <v/>
      </c>
      <c r="Y101" s="164" t="str">
        <f>IF(N('01_Stations'!$M$107)&gt;0,'01_Stations'!$M$107,"")</f>
        <v/>
      </c>
      <c r="Z101" s="164" t="str">
        <f>IF(N('01_Stations'!$M$108)&gt;0,'01_Stations'!$M$108,"")</f>
        <v/>
      </c>
      <c r="AA101" s="164" t="str">
        <f>IF(N('01_Stations'!$M$109)&gt;0,'01_Stations'!$M$109,"")</f>
        <v/>
      </c>
      <c r="AB101" s="164" t="str">
        <f>IF(N('01_Stations'!$M$110)&gt;0,'01_Stations'!$M$110,"")</f>
        <v/>
      </c>
      <c r="AC101" s="164" t="str">
        <f>IF(N('01_Stations'!$M$111)&gt;0,'01_Stations'!$M$111,"")</f>
        <v/>
      </c>
      <c r="AD101" s="164" t="str">
        <f>IF(N('01_Stations'!$M$112)&gt;0,'01_Stations'!$M$112,"")</f>
        <v/>
      </c>
      <c r="AE101" s="164" t="str">
        <f>IF(N('01_Stations'!$M$113)&gt;0,'01_Stations'!$M$113,"")</f>
        <v/>
      </c>
      <c r="AF101" s="164" t="str">
        <f>IF(N('01_Stations'!$M$114)&gt;0,'01_Stations'!$M$114,"")</f>
        <v/>
      </c>
      <c r="AG101" s="164" t="str">
        <f>IF(N('01_Stations'!$M$115)&gt;0,'01_Stations'!$M$115,"")</f>
        <v/>
      </c>
      <c r="AH101" s="164" t="str">
        <f>IF(N('01_Stations'!$M$116)&gt;0,'01_Stations'!$M$116,"")</f>
        <v/>
      </c>
      <c r="AI101" s="164" t="str">
        <f>IF(N('01_Stations'!$M$117)&gt;0,'01_Stations'!$M$117,"")</f>
        <v/>
      </c>
      <c r="AJ101" s="164" t="str">
        <f>IF(N('01_Stations'!$M$118)&gt;0,'01_Stations'!$M$118,"")</f>
        <v/>
      </c>
      <c r="AK101" s="164" t="str">
        <f>IF(N('01_Stations'!$M$119)&gt;0,'01_Stations'!$M$119,"")</f>
        <v/>
      </c>
      <c r="AL101" s="164" t="str">
        <f>IF(N('01_Stations'!$M$120)&gt;0,'01_Stations'!$M$120,"")</f>
        <v/>
      </c>
      <c r="AM101" s="164" t="str">
        <f>IF(N('01_Stations'!$M$121)&gt;0,'01_Stations'!$M$121,"")</f>
        <v/>
      </c>
      <c r="AN101" s="164" t="str">
        <f>IF(N('01_Stations'!$M$122)&gt;0,'01_Stations'!$M$122,"")</f>
        <v/>
      </c>
      <c r="AO101" s="164" t="str">
        <f>IF(N('01_Stations'!$M$123)&gt;0,'01_Stations'!$M$123,"")</f>
        <v/>
      </c>
      <c r="AP101" s="164" t="str">
        <f>IF(N('01_Stations'!$M$124)&gt;0,'01_Stations'!$M$124,"")</f>
        <v/>
      </c>
      <c r="AQ101" s="164" t="str">
        <f>IF(N('01_Stations'!$M$125)&gt;0,'01_Stations'!$M$125,"")</f>
        <v/>
      </c>
    </row>
    <row r="102" spans="1:43" ht="15" customHeight="1" x14ac:dyDescent="0.3">
      <c r="A102" s="236"/>
      <c r="B102" s="165" t="s">
        <v>2208</v>
      </c>
      <c r="C102" s="166" t="s">
        <v>63</v>
      </c>
      <c r="D102" s="164" t="str">
        <f>IF(N('01_Stations'!$N$86)&gt;0,'01_Stations'!$N$86,"")</f>
        <v/>
      </c>
      <c r="E102" s="164" t="str">
        <f>IF(N('01_Stations'!$N$87)&gt;0,'01_Stations'!$N$87,"")</f>
        <v/>
      </c>
      <c r="F102" s="164" t="str">
        <f>IF(N('01_Stations'!$N$88)&gt;0,'01_Stations'!$N$88,"")</f>
        <v/>
      </c>
      <c r="G102" s="164" t="str">
        <f>IF(N('01_Stations'!$N$89)&gt;0,'01_Stations'!$N$89,"")</f>
        <v/>
      </c>
      <c r="H102" s="164" t="str">
        <f>IF(N('01_Stations'!$N$90)&gt;0,'01_Stations'!$N$90,"")</f>
        <v/>
      </c>
      <c r="I102" s="164" t="str">
        <f>IF(N('01_Stations'!$N$91)&gt;0,'01_Stations'!$N$91,"")</f>
        <v/>
      </c>
      <c r="J102" s="164" t="str">
        <f>IF(N('01_Stations'!$N$92)&gt;0,'01_Stations'!$N$92,"")</f>
        <v/>
      </c>
      <c r="K102" s="164" t="str">
        <f>IF(N('01_Stations'!$N$93)&gt;0,'01_Stations'!$N$93,"")</f>
        <v/>
      </c>
      <c r="L102" s="164" t="str">
        <f>IF(N('01_Stations'!$N$94)&gt;0,'01_Stations'!$N$94,"")</f>
        <v/>
      </c>
      <c r="M102" s="164" t="str">
        <f>IF(N('01_Stations'!$N$95)&gt;0,'01_Stations'!$N$95,"")</f>
        <v/>
      </c>
      <c r="N102" s="164" t="str">
        <f>IF(N('01_Stations'!$N$96)&gt;0,'01_Stations'!$N$96,"")</f>
        <v/>
      </c>
      <c r="O102" s="164" t="str">
        <f>IF(N('01_Stations'!$N$97)&gt;0,'01_Stations'!$N$97,"")</f>
        <v/>
      </c>
      <c r="P102" s="164" t="str">
        <f>IF(N('01_Stations'!$N$98)&gt;0,'01_Stations'!$N$98,"")</f>
        <v/>
      </c>
      <c r="Q102" s="164" t="str">
        <f>IF(N('01_Stations'!$N$99)&gt;0,'01_Stations'!$N$99,"")</f>
        <v/>
      </c>
      <c r="R102" s="164" t="str">
        <f>IF(N('01_Stations'!$N$100)&gt;0,'01_Stations'!$N$100,"")</f>
        <v/>
      </c>
      <c r="S102" s="164" t="str">
        <f>IF(N('01_Stations'!$N$101)&gt;0,'01_Stations'!$N$101,"")</f>
        <v/>
      </c>
      <c r="T102" s="164" t="str">
        <f>IF(N('01_Stations'!$N$102)&gt;0,'01_Stations'!$N$102,"")</f>
        <v/>
      </c>
      <c r="U102" s="164" t="str">
        <f>IF(N('01_Stations'!$N$103)&gt;0,'01_Stations'!$N$103,"")</f>
        <v/>
      </c>
      <c r="V102" s="164" t="str">
        <f>IF(N('01_Stations'!$N$104)&gt;0,'01_Stations'!$N$104,"")</f>
        <v/>
      </c>
      <c r="W102" s="164" t="str">
        <f>IF(N('01_Stations'!$N$105)&gt;0,'01_Stations'!$N$105,"")</f>
        <v/>
      </c>
      <c r="X102" s="164" t="str">
        <f>IF(N('01_Stations'!$N$106)&gt;0,'01_Stations'!$N$106,"")</f>
        <v/>
      </c>
      <c r="Y102" s="164" t="str">
        <f>IF(N('01_Stations'!$N$107)&gt;0,'01_Stations'!$N$107,"")</f>
        <v/>
      </c>
      <c r="Z102" s="164" t="str">
        <f>IF(N('01_Stations'!$N$108)&gt;0,'01_Stations'!$N$108,"")</f>
        <v/>
      </c>
      <c r="AA102" s="164" t="str">
        <f>IF(N('01_Stations'!$N$109)&gt;0,'01_Stations'!$N$109,"")</f>
        <v/>
      </c>
      <c r="AB102" s="164" t="str">
        <f>IF(N('01_Stations'!$N$110)&gt;0,'01_Stations'!$N$110,"")</f>
        <v/>
      </c>
      <c r="AC102" s="164" t="str">
        <f>IF(N('01_Stations'!$N$111)&gt;0,'01_Stations'!$N$111,"")</f>
        <v/>
      </c>
      <c r="AD102" s="164" t="str">
        <f>IF(N('01_Stations'!$N$112)&gt;0,'01_Stations'!$N$112,"")</f>
        <v/>
      </c>
      <c r="AE102" s="164" t="str">
        <f>IF(N('01_Stations'!$N$113)&gt;0,'01_Stations'!$N$113,"")</f>
        <v/>
      </c>
      <c r="AF102" s="164" t="str">
        <f>IF(N('01_Stations'!$N$114)&gt;0,'01_Stations'!$N$114,"")</f>
        <v/>
      </c>
      <c r="AG102" s="164" t="str">
        <f>IF(N('01_Stations'!$N$115)&gt;0,'01_Stations'!$N$115,"")</f>
        <v/>
      </c>
      <c r="AH102" s="164" t="str">
        <f>IF(N('01_Stations'!$N$116)&gt;0,'01_Stations'!$N$116,"")</f>
        <v/>
      </c>
      <c r="AI102" s="164" t="str">
        <f>IF(N('01_Stations'!$N$117)&gt;0,'01_Stations'!$N$117,"")</f>
        <v/>
      </c>
      <c r="AJ102" s="164" t="str">
        <f>IF(N('01_Stations'!$N$118)&gt;0,'01_Stations'!$N$118,"")</f>
        <v/>
      </c>
      <c r="AK102" s="164" t="str">
        <f>IF(N('01_Stations'!$N$119)&gt;0,'01_Stations'!$N$119,"")</f>
        <v/>
      </c>
      <c r="AL102" s="164" t="str">
        <f>IF(N('01_Stations'!$N$120)&gt;0,'01_Stations'!$N$120,"")</f>
        <v/>
      </c>
      <c r="AM102" s="164" t="str">
        <f>IF(N('01_Stations'!$N$121)&gt;0,'01_Stations'!$N$121,"")</f>
        <v/>
      </c>
      <c r="AN102" s="164" t="str">
        <f>IF(N('01_Stations'!$N$122)&gt;0,'01_Stations'!$N$122,"")</f>
        <v/>
      </c>
      <c r="AO102" s="164" t="str">
        <f>IF(N('01_Stations'!$N$123)&gt;0,'01_Stations'!$N$123,"")</f>
        <v/>
      </c>
      <c r="AP102" s="164" t="str">
        <f>IF(N('01_Stations'!$N$124)&gt;0,'01_Stations'!$N$124,"")</f>
        <v/>
      </c>
      <c r="AQ102" s="164" t="str">
        <f>IF(N('01_Stations'!$N$125)&gt;0,'01_Stations'!$N$125,"")</f>
        <v/>
      </c>
    </row>
    <row r="103" spans="1:43" ht="15" customHeight="1" x14ac:dyDescent="0.3">
      <c r="A103" s="237"/>
      <c r="B103" s="165" t="s">
        <v>2209</v>
      </c>
      <c r="C103" s="166" t="s">
        <v>301</v>
      </c>
      <c r="D103" s="164" t="str">
        <f>IF(N('01_Stations'!$O$86)&gt;0,'01_Stations'!$O$86,"")</f>
        <v/>
      </c>
      <c r="E103" s="164" t="str">
        <f>IF(N('01_Stations'!$O$87)&gt;0,'01_Stations'!$O$87,"")</f>
        <v/>
      </c>
      <c r="F103" s="164" t="str">
        <f>IF(N('01_Stations'!$O$88)&gt;0,'01_Stations'!$O$88,"")</f>
        <v/>
      </c>
      <c r="G103" s="164" t="str">
        <f>IF(N('01_Stations'!$O$89)&gt;0,'01_Stations'!$O$89,"")</f>
        <v/>
      </c>
      <c r="H103" s="164" t="str">
        <f>IF(N('01_Stations'!$O$90)&gt;0,'01_Stations'!$O$90,"")</f>
        <v/>
      </c>
      <c r="I103" s="164" t="str">
        <f>IF(N('01_Stations'!$O$91)&gt;0,'01_Stations'!$O$91,"")</f>
        <v/>
      </c>
      <c r="J103" s="164" t="str">
        <f>IF(N('01_Stations'!$O$92)&gt;0,'01_Stations'!$O$92,"")</f>
        <v/>
      </c>
      <c r="K103" s="164" t="str">
        <f>IF(N('01_Stations'!$O$93)&gt;0,'01_Stations'!$O$93,"")</f>
        <v/>
      </c>
      <c r="L103" s="164" t="str">
        <f>IF(N('01_Stations'!$O$94)&gt;0,'01_Stations'!$O$94,"")</f>
        <v/>
      </c>
      <c r="M103" s="164" t="str">
        <f>IF(N('01_Stations'!$O$95)&gt;0,'01_Stations'!$O$95,"")</f>
        <v/>
      </c>
      <c r="N103" s="164" t="str">
        <f>IF(N('01_Stations'!$O$96)&gt;0,'01_Stations'!$O$96,"")</f>
        <v/>
      </c>
      <c r="O103" s="164" t="str">
        <f>IF(N('01_Stations'!$O$97)&gt;0,'01_Stations'!$O$97,"")</f>
        <v/>
      </c>
      <c r="P103" s="164" t="str">
        <f>IF(N('01_Stations'!$O$98)&gt;0,'01_Stations'!$O$98,"")</f>
        <v/>
      </c>
      <c r="Q103" s="164" t="str">
        <f>IF(N('01_Stations'!$O$99)&gt;0,'01_Stations'!$O$99,"")</f>
        <v/>
      </c>
      <c r="R103" s="164" t="str">
        <f>IF(N('01_Stations'!$O$100)&gt;0,'01_Stations'!$O$100,"")</f>
        <v/>
      </c>
      <c r="S103" s="164" t="str">
        <f>IF(N('01_Stations'!$O$101)&gt;0,'01_Stations'!$O$101,"")</f>
        <v/>
      </c>
      <c r="T103" s="164" t="str">
        <f>IF(N('01_Stations'!$O$102)&gt;0,'01_Stations'!$O$102,"")</f>
        <v/>
      </c>
      <c r="U103" s="164" t="str">
        <f>IF(N('01_Stations'!$O$103)&gt;0,'01_Stations'!$O$103,"")</f>
        <v/>
      </c>
      <c r="V103" s="164" t="str">
        <f>IF(N('01_Stations'!$O$104)&gt;0,'01_Stations'!$O$104,"")</f>
        <v/>
      </c>
      <c r="W103" s="164" t="str">
        <f>IF(N('01_Stations'!$O$105)&gt;0,'01_Stations'!$O$105,"")</f>
        <v/>
      </c>
      <c r="X103" s="164" t="str">
        <f>IF(N('01_Stations'!$O$106)&gt;0,'01_Stations'!$O$106,"")</f>
        <v/>
      </c>
      <c r="Y103" s="164" t="str">
        <f>IF(N('01_Stations'!$O$107)&gt;0,'01_Stations'!$O$107,"")</f>
        <v/>
      </c>
      <c r="Z103" s="164" t="str">
        <f>IF(N('01_Stations'!$O$108)&gt;0,'01_Stations'!$O$108,"")</f>
        <v/>
      </c>
      <c r="AA103" s="164" t="str">
        <f>IF(N('01_Stations'!$O$109)&gt;0,'01_Stations'!$O$109,"")</f>
        <v/>
      </c>
      <c r="AB103" s="164" t="str">
        <f>IF(N('01_Stations'!$O$110)&gt;0,'01_Stations'!$O$110,"")</f>
        <v/>
      </c>
      <c r="AC103" s="164" t="str">
        <f>IF(N('01_Stations'!$O$111)&gt;0,'01_Stations'!$O$111,"")</f>
        <v/>
      </c>
      <c r="AD103" s="164" t="str">
        <f>IF(N('01_Stations'!$O$112)&gt;0,'01_Stations'!$O$112,"")</f>
        <v/>
      </c>
      <c r="AE103" s="164" t="str">
        <f>IF(N('01_Stations'!$O$113)&gt;0,'01_Stations'!$O$113,"")</f>
        <v/>
      </c>
      <c r="AF103" s="164" t="str">
        <f>IF(N('01_Stations'!$O$114)&gt;0,'01_Stations'!$O$114,"")</f>
        <v/>
      </c>
      <c r="AG103" s="164" t="str">
        <f>IF(N('01_Stations'!$O$115)&gt;0,'01_Stations'!$O$115,"")</f>
        <v/>
      </c>
      <c r="AH103" s="164" t="str">
        <f>IF(N('01_Stations'!$O$116)&gt;0,'01_Stations'!$O$116,"")</f>
        <v/>
      </c>
      <c r="AI103" s="164" t="str">
        <f>IF(N('01_Stations'!$O$117)&gt;0,'01_Stations'!$O$117,"")</f>
        <v/>
      </c>
      <c r="AJ103" s="164" t="str">
        <f>IF(N('01_Stations'!$O$118)&gt;0,'01_Stations'!$O$118,"")</f>
        <v/>
      </c>
      <c r="AK103" s="164" t="str">
        <f>IF(N('01_Stations'!$O$119)&gt;0,'01_Stations'!$O$119,"")</f>
        <v/>
      </c>
      <c r="AL103" s="164" t="str">
        <f>IF(N('01_Stations'!$O$120)&gt;0,'01_Stations'!$O$120,"")</f>
        <v/>
      </c>
      <c r="AM103" s="164" t="str">
        <f>IF(N('01_Stations'!$O$121)&gt;0,'01_Stations'!$O$121,"")</f>
        <v/>
      </c>
      <c r="AN103" s="164" t="str">
        <f>IF(N('01_Stations'!$O$122)&gt;0,'01_Stations'!$O$122,"")</f>
        <v/>
      </c>
      <c r="AO103" s="164" t="str">
        <f>IF(N('01_Stations'!$O$123)&gt;0,'01_Stations'!$O$123,"")</f>
        <v/>
      </c>
      <c r="AP103" s="164" t="str">
        <f>IF(N('01_Stations'!$O$124)&gt;0,'01_Stations'!$O$124,"")</f>
        <v/>
      </c>
      <c r="AQ103" s="164" t="str">
        <f>IF(N('01_Stations'!$O$125)&gt;0,'01_Stations'!$O$125,"")</f>
        <v/>
      </c>
    </row>
    <row r="104" spans="1:43" ht="15" customHeight="1" x14ac:dyDescent="0.3">
      <c r="A104" s="238" t="s">
        <v>2210</v>
      </c>
      <c r="B104" s="165" t="s">
        <v>2211</v>
      </c>
      <c r="C104" s="166" t="s">
        <v>1622</v>
      </c>
      <c r="D104" s="164" t="str">
        <f>IF('01_Stations'!$P$86="","",'01_Stations'!$P$86)</f>
        <v/>
      </c>
      <c r="E104" s="164" t="str">
        <f>IF('01_Stations'!$P$87="","",'01_Stations'!$P$87)</f>
        <v/>
      </c>
      <c r="F104" s="164" t="str">
        <f>IF('01_Stations'!$P$88="","",'01_Stations'!$P$88)</f>
        <v/>
      </c>
      <c r="G104" s="164" t="str">
        <f>IF('01_Stations'!$P$89="","",'01_Stations'!$P$89)</f>
        <v/>
      </c>
      <c r="H104" s="164" t="str">
        <f>IF('01_Stations'!$P$90="","",'01_Stations'!$P$90)</f>
        <v/>
      </c>
      <c r="I104" s="164" t="str">
        <f>IF('01_Stations'!$P$91="","",'01_Stations'!$P$91)</f>
        <v/>
      </c>
      <c r="J104" s="164" t="str">
        <f>IF('01_Stations'!$P$92="","",'01_Stations'!$P$92)</f>
        <v/>
      </c>
      <c r="K104" s="164" t="str">
        <f>IF('01_Stations'!$P$93="","",'01_Stations'!$P$93)</f>
        <v/>
      </c>
      <c r="L104" s="164" t="str">
        <f>IF('01_Stations'!$P$94="","",'01_Stations'!$P$94)</f>
        <v/>
      </c>
      <c r="M104" s="164" t="str">
        <f>IF('01_Stations'!$P$95="","",'01_Stations'!$P$95)</f>
        <v/>
      </c>
      <c r="N104" s="164" t="str">
        <f>IF('01_Stations'!$P$96="","",'01_Stations'!$P$96)</f>
        <v/>
      </c>
      <c r="O104" s="164" t="str">
        <f>IF('01_Stations'!$P$97="","",'01_Stations'!$P$97)</f>
        <v/>
      </c>
      <c r="P104" s="164" t="str">
        <f>IF('01_Stations'!$P$98="","",'01_Stations'!$P$98)</f>
        <v/>
      </c>
      <c r="Q104" s="164" t="str">
        <f>IF('01_Stations'!$P$99="","",'01_Stations'!$P$99)</f>
        <v/>
      </c>
      <c r="R104" s="164" t="str">
        <f>IF('01_Stations'!$P$100="","",'01_Stations'!$P$100)</f>
        <v/>
      </c>
      <c r="S104" s="164" t="str">
        <f>IF('01_Stations'!$P$101="","",'01_Stations'!$P$101)</f>
        <v/>
      </c>
      <c r="T104" s="164" t="str">
        <f>IF('01_Stations'!$P$102="","",'01_Stations'!$P$102)</f>
        <v/>
      </c>
      <c r="U104" s="164" t="str">
        <f>IF('01_Stations'!$P$103="","",'01_Stations'!$P$103)</f>
        <v/>
      </c>
      <c r="V104" s="164" t="str">
        <f>IF('01_Stations'!$P$104="","",'01_Stations'!$P$104)</f>
        <v/>
      </c>
      <c r="W104" s="164" t="str">
        <f>IF('01_Stations'!$P$105="","",'01_Stations'!$P$105)</f>
        <v/>
      </c>
      <c r="X104" s="164" t="str">
        <f>IF('01_Stations'!$P$106="","",'01_Stations'!$P$106)</f>
        <v/>
      </c>
      <c r="Y104" s="164" t="str">
        <f>IF('01_Stations'!$P$107="","",'01_Stations'!$P$107)</f>
        <v/>
      </c>
      <c r="Z104" s="164" t="str">
        <f>IF('01_Stations'!$P$108="","",'01_Stations'!$P$108)</f>
        <v/>
      </c>
      <c r="AA104" s="164" t="str">
        <f>IF('01_Stations'!$P$109="","",'01_Stations'!$P$109)</f>
        <v/>
      </c>
      <c r="AB104" s="164" t="str">
        <f>IF('01_Stations'!$P$110="","",'01_Stations'!$P$110)</f>
        <v/>
      </c>
      <c r="AC104" s="164" t="str">
        <f>IF('01_Stations'!$P$111="","",'01_Stations'!$P$111)</f>
        <v/>
      </c>
      <c r="AD104" s="164" t="str">
        <f>IF('01_Stations'!$P$112="","",'01_Stations'!$P$112)</f>
        <v/>
      </c>
      <c r="AE104" s="164" t="str">
        <f>IF('01_Stations'!$P$113="","",'01_Stations'!$P$113)</f>
        <v/>
      </c>
      <c r="AF104" s="164" t="str">
        <f>IF('01_Stations'!$P$114="","",'01_Stations'!$P$114)</f>
        <v/>
      </c>
      <c r="AG104" s="164" t="str">
        <f>IF('01_Stations'!$P$115="","",'01_Stations'!$P$115)</f>
        <v/>
      </c>
      <c r="AH104" s="164" t="str">
        <f>IF('01_Stations'!$P$116="","",'01_Stations'!$P$116)</f>
        <v/>
      </c>
      <c r="AI104" s="164" t="str">
        <f>IF('01_Stations'!$P$117="","",'01_Stations'!$P$117)</f>
        <v/>
      </c>
      <c r="AJ104" s="164" t="str">
        <f>IF('01_Stations'!$P$118="","",'01_Stations'!$P$118)</f>
        <v/>
      </c>
      <c r="AK104" s="164" t="str">
        <f>IF('01_Stations'!$P$119="","",'01_Stations'!$P$119)</f>
        <v/>
      </c>
      <c r="AL104" s="164" t="str">
        <f>IF('01_Stations'!$P$120="","",'01_Stations'!$P$120)</f>
        <v/>
      </c>
      <c r="AM104" s="164" t="str">
        <f>IF('01_Stations'!$P$121="","",'01_Stations'!$P$121)</f>
        <v/>
      </c>
      <c r="AN104" s="164" t="str">
        <f>IF('01_Stations'!$P$122="","",'01_Stations'!$P$122)</f>
        <v/>
      </c>
      <c r="AO104" s="164" t="str">
        <f>IF('01_Stations'!$P$123="","",'01_Stations'!$P$123)</f>
        <v/>
      </c>
      <c r="AP104" s="164" t="str">
        <f>IF('01_Stations'!$P$124="","",'01_Stations'!$P$124)</f>
        <v/>
      </c>
      <c r="AQ104" s="164" t="str">
        <f>IF('01_Stations'!$P$125="","",'01_Stations'!$P$125)</f>
        <v/>
      </c>
    </row>
    <row r="105" spans="1:43" ht="15" customHeight="1" x14ac:dyDescent="0.3">
      <c r="A105" s="236"/>
      <c r="B105" s="165"/>
      <c r="C105" s="166" t="s">
        <v>2212</v>
      </c>
      <c r="D105" s="164" t="str">
        <f>IF('01_Stations'!$Q$86="","",'01_Stations'!$Q$86)</f>
        <v/>
      </c>
      <c r="E105" s="164" t="str">
        <f>IF('01_Stations'!$Q$87="","",'01_Stations'!$Q$87)</f>
        <v/>
      </c>
      <c r="F105" s="164" t="str">
        <f>IF('01_Stations'!$Q$88="","",'01_Stations'!$Q$88)</f>
        <v/>
      </c>
      <c r="G105" s="164" t="str">
        <f>IF('01_Stations'!$Q$89="","",'01_Stations'!$Q$89)</f>
        <v/>
      </c>
      <c r="H105" s="164" t="str">
        <f>IF('01_Stations'!$Q$90="","",'01_Stations'!$Q$90)</f>
        <v/>
      </c>
      <c r="I105" s="164" t="str">
        <f>IF('01_Stations'!$Q$91="","",'01_Stations'!$Q$91)</f>
        <v/>
      </c>
      <c r="J105" s="164" t="str">
        <f>IF('01_Stations'!$Q$92="","",'01_Stations'!$Q$92)</f>
        <v/>
      </c>
      <c r="K105" s="164" t="str">
        <f>IF('01_Stations'!$Q$93="","",'01_Stations'!$Q$93)</f>
        <v/>
      </c>
      <c r="L105" s="164" t="str">
        <f>IF('01_Stations'!$Q$94="","",'01_Stations'!$Q$94)</f>
        <v/>
      </c>
      <c r="M105" s="164" t="str">
        <f>IF('01_Stations'!$Q$95="","",'01_Stations'!$Q$95)</f>
        <v/>
      </c>
      <c r="N105" s="164" t="str">
        <f>IF('01_Stations'!$Q$96="","",'01_Stations'!$Q$96)</f>
        <v/>
      </c>
      <c r="O105" s="164" t="str">
        <f>IF('01_Stations'!$Q$97="","",'01_Stations'!$Q$97)</f>
        <v/>
      </c>
      <c r="P105" s="164" t="str">
        <f>IF('01_Stations'!$Q$98="","",'01_Stations'!$Q$98)</f>
        <v/>
      </c>
      <c r="Q105" s="164" t="str">
        <f>IF('01_Stations'!$Q$99="","",'01_Stations'!$Q$99)</f>
        <v/>
      </c>
      <c r="R105" s="164" t="str">
        <f>IF('01_Stations'!$Q$100="","",'01_Stations'!$Q$100)</f>
        <v/>
      </c>
      <c r="S105" s="164" t="str">
        <f>IF('01_Stations'!$Q$101="","",'01_Stations'!$Q$101)</f>
        <v/>
      </c>
      <c r="T105" s="164" t="str">
        <f>IF('01_Stations'!$Q$102="","",'01_Stations'!$Q$102)</f>
        <v/>
      </c>
      <c r="U105" s="164" t="str">
        <f>IF('01_Stations'!$Q$103="","",'01_Stations'!$Q$103)</f>
        <v/>
      </c>
      <c r="V105" s="164" t="str">
        <f>IF('01_Stations'!$Q$104="","",'01_Stations'!$Q$104)</f>
        <v/>
      </c>
      <c r="W105" s="164" t="str">
        <f>IF('01_Stations'!$Q$105="","",'01_Stations'!$Q$105)</f>
        <v/>
      </c>
      <c r="X105" s="164" t="str">
        <f>IF('01_Stations'!$Q$106="","",'01_Stations'!$Q$106)</f>
        <v/>
      </c>
      <c r="Y105" s="164" t="str">
        <f>IF('01_Stations'!$Q$107="","",'01_Stations'!$Q$107)</f>
        <v/>
      </c>
      <c r="Z105" s="164" t="str">
        <f>IF('01_Stations'!$Q$108="","",'01_Stations'!$Q$108)</f>
        <v/>
      </c>
      <c r="AA105" s="164" t="str">
        <f>IF('01_Stations'!$Q$109="","",'01_Stations'!$Q$109)</f>
        <v/>
      </c>
      <c r="AB105" s="164" t="str">
        <f>IF('01_Stations'!$Q$110="","",'01_Stations'!$Q$110)</f>
        <v/>
      </c>
      <c r="AC105" s="164" t="str">
        <f>IF('01_Stations'!$Q$111="","",'01_Stations'!$Q$111)</f>
        <v/>
      </c>
      <c r="AD105" s="164" t="str">
        <f>IF('01_Stations'!$Q$112="","",'01_Stations'!$Q$112)</f>
        <v/>
      </c>
      <c r="AE105" s="164" t="str">
        <f>IF('01_Stations'!$Q$113="","",'01_Stations'!$Q$113)</f>
        <v/>
      </c>
      <c r="AF105" s="164" t="str">
        <f>IF('01_Stations'!$Q$114="","",'01_Stations'!$Q$114)</f>
        <v/>
      </c>
      <c r="AG105" s="164" t="str">
        <f>IF('01_Stations'!$Q$115="","",'01_Stations'!$Q$115)</f>
        <v/>
      </c>
      <c r="AH105" s="164" t="str">
        <f>IF('01_Stations'!$Q$116="","",'01_Stations'!$Q$116)</f>
        <v/>
      </c>
      <c r="AI105" s="164" t="str">
        <f>IF('01_Stations'!$Q$117="","",'01_Stations'!$Q$117)</f>
        <v/>
      </c>
      <c r="AJ105" s="164" t="str">
        <f>IF('01_Stations'!$Q$118="","",'01_Stations'!$Q$118)</f>
        <v/>
      </c>
      <c r="AK105" s="164" t="str">
        <f>IF('01_Stations'!$Q$119="","",'01_Stations'!$Q$119)</f>
        <v/>
      </c>
      <c r="AL105" s="164" t="str">
        <f>IF('01_Stations'!$Q$120="","",'01_Stations'!$Q$120)</f>
        <v/>
      </c>
      <c r="AM105" s="164" t="str">
        <f>IF('01_Stations'!$Q$121="","",'01_Stations'!$Q$121)</f>
        <v/>
      </c>
      <c r="AN105" s="164" t="str">
        <f>IF('01_Stations'!$Q$122="","",'01_Stations'!$Q$122)</f>
        <v/>
      </c>
      <c r="AO105" s="164" t="str">
        <f>IF('01_Stations'!$Q$123="","",'01_Stations'!$Q$123)</f>
        <v/>
      </c>
      <c r="AP105" s="164" t="str">
        <f>IF('01_Stations'!$Q$124="","",'01_Stations'!$Q$124)</f>
        <v/>
      </c>
      <c r="AQ105" s="164" t="str">
        <f>IF('01_Stations'!$Q$125="","",'01_Stations'!$Q$125)</f>
        <v/>
      </c>
    </row>
    <row r="106" spans="1:43" ht="15" customHeight="1" x14ac:dyDescent="0.3">
      <c r="A106" s="236"/>
      <c r="B106" s="165" t="s">
        <v>2213</v>
      </c>
      <c r="C106" s="166"/>
      <c r="D106" s="164" t="str">
        <f>IF('01_Stations'!$R$86=1,"ϰ",IF('01_Stations'!$R$86=2,"І",IF('01_Stations'!$R$86=3,"╦","")))</f>
        <v/>
      </c>
      <c r="E106" s="164" t="str">
        <f>IF('01_Stations'!$R$87=1,"ϰ",IF('01_Stations'!$R$87=2,"І",IF('01_Stations'!$R$87=3,"╦","")))</f>
        <v/>
      </c>
      <c r="F106" s="164" t="str">
        <f>IF('01_Stations'!$R$88=1,"ϰ",IF('01_Stations'!$R$88=2,"І",IF('01_Stations'!$R$88=3,"╦","")))</f>
        <v/>
      </c>
      <c r="G106" s="164" t="str">
        <f>IF('01_Stations'!$R$89=1,"ϰ",IF('01_Stations'!$R$89=2,"І",IF('01_Stations'!$R$89=3,"╦","")))</f>
        <v/>
      </c>
      <c r="H106" s="164" t="str">
        <f>IF('01_Stations'!$R$90=1,"ϰ",IF('01_Stations'!$R$90=2,"І",IF('01_Stations'!$R$90=3,"╦","")))</f>
        <v/>
      </c>
      <c r="I106" s="164" t="str">
        <f>IF('01_Stations'!$R$91=1,"ϰ",IF('01_Stations'!$R$91=2,"І",IF('01_Stations'!$R$91=3,"╦","")))</f>
        <v/>
      </c>
      <c r="J106" s="164" t="str">
        <f>IF('01_Stations'!$R$92=1,"ϰ",IF('01_Stations'!$R$92=2,"І",IF('01_Stations'!$R$92=3,"╦","")))</f>
        <v/>
      </c>
      <c r="K106" s="164" t="str">
        <f>IF('01_Stations'!$R$93=1,"ϰ",IF('01_Stations'!$R$93=2,"І",IF('01_Stations'!$R$93=3,"╦","")))</f>
        <v/>
      </c>
      <c r="L106" s="164" t="str">
        <f>IF('01_Stations'!$R$94=1,"ϰ",IF('01_Stations'!$R$94=2,"І",IF('01_Stations'!$R$94=3,"╦","")))</f>
        <v/>
      </c>
      <c r="M106" s="164" t="str">
        <f>IF('01_Stations'!$R$95=1,"ϰ",IF('01_Stations'!$R$95=2,"І",IF('01_Stations'!$R$95=3,"╦","")))</f>
        <v/>
      </c>
      <c r="N106" s="164" t="str">
        <f>IF('01_Stations'!$R$96=1,"ϰ",IF('01_Stations'!$R$96=2,"І",IF('01_Stations'!$R$96=3,"╦","")))</f>
        <v/>
      </c>
      <c r="O106" s="164" t="str">
        <f>IF('01_Stations'!$R$97=1,"ϰ",IF('01_Stations'!$R$97=2,"І",IF('01_Stations'!$R$97=3,"╦","")))</f>
        <v/>
      </c>
      <c r="P106" s="164" t="str">
        <f>IF('01_Stations'!$R$98=1,"ϰ",IF('01_Stations'!$R$98=2,"І",IF('01_Stations'!$R$98=3,"╦","")))</f>
        <v/>
      </c>
      <c r="Q106" s="164" t="str">
        <f>IF('01_Stations'!$R$99=1,"ϰ",IF('01_Stations'!$R$99=2,"І",IF('01_Stations'!$R$99=3,"╦","")))</f>
        <v/>
      </c>
      <c r="R106" s="164" t="str">
        <f>IF('01_Stations'!$R$100=1,"ϰ",IF('01_Stations'!$R$100=2,"І",IF('01_Stations'!$R$100=3,"╦","")))</f>
        <v/>
      </c>
      <c r="S106" s="164" t="str">
        <f>IF('01_Stations'!$R$101=1,"ϰ",IF('01_Stations'!$R$101=2,"І",IF('01_Stations'!$R$101=3,"╦","")))</f>
        <v/>
      </c>
      <c r="T106" s="164" t="str">
        <f>IF('01_Stations'!$R$102=1,"ϰ",IF('01_Stations'!$R$102=2,"І",IF('01_Stations'!$R$102=3,"╦","")))</f>
        <v/>
      </c>
      <c r="U106" s="164" t="str">
        <f>IF('01_Stations'!$R$103=1,"ϰ",IF('01_Stations'!$R$103=2,"І",IF('01_Stations'!$R$103=3,"╦","")))</f>
        <v/>
      </c>
      <c r="V106" s="164" t="str">
        <f>IF('01_Stations'!$R$104=1,"ϰ",IF('01_Stations'!$R$104=2,"І",IF('01_Stations'!$R$104=3,"╦","")))</f>
        <v/>
      </c>
      <c r="W106" s="164" t="str">
        <f>IF('01_Stations'!$R$105=1,"ϰ",IF('01_Stations'!$R$105=2,"І",IF('01_Stations'!$R$105=3,"╦","")))</f>
        <v/>
      </c>
      <c r="X106" s="164" t="str">
        <f>IF('01_Stations'!$R$106=1,"ϰ",IF('01_Stations'!$R$106=2,"І",IF('01_Stations'!$R$106=3,"╦","")))</f>
        <v/>
      </c>
      <c r="Y106" s="164" t="str">
        <f>IF('01_Stations'!$R$107=1,"ϰ",IF('01_Stations'!$R$107=2,"І",IF('01_Stations'!$R$107=3,"╦","")))</f>
        <v/>
      </c>
      <c r="Z106" s="164" t="str">
        <f>IF('01_Stations'!$R$108=1,"ϰ",IF('01_Stations'!$R$108=2,"І",IF('01_Stations'!$R$108=3,"╦","")))</f>
        <v/>
      </c>
      <c r="AA106" s="164" t="str">
        <f>IF('01_Stations'!$R$109=1,"ϰ",IF('01_Stations'!$R$109=2,"І",IF('01_Stations'!$R$109=3,"╦","")))</f>
        <v/>
      </c>
      <c r="AB106" s="164" t="str">
        <f>IF('01_Stations'!$R$110=1,"ϰ",IF('01_Stations'!$R$110=2,"І",IF('01_Stations'!$R$110=3,"╦","")))</f>
        <v/>
      </c>
      <c r="AC106" s="164" t="str">
        <f>IF('01_Stations'!$R$111=1,"ϰ",IF('01_Stations'!$R$111=2,"І",IF('01_Stations'!$R$111=3,"╦","")))</f>
        <v/>
      </c>
      <c r="AD106" s="164" t="str">
        <f>IF('01_Stations'!$R$112=1,"ϰ",IF('01_Stations'!$R$112=2,"І",IF('01_Stations'!$R$112=3,"╦","")))</f>
        <v/>
      </c>
      <c r="AE106" s="164" t="str">
        <f>IF('01_Stations'!$R$113=1,"ϰ",IF('01_Stations'!$R$113=2,"І",IF('01_Stations'!$R$113=3,"╦","")))</f>
        <v/>
      </c>
      <c r="AF106" s="164" t="str">
        <f>IF('01_Stations'!$R$114=1,"ϰ",IF('01_Stations'!$R$114=2,"І",IF('01_Stations'!$R$114=3,"╦","")))</f>
        <v/>
      </c>
      <c r="AG106" s="164" t="str">
        <f>IF('01_Stations'!$R$115=1,"ϰ",IF('01_Stations'!$R$115=2,"І",IF('01_Stations'!$R$115=3,"╦","")))</f>
        <v/>
      </c>
      <c r="AH106" s="164" t="str">
        <f>IF('01_Stations'!$R$116=1,"ϰ",IF('01_Stations'!$R$116=2,"І",IF('01_Stations'!$R$116=3,"╦","")))</f>
        <v/>
      </c>
      <c r="AI106" s="164" t="str">
        <f>IF('01_Stations'!$R$117=1,"ϰ",IF('01_Stations'!$R$117=2,"І",IF('01_Stations'!$R$117=3,"╦","")))</f>
        <v/>
      </c>
      <c r="AJ106" s="164" t="str">
        <f>IF('01_Stations'!$R$118=1,"ϰ",IF('01_Stations'!$R$118=2,"І",IF('01_Stations'!$R$118=3,"╦","")))</f>
        <v/>
      </c>
      <c r="AK106" s="164" t="str">
        <f>IF('01_Stations'!$R$119=1,"ϰ",IF('01_Stations'!$R$119=2,"І",IF('01_Stations'!$R$119=3,"╦","")))</f>
        <v/>
      </c>
      <c r="AL106" s="164" t="str">
        <f>IF('01_Stations'!$R$120=1,"ϰ",IF('01_Stations'!$R$120=2,"І",IF('01_Stations'!$R$120=3,"╦","")))</f>
        <v/>
      </c>
      <c r="AM106" s="164" t="str">
        <f>IF('01_Stations'!$R$121=1,"ϰ",IF('01_Stations'!$R$121=2,"І",IF('01_Stations'!$R$121=3,"╦","")))</f>
        <v/>
      </c>
      <c r="AN106" s="164" t="str">
        <f>IF('01_Stations'!$R$122=1,"ϰ",IF('01_Stations'!$R$122=2,"І",IF('01_Stations'!$R$122=3,"╦","")))</f>
        <v/>
      </c>
      <c r="AO106" s="164" t="str">
        <f>IF('01_Stations'!$R$123=1,"ϰ",IF('01_Stations'!$R$123=2,"І",IF('01_Stations'!$R$123=3,"╦","")))</f>
        <v/>
      </c>
      <c r="AP106" s="164" t="str">
        <f>IF('01_Stations'!$R$124=1,"ϰ",IF('01_Stations'!$R$124=2,"І",IF('01_Stations'!$R$124=3,"╦","")))</f>
        <v/>
      </c>
      <c r="AQ106" s="164" t="str">
        <f>IF('01_Stations'!$R$125=1,"ϰ",IF('01_Stations'!$R$125=2,"І",IF('01_Stations'!$R$125=3,"╦","")))</f>
        <v/>
      </c>
    </row>
    <row r="107" spans="1:43" ht="15" customHeight="1" x14ac:dyDescent="0.3">
      <c r="A107" s="236"/>
      <c r="B107" s="165" t="s">
        <v>2214</v>
      </c>
      <c r="C107" s="166"/>
      <c r="D107" s="164" t="str">
        <f>IF('01_Stations'!$S$86=1,"Ӂ",IF('01_Stations'!$S$86=2,"Җ",""))</f>
        <v/>
      </c>
      <c r="E107" s="164" t="str">
        <f>IF('01_Stations'!$S$87=1,"Ӂ",IF('01_Stations'!$S$87=2,"Җ",""))</f>
        <v/>
      </c>
      <c r="F107" s="164" t="str">
        <f>IF('01_Stations'!$S$88=1,"Ӂ",IF('01_Stations'!$S$88=2,"Җ",""))</f>
        <v/>
      </c>
      <c r="G107" s="164" t="str">
        <f>IF('01_Stations'!$S$89=1,"Ӂ",IF('01_Stations'!$S$89=2,"Җ",""))</f>
        <v/>
      </c>
      <c r="H107" s="164" t="str">
        <f>IF('01_Stations'!$S$90=1,"Ӂ",IF('01_Stations'!$S$90=2,"Җ",""))</f>
        <v/>
      </c>
      <c r="I107" s="164" t="str">
        <f>IF('01_Stations'!$S$91=1,"Ӂ",IF('01_Stations'!$S$91=2,"Җ",""))</f>
        <v/>
      </c>
      <c r="J107" s="164" t="str">
        <f>IF('01_Stations'!$S$92=1,"Ӂ",IF('01_Stations'!$S$92=2,"Җ",""))</f>
        <v/>
      </c>
      <c r="K107" s="164" t="str">
        <f>IF('01_Stations'!$S$93=1,"Ӂ",IF('01_Stations'!$S$93=2,"Җ",""))</f>
        <v/>
      </c>
      <c r="L107" s="164" t="str">
        <f>IF('01_Stations'!$S$94=1,"Ӂ",IF('01_Stations'!$S$94=2,"Җ",""))</f>
        <v/>
      </c>
      <c r="M107" s="164" t="str">
        <f>IF('01_Stations'!$S$95=1,"Ӂ",IF('01_Stations'!$S$95=2,"Җ",""))</f>
        <v/>
      </c>
      <c r="N107" s="164" t="str">
        <f>IF('01_Stations'!$S$96=1,"Ӂ",IF('01_Stations'!$S$96=2,"Җ",""))</f>
        <v/>
      </c>
      <c r="O107" s="164" t="str">
        <f>IF('01_Stations'!$S$97=1,"Ӂ",IF('01_Stations'!$S$97=2,"Җ",""))</f>
        <v/>
      </c>
      <c r="P107" s="164" t="str">
        <f>IF('01_Stations'!$S$98=1,"Ӂ",IF('01_Stations'!$S$98=2,"Җ",""))</f>
        <v/>
      </c>
      <c r="Q107" s="164" t="str">
        <f>IF('01_Stations'!$S$99=1,"Ӂ",IF('01_Stations'!$S$99=2,"Җ",""))</f>
        <v/>
      </c>
      <c r="R107" s="164" t="str">
        <f>IF('01_Stations'!$S$100=1,"Ӂ",IF('01_Stations'!$S$100=2,"Җ",""))</f>
        <v/>
      </c>
      <c r="S107" s="164" t="str">
        <f>IF('01_Stations'!$S$101=1,"Ӂ",IF('01_Stations'!$S$101=2,"Җ",""))</f>
        <v/>
      </c>
      <c r="T107" s="164" t="str">
        <f>IF('01_Stations'!$S$102=1,"Ӂ",IF('01_Stations'!$S$102=2,"Җ",""))</f>
        <v/>
      </c>
      <c r="U107" s="164" t="str">
        <f>IF('01_Stations'!$S$103=1,"Ӂ",IF('01_Stations'!$S$103=2,"Җ",""))</f>
        <v/>
      </c>
      <c r="V107" s="164" t="str">
        <f>IF('01_Stations'!$S$104=1,"Ӂ",IF('01_Stations'!$S$104=2,"Җ",""))</f>
        <v/>
      </c>
      <c r="W107" s="164" t="str">
        <f>IF('01_Stations'!$S$105=1,"Ӂ",IF('01_Stations'!$S$105=2,"Җ",""))</f>
        <v/>
      </c>
      <c r="X107" s="164" t="str">
        <f>IF('01_Stations'!$S$106=1,"Ӂ",IF('01_Stations'!$S$106=2,"Җ",""))</f>
        <v/>
      </c>
      <c r="Y107" s="164" t="str">
        <f>IF('01_Stations'!$S$107=1,"Ӂ",IF('01_Stations'!$S$107=2,"Җ",""))</f>
        <v/>
      </c>
      <c r="Z107" s="164" t="str">
        <f>IF('01_Stations'!$S$108=1,"Ӂ",IF('01_Stations'!$S$108=2,"Җ",""))</f>
        <v/>
      </c>
      <c r="AA107" s="164" t="str">
        <f>IF('01_Stations'!$S$109=1,"Ӂ",IF('01_Stations'!$S$109=2,"Җ",""))</f>
        <v/>
      </c>
      <c r="AB107" s="164" t="str">
        <f>IF('01_Stations'!$S$110=1,"Ӂ",IF('01_Stations'!$S$110=2,"Җ",""))</f>
        <v/>
      </c>
      <c r="AC107" s="164" t="str">
        <f>IF('01_Stations'!$S$111=1,"Ӂ",IF('01_Stations'!$S$111=2,"Җ",""))</f>
        <v/>
      </c>
      <c r="AD107" s="164" t="str">
        <f>IF('01_Stations'!$S$112=1,"Ӂ",IF('01_Stations'!$S$112=2,"Җ",""))</f>
        <v/>
      </c>
      <c r="AE107" s="164" t="str">
        <f>IF('01_Stations'!$S$113=1,"Ӂ",IF('01_Stations'!$S$113=2,"Җ",""))</f>
        <v/>
      </c>
      <c r="AF107" s="164" t="str">
        <f>IF('01_Stations'!$S$114=1,"Ӂ",IF('01_Stations'!$S$114=2,"Җ",""))</f>
        <v/>
      </c>
      <c r="AG107" s="164" t="str">
        <f>IF('01_Stations'!$S$115=1,"Ӂ",IF('01_Stations'!$S$115=2,"Җ",""))</f>
        <v/>
      </c>
      <c r="AH107" s="164" t="str">
        <f>IF('01_Stations'!$S$116=1,"Ӂ",IF('01_Stations'!$S$116=2,"Җ",""))</f>
        <v/>
      </c>
      <c r="AI107" s="164" t="str">
        <f>IF('01_Stations'!$S$117=1,"Ӂ",IF('01_Stations'!$S$117=2,"Җ",""))</f>
        <v/>
      </c>
      <c r="AJ107" s="164" t="str">
        <f>IF('01_Stations'!$S$118=1,"Ӂ",IF('01_Stations'!$S$118=2,"Җ",""))</f>
        <v/>
      </c>
      <c r="AK107" s="164" t="str">
        <f>IF('01_Stations'!$S$119=1,"Ӂ",IF('01_Stations'!$S$119=2,"Җ",""))</f>
        <v/>
      </c>
      <c r="AL107" s="164" t="str">
        <f>IF('01_Stations'!$S$120=1,"Ӂ",IF('01_Stations'!$S$120=2,"Җ",""))</f>
        <v/>
      </c>
      <c r="AM107" s="164" t="str">
        <f>IF('01_Stations'!$S$121=1,"Ӂ",IF('01_Stations'!$S$121=2,"Җ",""))</f>
        <v/>
      </c>
      <c r="AN107" s="164" t="str">
        <f>IF('01_Stations'!$S$122=1,"Ӂ",IF('01_Stations'!$S$122=2,"Җ",""))</f>
        <v/>
      </c>
      <c r="AO107" s="164" t="str">
        <f>IF('01_Stations'!$S$123=1,"Ӂ",IF('01_Stations'!$S$123=2,"Җ",""))</f>
        <v/>
      </c>
      <c r="AP107" s="164" t="str">
        <f>IF('01_Stations'!$S$124=1,"Ӂ",IF('01_Stations'!$S$124=2,"Җ",""))</f>
        <v/>
      </c>
      <c r="AQ107" s="164" t="str">
        <f>IF('01_Stations'!$S$125=1,"Ӂ",IF('01_Stations'!$S$125=2,"Җ",""))</f>
        <v/>
      </c>
    </row>
    <row r="108" spans="1:43" ht="15" customHeight="1" x14ac:dyDescent="0.3">
      <c r="A108" s="236"/>
      <c r="B108" s="165" t="s">
        <v>2215</v>
      </c>
      <c r="C108" s="166" t="s">
        <v>1622</v>
      </c>
      <c r="D108" s="164" t="str">
        <f>IF('01_Stations'!$T$86=1,"───","")</f>
        <v/>
      </c>
      <c r="E108" s="164" t="str">
        <f>IF('01_Stations'!$T$87=1,"───","")</f>
        <v/>
      </c>
      <c r="F108" s="164" t="str">
        <f>IF('01_Stations'!$T$88=1,"───","")</f>
        <v/>
      </c>
      <c r="G108" s="164" t="str">
        <f>IF('01_Stations'!$T$89=1,"───","")</f>
        <v/>
      </c>
      <c r="H108" s="164" t="str">
        <f>IF('01_Stations'!$T$90=1,"───","")</f>
        <v/>
      </c>
      <c r="I108" s="164" t="str">
        <f>IF('01_Stations'!$T$91=1,"───","")</f>
        <v/>
      </c>
      <c r="J108" s="164" t="str">
        <f>IF('01_Stations'!$T$92=1,"───","")</f>
        <v/>
      </c>
      <c r="K108" s="164" t="str">
        <f>IF('01_Stations'!$T$93=1,"───","")</f>
        <v/>
      </c>
      <c r="L108" s="164" t="str">
        <f>IF('01_Stations'!$T$94=1,"───","")</f>
        <v/>
      </c>
      <c r="M108" s="164" t="str">
        <f>IF('01_Stations'!$T$95=1,"───","")</f>
        <v/>
      </c>
      <c r="N108" s="164" t="str">
        <f>IF('01_Stations'!$T$96=1,"───","")</f>
        <v/>
      </c>
      <c r="O108" s="164" t="str">
        <f>IF('01_Stations'!$T$97=1,"───","")</f>
        <v/>
      </c>
      <c r="P108" s="164" t="str">
        <f>IF('01_Stations'!$T$98=1,"───","")</f>
        <v/>
      </c>
      <c r="Q108" s="164" t="str">
        <f>IF('01_Stations'!$T$99=1,"───","")</f>
        <v/>
      </c>
      <c r="R108" s="164" t="str">
        <f>IF('01_Stations'!$T$100=1,"───","")</f>
        <v/>
      </c>
      <c r="S108" s="164" t="str">
        <f>IF('01_Stations'!$T$101=1,"───","")</f>
        <v/>
      </c>
      <c r="T108" s="164" t="str">
        <f>IF('01_Stations'!$T$102=1,"───","")</f>
        <v/>
      </c>
      <c r="U108" s="164" t="str">
        <f>IF('01_Stations'!$T$103=1,"───","")</f>
        <v/>
      </c>
      <c r="V108" s="164" t="str">
        <f>IF('01_Stations'!$T$104=1,"───","")</f>
        <v/>
      </c>
      <c r="W108" s="164" t="str">
        <f>IF('01_Stations'!$T$105=1,"───","")</f>
        <v/>
      </c>
      <c r="X108" s="164" t="str">
        <f>IF('01_Stations'!$T$106=1,"───","")</f>
        <v/>
      </c>
      <c r="Y108" s="164" t="str">
        <f>IF('01_Stations'!$T$107=1,"───","")</f>
        <v/>
      </c>
      <c r="Z108" s="164" t="str">
        <f>IF('01_Stations'!$T$108=1,"───","")</f>
        <v/>
      </c>
      <c r="AA108" s="164" t="str">
        <f>IF('01_Stations'!$T$109=1,"───","")</f>
        <v/>
      </c>
      <c r="AB108" s="164" t="str">
        <f>IF('01_Stations'!$T$110=1,"───","")</f>
        <v/>
      </c>
      <c r="AC108" s="164" t="str">
        <f>IF('01_Stations'!$T$111=1,"───","")</f>
        <v/>
      </c>
      <c r="AD108" s="164" t="str">
        <f>IF('01_Stations'!$T$112=1,"───","")</f>
        <v/>
      </c>
      <c r="AE108" s="164" t="str">
        <f>IF('01_Stations'!$T$113=1,"───","")</f>
        <v/>
      </c>
      <c r="AF108" s="164" t="str">
        <f>IF('01_Stations'!$T$114=1,"───","")</f>
        <v/>
      </c>
      <c r="AG108" s="164" t="str">
        <f>IF('01_Stations'!$T$115=1,"───","")</f>
        <v/>
      </c>
      <c r="AH108" s="164" t="str">
        <f>IF('01_Stations'!$T$116=1,"───","")</f>
        <v/>
      </c>
      <c r="AI108" s="164" t="str">
        <f>IF('01_Stations'!$T$117=1,"───","")</f>
        <v/>
      </c>
      <c r="AJ108" s="164" t="str">
        <f>IF('01_Stations'!$T$118=1,"───","")</f>
        <v/>
      </c>
      <c r="AK108" s="164" t="str">
        <f>IF('01_Stations'!$T$119=1,"───","")</f>
        <v/>
      </c>
      <c r="AL108" s="164" t="str">
        <f>IF('01_Stations'!$T$120=1,"───","")</f>
        <v/>
      </c>
      <c r="AM108" s="164" t="str">
        <f>IF('01_Stations'!$T$121=1,"───","")</f>
        <v/>
      </c>
      <c r="AN108" s="164" t="str">
        <f>IF('01_Stations'!$T$122=1,"───","")</f>
        <v/>
      </c>
      <c r="AO108" s="164" t="str">
        <f>IF('01_Stations'!$T$123=1,"───","")</f>
        <v/>
      </c>
      <c r="AP108" s="164" t="str">
        <f>IF('01_Stations'!$T$124=1,"───","")</f>
        <v/>
      </c>
      <c r="AQ108" s="164" t="str">
        <f>IF('01_Stations'!$T$125=1,"───","")</f>
        <v/>
      </c>
    </row>
    <row r="109" spans="1:43" ht="15" customHeight="1" x14ac:dyDescent="0.3">
      <c r="A109" s="236"/>
      <c r="B109" s="165"/>
      <c r="C109" s="166" t="s">
        <v>2216</v>
      </c>
      <c r="D109" s="164" t="str">
        <f>IF(N('01_Stations'!$U$86)&gt;0,'01_Stations'!$U$86,"")</f>
        <v/>
      </c>
      <c r="E109" s="164" t="str">
        <f>IF(N('01_Stations'!$U$87)&gt;0,'01_Stations'!$U$87,"")</f>
        <v/>
      </c>
      <c r="F109" s="164" t="str">
        <f>IF(N('01_Stations'!$U$88)&gt;0,'01_Stations'!$U$88,"")</f>
        <v/>
      </c>
      <c r="G109" s="164" t="str">
        <f>IF(N('01_Stations'!$U$89)&gt;0,'01_Stations'!$U$89,"")</f>
        <v/>
      </c>
      <c r="H109" s="164" t="str">
        <f>IF(N('01_Stations'!$U$90)&gt;0,'01_Stations'!$U$90,"")</f>
        <v/>
      </c>
      <c r="I109" s="164" t="str">
        <f>IF(N('01_Stations'!$U$91)&gt;0,'01_Stations'!$U$91,"")</f>
        <v/>
      </c>
      <c r="J109" s="164" t="str">
        <f>IF(N('01_Stations'!$U$92)&gt;0,'01_Stations'!$U$92,"")</f>
        <v/>
      </c>
      <c r="K109" s="164" t="str">
        <f>IF(N('01_Stations'!$U$93)&gt;0,'01_Stations'!$U$93,"")</f>
        <v/>
      </c>
      <c r="L109" s="164" t="str">
        <f>IF(N('01_Stations'!$U$94)&gt;0,'01_Stations'!$U$94,"")</f>
        <v/>
      </c>
      <c r="M109" s="164" t="str">
        <f>IF(N('01_Stations'!$U$95)&gt;0,'01_Stations'!$U$95,"")</f>
        <v/>
      </c>
      <c r="N109" s="164" t="str">
        <f>IF(N('01_Stations'!$U$96)&gt;0,'01_Stations'!$U$96,"")</f>
        <v/>
      </c>
      <c r="O109" s="164" t="str">
        <f>IF(N('01_Stations'!$U$97)&gt;0,'01_Stations'!$U$97,"")</f>
        <v/>
      </c>
      <c r="P109" s="164" t="str">
        <f>IF(N('01_Stations'!$U$98)&gt;0,'01_Stations'!$U$98,"")</f>
        <v/>
      </c>
      <c r="Q109" s="164" t="str">
        <f>IF(N('01_Stations'!$U$99)&gt;0,'01_Stations'!$U$99,"")</f>
        <v/>
      </c>
      <c r="R109" s="164" t="str">
        <f>IF(N('01_Stations'!$U$100)&gt;0,'01_Stations'!$U$100,"")</f>
        <v/>
      </c>
      <c r="S109" s="164" t="str">
        <f>IF(N('01_Stations'!$U$101)&gt;0,'01_Stations'!$U$101,"")</f>
        <v/>
      </c>
      <c r="T109" s="164" t="str">
        <f>IF(N('01_Stations'!$U$102)&gt;0,'01_Stations'!$U$102,"")</f>
        <v/>
      </c>
      <c r="U109" s="164" t="str">
        <f>IF(N('01_Stations'!$U$103)&gt;0,'01_Stations'!$U$103,"")</f>
        <v/>
      </c>
      <c r="V109" s="164" t="str">
        <f>IF(N('01_Stations'!$U$104)&gt;0,'01_Stations'!$U$104,"")</f>
        <v/>
      </c>
      <c r="W109" s="164" t="str">
        <f>IF(N('01_Stations'!$U$105)&gt;0,'01_Stations'!$U$105,"")</f>
        <v/>
      </c>
      <c r="X109" s="164" t="str">
        <f>IF(N('01_Stations'!$U$106)&gt;0,'01_Stations'!$U$106,"")</f>
        <v/>
      </c>
      <c r="Y109" s="164" t="str">
        <f>IF(N('01_Stations'!$U$107)&gt;0,'01_Stations'!$U$107,"")</f>
        <v/>
      </c>
      <c r="Z109" s="164" t="str">
        <f>IF(N('01_Stations'!$U$108)&gt;0,'01_Stations'!$U$108,"")</f>
        <v/>
      </c>
      <c r="AA109" s="164" t="str">
        <f>IF(N('01_Stations'!$U$109)&gt;0,'01_Stations'!$U$109,"")</f>
        <v/>
      </c>
      <c r="AB109" s="164" t="str">
        <f>IF(N('01_Stations'!$U$110)&gt;0,'01_Stations'!$U$110,"")</f>
        <v/>
      </c>
      <c r="AC109" s="164" t="str">
        <f>IF(N('01_Stations'!$U$111)&gt;0,'01_Stations'!$U$111,"")</f>
        <v/>
      </c>
      <c r="AD109" s="164" t="str">
        <f>IF(N('01_Stations'!$U$112)&gt;0,'01_Stations'!$U$112,"")</f>
        <v/>
      </c>
      <c r="AE109" s="164" t="str">
        <f>IF(N('01_Stations'!$U$113)&gt;0,'01_Stations'!$U$113,"")</f>
        <v/>
      </c>
      <c r="AF109" s="164" t="str">
        <f>IF(N('01_Stations'!$U$114)&gt;0,'01_Stations'!$U$114,"")</f>
        <v/>
      </c>
      <c r="AG109" s="164" t="str">
        <f>IF(N('01_Stations'!$U$115)&gt;0,'01_Stations'!$U$115,"")</f>
        <v/>
      </c>
      <c r="AH109" s="164" t="str">
        <f>IF(N('01_Stations'!$U$116)&gt;0,'01_Stations'!$U$116,"")</f>
        <v/>
      </c>
      <c r="AI109" s="164" t="str">
        <f>IF(N('01_Stations'!$U$117)&gt;0,'01_Stations'!$U$117,"")</f>
        <v/>
      </c>
      <c r="AJ109" s="164" t="str">
        <f>IF(N('01_Stations'!$U$118)&gt;0,'01_Stations'!$U$118,"")</f>
        <v/>
      </c>
      <c r="AK109" s="164" t="str">
        <f>IF(N('01_Stations'!$U$119)&gt;0,'01_Stations'!$U$119,"")</f>
        <v/>
      </c>
      <c r="AL109" s="164" t="str">
        <f>IF(N('01_Stations'!$U$120)&gt;0,'01_Stations'!$U$120,"")</f>
        <v/>
      </c>
      <c r="AM109" s="164" t="str">
        <f>IF(N('01_Stations'!$U$121)&gt;0,'01_Stations'!$U$121,"")</f>
        <v/>
      </c>
      <c r="AN109" s="164" t="str">
        <f>IF(N('01_Stations'!$U$122)&gt;0,'01_Stations'!$U$122,"")</f>
        <v/>
      </c>
      <c r="AO109" s="164" t="str">
        <f>IF(N('01_Stations'!$U$123)&gt;0,'01_Stations'!$U$123,"")</f>
        <v/>
      </c>
      <c r="AP109" s="164" t="str">
        <f>IF(N('01_Stations'!$U$124)&gt;0,'01_Stations'!$U$124,"")</f>
        <v/>
      </c>
      <c r="AQ109" s="164" t="str">
        <f>IF(N('01_Stations'!$U$125)&gt;0,'01_Stations'!$U$125,"")</f>
        <v/>
      </c>
    </row>
    <row r="110" spans="1:43" ht="15" customHeight="1" x14ac:dyDescent="0.3">
      <c r="A110" s="236"/>
      <c r="B110" s="165"/>
      <c r="C110" s="166" t="s">
        <v>2212</v>
      </c>
      <c r="D110" s="164" t="str">
        <f>IF('01_Stations'!$V$86=1,"───","")</f>
        <v/>
      </c>
      <c r="E110" s="164" t="str">
        <f>IF('01_Stations'!$V$87=1,"───","")</f>
        <v/>
      </c>
      <c r="F110" s="164" t="str">
        <f>IF('01_Stations'!$V$88=1,"───","")</f>
        <v/>
      </c>
      <c r="G110" s="164" t="str">
        <f>IF('01_Stations'!$V$89=1,"───","")</f>
        <v/>
      </c>
      <c r="H110" s="164" t="str">
        <f>IF('01_Stations'!$V$90=1,"───","")</f>
        <v/>
      </c>
      <c r="I110" s="164" t="str">
        <f>IF('01_Stations'!$V$91=1,"───","")</f>
        <v/>
      </c>
      <c r="J110" s="164" t="str">
        <f>IF('01_Stations'!$V$92=1,"───","")</f>
        <v/>
      </c>
      <c r="K110" s="164" t="str">
        <f>IF('01_Stations'!$V$93=1,"───","")</f>
        <v/>
      </c>
      <c r="L110" s="164" t="str">
        <f>IF('01_Stations'!$V$94=1,"───","")</f>
        <v/>
      </c>
      <c r="M110" s="164" t="str">
        <f>IF('01_Stations'!$V$95=1,"───","")</f>
        <v/>
      </c>
      <c r="N110" s="164" t="str">
        <f>IF('01_Stations'!$V$96=1,"───","")</f>
        <v/>
      </c>
      <c r="O110" s="164" t="str">
        <f>IF('01_Stations'!$V$97=1,"───","")</f>
        <v/>
      </c>
      <c r="P110" s="164" t="str">
        <f>IF('01_Stations'!$V$98=1,"───","")</f>
        <v/>
      </c>
      <c r="Q110" s="164" t="str">
        <f>IF('01_Stations'!$V$99=1,"───","")</f>
        <v/>
      </c>
      <c r="R110" s="164" t="str">
        <f>IF('01_Stations'!$V$100=1,"───","")</f>
        <v/>
      </c>
      <c r="S110" s="164" t="str">
        <f>IF('01_Stations'!$V$101=1,"───","")</f>
        <v/>
      </c>
      <c r="T110" s="164" t="str">
        <f>IF('01_Stations'!$V$102=1,"───","")</f>
        <v/>
      </c>
      <c r="U110" s="164" t="str">
        <f>IF('01_Stations'!$V$103=1,"───","")</f>
        <v/>
      </c>
      <c r="V110" s="164" t="str">
        <f>IF('01_Stations'!$V$104=1,"───","")</f>
        <v/>
      </c>
      <c r="W110" s="164" t="str">
        <f>IF('01_Stations'!$V$105=1,"───","")</f>
        <v/>
      </c>
      <c r="X110" s="164" t="str">
        <f>IF('01_Stations'!$V$106=1,"───","")</f>
        <v/>
      </c>
      <c r="Y110" s="164" t="str">
        <f>IF('01_Stations'!$V$107=1,"───","")</f>
        <v/>
      </c>
      <c r="Z110" s="164" t="str">
        <f>IF('01_Stations'!$V$108=1,"───","")</f>
        <v/>
      </c>
      <c r="AA110" s="164" t="str">
        <f>IF('01_Stations'!$V$109=1,"───","")</f>
        <v/>
      </c>
      <c r="AB110" s="164" t="str">
        <f>IF('01_Stations'!$V$110=1,"───","")</f>
        <v/>
      </c>
      <c r="AC110" s="164" t="str">
        <f>IF('01_Stations'!$V$111=1,"───","")</f>
        <v/>
      </c>
      <c r="AD110" s="164" t="str">
        <f>IF('01_Stations'!$V$112=1,"───","")</f>
        <v/>
      </c>
      <c r="AE110" s="164" t="str">
        <f>IF('01_Stations'!$V$113=1,"───","")</f>
        <v/>
      </c>
      <c r="AF110" s="164" t="str">
        <f>IF('01_Stations'!$V$114=1,"───","")</f>
        <v/>
      </c>
      <c r="AG110" s="164" t="str">
        <f>IF('01_Stations'!$V$115=1,"───","")</f>
        <v/>
      </c>
      <c r="AH110" s="164" t="str">
        <f>IF('01_Stations'!$V$116=1,"───","")</f>
        <v/>
      </c>
      <c r="AI110" s="164" t="str">
        <f>IF('01_Stations'!$V$117=1,"───","")</f>
        <v/>
      </c>
      <c r="AJ110" s="164" t="str">
        <f>IF('01_Stations'!$V$118=1,"───","")</f>
        <v/>
      </c>
      <c r="AK110" s="164" t="str">
        <f>IF('01_Stations'!$V$119=1,"───","")</f>
        <v/>
      </c>
      <c r="AL110" s="164" t="str">
        <f>IF('01_Stations'!$V$120=1,"───","")</f>
        <v/>
      </c>
      <c r="AM110" s="164" t="str">
        <f>IF('01_Stations'!$V$121=1,"───","")</f>
        <v/>
      </c>
      <c r="AN110" s="164" t="str">
        <f>IF('01_Stations'!$V$122=1,"───","")</f>
        <v/>
      </c>
      <c r="AO110" s="164" t="str">
        <f>IF('01_Stations'!$V$123=1,"───","")</f>
        <v/>
      </c>
      <c r="AP110" s="164" t="str">
        <f>IF('01_Stations'!$V$124=1,"───","")</f>
        <v/>
      </c>
      <c r="AQ110" s="164" t="str">
        <f>IF('01_Stations'!$V$125=1,"───","")</f>
        <v/>
      </c>
    </row>
    <row r="111" spans="1:43" ht="15" customHeight="1" x14ac:dyDescent="0.3">
      <c r="A111" s="236"/>
      <c r="B111" s="165"/>
      <c r="C111" s="166" t="s">
        <v>2216</v>
      </c>
      <c r="D111" s="164" t="str">
        <f>IF(N('01_Stations'!$W$86)&gt;0,'01_Stations'!$W$86,"")</f>
        <v/>
      </c>
      <c r="E111" s="164" t="str">
        <f>IF(N('01_Stations'!$W$87)&gt;0,'01_Stations'!$W$87,"")</f>
        <v/>
      </c>
      <c r="F111" s="164" t="str">
        <f>IF(N('01_Stations'!$W$88)&gt;0,'01_Stations'!$W$88,"")</f>
        <v/>
      </c>
      <c r="G111" s="164" t="str">
        <f>IF(N('01_Stations'!$W$89)&gt;0,'01_Stations'!$W$89,"")</f>
        <v/>
      </c>
      <c r="H111" s="164" t="str">
        <f>IF(N('01_Stations'!$W$90)&gt;0,'01_Stations'!$W$90,"")</f>
        <v/>
      </c>
      <c r="I111" s="164" t="str">
        <f>IF(N('01_Stations'!$W$91)&gt;0,'01_Stations'!$W$91,"")</f>
        <v/>
      </c>
      <c r="J111" s="164" t="str">
        <f>IF(N('01_Stations'!$W$92)&gt;0,'01_Stations'!$W$92,"")</f>
        <v/>
      </c>
      <c r="K111" s="164" t="str">
        <f>IF(N('01_Stations'!$W$93)&gt;0,'01_Stations'!$W$93,"")</f>
        <v/>
      </c>
      <c r="L111" s="164" t="str">
        <f>IF(N('01_Stations'!$W$94)&gt;0,'01_Stations'!$W$94,"")</f>
        <v/>
      </c>
      <c r="M111" s="164" t="str">
        <f>IF(N('01_Stations'!$W$95)&gt;0,'01_Stations'!$W$95,"")</f>
        <v/>
      </c>
      <c r="N111" s="164" t="str">
        <f>IF(N('01_Stations'!$W$96)&gt;0,'01_Stations'!$W$96,"")</f>
        <v/>
      </c>
      <c r="O111" s="164" t="str">
        <f>IF(N('01_Stations'!$W$97)&gt;0,'01_Stations'!$W$97,"")</f>
        <v/>
      </c>
      <c r="P111" s="164" t="str">
        <f>IF(N('01_Stations'!$W$98)&gt;0,'01_Stations'!$W$98,"")</f>
        <v/>
      </c>
      <c r="Q111" s="164" t="str">
        <f>IF(N('01_Stations'!$W$99)&gt;0,'01_Stations'!$W$99,"")</f>
        <v/>
      </c>
      <c r="R111" s="164" t="str">
        <f>IF(N('01_Stations'!$W$100)&gt;0,'01_Stations'!$W$100,"")</f>
        <v/>
      </c>
      <c r="S111" s="164" t="str">
        <f>IF(N('01_Stations'!$W$101)&gt;0,'01_Stations'!$W$101,"")</f>
        <v/>
      </c>
      <c r="T111" s="164" t="str">
        <f>IF(N('01_Stations'!$W$102)&gt;0,'01_Stations'!$W$102,"")</f>
        <v/>
      </c>
      <c r="U111" s="164" t="str">
        <f>IF(N('01_Stations'!$W$103)&gt;0,'01_Stations'!$W$103,"")</f>
        <v/>
      </c>
      <c r="V111" s="164" t="str">
        <f>IF(N('01_Stations'!$W$104)&gt;0,'01_Stations'!$W$104,"")</f>
        <v/>
      </c>
      <c r="W111" s="164" t="str">
        <f>IF(N('01_Stations'!$W$105)&gt;0,'01_Stations'!$W$105,"")</f>
        <v/>
      </c>
      <c r="X111" s="164" t="str">
        <f>IF(N('01_Stations'!$W$106)&gt;0,'01_Stations'!$W$106,"")</f>
        <v/>
      </c>
      <c r="Y111" s="164" t="str">
        <f>IF(N('01_Stations'!$W$107)&gt;0,'01_Stations'!$W$107,"")</f>
        <v/>
      </c>
      <c r="Z111" s="164" t="str">
        <f>IF(N('01_Stations'!$W$108)&gt;0,'01_Stations'!$W$108,"")</f>
        <v/>
      </c>
      <c r="AA111" s="164" t="str">
        <f>IF(N('01_Stations'!$W$109)&gt;0,'01_Stations'!$W$109,"")</f>
        <v/>
      </c>
      <c r="AB111" s="164" t="str">
        <f>IF(N('01_Stations'!$W$110)&gt;0,'01_Stations'!$W$110,"")</f>
        <v/>
      </c>
      <c r="AC111" s="164" t="str">
        <f>IF(N('01_Stations'!$W$111)&gt;0,'01_Stations'!$W$111,"")</f>
        <v/>
      </c>
      <c r="AD111" s="164" t="str">
        <f>IF(N('01_Stations'!$W$112)&gt;0,'01_Stations'!$W$112,"")</f>
        <v/>
      </c>
      <c r="AE111" s="164" t="str">
        <f>IF(N('01_Stations'!$W$113)&gt;0,'01_Stations'!$W$113,"")</f>
        <v/>
      </c>
      <c r="AF111" s="164" t="str">
        <f>IF(N('01_Stations'!$W$114)&gt;0,'01_Stations'!$W$114,"")</f>
        <v/>
      </c>
      <c r="AG111" s="164" t="str">
        <f>IF(N('01_Stations'!$W$115)&gt;0,'01_Stations'!$W$115,"")</f>
        <v/>
      </c>
      <c r="AH111" s="164" t="str">
        <f>IF(N('01_Stations'!$W$116)&gt;0,'01_Stations'!$W$116,"")</f>
        <v/>
      </c>
      <c r="AI111" s="164" t="str">
        <f>IF(N('01_Stations'!$W$117)&gt;0,'01_Stations'!$W$117,"")</f>
        <v/>
      </c>
      <c r="AJ111" s="164" t="str">
        <f>IF(N('01_Stations'!$W$118)&gt;0,'01_Stations'!$W$118,"")</f>
        <v/>
      </c>
      <c r="AK111" s="164" t="str">
        <f>IF(N('01_Stations'!$W$119)&gt;0,'01_Stations'!$W$119,"")</f>
        <v/>
      </c>
      <c r="AL111" s="164" t="str">
        <f>IF(N('01_Stations'!$W$120)&gt;0,'01_Stations'!$W$120,"")</f>
        <v/>
      </c>
      <c r="AM111" s="164" t="str">
        <f>IF(N('01_Stations'!$W$121)&gt;0,'01_Stations'!$W$121,"")</f>
        <v/>
      </c>
      <c r="AN111" s="164" t="str">
        <f>IF(N('01_Stations'!$W$122)&gt;0,'01_Stations'!$W$122,"")</f>
        <v/>
      </c>
      <c r="AO111" s="164" t="str">
        <f>IF(N('01_Stations'!$W$123)&gt;0,'01_Stations'!$W$123,"")</f>
        <v/>
      </c>
      <c r="AP111" s="164" t="str">
        <f>IF(N('01_Stations'!$W$124)&gt;0,'01_Stations'!$W$124,"")</f>
        <v/>
      </c>
      <c r="AQ111" s="164" t="str">
        <f>IF(N('01_Stations'!$W$125)&gt;0,'01_Stations'!$W$125,"")</f>
        <v/>
      </c>
    </row>
    <row r="112" spans="1:43" ht="15" customHeight="1" x14ac:dyDescent="0.3">
      <c r="A112" s="236"/>
      <c r="B112" s="165" t="s">
        <v>2217</v>
      </c>
      <c r="C112" s="166" t="s">
        <v>1622</v>
      </c>
      <c r="D112" s="164" t="str">
        <f>IF('01_Stations'!$X$86=1,"───","")</f>
        <v/>
      </c>
      <c r="E112" s="164" t="str">
        <f>IF('01_Stations'!$X$87=1,"───","")</f>
        <v/>
      </c>
      <c r="F112" s="164" t="str">
        <f>IF('01_Stations'!$X$88=1,"───","")</f>
        <v/>
      </c>
      <c r="G112" s="164" t="str">
        <f>IF('01_Stations'!$X$89=1,"───","")</f>
        <v/>
      </c>
      <c r="H112" s="164" t="str">
        <f>IF('01_Stations'!$X$90=1,"───","")</f>
        <v/>
      </c>
      <c r="I112" s="164" t="str">
        <f>IF('01_Stations'!$X$91=1,"───","")</f>
        <v/>
      </c>
      <c r="J112" s="164" t="str">
        <f>IF('01_Stations'!$X$92=1,"───","")</f>
        <v/>
      </c>
      <c r="K112" s="164" t="str">
        <f>IF('01_Stations'!$X$93=1,"───","")</f>
        <v/>
      </c>
      <c r="L112" s="164" t="str">
        <f>IF('01_Stations'!$X$94=1,"───","")</f>
        <v/>
      </c>
      <c r="M112" s="164" t="str">
        <f>IF('01_Stations'!$X$95=1,"───","")</f>
        <v/>
      </c>
      <c r="N112" s="164" t="str">
        <f>IF('01_Stations'!$X$96=1,"───","")</f>
        <v/>
      </c>
      <c r="O112" s="164" t="str">
        <f>IF('01_Stations'!$X$97=1,"───","")</f>
        <v/>
      </c>
      <c r="P112" s="164" t="str">
        <f>IF('01_Stations'!$X$98=1,"───","")</f>
        <v/>
      </c>
      <c r="Q112" s="164" t="str">
        <f>IF('01_Stations'!$X$99=1,"───","")</f>
        <v/>
      </c>
      <c r="R112" s="164" t="str">
        <f>IF('01_Stations'!$X$100=1,"───","")</f>
        <v/>
      </c>
      <c r="S112" s="164" t="str">
        <f>IF('01_Stations'!$X$101=1,"───","")</f>
        <v/>
      </c>
      <c r="T112" s="164" t="str">
        <f>IF('01_Stations'!$X$102=1,"───","")</f>
        <v/>
      </c>
      <c r="U112" s="164" t="str">
        <f>IF('01_Stations'!$X$103=1,"───","")</f>
        <v/>
      </c>
      <c r="V112" s="164" t="str">
        <f>IF('01_Stations'!$X$104=1,"───","")</f>
        <v/>
      </c>
      <c r="W112" s="164" t="str">
        <f>IF('01_Stations'!$X$105=1,"───","")</f>
        <v/>
      </c>
      <c r="X112" s="164" t="str">
        <f>IF('01_Stations'!$X$106=1,"───","")</f>
        <v/>
      </c>
      <c r="Y112" s="164" t="str">
        <f>IF('01_Stations'!$X$107=1,"───","")</f>
        <v/>
      </c>
      <c r="Z112" s="164" t="str">
        <f>IF('01_Stations'!$X$108=1,"───","")</f>
        <v/>
      </c>
      <c r="AA112" s="164" t="str">
        <f>IF('01_Stations'!$X$109=1,"───","")</f>
        <v/>
      </c>
      <c r="AB112" s="164" t="str">
        <f>IF('01_Stations'!$X$110=1,"───","")</f>
        <v/>
      </c>
      <c r="AC112" s="164" t="str">
        <f>IF('01_Stations'!$X$111=1,"───","")</f>
        <v/>
      </c>
      <c r="AD112" s="164" t="str">
        <f>IF('01_Stations'!$X$112=1,"───","")</f>
        <v/>
      </c>
      <c r="AE112" s="164" t="str">
        <f>IF('01_Stations'!$X$113=1,"───","")</f>
        <v/>
      </c>
      <c r="AF112" s="164" t="str">
        <f>IF('01_Stations'!$X$114=1,"───","")</f>
        <v/>
      </c>
      <c r="AG112" s="164" t="str">
        <f>IF('01_Stations'!$X$115=1,"───","")</f>
        <v/>
      </c>
      <c r="AH112" s="164" t="str">
        <f>IF('01_Stations'!$X$116=1,"───","")</f>
        <v/>
      </c>
      <c r="AI112" s="164" t="str">
        <f>IF('01_Stations'!$X$117=1,"───","")</f>
        <v/>
      </c>
      <c r="AJ112" s="164" t="str">
        <f>IF('01_Stations'!$X$118=1,"───","")</f>
        <v/>
      </c>
      <c r="AK112" s="164" t="str">
        <f>IF('01_Stations'!$X$119=1,"───","")</f>
        <v/>
      </c>
      <c r="AL112" s="164" t="str">
        <f>IF('01_Stations'!$X$120=1,"───","")</f>
        <v/>
      </c>
      <c r="AM112" s="164" t="str">
        <f>IF('01_Stations'!$X$121=1,"───","")</f>
        <v/>
      </c>
      <c r="AN112" s="164" t="str">
        <f>IF('01_Stations'!$X$122=1,"───","")</f>
        <v/>
      </c>
      <c r="AO112" s="164" t="str">
        <f>IF('01_Stations'!$X$123=1,"───","")</f>
        <v/>
      </c>
      <c r="AP112" s="164" t="str">
        <f>IF('01_Stations'!$X$124=1,"───","")</f>
        <v/>
      </c>
      <c r="AQ112" s="164" t="str">
        <f>IF('01_Stations'!$X$125=1,"───","")</f>
        <v/>
      </c>
    </row>
    <row r="113" spans="1:43" ht="15" customHeight="1" x14ac:dyDescent="0.3">
      <c r="A113" s="236"/>
      <c r="B113" s="165"/>
      <c r="C113" s="166" t="s">
        <v>2212</v>
      </c>
      <c r="D113" s="164" t="str">
        <f>IF('01_Stations'!$Y$86=1,"───","")</f>
        <v/>
      </c>
      <c r="E113" s="164" t="str">
        <f>IF('01_Stations'!$Y$87=1,"───","")</f>
        <v/>
      </c>
      <c r="F113" s="164" t="str">
        <f>IF('01_Stations'!$Y$88=1,"───","")</f>
        <v/>
      </c>
      <c r="G113" s="164" t="str">
        <f>IF('01_Stations'!$Y$89=1,"───","")</f>
        <v/>
      </c>
      <c r="H113" s="164" t="str">
        <f>IF('01_Stations'!$Y$90=1,"───","")</f>
        <v/>
      </c>
      <c r="I113" s="164" t="str">
        <f>IF('01_Stations'!$Y$91=1,"───","")</f>
        <v/>
      </c>
      <c r="J113" s="164" t="str">
        <f>IF('01_Stations'!$Y$92=1,"───","")</f>
        <v/>
      </c>
      <c r="K113" s="164" t="str">
        <f>IF('01_Stations'!$Y$93=1,"───","")</f>
        <v/>
      </c>
      <c r="L113" s="164" t="str">
        <f>IF('01_Stations'!$Y$94=1,"───","")</f>
        <v/>
      </c>
      <c r="M113" s="164" t="str">
        <f>IF('01_Stations'!$Y$95=1,"───","")</f>
        <v/>
      </c>
      <c r="N113" s="164" t="str">
        <f>IF('01_Stations'!$Y$96=1,"───","")</f>
        <v/>
      </c>
      <c r="O113" s="164" t="str">
        <f>IF('01_Stations'!$Y$97=1,"───","")</f>
        <v/>
      </c>
      <c r="P113" s="164" t="str">
        <f>IF('01_Stations'!$Y$98=1,"───","")</f>
        <v/>
      </c>
      <c r="Q113" s="164" t="str">
        <f>IF('01_Stations'!$Y$99=1,"───","")</f>
        <v/>
      </c>
      <c r="R113" s="164" t="str">
        <f>IF('01_Stations'!$Y$100=1,"───","")</f>
        <v/>
      </c>
      <c r="S113" s="164" t="str">
        <f>IF('01_Stations'!$Y$101=1,"───","")</f>
        <v/>
      </c>
      <c r="T113" s="164" t="str">
        <f>IF('01_Stations'!$Y$102=1,"───","")</f>
        <v/>
      </c>
      <c r="U113" s="164" t="str">
        <f>IF('01_Stations'!$Y$103=1,"───","")</f>
        <v/>
      </c>
      <c r="V113" s="164" t="str">
        <f>IF('01_Stations'!$Y$104=1,"───","")</f>
        <v/>
      </c>
      <c r="W113" s="164" t="str">
        <f>IF('01_Stations'!$Y$105=1,"───","")</f>
        <v/>
      </c>
      <c r="X113" s="164" t="str">
        <f>IF('01_Stations'!$Y$106=1,"───","")</f>
        <v/>
      </c>
      <c r="Y113" s="164" t="str">
        <f>IF('01_Stations'!$Y$107=1,"───","")</f>
        <v/>
      </c>
      <c r="Z113" s="164" t="str">
        <f>IF('01_Stations'!$Y$108=1,"───","")</f>
        <v/>
      </c>
      <c r="AA113" s="164" t="str">
        <f>IF('01_Stations'!$Y$109=1,"───","")</f>
        <v/>
      </c>
      <c r="AB113" s="164" t="str">
        <f>IF('01_Stations'!$Y$110=1,"───","")</f>
        <v/>
      </c>
      <c r="AC113" s="164" t="str">
        <f>IF('01_Stations'!$Y$111=1,"───","")</f>
        <v/>
      </c>
      <c r="AD113" s="164" t="str">
        <f>IF('01_Stations'!$Y$112=1,"───","")</f>
        <v/>
      </c>
      <c r="AE113" s="164" t="str">
        <f>IF('01_Stations'!$Y$113=1,"───","")</f>
        <v/>
      </c>
      <c r="AF113" s="164" t="str">
        <f>IF('01_Stations'!$Y$114=1,"───","")</f>
        <v/>
      </c>
      <c r="AG113" s="164" t="str">
        <f>IF('01_Stations'!$Y$115=1,"───","")</f>
        <v/>
      </c>
      <c r="AH113" s="164" t="str">
        <f>IF('01_Stations'!$Y$116=1,"───","")</f>
        <v/>
      </c>
      <c r="AI113" s="164" t="str">
        <f>IF('01_Stations'!$Y$117=1,"───","")</f>
        <v/>
      </c>
      <c r="AJ113" s="164" t="str">
        <f>IF('01_Stations'!$Y$118=1,"───","")</f>
        <v/>
      </c>
      <c r="AK113" s="164" t="str">
        <f>IF('01_Stations'!$Y$119=1,"───","")</f>
        <v/>
      </c>
      <c r="AL113" s="164" t="str">
        <f>IF('01_Stations'!$Y$120=1,"───","")</f>
        <v/>
      </c>
      <c r="AM113" s="164" t="str">
        <f>IF('01_Stations'!$Y$121=1,"───","")</f>
        <v/>
      </c>
      <c r="AN113" s="164" t="str">
        <f>IF('01_Stations'!$Y$122=1,"───","")</f>
        <v/>
      </c>
      <c r="AO113" s="164" t="str">
        <f>IF('01_Stations'!$Y$123=1,"───","")</f>
        <v/>
      </c>
      <c r="AP113" s="164" t="str">
        <f>IF('01_Stations'!$Y$124=1,"───","")</f>
        <v/>
      </c>
      <c r="AQ113" s="164" t="str">
        <f>IF('01_Stations'!$Y$125=1,"───","")</f>
        <v/>
      </c>
    </row>
    <row r="114" spans="1:43" ht="15" customHeight="1" x14ac:dyDescent="0.3">
      <c r="A114" s="236"/>
      <c r="B114" s="165" t="s">
        <v>2218</v>
      </c>
      <c r="C114" s="166" t="s">
        <v>1622</v>
      </c>
      <c r="D114" s="164" t="str">
        <f>IF('01_Stations'!$Z$86=1,"───","")</f>
        <v/>
      </c>
      <c r="E114" s="164" t="str">
        <f>IF('01_Stations'!$Z$87=1,"───","")</f>
        <v/>
      </c>
      <c r="F114" s="164" t="str">
        <f>IF('01_Stations'!$Z$88=1,"───","")</f>
        <v/>
      </c>
      <c r="G114" s="164" t="str">
        <f>IF('01_Stations'!$Z$89=1,"───","")</f>
        <v/>
      </c>
      <c r="H114" s="164" t="str">
        <f>IF('01_Stations'!$Z$90=1,"───","")</f>
        <v/>
      </c>
      <c r="I114" s="164" t="str">
        <f>IF('01_Stations'!$Z$91=1,"───","")</f>
        <v/>
      </c>
      <c r="J114" s="164" t="str">
        <f>IF('01_Stations'!$Z$92=1,"───","")</f>
        <v/>
      </c>
      <c r="K114" s="164" t="str">
        <f>IF('01_Stations'!$Z$93=1,"───","")</f>
        <v/>
      </c>
      <c r="L114" s="164" t="str">
        <f>IF('01_Stations'!$Z$94=1,"───","")</f>
        <v/>
      </c>
      <c r="M114" s="164" t="str">
        <f>IF('01_Stations'!$Z$95=1,"───","")</f>
        <v/>
      </c>
      <c r="N114" s="164" t="str">
        <f>IF('01_Stations'!$Z$96=1,"───","")</f>
        <v/>
      </c>
      <c r="O114" s="164" t="str">
        <f>IF('01_Stations'!$Z$97=1,"───","")</f>
        <v/>
      </c>
      <c r="P114" s="164" t="str">
        <f>IF('01_Stations'!$Z$98=1,"───","")</f>
        <v/>
      </c>
      <c r="Q114" s="164" t="str">
        <f>IF('01_Stations'!$Z$99=1,"───","")</f>
        <v/>
      </c>
      <c r="R114" s="164" t="str">
        <f>IF('01_Stations'!$Z$100=1,"───","")</f>
        <v/>
      </c>
      <c r="S114" s="164" t="str">
        <f>IF('01_Stations'!$Z$101=1,"───","")</f>
        <v/>
      </c>
      <c r="T114" s="164" t="str">
        <f>IF('01_Stations'!$Z$102=1,"───","")</f>
        <v/>
      </c>
      <c r="U114" s="164" t="str">
        <f>IF('01_Stations'!$Z$103=1,"───","")</f>
        <v/>
      </c>
      <c r="V114" s="164" t="str">
        <f>IF('01_Stations'!$Z$104=1,"───","")</f>
        <v/>
      </c>
      <c r="W114" s="164" t="str">
        <f>IF('01_Stations'!$Z$105=1,"───","")</f>
        <v/>
      </c>
      <c r="X114" s="164" t="str">
        <f>IF('01_Stations'!$Z$106=1,"───","")</f>
        <v/>
      </c>
      <c r="Y114" s="164" t="str">
        <f>IF('01_Stations'!$Z$107=1,"───","")</f>
        <v/>
      </c>
      <c r="Z114" s="164" t="str">
        <f>IF('01_Stations'!$Z$108=1,"───","")</f>
        <v/>
      </c>
      <c r="AA114" s="164" t="str">
        <f>IF('01_Stations'!$Z$109=1,"───","")</f>
        <v/>
      </c>
      <c r="AB114" s="164" t="str">
        <f>IF('01_Stations'!$Z$110=1,"───","")</f>
        <v/>
      </c>
      <c r="AC114" s="164" t="str">
        <f>IF('01_Stations'!$Z$111=1,"───","")</f>
        <v/>
      </c>
      <c r="AD114" s="164" t="str">
        <f>IF('01_Stations'!$Z$112=1,"───","")</f>
        <v/>
      </c>
      <c r="AE114" s="164" t="str">
        <f>IF('01_Stations'!$Z$113=1,"───","")</f>
        <v/>
      </c>
      <c r="AF114" s="164" t="str">
        <f>IF('01_Stations'!$Z$114=1,"───","")</f>
        <v/>
      </c>
      <c r="AG114" s="164" t="str">
        <f>IF('01_Stations'!$Z$115=1,"───","")</f>
        <v/>
      </c>
      <c r="AH114" s="164" t="str">
        <f>IF('01_Stations'!$Z$116=1,"───","")</f>
        <v/>
      </c>
      <c r="AI114" s="164" t="str">
        <f>IF('01_Stations'!$Z$117=1,"───","")</f>
        <v/>
      </c>
      <c r="AJ114" s="164" t="str">
        <f>IF('01_Stations'!$Z$118=1,"───","")</f>
        <v/>
      </c>
      <c r="AK114" s="164" t="str">
        <f>IF('01_Stations'!$Z$119=1,"───","")</f>
        <v/>
      </c>
      <c r="AL114" s="164" t="str">
        <f>IF('01_Stations'!$Z$120=1,"───","")</f>
        <v/>
      </c>
      <c r="AM114" s="164" t="str">
        <f>IF('01_Stations'!$Z$121=1,"───","")</f>
        <v/>
      </c>
      <c r="AN114" s="164" t="str">
        <f>IF('01_Stations'!$Z$122=1,"───","")</f>
        <v/>
      </c>
      <c r="AO114" s="164" t="str">
        <f>IF('01_Stations'!$Z$123=1,"───","")</f>
        <v/>
      </c>
      <c r="AP114" s="164" t="str">
        <f>IF('01_Stations'!$Z$124=1,"───","")</f>
        <v/>
      </c>
      <c r="AQ114" s="164" t="str">
        <f>IF('01_Stations'!$Z$125=1,"───","")</f>
        <v/>
      </c>
    </row>
    <row r="115" spans="1:43" ht="15" customHeight="1" x14ac:dyDescent="0.3">
      <c r="A115" s="236"/>
      <c r="B115" s="165"/>
      <c r="C115" s="166" t="s">
        <v>2212</v>
      </c>
      <c r="D115" s="164" t="str">
        <f>IF('01_Stations'!$AA$86=1,"───","")</f>
        <v/>
      </c>
      <c r="E115" s="164" t="str">
        <f>IF('01_Stations'!$AA$87=1,"───","")</f>
        <v/>
      </c>
      <c r="F115" s="164" t="str">
        <f>IF('01_Stations'!$AA$88=1,"───","")</f>
        <v/>
      </c>
      <c r="G115" s="164" t="str">
        <f>IF('01_Stations'!$AA$89=1,"───","")</f>
        <v/>
      </c>
      <c r="H115" s="164" t="str">
        <f>IF('01_Stations'!$AA$90=1,"───","")</f>
        <v/>
      </c>
      <c r="I115" s="164" t="str">
        <f>IF('01_Stations'!$AA$91=1,"───","")</f>
        <v/>
      </c>
      <c r="J115" s="164" t="str">
        <f>IF('01_Stations'!$AA$92=1,"───","")</f>
        <v/>
      </c>
      <c r="K115" s="164" t="str">
        <f>IF('01_Stations'!$AA$93=1,"───","")</f>
        <v/>
      </c>
      <c r="L115" s="164" t="str">
        <f>IF('01_Stations'!$AA$94=1,"───","")</f>
        <v/>
      </c>
      <c r="M115" s="164" t="str">
        <f>IF('01_Stations'!$AA$95=1,"───","")</f>
        <v/>
      </c>
      <c r="N115" s="164" t="str">
        <f>IF('01_Stations'!$AA$96=1,"───","")</f>
        <v/>
      </c>
      <c r="O115" s="164" t="str">
        <f>IF('01_Stations'!$AA$97=1,"───","")</f>
        <v/>
      </c>
      <c r="P115" s="164" t="str">
        <f>IF('01_Stations'!$AA$98=1,"───","")</f>
        <v/>
      </c>
      <c r="Q115" s="164" t="str">
        <f>IF('01_Stations'!$AA$99=1,"───","")</f>
        <v/>
      </c>
      <c r="R115" s="164" t="str">
        <f>IF('01_Stations'!$AA$100=1,"───","")</f>
        <v/>
      </c>
      <c r="S115" s="164" t="str">
        <f>IF('01_Stations'!$AA$101=1,"───","")</f>
        <v/>
      </c>
      <c r="T115" s="164" t="str">
        <f>IF('01_Stations'!$AA$102=1,"───","")</f>
        <v/>
      </c>
      <c r="U115" s="164" t="str">
        <f>IF('01_Stations'!$AA$103=1,"───","")</f>
        <v/>
      </c>
      <c r="V115" s="164" t="str">
        <f>IF('01_Stations'!$AA$104=1,"───","")</f>
        <v/>
      </c>
      <c r="W115" s="164" t="str">
        <f>IF('01_Stations'!$AA$105=1,"───","")</f>
        <v/>
      </c>
      <c r="X115" s="164" t="str">
        <f>IF('01_Stations'!$AA$106=1,"───","")</f>
        <v/>
      </c>
      <c r="Y115" s="164" t="str">
        <f>IF('01_Stations'!$AA$107=1,"───","")</f>
        <v/>
      </c>
      <c r="Z115" s="164" t="str">
        <f>IF('01_Stations'!$AA$108=1,"───","")</f>
        <v/>
      </c>
      <c r="AA115" s="164" t="str">
        <f>IF('01_Stations'!$AA$109=1,"───","")</f>
        <v/>
      </c>
      <c r="AB115" s="164" t="str">
        <f>IF('01_Stations'!$AA$110=1,"───","")</f>
        <v/>
      </c>
      <c r="AC115" s="164" t="str">
        <f>IF('01_Stations'!$AA$111=1,"───","")</f>
        <v/>
      </c>
      <c r="AD115" s="164" t="str">
        <f>IF('01_Stations'!$AA$112=1,"───","")</f>
        <v/>
      </c>
      <c r="AE115" s="164" t="str">
        <f>IF('01_Stations'!$AA$113=1,"───","")</f>
        <v/>
      </c>
      <c r="AF115" s="164" t="str">
        <f>IF('01_Stations'!$AA$114=1,"───","")</f>
        <v/>
      </c>
      <c r="AG115" s="164" t="str">
        <f>IF('01_Stations'!$AA$115=1,"───","")</f>
        <v/>
      </c>
      <c r="AH115" s="164" t="str">
        <f>IF('01_Stations'!$AA$116=1,"───","")</f>
        <v/>
      </c>
      <c r="AI115" s="164" t="str">
        <f>IF('01_Stations'!$AA$117=1,"───","")</f>
        <v/>
      </c>
      <c r="AJ115" s="164" t="str">
        <f>IF('01_Stations'!$AA$118=1,"───","")</f>
        <v/>
      </c>
      <c r="AK115" s="164" t="str">
        <f>IF('01_Stations'!$AA$119=1,"───","")</f>
        <v/>
      </c>
      <c r="AL115" s="164" t="str">
        <f>IF('01_Stations'!$AA$120=1,"───","")</f>
        <v/>
      </c>
      <c r="AM115" s="164" t="str">
        <f>IF('01_Stations'!$AA$121=1,"───","")</f>
        <v/>
      </c>
      <c r="AN115" s="164" t="str">
        <f>IF('01_Stations'!$AA$122=1,"───","")</f>
        <v/>
      </c>
      <c r="AO115" s="164" t="str">
        <f>IF('01_Stations'!$AA$123=1,"───","")</f>
        <v/>
      </c>
      <c r="AP115" s="164" t="str">
        <f>IF('01_Stations'!$AA$124=1,"───","")</f>
        <v/>
      </c>
      <c r="AQ115" s="164" t="str">
        <f>IF('01_Stations'!$AA$125=1,"───","")</f>
        <v/>
      </c>
    </row>
    <row r="116" spans="1:43" ht="15" customHeight="1" x14ac:dyDescent="0.3">
      <c r="A116" s="236"/>
      <c r="B116" s="165" t="s">
        <v>200</v>
      </c>
      <c r="C116" s="166" t="s">
        <v>2219</v>
      </c>
      <c r="D116" s="164" t="str">
        <f>IF('01_Stations'!$AB$86=1,"───","")</f>
        <v/>
      </c>
      <c r="E116" s="164" t="str">
        <f>IF('01_Stations'!$AB$87=1,"───","")</f>
        <v/>
      </c>
      <c r="F116" s="164" t="str">
        <f>IF('01_Stations'!$AB$88=1,"───","")</f>
        <v/>
      </c>
      <c r="G116" s="164" t="str">
        <f>IF('01_Stations'!$AB$89=1,"───","")</f>
        <v/>
      </c>
      <c r="H116" s="164" t="str">
        <f>IF('01_Stations'!$AB$90=1,"───","")</f>
        <v/>
      </c>
      <c r="I116" s="164" t="str">
        <f>IF('01_Stations'!$AB$91=1,"───","")</f>
        <v/>
      </c>
      <c r="J116" s="164" t="str">
        <f>IF('01_Stations'!$AB$92=1,"───","")</f>
        <v/>
      </c>
      <c r="K116" s="164" t="str">
        <f>IF('01_Stations'!$AB$93=1,"───","")</f>
        <v/>
      </c>
      <c r="L116" s="164" t="str">
        <f>IF('01_Stations'!$AB$94=1,"───","")</f>
        <v/>
      </c>
      <c r="M116" s="164" t="str">
        <f>IF('01_Stations'!$AB$95=1,"───","")</f>
        <v/>
      </c>
      <c r="N116" s="164" t="str">
        <f>IF('01_Stations'!$AB$96=1,"───","")</f>
        <v/>
      </c>
      <c r="O116" s="164" t="str">
        <f>IF('01_Stations'!$AB$97=1,"───","")</f>
        <v/>
      </c>
      <c r="P116" s="164" t="str">
        <f>IF('01_Stations'!$AB$98=1,"───","")</f>
        <v/>
      </c>
      <c r="Q116" s="164" t="str">
        <f>IF('01_Stations'!$AB$99=1,"───","")</f>
        <v/>
      </c>
      <c r="R116" s="164" t="str">
        <f>IF('01_Stations'!$AB$100=1,"───","")</f>
        <v/>
      </c>
      <c r="S116" s="164" t="str">
        <f>IF('01_Stations'!$AB$101=1,"───","")</f>
        <v/>
      </c>
      <c r="T116" s="164" t="str">
        <f>IF('01_Stations'!$AB$102=1,"───","")</f>
        <v/>
      </c>
      <c r="U116" s="164" t="str">
        <f>IF('01_Stations'!$AB$103=1,"───","")</f>
        <v/>
      </c>
      <c r="V116" s="164" t="str">
        <f>IF('01_Stations'!$AB$104=1,"───","")</f>
        <v/>
      </c>
      <c r="W116" s="164" t="str">
        <f>IF('01_Stations'!$AB$105=1,"───","")</f>
        <v/>
      </c>
      <c r="X116" s="164" t="str">
        <f>IF('01_Stations'!$AB$106=1,"───","")</f>
        <v/>
      </c>
      <c r="Y116" s="164" t="str">
        <f>IF('01_Stations'!$AB$107=1,"───","")</f>
        <v/>
      </c>
      <c r="Z116" s="164" t="str">
        <f>IF('01_Stations'!$AB$108=1,"───","")</f>
        <v/>
      </c>
      <c r="AA116" s="164" t="str">
        <f>IF('01_Stations'!$AB$109=1,"───","")</f>
        <v/>
      </c>
      <c r="AB116" s="164" t="str">
        <f>IF('01_Stations'!$AB$110=1,"───","")</f>
        <v/>
      </c>
      <c r="AC116" s="164" t="str">
        <f>IF('01_Stations'!$AB$111=1,"───","")</f>
        <v/>
      </c>
      <c r="AD116" s="164" t="str">
        <f>IF('01_Stations'!$AB$112=1,"───","")</f>
        <v/>
      </c>
      <c r="AE116" s="164" t="str">
        <f>IF('01_Stations'!$AB$113=1,"───","")</f>
        <v/>
      </c>
      <c r="AF116" s="164" t="str">
        <f>IF('01_Stations'!$AB$114=1,"───","")</f>
        <v/>
      </c>
      <c r="AG116" s="164" t="str">
        <f>IF('01_Stations'!$AB$115=1,"───","")</f>
        <v/>
      </c>
      <c r="AH116" s="164" t="str">
        <f>IF('01_Stations'!$AB$116=1,"───","")</f>
        <v/>
      </c>
      <c r="AI116" s="164" t="str">
        <f>IF('01_Stations'!$AB$117=1,"───","")</f>
        <v/>
      </c>
      <c r="AJ116" s="164" t="str">
        <f>IF('01_Stations'!$AB$118=1,"───","")</f>
        <v/>
      </c>
      <c r="AK116" s="164" t="str">
        <f>IF('01_Stations'!$AB$119=1,"───","")</f>
        <v/>
      </c>
      <c r="AL116" s="164" t="str">
        <f>IF('01_Stations'!$AB$120=1,"───","")</f>
        <v/>
      </c>
      <c r="AM116" s="164" t="str">
        <f>IF('01_Stations'!$AB$121=1,"───","")</f>
        <v/>
      </c>
      <c r="AN116" s="164" t="str">
        <f>IF('01_Stations'!$AB$122=1,"───","")</f>
        <v/>
      </c>
      <c r="AO116" s="164" t="str">
        <f>IF('01_Stations'!$AB$123=1,"───","")</f>
        <v/>
      </c>
      <c r="AP116" s="164" t="str">
        <f>IF('01_Stations'!$AB$124=1,"───","")</f>
        <v/>
      </c>
      <c r="AQ116" s="164" t="str">
        <f>IF('01_Stations'!$AB$125=1,"───","")</f>
        <v/>
      </c>
    </row>
    <row r="117" spans="1:43" ht="15" customHeight="1" x14ac:dyDescent="0.3">
      <c r="A117" s="236"/>
      <c r="B117" s="165"/>
      <c r="C117" s="166" t="s">
        <v>2220</v>
      </c>
      <c r="D117" s="164" t="str">
        <f>IF(N('01_Stations'!$AC$86)&gt;0,'01_Stations'!$AC$86,"")</f>
        <v/>
      </c>
      <c r="E117" s="164" t="str">
        <f>IF(N('01_Stations'!$AC$87)&gt;0,'01_Stations'!$AC$87,"")</f>
        <v/>
      </c>
      <c r="F117" s="164" t="str">
        <f>IF(N('01_Stations'!$AC$88)&gt;0,'01_Stations'!$AC$88,"")</f>
        <v/>
      </c>
      <c r="G117" s="164" t="str">
        <f>IF(N('01_Stations'!$AC$89)&gt;0,'01_Stations'!$AC$89,"")</f>
        <v/>
      </c>
      <c r="H117" s="164" t="str">
        <f>IF(N('01_Stations'!$AC$90)&gt;0,'01_Stations'!$AC$90,"")</f>
        <v/>
      </c>
      <c r="I117" s="164" t="str">
        <f>IF(N('01_Stations'!$AC$91)&gt;0,'01_Stations'!$AC$91,"")</f>
        <v/>
      </c>
      <c r="J117" s="164" t="str">
        <f>IF(N('01_Stations'!$AC$92)&gt;0,'01_Stations'!$AC$92,"")</f>
        <v/>
      </c>
      <c r="K117" s="164" t="str">
        <f>IF(N('01_Stations'!$AC$93)&gt;0,'01_Stations'!$AC$93,"")</f>
        <v/>
      </c>
      <c r="L117" s="164" t="str">
        <f>IF(N('01_Stations'!$AC$94)&gt;0,'01_Stations'!$AC$94,"")</f>
        <v/>
      </c>
      <c r="M117" s="164" t="str">
        <f>IF(N('01_Stations'!$AC$95)&gt;0,'01_Stations'!$AC$95,"")</f>
        <v/>
      </c>
      <c r="N117" s="164" t="str">
        <f>IF(N('01_Stations'!$AC$96)&gt;0,'01_Stations'!$AC$96,"")</f>
        <v/>
      </c>
      <c r="O117" s="164" t="str">
        <f>IF(N('01_Stations'!$AC$97)&gt;0,'01_Stations'!$AC$97,"")</f>
        <v/>
      </c>
      <c r="P117" s="164" t="str">
        <f>IF(N('01_Stations'!$AC$98)&gt;0,'01_Stations'!$AC$98,"")</f>
        <v/>
      </c>
      <c r="Q117" s="164" t="str">
        <f>IF(N('01_Stations'!$AC$99)&gt;0,'01_Stations'!$AC$99,"")</f>
        <v/>
      </c>
      <c r="R117" s="164" t="str">
        <f>IF(N('01_Stations'!$AC$100)&gt;0,'01_Stations'!$AC$100,"")</f>
        <v/>
      </c>
      <c r="S117" s="164" t="str">
        <f>IF(N('01_Stations'!$AC$101)&gt;0,'01_Stations'!$AC$101,"")</f>
        <v/>
      </c>
      <c r="T117" s="164" t="str">
        <f>IF(N('01_Stations'!$AC$102)&gt;0,'01_Stations'!$AC$102,"")</f>
        <v/>
      </c>
      <c r="U117" s="164" t="str">
        <f>IF(N('01_Stations'!$AC$103)&gt;0,'01_Stations'!$AC$103,"")</f>
        <v/>
      </c>
      <c r="V117" s="164" t="str">
        <f>IF(N('01_Stations'!$AC$104)&gt;0,'01_Stations'!$AC$104,"")</f>
        <v/>
      </c>
      <c r="W117" s="164" t="str">
        <f>IF(N('01_Stations'!$AC$105)&gt;0,'01_Stations'!$AC$105,"")</f>
        <v/>
      </c>
      <c r="X117" s="164" t="str">
        <f>IF(N('01_Stations'!$AC$106)&gt;0,'01_Stations'!$AC$106,"")</f>
        <v/>
      </c>
      <c r="Y117" s="164" t="str">
        <f>IF(N('01_Stations'!$AC$107)&gt;0,'01_Stations'!$AC$107,"")</f>
        <v/>
      </c>
      <c r="Z117" s="164" t="str">
        <f>IF(N('01_Stations'!$AC$108)&gt;0,'01_Stations'!$AC$108,"")</f>
        <v/>
      </c>
      <c r="AA117" s="164" t="str">
        <f>IF(N('01_Stations'!$AC$109)&gt;0,'01_Stations'!$AC$109,"")</f>
        <v/>
      </c>
      <c r="AB117" s="164" t="str">
        <f>IF(N('01_Stations'!$AC$110)&gt;0,'01_Stations'!$AC$110,"")</f>
        <v/>
      </c>
      <c r="AC117" s="164" t="str">
        <f>IF(N('01_Stations'!$AC$111)&gt;0,'01_Stations'!$AC$111,"")</f>
        <v/>
      </c>
      <c r="AD117" s="164" t="str">
        <f>IF(N('01_Stations'!$AC$112)&gt;0,'01_Stations'!$AC$112,"")</f>
        <v/>
      </c>
      <c r="AE117" s="164" t="str">
        <f>IF(N('01_Stations'!$AC$113)&gt;0,'01_Stations'!$AC$113,"")</f>
        <v/>
      </c>
      <c r="AF117" s="164" t="str">
        <f>IF(N('01_Stations'!$AC$114)&gt;0,'01_Stations'!$AC$114,"")</f>
        <v/>
      </c>
      <c r="AG117" s="164" t="str">
        <f>IF(N('01_Stations'!$AC$115)&gt;0,'01_Stations'!$AC$115,"")</f>
        <v/>
      </c>
      <c r="AH117" s="164" t="str">
        <f>IF(N('01_Stations'!$AC$116)&gt;0,'01_Stations'!$AC$116,"")</f>
        <v/>
      </c>
      <c r="AI117" s="164" t="str">
        <f>IF(N('01_Stations'!$AC$117)&gt;0,'01_Stations'!$AC$117,"")</f>
        <v/>
      </c>
      <c r="AJ117" s="164" t="str">
        <f>IF(N('01_Stations'!$AC$118)&gt;0,'01_Stations'!$AC$118,"")</f>
        <v/>
      </c>
      <c r="AK117" s="164" t="str">
        <f>IF(N('01_Stations'!$AC$119)&gt;0,'01_Stations'!$AC$119,"")</f>
        <v/>
      </c>
      <c r="AL117" s="164" t="str">
        <f>IF(N('01_Stations'!$AC$120)&gt;0,'01_Stations'!$AC$120,"")</f>
        <v/>
      </c>
      <c r="AM117" s="164" t="str">
        <f>IF(N('01_Stations'!$AC$121)&gt;0,'01_Stations'!$AC$121,"")</f>
        <v/>
      </c>
      <c r="AN117" s="164" t="str">
        <f>IF(N('01_Stations'!$AC$122)&gt;0,'01_Stations'!$AC$122,"")</f>
        <v/>
      </c>
      <c r="AO117" s="164" t="str">
        <f>IF(N('01_Stations'!$AC$123)&gt;0,'01_Stations'!$AC$123,"")</f>
        <v/>
      </c>
      <c r="AP117" s="164" t="str">
        <f>IF(N('01_Stations'!$AC$124)&gt;0,'01_Stations'!$AC$124,"")</f>
        <v/>
      </c>
      <c r="AQ117" s="164" t="str">
        <f>IF(N('01_Stations'!$AC$125)&gt;0,'01_Stations'!$AC$125,"")</f>
        <v/>
      </c>
    </row>
    <row r="118" spans="1:43" ht="15" customHeight="1" x14ac:dyDescent="0.3">
      <c r="A118" s="236"/>
      <c r="B118" s="165" t="s">
        <v>2221</v>
      </c>
      <c r="C118" s="166" t="s">
        <v>1622</v>
      </c>
      <c r="D118" s="164" t="str">
        <f>IF(N('01_Stations'!$AD$86)&gt;0,'01_Stations'!$AD$86,"")</f>
        <v/>
      </c>
      <c r="E118" s="164" t="str">
        <f>IF(N('01_Stations'!$AD$87)&gt;0,'01_Stations'!$AD$87,"")</f>
        <v/>
      </c>
      <c r="F118" s="164" t="str">
        <f>IF(N('01_Stations'!$AD$88)&gt;0,'01_Stations'!$AD$88,"")</f>
        <v/>
      </c>
      <c r="G118" s="164" t="str">
        <f>IF(N('01_Stations'!$AD$89)&gt;0,'01_Stations'!$AD$89,"")</f>
        <v/>
      </c>
      <c r="H118" s="164" t="str">
        <f>IF(N('01_Stations'!$AD$90)&gt;0,'01_Stations'!$AD$90,"")</f>
        <v/>
      </c>
      <c r="I118" s="164" t="str">
        <f>IF(N('01_Stations'!$AD$91)&gt;0,'01_Stations'!$AD$91,"")</f>
        <v/>
      </c>
      <c r="J118" s="164" t="str">
        <f>IF(N('01_Stations'!$AD$92)&gt;0,'01_Stations'!$AD$92,"")</f>
        <v/>
      </c>
      <c r="K118" s="164" t="str">
        <f>IF(N('01_Stations'!$AD$93)&gt;0,'01_Stations'!$AD$93,"")</f>
        <v/>
      </c>
      <c r="L118" s="164" t="str">
        <f>IF(N('01_Stations'!$AD$94)&gt;0,'01_Stations'!$AD$94,"")</f>
        <v/>
      </c>
      <c r="M118" s="164" t="str">
        <f>IF(N('01_Stations'!$AD$95)&gt;0,'01_Stations'!$AD$95,"")</f>
        <v/>
      </c>
      <c r="N118" s="164" t="str">
        <f>IF(N('01_Stations'!$AD$96)&gt;0,'01_Stations'!$AD$96,"")</f>
        <v/>
      </c>
      <c r="O118" s="164" t="str">
        <f>IF(N('01_Stations'!$AD$97)&gt;0,'01_Stations'!$AD$97,"")</f>
        <v/>
      </c>
      <c r="P118" s="164" t="str">
        <f>IF(N('01_Stations'!$AD$98)&gt;0,'01_Stations'!$AD$98,"")</f>
        <v/>
      </c>
      <c r="Q118" s="164" t="str">
        <f>IF(N('01_Stations'!$AD$99)&gt;0,'01_Stations'!$AD$99,"")</f>
        <v/>
      </c>
      <c r="R118" s="164" t="str">
        <f>IF(N('01_Stations'!$AD$100)&gt;0,'01_Stations'!$AD$100,"")</f>
        <v/>
      </c>
      <c r="S118" s="164" t="str">
        <f>IF(N('01_Stations'!$AD$101)&gt;0,'01_Stations'!$AD$101,"")</f>
        <v/>
      </c>
      <c r="T118" s="164" t="str">
        <f>IF(N('01_Stations'!$AD$102)&gt;0,'01_Stations'!$AD$102,"")</f>
        <v/>
      </c>
      <c r="U118" s="164" t="str">
        <f>IF(N('01_Stations'!$AD$103)&gt;0,'01_Stations'!$AD$103,"")</f>
        <v/>
      </c>
      <c r="V118" s="164" t="str">
        <f>IF(N('01_Stations'!$AD$104)&gt;0,'01_Stations'!$AD$104,"")</f>
        <v/>
      </c>
      <c r="W118" s="164" t="str">
        <f>IF(N('01_Stations'!$AD$105)&gt;0,'01_Stations'!$AD$105,"")</f>
        <v/>
      </c>
      <c r="X118" s="164" t="str">
        <f>IF(N('01_Stations'!$AD$106)&gt;0,'01_Stations'!$AD$106,"")</f>
        <v/>
      </c>
      <c r="Y118" s="164" t="str">
        <f>IF(N('01_Stations'!$AD$107)&gt;0,'01_Stations'!$AD$107,"")</f>
        <v/>
      </c>
      <c r="Z118" s="164" t="str">
        <f>IF(N('01_Stations'!$AD$108)&gt;0,'01_Stations'!$AD$108,"")</f>
        <v/>
      </c>
      <c r="AA118" s="164" t="str">
        <f>IF(N('01_Stations'!$AD$109)&gt;0,'01_Stations'!$AD$109,"")</f>
        <v/>
      </c>
      <c r="AB118" s="164" t="str">
        <f>IF(N('01_Stations'!$AD$110)&gt;0,'01_Stations'!$AD$110,"")</f>
        <v/>
      </c>
      <c r="AC118" s="164" t="str">
        <f>IF(N('01_Stations'!$AD$111)&gt;0,'01_Stations'!$AD$111,"")</f>
        <v/>
      </c>
      <c r="AD118" s="164" t="str">
        <f>IF(N('01_Stations'!$AD$112)&gt;0,'01_Stations'!$AD$112,"")</f>
        <v/>
      </c>
      <c r="AE118" s="164" t="str">
        <f>IF(N('01_Stations'!$AD$113)&gt;0,'01_Stations'!$AD$113,"")</f>
        <v/>
      </c>
      <c r="AF118" s="164" t="str">
        <f>IF(N('01_Stations'!$AD$114)&gt;0,'01_Stations'!$AD$114,"")</f>
        <v/>
      </c>
      <c r="AG118" s="164" t="str">
        <f>IF(N('01_Stations'!$AD$115)&gt;0,'01_Stations'!$AD$115,"")</f>
        <v/>
      </c>
      <c r="AH118" s="164" t="str">
        <f>IF(N('01_Stations'!$AD$116)&gt;0,'01_Stations'!$AD$116,"")</f>
        <v/>
      </c>
      <c r="AI118" s="164" t="str">
        <f>IF(N('01_Stations'!$AD$117)&gt;0,'01_Stations'!$AD$117,"")</f>
        <v/>
      </c>
      <c r="AJ118" s="164" t="str">
        <f>IF(N('01_Stations'!$AD$118)&gt;0,'01_Stations'!$AD$118,"")</f>
        <v/>
      </c>
      <c r="AK118" s="164" t="str">
        <f>IF(N('01_Stations'!$AD$119)&gt;0,'01_Stations'!$AD$119,"")</f>
        <v/>
      </c>
      <c r="AL118" s="164" t="str">
        <f>IF(N('01_Stations'!$AD$120)&gt;0,'01_Stations'!$AD$120,"")</f>
        <v/>
      </c>
      <c r="AM118" s="164" t="str">
        <f>IF(N('01_Stations'!$AD$121)&gt;0,'01_Stations'!$AD$121,"")</f>
        <v/>
      </c>
      <c r="AN118" s="164" t="str">
        <f>IF(N('01_Stations'!$AD$122)&gt;0,'01_Stations'!$AD$122,"")</f>
        <v/>
      </c>
      <c r="AO118" s="164" t="str">
        <f>IF(N('01_Stations'!$AD$123)&gt;0,'01_Stations'!$AD$123,"")</f>
        <v/>
      </c>
      <c r="AP118" s="164" t="str">
        <f>IF(N('01_Stations'!$AD$124)&gt;0,'01_Stations'!$AD$124,"")</f>
        <v/>
      </c>
      <c r="AQ118" s="164" t="str">
        <f>IF(N('01_Stations'!$AD$125)&gt;0,'01_Stations'!$AD$125,"")</f>
        <v/>
      </c>
    </row>
    <row r="119" spans="1:43" ht="15" customHeight="1" x14ac:dyDescent="0.3">
      <c r="A119" s="236"/>
      <c r="B119" s="165"/>
      <c r="C119" s="166" t="s">
        <v>2212</v>
      </c>
      <c r="D119" s="164" t="str">
        <f>IF(N('01_Stations'!$AE$86)&gt;0,'01_Stations'!$AE$86,"")</f>
        <v/>
      </c>
      <c r="E119" s="164" t="str">
        <f>IF(N('01_Stations'!$AE$87)&gt;0,'01_Stations'!$AE$87,"")</f>
        <v/>
      </c>
      <c r="F119" s="164" t="str">
        <f>IF(N('01_Stations'!$AE$88)&gt;0,'01_Stations'!$AE$88,"")</f>
        <v/>
      </c>
      <c r="G119" s="164" t="str">
        <f>IF(N('01_Stations'!$AE$89)&gt;0,'01_Stations'!$AE$89,"")</f>
        <v/>
      </c>
      <c r="H119" s="164" t="str">
        <f>IF(N('01_Stations'!$AE$90)&gt;0,'01_Stations'!$AE$90,"")</f>
        <v/>
      </c>
      <c r="I119" s="164" t="str">
        <f>IF(N('01_Stations'!$AE$91)&gt;0,'01_Stations'!$AE$91,"")</f>
        <v/>
      </c>
      <c r="J119" s="164" t="str">
        <f>IF(N('01_Stations'!$AE$92)&gt;0,'01_Stations'!$AE$92,"")</f>
        <v/>
      </c>
      <c r="K119" s="164" t="str">
        <f>IF(N('01_Stations'!$AE$93)&gt;0,'01_Stations'!$AE$93,"")</f>
        <v/>
      </c>
      <c r="L119" s="164" t="str">
        <f>IF(N('01_Stations'!$AE$94)&gt;0,'01_Stations'!$AE$94,"")</f>
        <v/>
      </c>
      <c r="M119" s="164" t="str">
        <f>IF(N('01_Stations'!$AE$95)&gt;0,'01_Stations'!$AE$95,"")</f>
        <v/>
      </c>
      <c r="N119" s="164" t="str">
        <f>IF(N('01_Stations'!$AE$96)&gt;0,'01_Stations'!$AE$96,"")</f>
        <v/>
      </c>
      <c r="O119" s="164" t="str">
        <f>IF(N('01_Stations'!$AE$97)&gt;0,'01_Stations'!$AE$97,"")</f>
        <v/>
      </c>
      <c r="P119" s="164" t="str">
        <f>IF(N('01_Stations'!$AE$98)&gt;0,'01_Stations'!$AE$98,"")</f>
        <v/>
      </c>
      <c r="Q119" s="164" t="str">
        <f>IF(N('01_Stations'!$AE$99)&gt;0,'01_Stations'!$AE$99,"")</f>
        <v/>
      </c>
      <c r="R119" s="164" t="str">
        <f>IF(N('01_Stations'!$AE$100)&gt;0,'01_Stations'!$AE$100,"")</f>
        <v/>
      </c>
      <c r="S119" s="164" t="str">
        <f>IF(N('01_Stations'!$AE$101)&gt;0,'01_Stations'!$AE$101,"")</f>
        <v/>
      </c>
      <c r="T119" s="164" t="str">
        <f>IF(N('01_Stations'!$AE$102)&gt;0,'01_Stations'!$AE$102,"")</f>
        <v/>
      </c>
      <c r="U119" s="164" t="str">
        <f>IF(N('01_Stations'!$AE$103)&gt;0,'01_Stations'!$AE$103,"")</f>
        <v/>
      </c>
      <c r="V119" s="164" t="str">
        <f>IF(N('01_Stations'!$AE$104)&gt;0,'01_Stations'!$AE$104,"")</f>
        <v/>
      </c>
      <c r="W119" s="164" t="str">
        <f>IF(N('01_Stations'!$AE$105)&gt;0,'01_Stations'!$AE$105,"")</f>
        <v/>
      </c>
      <c r="X119" s="164" t="str">
        <f>IF(N('01_Stations'!$AE$106)&gt;0,'01_Stations'!$AE$106,"")</f>
        <v/>
      </c>
      <c r="Y119" s="164" t="str">
        <f>IF(N('01_Stations'!$AE$107)&gt;0,'01_Stations'!$AE$107,"")</f>
        <v/>
      </c>
      <c r="Z119" s="164" t="str">
        <f>IF(N('01_Stations'!$AE$108)&gt;0,'01_Stations'!$AE$108,"")</f>
        <v/>
      </c>
      <c r="AA119" s="164" t="str">
        <f>IF(N('01_Stations'!$AE$109)&gt;0,'01_Stations'!$AE$109,"")</f>
        <v/>
      </c>
      <c r="AB119" s="164" t="str">
        <f>IF(N('01_Stations'!$AE$110)&gt;0,'01_Stations'!$AE$110,"")</f>
        <v/>
      </c>
      <c r="AC119" s="164" t="str">
        <f>IF(N('01_Stations'!$AE$111)&gt;0,'01_Stations'!$AE$111,"")</f>
        <v/>
      </c>
      <c r="AD119" s="164" t="str">
        <f>IF(N('01_Stations'!$AE$112)&gt;0,'01_Stations'!$AE$112,"")</f>
        <v/>
      </c>
      <c r="AE119" s="164" t="str">
        <f>IF(N('01_Stations'!$AE$113)&gt;0,'01_Stations'!$AE$113,"")</f>
        <v/>
      </c>
      <c r="AF119" s="164" t="str">
        <f>IF(N('01_Stations'!$AE$114)&gt;0,'01_Stations'!$AE$114,"")</f>
        <v/>
      </c>
      <c r="AG119" s="164" t="str">
        <f>IF(N('01_Stations'!$AE$115)&gt;0,'01_Stations'!$AE$115,"")</f>
        <v/>
      </c>
      <c r="AH119" s="164" t="str">
        <f>IF(N('01_Stations'!$AE$116)&gt;0,'01_Stations'!$AE$116,"")</f>
        <v/>
      </c>
      <c r="AI119" s="164" t="str">
        <f>IF(N('01_Stations'!$AE$117)&gt;0,'01_Stations'!$AE$117,"")</f>
        <v/>
      </c>
      <c r="AJ119" s="164" t="str">
        <f>IF(N('01_Stations'!$AE$118)&gt;0,'01_Stations'!$AE$118,"")</f>
        <v/>
      </c>
      <c r="AK119" s="164" t="str">
        <f>IF(N('01_Stations'!$AE$119)&gt;0,'01_Stations'!$AE$119,"")</f>
        <v/>
      </c>
      <c r="AL119" s="164" t="str">
        <f>IF(N('01_Stations'!$AE$120)&gt;0,'01_Stations'!$AE$120,"")</f>
        <v/>
      </c>
      <c r="AM119" s="164" t="str">
        <f>IF(N('01_Stations'!$AE$121)&gt;0,'01_Stations'!$AE$121,"")</f>
        <v/>
      </c>
      <c r="AN119" s="164" t="str">
        <f>IF(N('01_Stations'!$AE$122)&gt;0,'01_Stations'!$AE$122,"")</f>
        <v/>
      </c>
      <c r="AO119" s="164" t="str">
        <f>IF(N('01_Stations'!$AE$123)&gt;0,'01_Stations'!$AE$123,"")</f>
        <v/>
      </c>
      <c r="AP119" s="164" t="str">
        <f>IF(N('01_Stations'!$AE$124)&gt;0,'01_Stations'!$AE$124,"")</f>
        <v/>
      </c>
      <c r="AQ119" s="164" t="str">
        <f>IF(N('01_Stations'!$AE$125)&gt;0,'01_Stations'!$AE$125,"")</f>
        <v/>
      </c>
    </row>
    <row r="120" spans="1:43" ht="15" customHeight="1" x14ac:dyDescent="0.3">
      <c r="A120" s="236"/>
      <c r="B120" s="165" t="s">
        <v>1942</v>
      </c>
      <c r="C120" s="166" t="s">
        <v>1622</v>
      </c>
      <c r="D120" s="164" t="str">
        <f>IF('01_Stations'!$AF$86=1,"───","")</f>
        <v/>
      </c>
      <c r="E120" s="164" t="str">
        <f>IF('01_Stations'!$AF$87=1,"───","")</f>
        <v/>
      </c>
      <c r="F120" s="164" t="str">
        <f>IF('01_Stations'!$AF$88=1,"───","")</f>
        <v/>
      </c>
      <c r="G120" s="164" t="str">
        <f>IF('01_Stations'!$AF$89=1,"───","")</f>
        <v/>
      </c>
      <c r="H120" s="164" t="str">
        <f>IF('01_Stations'!$AF$90=1,"───","")</f>
        <v/>
      </c>
      <c r="I120" s="164" t="str">
        <f>IF('01_Stations'!$AF$91=1,"───","")</f>
        <v/>
      </c>
      <c r="J120" s="164" t="str">
        <f>IF('01_Stations'!$AF$92=1,"───","")</f>
        <v/>
      </c>
      <c r="K120" s="164" t="str">
        <f>IF('01_Stations'!$AF$93=1,"───","")</f>
        <v/>
      </c>
      <c r="L120" s="164" t="str">
        <f>IF('01_Stations'!$AF$94=1,"───","")</f>
        <v/>
      </c>
      <c r="M120" s="164" t="str">
        <f>IF('01_Stations'!$AF$95=1,"───","")</f>
        <v/>
      </c>
      <c r="N120" s="164" t="str">
        <f>IF('01_Stations'!$AF$96=1,"───","")</f>
        <v/>
      </c>
      <c r="O120" s="164" t="str">
        <f>IF('01_Stations'!$AF$97=1,"───","")</f>
        <v/>
      </c>
      <c r="P120" s="164" t="str">
        <f>IF('01_Stations'!$AF$98=1,"───","")</f>
        <v/>
      </c>
      <c r="Q120" s="164" t="str">
        <f>IF('01_Stations'!$AF$99=1,"───","")</f>
        <v/>
      </c>
      <c r="R120" s="164" t="str">
        <f>IF('01_Stations'!$AF$100=1,"───","")</f>
        <v/>
      </c>
      <c r="S120" s="164" t="str">
        <f>IF('01_Stations'!$AF$101=1,"───","")</f>
        <v/>
      </c>
      <c r="T120" s="164" t="str">
        <f>IF('01_Stations'!$AF$102=1,"───","")</f>
        <v/>
      </c>
      <c r="U120" s="164" t="str">
        <f>IF('01_Stations'!$AF$103=1,"───","")</f>
        <v/>
      </c>
      <c r="V120" s="164" t="str">
        <f>IF('01_Stations'!$AF$104=1,"───","")</f>
        <v/>
      </c>
      <c r="W120" s="164" t="str">
        <f>IF('01_Stations'!$AF$105=1,"───","")</f>
        <v/>
      </c>
      <c r="X120" s="164" t="str">
        <f>IF('01_Stations'!$AF$106=1,"───","")</f>
        <v/>
      </c>
      <c r="Y120" s="164" t="str">
        <f>IF('01_Stations'!$AF$107=1,"───","")</f>
        <v/>
      </c>
      <c r="Z120" s="164" t="str">
        <f>IF('01_Stations'!$AF$108=1,"───","")</f>
        <v/>
      </c>
      <c r="AA120" s="164" t="str">
        <f>IF('01_Stations'!$AF$109=1,"───","")</f>
        <v/>
      </c>
      <c r="AB120" s="164" t="str">
        <f>IF('01_Stations'!$AF$110=1,"───","")</f>
        <v/>
      </c>
      <c r="AC120" s="164" t="str">
        <f>IF('01_Stations'!$AF$111=1,"───","")</f>
        <v/>
      </c>
      <c r="AD120" s="164" t="str">
        <f>IF('01_Stations'!$AF$112=1,"───","")</f>
        <v/>
      </c>
      <c r="AE120" s="164" t="str">
        <f>IF('01_Stations'!$AF$113=1,"───","")</f>
        <v/>
      </c>
      <c r="AF120" s="164" t="str">
        <f>IF('01_Stations'!$AF$114=1,"───","")</f>
        <v/>
      </c>
      <c r="AG120" s="164" t="str">
        <f>IF('01_Stations'!$AF$115=1,"───","")</f>
        <v/>
      </c>
      <c r="AH120" s="164" t="str">
        <f>IF('01_Stations'!$AF$116=1,"───","")</f>
        <v/>
      </c>
      <c r="AI120" s="164" t="str">
        <f>IF('01_Stations'!$AF$117=1,"───","")</f>
        <v/>
      </c>
      <c r="AJ120" s="164" t="str">
        <f>IF('01_Stations'!$AF$118=1,"───","")</f>
        <v/>
      </c>
      <c r="AK120" s="164" t="str">
        <f>IF('01_Stations'!$AF$119=1,"───","")</f>
        <v/>
      </c>
      <c r="AL120" s="164" t="str">
        <f>IF('01_Stations'!$AF$120=1,"───","")</f>
        <v/>
      </c>
      <c r="AM120" s="164" t="str">
        <f>IF('01_Stations'!$AF$121=1,"───","")</f>
        <v/>
      </c>
      <c r="AN120" s="164" t="str">
        <f>IF('01_Stations'!$AF$122=1,"───","")</f>
        <v/>
      </c>
      <c r="AO120" s="164" t="str">
        <f>IF('01_Stations'!$AF$123=1,"───","")</f>
        <v/>
      </c>
      <c r="AP120" s="164" t="str">
        <f>IF('01_Stations'!$AF$124=1,"───","")</f>
        <v/>
      </c>
      <c r="AQ120" s="164" t="str">
        <f>IF('01_Stations'!$AF$125=1,"───","")</f>
        <v/>
      </c>
    </row>
    <row r="121" spans="1:43" ht="15" customHeight="1" x14ac:dyDescent="0.3">
      <c r="A121" s="237"/>
      <c r="B121" s="165"/>
      <c r="C121" s="166" t="s">
        <v>2212</v>
      </c>
      <c r="D121" s="164" t="str">
        <f>IF('01_Stations'!$AG$86=1,"───","")</f>
        <v/>
      </c>
      <c r="E121" s="164" t="str">
        <f>IF('01_Stations'!$AG$87=1,"───","")</f>
        <v/>
      </c>
      <c r="F121" s="164" t="str">
        <f>IF('01_Stations'!$AG$88=1,"───","")</f>
        <v/>
      </c>
      <c r="G121" s="164" t="str">
        <f>IF('01_Stations'!$AG$89=1,"───","")</f>
        <v/>
      </c>
      <c r="H121" s="164" t="str">
        <f>IF('01_Stations'!$AG$90=1,"───","")</f>
        <v/>
      </c>
      <c r="I121" s="164" t="str">
        <f>IF('01_Stations'!$AG$91=1,"───","")</f>
        <v/>
      </c>
      <c r="J121" s="164" t="str">
        <f>IF('01_Stations'!$AG$92=1,"───","")</f>
        <v/>
      </c>
      <c r="K121" s="164" t="str">
        <f>IF('01_Stations'!$AG$93=1,"───","")</f>
        <v/>
      </c>
      <c r="L121" s="164" t="str">
        <f>IF('01_Stations'!$AG$94=1,"───","")</f>
        <v/>
      </c>
      <c r="M121" s="164" t="str">
        <f>IF('01_Stations'!$AG$95=1,"───","")</f>
        <v/>
      </c>
      <c r="N121" s="164" t="str">
        <f>IF('01_Stations'!$AG$96=1,"───","")</f>
        <v/>
      </c>
      <c r="O121" s="164" t="str">
        <f>IF('01_Stations'!$AG$97=1,"───","")</f>
        <v/>
      </c>
      <c r="P121" s="164" t="str">
        <f>IF('01_Stations'!$AG$98=1,"───","")</f>
        <v/>
      </c>
      <c r="Q121" s="164" t="str">
        <f>IF('01_Stations'!$AG$99=1,"───","")</f>
        <v/>
      </c>
      <c r="R121" s="164" t="str">
        <f>IF('01_Stations'!$AG$100=1,"───","")</f>
        <v/>
      </c>
      <c r="S121" s="164" t="str">
        <f>IF('01_Stations'!$AG$101=1,"───","")</f>
        <v/>
      </c>
      <c r="T121" s="164" t="str">
        <f>IF('01_Stations'!$AG$102=1,"───","")</f>
        <v/>
      </c>
      <c r="U121" s="164" t="str">
        <f>IF('01_Stations'!$AG$103=1,"───","")</f>
        <v/>
      </c>
      <c r="V121" s="164" t="str">
        <f>IF('01_Stations'!$AG$104=1,"───","")</f>
        <v/>
      </c>
      <c r="W121" s="164" t="str">
        <f>IF('01_Stations'!$AG$105=1,"───","")</f>
        <v/>
      </c>
      <c r="X121" s="164" t="str">
        <f>IF('01_Stations'!$AG$106=1,"───","")</f>
        <v/>
      </c>
      <c r="Y121" s="164" t="str">
        <f>IF('01_Stations'!$AG$107=1,"───","")</f>
        <v/>
      </c>
      <c r="Z121" s="164" t="str">
        <f>IF('01_Stations'!$AG$108=1,"───","")</f>
        <v/>
      </c>
      <c r="AA121" s="164" t="str">
        <f>IF('01_Stations'!$AG$109=1,"───","")</f>
        <v/>
      </c>
      <c r="AB121" s="164" t="str">
        <f>IF('01_Stations'!$AG$110=1,"───","")</f>
        <v/>
      </c>
      <c r="AC121" s="164" t="str">
        <f>IF('01_Stations'!$AG$111=1,"───","")</f>
        <v/>
      </c>
      <c r="AD121" s="164" t="str">
        <f>IF('01_Stations'!$AG$112=1,"───","")</f>
        <v/>
      </c>
      <c r="AE121" s="164" t="str">
        <f>IF('01_Stations'!$AG$113=1,"───","")</f>
        <v/>
      </c>
      <c r="AF121" s="164" t="str">
        <f>IF('01_Stations'!$AG$114=1,"───","")</f>
        <v/>
      </c>
      <c r="AG121" s="164" t="str">
        <f>IF('01_Stations'!$AG$115=1,"───","")</f>
        <v/>
      </c>
      <c r="AH121" s="164" t="str">
        <f>IF('01_Stations'!$AG$116=1,"───","")</f>
        <v/>
      </c>
      <c r="AI121" s="164" t="str">
        <f>IF('01_Stations'!$AG$117=1,"───","")</f>
        <v/>
      </c>
      <c r="AJ121" s="164" t="str">
        <f>IF('01_Stations'!$AG$118=1,"───","")</f>
        <v/>
      </c>
      <c r="AK121" s="164" t="str">
        <f>IF('01_Stations'!$AG$119=1,"───","")</f>
        <v/>
      </c>
      <c r="AL121" s="164" t="str">
        <f>IF('01_Stations'!$AG$120=1,"───","")</f>
        <v/>
      </c>
      <c r="AM121" s="164" t="str">
        <f>IF('01_Stations'!$AG$121=1,"───","")</f>
        <v/>
      </c>
      <c r="AN121" s="164" t="str">
        <f>IF('01_Stations'!$AG$122=1,"───","")</f>
        <v/>
      </c>
      <c r="AO121" s="164" t="str">
        <f>IF('01_Stations'!$AG$123=1,"───","")</f>
        <v/>
      </c>
      <c r="AP121" s="164" t="str">
        <f>IF('01_Stations'!$AG$124=1,"───","")</f>
        <v/>
      </c>
      <c r="AQ121" s="164" t="str">
        <f>IF('01_Stations'!$AG$125=1,"───","")</f>
        <v/>
      </c>
    </row>
    <row r="122" spans="1:43" ht="15" customHeight="1" x14ac:dyDescent="0.3">
      <c r="A122" s="238" t="s">
        <v>2222</v>
      </c>
      <c r="B122" s="165" t="s">
        <v>291</v>
      </c>
      <c r="C122" s="166"/>
      <c r="D122" s="164" t="str">
        <f>IF('01_Stations'!$AH$86=1,"───","")</f>
        <v/>
      </c>
      <c r="E122" s="164" t="str">
        <f>IF('01_Stations'!$AH$87=1,"───","")</f>
        <v/>
      </c>
      <c r="F122" s="164" t="str">
        <f>IF('01_Stations'!$AH$88=1,"───","")</f>
        <v/>
      </c>
      <c r="G122" s="164" t="str">
        <f>IF('01_Stations'!$AH$89=1,"───","")</f>
        <v/>
      </c>
      <c r="H122" s="164" t="str">
        <f>IF('01_Stations'!$AH$90=1,"───","")</f>
        <v/>
      </c>
      <c r="I122" s="164" t="str">
        <f>IF('01_Stations'!$AH$91=1,"───","")</f>
        <v/>
      </c>
      <c r="J122" s="164" t="str">
        <f>IF('01_Stations'!$AH$92=1,"───","")</f>
        <v/>
      </c>
      <c r="K122" s="164" t="str">
        <f>IF('01_Stations'!$AH$93=1,"───","")</f>
        <v/>
      </c>
      <c r="L122" s="164" t="str">
        <f>IF('01_Stations'!$AH$94=1,"───","")</f>
        <v/>
      </c>
      <c r="M122" s="164" t="str">
        <f>IF('01_Stations'!$AH$95=1,"───","")</f>
        <v/>
      </c>
      <c r="N122" s="164" t="str">
        <f>IF('01_Stations'!$AH$96=1,"───","")</f>
        <v/>
      </c>
      <c r="O122" s="164" t="str">
        <f>IF('01_Stations'!$AH$97=1,"───","")</f>
        <v/>
      </c>
      <c r="P122" s="164" t="str">
        <f>IF('01_Stations'!$AH$98=1,"───","")</f>
        <v/>
      </c>
      <c r="Q122" s="164" t="str">
        <f>IF('01_Stations'!$AH$99=1,"───","")</f>
        <v/>
      </c>
      <c r="R122" s="164" t="str">
        <f>IF('01_Stations'!$AH$100=1,"───","")</f>
        <v/>
      </c>
      <c r="S122" s="164" t="str">
        <f>IF('01_Stations'!$AH$101=1,"───","")</f>
        <v/>
      </c>
      <c r="T122" s="164" t="str">
        <f>IF('01_Stations'!$AH$102=1,"───","")</f>
        <v/>
      </c>
      <c r="U122" s="164" t="str">
        <f>IF('01_Stations'!$AH$103=1,"───","")</f>
        <v/>
      </c>
      <c r="V122" s="164" t="str">
        <f>IF('01_Stations'!$AH$104=1,"───","")</f>
        <v/>
      </c>
      <c r="W122" s="164" t="str">
        <f>IF('01_Stations'!$AH$105=1,"───","")</f>
        <v/>
      </c>
      <c r="X122" s="164" t="str">
        <f>IF('01_Stations'!$AH$106=1,"───","")</f>
        <v/>
      </c>
      <c r="Y122" s="164" t="str">
        <f>IF('01_Stations'!$AH$107=1,"───","")</f>
        <v/>
      </c>
      <c r="Z122" s="164" t="str">
        <f>IF('01_Stations'!$AH$108=1,"───","")</f>
        <v/>
      </c>
      <c r="AA122" s="164" t="str">
        <f>IF('01_Stations'!$AH$109=1,"───","")</f>
        <v/>
      </c>
      <c r="AB122" s="164" t="str">
        <f>IF('01_Stations'!$AH$110=1,"───","")</f>
        <v/>
      </c>
      <c r="AC122" s="164" t="str">
        <f>IF('01_Stations'!$AH$111=1,"───","")</f>
        <v/>
      </c>
      <c r="AD122" s="164" t="str">
        <f>IF('01_Stations'!$AH$112=1,"───","")</f>
        <v/>
      </c>
      <c r="AE122" s="164" t="str">
        <f>IF('01_Stations'!$AH$113=1,"───","")</f>
        <v/>
      </c>
      <c r="AF122" s="164" t="str">
        <f>IF('01_Stations'!$AH$114=1,"───","")</f>
        <v/>
      </c>
      <c r="AG122" s="164" t="str">
        <f>IF('01_Stations'!$AH$115=1,"───","")</f>
        <v/>
      </c>
      <c r="AH122" s="164" t="str">
        <f>IF('01_Stations'!$AH$116=1,"───","")</f>
        <v/>
      </c>
      <c r="AI122" s="164" t="str">
        <f>IF('01_Stations'!$AH$117=1,"───","")</f>
        <v/>
      </c>
      <c r="AJ122" s="164" t="str">
        <f>IF('01_Stations'!$AH$118=1,"───","")</f>
        <v/>
      </c>
      <c r="AK122" s="164" t="str">
        <f>IF('01_Stations'!$AH$119=1,"───","")</f>
        <v/>
      </c>
      <c r="AL122" s="164" t="str">
        <f>IF('01_Stations'!$AH$120=1,"───","")</f>
        <v/>
      </c>
      <c r="AM122" s="164" t="str">
        <f>IF('01_Stations'!$AH$121=1,"───","")</f>
        <v/>
      </c>
      <c r="AN122" s="164" t="str">
        <f>IF('01_Stations'!$AH$122=1,"───","")</f>
        <v/>
      </c>
      <c r="AO122" s="164" t="str">
        <f>IF('01_Stations'!$AH$123=1,"───","")</f>
        <v/>
      </c>
      <c r="AP122" s="164" t="str">
        <f>IF('01_Stations'!$AH$124=1,"───","")</f>
        <v/>
      </c>
      <c r="AQ122" s="164" t="str">
        <f>IF('01_Stations'!$AH$125=1,"───","")</f>
        <v/>
      </c>
    </row>
    <row r="123" spans="1:43" ht="15" customHeight="1" x14ac:dyDescent="0.3">
      <c r="A123" s="236"/>
      <c r="B123" s="165" t="s">
        <v>292</v>
      </c>
      <c r="C123" s="166"/>
      <c r="D123" s="164" t="str">
        <f>IF('01_Stations'!$AI$86=1,"───","")</f>
        <v/>
      </c>
      <c r="E123" s="164" t="str">
        <f>IF('01_Stations'!$AI$87=1,"───","")</f>
        <v/>
      </c>
      <c r="F123" s="164" t="str">
        <f>IF('01_Stations'!$AI$88=1,"───","")</f>
        <v/>
      </c>
      <c r="G123" s="164" t="str">
        <f>IF('01_Stations'!$AI$89=1,"───","")</f>
        <v/>
      </c>
      <c r="H123" s="164" t="str">
        <f>IF('01_Stations'!$AI$90=1,"───","")</f>
        <v/>
      </c>
      <c r="I123" s="164" t="str">
        <f>IF('01_Stations'!$AI$91=1,"───","")</f>
        <v/>
      </c>
      <c r="J123" s="164" t="str">
        <f>IF('01_Stations'!$AI$92=1,"───","")</f>
        <v/>
      </c>
      <c r="K123" s="164" t="str">
        <f>IF('01_Stations'!$AI$93=1,"───","")</f>
        <v/>
      </c>
      <c r="L123" s="164" t="str">
        <f>IF('01_Stations'!$AI$94=1,"───","")</f>
        <v/>
      </c>
      <c r="M123" s="164" t="str">
        <f>IF('01_Stations'!$AI$95=1,"───","")</f>
        <v/>
      </c>
      <c r="N123" s="164" t="str">
        <f>IF('01_Stations'!$AI$96=1,"───","")</f>
        <v/>
      </c>
      <c r="O123" s="164" t="str">
        <f>IF('01_Stations'!$AI$97=1,"───","")</f>
        <v/>
      </c>
      <c r="P123" s="164" t="str">
        <f>IF('01_Stations'!$AI$98=1,"───","")</f>
        <v/>
      </c>
      <c r="Q123" s="164" t="str">
        <f>IF('01_Stations'!$AI$99=1,"───","")</f>
        <v/>
      </c>
      <c r="R123" s="164" t="str">
        <f>IF('01_Stations'!$AI$100=1,"───","")</f>
        <v/>
      </c>
      <c r="S123" s="164" t="str">
        <f>IF('01_Stations'!$AI$101=1,"───","")</f>
        <v/>
      </c>
      <c r="T123" s="164" t="str">
        <f>IF('01_Stations'!$AI$102=1,"───","")</f>
        <v/>
      </c>
      <c r="U123" s="164" t="str">
        <f>IF('01_Stations'!$AI$103=1,"───","")</f>
        <v/>
      </c>
      <c r="V123" s="164" t="str">
        <f>IF('01_Stations'!$AI$104=1,"───","")</f>
        <v/>
      </c>
      <c r="W123" s="164" t="str">
        <f>IF('01_Stations'!$AI$105=1,"───","")</f>
        <v/>
      </c>
      <c r="X123" s="164" t="str">
        <f>IF('01_Stations'!$AI$106=1,"───","")</f>
        <v/>
      </c>
      <c r="Y123" s="164" t="str">
        <f>IF('01_Stations'!$AI$107=1,"───","")</f>
        <v/>
      </c>
      <c r="Z123" s="164" t="str">
        <f>IF('01_Stations'!$AI$108=1,"───","")</f>
        <v/>
      </c>
      <c r="AA123" s="164" t="str">
        <f>IF('01_Stations'!$AI$109=1,"───","")</f>
        <v/>
      </c>
      <c r="AB123" s="164" t="str">
        <f>IF('01_Stations'!$AI$110=1,"───","")</f>
        <v/>
      </c>
      <c r="AC123" s="164" t="str">
        <f>IF('01_Stations'!$AI$111=1,"───","")</f>
        <v/>
      </c>
      <c r="AD123" s="164" t="str">
        <f>IF('01_Stations'!$AI$112=1,"───","")</f>
        <v/>
      </c>
      <c r="AE123" s="164" t="str">
        <f>IF('01_Stations'!$AI$113=1,"───","")</f>
        <v/>
      </c>
      <c r="AF123" s="164" t="str">
        <f>IF('01_Stations'!$AI$114=1,"───","")</f>
        <v/>
      </c>
      <c r="AG123" s="164" t="str">
        <f>IF('01_Stations'!$AI$115=1,"───","")</f>
        <v/>
      </c>
      <c r="AH123" s="164" t="str">
        <f>IF('01_Stations'!$AI$116=1,"───","")</f>
        <v/>
      </c>
      <c r="AI123" s="164" t="str">
        <f>IF('01_Stations'!$AI$117=1,"───","")</f>
        <v/>
      </c>
      <c r="AJ123" s="164" t="str">
        <f>IF('01_Stations'!$AI$118=1,"───","")</f>
        <v/>
      </c>
      <c r="AK123" s="164" t="str">
        <f>IF('01_Stations'!$AI$119=1,"───","")</f>
        <v/>
      </c>
      <c r="AL123" s="164" t="str">
        <f>IF('01_Stations'!$AI$120=1,"───","")</f>
        <v/>
      </c>
      <c r="AM123" s="164" t="str">
        <f>IF('01_Stations'!$AI$121=1,"───","")</f>
        <v/>
      </c>
      <c r="AN123" s="164" t="str">
        <f>IF('01_Stations'!$AI$122=1,"───","")</f>
        <v/>
      </c>
      <c r="AO123" s="164" t="str">
        <f>IF('01_Stations'!$AI$123=1,"───","")</f>
        <v/>
      </c>
      <c r="AP123" s="164" t="str">
        <f>IF('01_Stations'!$AI$124=1,"───","")</f>
        <v/>
      </c>
      <c r="AQ123" s="164" t="str">
        <f>IF('01_Stations'!$AI$125=1,"───","")</f>
        <v/>
      </c>
    </row>
    <row r="124" spans="1:43" ht="15" customHeight="1" x14ac:dyDescent="0.3">
      <c r="A124" s="236"/>
      <c r="B124" s="165" t="s">
        <v>293</v>
      </c>
      <c r="C124" s="166"/>
      <c r="D124" s="164" t="str">
        <f>IF('01_Stations'!$AJ$86=1,"───","")</f>
        <v/>
      </c>
      <c r="E124" s="164" t="str">
        <f>IF('01_Stations'!$AJ$87=1,"───","")</f>
        <v/>
      </c>
      <c r="F124" s="164" t="str">
        <f>IF('01_Stations'!$AJ$88=1,"───","")</f>
        <v/>
      </c>
      <c r="G124" s="164" t="str">
        <f>IF('01_Stations'!$AJ$89=1,"───","")</f>
        <v/>
      </c>
      <c r="H124" s="164" t="str">
        <f>IF('01_Stations'!$AJ$90=1,"───","")</f>
        <v/>
      </c>
      <c r="I124" s="164" t="str">
        <f>IF('01_Stations'!$AJ$91=1,"───","")</f>
        <v/>
      </c>
      <c r="J124" s="164" t="str">
        <f>IF('01_Stations'!$AJ$92=1,"───","")</f>
        <v/>
      </c>
      <c r="K124" s="164" t="str">
        <f>IF('01_Stations'!$AJ$93=1,"───","")</f>
        <v/>
      </c>
      <c r="L124" s="164" t="str">
        <f>IF('01_Stations'!$AJ$94=1,"───","")</f>
        <v/>
      </c>
      <c r="M124" s="164" t="str">
        <f>IF('01_Stations'!$AJ$95=1,"───","")</f>
        <v/>
      </c>
      <c r="N124" s="164" t="str">
        <f>IF('01_Stations'!$AJ$96=1,"───","")</f>
        <v/>
      </c>
      <c r="O124" s="164" t="str">
        <f>IF('01_Stations'!$AJ$97=1,"───","")</f>
        <v/>
      </c>
      <c r="P124" s="164" t="str">
        <f>IF('01_Stations'!$AJ$98=1,"───","")</f>
        <v/>
      </c>
      <c r="Q124" s="164" t="str">
        <f>IF('01_Stations'!$AJ$99=1,"───","")</f>
        <v/>
      </c>
      <c r="R124" s="164" t="str">
        <f>IF('01_Stations'!$AJ$100=1,"───","")</f>
        <v/>
      </c>
      <c r="S124" s="164" t="str">
        <f>IF('01_Stations'!$AJ$101=1,"───","")</f>
        <v/>
      </c>
      <c r="T124" s="164" t="str">
        <f>IF('01_Stations'!$AJ$102=1,"───","")</f>
        <v/>
      </c>
      <c r="U124" s="164" t="str">
        <f>IF('01_Stations'!$AJ$103=1,"───","")</f>
        <v/>
      </c>
      <c r="V124" s="164" t="str">
        <f>IF('01_Stations'!$AJ$104=1,"───","")</f>
        <v/>
      </c>
      <c r="W124" s="164" t="str">
        <f>IF('01_Stations'!$AJ$105=1,"───","")</f>
        <v/>
      </c>
      <c r="X124" s="164" t="str">
        <f>IF('01_Stations'!$AJ$106=1,"───","")</f>
        <v/>
      </c>
      <c r="Y124" s="164" t="str">
        <f>IF('01_Stations'!$AJ$107=1,"───","")</f>
        <v/>
      </c>
      <c r="Z124" s="164" t="str">
        <f>IF('01_Stations'!$AJ$108=1,"───","")</f>
        <v/>
      </c>
      <c r="AA124" s="164" t="str">
        <f>IF('01_Stations'!$AJ$109=1,"───","")</f>
        <v/>
      </c>
      <c r="AB124" s="164" t="str">
        <f>IF('01_Stations'!$AJ$110=1,"───","")</f>
        <v/>
      </c>
      <c r="AC124" s="164" t="str">
        <f>IF('01_Stations'!$AJ$111=1,"───","")</f>
        <v/>
      </c>
      <c r="AD124" s="164" t="str">
        <f>IF('01_Stations'!$AJ$112=1,"───","")</f>
        <v/>
      </c>
      <c r="AE124" s="164" t="str">
        <f>IF('01_Stations'!$AJ$113=1,"───","")</f>
        <v/>
      </c>
      <c r="AF124" s="164" t="str">
        <f>IF('01_Stations'!$AJ$114=1,"───","")</f>
        <v/>
      </c>
      <c r="AG124" s="164" t="str">
        <f>IF('01_Stations'!$AJ$115=1,"───","")</f>
        <v/>
      </c>
      <c r="AH124" s="164" t="str">
        <f>IF('01_Stations'!$AJ$116=1,"───","")</f>
        <v/>
      </c>
      <c r="AI124" s="164" t="str">
        <f>IF('01_Stations'!$AJ$117=1,"───","")</f>
        <v/>
      </c>
      <c r="AJ124" s="164" t="str">
        <f>IF('01_Stations'!$AJ$118=1,"───","")</f>
        <v/>
      </c>
      <c r="AK124" s="164" t="str">
        <f>IF('01_Stations'!$AJ$119=1,"───","")</f>
        <v/>
      </c>
      <c r="AL124" s="164" t="str">
        <f>IF('01_Stations'!$AJ$120=1,"───","")</f>
        <v/>
      </c>
      <c r="AM124" s="164" t="str">
        <f>IF('01_Stations'!$AJ$121=1,"───","")</f>
        <v/>
      </c>
      <c r="AN124" s="164" t="str">
        <f>IF('01_Stations'!$AJ$122=1,"───","")</f>
        <v/>
      </c>
      <c r="AO124" s="164" t="str">
        <f>IF('01_Stations'!$AJ$123=1,"───","")</f>
        <v/>
      </c>
      <c r="AP124" s="164" t="str">
        <f>IF('01_Stations'!$AJ$124=1,"───","")</f>
        <v/>
      </c>
      <c r="AQ124" s="164" t="str">
        <f>IF('01_Stations'!$AJ$125=1,"───","")</f>
        <v/>
      </c>
    </row>
    <row r="125" spans="1:43" ht="15" customHeight="1" x14ac:dyDescent="0.3">
      <c r="A125" s="236"/>
      <c r="B125" s="165" t="s">
        <v>294</v>
      </c>
      <c r="C125" s="166" t="s">
        <v>299</v>
      </c>
      <c r="D125" s="164" t="str">
        <f>IF(N('01_Stations'!$AK$86)&gt;0,'01_Stations'!$AK$86,"")</f>
        <v/>
      </c>
      <c r="E125" s="164" t="str">
        <f>IF(N('01_Stations'!$AK$87)&gt;0,'01_Stations'!$AK$87,"")</f>
        <v/>
      </c>
      <c r="F125" s="164" t="str">
        <f>IF(N('01_Stations'!$AK$88)&gt;0,'01_Stations'!$AK$88,"")</f>
        <v/>
      </c>
      <c r="G125" s="164" t="str">
        <f>IF(N('01_Stations'!$AK$89)&gt;0,'01_Stations'!$AK$89,"")</f>
        <v/>
      </c>
      <c r="H125" s="164" t="str">
        <f>IF(N('01_Stations'!$AK$90)&gt;0,'01_Stations'!$AK$90,"")</f>
        <v/>
      </c>
      <c r="I125" s="164" t="str">
        <f>IF(N('01_Stations'!$AK$91)&gt;0,'01_Stations'!$AK$91,"")</f>
        <v/>
      </c>
      <c r="J125" s="164" t="str">
        <f>IF(N('01_Stations'!$AK$92)&gt;0,'01_Stations'!$AK$92,"")</f>
        <v/>
      </c>
      <c r="K125" s="164" t="str">
        <f>IF(N('01_Stations'!$AK$93)&gt;0,'01_Stations'!$AK$93,"")</f>
        <v/>
      </c>
      <c r="L125" s="164" t="str">
        <f>IF(N('01_Stations'!$AK$94)&gt;0,'01_Stations'!$AK$94,"")</f>
        <v/>
      </c>
      <c r="M125" s="164" t="str">
        <f>IF(N('01_Stations'!$AK$95)&gt;0,'01_Stations'!$AK$95,"")</f>
        <v/>
      </c>
      <c r="N125" s="164" t="str">
        <f>IF(N('01_Stations'!$AK$96)&gt;0,'01_Stations'!$AK$96,"")</f>
        <v/>
      </c>
      <c r="O125" s="164" t="str">
        <f>IF(N('01_Stations'!$AK$97)&gt;0,'01_Stations'!$AK$97,"")</f>
        <v/>
      </c>
      <c r="P125" s="164" t="str">
        <f>IF(N('01_Stations'!$AK$98)&gt;0,'01_Stations'!$AK$98,"")</f>
        <v/>
      </c>
      <c r="Q125" s="164" t="str">
        <f>IF(N('01_Stations'!$AK$99)&gt;0,'01_Stations'!$AK$99,"")</f>
        <v/>
      </c>
      <c r="R125" s="164" t="str">
        <f>IF(N('01_Stations'!$AK$100)&gt;0,'01_Stations'!$AK$100,"")</f>
        <v/>
      </c>
      <c r="S125" s="164" t="str">
        <f>IF(N('01_Stations'!$AK$101)&gt;0,'01_Stations'!$AK$101,"")</f>
        <v/>
      </c>
      <c r="T125" s="164" t="str">
        <f>IF(N('01_Stations'!$AK$102)&gt;0,'01_Stations'!$AK$102,"")</f>
        <v/>
      </c>
      <c r="U125" s="164" t="str">
        <f>IF(N('01_Stations'!$AK$103)&gt;0,'01_Stations'!$AK$103,"")</f>
        <v/>
      </c>
      <c r="V125" s="164" t="str">
        <f>IF(N('01_Stations'!$AK$104)&gt;0,'01_Stations'!$AK$104,"")</f>
        <v/>
      </c>
      <c r="W125" s="164" t="str">
        <f>IF(N('01_Stations'!$AK$105)&gt;0,'01_Stations'!$AK$105,"")</f>
        <v/>
      </c>
      <c r="X125" s="164" t="str">
        <f>IF(N('01_Stations'!$AK$106)&gt;0,'01_Stations'!$AK$106,"")</f>
        <v/>
      </c>
      <c r="Y125" s="164" t="str">
        <f>IF(N('01_Stations'!$AK$107)&gt;0,'01_Stations'!$AK$107,"")</f>
        <v/>
      </c>
      <c r="Z125" s="164" t="str">
        <f>IF(N('01_Stations'!$AK$108)&gt;0,'01_Stations'!$AK$108,"")</f>
        <v/>
      </c>
      <c r="AA125" s="164" t="str">
        <f>IF(N('01_Stations'!$AK$109)&gt;0,'01_Stations'!$AK$109,"")</f>
        <v/>
      </c>
      <c r="AB125" s="164" t="str">
        <f>IF(N('01_Stations'!$AK$110)&gt;0,'01_Stations'!$AK$110,"")</f>
        <v/>
      </c>
      <c r="AC125" s="164" t="str">
        <f>IF(N('01_Stations'!$AK$111)&gt;0,'01_Stations'!$AK$111,"")</f>
        <v/>
      </c>
      <c r="AD125" s="164" t="str">
        <f>IF(N('01_Stations'!$AK$112)&gt;0,'01_Stations'!$AK$112,"")</f>
        <v/>
      </c>
      <c r="AE125" s="164" t="str">
        <f>IF(N('01_Stations'!$AK$113)&gt;0,'01_Stations'!$AK$113,"")</f>
        <v/>
      </c>
      <c r="AF125" s="164" t="str">
        <f>IF(N('01_Stations'!$AK$114)&gt;0,'01_Stations'!$AK$114,"")</f>
        <v/>
      </c>
      <c r="AG125" s="164" t="str">
        <f>IF(N('01_Stations'!$AK$115)&gt;0,'01_Stations'!$AK$115,"")</f>
        <v/>
      </c>
      <c r="AH125" s="164" t="str">
        <f>IF(N('01_Stations'!$AK$116)&gt;0,'01_Stations'!$AK$116,"")</f>
        <v/>
      </c>
      <c r="AI125" s="164" t="str">
        <f>IF(N('01_Stations'!$AK$117)&gt;0,'01_Stations'!$AK$117,"")</f>
        <v/>
      </c>
      <c r="AJ125" s="164" t="str">
        <f>IF(N('01_Stations'!$AK$118)&gt;0,'01_Stations'!$AK$118,"")</f>
        <v/>
      </c>
      <c r="AK125" s="164" t="str">
        <f>IF(N('01_Stations'!$AK$119)&gt;0,'01_Stations'!$AK$119,"")</f>
        <v/>
      </c>
      <c r="AL125" s="164" t="str">
        <f>IF(N('01_Stations'!$AK$120)&gt;0,'01_Stations'!$AK$120,"")</f>
        <v/>
      </c>
      <c r="AM125" s="164" t="str">
        <f>IF(N('01_Stations'!$AK$121)&gt;0,'01_Stations'!$AK$121,"")</f>
        <v/>
      </c>
      <c r="AN125" s="164" t="str">
        <f>IF(N('01_Stations'!$AK$122)&gt;0,'01_Stations'!$AK$122,"")</f>
        <v/>
      </c>
      <c r="AO125" s="164" t="str">
        <f>IF(N('01_Stations'!$AK$123)&gt;0,'01_Stations'!$AK$123,"")</f>
        <v/>
      </c>
      <c r="AP125" s="164" t="str">
        <f>IF(N('01_Stations'!$AK$124)&gt;0,'01_Stations'!$AK$124,"")</f>
        <v/>
      </c>
      <c r="AQ125" s="164" t="str">
        <f>IF(N('01_Stations'!$AK$125)&gt;0,'01_Stations'!$AK$125,"")</f>
        <v/>
      </c>
    </row>
    <row r="126" spans="1:43" ht="15" customHeight="1" x14ac:dyDescent="0.3">
      <c r="A126" s="236"/>
      <c r="B126" s="165" t="s">
        <v>295</v>
      </c>
      <c r="C126" s="166" t="s">
        <v>299</v>
      </c>
      <c r="D126" s="164" t="str">
        <f>IF(N('01_Stations'!$AL$86)&gt;0,'01_Stations'!$AL$86,"")</f>
        <v/>
      </c>
      <c r="E126" s="164" t="str">
        <f>IF(N('01_Stations'!$AL$87)&gt;0,'01_Stations'!$AL$87,"")</f>
        <v/>
      </c>
      <c r="F126" s="164" t="str">
        <f>IF(N('01_Stations'!$AL$88)&gt;0,'01_Stations'!$AL$88,"")</f>
        <v/>
      </c>
      <c r="G126" s="164" t="str">
        <f>IF(N('01_Stations'!$AL$89)&gt;0,'01_Stations'!$AL$89,"")</f>
        <v/>
      </c>
      <c r="H126" s="164" t="str">
        <f>IF(N('01_Stations'!$AL$90)&gt;0,'01_Stations'!$AL$90,"")</f>
        <v/>
      </c>
      <c r="I126" s="164" t="str">
        <f>IF(N('01_Stations'!$AL$91)&gt;0,'01_Stations'!$AL$91,"")</f>
        <v/>
      </c>
      <c r="J126" s="164" t="str">
        <f>IF(N('01_Stations'!$AL$92)&gt;0,'01_Stations'!$AL$92,"")</f>
        <v/>
      </c>
      <c r="K126" s="164" t="str">
        <f>IF(N('01_Stations'!$AL$93)&gt;0,'01_Stations'!$AL$93,"")</f>
        <v/>
      </c>
      <c r="L126" s="164" t="str">
        <f>IF(N('01_Stations'!$AL$94)&gt;0,'01_Stations'!$AL$94,"")</f>
        <v/>
      </c>
      <c r="M126" s="164" t="str">
        <f>IF(N('01_Stations'!$AL$95)&gt;0,'01_Stations'!$AL$95,"")</f>
        <v/>
      </c>
      <c r="N126" s="164" t="str">
        <f>IF(N('01_Stations'!$AL$96)&gt;0,'01_Stations'!$AL$96,"")</f>
        <v/>
      </c>
      <c r="O126" s="164" t="str">
        <f>IF(N('01_Stations'!$AL$97)&gt;0,'01_Stations'!$AL$97,"")</f>
        <v/>
      </c>
      <c r="P126" s="164" t="str">
        <f>IF(N('01_Stations'!$AL$98)&gt;0,'01_Stations'!$AL$98,"")</f>
        <v/>
      </c>
      <c r="Q126" s="164" t="str">
        <f>IF(N('01_Stations'!$AL$99)&gt;0,'01_Stations'!$AL$99,"")</f>
        <v/>
      </c>
      <c r="R126" s="164" t="str">
        <f>IF(N('01_Stations'!$AL$100)&gt;0,'01_Stations'!$AL$100,"")</f>
        <v/>
      </c>
      <c r="S126" s="164" t="str">
        <f>IF(N('01_Stations'!$AL$101)&gt;0,'01_Stations'!$AL$101,"")</f>
        <v/>
      </c>
      <c r="T126" s="164" t="str">
        <f>IF(N('01_Stations'!$AL$102)&gt;0,'01_Stations'!$AL$102,"")</f>
        <v/>
      </c>
      <c r="U126" s="164" t="str">
        <f>IF(N('01_Stations'!$AL$103)&gt;0,'01_Stations'!$AL$103,"")</f>
        <v/>
      </c>
      <c r="V126" s="164" t="str">
        <f>IF(N('01_Stations'!$AL$104)&gt;0,'01_Stations'!$AL$104,"")</f>
        <v/>
      </c>
      <c r="W126" s="164" t="str">
        <f>IF(N('01_Stations'!$AL$105)&gt;0,'01_Stations'!$AL$105,"")</f>
        <v/>
      </c>
      <c r="X126" s="164" t="str">
        <f>IF(N('01_Stations'!$AL$106)&gt;0,'01_Stations'!$AL$106,"")</f>
        <v/>
      </c>
      <c r="Y126" s="164" t="str">
        <f>IF(N('01_Stations'!$AL$107)&gt;0,'01_Stations'!$AL$107,"")</f>
        <v/>
      </c>
      <c r="Z126" s="164" t="str">
        <f>IF(N('01_Stations'!$AL$108)&gt;0,'01_Stations'!$AL$108,"")</f>
        <v/>
      </c>
      <c r="AA126" s="164" t="str">
        <f>IF(N('01_Stations'!$AL$109)&gt;0,'01_Stations'!$AL$109,"")</f>
        <v/>
      </c>
      <c r="AB126" s="164" t="str">
        <f>IF(N('01_Stations'!$AL$110)&gt;0,'01_Stations'!$AL$110,"")</f>
        <v/>
      </c>
      <c r="AC126" s="164" t="str">
        <f>IF(N('01_Stations'!$AL$111)&gt;0,'01_Stations'!$AL$111,"")</f>
        <v/>
      </c>
      <c r="AD126" s="164" t="str">
        <f>IF(N('01_Stations'!$AL$112)&gt;0,'01_Stations'!$AL$112,"")</f>
        <v/>
      </c>
      <c r="AE126" s="164" t="str">
        <f>IF(N('01_Stations'!$AL$113)&gt;0,'01_Stations'!$AL$113,"")</f>
        <v/>
      </c>
      <c r="AF126" s="164" t="str">
        <f>IF(N('01_Stations'!$AL$114)&gt;0,'01_Stations'!$AL$114,"")</f>
        <v/>
      </c>
      <c r="AG126" s="164" t="str">
        <f>IF(N('01_Stations'!$AL$115)&gt;0,'01_Stations'!$AL$115,"")</f>
        <v/>
      </c>
      <c r="AH126" s="164" t="str">
        <f>IF(N('01_Stations'!$AL$116)&gt;0,'01_Stations'!$AL$116,"")</f>
        <v/>
      </c>
      <c r="AI126" s="164" t="str">
        <f>IF(N('01_Stations'!$AL$117)&gt;0,'01_Stations'!$AL$117,"")</f>
        <v/>
      </c>
      <c r="AJ126" s="164" t="str">
        <f>IF(N('01_Stations'!$AL$118)&gt;0,'01_Stations'!$AL$118,"")</f>
        <v/>
      </c>
      <c r="AK126" s="164" t="str">
        <f>IF(N('01_Stations'!$AL$119)&gt;0,'01_Stations'!$AL$119,"")</f>
        <v/>
      </c>
      <c r="AL126" s="164" t="str">
        <f>IF(N('01_Stations'!$AL$120)&gt;0,'01_Stations'!$AL$120,"")</f>
        <v/>
      </c>
      <c r="AM126" s="164" t="str">
        <f>IF(N('01_Stations'!$AL$121)&gt;0,'01_Stations'!$AL$121,"")</f>
        <v/>
      </c>
      <c r="AN126" s="164" t="str">
        <f>IF(N('01_Stations'!$AL$122)&gt;0,'01_Stations'!$AL$122,"")</f>
        <v/>
      </c>
      <c r="AO126" s="164" t="str">
        <f>IF(N('01_Stations'!$AL$123)&gt;0,'01_Stations'!$AL$123,"")</f>
        <v/>
      </c>
      <c r="AP126" s="164" t="str">
        <f>IF(N('01_Stations'!$AL$124)&gt;0,'01_Stations'!$AL$124,"")</f>
        <v/>
      </c>
      <c r="AQ126" s="164" t="str">
        <f>IF(N('01_Stations'!$AL$125)&gt;0,'01_Stations'!$AL$125,"")</f>
        <v/>
      </c>
    </row>
    <row r="127" spans="1:43" ht="15" customHeight="1" x14ac:dyDescent="0.3">
      <c r="A127" s="236"/>
      <c r="B127" s="165" t="s">
        <v>230</v>
      </c>
      <c r="C127" s="166"/>
      <c r="D127" s="164" t="str">
        <f>IF('01_Stations'!$AM$86=1,"───","")</f>
        <v/>
      </c>
      <c r="E127" s="164" t="str">
        <f>IF('01_Stations'!$AM$87=1,"───","")</f>
        <v/>
      </c>
      <c r="F127" s="164" t="str">
        <f>IF('01_Stations'!$AM$88=1,"───","")</f>
        <v/>
      </c>
      <c r="G127" s="164" t="str">
        <f>IF('01_Stations'!$AM$89=1,"───","")</f>
        <v/>
      </c>
      <c r="H127" s="164" t="str">
        <f>IF('01_Stations'!$AM$90=1,"───","")</f>
        <v/>
      </c>
      <c r="I127" s="164" t="str">
        <f>IF('01_Stations'!$AM$91=1,"───","")</f>
        <v/>
      </c>
      <c r="J127" s="164" t="str">
        <f>IF('01_Stations'!$AM$92=1,"───","")</f>
        <v/>
      </c>
      <c r="K127" s="164" t="str">
        <f>IF('01_Stations'!$AM$93=1,"───","")</f>
        <v/>
      </c>
      <c r="L127" s="164" t="str">
        <f>IF('01_Stations'!$AM$94=1,"───","")</f>
        <v/>
      </c>
      <c r="M127" s="164" t="str">
        <f>IF('01_Stations'!$AM$95=1,"───","")</f>
        <v/>
      </c>
      <c r="N127" s="164" t="str">
        <f>IF('01_Stations'!$AM$96=1,"───","")</f>
        <v/>
      </c>
      <c r="O127" s="164" t="str">
        <f>IF('01_Stations'!$AM$97=1,"───","")</f>
        <v/>
      </c>
      <c r="P127" s="164" t="str">
        <f>IF('01_Stations'!$AM$98=1,"───","")</f>
        <v/>
      </c>
      <c r="Q127" s="164" t="str">
        <f>IF('01_Stations'!$AM$99=1,"───","")</f>
        <v/>
      </c>
      <c r="R127" s="164" t="str">
        <f>IF('01_Stations'!$AM$100=1,"───","")</f>
        <v/>
      </c>
      <c r="S127" s="164" t="str">
        <f>IF('01_Stations'!$AM$101=1,"───","")</f>
        <v/>
      </c>
      <c r="T127" s="164" t="str">
        <f>IF('01_Stations'!$AM$102=1,"───","")</f>
        <v/>
      </c>
      <c r="U127" s="164" t="str">
        <f>IF('01_Stations'!$AM$103=1,"───","")</f>
        <v/>
      </c>
      <c r="V127" s="164" t="str">
        <f>IF('01_Stations'!$AM$104=1,"───","")</f>
        <v/>
      </c>
      <c r="W127" s="164" t="str">
        <f>IF('01_Stations'!$AM$105=1,"───","")</f>
        <v/>
      </c>
      <c r="X127" s="164" t="str">
        <f>IF('01_Stations'!$AM$106=1,"───","")</f>
        <v/>
      </c>
      <c r="Y127" s="164" t="str">
        <f>IF('01_Stations'!$AM$107=1,"───","")</f>
        <v/>
      </c>
      <c r="Z127" s="164" t="str">
        <f>IF('01_Stations'!$AM$108=1,"───","")</f>
        <v/>
      </c>
      <c r="AA127" s="164" t="str">
        <f>IF('01_Stations'!$AM$109=1,"───","")</f>
        <v/>
      </c>
      <c r="AB127" s="164" t="str">
        <f>IF('01_Stations'!$AM$110=1,"───","")</f>
        <v/>
      </c>
      <c r="AC127" s="164" t="str">
        <f>IF('01_Stations'!$AM$111=1,"───","")</f>
        <v/>
      </c>
      <c r="AD127" s="164" t="str">
        <f>IF('01_Stations'!$AM$112=1,"───","")</f>
        <v/>
      </c>
      <c r="AE127" s="164" t="str">
        <f>IF('01_Stations'!$AM$113=1,"───","")</f>
        <v/>
      </c>
      <c r="AF127" s="164" t="str">
        <f>IF('01_Stations'!$AM$114=1,"───","")</f>
        <v/>
      </c>
      <c r="AG127" s="164" t="str">
        <f>IF('01_Stations'!$AM$115=1,"───","")</f>
        <v/>
      </c>
      <c r="AH127" s="164" t="str">
        <f>IF('01_Stations'!$AM$116=1,"───","")</f>
        <v/>
      </c>
      <c r="AI127" s="164" t="str">
        <f>IF('01_Stations'!$AM$117=1,"───","")</f>
        <v/>
      </c>
      <c r="AJ127" s="164" t="str">
        <f>IF('01_Stations'!$AM$118=1,"───","")</f>
        <v/>
      </c>
      <c r="AK127" s="164" t="str">
        <f>IF('01_Stations'!$AM$119=1,"───","")</f>
        <v/>
      </c>
      <c r="AL127" s="164" t="str">
        <f>IF('01_Stations'!$AM$120=1,"───","")</f>
        <v/>
      </c>
      <c r="AM127" s="164" t="str">
        <f>IF('01_Stations'!$AM$121=1,"───","")</f>
        <v/>
      </c>
      <c r="AN127" s="164" t="str">
        <f>IF('01_Stations'!$AM$122=1,"───","")</f>
        <v/>
      </c>
      <c r="AO127" s="164" t="str">
        <f>IF('01_Stations'!$AM$123=1,"───","")</f>
        <v/>
      </c>
      <c r="AP127" s="164" t="str">
        <f>IF('01_Stations'!$AM$124=1,"───","")</f>
        <v/>
      </c>
      <c r="AQ127" s="164" t="str">
        <f>IF('01_Stations'!$AM$125=1,"───","")</f>
        <v/>
      </c>
    </row>
    <row r="128" spans="1:43" ht="15" customHeight="1" x14ac:dyDescent="0.3">
      <c r="A128" s="236"/>
      <c r="B128" s="165" t="s">
        <v>231</v>
      </c>
      <c r="C128" s="166"/>
      <c r="D128" s="164" t="str">
        <f>IF('01_Stations'!$AN$86=1,"───","")</f>
        <v/>
      </c>
      <c r="E128" s="164" t="str">
        <f>IF('01_Stations'!$AN$87=1,"───","")</f>
        <v/>
      </c>
      <c r="F128" s="164" t="str">
        <f>IF('01_Stations'!$AN$88=1,"───","")</f>
        <v/>
      </c>
      <c r="G128" s="164" t="str">
        <f>IF('01_Stations'!$AN$89=1,"───","")</f>
        <v/>
      </c>
      <c r="H128" s="164" t="str">
        <f>IF('01_Stations'!$AN$90=1,"───","")</f>
        <v/>
      </c>
      <c r="I128" s="164" t="str">
        <f>IF('01_Stations'!$AN$91=1,"───","")</f>
        <v/>
      </c>
      <c r="J128" s="164" t="str">
        <f>IF('01_Stations'!$AN$92=1,"───","")</f>
        <v/>
      </c>
      <c r="K128" s="164" t="str">
        <f>IF('01_Stations'!$AN$93=1,"───","")</f>
        <v/>
      </c>
      <c r="L128" s="164" t="str">
        <f>IF('01_Stations'!$AN$94=1,"───","")</f>
        <v/>
      </c>
      <c r="M128" s="164" t="str">
        <f>IF('01_Stations'!$AN$95=1,"───","")</f>
        <v/>
      </c>
      <c r="N128" s="164" t="str">
        <f>IF('01_Stations'!$AN$96=1,"───","")</f>
        <v/>
      </c>
      <c r="O128" s="164" t="str">
        <f>IF('01_Stations'!$AN$97=1,"───","")</f>
        <v/>
      </c>
      <c r="P128" s="164" t="str">
        <f>IF('01_Stations'!$AN$98=1,"───","")</f>
        <v/>
      </c>
      <c r="Q128" s="164" t="str">
        <f>IF('01_Stations'!$AN$99=1,"───","")</f>
        <v/>
      </c>
      <c r="R128" s="164" t="str">
        <f>IF('01_Stations'!$AN$100=1,"───","")</f>
        <v/>
      </c>
      <c r="S128" s="164" t="str">
        <f>IF('01_Stations'!$AN$101=1,"───","")</f>
        <v/>
      </c>
      <c r="T128" s="164" t="str">
        <f>IF('01_Stations'!$AN$102=1,"───","")</f>
        <v/>
      </c>
      <c r="U128" s="164" t="str">
        <f>IF('01_Stations'!$AN$103=1,"───","")</f>
        <v/>
      </c>
      <c r="V128" s="164" t="str">
        <f>IF('01_Stations'!$AN$104=1,"───","")</f>
        <v/>
      </c>
      <c r="W128" s="164" t="str">
        <f>IF('01_Stations'!$AN$105=1,"───","")</f>
        <v/>
      </c>
      <c r="X128" s="164" t="str">
        <f>IF('01_Stations'!$AN$106=1,"───","")</f>
        <v/>
      </c>
      <c r="Y128" s="164" t="str">
        <f>IF('01_Stations'!$AN$107=1,"───","")</f>
        <v/>
      </c>
      <c r="Z128" s="164" t="str">
        <f>IF('01_Stations'!$AN$108=1,"───","")</f>
        <v/>
      </c>
      <c r="AA128" s="164" t="str">
        <f>IF('01_Stations'!$AN$109=1,"───","")</f>
        <v/>
      </c>
      <c r="AB128" s="164" t="str">
        <f>IF('01_Stations'!$AN$110=1,"───","")</f>
        <v/>
      </c>
      <c r="AC128" s="164" t="str">
        <f>IF('01_Stations'!$AN$111=1,"───","")</f>
        <v/>
      </c>
      <c r="AD128" s="164" t="str">
        <f>IF('01_Stations'!$AN$112=1,"───","")</f>
        <v/>
      </c>
      <c r="AE128" s="164" t="str">
        <f>IF('01_Stations'!$AN$113=1,"───","")</f>
        <v/>
      </c>
      <c r="AF128" s="164" t="str">
        <f>IF('01_Stations'!$AN$114=1,"───","")</f>
        <v/>
      </c>
      <c r="AG128" s="164" t="str">
        <f>IF('01_Stations'!$AN$115=1,"───","")</f>
        <v/>
      </c>
      <c r="AH128" s="164" t="str">
        <f>IF('01_Stations'!$AN$116=1,"───","")</f>
        <v/>
      </c>
      <c r="AI128" s="164" t="str">
        <f>IF('01_Stations'!$AN$117=1,"───","")</f>
        <v/>
      </c>
      <c r="AJ128" s="164" t="str">
        <f>IF('01_Stations'!$AN$118=1,"───","")</f>
        <v/>
      </c>
      <c r="AK128" s="164" t="str">
        <f>IF('01_Stations'!$AN$119=1,"───","")</f>
        <v/>
      </c>
      <c r="AL128" s="164" t="str">
        <f>IF('01_Stations'!$AN$120=1,"───","")</f>
        <v/>
      </c>
      <c r="AM128" s="164" t="str">
        <f>IF('01_Stations'!$AN$121=1,"───","")</f>
        <v/>
      </c>
      <c r="AN128" s="164" t="str">
        <f>IF('01_Stations'!$AN$122=1,"───","")</f>
        <v/>
      </c>
      <c r="AO128" s="164" t="str">
        <f>IF('01_Stations'!$AN$123=1,"───","")</f>
        <v/>
      </c>
      <c r="AP128" s="164" t="str">
        <f>IF('01_Stations'!$AN$124=1,"───","")</f>
        <v/>
      </c>
      <c r="AQ128" s="164" t="str">
        <f>IF('01_Stations'!$AN$125=1,"───","")</f>
        <v/>
      </c>
    </row>
    <row r="129" spans="1:43" ht="15" customHeight="1" x14ac:dyDescent="0.3">
      <c r="A129" s="237"/>
      <c r="B129" s="165" t="s">
        <v>232</v>
      </c>
      <c r="C129" s="166"/>
      <c r="D129" s="164" t="str">
        <f>IF('01_Stations'!$AO$86=1,"───","")</f>
        <v/>
      </c>
      <c r="E129" s="164" t="str">
        <f>IF('01_Stations'!$AO$87=1,"───","")</f>
        <v/>
      </c>
      <c r="F129" s="164" t="str">
        <f>IF('01_Stations'!$AO$88=1,"───","")</f>
        <v/>
      </c>
      <c r="G129" s="164" t="str">
        <f>IF('01_Stations'!$AO$89=1,"───","")</f>
        <v/>
      </c>
      <c r="H129" s="164" t="str">
        <f>IF('01_Stations'!$AO$90=1,"───","")</f>
        <v/>
      </c>
      <c r="I129" s="164" t="str">
        <f>IF('01_Stations'!$AO$91=1,"───","")</f>
        <v/>
      </c>
      <c r="J129" s="164" t="str">
        <f>IF('01_Stations'!$AO$92=1,"───","")</f>
        <v/>
      </c>
      <c r="K129" s="164" t="str">
        <f>IF('01_Stations'!$AO$93=1,"───","")</f>
        <v/>
      </c>
      <c r="L129" s="164" t="str">
        <f>IF('01_Stations'!$AO$94=1,"───","")</f>
        <v/>
      </c>
      <c r="M129" s="164" t="str">
        <f>IF('01_Stations'!$AO$95=1,"───","")</f>
        <v/>
      </c>
      <c r="N129" s="164" t="str">
        <f>IF('01_Stations'!$AO$96=1,"───","")</f>
        <v/>
      </c>
      <c r="O129" s="164" t="str">
        <f>IF('01_Stations'!$AO$97=1,"───","")</f>
        <v/>
      </c>
      <c r="P129" s="164" t="str">
        <f>IF('01_Stations'!$AO$98=1,"───","")</f>
        <v/>
      </c>
      <c r="Q129" s="164" t="str">
        <f>IF('01_Stations'!$AO$99=1,"───","")</f>
        <v/>
      </c>
      <c r="R129" s="164" t="str">
        <f>IF('01_Stations'!$AO$100=1,"───","")</f>
        <v/>
      </c>
      <c r="S129" s="164" t="str">
        <f>IF('01_Stations'!$AO$101=1,"───","")</f>
        <v/>
      </c>
      <c r="T129" s="164" t="str">
        <f>IF('01_Stations'!$AO$102=1,"───","")</f>
        <v/>
      </c>
      <c r="U129" s="164" t="str">
        <f>IF('01_Stations'!$AO$103=1,"───","")</f>
        <v/>
      </c>
      <c r="V129" s="164" t="str">
        <f>IF('01_Stations'!$AO$104=1,"───","")</f>
        <v/>
      </c>
      <c r="W129" s="164" t="str">
        <f>IF('01_Stations'!$AO$105=1,"───","")</f>
        <v/>
      </c>
      <c r="X129" s="164" t="str">
        <f>IF('01_Stations'!$AO$106=1,"───","")</f>
        <v/>
      </c>
      <c r="Y129" s="164" t="str">
        <f>IF('01_Stations'!$AO$107=1,"───","")</f>
        <v/>
      </c>
      <c r="Z129" s="164" t="str">
        <f>IF('01_Stations'!$AO$108=1,"───","")</f>
        <v/>
      </c>
      <c r="AA129" s="164" t="str">
        <f>IF('01_Stations'!$AO$109=1,"───","")</f>
        <v/>
      </c>
      <c r="AB129" s="164" t="str">
        <f>IF('01_Stations'!$AO$110=1,"───","")</f>
        <v/>
      </c>
      <c r="AC129" s="164" t="str">
        <f>IF('01_Stations'!$AO$111=1,"───","")</f>
        <v/>
      </c>
      <c r="AD129" s="164" t="str">
        <f>IF('01_Stations'!$AO$112=1,"───","")</f>
        <v/>
      </c>
      <c r="AE129" s="164" t="str">
        <f>IF('01_Stations'!$AO$113=1,"───","")</f>
        <v/>
      </c>
      <c r="AF129" s="164" t="str">
        <f>IF('01_Stations'!$AO$114=1,"───","")</f>
        <v/>
      </c>
      <c r="AG129" s="164" t="str">
        <f>IF('01_Stations'!$AO$115=1,"───","")</f>
        <v/>
      </c>
      <c r="AH129" s="164" t="str">
        <f>IF('01_Stations'!$AO$116=1,"───","")</f>
        <v/>
      </c>
      <c r="AI129" s="164" t="str">
        <f>IF('01_Stations'!$AO$117=1,"───","")</f>
        <v/>
      </c>
      <c r="AJ129" s="164" t="str">
        <f>IF('01_Stations'!$AO$118=1,"───","")</f>
        <v/>
      </c>
      <c r="AK129" s="164" t="str">
        <f>IF('01_Stations'!$AO$119=1,"───","")</f>
        <v/>
      </c>
      <c r="AL129" s="164" t="str">
        <f>IF('01_Stations'!$AO$120=1,"───","")</f>
        <v/>
      </c>
      <c r="AM129" s="164" t="str">
        <f>IF('01_Stations'!$AO$121=1,"───","")</f>
        <v/>
      </c>
      <c r="AN129" s="164" t="str">
        <f>IF('01_Stations'!$AO$122=1,"───","")</f>
        <v/>
      </c>
      <c r="AO129" s="164" t="str">
        <f>IF('01_Stations'!$AO$123=1,"───","")</f>
        <v/>
      </c>
      <c r="AP129" s="164" t="str">
        <f>IF('01_Stations'!$AO$124=1,"───","")</f>
        <v/>
      </c>
      <c r="AQ129" s="164" t="str">
        <f>IF('01_Stations'!$AO$125=1,"───","")</f>
        <v/>
      </c>
    </row>
    <row r="130" spans="1:43" x14ac:dyDescent="0.3">
      <c r="A130" s="64"/>
      <c r="B130" s="64"/>
      <c r="C130" s="64"/>
      <c r="D130" s="106"/>
      <c r="E130" s="106"/>
      <c r="F130" s="106"/>
      <c r="G130" s="106"/>
      <c r="H130" s="106"/>
      <c r="I130" s="106"/>
      <c r="J130" s="106"/>
      <c r="K130" s="106"/>
      <c r="L130" s="106"/>
      <c r="M130" s="106"/>
      <c r="N130" s="106"/>
      <c r="O130" s="106"/>
      <c r="P130" s="106"/>
      <c r="Q130" s="106"/>
      <c r="R130" s="106"/>
      <c r="S130" s="106"/>
      <c r="T130" s="106"/>
      <c r="U130" s="106"/>
      <c r="V130" s="106"/>
      <c r="W130" s="106"/>
      <c r="X130" s="106"/>
      <c r="Y130" s="106"/>
      <c r="Z130" s="106"/>
      <c r="AA130" s="106"/>
      <c r="AB130" s="106"/>
      <c r="AC130" s="106"/>
      <c r="AD130" s="106"/>
      <c r="AE130" s="106"/>
      <c r="AF130" s="106"/>
      <c r="AG130" s="106"/>
      <c r="AH130" s="106"/>
      <c r="AI130" s="106"/>
      <c r="AJ130" s="106"/>
      <c r="AK130" s="106"/>
      <c r="AL130" s="106"/>
      <c r="AM130" s="106"/>
      <c r="AN130" s="106"/>
      <c r="AO130" s="106"/>
      <c r="AP130" s="106"/>
      <c r="AQ130" s="106"/>
    </row>
    <row r="131" spans="1:43" ht="15" customHeight="1" thickBot="1" x14ac:dyDescent="0.35">
      <c r="A131" s="64"/>
      <c r="B131" s="64"/>
      <c r="C131" s="64"/>
      <c r="D131" s="106"/>
      <c r="E131" s="106"/>
      <c r="F131" s="106"/>
      <c r="G131" s="106"/>
      <c r="H131" s="106"/>
      <c r="I131" s="106"/>
      <c r="J131" s="106"/>
      <c r="K131" s="106"/>
      <c r="L131" s="106"/>
      <c r="M131" s="106"/>
      <c r="N131" s="106"/>
      <c r="O131" s="106"/>
      <c r="P131" s="106"/>
      <c r="Q131" s="106"/>
      <c r="R131" s="106"/>
      <c r="S131" s="106"/>
      <c r="T131" s="106"/>
      <c r="U131" s="106"/>
      <c r="V131" s="106"/>
      <c r="W131" s="106"/>
      <c r="X131" s="106"/>
      <c r="Y131" s="106"/>
      <c r="Z131" s="106"/>
      <c r="AA131" s="106"/>
      <c r="AB131" s="106"/>
      <c r="AC131" s="106"/>
      <c r="AD131" s="106"/>
      <c r="AE131" s="106"/>
      <c r="AF131" s="106"/>
      <c r="AG131" s="106"/>
      <c r="AH131" s="106"/>
      <c r="AI131" s="106"/>
      <c r="AJ131" s="106"/>
      <c r="AK131" s="106"/>
      <c r="AL131" s="106"/>
      <c r="AM131" s="106"/>
      <c r="AN131" s="106"/>
      <c r="AO131" s="106"/>
      <c r="AP131" s="106"/>
      <c r="AQ131" s="106"/>
    </row>
    <row r="132" spans="1:43" ht="19.95" customHeight="1" thickBot="1" x14ac:dyDescent="0.35">
      <c r="A132" s="174" t="s">
        <v>2227</v>
      </c>
      <c r="B132" s="172"/>
      <c r="C132" s="172"/>
      <c r="D132" s="173" t="str">
        <f>IF(P_Length_km*1000&lt;=6000,"— beyond the end of the road —","")</f>
        <v>— beyond the end of the road —</v>
      </c>
      <c r="E132" s="173"/>
      <c r="F132" s="173"/>
      <c r="G132" s="173"/>
      <c r="H132" s="173"/>
      <c r="I132" s="173"/>
      <c r="J132" s="173"/>
      <c r="K132" s="173"/>
      <c r="L132" s="173"/>
      <c r="M132" s="173"/>
      <c r="N132" s="173"/>
      <c r="O132" s="173"/>
      <c r="P132" s="173"/>
      <c r="Q132" s="173"/>
      <c r="R132" s="173"/>
      <c r="S132" s="173"/>
      <c r="T132" s="173"/>
      <c r="U132" s="173"/>
      <c r="V132" s="173"/>
      <c r="W132" s="173"/>
      <c r="X132" s="173"/>
      <c r="Y132" s="173"/>
      <c r="Z132" s="173"/>
      <c r="AA132" s="173"/>
      <c r="AB132" s="173"/>
      <c r="AC132" s="173"/>
      <c r="AD132" s="173"/>
      <c r="AE132" s="173"/>
      <c r="AF132" s="173"/>
      <c r="AG132" s="173"/>
      <c r="AH132" s="173"/>
      <c r="AI132" s="173"/>
      <c r="AJ132" s="173"/>
      <c r="AK132" s="173"/>
      <c r="AL132" s="173"/>
      <c r="AM132" s="173"/>
      <c r="AN132" s="173"/>
      <c r="AO132" s="173"/>
      <c r="AP132" s="173"/>
      <c r="AQ132" s="175"/>
    </row>
    <row r="133" spans="1:43" x14ac:dyDescent="0.3">
      <c r="A133" s="170" t="s">
        <v>2228</v>
      </c>
      <c r="B133" s="170"/>
      <c r="C133" s="170" t="s">
        <v>2204</v>
      </c>
      <c r="D133" s="171">
        <v>0</v>
      </c>
      <c r="E133" s="171"/>
      <c r="F133" s="171">
        <v>100</v>
      </c>
      <c r="G133" s="171"/>
      <c r="H133" s="171">
        <v>200</v>
      </c>
      <c r="I133" s="171"/>
      <c r="J133" s="171">
        <v>300</v>
      </c>
      <c r="K133" s="171"/>
      <c r="L133" s="171">
        <v>400</v>
      </c>
      <c r="M133" s="171"/>
      <c r="N133" s="171">
        <v>500</v>
      </c>
      <c r="O133" s="171"/>
      <c r="P133" s="171">
        <v>600</v>
      </c>
      <c r="Q133" s="171"/>
      <c r="R133" s="171">
        <v>700</v>
      </c>
      <c r="S133" s="171"/>
      <c r="T133" s="171">
        <v>800</v>
      </c>
      <c r="U133" s="171"/>
      <c r="V133" s="171">
        <v>900</v>
      </c>
      <c r="W133" s="171"/>
      <c r="X133" s="171">
        <v>0</v>
      </c>
      <c r="Y133" s="171"/>
      <c r="Z133" s="171">
        <v>100</v>
      </c>
      <c r="AA133" s="171"/>
      <c r="AB133" s="171">
        <v>200</v>
      </c>
      <c r="AC133" s="171"/>
      <c r="AD133" s="171">
        <v>300</v>
      </c>
      <c r="AE133" s="171"/>
      <c r="AF133" s="171">
        <v>400</v>
      </c>
      <c r="AG133" s="171"/>
      <c r="AH133" s="171">
        <v>500</v>
      </c>
      <c r="AI133" s="171"/>
      <c r="AJ133" s="171">
        <v>600</v>
      </c>
      <c r="AK133" s="171"/>
      <c r="AL133" s="171">
        <v>700</v>
      </c>
      <c r="AM133" s="171"/>
      <c r="AN133" s="171">
        <v>800</v>
      </c>
      <c r="AO133" s="171"/>
      <c r="AP133" s="171">
        <v>900</v>
      </c>
      <c r="AQ133" s="171"/>
    </row>
    <row r="134" spans="1:43" ht="15" customHeight="1" x14ac:dyDescent="0.3">
      <c r="A134" s="235" t="s">
        <v>2205</v>
      </c>
      <c r="B134" s="167" t="s">
        <v>263</v>
      </c>
      <c r="C134" s="168"/>
      <c r="D134" s="169" t="str">
        <f>IF('01_Stations'!$D$126=1,"▓","")</f>
        <v/>
      </c>
      <c r="E134" s="169" t="str">
        <f>IF('01_Stations'!$D$127=1,"▓","")</f>
        <v/>
      </c>
      <c r="F134" s="169" t="str">
        <f>IF('01_Stations'!$D$128=1,"▓","")</f>
        <v/>
      </c>
      <c r="G134" s="169" t="str">
        <f>IF('01_Stations'!$D$129=1,"▓","")</f>
        <v/>
      </c>
      <c r="H134" s="169" t="str">
        <f>IF('01_Stations'!$D$130=1,"▓","")</f>
        <v/>
      </c>
      <c r="I134" s="169" t="str">
        <f>IF('01_Stations'!$D$131=1,"▓","")</f>
        <v/>
      </c>
      <c r="J134" s="169" t="str">
        <f>IF('01_Stations'!$D$132=1,"▓","")</f>
        <v/>
      </c>
      <c r="K134" s="169" t="str">
        <f>IF('01_Stations'!$D$133=1,"▓","")</f>
        <v/>
      </c>
      <c r="L134" s="169" t="str">
        <f>IF('01_Stations'!$D$134=1,"▓","")</f>
        <v/>
      </c>
      <c r="M134" s="169" t="str">
        <f>IF('01_Stations'!$D$135=1,"▓","")</f>
        <v/>
      </c>
      <c r="N134" s="169" t="str">
        <f>IF('01_Stations'!$D$136=1,"▓","")</f>
        <v/>
      </c>
      <c r="O134" s="169" t="str">
        <f>IF('01_Stations'!$D$137=1,"▓","")</f>
        <v/>
      </c>
      <c r="P134" s="169" t="str">
        <f>IF('01_Stations'!$D$138=1,"▓","")</f>
        <v/>
      </c>
      <c r="Q134" s="169" t="str">
        <f>IF('01_Stations'!$D$139=1,"▓","")</f>
        <v/>
      </c>
      <c r="R134" s="169" t="str">
        <f>IF('01_Stations'!$D$140=1,"▓","")</f>
        <v/>
      </c>
      <c r="S134" s="169" t="str">
        <f>IF('01_Stations'!$D$141=1,"▓","")</f>
        <v/>
      </c>
      <c r="T134" s="169" t="str">
        <f>IF('01_Stations'!$D$142=1,"▓","")</f>
        <v/>
      </c>
      <c r="U134" s="169" t="str">
        <f>IF('01_Stations'!$D$143=1,"▓","")</f>
        <v/>
      </c>
      <c r="V134" s="169" t="str">
        <f>IF('01_Stations'!$D$144=1,"▓","")</f>
        <v/>
      </c>
      <c r="W134" s="169" t="str">
        <f>IF('01_Stations'!$D$145=1,"▓","")</f>
        <v/>
      </c>
      <c r="X134" s="169" t="str">
        <f>IF('01_Stations'!$D$146=1,"▓","")</f>
        <v/>
      </c>
      <c r="Y134" s="169" t="str">
        <f>IF('01_Stations'!$D$147=1,"▓","")</f>
        <v/>
      </c>
      <c r="Z134" s="169" t="str">
        <f>IF('01_Stations'!$D$148=1,"▓","")</f>
        <v/>
      </c>
      <c r="AA134" s="169" t="str">
        <f>IF('01_Stations'!$D$149=1,"▓","")</f>
        <v/>
      </c>
      <c r="AB134" s="169" t="str">
        <f>IF('01_Stations'!$D$150=1,"▓","")</f>
        <v/>
      </c>
      <c r="AC134" s="169" t="str">
        <f>IF('01_Stations'!$D$151=1,"▓","")</f>
        <v/>
      </c>
      <c r="AD134" s="169" t="str">
        <f>IF('01_Stations'!$D$152=1,"▓","")</f>
        <v/>
      </c>
      <c r="AE134" s="169" t="str">
        <f>IF('01_Stations'!$D$153=1,"▓","")</f>
        <v/>
      </c>
      <c r="AF134" s="169" t="str">
        <f>IF('01_Stations'!$D$154=1,"▓","")</f>
        <v/>
      </c>
      <c r="AG134" s="169" t="str">
        <f>IF('01_Stations'!$D$155=1,"▓","")</f>
        <v/>
      </c>
      <c r="AH134" s="169" t="str">
        <f>IF('01_Stations'!$D$156=1,"▓","")</f>
        <v/>
      </c>
      <c r="AI134" s="169" t="str">
        <f>IF('01_Stations'!$D$157=1,"▓","")</f>
        <v/>
      </c>
      <c r="AJ134" s="169" t="str">
        <f>IF('01_Stations'!$D$158=1,"▓","")</f>
        <v/>
      </c>
      <c r="AK134" s="169" t="str">
        <f>IF('01_Stations'!$D$159=1,"▓","")</f>
        <v/>
      </c>
      <c r="AL134" s="169" t="str">
        <f>IF('01_Stations'!$D$160=1,"▓","")</f>
        <v/>
      </c>
      <c r="AM134" s="169" t="str">
        <f>IF('01_Stations'!$D$161=1,"▓","")</f>
        <v/>
      </c>
      <c r="AN134" s="169" t="str">
        <f>IF('01_Stations'!$D$162=1,"▓","")</f>
        <v/>
      </c>
      <c r="AO134" s="169" t="str">
        <f>IF('01_Stations'!$D$163=1,"▓","")</f>
        <v/>
      </c>
      <c r="AP134" s="169" t="str">
        <f>IF('01_Stations'!$D$164=1,"▓","")</f>
        <v/>
      </c>
      <c r="AQ134" s="169" t="str">
        <f>IF('01_Stations'!$D$165=1,"▓","")</f>
        <v/>
      </c>
    </row>
    <row r="135" spans="1:43" ht="15" customHeight="1" x14ac:dyDescent="0.3">
      <c r="A135" s="236"/>
      <c r="B135" s="165" t="s">
        <v>2206</v>
      </c>
      <c r="C135" s="166"/>
      <c r="D135" s="164" t="str">
        <f>IF('01_Stations'!$E$126="","",'01_Stations'!$E$126)</f>
        <v/>
      </c>
      <c r="E135" s="164" t="str">
        <f>IF('01_Stations'!$E$127="","",'01_Stations'!$E$127)</f>
        <v/>
      </c>
      <c r="F135" s="164" t="str">
        <f>IF('01_Stations'!$E$128="","",'01_Stations'!$E$128)</f>
        <v/>
      </c>
      <c r="G135" s="164" t="str">
        <f>IF('01_Stations'!$E$129="","",'01_Stations'!$E$129)</f>
        <v/>
      </c>
      <c r="H135" s="164" t="str">
        <f>IF('01_Stations'!$E$130="","",'01_Stations'!$E$130)</f>
        <v/>
      </c>
      <c r="I135" s="164" t="str">
        <f>IF('01_Stations'!$E$131="","",'01_Stations'!$E$131)</f>
        <v/>
      </c>
      <c r="J135" s="164" t="str">
        <f>IF('01_Stations'!$E$132="","",'01_Stations'!$E$132)</f>
        <v/>
      </c>
      <c r="K135" s="164" t="str">
        <f>IF('01_Stations'!$E$133="","",'01_Stations'!$E$133)</f>
        <v/>
      </c>
      <c r="L135" s="164" t="str">
        <f>IF('01_Stations'!$E$134="","",'01_Stations'!$E$134)</f>
        <v/>
      </c>
      <c r="M135" s="164" t="str">
        <f>IF('01_Stations'!$E$135="","",'01_Stations'!$E$135)</f>
        <v/>
      </c>
      <c r="N135" s="164" t="str">
        <f>IF('01_Stations'!$E$136="","",'01_Stations'!$E$136)</f>
        <v/>
      </c>
      <c r="O135" s="164" t="str">
        <f>IF('01_Stations'!$E$137="","",'01_Stations'!$E$137)</f>
        <v/>
      </c>
      <c r="P135" s="164" t="str">
        <f>IF('01_Stations'!$E$138="","",'01_Stations'!$E$138)</f>
        <v/>
      </c>
      <c r="Q135" s="164" t="str">
        <f>IF('01_Stations'!$E$139="","",'01_Stations'!$E$139)</f>
        <v/>
      </c>
      <c r="R135" s="164" t="str">
        <f>IF('01_Stations'!$E$140="","",'01_Stations'!$E$140)</f>
        <v/>
      </c>
      <c r="S135" s="164" t="str">
        <f>IF('01_Stations'!$E$141="","",'01_Stations'!$E$141)</f>
        <v/>
      </c>
      <c r="T135" s="164" t="str">
        <f>IF('01_Stations'!$E$142="","",'01_Stations'!$E$142)</f>
        <v/>
      </c>
      <c r="U135" s="164" t="str">
        <f>IF('01_Stations'!$E$143="","",'01_Stations'!$E$143)</f>
        <v/>
      </c>
      <c r="V135" s="164" t="str">
        <f>IF('01_Stations'!$E$144="","",'01_Stations'!$E$144)</f>
        <v/>
      </c>
      <c r="W135" s="164" t="str">
        <f>IF('01_Stations'!$E$145="","",'01_Stations'!$E$145)</f>
        <v/>
      </c>
      <c r="X135" s="164" t="str">
        <f>IF('01_Stations'!$E$146="","",'01_Stations'!$E$146)</f>
        <v/>
      </c>
      <c r="Y135" s="164" t="str">
        <f>IF('01_Stations'!$E$147="","",'01_Stations'!$E$147)</f>
        <v/>
      </c>
      <c r="Z135" s="164" t="str">
        <f>IF('01_Stations'!$E$148="","",'01_Stations'!$E$148)</f>
        <v/>
      </c>
      <c r="AA135" s="164" t="str">
        <f>IF('01_Stations'!$E$149="","",'01_Stations'!$E$149)</f>
        <v/>
      </c>
      <c r="AB135" s="164" t="str">
        <f>IF('01_Stations'!$E$150="","",'01_Stations'!$E$150)</f>
        <v/>
      </c>
      <c r="AC135" s="164" t="str">
        <f>IF('01_Stations'!$E$151="","",'01_Stations'!$E$151)</f>
        <v/>
      </c>
      <c r="AD135" s="164" t="str">
        <f>IF('01_Stations'!$E$152="","",'01_Stations'!$E$152)</f>
        <v/>
      </c>
      <c r="AE135" s="164" t="str">
        <f>IF('01_Stations'!$E$153="","",'01_Stations'!$E$153)</f>
        <v/>
      </c>
      <c r="AF135" s="164" t="str">
        <f>IF('01_Stations'!$E$154="","",'01_Stations'!$E$154)</f>
        <v/>
      </c>
      <c r="AG135" s="164" t="str">
        <f>IF('01_Stations'!$E$155="","",'01_Stations'!$E$155)</f>
        <v/>
      </c>
      <c r="AH135" s="164" t="str">
        <f>IF('01_Stations'!$E$156="","",'01_Stations'!$E$156)</f>
        <v/>
      </c>
      <c r="AI135" s="164" t="str">
        <f>IF('01_Stations'!$E$157="","",'01_Stations'!$E$157)</f>
        <v/>
      </c>
      <c r="AJ135" s="164" t="str">
        <f>IF('01_Stations'!$E$158="","",'01_Stations'!$E$158)</f>
        <v/>
      </c>
      <c r="AK135" s="164" t="str">
        <f>IF('01_Stations'!$E$159="","",'01_Stations'!$E$159)</f>
        <v/>
      </c>
      <c r="AL135" s="164" t="str">
        <f>IF('01_Stations'!$E$160="","",'01_Stations'!$E$160)</f>
        <v/>
      </c>
      <c r="AM135" s="164" t="str">
        <f>IF('01_Stations'!$E$161="","",'01_Stations'!$E$161)</f>
        <v/>
      </c>
      <c r="AN135" s="164" t="str">
        <f>IF('01_Stations'!$E$162="","",'01_Stations'!$E$162)</f>
        <v/>
      </c>
      <c r="AO135" s="164" t="str">
        <f>IF('01_Stations'!$E$163="","",'01_Stations'!$E$163)</f>
        <v/>
      </c>
      <c r="AP135" s="164" t="str">
        <f>IF('01_Stations'!$E$164="","",'01_Stations'!$E$164)</f>
        <v/>
      </c>
      <c r="AQ135" s="164" t="str">
        <f>IF('01_Stations'!$E$165="","",'01_Stations'!$E$165)</f>
        <v/>
      </c>
    </row>
    <row r="136" spans="1:43" ht="15" customHeight="1" x14ac:dyDescent="0.3">
      <c r="A136" s="236"/>
      <c r="B136" s="165" t="s">
        <v>2207</v>
      </c>
      <c r="C136" s="166"/>
      <c r="D136" s="164" t="str">
        <f>IF('01_Stations'!$F$126=1,"───","")</f>
        <v/>
      </c>
      <c r="E136" s="164" t="str">
        <f>IF('01_Stations'!$F$127=1,"───","")</f>
        <v/>
      </c>
      <c r="F136" s="164" t="str">
        <f>IF('01_Stations'!$F$128=1,"───","")</f>
        <v/>
      </c>
      <c r="G136" s="164" t="str">
        <f>IF('01_Stations'!$F$129=1,"───","")</f>
        <v/>
      </c>
      <c r="H136" s="164" t="str">
        <f>IF('01_Stations'!$F$130=1,"───","")</f>
        <v/>
      </c>
      <c r="I136" s="164" t="str">
        <f>IF('01_Stations'!$F$131=1,"───","")</f>
        <v/>
      </c>
      <c r="J136" s="164" t="str">
        <f>IF('01_Stations'!$F$132=1,"───","")</f>
        <v/>
      </c>
      <c r="K136" s="164" t="str">
        <f>IF('01_Stations'!$F$133=1,"───","")</f>
        <v/>
      </c>
      <c r="L136" s="164" t="str">
        <f>IF('01_Stations'!$F$134=1,"───","")</f>
        <v/>
      </c>
      <c r="M136" s="164" t="str">
        <f>IF('01_Stations'!$F$135=1,"───","")</f>
        <v/>
      </c>
      <c r="N136" s="164" t="str">
        <f>IF('01_Stations'!$F$136=1,"───","")</f>
        <v/>
      </c>
      <c r="O136" s="164" t="str">
        <f>IF('01_Stations'!$F$137=1,"───","")</f>
        <v/>
      </c>
      <c r="P136" s="164" t="str">
        <f>IF('01_Stations'!$F$138=1,"───","")</f>
        <v/>
      </c>
      <c r="Q136" s="164" t="str">
        <f>IF('01_Stations'!$F$139=1,"───","")</f>
        <v/>
      </c>
      <c r="R136" s="164" t="str">
        <f>IF('01_Stations'!$F$140=1,"───","")</f>
        <v/>
      </c>
      <c r="S136" s="164" t="str">
        <f>IF('01_Stations'!$F$141=1,"───","")</f>
        <v/>
      </c>
      <c r="T136" s="164" t="str">
        <f>IF('01_Stations'!$F$142=1,"───","")</f>
        <v/>
      </c>
      <c r="U136" s="164" t="str">
        <f>IF('01_Stations'!$F$143=1,"───","")</f>
        <v/>
      </c>
      <c r="V136" s="164" t="str">
        <f>IF('01_Stations'!$F$144=1,"───","")</f>
        <v/>
      </c>
      <c r="W136" s="164" t="str">
        <f>IF('01_Stations'!$F$145=1,"───","")</f>
        <v/>
      </c>
      <c r="X136" s="164" t="str">
        <f>IF('01_Stations'!$F$146=1,"───","")</f>
        <v/>
      </c>
      <c r="Y136" s="164" t="str">
        <f>IF('01_Stations'!$F$147=1,"───","")</f>
        <v/>
      </c>
      <c r="Z136" s="164" t="str">
        <f>IF('01_Stations'!$F$148=1,"───","")</f>
        <v/>
      </c>
      <c r="AA136" s="164" t="str">
        <f>IF('01_Stations'!$F$149=1,"───","")</f>
        <v/>
      </c>
      <c r="AB136" s="164" t="str">
        <f>IF('01_Stations'!$F$150=1,"───","")</f>
        <v/>
      </c>
      <c r="AC136" s="164" t="str">
        <f>IF('01_Stations'!$F$151=1,"───","")</f>
        <v/>
      </c>
      <c r="AD136" s="164" t="str">
        <f>IF('01_Stations'!$F$152=1,"───","")</f>
        <v/>
      </c>
      <c r="AE136" s="164" t="str">
        <f>IF('01_Stations'!$F$153=1,"───","")</f>
        <v/>
      </c>
      <c r="AF136" s="164" t="str">
        <f>IF('01_Stations'!$F$154=1,"───","")</f>
        <v/>
      </c>
      <c r="AG136" s="164" t="str">
        <f>IF('01_Stations'!$F$155=1,"───","")</f>
        <v/>
      </c>
      <c r="AH136" s="164" t="str">
        <f>IF('01_Stations'!$F$156=1,"───","")</f>
        <v/>
      </c>
      <c r="AI136" s="164" t="str">
        <f>IF('01_Stations'!$F$157=1,"───","")</f>
        <v/>
      </c>
      <c r="AJ136" s="164" t="str">
        <f>IF('01_Stations'!$F$158=1,"───","")</f>
        <v/>
      </c>
      <c r="AK136" s="164" t="str">
        <f>IF('01_Stations'!$F$159=1,"───","")</f>
        <v/>
      </c>
      <c r="AL136" s="164" t="str">
        <f>IF('01_Stations'!$F$160=1,"───","")</f>
        <v/>
      </c>
      <c r="AM136" s="164" t="str">
        <f>IF('01_Stations'!$F$161=1,"───","")</f>
        <v/>
      </c>
      <c r="AN136" s="164" t="str">
        <f>IF('01_Stations'!$F$162=1,"───","")</f>
        <v/>
      </c>
      <c r="AO136" s="164" t="str">
        <f>IF('01_Stations'!$F$163=1,"───","")</f>
        <v/>
      </c>
      <c r="AP136" s="164" t="str">
        <f>IF('01_Stations'!$F$164=1,"───","")</f>
        <v/>
      </c>
      <c r="AQ136" s="164" t="str">
        <f>IF('01_Stations'!$F$165=1,"───","")</f>
        <v/>
      </c>
    </row>
    <row r="137" spans="1:43" ht="15" customHeight="1" x14ac:dyDescent="0.3">
      <c r="A137" s="236"/>
      <c r="B137" s="165" t="s">
        <v>265</v>
      </c>
      <c r="C137" s="166" t="s">
        <v>299</v>
      </c>
      <c r="D137" s="164" t="str">
        <f>IF(N('01_Stations'!$G$126)&gt;0,'01_Stations'!$G$126,"")</f>
        <v/>
      </c>
      <c r="E137" s="164" t="str">
        <f>IF(N('01_Stations'!$G$127)&gt;0,'01_Stations'!$G$127,"")</f>
        <v/>
      </c>
      <c r="F137" s="164" t="str">
        <f>IF(N('01_Stations'!$G$128)&gt;0,'01_Stations'!$G$128,"")</f>
        <v/>
      </c>
      <c r="G137" s="164" t="str">
        <f>IF(N('01_Stations'!$G$129)&gt;0,'01_Stations'!$G$129,"")</f>
        <v/>
      </c>
      <c r="H137" s="164" t="str">
        <f>IF(N('01_Stations'!$G$130)&gt;0,'01_Stations'!$G$130,"")</f>
        <v/>
      </c>
      <c r="I137" s="164" t="str">
        <f>IF(N('01_Stations'!$G$131)&gt;0,'01_Stations'!$G$131,"")</f>
        <v/>
      </c>
      <c r="J137" s="164" t="str">
        <f>IF(N('01_Stations'!$G$132)&gt;0,'01_Stations'!$G$132,"")</f>
        <v/>
      </c>
      <c r="K137" s="164" t="str">
        <f>IF(N('01_Stations'!$G$133)&gt;0,'01_Stations'!$G$133,"")</f>
        <v/>
      </c>
      <c r="L137" s="164" t="str">
        <f>IF(N('01_Stations'!$G$134)&gt;0,'01_Stations'!$G$134,"")</f>
        <v/>
      </c>
      <c r="M137" s="164" t="str">
        <f>IF(N('01_Stations'!$G$135)&gt;0,'01_Stations'!$G$135,"")</f>
        <v/>
      </c>
      <c r="N137" s="164" t="str">
        <f>IF(N('01_Stations'!$G$136)&gt;0,'01_Stations'!$G$136,"")</f>
        <v/>
      </c>
      <c r="O137" s="164" t="str">
        <f>IF(N('01_Stations'!$G$137)&gt;0,'01_Stations'!$G$137,"")</f>
        <v/>
      </c>
      <c r="P137" s="164" t="str">
        <f>IF(N('01_Stations'!$G$138)&gt;0,'01_Stations'!$G$138,"")</f>
        <v/>
      </c>
      <c r="Q137" s="164" t="str">
        <f>IF(N('01_Stations'!$G$139)&gt;0,'01_Stations'!$G$139,"")</f>
        <v/>
      </c>
      <c r="R137" s="164" t="str">
        <f>IF(N('01_Stations'!$G$140)&gt;0,'01_Stations'!$G$140,"")</f>
        <v/>
      </c>
      <c r="S137" s="164" t="str">
        <f>IF(N('01_Stations'!$G$141)&gt;0,'01_Stations'!$G$141,"")</f>
        <v/>
      </c>
      <c r="T137" s="164" t="str">
        <f>IF(N('01_Stations'!$G$142)&gt;0,'01_Stations'!$G$142,"")</f>
        <v/>
      </c>
      <c r="U137" s="164" t="str">
        <f>IF(N('01_Stations'!$G$143)&gt;0,'01_Stations'!$G$143,"")</f>
        <v/>
      </c>
      <c r="V137" s="164" t="str">
        <f>IF(N('01_Stations'!$G$144)&gt;0,'01_Stations'!$G$144,"")</f>
        <v/>
      </c>
      <c r="W137" s="164" t="str">
        <f>IF(N('01_Stations'!$G$145)&gt;0,'01_Stations'!$G$145,"")</f>
        <v/>
      </c>
      <c r="X137" s="164" t="str">
        <f>IF(N('01_Stations'!$G$146)&gt;0,'01_Stations'!$G$146,"")</f>
        <v/>
      </c>
      <c r="Y137" s="164" t="str">
        <f>IF(N('01_Stations'!$G$147)&gt;0,'01_Stations'!$G$147,"")</f>
        <v/>
      </c>
      <c r="Z137" s="164" t="str">
        <f>IF(N('01_Stations'!$G$148)&gt;0,'01_Stations'!$G$148,"")</f>
        <v/>
      </c>
      <c r="AA137" s="164" t="str">
        <f>IF(N('01_Stations'!$G$149)&gt;0,'01_Stations'!$G$149,"")</f>
        <v/>
      </c>
      <c r="AB137" s="164" t="str">
        <f>IF(N('01_Stations'!$G$150)&gt;0,'01_Stations'!$G$150,"")</f>
        <v/>
      </c>
      <c r="AC137" s="164" t="str">
        <f>IF(N('01_Stations'!$G$151)&gt;0,'01_Stations'!$G$151,"")</f>
        <v/>
      </c>
      <c r="AD137" s="164" t="str">
        <f>IF(N('01_Stations'!$G$152)&gt;0,'01_Stations'!$G$152,"")</f>
        <v/>
      </c>
      <c r="AE137" s="164" t="str">
        <f>IF(N('01_Stations'!$G$153)&gt;0,'01_Stations'!$G$153,"")</f>
        <v/>
      </c>
      <c r="AF137" s="164" t="str">
        <f>IF(N('01_Stations'!$G$154)&gt;0,'01_Stations'!$G$154,"")</f>
        <v/>
      </c>
      <c r="AG137" s="164" t="str">
        <f>IF(N('01_Stations'!$G$155)&gt;0,'01_Stations'!$G$155,"")</f>
        <v/>
      </c>
      <c r="AH137" s="164" t="str">
        <f>IF(N('01_Stations'!$G$156)&gt;0,'01_Stations'!$G$156,"")</f>
        <v/>
      </c>
      <c r="AI137" s="164" t="str">
        <f>IF(N('01_Stations'!$G$157)&gt;0,'01_Stations'!$G$157,"")</f>
        <v/>
      </c>
      <c r="AJ137" s="164" t="str">
        <f>IF(N('01_Stations'!$G$158)&gt;0,'01_Stations'!$G$158,"")</f>
        <v/>
      </c>
      <c r="AK137" s="164" t="str">
        <f>IF(N('01_Stations'!$G$159)&gt;0,'01_Stations'!$G$159,"")</f>
        <v/>
      </c>
      <c r="AL137" s="164" t="str">
        <f>IF(N('01_Stations'!$G$160)&gt;0,'01_Stations'!$G$160,"")</f>
        <v/>
      </c>
      <c r="AM137" s="164" t="str">
        <f>IF(N('01_Stations'!$G$161)&gt;0,'01_Stations'!$G$161,"")</f>
        <v/>
      </c>
      <c r="AN137" s="164" t="str">
        <f>IF(N('01_Stations'!$G$162)&gt;0,'01_Stations'!$G$162,"")</f>
        <v/>
      </c>
      <c r="AO137" s="164" t="str">
        <f>IF(N('01_Stations'!$G$163)&gt;0,'01_Stations'!$G$163,"")</f>
        <v/>
      </c>
      <c r="AP137" s="164" t="str">
        <f>IF(N('01_Stations'!$G$164)&gt;0,'01_Stations'!$G$164,"")</f>
        <v/>
      </c>
      <c r="AQ137" s="164" t="str">
        <f>IF(N('01_Stations'!$G$165)&gt;0,'01_Stations'!$G$165,"")</f>
        <v/>
      </c>
    </row>
    <row r="138" spans="1:43" ht="15" customHeight="1" x14ac:dyDescent="0.3">
      <c r="A138" s="236"/>
      <c r="B138" s="165" t="s">
        <v>1866</v>
      </c>
      <c r="C138" s="166" t="s">
        <v>300</v>
      </c>
      <c r="D138" s="164" t="str">
        <f>IF(N('01_Stations'!$H$126)&gt;0,'01_Stations'!$H$126,"")</f>
        <v/>
      </c>
      <c r="E138" s="164" t="str">
        <f>IF(N('01_Stations'!$H$127)&gt;0,'01_Stations'!$H$127,"")</f>
        <v/>
      </c>
      <c r="F138" s="164" t="str">
        <f>IF(N('01_Stations'!$H$128)&gt;0,'01_Stations'!$H$128,"")</f>
        <v/>
      </c>
      <c r="G138" s="164" t="str">
        <f>IF(N('01_Stations'!$H$129)&gt;0,'01_Stations'!$H$129,"")</f>
        <v/>
      </c>
      <c r="H138" s="164" t="str">
        <f>IF(N('01_Stations'!$H$130)&gt;0,'01_Stations'!$H$130,"")</f>
        <v/>
      </c>
      <c r="I138" s="164" t="str">
        <f>IF(N('01_Stations'!$H$131)&gt;0,'01_Stations'!$H$131,"")</f>
        <v/>
      </c>
      <c r="J138" s="164" t="str">
        <f>IF(N('01_Stations'!$H$132)&gt;0,'01_Stations'!$H$132,"")</f>
        <v/>
      </c>
      <c r="K138" s="164" t="str">
        <f>IF(N('01_Stations'!$H$133)&gt;0,'01_Stations'!$H$133,"")</f>
        <v/>
      </c>
      <c r="L138" s="164" t="str">
        <f>IF(N('01_Stations'!$H$134)&gt;0,'01_Stations'!$H$134,"")</f>
        <v/>
      </c>
      <c r="M138" s="164" t="str">
        <f>IF(N('01_Stations'!$H$135)&gt;0,'01_Stations'!$H$135,"")</f>
        <v/>
      </c>
      <c r="N138" s="164" t="str">
        <f>IF(N('01_Stations'!$H$136)&gt;0,'01_Stations'!$H$136,"")</f>
        <v/>
      </c>
      <c r="O138" s="164" t="str">
        <f>IF(N('01_Stations'!$H$137)&gt;0,'01_Stations'!$H$137,"")</f>
        <v/>
      </c>
      <c r="P138" s="164" t="str">
        <f>IF(N('01_Stations'!$H$138)&gt;0,'01_Stations'!$H$138,"")</f>
        <v/>
      </c>
      <c r="Q138" s="164" t="str">
        <f>IF(N('01_Stations'!$H$139)&gt;0,'01_Stations'!$H$139,"")</f>
        <v/>
      </c>
      <c r="R138" s="164" t="str">
        <f>IF(N('01_Stations'!$H$140)&gt;0,'01_Stations'!$H$140,"")</f>
        <v/>
      </c>
      <c r="S138" s="164" t="str">
        <f>IF(N('01_Stations'!$H$141)&gt;0,'01_Stations'!$H$141,"")</f>
        <v/>
      </c>
      <c r="T138" s="164" t="str">
        <f>IF(N('01_Stations'!$H$142)&gt;0,'01_Stations'!$H$142,"")</f>
        <v/>
      </c>
      <c r="U138" s="164" t="str">
        <f>IF(N('01_Stations'!$H$143)&gt;0,'01_Stations'!$H$143,"")</f>
        <v/>
      </c>
      <c r="V138" s="164" t="str">
        <f>IF(N('01_Stations'!$H$144)&gt;0,'01_Stations'!$H$144,"")</f>
        <v/>
      </c>
      <c r="W138" s="164" t="str">
        <f>IF(N('01_Stations'!$H$145)&gt;0,'01_Stations'!$H$145,"")</f>
        <v/>
      </c>
      <c r="X138" s="164" t="str">
        <f>IF(N('01_Stations'!$H$146)&gt;0,'01_Stations'!$H$146,"")</f>
        <v/>
      </c>
      <c r="Y138" s="164" t="str">
        <f>IF(N('01_Stations'!$H$147)&gt;0,'01_Stations'!$H$147,"")</f>
        <v/>
      </c>
      <c r="Z138" s="164" t="str">
        <f>IF(N('01_Stations'!$H$148)&gt;0,'01_Stations'!$H$148,"")</f>
        <v/>
      </c>
      <c r="AA138" s="164" t="str">
        <f>IF(N('01_Stations'!$H$149)&gt;0,'01_Stations'!$H$149,"")</f>
        <v/>
      </c>
      <c r="AB138" s="164" t="str">
        <f>IF(N('01_Stations'!$H$150)&gt;0,'01_Stations'!$H$150,"")</f>
        <v/>
      </c>
      <c r="AC138" s="164" t="str">
        <f>IF(N('01_Stations'!$H$151)&gt;0,'01_Stations'!$H$151,"")</f>
        <v/>
      </c>
      <c r="AD138" s="164" t="str">
        <f>IF(N('01_Stations'!$H$152)&gt;0,'01_Stations'!$H$152,"")</f>
        <v/>
      </c>
      <c r="AE138" s="164" t="str">
        <f>IF(N('01_Stations'!$H$153)&gt;0,'01_Stations'!$H$153,"")</f>
        <v/>
      </c>
      <c r="AF138" s="164" t="str">
        <f>IF(N('01_Stations'!$H$154)&gt;0,'01_Stations'!$H$154,"")</f>
        <v/>
      </c>
      <c r="AG138" s="164" t="str">
        <f>IF(N('01_Stations'!$H$155)&gt;0,'01_Stations'!$H$155,"")</f>
        <v/>
      </c>
      <c r="AH138" s="164" t="str">
        <f>IF(N('01_Stations'!$H$156)&gt;0,'01_Stations'!$H$156,"")</f>
        <v/>
      </c>
      <c r="AI138" s="164" t="str">
        <f>IF(N('01_Stations'!$H$157)&gt;0,'01_Stations'!$H$157,"")</f>
        <v/>
      </c>
      <c r="AJ138" s="164" t="str">
        <f>IF(N('01_Stations'!$H$158)&gt;0,'01_Stations'!$H$158,"")</f>
        <v/>
      </c>
      <c r="AK138" s="164" t="str">
        <f>IF(N('01_Stations'!$H$159)&gt;0,'01_Stations'!$H$159,"")</f>
        <v/>
      </c>
      <c r="AL138" s="164" t="str">
        <f>IF(N('01_Stations'!$H$160)&gt;0,'01_Stations'!$H$160,"")</f>
        <v/>
      </c>
      <c r="AM138" s="164" t="str">
        <f>IF(N('01_Stations'!$H$161)&gt;0,'01_Stations'!$H$161,"")</f>
        <v/>
      </c>
      <c r="AN138" s="164" t="str">
        <f>IF(N('01_Stations'!$H$162)&gt;0,'01_Stations'!$H$162,"")</f>
        <v/>
      </c>
      <c r="AO138" s="164" t="str">
        <f>IF(N('01_Stations'!$H$163)&gt;0,'01_Stations'!$H$163,"")</f>
        <v/>
      </c>
      <c r="AP138" s="164" t="str">
        <f>IF(N('01_Stations'!$H$164)&gt;0,'01_Stations'!$H$164,"")</f>
        <v/>
      </c>
      <c r="AQ138" s="164" t="str">
        <f>IF(N('01_Stations'!$H$165)&gt;0,'01_Stations'!$H$165,"")</f>
        <v/>
      </c>
    </row>
    <row r="139" spans="1:43" ht="15" customHeight="1" x14ac:dyDescent="0.3">
      <c r="A139" s="236"/>
      <c r="B139" s="165" t="s">
        <v>267</v>
      </c>
      <c r="C139" s="166"/>
      <c r="D139" s="164" t="str">
        <f>IF('01_Stations'!$I$126=1,"───","")</f>
        <v/>
      </c>
      <c r="E139" s="164" t="str">
        <f>IF('01_Stations'!$I$127=1,"───","")</f>
        <v/>
      </c>
      <c r="F139" s="164" t="str">
        <f>IF('01_Stations'!$I$128=1,"───","")</f>
        <v/>
      </c>
      <c r="G139" s="164" t="str">
        <f>IF('01_Stations'!$I$129=1,"───","")</f>
        <v/>
      </c>
      <c r="H139" s="164" t="str">
        <f>IF('01_Stations'!$I$130=1,"───","")</f>
        <v/>
      </c>
      <c r="I139" s="164" t="str">
        <f>IF('01_Stations'!$I$131=1,"───","")</f>
        <v/>
      </c>
      <c r="J139" s="164" t="str">
        <f>IF('01_Stations'!$I$132=1,"───","")</f>
        <v/>
      </c>
      <c r="K139" s="164" t="str">
        <f>IF('01_Stations'!$I$133=1,"───","")</f>
        <v/>
      </c>
      <c r="L139" s="164" t="str">
        <f>IF('01_Stations'!$I$134=1,"───","")</f>
        <v/>
      </c>
      <c r="M139" s="164" t="str">
        <f>IF('01_Stations'!$I$135=1,"───","")</f>
        <v/>
      </c>
      <c r="N139" s="164" t="str">
        <f>IF('01_Stations'!$I$136=1,"───","")</f>
        <v/>
      </c>
      <c r="O139" s="164" t="str">
        <f>IF('01_Stations'!$I$137=1,"───","")</f>
        <v/>
      </c>
      <c r="P139" s="164" t="str">
        <f>IF('01_Stations'!$I$138=1,"───","")</f>
        <v/>
      </c>
      <c r="Q139" s="164" t="str">
        <f>IF('01_Stations'!$I$139=1,"───","")</f>
        <v/>
      </c>
      <c r="R139" s="164" t="str">
        <f>IF('01_Stations'!$I$140=1,"───","")</f>
        <v/>
      </c>
      <c r="S139" s="164" t="str">
        <f>IF('01_Stations'!$I$141=1,"───","")</f>
        <v/>
      </c>
      <c r="T139" s="164" t="str">
        <f>IF('01_Stations'!$I$142=1,"───","")</f>
        <v/>
      </c>
      <c r="U139" s="164" t="str">
        <f>IF('01_Stations'!$I$143=1,"───","")</f>
        <v/>
      </c>
      <c r="V139" s="164" t="str">
        <f>IF('01_Stations'!$I$144=1,"───","")</f>
        <v/>
      </c>
      <c r="W139" s="164" t="str">
        <f>IF('01_Stations'!$I$145=1,"───","")</f>
        <v/>
      </c>
      <c r="X139" s="164" t="str">
        <f>IF('01_Stations'!$I$146=1,"───","")</f>
        <v/>
      </c>
      <c r="Y139" s="164" t="str">
        <f>IF('01_Stations'!$I$147=1,"───","")</f>
        <v/>
      </c>
      <c r="Z139" s="164" t="str">
        <f>IF('01_Stations'!$I$148=1,"───","")</f>
        <v/>
      </c>
      <c r="AA139" s="164" t="str">
        <f>IF('01_Stations'!$I$149=1,"───","")</f>
        <v/>
      </c>
      <c r="AB139" s="164" t="str">
        <f>IF('01_Stations'!$I$150=1,"───","")</f>
        <v/>
      </c>
      <c r="AC139" s="164" t="str">
        <f>IF('01_Stations'!$I$151=1,"───","")</f>
        <v/>
      </c>
      <c r="AD139" s="164" t="str">
        <f>IF('01_Stations'!$I$152=1,"───","")</f>
        <v/>
      </c>
      <c r="AE139" s="164" t="str">
        <f>IF('01_Stations'!$I$153=1,"───","")</f>
        <v/>
      </c>
      <c r="AF139" s="164" t="str">
        <f>IF('01_Stations'!$I$154=1,"───","")</f>
        <v/>
      </c>
      <c r="AG139" s="164" t="str">
        <f>IF('01_Stations'!$I$155=1,"───","")</f>
        <v/>
      </c>
      <c r="AH139" s="164" t="str">
        <f>IF('01_Stations'!$I$156=1,"───","")</f>
        <v/>
      </c>
      <c r="AI139" s="164" t="str">
        <f>IF('01_Stations'!$I$157=1,"───","")</f>
        <v/>
      </c>
      <c r="AJ139" s="164" t="str">
        <f>IF('01_Stations'!$I$158=1,"───","")</f>
        <v/>
      </c>
      <c r="AK139" s="164" t="str">
        <f>IF('01_Stations'!$I$159=1,"───","")</f>
        <v/>
      </c>
      <c r="AL139" s="164" t="str">
        <f>IF('01_Stations'!$I$160=1,"───","")</f>
        <v/>
      </c>
      <c r="AM139" s="164" t="str">
        <f>IF('01_Stations'!$I$161=1,"───","")</f>
        <v/>
      </c>
      <c r="AN139" s="164" t="str">
        <f>IF('01_Stations'!$I$162=1,"───","")</f>
        <v/>
      </c>
      <c r="AO139" s="164" t="str">
        <f>IF('01_Stations'!$I$163=1,"───","")</f>
        <v/>
      </c>
      <c r="AP139" s="164" t="str">
        <f>IF('01_Stations'!$I$164=1,"───","")</f>
        <v/>
      </c>
      <c r="AQ139" s="164" t="str">
        <f>IF('01_Stations'!$I$165=1,"───","")</f>
        <v/>
      </c>
    </row>
    <row r="140" spans="1:43" ht="15" customHeight="1" x14ac:dyDescent="0.3">
      <c r="A140" s="236"/>
      <c r="B140" s="165" t="s">
        <v>268</v>
      </c>
      <c r="C140" s="166" t="s">
        <v>299</v>
      </c>
      <c r="D140" s="164" t="str">
        <f>IF(N('01_Stations'!$J$126)&gt;0,'01_Stations'!$J$126,"")</f>
        <v/>
      </c>
      <c r="E140" s="164" t="str">
        <f>IF(N('01_Stations'!$J$127)&gt;0,'01_Stations'!$J$127,"")</f>
        <v/>
      </c>
      <c r="F140" s="164" t="str">
        <f>IF(N('01_Stations'!$J$128)&gt;0,'01_Stations'!$J$128,"")</f>
        <v/>
      </c>
      <c r="G140" s="164" t="str">
        <f>IF(N('01_Stations'!$J$129)&gt;0,'01_Stations'!$J$129,"")</f>
        <v/>
      </c>
      <c r="H140" s="164" t="str">
        <f>IF(N('01_Stations'!$J$130)&gt;0,'01_Stations'!$J$130,"")</f>
        <v/>
      </c>
      <c r="I140" s="164" t="str">
        <f>IF(N('01_Stations'!$J$131)&gt;0,'01_Stations'!$J$131,"")</f>
        <v/>
      </c>
      <c r="J140" s="164" t="str">
        <f>IF(N('01_Stations'!$J$132)&gt;0,'01_Stations'!$J$132,"")</f>
        <v/>
      </c>
      <c r="K140" s="164" t="str">
        <f>IF(N('01_Stations'!$J$133)&gt;0,'01_Stations'!$J$133,"")</f>
        <v/>
      </c>
      <c r="L140" s="164" t="str">
        <f>IF(N('01_Stations'!$J$134)&gt;0,'01_Stations'!$J$134,"")</f>
        <v/>
      </c>
      <c r="M140" s="164" t="str">
        <f>IF(N('01_Stations'!$J$135)&gt;0,'01_Stations'!$J$135,"")</f>
        <v/>
      </c>
      <c r="N140" s="164" t="str">
        <f>IF(N('01_Stations'!$J$136)&gt;0,'01_Stations'!$J$136,"")</f>
        <v/>
      </c>
      <c r="O140" s="164" t="str">
        <f>IF(N('01_Stations'!$J$137)&gt;0,'01_Stations'!$J$137,"")</f>
        <v/>
      </c>
      <c r="P140" s="164" t="str">
        <f>IF(N('01_Stations'!$J$138)&gt;0,'01_Stations'!$J$138,"")</f>
        <v/>
      </c>
      <c r="Q140" s="164" t="str">
        <f>IF(N('01_Stations'!$J$139)&gt;0,'01_Stations'!$J$139,"")</f>
        <v/>
      </c>
      <c r="R140" s="164" t="str">
        <f>IF(N('01_Stations'!$J$140)&gt;0,'01_Stations'!$J$140,"")</f>
        <v/>
      </c>
      <c r="S140" s="164" t="str">
        <f>IF(N('01_Stations'!$J$141)&gt;0,'01_Stations'!$J$141,"")</f>
        <v/>
      </c>
      <c r="T140" s="164" t="str">
        <f>IF(N('01_Stations'!$J$142)&gt;0,'01_Stations'!$J$142,"")</f>
        <v/>
      </c>
      <c r="U140" s="164" t="str">
        <f>IF(N('01_Stations'!$J$143)&gt;0,'01_Stations'!$J$143,"")</f>
        <v/>
      </c>
      <c r="V140" s="164" t="str">
        <f>IF(N('01_Stations'!$J$144)&gt;0,'01_Stations'!$J$144,"")</f>
        <v/>
      </c>
      <c r="W140" s="164" t="str">
        <f>IF(N('01_Stations'!$J$145)&gt;0,'01_Stations'!$J$145,"")</f>
        <v/>
      </c>
      <c r="X140" s="164" t="str">
        <f>IF(N('01_Stations'!$J$146)&gt;0,'01_Stations'!$J$146,"")</f>
        <v/>
      </c>
      <c r="Y140" s="164" t="str">
        <f>IF(N('01_Stations'!$J$147)&gt;0,'01_Stations'!$J$147,"")</f>
        <v/>
      </c>
      <c r="Z140" s="164" t="str">
        <f>IF(N('01_Stations'!$J$148)&gt;0,'01_Stations'!$J$148,"")</f>
        <v/>
      </c>
      <c r="AA140" s="164" t="str">
        <f>IF(N('01_Stations'!$J$149)&gt;0,'01_Stations'!$J$149,"")</f>
        <v/>
      </c>
      <c r="AB140" s="164" t="str">
        <f>IF(N('01_Stations'!$J$150)&gt;0,'01_Stations'!$J$150,"")</f>
        <v/>
      </c>
      <c r="AC140" s="164" t="str">
        <f>IF(N('01_Stations'!$J$151)&gt;0,'01_Stations'!$J$151,"")</f>
        <v/>
      </c>
      <c r="AD140" s="164" t="str">
        <f>IF(N('01_Stations'!$J$152)&gt;0,'01_Stations'!$J$152,"")</f>
        <v/>
      </c>
      <c r="AE140" s="164" t="str">
        <f>IF(N('01_Stations'!$J$153)&gt;0,'01_Stations'!$J$153,"")</f>
        <v/>
      </c>
      <c r="AF140" s="164" t="str">
        <f>IF(N('01_Stations'!$J$154)&gt;0,'01_Stations'!$J$154,"")</f>
        <v/>
      </c>
      <c r="AG140" s="164" t="str">
        <f>IF(N('01_Stations'!$J$155)&gt;0,'01_Stations'!$J$155,"")</f>
        <v/>
      </c>
      <c r="AH140" s="164" t="str">
        <f>IF(N('01_Stations'!$J$156)&gt;0,'01_Stations'!$J$156,"")</f>
        <v/>
      </c>
      <c r="AI140" s="164" t="str">
        <f>IF(N('01_Stations'!$J$157)&gt;0,'01_Stations'!$J$157,"")</f>
        <v/>
      </c>
      <c r="AJ140" s="164" t="str">
        <f>IF(N('01_Stations'!$J$158)&gt;0,'01_Stations'!$J$158,"")</f>
        <v/>
      </c>
      <c r="AK140" s="164" t="str">
        <f>IF(N('01_Stations'!$J$159)&gt;0,'01_Stations'!$J$159,"")</f>
        <v/>
      </c>
      <c r="AL140" s="164" t="str">
        <f>IF(N('01_Stations'!$J$160)&gt;0,'01_Stations'!$J$160,"")</f>
        <v/>
      </c>
      <c r="AM140" s="164" t="str">
        <f>IF(N('01_Stations'!$J$161)&gt;0,'01_Stations'!$J$161,"")</f>
        <v/>
      </c>
      <c r="AN140" s="164" t="str">
        <f>IF(N('01_Stations'!$J$162)&gt;0,'01_Stations'!$J$162,"")</f>
        <v/>
      </c>
      <c r="AO140" s="164" t="str">
        <f>IF(N('01_Stations'!$J$163)&gt;0,'01_Stations'!$J$163,"")</f>
        <v/>
      </c>
      <c r="AP140" s="164" t="str">
        <f>IF(N('01_Stations'!$J$164)&gt;0,'01_Stations'!$J$164,"")</f>
        <v/>
      </c>
      <c r="AQ140" s="164" t="str">
        <f>IF(N('01_Stations'!$J$165)&gt;0,'01_Stations'!$J$165,"")</f>
        <v/>
      </c>
    </row>
    <row r="141" spans="1:43" ht="15" customHeight="1" x14ac:dyDescent="0.3">
      <c r="A141" s="236"/>
      <c r="B141" s="165" t="s">
        <v>2208</v>
      </c>
      <c r="C141" s="166" t="s">
        <v>63</v>
      </c>
      <c r="D141" s="164" t="str">
        <f>IF(N('01_Stations'!$K$126)&gt;0,'01_Stations'!$K$126,"")</f>
        <v/>
      </c>
      <c r="E141" s="164" t="str">
        <f>IF(N('01_Stations'!$K$127)&gt;0,'01_Stations'!$K$127,"")</f>
        <v/>
      </c>
      <c r="F141" s="164" t="str">
        <f>IF(N('01_Stations'!$K$128)&gt;0,'01_Stations'!$K$128,"")</f>
        <v/>
      </c>
      <c r="G141" s="164" t="str">
        <f>IF(N('01_Stations'!$K$129)&gt;0,'01_Stations'!$K$129,"")</f>
        <v/>
      </c>
      <c r="H141" s="164" t="str">
        <f>IF(N('01_Stations'!$K$130)&gt;0,'01_Stations'!$K$130,"")</f>
        <v/>
      </c>
      <c r="I141" s="164" t="str">
        <f>IF(N('01_Stations'!$K$131)&gt;0,'01_Stations'!$K$131,"")</f>
        <v/>
      </c>
      <c r="J141" s="164" t="str">
        <f>IF(N('01_Stations'!$K$132)&gt;0,'01_Stations'!$K$132,"")</f>
        <v/>
      </c>
      <c r="K141" s="164" t="str">
        <f>IF(N('01_Stations'!$K$133)&gt;0,'01_Stations'!$K$133,"")</f>
        <v/>
      </c>
      <c r="L141" s="164" t="str">
        <f>IF(N('01_Stations'!$K$134)&gt;0,'01_Stations'!$K$134,"")</f>
        <v/>
      </c>
      <c r="M141" s="164" t="str">
        <f>IF(N('01_Stations'!$K$135)&gt;0,'01_Stations'!$K$135,"")</f>
        <v/>
      </c>
      <c r="N141" s="164" t="str">
        <f>IF(N('01_Stations'!$K$136)&gt;0,'01_Stations'!$K$136,"")</f>
        <v/>
      </c>
      <c r="O141" s="164" t="str">
        <f>IF(N('01_Stations'!$K$137)&gt;0,'01_Stations'!$K$137,"")</f>
        <v/>
      </c>
      <c r="P141" s="164" t="str">
        <f>IF(N('01_Stations'!$K$138)&gt;0,'01_Stations'!$K$138,"")</f>
        <v/>
      </c>
      <c r="Q141" s="164" t="str">
        <f>IF(N('01_Stations'!$K$139)&gt;0,'01_Stations'!$K$139,"")</f>
        <v/>
      </c>
      <c r="R141" s="164" t="str">
        <f>IF(N('01_Stations'!$K$140)&gt;0,'01_Stations'!$K$140,"")</f>
        <v/>
      </c>
      <c r="S141" s="164" t="str">
        <f>IF(N('01_Stations'!$K$141)&gt;0,'01_Stations'!$K$141,"")</f>
        <v/>
      </c>
      <c r="T141" s="164" t="str">
        <f>IF(N('01_Stations'!$K$142)&gt;0,'01_Stations'!$K$142,"")</f>
        <v/>
      </c>
      <c r="U141" s="164" t="str">
        <f>IF(N('01_Stations'!$K$143)&gt;0,'01_Stations'!$K$143,"")</f>
        <v/>
      </c>
      <c r="V141" s="164" t="str">
        <f>IF(N('01_Stations'!$K$144)&gt;0,'01_Stations'!$K$144,"")</f>
        <v/>
      </c>
      <c r="W141" s="164" t="str">
        <f>IF(N('01_Stations'!$K$145)&gt;0,'01_Stations'!$K$145,"")</f>
        <v/>
      </c>
      <c r="X141" s="164" t="str">
        <f>IF(N('01_Stations'!$K$146)&gt;0,'01_Stations'!$K$146,"")</f>
        <v/>
      </c>
      <c r="Y141" s="164" t="str">
        <f>IF(N('01_Stations'!$K$147)&gt;0,'01_Stations'!$K$147,"")</f>
        <v/>
      </c>
      <c r="Z141" s="164" t="str">
        <f>IF(N('01_Stations'!$K$148)&gt;0,'01_Stations'!$K$148,"")</f>
        <v/>
      </c>
      <c r="AA141" s="164" t="str">
        <f>IF(N('01_Stations'!$K$149)&gt;0,'01_Stations'!$K$149,"")</f>
        <v/>
      </c>
      <c r="AB141" s="164" t="str">
        <f>IF(N('01_Stations'!$K$150)&gt;0,'01_Stations'!$K$150,"")</f>
        <v/>
      </c>
      <c r="AC141" s="164" t="str">
        <f>IF(N('01_Stations'!$K$151)&gt;0,'01_Stations'!$K$151,"")</f>
        <v/>
      </c>
      <c r="AD141" s="164" t="str">
        <f>IF(N('01_Stations'!$K$152)&gt;0,'01_Stations'!$K$152,"")</f>
        <v/>
      </c>
      <c r="AE141" s="164" t="str">
        <f>IF(N('01_Stations'!$K$153)&gt;0,'01_Stations'!$K$153,"")</f>
        <v/>
      </c>
      <c r="AF141" s="164" t="str">
        <f>IF(N('01_Stations'!$K$154)&gt;0,'01_Stations'!$K$154,"")</f>
        <v/>
      </c>
      <c r="AG141" s="164" t="str">
        <f>IF(N('01_Stations'!$K$155)&gt;0,'01_Stations'!$K$155,"")</f>
        <v/>
      </c>
      <c r="AH141" s="164" t="str">
        <f>IF(N('01_Stations'!$K$156)&gt;0,'01_Stations'!$K$156,"")</f>
        <v/>
      </c>
      <c r="AI141" s="164" t="str">
        <f>IF(N('01_Stations'!$K$157)&gt;0,'01_Stations'!$K$157,"")</f>
        <v/>
      </c>
      <c r="AJ141" s="164" t="str">
        <f>IF(N('01_Stations'!$K$158)&gt;0,'01_Stations'!$K$158,"")</f>
        <v/>
      </c>
      <c r="AK141" s="164" t="str">
        <f>IF(N('01_Stations'!$K$159)&gt;0,'01_Stations'!$K$159,"")</f>
        <v/>
      </c>
      <c r="AL141" s="164" t="str">
        <f>IF(N('01_Stations'!$K$160)&gt;0,'01_Stations'!$K$160,"")</f>
        <v/>
      </c>
      <c r="AM141" s="164" t="str">
        <f>IF(N('01_Stations'!$K$161)&gt;0,'01_Stations'!$K$161,"")</f>
        <v/>
      </c>
      <c r="AN141" s="164" t="str">
        <f>IF(N('01_Stations'!$K$162)&gt;0,'01_Stations'!$K$162,"")</f>
        <v/>
      </c>
      <c r="AO141" s="164" t="str">
        <f>IF(N('01_Stations'!$K$163)&gt;0,'01_Stations'!$K$163,"")</f>
        <v/>
      </c>
      <c r="AP141" s="164" t="str">
        <f>IF(N('01_Stations'!$K$164)&gt;0,'01_Stations'!$K$164,"")</f>
        <v/>
      </c>
      <c r="AQ141" s="164" t="str">
        <f>IF(N('01_Stations'!$K$165)&gt;0,'01_Stations'!$K$165,"")</f>
        <v/>
      </c>
    </row>
    <row r="142" spans="1:43" ht="15" customHeight="1" x14ac:dyDescent="0.3">
      <c r="A142" s="236"/>
      <c r="B142" s="165" t="s">
        <v>270</v>
      </c>
      <c r="C142" s="166"/>
      <c r="D142" s="164" t="str">
        <f>IF('01_Stations'!$L$126=1,"───","")</f>
        <v/>
      </c>
      <c r="E142" s="164" t="str">
        <f>IF('01_Stations'!$L$127=1,"───","")</f>
        <v/>
      </c>
      <c r="F142" s="164" t="str">
        <f>IF('01_Stations'!$L$128=1,"───","")</f>
        <v/>
      </c>
      <c r="G142" s="164" t="str">
        <f>IF('01_Stations'!$L$129=1,"───","")</f>
        <v/>
      </c>
      <c r="H142" s="164" t="str">
        <f>IF('01_Stations'!$L$130=1,"───","")</f>
        <v/>
      </c>
      <c r="I142" s="164" t="str">
        <f>IF('01_Stations'!$L$131=1,"───","")</f>
        <v/>
      </c>
      <c r="J142" s="164" t="str">
        <f>IF('01_Stations'!$L$132=1,"───","")</f>
        <v/>
      </c>
      <c r="K142" s="164" t="str">
        <f>IF('01_Stations'!$L$133=1,"───","")</f>
        <v/>
      </c>
      <c r="L142" s="164" t="str">
        <f>IF('01_Stations'!$L$134=1,"───","")</f>
        <v/>
      </c>
      <c r="M142" s="164" t="str">
        <f>IF('01_Stations'!$L$135=1,"───","")</f>
        <v/>
      </c>
      <c r="N142" s="164" t="str">
        <f>IF('01_Stations'!$L$136=1,"───","")</f>
        <v/>
      </c>
      <c r="O142" s="164" t="str">
        <f>IF('01_Stations'!$L$137=1,"───","")</f>
        <v/>
      </c>
      <c r="P142" s="164" t="str">
        <f>IF('01_Stations'!$L$138=1,"───","")</f>
        <v/>
      </c>
      <c r="Q142" s="164" t="str">
        <f>IF('01_Stations'!$L$139=1,"───","")</f>
        <v/>
      </c>
      <c r="R142" s="164" t="str">
        <f>IF('01_Stations'!$L$140=1,"───","")</f>
        <v/>
      </c>
      <c r="S142" s="164" t="str">
        <f>IF('01_Stations'!$L$141=1,"───","")</f>
        <v/>
      </c>
      <c r="T142" s="164" t="str">
        <f>IF('01_Stations'!$L$142=1,"───","")</f>
        <v/>
      </c>
      <c r="U142" s="164" t="str">
        <f>IF('01_Stations'!$L$143=1,"───","")</f>
        <v/>
      </c>
      <c r="V142" s="164" t="str">
        <f>IF('01_Stations'!$L$144=1,"───","")</f>
        <v/>
      </c>
      <c r="W142" s="164" t="str">
        <f>IF('01_Stations'!$L$145=1,"───","")</f>
        <v/>
      </c>
      <c r="X142" s="164" t="str">
        <f>IF('01_Stations'!$L$146=1,"───","")</f>
        <v/>
      </c>
      <c r="Y142" s="164" t="str">
        <f>IF('01_Stations'!$L$147=1,"───","")</f>
        <v/>
      </c>
      <c r="Z142" s="164" t="str">
        <f>IF('01_Stations'!$L$148=1,"───","")</f>
        <v/>
      </c>
      <c r="AA142" s="164" t="str">
        <f>IF('01_Stations'!$L$149=1,"───","")</f>
        <v/>
      </c>
      <c r="AB142" s="164" t="str">
        <f>IF('01_Stations'!$L$150=1,"───","")</f>
        <v/>
      </c>
      <c r="AC142" s="164" t="str">
        <f>IF('01_Stations'!$L$151=1,"───","")</f>
        <v/>
      </c>
      <c r="AD142" s="164" t="str">
        <f>IF('01_Stations'!$L$152=1,"───","")</f>
        <v/>
      </c>
      <c r="AE142" s="164" t="str">
        <f>IF('01_Stations'!$L$153=1,"───","")</f>
        <v/>
      </c>
      <c r="AF142" s="164" t="str">
        <f>IF('01_Stations'!$L$154=1,"───","")</f>
        <v/>
      </c>
      <c r="AG142" s="164" t="str">
        <f>IF('01_Stations'!$L$155=1,"───","")</f>
        <v/>
      </c>
      <c r="AH142" s="164" t="str">
        <f>IF('01_Stations'!$L$156=1,"───","")</f>
        <v/>
      </c>
      <c r="AI142" s="164" t="str">
        <f>IF('01_Stations'!$L$157=1,"───","")</f>
        <v/>
      </c>
      <c r="AJ142" s="164" t="str">
        <f>IF('01_Stations'!$L$158=1,"───","")</f>
        <v/>
      </c>
      <c r="AK142" s="164" t="str">
        <f>IF('01_Stations'!$L$159=1,"───","")</f>
        <v/>
      </c>
      <c r="AL142" s="164" t="str">
        <f>IF('01_Stations'!$L$160=1,"───","")</f>
        <v/>
      </c>
      <c r="AM142" s="164" t="str">
        <f>IF('01_Stations'!$L$161=1,"───","")</f>
        <v/>
      </c>
      <c r="AN142" s="164" t="str">
        <f>IF('01_Stations'!$L$162=1,"───","")</f>
        <v/>
      </c>
      <c r="AO142" s="164" t="str">
        <f>IF('01_Stations'!$L$163=1,"───","")</f>
        <v/>
      </c>
      <c r="AP142" s="164" t="str">
        <f>IF('01_Stations'!$L$164=1,"───","")</f>
        <v/>
      </c>
      <c r="AQ142" s="164" t="str">
        <f>IF('01_Stations'!$L$165=1,"───","")</f>
        <v/>
      </c>
    </row>
    <row r="143" spans="1:43" ht="15" customHeight="1" x14ac:dyDescent="0.3">
      <c r="A143" s="236"/>
      <c r="B143" s="165" t="s">
        <v>265</v>
      </c>
      <c r="C143" s="166" t="s">
        <v>299</v>
      </c>
      <c r="D143" s="164" t="str">
        <f>IF(N('01_Stations'!$M$126)&gt;0,'01_Stations'!$M$126,"")</f>
        <v/>
      </c>
      <c r="E143" s="164" t="str">
        <f>IF(N('01_Stations'!$M$127)&gt;0,'01_Stations'!$M$127,"")</f>
        <v/>
      </c>
      <c r="F143" s="164" t="str">
        <f>IF(N('01_Stations'!$M$128)&gt;0,'01_Stations'!$M$128,"")</f>
        <v/>
      </c>
      <c r="G143" s="164" t="str">
        <f>IF(N('01_Stations'!$M$129)&gt;0,'01_Stations'!$M$129,"")</f>
        <v/>
      </c>
      <c r="H143" s="164" t="str">
        <f>IF(N('01_Stations'!$M$130)&gt;0,'01_Stations'!$M$130,"")</f>
        <v/>
      </c>
      <c r="I143" s="164" t="str">
        <f>IF(N('01_Stations'!$M$131)&gt;0,'01_Stations'!$M$131,"")</f>
        <v/>
      </c>
      <c r="J143" s="164" t="str">
        <f>IF(N('01_Stations'!$M$132)&gt;0,'01_Stations'!$M$132,"")</f>
        <v/>
      </c>
      <c r="K143" s="164" t="str">
        <f>IF(N('01_Stations'!$M$133)&gt;0,'01_Stations'!$M$133,"")</f>
        <v/>
      </c>
      <c r="L143" s="164" t="str">
        <f>IF(N('01_Stations'!$M$134)&gt;0,'01_Stations'!$M$134,"")</f>
        <v/>
      </c>
      <c r="M143" s="164" t="str">
        <f>IF(N('01_Stations'!$M$135)&gt;0,'01_Stations'!$M$135,"")</f>
        <v/>
      </c>
      <c r="N143" s="164" t="str">
        <f>IF(N('01_Stations'!$M$136)&gt;0,'01_Stations'!$M$136,"")</f>
        <v/>
      </c>
      <c r="O143" s="164" t="str">
        <f>IF(N('01_Stations'!$M$137)&gt;0,'01_Stations'!$M$137,"")</f>
        <v/>
      </c>
      <c r="P143" s="164" t="str">
        <f>IF(N('01_Stations'!$M$138)&gt;0,'01_Stations'!$M$138,"")</f>
        <v/>
      </c>
      <c r="Q143" s="164" t="str">
        <f>IF(N('01_Stations'!$M$139)&gt;0,'01_Stations'!$M$139,"")</f>
        <v/>
      </c>
      <c r="R143" s="164" t="str">
        <f>IF(N('01_Stations'!$M$140)&gt;0,'01_Stations'!$M$140,"")</f>
        <v/>
      </c>
      <c r="S143" s="164" t="str">
        <f>IF(N('01_Stations'!$M$141)&gt;0,'01_Stations'!$M$141,"")</f>
        <v/>
      </c>
      <c r="T143" s="164" t="str">
        <f>IF(N('01_Stations'!$M$142)&gt;0,'01_Stations'!$M$142,"")</f>
        <v/>
      </c>
      <c r="U143" s="164" t="str">
        <f>IF(N('01_Stations'!$M$143)&gt;0,'01_Stations'!$M$143,"")</f>
        <v/>
      </c>
      <c r="V143" s="164" t="str">
        <f>IF(N('01_Stations'!$M$144)&gt;0,'01_Stations'!$M$144,"")</f>
        <v/>
      </c>
      <c r="W143" s="164" t="str">
        <f>IF(N('01_Stations'!$M$145)&gt;0,'01_Stations'!$M$145,"")</f>
        <v/>
      </c>
      <c r="X143" s="164" t="str">
        <f>IF(N('01_Stations'!$M$146)&gt;0,'01_Stations'!$M$146,"")</f>
        <v/>
      </c>
      <c r="Y143" s="164" t="str">
        <f>IF(N('01_Stations'!$M$147)&gt;0,'01_Stations'!$M$147,"")</f>
        <v/>
      </c>
      <c r="Z143" s="164" t="str">
        <f>IF(N('01_Stations'!$M$148)&gt;0,'01_Stations'!$M$148,"")</f>
        <v/>
      </c>
      <c r="AA143" s="164" t="str">
        <f>IF(N('01_Stations'!$M$149)&gt;0,'01_Stations'!$M$149,"")</f>
        <v/>
      </c>
      <c r="AB143" s="164" t="str">
        <f>IF(N('01_Stations'!$M$150)&gt;0,'01_Stations'!$M$150,"")</f>
        <v/>
      </c>
      <c r="AC143" s="164" t="str">
        <f>IF(N('01_Stations'!$M$151)&gt;0,'01_Stations'!$M$151,"")</f>
        <v/>
      </c>
      <c r="AD143" s="164" t="str">
        <f>IF(N('01_Stations'!$M$152)&gt;0,'01_Stations'!$M$152,"")</f>
        <v/>
      </c>
      <c r="AE143" s="164" t="str">
        <f>IF(N('01_Stations'!$M$153)&gt;0,'01_Stations'!$M$153,"")</f>
        <v/>
      </c>
      <c r="AF143" s="164" t="str">
        <f>IF(N('01_Stations'!$M$154)&gt;0,'01_Stations'!$M$154,"")</f>
        <v/>
      </c>
      <c r="AG143" s="164" t="str">
        <f>IF(N('01_Stations'!$M$155)&gt;0,'01_Stations'!$M$155,"")</f>
        <v/>
      </c>
      <c r="AH143" s="164" t="str">
        <f>IF(N('01_Stations'!$M$156)&gt;0,'01_Stations'!$M$156,"")</f>
        <v/>
      </c>
      <c r="AI143" s="164" t="str">
        <f>IF(N('01_Stations'!$M$157)&gt;0,'01_Stations'!$M$157,"")</f>
        <v/>
      </c>
      <c r="AJ143" s="164" t="str">
        <f>IF(N('01_Stations'!$M$158)&gt;0,'01_Stations'!$M$158,"")</f>
        <v/>
      </c>
      <c r="AK143" s="164" t="str">
        <f>IF(N('01_Stations'!$M$159)&gt;0,'01_Stations'!$M$159,"")</f>
        <v/>
      </c>
      <c r="AL143" s="164" t="str">
        <f>IF(N('01_Stations'!$M$160)&gt;0,'01_Stations'!$M$160,"")</f>
        <v/>
      </c>
      <c r="AM143" s="164" t="str">
        <f>IF(N('01_Stations'!$M$161)&gt;0,'01_Stations'!$M$161,"")</f>
        <v/>
      </c>
      <c r="AN143" s="164" t="str">
        <f>IF(N('01_Stations'!$M$162)&gt;0,'01_Stations'!$M$162,"")</f>
        <v/>
      </c>
      <c r="AO143" s="164" t="str">
        <f>IF(N('01_Stations'!$M$163)&gt;0,'01_Stations'!$M$163,"")</f>
        <v/>
      </c>
      <c r="AP143" s="164" t="str">
        <f>IF(N('01_Stations'!$M$164)&gt;0,'01_Stations'!$M$164,"")</f>
        <v/>
      </c>
      <c r="AQ143" s="164" t="str">
        <f>IF(N('01_Stations'!$M$165)&gt;0,'01_Stations'!$M$165,"")</f>
        <v/>
      </c>
    </row>
    <row r="144" spans="1:43" ht="15" customHeight="1" x14ac:dyDescent="0.3">
      <c r="A144" s="236"/>
      <c r="B144" s="165" t="s">
        <v>2208</v>
      </c>
      <c r="C144" s="166" t="s">
        <v>63</v>
      </c>
      <c r="D144" s="164" t="str">
        <f>IF(N('01_Stations'!$N$126)&gt;0,'01_Stations'!$N$126,"")</f>
        <v/>
      </c>
      <c r="E144" s="164" t="str">
        <f>IF(N('01_Stations'!$N$127)&gt;0,'01_Stations'!$N$127,"")</f>
        <v/>
      </c>
      <c r="F144" s="164" t="str">
        <f>IF(N('01_Stations'!$N$128)&gt;0,'01_Stations'!$N$128,"")</f>
        <v/>
      </c>
      <c r="G144" s="164" t="str">
        <f>IF(N('01_Stations'!$N$129)&gt;0,'01_Stations'!$N$129,"")</f>
        <v/>
      </c>
      <c r="H144" s="164" t="str">
        <f>IF(N('01_Stations'!$N$130)&gt;0,'01_Stations'!$N$130,"")</f>
        <v/>
      </c>
      <c r="I144" s="164" t="str">
        <f>IF(N('01_Stations'!$N$131)&gt;0,'01_Stations'!$N$131,"")</f>
        <v/>
      </c>
      <c r="J144" s="164" t="str">
        <f>IF(N('01_Stations'!$N$132)&gt;0,'01_Stations'!$N$132,"")</f>
        <v/>
      </c>
      <c r="K144" s="164" t="str">
        <f>IF(N('01_Stations'!$N$133)&gt;0,'01_Stations'!$N$133,"")</f>
        <v/>
      </c>
      <c r="L144" s="164" t="str">
        <f>IF(N('01_Stations'!$N$134)&gt;0,'01_Stations'!$N$134,"")</f>
        <v/>
      </c>
      <c r="M144" s="164" t="str">
        <f>IF(N('01_Stations'!$N$135)&gt;0,'01_Stations'!$N$135,"")</f>
        <v/>
      </c>
      <c r="N144" s="164" t="str">
        <f>IF(N('01_Stations'!$N$136)&gt;0,'01_Stations'!$N$136,"")</f>
        <v/>
      </c>
      <c r="O144" s="164" t="str">
        <f>IF(N('01_Stations'!$N$137)&gt;0,'01_Stations'!$N$137,"")</f>
        <v/>
      </c>
      <c r="P144" s="164" t="str">
        <f>IF(N('01_Stations'!$N$138)&gt;0,'01_Stations'!$N$138,"")</f>
        <v/>
      </c>
      <c r="Q144" s="164" t="str">
        <f>IF(N('01_Stations'!$N$139)&gt;0,'01_Stations'!$N$139,"")</f>
        <v/>
      </c>
      <c r="R144" s="164" t="str">
        <f>IF(N('01_Stations'!$N$140)&gt;0,'01_Stations'!$N$140,"")</f>
        <v/>
      </c>
      <c r="S144" s="164" t="str">
        <f>IF(N('01_Stations'!$N$141)&gt;0,'01_Stations'!$N$141,"")</f>
        <v/>
      </c>
      <c r="T144" s="164" t="str">
        <f>IF(N('01_Stations'!$N$142)&gt;0,'01_Stations'!$N$142,"")</f>
        <v/>
      </c>
      <c r="U144" s="164" t="str">
        <f>IF(N('01_Stations'!$N$143)&gt;0,'01_Stations'!$N$143,"")</f>
        <v/>
      </c>
      <c r="V144" s="164" t="str">
        <f>IF(N('01_Stations'!$N$144)&gt;0,'01_Stations'!$N$144,"")</f>
        <v/>
      </c>
      <c r="W144" s="164" t="str">
        <f>IF(N('01_Stations'!$N$145)&gt;0,'01_Stations'!$N$145,"")</f>
        <v/>
      </c>
      <c r="X144" s="164" t="str">
        <f>IF(N('01_Stations'!$N$146)&gt;0,'01_Stations'!$N$146,"")</f>
        <v/>
      </c>
      <c r="Y144" s="164" t="str">
        <f>IF(N('01_Stations'!$N$147)&gt;0,'01_Stations'!$N$147,"")</f>
        <v/>
      </c>
      <c r="Z144" s="164" t="str">
        <f>IF(N('01_Stations'!$N$148)&gt;0,'01_Stations'!$N$148,"")</f>
        <v/>
      </c>
      <c r="AA144" s="164" t="str">
        <f>IF(N('01_Stations'!$N$149)&gt;0,'01_Stations'!$N$149,"")</f>
        <v/>
      </c>
      <c r="AB144" s="164" t="str">
        <f>IF(N('01_Stations'!$N$150)&gt;0,'01_Stations'!$N$150,"")</f>
        <v/>
      </c>
      <c r="AC144" s="164" t="str">
        <f>IF(N('01_Stations'!$N$151)&gt;0,'01_Stations'!$N$151,"")</f>
        <v/>
      </c>
      <c r="AD144" s="164" t="str">
        <f>IF(N('01_Stations'!$N$152)&gt;0,'01_Stations'!$N$152,"")</f>
        <v/>
      </c>
      <c r="AE144" s="164" t="str">
        <f>IF(N('01_Stations'!$N$153)&gt;0,'01_Stations'!$N$153,"")</f>
        <v/>
      </c>
      <c r="AF144" s="164" t="str">
        <f>IF(N('01_Stations'!$N$154)&gt;0,'01_Stations'!$N$154,"")</f>
        <v/>
      </c>
      <c r="AG144" s="164" t="str">
        <f>IF(N('01_Stations'!$N$155)&gt;0,'01_Stations'!$N$155,"")</f>
        <v/>
      </c>
      <c r="AH144" s="164" t="str">
        <f>IF(N('01_Stations'!$N$156)&gt;0,'01_Stations'!$N$156,"")</f>
        <v/>
      </c>
      <c r="AI144" s="164" t="str">
        <f>IF(N('01_Stations'!$N$157)&gt;0,'01_Stations'!$N$157,"")</f>
        <v/>
      </c>
      <c r="AJ144" s="164" t="str">
        <f>IF(N('01_Stations'!$N$158)&gt;0,'01_Stations'!$N$158,"")</f>
        <v/>
      </c>
      <c r="AK144" s="164" t="str">
        <f>IF(N('01_Stations'!$N$159)&gt;0,'01_Stations'!$N$159,"")</f>
        <v/>
      </c>
      <c r="AL144" s="164" t="str">
        <f>IF(N('01_Stations'!$N$160)&gt;0,'01_Stations'!$N$160,"")</f>
        <v/>
      </c>
      <c r="AM144" s="164" t="str">
        <f>IF(N('01_Stations'!$N$161)&gt;0,'01_Stations'!$N$161,"")</f>
        <v/>
      </c>
      <c r="AN144" s="164" t="str">
        <f>IF(N('01_Stations'!$N$162)&gt;0,'01_Stations'!$N$162,"")</f>
        <v/>
      </c>
      <c r="AO144" s="164" t="str">
        <f>IF(N('01_Stations'!$N$163)&gt;0,'01_Stations'!$N$163,"")</f>
        <v/>
      </c>
      <c r="AP144" s="164" t="str">
        <f>IF(N('01_Stations'!$N$164)&gt;0,'01_Stations'!$N$164,"")</f>
        <v/>
      </c>
      <c r="AQ144" s="164" t="str">
        <f>IF(N('01_Stations'!$N$165)&gt;0,'01_Stations'!$N$165,"")</f>
        <v/>
      </c>
    </row>
    <row r="145" spans="1:43" ht="15" customHeight="1" x14ac:dyDescent="0.3">
      <c r="A145" s="237"/>
      <c r="B145" s="165" t="s">
        <v>2209</v>
      </c>
      <c r="C145" s="166" t="s">
        <v>301</v>
      </c>
      <c r="D145" s="164" t="str">
        <f>IF(N('01_Stations'!$O$126)&gt;0,'01_Stations'!$O$126,"")</f>
        <v/>
      </c>
      <c r="E145" s="164" t="str">
        <f>IF(N('01_Stations'!$O$127)&gt;0,'01_Stations'!$O$127,"")</f>
        <v/>
      </c>
      <c r="F145" s="164" t="str">
        <f>IF(N('01_Stations'!$O$128)&gt;0,'01_Stations'!$O$128,"")</f>
        <v/>
      </c>
      <c r="G145" s="164" t="str">
        <f>IF(N('01_Stations'!$O$129)&gt;0,'01_Stations'!$O$129,"")</f>
        <v/>
      </c>
      <c r="H145" s="164" t="str">
        <f>IF(N('01_Stations'!$O$130)&gt;0,'01_Stations'!$O$130,"")</f>
        <v/>
      </c>
      <c r="I145" s="164" t="str">
        <f>IF(N('01_Stations'!$O$131)&gt;0,'01_Stations'!$O$131,"")</f>
        <v/>
      </c>
      <c r="J145" s="164" t="str">
        <f>IF(N('01_Stations'!$O$132)&gt;0,'01_Stations'!$O$132,"")</f>
        <v/>
      </c>
      <c r="K145" s="164" t="str">
        <f>IF(N('01_Stations'!$O$133)&gt;0,'01_Stations'!$O$133,"")</f>
        <v/>
      </c>
      <c r="L145" s="164" t="str">
        <f>IF(N('01_Stations'!$O$134)&gt;0,'01_Stations'!$O$134,"")</f>
        <v/>
      </c>
      <c r="M145" s="164" t="str">
        <f>IF(N('01_Stations'!$O$135)&gt;0,'01_Stations'!$O$135,"")</f>
        <v/>
      </c>
      <c r="N145" s="164" t="str">
        <f>IF(N('01_Stations'!$O$136)&gt;0,'01_Stations'!$O$136,"")</f>
        <v/>
      </c>
      <c r="O145" s="164" t="str">
        <f>IF(N('01_Stations'!$O$137)&gt;0,'01_Stations'!$O$137,"")</f>
        <v/>
      </c>
      <c r="P145" s="164" t="str">
        <f>IF(N('01_Stations'!$O$138)&gt;0,'01_Stations'!$O$138,"")</f>
        <v/>
      </c>
      <c r="Q145" s="164" t="str">
        <f>IF(N('01_Stations'!$O$139)&gt;0,'01_Stations'!$O$139,"")</f>
        <v/>
      </c>
      <c r="R145" s="164" t="str">
        <f>IF(N('01_Stations'!$O$140)&gt;0,'01_Stations'!$O$140,"")</f>
        <v/>
      </c>
      <c r="S145" s="164" t="str">
        <f>IF(N('01_Stations'!$O$141)&gt;0,'01_Stations'!$O$141,"")</f>
        <v/>
      </c>
      <c r="T145" s="164" t="str">
        <f>IF(N('01_Stations'!$O$142)&gt;0,'01_Stations'!$O$142,"")</f>
        <v/>
      </c>
      <c r="U145" s="164" t="str">
        <f>IF(N('01_Stations'!$O$143)&gt;0,'01_Stations'!$O$143,"")</f>
        <v/>
      </c>
      <c r="V145" s="164" t="str">
        <f>IF(N('01_Stations'!$O$144)&gt;0,'01_Stations'!$O$144,"")</f>
        <v/>
      </c>
      <c r="W145" s="164" t="str">
        <f>IF(N('01_Stations'!$O$145)&gt;0,'01_Stations'!$O$145,"")</f>
        <v/>
      </c>
      <c r="X145" s="164" t="str">
        <f>IF(N('01_Stations'!$O$146)&gt;0,'01_Stations'!$O$146,"")</f>
        <v/>
      </c>
      <c r="Y145" s="164" t="str">
        <f>IF(N('01_Stations'!$O$147)&gt;0,'01_Stations'!$O$147,"")</f>
        <v/>
      </c>
      <c r="Z145" s="164" t="str">
        <f>IF(N('01_Stations'!$O$148)&gt;0,'01_Stations'!$O$148,"")</f>
        <v/>
      </c>
      <c r="AA145" s="164" t="str">
        <f>IF(N('01_Stations'!$O$149)&gt;0,'01_Stations'!$O$149,"")</f>
        <v/>
      </c>
      <c r="AB145" s="164" t="str">
        <f>IF(N('01_Stations'!$O$150)&gt;0,'01_Stations'!$O$150,"")</f>
        <v/>
      </c>
      <c r="AC145" s="164" t="str">
        <f>IF(N('01_Stations'!$O$151)&gt;0,'01_Stations'!$O$151,"")</f>
        <v/>
      </c>
      <c r="AD145" s="164" t="str">
        <f>IF(N('01_Stations'!$O$152)&gt;0,'01_Stations'!$O$152,"")</f>
        <v/>
      </c>
      <c r="AE145" s="164" t="str">
        <f>IF(N('01_Stations'!$O$153)&gt;0,'01_Stations'!$O$153,"")</f>
        <v/>
      </c>
      <c r="AF145" s="164" t="str">
        <f>IF(N('01_Stations'!$O$154)&gt;0,'01_Stations'!$O$154,"")</f>
        <v/>
      </c>
      <c r="AG145" s="164" t="str">
        <f>IF(N('01_Stations'!$O$155)&gt;0,'01_Stations'!$O$155,"")</f>
        <v/>
      </c>
      <c r="AH145" s="164" t="str">
        <f>IF(N('01_Stations'!$O$156)&gt;0,'01_Stations'!$O$156,"")</f>
        <v/>
      </c>
      <c r="AI145" s="164" t="str">
        <f>IF(N('01_Stations'!$O$157)&gt;0,'01_Stations'!$O$157,"")</f>
        <v/>
      </c>
      <c r="AJ145" s="164" t="str">
        <f>IF(N('01_Stations'!$O$158)&gt;0,'01_Stations'!$O$158,"")</f>
        <v/>
      </c>
      <c r="AK145" s="164" t="str">
        <f>IF(N('01_Stations'!$O$159)&gt;0,'01_Stations'!$O$159,"")</f>
        <v/>
      </c>
      <c r="AL145" s="164" t="str">
        <f>IF(N('01_Stations'!$O$160)&gt;0,'01_Stations'!$O$160,"")</f>
        <v/>
      </c>
      <c r="AM145" s="164" t="str">
        <f>IF(N('01_Stations'!$O$161)&gt;0,'01_Stations'!$O$161,"")</f>
        <v/>
      </c>
      <c r="AN145" s="164" t="str">
        <f>IF(N('01_Stations'!$O$162)&gt;0,'01_Stations'!$O$162,"")</f>
        <v/>
      </c>
      <c r="AO145" s="164" t="str">
        <f>IF(N('01_Stations'!$O$163)&gt;0,'01_Stations'!$O$163,"")</f>
        <v/>
      </c>
      <c r="AP145" s="164" t="str">
        <f>IF(N('01_Stations'!$O$164)&gt;0,'01_Stations'!$O$164,"")</f>
        <v/>
      </c>
      <c r="AQ145" s="164" t="str">
        <f>IF(N('01_Stations'!$O$165)&gt;0,'01_Stations'!$O$165,"")</f>
        <v/>
      </c>
    </row>
    <row r="146" spans="1:43" ht="15" customHeight="1" x14ac:dyDescent="0.3">
      <c r="A146" s="238" t="s">
        <v>2210</v>
      </c>
      <c r="B146" s="165" t="s">
        <v>2211</v>
      </c>
      <c r="C146" s="166" t="s">
        <v>1622</v>
      </c>
      <c r="D146" s="164" t="str">
        <f>IF('01_Stations'!$P$126="","",'01_Stations'!$P$126)</f>
        <v/>
      </c>
      <c r="E146" s="164" t="str">
        <f>IF('01_Stations'!$P$127="","",'01_Stations'!$P$127)</f>
        <v/>
      </c>
      <c r="F146" s="164" t="str">
        <f>IF('01_Stations'!$P$128="","",'01_Stations'!$P$128)</f>
        <v/>
      </c>
      <c r="G146" s="164" t="str">
        <f>IF('01_Stations'!$P$129="","",'01_Stations'!$P$129)</f>
        <v/>
      </c>
      <c r="H146" s="164" t="str">
        <f>IF('01_Stations'!$P$130="","",'01_Stations'!$P$130)</f>
        <v/>
      </c>
      <c r="I146" s="164" t="str">
        <f>IF('01_Stations'!$P$131="","",'01_Stations'!$P$131)</f>
        <v/>
      </c>
      <c r="J146" s="164" t="str">
        <f>IF('01_Stations'!$P$132="","",'01_Stations'!$P$132)</f>
        <v/>
      </c>
      <c r="K146" s="164" t="str">
        <f>IF('01_Stations'!$P$133="","",'01_Stations'!$P$133)</f>
        <v/>
      </c>
      <c r="L146" s="164" t="str">
        <f>IF('01_Stations'!$P$134="","",'01_Stations'!$P$134)</f>
        <v/>
      </c>
      <c r="M146" s="164" t="str">
        <f>IF('01_Stations'!$P$135="","",'01_Stations'!$P$135)</f>
        <v/>
      </c>
      <c r="N146" s="164" t="str">
        <f>IF('01_Stations'!$P$136="","",'01_Stations'!$P$136)</f>
        <v/>
      </c>
      <c r="O146" s="164" t="str">
        <f>IF('01_Stations'!$P$137="","",'01_Stations'!$P$137)</f>
        <v/>
      </c>
      <c r="P146" s="164" t="str">
        <f>IF('01_Stations'!$P$138="","",'01_Stations'!$P$138)</f>
        <v/>
      </c>
      <c r="Q146" s="164" t="str">
        <f>IF('01_Stations'!$P$139="","",'01_Stations'!$P$139)</f>
        <v/>
      </c>
      <c r="R146" s="164" t="str">
        <f>IF('01_Stations'!$P$140="","",'01_Stations'!$P$140)</f>
        <v/>
      </c>
      <c r="S146" s="164" t="str">
        <f>IF('01_Stations'!$P$141="","",'01_Stations'!$P$141)</f>
        <v/>
      </c>
      <c r="T146" s="164" t="str">
        <f>IF('01_Stations'!$P$142="","",'01_Stations'!$P$142)</f>
        <v/>
      </c>
      <c r="U146" s="164" t="str">
        <f>IF('01_Stations'!$P$143="","",'01_Stations'!$P$143)</f>
        <v/>
      </c>
      <c r="V146" s="164" t="str">
        <f>IF('01_Stations'!$P$144="","",'01_Stations'!$P$144)</f>
        <v/>
      </c>
      <c r="W146" s="164" t="str">
        <f>IF('01_Stations'!$P$145="","",'01_Stations'!$P$145)</f>
        <v/>
      </c>
      <c r="X146" s="164" t="str">
        <f>IF('01_Stations'!$P$146="","",'01_Stations'!$P$146)</f>
        <v/>
      </c>
      <c r="Y146" s="164" t="str">
        <f>IF('01_Stations'!$P$147="","",'01_Stations'!$P$147)</f>
        <v/>
      </c>
      <c r="Z146" s="164" t="str">
        <f>IF('01_Stations'!$P$148="","",'01_Stations'!$P$148)</f>
        <v/>
      </c>
      <c r="AA146" s="164" t="str">
        <f>IF('01_Stations'!$P$149="","",'01_Stations'!$P$149)</f>
        <v/>
      </c>
      <c r="AB146" s="164" t="str">
        <f>IF('01_Stations'!$P$150="","",'01_Stations'!$P$150)</f>
        <v/>
      </c>
      <c r="AC146" s="164" t="str">
        <f>IF('01_Stations'!$P$151="","",'01_Stations'!$P$151)</f>
        <v/>
      </c>
      <c r="AD146" s="164" t="str">
        <f>IF('01_Stations'!$P$152="","",'01_Stations'!$P$152)</f>
        <v/>
      </c>
      <c r="AE146" s="164" t="str">
        <f>IF('01_Stations'!$P$153="","",'01_Stations'!$P$153)</f>
        <v/>
      </c>
      <c r="AF146" s="164" t="str">
        <f>IF('01_Stations'!$P$154="","",'01_Stations'!$P$154)</f>
        <v/>
      </c>
      <c r="AG146" s="164" t="str">
        <f>IF('01_Stations'!$P$155="","",'01_Stations'!$P$155)</f>
        <v/>
      </c>
      <c r="AH146" s="164" t="str">
        <f>IF('01_Stations'!$P$156="","",'01_Stations'!$P$156)</f>
        <v/>
      </c>
      <c r="AI146" s="164" t="str">
        <f>IF('01_Stations'!$P$157="","",'01_Stations'!$P$157)</f>
        <v/>
      </c>
      <c r="AJ146" s="164" t="str">
        <f>IF('01_Stations'!$P$158="","",'01_Stations'!$P$158)</f>
        <v/>
      </c>
      <c r="AK146" s="164" t="str">
        <f>IF('01_Stations'!$P$159="","",'01_Stations'!$P$159)</f>
        <v/>
      </c>
      <c r="AL146" s="164" t="str">
        <f>IF('01_Stations'!$P$160="","",'01_Stations'!$P$160)</f>
        <v/>
      </c>
      <c r="AM146" s="164" t="str">
        <f>IF('01_Stations'!$P$161="","",'01_Stations'!$P$161)</f>
        <v/>
      </c>
      <c r="AN146" s="164" t="str">
        <f>IF('01_Stations'!$P$162="","",'01_Stations'!$P$162)</f>
        <v/>
      </c>
      <c r="AO146" s="164" t="str">
        <f>IF('01_Stations'!$P$163="","",'01_Stations'!$P$163)</f>
        <v/>
      </c>
      <c r="AP146" s="164" t="str">
        <f>IF('01_Stations'!$P$164="","",'01_Stations'!$P$164)</f>
        <v/>
      </c>
      <c r="AQ146" s="164" t="str">
        <f>IF('01_Stations'!$P$165="","",'01_Stations'!$P$165)</f>
        <v/>
      </c>
    </row>
    <row r="147" spans="1:43" ht="15" customHeight="1" x14ac:dyDescent="0.3">
      <c r="A147" s="236"/>
      <c r="B147" s="165"/>
      <c r="C147" s="166" t="s">
        <v>2212</v>
      </c>
      <c r="D147" s="164" t="str">
        <f>IF('01_Stations'!$Q$126="","",'01_Stations'!$Q$126)</f>
        <v/>
      </c>
      <c r="E147" s="164" t="str">
        <f>IF('01_Stations'!$Q$127="","",'01_Stations'!$Q$127)</f>
        <v/>
      </c>
      <c r="F147" s="164" t="str">
        <f>IF('01_Stations'!$Q$128="","",'01_Stations'!$Q$128)</f>
        <v/>
      </c>
      <c r="G147" s="164" t="str">
        <f>IF('01_Stations'!$Q$129="","",'01_Stations'!$Q$129)</f>
        <v/>
      </c>
      <c r="H147" s="164" t="str">
        <f>IF('01_Stations'!$Q$130="","",'01_Stations'!$Q$130)</f>
        <v/>
      </c>
      <c r="I147" s="164" t="str">
        <f>IF('01_Stations'!$Q$131="","",'01_Stations'!$Q$131)</f>
        <v/>
      </c>
      <c r="J147" s="164" t="str">
        <f>IF('01_Stations'!$Q$132="","",'01_Stations'!$Q$132)</f>
        <v/>
      </c>
      <c r="K147" s="164" t="str">
        <f>IF('01_Stations'!$Q$133="","",'01_Stations'!$Q$133)</f>
        <v/>
      </c>
      <c r="L147" s="164" t="str">
        <f>IF('01_Stations'!$Q$134="","",'01_Stations'!$Q$134)</f>
        <v/>
      </c>
      <c r="M147" s="164" t="str">
        <f>IF('01_Stations'!$Q$135="","",'01_Stations'!$Q$135)</f>
        <v/>
      </c>
      <c r="N147" s="164" t="str">
        <f>IF('01_Stations'!$Q$136="","",'01_Stations'!$Q$136)</f>
        <v/>
      </c>
      <c r="O147" s="164" t="str">
        <f>IF('01_Stations'!$Q$137="","",'01_Stations'!$Q$137)</f>
        <v/>
      </c>
      <c r="P147" s="164" t="str">
        <f>IF('01_Stations'!$Q$138="","",'01_Stations'!$Q$138)</f>
        <v/>
      </c>
      <c r="Q147" s="164" t="str">
        <f>IF('01_Stations'!$Q$139="","",'01_Stations'!$Q$139)</f>
        <v/>
      </c>
      <c r="R147" s="164" t="str">
        <f>IF('01_Stations'!$Q$140="","",'01_Stations'!$Q$140)</f>
        <v/>
      </c>
      <c r="S147" s="164" t="str">
        <f>IF('01_Stations'!$Q$141="","",'01_Stations'!$Q$141)</f>
        <v/>
      </c>
      <c r="T147" s="164" t="str">
        <f>IF('01_Stations'!$Q$142="","",'01_Stations'!$Q$142)</f>
        <v/>
      </c>
      <c r="U147" s="164" t="str">
        <f>IF('01_Stations'!$Q$143="","",'01_Stations'!$Q$143)</f>
        <v/>
      </c>
      <c r="V147" s="164" t="str">
        <f>IF('01_Stations'!$Q$144="","",'01_Stations'!$Q$144)</f>
        <v/>
      </c>
      <c r="W147" s="164" t="str">
        <f>IF('01_Stations'!$Q$145="","",'01_Stations'!$Q$145)</f>
        <v/>
      </c>
      <c r="X147" s="164" t="str">
        <f>IF('01_Stations'!$Q$146="","",'01_Stations'!$Q$146)</f>
        <v/>
      </c>
      <c r="Y147" s="164" t="str">
        <f>IF('01_Stations'!$Q$147="","",'01_Stations'!$Q$147)</f>
        <v/>
      </c>
      <c r="Z147" s="164" t="str">
        <f>IF('01_Stations'!$Q$148="","",'01_Stations'!$Q$148)</f>
        <v/>
      </c>
      <c r="AA147" s="164" t="str">
        <f>IF('01_Stations'!$Q$149="","",'01_Stations'!$Q$149)</f>
        <v/>
      </c>
      <c r="AB147" s="164" t="str">
        <f>IF('01_Stations'!$Q$150="","",'01_Stations'!$Q$150)</f>
        <v/>
      </c>
      <c r="AC147" s="164" t="str">
        <f>IF('01_Stations'!$Q$151="","",'01_Stations'!$Q$151)</f>
        <v/>
      </c>
      <c r="AD147" s="164" t="str">
        <f>IF('01_Stations'!$Q$152="","",'01_Stations'!$Q$152)</f>
        <v/>
      </c>
      <c r="AE147" s="164" t="str">
        <f>IF('01_Stations'!$Q$153="","",'01_Stations'!$Q$153)</f>
        <v/>
      </c>
      <c r="AF147" s="164" t="str">
        <f>IF('01_Stations'!$Q$154="","",'01_Stations'!$Q$154)</f>
        <v/>
      </c>
      <c r="AG147" s="164" t="str">
        <f>IF('01_Stations'!$Q$155="","",'01_Stations'!$Q$155)</f>
        <v/>
      </c>
      <c r="AH147" s="164" t="str">
        <f>IF('01_Stations'!$Q$156="","",'01_Stations'!$Q$156)</f>
        <v/>
      </c>
      <c r="AI147" s="164" t="str">
        <f>IF('01_Stations'!$Q$157="","",'01_Stations'!$Q$157)</f>
        <v/>
      </c>
      <c r="AJ147" s="164" t="str">
        <f>IF('01_Stations'!$Q$158="","",'01_Stations'!$Q$158)</f>
        <v/>
      </c>
      <c r="AK147" s="164" t="str">
        <f>IF('01_Stations'!$Q$159="","",'01_Stations'!$Q$159)</f>
        <v/>
      </c>
      <c r="AL147" s="164" t="str">
        <f>IF('01_Stations'!$Q$160="","",'01_Stations'!$Q$160)</f>
        <v/>
      </c>
      <c r="AM147" s="164" t="str">
        <f>IF('01_Stations'!$Q$161="","",'01_Stations'!$Q$161)</f>
        <v/>
      </c>
      <c r="AN147" s="164" t="str">
        <f>IF('01_Stations'!$Q$162="","",'01_Stations'!$Q$162)</f>
        <v/>
      </c>
      <c r="AO147" s="164" t="str">
        <f>IF('01_Stations'!$Q$163="","",'01_Stations'!$Q$163)</f>
        <v/>
      </c>
      <c r="AP147" s="164" t="str">
        <f>IF('01_Stations'!$Q$164="","",'01_Stations'!$Q$164)</f>
        <v/>
      </c>
      <c r="AQ147" s="164" t="str">
        <f>IF('01_Stations'!$Q$165="","",'01_Stations'!$Q$165)</f>
        <v/>
      </c>
    </row>
    <row r="148" spans="1:43" ht="15" customHeight="1" x14ac:dyDescent="0.3">
      <c r="A148" s="236"/>
      <c r="B148" s="165" t="s">
        <v>2213</v>
      </c>
      <c r="C148" s="166"/>
      <c r="D148" s="164" t="str">
        <f>IF('01_Stations'!$R$126=1,"ϰ",IF('01_Stations'!$R$126=2,"І",IF('01_Stations'!$R$126=3,"╦","")))</f>
        <v/>
      </c>
      <c r="E148" s="164" t="str">
        <f>IF('01_Stations'!$R$127=1,"ϰ",IF('01_Stations'!$R$127=2,"І",IF('01_Stations'!$R$127=3,"╦","")))</f>
        <v/>
      </c>
      <c r="F148" s="164" t="str">
        <f>IF('01_Stations'!$R$128=1,"ϰ",IF('01_Stations'!$R$128=2,"І",IF('01_Stations'!$R$128=3,"╦","")))</f>
        <v/>
      </c>
      <c r="G148" s="164" t="str">
        <f>IF('01_Stations'!$R$129=1,"ϰ",IF('01_Stations'!$R$129=2,"І",IF('01_Stations'!$R$129=3,"╦","")))</f>
        <v/>
      </c>
      <c r="H148" s="164" t="str">
        <f>IF('01_Stations'!$R$130=1,"ϰ",IF('01_Stations'!$R$130=2,"І",IF('01_Stations'!$R$130=3,"╦","")))</f>
        <v/>
      </c>
      <c r="I148" s="164" t="str">
        <f>IF('01_Stations'!$R$131=1,"ϰ",IF('01_Stations'!$R$131=2,"І",IF('01_Stations'!$R$131=3,"╦","")))</f>
        <v/>
      </c>
      <c r="J148" s="164" t="str">
        <f>IF('01_Stations'!$R$132=1,"ϰ",IF('01_Stations'!$R$132=2,"І",IF('01_Stations'!$R$132=3,"╦","")))</f>
        <v/>
      </c>
      <c r="K148" s="164" t="str">
        <f>IF('01_Stations'!$R$133=1,"ϰ",IF('01_Stations'!$R$133=2,"І",IF('01_Stations'!$R$133=3,"╦","")))</f>
        <v/>
      </c>
      <c r="L148" s="164" t="str">
        <f>IF('01_Stations'!$R$134=1,"ϰ",IF('01_Stations'!$R$134=2,"І",IF('01_Stations'!$R$134=3,"╦","")))</f>
        <v/>
      </c>
      <c r="M148" s="164" t="str">
        <f>IF('01_Stations'!$R$135=1,"ϰ",IF('01_Stations'!$R$135=2,"І",IF('01_Stations'!$R$135=3,"╦","")))</f>
        <v/>
      </c>
      <c r="N148" s="164" t="str">
        <f>IF('01_Stations'!$R$136=1,"ϰ",IF('01_Stations'!$R$136=2,"І",IF('01_Stations'!$R$136=3,"╦","")))</f>
        <v/>
      </c>
      <c r="O148" s="164" t="str">
        <f>IF('01_Stations'!$R$137=1,"ϰ",IF('01_Stations'!$R$137=2,"І",IF('01_Stations'!$R$137=3,"╦","")))</f>
        <v/>
      </c>
      <c r="P148" s="164" t="str">
        <f>IF('01_Stations'!$R$138=1,"ϰ",IF('01_Stations'!$R$138=2,"І",IF('01_Stations'!$R$138=3,"╦","")))</f>
        <v/>
      </c>
      <c r="Q148" s="164" t="str">
        <f>IF('01_Stations'!$R$139=1,"ϰ",IF('01_Stations'!$R$139=2,"І",IF('01_Stations'!$R$139=3,"╦","")))</f>
        <v/>
      </c>
      <c r="R148" s="164" t="str">
        <f>IF('01_Stations'!$R$140=1,"ϰ",IF('01_Stations'!$R$140=2,"І",IF('01_Stations'!$R$140=3,"╦","")))</f>
        <v/>
      </c>
      <c r="S148" s="164" t="str">
        <f>IF('01_Stations'!$R$141=1,"ϰ",IF('01_Stations'!$R$141=2,"І",IF('01_Stations'!$R$141=3,"╦","")))</f>
        <v/>
      </c>
      <c r="T148" s="164" t="str">
        <f>IF('01_Stations'!$R$142=1,"ϰ",IF('01_Stations'!$R$142=2,"І",IF('01_Stations'!$R$142=3,"╦","")))</f>
        <v/>
      </c>
      <c r="U148" s="164" t="str">
        <f>IF('01_Stations'!$R$143=1,"ϰ",IF('01_Stations'!$R$143=2,"І",IF('01_Stations'!$R$143=3,"╦","")))</f>
        <v/>
      </c>
      <c r="V148" s="164" t="str">
        <f>IF('01_Stations'!$R$144=1,"ϰ",IF('01_Stations'!$R$144=2,"І",IF('01_Stations'!$R$144=3,"╦","")))</f>
        <v/>
      </c>
      <c r="W148" s="164" t="str">
        <f>IF('01_Stations'!$R$145=1,"ϰ",IF('01_Stations'!$R$145=2,"І",IF('01_Stations'!$R$145=3,"╦","")))</f>
        <v/>
      </c>
      <c r="X148" s="164" t="str">
        <f>IF('01_Stations'!$R$146=1,"ϰ",IF('01_Stations'!$R$146=2,"І",IF('01_Stations'!$R$146=3,"╦","")))</f>
        <v/>
      </c>
      <c r="Y148" s="164" t="str">
        <f>IF('01_Stations'!$R$147=1,"ϰ",IF('01_Stations'!$R$147=2,"І",IF('01_Stations'!$R$147=3,"╦","")))</f>
        <v/>
      </c>
      <c r="Z148" s="164" t="str">
        <f>IF('01_Stations'!$R$148=1,"ϰ",IF('01_Stations'!$R$148=2,"І",IF('01_Stations'!$R$148=3,"╦","")))</f>
        <v/>
      </c>
      <c r="AA148" s="164" t="str">
        <f>IF('01_Stations'!$R$149=1,"ϰ",IF('01_Stations'!$R$149=2,"І",IF('01_Stations'!$R$149=3,"╦","")))</f>
        <v/>
      </c>
      <c r="AB148" s="164" t="str">
        <f>IF('01_Stations'!$R$150=1,"ϰ",IF('01_Stations'!$R$150=2,"І",IF('01_Stations'!$R$150=3,"╦","")))</f>
        <v/>
      </c>
      <c r="AC148" s="164" t="str">
        <f>IF('01_Stations'!$R$151=1,"ϰ",IF('01_Stations'!$R$151=2,"І",IF('01_Stations'!$R$151=3,"╦","")))</f>
        <v/>
      </c>
      <c r="AD148" s="164" t="str">
        <f>IF('01_Stations'!$R$152=1,"ϰ",IF('01_Stations'!$R$152=2,"І",IF('01_Stations'!$R$152=3,"╦","")))</f>
        <v/>
      </c>
      <c r="AE148" s="164" t="str">
        <f>IF('01_Stations'!$R$153=1,"ϰ",IF('01_Stations'!$R$153=2,"І",IF('01_Stations'!$R$153=3,"╦","")))</f>
        <v/>
      </c>
      <c r="AF148" s="164" t="str">
        <f>IF('01_Stations'!$R$154=1,"ϰ",IF('01_Stations'!$R$154=2,"І",IF('01_Stations'!$R$154=3,"╦","")))</f>
        <v/>
      </c>
      <c r="AG148" s="164" t="str">
        <f>IF('01_Stations'!$R$155=1,"ϰ",IF('01_Stations'!$R$155=2,"І",IF('01_Stations'!$R$155=3,"╦","")))</f>
        <v/>
      </c>
      <c r="AH148" s="164" t="str">
        <f>IF('01_Stations'!$R$156=1,"ϰ",IF('01_Stations'!$R$156=2,"І",IF('01_Stations'!$R$156=3,"╦","")))</f>
        <v/>
      </c>
      <c r="AI148" s="164" t="str">
        <f>IF('01_Stations'!$R$157=1,"ϰ",IF('01_Stations'!$R$157=2,"І",IF('01_Stations'!$R$157=3,"╦","")))</f>
        <v/>
      </c>
      <c r="AJ148" s="164" t="str">
        <f>IF('01_Stations'!$R$158=1,"ϰ",IF('01_Stations'!$R$158=2,"І",IF('01_Stations'!$R$158=3,"╦","")))</f>
        <v/>
      </c>
      <c r="AK148" s="164" t="str">
        <f>IF('01_Stations'!$R$159=1,"ϰ",IF('01_Stations'!$R$159=2,"І",IF('01_Stations'!$R$159=3,"╦","")))</f>
        <v/>
      </c>
      <c r="AL148" s="164" t="str">
        <f>IF('01_Stations'!$R$160=1,"ϰ",IF('01_Stations'!$R$160=2,"І",IF('01_Stations'!$R$160=3,"╦","")))</f>
        <v/>
      </c>
      <c r="AM148" s="164" t="str">
        <f>IF('01_Stations'!$R$161=1,"ϰ",IF('01_Stations'!$R$161=2,"І",IF('01_Stations'!$R$161=3,"╦","")))</f>
        <v/>
      </c>
      <c r="AN148" s="164" t="str">
        <f>IF('01_Stations'!$R$162=1,"ϰ",IF('01_Stations'!$R$162=2,"І",IF('01_Stations'!$R$162=3,"╦","")))</f>
        <v/>
      </c>
      <c r="AO148" s="164" t="str">
        <f>IF('01_Stations'!$R$163=1,"ϰ",IF('01_Stations'!$R$163=2,"І",IF('01_Stations'!$R$163=3,"╦","")))</f>
        <v/>
      </c>
      <c r="AP148" s="164" t="str">
        <f>IF('01_Stations'!$R$164=1,"ϰ",IF('01_Stations'!$R$164=2,"І",IF('01_Stations'!$R$164=3,"╦","")))</f>
        <v/>
      </c>
      <c r="AQ148" s="164" t="str">
        <f>IF('01_Stations'!$R$165=1,"ϰ",IF('01_Stations'!$R$165=2,"І",IF('01_Stations'!$R$165=3,"╦","")))</f>
        <v/>
      </c>
    </row>
    <row r="149" spans="1:43" ht="15" customHeight="1" x14ac:dyDescent="0.3">
      <c r="A149" s="236"/>
      <c r="B149" s="165" t="s">
        <v>2214</v>
      </c>
      <c r="C149" s="166"/>
      <c r="D149" s="164" t="str">
        <f>IF('01_Stations'!$S$126=1,"Ӂ",IF('01_Stations'!$S$126=2,"Җ",""))</f>
        <v/>
      </c>
      <c r="E149" s="164" t="str">
        <f>IF('01_Stations'!$S$127=1,"Ӂ",IF('01_Stations'!$S$127=2,"Җ",""))</f>
        <v/>
      </c>
      <c r="F149" s="164" t="str">
        <f>IF('01_Stations'!$S$128=1,"Ӂ",IF('01_Stations'!$S$128=2,"Җ",""))</f>
        <v/>
      </c>
      <c r="G149" s="164" t="str">
        <f>IF('01_Stations'!$S$129=1,"Ӂ",IF('01_Stations'!$S$129=2,"Җ",""))</f>
        <v/>
      </c>
      <c r="H149" s="164" t="str">
        <f>IF('01_Stations'!$S$130=1,"Ӂ",IF('01_Stations'!$S$130=2,"Җ",""))</f>
        <v/>
      </c>
      <c r="I149" s="164" t="str">
        <f>IF('01_Stations'!$S$131=1,"Ӂ",IF('01_Stations'!$S$131=2,"Җ",""))</f>
        <v/>
      </c>
      <c r="J149" s="164" t="str">
        <f>IF('01_Stations'!$S$132=1,"Ӂ",IF('01_Stations'!$S$132=2,"Җ",""))</f>
        <v/>
      </c>
      <c r="K149" s="164" t="str">
        <f>IF('01_Stations'!$S$133=1,"Ӂ",IF('01_Stations'!$S$133=2,"Җ",""))</f>
        <v/>
      </c>
      <c r="L149" s="164" t="str">
        <f>IF('01_Stations'!$S$134=1,"Ӂ",IF('01_Stations'!$S$134=2,"Җ",""))</f>
        <v/>
      </c>
      <c r="M149" s="164" t="str">
        <f>IF('01_Stations'!$S$135=1,"Ӂ",IF('01_Stations'!$S$135=2,"Җ",""))</f>
        <v/>
      </c>
      <c r="N149" s="164" t="str">
        <f>IF('01_Stations'!$S$136=1,"Ӂ",IF('01_Stations'!$S$136=2,"Җ",""))</f>
        <v/>
      </c>
      <c r="O149" s="164" t="str">
        <f>IF('01_Stations'!$S$137=1,"Ӂ",IF('01_Stations'!$S$137=2,"Җ",""))</f>
        <v/>
      </c>
      <c r="P149" s="164" t="str">
        <f>IF('01_Stations'!$S$138=1,"Ӂ",IF('01_Stations'!$S$138=2,"Җ",""))</f>
        <v/>
      </c>
      <c r="Q149" s="164" t="str">
        <f>IF('01_Stations'!$S$139=1,"Ӂ",IF('01_Stations'!$S$139=2,"Җ",""))</f>
        <v/>
      </c>
      <c r="R149" s="164" t="str">
        <f>IF('01_Stations'!$S$140=1,"Ӂ",IF('01_Stations'!$S$140=2,"Җ",""))</f>
        <v/>
      </c>
      <c r="S149" s="164" t="str">
        <f>IF('01_Stations'!$S$141=1,"Ӂ",IF('01_Stations'!$S$141=2,"Җ",""))</f>
        <v/>
      </c>
      <c r="T149" s="164" t="str">
        <f>IF('01_Stations'!$S$142=1,"Ӂ",IF('01_Stations'!$S$142=2,"Җ",""))</f>
        <v/>
      </c>
      <c r="U149" s="164" t="str">
        <f>IF('01_Stations'!$S$143=1,"Ӂ",IF('01_Stations'!$S$143=2,"Җ",""))</f>
        <v/>
      </c>
      <c r="V149" s="164" t="str">
        <f>IF('01_Stations'!$S$144=1,"Ӂ",IF('01_Stations'!$S$144=2,"Җ",""))</f>
        <v/>
      </c>
      <c r="W149" s="164" t="str">
        <f>IF('01_Stations'!$S$145=1,"Ӂ",IF('01_Stations'!$S$145=2,"Җ",""))</f>
        <v/>
      </c>
      <c r="X149" s="164" t="str">
        <f>IF('01_Stations'!$S$146=1,"Ӂ",IF('01_Stations'!$S$146=2,"Җ",""))</f>
        <v/>
      </c>
      <c r="Y149" s="164" t="str">
        <f>IF('01_Stations'!$S$147=1,"Ӂ",IF('01_Stations'!$S$147=2,"Җ",""))</f>
        <v/>
      </c>
      <c r="Z149" s="164" t="str">
        <f>IF('01_Stations'!$S$148=1,"Ӂ",IF('01_Stations'!$S$148=2,"Җ",""))</f>
        <v/>
      </c>
      <c r="AA149" s="164" t="str">
        <f>IF('01_Stations'!$S$149=1,"Ӂ",IF('01_Stations'!$S$149=2,"Җ",""))</f>
        <v/>
      </c>
      <c r="AB149" s="164" t="str">
        <f>IF('01_Stations'!$S$150=1,"Ӂ",IF('01_Stations'!$S$150=2,"Җ",""))</f>
        <v/>
      </c>
      <c r="AC149" s="164" t="str">
        <f>IF('01_Stations'!$S$151=1,"Ӂ",IF('01_Stations'!$S$151=2,"Җ",""))</f>
        <v/>
      </c>
      <c r="AD149" s="164" t="str">
        <f>IF('01_Stations'!$S$152=1,"Ӂ",IF('01_Stations'!$S$152=2,"Җ",""))</f>
        <v/>
      </c>
      <c r="AE149" s="164" t="str">
        <f>IF('01_Stations'!$S$153=1,"Ӂ",IF('01_Stations'!$S$153=2,"Җ",""))</f>
        <v/>
      </c>
      <c r="AF149" s="164" t="str">
        <f>IF('01_Stations'!$S$154=1,"Ӂ",IF('01_Stations'!$S$154=2,"Җ",""))</f>
        <v/>
      </c>
      <c r="AG149" s="164" t="str">
        <f>IF('01_Stations'!$S$155=1,"Ӂ",IF('01_Stations'!$S$155=2,"Җ",""))</f>
        <v/>
      </c>
      <c r="AH149" s="164" t="str">
        <f>IF('01_Stations'!$S$156=1,"Ӂ",IF('01_Stations'!$S$156=2,"Җ",""))</f>
        <v/>
      </c>
      <c r="AI149" s="164" t="str">
        <f>IF('01_Stations'!$S$157=1,"Ӂ",IF('01_Stations'!$S$157=2,"Җ",""))</f>
        <v/>
      </c>
      <c r="AJ149" s="164" t="str">
        <f>IF('01_Stations'!$S$158=1,"Ӂ",IF('01_Stations'!$S$158=2,"Җ",""))</f>
        <v/>
      </c>
      <c r="AK149" s="164" t="str">
        <f>IF('01_Stations'!$S$159=1,"Ӂ",IF('01_Stations'!$S$159=2,"Җ",""))</f>
        <v/>
      </c>
      <c r="AL149" s="164" t="str">
        <f>IF('01_Stations'!$S$160=1,"Ӂ",IF('01_Stations'!$S$160=2,"Җ",""))</f>
        <v/>
      </c>
      <c r="AM149" s="164" t="str">
        <f>IF('01_Stations'!$S$161=1,"Ӂ",IF('01_Stations'!$S$161=2,"Җ",""))</f>
        <v/>
      </c>
      <c r="AN149" s="164" t="str">
        <f>IF('01_Stations'!$S$162=1,"Ӂ",IF('01_Stations'!$S$162=2,"Җ",""))</f>
        <v/>
      </c>
      <c r="AO149" s="164" t="str">
        <f>IF('01_Stations'!$S$163=1,"Ӂ",IF('01_Stations'!$S$163=2,"Җ",""))</f>
        <v/>
      </c>
      <c r="AP149" s="164" t="str">
        <f>IF('01_Stations'!$S$164=1,"Ӂ",IF('01_Stations'!$S$164=2,"Җ",""))</f>
        <v/>
      </c>
      <c r="AQ149" s="164" t="str">
        <f>IF('01_Stations'!$S$165=1,"Ӂ",IF('01_Stations'!$S$165=2,"Җ",""))</f>
        <v/>
      </c>
    </row>
    <row r="150" spans="1:43" ht="15" customHeight="1" x14ac:dyDescent="0.3">
      <c r="A150" s="236"/>
      <c r="B150" s="165" t="s">
        <v>2215</v>
      </c>
      <c r="C150" s="166" t="s">
        <v>1622</v>
      </c>
      <c r="D150" s="164" t="str">
        <f>IF('01_Stations'!$T$126=1,"───","")</f>
        <v/>
      </c>
      <c r="E150" s="164" t="str">
        <f>IF('01_Stations'!$T$127=1,"───","")</f>
        <v/>
      </c>
      <c r="F150" s="164" t="str">
        <f>IF('01_Stations'!$T$128=1,"───","")</f>
        <v/>
      </c>
      <c r="G150" s="164" t="str">
        <f>IF('01_Stations'!$T$129=1,"───","")</f>
        <v/>
      </c>
      <c r="H150" s="164" t="str">
        <f>IF('01_Stations'!$T$130=1,"───","")</f>
        <v/>
      </c>
      <c r="I150" s="164" t="str">
        <f>IF('01_Stations'!$T$131=1,"───","")</f>
        <v/>
      </c>
      <c r="J150" s="164" t="str">
        <f>IF('01_Stations'!$T$132=1,"───","")</f>
        <v/>
      </c>
      <c r="K150" s="164" t="str">
        <f>IF('01_Stations'!$T$133=1,"───","")</f>
        <v/>
      </c>
      <c r="L150" s="164" t="str">
        <f>IF('01_Stations'!$T$134=1,"───","")</f>
        <v/>
      </c>
      <c r="M150" s="164" t="str">
        <f>IF('01_Stations'!$T$135=1,"───","")</f>
        <v/>
      </c>
      <c r="N150" s="164" t="str">
        <f>IF('01_Stations'!$T$136=1,"───","")</f>
        <v/>
      </c>
      <c r="O150" s="164" t="str">
        <f>IF('01_Stations'!$T$137=1,"───","")</f>
        <v/>
      </c>
      <c r="P150" s="164" t="str">
        <f>IF('01_Stations'!$T$138=1,"───","")</f>
        <v/>
      </c>
      <c r="Q150" s="164" t="str">
        <f>IF('01_Stations'!$T$139=1,"───","")</f>
        <v/>
      </c>
      <c r="R150" s="164" t="str">
        <f>IF('01_Stations'!$T$140=1,"───","")</f>
        <v/>
      </c>
      <c r="S150" s="164" t="str">
        <f>IF('01_Stations'!$T$141=1,"───","")</f>
        <v/>
      </c>
      <c r="T150" s="164" t="str">
        <f>IF('01_Stations'!$T$142=1,"───","")</f>
        <v/>
      </c>
      <c r="U150" s="164" t="str">
        <f>IF('01_Stations'!$T$143=1,"───","")</f>
        <v/>
      </c>
      <c r="V150" s="164" t="str">
        <f>IF('01_Stations'!$T$144=1,"───","")</f>
        <v/>
      </c>
      <c r="W150" s="164" t="str">
        <f>IF('01_Stations'!$T$145=1,"───","")</f>
        <v/>
      </c>
      <c r="X150" s="164" t="str">
        <f>IF('01_Stations'!$T$146=1,"───","")</f>
        <v/>
      </c>
      <c r="Y150" s="164" t="str">
        <f>IF('01_Stations'!$T$147=1,"───","")</f>
        <v/>
      </c>
      <c r="Z150" s="164" t="str">
        <f>IF('01_Stations'!$T$148=1,"───","")</f>
        <v/>
      </c>
      <c r="AA150" s="164" t="str">
        <f>IF('01_Stations'!$T$149=1,"───","")</f>
        <v/>
      </c>
      <c r="AB150" s="164" t="str">
        <f>IF('01_Stations'!$T$150=1,"───","")</f>
        <v/>
      </c>
      <c r="AC150" s="164" t="str">
        <f>IF('01_Stations'!$T$151=1,"───","")</f>
        <v/>
      </c>
      <c r="AD150" s="164" t="str">
        <f>IF('01_Stations'!$T$152=1,"───","")</f>
        <v/>
      </c>
      <c r="AE150" s="164" t="str">
        <f>IF('01_Stations'!$T$153=1,"───","")</f>
        <v/>
      </c>
      <c r="AF150" s="164" t="str">
        <f>IF('01_Stations'!$T$154=1,"───","")</f>
        <v/>
      </c>
      <c r="AG150" s="164" t="str">
        <f>IF('01_Stations'!$T$155=1,"───","")</f>
        <v/>
      </c>
      <c r="AH150" s="164" t="str">
        <f>IF('01_Stations'!$T$156=1,"───","")</f>
        <v/>
      </c>
      <c r="AI150" s="164" t="str">
        <f>IF('01_Stations'!$T$157=1,"───","")</f>
        <v/>
      </c>
      <c r="AJ150" s="164" t="str">
        <f>IF('01_Stations'!$T$158=1,"───","")</f>
        <v/>
      </c>
      <c r="AK150" s="164" t="str">
        <f>IF('01_Stations'!$T$159=1,"───","")</f>
        <v/>
      </c>
      <c r="AL150" s="164" t="str">
        <f>IF('01_Stations'!$T$160=1,"───","")</f>
        <v/>
      </c>
      <c r="AM150" s="164" t="str">
        <f>IF('01_Stations'!$T$161=1,"───","")</f>
        <v/>
      </c>
      <c r="AN150" s="164" t="str">
        <f>IF('01_Stations'!$T$162=1,"───","")</f>
        <v/>
      </c>
      <c r="AO150" s="164" t="str">
        <f>IF('01_Stations'!$T$163=1,"───","")</f>
        <v/>
      </c>
      <c r="AP150" s="164" t="str">
        <f>IF('01_Stations'!$T$164=1,"───","")</f>
        <v/>
      </c>
      <c r="AQ150" s="164" t="str">
        <f>IF('01_Stations'!$T$165=1,"───","")</f>
        <v/>
      </c>
    </row>
    <row r="151" spans="1:43" ht="15" customHeight="1" x14ac:dyDescent="0.3">
      <c r="A151" s="236"/>
      <c r="B151" s="165"/>
      <c r="C151" s="166" t="s">
        <v>2216</v>
      </c>
      <c r="D151" s="164" t="str">
        <f>IF(N('01_Stations'!$U$126)&gt;0,'01_Stations'!$U$126,"")</f>
        <v/>
      </c>
      <c r="E151" s="164" t="str">
        <f>IF(N('01_Stations'!$U$127)&gt;0,'01_Stations'!$U$127,"")</f>
        <v/>
      </c>
      <c r="F151" s="164" t="str">
        <f>IF(N('01_Stations'!$U$128)&gt;0,'01_Stations'!$U$128,"")</f>
        <v/>
      </c>
      <c r="G151" s="164" t="str">
        <f>IF(N('01_Stations'!$U$129)&gt;0,'01_Stations'!$U$129,"")</f>
        <v/>
      </c>
      <c r="H151" s="164" t="str">
        <f>IF(N('01_Stations'!$U$130)&gt;0,'01_Stations'!$U$130,"")</f>
        <v/>
      </c>
      <c r="I151" s="164" t="str">
        <f>IF(N('01_Stations'!$U$131)&gt;0,'01_Stations'!$U$131,"")</f>
        <v/>
      </c>
      <c r="J151" s="164" t="str">
        <f>IF(N('01_Stations'!$U$132)&gt;0,'01_Stations'!$U$132,"")</f>
        <v/>
      </c>
      <c r="K151" s="164" t="str">
        <f>IF(N('01_Stations'!$U$133)&gt;0,'01_Stations'!$U$133,"")</f>
        <v/>
      </c>
      <c r="L151" s="164" t="str">
        <f>IF(N('01_Stations'!$U$134)&gt;0,'01_Stations'!$U$134,"")</f>
        <v/>
      </c>
      <c r="M151" s="164" t="str">
        <f>IF(N('01_Stations'!$U$135)&gt;0,'01_Stations'!$U$135,"")</f>
        <v/>
      </c>
      <c r="N151" s="164" t="str">
        <f>IF(N('01_Stations'!$U$136)&gt;0,'01_Stations'!$U$136,"")</f>
        <v/>
      </c>
      <c r="O151" s="164" t="str">
        <f>IF(N('01_Stations'!$U$137)&gt;0,'01_Stations'!$U$137,"")</f>
        <v/>
      </c>
      <c r="P151" s="164" t="str">
        <f>IF(N('01_Stations'!$U$138)&gt;0,'01_Stations'!$U$138,"")</f>
        <v/>
      </c>
      <c r="Q151" s="164" t="str">
        <f>IF(N('01_Stations'!$U$139)&gt;0,'01_Stations'!$U$139,"")</f>
        <v/>
      </c>
      <c r="R151" s="164" t="str">
        <f>IF(N('01_Stations'!$U$140)&gt;0,'01_Stations'!$U$140,"")</f>
        <v/>
      </c>
      <c r="S151" s="164" t="str">
        <f>IF(N('01_Stations'!$U$141)&gt;0,'01_Stations'!$U$141,"")</f>
        <v/>
      </c>
      <c r="T151" s="164" t="str">
        <f>IF(N('01_Stations'!$U$142)&gt;0,'01_Stations'!$U$142,"")</f>
        <v/>
      </c>
      <c r="U151" s="164" t="str">
        <f>IF(N('01_Stations'!$U$143)&gt;0,'01_Stations'!$U$143,"")</f>
        <v/>
      </c>
      <c r="V151" s="164" t="str">
        <f>IF(N('01_Stations'!$U$144)&gt;0,'01_Stations'!$U$144,"")</f>
        <v/>
      </c>
      <c r="W151" s="164" t="str">
        <f>IF(N('01_Stations'!$U$145)&gt;0,'01_Stations'!$U$145,"")</f>
        <v/>
      </c>
      <c r="X151" s="164" t="str">
        <f>IF(N('01_Stations'!$U$146)&gt;0,'01_Stations'!$U$146,"")</f>
        <v/>
      </c>
      <c r="Y151" s="164" t="str">
        <f>IF(N('01_Stations'!$U$147)&gt;0,'01_Stations'!$U$147,"")</f>
        <v/>
      </c>
      <c r="Z151" s="164" t="str">
        <f>IF(N('01_Stations'!$U$148)&gt;0,'01_Stations'!$U$148,"")</f>
        <v/>
      </c>
      <c r="AA151" s="164" t="str">
        <f>IF(N('01_Stations'!$U$149)&gt;0,'01_Stations'!$U$149,"")</f>
        <v/>
      </c>
      <c r="AB151" s="164" t="str">
        <f>IF(N('01_Stations'!$U$150)&gt;0,'01_Stations'!$U$150,"")</f>
        <v/>
      </c>
      <c r="AC151" s="164" t="str">
        <f>IF(N('01_Stations'!$U$151)&gt;0,'01_Stations'!$U$151,"")</f>
        <v/>
      </c>
      <c r="AD151" s="164" t="str">
        <f>IF(N('01_Stations'!$U$152)&gt;0,'01_Stations'!$U$152,"")</f>
        <v/>
      </c>
      <c r="AE151" s="164" t="str">
        <f>IF(N('01_Stations'!$U$153)&gt;0,'01_Stations'!$U$153,"")</f>
        <v/>
      </c>
      <c r="AF151" s="164" t="str">
        <f>IF(N('01_Stations'!$U$154)&gt;0,'01_Stations'!$U$154,"")</f>
        <v/>
      </c>
      <c r="AG151" s="164" t="str">
        <f>IF(N('01_Stations'!$U$155)&gt;0,'01_Stations'!$U$155,"")</f>
        <v/>
      </c>
      <c r="AH151" s="164" t="str">
        <f>IF(N('01_Stations'!$U$156)&gt;0,'01_Stations'!$U$156,"")</f>
        <v/>
      </c>
      <c r="AI151" s="164" t="str">
        <f>IF(N('01_Stations'!$U$157)&gt;0,'01_Stations'!$U$157,"")</f>
        <v/>
      </c>
      <c r="AJ151" s="164" t="str">
        <f>IF(N('01_Stations'!$U$158)&gt;0,'01_Stations'!$U$158,"")</f>
        <v/>
      </c>
      <c r="AK151" s="164" t="str">
        <f>IF(N('01_Stations'!$U$159)&gt;0,'01_Stations'!$U$159,"")</f>
        <v/>
      </c>
      <c r="AL151" s="164" t="str">
        <f>IF(N('01_Stations'!$U$160)&gt;0,'01_Stations'!$U$160,"")</f>
        <v/>
      </c>
      <c r="AM151" s="164" t="str">
        <f>IF(N('01_Stations'!$U$161)&gt;0,'01_Stations'!$U$161,"")</f>
        <v/>
      </c>
      <c r="AN151" s="164" t="str">
        <f>IF(N('01_Stations'!$U$162)&gt;0,'01_Stations'!$U$162,"")</f>
        <v/>
      </c>
      <c r="AO151" s="164" t="str">
        <f>IF(N('01_Stations'!$U$163)&gt;0,'01_Stations'!$U$163,"")</f>
        <v/>
      </c>
      <c r="AP151" s="164" t="str">
        <f>IF(N('01_Stations'!$U$164)&gt;0,'01_Stations'!$U$164,"")</f>
        <v/>
      </c>
      <c r="AQ151" s="164" t="str">
        <f>IF(N('01_Stations'!$U$165)&gt;0,'01_Stations'!$U$165,"")</f>
        <v/>
      </c>
    </row>
    <row r="152" spans="1:43" ht="15" customHeight="1" x14ac:dyDescent="0.3">
      <c r="A152" s="236"/>
      <c r="B152" s="165"/>
      <c r="C152" s="166" t="s">
        <v>2212</v>
      </c>
      <c r="D152" s="164" t="str">
        <f>IF('01_Stations'!$V$126=1,"───","")</f>
        <v/>
      </c>
      <c r="E152" s="164" t="str">
        <f>IF('01_Stations'!$V$127=1,"───","")</f>
        <v/>
      </c>
      <c r="F152" s="164" t="str">
        <f>IF('01_Stations'!$V$128=1,"───","")</f>
        <v/>
      </c>
      <c r="G152" s="164" t="str">
        <f>IF('01_Stations'!$V$129=1,"───","")</f>
        <v/>
      </c>
      <c r="H152" s="164" t="str">
        <f>IF('01_Stations'!$V$130=1,"───","")</f>
        <v/>
      </c>
      <c r="I152" s="164" t="str">
        <f>IF('01_Stations'!$V$131=1,"───","")</f>
        <v/>
      </c>
      <c r="J152" s="164" t="str">
        <f>IF('01_Stations'!$V$132=1,"───","")</f>
        <v/>
      </c>
      <c r="K152" s="164" t="str">
        <f>IF('01_Stations'!$V$133=1,"───","")</f>
        <v/>
      </c>
      <c r="L152" s="164" t="str">
        <f>IF('01_Stations'!$V$134=1,"───","")</f>
        <v/>
      </c>
      <c r="M152" s="164" t="str">
        <f>IF('01_Stations'!$V$135=1,"───","")</f>
        <v/>
      </c>
      <c r="N152" s="164" t="str">
        <f>IF('01_Stations'!$V$136=1,"───","")</f>
        <v/>
      </c>
      <c r="O152" s="164" t="str">
        <f>IF('01_Stations'!$V$137=1,"───","")</f>
        <v/>
      </c>
      <c r="P152" s="164" t="str">
        <f>IF('01_Stations'!$V$138=1,"───","")</f>
        <v/>
      </c>
      <c r="Q152" s="164" t="str">
        <f>IF('01_Stations'!$V$139=1,"───","")</f>
        <v/>
      </c>
      <c r="R152" s="164" t="str">
        <f>IF('01_Stations'!$V$140=1,"───","")</f>
        <v/>
      </c>
      <c r="S152" s="164" t="str">
        <f>IF('01_Stations'!$V$141=1,"───","")</f>
        <v/>
      </c>
      <c r="T152" s="164" t="str">
        <f>IF('01_Stations'!$V$142=1,"───","")</f>
        <v/>
      </c>
      <c r="U152" s="164" t="str">
        <f>IF('01_Stations'!$V$143=1,"───","")</f>
        <v/>
      </c>
      <c r="V152" s="164" t="str">
        <f>IF('01_Stations'!$V$144=1,"───","")</f>
        <v/>
      </c>
      <c r="W152" s="164" t="str">
        <f>IF('01_Stations'!$V$145=1,"───","")</f>
        <v/>
      </c>
      <c r="X152" s="164" t="str">
        <f>IF('01_Stations'!$V$146=1,"───","")</f>
        <v/>
      </c>
      <c r="Y152" s="164" t="str">
        <f>IF('01_Stations'!$V$147=1,"───","")</f>
        <v/>
      </c>
      <c r="Z152" s="164" t="str">
        <f>IF('01_Stations'!$V$148=1,"───","")</f>
        <v/>
      </c>
      <c r="AA152" s="164" t="str">
        <f>IF('01_Stations'!$V$149=1,"───","")</f>
        <v/>
      </c>
      <c r="AB152" s="164" t="str">
        <f>IF('01_Stations'!$V$150=1,"───","")</f>
        <v/>
      </c>
      <c r="AC152" s="164" t="str">
        <f>IF('01_Stations'!$V$151=1,"───","")</f>
        <v/>
      </c>
      <c r="AD152" s="164" t="str">
        <f>IF('01_Stations'!$V$152=1,"───","")</f>
        <v/>
      </c>
      <c r="AE152" s="164" t="str">
        <f>IF('01_Stations'!$V$153=1,"───","")</f>
        <v/>
      </c>
      <c r="AF152" s="164" t="str">
        <f>IF('01_Stations'!$V$154=1,"───","")</f>
        <v/>
      </c>
      <c r="AG152" s="164" t="str">
        <f>IF('01_Stations'!$V$155=1,"───","")</f>
        <v/>
      </c>
      <c r="AH152" s="164" t="str">
        <f>IF('01_Stations'!$V$156=1,"───","")</f>
        <v/>
      </c>
      <c r="AI152" s="164" t="str">
        <f>IF('01_Stations'!$V$157=1,"───","")</f>
        <v/>
      </c>
      <c r="AJ152" s="164" t="str">
        <f>IF('01_Stations'!$V$158=1,"───","")</f>
        <v/>
      </c>
      <c r="AK152" s="164" t="str">
        <f>IF('01_Stations'!$V$159=1,"───","")</f>
        <v/>
      </c>
      <c r="AL152" s="164" t="str">
        <f>IF('01_Stations'!$V$160=1,"───","")</f>
        <v/>
      </c>
      <c r="AM152" s="164" t="str">
        <f>IF('01_Stations'!$V$161=1,"───","")</f>
        <v/>
      </c>
      <c r="AN152" s="164" t="str">
        <f>IF('01_Stations'!$V$162=1,"───","")</f>
        <v/>
      </c>
      <c r="AO152" s="164" t="str">
        <f>IF('01_Stations'!$V$163=1,"───","")</f>
        <v/>
      </c>
      <c r="AP152" s="164" t="str">
        <f>IF('01_Stations'!$V$164=1,"───","")</f>
        <v/>
      </c>
      <c r="AQ152" s="164" t="str">
        <f>IF('01_Stations'!$V$165=1,"───","")</f>
        <v/>
      </c>
    </row>
    <row r="153" spans="1:43" ht="15" customHeight="1" x14ac:dyDescent="0.3">
      <c r="A153" s="236"/>
      <c r="B153" s="165"/>
      <c r="C153" s="166" t="s">
        <v>2216</v>
      </c>
      <c r="D153" s="164" t="str">
        <f>IF(N('01_Stations'!$W$126)&gt;0,'01_Stations'!$W$126,"")</f>
        <v/>
      </c>
      <c r="E153" s="164" t="str">
        <f>IF(N('01_Stations'!$W$127)&gt;0,'01_Stations'!$W$127,"")</f>
        <v/>
      </c>
      <c r="F153" s="164" t="str">
        <f>IF(N('01_Stations'!$W$128)&gt;0,'01_Stations'!$W$128,"")</f>
        <v/>
      </c>
      <c r="G153" s="164" t="str">
        <f>IF(N('01_Stations'!$W$129)&gt;0,'01_Stations'!$W$129,"")</f>
        <v/>
      </c>
      <c r="H153" s="164" t="str">
        <f>IF(N('01_Stations'!$W$130)&gt;0,'01_Stations'!$W$130,"")</f>
        <v/>
      </c>
      <c r="I153" s="164" t="str">
        <f>IF(N('01_Stations'!$W$131)&gt;0,'01_Stations'!$W$131,"")</f>
        <v/>
      </c>
      <c r="J153" s="164" t="str">
        <f>IF(N('01_Stations'!$W$132)&gt;0,'01_Stations'!$W$132,"")</f>
        <v/>
      </c>
      <c r="K153" s="164" t="str">
        <f>IF(N('01_Stations'!$W$133)&gt;0,'01_Stations'!$W$133,"")</f>
        <v/>
      </c>
      <c r="L153" s="164" t="str">
        <f>IF(N('01_Stations'!$W$134)&gt;0,'01_Stations'!$W$134,"")</f>
        <v/>
      </c>
      <c r="M153" s="164" t="str">
        <f>IF(N('01_Stations'!$W$135)&gt;0,'01_Stations'!$W$135,"")</f>
        <v/>
      </c>
      <c r="N153" s="164" t="str">
        <f>IF(N('01_Stations'!$W$136)&gt;0,'01_Stations'!$W$136,"")</f>
        <v/>
      </c>
      <c r="O153" s="164" t="str">
        <f>IF(N('01_Stations'!$W$137)&gt;0,'01_Stations'!$W$137,"")</f>
        <v/>
      </c>
      <c r="P153" s="164" t="str">
        <f>IF(N('01_Stations'!$W$138)&gt;0,'01_Stations'!$W$138,"")</f>
        <v/>
      </c>
      <c r="Q153" s="164" t="str">
        <f>IF(N('01_Stations'!$W$139)&gt;0,'01_Stations'!$W$139,"")</f>
        <v/>
      </c>
      <c r="R153" s="164" t="str">
        <f>IF(N('01_Stations'!$W$140)&gt;0,'01_Stations'!$W$140,"")</f>
        <v/>
      </c>
      <c r="S153" s="164" t="str">
        <f>IF(N('01_Stations'!$W$141)&gt;0,'01_Stations'!$W$141,"")</f>
        <v/>
      </c>
      <c r="T153" s="164" t="str">
        <f>IF(N('01_Stations'!$W$142)&gt;0,'01_Stations'!$W$142,"")</f>
        <v/>
      </c>
      <c r="U153" s="164" t="str">
        <f>IF(N('01_Stations'!$W$143)&gt;0,'01_Stations'!$W$143,"")</f>
        <v/>
      </c>
      <c r="V153" s="164" t="str">
        <f>IF(N('01_Stations'!$W$144)&gt;0,'01_Stations'!$W$144,"")</f>
        <v/>
      </c>
      <c r="W153" s="164" t="str">
        <f>IF(N('01_Stations'!$W$145)&gt;0,'01_Stations'!$W$145,"")</f>
        <v/>
      </c>
      <c r="X153" s="164" t="str">
        <f>IF(N('01_Stations'!$W$146)&gt;0,'01_Stations'!$W$146,"")</f>
        <v/>
      </c>
      <c r="Y153" s="164" t="str">
        <f>IF(N('01_Stations'!$W$147)&gt;0,'01_Stations'!$W$147,"")</f>
        <v/>
      </c>
      <c r="Z153" s="164" t="str">
        <f>IF(N('01_Stations'!$W$148)&gt;0,'01_Stations'!$W$148,"")</f>
        <v/>
      </c>
      <c r="AA153" s="164" t="str">
        <f>IF(N('01_Stations'!$W$149)&gt;0,'01_Stations'!$W$149,"")</f>
        <v/>
      </c>
      <c r="AB153" s="164" t="str">
        <f>IF(N('01_Stations'!$W$150)&gt;0,'01_Stations'!$W$150,"")</f>
        <v/>
      </c>
      <c r="AC153" s="164" t="str">
        <f>IF(N('01_Stations'!$W$151)&gt;0,'01_Stations'!$W$151,"")</f>
        <v/>
      </c>
      <c r="AD153" s="164" t="str">
        <f>IF(N('01_Stations'!$W$152)&gt;0,'01_Stations'!$W$152,"")</f>
        <v/>
      </c>
      <c r="AE153" s="164" t="str">
        <f>IF(N('01_Stations'!$W$153)&gt;0,'01_Stations'!$W$153,"")</f>
        <v/>
      </c>
      <c r="AF153" s="164" t="str">
        <f>IF(N('01_Stations'!$W$154)&gt;0,'01_Stations'!$W$154,"")</f>
        <v/>
      </c>
      <c r="AG153" s="164" t="str">
        <f>IF(N('01_Stations'!$W$155)&gt;0,'01_Stations'!$W$155,"")</f>
        <v/>
      </c>
      <c r="AH153" s="164" t="str">
        <f>IF(N('01_Stations'!$W$156)&gt;0,'01_Stations'!$W$156,"")</f>
        <v/>
      </c>
      <c r="AI153" s="164" t="str">
        <f>IF(N('01_Stations'!$W$157)&gt;0,'01_Stations'!$W$157,"")</f>
        <v/>
      </c>
      <c r="AJ153" s="164" t="str">
        <f>IF(N('01_Stations'!$W$158)&gt;0,'01_Stations'!$W$158,"")</f>
        <v/>
      </c>
      <c r="AK153" s="164" t="str">
        <f>IF(N('01_Stations'!$W$159)&gt;0,'01_Stations'!$W$159,"")</f>
        <v/>
      </c>
      <c r="AL153" s="164" t="str">
        <f>IF(N('01_Stations'!$W$160)&gt;0,'01_Stations'!$W$160,"")</f>
        <v/>
      </c>
      <c r="AM153" s="164" t="str">
        <f>IF(N('01_Stations'!$W$161)&gt;0,'01_Stations'!$W$161,"")</f>
        <v/>
      </c>
      <c r="AN153" s="164" t="str">
        <f>IF(N('01_Stations'!$W$162)&gt;0,'01_Stations'!$W$162,"")</f>
        <v/>
      </c>
      <c r="AO153" s="164" t="str">
        <f>IF(N('01_Stations'!$W$163)&gt;0,'01_Stations'!$W$163,"")</f>
        <v/>
      </c>
      <c r="AP153" s="164" t="str">
        <f>IF(N('01_Stations'!$W$164)&gt;0,'01_Stations'!$W$164,"")</f>
        <v/>
      </c>
      <c r="AQ153" s="164" t="str">
        <f>IF(N('01_Stations'!$W$165)&gt;0,'01_Stations'!$W$165,"")</f>
        <v/>
      </c>
    </row>
    <row r="154" spans="1:43" ht="15" customHeight="1" x14ac:dyDescent="0.3">
      <c r="A154" s="236"/>
      <c r="B154" s="165" t="s">
        <v>2217</v>
      </c>
      <c r="C154" s="166" t="s">
        <v>1622</v>
      </c>
      <c r="D154" s="164" t="str">
        <f>IF('01_Stations'!$X$126=1,"───","")</f>
        <v/>
      </c>
      <c r="E154" s="164" t="str">
        <f>IF('01_Stations'!$X$127=1,"───","")</f>
        <v/>
      </c>
      <c r="F154" s="164" t="str">
        <f>IF('01_Stations'!$X$128=1,"───","")</f>
        <v/>
      </c>
      <c r="G154" s="164" t="str">
        <f>IF('01_Stations'!$X$129=1,"───","")</f>
        <v/>
      </c>
      <c r="H154" s="164" t="str">
        <f>IF('01_Stations'!$X$130=1,"───","")</f>
        <v/>
      </c>
      <c r="I154" s="164" t="str">
        <f>IF('01_Stations'!$X$131=1,"───","")</f>
        <v/>
      </c>
      <c r="J154" s="164" t="str">
        <f>IF('01_Stations'!$X$132=1,"───","")</f>
        <v/>
      </c>
      <c r="K154" s="164" t="str">
        <f>IF('01_Stations'!$X$133=1,"───","")</f>
        <v/>
      </c>
      <c r="L154" s="164" t="str">
        <f>IF('01_Stations'!$X$134=1,"───","")</f>
        <v/>
      </c>
      <c r="M154" s="164" t="str">
        <f>IF('01_Stations'!$X$135=1,"───","")</f>
        <v/>
      </c>
      <c r="N154" s="164" t="str">
        <f>IF('01_Stations'!$X$136=1,"───","")</f>
        <v/>
      </c>
      <c r="O154" s="164" t="str">
        <f>IF('01_Stations'!$X$137=1,"───","")</f>
        <v/>
      </c>
      <c r="P154" s="164" t="str">
        <f>IF('01_Stations'!$X$138=1,"───","")</f>
        <v/>
      </c>
      <c r="Q154" s="164" t="str">
        <f>IF('01_Stations'!$X$139=1,"───","")</f>
        <v/>
      </c>
      <c r="R154" s="164" t="str">
        <f>IF('01_Stations'!$X$140=1,"───","")</f>
        <v/>
      </c>
      <c r="S154" s="164" t="str">
        <f>IF('01_Stations'!$X$141=1,"───","")</f>
        <v/>
      </c>
      <c r="T154" s="164" t="str">
        <f>IF('01_Stations'!$X$142=1,"───","")</f>
        <v/>
      </c>
      <c r="U154" s="164" t="str">
        <f>IF('01_Stations'!$X$143=1,"───","")</f>
        <v/>
      </c>
      <c r="V154" s="164" t="str">
        <f>IF('01_Stations'!$X$144=1,"───","")</f>
        <v/>
      </c>
      <c r="W154" s="164" t="str">
        <f>IF('01_Stations'!$X$145=1,"───","")</f>
        <v/>
      </c>
      <c r="X154" s="164" t="str">
        <f>IF('01_Stations'!$X$146=1,"───","")</f>
        <v/>
      </c>
      <c r="Y154" s="164" t="str">
        <f>IF('01_Stations'!$X$147=1,"───","")</f>
        <v/>
      </c>
      <c r="Z154" s="164" t="str">
        <f>IF('01_Stations'!$X$148=1,"───","")</f>
        <v/>
      </c>
      <c r="AA154" s="164" t="str">
        <f>IF('01_Stations'!$X$149=1,"───","")</f>
        <v/>
      </c>
      <c r="AB154" s="164" t="str">
        <f>IF('01_Stations'!$X$150=1,"───","")</f>
        <v/>
      </c>
      <c r="AC154" s="164" t="str">
        <f>IF('01_Stations'!$X$151=1,"───","")</f>
        <v/>
      </c>
      <c r="AD154" s="164" t="str">
        <f>IF('01_Stations'!$X$152=1,"───","")</f>
        <v/>
      </c>
      <c r="AE154" s="164" t="str">
        <f>IF('01_Stations'!$X$153=1,"───","")</f>
        <v/>
      </c>
      <c r="AF154" s="164" t="str">
        <f>IF('01_Stations'!$X$154=1,"───","")</f>
        <v/>
      </c>
      <c r="AG154" s="164" t="str">
        <f>IF('01_Stations'!$X$155=1,"───","")</f>
        <v/>
      </c>
      <c r="AH154" s="164" t="str">
        <f>IF('01_Stations'!$X$156=1,"───","")</f>
        <v/>
      </c>
      <c r="AI154" s="164" t="str">
        <f>IF('01_Stations'!$X$157=1,"───","")</f>
        <v/>
      </c>
      <c r="AJ154" s="164" t="str">
        <f>IF('01_Stations'!$X$158=1,"───","")</f>
        <v/>
      </c>
      <c r="AK154" s="164" t="str">
        <f>IF('01_Stations'!$X$159=1,"───","")</f>
        <v/>
      </c>
      <c r="AL154" s="164" t="str">
        <f>IF('01_Stations'!$X$160=1,"───","")</f>
        <v/>
      </c>
      <c r="AM154" s="164" t="str">
        <f>IF('01_Stations'!$X$161=1,"───","")</f>
        <v/>
      </c>
      <c r="AN154" s="164" t="str">
        <f>IF('01_Stations'!$X$162=1,"───","")</f>
        <v/>
      </c>
      <c r="AO154" s="164" t="str">
        <f>IF('01_Stations'!$X$163=1,"───","")</f>
        <v/>
      </c>
      <c r="AP154" s="164" t="str">
        <f>IF('01_Stations'!$X$164=1,"───","")</f>
        <v/>
      </c>
      <c r="AQ154" s="164" t="str">
        <f>IF('01_Stations'!$X$165=1,"───","")</f>
        <v/>
      </c>
    </row>
    <row r="155" spans="1:43" ht="15" customHeight="1" x14ac:dyDescent="0.3">
      <c r="A155" s="236"/>
      <c r="B155" s="165"/>
      <c r="C155" s="166" t="s">
        <v>2212</v>
      </c>
      <c r="D155" s="164" t="str">
        <f>IF('01_Stations'!$Y$126=1,"───","")</f>
        <v/>
      </c>
      <c r="E155" s="164" t="str">
        <f>IF('01_Stations'!$Y$127=1,"───","")</f>
        <v/>
      </c>
      <c r="F155" s="164" t="str">
        <f>IF('01_Stations'!$Y$128=1,"───","")</f>
        <v/>
      </c>
      <c r="G155" s="164" t="str">
        <f>IF('01_Stations'!$Y$129=1,"───","")</f>
        <v/>
      </c>
      <c r="H155" s="164" t="str">
        <f>IF('01_Stations'!$Y$130=1,"───","")</f>
        <v/>
      </c>
      <c r="I155" s="164" t="str">
        <f>IF('01_Stations'!$Y$131=1,"───","")</f>
        <v/>
      </c>
      <c r="J155" s="164" t="str">
        <f>IF('01_Stations'!$Y$132=1,"───","")</f>
        <v/>
      </c>
      <c r="K155" s="164" t="str">
        <f>IF('01_Stations'!$Y$133=1,"───","")</f>
        <v/>
      </c>
      <c r="L155" s="164" t="str">
        <f>IF('01_Stations'!$Y$134=1,"───","")</f>
        <v/>
      </c>
      <c r="M155" s="164" t="str">
        <f>IF('01_Stations'!$Y$135=1,"───","")</f>
        <v/>
      </c>
      <c r="N155" s="164" t="str">
        <f>IF('01_Stations'!$Y$136=1,"───","")</f>
        <v/>
      </c>
      <c r="O155" s="164" t="str">
        <f>IF('01_Stations'!$Y$137=1,"───","")</f>
        <v/>
      </c>
      <c r="P155" s="164" t="str">
        <f>IF('01_Stations'!$Y$138=1,"───","")</f>
        <v/>
      </c>
      <c r="Q155" s="164" t="str">
        <f>IF('01_Stations'!$Y$139=1,"───","")</f>
        <v/>
      </c>
      <c r="R155" s="164" t="str">
        <f>IF('01_Stations'!$Y$140=1,"───","")</f>
        <v/>
      </c>
      <c r="S155" s="164" t="str">
        <f>IF('01_Stations'!$Y$141=1,"───","")</f>
        <v/>
      </c>
      <c r="T155" s="164" t="str">
        <f>IF('01_Stations'!$Y$142=1,"───","")</f>
        <v/>
      </c>
      <c r="U155" s="164" t="str">
        <f>IF('01_Stations'!$Y$143=1,"───","")</f>
        <v/>
      </c>
      <c r="V155" s="164" t="str">
        <f>IF('01_Stations'!$Y$144=1,"───","")</f>
        <v/>
      </c>
      <c r="W155" s="164" t="str">
        <f>IF('01_Stations'!$Y$145=1,"───","")</f>
        <v/>
      </c>
      <c r="X155" s="164" t="str">
        <f>IF('01_Stations'!$Y$146=1,"───","")</f>
        <v/>
      </c>
      <c r="Y155" s="164" t="str">
        <f>IF('01_Stations'!$Y$147=1,"───","")</f>
        <v/>
      </c>
      <c r="Z155" s="164" t="str">
        <f>IF('01_Stations'!$Y$148=1,"───","")</f>
        <v/>
      </c>
      <c r="AA155" s="164" t="str">
        <f>IF('01_Stations'!$Y$149=1,"───","")</f>
        <v/>
      </c>
      <c r="AB155" s="164" t="str">
        <f>IF('01_Stations'!$Y$150=1,"───","")</f>
        <v/>
      </c>
      <c r="AC155" s="164" t="str">
        <f>IF('01_Stations'!$Y$151=1,"───","")</f>
        <v/>
      </c>
      <c r="AD155" s="164" t="str">
        <f>IF('01_Stations'!$Y$152=1,"───","")</f>
        <v/>
      </c>
      <c r="AE155" s="164" t="str">
        <f>IF('01_Stations'!$Y$153=1,"───","")</f>
        <v/>
      </c>
      <c r="AF155" s="164" t="str">
        <f>IF('01_Stations'!$Y$154=1,"───","")</f>
        <v/>
      </c>
      <c r="AG155" s="164" t="str">
        <f>IF('01_Stations'!$Y$155=1,"───","")</f>
        <v/>
      </c>
      <c r="AH155" s="164" t="str">
        <f>IF('01_Stations'!$Y$156=1,"───","")</f>
        <v/>
      </c>
      <c r="AI155" s="164" t="str">
        <f>IF('01_Stations'!$Y$157=1,"───","")</f>
        <v/>
      </c>
      <c r="AJ155" s="164" t="str">
        <f>IF('01_Stations'!$Y$158=1,"───","")</f>
        <v/>
      </c>
      <c r="AK155" s="164" t="str">
        <f>IF('01_Stations'!$Y$159=1,"───","")</f>
        <v/>
      </c>
      <c r="AL155" s="164" t="str">
        <f>IF('01_Stations'!$Y$160=1,"───","")</f>
        <v/>
      </c>
      <c r="AM155" s="164" t="str">
        <f>IF('01_Stations'!$Y$161=1,"───","")</f>
        <v/>
      </c>
      <c r="AN155" s="164" t="str">
        <f>IF('01_Stations'!$Y$162=1,"───","")</f>
        <v/>
      </c>
      <c r="AO155" s="164" t="str">
        <f>IF('01_Stations'!$Y$163=1,"───","")</f>
        <v/>
      </c>
      <c r="AP155" s="164" t="str">
        <f>IF('01_Stations'!$Y$164=1,"───","")</f>
        <v/>
      </c>
      <c r="AQ155" s="164" t="str">
        <f>IF('01_Stations'!$Y$165=1,"───","")</f>
        <v/>
      </c>
    </row>
    <row r="156" spans="1:43" ht="15" customHeight="1" x14ac:dyDescent="0.3">
      <c r="A156" s="236"/>
      <c r="B156" s="165" t="s">
        <v>2218</v>
      </c>
      <c r="C156" s="166" t="s">
        <v>1622</v>
      </c>
      <c r="D156" s="164" t="str">
        <f>IF('01_Stations'!$Z$126=1,"───","")</f>
        <v/>
      </c>
      <c r="E156" s="164" t="str">
        <f>IF('01_Stations'!$Z$127=1,"───","")</f>
        <v/>
      </c>
      <c r="F156" s="164" t="str">
        <f>IF('01_Stations'!$Z$128=1,"───","")</f>
        <v/>
      </c>
      <c r="G156" s="164" t="str">
        <f>IF('01_Stations'!$Z$129=1,"───","")</f>
        <v/>
      </c>
      <c r="H156" s="164" t="str">
        <f>IF('01_Stations'!$Z$130=1,"───","")</f>
        <v/>
      </c>
      <c r="I156" s="164" t="str">
        <f>IF('01_Stations'!$Z$131=1,"───","")</f>
        <v/>
      </c>
      <c r="J156" s="164" t="str">
        <f>IF('01_Stations'!$Z$132=1,"───","")</f>
        <v/>
      </c>
      <c r="K156" s="164" t="str">
        <f>IF('01_Stations'!$Z$133=1,"───","")</f>
        <v/>
      </c>
      <c r="L156" s="164" t="str">
        <f>IF('01_Stations'!$Z$134=1,"───","")</f>
        <v/>
      </c>
      <c r="M156" s="164" t="str">
        <f>IF('01_Stations'!$Z$135=1,"───","")</f>
        <v/>
      </c>
      <c r="N156" s="164" t="str">
        <f>IF('01_Stations'!$Z$136=1,"───","")</f>
        <v/>
      </c>
      <c r="O156" s="164" t="str">
        <f>IF('01_Stations'!$Z$137=1,"───","")</f>
        <v/>
      </c>
      <c r="P156" s="164" t="str">
        <f>IF('01_Stations'!$Z$138=1,"───","")</f>
        <v/>
      </c>
      <c r="Q156" s="164" t="str">
        <f>IF('01_Stations'!$Z$139=1,"───","")</f>
        <v/>
      </c>
      <c r="R156" s="164" t="str">
        <f>IF('01_Stations'!$Z$140=1,"───","")</f>
        <v/>
      </c>
      <c r="S156" s="164" t="str">
        <f>IF('01_Stations'!$Z$141=1,"───","")</f>
        <v/>
      </c>
      <c r="T156" s="164" t="str">
        <f>IF('01_Stations'!$Z$142=1,"───","")</f>
        <v/>
      </c>
      <c r="U156" s="164" t="str">
        <f>IF('01_Stations'!$Z$143=1,"───","")</f>
        <v/>
      </c>
      <c r="V156" s="164" t="str">
        <f>IF('01_Stations'!$Z$144=1,"───","")</f>
        <v/>
      </c>
      <c r="W156" s="164" t="str">
        <f>IF('01_Stations'!$Z$145=1,"───","")</f>
        <v/>
      </c>
      <c r="X156" s="164" t="str">
        <f>IF('01_Stations'!$Z$146=1,"───","")</f>
        <v/>
      </c>
      <c r="Y156" s="164" t="str">
        <f>IF('01_Stations'!$Z$147=1,"───","")</f>
        <v/>
      </c>
      <c r="Z156" s="164" t="str">
        <f>IF('01_Stations'!$Z$148=1,"───","")</f>
        <v/>
      </c>
      <c r="AA156" s="164" t="str">
        <f>IF('01_Stations'!$Z$149=1,"───","")</f>
        <v/>
      </c>
      <c r="AB156" s="164" t="str">
        <f>IF('01_Stations'!$Z$150=1,"───","")</f>
        <v/>
      </c>
      <c r="AC156" s="164" t="str">
        <f>IF('01_Stations'!$Z$151=1,"───","")</f>
        <v/>
      </c>
      <c r="AD156" s="164" t="str">
        <f>IF('01_Stations'!$Z$152=1,"───","")</f>
        <v/>
      </c>
      <c r="AE156" s="164" t="str">
        <f>IF('01_Stations'!$Z$153=1,"───","")</f>
        <v/>
      </c>
      <c r="AF156" s="164" t="str">
        <f>IF('01_Stations'!$Z$154=1,"───","")</f>
        <v/>
      </c>
      <c r="AG156" s="164" t="str">
        <f>IF('01_Stations'!$Z$155=1,"───","")</f>
        <v/>
      </c>
      <c r="AH156" s="164" t="str">
        <f>IF('01_Stations'!$Z$156=1,"───","")</f>
        <v/>
      </c>
      <c r="AI156" s="164" t="str">
        <f>IF('01_Stations'!$Z$157=1,"───","")</f>
        <v/>
      </c>
      <c r="AJ156" s="164" t="str">
        <f>IF('01_Stations'!$Z$158=1,"───","")</f>
        <v/>
      </c>
      <c r="AK156" s="164" t="str">
        <f>IF('01_Stations'!$Z$159=1,"───","")</f>
        <v/>
      </c>
      <c r="AL156" s="164" t="str">
        <f>IF('01_Stations'!$Z$160=1,"───","")</f>
        <v/>
      </c>
      <c r="AM156" s="164" t="str">
        <f>IF('01_Stations'!$Z$161=1,"───","")</f>
        <v/>
      </c>
      <c r="AN156" s="164" t="str">
        <f>IF('01_Stations'!$Z$162=1,"───","")</f>
        <v/>
      </c>
      <c r="AO156" s="164" t="str">
        <f>IF('01_Stations'!$Z$163=1,"───","")</f>
        <v/>
      </c>
      <c r="AP156" s="164" t="str">
        <f>IF('01_Stations'!$Z$164=1,"───","")</f>
        <v/>
      </c>
      <c r="AQ156" s="164" t="str">
        <f>IF('01_Stations'!$Z$165=1,"───","")</f>
        <v/>
      </c>
    </row>
    <row r="157" spans="1:43" ht="15" customHeight="1" x14ac:dyDescent="0.3">
      <c r="A157" s="236"/>
      <c r="B157" s="165"/>
      <c r="C157" s="166" t="s">
        <v>2212</v>
      </c>
      <c r="D157" s="164" t="str">
        <f>IF('01_Stations'!$AA$126=1,"───","")</f>
        <v/>
      </c>
      <c r="E157" s="164" t="str">
        <f>IF('01_Stations'!$AA$127=1,"───","")</f>
        <v/>
      </c>
      <c r="F157" s="164" t="str">
        <f>IF('01_Stations'!$AA$128=1,"───","")</f>
        <v/>
      </c>
      <c r="G157" s="164" t="str">
        <f>IF('01_Stations'!$AA$129=1,"───","")</f>
        <v/>
      </c>
      <c r="H157" s="164" t="str">
        <f>IF('01_Stations'!$AA$130=1,"───","")</f>
        <v/>
      </c>
      <c r="I157" s="164" t="str">
        <f>IF('01_Stations'!$AA$131=1,"───","")</f>
        <v/>
      </c>
      <c r="J157" s="164" t="str">
        <f>IF('01_Stations'!$AA$132=1,"───","")</f>
        <v/>
      </c>
      <c r="K157" s="164" t="str">
        <f>IF('01_Stations'!$AA$133=1,"───","")</f>
        <v/>
      </c>
      <c r="L157" s="164" t="str">
        <f>IF('01_Stations'!$AA$134=1,"───","")</f>
        <v/>
      </c>
      <c r="M157" s="164" t="str">
        <f>IF('01_Stations'!$AA$135=1,"───","")</f>
        <v/>
      </c>
      <c r="N157" s="164" t="str">
        <f>IF('01_Stations'!$AA$136=1,"───","")</f>
        <v/>
      </c>
      <c r="O157" s="164" t="str">
        <f>IF('01_Stations'!$AA$137=1,"───","")</f>
        <v/>
      </c>
      <c r="P157" s="164" t="str">
        <f>IF('01_Stations'!$AA$138=1,"───","")</f>
        <v/>
      </c>
      <c r="Q157" s="164" t="str">
        <f>IF('01_Stations'!$AA$139=1,"───","")</f>
        <v/>
      </c>
      <c r="R157" s="164" t="str">
        <f>IF('01_Stations'!$AA$140=1,"───","")</f>
        <v/>
      </c>
      <c r="S157" s="164" t="str">
        <f>IF('01_Stations'!$AA$141=1,"───","")</f>
        <v/>
      </c>
      <c r="T157" s="164" t="str">
        <f>IF('01_Stations'!$AA$142=1,"───","")</f>
        <v/>
      </c>
      <c r="U157" s="164" t="str">
        <f>IF('01_Stations'!$AA$143=1,"───","")</f>
        <v/>
      </c>
      <c r="V157" s="164" t="str">
        <f>IF('01_Stations'!$AA$144=1,"───","")</f>
        <v/>
      </c>
      <c r="W157" s="164" t="str">
        <f>IF('01_Stations'!$AA$145=1,"───","")</f>
        <v/>
      </c>
      <c r="X157" s="164" t="str">
        <f>IF('01_Stations'!$AA$146=1,"───","")</f>
        <v/>
      </c>
      <c r="Y157" s="164" t="str">
        <f>IF('01_Stations'!$AA$147=1,"───","")</f>
        <v/>
      </c>
      <c r="Z157" s="164" t="str">
        <f>IF('01_Stations'!$AA$148=1,"───","")</f>
        <v/>
      </c>
      <c r="AA157" s="164" t="str">
        <f>IF('01_Stations'!$AA$149=1,"───","")</f>
        <v/>
      </c>
      <c r="AB157" s="164" t="str">
        <f>IF('01_Stations'!$AA$150=1,"───","")</f>
        <v/>
      </c>
      <c r="AC157" s="164" t="str">
        <f>IF('01_Stations'!$AA$151=1,"───","")</f>
        <v/>
      </c>
      <c r="AD157" s="164" t="str">
        <f>IF('01_Stations'!$AA$152=1,"───","")</f>
        <v/>
      </c>
      <c r="AE157" s="164" t="str">
        <f>IF('01_Stations'!$AA$153=1,"───","")</f>
        <v/>
      </c>
      <c r="AF157" s="164" t="str">
        <f>IF('01_Stations'!$AA$154=1,"───","")</f>
        <v/>
      </c>
      <c r="AG157" s="164" t="str">
        <f>IF('01_Stations'!$AA$155=1,"───","")</f>
        <v/>
      </c>
      <c r="AH157" s="164" t="str">
        <f>IF('01_Stations'!$AA$156=1,"───","")</f>
        <v/>
      </c>
      <c r="AI157" s="164" t="str">
        <f>IF('01_Stations'!$AA$157=1,"───","")</f>
        <v/>
      </c>
      <c r="AJ157" s="164" t="str">
        <f>IF('01_Stations'!$AA$158=1,"───","")</f>
        <v/>
      </c>
      <c r="AK157" s="164" t="str">
        <f>IF('01_Stations'!$AA$159=1,"───","")</f>
        <v/>
      </c>
      <c r="AL157" s="164" t="str">
        <f>IF('01_Stations'!$AA$160=1,"───","")</f>
        <v/>
      </c>
      <c r="AM157" s="164" t="str">
        <f>IF('01_Stations'!$AA$161=1,"───","")</f>
        <v/>
      </c>
      <c r="AN157" s="164" t="str">
        <f>IF('01_Stations'!$AA$162=1,"───","")</f>
        <v/>
      </c>
      <c r="AO157" s="164" t="str">
        <f>IF('01_Stations'!$AA$163=1,"───","")</f>
        <v/>
      </c>
      <c r="AP157" s="164" t="str">
        <f>IF('01_Stations'!$AA$164=1,"───","")</f>
        <v/>
      </c>
      <c r="AQ157" s="164" t="str">
        <f>IF('01_Stations'!$AA$165=1,"───","")</f>
        <v/>
      </c>
    </row>
    <row r="158" spans="1:43" ht="15" customHeight="1" x14ac:dyDescent="0.3">
      <c r="A158" s="236"/>
      <c r="B158" s="165" t="s">
        <v>200</v>
      </c>
      <c r="C158" s="166" t="s">
        <v>2219</v>
      </c>
      <c r="D158" s="164" t="str">
        <f>IF('01_Stations'!$AB$126=1,"───","")</f>
        <v/>
      </c>
      <c r="E158" s="164" t="str">
        <f>IF('01_Stations'!$AB$127=1,"───","")</f>
        <v/>
      </c>
      <c r="F158" s="164" t="str">
        <f>IF('01_Stations'!$AB$128=1,"───","")</f>
        <v/>
      </c>
      <c r="G158" s="164" t="str">
        <f>IF('01_Stations'!$AB$129=1,"───","")</f>
        <v/>
      </c>
      <c r="H158" s="164" t="str">
        <f>IF('01_Stations'!$AB$130=1,"───","")</f>
        <v/>
      </c>
      <c r="I158" s="164" t="str">
        <f>IF('01_Stations'!$AB$131=1,"───","")</f>
        <v/>
      </c>
      <c r="J158" s="164" t="str">
        <f>IF('01_Stations'!$AB$132=1,"───","")</f>
        <v/>
      </c>
      <c r="K158" s="164" t="str">
        <f>IF('01_Stations'!$AB$133=1,"───","")</f>
        <v/>
      </c>
      <c r="L158" s="164" t="str">
        <f>IF('01_Stations'!$AB$134=1,"───","")</f>
        <v/>
      </c>
      <c r="M158" s="164" t="str">
        <f>IF('01_Stations'!$AB$135=1,"───","")</f>
        <v/>
      </c>
      <c r="N158" s="164" t="str">
        <f>IF('01_Stations'!$AB$136=1,"───","")</f>
        <v/>
      </c>
      <c r="O158" s="164" t="str">
        <f>IF('01_Stations'!$AB$137=1,"───","")</f>
        <v/>
      </c>
      <c r="P158" s="164" t="str">
        <f>IF('01_Stations'!$AB$138=1,"───","")</f>
        <v/>
      </c>
      <c r="Q158" s="164" t="str">
        <f>IF('01_Stations'!$AB$139=1,"───","")</f>
        <v/>
      </c>
      <c r="R158" s="164" t="str">
        <f>IF('01_Stations'!$AB$140=1,"───","")</f>
        <v/>
      </c>
      <c r="S158" s="164" t="str">
        <f>IF('01_Stations'!$AB$141=1,"───","")</f>
        <v/>
      </c>
      <c r="T158" s="164" t="str">
        <f>IF('01_Stations'!$AB$142=1,"───","")</f>
        <v/>
      </c>
      <c r="U158" s="164" t="str">
        <f>IF('01_Stations'!$AB$143=1,"───","")</f>
        <v/>
      </c>
      <c r="V158" s="164" t="str">
        <f>IF('01_Stations'!$AB$144=1,"───","")</f>
        <v/>
      </c>
      <c r="W158" s="164" t="str">
        <f>IF('01_Stations'!$AB$145=1,"───","")</f>
        <v/>
      </c>
      <c r="X158" s="164" t="str">
        <f>IF('01_Stations'!$AB$146=1,"───","")</f>
        <v/>
      </c>
      <c r="Y158" s="164" t="str">
        <f>IF('01_Stations'!$AB$147=1,"───","")</f>
        <v/>
      </c>
      <c r="Z158" s="164" t="str">
        <f>IF('01_Stations'!$AB$148=1,"───","")</f>
        <v/>
      </c>
      <c r="AA158" s="164" t="str">
        <f>IF('01_Stations'!$AB$149=1,"───","")</f>
        <v/>
      </c>
      <c r="AB158" s="164" t="str">
        <f>IF('01_Stations'!$AB$150=1,"───","")</f>
        <v/>
      </c>
      <c r="AC158" s="164" t="str">
        <f>IF('01_Stations'!$AB$151=1,"───","")</f>
        <v/>
      </c>
      <c r="AD158" s="164" t="str">
        <f>IF('01_Stations'!$AB$152=1,"───","")</f>
        <v/>
      </c>
      <c r="AE158" s="164" t="str">
        <f>IF('01_Stations'!$AB$153=1,"───","")</f>
        <v/>
      </c>
      <c r="AF158" s="164" t="str">
        <f>IF('01_Stations'!$AB$154=1,"───","")</f>
        <v/>
      </c>
      <c r="AG158" s="164" t="str">
        <f>IF('01_Stations'!$AB$155=1,"───","")</f>
        <v/>
      </c>
      <c r="AH158" s="164" t="str">
        <f>IF('01_Stations'!$AB$156=1,"───","")</f>
        <v/>
      </c>
      <c r="AI158" s="164" t="str">
        <f>IF('01_Stations'!$AB$157=1,"───","")</f>
        <v/>
      </c>
      <c r="AJ158" s="164" t="str">
        <f>IF('01_Stations'!$AB$158=1,"───","")</f>
        <v/>
      </c>
      <c r="AK158" s="164" t="str">
        <f>IF('01_Stations'!$AB$159=1,"───","")</f>
        <v/>
      </c>
      <c r="AL158" s="164" t="str">
        <f>IF('01_Stations'!$AB$160=1,"───","")</f>
        <v/>
      </c>
      <c r="AM158" s="164" t="str">
        <f>IF('01_Stations'!$AB$161=1,"───","")</f>
        <v/>
      </c>
      <c r="AN158" s="164" t="str">
        <f>IF('01_Stations'!$AB$162=1,"───","")</f>
        <v/>
      </c>
      <c r="AO158" s="164" t="str">
        <f>IF('01_Stations'!$AB$163=1,"───","")</f>
        <v/>
      </c>
      <c r="AP158" s="164" t="str">
        <f>IF('01_Stations'!$AB$164=1,"───","")</f>
        <v/>
      </c>
      <c r="AQ158" s="164" t="str">
        <f>IF('01_Stations'!$AB$165=1,"───","")</f>
        <v/>
      </c>
    </row>
    <row r="159" spans="1:43" ht="15" customHeight="1" x14ac:dyDescent="0.3">
      <c r="A159" s="236"/>
      <c r="B159" s="165"/>
      <c r="C159" s="166" t="s">
        <v>2220</v>
      </c>
      <c r="D159" s="164" t="str">
        <f>IF(N('01_Stations'!$AC$126)&gt;0,'01_Stations'!$AC$126,"")</f>
        <v/>
      </c>
      <c r="E159" s="164" t="str">
        <f>IF(N('01_Stations'!$AC$127)&gt;0,'01_Stations'!$AC$127,"")</f>
        <v/>
      </c>
      <c r="F159" s="164" t="str">
        <f>IF(N('01_Stations'!$AC$128)&gt;0,'01_Stations'!$AC$128,"")</f>
        <v/>
      </c>
      <c r="G159" s="164" t="str">
        <f>IF(N('01_Stations'!$AC$129)&gt;0,'01_Stations'!$AC$129,"")</f>
        <v/>
      </c>
      <c r="H159" s="164" t="str">
        <f>IF(N('01_Stations'!$AC$130)&gt;0,'01_Stations'!$AC$130,"")</f>
        <v/>
      </c>
      <c r="I159" s="164" t="str">
        <f>IF(N('01_Stations'!$AC$131)&gt;0,'01_Stations'!$AC$131,"")</f>
        <v/>
      </c>
      <c r="J159" s="164" t="str">
        <f>IF(N('01_Stations'!$AC$132)&gt;0,'01_Stations'!$AC$132,"")</f>
        <v/>
      </c>
      <c r="K159" s="164" t="str">
        <f>IF(N('01_Stations'!$AC$133)&gt;0,'01_Stations'!$AC$133,"")</f>
        <v/>
      </c>
      <c r="L159" s="164" t="str">
        <f>IF(N('01_Stations'!$AC$134)&gt;0,'01_Stations'!$AC$134,"")</f>
        <v/>
      </c>
      <c r="M159" s="164" t="str">
        <f>IF(N('01_Stations'!$AC$135)&gt;0,'01_Stations'!$AC$135,"")</f>
        <v/>
      </c>
      <c r="N159" s="164" t="str">
        <f>IF(N('01_Stations'!$AC$136)&gt;0,'01_Stations'!$AC$136,"")</f>
        <v/>
      </c>
      <c r="O159" s="164" t="str">
        <f>IF(N('01_Stations'!$AC$137)&gt;0,'01_Stations'!$AC$137,"")</f>
        <v/>
      </c>
      <c r="P159" s="164" t="str">
        <f>IF(N('01_Stations'!$AC$138)&gt;0,'01_Stations'!$AC$138,"")</f>
        <v/>
      </c>
      <c r="Q159" s="164" t="str">
        <f>IF(N('01_Stations'!$AC$139)&gt;0,'01_Stations'!$AC$139,"")</f>
        <v/>
      </c>
      <c r="R159" s="164" t="str">
        <f>IF(N('01_Stations'!$AC$140)&gt;0,'01_Stations'!$AC$140,"")</f>
        <v/>
      </c>
      <c r="S159" s="164" t="str">
        <f>IF(N('01_Stations'!$AC$141)&gt;0,'01_Stations'!$AC$141,"")</f>
        <v/>
      </c>
      <c r="T159" s="164" t="str">
        <f>IF(N('01_Stations'!$AC$142)&gt;0,'01_Stations'!$AC$142,"")</f>
        <v/>
      </c>
      <c r="U159" s="164" t="str">
        <f>IF(N('01_Stations'!$AC$143)&gt;0,'01_Stations'!$AC$143,"")</f>
        <v/>
      </c>
      <c r="V159" s="164" t="str">
        <f>IF(N('01_Stations'!$AC$144)&gt;0,'01_Stations'!$AC$144,"")</f>
        <v/>
      </c>
      <c r="W159" s="164" t="str">
        <f>IF(N('01_Stations'!$AC$145)&gt;0,'01_Stations'!$AC$145,"")</f>
        <v/>
      </c>
      <c r="X159" s="164" t="str">
        <f>IF(N('01_Stations'!$AC$146)&gt;0,'01_Stations'!$AC$146,"")</f>
        <v/>
      </c>
      <c r="Y159" s="164" t="str">
        <f>IF(N('01_Stations'!$AC$147)&gt;0,'01_Stations'!$AC$147,"")</f>
        <v/>
      </c>
      <c r="Z159" s="164" t="str">
        <f>IF(N('01_Stations'!$AC$148)&gt;0,'01_Stations'!$AC$148,"")</f>
        <v/>
      </c>
      <c r="AA159" s="164" t="str">
        <f>IF(N('01_Stations'!$AC$149)&gt;0,'01_Stations'!$AC$149,"")</f>
        <v/>
      </c>
      <c r="AB159" s="164" t="str">
        <f>IF(N('01_Stations'!$AC$150)&gt;0,'01_Stations'!$AC$150,"")</f>
        <v/>
      </c>
      <c r="AC159" s="164" t="str">
        <f>IF(N('01_Stations'!$AC$151)&gt;0,'01_Stations'!$AC$151,"")</f>
        <v/>
      </c>
      <c r="AD159" s="164" t="str">
        <f>IF(N('01_Stations'!$AC$152)&gt;0,'01_Stations'!$AC$152,"")</f>
        <v/>
      </c>
      <c r="AE159" s="164" t="str">
        <f>IF(N('01_Stations'!$AC$153)&gt;0,'01_Stations'!$AC$153,"")</f>
        <v/>
      </c>
      <c r="AF159" s="164" t="str">
        <f>IF(N('01_Stations'!$AC$154)&gt;0,'01_Stations'!$AC$154,"")</f>
        <v/>
      </c>
      <c r="AG159" s="164" t="str">
        <f>IF(N('01_Stations'!$AC$155)&gt;0,'01_Stations'!$AC$155,"")</f>
        <v/>
      </c>
      <c r="AH159" s="164" t="str">
        <f>IF(N('01_Stations'!$AC$156)&gt;0,'01_Stations'!$AC$156,"")</f>
        <v/>
      </c>
      <c r="AI159" s="164" t="str">
        <f>IF(N('01_Stations'!$AC$157)&gt;0,'01_Stations'!$AC$157,"")</f>
        <v/>
      </c>
      <c r="AJ159" s="164" t="str">
        <f>IF(N('01_Stations'!$AC$158)&gt;0,'01_Stations'!$AC$158,"")</f>
        <v/>
      </c>
      <c r="AK159" s="164" t="str">
        <f>IF(N('01_Stations'!$AC$159)&gt;0,'01_Stations'!$AC$159,"")</f>
        <v/>
      </c>
      <c r="AL159" s="164" t="str">
        <f>IF(N('01_Stations'!$AC$160)&gt;0,'01_Stations'!$AC$160,"")</f>
        <v/>
      </c>
      <c r="AM159" s="164" t="str">
        <f>IF(N('01_Stations'!$AC$161)&gt;0,'01_Stations'!$AC$161,"")</f>
        <v/>
      </c>
      <c r="AN159" s="164" t="str">
        <f>IF(N('01_Stations'!$AC$162)&gt;0,'01_Stations'!$AC$162,"")</f>
        <v/>
      </c>
      <c r="AO159" s="164" t="str">
        <f>IF(N('01_Stations'!$AC$163)&gt;0,'01_Stations'!$AC$163,"")</f>
        <v/>
      </c>
      <c r="AP159" s="164" t="str">
        <f>IF(N('01_Stations'!$AC$164)&gt;0,'01_Stations'!$AC$164,"")</f>
        <v/>
      </c>
      <c r="AQ159" s="164" t="str">
        <f>IF(N('01_Stations'!$AC$165)&gt;0,'01_Stations'!$AC$165,"")</f>
        <v/>
      </c>
    </row>
    <row r="160" spans="1:43" ht="15" customHeight="1" x14ac:dyDescent="0.3">
      <c r="A160" s="236"/>
      <c r="B160" s="165" t="s">
        <v>2221</v>
      </c>
      <c r="C160" s="166" t="s">
        <v>1622</v>
      </c>
      <c r="D160" s="164" t="str">
        <f>IF(N('01_Stations'!$AD$126)&gt;0,'01_Stations'!$AD$126,"")</f>
        <v/>
      </c>
      <c r="E160" s="164" t="str">
        <f>IF(N('01_Stations'!$AD$127)&gt;0,'01_Stations'!$AD$127,"")</f>
        <v/>
      </c>
      <c r="F160" s="164" t="str">
        <f>IF(N('01_Stations'!$AD$128)&gt;0,'01_Stations'!$AD$128,"")</f>
        <v/>
      </c>
      <c r="G160" s="164" t="str">
        <f>IF(N('01_Stations'!$AD$129)&gt;0,'01_Stations'!$AD$129,"")</f>
        <v/>
      </c>
      <c r="H160" s="164" t="str">
        <f>IF(N('01_Stations'!$AD$130)&gt;0,'01_Stations'!$AD$130,"")</f>
        <v/>
      </c>
      <c r="I160" s="164" t="str">
        <f>IF(N('01_Stations'!$AD$131)&gt;0,'01_Stations'!$AD$131,"")</f>
        <v/>
      </c>
      <c r="J160" s="164" t="str">
        <f>IF(N('01_Stations'!$AD$132)&gt;0,'01_Stations'!$AD$132,"")</f>
        <v/>
      </c>
      <c r="K160" s="164" t="str">
        <f>IF(N('01_Stations'!$AD$133)&gt;0,'01_Stations'!$AD$133,"")</f>
        <v/>
      </c>
      <c r="L160" s="164" t="str">
        <f>IF(N('01_Stations'!$AD$134)&gt;0,'01_Stations'!$AD$134,"")</f>
        <v/>
      </c>
      <c r="M160" s="164" t="str">
        <f>IF(N('01_Stations'!$AD$135)&gt;0,'01_Stations'!$AD$135,"")</f>
        <v/>
      </c>
      <c r="N160" s="164" t="str">
        <f>IF(N('01_Stations'!$AD$136)&gt;0,'01_Stations'!$AD$136,"")</f>
        <v/>
      </c>
      <c r="O160" s="164" t="str">
        <f>IF(N('01_Stations'!$AD$137)&gt;0,'01_Stations'!$AD$137,"")</f>
        <v/>
      </c>
      <c r="P160" s="164" t="str">
        <f>IF(N('01_Stations'!$AD$138)&gt;0,'01_Stations'!$AD$138,"")</f>
        <v/>
      </c>
      <c r="Q160" s="164" t="str">
        <f>IF(N('01_Stations'!$AD$139)&gt;0,'01_Stations'!$AD$139,"")</f>
        <v/>
      </c>
      <c r="R160" s="164" t="str">
        <f>IF(N('01_Stations'!$AD$140)&gt;0,'01_Stations'!$AD$140,"")</f>
        <v/>
      </c>
      <c r="S160" s="164" t="str">
        <f>IF(N('01_Stations'!$AD$141)&gt;0,'01_Stations'!$AD$141,"")</f>
        <v/>
      </c>
      <c r="T160" s="164" t="str">
        <f>IF(N('01_Stations'!$AD$142)&gt;0,'01_Stations'!$AD$142,"")</f>
        <v/>
      </c>
      <c r="U160" s="164" t="str">
        <f>IF(N('01_Stations'!$AD$143)&gt;0,'01_Stations'!$AD$143,"")</f>
        <v/>
      </c>
      <c r="V160" s="164" t="str">
        <f>IF(N('01_Stations'!$AD$144)&gt;0,'01_Stations'!$AD$144,"")</f>
        <v/>
      </c>
      <c r="W160" s="164" t="str">
        <f>IF(N('01_Stations'!$AD$145)&gt;0,'01_Stations'!$AD$145,"")</f>
        <v/>
      </c>
      <c r="X160" s="164" t="str">
        <f>IF(N('01_Stations'!$AD$146)&gt;0,'01_Stations'!$AD$146,"")</f>
        <v/>
      </c>
      <c r="Y160" s="164" t="str">
        <f>IF(N('01_Stations'!$AD$147)&gt;0,'01_Stations'!$AD$147,"")</f>
        <v/>
      </c>
      <c r="Z160" s="164" t="str">
        <f>IF(N('01_Stations'!$AD$148)&gt;0,'01_Stations'!$AD$148,"")</f>
        <v/>
      </c>
      <c r="AA160" s="164" t="str">
        <f>IF(N('01_Stations'!$AD$149)&gt;0,'01_Stations'!$AD$149,"")</f>
        <v/>
      </c>
      <c r="AB160" s="164" t="str">
        <f>IF(N('01_Stations'!$AD$150)&gt;0,'01_Stations'!$AD$150,"")</f>
        <v/>
      </c>
      <c r="AC160" s="164" t="str">
        <f>IF(N('01_Stations'!$AD$151)&gt;0,'01_Stations'!$AD$151,"")</f>
        <v/>
      </c>
      <c r="AD160" s="164" t="str">
        <f>IF(N('01_Stations'!$AD$152)&gt;0,'01_Stations'!$AD$152,"")</f>
        <v/>
      </c>
      <c r="AE160" s="164" t="str">
        <f>IF(N('01_Stations'!$AD$153)&gt;0,'01_Stations'!$AD$153,"")</f>
        <v/>
      </c>
      <c r="AF160" s="164" t="str">
        <f>IF(N('01_Stations'!$AD$154)&gt;0,'01_Stations'!$AD$154,"")</f>
        <v/>
      </c>
      <c r="AG160" s="164" t="str">
        <f>IF(N('01_Stations'!$AD$155)&gt;0,'01_Stations'!$AD$155,"")</f>
        <v/>
      </c>
      <c r="AH160" s="164" t="str">
        <f>IF(N('01_Stations'!$AD$156)&gt;0,'01_Stations'!$AD$156,"")</f>
        <v/>
      </c>
      <c r="AI160" s="164" t="str">
        <f>IF(N('01_Stations'!$AD$157)&gt;0,'01_Stations'!$AD$157,"")</f>
        <v/>
      </c>
      <c r="AJ160" s="164" t="str">
        <f>IF(N('01_Stations'!$AD$158)&gt;0,'01_Stations'!$AD$158,"")</f>
        <v/>
      </c>
      <c r="AK160" s="164" t="str">
        <f>IF(N('01_Stations'!$AD$159)&gt;0,'01_Stations'!$AD$159,"")</f>
        <v/>
      </c>
      <c r="AL160" s="164" t="str">
        <f>IF(N('01_Stations'!$AD$160)&gt;0,'01_Stations'!$AD$160,"")</f>
        <v/>
      </c>
      <c r="AM160" s="164" t="str">
        <f>IF(N('01_Stations'!$AD$161)&gt;0,'01_Stations'!$AD$161,"")</f>
        <v/>
      </c>
      <c r="AN160" s="164" t="str">
        <f>IF(N('01_Stations'!$AD$162)&gt;0,'01_Stations'!$AD$162,"")</f>
        <v/>
      </c>
      <c r="AO160" s="164" t="str">
        <f>IF(N('01_Stations'!$AD$163)&gt;0,'01_Stations'!$AD$163,"")</f>
        <v/>
      </c>
      <c r="AP160" s="164" t="str">
        <f>IF(N('01_Stations'!$AD$164)&gt;0,'01_Stations'!$AD$164,"")</f>
        <v/>
      </c>
      <c r="AQ160" s="164" t="str">
        <f>IF(N('01_Stations'!$AD$165)&gt;0,'01_Stations'!$AD$165,"")</f>
        <v/>
      </c>
    </row>
    <row r="161" spans="1:43" ht="15" customHeight="1" x14ac:dyDescent="0.3">
      <c r="A161" s="236"/>
      <c r="B161" s="165"/>
      <c r="C161" s="166" t="s">
        <v>2212</v>
      </c>
      <c r="D161" s="164" t="str">
        <f>IF(N('01_Stations'!$AE$126)&gt;0,'01_Stations'!$AE$126,"")</f>
        <v/>
      </c>
      <c r="E161" s="164" t="str">
        <f>IF(N('01_Stations'!$AE$127)&gt;0,'01_Stations'!$AE$127,"")</f>
        <v/>
      </c>
      <c r="F161" s="164" t="str">
        <f>IF(N('01_Stations'!$AE$128)&gt;0,'01_Stations'!$AE$128,"")</f>
        <v/>
      </c>
      <c r="G161" s="164" t="str">
        <f>IF(N('01_Stations'!$AE$129)&gt;0,'01_Stations'!$AE$129,"")</f>
        <v/>
      </c>
      <c r="H161" s="164" t="str">
        <f>IF(N('01_Stations'!$AE$130)&gt;0,'01_Stations'!$AE$130,"")</f>
        <v/>
      </c>
      <c r="I161" s="164" t="str">
        <f>IF(N('01_Stations'!$AE$131)&gt;0,'01_Stations'!$AE$131,"")</f>
        <v/>
      </c>
      <c r="J161" s="164" t="str">
        <f>IF(N('01_Stations'!$AE$132)&gt;0,'01_Stations'!$AE$132,"")</f>
        <v/>
      </c>
      <c r="K161" s="164" t="str">
        <f>IF(N('01_Stations'!$AE$133)&gt;0,'01_Stations'!$AE$133,"")</f>
        <v/>
      </c>
      <c r="L161" s="164" t="str">
        <f>IF(N('01_Stations'!$AE$134)&gt;0,'01_Stations'!$AE$134,"")</f>
        <v/>
      </c>
      <c r="M161" s="164" t="str">
        <f>IF(N('01_Stations'!$AE$135)&gt;0,'01_Stations'!$AE$135,"")</f>
        <v/>
      </c>
      <c r="N161" s="164" t="str">
        <f>IF(N('01_Stations'!$AE$136)&gt;0,'01_Stations'!$AE$136,"")</f>
        <v/>
      </c>
      <c r="O161" s="164" t="str">
        <f>IF(N('01_Stations'!$AE$137)&gt;0,'01_Stations'!$AE$137,"")</f>
        <v/>
      </c>
      <c r="P161" s="164" t="str">
        <f>IF(N('01_Stations'!$AE$138)&gt;0,'01_Stations'!$AE$138,"")</f>
        <v/>
      </c>
      <c r="Q161" s="164" t="str">
        <f>IF(N('01_Stations'!$AE$139)&gt;0,'01_Stations'!$AE$139,"")</f>
        <v/>
      </c>
      <c r="R161" s="164" t="str">
        <f>IF(N('01_Stations'!$AE$140)&gt;0,'01_Stations'!$AE$140,"")</f>
        <v/>
      </c>
      <c r="S161" s="164" t="str">
        <f>IF(N('01_Stations'!$AE$141)&gt;0,'01_Stations'!$AE$141,"")</f>
        <v/>
      </c>
      <c r="T161" s="164" t="str">
        <f>IF(N('01_Stations'!$AE$142)&gt;0,'01_Stations'!$AE$142,"")</f>
        <v/>
      </c>
      <c r="U161" s="164" t="str">
        <f>IF(N('01_Stations'!$AE$143)&gt;0,'01_Stations'!$AE$143,"")</f>
        <v/>
      </c>
      <c r="V161" s="164" t="str">
        <f>IF(N('01_Stations'!$AE$144)&gt;0,'01_Stations'!$AE$144,"")</f>
        <v/>
      </c>
      <c r="W161" s="164" t="str">
        <f>IF(N('01_Stations'!$AE$145)&gt;0,'01_Stations'!$AE$145,"")</f>
        <v/>
      </c>
      <c r="X161" s="164" t="str">
        <f>IF(N('01_Stations'!$AE$146)&gt;0,'01_Stations'!$AE$146,"")</f>
        <v/>
      </c>
      <c r="Y161" s="164" t="str">
        <f>IF(N('01_Stations'!$AE$147)&gt;0,'01_Stations'!$AE$147,"")</f>
        <v/>
      </c>
      <c r="Z161" s="164" t="str">
        <f>IF(N('01_Stations'!$AE$148)&gt;0,'01_Stations'!$AE$148,"")</f>
        <v/>
      </c>
      <c r="AA161" s="164" t="str">
        <f>IF(N('01_Stations'!$AE$149)&gt;0,'01_Stations'!$AE$149,"")</f>
        <v/>
      </c>
      <c r="AB161" s="164" t="str">
        <f>IF(N('01_Stations'!$AE$150)&gt;0,'01_Stations'!$AE$150,"")</f>
        <v/>
      </c>
      <c r="AC161" s="164" t="str">
        <f>IF(N('01_Stations'!$AE$151)&gt;0,'01_Stations'!$AE$151,"")</f>
        <v/>
      </c>
      <c r="AD161" s="164" t="str">
        <f>IF(N('01_Stations'!$AE$152)&gt;0,'01_Stations'!$AE$152,"")</f>
        <v/>
      </c>
      <c r="AE161" s="164" t="str">
        <f>IF(N('01_Stations'!$AE$153)&gt;0,'01_Stations'!$AE$153,"")</f>
        <v/>
      </c>
      <c r="AF161" s="164" t="str">
        <f>IF(N('01_Stations'!$AE$154)&gt;0,'01_Stations'!$AE$154,"")</f>
        <v/>
      </c>
      <c r="AG161" s="164" t="str">
        <f>IF(N('01_Stations'!$AE$155)&gt;0,'01_Stations'!$AE$155,"")</f>
        <v/>
      </c>
      <c r="AH161" s="164" t="str">
        <f>IF(N('01_Stations'!$AE$156)&gt;0,'01_Stations'!$AE$156,"")</f>
        <v/>
      </c>
      <c r="AI161" s="164" t="str">
        <f>IF(N('01_Stations'!$AE$157)&gt;0,'01_Stations'!$AE$157,"")</f>
        <v/>
      </c>
      <c r="AJ161" s="164" t="str">
        <f>IF(N('01_Stations'!$AE$158)&gt;0,'01_Stations'!$AE$158,"")</f>
        <v/>
      </c>
      <c r="AK161" s="164" t="str">
        <f>IF(N('01_Stations'!$AE$159)&gt;0,'01_Stations'!$AE$159,"")</f>
        <v/>
      </c>
      <c r="AL161" s="164" t="str">
        <f>IF(N('01_Stations'!$AE$160)&gt;0,'01_Stations'!$AE$160,"")</f>
        <v/>
      </c>
      <c r="AM161" s="164" t="str">
        <f>IF(N('01_Stations'!$AE$161)&gt;0,'01_Stations'!$AE$161,"")</f>
        <v/>
      </c>
      <c r="AN161" s="164" t="str">
        <f>IF(N('01_Stations'!$AE$162)&gt;0,'01_Stations'!$AE$162,"")</f>
        <v/>
      </c>
      <c r="AO161" s="164" t="str">
        <f>IF(N('01_Stations'!$AE$163)&gt;0,'01_Stations'!$AE$163,"")</f>
        <v/>
      </c>
      <c r="AP161" s="164" t="str">
        <f>IF(N('01_Stations'!$AE$164)&gt;0,'01_Stations'!$AE$164,"")</f>
        <v/>
      </c>
      <c r="AQ161" s="164" t="str">
        <f>IF(N('01_Stations'!$AE$165)&gt;0,'01_Stations'!$AE$165,"")</f>
        <v/>
      </c>
    </row>
    <row r="162" spans="1:43" ht="15" customHeight="1" x14ac:dyDescent="0.3">
      <c r="A162" s="236"/>
      <c r="B162" s="165" t="s">
        <v>1942</v>
      </c>
      <c r="C162" s="166" t="s">
        <v>1622</v>
      </c>
      <c r="D162" s="164" t="str">
        <f>IF('01_Stations'!$AF$126=1,"───","")</f>
        <v/>
      </c>
      <c r="E162" s="164" t="str">
        <f>IF('01_Stations'!$AF$127=1,"───","")</f>
        <v/>
      </c>
      <c r="F162" s="164" t="str">
        <f>IF('01_Stations'!$AF$128=1,"───","")</f>
        <v/>
      </c>
      <c r="G162" s="164" t="str">
        <f>IF('01_Stations'!$AF$129=1,"───","")</f>
        <v/>
      </c>
      <c r="H162" s="164" t="str">
        <f>IF('01_Stations'!$AF$130=1,"───","")</f>
        <v/>
      </c>
      <c r="I162" s="164" t="str">
        <f>IF('01_Stations'!$AF$131=1,"───","")</f>
        <v/>
      </c>
      <c r="J162" s="164" t="str">
        <f>IF('01_Stations'!$AF$132=1,"───","")</f>
        <v/>
      </c>
      <c r="K162" s="164" t="str">
        <f>IF('01_Stations'!$AF$133=1,"───","")</f>
        <v/>
      </c>
      <c r="L162" s="164" t="str">
        <f>IF('01_Stations'!$AF$134=1,"───","")</f>
        <v/>
      </c>
      <c r="M162" s="164" t="str">
        <f>IF('01_Stations'!$AF$135=1,"───","")</f>
        <v/>
      </c>
      <c r="N162" s="164" t="str">
        <f>IF('01_Stations'!$AF$136=1,"───","")</f>
        <v/>
      </c>
      <c r="O162" s="164" t="str">
        <f>IF('01_Stations'!$AF$137=1,"───","")</f>
        <v/>
      </c>
      <c r="P162" s="164" t="str">
        <f>IF('01_Stations'!$AF$138=1,"───","")</f>
        <v/>
      </c>
      <c r="Q162" s="164" t="str">
        <f>IF('01_Stations'!$AF$139=1,"───","")</f>
        <v/>
      </c>
      <c r="R162" s="164" t="str">
        <f>IF('01_Stations'!$AF$140=1,"───","")</f>
        <v/>
      </c>
      <c r="S162" s="164" t="str">
        <f>IF('01_Stations'!$AF$141=1,"───","")</f>
        <v/>
      </c>
      <c r="T162" s="164" t="str">
        <f>IF('01_Stations'!$AF$142=1,"───","")</f>
        <v/>
      </c>
      <c r="U162" s="164" t="str">
        <f>IF('01_Stations'!$AF$143=1,"───","")</f>
        <v/>
      </c>
      <c r="V162" s="164" t="str">
        <f>IF('01_Stations'!$AF$144=1,"───","")</f>
        <v/>
      </c>
      <c r="W162" s="164" t="str">
        <f>IF('01_Stations'!$AF$145=1,"───","")</f>
        <v/>
      </c>
      <c r="X162" s="164" t="str">
        <f>IF('01_Stations'!$AF$146=1,"───","")</f>
        <v/>
      </c>
      <c r="Y162" s="164" t="str">
        <f>IF('01_Stations'!$AF$147=1,"───","")</f>
        <v/>
      </c>
      <c r="Z162" s="164" t="str">
        <f>IF('01_Stations'!$AF$148=1,"───","")</f>
        <v/>
      </c>
      <c r="AA162" s="164" t="str">
        <f>IF('01_Stations'!$AF$149=1,"───","")</f>
        <v/>
      </c>
      <c r="AB162" s="164" t="str">
        <f>IF('01_Stations'!$AF$150=1,"───","")</f>
        <v/>
      </c>
      <c r="AC162" s="164" t="str">
        <f>IF('01_Stations'!$AF$151=1,"───","")</f>
        <v/>
      </c>
      <c r="AD162" s="164" t="str">
        <f>IF('01_Stations'!$AF$152=1,"───","")</f>
        <v/>
      </c>
      <c r="AE162" s="164" t="str">
        <f>IF('01_Stations'!$AF$153=1,"───","")</f>
        <v/>
      </c>
      <c r="AF162" s="164" t="str">
        <f>IF('01_Stations'!$AF$154=1,"───","")</f>
        <v/>
      </c>
      <c r="AG162" s="164" t="str">
        <f>IF('01_Stations'!$AF$155=1,"───","")</f>
        <v/>
      </c>
      <c r="AH162" s="164" t="str">
        <f>IF('01_Stations'!$AF$156=1,"───","")</f>
        <v/>
      </c>
      <c r="AI162" s="164" t="str">
        <f>IF('01_Stations'!$AF$157=1,"───","")</f>
        <v/>
      </c>
      <c r="AJ162" s="164" t="str">
        <f>IF('01_Stations'!$AF$158=1,"───","")</f>
        <v/>
      </c>
      <c r="AK162" s="164" t="str">
        <f>IF('01_Stations'!$AF$159=1,"───","")</f>
        <v/>
      </c>
      <c r="AL162" s="164" t="str">
        <f>IF('01_Stations'!$AF$160=1,"───","")</f>
        <v/>
      </c>
      <c r="AM162" s="164" t="str">
        <f>IF('01_Stations'!$AF$161=1,"───","")</f>
        <v/>
      </c>
      <c r="AN162" s="164" t="str">
        <f>IF('01_Stations'!$AF$162=1,"───","")</f>
        <v/>
      </c>
      <c r="AO162" s="164" t="str">
        <f>IF('01_Stations'!$AF$163=1,"───","")</f>
        <v/>
      </c>
      <c r="AP162" s="164" t="str">
        <f>IF('01_Stations'!$AF$164=1,"───","")</f>
        <v/>
      </c>
      <c r="AQ162" s="164" t="str">
        <f>IF('01_Stations'!$AF$165=1,"───","")</f>
        <v/>
      </c>
    </row>
    <row r="163" spans="1:43" ht="15" customHeight="1" x14ac:dyDescent="0.3">
      <c r="A163" s="237"/>
      <c r="B163" s="165"/>
      <c r="C163" s="166" t="s">
        <v>2212</v>
      </c>
      <c r="D163" s="164" t="str">
        <f>IF('01_Stations'!$AG$126=1,"───","")</f>
        <v/>
      </c>
      <c r="E163" s="164" t="str">
        <f>IF('01_Stations'!$AG$127=1,"───","")</f>
        <v/>
      </c>
      <c r="F163" s="164" t="str">
        <f>IF('01_Stations'!$AG$128=1,"───","")</f>
        <v/>
      </c>
      <c r="G163" s="164" t="str">
        <f>IF('01_Stations'!$AG$129=1,"───","")</f>
        <v/>
      </c>
      <c r="H163" s="164" t="str">
        <f>IF('01_Stations'!$AG$130=1,"───","")</f>
        <v/>
      </c>
      <c r="I163" s="164" t="str">
        <f>IF('01_Stations'!$AG$131=1,"───","")</f>
        <v/>
      </c>
      <c r="J163" s="164" t="str">
        <f>IF('01_Stations'!$AG$132=1,"───","")</f>
        <v/>
      </c>
      <c r="K163" s="164" t="str">
        <f>IF('01_Stations'!$AG$133=1,"───","")</f>
        <v/>
      </c>
      <c r="L163" s="164" t="str">
        <f>IF('01_Stations'!$AG$134=1,"───","")</f>
        <v/>
      </c>
      <c r="M163" s="164" t="str">
        <f>IF('01_Stations'!$AG$135=1,"───","")</f>
        <v/>
      </c>
      <c r="N163" s="164" t="str">
        <f>IF('01_Stations'!$AG$136=1,"───","")</f>
        <v/>
      </c>
      <c r="O163" s="164" t="str">
        <f>IF('01_Stations'!$AG$137=1,"───","")</f>
        <v/>
      </c>
      <c r="P163" s="164" t="str">
        <f>IF('01_Stations'!$AG$138=1,"───","")</f>
        <v/>
      </c>
      <c r="Q163" s="164" t="str">
        <f>IF('01_Stations'!$AG$139=1,"───","")</f>
        <v/>
      </c>
      <c r="R163" s="164" t="str">
        <f>IF('01_Stations'!$AG$140=1,"───","")</f>
        <v/>
      </c>
      <c r="S163" s="164" t="str">
        <f>IF('01_Stations'!$AG$141=1,"───","")</f>
        <v/>
      </c>
      <c r="T163" s="164" t="str">
        <f>IF('01_Stations'!$AG$142=1,"───","")</f>
        <v/>
      </c>
      <c r="U163" s="164" t="str">
        <f>IF('01_Stations'!$AG$143=1,"───","")</f>
        <v/>
      </c>
      <c r="V163" s="164" t="str">
        <f>IF('01_Stations'!$AG$144=1,"───","")</f>
        <v/>
      </c>
      <c r="W163" s="164" t="str">
        <f>IF('01_Stations'!$AG$145=1,"───","")</f>
        <v/>
      </c>
      <c r="X163" s="164" t="str">
        <f>IF('01_Stations'!$AG$146=1,"───","")</f>
        <v/>
      </c>
      <c r="Y163" s="164" t="str">
        <f>IF('01_Stations'!$AG$147=1,"───","")</f>
        <v/>
      </c>
      <c r="Z163" s="164" t="str">
        <f>IF('01_Stations'!$AG$148=1,"───","")</f>
        <v/>
      </c>
      <c r="AA163" s="164" t="str">
        <f>IF('01_Stations'!$AG$149=1,"───","")</f>
        <v/>
      </c>
      <c r="AB163" s="164" t="str">
        <f>IF('01_Stations'!$AG$150=1,"───","")</f>
        <v/>
      </c>
      <c r="AC163" s="164" t="str">
        <f>IF('01_Stations'!$AG$151=1,"───","")</f>
        <v/>
      </c>
      <c r="AD163" s="164" t="str">
        <f>IF('01_Stations'!$AG$152=1,"───","")</f>
        <v/>
      </c>
      <c r="AE163" s="164" t="str">
        <f>IF('01_Stations'!$AG$153=1,"───","")</f>
        <v/>
      </c>
      <c r="AF163" s="164" t="str">
        <f>IF('01_Stations'!$AG$154=1,"───","")</f>
        <v/>
      </c>
      <c r="AG163" s="164" t="str">
        <f>IF('01_Stations'!$AG$155=1,"───","")</f>
        <v/>
      </c>
      <c r="AH163" s="164" t="str">
        <f>IF('01_Stations'!$AG$156=1,"───","")</f>
        <v/>
      </c>
      <c r="AI163" s="164" t="str">
        <f>IF('01_Stations'!$AG$157=1,"───","")</f>
        <v/>
      </c>
      <c r="AJ163" s="164" t="str">
        <f>IF('01_Stations'!$AG$158=1,"───","")</f>
        <v/>
      </c>
      <c r="AK163" s="164" t="str">
        <f>IF('01_Stations'!$AG$159=1,"───","")</f>
        <v/>
      </c>
      <c r="AL163" s="164" t="str">
        <f>IF('01_Stations'!$AG$160=1,"───","")</f>
        <v/>
      </c>
      <c r="AM163" s="164" t="str">
        <f>IF('01_Stations'!$AG$161=1,"───","")</f>
        <v/>
      </c>
      <c r="AN163" s="164" t="str">
        <f>IF('01_Stations'!$AG$162=1,"───","")</f>
        <v/>
      </c>
      <c r="AO163" s="164" t="str">
        <f>IF('01_Stations'!$AG$163=1,"───","")</f>
        <v/>
      </c>
      <c r="AP163" s="164" t="str">
        <f>IF('01_Stations'!$AG$164=1,"───","")</f>
        <v/>
      </c>
      <c r="AQ163" s="164" t="str">
        <f>IF('01_Stations'!$AG$165=1,"───","")</f>
        <v/>
      </c>
    </row>
    <row r="164" spans="1:43" ht="15" customHeight="1" x14ac:dyDescent="0.3">
      <c r="A164" s="238" t="s">
        <v>2222</v>
      </c>
      <c r="B164" s="165" t="s">
        <v>291</v>
      </c>
      <c r="C164" s="166"/>
      <c r="D164" s="164" t="str">
        <f>IF('01_Stations'!$AH$126=1,"───","")</f>
        <v/>
      </c>
      <c r="E164" s="164" t="str">
        <f>IF('01_Stations'!$AH$127=1,"───","")</f>
        <v/>
      </c>
      <c r="F164" s="164" t="str">
        <f>IF('01_Stations'!$AH$128=1,"───","")</f>
        <v/>
      </c>
      <c r="G164" s="164" t="str">
        <f>IF('01_Stations'!$AH$129=1,"───","")</f>
        <v/>
      </c>
      <c r="H164" s="164" t="str">
        <f>IF('01_Stations'!$AH$130=1,"───","")</f>
        <v/>
      </c>
      <c r="I164" s="164" t="str">
        <f>IF('01_Stations'!$AH$131=1,"───","")</f>
        <v/>
      </c>
      <c r="J164" s="164" t="str">
        <f>IF('01_Stations'!$AH$132=1,"───","")</f>
        <v/>
      </c>
      <c r="K164" s="164" t="str">
        <f>IF('01_Stations'!$AH$133=1,"───","")</f>
        <v/>
      </c>
      <c r="L164" s="164" t="str">
        <f>IF('01_Stations'!$AH$134=1,"───","")</f>
        <v/>
      </c>
      <c r="M164" s="164" t="str">
        <f>IF('01_Stations'!$AH$135=1,"───","")</f>
        <v/>
      </c>
      <c r="N164" s="164" t="str">
        <f>IF('01_Stations'!$AH$136=1,"───","")</f>
        <v/>
      </c>
      <c r="O164" s="164" t="str">
        <f>IF('01_Stations'!$AH$137=1,"───","")</f>
        <v/>
      </c>
      <c r="P164" s="164" t="str">
        <f>IF('01_Stations'!$AH$138=1,"───","")</f>
        <v/>
      </c>
      <c r="Q164" s="164" t="str">
        <f>IF('01_Stations'!$AH$139=1,"───","")</f>
        <v/>
      </c>
      <c r="R164" s="164" t="str">
        <f>IF('01_Stations'!$AH$140=1,"───","")</f>
        <v/>
      </c>
      <c r="S164" s="164" t="str">
        <f>IF('01_Stations'!$AH$141=1,"───","")</f>
        <v/>
      </c>
      <c r="T164" s="164" t="str">
        <f>IF('01_Stations'!$AH$142=1,"───","")</f>
        <v/>
      </c>
      <c r="U164" s="164" t="str">
        <f>IF('01_Stations'!$AH$143=1,"───","")</f>
        <v/>
      </c>
      <c r="V164" s="164" t="str">
        <f>IF('01_Stations'!$AH$144=1,"───","")</f>
        <v/>
      </c>
      <c r="W164" s="164" t="str">
        <f>IF('01_Stations'!$AH$145=1,"───","")</f>
        <v/>
      </c>
      <c r="X164" s="164" t="str">
        <f>IF('01_Stations'!$AH$146=1,"───","")</f>
        <v/>
      </c>
      <c r="Y164" s="164" t="str">
        <f>IF('01_Stations'!$AH$147=1,"───","")</f>
        <v/>
      </c>
      <c r="Z164" s="164" t="str">
        <f>IF('01_Stations'!$AH$148=1,"───","")</f>
        <v/>
      </c>
      <c r="AA164" s="164" t="str">
        <f>IF('01_Stations'!$AH$149=1,"───","")</f>
        <v/>
      </c>
      <c r="AB164" s="164" t="str">
        <f>IF('01_Stations'!$AH$150=1,"───","")</f>
        <v/>
      </c>
      <c r="AC164" s="164" t="str">
        <f>IF('01_Stations'!$AH$151=1,"───","")</f>
        <v/>
      </c>
      <c r="AD164" s="164" t="str">
        <f>IF('01_Stations'!$AH$152=1,"───","")</f>
        <v/>
      </c>
      <c r="AE164" s="164" t="str">
        <f>IF('01_Stations'!$AH$153=1,"───","")</f>
        <v/>
      </c>
      <c r="AF164" s="164" t="str">
        <f>IF('01_Stations'!$AH$154=1,"───","")</f>
        <v/>
      </c>
      <c r="AG164" s="164" t="str">
        <f>IF('01_Stations'!$AH$155=1,"───","")</f>
        <v/>
      </c>
      <c r="AH164" s="164" t="str">
        <f>IF('01_Stations'!$AH$156=1,"───","")</f>
        <v/>
      </c>
      <c r="AI164" s="164" t="str">
        <f>IF('01_Stations'!$AH$157=1,"───","")</f>
        <v/>
      </c>
      <c r="AJ164" s="164" t="str">
        <f>IF('01_Stations'!$AH$158=1,"───","")</f>
        <v/>
      </c>
      <c r="AK164" s="164" t="str">
        <f>IF('01_Stations'!$AH$159=1,"───","")</f>
        <v/>
      </c>
      <c r="AL164" s="164" t="str">
        <f>IF('01_Stations'!$AH$160=1,"───","")</f>
        <v/>
      </c>
      <c r="AM164" s="164" t="str">
        <f>IF('01_Stations'!$AH$161=1,"───","")</f>
        <v/>
      </c>
      <c r="AN164" s="164" t="str">
        <f>IF('01_Stations'!$AH$162=1,"───","")</f>
        <v/>
      </c>
      <c r="AO164" s="164" t="str">
        <f>IF('01_Stations'!$AH$163=1,"───","")</f>
        <v/>
      </c>
      <c r="AP164" s="164" t="str">
        <f>IF('01_Stations'!$AH$164=1,"───","")</f>
        <v/>
      </c>
      <c r="AQ164" s="164" t="str">
        <f>IF('01_Stations'!$AH$165=1,"───","")</f>
        <v/>
      </c>
    </row>
    <row r="165" spans="1:43" ht="15" customHeight="1" x14ac:dyDescent="0.3">
      <c r="A165" s="236"/>
      <c r="B165" s="165" t="s">
        <v>292</v>
      </c>
      <c r="C165" s="166"/>
      <c r="D165" s="164" t="str">
        <f>IF('01_Stations'!$AI$126=1,"───","")</f>
        <v/>
      </c>
      <c r="E165" s="164" t="str">
        <f>IF('01_Stations'!$AI$127=1,"───","")</f>
        <v/>
      </c>
      <c r="F165" s="164" t="str">
        <f>IF('01_Stations'!$AI$128=1,"───","")</f>
        <v/>
      </c>
      <c r="G165" s="164" t="str">
        <f>IF('01_Stations'!$AI$129=1,"───","")</f>
        <v/>
      </c>
      <c r="H165" s="164" t="str">
        <f>IF('01_Stations'!$AI$130=1,"───","")</f>
        <v/>
      </c>
      <c r="I165" s="164" t="str">
        <f>IF('01_Stations'!$AI$131=1,"───","")</f>
        <v/>
      </c>
      <c r="J165" s="164" t="str">
        <f>IF('01_Stations'!$AI$132=1,"───","")</f>
        <v/>
      </c>
      <c r="K165" s="164" t="str">
        <f>IF('01_Stations'!$AI$133=1,"───","")</f>
        <v/>
      </c>
      <c r="L165" s="164" t="str">
        <f>IF('01_Stations'!$AI$134=1,"───","")</f>
        <v/>
      </c>
      <c r="M165" s="164" t="str">
        <f>IF('01_Stations'!$AI$135=1,"───","")</f>
        <v/>
      </c>
      <c r="N165" s="164" t="str">
        <f>IF('01_Stations'!$AI$136=1,"───","")</f>
        <v/>
      </c>
      <c r="O165" s="164" t="str">
        <f>IF('01_Stations'!$AI$137=1,"───","")</f>
        <v/>
      </c>
      <c r="P165" s="164" t="str">
        <f>IF('01_Stations'!$AI$138=1,"───","")</f>
        <v/>
      </c>
      <c r="Q165" s="164" t="str">
        <f>IF('01_Stations'!$AI$139=1,"───","")</f>
        <v/>
      </c>
      <c r="R165" s="164" t="str">
        <f>IF('01_Stations'!$AI$140=1,"───","")</f>
        <v/>
      </c>
      <c r="S165" s="164" t="str">
        <f>IF('01_Stations'!$AI$141=1,"───","")</f>
        <v/>
      </c>
      <c r="T165" s="164" t="str">
        <f>IF('01_Stations'!$AI$142=1,"───","")</f>
        <v/>
      </c>
      <c r="U165" s="164" t="str">
        <f>IF('01_Stations'!$AI$143=1,"───","")</f>
        <v/>
      </c>
      <c r="V165" s="164" t="str">
        <f>IF('01_Stations'!$AI$144=1,"───","")</f>
        <v/>
      </c>
      <c r="W165" s="164" t="str">
        <f>IF('01_Stations'!$AI$145=1,"───","")</f>
        <v/>
      </c>
      <c r="X165" s="164" t="str">
        <f>IF('01_Stations'!$AI$146=1,"───","")</f>
        <v/>
      </c>
      <c r="Y165" s="164" t="str">
        <f>IF('01_Stations'!$AI$147=1,"───","")</f>
        <v/>
      </c>
      <c r="Z165" s="164" t="str">
        <f>IF('01_Stations'!$AI$148=1,"───","")</f>
        <v/>
      </c>
      <c r="AA165" s="164" t="str">
        <f>IF('01_Stations'!$AI$149=1,"───","")</f>
        <v/>
      </c>
      <c r="AB165" s="164" t="str">
        <f>IF('01_Stations'!$AI$150=1,"───","")</f>
        <v/>
      </c>
      <c r="AC165" s="164" t="str">
        <f>IF('01_Stations'!$AI$151=1,"───","")</f>
        <v/>
      </c>
      <c r="AD165" s="164" t="str">
        <f>IF('01_Stations'!$AI$152=1,"───","")</f>
        <v/>
      </c>
      <c r="AE165" s="164" t="str">
        <f>IF('01_Stations'!$AI$153=1,"───","")</f>
        <v/>
      </c>
      <c r="AF165" s="164" t="str">
        <f>IF('01_Stations'!$AI$154=1,"───","")</f>
        <v/>
      </c>
      <c r="AG165" s="164" t="str">
        <f>IF('01_Stations'!$AI$155=1,"───","")</f>
        <v/>
      </c>
      <c r="AH165" s="164" t="str">
        <f>IF('01_Stations'!$AI$156=1,"───","")</f>
        <v/>
      </c>
      <c r="AI165" s="164" t="str">
        <f>IF('01_Stations'!$AI$157=1,"───","")</f>
        <v/>
      </c>
      <c r="AJ165" s="164" t="str">
        <f>IF('01_Stations'!$AI$158=1,"───","")</f>
        <v/>
      </c>
      <c r="AK165" s="164" t="str">
        <f>IF('01_Stations'!$AI$159=1,"───","")</f>
        <v/>
      </c>
      <c r="AL165" s="164" t="str">
        <f>IF('01_Stations'!$AI$160=1,"───","")</f>
        <v/>
      </c>
      <c r="AM165" s="164" t="str">
        <f>IF('01_Stations'!$AI$161=1,"───","")</f>
        <v/>
      </c>
      <c r="AN165" s="164" t="str">
        <f>IF('01_Stations'!$AI$162=1,"───","")</f>
        <v/>
      </c>
      <c r="AO165" s="164" t="str">
        <f>IF('01_Stations'!$AI$163=1,"───","")</f>
        <v/>
      </c>
      <c r="AP165" s="164" t="str">
        <f>IF('01_Stations'!$AI$164=1,"───","")</f>
        <v/>
      </c>
      <c r="AQ165" s="164" t="str">
        <f>IF('01_Stations'!$AI$165=1,"───","")</f>
        <v/>
      </c>
    </row>
    <row r="166" spans="1:43" ht="15" customHeight="1" x14ac:dyDescent="0.3">
      <c r="A166" s="236"/>
      <c r="B166" s="165" t="s">
        <v>293</v>
      </c>
      <c r="C166" s="166"/>
      <c r="D166" s="164" t="str">
        <f>IF('01_Stations'!$AJ$126=1,"───","")</f>
        <v/>
      </c>
      <c r="E166" s="164" t="str">
        <f>IF('01_Stations'!$AJ$127=1,"───","")</f>
        <v/>
      </c>
      <c r="F166" s="164" t="str">
        <f>IF('01_Stations'!$AJ$128=1,"───","")</f>
        <v/>
      </c>
      <c r="G166" s="164" t="str">
        <f>IF('01_Stations'!$AJ$129=1,"───","")</f>
        <v/>
      </c>
      <c r="H166" s="164" t="str">
        <f>IF('01_Stations'!$AJ$130=1,"───","")</f>
        <v/>
      </c>
      <c r="I166" s="164" t="str">
        <f>IF('01_Stations'!$AJ$131=1,"───","")</f>
        <v/>
      </c>
      <c r="J166" s="164" t="str">
        <f>IF('01_Stations'!$AJ$132=1,"───","")</f>
        <v/>
      </c>
      <c r="K166" s="164" t="str">
        <f>IF('01_Stations'!$AJ$133=1,"───","")</f>
        <v/>
      </c>
      <c r="L166" s="164" t="str">
        <f>IF('01_Stations'!$AJ$134=1,"───","")</f>
        <v/>
      </c>
      <c r="M166" s="164" t="str">
        <f>IF('01_Stations'!$AJ$135=1,"───","")</f>
        <v/>
      </c>
      <c r="N166" s="164" t="str">
        <f>IF('01_Stations'!$AJ$136=1,"───","")</f>
        <v/>
      </c>
      <c r="O166" s="164" t="str">
        <f>IF('01_Stations'!$AJ$137=1,"───","")</f>
        <v/>
      </c>
      <c r="P166" s="164" t="str">
        <f>IF('01_Stations'!$AJ$138=1,"───","")</f>
        <v/>
      </c>
      <c r="Q166" s="164" t="str">
        <f>IF('01_Stations'!$AJ$139=1,"───","")</f>
        <v/>
      </c>
      <c r="R166" s="164" t="str">
        <f>IF('01_Stations'!$AJ$140=1,"───","")</f>
        <v/>
      </c>
      <c r="S166" s="164" t="str">
        <f>IF('01_Stations'!$AJ$141=1,"───","")</f>
        <v/>
      </c>
      <c r="T166" s="164" t="str">
        <f>IF('01_Stations'!$AJ$142=1,"───","")</f>
        <v/>
      </c>
      <c r="U166" s="164" t="str">
        <f>IF('01_Stations'!$AJ$143=1,"───","")</f>
        <v/>
      </c>
      <c r="V166" s="164" t="str">
        <f>IF('01_Stations'!$AJ$144=1,"───","")</f>
        <v/>
      </c>
      <c r="W166" s="164" t="str">
        <f>IF('01_Stations'!$AJ$145=1,"───","")</f>
        <v/>
      </c>
      <c r="X166" s="164" t="str">
        <f>IF('01_Stations'!$AJ$146=1,"───","")</f>
        <v/>
      </c>
      <c r="Y166" s="164" t="str">
        <f>IF('01_Stations'!$AJ$147=1,"───","")</f>
        <v/>
      </c>
      <c r="Z166" s="164" t="str">
        <f>IF('01_Stations'!$AJ$148=1,"───","")</f>
        <v/>
      </c>
      <c r="AA166" s="164" t="str">
        <f>IF('01_Stations'!$AJ$149=1,"───","")</f>
        <v/>
      </c>
      <c r="AB166" s="164" t="str">
        <f>IF('01_Stations'!$AJ$150=1,"───","")</f>
        <v/>
      </c>
      <c r="AC166" s="164" t="str">
        <f>IF('01_Stations'!$AJ$151=1,"───","")</f>
        <v/>
      </c>
      <c r="AD166" s="164" t="str">
        <f>IF('01_Stations'!$AJ$152=1,"───","")</f>
        <v/>
      </c>
      <c r="AE166" s="164" t="str">
        <f>IF('01_Stations'!$AJ$153=1,"───","")</f>
        <v/>
      </c>
      <c r="AF166" s="164" t="str">
        <f>IF('01_Stations'!$AJ$154=1,"───","")</f>
        <v/>
      </c>
      <c r="AG166" s="164" t="str">
        <f>IF('01_Stations'!$AJ$155=1,"───","")</f>
        <v/>
      </c>
      <c r="AH166" s="164" t="str">
        <f>IF('01_Stations'!$AJ$156=1,"───","")</f>
        <v/>
      </c>
      <c r="AI166" s="164" t="str">
        <f>IF('01_Stations'!$AJ$157=1,"───","")</f>
        <v/>
      </c>
      <c r="AJ166" s="164" t="str">
        <f>IF('01_Stations'!$AJ$158=1,"───","")</f>
        <v/>
      </c>
      <c r="AK166" s="164" t="str">
        <f>IF('01_Stations'!$AJ$159=1,"───","")</f>
        <v/>
      </c>
      <c r="AL166" s="164" t="str">
        <f>IF('01_Stations'!$AJ$160=1,"───","")</f>
        <v/>
      </c>
      <c r="AM166" s="164" t="str">
        <f>IF('01_Stations'!$AJ$161=1,"───","")</f>
        <v/>
      </c>
      <c r="AN166" s="164" t="str">
        <f>IF('01_Stations'!$AJ$162=1,"───","")</f>
        <v/>
      </c>
      <c r="AO166" s="164" t="str">
        <f>IF('01_Stations'!$AJ$163=1,"───","")</f>
        <v/>
      </c>
      <c r="AP166" s="164" t="str">
        <f>IF('01_Stations'!$AJ$164=1,"───","")</f>
        <v/>
      </c>
      <c r="AQ166" s="164" t="str">
        <f>IF('01_Stations'!$AJ$165=1,"───","")</f>
        <v/>
      </c>
    </row>
    <row r="167" spans="1:43" ht="15" customHeight="1" x14ac:dyDescent="0.3">
      <c r="A167" s="236"/>
      <c r="B167" s="165" t="s">
        <v>294</v>
      </c>
      <c r="C167" s="166" t="s">
        <v>299</v>
      </c>
      <c r="D167" s="164" t="str">
        <f>IF(N('01_Stations'!$AK$126)&gt;0,'01_Stations'!$AK$126,"")</f>
        <v/>
      </c>
      <c r="E167" s="164" t="str">
        <f>IF(N('01_Stations'!$AK$127)&gt;0,'01_Stations'!$AK$127,"")</f>
        <v/>
      </c>
      <c r="F167" s="164" t="str">
        <f>IF(N('01_Stations'!$AK$128)&gt;0,'01_Stations'!$AK$128,"")</f>
        <v/>
      </c>
      <c r="G167" s="164" t="str">
        <f>IF(N('01_Stations'!$AK$129)&gt;0,'01_Stations'!$AK$129,"")</f>
        <v/>
      </c>
      <c r="H167" s="164" t="str">
        <f>IF(N('01_Stations'!$AK$130)&gt;0,'01_Stations'!$AK$130,"")</f>
        <v/>
      </c>
      <c r="I167" s="164" t="str">
        <f>IF(N('01_Stations'!$AK$131)&gt;0,'01_Stations'!$AK$131,"")</f>
        <v/>
      </c>
      <c r="J167" s="164" t="str">
        <f>IF(N('01_Stations'!$AK$132)&gt;0,'01_Stations'!$AK$132,"")</f>
        <v/>
      </c>
      <c r="K167" s="164" t="str">
        <f>IF(N('01_Stations'!$AK$133)&gt;0,'01_Stations'!$AK$133,"")</f>
        <v/>
      </c>
      <c r="L167" s="164" t="str">
        <f>IF(N('01_Stations'!$AK$134)&gt;0,'01_Stations'!$AK$134,"")</f>
        <v/>
      </c>
      <c r="M167" s="164" t="str">
        <f>IF(N('01_Stations'!$AK$135)&gt;0,'01_Stations'!$AK$135,"")</f>
        <v/>
      </c>
      <c r="N167" s="164" t="str">
        <f>IF(N('01_Stations'!$AK$136)&gt;0,'01_Stations'!$AK$136,"")</f>
        <v/>
      </c>
      <c r="O167" s="164" t="str">
        <f>IF(N('01_Stations'!$AK$137)&gt;0,'01_Stations'!$AK$137,"")</f>
        <v/>
      </c>
      <c r="P167" s="164" t="str">
        <f>IF(N('01_Stations'!$AK$138)&gt;0,'01_Stations'!$AK$138,"")</f>
        <v/>
      </c>
      <c r="Q167" s="164" t="str">
        <f>IF(N('01_Stations'!$AK$139)&gt;0,'01_Stations'!$AK$139,"")</f>
        <v/>
      </c>
      <c r="R167" s="164" t="str">
        <f>IF(N('01_Stations'!$AK$140)&gt;0,'01_Stations'!$AK$140,"")</f>
        <v/>
      </c>
      <c r="S167" s="164" t="str">
        <f>IF(N('01_Stations'!$AK$141)&gt;0,'01_Stations'!$AK$141,"")</f>
        <v/>
      </c>
      <c r="T167" s="164" t="str">
        <f>IF(N('01_Stations'!$AK$142)&gt;0,'01_Stations'!$AK$142,"")</f>
        <v/>
      </c>
      <c r="U167" s="164" t="str">
        <f>IF(N('01_Stations'!$AK$143)&gt;0,'01_Stations'!$AK$143,"")</f>
        <v/>
      </c>
      <c r="V167" s="164" t="str">
        <f>IF(N('01_Stations'!$AK$144)&gt;0,'01_Stations'!$AK$144,"")</f>
        <v/>
      </c>
      <c r="W167" s="164" t="str">
        <f>IF(N('01_Stations'!$AK$145)&gt;0,'01_Stations'!$AK$145,"")</f>
        <v/>
      </c>
      <c r="X167" s="164" t="str">
        <f>IF(N('01_Stations'!$AK$146)&gt;0,'01_Stations'!$AK$146,"")</f>
        <v/>
      </c>
      <c r="Y167" s="164" t="str">
        <f>IF(N('01_Stations'!$AK$147)&gt;0,'01_Stations'!$AK$147,"")</f>
        <v/>
      </c>
      <c r="Z167" s="164" t="str">
        <f>IF(N('01_Stations'!$AK$148)&gt;0,'01_Stations'!$AK$148,"")</f>
        <v/>
      </c>
      <c r="AA167" s="164" t="str">
        <f>IF(N('01_Stations'!$AK$149)&gt;0,'01_Stations'!$AK$149,"")</f>
        <v/>
      </c>
      <c r="AB167" s="164" t="str">
        <f>IF(N('01_Stations'!$AK$150)&gt;0,'01_Stations'!$AK$150,"")</f>
        <v/>
      </c>
      <c r="AC167" s="164" t="str">
        <f>IF(N('01_Stations'!$AK$151)&gt;0,'01_Stations'!$AK$151,"")</f>
        <v/>
      </c>
      <c r="AD167" s="164" t="str">
        <f>IF(N('01_Stations'!$AK$152)&gt;0,'01_Stations'!$AK$152,"")</f>
        <v/>
      </c>
      <c r="AE167" s="164" t="str">
        <f>IF(N('01_Stations'!$AK$153)&gt;0,'01_Stations'!$AK$153,"")</f>
        <v/>
      </c>
      <c r="AF167" s="164" t="str">
        <f>IF(N('01_Stations'!$AK$154)&gt;0,'01_Stations'!$AK$154,"")</f>
        <v/>
      </c>
      <c r="AG167" s="164" t="str">
        <f>IF(N('01_Stations'!$AK$155)&gt;0,'01_Stations'!$AK$155,"")</f>
        <v/>
      </c>
      <c r="AH167" s="164" t="str">
        <f>IF(N('01_Stations'!$AK$156)&gt;0,'01_Stations'!$AK$156,"")</f>
        <v/>
      </c>
      <c r="AI167" s="164" t="str">
        <f>IF(N('01_Stations'!$AK$157)&gt;0,'01_Stations'!$AK$157,"")</f>
        <v/>
      </c>
      <c r="AJ167" s="164" t="str">
        <f>IF(N('01_Stations'!$AK$158)&gt;0,'01_Stations'!$AK$158,"")</f>
        <v/>
      </c>
      <c r="AK167" s="164" t="str">
        <f>IF(N('01_Stations'!$AK$159)&gt;0,'01_Stations'!$AK$159,"")</f>
        <v/>
      </c>
      <c r="AL167" s="164" t="str">
        <f>IF(N('01_Stations'!$AK$160)&gt;0,'01_Stations'!$AK$160,"")</f>
        <v/>
      </c>
      <c r="AM167" s="164" t="str">
        <f>IF(N('01_Stations'!$AK$161)&gt;0,'01_Stations'!$AK$161,"")</f>
        <v/>
      </c>
      <c r="AN167" s="164" t="str">
        <f>IF(N('01_Stations'!$AK$162)&gt;0,'01_Stations'!$AK$162,"")</f>
        <v/>
      </c>
      <c r="AO167" s="164" t="str">
        <f>IF(N('01_Stations'!$AK$163)&gt;0,'01_Stations'!$AK$163,"")</f>
        <v/>
      </c>
      <c r="AP167" s="164" t="str">
        <f>IF(N('01_Stations'!$AK$164)&gt;0,'01_Stations'!$AK$164,"")</f>
        <v/>
      </c>
      <c r="AQ167" s="164" t="str">
        <f>IF(N('01_Stations'!$AK$165)&gt;0,'01_Stations'!$AK$165,"")</f>
        <v/>
      </c>
    </row>
    <row r="168" spans="1:43" ht="15" customHeight="1" x14ac:dyDescent="0.3">
      <c r="A168" s="236"/>
      <c r="B168" s="165" t="s">
        <v>295</v>
      </c>
      <c r="C168" s="166" t="s">
        <v>299</v>
      </c>
      <c r="D168" s="164" t="str">
        <f>IF(N('01_Stations'!$AL$126)&gt;0,'01_Stations'!$AL$126,"")</f>
        <v/>
      </c>
      <c r="E168" s="164" t="str">
        <f>IF(N('01_Stations'!$AL$127)&gt;0,'01_Stations'!$AL$127,"")</f>
        <v/>
      </c>
      <c r="F168" s="164" t="str">
        <f>IF(N('01_Stations'!$AL$128)&gt;0,'01_Stations'!$AL$128,"")</f>
        <v/>
      </c>
      <c r="G168" s="164" t="str">
        <f>IF(N('01_Stations'!$AL$129)&gt;0,'01_Stations'!$AL$129,"")</f>
        <v/>
      </c>
      <c r="H168" s="164" t="str">
        <f>IF(N('01_Stations'!$AL$130)&gt;0,'01_Stations'!$AL$130,"")</f>
        <v/>
      </c>
      <c r="I168" s="164" t="str">
        <f>IF(N('01_Stations'!$AL$131)&gt;0,'01_Stations'!$AL$131,"")</f>
        <v/>
      </c>
      <c r="J168" s="164" t="str">
        <f>IF(N('01_Stations'!$AL$132)&gt;0,'01_Stations'!$AL$132,"")</f>
        <v/>
      </c>
      <c r="K168" s="164" t="str">
        <f>IF(N('01_Stations'!$AL$133)&gt;0,'01_Stations'!$AL$133,"")</f>
        <v/>
      </c>
      <c r="L168" s="164" t="str">
        <f>IF(N('01_Stations'!$AL$134)&gt;0,'01_Stations'!$AL$134,"")</f>
        <v/>
      </c>
      <c r="M168" s="164" t="str">
        <f>IF(N('01_Stations'!$AL$135)&gt;0,'01_Stations'!$AL$135,"")</f>
        <v/>
      </c>
      <c r="N168" s="164" t="str">
        <f>IF(N('01_Stations'!$AL$136)&gt;0,'01_Stations'!$AL$136,"")</f>
        <v/>
      </c>
      <c r="O168" s="164" t="str">
        <f>IF(N('01_Stations'!$AL$137)&gt;0,'01_Stations'!$AL$137,"")</f>
        <v/>
      </c>
      <c r="P168" s="164" t="str">
        <f>IF(N('01_Stations'!$AL$138)&gt;0,'01_Stations'!$AL$138,"")</f>
        <v/>
      </c>
      <c r="Q168" s="164" t="str">
        <f>IF(N('01_Stations'!$AL$139)&gt;0,'01_Stations'!$AL$139,"")</f>
        <v/>
      </c>
      <c r="R168" s="164" t="str">
        <f>IF(N('01_Stations'!$AL$140)&gt;0,'01_Stations'!$AL$140,"")</f>
        <v/>
      </c>
      <c r="S168" s="164" t="str">
        <f>IF(N('01_Stations'!$AL$141)&gt;0,'01_Stations'!$AL$141,"")</f>
        <v/>
      </c>
      <c r="T168" s="164" t="str">
        <f>IF(N('01_Stations'!$AL$142)&gt;0,'01_Stations'!$AL$142,"")</f>
        <v/>
      </c>
      <c r="U168" s="164" t="str">
        <f>IF(N('01_Stations'!$AL$143)&gt;0,'01_Stations'!$AL$143,"")</f>
        <v/>
      </c>
      <c r="V168" s="164" t="str">
        <f>IF(N('01_Stations'!$AL$144)&gt;0,'01_Stations'!$AL$144,"")</f>
        <v/>
      </c>
      <c r="W168" s="164" t="str">
        <f>IF(N('01_Stations'!$AL$145)&gt;0,'01_Stations'!$AL$145,"")</f>
        <v/>
      </c>
      <c r="X168" s="164" t="str">
        <f>IF(N('01_Stations'!$AL$146)&gt;0,'01_Stations'!$AL$146,"")</f>
        <v/>
      </c>
      <c r="Y168" s="164" t="str">
        <f>IF(N('01_Stations'!$AL$147)&gt;0,'01_Stations'!$AL$147,"")</f>
        <v/>
      </c>
      <c r="Z168" s="164" t="str">
        <f>IF(N('01_Stations'!$AL$148)&gt;0,'01_Stations'!$AL$148,"")</f>
        <v/>
      </c>
      <c r="AA168" s="164" t="str">
        <f>IF(N('01_Stations'!$AL$149)&gt;0,'01_Stations'!$AL$149,"")</f>
        <v/>
      </c>
      <c r="AB168" s="164" t="str">
        <f>IF(N('01_Stations'!$AL$150)&gt;0,'01_Stations'!$AL$150,"")</f>
        <v/>
      </c>
      <c r="AC168" s="164" t="str">
        <f>IF(N('01_Stations'!$AL$151)&gt;0,'01_Stations'!$AL$151,"")</f>
        <v/>
      </c>
      <c r="AD168" s="164" t="str">
        <f>IF(N('01_Stations'!$AL$152)&gt;0,'01_Stations'!$AL$152,"")</f>
        <v/>
      </c>
      <c r="AE168" s="164" t="str">
        <f>IF(N('01_Stations'!$AL$153)&gt;0,'01_Stations'!$AL$153,"")</f>
        <v/>
      </c>
      <c r="AF168" s="164" t="str">
        <f>IF(N('01_Stations'!$AL$154)&gt;0,'01_Stations'!$AL$154,"")</f>
        <v/>
      </c>
      <c r="AG168" s="164" t="str">
        <f>IF(N('01_Stations'!$AL$155)&gt;0,'01_Stations'!$AL$155,"")</f>
        <v/>
      </c>
      <c r="AH168" s="164" t="str">
        <f>IF(N('01_Stations'!$AL$156)&gt;0,'01_Stations'!$AL$156,"")</f>
        <v/>
      </c>
      <c r="AI168" s="164" t="str">
        <f>IF(N('01_Stations'!$AL$157)&gt;0,'01_Stations'!$AL$157,"")</f>
        <v/>
      </c>
      <c r="AJ168" s="164" t="str">
        <f>IF(N('01_Stations'!$AL$158)&gt;0,'01_Stations'!$AL$158,"")</f>
        <v/>
      </c>
      <c r="AK168" s="164" t="str">
        <f>IF(N('01_Stations'!$AL$159)&gt;0,'01_Stations'!$AL$159,"")</f>
        <v/>
      </c>
      <c r="AL168" s="164" t="str">
        <f>IF(N('01_Stations'!$AL$160)&gt;0,'01_Stations'!$AL$160,"")</f>
        <v/>
      </c>
      <c r="AM168" s="164" t="str">
        <f>IF(N('01_Stations'!$AL$161)&gt;0,'01_Stations'!$AL$161,"")</f>
        <v/>
      </c>
      <c r="AN168" s="164" t="str">
        <f>IF(N('01_Stations'!$AL$162)&gt;0,'01_Stations'!$AL$162,"")</f>
        <v/>
      </c>
      <c r="AO168" s="164" t="str">
        <f>IF(N('01_Stations'!$AL$163)&gt;0,'01_Stations'!$AL$163,"")</f>
        <v/>
      </c>
      <c r="AP168" s="164" t="str">
        <f>IF(N('01_Stations'!$AL$164)&gt;0,'01_Stations'!$AL$164,"")</f>
        <v/>
      </c>
      <c r="AQ168" s="164" t="str">
        <f>IF(N('01_Stations'!$AL$165)&gt;0,'01_Stations'!$AL$165,"")</f>
        <v/>
      </c>
    </row>
    <row r="169" spans="1:43" ht="15" customHeight="1" x14ac:dyDescent="0.3">
      <c r="A169" s="236"/>
      <c r="B169" s="165" t="s">
        <v>230</v>
      </c>
      <c r="C169" s="166"/>
      <c r="D169" s="164" t="str">
        <f>IF('01_Stations'!$AM$126=1,"───","")</f>
        <v/>
      </c>
      <c r="E169" s="164" t="str">
        <f>IF('01_Stations'!$AM$127=1,"───","")</f>
        <v/>
      </c>
      <c r="F169" s="164" t="str">
        <f>IF('01_Stations'!$AM$128=1,"───","")</f>
        <v/>
      </c>
      <c r="G169" s="164" t="str">
        <f>IF('01_Stations'!$AM$129=1,"───","")</f>
        <v/>
      </c>
      <c r="H169" s="164" t="str">
        <f>IF('01_Stations'!$AM$130=1,"───","")</f>
        <v/>
      </c>
      <c r="I169" s="164" t="str">
        <f>IF('01_Stations'!$AM$131=1,"───","")</f>
        <v/>
      </c>
      <c r="J169" s="164" t="str">
        <f>IF('01_Stations'!$AM$132=1,"───","")</f>
        <v/>
      </c>
      <c r="K169" s="164" t="str">
        <f>IF('01_Stations'!$AM$133=1,"───","")</f>
        <v/>
      </c>
      <c r="L169" s="164" t="str">
        <f>IF('01_Stations'!$AM$134=1,"───","")</f>
        <v/>
      </c>
      <c r="M169" s="164" t="str">
        <f>IF('01_Stations'!$AM$135=1,"───","")</f>
        <v/>
      </c>
      <c r="N169" s="164" t="str">
        <f>IF('01_Stations'!$AM$136=1,"───","")</f>
        <v/>
      </c>
      <c r="O169" s="164" t="str">
        <f>IF('01_Stations'!$AM$137=1,"───","")</f>
        <v/>
      </c>
      <c r="P169" s="164" t="str">
        <f>IF('01_Stations'!$AM$138=1,"───","")</f>
        <v/>
      </c>
      <c r="Q169" s="164" t="str">
        <f>IF('01_Stations'!$AM$139=1,"───","")</f>
        <v/>
      </c>
      <c r="R169" s="164" t="str">
        <f>IF('01_Stations'!$AM$140=1,"───","")</f>
        <v/>
      </c>
      <c r="S169" s="164" t="str">
        <f>IF('01_Stations'!$AM$141=1,"───","")</f>
        <v/>
      </c>
      <c r="T169" s="164" t="str">
        <f>IF('01_Stations'!$AM$142=1,"───","")</f>
        <v/>
      </c>
      <c r="U169" s="164" t="str">
        <f>IF('01_Stations'!$AM$143=1,"───","")</f>
        <v/>
      </c>
      <c r="V169" s="164" t="str">
        <f>IF('01_Stations'!$AM$144=1,"───","")</f>
        <v/>
      </c>
      <c r="W169" s="164" t="str">
        <f>IF('01_Stations'!$AM$145=1,"───","")</f>
        <v/>
      </c>
      <c r="X169" s="164" t="str">
        <f>IF('01_Stations'!$AM$146=1,"───","")</f>
        <v/>
      </c>
      <c r="Y169" s="164" t="str">
        <f>IF('01_Stations'!$AM$147=1,"───","")</f>
        <v/>
      </c>
      <c r="Z169" s="164" t="str">
        <f>IF('01_Stations'!$AM$148=1,"───","")</f>
        <v/>
      </c>
      <c r="AA169" s="164" t="str">
        <f>IF('01_Stations'!$AM$149=1,"───","")</f>
        <v/>
      </c>
      <c r="AB169" s="164" t="str">
        <f>IF('01_Stations'!$AM$150=1,"───","")</f>
        <v/>
      </c>
      <c r="AC169" s="164" t="str">
        <f>IF('01_Stations'!$AM$151=1,"───","")</f>
        <v/>
      </c>
      <c r="AD169" s="164" t="str">
        <f>IF('01_Stations'!$AM$152=1,"───","")</f>
        <v/>
      </c>
      <c r="AE169" s="164" t="str">
        <f>IF('01_Stations'!$AM$153=1,"───","")</f>
        <v/>
      </c>
      <c r="AF169" s="164" t="str">
        <f>IF('01_Stations'!$AM$154=1,"───","")</f>
        <v/>
      </c>
      <c r="AG169" s="164" t="str">
        <f>IF('01_Stations'!$AM$155=1,"───","")</f>
        <v/>
      </c>
      <c r="AH169" s="164" t="str">
        <f>IF('01_Stations'!$AM$156=1,"───","")</f>
        <v/>
      </c>
      <c r="AI169" s="164" t="str">
        <f>IF('01_Stations'!$AM$157=1,"───","")</f>
        <v/>
      </c>
      <c r="AJ169" s="164" t="str">
        <f>IF('01_Stations'!$AM$158=1,"───","")</f>
        <v/>
      </c>
      <c r="AK169" s="164" t="str">
        <f>IF('01_Stations'!$AM$159=1,"───","")</f>
        <v/>
      </c>
      <c r="AL169" s="164" t="str">
        <f>IF('01_Stations'!$AM$160=1,"───","")</f>
        <v/>
      </c>
      <c r="AM169" s="164" t="str">
        <f>IF('01_Stations'!$AM$161=1,"───","")</f>
        <v/>
      </c>
      <c r="AN169" s="164" t="str">
        <f>IF('01_Stations'!$AM$162=1,"───","")</f>
        <v/>
      </c>
      <c r="AO169" s="164" t="str">
        <f>IF('01_Stations'!$AM$163=1,"───","")</f>
        <v/>
      </c>
      <c r="AP169" s="164" t="str">
        <f>IF('01_Stations'!$AM$164=1,"───","")</f>
        <v/>
      </c>
      <c r="AQ169" s="164" t="str">
        <f>IF('01_Stations'!$AM$165=1,"───","")</f>
        <v/>
      </c>
    </row>
    <row r="170" spans="1:43" ht="15" customHeight="1" x14ac:dyDescent="0.3">
      <c r="A170" s="236"/>
      <c r="B170" s="165" t="s">
        <v>231</v>
      </c>
      <c r="C170" s="166"/>
      <c r="D170" s="164" t="str">
        <f>IF('01_Stations'!$AN$126=1,"───","")</f>
        <v/>
      </c>
      <c r="E170" s="164" t="str">
        <f>IF('01_Stations'!$AN$127=1,"───","")</f>
        <v/>
      </c>
      <c r="F170" s="164" t="str">
        <f>IF('01_Stations'!$AN$128=1,"───","")</f>
        <v/>
      </c>
      <c r="G170" s="164" t="str">
        <f>IF('01_Stations'!$AN$129=1,"───","")</f>
        <v/>
      </c>
      <c r="H170" s="164" t="str">
        <f>IF('01_Stations'!$AN$130=1,"───","")</f>
        <v/>
      </c>
      <c r="I170" s="164" t="str">
        <f>IF('01_Stations'!$AN$131=1,"───","")</f>
        <v/>
      </c>
      <c r="J170" s="164" t="str">
        <f>IF('01_Stations'!$AN$132=1,"───","")</f>
        <v/>
      </c>
      <c r="K170" s="164" t="str">
        <f>IF('01_Stations'!$AN$133=1,"───","")</f>
        <v/>
      </c>
      <c r="L170" s="164" t="str">
        <f>IF('01_Stations'!$AN$134=1,"───","")</f>
        <v/>
      </c>
      <c r="M170" s="164" t="str">
        <f>IF('01_Stations'!$AN$135=1,"───","")</f>
        <v/>
      </c>
      <c r="N170" s="164" t="str">
        <f>IF('01_Stations'!$AN$136=1,"───","")</f>
        <v/>
      </c>
      <c r="O170" s="164" t="str">
        <f>IF('01_Stations'!$AN$137=1,"───","")</f>
        <v/>
      </c>
      <c r="P170" s="164" t="str">
        <f>IF('01_Stations'!$AN$138=1,"───","")</f>
        <v/>
      </c>
      <c r="Q170" s="164" t="str">
        <f>IF('01_Stations'!$AN$139=1,"───","")</f>
        <v/>
      </c>
      <c r="R170" s="164" t="str">
        <f>IF('01_Stations'!$AN$140=1,"───","")</f>
        <v/>
      </c>
      <c r="S170" s="164" t="str">
        <f>IF('01_Stations'!$AN$141=1,"───","")</f>
        <v/>
      </c>
      <c r="T170" s="164" t="str">
        <f>IF('01_Stations'!$AN$142=1,"───","")</f>
        <v/>
      </c>
      <c r="U170" s="164" t="str">
        <f>IF('01_Stations'!$AN$143=1,"───","")</f>
        <v/>
      </c>
      <c r="V170" s="164" t="str">
        <f>IF('01_Stations'!$AN$144=1,"───","")</f>
        <v/>
      </c>
      <c r="W170" s="164" t="str">
        <f>IF('01_Stations'!$AN$145=1,"───","")</f>
        <v/>
      </c>
      <c r="X170" s="164" t="str">
        <f>IF('01_Stations'!$AN$146=1,"───","")</f>
        <v/>
      </c>
      <c r="Y170" s="164" t="str">
        <f>IF('01_Stations'!$AN$147=1,"───","")</f>
        <v/>
      </c>
      <c r="Z170" s="164" t="str">
        <f>IF('01_Stations'!$AN$148=1,"───","")</f>
        <v/>
      </c>
      <c r="AA170" s="164" t="str">
        <f>IF('01_Stations'!$AN$149=1,"───","")</f>
        <v/>
      </c>
      <c r="AB170" s="164" t="str">
        <f>IF('01_Stations'!$AN$150=1,"───","")</f>
        <v/>
      </c>
      <c r="AC170" s="164" t="str">
        <f>IF('01_Stations'!$AN$151=1,"───","")</f>
        <v/>
      </c>
      <c r="AD170" s="164" t="str">
        <f>IF('01_Stations'!$AN$152=1,"───","")</f>
        <v/>
      </c>
      <c r="AE170" s="164" t="str">
        <f>IF('01_Stations'!$AN$153=1,"───","")</f>
        <v/>
      </c>
      <c r="AF170" s="164" t="str">
        <f>IF('01_Stations'!$AN$154=1,"───","")</f>
        <v/>
      </c>
      <c r="AG170" s="164" t="str">
        <f>IF('01_Stations'!$AN$155=1,"───","")</f>
        <v/>
      </c>
      <c r="AH170" s="164" t="str">
        <f>IF('01_Stations'!$AN$156=1,"───","")</f>
        <v/>
      </c>
      <c r="AI170" s="164" t="str">
        <f>IF('01_Stations'!$AN$157=1,"───","")</f>
        <v/>
      </c>
      <c r="AJ170" s="164" t="str">
        <f>IF('01_Stations'!$AN$158=1,"───","")</f>
        <v/>
      </c>
      <c r="AK170" s="164" t="str">
        <f>IF('01_Stations'!$AN$159=1,"───","")</f>
        <v/>
      </c>
      <c r="AL170" s="164" t="str">
        <f>IF('01_Stations'!$AN$160=1,"───","")</f>
        <v/>
      </c>
      <c r="AM170" s="164" t="str">
        <f>IF('01_Stations'!$AN$161=1,"───","")</f>
        <v/>
      </c>
      <c r="AN170" s="164" t="str">
        <f>IF('01_Stations'!$AN$162=1,"───","")</f>
        <v/>
      </c>
      <c r="AO170" s="164" t="str">
        <f>IF('01_Stations'!$AN$163=1,"───","")</f>
        <v/>
      </c>
      <c r="AP170" s="164" t="str">
        <f>IF('01_Stations'!$AN$164=1,"───","")</f>
        <v/>
      </c>
      <c r="AQ170" s="164" t="str">
        <f>IF('01_Stations'!$AN$165=1,"───","")</f>
        <v/>
      </c>
    </row>
    <row r="171" spans="1:43" ht="15" customHeight="1" x14ac:dyDescent="0.3">
      <c r="A171" s="237"/>
      <c r="B171" s="165" t="s">
        <v>232</v>
      </c>
      <c r="C171" s="166"/>
      <c r="D171" s="164" t="str">
        <f>IF('01_Stations'!$AO$126=1,"───","")</f>
        <v/>
      </c>
      <c r="E171" s="164" t="str">
        <f>IF('01_Stations'!$AO$127=1,"───","")</f>
        <v/>
      </c>
      <c r="F171" s="164" t="str">
        <f>IF('01_Stations'!$AO$128=1,"───","")</f>
        <v/>
      </c>
      <c r="G171" s="164" t="str">
        <f>IF('01_Stations'!$AO$129=1,"───","")</f>
        <v/>
      </c>
      <c r="H171" s="164" t="str">
        <f>IF('01_Stations'!$AO$130=1,"───","")</f>
        <v/>
      </c>
      <c r="I171" s="164" t="str">
        <f>IF('01_Stations'!$AO$131=1,"───","")</f>
        <v/>
      </c>
      <c r="J171" s="164" t="str">
        <f>IF('01_Stations'!$AO$132=1,"───","")</f>
        <v/>
      </c>
      <c r="K171" s="164" t="str">
        <f>IF('01_Stations'!$AO$133=1,"───","")</f>
        <v/>
      </c>
      <c r="L171" s="164" t="str">
        <f>IF('01_Stations'!$AO$134=1,"───","")</f>
        <v/>
      </c>
      <c r="M171" s="164" t="str">
        <f>IF('01_Stations'!$AO$135=1,"───","")</f>
        <v/>
      </c>
      <c r="N171" s="164" t="str">
        <f>IF('01_Stations'!$AO$136=1,"───","")</f>
        <v/>
      </c>
      <c r="O171" s="164" t="str">
        <f>IF('01_Stations'!$AO$137=1,"───","")</f>
        <v/>
      </c>
      <c r="P171" s="164" t="str">
        <f>IF('01_Stations'!$AO$138=1,"───","")</f>
        <v/>
      </c>
      <c r="Q171" s="164" t="str">
        <f>IF('01_Stations'!$AO$139=1,"───","")</f>
        <v/>
      </c>
      <c r="R171" s="164" t="str">
        <f>IF('01_Stations'!$AO$140=1,"───","")</f>
        <v/>
      </c>
      <c r="S171" s="164" t="str">
        <f>IF('01_Stations'!$AO$141=1,"───","")</f>
        <v/>
      </c>
      <c r="T171" s="164" t="str">
        <f>IF('01_Stations'!$AO$142=1,"───","")</f>
        <v/>
      </c>
      <c r="U171" s="164" t="str">
        <f>IF('01_Stations'!$AO$143=1,"───","")</f>
        <v/>
      </c>
      <c r="V171" s="164" t="str">
        <f>IF('01_Stations'!$AO$144=1,"───","")</f>
        <v/>
      </c>
      <c r="W171" s="164" t="str">
        <f>IF('01_Stations'!$AO$145=1,"───","")</f>
        <v/>
      </c>
      <c r="X171" s="164" t="str">
        <f>IF('01_Stations'!$AO$146=1,"───","")</f>
        <v/>
      </c>
      <c r="Y171" s="164" t="str">
        <f>IF('01_Stations'!$AO$147=1,"───","")</f>
        <v/>
      </c>
      <c r="Z171" s="164" t="str">
        <f>IF('01_Stations'!$AO$148=1,"───","")</f>
        <v/>
      </c>
      <c r="AA171" s="164" t="str">
        <f>IF('01_Stations'!$AO$149=1,"───","")</f>
        <v/>
      </c>
      <c r="AB171" s="164" t="str">
        <f>IF('01_Stations'!$AO$150=1,"───","")</f>
        <v/>
      </c>
      <c r="AC171" s="164" t="str">
        <f>IF('01_Stations'!$AO$151=1,"───","")</f>
        <v/>
      </c>
      <c r="AD171" s="164" t="str">
        <f>IF('01_Stations'!$AO$152=1,"───","")</f>
        <v/>
      </c>
      <c r="AE171" s="164" t="str">
        <f>IF('01_Stations'!$AO$153=1,"───","")</f>
        <v/>
      </c>
      <c r="AF171" s="164" t="str">
        <f>IF('01_Stations'!$AO$154=1,"───","")</f>
        <v/>
      </c>
      <c r="AG171" s="164" t="str">
        <f>IF('01_Stations'!$AO$155=1,"───","")</f>
        <v/>
      </c>
      <c r="AH171" s="164" t="str">
        <f>IF('01_Stations'!$AO$156=1,"───","")</f>
        <v/>
      </c>
      <c r="AI171" s="164" t="str">
        <f>IF('01_Stations'!$AO$157=1,"───","")</f>
        <v/>
      </c>
      <c r="AJ171" s="164" t="str">
        <f>IF('01_Stations'!$AO$158=1,"───","")</f>
        <v/>
      </c>
      <c r="AK171" s="164" t="str">
        <f>IF('01_Stations'!$AO$159=1,"───","")</f>
        <v/>
      </c>
      <c r="AL171" s="164" t="str">
        <f>IF('01_Stations'!$AO$160=1,"───","")</f>
        <v/>
      </c>
      <c r="AM171" s="164" t="str">
        <f>IF('01_Stations'!$AO$161=1,"───","")</f>
        <v/>
      </c>
      <c r="AN171" s="164" t="str">
        <f>IF('01_Stations'!$AO$162=1,"───","")</f>
        <v/>
      </c>
      <c r="AO171" s="164" t="str">
        <f>IF('01_Stations'!$AO$163=1,"───","")</f>
        <v/>
      </c>
      <c r="AP171" s="164" t="str">
        <f>IF('01_Stations'!$AO$164=1,"───","")</f>
        <v/>
      </c>
      <c r="AQ171" s="164" t="str">
        <f>IF('01_Stations'!$AO$165=1,"───","")</f>
        <v/>
      </c>
    </row>
    <row r="172" spans="1:43" x14ac:dyDescent="0.3">
      <c r="A172" s="64"/>
      <c r="B172" s="64"/>
      <c r="C172" s="64"/>
      <c r="D172" s="106"/>
      <c r="E172" s="106"/>
      <c r="F172" s="106"/>
      <c r="G172" s="106"/>
      <c r="H172" s="106"/>
      <c r="I172" s="106"/>
      <c r="J172" s="106"/>
      <c r="K172" s="106"/>
      <c r="L172" s="106"/>
      <c r="M172" s="106"/>
      <c r="N172" s="106"/>
      <c r="O172" s="106"/>
      <c r="P172" s="106"/>
      <c r="Q172" s="106"/>
      <c r="R172" s="106"/>
      <c r="S172" s="106"/>
      <c r="T172" s="106"/>
      <c r="U172" s="106"/>
      <c r="V172" s="106"/>
      <c r="W172" s="106"/>
      <c r="X172" s="106"/>
      <c r="Y172" s="106"/>
      <c r="Z172" s="106"/>
      <c r="AA172" s="106"/>
      <c r="AB172" s="106"/>
      <c r="AC172" s="106"/>
      <c r="AD172" s="106"/>
      <c r="AE172" s="106"/>
      <c r="AF172" s="106"/>
      <c r="AG172" s="106"/>
      <c r="AH172" s="106"/>
      <c r="AI172" s="106"/>
      <c r="AJ172" s="106"/>
      <c r="AK172" s="106"/>
      <c r="AL172" s="106"/>
      <c r="AM172" s="106"/>
      <c r="AN172" s="106"/>
      <c r="AO172" s="106"/>
      <c r="AP172" s="106"/>
      <c r="AQ172" s="106"/>
    </row>
    <row r="173" spans="1:43" ht="15" customHeight="1" thickBot="1" x14ac:dyDescent="0.35">
      <c r="A173" s="64"/>
      <c r="B173" s="64"/>
      <c r="C173" s="64"/>
      <c r="D173" s="106"/>
      <c r="E173" s="106"/>
      <c r="F173" s="106"/>
      <c r="G173" s="106"/>
      <c r="H173" s="106"/>
      <c r="I173" s="106"/>
      <c r="J173" s="106"/>
      <c r="K173" s="106"/>
      <c r="L173" s="106"/>
      <c r="M173" s="106"/>
      <c r="N173" s="106"/>
      <c r="O173" s="106"/>
      <c r="P173" s="106"/>
      <c r="Q173" s="106"/>
      <c r="R173" s="106"/>
      <c r="S173" s="106"/>
      <c r="T173" s="106"/>
      <c r="U173" s="106"/>
      <c r="V173" s="106"/>
      <c r="W173" s="106"/>
      <c r="X173" s="106"/>
      <c r="Y173" s="106"/>
      <c r="Z173" s="106"/>
      <c r="AA173" s="106"/>
      <c r="AB173" s="106"/>
      <c r="AC173" s="106"/>
      <c r="AD173" s="106"/>
      <c r="AE173" s="106"/>
      <c r="AF173" s="106"/>
      <c r="AG173" s="106"/>
      <c r="AH173" s="106"/>
      <c r="AI173" s="106"/>
      <c r="AJ173" s="106"/>
      <c r="AK173" s="106"/>
      <c r="AL173" s="106"/>
      <c r="AM173" s="106"/>
      <c r="AN173" s="106"/>
      <c r="AO173" s="106"/>
      <c r="AP173" s="106"/>
      <c r="AQ173" s="106"/>
    </row>
    <row r="174" spans="1:43" ht="19.95" customHeight="1" thickBot="1" x14ac:dyDescent="0.35">
      <c r="A174" s="174" t="s">
        <v>2229</v>
      </c>
      <c r="B174" s="172"/>
      <c r="C174" s="172"/>
      <c r="D174" s="173" t="str">
        <f>IF(P_Length_km*1000&lt;=8000,"— beyond the end of the road —","")</f>
        <v>— beyond the end of the road —</v>
      </c>
      <c r="E174" s="173"/>
      <c r="F174" s="173"/>
      <c r="G174" s="173"/>
      <c r="H174" s="173"/>
      <c r="I174" s="173"/>
      <c r="J174" s="173"/>
      <c r="K174" s="173"/>
      <c r="L174" s="173"/>
      <c r="M174" s="173"/>
      <c r="N174" s="173"/>
      <c r="O174" s="173"/>
      <c r="P174" s="173"/>
      <c r="Q174" s="173"/>
      <c r="R174" s="173"/>
      <c r="S174" s="173"/>
      <c r="T174" s="173"/>
      <c r="U174" s="173"/>
      <c r="V174" s="173"/>
      <c r="W174" s="173"/>
      <c r="X174" s="173"/>
      <c r="Y174" s="173"/>
      <c r="Z174" s="173"/>
      <c r="AA174" s="173"/>
      <c r="AB174" s="173"/>
      <c r="AC174" s="173"/>
      <c r="AD174" s="173"/>
      <c r="AE174" s="173"/>
      <c r="AF174" s="173"/>
      <c r="AG174" s="173"/>
      <c r="AH174" s="173"/>
      <c r="AI174" s="173"/>
      <c r="AJ174" s="173"/>
      <c r="AK174" s="173"/>
      <c r="AL174" s="173"/>
      <c r="AM174" s="173"/>
      <c r="AN174" s="173"/>
      <c r="AO174" s="173"/>
      <c r="AP174" s="173"/>
      <c r="AQ174" s="175"/>
    </row>
    <row r="175" spans="1:43" x14ac:dyDescent="0.3">
      <c r="A175" s="170" t="s">
        <v>2230</v>
      </c>
      <c r="B175" s="170"/>
      <c r="C175" s="170" t="s">
        <v>2204</v>
      </c>
      <c r="D175" s="171">
        <v>0</v>
      </c>
      <c r="E175" s="171"/>
      <c r="F175" s="171">
        <v>100</v>
      </c>
      <c r="G175" s="171"/>
      <c r="H175" s="171">
        <v>200</v>
      </c>
      <c r="I175" s="171"/>
      <c r="J175" s="171">
        <v>300</v>
      </c>
      <c r="K175" s="171"/>
      <c r="L175" s="171">
        <v>400</v>
      </c>
      <c r="M175" s="171"/>
      <c r="N175" s="171">
        <v>500</v>
      </c>
      <c r="O175" s="171"/>
      <c r="P175" s="171">
        <v>600</v>
      </c>
      <c r="Q175" s="171"/>
      <c r="R175" s="171">
        <v>700</v>
      </c>
      <c r="S175" s="171"/>
      <c r="T175" s="171">
        <v>800</v>
      </c>
      <c r="U175" s="171"/>
      <c r="V175" s="171">
        <v>900</v>
      </c>
      <c r="W175" s="171"/>
      <c r="X175" s="171">
        <v>0</v>
      </c>
      <c r="Y175" s="171"/>
      <c r="Z175" s="171">
        <v>100</v>
      </c>
      <c r="AA175" s="171"/>
      <c r="AB175" s="171">
        <v>200</v>
      </c>
      <c r="AC175" s="171"/>
      <c r="AD175" s="171">
        <v>300</v>
      </c>
      <c r="AE175" s="171"/>
      <c r="AF175" s="171">
        <v>400</v>
      </c>
      <c r="AG175" s="171"/>
      <c r="AH175" s="171">
        <v>500</v>
      </c>
      <c r="AI175" s="171"/>
      <c r="AJ175" s="171">
        <v>600</v>
      </c>
      <c r="AK175" s="171"/>
      <c r="AL175" s="171">
        <v>700</v>
      </c>
      <c r="AM175" s="171"/>
      <c r="AN175" s="171">
        <v>800</v>
      </c>
      <c r="AO175" s="171"/>
      <c r="AP175" s="171">
        <v>900</v>
      </c>
      <c r="AQ175" s="171"/>
    </row>
    <row r="176" spans="1:43" ht="15" customHeight="1" x14ac:dyDescent="0.3">
      <c r="A176" s="235" t="s">
        <v>2205</v>
      </c>
      <c r="B176" s="167" t="s">
        <v>263</v>
      </c>
      <c r="C176" s="168"/>
      <c r="D176" s="169" t="str">
        <f>IF('01_Stations'!$D$166=1,"▓","")</f>
        <v/>
      </c>
      <c r="E176" s="169" t="str">
        <f>IF('01_Stations'!$D$167=1,"▓","")</f>
        <v/>
      </c>
      <c r="F176" s="169" t="str">
        <f>IF('01_Stations'!$D$168=1,"▓","")</f>
        <v/>
      </c>
      <c r="G176" s="169" t="str">
        <f>IF('01_Stations'!$D$169=1,"▓","")</f>
        <v/>
      </c>
      <c r="H176" s="169" t="str">
        <f>IF('01_Stations'!$D$170=1,"▓","")</f>
        <v/>
      </c>
      <c r="I176" s="169" t="str">
        <f>IF('01_Stations'!$D$171=1,"▓","")</f>
        <v/>
      </c>
      <c r="J176" s="169" t="str">
        <f>IF('01_Stations'!$D$172=1,"▓","")</f>
        <v/>
      </c>
      <c r="K176" s="169" t="str">
        <f>IF('01_Stations'!$D$173=1,"▓","")</f>
        <v/>
      </c>
      <c r="L176" s="169" t="str">
        <f>IF('01_Stations'!$D$174=1,"▓","")</f>
        <v/>
      </c>
      <c r="M176" s="169" t="str">
        <f>IF('01_Stations'!$D$175=1,"▓","")</f>
        <v/>
      </c>
      <c r="N176" s="169" t="str">
        <f>IF('01_Stations'!$D$176=1,"▓","")</f>
        <v/>
      </c>
      <c r="O176" s="169" t="str">
        <f>IF('01_Stations'!$D$177=1,"▓","")</f>
        <v/>
      </c>
      <c r="P176" s="169" t="str">
        <f>IF('01_Stations'!$D$178=1,"▓","")</f>
        <v/>
      </c>
      <c r="Q176" s="169" t="str">
        <f>IF('01_Stations'!$D$179=1,"▓","")</f>
        <v/>
      </c>
      <c r="R176" s="169" t="str">
        <f>IF('01_Stations'!$D$180=1,"▓","")</f>
        <v/>
      </c>
      <c r="S176" s="169" t="str">
        <f>IF('01_Stations'!$D$181=1,"▓","")</f>
        <v/>
      </c>
      <c r="T176" s="169" t="str">
        <f>IF('01_Stations'!$D$182=1,"▓","")</f>
        <v/>
      </c>
      <c r="U176" s="169" t="str">
        <f>IF('01_Stations'!$D$183=1,"▓","")</f>
        <v/>
      </c>
      <c r="V176" s="169" t="str">
        <f>IF('01_Stations'!$D$184=1,"▓","")</f>
        <v/>
      </c>
      <c r="W176" s="169" t="str">
        <f>IF('01_Stations'!$D$185=1,"▓","")</f>
        <v/>
      </c>
      <c r="X176" s="169" t="str">
        <f>IF('01_Stations'!$D$186=1,"▓","")</f>
        <v/>
      </c>
      <c r="Y176" s="169" t="str">
        <f>IF('01_Stations'!$D$187=1,"▓","")</f>
        <v/>
      </c>
      <c r="Z176" s="169" t="str">
        <f>IF('01_Stations'!$D$188=1,"▓","")</f>
        <v/>
      </c>
      <c r="AA176" s="169" t="str">
        <f>IF('01_Stations'!$D$189=1,"▓","")</f>
        <v/>
      </c>
      <c r="AB176" s="169" t="str">
        <f>IF('01_Stations'!$D$190=1,"▓","")</f>
        <v/>
      </c>
      <c r="AC176" s="169" t="str">
        <f>IF('01_Stations'!$D$191=1,"▓","")</f>
        <v/>
      </c>
      <c r="AD176" s="169" t="str">
        <f>IF('01_Stations'!$D$192=1,"▓","")</f>
        <v/>
      </c>
      <c r="AE176" s="169" t="str">
        <f>IF('01_Stations'!$D$193=1,"▓","")</f>
        <v/>
      </c>
      <c r="AF176" s="169" t="str">
        <f>IF('01_Stations'!$D$194=1,"▓","")</f>
        <v/>
      </c>
      <c r="AG176" s="169" t="str">
        <f>IF('01_Stations'!$D$195=1,"▓","")</f>
        <v/>
      </c>
      <c r="AH176" s="169" t="str">
        <f>IF('01_Stations'!$D$196=1,"▓","")</f>
        <v/>
      </c>
      <c r="AI176" s="169" t="str">
        <f>IF('01_Stations'!$D$197=1,"▓","")</f>
        <v/>
      </c>
      <c r="AJ176" s="169" t="str">
        <f>IF('01_Stations'!$D$198=1,"▓","")</f>
        <v/>
      </c>
      <c r="AK176" s="169" t="str">
        <f>IF('01_Stations'!$D$199=1,"▓","")</f>
        <v/>
      </c>
      <c r="AL176" s="169" t="str">
        <f>IF('01_Stations'!$D$200=1,"▓","")</f>
        <v/>
      </c>
      <c r="AM176" s="169" t="str">
        <f>IF('01_Stations'!$D$201=1,"▓","")</f>
        <v/>
      </c>
      <c r="AN176" s="169" t="str">
        <f>IF('01_Stations'!$D$202=1,"▓","")</f>
        <v/>
      </c>
      <c r="AO176" s="169" t="str">
        <f>IF('01_Stations'!$D$203=1,"▓","")</f>
        <v/>
      </c>
      <c r="AP176" s="169" t="str">
        <f>IF('01_Stations'!$D$204=1,"▓","")</f>
        <v/>
      </c>
      <c r="AQ176" s="169" t="str">
        <f>IF('01_Stations'!$D$205=1,"▓","")</f>
        <v/>
      </c>
    </row>
    <row r="177" spans="1:43" ht="15" customHeight="1" x14ac:dyDescent="0.3">
      <c r="A177" s="236"/>
      <c r="B177" s="165" t="s">
        <v>2206</v>
      </c>
      <c r="C177" s="166"/>
      <c r="D177" s="164" t="str">
        <f>IF('01_Stations'!$E$166="","",'01_Stations'!$E$166)</f>
        <v/>
      </c>
      <c r="E177" s="164" t="str">
        <f>IF('01_Stations'!$E$167="","",'01_Stations'!$E$167)</f>
        <v/>
      </c>
      <c r="F177" s="164" t="str">
        <f>IF('01_Stations'!$E$168="","",'01_Stations'!$E$168)</f>
        <v/>
      </c>
      <c r="G177" s="164" t="str">
        <f>IF('01_Stations'!$E$169="","",'01_Stations'!$E$169)</f>
        <v/>
      </c>
      <c r="H177" s="164" t="str">
        <f>IF('01_Stations'!$E$170="","",'01_Stations'!$E$170)</f>
        <v/>
      </c>
      <c r="I177" s="164" t="str">
        <f>IF('01_Stations'!$E$171="","",'01_Stations'!$E$171)</f>
        <v/>
      </c>
      <c r="J177" s="164" t="str">
        <f>IF('01_Stations'!$E$172="","",'01_Stations'!$E$172)</f>
        <v/>
      </c>
      <c r="K177" s="164" t="str">
        <f>IF('01_Stations'!$E$173="","",'01_Stations'!$E$173)</f>
        <v/>
      </c>
      <c r="L177" s="164" t="str">
        <f>IF('01_Stations'!$E$174="","",'01_Stations'!$E$174)</f>
        <v/>
      </c>
      <c r="M177" s="164" t="str">
        <f>IF('01_Stations'!$E$175="","",'01_Stations'!$E$175)</f>
        <v/>
      </c>
      <c r="N177" s="164" t="str">
        <f>IF('01_Stations'!$E$176="","",'01_Stations'!$E$176)</f>
        <v/>
      </c>
      <c r="O177" s="164" t="str">
        <f>IF('01_Stations'!$E$177="","",'01_Stations'!$E$177)</f>
        <v/>
      </c>
      <c r="P177" s="164" t="str">
        <f>IF('01_Stations'!$E$178="","",'01_Stations'!$E$178)</f>
        <v/>
      </c>
      <c r="Q177" s="164" t="str">
        <f>IF('01_Stations'!$E$179="","",'01_Stations'!$E$179)</f>
        <v/>
      </c>
      <c r="R177" s="164" t="str">
        <f>IF('01_Stations'!$E$180="","",'01_Stations'!$E$180)</f>
        <v/>
      </c>
      <c r="S177" s="164" t="str">
        <f>IF('01_Stations'!$E$181="","",'01_Stations'!$E$181)</f>
        <v/>
      </c>
      <c r="T177" s="164" t="str">
        <f>IF('01_Stations'!$E$182="","",'01_Stations'!$E$182)</f>
        <v/>
      </c>
      <c r="U177" s="164" t="str">
        <f>IF('01_Stations'!$E$183="","",'01_Stations'!$E$183)</f>
        <v/>
      </c>
      <c r="V177" s="164" t="str">
        <f>IF('01_Stations'!$E$184="","",'01_Stations'!$E$184)</f>
        <v/>
      </c>
      <c r="W177" s="164" t="str">
        <f>IF('01_Stations'!$E$185="","",'01_Stations'!$E$185)</f>
        <v/>
      </c>
      <c r="X177" s="164" t="str">
        <f>IF('01_Stations'!$E$186="","",'01_Stations'!$E$186)</f>
        <v/>
      </c>
      <c r="Y177" s="164" t="str">
        <f>IF('01_Stations'!$E$187="","",'01_Stations'!$E$187)</f>
        <v/>
      </c>
      <c r="Z177" s="164" t="str">
        <f>IF('01_Stations'!$E$188="","",'01_Stations'!$E$188)</f>
        <v/>
      </c>
      <c r="AA177" s="164" t="str">
        <f>IF('01_Stations'!$E$189="","",'01_Stations'!$E$189)</f>
        <v/>
      </c>
      <c r="AB177" s="164" t="str">
        <f>IF('01_Stations'!$E$190="","",'01_Stations'!$E$190)</f>
        <v/>
      </c>
      <c r="AC177" s="164" t="str">
        <f>IF('01_Stations'!$E$191="","",'01_Stations'!$E$191)</f>
        <v/>
      </c>
      <c r="AD177" s="164" t="str">
        <f>IF('01_Stations'!$E$192="","",'01_Stations'!$E$192)</f>
        <v/>
      </c>
      <c r="AE177" s="164" t="str">
        <f>IF('01_Stations'!$E$193="","",'01_Stations'!$E$193)</f>
        <v/>
      </c>
      <c r="AF177" s="164" t="str">
        <f>IF('01_Stations'!$E$194="","",'01_Stations'!$E$194)</f>
        <v/>
      </c>
      <c r="AG177" s="164" t="str">
        <f>IF('01_Stations'!$E$195="","",'01_Stations'!$E$195)</f>
        <v/>
      </c>
      <c r="AH177" s="164" t="str">
        <f>IF('01_Stations'!$E$196="","",'01_Stations'!$E$196)</f>
        <v/>
      </c>
      <c r="AI177" s="164" t="str">
        <f>IF('01_Stations'!$E$197="","",'01_Stations'!$E$197)</f>
        <v/>
      </c>
      <c r="AJ177" s="164" t="str">
        <f>IF('01_Stations'!$E$198="","",'01_Stations'!$E$198)</f>
        <v/>
      </c>
      <c r="AK177" s="164" t="str">
        <f>IF('01_Stations'!$E$199="","",'01_Stations'!$E$199)</f>
        <v/>
      </c>
      <c r="AL177" s="164" t="str">
        <f>IF('01_Stations'!$E$200="","",'01_Stations'!$E$200)</f>
        <v/>
      </c>
      <c r="AM177" s="164" t="str">
        <f>IF('01_Stations'!$E$201="","",'01_Stations'!$E$201)</f>
        <v/>
      </c>
      <c r="AN177" s="164" t="str">
        <f>IF('01_Stations'!$E$202="","",'01_Stations'!$E$202)</f>
        <v/>
      </c>
      <c r="AO177" s="164" t="str">
        <f>IF('01_Stations'!$E$203="","",'01_Stations'!$E$203)</f>
        <v/>
      </c>
      <c r="AP177" s="164" t="str">
        <f>IF('01_Stations'!$E$204="","",'01_Stations'!$E$204)</f>
        <v/>
      </c>
      <c r="AQ177" s="164" t="str">
        <f>IF('01_Stations'!$E$205="","",'01_Stations'!$E$205)</f>
        <v/>
      </c>
    </row>
    <row r="178" spans="1:43" ht="15" customHeight="1" x14ac:dyDescent="0.3">
      <c r="A178" s="236"/>
      <c r="B178" s="165" t="s">
        <v>2207</v>
      </c>
      <c r="C178" s="166"/>
      <c r="D178" s="164" t="str">
        <f>IF('01_Stations'!$F$166=1,"───","")</f>
        <v/>
      </c>
      <c r="E178" s="164" t="str">
        <f>IF('01_Stations'!$F$167=1,"───","")</f>
        <v/>
      </c>
      <c r="F178" s="164" t="str">
        <f>IF('01_Stations'!$F$168=1,"───","")</f>
        <v/>
      </c>
      <c r="G178" s="164" t="str">
        <f>IF('01_Stations'!$F$169=1,"───","")</f>
        <v/>
      </c>
      <c r="H178" s="164" t="str">
        <f>IF('01_Stations'!$F$170=1,"───","")</f>
        <v/>
      </c>
      <c r="I178" s="164" t="str">
        <f>IF('01_Stations'!$F$171=1,"───","")</f>
        <v/>
      </c>
      <c r="J178" s="164" t="str">
        <f>IF('01_Stations'!$F$172=1,"───","")</f>
        <v/>
      </c>
      <c r="K178" s="164" t="str">
        <f>IF('01_Stations'!$F$173=1,"───","")</f>
        <v/>
      </c>
      <c r="L178" s="164" t="str">
        <f>IF('01_Stations'!$F$174=1,"───","")</f>
        <v/>
      </c>
      <c r="M178" s="164" t="str">
        <f>IF('01_Stations'!$F$175=1,"───","")</f>
        <v/>
      </c>
      <c r="N178" s="164" t="str">
        <f>IF('01_Stations'!$F$176=1,"───","")</f>
        <v/>
      </c>
      <c r="O178" s="164" t="str">
        <f>IF('01_Stations'!$F$177=1,"───","")</f>
        <v/>
      </c>
      <c r="P178" s="164" t="str">
        <f>IF('01_Stations'!$F$178=1,"───","")</f>
        <v/>
      </c>
      <c r="Q178" s="164" t="str">
        <f>IF('01_Stations'!$F$179=1,"───","")</f>
        <v/>
      </c>
      <c r="R178" s="164" t="str">
        <f>IF('01_Stations'!$F$180=1,"───","")</f>
        <v/>
      </c>
      <c r="S178" s="164" t="str">
        <f>IF('01_Stations'!$F$181=1,"───","")</f>
        <v/>
      </c>
      <c r="T178" s="164" t="str">
        <f>IF('01_Stations'!$F$182=1,"───","")</f>
        <v/>
      </c>
      <c r="U178" s="164" t="str">
        <f>IF('01_Stations'!$F$183=1,"───","")</f>
        <v/>
      </c>
      <c r="V178" s="164" t="str">
        <f>IF('01_Stations'!$F$184=1,"───","")</f>
        <v/>
      </c>
      <c r="W178" s="164" t="str">
        <f>IF('01_Stations'!$F$185=1,"───","")</f>
        <v/>
      </c>
      <c r="X178" s="164" t="str">
        <f>IF('01_Stations'!$F$186=1,"───","")</f>
        <v/>
      </c>
      <c r="Y178" s="164" t="str">
        <f>IF('01_Stations'!$F$187=1,"───","")</f>
        <v/>
      </c>
      <c r="Z178" s="164" t="str">
        <f>IF('01_Stations'!$F$188=1,"───","")</f>
        <v/>
      </c>
      <c r="AA178" s="164" t="str">
        <f>IF('01_Stations'!$F$189=1,"───","")</f>
        <v/>
      </c>
      <c r="AB178" s="164" t="str">
        <f>IF('01_Stations'!$F$190=1,"───","")</f>
        <v/>
      </c>
      <c r="AC178" s="164" t="str">
        <f>IF('01_Stations'!$F$191=1,"───","")</f>
        <v/>
      </c>
      <c r="AD178" s="164" t="str">
        <f>IF('01_Stations'!$F$192=1,"───","")</f>
        <v/>
      </c>
      <c r="AE178" s="164" t="str">
        <f>IF('01_Stations'!$F$193=1,"───","")</f>
        <v/>
      </c>
      <c r="AF178" s="164" t="str">
        <f>IF('01_Stations'!$F$194=1,"───","")</f>
        <v/>
      </c>
      <c r="AG178" s="164" t="str">
        <f>IF('01_Stations'!$F$195=1,"───","")</f>
        <v/>
      </c>
      <c r="AH178" s="164" t="str">
        <f>IF('01_Stations'!$F$196=1,"───","")</f>
        <v/>
      </c>
      <c r="AI178" s="164" t="str">
        <f>IF('01_Stations'!$F$197=1,"───","")</f>
        <v/>
      </c>
      <c r="AJ178" s="164" t="str">
        <f>IF('01_Stations'!$F$198=1,"───","")</f>
        <v/>
      </c>
      <c r="AK178" s="164" t="str">
        <f>IF('01_Stations'!$F$199=1,"───","")</f>
        <v/>
      </c>
      <c r="AL178" s="164" t="str">
        <f>IF('01_Stations'!$F$200=1,"───","")</f>
        <v/>
      </c>
      <c r="AM178" s="164" t="str">
        <f>IF('01_Stations'!$F$201=1,"───","")</f>
        <v/>
      </c>
      <c r="AN178" s="164" t="str">
        <f>IF('01_Stations'!$F$202=1,"───","")</f>
        <v/>
      </c>
      <c r="AO178" s="164" t="str">
        <f>IF('01_Stations'!$F$203=1,"───","")</f>
        <v/>
      </c>
      <c r="AP178" s="164" t="str">
        <f>IF('01_Stations'!$F$204=1,"───","")</f>
        <v/>
      </c>
      <c r="AQ178" s="164" t="str">
        <f>IF('01_Stations'!$F$205=1,"───","")</f>
        <v/>
      </c>
    </row>
    <row r="179" spans="1:43" ht="15" customHeight="1" x14ac:dyDescent="0.3">
      <c r="A179" s="236"/>
      <c r="B179" s="165" t="s">
        <v>265</v>
      </c>
      <c r="C179" s="166" t="s">
        <v>299</v>
      </c>
      <c r="D179" s="164" t="str">
        <f>IF(N('01_Stations'!$G$166)&gt;0,'01_Stations'!$G$166,"")</f>
        <v/>
      </c>
      <c r="E179" s="164" t="str">
        <f>IF(N('01_Stations'!$G$167)&gt;0,'01_Stations'!$G$167,"")</f>
        <v/>
      </c>
      <c r="F179" s="164" t="str">
        <f>IF(N('01_Stations'!$G$168)&gt;0,'01_Stations'!$G$168,"")</f>
        <v/>
      </c>
      <c r="G179" s="164" t="str">
        <f>IF(N('01_Stations'!$G$169)&gt;0,'01_Stations'!$G$169,"")</f>
        <v/>
      </c>
      <c r="H179" s="164" t="str">
        <f>IF(N('01_Stations'!$G$170)&gt;0,'01_Stations'!$G$170,"")</f>
        <v/>
      </c>
      <c r="I179" s="164" t="str">
        <f>IF(N('01_Stations'!$G$171)&gt;0,'01_Stations'!$G$171,"")</f>
        <v/>
      </c>
      <c r="J179" s="164" t="str">
        <f>IF(N('01_Stations'!$G$172)&gt;0,'01_Stations'!$G$172,"")</f>
        <v/>
      </c>
      <c r="K179" s="164" t="str">
        <f>IF(N('01_Stations'!$G$173)&gt;0,'01_Stations'!$G$173,"")</f>
        <v/>
      </c>
      <c r="L179" s="164" t="str">
        <f>IF(N('01_Stations'!$G$174)&gt;0,'01_Stations'!$G$174,"")</f>
        <v/>
      </c>
      <c r="M179" s="164" t="str">
        <f>IF(N('01_Stations'!$G$175)&gt;0,'01_Stations'!$G$175,"")</f>
        <v/>
      </c>
      <c r="N179" s="164" t="str">
        <f>IF(N('01_Stations'!$G$176)&gt;0,'01_Stations'!$G$176,"")</f>
        <v/>
      </c>
      <c r="O179" s="164" t="str">
        <f>IF(N('01_Stations'!$G$177)&gt;0,'01_Stations'!$G$177,"")</f>
        <v/>
      </c>
      <c r="P179" s="164" t="str">
        <f>IF(N('01_Stations'!$G$178)&gt;0,'01_Stations'!$G$178,"")</f>
        <v/>
      </c>
      <c r="Q179" s="164" t="str">
        <f>IF(N('01_Stations'!$G$179)&gt;0,'01_Stations'!$G$179,"")</f>
        <v/>
      </c>
      <c r="R179" s="164" t="str">
        <f>IF(N('01_Stations'!$G$180)&gt;0,'01_Stations'!$G$180,"")</f>
        <v/>
      </c>
      <c r="S179" s="164" t="str">
        <f>IF(N('01_Stations'!$G$181)&gt;0,'01_Stations'!$G$181,"")</f>
        <v/>
      </c>
      <c r="T179" s="164" t="str">
        <f>IF(N('01_Stations'!$G$182)&gt;0,'01_Stations'!$G$182,"")</f>
        <v/>
      </c>
      <c r="U179" s="164" t="str">
        <f>IF(N('01_Stations'!$G$183)&gt;0,'01_Stations'!$G$183,"")</f>
        <v/>
      </c>
      <c r="V179" s="164" t="str">
        <f>IF(N('01_Stations'!$G$184)&gt;0,'01_Stations'!$G$184,"")</f>
        <v/>
      </c>
      <c r="W179" s="164" t="str">
        <f>IF(N('01_Stations'!$G$185)&gt;0,'01_Stations'!$G$185,"")</f>
        <v/>
      </c>
      <c r="X179" s="164" t="str">
        <f>IF(N('01_Stations'!$G$186)&gt;0,'01_Stations'!$G$186,"")</f>
        <v/>
      </c>
      <c r="Y179" s="164" t="str">
        <f>IF(N('01_Stations'!$G$187)&gt;0,'01_Stations'!$G$187,"")</f>
        <v/>
      </c>
      <c r="Z179" s="164" t="str">
        <f>IF(N('01_Stations'!$G$188)&gt;0,'01_Stations'!$G$188,"")</f>
        <v/>
      </c>
      <c r="AA179" s="164" t="str">
        <f>IF(N('01_Stations'!$G$189)&gt;0,'01_Stations'!$G$189,"")</f>
        <v/>
      </c>
      <c r="AB179" s="164" t="str">
        <f>IF(N('01_Stations'!$G$190)&gt;0,'01_Stations'!$G$190,"")</f>
        <v/>
      </c>
      <c r="AC179" s="164" t="str">
        <f>IF(N('01_Stations'!$G$191)&gt;0,'01_Stations'!$G$191,"")</f>
        <v/>
      </c>
      <c r="AD179" s="164" t="str">
        <f>IF(N('01_Stations'!$G$192)&gt;0,'01_Stations'!$G$192,"")</f>
        <v/>
      </c>
      <c r="AE179" s="164" t="str">
        <f>IF(N('01_Stations'!$G$193)&gt;0,'01_Stations'!$G$193,"")</f>
        <v/>
      </c>
      <c r="AF179" s="164" t="str">
        <f>IF(N('01_Stations'!$G$194)&gt;0,'01_Stations'!$G$194,"")</f>
        <v/>
      </c>
      <c r="AG179" s="164" t="str">
        <f>IF(N('01_Stations'!$G$195)&gt;0,'01_Stations'!$G$195,"")</f>
        <v/>
      </c>
      <c r="AH179" s="164" t="str">
        <f>IF(N('01_Stations'!$G$196)&gt;0,'01_Stations'!$G$196,"")</f>
        <v/>
      </c>
      <c r="AI179" s="164" t="str">
        <f>IF(N('01_Stations'!$G$197)&gt;0,'01_Stations'!$G$197,"")</f>
        <v/>
      </c>
      <c r="AJ179" s="164" t="str">
        <f>IF(N('01_Stations'!$G$198)&gt;0,'01_Stations'!$G$198,"")</f>
        <v/>
      </c>
      <c r="AK179" s="164" t="str">
        <f>IF(N('01_Stations'!$G$199)&gt;0,'01_Stations'!$G$199,"")</f>
        <v/>
      </c>
      <c r="AL179" s="164" t="str">
        <f>IF(N('01_Stations'!$G$200)&gt;0,'01_Stations'!$G$200,"")</f>
        <v/>
      </c>
      <c r="AM179" s="164" t="str">
        <f>IF(N('01_Stations'!$G$201)&gt;0,'01_Stations'!$G$201,"")</f>
        <v/>
      </c>
      <c r="AN179" s="164" t="str">
        <f>IF(N('01_Stations'!$G$202)&gt;0,'01_Stations'!$G$202,"")</f>
        <v/>
      </c>
      <c r="AO179" s="164" t="str">
        <f>IF(N('01_Stations'!$G$203)&gt;0,'01_Stations'!$G$203,"")</f>
        <v/>
      </c>
      <c r="AP179" s="164" t="str">
        <f>IF(N('01_Stations'!$G$204)&gt;0,'01_Stations'!$G$204,"")</f>
        <v/>
      </c>
      <c r="AQ179" s="164" t="str">
        <f>IF(N('01_Stations'!$G$205)&gt;0,'01_Stations'!$G$205,"")</f>
        <v/>
      </c>
    </row>
    <row r="180" spans="1:43" ht="15" customHeight="1" x14ac:dyDescent="0.3">
      <c r="A180" s="236"/>
      <c r="B180" s="165" t="s">
        <v>1866</v>
      </c>
      <c r="C180" s="166" t="s">
        <v>300</v>
      </c>
      <c r="D180" s="164" t="str">
        <f>IF(N('01_Stations'!$H$166)&gt;0,'01_Stations'!$H$166,"")</f>
        <v/>
      </c>
      <c r="E180" s="164" t="str">
        <f>IF(N('01_Stations'!$H$167)&gt;0,'01_Stations'!$H$167,"")</f>
        <v/>
      </c>
      <c r="F180" s="164" t="str">
        <f>IF(N('01_Stations'!$H$168)&gt;0,'01_Stations'!$H$168,"")</f>
        <v/>
      </c>
      <c r="G180" s="164" t="str">
        <f>IF(N('01_Stations'!$H$169)&gt;0,'01_Stations'!$H$169,"")</f>
        <v/>
      </c>
      <c r="H180" s="164" t="str">
        <f>IF(N('01_Stations'!$H$170)&gt;0,'01_Stations'!$H$170,"")</f>
        <v/>
      </c>
      <c r="I180" s="164" t="str">
        <f>IF(N('01_Stations'!$H$171)&gt;0,'01_Stations'!$H$171,"")</f>
        <v/>
      </c>
      <c r="J180" s="164" t="str">
        <f>IF(N('01_Stations'!$H$172)&gt;0,'01_Stations'!$H$172,"")</f>
        <v/>
      </c>
      <c r="K180" s="164" t="str">
        <f>IF(N('01_Stations'!$H$173)&gt;0,'01_Stations'!$H$173,"")</f>
        <v/>
      </c>
      <c r="L180" s="164" t="str">
        <f>IF(N('01_Stations'!$H$174)&gt;0,'01_Stations'!$H$174,"")</f>
        <v/>
      </c>
      <c r="M180" s="164" t="str">
        <f>IF(N('01_Stations'!$H$175)&gt;0,'01_Stations'!$H$175,"")</f>
        <v/>
      </c>
      <c r="N180" s="164" t="str">
        <f>IF(N('01_Stations'!$H$176)&gt;0,'01_Stations'!$H$176,"")</f>
        <v/>
      </c>
      <c r="O180" s="164" t="str">
        <f>IF(N('01_Stations'!$H$177)&gt;0,'01_Stations'!$H$177,"")</f>
        <v/>
      </c>
      <c r="P180" s="164" t="str">
        <f>IF(N('01_Stations'!$H$178)&gt;0,'01_Stations'!$H$178,"")</f>
        <v/>
      </c>
      <c r="Q180" s="164" t="str">
        <f>IF(N('01_Stations'!$H$179)&gt;0,'01_Stations'!$H$179,"")</f>
        <v/>
      </c>
      <c r="R180" s="164" t="str">
        <f>IF(N('01_Stations'!$H$180)&gt;0,'01_Stations'!$H$180,"")</f>
        <v/>
      </c>
      <c r="S180" s="164" t="str">
        <f>IF(N('01_Stations'!$H$181)&gt;0,'01_Stations'!$H$181,"")</f>
        <v/>
      </c>
      <c r="T180" s="164" t="str">
        <f>IF(N('01_Stations'!$H$182)&gt;0,'01_Stations'!$H$182,"")</f>
        <v/>
      </c>
      <c r="U180" s="164" t="str">
        <f>IF(N('01_Stations'!$H$183)&gt;0,'01_Stations'!$H$183,"")</f>
        <v/>
      </c>
      <c r="V180" s="164" t="str">
        <f>IF(N('01_Stations'!$H$184)&gt;0,'01_Stations'!$H$184,"")</f>
        <v/>
      </c>
      <c r="W180" s="164" t="str">
        <f>IF(N('01_Stations'!$H$185)&gt;0,'01_Stations'!$H$185,"")</f>
        <v/>
      </c>
      <c r="X180" s="164" t="str">
        <f>IF(N('01_Stations'!$H$186)&gt;0,'01_Stations'!$H$186,"")</f>
        <v/>
      </c>
      <c r="Y180" s="164" t="str">
        <f>IF(N('01_Stations'!$H$187)&gt;0,'01_Stations'!$H$187,"")</f>
        <v/>
      </c>
      <c r="Z180" s="164" t="str">
        <f>IF(N('01_Stations'!$H$188)&gt;0,'01_Stations'!$H$188,"")</f>
        <v/>
      </c>
      <c r="AA180" s="164" t="str">
        <f>IF(N('01_Stations'!$H$189)&gt;0,'01_Stations'!$H$189,"")</f>
        <v/>
      </c>
      <c r="AB180" s="164" t="str">
        <f>IF(N('01_Stations'!$H$190)&gt;0,'01_Stations'!$H$190,"")</f>
        <v/>
      </c>
      <c r="AC180" s="164" t="str">
        <f>IF(N('01_Stations'!$H$191)&gt;0,'01_Stations'!$H$191,"")</f>
        <v/>
      </c>
      <c r="AD180" s="164" t="str">
        <f>IF(N('01_Stations'!$H$192)&gt;0,'01_Stations'!$H$192,"")</f>
        <v/>
      </c>
      <c r="AE180" s="164" t="str">
        <f>IF(N('01_Stations'!$H$193)&gt;0,'01_Stations'!$H$193,"")</f>
        <v/>
      </c>
      <c r="AF180" s="164" t="str">
        <f>IF(N('01_Stations'!$H$194)&gt;0,'01_Stations'!$H$194,"")</f>
        <v/>
      </c>
      <c r="AG180" s="164" t="str">
        <f>IF(N('01_Stations'!$H$195)&gt;0,'01_Stations'!$H$195,"")</f>
        <v/>
      </c>
      <c r="AH180" s="164" t="str">
        <f>IF(N('01_Stations'!$H$196)&gt;0,'01_Stations'!$H$196,"")</f>
        <v/>
      </c>
      <c r="AI180" s="164" t="str">
        <f>IF(N('01_Stations'!$H$197)&gt;0,'01_Stations'!$H$197,"")</f>
        <v/>
      </c>
      <c r="AJ180" s="164" t="str">
        <f>IF(N('01_Stations'!$H$198)&gt;0,'01_Stations'!$H$198,"")</f>
        <v/>
      </c>
      <c r="AK180" s="164" t="str">
        <f>IF(N('01_Stations'!$H$199)&gt;0,'01_Stations'!$H$199,"")</f>
        <v/>
      </c>
      <c r="AL180" s="164" t="str">
        <f>IF(N('01_Stations'!$H$200)&gt;0,'01_Stations'!$H$200,"")</f>
        <v/>
      </c>
      <c r="AM180" s="164" t="str">
        <f>IF(N('01_Stations'!$H$201)&gt;0,'01_Stations'!$H$201,"")</f>
        <v/>
      </c>
      <c r="AN180" s="164" t="str">
        <f>IF(N('01_Stations'!$H$202)&gt;0,'01_Stations'!$H$202,"")</f>
        <v/>
      </c>
      <c r="AO180" s="164" t="str">
        <f>IF(N('01_Stations'!$H$203)&gt;0,'01_Stations'!$H$203,"")</f>
        <v/>
      </c>
      <c r="AP180" s="164" t="str">
        <f>IF(N('01_Stations'!$H$204)&gt;0,'01_Stations'!$H$204,"")</f>
        <v/>
      </c>
      <c r="AQ180" s="164" t="str">
        <f>IF(N('01_Stations'!$H$205)&gt;0,'01_Stations'!$H$205,"")</f>
        <v/>
      </c>
    </row>
    <row r="181" spans="1:43" ht="15" customHeight="1" x14ac:dyDescent="0.3">
      <c r="A181" s="236"/>
      <c r="B181" s="165" t="s">
        <v>267</v>
      </c>
      <c r="C181" s="166"/>
      <c r="D181" s="164" t="str">
        <f>IF('01_Stations'!$I$166=1,"───","")</f>
        <v/>
      </c>
      <c r="E181" s="164" t="str">
        <f>IF('01_Stations'!$I$167=1,"───","")</f>
        <v/>
      </c>
      <c r="F181" s="164" t="str">
        <f>IF('01_Stations'!$I$168=1,"───","")</f>
        <v/>
      </c>
      <c r="G181" s="164" t="str">
        <f>IF('01_Stations'!$I$169=1,"───","")</f>
        <v/>
      </c>
      <c r="H181" s="164" t="str">
        <f>IF('01_Stations'!$I$170=1,"───","")</f>
        <v/>
      </c>
      <c r="I181" s="164" t="str">
        <f>IF('01_Stations'!$I$171=1,"───","")</f>
        <v/>
      </c>
      <c r="J181" s="164" t="str">
        <f>IF('01_Stations'!$I$172=1,"───","")</f>
        <v/>
      </c>
      <c r="K181" s="164" t="str">
        <f>IF('01_Stations'!$I$173=1,"───","")</f>
        <v/>
      </c>
      <c r="L181" s="164" t="str">
        <f>IF('01_Stations'!$I$174=1,"───","")</f>
        <v/>
      </c>
      <c r="M181" s="164" t="str">
        <f>IF('01_Stations'!$I$175=1,"───","")</f>
        <v/>
      </c>
      <c r="N181" s="164" t="str">
        <f>IF('01_Stations'!$I$176=1,"───","")</f>
        <v/>
      </c>
      <c r="O181" s="164" t="str">
        <f>IF('01_Stations'!$I$177=1,"───","")</f>
        <v/>
      </c>
      <c r="P181" s="164" t="str">
        <f>IF('01_Stations'!$I$178=1,"───","")</f>
        <v/>
      </c>
      <c r="Q181" s="164" t="str">
        <f>IF('01_Stations'!$I$179=1,"───","")</f>
        <v/>
      </c>
      <c r="R181" s="164" t="str">
        <f>IF('01_Stations'!$I$180=1,"───","")</f>
        <v/>
      </c>
      <c r="S181" s="164" t="str">
        <f>IF('01_Stations'!$I$181=1,"───","")</f>
        <v/>
      </c>
      <c r="T181" s="164" t="str">
        <f>IF('01_Stations'!$I$182=1,"───","")</f>
        <v/>
      </c>
      <c r="U181" s="164" t="str">
        <f>IF('01_Stations'!$I$183=1,"───","")</f>
        <v/>
      </c>
      <c r="V181" s="164" t="str">
        <f>IF('01_Stations'!$I$184=1,"───","")</f>
        <v/>
      </c>
      <c r="W181" s="164" t="str">
        <f>IF('01_Stations'!$I$185=1,"───","")</f>
        <v/>
      </c>
      <c r="X181" s="164" t="str">
        <f>IF('01_Stations'!$I$186=1,"───","")</f>
        <v/>
      </c>
      <c r="Y181" s="164" t="str">
        <f>IF('01_Stations'!$I$187=1,"───","")</f>
        <v/>
      </c>
      <c r="Z181" s="164" t="str">
        <f>IF('01_Stations'!$I$188=1,"───","")</f>
        <v/>
      </c>
      <c r="AA181" s="164" t="str">
        <f>IF('01_Stations'!$I$189=1,"───","")</f>
        <v/>
      </c>
      <c r="AB181" s="164" t="str">
        <f>IF('01_Stations'!$I$190=1,"───","")</f>
        <v/>
      </c>
      <c r="AC181" s="164" t="str">
        <f>IF('01_Stations'!$I$191=1,"───","")</f>
        <v/>
      </c>
      <c r="AD181" s="164" t="str">
        <f>IF('01_Stations'!$I$192=1,"───","")</f>
        <v/>
      </c>
      <c r="AE181" s="164" t="str">
        <f>IF('01_Stations'!$I$193=1,"───","")</f>
        <v/>
      </c>
      <c r="AF181" s="164" t="str">
        <f>IF('01_Stations'!$I$194=1,"───","")</f>
        <v/>
      </c>
      <c r="AG181" s="164" t="str">
        <f>IF('01_Stations'!$I$195=1,"───","")</f>
        <v/>
      </c>
      <c r="AH181" s="164" t="str">
        <f>IF('01_Stations'!$I$196=1,"───","")</f>
        <v/>
      </c>
      <c r="AI181" s="164" t="str">
        <f>IF('01_Stations'!$I$197=1,"───","")</f>
        <v/>
      </c>
      <c r="AJ181" s="164" t="str">
        <f>IF('01_Stations'!$I$198=1,"───","")</f>
        <v/>
      </c>
      <c r="AK181" s="164" t="str">
        <f>IF('01_Stations'!$I$199=1,"───","")</f>
        <v/>
      </c>
      <c r="AL181" s="164" t="str">
        <f>IF('01_Stations'!$I$200=1,"───","")</f>
        <v/>
      </c>
      <c r="AM181" s="164" t="str">
        <f>IF('01_Stations'!$I$201=1,"───","")</f>
        <v/>
      </c>
      <c r="AN181" s="164" t="str">
        <f>IF('01_Stations'!$I$202=1,"───","")</f>
        <v/>
      </c>
      <c r="AO181" s="164" t="str">
        <f>IF('01_Stations'!$I$203=1,"───","")</f>
        <v/>
      </c>
      <c r="AP181" s="164" t="str">
        <f>IF('01_Stations'!$I$204=1,"───","")</f>
        <v/>
      </c>
      <c r="AQ181" s="164" t="str">
        <f>IF('01_Stations'!$I$205=1,"───","")</f>
        <v/>
      </c>
    </row>
    <row r="182" spans="1:43" ht="15" customHeight="1" x14ac:dyDescent="0.3">
      <c r="A182" s="236"/>
      <c r="B182" s="165" t="s">
        <v>268</v>
      </c>
      <c r="C182" s="166" t="s">
        <v>299</v>
      </c>
      <c r="D182" s="164" t="str">
        <f>IF(N('01_Stations'!$J$166)&gt;0,'01_Stations'!$J$166,"")</f>
        <v/>
      </c>
      <c r="E182" s="164" t="str">
        <f>IF(N('01_Stations'!$J$167)&gt;0,'01_Stations'!$J$167,"")</f>
        <v/>
      </c>
      <c r="F182" s="164" t="str">
        <f>IF(N('01_Stations'!$J$168)&gt;0,'01_Stations'!$J$168,"")</f>
        <v/>
      </c>
      <c r="G182" s="164" t="str">
        <f>IF(N('01_Stations'!$J$169)&gt;0,'01_Stations'!$J$169,"")</f>
        <v/>
      </c>
      <c r="H182" s="164" t="str">
        <f>IF(N('01_Stations'!$J$170)&gt;0,'01_Stations'!$J$170,"")</f>
        <v/>
      </c>
      <c r="I182" s="164" t="str">
        <f>IF(N('01_Stations'!$J$171)&gt;0,'01_Stations'!$J$171,"")</f>
        <v/>
      </c>
      <c r="J182" s="164" t="str">
        <f>IF(N('01_Stations'!$J$172)&gt;0,'01_Stations'!$J$172,"")</f>
        <v/>
      </c>
      <c r="K182" s="164" t="str">
        <f>IF(N('01_Stations'!$J$173)&gt;0,'01_Stations'!$J$173,"")</f>
        <v/>
      </c>
      <c r="L182" s="164" t="str">
        <f>IF(N('01_Stations'!$J$174)&gt;0,'01_Stations'!$J$174,"")</f>
        <v/>
      </c>
      <c r="M182" s="164" t="str">
        <f>IF(N('01_Stations'!$J$175)&gt;0,'01_Stations'!$J$175,"")</f>
        <v/>
      </c>
      <c r="N182" s="164" t="str">
        <f>IF(N('01_Stations'!$J$176)&gt;0,'01_Stations'!$J$176,"")</f>
        <v/>
      </c>
      <c r="O182" s="164" t="str">
        <f>IF(N('01_Stations'!$J$177)&gt;0,'01_Stations'!$J$177,"")</f>
        <v/>
      </c>
      <c r="P182" s="164" t="str">
        <f>IF(N('01_Stations'!$J$178)&gt;0,'01_Stations'!$J$178,"")</f>
        <v/>
      </c>
      <c r="Q182" s="164" t="str">
        <f>IF(N('01_Stations'!$J$179)&gt;0,'01_Stations'!$J$179,"")</f>
        <v/>
      </c>
      <c r="R182" s="164" t="str">
        <f>IF(N('01_Stations'!$J$180)&gt;0,'01_Stations'!$J$180,"")</f>
        <v/>
      </c>
      <c r="S182" s="164" t="str">
        <f>IF(N('01_Stations'!$J$181)&gt;0,'01_Stations'!$J$181,"")</f>
        <v/>
      </c>
      <c r="T182" s="164" t="str">
        <f>IF(N('01_Stations'!$J$182)&gt;0,'01_Stations'!$J$182,"")</f>
        <v/>
      </c>
      <c r="U182" s="164" t="str">
        <f>IF(N('01_Stations'!$J$183)&gt;0,'01_Stations'!$J$183,"")</f>
        <v/>
      </c>
      <c r="V182" s="164" t="str">
        <f>IF(N('01_Stations'!$J$184)&gt;0,'01_Stations'!$J$184,"")</f>
        <v/>
      </c>
      <c r="W182" s="164" t="str">
        <f>IF(N('01_Stations'!$J$185)&gt;0,'01_Stations'!$J$185,"")</f>
        <v/>
      </c>
      <c r="X182" s="164" t="str">
        <f>IF(N('01_Stations'!$J$186)&gt;0,'01_Stations'!$J$186,"")</f>
        <v/>
      </c>
      <c r="Y182" s="164" t="str">
        <f>IF(N('01_Stations'!$J$187)&gt;0,'01_Stations'!$J$187,"")</f>
        <v/>
      </c>
      <c r="Z182" s="164" t="str">
        <f>IF(N('01_Stations'!$J$188)&gt;0,'01_Stations'!$J$188,"")</f>
        <v/>
      </c>
      <c r="AA182" s="164" t="str">
        <f>IF(N('01_Stations'!$J$189)&gt;0,'01_Stations'!$J$189,"")</f>
        <v/>
      </c>
      <c r="AB182" s="164" t="str">
        <f>IF(N('01_Stations'!$J$190)&gt;0,'01_Stations'!$J$190,"")</f>
        <v/>
      </c>
      <c r="AC182" s="164" t="str">
        <f>IF(N('01_Stations'!$J$191)&gt;0,'01_Stations'!$J$191,"")</f>
        <v/>
      </c>
      <c r="AD182" s="164" t="str">
        <f>IF(N('01_Stations'!$J$192)&gt;0,'01_Stations'!$J$192,"")</f>
        <v/>
      </c>
      <c r="AE182" s="164" t="str">
        <f>IF(N('01_Stations'!$J$193)&gt;0,'01_Stations'!$J$193,"")</f>
        <v/>
      </c>
      <c r="AF182" s="164" t="str">
        <f>IF(N('01_Stations'!$J$194)&gt;0,'01_Stations'!$J$194,"")</f>
        <v/>
      </c>
      <c r="AG182" s="164" t="str">
        <f>IF(N('01_Stations'!$J$195)&gt;0,'01_Stations'!$J$195,"")</f>
        <v/>
      </c>
      <c r="AH182" s="164" t="str">
        <f>IF(N('01_Stations'!$J$196)&gt;0,'01_Stations'!$J$196,"")</f>
        <v/>
      </c>
      <c r="AI182" s="164" t="str">
        <f>IF(N('01_Stations'!$J$197)&gt;0,'01_Stations'!$J$197,"")</f>
        <v/>
      </c>
      <c r="AJ182" s="164" t="str">
        <f>IF(N('01_Stations'!$J$198)&gt;0,'01_Stations'!$J$198,"")</f>
        <v/>
      </c>
      <c r="AK182" s="164" t="str">
        <f>IF(N('01_Stations'!$J$199)&gt;0,'01_Stations'!$J$199,"")</f>
        <v/>
      </c>
      <c r="AL182" s="164" t="str">
        <f>IF(N('01_Stations'!$J$200)&gt;0,'01_Stations'!$J$200,"")</f>
        <v/>
      </c>
      <c r="AM182" s="164" t="str">
        <f>IF(N('01_Stations'!$J$201)&gt;0,'01_Stations'!$J$201,"")</f>
        <v/>
      </c>
      <c r="AN182" s="164" t="str">
        <f>IF(N('01_Stations'!$J$202)&gt;0,'01_Stations'!$J$202,"")</f>
        <v/>
      </c>
      <c r="AO182" s="164" t="str">
        <f>IF(N('01_Stations'!$J$203)&gt;0,'01_Stations'!$J$203,"")</f>
        <v/>
      </c>
      <c r="AP182" s="164" t="str">
        <f>IF(N('01_Stations'!$J$204)&gt;0,'01_Stations'!$J$204,"")</f>
        <v/>
      </c>
      <c r="AQ182" s="164" t="str">
        <f>IF(N('01_Stations'!$J$205)&gt;0,'01_Stations'!$J$205,"")</f>
        <v/>
      </c>
    </row>
    <row r="183" spans="1:43" ht="15" customHeight="1" x14ac:dyDescent="0.3">
      <c r="A183" s="236"/>
      <c r="B183" s="165" t="s">
        <v>2208</v>
      </c>
      <c r="C183" s="166" t="s">
        <v>63</v>
      </c>
      <c r="D183" s="164" t="str">
        <f>IF(N('01_Stations'!$K$166)&gt;0,'01_Stations'!$K$166,"")</f>
        <v/>
      </c>
      <c r="E183" s="164" t="str">
        <f>IF(N('01_Stations'!$K$167)&gt;0,'01_Stations'!$K$167,"")</f>
        <v/>
      </c>
      <c r="F183" s="164" t="str">
        <f>IF(N('01_Stations'!$K$168)&gt;0,'01_Stations'!$K$168,"")</f>
        <v/>
      </c>
      <c r="G183" s="164" t="str">
        <f>IF(N('01_Stations'!$K$169)&gt;0,'01_Stations'!$K$169,"")</f>
        <v/>
      </c>
      <c r="H183" s="164" t="str">
        <f>IF(N('01_Stations'!$K$170)&gt;0,'01_Stations'!$K$170,"")</f>
        <v/>
      </c>
      <c r="I183" s="164" t="str">
        <f>IF(N('01_Stations'!$K$171)&gt;0,'01_Stations'!$K$171,"")</f>
        <v/>
      </c>
      <c r="J183" s="164" t="str">
        <f>IF(N('01_Stations'!$K$172)&gt;0,'01_Stations'!$K$172,"")</f>
        <v/>
      </c>
      <c r="K183" s="164" t="str">
        <f>IF(N('01_Stations'!$K$173)&gt;0,'01_Stations'!$K$173,"")</f>
        <v/>
      </c>
      <c r="L183" s="164" t="str">
        <f>IF(N('01_Stations'!$K$174)&gt;0,'01_Stations'!$K$174,"")</f>
        <v/>
      </c>
      <c r="M183" s="164" t="str">
        <f>IF(N('01_Stations'!$K$175)&gt;0,'01_Stations'!$K$175,"")</f>
        <v/>
      </c>
      <c r="N183" s="164" t="str">
        <f>IF(N('01_Stations'!$K$176)&gt;0,'01_Stations'!$K$176,"")</f>
        <v/>
      </c>
      <c r="O183" s="164" t="str">
        <f>IF(N('01_Stations'!$K$177)&gt;0,'01_Stations'!$K$177,"")</f>
        <v/>
      </c>
      <c r="P183" s="164" t="str">
        <f>IF(N('01_Stations'!$K$178)&gt;0,'01_Stations'!$K$178,"")</f>
        <v/>
      </c>
      <c r="Q183" s="164" t="str">
        <f>IF(N('01_Stations'!$K$179)&gt;0,'01_Stations'!$K$179,"")</f>
        <v/>
      </c>
      <c r="R183" s="164" t="str">
        <f>IF(N('01_Stations'!$K$180)&gt;0,'01_Stations'!$K$180,"")</f>
        <v/>
      </c>
      <c r="S183" s="164" t="str">
        <f>IF(N('01_Stations'!$K$181)&gt;0,'01_Stations'!$K$181,"")</f>
        <v/>
      </c>
      <c r="T183" s="164" t="str">
        <f>IF(N('01_Stations'!$K$182)&gt;0,'01_Stations'!$K$182,"")</f>
        <v/>
      </c>
      <c r="U183" s="164" t="str">
        <f>IF(N('01_Stations'!$K$183)&gt;0,'01_Stations'!$K$183,"")</f>
        <v/>
      </c>
      <c r="V183" s="164" t="str">
        <f>IF(N('01_Stations'!$K$184)&gt;0,'01_Stations'!$K$184,"")</f>
        <v/>
      </c>
      <c r="W183" s="164" t="str">
        <f>IF(N('01_Stations'!$K$185)&gt;0,'01_Stations'!$K$185,"")</f>
        <v/>
      </c>
      <c r="X183" s="164" t="str">
        <f>IF(N('01_Stations'!$K$186)&gt;0,'01_Stations'!$K$186,"")</f>
        <v/>
      </c>
      <c r="Y183" s="164" t="str">
        <f>IF(N('01_Stations'!$K$187)&gt;0,'01_Stations'!$K$187,"")</f>
        <v/>
      </c>
      <c r="Z183" s="164" t="str">
        <f>IF(N('01_Stations'!$K$188)&gt;0,'01_Stations'!$K$188,"")</f>
        <v/>
      </c>
      <c r="AA183" s="164" t="str">
        <f>IF(N('01_Stations'!$K$189)&gt;0,'01_Stations'!$K$189,"")</f>
        <v/>
      </c>
      <c r="AB183" s="164" t="str">
        <f>IF(N('01_Stations'!$K$190)&gt;0,'01_Stations'!$K$190,"")</f>
        <v/>
      </c>
      <c r="AC183" s="164" t="str">
        <f>IF(N('01_Stations'!$K$191)&gt;0,'01_Stations'!$K$191,"")</f>
        <v/>
      </c>
      <c r="AD183" s="164" t="str">
        <f>IF(N('01_Stations'!$K$192)&gt;0,'01_Stations'!$K$192,"")</f>
        <v/>
      </c>
      <c r="AE183" s="164" t="str">
        <f>IF(N('01_Stations'!$K$193)&gt;0,'01_Stations'!$K$193,"")</f>
        <v/>
      </c>
      <c r="AF183" s="164" t="str">
        <f>IF(N('01_Stations'!$K$194)&gt;0,'01_Stations'!$K$194,"")</f>
        <v/>
      </c>
      <c r="AG183" s="164" t="str">
        <f>IF(N('01_Stations'!$K$195)&gt;0,'01_Stations'!$K$195,"")</f>
        <v/>
      </c>
      <c r="AH183" s="164" t="str">
        <f>IF(N('01_Stations'!$K$196)&gt;0,'01_Stations'!$K$196,"")</f>
        <v/>
      </c>
      <c r="AI183" s="164" t="str">
        <f>IF(N('01_Stations'!$K$197)&gt;0,'01_Stations'!$K$197,"")</f>
        <v/>
      </c>
      <c r="AJ183" s="164" t="str">
        <f>IF(N('01_Stations'!$K$198)&gt;0,'01_Stations'!$K$198,"")</f>
        <v/>
      </c>
      <c r="AK183" s="164" t="str">
        <f>IF(N('01_Stations'!$K$199)&gt;0,'01_Stations'!$K$199,"")</f>
        <v/>
      </c>
      <c r="AL183" s="164" t="str">
        <f>IF(N('01_Stations'!$K$200)&gt;0,'01_Stations'!$K$200,"")</f>
        <v/>
      </c>
      <c r="AM183" s="164" t="str">
        <f>IF(N('01_Stations'!$K$201)&gt;0,'01_Stations'!$K$201,"")</f>
        <v/>
      </c>
      <c r="AN183" s="164" t="str">
        <f>IF(N('01_Stations'!$K$202)&gt;0,'01_Stations'!$K$202,"")</f>
        <v/>
      </c>
      <c r="AO183" s="164" t="str">
        <f>IF(N('01_Stations'!$K$203)&gt;0,'01_Stations'!$K$203,"")</f>
        <v/>
      </c>
      <c r="AP183" s="164" t="str">
        <f>IF(N('01_Stations'!$K$204)&gt;0,'01_Stations'!$K$204,"")</f>
        <v/>
      </c>
      <c r="AQ183" s="164" t="str">
        <f>IF(N('01_Stations'!$K$205)&gt;0,'01_Stations'!$K$205,"")</f>
        <v/>
      </c>
    </row>
    <row r="184" spans="1:43" ht="15" customHeight="1" x14ac:dyDescent="0.3">
      <c r="A184" s="236"/>
      <c r="B184" s="165" t="s">
        <v>270</v>
      </c>
      <c r="C184" s="166"/>
      <c r="D184" s="164" t="str">
        <f>IF('01_Stations'!$L$166=1,"───","")</f>
        <v/>
      </c>
      <c r="E184" s="164" t="str">
        <f>IF('01_Stations'!$L$167=1,"───","")</f>
        <v/>
      </c>
      <c r="F184" s="164" t="str">
        <f>IF('01_Stations'!$L$168=1,"───","")</f>
        <v/>
      </c>
      <c r="G184" s="164" t="str">
        <f>IF('01_Stations'!$L$169=1,"───","")</f>
        <v/>
      </c>
      <c r="H184" s="164" t="str">
        <f>IF('01_Stations'!$L$170=1,"───","")</f>
        <v/>
      </c>
      <c r="I184" s="164" t="str">
        <f>IF('01_Stations'!$L$171=1,"───","")</f>
        <v/>
      </c>
      <c r="J184" s="164" t="str">
        <f>IF('01_Stations'!$L$172=1,"───","")</f>
        <v/>
      </c>
      <c r="K184" s="164" t="str">
        <f>IF('01_Stations'!$L$173=1,"───","")</f>
        <v/>
      </c>
      <c r="L184" s="164" t="str">
        <f>IF('01_Stations'!$L$174=1,"───","")</f>
        <v/>
      </c>
      <c r="M184" s="164" t="str">
        <f>IF('01_Stations'!$L$175=1,"───","")</f>
        <v/>
      </c>
      <c r="N184" s="164" t="str">
        <f>IF('01_Stations'!$L$176=1,"───","")</f>
        <v/>
      </c>
      <c r="O184" s="164" t="str">
        <f>IF('01_Stations'!$L$177=1,"───","")</f>
        <v/>
      </c>
      <c r="P184" s="164" t="str">
        <f>IF('01_Stations'!$L$178=1,"───","")</f>
        <v/>
      </c>
      <c r="Q184" s="164" t="str">
        <f>IF('01_Stations'!$L$179=1,"───","")</f>
        <v/>
      </c>
      <c r="R184" s="164" t="str">
        <f>IF('01_Stations'!$L$180=1,"───","")</f>
        <v/>
      </c>
      <c r="S184" s="164" t="str">
        <f>IF('01_Stations'!$L$181=1,"───","")</f>
        <v/>
      </c>
      <c r="T184" s="164" t="str">
        <f>IF('01_Stations'!$L$182=1,"───","")</f>
        <v/>
      </c>
      <c r="U184" s="164" t="str">
        <f>IF('01_Stations'!$L$183=1,"───","")</f>
        <v/>
      </c>
      <c r="V184" s="164" t="str">
        <f>IF('01_Stations'!$L$184=1,"───","")</f>
        <v/>
      </c>
      <c r="W184" s="164" t="str">
        <f>IF('01_Stations'!$L$185=1,"───","")</f>
        <v/>
      </c>
      <c r="X184" s="164" t="str">
        <f>IF('01_Stations'!$L$186=1,"───","")</f>
        <v/>
      </c>
      <c r="Y184" s="164" t="str">
        <f>IF('01_Stations'!$L$187=1,"───","")</f>
        <v/>
      </c>
      <c r="Z184" s="164" t="str">
        <f>IF('01_Stations'!$L$188=1,"───","")</f>
        <v/>
      </c>
      <c r="AA184" s="164" t="str">
        <f>IF('01_Stations'!$L$189=1,"───","")</f>
        <v/>
      </c>
      <c r="AB184" s="164" t="str">
        <f>IF('01_Stations'!$L$190=1,"───","")</f>
        <v/>
      </c>
      <c r="AC184" s="164" t="str">
        <f>IF('01_Stations'!$L$191=1,"───","")</f>
        <v/>
      </c>
      <c r="AD184" s="164" t="str">
        <f>IF('01_Stations'!$L$192=1,"───","")</f>
        <v/>
      </c>
      <c r="AE184" s="164" t="str">
        <f>IF('01_Stations'!$L$193=1,"───","")</f>
        <v/>
      </c>
      <c r="AF184" s="164" t="str">
        <f>IF('01_Stations'!$L$194=1,"───","")</f>
        <v/>
      </c>
      <c r="AG184" s="164" t="str">
        <f>IF('01_Stations'!$L$195=1,"───","")</f>
        <v/>
      </c>
      <c r="AH184" s="164" t="str">
        <f>IF('01_Stations'!$L$196=1,"───","")</f>
        <v/>
      </c>
      <c r="AI184" s="164" t="str">
        <f>IF('01_Stations'!$L$197=1,"───","")</f>
        <v/>
      </c>
      <c r="AJ184" s="164" t="str">
        <f>IF('01_Stations'!$L$198=1,"───","")</f>
        <v/>
      </c>
      <c r="AK184" s="164" t="str">
        <f>IF('01_Stations'!$L$199=1,"───","")</f>
        <v/>
      </c>
      <c r="AL184" s="164" t="str">
        <f>IF('01_Stations'!$L$200=1,"───","")</f>
        <v/>
      </c>
      <c r="AM184" s="164" t="str">
        <f>IF('01_Stations'!$L$201=1,"───","")</f>
        <v/>
      </c>
      <c r="AN184" s="164" t="str">
        <f>IF('01_Stations'!$L$202=1,"───","")</f>
        <v/>
      </c>
      <c r="AO184" s="164" t="str">
        <f>IF('01_Stations'!$L$203=1,"───","")</f>
        <v/>
      </c>
      <c r="AP184" s="164" t="str">
        <f>IF('01_Stations'!$L$204=1,"───","")</f>
        <v/>
      </c>
      <c r="AQ184" s="164" t="str">
        <f>IF('01_Stations'!$L$205=1,"───","")</f>
        <v/>
      </c>
    </row>
    <row r="185" spans="1:43" ht="15" customHeight="1" x14ac:dyDescent="0.3">
      <c r="A185" s="236"/>
      <c r="B185" s="165" t="s">
        <v>265</v>
      </c>
      <c r="C185" s="166" t="s">
        <v>299</v>
      </c>
      <c r="D185" s="164" t="str">
        <f>IF(N('01_Stations'!$M$166)&gt;0,'01_Stations'!$M$166,"")</f>
        <v/>
      </c>
      <c r="E185" s="164" t="str">
        <f>IF(N('01_Stations'!$M$167)&gt;0,'01_Stations'!$M$167,"")</f>
        <v/>
      </c>
      <c r="F185" s="164" t="str">
        <f>IF(N('01_Stations'!$M$168)&gt;0,'01_Stations'!$M$168,"")</f>
        <v/>
      </c>
      <c r="G185" s="164" t="str">
        <f>IF(N('01_Stations'!$M$169)&gt;0,'01_Stations'!$M$169,"")</f>
        <v/>
      </c>
      <c r="H185" s="164" t="str">
        <f>IF(N('01_Stations'!$M$170)&gt;0,'01_Stations'!$M$170,"")</f>
        <v/>
      </c>
      <c r="I185" s="164" t="str">
        <f>IF(N('01_Stations'!$M$171)&gt;0,'01_Stations'!$M$171,"")</f>
        <v/>
      </c>
      <c r="J185" s="164" t="str">
        <f>IF(N('01_Stations'!$M$172)&gt;0,'01_Stations'!$M$172,"")</f>
        <v/>
      </c>
      <c r="K185" s="164" t="str">
        <f>IF(N('01_Stations'!$M$173)&gt;0,'01_Stations'!$M$173,"")</f>
        <v/>
      </c>
      <c r="L185" s="164" t="str">
        <f>IF(N('01_Stations'!$M$174)&gt;0,'01_Stations'!$M$174,"")</f>
        <v/>
      </c>
      <c r="M185" s="164" t="str">
        <f>IF(N('01_Stations'!$M$175)&gt;0,'01_Stations'!$M$175,"")</f>
        <v/>
      </c>
      <c r="N185" s="164" t="str">
        <f>IF(N('01_Stations'!$M$176)&gt;0,'01_Stations'!$M$176,"")</f>
        <v/>
      </c>
      <c r="O185" s="164" t="str">
        <f>IF(N('01_Stations'!$M$177)&gt;0,'01_Stations'!$M$177,"")</f>
        <v/>
      </c>
      <c r="P185" s="164" t="str">
        <f>IF(N('01_Stations'!$M$178)&gt;0,'01_Stations'!$M$178,"")</f>
        <v/>
      </c>
      <c r="Q185" s="164" t="str">
        <f>IF(N('01_Stations'!$M$179)&gt;0,'01_Stations'!$M$179,"")</f>
        <v/>
      </c>
      <c r="R185" s="164" t="str">
        <f>IF(N('01_Stations'!$M$180)&gt;0,'01_Stations'!$M$180,"")</f>
        <v/>
      </c>
      <c r="S185" s="164" t="str">
        <f>IF(N('01_Stations'!$M$181)&gt;0,'01_Stations'!$M$181,"")</f>
        <v/>
      </c>
      <c r="T185" s="164" t="str">
        <f>IF(N('01_Stations'!$M$182)&gt;0,'01_Stations'!$M$182,"")</f>
        <v/>
      </c>
      <c r="U185" s="164" t="str">
        <f>IF(N('01_Stations'!$M$183)&gt;0,'01_Stations'!$M$183,"")</f>
        <v/>
      </c>
      <c r="V185" s="164" t="str">
        <f>IF(N('01_Stations'!$M$184)&gt;0,'01_Stations'!$M$184,"")</f>
        <v/>
      </c>
      <c r="W185" s="164" t="str">
        <f>IF(N('01_Stations'!$M$185)&gt;0,'01_Stations'!$M$185,"")</f>
        <v/>
      </c>
      <c r="X185" s="164" t="str">
        <f>IF(N('01_Stations'!$M$186)&gt;0,'01_Stations'!$M$186,"")</f>
        <v/>
      </c>
      <c r="Y185" s="164" t="str">
        <f>IF(N('01_Stations'!$M$187)&gt;0,'01_Stations'!$M$187,"")</f>
        <v/>
      </c>
      <c r="Z185" s="164" t="str">
        <f>IF(N('01_Stations'!$M$188)&gt;0,'01_Stations'!$M$188,"")</f>
        <v/>
      </c>
      <c r="AA185" s="164" t="str">
        <f>IF(N('01_Stations'!$M$189)&gt;0,'01_Stations'!$M$189,"")</f>
        <v/>
      </c>
      <c r="AB185" s="164" t="str">
        <f>IF(N('01_Stations'!$M$190)&gt;0,'01_Stations'!$M$190,"")</f>
        <v/>
      </c>
      <c r="AC185" s="164" t="str">
        <f>IF(N('01_Stations'!$M$191)&gt;0,'01_Stations'!$M$191,"")</f>
        <v/>
      </c>
      <c r="AD185" s="164" t="str">
        <f>IF(N('01_Stations'!$M$192)&gt;0,'01_Stations'!$M$192,"")</f>
        <v/>
      </c>
      <c r="AE185" s="164" t="str">
        <f>IF(N('01_Stations'!$M$193)&gt;0,'01_Stations'!$M$193,"")</f>
        <v/>
      </c>
      <c r="AF185" s="164" t="str">
        <f>IF(N('01_Stations'!$M$194)&gt;0,'01_Stations'!$M$194,"")</f>
        <v/>
      </c>
      <c r="AG185" s="164" t="str">
        <f>IF(N('01_Stations'!$M$195)&gt;0,'01_Stations'!$M$195,"")</f>
        <v/>
      </c>
      <c r="AH185" s="164" t="str">
        <f>IF(N('01_Stations'!$M$196)&gt;0,'01_Stations'!$M$196,"")</f>
        <v/>
      </c>
      <c r="AI185" s="164" t="str">
        <f>IF(N('01_Stations'!$M$197)&gt;0,'01_Stations'!$M$197,"")</f>
        <v/>
      </c>
      <c r="AJ185" s="164" t="str">
        <f>IF(N('01_Stations'!$M$198)&gt;0,'01_Stations'!$M$198,"")</f>
        <v/>
      </c>
      <c r="AK185" s="164" t="str">
        <f>IF(N('01_Stations'!$M$199)&gt;0,'01_Stations'!$M$199,"")</f>
        <v/>
      </c>
      <c r="AL185" s="164" t="str">
        <f>IF(N('01_Stations'!$M$200)&gt;0,'01_Stations'!$M$200,"")</f>
        <v/>
      </c>
      <c r="AM185" s="164" t="str">
        <f>IF(N('01_Stations'!$M$201)&gt;0,'01_Stations'!$M$201,"")</f>
        <v/>
      </c>
      <c r="AN185" s="164" t="str">
        <f>IF(N('01_Stations'!$M$202)&gt;0,'01_Stations'!$M$202,"")</f>
        <v/>
      </c>
      <c r="AO185" s="164" t="str">
        <f>IF(N('01_Stations'!$M$203)&gt;0,'01_Stations'!$M$203,"")</f>
        <v/>
      </c>
      <c r="AP185" s="164" t="str">
        <f>IF(N('01_Stations'!$M$204)&gt;0,'01_Stations'!$M$204,"")</f>
        <v/>
      </c>
      <c r="AQ185" s="164" t="str">
        <f>IF(N('01_Stations'!$M$205)&gt;0,'01_Stations'!$M$205,"")</f>
        <v/>
      </c>
    </row>
    <row r="186" spans="1:43" ht="15" customHeight="1" x14ac:dyDescent="0.3">
      <c r="A186" s="236"/>
      <c r="B186" s="165" t="s">
        <v>2208</v>
      </c>
      <c r="C186" s="166" t="s">
        <v>63</v>
      </c>
      <c r="D186" s="164" t="str">
        <f>IF(N('01_Stations'!$N$166)&gt;0,'01_Stations'!$N$166,"")</f>
        <v/>
      </c>
      <c r="E186" s="164" t="str">
        <f>IF(N('01_Stations'!$N$167)&gt;0,'01_Stations'!$N$167,"")</f>
        <v/>
      </c>
      <c r="F186" s="164" t="str">
        <f>IF(N('01_Stations'!$N$168)&gt;0,'01_Stations'!$N$168,"")</f>
        <v/>
      </c>
      <c r="G186" s="164" t="str">
        <f>IF(N('01_Stations'!$N$169)&gt;0,'01_Stations'!$N$169,"")</f>
        <v/>
      </c>
      <c r="H186" s="164" t="str">
        <f>IF(N('01_Stations'!$N$170)&gt;0,'01_Stations'!$N$170,"")</f>
        <v/>
      </c>
      <c r="I186" s="164" t="str">
        <f>IF(N('01_Stations'!$N$171)&gt;0,'01_Stations'!$N$171,"")</f>
        <v/>
      </c>
      <c r="J186" s="164" t="str">
        <f>IF(N('01_Stations'!$N$172)&gt;0,'01_Stations'!$N$172,"")</f>
        <v/>
      </c>
      <c r="K186" s="164" t="str">
        <f>IF(N('01_Stations'!$N$173)&gt;0,'01_Stations'!$N$173,"")</f>
        <v/>
      </c>
      <c r="L186" s="164" t="str">
        <f>IF(N('01_Stations'!$N$174)&gt;0,'01_Stations'!$N$174,"")</f>
        <v/>
      </c>
      <c r="M186" s="164" t="str">
        <f>IF(N('01_Stations'!$N$175)&gt;0,'01_Stations'!$N$175,"")</f>
        <v/>
      </c>
      <c r="N186" s="164" t="str">
        <f>IF(N('01_Stations'!$N$176)&gt;0,'01_Stations'!$N$176,"")</f>
        <v/>
      </c>
      <c r="O186" s="164" t="str">
        <f>IF(N('01_Stations'!$N$177)&gt;0,'01_Stations'!$N$177,"")</f>
        <v/>
      </c>
      <c r="P186" s="164" t="str">
        <f>IF(N('01_Stations'!$N$178)&gt;0,'01_Stations'!$N$178,"")</f>
        <v/>
      </c>
      <c r="Q186" s="164" t="str">
        <f>IF(N('01_Stations'!$N$179)&gt;0,'01_Stations'!$N$179,"")</f>
        <v/>
      </c>
      <c r="R186" s="164" t="str">
        <f>IF(N('01_Stations'!$N$180)&gt;0,'01_Stations'!$N$180,"")</f>
        <v/>
      </c>
      <c r="S186" s="164" t="str">
        <f>IF(N('01_Stations'!$N$181)&gt;0,'01_Stations'!$N$181,"")</f>
        <v/>
      </c>
      <c r="T186" s="164" t="str">
        <f>IF(N('01_Stations'!$N$182)&gt;0,'01_Stations'!$N$182,"")</f>
        <v/>
      </c>
      <c r="U186" s="164" t="str">
        <f>IF(N('01_Stations'!$N$183)&gt;0,'01_Stations'!$N$183,"")</f>
        <v/>
      </c>
      <c r="V186" s="164" t="str">
        <f>IF(N('01_Stations'!$N$184)&gt;0,'01_Stations'!$N$184,"")</f>
        <v/>
      </c>
      <c r="W186" s="164" t="str">
        <f>IF(N('01_Stations'!$N$185)&gt;0,'01_Stations'!$N$185,"")</f>
        <v/>
      </c>
      <c r="X186" s="164" t="str">
        <f>IF(N('01_Stations'!$N$186)&gt;0,'01_Stations'!$N$186,"")</f>
        <v/>
      </c>
      <c r="Y186" s="164" t="str">
        <f>IF(N('01_Stations'!$N$187)&gt;0,'01_Stations'!$N$187,"")</f>
        <v/>
      </c>
      <c r="Z186" s="164" t="str">
        <f>IF(N('01_Stations'!$N$188)&gt;0,'01_Stations'!$N$188,"")</f>
        <v/>
      </c>
      <c r="AA186" s="164" t="str">
        <f>IF(N('01_Stations'!$N$189)&gt;0,'01_Stations'!$N$189,"")</f>
        <v/>
      </c>
      <c r="AB186" s="164" t="str">
        <f>IF(N('01_Stations'!$N$190)&gt;0,'01_Stations'!$N$190,"")</f>
        <v/>
      </c>
      <c r="AC186" s="164" t="str">
        <f>IF(N('01_Stations'!$N$191)&gt;0,'01_Stations'!$N$191,"")</f>
        <v/>
      </c>
      <c r="AD186" s="164" t="str">
        <f>IF(N('01_Stations'!$N$192)&gt;0,'01_Stations'!$N$192,"")</f>
        <v/>
      </c>
      <c r="AE186" s="164" t="str">
        <f>IF(N('01_Stations'!$N$193)&gt;0,'01_Stations'!$N$193,"")</f>
        <v/>
      </c>
      <c r="AF186" s="164" t="str">
        <f>IF(N('01_Stations'!$N$194)&gt;0,'01_Stations'!$N$194,"")</f>
        <v/>
      </c>
      <c r="AG186" s="164" t="str">
        <f>IF(N('01_Stations'!$N$195)&gt;0,'01_Stations'!$N$195,"")</f>
        <v/>
      </c>
      <c r="AH186" s="164" t="str">
        <f>IF(N('01_Stations'!$N$196)&gt;0,'01_Stations'!$N$196,"")</f>
        <v/>
      </c>
      <c r="AI186" s="164" t="str">
        <f>IF(N('01_Stations'!$N$197)&gt;0,'01_Stations'!$N$197,"")</f>
        <v/>
      </c>
      <c r="AJ186" s="164" t="str">
        <f>IF(N('01_Stations'!$N$198)&gt;0,'01_Stations'!$N$198,"")</f>
        <v/>
      </c>
      <c r="AK186" s="164" t="str">
        <f>IF(N('01_Stations'!$N$199)&gt;0,'01_Stations'!$N$199,"")</f>
        <v/>
      </c>
      <c r="AL186" s="164" t="str">
        <f>IF(N('01_Stations'!$N$200)&gt;0,'01_Stations'!$N$200,"")</f>
        <v/>
      </c>
      <c r="AM186" s="164" t="str">
        <f>IF(N('01_Stations'!$N$201)&gt;0,'01_Stations'!$N$201,"")</f>
        <v/>
      </c>
      <c r="AN186" s="164" t="str">
        <f>IF(N('01_Stations'!$N$202)&gt;0,'01_Stations'!$N$202,"")</f>
        <v/>
      </c>
      <c r="AO186" s="164" t="str">
        <f>IF(N('01_Stations'!$N$203)&gt;0,'01_Stations'!$N$203,"")</f>
        <v/>
      </c>
      <c r="AP186" s="164" t="str">
        <f>IF(N('01_Stations'!$N$204)&gt;0,'01_Stations'!$N$204,"")</f>
        <v/>
      </c>
      <c r="AQ186" s="164" t="str">
        <f>IF(N('01_Stations'!$N$205)&gt;0,'01_Stations'!$N$205,"")</f>
        <v/>
      </c>
    </row>
    <row r="187" spans="1:43" ht="15" customHeight="1" x14ac:dyDescent="0.3">
      <c r="A187" s="237"/>
      <c r="B187" s="165" t="s">
        <v>2209</v>
      </c>
      <c r="C187" s="166" t="s">
        <v>301</v>
      </c>
      <c r="D187" s="164" t="str">
        <f>IF(N('01_Stations'!$O$166)&gt;0,'01_Stations'!$O$166,"")</f>
        <v/>
      </c>
      <c r="E187" s="164" t="str">
        <f>IF(N('01_Stations'!$O$167)&gt;0,'01_Stations'!$O$167,"")</f>
        <v/>
      </c>
      <c r="F187" s="164" t="str">
        <f>IF(N('01_Stations'!$O$168)&gt;0,'01_Stations'!$O$168,"")</f>
        <v/>
      </c>
      <c r="G187" s="164" t="str">
        <f>IF(N('01_Stations'!$O$169)&gt;0,'01_Stations'!$O$169,"")</f>
        <v/>
      </c>
      <c r="H187" s="164" t="str">
        <f>IF(N('01_Stations'!$O$170)&gt;0,'01_Stations'!$O$170,"")</f>
        <v/>
      </c>
      <c r="I187" s="164" t="str">
        <f>IF(N('01_Stations'!$O$171)&gt;0,'01_Stations'!$O$171,"")</f>
        <v/>
      </c>
      <c r="J187" s="164" t="str">
        <f>IF(N('01_Stations'!$O$172)&gt;0,'01_Stations'!$O$172,"")</f>
        <v/>
      </c>
      <c r="K187" s="164" t="str">
        <f>IF(N('01_Stations'!$O$173)&gt;0,'01_Stations'!$O$173,"")</f>
        <v/>
      </c>
      <c r="L187" s="164" t="str">
        <f>IF(N('01_Stations'!$O$174)&gt;0,'01_Stations'!$O$174,"")</f>
        <v/>
      </c>
      <c r="M187" s="164" t="str">
        <f>IF(N('01_Stations'!$O$175)&gt;0,'01_Stations'!$O$175,"")</f>
        <v/>
      </c>
      <c r="N187" s="164" t="str">
        <f>IF(N('01_Stations'!$O$176)&gt;0,'01_Stations'!$O$176,"")</f>
        <v/>
      </c>
      <c r="O187" s="164" t="str">
        <f>IF(N('01_Stations'!$O$177)&gt;0,'01_Stations'!$O$177,"")</f>
        <v/>
      </c>
      <c r="P187" s="164" t="str">
        <f>IF(N('01_Stations'!$O$178)&gt;0,'01_Stations'!$O$178,"")</f>
        <v/>
      </c>
      <c r="Q187" s="164" t="str">
        <f>IF(N('01_Stations'!$O$179)&gt;0,'01_Stations'!$O$179,"")</f>
        <v/>
      </c>
      <c r="R187" s="164" t="str">
        <f>IF(N('01_Stations'!$O$180)&gt;0,'01_Stations'!$O$180,"")</f>
        <v/>
      </c>
      <c r="S187" s="164" t="str">
        <f>IF(N('01_Stations'!$O$181)&gt;0,'01_Stations'!$O$181,"")</f>
        <v/>
      </c>
      <c r="T187" s="164" t="str">
        <f>IF(N('01_Stations'!$O$182)&gt;0,'01_Stations'!$O$182,"")</f>
        <v/>
      </c>
      <c r="U187" s="164" t="str">
        <f>IF(N('01_Stations'!$O$183)&gt;0,'01_Stations'!$O$183,"")</f>
        <v/>
      </c>
      <c r="V187" s="164" t="str">
        <f>IF(N('01_Stations'!$O$184)&gt;0,'01_Stations'!$O$184,"")</f>
        <v/>
      </c>
      <c r="W187" s="164" t="str">
        <f>IF(N('01_Stations'!$O$185)&gt;0,'01_Stations'!$O$185,"")</f>
        <v/>
      </c>
      <c r="X187" s="164" t="str">
        <f>IF(N('01_Stations'!$O$186)&gt;0,'01_Stations'!$O$186,"")</f>
        <v/>
      </c>
      <c r="Y187" s="164" t="str">
        <f>IF(N('01_Stations'!$O$187)&gt;0,'01_Stations'!$O$187,"")</f>
        <v/>
      </c>
      <c r="Z187" s="164" t="str">
        <f>IF(N('01_Stations'!$O$188)&gt;0,'01_Stations'!$O$188,"")</f>
        <v/>
      </c>
      <c r="AA187" s="164" t="str">
        <f>IF(N('01_Stations'!$O$189)&gt;0,'01_Stations'!$O$189,"")</f>
        <v/>
      </c>
      <c r="AB187" s="164" t="str">
        <f>IF(N('01_Stations'!$O$190)&gt;0,'01_Stations'!$O$190,"")</f>
        <v/>
      </c>
      <c r="AC187" s="164" t="str">
        <f>IF(N('01_Stations'!$O$191)&gt;0,'01_Stations'!$O$191,"")</f>
        <v/>
      </c>
      <c r="AD187" s="164" t="str">
        <f>IF(N('01_Stations'!$O$192)&gt;0,'01_Stations'!$O$192,"")</f>
        <v/>
      </c>
      <c r="AE187" s="164" t="str">
        <f>IF(N('01_Stations'!$O$193)&gt;0,'01_Stations'!$O$193,"")</f>
        <v/>
      </c>
      <c r="AF187" s="164" t="str">
        <f>IF(N('01_Stations'!$O$194)&gt;0,'01_Stations'!$O$194,"")</f>
        <v/>
      </c>
      <c r="AG187" s="164" t="str">
        <f>IF(N('01_Stations'!$O$195)&gt;0,'01_Stations'!$O$195,"")</f>
        <v/>
      </c>
      <c r="AH187" s="164" t="str">
        <f>IF(N('01_Stations'!$O$196)&gt;0,'01_Stations'!$O$196,"")</f>
        <v/>
      </c>
      <c r="AI187" s="164" t="str">
        <f>IF(N('01_Stations'!$O$197)&gt;0,'01_Stations'!$O$197,"")</f>
        <v/>
      </c>
      <c r="AJ187" s="164" t="str">
        <f>IF(N('01_Stations'!$O$198)&gt;0,'01_Stations'!$O$198,"")</f>
        <v/>
      </c>
      <c r="AK187" s="164" t="str">
        <f>IF(N('01_Stations'!$O$199)&gt;0,'01_Stations'!$O$199,"")</f>
        <v/>
      </c>
      <c r="AL187" s="164" t="str">
        <f>IF(N('01_Stations'!$O$200)&gt;0,'01_Stations'!$O$200,"")</f>
        <v/>
      </c>
      <c r="AM187" s="164" t="str">
        <f>IF(N('01_Stations'!$O$201)&gt;0,'01_Stations'!$O$201,"")</f>
        <v/>
      </c>
      <c r="AN187" s="164" t="str">
        <f>IF(N('01_Stations'!$O$202)&gt;0,'01_Stations'!$O$202,"")</f>
        <v/>
      </c>
      <c r="AO187" s="164" t="str">
        <f>IF(N('01_Stations'!$O$203)&gt;0,'01_Stations'!$O$203,"")</f>
        <v/>
      </c>
      <c r="AP187" s="164" t="str">
        <f>IF(N('01_Stations'!$O$204)&gt;0,'01_Stations'!$O$204,"")</f>
        <v/>
      </c>
      <c r="AQ187" s="164" t="str">
        <f>IF(N('01_Stations'!$O$205)&gt;0,'01_Stations'!$O$205,"")</f>
        <v/>
      </c>
    </row>
    <row r="188" spans="1:43" ht="15" customHeight="1" x14ac:dyDescent="0.3">
      <c r="A188" s="238" t="s">
        <v>2210</v>
      </c>
      <c r="B188" s="165" t="s">
        <v>2211</v>
      </c>
      <c r="C188" s="166" t="s">
        <v>1622</v>
      </c>
      <c r="D188" s="164" t="str">
        <f>IF('01_Stations'!$P$166="","",'01_Stations'!$P$166)</f>
        <v/>
      </c>
      <c r="E188" s="164" t="str">
        <f>IF('01_Stations'!$P$167="","",'01_Stations'!$P$167)</f>
        <v/>
      </c>
      <c r="F188" s="164" t="str">
        <f>IF('01_Stations'!$P$168="","",'01_Stations'!$P$168)</f>
        <v/>
      </c>
      <c r="G188" s="164" t="str">
        <f>IF('01_Stations'!$P$169="","",'01_Stations'!$P$169)</f>
        <v/>
      </c>
      <c r="H188" s="164" t="str">
        <f>IF('01_Stations'!$P$170="","",'01_Stations'!$P$170)</f>
        <v/>
      </c>
      <c r="I188" s="164" t="str">
        <f>IF('01_Stations'!$P$171="","",'01_Stations'!$P$171)</f>
        <v/>
      </c>
      <c r="J188" s="164" t="str">
        <f>IF('01_Stations'!$P$172="","",'01_Stations'!$P$172)</f>
        <v/>
      </c>
      <c r="K188" s="164" t="str">
        <f>IF('01_Stations'!$P$173="","",'01_Stations'!$P$173)</f>
        <v/>
      </c>
      <c r="L188" s="164" t="str">
        <f>IF('01_Stations'!$P$174="","",'01_Stations'!$P$174)</f>
        <v/>
      </c>
      <c r="M188" s="164" t="str">
        <f>IF('01_Stations'!$P$175="","",'01_Stations'!$P$175)</f>
        <v/>
      </c>
      <c r="N188" s="164" t="str">
        <f>IF('01_Stations'!$P$176="","",'01_Stations'!$P$176)</f>
        <v/>
      </c>
      <c r="O188" s="164" t="str">
        <f>IF('01_Stations'!$P$177="","",'01_Stations'!$P$177)</f>
        <v/>
      </c>
      <c r="P188" s="164" t="str">
        <f>IF('01_Stations'!$P$178="","",'01_Stations'!$P$178)</f>
        <v/>
      </c>
      <c r="Q188" s="164" t="str">
        <f>IF('01_Stations'!$P$179="","",'01_Stations'!$P$179)</f>
        <v/>
      </c>
      <c r="R188" s="164" t="str">
        <f>IF('01_Stations'!$P$180="","",'01_Stations'!$P$180)</f>
        <v/>
      </c>
      <c r="S188" s="164" t="str">
        <f>IF('01_Stations'!$P$181="","",'01_Stations'!$P$181)</f>
        <v/>
      </c>
      <c r="T188" s="164" t="str">
        <f>IF('01_Stations'!$P$182="","",'01_Stations'!$P$182)</f>
        <v/>
      </c>
      <c r="U188" s="164" t="str">
        <f>IF('01_Stations'!$P$183="","",'01_Stations'!$P$183)</f>
        <v/>
      </c>
      <c r="V188" s="164" t="str">
        <f>IF('01_Stations'!$P$184="","",'01_Stations'!$P$184)</f>
        <v/>
      </c>
      <c r="W188" s="164" t="str">
        <f>IF('01_Stations'!$P$185="","",'01_Stations'!$P$185)</f>
        <v/>
      </c>
      <c r="X188" s="164" t="str">
        <f>IF('01_Stations'!$P$186="","",'01_Stations'!$P$186)</f>
        <v/>
      </c>
      <c r="Y188" s="164" t="str">
        <f>IF('01_Stations'!$P$187="","",'01_Stations'!$P$187)</f>
        <v/>
      </c>
      <c r="Z188" s="164" t="str">
        <f>IF('01_Stations'!$P$188="","",'01_Stations'!$P$188)</f>
        <v/>
      </c>
      <c r="AA188" s="164" t="str">
        <f>IF('01_Stations'!$P$189="","",'01_Stations'!$P$189)</f>
        <v/>
      </c>
      <c r="AB188" s="164" t="str">
        <f>IF('01_Stations'!$P$190="","",'01_Stations'!$P$190)</f>
        <v/>
      </c>
      <c r="AC188" s="164" t="str">
        <f>IF('01_Stations'!$P$191="","",'01_Stations'!$P$191)</f>
        <v/>
      </c>
      <c r="AD188" s="164" t="str">
        <f>IF('01_Stations'!$P$192="","",'01_Stations'!$P$192)</f>
        <v/>
      </c>
      <c r="AE188" s="164" t="str">
        <f>IF('01_Stations'!$P$193="","",'01_Stations'!$P$193)</f>
        <v/>
      </c>
      <c r="AF188" s="164" t="str">
        <f>IF('01_Stations'!$P$194="","",'01_Stations'!$P$194)</f>
        <v/>
      </c>
      <c r="AG188" s="164" t="str">
        <f>IF('01_Stations'!$P$195="","",'01_Stations'!$P$195)</f>
        <v/>
      </c>
      <c r="AH188" s="164" t="str">
        <f>IF('01_Stations'!$P$196="","",'01_Stations'!$P$196)</f>
        <v/>
      </c>
      <c r="AI188" s="164" t="str">
        <f>IF('01_Stations'!$P$197="","",'01_Stations'!$P$197)</f>
        <v/>
      </c>
      <c r="AJ188" s="164" t="str">
        <f>IF('01_Stations'!$P$198="","",'01_Stations'!$P$198)</f>
        <v/>
      </c>
      <c r="AK188" s="164" t="str">
        <f>IF('01_Stations'!$P$199="","",'01_Stations'!$P$199)</f>
        <v/>
      </c>
      <c r="AL188" s="164" t="str">
        <f>IF('01_Stations'!$P$200="","",'01_Stations'!$P$200)</f>
        <v/>
      </c>
      <c r="AM188" s="164" t="str">
        <f>IF('01_Stations'!$P$201="","",'01_Stations'!$P$201)</f>
        <v/>
      </c>
      <c r="AN188" s="164" t="str">
        <f>IF('01_Stations'!$P$202="","",'01_Stations'!$P$202)</f>
        <v/>
      </c>
      <c r="AO188" s="164" t="str">
        <f>IF('01_Stations'!$P$203="","",'01_Stations'!$P$203)</f>
        <v/>
      </c>
      <c r="AP188" s="164" t="str">
        <f>IF('01_Stations'!$P$204="","",'01_Stations'!$P$204)</f>
        <v/>
      </c>
      <c r="AQ188" s="164" t="str">
        <f>IF('01_Stations'!$P$205="","",'01_Stations'!$P$205)</f>
        <v/>
      </c>
    </row>
    <row r="189" spans="1:43" ht="15" customHeight="1" x14ac:dyDescent="0.3">
      <c r="A189" s="236"/>
      <c r="B189" s="165"/>
      <c r="C189" s="166" t="s">
        <v>2212</v>
      </c>
      <c r="D189" s="164" t="str">
        <f>IF('01_Stations'!$Q$166="","",'01_Stations'!$Q$166)</f>
        <v/>
      </c>
      <c r="E189" s="164" t="str">
        <f>IF('01_Stations'!$Q$167="","",'01_Stations'!$Q$167)</f>
        <v/>
      </c>
      <c r="F189" s="164" t="str">
        <f>IF('01_Stations'!$Q$168="","",'01_Stations'!$Q$168)</f>
        <v/>
      </c>
      <c r="G189" s="164" t="str">
        <f>IF('01_Stations'!$Q$169="","",'01_Stations'!$Q$169)</f>
        <v/>
      </c>
      <c r="H189" s="164" t="str">
        <f>IF('01_Stations'!$Q$170="","",'01_Stations'!$Q$170)</f>
        <v/>
      </c>
      <c r="I189" s="164" t="str">
        <f>IF('01_Stations'!$Q$171="","",'01_Stations'!$Q$171)</f>
        <v/>
      </c>
      <c r="J189" s="164" t="str">
        <f>IF('01_Stations'!$Q$172="","",'01_Stations'!$Q$172)</f>
        <v/>
      </c>
      <c r="K189" s="164" t="str">
        <f>IF('01_Stations'!$Q$173="","",'01_Stations'!$Q$173)</f>
        <v/>
      </c>
      <c r="L189" s="164" t="str">
        <f>IF('01_Stations'!$Q$174="","",'01_Stations'!$Q$174)</f>
        <v/>
      </c>
      <c r="M189" s="164" t="str">
        <f>IF('01_Stations'!$Q$175="","",'01_Stations'!$Q$175)</f>
        <v/>
      </c>
      <c r="N189" s="164" t="str">
        <f>IF('01_Stations'!$Q$176="","",'01_Stations'!$Q$176)</f>
        <v/>
      </c>
      <c r="O189" s="164" t="str">
        <f>IF('01_Stations'!$Q$177="","",'01_Stations'!$Q$177)</f>
        <v/>
      </c>
      <c r="P189" s="164" t="str">
        <f>IF('01_Stations'!$Q$178="","",'01_Stations'!$Q$178)</f>
        <v/>
      </c>
      <c r="Q189" s="164" t="str">
        <f>IF('01_Stations'!$Q$179="","",'01_Stations'!$Q$179)</f>
        <v/>
      </c>
      <c r="R189" s="164" t="str">
        <f>IF('01_Stations'!$Q$180="","",'01_Stations'!$Q$180)</f>
        <v/>
      </c>
      <c r="S189" s="164" t="str">
        <f>IF('01_Stations'!$Q$181="","",'01_Stations'!$Q$181)</f>
        <v/>
      </c>
      <c r="T189" s="164" t="str">
        <f>IF('01_Stations'!$Q$182="","",'01_Stations'!$Q$182)</f>
        <v/>
      </c>
      <c r="U189" s="164" t="str">
        <f>IF('01_Stations'!$Q$183="","",'01_Stations'!$Q$183)</f>
        <v/>
      </c>
      <c r="V189" s="164" t="str">
        <f>IF('01_Stations'!$Q$184="","",'01_Stations'!$Q$184)</f>
        <v/>
      </c>
      <c r="W189" s="164" t="str">
        <f>IF('01_Stations'!$Q$185="","",'01_Stations'!$Q$185)</f>
        <v/>
      </c>
      <c r="X189" s="164" t="str">
        <f>IF('01_Stations'!$Q$186="","",'01_Stations'!$Q$186)</f>
        <v/>
      </c>
      <c r="Y189" s="164" t="str">
        <f>IF('01_Stations'!$Q$187="","",'01_Stations'!$Q$187)</f>
        <v/>
      </c>
      <c r="Z189" s="164" t="str">
        <f>IF('01_Stations'!$Q$188="","",'01_Stations'!$Q$188)</f>
        <v/>
      </c>
      <c r="AA189" s="164" t="str">
        <f>IF('01_Stations'!$Q$189="","",'01_Stations'!$Q$189)</f>
        <v/>
      </c>
      <c r="AB189" s="164" t="str">
        <f>IF('01_Stations'!$Q$190="","",'01_Stations'!$Q$190)</f>
        <v/>
      </c>
      <c r="AC189" s="164" t="str">
        <f>IF('01_Stations'!$Q$191="","",'01_Stations'!$Q$191)</f>
        <v/>
      </c>
      <c r="AD189" s="164" t="str">
        <f>IF('01_Stations'!$Q$192="","",'01_Stations'!$Q$192)</f>
        <v/>
      </c>
      <c r="AE189" s="164" t="str">
        <f>IF('01_Stations'!$Q$193="","",'01_Stations'!$Q$193)</f>
        <v/>
      </c>
      <c r="AF189" s="164" t="str">
        <f>IF('01_Stations'!$Q$194="","",'01_Stations'!$Q$194)</f>
        <v/>
      </c>
      <c r="AG189" s="164" t="str">
        <f>IF('01_Stations'!$Q$195="","",'01_Stations'!$Q$195)</f>
        <v/>
      </c>
      <c r="AH189" s="164" t="str">
        <f>IF('01_Stations'!$Q$196="","",'01_Stations'!$Q$196)</f>
        <v/>
      </c>
      <c r="AI189" s="164" t="str">
        <f>IF('01_Stations'!$Q$197="","",'01_Stations'!$Q$197)</f>
        <v/>
      </c>
      <c r="AJ189" s="164" t="str">
        <f>IF('01_Stations'!$Q$198="","",'01_Stations'!$Q$198)</f>
        <v/>
      </c>
      <c r="AK189" s="164" t="str">
        <f>IF('01_Stations'!$Q$199="","",'01_Stations'!$Q$199)</f>
        <v/>
      </c>
      <c r="AL189" s="164" t="str">
        <f>IF('01_Stations'!$Q$200="","",'01_Stations'!$Q$200)</f>
        <v/>
      </c>
      <c r="AM189" s="164" t="str">
        <f>IF('01_Stations'!$Q$201="","",'01_Stations'!$Q$201)</f>
        <v/>
      </c>
      <c r="AN189" s="164" t="str">
        <f>IF('01_Stations'!$Q$202="","",'01_Stations'!$Q$202)</f>
        <v/>
      </c>
      <c r="AO189" s="164" t="str">
        <f>IF('01_Stations'!$Q$203="","",'01_Stations'!$Q$203)</f>
        <v/>
      </c>
      <c r="AP189" s="164" t="str">
        <f>IF('01_Stations'!$Q$204="","",'01_Stations'!$Q$204)</f>
        <v/>
      </c>
      <c r="AQ189" s="164" t="str">
        <f>IF('01_Stations'!$Q$205="","",'01_Stations'!$Q$205)</f>
        <v/>
      </c>
    </row>
    <row r="190" spans="1:43" ht="15" customHeight="1" x14ac:dyDescent="0.3">
      <c r="A190" s="236"/>
      <c r="B190" s="165" t="s">
        <v>2213</v>
      </c>
      <c r="C190" s="166"/>
      <c r="D190" s="164" t="str">
        <f>IF('01_Stations'!$R$166=1,"ϰ",IF('01_Stations'!$R$166=2,"І",IF('01_Stations'!$R$166=3,"╦","")))</f>
        <v/>
      </c>
      <c r="E190" s="164" t="str">
        <f>IF('01_Stations'!$R$167=1,"ϰ",IF('01_Stations'!$R$167=2,"І",IF('01_Stations'!$R$167=3,"╦","")))</f>
        <v/>
      </c>
      <c r="F190" s="164" t="str">
        <f>IF('01_Stations'!$R$168=1,"ϰ",IF('01_Stations'!$R$168=2,"І",IF('01_Stations'!$R$168=3,"╦","")))</f>
        <v/>
      </c>
      <c r="G190" s="164" t="str">
        <f>IF('01_Stations'!$R$169=1,"ϰ",IF('01_Stations'!$R$169=2,"І",IF('01_Stations'!$R$169=3,"╦","")))</f>
        <v/>
      </c>
      <c r="H190" s="164" t="str">
        <f>IF('01_Stations'!$R$170=1,"ϰ",IF('01_Stations'!$R$170=2,"І",IF('01_Stations'!$R$170=3,"╦","")))</f>
        <v/>
      </c>
      <c r="I190" s="164" t="str">
        <f>IF('01_Stations'!$R$171=1,"ϰ",IF('01_Stations'!$R$171=2,"І",IF('01_Stations'!$R$171=3,"╦","")))</f>
        <v/>
      </c>
      <c r="J190" s="164" t="str">
        <f>IF('01_Stations'!$R$172=1,"ϰ",IF('01_Stations'!$R$172=2,"І",IF('01_Stations'!$R$172=3,"╦","")))</f>
        <v/>
      </c>
      <c r="K190" s="164" t="str">
        <f>IF('01_Stations'!$R$173=1,"ϰ",IF('01_Stations'!$R$173=2,"І",IF('01_Stations'!$R$173=3,"╦","")))</f>
        <v/>
      </c>
      <c r="L190" s="164" t="str">
        <f>IF('01_Stations'!$R$174=1,"ϰ",IF('01_Stations'!$R$174=2,"І",IF('01_Stations'!$R$174=3,"╦","")))</f>
        <v/>
      </c>
      <c r="M190" s="164" t="str">
        <f>IF('01_Stations'!$R$175=1,"ϰ",IF('01_Stations'!$R$175=2,"І",IF('01_Stations'!$R$175=3,"╦","")))</f>
        <v/>
      </c>
      <c r="N190" s="164" t="str">
        <f>IF('01_Stations'!$R$176=1,"ϰ",IF('01_Stations'!$R$176=2,"І",IF('01_Stations'!$R$176=3,"╦","")))</f>
        <v/>
      </c>
      <c r="O190" s="164" t="str">
        <f>IF('01_Stations'!$R$177=1,"ϰ",IF('01_Stations'!$R$177=2,"І",IF('01_Stations'!$R$177=3,"╦","")))</f>
        <v/>
      </c>
      <c r="P190" s="164" t="str">
        <f>IF('01_Stations'!$R$178=1,"ϰ",IF('01_Stations'!$R$178=2,"І",IF('01_Stations'!$R$178=3,"╦","")))</f>
        <v/>
      </c>
      <c r="Q190" s="164" t="str">
        <f>IF('01_Stations'!$R$179=1,"ϰ",IF('01_Stations'!$R$179=2,"І",IF('01_Stations'!$R$179=3,"╦","")))</f>
        <v/>
      </c>
      <c r="R190" s="164" t="str">
        <f>IF('01_Stations'!$R$180=1,"ϰ",IF('01_Stations'!$R$180=2,"І",IF('01_Stations'!$R$180=3,"╦","")))</f>
        <v/>
      </c>
      <c r="S190" s="164" t="str">
        <f>IF('01_Stations'!$R$181=1,"ϰ",IF('01_Stations'!$R$181=2,"І",IF('01_Stations'!$R$181=3,"╦","")))</f>
        <v/>
      </c>
      <c r="T190" s="164" t="str">
        <f>IF('01_Stations'!$R$182=1,"ϰ",IF('01_Stations'!$R$182=2,"І",IF('01_Stations'!$R$182=3,"╦","")))</f>
        <v/>
      </c>
      <c r="U190" s="164" t="str">
        <f>IF('01_Stations'!$R$183=1,"ϰ",IF('01_Stations'!$R$183=2,"І",IF('01_Stations'!$R$183=3,"╦","")))</f>
        <v/>
      </c>
      <c r="V190" s="164" t="str">
        <f>IF('01_Stations'!$R$184=1,"ϰ",IF('01_Stations'!$R$184=2,"І",IF('01_Stations'!$R$184=3,"╦","")))</f>
        <v/>
      </c>
      <c r="W190" s="164" t="str">
        <f>IF('01_Stations'!$R$185=1,"ϰ",IF('01_Stations'!$R$185=2,"І",IF('01_Stations'!$R$185=3,"╦","")))</f>
        <v/>
      </c>
      <c r="X190" s="164" t="str">
        <f>IF('01_Stations'!$R$186=1,"ϰ",IF('01_Stations'!$R$186=2,"І",IF('01_Stations'!$R$186=3,"╦","")))</f>
        <v/>
      </c>
      <c r="Y190" s="164" t="str">
        <f>IF('01_Stations'!$R$187=1,"ϰ",IF('01_Stations'!$R$187=2,"І",IF('01_Stations'!$R$187=3,"╦","")))</f>
        <v/>
      </c>
      <c r="Z190" s="164" t="str">
        <f>IF('01_Stations'!$R$188=1,"ϰ",IF('01_Stations'!$R$188=2,"І",IF('01_Stations'!$R$188=3,"╦","")))</f>
        <v/>
      </c>
      <c r="AA190" s="164" t="str">
        <f>IF('01_Stations'!$R$189=1,"ϰ",IF('01_Stations'!$R$189=2,"І",IF('01_Stations'!$R$189=3,"╦","")))</f>
        <v/>
      </c>
      <c r="AB190" s="164" t="str">
        <f>IF('01_Stations'!$R$190=1,"ϰ",IF('01_Stations'!$R$190=2,"І",IF('01_Stations'!$R$190=3,"╦","")))</f>
        <v/>
      </c>
      <c r="AC190" s="164" t="str">
        <f>IF('01_Stations'!$R$191=1,"ϰ",IF('01_Stations'!$R$191=2,"І",IF('01_Stations'!$R$191=3,"╦","")))</f>
        <v/>
      </c>
      <c r="AD190" s="164" t="str">
        <f>IF('01_Stations'!$R$192=1,"ϰ",IF('01_Stations'!$R$192=2,"І",IF('01_Stations'!$R$192=3,"╦","")))</f>
        <v/>
      </c>
      <c r="AE190" s="164" t="str">
        <f>IF('01_Stations'!$R$193=1,"ϰ",IF('01_Stations'!$R$193=2,"І",IF('01_Stations'!$R$193=3,"╦","")))</f>
        <v/>
      </c>
      <c r="AF190" s="164" t="str">
        <f>IF('01_Stations'!$R$194=1,"ϰ",IF('01_Stations'!$R$194=2,"І",IF('01_Stations'!$R$194=3,"╦","")))</f>
        <v/>
      </c>
      <c r="AG190" s="164" t="str">
        <f>IF('01_Stations'!$R$195=1,"ϰ",IF('01_Stations'!$R$195=2,"І",IF('01_Stations'!$R$195=3,"╦","")))</f>
        <v/>
      </c>
      <c r="AH190" s="164" t="str">
        <f>IF('01_Stations'!$R$196=1,"ϰ",IF('01_Stations'!$R$196=2,"І",IF('01_Stations'!$R$196=3,"╦","")))</f>
        <v/>
      </c>
      <c r="AI190" s="164" t="str">
        <f>IF('01_Stations'!$R$197=1,"ϰ",IF('01_Stations'!$R$197=2,"І",IF('01_Stations'!$R$197=3,"╦","")))</f>
        <v/>
      </c>
      <c r="AJ190" s="164" t="str">
        <f>IF('01_Stations'!$R$198=1,"ϰ",IF('01_Stations'!$R$198=2,"І",IF('01_Stations'!$R$198=3,"╦","")))</f>
        <v/>
      </c>
      <c r="AK190" s="164" t="str">
        <f>IF('01_Stations'!$R$199=1,"ϰ",IF('01_Stations'!$R$199=2,"І",IF('01_Stations'!$R$199=3,"╦","")))</f>
        <v/>
      </c>
      <c r="AL190" s="164" t="str">
        <f>IF('01_Stations'!$R$200=1,"ϰ",IF('01_Stations'!$R$200=2,"І",IF('01_Stations'!$R$200=3,"╦","")))</f>
        <v/>
      </c>
      <c r="AM190" s="164" t="str">
        <f>IF('01_Stations'!$R$201=1,"ϰ",IF('01_Stations'!$R$201=2,"І",IF('01_Stations'!$R$201=3,"╦","")))</f>
        <v/>
      </c>
      <c r="AN190" s="164" t="str">
        <f>IF('01_Stations'!$R$202=1,"ϰ",IF('01_Stations'!$R$202=2,"І",IF('01_Stations'!$R$202=3,"╦","")))</f>
        <v/>
      </c>
      <c r="AO190" s="164" t="str">
        <f>IF('01_Stations'!$R$203=1,"ϰ",IF('01_Stations'!$R$203=2,"І",IF('01_Stations'!$R$203=3,"╦","")))</f>
        <v/>
      </c>
      <c r="AP190" s="164" t="str">
        <f>IF('01_Stations'!$R$204=1,"ϰ",IF('01_Stations'!$R$204=2,"І",IF('01_Stations'!$R$204=3,"╦","")))</f>
        <v/>
      </c>
      <c r="AQ190" s="164" t="str">
        <f>IF('01_Stations'!$R$205=1,"ϰ",IF('01_Stations'!$R$205=2,"І",IF('01_Stations'!$R$205=3,"╦","")))</f>
        <v/>
      </c>
    </row>
    <row r="191" spans="1:43" ht="15" customHeight="1" x14ac:dyDescent="0.3">
      <c r="A191" s="236"/>
      <c r="B191" s="165" t="s">
        <v>2214</v>
      </c>
      <c r="C191" s="166"/>
      <c r="D191" s="164" t="str">
        <f>IF('01_Stations'!$S$166=1,"Ӂ",IF('01_Stations'!$S$166=2,"Җ",""))</f>
        <v/>
      </c>
      <c r="E191" s="164" t="str">
        <f>IF('01_Stations'!$S$167=1,"Ӂ",IF('01_Stations'!$S$167=2,"Җ",""))</f>
        <v/>
      </c>
      <c r="F191" s="164" t="str">
        <f>IF('01_Stations'!$S$168=1,"Ӂ",IF('01_Stations'!$S$168=2,"Җ",""))</f>
        <v/>
      </c>
      <c r="G191" s="164" t="str">
        <f>IF('01_Stations'!$S$169=1,"Ӂ",IF('01_Stations'!$S$169=2,"Җ",""))</f>
        <v/>
      </c>
      <c r="H191" s="164" t="str">
        <f>IF('01_Stations'!$S$170=1,"Ӂ",IF('01_Stations'!$S$170=2,"Җ",""))</f>
        <v/>
      </c>
      <c r="I191" s="164" t="str">
        <f>IF('01_Stations'!$S$171=1,"Ӂ",IF('01_Stations'!$S$171=2,"Җ",""))</f>
        <v/>
      </c>
      <c r="J191" s="164" t="str">
        <f>IF('01_Stations'!$S$172=1,"Ӂ",IF('01_Stations'!$S$172=2,"Җ",""))</f>
        <v/>
      </c>
      <c r="K191" s="164" t="str">
        <f>IF('01_Stations'!$S$173=1,"Ӂ",IF('01_Stations'!$S$173=2,"Җ",""))</f>
        <v/>
      </c>
      <c r="L191" s="164" t="str">
        <f>IF('01_Stations'!$S$174=1,"Ӂ",IF('01_Stations'!$S$174=2,"Җ",""))</f>
        <v/>
      </c>
      <c r="M191" s="164" t="str">
        <f>IF('01_Stations'!$S$175=1,"Ӂ",IF('01_Stations'!$S$175=2,"Җ",""))</f>
        <v/>
      </c>
      <c r="N191" s="164" t="str">
        <f>IF('01_Stations'!$S$176=1,"Ӂ",IF('01_Stations'!$S$176=2,"Җ",""))</f>
        <v/>
      </c>
      <c r="O191" s="164" t="str">
        <f>IF('01_Stations'!$S$177=1,"Ӂ",IF('01_Stations'!$S$177=2,"Җ",""))</f>
        <v/>
      </c>
      <c r="P191" s="164" t="str">
        <f>IF('01_Stations'!$S$178=1,"Ӂ",IF('01_Stations'!$S$178=2,"Җ",""))</f>
        <v/>
      </c>
      <c r="Q191" s="164" t="str">
        <f>IF('01_Stations'!$S$179=1,"Ӂ",IF('01_Stations'!$S$179=2,"Җ",""))</f>
        <v/>
      </c>
      <c r="R191" s="164" t="str">
        <f>IF('01_Stations'!$S$180=1,"Ӂ",IF('01_Stations'!$S$180=2,"Җ",""))</f>
        <v/>
      </c>
      <c r="S191" s="164" t="str">
        <f>IF('01_Stations'!$S$181=1,"Ӂ",IF('01_Stations'!$S$181=2,"Җ",""))</f>
        <v/>
      </c>
      <c r="T191" s="164" t="str">
        <f>IF('01_Stations'!$S$182=1,"Ӂ",IF('01_Stations'!$S$182=2,"Җ",""))</f>
        <v/>
      </c>
      <c r="U191" s="164" t="str">
        <f>IF('01_Stations'!$S$183=1,"Ӂ",IF('01_Stations'!$S$183=2,"Җ",""))</f>
        <v/>
      </c>
      <c r="V191" s="164" t="str">
        <f>IF('01_Stations'!$S$184=1,"Ӂ",IF('01_Stations'!$S$184=2,"Җ",""))</f>
        <v/>
      </c>
      <c r="W191" s="164" t="str">
        <f>IF('01_Stations'!$S$185=1,"Ӂ",IF('01_Stations'!$S$185=2,"Җ",""))</f>
        <v/>
      </c>
      <c r="X191" s="164" t="str">
        <f>IF('01_Stations'!$S$186=1,"Ӂ",IF('01_Stations'!$S$186=2,"Җ",""))</f>
        <v/>
      </c>
      <c r="Y191" s="164" t="str">
        <f>IF('01_Stations'!$S$187=1,"Ӂ",IF('01_Stations'!$S$187=2,"Җ",""))</f>
        <v/>
      </c>
      <c r="Z191" s="164" t="str">
        <f>IF('01_Stations'!$S$188=1,"Ӂ",IF('01_Stations'!$S$188=2,"Җ",""))</f>
        <v/>
      </c>
      <c r="AA191" s="164" t="str">
        <f>IF('01_Stations'!$S$189=1,"Ӂ",IF('01_Stations'!$S$189=2,"Җ",""))</f>
        <v/>
      </c>
      <c r="AB191" s="164" t="str">
        <f>IF('01_Stations'!$S$190=1,"Ӂ",IF('01_Stations'!$S$190=2,"Җ",""))</f>
        <v/>
      </c>
      <c r="AC191" s="164" t="str">
        <f>IF('01_Stations'!$S$191=1,"Ӂ",IF('01_Stations'!$S$191=2,"Җ",""))</f>
        <v/>
      </c>
      <c r="AD191" s="164" t="str">
        <f>IF('01_Stations'!$S$192=1,"Ӂ",IF('01_Stations'!$S$192=2,"Җ",""))</f>
        <v/>
      </c>
      <c r="AE191" s="164" t="str">
        <f>IF('01_Stations'!$S$193=1,"Ӂ",IF('01_Stations'!$S$193=2,"Җ",""))</f>
        <v/>
      </c>
      <c r="AF191" s="164" t="str">
        <f>IF('01_Stations'!$S$194=1,"Ӂ",IF('01_Stations'!$S$194=2,"Җ",""))</f>
        <v/>
      </c>
      <c r="AG191" s="164" t="str">
        <f>IF('01_Stations'!$S$195=1,"Ӂ",IF('01_Stations'!$S$195=2,"Җ",""))</f>
        <v/>
      </c>
      <c r="AH191" s="164" t="str">
        <f>IF('01_Stations'!$S$196=1,"Ӂ",IF('01_Stations'!$S$196=2,"Җ",""))</f>
        <v/>
      </c>
      <c r="AI191" s="164" t="str">
        <f>IF('01_Stations'!$S$197=1,"Ӂ",IF('01_Stations'!$S$197=2,"Җ",""))</f>
        <v/>
      </c>
      <c r="AJ191" s="164" t="str">
        <f>IF('01_Stations'!$S$198=1,"Ӂ",IF('01_Stations'!$S$198=2,"Җ",""))</f>
        <v/>
      </c>
      <c r="AK191" s="164" t="str">
        <f>IF('01_Stations'!$S$199=1,"Ӂ",IF('01_Stations'!$S$199=2,"Җ",""))</f>
        <v/>
      </c>
      <c r="AL191" s="164" t="str">
        <f>IF('01_Stations'!$S$200=1,"Ӂ",IF('01_Stations'!$S$200=2,"Җ",""))</f>
        <v/>
      </c>
      <c r="AM191" s="164" t="str">
        <f>IF('01_Stations'!$S$201=1,"Ӂ",IF('01_Stations'!$S$201=2,"Җ",""))</f>
        <v/>
      </c>
      <c r="AN191" s="164" t="str">
        <f>IF('01_Stations'!$S$202=1,"Ӂ",IF('01_Stations'!$S$202=2,"Җ",""))</f>
        <v/>
      </c>
      <c r="AO191" s="164" t="str">
        <f>IF('01_Stations'!$S$203=1,"Ӂ",IF('01_Stations'!$S$203=2,"Җ",""))</f>
        <v/>
      </c>
      <c r="AP191" s="164" t="str">
        <f>IF('01_Stations'!$S$204=1,"Ӂ",IF('01_Stations'!$S$204=2,"Җ",""))</f>
        <v/>
      </c>
      <c r="AQ191" s="164" t="str">
        <f>IF('01_Stations'!$S$205=1,"Ӂ",IF('01_Stations'!$S$205=2,"Җ",""))</f>
        <v/>
      </c>
    </row>
    <row r="192" spans="1:43" ht="15" customHeight="1" x14ac:dyDescent="0.3">
      <c r="A192" s="236"/>
      <c r="B192" s="165" t="s">
        <v>2215</v>
      </c>
      <c r="C192" s="166" t="s">
        <v>1622</v>
      </c>
      <c r="D192" s="164" t="str">
        <f>IF('01_Stations'!$T$166=1,"───","")</f>
        <v/>
      </c>
      <c r="E192" s="164" t="str">
        <f>IF('01_Stations'!$T$167=1,"───","")</f>
        <v/>
      </c>
      <c r="F192" s="164" t="str">
        <f>IF('01_Stations'!$T$168=1,"───","")</f>
        <v/>
      </c>
      <c r="G192" s="164" t="str">
        <f>IF('01_Stations'!$T$169=1,"───","")</f>
        <v/>
      </c>
      <c r="H192" s="164" t="str">
        <f>IF('01_Stations'!$T$170=1,"───","")</f>
        <v/>
      </c>
      <c r="I192" s="164" t="str">
        <f>IF('01_Stations'!$T$171=1,"───","")</f>
        <v/>
      </c>
      <c r="J192" s="164" t="str">
        <f>IF('01_Stations'!$T$172=1,"───","")</f>
        <v/>
      </c>
      <c r="K192" s="164" t="str">
        <f>IF('01_Stations'!$T$173=1,"───","")</f>
        <v/>
      </c>
      <c r="L192" s="164" t="str">
        <f>IF('01_Stations'!$T$174=1,"───","")</f>
        <v/>
      </c>
      <c r="M192" s="164" t="str">
        <f>IF('01_Stations'!$T$175=1,"───","")</f>
        <v/>
      </c>
      <c r="N192" s="164" t="str">
        <f>IF('01_Stations'!$T$176=1,"───","")</f>
        <v/>
      </c>
      <c r="O192" s="164" t="str">
        <f>IF('01_Stations'!$T$177=1,"───","")</f>
        <v/>
      </c>
      <c r="P192" s="164" t="str">
        <f>IF('01_Stations'!$T$178=1,"───","")</f>
        <v/>
      </c>
      <c r="Q192" s="164" t="str">
        <f>IF('01_Stations'!$T$179=1,"───","")</f>
        <v/>
      </c>
      <c r="R192" s="164" t="str">
        <f>IF('01_Stations'!$T$180=1,"───","")</f>
        <v/>
      </c>
      <c r="S192" s="164" t="str">
        <f>IF('01_Stations'!$T$181=1,"───","")</f>
        <v/>
      </c>
      <c r="T192" s="164" t="str">
        <f>IF('01_Stations'!$T$182=1,"───","")</f>
        <v/>
      </c>
      <c r="U192" s="164" t="str">
        <f>IF('01_Stations'!$T$183=1,"───","")</f>
        <v/>
      </c>
      <c r="V192" s="164" t="str">
        <f>IF('01_Stations'!$T$184=1,"───","")</f>
        <v/>
      </c>
      <c r="W192" s="164" t="str">
        <f>IF('01_Stations'!$T$185=1,"───","")</f>
        <v/>
      </c>
      <c r="X192" s="164" t="str">
        <f>IF('01_Stations'!$T$186=1,"───","")</f>
        <v/>
      </c>
      <c r="Y192" s="164" t="str">
        <f>IF('01_Stations'!$T$187=1,"───","")</f>
        <v/>
      </c>
      <c r="Z192" s="164" t="str">
        <f>IF('01_Stations'!$T$188=1,"───","")</f>
        <v/>
      </c>
      <c r="AA192" s="164" t="str">
        <f>IF('01_Stations'!$T$189=1,"───","")</f>
        <v/>
      </c>
      <c r="AB192" s="164" t="str">
        <f>IF('01_Stations'!$T$190=1,"───","")</f>
        <v/>
      </c>
      <c r="AC192" s="164" t="str">
        <f>IF('01_Stations'!$T$191=1,"───","")</f>
        <v/>
      </c>
      <c r="AD192" s="164" t="str">
        <f>IF('01_Stations'!$T$192=1,"───","")</f>
        <v/>
      </c>
      <c r="AE192" s="164" t="str">
        <f>IF('01_Stations'!$T$193=1,"───","")</f>
        <v/>
      </c>
      <c r="AF192" s="164" t="str">
        <f>IF('01_Stations'!$T$194=1,"───","")</f>
        <v/>
      </c>
      <c r="AG192" s="164" t="str">
        <f>IF('01_Stations'!$T$195=1,"───","")</f>
        <v/>
      </c>
      <c r="AH192" s="164" t="str">
        <f>IF('01_Stations'!$T$196=1,"───","")</f>
        <v/>
      </c>
      <c r="AI192" s="164" t="str">
        <f>IF('01_Stations'!$T$197=1,"───","")</f>
        <v/>
      </c>
      <c r="AJ192" s="164" t="str">
        <f>IF('01_Stations'!$T$198=1,"───","")</f>
        <v/>
      </c>
      <c r="AK192" s="164" t="str">
        <f>IF('01_Stations'!$T$199=1,"───","")</f>
        <v/>
      </c>
      <c r="AL192" s="164" t="str">
        <f>IF('01_Stations'!$T$200=1,"───","")</f>
        <v/>
      </c>
      <c r="AM192" s="164" t="str">
        <f>IF('01_Stations'!$T$201=1,"───","")</f>
        <v/>
      </c>
      <c r="AN192" s="164" t="str">
        <f>IF('01_Stations'!$T$202=1,"───","")</f>
        <v/>
      </c>
      <c r="AO192" s="164" t="str">
        <f>IF('01_Stations'!$T$203=1,"───","")</f>
        <v/>
      </c>
      <c r="AP192" s="164" t="str">
        <f>IF('01_Stations'!$T$204=1,"───","")</f>
        <v/>
      </c>
      <c r="AQ192" s="164" t="str">
        <f>IF('01_Stations'!$T$205=1,"───","")</f>
        <v/>
      </c>
    </row>
    <row r="193" spans="1:43" ht="15" customHeight="1" x14ac:dyDescent="0.3">
      <c r="A193" s="236"/>
      <c r="B193" s="165"/>
      <c r="C193" s="166" t="s">
        <v>2216</v>
      </c>
      <c r="D193" s="164" t="str">
        <f>IF(N('01_Stations'!$U$166)&gt;0,'01_Stations'!$U$166,"")</f>
        <v/>
      </c>
      <c r="E193" s="164" t="str">
        <f>IF(N('01_Stations'!$U$167)&gt;0,'01_Stations'!$U$167,"")</f>
        <v/>
      </c>
      <c r="F193" s="164" t="str">
        <f>IF(N('01_Stations'!$U$168)&gt;0,'01_Stations'!$U$168,"")</f>
        <v/>
      </c>
      <c r="G193" s="164" t="str">
        <f>IF(N('01_Stations'!$U$169)&gt;0,'01_Stations'!$U$169,"")</f>
        <v/>
      </c>
      <c r="H193" s="164" t="str">
        <f>IF(N('01_Stations'!$U$170)&gt;0,'01_Stations'!$U$170,"")</f>
        <v/>
      </c>
      <c r="I193" s="164" t="str">
        <f>IF(N('01_Stations'!$U$171)&gt;0,'01_Stations'!$U$171,"")</f>
        <v/>
      </c>
      <c r="J193" s="164" t="str">
        <f>IF(N('01_Stations'!$U$172)&gt;0,'01_Stations'!$U$172,"")</f>
        <v/>
      </c>
      <c r="K193" s="164" t="str">
        <f>IF(N('01_Stations'!$U$173)&gt;0,'01_Stations'!$U$173,"")</f>
        <v/>
      </c>
      <c r="L193" s="164" t="str">
        <f>IF(N('01_Stations'!$U$174)&gt;0,'01_Stations'!$U$174,"")</f>
        <v/>
      </c>
      <c r="M193" s="164" t="str">
        <f>IF(N('01_Stations'!$U$175)&gt;0,'01_Stations'!$U$175,"")</f>
        <v/>
      </c>
      <c r="N193" s="164" t="str">
        <f>IF(N('01_Stations'!$U$176)&gt;0,'01_Stations'!$U$176,"")</f>
        <v/>
      </c>
      <c r="O193" s="164" t="str">
        <f>IF(N('01_Stations'!$U$177)&gt;0,'01_Stations'!$U$177,"")</f>
        <v/>
      </c>
      <c r="P193" s="164" t="str">
        <f>IF(N('01_Stations'!$U$178)&gt;0,'01_Stations'!$U$178,"")</f>
        <v/>
      </c>
      <c r="Q193" s="164" t="str">
        <f>IF(N('01_Stations'!$U$179)&gt;0,'01_Stations'!$U$179,"")</f>
        <v/>
      </c>
      <c r="R193" s="164" t="str">
        <f>IF(N('01_Stations'!$U$180)&gt;0,'01_Stations'!$U$180,"")</f>
        <v/>
      </c>
      <c r="S193" s="164" t="str">
        <f>IF(N('01_Stations'!$U$181)&gt;0,'01_Stations'!$U$181,"")</f>
        <v/>
      </c>
      <c r="T193" s="164" t="str">
        <f>IF(N('01_Stations'!$U$182)&gt;0,'01_Stations'!$U$182,"")</f>
        <v/>
      </c>
      <c r="U193" s="164" t="str">
        <f>IF(N('01_Stations'!$U$183)&gt;0,'01_Stations'!$U$183,"")</f>
        <v/>
      </c>
      <c r="V193" s="164" t="str">
        <f>IF(N('01_Stations'!$U$184)&gt;0,'01_Stations'!$U$184,"")</f>
        <v/>
      </c>
      <c r="W193" s="164" t="str">
        <f>IF(N('01_Stations'!$U$185)&gt;0,'01_Stations'!$U$185,"")</f>
        <v/>
      </c>
      <c r="X193" s="164" t="str">
        <f>IF(N('01_Stations'!$U$186)&gt;0,'01_Stations'!$U$186,"")</f>
        <v/>
      </c>
      <c r="Y193" s="164" t="str">
        <f>IF(N('01_Stations'!$U$187)&gt;0,'01_Stations'!$U$187,"")</f>
        <v/>
      </c>
      <c r="Z193" s="164" t="str">
        <f>IF(N('01_Stations'!$U$188)&gt;0,'01_Stations'!$U$188,"")</f>
        <v/>
      </c>
      <c r="AA193" s="164" t="str">
        <f>IF(N('01_Stations'!$U$189)&gt;0,'01_Stations'!$U$189,"")</f>
        <v/>
      </c>
      <c r="AB193" s="164" t="str">
        <f>IF(N('01_Stations'!$U$190)&gt;0,'01_Stations'!$U$190,"")</f>
        <v/>
      </c>
      <c r="AC193" s="164" t="str">
        <f>IF(N('01_Stations'!$U$191)&gt;0,'01_Stations'!$U$191,"")</f>
        <v/>
      </c>
      <c r="AD193" s="164" t="str">
        <f>IF(N('01_Stations'!$U$192)&gt;0,'01_Stations'!$U$192,"")</f>
        <v/>
      </c>
      <c r="AE193" s="164" t="str">
        <f>IF(N('01_Stations'!$U$193)&gt;0,'01_Stations'!$U$193,"")</f>
        <v/>
      </c>
      <c r="AF193" s="164" t="str">
        <f>IF(N('01_Stations'!$U$194)&gt;0,'01_Stations'!$U$194,"")</f>
        <v/>
      </c>
      <c r="AG193" s="164" t="str">
        <f>IF(N('01_Stations'!$U$195)&gt;0,'01_Stations'!$U$195,"")</f>
        <v/>
      </c>
      <c r="AH193" s="164" t="str">
        <f>IF(N('01_Stations'!$U$196)&gt;0,'01_Stations'!$U$196,"")</f>
        <v/>
      </c>
      <c r="AI193" s="164" t="str">
        <f>IF(N('01_Stations'!$U$197)&gt;0,'01_Stations'!$U$197,"")</f>
        <v/>
      </c>
      <c r="AJ193" s="164" t="str">
        <f>IF(N('01_Stations'!$U$198)&gt;0,'01_Stations'!$U$198,"")</f>
        <v/>
      </c>
      <c r="AK193" s="164" t="str">
        <f>IF(N('01_Stations'!$U$199)&gt;0,'01_Stations'!$U$199,"")</f>
        <v/>
      </c>
      <c r="AL193" s="164" t="str">
        <f>IF(N('01_Stations'!$U$200)&gt;0,'01_Stations'!$U$200,"")</f>
        <v/>
      </c>
      <c r="AM193" s="164" t="str">
        <f>IF(N('01_Stations'!$U$201)&gt;0,'01_Stations'!$U$201,"")</f>
        <v/>
      </c>
      <c r="AN193" s="164" t="str">
        <f>IF(N('01_Stations'!$U$202)&gt;0,'01_Stations'!$U$202,"")</f>
        <v/>
      </c>
      <c r="AO193" s="164" t="str">
        <f>IF(N('01_Stations'!$U$203)&gt;0,'01_Stations'!$U$203,"")</f>
        <v/>
      </c>
      <c r="AP193" s="164" t="str">
        <f>IF(N('01_Stations'!$U$204)&gt;0,'01_Stations'!$U$204,"")</f>
        <v/>
      </c>
      <c r="AQ193" s="164" t="str">
        <f>IF(N('01_Stations'!$U$205)&gt;0,'01_Stations'!$U$205,"")</f>
        <v/>
      </c>
    </row>
    <row r="194" spans="1:43" ht="15" customHeight="1" x14ac:dyDescent="0.3">
      <c r="A194" s="236"/>
      <c r="B194" s="165"/>
      <c r="C194" s="166" t="s">
        <v>2212</v>
      </c>
      <c r="D194" s="164" t="str">
        <f>IF('01_Stations'!$V$166=1,"───","")</f>
        <v/>
      </c>
      <c r="E194" s="164" t="str">
        <f>IF('01_Stations'!$V$167=1,"───","")</f>
        <v/>
      </c>
      <c r="F194" s="164" t="str">
        <f>IF('01_Stations'!$V$168=1,"───","")</f>
        <v/>
      </c>
      <c r="G194" s="164" t="str">
        <f>IF('01_Stations'!$V$169=1,"───","")</f>
        <v/>
      </c>
      <c r="H194" s="164" t="str">
        <f>IF('01_Stations'!$V$170=1,"───","")</f>
        <v/>
      </c>
      <c r="I194" s="164" t="str">
        <f>IF('01_Stations'!$V$171=1,"───","")</f>
        <v/>
      </c>
      <c r="J194" s="164" t="str">
        <f>IF('01_Stations'!$V$172=1,"───","")</f>
        <v/>
      </c>
      <c r="K194" s="164" t="str">
        <f>IF('01_Stations'!$V$173=1,"───","")</f>
        <v/>
      </c>
      <c r="L194" s="164" t="str">
        <f>IF('01_Stations'!$V$174=1,"───","")</f>
        <v/>
      </c>
      <c r="M194" s="164" t="str">
        <f>IF('01_Stations'!$V$175=1,"───","")</f>
        <v/>
      </c>
      <c r="N194" s="164" t="str">
        <f>IF('01_Stations'!$V$176=1,"───","")</f>
        <v/>
      </c>
      <c r="O194" s="164" t="str">
        <f>IF('01_Stations'!$V$177=1,"───","")</f>
        <v/>
      </c>
      <c r="P194" s="164" t="str">
        <f>IF('01_Stations'!$V$178=1,"───","")</f>
        <v/>
      </c>
      <c r="Q194" s="164" t="str">
        <f>IF('01_Stations'!$V$179=1,"───","")</f>
        <v/>
      </c>
      <c r="R194" s="164" t="str">
        <f>IF('01_Stations'!$V$180=1,"───","")</f>
        <v/>
      </c>
      <c r="S194" s="164" t="str">
        <f>IF('01_Stations'!$V$181=1,"───","")</f>
        <v/>
      </c>
      <c r="T194" s="164" t="str">
        <f>IF('01_Stations'!$V$182=1,"───","")</f>
        <v/>
      </c>
      <c r="U194" s="164" t="str">
        <f>IF('01_Stations'!$V$183=1,"───","")</f>
        <v/>
      </c>
      <c r="V194" s="164" t="str">
        <f>IF('01_Stations'!$V$184=1,"───","")</f>
        <v/>
      </c>
      <c r="W194" s="164" t="str">
        <f>IF('01_Stations'!$V$185=1,"───","")</f>
        <v/>
      </c>
      <c r="X194" s="164" t="str">
        <f>IF('01_Stations'!$V$186=1,"───","")</f>
        <v/>
      </c>
      <c r="Y194" s="164" t="str">
        <f>IF('01_Stations'!$V$187=1,"───","")</f>
        <v/>
      </c>
      <c r="Z194" s="164" t="str">
        <f>IF('01_Stations'!$V$188=1,"───","")</f>
        <v/>
      </c>
      <c r="AA194" s="164" t="str">
        <f>IF('01_Stations'!$V$189=1,"───","")</f>
        <v/>
      </c>
      <c r="AB194" s="164" t="str">
        <f>IF('01_Stations'!$V$190=1,"───","")</f>
        <v/>
      </c>
      <c r="AC194" s="164" t="str">
        <f>IF('01_Stations'!$V$191=1,"───","")</f>
        <v/>
      </c>
      <c r="AD194" s="164" t="str">
        <f>IF('01_Stations'!$V$192=1,"───","")</f>
        <v/>
      </c>
      <c r="AE194" s="164" t="str">
        <f>IF('01_Stations'!$V$193=1,"───","")</f>
        <v/>
      </c>
      <c r="AF194" s="164" t="str">
        <f>IF('01_Stations'!$V$194=1,"───","")</f>
        <v/>
      </c>
      <c r="AG194" s="164" t="str">
        <f>IF('01_Stations'!$V$195=1,"───","")</f>
        <v/>
      </c>
      <c r="AH194" s="164" t="str">
        <f>IF('01_Stations'!$V$196=1,"───","")</f>
        <v/>
      </c>
      <c r="AI194" s="164" t="str">
        <f>IF('01_Stations'!$V$197=1,"───","")</f>
        <v/>
      </c>
      <c r="AJ194" s="164" t="str">
        <f>IF('01_Stations'!$V$198=1,"───","")</f>
        <v/>
      </c>
      <c r="AK194" s="164" t="str">
        <f>IF('01_Stations'!$V$199=1,"───","")</f>
        <v/>
      </c>
      <c r="AL194" s="164" t="str">
        <f>IF('01_Stations'!$V$200=1,"───","")</f>
        <v/>
      </c>
      <c r="AM194" s="164" t="str">
        <f>IF('01_Stations'!$V$201=1,"───","")</f>
        <v/>
      </c>
      <c r="AN194" s="164" t="str">
        <f>IF('01_Stations'!$V$202=1,"───","")</f>
        <v/>
      </c>
      <c r="AO194" s="164" t="str">
        <f>IF('01_Stations'!$V$203=1,"───","")</f>
        <v/>
      </c>
      <c r="AP194" s="164" t="str">
        <f>IF('01_Stations'!$V$204=1,"───","")</f>
        <v/>
      </c>
      <c r="AQ194" s="164" t="str">
        <f>IF('01_Stations'!$V$205=1,"───","")</f>
        <v/>
      </c>
    </row>
    <row r="195" spans="1:43" ht="15" customHeight="1" x14ac:dyDescent="0.3">
      <c r="A195" s="236"/>
      <c r="B195" s="165"/>
      <c r="C195" s="166" t="s">
        <v>2216</v>
      </c>
      <c r="D195" s="164" t="str">
        <f>IF(N('01_Stations'!$W$166)&gt;0,'01_Stations'!$W$166,"")</f>
        <v/>
      </c>
      <c r="E195" s="164" t="str">
        <f>IF(N('01_Stations'!$W$167)&gt;0,'01_Stations'!$W$167,"")</f>
        <v/>
      </c>
      <c r="F195" s="164" t="str">
        <f>IF(N('01_Stations'!$W$168)&gt;0,'01_Stations'!$W$168,"")</f>
        <v/>
      </c>
      <c r="G195" s="164" t="str">
        <f>IF(N('01_Stations'!$W$169)&gt;0,'01_Stations'!$W$169,"")</f>
        <v/>
      </c>
      <c r="H195" s="164" t="str">
        <f>IF(N('01_Stations'!$W$170)&gt;0,'01_Stations'!$W$170,"")</f>
        <v/>
      </c>
      <c r="I195" s="164" t="str">
        <f>IF(N('01_Stations'!$W$171)&gt;0,'01_Stations'!$W$171,"")</f>
        <v/>
      </c>
      <c r="J195" s="164" t="str">
        <f>IF(N('01_Stations'!$W$172)&gt;0,'01_Stations'!$W$172,"")</f>
        <v/>
      </c>
      <c r="K195" s="164" t="str">
        <f>IF(N('01_Stations'!$W$173)&gt;0,'01_Stations'!$W$173,"")</f>
        <v/>
      </c>
      <c r="L195" s="164" t="str">
        <f>IF(N('01_Stations'!$W$174)&gt;0,'01_Stations'!$W$174,"")</f>
        <v/>
      </c>
      <c r="M195" s="164" t="str">
        <f>IF(N('01_Stations'!$W$175)&gt;0,'01_Stations'!$W$175,"")</f>
        <v/>
      </c>
      <c r="N195" s="164" t="str">
        <f>IF(N('01_Stations'!$W$176)&gt;0,'01_Stations'!$W$176,"")</f>
        <v/>
      </c>
      <c r="O195" s="164" t="str">
        <f>IF(N('01_Stations'!$W$177)&gt;0,'01_Stations'!$W$177,"")</f>
        <v/>
      </c>
      <c r="P195" s="164" t="str">
        <f>IF(N('01_Stations'!$W$178)&gt;0,'01_Stations'!$W$178,"")</f>
        <v/>
      </c>
      <c r="Q195" s="164" t="str">
        <f>IF(N('01_Stations'!$W$179)&gt;0,'01_Stations'!$W$179,"")</f>
        <v/>
      </c>
      <c r="R195" s="164" t="str">
        <f>IF(N('01_Stations'!$W$180)&gt;0,'01_Stations'!$W$180,"")</f>
        <v/>
      </c>
      <c r="S195" s="164" t="str">
        <f>IF(N('01_Stations'!$W$181)&gt;0,'01_Stations'!$W$181,"")</f>
        <v/>
      </c>
      <c r="T195" s="164" t="str">
        <f>IF(N('01_Stations'!$W$182)&gt;0,'01_Stations'!$W$182,"")</f>
        <v/>
      </c>
      <c r="U195" s="164" t="str">
        <f>IF(N('01_Stations'!$W$183)&gt;0,'01_Stations'!$W$183,"")</f>
        <v/>
      </c>
      <c r="V195" s="164" t="str">
        <f>IF(N('01_Stations'!$W$184)&gt;0,'01_Stations'!$W$184,"")</f>
        <v/>
      </c>
      <c r="W195" s="164" t="str">
        <f>IF(N('01_Stations'!$W$185)&gt;0,'01_Stations'!$W$185,"")</f>
        <v/>
      </c>
      <c r="X195" s="164" t="str">
        <f>IF(N('01_Stations'!$W$186)&gt;0,'01_Stations'!$W$186,"")</f>
        <v/>
      </c>
      <c r="Y195" s="164" t="str">
        <f>IF(N('01_Stations'!$W$187)&gt;0,'01_Stations'!$W$187,"")</f>
        <v/>
      </c>
      <c r="Z195" s="164" t="str">
        <f>IF(N('01_Stations'!$W$188)&gt;0,'01_Stations'!$W$188,"")</f>
        <v/>
      </c>
      <c r="AA195" s="164" t="str">
        <f>IF(N('01_Stations'!$W$189)&gt;0,'01_Stations'!$W$189,"")</f>
        <v/>
      </c>
      <c r="AB195" s="164" t="str">
        <f>IF(N('01_Stations'!$W$190)&gt;0,'01_Stations'!$W$190,"")</f>
        <v/>
      </c>
      <c r="AC195" s="164" t="str">
        <f>IF(N('01_Stations'!$W$191)&gt;0,'01_Stations'!$W$191,"")</f>
        <v/>
      </c>
      <c r="AD195" s="164" t="str">
        <f>IF(N('01_Stations'!$W$192)&gt;0,'01_Stations'!$W$192,"")</f>
        <v/>
      </c>
      <c r="AE195" s="164" t="str">
        <f>IF(N('01_Stations'!$W$193)&gt;0,'01_Stations'!$W$193,"")</f>
        <v/>
      </c>
      <c r="AF195" s="164" t="str">
        <f>IF(N('01_Stations'!$W$194)&gt;0,'01_Stations'!$W$194,"")</f>
        <v/>
      </c>
      <c r="AG195" s="164" t="str">
        <f>IF(N('01_Stations'!$W$195)&gt;0,'01_Stations'!$W$195,"")</f>
        <v/>
      </c>
      <c r="AH195" s="164" t="str">
        <f>IF(N('01_Stations'!$W$196)&gt;0,'01_Stations'!$W$196,"")</f>
        <v/>
      </c>
      <c r="AI195" s="164" t="str">
        <f>IF(N('01_Stations'!$W$197)&gt;0,'01_Stations'!$W$197,"")</f>
        <v/>
      </c>
      <c r="AJ195" s="164" t="str">
        <f>IF(N('01_Stations'!$W$198)&gt;0,'01_Stations'!$W$198,"")</f>
        <v/>
      </c>
      <c r="AK195" s="164" t="str">
        <f>IF(N('01_Stations'!$W$199)&gt;0,'01_Stations'!$W$199,"")</f>
        <v/>
      </c>
      <c r="AL195" s="164" t="str">
        <f>IF(N('01_Stations'!$W$200)&gt;0,'01_Stations'!$W$200,"")</f>
        <v/>
      </c>
      <c r="AM195" s="164" t="str">
        <f>IF(N('01_Stations'!$W$201)&gt;0,'01_Stations'!$W$201,"")</f>
        <v/>
      </c>
      <c r="AN195" s="164" t="str">
        <f>IF(N('01_Stations'!$W$202)&gt;0,'01_Stations'!$W$202,"")</f>
        <v/>
      </c>
      <c r="AO195" s="164" t="str">
        <f>IF(N('01_Stations'!$W$203)&gt;0,'01_Stations'!$W$203,"")</f>
        <v/>
      </c>
      <c r="AP195" s="164" t="str">
        <f>IF(N('01_Stations'!$W$204)&gt;0,'01_Stations'!$W$204,"")</f>
        <v/>
      </c>
      <c r="AQ195" s="164" t="str">
        <f>IF(N('01_Stations'!$W$205)&gt;0,'01_Stations'!$W$205,"")</f>
        <v/>
      </c>
    </row>
    <row r="196" spans="1:43" ht="15" customHeight="1" x14ac:dyDescent="0.3">
      <c r="A196" s="236"/>
      <c r="B196" s="165" t="s">
        <v>2217</v>
      </c>
      <c r="C196" s="166" t="s">
        <v>1622</v>
      </c>
      <c r="D196" s="164" t="str">
        <f>IF('01_Stations'!$X$166=1,"───","")</f>
        <v/>
      </c>
      <c r="E196" s="164" t="str">
        <f>IF('01_Stations'!$X$167=1,"───","")</f>
        <v/>
      </c>
      <c r="F196" s="164" t="str">
        <f>IF('01_Stations'!$X$168=1,"───","")</f>
        <v/>
      </c>
      <c r="G196" s="164" t="str">
        <f>IF('01_Stations'!$X$169=1,"───","")</f>
        <v/>
      </c>
      <c r="H196" s="164" t="str">
        <f>IF('01_Stations'!$X$170=1,"───","")</f>
        <v/>
      </c>
      <c r="I196" s="164" t="str">
        <f>IF('01_Stations'!$X$171=1,"───","")</f>
        <v/>
      </c>
      <c r="J196" s="164" t="str">
        <f>IF('01_Stations'!$X$172=1,"───","")</f>
        <v/>
      </c>
      <c r="K196" s="164" t="str">
        <f>IF('01_Stations'!$X$173=1,"───","")</f>
        <v/>
      </c>
      <c r="L196" s="164" t="str">
        <f>IF('01_Stations'!$X$174=1,"───","")</f>
        <v/>
      </c>
      <c r="M196" s="164" t="str">
        <f>IF('01_Stations'!$X$175=1,"───","")</f>
        <v/>
      </c>
      <c r="N196" s="164" t="str">
        <f>IF('01_Stations'!$X$176=1,"───","")</f>
        <v/>
      </c>
      <c r="O196" s="164" t="str">
        <f>IF('01_Stations'!$X$177=1,"───","")</f>
        <v/>
      </c>
      <c r="P196" s="164" t="str">
        <f>IF('01_Stations'!$X$178=1,"───","")</f>
        <v/>
      </c>
      <c r="Q196" s="164" t="str">
        <f>IF('01_Stations'!$X$179=1,"───","")</f>
        <v/>
      </c>
      <c r="R196" s="164" t="str">
        <f>IF('01_Stations'!$X$180=1,"───","")</f>
        <v/>
      </c>
      <c r="S196" s="164" t="str">
        <f>IF('01_Stations'!$X$181=1,"───","")</f>
        <v/>
      </c>
      <c r="T196" s="164" t="str">
        <f>IF('01_Stations'!$X$182=1,"───","")</f>
        <v/>
      </c>
      <c r="U196" s="164" t="str">
        <f>IF('01_Stations'!$X$183=1,"───","")</f>
        <v/>
      </c>
      <c r="V196" s="164" t="str">
        <f>IF('01_Stations'!$X$184=1,"───","")</f>
        <v/>
      </c>
      <c r="W196" s="164" t="str">
        <f>IF('01_Stations'!$X$185=1,"───","")</f>
        <v/>
      </c>
      <c r="X196" s="164" t="str">
        <f>IF('01_Stations'!$X$186=1,"───","")</f>
        <v/>
      </c>
      <c r="Y196" s="164" t="str">
        <f>IF('01_Stations'!$X$187=1,"───","")</f>
        <v/>
      </c>
      <c r="Z196" s="164" t="str">
        <f>IF('01_Stations'!$X$188=1,"───","")</f>
        <v/>
      </c>
      <c r="AA196" s="164" t="str">
        <f>IF('01_Stations'!$X$189=1,"───","")</f>
        <v/>
      </c>
      <c r="AB196" s="164" t="str">
        <f>IF('01_Stations'!$X$190=1,"───","")</f>
        <v/>
      </c>
      <c r="AC196" s="164" t="str">
        <f>IF('01_Stations'!$X$191=1,"───","")</f>
        <v/>
      </c>
      <c r="AD196" s="164" t="str">
        <f>IF('01_Stations'!$X$192=1,"───","")</f>
        <v/>
      </c>
      <c r="AE196" s="164" t="str">
        <f>IF('01_Stations'!$X$193=1,"───","")</f>
        <v/>
      </c>
      <c r="AF196" s="164" t="str">
        <f>IF('01_Stations'!$X$194=1,"───","")</f>
        <v/>
      </c>
      <c r="AG196" s="164" t="str">
        <f>IF('01_Stations'!$X$195=1,"───","")</f>
        <v/>
      </c>
      <c r="AH196" s="164" t="str">
        <f>IF('01_Stations'!$X$196=1,"───","")</f>
        <v/>
      </c>
      <c r="AI196" s="164" t="str">
        <f>IF('01_Stations'!$X$197=1,"───","")</f>
        <v/>
      </c>
      <c r="AJ196" s="164" t="str">
        <f>IF('01_Stations'!$X$198=1,"───","")</f>
        <v/>
      </c>
      <c r="AK196" s="164" t="str">
        <f>IF('01_Stations'!$X$199=1,"───","")</f>
        <v/>
      </c>
      <c r="AL196" s="164" t="str">
        <f>IF('01_Stations'!$X$200=1,"───","")</f>
        <v/>
      </c>
      <c r="AM196" s="164" t="str">
        <f>IF('01_Stations'!$X$201=1,"───","")</f>
        <v/>
      </c>
      <c r="AN196" s="164" t="str">
        <f>IF('01_Stations'!$X$202=1,"───","")</f>
        <v/>
      </c>
      <c r="AO196" s="164" t="str">
        <f>IF('01_Stations'!$X$203=1,"───","")</f>
        <v/>
      </c>
      <c r="AP196" s="164" t="str">
        <f>IF('01_Stations'!$X$204=1,"───","")</f>
        <v/>
      </c>
      <c r="AQ196" s="164" t="str">
        <f>IF('01_Stations'!$X$205=1,"───","")</f>
        <v/>
      </c>
    </row>
    <row r="197" spans="1:43" ht="15" customHeight="1" x14ac:dyDescent="0.3">
      <c r="A197" s="236"/>
      <c r="B197" s="165"/>
      <c r="C197" s="166" t="s">
        <v>2212</v>
      </c>
      <c r="D197" s="164" t="str">
        <f>IF('01_Stations'!$Y$166=1,"───","")</f>
        <v/>
      </c>
      <c r="E197" s="164" t="str">
        <f>IF('01_Stations'!$Y$167=1,"───","")</f>
        <v/>
      </c>
      <c r="F197" s="164" t="str">
        <f>IF('01_Stations'!$Y$168=1,"───","")</f>
        <v/>
      </c>
      <c r="G197" s="164" t="str">
        <f>IF('01_Stations'!$Y$169=1,"───","")</f>
        <v/>
      </c>
      <c r="H197" s="164" t="str">
        <f>IF('01_Stations'!$Y$170=1,"───","")</f>
        <v/>
      </c>
      <c r="I197" s="164" t="str">
        <f>IF('01_Stations'!$Y$171=1,"───","")</f>
        <v/>
      </c>
      <c r="J197" s="164" t="str">
        <f>IF('01_Stations'!$Y$172=1,"───","")</f>
        <v/>
      </c>
      <c r="K197" s="164" t="str">
        <f>IF('01_Stations'!$Y$173=1,"───","")</f>
        <v/>
      </c>
      <c r="L197" s="164" t="str">
        <f>IF('01_Stations'!$Y$174=1,"───","")</f>
        <v/>
      </c>
      <c r="M197" s="164" t="str">
        <f>IF('01_Stations'!$Y$175=1,"───","")</f>
        <v/>
      </c>
      <c r="N197" s="164" t="str">
        <f>IF('01_Stations'!$Y$176=1,"───","")</f>
        <v/>
      </c>
      <c r="O197" s="164" t="str">
        <f>IF('01_Stations'!$Y$177=1,"───","")</f>
        <v/>
      </c>
      <c r="P197" s="164" t="str">
        <f>IF('01_Stations'!$Y$178=1,"───","")</f>
        <v/>
      </c>
      <c r="Q197" s="164" t="str">
        <f>IF('01_Stations'!$Y$179=1,"───","")</f>
        <v/>
      </c>
      <c r="R197" s="164" t="str">
        <f>IF('01_Stations'!$Y$180=1,"───","")</f>
        <v/>
      </c>
      <c r="S197" s="164" t="str">
        <f>IF('01_Stations'!$Y$181=1,"───","")</f>
        <v/>
      </c>
      <c r="T197" s="164" t="str">
        <f>IF('01_Stations'!$Y$182=1,"───","")</f>
        <v/>
      </c>
      <c r="U197" s="164" t="str">
        <f>IF('01_Stations'!$Y$183=1,"───","")</f>
        <v/>
      </c>
      <c r="V197" s="164" t="str">
        <f>IF('01_Stations'!$Y$184=1,"───","")</f>
        <v/>
      </c>
      <c r="W197" s="164" t="str">
        <f>IF('01_Stations'!$Y$185=1,"───","")</f>
        <v/>
      </c>
      <c r="X197" s="164" t="str">
        <f>IF('01_Stations'!$Y$186=1,"───","")</f>
        <v/>
      </c>
      <c r="Y197" s="164" t="str">
        <f>IF('01_Stations'!$Y$187=1,"───","")</f>
        <v/>
      </c>
      <c r="Z197" s="164" t="str">
        <f>IF('01_Stations'!$Y$188=1,"───","")</f>
        <v/>
      </c>
      <c r="AA197" s="164" t="str">
        <f>IF('01_Stations'!$Y$189=1,"───","")</f>
        <v/>
      </c>
      <c r="AB197" s="164" t="str">
        <f>IF('01_Stations'!$Y$190=1,"───","")</f>
        <v/>
      </c>
      <c r="AC197" s="164" t="str">
        <f>IF('01_Stations'!$Y$191=1,"───","")</f>
        <v/>
      </c>
      <c r="AD197" s="164" t="str">
        <f>IF('01_Stations'!$Y$192=1,"───","")</f>
        <v/>
      </c>
      <c r="AE197" s="164" t="str">
        <f>IF('01_Stations'!$Y$193=1,"───","")</f>
        <v/>
      </c>
      <c r="AF197" s="164" t="str">
        <f>IF('01_Stations'!$Y$194=1,"───","")</f>
        <v/>
      </c>
      <c r="AG197" s="164" t="str">
        <f>IF('01_Stations'!$Y$195=1,"───","")</f>
        <v/>
      </c>
      <c r="AH197" s="164" t="str">
        <f>IF('01_Stations'!$Y$196=1,"───","")</f>
        <v/>
      </c>
      <c r="AI197" s="164" t="str">
        <f>IF('01_Stations'!$Y$197=1,"───","")</f>
        <v/>
      </c>
      <c r="AJ197" s="164" t="str">
        <f>IF('01_Stations'!$Y$198=1,"───","")</f>
        <v/>
      </c>
      <c r="AK197" s="164" t="str">
        <f>IF('01_Stations'!$Y$199=1,"───","")</f>
        <v/>
      </c>
      <c r="AL197" s="164" t="str">
        <f>IF('01_Stations'!$Y$200=1,"───","")</f>
        <v/>
      </c>
      <c r="AM197" s="164" t="str">
        <f>IF('01_Stations'!$Y$201=1,"───","")</f>
        <v/>
      </c>
      <c r="AN197" s="164" t="str">
        <f>IF('01_Stations'!$Y$202=1,"───","")</f>
        <v/>
      </c>
      <c r="AO197" s="164" t="str">
        <f>IF('01_Stations'!$Y$203=1,"───","")</f>
        <v/>
      </c>
      <c r="AP197" s="164" t="str">
        <f>IF('01_Stations'!$Y$204=1,"───","")</f>
        <v/>
      </c>
      <c r="AQ197" s="164" t="str">
        <f>IF('01_Stations'!$Y$205=1,"───","")</f>
        <v/>
      </c>
    </row>
    <row r="198" spans="1:43" ht="15" customHeight="1" x14ac:dyDescent="0.3">
      <c r="A198" s="236"/>
      <c r="B198" s="165" t="s">
        <v>2218</v>
      </c>
      <c r="C198" s="166" t="s">
        <v>1622</v>
      </c>
      <c r="D198" s="164" t="str">
        <f>IF('01_Stations'!$Z$166=1,"───","")</f>
        <v/>
      </c>
      <c r="E198" s="164" t="str">
        <f>IF('01_Stations'!$Z$167=1,"───","")</f>
        <v/>
      </c>
      <c r="F198" s="164" t="str">
        <f>IF('01_Stations'!$Z$168=1,"───","")</f>
        <v/>
      </c>
      <c r="G198" s="164" t="str">
        <f>IF('01_Stations'!$Z$169=1,"───","")</f>
        <v/>
      </c>
      <c r="H198" s="164" t="str">
        <f>IF('01_Stations'!$Z$170=1,"───","")</f>
        <v/>
      </c>
      <c r="I198" s="164" t="str">
        <f>IF('01_Stations'!$Z$171=1,"───","")</f>
        <v/>
      </c>
      <c r="J198" s="164" t="str">
        <f>IF('01_Stations'!$Z$172=1,"───","")</f>
        <v/>
      </c>
      <c r="K198" s="164" t="str">
        <f>IF('01_Stations'!$Z$173=1,"───","")</f>
        <v/>
      </c>
      <c r="L198" s="164" t="str">
        <f>IF('01_Stations'!$Z$174=1,"───","")</f>
        <v/>
      </c>
      <c r="M198" s="164" t="str">
        <f>IF('01_Stations'!$Z$175=1,"───","")</f>
        <v/>
      </c>
      <c r="N198" s="164" t="str">
        <f>IF('01_Stations'!$Z$176=1,"───","")</f>
        <v/>
      </c>
      <c r="O198" s="164" t="str">
        <f>IF('01_Stations'!$Z$177=1,"───","")</f>
        <v/>
      </c>
      <c r="P198" s="164" t="str">
        <f>IF('01_Stations'!$Z$178=1,"───","")</f>
        <v/>
      </c>
      <c r="Q198" s="164" t="str">
        <f>IF('01_Stations'!$Z$179=1,"───","")</f>
        <v/>
      </c>
      <c r="R198" s="164" t="str">
        <f>IF('01_Stations'!$Z$180=1,"───","")</f>
        <v/>
      </c>
      <c r="S198" s="164" t="str">
        <f>IF('01_Stations'!$Z$181=1,"───","")</f>
        <v/>
      </c>
      <c r="T198" s="164" t="str">
        <f>IF('01_Stations'!$Z$182=1,"───","")</f>
        <v/>
      </c>
      <c r="U198" s="164" t="str">
        <f>IF('01_Stations'!$Z$183=1,"───","")</f>
        <v/>
      </c>
      <c r="V198" s="164" t="str">
        <f>IF('01_Stations'!$Z$184=1,"───","")</f>
        <v/>
      </c>
      <c r="W198" s="164" t="str">
        <f>IF('01_Stations'!$Z$185=1,"───","")</f>
        <v/>
      </c>
      <c r="X198" s="164" t="str">
        <f>IF('01_Stations'!$Z$186=1,"───","")</f>
        <v/>
      </c>
      <c r="Y198" s="164" t="str">
        <f>IF('01_Stations'!$Z$187=1,"───","")</f>
        <v/>
      </c>
      <c r="Z198" s="164" t="str">
        <f>IF('01_Stations'!$Z$188=1,"───","")</f>
        <v/>
      </c>
      <c r="AA198" s="164" t="str">
        <f>IF('01_Stations'!$Z$189=1,"───","")</f>
        <v/>
      </c>
      <c r="AB198" s="164" t="str">
        <f>IF('01_Stations'!$Z$190=1,"───","")</f>
        <v/>
      </c>
      <c r="AC198" s="164" t="str">
        <f>IF('01_Stations'!$Z$191=1,"───","")</f>
        <v/>
      </c>
      <c r="AD198" s="164" t="str">
        <f>IF('01_Stations'!$Z$192=1,"───","")</f>
        <v/>
      </c>
      <c r="AE198" s="164" t="str">
        <f>IF('01_Stations'!$Z$193=1,"───","")</f>
        <v/>
      </c>
      <c r="AF198" s="164" t="str">
        <f>IF('01_Stations'!$Z$194=1,"───","")</f>
        <v/>
      </c>
      <c r="AG198" s="164" t="str">
        <f>IF('01_Stations'!$Z$195=1,"───","")</f>
        <v/>
      </c>
      <c r="AH198" s="164" t="str">
        <f>IF('01_Stations'!$Z$196=1,"───","")</f>
        <v/>
      </c>
      <c r="AI198" s="164" t="str">
        <f>IF('01_Stations'!$Z$197=1,"───","")</f>
        <v/>
      </c>
      <c r="AJ198" s="164" t="str">
        <f>IF('01_Stations'!$Z$198=1,"───","")</f>
        <v/>
      </c>
      <c r="AK198" s="164" t="str">
        <f>IF('01_Stations'!$Z$199=1,"───","")</f>
        <v/>
      </c>
      <c r="AL198" s="164" t="str">
        <f>IF('01_Stations'!$Z$200=1,"───","")</f>
        <v/>
      </c>
      <c r="AM198" s="164" t="str">
        <f>IF('01_Stations'!$Z$201=1,"───","")</f>
        <v/>
      </c>
      <c r="AN198" s="164" t="str">
        <f>IF('01_Stations'!$Z$202=1,"───","")</f>
        <v/>
      </c>
      <c r="AO198" s="164" t="str">
        <f>IF('01_Stations'!$Z$203=1,"───","")</f>
        <v/>
      </c>
      <c r="AP198" s="164" t="str">
        <f>IF('01_Stations'!$Z$204=1,"───","")</f>
        <v/>
      </c>
      <c r="AQ198" s="164" t="str">
        <f>IF('01_Stations'!$Z$205=1,"───","")</f>
        <v/>
      </c>
    </row>
    <row r="199" spans="1:43" ht="15" customHeight="1" x14ac:dyDescent="0.3">
      <c r="A199" s="236"/>
      <c r="B199" s="165"/>
      <c r="C199" s="166" t="s">
        <v>2212</v>
      </c>
      <c r="D199" s="164" t="str">
        <f>IF('01_Stations'!$AA$166=1,"───","")</f>
        <v/>
      </c>
      <c r="E199" s="164" t="str">
        <f>IF('01_Stations'!$AA$167=1,"───","")</f>
        <v/>
      </c>
      <c r="F199" s="164" t="str">
        <f>IF('01_Stations'!$AA$168=1,"───","")</f>
        <v/>
      </c>
      <c r="G199" s="164" t="str">
        <f>IF('01_Stations'!$AA$169=1,"───","")</f>
        <v/>
      </c>
      <c r="H199" s="164" t="str">
        <f>IF('01_Stations'!$AA$170=1,"───","")</f>
        <v/>
      </c>
      <c r="I199" s="164" t="str">
        <f>IF('01_Stations'!$AA$171=1,"───","")</f>
        <v/>
      </c>
      <c r="J199" s="164" t="str">
        <f>IF('01_Stations'!$AA$172=1,"───","")</f>
        <v/>
      </c>
      <c r="K199" s="164" t="str">
        <f>IF('01_Stations'!$AA$173=1,"───","")</f>
        <v/>
      </c>
      <c r="L199" s="164" t="str">
        <f>IF('01_Stations'!$AA$174=1,"───","")</f>
        <v/>
      </c>
      <c r="M199" s="164" t="str">
        <f>IF('01_Stations'!$AA$175=1,"───","")</f>
        <v/>
      </c>
      <c r="N199" s="164" t="str">
        <f>IF('01_Stations'!$AA$176=1,"───","")</f>
        <v/>
      </c>
      <c r="O199" s="164" t="str">
        <f>IF('01_Stations'!$AA$177=1,"───","")</f>
        <v/>
      </c>
      <c r="P199" s="164" t="str">
        <f>IF('01_Stations'!$AA$178=1,"───","")</f>
        <v/>
      </c>
      <c r="Q199" s="164" t="str">
        <f>IF('01_Stations'!$AA$179=1,"───","")</f>
        <v/>
      </c>
      <c r="R199" s="164" t="str">
        <f>IF('01_Stations'!$AA$180=1,"───","")</f>
        <v/>
      </c>
      <c r="S199" s="164" t="str">
        <f>IF('01_Stations'!$AA$181=1,"───","")</f>
        <v/>
      </c>
      <c r="T199" s="164" t="str">
        <f>IF('01_Stations'!$AA$182=1,"───","")</f>
        <v/>
      </c>
      <c r="U199" s="164" t="str">
        <f>IF('01_Stations'!$AA$183=1,"───","")</f>
        <v/>
      </c>
      <c r="V199" s="164" t="str">
        <f>IF('01_Stations'!$AA$184=1,"───","")</f>
        <v/>
      </c>
      <c r="W199" s="164" t="str">
        <f>IF('01_Stations'!$AA$185=1,"───","")</f>
        <v/>
      </c>
      <c r="X199" s="164" t="str">
        <f>IF('01_Stations'!$AA$186=1,"───","")</f>
        <v/>
      </c>
      <c r="Y199" s="164" t="str">
        <f>IF('01_Stations'!$AA$187=1,"───","")</f>
        <v/>
      </c>
      <c r="Z199" s="164" t="str">
        <f>IF('01_Stations'!$AA$188=1,"───","")</f>
        <v/>
      </c>
      <c r="AA199" s="164" t="str">
        <f>IF('01_Stations'!$AA$189=1,"───","")</f>
        <v/>
      </c>
      <c r="AB199" s="164" t="str">
        <f>IF('01_Stations'!$AA$190=1,"───","")</f>
        <v/>
      </c>
      <c r="AC199" s="164" t="str">
        <f>IF('01_Stations'!$AA$191=1,"───","")</f>
        <v/>
      </c>
      <c r="AD199" s="164" t="str">
        <f>IF('01_Stations'!$AA$192=1,"───","")</f>
        <v/>
      </c>
      <c r="AE199" s="164" t="str">
        <f>IF('01_Stations'!$AA$193=1,"───","")</f>
        <v/>
      </c>
      <c r="AF199" s="164" t="str">
        <f>IF('01_Stations'!$AA$194=1,"───","")</f>
        <v/>
      </c>
      <c r="AG199" s="164" t="str">
        <f>IF('01_Stations'!$AA$195=1,"───","")</f>
        <v/>
      </c>
      <c r="AH199" s="164" t="str">
        <f>IF('01_Stations'!$AA$196=1,"───","")</f>
        <v/>
      </c>
      <c r="AI199" s="164" t="str">
        <f>IF('01_Stations'!$AA$197=1,"───","")</f>
        <v/>
      </c>
      <c r="AJ199" s="164" t="str">
        <f>IF('01_Stations'!$AA$198=1,"───","")</f>
        <v/>
      </c>
      <c r="AK199" s="164" t="str">
        <f>IF('01_Stations'!$AA$199=1,"───","")</f>
        <v/>
      </c>
      <c r="AL199" s="164" t="str">
        <f>IF('01_Stations'!$AA$200=1,"───","")</f>
        <v/>
      </c>
      <c r="AM199" s="164" t="str">
        <f>IF('01_Stations'!$AA$201=1,"───","")</f>
        <v/>
      </c>
      <c r="AN199" s="164" t="str">
        <f>IF('01_Stations'!$AA$202=1,"───","")</f>
        <v/>
      </c>
      <c r="AO199" s="164" t="str">
        <f>IF('01_Stations'!$AA$203=1,"───","")</f>
        <v/>
      </c>
      <c r="AP199" s="164" t="str">
        <f>IF('01_Stations'!$AA$204=1,"───","")</f>
        <v/>
      </c>
      <c r="AQ199" s="164" t="str">
        <f>IF('01_Stations'!$AA$205=1,"───","")</f>
        <v/>
      </c>
    </row>
    <row r="200" spans="1:43" ht="15" customHeight="1" x14ac:dyDescent="0.3">
      <c r="A200" s="236"/>
      <c r="B200" s="165" t="s">
        <v>200</v>
      </c>
      <c r="C200" s="166" t="s">
        <v>2219</v>
      </c>
      <c r="D200" s="164" t="str">
        <f>IF('01_Stations'!$AB$166=1,"───","")</f>
        <v/>
      </c>
      <c r="E200" s="164" t="str">
        <f>IF('01_Stations'!$AB$167=1,"───","")</f>
        <v/>
      </c>
      <c r="F200" s="164" t="str">
        <f>IF('01_Stations'!$AB$168=1,"───","")</f>
        <v/>
      </c>
      <c r="G200" s="164" t="str">
        <f>IF('01_Stations'!$AB$169=1,"───","")</f>
        <v/>
      </c>
      <c r="H200" s="164" t="str">
        <f>IF('01_Stations'!$AB$170=1,"───","")</f>
        <v/>
      </c>
      <c r="I200" s="164" t="str">
        <f>IF('01_Stations'!$AB$171=1,"───","")</f>
        <v/>
      </c>
      <c r="J200" s="164" t="str">
        <f>IF('01_Stations'!$AB$172=1,"───","")</f>
        <v/>
      </c>
      <c r="K200" s="164" t="str">
        <f>IF('01_Stations'!$AB$173=1,"───","")</f>
        <v/>
      </c>
      <c r="L200" s="164" t="str">
        <f>IF('01_Stations'!$AB$174=1,"───","")</f>
        <v/>
      </c>
      <c r="M200" s="164" t="str">
        <f>IF('01_Stations'!$AB$175=1,"───","")</f>
        <v/>
      </c>
      <c r="N200" s="164" t="str">
        <f>IF('01_Stations'!$AB$176=1,"───","")</f>
        <v/>
      </c>
      <c r="O200" s="164" t="str">
        <f>IF('01_Stations'!$AB$177=1,"───","")</f>
        <v/>
      </c>
      <c r="P200" s="164" t="str">
        <f>IF('01_Stations'!$AB$178=1,"───","")</f>
        <v/>
      </c>
      <c r="Q200" s="164" t="str">
        <f>IF('01_Stations'!$AB$179=1,"───","")</f>
        <v/>
      </c>
      <c r="R200" s="164" t="str">
        <f>IF('01_Stations'!$AB$180=1,"───","")</f>
        <v/>
      </c>
      <c r="S200" s="164" t="str">
        <f>IF('01_Stations'!$AB$181=1,"───","")</f>
        <v/>
      </c>
      <c r="T200" s="164" t="str">
        <f>IF('01_Stations'!$AB$182=1,"───","")</f>
        <v/>
      </c>
      <c r="U200" s="164" t="str">
        <f>IF('01_Stations'!$AB$183=1,"───","")</f>
        <v/>
      </c>
      <c r="V200" s="164" t="str">
        <f>IF('01_Stations'!$AB$184=1,"───","")</f>
        <v/>
      </c>
      <c r="W200" s="164" t="str">
        <f>IF('01_Stations'!$AB$185=1,"───","")</f>
        <v/>
      </c>
      <c r="X200" s="164" t="str">
        <f>IF('01_Stations'!$AB$186=1,"───","")</f>
        <v/>
      </c>
      <c r="Y200" s="164" t="str">
        <f>IF('01_Stations'!$AB$187=1,"───","")</f>
        <v/>
      </c>
      <c r="Z200" s="164" t="str">
        <f>IF('01_Stations'!$AB$188=1,"───","")</f>
        <v/>
      </c>
      <c r="AA200" s="164" t="str">
        <f>IF('01_Stations'!$AB$189=1,"───","")</f>
        <v/>
      </c>
      <c r="AB200" s="164" t="str">
        <f>IF('01_Stations'!$AB$190=1,"───","")</f>
        <v/>
      </c>
      <c r="AC200" s="164" t="str">
        <f>IF('01_Stations'!$AB$191=1,"───","")</f>
        <v/>
      </c>
      <c r="AD200" s="164" t="str">
        <f>IF('01_Stations'!$AB$192=1,"───","")</f>
        <v/>
      </c>
      <c r="AE200" s="164" t="str">
        <f>IF('01_Stations'!$AB$193=1,"───","")</f>
        <v/>
      </c>
      <c r="AF200" s="164" t="str">
        <f>IF('01_Stations'!$AB$194=1,"───","")</f>
        <v/>
      </c>
      <c r="AG200" s="164" t="str">
        <f>IF('01_Stations'!$AB$195=1,"───","")</f>
        <v/>
      </c>
      <c r="AH200" s="164" t="str">
        <f>IF('01_Stations'!$AB$196=1,"───","")</f>
        <v/>
      </c>
      <c r="AI200" s="164" t="str">
        <f>IF('01_Stations'!$AB$197=1,"───","")</f>
        <v/>
      </c>
      <c r="AJ200" s="164" t="str">
        <f>IF('01_Stations'!$AB$198=1,"───","")</f>
        <v/>
      </c>
      <c r="AK200" s="164" t="str">
        <f>IF('01_Stations'!$AB$199=1,"───","")</f>
        <v/>
      </c>
      <c r="AL200" s="164" t="str">
        <f>IF('01_Stations'!$AB$200=1,"───","")</f>
        <v/>
      </c>
      <c r="AM200" s="164" t="str">
        <f>IF('01_Stations'!$AB$201=1,"───","")</f>
        <v/>
      </c>
      <c r="AN200" s="164" t="str">
        <f>IF('01_Stations'!$AB$202=1,"───","")</f>
        <v/>
      </c>
      <c r="AO200" s="164" t="str">
        <f>IF('01_Stations'!$AB$203=1,"───","")</f>
        <v/>
      </c>
      <c r="AP200" s="164" t="str">
        <f>IF('01_Stations'!$AB$204=1,"───","")</f>
        <v/>
      </c>
      <c r="AQ200" s="164" t="str">
        <f>IF('01_Stations'!$AB$205=1,"───","")</f>
        <v/>
      </c>
    </row>
    <row r="201" spans="1:43" ht="15" customHeight="1" x14ac:dyDescent="0.3">
      <c r="A201" s="236"/>
      <c r="B201" s="165"/>
      <c r="C201" s="166" t="s">
        <v>2220</v>
      </c>
      <c r="D201" s="164" t="str">
        <f>IF(N('01_Stations'!$AC$166)&gt;0,'01_Stations'!$AC$166,"")</f>
        <v/>
      </c>
      <c r="E201" s="164" t="str">
        <f>IF(N('01_Stations'!$AC$167)&gt;0,'01_Stations'!$AC$167,"")</f>
        <v/>
      </c>
      <c r="F201" s="164" t="str">
        <f>IF(N('01_Stations'!$AC$168)&gt;0,'01_Stations'!$AC$168,"")</f>
        <v/>
      </c>
      <c r="G201" s="164" t="str">
        <f>IF(N('01_Stations'!$AC$169)&gt;0,'01_Stations'!$AC$169,"")</f>
        <v/>
      </c>
      <c r="H201" s="164" t="str">
        <f>IF(N('01_Stations'!$AC$170)&gt;0,'01_Stations'!$AC$170,"")</f>
        <v/>
      </c>
      <c r="I201" s="164" t="str">
        <f>IF(N('01_Stations'!$AC$171)&gt;0,'01_Stations'!$AC$171,"")</f>
        <v/>
      </c>
      <c r="J201" s="164" t="str">
        <f>IF(N('01_Stations'!$AC$172)&gt;0,'01_Stations'!$AC$172,"")</f>
        <v/>
      </c>
      <c r="K201" s="164" t="str">
        <f>IF(N('01_Stations'!$AC$173)&gt;0,'01_Stations'!$AC$173,"")</f>
        <v/>
      </c>
      <c r="L201" s="164" t="str">
        <f>IF(N('01_Stations'!$AC$174)&gt;0,'01_Stations'!$AC$174,"")</f>
        <v/>
      </c>
      <c r="M201" s="164" t="str">
        <f>IF(N('01_Stations'!$AC$175)&gt;0,'01_Stations'!$AC$175,"")</f>
        <v/>
      </c>
      <c r="N201" s="164" t="str">
        <f>IF(N('01_Stations'!$AC$176)&gt;0,'01_Stations'!$AC$176,"")</f>
        <v/>
      </c>
      <c r="O201" s="164" t="str">
        <f>IF(N('01_Stations'!$AC$177)&gt;0,'01_Stations'!$AC$177,"")</f>
        <v/>
      </c>
      <c r="P201" s="164" t="str">
        <f>IF(N('01_Stations'!$AC$178)&gt;0,'01_Stations'!$AC$178,"")</f>
        <v/>
      </c>
      <c r="Q201" s="164" t="str">
        <f>IF(N('01_Stations'!$AC$179)&gt;0,'01_Stations'!$AC$179,"")</f>
        <v/>
      </c>
      <c r="R201" s="164" t="str">
        <f>IF(N('01_Stations'!$AC$180)&gt;0,'01_Stations'!$AC$180,"")</f>
        <v/>
      </c>
      <c r="S201" s="164" t="str">
        <f>IF(N('01_Stations'!$AC$181)&gt;0,'01_Stations'!$AC$181,"")</f>
        <v/>
      </c>
      <c r="T201" s="164" t="str">
        <f>IF(N('01_Stations'!$AC$182)&gt;0,'01_Stations'!$AC$182,"")</f>
        <v/>
      </c>
      <c r="U201" s="164" t="str">
        <f>IF(N('01_Stations'!$AC$183)&gt;0,'01_Stations'!$AC$183,"")</f>
        <v/>
      </c>
      <c r="V201" s="164" t="str">
        <f>IF(N('01_Stations'!$AC$184)&gt;0,'01_Stations'!$AC$184,"")</f>
        <v/>
      </c>
      <c r="W201" s="164" t="str">
        <f>IF(N('01_Stations'!$AC$185)&gt;0,'01_Stations'!$AC$185,"")</f>
        <v/>
      </c>
      <c r="X201" s="164" t="str">
        <f>IF(N('01_Stations'!$AC$186)&gt;0,'01_Stations'!$AC$186,"")</f>
        <v/>
      </c>
      <c r="Y201" s="164" t="str">
        <f>IF(N('01_Stations'!$AC$187)&gt;0,'01_Stations'!$AC$187,"")</f>
        <v/>
      </c>
      <c r="Z201" s="164" t="str">
        <f>IF(N('01_Stations'!$AC$188)&gt;0,'01_Stations'!$AC$188,"")</f>
        <v/>
      </c>
      <c r="AA201" s="164" t="str">
        <f>IF(N('01_Stations'!$AC$189)&gt;0,'01_Stations'!$AC$189,"")</f>
        <v/>
      </c>
      <c r="AB201" s="164" t="str">
        <f>IF(N('01_Stations'!$AC$190)&gt;0,'01_Stations'!$AC$190,"")</f>
        <v/>
      </c>
      <c r="AC201" s="164" t="str">
        <f>IF(N('01_Stations'!$AC$191)&gt;0,'01_Stations'!$AC$191,"")</f>
        <v/>
      </c>
      <c r="AD201" s="164" t="str">
        <f>IF(N('01_Stations'!$AC$192)&gt;0,'01_Stations'!$AC$192,"")</f>
        <v/>
      </c>
      <c r="AE201" s="164" t="str">
        <f>IF(N('01_Stations'!$AC$193)&gt;0,'01_Stations'!$AC$193,"")</f>
        <v/>
      </c>
      <c r="AF201" s="164" t="str">
        <f>IF(N('01_Stations'!$AC$194)&gt;0,'01_Stations'!$AC$194,"")</f>
        <v/>
      </c>
      <c r="AG201" s="164" t="str">
        <f>IF(N('01_Stations'!$AC$195)&gt;0,'01_Stations'!$AC$195,"")</f>
        <v/>
      </c>
      <c r="AH201" s="164" t="str">
        <f>IF(N('01_Stations'!$AC$196)&gt;0,'01_Stations'!$AC$196,"")</f>
        <v/>
      </c>
      <c r="AI201" s="164" t="str">
        <f>IF(N('01_Stations'!$AC$197)&gt;0,'01_Stations'!$AC$197,"")</f>
        <v/>
      </c>
      <c r="AJ201" s="164" t="str">
        <f>IF(N('01_Stations'!$AC$198)&gt;0,'01_Stations'!$AC$198,"")</f>
        <v/>
      </c>
      <c r="AK201" s="164" t="str">
        <f>IF(N('01_Stations'!$AC$199)&gt;0,'01_Stations'!$AC$199,"")</f>
        <v/>
      </c>
      <c r="AL201" s="164" t="str">
        <f>IF(N('01_Stations'!$AC$200)&gt;0,'01_Stations'!$AC$200,"")</f>
        <v/>
      </c>
      <c r="AM201" s="164" t="str">
        <f>IF(N('01_Stations'!$AC$201)&gt;0,'01_Stations'!$AC$201,"")</f>
        <v/>
      </c>
      <c r="AN201" s="164" t="str">
        <f>IF(N('01_Stations'!$AC$202)&gt;0,'01_Stations'!$AC$202,"")</f>
        <v/>
      </c>
      <c r="AO201" s="164" t="str">
        <f>IF(N('01_Stations'!$AC$203)&gt;0,'01_Stations'!$AC$203,"")</f>
        <v/>
      </c>
      <c r="AP201" s="164" t="str">
        <f>IF(N('01_Stations'!$AC$204)&gt;0,'01_Stations'!$AC$204,"")</f>
        <v/>
      </c>
      <c r="AQ201" s="164" t="str">
        <f>IF(N('01_Stations'!$AC$205)&gt;0,'01_Stations'!$AC$205,"")</f>
        <v/>
      </c>
    </row>
    <row r="202" spans="1:43" ht="15" customHeight="1" x14ac:dyDescent="0.3">
      <c r="A202" s="236"/>
      <c r="B202" s="165" t="s">
        <v>2221</v>
      </c>
      <c r="C202" s="166" t="s">
        <v>1622</v>
      </c>
      <c r="D202" s="164" t="str">
        <f>IF(N('01_Stations'!$AD$166)&gt;0,'01_Stations'!$AD$166,"")</f>
        <v/>
      </c>
      <c r="E202" s="164" t="str">
        <f>IF(N('01_Stations'!$AD$167)&gt;0,'01_Stations'!$AD$167,"")</f>
        <v/>
      </c>
      <c r="F202" s="164" t="str">
        <f>IF(N('01_Stations'!$AD$168)&gt;0,'01_Stations'!$AD$168,"")</f>
        <v/>
      </c>
      <c r="G202" s="164" t="str">
        <f>IF(N('01_Stations'!$AD$169)&gt;0,'01_Stations'!$AD$169,"")</f>
        <v/>
      </c>
      <c r="H202" s="164" t="str">
        <f>IF(N('01_Stations'!$AD$170)&gt;0,'01_Stations'!$AD$170,"")</f>
        <v/>
      </c>
      <c r="I202" s="164" t="str">
        <f>IF(N('01_Stations'!$AD$171)&gt;0,'01_Stations'!$AD$171,"")</f>
        <v/>
      </c>
      <c r="J202" s="164" t="str">
        <f>IF(N('01_Stations'!$AD$172)&gt;0,'01_Stations'!$AD$172,"")</f>
        <v/>
      </c>
      <c r="K202" s="164" t="str">
        <f>IF(N('01_Stations'!$AD$173)&gt;0,'01_Stations'!$AD$173,"")</f>
        <v/>
      </c>
      <c r="L202" s="164" t="str">
        <f>IF(N('01_Stations'!$AD$174)&gt;0,'01_Stations'!$AD$174,"")</f>
        <v/>
      </c>
      <c r="M202" s="164" t="str">
        <f>IF(N('01_Stations'!$AD$175)&gt;0,'01_Stations'!$AD$175,"")</f>
        <v/>
      </c>
      <c r="N202" s="164" t="str">
        <f>IF(N('01_Stations'!$AD$176)&gt;0,'01_Stations'!$AD$176,"")</f>
        <v/>
      </c>
      <c r="O202" s="164" t="str">
        <f>IF(N('01_Stations'!$AD$177)&gt;0,'01_Stations'!$AD$177,"")</f>
        <v/>
      </c>
      <c r="P202" s="164" t="str">
        <f>IF(N('01_Stations'!$AD$178)&gt;0,'01_Stations'!$AD$178,"")</f>
        <v/>
      </c>
      <c r="Q202" s="164" t="str">
        <f>IF(N('01_Stations'!$AD$179)&gt;0,'01_Stations'!$AD$179,"")</f>
        <v/>
      </c>
      <c r="R202" s="164" t="str">
        <f>IF(N('01_Stations'!$AD$180)&gt;0,'01_Stations'!$AD$180,"")</f>
        <v/>
      </c>
      <c r="S202" s="164" t="str">
        <f>IF(N('01_Stations'!$AD$181)&gt;0,'01_Stations'!$AD$181,"")</f>
        <v/>
      </c>
      <c r="T202" s="164" t="str">
        <f>IF(N('01_Stations'!$AD$182)&gt;0,'01_Stations'!$AD$182,"")</f>
        <v/>
      </c>
      <c r="U202" s="164" t="str">
        <f>IF(N('01_Stations'!$AD$183)&gt;0,'01_Stations'!$AD$183,"")</f>
        <v/>
      </c>
      <c r="V202" s="164" t="str">
        <f>IF(N('01_Stations'!$AD$184)&gt;0,'01_Stations'!$AD$184,"")</f>
        <v/>
      </c>
      <c r="W202" s="164" t="str">
        <f>IF(N('01_Stations'!$AD$185)&gt;0,'01_Stations'!$AD$185,"")</f>
        <v/>
      </c>
      <c r="X202" s="164" t="str">
        <f>IF(N('01_Stations'!$AD$186)&gt;0,'01_Stations'!$AD$186,"")</f>
        <v/>
      </c>
      <c r="Y202" s="164" t="str">
        <f>IF(N('01_Stations'!$AD$187)&gt;0,'01_Stations'!$AD$187,"")</f>
        <v/>
      </c>
      <c r="Z202" s="164" t="str">
        <f>IF(N('01_Stations'!$AD$188)&gt;0,'01_Stations'!$AD$188,"")</f>
        <v/>
      </c>
      <c r="AA202" s="164" t="str">
        <f>IF(N('01_Stations'!$AD$189)&gt;0,'01_Stations'!$AD$189,"")</f>
        <v/>
      </c>
      <c r="AB202" s="164" t="str">
        <f>IF(N('01_Stations'!$AD$190)&gt;0,'01_Stations'!$AD$190,"")</f>
        <v/>
      </c>
      <c r="AC202" s="164" t="str">
        <f>IF(N('01_Stations'!$AD$191)&gt;0,'01_Stations'!$AD$191,"")</f>
        <v/>
      </c>
      <c r="AD202" s="164" t="str">
        <f>IF(N('01_Stations'!$AD$192)&gt;0,'01_Stations'!$AD$192,"")</f>
        <v/>
      </c>
      <c r="AE202" s="164" t="str">
        <f>IF(N('01_Stations'!$AD$193)&gt;0,'01_Stations'!$AD$193,"")</f>
        <v/>
      </c>
      <c r="AF202" s="164" t="str">
        <f>IF(N('01_Stations'!$AD$194)&gt;0,'01_Stations'!$AD$194,"")</f>
        <v/>
      </c>
      <c r="AG202" s="164" t="str">
        <f>IF(N('01_Stations'!$AD$195)&gt;0,'01_Stations'!$AD$195,"")</f>
        <v/>
      </c>
      <c r="AH202" s="164" t="str">
        <f>IF(N('01_Stations'!$AD$196)&gt;0,'01_Stations'!$AD$196,"")</f>
        <v/>
      </c>
      <c r="AI202" s="164" t="str">
        <f>IF(N('01_Stations'!$AD$197)&gt;0,'01_Stations'!$AD$197,"")</f>
        <v/>
      </c>
      <c r="AJ202" s="164" t="str">
        <f>IF(N('01_Stations'!$AD$198)&gt;0,'01_Stations'!$AD$198,"")</f>
        <v/>
      </c>
      <c r="AK202" s="164" t="str">
        <f>IF(N('01_Stations'!$AD$199)&gt;0,'01_Stations'!$AD$199,"")</f>
        <v/>
      </c>
      <c r="AL202" s="164" t="str">
        <f>IF(N('01_Stations'!$AD$200)&gt;0,'01_Stations'!$AD$200,"")</f>
        <v/>
      </c>
      <c r="AM202" s="164" t="str">
        <f>IF(N('01_Stations'!$AD$201)&gt;0,'01_Stations'!$AD$201,"")</f>
        <v/>
      </c>
      <c r="AN202" s="164" t="str">
        <f>IF(N('01_Stations'!$AD$202)&gt;0,'01_Stations'!$AD$202,"")</f>
        <v/>
      </c>
      <c r="AO202" s="164" t="str">
        <f>IF(N('01_Stations'!$AD$203)&gt;0,'01_Stations'!$AD$203,"")</f>
        <v/>
      </c>
      <c r="AP202" s="164" t="str">
        <f>IF(N('01_Stations'!$AD$204)&gt;0,'01_Stations'!$AD$204,"")</f>
        <v/>
      </c>
      <c r="AQ202" s="164" t="str">
        <f>IF(N('01_Stations'!$AD$205)&gt;0,'01_Stations'!$AD$205,"")</f>
        <v/>
      </c>
    </row>
    <row r="203" spans="1:43" ht="15" customHeight="1" x14ac:dyDescent="0.3">
      <c r="A203" s="236"/>
      <c r="B203" s="165"/>
      <c r="C203" s="166" t="s">
        <v>2212</v>
      </c>
      <c r="D203" s="164" t="str">
        <f>IF(N('01_Stations'!$AE$166)&gt;0,'01_Stations'!$AE$166,"")</f>
        <v/>
      </c>
      <c r="E203" s="164" t="str">
        <f>IF(N('01_Stations'!$AE$167)&gt;0,'01_Stations'!$AE$167,"")</f>
        <v/>
      </c>
      <c r="F203" s="164" t="str">
        <f>IF(N('01_Stations'!$AE$168)&gt;0,'01_Stations'!$AE$168,"")</f>
        <v/>
      </c>
      <c r="G203" s="164" t="str">
        <f>IF(N('01_Stations'!$AE$169)&gt;0,'01_Stations'!$AE$169,"")</f>
        <v/>
      </c>
      <c r="H203" s="164" t="str">
        <f>IF(N('01_Stations'!$AE$170)&gt;0,'01_Stations'!$AE$170,"")</f>
        <v/>
      </c>
      <c r="I203" s="164" t="str">
        <f>IF(N('01_Stations'!$AE$171)&gt;0,'01_Stations'!$AE$171,"")</f>
        <v/>
      </c>
      <c r="J203" s="164" t="str">
        <f>IF(N('01_Stations'!$AE$172)&gt;0,'01_Stations'!$AE$172,"")</f>
        <v/>
      </c>
      <c r="K203" s="164" t="str">
        <f>IF(N('01_Stations'!$AE$173)&gt;0,'01_Stations'!$AE$173,"")</f>
        <v/>
      </c>
      <c r="L203" s="164" t="str">
        <f>IF(N('01_Stations'!$AE$174)&gt;0,'01_Stations'!$AE$174,"")</f>
        <v/>
      </c>
      <c r="M203" s="164" t="str">
        <f>IF(N('01_Stations'!$AE$175)&gt;0,'01_Stations'!$AE$175,"")</f>
        <v/>
      </c>
      <c r="N203" s="164" t="str">
        <f>IF(N('01_Stations'!$AE$176)&gt;0,'01_Stations'!$AE$176,"")</f>
        <v/>
      </c>
      <c r="O203" s="164" t="str">
        <f>IF(N('01_Stations'!$AE$177)&gt;0,'01_Stations'!$AE$177,"")</f>
        <v/>
      </c>
      <c r="P203" s="164" t="str">
        <f>IF(N('01_Stations'!$AE$178)&gt;0,'01_Stations'!$AE$178,"")</f>
        <v/>
      </c>
      <c r="Q203" s="164" t="str">
        <f>IF(N('01_Stations'!$AE$179)&gt;0,'01_Stations'!$AE$179,"")</f>
        <v/>
      </c>
      <c r="R203" s="164" t="str">
        <f>IF(N('01_Stations'!$AE$180)&gt;0,'01_Stations'!$AE$180,"")</f>
        <v/>
      </c>
      <c r="S203" s="164" t="str">
        <f>IF(N('01_Stations'!$AE$181)&gt;0,'01_Stations'!$AE$181,"")</f>
        <v/>
      </c>
      <c r="T203" s="164" t="str">
        <f>IF(N('01_Stations'!$AE$182)&gt;0,'01_Stations'!$AE$182,"")</f>
        <v/>
      </c>
      <c r="U203" s="164" t="str">
        <f>IF(N('01_Stations'!$AE$183)&gt;0,'01_Stations'!$AE$183,"")</f>
        <v/>
      </c>
      <c r="V203" s="164" t="str">
        <f>IF(N('01_Stations'!$AE$184)&gt;0,'01_Stations'!$AE$184,"")</f>
        <v/>
      </c>
      <c r="W203" s="164" t="str">
        <f>IF(N('01_Stations'!$AE$185)&gt;0,'01_Stations'!$AE$185,"")</f>
        <v/>
      </c>
      <c r="X203" s="164" t="str">
        <f>IF(N('01_Stations'!$AE$186)&gt;0,'01_Stations'!$AE$186,"")</f>
        <v/>
      </c>
      <c r="Y203" s="164" t="str">
        <f>IF(N('01_Stations'!$AE$187)&gt;0,'01_Stations'!$AE$187,"")</f>
        <v/>
      </c>
      <c r="Z203" s="164" t="str">
        <f>IF(N('01_Stations'!$AE$188)&gt;0,'01_Stations'!$AE$188,"")</f>
        <v/>
      </c>
      <c r="AA203" s="164" t="str">
        <f>IF(N('01_Stations'!$AE$189)&gt;0,'01_Stations'!$AE$189,"")</f>
        <v/>
      </c>
      <c r="AB203" s="164" t="str">
        <f>IF(N('01_Stations'!$AE$190)&gt;0,'01_Stations'!$AE$190,"")</f>
        <v/>
      </c>
      <c r="AC203" s="164" t="str">
        <f>IF(N('01_Stations'!$AE$191)&gt;0,'01_Stations'!$AE$191,"")</f>
        <v/>
      </c>
      <c r="AD203" s="164" t="str">
        <f>IF(N('01_Stations'!$AE$192)&gt;0,'01_Stations'!$AE$192,"")</f>
        <v/>
      </c>
      <c r="AE203" s="164" t="str">
        <f>IF(N('01_Stations'!$AE$193)&gt;0,'01_Stations'!$AE$193,"")</f>
        <v/>
      </c>
      <c r="AF203" s="164" t="str">
        <f>IF(N('01_Stations'!$AE$194)&gt;0,'01_Stations'!$AE$194,"")</f>
        <v/>
      </c>
      <c r="AG203" s="164" t="str">
        <f>IF(N('01_Stations'!$AE$195)&gt;0,'01_Stations'!$AE$195,"")</f>
        <v/>
      </c>
      <c r="AH203" s="164" t="str">
        <f>IF(N('01_Stations'!$AE$196)&gt;0,'01_Stations'!$AE$196,"")</f>
        <v/>
      </c>
      <c r="AI203" s="164" t="str">
        <f>IF(N('01_Stations'!$AE$197)&gt;0,'01_Stations'!$AE$197,"")</f>
        <v/>
      </c>
      <c r="AJ203" s="164" t="str">
        <f>IF(N('01_Stations'!$AE$198)&gt;0,'01_Stations'!$AE$198,"")</f>
        <v/>
      </c>
      <c r="AK203" s="164" t="str">
        <f>IF(N('01_Stations'!$AE$199)&gt;0,'01_Stations'!$AE$199,"")</f>
        <v/>
      </c>
      <c r="AL203" s="164" t="str">
        <f>IF(N('01_Stations'!$AE$200)&gt;0,'01_Stations'!$AE$200,"")</f>
        <v/>
      </c>
      <c r="AM203" s="164" t="str">
        <f>IF(N('01_Stations'!$AE$201)&gt;0,'01_Stations'!$AE$201,"")</f>
        <v/>
      </c>
      <c r="AN203" s="164" t="str">
        <f>IF(N('01_Stations'!$AE$202)&gt;0,'01_Stations'!$AE$202,"")</f>
        <v/>
      </c>
      <c r="AO203" s="164" t="str">
        <f>IF(N('01_Stations'!$AE$203)&gt;0,'01_Stations'!$AE$203,"")</f>
        <v/>
      </c>
      <c r="AP203" s="164" t="str">
        <f>IF(N('01_Stations'!$AE$204)&gt;0,'01_Stations'!$AE$204,"")</f>
        <v/>
      </c>
      <c r="AQ203" s="164" t="str">
        <f>IF(N('01_Stations'!$AE$205)&gt;0,'01_Stations'!$AE$205,"")</f>
        <v/>
      </c>
    </row>
    <row r="204" spans="1:43" ht="15" customHeight="1" x14ac:dyDescent="0.3">
      <c r="A204" s="236"/>
      <c r="B204" s="165" t="s">
        <v>1942</v>
      </c>
      <c r="C204" s="166" t="s">
        <v>1622</v>
      </c>
      <c r="D204" s="164" t="str">
        <f>IF('01_Stations'!$AF$166=1,"───","")</f>
        <v/>
      </c>
      <c r="E204" s="164" t="str">
        <f>IF('01_Stations'!$AF$167=1,"───","")</f>
        <v/>
      </c>
      <c r="F204" s="164" t="str">
        <f>IF('01_Stations'!$AF$168=1,"───","")</f>
        <v/>
      </c>
      <c r="G204" s="164" t="str">
        <f>IF('01_Stations'!$AF$169=1,"───","")</f>
        <v/>
      </c>
      <c r="H204" s="164" t="str">
        <f>IF('01_Stations'!$AF$170=1,"───","")</f>
        <v/>
      </c>
      <c r="I204" s="164" t="str">
        <f>IF('01_Stations'!$AF$171=1,"───","")</f>
        <v/>
      </c>
      <c r="J204" s="164" t="str">
        <f>IF('01_Stations'!$AF$172=1,"───","")</f>
        <v/>
      </c>
      <c r="K204" s="164" t="str">
        <f>IF('01_Stations'!$AF$173=1,"───","")</f>
        <v/>
      </c>
      <c r="L204" s="164" t="str">
        <f>IF('01_Stations'!$AF$174=1,"───","")</f>
        <v/>
      </c>
      <c r="M204" s="164" t="str">
        <f>IF('01_Stations'!$AF$175=1,"───","")</f>
        <v/>
      </c>
      <c r="N204" s="164" t="str">
        <f>IF('01_Stations'!$AF$176=1,"───","")</f>
        <v/>
      </c>
      <c r="O204" s="164" t="str">
        <f>IF('01_Stations'!$AF$177=1,"───","")</f>
        <v/>
      </c>
      <c r="P204" s="164" t="str">
        <f>IF('01_Stations'!$AF$178=1,"───","")</f>
        <v/>
      </c>
      <c r="Q204" s="164" t="str">
        <f>IF('01_Stations'!$AF$179=1,"───","")</f>
        <v/>
      </c>
      <c r="R204" s="164" t="str">
        <f>IF('01_Stations'!$AF$180=1,"───","")</f>
        <v/>
      </c>
      <c r="S204" s="164" t="str">
        <f>IF('01_Stations'!$AF$181=1,"───","")</f>
        <v/>
      </c>
      <c r="T204" s="164" t="str">
        <f>IF('01_Stations'!$AF$182=1,"───","")</f>
        <v/>
      </c>
      <c r="U204" s="164" t="str">
        <f>IF('01_Stations'!$AF$183=1,"───","")</f>
        <v/>
      </c>
      <c r="V204" s="164" t="str">
        <f>IF('01_Stations'!$AF$184=1,"───","")</f>
        <v/>
      </c>
      <c r="W204" s="164" t="str">
        <f>IF('01_Stations'!$AF$185=1,"───","")</f>
        <v/>
      </c>
      <c r="X204" s="164" t="str">
        <f>IF('01_Stations'!$AF$186=1,"───","")</f>
        <v/>
      </c>
      <c r="Y204" s="164" t="str">
        <f>IF('01_Stations'!$AF$187=1,"───","")</f>
        <v/>
      </c>
      <c r="Z204" s="164" t="str">
        <f>IF('01_Stations'!$AF$188=1,"───","")</f>
        <v/>
      </c>
      <c r="AA204" s="164" t="str">
        <f>IF('01_Stations'!$AF$189=1,"───","")</f>
        <v/>
      </c>
      <c r="AB204" s="164" t="str">
        <f>IF('01_Stations'!$AF$190=1,"───","")</f>
        <v/>
      </c>
      <c r="AC204" s="164" t="str">
        <f>IF('01_Stations'!$AF$191=1,"───","")</f>
        <v/>
      </c>
      <c r="AD204" s="164" t="str">
        <f>IF('01_Stations'!$AF$192=1,"───","")</f>
        <v/>
      </c>
      <c r="AE204" s="164" t="str">
        <f>IF('01_Stations'!$AF$193=1,"───","")</f>
        <v/>
      </c>
      <c r="AF204" s="164" t="str">
        <f>IF('01_Stations'!$AF$194=1,"───","")</f>
        <v/>
      </c>
      <c r="AG204" s="164" t="str">
        <f>IF('01_Stations'!$AF$195=1,"───","")</f>
        <v/>
      </c>
      <c r="AH204" s="164" t="str">
        <f>IF('01_Stations'!$AF$196=1,"───","")</f>
        <v/>
      </c>
      <c r="AI204" s="164" t="str">
        <f>IF('01_Stations'!$AF$197=1,"───","")</f>
        <v/>
      </c>
      <c r="AJ204" s="164" t="str">
        <f>IF('01_Stations'!$AF$198=1,"───","")</f>
        <v/>
      </c>
      <c r="AK204" s="164" t="str">
        <f>IF('01_Stations'!$AF$199=1,"───","")</f>
        <v/>
      </c>
      <c r="AL204" s="164" t="str">
        <f>IF('01_Stations'!$AF$200=1,"───","")</f>
        <v/>
      </c>
      <c r="AM204" s="164" t="str">
        <f>IF('01_Stations'!$AF$201=1,"───","")</f>
        <v/>
      </c>
      <c r="AN204" s="164" t="str">
        <f>IF('01_Stations'!$AF$202=1,"───","")</f>
        <v/>
      </c>
      <c r="AO204" s="164" t="str">
        <f>IF('01_Stations'!$AF$203=1,"───","")</f>
        <v/>
      </c>
      <c r="AP204" s="164" t="str">
        <f>IF('01_Stations'!$AF$204=1,"───","")</f>
        <v/>
      </c>
      <c r="AQ204" s="164" t="str">
        <f>IF('01_Stations'!$AF$205=1,"───","")</f>
        <v/>
      </c>
    </row>
    <row r="205" spans="1:43" ht="15" customHeight="1" x14ac:dyDescent="0.3">
      <c r="A205" s="237"/>
      <c r="B205" s="165"/>
      <c r="C205" s="166" t="s">
        <v>2212</v>
      </c>
      <c r="D205" s="164" t="str">
        <f>IF('01_Stations'!$AG$166=1,"───","")</f>
        <v/>
      </c>
      <c r="E205" s="164" t="str">
        <f>IF('01_Stations'!$AG$167=1,"───","")</f>
        <v/>
      </c>
      <c r="F205" s="164" t="str">
        <f>IF('01_Stations'!$AG$168=1,"───","")</f>
        <v/>
      </c>
      <c r="G205" s="164" t="str">
        <f>IF('01_Stations'!$AG$169=1,"───","")</f>
        <v/>
      </c>
      <c r="H205" s="164" t="str">
        <f>IF('01_Stations'!$AG$170=1,"───","")</f>
        <v/>
      </c>
      <c r="I205" s="164" t="str">
        <f>IF('01_Stations'!$AG$171=1,"───","")</f>
        <v/>
      </c>
      <c r="J205" s="164" t="str">
        <f>IF('01_Stations'!$AG$172=1,"───","")</f>
        <v/>
      </c>
      <c r="K205" s="164" t="str">
        <f>IF('01_Stations'!$AG$173=1,"───","")</f>
        <v/>
      </c>
      <c r="L205" s="164" t="str">
        <f>IF('01_Stations'!$AG$174=1,"───","")</f>
        <v/>
      </c>
      <c r="M205" s="164" t="str">
        <f>IF('01_Stations'!$AG$175=1,"───","")</f>
        <v/>
      </c>
      <c r="N205" s="164" t="str">
        <f>IF('01_Stations'!$AG$176=1,"───","")</f>
        <v/>
      </c>
      <c r="O205" s="164" t="str">
        <f>IF('01_Stations'!$AG$177=1,"───","")</f>
        <v/>
      </c>
      <c r="P205" s="164" t="str">
        <f>IF('01_Stations'!$AG$178=1,"───","")</f>
        <v/>
      </c>
      <c r="Q205" s="164" t="str">
        <f>IF('01_Stations'!$AG$179=1,"───","")</f>
        <v/>
      </c>
      <c r="R205" s="164" t="str">
        <f>IF('01_Stations'!$AG$180=1,"───","")</f>
        <v/>
      </c>
      <c r="S205" s="164" t="str">
        <f>IF('01_Stations'!$AG$181=1,"───","")</f>
        <v/>
      </c>
      <c r="T205" s="164" t="str">
        <f>IF('01_Stations'!$AG$182=1,"───","")</f>
        <v/>
      </c>
      <c r="U205" s="164" t="str">
        <f>IF('01_Stations'!$AG$183=1,"───","")</f>
        <v/>
      </c>
      <c r="V205" s="164" t="str">
        <f>IF('01_Stations'!$AG$184=1,"───","")</f>
        <v/>
      </c>
      <c r="W205" s="164" t="str">
        <f>IF('01_Stations'!$AG$185=1,"───","")</f>
        <v/>
      </c>
      <c r="X205" s="164" t="str">
        <f>IF('01_Stations'!$AG$186=1,"───","")</f>
        <v/>
      </c>
      <c r="Y205" s="164" t="str">
        <f>IF('01_Stations'!$AG$187=1,"───","")</f>
        <v/>
      </c>
      <c r="Z205" s="164" t="str">
        <f>IF('01_Stations'!$AG$188=1,"───","")</f>
        <v/>
      </c>
      <c r="AA205" s="164" t="str">
        <f>IF('01_Stations'!$AG$189=1,"───","")</f>
        <v/>
      </c>
      <c r="AB205" s="164" t="str">
        <f>IF('01_Stations'!$AG$190=1,"───","")</f>
        <v/>
      </c>
      <c r="AC205" s="164" t="str">
        <f>IF('01_Stations'!$AG$191=1,"───","")</f>
        <v/>
      </c>
      <c r="AD205" s="164" t="str">
        <f>IF('01_Stations'!$AG$192=1,"───","")</f>
        <v/>
      </c>
      <c r="AE205" s="164" t="str">
        <f>IF('01_Stations'!$AG$193=1,"───","")</f>
        <v/>
      </c>
      <c r="AF205" s="164" t="str">
        <f>IF('01_Stations'!$AG$194=1,"───","")</f>
        <v/>
      </c>
      <c r="AG205" s="164" t="str">
        <f>IF('01_Stations'!$AG$195=1,"───","")</f>
        <v/>
      </c>
      <c r="AH205" s="164" t="str">
        <f>IF('01_Stations'!$AG$196=1,"───","")</f>
        <v/>
      </c>
      <c r="AI205" s="164" t="str">
        <f>IF('01_Stations'!$AG$197=1,"───","")</f>
        <v/>
      </c>
      <c r="AJ205" s="164" t="str">
        <f>IF('01_Stations'!$AG$198=1,"───","")</f>
        <v/>
      </c>
      <c r="AK205" s="164" t="str">
        <f>IF('01_Stations'!$AG$199=1,"───","")</f>
        <v/>
      </c>
      <c r="AL205" s="164" t="str">
        <f>IF('01_Stations'!$AG$200=1,"───","")</f>
        <v/>
      </c>
      <c r="AM205" s="164" t="str">
        <f>IF('01_Stations'!$AG$201=1,"───","")</f>
        <v/>
      </c>
      <c r="AN205" s="164" t="str">
        <f>IF('01_Stations'!$AG$202=1,"───","")</f>
        <v/>
      </c>
      <c r="AO205" s="164" t="str">
        <f>IF('01_Stations'!$AG$203=1,"───","")</f>
        <v/>
      </c>
      <c r="AP205" s="164" t="str">
        <f>IF('01_Stations'!$AG$204=1,"───","")</f>
        <v/>
      </c>
      <c r="AQ205" s="164" t="str">
        <f>IF('01_Stations'!$AG$205=1,"───","")</f>
        <v/>
      </c>
    </row>
    <row r="206" spans="1:43" ht="15" customHeight="1" x14ac:dyDescent="0.3">
      <c r="A206" s="238" t="s">
        <v>2222</v>
      </c>
      <c r="B206" s="165" t="s">
        <v>291</v>
      </c>
      <c r="C206" s="166"/>
      <c r="D206" s="164" t="str">
        <f>IF('01_Stations'!$AH$166=1,"───","")</f>
        <v/>
      </c>
      <c r="E206" s="164" t="str">
        <f>IF('01_Stations'!$AH$167=1,"───","")</f>
        <v/>
      </c>
      <c r="F206" s="164" t="str">
        <f>IF('01_Stations'!$AH$168=1,"───","")</f>
        <v/>
      </c>
      <c r="G206" s="164" t="str">
        <f>IF('01_Stations'!$AH$169=1,"───","")</f>
        <v/>
      </c>
      <c r="H206" s="164" t="str">
        <f>IF('01_Stations'!$AH$170=1,"───","")</f>
        <v/>
      </c>
      <c r="I206" s="164" t="str">
        <f>IF('01_Stations'!$AH$171=1,"───","")</f>
        <v/>
      </c>
      <c r="J206" s="164" t="str">
        <f>IF('01_Stations'!$AH$172=1,"───","")</f>
        <v/>
      </c>
      <c r="K206" s="164" t="str">
        <f>IF('01_Stations'!$AH$173=1,"───","")</f>
        <v/>
      </c>
      <c r="L206" s="164" t="str">
        <f>IF('01_Stations'!$AH$174=1,"───","")</f>
        <v/>
      </c>
      <c r="M206" s="164" t="str">
        <f>IF('01_Stations'!$AH$175=1,"───","")</f>
        <v/>
      </c>
      <c r="N206" s="164" t="str">
        <f>IF('01_Stations'!$AH$176=1,"───","")</f>
        <v/>
      </c>
      <c r="O206" s="164" t="str">
        <f>IF('01_Stations'!$AH$177=1,"───","")</f>
        <v/>
      </c>
      <c r="P206" s="164" t="str">
        <f>IF('01_Stations'!$AH$178=1,"───","")</f>
        <v/>
      </c>
      <c r="Q206" s="164" t="str">
        <f>IF('01_Stations'!$AH$179=1,"───","")</f>
        <v/>
      </c>
      <c r="R206" s="164" t="str">
        <f>IF('01_Stations'!$AH$180=1,"───","")</f>
        <v/>
      </c>
      <c r="S206" s="164" t="str">
        <f>IF('01_Stations'!$AH$181=1,"───","")</f>
        <v/>
      </c>
      <c r="T206" s="164" t="str">
        <f>IF('01_Stations'!$AH$182=1,"───","")</f>
        <v/>
      </c>
      <c r="U206" s="164" t="str">
        <f>IF('01_Stations'!$AH$183=1,"───","")</f>
        <v/>
      </c>
      <c r="V206" s="164" t="str">
        <f>IF('01_Stations'!$AH$184=1,"───","")</f>
        <v/>
      </c>
      <c r="W206" s="164" t="str">
        <f>IF('01_Stations'!$AH$185=1,"───","")</f>
        <v/>
      </c>
      <c r="X206" s="164" t="str">
        <f>IF('01_Stations'!$AH$186=1,"───","")</f>
        <v/>
      </c>
      <c r="Y206" s="164" t="str">
        <f>IF('01_Stations'!$AH$187=1,"───","")</f>
        <v/>
      </c>
      <c r="Z206" s="164" t="str">
        <f>IF('01_Stations'!$AH$188=1,"───","")</f>
        <v/>
      </c>
      <c r="AA206" s="164" t="str">
        <f>IF('01_Stations'!$AH$189=1,"───","")</f>
        <v/>
      </c>
      <c r="AB206" s="164" t="str">
        <f>IF('01_Stations'!$AH$190=1,"───","")</f>
        <v/>
      </c>
      <c r="AC206" s="164" t="str">
        <f>IF('01_Stations'!$AH$191=1,"───","")</f>
        <v/>
      </c>
      <c r="AD206" s="164" t="str">
        <f>IF('01_Stations'!$AH$192=1,"───","")</f>
        <v/>
      </c>
      <c r="AE206" s="164" t="str">
        <f>IF('01_Stations'!$AH$193=1,"───","")</f>
        <v/>
      </c>
      <c r="AF206" s="164" t="str">
        <f>IF('01_Stations'!$AH$194=1,"───","")</f>
        <v/>
      </c>
      <c r="AG206" s="164" t="str">
        <f>IF('01_Stations'!$AH$195=1,"───","")</f>
        <v/>
      </c>
      <c r="AH206" s="164" t="str">
        <f>IF('01_Stations'!$AH$196=1,"───","")</f>
        <v/>
      </c>
      <c r="AI206" s="164" t="str">
        <f>IF('01_Stations'!$AH$197=1,"───","")</f>
        <v/>
      </c>
      <c r="AJ206" s="164" t="str">
        <f>IF('01_Stations'!$AH$198=1,"───","")</f>
        <v/>
      </c>
      <c r="AK206" s="164" t="str">
        <f>IF('01_Stations'!$AH$199=1,"───","")</f>
        <v/>
      </c>
      <c r="AL206" s="164" t="str">
        <f>IF('01_Stations'!$AH$200=1,"───","")</f>
        <v/>
      </c>
      <c r="AM206" s="164" t="str">
        <f>IF('01_Stations'!$AH$201=1,"───","")</f>
        <v/>
      </c>
      <c r="AN206" s="164" t="str">
        <f>IF('01_Stations'!$AH$202=1,"───","")</f>
        <v/>
      </c>
      <c r="AO206" s="164" t="str">
        <f>IF('01_Stations'!$AH$203=1,"───","")</f>
        <v/>
      </c>
      <c r="AP206" s="164" t="str">
        <f>IF('01_Stations'!$AH$204=1,"───","")</f>
        <v/>
      </c>
      <c r="AQ206" s="164" t="str">
        <f>IF('01_Stations'!$AH$205=1,"───","")</f>
        <v/>
      </c>
    </row>
    <row r="207" spans="1:43" ht="15" customHeight="1" x14ac:dyDescent="0.3">
      <c r="A207" s="236"/>
      <c r="B207" s="165" t="s">
        <v>292</v>
      </c>
      <c r="C207" s="166"/>
      <c r="D207" s="164" t="str">
        <f>IF('01_Stations'!$AI$166=1,"───","")</f>
        <v/>
      </c>
      <c r="E207" s="164" t="str">
        <f>IF('01_Stations'!$AI$167=1,"───","")</f>
        <v/>
      </c>
      <c r="F207" s="164" t="str">
        <f>IF('01_Stations'!$AI$168=1,"───","")</f>
        <v/>
      </c>
      <c r="G207" s="164" t="str">
        <f>IF('01_Stations'!$AI$169=1,"───","")</f>
        <v/>
      </c>
      <c r="H207" s="164" t="str">
        <f>IF('01_Stations'!$AI$170=1,"───","")</f>
        <v/>
      </c>
      <c r="I207" s="164" t="str">
        <f>IF('01_Stations'!$AI$171=1,"───","")</f>
        <v/>
      </c>
      <c r="J207" s="164" t="str">
        <f>IF('01_Stations'!$AI$172=1,"───","")</f>
        <v/>
      </c>
      <c r="K207" s="164" t="str">
        <f>IF('01_Stations'!$AI$173=1,"───","")</f>
        <v/>
      </c>
      <c r="L207" s="164" t="str">
        <f>IF('01_Stations'!$AI$174=1,"───","")</f>
        <v/>
      </c>
      <c r="M207" s="164" t="str">
        <f>IF('01_Stations'!$AI$175=1,"───","")</f>
        <v/>
      </c>
      <c r="N207" s="164" t="str">
        <f>IF('01_Stations'!$AI$176=1,"───","")</f>
        <v/>
      </c>
      <c r="O207" s="164" t="str">
        <f>IF('01_Stations'!$AI$177=1,"───","")</f>
        <v/>
      </c>
      <c r="P207" s="164" t="str">
        <f>IF('01_Stations'!$AI$178=1,"───","")</f>
        <v/>
      </c>
      <c r="Q207" s="164" t="str">
        <f>IF('01_Stations'!$AI$179=1,"───","")</f>
        <v/>
      </c>
      <c r="R207" s="164" t="str">
        <f>IF('01_Stations'!$AI$180=1,"───","")</f>
        <v/>
      </c>
      <c r="S207" s="164" t="str">
        <f>IF('01_Stations'!$AI$181=1,"───","")</f>
        <v/>
      </c>
      <c r="T207" s="164" t="str">
        <f>IF('01_Stations'!$AI$182=1,"───","")</f>
        <v/>
      </c>
      <c r="U207" s="164" t="str">
        <f>IF('01_Stations'!$AI$183=1,"───","")</f>
        <v/>
      </c>
      <c r="V207" s="164" t="str">
        <f>IF('01_Stations'!$AI$184=1,"───","")</f>
        <v/>
      </c>
      <c r="W207" s="164" t="str">
        <f>IF('01_Stations'!$AI$185=1,"───","")</f>
        <v/>
      </c>
      <c r="X207" s="164" t="str">
        <f>IF('01_Stations'!$AI$186=1,"───","")</f>
        <v/>
      </c>
      <c r="Y207" s="164" t="str">
        <f>IF('01_Stations'!$AI$187=1,"───","")</f>
        <v/>
      </c>
      <c r="Z207" s="164" t="str">
        <f>IF('01_Stations'!$AI$188=1,"───","")</f>
        <v/>
      </c>
      <c r="AA207" s="164" t="str">
        <f>IF('01_Stations'!$AI$189=1,"───","")</f>
        <v/>
      </c>
      <c r="AB207" s="164" t="str">
        <f>IF('01_Stations'!$AI$190=1,"───","")</f>
        <v/>
      </c>
      <c r="AC207" s="164" t="str">
        <f>IF('01_Stations'!$AI$191=1,"───","")</f>
        <v/>
      </c>
      <c r="AD207" s="164" t="str">
        <f>IF('01_Stations'!$AI$192=1,"───","")</f>
        <v/>
      </c>
      <c r="AE207" s="164" t="str">
        <f>IF('01_Stations'!$AI$193=1,"───","")</f>
        <v/>
      </c>
      <c r="AF207" s="164" t="str">
        <f>IF('01_Stations'!$AI$194=1,"───","")</f>
        <v/>
      </c>
      <c r="AG207" s="164" t="str">
        <f>IF('01_Stations'!$AI$195=1,"───","")</f>
        <v/>
      </c>
      <c r="AH207" s="164" t="str">
        <f>IF('01_Stations'!$AI$196=1,"───","")</f>
        <v/>
      </c>
      <c r="AI207" s="164" t="str">
        <f>IF('01_Stations'!$AI$197=1,"───","")</f>
        <v/>
      </c>
      <c r="AJ207" s="164" t="str">
        <f>IF('01_Stations'!$AI$198=1,"───","")</f>
        <v/>
      </c>
      <c r="AK207" s="164" t="str">
        <f>IF('01_Stations'!$AI$199=1,"───","")</f>
        <v/>
      </c>
      <c r="AL207" s="164" t="str">
        <f>IF('01_Stations'!$AI$200=1,"───","")</f>
        <v/>
      </c>
      <c r="AM207" s="164" t="str">
        <f>IF('01_Stations'!$AI$201=1,"───","")</f>
        <v/>
      </c>
      <c r="AN207" s="164" t="str">
        <f>IF('01_Stations'!$AI$202=1,"───","")</f>
        <v/>
      </c>
      <c r="AO207" s="164" t="str">
        <f>IF('01_Stations'!$AI$203=1,"───","")</f>
        <v/>
      </c>
      <c r="AP207" s="164" t="str">
        <f>IF('01_Stations'!$AI$204=1,"───","")</f>
        <v/>
      </c>
      <c r="AQ207" s="164" t="str">
        <f>IF('01_Stations'!$AI$205=1,"───","")</f>
        <v/>
      </c>
    </row>
    <row r="208" spans="1:43" ht="15" customHeight="1" x14ac:dyDescent="0.3">
      <c r="A208" s="236"/>
      <c r="B208" s="165" t="s">
        <v>293</v>
      </c>
      <c r="C208" s="166"/>
      <c r="D208" s="164" t="str">
        <f>IF('01_Stations'!$AJ$166=1,"───","")</f>
        <v/>
      </c>
      <c r="E208" s="164" t="str">
        <f>IF('01_Stations'!$AJ$167=1,"───","")</f>
        <v/>
      </c>
      <c r="F208" s="164" t="str">
        <f>IF('01_Stations'!$AJ$168=1,"───","")</f>
        <v/>
      </c>
      <c r="G208" s="164" t="str">
        <f>IF('01_Stations'!$AJ$169=1,"───","")</f>
        <v/>
      </c>
      <c r="H208" s="164" t="str">
        <f>IF('01_Stations'!$AJ$170=1,"───","")</f>
        <v/>
      </c>
      <c r="I208" s="164" t="str">
        <f>IF('01_Stations'!$AJ$171=1,"───","")</f>
        <v/>
      </c>
      <c r="J208" s="164" t="str">
        <f>IF('01_Stations'!$AJ$172=1,"───","")</f>
        <v/>
      </c>
      <c r="K208" s="164" t="str">
        <f>IF('01_Stations'!$AJ$173=1,"───","")</f>
        <v/>
      </c>
      <c r="L208" s="164" t="str">
        <f>IF('01_Stations'!$AJ$174=1,"───","")</f>
        <v/>
      </c>
      <c r="M208" s="164" t="str">
        <f>IF('01_Stations'!$AJ$175=1,"───","")</f>
        <v/>
      </c>
      <c r="N208" s="164" t="str">
        <f>IF('01_Stations'!$AJ$176=1,"───","")</f>
        <v/>
      </c>
      <c r="O208" s="164" t="str">
        <f>IF('01_Stations'!$AJ$177=1,"───","")</f>
        <v/>
      </c>
      <c r="P208" s="164" t="str">
        <f>IF('01_Stations'!$AJ$178=1,"───","")</f>
        <v/>
      </c>
      <c r="Q208" s="164" t="str">
        <f>IF('01_Stations'!$AJ$179=1,"───","")</f>
        <v/>
      </c>
      <c r="R208" s="164" t="str">
        <f>IF('01_Stations'!$AJ$180=1,"───","")</f>
        <v/>
      </c>
      <c r="S208" s="164" t="str">
        <f>IF('01_Stations'!$AJ$181=1,"───","")</f>
        <v/>
      </c>
      <c r="T208" s="164" t="str">
        <f>IF('01_Stations'!$AJ$182=1,"───","")</f>
        <v/>
      </c>
      <c r="U208" s="164" t="str">
        <f>IF('01_Stations'!$AJ$183=1,"───","")</f>
        <v/>
      </c>
      <c r="V208" s="164" t="str">
        <f>IF('01_Stations'!$AJ$184=1,"───","")</f>
        <v/>
      </c>
      <c r="W208" s="164" t="str">
        <f>IF('01_Stations'!$AJ$185=1,"───","")</f>
        <v/>
      </c>
      <c r="X208" s="164" t="str">
        <f>IF('01_Stations'!$AJ$186=1,"───","")</f>
        <v/>
      </c>
      <c r="Y208" s="164" t="str">
        <f>IF('01_Stations'!$AJ$187=1,"───","")</f>
        <v/>
      </c>
      <c r="Z208" s="164" t="str">
        <f>IF('01_Stations'!$AJ$188=1,"───","")</f>
        <v/>
      </c>
      <c r="AA208" s="164" t="str">
        <f>IF('01_Stations'!$AJ$189=1,"───","")</f>
        <v/>
      </c>
      <c r="AB208" s="164" t="str">
        <f>IF('01_Stations'!$AJ$190=1,"───","")</f>
        <v/>
      </c>
      <c r="AC208" s="164" t="str">
        <f>IF('01_Stations'!$AJ$191=1,"───","")</f>
        <v/>
      </c>
      <c r="AD208" s="164" t="str">
        <f>IF('01_Stations'!$AJ$192=1,"───","")</f>
        <v/>
      </c>
      <c r="AE208" s="164" t="str">
        <f>IF('01_Stations'!$AJ$193=1,"───","")</f>
        <v/>
      </c>
      <c r="AF208" s="164" t="str">
        <f>IF('01_Stations'!$AJ$194=1,"───","")</f>
        <v/>
      </c>
      <c r="AG208" s="164" t="str">
        <f>IF('01_Stations'!$AJ$195=1,"───","")</f>
        <v/>
      </c>
      <c r="AH208" s="164" t="str">
        <f>IF('01_Stations'!$AJ$196=1,"───","")</f>
        <v/>
      </c>
      <c r="AI208" s="164" t="str">
        <f>IF('01_Stations'!$AJ$197=1,"───","")</f>
        <v/>
      </c>
      <c r="AJ208" s="164" t="str">
        <f>IF('01_Stations'!$AJ$198=1,"───","")</f>
        <v/>
      </c>
      <c r="AK208" s="164" t="str">
        <f>IF('01_Stations'!$AJ$199=1,"───","")</f>
        <v/>
      </c>
      <c r="AL208" s="164" t="str">
        <f>IF('01_Stations'!$AJ$200=1,"───","")</f>
        <v/>
      </c>
      <c r="AM208" s="164" t="str">
        <f>IF('01_Stations'!$AJ$201=1,"───","")</f>
        <v/>
      </c>
      <c r="AN208" s="164" t="str">
        <f>IF('01_Stations'!$AJ$202=1,"───","")</f>
        <v/>
      </c>
      <c r="AO208" s="164" t="str">
        <f>IF('01_Stations'!$AJ$203=1,"───","")</f>
        <v/>
      </c>
      <c r="AP208" s="164" t="str">
        <f>IF('01_Stations'!$AJ$204=1,"───","")</f>
        <v/>
      </c>
      <c r="AQ208" s="164" t="str">
        <f>IF('01_Stations'!$AJ$205=1,"───","")</f>
        <v/>
      </c>
    </row>
    <row r="209" spans="1:43" ht="15" customHeight="1" x14ac:dyDescent="0.3">
      <c r="A209" s="236"/>
      <c r="B209" s="165" t="s">
        <v>294</v>
      </c>
      <c r="C209" s="166" t="s">
        <v>299</v>
      </c>
      <c r="D209" s="164" t="str">
        <f>IF(N('01_Stations'!$AK$166)&gt;0,'01_Stations'!$AK$166,"")</f>
        <v/>
      </c>
      <c r="E209" s="164" t="str">
        <f>IF(N('01_Stations'!$AK$167)&gt;0,'01_Stations'!$AK$167,"")</f>
        <v/>
      </c>
      <c r="F209" s="164" t="str">
        <f>IF(N('01_Stations'!$AK$168)&gt;0,'01_Stations'!$AK$168,"")</f>
        <v/>
      </c>
      <c r="G209" s="164" t="str">
        <f>IF(N('01_Stations'!$AK$169)&gt;0,'01_Stations'!$AK$169,"")</f>
        <v/>
      </c>
      <c r="H209" s="164" t="str">
        <f>IF(N('01_Stations'!$AK$170)&gt;0,'01_Stations'!$AK$170,"")</f>
        <v/>
      </c>
      <c r="I209" s="164" t="str">
        <f>IF(N('01_Stations'!$AK$171)&gt;0,'01_Stations'!$AK$171,"")</f>
        <v/>
      </c>
      <c r="J209" s="164" t="str">
        <f>IF(N('01_Stations'!$AK$172)&gt;0,'01_Stations'!$AK$172,"")</f>
        <v/>
      </c>
      <c r="K209" s="164" t="str">
        <f>IF(N('01_Stations'!$AK$173)&gt;0,'01_Stations'!$AK$173,"")</f>
        <v/>
      </c>
      <c r="L209" s="164" t="str">
        <f>IF(N('01_Stations'!$AK$174)&gt;0,'01_Stations'!$AK$174,"")</f>
        <v/>
      </c>
      <c r="M209" s="164" t="str">
        <f>IF(N('01_Stations'!$AK$175)&gt;0,'01_Stations'!$AK$175,"")</f>
        <v/>
      </c>
      <c r="N209" s="164" t="str">
        <f>IF(N('01_Stations'!$AK$176)&gt;0,'01_Stations'!$AK$176,"")</f>
        <v/>
      </c>
      <c r="O209" s="164" t="str">
        <f>IF(N('01_Stations'!$AK$177)&gt;0,'01_Stations'!$AK$177,"")</f>
        <v/>
      </c>
      <c r="P209" s="164" t="str">
        <f>IF(N('01_Stations'!$AK$178)&gt;0,'01_Stations'!$AK$178,"")</f>
        <v/>
      </c>
      <c r="Q209" s="164" t="str">
        <f>IF(N('01_Stations'!$AK$179)&gt;0,'01_Stations'!$AK$179,"")</f>
        <v/>
      </c>
      <c r="R209" s="164" t="str">
        <f>IF(N('01_Stations'!$AK$180)&gt;0,'01_Stations'!$AK$180,"")</f>
        <v/>
      </c>
      <c r="S209" s="164" t="str">
        <f>IF(N('01_Stations'!$AK$181)&gt;0,'01_Stations'!$AK$181,"")</f>
        <v/>
      </c>
      <c r="T209" s="164" t="str">
        <f>IF(N('01_Stations'!$AK$182)&gt;0,'01_Stations'!$AK$182,"")</f>
        <v/>
      </c>
      <c r="U209" s="164" t="str">
        <f>IF(N('01_Stations'!$AK$183)&gt;0,'01_Stations'!$AK$183,"")</f>
        <v/>
      </c>
      <c r="V209" s="164" t="str">
        <f>IF(N('01_Stations'!$AK$184)&gt;0,'01_Stations'!$AK$184,"")</f>
        <v/>
      </c>
      <c r="W209" s="164" t="str">
        <f>IF(N('01_Stations'!$AK$185)&gt;0,'01_Stations'!$AK$185,"")</f>
        <v/>
      </c>
      <c r="X209" s="164" t="str">
        <f>IF(N('01_Stations'!$AK$186)&gt;0,'01_Stations'!$AK$186,"")</f>
        <v/>
      </c>
      <c r="Y209" s="164" t="str">
        <f>IF(N('01_Stations'!$AK$187)&gt;0,'01_Stations'!$AK$187,"")</f>
        <v/>
      </c>
      <c r="Z209" s="164" t="str">
        <f>IF(N('01_Stations'!$AK$188)&gt;0,'01_Stations'!$AK$188,"")</f>
        <v/>
      </c>
      <c r="AA209" s="164" t="str">
        <f>IF(N('01_Stations'!$AK$189)&gt;0,'01_Stations'!$AK$189,"")</f>
        <v/>
      </c>
      <c r="AB209" s="164" t="str">
        <f>IF(N('01_Stations'!$AK$190)&gt;0,'01_Stations'!$AK$190,"")</f>
        <v/>
      </c>
      <c r="AC209" s="164" t="str">
        <f>IF(N('01_Stations'!$AK$191)&gt;0,'01_Stations'!$AK$191,"")</f>
        <v/>
      </c>
      <c r="AD209" s="164" t="str">
        <f>IF(N('01_Stations'!$AK$192)&gt;0,'01_Stations'!$AK$192,"")</f>
        <v/>
      </c>
      <c r="AE209" s="164" t="str">
        <f>IF(N('01_Stations'!$AK$193)&gt;0,'01_Stations'!$AK$193,"")</f>
        <v/>
      </c>
      <c r="AF209" s="164" t="str">
        <f>IF(N('01_Stations'!$AK$194)&gt;0,'01_Stations'!$AK$194,"")</f>
        <v/>
      </c>
      <c r="AG209" s="164" t="str">
        <f>IF(N('01_Stations'!$AK$195)&gt;0,'01_Stations'!$AK$195,"")</f>
        <v/>
      </c>
      <c r="AH209" s="164" t="str">
        <f>IF(N('01_Stations'!$AK$196)&gt;0,'01_Stations'!$AK$196,"")</f>
        <v/>
      </c>
      <c r="AI209" s="164" t="str">
        <f>IF(N('01_Stations'!$AK$197)&gt;0,'01_Stations'!$AK$197,"")</f>
        <v/>
      </c>
      <c r="AJ209" s="164" t="str">
        <f>IF(N('01_Stations'!$AK$198)&gt;0,'01_Stations'!$AK$198,"")</f>
        <v/>
      </c>
      <c r="AK209" s="164" t="str">
        <f>IF(N('01_Stations'!$AK$199)&gt;0,'01_Stations'!$AK$199,"")</f>
        <v/>
      </c>
      <c r="AL209" s="164" t="str">
        <f>IF(N('01_Stations'!$AK$200)&gt;0,'01_Stations'!$AK$200,"")</f>
        <v/>
      </c>
      <c r="AM209" s="164" t="str">
        <f>IF(N('01_Stations'!$AK$201)&gt;0,'01_Stations'!$AK$201,"")</f>
        <v/>
      </c>
      <c r="AN209" s="164" t="str">
        <f>IF(N('01_Stations'!$AK$202)&gt;0,'01_Stations'!$AK$202,"")</f>
        <v/>
      </c>
      <c r="AO209" s="164" t="str">
        <f>IF(N('01_Stations'!$AK$203)&gt;0,'01_Stations'!$AK$203,"")</f>
        <v/>
      </c>
      <c r="AP209" s="164" t="str">
        <f>IF(N('01_Stations'!$AK$204)&gt;0,'01_Stations'!$AK$204,"")</f>
        <v/>
      </c>
      <c r="AQ209" s="164" t="str">
        <f>IF(N('01_Stations'!$AK$205)&gt;0,'01_Stations'!$AK$205,"")</f>
        <v/>
      </c>
    </row>
    <row r="210" spans="1:43" ht="15" customHeight="1" x14ac:dyDescent="0.3">
      <c r="A210" s="236"/>
      <c r="B210" s="165" t="s">
        <v>295</v>
      </c>
      <c r="C210" s="166" t="s">
        <v>299</v>
      </c>
      <c r="D210" s="164" t="str">
        <f>IF(N('01_Stations'!$AL$166)&gt;0,'01_Stations'!$AL$166,"")</f>
        <v/>
      </c>
      <c r="E210" s="164" t="str">
        <f>IF(N('01_Stations'!$AL$167)&gt;0,'01_Stations'!$AL$167,"")</f>
        <v/>
      </c>
      <c r="F210" s="164" t="str">
        <f>IF(N('01_Stations'!$AL$168)&gt;0,'01_Stations'!$AL$168,"")</f>
        <v/>
      </c>
      <c r="G210" s="164" t="str">
        <f>IF(N('01_Stations'!$AL$169)&gt;0,'01_Stations'!$AL$169,"")</f>
        <v/>
      </c>
      <c r="H210" s="164" t="str">
        <f>IF(N('01_Stations'!$AL$170)&gt;0,'01_Stations'!$AL$170,"")</f>
        <v/>
      </c>
      <c r="I210" s="164" t="str">
        <f>IF(N('01_Stations'!$AL$171)&gt;0,'01_Stations'!$AL$171,"")</f>
        <v/>
      </c>
      <c r="J210" s="164" t="str">
        <f>IF(N('01_Stations'!$AL$172)&gt;0,'01_Stations'!$AL$172,"")</f>
        <v/>
      </c>
      <c r="K210" s="164" t="str">
        <f>IF(N('01_Stations'!$AL$173)&gt;0,'01_Stations'!$AL$173,"")</f>
        <v/>
      </c>
      <c r="L210" s="164" t="str">
        <f>IF(N('01_Stations'!$AL$174)&gt;0,'01_Stations'!$AL$174,"")</f>
        <v/>
      </c>
      <c r="M210" s="164" t="str">
        <f>IF(N('01_Stations'!$AL$175)&gt;0,'01_Stations'!$AL$175,"")</f>
        <v/>
      </c>
      <c r="N210" s="164" t="str">
        <f>IF(N('01_Stations'!$AL$176)&gt;0,'01_Stations'!$AL$176,"")</f>
        <v/>
      </c>
      <c r="O210" s="164" t="str">
        <f>IF(N('01_Stations'!$AL$177)&gt;0,'01_Stations'!$AL$177,"")</f>
        <v/>
      </c>
      <c r="P210" s="164" t="str">
        <f>IF(N('01_Stations'!$AL$178)&gt;0,'01_Stations'!$AL$178,"")</f>
        <v/>
      </c>
      <c r="Q210" s="164" t="str">
        <f>IF(N('01_Stations'!$AL$179)&gt;0,'01_Stations'!$AL$179,"")</f>
        <v/>
      </c>
      <c r="R210" s="164" t="str">
        <f>IF(N('01_Stations'!$AL$180)&gt;0,'01_Stations'!$AL$180,"")</f>
        <v/>
      </c>
      <c r="S210" s="164" t="str">
        <f>IF(N('01_Stations'!$AL$181)&gt;0,'01_Stations'!$AL$181,"")</f>
        <v/>
      </c>
      <c r="T210" s="164" t="str">
        <f>IF(N('01_Stations'!$AL$182)&gt;0,'01_Stations'!$AL$182,"")</f>
        <v/>
      </c>
      <c r="U210" s="164" t="str">
        <f>IF(N('01_Stations'!$AL$183)&gt;0,'01_Stations'!$AL$183,"")</f>
        <v/>
      </c>
      <c r="V210" s="164" t="str">
        <f>IF(N('01_Stations'!$AL$184)&gt;0,'01_Stations'!$AL$184,"")</f>
        <v/>
      </c>
      <c r="W210" s="164" t="str">
        <f>IF(N('01_Stations'!$AL$185)&gt;0,'01_Stations'!$AL$185,"")</f>
        <v/>
      </c>
      <c r="X210" s="164" t="str">
        <f>IF(N('01_Stations'!$AL$186)&gt;0,'01_Stations'!$AL$186,"")</f>
        <v/>
      </c>
      <c r="Y210" s="164" t="str">
        <f>IF(N('01_Stations'!$AL$187)&gt;0,'01_Stations'!$AL$187,"")</f>
        <v/>
      </c>
      <c r="Z210" s="164" t="str">
        <f>IF(N('01_Stations'!$AL$188)&gt;0,'01_Stations'!$AL$188,"")</f>
        <v/>
      </c>
      <c r="AA210" s="164" t="str">
        <f>IF(N('01_Stations'!$AL$189)&gt;0,'01_Stations'!$AL$189,"")</f>
        <v/>
      </c>
      <c r="AB210" s="164" t="str">
        <f>IF(N('01_Stations'!$AL$190)&gt;0,'01_Stations'!$AL$190,"")</f>
        <v/>
      </c>
      <c r="AC210" s="164" t="str">
        <f>IF(N('01_Stations'!$AL$191)&gt;0,'01_Stations'!$AL$191,"")</f>
        <v/>
      </c>
      <c r="AD210" s="164" t="str">
        <f>IF(N('01_Stations'!$AL$192)&gt;0,'01_Stations'!$AL$192,"")</f>
        <v/>
      </c>
      <c r="AE210" s="164" t="str">
        <f>IF(N('01_Stations'!$AL$193)&gt;0,'01_Stations'!$AL$193,"")</f>
        <v/>
      </c>
      <c r="AF210" s="164" t="str">
        <f>IF(N('01_Stations'!$AL$194)&gt;0,'01_Stations'!$AL$194,"")</f>
        <v/>
      </c>
      <c r="AG210" s="164" t="str">
        <f>IF(N('01_Stations'!$AL$195)&gt;0,'01_Stations'!$AL$195,"")</f>
        <v/>
      </c>
      <c r="AH210" s="164" t="str">
        <f>IF(N('01_Stations'!$AL$196)&gt;0,'01_Stations'!$AL$196,"")</f>
        <v/>
      </c>
      <c r="AI210" s="164" t="str">
        <f>IF(N('01_Stations'!$AL$197)&gt;0,'01_Stations'!$AL$197,"")</f>
        <v/>
      </c>
      <c r="AJ210" s="164" t="str">
        <f>IF(N('01_Stations'!$AL$198)&gt;0,'01_Stations'!$AL$198,"")</f>
        <v/>
      </c>
      <c r="AK210" s="164" t="str">
        <f>IF(N('01_Stations'!$AL$199)&gt;0,'01_Stations'!$AL$199,"")</f>
        <v/>
      </c>
      <c r="AL210" s="164" t="str">
        <f>IF(N('01_Stations'!$AL$200)&gt;0,'01_Stations'!$AL$200,"")</f>
        <v/>
      </c>
      <c r="AM210" s="164" t="str">
        <f>IF(N('01_Stations'!$AL$201)&gt;0,'01_Stations'!$AL$201,"")</f>
        <v/>
      </c>
      <c r="AN210" s="164" t="str">
        <f>IF(N('01_Stations'!$AL$202)&gt;0,'01_Stations'!$AL$202,"")</f>
        <v/>
      </c>
      <c r="AO210" s="164" t="str">
        <f>IF(N('01_Stations'!$AL$203)&gt;0,'01_Stations'!$AL$203,"")</f>
        <v/>
      </c>
      <c r="AP210" s="164" t="str">
        <f>IF(N('01_Stations'!$AL$204)&gt;0,'01_Stations'!$AL$204,"")</f>
        <v/>
      </c>
      <c r="AQ210" s="164" t="str">
        <f>IF(N('01_Stations'!$AL$205)&gt;0,'01_Stations'!$AL$205,"")</f>
        <v/>
      </c>
    </row>
    <row r="211" spans="1:43" ht="15" customHeight="1" x14ac:dyDescent="0.3">
      <c r="A211" s="236"/>
      <c r="B211" s="165" t="s">
        <v>230</v>
      </c>
      <c r="C211" s="166"/>
      <c r="D211" s="164" t="str">
        <f>IF('01_Stations'!$AM$166=1,"───","")</f>
        <v/>
      </c>
      <c r="E211" s="164" t="str">
        <f>IF('01_Stations'!$AM$167=1,"───","")</f>
        <v/>
      </c>
      <c r="F211" s="164" t="str">
        <f>IF('01_Stations'!$AM$168=1,"───","")</f>
        <v/>
      </c>
      <c r="G211" s="164" t="str">
        <f>IF('01_Stations'!$AM$169=1,"───","")</f>
        <v/>
      </c>
      <c r="H211" s="164" t="str">
        <f>IF('01_Stations'!$AM$170=1,"───","")</f>
        <v/>
      </c>
      <c r="I211" s="164" t="str">
        <f>IF('01_Stations'!$AM$171=1,"───","")</f>
        <v/>
      </c>
      <c r="J211" s="164" t="str">
        <f>IF('01_Stations'!$AM$172=1,"───","")</f>
        <v/>
      </c>
      <c r="K211" s="164" t="str">
        <f>IF('01_Stations'!$AM$173=1,"───","")</f>
        <v/>
      </c>
      <c r="L211" s="164" t="str">
        <f>IF('01_Stations'!$AM$174=1,"───","")</f>
        <v/>
      </c>
      <c r="M211" s="164" t="str">
        <f>IF('01_Stations'!$AM$175=1,"───","")</f>
        <v/>
      </c>
      <c r="N211" s="164" t="str">
        <f>IF('01_Stations'!$AM$176=1,"───","")</f>
        <v/>
      </c>
      <c r="O211" s="164" t="str">
        <f>IF('01_Stations'!$AM$177=1,"───","")</f>
        <v/>
      </c>
      <c r="P211" s="164" t="str">
        <f>IF('01_Stations'!$AM$178=1,"───","")</f>
        <v/>
      </c>
      <c r="Q211" s="164" t="str">
        <f>IF('01_Stations'!$AM$179=1,"───","")</f>
        <v/>
      </c>
      <c r="R211" s="164" t="str">
        <f>IF('01_Stations'!$AM$180=1,"───","")</f>
        <v/>
      </c>
      <c r="S211" s="164" t="str">
        <f>IF('01_Stations'!$AM$181=1,"───","")</f>
        <v/>
      </c>
      <c r="T211" s="164" t="str">
        <f>IF('01_Stations'!$AM$182=1,"───","")</f>
        <v/>
      </c>
      <c r="U211" s="164" t="str">
        <f>IF('01_Stations'!$AM$183=1,"───","")</f>
        <v/>
      </c>
      <c r="V211" s="164" t="str">
        <f>IF('01_Stations'!$AM$184=1,"───","")</f>
        <v/>
      </c>
      <c r="W211" s="164" t="str">
        <f>IF('01_Stations'!$AM$185=1,"───","")</f>
        <v/>
      </c>
      <c r="X211" s="164" t="str">
        <f>IF('01_Stations'!$AM$186=1,"───","")</f>
        <v/>
      </c>
      <c r="Y211" s="164" t="str">
        <f>IF('01_Stations'!$AM$187=1,"───","")</f>
        <v/>
      </c>
      <c r="Z211" s="164" t="str">
        <f>IF('01_Stations'!$AM$188=1,"───","")</f>
        <v/>
      </c>
      <c r="AA211" s="164" t="str">
        <f>IF('01_Stations'!$AM$189=1,"───","")</f>
        <v/>
      </c>
      <c r="AB211" s="164" t="str">
        <f>IF('01_Stations'!$AM$190=1,"───","")</f>
        <v/>
      </c>
      <c r="AC211" s="164" t="str">
        <f>IF('01_Stations'!$AM$191=1,"───","")</f>
        <v/>
      </c>
      <c r="AD211" s="164" t="str">
        <f>IF('01_Stations'!$AM$192=1,"───","")</f>
        <v/>
      </c>
      <c r="AE211" s="164" t="str">
        <f>IF('01_Stations'!$AM$193=1,"───","")</f>
        <v/>
      </c>
      <c r="AF211" s="164" t="str">
        <f>IF('01_Stations'!$AM$194=1,"───","")</f>
        <v/>
      </c>
      <c r="AG211" s="164" t="str">
        <f>IF('01_Stations'!$AM$195=1,"───","")</f>
        <v/>
      </c>
      <c r="AH211" s="164" t="str">
        <f>IF('01_Stations'!$AM$196=1,"───","")</f>
        <v/>
      </c>
      <c r="AI211" s="164" t="str">
        <f>IF('01_Stations'!$AM$197=1,"───","")</f>
        <v/>
      </c>
      <c r="AJ211" s="164" t="str">
        <f>IF('01_Stations'!$AM$198=1,"───","")</f>
        <v/>
      </c>
      <c r="AK211" s="164" t="str">
        <f>IF('01_Stations'!$AM$199=1,"───","")</f>
        <v/>
      </c>
      <c r="AL211" s="164" t="str">
        <f>IF('01_Stations'!$AM$200=1,"───","")</f>
        <v/>
      </c>
      <c r="AM211" s="164" t="str">
        <f>IF('01_Stations'!$AM$201=1,"───","")</f>
        <v/>
      </c>
      <c r="AN211" s="164" t="str">
        <f>IF('01_Stations'!$AM$202=1,"───","")</f>
        <v/>
      </c>
      <c r="AO211" s="164" t="str">
        <f>IF('01_Stations'!$AM$203=1,"───","")</f>
        <v/>
      </c>
      <c r="AP211" s="164" t="str">
        <f>IF('01_Stations'!$AM$204=1,"───","")</f>
        <v/>
      </c>
      <c r="AQ211" s="164" t="str">
        <f>IF('01_Stations'!$AM$205=1,"───","")</f>
        <v/>
      </c>
    </row>
    <row r="212" spans="1:43" ht="15" customHeight="1" x14ac:dyDescent="0.3">
      <c r="A212" s="236"/>
      <c r="B212" s="165" t="s">
        <v>231</v>
      </c>
      <c r="C212" s="166"/>
      <c r="D212" s="164" t="str">
        <f>IF('01_Stations'!$AN$166=1,"───","")</f>
        <v/>
      </c>
      <c r="E212" s="164" t="str">
        <f>IF('01_Stations'!$AN$167=1,"───","")</f>
        <v/>
      </c>
      <c r="F212" s="164" t="str">
        <f>IF('01_Stations'!$AN$168=1,"───","")</f>
        <v/>
      </c>
      <c r="G212" s="164" t="str">
        <f>IF('01_Stations'!$AN$169=1,"───","")</f>
        <v/>
      </c>
      <c r="H212" s="164" t="str">
        <f>IF('01_Stations'!$AN$170=1,"───","")</f>
        <v/>
      </c>
      <c r="I212" s="164" t="str">
        <f>IF('01_Stations'!$AN$171=1,"───","")</f>
        <v/>
      </c>
      <c r="J212" s="164" t="str">
        <f>IF('01_Stations'!$AN$172=1,"───","")</f>
        <v/>
      </c>
      <c r="K212" s="164" t="str">
        <f>IF('01_Stations'!$AN$173=1,"───","")</f>
        <v/>
      </c>
      <c r="L212" s="164" t="str">
        <f>IF('01_Stations'!$AN$174=1,"───","")</f>
        <v/>
      </c>
      <c r="M212" s="164" t="str">
        <f>IF('01_Stations'!$AN$175=1,"───","")</f>
        <v/>
      </c>
      <c r="N212" s="164" t="str">
        <f>IF('01_Stations'!$AN$176=1,"───","")</f>
        <v/>
      </c>
      <c r="O212" s="164" t="str">
        <f>IF('01_Stations'!$AN$177=1,"───","")</f>
        <v/>
      </c>
      <c r="P212" s="164" t="str">
        <f>IF('01_Stations'!$AN$178=1,"───","")</f>
        <v/>
      </c>
      <c r="Q212" s="164" t="str">
        <f>IF('01_Stations'!$AN$179=1,"───","")</f>
        <v/>
      </c>
      <c r="R212" s="164" t="str">
        <f>IF('01_Stations'!$AN$180=1,"───","")</f>
        <v/>
      </c>
      <c r="S212" s="164" t="str">
        <f>IF('01_Stations'!$AN$181=1,"───","")</f>
        <v/>
      </c>
      <c r="T212" s="164" t="str">
        <f>IF('01_Stations'!$AN$182=1,"───","")</f>
        <v/>
      </c>
      <c r="U212" s="164" t="str">
        <f>IF('01_Stations'!$AN$183=1,"───","")</f>
        <v/>
      </c>
      <c r="V212" s="164" t="str">
        <f>IF('01_Stations'!$AN$184=1,"───","")</f>
        <v/>
      </c>
      <c r="W212" s="164" t="str">
        <f>IF('01_Stations'!$AN$185=1,"───","")</f>
        <v/>
      </c>
      <c r="X212" s="164" t="str">
        <f>IF('01_Stations'!$AN$186=1,"───","")</f>
        <v/>
      </c>
      <c r="Y212" s="164" t="str">
        <f>IF('01_Stations'!$AN$187=1,"───","")</f>
        <v/>
      </c>
      <c r="Z212" s="164" t="str">
        <f>IF('01_Stations'!$AN$188=1,"───","")</f>
        <v/>
      </c>
      <c r="AA212" s="164" t="str">
        <f>IF('01_Stations'!$AN$189=1,"───","")</f>
        <v/>
      </c>
      <c r="AB212" s="164" t="str">
        <f>IF('01_Stations'!$AN$190=1,"───","")</f>
        <v/>
      </c>
      <c r="AC212" s="164" t="str">
        <f>IF('01_Stations'!$AN$191=1,"───","")</f>
        <v/>
      </c>
      <c r="AD212" s="164" t="str">
        <f>IF('01_Stations'!$AN$192=1,"───","")</f>
        <v/>
      </c>
      <c r="AE212" s="164" t="str">
        <f>IF('01_Stations'!$AN$193=1,"───","")</f>
        <v/>
      </c>
      <c r="AF212" s="164" t="str">
        <f>IF('01_Stations'!$AN$194=1,"───","")</f>
        <v/>
      </c>
      <c r="AG212" s="164" t="str">
        <f>IF('01_Stations'!$AN$195=1,"───","")</f>
        <v/>
      </c>
      <c r="AH212" s="164" t="str">
        <f>IF('01_Stations'!$AN$196=1,"───","")</f>
        <v/>
      </c>
      <c r="AI212" s="164" t="str">
        <f>IF('01_Stations'!$AN$197=1,"───","")</f>
        <v/>
      </c>
      <c r="AJ212" s="164" t="str">
        <f>IF('01_Stations'!$AN$198=1,"───","")</f>
        <v/>
      </c>
      <c r="AK212" s="164" t="str">
        <f>IF('01_Stations'!$AN$199=1,"───","")</f>
        <v/>
      </c>
      <c r="AL212" s="164" t="str">
        <f>IF('01_Stations'!$AN$200=1,"───","")</f>
        <v/>
      </c>
      <c r="AM212" s="164" t="str">
        <f>IF('01_Stations'!$AN$201=1,"───","")</f>
        <v/>
      </c>
      <c r="AN212" s="164" t="str">
        <f>IF('01_Stations'!$AN$202=1,"───","")</f>
        <v/>
      </c>
      <c r="AO212" s="164" t="str">
        <f>IF('01_Stations'!$AN$203=1,"───","")</f>
        <v/>
      </c>
      <c r="AP212" s="164" t="str">
        <f>IF('01_Stations'!$AN$204=1,"───","")</f>
        <v/>
      </c>
      <c r="AQ212" s="164" t="str">
        <f>IF('01_Stations'!$AN$205=1,"───","")</f>
        <v/>
      </c>
    </row>
    <row r="213" spans="1:43" ht="15" customHeight="1" x14ac:dyDescent="0.3">
      <c r="A213" s="237"/>
      <c r="B213" s="165" t="s">
        <v>232</v>
      </c>
      <c r="C213" s="166"/>
      <c r="D213" s="164" t="str">
        <f>IF('01_Stations'!$AO$166=1,"───","")</f>
        <v/>
      </c>
      <c r="E213" s="164" t="str">
        <f>IF('01_Stations'!$AO$167=1,"───","")</f>
        <v/>
      </c>
      <c r="F213" s="164" t="str">
        <f>IF('01_Stations'!$AO$168=1,"───","")</f>
        <v/>
      </c>
      <c r="G213" s="164" t="str">
        <f>IF('01_Stations'!$AO$169=1,"───","")</f>
        <v/>
      </c>
      <c r="H213" s="164" t="str">
        <f>IF('01_Stations'!$AO$170=1,"───","")</f>
        <v/>
      </c>
      <c r="I213" s="164" t="str">
        <f>IF('01_Stations'!$AO$171=1,"───","")</f>
        <v/>
      </c>
      <c r="J213" s="164" t="str">
        <f>IF('01_Stations'!$AO$172=1,"───","")</f>
        <v/>
      </c>
      <c r="K213" s="164" t="str">
        <f>IF('01_Stations'!$AO$173=1,"───","")</f>
        <v/>
      </c>
      <c r="L213" s="164" t="str">
        <f>IF('01_Stations'!$AO$174=1,"───","")</f>
        <v/>
      </c>
      <c r="M213" s="164" t="str">
        <f>IF('01_Stations'!$AO$175=1,"───","")</f>
        <v/>
      </c>
      <c r="N213" s="164" t="str">
        <f>IF('01_Stations'!$AO$176=1,"───","")</f>
        <v/>
      </c>
      <c r="O213" s="164" t="str">
        <f>IF('01_Stations'!$AO$177=1,"───","")</f>
        <v/>
      </c>
      <c r="P213" s="164" t="str">
        <f>IF('01_Stations'!$AO$178=1,"───","")</f>
        <v/>
      </c>
      <c r="Q213" s="164" t="str">
        <f>IF('01_Stations'!$AO$179=1,"───","")</f>
        <v/>
      </c>
      <c r="R213" s="164" t="str">
        <f>IF('01_Stations'!$AO$180=1,"───","")</f>
        <v/>
      </c>
      <c r="S213" s="164" t="str">
        <f>IF('01_Stations'!$AO$181=1,"───","")</f>
        <v/>
      </c>
      <c r="T213" s="164" t="str">
        <f>IF('01_Stations'!$AO$182=1,"───","")</f>
        <v/>
      </c>
      <c r="U213" s="164" t="str">
        <f>IF('01_Stations'!$AO$183=1,"───","")</f>
        <v/>
      </c>
      <c r="V213" s="164" t="str">
        <f>IF('01_Stations'!$AO$184=1,"───","")</f>
        <v/>
      </c>
      <c r="W213" s="164" t="str">
        <f>IF('01_Stations'!$AO$185=1,"───","")</f>
        <v/>
      </c>
      <c r="X213" s="164" t="str">
        <f>IF('01_Stations'!$AO$186=1,"───","")</f>
        <v/>
      </c>
      <c r="Y213" s="164" t="str">
        <f>IF('01_Stations'!$AO$187=1,"───","")</f>
        <v/>
      </c>
      <c r="Z213" s="164" t="str">
        <f>IF('01_Stations'!$AO$188=1,"───","")</f>
        <v/>
      </c>
      <c r="AA213" s="164" t="str">
        <f>IF('01_Stations'!$AO$189=1,"───","")</f>
        <v/>
      </c>
      <c r="AB213" s="164" t="str">
        <f>IF('01_Stations'!$AO$190=1,"───","")</f>
        <v/>
      </c>
      <c r="AC213" s="164" t="str">
        <f>IF('01_Stations'!$AO$191=1,"───","")</f>
        <v/>
      </c>
      <c r="AD213" s="164" t="str">
        <f>IF('01_Stations'!$AO$192=1,"───","")</f>
        <v/>
      </c>
      <c r="AE213" s="164" t="str">
        <f>IF('01_Stations'!$AO$193=1,"───","")</f>
        <v/>
      </c>
      <c r="AF213" s="164" t="str">
        <f>IF('01_Stations'!$AO$194=1,"───","")</f>
        <v/>
      </c>
      <c r="AG213" s="164" t="str">
        <f>IF('01_Stations'!$AO$195=1,"───","")</f>
        <v/>
      </c>
      <c r="AH213" s="164" t="str">
        <f>IF('01_Stations'!$AO$196=1,"───","")</f>
        <v/>
      </c>
      <c r="AI213" s="164" t="str">
        <f>IF('01_Stations'!$AO$197=1,"───","")</f>
        <v/>
      </c>
      <c r="AJ213" s="164" t="str">
        <f>IF('01_Stations'!$AO$198=1,"───","")</f>
        <v/>
      </c>
      <c r="AK213" s="164" t="str">
        <f>IF('01_Stations'!$AO$199=1,"───","")</f>
        <v/>
      </c>
      <c r="AL213" s="164" t="str">
        <f>IF('01_Stations'!$AO$200=1,"───","")</f>
        <v/>
      </c>
      <c r="AM213" s="164" t="str">
        <f>IF('01_Stations'!$AO$201=1,"───","")</f>
        <v/>
      </c>
      <c r="AN213" s="164" t="str">
        <f>IF('01_Stations'!$AO$202=1,"───","")</f>
        <v/>
      </c>
      <c r="AO213" s="164" t="str">
        <f>IF('01_Stations'!$AO$203=1,"───","")</f>
        <v/>
      </c>
      <c r="AP213" s="164" t="str">
        <f>IF('01_Stations'!$AO$204=1,"───","")</f>
        <v/>
      </c>
      <c r="AQ213" s="164" t="str">
        <f>IF('01_Stations'!$AO$205=1,"───","")</f>
        <v/>
      </c>
    </row>
    <row r="214" spans="1:43" x14ac:dyDescent="0.3">
      <c r="A214" s="64"/>
      <c r="B214" s="64"/>
      <c r="C214" s="64"/>
      <c r="D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c r="Z214" s="106"/>
      <c r="AA214" s="106"/>
      <c r="AB214" s="106"/>
      <c r="AC214" s="106"/>
      <c r="AD214" s="106"/>
      <c r="AE214" s="106"/>
      <c r="AF214" s="106"/>
      <c r="AG214" s="106"/>
      <c r="AH214" s="106"/>
      <c r="AI214" s="106"/>
      <c r="AJ214" s="106"/>
      <c r="AK214" s="106"/>
      <c r="AL214" s="106"/>
      <c r="AM214" s="106"/>
      <c r="AN214" s="106"/>
      <c r="AO214" s="106"/>
      <c r="AP214" s="106"/>
      <c r="AQ214" s="106"/>
    </row>
    <row r="215" spans="1:43" ht="15" customHeight="1" thickBot="1" x14ac:dyDescent="0.35">
      <c r="A215" s="64"/>
      <c r="B215" s="64"/>
      <c r="C215" s="64"/>
      <c r="D215" s="106"/>
      <c r="E215" s="106"/>
      <c r="F215" s="106"/>
      <c r="G215" s="106"/>
      <c r="H215" s="106"/>
      <c r="I215" s="106"/>
      <c r="J215" s="106"/>
      <c r="K215" s="106"/>
      <c r="L215" s="106"/>
      <c r="M215" s="106"/>
      <c r="N215" s="106"/>
      <c r="O215" s="106"/>
      <c r="P215" s="106"/>
      <c r="Q215" s="106"/>
      <c r="R215" s="106"/>
      <c r="S215" s="106"/>
      <c r="T215" s="106"/>
      <c r="U215" s="106"/>
      <c r="V215" s="106"/>
      <c r="W215" s="106"/>
      <c r="X215" s="106"/>
      <c r="Y215" s="106"/>
      <c r="Z215" s="106"/>
      <c r="AA215" s="106"/>
      <c r="AB215" s="106"/>
      <c r="AC215" s="106"/>
      <c r="AD215" s="106"/>
      <c r="AE215" s="106"/>
      <c r="AF215" s="106"/>
      <c r="AG215" s="106"/>
      <c r="AH215" s="106"/>
      <c r="AI215" s="106"/>
      <c r="AJ215" s="106"/>
      <c r="AK215" s="106"/>
      <c r="AL215" s="106"/>
      <c r="AM215" s="106"/>
      <c r="AN215" s="106"/>
      <c r="AO215" s="106"/>
      <c r="AP215" s="106"/>
      <c r="AQ215" s="106"/>
    </row>
    <row r="216" spans="1:43" ht="19.95" customHeight="1" thickBot="1" x14ac:dyDescent="0.35">
      <c r="A216" s="174" t="s">
        <v>2231</v>
      </c>
      <c r="B216" s="172"/>
      <c r="C216" s="172"/>
      <c r="D216" s="173" t="str">
        <f>IF(P_Length_km*1000&lt;=10000,"— beyond the end of the road —","")</f>
        <v>— beyond the end of the road —</v>
      </c>
      <c r="E216" s="173"/>
      <c r="F216" s="173"/>
      <c r="G216" s="173"/>
      <c r="H216" s="173"/>
      <c r="I216" s="173"/>
      <c r="J216" s="173"/>
      <c r="K216" s="173"/>
      <c r="L216" s="173"/>
      <c r="M216" s="173"/>
      <c r="N216" s="173"/>
      <c r="O216" s="173"/>
      <c r="P216" s="173"/>
      <c r="Q216" s="173"/>
      <c r="R216" s="173"/>
      <c r="S216" s="173"/>
      <c r="T216" s="173"/>
      <c r="U216" s="173"/>
      <c r="V216" s="173"/>
      <c r="W216" s="173"/>
      <c r="X216" s="173"/>
      <c r="Y216" s="173"/>
      <c r="Z216" s="173"/>
      <c r="AA216" s="173"/>
      <c r="AB216" s="173"/>
      <c r="AC216" s="173"/>
      <c r="AD216" s="173"/>
      <c r="AE216" s="173"/>
      <c r="AF216" s="173"/>
      <c r="AG216" s="173"/>
      <c r="AH216" s="173"/>
      <c r="AI216" s="173"/>
      <c r="AJ216" s="173"/>
      <c r="AK216" s="173"/>
      <c r="AL216" s="173"/>
      <c r="AM216" s="173"/>
      <c r="AN216" s="173"/>
      <c r="AO216" s="173"/>
      <c r="AP216" s="173"/>
      <c r="AQ216" s="175"/>
    </row>
    <row r="217" spans="1:43" x14ac:dyDescent="0.3">
      <c r="A217" s="170" t="s">
        <v>2232</v>
      </c>
      <c r="B217" s="170"/>
      <c r="C217" s="170" t="s">
        <v>2204</v>
      </c>
      <c r="D217" s="171">
        <v>0</v>
      </c>
      <c r="E217" s="171"/>
      <c r="F217" s="171">
        <v>100</v>
      </c>
      <c r="G217" s="171"/>
      <c r="H217" s="171">
        <v>200</v>
      </c>
      <c r="I217" s="171"/>
      <c r="J217" s="171">
        <v>300</v>
      </c>
      <c r="K217" s="171"/>
      <c r="L217" s="171">
        <v>400</v>
      </c>
      <c r="M217" s="171"/>
      <c r="N217" s="171">
        <v>500</v>
      </c>
      <c r="O217" s="171"/>
      <c r="P217" s="171">
        <v>600</v>
      </c>
      <c r="Q217" s="171"/>
      <c r="R217" s="171">
        <v>700</v>
      </c>
      <c r="S217" s="171"/>
      <c r="T217" s="171">
        <v>800</v>
      </c>
      <c r="U217" s="171"/>
      <c r="V217" s="171">
        <v>900</v>
      </c>
      <c r="W217" s="171"/>
      <c r="X217" s="171">
        <v>0</v>
      </c>
      <c r="Y217" s="171"/>
      <c r="Z217" s="171">
        <v>100</v>
      </c>
      <c r="AA217" s="171"/>
      <c r="AB217" s="171">
        <v>200</v>
      </c>
      <c r="AC217" s="171"/>
      <c r="AD217" s="171">
        <v>300</v>
      </c>
      <c r="AE217" s="171"/>
      <c r="AF217" s="171">
        <v>400</v>
      </c>
      <c r="AG217" s="171"/>
      <c r="AH217" s="171">
        <v>500</v>
      </c>
      <c r="AI217" s="171"/>
      <c r="AJ217" s="171">
        <v>600</v>
      </c>
      <c r="AK217" s="171"/>
      <c r="AL217" s="171">
        <v>700</v>
      </c>
      <c r="AM217" s="171"/>
      <c r="AN217" s="171">
        <v>800</v>
      </c>
      <c r="AO217" s="171"/>
      <c r="AP217" s="171">
        <v>900</v>
      </c>
      <c r="AQ217" s="171"/>
    </row>
    <row r="218" spans="1:43" ht="15" customHeight="1" x14ac:dyDescent="0.3">
      <c r="A218" s="235" t="s">
        <v>2205</v>
      </c>
      <c r="B218" s="167" t="s">
        <v>263</v>
      </c>
      <c r="C218" s="168"/>
      <c r="D218" s="169" t="str">
        <f>IF('01_Stations'!$D$206=1,"▓","")</f>
        <v/>
      </c>
      <c r="E218" s="169" t="str">
        <f>IF('01_Stations'!$D$207=1,"▓","")</f>
        <v/>
      </c>
      <c r="F218" s="169" t="str">
        <f>IF('01_Stations'!$D$208=1,"▓","")</f>
        <v/>
      </c>
      <c r="G218" s="169" t="str">
        <f>IF('01_Stations'!$D$209=1,"▓","")</f>
        <v/>
      </c>
      <c r="H218" s="169" t="str">
        <f>IF('01_Stations'!$D$210=1,"▓","")</f>
        <v/>
      </c>
      <c r="I218" s="169" t="str">
        <f>IF('01_Stations'!$D$211=1,"▓","")</f>
        <v/>
      </c>
      <c r="J218" s="169" t="str">
        <f>IF('01_Stations'!$D$212=1,"▓","")</f>
        <v/>
      </c>
      <c r="K218" s="169" t="str">
        <f>IF('01_Stations'!$D$213=1,"▓","")</f>
        <v/>
      </c>
      <c r="L218" s="169" t="str">
        <f>IF('01_Stations'!$D$214=1,"▓","")</f>
        <v/>
      </c>
      <c r="M218" s="169" t="str">
        <f>IF('01_Stations'!$D$215=1,"▓","")</f>
        <v/>
      </c>
      <c r="N218" s="169" t="str">
        <f>IF('01_Stations'!$D$216=1,"▓","")</f>
        <v/>
      </c>
      <c r="O218" s="169" t="str">
        <f>IF('01_Stations'!$D$217=1,"▓","")</f>
        <v/>
      </c>
      <c r="P218" s="169" t="str">
        <f>IF('01_Stations'!$D$218=1,"▓","")</f>
        <v/>
      </c>
      <c r="Q218" s="169" t="str">
        <f>IF('01_Stations'!$D$219=1,"▓","")</f>
        <v/>
      </c>
      <c r="R218" s="169" t="str">
        <f>IF('01_Stations'!$D$220=1,"▓","")</f>
        <v/>
      </c>
      <c r="S218" s="169" t="str">
        <f>IF('01_Stations'!$D$221=1,"▓","")</f>
        <v/>
      </c>
      <c r="T218" s="169" t="str">
        <f>IF('01_Stations'!$D$222=1,"▓","")</f>
        <v/>
      </c>
      <c r="U218" s="169" t="str">
        <f>IF('01_Stations'!$D$223=1,"▓","")</f>
        <v/>
      </c>
      <c r="V218" s="169" t="str">
        <f>IF('01_Stations'!$D$224=1,"▓","")</f>
        <v/>
      </c>
      <c r="W218" s="169" t="str">
        <f>IF('01_Stations'!$D$225=1,"▓","")</f>
        <v/>
      </c>
      <c r="X218" s="169" t="str">
        <f>IF('01_Stations'!$D$226=1,"▓","")</f>
        <v/>
      </c>
      <c r="Y218" s="169" t="str">
        <f>IF('01_Stations'!$D$227=1,"▓","")</f>
        <v/>
      </c>
      <c r="Z218" s="169" t="str">
        <f>IF('01_Stations'!$D$228=1,"▓","")</f>
        <v/>
      </c>
      <c r="AA218" s="169" t="str">
        <f>IF('01_Stations'!$D$229=1,"▓","")</f>
        <v/>
      </c>
      <c r="AB218" s="169" t="str">
        <f>IF('01_Stations'!$D$230=1,"▓","")</f>
        <v/>
      </c>
      <c r="AC218" s="169" t="str">
        <f>IF('01_Stations'!$D$231=1,"▓","")</f>
        <v/>
      </c>
      <c r="AD218" s="169" t="str">
        <f>IF('01_Stations'!$D$232=1,"▓","")</f>
        <v/>
      </c>
      <c r="AE218" s="169" t="str">
        <f>IF('01_Stations'!$D$233=1,"▓","")</f>
        <v/>
      </c>
      <c r="AF218" s="169" t="str">
        <f>IF('01_Stations'!$D$234=1,"▓","")</f>
        <v/>
      </c>
      <c r="AG218" s="169" t="str">
        <f>IF('01_Stations'!$D$235=1,"▓","")</f>
        <v/>
      </c>
      <c r="AH218" s="169" t="str">
        <f>IF('01_Stations'!$D$236=1,"▓","")</f>
        <v/>
      </c>
      <c r="AI218" s="169" t="str">
        <f>IF('01_Stations'!$D$237=1,"▓","")</f>
        <v/>
      </c>
      <c r="AJ218" s="169" t="str">
        <f>IF('01_Stations'!$D$238=1,"▓","")</f>
        <v/>
      </c>
      <c r="AK218" s="169" t="str">
        <f>IF('01_Stations'!$D$239=1,"▓","")</f>
        <v/>
      </c>
      <c r="AL218" s="169" t="str">
        <f>IF('01_Stations'!$D$240=1,"▓","")</f>
        <v/>
      </c>
      <c r="AM218" s="169" t="str">
        <f>IF('01_Stations'!$D$241=1,"▓","")</f>
        <v/>
      </c>
      <c r="AN218" s="169" t="str">
        <f>IF('01_Stations'!$D$242=1,"▓","")</f>
        <v/>
      </c>
      <c r="AO218" s="169" t="str">
        <f>IF('01_Stations'!$D$243=1,"▓","")</f>
        <v/>
      </c>
      <c r="AP218" s="169" t="str">
        <f>IF('01_Stations'!$D$244=1,"▓","")</f>
        <v/>
      </c>
      <c r="AQ218" s="169" t="str">
        <f>IF('01_Stations'!$D$245=1,"▓","")</f>
        <v/>
      </c>
    </row>
    <row r="219" spans="1:43" ht="15" customHeight="1" x14ac:dyDescent="0.3">
      <c r="A219" s="236"/>
      <c r="B219" s="165" t="s">
        <v>2206</v>
      </c>
      <c r="C219" s="166"/>
      <c r="D219" s="164" t="str">
        <f>IF('01_Stations'!$E$206="","",'01_Stations'!$E$206)</f>
        <v/>
      </c>
      <c r="E219" s="164" t="str">
        <f>IF('01_Stations'!$E$207="","",'01_Stations'!$E$207)</f>
        <v/>
      </c>
      <c r="F219" s="164" t="str">
        <f>IF('01_Stations'!$E$208="","",'01_Stations'!$E$208)</f>
        <v/>
      </c>
      <c r="G219" s="164" t="str">
        <f>IF('01_Stations'!$E$209="","",'01_Stations'!$E$209)</f>
        <v/>
      </c>
      <c r="H219" s="164" t="str">
        <f>IF('01_Stations'!$E$210="","",'01_Stations'!$E$210)</f>
        <v/>
      </c>
      <c r="I219" s="164" t="str">
        <f>IF('01_Stations'!$E$211="","",'01_Stations'!$E$211)</f>
        <v/>
      </c>
      <c r="J219" s="164" t="str">
        <f>IF('01_Stations'!$E$212="","",'01_Stations'!$E$212)</f>
        <v/>
      </c>
      <c r="K219" s="164" t="str">
        <f>IF('01_Stations'!$E$213="","",'01_Stations'!$E$213)</f>
        <v/>
      </c>
      <c r="L219" s="164" t="str">
        <f>IF('01_Stations'!$E$214="","",'01_Stations'!$E$214)</f>
        <v/>
      </c>
      <c r="M219" s="164" t="str">
        <f>IF('01_Stations'!$E$215="","",'01_Stations'!$E$215)</f>
        <v/>
      </c>
      <c r="N219" s="164" t="str">
        <f>IF('01_Stations'!$E$216="","",'01_Stations'!$E$216)</f>
        <v/>
      </c>
      <c r="O219" s="164" t="str">
        <f>IF('01_Stations'!$E$217="","",'01_Stations'!$E$217)</f>
        <v/>
      </c>
      <c r="P219" s="164" t="str">
        <f>IF('01_Stations'!$E$218="","",'01_Stations'!$E$218)</f>
        <v/>
      </c>
      <c r="Q219" s="164" t="str">
        <f>IF('01_Stations'!$E$219="","",'01_Stations'!$E$219)</f>
        <v/>
      </c>
      <c r="R219" s="164" t="str">
        <f>IF('01_Stations'!$E$220="","",'01_Stations'!$E$220)</f>
        <v/>
      </c>
      <c r="S219" s="164" t="str">
        <f>IF('01_Stations'!$E$221="","",'01_Stations'!$E$221)</f>
        <v/>
      </c>
      <c r="T219" s="164" t="str">
        <f>IF('01_Stations'!$E$222="","",'01_Stations'!$E$222)</f>
        <v/>
      </c>
      <c r="U219" s="164" t="str">
        <f>IF('01_Stations'!$E$223="","",'01_Stations'!$E$223)</f>
        <v/>
      </c>
      <c r="V219" s="164" t="str">
        <f>IF('01_Stations'!$E$224="","",'01_Stations'!$E$224)</f>
        <v/>
      </c>
      <c r="W219" s="164" t="str">
        <f>IF('01_Stations'!$E$225="","",'01_Stations'!$E$225)</f>
        <v/>
      </c>
      <c r="X219" s="164" t="str">
        <f>IF('01_Stations'!$E$226="","",'01_Stations'!$E$226)</f>
        <v/>
      </c>
      <c r="Y219" s="164" t="str">
        <f>IF('01_Stations'!$E$227="","",'01_Stations'!$E$227)</f>
        <v/>
      </c>
      <c r="Z219" s="164" t="str">
        <f>IF('01_Stations'!$E$228="","",'01_Stations'!$E$228)</f>
        <v/>
      </c>
      <c r="AA219" s="164" t="str">
        <f>IF('01_Stations'!$E$229="","",'01_Stations'!$E$229)</f>
        <v/>
      </c>
      <c r="AB219" s="164" t="str">
        <f>IF('01_Stations'!$E$230="","",'01_Stations'!$E$230)</f>
        <v/>
      </c>
      <c r="AC219" s="164" t="str">
        <f>IF('01_Stations'!$E$231="","",'01_Stations'!$E$231)</f>
        <v/>
      </c>
      <c r="AD219" s="164" t="str">
        <f>IF('01_Stations'!$E$232="","",'01_Stations'!$E$232)</f>
        <v/>
      </c>
      <c r="AE219" s="164" t="str">
        <f>IF('01_Stations'!$E$233="","",'01_Stations'!$E$233)</f>
        <v/>
      </c>
      <c r="AF219" s="164" t="str">
        <f>IF('01_Stations'!$E$234="","",'01_Stations'!$E$234)</f>
        <v/>
      </c>
      <c r="AG219" s="164" t="str">
        <f>IF('01_Stations'!$E$235="","",'01_Stations'!$E$235)</f>
        <v/>
      </c>
      <c r="AH219" s="164" t="str">
        <f>IF('01_Stations'!$E$236="","",'01_Stations'!$E$236)</f>
        <v/>
      </c>
      <c r="AI219" s="164" t="str">
        <f>IF('01_Stations'!$E$237="","",'01_Stations'!$E$237)</f>
        <v/>
      </c>
      <c r="AJ219" s="164" t="str">
        <f>IF('01_Stations'!$E$238="","",'01_Stations'!$E$238)</f>
        <v/>
      </c>
      <c r="AK219" s="164" t="str">
        <f>IF('01_Stations'!$E$239="","",'01_Stations'!$E$239)</f>
        <v/>
      </c>
      <c r="AL219" s="164" t="str">
        <f>IF('01_Stations'!$E$240="","",'01_Stations'!$E$240)</f>
        <v/>
      </c>
      <c r="AM219" s="164" t="str">
        <f>IF('01_Stations'!$E$241="","",'01_Stations'!$E$241)</f>
        <v/>
      </c>
      <c r="AN219" s="164" t="str">
        <f>IF('01_Stations'!$E$242="","",'01_Stations'!$E$242)</f>
        <v/>
      </c>
      <c r="AO219" s="164" t="str">
        <f>IF('01_Stations'!$E$243="","",'01_Stations'!$E$243)</f>
        <v/>
      </c>
      <c r="AP219" s="164" t="str">
        <f>IF('01_Stations'!$E$244="","",'01_Stations'!$E$244)</f>
        <v/>
      </c>
      <c r="AQ219" s="164" t="str">
        <f>IF('01_Stations'!$E$245="","",'01_Stations'!$E$245)</f>
        <v/>
      </c>
    </row>
    <row r="220" spans="1:43" ht="15" customHeight="1" x14ac:dyDescent="0.3">
      <c r="A220" s="236"/>
      <c r="B220" s="165" t="s">
        <v>2207</v>
      </c>
      <c r="C220" s="166"/>
      <c r="D220" s="164" t="str">
        <f>IF('01_Stations'!$F$206=1,"───","")</f>
        <v/>
      </c>
      <c r="E220" s="164" t="str">
        <f>IF('01_Stations'!$F$207=1,"───","")</f>
        <v/>
      </c>
      <c r="F220" s="164" t="str">
        <f>IF('01_Stations'!$F$208=1,"───","")</f>
        <v/>
      </c>
      <c r="G220" s="164" t="str">
        <f>IF('01_Stations'!$F$209=1,"───","")</f>
        <v/>
      </c>
      <c r="H220" s="164" t="str">
        <f>IF('01_Stations'!$F$210=1,"───","")</f>
        <v/>
      </c>
      <c r="I220" s="164" t="str">
        <f>IF('01_Stations'!$F$211=1,"───","")</f>
        <v/>
      </c>
      <c r="J220" s="164" t="str">
        <f>IF('01_Stations'!$F$212=1,"───","")</f>
        <v/>
      </c>
      <c r="K220" s="164" t="str">
        <f>IF('01_Stations'!$F$213=1,"───","")</f>
        <v/>
      </c>
      <c r="L220" s="164" t="str">
        <f>IF('01_Stations'!$F$214=1,"───","")</f>
        <v/>
      </c>
      <c r="M220" s="164" t="str">
        <f>IF('01_Stations'!$F$215=1,"───","")</f>
        <v/>
      </c>
      <c r="N220" s="164" t="str">
        <f>IF('01_Stations'!$F$216=1,"───","")</f>
        <v/>
      </c>
      <c r="O220" s="164" t="str">
        <f>IF('01_Stations'!$F$217=1,"───","")</f>
        <v/>
      </c>
      <c r="P220" s="164" t="str">
        <f>IF('01_Stations'!$F$218=1,"───","")</f>
        <v/>
      </c>
      <c r="Q220" s="164" t="str">
        <f>IF('01_Stations'!$F$219=1,"───","")</f>
        <v/>
      </c>
      <c r="R220" s="164" t="str">
        <f>IF('01_Stations'!$F$220=1,"───","")</f>
        <v/>
      </c>
      <c r="S220" s="164" t="str">
        <f>IF('01_Stations'!$F$221=1,"───","")</f>
        <v/>
      </c>
      <c r="T220" s="164" t="str">
        <f>IF('01_Stations'!$F$222=1,"───","")</f>
        <v/>
      </c>
      <c r="U220" s="164" t="str">
        <f>IF('01_Stations'!$F$223=1,"───","")</f>
        <v/>
      </c>
      <c r="V220" s="164" t="str">
        <f>IF('01_Stations'!$F$224=1,"───","")</f>
        <v/>
      </c>
      <c r="W220" s="164" t="str">
        <f>IF('01_Stations'!$F$225=1,"───","")</f>
        <v/>
      </c>
      <c r="X220" s="164" t="str">
        <f>IF('01_Stations'!$F$226=1,"───","")</f>
        <v/>
      </c>
      <c r="Y220" s="164" t="str">
        <f>IF('01_Stations'!$F$227=1,"───","")</f>
        <v/>
      </c>
      <c r="Z220" s="164" t="str">
        <f>IF('01_Stations'!$F$228=1,"───","")</f>
        <v/>
      </c>
      <c r="AA220" s="164" t="str">
        <f>IF('01_Stations'!$F$229=1,"───","")</f>
        <v/>
      </c>
      <c r="AB220" s="164" t="str">
        <f>IF('01_Stations'!$F$230=1,"───","")</f>
        <v/>
      </c>
      <c r="AC220" s="164" t="str">
        <f>IF('01_Stations'!$F$231=1,"───","")</f>
        <v/>
      </c>
      <c r="AD220" s="164" t="str">
        <f>IF('01_Stations'!$F$232=1,"───","")</f>
        <v/>
      </c>
      <c r="AE220" s="164" t="str">
        <f>IF('01_Stations'!$F$233=1,"───","")</f>
        <v/>
      </c>
      <c r="AF220" s="164" t="str">
        <f>IF('01_Stations'!$F$234=1,"───","")</f>
        <v/>
      </c>
      <c r="AG220" s="164" t="str">
        <f>IF('01_Stations'!$F$235=1,"───","")</f>
        <v/>
      </c>
      <c r="AH220" s="164" t="str">
        <f>IF('01_Stations'!$F$236=1,"───","")</f>
        <v/>
      </c>
      <c r="AI220" s="164" t="str">
        <f>IF('01_Stations'!$F$237=1,"───","")</f>
        <v/>
      </c>
      <c r="AJ220" s="164" t="str">
        <f>IF('01_Stations'!$F$238=1,"───","")</f>
        <v/>
      </c>
      <c r="AK220" s="164" t="str">
        <f>IF('01_Stations'!$F$239=1,"───","")</f>
        <v/>
      </c>
      <c r="AL220" s="164" t="str">
        <f>IF('01_Stations'!$F$240=1,"───","")</f>
        <v/>
      </c>
      <c r="AM220" s="164" t="str">
        <f>IF('01_Stations'!$F$241=1,"───","")</f>
        <v/>
      </c>
      <c r="AN220" s="164" t="str">
        <f>IF('01_Stations'!$F$242=1,"───","")</f>
        <v/>
      </c>
      <c r="AO220" s="164" t="str">
        <f>IF('01_Stations'!$F$243=1,"───","")</f>
        <v/>
      </c>
      <c r="AP220" s="164" t="str">
        <f>IF('01_Stations'!$F$244=1,"───","")</f>
        <v/>
      </c>
      <c r="AQ220" s="164" t="str">
        <f>IF('01_Stations'!$F$245=1,"───","")</f>
        <v/>
      </c>
    </row>
    <row r="221" spans="1:43" ht="15" customHeight="1" x14ac:dyDescent="0.3">
      <c r="A221" s="236"/>
      <c r="B221" s="165" t="s">
        <v>265</v>
      </c>
      <c r="C221" s="166" t="s">
        <v>299</v>
      </c>
      <c r="D221" s="164" t="str">
        <f>IF(N('01_Stations'!$G$206)&gt;0,'01_Stations'!$G$206,"")</f>
        <v/>
      </c>
      <c r="E221" s="164" t="str">
        <f>IF(N('01_Stations'!$G$207)&gt;0,'01_Stations'!$G$207,"")</f>
        <v/>
      </c>
      <c r="F221" s="164" t="str">
        <f>IF(N('01_Stations'!$G$208)&gt;0,'01_Stations'!$G$208,"")</f>
        <v/>
      </c>
      <c r="G221" s="164" t="str">
        <f>IF(N('01_Stations'!$G$209)&gt;0,'01_Stations'!$G$209,"")</f>
        <v/>
      </c>
      <c r="H221" s="164" t="str">
        <f>IF(N('01_Stations'!$G$210)&gt;0,'01_Stations'!$G$210,"")</f>
        <v/>
      </c>
      <c r="I221" s="164" t="str">
        <f>IF(N('01_Stations'!$G$211)&gt;0,'01_Stations'!$G$211,"")</f>
        <v/>
      </c>
      <c r="J221" s="164" t="str">
        <f>IF(N('01_Stations'!$G$212)&gt;0,'01_Stations'!$G$212,"")</f>
        <v/>
      </c>
      <c r="K221" s="164" t="str">
        <f>IF(N('01_Stations'!$G$213)&gt;0,'01_Stations'!$G$213,"")</f>
        <v/>
      </c>
      <c r="L221" s="164" t="str">
        <f>IF(N('01_Stations'!$G$214)&gt;0,'01_Stations'!$G$214,"")</f>
        <v/>
      </c>
      <c r="M221" s="164" t="str">
        <f>IF(N('01_Stations'!$G$215)&gt;0,'01_Stations'!$G$215,"")</f>
        <v/>
      </c>
      <c r="N221" s="164" t="str">
        <f>IF(N('01_Stations'!$G$216)&gt;0,'01_Stations'!$G$216,"")</f>
        <v/>
      </c>
      <c r="O221" s="164" t="str">
        <f>IF(N('01_Stations'!$G$217)&gt;0,'01_Stations'!$G$217,"")</f>
        <v/>
      </c>
      <c r="P221" s="164" t="str">
        <f>IF(N('01_Stations'!$G$218)&gt;0,'01_Stations'!$G$218,"")</f>
        <v/>
      </c>
      <c r="Q221" s="164" t="str">
        <f>IF(N('01_Stations'!$G$219)&gt;0,'01_Stations'!$G$219,"")</f>
        <v/>
      </c>
      <c r="R221" s="164" t="str">
        <f>IF(N('01_Stations'!$G$220)&gt;0,'01_Stations'!$G$220,"")</f>
        <v/>
      </c>
      <c r="S221" s="164" t="str">
        <f>IF(N('01_Stations'!$G$221)&gt;0,'01_Stations'!$G$221,"")</f>
        <v/>
      </c>
      <c r="T221" s="164" t="str">
        <f>IF(N('01_Stations'!$G$222)&gt;0,'01_Stations'!$G$222,"")</f>
        <v/>
      </c>
      <c r="U221" s="164" t="str">
        <f>IF(N('01_Stations'!$G$223)&gt;0,'01_Stations'!$G$223,"")</f>
        <v/>
      </c>
      <c r="V221" s="164" t="str">
        <f>IF(N('01_Stations'!$G$224)&gt;0,'01_Stations'!$G$224,"")</f>
        <v/>
      </c>
      <c r="W221" s="164" t="str">
        <f>IF(N('01_Stations'!$G$225)&gt;0,'01_Stations'!$G$225,"")</f>
        <v/>
      </c>
      <c r="X221" s="164" t="str">
        <f>IF(N('01_Stations'!$G$226)&gt;0,'01_Stations'!$G$226,"")</f>
        <v/>
      </c>
      <c r="Y221" s="164" t="str">
        <f>IF(N('01_Stations'!$G$227)&gt;0,'01_Stations'!$G$227,"")</f>
        <v/>
      </c>
      <c r="Z221" s="164" t="str">
        <f>IF(N('01_Stations'!$G$228)&gt;0,'01_Stations'!$G$228,"")</f>
        <v/>
      </c>
      <c r="AA221" s="164" t="str">
        <f>IF(N('01_Stations'!$G$229)&gt;0,'01_Stations'!$G$229,"")</f>
        <v/>
      </c>
      <c r="AB221" s="164" t="str">
        <f>IF(N('01_Stations'!$G$230)&gt;0,'01_Stations'!$G$230,"")</f>
        <v/>
      </c>
      <c r="AC221" s="164" t="str">
        <f>IF(N('01_Stations'!$G$231)&gt;0,'01_Stations'!$G$231,"")</f>
        <v/>
      </c>
      <c r="AD221" s="164" t="str">
        <f>IF(N('01_Stations'!$G$232)&gt;0,'01_Stations'!$G$232,"")</f>
        <v/>
      </c>
      <c r="AE221" s="164" t="str">
        <f>IF(N('01_Stations'!$G$233)&gt;0,'01_Stations'!$G$233,"")</f>
        <v/>
      </c>
      <c r="AF221" s="164" t="str">
        <f>IF(N('01_Stations'!$G$234)&gt;0,'01_Stations'!$G$234,"")</f>
        <v/>
      </c>
      <c r="AG221" s="164" t="str">
        <f>IF(N('01_Stations'!$G$235)&gt;0,'01_Stations'!$G$235,"")</f>
        <v/>
      </c>
      <c r="AH221" s="164" t="str">
        <f>IF(N('01_Stations'!$G$236)&gt;0,'01_Stations'!$G$236,"")</f>
        <v/>
      </c>
      <c r="AI221" s="164" t="str">
        <f>IF(N('01_Stations'!$G$237)&gt;0,'01_Stations'!$G$237,"")</f>
        <v/>
      </c>
      <c r="AJ221" s="164" t="str">
        <f>IF(N('01_Stations'!$G$238)&gt;0,'01_Stations'!$G$238,"")</f>
        <v/>
      </c>
      <c r="AK221" s="164" t="str">
        <f>IF(N('01_Stations'!$G$239)&gt;0,'01_Stations'!$G$239,"")</f>
        <v/>
      </c>
      <c r="AL221" s="164" t="str">
        <f>IF(N('01_Stations'!$G$240)&gt;0,'01_Stations'!$G$240,"")</f>
        <v/>
      </c>
      <c r="AM221" s="164" t="str">
        <f>IF(N('01_Stations'!$G$241)&gt;0,'01_Stations'!$G$241,"")</f>
        <v/>
      </c>
      <c r="AN221" s="164" t="str">
        <f>IF(N('01_Stations'!$G$242)&gt;0,'01_Stations'!$G$242,"")</f>
        <v/>
      </c>
      <c r="AO221" s="164" t="str">
        <f>IF(N('01_Stations'!$G$243)&gt;0,'01_Stations'!$G$243,"")</f>
        <v/>
      </c>
      <c r="AP221" s="164" t="str">
        <f>IF(N('01_Stations'!$G$244)&gt;0,'01_Stations'!$G$244,"")</f>
        <v/>
      </c>
      <c r="AQ221" s="164" t="str">
        <f>IF(N('01_Stations'!$G$245)&gt;0,'01_Stations'!$G$245,"")</f>
        <v/>
      </c>
    </row>
    <row r="222" spans="1:43" ht="15" customHeight="1" x14ac:dyDescent="0.3">
      <c r="A222" s="236"/>
      <c r="B222" s="165" t="s">
        <v>1866</v>
      </c>
      <c r="C222" s="166" t="s">
        <v>300</v>
      </c>
      <c r="D222" s="164" t="str">
        <f>IF(N('01_Stations'!$H$206)&gt;0,'01_Stations'!$H$206,"")</f>
        <v/>
      </c>
      <c r="E222" s="164" t="str">
        <f>IF(N('01_Stations'!$H$207)&gt;0,'01_Stations'!$H$207,"")</f>
        <v/>
      </c>
      <c r="F222" s="164" t="str">
        <f>IF(N('01_Stations'!$H$208)&gt;0,'01_Stations'!$H$208,"")</f>
        <v/>
      </c>
      <c r="G222" s="164" t="str">
        <f>IF(N('01_Stations'!$H$209)&gt;0,'01_Stations'!$H$209,"")</f>
        <v/>
      </c>
      <c r="H222" s="164" t="str">
        <f>IF(N('01_Stations'!$H$210)&gt;0,'01_Stations'!$H$210,"")</f>
        <v/>
      </c>
      <c r="I222" s="164" t="str">
        <f>IF(N('01_Stations'!$H$211)&gt;0,'01_Stations'!$H$211,"")</f>
        <v/>
      </c>
      <c r="J222" s="164" t="str">
        <f>IF(N('01_Stations'!$H$212)&gt;0,'01_Stations'!$H$212,"")</f>
        <v/>
      </c>
      <c r="K222" s="164" t="str">
        <f>IF(N('01_Stations'!$H$213)&gt;0,'01_Stations'!$H$213,"")</f>
        <v/>
      </c>
      <c r="L222" s="164" t="str">
        <f>IF(N('01_Stations'!$H$214)&gt;0,'01_Stations'!$H$214,"")</f>
        <v/>
      </c>
      <c r="M222" s="164" t="str">
        <f>IF(N('01_Stations'!$H$215)&gt;0,'01_Stations'!$H$215,"")</f>
        <v/>
      </c>
      <c r="N222" s="164" t="str">
        <f>IF(N('01_Stations'!$H$216)&gt;0,'01_Stations'!$H$216,"")</f>
        <v/>
      </c>
      <c r="O222" s="164" t="str">
        <f>IF(N('01_Stations'!$H$217)&gt;0,'01_Stations'!$H$217,"")</f>
        <v/>
      </c>
      <c r="P222" s="164" t="str">
        <f>IF(N('01_Stations'!$H$218)&gt;0,'01_Stations'!$H$218,"")</f>
        <v/>
      </c>
      <c r="Q222" s="164" t="str">
        <f>IF(N('01_Stations'!$H$219)&gt;0,'01_Stations'!$H$219,"")</f>
        <v/>
      </c>
      <c r="R222" s="164" t="str">
        <f>IF(N('01_Stations'!$H$220)&gt;0,'01_Stations'!$H$220,"")</f>
        <v/>
      </c>
      <c r="S222" s="164" t="str">
        <f>IF(N('01_Stations'!$H$221)&gt;0,'01_Stations'!$H$221,"")</f>
        <v/>
      </c>
      <c r="T222" s="164" t="str">
        <f>IF(N('01_Stations'!$H$222)&gt;0,'01_Stations'!$H$222,"")</f>
        <v/>
      </c>
      <c r="U222" s="164" t="str">
        <f>IF(N('01_Stations'!$H$223)&gt;0,'01_Stations'!$H$223,"")</f>
        <v/>
      </c>
      <c r="V222" s="164" t="str">
        <f>IF(N('01_Stations'!$H$224)&gt;0,'01_Stations'!$H$224,"")</f>
        <v/>
      </c>
      <c r="W222" s="164" t="str">
        <f>IF(N('01_Stations'!$H$225)&gt;0,'01_Stations'!$H$225,"")</f>
        <v/>
      </c>
      <c r="X222" s="164" t="str">
        <f>IF(N('01_Stations'!$H$226)&gt;0,'01_Stations'!$H$226,"")</f>
        <v/>
      </c>
      <c r="Y222" s="164" t="str">
        <f>IF(N('01_Stations'!$H$227)&gt;0,'01_Stations'!$H$227,"")</f>
        <v/>
      </c>
      <c r="Z222" s="164" t="str">
        <f>IF(N('01_Stations'!$H$228)&gt;0,'01_Stations'!$H$228,"")</f>
        <v/>
      </c>
      <c r="AA222" s="164" t="str">
        <f>IF(N('01_Stations'!$H$229)&gt;0,'01_Stations'!$H$229,"")</f>
        <v/>
      </c>
      <c r="AB222" s="164" t="str">
        <f>IF(N('01_Stations'!$H$230)&gt;0,'01_Stations'!$H$230,"")</f>
        <v/>
      </c>
      <c r="AC222" s="164" t="str">
        <f>IF(N('01_Stations'!$H$231)&gt;0,'01_Stations'!$H$231,"")</f>
        <v/>
      </c>
      <c r="AD222" s="164" t="str">
        <f>IF(N('01_Stations'!$H$232)&gt;0,'01_Stations'!$H$232,"")</f>
        <v/>
      </c>
      <c r="AE222" s="164" t="str">
        <f>IF(N('01_Stations'!$H$233)&gt;0,'01_Stations'!$H$233,"")</f>
        <v/>
      </c>
      <c r="AF222" s="164" t="str">
        <f>IF(N('01_Stations'!$H$234)&gt;0,'01_Stations'!$H$234,"")</f>
        <v/>
      </c>
      <c r="AG222" s="164" t="str">
        <f>IF(N('01_Stations'!$H$235)&gt;0,'01_Stations'!$H$235,"")</f>
        <v/>
      </c>
      <c r="AH222" s="164" t="str">
        <f>IF(N('01_Stations'!$H$236)&gt;0,'01_Stations'!$H$236,"")</f>
        <v/>
      </c>
      <c r="AI222" s="164" t="str">
        <f>IF(N('01_Stations'!$H$237)&gt;0,'01_Stations'!$H$237,"")</f>
        <v/>
      </c>
      <c r="AJ222" s="164" t="str">
        <f>IF(N('01_Stations'!$H$238)&gt;0,'01_Stations'!$H$238,"")</f>
        <v/>
      </c>
      <c r="AK222" s="164" t="str">
        <f>IF(N('01_Stations'!$H$239)&gt;0,'01_Stations'!$H$239,"")</f>
        <v/>
      </c>
      <c r="AL222" s="164" t="str">
        <f>IF(N('01_Stations'!$H$240)&gt;0,'01_Stations'!$H$240,"")</f>
        <v/>
      </c>
      <c r="AM222" s="164" t="str">
        <f>IF(N('01_Stations'!$H$241)&gt;0,'01_Stations'!$H$241,"")</f>
        <v/>
      </c>
      <c r="AN222" s="164" t="str">
        <f>IF(N('01_Stations'!$H$242)&gt;0,'01_Stations'!$H$242,"")</f>
        <v/>
      </c>
      <c r="AO222" s="164" t="str">
        <f>IF(N('01_Stations'!$H$243)&gt;0,'01_Stations'!$H$243,"")</f>
        <v/>
      </c>
      <c r="AP222" s="164" t="str">
        <f>IF(N('01_Stations'!$H$244)&gt;0,'01_Stations'!$H$244,"")</f>
        <v/>
      </c>
      <c r="AQ222" s="164" t="str">
        <f>IF(N('01_Stations'!$H$245)&gt;0,'01_Stations'!$H$245,"")</f>
        <v/>
      </c>
    </row>
    <row r="223" spans="1:43" ht="15" customHeight="1" x14ac:dyDescent="0.3">
      <c r="A223" s="236"/>
      <c r="B223" s="165" t="s">
        <v>267</v>
      </c>
      <c r="C223" s="166"/>
      <c r="D223" s="164" t="str">
        <f>IF('01_Stations'!$I$206=1,"───","")</f>
        <v/>
      </c>
      <c r="E223" s="164" t="str">
        <f>IF('01_Stations'!$I$207=1,"───","")</f>
        <v/>
      </c>
      <c r="F223" s="164" t="str">
        <f>IF('01_Stations'!$I$208=1,"───","")</f>
        <v/>
      </c>
      <c r="G223" s="164" t="str">
        <f>IF('01_Stations'!$I$209=1,"───","")</f>
        <v/>
      </c>
      <c r="H223" s="164" t="str">
        <f>IF('01_Stations'!$I$210=1,"───","")</f>
        <v/>
      </c>
      <c r="I223" s="164" t="str">
        <f>IF('01_Stations'!$I$211=1,"───","")</f>
        <v/>
      </c>
      <c r="J223" s="164" t="str">
        <f>IF('01_Stations'!$I$212=1,"───","")</f>
        <v/>
      </c>
      <c r="K223" s="164" t="str">
        <f>IF('01_Stations'!$I$213=1,"───","")</f>
        <v/>
      </c>
      <c r="L223" s="164" t="str">
        <f>IF('01_Stations'!$I$214=1,"───","")</f>
        <v/>
      </c>
      <c r="M223" s="164" t="str">
        <f>IF('01_Stations'!$I$215=1,"───","")</f>
        <v/>
      </c>
      <c r="N223" s="164" t="str">
        <f>IF('01_Stations'!$I$216=1,"───","")</f>
        <v/>
      </c>
      <c r="O223" s="164" t="str">
        <f>IF('01_Stations'!$I$217=1,"───","")</f>
        <v/>
      </c>
      <c r="P223" s="164" t="str">
        <f>IF('01_Stations'!$I$218=1,"───","")</f>
        <v/>
      </c>
      <c r="Q223" s="164" t="str">
        <f>IF('01_Stations'!$I$219=1,"───","")</f>
        <v/>
      </c>
      <c r="R223" s="164" t="str">
        <f>IF('01_Stations'!$I$220=1,"───","")</f>
        <v/>
      </c>
      <c r="S223" s="164" t="str">
        <f>IF('01_Stations'!$I$221=1,"───","")</f>
        <v/>
      </c>
      <c r="T223" s="164" t="str">
        <f>IF('01_Stations'!$I$222=1,"───","")</f>
        <v/>
      </c>
      <c r="U223" s="164" t="str">
        <f>IF('01_Stations'!$I$223=1,"───","")</f>
        <v/>
      </c>
      <c r="V223" s="164" t="str">
        <f>IF('01_Stations'!$I$224=1,"───","")</f>
        <v/>
      </c>
      <c r="W223" s="164" t="str">
        <f>IF('01_Stations'!$I$225=1,"───","")</f>
        <v/>
      </c>
      <c r="X223" s="164" t="str">
        <f>IF('01_Stations'!$I$226=1,"───","")</f>
        <v/>
      </c>
      <c r="Y223" s="164" t="str">
        <f>IF('01_Stations'!$I$227=1,"───","")</f>
        <v/>
      </c>
      <c r="Z223" s="164" t="str">
        <f>IF('01_Stations'!$I$228=1,"───","")</f>
        <v/>
      </c>
      <c r="AA223" s="164" t="str">
        <f>IF('01_Stations'!$I$229=1,"───","")</f>
        <v/>
      </c>
      <c r="AB223" s="164" t="str">
        <f>IF('01_Stations'!$I$230=1,"───","")</f>
        <v/>
      </c>
      <c r="AC223" s="164" t="str">
        <f>IF('01_Stations'!$I$231=1,"───","")</f>
        <v/>
      </c>
      <c r="AD223" s="164" t="str">
        <f>IF('01_Stations'!$I$232=1,"───","")</f>
        <v/>
      </c>
      <c r="AE223" s="164" t="str">
        <f>IF('01_Stations'!$I$233=1,"───","")</f>
        <v/>
      </c>
      <c r="AF223" s="164" t="str">
        <f>IF('01_Stations'!$I$234=1,"───","")</f>
        <v/>
      </c>
      <c r="AG223" s="164" t="str">
        <f>IF('01_Stations'!$I$235=1,"───","")</f>
        <v/>
      </c>
      <c r="AH223" s="164" t="str">
        <f>IF('01_Stations'!$I$236=1,"───","")</f>
        <v/>
      </c>
      <c r="AI223" s="164" t="str">
        <f>IF('01_Stations'!$I$237=1,"───","")</f>
        <v/>
      </c>
      <c r="AJ223" s="164" t="str">
        <f>IF('01_Stations'!$I$238=1,"───","")</f>
        <v/>
      </c>
      <c r="AK223" s="164" t="str">
        <f>IF('01_Stations'!$I$239=1,"───","")</f>
        <v/>
      </c>
      <c r="AL223" s="164" t="str">
        <f>IF('01_Stations'!$I$240=1,"───","")</f>
        <v/>
      </c>
      <c r="AM223" s="164" t="str">
        <f>IF('01_Stations'!$I$241=1,"───","")</f>
        <v/>
      </c>
      <c r="AN223" s="164" t="str">
        <f>IF('01_Stations'!$I$242=1,"───","")</f>
        <v/>
      </c>
      <c r="AO223" s="164" t="str">
        <f>IF('01_Stations'!$I$243=1,"───","")</f>
        <v/>
      </c>
      <c r="AP223" s="164" t="str">
        <f>IF('01_Stations'!$I$244=1,"───","")</f>
        <v/>
      </c>
      <c r="AQ223" s="164" t="str">
        <f>IF('01_Stations'!$I$245=1,"───","")</f>
        <v/>
      </c>
    </row>
    <row r="224" spans="1:43" ht="15" customHeight="1" x14ac:dyDescent="0.3">
      <c r="A224" s="236"/>
      <c r="B224" s="165" t="s">
        <v>268</v>
      </c>
      <c r="C224" s="166" t="s">
        <v>299</v>
      </c>
      <c r="D224" s="164" t="str">
        <f>IF(N('01_Stations'!$J$206)&gt;0,'01_Stations'!$J$206,"")</f>
        <v/>
      </c>
      <c r="E224" s="164" t="str">
        <f>IF(N('01_Stations'!$J$207)&gt;0,'01_Stations'!$J$207,"")</f>
        <v/>
      </c>
      <c r="F224" s="164" t="str">
        <f>IF(N('01_Stations'!$J$208)&gt;0,'01_Stations'!$J$208,"")</f>
        <v/>
      </c>
      <c r="G224" s="164" t="str">
        <f>IF(N('01_Stations'!$J$209)&gt;0,'01_Stations'!$J$209,"")</f>
        <v/>
      </c>
      <c r="H224" s="164" t="str">
        <f>IF(N('01_Stations'!$J$210)&gt;0,'01_Stations'!$J$210,"")</f>
        <v/>
      </c>
      <c r="I224" s="164" t="str">
        <f>IF(N('01_Stations'!$J$211)&gt;0,'01_Stations'!$J$211,"")</f>
        <v/>
      </c>
      <c r="J224" s="164" t="str">
        <f>IF(N('01_Stations'!$J$212)&gt;0,'01_Stations'!$J$212,"")</f>
        <v/>
      </c>
      <c r="K224" s="164" t="str">
        <f>IF(N('01_Stations'!$J$213)&gt;0,'01_Stations'!$J$213,"")</f>
        <v/>
      </c>
      <c r="L224" s="164" t="str">
        <f>IF(N('01_Stations'!$J$214)&gt;0,'01_Stations'!$J$214,"")</f>
        <v/>
      </c>
      <c r="M224" s="164" t="str">
        <f>IF(N('01_Stations'!$J$215)&gt;0,'01_Stations'!$J$215,"")</f>
        <v/>
      </c>
      <c r="N224" s="164" t="str">
        <f>IF(N('01_Stations'!$J$216)&gt;0,'01_Stations'!$J$216,"")</f>
        <v/>
      </c>
      <c r="O224" s="164" t="str">
        <f>IF(N('01_Stations'!$J$217)&gt;0,'01_Stations'!$J$217,"")</f>
        <v/>
      </c>
      <c r="P224" s="164" t="str">
        <f>IF(N('01_Stations'!$J$218)&gt;0,'01_Stations'!$J$218,"")</f>
        <v/>
      </c>
      <c r="Q224" s="164" t="str">
        <f>IF(N('01_Stations'!$J$219)&gt;0,'01_Stations'!$J$219,"")</f>
        <v/>
      </c>
      <c r="R224" s="164" t="str">
        <f>IF(N('01_Stations'!$J$220)&gt;0,'01_Stations'!$J$220,"")</f>
        <v/>
      </c>
      <c r="S224" s="164" t="str">
        <f>IF(N('01_Stations'!$J$221)&gt;0,'01_Stations'!$J$221,"")</f>
        <v/>
      </c>
      <c r="T224" s="164" t="str">
        <f>IF(N('01_Stations'!$J$222)&gt;0,'01_Stations'!$J$222,"")</f>
        <v/>
      </c>
      <c r="U224" s="164" t="str">
        <f>IF(N('01_Stations'!$J$223)&gt;0,'01_Stations'!$J$223,"")</f>
        <v/>
      </c>
      <c r="V224" s="164" t="str">
        <f>IF(N('01_Stations'!$J$224)&gt;0,'01_Stations'!$J$224,"")</f>
        <v/>
      </c>
      <c r="W224" s="164" t="str">
        <f>IF(N('01_Stations'!$J$225)&gt;0,'01_Stations'!$J$225,"")</f>
        <v/>
      </c>
      <c r="X224" s="164" t="str">
        <f>IF(N('01_Stations'!$J$226)&gt;0,'01_Stations'!$J$226,"")</f>
        <v/>
      </c>
      <c r="Y224" s="164" t="str">
        <f>IF(N('01_Stations'!$J$227)&gt;0,'01_Stations'!$J$227,"")</f>
        <v/>
      </c>
      <c r="Z224" s="164" t="str">
        <f>IF(N('01_Stations'!$J$228)&gt;0,'01_Stations'!$J$228,"")</f>
        <v/>
      </c>
      <c r="AA224" s="164" t="str">
        <f>IF(N('01_Stations'!$J$229)&gt;0,'01_Stations'!$J$229,"")</f>
        <v/>
      </c>
      <c r="AB224" s="164" t="str">
        <f>IF(N('01_Stations'!$J$230)&gt;0,'01_Stations'!$J$230,"")</f>
        <v/>
      </c>
      <c r="AC224" s="164" t="str">
        <f>IF(N('01_Stations'!$J$231)&gt;0,'01_Stations'!$J$231,"")</f>
        <v/>
      </c>
      <c r="AD224" s="164" t="str">
        <f>IF(N('01_Stations'!$J$232)&gt;0,'01_Stations'!$J$232,"")</f>
        <v/>
      </c>
      <c r="AE224" s="164" t="str">
        <f>IF(N('01_Stations'!$J$233)&gt;0,'01_Stations'!$J$233,"")</f>
        <v/>
      </c>
      <c r="AF224" s="164" t="str">
        <f>IF(N('01_Stations'!$J$234)&gt;0,'01_Stations'!$J$234,"")</f>
        <v/>
      </c>
      <c r="AG224" s="164" t="str">
        <f>IF(N('01_Stations'!$J$235)&gt;0,'01_Stations'!$J$235,"")</f>
        <v/>
      </c>
      <c r="AH224" s="164" t="str">
        <f>IF(N('01_Stations'!$J$236)&gt;0,'01_Stations'!$J$236,"")</f>
        <v/>
      </c>
      <c r="AI224" s="164" t="str">
        <f>IF(N('01_Stations'!$J$237)&gt;0,'01_Stations'!$J$237,"")</f>
        <v/>
      </c>
      <c r="AJ224" s="164" t="str">
        <f>IF(N('01_Stations'!$J$238)&gt;0,'01_Stations'!$J$238,"")</f>
        <v/>
      </c>
      <c r="AK224" s="164" t="str">
        <f>IF(N('01_Stations'!$J$239)&gt;0,'01_Stations'!$J$239,"")</f>
        <v/>
      </c>
      <c r="AL224" s="164" t="str">
        <f>IF(N('01_Stations'!$J$240)&gt;0,'01_Stations'!$J$240,"")</f>
        <v/>
      </c>
      <c r="AM224" s="164" t="str">
        <f>IF(N('01_Stations'!$J$241)&gt;0,'01_Stations'!$J$241,"")</f>
        <v/>
      </c>
      <c r="AN224" s="164" t="str">
        <f>IF(N('01_Stations'!$J$242)&gt;0,'01_Stations'!$J$242,"")</f>
        <v/>
      </c>
      <c r="AO224" s="164" t="str">
        <f>IF(N('01_Stations'!$J$243)&gt;0,'01_Stations'!$J$243,"")</f>
        <v/>
      </c>
      <c r="AP224" s="164" t="str">
        <f>IF(N('01_Stations'!$J$244)&gt;0,'01_Stations'!$J$244,"")</f>
        <v/>
      </c>
      <c r="AQ224" s="164" t="str">
        <f>IF(N('01_Stations'!$J$245)&gt;0,'01_Stations'!$J$245,"")</f>
        <v/>
      </c>
    </row>
    <row r="225" spans="1:43" ht="15" customHeight="1" x14ac:dyDescent="0.3">
      <c r="A225" s="236"/>
      <c r="B225" s="165" t="s">
        <v>2208</v>
      </c>
      <c r="C225" s="166" t="s">
        <v>63</v>
      </c>
      <c r="D225" s="164" t="str">
        <f>IF(N('01_Stations'!$K$206)&gt;0,'01_Stations'!$K$206,"")</f>
        <v/>
      </c>
      <c r="E225" s="164" t="str">
        <f>IF(N('01_Stations'!$K$207)&gt;0,'01_Stations'!$K$207,"")</f>
        <v/>
      </c>
      <c r="F225" s="164" t="str">
        <f>IF(N('01_Stations'!$K$208)&gt;0,'01_Stations'!$K$208,"")</f>
        <v/>
      </c>
      <c r="G225" s="164" t="str">
        <f>IF(N('01_Stations'!$K$209)&gt;0,'01_Stations'!$K$209,"")</f>
        <v/>
      </c>
      <c r="H225" s="164" t="str">
        <f>IF(N('01_Stations'!$K$210)&gt;0,'01_Stations'!$K$210,"")</f>
        <v/>
      </c>
      <c r="I225" s="164" t="str">
        <f>IF(N('01_Stations'!$K$211)&gt;0,'01_Stations'!$K$211,"")</f>
        <v/>
      </c>
      <c r="J225" s="164" t="str">
        <f>IF(N('01_Stations'!$K$212)&gt;0,'01_Stations'!$K$212,"")</f>
        <v/>
      </c>
      <c r="K225" s="164" t="str">
        <f>IF(N('01_Stations'!$K$213)&gt;0,'01_Stations'!$K$213,"")</f>
        <v/>
      </c>
      <c r="L225" s="164" t="str">
        <f>IF(N('01_Stations'!$K$214)&gt;0,'01_Stations'!$K$214,"")</f>
        <v/>
      </c>
      <c r="M225" s="164" t="str">
        <f>IF(N('01_Stations'!$K$215)&gt;0,'01_Stations'!$K$215,"")</f>
        <v/>
      </c>
      <c r="N225" s="164" t="str">
        <f>IF(N('01_Stations'!$K$216)&gt;0,'01_Stations'!$K$216,"")</f>
        <v/>
      </c>
      <c r="O225" s="164" t="str">
        <f>IF(N('01_Stations'!$K$217)&gt;0,'01_Stations'!$K$217,"")</f>
        <v/>
      </c>
      <c r="P225" s="164" t="str">
        <f>IF(N('01_Stations'!$K$218)&gt;0,'01_Stations'!$K$218,"")</f>
        <v/>
      </c>
      <c r="Q225" s="164" t="str">
        <f>IF(N('01_Stations'!$K$219)&gt;0,'01_Stations'!$K$219,"")</f>
        <v/>
      </c>
      <c r="R225" s="164" t="str">
        <f>IF(N('01_Stations'!$K$220)&gt;0,'01_Stations'!$K$220,"")</f>
        <v/>
      </c>
      <c r="S225" s="164" t="str">
        <f>IF(N('01_Stations'!$K$221)&gt;0,'01_Stations'!$K$221,"")</f>
        <v/>
      </c>
      <c r="T225" s="164" t="str">
        <f>IF(N('01_Stations'!$K$222)&gt;0,'01_Stations'!$K$222,"")</f>
        <v/>
      </c>
      <c r="U225" s="164" t="str">
        <f>IF(N('01_Stations'!$K$223)&gt;0,'01_Stations'!$K$223,"")</f>
        <v/>
      </c>
      <c r="V225" s="164" t="str">
        <f>IF(N('01_Stations'!$K$224)&gt;0,'01_Stations'!$K$224,"")</f>
        <v/>
      </c>
      <c r="W225" s="164" t="str">
        <f>IF(N('01_Stations'!$K$225)&gt;0,'01_Stations'!$K$225,"")</f>
        <v/>
      </c>
      <c r="X225" s="164" t="str">
        <f>IF(N('01_Stations'!$K$226)&gt;0,'01_Stations'!$K$226,"")</f>
        <v/>
      </c>
      <c r="Y225" s="164" t="str">
        <f>IF(N('01_Stations'!$K$227)&gt;0,'01_Stations'!$K$227,"")</f>
        <v/>
      </c>
      <c r="Z225" s="164" t="str">
        <f>IF(N('01_Stations'!$K$228)&gt;0,'01_Stations'!$K$228,"")</f>
        <v/>
      </c>
      <c r="AA225" s="164" t="str">
        <f>IF(N('01_Stations'!$K$229)&gt;0,'01_Stations'!$K$229,"")</f>
        <v/>
      </c>
      <c r="AB225" s="164" t="str">
        <f>IF(N('01_Stations'!$K$230)&gt;0,'01_Stations'!$K$230,"")</f>
        <v/>
      </c>
      <c r="AC225" s="164" t="str">
        <f>IF(N('01_Stations'!$K$231)&gt;0,'01_Stations'!$K$231,"")</f>
        <v/>
      </c>
      <c r="AD225" s="164" t="str">
        <f>IF(N('01_Stations'!$K$232)&gt;0,'01_Stations'!$K$232,"")</f>
        <v/>
      </c>
      <c r="AE225" s="164" t="str">
        <f>IF(N('01_Stations'!$K$233)&gt;0,'01_Stations'!$K$233,"")</f>
        <v/>
      </c>
      <c r="AF225" s="164" t="str">
        <f>IF(N('01_Stations'!$K$234)&gt;0,'01_Stations'!$K$234,"")</f>
        <v/>
      </c>
      <c r="AG225" s="164" t="str">
        <f>IF(N('01_Stations'!$K$235)&gt;0,'01_Stations'!$K$235,"")</f>
        <v/>
      </c>
      <c r="AH225" s="164" t="str">
        <f>IF(N('01_Stations'!$K$236)&gt;0,'01_Stations'!$K$236,"")</f>
        <v/>
      </c>
      <c r="AI225" s="164" t="str">
        <f>IF(N('01_Stations'!$K$237)&gt;0,'01_Stations'!$K$237,"")</f>
        <v/>
      </c>
      <c r="AJ225" s="164" t="str">
        <f>IF(N('01_Stations'!$K$238)&gt;0,'01_Stations'!$K$238,"")</f>
        <v/>
      </c>
      <c r="AK225" s="164" t="str">
        <f>IF(N('01_Stations'!$K$239)&gt;0,'01_Stations'!$K$239,"")</f>
        <v/>
      </c>
      <c r="AL225" s="164" t="str">
        <f>IF(N('01_Stations'!$K$240)&gt;0,'01_Stations'!$K$240,"")</f>
        <v/>
      </c>
      <c r="AM225" s="164" t="str">
        <f>IF(N('01_Stations'!$K$241)&gt;0,'01_Stations'!$K$241,"")</f>
        <v/>
      </c>
      <c r="AN225" s="164" t="str">
        <f>IF(N('01_Stations'!$K$242)&gt;0,'01_Stations'!$K$242,"")</f>
        <v/>
      </c>
      <c r="AO225" s="164" t="str">
        <f>IF(N('01_Stations'!$K$243)&gt;0,'01_Stations'!$K$243,"")</f>
        <v/>
      </c>
      <c r="AP225" s="164" t="str">
        <f>IF(N('01_Stations'!$K$244)&gt;0,'01_Stations'!$K$244,"")</f>
        <v/>
      </c>
      <c r="AQ225" s="164" t="str">
        <f>IF(N('01_Stations'!$K$245)&gt;0,'01_Stations'!$K$245,"")</f>
        <v/>
      </c>
    </row>
    <row r="226" spans="1:43" ht="15" customHeight="1" x14ac:dyDescent="0.3">
      <c r="A226" s="236"/>
      <c r="B226" s="165" t="s">
        <v>270</v>
      </c>
      <c r="C226" s="166"/>
      <c r="D226" s="164" t="str">
        <f>IF('01_Stations'!$L$206=1,"───","")</f>
        <v/>
      </c>
      <c r="E226" s="164" t="str">
        <f>IF('01_Stations'!$L$207=1,"───","")</f>
        <v/>
      </c>
      <c r="F226" s="164" t="str">
        <f>IF('01_Stations'!$L$208=1,"───","")</f>
        <v/>
      </c>
      <c r="G226" s="164" t="str">
        <f>IF('01_Stations'!$L$209=1,"───","")</f>
        <v/>
      </c>
      <c r="H226" s="164" t="str">
        <f>IF('01_Stations'!$L$210=1,"───","")</f>
        <v/>
      </c>
      <c r="I226" s="164" t="str">
        <f>IF('01_Stations'!$L$211=1,"───","")</f>
        <v/>
      </c>
      <c r="J226" s="164" t="str">
        <f>IF('01_Stations'!$L$212=1,"───","")</f>
        <v/>
      </c>
      <c r="K226" s="164" t="str">
        <f>IF('01_Stations'!$L$213=1,"───","")</f>
        <v/>
      </c>
      <c r="L226" s="164" t="str">
        <f>IF('01_Stations'!$L$214=1,"───","")</f>
        <v/>
      </c>
      <c r="M226" s="164" t="str">
        <f>IF('01_Stations'!$L$215=1,"───","")</f>
        <v/>
      </c>
      <c r="N226" s="164" t="str">
        <f>IF('01_Stations'!$L$216=1,"───","")</f>
        <v/>
      </c>
      <c r="O226" s="164" t="str">
        <f>IF('01_Stations'!$L$217=1,"───","")</f>
        <v/>
      </c>
      <c r="P226" s="164" t="str">
        <f>IF('01_Stations'!$L$218=1,"───","")</f>
        <v/>
      </c>
      <c r="Q226" s="164" t="str">
        <f>IF('01_Stations'!$L$219=1,"───","")</f>
        <v/>
      </c>
      <c r="R226" s="164" t="str">
        <f>IF('01_Stations'!$L$220=1,"───","")</f>
        <v/>
      </c>
      <c r="S226" s="164" t="str">
        <f>IF('01_Stations'!$L$221=1,"───","")</f>
        <v/>
      </c>
      <c r="T226" s="164" t="str">
        <f>IF('01_Stations'!$L$222=1,"───","")</f>
        <v/>
      </c>
      <c r="U226" s="164" t="str">
        <f>IF('01_Stations'!$L$223=1,"───","")</f>
        <v/>
      </c>
      <c r="V226" s="164" t="str">
        <f>IF('01_Stations'!$L$224=1,"───","")</f>
        <v/>
      </c>
      <c r="W226" s="164" t="str">
        <f>IF('01_Stations'!$L$225=1,"───","")</f>
        <v/>
      </c>
      <c r="X226" s="164" t="str">
        <f>IF('01_Stations'!$L$226=1,"───","")</f>
        <v/>
      </c>
      <c r="Y226" s="164" t="str">
        <f>IF('01_Stations'!$L$227=1,"───","")</f>
        <v/>
      </c>
      <c r="Z226" s="164" t="str">
        <f>IF('01_Stations'!$L$228=1,"───","")</f>
        <v/>
      </c>
      <c r="AA226" s="164" t="str">
        <f>IF('01_Stations'!$L$229=1,"───","")</f>
        <v/>
      </c>
      <c r="AB226" s="164" t="str">
        <f>IF('01_Stations'!$L$230=1,"───","")</f>
        <v/>
      </c>
      <c r="AC226" s="164" t="str">
        <f>IF('01_Stations'!$L$231=1,"───","")</f>
        <v/>
      </c>
      <c r="AD226" s="164" t="str">
        <f>IF('01_Stations'!$L$232=1,"───","")</f>
        <v/>
      </c>
      <c r="AE226" s="164" t="str">
        <f>IF('01_Stations'!$L$233=1,"───","")</f>
        <v/>
      </c>
      <c r="AF226" s="164" t="str">
        <f>IF('01_Stations'!$L$234=1,"───","")</f>
        <v/>
      </c>
      <c r="AG226" s="164" t="str">
        <f>IF('01_Stations'!$L$235=1,"───","")</f>
        <v/>
      </c>
      <c r="AH226" s="164" t="str">
        <f>IF('01_Stations'!$L$236=1,"───","")</f>
        <v/>
      </c>
      <c r="AI226" s="164" t="str">
        <f>IF('01_Stations'!$L$237=1,"───","")</f>
        <v/>
      </c>
      <c r="AJ226" s="164" t="str">
        <f>IF('01_Stations'!$L$238=1,"───","")</f>
        <v/>
      </c>
      <c r="AK226" s="164" t="str">
        <f>IF('01_Stations'!$L$239=1,"───","")</f>
        <v/>
      </c>
      <c r="AL226" s="164" t="str">
        <f>IF('01_Stations'!$L$240=1,"───","")</f>
        <v/>
      </c>
      <c r="AM226" s="164" t="str">
        <f>IF('01_Stations'!$L$241=1,"───","")</f>
        <v/>
      </c>
      <c r="AN226" s="164" t="str">
        <f>IF('01_Stations'!$L$242=1,"───","")</f>
        <v/>
      </c>
      <c r="AO226" s="164" t="str">
        <f>IF('01_Stations'!$L$243=1,"───","")</f>
        <v/>
      </c>
      <c r="AP226" s="164" t="str">
        <f>IF('01_Stations'!$L$244=1,"───","")</f>
        <v/>
      </c>
      <c r="AQ226" s="164" t="str">
        <f>IF('01_Stations'!$L$245=1,"───","")</f>
        <v/>
      </c>
    </row>
    <row r="227" spans="1:43" ht="15" customHeight="1" x14ac:dyDescent="0.3">
      <c r="A227" s="236"/>
      <c r="B227" s="165" t="s">
        <v>265</v>
      </c>
      <c r="C227" s="166" t="s">
        <v>299</v>
      </c>
      <c r="D227" s="164" t="str">
        <f>IF(N('01_Stations'!$M$206)&gt;0,'01_Stations'!$M$206,"")</f>
        <v/>
      </c>
      <c r="E227" s="164" t="str">
        <f>IF(N('01_Stations'!$M$207)&gt;0,'01_Stations'!$M$207,"")</f>
        <v/>
      </c>
      <c r="F227" s="164" t="str">
        <f>IF(N('01_Stations'!$M$208)&gt;0,'01_Stations'!$M$208,"")</f>
        <v/>
      </c>
      <c r="G227" s="164" t="str">
        <f>IF(N('01_Stations'!$M$209)&gt;0,'01_Stations'!$M$209,"")</f>
        <v/>
      </c>
      <c r="H227" s="164" t="str">
        <f>IF(N('01_Stations'!$M$210)&gt;0,'01_Stations'!$M$210,"")</f>
        <v/>
      </c>
      <c r="I227" s="164" t="str">
        <f>IF(N('01_Stations'!$M$211)&gt;0,'01_Stations'!$M$211,"")</f>
        <v/>
      </c>
      <c r="J227" s="164" t="str">
        <f>IF(N('01_Stations'!$M$212)&gt;0,'01_Stations'!$M$212,"")</f>
        <v/>
      </c>
      <c r="K227" s="164" t="str">
        <f>IF(N('01_Stations'!$M$213)&gt;0,'01_Stations'!$M$213,"")</f>
        <v/>
      </c>
      <c r="L227" s="164" t="str">
        <f>IF(N('01_Stations'!$M$214)&gt;0,'01_Stations'!$M$214,"")</f>
        <v/>
      </c>
      <c r="M227" s="164" t="str">
        <f>IF(N('01_Stations'!$M$215)&gt;0,'01_Stations'!$M$215,"")</f>
        <v/>
      </c>
      <c r="N227" s="164" t="str">
        <f>IF(N('01_Stations'!$M$216)&gt;0,'01_Stations'!$M$216,"")</f>
        <v/>
      </c>
      <c r="O227" s="164" t="str">
        <f>IF(N('01_Stations'!$M$217)&gt;0,'01_Stations'!$M$217,"")</f>
        <v/>
      </c>
      <c r="P227" s="164" t="str">
        <f>IF(N('01_Stations'!$M$218)&gt;0,'01_Stations'!$M$218,"")</f>
        <v/>
      </c>
      <c r="Q227" s="164" t="str">
        <f>IF(N('01_Stations'!$M$219)&gt;0,'01_Stations'!$M$219,"")</f>
        <v/>
      </c>
      <c r="R227" s="164" t="str">
        <f>IF(N('01_Stations'!$M$220)&gt;0,'01_Stations'!$M$220,"")</f>
        <v/>
      </c>
      <c r="S227" s="164" t="str">
        <f>IF(N('01_Stations'!$M$221)&gt;0,'01_Stations'!$M$221,"")</f>
        <v/>
      </c>
      <c r="T227" s="164" t="str">
        <f>IF(N('01_Stations'!$M$222)&gt;0,'01_Stations'!$M$222,"")</f>
        <v/>
      </c>
      <c r="U227" s="164" t="str">
        <f>IF(N('01_Stations'!$M$223)&gt;0,'01_Stations'!$M$223,"")</f>
        <v/>
      </c>
      <c r="V227" s="164" t="str">
        <f>IF(N('01_Stations'!$M$224)&gt;0,'01_Stations'!$M$224,"")</f>
        <v/>
      </c>
      <c r="W227" s="164" t="str">
        <f>IF(N('01_Stations'!$M$225)&gt;0,'01_Stations'!$M$225,"")</f>
        <v/>
      </c>
      <c r="X227" s="164" t="str">
        <f>IF(N('01_Stations'!$M$226)&gt;0,'01_Stations'!$M$226,"")</f>
        <v/>
      </c>
      <c r="Y227" s="164" t="str">
        <f>IF(N('01_Stations'!$M$227)&gt;0,'01_Stations'!$M$227,"")</f>
        <v/>
      </c>
      <c r="Z227" s="164" t="str">
        <f>IF(N('01_Stations'!$M$228)&gt;0,'01_Stations'!$M$228,"")</f>
        <v/>
      </c>
      <c r="AA227" s="164" t="str">
        <f>IF(N('01_Stations'!$M$229)&gt;0,'01_Stations'!$M$229,"")</f>
        <v/>
      </c>
      <c r="AB227" s="164" t="str">
        <f>IF(N('01_Stations'!$M$230)&gt;0,'01_Stations'!$M$230,"")</f>
        <v/>
      </c>
      <c r="AC227" s="164" t="str">
        <f>IF(N('01_Stations'!$M$231)&gt;0,'01_Stations'!$M$231,"")</f>
        <v/>
      </c>
      <c r="AD227" s="164" t="str">
        <f>IF(N('01_Stations'!$M$232)&gt;0,'01_Stations'!$M$232,"")</f>
        <v/>
      </c>
      <c r="AE227" s="164" t="str">
        <f>IF(N('01_Stations'!$M$233)&gt;0,'01_Stations'!$M$233,"")</f>
        <v/>
      </c>
      <c r="AF227" s="164" t="str">
        <f>IF(N('01_Stations'!$M$234)&gt;0,'01_Stations'!$M$234,"")</f>
        <v/>
      </c>
      <c r="AG227" s="164" t="str">
        <f>IF(N('01_Stations'!$M$235)&gt;0,'01_Stations'!$M$235,"")</f>
        <v/>
      </c>
      <c r="AH227" s="164" t="str">
        <f>IF(N('01_Stations'!$M$236)&gt;0,'01_Stations'!$M$236,"")</f>
        <v/>
      </c>
      <c r="AI227" s="164" t="str">
        <f>IF(N('01_Stations'!$M$237)&gt;0,'01_Stations'!$M$237,"")</f>
        <v/>
      </c>
      <c r="AJ227" s="164" t="str">
        <f>IF(N('01_Stations'!$M$238)&gt;0,'01_Stations'!$M$238,"")</f>
        <v/>
      </c>
      <c r="AK227" s="164" t="str">
        <f>IF(N('01_Stations'!$M$239)&gt;0,'01_Stations'!$M$239,"")</f>
        <v/>
      </c>
      <c r="AL227" s="164" t="str">
        <f>IF(N('01_Stations'!$M$240)&gt;0,'01_Stations'!$M$240,"")</f>
        <v/>
      </c>
      <c r="AM227" s="164" t="str">
        <f>IF(N('01_Stations'!$M$241)&gt;0,'01_Stations'!$M$241,"")</f>
        <v/>
      </c>
      <c r="AN227" s="164" t="str">
        <f>IF(N('01_Stations'!$M$242)&gt;0,'01_Stations'!$M$242,"")</f>
        <v/>
      </c>
      <c r="AO227" s="164" t="str">
        <f>IF(N('01_Stations'!$M$243)&gt;0,'01_Stations'!$M$243,"")</f>
        <v/>
      </c>
      <c r="AP227" s="164" t="str">
        <f>IF(N('01_Stations'!$M$244)&gt;0,'01_Stations'!$M$244,"")</f>
        <v/>
      </c>
      <c r="AQ227" s="164" t="str">
        <f>IF(N('01_Stations'!$M$245)&gt;0,'01_Stations'!$M$245,"")</f>
        <v/>
      </c>
    </row>
    <row r="228" spans="1:43" ht="15" customHeight="1" x14ac:dyDescent="0.3">
      <c r="A228" s="236"/>
      <c r="B228" s="165" t="s">
        <v>2208</v>
      </c>
      <c r="C228" s="166" t="s">
        <v>63</v>
      </c>
      <c r="D228" s="164" t="str">
        <f>IF(N('01_Stations'!$N$206)&gt;0,'01_Stations'!$N$206,"")</f>
        <v/>
      </c>
      <c r="E228" s="164" t="str">
        <f>IF(N('01_Stations'!$N$207)&gt;0,'01_Stations'!$N$207,"")</f>
        <v/>
      </c>
      <c r="F228" s="164" t="str">
        <f>IF(N('01_Stations'!$N$208)&gt;0,'01_Stations'!$N$208,"")</f>
        <v/>
      </c>
      <c r="G228" s="164" t="str">
        <f>IF(N('01_Stations'!$N$209)&gt;0,'01_Stations'!$N$209,"")</f>
        <v/>
      </c>
      <c r="H228" s="164" t="str">
        <f>IF(N('01_Stations'!$N$210)&gt;0,'01_Stations'!$N$210,"")</f>
        <v/>
      </c>
      <c r="I228" s="164" t="str">
        <f>IF(N('01_Stations'!$N$211)&gt;0,'01_Stations'!$N$211,"")</f>
        <v/>
      </c>
      <c r="J228" s="164" t="str">
        <f>IF(N('01_Stations'!$N$212)&gt;0,'01_Stations'!$N$212,"")</f>
        <v/>
      </c>
      <c r="K228" s="164" t="str">
        <f>IF(N('01_Stations'!$N$213)&gt;0,'01_Stations'!$N$213,"")</f>
        <v/>
      </c>
      <c r="L228" s="164" t="str">
        <f>IF(N('01_Stations'!$N$214)&gt;0,'01_Stations'!$N$214,"")</f>
        <v/>
      </c>
      <c r="M228" s="164" t="str">
        <f>IF(N('01_Stations'!$N$215)&gt;0,'01_Stations'!$N$215,"")</f>
        <v/>
      </c>
      <c r="N228" s="164" t="str">
        <f>IF(N('01_Stations'!$N$216)&gt;0,'01_Stations'!$N$216,"")</f>
        <v/>
      </c>
      <c r="O228" s="164" t="str">
        <f>IF(N('01_Stations'!$N$217)&gt;0,'01_Stations'!$N$217,"")</f>
        <v/>
      </c>
      <c r="P228" s="164" t="str">
        <f>IF(N('01_Stations'!$N$218)&gt;0,'01_Stations'!$N$218,"")</f>
        <v/>
      </c>
      <c r="Q228" s="164" t="str">
        <f>IF(N('01_Stations'!$N$219)&gt;0,'01_Stations'!$N$219,"")</f>
        <v/>
      </c>
      <c r="R228" s="164" t="str">
        <f>IF(N('01_Stations'!$N$220)&gt;0,'01_Stations'!$N$220,"")</f>
        <v/>
      </c>
      <c r="S228" s="164" t="str">
        <f>IF(N('01_Stations'!$N$221)&gt;0,'01_Stations'!$N$221,"")</f>
        <v/>
      </c>
      <c r="T228" s="164" t="str">
        <f>IF(N('01_Stations'!$N$222)&gt;0,'01_Stations'!$N$222,"")</f>
        <v/>
      </c>
      <c r="U228" s="164" t="str">
        <f>IF(N('01_Stations'!$N$223)&gt;0,'01_Stations'!$N$223,"")</f>
        <v/>
      </c>
      <c r="V228" s="164" t="str">
        <f>IF(N('01_Stations'!$N$224)&gt;0,'01_Stations'!$N$224,"")</f>
        <v/>
      </c>
      <c r="W228" s="164" t="str">
        <f>IF(N('01_Stations'!$N$225)&gt;0,'01_Stations'!$N$225,"")</f>
        <v/>
      </c>
      <c r="X228" s="164" t="str">
        <f>IF(N('01_Stations'!$N$226)&gt;0,'01_Stations'!$N$226,"")</f>
        <v/>
      </c>
      <c r="Y228" s="164" t="str">
        <f>IF(N('01_Stations'!$N$227)&gt;0,'01_Stations'!$N$227,"")</f>
        <v/>
      </c>
      <c r="Z228" s="164" t="str">
        <f>IF(N('01_Stations'!$N$228)&gt;0,'01_Stations'!$N$228,"")</f>
        <v/>
      </c>
      <c r="AA228" s="164" t="str">
        <f>IF(N('01_Stations'!$N$229)&gt;0,'01_Stations'!$N$229,"")</f>
        <v/>
      </c>
      <c r="AB228" s="164" t="str">
        <f>IF(N('01_Stations'!$N$230)&gt;0,'01_Stations'!$N$230,"")</f>
        <v/>
      </c>
      <c r="AC228" s="164" t="str">
        <f>IF(N('01_Stations'!$N$231)&gt;0,'01_Stations'!$N$231,"")</f>
        <v/>
      </c>
      <c r="AD228" s="164" t="str">
        <f>IF(N('01_Stations'!$N$232)&gt;0,'01_Stations'!$N$232,"")</f>
        <v/>
      </c>
      <c r="AE228" s="164" t="str">
        <f>IF(N('01_Stations'!$N$233)&gt;0,'01_Stations'!$N$233,"")</f>
        <v/>
      </c>
      <c r="AF228" s="164" t="str">
        <f>IF(N('01_Stations'!$N$234)&gt;0,'01_Stations'!$N$234,"")</f>
        <v/>
      </c>
      <c r="AG228" s="164" t="str">
        <f>IF(N('01_Stations'!$N$235)&gt;0,'01_Stations'!$N$235,"")</f>
        <v/>
      </c>
      <c r="AH228" s="164" t="str">
        <f>IF(N('01_Stations'!$N$236)&gt;0,'01_Stations'!$N$236,"")</f>
        <v/>
      </c>
      <c r="AI228" s="164" t="str">
        <f>IF(N('01_Stations'!$N$237)&gt;0,'01_Stations'!$N$237,"")</f>
        <v/>
      </c>
      <c r="AJ228" s="164" t="str">
        <f>IF(N('01_Stations'!$N$238)&gt;0,'01_Stations'!$N$238,"")</f>
        <v/>
      </c>
      <c r="AK228" s="164" t="str">
        <f>IF(N('01_Stations'!$N$239)&gt;0,'01_Stations'!$N$239,"")</f>
        <v/>
      </c>
      <c r="AL228" s="164" t="str">
        <f>IF(N('01_Stations'!$N$240)&gt;0,'01_Stations'!$N$240,"")</f>
        <v/>
      </c>
      <c r="AM228" s="164" t="str">
        <f>IF(N('01_Stations'!$N$241)&gt;0,'01_Stations'!$N$241,"")</f>
        <v/>
      </c>
      <c r="AN228" s="164" t="str">
        <f>IF(N('01_Stations'!$N$242)&gt;0,'01_Stations'!$N$242,"")</f>
        <v/>
      </c>
      <c r="AO228" s="164" t="str">
        <f>IF(N('01_Stations'!$N$243)&gt;0,'01_Stations'!$N$243,"")</f>
        <v/>
      </c>
      <c r="AP228" s="164" t="str">
        <f>IF(N('01_Stations'!$N$244)&gt;0,'01_Stations'!$N$244,"")</f>
        <v/>
      </c>
      <c r="AQ228" s="164" t="str">
        <f>IF(N('01_Stations'!$N$245)&gt;0,'01_Stations'!$N$245,"")</f>
        <v/>
      </c>
    </row>
    <row r="229" spans="1:43" ht="15" customHeight="1" x14ac:dyDescent="0.3">
      <c r="A229" s="237"/>
      <c r="B229" s="165" t="s">
        <v>2209</v>
      </c>
      <c r="C229" s="166" t="s">
        <v>301</v>
      </c>
      <c r="D229" s="164" t="str">
        <f>IF(N('01_Stations'!$O$206)&gt;0,'01_Stations'!$O$206,"")</f>
        <v/>
      </c>
      <c r="E229" s="164" t="str">
        <f>IF(N('01_Stations'!$O$207)&gt;0,'01_Stations'!$O$207,"")</f>
        <v/>
      </c>
      <c r="F229" s="164" t="str">
        <f>IF(N('01_Stations'!$O$208)&gt;0,'01_Stations'!$O$208,"")</f>
        <v/>
      </c>
      <c r="G229" s="164" t="str">
        <f>IF(N('01_Stations'!$O$209)&gt;0,'01_Stations'!$O$209,"")</f>
        <v/>
      </c>
      <c r="H229" s="164" t="str">
        <f>IF(N('01_Stations'!$O$210)&gt;0,'01_Stations'!$O$210,"")</f>
        <v/>
      </c>
      <c r="I229" s="164" t="str">
        <f>IF(N('01_Stations'!$O$211)&gt;0,'01_Stations'!$O$211,"")</f>
        <v/>
      </c>
      <c r="J229" s="164" t="str">
        <f>IF(N('01_Stations'!$O$212)&gt;0,'01_Stations'!$O$212,"")</f>
        <v/>
      </c>
      <c r="K229" s="164" t="str">
        <f>IF(N('01_Stations'!$O$213)&gt;0,'01_Stations'!$O$213,"")</f>
        <v/>
      </c>
      <c r="L229" s="164" t="str">
        <f>IF(N('01_Stations'!$O$214)&gt;0,'01_Stations'!$O$214,"")</f>
        <v/>
      </c>
      <c r="M229" s="164" t="str">
        <f>IF(N('01_Stations'!$O$215)&gt;0,'01_Stations'!$O$215,"")</f>
        <v/>
      </c>
      <c r="N229" s="164" t="str">
        <f>IF(N('01_Stations'!$O$216)&gt;0,'01_Stations'!$O$216,"")</f>
        <v/>
      </c>
      <c r="O229" s="164" t="str">
        <f>IF(N('01_Stations'!$O$217)&gt;0,'01_Stations'!$O$217,"")</f>
        <v/>
      </c>
      <c r="P229" s="164" t="str">
        <f>IF(N('01_Stations'!$O$218)&gt;0,'01_Stations'!$O$218,"")</f>
        <v/>
      </c>
      <c r="Q229" s="164" t="str">
        <f>IF(N('01_Stations'!$O$219)&gt;0,'01_Stations'!$O$219,"")</f>
        <v/>
      </c>
      <c r="R229" s="164" t="str">
        <f>IF(N('01_Stations'!$O$220)&gt;0,'01_Stations'!$O$220,"")</f>
        <v/>
      </c>
      <c r="S229" s="164" t="str">
        <f>IF(N('01_Stations'!$O$221)&gt;0,'01_Stations'!$O$221,"")</f>
        <v/>
      </c>
      <c r="T229" s="164" t="str">
        <f>IF(N('01_Stations'!$O$222)&gt;0,'01_Stations'!$O$222,"")</f>
        <v/>
      </c>
      <c r="U229" s="164" t="str">
        <f>IF(N('01_Stations'!$O$223)&gt;0,'01_Stations'!$O$223,"")</f>
        <v/>
      </c>
      <c r="V229" s="164" t="str">
        <f>IF(N('01_Stations'!$O$224)&gt;0,'01_Stations'!$O$224,"")</f>
        <v/>
      </c>
      <c r="W229" s="164" t="str">
        <f>IF(N('01_Stations'!$O$225)&gt;0,'01_Stations'!$O$225,"")</f>
        <v/>
      </c>
      <c r="X229" s="164" t="str">
        <f>IF(N('01_Stations'!$O$226)&gt;0,'01_Stations'!$O$226,"")</f>
        <v/>
      </c>
      <c r="Y229" s="164" t="str">
        <f>IF(N('01_Stations'!$O$227)&gt;0,'01_Stations'!$O$227,"")</f>
        <v/>
      </c>
      <c r="Z229" s="164" t="str">
        <f>IF(N('01_Stations'!$O$228)&gt;0,'01_Stations'!$O$228,"")</f>
        <v/>
      </c>
      <c r="AA229" s="164" t="str">
        <f>IF(N('01_Stations'!$O$229)&gt;0,'01_Stations'!$O$229,"")</f>
        <v/>
      </c>
      <c r="AB229" s="164" t="str">
        <f>IF(N('01_Stations'!$O$230)&gt;0,'01_Stations'!$O$230,"")</f>
        <v/>
      </c>
      <c r="AC229" s="164" t="str">
        <f>IF(N('01_Stations'!$O$231)&gt;0,'01_Stations'!$O$231,"")</f>
        <v/>
      </c>
      <c r="AD229" s="164" t="str">
        <f>IF(N('01_Stations'!$O$232)&gt;0,'01_Stations'!$O$232,"")</f>
        <v/>
      </c>
      <c r="AE229" s="164" t="str">
        <f>IF(N('01_Stations'!$O$233)&gt;0,'01_Stations'!$O$233,"")</f>
        <v/>
      </c>
      <c r="AF229" s="164" t="str">
        <f>IF(N('01_Stations'!$O$234)&gt;0,'01_Stations'!$O$234,"")</f>
        <v/>
      </c>
      <c r="AG229" s="164" t="str">
        <f>IF(N('01_Stations'!$O$235)&gt;0,'01_Stations'!$O$235,"")</f>
        <v/>
      </c>
      <c r="AH229" s="164" t="str">
        <f>IF(N('01_Stations'!$O$236)&gt;0,'01_Stations'!$O$236,"")</f>
        <v/>
      </c>
      <c r="AI229" s="164" t="str">
        <f>IF(N('01_Stations'!$O$237)&gt;0,'01_Stations'!$O$237,"")</f>
        <v/>
      </c>
      <c r="AJ229" s="164" t="str">
        <f>IF(N('01_Stations'!$O$238)&gt;0,'01_Stations'!$O$238,"")</f>
        <v/>
      </c>
      <c r="AK229" s="164" t="str">
        <f>IF(N('01_Stations'!$O$239)&gt;0,'01_Stations'!$O$239,"")</f>
        <v/>
      </c>
      <c r="AL229" s="164" t="str">
        <f>IF(N('01_Stations'!$O$240)&gt;0,'01_Stations'!$O$240,"")</f>
        <v/>
      </c>
      <c r="AM229" s="164" t="str">
        <f>IF(N('01_Stations'!$O$241)&gt;0,'01_Stations'!$O$241,"")</f>
        <v/>
      </c>
      <c r="AN229" s="164" t="str">
        <f>IF(N('01_Stations'!$O$242)&gt;0,'01_Stations'!$O$242,"")</f>
        <v/>
      </c>
      <c r="AO229" s="164" t="str">
        <f>IF(N('01_Stations'!$O$243)&gt;0,'01_Stations'!$O$243,"")</f>
        <v/>
      </c>
      <c r="AP229" s="164" t="str">
        <f>IF(N('01_Stations'!$O$244)&gt;0,'01_Stations'!$O$244,"")</f>
        <v/>
      </c>
      <c r="AQ229" s="164" t="str">
        <f>IF(N('01_Stations'!$O$245)&gt;0,'01_Stations'!$O$245,"")</f>
        <v/>
      </c>
    </row>
    <row r="230" spans="1:43" ht="15" customHeight="1" x14ac:dyDescent="0.3">
      <c r="A230" s="238" t="s">
        <v>2210</v>
      </c>
      <c r="B230" s="165" t="s">
        <v>2211</v>
      </c>
      <c r="C230" s="166" t="s">
        <v>1622</v>
      </c>
      <c r="D230" s="164" t="str">
        <f>IF('01_Stations'!$P$206="","",'01_Stations'!$P$206)</f>
        <v/>
      </c>
      <c r="E230" s="164" t="str">
        <f>IF('01_Stations'!$P$207="","",'01_Stations'!$P$207)</f>
        <v/>
      </c>
      <c r="F230" s="164" t="str">
        <f>IF('01_Stations'!$P$208="","",'01_Stations'!$P$208)</f>
        <v/>
      </c>
      <c r="G230" s="164" t="str">
        <f>IF('01_Stations'!$P$209="","",'01_Stations'!$P$209)</f>
        <v/>
      </c>
      <c r="H230" s="164" t="str">
        <f>IF('01_Stations'!$P$210="","",'01_Stations'!$P$210)</f>
        <v/>
      </c>
      <c r="I230" s="164" t="str">
        <f>IF('01_Stations'!$P$211="","",'01_Stations'!$P$211)</f>
        <v/>
      </c>
      <c r="J230" s="164" t="str">
        <f>IF('01_Stations'!$P$212="","",'01_Stations'!$P$212)</f>
        <v/>
      </c>
      <c r="K230" s="164" t="str">
        <f>IF('01_Stations'!$P$213="","",'01_Stations'!$P$213)</f>
        <v/>
      </c>
      <c r="L230" s="164" t="str">
        <f>IF('01_Stations'!$P$214="","",'01_Stations'!$P$214)</f>
        <v/>
      </c>
      <c r="M230" s="164" t="str">
        <f>IF('01_Stations'!$P$215="","",'01_Stations'!$P$215)</f>
        <v/>
      </c>
      <c r="N230" s="164" t="str">
        <f>IF('01_Stations'!$P$216="","",'01_Stations'!$P$216)</f>
        <v/>
      </c>
      <c r="O230" s="164" t="str">
        <f>IF('01_Stations'!$P$217="","",'01_Stations'!$P$217)</f>
        <v/>
      </c>
      <c r="P230" s="164" t="str">
        <f>IF('01_Stations'!$P$218="","",'01_Stations'!$P$218)</f>
        <v/>
      </c>
      <c r="Q230" s="164" t="str">
        <f>IF('01_Stations'!$P$219="","",'01_Stations'!$P$219)</f>
        <v/>
      </c>
      <c r="R230" s="164" t="str">
        <f>IF('01_Stations'!$P$220="","",'01_Stations'!$P$220)</f>
        <v/>
      </c>
      <c r="S230" s="164" t="str">
        <f>IF('01_Stations'!$P$221="","",'01_Stations'!$P$221)</f>
        <v/>
      </c>
      <c r="T230" s="164" t="str">
        <f>IF('01_Stations'!$P$222="","",'01_Stations'!$P$222)</f>
        <v/>
      </c>
      <c r="U230" s="164" t="str">
        <f>IF('01_Stations'!$P$223="","",'01_Stations'!$P$223)</f>
        <v/>
      </c>
      <c r="V230" s="164" t="str">
        <f>IF('01_Stations'!$P$224="","",'01_Stations'!$P$224)</f>
        <v/>
      </c>
      <c r="W230" s="164" t="str">
        <f>IF('01_Stations'!$P$225="","",'01_Stations'!$P$225)</f>
        <v/>
      </c>
      <c r="X230" s="164" t="str">
        <f>IF('01_Stations'!$P$226="","",'01_Stations'!$P$226)</f>
        <v/>
      </c>
      <c r="Y230" s="164" t="str">
        <f>IF('01_Stations'!$P$227="","",'01_Stations'!$P$227)</f>
        <v/>
      </c>
      <c r="Z230" s="164" t="str">
        <f>IF('01_Stations'!$P$228="","",'01_Stations'!$P$228)</f>
        <v/>
      </c>
      <c r="AA230" s="164" t="str">
        <f>IF('01_Stations'!$P$229="","",'01_Stations'!$P$229)</f>
        <v/>
      </c>
      <c r="AB230" s="164" t="str">
        <f>IF('01_Stations'!$P$230="","",'01_Stations'!$P$230)</f>
        <v/>
      </c>
      <c r="AC230" s="164" t="str">
        <f>IF('01_Stations'!$P$231="","",'01_Stations'!$P$231)</f>
        <v/>
      </c>
      <c r="AD230" s="164" t="str">
        <f>IF('01_Stations'!$P$232="","",'01_Stations'!$P$232)</f>
        <v/>
      </c>
      <c r="AE230" s="164" t="str">
        <f>IF('01_Stations'!$P$233="","",'01_Stations'!$P$233)</f>
        <v/>
      </c>
      <c r="AF230" s="164" t="str">
        <f>IF('01_Stations'!$P$234="","",'01_Stations'!$P$234)</f>
        <v/>
      </c>
      <c r="AG230" s="164" t="str">
        <f>IF('01_Stations'!$P$235="","",'01_Stations'!$P$235)</f>
        <v/>
      </c>
      <c r="AH230" s="164" t="str">
        <f>IF('01_Stations'!$P$236="","",'01_Stations'!$P$236)</f>
        <v/>
      </c>
      <c r="AI230" s="164" t="str">
        <f>IF('01_Stations'!$P$237="","",'01_Stations'!$P$237)</f>
        <v/>
      </c>
      <c r="AJ230" s="164" t="str">
        <f>IF('01_Stations'!$P$238="","",'01_Stations'!$P$238)</f>
        <v/>
      </c>
      <c r="AK230" s="164" t="str">
        <f>IF('01_Stations'!$P$239="","",'01_Stations'!$P$239)</f>
        <v/>
      </c>
      <c r="AL230" s="164" t="str">
        <f>IF('01_Stations'!$P$240="","",'01_Stations'!$P$240)</f>
        <v/>
      </c>
      <c r="AM230" s="164" t="str">
        <f>IF('01_Stations'!$P$241="","",'01_Stations'!$P$241)</f>
        <v/>
      </c>
      <c r="AN230" s="164" t="str">
        <f>IF('01_Stations'!$P$242="","",'01_Stations'!$P$242)</f>
        <v/>
      </c>
      <c r="AO230" s="164" t="str">
        <f>IF('01_Stations'!$P$243="","",'01_Stations'!$P$243)</f>
        <v/>
      </c>
      <c r="AP230" s="164" t="str">
        <f>IF('01_Stations'!$P$244="","",'01_Stations'!$P$244)</f>
        <v/>
      </c>
      <c r="AQ230" s="164" t="str">
        <f>IF('01_Stations'!$P$245="","",'01_Stations'!$P$245)</f>
        <v/>
      </c>
    </row>
    <row r="231" spans="1:43" ht="15" customHeight="1" x14ac:dyDescent="0.3">
      <c r="A231" s="236"/>
      <c r="B231" s="165"/>
      <c r="C231" s="166" t="s">
        <v>2212</v>
      </c>
      <c r="D231" s="164" t="str">
        <f>IF('01_Stations'!$Q$206="","",'01_Stations'!$Q$206)</f>
        <v/>
      </c>
      <c r="E231" s="164" t="str">
        <f>IF('01_Stations'!$Q$207="","",'01_Stations'!$Q$207)</f>
        <v/>
      </c>
      <c r="F231" s="164" t="str">
        <f>IF('01_Stations'!$Q$208="","",'01_Stations'!$Q$208)</f>
        <v/>
      </c>
      <c r="G231" s="164" t="str">
        <f>IF('01_Stations'!$Q$209="","",'01_Stations'!$Q$209)</f>
        <v/>
      </c>
      <c r="H231" s="164" t="str">
        <f>IF('01_Stations'!$Q$210="","",'01_Stations'!$Q$210)</f>
        <v/>
      </c>
      <c r="I231" s="164" t="str">
        <f>IF('01_Stations'!$Q$211="","",'01_Stations'!$Q$211)</f>
        <v/>
      </c>
      <c r="J231" s="164" t="str">
        <f>IF('01_Stations'!$Q$212="","",'01_Stations'!$Q$212)</f>
        <v/>
      </c>
      <c r="K231" s="164" t="str">
        <f>IF('01_Stations'!$Q$213="","",'01_Stations'!$Q$213)</f>
        <v/>
      </c>
      <c r="L231" s="164" t="str">
        <f>IF('01_Stations'!$Q$214="","",'01_Stations'!$Q$214)</f>
        <v/>
      </c>
      <c r="M231" s="164" t="str">
        <f>IF('01_Stations'!$Q$215="","",'01_Stations'!$Q$215)</f>
        <v/>
      </c>
      <c r="N231" s="164" t="str">
        <f>IF('01_Stations'!$Q$216="","",'01_Stations'!$Q$216)</f>
        <v/>
      </c>
      <c r="O231" s="164" t="str">
        <f>IF('01_Stations'!$Q$217="","",'01_Stations'!$Q$217)</f>
        <v/>
      </c>
      <c r="P231" s="164" t="str">
        <f>IF('01_Stations'!$Q$218="","",'01_Stations'!$Q$218)</f>
        <v/>
      </c>
      <c r="Q231" s="164" t="str">
        <f>IF('01_Stations'!$Q$219="","",'01_Stations'!$Q$219)</f>
        <v/>
      </c>
      <c r="R231" s="164" t="str">
        <f>IF('01_Stations'!$Q$220="","",'01_Stations'!$Q$220)</f>
        <v/>
      </c>
      <c r="S231" s="164" t="str">
        <f>IF('01_Stations'!$Q$221="","",'01_Stations'!$Q$221)</f>
        <v/>
      </c>
      <c r="T231" s="164" t="str">
        <f>IF('01_Stations'!$Q$222="","",'01_Stations'!$Q$222)</f>
        <v/>
      </c>
      <c r="U231" s="164" t="str">
        <f>IF('01_Stations'!$Q$223="","",'01_Stations'!$Q$223)</f>
        <v/>
      </c>
      <c r="V231" s="164" t="str">
        <f>IF('01_Stations'!$Q$224="","",'01_Stations'!$Q$224)</f>
        <v/>
      </c>
      <c r="W231" s="164" t="str">
        <f>IF('01_Stations'!$Q$225="","",'01_Stations'!$Q$225)</f>
        <v/>
      </c>
      <c r="X231" s="164" t="str">
        <f>IF('01_Stations'!$Q$226="","",'01_Stations'!$Q$226)</f>
        <v/>
      </c>
      <c r="Y231" s="164" t="str">
        <f>IF('01_Stations'!$Q$227="","",'01_Stations'!$Q$227)</f>
        <v/>
      </c>
      <c r="Z231" s="164" t="str">
        <f>IF('01_Stations'!$Q$228="","",'01_Stations'!$Q$228)</f>
        <v/>
      </c>
      <c r="AA231" s="164" t="str">
        <f>IF('01_Stations'!$Q$229="","",'01_Stations'!$Q$229)</f>
        <v/>
      </c>
      <c r="AB231" s="164" t="str">
        <f>IF('01_Stations'!$Q$230="","",'01_Stations'!$Q$230)</f>
        <v/>
      </c>
      <c r="AC231" s="164" t="str">
        <f>IF('01_Stations'!$Q$231="","",'01_Stations'!$Q$231)</f>
        <v/>
      </c>
      <c r="AD231" s="164" t="str">
        <f>IF('01_Stations'!$Q$232="","",'01_Stations'!$Q$232)</f>
        <v/>
      </c>
      <c r="AE231" s="164" t="str">
        <f>IF('01_Stations'!$Q$233="","",'01_Stations'!$Q$233)</f>
        <v/>
      </c>
      <c r="AF231" s="164" t="str">
        <f>IF('01_Stations'!$Q$234="","",'01_Stations'!$Q$234)</f>
        <v/>
      </c>
      <c r="AG231" s="164" t="str">
        <f>IF('01_Stations'!$Q$235="","",'01_Stations'!$Q$235)</f>
        <v/>
      </c>
      <c r="AH231" s="164" t="str">
        <f>IF('01_Stations'!$Q$236="","",'01_Stations'!$Q$236)</f>
        <v/>
      </c>
      <c r="AI231" s="164" t="str">
        <f>IF('01_Stations'!$Q$237="","",'01_Stations'!$Q$237)</f>
        <v/>
      </c>
      <c r="AJ231" s="164" t="str">
        <f>IF('01_Stations'!$Q$238="","",'01_Stations'!$Q$238)</f>
        <v/>
      </c>
      <c r="AK231" s="164" t="str">
        <f>IF('01_Stations'!$Q$239="","",'01_Stations'!$Q$239)</f>
        <v/>
      </c>
      <c r="AL231" s="164" t="str">
        <f>IF('01_Stations'!$Q$240="","",'01_Stations'!$Q$240)</f>
        <v/>
      </c>
      <c r="AM231" s="164" t="str">
        <f>IF('01_Stations'!$Q$241="","",'01_Stations'!$Q$241)</f>
        <v/>
      </c>
      <c r="AN231" s="164" t="str">
        <f>IF('01_Stations'!$Q$242="","",'01_Stations'!$Q$242)</f>
        <v/>
      </c>
      <c r="AO231" s="164" t="str">
        <f>IF('01_Stations'!$Q$243="","",'01_Stations'!$Q$243)</f>
        <v/>
      </c>
      <c r="AP231" s="164" t="str">
        <f>IF('01_Stations'!$Q$244="","",'01_Stations'!$Q$244)</f>
        <v/>
      </c>
      <c r="AQ231" s="164" t="str">
        <f>IF('01_Stations'!$Q$245="","",'01_Stations'!$Q$245)</f>
        <v/>
      </c>
    </row>
    <row r="232" spans="1:43" ht="15" customHeight="1" x14ac:dyDescent="0.3">
      <c r="A232" s="236"/>
      <c r="B232" s="165" t="s">
        <v>2213</v>
      </c>
      <c r="C232" s="166"/>
      <c r="D232" s="164" t="str">
        <f>IF('01_Stations'!$R$206=1,"ϰ",IF('01_Stations'!$R$206=2,"І",IF('01_Stations'!$R$206=3,"╦","")))</f>
        <v/>
      </c>
      <c r="E232" s="164" t="str">
        <f>IF('01_Stations'!$R$207=1,"ϰ",IF('01_Stations'!$R$207=2,"І",IF('01_Stations'!$R$207=3,"╦","")))</f>
        <v/>
      </c>
      <c r="F232" s="164" t="str">
        <f>IF('01_Stations'!$R$208=1,"ϰ",IF('01_Stations'!$R$208=2,"І",IF('01_Stations'!$R$208=3,"╦","")))</f>
        <v/>
      </c>
      <c r="G232" s="164" t="str">
        <f>IF('01_Stations'!$R$209=1,"ϰ",IF('01_Stations'!$R$209=2,"І",IF('01_Stations'!$R$209=3,"╦","")))</f>
        <v/>
      </c>
      <c r="H232" s="164" t="str">
        <f>IF('01_Stations'!$R$210=1,"ϰ",IF('01_Stations'!$R$210=2,"І",IF('01_Stations'!$R$210=3,"╦","")))</f>
        <v/>
      </c>
      <c r="I232" s="164" t="str">
        <f>IF('01_Stations'!$R$211=1,"ϰ",IF('01_Stations'!$R$211=2,"І",IF('01_Stations'!$R$211=3,"╦","")))</f>
        <v/>
      </c>
      <c r="J232" s="164" t="str">
        <f>IF('01_Stations'!$R$212=1,"ϰ",IF('01_Stations'!$R$212=2,"І",IF('01_Stations'!$R$212=3,"╦","")))</f>
        <v/>
      </c>
      <c r="K232" s="164" t="str">
        <f>IF('01_Stations'!$R$213=1,"ϰ",IF('01_Stations'!$R$213=2,"І",IF('01_Stations'!$R$213=3,"╦","")))</f>
        <v/>
      </c>
      <c r="L232" s="164" t="str">
        <f>IF('01_Stations'!$R$214=1,"ϰ",IF('01_Stations'!$R$214=2,"І",IF('01_Stations'!$R$214=3,"╦","")))</f>
        <v/>
      </c>
      <c r="M232" s="164" t="str">
        <f>IF('01_Stations'!$R$215=1,"ϰ",IF('01_Stations'!$R$215=2,"І",IF('01_Stations'!$R$215=3,"╦","")))</f>
        <v/>
      </c>
      <c r="N232" s="164" t="str">
        <f>IF('01_Stations'!$R$216=1,"ϰ",IF('01_Stations'!$R$216=2,"І",IF('01_Stations'!$R$216=3,"╦","")))</f>
        <v/>
      </c>
      <c r="O232" s="164" t="str">
        <f>IF('01_Stations'!$R$217=1,"ϰ",IF('01_Stations'!$R$217=2,"І",IF('01_Stations'!$R$217=3,"╦","")))</f>
        <v/>
      </c>
      <c r="P232" s="164" t="str">
        <f>IF('01_Stations'!$R$218=1,"ϰ",IF('01_Stations'!$R$218=2,"І",IF('01_Stations'!$R$218=3,"╦","")))</f>
        <v/>
      </c>
      <c r="Q232" s="164" t="str">
        <f>IF('01_Stations'!$R$219=1,"ϰ",IF('01_Stations'!$R$219=2,"І",IF('01_Stations'!$R$219=3,"╦","")))</f>
        <v/>
      </c>
      <c r="R232" s="164" t="str">
        <f>IF('01_Stations'!$R$220=1,"ϰ",IF('01_Stations'!$R$220=2,"І",IF('01_Stations'!$R$220=3,"╦","")))</f>
        <v/>
      </c>
      <c r="S232" s="164" t="str">
        <f>IF('01_Stations'!$R$221=1,"ϰ",IF('01_Stations'!$R$221=2,"І",IF('01_Stations'!$R$221=3,"╦","")))</f>
        <v/>
      </c>
      <c r="T232" s="164" t="str">
        <f>IF('01_Stations'!$R$222=1,"ϰ",IF('01_Stations'!$R$222=2,"І",IF('01_Stations'!$R$222=3,"╦","")))</f>
        <v/>
      </c>
      <c r="U232" s="164" t="str">
        <f>IF('01_Stations'!$R$223=1,"ϰ",IF('01_Stations'!$R$223=2,"І",IF('01_Stations'!$R$223=3,"╦","")))</f>
        <v/>
      </c>
      <c r="V232" s="164" t="str">
        <f>IF('01_Stations'!$R$224=1,"ϰ",IF('01_Stations'!$R$224=2,"І",IF('01_Stations'!$R$224=3,"╦","")))</f>
        <v/>
      </c>
      <c r="W232" s="164" t="str">
        <f>IF('01_Stations'!$R$225=1,"ϰ",IF('01_Stations'!$R$225=2,"І",IF('01_Stations'!$R$225=3,"╦","")))</f>
        <v/>
      </c>
      <c r="X232" s="164" t="str">
        <f>IF('01_Stations'!$R$226=1,"ϰ",IF('01_Stations'!$R$226=2,"І",IF('01_Stations'!$R$226=3,"╦","")))</f>
        <v/>
      </c>
      <c r="Y232" s="164" t="str">
        <f>IF('01_Stations'!$R$227=1,"ϰ",IF('01_Stations'!$R$227=2,"І",IF('01_Stations'!$R$227=3,"╦","")))</f>
        <v/>
      </c>
      <c r="Z232" s="164" t="str">
        <f>IF('01_Stations'!$R$228=1,"ϰ",IF('01_Stations'!$R$228=2,"І",IF('01_Stations'!$R$228=3,"╦","")))</f>
        <v/>
      </c>
      <c r="AA232" s="164" t="str">
        <f>IF('01_Stations'!$R$229=1,"ϰ",IF('01_Stations'!$R$229=2,"І",IF('01_Stations'!$R$229=3,"╦","")))</f>
        <v/>
      </c>
      <c r="AB232" s="164" t="str">
        <f>IF('01_Stations'!$R$230=1,"ϰ",IF('01_Stations'!$R$230=2,"І",IF('01_Stations'!$R$230=3,"╦","")))</f>
        <v/>
      </c>
      <c r="AC232" s="164" t="str">
        <f>IF('01_Stations'!$R$231=1,"ϰ",IF('01_Stations'!$R$231=2,"І",IF('01_Stations'!$R$231=3,"╦","")))</f>
        <v/>
      </c>
      <c r="AD232" s="164" t="str">
        <f>IF('01_Stations'!$R$232=1,"ϰ",IF('01_Stations'!$R$232=2,"І",IF('01_Stations'!$R$232=3,"╦","")))</f>
        <v/>
      </c>
      <c r="AE232" s="164" t="str">
        <f>IF('01_Stations'!$R$233=1,"ϰ",IF('01_Stations'!$R$233=2,"І",IF('01_Stations'!$R$233=3,"╦","")))</f>
        <v/>
      </c>
      <c r="AF232" s="164" t="str">
        <f>IF('01_Stations'!$R$234=1,"ϰ",IF('01_Stations'!$R$234=2,"І",IF('01_Stations'!$R$234=3,"╦","")))</f>
        <v/>
      </c>
      <c r="AG232" s="164" t="str">
        <f>IF('01_Stations'!$R$235=1,"ϰ",IF('01_Stations'!$R$235=2,"І",IF('01_Stations'!$R$235=3,"╦","")))</f>
        <v/>
      </c>
      <c r="AH232" s="164" t="str">
        <f>IF('01_Stations'!$R$236=1,"ϰ",IF('01_Stations'!$R$236=2,"І",IF('01_Stations'!$R$236=3,"╦","")))</f>
        <v/>
      </c>
      <c r="AI232" s="164" t="str">
        <f>IF('01_Stations'!$R$237=1,"ϰ",IF('01_Stations'!$R$237=2,"І",IF('01_Stations'!$R$237=3,"╦","")))</f>
        <v/>
      </c>
      <c r="AJ232" s="164" t="str">
        <f>IF('01_Stations'!$R$238=1,"ϰ",IF('01_Stations'!$R$238=2,"І",IF('01_Stations'!$R$238=3,"╦","")))</f>
        <v/>
      </c>
      <c r="AK232" s="164" t="str">
        <f>IF('01_Stations'!$R$239=1,"ϰ",IF('01_Stations'!$R$239=2,"І",IF('01_Stations'!$R$239=3,"╦","")))</f>
        <v/>
      </c>
      <c r="AL232" s="164" t="str">
        <f>IF('01_Stations'!$R$240=1,"ϰ",IF('01_Stations'!$R$240=2,"І",IF('01_Stations'!$R$240=3,"╦","")))</f>
        <v/>
      </c>
      <c r="AM232" s="164" t="str">
        <f>IF('01_Stations'!$R$241=1,"ϰ",IF('01_Stations'!$R$241=2,"І",IF('01_Stations'!$R$241=3,"╦","")))</f>
        <v/>
      </c>
      <c r="AN232" s="164" t="str">
        <f>IF('01_Stations'!$R$242=1,"ϰ",IF('01_Stations'!$R$242=2,"І",IF('01_Stations'!$R$242=3,"╦","")))</f>
        <v/>
      </c>
      <c r="AO232" s="164" t="str">
        <f>IF('01_Stations'!$R$243=1,"ϰ",IF('01_Stations'!$R$243=2,"І",IF('01_Stations'!$R$243=3,"╦","")))</f>
        <v/>
      </c>
      <c r="AP232" s="164" t="str">
        <f>IF('01_Stations'!$R$244=1,"ϰ",IF('01_Stations'!$R$244=2,"І",IF('01_Stations'!$R$244=3,"╦","")))</f>
        <v/>
      </c>
      <c r="AQ232" s="164" t="str">
        <f>IF('01_Stations'!$R$245=1,"ϰ",IF('01_Stations'!$R$245=2,"І",IF('01_Stations'!$R$245=3,"╦","")))</f>
        <v/>
      </c>
    </row>
    <row r="233" spans="1:43" ht="15" customHeight="1" x14ac:dyDescent="0.3">
      <c r="A233" s="236"/>
      <c r="B233" s="165" t="s">
        <v>2214</v>
      </c>
      <c r="C233" s="166"/>
      <c r="D233" s="164" t="str">
        <f>IF('01_Stations'!$S$206=1,"Ӂ",IF('01_Stations'!$S$206=2,"Җ",""))</f>
        <v/>
      </c>
      <c r="E233" s="164" t="str">
        <f>IF('01_Stations'!$S$207=1,"Ӂ",IF('01_Stations'!$S$207=2,"Җ",""))</f>
        <v/>
      </c>
      <c r="F233" s="164" t="str">
        <f>IF('01_Stations'!$S$208=1,"Ӂ",IF('01_Stations'!$S$208=2,"Җ",""))</f>
        <v/>
      </c>
      <c r="G233" s="164" t="str">
        <f>IF('01_Stations'!$S$209=1,"Ӂ",IF('01_Stations'!$S$209=2,"Җ",""))</f>
        <v/>
      </c>
      <c r="H233" s="164" t="str">
        <f>IF('01_Stations'!$S$210=1,"Ӂ",IF('01_Stations'!$S$210=2,"Җ",""))</f>
        <v/>
      </c>
      <c r="I233" s="164" t="str">
        <f>IF('01_Stations'!$S$211=1,"Ӂ",IF('01_Stations'!$S$211=2,"Җ",""))</f>
        <v/>
      </c>
      <c r="J233" s="164" t="str">
        <f>IF('01_Stations'!$S$212=1,"Ӂ",IF('01_Stations'!$S$212=2,"Җ",""))</f>
        <v/>
      </c>
      <c r="K233" s="164" t="str">
        <f>IF('01_Stations'!$S$213=1,"Ӂ",IF('01_Stations'!$S$213=2,"Җ",""))</f>
        <v/>
      </c>
      <c r="L233" s="164" t="str">
        <f>IF('01_Stations'!$S$214=1,"Ӂ",IF('01_Stations'!$S$214=2,"Җ",""))</f>
        <v/>
      </c>
      <c r="M233" s="164" t="str">
        <f>IF('01_Stations'!$S$215=1,"Ӂ",IF('01_Stations'!$S$215=2,"Җ",""))</f>
        <v/>
      </c>
      <c r="N233" s="164" t="str">
        <f>IF('01_Stations'!$S$216=1,"Ӂ",IF('01_Stations'!$S$216=2,"Җ",""))</f>
        <v/>
      </c>
      <c r="O233" s="164" t="str">
        <f>IF('01_Stations'!$S$217=1,"Ӂ",IF('01_Stations'!$S$217=2,"Җ",""))</f>
        <v/>
      </c>
      <c r="P233" s="164" t="str">
        <f>IF('01_Stations'!$S$218=1,"Ӂ",IF('01_Stations'!$S$218=2,"Җ",""))</f>
        <v/>
      </c>
      <c r="Q233" s="164" t="str">
        <f>IF('01_Stations'!$S$219=1,"Ӂ",IF('01_Stations'!$S$219=2,"Җ",""))</f>
        <v/>
      </c>
      <c r="R233" s="164" t="str">
        <f>IF('01_Stations'!$S$220=1,"Ӂ",IF('01_Stations'!$S$220=2,"Җ",""))</f>
        <v/>
      </c>
      <c r="S233" s="164" t="str">
        <f>IF('01_Stations'!$S$221=1,"Ӂ",IF('01_Stations'!$S$221=2,"Җ",""))</f>
        <v/>
      </c>
      <c r="T233" s="164" t="str">
        <f>IF('01_Stations'!$S$222=1,"Ӂ",IF('01_Stations'!$S$222=2,"Җ",""))</f>
        <v/>
      </c>
      <c r="U233" s="164" t="str">
        <f>IF('01_Stations'!$S$223=1,"Ӂ",IF('01_Stations'!$S$223=2,"Җ",""))</f>
        <v/>
      </c>
      <c r="V233" s="164" t="str">
        <f>IF('01_Stations'!$S$224=1,"Ӂ",IF('01_Stations'!$S$224=2,"Җ",""))</f>
        <v/>
      </c>
      <c r="W233" s="164" t="str">
        <f>IF('01_Stations'!$S$225=1,"Ӂ",IF('01_Stations'!$S$225=2,"Җ",""))</f>
        <v/>
      </c>
      <c r="X233" s="164" t="str">
        <f>IF('01_Stations'!$S$226=1,"Ӂ",IF('01_Stations'!$S$226=2,"Җ",""))</f>
        <v/>
      </c>
      <c r="Y233" s="164" t="str">
        <f>IF('01_Stations'!$S$227=1,"Ӂ",IF('01_Stations'!$S$227=2,"Җ",""))</f>
        <v/>
      </c>
      <c r="Z233" s="164" t="str">
        <f>IF('01_Stations'!$S$228=1,"Ӂ",IF('01_Stations'!$S$228=2,"Җ",""))</f>
        <v/>
      </c>
      <c r="AA233" s="164" t="str">
        <f>IF('01_Stations'!$S$229=1,"Ӂ",IF('01_Stations'!$S$229=2,"Җ",""))</f>
        <v/>
      </c>
      <c r="AB233" s="164" t="str">
        <f>IF('01_Stations'!$S$230=1,"Ӂ",IF('01_Stations'!$S$230=2,"Җ",""))</f>
        <v/>
      </c>
      <c r="AC233" s="164" t="str">
        <f>IF('01_Stations'!$S$231=1,"Ӂ",IF('01_Stations'!$S$231=2,"Җ",""))</f>
        <v/>
      </c>
      <c r="AD233" s="164" t="str">
        <f>IF('01_Stations'!$S$232=1,"Ӂ",IF('01_Stations'!$S$232=2,"Җ",""))</f>
        <v/>
      </c>
      <c r="AE233" s="164" t="str">
        <f>IF('01_Stations'!$S$233=1,"Ӂ",IF('01_Stations'!$S$233=2,"Җ",""))</f>
        <v/>
      </c>
      <c r="AF233" s="164" t="str">
        <f>IF('01_Stations'!$S$234=1,"Ӂ",IF('01_Stations'!$S$234=2,"Җ",""))</f>
        <v/>
      </c>
      <c r="AG233" s="164" t="str">
        <f>IF('01_Stations'!$S$235=1,"Ӂ",IF('01_Stations'!$S$235=2,"Җ",""))</f>
        <v/>
      </c>
      <c r="AH233" s="164" t="str">
        <f>IF('01_Stations'!$S$236=1,"Ӂ",IF('01_Stations'!$S$236=2,"Җ",""))</f>
        <v/>
      </c>
      <c r="AI233" s="164" t="str">
        <f>IF('01_Stations'!$S$237=1,"Ӂ",IF('01_Stations'!$S$237=2,"Җ",""))</f>
        <v/>
      </c>
      <c r="AJ233" s="164" t="str">
        <f>IF('01_Stations'!$S$238=1,"Ӂ",IF('01_Stations'!$S$238=2,"Җ",""))</f>
        <v/>
      </c>
      <c r="AK233" s="164" t="str">
        <f>IF('01_Stations'!$S$239=1,"Ӂ",IF('01_Stations'!$S$239=2,"Җ",""))</f>
        <v/>
      </c>
      <c r="AL233" s="164" t="str">
        <f>IF('01_Stations'!$S$240=1,"Ӂ",IF('01_Stations'!$S$240=2,"Җ",""))</f>
        <v/>
      </c>
      <c r="AM233" s="164" t="str">
        <f>IF('01_Stations'!$S$241=1,"Ӂ",IF('01_Stations'!$S$241=2,"Җ",""))</f>
        <v/>
      </c>
      <c r="AN233" s="164" t="str">
        <f>IF('01_Stations'!$S$242=1,"Ӂ",IF('01_Stations'!$S$242=2,"Җ",""))</f>
        <v/>
      </c>
      <c r="AO233" s="164" t="str">
        <f>IF('01_Stations'!$S$243=1,"Ӂ",IF('01_Stations'!$S$243=2,"Җ",""))</f>
        <v/>
      </c>
      <c r="AP233" s="164" t="str">
        <f>IF('01_Stations'!$S$244=1,"Ӂ",IF('01_Stations'!$S$244=2,"Җ",""))</f>
        <v/>
      </c>
      <c r="AQ233" s="164" t="str">
        <f>IF('01_Stations'!$S$245=1,"Ӂ",IF('01_Stations'!$S$245=2,"Җ",""))</f>
        <v/>
      </c>
    </row>
    <row r="234" spans="1:43" ht="15" customHeight="1" x14ac:dyDescent="0.3">
      <c r="A234" s="236"/>
      <c r="B234" s="165" t="s">
        <v>2215</v>
      </c>
      <c r="C234" s="166" t="s">
        <v>1622</v>
      </c>
      <c r="D234" s="164" t="str">
        <f>IF('01_Stations'!$T$206=1,"───","")</f>
        <v/>
      </c>
      <c r="E234" s="164" t="str">
        <f>IF('01_Stations'!$T$207=1,"───","")</f>
        <v/>
      </c>
      <c r="F234" s="164" t="str">
        <f>IF('01_Stations'!$T$208=1,"───","")</f>
        <v/>
      </c>
      <c r="G234" s="164" t="str">
        <f>IF('01_Stations'!$T$209=1,"───","")</f>
        <v/>
      </c>
      <c r="H234" s="164" t="str">
        <f>IF('01_Stations'!$T$210=1,"───","")</f>
        <v/>
      </c>
      <c r="I234" s="164" t="str">
        <f>IF('01_Stations'!$T$211=1,"───","")</f>
        <v/>
      </c>
      <c r="J234" s="164" t="str">
        <f>IF('01_Stations'!$T$212=1,"───","")</f>
        <v/>
      </c>
      <c r="K234" s="164" t="str">
        <f>IF('01_Stations'!$T$213=1,"───","")</f>
        <v/>
      </c>
      <c r="L234" s="164" t="str">
        <f>IF('01_Stations'!$T$214=1,"───","")</f>
        <v/>
      </c>
      <c r="M234" s="164" t="str">
        <f>IF('01_Stations'!$T$215=1,"───","")</f>
        <v/>
      </c>
      <c r="N234" s="164" t="str">
        <f>IF('01_Stations'!$T$216=1,"───","")</f>
        <v/>
      </c>
      <c r="O234" s="164" t="str">
        <f>IF('01_Stations'!$T$217=1,"───","")</f>
        <v/>
      </c>
      <c r="P234" s="164" t="str">
        <f>IF('01_Stations'!$T$218=1,"───","")</f>
        <v/>
      </c>
      <c r="Q234" s="164" t="str">
        <f>IF('01_Stations'!$T$219=1,"───","")</f>
        <v/>
      </c>
      <c r="R234" s="164" t="str">
        <f>IF('01_Stations'!$T$220=1,"───","")</f>
        <v/>
      </c>
      <c r="S234" s="164" t="str">
        <f>IF('01_Stations'!$T$221=1,"───","")</f>
        <v/>
      </c>
      <c r="T234" s="164" t="str">
        <f>IF('01_Stations'!$T$222=1,"───","")</f>
        <v/>
      </c>
      <c r="U234" s="164" t="str">
        <f>IF('01_Stations'!$T$223=1,"───","")</f>
        <v/>
      </c>
      <c r="V234" s="164" t="str">
        <f>IF('01_Stations'!$T$224=1,"───","")</f>
        <v/>
      </c>
      <c r="W234" s="164" t="str">
        <f>IF('01_Stations'!$T$225=1,"───","")</f>
        <v/>
      </c>
      <c r="X234" s="164" t="str">
        <f>IF('01_Stations'!$T$226=1,"───","")</f>
        <v/>
      </c>
      <c r="Y234" s="164" t="str">
        <f>IF('01_Stations'!$T$227=1,"───","")</f>
        <v/>
      </c>
      <c r="Z234" s="164" t="str">
        <f>IF('01_Stations'!$T$228=1,"───","")</f>
        <v/>
      </c>
      <c r="AA234" s="164" t="str">
        <f>IF('01_Stations'!$T$229=1,"───","")</f>
        <v/>
      </c>
      <c r="AB234" s="164" t="str">
        <f>IF('01_Stations'!$T$230=1,"───","")</f>
        <v/>
      </c>
      <c r="AC234" s="164" t="str">
        <f>IF('01_Stations'!$T$231=1,"───","")</f>
        <v/>
      </c>
      <c r="AD234" s="164" t="str">
        <f>IF('01_Stations'!$T$232=1,"───","")</f>
        <v/>
      </c>
      <c r="AE234" s="164" t="str">
        <f>IF('01_Stations'!$T$233=1,"───","")</f>
        <v/>
      </c>
      <c r="AF234" s="164" t="str">
        <f>IF('01_Stations'!$T$234=1,"───","")</f>
        <v/>
      </c>
      <c r="AG234" s="164" t="str">
        <f>IF('01_Stations'!$T$235=1,"───","")</f>
        <v/>
      </c>
      <c r="AH234" s="164" t="str">
        <f>IF('01_Stations'!$T$236=1,"───","")</f>
        <v/>
      </c>
      <c r="AI234" s="164" t="str">
        <f>IF('01_Stations'!$T$237=1,"───","")</f>
        <v/>
      </c>
      <c r="AJ234" s="164" t="str">
        <f>IF('01_Stations'!$T$238=1,"───","")</f>
        <v/>
      </c>
      <c r="AK234" s="164" t="str">
        <f>IF('01_Stations'!$T$239=1,"───","")</f>
        <v/>
      </c>
      <c r="AL234" s="164" t="str">
        <f>IF('01_Stations'!$T$240=1,"───","")</f>
        <v/>
      </c>
      <c r="AM234" s="164" t="str">
        <f>IF('01_Stations'!$T$241=1,"───","")</f>
        <v/>
      </c>
      <c r="AN234" s="164" t="str">
        <f>IF('01_Stations'!$T$242=1,"───","")</f>
        <v/>
      </c>
      <c r="AO234" s="164" t="str">
        <f>IF('01_Stations'!$T$243=1,"───","")</f>
        <v/>
      </c>
      <c r="AP234" s="164" t="str">
        <f>IF('01_Stations'!$T$244=1,"───","")</f>
        <v/>
      </c>
      <c r="AQ234" s="164" t="str">
        <f>IF('01_Stations'!$T$245=1,"───","")</f>
        <v/>
      </c>
    </row>
    <row r="235" spans="1:43" ht="15" customHeight="1" x14ac:dyDescent="0.3">
      <c r="A235" s="236"/>
      <c r="B235" s="165"/>
      <c r="C235" s="166" t="s">
        <v>2216</v>
      </c>
      <c r="D235" s="164" t="str">
        <f>IF(N('01_Stations'!$U$206)&gt;0,'01_Stations'!$U$206,"")</f>
        <v/>
      </c>
      <c r="E235" s="164" t="str">
        <f>IF(N('01_Stations'!$U$207)&gt;0,'01_Stations'!$U$207,"")</f>
        <v/>
      </c>
      <c r="F235" s="164" t="str">
        <f>IF(N('01_Stations'!$U$208)&gt;0,'01_Stations'!$U$208,"")</f>
        <v/>
      </c>
      <c r="G235" s="164" t="str">
        <f>IF(N('01_Stations'!$U$209)&gt;0,'01_Stations'!$U$209,"")</f>
        <v/>
      </c>
      <c r="H235" s="164" t="str">
        <f>IF(N('01_Stations'!$U$210)&gt;0,'01_Stations'!$U$210,"")</f>
        <v/>
      </c>
      <c r="I235" s="164" t="str">
        <f>IF(N('01_Stations'!$U$211)&gt;0,'01_Stations'!$U$211,"")</f>
        <v/>
      </c>
      <c r="J235" s="164" t="str">
        <f>IF(N('01_Stations'!$U$212)&gt;0,'01_Stations'!$U$212,"")</f>
        <v/>
      </c>
      <c r="K235" s="164" t="str">
        <f>IF(N('01_Stations'!$U$213)&gt;0,'01_Stations'!$U$213,"")</f>
        <v/>
      </c>
      <c r="L235" s="164" t="str">
        <f>IF(N('01_Stations'!$U$214)&gt;0,'01_Stations'!$U$214,"")</f>
        <v/>
      </c>
      <c r="M235" s="164" t="str">
        <f>IF(N('01_Stations'!$U$215)&gt;0,'01_Stations'!$U$215,"")</f>
        <v/>
      </c>
      <c r="N235" s="164" t="str">
        <f>IF(N('01_Stations'!$U$216)&gt;0,'01_Stations'!$U$216,"")</f>
        <v/>
      </c>
      <c r="O235" s="164" t="str">
        <f>IF(N('01_Stations'!$U$217)&gt;0,'01_Stations'!$U$217,"")</f>
        <v/>
      </c>
      <c r="P235" s="164" t="str">
        <f>IF(N('01_Stations'!$U$218)&gt;0,'01_Stations'!$U$218,"")</f>
        <v/>
      </c>
      <c r="Q235" s="164" t="str">
        <f>IF(N('01_Stations'!$U$219)&gt;0,'01_Stations'!$U$219,"")</f>
        <v/>
      </c>
      <c r="R235" s="164" t="str">
        <f>IF(N('01_Stations'!$U$220)&gt;0,'01_Stations'!$U$220,"")</f>
        <v/>
      </c>
      <c r="S235" s="164" t="str">
        <f>IF(N('01_Stations'!$U$221)&gt;0,'01_Stations'!$U$221,"")</f>
        <v/>
      </c>
      <c r="T235" s="164" t="str">
        <f>IF(N('01_Stations'!$U$222)&gt;0,'01_Stations'!$U$222,"")</f>
        <v/>
      </c>
      <c r="U235" s="164" t="str">
        <f>IF(N('01_Stations'!$U$223)&gt;0,'01_Stations'!$U$223,"")</f>
        <v/>
      </c>
      <c r="V235" s="164" t="str">
        <f>IF(N('01_Stations'!$U$224)&gt;0,'01_Stations'!$U$224,"")</f>
        <v/>
      </c>
      <c r="W235" s="164" t="str">
        <f>IF(N('01_Stations'!$U$225)&gt;0,'01_Stations'!$U$225,"")</f>
        <v/>
      </c>
      <c r="X235" s="164" t="str">
        <f>IF(N('01_Stations'!$U$226)&gt;0,'01_Stations'!$U$226,"")</f>
        <v/>
      </c>
      <c r="Y235" s="164" t="str">
        <f>IF(N('01_Stations'!$U$227)&gt;0,'01_Stations'!$U$227,"")</f>
        <v/>
      </c>
      <c r="Z235" s="164" t="str">
        <f>IF(N('01_Stations'!$U$228)&gt;0,'01_Stations'!$U$228,"")</f>
        <v/>
      </c>
      <c r="AA235" s="164" t="str">
        <f>IF(N('01_Stations'!$U$229)&gt;0,'01_Stations'!$U$229,"")</f>
        <v/>
      </c>
      <c r="AB235" s="164" t="str">
        <f>IF(N('01_Stations'!$U$230)&gt;0,'01_Stations'!$U$230,"")</f>
        <v/>
      </c>
      <c r="AC235" s="164" t="str">
        <f>IF(N('01_Stations'!$U$231)&gt;0,'01_Stations'!$U$231,"")</f>
        <v/>
      </c>
      <c r="AD235" s="164" t="str">
        <f>IF(N('01_Stations'!$U$232)&gt;0,'01_Stations'!$U$232,"")</f>
        <v/>
      </c>
      <c r="AE235" s="164" t="str">
        <f>IF(N('01_Stations'!$U$233)&gt;0,'01_Stations'!$U$233,"")</f>
        <v/>
      </c>
      <c r="AF235" s="164" t="str">
        <f>IF(N('01_Stations'!$U$234)&gt;0,'01_Stations'!$U$234,"")</f>
        <v/>
      </c>
      <c r="AG235" s="164" t="str">
        <f>IF(N('01_Stations'!$U$235)&gt;0,'01_Stations'!$U$235,"")</f>
        <v/>
      </c>
      <c r="AH235" s="164" t="str">
        <f>IF(N('01_Stations'!$U$236)&gt;0,'01_Stations'!$U$236,"")</f>
        <v/>
      </c>
      <c r="AI235" s="164" t="str">
        <f>IF(N('01_Stations'!$U$237)&gt;0,'01_Stations'!$U$237,"")</f>
        <v/>
      </c>
      <c r="AJ235" s="164" t="str">
        <f>IF(N('01_Stations'!$U$238)&gt;0,'01_Stations'!$U$238,"")</f>
        <v/>
      </c>
      <c r="AK235" s="164" t="str">
        <f>IF(N('01_Stations'!$U$239)&gt;0,'01_Stations'!$U$239,"")</f>
        <v/>
      </c>
      <c r="AL235" s="164" t="str">
        <f>IF(N('01_Stations'!$U$240)&gt;0,'01_Stations'!$U$240,"")</f>
        <v/>
      </c>
      <c r="AM235" s="164" t="str">
        <f>IF(N('01_Stations'!$U$241)&gt;0,'01_Stations'!$U$241,"")</f>
        <v/>
      </c>
      <c r="AN235" s="164" t="str">
        <f>IF(N('01_Stations'!$U$242)&gt;0,'01_Stations'!$U$242,"")</f>
        <v/>
      </c>
      <c r="AO235" s="164" t="str">
        <f>IF(N('01_Stations'!$U$243)&gt;0,'01_Stations'!$U$243,"")</f>
        <v/>
      </c>
      <c r="AP235" s="164" t="str">
        <f>IF(N('01_Stations'!$U$244)&gt;0,'01_Stations'!$U$244,"")</f>
        <v/>
      </c>
      <c r="AQ235" s="164" t="str">
        <f>IF(N('01_Stations'!$U$245)&gt;0,'01_Stations'!$U$245,"")</f>
        <v/>
      </c>
    </row>
    <row r="236" spans="1:43" ht="15" customHeight="1" x14ac:dyDescent="0.3">
      <c r="A236" s="236"/>
      <c r="B236" s="165"/>
      <c r="C236" s="166" t="s">
        <v>2212</v>
      </c>
      <c r="D236" s="164" t="str">
        <f>IF('01_Stations'!$V$206=1,"───","")</f>
        <v/>
      </c>
      <c r="E236" s="164" t="str">
        <f>IF('01_Stations'!$V$207=1,"───","")</f>
        <v/>
      </c>
      <c r="F236" s="164" t="str">
        <f>IF('01_Stations'!$V$208=1,"───","")</f>
        <v/>
      </c>
      <c r="G236" s="164" t="str">
        <f>IF('01_Stations'!$V$209=1,"───","")</f>
        <v/>
      </c>
      <c r="H236" s="164" t="str">
        <f>IF('01_Stations'!$V$210=1,"───","")</f>
        <v/>
      </c>
      <c r="I236" s="164" t="str">
        <f>IF('01_Stations'!$V$211=1,"───","")</f>
        <v/>
      </c>
      <c r="J236" s="164" t="str">
        <f>IF('01_Stations'!$V$212=1,"───","")</f>
        <v/>
      </c>
      <c r="K236" s="164" t="str">
        <f>IF('01_Stations'!$V$213=1,"───","")</f>
        <v/>
      </c>
      <c r="L236" s="164" t="str">
        <f>IF('01_Stations'!$V$214=1,"───","")</f>
        <v/>
      </c>
      <c r="M236" s="164" t="str">
        <f>IF('01_Stations'!$V$215=1,"───","")</f>
        <v/>
      </c>
      <c r="N236" s="164" t="str">
        <f>IF('01_Stations'!$V$216=1,"───","")</f>
        <v/>
      </c>
      <c r="O236" s="164" t="str">
        <f>IF('01_Stations'!$V$217=1,"───","")</f>
        <v/>
      </c>
      <c r="P236" s="164" t="str">
        <f>IF('01_Stations'!$V$218=1,"───","")</f>
        <v/>
      </c>
      <c r="Q236" s="164" t="str">
        <f>IF('01_Stations'!$V$219=1,"───","")</f>
        <v/>
      </c>
      <c r="R236" s="164" t="str">
        <f>IF('01_Stations'!$V$220=1,"───","")</f>
        <v/>
      </c>
      <c r="S236" s="164" t="str">
        <f>IF('01_Stations'!$V$221=1,"───","")</f>
        <v/>
      </c>
      <c r="T236" s="164" t="str">
        <f>IF('01_Stations'!$V$222=1,"───","")</f>
        <v/>
      </c>
      <c r="U236" s="164" t="str">
        <f>IF('01_Stations'!$V$223=1,"───","")</f>
        <v/>
      </c>
      <c r="V236" s="164" t="str">
        <f>IF('01_Stations'!$V$224=1,"───","")</f>
        <v/>
      </c>
      <c r="W236" s="164" t="str">
        <f>IF('01_Stations'!$V$225=1,"───","")</f>
        <v/>
      </c>
      <c r="X236" s="164" t="str">
        <f>IF('01_Stations'!$V$226=1,"───","")</f>
        <v/>
      </c>
      <c r="Y236" s="164" t="str">
        <f>IF('01_Stations'!$V$227=1,"───","")</f>
        <v/>
      </c>
      <c r="Z236" s="164" t="str">
        <f>IF('01_Stations'!$V$228=1,"───","")</f>
        <v/>
      </c>
      <c r="AA236" s="164" t="str">
        <f>IF('01_Stations'!$V$229=1,"───","")</f>
        <v/>
      </c>
      <c r="AB236" s="164" t="str">
        <f>IF('01_Stations'!$V$230=1,"───","")</f>
        <v/>
      </c>
      <c r="AC236" s="164" t="str">
        <f>IF('01_Stations'!$V$231=1,"───","")</f>
        <v/>
      </c>
      <c r="AD236" s="164" t="str">
        <f>IF('01_Stations'!$V$232=1,"───","")</f>
        <v/>
      </c>
      <c r="AE236" s="164" t="str">
        <f>IF('01_Stations'!$V$233=1,"───","")</f>
        <v/>
      </c>
      <c r="AF236" s="164" t="str">
        <f>IF('01_Stations'!$V$234=1,"───","")</f>
        <v/>
      </c>
      <c r="AG236" s="164" t="str">
        <f>IF('01_Stations'!$V$235=1,"───","")</f>
        <v/>
      </c>
      <c r="AH236" s="164" t="str">
        <f>IF('01_Stations'!$V$236=1,"───","")</f>
        <v/>
      </c>
      <c r="AI236" s="164" t="str">
        <f>IF('01_Stations'!$V$237=1,"───","")</f>
        <v/>
      </c>
      <c r="AJ236" s="164" t="str">
        <f>IF('01_Stations'!$V$238=1,"───","")</f>
        <v/>
      </c>
      <c r="AK236" s="164" t="str">
        <f>IF('01_Stations'!$V$239=1,"───","")</f>
        <v/>
      </c>
      <c r="AL236" s="164" t="str">
        <f>IF('01_Stations'!$V$240=1,"───","")</f>
        <v/>
      </c>
      <c r="AM236" s="164" t="str">
        <f>IF('01_Stations'!$V$241=1,"───","")</f>
        <v/>
      </c>
      <c r="AN236" s="164" t="str">
        <f>IF('01_Stations'!$V$242=1,"───","")</f>
        <v/>
      </c>
      <c r="AO236" s="164" t="str">
        <f>IF('01_Stations'!$V$243=1,"───","")</f>
        <v/>
      </c>
      <c r="AP236" s="164" t="str">
        <f>IF('01_Stations'!$V$244=1,"───","")</f>
        <v/>
      </c>
      <c r="AQ236" s="164" t="str">
        <f>IF('01_Stations'!$V$245=1,"───","")</f>
        <v/>
      </c>
    </row>
    <row r="237" spans="1:43" ht="15" customHeight="1" x14ac:dyDescent="0.3">
      <c r="A237" s="236"/>
      <c r="B237" s="165"/>
      <c r="C237" s="166" t="s">
        <v>2216</v>
      </c>
      <c r="D237" s="164" t="str">
        <f>IF(N('01_Stations'!$W$206)&gt;0,'01_Stations'!$W$206,"")</f>
        <v/>
      </c>
      <c r="E237" s="164" t="str">
        <f>IF(N('01_Stations'!$W$207)&gt;0,'01_Stations'!$W$207,"")</f>
        <v/>
      </c>
      <c r="F237" s="164" t="str">
        <f>IF(N('01_Stations'!$W$208)&gt;0,'01_Stations'!$W$208,"")</f>
        <v/>
      </c>
      <c r="G237" s="164" t="str">
        <f>IF(N('01_Stations'!$W$209)&gt;0,'01_Stations'!$W$209,"")</f>
        <v/>
      </c>
      <c r="H237" s="164" t="str">
        <f>IF(N('01_Stations'!$W$210)&gt;0,'01_Stations'!$W$210,"")</f>
        <v/>
      </c>
      <c r="I237" s="164" t="str">
        <f>IF(N('01_Stations'!$W$211)&gt;0,'01_Stations'!$W$211,"")</f>
        <v/>
      </c>
      <c r="J237" s="164" t="str">
        <f>IF(N('01_Stations'!$W$212)&gt;0,'01_Stations'!$W$212,"")</f>
        <v/>
      </c>
      <c r="K237" s="164" t="str">
        <f>IF(N('01_Stations'!$W$213)&gt;0,'01_Stations'!$W$213,"")</f>
        <v/>
      </c>
      <c r="L237" s="164" t="str">
        <f>IF(N('01_Stations'!$W$214)&gt;0,'01_Stations'!$W$214,"")</f>
        <v/>
      </c>
      <c r="M237" s="164" t="str">
        <f>IF(N('01_Stations'!$W$215)&gt;0,'01_Stations'!$W$215,"")</f>
        <v/>
      </c>
      <c r="N237" s="164" t="str">
        <f>IF(N('01_Stations'!$W$216)&gt;0,'01_Stations'!$W$216,"")</f>
        <v/>
      </c>
      <c r="O237" s="164" t="str">
        <f>IF(N('01_Stations'!$W$217)&gt;0,'01_Stations'!$W$217,"")</f>
        <v/>
      </c>
      <c r="P237" s="164" t="str">
        <f>IF(N('01_Stations'!$W$218)&gt;0,'01_Stations'!$W$218,"")</f>
        <v/>
      </c>
      <c r="Q237" s="164" t="str">
        <f>IF(N('01_Stations'!$W$219)&gt;0,'01_Stations'!$W$219,"")</f>
        <v/>
      </c>
      <c r="R237" s="164" t="str">
        <f>IF(N('01_Stations'!$W$220)&gt;0,'01_Stations'!$W$220,"")</f>
        <v/>
      </c>
      <c r="S237" s="164" t="str">
        <f>IF(N('01_Stations'!$W$221)&gt;0,'01_Stations'!$W$221,"")</f>
        <v/>
      </c>
      <c r="T237" s="164" t="str">
        <f>IF(N('01_Stations'!$W$222)&gt;0,'01_Stations'!$W$222,"")</f>
        <v/>
      </c>
      <c r="U237" s="164" t="str">
        <f>IF(N('01_Stations'!$W$223)&gt;0,'01_Stations'!$W$223,"")</f>
        <v/>
      </c>
      <c r="V237" s="164" t="str">
        <f>IF(N('01_Stations'!$W$224)&gt;0,'01_Stations'!$W$224,"")</f>
        <v/>
      </c>
      <c r="W237" s="164" t="str">
        <f>IF(N('01_Stations'!$W$225)&gt;0,'01_Stations'!$W$225,"")</f>
        <v/>
      </c>
      <c r="X237" s="164" t="str">
        <f>IF(N('01_Stations'!$W$226)&gt;0,'01_Stations'!$W$226,"")</f>
        <v/>
      </c>
      <c r="Y237" s="164" t="str">
        <f>IF(N('01_Stations'!$W$227)&gt;0,'01_Stations'!$W$227,"")</f>
        <v/>
      </c>
      <c r="Z237" s="164" t="str">
        <f>IF(N('01_Stations'!$W$228)&gt;0,'01_Stations'!$W$228,"")</f>
        <v/>
      </c>
      <c r="AA237" s="164" t="str">
        <f>IF(N('01_Stations'!$W$229)&gt;0,'01_Stations'!$W$229,"")</f>
        <v/>
      </c>
      <c r="AB237" s="164" t="str">
        <f>IF(N('01_Stations'!$W$230)&gt;0,'01_Stations'!$W$230,"")</f>
        <v/>
      </c>
      <c r="AC237" s="164" t="str">
        <f>IF(N('01_Stations'!$W$231)&gt;0,'01_Stations'!$W$231,"")</f>
        <v/>
      </c>
      <c r="AD237" s="164" t="str">
        <f>IF(N('01_Stations'!$W$232)&gt;0,'01_Stations'!$W$232,"")</f>
        <v/>
      </c>
      <c r="AE237" s="164" t="str">
        <f>IF(N('01_Stations'!$W$233)&gt;0,'01_Stations'!$W$233,"")</f>
        <v/>
      </c>
      <c r="AF237" s="164" t="str">
        <f>IF(N('01_Stations'!$W$234)&gt;0,'01_Stations'!$W$234,"")</f>
        <v/>
      </c>
      <c r="AG237" s="164" t="str">
        <f>IF(N('01_Stations'!$W$235)&gt;0,'01_Stations'!$W$235,"")</f>
        <v/>
      </c>
      <c r="AH237" s="164" t="str">
        <f>IF(N('01_Stations'!$W$236)&gt;0,'01_Stations'!$W$236,"")</f>
        <v/>
      </c>
      <c r="AI237" s="164" t="str">
        <f>IF(N('01_Stations'!$W$237)&gt;0,'01_Stations'!$W$237,"")</f>
        <v/>
      </c>
      <c r="AJ237" s="164" t="str">
        <f>IF(N('01_Stations'!$W$238)&gt;0,'01_Stations'!$W$238,"")</f>
        <v/>
      </c>
      <c r="AK237" s="164" t="str">
        <f>IF(N('01_Stations'!$W$239)&gt;0,'01_Stations'!$W$239,"")</f>
        <v/>
      </c>
      <c r="AL237" s="164" t="str">
        <f>IF(N('01_Stations'!$W$240)&gt;0,'01_Stations'!$W$240,"")</f>
        <v/>
      </c>
      <c r="AM237" s="164" t="str">
        <f>IF(N('01_Stations'!$W$241)&gt;0,'01_Stations'!$W$241,"")</f>
        <v/>
      </c>
      <c r="AN237" s="164" t="str">
        <f>IF(N('01_Stations'!$W$242)&gt;0,'01_Stations'!$W$242,"")</f>
        <v/>
      </c>
      <c r="AO237" s="164" t="str">
        <f>IF(N('01_Stations'!$W$243)&gt;0,'01_Stations'!$W$243,"")</f>
        <v/>
      </c>
      <c r="AP237" s="164" t="str">
        <f>IF(N('01_Stations'!$W$244)&gt;0,'01_Stations'!$W$244,"")</f>
        <v/>
      </c>
      <c r="AQ237" s="164" t="str">
        <f>IF(N('01_Stations'!$W$245)&gt;0,'01_Stations'!$W$245,"")</f>
        <v/>
      </c>
    </row>
    <row r="238" spans="1:43" ht="15" customHeight="1" x14ac:dyDescent="0.3">
      <c r="A238" s="236"/>
      <c r="B238" s="165" t="s">
        <v>2217</v>
      </c>
      <c r="C238" s="166" t="s">
        <v>1622</v>
      </c>
      <c r="D238" s="164" t="str">
        <f>IF('01_Stations'!$X$206=1,"───","")</f>
        <v/>
      </c>
      <c r="E238" s="164" t="str">
        <f>IF('01_Stations'!$X$207=1,"───","")</f>
        <v/>
      </c>
      <c r="F238" s="164" t="str">
        <f>IF('01_Stations'!$X$208=1,"───","")</f>
        <v/>
      </c>
      <c r="G238" s="164" t="str">
        <f>IF('01_Stations'!$X$209=1,"───","")</f>
        <v/>
      </c>
      <c r="H238" s="164" t="str">
        <f>IF('01_Stations'!$X$210=1,"───","")</f>
        <v/>
      </c>
      <c r="I238" s="164" t="str">
        <f>IF('01_Stations'!$X$211=1,"───","")</f>
        <v/>
      </c>
      <c r="J238" s="164" t="str">
        <f>IF('01_Stations'!$X$212=1,"───","")</f>
        <v/>
      </c>
      <c r="K238" s="164" t="str">
        <f>IF('01_Stations'!$X$213=1,"───","")</f>
        <v/>
      </c>
      <c r="L238" s="164" t="str">
        <f>IF('01_Stations'!$X$214=1,"───","")</f>
        <v/>
      </c>
      <c r="M238" s="164" t="str">
        <f>IF('01_Stations'!$X$215=1,"───","")</f>
        <v/>
      </c>
      <c r="N238" s="164" t="str">
        <f>IF('01_Stations'!$X$216=1,"───","")</f>
        <v/>
      </c>
      <c r="O238" s="164" t="str">
        <f>IF('01_Stations'!$X$217=1,"───","")</f>
        <v/>
      </c>
      <c r="P238" s="164" t="str">
        <f>IF('01_Stations'!$X$218=1,"───","")</f>
        <v/>
      </c>
      <c r="Q238" s="164" t="str">
        <f>IF('01_Stations'!$X$219=1,"───","")</f>
        <v/>
      </c>
      <c r="R238" s="164" t="str">
        <f>IF('01_Stations'!$X$220=1,"───","")</f>
        <v/>
      </c>
      <c r="S238" s="164" t="str">
        <f>IF('01_Stations'!$X$221=1,"───","")</f>
        <v/>
      </c>
      <c r="T238" s="164" t="str">
        <f>IF('01_Stations'!$X$222=1,"───","")</f>
        <v/>
      </c>
      <c r="U238" s="164" t="str">
        <f>IF('01_Stations'!$X$223=1,"───","")</f>
        <v/>
      </c>
      <c r="V238" s="164" t="str">
        <f>IF('01_Stations'!$X$224=1,"───","")</f>
        <v/>
      </c>
      <c r="W238" s="164" t="str">
        <f>IF('01_Stations'!$X$225=1,"───","")</f>
        <v/>
      </c>
      <c r="X238" s="164" t="str">
        <f>IF('01_Stations'!$X$226=1,"───","")</f>
        <v/>
      </c>
      <c r="Y238" s="164" t="str">
        <f>IF('01_Stations'!$X$227=1,"───","")</f>
        <v/>
      </c>
      <c r="Z238" s="164" t="str">
        <f>IF('01_Stations'!$X$228=1,"───","")</f>
        <v/>
      </c>
      <c r="AA238" s="164" t="str">
        <f>IF('01_Stations'!$X$229=1,"───","")</f>
        <v/>
      </c>
      <c r="AB238" s="164" t="str">
        <f>IF('01_Stations'!$X$230=1,"───","")</f>
        <v/>
      </c>
      <c r="AC238" s="164" t="str">
        <f>IF('01_Stations'!$X$231=1,"───","")</f>
        <v/>
      </c>
      <c r="AD238" s="164" t="str">
        <f>IF('01_Stations'!$X$232=1,"───","")</f>
        <v/>
      </c>
      <c r="AE238" s="164" t="str">
        <f>IF('01_Stations'!$X$233=1,"───","")</f>
        <v/>
      </c>
      <c r="AF238" s="164" t="str">
        <f>IF('01_Stations'!$X$234=1,"───","")</f>
        <v/>
      </c>
      <c r="AG238" s="164" t="str">
        <f>IF('01_Stations'!$X$235=1,"───","")</f>
        <v/>
      </c>
      <c r="AH238" s="164" t="str">
        <f>IF('01_Stations'!$X$236=1,"───","")</f>
        <v/>
      </c>
      <c r="AI238" s="164" t="str">
        <f>IF('01_Stations'!$X$237=1,"───","")</f>
        <v/>
      </c>
      <c r="AJ238" s="164" t="str">
        <f>IF('01_Stations'!$X$238=1,"───","")</f>
        <v/>
      </c>
      <c r="AK238" s="164" t="str">
        <f>IF('01_Stations'!$X$239=1,"───","")</f>
        <v/>
      </c>
      <c r="AL238" s="164" t="str">
        <f>IF('01_Stations'!$X$240=1,"───","")</f>
        <v/>
      </c>
      <c r="AM238" s="164" t="str">
        <f>IF('01_Stations'!$X$241=1,"───","")</f>
        <v/>
      </c>
      <c r="AN238" s="164" t="str">
        <f>IF('01_Stations'!$X$242=1,"───","")</f>
        <v/>
      </c>
      <c r="AO238" s="164" t="str">
        <f>IF('01_Stations'!$X$243=1,"───","")</f>
        <v/>
      </c>
      <c r="AP238" s="164" t="str">
        <f>IF('01_Stations'!$X$244=1,"───","")</f>
        <v/>
      </c>
      <c r="AQ238" s="164" t="str">
        <f>IF('01_Stations'!$X$245=1,"───","")</f>
        <v/>
      </c>
    </row>
    <row r="239" spans="1:43" ht="15" customHeight="1" x14ac:dyDescent="0.3">
      <c r="A239" s="236"/>
      <c r="B239" s="165"/>
      <c r="C239" s="166" t="s">
        <v>2212</v>
      </c>
      <c r="D239" s="164" t="str">
        <f>IF('01_Stations'!$Y$206=1,"───","")</f>
        <v/>
      </c>
      <c r="E239" s="164" t="str">
        <f>IF('01_Stations'!$Y$207=1,"───","")</f>
        <v/>
      </c>
      <c r="F239" s="164" t="str">
        <f>IF('01_Stations'!$Y$208=1,"───","")</f>
        <v/>
      </c>
      <c r="G239" s="164" t="str">
        <f>IF('01_Stations'!$Y$209=1,"───","")</f>
        <v/>
      </c>
      <c r="H239" s="164" t="str">
        <f>IF('01_Stations'!$Y$210=1,"───","")</f>
        <v/>
      </c>
      <c r="I239" s="164" t="str">
        <f>IF('01_Stations'!$Y$211=1,"───","")</f>
        <v/>
      </c>
      <c r="J239" s="164" t="str">
        <f>IF('01_Stations'!$Y$212=1,"───","")</f>
        <v/>
      </c>
      <c r="K239" s="164" t="str">
        <f>IF('01_Stations'!$Y$213=1,"───","")</f>
        <v/>
      </c>
      <c r="L239" s="164" t="str">
        <f>IF('01_Stations'!$Y$214=1,"───","")</f>
        <v/>
      </c>
      <c r="M239" s="164" t="str">
        <f>IF('01_Stations'!$Y$215=1,"───","")</f>
        <v/>
      </c>
      <c r="N239" s="164" t="str">
        <f>IF('01_Stations'!$Y$216=1,"───","")</f>
        <v/>
      </c>
      <c r="O239" s="164" t="str">
        <f>IF('01_Stations'!$Y$217=1,"───","")</f>
        <v/>
      </c>
      <c r="P239" s="164" t="str">
        <f>IF('01_Stations'!$Y$218=1,"───","")</f>
        <v/>
      </c>
      <c r="Q239" s="164" t="str">
        <f>IF('01_Stations'!$Y$219=1,"───","")</f>
        <v/>
      </c>
      <c r="R239" s="164" t="str">
        <f>IF('01_Stations'!$Y$220=1,"───","")</f>
        <v/>
      </c>
      <c r="S239" s="164" t="str">
        <f>IF('01_Stations'!$Y$221=1,"───","")</f>
        <v/>
      </c>
      <c r="T239" s="164" t="str">
        <f>IF('01_Stations'!$Y$222=1,"───","")</f>
        <v/>
      </c>
      <c r="U239" s="164" t="str">
        <f>IF('01_Stations'!$Y$223=1,"───","")</f>
        <v/>
      </c>
      <c r="V239" s="164" t="str">
        <f>IF('01_Stations'!$Y$224=1,"───","")</f>
        <v/>
      </c>
      <c r="W239" s="164" t="str">
        <f>IF('01_Stations'!$Y$225=1,"───","")</f>
        <v/>
      </c>
      <c r="X239" s="164" t="str">
        <f>IF('01_Stations'!$Y$226=1,"───","")</f>
        <v/>
      </c>
      <c r="Y239" s="164" t="str">
        <f>IF('01_Stations'!$Y$227=1,"───","")</f>
        <v/>
      </c>
      <c r="Z239" s="164" t="str">
        <f>IF('01_Stations'!$Y$228=1,"───","")</f>
        <v/>
      </c>
      <c r="AA239" s="164" t="str">
        <f>IF('01_Stations'!$Y$229=1,"───","")</f>
        <v/>
      </c>
      <c r="AB239" s="164" t="str">
        <f>IF('01_Stations'!$Y$230=1,"───","")</f>
        <v/>
      </c>
      <c r="AC239" s="164" t="str">
        <f>IF('01_Stations'!$Y$231=1,"───","")</f>
        <v/>
      </c>
      <c r="AD239" s="164" t="str">
        <f>IF('01_Stations'!$Y$232=1,"───","")</f>
        <v/>
      </c>
      <c r="AE239" s="164" t="str">
        <f>IF('01_Stations'!$Y$233=1,"───","")</f>
        <v/>
      </c>
      <c r="AF239" s="164" t="str">
        <f>IF('01_Stations'!$Y$234=1,"───","")</f>
        <v/>
      </c>
      <c r="AG239" s="164" t="str">
        <f>IF('01_Stations'!$Y$235=1,"───","")</f>
        <v/>
      </c>
      <c r="AH239" s="164" t="str">
        <f>IF('01_Stations'!$Y$236=1,"───","")</f>
        <v/>
      </c>
      <c r="AI239" s="164" t="str">
        <f>IF('01_Stations'!$Y$237=1,"───","")</f>
        <v/>
      </c>
      <c r="AJ239" s="164" t="str">
        <f>IF('01_Stations'!$Y$238=1,"───","")</f>
        <v/>
      </c>
      <c r="AK239" s="164" t="str">
        <f>IF('01_Stations'!$Y$239=1,"───","")</f>
        <v/>
      </c>
      <c r="AL239" s="164" t="str">
        <f>IF('01_Stations'!$Y$240=1,"───","")</f>
        <v/>
      </c>
      <c r="AM239" s="164" t="str">
        <f>IF('01_Stations'!$Y$241=1,"───","")</f>
        <v/>
      </c>
      <c r="AN239" s="164" t="str">
        <f>IF('01_Stations'!$Y$242=1,"───","")</f>
        <v/>
      </c>
      <c r="AO239" s="164" t="str">
        <f>IF('01_Stations'!$Y$243=1,"───","")</f>
        <v/>
      </c>
      <c r="AP239" s="164" t="str">
        <f>IF('01_Stations'!$Y$244=1,"───","")</f>
        <v/>
      </c>
      <c r="AQ239" s="164" t="str">
        <f>IF('01_Stations'!$Y$245=1,"───","")</f>
        <v/>
      </c>
    </row>
    <row r="240" spans="1:43" ht="15" customHeight="1" x14ac:dyDescent="0.3">
      <c r="A240" s="236"/>
      <c r="B240" s="165" t="s">
        <v>2218</v>
      </c>
      <c r="C240" s="166" t="s">
        <v>1622</v>
      </c>
      <c r="D240" s="164" t="str">
        <f>IF('01_Stations'!$Z$206=1,"───","")</f>
        <v/>
      </c>
      <c r="E240" s="164" t="str">
        <f>IF('01_Stations'!$Z$207=1,"───","")</f>
        <v/>
      </c>
      <c r="F240" s="164" t="str">
        <f>IF('01_Stations'!$Z$208=1,"───","")</f>
        <v/>
      </c>
      <c r="G240" s="164" t="str">
        <f>IF('01_Stations'!$Z$209=1,"───","")</f>
        <v/>
      </c>
      <c r="H240" s="164" t="str">
        <f>IF('01_Stations'!$Z$210=1,"───","")</f>
        <v/>
      </c>
      <c r="I240" s="164" t="str">
        <f>IF('01_Stations'!$Z$211=1,"───","")</f>
        <v/>
      </c>
      <c r="J240" s="164" t="str">
        <f>IF('01_Stations'!$Z$212=1,"───","")</f>
        <v/>
      </c>
      <c r="K240" s="164" t="str">
        <f>IF('01_Stations'!$Z$213=1,"───","")</f>
        <v/>
      </c>
      <c r="L240" s="164" t="str">
        <f>IF('01_Stations'!$Z$214=1,"───","")</f>
        <v/>
      </c>
      <c r="M240" s="164" t="str">
        <f>IF('01_Stations'!$Z$215=1,"───","")</f>
        <v/>
      </c>
      <c r="N240" s="164" t="str">
        <f>IF('01_Stations'!$Z$216=1,"───","")</f>
        <v/>
      </c>
      <c r="O240" s="164" t="str">
        <f>IF('01_Stations'!$Z$217=1,"───","")</f>
        <v/>
      </c>
      <c r="P240" s="164" t="str">
        <f>IF('01_Stations'!$Z$218=1,"───","")</f>
        <v/>
      </c>
      <c r="Q240" s="164" t="str">
        <f>IF('01_Stations'!$Z$219=1,"───","")</f>
        <v/>
      </c>
      <c r="R240" s="164" t="str">
        <f>IF('01_Stations'!$Z$220=1,"───","")</f>
        <v/>
      </c>
      <c r="S240" s="164" t="str">
        <f>IF('01_Stations'!$Z$221=1,"───","")</f>
        <v/>
      </c>
      <c r="T240" s="164" t="str">
        <f>IF('01_Stations'!$Z$222=1,"───","")</f>
        <v/>
      </c>
      <c r="U240" s="164" t="str">
        <f>IF('01_Stations'!$Z$223=1,"───","")</f>
        <v/>
      </c>
      <c r="V240" s="164" t="str">
        <f>IF('01_Stations'!$Z$224=1,"───","")</f>
        <v/>
      </c>
      <c r="W240" s="164" t="str">
        <f>IF('01_Stations'!$Z$225=1,"───","")</f>
        <v/>
      </c>
      <c r="X240" s="164" t="str">
        <f>IF('01_Stations'!$Z$226=1,"───","")</f>
        <v/>
      </c>
      <c r="Y240" s="164" t="str">
        <f>IF('01_Stations'!$Z$227=1,"───","")</f>
        <v/>
      </c>
      <c r="Z240" s="164" t="str">
        <f>IF('01_Stations'!$Z$228=1,"───","")</f>
        <v/>
      </c>
      <c r="AA240" s="164" t="str">
        <f>IF('01_Stations'!$Z$229=1,"───","")</f>
        <v/>
      </c>
      <c r="AB240" s="164" t="str">
        <f>IF('01_Stations'!$Z$230=1,"───","")</f>
        <v/>
      </c>
      <c r="AC240" s="164" t="str">
        <f>IF('01_Stations'!$Z$231=1,"───","")</f>
        <v/>
      </c>
      <c r="AD240" s="164" t="str">
        <f>IF('01_Stations'!$Z$232=1,"───","")</f>
        <v/>
      </c>
      <c r="AE240" s="164" t="str">
        <f>IF('01_Stations'!$Z$233=1,"───","")</f>
        <v/>
      </c>
      <c r="AF240" s="164" t="str">
        <f>IF('01_Stations'!$Z$234=1,"───","")</f>
        <v/>
      </c>
      <c r="AG240" s="164" t="str">
        <f>IF('01_Stations'!$Z$235=1,"───","")</f>
        <v/>
      </c>
      <c r="AH240" s="164" t="str">
        <f>IF('01_Stations'!$Z$236=1,"───","")</f>
        <v/>
      </c>
      <c r="AI240" s="164" t="str">
        <f>IF('01_Stations'!$Z$237=1,"───","")</f>
        <v/>
      </c>
      <c r="AJ240" s="164" t="str">
        <f>IF('01_Stations'!$Z$238=1,"───","")</f>
        <v/>
      </c>
      <c r="AK240" s="164" t="str">
        <f>IF('01_Stations'!$Z$239=1,"───","")</f>
        <v/>
      </c>
      <c r="AL240" s="164" t="str">
        <f>IF('01_Stations'!$Z$240=1,"───","")</f>
        <v/>
      </c>
      <c r="AM240" s="164" t="str">
        <f>IF('01_Stations'!$Z$241=1,"───","")</f>
        <v/>
      </c>
      <c r="AN240" s="164" t="str">
        <f>IF('01_Stations'!$Z$242=1,"───","")</f>
        <v/>
      </c>
      <c r="AO240" s="164" t="str">
        <f>IF('01_Stations'!$Z$243=1,"───","")</f>
        <v/>
      </c>
      <c r="AP240" s="164" t="str">
        <f>IF('01_Stations'!$Z$244=1,"───","")</f>
        <v/>
      </c>
      <c r="AQ240" s="164" t="str">
        <f>IF('01_Stations'!$Z$245=1,"───","")</f>
        <v/>
      </c>
    </row>
    <row r="241" spans="1:43" ht="15" customHeight="1" x14ac:dyDescent="0.3">
      <c r="A241" s="236"/>
      <c r="B241" s="165"/>
      <c r="C241" s="166" t="s">
        <v>2212</v>
      </c>
      <c r="D241" s="164" t="str">
        <f>IF('01_Stations'!$AA$206=1,"───","")</f>
        <v/>
      </c>
      <c r="E241" s="164" t="str">
        <f>IF('01_Stations'!$AA$207=1,"───","")</f>
        <v/>
      </c>
      <c r="F241" s="164" t="str">
        <f>IF('01_Stations'!$AA$208=1,"───","")</f>
        <v/>
      </c>
      <c r="G241" s="164" t="str">
        <f>IF('01_Stations'!$AA$209=1,"───","")</f>
        <v/>
      </c>
      <c r="H241" s="164" t="str">
        <f>IF('01_Stations'!$AA$210=1,"───","")</f>
        <v/>
      </c>
      <c r="I241" s="164" t="str">
        <f>IF('01_Stations'!$AA$211=1,"───","")</f>
        <v/>
      </c>
      <c r="J241" s="164" t="str">
        <f>IF('01_Stations'!$AA$212=1,"───","")</f>
        <v/>
      </c>
      <c r="K241" s="164" t="str">
        <f>IF('01_Stations'!$AA$213=1,"───","")</f>
        <v/>
      </c>
      <c r="L241" s="164" t="str">
        <f>IF('01_Stations'!$AA$214=1,"───","")</f>
        <v/>
      </c>
      <c r="M241" s="164" t="str">
        <f>IF('01_Stations'!$AA$215=1,"───","")</f>
        <v/>
      </c>
      <c r="N241" s="164" t="str">
        <f>IF('01_Stations'!$AA$216=1,"───","")</f>
        <v/>
      </c>
      <c r="O241" s="164" t="str">
        <f>IF('01_Stations'!$AA$217=1,"───","")</f>
        <v/>
      </c>
      <c r="P241" s="164" t="str">
        <f>IF('01_Stations'!$AA$218=1,"───","")</f>
        <v/>
      </c>
      <c r="Q241" s="164" t="str">
        <f>IF('01_Stations'!$AA$219=1,"───","")</f>
        <v/>
      </c>
      <c r="R241" s="164" t="str">
        <f>IF('01_Stations'!$AA$220=1,"───","")</f>
        <v/>
      </c>
      <c r="S241" s="164" t="str">
        <f>IF('01_Stations'!$AA$221=1,"───","")</f>
        <v/>
      </c>
      <c r="T241" s="164" t="str">
        <f>IF('01_Stations'!$AA$222=1,"───","")</f>
        <v/>
      </c>
      <c r="U241" s="164" t="str">
        <f>IF('01_Stations'!$AA$223=1,"───","")</f>
        <v/>
      </c>
      <c r="V241" s="164" t="str">
        <f>IF('01_Stations'!$AA$224=1,"───","")</f>
        <v/>
      </c>
      <c r="W241" s="164" t="str">
        <f>IF('01_Stations'!$AA$225=1,"───","")</f>
        <v/>
      </c>
      <c r="X241" s="164" t="str">
        <f>IF('01_Stations'!$AA$226=1,"───","")</f>
        <v/>
      </c>
      <c r="Y241" s="164" t="str">
        <f>IF('01_Stations'!$AA$227=1,"───","")</f>
        <v/>
      </c>
      <c r="Z241" s="164" t="str">
        <f>IF('01_Stations'!$AA$228=1,"───","")</f>
        <v/>
      </c>
      <c r="AA241" s="164" t="str">
        <f>IF('01_Stations'!$AA$229=1,"───","")</f>
        <v/>
      </c>
      <c r="AB241" s="164" t="str">
        <f>IF('01_Stations'!$AA$230=1,"───","")</f>
        <v/>
      </c>
      <c r="AC241" s="164" t="str">
        <f>IF('01_Stations'!$AA$231=1,"───","")</f>
        <v/>
      </c>
      <c r="AD241" s="164" t="str">
        <f>IF('01_Stations'!$AA$232=1,"───","")</f>
        <v/>
      </c>
      <c r="AE241" s="164" t="str">
        <f>IF('01_Stations'!$AA$233=1,"───","")</f>
        <v/>
      </c>
      <c r="AF241" s="164" t="str">
        <f>IF('01_Stations'!$AA$234=1,"───","")</f>
        <v/>
      </c>
      <c r="AG241" s="164" t="str">
        <f>IF('01_Stations'!$AA$235=1,"───","")</f>
        <v/>
      </c>
      <c r="AH241" s="164" t="str">
        <f>IF('01_Stations'!$AA$236=1,"───","")</f>
        <v/>
      </c>
      <c r="AI241" s="164" t="str">
        <f>IF('01_Stations'!$AA$237=1,"───","")</f>
        <v/>
      </c>
      <c r="AJ241" s="164" t="str">
        <f>IF('01_Stations'!$AA$238=1,"───","")</f>
        <v/>
      </c>
      <c r="AK241" s="164" t="str">
        <f>IF('01_Stations'!$AA$239=1,"───","")</f>
        <v/>
      </c>
      <c r="AL241" s="164" t="str">
        <f>IF('01_Stations'!$AA$240=1,"───","")</f>
        <v/>
      </c>
      <c r="AM241" s="164" t="str">
        <f>IF('01_Stations'!$AA$241=1,"───","")</f>
        <v/>
      </c>
      <c r="AN241" s="164" t="str">
        <f>IF('01_Stations'!$AA$242=1,"───","")</f>
        <v/>
      </c>
      <c r="AO241" s="164" t="str">
        <f>IF('01_Stations'!$AA$243=1,"───","")</f>
        <v/>
      </c>
      <c r="AP241" s="164" t="str">
        <f>IF('01_Stations'!$AA$244=1,"───","")</f>
        <v/>
      </c>
      <c r="AQ241" s="164" t="str">
        <f>IF('01_Stations'!$AA$245=1,"───","")</f>
        <v/>
      </c>
    </row>
    <row r="242" spans="1:43" ht="15" customHeight="1" x14ac:dyDescent="0.3">
      <c r="A242" s="236"/>
      <c r="B242" s="165" t="s">
        <v>200</v>
      </c>
      <c r="C242" s="166" t="s">
        <v>2219</v>
      </c>
      <c r="D242" s="164" t="str">
        <f>IF('01_Stations'!$AB$206=1,"───","")</f>
        <v/>
      </c>
      <c r="E242" s="164" t="str">
        <f>IF('01_Stations'!$AB$207=1,"───","")</f>
        <v/>
      </c>
      <c r="F242" s="164" t="str">
        <f>IF('01_Stations'!$AB$208=1,"───","")</f>
        <v/>
      </c>
      <c r="G242" s="164" t="str">
        <f>IF('01_Stations'!$AB$209=1,"───","")</f>
        <v/>
      </c>
      <c r="H242" s="164" t="str">
        <f>IF('01_Stations'!$AB$210=1,"───","")</f>
        <v/>
      </c>
      <c r="I242" s="164" t="str">
        <f>IF('01_Stations'!$AB$211=1,"───","")</f>
        <v/>
      </c>
      <c r="J242" s="164" t="str">
        <f>IF('01_Stations'!$AB$212=1,"───","")</f>
        <v/>
      </c>
      <c r="K242" s="164" t="str">
        <f>IF('01_Stations'!$AB$213=1,"───","")</f>
        <v/>
      </c>
      <c r="L242" s="164" t="str">
        <f>IF('01_Stations'!$AB$214=1,"───","")</f>
        <v/>
      </c>
      <c r="M242" s="164" t="str">
        <f>IF('01_Stations'!$AB$215=1,"───","")</f>
        <v/>
      </c>
      <c r="N242" s="164" t="str">
        <f>IF('01_Stations'!$AB$216=1,"───","")</f>
        <v/>
      </c>
      <c r="O242" s="164" t="str">
        <f>IF('01_Stations'!$AB$217=1,"───","")</f>
        <v/>
      </c>
      <c r="P242" s="164" t="str">
        <f>IF('01_Stations'!$AB$218=1,"───","")</f>
        <v/>
      </c>
      <c r="Q242" s="164" t="str">
        <f>IF('01_Stations'!$AB$219=1,"───","")</f>
        <v/>
      </c>
      <c r="R242" s="164" t="str">
        <f>IF('01_Stations'!$AB$220=1,"───","")</f>
        <v/>
      </c>
      <c r="S242" s="164" t="str">
        <f>IF('01_Stations'!$AB$221=1,"───","")</f>
        <v/>
      </c>
      <c r="T242" s="164" t="str">
        <f>IF('01_Stations'!$AB$222=1,"───","")</f>
        <v/>
      </c>
      <c r="U242" s="164" t="str">
        <f>IF('01_Stations'!$AB$223=1,"───","")</f>
        <v/>
      </c>
      <c r="V242" s="164" t="str">
        <f>IF('01_Stations'!$AB$224=1,"───","")</f>
        <v/>
      </c>
      <c r="W242" s="164" t="str">
        <f>IF('01_Stations'!$AB$225=1,"───","")</f>
        <v/>
      </c>
      <c r="X242" s="164" t="str">
        <f>IF('01_Stations'!$AB$226=1,"───","")</f>
        <v/>
      </c>
      <c r="Y242" s="164" t="str">
        <f>IF('01_Stations'!$AB$227=1,"───","")</f>
        <v/>
      </c>
      <c r="Z242" s="164" t="str">
        <f>IF('01_Stations'!$AB$228=1,"───","")</f>
        <v/>
      </c>
      <c r="AA242" s="164" t="str">
        <f>IF('01_Stations'!$AB$229=1,"───","")</f>
        <v/>
      </c>
      <c r="AB242" s="164" t="str">
        <f>IF('01_Stations'!$AB$230=1,"───","")</f>
        <v/>
      </c>
      <c r="AC242" s="164" t="str">
        <f>IF('01_Stations'!$AB$231=1,"───","")</f>
        <v/>
      </c>
      <c r="AD242" s="164" t="str">
        <f>IF('01_Stations'!$AB$232=1,"───","")</f>
        <v/>
      </c>
      <c r="AE242" s="164" t="str">
        <f>IF('01_Stations'!$AB$233=1,"───","")</f>
        <v/>
      </c>
      <c r="AF242" s="164" t="str">
        <f>IF('01_Stations'!$AB$234=1,"───","")</f>
        <v/>
      </c>
      <c r="AG242" s="164" t="str">
        <f>IF('01_Stations'!$AB$235=1,"───","")</f>
        <v/>
      </c>
      <c r="AH242" s="164" t="str">
        <f>IF('01_Stations'!$AB$236=1,"───","")</f>
        <v/>
      </c>
      <c r="AI242" s="164" t="str">
        <f>IF('01_Stations'!$AB$237=1,"───","")</f>
        <v/>
      </c>
      <c r="AJ242" s="164" t="str">
        <f>IF('01_Stations'!$AB$238=1,"───","")</f>
        <v/>
      </c>
      <c r="AK242" s="164" t="str">
        <f>IF('01_Stations'!$AB$239=1,"───","")</f>
        <v/>
      </c>
      <c r="AL242" s="164" t="str">
        <f>IF('01_Stations'!$AB$240=1,"───","")</f>
        <v/>
      </c>
      <c r="AM242" s="164" t="str">
        <f>IF('01_Stations'!$AB$241=1,"───","")</f>
        <v/>
      </c>
      <c r="AN242" s="164" t="str">
        <f>IF('01_Stations'!$AB$242=1,"───","")</f>
        <v/>
      </c>
      <c r="AO242" s="164" t="str">
        <f>IF('01_Stations'!$AB$243=1,"───","")</f>
        <v/>
      </c>
      <c r="AP242" s="164" t="str">
        <f>IF('01_Stations'!$AB$244=1,"───","")</f>
        <v/>
      </c>
      <c r="AQ242" s="164" t="str">
        <f>IF('01_Stations'!$AB$245=1,"───","")</f>
        <v/>
      </c>
    </row>
    <row r="243" spans="1:43" ht="15" customHeight="1" x14ac:dyDescent="0.3">
      <c r="A243" s="236"/>
      <c r="B243" s="165"/>
      <c r="C243" s="166" t="s">
        <v>2220</v>
      </c>
      <c r="D243" s="164" t="str">
        <f>IF(N('01_Stations'!$AC$206)&gt;0,'01_Stations'!$AC$206,"")</f>
        <v/>
      </c>
      <c r="E243" s="164" t="str">
        <f>IF(N('01_Stations'!$AC$207)&gt;0,'01_Stations'!$AC$207,"")</f>
        <v/>
      </c>
      <c r="F243" s="164" t="str">
        <f>IF(N('01_Stations'!$AC$208)&gt;0,'01_Stations'!$AC$208,"")</f>
        <v/>
      </c>
      <c r="G243" s="164" t="str">
        <f>IF(N('01_Stations'!$AC$209)&gt;0,'01_Stations'!$AC$209,"")</f>
        <v/>
      </c>
      <c r="H243" s="164" t="str">
        <f>IF(N('01_Stations'!$AC$210)&gt;0,'01_Stations'!$AC$210,"")</f>
        <v/>
      </c>
      <c r="I243" s="164" t="str">
        <f>IF(N('01_Stations'!$AC$211)&gt;0,'01_Stations'!$AC$211,"")</f>
        <v/>
      </c>
      <c r="J243" s="164" t="str">
        <f>IF(N('01_Stations'!$AC$212)&gt;0,'01_Stations'!$AC$212,"")</f>
        <v/>
      </c>
      <c r="K243" s="164" t="str">
        <f>IF(N('01_Stations'!$AC$213)&gt;0,'01_Stations'!$AC$213,"")</f>
        <v/>
      </c>
      <c r="L243" s="164" t="str">
        <f>IF(N('01_Stations'!$AC$214)&gt;0,'01_Stations'!$AC$214,"")</f>
        <v/>
      </c>
      <c r="M243" s="164" t="str">
        <f>IF(N('01_Stations'!$AC$215)&gt;0,'01_Stations'!$AC$215,"")</f>
        <v/>
      </c>
      <c r="N243" s="164" t="str">
        <f>IF(N('01_Stations'!$AC$216)&gt;0,'01_Stations'!$AC$216,"")</f>
        <v/>
      </c>
      <c r="O243" s="164" t="str">
        <f>IF(N('01_Stations'!$AC$217)&gt;0,'01_Stations'!$AC$217,"")</f>
        <v/>
      </c>
      <c r="P243" s="164" t="str">
        <f>IF(N('01_Stations'!$AC$218)&gt;0,'01_Stations'!$AC$218,"")</f>
        <v/>
      </c>
      <c r="Q243" s="164" t="str">
        <f>IF(N('01_Stations'!$AC$219)&gt;0,'01_Stations'!$AC$219,"")</f>
        <v/>
      </c>
      <c r="R243" s="164" t="str">
        <f>IF(N('01_Stations'!$AC$220)&gt;0,'01_Stations'!$AC$220,"")</f>
        <v/>
      </c>
      <c r="S243" s="164" t="str">
        <f>IF(N('01_Stations'!$AC$221)&gt;0,'01_Stations'!$AC$221,"")</f>
        <v/>
      </c>
      <c r="T243" s="164" t="str">
        <f>IF(N('01_Stations'!$AC$222)&gt;0,'01_Stations'!$AC$222,"")</f>
        <v/>
      </c>
      <c r="U243" s="164" t="str">
        <f>IF(N('01_Stations'!$AC$223)&gt;0,'01_Stations'!$AC$223,"")</f>
        <v/>
      </c>
      <c r="V243" s="164" t="str">
        <f>IF(N('01_Stations'!$AC$224)&gt;0,'01_Stations'!$AC$224,"")</f>
        <v/>
      </c>
      <c r="W243" s="164" t="str">
        <f>IF(N('01_Stations'!$AC$225)&gt;0,'01_Stations'!$AC$225,"")</f>
        <v/>
      </c>
      <c r="X243" s="164" t="str">
        <f>IF(N('01_Stations'!$AC$226)&gt;0,'01_Stations'!$AC$226,"")</f>
        <v/>
      </c>
      <c r="Y243" s="164" t="str">
        <f>IF(N('01_Stations'!$AC$227)&gt;0,'01_Stations'!$AC$227,"")</f>
        <v/>
      </c>
      <c r="Z243" s="164" t="str">
        <f>IF(N('01_Stations'!$AC$228)&gt;0,'01_Stations'!$AC$228,"")</f>
        <v/>
      </c>
      <c r="AA243" s="164" t="str">
        <f>IF(N('01_Stations'!$AC$229)&gt;0,'01_Stations'!$AC$229,"")</f>
        <v/>
      </c>
      <c r="AB243" s="164" t="str">
        <f>IF(N('01_Stations'!$AC$230)&gt;0,'01_Stations'!$AC$230,"")</f>
        <v/>
      </c>
      <c r="AC243" s="164" t="str">
        <f>IF(N('01_Stations'!$AC$231)&gt;0,'01_Stations'!$AC$231,"")</f>
        <v/>
      </c>
      <c r="AD243" s="164" t="str">
        <f>IF(N('01_Stations'!$AC$232)&gt;0,'01_Stations'!$AC$232,"")</f>
        <v/>
      </c>
      <c r="AE243" s="164" t="str">
        <f>IF(N('01_Stations'!$AC$233)&gt;0,'01_Stations'!$AC$233,"")</f>
        <v/>
      </c>
      <c r="AF243" s="164" t="str">
        <f>IF(N('01_Stations'!$AC$234)&gt;0,'01_Stations'!$AC$234,"")</f>
        <v/>
      </c>
      <c r="AG243" s="164" t="str">
        <f>IF(N('01_Stations'!$AC$235)&gt;0,'01_Stations'!$AC$235,"")</f>
        <v/>
      </c>
      <c r="AH243" s="164" t="str">
        <f>IF(N('01_Stations'!$AC$236)&gt;0,'01_Stations'!$AC$236,"")</f>
        <v/>
      </c>
      <c r="AI243" s="164" t="str">
        <f>IF(N('01_Stations'!$AC$237)&gt;0,'01_Stations'!$AC$237,"")</f>
        <v/>
      </c>
      <c r="AJ243" s="164" t="str">
        <f>IF(N('01_Stations'!$AC$238)&gt;0,'01_Stations'!$AC$238,"")</f>
        <v/>
      </c>
      <c r="AK243" s="164" t="str">
        <f>IF(N('01_Stations'!$AC$239)&gt;0,'01_Stations'!$AC$239,"")</f>
        <v/>
      </c>
      <c r="AL243" s="164" t="str">
        <f>IF(N('01_Stations'!$AC$240)&gt;0,'01_Stations'!$AC$240,"")</f>
        <v/>
      </c>
      <c r="AM243" s="164" t="str">
        <f>IF(N('01_Stations'!$AC$241)&gt;0,'01_Stations'!$AC$241,"")</f>
        <v/>
      </c>
      <c r="AN243" s="164" t="str">
        <f>IF(N('01_Stations'!$AC$242)&gt;0,'01_Stations'!$AC$242,"")</f>
        <v/>
      </c>
      <c r="AO243" s="164" t="str">
        <f>IF(N('01_Stations'!$AC$243)&gt;0,'01_Stations'!$AC$243,"")</f>
        <v/>
      </c>
      <c r="AP243" s="164" t="str">
        <f>IF(N('01_Stations'!$AC$244)&gt;0,'01_Stations'!$AC$244,"")</f>
        <v/>
      </c>
      <c r="AQ243" s="164" t="str">
        <f>IF(N('01_Stations'!$AC$245)&gt;0,'01_Stations'!$AC$245,"")</f>
        <v/>
      </c>
    </row>
    <row r="244" spans="1:43" ht="15" customHeight="1" x14ac:dyDescent="0.3">
      <c r="A244" s="236"/>
      <c r="B244" s="165" t="s">
        <v>2221</v>
      </c>
      <c r="C244" s="166" t="s">
        <v>1622</v>
      </c>
      <c r="D244" s="164" t="str">
        <f>IF(N('01_Stations'!$AD$206)&gt;0,'01_Stations'!$AD$206,"")</f>
        <v/>
      </c>
      <c r="E244" s="164" t="str">
        <f>IF(N('01_Stations'!$AD$207)&gt;0,'01_Stations'!$AD$207,"")</f>
        <v/>
      </c>
      <c r="F244" s="164" t="str">
        <f>IF(N('01_Stations'!$AD$208)&gt;0,'01_Stations'!$AD$208,"")</f>
        <v/>
      </c>
      <c r="G244" s="164" t="str">
        <f>IF(N('01_Stations'!$AD$209)&gt;0,'01_Stations'!$AD$209,"")</f>
        <v/>
      </c>
      <c r="H244" s="164" t="str">
        <f>IF(N('01_Stations'!$AD$210)&gt;0,'01_Stations'!$AD$210,"")</f>
        <v/>
      </c>
      <c r="I244" s="164" t="str">
        <f>IF(N('01_Stations'!$AD$211)&gt;0,'01_Stations'!$AD$211,"")</f>
        <v/>
      </c>
      <c r="J244" s="164" t="str">
        <f>IF(N('01_Stations'!$AD$212)&gt;0,'01_Stations'!$AD$212,"")</f>
        <v/>
      </c>
      <c r="K244" s="164" t="str">
        <f>IF(N('01_Stations'!$AD$213)&gt;0,'01_Stations'!$AD$213,"")</f>
        <v/>
      </c>
      <c r="L244" s="164" t="str">
        <f>IF(N('01_Stations'!$AD$214)&gt;0,'01_Stations'!$AD$214,"")</f>
        <v/>
      </c>
      <c r="M244" s="164" t="str">
        <f>IF(N('01_Stations'!$AD$215)&gt;0,'01_Stations'!$AD$215,"")</f>
        <v/>
      </c>
      <c r="N244" s="164" t="str">
        <f>IF(N('01_Stations'!$AD$216)&gt;0,'01_Stations'!$AD$216,"")</f>
        <v/>
      </c>
      <c r="O244" s="164" t="str">
        <f>IF(N('01_Stations'!$AD$217)&gt;0,'01_Stations'!$AD$217,"")</f>
        <v/>
      </c>
      <c r="P244" s="164" t="str">
        <f>IF(N('01_Stations'!$AD$218)&gt;0,'01_Stations'!$AD$218,"")</f>
        <v/>
      </c>
      <c r="Q244" s="164" t="str">
        <f>IF(N('01_Stations'!$AD$219)&gt;0,'01_Stations'!$AD$219,"")</f>
        <v/>
      </c>
      <c r="R244" s="164" t="str">
        <f>IF(N('01_Stations'!$AD$220)&gt;0,'01_Stations'!$AD$220,"")</f>
        <v/>
      </c>
      <c r="S244" s="164" t="str">
        <f>IF(N('01_Stations'!$AD$221)&gt;0,'01_Stations'!$AD$221,"")</f>
        <v/>
      </c>
      <c r="T244" s="164" t="str">
        <f>IF(N('01_Stations'!$AD$222)&gt;0,'01_Stations'!$AD$222,"")</f>
        <v/>
      </c>
      <c r="U244" s="164" t="str">
        <f>IF(N('01_Stations'!$AD$223)&gt;0,'01_Stations'!$AD$223,"")</f>
        <v/>
      </c>
      <c r="V244" s="164" t="str">
        <f>IF(N('01_Stations'!$AD$224)&gt;0,'01_Stations'!$AD$224,"")</f>
        <v/>
      </c>
      <c r="W244" s="164" t="str">
        <f>IF(N('01_Stations'!$AD$225)&gt;0,'01_Stations'!$AD$225,"")</f>
        <v/>
      </c>
      <c r="X244" s="164" t="str">
        <f>IF(N('01_Stations'!$AD$226)&gt;0,'01_Stations'!$AD$226,"")</f>
        <v/>
      </c>
      <c r="Y244" s="164" t="str">
        <f>IF(N('01_Stations'!$AD$227)&gt;0,'01_Stations'!$AD$227,"")</f>
        <v/>
      </c>
      <c r="Z244" s="164" t="str">
        <f>IF(N('01_Stations'!$AD$228)&gt;0,'01_Stations'!$AD$228,"")</f>
        <v/>
      </c>
      <c r="AA244" s="164" t="str">
        <f>IF(N('01_Stations'!$AD$229)&gt;0,'01_Stations'!$AD$229,"")</f>
        <v/>
      </c>
      <c r="AB244" s="164" t="str">
        <f>IF(N('01_Stations'!$AD$230)&gt;0,'01_Stations'!$AD$230,"")</f>
        <v/>
      </c>
      <c r="AC244" s="164" t="str">
        <f>IF(N('01_Stations'!$AD$231)&gt;0,'01_Stations'!$AD$231,"")</f>
        <v/>
      </c>
      <c r="AD244" s="164" t="str">
        <f>IF(N('01_Stations'!$AD$232)&gt;0,'01_Stations'!$AD$232,"")</f>
        <v/>
      </c>
      <c r="AE244" s="164" t="str">
        <f>IF(N('01_Stations'!$AD$233)&gt;0,'01_Stations'!$AD$233,"")</f>
        <v/>
      </c>
      <c r="AF244" s="164" t="str">
        <f>IF(N('01_Stations'!$AD$234)&gt;0,'01_Stations'!$AD$234,"")</f>
        <v/>
      </c>
      <c r="AG244" s="164" t="str">
        <f>IF(N('01_Stations'!$AD$235)&gt;0,'01_Stations'!$AD$235,"")</f>
        <v/>
      </c>
      <c r="AH244" s="164" t="str">
        <f>IF(N('01_Stations'!$AD$236)&gt;0,'01_Stations'!$AD$236,"")</f>
        <v/>
      </c>
      <c r="AI244" s="164" t="str">
        <f>IF(N('01_Stations'!$AD$237)&gt;0,'01_Stations'!$AD$237,"")</f>
        <v/>
      </c>
      <c r="AJ244" s="164" t="str">
        <f>IF(N('01_Stations'!$AD$238)&gt;0,'01_Stations'!$AD$238,"")</f>
        <v/>
      </c>
      <c r="AK244" s="164" t="str">
        <f>IF(N('01_Stations'!$AD$239)&gt;0,'01_Stations'!$AD$239,"")</f>
        <v/>
      </c>
      <c r="AL244" s="164" t="str">
        <f>IF(N('01_Stations'!$AD$240)&gt;0,'01_Stations'!$AD$240,"")</f>
        <v/>
      </c>
      <c r="AM244" s="164" t="str">
        <f>IF(N('01_Stations'!$AD$241)&gt;0,'01_Stations'!$AD$241,"")</f>
        <v/>
      </c>
      <c r="AN244" s="164" t="str">
        <f>IF(N('01_Stations'!$AD$242)&gt;0,'01_Stations'!$AD$242,"")</f>
        <v/>
      </c>
      <c r="AO244" s="164" t="str">
        <f>IF(N('01_Stations'!$AD$243)&gt;0,'01_Stations'!$AD$243,"")</f>
        <v/>
      </c>
      <c r="AP244" s="164" t="str">
        <f>IF(N('01_Stations'!$AD$244)&gt;0,'01_Stations'!$AD$244,"")</f>
        <v/>
      </c>
      <c r="AQ244" s="164" t="str">
        <f>IF(N('01_Stations'!$AD$245)&gt;0,'01_Stations'!$AD$245,"")</f>
        <v/>
      </c>
    </row>
    <row r="245" spans="1:43" ht="15" customHeight="1" x14ac:dyDescent="0.3">
      <c r="A245" s="236"/>
      <c r="B245" s="165"/>
      <c r="C245" s="166" t="s">
        <v>2212</v>
      </c>
      <c r="D245" s="164" t="str">
        <f>IF(N('01_Stations'!$AE$206)&gt;0,'01_Stations'!$AE$206,"")</f>
        <v/>
      </c>
      <c r="E245" s="164" t="str">
        <f>IF(N('01_Stations'!$AE$207)&gt;0,'01_Stations'!$AE$207,"")</f>
        <v/>
      </c>
      <c r="F245" s="164" t="str">
        <f>IF(N('01_Stations'!$AE$208)&gt;0,'01_Stations'!$AE$208,"")</f>
        <v/>
      </c>
      <c r="G245" s="164" t="str">
        <f>IF(N('01_Stations'!$AE$209)&gt;0,'01_Stations'!$AE$209,"")</f>
        <v/>
      </c>
      <c r="H245" s="164" t="str">
        <f>IF(N('01_Stations'!$AE$210)&gt;0,'01_Stations'!$AE$210,"")</f>
        <v/>
      </c>
      <c r="I245" s="164" t="str">
        <f>IF(N('01_Stations'!$AE$211)&gt;0,'01_Stations'!$AE$211,"")</f>
        <v/>
      </c>
      <c r="J245" s="164" t="str">
        <f>IF(N('01_Stations'!$AE$212)&gt;0,'01_Stations'!$AE$212,"")</f>
        <v/>
      </c>
      <c r="K245" s="164" t="str">
        <f>IF(N('01_Stations'!$AE$213)&gt;0,'01_Stations'!$AE$213,"")</f>
        <v/>
      </c>
      <c r="L245" s="164" t="str">
        <f>IF(N('01_Stations'!$AE$214)&gt;0,'01_Stations'!$AE$214,"")</f>
        <v/>
      </c>
      <c r="M245" s="164" t="str">
        <f>IF(N('01_Stations'!$AE$215)&gt;0,'01_Stations'!$AE$215,"")</f>
        <v/>
      </c>
      <c r="N245" s="164" t="str">
        <f>IF(N('01_Stations'!$AE$216)&gt;0,'01_Stations'!$AE$216,"")</f>
        <v/>
      </c>
      <c r="O245" s="164" t="str">
        <f>IF(N('01_Stations'!$AE$217)&gt;0,'01_Stations'!$AE$217,"")</f>
        <v/>
      </c>
      <c r="P245" s="164" t="str">
        <f>IF(N('01_Stations'!$AE$218)&gt;0,'01_Stations'!$AE$218,"")</f>
        <v/>
      </c>
      <c r="Q245" s="164" t="str">
        <f>IF(N('01_Stations'!$AE$219)&gt;0,'01_Stations'!$AE$219,"")</f>
        <v/>
      </c>
      <c r="R245" s="164" t="str">
        <f>IF(N('01_Stations'!$AE$220)&gt;0,'01_Stations'!$AE$220,"")</f>
        <v/>
      </c>
      <c r="S245" s="164" t="str">
        <f>IF(N('01_Stations'!$AE$221)&gt;0,'01_Stations'!$AE$221,"")</f>
        <v/>
      </c>
      <c r="T245" s="164" t="str">
        <f>IF(N('01_Stations'!$AE$222)&gt;0,'01_Stations'!$AE$222,"")</f>
        <v/>
      </c>
      <c r="U245" s="164" t="str">
        <f>IF(N('01_Stations'!$AE$223)&gt;0,'01_Stations'!$AE$223,"")</f>
        <v/>
      </c>
      <c r="V245" s="164" t="str">
        <f>IF(N('01_Stations'!$AE$224)&gt;0,'01_Stations'!$AE$224,"")</f>
        <v/>
      </c>
      <c r="W245" s="164" t="str">
        <f>IF(N('01_Stations'!$AE$225)&gt;0,'01_Stations'!$AE$225,"")</f>
        <v/>
      </c>
      <c r="X245" s="164" t="str">
        <f>IF(N('01_Stations'!$AE$226)&gt;0,'01_Stations'!$AE$226,"")</f>
        <v/>
      </c>
      <c r="Y245" s="164" t="str">
        <f>IF(N('01_Stations'!$AE$227)&gt;0,'01_Stations'!$AE$227,"")</f>
        <v/>
      </c>
      <c r="Z245" s="164" t="str">
        <f>IF(N('01_Stations'!$AE$228)&gt;0,'01_Stations'!$AE$228,"")</f>
        <v/>
      </c>
      <c r="AA245" s="164" t="str">
        <f>IF(N('01_Stations'!$AE$229)&gt;0,'01_Stations'!$AE$229,"")</f>
        <v/>
      </c>
      <c r="AB245" s="164" t="str">
        <f>IF(N('01_Stations'!$AE$230)&gt;0,'01_Stations'!$AE$230,"")</f>
        <v/>
      </c>
      <c r="AC245" s="164" t="str">
        <f>IF(N('01_Stations'!$AE$231)&gt;0,'01_Stations'!$AE$231,"")</f>
        <v/>
      </c>
      <c r="AD245" s="164" t="str">
        <f>IF(N('01_Stations'!$AE$232)&gt;0,'01_Stations'!$AE$232,"")</f>
        <v/>
      </c>
      <c r="AE245" s="164" t="str">
        <f>IF(N('01_Stations'!$AE$233)&gt;0,'01_Stations'!$AE$233,"")</f>
        <v/>
      </c>
      <c r="AF245" s="164" t="str">
        <f>IF(N('01_Stations'!$AE$234)&gt;0,'01_Stations'!$AE$234,"")</f>
        <v/>
      </c>
      <c r="AG245" s="164" t="str">
        <f>IF(N('01_Stations'!$AE$235)&gt;0,'01_Stations'!$AE$235,"")</f>
        <v/>
      </c>
      <c r="AH245" s="164" t="str">
        <f>IF(N('01_Stations'!$AE$236)&gt;0,'01_Stations'!$AE$236,"")</f>
        <v/>
      </c>
      <c r="AI245" s="164" t="str">
        <f>IF(N('01_Stations'!$AE$237)&gt;0,'01_Stations'!$AE$237,"")</f>
        <v/>
      </c>
      <c r="AJ245" s="164" t="str">
        <f>IF(N('01_Stations'!$AE$238)&gt;0,'01_Stations'!$AE$238,"")</f>
        <v/>
      </c>
      <c r="AK245" s="164" t="str">
        <f>IF(N('01_Stations'!$AE$239)&gt;0,'01_Stations'!$AE$239,"")</f>
        <v/>
      </c>
      <c r="AL245" s="164" t="str">
        <f>IF(N('01_Stations'!$AE$240)&gt;0,'01_Stations'!$AE$240,"")</f>
        <v/>
      </c>
      <c r="AM245" s="164" t="str">
        <f>IF(N('01_Stations'!$AE$241)&gt;0,'01_Stations'!$AE$241,"")</f>
        <v/>
      </c>
      <c r="AN245" s="164" t="str">
        <f>IF(N('01_Stations'!$AE$242)&gt;0,'01_Stations'!$AE$242,"")</f>
        <v/>
      </c>
      <c r="AO245" s="164" t="str">
        <f>IF(N('01_Stations'!$AE$243)&gt;0,'01_Stations'!$AE$243,"")</f>
        <v/>
      </c>
      <c r="AP245" s="164" t="str">
        <f>IF(N('01_Stations'!$AE$244)&gt;0,'01_Stations'!$AE$244,"")</f>
        <v/>
      </c>
      <c r="AQ245" s="164" t="str">
        <f>IF(N('01_Stations'!$AE$245)&gt;0,'01_Stations'!$AE$245,"")</f>
        <v/>
      </c>
    </row>
    <row r="246" spans="1:43" ht="15" customHeight="1" x14ac:dyDescent="0.3">
      <c r="A246" s="236"/>
      <c r="B246" s="165" t="s">
        <v>1942</v>
      </c>
      <c r="C246" s="166" t="s">
        <v>1622</v>
      </c>
      <c r="D246" s="164" t="str">
        <f>IF('01_Stations'!$AF$206=1,"───","")</f>
        <v/>
      </c>
      <c r="E246" s="164" t="str">
        <f>IF('01_Stations'!$AF$207=1,"───","")</f>
        <v/>
      </c>
      <c r="F246" s="164" t="str">
        <f>IF('01_Stations'!$AF$208=1,"───","")</f>
        <v/>
      </c>
      <c r="G246" s="164" t="str">
        <f>IF('01_Stations'!$AF$209=1,"───","")</f>
        <v/>
      </c>
      <c r="H246" s="164" t="str">
        <f>IF('01_Stations'!$AF$210=1,"───","")</f>
        <v/>
      </c>
      <c r="I246" s="164" t="str">
        <f>IF('01_Stations'!$AF$211=1,"───","")</f>
        <v/>
      </c>
      <c r="J246" s="164" t="str">
        <f>IF('01_Stations'!$AF$212=1,"───","")</f>
        <v/>
      </c>
      <c r="K246" s="164" t="str">
        <f>IF('01_Stations'!$AF$213=1,"───","")</f>
        <v/>
      </c>
      <c r="L246" s="164" t="str">
        <f>IF('01_Stations'!$AF$214=1,"───","")</f>
        <v/>
      </c>
      <c r="M246" s="164" t="str">
        <f>IF('01_Stations'!$AF$215=1,"───","")</f>
        <v/>
      </c>
      <c r="N246" s="164" t="str">
        <f>IF('01_Stations'!$AF$216=1,"───","")</f>
        <v/>
      </c>
      <c r="O246" s="164" t="str">
        <f>IF('01_Stations'!$AF$217=1,"───","")</f>
        <v/>
      </c>
      <c r="P246" s="164" t="str">
        <f>IF('01_Stations'!$AF$218=1,"───","")</f>
        <v/>
      </c>
      <c r="Q246" s="164" t="str">
        <f>IF('01_Stations'!$AF$219=1,"───","")</f>
        <v/>
      </c>
      <c r="R246" s="164" t="str">
        <f>IF('01_Stations'!$AF$220=1,"───","")</f>
        <v/>
      </c>
      <c r="S246" s="164" t="str">
        <f>IF('01_Stations'!$AF$221=1,"───","")</f>
        <v/>
      </c>
      <c r="T246" s="164" t="str">
        <f>IF('01_Stations'!$AF$222=1,"───","")</f>
        <v/>
      </c>
      <c r="U246" s="164" t="str">
        <f>IF('01_Stations'!$AF$223=1,"───","")</f>
        <v/>
      </c>
      <c r="V246" s="164" t="str">
        <f>IF('01_Stations'!$AF$224=1,"───","")</f>
        <v/>
      </c>
      <c r="W246" s="164" t="str">
        <f>IF('01_Stations'!$AF$225=1,"───","")</f>
        <v/>
      </c>
      <c r="X246" s="164" t="str">
        <f>IF('01_Stations'!$AF$226=1,"───","")</f>
        <v/>
      </c>
      <c r="Y246" s="164" t="str">
        <f>IF('01_Stations'!$AF$227=1,"───","")</f>
        <v/>
      </c>
      <c r="Z246" s="164" t="str">
        <f>IF('01_Stations'!$AF$228=1,"───","")</f>
        <v/>
      </c>
      <c r="AA246" s="164" t="str">
        <f>IF('01_Stations'!$AF$229=1,"───","")</f>
        <v/>
      </c>
      <c r="AB246" s="164" t="str">
        <f>IF('01_Stations'!$AF$230=1,"───","")</f>
        <v/>
      </c>
      <c r="AC246" s="164" t="str">
        <f>IF('01_Stations'!$AF$231=1,"───","")</f>
        <v/>
      </c>
      <c r="AD246" s="164" t="str">
        <f>IF('01_Stations'!$AF$232=1,"───","")</f>
        <v/>
      </c>
      <c r="AE246" s="164" t="str">
        <f>IF('01_Stations'!$AF$233=1,"───","")</f>
        <v/>
      </c>
      <c r="AF246" s="164" t="str">
        <f>IF('01_Stations'!$AF$234=1,"───","")</f>
        <v/>
      </c>
      <c r="AG246" s="164" t="str">
        <f>IF('01_Stations'!$AF$235=1,"───","")</f>
        <v/>
      </c>
      <c r="AH246" s="164" t="str">
        <f>IF('01_Stations'!$AF$236=1,"───","")</f>
        <v/>
      </c>
      <c r="AI246" s="164" t="str">
        <f>IF('01_Stations'!$AF$237=1,"───","")</f>
        <v/>
      </c>
      <c r="AJ246" s="164" t="str">
        <f>IF('01_Stations'!$AF$238=1,"───","")</f>
        <v/>
      </c>
      <c r="AK246" s="164" t="str">
        <f>IF('01_Stations'!$AF$239=1,"───","")</f>
        <v/>
      </c>
      <c r="AL246" s="164" t="str">
        <f>IF('01_Stations'!$AF$240=1,"───","")</f>
        <v/>
      </c>
      <c r="AM246" s="164" t="str">
        <f>IF('01_Stations'!$AF$241=1,"───","")</f>
        <v/>
      </c>
      <c r="AN246" s="164" t="str">
        <f>IF('01_Stations'!$AF$242=1,"───","")</f>
        <v/>
      </c>
      <c r="AO246" s="164" t="str">
        <f>IF('01_Stations'!$AF$243=1,"───","")</f>
        <v/>
      </c>
      <c r="AP246" s="164" t="str">
        <f>IF('01_Stations'!$AF$244=1,"───","")</f>
        <v/>
      </c>
      <c r="AQ246" s="164" t="str">
        <f>IF('01_Stations'!$AF$245=1,"───","")</f>
        <v/>
      </c>
    </row>
    <row r="247" spans="1:43" ht="15" customHeight="1" x14ac:dyDescent="0.3">
      <c r="A247" s="237"/>
      <c r="B247" s="165"/>
      <c r="C247" s="166" t="s">
        <v>2212</v>
      </c>
      <c r="D247" s="164" t="str">
        <f>IF('01_Stations'!$AG$206=1,"───","")</f>
        <v/>
      </c>
      <c r="E247" s="164" t="str">
        <f>IF('01_Stations'!$AG$207=1,"───","")</f>
        <v/>
      </c>
      <c r="F247" s="164" t="str">
        <f>IF('01_Stations'!$AG$208=1,"───","")</f>
        <v/>
      </c>
      <c r="G247" s="164" t="str">
        <f>IF('01_Stations'!$AG$209=1,"───","")</f>
        <v/>
      </c>
      <c r="H247" s="164" t="str">
        <f>IF('01_Stations'!$AG$210=1,"───","")</f>
        <v/>
      </c>
      <c r="I247" s="164" t="str">
        <f>IF('01_Stations'!$AG$211=1,"───","")</f>
        <v/>
      </c>
      <c r="J247" s="164" t="str">
        <f>IF('01_Stations'!$AG$212=1,"───","")</f>
        <v/>
      </c>
      <c r="K247" s="164" t="str">
        <f>IF('01_Stations'!$AG$213=1,"───","")</f>
        <v/>
      </c>
      <c r="L247" s="164" t="str">
        <f>IF('01_Stations'!$AG$214=1,"───","")</f>
        <v/>
      </c>
      <c r="M247" s="164" t="str">
        <f>IF('01_Stations'!$AG$215=1,"───","")</f>
        <v/>
      </c>
      <c r="N247" s="164" t="str">
        <f>IF('01_Stations'!$AG$216=1,"───","")</f>
        <v/>
      </c>
      <c r="O247" s="164" t="str">
        <f>IF('01_Stations'!$AG$217=1,"───","")</f>
        <v/>
      </c>
      <c r="P247" s="164" t="str">
        <f>IF('01_Stations'!$AG$218=1,"───","")</f>
        <v/>
      </c>
      <c r="Q247" s="164" t="str">
        <f>IF('01_Stations'!$AG$219=1,"───","")</f>
        <v/>
      </c>
      <c r="R247" s="164" t="str">
        <f>IF('01_Stations'!$AG$220=1,"───","")</f>
        <v/>
      </c>
      <c r="S247" s="164" t="str">
        <f>IF('01_Stations'!$AG$221=1,"───","")</f>
        <v/>
      </c>
      <c r="T247" s="164" t="str">
        <f>IF('01_Stations'!$AG$222=1,"───","")</f>
        <v/>
      </c>
      <c r="U247" s="164" t="str">
        <f>IF('01_Stations'!$AG$223=1,"───","")</f>
        <v/>
      </c>
      <c r="V247" s="164" t="str">
        <f>IF('01_Stations'!$AG$224=1,"───","")</f>
        <v/>
      </c>
      <c r="W247" s="164" t="str">
        <f>IF('01_Stations'!$AG$225=1,"───","")</f>
        <v/>
      </c>
      <c r="X247" s="164" t="str">
        <f>IF('01_Stations'!$AG$226=1,"───","")</f>
        <v/>
      </c>
      <c r="Y247" s="164" t="str">
        <f>IF('01_Stations'!$AG$227=1,"───","")</f>
        <v/>
      </c>
      <c r="Z247" s="164" t="str">
        <f>IF('01_Stations'!$AG$228=1,"───","")</f>
        <v/>
      </c>
      <c r="AA247" s="164" t="str">
        <f>IF('01_Stations'!$AG$229=1,"───","")</f>
        <v/>
      </c>
      <c r="AB247" s="164" t="str">
        <f>IF('01_Stations'!$AG$230=1,"───","")</f>
        <v/>
      </c>
      <c r="AC247" s="164" t="str">
        <f>IF('01_Stations'!$AG$231=1,"───","")</f>
        <v/>
      </c>
      <c r="AD247" s="164" t="str">
        <f>IF('01_Stations'!$AG$232=1,"───","")</f>
        <v/>
      </c>
      <c r="AE247" s="164" t="str">
        <f>IF('01_Stations'!$AG$233=1,"───","")</f>
        <v/>
      </c>
      <c r="AF247" s="164" t="str">
        <f>IF('01_Stations'!$AG$234=1,"───","")</f>
        <v/>
      </c>
      <c r="AG247" s="164" t="str">
        <f>IF('01_Stations'!$AG$235=1,"───","")</f>
        <v/>
      </c>
      <c r="AH247" s="164" t="str">
        <f>IF('01_Stations'!$AG$236=1,"───","")</f>
        <v/>
      </c>
      <c r="AI247" s="164" t="str">
        <f>IF('01_Stations'!$AG$237=1,"───","")</f>
        <v/>
      </c>
      <c r="AJ247" s="164" t="str">
        <f>IF('01_Stations'!$AG$238=1,"───","")</f>
        <v/>
      </c>
      <c r="AK247" s="164" t="str">
        <f>IF('01_Stations'!$AG$239=1,"───","")</f>
        <v/>
      </c>
      <c r="AL247" s="164" t="str">
        <f>IF('01_Stations'!$AG$240=1,"───","")</f>
        <v/>
      </c>
      <c r="AM247" s="164" t="str">
        <f>IF('01_Stations'!$AG$241=1,"───","")</f>
        <v/>
      </c>
      <c r="AN247" s="164" t="str">
        <f>IF('01_Stations'!$AG$242=1,"───","")</f>
        <v/>
      </c>
      <c r="AO247" s="164" t="str">
        <f>IF('01_Stations'!$AG$243=1,"───","")</f>
        <v/>
      </c>
      <c r="AP247" s="164" t="str">
        <f>IF('01_Stations'!$AG$244=1,"───","")</f>
        <v/>
      </c>
      <c r="AQ247" s="164" t="str">
        <f>IF('01_Stations'!$AG$245=1,"───","")</f>
        <v/>
      </c>
    </row>
    <row r="248" spans="1:43" ht="15" customHeight="1" x14ac:dyDescent="0.3">
      <c r="A248" s="238" t="s">
        <v>2222</v>
      </c>
      <c r="B248" s="165" t="s">
        <v>291</v>
      </c>
      <c r="C248" s="166"/>
      <c r="D248" s="164" t="str">
        <f>IF('01_Stations'!$AH$206=1,"───","")</f>
        <v/>
      </c>
      <c r="E248" s="164" t="str">
        <f>IF('01_Stations'!$AH$207=1,"───","")</f>
        <v/>
      </c>
      <c r="F248" s="164" t="str">
        <f>IF('01_Stations'!$AH$208=1,"───","")</f>
        <v/>
      </c>
      <c r="G248" s="164" t="str">
        <f>IF('01_Stations'!$AH$209=1,"───","")</f>
        <v/>
      </c>
      <c r="H248" s="164" t="str">
        <f>IF('01_Stations'!$AH$210=1,"───","")</f>
        <v/>
      </c>
      <c r="I248" s="164" t="str">
        <f>IF('01_Stations'!$AH$211=1,"───","")</f>
        <v/>
      </c>
      <c r="J248" s="164" t="str">
        <f>IF('01_Stations'!$AH$212=1,"───","")</f>
        <v/>
      </c>
      <c r="K248" s="164" t="str">
        <f>IF('01_Stations'!$AH$213=1,"───","")</f>
        <v/>
      </c>
      <c r="L248" s="164" t="str">
        <f>IF('01_Stations'!$AH$214=1,"───","")</f>
        <v/>
      </c>
      <c r="M248" s="164" t="str">
        <f>IF('01_Stations'!$AH$215=1,"───","")</f>
        <v/>
      </c>
      <c r="N248" s="164" t="str">
        <f>IF('01_Stations'!$AH$216=1,"───","")</f>
        <v/>
      </c>
      <c r="O248" s="164" t="str">
        <f>IF('01_Stations'!$AH$217=1,"───","")</f>
        <v/>
      </c>
      <c r="P248" s="164" t="str">
        <f>IF('01_Stations'!$AH$218=1,"───","")</f>
        <v/>
      </c>
      <c r="Q248" s="164" t="str">
        <f>IF('01_Stations'!$AH$219=1,"───","")</f>
        <v/>
      </c>
      <c r="R248" s="164" t="str">
        <f>IF('01_Stations'!$AH$220=1,"───","")</f>
        <v/>
      </c>
      <c r="S248" s="164" t="str">
        <f>IF('01_Stations'!$AH$221=1,"───","")</f>
        <v/>
      </c>
      <c r="T248" s="164" t="str">
        <f>IF('01_Stations'!$AH$222=1,"───","")</f>
        <v/>
      </c>
      <c r="U248" s="164" t="str">
        <f>IF('01_Stations'!$AH$223=1,"───","")</f>
        <v/>
      </c>
      <c r="V248" s="164" t="str">
        <f>IF('01_Stations'!$AH$224=1,"───","")</f>
        <v/>
      </c>
      <c r="W248" s="164" t="str">
        <f>IF('01_Stations'!$AH$225=1,"───","")</f>
        <v/>
      </c>
      <c r="X248" s="164" t="str">
        <f>IF('01_Stations'!$AH$226=1,"───","")</f>
        <v/>
      </c>
      <c r="Y248" s="164" t="str">
        <f>IF('01_Stations'!$AH$227=1,"───","")</f>
        <v/>
      </c>
      <c r="Z248" s="164" t="str">
        <f>IF('01_Stations'!$AH$228=1,"───","")</f>
        <v/>
      </c>
      <c r="AA248" s="164" t="str">
        <f>IF('01_Stations'!$AH$229=1,"───","")</f>
        <v/>
      </c>
      <c r="AB248" s="164" t="str">
        <f>IF('01_Stations'!$AH$230=1,"───","")</f>
        <v/>
      </c>
      <c r="AC248" s="164" t="str">
        <f>IF('01_Stations'!$AH$231=1,"───","")</f>
        <v/>
      </c>
      <c r="AD248" s="164" t="str">
        <f>IF('01_Stations'!$AH$232=1,"───","")</f>
        <v/>
      </c>
      <c r="AE248" s="164" t="str">
        <f>IF('01_Stations'!$AH$233=1,"───","")</f>
        <v/>
      </c>
      <c r="AF248" s="164" t="str">
        <f>IF('01_Stations'!$AH$234=1,"───","")</f>
        <v/>
      </c>
      <c r="AG248" s="164" t="str">
        <f>IF('01_Stations'!$AH$235=1,"───","")</f>
        <v/>
      </c>
      <c r="AH248" s="164" t="str">
        <f>IF('01_Stations'!$AH$236=1,"───","")</f>
        <v/>
      </c>
      <c r="AI248" s="164" t="str">
        <f>IF('01_Stations'!$AH$237=1,"───","")</f>
        <v/>
      </c>
      <c r="AJ248" s="164" t="str">
        <f>IF('01_Stations'!$AH$238=1,"───","")</f>
        <v/>
      </c>
      <c r="AK248" s="164" t="str">
        <f>IF('01_Stations'!$AH$239=1,"───","")</f>
        <v/>
      </c>
      <c r="AL248" s="164" t="str">
        <f>IF('01_Stations'!$AH$240=1,"───","")</f>
        <v/>
      </c>
      <c r="AM248" s="164" t="str">
        <f>IF('01_Stations'!$AH$241=1,"───","")</f>
        <v/>
      </c>
      <c r="AN248" s="164" t="str">
        <f>IF('01_Stations'!$AH$242=1,"───","")</f>
        <v/>
      </c>
      <c r="AO248" s="164" t="str">
        <f>IF('01_Stations'!$AH$243=1,"───","")</f>
        <v/>
      </c>
      <c r="AP248" s="164" t="str">
        <f>IF('01_Stations'!$AH$244=1,"───","")</f>
        <v/>
      </c>
      <c r="AQ248" s="164" t="str">
        <f>IF('01_Stations'!$AH$245=1,"───","")</f>
        <v/>
      </c>
    </row>
    <row r="249" spans="1:43" ht="15" customHeight="1" x14ac:dyDescent="0.3">
      <c r="A249" s="236"/>
      <c r="B249" s="165" t="s">
        <v>292</v>
      </c>
      <c r="C249" s="166"/>
      <c r="D249" s="164" t="str">
        <f>IF('01_Stations'!$AI$206=1,"───","")</f>
        <v/>
      </c>
      <c r="E249" s="164" t="str">
        <f>IF('01_Stations'!$AI$207=1,"───","")</f>
        <v/>
      </c>
      <c r="F249" s="164" t="str">
        <f>IF('01_Stations'!$AI$208=1,"───","")</f>
        <v/>
      </c>
      <c r="G249" s="164" t="str">
        <f>IF('01_Stations'!$AI$209=1,"───","")</f>
        <v/>
      </c>
      <c r="H249" s="164" t="str">
        <f>IF('01_Stations'!$AI$210=1,"───","")</f>
        <v/>
      </c>
      <c r="I249" s="164" t="str">
        <f>IF('01_Stations'!$AI$211=1,"───","")</f>
        <v/>
      </c>
      <c r="J249" s="164" t="str">
        <f>IF('01_Stations'!$AI$212=1,"───","")</f>
        <v/>
      </c>
      <c r="K249" s="164" t="str">
        <f>IF('01_Stations'!$AI$213=1,"───","")</f>
        <v/>
      </c>
      <c r="L249" s="164" t="str">
        <f>IF('01_Stations'!$AI$214=1,"───","")</f>
        <v/>
      </c>
      <c r="M249" s="164" t="str">
        <f>IF('01_Stations'!$AI$215=1,"───","")</f>
        <v/>
      </c>
      <c r="N249" s="164" t="str">
        <f>IF('01_Stations'!$AI$216=1,"───","")</f>
        <v/>
      </c>
      <c r="O249" s="164" t="str">
        <f>IF('01_Stations'!$AI$217=1,"───","")</f>
        <v/>
      </c>
      <c r="P249" s="164" t="str">
        <f>IF('01_Stations'!$AI$218=1,"───","")</f>
        <v/>
      </c>
      <c r="Q249" s="164" t="str">
        <f>IF('01_Stations'!$AI$219=1,"───","")</f>
        <v/>
      </c>
      <c r="R249" s="164" t="str">
        <f>IF('01_Stations'!$AI$220=1,"───","")</f>
        <v/>
      </c>
      <c r="S249" s="164" t="str">
        <f>IF('01_Stations'!$AI$221=1,"───","")</f>
        <v/>
      </c>
      <c r="T249" s="164" t="str">
        <f>IF('01_Stations'!$AI$222=1,"───","")</f>
        <v/>
      </c>
      <c r="U249" s="164" t="str">
        <f>IF('01_Stations'!$AI$223=1,"───","")</f>
        <v/>
      </c>
      <c r="V249" s="164" t="str">
        <f>IF('01_Stations'!$AI$224=1,"───","")</f>
        <v/>
      </c>
      <c r="W249" s="164" t="str">
        <f>IF('01_Stations'!$AI$225=1,"───","")</f>
        <v/>
      </c>
      <c r="X249" s="164" t="str">
        <f>IF('01_Stations'!$AI$226=1,"───","")</f>
        <v/>
      </c>
      <c r="Y249" s="164" t="str">
        <f>IF('01_Stations'!$AI$227=1,"───","")</f>
        <v/>
      </c>
      <c r="Z249" s="164" t="str">
        <f>IF('01_Stations'!$AI$228=1,"───","")</f>
        <v/>
      </c>
      <c r="AA249" s="164" t="str">
        <f>IF('01_Stations'!$AI$229=1,"───","")</f>
        <v/>
      </c>
      <c r="AB249" s="164" t="str">
        <f>IF('01_Stations'!$AI$230=1,"───","")</f>
        <v/>
      </c>
      <c r="AC249" s="164" t="str">
        <f>IF('01_Stations'!$AI$231=1,"───","")</f>
        <v/>
      </c>
      <c r="AD249" s="164" t="str">
        <f>IF('01_Stations'!$AI$232=1,"───","")</f>
        <v/>
      </c>
      <c r="AE249" s="164" t="str">
        <f>IF('01_Stations'!$AI$233=1,"───","")</f>
        <v/>
      </c>
      <c r="AF249" s="164" t="str">
        <f>IF('01_Stations'!$AI$234=1,"───","")</f>
        <v/>
      </c>
      <c r="AG249" s="164" t="str">
        <f>IF('01_Stations'!$AI$235=1,"───","")</f>
        <v/>
      </c>
      <c r="AH249" s="164" t="str">
        <f>IF('01_Stations'!$AI$236=1,"───","")</f>
        <v/>
      </c>
      <c r="AI249" s="164" t="str">
        <f>IF('01_Stations'!$AI$237=1,"───","")</f>
        <v/>
      </c>
      <c r="AJ249" s="164" t="str">
        <f>IF('01_Stations'!$AI$238=1,"───","")</f>
        <v/>
      </c>
      <c r="AK249" s="164" t="str">
        <f>IF('01_Stations'!$AI$239=1,"───","")</f>
        <v/>
      </c>
      <c r="AL249" s="164" t="str">
        <f>IF('01_Stations'!$AI$240=1,"───","")</f>
        <v/>
      </c>
      <c r="AM249" s="164" t="str">
        <f>IF('01_Stations'!$AI$241=1,"───","")</f>
        <v/>
      </c>
      <c r="AN249" s="164" t="str">
        <f>IF('01_Stations'!$AI$242=1,"───","")</f>
        <v/>
      </c>
      <c r="AO249" s="164" t="str">
        <f>IF('01_Stations'!$AI$243=1,"───","")</f>
        <v/>
      </c>
      <c r="AP249" s="164" t="str">
        <f>IF('01_Stations'!$AI$244=1,"───","")</f>
        <v/>
      </c>
      <c r="AQ249" s="164" t="str">
        <f>IF('01_Stations'!$AI$245=1,"───","")</f>
        <v/>
      </c>
    </row>
    <row r="250" spans="1:43" ht="15" customHeight="1" x14ac:dyDescent="0.3">
      <c r="A250" s="236"/>
      <c r="B250" s="165" t="s">
        <v>293</v>
      </c>
      <c r="C250" s="166"/>
      <c r="D250" s="164" t="str">
        <f>IF('01_Stations'!$AJ$206=1,"───","")</f>
        <v/>
      </c>
      <c r="E250" s="164" t="str">
        <f>IF('01_Stations'!$AJ$207=1,"───","")</f>
        <v/>
      </c>
      <c r="F250" s="164" t="str">
        <f>IF('01_Stations'!$AJ$208=1,"───","")</f>
        <v/>
      </c>
      <c r="G250" s="164" t="str">
        <f>IF('01_Stations'!$AJ$209=1,"───","")</f>
        <v/>
      </c>
      <c r="H250" s="164" t="str">
        <f>IF('01_Stations'!$AJ$210=1,"───","")</f>
        <v/>
      </c>
      <c r="I250" s="164" t="str">
        <f>IF('01_Stations'!$AJ$211=1,"───","")</f>
        <v/>
      </c>
      <c r="J250" s="164" t="str">
        <f>IF('01_Stations'!$AJ$212=1,"───","")</f>
        <v/>
      </c>
      <c r="K250" s="164" t="str">
        <f>IF('01_Stations'!$AJ$213=1,"───","")</f>
        <v/>
      </c>
      <c r="L250" s="164" t="str">
        <f>IF('01_Stations'!$AJ$214=1,"───","")</f>
        <v/>
      </c>
      <c r="M250" s="164" t="str">
        <f>IF('01_Stations'!$AJ$215=1,"───","")</f>
        <v/>
      </c>
      <c r="N250" s="164" t="str">
        <f>IF('01_Stations'!$AJ$216=1,"───","")</f>
        <v/>
      </c>
      <c r="O250" s="164" t="str">
        <f>IF('01_Stations'!$AJ$217=1,"───","")</f>
        <v/>
      </c>
      <c r="P250" s="164" t="str">
        <f>IF('01_Stations'!$AJ$218=1,"───","")</f>
        <v/>
      </c>
      <c r="Q250" s="164" t="str">
        <f>IF('01_Stations'!$AJ$219=1,"───","")</f>
        <v/>
      </c>
      <c r="R250" s="164" t="str">
        <f>IF('01_Stations'!$AJ$220=1,"───","")</f>
        <v/>
      </c>
      <c r="S250" s="164" t="str">
        <f>IF('01_Stations'!$AJ$221=1,"───","")</f>
        <v/>
      </c>
      <c r="T250" s="164" t="str">
        <f>IF('01_Stations'!$AJ$222=1,"───","")</f>
        <v/>
      </c>
      <c r="U250" s="164" t="str">
        <f>IF('01_Stations'!$AJ$223=1,"───","")</f>
        <v/>
      </c>
      <c r="V250" s="164" t="str">
        <f>IF('01_Stations'!$AJ$224=1,"───","")</f>
        <v/>
      </c>
      <c r="W250" s="164" t="str">
        <f>IF('01_Stations'!$AJ$225=1,"───","")</f>
        <v/>
      </c>
      <c r="X250" s="164" t="str">
        <f>IF('01_Stations'!$AJ$226=1,"───","")</f>
        <v/>
      </c>
      <c r="Y250" s="164" t="str">
        <f>IF('01_Stations'!$AJ$227=1,"───","")</f>
        <v/>
      </c>
      <c r="Z250" s="164" t="str">
        <f>IF('01_Stations'!$AJ$228=1,"───","")</f>
        <v/>
      </c>
      <c r="AA250" s="164" t="str">
        <f>IF('01_Stations'!$AJ$229=1,"───","")</f>
        <v/>
      </c>
      <c r="AB250" s="164" t="str">
        <f>IF('01_Stations'!$AJ$230=1,"───","")</f>
        <v/>
      </c>
      <c r="AC250" s="164" t="str">
        <f>IF('01_Stations'!$AJ$231=1,"───","")</f>
        <v/>
      </c>
      <c r="AD250" s="164" t="str">
        <f>IF('01_Stations'!$AJ$232=1,"───","")</f>
        <v/>
      </c>
      <c r="AE250" s="164" t="str">
        <f>IF('01_Stations'!$AJ$233=1,"───","")</f>
        <v/>
      </c>
      <c r="AF250" s="164" t="str">
        <f>IF('01_Stations'!$AJ$234=1,"───","")</f>
        <v/>
      </c>
      <c r="AG250" s="164" t="str">
        <f>IF('01_Stations'!$AJ$235=1,"───","")</f>
        <v/>
      </c>
      <c r="AH250" s="164" t="str">
        <f>IF('01_Stations'!$AJ$236=1,"───","")</f>
        <v/>
      </c>
      <c r="AI250" s="164" t="str">
        <f>IF('01_Stations'!$AJ$237=1,"───","")</f>
        <v/>
      </c>
      <c r="AJ250" s="164" t="str">
        <f>IF('01_Stations'!$AJ$238=1,"───","")</f>
        <v/>
      </c>
      <c r="AK250" s="164" t="str">
        <f>IF('01_Stations'!$AJ$239=1,"───","")</f>
        <v/>
      </c>
      <c r="AL250" s="164" t="str">
        <f>IF('01_Stations'!$AJ$240=1,"───","")</f>
        <v/>
      </c>
      <c r="AM250" s="164" t="str">
        <f>IF('01_Stations'!$AJ$241=1,"───","")</f>
        <v/>
      </c>
      <c r="AN250" s="164" t="str">
        <f>IF('01_Stations'!$AJ$242=1,"───","")</f>
        <v/>
      </c>
      <c r="AO250" s="164" t="str">
        <f>IF('01_Stations'!$AJ$243=1,"───","")</f>
        <v/>
      </c>
      <c r="AP250" s="164" t="str">
        <f>IF('01_Stations'!$AJ$244=1,"───","")</f>
        <v/>
      </c>
      <c r="AQ250" s="164" t="str">
        <f>IF('01_Stations'!$AJ$245=1,"───","")</f>
        <v/>
      </c>
    </row>
    <row r="251" spans="1:43" ht="15" customHeight="1" x14ac:dyDescent="0.3">
      <c r="A251" s="236"/>
      <c r="B251" s="165" t="s">
        <v>294</v>
      </c>
      <c r="C251" s="166" t="s">
        <v>299</v>
      </c>
      <c r="D251" s="164" t="str">
        <f>IF(N('01_Stations'!$AK$206)&gt;0,'01_Stations'!$AK$206,"")</f>
        <v/>
      </c>
      <c r="E251" s="164" t="str">
        <f>IF(N('01_Stations'!$AK$207)&gt;0,'01_Stations'!$AK$207,"")</f>
        <v/>
      </c>
      <c r="F251" s="164" t="str">
        <f>IF(N('01_Stations'!$AK$208)&gt;0,'01_Stations'!$AK$208,"")</f>
        <v/>
      </c>
      <c r="G251" s="164" t="str">
        <f>IF(N('01_Stations'!$AK$209)&gt;0,'01_Stations'!$AK$209,"")</f>
        <v/>
      </c>
      <c r="H251" s="164" t="str">
        <f>IF(N('01_Stations'!$AK$210)&gt;0,'01_Stations'!$AK$210,"")</f>
        <v/>
      </c>
      <c r="I251" s="164" t="str">
        <f>IF(N('01_Stations'!$AK$211)&gt;0,'01_Stations'!$AK$211,"")</f>
        <v/>
      </c>
      <c r="J251" s="164" t="str">
        <f>IF(N('01_Stations'!$AK$212)&gt;0,'01_Stations'!$AK$212,"")</f>
        <v/>
      </c>
      <c r="K251" s="164" t="str">
        <f>IF(N('01_Stations'!$AK$213)&gt;0,'01_Stations'!$AK$213,"")</f>
        <v/>
      </c>
      <c r="L251" s="164" t="str">
        <f>IF(N('01_Stations'!$AK$214)&gt;0,'01_Stations'!$AK$214,"")</f>
        <v/>
      </c>
      <c r="M251" s="164" t="str">
        <f>IF(N('01_Stations'!$AK$215)&gt;0,'01_Stations'!$AK$215,"")</f>
        <v/>
      </c>
      <c r="N251" s="164" t="str">
        <f>IF(N('01_Stations'!$AK$216)&gt;0,'01_Stations'!$AK$216,"")</f>
        <v/>
      </c>
      <c r="O251" s="164" t="str">
        <f>IF(N('01_Stations'!$AK$217)&gt;0,'01_Stations'!$AK$217,"")</f>
        <v/>
      </c>
      <c r="P251" s="164" t="str">
        <f>IF(N('01_Stations'!$AK$218)&gt;0,'01_Stations'!$AK$218,"")</f>
        <v/>
      </c>
      <c r="Q251" s="164" t="str">
        <f>IF(N('01_Stations'!$AK$219)&gt;0,'01_Stations'!$AK$219,"")</f>
        <v/>
      </c>
      <c r="R251" s="164" t="str">
        <f>IF(N('01_Stations'!$AK$220)&gt;0,'01_Stations'!$AK$220,"")</f>
        <v/>
      </c>
      <c r="S251" s="164" t="str">
        <f>IF(N('01_Stations'!$AK$221)&gt;0,'01_Stations'!$AK$221,"")</f>
        <v/>
      </c>
      <c r="T251" s="164" t="str">
        <f>IF(N('01_Stations'!$AK$222)&gt;0,'01_Stations'!$AK$222,"")</f>
        <v/>
      </c>
      <c r="U251" s="164" t="str">
        <f>IF(N('01_Stations'!$AK$223)&gt;0,'01_Stations'!$AK$223,"")</f>
        <v/>
      </c>
      <c r="V251" s="164" t="str">
        <f>IF(N('01_Stations'!$AK$224)&gt;0,'01_Stations'!$AK$224,"")</f>
        <v/>
      </c>
      <c r="W251" s="164" t="str">
        <f>IF(N('01_Stations'!$AK$225)&gt;0,'01_Stations'!$AK$225,"")</f>
        <v/>
      </c>
      <c r="X251" s="164" t="str">
        <f>IF(N('01_Stations'!$AK$226)&gt;0,'01_Stations'!$AK$226,"")</f>
        <v/>
      </c>
      <c r="Y251" s="164" t="str">
        <f>IF(N('01_Stations'!$AK$227)&gt;0,'01_Stations'!$AK$227,"")</f>
        <v/>
      </c>
      <c r="Z251" s="164" t="str">
        <f>IF(N('01_Stations'!$AK$228)&gt;0,'01_Stations'!$AK$228,"")</f>
        <v/>
      </c>
      <c r="AA251" s="164" t="str">
        <f>IF(N('01_Stations'!$AK$229)&gt;0,'01_Stations'!$AK$229,"")</f>
        <v/>
      </c>
      <c r="AB251" s="164" t="str">
        <f>IF(N('01_Stations'!$AK$230)&gt;0,'01_Stations'!$AK$230,"")</f>
        <v/>
      </c>
      <c r="AC251" s="164" t="str">
        <f>IF(N('01_Stations'!$AK$231)&gt;0,'01_Stations'!$AK$231,"")</f>
        <v/>
      </c>
      <c r="AD251" s="164" t="str">
        <f>IF(N('01_Stations'!$AK$232)&gt;0,'01_Stations'!$AK$232,"")</f>
        <v/>
      </c>
      <c r="AE251" s="164" t="str">
        <f>IF(N('01_Stations'!$AK$233)&gt;0,'01_Stations'!$AK$233,"")</f>
        <v/>
      </c>
      <c r="AF251" s="164" t="str">
        <f>IF(N('01_Stations'!$AK$234)&gt;0,'01_Stations'!$AK$234,"")</f>
        <v/>
      </c>
      <c r="AG251" s="164" t="str">
        <f>IF(N('01_Stations'!$AK$235)&gt;0,'01_Stations'!$AK$235,"")</f>
        <v/>
      </c>
      <c r="AH251" s="164" t="str">
        <f>IF(N('01_Stations'!$AK$236)&gt;0,'01_Stations'!$AK$236,"")</f>
        <v/>
      </c>
      <c r="AI251" s="164" t="str">
        <f>IF(N('01_Stations'!$AK$237)&gt;0,'01_Stations'!$AK$237,"")</f>
        <v/>
      </c>
      <c r="AJ251" s="164" t="str">
        <f>IF(N('01_Stations'!$AK$238)&gt;0,'01_Stations'!$AK$238,"")</f>
        <v/>
      </c>
      <c r="AK251" s="164" t="str">
        <f>IF(N('01_Stations'!$AK$239)&gt;0,'01_Stations'!$AK$239,"")</f>
        <v/>
      </c>
      <c r="AL251" s="164" t="str">
        <f>IF(N('01_Stations'!$AK$240)&gt;0,'01_Stations'!$AK$240,"")</f>
        <v/>
      </c>
      <c r="AM251" s="164" t="str">
        <f>IF(N('01_Stations'!$AK$241)&gt;0,'01_Stations'!$AK$241,"")</f>
        <v/>
      </c>
      <c r="AN251" s="164" t="str">
        <f>IF(N('01_Stations'!$AK$242)&gt;0,'01_Stations'!$AK$242,"")</f>
        <v/>
      </c>
      <c r="AO251" s="164" t="str">
        <f>IF(N('01_Stations'!$AK$243)&gt;0,'01_Stations'!$AK$243,"")</f>
        <v/>
      </c>
      <c r="AP251" s="164" t="str">
        <f>IF(N('01_Stations'!$AK$244)&gt;0,'01_Stations'!$AK$244,"")</f>
        <v/>
      </c>
      <c r="AQ251" s="164" t="str">
        <f>IF(N('01_Stations'!$AK$245)&gt;0,'01_Stations'!$AK$245,"")</f>
        <v/>
      </c>
    </row>
    <row r="252" spans="1:43" ht="15" customHeight="1" x14ac:dyDescent="0.3">
      <c r="A252" s="236"/>
      <c r="B252" s="165" t="s">
        <v>295</v>
      </c>
      <c r="C252" s="166" t="s">
        <v>299</v>
      </c>
      <c r="D252" s="164" t="str">
        <f>IF(N('01_Stations'!$AL$206)&gt;0,'01_Stations'!$AL$206,"")</f>
        <v/>
      </c>
      <c r="E252" s="164" t="str">
        <f>IF(N('01_Stations'!$AL$207)&gt;0,'01_Stations'!$AL$207,"")</f>
        <v/>
      </c>
      <c r="F252" s="164" t="str">
        <f>IF(N('01_Stations'!$AL$208)&gt;0,'01_Stations'!$AL$208,"")</f>
        <v/>
      </c>
      <c r="G252" s="164" t="str">
        <f>IF(N('01_Stations'!$AL$209)&gt;0,'01_Stations'!$AL$209,"")</f>
        <v/>
      </c>
      <c r="H252" s="164" t="str">
        <f>IF(N('01_Stations'!$AL$210)&gt;0,'01_Stations'!$AL$210,"")</f>
        <v/>
      </c>
      <c r="I252" s="164" t="str">
        <f>IF(N('01_Stations'!$AL$211)&gt;0,'01_Stations'!$AL$211,"")</f>
        <v/>
      </c>
      <c r="J252" s="164" t="str">
        <f>IF(N('01_Stations'!$AL$212)&gt;0,'01_Stations'!$AL$212,"")</f>
        <v/>
      </c>
      <c r="K252" s="164" t="str">
        <f>IF(N('01_Stations'!$AL$213)&gt;0,'01_Stations'!$AL$213,"")</f>
        <v/>
      </c>
      <c r="L252" s="164" t="str">
        <f>IF(N('01_Stations'!$AL$214)&gt;0,'01_Stations'!$AL$214,"")</f>
        <v/>
      </c>
      <c r="M252" s="164" t="str">
        <f>IF(N('01_Stations'!$AL$215)&gt;0,'01_Stations'!$AL$215,"")</f>
        <v/>
      </c>
      <c r="N252" s="164" t="str">
        <f>IF(N('01_Stations'!$AL$216)&gt;0,'01_Stations'!$AL$216,"")</f>
        <v/>
      </c>
      <c r="O252" s="164" t="str">
        <f>IF(N('01_Stations'!$AL$217)&gt;0,'01_Stations'!$AL$217,"")</f>
        <v/>
      </c>
      <c r="P252" s="164" t="str">
        <f>IF(N('01_Stations'!$AL$218)&gt;0,'01_Stations'!$AL$218,"")</f>
        <v/>
      </c>
      <c r="Q252" s="164" t="str">
        <f>IF(N('01_Stations'!$AL$219)&gt;0,'01_Stations'!$AL$219,"")</f>
        <v/>
      </c>
      <c r="R252" s="164" t="str">
        <f>IF(N('01_Stations'!$AL$220)&gt;0,'01_Stations'!$AL$220,"")</f>
        <v/>
      </c>
      <c r="S252" s="164" t="str">
        <f>IF(N('01_Stations'!$AL$221)&gt;0,'01_Stations'!$AL$221,"")</f>
        <v/>
      </c>
      <c r="T252" s="164" t="str">
        <f>IF(N('01_Stations'!$AL$222)&gt;0,'01_Stations'!$AL$222,"")</f>
        <v/>
      </c>
      <c r="U252" s="164" t="str">
        <f>IF(N('01_Stations'!$AL$223)&gt;0,'01_Stations'!$AL$223,"")</f>
        <v/>
      </c>
      <c r="V252" s="164" t="str">
        <f>IF(N('01_Stations'!$AL$224)&gt;0,'01_Stations'!$AL$224,"")</f>
        <v/>
      </c>
      <c r="W252" s="164" t="str">
        <f>IF(N('01_Stations'!$AL$225)&gt;0,'01_Stations'!$AL$225,"")</f>
        <v/>
      </c>
      <c r="X252" s="164" t="str">
        <f>IF(N('01_Stations'!$AL$226)&gt;0,'01_Stations'!$AL$226,"")</f>
        <v/>
      </c>
      <c r="Y252" s="164" t="str">
        <f>IF(N('01_Stations'!$AL$227)&gt;0,'01_Stations'!$AL$227,"")</f>
        <v/>
      </c>
      <c r="Z252" s="164" t="str">
        <f>IF(N('01_Stations'!$AL$228)&gt;0,'01_Stations'!$AL$228,"")</f>
        <v/>
      </c>
      <c r="AA252" s="164" t="str">
        <f>IF(N('01_Stations'!$AL$229)&gt;0,'01_Stations'!$AL$229,"")</f>
        <v/>
      </c>
      <c r="AB252" s="164" t="str">
        <f>IF(N('01_Stations'!$AL$230)&gt;0,'01_Stations'!$AL$230,"")</f>
        <v/>
      </c>
      <c r="AC252" s="164" t="str">
        <f>IF(N('01_Stations'!$AL$231)&gt;0,'01_Stations'!$AL$231,"")</f>
        <v/>
      </c>
      <c r="AD252" s="164" t="str">
        <f>IF(N('01_Stations'!$AL$232)&gt;0,'01_Stations'!$AL$232,"")</f>
        <v/>
      </c>
      <c r="AE252" s="164" t="str">
        <f>IF(N('01_Stations'!$AL$233)&gt;0,'01_Stations'!$AL$233,"")</f>
        <v/>
      </c>
      <c r="AF252" s="164" t="str">
        <f>IF(N('01_Stations'!$AL$234)&gt;0,'01_Stations'!$AL$234,"")</f>
        <v/>
      </c>
      <c r="AG252" s="164" t="str">
        <f>IF(N('01_Stations'!$AL$235)&gt;0,'01_Stations'!$AL$235,"")</f>
        <v/>
      </c>
      <c r="AH252" s="164" t="str">
        <f>IF(N('01_Stations'!$AL$236)&gt;0,'01_Stations'!$AL$236,"")</f>
        <v/>
      </c>
      <c r="AI252" s="164" t="str">
        <f>IF(N('01_Stations'!$AL$237)&gt;0,'01_Stations'!$AL$237,"")</f>
        <v/>
      </c>
      <c r="AJ252" s="164" t="str">
        <f>IF(N('01_Stations'!$AL$238)&gt;0,'01_Stations'!$AL$238,"")</f>
        <v/>
      </c>
      <c r="AK252" s="164" t="str">
        <f>IF(N('01_Stations'!$AL$239)&gt;0,'01_Stations'!$AL$239,"")</f>
        <v/>
      </c>
      <c r="AL252" s="164" t="str">
        <f>IF(N('01_Stations'!$AL$240)&gt;0,'01_Stations'!$AL$240,"")</f>
        <v/>
      </c>
      <c r="AM252" s="164" t="str">
        <f>IF(N('01_Stations'!$AL$241)&gt;0,'01_Stations'!$AL$241,"")</f>
        <v/>
      </c>
      <c r="AN252" s="164" t="str">
        <f>IF(N('01_Stations'!$AL$242)&gt;0,'01_Stations'!$AL$242,"")</f>
        <v/>
      </c>
      <c r="AO252" s="164" t="str">
        <f>IF(N('01_Stations'!$AL$243)&gt;0,'01_Stations'!$AL$243,"")</f>
        <v/>
      </c>
      <c r="AP252" s="164" t="str">
        <f>IF(N('01_Stations'!$AL$244)&gt;0,'01_Stations'!$AL$244,"")</f>
        <v/>
      </c>
      <c r="AQ252" s="164" t="str">
        <f>IF(N('01_Stations'!$AL$245)&gt;0,'01_Stations'!$AL$245,"")</f>
        <v/>
      </c>
    </row>
    <row r="253" spans="1:43" ht="15" customHeight="1" x14ac:dyDescent="0.3">
      <c r="A253" s="236"/>
      <c r="B253" s="165" t="s">
        <v>230</v>
      </c>
      <c r="C253" s="166"/>
      <c r="D253" s="164" t="str">
        <f>IF('01_Stations'!$AM$206=1,"───","")</f>
        <v/>
      </c>
      <c r="E253" s="164" t="str">
        <f>IF('01_Stations'!$AM$207=1,"───","")</f>
        <v/>
      </c>
      <c r="F253" s="164" t="str">
        <f>IF('01_Stations'!$AM$208=1,"───","")</f>
        <v/>
      </c>
      <c r="G253" s="164" t="str">
        <f>IF('01_Stations'!$AM$209=1,"───","")</f>
        <v/>
      </c>
      <c r="H253" s="164" t="str">
        <f>IF('01_Stations'!$AM$210=1,"───","")</f>
        <v/>
      </c>
      <c r="I253" s="164" t="str">
        <f>IF('01_Stations'!$AM$211=1,"───","")</f>
        <v/>
      </c>
      <c r="J253" s="164" t="str">
        <f>IF('01_Stations'!$AM$212=1,"───","")</f>
        <v/>
      </c>
      <c r="K253" s="164" t="str">
        <f>IF('01_Stations'!$AM$213=1,"───","")</f>
        <v/>
      </c>
      <c r="L253" s="164" t="str">
        <f>IF('01_Stations'!$AM$214=1,"───","")</f>
        <v/>
      </c>
      <c r="M253" s="164" t="str">
        <f>IF('01_Stations'!$AM$215=1,"───","")</f>
        <v/>
      </c>
      <c r="N253" s="164" t="str">
        <f>IF('01_Stations'!$AM$216=1,"───","")</f>
        <v/>
      </c>
      <c r="O253" s="164" t="str">
        <f>IF('01_Stations'!$AM$217=1,"───","")</f>
        <v/>
      </c>
      <c r="P253" s="164" t="str">
        <f>IF('01_Stations'!$AM$218=1,"───","")</f>
        <v/>
      </c>
      <c r="Q253" s="164" t="str">
        <f>IF('01_Stations'!$AM$219=1,"───","")</f>
        <v/>
      </c>
      <c r="R253" s="164" t="str">
        <f>IF('01_Stations'!$AM$220=1,"───","")</f>
        <v/>
      </c>
      <c r="S253" s="164" t="str">
        <f>IF('01_Stations'!$AM$221=1,"───","")</f>
        <v/>
      </c>
      <c r="T253" s="164" t="str">
        <f>IF('01_Stations'!$AM$222=1,"───","")</f>
        <v/>
      </c>
      <c r="U253" s="164" t="str">
        <f>IF('01_Stations'!$AM$223=1,"───","")</f>
        <v/>
      </c>
      <c r="V253" s="164" t="str">
        <f>IF('01_Stations'!$AM$224=1,"───","")</f>
        <v/>
      </c>
      <c r="W253" s="164" t="str">
        <f>IF('01_Stations'!$AM$225=1,"───","")</f>
        <v/>
      </c>
      <c r="X253" s="164" t="str">
        <f>IF('01_Stations'!$AM$226=1,"───","")</f>
        <v/>
      </c>
      <c r="Y253" s="164" t="str">
        <f>IF('01_Stations'!$AM$227=1,"───","")</f>
        <v/>
      </c>
      <c r="Z253" s="164" t="str">
        <f>IF('01_Stations'!$AM$228=1,"───","")</f>
        <v/>
      </c>
      <c r="AA253" s="164" t="str">
        <f>IF('01_Stations'!$AM$229=1,"───","")</f>
        <v/>
      </c>
      <c r="AB253" s="164" t="str">
        <f>IF('01_Stations'!$AM$230=1,"───","")</f>
        <v/>
      </c>
      <c r="AC253" s="164" t="str">
        <f>IF('01_Stations'!$AM$231=1,"───","")</f>
        <v/>
      </c>
      <c r="AD253" s="164" t="str">
        <f>IF('01_Stations'!$AM$232=1,"───","")</f>
        <v/>
      </c>
      <c r="AE253" s="164" t="str">
        <f>IF('01_Stations'!$AM$233=1,"───","")</f>
        <v/>
      </c>
      <c r="AF253" s="164" t="str">
        <f>IF('01_Stations'!$AM$234=1,"───","")</f>
        <v/>
      </c>
      <c r="AG253" s="164" t="str">
        <f>IF('01_Stations'!$AM$235=1,"───","")</f>
        <v/>
      </c>
      <c r="AH253" s="164" t="str">
        <f>IF('01_Stations'!$AM$236=1,"───","")</f>
        <v/>
      </c>
      <c r="AI253" s="164" t="str">
        <f>IF('01_Stations'!$AM$237=1,"───","")</f>
        <v/>
      </c>
      <c r="AJ253" s="164" t="str">
        <f>IF('01_Stations'!$AM$238=1,"───","")</f>
        <v/>
      </c>
      <c r="AK253" s="164" t="str">
        <f>IF('01_Stations'!$AM$239=1,"───","")</f>
        <v/>
      </c>
      <c r="AL253" s="164" t="str">
        <f>IF('01_Stations'!$AM$240=1,"───","")</f>
        <v/>
      </c>
      <c r="AM253" s="164" t="str">
        <f>IF('01_Stations'!$AM$241=1,"───","")</f>
        <v/>
      </c>
      <c r="AN253" s="164" t="str">
        <f>IF('01_Stations'!$AM$242=1,"───","")</f>
        <v/>
      </c>
      <c r="AO253" s="164" t="str">
        <f>IF('01_Stations'!$AM$243=1,"───","")</f>
        <v/>
      </c>
      <c r="AP253" s="164" t="str">
        <f>IF('01_Stations'!$AM$244=1,"───","")</f>
        <v/>
      </c>
      <c r="AQ253" s="164" t="str">
        <f>IF('01_Stations'!$AM$245=1,"───","")</f>
        <v/>
      </c>
    </row>
    <row r="254" spans="1:43" ht="15" customHeight="1" x14ac:dyDescent="0.3">
      <c r="A254" s="236"/>
      <c r="B254" s="165" t="s">
        <v>231</v>
      </c>
      <c r="C254" s="166"/>
      <c r="D254" s="164" t="str">
        <f>IF('01_Stations'!$AN$206=1,"───","")</f>
        <v/>
      </c>
      <c r="E254" s="164" t="str">
        <f>IF('01_Stations'!$AN$207=1,"───","")</f>
        <v/>
      </c>
      <c r="F254" s="164" t="str">
        <f>IF('01_Stations'!$AN$208=1,"───","")</f>
        <v/>
      </c>
      <c r="G254" s="164" t="str">
        <f>IF('01_Stations'!$AN$209=1,"───","")</f>
        <v/>
      </c>
      <c r="H254" s="164" t="str">
        <f>IF('01_Stations'!$AN$210=1,"───","")</f>
        <v/>
      </c>
      <c r="I254" s="164" t="str">
        <f>IF('01_Stations'!$AN$211=1,"───","")</f>
        <v/>
      </c>
      <c r="J254" s="164" t="str">
        <f>IF('01_Stations'!$AN$212=1,"───","")</f>
        <v/>
      </c>
      <c r="K254" s="164" t="str">
        <f>IF('01_Stations'!$AN$213=1,"───","")</f>
        <v/>
      </c>
      <c r="L254" s="164" t="str">
        <f>IF('01_Stations'!$AN$214=1,"───","")</f>
        <v/>
      </c>
      <c r="M254" s="164" t="str">
        <f>IF('01_Stations'!$AN$215=1,"───","")</f>
        <v/>
      </c>
      <c r="N254" s="164" t="str">
        <f>IF('01_Stations'!$AN$216=1,"───","")</f>
        <v/>
      </c>
      <c r="O254" s="164" t="str">
        <f>IF('01_Stations'!$AN$217=1,"───","")</f>
        <v/>
      </c>
      <c r="P254" s="164" t="str">
        <f>IF('01_Stations'!$AN$218=1,"───","")</f>
        <v/>
      </c>
      <c r="Q254" s="164" t="str">
        <f>IF('01_Stations'!$AN$219=1,"───","")</f>
        <v/>
      </c>
      <c r="R254" s="164" t="str">
        <f>IF('01_Stations'!$AN$220=1,"───","")</f>
        <v/>
      </c>
      <c r="S254" s="164" t="str">
        <f>IF('01_Stations'!$AN$221=1,"───","")</f>
        <v/>
      </c>
      <c r="T254" s="164" t="str">
        <f>IF('01_Stations'!$AN$222=1,"───","")</f>
        <v/>
      </c>
      <c r="U254" s="164" t="str">
        <f>IF('01_Stations'!$AN$223=1,"───","")</f>
        <v/>
      </c>
      <c r="V254" s="164" t="str">
        <f>IF('01_Stations'!$AN$224=1,"───","")</f>
        <v/>
      </c>
      <c r="W254" s="164" t="str">
        <f>IF('01_Stations'!$AN$225=1,"───","")</f>
        <v/>
      </c>
      <c r="X254" s="164" t="str">
        <f>IF('01_Stations'!$AN$226=1,"───","")</f>
        <v/>
      </c>
      <c r="Y254" s="164" t="str">
        <f>IF('01_Stations'!$AN$227=1,"───","")</f>
        <v/>
      </c>
      <c r="Z254" s="164" t="str">
        <f>IF('01_Stations'!$AN$228=1,"───","")</f>
        <v/>
      </c>
      <c r="AA254" s="164" t="str">
        <f>IF('01_Stations'!$AN$229=1,"───","")</f>
        <v/>
      </c>
      <c r="AB254" s="164" t="str">
        <f>IF('01_Stations'!$AN$230=1,"───","")</f>
        <v/>
      </c>
      <c r="AC254" s="164" t="str">
        <f>IF('01_Stations'!$AN$231=1,"───","")</f>
        <v/>
      </c>
      <c r="AD254" s="164" t="str">
        <f>IF('01_Stations'!$AN$232=1,"───","")</f>
        <v/>
      </c>
      <c r="AE254" s="164" t="str">
        <f>IF('01_Stations'!$AN$233=1,"───","")</f>
        <v/>
      </c>
      <c r="AF254" s="164" t="str">
        <f>IF('01_Stations'!$AN$234=1,"───","")</f>
        <v/>
      </c>
      <c r="AG254" s="164" t="str">
        <f>IF('01_Stations'!$AN$235=1,"───","")</f>
        <v/>
      </c>
      <c r="AH254" s="164" t="str">
        <f>IF('01_Stations'!$AN$236=1,"───","")</f>
        <v/>
      </c>
      <c r="AI254" s="164" t="str">
        <f>IF('01_Stations'!$AN$237=1,"───","")</f>
        <v/>
      </c>
      <c r="AJ254" s="164" t="str">
        <f>IF('01_Stations'!$AN$238=1,"───","")</f>
        <v/>
      </c>
      <c r="AK254" s="164" t="str">
        <f>IF('01_Stations'!$AN$239=1,"───","")</f>
        <v/>
      </c>
      <c r="AL254" s="164" t="str">
        <f>IF('01_Stations'!$AN$240=1,"───","")</f>
        <v/>
      </c>
      <c r="AM254" s="164" t="str">
        <f>IF('01_Stations'!$AN$241=1,"───","")</f>
        <v/>
      </c>
      <c r="AN254" s="164" t="str">
        <f>IF('01_Stations'!$AN$242=1,"───","")</f>
        <v/>
      </c>
      <c r="AO254" s="164" t="str">
        <f>IF('01_Stations'!$AN$243=1,"───","")</f>
        <v/>
      </c>
      <c r="AP254" s="164" t="str">
        <f>IF('01_Stations'!$AN$244=1,"───","")</f>
        <v/>
      </c>
      <c r="AQ254" s="164" t="str">
        <f>IF('01_Stations'!$AN$245=1,"───","")</f>
        <v/>
      </c>
    </row>
    <row r="255" spans="1:43" ht="15" customHeight="1" x14ac:dyDescent="0.3">
      <c r="A255" s="237"/>
      <c r="B255" s="165" t="s">
        <v>232</v>
      </c>
      <c r="C255" s="166"/>
      <c r="D255" s="164" t="str">
        <f>IF('01_Stations'!$AO$206=1,"───","")</f>
        <v/>
      </c>
      <c r="E255" s="164" t="str">
        <f>IF('01_Stations'!$AO$207=1,"───","")</f>
        <v/>
      </c>
      <c r="F255" s="164" t="str">
        <f>IF('01_Stations'!$AO$208=1,"───","")</f>
        <v/>
      </c>
      <c r="G255" s="164" t="str">
        <f>IF('01_Stations'!$AO$209=1,"───","")</f>
        <v/>
      </c>
      <c r="H255" s="164" t="str">
        <f>IF('01_Stations'!$AO$210=1,"───","")</f>
        <v/>
      </c>
      <c r="I255" s="164" t="str">
        <f>IF('01_Stations'!$AO$211=1,"───","")</f>
        <v/>
      </c>
      <c r="J255" s="164" t="str">
        <f>IF('01_Stations'!$AO$212=1,"───","")</f>
        <v/>
      </c>
      <c r="K255" s="164" t="str">
        <f>IF('01_Stations'!$AO$213=1,"───","")</f>
        <v/>
      </c>
      <c r="L255" s="164" t="str">
        <f>IF('01_Stations'!$AO$214=1,"───","")</f>
        <v/>
      </c>
      <c r="M255" s="164" t="str">
        <f>IF('01_Stations'!$AO$215=1,"───","")</f>
        <v/>
      </c>
      <c r="N255" s="164" t="str">
        <f>IF('01_Stations'!$AO$216=1,"───","")</f>
        <v/>
      </c>
      <c r="O255" s="164" t="str">
        <f>IF('01_Stations'!$AO$217=1,"───","")</f>
        <v/>
      </c>
      <c r="P255" s="164" t="str">
        <f>IF('01_Stations'!$AO$218=1,"───","")</f>
        <v/>
      </c>
      <c r="Q255" s="164" t="str">
        <f>IF('01_Stations'!$AO$219=1,"───","")</f>
        <v/>
      </c>
      <c r="R255" s="164" t="str">
        <f>IF('01_Stations'!$AO$220=1,"───","")</f>
        <v/>
      </c>
      <c r="S255" s="164" t="str">
        <f>IF('01_Stations'!$AO$221=1,"───","")</f>
        <v/>
      </c>
      <c r="T255" s="164" t="str">
        <f>IF('01_Stations'!$AO$222=1,"───","")</f>
        <v/>
      </c>
      <c r="U255" s="164" t="str">
        <f>IF('01_Stations'!$AO$223=1,"───","")</f>
        <v/>
      </c>
      <c r="V255" s="164" t="str">
        <f>IF('01_Stations'!$AO$224=1,"───","")</f>
        <v/>
      </c>
      <c r="W255" s="164" t="str">
        <f>IF('01_Stations'!$AO$225=1,"───","")</f>
        <v/>
      </c>
      <c r="X255" s="164" t="str">
        <f>IF('01_Stations'!$AO$226=1,"───","")</f>
        <v/>
      </c>
      <c r="Y255" s="164" t="str">
        <f>IF('01_Stations'!$AO$227=1,"───","")</f>
        <v/>
      </c>
      <c r="Z255" s="164" t="str">
        <f>IF('01_Stations'!$AO$228=1,"───","")</f>
        <v/>
      </c>
      <c r="AA255" s="164" t="str">
        <f>IF('01_Stations'!$AO$229=1,"───","")</f>
        <v/>
      </c>
      <c r="AB255" s="164" t="str">
        <f>IF('01_Stations'!$AO$230=1,"───","")</f>
        <v/>
      </c>
      <c r="AC255" s="164" t="str">
        <f>IF('01_Stations'!$AO$231=1,"───","")</f>
        <v/>
      </c>
      <c r="AD255" s="164" t="str">
        <f>IF('01_Stations'!$AO$232=1,"───","")</f>
        <v/>
      </c>
      <c r="AE255" s="164" t="str">
        <f>IF('01_Stations'!$AO$233=1,"───","")</f>
        <v/>
      </c>
      <c r="AF255" s="164" t="str">
        <f>IF('01_Stations'!$AO$234=1,"───","")</f>
        <v/>
      </c>
      <c r="AG255" s="164" t="str">
        <f>IF('01_Stations'!$AO$235=1,"───","")</f>
        <v/>
      </c>
      <c r="AH255" s="164" t="str">
        <f>IF('01_Stations'!$AO$236=1,"───","")</f>
        <v/>
      </c>
      <c r="AI255" s="164" t="str">
        <f>IF('01_Stations'!$AO$237=1,"───","")</f>
        <v/>
      </c>
      <c r="AJ255" s="164" t="str">
        <f>IF('01_Stations'!$AO$238=1,"───","")</f>
        <v/>
      </c>
      <c r="AK255" s="164" t="str">
        <f>IF('01_Stations'!$AO$239=1,"───","")</f>
        <v/>
      </c>
      <c r="AL255" s="164" t="str">
        <f>IF('01_Stations'!$AO$240=1,"───","")</f>
        <v/>
      </c>
      <c r="AM255" s="164" t="str">
        <f>IF('01_Stations'!$AO$241=1,"───","")</f>
        <v/>
      </c>
      <c r="AN255" s="164" t="str">
        <f>IF('01_Stations'!$AO$242=1,"───","")</f>
        <v/>
      </c>
      <c r="AO255" s="164" t="str">
        <f>IF('01_Stations'!$AO$243=1,"───","")</f>
        <v/>
      </c>
      <c r="AP255" s="164" t="str">
        <f>IF('01_Stations'!$AO$244=1,"───","")</f>
        <v/>
      </c>
      <c r="AQ255" s="164" t="str">
        <f>IF('01_Stations'!$AO$245=1,"───","")</f>
        <v/>
      </c>
    </row>
    <row r="256" spans="1:43" x14ac:dyDescent="0.3">
      <c r="A256" s="64"/>
      <c r="B256" s="64"/>
      <c r="C256" s="64"/>
      <c r="D256" s="106"/>
      <c r="E256" s="106"/>
      <c r="F256" s="106"/>
      <c r="G256" s="106"/>
      <c r="H256" s="106"/>
      <c r="I256" s="106"/>
      <c r="J256" s="106"/>
      <c r="K256" s="106"/>
      <c r="L256" s="106"/>
      <c r="M256" s="106"/>
      <c r="N256" s="106"/>
      <c r="O256" s="106"/>
      <c r="P256" s="106"/>
      <c r="Q256" s="106"/>
      <c r="R256" s="106"/>
      <c r="S256" s="106"/>
      <c r="T256" s="106"/>
      <c r="U256" s="106"/>
      <c r="V256" s="106"/>
      <c r="W256" s="106"/>
      <c r="X256" s="106"/>
      <c r="Y256" s="106"/>
      <c r="Z256" s="106"/>
      <c r="AA256" s="106"/>
      <c r="AB256" s="106"/>
      <c r="AC256" s="106"/>
      <c r="AD256" s="106"/>
      <c r="AE256" s="106"/>
      <c r="AF256" s="106"/>
      <c r="AG256" s="106"/>
      <c r="AH256" s="106"/>
      <c r="AI256" s="106"/>
      <c r="AJ256" s="106"/>
      <c r="AK256" s="106"/>
      <c r="AL256" s="106"/>
      <c r="AM256" s="106"/>
      <c r="AN256" s="106"/>
      <c r="AO256" s="106"/>
      <c r="AP256" s="106"/>
      <c r="AQ256" s="106"/>
    </row>
    <row r="257" spans="1:43" ht="15" customHeight="1" thickBot="1" x14ac:dyDescent="0.35">
      <c r="A257" s="64"/>
      <c r="B257" s="64"/>
      <c r="C257" s="64"/>
      <c r="D257" s="106"/>
      <c r="E257" s="106"/>
      <c r="F257" s="106"/>
      <c r="G257" s="106"/>
      <c r="H257" s="106"/>
      <c r="I257" s="106"/>
      <c r="J257" s="106"/>
      <c r="K257" s="106"/>
      <c r="L257" s="106"/>
      <c r="M257" s="106"/>
      <c r="N257" s="106"/>
      <c r="O257" s="106"/>
      <c r="P257" s="106"/>
      <c r="Q257" s="106"/>
      <c r="R257" s="106"/>
      <c r="S257" s="106"/>
      <c r="T257" s="106"/>
      <c r="U257" s="106"/>
      <c r="V257" s="106"/>
      <c r="W257" s="106"/>
      <c r="X257" s="106"/>
      <c r="Y257" s="106"/>
      <c r="Z257" s="106"/>
      <c r="AA257" s="106"/>
      <c r="AB257" s="106"/>
      <c r="AC257" s="106"/>
      <c r="AD257" s="106"/>
      <c r="AE257" s="106"/>
      <c r="AF257" s="106"/>
      <c r="AG257" s="106"/>
      <c r="AH257" s="106"/>
      <c r="AI257" s="106"/>
      <c r="AJ257" s="106"/>
      <c r="AK257" s="106"/>
      <c r="AL257" s="106"/>
      <c r="AM257" s="106"/>
      <c r="AN257" s="106"/>
      <c r="AO257" s="106"/>
      <c r="AP257" s="106"/>
      <c r="AQ257" s="106"/>
    </row>
    <row r="258" spans="1:43" ht="19.95" customHeight="1" thickBot="1" x14ac:dyDescent="0.35">
      <c r="A258" s="174" t="s">
        <v>2233</v>
      </c>
      <c r="B258" s="172"/>
      <c r="C258" s="172"/>
      <c r="D258" s="173" t="str">
        <f>IF(P_Length_km*1000&lt;=12000,"— beyond the end of the road —","")</f>
        <v>— beyond the end of the road —</v>
      </c>
      <c r="E258" s="173"/>
      <c r="F258" s="173"/>
      <c r="G258" s="173"/>
      <c r="H258" s="173"/>
      <c r="I258" s="173"/>
      <c r="J258" s="173"/>
      <c r="K258" s="173"/>
      <c r="L258" s="173"/>
      <c r="M258" s="173"/>
      <c r="N258" s="173"/>
      <c r="O258" s="173"/>
      <c r="P258" s="173"/>
      <c r="Q258" s="173"/>
      <c r="R258" s="173"/>
      <c r="S258" s="173"/>
      <c r="T258" s="173"/>
      <c r="U258" s="173"/>
      <c r="V258" s="173"/>
      <c r="W258" s="173"/>
      <c r="X258" s="173"/>
      <c r="Y258" s="173"/>
      <c r="Z258" s="173"/>
      <c r="AA258" s="173"/>
      <c r="AB258" s="173"/>
      <c r="AC258" s="173"/>
      <c r="AD258" s="173"/>
      <c r="AE258" s="173"/>
      <c r="AF258" s="173"/>
      <c r="AG258" s="173"/>
      <c r="AH258" s="173"/>
      <c r="AI258" s="173"/>
      <c r="AJ258" s="173"/>
      <c r="AK258" s="173"/>
      <c r="AL258" s="173"/>
      <c r="AM258" s="173"/>
      <c r="AN258" s="173"/>
      <c r="AO258" s="173"/>
      <c r="AP258" s="173"/>
      <c r="AQ258" s="175"/>
    </row>
    <row r="259" spans="1:43" x14ac:dyDescent="0.3">
      <c r="A259" s="170" t="s">
        <v>2234</v>
      </c>
      <c r="B259" s="170"/>
      <c r="C259" s="170" t="s">
        <v>2204</v>
      </c>
      <c r="D259" s="171">
        <v>0</v>
      </c>
      <c r="E259" s="171"/>
      <c r="F259" s="171">
        <v>100</v>
      </c>
      <c r="G259" s="171"/>
      <c r="H259" s="171">
        <v>200</v>
      </c>
      <c r="I259" s="171"/>
      <c r="J259" s="171">
        <v>300</v>
      </c>
      <c r="K259" s="171"/>
      <c r="L259" s="171">
        <v>400</v>
      </c>
      <c r="M259" s="171"/>
      <c r="N259" s="171">
        <v>500</v>
      </c>
      <c r="O259" s="171"/>
      <c r="P259" s="171">
        <v>600</v>
      </c>
      <c r="Q259" s="171"/>
      <c r="R259" s="171">
        <v>700</v>
      </c>
      <c r="S259" s="171"/>
      <c r="T259" s="171">
        <v>800</v>
      </c>
      <c r="U259" s="171"/>
      <c r="V259" s="171">
        <v>900</v>
      </c>
      <c r="W259" s="171"/>
      <c r="X259" s="171">
        <v>0</v>
      </c>
      <c r="Y259" s="171"/>
      <c r="Z259" s="171">
        <v>100</v>
      </c>
      <c r="AA259" s="171"/>
      <c r="AB259" s="171">
        <v>200</v>
      </c>
      <c r="AC259" s="171"/>
      <c r="AD259" s="171">
        <v>300</v>
      </c>
      <c r="AE259" s="171"/>
      <c r="AF259" s="171">
        <v>400</v>
      </c>
      <c r="AG259" s="171"/>
      <c r="AH259" s="171">
        <v>500</v>
      </c>
      <c r="AI259" s="171"/>
      <c r="AJ259" s="171">
        <v>600</v>
      </c>
      <c r="AK259" s="171"/>
      <c r="AL259" s="171">
        <v>700</v>
      </c>
      <c r="AM259" s="171"/>
      <c r="AN259" s="171">
        <v>800</v>
      </c>
      <c r="AO259" s="171"/>
      <c r="AP259" s="171">
        <v>900</v>
      </c>
      <c r="AQ259" s="171"/>
    </row>
    <row r="260" spans="1:43" ht="15" customHeight="1" x14ac:dyDescent="0.3">
      <c r="A260" s="235" t="s">
        <v>2205</v>
      </c>
      <c r="B260" s="167" t="s">
        <v>263</v>
      </c>
      <c r="C260" s="168"/>
      <c r="D260" s="169" t="str">
        <f>IF('01_Stations'!$D$246=1,"▓","")</f>
        <v/>
      </c>
      <c r="E260" s="169" t="str">
        <f>IF('01_Stations'!$D$247=1,"▓","")</f>
        <v/>
      </c>
      <c r="F260" s="169" t="str">
        <f>IF('01_Stations'!$D$248=1,"▓","")</f>
        <v/>
      </c>
      <c r="G260" s="169" t="str">
        <f>IF('01_Stations'!$D$249=1,"▓","")</f>
        <v/>
      </c>
      <c r="H260" s="169" t="str">
        <f>IF('01_Stations'!$D$250=1,"▓","")</f>
        <v/>
      </c>
      <c r="I260" s="169" t="str">
        <f>IF('01_Stations'!$D$251=1,"▓","")</f>
        <v/>
      </c>
      <c r="J260" s="169" t="str">
        <f>IF('01_Stations'!$D$252=1,"▓","")</f>
        <v/>
      </c>
      <c r="K260" s="169" t="str">
        <f>IF('01_Stations'!$D$253=1,"▓","")</f>
        <v/>
      </c>
      <c r="L260" s="169" t="str">
        <f>IF('01_Stations'!$D$254=1,"▓","")</f>
        <v/>
      </c>
      <c r="M260" s="169" t="str">
        <f>IF('01_Stations'!$D$255=1,"▓","")</f>
        <v/>
      </c>
      <c r="N260" s="169" t="str">
        <f>IF('01_Stations'!$D$256=1,"▓","")</f>
        <v/>
      </c>
      <c r="O260" s="169" t="str">
        <f>IF('01_Stations'!$D$257=1,"▓","")</f>
        <v/>
      </c>
      <c r="P260" s="169" t="str">
        <f>IF('01_Stations'!$D$258=1,"▓","")</f>
        <v/>
      </c>
      <c r="Q260" s="169" t="str">
        <f>IF('01_Stations'!$D$259=1,"▓","")</f>
        <v/>
      </c>
      <c r="R260" s="169" t="str">
        <f>IF('01_Stations'!$D$260=1,"▓","")</f>
        <v/>
      </c>
      <c r="S260" s="169" t="str">
        <f>IF('01_Stations'!$D$261=1,"▓","")</f>
        <v/>
      </c>
      <c r="T260" s="169" t="str">
        <f>IF('01_Stations'!$D$262=1,"▓","")</f>
        <v/>
      </c>
      <c r="U260" s="169" t="str">
        <f>IF('01_Stations'!$D$263=1,"▓","")</f>
        <v/>
      </c>
      <c r="V260" s="169" t="str">
        <f>IF('01_Stations'!$D$264=1,"▓","")</f>
        <v/>
      </c>
      <c r="W260" s="169" t="str">
        <f>IF('01_Stations'!$D$265=1,"▓","")</f>
        <v/>
      </c>
      <c r="X260" s="169" t="str">
        <f>IF('01_Stations'!$D$266=1,"▓","")</f>
        <v/>
      </c>
      <c r="Y260" s="169" t="str">
        <f>IF('01_Stations'!$D$267=1,"▓","")</f>
        <v/>
      </c>
      <c r="Z260" s="169" t="str">
        <f>IF('01_Stations'!$D$268=1,"▓","")</f>
        <v/>
      </c>
      <c r="AA260" s="169" t="str">
        <f>IF('01_Stations'!$D$269=1,"▓","")</f>
        <v/>
      </c>
      <c r="AB260" s="169" t="str">
        <f>IF('01_Stations'!$D$270=1,"▓","")</f>
        <v/>
      </c>
      <c r="AC260" s="169" t="str">
        <f>IF('01_Stations'!$D$271=1,"▓","")</f>
        <v/>
      </c>
      <c r="AD260" s="169" t="str">
        <f>IF('01_Stations'!$D$272=1,"▓","")</f>
        <v/>
      </c>
      <c r="AE260" s="169" t="str">
        <f>IF('01_Stations'!$D$273=1,"▓","")</f>
        <v/>
      </c>
      <c r="AF260" s="169" t="str">
        <f>IF('01_Stations'!$D$274=1,"▓","")</f>
        <v/>
      </c>
      <c r="AG260" s="169" t="str">
        <f>IF('01_Stations'!$D$275=1,"▓","")</f>
        <v/>
      </c>
      <c r="AH260" s="169" t="str">
        <f>IF('01_Stations'!$D$276=1,"▓","")</f>
        <v/>
      </c>
      <c r="AI260" s="169" t="str">
        <f>IF('01_Stations'!$D$277=1,"▓","")</f>
        <v/>
      </c>
      <c r="AJ260" s="169" t="str">
        <f>IF('01_Stations'!$D$278=1,"▓","")</f>
        <v/>
      </c>
      <c r="AK260" s="169" t="str">
        <f>IF('01_Stations'!$D$279=1,"▓","")</f>
        <v/>
      </c>
      <c r="AL260" s="169" t="str">
        <f>IF('01_Stations'!$D$280=1,"▓","")</f>
        <v/>
      </c>
      <c r="AM260" s="169" t="str">
        <f>IF('01_Stations'!$D$281=1,"▓","")</f>
        <v/>
      </c>
      <c r="AN260" s="169" t="str">
        <f>IF('01_Stations'!$D$282=1,"▓","")</f>
        <v/>
      </c>
      <c r="AO260" s="169" t="str">
        <f>IF('01_Stations'!$D$283=1,"▓","")</f>
        <v/>
      </c>
      <c r="AP260" s="169" t="str">
        <f>IF('01_Stations'!$D$284=1,"▓","")</f>
        <v/>
      </c>
      <c r="AQ260" s="169" t="str">
        <f>IF('01_Stations'!$D$285=1,"▓","")</f>
        <v/>
      </c>
    </row>
    <row r="261" spans="1:43" ht="15" customHeight="1" x14ac:dyDescent="0.3">
      <c r="A261" s="236"/>
      <c r="B261" s="165" t="s">
        <v>2206</v>
      </c>
      <c r="C261" s="166"/>
      <c r="D261" s="164" t="str">
        <f>IF('01_Stations'!$E$246="","",'01_Stations'!$E$246)</f>
        <v/>
      </c>
      <c r="E261" s="164" t="str">
        <f>IF('01_Stations'!$E$247="","",'01_Stations'!$E$247)</f>
        <v/>
      </c>
      <c r="F261" s="164" t="str">
        <f>IF('01_Stations'!$E$248="","",'01_Stations'!$E$248)</f>
        <v/>
      </c>
      <c r="G261" s="164" t="str">
        <f>IF('01_Stations'!$E$249="","",'01_Stations'!$E$249)</f>
        <v/>
      </c>
      <c r="H261" s="164" t="str">
        <f>IF('01_Stations'!$E$250="","",'01_Stations'!$E$250)</f>
        <v/>
      </c>
      <c r="I261" s="164" t="str">
        <f>IF('01_Stations'!$E$251="","",'01_Stations'!$E$251)</f>
        <v/>
      </c>
      <c r="J261" s="164" t="str">
        <f>IF('01_Stations'!$E$252="","",'01_Stations'!$E$252)</f>
        <v/>
      </c>
      <c r="K261" s="164" t="str">
        <f>IF('01_Stations'!$E$253="","",'01_Stations'!$E$253)</f>
        <v/>
      </c>
      <c r="L261" s="164" t="str">
        <f>IF('01_Stations'!$E$254="","",'01_Stations'!$E$254)</f>
        <v/>
      </c>
      <c r="M261" s="164" t="str">
        <f>IF('01_Stations'!$E$255="","",'01_Stations'!$E$255)</f>
        <v/>
      </c>
      <c r="N261" s="164" t="str">
        <f>IF('01_Stations'!$E$256="","",'01_Stations'!$E$256)</f>
        <v/>
      </c>
      <c r="O261" s="164" t="str">
        <f>IF('01_Stations'!$E$257="","",'01_Stations'!$E$257)</f>
        <v/>
      </c>
      <c r="P261" s="164" t="str">
        <f>IF('01_Stations'!$E$258="","",'01_Stations'!$E$258)</f>
        <v/>
      </c>
      <c r="Q261" s="164" t="str">
        <f>IF('01_Stations'!$E$259="","",'01_Stations'!$E$259)</f>
        <v/>
      </c>
      <c r="R261" s="164" t="str">
        <f>IF('01_Stations'!$E$260="","",'01_Stations'!$E$260)</f>
        <v/>
      </c>
      <c r="S261" s="164" t="str">
        <f>IF('01_Stations'!$E$261="","",'01_Stations'!$E$261)</f>
        <v/>
      </c>
      <c r="T261" s="164" t="str">
        <f>IF('01_Stations'!$E$262="","",'01_Stations'!$E$262)</f>
        <v/>
      </c>
      <c r="U261" s="164" t="str">
        <f>IF('01_Stations'!$E$263="","",'01_Stations'!$E$263)</f>
        <v/>
      </c>
      <c r="V261" s="164" t="str">
        <f>IF('01_Stations'!$E$264="","",'01_Stations'!$E$264)</f>
        <v/>
      </c>
      <c r="W261" s="164" t="str">
        <f>IF('01_Stations'!$E$265="","",'01_Stations'!$E$265)</f>
        <v/>
      </c>
      <c r="X261" s="164" t="str">
        <f>IF('01_Stations'!$E$266="","",'01_Stations'!$E$266)</f>
        <v/>
      </c>
      <c r="Y261" s="164" t="str">
        <f>IF('01_Stations'!$E$267="","",'01_Stations'!$E$267)</f>
        <v/>
      </c>
      <c r="Z261" s="164" t="str">
        <f>IF('01_Stations'!$E$268="","",'01_Stations'!$E$268)</f>
        <v/>
      </c>
      <c r="AA261" s="164" t="str">
        <f>IF('01_Stations'!$E$269="","",'01_Stations'!$E$269)</f>
        <v/>
      </c>
      <c r="AB261" s="164" t="str">
        <f>IF('01_Stations'!$E$270="","",'01_Stations'!$E$270)</f>
        <v/>
      </c>
      <c r="AC261" s="164" t="str">
        <f>IF('01_Stations'!$E$271="","",'01_Stations'!$E$271)</f>
        <v/>
      </c>
      <c r="AD261" s="164" t="str">
        <f>IF('01_Stations'!$E$272="","",'01_Stations'!$E$272)</f>
        <v/>
      </c>
      <c r="AE261" s="164" t="str">
        <f>IF('01_Stations'!$E$273="","",'01_Stations'!$E$273)</f>
        <v/>
      </c>
      <c r="AF261" s="164" t="str">
        <f>IF('01_Stations'!$E$274="","",'01_Stations'!$E$274)</f>
        <v/>
      </c>
      <c r="AG261" s="164" t="str">
        <f>IF('01_Stations'!$E$275="","",'01_Stations'!$E$275)</f>
        <v/>
      </c>
      <c r="AH261" s="164" t="str">
        <f>IF('01_Stations'!$E$276="","",'01_Stations'!$E$276)</f>
        <v/>
      </c>
      <c r="AI261" s="164" t="str">
        <f>IF('01_Stations'!$E$277="","",'01_Stations'!$E$277)</f>
        <v/>
      </c>
      <c r="AJ261" s="164" t="str">
        <f>IF('01_Stations'!$E$278="","",'01_Stations'!$E$278)</f>
        <v/>
      </c>
      <c r="AK261" s="164" t="str">
        <f>IF('01_Stations'!$E$279="","",'01_Stations'!$E$279)</f>
        <v/>
      </c>
      <c r="AL261" s="164" t="str">
        <f>IF('01_Stations'!$E$280="","",'01_Stations'!$E$280)</f>
        <v/>
      </c>
      <c r="AM261" s="164" t="str">
        <f>IF('01_Stations'!$E$281="","",'01_Stations'!$E$281)</f>
        <v/>
      </c>
      <c r="AN261" s="164" t="str">
        <f>IF('01_Stations'!$E$282="","",'01_Stations'!$E$282)</f>
        <v/>
      </c>
      <c r="AO261" s="164" t="str">
        <f>IF('01_Stations'!$E$283="","",'01_Stations'!$E$283)</f>
        <v/>
      </c>
      <c r="AP261" s="164" t="str">
        <f>IF('01_Stations'!$E$284="","",'01_Stations'!$E$284)</f>
        <v/>
      </c>
      <c r="AQ261" s="164" t="str">
        <f>IF('01_Stations'!$E$285="","",'01_Stations'!$E$285)</f>
        <v/>
      </c>
    </row>
    <row r="262" spans="1:43" ht="15" customHeight="1" x14ac:dyDescent="0.3">
      <c r="A262" s="236"/>
      <c r="B262" s="165" t="s">
        <v>2207</v>
      </c>
      <c r="C262" s="166"/>
      <c r="D262" s="164" t="str">
        <f>IF('01_Stations'!$F$246=1,"───","")</f>
        <v/>
      </c>
      <c r="E262" s="164" t="str">
        <f>IF('01_Stations'!$F$247=1,"───","")</f>
        <v/>
      </c>
      <c r="F262" s="164" t="str">
        <f>IF('01_Stations'!$F$248=1,"───","")</f>
        <v/>
      </c>
      <c r="G262" s="164" t="str">
        <f>IF('01_Stations'!$F$249=1,"───","")</f>
        <v/>
      </c>
      <c r="H262" s="164" t="str">
        <f>IF('01_Stations'!$F$250=1,"───","")</f>
        <v/>
      </c>
      <c r="I262" s="164" t="str">
        <f>IF('01_Stations'!$F$251=1,"───","")</f>
        <v/>
      </c>
      <c r="J262" s="164" t="str">
        <f>IF('01_Stations'!$F$252=1,"───","")</f>
        <v/>
      </c>
      <c r="K262" s="164" t="str">
        <f>IF('01_Stations'!$F$253=1,"───","")</f>
        <v/>
      </c>
      <c r="L262" s="164" t="str">
        <f>IF('01_Stations'!$F$254=1,"───","")</f>
        <v/>
      </c>
      <c r="M262" s="164" t="str">
        <f>IF('01_Stations'!$F$255=1,"───","")</f>
        <v/>
      </c>
      <c r="N262" s="164" t="str">
        <f>IF('01_Stations'!$F$256=1,"───","")</f>
        <v/>
      </c>
      <c r="O262" s="164" t="str">
        <f>IF('01_Stations'!$F$257=1,"───","")</f>
        <v/>
      </c>
      <c r="P262" s="164" t="str">
        <f>IF('01_Stations'!$F$258=1,"───","")</f>
        <v/>
      </c>
      <c r="Q262" s="164" t="str">
        <f>IF('01_Stations'!$F$259=1,"───","")</f>
        <v/>
      </c>
      <c r="R262" s="164" t="str">
        <f>IF('01_Stations'!$F$260=1,"───","")</f>
        <v/>
      </c>
      <c r="S262" s="164" t="str">
        <f>IF('01_Stations'!$F$261=1,"───","")</f>
        <v/>
      </c>
      <c r="T262" s="164" t="str">
        <f>IF('01_Stations'!$F$262=1,"───","")</f>
        <v/>
      </c>
      <c r="U262" s="164" t="str">
        <f>IF('01_Stations'!$F$263=1,"───","")</f>
        <v/>
      </c>
      <c r="V262" s="164" t="str">
        <f>IF('01_Stations'!$F$264=1,"───","")</f>
        <v/>
      </c>
      <c r="W262" s="164" t="str">
        <f>IF('01_Stations'!$F$265=1,"───","")</f>
        <v/>
      </c>
      <c r="X262" s="164" t="str">
        <f>IF('01_Stations'!$F$266=1,"───","")</f>
        <v/>
      </c>
      <c r="Y262" s="164" t="str">
        <f>IF('01_Stations'!$F$267=1,"───","")</f>
        <v/>
      </c>
      <c r="Z262" s="164" t="str">
        <f>IF('01_Stations'!$F$268=1,"───","")</f>
        <v/>
      </c>
      <c r="AA262" s="164" t="str">
        <f>IF('01_Stations'!$F$269=1,"───","")</f>
        <v/>
      </c>
      <c r="AB262" s="164" t="str">
        <f>IF('01_Stations'!$F$270=1,"───","")</f>
        <v/>
      </c>
      <c r="AC262" s="164" t="str">
        <f>IF('01_Stations'!$F$271=1,"───","")</f>
        <v/>
      </c>
      <c r="AD262" s="164" t="str">
        <f>IF('01_Stations'!$F$272=1,"───","")</f>
        <v/>
      </c>
      <c r="AE262" s="164" t="str">
        <f>IF('01_Stations'!$F$273=1,"───","")</f>
        <v/>
      </c>
      <c r="AF262" s="164" t="str">
        <f>IF('01_Stations'!$F$274=1,"───","")</f>
        <v/>
      </c>
      <c r="AG262" s="164" t="str">
        <f>IF('01_Stations'!$F$275=1,"───","")</f>
        <v/>
      </c>
      <c r="AH262" s="164" t="str">
        <f>IF('01_Stations'!$F$276=1,"───","")</f>
        <v/>
      </c>
      <c r="AI262" s="164" t="str">
        <f>IF('01_Stations'!$F$277=1,"───","")</f>
        <v/>
      </c>
      <c r="AJ262" s="164" t="str">
        <f>IF('01_Stations'!$F$278=1,"───","")</f>
        <v/>
      </c>
      <c r="AK262" s="164" t="str">
        <f>IF('01_Stations'!$F$279=1,"───","")</f>
        <v/>
      </c>
      <c r="AL262" s="164" t="str">
        <f>IF('01_Stations'!$F$280=1,"───","")</f>
        <v/>
      </c>
      <c r="AM262" s="164" t="str">
        <f>IF('01_Stations'!$F$281=1,"───","")</f>
        <v/>
      </c>
      <c r="AN262" s="164" t="str">
        <f>IF('01_Stations'!$F$282=1,"───","")</f>
        <v/>
      </c>
      <c r="AO262" s="164" t="str">
        <f>IF('01_Stations'!$F$283=1,"───","")</f>
        <v/>
      </c>
      <c r="AP262" s="164" t="str">
        <f>IF('01_Stations'!$F$284=1,"───","")</f>
        <v/>
      </c>
      <c r="AQ262" s="164" t="str">
        <f>IF('01_Stations'!$F$285=1,"───","")</f>
        <v/>
      </c>
    </row>
    <row r="263" spans="1:43" ht="15" customHeight="1" x14ac:dyDescent="0.3">
      <c r="A263" s="236"/>
      <c r="B263" s="165" t="s">
        <v>265</v>
      </c>
      <c r="C263" s="166" t="s">
        <v>299</v>
      </c>
      <c r="D263" s="164" t="str">
        <f>IF(N('01_Stations'!$G$246)&gt;0,'01_Stations'!$G$246,"")</f>
        <v/>
      </c>
      <c r="E263" s="164" t="str">
        <f>IF(N('01_Stations'!$G$247)&gt;0,'01_Stations'!$G$247,"")</f>
        <v/>
      </c>
      <c r="F263" s="164" t="str">
        <f>IF(N('01_Stations'!$G$248)&gt;0,'01_Stations'!$G$248,"")</f>
        <v/>
      </c>
      <c r="G263" s="164" t="str">
        <f>IF(N('01_Stations'!$G$249)&gt;0,'01_Stations'!$G$249,"")</f>
        <v/>
      </c>
      <c r="H263" s="164" t="str">
        <f>IF(N('01_Stations'!$G$250)&gt;0,'01_Stations'!$G$250,"")</f>
        <v/>
      </c>
      <c r="I263" s="164" t="str">
        <f>IF(N('01_Stations'!$G$251)&gt;0,'01_Stations'!$G$251,"")</f>
        <v/>
      </c>
      <c r="J263" s="164" t="str">
        <f>IF(N('01_Stations'!$G$252)&gt;0,'01_Stations'!$G$252,"")</f>
        <v/>
      </c>
      <c r="K263" s="164" t="str">
        <f>IF(N('01_Stations'!$G$253)&gt;0,'01_Stations'!$G$253,"")</f>
        <v/>
      </c>
      <c r="L263" s="164" t="str">
        <f>IF(N('01_Stations'!$G$254)&gt;0,'01_Stations'!$G$254,"")</f>
        <v/>
      </c>
      <c r="M263" s="164" t="str">
        <f>IF(N('01_Stations'!$G$255)&gt;0,'01_Stations'!$G$255,"")</f>
        <v/>
      </c>
      <c r="N263" s="164" t="str">
        <f>IF(N('01_Stations'!$G$256)&gt;0,'01_Stations'!$G$256,"")</f>
        <v/>
      </c>
      <c r="O263" s="164" t="str">
        <f>IF(N('01_Stations'!$G$257)&gt;0,'01_Stations'!$G$257,"")</f>
        <v/>
      </c>
      <c r="P263" s="164" t="str">
        <f>IF(N('01_Stations'!$G$258)&gt;0,'01_Stations'!$G$258,"")</f>
        <v/>
      </c>
      <c r="Q263" s="164" t="str">
        <f>IF(N('01_Stations'!$G$259)&gt;0,'01_Stations'!$G$259,"")</f>
        <v/>
      </c>
      <c r="R263" s="164" t="str">
        <f>IF(N('01_Stations'!$G$260)&gt;0,'01_Stations'!$G$260,"")</f>
        <v/>
      </c>
      <c r="S263" s="164" t="str">
        <f>IF(N('01_Stations'!$G$261)&gt;0,'01_Stations'!$G$261,"")</f>
        <v/>
      </c>
      <c r="T263" s="164" t="str">
        <f>IF(N('01_Stations'!$G$262)&gt;0,'01_Stations'!$G$262,"")</f>
        <v/>
      </c>
      <c r="U263" s="164" t="str">
        <f>IF(N('01_Stations'!$G$263)&gt;0,'01_Stations'!$G$263,"")</f>
        <v/>
      </c>
      <c r="V263" s="164" t="str">
        <f>IF(N('01_Stations'!$G$264)&gt;0,'01_Stations'!$G$264,"")</f>
        <v/>
      </c>
      <c r="W263" s="164" t="str">
        <f>IF(N('01_Stations'!$G$265)&gt;0,'01_Stations'!$G$265,"")</f>
        <v/>
      </c>
      <c r="X263" s="164" t="str">
        <f>IF(N('01_Stations'!$G$266)&gt;0,'01_Stations'!$G$266,"")</f>
        <v/>
      </c>
      <c r="Y263" s="164" t="str">
        <f>IF(N('01_Stations'!$G$267)&gt;0,'01_Stations'!$G$267,"")</f>
        <v/>
      </c>
      <c r="Z263" s="164" t="str">
        <f>IF(N('01_Stations'!$G$268)&gt;0,'01_Stations'!$G$268,"")</f>
        <v/>
      </c>
      <c r="AA263" s="164" t="str">
        <f>IF(N('01_Stations'!$G$269)&gt;0,'01_Stations'!$G$269,"")</f>
        <v/>
      </c>
      <c r="AB263" s="164" t="str">
        <f>IF(N('01_Stations'!$G$270)&gt;0,'01_Stations'!$G$270,"")</f>
        <v/>
      </c>
      <c r="AC263" s="164" t="str">
        <f>IF(N('01_Stations'!$G$271)&gt;0,'01_Stations'!$G$271,"")</f>
        <v/>
      </c>
      <c r="AD263" s="164" t="str">
        <f>IF(N('01_Stations'!$G$272)&gt;0,'01_Stations'!$G$272,"")</f>
        <v/>
      </c>
      <c r="AE263" s="164" t="str">
        <f>IF(N('01_Stations'!$G$273)&gt;0,'01_Stations'!$G$273,"")</f>
        <v/>
      </c>
      <c r="AF263" s="164" t="str">
        <f>IF(N('01_Stations'!$G$274)&gt;0,'01_Stations'!$G$274,"")</f>
        <v/>
      </c>
      <c r="AG263" s="164" t="str">
        <f>IF(N('01_Stations'!$G$275)&gt;0,'01_Stations'!$G$275,"")</f>
        <v/>
      </c>
      <c r="AH263" s="164" t="str">
        <f>IF(N('01_Stations'!$G$276)&gt;0,'01_Stations'!$G$276,"")</f>
        <v/>
      </c>
      <c r="AI263" s="164" t="str">
        <f>IF(N('01_Stations'!$G$277)&gt;0,'01_Stations'!$G$277,"")</f>
        <v/>
      </c>
      <c r="AJ263" s="164" t="str">
        <f>IF(N('01_Stations'!$G$278)&gt;0,'01_Stations'!$G$278,"")</f>
        <v/>
      </c>
      <c r="AK263" s="164" t="str">
        <f>IF(N('01_Stations'!$G$279)&gt;0,'01_Stations'!$G$279,"")</f>
        <v/>
      </c>
      <c r="AL263" s="164" t="str">
        <f>IF(N('01_Stations'!$G$280)&gt;0,'01_Stations'!$G$280,"")</f>
        <v/>
      </c>
      <c r="AM263" s="164" t="str">
        <f>IF(N('01_Stations'!$G$281)&gt;0,'01_Stations'!$G$281,"")</f>
        <v/>
      </c>
      <c r="AN263" s="164" t="str">
        <f>IF(N('01_Stations'!$G$282)&gt;0,'01_Stations'!$G$282,"")</f>
        <v/>
      </c>
      <c r="AO263" s="164" t="str">
        <f>IF(N('01_Stations'!$G$283)&gt;0,'01_Stations'!$G$283,"")</f>
        <v/>
      </c>
      <c r="AP263" s="164" t="str">
        <f>IF(N('01_Stations'!$G$284)&gt;0,'01_Stations'!$G$284,"")</f>
        <v/>
      </c>
      <c r="AQ263" s="164" t="str">
        <f>IF(N('01_Stations'!$G$285)&gt;0,'01_Stations'!$G$285,"")</f>
        <v/>
      </c>
    </row>
    <row r="264" spans="1:43" ht="15" customHeight="1" x14ac:dyDescent="0.3">
      <c r="A264" s="236"/>
      <c r="B264" s="165" t="s">
        <v>1866</v>
      </c>
      <c r="C264" s="166" t="s">
        <v>300</v>
      </c>
      <c r="D264" s="164" t="str">
        <f>IF(N('01_Stations'!$H$246)&gt;0,'01_Stations'!$H$246,"")</f>
        <v/>
      </c>
      <c r="E264" s="164" t="str">
        <f>IF(N('01_Stations'!$H$247)&gt;0,'01_Stations'!$H$247,"")</f>
        <v/>
      </c>
      <c r="F264" s="164" t="str">
        <f>IF(N('01_Stations'!$H$248)&gt;0,'01_Stations'!$H$248,"")</f>
        <v/>
      </c>
      <c r="G264" s="164" t="str">
        <f>IF(N('01_Stations'!$H$249)&gt;0,'01_Stations'!$H$249,"")</f>
        <v/>
      </c>
      <c r="H264" s="164" t="str">
        <f>IF(N('01_Stations'!$H$250)&gt;0,'01_Stations'!$H$250,"")</f>
        <v/>
      </c>
      <c r="I264" s="164" t="str">
        <f>IF(N('01_Stations'!$H$251)&gt;0,'01_Stations'!$H$251,"")</f>
        <v/>
      </c>
      <c r="J264" s="164" t="str">
        <f>IF(N('01_Stations'!$H$252)&gt;0,'01_Stations'!$H$252,"")</f>
        <v/>
      </c>
      <c r="K264" s="164" t="str">
        <f>IF(N('01_Stations'!$H$253)&gt;0,'01_Stations'!$H$253,"")</f>
        <v/>
      </c>
      <c r="L264" s="164" t="str">
        <f>IF(N('01_Stations'!$H$254)&gt;0,'01_Stations'!$H$254,"")</f>
        <v/>
      </c>
      <c r="M264" s="164" t="str">
        <f>IF(N('01_Stations'!$H$255)&gt;0,'01_Stations'!$H$255,"")</f>
        <v/>
      </c>
      <c r="N264" s="164" t="str">
        <f>IF(N('01_Stations'!$H$256)&gt;0,'01_Stations'!$H$256,"")</f>
        <v/>
      </c>
      <c r="O264" s="164" t="str">
        <f>IF(N('01_Stations'!$H$257)&gt;0,'01_Stations'!$H$257,"")</f>
        <v/>
      </c>
      <c r="P264" s="164" t="str">
        <f>IF(N('01_Stations'!$H$258)&gt;0,'01_Stations'!$H$258,"")</f>
        <v/>
      </c>
      <c r="Q264" s="164" t="str">
        <f>IF(N('01_Stations'!$H$259)&gt;0,'01_Stations'!$H$259,"")</f>
        <v/>
      </c>
      <c r="R264" s="164" t="str">
        <f>IF(N('01_Stations'!$H$260)&gt;0,'01_Stations'!$H$260,"")</f>
        <v/>
      </c>
      <c r="S264" s="164" t="str">
        <f>IF(N('01_Stations'!$H$261)&gt;0,'01_Stations'!$H$261,"")</f>
        <v/>
      </c>
      <c r="T264" s="164" t="str">
        <f>IF(N('01_Stations'!$H$262)&gt;0,'01_Stations'!$H$262,"")</f>
        <v/>
      </c>
      <c r="U264" s="164" t="str">
        <f>IF(N('01_Stations'!$H$263)&gt;0,'01_Stations'!$H$263,"")</f>
        <v/>
      </c>
      <c r="V264" s="164" t="str">
        <f>IF(N('01_Stations'!$H$264)&gt;0,'01_Stations'!$H$264,"")</f>
        <v/>
      </c>
      <c r="W264" s="164" t="str">
        <f>IF(N('01_Stations'!$H$265)&gt;0,'01_Stations'!$H$265,"")</f>
        <v/>
      </c>
      <c r="X264" s="164" t="str">
        <f>IF(N('01_Stations'!$H$266)&gt;0,'01_Stations'!$H$266,"")</f>
        <v/>
      </c>
      <c r="Y264" s="164" t="str">
        <f>IF(N('01_Stations'!$H$267)&gt;0,'01_Stations'!$H$267,"")</f>
        <v/>
      </c>
      <c r="Z264" s="164" t="str">
        <f>IF(N('01_Stations'!$H$268)&gt;0,'01_Stations'!$H$268,"")</f>
        <v/>
      </c>
      <c r="AA264" s="164" t="str">
        <f>IF(N('01_Stations'!$H$269)&gt;0,'01_Stations'!$H$269,"")</f>
        <v/>
      </c>
      <c r="AB264" s="164" t="str">
        <f>IF(N('01_Stations'!$H$270)&gt;0,'01_Stations'!$H$270,"")</f>
        <v/>
      </c>
      <c r="AC264" s="164" t="str">
        <f>IF(N('01_Stations'!$H$271)&gt;0,'01_Stations'!$H$271,"")</f>
        <v/>
      </c>
      <c r="AD264" s="164" t="str">
        <f>IF(N('01_Stations'!$H$272)&gt;0,'01_Stations'!$H$272,"")</f>
        <v/>
      </c>
      <c r="AE264" s="164" t="str">
        <f>IF(N('01_Stations'!$H$273)&gt;0,'01_Stations'!$H$273,"")</f>
        <v/>
      </c>
      <c r="AF264" s="164" t="str">
        <f>IF(N('01_Stations'!$H$274)&gt;0,'01_Stations'!$H$274,"")</f>
        <v/>
      </c>
      <c r="AG264" s="164" t="str">
        <f>IF(N('01_Stations'!$H$275)&gt;0,'01_Stations'!$H$275,"")</f>
        <v/>
      </c>
      <c r="AH264" s="164" t="str">
        <f>IF(N('01_Stations'!$H$276)&gt;0,'01_Stations'!$H$276,"")</f>
        <v/>
      </c>
      <c r="AI264" s="164" t="str">
        <f>IF(N('01_Stations'!$H$277)&gt;0,'01_Stations'!$H$277,"")</f>
        <v/>
      </c>
      <c r="AJ264" s="164" t="str">
        <f>IF(N('01_Stations'!$H$278)&gt;0,'01_Stations'!$H$278,"")</f>
        <v/>
      </c>
      <c r="AK264" s="164" t="str">
        <f>IF(N('01_Stations'!$H$279)&gt;0,'01_Stations'!$H$279,"")</f>
        <v/>
      </c>
      <c r="AL264" s="164" t="str">
        <f>IF(N('01_Stations'!$H$280)&gt;0,'01_Stations'!$H$280,"")</f>
        <v/>
      </c>
      <c r="AM264" s="164" t="str">
        <f>IF(N('01_Stations'!$H$281)&gt;0,'01_Stations'!$H$281,"")</f>
        <v/>
      </c>
      <c r="AN264" s="164" t="str">
        <f>IF(N('01_Stations'!$H$282)&gt;0,'01_Stations'!$H$282,"")</f>
        <v/>
      </c>
      <c r="AO264" s="164" t="str">
        <f>IF(N('01_Stations'!$H$283)&gt;0,'01_Stations'!$H$283,"")</f>
        <v/>
      </c>
      <c r="AP264" s="164" t="str">
        <f>IF(N('01_Stations'!$H$284)&gt;0,'01_Stations'!$H$284,"")</f>
        <v/>
      </c>
      <c r="AQ264" s="164" t="str">
        <f>IF(N('01_Stations'!$H$285)&gt;0,'01_Stations'!$H$285,"")</f>
        <v/>
      </c>
    </row>
    <row r="265" spans="1:43" ht="15" customHeight="1" x14ac:dyDescent="0.3">
      <c r="A265" s="236"/>
      <c r="B265" s="165" t="s">
        <v>267</v>
      </c>
      <c r="C265" s="166"/>
      <c r="D265" s="164" t="str">
        <f>IF('01_Stations'!$I$246=1,"───","")</f>
        <v/>
      </c>
      <c r="E265" s="164" t="str">
        <f>IF('01_Stations'!$I$247=1,"───","")</f>
        <v/>
      </c>
      <c r="F265" s="164" t="str">
        <f>IF('01_Stations'!$I$248=1,"───","")</f>
        <v/>
      </c>
      <c r="G265" s="164" t="str">
        <f>IF('01_Stations'!$I$249=1,"───","")</f>
        <v/>
      </c>
      <c r="H265" s="164" t="str">
        <f>IF('01_Stations'!$I$250=1,"───","")</f>
        <v/>
      </c>
      <c r="I265" s="164" t="str">
        <f>IF('01_Stations'!$I$251=1,"───","")</f>
        <v/>
      </c>
      <c r="J265" s="164" t="str">
        <f>IF('01_Stations'!$I$252=1,"───","")</f>
        <v/>
      </c>
      <c r="K265" s="164" t="str">
        <f>IF('01_Stations'!$I$253=1,"───","")</f>
        <v/>
      </c>
      <c r="L265" s="164" t="str">
        <f>IF('01_Stations'!$I$254=1,"───","")</f>
        <v/>
      </c>
      <c r="M265" s="164" t="str">
        <f>IF('01_Stations'!$I$255=1,"───","")</f>
        <v/>
      </c>
      <c r="N265" s="164" t="str">
        <f>IF('01_Stations'!$I$256=1,"───","")</f>
        <v/>
      </c>
      <c r="O265" s="164" t="str">
        <f>IF('01_Stations'!$I$257=1,"───","")</f>
        <v/>
      </c>
      <c r="P265" s="164" t="str">
        <f>IF('01_Stations'!$I$258=1,"───","")</f>
        <v/>
      </c>
      <c r="Q265" s="164" t="str">
        <f>IF('01_Stations'!$I$259=1,"───","")</f>
        <v/>
      </c>
      <c r="R265" s="164" t="str">
        <f>IF('01_Stations'!$I$260=1,"───","")</f>
        <v/>
      </c>
      <c r="S265" s="164" t="str">
        <f>IF('01_Stations'!$I$261=1,"───","")</f>
        <v/>
      </c>
      <c r="T265" s="164" t="str">
        <f>IF('01_Stations'!$I$262=1,"───","")</f>
        <v/>
      </c>
      <c r="U265" s="164" t="str">
        <f>IF('01_Stations'!$I$263=1,"───","")</f>
        <v/>
      </c>
      <c r="V265" s="164" t="str">
        <f>IF('01_Stations'!$I$264=1,"───","")</f>
        <v/>
      </c>
      <c r="W265" s="164" t="str">
        <f>IF('01_Stations'!$I$265=1,"───","")</f>
        <v/>
      </c>
      <c r="X265" s="164" t="str">
        <f>IF('01_Stations'!$I$266=1,"───","")</f>
        <v/>
      </c>
      <c r="Y265" s="164" t="str">
        <f>IF('01_Stations'!$I$267=1,"───","")</f>
        <v/>
      </c>
      <c r="Z265" s="164" t="str">
        <f>IF('01_Stations'!$I$268=1,"───","")</f>
        <v/>
      </c>
      <c r="AA265" s="164" t="str">
        <f>IF('01_Stations'!$I$269=1,"───","")</f>
        <v/>
      </c>
      <c r="AB265" s="164" t="str">
        <f>IF('01_Stations'!$I$270=1,"───","")</f>
        <v/>
      </c>
      <c r="AC265" s="164" t="str">
        <f>IF('01_Stations'!$I$271=1,"───","")</f>
        <v/>
      </c>
      <c r="AD265" s="164" t="str">
        <f>IF('01_Stations'!$I$272=1,"───","")</f>
        <v/>
      </c>
      <c r="AE265" s="164" t="str">
        <f>IF('01_Stations'!$I$273=1,"───","")</f>
        <v/>
      </c>
      <c r="AF265" s="164" t="str">
        <f>IF('01_Stations'!$I$274=1,"───","")</f>
        <v/>
      </c>
      <c r="AG265" s="164" t="str">
        <f>IF('01_Stations'!$I$275=1,"───","")</f>
        <v/>
      </c>
      <c r="AH265" s="164" t="str">
        <f>IF('01_Stations'!$I$276=1,"───","")</f>
        <v/>
      </c>
      <c r="AI265" s="164" t="str">
        <f>IF('01_Stations'!$I$277=1,"───","")</f>
        <v/>
      </c>
      <c r="AJ265" s="164" t="str">
        <f>IF('01_Stations'!$I$278=1,"───","")</f>
        <v/>
      </c>
      <c r="AK265" s="164" t="str">
        <f>IF('01_Stations'!$I$279=1,"───","")</f>
        <v/>
      </c>
      <c r="AL265" s="164" t="str">
        <f>IF('01_Stations'!$I$280=1,"───","")</f>
        <v/>
      </c>
      <c r="AM265" s="164" t="str">
        <f>IF('01_Stations'!$I$281=1,"───","")</f>
        <v/>
      </c>
      <c r="AN265" s="164" t="str">
        <f>IF('01_Stations'!$I$282=1,"───","")</f>
        <v/>
      </c>
      <c r="AO265" s="164" t="str">
        <f>IF('01_Stations'!$I$283=1,"───","")</f>
        <v/>
      </c>
      <c r="AP265" s="164" t="str">
        <f>IF('01_Stations'!$I$284=1,"───","")</f>
        <v/>
      </c>
      <c r="AQ265" s="164" t="str">
        <f>IF('01_Stations'!$I$285=1,"───","")</f>
        <v/>
      </c>
    </row>
    <row r="266" spans="1:43" ht="15" customHeight="1" x14ac:dyDescent="0.3">
      <c r="A266" s="236"/>
      <c r="B266" s="165" t="s">
        <v>268</v>
      </c>
      <c r="C266" s="166" t="s">
        <v>299</v>
      </c>
      <c r="D266" s="164" t="str">
        <f>IF(N('01_Stations'!$J$246)&gt;0,'01_Stations'!$J$246,"")</f>
        <v/>
      </c>
      <c r="E266" s="164" t="str">
        <f>IF(N('01_Stations'!$J$247)&gt;0,'01_Stations'!$J$247,"")</f>
        <v/>
      </c>
      <c r="F266" s="164" t="str">
        <f>IF(N('01_Stations'!$J$248)&gt;0,'01_Stations'!$J$248,"")</f>
        <v/>
      </c>
      <c r="G266" s="164" t="str">
        <f>IF(N('01_Stations'!$J$249)&gt;0,'01_Stations'!$J$249,"")</f>
        <v/>
      </c>
      <c r="H266" s="164" t="str">
        <f>IF(N('01_Stations'!$J$250)&gt;0,'01_Stations'!$J$250,"")</f>
        <v/>
      </c>
      <c r="I266" s="164" t="str">
        <f>IF(N('01_Stations'!$J$251)&gt;0,'01_Stations'!$J$251,"")</f>
        <v/>
      </c>
      <c r="J266" s="164" t="str">
        <f>IF(N('01_Stations'!$J$252)&gt;0,'01_Stations'!$J$252,"")</f>
        <v/>
      </c>
      <c r="K266" s="164" t="str">
        <f>IF(N('01_Stations'!$J$253)&gt;0,'01_Stations'!$J$253,"")</f>
        <v/>
      </c>
      <c r="L266" s="164" t="str">
        <f>IF(N('01_Stations'!$J$254)&gt;0,'01_Stations'!$J$254,"")</f>
        <v/>
      </c>
      <c r="M266" s="164" t="str">
        <f>IF(N('01_Stations'!$J$255)&gt;0,'01_Stations'!$J$255,"")</f>
        <v/>
      </c>
      <c r="N266" s="164" t="str">
        <f>IF(N('01_Stations'!$J$256)&gt;0,'01_Stations'!$J$256,"")</f>
        <v/>
      </c>
      <c r="O266" s="164" t="str">
        <f>IF(N('01_Stations'!$J$257)&gt;0,'01_Stations'!$J$257,"")</f>
        <v/>
      </c>
      <c r="P266" s="164" t="str">
        <f>IF(N('01_Stations'!$J$258)&gt;0,'01_Stations'!$J$258,"")</f>
        <v/>
      </c>
      <c r="Q266" s="164" t="str">
        <f>IF(N('01_Stations'!$J$259)&gt;0,'01_Stations'!$J$259,"")</f>
        <v/>
      </c>
      <c r="R266" s="164" t="str">
        <f>IF(N('01_Stations'!$J$260)&gt;0,'01_Stations'!$J$260,"")</f>
        <v/>
      </c>
      <c r="S266" s="164" t="str">
        <f>IF(N('01_Stations'!$J$261)&gt;0,'01_Stations'!$J$261,"")</f>
        <v/>
      </c>
      <c r="T266" s="164" t="str">
        <f>IF(N('01_Stations'!$J$262)&gt;0,'01_Stations'!$J$262,"")</f>
        <v/>
      </c>
      <c r="U266" s="164" t="str">
        <f>IF(N('01_Stations'!$J$263)&gt;0,'01_Stations'!$J$263,"")</f>
        <v/>
      </c>
      <c r="V266" s="164" t="str">
        <f>IF(N('01_Stations'!$J$264)&gt;0,'01_Stations'!$J$264,"")</f>
        <v/>
      </c>
      <c r="W266" s="164" t="str">
        <f>IF(N('01_Stations'!$J$265)&gt;0,'01_Stations'!$J$265,"")</f>
        <v/>
      </c>
      <c r="X266" s="164" t="str">
        <f>IF(N('01_Stations'!$J$266)&gt;0,'01_Stations'!$J$266,"")</f>
        <v/>
      </c>
      <c r="Y266" s="164" t="str">
        <f>IF(N('01_Stations'!$J$267)&gt;0,'01_Stations'!$J$267,"")</f>
        <v/>
      </c>
      <c r="Z266" s="164" t="str">
        <f>IF(N('01_Stations'!$J$268)&gt;0,'01_Stations'!$J$268,"")</f>
        <v/>
      </c>
      <c r="AA266" s="164" t="str">
        <f>IF(N('01_Stations'!$J$269)&gt;0,'01_Stations'!$J$269,"")</f>
        <v/>
      </c>
      <c r="AB266" s="164" t="str">
        <f>IF(N('01_Stations'!$J$270)&gt;0,'01_Stations'!$J$270,"")</f>
        <v/>
      </c>
      <c r="AC266" s="164" t="str">
        <f>IF(N('01_Stations'!$J$271)&gt;0,'01_Stations'!$J$271,"")</f>
        <v/>
      </c>
      <c r="AD266" s="164" t="str">
        <f>IF(N('01_Stations'!$J$272)&gt;0,'01_Stations'!$J$272,"")</f>
        <v/>
      </c>
      <c r="AE266" s="164" t="str">
        <f>IF(N('01_Stations'!$J$273)&gt;0,'01_Stations'!$J$273,"")</f>
        <v/>
      </c>
      <c r="AF266" s="164" t="str">
        <f>IF(N('01_Stations'!$J$274)&gt;0,'01_Stations'!$J$274,"")</f>
        <v/>
      </c>
      <c r="AG266" s="164" t="str">
        <f>IF(N('01_Stations'!$J$275)&gt;0,'01_Stations'!$J$275,"")</f>
        <v/>
      </c>
      <c r="AH266" s="164" t="str">
        <f>IF(N('01_Stations'!$J$276)&gt;0,'01_Stations'!$J$276,"")</f>
        <v/>
      </c>
      <c r="AI266" s="164" t="str">
        <f>IF(N('01_Stations'!$J$277)&gt;0,'01_Stations'!$J$277,"")</f>
        <v/>
      </c>
      <c r="AJ266" s="164" t="str">
        <f>IF(N('01_Stations'!$J$278)&gt;0,'01_Stations'!$J$278,"")</f>
        <v/>
      </c>
      <c r="AK266" s="164" t="str">
        <f>IF(N('01_Stations'!$J$279)&gt;0,'01_Stations'!$J$279,"")</f>
        <v/>
      </c>
      <c r="AL266" s="164" t="str">
        <f>IF(N('01_Stations'!$J$280)&gt;0,'01_Stations'!$J$280,"")</f>
        <v/>
      </c>
      <c r="AM266" s="164" t="str">
        <f>IF(N('01_Stations'!$J$281)&gt;0,'01_Stations'!$J$281,"")</f>
        <v/>
      </c>
      <c r="AN266" s="164" t="str">
        <f>IF(N('01_Stations'!$J$282)&gt;0,'01_Stations'!$J$282,"")</f>
        <v/>
      </c>
      <c r="AO266" s="164" t="str">
        <f>IF(N('01_Stations'!$J$283)&gt;0,'01_Stations'!$J$283,"")</f>
        <v/>
      </c>
      <c r="AP266" s="164" t="str">
        <f>IF(N('01_Stations'!$J$284)&gt;0,'01_Stations'!$J$284,"")</f>
        <v/>
      </c>
      <c r="AQ266" s="164" t="str">
        <f>IF(N('01_Stations'!$J$285)&gt;0,'01_Stations'!$J$285,"")</f>
        <v/>
      </c>
    </row>
    <row r="267" spans="1:43" ht="15" customHeight="1" x14ac:dyDescent="0.3">
      <c r="A267" s="236"/>
      <c r="B267" s="165" t="s">
        <v>2208</v>
      </c>
      <c r="C267" s="166" t="s">
        <v>63</v>
      </c>
      <c r="D267" s="164" t="str">
        <f>IF(N('01_Stations'!$K$246)&gt;0,'01_Stations'!$K$246,"")</f>
        <v/>
      </c>
      <c r="E267" s="164" t="str">
        <f>IF(N('01_Stations'!$K$247)&gt;0,'01_Stations'!$K$247,"")</f>
        <v/>
      </c>
      <c r="F267" s="164" t="str">
        <f>IF(N('01_Stations'!$K$248)&gt;0,'01_Stations'!$K$248,"")</f>
        <v/>
      </c>
      <c r="G267" s="164" t="str">
        <f>IF(N('01_Stations'!$K$249)&gt;0,'01_Stations'!$K$249,"")</f>
        <v/>
      </c>
      <c r="H267" s="164" t="str">
        <f>IF(N('01_Stations'!$K$250)&gt;0,'01_Stations'!$K$250,"")</f>
        <v/>
      </c>
      <c r="I267" s="164" t="str">
        <f>IF(N('01_Stations'!$K$251)&gt;0,'01_Stations'!$K$251,"")</f>
        <v/>
      </c>
      <c r="J267" s="164" t="str">
        <f>IF(N('01_Stations'!$K$252)&gt;0,'01_Stations'!$K$252,"")</f>
        <v/>
      </c>
      <c r="K267" s="164" t="str">
        <f>IF(N('01_Stations'!$K$253)&gt;0,'01_Stations'!$K$253,"")</f>
        <v/>
      </c>
      <c r="L267" s="164" t="str">
        <f>IF(N('01_Stations'!$K$254)&gt;0,'01_Stations'!$K$254,"")</f>
        <v/>
      </c>
      <c r="M267" s="164" t="str">
        <f>IF(N('01_Stations'!$K$255)&gt;0,'01_Stations'!$K$255,"")</f>
        <v/>
      </c>
      <c r="N267" s="164" t="str">
        <f>IF(N('01_Stations'!$K$256)&gt;0,'01_Stations'!$K$256,"")</f>
        <v/>
      </c>
      <c r="O267" s="164" t="str">
        <f>IF(N('01_Stations'!$K$257)&gt;0,'01_Stations'!$K$257,"")</f>
        <v/>
      </c>
      <c r="P267" s="164" t="str">
        <f>IF(N('01_Stations'!$K$258)&gt;0,'01_Stations'!$K$258,"")</f>
        <v/>
      </c>
      <c r="Q267" s="164" t="str">
        <f>IF(N('01_Stations'!$K$259)&gt;0,'01_Stations'!$K$259,"")</f>
        <v/>
      </c>
      <c r="R267" s="164" t="str">
        <f>IF(N('01_Stations'!$K$260)&gt;0,'01_Stations'!$K$260,"")</f>
        <v/>
      </c>
      <c r="S267" s="164" t="str">
        <f>IF(N('01_Stations'!$K$261)&gt;0,'01_Stations'!$K$261,"")</f>
        <v/>
      </c>
      <c r="T267" s="164" t="str">
        <f>IF(N('01_Stations'!$K$262)&gt;0,'01_Stations'!$K$262,"")</f>
        <v/>
      </c>
      <c r="U267" s="164" t="str">
        <f>IF(N('01_Stations'!$K$263)&gt;0,'01_Stations'!$K$263,"")</f>
        <v/>
      </c>
      <c r="V267" s="164" t="str">
        <f>IF(N('01_Stations'!$K$264)&gt;0,'01_Stations'!$K$264,"")</f>
        <v/>
      </c>
      <c r="W267" s="164" t="str">
        <f>IF(N('01_Stations'!$K$265)&gt;0,'01_Stations'!$K$265,"")</f>
        <v/>
      </c>
      <c r="X267" s="164" t="str">
        <f>IF(N('01_Stations'!$K$266)&gt;0,'01_Stations'!$K$266,"")</f>
        <v/>
      </c>
      <c r="Y267" s="164" t="str">
        <f>IF(N('01_Stations'!$K$267)&gt;0,'01_Stations'!$K$267,"")</f>
        <v/>
      </c>
      <c r="Z267" s="164" t="str">
        <f>IF(N('01_Stations'!$K$268)&gt;0,'01_Stations'!$K$268,"")</f>
        <v/>
      </c>
      <c r="AA267" s="164" t="str">
        <f>IF(N('01_Stations'!$K$269)&gt;0,'01_Stations'!$K$269,"")</f>
        <v/>
      </c>
      <c r="AB267" s="164" t="str">
        <f>IF(N('01_Stations'!$K$270)&gt;0,'01_Stations'!$K$270,"")</f>
        <v/>
      </c>
      <c r="AC267" s="164" t="str">
        <f>IF(N('01_Stations'!$K$271)&gt;0,'01_Stations'!$K$271,"")</f>
        <v/>
      </c>
      <c r="AD267" s="164" t="str">
        <f>IF(N('01_Stations'!$K$272)&gt;0,'01_Stations'!$K$272,"")</f>
        <v/>
      </c>
      <c r="AE267" s="164" t="str">
        <f>IF(N('01_Stations'!$K$273)&gt;0,'01_Stations'!$K$273,"")</f>
        <v/>
      </c>
      <c r="AF267" s="164" t="str">
        <f>IF(N('01_Stations'!$K$274)&gt;0,'01_Stations'!$K$274,"")</f>
        <v/>
      </c>
      <c r="AG267" s="164" t="str">
        <f>IF(N('01_Stations'!$K$275)&gt;0,'01_Stations'!$K$275,"")</f>
        <v/>
      </c>
      <c r="AH267" s="164" t="str">
        <f>IF(N('01_Stations'!$K$276)&gt;0,'01_Stations'!$K$276,"")</f>
        <v/>
      </c>
      <c r="AI267" s="164" t="str">
        <f>IF(N('01_Stations'!$K$277)&gt;0,'01_Stations'!$K$277,"")</f>
        <v/>
      </c>
      <c r="AJ267" s="164" t="str">
        <f>IF(N('01_Stations'!$K$278)&gt;0,'01_Stations'!$K$278,"")</f>
        <v/>
      </c>
      <c r="AK267" s="164" t="str">
        <f>IF(N('01_Stations'!$K$279)&gt;0,'01_Stations'!$K$279,"")</f>
        <v/>
      </c>
      <c r="AL267" s="164" t="str">
        <f>IF(N('01_Stations'!$K$280)&gt;0,'01_Stations'!$K$280,"")</f>
        <v/>
      </c>
      <c r="AM267" s="164" t="str">
        <f>IF(N('01_Stations'!$K$281)&gt;0,'01_Stations'!$K$281,"")</f>
        <v/>
      </c>
      <c r="AN267" s="164" t="str">
        <f>IF(N('01_Stations'!$K$282)&gt;0,'01_Stations'!$K$282,"")</f>
        <v/>
      </c>
      <c r="AO267" s="164" t="str">
        <f>IF(N('01_Stations'!$K$283)&gt;0,'01_Stations'!$K$283,"")</f>
        <v/>
      </c>
      <c r="AP267" s="164" t="str">
        <f>IF(N('01_Stations'!$K$284)&gt;0,'01_Stations'!$K$284,"")</f>
        <v/>
      </c>
      <c r="AQ267" s="164" t="str">
        <f>IF(N('01_Stations'!$K$285)&gt;0,'01_Stations'!$K$285,"")</f>
        <v/>
      </c>
    </row>
    <row r="268" spans="1:43" ht="15" customHeight="1" x14ac:dyDescent="0.3">
      <c r="A268" s="236"/>
      <c r="B268" s="165" t="s">
        <v>270</v>
      </c>
      <c r="C268" s="166"/>
      <c r="D268" s="164" t="str">
        <f>IF('01_Stations'!$L$246=1,"───","")</f>
        <v/>
      </c>
      <c r="E268" s="164" t="str">
        <f>IF('01_Stations'!$L$247=1,"───","")</f>
        <v/>
      </c>
      <c r="F268" s="164" t="str">
        <f>IF('01_Stations'!$L$248=1,"───","")</f>
        <v/>
      </c>
      <c r="G268" s="164" t="str">
        <f>IF('01_Stations'!$L$249=1,"───","")</f>
        <v/>
      </c>
      <c r="H268" s="164" t="str">
        <f>IF('01_Stations'!$L$250=1,"───","")</f>
        <v/>
      </c>
      <c r="I268" s="164" t="str">
        <f>IF('01_Stations'!$L$251=1,"───","")</f>
        <v/>
      </c>
      <c r="J268" s="164" t="str">
        <f>IF('01_Stations'!$L$252=1,"───","")</f>
        <v/>
      </c>
      <c r="K268" s="164" t="str">
        <f>IF('01_Stations'!$L$253=1,"───","")</f>
        <v/>
      </c>
      <c r="L268" s="164" t="str">
        <f>IF('01_Stations'!$L$254=1,"───","")</f>
        <v/>
      </c>
      <c r="M268" s="164" t="str">
        <f>IF('01_Stations'!$L$255=1,"───","")</f>
        <v/>
      </c>
      <c r="N268" s="164" t="str">
        <f>IF('01_Stations'!$L$256=1,"───","")</f>
        <v/>
      </c>
      <c r="O268" s="164" t="str">
        <f>IF('01_Stations'!$L$257=1,"───","")</f>
        <v/>
      </c>
      <c r="P268" s="164" t="str">
        <f>IF('01_Stations'!$L$258=1,"───","")</f>
        <v/>
      </c>
      <c r="Q268" s="164" t="str">
        <f>IF('01_Stations'!$L$259=1,"───","")</f>
        <v/>
      </c>
      <c r="R268" s="164" t="str">
        <f>IF('01_Stations'!$L$260=1,"───","")</f>
        <v/>
      </c>
      <c r="S268" s="164" t="str">
        <f>IF('01_Stations'!$L$261=1,"───","")</f>
        <v/>
      </c>
      <c r="T268" s="164" t="str">
        <f>IF('01_Stations'!$L$262=1,"───","")</f>
        <v/>
      </c>
      <c r="U268" s="164" t="str">
        <f>IF('01_Stations'!$L$263=1,"───","")</f>
        <v/>
      </c>
      <c r="V268" s="164" t="str">
        <f>IF('01_Stations'!$L$264=1,"───","")</f>
        <v/>
      </c>
      <c r="W268" s="164" t="str">
        <f>IF('01_Stations'!$L$265=1,"───","")</f>
        <v/>
      </c>
      <c r="X268" s="164" t="str">
        <f>IF('01_Stations'!$L$266=1,"───","")</f>
        <v/>
      </c>
      <c r="Y268" s="164" t="str">
        <f>IF('01_Stations'!$L$267=1,"───","")</f>
        <v/>
      </c>
      <c r="Z268" s="164" t="str">
        <f>IF('01_Stations'!$L$268=1,"───","")</f>
        <v/>
      </c>
      <c r="AA268" s="164" t="str">
        <f>IF('01_Stations'!$L$269=1,"───","")</f>
        <v/>
      </c>
      <c r="AB268" s="164" t="str">
        <f>IF('01_Stations'!$L$270=1,"───","")</f>
        <v/>
      </c>
      <c r="AC268" s="164" t="str">
        <f>IF('01_Stations'!$L$271=1,"───","")</f>
        <v/>
      </c>
      <c r="AD268" s="164" t="str">
        <f>IF('01_Stations'!$L$272=1,"───","")</f>
        <v/>
      </c>
      <c r="AE268" s="164" t="str">
        <f>IF('01_Stations'!$L$273=1,"───","")</f>
        <v/>
      </c>
      <c r="AF268" s="164" t="str">
        <f>IF('01_Stations'!$L$274=1,"───","")</f>
        <v/>
      </c>
      <c r="AG268" s="164" t="str">
        <f>IF('01_Stations'!$L$275=1,"───","")</f>
        <v/>
      </c>
      <c r="AH268" s="164" t="str">
        <f>IF('01_Stations'!$L$276=1,"───","")</f>
        <v/>
      </c>
      <c r="AI268" s="164" t="str">
        <f>IF('01_Stations'!$L$277=1,"───","")</f>
        <v/>
      </c>
      <c r="AJ268" s="164" t="str">
        <f>IF('01_Stations'!$L$278=1,"───","")</f>
        <v/>
      </c>
      <c r="AK268" s="164" t="str">
        <f>IF('01_Stations'!$L$279=1,"───","")</f>
        <v/>
      </c>
      <c r="AL268" s="164" t="str">
        <f>IF('01_Stations'!$L$280=1,"───","")</f>
        <v/>
      </c>
      <c r="AM268" s="164" t="str">
        <f>IF('01_Stations'!$L$281=1,"───","")</f>
        <v/>
      </c>
      <c r="AN268" s="164" t="str">
        <f>IF('01_Stations'!$L$282=1,"───","")</f>
        <v/>
      </c>
      <c r="AO268" s="164" t="str">
        <f>IF('01_Stations'!$L$283=1,"───","")</f>
        <v/>
      </c>
      <c r="AP268" s="164" t="str">
        <f>IF('01_Stations'!$L$284=1,"───","")</f>
        <v/>
      </c>
      <c r="AQ268" s="164" t="str">
        <f>IF('01_Stations'!$L$285=1,"───","")</f>
        <v/>
      </c>
    </row>
    <row r="269" spans="1:43" ht="15" customHeight="1" x14ac:dyDescent="0.3">
      <c r="A269" s="236"/>
      <c r="B269" s="165" t="s">
        <v>265</v>
      </c>
      <c r="C269" s="166" t="s">
        <v>299</v>
      </c>
      <c r="D269" s="164" t="str">
        <f>IF(N('01_Stations'!$M$246)&gt;0,'01_Stations'!$M$246,"")</f>
        <v/>
      </c>
      <c r="E269" s="164" t="str">
        <f>IF(N('01_Stations'!$M$247)&gt;0,'01_Stations'!$M$247,"")</f>
        <v/>
      </c>
      <c r="F269" s="164" t="str">
        <f>IF(N('01_Stations'!$M$248)&gt;0,'01_Stations'!$M$248,"")</f>
        <v/>
      </c>
      <c r="G269" s="164" t="str">
        <f>IF(N('01_Stations'!$M$249)&gt;0,'01_Stations'!$M$249,"")</f>
        <v/>
      </c>
      <c r="H269" s="164" t="str">
        <f>IF(N('01_Stations'!$M$250)&gt;0,'01_Stations'!$M$250,"")</f>
        <v/>
      </c>
      <c r="I269" s="164" t="str">
        <f>IF(N('01_Stations'!$M$251)&gt;0,'01_Stations'!$M$251,"")</f>
        <v/>
      </c>
      <c r="J269" s="164" t="str">
        <f>IF(N('01_Stations'!$M$252)&gt;0,'01_Stations'!$M$252,"")</f>
        <v/>
      </c>
      <c r="K269" s="164" t="str">
        <f>IF(N('01_Stations'!$M$253)&gt;0,'01_Stations'!$M$253,"")</f>
        <v/>
      </c>
      <c r="L269" s="164" t="str">
        <f>IF(N('01_Stations'!$M$254)&gt;0,'01_Stations'!$M$254,"")</f>
        <v/>
      </c>
      <c r="M269" s="164" t="str">
        <f>IF(N('01_Stations'!$M$255)&gt;0,'01_Stations'!$M$255,"")</f>
        <v/>
      </c>
      <c r="N269" s="164" t="str">
        <f>IF(N('01_Stations'!$M$256)&gt;0,'01_Stations'!$M$256,"")</f>
        <v/>
      </c>
      <c r="O269" s="164" t="str">
        <f>IF(N('01_Stations'!$M$257)&gt;0,'01_Stations'!$M$257,"")</f>
        <v/>
      </c>
      <c r="P269" s="164" t="str">
        <f>IF(N('01_Stations'!$M$258)&gt;0,'01_Stations'!$M$258,"")</f>
        <v/>
      </c>
      <c r="Q269" s="164" t="str">
        <f>IF(N('01_Stations'!$M$259)&gt;0,'01_Stations'!$M$259,"")</f>
        <v/>
      </c>
      <c r="R269" s="164" t="str">
        <f>IF(N('01_Stations'!$M$260)&gt;0,'01_Stations'!$M$260,"")</f>
        <v/>
      </c>
      <c r="S269" s="164" t="str">
        <f>IF(N('01_Stations'!$M$261)&gt;0,'01_Stations'!$M$261,"")</f>
        <v/>
      </c>
      <c r="T269" s="164" t="str">
        <f>IF(N('01_Stations'!$M$262)&gt;0,'01_Stations'!$M$262,"")</f>
        <v/>
      </c>
      <c r="U269" s="164" t="str">
        <f>IF(N('01_Stations'!$M$263)&gt;0,'01_Stations'!$M$263,"")</f>
        <v/>
      </c>
      <c r="V269" s="164" t="str">
        <f>IF(N('01_Stations'!$M$264)&gt;0,'01_Stations'!$M$264,"")</f>
        <v/>
      </c>
      <c r="W269" s="164" t="str">
        <f>IF(N('01_Stations'!$M$265)&gt;0,'01_Stations'!$M$265,"")</f>
        <v/>
      </c>
      <c r="X269" s="164" t="str">
        <f>IF(N('01_Stations'!$M$266)&gt;0,'01_Stations'!$M$266,"")</f>
        <v/>
      </c>
      <c r="Y269" s="164" t="str">
        <f>IF(N('01_Stations'!$M$267)&gt;0,'01_Stations'!$M$267,"")</f>
        <v/>
      </c>
      <c r="Z269" s="164" t="str">
        <f>IF(N('01_Stations'!$M$268)&gt;0,'01_Stations'!$M$268,"")</f>
        <v/>
      </c>
      <c r="AA269" s="164" t="str">
        <f>IF(N('01_Stations'!$M$269)&gt;0,'01_Stations'!$M$269,"")</f>
        <v/>
      </c>
      <c r="AB269" s="164" t="str">
        <f>IF(N('01_Stations'!$M$270)&gt;0,'01_Stations'!$M$270,"")</f>
        <v/>
      </c>
      <c r="AC269" s="164" t="str">
        <f>IF(N('01_Stations'!$M$271)&gt;0,'01_Stations'!$M$271,"")</f>
        <v/>
      </c>
      <c r="AD269" s="164" t="str">
        <f>IF(N('01_Stations'!$M$272)&gt;0,'01_Stations'!$M$272,"")</f>
        <v/>
      </c>
      <c r="AE269" s="164" t="str">
        <f>IF(N('01_Stations'!$M$273)&gt;0,'01_Stations'!$M$273,"")</f>
        <v/>
      </c>
      <c r="AF269" s="164" t="str">
        <f>IF(N('01_Stations'!$M$274)&gt;0,'01_Stations'!$M$274,"")</f>
        <v/>
      </c>
      <c r="AG269" s="164" t="str">
        <f>IF(N('01_Stations'!$M$275)&gt;0,'01_Stations'!$M$275,"")</f>
        <v/>
      </c>
      <c r="AH269" s="164" t="str">
        <f>IF(N('01_Stations'!$M$276)&gt;0,'01_Stations'!$M$276,"")</f>
        <v/>
      </c>
      <c r="AI269" s="164" t="str">
        <f>IF(N('01_Stations'!$M$277)&gt;0,'01_Stations'!$M$277,"")</f>
        <v/>
      </c>
      <c r="AJ269" s="164" t="str">
        <f>IF(N('01_Stations'!$M$278)&gt;0,'01_Stations'!$M$278,"")</f>
        <v/>
      </c>
      <c r="AK269" s="164" t="str">
        <f>IF(N('01_Stations'!$M$279)&gt;0,'01_Stations'!$M$279,"")</f>
        <v/>
      </c>
      <c r="AL269" s="164" t="str">
        <f>IF(N('01_Stations'!$M$280)&gt;0,'01_Stations'!$M$280,"")</f>
        <v/>
      </c>
      <c r="AM269" s="164" t="str">
        <f>IF(N('01_Stations'!$M$281)&gt;0,'01_Stations'!$M$281,"")</f>
        <v/>
      </c>
      <c r="AN269" s="164" t="str">
        <f>IF(N('01_Stations'!$M$282)&gt;0,'01_Stations'!$M$282,"")</f>
        <v/>
      </c>
      <c r="AO269" s="164" t="str">
        <f>IF(N('01_Stations'!$M$283)&gt;0,'01_Stations'!$M$283,"")</f>
        <v/>
      </c>
      <c r="AP269" s="164" t="str">
        <f>IF(N('01_Stations'!$M$284)&gt;0,'01_Stations'!$M$284,"")</f>
        <v/>
      </c>
      <c r="AQ269" s="164" t="str">
        <f>IF(N('01_Stations'!$M$285)&gt;0,'01_Stations'!$M$285,"")</f>
        <v/>
      </c>
    </row>
    <row r="270" spans="1:43" ht="15" customHeight="1" x14ac:dyDescent="0.3">
      <c r="A270" s="236"/>
      <c r="B270" s="165" t="s">
        <v>2208</v>
      </c>
      <c r="C270" s="166" t="s">
        <v>63</v>
      </c>
      <c r="D270" s="164" t="str">
        <f>IF(N('01_Stations'!$N$246)&gt;0,'01_Stations'!$N$246,"")</f>
        <v/>
      </c>
      <c r="E270" s="164" t="str">
        <f>IF(N('01_Stations'!$N$247)&gt;0,'01_Stations'!$N$247,"")</f>
        <v/>
      </c>
      <c r="F270" s="164" t="str">
        <f>IF(N('01_Stations'!$N$248)&gt;0,'01_Stations'!$N$248,"")</f>
        <v/>
      </c>
      <c r="G270" s="164" t="str">
        <f>IF(N('01_Stations'!$N$249)&gt;0,'01_Stations'!$N$249,"")</f>
        <v/>
      </c>
      <c r="H270" s="164" t="str">
        <f>IF(N('01_Stations'!$N$250)&gt;0,'01_Stations'!$N$250,"")</f>
        <v/>
      </c>
      <c r="I270" s="164" t="str">
        <f>IF(N('01_Stations'!$N$251)&gt;0,'01_Stations'!$N$251,"")</f>
        <v/>
      </c>
      <c r="J270" s="164" t="str">
        <f>IF(N('01_Stations'!$N$252)&gt;0,'01_Stations'!$N$252,"")</f>
        <v/>
      </c>
      <c r="K270" s="164" t="str">
        <f>IF(N('01_Stations'!$N$253)&gt;0,'01_Stations'!$N$253,"")</f>
        <v/>
      </c>
      <c r="L270" s="164" t="str">
        <f>IF(N('01_Stations'!$N$254)&gt;0,'01_Stations'!$N$254,"")</f>
        <v/>
      </c>
      <c r="M270" s="164" t="str">
        <f>IF(N('01_Stations'!$N$255)&gt;0,'01_Stations'!$N$255,"")</f>
        <v/>
      </c>
      <c r="N270" s="164" t="str">
        <f>IF(N('01_Stations'!$N$256)&gt;0,'01_Stations'!$N$256,"")</f>
        <v/>
      </c>
      <c r="O270" s="164" t="str">
        <f>IF(N('01_Stations'!$N$257)&gt;0,'01_Stations'!$N$257,"")</f>
        <v/>
      </c>
      <c r="P270" s="164" t="str">
        <f>IF(N('01_Stations'!$N$258)&gt;0,'01_Stations'!$N$258,"")</f>
        <v/>
      </c>
      <c r="Q270" s="164" t="str">
        <f>IF(N('01_Stations'!$N$259)&gt;0,'01_Stations'!$N$259,"")</f>
        <v/>
      </c>
      <c r="R270" s="164" t="str">
        <f>IF(N('01_Stations'!$N$260)&gt;0,'01_Stations'!$N$260,"")</f>
        <v/>
      </c>
      <c r="S270" s="164" t="str">
        <f>IF(N('01_Stations'!$N$261)&gt;0,'01_Stations'!$N$261,"")</f>
        <v/>
      </c>
      <c r="T270" s="164" t="str">
        <f>IF(N('01_Stations'!$N$262)&gt;0,'01_Stations'!$N$262,"")</f>
        <v/>
      </c>
      <c r="U270" s="164" t="str">
        <f>IF(N('01_Stations'!$N$263)&gt;0,'01_Stations'!$N$263,"")</f>
        <v/>
      </c>
      <c r="V270" s="164" t="str">
        <f>IF(N('01_Stations'!$N$264)&gt;0,'01_Stations'!$N$264,"")</f>
        <v/>
      </c>
      <c r="W270" s="164" t="str">
        <f>IF(N('01_Stations'!$N$265)&gt;0,'01_Stations'!$N$265,"")</f>
        <v/>
      </c>
      <c r="X270" s="164" t="str">
        <f>IF(N('01_Stations'!$N$266)&gt;0,'01_Stations'!$N$266,"")</f>
        <v/>
      </c>
      <c r="Y270" s="164" t="str">
        <f>IF(N('01_Stations'!$N$267)&gt;0,'01_Stations'!$N$267,"")</f>
        <v/>
      </c>
      <c r="Z270" s="164" t="str">
        <f>IF(N('01_Stations'!$N$268)&gt;0,'01_Stations'!$N$268,"")</f>
        <v/>
      </c>
      <c r="AA270" s="164" t="str">
        <f>IF(N('01_Stations'!$N$269)&gt;0,'01_Stations'!$N$269,"")</f>
        <v/>
      </c>
      <c r="AB270" s="164" t="str">
        <f>IF(N('01_Stations'!$N$270)&gt;0,'01_Stations'!$N$270,"")</f>
        <v/>
      </c>
      <c r="AC270" s="164" t="str">
        <f>IF(N('01_Stations'!$N$271)&gt;0,'01_Stations'!$N$271,"")</f>
        <v/>
      </c>
      <c r="AD270" s="164" t="str">
        <f>IF(N('01_Stations'!$N$272)&gt;0,'01_Stations'!$N$272,"")</f>
        <v/>
      </c>
      <c r="AE270" s="164" t="str">
        <f>IF(N('01_Stations'!$N$273)&gt;0,'01_Stations'!$N$273,"")</f>
        <v/>
      </c>
      <c r="AF270" s="164" t="str">
        <f>IF(N('01_Stations'!$N$274)&gt;0,'01_Stations'!$N$274,"")</f>
        <v/>
      </c>
      <c r="AG270" s="164" t="str">
        <f>IF(N('01_Stations'!$N$275)&gt;0,'01_Stations'!$N$275,"")</f>
        <v/>
      </c>
      <c r="AH270" s="164" t="str">
        <f>IF(N('01_Stations'!$N$276)&gt;0,'01_Stations'!$N$276,"")</f>
        <v/>
      </c>
      <c r="AI270" s="164" t="str">
        <f>IF(N('01_Stations'!$N$277)&gt;0,'01_Stations'!$N$277,"")</f>
        <v/>
      </c>
      <c r="AJ270" s="164" t="str">
        <f>IF(N('01_Stations'!$N$278)&gt;0,'01_Stations'!$N$278,"")</f>
        <v/>
      </c>
      <c r="AK270" s="164" t="str">
        <f>IF(N('01_Stations'!$N$279)&gt;0,'01_Stations'!$N$279,"")</f>
        <v/>
      </c>
      <c r="AL270" s="164" t="str">
        <f>IF(N('01_Stations'!$N$280)&gt;0,'01_Stations'!$N$280,"")</f>
        <v/>
      </c>
      <c r="AM270" s="164" t="str">
        <f>IF(N('01_Stations'!$N$281)&gt;0,'01_Stations'!$N$281,"")</f>
        <v/>
      </c>
      <c r="AN270" s="164" t="str">
        <f>IF(N('01_Stations'!$N$282)&gt;0,'01_Stations'!$N$282,"")</f>
        <v/>
      </c>
      <c r="AO270" s="164" t="str">
        <f>IF(N('01_Stations'!$N$283)&gt;0,'01_Stations'!$N$283,"")</f>
        <v/>
      </c>
      <c r="AP270" s="164" t="str">
        <f>IF(N('01_Stations'!$N$284)&gt;0,'01_Stations'!$N$284,"")</f>
        <v/>
      </c>
      <c r="AQ270" s="164" t="str">
        <f>IF(N('01_Stations'!$N$285)&gt;0,'01_Stations'!$N$285,"")</f>
        <v/>
      </c>
    </row>
    <row r="271" spans="1:43" ht="15" customHeight="1" x14ac:dyDescent="0.3">
      <c r="A271" s="237"/>
      <c r="B271" s="165" t="s">
        <v>2209</v>
      </c>
      <c r="C271" s="166" t="s">
        <v>301</v>
      </c>
      <c r="D271" s="164" t="str">
        <f>IF(N('01_Stations'!$O$246)&gt;0,'01_Stations'!$O$246,"")</f>
        <v/>
      </c>
      <c r="E271" s="164" t="str">
        <f>IF(N('01_Stations'!$O$247)&gt;0,'01_Stations'!$O$247,"")</f>
        <v/>
      </c>
      <c r="F271" s="164" t="str">
        <f>IF(N('01_Stations'!$O$248)&gt;0,'01_Stations'!$O$248,"")</f>
        <v/>
      </c>
      <c r="G271" s="164" t="str">
        <f>IF(N('01_Stations'!$O$249)&gt;0,'01_Stations'!$O$249,"")</f>
        <v/>
      </c>
      <c r="H271" s="164" t="str">
        <f>IF(N('01_Stations'!$O$250)&gt;0,'01_Stations'!$O$250,"")</f>
        <v/>
      </c>
      <c r="I271" s="164" t="str">
        <f>IF(N('01_Stations'!$O$251)&gt;0,'01_Stations'!$O$251,"")</f>
        <v/>
      </c>
      <c r="J271" s="164" t="str">
        <f>IF(N('01_Stations'!$O$252)&gt;0,'01_Stations'!$O$252,"")</f>
        <v/>
      </c>
      <c r="K271" s="164" t="str">
        <f>IF(N('01_Stations'!$O$253)&gt;0,'01_Stations'!$O$253,"")</f>
        <v/>
      </c>
      <c r="L271" s="164" t="str">
        <f>IF(N('01_Stations'!$O$254)&gt;0,'01_Stations'!$O$254,"")</f>
        <v/>
      </c>
      <c r="M271" s="164" t="str">
        <f>IF(N('01_Stations'!$O$255)&gt;0,'01_Stations'!$O$255,"")</f>
        <v/>
      </c>
      <c r="N271" s="164" t="str">
        <f>IF(N('01_Stations'!$O$256)&gt;0,'01_Stations'!$O$256,"")</f>
        <v/>
      </c>
      <c r="O271" s="164" t="str">
        <f>IF(N('01_Stations'!$O$257)&gt;0,'01_Stations'!$O$257,"")</f>
        <v/>
      </c>
      <c r="P271" s="164" t="str">
        <f>IF(N('01_Stations'!$O$258)&gt;0,'01_Stations'!$O$258,"")</f>
        <v/>
      </c>
      <c r="Q271" s="164" t="str">
        <f>IF(N('01_Stations'!$O$259)&gt;0,'01_Stations'!$O$259,"")</f>
        <v/>
      </c>
      <c r="R271" s="164" t="str">
        <f>IF(N('01_Stations'!$O$260)&gt;0,'01_Stations'!$O$260,"")</f>
        <v/>
      </c>
      <c r="S271" s="164" t="str">
        <f>IF(N('01_Stations'!$O$261)&gt;0,'01_Stations'!$O$261,"")</f>
        <v/>
      </c>
      <c r="T271" s="164" t="str">
        <f>IF(N('01_Stations'!$O$262)&gt;0,'01_Stations'!$O$262,"")</f>
        <v/>
      </c>
      <c r="U271" s="164" t="str">
        <f>IF(N('01_Stations'!$O$263)&gt;0,'01_Stations'!$O$263,"")</f>
        <v/>
      </c>
      <c r="V271" s="164" t="str">
        <f>IF(N('01_Stations'!$O$264)&gt;0,'01_Stations'!$O$264,"")</f>
        <v/>
      </c>
      <c r="W271" s="164" t="str">
        <f>IF(N('01_Stations'!$O$265)&gt;0,'01_Stations'!$O$265,"")</f>
        <v/>
      </c>
      <c r="X271" s="164" t="str">
        <f>IF(N('01_Stations'!$O$266)&gt;0,'01_Stations'!$O$266,"")</f>
        <v/>
      </c>
      <c r="Y271" s="164" t="str">
        <f>IF(N('01_Stations'!$O$267)&gt;0,'01_Stations'!$O$267,"")</f>
        <v/>
      </c>
      <c r="Z271" s="164" t="str">
        <f>IF(N('01_Stations'!$O$268)&gt;0,'01_Stations'!$O$268,"")</f>
        <v/>
      </c>
      <c r="AA271" s="164" t="str">
        <f>IF(N('01_Stations'!$O$269)&gt;0,'01_Stations'!$O$269,"")</f>
        <v/>
      </c>
      <c r="AB271" s="164" t="str">
        <f>IF(N('01_Stations'!$O$270)&gt;0,'01_Stations'!$O$270,"")</f>
        <v/>
      </c>
      <c r="AC271" s="164" t="str">
        <f>IF(N('01_Stations'!$O$271)&gt;0,'01_Stations'!$O$271,"")</f>
        <v/>
      </c>
      <c r="AD271" s="164" t="str">
        <f>IF(N('01_Stations'!$O$272)&gt;0,'01_Stations'!$O$272,"")</f>
        <v/>
      </c>
      <c r="AE271" s="164" t="str">
        <f>IF(N('01_Stations'!$O$273)&gt;0,'01_Stations'!$O$273,"")</f>
        <v/>
      </c>
      <c r="AF271" s="164" t="str">
        <f>IF(N('01_Stations'!$O$274)&gt;0,'01_Stations'!$O$274,"")</f>
        <v/>
      </c>
      <c r="AG271" s="164" t="str">
        <f>IF(N('01_Stations'!$O$275)&gt;0,'01_Stations'!$O$275,"")</f>
        <v/>
      </c>
      <c r="AH271" s="164" t="str">
        <f>IF(N('01_Stations'!$O$276)&gt;0,'01_Stations'!$O$276,"")</f>
        <v/>
      </c>
      <c r="AI271" s="164" t="str">
        <f>IF(N('01_Stations'!$O$277)&gt;0,'01_Stations'!$O$277,"")</f>
        <v/>
      </c>
      <c r="AJ271" s="164" t="str">
        <f>IF(N('01_Stations'!$O$278)&gt;0,'01_Stations'!$O$278,"")</f>
        <v/>
      </c>
      <c r="AK271" s="164" t="str">
        <f>IF(N('01_Stations'!$O$279)&gt;0,'01_Stations'!$O$279,"")</f>
        <v/>
      </c>
      <c r="AL271" s="164" t="str">
        <f>IF(N('01_Stations'!$O$280)&gt;0,'01_Stations'!$O$280,"")</f>
        <v/>
      </c>
      <c r="AM271" s="164" t="str">
        <f>IF(N('01_Stations'!$O$281)&gt;0,'01_Stations'!$O$281,"")</f>
        <v/>
      </c>
      <c r="AN271" s="164" t="str">
        <f>IF(N('01_Stations'!$O$282)&gt;0,'01_Stations'!$O$282,"")</f>
        <v/>
      </c>
      <c r="AO271" s="164" t="str">
        <f>IF(N('01_Stations'!$O$283)&gt;0,'01_Stations'!$O$283,"")</f>
        <v/>
      </c>
      <c r="AP271" s="164" t="str">
        <f>IF(N('01_Stations'!$O$284)&gt;0,'01_Stations'!$O$284,"")</f>
        <v/>
      </c>
      <c r="AQ271" s="164" t="str">
        <f>IF(N('01_Stations'!$O$285)&gt;0,'01_Stations'!$O$285,"")</f>
        <v/>
      </c>
    </row>
    <row r="272" spans="1:43" ht="15" customHeight="1" x14ac:dyDescent="0.3">
      <c r="A272" s="238" t="s">
        <v>2210</v>
      </c>
      <c r="B272" s="165" t="s">
        <v>2211</v>
      </c>
      <c r="C272" s="166" t="s">
        <v>1622</v>
      </c>
      <c r="D272" s="164" t="str">
        <f>IF('01_Stations'!$P$246="","",'01_Stations'!$P$246)</f>
        <v/>
      </c>
      <c r="E272" s="164" t="str">
        <f>IF('01_Stations'!$P$247="","",'01_Stations'!$P$247)</f>
        <v/>
      </c>
      <c r="F272" s="164" t="str">
        <f>IF('01_Stations'!$P$248="","",'01_Stations'!$P$248)</f>
        <v/>
      </c>
      <c r="G272" s="164" t="str">
        <f>IF('01_Stations'!$P$249="","",'01_Stations'!$P$249)</f>
        <v/>
      </c>
      <c r="H272" s="164" t="str">
        <f>IF('01_Stations'!$P$250="","",'01_Stations'!$P$250)</f>
        <v/>
      </c>
      <c r="I272" s="164" t="str">
        <f>IF('01_Stations'!$P$251="","",'01_Stations'!$P$251)</f>
        <v/>
      </c>
      <c r="J272" s="164" t="str">
        <f>IF('01_Stations'!$P$252="","",'01_Stations'!$P$252)</f>
        <v/>
      </c>
      <c r="K272" s="164" t="str">
        <f>IF('01_Stations'!$P$253="","",'01_Stations'!$P$253)</f>
        <v/>
      </c>
      <c r="L272" s="164" t="str">
        <f>IF('01_Stations'!$P$254="","",'01_Stations'!$P$254)</f>
        <v/>
      </c>
      <c r="M272" s="164" t="str">
        <f>IF('01_Stations'!$P$255="","",'01_Stations'!$P$255)</f>
        <v/>
      </c>
      <c r="N272" s="164" t="str">
        <f>IF('01_Stations'!$P$256="","",'01_Stations'!$P$256)</f>
        <v/>
      </c>
      <c r="O272" s="164" t="str">
        <f>IF('01_Stations'!$P$257="","",'01_Stations'!$P$257)</f>
        <v/>
      </c>
      <c r="P272" s="164" t="str">
        <f>IF('01_Stations'!$P$258="","",'01_Stations'!$P$258)</f>
        <v/>
      </c>
      <c r="Q272" s="164" t="str">
        <f>IF('01_Stations'!$P$259="","",'01_Stations'!$P$259)</f>
        <v/>
      </c>
      <c r="R272" s="164" t="str">
        <f>IF('01_Stations'!$P$260="","",'01_Stations'!$P$260)</f>
        <v/>
      </c>
      <c r="S272" s="164" t="str">
        <f>IF('01_Stations'!$P$261="","",'01_Stations'!$P$261)</f>
        <v/>
      </c>
      <c r="T272" s="164" t="str">
        <f>IF('01_Stations'!$P$262="","",'01_Stations'!$P$262)</f>
        <v/>
      </c>
      <c r="U272" s="164" t="str">
        <f>IF('01_Stations'!$P$263="","",'01_Stations'!$P$263)</f>
        <v/>
      </c>
      <c r="V272" s="164" t="str">
        <f>IF('01_Stations'!$P$264="","",'01_Stations'!$P$264)</f>
        <v/>
      </c>
      <c r="W272" s="164" t="str">
        <f>IF('01_Stations'!$P$265="","",'01_Stations'!$P$265)</f>
        <v/>
      </c>
      <c r="X272" s="164" t="str">
        <f>IF('01_Stations'!$P$266="","",'01_Stations'!$P$266)</f>
        <v/>
      </c>
      <c r="Y272" s="164" t="str">
        <f>IF('01_Stations'!$P$267="","",'01_Stations'!$P$267)</f>
        <v/>
      </c>
      <c r="Z272" s="164" t="str">
        <f>IF('01_Stations'!$P$268="","",'01_Stations'!$P$268)</f>
        <v/>
      </c>
      <c r="AA272" s="164" t="str">
        <f>IF('01_Stations'!$P$269="","",'01_Stations'!$P$269)</f>
        <v/>
      </c>
      <c r="AB272" s="164" t="str">
        <f>IF('01_Stations'!$P$270="","",'01_Stations'!$P$270)</f>
        <v/>
      </c>
      <c r="AC272" s="164" t="str">
        <f>IF('01_Stations'!$P$271="","",'01_Stations'!$P$271)</f>
        <v/>
      </c>
      <c r="AD272" s="164" t="str">
        <f>IF('01_Stations'!$P$272="","",'01_Stations'!$P$272)</f>
        <v/>
      </c>
      <c r="AE272" s="164" t="str">
        <f>IF('01_Stations'!$P$273="","",'01_Stations'!$P$273)</f>
        <v/>
      </c>
      <c r="AF272" s="164" t="str">
        <f>IF('01_Stations'!$P$274="","",'01_Stations'!$P$274)</f>
        <v/>
      </c>
      <c r="AG272" s="164" t="str">
        <f>IF('01_Stations'!$P$275="","",'01_Stations'!$P$275)</f>
        <v/>
      </c>
      <c r="AH272" s="164" t="str">
        <f>IF('01_Stations'!$P$276="","",'01_Stations'!$P$276)</f>
        <v/>
      </c>
      <c r="AI272" s="164" t="str">
        <f>IF('01_Stations'!$P$277="","",'01_Stations'!$P$277)</f>
        <v/>
      </c>
      <c r="AJ272" s="164" t="str">
        <f>IF('01_Stations'!$P$278="","",'01_Stations'!$P$278)</f>
        <v/>
      </c>
      <c r="AK272" s="164" t="str">
        <f>IF('01_Stations'!$P$279="","",'01_Stations'!$P$279)</f>
        <v/>
      </c>
      <c r="AL272" s="164" t="str">
        <f>IF('01_Stations'!$P$280="","",'01_Stations'!$P$280)</f>
        <v/>
      </c>
      <c r="AM272" s="164" t="str">
        <f>IF('01_Stations'!$P$281="","",'01_Stations'!$P$281)</f>
        <v/>
      </c>
      <c r="AN272" s="164" t="str">
        <f>IF('01_Stations'!$P$282="","",'01_Stations'!$P$282)</f>
        <v/>
      </c>
      <c r="AO272" s="164" t="str">
        <f>IF('01_Stations'!$P$283="","",'01_Stations'!$P$283)</f>
        <v/>
      </c>
      <c r="AP272" s="164" t="str">
        <f>IF('01_Stations'!$P$284="","",'01_Stations'!$P$284)</f>
        <v/>
      </c>
      <c r="AQ272" s="164" t="str">
        <f>IF('01_Stations'!$P$285="","",'01_Stations'!$P$285)</f>
        <v/>
      </c>
    </row>
    <row r="273" spans="1:43" ht="15" customHeight="1" x14ac:dyDescent="0.3">
      <c r="A273" s="236"/>
      <c r="B273" s="165"/>
      <c r="C273" s="166" t="s">
        <v>2212</v>
      </c>
      <c r="D273" s="164" t="str">
        <f>IF('01_Stations'!$Q$246="","",'01_Stations'!$Q$246)</f>
        <v/>
      </c>
      <c r="E273" s="164" t="str">
        <f>IF('01_Stations'!$Q$247="","",'01_Stations'!$Q$247)</f>
        <v/>
      </c>
      <c r="F273" s="164" t="str">
        <f>IF('01_Stations'!$Q$248="","",'01_Stations'!$Q$248)</f>
        <v/>
      </c>
      <c r="G273" s="164" t="str">
        <f>IF('01_Stations'!$Q$249="","",'01_Stations'!$Q$249)</f>
        <v/>
      </c>
      <c r="H273" s="164" t="str">
        <f>IF('01_Stations'!$Q$250="","",'01_Stations'!$Q$250)</f>
        <v/>
      </c>
      <c r="I273" s="164" t="str">
        <f>IF('01_Stations'!$Q$251="","",'01_Stations'!$Q$251)</f>
        <v/>
      </c>
      <c r="J273" s="164" t="str">
        <f>IF('01_Stations'!$Q$252="","",'01_Stations'!$Q$252)</f>
        <v/>
      </c>
      <c r="K273" s="164" t="str">
        <f>IF('01_Stations'!$Q$253="","",'01_Stations'!$Q$253)</f>
        <v/>
      </c>
      <c r="L273" s="164" t="str">
        <f>IF('01_Stations'!$Q$254="","",'01_Stations'!$Q$254)</f>
        <v/>
      </c>
      <c r="M273" s="164" t="str">
        <f>IF('01_Stations'!$Q$255="","",'01_Stations'!$Q$255)</f>
        <v/>
      </c>
      <c r="N273" s="164" t="str">
        <f>IF('01_Stations'!$Q$256="","",'01_Stations'!$Q$256)</f>
        <v/>
      </c>
      <c r="O273" s="164" t="str">
        <f>IF('01_Stations'!$Q$257="","",'01_Stations'!$Q$257)</f>
        <v/>
      </c>
      <c r="P273" s="164" t="str">
        <f>IF('01_Stations'!$Q$258="","",'01_Stations'!$Q$258)</f>
        <v/>
      </c>
      <c r="Q273" s="164" t="str">
        <f>IF('01_Stations'!$Q$259="","",'01_Stations'!$Q$259)</f>
        <v/>
      </c>
      <c r="R273" s="164" t="str">
        <f>IF('01_Stations'!$Q$260="","",'01_Stations'!$Q$260)</f>
        <v/>
      </c>
      <c r="S273" s="164" t="str">
        <f>IF('01_Stations'!$Q$261="","",'01_Stations'!$Q$261)</f>
        <v/>
      </c>
      <c r="T273" s="164" t="str">
        <f>IF('01_Stations'!$Q$262="","",'01_Stations'!$Q$262)</f>
        <v/>
      </c>
      <c r="U273" s="164" t="str">
        <f>IF('01_Stations'!$Q$263="","",'01_Stations'!$Q$263)</f>
        <v/>
      </c>
      <c r="V273" s="164" t="str">
        <f>IF('01_Stations'!$Q$264="","",'01_Stations'!$Q$264)</f>
        <v/>
      </c>
      <c r="W273" s="164" t="str">
        <f>IF('01_Stations'!$Q$265="","",'01_Stations'!$Q$265)</f>
        <v/>
      </c>
      <c r="X273" s="164" t="str">
        <f>IF('01_Stations'!$Q$266="","",'01_Stations'!$Q$266)</f>
        <v/>
      </c>
      <c r="Y273" s="164" t="str">
        <f>IF('01_Stations'!$Q$267="","",'01_Stations'!$Q$267)</f>
        <v/>
      </c>
      <c r="Z273" s="164" t="str">
        <f>IF('01_Stations'!$Q$268="","",'01_Stations'!$Q$268)</f>
        <v/>
      </c>
      <c r="AA273" s="164" t="str">
        <f>IF('01_Stations'!$Q$269="","",'01_Stations'!$Q$269)</f>
        <v/>
      </c>
      <c r="AB273" s="164" t="str">
        <f>IF('01_Stations'!$Q$270="","",'01_Stations'!$Q$270)</f>
        <v/>
      </c>
      <c r="AC273" s="164" t="str">
        <f>IF('01_Stations'!$Q$271="","",'01_Stations'!$Q$271)</f>
        <v/>
      </c>
      <c r="AD273" s="164" t="str">
        <f>IF('01_Stations'!$Q$272="","",'01_Stations'!$Q$272)</f>
        <v/>
      </c>
      <c r="AE273" s="164" t="str">
        <f>IF('01_Stations'!$Q$273="","",'01_Stations'!$Q$273)</f>
        <v/>
      </c>
      <c r="AF273" s="164" t="str">
        <f>IF('01_Stations'!$Q$274="","",'01_Stations'!$Q$274)</f>
        <v/>
      </c>
      <c r="AG273" s="164" t="str">
        <f>IF('01_Stations'!$Q$275="","",'01_Stations'!$Q$275)</f>
        <v/>
      </c>
      <c r="AH273" s="164" t="str">
        <f>IF('01_Stations'!$Q$276="","",'01_Stations'!$Q$276)</f>
        <v/>
      </c>
      <c r="AI273" s="164" t="str">
        <f>IF('01_Stations'!$Q$277="","",'01_Stations'!$Q$277)</f>
        <v/>
      </c>
      <c r="AJ273" s="164" t="str">
        <f>IF('01_Stations'!$Q$278="","",'01_Stations'!$Q$278)</f>
        <v/>
      </c>
      <c r="AK273" s="164" t="str">
        <f>IF('01_Stations'!$Q$279="","",'01_Stations'!$Q$279)</f>
        <v/>
      </c>
      <c r="AL273" s="164" t="str">
        <f>IF('01_Stations'!$Q$280="","",'01_Stations'!$Q$280)</f>
        <v/>
      </c>
      <c r="AM273" s="164" t="str">
        <f>IF('01_Stations'!$Q$281="","",'01_Stations'!$Q$281)</f>
        <v/>
      </c>
      <c r="AN273" s="164" t="str">
        <f>IF('01_Stations'!$Q$282="","",'01_Stations'!$Q$282)</f>
        <v/>
      </c>
      <c r="AO273" s="164" t="str">
        <f>IF('01_Stations'!$Q$283="","",'01_Stations'!$Q$283)</f>
        <v/>
      </c>
      <c r="AP273" s="164" t="str">
        <f>IF('01_Stations'!$Q$284="","",'01_Stations'!$Q$284)</f>
        <v/>
      </c>
      <c r="AQ273" s="164" t="str">
        <f>IF('01_Stations'!$Q$285="","",'01_Stations'!$Q$285)</f>
        <v/>
      </c>
    </row>
    <row r="274" spans="1:43" ht="15" customHeight="1" x14ac:dyDescent="0.3">
      <c r="A274" s="236"/>
      <c r="B274" s="165" t="s">
        <v>2213</v>
      </c>
      <c r="C274" s="166"/>
      <c r="D274" s="164" t="str">
        <f>IF('01_Stations'!$R$246=1,"ϰ",IF('01_Stations'!$R$246=2,"І",IF('01_Stations'!$R$246=3,"╦","")))</f>
        <v/>
      </c>
      <c r="E274" s="164" t="str">
        <f>IF('01_Stations'!$R$247=1,"ϰ",IF('01_Stations'!$R$247=2,"І",IF('01_Stations'!$R$247=3,"╦","")))</f>
        <v/>
      </c>
      <c r="F274" s="164" t="str">
        <f>IF('01_Stations'!$R$248=1,"ϰ",IF('01_Stations'!$R$248=2,"І",IF('01_Stations'!$R$248=3,"╦","")))</f>
        <v/>
      </c>
      <c r="G274" s="164" t="str">
        <f>IF('01_Stations'!$R$249=1,"ϰ",IF('01_Stations'!$R$249=2,"І",IF('01_Stations'!$R$249=3,"╦","")))</f>
        <v/>
      </c>
      <c r="H274" s="164" t="str">
        <f>IF('01_Stations'!$R$250=1,"ϰ",IF('01_Stations'!$R$250=2,"І",IF('01_Stations'!$R$250=3,"╦","")))</f>
        <v/>
      </c>
      <c r="I274" s="164" t="str">
        <f>IF('01_Stations'!$R$251=1,"ϰ",IF('01_Stations'!$R$251=2,"І",IF('01_Stations'!$R$251=3,"╦","")))</f>
        <v/>
      </c>
      <c r="J274" s="164" t="str">
        <f>IF('01_Stations'!$R$252=1,"ϰ",IF('01_Stations'!$R$252=2,"І",IF('01_Stations'!$R$252=3,"╦","")))</f>
        <v/>
      </c>
      <c r="K274" s="164" t="str">
        <f>IF('01_Stations'!$R$253=1,"ϰ",IF('01_Stations'!$R$253=2,"І",IF('01_Stations'!$R$253=3,"╦","")))</f>
        <v/>
      </c>
      <c r="L274" s="164" t="str">
        <f>IF('01_Stations'!$R$254=1,"ϰ",IF('01_Stations'!$R$254=2,"І",IF('01_Stations'!$R$254=3,"╦","")))</f>
        <v/>
      </c>
      <c r="M274" s="164" t="str">
        <f>IF('01_Stations'!$R$255=1,"ϰ",IF('01_Stations'!$R$255=2,"І",IF('01_Stations'!$R$255=3,"╦","")))</f>
        <v/>
      </c>
      <c r="N274" s="164" t="str">
        <f>IF('01_Stations'!$R$256=1,"ϰ",IF('01_Stations'!$R$256=2,"І",IF('01_Stations'!$R$256=3,"╦","")))</f>
        <v/>
      </c>
      <c r="O274" s="164" t="str">
        <f>IF('01_Stations'!$R$257=1,"ϰ",IF('01_Stations'!$R$257=2,"І",IF('01_Stations'!$R$257=3,"╦","")))</f>
        <v/>
      </c>
      <c r="P274" s="164" t="str">
        <f>IF('01_Stations'!$R$258=1,"ϰ",IF('01_Stations'!$R$258=2,"І",IF('01_Stations'!$R$258=3,"╦","")))</f>
        <v/>
      </c>
      <c r="Q274" s="164" t="str">
        <f>IF('01_Stations'!$R$259=1,"ϰ",IF('01_Stations'!$R$259=2,"І",IF('01_Stations'!$R$259=3,"╦","")))</f>
        <v/>
      </c>
      <c r="R274" s="164" t="str">
        <f>IF('01_Stations'!$R$260=1,"ϰ",IF('01_Stations'!$R$260=2,"І",IF('01_Stations'!$R$260=3,"╦","")))</f>
        <v/>
      </c>
      <c r="S274" s="164" t="str">
        <f>IF('01_Stations'!$R$261=1,"ϰ",IF('01_Stations'!$R$261=2,"І",IF('01_Stations'!$R$261=3,"╦","")))</f>
        <v/>
      </c>
      <c r="T274" s="164" t="str">
        <f>IF('01_Stations'!$R$262=1,"ϰ",IF('01_Stations'!$R$262=2,"І",IF('01_Stations'!$R$262=3,"╦","")))</f>
        <v/>
      </c>
      <c r="U274" s="164" t="str">
        <f>IF('01_Stations'!$R$263=1,"ϰ",IF('01_Stations'!$R$263=2,"І",IF('01_Stations'!$R$263=3,"╦","")))</f>
        <v/>
      </c>
      <c r="V274" s="164" t="str">
        <f>IF('01_Stations'!$R$264=1,"ϰ",IF('01_Stations'!$R$264=2,"І",IF('01_Stations'!$R$264=3,"╦","")))</f>
        <v/>
      </c>
      <c r="W274" s="164" t="str">
        <f>IF('01_Stations'!$R$265=1,"ϰ",IF('01_Stations'!$R$265=2,"І",IF('01_Stations'!$R$265=3,"╦","")))</f>
        <v/>
      </c>
      <c r="X274" s="164" t="str">
        <f>IF('01_Stations'!$R$266=1,"ϰ",IF('01_Stations'!$R$266=2,"І",IF('01_Stations'!$R$266=3,"╦","")))</f>
        <v/>
      </c>
      <c r="Y274" s="164" t="str">
        <f>IF('01_Stations'!$R$267=1,"ϰ",IF('01_Stations'!$R$267=2,"І",IF('01_Stations'!$R$267=3,"╦","")))</f>
        <v/>
      </c>
      <c r="Z274" s="164" t="str">
        <f>IF('01_Stations'!$R$268=1,"ϰ",IF('01_Stations'!$R$268=2,"І",IF('01_Stations'!$R$268=3,"╦","")))</f>
        <v/>
      </c>
      <c r="AA274" s="164" t="str">
        <f>IF('01_Stations'!$R$269=1,"ϰ",IF('01_Stations'!$R$269=2,"І",IF('01_Stations'!$R$269=3,"╦","")))</f>
        <v/>
      </c>
      <c r="AB274" s="164" t="str">
        <f>IF('01_Stations'!$R$270=1,"ϰ",IF('01_Stations'!$R$270=2,"І",IF('01_Stations'!$R$270=3,"╦","")))</f>
        <v/>
      </c>
      <c r="AC274" s="164" t="str">
        <f>IF('01_Stations'!$R$271=1,"ϰ",IF('01_Stations'!$R$271=2,"І",IF('01_Stations'!$R$271=3,"╦","")))</f>
        <v/>
      </c>
      <c r="AD274" s="164" t="str">
        <f>IF('01_Stations'!$R$272=1,"ϰ",IF('01_Stations'!$R$272=2,"І",IF('01_Stations'!$R$272=3,"╦","")))</f>
        <v/>
      </c>
      <c r="AE274" s="164" t="str">
        <f>IF('01_Stations'!$R$273=1,"ϰ",IF('01_Stations'!$R$273=2,"І",IF('01_Stations'!$R$273=3,"╦","")))</f>
        <v/>
      </c>
      <c r="AF274" s="164" t="str">
        <f>IF('01_Stations'!$R$274=1,"ϰ",IF('01_Stations'!$R$274=2,"І",IF('01_Stations'!$R$274=3,"╦","")))</f>
        <v/>
      </c>
      <c r="AG274" s="164" t="str">
        <f>IF('01_Stations'!$R$275=1,"ϰ",IF('01_Stations'!$R$275=2,"І",IF('01_Stations'!$R$275=3,"╦","")))</f>
        <v/>
      </c>
      <c r="AH274" s="164" t="str">
        <f>IF('01_Stations'!$R$276=1,"ϰ",IF('01_Stations'!$R$276=2,"І",IF('01_Stations'!$R$276=3,"╦","")))</f>
        <v/>
      </c>
      <c r="AI274" s="164" t="str">
        <f>IF('01_Stations'!$R$277=1,"ϰ",IF('01_Stations'!$R$277=2,"І",IF('01_Stations'!$R$277=3,"╦","")))</f>
        <v/>
      </c>
      <c r="AJ274" s="164" t="str">
        <f>IF('01_Stations'!$R$278=1,"ϰ",IF('01_Stations'!$R$278=2,"І",IF('01_Stations'!$R$278=3,"╦","")))</f>
        <v/>
      </c>
      <c r="AK274" s="164" t="str">
        <f>IF('01_Stations'!$R$279=1,"ϰ",IF('01_Stations'!$R$279=2,"І",IF('01_Stations'!$R$279=3,"╦","")))</f>
        <v/>
      </c>
      <c r="AL274" s="164" t="str">
        <f>IF('01_Stations'!$R$280=1,"ϰ",IF('01_Stations'!$R$280=2,"І",IF('01_Stations'!$R$280=3,"╦","")))</f>
        <v/>
      </c>
      <c r="AM274" s="164" t="str">
        <f>IF('01_Stations'!$R$281=1,"ϰ",IF('01_Stations'!$R$281=2,"І",IF('01_Stations'!$R$281=3,"╦","")))</f>
        <v/>
      </c>
      <c r="AN274" s="164" t="str">
        <f>IF('01_Stations'!$R$282=1,"ϰ",IF('01_Stations'!$R$282=2,"І",IF('01_Stations'!$R$282=3,"╦","")))</f>
        <v/>
      </c>
      <c r="AO274" s="164" t="str">
        <f>IF('01_Stations'!$R$283=1,"ϰ",IF('01_Stations'!$R$283=2,"І",IF('01_Stations'!$R$283=3,"╦","")))</f>
        <v/>
      </c>
      <c r="AP274" s="164" t="str">
        <f>IF('01_Stations'!$R$284=1,"ϰ",IF('01_Stations'!$R$284=2,"І",IF('01_Stations'!$R$284=3,"╦","")))</f>
        <v/>
      </c>
      <c r="AQ274" s="164" t="str">
        <f>IF('01_Stations'!$R$285=1,"ϰ",IF('01_Stations'!$R$285=2,"І",IF('01_Stations'!$R$285=3,"╦","")))</f>
        <v/>
      </c>
    </row>
    <row r="275" spans="1:43" ht="15" customHeight="1" x14ac:dyDescent="0.3">
      <c r="A275" s="236"/>
      <c r="B275" s="165" t="s">
        <v>2214</v>
      </c>
      <c r="C275" s="166"/>
      <c r="D275" s="164" t="str">
        <f>IF('01_Stations'!$S$246=1,"Ӂ",IF('01_Stations'!$S$246=2,"Җ",""))</f>
        <v/>
      </c>
      <c r="E275" s="164" t="str">
        <f>IF('01_Stations'!$S$247=1,"Ӂ",IF('01_Stations'!$S$247=2,"Җ",""))</f>
        <v/>
      </c>
      <c r="F275" s="164" t="str">
        <f>IF('01_Stations'!$S$248=1,"Ӂ",IF('01_Stations'!$S$248=2,"Җ",""))</f>
        <v/>
      </c>
      <c r="G275" s="164" t="str">
        <f>IF('01_Stations'!$S$249=1,"Ӂ",IF('01_Stations'!$S$249=2,"Җ",""))</f>
        <v/>
      </c>
      <c r="H275" s="164" t="str">
        <f>IF('01_Stations'!$S$250=1,"Ӂ",IF('01_Stations'!$S$250=2,"Җ",""))</f>
        <v/>
      </c>
      <c r="I275" s="164" t="str">
        <f>IF('01_Stations'!$S$251=1,"Ӂ",IF('01_Stations'!$S$251=2,"Җ",""))</f>
        <v/>
      </c>
      <c r="J275" s="164" t="str">
        <f>IF('01_Stations'!$S$252=1,"Ӂ",IF('01_Stations'!$S$252=2,"Җ",""))</f>
        <v/>
      </c>
      <c r="K275" s="164" t="str">
        <f>IF('01_Stations'!$S$253=1,"Ӂ",IF('01_Stations'!$S$253=2,"Җ",""))</f>
        <v/>
      </c>
      <c r="L275" s="164" t="str">
        <f>IF('01_Stations'!$S$254=1,"Ӂ",IF('01_Stations'!$S$254=2,"Җ",""))</f>
        <v/>
      </c>
      <c r="M275" s="164" t="str">
        <f>IF('01_Stations'!$S$255=1,"Ӂ",IF('01_Stations'!$S$255=2,"Җ",""))</f>
        <v/>
      </c>
      <c r="N275" s="164" t="str">
        <f>IF('01_Stations'!$S$256=1,"Ӂ",IF('01_Stations'!$S$256=2,"Җ",""))</f>
        <v/>
      </c>
      <c r="O275" s="164" t="str">
        <f>IF('01_Stations'!$S$257=1,"Ӂ",IF('01_Stations'!$S$257=2,"Җ",""))</f>
        <v/>
      </c>
      <c r="P275" s="164" t="str">
        <f>IF('01_Stations'!$S$258=1,"Ӂ",IF('01_Stations'!$S$258=2,"Җ",""))</f>
        <v/>
      </c>
      <c r="Q275" s="164" t="str">
        <f>IF('01_Stations'!$S$259=1,"Ӂ",IF('01_Stations'!$S$259=2,"Җ",""))</f>
        <v/>
      </c>
      <c r="R275" s="164" t="str">
        <f>IF('01_Stations'!$S$260=1,"Ӂ",IF('01_Stations'!$S$260=2,"Җ",""))</f>
        <v/>
      </c>
      <c r="S275" s="164" t="str">
        <f>IF('01_Stations'!$S$261=1,"Ӂ",IF('01_Stations'!$S$261=2,"Җ",""))</f>
        <v/>
      </c>
      <c r="T275" s="164" t="str">
        <f>IF('01_Stations'!$S$262=1,"Ӂ",IF('01_Stations'!$S$262=2,"Җ",""))</f>
        <v/>
      </c>
      <c r="U275" s="164" t="str">
        <f>IF('01_Stations'!$S$263=1,"Ӂ",IF('01_Stations'!$S$263=2,"Җ",""))</f>
        <v/>
      </c>
      <c r="V275" s="164" t="str">
        <f>IF('01_Stations'!$S$264=1,"Ӂ",IF('01_Stations'!$S$264=2,"Җ",""))</f>
        <v/>
      </c>
      <c r="W275" s="164" t="str">
        <f>IF('01_Stations'!$S$265=1,"Ӂ",IF('01_Stations'!$S$265=2,"Җ",""))</f>
        <v/>
      </c>
      <c r="X275" s="164" t="str">
        <f>IF('01_Stations'!$S$266=1,"Ӂ",IF('01_Stations'!$S$266=2,"Җ",""))</f>
        <v/>
      </c>
      <c r="Y275" s="164" t="str">
        <f>IF('01_Stations'!$S$267=1,"Ӂ",IF('01_Stations'!$S$267=2,"Җ",""))</f>
        <v/>
      </c>
      <c r="Z275" s="164" t="str">
        <f>IF('01_Stations'!$S$268=1,"Ӂ",IF('01_Stations'!$S$268=2,"Җ",""))</f>
        <v/>
      </c>
      <c r="AA275" s="164" t="str">
        <f>IF('01_Stations'!$S$269=1,"Ӂ",IF('01_Stations'!$S$269=2,"Җ",""))</f>
        <v/>
      </c>
      <c r="AB275" s="164" t="str">
        <f>IF('01_Stations'!$S$270=1,"Ӂ",IF('01_Stations'!$S$270=2,"Җ",""))</f>
        <v/>
      </c>
      <c r="AC275" s="164" t="str">
        <f>IF('01_Stations'!$S$271=1,"Ӂ",IF('01_Stations'!$S$271=2,"Җ",""))</f>
        <v/>
      </c>
      <c r="AD275" s="164" t="str">
        <f>IF('01_Stations'!$S$272=1,"Ӂ",IF('01_Stations'!$S$272=2,"Җ",""))</f>
        <v/>
      </c>
      <c r="AE275" s="164" t="str">
        <f>IF('01_Stations'!$S$273=1,"Ӂ",IF('01_Stations'!$S$273=2,"Җ",""))</f>
        <v/>
      </c>
      <c r="AF275" s="164" t="str">
        <f>IF('01_Stations'!$S$274=1,"Ӂ",IF('01_Stations'!$S$274=2,"Җ",""))</f>
        <v/>
      </c>
      <c r="AG275" s="164" t="str">
        <f>IF('01_Stations'!$S$275=1,"Ӂ",IF('01_Stations'!$S$275=2,"Җ",""))</f>
        <v/>
      </c>
      <c r="AH275" s="164" t="str">
        <f>IF('01_Stations'!$S$276=1,"Ӂ",IF('01_Stations'!$S$276=2,"Җ",""))</f>
        <v/>
      </c>
      <c r="AI275" s="164" t="str">
        <f>IF('01_Stations'!$S$277=1,"Ӂ",IF('01_Stations'!$S$277=2,"Җ",""))</f>
        <v/>
      </c>
      <c r="AJ275" s="164" t="str">
        <f>IF('01_Stations'!$S$278=1,"Ӂ",IF('01_Stations'!$S$278=2,"Җ",""))</f>
        <v/>
      </c>
      <c r="AK275" s="164" t="str">
        <f>IF('01_Stations'!$S$279=1,"Ӂ",IF('01_Stations'!$S$279=2,"Җ",""))</f>
        <v/>
      </c>
      <c r="AL275" s="164" t="str">
        <f>IF('01_Stations'!$S$280=1,"Ӂ",IF('01_Stations'!$S$280=2,"Җ",""))</f>
        <v/>
      </c>
      <c r="AM275" s="164" t="str">
        <f>IF('01_Stations'!$S$281=1,"Ӂ",IF('01_Stations'!$S$281=2,"Җ",""))</f>
        <v/>
      </c>
      <c r="AN275" s="164" t="str">
        <f>IF('01_Stations'!$S$282=1,"Ӂ",IF('01_Stations'!$S$282=2,"Җ",""))</f>
        <v/>
      </c>
      <c r="AO275" s="164" t="str">
        <f>IF('01_Stations'!$S$283=1,"Ӂ",IF('01_Stations'!$S$283=2,"Җ",""))</f>
        <v/>
      </c>
      <c r="AP275" s="164" t="str">
        <f>IF('01_Stations'!$S$284=1,"Ӂ",IF('01_Stations'!$S$284=2,"Җ",""))</f>
        <v/>
      </c>
      <c r="AQ275" s="164" t="str">
        <f>IF('01_Stations'!$S$285=1,"Ӂ",IF('01_Stations'!$S$285=2,"Җ",""))</f>
        <v/>
      </c>
    </row>
    <row r="276" spans="1:43" ht="15" customHeight="1" x14ac:dyDescent="0.3">
      <c r="A276" s="236"/>
      <c r="B276" s="165" t="s">
        <v>2215</v>
      </c>
      <c r="C276" s="166" t="s">
        <v>1622</v>
      </c>
      <c r="D276" s="164" t="str">
        <f>IF('01_Stations'!$T$246=1,"───","")</f>
        <v/>
      </c>
      <c r="E276" s="164" t="str">
        <f>IF('01_Stations'!$T$247=1,"───","")</f>
        <v/>
      </c>
      <c r="F276" s="164" t="str">
        <f>IF('01_Stations'!$T$248=1,"───","")</f>
        <v/>
      </c>
      <c r="G276" s="164" t="str">
        <f>IF('01_Stations'!$T$249=1,"───","")</f>
        <v/>
      </c>
      <c r="H276" s="164" t="str">
        <f>IF('01_Stations'!$T$250=1,"───","")</f>
        <v/>
      </c>
      <c r="I276" s="164" t="str">
        <f>IF('01_Stations'!$T$251=1,"───","")</f>
        <v/>
      </c>
      <c r="J276" s="164" t="str">
        <f>IF('01_Stations'!$T$252=1,"───","")</f>
        <v/>
      </c>
      <c r="K276" s="164" t="str">
        <f>IF('01_Stations'!$T$253=1,"───","")</f>
        <v/>
      </c>
      <c r="L276" s="164" t="str">
        <f>IF('01_Stations'!$T$254=1,"───","")</f>
        <v/>
      </c>
      <c r="M276" s="164" t="str">
        <f>IF('01_Stations'!$T$255=1,"───","")</f>
        <v/>
      </c>
      <c r="N276" s="164" t="str">
        <f>IF('01_Stations'!$T$256=1,"───","")</f>
        <v/>
      </c>
      <c r="O276" s="164" t="str">
        <f>IF('01_Stations'!$T$257=1,"───","")</f>
        <v/>
      </c>
      <c r="P276" s="164" t="str">
        <f>IF('01_Stations'!$T$258=1,"───","")</f>
        <v/>
      </c>
      <c r="Q276" s="164" t="str">
        <f>IF('01_Stations'!$T$259=1,"───","")</f>
        <v/>
      </c>
      <c r="R276" s="164" t="str">
        <f>IF('01_Stations'!$T$260=1,"───","")</f>
        <v/>
      </c>
      <c r="S276" s="164" t="str">
        <f>IF('01_Stations'!$T$261=1,"───","")</f>
        <v/>
      </c>
      <c r="T276" s="164" t="str">
        <f>IF('01_Stations'!$T$262=1,"───","")</f>
        <v/>
      </c>
      <c r="U276" s="164" t="str">
        <f>IF('01_Stations'!$T$263=1,"───","")</f>
        <v/>
      </c>
      <c r="V276" s="164" t="str">
        <f>IF('01_Stations'!$T$264=1,"───","")</f>
        <v/>
      </c>
      <c r="W276" s="164" t="str">
        <f>IF('01_Stations'!$T$265=1,"───","")</f>
        <v/>
      </c>
      <c r="X276" s="164" t="str">
        <f>IF('01_Stations'!$T$266=1,"───","")</f>
        <v/>
      </c>
      <c r="Y276" s="164" t="str">
        <f>IF('01_Stations'!$T$267=1,"───","")</f>
        <v/>
      </c>
      <c r="Z276" s="164" t="str">
        <f>IF('01_Stations'!$T$268=1,"───","")</f>
        <v/>
      </c>
      <c r="AA276" s="164" t="str">
        <f>IF('01_Stations'!$T$269=1,"───","")</f>
        <v/>
      </c>
      <c r="AB276" s="164" t="str">
        <f>IF('01_Stations'!$T$270=1,"───","")</f>
        <v/>
      </c>
      <c r="AC276" s="164" t="str">
        <f>IF('01_Stations'!$T$271=1,"───","")</f>
        <v/>
      </c>
      <c r="AD276" s="164" t="str">
        <f>IF('01_Stations'!$T$272=1,"───","")</f>
        <v/>
      </c>
      <c r="AE276" s="164" t="str">
        <f>IF('01_Stations'!$T$273=1,"───","")</f>
        <v/>
      </c>
      <c r="AF276" s="164" t="str">
        <f>IF('01_Stations'!$T$274=1,"───","")</f>
        <v/>
      </c>
      <c r="AG276" s="164" t="str">
        <f>IF('01_Stations'!$T$275=1,"───","")</f>
        <v/>
      </c>
      <c r="AH276" s="164" t="str">
        <f>IF('01_Stations'!$T$276=1,"───","")</f>
        <v/>
      </c>
      <c r="AI276" s="164" t="str">
        <f>IF('01_Stations'!$T$277=1,"───","")</f>
        <v/>
      </c>
      <c r="AJ276" s="164" t="str">
        <f>IF('01_Stations'!$T$278=1,"───","")</f>
        <v/>
      </c>
      <c r="AK276" s="164" t="str">
        <f>IF('01_Stations'!$T$279=1,"───","")</f>
        <v/>
      </c>
      <c r="AL276" s="164" t="str">
        <f>IF('01_Stations'!$T$280=1,"───","")</f>
        <v/>
      </c>
      <c r="AM276" s="164" t="str">
        <f>IF('01_Stations'!$T$281=1,"───","")</f>
        <v/>
      </c>
      <c r="AN276" s="164" t="str">
        <f>IF('01_Stations'!$T$282=1,"───","")</f>
        <v/>
      </c>
      <c r="AO276" s="164" t="str">
        <f>IF('01_Stations'!$T$283=1,"───","")</f>
        <v/>
      </c>
      <c r="AP276" s="164" t="str">
        <f>IF('01_Stations'!$T$284=1,"───","")</f>
        <v/>
      </c>
      <c r="AQ276" s="164" t="str">
        <f>IF('01_Stations'!$T$285=1,"───","")</f>
        <v/>
      </c>
    </row>
    <row r="277" spans="1:43" ht="15" customHeight="1" x14ac:dyDescent="0.3">
      <c r="A277" s="236"/>
      <c r="B277" s="165"/>
      <c r="C277" s="166" t="s">
        <v>2216</v>
      </c>
      <c r="D277" s="164" t="str">
        <f>IF(N('01_Stations'!$U$246)&gt;0,'01_Stations'!$U$246,"")</f>
        <v/>
      </c>
      <c r="E277" s="164" t="str">
        <f>IF(N('01_Stations'!$U$247)&gt;0,'01_Stations'!$U$247,"")</f>
        <v/>
      </c>
      <c r="F277" s="164" t="str">
        <f>IF(N('01_Stations'!$U$248)&gt;0,'01_Stations'!$U$248,"")</f>
        <v/>
      </c>
      <c r="G277" s="164" t="str">
        <f>IF(N('01_Stations'!$U$249)&gt;0,'01_Stations'!$U$249,"")</f>
        <v/>
      </c>
      <c r="H277" s="164" t="str">
        <f>IF(N('01_Stations'!$U$250)&gt;0,'01_Stations'!$U$250,"")</f>
        <v/>
      </c>
      <c r="I277" s="164" t="str">
        <f>IF(N('01_Stations'!$U$251)&gt;0,'01_Stations'!$U$251,"")</f>
        <v/>
      </c>
      <c r="J277" s="164" t="str">
        <f>IF(N('01_Stations'!$U$252)&gt;0,'01_Stations'!$U$252,"")</f>
        <v/>
      </c>
      <c r="K277" s="164" t="str">
        <f>IF(N('01_Stations'!$U$253)&gt;0,'01_Stations'!$U$253,"")</f>
        <v/>
      </c>
      <c r="L277" s="164" t="str">
        <f>IF(N('01_Stations'!$U$254)&gt;0,'01_Stations'!$U$254,"")</f>
        <v/>
      </c>
      <c r="M277" s="164" t="str">
        <f>IF(N('01_Stations'!$U$255)&gt;0,'01_Stations'!$U$255,"")</f>
        <v/>
      </c>
      <c r="N277" s="164" t="str">
        <f>IF(N('01_Stations'!$U$256)&gt;0,'01_Stations'!$U$256,"")</f>
        <v/>
      </c>
      <c r="O277" s="164" t="str">
        <f>IF(N('01_Stations'!$U$257)&gt;0,'01_Stations'!$U$257,"")</f>
        <v/>
      </c>
      <c r="P277" s="164" t="str">
        <f>IF(N('01_Stations'!$U$258)&gt;0,'01_Stations'!$U$258,"")</f>
        <v/>
      </c>
      <c r="Q277" s="164" t="str">
        <f>IF(N('01_Stations'!$U$259)&gt;0,'01_Stations'!$U$259,"")</f>
        <v/>
      </c>
      <c r="R277" s="164" t="str">
        <f>IF(N('01_Stations'!$U$260)&gt;0,'01_Stations'!$U$260,"")</f>
        <v/>
      </c>
      <c r="S277" s="164" t="str">
        <f>IF(N('01_Stations'!$U$261)&gt;0,'01_Stations'!$U$261,"")</f>
        <v/>
      </c>
      <c r="T277" s="164" t="str">
        <f>IF(N('01_Stations'!$U$262)&gt;0,'01_Stations'!$U$262,"")</f>
        <v/>
      </c>
      <c r="U277" s="164" t="str">
        <f>IF(N('01_Stations'!$U$263)&gt;0,'01_Stations'!$U$263,"")</f>
        <v/>
      </c>
      <c r="V277" s="164" t="str">
        <f>IF(N('01_Stations'!$U$264)&gt;0,'01_Stations'!$U$264,"")</f>
        <v/>
      </c>
      <c r="W277" s="164" t="str">
        <f>IF(N('01_Stations'!$U$265)&gt;0,'01_Stations'!$U$265,"")</f>
        <v/>
      </c>
      <c r="X277" s="164" t="str">
        <f>IF(N('01_Stations'!$U$266)&gt;0,'01_Stations'!$U$266,"")</f>
        <v/>
      </c>
      <c r="Y277" s="164" t="str">
        <f>IF(N('01_Stations'!$U$267)&gt;0,'01_Stations'!$U$267,"")</f>
        <v/>
      </c>
      <c r="Z277" s="164" t="str">
        <f>IF(N('01_Stations'!$U$268)&gt;0,'01_Stations'!$U$268,"")</f>
        <v/>
      </c>
      <c r="AA277" s="164" t="str">
        <f>IF(N('01_Stations'!$U$269)&gt;0,'01_Stations'!$U$269,"")</f>
        <v/>
      </c>
      <c r="AB277" s="164" t="str">
        <f>IF(N('01_Stations'!$U$270)&gt;0,'01_Stations'!$U$270,"")</f>
        <v/>
      </c>
      <c r="AC277" s="164" t="str">
        <f>IF(N('01_Stations'!$U$271)&gt;0,'01_Stations'!$U$271,"")</f>
        <v/>
      </c>
      <c r="AD277" s="164" t="str">
        <f>IF(N('01_Stations'!$U$272)&gt;0,'01_Stations'!$U$272,"")</f>
        <v/>
      </c>
      <c r="AE277" s="164" t="str">
        <f>IF(N('01_Stations'!$U$273)&gt;0,'01_Stations'!$U$273,"")</f>
        <v/>
      </c>
      <c r="AF277" s="164" t="str">
        <f>IF(N('01_Stations'!$U$274)&gt;0,'01_Stations'!$U$274,"")</f>
        <v/>
      </c>
      <c r="AG277" s="164" t="str">
        <f>IF(N('01_Stations'!$U$275)&gt;0,'01_Stations'!$U$275,"")</f>
        <v/>
      </c>
      <c r="AH277" s="164" t="str">
        <f>IF(N('01_Stations'!$U$276)&gt;0,'01_Stations'!$U$276,"")</f>
        <v/>
      </c>
      <c r="AI277" s="164" t="str">
        <f>IF(N('01_Stations'!$U$277)&gt;0,'01_Stations'!$U$277,"")</f>
        <v/>
      </c>
      <c r="AJ277" s="164" t="str">
        <f>IF(N('01_Stations'!$U$278)&gt;0,'01_Stations'!$U$278,"")</f>
        <v/>
      </c>
      <c r="AK277" s="164" t="str">
        <f>IF(N('01_Stations'!$U$279)&gt;0,'01_Stations'!$U$279,"")</f>
        <v/>
      </c>
      <c r="AL277" s="164" t="str">
        <f>IF(N('01_Stations'!$U$280)&gt;0,'01_Stations'!$U$280,"")</f>
        <v/>
      </c>
      <c r="AM277" s="164" t="str">
        <f>IF(N('01_Stations'!$U$281)&gt;0,'01_Stations'!$U$281,"")</f>
        <v/>
      </c>
      <c r="AN277" s="164" t="str">
        <f>IF(N('01_Stations'!$U$282)&gt;0,'01_Stations'!$U$282,"")</f>
        <v/>
      </c>
      <c r="AO277" s="164" t="str">
        <f>IF(N('01_Stations'!$U$283)&gt;0,'01_Stations'!$U$283,"")</f>
        <v/>
      </c>
      <c r="AP277" s="164" t="str">
        <f>IF(N('01_Stations'!$U$284)&gt;0,'01_Stations'!$U$284,"")</f>
        <v/>
      </c>
      <c r="AQ277" s="164" t="str">
        <f>IF(N('01_Stations'!$U$285)&gt;0,'01_Stations'!$U$285,"")</f>
        <v/>
      </c>
    </row>
    <row r="278" spans="1:43" ht="15" customHeight="1" x14ac:dyDescent="0.3">
      <c r="A278" s="236"/>
      <c r="B278" s="165"/>
      <c r="C278" s="166" t="s">
        <v>2212</v>
      </c>
      <c r="D278" s="164" t="str">
        <f>IF('01_Stations'!$V$246=1,"───","")</f>
        <v/>
      </c>
      <c r="E278" s="164" t="str">
        <f>IF('01_Stations'!$V$247=1,"───","")</f>
        <v/>
      </c>
      <c r="F278" s="164" t="str">
        <f>IF('01_Stations'!$V$248=1,"───","")</f>
        <v/>
      </c>
      <c r="G278" s="164" t="str">
        <f>IF('01_Stations'!$V$249=1,"───","")</f>
        <v/>
      </c>
      <c r="H278" s="164" t="str">
        <f>IF('01_Stations'!$V$250=1,"───","")</f>
        <v/>
      </c>
      <c r="I278" s="164" t="str">
        <f>IF('01_Stations'!$V$251=1,"───","")</f>
        <v/>
      </c>
      <c r="J278" s="164" t="str">
        <f>IF('01_Stations'!$V$252=1,"───","")</f>
        <v/>
      </c>
      <c r="K278" s="164" t="str">
        <f>IF('01_Stations'!$V$253=1,"───","")</f>
        <v/>
      </c>
      <c r="L278" s="164" t="str">
        <f>IF('01_Stations'!$V$254=1,"───","")</f>
        <v/>
      </c>
      <c r="M278" s="164" t="str">
        <f>IF('01_Stations'!$V$255=1,"───","")</f>
        <v/>
      </c>
      <c r="N278" s="164" t="str">
        <f>IF('01_Stations'!$V$256=1,"───","")</f>
        <v/>
      </c>
      <c r="O278" s="164" t="str">
        <f>IF('01_Stations'!$V$257=1,"───","")</f>
        <v/>
      </c>
      <c r="P278" s="164" t="str">
        <f>IF('01_Stations'!$V$258=1,"───","")</f>
        <v/>
      </c>
      <c r="Q278" s="164" t="str">
        <f>IF('01_Stations'!$V$259=1,"───","")</f>
        <v/>
      </c>
      <c r="R278" s="164" t="str">
        <f>IF('01_Stations'!$V$260=1,"───","")</f>
        <v/>
      </c>
      <c r="S278" s="164" t="str">
        <f>IF('01_Stations'!$V$261=1,"───","")</f>
        <v/>
      </c>
      <c r="T278" s="164" t="str">
        <f>IF('01_Stations'!$V$262=1,"───","")</f>
        <v/>
      </c>
      <c r="U278" s="164" t="str">
        <f>IF('01_Stations'!$V$263=1,"───","")</f>
        <v/>
      </c>
      <c r="V278" s="164" t="str">
        <f>IF('01_Stations'!$V$264=1,"───","")</f>
        <v/>
      </c>
      <c r="W278" s="164" t="str">
        <f>IF('01_Stations'!$V$265=1,"───","")</f>
        <v/>
      </c>
      <c r="X278" s="164" t="str">
        <f>IF('01_Stations'!$V$266=1,"───","")</f>
        <v/>
      </c>
      <c r="Y278" s="164" t="str">
        <f>IF('01_Stations'!$V$267=1,"───","")</f>
        <v/>
      </c>
      <c r="Z278" s="164" t="str">
        <f>IF('01_Stations'!$V$268=1,"───","")</f>
        <v/>
      </c>
      <c r="AA278" s="164" t="str">
        <f>IF('01_Stations'!$V$269=1,"───","")</f>
        <v/>
      </c>
      <c r="AB278" s="164" t="str">
        <f>IF('01_Stations'!$V$270=1,"───","")</f>
        <v/>
      </c>
      <c r="AC278" s="164" t="str">
        <f>IF('01_Stations'!$V$271=1,"───","")</f>
        <v/>
      </c>
      <c r="AD278" s="164" t="str">
        <f>IF('01_Stations'!$V$272=1,"───","")</f>
        <v/>
      </c>
      <c r="AE278" s="164" t="str">
        <f>IF('01_Stations'!$V$273=1,"───","")</f>
        <v/>
      </c>
      <c r="AF278" s="164" t="str">
        <f>IF('01_Stations'!$V$274=1,"───","")</f>
        <v/>
      </c>
      <c r="AG278" s="164" t="str">
        <f>IF('01_Stations'!$V$275=1,"───","")</f>
        <v/>
      </c>
      <c r="AH278" s="164" t="str">
        <f>IF('01_Stations'!$V$276=1,"───","")</f>
        <v/>
      </c>
      <c r="AI278" s="164" t="str">
        <f>IF('01_Stations'!$V$277=1,"───","")</f>
        <v/>
      </c>
      <c r="AJ278" s="164" t="str">
        <f>IF('01_Stations'!$V$278=1,"───","")</f>
        <v/>
      </c>
      <c r="AK278" s="164" t="str">
        <f>IF('01_Stations'!$V$279=1,"───","")</f>
        <v/>
      </c>
      <c r="AL278" s="164" t="str">
        <f>IF('01_Stations'!$V$280=1,"───","")</f>
        <v/>
      </c>
      <c r="AM278" s="164" t="str">
        <f>IF('01_Stations'!$V$281=1,"───","")</f>
        <v/>
      </c>
      <c r="AN278" s="164" t="str">
        <f>IF('01_Stations'!$V$282=1,"───","")</f>
        <v/>
      </c>
      <c r="AO278" s="164" t="str">
        <f>IF('01_Stations'!$V$283=1,"───","")</f>
        <v/>
      </c>
      <c r="AP278" s="164" t="str">
        <f>IF('01_Stations'!$V$284=1,"───","")</f>
        <v/>
      </c>
      <c r="AQ278" s="164" t="str">
        <f>IF('01_Stations'!$V$285=1,"───","")</f>
        <v/>
      </c>
    </row>
    <row r="279" spans="1:43" ht="15" customHeight="1" x14ac:dyDescent="0.3">
      <c r="A279" s="236"/>
      <c r="B279" s="165"/>
      <c r="C279" s="166" t="s">
        <v>2216</v>
      </c>
      <c r="D279" s="164" t="str">
        <f>IF(N('01_Stations'!$W$246)&gt;0,'01_Stations'!$W$246,"")</f>
        <v/>
      </c>
      <c r="E279" s="164" t="str">
        <f>IF(N('01_Stations'!$W$247)&gt;0,'01_Stations'!$W$247,"")</f>
        <v/>
      </c>
      <c r="F279" s="164" t="str">
        <f>IF(N('01_Stations'!$W$248)&gt;0,'01_Stations'!$W$248,"")</f>
        <v/>
      </c>
      <c r="G279" s="164" t="str">
        <f>IF(N('01_Stations'!$W$249)&gt;0,'01_Stations'!$W$249,"")</f>
        <v/>
      </c>
      <c r="H279" s="164" t="str">
        <f>IF(N('01_Stations'!$W$250)&gt;0,'01_Stations'!$W$250,"")</f>
        <v/>
      </c>
      <c r="I279" s="164" t="str">
        <f>IF(N('01_Stations'!$W$251)&gt;0,'01_Stations'!$W$251,"")</f>
        <v/>
      </c>
      <c r="J279" s="164" t="str">
        <f>IF(N('01_Stations'!$W$252)&gt;0,'01_Stations'!$W$252,"")</f>
        <v/>
      </c>
      <c r="K279" s="164" t="str">
        <f>IF(N('01_Stations'!$W$253)&gt;0,'01_Stations'!$W$253,"")</f>
        <v/>
      </c>
      <c r="L279" s="164" t="str">
        <f>IF(N('01_Stations'!$W$254)&gt;0,'01_Stations'!$W$254,"")</f>
        <v/>
      </c>
      <c r="M279" s="164" t="str">
        <f>IF(N('01_Stations'!$W$255)&gt;0,'01_Stations'!$W$255,"")</f>
        <v/>
      </c>
      <c r="N279" s="164" t="str">
        <f>IF(N('01_Stations'!$W$256)&gt;0,'01_Stations'!$W$256,"")</f>
        <v/>
      </c>
      <c r="O279" s="164" t="str">
        <f>IF(N('01_Stations'!$W$257)&gt;0,'01_Stations'!$W$257,"")</f>
        <v/>
      </c>
      <c r="P279" s="164" t="str">
        <f>IF(N('01_Stations'!$W$258)&gt;0,'01_Stations'!$W$258,"")</f>
        <v/>
      </c>
      <c r="Q279" s="164" t="str">
        <f>IF(N('01_Stations'!$W$259)&gt;0,'01_Stations'!$W$259,"")</f>
        <v/>
      </c>
      <c r="R279" s="164" t="str">
        <f>IF(N('01_Stations'!$W$260)&gt;0,'01_Stations'!$W$260,"")</f>
        <v/>
      </c>
      <c r="S279" s="164" t="str">
        <f>IF(N('01_Stations'!$W$261)&gt;0,'01_Stations'!$W$261,"")</f>
        <v/>
      </c>
      <c r="T279" s="164" t="str">
        <f>IF(N('01_Stations'!$W$262)&gt;0,'01_Stations'!$W$262,"")</f>
        <v/>
      </c>
      <c r="U279" s="164" t="str">
        <f>IF(N('01_Stations'!$W$263)&gt;0,'01_Stations'!$W$263,"")</f>
        <v/>
      </c>
      <c r="V279" s="164" t="str">
        <f>IF(N('01_Stations'!$W$264)&gt;0,'01_Stations'!$W$264,"")</f>
        <v/>
      </c>
      <c r="W279" s="164" t="str">
        <f>IF(N('01_Stations'!$W$265)&gt;0,'01_Stations'!$W$265,"")</f>
        <v/>
      </c>
      <c r="X279" s="164" t="str">
        <f>IF(N('01_Stations'!$W$266)&gt;0,'01_Stations'!$W$266,"")</f>
        <v/>
      </c>
      <c r="Y279" s="164" t="str">
        <f>IF(N('01_Stations'!$W$267)&gt;0,'01_Stations'!$W$267,"")</f>
        <v/>
      </c>
      <c r="Z279" s="164" t="str">
        <f>IF(N('01_Stations'!$W$268)&gt;0,'01_Stations'!$W$268,"")</f>
        <v/>
      </c>
      <c r="AA279" s="164" t="str">
        <f>IF(N('01_Stations'!$W$269)&gt;0,'01_Stations'!$W$269,"")</f>
        <v/>
      </c>
      <c r="AB279" s="164" t="str">
        <f>IF(N('01_Stations'!$W$270)&gt;0,'01_Stations'!$W$270,"")</f>
        <v/>
      </c>
      <c r="AC279" s="164" t="str">
        <f>IF(N('01_Stations'!$W$271)&gt;0,'01_Stations'!$W$271,"")</f>
        <v/>
      </c>
      <c r="AD279" s="164" t="str">
        <f>IF(N('01_Stations'!$W$272)&gt;0,'01_Stations'!$W$272,"")</f>
        <v/>
      </c>
      <c r="AE279" s="164" t="str">
        <f>IF(N('01_Stations'!$W$273)&gt;0,'01_Stations'!$W$273,"")</f>
        <v/>
      </c>
      <c r="AF279" s="164" t="str">
        <f>IF(N('01_Stations'!$W$274)&gt;0,'01_Stations'!$W$274,"")</f>
        <v/>
      </c>
      <c r="AG279" s="164" t="str">
        <f>IF(N('01_Stations'!$W$275)&gt;0,'01_Stations'!$W$275,"")</f>
        <v/>
      </c>
      <c r="AH279" s="164" t="str">
        <f>IF(N('01_Stations'!$W$276)&gt;0,'01_Stations'!$W$276,"")</f>
        <v/>
      </c>
      <c r="AI279" s="164" t="str">
        <f>IF(N('01_Stations'!$W$277)&gt;0,'01_Stations'!$W$277,"")</f>
        <v/>
      </c>
      <c r="AJ279" s="164" t="str">
        <f>IF(N('01_Stations'!$W$278)&gt;0,'01_Stations'!$W$278,"")</f>
        <v/>
      </c>
      <c r="AK279" s="164" t="str">
        <f>IF(N('01_Stations'!$W$279)&gt;0,'01_Stations'!$W$279,"")</f>
        <v/>
      </c>
      <c r="AL279" s="164" t="str">
        <f>IF(N('01_Stations'!$W$280)&gt;0,'01_Stations'!$W$280,"")</f>
        <v/>
      </c>
      <c r="AM279" s="164" t="str">
        <f>IF(N('01_Stations'!$W$281)&gt;0,'01_Stations'!$W$281,"")</f>
        <v/>
      </c>
      <c r="AN279" s="164" t="str">
        <f>IF(N('01_Stations'!$W$282)&gt;0,'01_Stations'!$W$282,"")</f>
        <v/>
      </c>
      <c r="AO279" s="164" t="str">
        <f>IF(N('01_Stations'!$W$283)&gt;0,'01_Stations'!$W$283,"")</f>
        <v/>
      </c>
      <c r="AP279" s="164" t="str">
        <f>IF(N('01_Stations'!$W$284)&gt;0,'01_Stations'!$W$284,"")</f>
        <v/>
      </c>
      <c r="AQ279" s="164" t="str">
        <f>IF(N('01_Stations'!$W$285)&gt;0,'01_Stations'!$W$285,"")</f>
        <v/>
      </c>
    </row>
    <row r="280" spans="1:43" ht="15" customHeight="1" x14ac:dyDescent="0.3">
      <c r="A280" s="236"/>
      <c r="B280" s="165" t="s">
        <v>2217</v>
      </c>
      <c r="C280" s="166" t="s">
        <v>1622</v>
      </c>
      <c r="D280" s="164" t="str">
        <f>IF('01_Stations'!$X$246=1,"───","")</f>
        <v/>
      </c>
      <c r="E280" s="164" t="str">
        <f>IF('01_Stations'!$X$247=1,"───","")</f>
        <v/>
      </c>
      <c r="F280" s="164" t="str">
        <f>IF('01_Stations'!$X$248=1,"───","")</f>
        <v/>
      </c>
      <c r="G280" s="164" t="str">
        <f>IF('01_Stations'!$X$249=1,"───","")</f>
        <v/>
      </c>
      <c r="H280" s="164" t="str">
        <f>IF('01_Stations'!$X$250=1,"───","")</f>
        <v/>
      </c>
      <c r="I280" s="164" t="str">
        <f>IF('01_Stations'!$X$251=1,"───","")</f>
        <v/>
      </c>
      <c r="J280" s="164" t="str">
        <f>IF('01_Stations'!$X$252=1,"───","")</f>
        <v/>
      </c>
      <c r="K280" s="164" t="str">
        <f>IF('01_Stations'!$X$253=1,"───","")</f>
        <v/>
      </c>
      <c r="L280" s="164" t="str">
        <f>IF('01_Stations'!$X$254=1,"───","")</f>
        <v/>
      </c>
      <c r="M280" s="164" t="str">
        <f>IF('01_Stations'!$X$255=1,"───","")</f>
        <v/>
      </c>
      <c r="N280" s="164" t="str">
        <f>IF('01_Stations'!$X$256=1,"───","")</f>
        <v/>
      </c>
      <c r="O280" s="164" t="str">
        <f>IF('01_Stations'!$X$257=1,"───","")</f>
        <v/>
      </c>
      <c r="P280" s="164" t="str">
        <f>IF('01_Stations'!$X$258=1,"───","")</f>
        <v/>
      </c>
      <c r="Q280" s="164" t="str">
        <f>IF('01_Stations'!$X$259=1,"───","")</f>
        <v/>
      </c>
      <c r="R280" s="164" t="str">
        <f>IF('01_Stations'!$X$260=1,"───","")</f>
        <v/>
      </c>
      <c r="S280" s="164" t="str">
        <f>IF('01_Stations'!$X$261=1,"───","")</f>
        <v/>
      </c>
      <c r="T280" s="164" t="str">
        <f>IF('01_Stations'!$X$262=1,"───","")</f>
        <v/>
      </c>
      <c r="U280" s="164" t="str">
        <f>IF('01_Stations'!$X$263=1,"───","")</f>
        <v/>
      </c>
      <c r="V280" s="164" t="str">
        <f>IF('01_Stations'!$X$264=1,"───","")</f>
        <v/>
      </c>
      <c r="W280" s="164" t="str">
        <f>IF('01_Stations'!$X$265=1,"───","")</f>
        <v/>
      </c>
      <c r="X280" s="164" t="str">
        <f>IF('01_Stations'!$X$266=1,"───","")</f>
        <v/>
      </c>
      <c r="Y280" s="164" t="str">
        <f>IF('01_Stations'!$X$267=1,"───","")</f>
        <v/>
      </c>
      <c r="Z280" s="164" t="str">
        <f>IF('01_Stations'!$X$268=1,"───","")</f>
        <v/>
      </c>
      <c r="AA280" s="164" t="str">
        <f>IF('01_Stations'!$X$269=1,"───","")</f>
        <v/>
      </c>
      <c r="AB280" s="164" t="str">
        <f>IF('01_Stations'!$X$270=1,"───","")</f>
        <v/>
      </c>
      <c r="AC280" s="164" t="str">
        <f>IF('01_Stations'!$X$271=1,"───","")</f>
        <v/>
      </c>
      <c r="AD280" s="164" t="str">
        <f>IF('01_Stations'!$X$272=1,"───","")</f>
        <v/>
      </c>
      <c r="AE280" s="164" t="str">
        <f>IF('01_Stations'!$X$273=1,"───","")</f>
        <v/>
      </c>
      <c r="AF280" s="164" t="str">
        <f>IF('01_Stations'!$X$274=1,"───","")</f>
        <v/>
      </c>
      <c r="AG280" s="164" t="str">
        <f>IF('01_Stations'!$X$275=1,"───","")</f>
        <v/>
      </c>
      <c r="AH280" s="164" t="str">
        <f>IF('01_Stations'!$X$276=1,"───","")</f>
        <v/>
      </c>
      <c r="AI280" s="164" t="str">
        <f>IF('01_Stations'!$X$277=1,"───","")</f>
        <v/>
      </c>
      <c r="AJ280" s="164" t="str">
        <f>IF('01_Stations'!$X$278=1,"───","")</f>
        <v/>
      </c>
      <c r="AK280" s="164" t="str">
        <f>IF('01_Stations'!$X$279=1,"───","")</f>
        <v/>
      </c>
      <c r="AL280" s="164" t="str">
        <f>IF('01_Stations'!$X$280=1,"───","")</f>
        <v/>
      </c>
      <c r="AM280" s="164" t="str">
        <f>IF('01_Stations'!$X$281=1,"───","")</f>
        <v/>
      </c>
      <c r="AN280" s="164" t="str">
        <f>IF('01_Stations'!$X$282=1,"───","")</f>
        <v/>
      </c>
      <c r="AO280" s="164" t="str">
        <f>IF('01_Stations'!$X$283=1,"───","")</f>
        <v/>
      </c>
      <c r="AP280" s="164" t="str">
        <f>IF('01_Stations'!$X$284=1,"───","")</f>
        <v/>
      </c>
      <c r="AQ280" s="164" t="str">
        <f>IF('01_Stations'!$X$285=1,"───","")</f>
        <v/>
      </c>
    </row>
    <row r="281" spans="1:43" ht="15" customHeight="1" x14ac:dyDescent="0.3">
      <c r="A281" s="236"/>
      <c r="B281" s="165"/>
      <c r="C281" s="166" t="s">
        <v>2212</v>
      </c>
      <c r="D281" s="164" t="str">
        <f>IF('01_Stations'!$Y$246=1,"───","")</f>
        <v/>
      </c>
      <c r="E281" s="164" t="str">
        <f>IF('01_Stations'!$Y$247=1,"───","")</f>
        <v/>
      </c>
      <c r="F281" s="164" t="str">
        <f>IF('01_Stations'!$Y$248=1,"───","")</f>
        <v/>
      </c>
      <c r="G281" s="164" t="str">
        <f>IF('01_Stations'!$Y$249=1,"───","")</f>
        <v/>
      </c>
      <c r="H281" s="164" t="str">
        <f>IF('01_Stations'!$Y$250=1,"───","")</f>
        <v/>
      </c>
      <c r="I281" s="164" t="str">
        <f>IF('01_Stations'!$Y$251=1,"───","")</f>
        <v/>
      </c>
      <c r="J281" s="164" t="str">
        <f>IF('01_Stations'!$Y$252=1,"───","")</f>
        <v/>
      </c>
      <c r="K281" s="164" t="str">
        <f>IF('01_Stations'!$Y$253=1,"───","")</f>
        <v/>
      </c>
      <c r="L281" s="164" t="str">
        <f>IF('01_Stations'!$Y$254=1,"───","")</f>
        <v/>
      </c>
      <c r="M281" s="164" t="str">
        <f>IF('01_Stations'!$Y$255=1,"───","")</f>
        <v/>
      </c>
      <c r="N281" s="164" t="str">
        <f>IF('01_Stations'!$Y$256=1,"───","")</f>
        <v/>
      </c>
      <c r="O281" s="164" t="str">
        <f>IF('01_Stations'!$Y$257=1,"───","")</f>
        <v/>
      </c>
      <c r="P281" s="164" t="str">
        <f>IF('01_Stations'!$Y$258=1,"───","")</f>
        <v/>
      </c>
      <c r="Q281" s="164" t="str">
        <f>IF('01_Stations'!$Y$259=1,"───","")</f>
        <v/>
      </c>
      <c r="R281" s="164" t="str">
        <f>IF('01_Stations'!$Y$260=1,"───","")</f>
        <v/>
      </c>
      <c r="S281" s="164" t="str">
        <f>IF('01_Stations'!$Y$261=1,"───","")</f>
        <v/>
      </c>
      <c r="T281" s="164" t="str">
        <f>IF('01_Stations'!$Y$262=1,"───","")</f>
        <v/>
      </c>
      <c r="U281" s="164" t="str">
        <f>IF('01_Stations'!$Y$263=1,"───","")</f>
        <v/>
      </c>
      <c r="V281" s="164" t="str">
        <f>IF('01_Stations'!$Y$264=1,"───","")</f>
        <v/>
      </c>
      <c r="W281" s="164" t="str">
        <f>IF('01_Stations'!$Y$265=1,"───","")</f>
        <v/>
      </c>
      <c r="X281" s="164" t="str">
        <f>IF('01_Stations'!$Y$266=1,"───","")</f>
        <v/>
      </c>
      <c r="Y281" s="164" t="str">
        <f>IF('01_Stations'!$Y$267=1,"───","")</f>
        <v/>
      </c>
      <c r="Z281" s="164" t="str">
        <f>IF('01_Stations'!$Y$268=1,"───","")</f>
        <v/>
      </c>
      <c r="AA281" s="164" t="str">
        <f>IF('01_Stations'!$Y$269=1,"───","")</f>
        <v/>
      </c>
      <c r="AB281" s="164" t="str">
        <f>IF('01_Stations'!$Y$270=1,"───","")</f>
        <v/>
      </c>
      <c r="AC281" s="164" t="str">
        <f>IF('01_Stations'!$Y$271=1,"───","")</f>
        <v/>
      </c>
      <c r="AD281" s="164" t="str">
        <f>IF('01_Stations'!$Y$272=1,"───","")</f>
        <v/>
      </c>
      <c r="AE281" s="164" t="str">
        <f>IF('01_Stations'!$Y$273=1,"───","")</f>
        <v/>
      </c>
      <c r="AF281" s="164" t="str">
        <f>IF('01_Stations'!$Y$274=1,"───","")</f>
        <v/>
      </c>
      <c r="AG281" s="164" t="str">
        <f>IF('01_Stations'!$Y$275=1,"───","")</f>
        <v/>
      </c>
      <c r="AH281" s="164" t="str">
        <f>IF('01_Stations'!$Y$276=1,"───","")</f>
        <v/>
      </c>
      <c r="AI281" s="164" t="str">
        <f>IF('01_Stations'!$Y$277=1,"───","")</f>
        <v/>
      </c>
      <c r="AJ281" s="164" t="str">
        <f>IF('01_Stations'!$Y$278=1,"───","")</f>
        <v/>
      </c>
      <c r="AK281" s="164" t="str">
        <f>IF('01_Stations'!$Y$279=1,"───","")</f>
        <v/>
      </c>
      <c r="AL281" s="164" t="str">
        <f>IF('01_Stations'!$Y$280=1,"───","")</f>
        <v/>
      </c>
      <c r="AM281" s="164" t="str">
        <f>IF('01_Stations'!$Y$281=1,"───","")</f>
        <v/>
      </c>
      <c r="AN281" s="164" t="str">
        <f>IF('01_Stations'!$Y$282=1,"───","")</f>
        <v/>
      </c>
      <c r="AO281" s="164" t="str">
        <f>IF('01_Stations'!$Y$283=1,"───","")</f>
        <v/>
      </c>
      <c r="AP281" s="164" t="str">
        <f>IF('01_Stations'!$Y$284=1,"───","")</f>
        <v/>
      </c>
      <c r="AQ281" s="164" t="str">
        <f>IF('01_Stations'!$Y$285=1,"───","")</f>
        <v/>
      </c>
    </row>
    <row r="282" spans="1:43" ht="15" customHeight="1" x14ac:dyDescent="0.3">
      <c r="A282" s="236"/>
      <c r="B282" s="165" t="s">
        <v>2218</v>
      </c>
      <c r="C282" s="166" t="s">
        <v>1622</v>
      </c>
      <c r="D282" s="164" t="str">
        <f>IF('01_Stations'!$Z$246=1,"───","")</f>
        <v/>
      </c>
      <c r="E282" s="164" t="str">
        <f>IF('01_Stations'!$Z$247=1,"───","")</f>
        <v/>
      </c>
      <c r="F282" s="164" t="str">
        <f>IF('01_Stations'!$Z$248=1,"───","")</f>
        <v/>
      </c>
      <c r="G282" s="164" t="str">
        <f>IF('01_Stations'!$Z$249=1,"───","")</f>
        <v/>
      </c>
      <c r="H282" s="164" t="str">
        <f>IF('01_Stations'!$Z$250=1,"───","")</f>
        <v/>
      </c>
      <c r="I282" s="164" t="str">
        <f>IF('01_Stations'!$Z$251=1,"───","")</f>
        <v/>
      </c>
      <c r="J282" s="164" t="str">
        <f>IF('01_Stations'!$Z$252=1,"───","")</f>
        <v/>
      </c>
      <c r="K282" s="164" t="str">
        <f>IF('01_Stations'!$Z$253=1,"───","")</f>
        <v/>
      </c>
      <c r="L282" s="164" t="str">
        <f>IF('01_Stations'!$Z$254=1,"───","")</f>
        <v/>
      </c>
      <c r="M282" s="164" t="str">
        <f>IF('01_Stations'!$Z$255=1,"───","")</f>
        <v/>
      </c>
      <c r="N282" s="164" t="str">
        <f>IF('01_Stations'!$Z$256=1,"───","")</f>
        <v/>
      </c>
      <c r="O282" s="164" t="str">
        <f>IF('01_Stations'!$Z$257=1,"───","")</f>
        <v/>
      </c>
      <c r="P282" s="164" t="str">
        <f>IF('01_Stations'!$Z$258=1,"───","")</f>
        <v/>
      </c>
      <c r="Q282" s="164" t="str">
        <f>IF('01_Stations'!$Z$259=1,"───","")</f>
        <v/>
      </c>
      <c r="R282" s="164" t="str">
        <f>IF('01_Stations'!$Z$260=1,"───","")</f>
        <v/>
      </c>
      <c r="S282" s="164" t="str">
        <f>IF('01_Stations'!$Z$261=1,"───","")</f>
        <v/>
      </c>
      <c r="T282" s="164" t="str">
        <f>IF('01_Stations'!$Z$262=1,"───","")</f>
        <v/>
      </c>
      <c r="U282" s="164" t="str">
        <f>IF('01_Stations'!$Z$263=1,"───","")</f>
        <v/>
      </c>
      <c r="V282" s="164" t="str">
        <f>IF('01_Stations'!$Z$264=1,"───","")</f>
        <v/>
      </c>
      <c r="W282" s="164" t="str">
        <f>IF('01_Stations'!$Z$265=1,"───","")</f>
        <v/>
      </c>
      <c r="X282" s="164" t="str">
        <f>IF('01_Stations'!$Z$266=1,"───","")</f>
        <v/>
      </c>
      <c r="Y282" s="164" t="str">
        <f>IF('01_Stations'!$Z$267=1,"───","")</f>
        <v/>
      </c>
      <c r="Z282" s="164" t="str">
        <f>IF('01_Stations'!$Z$268=1,"───","")</f>
        <v/>
      </c>
      <c r="AA282" s="164" t="str">
        <f>IF('01_Stations'!$Z$269=1,"───","")</f>
        <v/>
      </c>
      <c r="AB282" s="164" t="str">
        <f>IF('01_Stations'!$Z$270=1,"───","")</f>
        <v/>
      </c>
      <c r="AC282" s="164" t="str">
        <f>IF('01_Stations'!$Z$271=1,"───","")</f>
        <v/>
      </c>
      <c r="AD282" s="164" t="str">
        <f>IF('01_Stations'!$Z$272=1,"───","")</f>
        <v/>
      </c>
      <c r="AE282" s="164" t="str">
        <f>IF('01_Stations'!$Z$273=1,"───","")</f>
        <v/>
      </c>
      <c r="AF282" s="164" t="str">
        <f>IF('01_Stations'!$Z$274=1,"───","")</f>
        <v/>
      </c>
      <c r="AG282" s="164" t="str">
        <f>IF('01_Stations'!$Z$275=1,"───","")</f>
        <v/>
      </c>
      <c r="AH282" s="164" t="str">
        <f>IF('01_Stations'!$Z$276=1,"───","")</f>
        <v/>
      </c>
      <c r="AI282" s="164" t="str">
        <f>IF('01_Stations'!$Z$277=1,"───","")</f>
        <v/>
      </c>
      <c r="AJ282" s="164" t="str">
        <f>IF('01_Stations'!$Z$278=1,"───","")</f>
        <v/>
      </c>
      <c r="AK282" s="164" t="str">
        <f>IF('01_Stations'!$Z$279=1,"───","")</f>
        <v/>
      </c>
      <c r="AL282" s="164" t="str">
        <f>IF('01_Stations'!$Z$280=1,"───","")</f>
        <v/>
      </c>
      <c r="AM282" s="164" t="str">
        <f>IF('01_Stations'!$Z$281=1,"───","")</f>
        <v/>
      </c>
      <c r="AN282" s="164" t="str">
        <f>IF('01_Stations'!$Z$282=1,"───","")</f>
        <v/>
      </c>
      <c r="AO282" s="164" t="str">
        <f>IF('01_Stations'!$Z$283=1,"───","")</f>
        <v/>
      </c>
      <c r="AP282" s="164" t="str">
        <f>IF('01_Stations'!$Z$284=1,"───","")</f>
        <v/>
      </c>
      <c r="AQ282" s="164" t="str">
        <f>IF('01_Stations'!$Z$285=1,"───","")</f>
        <v/>
      </c>
    </row>
    <row r="283" spans="1:43" ht="15" customHeight="1" x14ac:dyDescent="0.3">
      <c r="A283" s="236"/>
      <c r="B283" s="165"/>
      <c r="C283" s="166" t="s">
        <v>2212</v>
      </c>
      <c r="D283" s="164" t="str">
        <f>IF('01_Stations'!$AA$246=1,"───","")</f>
        <v/>
      </c>
      <c r="E283" s="164" t="str">
        <f>IF('01_Stations'!$AA$247=1,"───","")</f>
        <v/>
      </c>
      <c r="F283" s="164" t="str">
        <f>IF('01_Stations'!$AA$248=1,"───","")</f>
        <v/>
      </c>
      <c r="G283" s="164" t="str">
        <f>IF('01_Stations'!$AA$249=1,"───","")</f>
        <v/>
      </c>
      <c r="H283" s="164" t="str">
        <f>IF('01_Stations'!$AA$250=1,"───","")</f>
        <v/>
      </c>
      <c r="I283" s="164" t="str">
        <f>IF('01_Stations'!$AA$251=1,"───","")</f>
        <v/>
      </c>
      <c r="J283" s="164" t="str">
        <f>IF('01_Stations'!$AA$252=1,"───","")</f>
        <v/>
      </c>
      <c r="K283" s="164" t="str">
        <f>IF('01_Stations'!$AA$253=1,"───","")</f>
        <v/>
      </c>
      <c r="L283" s="164" t="str">
        <f>IF('01_Stations'!$AA$254=1,"───","")</f>
        <v/>
      </c>
      <c r="M283" s="164" t="str">
        <f>IF('01_Stations'!$AA$255=1,"───","")</f>
        <v/>
      </c>
      <c r="N283" s="164" t="str">
        <f>IF('01_Stations'!$AA$256=1,"───","")</f>
        <v/>
      </c>
      <c r="O283" s="164" t="str">
        <f>IF('01_Stations'!$AA$257=1,"───","")</f>
        <v/>
      </c>
      <c r="P283" s="164" t="str">
        <f>IF('01_Stations'!$AA$258=1,"───","")</f>
        <v/>
      </c>
      <c r="Q283" s="164" t="str">
        <f>IF('01_Stations'!$AA$259=1,"───","")</f>
        <v/>
      </c>
      <c r="R283" s="164" t="str">
        <f>IF('01_Stations'!$AA$260=1,"───","")</f>
        <v/>
      </c>
      <c r="S283" s="164" t="str">
        <f>IF('01_Stations'!$AA$261=1,"───","")</f>
        <v/>
      </c>
      <c r="T283" s="164" t="str">
        <f>IF('01_Stations'!$AA$262=1,"───","")</f>
        <v/>
      </c>
      <c r="U283" s="164" t="str">
        <f>IF('01_Stations'!$AA$263=1,"───","")</f>
        <v/>
      </c>
      <c r="V283" s="164" t="str">
        <f>IF('01_Stations'!$AA$264=1,"───","")</f>
        <v/>
      </c>
      <c r="W283" s="164" t="str">
        <f>IF('01_Stations'!$AA$265=1,"───","")</f>
        <v/>
      </c>
      <c r="X283" s="164" t="str">
        <f>IF('01_Stations'!$AA$266=1,"───","")</f>
        <v/>
      </c>
      <c r="Y283" s="164" t="str">
        <f>IF('01_Stations'!$AA$267=1,"───","")</f>
        <v/>
      </c>
      <c r="Z283" s="164" t="str">
        <f>IF('01_Stations'!$AA$268=1,"───","")</f>
        <v/>
      </c>
      <c r="AA283" s="164" t="str">
        <f>IF('01_Stations'!$AA$269=1,"───","")</f>
        <v/>
      </c>
      <c r="AB283" s="164" t="str">
        <f>IF('01_Stations'!$AA$270=1,"───","")</f>
        <v/>
      </c>
      <c r="AC283" s="164" t="str">
        <f>IF('01_Stations'!$AA$271=1,"───","")</f>
        <v/>
      </c>
      <c r="AD283" s="164" t="str">
        <f>IF('01_Stations'!$AA$272=1,"───","")</f>
        <v/>
      </c>
      <c r="AE283" s="164" t="str">
        <f>IF('01_Stations'!$AA$273=1,"───","")</f>
        <v/>
      </c>
      <c r="AF283" s="164" t="str">
        <f>IF('01_Stations'!$AA$274=1,"───","")</f>
        <v/>
      </c>
      <c r="AG283" s="164" t="str">
        <f>IF('01_Stations'!$AA$275=1,"───","")</f>
        <v/>
      </c>
      <c r="AH283" s="164" t="str">
        <f>IF('01_Stations'!$AA$276=1,"───","")</f>
        <v/>
      </c>
      <c r="AI283" s="164" t="str">
        <f>IF('01_Stations'!$AA$277=1,"───","")</f>
        <v/>
      </c>
      <c r="AJ283" s="164" t="str">
        <f>IF('01_Stations'!$AA$278=1,"───","")</f>
        <v/>
      </c>
      <c r="AK283" s="164" t="str">
        <f>IF('01_Stations'!$AA$279=1,"───","")</f>
        <v/>
      </c>
      <c r="AL283" s="164" t="str">
        <f>IF('01_Stations'!$AA$280=1,"───","")</f>
        <v/>
      </c>
      <c r="AM283" s="164" t="str">
        <f>IF('01_Stations'!$AA$281=1,"───","")</f>
        <v/>
      </c>
      <c r="AN283" s="164" t="str">
        <f>IF('01_Stations'!$AA$282=1,"───","")</f>
        <v/>
      </c>
      <c r="AO283" s="164" t="str">
        <f>IF('01_Stations'!$AA$283=1,"───","")</f>
        <v/>
      </c>
      <c r="AP283" s="164" t="str">
        <f>IF('01_Stations'!$AA$284=1,"───","")</f>
        <v/>
      </c>
      <c r="AQ283" s="164" t="str">
        <f>IF('01_Stations'!$AA$285=1,"───","")</f>
        <v/>
      </c>
    </row>
    <row r="284" spans="1:43" ht="15" customHeight="1" x14ac:dyDescent="0.3">
      <c r="A284" s="236"/>
      <c r="B284" s="165" t="s">
        <v>200</v>
      </c>
      <c r="C284" s="166" t="s">
        <v>2219</v>
      </c>
      <c r="D284" s="164" t="str">
        <f>IF('01_Stations'!$AB$246=1,"───","")</f>
        <v/>
      </c>
      <c r="E284" s="164" t="str">
        <f>IF('01_Stations'!$AB$247=1,"───","")</f>
        <v/>
      </c>
      <c r="F284" s="164" t="str">
        <f>IF('01_Stations'!$AB$248=1,"───","")</f>
        <v/>
      </c>
      <c r="G284" s="164" t="str">
        <f>IF('01_Stations'!$AB$249=1,"───","")</f>
        <v/>
      </c>
      <c r="H284" s="164" t="str">
        <f>IF('01_Stations'!$AB$250=1,"───","")</f>
        <v/>
      </c>
      <c r="I284" s="164" t="str">
        <f>IF('01_Stations'!$AB$251=1,"───","")</f>
        <v/>
      </c>
      <c r="J284" s="164" t="str">
        <f>IF('01_Stations'!$AB$252=1,"───","")</f>
        <v/>
      </c>
      <c r="K284" s="164" t="str">
        <f>IF('01_Stations'!$AB$253=1,"───","")</f>
        <v/>
      </c>
      <c r="L284" s="164" t="str">
        <f>IF('01_Stations'!$AB$254=1,"───","")</f>
        <v/>
      </c>
      <c r="M284" s="164" t="str">
        <f>IF('01_Stations'!$AB$255=1,"───","")</f>
        <v/>
      </c>
      <c r="N284" s="164" t="str">
        <f>IF('01_Stations'!$AB$256=1,"───","")</f>
        <v/>
      </c>
      <c r="O284" s="164" t="str">
        <f>IF('01_Stations'!$AB$257=1,"───","")</f>
        <v/>
      </c>
      <c r="P284" s="164" t="str">
        <f>IF('01_Stations'!$AB$258=1,"───","")</f>
        <v/>
      </c>
      <c r="Q284" s="164" t="str">
        <f>IF('01_Stations'!$AB$259=1,"───","")</f>
        <v/>
      </c>
      <c r="R284" s="164" t="str">
        <f>IF('01_Stations'!$AB$260=1,"───","")</f>
        <v/>
      </c>
      <c r="S284" s="164" t="str">
        <f>IF('01_Stations'!$AB$261=1,"───","")</f>
        <v/>
      </c>
      <c r="T284" s="164" t="str">
        <f>IF('01_Stations'!$AB$262=1,"───","")</f>
        <v/>
      </c>
      <c r="U284" s="164" t="str">
        <f>IF('01_Stations'!$AB$263=1,"───","")</f>
        <v/>
      </c>
      <c r="V284" s="164" t="str">
        <f>IF('01_Stations'!$AB$264=1,"───","")</f>
        <v/>
      </c>
      <c r="W284" s="164" t="str">
        <f>IF('01_Stations'!$AB$265=1,"───","")</f>
        <v/>
      </c>
      <c r="X284" s="164" t="str">
        <f>IF('01_Stations'!$AB$266=1,"───","")</f>
        <v/>
      </c>
      <c r="Y284" s="164" t="str">
        <f>IF('01_Stations'!$AB$267=1,"───","")</f>
        <v/>
      </c>
      <c r="Z284" s="164" t="str">
        <f>IF('01_Stations'!$AB$268=1,"───","")</f>
        <v/>
      </c>
      <c r="AA284" s="164" t="str">
        <f>IF('01_Stations'!$AB$269=1,"───","")</f>
        <v/>
      </c>
      <c r="AB284" s="164" t="str">
        <f>IF('01_Stations'!$AB$270=1,"───","")</f>
        <v/>
      </c>
      <c r="AC284" s="164" t="str">
        <f>IF('01_Stations'!$AB$271=1,"───","")</f>
        <v/>
      </c>
      <c r="AD284" s="164" t="str">
        <f>IF('01_Stations'!$AB$272=1,"───","")</f>
        <v/>
      </c>
      <c r="AE284" s="164" t="str">
        <f>IF('01_Stations'!$AB$273=1,"───","")</f>
        <v/>
      </c>
      <c r="AF284" s="164" t="str">
        <f>IF('01_Stations'!$AB$274=1,"───","")</f>
        <v/>
      </c>
      <c r="AG284" s="164" t="str">
        <f>IF('01_Stations'!$AB$275=1,"───","")</f>
        <v/>
      </c>
      <c r="AH284" s="164" t="str">
        <f>IF('01_Stations'!$AB$276=1,"───","")</f>
        <v/>
      </c>
      <c r="AI284" s="164" t="str">
        <f>IF('01_Stations'!$AB$277=1,"───","")</f>
        <v/>
      </c>
      <c r="AJ284" s="164" t="str">
        <f>IF('01_Stations'!$AB$278=1,"───","")</f>
        <v/>
      </c>
      <c r="AK284" s="164" t="str">
        <f>IF('01_Stations'!$AB$279=1,"───","")</f>
        <v/>
      </c>
      <c r="AL284" s="164" t="str">
        <f>IF('01_Stations'!$AB$280=1,"───","")</f>
        <v/>
      </c>
      <c r="AM284" s="164" t="str">
        <f>IF('01_Stations'!$AB$281=1,"───","")</f>
        <v/>
      </c>
      <c r="AN284" s="164" t="str">
        <f>IF('01_Stations'!$AB$282=1,"───","")</f>
        <v/>
      </c>
      <c r="AO284" s="164" t="str">
        <f>IF('01_Stations'!$AB$283=1,"───","")</f>
        <v/>
      </c>
      <c r="AP284" s="164" t="str">
        <f>IF('01_Stations'!$AB$284=1,"───","")</f>
        <v/>
      </c>
      <c r="AQ284" s="164" t="str">
        <f>IF('01_Stations'!$AB$285=1,"───","")</f>
        <v/>
      </c>
    </row>
    <row r="285" spans="1:43" ht="15" customHeight="1" x14ac:dyDescent="0.3">
      <c r="A285" s="236"/>
      <c r="B285" s="165"/>
      <c r="C285" s="166" t="s">
        <v>2220</v>
      </c>
      <c r="D285" s="164" t="str">
        <f>IF(N('01_Stations'!$AC$246)&gt;0,'01_Stations'!$AC$246,"")</f>
        <v/>
      </c>
      <c r="E285" s="164" t="str">
        <f>IF(N('01_Stations'!$AC$247)&gt;0,'01_Stations'!$AC$247,"")</f>
        <v/>
      </c>
      <c r="F285" s="164" t="str">
        <f>IF(N('01_Stations'!$AC$248)&gt;0,'01_Stations'!$AC$248,"")</f>
        <v/>
      </c>
      <c r="G285" s="164" t="str">
        <f>IF(N('01_Stations'!$AC$249)&gt;0,'01_Stations'!$AC$249,"")</f>
        <v/>
      </c>
      <c r="H285" s="164" t="str">
        <f>IF(N('01_Stations'!$AC$250)&gt;0,'01_Stations'!$AC$250,"")</f>
        <v/>
      </c>
      <c r="I285" s="164" t="str">
        <f>IF(N('01_Stations'!$AC$251)&gt;0,'01_Stations'!$AC$251,"")</f>
        <v/>
      </c>
      <c r="J285" s="164" t="str">
        <f>IF(N('01_Stations'!$AC$252)&gt;0,'01_Stations'!$AC$252,"")</f>
        <v/>
      </c>
      <c r="K285" s="164" t="str">
        <f>IF(N('01_Stations'!$AC$253)&gt;0,'01_Stations'!$AC$253,"")</f>
        <v/>
      </c>
      <c r="L285" s="164" t="str">
        <f>IF(N('01_Stations'!$AC$254)&gt;0,'01_Stations'!$AC$254,"")</f>
        <v/>
      </c>
      <c r="M285" s="164" t="str">
        <f>IF(N('01_Stations'!$AC$255)&gt;0,'01_Stations'!$AC$255,"")</f>
        <v/>
      </c>
      <c r="N285" s="164" t="str">
        <f>IF(N('01_Stations'!$AC$256)&gt;0,'01_Stations'!$AC$256,"")</f>
        <v/>
      </c>
      <c r="O285" s="164" t="str">
        <f>IF(N('01_Stations'!$AC$257)&gt;0,'01_Stations'!$AC$257,"")</f>
        <v/>
      </c>
      <c r="P285" s="164" t="str">
        <f>IF(N('01_Stations'!$AC$258)&gt;0,'01_Stations'!$AC$258,"")</f>
        <v/>
      </c>
      <c r="Q285" s="164" t="str">
        <f>IF(N('01_Stations'!$AC$259)&gt;0,'01_Stations'!$AC$259,"")</f>
        <v/>
      </c>
      <c r="R285" s="164" t="str">
        <f>IF(N('01_Stations'!$AC$260)&gt;0,'01_Stations'!$AC$260,"")</f>
        <v/>
      </c>
      <c r="S285" s="164" t="str">
        <f>IF(N('01_Stations'!$AC$261)&gt;0,'01_Stations'!$AC$261,"")</f>
        <v/>
      </c>
      <c r="T285" s="164" t="str">
        <f>IF(N('01_Stations'!$AC$262)&gt;0,'01_Stations'!$AC$262,"")</f>
        <v/>
      </c>
      <c r="U285" s="164" t="str">
        <f>IF(N('01_Stations'!$AC$263)&gt;0,'01_Stations'!$AC$263,"")</f>
        <v/>
      </c>
      <c r="V285" s="164" t="str">
        <f>IF(N('01_Stations'!$AC$264)&gt;0,'01_Stations'!$AC$264,"")</f>
        <v/>
      </c>
      <c r="W285" s="164" t="str">
        <f>IF(N('01_Stations'!$AC$265)&gt;0,'01_Stations'!$AC$265,"")</f>
        <v/>
      </c>
      <c r="X285" s="164" t="str">
        <f>IF(N('01_Stations'!$AC$266)&gt;0,'01_Stations'!$AC$266,"")</f>
        <v/>
      </c>
      <c r="Y285" s="164" t="str">
        <f>IF(N('01_Stations'!$AC$267)&gt;0,'01_Stations'!$AC$267,"")</f>
        <v/>
      </c>
      <c r="Z285" s="164" t="str">
        <f>IF(N('01_Stations'!$AC$268)&gt;0,'01_Stations'!$AC$268,"")</f>
        <v/>
      </c>
      <c r="AA285" s="164" t="str">
        <f>IF(N('01_Stations'!$AC$269)&gt;0,'01_Stations'!$AC$269,"")</f>
        <v/>
      </c>
      <c r="AB285" s="164" t="str">
        <f>IF(N('01_Stations'!$AC$270)&gt;0,'01_Stations'!$AC$270,"")</f>
        <v/>
      </c>
      <c r="AC285" s="164" t="str">
        <f>IF(N('01_Stations'!$AC$271)&gt;0,'01_Stations'!$AC$271,"")</f>
        <v/>
      </c>
      <c r="AD285" s="164" t="str">
        <f>IF(N('01_Stations'!$AC$272)&gt;0,'01_Stations'!$AC$272,"")</f>
        <v/>
      </c>
      <c r="AE285" s="164" t="str">
        <f>IF(N('01_Stations'!$AC$273)&gt;0,'01_Stations'!$AC$273,"")</f>
        <v/>
      </c>
      <c r="AF285" s="164" t="str">
        <f>IF(N('01_Stations'!$AC$274)&gt;0,'01_Stations'!$AC$274,"")</f>
        <v/>
      </c>
      <c r="AG285" s="164" t="str">
        <f>IF(N('01_Stations'!$AC$275)&gt;0,'01_Stations'!$AC$275,"")</f>
        <v/>
      </c>
      <c r="AH285" s="164" t="str">
        <f>IF(N('01_Stations'!$AC$276)&gt;0,'01_Stations'!$AC$276,"")</f>
        <v/>
      </c>
      <c r="AI285" s="164" t="str">
        <f>IF(N('01_Stations'!$AC$277)&gt;0,'01_Stations'!$AC$277,"")</f>
        <v/>
      </c>
      <c r="AJ285" s="164" t="str">
        <f>IF(N('01_Stations'!$AC$278)&gt;0,'01_Stations'!$AC$278,"")</f>
        <v/>
      </c>
      <c r="AK285" s="164" t="str">
        <f>IF(N('01_Stations'!$AC$279)&gt;0,'01_Stations'!$AC$279,"")</f>
        <v/>
      </c>
      <c r="AL285" s="164" t="str">
        <f>IF(N('01_Stations'!$AC$280)&gt;0,'01_Stations'!$AC$280,"")</f>
        <v/>
      </c>
      <c r="AM285" s="164" t="str">
        <f>IF(N('01_Stations'!$AC$281)&gt;0,'01_Stations'!$AC$281,"")</f>
        <v/>
      </c>
      <c r="AN285" s="164" t="str">
        <f>IF(N('01_Stations'!$AC$282)&gt;0,'01_Stations'!$AC$282,"")</f>
        <v/>
      </c>
      <c r="AO285" s="164" t="str">
        <f>IF(N('01_Stations'!$AC$283)&gt;0,'01_Stations'!$AC$283,"")</f>
        <v/>
      </c>
      <c r="AP285" s="164" t="str">
        <f>IF(N('01_Stations'!$AC$284)&gt;0,'01_Stations'!$AC$284,"")</f>
        <v/>
      </c>
      <c r="AQ285" s="164" t="str">
        <f>IF(N('01_Stations'!$AC$285)&gt;0,'01_Stations'!$AC$285,"")</f>
        <v/>
      </c>
    </row>
    <row r="286" spans="1:43" ht="15" customHeight="1" x14ac:dyDescent="0.3">
      <c r="A286" s="236"/>
      <c r="B286" s="165" t="s">
        <v>2221</v>
      </c>
      <c r="C286" s="166" t="s">
        <v>1622</v>
      </c>
      <c r="D286" s="164" t="str">
        <f>IF(N('01_Stations'!$AD$246)&gt;0,'01_Stations'!$AD$246,"")</f>
        <v/>
      </c>
      <c r="E286" s="164" t="str">
        <f>IF(N('01_Stations'!$AD$247)&gt;0,'01_Stations'!$AD$247,"")</f>
        <v/>
      </c>
      <c r="F286" s="164" t="str">
        <f>IF(N('01_Stations'!$AD$248)&gt;0,'01_Stations'!$AD$248,"")</f>
        <v/>
      </c>
      <c r="G286" s="164" t="str">
        <f>IF(N('01_Stations'!$AD$249)&gt;0,'01_Stations'!$AD$249,"")</f>
        <v/>
      </c>
      <c r="H286" s="164" t="str">
        <f>IF(N('01_Stations'!$AD$250)&gt;0,'01_Stations'!$AD$250,"")</f>
        <v/>
      </c>
      <c r="I286" s="164" t="str">
        <f>IF(N('01_Stations'!$AD$251)&gt;0,'01_Stations'!$AD$251,"")</f>
        <v/>
      </c>
      <c r="J286" s="164" t="str">
        <f>IF(N('01_Stations'!$AD$252)&gt;0,'01_Stations'!$AD$252,"")</f>
        <v/>
      </c>
      <c r="K286" s="164" t="str">
        <f>IF(N('01_Stations'!$AD$253)&gt;0,'01_Stations'!$AD$253,"")</f>
        <v/>
      </c>
      <c r="L286" s="164" t="str">
        <f>IF(N('01_Stations'!$AD$254)&gt;0,'01_Stations'!$AD$254,"")</f>
        <v/>
      </c>
      <c r="M286" s="164" t="str">
        <f>IF(N('01_Stations'!$AD$255)&gt;0,'01_Stations'!$AD$255,"")</f>
        <v/>
      </c>
      <c r="N286" s="164" t="str">
        <f>IF(N('01_Stations'!$AD$256)&gt;0,'01_Stations'!$AD$256,"")</f>
        <v/>
      </c>
      <c r="O286" s="164" t="str">
        <f>IF(N('01_Stations'!$AD$257)&gt;0,'01_Stations'!$AD$257,"")</f>
        <v/>
      </c>
      <c r="P286" s="164" t="str">
        <f>IF(N('01_Stations'!$AD$258)&gt;0,'01_Stations'!$AD$258,"")</f>
        <v/>
      </c>
      <c r="Q286" s="164" t="str">
        <f>IF(N('01_Stations'!$AD$259)&gt;0,'01_Stations'!$AD$259,"")</f>
        <v/>
      </c>
      <c r="R286" s="164" t="str">
        <f>IF(N('01_Stations'!$AD$260)&gt;0,'01_Stations'!$AD$260,"")</f>
        <v/>
      </c>
      <c r="S286" s="164" t="str">
        <f>IF(N('01_Stations'!$AD$261)&gt;0,'01_Stations'!$AD$261,"")</f>
        <v/>
      </c>
      <c r="T286" s="164" t="str">
        <f>IF(N('01_Stations'!$AD$262)&gt;0,'01_Stations'!$AD$262,"")</f>
        <v/>
      </c>
      <c r="U286" s="164" t="str">
        <f>IF(N('01_Stations'!$AD$263)&gt;0,'01_Stations'!$AD$263,"")</f>
        <v/>
      </c>
      <c r="V286" s="164" t="str">
        <f>IF(N('01_Stations'!$AD$264)&gt;0,'01_Stations'!$AD$264,"")</f>
        <v/>
      </c>
      <c r="W286" s="164" t="str">
        <f>IF(N('01_Stations'!$AD$265)&gt;0,'01_Stations'!$AD$265,"")</f>
        <v/>
      </c>
      <c r="X286" s="164" t="str">
        <f>IF(N('01_Stations'!$AD$266)&gt;0,'01_Stations'!$AD$266,"")</f>
        <v/>
      </c>
      <c r="Y286" s="164" t="str">
        <f>IF(N('01_Stations'!$AD$267)&gt;0,'01_Stations'!$AD$267,"")</f>
        <v/>
      </c>
      <c r="Z286" s="164" t="str">
        <f>IF(N('01_Stations'!$AD$268)&gt;0,'01_Stations'!$AD$268,"")</f>
        <v/>
      </c>
      <c r="AA286" s="164" t="str">
        <f>IF(N('01_Stations'!$AD$269)&gt;0,'01_Stations'!$AD$269,"")</f>
        <v/>
      </c>
      <c r="AB286" s="164" t="str">
        <f>IF(N('01_Stations'!$AD$270)&gt;0,'01_Stations'!$AD$270,"")</f>
        <v/>
      </c>
      <c r="AC286" s="164" t="str">
        <f>IF(N('01_Stations'!$AD$271)&gt;0,'01_Stations'!$AD$271,"")</f>
        <v/>
      </c>
      <c r="AD286" s="164" t="str">
        <f>IF(N('01_Stations'!$AD$272)&gt;0,'01_Stations'!$AD$272,"")</f>
        <v/>
      </c>
      <c r="AE286" s="164" t="str">
        <f>IF(N('01_Stations'!$AD$273)&gt;0,'01_Stations'!$AD$273,"")</f>
        <v/>
      </c>
      <c r="AF286" s="164" t="str">
        <f>IF(N('01_Stations'!$AD$274)&gt;0,'01_Stations'!$AD$274,"")</f>
        <v/>
      </c>
      <c r="AG286" s="164" t="str">
        <f>IF(N('01_Stations'!$AD$275)&gt;0,'01_Stations'!$AD$275,"")</f>
        <v/>
      </c>
      <c r="AH286" s="164" t="str">
        <f>IF(N('01_Stations'!$AD$276)&gt;0,'01_Stations'!$AD$276,"")</f>
        <v/>
      </c>
      <c r="AI286" s="164" t="str">
        <f>IF(N('01_Stations'!$AD$277)&gt;0,'01_Stations'!$AD$277,"")</f>
        <v/>
      </c>
      <c r="AJ286" s="164" t="str">
        <f>IF(N('01_Stations'!$AD$278)&gt;0,'01_Stations'!$AD$278,"")</f>
        <v/>
      </c>
      <c r="AK286" s="164" t="str">
        <f>IF(N('01_Stations'!$AD$279)&gt;0,'01_Stations'!$AD$279,"")</f>
        <v/>
      </c>
      <c r="AL286" s="164" t="str">
        <f>IF(N('01_Stations'!$AD$280)&gt;0,'01_Stations'!$AD$280,"")</f>
        <v/>
      </c>
      <c r="AM286" s="164" t="str">
        <f>IF(N('01_Stations'!$AD$281)&gt;0,'01_Stations'!$AD$281,"")</f>
        <v/>
      </c>
      <c r="AN286" s="164" t="str">
        <f>IF(N('01_Stations'!$AD$282)&gt;0,'01_Stations'!$AD$282,"")</f>
        <v/>
      </c>
      <c r="AO286" s="164" t="str">
        <f>IF(N('01_Stations'!$AD$283)&gt;0,'01_Stations'!$AD$283,"")</f>
        <v/>
      </c>
      <c r="AP286" s="164" t="str">
        <f>IF(N('01_Stations'!$AD$284)&gt;0,'01_Stations'!$AD$284,"")</f>
        <v/>
      </c>
      <c r="AQ286" s="164" t="str">
        <f>IF(N('01_Stations'!$AD$285)&gt;0,'01_Stations'!$AD$285,"")</f>
        <v/>
      </c>
    </row>
    <row r="287" spans="1:43" ht="15" customHeight="1" x14ac:dyDescent="0.3">
      <c r="A287" s="236"/>
      <c r="B287" s="165"/>
      <c r="C287" s="166" t="s">
        <v>2212</v>
      </c>
      <c r="D287" s="164" t="str">
        <f>IF(N('01_Stations'!$AE$246)&gt;0,'01_Stations'!$AE$246,"")</f>
        <v/>
      </c>
      <c r="E287" s="164" t="str">
        <f>IF(N('01_Stations'!$AE$247)&gt;0,'01_Stations'!$AE$247,"")</f>
        <v/>
      </c>
      <c r="F287" s="164" t="str">
        <f>IF(N('01_Stations'!$AE$248)&gt;0,'01_Stations'!$AE$248,"")</f>
        <v/>
      </c>
      <c r="G287" s="164" t="str">
        <f>IF(N('01_Stations'!$AE$249)&gt;0,'01_Stations'!$AE$249,"")</f>
        <v/>
      </c>
      <c r="H287" s="164" t="str">
        <f>IF(N('01_Stations'!$AE$250)&gt;0,'01_Stations'!$AE$250,"")</f>
        <v/>
      </c>
      <c r="I287" s="164" t="str">
        <f>IF(N('01_Stations'!$AE$251)&gt;0,'01_Stations'!$AE$251,"")</f>
        <v/>
      </c>
      <c r="J287" s="164" t="str">
        <f>IF(N('01_Stations'!$AE$252)&gt;0,'01_Stations'!$AE$252,"")</f>
        <v/>
      </c>
      <c r="K287" s="164" t="str">
        <f>IF(N('01_Stations'!$AE$253)&gt;0,'01_Stations'!$AE$253,"")</f>
        <v/>
      </c>
      <c r="L287" s="164" t="str">
        <f>IF(N('01_Stations'!$AE$254)&gt;0,'01_Stations'!$AE$254,"")</f>
        <v/>
      </c>
      <c r="M287" s="164" t="str">
        <f>IF(N('01_Stations'!$AE$255)&gt;0,'01_Stations'!$AE$255,"")</f>
        <v/>
      </c>
      <c r="N287" s="164" t="str">
        <f>IF(N('01_Stations'!$AE$256)&gt;0,'01_Stations'!$AE$256,"")</f>
        <v/>
      </c>
      <c r="O287" s="164" t="str">
        <f>IF(N('01_Stations'!$AE$257)&gt;0,'01_Stations'!$AE$257,"")</f>
        <v/>
      </c>
      <c r="P287" s="164" t="str">
        <f>IF(N('01_Stations'!$AE$258)&gt;0,'01_Stations'!$AE$258,"")</f>
        <v/>
      </c>
      <c r="Q287" s="164" t="str">
        <f>IF(N('01_Stations'!$AE$259)&gt;0,'01_Stations'!$AE$259,"")</f>
        <v/>
      </c>
      <c r="R287" s="164" t="str">
        <f>IF(N('01_Stations'!$AE$260)&gt;0,'01_Stations'!$AE$260,"")</f>
        <v/>
      </c>
      <c r="S287" s="164" t="str">
        <f>IF(N('01_Stations'!$AE$261)&gt;0,'01_Stations'!$AE$261,"")</f>
        <v/>
      </c>
      <c r="T287" s="164" t="str">
        <f>IF(N('01_Stations'!$AE$262)&gt;0,'01_Stations'!$AE$262,"")</f>
        <v/>
      </c>
      <c r="U287" s="164" t="str">
        <f>IF(N('01_Stations'!$AE$263)&gt;0,'01_Stations'!$AE$263,"")</f>
        <v/>
      </c>
      <c r="V287" s="164" t="str">
        <f>IF(N('01_Stations'!$AE$264)&gt;0,'01_Stations'!$AE$264,"")</f>
        <v/>
      </c>
      <c r="W287" s="164" t="str">
        <f>IF(N('01_Stations'!$AE$265)&gt;0,'01_Stations'!$AE$265,"")</f>
        <v/>
      </c>
      <c r="X287" s="164" t="str">
        <f>IF(N('01_Stations'!$AE$266)&gt;0,'01_Stations'!$AE$266,"")</f>
        <v/>
      </c>
      <c r="Y287" s="164" t="str">
        <f>IF(N('01_Stations'!$AE$267)&gt;0,'01_Stations'!$AE$267,"")</f>
        <v/>
      </c>
      <c r="Z287" s="164" t="str">
        <f>IF(N('01_Stations'!$AE$268)&gt;0,'01_Stations'!$AE$268,"")</f>
        <v/>
      </c>
      <c r="AA287" s="164" t="str">
        <f>IF(N('01_Stations'!$AE$269)&gt;0,'01_Stations'!$AE$269,"")</f>
        <v/>
      </c>
      <c r="AB287" s="164" t="str">
        <f>IF(N('01_Stations'!$AE$270)&gt;0,'01_Stations'!$AE$270,"")</f>
        <v/>
      </c>
      <c r="AC287" s="164" t="str">
        <f>IF(N('01_Stations'!$AE$271)&gt;0,'01_Stations'!$AE$271,"")</f>
        <v/>
      </c>
      <c r="AD287" s="164" t="str">
        <f>IF(N('01_Stations'!$AE$272)&gt;0,'01_Stations'!$AE$272,"")</f>
        <v/>
      </c>
      <c r="AE287" s="164" t="str">
        <f>IF(N('01_Stations'!$AE$273)&gt;0,'01_Stations'!$AE$273,"")</f>
        <v/>
      </c>
      <c r="AF287" s="164" t="str">
        <f>IF(N('01_Stations'!$AE$274)&gt;0,'01_Stations'!$AE$274,"")</f>
        <v/>
      </c>
      <c r="AG287" s="164" t="str">
        <f>IF(N('01_Stations'!$AE$275)&gt;0,'01_Stations'!$AE$275,"")</f>
        <v/>
      </c>
      <c r="AH287" s="164" t="str">
        <f>IF(N('01_Stations'!$AE$276)&gt;0,'01_Stations'!$AE$276,"")</f>
        <v/>
      </c>
      <c r="AI287" s="164" t="str">
        <f>IF(N('01_Stations'!$AE$277)&gt;0,'01_Stations'!$AE$277,"")</f>
        <v/>
      </c>
      <c r="AJ287" s="164" t="str">
        <f>IF(N('01_Stations'!$AE$278)&gt;0,'01_Stations'!$AE$278,"")</f>
        <v/>
      </c>
      <c r="AK287" s="164" t="str">
        <f>IF(N('01_Stations'!$AE$279)&gt;0,'01_Stations'!$AE$279,"")</f>
        <v/>
      </c>
      <c r="AL287" s="164" t="str">
        <f>IF(N('01_Stations'!$AE$280)&gt;0,'01_Stations'!$AE$280,"")</f>
        <v/>
      </c>
      <c r="AM287" s="164" t="str">
        <f>IF(N('01_Stations'!$AE$281)&gt;0,'01_Stations'!$AE$281,"")</f>
        <v/>
      </c>
      <c r="AN287" s="164" t="str">
        <f>IF(N('01_Stations'!$AE$282)&gt;0,'01_Stations'!$AE$282,"")</f>
        <v/>
      </c>
      <c r="AO287" s="164" t="str">
        <f>IF(N('01_Stations'!$AE$283)&gt;0,'01_Stations'!$AE$283,"")</f>
        <v/>
      </c>
      <c r="AP287" s="164" t="str">
        <f>IF(N('01_Stations'!$AE$284)&gt;0,'01_Stations'!$AE$284,"")</f>
        <v/>
      </c>
      <c r="AQ287" s="164" t="str">
        <f>IF(N('01_Stations'!$AE$285)&gt;0,'01_Stations'!$AE$285,"")</f>
        <v/>
      </c>
    </row>
    <row r="288" spans="1:43" ht="15" customHeight="1" x14ac:dyDescent="0.3">
      <c r="A288" s="236"/>
      <c r="B288" s="165" t="s">
        <v>1942</v>
      </c>
      <c r="C288" s="166" t="s">
        <v>1622</v>
      </c>
      <c r="D288" s="164" t="str">
        <f>IF('01_Stations'!$AF$246=1,"───","")</f>
        <v/>
      </c>
      <c r="E288" s="164" t="str">
        <f>IF('01_Stations'!$AF$247=1,"───","")</f>
        <v/>
      </c>
      <c r="F288" s="164" t="str">
        <f>IF('01_Stations'!$AF$248=1,"───","")</f>
        <v/>
      </c>
      <c r="G288" s="164" t="str">
        <f>IF('01_Stations'!$AF$249=1,"───","")</f>
        <v/>
      </c>
      <c r="H288" s="164" t="str">
        <f>IF('01_Stations'!$AF$250=1,"───","")</f>
        <v/>
      </c>
      <c r="I288" s="164" t="str">
        <f>IF('01_Stations'!$AF$251=1,"───","")</f>
        <v/>
      </c>
      <c r="J288" s="164" t="str">
        <f>IF('01_Stations'!$AF$252=1,"───","")</f>
        <v/>
      </c>
      <c r="K288" s="164" t="str">
        <f>IF('01_Stations'!$AF$253=1,"───","")</f>
        <v/>
      </c>
      <c r="L288" s="164" t="str">
        <f>IF('01_Stations'!$AF$254=1,"───","")</f>
        <v/>
      </c>
      <c r="M288" s="164" t="str">
        <f>IF('01_Stations'!$AF$255=1,"───","")</f>
        <v/>
      </c>
      <c r="N288" s="164" t="str">
        <f>IF('01_Stations'!$AF$256=1,"───","")</f>
        <v/>
      </c>
      <c r="O288" s="164" t="str">
        <f>IF('01_Stations'!$AF$257=1,"───","")</f>
        <v/>
      </c>
      <c r="P288" s="164" t="str">
        <f>IF('01_Stations'!$AF$258=1,"───","")</f>
        <v/>
      </c>
      <c r="Q288" s="164" t="str">
        <f>IF('01_Stations'!$AF$259=1,"───","")</f>
        <v/>
      </c>
      <c r="R288" s="164" t="str">
        <f>IF('01_Stations'!$AF$260=1,"───","")</f>
        <v/>
      </c>
      <c r="S288" s="164" t="str">
        <f>IF('01_Stations'!$AF$261=1,"───","")</f>
        <v/>
      </c>
      <c r="T288" s="164" t="str">
        <f>IF('01_Stations'!$AF$262=1,"───","")</f>
        <v/>
      </c>
      <c r="U288" s="164" t="str">
        <f>IF('01_Stations'!$AF$263=1,"───","")</f>
        <v/>
      </c>
      <c r="V288" s="164" t="str">
        <f>IF('01_Stations'!$AF$264=1,"───","")</f>
        <v/>
      </c>
      <c r="W288" s="164" t="str">
        <f>IF('01_Stations'!$AF$265=1,"───","")</f>
        <v/>
      </c>
      <c r="X288" s="164" t="str">
        <f>IF('01_Stations'!$AF$266=1,"───","")</f>
        <v/>
      </c>
      <c r="Y288" s="164" t="str">
        <f>IF('01_Stations'!$AF$267=1,"───","")</f>
        <v/>
      </c>
      <c r="Z288" s="164" t="str">
        <f>IF('01_Stations'!$AF$268=1,"───","")</f>
        <v/>
      </c>
      <c r="AA288" s="164" t="str">
        <f>IF('01_Stations'!$AF$269=1,"───","")</f>
        <v/>
      </c>
      <c r="AB288" s="164" t="str">
        <f>IF('01_Stations'!$AF$270=1,"───","")</f>
        <v/>
      </c>
      <c r="AC288" s="164" t="str">
        <f>IF('01_Stations'!$AF$271=1,"───","")</f>
        <v/>
      </c>
      <c r="AD288" s="164" t="str">
        <f>IF('01_Stations'!$AF$272=1,"───","")</f>
        <v/>
      </c>
      <c r="AE288" s="164" t="str">
        <f>IF('01_Stations'!$AF$273=1,"───","")</f>
        <v/>
      </c>
      <c r="AF288" s="164" t="str">
        <f>IF('01_Stations'!$AF$274=1,"───","")</f>
        <v/>
      </c>
      <c r="AG288" s="164" t="str">
        <f>IF('01_Stations'!$AF$275=1,"───","")</f>
        <v/>
      </c>
      <c r="AH288" s="164" t="str">
        <f>IF('01_Stations'!$AF$276=1,"───","")</f>
        <v/>
      </c>
      <c r="AI288" s="164" t="str">
        <f>IF('01_Stations'!$AF$277=1,"───","")</f>
        <v/>
      </c>
      <c r="AJ288" s="164" t="str">
        <f>IF('01_Stations'!$AF$278=1,"───","")</f>
        <v/>
      </c>
      <c r="AK288" s="164" t="str">
        <f>IF('01_Stations'!$AF$279=1,"───","")</f>
        <v/>
      </c>
      <c r="AL288" s="164" t="str">
        <f>IF('01_Stations'!$AF$280=1,"───","")</f>
        <v/>
      </c>
      <c r="AM288" s="164" t="str">
        <f>IF('01_Stations'!$AF$281=1,"───","")</f>
        <v/>
      </c>
      <c r="AN288" s="164" t="str">
        <f>IF('01_Stations'!$AF$282=1,"───","")</f>
        <v/>
      </c>
      <c r="AO288" s="164" t="str">
        <f>IF('01_Stations'!$AF$283=1,"───","")</f>
        <v/>
      </c>
      <c r="AP288" s="164" t="str">
        <f>IF('01_Stations'!$AF$284=1,"───","")</f>
        <v/>
      </c>
      <c r="AQ288" s="164" t="str">
        <f>IF('01_Stations'!$AF$285=1,"───","")</f>
        <v/>
      </c>
    </row>
    <row r="289" spans="1:43" ht="15" customHeight="1" x14ac:dyDescent="0.3">
      <c r="A289" s="237"/>
      <c r="B289" s="165"/>
      <c r="C289" s="166" t="s">
        <v>2212</v>
      </c>
      <c r="D289" s="164" t="str">
        <f>IF('01_Stations'!$AG$246=1,"───","")</f>
        <v/>
      </c>
      <c r="E289" s="164" t="str">
        <f>IF('01_Stations'!$AG$247=1,"───","")</f>
        <v/>
      </c>
      <c r="F289" s="164" t="str">
        <f>IF('01_Stations'!$AG$248=1,"───","")</f>
        <v/>
      </c>
      <c r="G289" s="164" t="str">
        <f>IF('01_Stations'!$AG$249=1,"───","")</f>
        <v/>
      </c>
      <c r="H289" s="164" t="str">
        <f>IF('01_Stations'!$AG$250=1,"───","")</f>
        <v/>
      </c>
      <c r="I289" s="164" t="str">
        <f>IF('01_Stations'!$AG$251=1,"───","")</f>
        <v/>
      </c>
      <c r="J289" s="164" t="str">
        <f>IF('01_Stations'!$AG$252=1,"───","")</f>
        <v/>
      </c>
      <c r="K289" s="164" t="str">
        <f>IF('01_Stations'!$AG$253=1,"───","")</f>
        <v/>
      </c>
      <c r="L289" s="164" t="str">
        <f>IF('01_Stations'!$AG$254=1,"───","")</f>
        <v/>
      </c>
      <c r="M289" s="164" t="str">
        <f>IF('01_Stations'!$AG$255=1,"───","")</f>
        <v/>
      </c>
      <c r="N289" s="164" t="str">
        <f>IF('01_Stations'!$AG$256=1,"───","")</f>
        <v/>
      </c>
      <c r="O289" s="164" t="str">
        <f>IF('01_Stations'!$AG$257=1,"───","")</f>
        <v/>
      </c>
      <c r="P289" s="164" t="str">
        <f>IF('01_Stations'!$AG$258=1,"───","")</f>
        <v/>
      </c>
      <c r="Q289" s="164" t="str">
        <f>IF('01_Stations'!$AG$259=1,"───","")</f>
        <v/>
      </c>
      <c r="R289" s="164" t="str">
        <f>IF('01_Stations'!$AG$260=1,"───","")</f>
        <v/>
      </c>
      <c r="S289" s="164" t="str">
        <f>IF('01_Stations'!$AG$261=1,"───","")</f>
        <v/>
      </c>
      <c r="T289" s="164" t="str">
        <f>IF('01_Stations'!$AG$262=1,"───","")</f>
        <v/>
      </c>
      <c r="U289" s="164" t="str">
        <f>IF('01_Stations'!$AG$263=1,"───","")</f>
        <v/>
      </c>
      <c r="V289" s="164" t="str">
        <f>IF('01_Stations'!$AG$264=1,"───","")</f>
        <v/>
      </c>
      <c r="W289" s="164" t="str">
        <f>IF('01_Stations'!$AG$265=1,"───","")</f>
        <v/>
      </c>
      <c r="X289" s="164" t="str">
        <f>IF('01_Stations'!$AG$266=1,"───","")</f>
        <v/>
      </c>
      <c r="Y289" s="164" t="str">
        <f>IF('01_Stations'!$AG$267=1,"───","")</f>
        <v/>
      </c>
      <c r="Z289" s="164" t="str">
        <f>IF('01_Stations'!$AG$268=1,"───","")</f>
        <v/>
      </c>
      <c r="AA289" s="164" t="str">
        <f>IF('01_Stations'!$AG$269=1,"───","")</f>
        <v/>
      </c>
      <c r="AB289" s="164" t="str">
        <f>IF('01_Stations'!$AG$270=1,"───","")</f>
        <v/>
      </c>
      <c r="AC289" s="164" t="str">
        <f>IF('01_Stations'!$AG$271=1,"───","")</f>
        <v/>
      </c>
      <c r="AD289" s="164" t="str">
        <f>IF('01_Stations'!$AG$272=1,"───","")</f>
        <v/>
      </c>
      <c r="AE289" s="164" t="str">
        <f>IF('01_Stations'!$AG$273=1,"───","")</f>
        <v/>
      </c>
      <c r="AF289" s="164" t="str">
        <f>IF('01_Stations'!$AG$274=1,"───","")</f>
        <v/>
      </c>
      <c r="AG289" s="164" t="str">
        <f>IF('01_Stations'!$AG$275=1,"───","")</f>
        <v/>
      </c>
      <c r="AH289" s="164" t="str">
        <f>IF('01_Stations'!$AG$276=1,"───","")</f>
        <v/>
      </c>
      <c r="AI289" s="164" t="str">
        <f>IF('01_Stations'!$AG$277=1,"───","")</f>
        <v/>
      </c>
      <c r="AJ289" s="164" t="str">
        <f>IF('01_Stations'!$AG$278=1,"───","")</f>
        <v/>
      </c>
      <c r="AK289" s="164" t="str">
        <f>IF('01_Stations'!$AG$279=1,"───","")</f>
        <v/>
      </c>
      <c r="AL289" s="164" t="str">
        <f>IF('01_Stations'!$AG$280=1,"───","")</f>
        <v/>
      </c>
      <c r="AM289" s="164" t="str">
        <f>IF('01_Stations'!$AG$281=1,"───","")</f>
        <v/>
      </c>
      <c r="AN289" s="164" t="str">
        <f>IF('01_Stations'!$AG$282=1,"───","")</f>
        <v/>
      </c>
      <c r="AO289" s="164" t="str">
        <f>IF('01_Stations'!$AG$283=1,"───","")</f>
        <v/>
      </c>
      <c r="AP289" s="164" t="str">
        <f>IF('01_Stations'!$AG$284=1,"───","")</f>
        <v/>
      </c>
      <c r="AQ289" s="164" t="str">
        <f>IF('01_Stations'!$AG$285=1,"───","")</f>
        <v/>
      </c>
    </row>
    <row r="290" spans="1:43" ht="15" customHeight="1" x14ac:dyDescent="0.3">
      <c r="A290" s="238" t="s">
        <v>2222</v>
      </c>
      <c r="B290" s="165" t="s">
        <v>291</v>
      </c>
      <c r="C290" s="166"/>
      <c r="D290" s="164" t="str">
        <f>IF('01_Stations'!$AH$246=1,"───","")</f>
        <v/>
      </c>
      <c r="E290" s="164" t="str">
        <f>IF('01_Stations'!$AH$247=1,"───","")</f>
        <v/>
      </c>
      <c r="F290" s="164" t="str">
        <f>IF('01_Stations'!$AH$248=1,"───","")</f>
        <v/>
      </c>
      <c r="G290" s="164" t="str">
        <f>IF('01_Stations'!$AH$249=1,"───","")</f>
        <v/>
      </c>
      <c r="H290" s="164" t="str">
        <f>IF('01_Stations'!$AH$250=1,"───","")</f>
        <v/>
      </c>
      <c r="I290" s="164" t="str">
        <f>IF('01_Stations'!$AH$251=1,"───","")</f>
        <v/>
      </c>
      <c r="J290" s="164" t="str">
        <f>IF('01_Stations'!$AH$252=1,"───","")</f>
        <v/>
      </c>
      <c r="K290" s="164" t="str">
        <f>IF('01_Stations'!$AH$253=1,"───","")</f>
        <v/>
      </c>
      <c r="L290" s="164" t="str">
        <f>IF('01_Stations'!$AH$254=1,"───","")</f>
        <v/>
      </c>
      <c r="M290" s="164" t="str">
        <f>IF('01_Stations'!$AH$255=1,"───","")</f>
        <v/>
      </c>
      <c r="N290" s="164" t="str">
        <f>IF('01_Stations'!$AH$256=1,"───","")</f>
        <v/>
      </c>
      <c r="O290" s="164" t="str">
        <f>IF('01_Stations'!$AH$257=1,"───","")</f>
        <v/>
      </c>
      <c r="P290" s="164" t="str">
        <f>IF('01_Stations'!$AH$258=1,"───","")</f>
        <v/>
      </c>
      <c r="Q290" s="164" t="str">
        <f>IF('01_Stations'!$AH$259=1,"───","")</f>
        <v/>
      </c>
      <c r="R290" s="164" t="str">
        <f>IF('01_Stations'!$AH$260=1,"───","")</f>
        <v/>
      </c>
      <c r="S290" s="164" t="str">
        <f>IF('01_Stations'!$AH$261=1,"───","")</f>
        <v/>
      </c>
      <c r="T290" s="164" t="str">
        <f>IF('01_Stations'!$AH$262=1,"───","")</f>
        <v/>
      </c>
      <c r="U290" s="164" t="str">
        <f>IF('01_Stations'!$AH$263=1,"───","")</f>
        <v/>
      </c>
      <c r="V290" s="164" t="str">
        <f>IF('01_Stations'!$AH$264=1,"───","")</f>
        <v/>
      </c>
      <c r="W290" s="164" t="str">
        <f>IF('01_Stations'!$AH$265=1,"───","")</f>
        <v/>
      </c>
      <c r="X290" s="164" t="str">
        <f>IF('01_Stations'!$AH$266=1,"───","")</f>
        <v/>
      </c>
      <c r="Y290" s="164" t="str">
        <f>IF('01_Stations'!$AH$267=1,"───","")</f>
        <v/>
      </c>
      <c r="Z290" s="164" t="str">
        <f>IF('01_Stations'!$AH$268=1,"───","")</f>
        <v/>
      </c>
      <c r="AA290" s="164" t="str">
        <f>IF('01_Stations'!$AH$269=1,"───","")</f>
        <v/>
      </c>
      <c r="AB290" s="164" t="str">
        <f>IF('01_Stations'!$AH$270=1,"───","")</f>
        <v/>
      </c>
      <c r="AC290" s="164" t="str">
        <f>IF('01_Stations'!$AH$271=1,"───","")</f>
        <v/>
      </c>
      <c r="AD290" s="164" t="str">
        <f>IF('01_Stations'!$AH$272=1,"───","")</f>
        <v/>
      </c>
      <c r="AE290" s="164" t="str">
        <f>IF('01_Stations'!$AH$273=1,"───","")</f>
        <v/>
      </c>
      <c r="AF290" s="164" t="str">
        <f>IF('01_Stations'!$AH$274=1,"───","")</f>
        <v/>
      </c>
      <c r="AG290" s="164" t="str">
        <f>IF('01_Stations'!$AH$275=1,"───","")</f>
        <v/>
      </c>
      <c r="AH290" s="164" t="str">
        <f>IF('01_Stations'!$AH$276=1,"───","")</f>
        <v/>
      </c>
      <c r="AI290" s="164" t="str">
        <f>IF('01_Stations'!$AH$277=1,"───","")</f>
        <v/>
      </c>
      <c r="AJ290" s="164" t="str">
        <f>IF('01_Stations'!$AH$278=1,"───","")</f>
        <v/>
      </c>
      <c r="AK290" s="164" t="str">
        <f>IF('01_Stations'!$AH$279=1,"───","")</f>
        <v/>
      </c>
      <c r="AL290" s="164" t="str">
        <f>IF('01_Stations'!$AH$280=1,"───","")</f>
        <v/>
      </c>
      <c r="AM290" s="164" t="str">
        <f>IF('01_Stations'!$AH$281=1,"───","")</f>
        <v/>
      </c>
      <c r="AN290" s="164" t="str">
        <f>IF('01_Stations'!$AH$282=1,"───","")</f>
        <v/>
      </c>
      <c r="AO290" s="164" t="str">
        <f>IF('01_Stations'!$AH$283=1,"───","")</f>
        <v/>
      </c>
      <c r="AP290" s="164" t="str">
        <f>IF('01_Stations'!$AH$284=1,"───","")</f>
        <v/>
      </c>
      <c r="AQ290" s="164" t="str">
        <f>IF('01_Stations'!$AH$285=1,"───","")</f>
        <v/>
      </c>
    </row>
    <row r="291" spans="1:43" ht="15" customHeight="1" x14ac:dyDescent="0.3">
      <c r="A291" s="236"/>
      <c r="B291" s="165" t="s">
        <v>292</v>
      </c>
      <c r="C291" s="166"/>
      <c r="D291" s="164" t="str">
        <f>IF('01_Stations'!$AI$246=1,"───","")</f>
        <v/>
      </c>
      <c r="E291" s="164" t="str">
        <f>IF('01_Stations'!$AI$247=1,"───","")</f>
        <v/>
      </c>
      <c r="F291" s="164" t="str">
        <f>IF('01_Stations'!$AI$248=1,"───","")</f>
        <v/>
      </c>
      <c r="G291" s="164" t="str">
        <f>IF('01_Stations'!$AI$249=1,"───","")</f>
        <v/>
      </c>
      <c r="H291" s="164" t="str">
        <f>IF('01_Stations'!$AI$250=1,"───","")</f>
        <v/>
      </c>
      <c r="I291" s="164" t="str">
        <f>IF('01_Stations'!$AI$251=1,"───","")</f>
        <v/>
      </c>
      <c r="J291" s="164" t="str">
        <f>IF('01_Stations'!$AI$252=1,"───","")</f>
        <v/>
      </c>
      <c r="K291" s="164" t="str">
        <f>IF('01_Stations'!$AI$253=1,"───","")</f>
        <v/>
      </c>
      <c r="L291" s="164" t="str">
        <f>IF('01_Stations'!$AI$254=1,"───","")</f>
        <v/>
      </c>
      <c r="M291" s="164" t="str">
        <f>IF('01_Stations'!$AI$255=1,"───","")</f>
        <v/>
      </c>
      <c r="N291" s="164" t="str">
        <f>IF('01_Stations'!$AI$256=1,"───","")</f>
        <v/>
      </c>
      <c r="O291" s="164" t="str">
        <f>IF('01_Stations'!$AI$257=1,"───","")</f>
        <v/>
      </c>
      <c r="P291" s="164" t="str">
        <f>IF('01_Stations'!$AI$258=1,"───","")</f>
        <v/>
      </c>
      <c r="Q291" s="164" t="str">
        <f>IF('01_Stations'!$AI$259=1,"───","")</f>
        <v/>
      </c>
      <c r="R291" s="164" t="str">
        <f>IF('01_Stations'!$AI$260=1,"───","")</f>
        <v/>
      </c>
      <c r="S291" s="164" t="str">
        <f>IF('01_Stations'!$AI$261=1,"───","")</f>
        <v/>
      </c>
      <c r="T291" s="164" t="str">
        <f>IF('01_Stations'!$AI$262=1,"───","")</f>
        <v/>
      </c>
      <c r="U291" s="164" t="str">
        <f>IF('01_Stations'!$AI$263=1,"───","")</f>
        <v/>
      </c>
      <c r="V291" s="164" t="str">
        <f>IF('01_Stations'!$AI$264=1,"───","")</f>
        <v/>
      </c>
      <c r="W291" s="164" t="str">
        <f>IF('01_Stations'!$AI$265=1,"───","")</f>
        <v/>
      </c>
      <c r="X291" s="164" t="str">
        <f>IF('01_Stations'!$AI$266=1,"───","")</f>
        <v/>
      </c>
      <c r="Y291" s="164" t="str">
        <f>IF('01_Stations'!$AI$267=1,"───","")</f>
        <v/>
      </c>
      <c r="Z291" s="164" t="str">
        <f>IF('01_Stations'!$AI$268=1,"───","")</f>
        <v/>
      </c>
      <c r="AA291" s="164" t="str">
        <f>IF('01_Stations'!$AI$269=1,"───","")</f>
        <v/>
      </c>
      <c r="AB291" s="164" t="str">
        <f>IF('01_Stations'!$AI$270=1,"───","")</f>
        <v/>
      </c>
      <c r="AC291" s="164" t="str">
        <f>IF('01_Stations'!$AI$271=1,"───","")</f>
        <v/>
      </c>
      <c r="AD291" s="164" t="str">
        <f>IF('01_Stations'!$AI$272=1,"───","")</f>
        <v/>
      </c>
      <c r="AE291" s="164" t="str">
        <f>IF('01_Stations'!$AI$273=1,"───","")</f>
        <v/>
      </c>
      <c r="AF291" s="164" t="str">
        <f>IF('01_Stations'!$AI$274=1,"───","")</f>
        <v/>
      </c>
      <c r="AG291" s="164" t="str">
        <f>IF('01_Stations'!$AI$275=1,"───","")</f>
        <v/>
      </c>
      <c r="AH291" s="164" t="str">
        <f>IF('01_Stations'!$AI$276=1,"───","")</f>
        <v/>
      </c>
      <c r="AI291" s="164" t="str">
        <f>IF('01_Stations'!$AI$277=1,"───","")</f>
        <v/>
      </c>
      <c r="AJ291" s="164" t="str">
        <f>IF('01_Stations'!$AI$278=1,"───","")</f>
        <v/>
      </c>
      <c r="AK291" s="164" t="str">
        <f>IF('01_Stations'!$AI$279=1,"───","")</f>
        <v/>
      </c>
      <c r="AL291" s="164" t="str">
        <f>IF('01_Stations'!$AI$280=1,"───","")</f>
        <v/>
      </c>
      <c r="AM291" s="164" t="str">
        <f>IF('01_Stations'!$AI$281=1,"───","")</f>
        <v/>
      </c>
      <c r="AN291" s="164" t="str">
        <f>IF('01_Stations'!$AI$282=1,"───","")</f>
        <v/>
      </c>
      <c r="AO291" s="164" t="str">
        <f>IF('01_Stations'!$AI$283=1,"───","")</f>
        <v/>
      </c>
      <c r="AP291" s="164" t="str">
        <f>IF('01_Stations'!$AI$284=1,"───","")</f>
        <v/>
      </c>
      <c r="AQ291" s="164" t="str">
        <f>IF('01_Stations'!$AI$285=1,"───","")</f>
        <v/>
      </c>
    </row>
    <row r="292" spans="1:43" ht="15" customHeight="1" x14ac:dyDescent="0.3">
      <c r="A292" s="236"/>
      <c r="B292" s="165" t="s">
        <v>293</v>
      </c>
      <c r="C292" s="166"/>
      <c r="D292" s="164" t="str">
        <f>IF('01_Stations'!$AJ$246=1,"───","")</f>
        <v/>
      </c>
      <c r="E292" s="164" t="str">
        <f>IF('01_Stations'!$AJ$247=1,"───","")</f>
        <v/>
      </c>
      <c r="F292" s="164" t="str">
        <f>IF('01_Stations'!$AJ$248=1,"───","")</f>
        <v/>
      </c>
      <c r="G292" s="164" t="str">
        <f>IF('01_Stations'!$AJ$249=1,"───","")</f>
        <v/>
      </c>
      <c r="H292" s="164" t="str">
        <f>IF('01_Stations'!$AJ$250=1,"───","")</f>
        <v/>
      </c>
      <c r="I292" s="164" t="str">
        <f>IF('01_Stations'!$AJ$251=1,"───","")</f>
        <v/>
      </c>
      <c r="J292" s="164" t="str">
        <f>IF('01_Stations'!$AJ$252=1,"───","")</f>
        <v/>
      </c>
      <c r="K292" s="164" t="str">
        <f>IF('01_Stations'!$AJ$253=1,"───","")</f>
        <v/>
      </c>
      <c r="L292" s="164" t="str">
        <f>IF('01_Stations'!$AJ$254=1,"───","")</f>
        <v/>
      </c>
      <c r="M292" s="164" t="str">
        <f>IF('01_Stations'!$AJ$255=1,"───","")</f>
        <v/>
      </c>
      <c r="N292" s="164" t="str">
        <f>IF('01_Stations'!$AJ$256=1,"───","")</f>
        <v/>
      </c>
      <c r="O292" s="164" t="str">
        <f>IF('01_Stations'!$AJ$257=1,"───","")</f>
        <v/>
      </c>
      <c r="P292" s="164" t="str">
        <f>IF('01_Stations'!$AJ$258=1,"───","")</f>
        <v/>
      </c>
      <c r="Q292" s="164" t="str">
        <f>IF('01_Stations'!$AJ$259=1,"───","")</f>
        <v/>
      </c>
      <c r="R292" s="164" t="str">
        <f>IF('01_Stations'!$AJ$260=1,"───","")</f>
        <v/>
      </c>
      <c r="S292" s="164" t="str">
        <f>IF('01_Stations'!$AJ$261=1,"───","")</f>
        <v/>
      </c>
      <c r="T292" s="164" t="str">
        <f>IF('01_Stations'!$AJ$262=1,"───","")</f>
        <v/>
      </c>
      <c r="U292" s="164" t="str">
        <f>IF('01_Stations'!$AJ$263=1,"───","")</f>
        <v/>
      </c>
      <c r="V292" s="164" t="str">
        <f>IF('01_Stations'!$AJ$264=1,"───","")</f>
        <v/>
      </c>
      <c r="W292" s="164" t="str">
        <f>IF('01_Stations'!$AJ$265=1,"───","")</f>
        <v/>
      </c>
      <c r="X292" s="164" t="str">
        <f>IF('01_Stations'!$AJ$266=1,"───","")</f>
        <v/>
      </c>
      <c r="Y292" s="164" t="str">
        <f>IF('01_Stations'!$AJ$267=1,"───","")</f>
        <v/>
      </c>
      <c r="Z292" s="164" t="str">
        <f>IF('01_Stations'!$AJ$268=1,"───","")</f>
        <v/>
      </c>
      <c r="AA292" s="164" t="str">
        <f>IF('01_Stations'!$AJ$269=1,"───","")</f>
        <v/>
      </c>
      <c r="AB292" s="164" t="str">
        <f>IF('01_Stations'!$AJ$270=1,"───","")</f>
        <v/>
      </c>
      <c r="AC292" s="164" t="str">
        <f>IF('01_Stations'!$AJ$271=1,"───","")</f>
        <v/>
      </c>
      <c r="AD292" s="164" t="str">
        <f>IF('01_Stations'!$AJ$272=1,"───","")</f>
        <v/>
      </c>
      <c r="AE292" s="164" t="str">
        <f>IF('01_Stations'!$AJ$273=1,"───","")</f>
        <v/>
      </c>
      <c r="AF292" s="164" t="str">
        <f>IF('01_Stations'!$AJ$274=1,"───","")</f>
        <v/>
      </c>
      <c r="AG292" s="164" t="str">
        <f>IF('01_Stations'!$AJ$275=1,"───","")</f>
        <v/>
      </c>
      <c r="AH292" s="164" t="str">
        <f>IF('01_Stations'!$AJ$276=1,"───","")</f>
        <v/>
      </c>
      <c r="AI292" s="164" t="str">
        <f>IF('01_Stations'!$AJ$277=1,"───","")</f>
        <v/>
      </c>
      <c r="AJ292" s="164" t="str">
        <f>IF('01_Stations'!$AJ$278=1,"───","")</f>
        <v/>
      </c>
      <c r="AK292" s="164" t="str">
        <f>IF('01_Stations'!$AJ$279=1,"───","")</f>
        <v/>
      </c>
      <c r="AL292" s="164" t="str">
        <f>IF('01_Stations'!$AJ$280=1,"───","")</f>
        <v/>
      </c>
      <c r="AM292" s="164" t="str">
        <f>IF('01_Stations'!$AJ$281=1,"───","")</f>
        <v/>
      </c>
      <c r="AN292" s="164" t="str">
        <f>IF('01_Stations'!$AJ$282=1,"───","")</f>
        <v/>
      </c>
      <c r="AO292" s="164" t="str">
        <f>IF('01_Stations'!$AJ$283=1,"───","")</f>
        <v/>
      </c>
      <c r="AP292" s="164" t="str">
        <f>IF('01_Stations'!$AJ$284=1,"───","")</f>
        <v/>
      </c>
      <c r="AQ292" s="164" t="str">
        <f>IF('01_Stations'!$AJ$285=1,"───","")</f>
        <v/>
      </c>
    </row>
    <row r="293" spans="1:43" ht="15" customHeight="1" x14ac:dyDescent="0.3">
      <c r="A293" s="236"/>
      <c r="B293" s="165" t="s">
        <v>294</v>
      </c>
      <c r="C293" s="166" t="s">
        <v>299</v>
      </c>
      <c r="D293" s="164" t="str">
        <f>IF(N('01_Stations'!$AK$246)&gt;0,'01_Stations'!$AK$246,"")</f>
        <v/>
      </c>
      <c r="E293" s="164" t="str">
        <f>IF(N('01_Stations'!$AK$247)&gt;0,'01_Stations'!$AK$247,"")</f>
        <v/>
      </c>
      <c r="F293" s="164" t="str">
        <f>IF(N('01_Stations'!$AK$248)&gt;0,'01_Stations'!$AK$248,"")</f>
        <v/>
      </c>
      <c r="G293" s="164" t="str">
        <f>IF(N('01_Stations'!$AK$249)&gt;0,'01_Stations'!$AK$249,"")</f>
        <v/>
      </c>
      <c r="H293" s="164" t="str">
        <f>IF(N('01_Stations'!$AK$250)&gt;0,'01_Stations'!$AK$250,"")</f>
        <v/>
      </c>
      <c r="I293" s="164" t="str">
        <f>IF(N('01_Stations'!$AK$251)&gt;0,'01_Stations'!$AK$251,"")</f>
        <v/>
      </c>
      <c r="J293" s="164" t="str">
        <f>IF(N('01_Stations'!$AK$252)&gt;0,'01_Stations'!$AK$252,"")</f>
        <v/>
      </c>
      <c r="K293" s="164" t="str">
        <f>IF(N('01_Stations'!$AK$253)&gt;0,'01_Stations'!$AK$253,"")</f>
        <v/>
      </c>
      <c r="L293" s="164" t="str">
        <f>IF(N('01_Stations'!$AK$254)&gt;0,'01_Stations'!$AK$254,"")</f>
        <v/>
      </c>
      <c r="M293" s="164" t="str">
        <f>IF(N('01_Stations'!$AK$255)&gt;0,'01_Stations'!$AK$255,"")</f>
        <v/>
      </c>
      <c r="N293" s="164" t="str">
        <f>IF(N('01_Stations'!$AK$256)&gt;0,'01_Stations'!$AK$256,"")</f>
        <v/>
      </c>
      <c r="O293" s="164" t="str">
        <f>IF(N('01_Stations'!$AK$257)&gt;0,'01_Stations'!$AK$257,"")</f>
        <v/>
      </c>
      <c r="P293" s="164" t="str">
        <f>IF(N('01_Stations'!$AK$258)&gt;0,'01_Stations'!$AK$258,"")</f>
        <v/>
      </c>
      <c r="Q293" s="164" t="str">
        <f>IF(N('01_Stations'!$AK$259)&gt;0,'01_Stations'!$AK$259,"")</f>
        <v/>
      </c>
      <c r="R293" s="164" t="str">
        <f>IF(N('01_Stations'!$AK$260)&gt;0,'01_Stations'!$AK$260,"")</f>
        <v/>
      </c>
      <c r="S293" s="164" t="str">
        <f>IF(N('01_Stations'!$AK$261)&gt;0,'01_Stations'!$AK$261,"")</f>
        <v/>
      </c>
      <c r="T293" s="164" t="str">
        <f>IF(N('01_Stations'!$AK$262)&gt;0,'01_Stations'!$AK$262,"")</f>
        <v/>
      </c>
      <c r="U293" s="164" t="str">
        <f>IF(N('01_Stations'!$AK$263)&gt;0,'01_Stations'!$AK$263,"")</f>
        <v/>
      </c>
      <c r="V293" s="164" t="str">
        <f>IF(N('01_Stations'!$AK$264)&gt;0,'01_Stations'!$AK$264,"")</f>
        <v/>
      </c>
      <c r="W293" s="164" t="str">
        <f>IF(N('01_Stations'!$AK$265)&gt;0,'01_Stations'!$AK$265,"")</f>
        <v/>
      </c>
      <c r="X293" s="164" t="str">
        <f>IF(N('01_Stations'!$AK$266)&gt;0,'01_Stations'!$AK$266,"")</f>
        <v/>
      </c>
      <c r="Y293" s="164" t="str">
        <f>IF(N('01_Stations'!$AK$267)&gt;0,'01_Stations'!$AK$267,"")</f>
        <v/>
      </c>
      <c r="Z293" s="164" t="str">
        <f>IF(N('01_Stations'!$AK$268)&gt;0,'01_Stations'!$AK$268,"")</f>
        <v/>
      </c>
      <c r="AA293" s="164" t="str">
        <f>IF(N('01_Stations'!$AK$269)&gt;0,'01_Stations'!$AK$269,"")</f>
        <v/>
      </c>
      <c r="AB293" s="164" t="str">
        <f>IF(N('01_Stations'!$AK$270)&gt;0,'01_Stations'!$AK$270,"")</f>
        <v/>
      </c>
      <c r="AC293" s="164" t="str">
        <f>IF(N('01_Stations'!$AK$271)&gt;0,'01_Stations'!$AK$271,"")</f>
        <v/>
      </c>
      <c r="AD293" s="164" t="str">
        <f>IF(N('01_Stations'!$AK$272)&gt;0,'01_Stations'!$AK$272,"")</f>
        <v/>
      </c>
      <c r="AE293" s="164" t="str">
        <f>IF(N('01_Stations'!$AK$273)&gt;0,'01_Stations'!$AK$273,"")</f>
        <v/>
      </c>
      <c r="AF293" s="164" t="str">
        <f>IF(N('01_Stations'!$AK$274)&gt;0,'01_Stations'!$AK$274,"")</f>
        <v/>
      </c>
      <c r="AG293" s="164" t="str">
        <f>IF(N('01_Stations'!$AK$275)&gt;0,'01_Stations'!$AK$275,"")</f>
        <v/>
      </c>
      <c r="AH293" s="164" t="str">
        <f>IF(N('01_Stations'!$AK$276)&gt;0,'01_Stations'!$AK$276,"")</f>
        <v/>
      </c>
      <c r="AI293" s="164" t="str">
        <f>IF(N('01_Stations'!$AK$277)&gt;0,'01_Stations'!$AK$277,"")</f>
        <v/>
      </c>
      <c r="AJ293" s="164" t="str">
        <f>IF(N('01_Stations'!$AK$278)&gt;0,'01_Stations'!$AK$278,"")</f>
        <v/>
      </c>
      <c r="AK293" s="164" t="str">
        <f>IF(N('01_Stations'!$AK$279)&gt;0,'01_Stations'!$AK$279,"")</f>
        <v/>
      </c>
      <c r="AL293" s="164" t="str">
        <f>IF(N('01_Stations'!$AK$280)&gt;0,'01_Stations'!$AK$280,"")</f>
        <v/>
      </c>
      <c r="AM293" s="164" t="str">
        <f>IF(N('01_Stations'!$AK$281)&gt;0,'01_Stations'!$AK$281,"")</f>
        <v/>
      </c>
      <c r="AN293" s="164" t="str">
        <f>IF(N('01_Stations'!$AK$282)&gt;0,'01_Stations'!$AK$282,"")</f>
        <v/>
      </c>
      <c r="AO293" s="164" t="str">
        <f>IF(N('01_Stations'!$AK$283)&gt;0,'01_Stations'!$AK$283,"")</f>
        <v/>
      </c>
      <c r="AP293" s="164" t="str">
        <f>IF(N('01_Stations'!$AK$284)&gt;0,'01_Stations'!$AK$284,"")</f>
        <v/>
      </c>
      <c r="AQ293" s="164" t="str">
        <f>IF(N('01_Stations'!$AK$285)&gt;0,'01_Stations'!$AK$285,"")</f>
        <v/>
      </c>
    </row>
    <row r="294" spans="1:43" ht="15" customHeight="1" x14ac:dyDescent="0.3">
      <c r="A294" s="236"/>
      <c r="B294" s="165" t="s">
        <v>295</v>
      </c>
      <c r="C294" s="166" t="s">
        <v>299</v>
      </c>
      <c r="D294" s="164" t="str">
        <f>IF(N('01_Stations'!$AL$246)&gt;0,'01_Stations'!$AL$246,"")</f>
        <v/>
      </c>
      <c r="E294" s="164" t="str">
        <f>IF(N('01_Stations'!$AL$247)&gt;0,'01_Stations'!$AL$247,"")</f>
        <v/>
      </c>
      <c r="F294" s="164" t="str">
        <f>IF(N('01_Stations'!$AL$248)&gt;0,'01_Stations'!$AL$248,"")</f>
        <v/>
      </c>
      <c r="G294" s="164" t="str">
        <f>IF(N('01_Stations'!$AL$249)&gt;0,'01_Stations'!$AL$249,"")</f>
        <v/>
      </c>
      <c r="H294" s="164" t="str">
        <f>IF(N('01_Stations'!$AL$250)&gt;0,'01_Stations'!$AL$250,"")</f>
        <v/>
      </c>
      <c r="I294" s="164" t="str">
        <f>IF(N('01_Stations'!$AL$251)&gt;0,'01_Stations'!$AL$251,"")</f>
        <v/>
      </c>
      <c r="J294" s="164" t="str">
        <f>IF(N('01_Stations'!$AL$252)&gt;0,'01_Stations'!$AL$252,"")</f>
        <v/>
      </c>
      <c r="K294" s="164" t="str">
        <f>IF(N('01_Stations'!$AL$253)&gt;0,'01_Stations'!$AL$253,"")</f>
        <v/>
      </c>
      <c r="L294" s="164" t="str">
        <f>IF(N('01_Stations'!$AL$254)&gt;0,'01_Stations'!$AL$254,"")</f>
        <v/>
      </c>
      <c r="M294" s="164" t="str">
        <f>IF(N('01_Stations'!$AL$255)&gt;0,'01_Stations'!$AL$255,"")</f>
        <v/>
      </c>
      <c r="N294" s="164" t="str">
        <f>IF(N('01_Stations'!$AL$256)&gt;0,'01_Stations'!$AL$256,"")</f>
        <v/>
      </c>
      <c r="O294" s="164" t="str">
        <f>IF(N('01_Stations'!$AL$257)&gt;0,'01_Stations'!$AL$257,"")</f>
        <v/>
      </c>
      <c r="P294" s="164" t="str">
        <f>IF(N('01_Stations'!$AL$258)&gt;0,'01_Stations'!$AL$258,"")</f>
        <v/>
      </c>
      <c r="Q294" s="164" t="str">
        <f>IF(N('01_Stations'!$AL$259)&gt;0,'01_Stations'!$AL$259,"")</f>
        <v/>
      </c>
      <c r="R294" s="164" t="str">
        <f>IF(N('01_Stations'!$AL$260)&gt;0,'01_Stations'!$AL$260,"")</f>
        <v/>
      </c>
      <c r="S294" s="164" t="str">
        <f>IF(N('01_Stations'!$AL$261)&gt;0,'01_Stations'!$AL$261,"")</f>
        <v/>
      </c>
      <c r="T294" s="164" t="str">
        <f>IF(N('01_Stations'!$AL$262)&gt;0,'01_Stations'!$AL$262,"")</f>
        <v/>
      </c>
      <c r="U294" s="164" t="str">
        <f>IF(N('01_Stations'!$AL$263)&gt;0,'01_Stations'!$AL$263,"")</f>
        <v/>
      </c>
      <c r="V294" s="164" t="str">
        <f>IF(N('01_Stations'!$AL$264)&gt;0,'01_Stations'!$AL$264,"")</f>
        <v/>
      </c>
      <c r="W294" s="164" t="str">
        <f>IF(N('01_Stations'!$AL$265)&gt;0,'01_Stations'!$AL$265,"")</f>
        <v/>
      </c>
      <c r="X294" s="164" t="str">
        <f>IF(N('01_Stations'!$AL$266)&gt;0,'01_Stations'!$AL$266,"")</f>
        <v/>
      </c>
      <c r="Y294" s="164" t="str">
        <f>IF(N('01_Stations'!$AL$267)&gt;0,'01_Stations'!$AL$267,"")</f>
        <v/>
      </c>
      <c r="Z294" s="164" t="str">
        <f>IF(N('01_Stations'!$AL$268)&gt;0,'01_Stations'!$AL$268,"")</f>
        <v/>
      </c>
      <c r="AA294" s="164" t="str">
        <f>IF(N('01_Stations'!$AL$269)&gt;0,'01_Stations'!$AL$269,"")</f>
        <v/>
      </c>
      <c r="AB294" s="164" t="str">
        <f>IF(N('01_Stations'!$AL$270)&gt;0,'01_Stations'!$AL$270,"")</f>
        <v/>
      </c>
      <c r="AC294" s="164" t="str">
        <f>IF(N('01_Stations'!$AL$271)&gt;0,'01_Stations'!$AL$271,"")</f>
        <v/>
      </c>
      <c r="AD294" s="164" t="str">
        <f>IF(N('01_Stations'!$AL$272)&gt;0,'01_Stations'!$AL$272,"")</f>
        <v/>
      </c>
      <c r="AE294" s="164" t="str">
        <f>IF(N('01_Stations'!$AL$273)&gt;0,'01_Stations'!$AL$273,"")</f>
        <v/>
      </c>
      <c r="AF294" s="164" t="str">
        <f>IF(N('01_Stations'!$AL$274)&gt;0,'01_Stations'!$AL$274,"")</f>
        <v/>
      </c>
      <c r="AG294" s="164" t="str">
        <f>IF(N('01_Stations'!$AL$275)&gt;0,'01_Stations'!$AL$275,"")</f>
        <v/>
      </c>
      <c r="AH294" s="164" t="str">
        <f>IF(N('01_Stations'!$AL$276)&gt;0,'01_Stations'!$AL$276,"")</f>
        <v/>
      </c>
      <c r="AI294" s="164" t="str">
        <f>IF(N('01_Stations'!$AL$277)&gt;0,'01_Stations'!$AL$277,"")</f>
        <v/>
      </c>
      <c r="AJ294" s="164" t="str">
        <f>IF(N('01_Stations'!$AL$278)&gt;0,'01_Stations'!$AL$278,"")</f>
        <v/>
      </c>
      <c r="AK294" s="164" t="str">
        <f>IF(N('01_Stations'!$AL$279)&gt;0,'01_Stations'!$AL$279,"")</f>
        <v/>
      </c>
      <c r="AL294" s="164" t="str">
        <f>IF(N('01_Stations'!$AL$280)&gt;0,'01_Stations'!$AL$280,"")</f>
        <v/>
      </c>
      <c r="AM294" s="164" t="str">
        <f>IF(N('01_Stations'!$AL$281)&gt;0,'01_Stations'!$AL$281,"")</f>
        <v/>
      </c>
      <c r="AN294" s="164" t="str">
        <f>IF(N('01_Stations'!$AL$282)&gt;0,'01_Stations'!$AL$282,"")</f>
        <v/>
      </c>
      <c r="AO294" s="164" t="str">
        <f>IF(N('01_Stations'!$AL$283)&gt;0,'01_Stations'!$AL$283,"")</f>
        <v/>
      </c>
      <c r="AP294" s="164" t="str">
        <f>IF(N('01_Stations'!$AL$284)&gt;0,'01_Stations'!$AL$284,"")</f>
        <v/>
      </c>
      <c r="AQ294" s="164" t="str">
        <f>IF(N('01_Stations'!$AL$285)&gt;0,'01_Stations'!$AL$285,"")</f>
        <v/>
      </c>
    </row>
    <row r="295" spans="1:43" ht="15" customHeight="1" x14ac:dyDescent="0.3">
      <c r="A295" s="236"/>
      <c r="B295" s="165" t="s">
        <v>230</v>
      </c>
      <c r="C295" s="166"/>
      <c r="D295" s="164" t="str">
        <f>IF('01_Stations'!$AM$246=1,"───","")</f>
        <v/>
      </c>
      <c r="E295" s="164" t="str">
        <f>IF('01_Stations'!$AM$247=1,"───","")</f>
        <v/>
      </c>
      <c r="F295" s="164" t="str">
        <f>IF('01_Stations'!$AM$248=1,"───","")</f>
        <v/>
      </c>
      <c r="G295" s="164" t="str">
        <f>IF('01_Stations'!$AM$249=1,"───","")</f>
        <v/>
      </c>
      <c r="H295" s="164" t="str">
        <f>IF('01_Stations'!$AM$250=1,"───","")</f>
        <v/>
      </c>
      <c r="I295" s="164" t="str">
        <f>IF('01_Stations'!$AM$251=1,"───","")</f>
        <v/>
      </c>
      <c r="J295" s="164" t="str">
        <f>IF('01_Stations'!$AM$252=1,"───","")</f>
        <v/>
      </c>
      <c r="K295" s="164" t="str">
        <f>IF('01_Stations'!$AM$253=1,"───","")</f>
        <v/>
      </c>
      <c r="L295" s="164" t="str">
        <f>IF('01_Stations'!$AM$254=1,"───","")</f>
        <v/>
      </c>
      <c r="M295" s="164" t="str">
        <f>IF('01_Stations'!$AM$255=1,"───","")</f>
        <v/>
      </c>
      <c r="N295" s="164" t="str">
        <f>IF('01_Stations'!$AM$256=1,"───","")</f>
        <v/>
      </c>
      <c r="O295" s="164" t="str">
        <f>IF('01_Stations'!$AM$257=1,"───","")</f>
        <v/>
      </c>
      <c r="P295" s="164" t="str">
        <f>IF('01_Stations'!$AM$258=1,"───","")</f>
        <v/>
      </c>
      <c r="Q295" s="164" t="str">
        <f>IF('01_Stations'!$AM$259=1,"───","")</f>
        <v/>
      </c>
      <c r="R295" s="164" t="str">
        <f>IF('01_Stations'!$AM$260=1,"───","")</f>
        <v/>
      </c>
      <c r="S295" s="164" t="str">
        <f>IF('01_Stations'!$AM$261=1,"───","")</f>
        <v/>
      </c>
      <c r="T295" s="164" t="str">
        <f>IF('01_Stations'!$AM$262=1,"───","")</f>
        <v/>
      </c>
      <c r="U295" s="164" t="str">
        <f>IF('01_Stations'!$AM$263=1,"───","")</f>
        <v/>
      </c>
      <c r="V295" s="164" t="str">
        <f>IF('01_Stations'!$AM$264=1,"───","")</f>
        <v/>
      </c>
      <c r="W295" s="164" t="str">
        <f>IF('01_Stations'!$AM$265=1,"───","")</f>
        <v/>
      </c>
      <c r="X295" s="164" t="str">
        <f>IF('01_Stations'!$AM$266=1,"───","")</f>
        <v/>
      </c>
      <c r="Y295" s="164" t="str">
        <f>IF('01_Stations'!$AM$267=1,"───","")</f>
        <v/>
      </c>
      <c r="Z295" s="164" t="str">
        <f>IF('01_Stations'!$AM$268=1,"───","")</f>
        <v/>
      </c>
      <c r="AA295" s="164" t="str">
        <f>IF('01_Stations'!$AM$269=1,"───","")</f>
        <v/>
      </c>
      <c r="AB295" s="164" t="str">
        <f>IF('01_Stations'!$AM$270=1,"───","")</f>
        <v/>
      </c>
      <c r="AC295" s="164" t="str">
        <f>IF('01_Stations'!$AM$271=1,"───","")</f>
        <v/>
      </c>
      <c r="AD295" s="164" t="str">
        <f>IF('01_Stations'!$AM$272=1,"───","")</f>
        <v/>
      </c>
      <c r="AE295" s="164" t="str">
        <f>IF('01_Stations'!$AM$273=1,"───","")</f>
        <v/>
      </c>
      <c r="AF295" s="164" t="str">
        <f>IF('01_Stations'!$AM$274=1,"───","")</f>
        <v/>
      </c>
      <c r="AG295" s="164" t="str">
        <f>IF('01_Stations'!$AM$275=1,"───","")</f>
        <v/>
      </c>
      <c r="AH295" s="164" t="str">
        <f>IF('01_Stations'!$AM$276=1,"───","")</f>
        <v/>
      </c>
      <c r="AI295" s="164" t="str">
        <f>IF('01_Stations'!$AM$277=1,"───","")</f>
        <v/>
      </c>
      <c r="AJ295" s="164" t="str">
        <f>IF('01_Stations'!$AM$278=1,"───","")</f>
        <v/>
      </c>
      <c r="AK295" s="164" t="str">
        <f>IF('01_Stations'!$AM$279=1,"───","")</f>
        <v/>
      </c>
      <c r="AL295" s="164" t="str">
        <f>IF('01_Stations'!$AM$280=1,"───","")</f>
        <v/>
      </c>
      <c r="AM295" s="164" t="str">
        <f>IF('01_Stations'!$AM$281=1,"───","")</f>
        <v/>
      </c>
      <c r="AN295" s="164" t="str">
        <f>IF('01_Stations'!$AM$282=1,"───","")</f>
        <v/>
      </c>
      <c r="AO295" s="164" t="str">
        <f>IF('01_Stations'!$AM$283=1,"───","")</f>
        <v/>
      </c>
      <c r="AP295" s="164" t="str">
        <f>IF('01_Stations'!$AM$284=1,"───","")</f>
        <v/>
      </c>
      <c r="AQ295" s="164" t="str">
        <f>IF('01_Stations'!$AM$285=1,"───","")</f>
        <v/>
      </c>
    </row>
    <row r="296" spans="1:43" ht="15" customHeight="1" x14ac:dyDescent="0.3">
      <c r="A296" s="236"/>
      <c r="B296" s="165" t="s">
        <v>231</v>
      </c>
      <c r="C296" s="166"/>
      <c r="D296" s="164" t="str">
        <f>IF('01_Stations'!$AN$246=1,"───","")</f>
        <v/>
      </c>
      <c r="E296" s="164" t="str">
        <f>IF('01_Stations'!$AN$247=1,"───","")</f>
        <v/>
      </c>
      <c r="F296" s="164" t="str">
        <f>IF('01_Stations'!$AN$248=1,"───","")</f>
        <v/>
      </c>
      <c r="G296" s="164" t="str">
        <f>IF('01_Stations'!$AN$249=1,"───","")</f>
        <v/>
      </c>
      <c r="H296" s="164" t="str">
        <f>IF('01_Stations'!$AN$250=1,"───","")</f>
        <v/>
      </c>
      <c r="I296" s="164" t="str">
        <f>IF('01_Stations'!$AN$251=1,"───","")</f>
        <v/>
      </c>
      <c r="J296" s="164" t="str">
        <f>IF('01_Stations'!$AN$252=1,"───","")</f>
        <v/>
      </c>
      <c r="K296" s="164" t="str">
        <f>IF('01_Stations'!$AN$253=1,"───","")</f>
        <v/>
      </c>
      <c r="L296" s="164" t="str">
        <f>IF('01_Stations'!$AN$254=1,"───","")</f>
        <v/>
      </c>
      <c r="M296" s="164" t="str">
        <f>IF('01_Stations'!$AN$255=1,"───","")</f>
        <v/>
      </c>
      <c r="N296" s="164" t="str">
        <f>IF('01_Stations'!$AN$256=1,"───","")</f>
        <v/>
      </c>
      <c r="O296" s="164" t="str">
        <f>IF('01_Stations'!$AN$257=1,"───","")</f>
        <v/>
      </c>
      <c r="P296" s="164" t="str">
        <f>IF('01_Stations'!$AN$258=1,"───","")</f>
        <v/>
      </c>
      <c r="Q296" s="164" t="str">
        <f>IF('01_Stations'!$AN$259=1,"───","")</f>
        <v/>
      </c>
      <c r="R296" s="164" t="str">
        <f>IF('01_Stations'!$AN$260=1,"───","")</f>
        <v/>
      </c>
      <c r="S296" s="164" t="str">
        <f>IF('01_Stations'!$AN$261=1,"───","")</f>
        <v/>
      </c>
      <c r="T296" s="164" t="str">
        <f>IF('01_Stations'!$AN$262=1,"───","")</f>
        <v/>
      </c>
      <c r="U296" s="164" t="str">
        <f>IF('01_Stations'!$AN$263=1,"───","")</f>
        <v/>
      </c>
      <c r="V296" s="164" t="str">
        <f>IF('01_Stations'!$AN$264=1,"───","")</f>
        <v/>
      </c>
      <c r="W296" s="164" t="str">
        <f>IF('01_Stations'!$AN$265=1,"───","")</f>
        <v/>
      </c>
      <c r="X296" s="164" t="str">
        <f>IF('01_Stations'!$AN$266=1,"───","")</f>
        <v/>
      </c>
      <c r="Y296" s="164" t="str">
        <f>IF('01_Stations'!$AN$267=1,"───","")</f>
        <v/>
      </c>
      <c r="Z296" s="164" t="str">
        <f>IF('01_Stations'!$AN$268=1,"───","")</f>
        <v/>
      </c>
      <c r="AA296" s="164" t="str">
        <f>IF('01_Stations'!$AN$269=1,"───","")</f>
        <v/>
      </c>
      <c r="AB296" s="164" t="str">
        <f>IF('01_Stations'!$AN$270=1,"───","")</f>
        <v/>
      </c>
      <c r="AC296" s="164" t="str">
        <f>IF('01_Stations'!$AN$271=1,"───","")</f>
        <v/>
      </c>
      <c r="AD296" s="164" t="str">
        <f>IF('01_Stations'!$AN$272=1,"───","")</f>
        <v/>
      </c>
      <c r="AE296" s="164" t="str">
        <f>IF('01_Stations'!$AN$273=1,"───","")</f>
        <v/>
      </c>
      <c r="AF296" s="164" t="str">
        <f>IF('01_Stations'!$AN$274=1,"───","")</f>
        <v/>
      </c>
      <c r="AG296" s="164" t="str">
        <f>IF('01_Stations'!$AN$275=1,"───","")</f>
        <v/>
      </c>
      <c r="AH296" s="164" t="str">
        <f>IF('01_Stations'!$AN$276=1,"───","")</f>
        <v/>
      </c>
      <c r="AI296" s="164" t="str">
        <f>IF('01_Stations'!$AN$277=1,"───","")</f>
        <v/>
      </c>
      <c r="AJ296" s="164" t="str">
        <f>IF('01_Stations'!$AN$278=1,"───","")</f>
        <v/>
      </c>
      <c r="AK296" s="164" t="str">
        <f>IF('01_Stations'!$AN$279=1,"───","")</f>
        <v/>
      </c>
      <c r="AL296" s="164" t="str">
        <f>IF('01_Stations'!$AN$280=1,"───","")</f>
        <v/>
      </c>
      <c r="AM296" s="164" t="str">
        <f>IF('01_Stations'!$AN$281=1,"───","")</f>
        <v/>
      </c>
      <c r="AN296" s="164" t="str">
        <f>IF('01_Stations'!$AN$282=1,"───","")</f>
        <v/>
      </c>
      <c r="AO296" s="164" t="str">
        <f>IF('01_Stations'!$AN$283=1,"───","")</f>
        <v/>
      </c>
      <c r="AP296" s="164" t="str">
        <f>IF('01_Stations'!$AN$284=1,"───","")</f>
        <v/>
      </c>
      <c r="AQ296" s="164" t="str">
        <f>IF('01_Stations'!$AN$285=1,"───","")</f>
        <v/>
      </c>
    </row>
    <row r="297" spans="1:43" ht="15" customHeight="1" x14ac:dyDescent="0.3">
      <c r="A297" s="237"/>
      <c r="B297" s="165" t="s">
        <v>232</v>
      </c>
      <c r="C297" s="166"/>
      <c r="D297" s="164" t="str">
        <f>IF('01_Stations'!$AO$246=1,"───","")</f>
        <v/>
      </c>
      <c r="E297" s="164" t="str">
        <f>IF('01_Stations'!$AO$247=1,"───","")</f>
        <v/>
      </c>
      <c r="F297" s="164" t="str">
        <f>IF('01_Stations'!$AO$248=1,"───","")</f>
        <v/>
      </c>
      <c r="G297" s="164" t="str">
        <f>IF('01_Stations'!$AO$249=1,"───","")</f>
        <v/>
      </c>
      <c r="H297" s="164" t="str">
        <f>IF('01_Stations'!$AO$250=1,"───","")</f>
        <v/>
      </c>
      <c r="I297" s="164" t="str">
        <f>IF('01_Stations'!$AO$251=1,"───","")</f>
        <v/>
      </c>
      <c r="J297" s="164" t="str">
        <f>IF('01_Stations'!$AO$252=1,"───","")</f>
        <v/>
      </c>
      <c r="K297" s="164" t="str">
        <f>IF('01_Stations'!$AO$253=1,"───","")</f>
        <v/>
      </c>
      <c r="L297" s="164" t="str">
        <f>IF('01_Stations'!$AO$254=1,"───","")</f>
        <v/>
      </c>
      <c r="M297" s="164" t="str">
        <f>IF('01_Stations'!$AO$255=1,"───","")</f>
        <v/>
      </c>
      <c r="N297" s="164" t="str">
        <f>IF('01_Stations'!$AO$256=1,"───","")</f>
        <v/>
      </c>
      <c r="O297" s="164" t="str">
        <f>IF('01_Stations'!$AO$257=1,"───","")</f>
        <v/>
      </c>
      <c r="P297" s="164" t="str">
        <f>IF('01_Stations'!$AO$258=1,"───","")</f>
        <v/>
      </c>
      <c r="Q297" s="164" t="str">
        <f>IF('01_Stations'!$AO$259=1,"───","")</f>
        <v/>
      </c>
      <c r="R297" s="164" t="str">
        <f>IF('01_Stations'!$AO$260=1,"───","")</f>
        <v/>
      </c>
      <c r="S297" s="164" t="str">
        <f>IF('01_Stations'!$AO$261=1,"───","")</f>
        <v/>
      </c>
      <c r="T297" s="164" t="str">
        <f>IF('01_Stations'!$AO$262=1,"───","")</f>
        <v/>
      </c>
      <c r="U297" s="164" t="str">
        <f>IF('01_Stations'!$AO$263=1,"───","")</f>
        <v/>
      </c>
      <c r="V297" s="164" t="str">
        <f>IF('01_Stations'!$AO$264=1,"───","")</f>
        <v/>
      </c>
      <c r="W297" s="164" t="str">
        <f>IF('01_Stations'!$AO$265=1,"───","")</f>
        <v/>
      </c>
      <c r="X297" s="164" t="str">
        <f>IF('01_Stations'!$AO$266=1,"───","")</f>
        <v/>
      </c>
      <c r="Y297" s="164" t="str">
        <f>IF('01_Stations'!$AO$267=1,"───","")</f>
        <v/>
      </c>
      <c r="Z297" s="164" t="str">
        <f>IF('01_Stations'!$AO$268=1,"───","")</f>
        <v/>
      </c>
      <c r="AA297" s="164" t="str">
        <f>IF('01_Stations'!$AO$269=1,"───","")</f>
        <v/>
      </c>
      <c r="AB297" s="164" t="str">
        <f>IF('01_Stations'!$AO$270=1,"───","")</f>
        <v/>
      </c>
      <c r="AC297" s="164" t="str">
        <f>IF('01_Stations'!$AO$271=1,"───","")</f>
        <v/>
      </c>
      <c r="AD297" s="164" t="str">
        <f>IF('01_Stations'!$AO$272=1,"───","")</f>
        <v/>
      </c>
      <c r="AE297" s="164" t="str">
        <f>IF('01_Stations'!$AO$273=1,"───","")</f>
        <v/>
      </c>
      <c r="AF297" s="164" t="str">
        <f>IF('01_Stations'!$AO$274=1,"───","")</f>
        <v/>
      </c>
      <c r="AG297" s="164" t="str">
        <f>IF('01_Stations'!$AO$275=1,"───","")</f>
        <v/>
      </c>
      <c r="AH297" s="164" t="str">
        <f>IF('01_Stations'!$AO$276=1,"───","")</f>
        <v/>
      </c>
      <c r="AI297" s="164" t="str">
        <f>IF('01_Stations'!$AO$277=1,"───","")</f>
        <v/>
      </c>
      <c r="AJ297" s="164" t="str">
        <f>IF('01_Stations'!$AO$278=1,"───","")</f>
        <v/>
      </c>
      <c r="AK297" s="164" t="str">
        <f>IF('01_Stations'!$AO$279=1,"───","")</f>
        <v/>
      </c>
      <c r="AL297" s="164" t="str">
        <f>IF('01_Stations'!$AO$280=1,"───","")</f>
        <v/>
      </c>
      <c r="AM297" s="164" t="str">
        <f>IF('01_Stations'!$AO$281=1,"───","")</f>
        <v/>
      </c>
      <c r="AN297" s="164" t="str">
        <f>IF('01_Stations'!$AO$282=1,"───","")</f>
        <v/>
      </c>
      <c r="AO297" s="164" t="str">
        <f>IF('01_Stations'!$AO$283=1,"───","")</f>
        <v/>
      </c>
      <c r="AP297" s="164" t="str">
        <f>IF('01_Stations'!$AO$284=1,"───","")</f>
        <v/>
      </c>
      <c r="AQ297" s="164" t="str">
        <f>IF('01_Stations'!$AO$285=1,"───","")</f>
        <v/>
      </c>
    </row>
    <row r="298" spans="1:43" x14ac:dyDescent="0.3">
      <c r="A298" s="64"/>
      <c r="B298" s="64"/>
      <c r="C298" s="64"/>
      <c r="D298" s="106"/>
      <c r="E298" s="106"/>
      <c r="F298" s="106"/>
      <c r="G298" s="106"/>
      <c r="H298" s="106"/>
      <c r="I298" s="106"/>
      <c r="J298" s="106"/>
      <c r="K298" s="106"/>
      <c r="L298" s="106"/>
      <c r="M298" s="106"/>
      <c r="N298" s="106"/>
      <c r="O298" s="106"/>
      <c r="P298" s="106"/>
      <c r="Q298" s="106"/>
      <c r="R298" s="106"/>
      <c r="S298" s="106"/>
      <c r="T298" s="106"/>
      <c r="U298" s="106"/>
      <c r="V298" s="106"/>
      <c r="W298" s="106"/>
      <c r="X298" s="106"/>
      <c r="Y298" s="106"/>
      <c r="Z298" s="106"/>
      <c r="AA298" s="106"/>
      <c r="AB298" s="106"/>
      <c r="AC298" s="106"/>
      <c r="AD298" s="106"/>
      <c r="AE298" s="106"/>
      <c r="AF298" s="106"/>
      <c r="AG298" s="106"/>
      <c r="AH298" s="106"/>
      <c r="AI298" s="106"/>
      <c r="AJ298" s="106"/>
      <c r="AK298" s="106"/>
      <c r="AL298" s="106"/>
      <c r="AM298" s="106"/>
      <c r="AN298" s="106"/>
      <c r="AO298" s="106"/>
      <c r="AP298" s="106"/>
      <c r="AQ298" s="106"/>
    </row>
    <row r="299" spans="1:43" ht="15" customHeight="1" thickBot="1" x14ac:dyDescent="0.35">
      <c r="A299" s="64"/>
      <c r="B299" s="64"/>
      <c r="C299" s="64"/>
      <c r="D299" s="106"/>
      <c r="E299" s="106"/>
      <c r="F299" s="106"/>
      <c r="G299" s="106"/>
      <c r="H299" s="106"/>
      <c r="I299" s="106"/>
      <c r="J299" s="106"/>
      <c r="K299" s="106"/>
      <c r="L299" s="106"/>
      <c r="M299" s="106"/>
      <c r="N299" s="106"/>
      <c r="O299" s="106"/>
      <c r="P299" s="106"/>
      <c r="Q299" s="106"/>
      <c r="R299" s="106"/>
      <c r="S299" s="106"/>
      <c r="T299" s="106"/>
      <c r="U299" s="106"/>
      <c r="V299" s="106"/>
      <c r="W299" s="106"/>
      <c r="X299" s="106"/>
      <c r="Y299" s="106"/>
      <c r="Z299" s="106"/>
      <c r="AA299" s="106"/>
      <c r="AB299" s="106"/>
      <c r="AC299" s="106"/>
      <c r="AD299" s="106"/>
      <c r="AE299" s="106"/>
      <c r="AF299" s="106"/>
      <c r="AG299" s="106"/>
      <c r="AH299" s="106"/>
      <c r="AI299" s="106"/>
      <c r="AJ299" s="106"/>
      <c r="AK299" s="106"/>
      <c r="AL299" s="106"/>
      <c r="AM299" s="106"/>
      <c r="AN299" s="106"/>
      <c r="AO299" s="106"/>
      <c r="AP299" s="106"/>
      <c r="AQ299" s="106"/>
    </row>
    <row r="300" spans="1:43" ht="19.95" customHeight="1" thickBot="1" x14ac:dyDescent="0.35">
      <c r="A300" s="174" t="s">
        <v>2235</v>
      </c>
      <c r="B300" s="172"/>
      <c r="C300" s="172"/>
      <c r="D300" s="173" t="str">
        <f>IF(P_Length_km*1000&lt;=14000,"— beyond the end of the road —","")</f>
        <v>— beyond the end of the road —</v>
      </c>
      <c r="E300" s="173"/>
      <c r="F300" s="173"/>
      <c r="G300" s="173"/>
      <c r="H300" s="173"/>
      <c r="I300" s="173"/>
      <c r="J300" s="173"/>
      <c r="K300" s="173"/>
      <c r="L300" s="173"/>
      <c r="M300" s="173"/>
      <c r="N300" s="173"/>
      <c r="O300" s="173"/>
      <c r="P300" s="173"/>
      <c r="Q300" s="173"/>
      <c r="R300" s="173"/>
      <c r="S300" s="173"/>
      <c r="T300" s="173"/>
      <c r="U300" s="173"/>
      <c r="V300" s="173"/>
      <c r="W300" s="173"/>
      <c r="X300" s="173"/>
      <c r="Y300" s="173"/>
      <c r="Z300" s="173"/>
      <c r="AA300" s="173"/>
      <c r="AB300" s="173"/>
      <c r="AC300" s="173"/>
      <c r="AD300" s="173"/>
      <c r="AE300" s="173"/>
      <c r="AF300" s="173"/>
      <c r="AG300" s="173"/>
      <c r="AH300" s="173"/>
      <c r="AI300" s="173"/>
      <c r="AJ300" s="173"/>
      <c r="AK300" s="173"/>
      <c r="AL300" s="173"/>
      <c r="AM300" s="173"/>
      <c r="AN300" s="173"/>
      <c r="AO300" s="173"/>
      <c r="AP300" s="173"/>
      <c r="AQ300" s="175"/>
    </row>
    <row r="301" spans="1:43" x14ac:dyDescent="0.3">
      <c r="A301" s="170" t="s">
        <v>2236</v>
      </c>
      <c r="B301" s="170"/>
      <c r="C301" s="170" t="s">
        <v>2204</v>
      </c>
      <c r="D301" s="171">
        <v>0</v>
      </c>
      <c r="E301" s="171"/>
      <c r="F301" s="171">
        <v>100</v>
      </c>
      <c r="G301" s="171"/>
      <c r="H301" s="171">
        <v>200</v>
      </c>
      <c r="I301" s="171"/>
      <c r="J301" s="171">
        <v>300</v>
      </c>
      <c r="K301" s="171"/>
      <c r="L301" s="171">
        <v>400</v>
      </c>
      <c r="M301" s="171"/>
      <c r="N301" s="171">
        <v>500</v>
      </c>
      <c r="O301" s="171"/>
      <c r="P301" s="171">
        <v>600</v>
      </c>
      <c r="Q301" s="171"/>
      <c r="R301" s="171">
        <v>700</v>
      </c>
      <c r="S301" s="171"/>
      <c r="T301" s="171">
        <v>800</v>
      </c>
      <c r="U301" s="171"/>
      <c r="V301" s="171">
        <v>900</v>
      </c>
      <c r="W301" s="171"/>
      <c r="X301" s="171">
        <v>0</v>
      </c>
      <c r="Y301" s="171"/>
      <c r="Z301" s="171">
        <v>100</v>
      </c>
      <c r="AA301" s="171"/>
      <c r="AB301" s="171">
        <v>200</v>
      </c>
      <c r="AC301" s="171"/>
      <c r="AD301" s="171">
        <v>300</v>
      </c>
      <c r="AE301" s="171"/>
      <c r="AF301" s="171">
        <v>400</v>
      </c>
      <c r="AG301" s="171"/>
      <c r="AH301" s="171">
        <v>500</v>
      </c>
      <c r="AI301" s="171"/>
      <c r="AJ301" s="171">
        <v>600</v>
      </c>
      <c r="AK301" s="171"/>
      <c r="AL301" s="171">
        <v>700</v>
      </c>
      <c r="AM301" s="171"/>
      <c r="AN301" s="171">
        <v>800</v>
      </c>
      <c r="AO301" s="171"/>
      <c r="AP301" s="171">
        <v>900</v>
      </c>
      <c r="AQ301" s="171"/>
    </row>
    <row r="302" spans="1:43" ht="15" customHeight="1" x14ac:dyDescent="0.3">
      <c r="A302" s="235" t="s">
        <v>2205</v>
      </c>
      <c r="B302" s="167" t="s">
        <v>263</v>
      </c>
      <c r="C302" s="168"/>
      <c r="D302" s="169" t="str">
        <f>IF('01_Stations'!$D$286=1,"▓","")</f>
        <v/>
      </c>
      <c r="E302" s="169" t="str">
        <f>IF('01_Stations'!$D$287=1,"▓","")</f>
        <v/>
      </c>
      <c r="F302" s="169" t="str">
        <f>IF('01_Stations'!$D$288=1,"▓","")</f>
        <v/>
      </c>
      <c r="G302" s="169" t="str">
        <f>IF('01_Stations'!$D$289=1,"▓","")</f>
        <v/>
      </c>
      <c r="H302" s="169" t="str">
        <f>IF('01_Stations'!$D$290=1,"▓","")</f>
        <v/>
      </c>
      <c r="I302" s="169" t="str">
        <f>IF('01_Stations'!$D$291=1,"▓","")</f>
        <v/>
      </c>
      <c r="J302" s="169" t="str">
        <f>IF('01_Stations'!$D$292=1,"▓","")</f>
        <v/>
      </c>
      <c r="K302" s="169" t="str">
        <f>IF('01_Stations'!$D$293=1,"▓","")</f>
        <v/>
      </c>
      <c r="L302" s="169" t="str">
        <f>IF('01_Stations'!$D$294=1,"▓","")</f>
        <v/>
      </c>
      <c r="M302" s="169" t="str">
        <f>IF('01_Stations'!$D$295=1,"▓","")</f>
        <v/>
      </c>
      <c r="N302" s="169" t="str">
        <f>IF('01_Stations'!$D$296=1,"▓","")</f>
        <v/>
      </c>
      <c r="O302" s="169" t="str">
        <f>IF('01_Stations'!$D$297=1,"▓","")</f>
        <v/>
      </c>
      <c r="P302" s="169" t="str">
        <f>IF('01_Stations'!$D$298=1,"▓","")</f>
        <v/>
      </c>
      <c r="Q302" s="169" t="str">
        <f>IF('01_Stations'!$D$299=1,"▓","")</f>
        <v/>
      </c>
      <c r="R302" s="169" t="str">
        <f>IF('01_Stations'!$D$300=1,"▓","")</f>
        <v/>
      </c>
      <c r="S302" s="169" t="str">
        <f>IF('01_Stations'!$D$301=1,"▓","")</f>
        <v/>
      </c>
      <c r="T302" s="169" t="str">
        <f>IF('01_Stations'!$D$302=1,"▓","")</f>
        <v/>
      </c>
      <c r="U302" s="169" t="str">
        <f>IF('01_Stations'!$D$303=1,"▓","")</f>
        <v/>
      </c>
      <c r="V302" s="169" t="str">
        <f>IF('01_Stations'!$D$304=1,"▓","")</f>
        <v/>
      </c>
      <c r="W302" s="169" t="str">
        <f>IF('01_Stations'!$D$305=1,"▓","")</f>
        <v/>
      </c>
      <c r="X302" s="169" t="str">
        <f>IF('01_Stations'!$D$306=1,"▓","")</f>
        <v/>
      </c>
      <c r="Y302" s="169" t="str">
        <f>IF('01_Stations'!$D$307=1,"▓","")</f>
        <v/>
      </c>
      <c r="Z302" s="169" t="str">
        <f>IF('01_Stations'!$D$308=1,"▓","")</f>
        <v/>
      </c>
      <c r="AA302" s="169" t="str">
        <f>IF('01_Stations'!$D$309=1,"▓","")</f>
        <v/>
      </c>
      <c r="AB302" s="169" t="str">
        <f>IF('01_Stations'!$D$310=1,"▓","")</f>
        <v/>
      </c>
      <c r="AC302" s="169" t="str">
        <f>IF('01_Stations'!$D$311=1,"▓","")</f>
        <v/>
      </c>
      <c r="AD302" s="169" t="str">
        <f>IF('01_Stations'!$D$312=1,"▓","")</f>
        <v/>
      </c>
      <c r="AE302" s="169" t="str">
        <f>IF('01_Stations'!$D$313=1,"▓","")</f>
        <v/>
      </c>
      <c r="AF302" s="169" t="str">
        <f>IF('01_Stations'!$D$314=1,"▓","")</f>
        <v/>
      </c>
      <c r="AG302" s="169" t="str">
        <f>IF('01_Stations'!$D$315=1,"▓","")</f>
        <v/>
      </c>
      <c r="AH302" s="169" t="str">
        <f>IF('01_Stations'!$D$316=1,"▓","")</f>
        <v/>
      </c>
      <c r="AI302" s="169" t="str">
        <f>IF('01_Stations'!$D$317=1,"▓","")</f>
        <v/>
      </c>
      <c r="AJ302" s="169" t="str">
        <f>IF('01_Stations'!$D$318=1,"▓","")</f>
        <v/>
      </c>
      <c r="AK302" s="169" t="str">
        <f>IF('01_Stations'!$D$319=1,"▓","")</f>
        <v/>
      </c>
      <c r="AL302" s="169" t="str">
        <f>IF('01_Stations'!$D$320=1,"▓","")</f>
        <v/>
      </c>
      <c r="AM302" s="169" t="str">
        <f>IF('01_Stations'!$D$321=1,"▓","")</f>
        <v/>
      </c>
      <c r="AN302" s="169" t="str">
        <f>IF('01_Stations'!$D$322=1,"▓","")</f>
        <v/>
      </c>
      <c r="AO302" s="169" t="str">
        <f>IF('01_Stations'!$D$323=1,"▓","")</f>
        <v/>
      </c>
      <c r="AP302" s="169" t="str">
        <f>IF('01_Stations'!$D$324=1,"▓","")</f>
        <v/>
      </c>
      <c r="AQ302" s="169" t="str">
        <f>IF('01_Stations'!$D$325=1,"▓","")</f>
        <v/>
      </c>
    </row>
    <row r="303" spans="1:43" ht="15" customHeight="1" x14ac:dyDescent="0.3">
      <c r="A303" s="236"/>
      <c r="B303" s="165" t="s">
        <v>2206</v>
      </c>
      <c r="C303" s="166"/>
      <c r="D303" s="164" t="str">
        <f>IF('01_Stations'!$E$286="","",'01_Stations'!$E$286)</f>
        <v/>
      </c>
      <c r="E303" s="164" t="str">
        <f>IF('01_Stations'!$E$287="","",'01_Stations'!$E$287)</f>
        <v/>
      </c>
      <c r="F303" s="164" t="str">
        <f>IF('01_Stations'!$E$288="","",'01_Stations'!$E$288)</f>
        <v/>
      </c>
      <c r="G303" s="164" t="str">
        <f>IF('01_Stations'!$E$289="","",'01_Stations'!$E$289)</f>
        <v/>
      </c>
      <c r="H303" s="164" t="str">
        <f>IF('01_Stations'!$E$290="","",'01_Stations'!$E$290)</f>
        <v/>
      </c>
      <c r="I303" s="164" t="str">
        <f>IF('01_Stations'!$E$291="","",'01_Stations'!$E$291)</f>
        <v/>
      </c>
      <c r="J303" s="164" t="str">
        <f>IF('01_Stations'!$E$292="","",'01_Stations'!$E$292)</f>
        <v/>
      </c>
      <c r="K303" s="164" t="str">
        <f>IF('01_Stations'!$E$293="","",'01_Stations'!$E$293)</f>
        <v/>
      </c>
      <c r="L303" s="164" t="str">
        <f>IF('01_Stations'!$E$294="","",'01_Stations'!$E$294)</f>
        <v/>
      </c>
      <c r="M303" s="164" t="str">
        <f>IF('01_Stations'!$E$295="","",'01_Stations'!$E$295)</f>
        <v/>
      </c>
      <c r="N303" s="164" t="str">
        <f>IF('01_Stations'!$E$296="","",'01_Stations'!$E$296)</f>
        <v/>
      </c>
      <c r="O303" s="164" t="str">
        <f>IF('01_Stations'!$E$297="","",'01_Stations'!$E$297)</f>
        <v/>
      </c>
      <c r="P303" s="164" t="str">
        <f>IF('01_Stations'!$E$298="","",'01_Stations'!$E$298)</f>
        <v/>
      </c>
      <c r="Q303" s="164" t="str">
        <f>IF('01_Stations'!$E$299="","",'01_Stations'!$E$299)</f>
        <v/>
      </c>
      <c r="R303" s="164" t="str">
        <f>IF('01_Stations'!$E$300="","",'01_Stations'!$E$300)</f>
        <v/>
      </c>
      <c r="S303" s="164" t="str">
        <f>IF('01_Stations'!$E$301="","",'01_Stations'!$E$301)</f>
        <v/>
      </c>
      <c r="T303" s="164" t="str">
        <f>IF('01_Stations'!$E$302="","",'01_Stations'!$E$302)</f>
        <v/>
      </c>
      <c r="U303" s="164" t="str">
        <f>IF('01_Stations'!$E$303="","",'01_Stations'!$E$303)</f>
        <v/>
      </c>
      <c r="V303" s="164" t="str">
        <f>IF('01_Stations'!$E$304="","",'01_Stations'!$E$304)</f>
        <v/>
      </c>
      <c r="W303" s="164" t="str">
        <f>IF('01_Stations'!$E$305="","",'01_Stations'!$E$305)</f>
        <v/>
      </c>
      <c r="X303" s="164" t="str">
        <f>IF('01_Stations'!$E$306="","",'01_Stations'!$E$306)</f>
        <v/>
      </c>
      <c r="Y303" s="164" t="str">
        <f>IF('01_Stations'!$E$307="","",'01_Stations'!$E$307)</f>
        <v/>
      </c>
      <c r="Z303" s="164" t="str">
        <f>IF('01_Stations'!$E$308="","",'01_Stations'!$E$308)</f>
        <v/>
      </c>
      <c r="AA303" s="164" t="str">
        <f>IF('01_Stations'!$E$309="","",'01_Stations'!$E$309)</f>
        <v/>
      </c>
      <c r="AB303" s="164" t="str">
        <f>IF('01_Stations'!$E$310="","",'01_Stations'!$E$310)</f>
        <v/>
      </c>
      <c r="AC303" s="164" t="str">
        <f>IF('01_Stations'!$E$311="","",'01_Stations'!$E$311)</f>
        <v/>
      </c>
      <c r="AD303" s="164" t="str">
        <f>IF('01_Stations'!$E$312="","",'01_Stations'!$E$312)</f>
        <v/>
      </c>
      <c r="AE303" s="164" t="str">
        <f>IF('01_Stations'!$E$313="","",'01_Stations'!$E$313)</f>
        <v/>
      </c>
      <c r="AF303" s="164" t="str">
        <f>IF('01_Stations'!$E$314="","",'01_Stations'!$E$314)</f>
        <v/>
      </c>
      <c r="AG303" s="164" t="str">
        <f>IF('01_Stations'!$E$315="","",'01_Stations'!$E$315)</f>
        <v/>
      </c>
      <c r="AH303" s="164" t="str">
        <f>IF('01_Stations'!$E$316="","",'01_Stations'!$E$316)</f>
        <v/>
      </c>
      <c r="AI303" s="164" t="str">
        <f>IF('01_Stations'!$E$317="","",'01_Stations'!$E$317)</f>
        <v/>
      </c>
      <c r="AJ303" s="164" t="str">
        <f>IF('01_Stations'!$E$318="","",'01_Stations'!$E$318)</f>
        <v/>
      </c>
      <c r="AK303" s="164" t="str">
        <f>IF('01_Stations'!$E$319="","",'01_Stations'!$E$319)</f>
        <v/>
      </c>
      <c r="AL303" s="164" t="str">
        <f>IF('01_Stations'!$E$320="","",'01_Stations'!$E$320)</f>
        <v/>
      </c>
      <c r="AM303" s="164" t="str">
        <f>IF('01_Stations'!$E$321="","",'01_Stations'!$E$321)</f>
        <v/>
      </c>
      <c r="AN303" s="164" t="str">
        <f>IF('01_Stations'!$E$322="","",'01_Stations'!$E$322)</f>
        <v/>
      </c>
      <c r="AO303" s="164" t="str">
        <f>IF('01_Stations'!$E$323="","",'01_Stations'!$E$323)</f>
        <v/>
      </c>
      <c r="AP303" s="164" t="str">
        <f>IF('01_Stations'!$E$324="","",'01_Stations'!$E$324)</f>
        <v/>
      </c>
      <c r="AQ303" s="164" t="str">
        <f>IF('01_Stations'!$E$325="","",'01_Stations'!$E$325)</f>
        <v/>
      </c>
    </row>
    <row r="304" spans="1:43" ht="15" customHeight="1" x14ac:dyDescent="0.3">
      <c r="A304" s="236"/>
      <c r="B304" s="165" t="s">
        <v>2207</v>
      </c>
      <c r="C304" s="166"/>
      <c r="D304" s="164" t="str">
        <f>IF('01_Stations'!$F$286=1,"───","")</f>
        <v/>
      </c>
      <c r="E304" s="164" t="str">
        <f>IF('01_Stations'!$F$287=1,"───","")</f>
        <v/>
      </c>
      <c r="F304" s="164" t="str">
        <f>IF('01_Stations'!$F$288=1,"───","")</f>
        <v/>
      </c>
      <c r="G304" s="164" t="str">
        <f>IF('01_Stations'!$F$289=1,"───","")</f>
        <v/>
      </c>
      <c r="H304" s="164" t="str">
        <f>IF('01_Stations'!$F$290=1,"───","")</f>
        <v/>
      </c>
      <c r="I304" s="164" t="str">
        <f>IF('01_Stations'!$F$291=1,"───","")</f>
        <v/>
      </c>
      <c r="J304" s="164" t="str">
        <f>IF('01_Stations'!$F$292=1,"───","")</f>
        <v/>
      </c>
      <c r="K304" s="164" t="str">
        <f>IF('01_Stations'!$F$293=1,"───","")</f>
        <v/>
      </c>
      <c r="L304" s="164" t="str">
        <f>IF('01_Stations'!$F$294=1,"───","")</f>
        <v/>
      </c>
      <c r="M304" s="164" t="str">
        <f>IF('01_Stations'!$F$295=1,"───","")</f>
        <v/>
      </c>
      <c r="N304" s="164" t="str">
        <f>IF('01_Stations'!$F$296=1,"───","")</f>
        <v/>
      </c>
      <c r="O304" s="164" t="str">
        <f>IF('01_Stations'!$F$297=1,"───","")</f>
        <v/>
      </c>
      <c r="P304" s="164" t="str">
        <f>IF('01_Stations'!$F$298=1,"───","")</f>
        <v/>
      </c>
      <c r="Q304" s="164" t="str">
        <f>IF('01_Stations'!$F$299=1,"───","")</f>
        <v/>
      </c>
      <c r="R304" s="164" t="str">
        <f>IF('01_Stations'!$F$300=1,"───","")</f>
        <v/>
      </c>
      <c r="S304" s="164" t="str">
        <f>IF('01_Stations'!$F$301=1,"───","")</f>
        <v/>
      </c>
      <c r="T304" s="164" t="str">
        <f>IF('01_Stations'!$F$302=1,"───","")</f>
        <v/>
      </c>
      <c r="U304" s="164" t="str">
        <f>IF('01_Stations'!$F$303=1,"───","")</f>
        <v/>
      </c>
      <c r="V304" s="164" t="str">
        <f>IF('01_Stations'!$F$304=1,"───","")</f>
        <v/>
      </c>
      <c r="W304" s="164" t="str">
        <f>IF('01_Stations'!$F$305=1,"───","")</f>
        <v/>
      </c>
      <c r="X304" s="164" t="str">
        <f>IF('01_Stations'!$F$306=1,"───","")</f>
        <v/>
      </c>
      <c r="Y304" s="164" t="str">
        <f>IF('01_Stations'!$F$307=1,"───","")</f>
        <v/>
      </c>
      <c r="Z304" s="164" t="str">
        <f>IF('01_Stations'!$F$308=1,"───","")</f>
        <v/>
      </c>
      <c r="AA304" s="164" t="str">
        <f>IF('01_Stations'!$F$309=1,"───","")</f>
        <v/>
      </c>
      <c r="AB304" s="164" t="str">
        <f>IF('01_Stations'!$F$310=1,"───","")</f>
        <v/>
      </c>
      <c r="AC304" s="164" t="str">
        <f>IF('01_Stations'!$F$311=1,"───","")</f>
        <v/>
      </c>
      <c r="AD304" s="164" t="str">
        <f>IF('01_Stations'!$F$312=1,"───","")</f>
        <v/>
      </c>
      <c r="AE304" s="164" t="str">
        <f>IF('01_Stations'!$F$313=1,"───","")</f>
        <v/>
      </c>
      <c r="AF304" s="164" t="str">
        <f>IF('01_Stations'!$F$314=1,"───","")</f>
        <v/>
      </c>
      <c r="AG304" s="164" t="str">
        <f>IF('01_Stations'!$F$315=1,"───","")</f>
        <v/>
      </c>
      <c r="AH304" s="164" t="str">
        <f>IF('01_Stations'!$F$316=1,"───","")</f>
        <v/>
      </c>
      <c r="AI304" s="164" t="str">
        <f>IF('01_Stations'!$F$317=1,"───","")</f>
        <v/>
      </c>
      <c r="AJ304" s="164" t="str">
        <f>IF('01_Stations'!$F$318=1,"───","")</f>
        <v/>
      </c>
      <c r="AK304" s="164" t="str">
        <f>IF('01_Stations'!$F$319=1,"───","")</f>
        <v/>
      </c>
      <c r="AL304" s="164" t="str">
        <f>IF('01_Stations'!$F$320=1,"───","")</f>
        <v/>
      </c>
      <c r="AM304" s="164" t="str">
        <f>IF('01_Stations'!$F$321=1,"───","")</f>
        <v/>
      </c>
      <c r="AN304" s="164" t="str">
        <f>IF('01_Stations'!$F$322=1,"───","")</f>
        <v/>
      </c>
      <c r="AO304" s="164" t="str">
        <f>IF('01_Stations'!$F$323=1,"───","")</f>
        <v/>
      </c>
      <c r="AP304" s="164" t="str">
        <f>IF('01_Stations'!$F$324=1,"───","")</f>
        <v/>
      </c>
      <c r="AQ304" s="164" t="str">
        <f>IF('01_Stations'!$F$325=1,"───","")</f>
        <v/>
      </c>
    </row>
    <row r="305" spans="1:43" ht="15" customHeight="1" x14ac:dyDescent="0.3">
      <c r="A305" s="236"/>
      <c r="B305" s="165" t="s">
        <v>265</v>
      </c>
      <c r="C305" s="166" t="s">
        <v>299</v>
      </c>
      <c r="D305" s="164" t="str">
        <f>IF(N('01_Stations'!$G$286)&gt;0,'01_Stations'!$G$286,"")</f>
        <v/>
      </c>
      <c r="E305" s="164" t="str">
        <f>IF(N('01_Stations'!$G$287)&gt;0,'01_Stations'!$G$287,"")</f>
        <v/>
      </c>
      <c r="F305" s="164" t="str">
        <f>IF(N('01_Stations'!$G$288)&gt;0,'01_Stations'!$G$288,"")</f>
        <v/>
      </c>
      <c r="G305" s="164" t="str">
        <f>IF(N('01_Stations'!$G$289)&gt;0,'01_Stations'!$G$289,"")</f>
        <v/>
      </c>
      <c r="H305" s="164" t="str">
        <f>IF(N('01_Stations'!$G$290)&gt;0,'01_Stations'!$G$290,"")</f>
        <v/>
      </c>
      <c r="I305" s="164" t="str">
        <f>IF(N('01_Stations'!$G$291)&gt;0,'01_Stations'!$G$291,"")</f>
        <v/>
      </c>
      <c r="J305" s="164" t="str">
        <f>IF(N('01_Stations'!$G$292)&gt;0,'01_Stations'!$G$292,"")</f>
        <v/>
      </c>
      <c r="K305" s="164" t="str">
        <f>IF(N('01_Stations'!$G$293)&gt;0,'01_Stations'!$G$293,"")</f>
        <v/>
      </c>
      <c r="L305" s="164" t="str">
        <f>IF(N('01_Stations'!$G$294)&gt;0,'01_Stations'!$G$294,"")</f>
        <v/>
      </c>
      <c r="M305" s="164" t="str">
        <f>IF(N('01_Stations'!$G$295)&gt;0,'01_Stations'!$G$295,"")</f>
        <v/>
      </c>
      <c r="N305" s="164" t="str">
        <f>IF(N('01_Stations'!$G$296)&gt;0,'01_Stations'!$G$296,"")</f>
        <v/>
      </c>
      <c r="O305" s="164" t="str">
        <f>IF(N('01_Stations'!$G$297)&gt;0,'01_Stations'!$G$297,"")</f>
        <v/>
      </c>
      <c r="P305" s="164" t="str">
        <f>IF(N('01_Stations'!$G$298)&gt;0,'01_Stations'!$G$298,"")</f>
        <v/>
      </c>
      <c r="Q305" s="164" t="str">
        <f>IF(N('01_Stations'!$G$299)&gt;0,'01_Stations'!$G$299,"")</f>
        <v/>
      </c>
      <c r="R305" s="164" t="str">
        <f>IF(N('01_Stations'!$G$300)&gt;0,'01_Stations'!$G$300,"")</f>
        <v/>
      </c>
      <c r="S305" s="164" t="str">
        <f>IF(N('01_Stations'!$G$301)&gt;0,'01_Stations'!$G$301,"")</f>
        <v/>
      </c>
      <c r="T305" s="164" t="str">
        <f>IF(N('01_Stations'!$G$302)&gt;0,'01_Stations'!$G$302,"")</f>
        <v/>
      </c>
      <c r="U305" s="164" t="str">
        <f>IF(N('01_Stations'!$G$303)&gt;0,'01_Stations'!$G$303,"")</f>
        <v/>
      </c>
      <c r="V305" s="164" t="str">
        <f>IF(N('01_Stations'!$G$304)&gt;0,'01_Stations'!$G$304,"")</f>
        <v/>
      </c>
      <c r="W305" s="164" t="str">
        <f>IF(N('01_Stations'!$G$305)&gt;0,'01_Stations'!$G$305,"")</f>
        <v/>
      </c>
      <c r="X305" s="164" t="str">
        <f>IF(N('01_Stations'!$G$306)&gt;0,'01_Stations'!$G$306,"")</f>
        <v/>
      </c>
      <c r="Y305" s="164" t="str">
        <f>IF(N('01_Stations'!$G$307)&gt;0,'01_Stations'!$G$307,"")</f>
        <v/>
      </c>
      <c r="Z305" s="164" t="str">
        <f>IF(N('01_Stations'!$G$308)&gt;0,'01_Stations'!$G$308,"")</f>
        <v/>
      </c>
      <c r="AA305" s="164" t="str">
        <f>IF(N('01_Stations'!$G$309)&gt;0,'01_Stations'!$G$309,"")</f>
        <v/>
      </c>
      <c r="AB305" s="164" t="str">
        <f>IF(N('01_Stations'!$G$310)&gt;0,'01_Stations'!$G$310,"")</f>
        <v/>
      </c>
      <c r="AC305" s="164" t="str">
        <f>IF(N('01_Stations'!$G$311)&gt;0,'01_Stations'!$G$311,"")</f>
        <v/>
      </c>
      <c r="AD305" s="164" t="str">
        <f>IF(N('01_Stations'!$G$312)&gt;0,'01_Stations'!$G$312,"")</f>
        <v/>
      </c>
      <c r="AE305" s="164" t="str">
        <f>IF(N('01_Stations'!$G$313)&gt;0,'01_Stations'!$G$313,"")</f>
        <v/>
      </c>
      <c r="AF305" s="164" t="str">
        <f>IF(N('01_Stations'!$G$314)&gt;0,'01_Stations'!$G$314,"")</f>
        <v/>
      </c>
      <c r="AG305" s="164" t="str">
        <f>IF(N('01_Stations'!$G$315)&gt;0,'01_Stations'!$G$315,"")</f>
        <v/>
      </c>
      <c r="AH305" s="164" t="str">
        <f>IF(N('01_Stations'!$G$316)&gt;0,'01_Stations'!$G$316,"")</f>
        <v/>
      </c>
      <c r="AI305" s="164" t="str">
        <f>IF(N('01_Stations'!$G$317)&gt;0,'01_Stations'!$G$317,"")</f>
        <v/>
      </c>
      <c r="AJ305" s="164" t="str">
        <f>IF(N('01_Stations'!$G$318)&gt;0,'01_Stations'!$G$318,"")</f>
        <v/>
      </c>
      <c r="AK305" s="164" t="str">
        <f>IF(N('01_Stations'!$G$319)&gt;0,'01_Stations'!$G$319,"")</f>
        <v/>
      </c>
      <c r="AL305" s="164" t="str">
        <f>IF(N('01_Stations'!$G$320)&gt;0,'01_Stations'!$G$320,"")</f>
        <v/>
      </c>
      <c r="AM305" s="164" t="str">
        <f>IF(N('01_Stations'!$G$321)&gt;0,'01_Stations'!$G$321,"")</f>
        <v/>
      </c>
      <c r="AN305" s="164" t="str">
        <f>IF(N('01_Stations'!$G$322)&gt;0,'01_Stations'!$G$322,"")</f>
        <v/>
      </c>
      <c r="AO305" s="164" t="str">
        <f>IF(N('01_Stations'!$G$323)&gt;0,'01_Stations'!$G$323,"")</f>
        <v/>
      </c>
      <c r="AP305" s="164" t="str">
        <f>IF(N('01_Stations'!$G$324)&gt;0,'01_Stations'!$G$324,"")</f>
        <v/>
      </c>
      <c r="AQ305" s="164" t="str">
        <f>IF(N('01_Stations'!$G$325)&gt;0,'01_Stations'!$G$325,"")</f>
        <v/>
      </c>
    </row>
    <row r="306" spans="1:43" ht="15" customHeight="1" x14ac:dyDescent="0.3">
      <c r="A306" s="236"/>
      <c r="B306" s="165" t="s">
        <v>1866</v>
      </c>
      <c r="C306" s="166" t="s">
        <v>300</v>
      </c>
      <c r="D306" s="164" t="str">
        <f>IF(N('01_Stations'!$H$286)&gt;0,'01_Stations'!$H$286,"")</f>
        <v/>
      </c>
      <c r="E306" s="164" t="str">
        <f>IF(N('01_Stations'!$H$287)&gt;0,'01_Stations'!$H$287,"")</f>
        <v/>
      </c>
      <c r="F306" s="164" t="str">
        <f>IF(N('01_Stations'!$H$288)&gt;0,'01_Stations'!$H$288,"")</f>
        <v/>
      </c>
      <c r="G306" s="164" t="str">
        <f>IF(N('01_Stations'!$H$289)&gt;0,'01_Stations'!$H$289,"")</f>
        <v/>
      </c>
      <c r="H306" s="164" t="str">
        <f>IF(N('01_Stations'!$H$290)&gt;0,'01_Stations'!$H$290,"")</f>
        <v/>
      </c>
      <c r="I306" s="164" t="str">
        <f>IF(N('01_Stations'!$H$291)&gt;0,'01_Stations'!$H$291,"")</f>
        <v/>
      </c>
      <c r="J306" s="164" t="str">
        <f>IF(N('01_Stations'!$H$292)&gt;0,'01_Stations'!$H$292,"")</f>
        <v/>
      </c>
      <c r="K306" s="164" t="str">
        <f>IF(N('01_Stations'!$H$293)&gt;0,'01_Stations'!$H$293,"")</f>
        <v/>
      </c>
      <c r="L306" s="164" t="str">
        <f>IF(N('01_Stations'!$H$294)&gt;0,'01_Stations'!$H$294,"")</f>
        <v/>
      </c>
      <c r="M306" s="164" t="str">
        <f>IF(N('01_Stations'!$H$295)&gt;0,'01_Stations'!$H$295,"")</f>
        <v/>
      </c>
      <c r="N306" s="164" t="str">
        <f>IF(N('01_Stations'!$H$296)&gt;0,'01_Stations'!$H$296,"")</f>
        <v/>
      </c>
      <c r="O306" s="164" t="str">
        <f>IF(N('01_Stations'!$H$297)&gt;0,'01_Stations'!$H$297,"")</f>
        <v/>
      </c>
      <c r="P306" s="164" t="str">
        <f>IF(N('01_Stations'!$H$298)&gt;0,'01_Stations'!$H$298,"")</f>
        <v/>
      </c>
      <c r="Q306" s="164" t="str">
        <f>IF(N('01_Stations'!$H$299)&gt;0,'01_Stations'!$H$299,"")</f>
        <v/>
      </c>
      <c r="R306" s="164" t="str">
        <f>IF(N('01_Stations'!$H$300)&gt;0,'01_Stations'!$H$300,"")</f>
        <v/>
      </c>
      <c r="S306" s="164" t="str">
        <f>IF(N('01_Stations'!$H$301)&gt;0,'01_Stations'!$H$301,"")</f>
        <v/>
      </c>
      <c r="T306" s="164" t="str">
        <f>IF(N('01_Stations'!$H$302)&gt;0,'01_Stations'!$H$302,"")</f>
        <v/>
      </c>
      <c r="U306" s="164" t="str">
        <f>IF(N('01_Stations'!$H$303)&gt;0,'01_Stations'!$H$303,"")</f>
        <v/>
      </c>
      <c r="V306" s="164" t="str">
        <f>IF(N('01_Stations'!$H$304)&gt;0,'01_Stations'!$H$304,"")</f>
        <v/>
      </c>
      <c r="W306" s="164" t="str">
        <f>IF(N('01_Stations'!$H$305)&gt;0,'01_Stations'!$H$305,"")</f>
        <v/>
      </c>
      <c r="X306" s="164" t="str">
        <f>IF(N('01_Stations'!$H$306)&gt;0,'01_Stations'!$H$306,"")</f>
        <v/>
      </c>
      <c r="Y306" s="164" t="str">
        <f>IF(N('01_Stations'!$H$307)&gt;0,'01_Stations'!$H$307,"")</f>
        <v/>
      </c>
      <c r="Z306" s="164" t="str">
        <f>IF(N('01_Stations'!$H$308)&gt;0,'01_Stations'!$H$308,"")</f>
        <v/>
      </c>
      <c r="AA306" s="164" t="str">
        <f>IF(N('01_Stations'!$H$309)&gt;0,'01_Stations'!$H$309,"")</f>
        <v/>
      </c>
      <c r="AB306" s="164" t="str">
        <f>IF(N('01_Stations'!$H$310)&gt;0,'01_Stations'!$H$310,"")</f>
        <v/>
      </c>
      <c r="AC306" s="164" t="str">
        <f>IF(N('01_Stations'!$H$311)&gt;0,'01_Stations'!$H$311,"")</f>
        <v/>
      </c>
      <c r="AD306" s="164" t="str">
        <f>IF(N('01_Stations'!$H$312)&gt;0,'01_Stations'!$H$312,"")</f>
        <v/>
      </c>
      <c r="AE306" s="164" t="str">
        <f>IF(N('01_Stations'!$H$313)&gt;0,'01_Stations'!$H$313,"")</f>
        <v/>
      </c>
      <c r="AF306" s="164" t="str">
        <f>IF(N('01_Stations'!$H$314)&gt;0,'01_Stations'!$H$314,"")</f>
        <v/>
      </c>
      <c r="AG306" s="164" t="str">
        <f>IF(N('01_Stations'!$H$315)&gt;0,'01_Stations'!$H$315,"")</f>
        <v/>
      </c>
      <c r="AH306" s="164" t="str">
        <f>IF(N('01_Stations'!$H$316)&gt;0,'01_Stations'!$H$316,"")</f>
        <v/>
      </c>
      <c r="AI306" s="164" t="str">
        <f>IF(N('01_Stations'!$H$317)&gt;0,'01_Stations'!$H$317,"")</f>
        <v/>
      </c>
      <c r="AJ306" s="164" t="str">
        <f>IF(N('01_Stations'!$H$318)&gt;0,'01_Stations'!$H$318,"")</f>
        <v/>
      </c>
      <c r="AK306" s="164" t="str">
        <f>IF(N('01_Stations'!$H$319)&gt;0,'01_Stations'!$H$319,"")</f>
        <v/>
      </c>
      <c r="AL306" s="164" t="str">
        <f>IF(N('01_Stations'!$H$320)&gt;0,'01_Stations'!$H$320,"")</f>
        <v/>
      </c>
      <c r="AM306" s="164" t="str">
        <f>IF(N('01_Stations'!$H$321)&gt;0,'01_Stations'!$H$321,"")</f>
        <v/>
      </c>
      <c r="AN306" s="164" t="str">
        <f>IF(N('01_Stations'!$H$322)&gt;0,'01_Stations'!$H$322,"")</f>
        <v/>
      </c>
      <c r="AO306" s="164" t="str">
        <f>IF(N('01_Stations'!$H$323)&gt;0,'01_Stations'!$H$323,"")</f>
        <v/>
      </c>
      <c r="AP306" s="164" t="str">
        <f>IF(N('01_Stations'!$H$324)&gt;0,'01_Stations'!$H$324,"")</f>
        <v/>
      </c>
      <c r="AQ306" s="164" t="str">
        <f>IF(N('01_Stations'!$H$325)&gt;0,'01_Stations'!$H$325,"")</f>
        <v/>
      </c>
    </row>
    <row r="307" spans="1:43" ht="15" customHeight="1" x14ac:dyDescent="0.3">
      <c r="A307" s="236"/>
      <c r="B307" s="165" t="s">
        <v>267</v>
      </c>
      <c r="C307" s="166"/>
      <c r="D307" s="164" t="str">
        <f>IF('01_Stations'!$I$286=1,"───","")</f>
        <v/>
      </c>
      <c r="E307" s="164" t="str">
        <f>IF('01_Stations'!$I$287=1,"───","")</f>
        <v/>
      </c>
      <c r="F307" s="164" t="str">
        <f>IF('01_Stations'!$I$288=1,"───","")</f>
        <v/>
      </c>
      <c r="G307" s="164" t="str">
        <f>IF('01_Stations'!$I$289=1,"───","")</f>
        <v/>
      </c>
      <c r="H307" s="164" t="str">
        <f>IF('01_Stations'!$I$290=1,"───","")</f>
        <v/>
      </c>
      <c r="I307" s="164" t="str">
        <f>IF('01_Stations'!$I$291=1,"───","")</f>
        <v/>
      </c>
      <c r="J307" s="164" t="str">
        <f>IF('01_Stations'!$I$292=1,"───","")</f>
        <v/>
      </c>
      <c r="K307" s="164" t="str">
        <f>IF('01_Stations'!$I$293=1,"───","")</f>
        <v/>
      </c>
      <c r="L307" s="164" t="str">
        <f>IF('01_Stations'!$I$294=1,"───","")</f>
        <v/>
      </c>
      <c r="M307" s="164" t="str">
        <f>IF('01_Stations'!$I$295=1,"───","")</f>
        <v/>
      </c>
      <c r="N307" s="164" t="str">
        <f>IF('01_Stations'!$I$296=1,"───","")</f>
        <v/>
      </c>
      <c r="O307" s="164" t="str">
        <f>IF('01_Stations'!$I$297=1,"───","")</f>
        <v/>
      </c>
      <c r="P307" s="164" t="str">
        <f>IF('01_Stations'!$I$298=1,"───","")</f>
        <v/>
      </c>
      <c r="Q307" s="164" t="str">
        <f>IF('01_Stations'!$I$299=1,"───","")</f>
        <v/>
      </c>
      <c r="R307" s="164" t="str">
        <f>IF('01_Stations'!$I$300=1,"───","")</f>
        <v/>
      </c>
      <c r="S307" s="164" t="str">
        <f>IF('01_Stations'!$I$301=1,"───","")</f>
        <v/>
      </c>
      <c r="T307" s="164" t="str">
        <f>IF('01_Stations'!$I$302=1,"───","")</f>
        <v/>
      </c>
      <c r="U307" s="164" t="str">
        <f>IF('01_Stations'!$I$303=1,"───","")</f>
        <v/>
      </c>
      <c r="V307" s="164" t="str">
        <f>IF('01_Stations'!$I$304=1,"───","")</f>
        <v/>
      </c>
      <c r="W307" s="164" t="str">
        <f>IF('01_Stations'!$I$305=1,"───","")</f>
        <v/>
      </c>
      <c r="X307" s="164" t="str">
        <f>IF('01_Stations'!$I$306=1,"───","")</f>
        <v/>
      </c>
      <c r="Y307" s="164" t="str">
        <f>IF('01_Stations'!$I$307=1,"───","")</f>
        <v/>
      </c>
      <c r="Z307" s="164" t="str">
        <f>IF('01_Stations'!$I$308=1,"───","")</f>
        <v/>
      </c>
      <c r="AA307" s="164" t="str">
        <f>IF('01_Stations'!$I$309=1,"───","")</f>
        <v/>
      </c>
      <c r="AB307" s="164" t="str">
        <f>IF('01_Stations'!$I$310=1,"───","")</f>
        <v/>
      </c>
      <c r="AC307" s="164" t="str">
        <f>IF('01_Stations'!$I$311=1,"───","")</f>
        <v/>
      </c>
      <c r="AD307" s="164" t="str">
        <f>IF('01_Stations'!$I$312=1,"───","")</f>
        <v/>
      </c>
      <c r="AE307" s="164" t="str">
        <f>IF('01_Stations'!$I$313=1,"───","")</f>
        <v/>
      </c>
      <c r="AF307" s="164" t="str">
        <f>IF('01_Stations'!$I$314=1,"───","")</f>
        <v/>
      </c>
      <c r="AG307" s="164" t="str">
        <f>IF('01_Stations'!$I$315=1,"───","")</f>
        <v/>
      </c>
      <c r="AH307" s="164" t="str">
        <f>IF('01_Stations'!$I$316=1,"───","")</f>
        <v/>
      </c>
      <c r="AI307" s="164" t="str">
        <f>IF('01_Stations'!$I$317=1,"───","")</f>
        <v/>
      </c>
      <c r="AJ307" s="164" t="str">
        <f>IF('01_Stations'!$I$318=1,"───","")</f>
        <v/>
      </c>
      <c r="AK307" s="164" t="str">
        <f>IF('01_Stations'!$I$319=1,"───","")</f>
        <v/>
      </c>
      <c r="AL307" s="164" t="str">
        <f>IF('01_Stations'!$I$320=1,"───","")</f>
        <v/>
      </c>
      <c r="AM307" s="164" t="str">
        <f>IF('01_Stations'!$I$321=1,"───","")</f>
        <v/>
      </c>
      <c r="AN307" s="164" t="str">
        <f>IF('01_Stations'!$I$322=1,"───","")</f>
        <v/>
      </c>
      <c r="AO307" s="164" t="str">
        <f>IF('01_Stations'!$I$323=1,"───","")</f>
        <v/>
      </c>
      <c r="AP307" s="164" t="str">
        <f>IF('01_Stations'!$I$324=1,"───","")</f>
        <v/>
      </c>
      <c r="AQ307" s="164" t="str">
        <f>IF('01_Stations'!$I$325=1,"───","")</f>
        <v/>
      </c>
    </row>
    <row r="308" spans="1:43" ht="15" customHeight="1" x14ac:dyDescent="0.3">
      <c r="A308" s="236"/>
      <c r="B308" s="165" t="s">
        <v>268</v>
      </c>
      <c r="C308" s="166" t="s">
        <v>299</v>
      </c>
      <c r="D308" s="164" t="str">
        <f>IF(N('01_Stations'!$J$286)&gt;0,'01_Stations'!$J$286,"")</f>
        <v/>
      </c>
      <c r="E308" s="164" t="str">
        <f>IF(N('01_Stations'!$J$287)&gt;0,'01_Stations'!$J$287,"")</f>
        <v/>
      </c>
      <c r="F308" s="164" t="str">
        <f>IF(N('01_Stations'!$J$288)&gt;0,'01_Stations'!$J$288,"")</f>
        <v/>
      </c>
      <c r="G308" s="164" t="str">
        <f>IF(N('01_Stations'!$J$289)&gt;0,'01_Stations'!$J$289,"")</f>
        <v/>
      </c>
      <c r="H308" s="164" t="str">
        <f>IF(N('01_Stations'!$J$290)&gt;0,'01_Stations'!$J$290,"")</f>
        <v/>
      </c>
      <c r="I308" s="164" t="str">
        <f>IF(N('01_Stations'!$J$291)&gt;0,'01_Stations'!$J$291,"")</f>
        <v/>
      </c>
      <c r="J308" s="164" t="str">
        <f>IF(N('01_Stations'!$J$292)&gt;0,'01_Stations'!$J$292,"")</f>
        <v/>
      </c>
      <c r="K308" s="164" t="str">
        <f>IF(N('01_Stations'!$J$293)&gt;0,'01_Stations'!$J$293,"")</f>
        <v/>
      </c>
      <c r="L308" s="164" t="str">
        <f>IF(N('01_Stations'!$J$294)&gt;0,'01_Stations'!$J$294,"")</f>
        <v/>
      </c>
      <c r="M308" s="164" t="str">
        <f>IF(N('01_Stations'!$J$295)&gt;0,'01_Stations'!$J$295,"")</f>
        <v/>
      </c>
      <c r="N308" s="164" t="str">
        <f>IF(N('01_Stations'!$J$296)&gt;0,'01_Stations'!$J$296,"")</f>
        <v/>
      </c>
      <c r="O308" s="164" t="str">
        <f>IF(N('01_Stations'!$J$297)&gt;0,'01_Stations'!$J$297,"")</f>
        <v/>
      </c>
      <c r="P308" s="164" t="str">
        <f>IF(N('01_Stations'!$J$298)&gt;0,'01_Stations'!$J$298,"")</f>
        <v/>
      </c>
      <c r="Q308" s="164" t="str">
        <f>IF(N('01_Stations'!$J$299)&gt;0,'01_Stations'!$J$299,"")</f>
        <v/>
      </c>
      <c r="R308" s="164" t="str">
        <f>IF(N('01_Stations'!$J$300)&gt;0,'01_Stations'!$J$300,"")</f>
        <v/>
      </c>
      <c r="S308" s="164" t="str">
        <f>IF(N('01_Stations'!$J$301)&gt;0,'01_Stations'!$J$301,"")</f>
        <v/>
      </c>
      <c r="T308" s="164" t="str">
        <f>IF(N('01_Stations'!$J$302)&gt;0,'01_Stations'!$J$302,"")</f>
        <v/>
      </c>
      <c r="U308" s="164" t="str">
        <f>IF(N('01_Stations'!$J$303)&gt;0,'01_Stations'!$J$303,"")</f>
        <v/>
      </c>
      <c r="V308" s="164" t="str">
        <f>IF(N('01_Stations'!$J$304)&gt;0,'01_Stations'!$J$304,"")</f>
        <v/>
      </c>
      <c r="W308" s="164" t="str">
        <f>IF(N('01_Stations'!$J$305)&gt;0,'01_Stations'!$J$305,"")</f>
        <v/>
      </c>
      <c r="X308" s="164" t="str">
        <f>IF(N('01_Stations'!$J$306)&gt;0,'01_Stations'!$J$306,"")</f>
        <v/>
      </c>
      <c r="Y308" s="164" t="str">
        <f>IF(N('01_Stations'!$J$307)&gt;0,'01_Stations'!$J$307,"")</f>
        <v/>
      </c>
      <c r="Z308" s="164" t="str">
        <f>IF(N('01_Stations'!$J$308)&gt;0,'01_Stations'!$J$308,"")</f>
        <v/>
      </c>
      <c r="AA308" s="164" t="str">
        <f>IF(N('01_Stations'!$J$309)&gt;0,'01_Stations'!$J$309,"")</f>
        <v/>
      </c>
      <c r="AB308" s="164" t="str">
        <f>IF(N('01_Stations'!$J$310)&gt;0,'01_Stations'!$J$310,"")</f>
        <v/>
      </c>
      <c r="AC308" s="164" t="str">
        <f>IF(N('01_Stations'!$J$311)&gt;0,'01_Stations'!$J$311,"")</f>
        <v/>
      </c>
      <c r="AD308" s="164" t="str">
        <f>IF(N('01_Stations'!$J$312)&gt;0,'01_Stations'!$J$312,"")</f>
        <v/>
      </c>
      <c r="AE308" s="164" t="str">
        <f>IF(N('01_Stations'!$J$313)&gt;0,'01_Stations'!$J$313,"")</f>
        <v/>
      </c>
      <c r="AF308" s="164" t="str">
        <f>IF(N('01_Stations'!$J$314)&gt;0,'01_Stations'!$J$314,"")</f>
        <v/>
      </c>
      <c r="AG308" s="164" t="str">
        <f>IF(N('01_Stations'!$J$315)&gt;0,'01_Stations'!$J$315,"")</f>
        <v/>
      </c>
      <c r="AH308" s="164" t="str">
        <f>IF(N('01_Stations'!$J$316)&gt;0,'01_Stations'!$J$316,"")</f>
        <v/>
      </c>
      <c r="AI308" s="164" t="str">
        <f>IF(N('01_Stations'!$J$317)&gt;0,'01_Stations'!$J$317,"")</f>
        <v/>
      </c>
      <c r="AJ308" s="164" t="str">
        <f>IF(N('01_Stations'!$J$318)&gt;0,'01_Stations'!$J$318,"")</f>
        <v/>
      </c>
      <c r="AK308" s="164" t="str">
        <f>IF(N('01_Stations'!$J$319)&gt;0,'01_Stations'!$J$319,"")</f>
        <v/>
      </c>
      <c r="AL308" s="164" t="str">
        <f>IF(N('01_Stations'!$J$320)&gt;0,'01_Stations'!$J$320,"")</f>
        <v/>
      </c>
      <c r="AM308" s="164" t="str">
        <f>IF(N('01_Stations'!$J$321)&gt;0,'01_Stations'!$J$321,"")</f>
        <v/>
      </c>
      <c r="AN308" s="164" t="str">
        <f>IF(N('01_Stations'!$J$322)&gt;0,'01_Stations'!$J$322,"")</f>
        <v/>
      </c>
      <c r="AO308" s="164" t="str">
        <f>IF(N('01_Stations'!$J$323)&gt;0,'01_Stations'!$J$323,"")</f>
        <v/>
      </c>
      <c r="AP308" s="164" t="str">
        <f>IF(N('01_Stations'!$J$324)&gt;0,'01_Stations'!$J$324,"")</f>
        <v/>
      </c>
      <c r="AQ308" s="164" t="str">
        <f>IF(N('01_Stations'!$J$325)&gt;0,'01_Stations'!$J$325,"")</f>
        <v/>
      </c>
    </row>
    <row r="309" spans="1:43" ht="15" customHeight="1" x14ac:dyDescent="0.3">
      <c r="A309" s="236"/>
      <c r="B309" s="165" t="s">
        <v>2208</v>
      </c>
      <c r="C309" s="166" t="s">
        <v>63</v>
      </c>
      <c r="D309" s="164" t="str">
        <f>IF(N('01_Stations'!$K$286)&gt;0,'01_Stations'!$K$286,"")</f>
        <v/>
      </c>
      <c r="E309" s="164" t="str">
        <f>IF(N('01_Stations'!$K$287)&gt;0,'01_Stations'!$K$287,"")</f>
        <v/>
      </c>
      <c r="F309" s="164" t="str">
        <f>IF(N('01_Stations'!$K$288)&gt;0,'01_Stations'!$K$288,"")</f>
        <v/>
      </c>
      <c r="G309" s="164" t="str">
        <f>IF(N('01_Stations'!$K$289)&gt;0,'01_Stations'!$K$289,"")</f>
        <v/>
      </c>
      <c r="H309" s="164" t="str">
        <f>IF(N('01_Stations'!$K$290)&gt;0,'01_Stations'!$K$290,"")</f>
        <v/>
      </c>
      <c r="I309" s="164" t="str">
        <f>IF(N('01_Stations'!$K$291)&gt;0,'01_Stations'!$K$291,"")</f>
        <v/>
      </c>
      <c r="J309" s="164" t="str">
        <f>IF(N('01_Stations'!$K$292)&gt;0,'01_Stations'!$K$292,"")</f>
        <v/>
      </c>
      <c r="K309" s="164" t="str">
        <f>IF(N('01_Stations'!$K$293)&gt;0,'01_Stations'!$K$293,"")</f>
        <v/>
      </c>
      <c r="L309" s="164" t="str">
        <f>IF(N('01_Stations'!$K$294)&gt;0,'01_Stations'!$K$294,"")</f>
        <v/>
      </c>
      <c r="M309" s="164" t="str">
        <f>IF(N('01_Stations'!$K$295)&gt;0,'01_Stations'!$K$295,"")</f>
        <v/>
      </c>
      <c r="N309" s="164" t="str">
        <f>IF(N('01_Stations'!$K$296)&gt;0,'01_Stations'!$K$296,"")</f>
        <v/>
      </c>
      <c r="O309" s="164" t="str">
        <f>IF(N('01_Stations'!$K$297)&gt;0,'01_Stations'!$K$297,"")</f>
        <v/>
      </c>
      <c r="P309" s="164" t="str">
        <f>IF(N('01_Stations'!$K$298)&gt;0,'01_Stations'!$K$298,"")</f>
        <v/>
      </c>
      <c r="Q309" s="164" t="str">
        <f>IF(N('01_Stations'!$K$299)&gt;0,'01_Stations'!$K$299,"")</f>
        <v/>
      </c>
      <c r="R309" s="164" t="str">
        <f>IF(N('01_Stations'!$K$300)&gt;0,'01_Stations'!$K$300,"")</f>
        <v/>
      </c>
      <c r="S309" s="164" t="str">
        <f>IF(N('01_Stations'!$K$301)&gt;0,'01_Stations'!$K$301,"")</f>
        <v/>
      </c>
      <c r="T309" s="164" t="str">
        <f>IF(N('01_Stations'!$K$302)&gt;0,'01_Stations'!$K$302,"")</f>
        <v/>
      </c>
      <c r="U309" s="164" t="str">
        <f>IF(N('01_Stations'!$K$303)&gt;0,'01_Stations'!$K$303,"")</f>
        <v/>
      </c>
      <c r="V309" s="164" t="str">
        <f>IF(N('01_Stations'!$K$304)&gt;0,'01_Stations'!$K$304,"")</f>
        <v/>
      </c>
      <c r="W309" s="164" t="str">
        <f>IF(N('01_Stations'!$K$305)&gt;0,'01_Stations'!$K$305,"")</f>
        <v/>
      </c>
      <c r="X309" s="164" t="str">
        <f>IF(N('01_Stations'!$K$306)&gt;0,'01_Stations'!$K$306,"")</f>
        <v/>
      </c>
      <c r="Y309" s="164" t="str">
        <f>IF(N('01_Stations'!$K$307)&gt;0,'01_Stations'!$K$307,"")</f>
        <v/>
      </c>
      <c r="Z309" s="164" t="str">
        <f>IF(N('01_Stations'!$K$308)&gt;0,'01_Stations'!$K$308,"")</f>
        <v/>
      </c>
      <c r="AA309" s="164" t="str">
        <f>IF(N('01_Stations'!$K$309)&gt;0,'01_Stations'!$K$309,"")</f>
        <v/>
      </c>
      <c r="AB309" s="164" t="str">
        <f>IF(N('01_Stations'!$K$310)&gt;0,'01_Stations'!$K$310,"")</f>
        <v/>
      </c>
      <c r="AC309" s="164" t="str">
        <f>IF(N('01_Stations'!$K$311)&gt;0,'01_Stations'!$K$311,"")</f>
        <v/>
      </c>
      <c r="AD309" s="164" t="str">
        <f>IF(N('01_Stations'!$K$312)&gt;0,'01_Stations'!$K$312,"")</f>
        <v/>
      </c>
      <c r="AE309" s="164" t="str">
        <f>IF(N('01_Stations'!$K$313)&gt;0,'01_Stations'!$K$313,"")</f>
        <v/>
      </c>
      <c r="AF309" s="164" t="str">
        <f>IF(N('01_Stations'!$K$314)&gt;0,'01_Stations'!$K$314,"")</f>
        <v/>
      </c>
      <c r="AG309" s="164" t="str">
        <f>IF(N('01_Stations'!$K$315)&gt;0,'01_Stations'!$K$315,"")</f>
        <v/>
      </c>
      <c r="AH309" s="164" t="str">
        <f>IF(N('01_Stations'!$K$316)&gt;0,'01_Stations'!$K$316,"")</f>
        <v/>
      </c>
      <c r="AI309" s="164" t="str">
        <f>IF(N('01_Stations'!$K$317)&gt;0,'01_Stations'!$K$317,"")</f>
        <v/>
      </c>
      <c r="AJ309" s="164" t="str">
        <f>IF(N('01_Stations'!$K$318)&gt;0,'01_Stations'!$K$318,"")</f>
        <v/>
      </c>
      <c r="AK309" s="164" t="str">
        <f>IF(N('01_Stations'!$K$319)&gt;0,'01_Stations'!$K$319,"")</f>
        <v/>
      </c>
      <c r="AL309" s="164" t="str">
        <f>IF(N('01_Stations'!$K$320)&gt;0,'01_Stations'!$K$320,"")</f>
        <v/>
      </c>
      <c r="AM309" s="164" t="str">
        <f>IF(N('01_Stations'!$K$321)&gt;0,'01_Stations'!$K$321,"")</f>
        <v/>
      </c>
      <c r="AN309" s="164" t="str">
        <f>IF(N('01_Stations'!$K$322)&gt;0,'01_Stations'!$K$322,"")</f>
        <v/>
      </c>
      <c r="AO309" s="164" t="str">
        <f>IF(N('01_Stations'!$K$323)&gt;0,'01_Stations'!$K$323,"")</f>
        <v/>
      </c>
      <c r="AP309" s="164" t="str">
        <f>IF(N('01_Stations'!$K$324)&gt;0,'01_Stations'!$K$324,"")</f>
        <v/>
      </c>
      <c r="AQ309" s="164" t="str">
        <f>IF(N('01_Stations'!$K$325)&gt;0,'01_Stations'!$K$325,"")</f>
        <v/>
      </c>
    </row>
    <row r="310" spans="1:43" ht="15" customHeight="1" x14ac:dyDescent="0.3">
      <c r="A310" s="236"/>
      <c r="B310" s="165" t="s">
        <v>270</v>
      </c>
      <c r="C310" s="166"/>
      <c r="D310" s="164" t="str">
        <f>IF('01_Stations'!$L$286=1,"───","")</f>
        <v/>
      </c>
      <c r="E310" s="164" t="str">
        <f>IF('01_Stations'!$L$287=1,"───","")</f>
        <v/>
      </c>
      <c r="F310" s="164" t="str">
        <f>IF('01_Stations'!$L$288=1,"───","")</f>
        <v/>
      </c>
      <c r="G310" s="164" t="str">
        <f>IF('01_Stations'!$L$289=1,"───","")</f>
        <v/>
      </c>
      <c r="H310" s="164" t="str">
        <f>IF('01_Stations'!$L$290=1,"───","")</f>
        <v/>
      </c>
      <c r="I310" s="164" t="str">
        <f>IF('01_Stations'!$L$291=1,"───","")</f>
        <v/>
      </c>
      <c r="J310" s="164" t="str">
        <f>IF('01_Stations'!$L$292=1,"───","")</f>
        <v/>
      </c>
      <c r="K310" s="164" t="str">
        <f>IF('01_Stations'!$L$293=1,"───","")</f>
        <v/>
      </c>
      <c r="L310" s="164" t="str">
        <f>IF('01_Stations'!$L$294=1,"───","")</f>
        <v/>
      </c>
      <c r="M310" s="164" t="str">
        <f>IF('01_Stations'!$L$295=1,"───","")</f>
        <v/>
      </c>
      <c r="N310" s="164" t="str">
        <f>IF('01_Stations'!$L$296=1,"───","")</f>
        <v/>
      </c>
      <c r="O310" s="164" t="str">
        <f>IF('01_Stations'!$L$297=1,"───","")</f>
        <v/>
      </c>
      <c r="P310" s="164" t="str">
        <f>IF('01_Stations'!$L$298=1,"───","")</f>
        <v/>
      </c>
      <c r="Q310" s="164" t="str">
        <f>IF('01_Stations'!$L$299=1,"───","")</f>
        <v/>
      </c>
      <c r="R310" s="164" t="str">
        <f>IF('01_Stations'!$L$300=1,"───","")</f>
        <v/>
      </c>
      <c r="S310" s="164" t="str">
        <f>IF('01_Stations'!$L$301=1,"───","")</f>
        <v/>
      </c>
      <c r="T310" s="164" t="str">
        <f>IF('01_Stations'!$L$302=1,"───","")</f>
        <v/>
      </c>
      <c r="U310" s="164" t="str">
        <f>IF('01_Stations'!$L$303=1,"───","")</f>
        <v/>
      </c>
      <c r="V310" s="164" t="str">
        <f>IF('01_Stations'!$L$304=1,"───","")</f>
        <v/>
      </c>
      <c r="W310" s="164" t="str">
        <f>IF('01_Stations'!$L$305=1,"───","")</f>
        <v/>
      </c>
      <c r="X310" s="164" t="str">
        <f>IF('01_Stations'!$L$306=1,"───","")</f>
        <v/>
      </c>
      <c r="Y310" s="164" t="str">
        <f>IF('01_Stations'!$L$307=1,"───","")</f>
        <v/>
      </c>
      <c r="Z310" s="164" t="str">
        <f>IF('01_Stations'!$L$308=1,"───","")</f>
        <v/>
      </c>
      <c r="AA310" s="164" t="str">
        <f>IF('01_Stations'!$L$309=1,"───","")</f>
        <v/>
      </c>
      <c r="AB310" s="164" t="str">
        <f>IF('01_Stations'!$L$310=1,"───","")</f>
        <v/>
      </c>
      <c r="AC310" s="164" t="str">
        <f>IF('01_Stations'!$L$311=1,"───","")</f>
        <v/>
      </c>
      <c r="AD310" s="164" t="str">
        <f>IF('01_Stations'!$L$312=1,"───","")</f>
        <v/>
      </c>
      <c r="AE310" s="164" t="str">
        <f>IF('01_Stations'!$L$313=1,"───","")</f>
        <v/>
      </c>
      <c r="AF310" s="164" t="str">
        <f>IF('01_Stations'!$L$314=1,"───","")</f>
        <v/>
      </c>
      <c r="AG310" s="164" t="str">
        <f>IF('01_Stations'!$L$315=1,"───","")</f>
        <v/>
      </c>
      <c r="AH310" s="164" t="str">
        <f>IF('01_Stations'!$L$316=1,"───","")</f>
        <v/>
      </c>
      <c r="AI310" s="164" t="str">
        <f>IF('01_Stations'!$L$317=1,"───","")</f>
        <v/>
      </c>
      <c r="AJ310" s="164" t="str">
        <f>IF('01_Stations'!$L$318=1,"───","")</f>
        <v/>
      </c>
      <c r="AK310" s="164" t="str">
        <f>IF('01_Stations'!$L$319=1,"───","")</f>
        <v/>
      </c>
      <c r="AL310" s="164" t="str">
        <f>IF('01_Stations'!$L$320=1,"───","")</f>
        <v/>
      </c>
      <c r="AM310" s="164" t="str">
        <f>IF('01_Stations'!$L$321=1,"───","")</f>
        <v/>
      </c>
      <c r="AN310" s="164" t="str">
        <f>IF('01_Stations'!$L$322=1,"───","")</f>
        <v/>
      </c>
      <c r="AO310" s="164" t="str">
        <f>IF('01_Stations'!$L$323=1,"───","")</f>
        <v/>
      </c>
      <c r="AP310" s="164" t="str">
        <f>IF('01_Stations'!$L$324=1,"───","")</f>
        <v/>
      </c>
      <c r="AQ310" s="164" t="str">
        <f>IF('01_Stations'!$L$325=1,"───","")</f>
        <v/>
      </c>
    </row>
    <row r="311" spans="1:43" ht="15" customHeight="1" x14ac:dyDescent="0.3">
      <c r="A311" s="236"/>
      <c r="B311" s="165" t="s">
        <v>265</v>
      </c>
      <c r="C311" s="166" t="s">
        <v>299</v>
      </c>
      <c r="D311" s="164" t="str">
        <f>IF(N('01_Stations'!$M$286)&gt;0,'01_Stations'!$M$286,"")</f>
        <v/>
      </c>
      <c r="E311" s="164" t="str">
        <f>IF(N('01_Stations'!$M$287)&gt;0,'01_Stations'!$M$287,"")</f>
        <v/>
      </c>
      <c r="F311" s="164" t="str">
        <f>IF(N('01_Stations'!$M$288)&gt;0,'01_Stations'!$M$288,"")</f>
        <v/>
      </c>
      <c r="G311" s="164" t="str">
        <f>IF(N('01_Stations'!$M$289)&gt;0,'01_Stations'!$M$289,"")</f>
        <v/>
      </c>
      <c r="H311" s="164" t="str">
        <f>IF(N('01_Stations'!$M$290)&gt;0,'01_Stations'!$M$290,"")</f>
        <v/>
      </c>
      <c r="I311" s="164" t="str">
        <f>IF(N('01_Stations'!$M$291)&gt;0,'01_Stations'!$M$291,"")</f>
        <v/>
      </c>
      <c r="J311" s="164" t="str">
        <f>IF(N('01_Stations'!$M$292)&gt;0,'01_Stations'!$M$292,"")</f>
        <v/>
      </c>
      <c r="K311" s="164" t="str">
        <f>IF(N('01_Stations'!$M$293)&gt;0,'01_Stations'!$M$293,"")</f>
        <v/>
      </c>
      <c r="L311" s="164" t="str">
        <f>IF(N('01_Stations'!$M$294)&gt;0,'01_Stations'!$M$294,"")</f>
        <v/>
      </c>
      <c r="M311" s="164" t="str">
        <f>IF(N('01_Stations'!$M$295)&gt;0,'01_Stations'!$M$295,"")</f>
        <v/>
      </c>
      <c r="N311" s="164" t="str">
        <f>IF(N('01_Stations'!$M$296)&gt;0,'01_Stations'!$M$296,"")</f>
        <v/>
      </c>
      <c r="O311" s="164" t="str">
        <f>IF(N('01_Stations'!$M$297)&gt;0,'01_Stations'!$M$297,"")</f>
        <v/>
      </c>
      <c r="P311" s="164" t="str">
        <f>IF(N('01_Stations'!$M$298)&gt;0,'01_Stations'!$M$298,"")</f>
        <v/>
      </c>
      <c r="Q311" s="164" t="str">
        <f>IF(N('01_Stations'!$M$299)&gt;0,'01_Stations'!$M$299,"")</f>
        <v/>
      </c>
      <c r="R311" s="164" t="str">
        <f>IF(N('01_Stations'!$M$300)&gt;0,'01_Stations'!$M$300,"")</f>
        <v/>
      </c>
      <c r="S311" s="164" t="str">
        <f>IF(N('01_Stations'!$M$301)&gt;0,'01_Stations'!$M$301,"")</f>
        <v/>
      </c>
      <c r="T311" s="164" t="str">
        <f>IF(N('01_Stations'!$M$302)&gt;0,'01_Stations'!$M$302,"")</f>
        <v/>
      </c>
      <c r="U311" s="164" t="str">
        <f>IF(N('01_Stations'!$M$303)&gt;0,'01_Stations'!$M$303,"")</f>
        <v/>
      </c>
      <c r="V311" s="164" t="str">
        <f>IF(N('01_Stations'!$M$304)&gt;0,'01_Stations'!$M$304,"")</f>
        <v/>
      </c>
      <c r="W311" s="164" t="str">
        <f>IF(N('01_Stations'!$M$305)&gt;0,'01_Stations'!$M$305,"")</f>
        <v/>
      </c>
      <c r="X311" s="164" t="str">
        <f>IF(N('01_Stations'!$M$306)&gt;0,'01_Stations'!$M$306,"")</f>
        <v/>
      </c>
      <c r="Y311" s="164" t="str">
        <f>IF(N('01_Stations'!$M$307)&gt;0,'01_Stations'!$M$307,"")</f>
        <v/>
      </c>
      <c r="Z311" s="164" t="str">
        <f>IF(N('01_Stations'!$M$308)&gt;0,'01_Stations'!$M$308,"")</f>
        <v/>
      </c>
      <c r="AA311" s="164" t="str">
        <f>IF(N('01_Stations'!$M$309)&gt;0,'01_Stations'!$M$309,"")</f>
        <v/>
      </c>
      <c r="AB311" s="164" t="str">
        <f>IF(N('01_Stations'!$M$310)&gt;0,'01_Stations'!$M$310,"")</f>
        <v/>
      </c>
      <c r="AC311" s="164" t="str">
        <f>IF(N('01_Stations'!$M$311)&gt;0,'01_Stations'!$M$311,"")</f>
        <v/>
      </c>
      <c r="AD311" s="164" t="str">
        <f>IF(N('01_Stations'!$M$312)&gt;0,'01_Stations'!$M$312,"")</f>
        <v/>
      </c>
      <c r="AE311" s="164" t="str">
        <f>IF(N('01_Stations'!$M$313)&gt;0,'01_Stations'!$M$313,"")</f>
        <v/>
      </c>
      <c r="AF311" s="164" t="str">
        <f>IF(N('01_Stations'!$M$314)&gt;0,'01_Stations'!$M$314,"")</f>
        <v/>
      </c>
      <c r="AG311" s="164" t="str">
        <f>IF(N('01_Stations'!$M$315)&gt;0,'01_Stations'!$M$315,"")</f>
        <v/>
      </c>
      <c r="AH311" s="164" t="str">
        <f>IF(N('01_Stations'!$M$316)&gt;0,'01_Stations'!$M$316,"")</f>
        <v/>
      </c>
      <c r="AI311" s="164" t="str">
        <f>IF(N('01_Stations'!$M$317)&gt;0,'01_Stations'!$M$317,"")</f>
        <v/>
      </c>
      <c r="AJ311" s="164" t="str">
        <f>IF(N('01_Stations'!$M$318)&gt;0,'01_Stations'!$M$318,"")</f>
        <v/>
      </c>
      <c r="AK311" s="164" t="str">
        <f>IF(N('01_Stations'!$M$319)&gt;0,'01_Stations'!$M$319,"")</f>
        <v/>
      </c>
      <c r="AL311" s="164" t="str">
        <f>IF(N('01_Stations'!$M$320)&gt;0,'01_Stations'!$M$320,"")</f>
        <v/>
      </c>
      <c r="AM311" s="164" t="str">
        <f>IF(N('01_Stations'!$M$321)&gt;0,'01_Stations'!$M$321,"")</f>
        <v/>
      </c>
      <c r="AN311" s="164" t="str">
        <f>IF(N('01_Stations'!$M$322)&gt;0,'01_Stations'!$M$322,"")</f>
        <v/>
      </c>
      <c r="AO311" s="164" t="str">
        <f>IF(N('01_Stations'!$M$323)&gt;0,'01_Stations'!$M$323,"")</f>
        <v/>
      </c>
      <c r="AP311" s="164" t="str">
        <f>IF(N('01_Stations'!$M$324)&gt;0,'01_Stations'!$M$324,"")</f>
        <v/>
      </c>
      <c r="AQ311" s="164" t="str">
        <f>IF(N('01_Stations'!$M$325)&gt;0,'01_Stations'!$M$325,"")</f>
        <v/>
      </c>
    </row>
    <row r="312" spans="1:43" ht="15" customHeight="1" x14ac:dyDescent="0.3">
      <c r="A312" s="236"/>
      <c r="B312" s="165" t="s">
        <v>2208</v>
      </c>
      <c r="C312" s="166" t="s">
        <v>63</v>
      </c>
      <c r="D312" s="164" t="str">
        <f>IF(N('01_Stations'!$N$286)&gt;0,'01_Stations'!$N$286,"")</f>
        <v/>
      </c>
      <c r="E312" s="164" t="str">
        <f>IF(N('01_Stations'!$N$287)&gt;0,'01_Stations'!$N$287,"")</f>
        <v/>
      </c>
      <c r="F312" s="164" t="str">
        <f>IF(N('01_Stations'!$N$288)&gt;0,'01_Stations'!$N$288,"")</f>
        <v/>
      </c>
      <c r="G312" s="164" t="str">
        <f>IF(N('01_Stations'!$N$289)&gt;0,'01_Stations'!$N$289,"")</f>
        <v/>
      </c>
      <c r="H312" s="164" t="str">
        <f>IF(N('01_Stations'!$N$290)&gt;0,'01_Stations'!$N$290,"")</f>
        <v/>
      </c>
      <c r="I312" s="164" t="str">
        <f>IF(N('01_Stations'!$N$291)&gt;0,'01_Stations'!$N$291,"")</f>
        <v/>
      </c>
      <c r="J312" s="164" t="str">
        <f>IF(N('01_Stations'!$N$292)&gt;0,'01_Stations'!$N$292,"")</f>
        <v/>
      </c>
      <c r="K312" s="164" t="str">
        <f>IF(N('01_Stations'!$N$293)&gt;0,'01_Stations'!$N$293,"")</f>
        <v/>
      </c>
      <c r="L312" s="164" t="str">
        <f>IF(N('01_Stations'!$N$294)&gt;0,'01_Stations'!$N$294,"")</f>
        <v/>
      </c>
      <c r="M312" s="164" t="str">
        <f>IF(N('01_Stations'!$N$295)&gt;0,'01_Stations'!$N$295,"")</f>
        <v/>
      </c>
      <c r="N312" s="164" t="str">
        <f>IF(N('01_Stations'!$N$296)&gt;0,'01_Stations'!$N$296,"")</f>
        <v/>
      </c>
      <c r="O312" s="164" t="str">
        <f>IF(N('01_Stations'!$N$297)&gt;0,'01_Stations'!$N$297,"")</f>
        <v/>
      </c>
      <c r="P312" s="164" t="str">
        <f>IF(N('01_Stations'!$N$298)&gt;0,'01_Stations'!$N$298,"")</f>
        <v/>
      </c>
      <c r="Q312" s="164" t="str">
        <f>IF(N('01_Stations'!$N$299)&gt;0,'01_Stations'!$N$299,"")</f>
        <v/>
      </c>
      <c r="R312" s="164" t="str">
        <f>IF(N('01_Stations'!$N$300)&gt;0,'01_Stations'!$N$300,"")</f>
        <v/>
      </c>
      <c r="S312" s="164" t="str">
        <f>IF(N('01_Stations'!$N$301)&gt;0,'01_Stations'!$N$301,"")</f>
        <v/>
      </c>
      <c r="T312" s="164" t="str">
        <f>IF(N('01_Stations'!$N$302)&gt;0,'01_Stations'!$N$302,"")</f>
        <v/>
      </c>
      <c r="U312" s="164" t="str">
        <f>IF(N('01_Stations'!$N$303)&gt;0,'01_Stations'!$N$303,"")</f>
        <v/>
      </c>
      <c r="V312" s="164" t="str">
        <f>IF(N('01_Stations'!$N$304)&gt;0,'01_Stations'!$N$304,"")</f>
        <v/>
      </c>
      <c r="W312" s="164" t="str">
        <f>IF(N('01_Stations'!$N$305)&gt;0,'01_Stations'!$N$305,"")</f>
        <v/>
      </c>
      <c r="X312" s="164" t="str">
        <f>IF(N('01_Stations'!$N$306)&gt;0,'01_Stations'!$N$306,"")</f>
        <v/>
      </c>
      <c r="Y312" s="164" t="str">
        <f>IF(N('01_Stations'!$N$307)&gt;0,'01_Stations'!$N$307,"")</f>
        <v/>
      </c>
      <c r="Z312" s="164" t="str">
        <f>IF(N('01_Stations'!$N$308)&gt;0,'01_Stations'!$N$308,"")</f>
        <v/>
      </c>
      <c r="AA312" s="164" t="str">
        <f>IF(N('01_Stations'!$N$309)&gt;0,'01_Stations'!$N$309,"")</f>
        <v/>
      </c>
      <c r="AB312" s="164" t="str">
        <f>IF(N('01_Stations'!$N$310)&gt;0,'01_Stations'!$N$310,"")</f>
        <v/>
      </c>
      <c r="AC312" s="164" t="str">
        <f>IF(N('01_Stations'!$N$311)&gt;0,'01_Stations'!$N$311,"")</f>
        <v/>
      </c>
      <c r="AD312" s="164" t="str">
        <f>IF(N('01_Stations'!$N$312)&gt;0,'01_Stations'!$N$312,"")</f>
        <v/>
      </c>
      <c r="AE312" s="164" t="str">
        <f>IF(N('01_Stations'!$N$313)&gt;0,'01_Stations'!$N$313,"")</f>
        <v/>
      </c>
      <c r="AF312" s="164" t="str">
        <f>IF(N('01_Stations'!$N$314)&gt;0,'01_Stations'!$N$314,"")</f>
        <v/>
      </c>
      <c r="AG312" s="164" t="str">
        <f>IF(N('01_Stations'!$N$315)&gt;0,'01_Stations'!$N$315,"")</f>
        <v/>
      </c>
      <c r="AH312" s="164" t="str">
        <f>IF(N('01_Stations'!$N$316)&gt;0,'01_Stations'!$N$316,"")</f>
        <v/>
      </c>
      <c r="AI312" s="164" t="str">
        <f>IF(N('01_Stations'!$N$317)&gt;0,'01_Stations'!$N$317,"")</f>
        <v/>
      </c>
      <c r="AJ312" s="164" t="str">
        <f>IF(N('01_Stations'!$N$318)&gt;0,'01_Stations'!$N$318,"")</f>
        <v/>
      </c>
      <c r="AK312" s="164" t="str">
        <f>IF(N('01_Stations'!$N$319)&gt;0,'01_Stations'!$N$319,"")</f>
        <v/>
      </c>
      <c r="AL312" s="164" t="str">
        <f>IF(N('01_Stations'!$N$320)&gt;0,'01_Stations'!$N$320,"")</f>
        <v/>
      </c>
      <c r="AM312" s="164" t="str">
        <f>IF(N('01_Stations'!$N$321)&gt;0,'01_Stations'!$N$321,"")</f>
        <v/>
      </c>
      <c r="AN312" s="164" t="str">
        <f>IF(N('01_Stations'!$N$322)&gt;0,'01_Stations'!$N$322,"")</f>
        <v/>
      </c>
      <c r="AO312" s="164" t="str">
        <f>IF(N('01_Stations'!$N$323)&gt;0,'01_Stations'!$N$323,"")</f>
        <v/>
      </c>
      <c r="AP312" s="164" t="str">
        <f>IF(N('01_Stations'!$N$324)&gt;0,'01_Stations'!$N$324,"")</f>
        <v/>
      </c>
      <c r="AQ312" s="164" t="str">
        <f>IF(N('01_Stations'!$N$325)&gt;0,'01_Stations'!$N$325,"")</f>
        <v/>
      </c>
    </row>
    <row r="313" spans="1:43" ht="15" customHeight="1" x14ac:dyDescent="0.3">
      <c r="A313" s="237"/>
      <c r="B313" s="165" t="s">
        <v>2209</v>
      </c>
      <c r="C313" s="166" t="s">
        <v>301</v>
      </c>
      <c r="D313" s="164" t="str">
        <f>IF(N('01_Stations'!$O$286)&gt;0,'01_Stations'!$O$286,"")</f>
        <v/>
      </c>
      <c r="E313" s="164" t="str">
        <f>IF(N('01_Stations'!$O$287)&gt;0,'01_Stations'!$O$287,"")</f>
        <v/>
      </c>
      <c r="F313" s="164" t="str">
        <f>IF(N('01_Stations'!$O$288)&gt;0,'01_Stations'!$O$288,"")</f>
        <v/>
      </c>
      <c r="G313" s="164" t="str">
        <f>IF(N('01_Stations'!$O$289)&gt;0,'01_Stations'!$O$289,"")</f>
        <v/>
      </c>
      <c r="H313" s="164" t="str">
        <f>IF(N('01_Stations'!$O$290)&gt;0,'01_Stations'!$O$290,"")</f>
        <v/>
      </c>
      <c r="I313" s="164" t="str">
        <f>IF(N('01_Stations'!$O$291)&gt;0,'01_Stations'!$O$291,"")</f>
        <v/>
      </c>
      <c r="J313" s="164" t="str">
        <f>IF(N('01_Stations'!$O$292)&gt;0,'01_Stations'!$O$292,"")</f>
        <v/>
      </c>
      <c r="K313" s="164" t="str">
        <f>IF(N('01_Stations'!$O$293)&gt;0,'01_Stations'!$O$293,"")</f>
        <v/>
      </c>
      <c r="L313" s="164" t="str">
        <f>IF(N('01_Stations'!$O$294)&gt;0,'01_Stations'!$O$294,"")</f>
        <v/>
      </c>
      <c r="M313" s="164" t="str">
        <f>IF(N('01_Stations'!$O$295)&gt;0,'01_Stations'!$O$295,"")</f>
        <v/>
      </c>
      <c r="N313" s="164" t="str">
        <f>IF(N('01_Stations'!$O$296)&gt;0,'01_Stations'!$O$296,"")</f>
        <v/>
      </c>
      <c r="O313" s="164" t="str">
        <f>IF(N('01_Stations'!$O$297)&gt;0,'01_Stations'!$O$297,"")</f>
        <v/>
      </c>
      <c r="P313" s="164" t="str">
        <f>IF(N('01_Stations'!$O$298)&gt;0,'01_Stations'!$O$298,"")</f>
        <v/>
      </c>
      <c r="Q313" s="164" t="str">
        <f>IF(N('01_Stations'!$O$299)&gt;0,'01_Stations'!$O$299,"")</f>
        <v/>
      </c>
      <c r="R313" s="164" t="str">
        <f>IF(N('01_Stations'!$O$300)&gt;0,'01_Stations'!$O$300,"")</f>
        <v/>
      </c>
      <c r="S313" s="164" t="str">
        <f>IF(N('01_Stations'!$O$301)&gt;0,'01_Stations'!$O$301,"")</f>
        <v/>
      </c>
      <c r="T313" s="164" t="str">
        <f>IF(N('01_Stations'!$O$302)&gt;0,'01_Stations'!$O$302,"")</f>
        <v/>
      </c>
      <c r="U313" s="164" t="str">
        <f>IF(N('01_Stations'!$O$303)&gt;0,'01_Stations'!$O$303,"")</f>
        <v/>
      </c>
      <c r="V313" s="164" t="str">
        <f>IF(N('01_Stations'!$O$304)&gt;0,'01_Stations'!$O$304,"")</f>
        <v/>
      </c>
      <c r="W313" s="164" t="str">
        <f>IF(N('01_Stations'!$O$305)&gt;0,'01_Stations'!$O$305,"")</f>
        <v/>
      </c>
      <c r="X313" s="164" t="str">
        <f>IF(N('01_Stations'!$O$306)&gt;0,'01_Stations'!$O$306,"")</f>
        <v/>
      </c>
      <c r="Y313" s="164" t="str">
        <f>IF(N('01_Stations'!$O$307)&gt;0,'01_Stations'!$O$307,"")</f>
        <v/>
      </c>
      <c r="Z313" s="164" t="str">
        <f>IF(N('01_Stations'!$O$308)&gt;0,'01_Stations'!$O$308,"")</f>
        <v/>
      </c>
      <c r="AA313" s="164" t="str">
        <f>IF(N('01_Stations'!$O$309)&gt;0,'01_Stations'!$O$309,"")</f>
        <v/>
      </c>
      <c r="AB313" s="164" t="str">
        <f>IF(N('01_Stations'!$O$310)&gt;0,'01_Stations'!$O$310,"")</f>
        <v/>
      </c>
      <c r="AC313" s="164" t="str">
        <f>IF(N('01_Stations'!$O$311)&gt;0,'01_Stations'!$O$311,"")</f>
        <v/>
      </c>
      <c r="AD313" s="164" t="str">
        <f>IF(N('01_Stations'!$O$312)&gt;0,'01_Stations'!$O$312,"")</f>
        <v/>
      </c>
      <c r="AE313" s="164" t="str">
        <f>IF(N('01_Stations'!$O$313)&gt;0,'01_Stations'!$O$313,"")</f>
        <v/>
      </c>
      <c r="AF313" s="164" t="str">
        <f>IF(N('01_Stations'!$O$314)&gt;0,'01_Stations'!$O$314,"")</f>
        <v/>
      </c>
      <c r="AG313" s="164" t="str">
        <f>IF(N('01_Stations'!$O$315)&gt;0,'01_Stations'!$O$315,"")</f>
        <v/>
      </c>
      <c r="AH313" s="164" t="str">
        <f>IF(N('01_Stations'!$O$316)&gt;0,'01_Stations'!$O$316,"")</f>
        <v/>
      </c>
      <c r="AI313" s="164" t="str">
        <f>IF(N('01_Stations'!$O$317)&gt;0,'01_Stations'!$O$317,"")</f>
        <v/>
      </c>
      <c r="AJ313" s="164" t="str">
        <f>IF(N('01_Stations'!$O$318)&gt;0,'01_Stations'!$O$318,"")</f>
        <v/>
      </c>
      <c r="AK313" s="164" t="str">
        <f>IF(N('01_Stations'!$O$319)&gt;0,'01_Stations'!$O$319,"")</f>
        <v/>
      </c>
      <c r="AL313" s="164" t="str">
        <f>IF(N('01_Stations'!$O$320)&gt;0,'01_Stations'!$O$320,"")</f>
        <v/>
      </c>
      <c r="AM313" s="164" t="str">
        <f>IF(N('01_Stations'!$O$321)&gt;0,'01_Stations'!$O$321,"")</f>
        <v/>
      </c>
      <c r="AN313" s="164" t="str">
        <f>IF(N('01_Stations'!$O$322)&gt;0,'01_Stations'!$O$322,"")</f>
        <v/>
      </c>
      <c r="AO313" s="164" t="str">
        <f>IF(N('01_Stations'!$O$323)&gt;0,'01_Stations'!$O$323,"")</f>
        <v/>
      </c>
      <c r="AP313" s="164" t="str">
        <f>IF(N('01_Stations'!$O$324)&gt;0,'01_Stations'!$O$324,"")</f>
        <v/>
      </c>
      <c r="AQ313" s="164" t="str">
        <f>IF(N('01_Stations'!$O$325)&gt;0,'01_Stations'!$O$325,"")</f>
        <v/>
      </c>
    </row>
    <row r="314" spans="1:43" ht="15" customHeight="1" x14ac:dyDescent="0.3">
      <c r="A314" s="238" t="s">
        <v>2210</v>
      </c>
      <c r="B314" s="165" t="s">
        <v>2211</v>
      </c>
      <c r="C314" s="166" t="s">
        <v>1622</v>
      </c>
      <c r="D314" s="164" t="str">
        <f>IF('01_Stations'!$P$286="","",'01_Stations'!$P$286)</f>
        <v/>
      </c>
      <c r="E314" s="164" t="str">
        <f>IF('01_Stations'!$P$287="","",'01_Stations'!$P$287)</f>
        <v/>
      </c>
      <c r="F314" s="164" t="str">
        <f>IF('01_Stations'!$P$288="","",'01_Stations'!$P$288)</f>
        <v/>
      </c>
      <c r="G314" s="164" t="str">
        <f>IF('01_Stations'!$P$289="","",'01_Stations'!$P$289)</f>
        <v/>
      </c>
      <c r="H314" s="164" t="str">
        <f>IF('01_Stations'!$P$290="","",'01_Stations'!$P$290)</f>
        <v/>
      </c>
      <c r="I314" s="164" t="str">
        <f>IF('01_Stations'!$P$291="","",'01_Stations'!$P$291)</f>
        <v/>
      </c>
      <c r="J314" s="164" t="str">
        <f>IF('01_Stations'!$P$292="","",'01_Stations'!$P$292)</f>
        <v/>
      </c>
      <c r="K314" s="164" t="str">
        <f>IF('01_Stations'!$P$293="","",'01_Stations'!$P$293)</f>
        <v/>
      </c>
      <c r="L314" s="164" t="str">
        <f>IF('01_Stations'!$P$294="","",'01_Stations'!$P$294)</f>
        <v/>
      </c>
      <c r="M314" s="164" t="str">
        <f>IF('01_Stations'!$P$295="","",'01_Stations'!$P$295)</f>
        <v/>
      </c>
      <c r="N314" s="164" t="str">
        <f>IF('01_Stations'!$P$296="","",'01_Stations'!$P$296)</f>
        <v/>
      </c>
      <c r="O314" s="164" t="str">
        <f>IF('01_Stations'!$P$297="","",'01_Stations'!$P$297)</f>
        <v/>
      </c>
      <c r="P314" s="164" t="str">
        <f>IF('01_Stations'!$P$298="","",'01_Stations'!$P$298)</f>
        <v/>
      </c>
      <c r="Q314" s="164" t="str">
        <f>IF('01_Stations'!$P$299="","",'01_Stations'!$P$299)</f>
        <v/>
      </c>
      <c r="R314" s="164" t="str">
        <f>IF('01_Stations'!$P$300="","",'01_Stations'!$P$300)</f>
        <v/>
      </c>
      <c r="S314" s="164" t="str">
        <f>IF('01_Stations'!$P$301="","",'01_Stations'!$P$301)</f>
        <v/>
      </c>
      <c r="T314" s="164" t="str">
        <f>IF('01_Stations'!$P$302="","",'01_Stations'!$P$302)</f>
        <v/>
      </c>
      <c r="U314" s="164" t="str">
        <f>IF('01_Stations'!$P$303="","",'01_Stations'!$P$303)</f>
        <v/>
      </c>
      <c r="V314" s="164" t="str">
        <f>IF('01_Stations'!$P$304="","",'01_Stations'!$P$304)</f>
        <v/>
      </c>
      <c r="W314" s="164" t="str">
        <f>IF('01_Stations'!$P$305="","",'01_Stations'!$P$305)</f>
        <v/>
      </c>
      <c r="X314" s="164" t="str">
        <f>IF('01_Stations'!$P$306="","",'01_Stations'!$P$306)</f>
        <v/>
      </c>
      <c r="Y314" s="164" t="str">
        <f>IF('01_Stations'!$P$307="","",'01_Stations'!$P$307)</f>
        <v/>
      </c>
      <c r="Z314" s="164" t="str">
        <f>IF('01_Stations'!$P$308="","",'01_Stations'!$P$308)</f>
        <v/>
      </c>
      <c r="AA314" s="164" t="str">
        <f>IF('01_Stations'!$P$309="","",'01_Stations'!$P$309)</f>
        <v/>
      </c>
      <c r="AB314" s="164" t="str">
        <f>IF('01_Stations'!$P$310="","",'01_Stations'!$P$310)</f>
        <v/>
      </c>
      <c r="AC314" s="164" t="str">
        <f>IF('01_Stations'!$P$311="","",'01_Stations'!$P$311)</f>
        <v/>
      </c>
      <c r="AD314" s="164" t="str">
        <f>IF('01_Stations'!$P$312="","",'01_Stations'!$P$312)</f>
        <v/>
      </c>
      <c r="AE314" s="164" t="str">
        <f>IF('01_Stations'!$P$313="","",'01_Stations'!$P$313)</f>
        <v/>
      </c>
      <c r="AF314" s="164" t="str">
        <f>IF('01_Stations'!$P$314="","",'01_Stations'!$P$314)</f>
        <v/>
      </c>
      <c r="AG314" s="164" t="str">
        <f>IF('01_Stations'!$P$315="","",'01_Stations'!$P$315)</f>
        <v/>
      </c>
      <c r="AH314" s="164" t="str">
        <f>IF('01_Stations'!$P$316="","",'01_Stations'!$P$316)</f>
        <v/>
      </c>
      <c r="AI314" s="164" t="str">
        <f>IF('01_Stations'!$P$317="","",'01_Stations'!$P$317)</f>
        <v/>
      </c>
      <c r="AJ314" s="164" t="str">
        <f>IF('01_Stations'!$P$318="","",'01_Stations'!$P$318)</f>
        <v/>
      </c>
      <c r="AK314" s="164" t="str">
        <f>IF('01_Stations'!$P$319="","",'01_Stations'!$P$319)</f>
        <v/>
      </c>
      <c r="AL314" s="164" t="str">
        <f>IF('01_Stations'!$P$320="","",'01_Stations'!$P$320)</f>
        <v/>
      </c>
      <c r="AM314" s="164" t="str">
        <f>IF('01_Stations'!$P$321="","",'01_Stations'!$P$321)</f>
        <v/>
      </c>
      <c r="AN314" s="164" t="str">
        <f>IF('01_Stations'!$P$322="","",'01_Stations'!$P$322)</f>
        <v/>
      </c>
      <c r="AO314" s="164" t="str">
        <f>IF('01_Stations'!$P$323="","",'01_Stations'!$P$323)</f>
        <v/>
      </c>
      <c r="AP314" s="164" t="str">
        <f>IF('01_Stations'!$P$324="","",'01_Stations'!$P$324)</f>
        <v/>
      </c>
      <c r="AQ314" s="164" t="str">
        <f>IF('01_Stations'!$P$325="","",'01_Stations'!$P$325)</f>
        <v/>
      </c>
    </row>
    <row r="315" spans="1:43" ht="15" customHeight="1" x14ac:dyDescent="0.3">
      <c r="A315" s="236"/>
      <c r="B315" s="165"/>
      <c r="C315" s="166" t="s">
        <v>2212</v>
      </c>
      <c r="D315" s="164" t="str">
        <f>IF('01_Stations'!$Q$286="","",'01_Stations'!$Q$286)</f>
        <v/>
      </c>
      <c r="E315" s="164" t="str">
        <f>IF('01_Stations'!$Q$287="","",'01_Stations'!$Q$287)</f>
        <v/>
      </c>
      <c r="F315" s="164" t="str">
        <f>IF('01_Stations'!$Q$288="","",'01_Stations'!$Q$288)</f>
        <v/>
      </c>
      <c r="G315" s="164" t="str">
        <f>IF('01_Stations'!$Q$289="","",'01_Stations'!$Q$289)</f>
        <v/>
      </c>
      <c r="H315" s="164" t="str">
        <f>IF('01_Stations'!$Q$290="","",'01_Stations'!$Q$290)</f>
        <v/>
      </c>
      <c r="I315" s="164" t="str">
        <f>IF('01_Stations'!$Q$291="","",'01_Stations'!$Q$291)</f>
        <v/>
      </c>
      <c r="J315" s="164" t="str">
        <f>IF('01_Stations'!$Q$292="","",'01_Stations'!$Q$292)</f>
        <v/>
      </c>
      <c r="K315" s="164" t="str">
        <f>IF('01_Stations'!$Q$293="","",'01_Stations'!$Q$293)</f>
        <v/>
      </c>
      <c r="L315" s="164" t="str">
        <f>IF('01_Stations'!$Q$294="","",'01_Stations'!$Q$294)</f>
        <v/>
      </c>
      <c r="M315" s="164" t="str">
        <f>IF('01_Stations'!$Q$295="","",'01_Stations'!$Q$295)</f>
        <v/>
      </c>
      <c r="N315" s="164" t="str">
        <f>IF('01_Stations'!$Q$296="","",'01_Stations'!$Q$296)</f>
        <v/>
      </c>
      <c r="O315" s="164" t="str">
        <f>IF('01_Stations'!$Q$297="","",'01_Stations'!$Q$297)</f>
        <v/>
      </c>
      <c r="P315" s="164" t="str">
        <f>IF('01_Stations'!$Q$298="","",'01_Stations'!$Q$298)</f>
        <v/>
      </c>
      <c r="Q315" s="164" t="str">
        <f>IF('01_Stations'!$Q$299="","",'01_Stations'!$Q$299)</f>
        <v/>
      </c>
      <c r="R315" s="164" t="str">
        <f>IF('01_Stations'!$Q$300="","",'01_Stations'!$Q$300)</f>
        <v/>
      </c>
      <c r="S315" s="164" t="str">
        <f>IF('01_Stations'!$Q$301="","",'01_Stations'!$Q$301)</f>
        <v/>
      </c>
      <c r="T315" s="164" t="str">
        <f>IF('01_Stations'!$Q$302="","",'01_Stations'!$Q$302)</f>
        <v/>
      </c>
      <c r="U315" s="164" t="str">
        <f>IF('01_Stations'!$Q$303="","",'01_Stations'!$Q$303)</f>
        <v/>
      </c>
      <c r="V315" s="164" t="str">
        <f>IF('01_Stations'!$Q$304="","",'01_Stations'!$Q$304)</f>
        <v/>
      </c>
      <c r="W315" s="164" t="str">
        <f>IF('01_Stations'!$Q$305="","",'01_Stations'!$Q$305)</f>
        <v/>
      </c>
      <c r="X315" s="164" t="str">
        <f>IF('01_Stations'!$Q$306="","",'01_Stations'!$Q$306)</f>
        <v/>
      </c>
      <c r="Y315" s="164" t="str">
        <f>IF('01_Stations'!$Q$307="","",'01_Stations'!$Q$307)</f>
        <v/>
      </c>
      <c r="Z315" s="164" t="str">
        <f>IF('01_Stations'!$Q$308="","",'01_Stations'!$Q$308)</f>
        <v/>
      </c>
      <c r="AA315" s="164" t="str">
        <f>IF('01_Stations'!$Q$309="","",'01_Stations'!$Q$309)</f>
        <v/>
      </c>
      <c r="AB315" s="164" t="str">
        <f>IF('01_Stations'!$Q$310="","",'01_Stations'!$Q$310)</f>
        <v/>
      </c>
      <c r="AC315" s="164" t="str">
        <f>IF('01_Stations'!$Q$311="","",'01_Stations'!$Q$311)</f>
        <v/>
      </c>
      <c r="AD315" s="164" t="str">
        <f>IF('01_Stations'!$Q$312="","",'01_Stations'!$Q$312)</f>
        <v/>
      </c>
      <c r="AE315" s="164" t="str">
        <f>IF('01_Stations'!$Q$313="","",'01_Stations'!$Q$313)</f>
        <v/>
      </c>
      <c r="AF315" s="164" t="str">
        <f>IF('01_Stations'!$Q$314="","",'01_Stations'!$Q$314)</f>
        <v/>
      </c>
      <c r="AG315" s="164" t="str">
        <f>IF('01_Stations'!$Q$315="","",'01_Stations'!$Q$315)</f>
        <v/>
      </c>
      <c r="AH315" s="164" t="str">
        <f>IF('01_Stations'!$Q$316="","",'01_Stations'!$Q$316)</f>
        <v/>
      </c>
      <c r="AI315" s="164" t="str">
        <f>IF('01_Stations'!$Q$317="","",'01_Stations'!$Q$317)</f>
        <v/>
      </c>
      <c r="AJ315" s="164" t="str">
        <f>IF('01_Stations'!$Q$318="","",'01_Stations'!$Q$318)</f>
        <v/>
      </c>
      <c r="AK315" s="164" t="str">
        <f>IF('01_Stations'!$Q$319="","",'01_Stations'!$Q$319)</f>
        <v/>
      </c>
      <c r="AL315" s="164" t="str">
        <f>IF('01_Stations'!$Q$320="","",'01_Stations'!$Q$320)</f>
        <v/>
      </c>
      <c r="AM315" s="164" t="str">
        <f>IF('01_Stations'!$Q$321="","",'01_Stations'!$Q$321)</f>
        <v/>
      </c>
      <c r="AN315" s="164" t="str">
        <f>IF('01_Stations'!$Q$322="","",'01_Stations'!$Q$322)</f>
        <v/>
      </c>
      <c r="AO315" s="164" t="str">
        <f>IF('01_Stations'!$Q$323="","",'01_Stations'!$Q$323)</f>
        <v/>
      </c>
      <c r="AP315" s="164" t="str">
        <f>IF('01_Stations'!$Q$324="","",'01_Stations'!$Q$324)</f>
        <v/>
      </c>
      <c r="AQ315" s="164" t="str">
        <f>IF('01_Stations'!$Q$325="","",'01_Stations'!$Q$325)</f>
        <v/>
      </c>
    </row>
    <row r="316" spans="1:43" ht="15" customHeight="1" x14ac:dyDescent="0.3">
      <c r="A316" s="236"/>
      <c r="B316" s="165" t="s">
        <v>2213</v>
      </c>
      <c r="C316" s="166"/>
      <c r="D316" s="164" t="str">
        <f>IF('01_Stations'!$R$286=1,"ϰ",IF('01_Stations'!$R$286=2,"І",IF('01_Stations'!$R$286=3,"╦","")))</f>
        <v/>
      </c>
      <c r="E316" s="164" t="str">
        <f>IF('01_Stations'!$R$287=1,"ϰ",IF('01_Stations'!$R$287=2,"І",IF('01_Stations'!$R$287=3,"╦","")))</f>
        <v/>
      </c>
      <c r="F316" s="164" t="str">
        <f>IF('01_Stations'!$R$288=1,"ϰ",IF('01_Stations'!$R$288=2,"І",IF('01_Stations'!$R$288=3,"╦","")))</f>
        <v/>
      </c>
      <c r="G316" s="164" t="str">
        <f>IF('01_Stations'!$R$289=1,"ϰ",IF('01_Stations'!$R$289=2,"І",IF('01_Stations'!$R$289=3,"╦","")))</f>
        <v/>
      </c>
      <c r="H316" s="164" t="str">
        <f>IF('01_Stations'!$R$290=1,"ϰ",IF('01_Stations'!$R$290=2,"І",IF('01_Stations'!$R$290=3,"╦","")))</f>
        <v/>
      </c>
      <c r="I316" s="164" t="str">
        <f>IF('01_Stations'!$R$291=1,"ϰ",IF('01_Stations'!$R$291=2,"І",IF('01_Stations'!$R$291=3,"╦","")))</f>
        <v/>
      </c>
      <c r="J316" s="164" t="str">
        <f>IF('01_Stations'!$R$292=1,"ϰ",IF('01_Stations'!$R$292=2,"І",IF('01_Stations'!$R$292=3,"╦","")))</f>
        <v/>
      </c>
      <c r="K316" s="164" t="str">
        <f>IF('01_Stations'!$R$293=1,"ϰ",IF('01_Stations'!$R$293=2,"І",IF('01_Stations'!$R$293=3,"╦","")))</f>
        <v/>
      </c>
      <c r="L316" s="164" t="str">
        <f>IF('01_Stations'!$R$294=1,"ϰ",IF('01_Stations'!$R$294=2,"І",IF('01_Stations'!$R$294=3,"╦","")))</f>
        <v/>
      </c>
      <c r="M316" s="164" t="str">
        <f>IF('01_Stations'!$R$295=1,"ϰ",IF('01_Stations'!$R$295=2,"І",IF('01_Stations'!$R$295=3,"╦","")))</f>
        <v/>
      </c>
      <c r="N316" s="164" t="str">
        <f>IF('01_Stations'!$R$296=1,"ϰ",IF('01_Stations'!$R$296=2,"І",IF('01_Stations'!$R$296=3,"╦","")))</f>
        <v/>
      </c>
      <c r="O316" s="164" t="str">
        <f>IF('01_Stations'!$R$297=1,"ϰ",IF('01_Stations'!$R$297=2,"І",IF('01_Stations'!$R$297=3,"╦","")))</f>
        <v/>
      </c>
      <c r="P316" s="164" t="str">
        <f>IF('01_Stations'!$R$298=1,"ϰ",IF('01_Stations'!$R$298=2,"І",IF('01_Stations'!$R$298=3,"╦","")))</f>
        <v/>
      </c>
      <c r="Q316" s="164" t="str">
        <f>IF('01_Stations'!$R$299=1,"ϰ",IF('01_Stations'!$R$299=2,"І",IF('01_Stations'!$R$299=3,"╦","")))</f>
        <v/>
      </c>
      <c r="R316" s="164" t="str">
        <f>IF('01_Stations'!$R$300=1,"ϰ",IF('01_Stations'!$R$300=2,"І",IF('01_Stations'!$R$300=3,"╦","")))</f>
        <v/>
      </c>
      <c r="S316" s="164" t="str">
        <f>IF('01_Stations'!$R$301=1,"ϰ",IF('01_Stations'!$R$301=2,"І",IF('01_Stations'!$R$301=3,"╦","")))</f>
        <v/>
      </c>
      <c r="T316" s="164" t="str">
        <f>IF('01_Stations'!$R$302=1,"ϰ",IF('01_Stations'!$R$302=2,"І",IF('01_Stations'!$R$302=3,"╦","")))</f>
        <v/>
      </c>
      <c r="U316" s="164" t="str">
        <f>IF('01_Stations'!$R$303=1,"ϰ",IF('01_Stations'!$R$303=2,"І",IF('01_Stations'!$R$303=3,"╦","")))</f>
        <v/>
      </c>
      <c r="V316" s="164" t="str">
        <f>IF('01_Stations'!$R$304=1,"ϰ",IF('01_Stations'!$R$304=2,"І",IF('01_Stations'!$R$304=3,"╦","")))</f>
        <v/>
      </c>
      <c r="W316" s="164" t="str">
        <f>IF('01_Stations'!$R$305=1,"ϰ",IF('01_Stations'!$R$305=2,"І",IF('01_Stations'!$R$305=3,"╦","")))</f>
        <v/>
      </c>
      <c r="X316" s="164" t="str">
        <f>IF('01_Stations'!$R$306=1,"ϰ",IF('01_Stations'!$R$306=2,"І",IF('01_Stations'!$R$306=3,"╦","")))</f>
        <v/>
      </c>
      <c r="Y316" s="164" t="str">
        <f>IF('01_Stations'!$R$307=1,"ϰ",IF('01_Stations'!$R$307=2,"І",IF('01_Stations'!$R$307=3,"╦","")))</f>
        <v/>
      </c>
      <c r="Z316" s="164" t="str">
        <f>IF('01_Stations'!$R$308=1,"ϰ",IF('01_Stations'!$R$308=2,"І",IF('01_Stations'!$R$308=3,"╦","")))</f>
        <v/>
      </c>
      <c r="AA316" s="164" t="str">
        <f>IF('01_Stations'!$R$309=1,"ϰ",IF('01_Stations'!$R$309=2,"І",IF('01_Stations'!$R$309=3,"╦","")))</f>
        <v/>
      </c>
      <c r="AB316" s="164" t="str">
        <f>IF('01_Stations'!$R$310=1,"ϰ",IF('01_Stations'!$R$310=2,"І",IF('01_Stations'!$R$310=3,"╦","")))</f>
        <v/>
      </c>
      <c r="AC316" s="164" t="str">
        <f>IF('01_Stations'!$R$311=1,"ϰ",IF('01_Stations'!$R$311=2,"І",IF('01_Stations'!$R$311=3,"╦","")))</f>
        <v/>
      </c>
      <c r="AD316" s="164" t="str">
        <f>IF('01_Stations'!$R$312=1,"ϰ",IF('01_Stations'!$R$312=2,"І",IF('01_Stations'!$R$312=3,"╦","")))</f>
        <v/>
      </c>
      <c r="AE316" s="164" t="str">
        <f>IF('01_Stations'!$R$313=1,"ϰ",IF('01_Stations'!$R$313=2,"І",IF('01_Stations'!$R$313=3,"╦","")))</f>
        <v/>
      </c>
      <c r="AF316" s="164" t="str">
        <f>IF('01_Stations'!$R$314=1,"ϰ",IF('01_Stations'!$R$314=2,"І",IF('01_Stations'!$R$314=3,"╦","")))</f>
        <v/>
      </c>
      <c r="AG316" s="164" t="str">
        <f>IF('01_Stations'!$R$315=1,"ϰ",IF('01_Stations'!$R$315=2,"І",IF('01_Stations'!$R$315=3,"╦","")))</f>
        <v/>
      </c>
      <c r="AH316" s="164" t="str">
        <f>IF('01_Stations'!$R$316=1,"ϰ",IF('01_Stations'!$R$316=2,"І",IF('01_Stations'!$R$316=3,"╦","")))</f>
        <v/>
      </c>
      <c r="AI316" s="164" t="str">
        <f>IF('01_Stations'!$R$317=1,"ϰ",IF('01_Stations'!$R$317=2,"І",IF('01_Stations'!$R$317=3,"╦","")))</f>
        <v/>
      </c>
      <c r="AJ316" s="164" t="str">
        <f>IF('01_Stations'!$R$318=1,"ϰ",IF('01_Stations'!$R$318=2,"І",IF('01_Stations'!$R$318=3,"╦","")))</f>
        <v/>
      </c>
      <c r="AK316" s="164" t="str">
        <f>IF('01_Stations'!$R$319=1,"ϰ",IF('01_Stations'!$R$319=2,"І",IF('01_Stations'!$R$319=3,"╦","")))</f>
        <v/>
      </c>
      <c r="AL316" s="164" t="str">
        <f>IF('01_Stations'!$R$320=1,"ϰ",IF('01_Stations'!$R$320=2,"І",IF('01_Stations'!$R$320=3,"╦","")))</f>
        <v/>
      </c>
      <c r="AM316" s="164" t="str">
        <f>IF('01_Stations'!$R$321=1,"ϰ",IF('01_Stations'!$R$321=2,"І",IF('01_Stations'!$R$321=3,"╦","")))</f>
        <v/>
      </c>
      <c r="AN316" s="164" t="str">
        <f>IF('01_Stations'!$R$322=1,"ϰ",IF('01_Stations'!$R$322=2,"І",IF('01_Stations'!$R$322=3,"╦","")))</f>
        <v/>
      </c>
      <c r="AO316" s="164" t="str">
        <f>IF('01_Stations'!$R$323=1,"ϰ",IF('01_Stations'!$R$323=2,"І",IF('01_Stations'!$R$323=3,"╦","")))</f>
        <v/>
      </c>
      <c r="AP316" s="164" t="str">
        <f>IF('01_Stations'!$R$324=1,"ϰ",IF('01_Stations'!$R$324=2,"І",IF('01_Stations'!$R$324=3,"╦","")))</f>
        <v/>
      </c>
      <c r="AQ316" s="164" t="str">
        <f>IF('01_Stations'!$R$325=1,"ϰ",IF('01_Stations'!$R$325=2,"І",IF('01_Stations'!$R$325=3,"╦","")))</f>
        <v/>
      </c>
    </row>
    <row r="317" spans="1:43" ht="15" customHeight="1" x14ac:dyDescent="0.3">
      <c r="A317" s="236"/>
      <c r="B317" s="165" t="s">
        <v>2214</v>
      </c>
      <c r="C317" s="166"/>
      <c r="D317" s="164" t="str">
        <f>IF('01_Stations'!$S$286=1,"Ӂ",IF('01_Stations'!$S$286=2,"Җ",""))</f>
        <v/>
      </c>
      <c r="E317" s="164" t="str">
        <f>IF('01_Stations'!$S$287=1,"Ӂ",IF('01_Stations'!$S$287=2,"Җ",""))</f>
        <v/>
      </c>
      <c r="F317" s="164" t="str">
        <f>IF('01_Stations'!$S$288=1,"Ӂ",IF('01_Stations'!$S$288=2,"Җ",""))</f>
        <v/>
      </c>
      <c r="G317" s="164" t="str">
        <f>IF('01_Stations'!$S$289=1,"Ӂ",IF('01_Stations'!$S$289=2,"Җ",""))</f>
        <v/>
      </c>
      <c r="H317" s="164" t="str">
        <f>IF('01_Stations'!$S$290=1,"Ӂ",IF('01_Stations'!$S$290=2,"Җ",""))</f>
        <v/>
      </c>
      <c r="I317" s="164" t="str">
        <f>IF('01_Stations'!$S$291=1,"Ӂ",IF('01_Stations'!$S$291=2,"Җ",""))</f>
        <v/>
      </c>
      <c r="J317" s="164" t="str">
        <f>IF('01_Stations'!$S$292=1,"Ӂ",IF('01_Stations'!$S$292=2,"Җ",""))</f>
        <v/>
      </c>
      <c r="K317" s="164" t="str">
        <f>IF('01_Stations'!$S$293=1,"Ӂ",IF('01_Stations'!$S$293=2,"Җ",""))</f>
        <v/>
      </c>
      <c r="L317" s="164" t="str">
        <f>IF('01_Stations'!$S$294=1,"Ӂ",IF('01_Stations'!$S$294=2,"Җ",""))</f>
        <v/>
      </c>
      <c r="M317" s="164" t="str">
        <f>IF('01_Stations'!$S$295=1,"Ӂ",IF('01_Stations'!$S$295=2,"Җ",""))</f>
        <v/>
      </c>
      <c r="N317" s="164" t="str">
        <f>IF('01_Stations'!$S$296=1,"Ӂ",IF('01_Stations'!$S$296=2,"Җ",""))</f>
        <v/>
      </c>
      <c r="O317" s="164" t="str">
        <f>IF('01_Stations'!$S$297=1,"Ӂ",IF('01_Stations'!$S$297=2,"Җ",""))</f>
        <v/>
      </c>
      <c r="P317" s="164" t="str">
        <f>IF('01_Stations'!$S$298=1,"Ӂ",IF('01_Stations'!$S$298=2,"Җ",""))</f>
        <v/>
      </c>
      <c r="Q317" s="164" t="str">
        <f>IF('01_Stations'!$S$299=1,"Ӂ",IF('01_Stations'!$S$299=2,"Җ",""))</f>
        <v/>
      </c>
      <c r="R317" s="164" t="str">
        <f>IF('01_Stations'!$S$300=1,"Ӂ",IF('01_Stations'!$S$300=2,"Җ",""))</f>
        <v/>
      </c>
      <c r="S317" s="164" t="str">
        <f>IF('01_Stations'!$S$301=1,"Ӂ",IF('01_Stations'!$S$301=2,"Җ",""))</f>
        <v/>
      </c>
      <c r="T317" s="164" t="str">
        <f>IF('01_Stations'!$S$302=1,"Ӂ",IF('01_Stations'!$S$302=2,"Җ",""))</f>
        <v/>
      </c>
      <c r="U317" s="164" t="str">
        <f>IF('01_Stations'!$S$303=1,"Ӂ",IF('01_Stations'!$S$303=2,"Җ",""))</f>
        <v/>
      </c>
      <c r="V317" s="164" t="str">
        <f>IF('01_Stations'!$S$304=1,"Ӂ",IF('01_Stations'!$S$304=2,"Җ",""))</f>
        <v/>
      </c>
      <c r="W317" s="164" t="str">
        <f>IF('01_Stations'!$S$305=1,"Ӂ",IF('01_Stations'!$S$305=2,"Җ",""))</f>
        <v/>
      </c>
      <c r="X317" s="164" t="str">
        <f>IF('01_Stations'!$S$306=1,"Ӂ",IF('01_Stations'!$S$306=2,"Җ",""))</f>
        <v/>
      </c>
      <c r="Y317" s="164" t="str">
        <f>IF('01_Stations'!$S$307=1,"Ӂ",IF('01_Stations'!$S$307=2,"Җ",""))</f>
        <v/>
      </c>
      <c r="Z317" s="164" t="str">
        <f>IF('01_Stations'!$S$308=1,"Ӂ",IF('01_Stations'!$S$308=2,"Җ",""))</f>
        <v/>
      </c>
      <c r="AA317" s="164" t="str">
        <f>IF('01_Stations'!$S$309=1,"Ӂ",IF('01_Stations'!$S$309=2,"Җ",""))</f>
        <v/>
      </c>
      <c r="AB317" s="164" t="str">
        <f>IF('01_Stations'!$S$310=1,"Ӂ",IF('01_Stations'!$S$310=2,"Җ",""))</f>
        <v/>
      </c>
      <c r="AC317" s="164" t="str">
        <f>IF('01_Stations'!$S$311=1,"Ӂ",IF('01_Stations'!$S$311=2,"Җ",""))</f>
        <v/>
      </c>
      <c r="AD317" s="164" t="str">
        <f>IF('01_Stations'!$S$312=1,"Ӂ",IF('01_Stations'!$S$312=2,"Җ",""))</f>
        <v/>
      </c>
      <c r="AE317" s="164" t="str">
        <f>IF('01_Stations'!$S$313=1,"Ӂ",IF('01_Stations'!$S$313=2,"Җ",""))</f>
        <v/>
      </c>
      <c r="AF317" s="164" t="str">
        <f>IF('01_Stations'!$S$314=1,"Ӂ",IF('01_Stations'!$S$314=2,"Җ",""))</f>
        <v/>
      </c>
      <c r="AG317" s="164" t="str">
        <f>IF('01_Stations'!$S$315=1,"Ӂ",IF('01_Stations'!$S$315=2,"Җ",""))</f>
        <v/>
      </c>
      <c r="AH317" s="164" t="str">
        <f>IF('01_Stations'!$S$316=1,"Ӂ",IF('01_Stations'!$S$316=2,"Җ",""))</f>
        <v/>
      </c>
      <c r="AI317" s="164" t="str">
        <f>IF('01_Stations'!$S$317=1,"Ӂ",IF('01_Stations'!$S$317=2,"Җ",""))</f>
        <v/>
      </c>
      <c r="AJ317" s="164" t="str">
        <f>IF('01_Stations'!$S$318=1,"Ӂ",IF('01_Stations'!$S$318=2,"Җ",""))</f>
        <v/>
      </c>
      <c r="AK317" s="164" t="str">
        <f>IF('01_Stations'!$S$319=1,"Ӂ",IF('01_Stations'!$S$319=2,"Җ",""))</f>
        <v/>
      </c>
      <c r="AL317" s="164" t="str">
        <f>IF('01_Stations'!$S$320=1,"Ӂ",IF('01_Stations'!$S$320=2,"Җ",""))</f>
        <v/>
      </c>
      <c r="AM317" s="164" t="str">
        <f>IF('01_Stations'!$S$321=1,"Ӂ",IF('01_Stations'!$S$321=2,"Җ",""))</f>
        <v/>
      </c>
      <c r="AN317" s="164" t="str">
        <f>IF('01_Stations'!$S$322=1,"Ӂ",IF('01_Stations'!$S$322=2,"Җ",""))</f>
        <v/>
      </c>
      <c r="AO317" s="164" t="str">
        <f>IF('01_Stations'!$S$323=1,"Ӂ",IF('01_Stations'!$S$323=2,"Җ",""))</f>
        <v/>
      </c>
      <c r="AP317" s="164" t="str">
        <f>IF('01_Stations'!$S$324=1,"Ӂ",IF('01_Stations'!$S$324=2,"Җ",""))</f>
        <v/>
      </c>
      <c r="AQ317" s="164" t="str">
        <f>IF('01_Stations'!$S$325=1,"Ӂ",IF('01_Stations'!$S$325=2,"Җ",""))</f>
        <v/>
      </c>
    </row>
    <row r="318" spans="1:43" ht="15" customHeight="1" x14ac:dyDescent="0.3">
      <c r="A318" s="236"/>
      <c r="B318" s="165" t="s">
        <v>2215</v>
      </c>
      <c r="C318" s="166" t="s">
        <v>1622</v>
      </c>
      <c r="D318" s="164" t="str">
        <f>IF('01_Stations'!$T$286=1,"───","")</f>
        <v/>
      </c>
      <c r="E318" s="164" t="str">
        <f>IF('01_Stations'!$T$287=1,"───","")</f>
        <v/>
      </c>
      <c r="F318" s="164" t="str">
        <f>IF('01_Stations'!$T$288=1,"───","")</f>
        <v/>
      </c>
      <c r="G318" s="164" t="str">
        <f>IF('01_Stations'!$T$289=1,"───","")</f>
        <v/>
      </c>
      <c r="H318" s="164" t="str">
        <f>IF('01_Stations'!$T$290=1,"───","")</f>
        <v/>
      </c>
      <c r="I318" s="164" t="str">
        <f>IF('01_Stations'!$T$291=1,"───","")</f>
        <v/>
      </c>
      <c r="J318" s="164" t="str">
        <f>IF('01_Stations'!$T$292=1,"───","")</f>
        <v/>
      </c>
      <c r="K318" s="164" t="str">
        <f>IF('01_Stations'!$T$293=1,"───","")</f>
        <v/>
      </c>
      <c r="L318" s="164" t="str">
        <f>IF('01_Stations'!$T$294=1,"───","")</f>
        <v/>
      </c>
      <c r="M318" s="164" t="str">
        <f>IF('01_Stations'!$T$295=1,"───","")</f>
        <v/>
      </c>
      <c r="N318" s="164" t="str">
        <f>IF('01_Stations'!$T$296=1,"───","")</f>
        <v/>
      </c>
      <c r="O318" s="164" t="str">
        <f>IF('01_Stations'!$T$297=1,"───","")</f>
        <v/>
      </c>
      <c r="P318" s="164" t="str">
        <f>IF('01_Stations'!$T$298=1,"───","")</f>
        <v/>
      </c>
      <c r="Q318" s="164" t="str">
        <f>IF('01_Stations'!$T$299=1,"───","")</f>
        <v/>
      </c>
      <c r="R318" s="164" t="str">
        <f>IF('01_Stations'!$T$300=1,"───","")</f>
        <v/>
      </c>
      <c r="S318" s="164" t="str">
        <f>IF('01_Stations'!$T$301=1,"───","")</f>
        <v/>
      </c>
      <c r="T318" s="164" t="str">
        <f>IF('01_Stations'!$T$302=1,"───","")</f>
        <v/>
      </c>
      <c r="U318" s="164" t="str">
        <f>IF('01_Stations'!$T$303=1,"───","")</f>
        <v/>
      </c>
      <c r="V318" s="164" t="str">
        <f>IF('01_Stations'!$T$304=1,"───","")</f>
        <v/>
      </c>
      <c r="W318" s="164" t="str">
        <f>IF('01_Stations'!$T$305=1,"───","")</f>
        <v/>
      </c>
      <c r="X318" s="164" t="str">
        <f>IF('01_Stations'!$T$306=1,"───","")</f>
        <v/>
      </c>
      <c r="Y318" s="164" t="str">
        <f>IF('01_Stations'!$T$307=1,"───","")</f>
        <v/>
      </c>
      <c r="Z318" s="164" t="str">
        <f>IF('01_Stations'!$T$308=1,"───","")</f>
        <v/>
      </c>
      <c r="AA318" s="164" t="str">
        <f>IF('01_Stations'!$T$309=1,"───","")</f>
        <v/>
      </c>
      <c r="AB318" s="164" t="str">
        <f>IF('01_Stations'!$T$310=1,"───","")</f>
        <v/>
      </c>
      <c r="AC318" s="164" t="str">
        <f>IF('01_Stations'!$T$311=1,"───","")</f>
        <v/>
      </c>
      <c r="AD318" s="164" t="str">
        <f>IF('01_Stations'!$T$312=1,"───","")</f>
        <v/>
      </c>
      <c r="AE318" s="164" t="str">
        <f>IF('01_Stations'!$T$313=1,"───","")</f>
        <v/>
      </c>
      <c r="AF318" s="164" t="str">
        <f>IF('01_Stations'!$T$314=1,"───","")</f>
        <v/>
      </c>
      <c r="AG318" s="164" t="str">
        <f>IF('01_Stations'!$T$315=1,"───","")</f>
        <v/>
      </c>
      <c r="AH318" s="164" t="str">
        <f>IF('01_Stations'!$T$316=1,"───","")</f>
        <v/>
      </c>
      <c r="AI318" s="164" t="str">
        <f>IF('01_Stations'!$T$317=1,"───","")</f>
        <v/>
      </c>
      <c r="AJ318" s="164" t="str">
        <f>IF('01_Stations'!$T$318=1,"───","")</f>
        <v/>
      </c>
      <c r="AK318" s="164" t="str">
        <f>IF('01_Stations'!$T$319=1,"───","")</f>
        <v/>
      </c>
      <c r="AL318" s="164" t="str">
        <f>IF('01_Stations'!$T$320=1,"───","")</f>
        <v/>
      </c>
      <c r="AM318" s="164" t="str">
        <f>IF('01_Stations'!$T$321=1,"───","")</f>
        <v/>
      </c>
      <c r="AN318" s="164" t="str">
        <f>IF('01_Stations'!$T$322=1,"───","")</f>
        <v/>
      </c>
      <c r="AO318" s="164" t="str">
        <f>IF('01_Stations'!$T$323=1,"───","")</f>
        <v/>
      </c>
      <c r="AP318" s="164" t="str">
        <f>IF('01_Stations'!$T$324=1,"───","")</f>
        <v/>
      </c>
      <c r="AQ318" s="164" t="str">
        <f>IF('01_Stations'!$T$325=1,"───","")</f>
        <v/>
      </c>
    </row>
    <row r="319" spans="1:43" ht="15" customHeight="1" x14ac:dyDescent="0.3">
      <c r="A319" s="236"/>
      <c r="B319" s="165"/>
      <c r="C319" s="166" t="s">
        <v>2216</v>
      </c>
      <c r="D319" s="164" t="str">
        <f>IF(N('01_Stations'!$U$286)&gt;0,'01_Stations'!$U$286,"")</f>
        <v/>
      </c>
      <c r="E319" s="164" t="str">
        <f>IF(N('01_Stations'!$U$287)&gt;0,'01_Stations'!$U$287,"")</f>
        <v/>
      </c>
      <c r="F319" s="164" t="str">
        <f>IF(N('01_Stations'!$U$288)&gt;0,'01_Stations'!$U$288,"")</f>
        <v/>
      </c>
      <c r="G319" s="164" t="str">
        <f>IF(N('01_Stations'!$U$289)&gt;0,'01_Stations'!$U$289,"")</f>
        <v/>
      </c>
      <c r="H319" s="164" t="str">
        <f>IF(N('01_Stations'!$U$290)&gt;0,'01_Stations'!$U$290,"")</f>
        <v/>
      </c>
      <c r="I319" s="164" t="str">
        <f>IF(N('01_Stations'!$U$291)&gt;0,'01_Stations'!$U$291,"")</f>
        <v/>
      </c>
      <c r="J319" s="164" t="str">
        <f>IF(N('01_Stations'!$U$292)&gt;0,'01_Stations'!$U$292,"")</f>
        <v/>
      </c>
      <c r="K319" s="164" t="str">
        <f>IF(N('01_Stations'!$U$293)&gt;0,'01_Stations'!$U$293,"")</f>
        <v/>
      </c>
      <c r="L319" s="164" t="str">
        <f>IF(N('01_Stations'!$U$294)&gt;0,'01_Stations'!$U$294,"")</f>
        <v/>
      </c>
      <c r="M319" s="164" t="str">
        <f>IF(N('01_Stations'!$U$295)&gt;0,'01_Stations'!$U$295,"")</f>
        <v/>
      </c>
      <c r="N319" s="164" t="str">
        <f>IF(N('01_Stations'!$U$296)&gt;0,'01_Stations'!$U$296,"")</f>
        <v/>
      </c>
      <c r="O319" s="164" t="str">
        <f>IF(N('01_Stations'!$U$297)&gt;0,'01_Stations'!$U$297,"")</f>
        <v/>
      </c>
      <c r="P319" s="164" t="str">
        <f>IF(N('01_Stations'!$U$298)&gt;0,'01_Stations'!$U$298,"")</f>
        <v/>
      </c>
      <c r="Q319" s="164" t="str">
        <f>IF(N('01_Stations'!$U$299)&gt;0,'01_Stations'!$U$299,"")</f>
        <v/>
      </c>
      <c r="R319" s="164" t="str">
        <f>IF(N('01_Stations'!$U$300)&gt;0,'01_Stations'!$U$300,"")</f>
        <v/>
      </c>
      <c r="S319" s="164" t="str">
        <f>IF(N('01_Stations'!$U$301)&gt;0,'01_Stations'!$U$301,"")</f>
        <v/>
      </c>
      <c r="T319" s="164" t="str">
        <f>IF(N('01_Stations'!$U$302)&gt;0,'01_Stations'!$U$302,"")</f>
        <v/>
      </c>
      <c r="U319" s="164" t="str">
        <f>IF(N('01_Stations'!$U$303)&gt;0,'01_Stations'!$U$303,"")</f>
        <v/>
      </c>
      <c r="V319" s="164" t="str">
        <f>IF(N('01_Stations'!$U$304)&gt;0,'01_Stations'!$U$304,"")</f>
        <v/>
      </c>
      <c r="W319" s="164" t="str">
        <f>IF(N('01_Stations'!$U$305)&gt;0,'01_Stations'!$U$305,"")</f>
        <v/>
      </c>
      <c r="X319" s="164" t="str">
        <f>IF(N('01_Stations'!$U$306)&gt;0,'01_Stations'!$U$306,"")</f>
        <v/>
      </c>
      <c r="Y319" s="164" t="str">
        <f>IF(N('01_Stations'!$U$307)&gt;0,'01_Stations'!$U$307,"")</f>
        <v/>
      </c>
      <c r="Z319" s="164" t="str">
        <f>IF(N('01_Stations'!$U$308)&gt;0,'01_Stations'!$U$308,"")</f>
        <v/>
      </c>
      <c r="AA319" s="164" t="str">
        <f>IF(N('01_Stations'!$U$309)&gt;0,'01_Stations'!$U$309,"")</f>
        <v/>
      </c>
      <c r="AB319" s="164" t="str">
        <f>IF(N('01_Stations'!$U$310)&gt;0,'01_Stations'!$U$310,"")</f>
        <v/>
      </c>
      <c r="AC319" s="164" t="str">
        <f>IF(N('01_Stations'!$U$311)&gt;0,'01_Stations'!$U$311,"")</f>
        <v/>
      </c>
      <c r="AD319" s="164" t="str">
        <f>IF(N('01_Stations'!$U$312)&gt;0,'01_Stations'!$U$312,"")</f>
        <v/>
      </c>
      <c r="AE319" s="164" t="str">
        <f>IF(N('01_Stations'!$U$313)&gt;0,'01_Stations'!$U$313,"")</f>
        <v/>
      </c>
      <c r="AF319" s="164" t="str">
        <f>IF(N('01_Stations'!$U$314)&gt;0,'01_Stations'!$U$314,"")</f>
        <v/>
      </c>
      <c r="AG319" s="164" t="str">
        <f>IF(N('01_Stations'!$U$315)&gt;0,'01_Stations'!$U$315,"")</f>
        <v/>
      </c>
      <c r="AH319" s="164" t="str">
        <f>IF(N('01_Stations'!$U$316)&gt;0,'01_Stations'!$U$316,"")</f>
        <v/>
      </c>
      <c r="AI319" s="164" t="str">
        <f>IF(N('01_Stations'!$U$317)&gt;0,'01_Stations'!$U$317,"")</f>
        <v/>
      </c>
      <c r="AJ319" s="164" t="str">
        <f>IF(N('01_Stations'!$U$318)&gt;0,'01_Stations'!$U$318,"")</f>
        <v/>
      </c>
      <c r="AK319" s="164" t="str">
        <f>IF(N('01_Stations'!$U$319)&gt;0,'01_Stations'!$U$319,"")</f>
        <v/>
      </c>
      <c r="AL319" s="164" t="str">
        <f>IF(N('01_Stations'!$U$320)&gt;0,'01_Stations'!$U$320,"")</f>
        <v/>
      </c>
      <c r="AM319" s="164" t="str">
        <f>IF(N('01_Stations'!$U$321)&gt;0,'01_Stations'!$U$321,"")</f>
        <v/>
      </c>
      <c r="AN319" s="164" t="str">
        <f>IF(N('01_Stations'!$U$322)&gt;0,'01_Stations'!$U$322,"")</f>
        <v/>
      </c>
      <c r="AO319" s="164" t="str">
        <f>IF(N('01_Stations'!$U$323)&gt;0,'01_Stations'!$U$323,"")</f>
        <v/>
      </c>
      <c r="AP319" s="164" t="str">
        <f>IF(N('01_Stations'!$U$324)&gt;0,'01_Stations'!$U$324,"")</f>
        <v/>
      </c>
      <c r="AQ319" s="164" t="str">
        <f>IF(N('01_Stations'!$U$325)&gt;0,'01_Stations'!$U$325,"")</f>
        <v/>
      </c>
    </row>
    <row r="320" spans="1:43" ht="15" customHeight="1" x14ac:dyDescent="0.3">
      <c r="A320" s="236"/>
      <c r="B320" s="165"/>
      <c r="C320" s="166" t="s">
        <v>2212</v>
      </c>
      <c r="D320" s="164" t="str">
        <f>IF('01_Stations'!$V$286=1,"───","")</f>
        <v/>
      </c>
      <c r="E320" s="164" t="str">
        <f>IF('01_Stations'!$V$287=1,"───","")</f>
        <v/>
      </c>
      <c r="F320" s="164" t="str">
        <f>IF('01_Stations'!$V$288=1,"───","")</f>
        <v/>
      </c>
      <c r="G320" s="164" t="str">
        <f>IF('01_Stations'!$V$289=1,"───","")</f>
        <v/>
      </c>
      <c r="H320" s="164" t="str">
        <f>IF('01_Stations'!$V$290=1,"───","")</f>
        <v/>
      </c>
      <c r="I320" s="164" t="str">
        <f>IF('01_Stations'!$V$291=1,"───","")</f>
        <v/>
      </c>
      <c r="J320" s="164" t="str">
        <f>IF('01_Stations'!$V$292=1,"───","")</f>
        <v/>
      </c>
      <c r="K320" s="164" t="str">
        <f>IF('01_Stations'!$V$293=1,"───","")</f>
        <v/>
      </c>
      <c r="L320" s="164" t="str">
        <f>IF('01_Stations'!$V$294=1,"───","")</f>
        <v/>
      </c>
      <c r="M320" s="164" t="str">
        <f>IF('01_Stations'!$V$295=1,"───","")</f>
        <v/>
      </c>
      <c r="N320" s="164" t="str">
        <f>IF('01_Stations'!$V$296=1,"───","")</f>
        <v/>
      </c>
      <c r="O320" s="164" t="str">
        <f>IF('01_Stations'!$V$297=1,"───","")</f>
        <v/>
      </c>
      <c r="P320" s="164" t="str">
        <f>IF('01_Stations'!$V$298=1,"───","")</f>
        <v/>
      </c>
      <c r="Q320" s="164" t="str">
        <f>IF('01_Stations'!$V$299=1,"───","")</f>
        <v/>
      </c>
      <c r="R320" s="164" t="str">
        <f>IF('01_Stations'!$V$300=1,"───","")</f>
        <v/>
      </c>
      <c r="S320" s="164" t="str">
        <f>IF('01_Stations'!$V$301=1,"───","")</f>
        <v/>
      </c>
      <c r="T320" s="164" t="str">
        <f>IF('01_Stations'!$V$302=1,"───","")</f>
        <v/>
      </c>
      <c r="U320" s="164" t="str">
        <f>IF('01_Stations'!$V$303=1,"───","")</f>
        <v/>
      </c>
      <c r="V320" s="164" t="str">
        <f>IF('01_Stations'!$V$304=1,"───","")</f>
        <v/>
      </c>
      <c r="W320" s="164" t="str">
        <f>IF('01_Stations'!$V$305=1,"───","")</f>
        <v/>
      </c>
      <c r="X320" s="164" t="str">
        <f>IF('01_Stations'!$V$306=1,"───","")</f>
        <v/>
      </c>
      <c r="Y320" s="164" t="str">
        <f>IF('01_Stations'!$V$307=1,"───","")</f>
        <v/>
      </c>
      <c r="Z320" s="164" t="str">
        <f>IF('01_Stations'!$V$308=1,"───","")</f>
        <v/>
      </c>
      <c r="AA320" s="164" t="str">
        <f>IF('01_Stations'!$V$309=1,"───","")</f>
        <v/>
      </c>
      <c r="AB320" s="164" t="str">
        <f>IF('01_Stations'!$V$310=1,"───","")</f>
        <v/>
      </c>
      <c r="AC320" s="164" t="str">
        <f>IF('01_Stations'!$V$311=1,"───","")</f>
        <v/>
      </c>
      <c r="AD320" s="164" t="str">
        <f>IF('01_Stations'!$V$312=1,"───","")</f>
        <v/>
      </c>
      <c r="AE320" s="164" t="str">
        <f>IF('01_Stations'!$V$313=1,"───","")</f>
        <v/>
      </c>
      <c r="AF320" s="164" t="str">
        <f>IF('01_Stations'!$V$314=1,"───","")</f>
        <v/>
      </c>
      <c r="AG320" s="164" t="str">
        <f>IF('01_Stations'!$V$315=1,"───","")</f>
        <v/>
      </c>
      <c r="AH320" s="164" t="str">
        <f>IF('01_Stations'!$V$316=1,"───","")</f>
        <v/>
      </c>
      <c r="AI320" s="164" t="str">
        <f>IF('01_Stations'!$V$317=1,"───","")</f>
        <v/>
      </c>
      <c r="AJ320" s="164" t="str">
        <f>IF('01_Stations'!$V$318=1,"───","")</f>
        <v/>
      </c>
      <c r="AK320" s="164" t="str">
        <f>IF('01_Stations'!$V$319=1,"───","")</f>
        <v/>
      </c>
      <c r="AL320" s="164" t="str">
        <f>IF('01_Stations'!$V$320=1,"───","")</f>
        <v/>
      </c>
      <c r="AM320" s="164" t="str">
        <f>IF('01_Stations'!$V$321=1,"───","")</f>
        <v/>
      </c>
      <c r="AN320" s="164" t="str">
        <f>IF('01_Stations'!$V$322=1,"───","")</f>
        <v/>
      </c>
      <c r="AO320" s="164" t="str">
        <f>IF('01_Stations'!$V$323=1,"───","")</f>
        <v/>
      </c>
      <c r="AP320" s="164" t="str">
        <f>IF('01_Stations'!$V$324=1,"───","")</f>
        <v/>
      </c>
      <c r="AQ320" s="164" t="str">
        <f>IF('01_Stations'!$V$325=1,"───","")</f>
        <v/>
      </c>
    </row>
    <row r="321" spans="1:43" ht="15" customHeight="1" x14ac:dyDescent="0.3">
      <c r="A321" s="236"/>
      <c r="B321" s="165"/>
      <c r="C321" s="166" t="s">
        <v>2216</v>
      </c>
      <c r="D321" s="164" t="str">
        <f>IF(N('01_Stations'!$W$286)&gt;0,'01_Stations'!$W$286,"")</f>
        <v/>
      </c>
      <c r="E321" s="164" t="str">
        <f>IF(N('01_Stations'!$W$287)&gt;0,'01_Stations'!$W$287,"")</f>
        <v/>
      </c>
      <c r="F321" s="164" t="str">
        <f>IF(N('01_Stations'!$W$288)&gt;0,'01_Stations'!$W$288,"")</f>
        <v/>
      </c>
      <c r="G321" s="164" t="str">
        <f>IF(N('01_Stations'!$W$289)&gt;0,'01_Stations'!$W$289,"")</f>
        <v/>
      </c>
      <c r="H321" s="164" t="str">
        <f>IF(N('01_Stations'!$W$290)&gt;0,'01_Stations'!$W$290,"")</f>
        <v/>
      </c>
      <c r="I321" s="164" t="str">
        <f>IF(N('01_Stations'!$W$291)&gt;0,'01_Stations'!$W$291,"")</f>
        <v/>
      </c>
      <c r="J321" s="164" t="str">
        <f>IF(N('01_Stations'!$W$292)&gt;0,'01_Stations'!$W$292,"")</f>
        <v/>
      </c>
      <c r="K321" s="164" t="str">
        <f>IF(N('01_Stations'!$W$293)&gt;0,'01_Stations'!$W$293,"")</f>
        <v/>
      </c>
      <c r="L321" s="164" t="str">
        <f>IF(N('01_Stations'!$W$294)&gt;0,'01_Stations'!$W$294,"")</f>
        <v/>
      </c>
      <c r="M321" s="164" t="str">
        <f>IF(N('01_Stations'!$W$295)&gt;0,'01_Stations'!$W$295,"")</f>
        <v/>
      </c>
      <c r="N321" s="164" t="str">
        <f>IF(N('01_Stations'!$W$296)&gt;0,'01_Stations'!$W$296,"")</f>
        <v/>
      </c>
      <c r="O321" s="164" t="str">
        <f>IF(N('01_Stations'!$W$297)&gt;0,'01_Stations'!$W$297,"")</f>
        <v/>
      </c>
      <c r="P321" s="164" t="str">
        <f>IF(N('01_Stations'!$W$298)&gt;0,'01_Stations'!$W$298,"")</f>
        <v/>
      </c>
      <c r="Q321" s="164" t="str">
        <f>IF(N('01_Stations'!$W$299)&gt;0,'01_Stations'!$W$299,"")</f>
        <v/>
      </c>
      <c r="R321" s="164" t="str">
        <f>IF(N('01_Stations'!$W$300)&gt;0,'01_Stations'!$W$300,"")</f>
        <v/>
      </c>
      <c r="S321" s="164" t="str">
        <f>IF(N('01_Stations'!$W$301)&gt;0,'01_Stations'!$W$301,"")</f>
        <v/>
      </c>
      <c r="T321" s="164" t="str">
        <f>IF(N('01_Stations'!$W$302)&gt;0,'01_Stations'!$W$302,"")</f>
        <v/>
      </c>
      <c r="U321" s="164" t="str">
        <f>IF(N('01_Stations'!$W$303)&gt;0,'01_Stations'!$W$303,"")</f>
        <v/>
      </c>
      <c r="V321" s="164" t="str">
        <f>IF(N('01_Stations'!$W$304)&gt;0,'01_Stations'!$W$304,"")</f>
        <v/>
      </c>
      <c r="W321" s="164" t="str">
        <f>IF(N('01_Stations'!$W$305)&gt;0,'01_Stations'!$W$305,"")</f>
        <v/>
      </c>
      <c r="X321" s="164" t="str">
        <f>IF(N('01_Stations'!$W$306)&gt;0,'01_Stations'!$W$306,"")</f>
        <v/>
      </c>
      <c r="Y321" s="164" t="str">
        <f>IF(N('01_Stations'!$W$307)&gt;0,'01_Stations'!$W$307,"")</f>
        <v/>
      </c>
      <c r="Z321" s="164" t="str">
        <f>IF(N('01_Stations'!$W$308)&gt;0,'01_Stations'!$W$308,"")</f>
        <v/>
      </c>
      <c r="AA321" s="164" t="str">
        <f>IF(N('01_Stations'!$W$309)&gt;0,'01_Stations'!$W$309,"")</f>
        <v/>
      </c>
      <c r="AB321" s="164" t="str">
        <f>IF(N('01_Stations'!$W$310)&gt;0,'01_Stations'!$W$310,"")</f>
        <v/>
      </c>
      <c r="AC321" s="164" t="str">
        <f>IF(N('01_Stations'!$W$311)&gt;0,'01_Stations'!$W$311,"")</f>
        <v/>
      </c>
      <c r="AD321" s="164" t="str">
        <f>IF(N('01_Stations'!$W$312)&gt;0,'01_Stations'!$W$312,"")</f>
        <v/>
      </c>
      <c r="AE321" s="164" t="str">
        <f>IF(N('01_Stations'!$W$313)&gt;0,'01_Stations'!$W$313,"")</f>
        <v/>
      </c>
      <c r="AF321" s="164" t="str">
        <f>IF(N('01_Stations'!$W$314)&gt;0,'01_Stations'!$W$314,"")</f>
        <v/>
      </c>
      <c r="AG321" s="164" t="str">
        <f>IF(N('01_Stations'!$W$315)&gt;0,'01_Stations'!$W$315,"")</f>
        <v/>
      </c>
      <c r="AH321" s="164" t="str">
        <f>IF(N('01_Stations'!$W$316)&gt;0,'01_Stations'!$W$316,"")</f>
        <v/>
      </c>
      <c r="AI321" s="164" t="str">
        <f>IF(N('01_Stations'!$W$317)&gt;0,'01_Stations'!$W$317,"")</f>
        <v/>
      </c>
      <c r="AJ321" s="164" t="str">
        <f>IF(N('01_Stations'!$W$318)&gt;0,'01_Stations'!$W$318,"")</f>
        <v/>
      </c>
      <c r="AK321" s="164" t="str">
        <f>IF(N('01_Stations'!$W$319)&gt;0,'01_Stations'!$W$319,"")</f>
        <v/>
      </c>
      <c r="AL321" s="164" t="str">
        <f>IF(N('01_Stations'!$W$320)&gt;0,'01_Stations'!$W$320,"")</f>
        <v/>
      </c>
      <c r="AM321" s="164" t="str">
        <f>IF(N('01_Stations'!$W$321)&gt;0,'01_Stations'!$W$321,"")</f>
        <v/>
      </c>
      <c r="AN321" s="164" t="str">
        <f>IF(N('01_Stations'!$W$322)&gt;0,'01_Stations'!$W$322,"")</f>
        <v/>
      </c>
      <c r="AO321" s="164" t="str">
        <f>IF(N('01_Stations'!$W$323)&gt;0,'01_Stations'!$W$323,"")</f>
        <v/>
      </c>
      <c r="AP321" s="164" t="str">
        <f>IF(N('01_Stations'!$W$324)&gt;0,'01_Stations'!$W$324,"")</f>
        <v/>
      </c>
      <c r="AQ321" s="164" t="str">
        <f>IF(N('01_Stations'!$W$325)&gt;0,'01_Stations'!$W$325,"")</f>
        <v/>
      </c>
    </row>
    <row r="322" spans="1:43" ht="15" customHeight="1" x14ac:dyDescent="0.3">
      <c r="A322" s="236"/>
      <c r="B322" s="165" t="s">
        <v>2217</v>
      </c>
      <c r="C322" s="166" t="s">
        <v>1622</v>
      </c>
      <c r="D322" s="164" t="str">
        <f>IF('01_Stations'!$X$286=1,"───","")</f>
        <v/>
      </c>
      <c r="E322" s="164" t="str">
        <f>IF('01_Stations'!$X$287=1,"───","")</f>
        <v/>
      </c>
      <c r="F322" s="164" t="str">
        <f>IF('01_Stations'!$X$288=1,"───","")</f>
        <v/>
      </c>
      <c r="G322" s="164" t="str">
        <f>IF('01_Stations'!$X$289=1,"───","")</f>
        <v/>
      </c>
      <c r="H322" s="164" t="str">
        <f>IF('01_Stations'!$X$290=1,"───","")</f>
        <v/>
      </c>
      <c r="I322" s="164" t="str">
        <f>IF('01_Stations'!$X$291=1,"───","")</f>
        <v/>
      </c>
      <c r="J322" s="164" t="str">
        <f>IF('01_Stations'!$X$292=1,"───","")</f>
        <v/>
      </c>
      <c r="K322" s="164" t="str">
        <f>IF('01_Stations'!$X$293=1,"───","")</f>
        <v/>
      </c>
      <c r="L322" s="164" t="str">
        <f>IF('01_Stations'!$X$294=1,"───","")</f>
        <v/>
      </c>
      <c r="M322" s="164" t="str">
        <f>IF('01_Stations'!$X$295=1,"───","")</f>
        <v/>
      </c>
      <c r="N322" s="164" t="str">
        <f>IF('01_Stations'!$X$296=1,"───","")</f>
        <v/>
      </c>
      <c r="O322" s="164" t="str">
        <f>IF('01_Stations'!$X$297=1,"───","")</f>
        <v/>
      </c>
      <c r="P322" s="164" t="str">
        <f>IF('01_Stations'!$X$298=1,"───","")</f>
        <v/>
      </c>
      <c r="Q322" s="164" t="str">
        <f>IF('01_Stations'!$X$299=1,"───","")</f>
        <v/>
      </c>
      <c r="R322" s="164" t="str">
        <f>IF('01_Stations'!$X$300=1,"───","")</f>
        <v/>
      </c>
      <c r="S322" s="164" t="str">
        <f>IF('01_Stations'!$X$301=1,"───","")</f>
        <v/>
      </c>
      <c r="T322" s="164" t="str">
        <f>IF('01_Stations'!$X$302=1,"───","")</f>
        <v/>
      </c>
      <c r="U322" s="164" t="str">
        <f>IF('01_Stations'!$X$303=1,"───","")</f>
        <v/>
      </c>
      <c r="V322" s="164" t="str">
        <f>IF('01_Stations'!$X$304=1,"───","")</f>
        <v/>
      </c>
      <c r="W322" s="164" t="str">
        <f>IF('01_Stations'!$X$305=1,"───","")</f>
        <v/>
      </c>
      <c r="X322" s="164" t="str">
        <f>IF('01_Stations'!$X$306=1,"───","")</f>
        <v/>
      </c>
      <c r="Y322" s="164" t="str">
        <f>IF('01_Stations'!$X$307=1,"───","")</f>
        <v/>
      </c>
      <c r="Z322" s="164" t="str">
        <f>IF('01_Stations'!$X$308=1,"───","")</f>
        <v/>
      </c>
      <c r="AA322" s="164" t="str">
        <f>IF('01_Stations'!$X$309=1,"───","")</f>
        <v/>
      </c>
      <c r="AB322" s="164" t="str">
        <f>IF('01_Stations'!$X$310=1,"───","")</f>
        <v/>
      </c>
      <c r="AC322" s="164" t="str">
        <f>IF('01_Stations'!$X$311=1,"───","")</f>
        <v/>
      </c>
      <c r="AD322" s="164" t="str">
        <f>IF('01_Stations'!$X$312=1,"───","")</f>
        <v/>
      </c>
      <c r="AE322" s="164" t="str">
        <f>IF('01_Stations'!$X$313=1,"───","")</f>
        <v/>
      </c>
      <c r="AF322" s="164" t="str">
        <f>IF('01_Stations'!$X$314=1,"───","")</f>
        <v/>
      </c>
      <c r="AG322" s="164" t="str">
        <f>IF('01_Stations'!$X$315=1,"───","")</f>
        <v/>
      </c>
      <c r="AH322" s="164" t="str">
        <f>IF('01_Stations'!$X$316=1,"───","")</f>
        <v/>
      </c>
      <c r="AI322" s="164" t="str">
        <f>IF('01_Stations'!$X$317=1,"───","")</f>
        <v/>
      </c>
      <c r="AJ322" s="164" t="str">
        <f>IF('01_Stations'!$X$318=1,"───","")</f>
        <v/>
      </c>
      <c r="AK322" s="164" t="str">
        <f>IF('01_Stations'!$X$319=1,"───","")</f>
        <v/>
      </c>
      <c r="AL322" s="164" t="str">
        <f>IF('01_Stations'!$X$320=1,"───","")</f>
        <v/>
      </c>
      <c r="AM322" s="164" t="str">
        <f>IF('01_Stations'!$X$321=1,"───","")</f>
        <v/>
      </c>
      <c r="AN322" s="164" t="str">
        <f>IF('01_Stations'!$X$322=1,"───","")</f>
        <v/>
      </c>
      <c r="AO322" s="164" t="str">
        <f>IF('01_Stations'!$X$323=1,"───","")</f>
        <v/>
      </c>
      <c r="AP322" s="164" t="str">
        <f>IF('01_Stations'!$X$324=1,"───","")</f>
        <v/>
      </c>
      <c r="AQ322" s="164" t="str">
        <f>IF('01_Stations'!$X$325=1,"───","")</f>
        <v/>
      </c>
    </row>
    <row r="323" spans="1:43" ht="15" customHeight="1" x14ac:dyDescent="0.3">
      <c r="A323" s="236"/>
      <c r="B323" s="165"/>
      <c r="C323" s="166" t="s">
        <v>2212</v>
      </c>
      <c r="D323" s="164" t="str">
        <f>IF('01_Stations'!$Y$286=1,"───","")</f>
        <v/>
      </c>
      <c r="E323" s="164" t="str">
        <f>IF('01_Stations'!$Y$287=1,"───","")</f>
        <v/>
      </c>
      <c r="F323" s="164" t="str">
        <f>IF('01_Stations'!$Y$288=1,"───","")</f>
        <v/>
      </c>
      <c r="G323" s="164" t="str">
        <f>IF('01_Stations'!$Y$289=1,"───","")</f>
        <v/>
      </c>
      <c r="H323" s="164" t="str">
        <f>IF('01_Stations'!$Y$290=1,"───","")</f>
        <v/>
      </c>
      <c r="I323" s="164" t="str">
        <f>IF('01_Stations'!$Y$291=1,"───","")</f>
        <v/>
      </c>
      <c r="J323" s="164" t="str">
        <f>IF('01_Stations'!$Y$292=1,"───","")</f>
        <v/>
      </c>
      <c r="K323" s="164" t="str">
        <f>IF('01_Stations'!$Y$293=1,"───","")</f>
        <v/>
      </c>
      <c r="L323" s="164" t="str">
        <f>IF('01_Stations'!$Y$294=1,"───","")</f>
        <v/>
      </c>
      <c r="M323" s="164" t="str">
        <f>IF('01_Stations'!$Y$295=1,"───","")</f>
        <v/>
      </c>
      <c r="N323" s="164" t="str">
        <f>IF('01_Stations'!$Y$296=1,"───","")</f>
        <v/>
      </c>
      <c r="O323" s="164" t="str">
        <f>IF('01_Stations'!$Y$297=1,"───","")</f>
        <v/>
      </c>
      <c r="P323" s="164" t="str">
        <f>IF('01_Stations'!$Y$298=1,"───","")</f>
        <v/>
      </c>
      <c r="Q323" s="164" t="str">
        <f>IF('01_Stations'!$Y$299=1,"───","")</f>
        <v/>
      </c>
      <c r="R323" s="164" t="str">
        <f>IF('01_Stations'!$Y$300=1,"───","")</f>
        <v/>
      </c>
      <c r="S323" s="164" t="str">
        <f>IF('01_Stations'!$Y$301=1,"───","")</f>
        <v/>
      </c>
      <c r="T323" s="164" t="str">
        <f>IF('01_Stations'!$Y$302=1,"───","")</f>
        <v/>
      </c>
      <c r="U323" s="164" t="str">
        <f>IF('01_Stations'!$Y$303=1,"───","")</f>
        <v/>
      </c>
      <c r="V323" s="164" t="str">
        <f>IF('01_Stations'!$Y$304=1,"───","")</f>
        <v/>
      </c>
      <c r="W323" s="164" t="str">
        <f>IF('01_Stations'!$Y$305=1,"───","")</f>
        <v/>
      </c>
      <c r="X323" s="164" t="str">
        <f>IF('01_Stations'!$Y$306=1,"───","")</f>
        <v/>
      </c>
      <c r="Y323" s="164" t="str">
        <f>IF('01_Stations'!$Y$307=1,"───","")</f>
        <v/>
      </c>
      <c r="Z323" s="164" t="str">
        <f>IF('01_Stations'!$Y$308=1,"───","")</f>
        <v/>
      </c>
      <c r="AA323" s="164" t="str">
        <f>IF('01_Stations'!$Y$309=1,"───","")</f>
        <v/>
      </c>
      <c r="AB323" s="164" t="str">
        <f>IF('01_Stations'!$Y$310=1,"───","")</f>
        <v/>
      </c>
      <c r="AC323" s="164" t="str">
        <f>IF('01_Stations'!$Y$311=1,"───","")</f>
        <v/>
      </c>
      <c r="AD323" s="164" t="str">
        <f>IF('01_Stations'!$Y$312=1,"───","")</f>
        <v/>
      </c>
      <c r="AE323" s="164" t="str">
        <f>IF('01_Stations'!$Y$313=1,"───","")</f>
        <v/>
      </c>
      <c r="AF323" s="164" t="str">
        <f>IF('01_Stations'!$Y$314=1,"───","")</f>
        <v/>
      </c>
      <c r="AG323" s="164" t="str">
        <f>IF('01_Stations'!$Y$315=1,"───","")</f>
        <v/>
      </c>
      <c r="AH323" s="164" t="str">
        <f>IF('01_Stations'!$Y$316=1,"───","")</f>
        <v/>
      </c>
      <c r="AI323" s="164" t="str">
        <f>IF('01_Stations'!$Y$317=1,"───","")</f>
        <v/>
      </c>
      <c r="AJ323" s="164" t="str">
        <f>IF('01_Stations'!$Y$318=1,"───","")</f>
        <v/>
      </c>
      <c r="AK323" s="164" t="str">
        <f>IF('01_Stations'!$Y$319=1,"───","")</f>
        <v/>
      </c>
      <c r="AL323" s="164" t="str">
        <f>IF('01_Stations'!$Y$320=1,"───","")</f>
        <v/>
      </c>
      <c r="AM323" s="164" t="str">
        <f>IF('01_Stations'!$Y$321=1,"───","")</f>
        <v/>
      </c>
      <c r="AN323" s="164" t="str">
        <f>IF('01_Stations'!$Y$322=1,"───","")</f>
        <v/>
      </c>
      <c r="AO323" s="164" t="str">
        <f>IF('01_Stations'!$Y$323=1,"───","")</f>
        <v/>
      </c>
      <c r="AP323" s="164" t="str">
        <f>IF('01_Stations'!$Y$324=1,"───","")</f>
        <v/>
      </c>
      <c r="AQ323" s="164" t="str">
        <f>IF('01_Stations'!$Y$325=1,"───","")</f>
        <v/>
      </c>
    </row>
    <row r="324" spans="1:43" ht="15" customHeight="1" x14ac:dyDescent="0.3">
      <c r="A324" s="236"/>
      <c r="B324" s="165" t="s">
        <v>2218</v>
      </c>
      <c r="C324" s="166" t="s">
        <v>1622</v>
      </c>
      <c r="D324" s="164" t="str">
        <f>IF('01_Stations'!$Z$286=1,"───","")</f>
        <v/>
      </c>
      <c r="E324" s="164" t="str">
        <f>IF('01_Stations'!$Z$287=1,"───","")</f>
        <v/>
      </c>
      <c r="F324" s="164" t="str">
        <f>IF('01_Stations'!$Z$288=1,"───","")</f>
        <v/>
      </c>
      <c r="G324" s="164" t="str">
        <f>IF('01_Stations'!$Z$289=1,"───","")</f>
        <v/>
      </c>
      <c r="H324" s="164" t="str">
        <f>IF('01_Stations'!$Z$290=1,"───","")</f>
        <v/>
      </c>
      <c r="I324" s="164" t="str">
        <f>IF('01_Stations'!$Z$291=1,"───","")</f>
        <v/>
      </c>
      <c r="J324" s="164" t="str">
        <f>IF('01_Stations'!$Z$292=1,"───","")</f>
        <v/>
      </c>
      <c r="K324" s="164" t="str">
        <f>IF('01_Stations'!$Z$293=1,"───","")</f>
        <v/>
      </c>
      <c r="L324" s="164" t="str">
        <f>IF('01_Stations'!$Z$294=1,"───","")</f>
        <v/>
      </c>
      <c r="M324" s="164" t="str">
        <f>IF('01_Stations'!$Z$295=1,"───","")</f>
        <v/>
      </c>
      <c r="N324" s="164" t="str">
        <f>IF('01_Stations'!$Z$296=1,"───","")</f>
        <v/>
      </c>
      <c r="O324" s="164" t="str">
        <f>IF('01_Stations'!$Z$297=1,"───","")</f>
        <v/>
      </c>
      <c r="P324" s="164" t="str">
        <f>IF('01_Stations'!$Z$298=1,"───","")</f>
        <v/>
      </c>
      <c r="Q324" s="164" t="str">
        <f>IF('01_Stations'!$Z$299=1,"───","")</f>
        <v/>
      </c>
      <c r="R324" s="164" t="str">
        <f>IF('01_Stations'!$Z$300=1,"───","")</f>
        <v/>
      </c>
      <c r="S324" s="164" t="str">
        <f>IF('01_Stations'!$Z$301=1,"───","")</f>
        <v/>
      </c>
      <c r="T324" s="164" t="str">
        <f>IF('01_Stations'!$Z$302=1,"───","")</f>
        <v/>
      </c>
      <c r="U324" s="164" t="str">
        <f>IF('01_Stations'!$Z$303=1,"───","")</f>
        <v/>
      </c>
      <c r="V324" s="164" t="str">
        <f>IF('01_Stations'!$Z$304=1,"───","")</f>
        <v/>
      </c>
      <c r="W324" s="164" t="str">
        <f>IF('01_Stations'!$Z$305=1,"───","")</f>
        <v/>
      </c>
      <c r="X324" s="164" t="str">
        <f>IF('01_Stations'!$Z$306=1,"───","")</f>
        <v/>
      </c>
      <c r="Y324" s="164" t="str">
        <f>IF('01_Stations'!$Z$307=1,"───","")</f>
        <v/>
      </c>
      <c r="Z324" s="164" t="str">
        <f>IF('01_Stations'!$Z$308=1,"───","")</f>
        <v/>
      </c>
      <c r="AA324" s="164" t="str">
        <f>IF('01_Stations'!$Z$309=1,"───","")</f>
        <v/>
      </c>
      <c r="AB324" s="164" t="str">
        <f>IF('01_Stations'!$Z$310=1,"───","")</f>
        <v/>
      </c>
      <c r="AC324" s="164" t="str">
        <f>IF('01_Stations'!$Z$311=1,"───","")</f>
        <v/>
      </c>
      <c r="AD324" s="164" t="str">
        <f>IF('01_Stations'!$Z$312=1,"───","")</f>
        <v/>
      </c>
      <c r="AE324" s="164" t="str">
        <f>IF('01_Stations'!$Z$313=1,"───","")</f>
        <v/>
      </c>
      <c r="AF324" s="164" t="str">
        <f>IF('01_Stations'!$Z$314=1,"───","")</f>
        <v/>
      </c>
      <c r="AG324" s="164" t="str">
        <f>IF('01_Stations'!$Z$315=1,"───","")</f>
        <v/>
      </c>
      <c r="AH324" s="164" t="str">
        <f>IF('01_Stations'!$Z$316=1,"───","")</f>
        <v/>
      </c>
      <c r="AI324" s="164" t="str">
        <f>IF('01_Stations'!$Z$317=1,"───","")</f>
        <v/>
      </c>
      <c r="AJ324" s="164" t="str">
        <f>IF('01_Stations'!$Z$318=1,"───","")</f>
        <v/>
      </c>
      <c r="AK324" s="164" t="str">
        <f>IF('01_Stations'!$Z$319=1,"───","")</f>
        <v/>
      </c>
      <c r="AL324" s="164" t="str">
        <f>IF('01_Stations'!$Z$320=1,"───","")</f>
        <v/>
      </c>
      <c r="AM324" s="164" t="str">
        <f>IF('01_Stations'!$Z$321=1,"───","")</f>
        <v/>
      </c>
      <c r="AN324" s="164" t="str">
        <f>IF('01_Stations'!$Z$322=1,"───","")</f>
        <v/>
      </c>
      <c r="AO324" s="164" t="str">
        <f>IF('01_Stations'!$Z$323=1,"───","")</f>
        <v/>
      </c>
      <c r="AP324" s="164" t="str">
        <f>IF('01_Stations'!$Z$324=1,"───","")</f>
        <v/>
      </c>
      <c r="AQ324" s="164" t="str">
        <f>IF('01_Stations'!$Z$325=1,"───","")</f>
        <v/>
      </c>
    </row>
    <row r="325" spans="1:43" ht="15" customHeight="1" x14ac:dyDescent="0.3">
      <c r="A325" s="236"/>
      <c r="B325" s="165"/>
      <c r="C325" s="166" t="s">
        <v>2212</v>
      </c>
      <c r="D325" s="164" t="str">
        <f>IF('01_Stations'!$AA$286=1,"───","")</f>
        <v/>
      </c>
      <c r="E325" s="164" t="str">
        <f>IF('01_Stations'!$AA$287=1,"───","")</f>
        <v/>
      </c>
      <c r="F325" s="164" t="str">
        <f>IF('01_Stations'!$AA$288=1,"───","")</f>
        <v/>
      </c>
      <c r="G325" s="164" t="str">
        <f>IF('01_Stations'!$AA$289=1,"───","")</f>
        <v/>
      </c>
      <c r="H325" s="164" t="str">
        <f>IF('01_Stations'!$AA$290=1,"───","")</f>
        <v/>
      </c>
      <c r="I325" s="164" t="str">
        <f>IF('01_Stations'!$AA$291=1,"───","")</f>
        <v/>
      </c>
      <c r="J325" s="164" t="str">
        <f>IF('01_Stations'!$AA$292=1,"───","")</f>
        <v/>
      </c>
      <c r="K325" s="164" t="str">
        <f>IF('01_Stations'!$AA$293=1,"───","")</f>
        <v/>
      </c>
      <c r="L325" s="164" t="str">
        <f>IF('01_Stations'!$AA$294=1,"───","")</f>
        <v/>
      </c>
      <c r="M325" s="164" t="str">
        <f>IF('01_Stations'!$AA$295=1,"───","")</f>
        <v/>
      </c>
      <c r="N325" s="164" t="str">
        <f>IF('01_Stations'!$AA$296=1,"───","")</f>
        <v/>
      </c>
      <c r="O325" s="164" t="str">
        <f>IF('01_Stations'!$AA$297=1,"───","")</f>
        <v/>
      </c>
      <c r="P325" s="164" t="str">
        <f>IF('01_Stations'!$AA$298=1,"───","")</f>
        <v/>
      </c>
      <c r="Q325" s="164" t="str">
        <f>IF('01_Stations'!$AA$299=1,"───","")</f>
        <v/>
      </c>
      <c r="R325" s="164" t="str">
        <f>IF('01_Stations'!$AA$300=1,"───","")</f>
        <v/>
      </c>
      <c r="S325" s="164" t="str">
        <f>IF('01_Stations'!$AA$301=1,"───","")</f>
        <v/>
      </c>
      <c r="T325" s="164" t="str">
        <f>IF('01_Stations'!$AA$302=1,"───","")</f>
        <v/>
      </c>
      <c r="U325" s="164" t="str">
        <f>IF('01_Stations'!$AA$303=1,"───","")</f>
        <v/>
      </c>
      <c r="V325" s="164" t="str">
        <f>IF('01_Stations'!$AA$304=1,"───","")</f>
        <v/>
      </c>
      <c r="W325" s="164" t="str">
        <f>IF('01_Stations'!$AA$305=1,"───","")</f>
        <v/>
      </c>
      <c r="X325" s="164" t="str">
        <f>IF('01_Stations'!$AA$306=1,"───","")</f>
        <v/>
      </c>
      <c r="Y325" s="164" t="str">
        <f>IF('01_Stations'!$AA$307=1,"───","")</f>
        <v/>
      </c>
      <c r="Z325" s="164" t="str">
        <f>IF('01_Stations'!$AA$308=1,"───","")</f>
        <v/>
      </c>
      <c r="AA325" s="164" t="str">
        <f>IF('01_Stations'!$AA$309=1,"───","")</f>
        <v/>
      </c>
      <c r="AB325" s="164" t="str">
        <f>IF('01_Stations'!$AA$310=1,"───","")</f>
        <v/>
      </c>
      <c r="AC325" s="164" t="str">
        <f>IF('01_Stations'!$AA$311=1,"───","")</f>
        <v/>
      </c>
      <c r="AD325" s="164" t="str">
        <f>IF('01_Stations'!$AA$312=1,"───","")</f>
        <v/>
      </c>
      <c r="AE325" s="164" t="str">
        <f>IF('01_Stations'!$AA$313=1,"───","")</f>
        <v/>
      </c>
      <c r="AF325" s="164" t="str">
        <f>IF('01_Stations'!$AA$314=1,"───","")</f>
        <v/>
      </c>
      <c r="AG325" s="164" t="str">
        <f>IF('01_Stations'!$AA$315=1,"───","")</f>
        <v/>
      </c>
      <c r="AH325" s="164" t="str">
        <f>IF('01_Stations'!$AA$316=1,"───","")</f>
        <v/>
      </c>
      <c r="AI325" s="164" t="str">
        <f>IF('01_Stations'!$AA$317=1,"───","")</f>
        <v/>
      </c>
      <c r="AJ325" s="164" t="str">
        <f>IF('01_Stations'!$AA$318=1,"───","")</f>
        <v/>
      </c>
      <c r="AK325" s="164" t="str">
        <f>IF('01_Stations'!$AA$319=1,"───","")</f>
        <v/>
      </c>
      <c r="AL325" s="164" t="str">
        <f>IF('01_Stations'!$AA$320=1,"───","")</f>
        <v/>
      </c>
      <c r="AM325" s="164" t="str">
        <f>IF('01_Stations'!$AA$321=1,"───","")</f>
        <v/>
      </c>
      <c r="AN325" s="164" t="str">
        <f>IF('01_Stations'!$AA$322=1,"───","")</f>
        <v/>
      </c>
      <c r="AO325" s="164" t="str">
        <f>IF('01_Stations'!$AA$323=1,"───","")</f>
        <v/>
      </c>
      <c r="AP325" s="164" t="str">
        <f>IF('01_Stations'!$AA$324=1,"───","")</f>
        <v/>
      </c>
      <c r="AQ325" s="164" t="str">
        <f>IF('01_Stations'!$AA$325=1,"───","")</f>
        <v/>
      </c>
    </row>
    <row r="326" spans="1:43" ht="15" customHeight="1" x14ac:dyDescent="0.3">
      <c r="A326" s="236"/>
      <c r="B326" s="165" t="s">
        <v>200</v>
      </c>
      <c r="C326" s="166" t="s">
        <v>2219</v>
      </c>
      <c r="D326" s="164" t="str">
        <f>IF('01_Stations'!$AB$286=1,"───","")</f>
        <v/>
      </c>
      <c r="E326" s="164" t="str">
        <f>IF('01_Stations'!$AB$287=1,"───","")</f>
        <v/>
      </c>
      <c r="F326" s="164" t="str">
        <f>IF('01_Stations'!$AB$288=1,"───","")</f>
        <v/>
      </c>
      <c r="G326" s="164" t="str">
        <f>IF('01_Stations'!$AB$289=1,"───","")</f>
        <v/>
      </c>
      <c r="H326" s="164" t="str">
        <f>IF('01_Stations'!$AB$290=1,"───","")</f>
        <v/>
      </c>
      <c r="I326" s="164" t="str">
        <f>IF('01_Stations'!$AB$291=1,"───","")</f>
        <v/>
      </c>
      <c r="J326" s="164" t="str">
        <f>IF('01_Stations'!$AB$292=1,"───","")</f>
        <v/>
      </c>
      <c r="K326" s="164" t="str">
        <f>IF('01_Stations'!$AB$293=1,"───","")</f>
        <v/>
      </c>
      <c r="L326" s="164" t="str">
        <f>IF('01_Stations'!$AB$294=1,"───","")</f>
        <v/>
      </c>
      <c r="M326" s="164" t="str">
        <f>IF('01_Stations'!$AB$295=1,"───","")</f>
        <v/>
      </c>
      <c r="N326" s="164" t="str">
        <f>IF('01_Stations'!$AB$296=1,"───","")</f>
        <v/>
      </c>
      <c r="O326" s="164" t="str">
        <f>IF('01_Stations'!$AB$297=1,"───","")</f>
        <v/>
      </c>
      <c r="P326" s="164" t="str">
        <f>IF('01_Stations'!$AB$298=1,"───","")</f>
        <v/>
      </c>
      <c r="Q326" s="164" t="str">
        <f>IF('01_Stations'!$AB$299=1,"───","")</f>
        <v/>
      </c>
      <c r="R326" s="164" t="str">
        <f>IF('01_Stations'!$AB$300=1,"───","")</f>
        <v/>
      </c>
      <c r="S326" s="164" t="str">
        <f>IF('01_Stations'!$AB$301=1,"───","")</f>
        <v/>
      </c>
      <c r="T326" s="164" t="str">
        <f>IF('01_Stations'!$AB$302=1,"───","")</f>
        <v/>
      </c>
      <c r="U326" s="164" t="str">
        <f>IF('01_Stations'!$AB$303=1,"───","")</f>
        <v/>
      </c>
      <c r="V326" s="164" t="str">
        <f>IF('01_Stations'!$AB$304=1,"───","")</f>
        <v/>
      </c>
      <c r="W326" s="164" t="str">
        <f>IF('01_Stations'!$AB$305=1,"───","")</f>
        <v/>
      </c>
      <c r="X326" s="164" t="str">
        <f>IF('01_Stations'!$AB$306=1,"───","")</f>
        <v/>
      </c>
      <c r="Y326" s="164" t="str">
        <f>IF('01_Stations'!$AB$307=1,"───","")</f>
        <v/>
      </c>
      <c r="Z326" s="164" t="str">
        <f>IF('01_Stations'!$AB$308=1,"───","")</f>
        <v/>
      </c>
      <c r="AA326" s="164" t="str">
        <f>IF('01_Stations'!$AB$309=1,"───","")</f>
        <v/>
      </c>
      <c r="AB326" s="164" t="str">
        <f>IF('01_Stations'!$AB$310=1,"───","")</f>
        <v/>
      </c>
      <c r="AC326" s="164" t="str">
        <f>IF('01_Stations'!$AB$311=1,"───","")</f>
        <v/>
      </c>
      <c r="AD326" s="164" t="str">
        <f>IF('01_Stations'!$AB$312=1,"───","")</f>
        <v/>
      </c>
      <c r="AE326" s="164" t="str">
        <f>IF('01_Stations'!$AB$313=1,"───","")</f>
        <v/>
      </c>
      <c r="AF326" s="164" t="str">
        <f>IF('01_Stations'!$AB$314=1,"───","")</f>
        <v/>
      </c>
      <c r="AG326" s="164" t="str">
        <f>IF('01_Stations'!$AB$315=1,"───","")</f>
        <v/>
      </c>
      <c r="AH326" s="164" t="str">
        <f>IF('01_Stations'!$AB$316=1,"───","")</f>
        <v/>
      </c>
      <c r="AI326" s="164" t="str">
        <f>IF('01_Stations'!$AB$317=1,"───","")</f>
        <v/>
      </c>
      <c r="AJ326" s="164" t="str">
        <f>IF('01_Stations'!$AB$318=1,"───","")</f>
        <v/>
      </c>
      <c r="AK326" s="164" t="str">
        <f>IF('01_Stations'!$AB$319=1,"───","")</f>
        <v/>
      </c>
      <c r="AL326" s="164" t="str">
        <f>IF('01_Stations'!$AB$320=1,"───","")</f>
        <v/>
      </c>
      <c r="AM326" s="164" t="str">
        <f>IF('01_Stations'!$AB$321=1,"───","")</f>
        <v/>
      </c>
      <c r="AN326" s="164" t="str">
        <f>IF('01_Stations'!$AB$322=1,"───","")</f>
        <v/>
      </c>
      <c r="AO326" s="164" t="str">
        <f>IF('01_Stations'!$AB$323=1,"───","")</f>
        <v/>
      </c>
      <c r="AP326" s="164" t="str">
        <f>IF('01_Stations'!$AB$324=1,"───","")</f>
        <v/>
      </c>
      <c r="AQ326" s="164" t="str">
        <f>IF('01_Stations'!$AB$325=1,"───","")</f>
        <v/>
      </c>
    </row>
    <row r="327" spans="1:43" ht="15" customHeight="1" x14ac:dyDescent="0.3">
      <c r="A327" s="236"/>
      <c r="B327" s="165"/>
      <c r="C327" s="166" t="s">
        <v>2220</v>
      </c>
      <c r="D327" s="164" t="str">
        <f>IF(N('01_Stations'!$AC$286)&gt;0,'01_Stations'!$AC$286,"")</f>
        <v/>
      </c>
      <c r="E327" s="164" t="str">
        <f>IF(N('01_Stations'!$AC$287)&gt;0,'01_Stations'!$AC$287,"")</f>
        <v/>
      </c>
      <c r="F327" s="164" t="str">
        <f>IF(N('01_Stations'!$AC$288)&gt;0,'01_Stations'!$AC$288,"")</f>
        <v/>
      </c>
      <c r="G327" s="164" t="str">
        <f>IF(N('01_Stations'!$AC$289)&gt;0,'01_Stations'!$AC$289,"")</f>
        <v/>
      </c>
      <c r="H327" s="164" t="str">
        <f>IF(N('01_Stations'!$AC$290)&gt;0,'01_Stations'!$AC$290,"")</f>
        <v/>
      </c>
      <c r="I327" s="164" t="str">
        <f>IF(N('01_Stations'!$AC$291)&gt;0,'01_Stations'!$AC$291,"")</f>
        <v/>
      </c>
      <c r="J327" s="164" t="str">
        <f>IF(N('01_Stations'!$AC$292)&gt;0,'01_Stations'!$AC$292,"")</f>
        <v/>
      </c>
      <c r="K327" s="164" t="str">
        <f>IF(N('01_Stations'!$AC$293)&gt;0,'01_Stations'!$AC$293,"")</f>
        <v/>
      </c>
      <c r="L327" s="164" t="str">
        <f>IF(N('01_Stations'!$AC$294)&gt;0,'01_Stations'!$AC$294,"")</f>
        <v/>
      </c>
      <c r="M327" s="164" t="str">
        <f>IF(N('01_Stations'!$AC$295)&gt;0,'01_Stations'!$AC$295,"")</f>
        <v/>
      </c>
      <c r="N327" s="164" t="str">
        <f>IF(N('01_Stations'!$AC$296)&gt;0,'01_Stations'!$AC$296,"")</f>
        <v/>
      </c>
      <c r="O327" s="164" t="str">
        <f>IF(N('01_Stations'!$AC$297)&gt;0,'01_Stations'!$AC$297,"")</f>
        <v/>
      </c>
      <c r="P327" s="164" t="str">
        <f>IF(N('01_Stations'!$AC$298)&gt;0,'01_Stations'!$AC$298,"")</f>
        <v/>
      </c>
      <c r="Q327" s="164" t="str">
        <f>IF(N('01_Stations'!$AC$299)&gt;0,'01_Stations'!$AC$299,"")</f>
        <v/>
      </c>
      <c r="R327" s="164" t="str">
        <f>IF(N('01_Stations'!$AC$300)&gt;0,'01_Stations'!$AC$300,"")</f>
        <v/>
      </c>
      <c r="S327" s="164" t="str">
        <f>IF(N('01_Stations'!$AC$301)&gt;0,'01_Stations'!$AC$301,"")</f>
        <v/>
      </c>
      <c r="T327" s="164" t="str">
        <f>IF(N('01_Stations'!$AC$302)&gt;0,'01_Stations'!$AC$302,"")</f>
        <v/>
      </c>
      <c r="U327" s="164" t="str">
        <f>IF(N('01_Stations'!$AC$303)&gt;0,'01_Stations'!$AC$303,"")</f>
        <v/>
      </c>
      <c r="V327" s="164" t="str">
        <f>IF(N('01_Stations'!$AC$304)&gt;0,'01_Stations'!$AC$304,"")</f>
        <v/>
      </c>
      <c r="W327" s="164" t="str">
        <f>IF(N('01_Stations'!$AC$305)&gt;0,'01_Stations'!$AC$305,"")</f>
        <v/>
      </c>
      <c r="X327" s="164" t="str">
        <f>IF(N('01_Stations'!$AC$306)&gt;0,'01_Stations'!$AC$306,"")</f>
        <v/>
      </c>
      <c r="Y327" s="164" t="str">
        <f>IF(N('01_Stations'!$AC$307)&gt;0,'01_Stations'!$AC$307,"")</f>
        <v/>
      </c>
      <c r="Z327" s="164" t="str">
        <f>IF(N('01_Stations'!$AC$308)&gt;0,'01_Stations'!$AC$308,"")</f>
        <v/>
      </c>
      <c r="AA327" s="164" t="str">
        <f>IF(N('01_Stations'!$AC$309)&gt;0,'01_Stations'!$AC$309,"")</f>
        <v/>
      </c>
      <c r="AB327" s="164" t="str">
        <f>IF(N('01_Stations'!$AC$310)&gt;0,'01_Stations'!$AC$310,"")</f>
        <v/>
      </c>
      <c r="AC327" s="164" t="str">
        <f>IF(N('01_Stations'!$AC$311)&gt;0,'01_Stations'!$AC$311,"")</f>
        <v/>
      </c>
      <c r="AD327" s="164" t="str">
        <f>IF(N('01_Stations'!$AC$312)&gt;0,'01_Stations'!$AC$312,"")</f>
        <v/>
      </c>
      <c r="AE327" s="164" t="str">
        <f>IF(N('01_Stations'!$AC$313)&gt;0,'01_Stations'!$AC$313,"")</f>
        <v/>
      </c>
      <c r="AF327" s="164" t="str">
        <f>IF(N('01_Stations'!$AC$314)&gt;0,'01_Stations'!$AC$314,"")</f>
        <v/>
      </c>
      <c r="AG327" s="164" t="str">
        <f>IF(N('01_Stations'!$AC$315)&gt;0,'01_Stations'!$AC$315,"")</f>
        <v/>
      </c>
      <c r="AH327" s="164" t="str">
        <f>IF(N('01_Stations'!$AC$316)&gt;0,'01_Stations'!$AC$316,"")</f>
        <v/>
      </c>
      <c r="AI327" s="164" t="str">
        <f>IF(N('01_Stations'!$AC$317)&gt;0,'01_Stations'!$AC$317,"")</f>
        <v/>
      </c>
      <c r="AJ327" s="164" t="str">
        <f>IF(N('01_Stations'!$AC$318)&gt;0,'01_Stations'!$AC$318,"")</f>
        <v/>
      </c>
      <c r="AK327" s="164" t="str">
        <f>IF(N('01_Stations'!$AC$319)&gt;0,'01_Stations'!$AC$319,"")</f>
        <v/>
      </c>
      <c r="AL327" s="164" t="str">
        <f>IF(N('01_Stations'!$AC$320)&gt;0,'01_Stations'!$AC$320,"")</f>
        <v/>
      </c>
      <c r="AM327" s="164" t="str">
        <f>IF(N('01_Stations'!$AC$321)&gt;0,'01_Stations'!$AC$321,"")</f>
        <v/>
      </c>
      <c r="AN327" s="164" t="str">
        <f>IF(N('01_Stations'!$AC$322)&gt;0,'01_Stations'!$AC$322,"")</f>
        <v/>
      </c>
      <c r="AO327" s="164" t="str">
        <f>IF(N('01_Stations'!$AC$323)&gt;0,'01_Stations'!$AC$323,"")</f>
        <v/>
      </c>
      <c r="AP327" s="164" t="str">
        <f>IF(N('01_Stations'!$AC$324)&gt;0,'01_Stations'!$AC$324,"")</f>
        <v/>
      </c>
      <c r="AQ327" s="164" t="str">
        <f>IF(N('01_Stations'!$AC$325)&gt;0,'01_Stations'!$AC$325,"")</f>
        <v/>
      </c>
    </row>
    <row r="328" spans="1:43" ht="15" customHeight="1" x14ac:dyDescent="0.3">
      <c r="A328" s="236"/>
      <c r="B328" s="165" t="s">
        <v>2221</v>
      </c>
      <c r="C328" s="166" t="s">
        <v>1622</v>
      </c>
      <c r="D328" s="164" t="str">
        <f>IF(N('01_Stations'!$AD$286)&gt;0,'01_Stations'!$AD$286,"")</f>
        <v/>
      </c>
      <c r="E328" s="164" t="str">
        <f>IF(N('01_Stations'!$AD$287)&gt;0,'01_Stations'!$AD$287,"")</f>
        <v/>
      </c>
      <c r="F328" s="164" t="str">
        <f>IF(N('01_Stations'!$AD$288)&gt;0,'01_Stations'!$AD$288,"")</f>
        <v/>
      </c>
      <c r="G328" s="164" t="str">
        <f>IF(N('01_Stations'!$AD$289)&gt;0,'01_Stations'!$AD$289,"")</f>
        <v/>
      </c>
      <c r="H328" s="164" t="str">
        <f>IF(N('01_Stations'!$AD$290)&gt;0,'01_Stations'!$AD$290,"")</f>
        <v/>
      </c>
      <c r="I328" s="164" t="str">
        <f>IF(N('01_Stations'!$AD$291)&gt;0,'01_Stations'!$AD$291,"")</f>
        <v/>
      </c>
      <c r="J328" s="164" t="str">
        <f>IF(N('01_Stations'!$AD$292)&gt;0,'01_Stations'!$AD$292,"")</f>
        <v/>
      </c>
      <c r="K328" s="164" t="str">
        <f>IF(N('01_Stations'!$AD$293)&gt;0,'01_Stations'!$AD$293,"")</f>
        <v/>
      </c>
      <c r="L328" s="164" t="str">
        <f>IF(N('01_Stations'!$AD$294)&gt;0,'01_Stations'!$AD$294,"")</f>
        <v/>
      </c>
      <c r="M328" s="164" t="str">
        <f>IF(N('01_Stations'!$AD$295)&gt;0,'01_Stations'!$AD$295,"")</f>
        <v/>
      </c>
      <c r="N328" s="164" t="str">
        <f>IF(N('01_Stations'!$AD$296)&gt;0,'01_Stations'!$AD$296,"")</f>
        <v/>
      </c>
      <c r="O328" s="164" t="str">
        <f>IF(N('01_Stations'!$AD$297)&gt;0,'01_Stations'!$AD$297,"")</f>
        <v/>
      </c>
      <c r="P328" s="164" t="str">
        <f>IF(N('01_Stations'!$AD$298)&gt;0,'01_Stations'!$AD$298,"")</f>
        <v/>
      </c>
      <c r="Q328" s="164" t="str">
        <f>IF(N('01_Stations'!$AD$299)&gt;0,'01_Stations'!$AD$299,"")</f>
        <v/>
      </c>
      <c r="R328" s="164" t="str">
        <f>IF(N('01_Stations'!$AD$300)&gt;0,'01_Stations'!$AD$300,"")</f>
        <v/>
      </c>
      <c r="S328" s="164" t="str">
        <f>IF(N('01_Stations'!$AD$301)&gt;0,'01_Stations'!$AD$301,"")</f>
        <v/>
      </c>
      <c r="T328" s="164" t="str">
        <f>IF(N('01_Stations'!$AD$302)&gt;0,'01_Stations'!$AD$302,"")</f>
        <v/>
      </c>
      <c r="U328" s="164" t="str">
        <f>IF(N('01_Stations'!$AD$303)&gt;0,'01_Stations'!$AD$303,"")</f>
        <v/>
      </c>
      <c r="V328" s="164" t="str">
        <f>IF(N('01_Stations'!$AD$304)&gt;0,'01_Stations'!$AD$304,"")</f>
        <v/>
      </c>
      <c r="W328" s="164" t="str">
        <f>IF(N('01_Stations'!$AD$305)&gt;0,'01_Stations'!$AD$305,"")</f>
        <v/>
      </c>
      <c r="X328" s="164" t="str">
        <f>IF(N('01_Stations'!$AD$306)&gt;0,'01_Stations'!$AD$306,"")</f>
        <v/>
      </c>
      <c r="Y328" s="164" t="str">
        <f>IF(N('01_Stations'!$AD$307)&gt;0,'01_Stations'!$AD$307,"")</f>
        <v/>
      </c>
      <c r="Z328" s="164" t="str">
        <f>IF(N('01_Stations'!$AD$308)&gt;0,'01_Stations'!$AD$308,"")</f>
        <v/>
      </c>
      <c r="AA328" s="164" t="str">
        <f>IF(N('01_Stations'!$AD$309)&gt;0,'01_Stations'!$AD$309,"")</f>
        <v/>
      </c>
      <c r="AB328" s="164" t="str">
        <f>IF(N('01_Stations'!$AD$310)&gt;0,'01_Stations'!$AD$310,"")</f>
        <v/>
      </c>
      <c r="AC328" s="164" t="str">
        <f>IF(N('01_Stations'!$AD$311)&gt;0,'01_Stations'!$AD$311,"")</f>
        <v/>
      </c>
      <c r="AD328" s="164" t="str">
        <f>IF(N('01_Stations'!$AD$312)&gt;0,'01_Stations'!$AD$312,"")</f>
        <v/>
      </c>
      <c r="AE328" s="164" t="str">
        <f>IF(N('01_Stations'!$AD$313)&gt;0,'01_Stations'!$AD$313,"")</f>
        <v/>
      </c>
      <c r="AF328" s="164" t="str">
        <f>IF(N('01_Stations'!$AD$314)&gt;0,'01_Stations'!$AD$314,"")</f>
        <v/>
      </c>
      <c r="AG328" s="164" t="str">
        <f>IF(N('01_Stations'!$AD$315)&gt;0,'01_Stations'!$AD$315,"")</f>
        <v/>
      </c>
      <c r="AH328" s="164" t="str">
        <f>IF(N('01_Stations'!$AD$316)&gt;0,'01_Stations'!$AD$316,"")</f>
        <v/>
      </c>
      <c r="AI328" s="164" t="str">
        <f>IF(N('01_Stations'!$AD$317)&gt;0,'01_Stations'!$AD$317,"")</f>
        <v/>
      </c>
      <c r="AJ328" s="164" t="str">
        <f>IF(N('01_Stations'!$AD$318)&gt;0,'01_Stations'!$AD$318,"")</f>
        <v/>
      </c>
      <c r="AK328" s="164" t="str">
        <f>IF(N('01_Stations'!$AD$319)&gt;0,'01_Stations'!$AD$319,"")</f>
        <v/>
      </c>
      <c r="AL328" s="164" t="str">
        <f>IF(N('01_Stations'!$AD$320)&gt;0,'01_Stations'!$AD$320,"")</f>
        <v/>
      </c>
      <c r="AM328" s="164" t="str">
        <f>IF(N('01_Stations'!$AD$321)&gt;0,'01_Stations'!$AD$321,"")</f>
        <v/>
      </c>
      <c r="AN328" s="164" t="str">
        <f>IF(N('01_Stations'!$AD$322)&gt;0,'01_Stations'!$AD$322,"")</f>
        <v/>
      </c>
      <c r="AO328" s="164" t="str">
        <f>IF(N('01_Stations'!$AD$323)&gt;0,'01_Stations'!$AD$323,"")</f>
        <v/>
      </c>
      <c r="AP328" s="164" t="str">
        <f>IF(N('01_Stations'!$AD$324)&gt;0,'01_Stations'!$AD$324,"")</f>
        <v/>
      </c>
      <c r="AQ328" s="164" t="str">
        <f>IF(N('01_Stations'!$AD$325)&gt;0,'01_Stations'!$AD$325,"")</f>
        <v/>
      </c>
    </row>
    <row r="329" spans="1:43" ht="15" customHeight="1" x14ac:dyDescent="0.3">
      <c r="A329" s="236"/>
      <c r="B329" s="165"/>
      <c r="C329" s="166" t="s">
        <v>2212</v>
      </c>
      <c r="D329" s="164" t="str">
        <f>IF(N('01_Stations'!$AE$286)&gt;0,'01_Stations'!$AE$286,"")</f>
        <v/>
      </c>
      <c r="E329" s="164" t="str">
        <f>IF(N('01_Stations'!$AE$287)&gt;0,'01_Stations'!$AE$287,"")</f>
        <v/>
      </c>
      <c r="F329" s="164" t="str">
        <f>IF(N('01_Stations'!$AE$288)&gt;0,'01_Stations'!$AE$288,"")</f>
        <v/>
      </c>
      <c r="G329" s="164" t="str">
        <f>IF(N('01_Stations'!$AE$289)&gt;0,'01_Stations'!$AE$289,"")</f>
        <v/>
      </c>
      <c r="H329" s="164" t="str">
        <f>IF(N('01_Stations'!$AE$290)&gt;0,'01_Stations'!$AE$290,"")</f>
        <v/>
      </c>
      <c r="I329" s="164" t="str">
        <f>IF(N('01_Stations'!$AE$291)&gt;0,'01_Stations'!$AE$291,"")</f>
        <v/>
      </c>
      <c r="J329" s="164" t="str">
        <f>IF(N('01_Stations'!$AE$292)&gt;0,'01_Stations'!$AE$292,"")</f>
        <v/>
      </c>
      <c r="K329" s="164" t="str">
        <f>IF(N('01_Stations'!$AE$293)&gt;0,'01_Stations'!$AE$293,"")</f>
        <v/>
      </c>
      <c r="L329" s="164" t="str">
        <f>IF(N('01_Stations'!$AE$294)&gt;0,'01_Stations'!$AE$294,"")</f>
        <v/>
      </c>
      <c r="M329" s="164" t="str">
        <f>IF(N('01_Stations'!$AE$295)&gt;0,'01_Stations'!$AE$295,"")</f>
        <v/>
      </c>
      <c r="N329" s="164" t="str">
        <f>IF(N('01_Stations'!$AE$296)&gt;0,'01_Stations'!$AE$296,"")</f>
        <v/>
      </c>
      <c r="O329" s="164" t="str">
        <f>IF(N('01_Stations'!$AE$297)&gt;0,'01_Stations'!$AE$297,"")</f>
        <v/>
      </c>
      <c r="P329" s="164" t="str">
        <f>IF(N('01_Stations'!$AE$298)&gt;0,'01_Stations'!$AE$298,"")</f>
        <v/>
      </c>
      <c r="Q329" s="164" t="str">
        <f>IF(N('01_Stations'!$AE$299)&gt;0,'01_Stations'!$AE$299,"")</f>
        <v/>
      </c>
      <c r="R329" s="164" t="str">
        <f>IF(N('01_Stations'!$AE$300)&gt;0,'01_Stations'!$AE$300,"")</f>
        <v/>
      </c>
      <c r="S329" s="164" t="str">
        <f>IF(N('01_Stations'!$AE$301)&gt;0,'01_Stations'!$AE$301,"")</f>
        <v/>
      </c>
      <c r="T329" s="164" t="str">
        <f>IF(N('01_Stations'!$AE$302)&gt;0,'01_Stations'!$AE$302,"")</f>
        <v/>
      </c>
      <c r="U329" s="164" t="str">
        <f>IF(N('01_Stations'!$AE$303)&gt;0,'01_Stations'!$AE$303,"")</f>
        <v/>
      </c>
      <c r="V329" s="164" t="str">
        <f>IF(N('01_Stations'!$AE$304)&gt;0,'01_Stations'!$AE$304,"")</f>
        <v/>
      </c>
      <c r="W329" s="164" t="str">
        <f>IF(N('01_Stations'!$AE$305)&gt;0,'01_Stations'!$AE$305,"")</f>
        <v/>
      </c>
      <c r="X329" s="164" t="str">
        <f>IF(N('01_Stations'!$AE$306)&gt;0,'01_Stations'!$AE$306,"")</f>
        <v/>
      </c>
      <c r="Y329" s="164" t="str">
        <f>IF(N('01_Stations'!$AE$307)&gt;0,'01_Stations'!$AE$307,"")</f>
        <v/>
      </c>
      <c r="Z329" s="164" t="str">
        <f>IF(N('01_Stations'!$AE$308)&gt;0,'01_Stations'!$AE$308,"")</f>
        <v/>
      </c>
      <c r="AA329" s="164" t="str">
        <f>IF(N('01_Stations'!$AE$309)&gt;0,'01_Stations'!$AE$309,"")</f>
        <v/>
      </c>
      <c r="AB329" s="164" t="str">
        <f>IF(N('01_Stations'!$AE$310)&gt;0,'01_Stations'!$AE$310,"")</f>
        <v/>
      </c>
      <c r="AC329" s="164" t="str">
        <f>IF(N('01_Stations'!$AE$311)&gt;0,'01_Stations'!$AE$311,"")</f>
        <v/>
      </c>
      <c r="AD329" s="164" t="str">
        <f>IF(N('01_Stations'!$AE$312)&gt;0,'01_Stations'!$AE$312,"")</f>
        <v/>
      </c>
      <c r="AE329" s="164" t="str">
        <f>IF(N('01_Stations'!$AE$313)&gt;0,'01_Stations'!$AE$313,"")</f>
        <v/>
      </c>
      <c r="AF329" s="164" t="str">
        <f>IF(N('01_Stations'!$AE$314)&gt;0,'01_Stations'!$AE$314,"")</f>
        <v/>
      </c>
      <c r="AG329" s="164" t="str">
        <f>IF(N('01_Stations'!$AE$315)&gt;0,'01_Stations'!$AE$315,"")</f>
        <v/>
      </c>
      <c r="AH329" s="164" t="str">
        <f>IF(N('01_Stations'!$AE$316)&gt;0,'01_Stations'!$AE$316,"")</f>
        <v/>
      </c>
      <c r="AI329" s="164" t="str">
        <f>IF(N('01_Stations'!$AE$317)&gt;0,'01_Stations'!$AE$317,"")</f>
        <v/>
      </c>
      <c r="AJ329" s="164" t="str">
        <f>IF(N('01_Stations'!$AE$318)&gt;0,'01_Stations'!$AE$318,"")</f>
        <v/>
      </c>
      <c r="AK329" s="164" t="str">
        <f>IF(N('01_Stations'!$AE$319)&gt;0,'01_Stations'!$AE$319,"")</f>
        <v/>
      </c>
      <c r="AL329" s="164" t="str">
        <f>IF(N('01_Stations'!$AE$320)&gt;0,'01_Stations'!$AE$320,"")</f>
        <v/>
      </c>
      <c r="AM329" s="164" t="str">
        <f>IF(N('01_Stations'!$AE$321)&gt;0,'01_Stations'!$AE$321,"")</f>
        <v/>
      </c>
      <c r="AN329" s="164" t="str">
        <f>IF(N('01_Stations'!$AE$322)&gt;0,'01_Stations'!$AE$322,"")</f>
        <v/>
      </c>
      <c r="AO329" s="164" t="str">
        <f>IF(N('01_Stations'!$AE$323)&gt;0,'01_Stations'!$AE$323,"")</f>
        <v/>
      </c>
      <c r="AP329" s="164" t="str">
        <f>IF(N('01_Stations'!$AE$324)&gt;0,'01_Stations'!$AE$324,"")</f>
        <v/>
      </c>
      <c r="AQ329" s="164" t="str">
        <f>IF(N('01_Stations'!$AE$325)&gt;0,'01_Stations'!$AE$325,"")</f>
        <v/>
      </c>
    </row>
    <row r="330" spans="1:43" ht="15" customHeight="1" x14ac:dyDescent="0.3">
      <c r="A330" s="236"/>
      <c r="B330" s="165" t="s">
        <v>1942</v>
      </c>
      <c r="C330" s="166" t="s">
        <v>1622</v>
      </c>
      <c r="D330" s="164" t="str">
        <f>IF('01_Stations'!$AF$286=1,"───","")</f>
        <v/>
      </c>
      <c r="E330" s="164" t="str">
        <f>IF('01_Stations'!$AF$287=1,"───","")</f>
        <v/>
      </c>
      <c r="F330" s="164" t="str">
        <f>IF('01_Stations'!$AF$288=1,"───","")</f>
        <v/>
      </c>
      <c r="G330" s="164" t="str">
        <f>IF('01_Stations'!$AF$289=1,"───","")</f>
        <v/>
      </c>
      <c r="H330" s="164" t="str">
        <f>IF('01_Stations'!$AF$290=1,"───","")</f>
        <v/>
      </c>
      <c r="I330" s="164" t="str">
        <f>IF('01_Stations'!$AF$291=1,"───","")</f>
        <v/>
      </c>
      <c r="J330" s="164" t="str">
        <f>IF('01_Stations'!$AF$292=1,"───","")</f>
        <v/>
      </c>
      <c r="K330" s="164" t="str">
        <f>IF('01_Stations'!$AF$293=1,"───","")</f>
        <v/>
      </c>
      <c r="L330" s="164" t="str">
        <f>IF('01_Stations'!$AF$294=1,"───","")</f>
        <v/>
      </c>
      <c r="M330" s="164" t="str">
        <f>IF('01_Stations'!$AF$295=1,"───","")</f>
        <v/>
      </c>
      <c r="N330" s="164" t="str">
        <f>IF('01_Stations'!$AF$296=1,"───","")</f>
        <v/>
      </c>
      <c r="O330" s="164" t="str">
        <f>IF('01_Stations'!$AF$297=1,"───","")</f>
        <v/>
      </c>
      <c r="P330" s="164" t="str">
        <f>IF('01_Stations'!$AF$298=1,"───","")</f>
        <v/>
      </c>
      <c r="Q330" s="164" t="str">
        <f>IF('01_Stations'!$AF$299=1,"───","")</f>
        <v/>
      </c>
      <c r="R330" s="164" t="str">
        <f>IF('01_Stations'!$AF$300=1,"───","")</f>
        <v/>
      </c>
      <c r="S330" s="164" t="str">
        <f>IF('01_Stations'!$AF$301=1,"───","")</f>
        <v/>
      </c>
      <c r="T330" s="164" t="str">
        <f>IF('01_Stations'!$AF$302=1,"───","")</f>
        <v/>
      </c>
      <c r="U330" s="164" t="str">
        <f>IF('01_Stations'!$AF$303=1,"───","")</f>
        <v/>
      </c>
      <c r="V330" s="164" t="str">
        <f>IF('01_Stations'!$AF$304=1,"───","")</f>
        <v/>
      </c>
      <c r="W330" s="164" t="str">
        <f>IF('01_Stations'!$AF$305=1,"───","")</f>
        <v/>
      </c>
      <c r="X330" s="164" t="str">
        <f>IF('01_Stations'!$AF$306=1,"───","")</f>
        <v/>
      </c>
      <c r="Y330" s="164" t="str">
        <f>IF('01_Stations'!$AF$307=1,"───","")</f>
        <v/>
      </c>
      <c r="Z330" s="164" t="str">
        <f>IF('01_Stations'!$AF$308=1,"───","")</f>
        <v/>
      </c>
      <c r="AA330" s="164" t="str">
        <f>IF('01_Stations'!$AF$309=1,"───","")</f>
        <v/>
      </c>
      <c r="AB330" s="164" t="str">
        <f>IF('01_Stations'!$AF$310=1,"───","")</f>
        <v/>
      </c>
      <c r="AC330" s="164" t="str">
        <f>IF('01_Stations'!$AF$311=1,"───","")</f>
        <v/>
      </c>
      <c r="AD330" s="164" t="str">
        <f>IF('01_Stations'!$AF$312=1,"───","")</f>
        <v/>
      </c>
      <c r="AE330" s="164" t="str">
        <f>IF('01_Stations'!$AF$313=1,"───","")</f>
        <v/>
      </c>
      <c r="AF330" s="164" t="str">
        <f>IF('01_Stations'!$AF$314=1,"───","")</f>
        <v/>
      </c>
      <c r="AG330" s="164" t="str">
        <f>IF('01_Stations'!$AF$315=1,"───","")</f>
        <v/>
      </c>
      <c r="AH330" s="164" t="str">
        <f>IF('01_Stations'!$AF$316=1,"───","")</f>
        <v/>
      </c>
      <c r="AI330" s="164" t="str">
        <f>IF('01_Stations'!$AF$317=1,"───","")</f>
        <v/>
      </c>
      <c r="AJ330" s="164" t="str">
        <f>IF('01_Stations'!$AF$318=1,"───","")</f>
        <v/>
      </c>
      <c r="AK330" s="164" t="str">
        <f>IF('01_Stations'!$AF$319=1,"───","")</f>
        <v/>
      </c>
      <c r="AL330" s="164" t="str">
        <f>IF('01_Stations'!$AF$320=1,"───","")</f>
        <v/>
      </c>
      <c r="AM330" s="164" t="str">
        <f>IF('01_Stations'!$AF$321=1,"───","")</f>
        <v/>
      </c>
      <c r="AN330" s="164" t="str">
        <f>IF('01_Stations'!$AF$322=1,"───","")</f>
        <v/>
      </c>
      <c r="AO330" s="164" t="str">
        <f>IF('01_Stations'!$AF$323=1,"───","")</f>
        <v/>
      </c>
      <c r="AP330" s="164" t="str">
        <f>IF('01_Stations'!$AF$324=1,"───","")</f>
        <v/>
      </c>
      <c r="AQ330" s="164" t="str">
        <f>IF('01_Stations'!$AF$325=1,"───","")</f>
        <v/>
      </c>
    </row>
    <row r="331" spans="1:43" ht="15" customHeight="1" x14ac:dyDescent="0.3">
      <c r="A331" s="237"/>
      <c r="B331" s="165"/>
      <c r="C331" s="166" t="s">
        <v>2212</v>
      </c>
      <c r="D331" s="164" t="str">
        <f>IF('01_Stations'!$AG$286=1,"───","")</f>
        <v/>
      </c>
      <c r="E331" s="164" t="str">
        <f>IF('01_Stations'!$AG$287=1,"───","")</f>
        <v/>
      </c>
      <c r="F331" s="164" t="str">
        <f>IF('01_Stations'!$AG$288=1,"───","")</f>
        <v/>
      </c>
      <c r="G331" s="164" t="str">
        <f>IF('01_Stations'!$AG$289=1,"───","")</f>
        <v/>
      </c>
      <c r="H331" s="164" t="str">
        <f>IF('01_Stations'!$AG$290=1,"───","")</f>
        <v/>
      </c>
      <c r="I331" s="164" t="str">
        <f>IF('01_Stations'!$AG$291=1,"───","")</f>
        <v/>
      </c>
      <c r="J331" s="164" t="str">
        <f>IF('01_Stations'!$AG$292=1,"───","")</f>
        <v/>
      </c>
      <c r="K331" s="164" t="str">
        <f>IF('01_Stations'!$AG$293=1,"───","")</f>
        <v/>
      </c>
      <c r="L331" s="164" t="str">
        <f>IF('01_Stations'!$AG$294=1,"───","")</f>
        <v/>
      </c>
      <c r="M331" s="164" t="str">
        <f>IF('01_Stations'!$AG$295=1,"───","")</f>
        <v/>
      </c>
      <c r="N331" s="164" t="str">
        <f>IF('01_Stations'!$AG$296=1,"───","")</f>
        <v/>
      </c>
      <c r="O331" s="164" t="str">
        <f>IF('01_Stations'!$AG$297=1,"───","")</f>
        <v/>
      </c>
      <c r="P331" s="164" t="str">
        <f>IF('01_Stations'!$AG$298=1,"───","")</f>
        <v/>
      </c>
      <c r="Q331" s="164" t="str">
        <f>IF('01_Stations'!$AG$299=1,"───","")</f>
        <v/>
      </c>
      <c r="R331" s="164" t="str">
        <f>IF('01_Stations'!$AG$300=1,"───","")</f>
        <v/>
      </c>
      <c r="S331" s="164" t="str">
        <f>IF('01_Stations'!$AG$301=1,"───","")</f>
        <v/>
      </c>
      <c r="T331" s="164" t="str">
        <f>IF('01_Stations'!$AG$302=1,"───","")</f>
        <v/>
      </c>
      <c r="U331" s="164" t="str">
        <f>IF('01_Stations'!$AG$303=1,"───","")</f>
        <v/>
      </c>
      <c r="V331" s="164" t="str">
        <f>IF('01_Stations'!$AG$304=1,"───","")</f>
        <v/>
      </c>
      <c r="W331" s="164" t="str">
        <f>IF('01_Stations'!$AG$305=1,"───","")</f>
        <v/>
      </c>
      <c r="X331" s="164" t="str">
        <f>IF('01_Stations'!$AG$306=1,"───","")</f>
        <v/>
      </c>
      <c r="Y331" s="164" t="str">
        <f>IF('01_Stations'!$AG$307=1,"───","")</f>
        <v/>
      </c>
      <c r="Z331" s="164" t="str">
        <f>IF('01_Stations'!$AG$308=1,"───","")</f>
        <v/>
      </c>
      <c r="AA331" s="164" t="str">
        <f>IF('01_Stations'!$AG$309=1,"───","")</f>
        <v/>
      </c>
      <c r="AB331" s="164" t="str">
        <f>IF('01_Stations'!$AG$310=1,"───","")</f>
        <v/>
      </c>
      <c r="AC331" s="164" t="str">
        <f>IF('01_Stations'!$AG$311=1,"───","")</f>
        <v/>
      </c>
      <c r="AD331" s="164" t="str">
        <f>IF('01_Stations'!$AG$312=1,"───","")</f>
        <v/>
      </c>
      <c r="AE331" s="164" t="str">
        <f>IF('01_Stations'!$AG$313=1,"───","")</f>
        <v/>
      </c>
      <c r="AF331" s="164" t="str">
        <f>IF('01_Stations'!$AG$314=1,"───","")</f>
        <v/>
      </c>
      <c r="AG331" s="164" t="str">
        <f>IF('01_Stations'!$AG$315=1,"───","")</f>
        <v/>
      </c>
      <c r="AH331" s="164" t="str">
        <f>IF('01_Stations'!$AG$316=1,"───","")</f>
        <v/>
      </c>
      <c r="AI331" s="164" t="str">
        <f>IF('01_Stations'!$AG$317=1,"───","")</f>
        <v/>
      </c>
      <c r="AJ331" s="164" t="str">
        <f>IF('01_Stations'!$AG$318=1,"───","")</f>
        <v/>
      </c>
      <c r="AK331" s="164" t="str">
        <f>IF('01_Stations'!$AG$319=1,"───","")</f>
        <v/>
      </c>
      <c r="AL331" s="164" t="str">
        <f>IF('01_Stations'!$AG$320=1,"───","")</f>
        <v/>
      </c>
      <c r="AM331" s="164" t="str">
        <f>IF('01_Stations'!$AG$321=1,"───","")</f>
        <v/>
      </c>
      <c r="AN331" s="164" t="str">
        <f>IF('01_Stations'!$AG$322=1,"───","")</f>
        <v/>
      </c>
      <c r="AO331" s="164" t="str">
        <f>IF('01_Stations'!$AG$323=1,"───","")</f>
        <v/>
      </c>
      <c r="AP331" s="164" t="str">
        <f>IF('01_Stations'!$AG$324=1,"───","")</f>
        <v/>
      </c>
      <c r="AQ331" s="164" t="str">
        <f>IF('01_Stations'!$AG$325=1,"───","")</f>
        <v/>
      </c>
    </row>
    <row r="332" spans="1:43" ht="15" customHeight="1" x14ac:dyDescent="0.3">
      <c r="A332" s="238" t="s">
        <v>2222</v>
      </c>
      <c r="B332" s="165" t="s">
        <v>291</v>
      </c>
      <c r="C332" s="166"/>
      <c r="D332" s="164" t="str">
        <f>IF('01_Stations'!$AH$286=1,"───","")</f>
        <v/>
      </c>
      <c r="E332" s="164" t="str">
        <f>IF('01_Stations'!$AH$287=1,"───","")</f>
        <v/>
      </c>
      <c r="F332" s="164" t="str">
        <f>IF('01_Stations'!$AH$288=1,"───","")</f>
        <v/>
      </c>
      <c r="G332" s="164" t="str">
        <f>IF('01_Stations'!$AH$289=1,"───","")</f>
        <v/>
      </c>
      <c r="H332" s="164" t="str">
        <f>IF('01_Stations'!$AH$290=1,"───","")</f>
        <v/>
      </c>
      <c r="I332" s="164" t="str">
        <f>IF('01_Stations'!$AH$291=1,"───","")</f>
        <v/>
      </c>
      <c r="J332" s="164" t="str">
        <f>IF('01_Stations'!$AH$292=1,"───","")</f>
        <v/>
      </c>
      <c r="K332" s="164" t="str">
        <f>IF('01_Stations'!$AH$293=1,"───","")</f>
        <v/>
      </c>
      <c r="L332" s="164" t="str">
        <f>IF('01_Stations'!$AH$294=1,"───","")</f>
        <v/>
      </c>
      <c r="M332" s="164" t="str">
        <f>IF('01_Stations'!$AH$295=1,"───","")</f>
        <v/>
      </c>
      <c r="N332" s="164" t="str">
        <f>IF('01_Stations'!$AH$296=1,"───","")</f>
        <v/>
      </c>
      <c r="O332" s="164" t="str">
        <f>IF('01_Stations'!$AH$297=1,"───","")</f>
        <v/>
      </c>
      <c r="P332" s="164" t="str">
        <f>IF('01_Stations'!$AH$298=1,"───","")</f>
        <v/>
      </c>
      <c r="Q332" s="164" t="str">
        <f>IF('01_Stations'!$AH$299=1,"───","")</f>
        <v/>
      </c>
      <c r="R332" s="164" t="str">
        <f>IF('01_Stations'!$AH$300=1,"───","")</f>
        <v/>
      </c>
      <c r="S332" s="164" t="str">
        <f>IF('01_Stations'!$AH$301=1,"───","")</f>
        <v/>
      </c>
      <c r="T332" s="164" t="str">
        <f>IF('01_Stations'!$AH$302=1,"───","")</f>
        <v/>
      </c>
      <c r="U332" s="164" t="str">
        <f>IF('01_Stations'!$AH$303=1,"───","")</f>
        <v/>
      </c>
      <c r="V332" s="164" t="str">
        <f>IF('01_Stations'!$AH$304=1,"───","")</f>
        <v/>
      </c>
      <c r="W332" s="164" t="str">
        <f>IF('01_Stations'!$AH$305=1,"───","")</f>
        <v/>
      </c>
      <c r="X332" s="164" t="str">
        <f>IF('01_Stations'!$AH$306=1,"───","")</f>
        <v/>
      </c>
      <c r="Y332" s="164" t="str">
        <f>IF('01_Stations'!$AH$307=1,"───","")</f>
        <v/>
      </c>
      <c r="Z332" s="164" t="str">
        <f>IF('01_Stations'!$AH$308=1,"───","")</f>
        <v/>
      </c>
      <c r="AA332" s="164" t="str">
        <f>IF('01_Stations'!$AH$309=1,"───","")</f>
        <v/>
      </c>
      <c r="AB332" s="164" t="str">
        <f>IF('01_Stations'!$AH$310=1,"───","")</f>
        <v/>
      </c>
      <c r="AC332" s="164" t="str">
        <f>IF('01_Stations'!$AH$311=1,"───","")</f>
        <v/>
      </c>
      <c r="AD332" s="164" t="str">
        <f>IF('01_Stations'!$AH$312=1,"───","")</f>
        <v/>
      </c>
      <c r="AE332" s="164" t="str">
        <f>IF('01_Stations'!$AH$313=1,"───","")</f>
        <v/>
      </c>
      <c r="AF332" s="164" t="str">
        <f>IF('01_Stations'!$AH$314=1,"───","")</f>
        <v/>
      </c>
      <c r="AG332" s="164" t="str">
        <f>IF('01_Stations'!$AH$315=1,"───","")</f>
        <v/>
      </c>
      <c r="AH332" s="164" t="str">
        <f>IF('01_Stations'!$AH$316=1,"───","")</f>
        <v/>
      </c>
      <c r="AI332" s="164" t="str">
        <f>IF('01_Stations'!$AH$317=1,"───","")</f>
        <v/>
      </c>
      <c r="AJ332" s="164" t="str">
        <f>IF('01_Stations'!$AH$318=1,"───","")</f>
        <v/>
      </c>
      <c r="AK332" s="164" t="str">
        <f>IF('01_Stations'!$AH$319=1,"───","")</f>
        <v/>
      </c>
      <c r="AL332" s="164" t="str">
        <f>IF('01_Stations'!$AH$320=1,"───","")</f>
        <v/>
      </c>
      <c r="AM332" s="164" t="str">
        <f>IF('01_Stations'!$AH$321=1,"───","")</f>
        <v/>
      </c>
      <c r="AN332" s="164" t="str">
        <f>IF('01_Stations'!$AH$322=1,"───","")</f>
        <v/>
      </c>
      <c r="AO332" s="164" t="str">
        <f>IF('01_Stations'!$AH$323=1,"───","")</f>
        <v/>
      </c>
      <c r="AP332" s="164" t="str">
        <f>IF('01_Stations'!$AH$324=1,"───","")</f>
        <v/>
      </c>
      <c r="AQ332" s="164" t="str">
        <f>IF('01_Stations'!$AH$325=1,"───","")</f>
        <v/>
      </c>
    </row>
    <row r="333" spans="1:43" ht="15" customHeight="1" x14ac:dyDescent="0.3">
      <c r="A333" s="236"/>
      <c r="B333" s="165" t="s">
        <v>292</v>
      </c>
      <c r="C333" s="166"/>
      <c r="D333" s="164" t="str">
        <f>IF('01_Stations'!$AI$286=1,"───","")</f>
        <v/>
      </c>
      <c r="E333" s="164" t="str">
        <f>IF('01_Stations'!$AI$287=1,"───","")</f>
        <v/>
      </c>
      <c r="F333" s="164" t="str">
        <f>IF('01_Stations'!$AI$288=1,"───","")</f>
        <v/>
      </c>
      <c r="G333" s="164" t="str">
        <f>IF('01_Stations'!$AI$289=1,"───","")</f>
        <v/>
      </c>
      <c r="H333" s="164" t="str">
        <f>IF('01_Stations'!$AI$290=1,"───","")</f>
        <v/>
      </c>
      <c r="I333" s="164" t="str">
        <f>IF('01_Stations'!$AI$291=1,"───","")</f>
        <v/>
      </c>
      <c r="J333" s="164" t="str">
        <f>IF('01_Stations'!$AI$292=1,"───","")</f>
        <v/>
      </c>
      <c r="K333" s="164" t="str">
        <f>IF('01_Stations'!$AI$293=1,"───","")</f>
        <v/>
      </c>
      <c r="L333" s="164" t="str">
        <f>IF('01_Stations'!$AI$294=1,"───","")</f>
        <v/>
      </c>
      <c r="M333" s="164" t="str">
        <f>IF('01_Stations'!$AI$295=1,"───","")</f>
        <v/>
      </c>
      <c r="N333" s="164" t="str">
        <f>IF('01_Stations'!$AI$296=1,"───","")</f>
        <v/>
      </c>
      <c r="O333" s="164" t="str">
        <f>IF('01_Stations'!$AI$297=1,"───","")</f>
        <v/>
      </c>
      <c r="P333" s="164" t="str">
        <f>IF('01_Stations'!$AI$298=1,"───","")</f>
        <v/>
      </c>
      <c r="Q333" s="164" t="str">
        <f>IF('01_Stations'!$AI$299=1,"───","")</f>
        <v/>
      </c>
      <c r="R333" s="164" t="str">
        <f>IF('01_Stations'!$AI$300=1,"───","")</f>
        <v/>
      </c>
      <c r="S333" s="164" t="str">
        <f>IF('01_Stations'!$AI$301=1,"───","")</f>
        <v/>
      </c>
      <c r="T333" s="164" t="str">
        <f>IF('01_Stations'!$AI$302=1,"───","")</f>
        <v/>
      </c>
      <c r="U333" s="164" t="str">
        <f>IF('01_Stations'!$AI$303=1,"───","")</f>
        <v/>
      </c>
      <c r="V333" s="164" t="str">
        <f>IF('01_Stations'!$AI$304=1,"───","")</f>
        <v/>
      </c>
      <c r="W333" s="164" t="str">
        <f>IF('01_Stations'!$AI$305=1,"───","")</f>
        <v/>
      </c>
      <c r="X333" s="164" t="str">
        <f>IF('01_Stations'!$AI$306=1,"───","")</f>
        <v/>
      </c>
      <c r="Y333" s="164" t="str">
        <f>IF('01_Stations'!$AI$307=1,"───","")</f>
        <v/>
      </c>
      <c r="Z333" s="164" t="str">
        <f>IF('01_Stations'!$AI$308=1,"───","")</f>
        <v/>
      </c>
      <c r="AA333" s="164" t="str">
        <f>IF('01_Stations'!$AI$309=1,"───","")</f>
        <v/>
      </c>
      <c r="AB333" s="164" t="str">
        <f>IF('01_Stations'!$AI$310=1,"───","")</f>
        <v/>
      </c>
      <c r="AC333" s="164" t="str">
        <f>IF('01_Stations'!$AI$311=1,"───","")</f>
        <v/>
      </c>
      <c r="AD333" s="164" t="str">
        <f>IF('01_Stations'!$AI$312=1,"───","")</f>
        <v/>
      </c>
      <c r="AE333" s="164" t="str">
        <f>IF('01_Stations'!$AI$313=1,"───","")</f>
        <v/>
      </c>
      <c r="AF333" s="164" t="str">
        <f>IF('01_Stations'!$AI$314=1,"───","")</f>
        <v/>
      </c>
      <c r="AG333" s="164" t="str">
        <f>IF('01_Stations'!$AI$315=1,"───","")</f>
        <v/>
      </c>
      <c r="AH333" s="164" t="str">
        <f>IF('01_Stations'!$AI$316=1,"───","")</f>
        <v/>
      </c>
      <c r="AI333" s="164" t="str">
        <f>IF('01_Stations'!$AI$317=1,"───","")</f>
        <v/>
      </c>
      <c r="AJ333" s="164" t="str">
        <f>IF('01_Stations'!$AI$318=1,"───","")</f>
        <v/>
      </c>
      <c r="AK333" s="164" t="str">
        <f>IF('01_Stations'!$AI$319=1,"───","")</f>
        <v/>
      </c>
      <c r="AL333" s="164" t="str">
        <f>IF('01_Stations'!$AI$320=1,"───","")</f>
        <v/>
      </c>
      <c r="AM333" s="164" t="str">
        <f>IF('01_Stations'!$AI$321=1,"───","")</f>
        <v/>
      </c>
      <c r="AN333" s="164" t="str">
        <f>IF('01_Stations'!$AI$322=1,"───","")</f>
        <v/>
      </c>
      <c r="AO333" s="164" t="str">
        <f>IF('01_Stations'!$AI$323=1,"───","")</f>
        <v/>
      </c>
      <c r="AP333" s="164" t="str">
        <f>IF('01_Stations'!$AI$324=1,"───","")</f>
        <v/>
      </c>
      <c r="AQ333" s="164" t="str">
        <f>IF('01_Stations'!$AI$325=1,"───","")</f>
        <v/>
      </c>
    </row>
    <row r="334" spans="1:43" ht="15" customHeight="1" x14ac:dyDescent="0.3">
      <c r="A334" s="236"/>
      <c r="B334" s="165" t="s">
        <v>293</v>
      </c>
      <c r="C334" s="166"/>
      <c r="D334" s="164" t="str">
        <f>IF('01_Stations'!$AJ$286=1,"───","")</f>
        <v/>
      </c>
      <c r="E334" s="164" t="str">
        <f>IF('01_Stations'!$AJ$287=1,"───","")</f>
        <v/>
      </c>
      <c r="F334" s="164" t="str">
        <f>IF('01_Stations'!$AJ$288=1,"───","")</f>
        <v/>
      </c>
      <c r="G334" s="164" t="str">
        <f>IF('01_Stations'!$AJ$289=1,"───","")</f>
        <v/>
      </c>
      <c r="H334" s="164" t="str">
        <f>IF('01_Stations'!$AJ$290=1,"───","")</f>
        <v/>
      </c>
      <c r="I334" s="164" t="str">
        <f>IF('01_Stations'!$AJ$291=1,"───","")</f>
        <v/>
      </c>
      <c r="J334" s="164" t="str">
        <f>IF('01_Stations'!$AJ$292=1,"───","")</f>
        <v/>
      </c>
      <c r="K334" s="164" t="str">
        <f>IF('01_Stations'!$AJ$293=1,"───","")</f>
        <v/>
      </c>
      <c r="L334" s="164" t="str">
        <f>IF('01_Stations'!$AJ$294=1,"───","")</f>
        <v/>
      </c>
      <c r="M334" s="164" t="str">
        <f>IF('01_Stations'!$AJ$295=1,"───","")</f>
        <v/>
      </c>
      <c r="N334" s="164" t="str">
        <f>IF('01_Stations'!$AJ$296=1,"───","")</f>
        <v/>
      </c>
      <c r="O334" s="164" t="str">
        <f>IF('01_Stations'!$AJ$297=1,"───","")</f>
        <v/>
      </c>
      <c r="P334" s="164" t="str">
        <f>IF('01_Stations'!$AJ$298=1,"───","")</f>
        <v/>
      </c>
      <c r="Q334" s="164" t="str">
        <f>IF('01_Stations'!$AJ$299=1,"───","")</f>
        <v/>
      </c>
      <c r="R334" s="164" t="str">
        <f>IF('01_Stations'!$AJ$300=1,"───","")</f>
        <v/>
      </c>
      <c r="S334" s="164" t="str">
        <f>IF('01_Stations'!$AJ$301=1,"───","")</f>
        <v/>
      </c>
      <c r="T334" s="164" t="str">
        <f>IF('01_Stations'!$AJ$302=1,"───","")</f>
        <v/>
      </c>
      <c r="U334" s="164" t="str">
        <f>IF('01_Stations'!$AJ$303=1,"───","")</f>
        <v/>
      </c>
      <c r="V334" s="164" t="str">
        <f>IF('01_Stations'!$AJ$304=1,"───","")</f>
        <v/>
      </c>
      <c r="W334" s="164" t="str">
        <f>IF('01_Stations'!$AJ$305=1,"───","")</f>
        <v/>
      </c>
      <c r="X334" s="164" t="str">
        <f>IF('01_Stations'!$AJ$306=1,"───","")</f>
        <v/>
      </c>
      <c r="Y334" s="164" t="str">
        <f>IF('01_Stations'!$AJ$307=1,"───","")</f>
        <v/>
      </c>
      <c r="Z334" s="164" t="str">
        <f>IF('01_Stations'!$AJ$308=1,"───","")</f>
        <v/>
      </c>
      <c r="AA334" s="164" t="str">
        <f>IF('01_Stations'!$AJ$309=1,"───","")</f>
        <v/>
      </c>
      <c r="AB334" s="164" t="str">
        <f>IF('01_Stations'!$AJ$310=1,"───","")</f>
        <v/>
      </c>
      <c r="AC334" s="164" t="str">
        <f>IF('01_Stations'!$AJ$311=1,"───","")</f>
        <v/>
      </c>
      <c r="AD334" s="164" t="str">
        <f>IF('01_Stations'!$AJ$312=1,"───","")</f>
        <v/>
      </c>
      <c r="AE334" s="164" t="str">
        <f>IF('01_Stations'!$AJ$313=1,"───","")</f>
        <v/>
      </c>
      <c r="AF334" s="164" t="str">
        <f>IF('01_Stations'!$AJ$314=1,"───","")</f>
        <v/>
      </c>
      <c r="AG334" s="164" t="str">
        <f>IF('01_Stations'!$AJ$315=1,"───","")</f>
        <v/>
      </c>
      <c r="AH334" s="164" t="str">
        <f>IF('01_Stations'!$AJ$316=1,"───","")</f>
        <v/>
      </c>
      <c r="AI334" s="164" t="str">
        <f>IF('01_Stations'!$AJ$317=1,"───","")</f>
        <v/>
      </c>
      <c r="AJ334" s="164" t="str">
        <f>IF('01_Stations'!$AJ$318=1,"───","")</f>
        <v/>
      </c>
      <c r="AK334" s="164" t="str">
        <f>IF('01_Stations'!$AJ$319=1,"───","")</f>
        <v/>
      </c>
      <c r="AL334" s="164" t="str">
        <f>IF('01_Stations'!$AJ$320=1,"───","")</f>
        <v/>
      </c>
      <c r="AM334" s="164" t="str">
        <f>IF('01_Stations'!$AJ$321=1,"───","")</f>
        <v/>
      </c>
      <c r="AN334" s="164" t="str">
        <f>IF('01_Stations'!$AJ$322=1,"───","")</f>
        <v/>
      </c>
      <c r="AO334" s="164" t="str">
        <f>IF('01_Stations'!$AJ$323=1,"───","")</f>
        <v/>
      </c>
      <c r="AP334" s="164" t="str">
        <f>IF('01_Stations'!$AJ$324=1,"───","")</f>
        <v/>
      </c>
      <c r="AQ334" s="164" t="str">
        <f>IF('01_Stations'!$AJ$325=1,"───","")</f>
        <v/>
      </c>
    </row>
    <row r="335" spans="1:43" ht="15" customHeight="1" x14ac:dyDescent="0.3">
      <c r="A335" s="236"/>
      <c r="B335" s="165" t="s">
        <v>294</v>
      </c>
      <c r="C335" s="166" t="s">
        <v>299</v>
      </c>
      <c r="D335" s="164" t="str">
        <f>IF(N('01_Stations'!$AK$286)&gt;0,'01_Stations'!$AK$286,"")</f>
        <v/>
      </c>
      <c r="E335" s="164" t="str">
        <f>IF(N('01_Stations'!$AK$287)&gt;0,'01_Stations'!$AK$287,"")</f>
        <v/>
      </c>
      <c r="F335" s="164" t="str">
        <f>IF(N('01_Stations'!$AK$288)&gt;0,'01_Stations'!$AK$288,"")</f>
        <v/>
      </c>
      <c r="G335" s="164" t="str">
        <f>IF(N('01_Stations'!$AK$289)&gt;0,'01_Stations'!$AK$289,"")</f>
        <v/>
      </c>
      <c r="H335" s="164" t="str">
        <f>IF(N('01_Stations'!$AK$290)&gt;0,'01_Stations'!$AK$290,"")</f>
        <v/>
      </c>
      <c r="I335" s="164" t="str">
        <f>IF(N('01_Stations'!$AK$291)&gt;0,'01_Stations'!$AK$291,"")</f>
        <v/>
      </c>
      <c r="J335" s="164" t="str">
        <f>IF(N('01_Stations'!$AK$292)&gt;0,'01_Stations'!$AK$292,"")</f>
        <v/>
      </c>
      <c r="K335" s="164" t="str">
        <f>IF(N('01_Stations'!$AK$293)&gt;0,'01_Stations'!$AK$293,"")</f>
        <v/>
      </c>
      <c r="L335" s="164" t="str">
        <f>IF(N('01_Stations'!$AK$294)&gt;0,'01_Stations'!$AK$294,"")</f>
        <v/>
      </c>
      <c r="M335" s="164" t="str">
        <f>IF(N('01_Stations'!$AK$295)&gt;0,'01_Stations'!$AK$295,"")</f>
        <v/>
      </c>
      <c r="N335" s="164" t="str">
        <f>IF(N('01_Stations'!$AK$296)&gt;0,'01_Stations'!$AK$296,"")</f>
        <v/>
      </c>
      <c r="O335" s="164" t="str">
        <f>IF(N('01_Stations'!$AK$297)&gt;0,'01_Stations'!$AK$297,"")</f>
        <v/>
      </c>
      <c r="P335" s="164" t="str">
        <f>IF(N('01_Stations'!$AK$298)&gt;0,'01_Stations'!$AK$298,"")</f>
        <v/>
      </c>
      <c r="Q335" s="164" t="str">
        <f>IF(N('01_Stations'!$AK$299)&gt;0,'01_Stations'!$AK$299,"")</f>
        <v/>
      </c>
      <c r="R335" s="164" t="str">
        <f>IF(N('01_Stations'!$AK$300)&gt;0,'01_Stations'!$AK$300,"")</f>
        <v/>
      </c>
      <c r="S335" s="164" t="str">
        <f>IF(N('01_Stations'!$AK$301)&gt;0,'01_Stations'!$AK$301,"")</f>
        <v/>
      </c>
      <c r="T335" s="164" t="str">
        <f>IF(N('01_Stations'!$AK$302)&gt;0,'01_Stations'!$AK$302,"")</f>
        <v/>
      </c>
      <c r="U335" s="164" t="str">
        <f>IF(N('01_Stations'!$AK$303)&gt;0,'01_Stations'!$AK$303,"")</f>
        <v/>
      </c>
      <c r="V335" s="164" t="str">
        <f>IF(N('01_Stations'!$AK$304)&gt;0,'01_Stations'!$AK$304,"")</f>
        <v/>
      </c>
      <c r="W335" s="164" t="str">
        <f>IF(N('01_Stations'!$AK$305)&gt;0,'01_Stations'!$AK$305,"")</f>
        <v/>
      </c>
      <c r="X335" s="164" t="str">
        <f>IF(N('01_Stations'!$AK$306)&gt;0,'01_Stations'!$AK$306,"")</f>
        <v/>
      </c>
      <c r="Y335" s="164" t="str">
        <f>IF(N('01_Stations'!$AK$307)&gt;0,'01_Stations'!$AK$307,"")</f>
        <v/>
      </c>
      <c r="Z335" s="164" t="str">
        <f>IF(N('01_Stations'!$AK$308)&gt;0,'01_Stations'!$AK$308,"")</f>
        <v/>
      </c>
      <c r="AA335" s="164" t="str">
        <f>IF(N('01_Stations'!$AK$309)&gt;0,'01_Stations'!$AK$309,"")</f>
        <v/>
      </c>
      <c r="AB335" s="164" t="str">
        <f>IF(N('01_Stations'!$AK$310)&gt;0,'01_Stations'!$AK$310,"")</f>
        <v/>
      </c>
      <c r="AC335" s="164" t="str">
        <f>IF(N('01_Stations'!$AK$311)&gt;0,'01_Stations'!$AK$311,"")</f>
        <v/>
      </c>
      <c r="AD335" s="164" t="str">
        <f>IF(N('01_Stations'!$AK$312)&gt;0,'01_Stations'!$AK$312,"")</f>
        <v/>
      </c>
      <c r="AE335" s="164" t="str">
        <f>IF(N('01_Stations'!$AK$313)&gt;0,'01_Stations'!$AK$313,"")</f>
        <v/>
      </c>
      <c r="AF335" s="164" t="str">
        <f>IF(N('01_Stations'!$AK$314)&gt;0,'01_Stations'!$AK$314,"")</f>
        <v/>
      </c>
      <c r="AG335" s="164" t="str">
        <f>IF(N('01_Stations'!$AK$315)&gt;0,'01_Stations'!$AK$315,"")</f>
        <v/>
      </c>
      <c r="AH335" s="164" t="str">
        <f>IF(N('01_Stations'!$AK$316)&gt;0,'01_Stations'!$AK$316,"")</f>
        <v/>
      </c>
      <c r="AI335" s="164" t="str">
        <f>IF(N('01_Stations'!$AK$317)&gt;0,'01_Stations'!$AK$317,"")</f>
        <v/>
      </c>
      <c r="AJ335" s="164" t="str">
        <f>IF(N('01_Stations'!$AK$318)&gt;0,'01_Stations'!$AK$318,"")</f>
        <v/>
      </c>
      <c r="AK335" s="164" t="str">
        <f>IF(N('01_Stations'!$AK$319)&gt;0,'01_Stations'!$AK$319,"")</f>
        <v/>
      </c>
      <c r="AL335" s="164" t="str">
        <f>IF(N('01_Stations'!$AK$320)&gt;0,'01_Stations'!$AK$320,"")</f>
        <v/>
      </c>
      <c r="AM335" s="164" t="str">
        <f>IF(N('01_Stations'!$AK$321)&gt;0,'01_Stations'!$AK$321,"")</f>
        <v/>
      </c>
      <c r="AN335" s="164" t="str">
        <f>IF(N('01_Stations'!$AK$322)&gt;0,'01_Stations'!$AK$322,"")</f>
        <v/>
      </c>
      <c r="AO335" s="164" t="str">
        <f>IF(N('01_Stations'!$AK$323)&gt;0,'01_Stations'!$AK$323,"")</f>
        <v/>
      </c>
      <c r="AP335" s="164" t="str">
        <f>IF(N('01_Stations'!$AK$324)&gt;0,'01_Stations'!$AK$324,"")</f>
        <v/>
      </c>
      <c r="AQ335" s="164" t="str">
        <f>IF(N('01_Stations'!$AK$325)&gt;0,'01_Stations'!$AK$325,"")</f>
        <v/>
      </c>
    </row>
    <row r="336" spans="1:43" ht="15" customHeight="1" x14ac:dyDescent="0.3">
      <c r="A336" s="236"/>
      <c r="B336" s="165" t="s">
        <v>295</v>
      </c>
      <c r="C336" s="166" t="s">
        <v>299</v>
      </c>
      <c r="D336" s="164" t="str">
        <f>IF(N('01_Stations'!$AL$286)&gt;0,'01_Stations'!$AL$286,"")</f>
        <v/>
      </c>
      <c r="E336" s="164" t="str">
        <f>IF(N('01_Stations'!$AL$287)&gt;0,'01_Stations'!$AL$287,"")</f>
        <v/>
      </c>
      <c r="F336" s="164" t="str">
        <f>IF(N('01_Stations'!$AL$288)&gt;0,'01_Stations'!$AL$288,"")</f>
        <v/>
      </c>
      <c r="G336" s="164" t="str">
        <f>IF(N('01_Stations'!$AL$289)&gt;0,'01_Stations'!$AL$289,"")</f>
        <v/>
      </c>
      <c r="H336" s="164" t="str">
        <f>IF(N('01_Stations'!$AL$290)&gt;0,'01_Stations'!$AL$290,"")</f>
        <v/>
      </c>
      <c r="I336" s="164" t="str">
        <f>IF(N('01_Stations'!$AL$291)&gt;0,'01_Stations'!$AL$291,"")</f>
        <v/>
      </c>
      <c r="J336" s="164" t="str">
        <f>IF(N('01_Stations'!$AL$292)&gt;0,'01_Stations'!$AL$292,"")</f>
        <v/>
      </c>
      <c r="K336" s="164" t="str">
        <f>IF(N('01_Stations'!$AL$293)&gt;0,'01_Stations'!$AL$293,"")</f>
        <v/>
      </c>
      <c r="L336" s="164" t="str">
        <f>IF(N('01_Stations'!$AL$294)&gt;0,'01_Stations'!$AL$294,"")</f>
        <v/>
      </c>
      <c r="M336" s="164" t="str">
        <f>IF(N('01_Stations'!$AL$295)&gt;0,'01_Stations'!$AL$295,"")</f>
        <v/>
      </c>
      <c r="N336" s="164" t="str">
        <f>IF(N('01_Stations'!$AL$296)&gt;0,'01_Stations'!$AL$296,"")</f>
        <v/>
      </c>
      <c r="O336" s="164" t="str">
        <f>IF(N('01_Stations'!$AL$297)&gt;0,'01_Stations'!$AL$297,"")</f>
        <v/>
      </c>
      <c r="P336" s="164" t="str">
        <f>IF(N('01_Stations'!$AL$298)&gt;0,'01_Stations'!$AL$298,"")</f>
        <v/>
      </c>
      <c r="Q336" s="164" t="str">
        <f>IF(N('01_Stations'!$AL$299)&gt;0,'01_Stations'!$AL$299,"")</f>
        <v/>
      </c>
      <c r="R336" s="164" t="str">
        <f>IF(N('01_Stations'!$AL$300)&gt;0,'01_Stations'!$AL$300,"")</f>
        <v/>
      </c>
      <c r="S336" s="164" t="str">
        <f>IF(N('01_Stations'!$AL$301)&gt;0,'01_Stations'!$AL$301,"")</f>
        <v/>
      </c>
      <c r="T336" s="164" t="str">
        <f>IF(N('01_Stations'!$AL$302)&gt;0,'01_Stations'!$AL$302,"")</f>
        <v/>
      </c>
      <c r="U336" s="164" t="str">
        <f>IF(N('01_Stations'!$AL$303)&gt;0,'01_Stations'!$AL$303,"")</f>
        <v/>
      </c>
      <c r="V336" s="164" t="str">
        <f>IF(N('01_Stations'!$AL$304)&gt;0,'01_Stations'!$AL$304,"")</f>
        <v/>
      </c>
      <c r="W336" s="164" t="str">
        <f>IF(N('01_Stations'!$AL$305)&gt;0,'01_Stations'!$AL$305,"")</f>
        <v/>
      </c>
      <c r="X336" s="164" t="str">
        <f>IF(N('01_Stations'!$AL$306)&gt;0,'01_Stations'!$AL$306,"")</f>
        <v/>
      </c>
      <c r="Y336" s="164" t="str">
        <f>IF(N('01_Stations'!$AL$307)&gt;0,'01_Stations'!$AL$307,"")</f>
        <v/>
      </c>
      <c r="Z336" s="164" t="str">
        <f>IF(N('01_Stations'!$AL$308)&gt;0,'01_Stations'!$AL$308,"")</f>
        <v/>
      </c>
      <c r="AA336" s="164" t="str">
        <f>IF(N('01_Stations'!$AL$309)&gt;0,'01_Stations'!$AL$309,"")</f>
        <v/>
      </c>
      <c r="AB336" s="164" t="str">
        <f>IF(N('01_Stations'!$AL$310)&gt;0,'01_Stations'!$AL$310,"")</f>
        <v/>
      </c>
      <c r="AC336" s="164" t="str">
        <f>IF(N('01_Stations'!$AL$311)&gt;0,'01_Stations'!$AL$311,"")</f>
        <v/>
      </c>
      <c r="AD336" s="164" t="str">
        <f>IF(N('01_Stations'!$AL$312)&gt;0,'01_Stations'!$AL$312,"")</f>
        <v/>
      </c>
      <c r="AE336" s="164" t="str">
        <f>IF(N('01_Stations'!$AL$313)&gt;0,'01_Stations'!$AL$313,"")</f>
        <v/>
      </c>
      <c r="AF336" s="164" t="str">
        <f>IF(N('01_Stations'!$AL$314)&gt;0,'01_Stations'!$AL$314,"")</f>
        <v/>
      </c>
      <c r="AG336" s="164" t="str">
        <f>IF(N('01_Stations'!$AL$315)&gt;0,'01_Stations'!$AL$315,"")</f>
        <v/>
      </c>
      <c r="AH336" s="164" t="str">
        <f>IF(N('01_Stations'!$AL$316)&gt;0,'01_Stations'!$AL$316,"")</f>
        <v/>
      </c>
      <c r="AI336" s="164" t="str">
        <f>IF(N('01_Stations'!$AL$317)&gt;0,'01_Stations'!$AL$317,"")</f>
        <v/>
      </c>
      <c r="AJ336" s="164" t="str">
        <f>IF(N('01_Stations'!$AL$318)&gt;0,'01_Stations'!$AL$318,"")</f>
        <v/>
      </c>
      <c r="AK336" s="164" t="str">
        <f>IF(N('01_Stations'!$AL$319)&gt;0,'01_Stations'!$AL$319,"")</f>
        <v/>
      </c>
      <c r="AL336" s="164" t="str">
        <f>IF(N('01_Stations'!$AL$320)&gt;0,'01_Stations'!$AL$320,"")</f>
        <v/>
      </c>
      <c r="AM336" s="164" t="str">
        <f>IF(N('01_Stations'!$AL$321)&gt;0,'01_Stations'!$AL$321,"")</f>
        <v/>
      </c>
      <c r="AN336" s="164" t="str">
        <f>IF(N('01_Stations'!$AL$322)&gt;0,'01_Stations'!$AL$322,"")</f>
        <v/>
      </c>
      <c r="AO336" s="164" t="str">
        <f>IF(N('01_Stations'!$AL$323)&gt;0,'01_Stations'!$AL$323,"")</f>
        <v/>
      </c>
      <c r="AP336" s="164" t="str">
        <f>IF(N('01_Stations'!$AL$324)&gt;0,'01_Stations'!$AL$324,"")</f>
        <v/>
      </c>
      <c r="AQ336" s="164" t="str">
        <f>IF(N('01_Stations'!$AL$325)&gt;0,'01_Stations'!$AL$325,"")</f>
        <v/>
      </c>
    </row>
    <row r="337" spans="1:43" ht="15" customHeight="1" x14ac:dyDescent="0.3">
      <c r="A337" s="236"/>
      <c r="B337" s="165" t="s">
        <v>230</v>
      </c>
      <c r="C337" s="166"/>
      <c r="D337" s="164" t="str">
        <f>IF('01_Stations'!$AM$286=1,"───","")</f>
        <v/>
      </c>
      <c r="E337" s="164" t="str">
        <f>IF('01_Stations'!$AM$287=1,"───","")</f>
        <v/>
      </c>
      <c r="F337" s="164" t="str">
        <f>IF('01_Stations'!$AM$288=1,"───","")</f>
        <v/>
      </c>
      <c r="G337" s="164" t="str">
        <f>IF('01_Stations'!$AM$289=1,"───","")</f>
        <v/>
      </c>
      <c r="H337" s="164" t="str">
        <f>IF('01_Stations'!$AM$290=1,"───","")</f>
        <v/>
      </c>
      <c r="I337" s="164" t="str">
        <f>IF('01_Stations'!$AM$291=1,"───","")</f>
        <v/>
      </c>
      <c r="J337" s="164" t="str">
        <f>IF('01_Stations'!$AM$292=1,"───","")</f>
        <v/>
      </c>
      <c r="K337" s="164" t="str">
        <f>IF('01_Stations'!$AM$293=1,"───","")</f>
        <v/>
      </c>
      <c r="L337" s="164" t="str">
        <f>IF('01_Stations'!$AM$294=1,"───","")</f>
        <v/>
      </c>
      <c r="M337" s="164" t="str">
        <f>IF('01_Stations'!$AM$295=1,"───","")</f>
        <v/>
      </c>
      <c r="N337" s="164" t="str">
        <f>IF('01_Stations'!$AM$296=1,"───","")</f>
        <v/>
      </c>
      <c r="O337" s="164" t="str">
        <f>IF('01_Stations'!$AM$297=1,"───","")</f>
        <v/>
      </c>
      <c r="P337" s="164" t="str">
        <f>IF('01_Stations'!$AM$298=1,"───","")</f>
        <v/>
      </c>
      <c r="Q337" s="164" t="str">
        <f>IF('01_Stations'!$AM$299=1,"───","")</f>
        <v/>
      </c>
      <c r="R337" s="164" t="str">
        <f>IF('01_Stations'!$AM$300=1,"───","")</f>
        <v/>
      </c>
      <c r="S337" s="164" t="str">
        <f>IF('01_Stations'!$AM$301=1,"───","")</f>
        <v/>
      </c>
      <c r="T337" s="164" t="str">
        <f>IF('01_Stations'!$AM$302=1,"───","")</f>
        <v/>
      </c>
      <c r="U337" s="164" t="str">
        <f>IF('01_Stations'!$AM$303=1,"───","")</f>
        <v/>
      </c>
      <c r="V337" s="164" t="str">
        <f>IF('01_Stations'!$AM$304=1,"───","")</f>
        <v/>
      </c>
      <c r="W337" s="164" t="str">
        <f>IF('01_Stations'!$AM$305=1,"───","")</f>
        <v/>
      </c>
      <c r="X337" s="164" t="str">
        <f>IF('01_Stations'!$AM$306=1,"───","")</f>
        <v/>
      </c>
      <c r="Y337" s="164" t="str">
        <f>IF('01_Stations'!$AM$307=1,"───","")</f>
        <v/>
      </c>
      <c r="Z337" s="164" t="str">
        <f>IF('01_Stations'!$AM$308=1,"───","")</f>
        <v/>
      </c>
      <c r="AA337" s="164" t="str">
        <f>IF('01_Stations'!$AM$309=1,"───","")</f>
        <v/>
      </c>
      <c r="AB337" s="164" t="str">
        <f>IF('01_Stations'!$AM$310=1,"───","")</f>
        <v/>
      </c>
      <c r="AC337" s="164" t="str">
        <f>IF('01_Stations'!$AM$311=1,"───","")</f>
        <v/>
      </c>
      <c r="AD337" s="164" t="str">
        <f>IF('01_Stations'!$AM$312=1,"───","")</f>
        <v/>
      </c>
      <c r="AE337" s="164" t="str">
        <f>IF('01_Stations'!$AM$313=1,"───","")</f>
        <v/>
      </c>
      <c r="AF337" s="164" t="str">
        <f>IF('01_Stations'!$AM$314=1,"───","")</f>
        <v/>
      </c>
      <c r="AG337" s="164" t="str">
        <f>IF('01_Stations'!$AM$315=1,"───","")</f>
        <v/>
      </c>
      <c r="AH337" s="164" t="str">
        <f>IF('01_Stations'!$AM$316=1,"───","")</f>
        <v/>
      </c>
      <c r="AI337" s="164" t="str">
        <f>IF('01_Stations'!$AM$317=1,"───","")</f>
        <v/>
      </c>
      <c r="AJ337" s="164" t="str">
        <f>IF('01_Stations'!$AM$318=1,"───","")</f>
        <v/>
      </c>
      <c r="AK337" s="164" t="str">
        <f>IF('01_Stations'!$AM$319=1,"───","")</f>
        <v/>
      </c>
      <c r="AL337" s="164" t="str">
        <f>IF('01_Stations'!$AM$320=1,"───","")</f>
        <v/>
      </c>
      <c r="AM337" s="164" t="str">
        <f>IF('01_Stations'!$AM$321=1,"───","")</f>
        <v/>
      </c>
      <c r="AN337" s="164" t="str">
        <f>IF('01_Stations'!$AM$322=1,"───","")</f>
        <v/>
      </c>
      <c r="AO337" s="164" t="str">
        <f>IF('01_Stations'!$AM$323=1,"───","")</f>
        <v/>
      </c>
      <c r="AP337" s="164" t="str">
        <f>IF('01_Stations'!$AM$324=1,"───","")</f>
        <v/>
      </c>
      <c r="AQ337" s="164" t="str">
        <f>IF('01_Stations'!$AM$325=1,"───","")</f>
        <v/>
      </c>
    </row>
    <row r="338" spans="1:43" ht="15" customHeight="1" x14ac:dyDescent="0.3">
      <c r="A338" s="236"/>
      <c r="B338" s="165" t="s">
        <v>231</v>
      </c>
      <c r="C338" s="166"/>
      <c r="D338" s="164" t="str">
        <f>IF('01_Stations'!$AN$286=1,"───","")</f>
        <v/>
      </c>
      <c r="E338" s="164" t="str">
        <f>IF('01_Stations'!$AN$287=1,"───","")</f>
        <v/>
      </c>
      <c r="F338" s="164" t="str">
        <f>IF('01_Stations'!$AN$288=1,"───","")</f>
        <v/>
      </c>
      <c r="G338" s="164" t="str">
        <f>IF('01_Stations'!$AN$289=1,"───","")</f>
        <v/>
      </c>
      <c r="H338" s="164" t="str">
        <f>IF('01_Stations'!$AN$290=1,"───","")</f>
        <v/>
      </c>
      <c r="I338" s="164" t="str">
        <f>IF('01_Stations'!$AN$291=1,"───","")</f>
        <v/>
      </c>
      <c r="J338" s="164" t="str">
        <f>IF('01_Stations'!$AN$292=1,"───","")</f>
        <v/>
      </c>
      <c r="K338" s="164" t="str">
        <f>IF('01_Stations'!$AN$293=1,"───","")</f>
        <v/>
      </c>
      <c r="L338" s="164" t="str">
        <f>IF('01_Stations'!$AN$294=1,"───","")</f>
        <v/>
      </c>
      <c r="M338" s="164" t="str">
        <f>IF('01_Stations'!$AN$295=1,"───","")</f>
        <v/>
      </c>
      <c r="N338" s="164" t="str">
        <f>IF('01_Stations'!$AN$296=1,"───","")</f>
        <v/>
      </c>
      <c r="O338" s="164" t="str">
        <f>IF('01_Stations'!$AN$297=1,"───","")</f>
        <v/>
      </c>
      <c r="P338" s="164" t="str">
        <f>IF('01_Stations'!$AN$298=1,"───","")</f>
        <v/>
      </c>
      <c r="Q338" s="164" t="str">
        <f>IF('01_Stations'!$AN$299=1,"───","")</f>
        <v/>
      </c>
      <c r="R338" s="164" t="str">
        <f>IF('01_Stations'!$AN$300=1,"───","")</f>
        <v/>
      </c>
      <c r="S338" s="164" t="str">
        <f>IF('01_Stations'!$AN$301=1,"───","")</f>
        <v/>
      </c>
      <c r="T338" s="164" t="str">
        <f>IF('01_Stations'!$AN$302=1,"───","")</f>
        <v/>
      </c>
      <c r="U338" s="164" t="str">
        <f>IF('01_Stations'!$AN$303=1,"───","")</f>
        <v/>
      </c>
      <c r="V338" s="164" t="str">
        <f>IF('01_Stations'!$AN$304=1,"───","")</f>
        <v/>
      </c>
      <c r="W338" s="164" t="str">
        <f>IF('01_Stations'!$AN$305=1,"───","")</f>
        <v/>
      </c>
      <c r="X338" s="164" t="str">
        <f>IF('01_Stations'!$AN$306=1,"───","")</f>
        <v/>
      </c>
      <c r="Y338" s="164" t="str">
        <f>IF('01_Stations'!$AN$307=1,"───","")</f>
        <v/>
      </c>
      <c r="Z338" s="164" t="str">
        <f>IF('01_Stations'!$AN$308=1,"───","")</f>
        <v/>
      </c>
      <c r="AA338" s="164" t="str">
        <f>IF('01_Stations'!$AN$309=1,"───","")</f>
        <v/>
      </c>
      <c r="AB338" s="164" t="str">
        <f>IF('01_Stations'!$AN$310=1,"───","")</f>
        <v/>
      </c>
      <c r="AC338" s="164" t="str">
        <f>IF('01_Stations'!$AN$311=1,"───","")</f>
        <v/>
      </c>
      <c r="AD338" s="164" t="str">
        <f>IF('01_Stations'!$AN$312=1,"───","")</f>
        <v/>
      </c>
      <c r="AE338" s="164" t="str">
        <f>IF('01_Stations'!$AN$313=1,"───","")</f>
        <v/>
      </c>
      <c r="AF338" s="164" t="str">
        <f>IF('01_Stations'!$AN$314=1,"───","")</f>
        <v/>
      </c>
      <c r="AG338" s="164" t="str">
        <f>IF('01_Stations'!$AN$315=1,"───","")</f>
        <v/>
      </c>
      <c r="AH338" s="164" t="str">
        <f>IF('01_Stations'!$AN$316=1,"───","")</f>
        <v/>
      </c>
      <c r="AI338" s="164" t="str">
        <f>IF('01_Stations'!$AN$317=1,"───","")</f>
        <v/>
      </c>
      <c r="AJ338" s="164" t="str">
        <f>IF('01_Stations'!$AN$318=1,"───","")</f>
        <v/>
      </c>
      <c r="AK338" s="164" t="str">
        <f>IF('01_Stations'!$AN$319=1,"───","")</f>
        <v/>
      </c>
      <c r="AL338" s="164" t="str">
        <f>IF('01_Stations'!$AN$320=1,"───","")</f>
        <v/>
      </c>
      <c r="AM338" s="164" t="str">
        <f>IF('01_Stations'!$AN$321=1,"───","")</f>
        <v/>
      </c>
      <c r="AN338" s="164" t="str">
        <f>IF('01_Stations'!$AN$322=1,"───","")</f>
        <v/>
      </c>
      <c r="AO338" s="164" t="str">
        <f>IF('01_Stations'!$AN$323=1,"───","")</f>
        <v/>
      </c>
      <c r="AP338" s="164" t="str">
        <f>IF('01_Stations'!$AN$324=1,"───","")</f>
        <v/>
      </c>
      <c r="AQ338" s="164" t="str">
        <f>IF('01_Stations'!$AN$325=1,"───","")</f>
        <v/>
      </c>
    </row>
    <row r="339" spans="1:43" ht="15" customHeight="1" x14ac:dyDescent="0.3">
      <c r="A339" s="237"/>
      <c r="B339" s="165" t="s">
        <v>232</v>
      </c>
      <c r="C339" s="166"/>
      <c r="D339" s="164" t="str">
        <f>IF('01_Stations'!$AO$286=1,"───","")</f>
        <v/>
      </c>
      <c r="E339" s="164" t="str">
        <f>IF('01_Stations'!$AO$287=1,"───","")</f>
        <v/>
      </c>
      <c r="F339" s="164" t="str">
        <f>IF('01_Stations'!$AO$288=1,"───","")</f>
        <v/>
      </c>
      <c r="G339" s="164" t="str">
        <f>IF('01_Stations'!$AO$289=1,"───","")</f>
        <v/>
      </c>
      <c r="H339" s="164" t="str">
        <f>IF('01_Stations'!$AO$290=1,"───","")</f>
        <v/>
      </c>
      <c r="I339" s="164" t="str">
        <f>IF('01_Stations'!$AO$291=1,"───","")</f>
        <v/>
      </c>
      <c r="J339" s="164" t="str">
        <f>IF('01_Stations'!$AO$292=1,"───","")</f>
        <v/>
      </c>
      <c r="K339" s="164" t="str">
        <f>IF('01_Stations'!$AO$293=1,"───","")</f>
        <v/>
      </c>
      <c r="L339" s="164" t="str">
        <f>IF('01_Stations'!$AO$294=1,"───","")</f>
        <v/>
      </c>
      <c r="M339" s="164" t="str">
        <f>IF('01_Stations'!$AO$295=1,"───","")</f>
        <v/>
      </c>
      <c r="N339" s="164" t="str">
        <f>IF('01_Stations'!$AO$296=1,"───","")</f>
        <v/>
      </c>
      <c r="O339" s="164" t="str">
        <f>IF('01_Stations'!$AO$297=1,"───","")</f>
        <v/>
      </c>
      <c r="P339" s="164" t="str">
        <f>IF('01_Stations'!$AO$298=1,"───","")</f>
        <v/>
      </c>
      <c r="Q339" s="164" t="str">
        <f>IF('01_Stations'!$AO$299=1,"───","")</f>
        <v/>
      </c>
      <c r="R339" s="164" t="str">
        <f>IF('01_Stations'!$AO$300=1,"───","")</f>
        <v/>
      </c>
      <c r="S339" s="164" t="str">
        <f>IF('01_Stations'!$AO$301=1,"───","")</f>
        <v/>
      </c>
      <c r="T339" s="164" t="str">
        <f>IF('01_Stations'!$AO$302=1,"───","")</f>
        <v/>
      </c>
      <c r="U339" s="164" t="str">
        <f>IF('01_Stations'!$AO$303=1,"───","")</f>
        <v/>
      </c>
      <c r="V339" s="164" t="str">
        <f>IF('01_Stations'!$AO$304=1,"───","")</f>
        <v/>
      </c>
      <c r="W339" s="164" t="str">
        <f>IF('01_Stations'!$AO$305=1,"───","")</f>
        <v/>
      </c>
      <c r="X339" s="164" t="str">
        <f>IF('01_Stations'!$AO$306=1,"───","")</f>
        <v/>
      </c>
      <c r="Y339" s="164" t="str">
        <f>IF('01_Stations'!$AO$307=1,"───","")</f>
        <v/>
      </c>
      <c r="Z339" s="164" t="str">
        <f>IF('01_Stations'!$AO$308=1,"───","")</f>
        <v/>
      </c>
      <c r="AA339" s="164" t="str">
        <f>IF('01_Stations'!$AO$309=1,"───","")</f>
        <v/>
      </c>
      <c r="AB339" s="164" t="str">
        <f>IF('01_Stations'!$AO$310=1,"───","")</f>
        <v/>
      </c>
      <c r="AC339" s="164" t="str">
        <f>IF('01_Stations'!$AO$311=1,"───","")</f>
        <v/>
      </c>
      <c r="AD339" s="164" t="str">
        <f>IF('01_Stations'!$AO$312=1,"───","")</f>
        <v/>
      </c>
      <c r="AE339" s="164" t="str">
        <f>IF('01_Stations'!$AO$313=1,"───","")</f>
        <v/>
      </c>
      <c r="AF339" s="164" t="str">
        <f>IF('01_Stations'!$AO$314=1,"───","")</f>
        <v/>
      </c>
      <c r="AG339" s="164" t="str">
        <f>IF('01_Stations'!$AO$315=1,"───","")</f>
        <v/>
      </c>
      <c r="AH339" s="164" t="str">
        <f>IF('01_Stations'!$AO$316=1,"───","")</f>
        <v/>
      </c>
      <c r="AI339" s="164" t="str">
        <f>IF('01_Stations'!$AO$317=1,"───","")</f>
        <v/>
      </c>
      <c r="AJ339" s="164" t="str">
        <f>IF('01_Stations'!$AO$318=1,"───","")</f>
        <v/>
      </c>
      <c r="AK339" s="164" t="str">
        <f>IF('01_Stations'!$AO$319=1,"───","")</f>
        <v/>
      </c>
      <c r="AL339" s="164" t="str">
        <f>IF('01_Stations'!$AO$320=1,"───","")</f>
        <v/>
      </c>
      <c r="AM339" s="164" t="str">
        <f>IF('01_Stations'!$AO$321=1,"───","")</f>
        <v/>
      </c>
      <c r="AN339" s="164" t="str">
        <f>IF('01_Stations'!$AO$322=1,"───","")</f>
        <v/>
      </c>
      <c r="AO339" s="164" t="str">
        <f>IF('01_Stations'!$AO$323=1,"───","")</f>
        <v/>
      </c>
      <c r="AP339" s="164" t="str">
        <f>IF('01_Stations'!$AO$324=1,"───","")</f>
        <v/>
      </c>
      <c r="AQ339" s="164" t="str">
        <f>IF('01_Stations'!$AO$325=1,"───","")</f>
        <v/>
      </c>
    </row>
    <row r="340" spans="1:43" x14ac:dyDescent="0.3">
      <c r="A340" s="64"/>
      <c r="B340" s="64"/>
      <c r="C340" s="64"/>
      <c r="D340" s="106"/>
      <c r="E340" s="106"/>
      <c r="F340" s="106"/>
      <c r="G340" s="106"/>
      <c r="H340" s="106"/>
      <c r="I340" s="106"/>
      <c r="J340" s="106"/>
      <c r="K340" s="106"/>
      <c r="L340" s="106"/>
      <c r="M340" s="106"/>
      <c r="N340" s="106"/>
      <c r="O340" s="106"/>
      <c r="P340" s="106"/>
      <c r="Q340" s="106"/>
      <c r="R340" s="106"/>
      <c r="S340" s="106"/>
      <c r="T340" s="106"/>
      <c r="U340" s="106"/>
      <c r="V340" s="106"/>
      <c r="W340" s="106"/>
      <c r="X340" s="106"/>
      <c r="Y340" s="106"/>
      <c r="Z340" s="106"/>
      <c r="AA340" s="106"/>
      <c r="AB340" s="106"/>
      <c r="AC340" s="106"/>
      <c r="AD340" s="106"/>
      <c r="AE340" s="106"/>
      <c r="AF340" s="106"/>
      <c r="AG340" s="106"/>
      <c r="AH340" s="106"/>
      <c r="AI340" s="106"/>
      <c r="AJ340" s="106"/>
      <c r="AK340" s="106"/>
      <c r="AL340" s="106"/>
      <c r="AM340" s="106"/>
      <c r="AN340" s="106"/>
      <c r="AO340" s="106"/>
      <c r="AP340" s="106"/>
      <c r="AQ340" s="106"/>
    </row>
    <row r="341" spans="1:43" ht="15" customHeight="1" thickBot="1" x14ac:dyDescent="0.35">
      <c r="A341" s="64"/>
      <c r="B341" s="64"/>
      <c r="C341" s="64"/>
      <c r="D341" s="106"/>
      <c r="E341" s="106"/>
      <c r="F341" s="106"/>
      <c r="G341" s="106"/>
      <c r="H341" s="106"/>
      <c r="I341" s="106"/>
      <c r="J341" s="106"/>
      <c r="K341" s="106"/>
      <c r="L341" s="106"/>
      <c r="M341" s="106"/>
      <c r="N341" s="106"/>
      <c r="O341" s="106"/>
      <c r="P341" s="106"/>
      <c r="Q341" s="106"/>
      <c r="R341" s="106"/>
      <c r="S341" s="106"/>
      <c r="T341" s="106"/>
      <c r="U341" s="106"/>
      <c r="V341" s="106"/>
      <c r="W341" s="106"/>
      <c r="X341" s="106"/>
      <c r="Y341" s="106"/>
      <c r="Z341" s="106"/>
      <c r="AA341" s="106"/>
      <c r="AB341" s="106"/>
      <c r="AC341" s="106"/>
      <c r="AD341" s="106"/>
      <c r="AE341" s="106"/>
      <c r="AF341" s="106"/>
      <c r="AG341" s="106"/>
      <c r="AH341" s="106"/>
      <c r="AI341" s="106"/>
      <c r="AJ341" s="106"/>
      <c r="AK341" s="106"/>
      <c r="AL341" s="106"/>
      <c r="AM341" s="106"/>
      <c r="AN341" s="106"/>
      <c r="AO341" s="106"/>
      <c r="AP341" s="106"/>
      <c r="AQ341" s="106"/>
    </row>
    <row r="342" spans="1:43" ht="19.95" customHeight="1" thickBot="1" x14ac:dyDescent="0.35">
      <c r="A342" s="174" t="s">
        <v>2237</v>
      </c>
      <c r="B342" s="172"/>
      <c r="C342" s="172"/>
      <c r="D342" s="173" t="str">
        <f>IF(P_Length_km*1000&lt;=16000,"— beyond the end of the road —","")</f>
        <v>— beyond the end of the road —</v>
      </c>
      <c r="E342" s="173"/>
      <c r="F342" s="173"/>
      <c r="G342" s="173"/>
      <c r="H342" s="173"/>
      <c r="I342" s="173"/>
      <c r="J342" s="173"/>
      <c r="K342" s="173"/>
      <c r="L342" s="173"/>
      <c r="M342" s="173"/>
      <c r="N342" s="173"/>
      <c r="O342" s="173"/>
      <c r="P342" s="173"/>
      <c r="Q342" s="173"/>
      <c r="R342" s="173"/>
      <c r="S342" s="173"/>
      <c r="T342" s="173"/>
      <c r="U342" s="173"/>
      <c r="V342" s="173"/>
      <c r="W342" s="173"/>
      <c r="X342" s="173"/>
      <c r="Y342" s="173"/>
      <c r="Z342" s="173"/>
      <c r="AA342" s="173"/>
      <c r="AB342" s="173"/>
      <c r="AC342" s="173"/>
      <c r="AD342" s="173"/>
      <c r="AE342" s="173"/>
      <c r="AF342" s="173"/>
      <c r="AG342" s="173"/>
      <c r="AH342" s="173"/>
      <c r="AI342" s="173"/>
      <c r="AJ342" s="173"/>
      <c r="AK342" s="173"/>
      <c r="AL342" s="173"/>
      <c r="AM342" s="173"/>
      <c r="AN342" s="173"/>
      <c r="AO342" s="173"/>
      <c r="AP342" s="173"/>
      <c r="AQ342" s="175"/>
    </row>
    <row r="343" spans="1:43" x14ac:dyDescent="0.3">
      <c r="A343" s="170" t="s">
        <v>2238</v>
      </c>
      <c r="B343" s="170"/>
      <c r="C343" s="170" t="s">
        <v>2204</v>
      </c>
      <c r="D343" s="171">
        <v>0</v>
      </c>
      <c r="E343" s="171"/>
      <c r="F343" s="171">
        <v>100</v>
      </c>
      <c r="G343" s="171"/>
      <c r="H343" s="171">
        <v>200</v>
      </c>
      <c r="I343" s="171"/>
      <c r="J343" s="171">
        <v>300</v>
      </c>
      <c r="K343" s="171"/>
      <c r="L343" s="171">
        <v>400</v>
      </c>
      <c r="M343" s="171"/>
      <c r="N343" s="171">
        <v>500</v>
      </c>
      <c r="O343" s="171"/>
      <c r="P343" s="171">
        <v>600</v>
      </c>
      <c r="Q343" s="171"/>
      <c r="R343" s="171">
        <v>700</v>
      </c>
      <c r="S343" s="171"/>
      <c r="T343" s="171">
        <v>800</v>
      </c>
      <c r="U343" s="171"/>
      <c r="V343" s="171">
        <v>900</v>
      </c>
      <c r="W343" s="171"/>
      <c r="X343" s="171">
        <v>0</v>
      </c>
      <c r="Y343" s="171"/>
      <c r="Z343" s="171">
        <v>100</v>
      </c>
      <c r="AA343" s="171"/>
      <c r="AB343" s="171">
        <v>200</v>
      </c>
      <c r="AC343" s="171"/>
      <c r="AD343" s="171">
        <v>300</v>
      </c>
      <c r="AE343" s="171"/>
      <c r="AF343" s="171">
        <v>400</v>
      </c>
      <c r="AG343" s="171"/>
      <c r="AH343" s="171">
        <v>500</v>
      </c>
      <c r="AI343" s="171"/>
      <c r="AJ343" s="171">
        <v>600</v>
      </c>
      <c r="AK343" s="171"/>
      <c r="AL343" s="171">
        <v>700</v>
      </c>
      <c r="AM343" s="171"/>
      <c r="AN343" s="171">
        <v>800</v>
      </c>
      <c r="AO343" s="171"/>
      <c r="AP343" s="171">
        <v>900</v>
      </c>
      <c r="AQ343" s="171"/>
    </row>
    <row r="344" spans="1:43" ht="15" customHeight="1" x14ac:dyDescent="0.3">
      <c r="A344" s="235" t="s">
        <v>2205</v>
      </c>
      <c r="B344" s="167" t="s">
        <v>263</v>
      </c>
      <c r="C344" s="168"/>
      <c r="D344" s="169" t="str">
        <f>IF('01_Stations'!$D$326=1,"▓","")</f>
        <v/>
      </c>
      <c r="E344" s="169" t="str">
        <f>IF('01_Stations'!$D$327=1,"▓","")</f>
        <v/>
      </c>
      <c r="F344" s="169" t="str">
        <f>IF('01_Stations'!$D$328=1,"▓","")</f>
        <v/>
      </c>
      <c r="G344" s="169" t="str">
        <f>IF('01_Stations'!$D$329=1,"▓","")</f>
        <v/>
      </c>
      <c r="H344" s="169" t="str">
        <f>IF('01_Stations'!$D$330=1,"▓","")</f>
        <v/>
      </c>
      <c r="I344" s="169" t="str">
        <f>IF('01_Stations'!$D$331=1,"▓","")</f>
        <v/>
      </c>
      <c r="J344" s="169" t="str">
        <f>IF('01_Stations'!$D$332=1,"▓","")</f>
        <v/>
      </c>
      <c r="K344" s="169" t="str">
        <f>IF('01_Stations'!$D$333=1,"▓","")</f>
        <v/>
      </c>
      <c r="L344" s="169" t="str">
        <f>IF('01_Stations'!$D$334=1,"▓","")</f>
        <v/>
      </c>
      <c r="M344" s="169" t="str">
        <f>IF('01_Stations'!$D$335=1,"▓","")</f>
        <v/>
      </c>
      <c r="N344" s="169" t="str">
        <f>IF('01_Stations'!$D$336=1,"▓","")</f>
        <v/>
      </c>
      <c r="O344" s="169" t="str">
        <f>IF('01_Stations'!$D$337=1,"▓","")</f>
        <v/>
      </c>
      <c r="P344" s="169" t="str">
        <f>IF('01_Stations'!$D$338=1,"▓","")</f>
        <v/>
      </c>
      <c r="Q344" s="169" t="str">
        <f>IF('01_Stations'!$D$339=1,"▓","")</f>
        <v/>
      </c>
      <c r="R344" s="169" t="str">
        <f>IF('01_Stations'!$D$340=1,"▓","")</f>
        <v/>
      </c>
      <c r="S344" s="169" t="str">
        <f>IF('01_Stations'!$D$341=1,"▓","")</f>
        <v/>
      </c>
      <c r="T344" s="169" t="str">
        <f>IF('01_Stations'!$D$342=1,"▓","")</f>
        <v/>
      </c>
      <c r="U344" s="169" t="str">
        <f>IF('01_Stations'!$D$343=1,"▓","")</f>
        <v/>
      </c>
      <c r="V344" s="169" t="str">
        <f>IF('01_Stations'!$D$344=1,"▓","")</f>
        <v/>
      </c>
      <c r="W344" s="169" t="str">
        <f>IF('01_Stations'!$D$345=1,"▓","")</f>
        <v/>
      </c>
      <c r="X344" s="169" t="str">
        <f>IF('01_Stations'!$D$346=1,"▓","")</f>
        <v/>
      </c>
      <c r="Y344" s="169" t="str">
        <f>IF('01_Stations'!$D$347=1,"▓","")</f>
        <v/>
      </c>
      <c r="Z344" s="169" t="str">
        <f>IF('01_Stations'!$D$348=1,"▓","")</f>
        <v/>
      </c>
      <c r="AA344" s="169" t="str">
        <f>IF('01_Stations'!$D$349=1,"▓","")</f>
        <v/>
      </c>
      <c r="AB344" s="169" t="str">
        <f>IF('01_Stations'!$D$350=1,"▓","")</f>
        <v/>
      </c>
      <c r="AC344" s="169" t="str">
        <f>IF('01_Stations'!$D$351=1,"▓","")</f>
        <v/>
      </c>
      <c r="AD344" s="169" t="str">
        <f>IF('01_Stations'!$D$352=1,"▓","")</f>
        <v/>
      </c>
      <c r="AE344" s="169" t="str">
        <f>IF('01_Stations'!$D$353=1,"▓","")</f>
        <v/>
      </c>
      <c r="AF344" s="169" t="str">
        <f>IF('01_Stations'!$D$354=1,"▓","")</f>
        <v/>
      </c>
      <c r="AG344" s="169" t="str">
        <f>IF('01_Stations'!$D$355=1,"▓","")</f>
        <v/>
      </c>
      <c r="AH344" s="169" t="str">
        <f>IF('01_Stations'!$D$356=1,"▓","")</f>
        <v/>
      </c>
      <c r="AI344" s="169" t="str">
        <f>IF('01_Stations'!$D$357=1,"▓","")</f>
        <v/>
      </c>
      <c r="AJ344" s="169" t="str">
        <f>IF('01_Stations'!$D$358=1,"▓","")</f>
        <v/>
      </c>
      <c r="AK344" s="169" t="str">
        <f>IF('01_Stations'!$D$359=1,"▓","")</f>
        <v/>
      </c>
      <c r="AL344" s="169" t="str">
        <f>IF('01_Stations'!$D$360=1,"▓","")</f>
        <v/>
      </c>
      <c r="AM344" s="169" t="str">
        <f>IF('01_Stations'!$D$361=1,"▓","")</f>
        <v/>
      </c>
      <c r="AN344" s="169" t="str">
        <f>IF('01_Stations'!$D$362=1,"▓","")</f>
        <v/>
      </c>
      <c r="AO344" s="169" t="str">
        <f>IF('01_Stations'!$D$363=1,"▓","")</f>
        <v/>
      </c>
      <c r="AP344" s="169" t="str">
        <f>IF('01_Stations'!$D$364=1,"▓","")</f>
        <v/>
      </c>
      <c r="AQ344" s="169" t="str">
        <f>IF('01_Stations'!$D$365=1,"▓","")</f>
        <v/>
      </c>
    </row>
    <row r="345" spans="1:43" ht="15" customHeight="1" x14ac:dyDescent="0.3">
      <c r="A345" s="236"/>
      <c r="B345" s="165" t="s">
        <v>2206</v>
      </c>
      <c r="C345" s="166"/>
      <c r="D345" s="164" t="str">
        <f>IF('01_Stations'!$E$326="","",'01_Stations'!$E$326)</f>
        <v/>
      </c>
      <c r="E345" s="164" t="str">
        <f>IF('01_Stations'!$E$327="","",'01_Stations'!$E$327)</f>
        <v/>
      </c>
      <c r="F345" s="164" t="str">
        <f>IF('01_Stations'!$E$328="","",'01_Stations'!$E$328)</f>
        <v/>
      </c>
      <c r="G345" s="164" t="str">
        <f>IF('01_Stations'!$E$329="","",'01_Stations'!$E$329)</f>
        <v/>
      </c>
      <c r="H345" s="164" t="str">
        <f>IF('01_Stations'!$E$330="","",'01_Stations'!$E$330)</f>
        <v/>
      </c>
      <c r="I345" s="164" t="str">
        <f>IF('01_Stations'!$E$331="","",'01_Stations'!$E$331)</f>
        <v/>
      </c>
      <c r="J345" s="164" t="str">
        <f>IF('01_Stations'!$E$332="","",'01_Stations'!$E$332)</f>
        <v/>
      </c>
      <c r="K345" s="164" t="str">
        <f>IF('01_Stations'!$E$333="","",'01_Stations'!$E$333)</f>
        <v/>
      </c>
      <c r="L345" s="164" t="str">
        <f>IF('01_Stations'!$E$334="","",'01_Stations'!$E$334)</f>
        <v/>
      </c>
      <c r="M345" s="164" t="str">
        <f>IF('01_Stations'!$E$335="","",'01_Stations'!$E$335)</f>
        <v/>
      </c>
      <c r="N345" s="164" t="str">
        <f>IF('01_Stations'!$E$336="","",'01_Stations'!$E$336)</f>
        <v/>
      </c>
      <c r="O345" s="164" t="str">
        <f>IF('01_Stations'!$E$337="","",'01_Stations'!$E$337)</f>
        <v/>
      </c>
      <c r="P345" s="164" t="str">
        <f>IF('01_Stations'!$E$338="","",'01_Stations'!$E$338)</f>
        <v/>
      </c>
      <c r="Q345" s="164" t="str">
        <f>IF('01_Stations'!$E$339="","",'01_Stations'!$E$339)</f>
        <v/>
      </c>
      <c r="R345" s="164" t="str">
        <f>IF('01_Stations'!$E$340="","",'01_Stations'!$E$340)</f>
        <v/>
      </c>
      <c r="S345" s="164" t="str">
        <f>IF('01_Stations'!$E$341="","",'01_Stations'!$E$341)</f>
        <v/>
      </c>
      <c r="T345" s="164" t="str">
        <f>IF('01_Stations'!$E$342="","",'01_Stations'!$E$342)</f>
        <v/>
      </c>
      <c r="U345" s="164" t="str">
        <f>IF('01_Stations'!$E$343="","",'01_Stations'!$E$343)</f>
        <v/>
      </c>
      <c r="V345" s="164" t="str">
        <f>IF('01_Stations'!$E$344="","",'01_Stations'!$E$344)</f>
        <v/>
      </c>
      <c r="W345" s="164" t="str">
        <f>IF('01_Stations'!$E$345="","",'01_Stations'!$E$345)</f>
        <v/>
      </c>
      <c r="X345" s="164" t="str">
        <f>IF('01_Stations'!$E$346="","",'01_Stations'!$E$346)</f>
        <v/>
      </c>
      <c r="Y345" s="164" t="str">
        <f>IF('01_Stations'!$E$347="","",'01_Stations'!$E$347)</f>
        <v/>
      </c>
      <c r="Z345" s="164" t="str">
        <f>IF('01_Stations'!$E$348="","",'01_Stations'!$E$348)</f>
        <v/>
      </c>
      <c r="AA345" s="164" t="str">
        <f>IF('01_Stations'!$E$349="","",'01_Stations'!$E$349)</f>
        <v/>
      </c>
      <c r="AB345" s="164" t="str">
        <f>IF('01_Stations'!$E$350="","",'01_Stations'!$E$350)</f>
        <v/>
      </c>
      <c r="AC345" s="164" t="str">
        <f>IF('01_Stations'!$E$351="","",'01_Stations'!$E$351)</f>
        <v/>
      </c>
      <c r="AD345" s="164" t="str">
        <f>IF('01_Stations'!$E$352="","",'01_Stations'!$E$352)</f>
        <v/>
      </c>
      <c r="AE345" s="164" t="str">
        <f>IF('01_Stations'!$E$353="","",'01_Stations'!$E$353)</f>
        <v/>
      </c>
      <c r="AF345" s="164" t="str">
        <f>IF('01_Stations'!$E$354="","",'01_Stations'!$E$354)</f>
        <v/>
      </c>
      <c r="AG345" s="164" t="str">
        <f>IF('01_Stations'!$E$355="","",'01_Stations'!$E$355)</f>
        <v/>
      </c>
      <c r="AH345" s="164" t="str">
        <f>IF('01_Stations'!$E$356="","",'01_Stations'!$E$356)</f>
        <v/>
      </c>
      <c r="AI345" s="164" t="str">
        <f>IF('01_Stations'!$E$357="","",'01_Stations'!$E$357)</f>
        <v/>
      </c>
      <c r="AJ345" s="164" t="str">
        <f>IF('01_Stations'!$E$358="","",'01_Stations'!$E$358)</f>
        <v/>
      </c>
      <c r="AK345" s="164" t="str">
        <f>IF('01_Stations'!$E$359="","",'01_Stations'!$E$359)</f>
        <v/>
      </c>
      <c r="AL345" s="164" t="str">
        <f>IF('01_Stations'!$E$360="","",'01_Stations'!$E$360)</f>
        <v/>
      </c>
      <c r="AM345" s="164" t="str">
        <f>IF('01_Stations'!$E$361="","",'01_Stations'!$E$361)</f>
        <v/>
      </c>
      <c r="AN345" s="164" t="str">
        <f>IF('01_Stations'!$E$362="","",'01_Stations'!$E$362)</f>
        <v/>
      </c>
      <c r="AO345" s="164" t="str">
        <f>IF('01_Stations'!$E$363="","",'01_Stations'!$E$363)</f>
        <v/>
      </c>
      <c r="AP345" s="164" t="str">
        <f>IF('01_Stations'!$E$364="","",'01_Stations'!$E$364)</f>
        <v/>
      </c>
      <c r="AQ345" s="164" t="str">
        <f>IF('01_Stations'!$E$365="","",'01_Stations'!$E$365)</f>
        <v/>
      </c>
    </row>
    <row r="346" spans="1:43" ht="15" customHeight="1" x14ac:dyDescent="0.3">
      <c r="A346" s="236"/>
      <c r="B346" s="165" t="s">
        <v>2207</v>
      </c>
      <c r="C346" s="166"/>
      <c r="D346" s="164" t="str">
        <f>IF('01_Stations'!$F$326=1,"───","")</f>
        <v/>
      </c>
      <c r="E346" s="164" t="str">
        <f>IF('01_Stations'!$F$327=1,"───","")</f>
        <v/>
      </c>
      <c r="F346" s="164" t="str">
        <f>IF('01_Stations'!$F$328=1,"───","")</f>
        <v/>
      </c>
      <c r="G346" s="164" t="str">
        <f>IF('01_Stations'!$F$329=1,"───","")</f>
        <v/>
      </c>
      <c r="H346" s="164" t="str">
        <f>IF('01_Stations'!$F$330=1,"───","")</f>
        <v/>
      </c>
      <c r="I346" s="164" t="str">
        <f>IF('01_Stations'!$F$331=1,"───","")</f>
        <v/>
      </c>
      <c r="J346" s="164" t="str">
        <f>IF('01_Stations'!$F$332=1,"───","")</f>
        <v/>
      </c>
      <c r="K346" s="164" t="str">
        <f>IF('01_Stations'!$F$333=1,"───","")</f>
        <v/>
      </c>
      <c r="L346" s="164" t="str">
        <f>IF('01_Stations'!$F$334=1,"───","")</f>
        <v/>
      </c>
      <c r="M346" s="164" t="str">
        <f>IF('01_Stations'!$F$335=1,"───","")</f>
        <v/>
      </c>
      <c r="N346" s="164" t="str">
        <f>IF('01_Stations'!$F$336=1,"───","")</f>
        <v/>
      </c>
      <c r="O346" s="164" t="str">
        <f>IF('01_Stations'!$F$337=1,"───","")</f>
        <v/>
      </c>
      <c r="P346" s="164" t="str">
        <f>IF('01_Stations'!$F$338=1,"───","")</f>
        <v/>
      </c>
      <c r="Q346" s="164" t="str">
        <f>IF('01_Stations'!$F$339=1,"───","")</f>
        <v/>
      </c>
      <c r="R346" s="164" t="str">
        <f>IF('01_Stations'!$F$340=1,"───","")</f>
        <v/>
      </c>
      <c r="S346" s="164" t="str">
        <f>IF('01_Stations'!$F$341=1,"───","")</f>
        <v/>
      </c>
      <c r="T346" s="164" t="str">
        <f>IF('01_Stations'!$F$342=1,"───","")</f>
        <v/>
      </c>
      <c r="U346" s="164" t="str">
        <f>IF('01_Stations'!$F$343=1,"───","")</f>
        <v/>
      </c>
      <c r="V346" s="164" t="str">
        <f>IF('01_Stations'!$F$344=1,"───","")</f>
        <v/>
      </c>
      <c r="W346" s="164" t="str">
        <f>IF('01_Stations'!$F$345=1,"───","")</f>
        <v/>
      </c>
      <c r="X346" s="164" t="str">
        <f>IF('01_Stations'!$F$346=1,"───","")</f>
        <v/>
      </c>
      <c r="Y346" s="164" t="str">
        <f>IF('01_Stations'!$F$347=1,"───","")</f>
        <v/>
      </c>
      <c r="Z346" s="164" t="str">
        <f>IF('01_Stations'!$F$348=1,"───","")</f>
        <v/>
      </c>
      <c r="AA346" s="164" t="str">
        <f>IF('01_Stations'!$F$349=1,"───","")</f>
        <v/>
      </c>
      <c r="AB346" s="164" t="str">
        <f>IF('01_Stations'!$F$350=1,"───","")</f>
        <v/>
      </c>
      <c r="AC346" s="164" t="str">
        <f>IF('01_Stations'!$F$351=1,"───","")</f>
        <v/>
      </c>
      <c r="AD346" s="164" t="str">
        <f>IF('01_Stations'!$F$352=1,"───","")</f>
        <v/>
      </c>
      <c r="AE346" s="164" t="str">
        <f>IF('01_Stations'!$F$353=1,"───","")</f>
        <v/>
      </c>
      <c r="AF346" s="164" t="str">
        <f>IF('01_Stations'!$F$354=1,"───","")</f>
        <v/>
      </c>
      <c r="AG346" s="164" t="str">
        <f>IF('01_Stations'!$F$355=1,"───","")</f>
        <v/>
      </c>
      <c r="AH346" s="164" t="str">
        <f>IF('01_Stations'!$F$356=1,"───","")</f>
        <v/>
      </c>
      <c r="AI346" s="164" t="str">
        <f>IF('01_Stations'!$F$357=1,"───","")</f>
        <v/>
      </c>
      <c r="AJ346" s="164" t="str">
        <f>IF('01_Stations'!$F$358=1,"───","")</f>
        <v/>
      </c>
      <c r="AK346" s="164" t="str">
        <f>IF('01_Stations'!$F$359=1,"───","")</f>
        <v/>
      </c>
      <c r="AL346" s="164" t="str">
        <f>IF('01_Stations'!$F$360=1,"───","")</f>
        <v/>
      </c>
      <c r="AM346" s="164" t="str">
        <f>IF('01_Stations'!$F$361=1,"───","")</f>
        <v/>
      </c>
      <c r="AN346" s="164" t="str">
        <f>IF('01_Stations'!$F$362=1,"───","")</f>
        <v/>
      </c>
      <c r="AO346" s="164" t="str">
        <f>IF('01_Stations'!$F$363=1,"───","")</f>
        <v/>
      </c>
      <c r="AP346" s="164" t="str">
        <f>IF('01_Stations'!$F$364=1,"───","")</f>
        <v/>
      </c>
      <c r="AQ346" s="164" t="str">
        <f>IF('01_Stations'!$F$365=1,"───","")</f>
        <v/>
      </c>
    </row>
    <row r="347" spans="1:43" ht="15" customHeight="1" x14ac:dyDescent="0.3">
      <c r="A347" s="236"/>
      <c r="B347" s="165" t="s">
        <v>265</v>
      </c>
      <c r="C347" s="166" t="s">
        <v>299</v>
      </c>
      <c r="D347" s="164" t="str">
        <f>IF(N('01_Stations'!$G$326)&gt;0,'01_Stations'!$G$326,"")</f>
        <v/>
      </c>
      <c r="E347" s="164" t="str">
        <f>IF(N('01_Stations'!$G$327)&gt;0,'01_Stations'!$G$327,"")</f>
        <v/>
      </c>
      <c r="F347" s="164" t="str">
        <f>IF(N('01_Stations'!$G$328)&gt;0,'01_Stations'!$G$328,"")</f>
        <v/>
      </c>
      <c r="G347" s="164" t="str">
        <f>IF(N('01_Stations'!$G$329)&gt;0,'01_Stations'!$G$329,"")</f>
        <v/>
      </c>
      <c r="H347" s="164" t="str">
        <f>IF(N('01_Stations'!$G$330)&gt;0,'01_Stations'!$G$330,"")</f>
        <v/>
      </c>
      <c r="I347" s="164" t="str">
        <f>IF(N('01_Stations'!$G$331)&gt;0,'01_Stations'!$G$331,"")</f>
        <v/>
      </c>
      <c r="J347" s="164" t="str">
        <f>IF(N('01_Stations'!$G$332)&gt;0,'01_Stations'!$G$332,"")</f>
        <v/>
      </c>
      <c r="K347" s="164" t="str">
        <f>IF(N('01_Stations'!$G$333)&gt;0,'01_Stations'!$G$333,"")</f>
        <v/>
      </c>
      <c r="L347" s="164" t="str">
        <f>IF(N('01_Stations'!$G$334)&gt;0,'01_Stations'!$G$334,"")</f>
        <v/>
      </c>
      <c r="M347" s="164" t="str">
        <f>IF(N('01_Stations'!$G$335)&gt;0,'01_Stations'!$G$335,"")</f>
        <v/>
      </c>
      <c r="N347" s="164" t="str">
        <f>IF(N('01_Stations'!$G$336)&gt;0,'01_Stations'!$G$336,"")</f>
        <v/>
      </c>
      <c r="O347" s="164" t="str">
        <f>IF(N('01_Stations'!$G$337)&gt;0,'01_Stations'!$G$337,"")</f>
        <v/>
      </c>
      <c r="P347" s="164" t="str">
        <f>IF(N('01_Stations'!$G$338)&gt;0,'01_Stations'!$G$338,"")</f>
        <v/>
      </c>
      <c r="Q347" s="164" t="str">
        <f>IF(N('01_Stations'!$G$339)&gt;0,'01_Stations'!$G$339,"")</f>
        <v/>
      </c>
      <c r="R347" s="164" t="str">
        <f>IF(N('01_Stations'!$G$340)&gt;0,'01_Stations'!$G$340,"")</f>
        <v/>
      </c>
      <c r="S347" s="164" t="str">
        <f>IF(N('01_Stations'!$G$341)&gt;0,'01_Stations'!$G$341,"")</f>
        <v/>
      </c>
      <c r="T347" s="164" t="str">
        <f>IF(N('01_Stations'!$G$342)&gt;0,'01_Stations'!$G$342,"")</f>
        <v/>
      </c>
      <c r="U347" s="164" t="str">
        <f>IF(N('01_Stations'!$G$343)&gt;0,'01_Stations'!$G$343,"")</f>
        <v/>
      </c>
      <c r="V347" s="164" t="str">
        <f>IF(N('01_Stations'!$G$344)&gt;0,'01_Stations'!$G$344,"")</f>
        <v/>
      </c>
      <c r="W347" s="164" t="str">
        <f>IF(N('01_Stations'!$G$345)&gt;0,'01_Stations'!$G$345,"")</f>
        <v/>
      </c>
      <c r="X347" s="164" t="str">
        <f>IF(N('01_Stations'!$G$346)&gt;0,'01_Stations'!$G$346,"")</f>
        <v/>
      </c>
      <c r="Y347" s="164" t="str">
        <f>IF(N('01_Stations'!$G$347)&gt;0,'01_Stations'!$G$347,"")</f>
        <v/>
      </c>
      <c r="Z347" s="164" t="str">
        <f>IF(N('01_Stations'!$G$348)&gt;0,'01_Stations'!$G$348,"")</f>
        <v/>
      </c>
      <c r="AA347" s="164" t="str">
        <f>IF(N('01_Stations'!$G$349)&gt;0,'01_Stations'!$G$349,"")</f>
        <v/>
      </c>
      <c r="AB347" s="164" t="str">
        <f>IF(N('01_Stations'!$G$350)&gt;0,'01_Stations'!$G$350,"")</f>
        <v/>
      </c>
      <c r="AC347" s="164" t="str">
        <f>IF(N('01_Stations'!$G$351)&gt;0,'01_Stations'!$G$351,"")</f>
        <v/>
      </c>
      <c r="AD347" s="164" t="str">
        <f>IF(N('01_Stations'!$G$352)&gt;0,'01_Stations'!$G$352,"")</f>
        <v/>
      </c>
      <c r="AE347" s="164" t="str">
        <f>IF(N('01_Stations'!$G$353)&gt;0,'01_Stations'!$G$353,"")</f>
        <v/>
      </c>
      <c r="AF347" s="164" t="str">
        <f>IF(N('01_Stations'!$G$354)&gt;0,'01_Stations'!$G$354,"")</f>
        <v/>
      </c>
      <c r="AG347" s="164" t="str">
        <f>IF(N('01_Stations'!$G$355)&gt;0,'01_Stations'!$G$355,"")</f>
        <v/>
      </c>
      <c r="AH347" s="164" t="str">
        <f>IF(N('01_Stations'!$G$356)&gt;0,'01_Stations'!$G$356,"")</f>
        <v/>
      </c>
      <c r="AI347" s="164" t="str">
        <f>IF(N('01_Stations'!$G$357)&gt;0,'01_Stations'!$G$357,"")</f>
        <v/>
      </c>
      <c r="AJ347" s="164" t="str">
        <f>IF(N('01_Stations'!$G$358)&gt;0,'01_Stations'!$G$358,"")</f>
        <v/>
      </c>
      <c r="AK347" s="164" t="str">
        <f>IF(N('01_Stations'!$G$359)&gt;0,'01_Stations'!$G$359,"")</f>
        <v/>
      </c>
      <c r="AL347" s="164" t="str">
        <f>IF(N('01_Stations'!$G$360)&gt;0,'01_Stations'!$G$360,"")</f>
        <v/>
      </c>
      <c r="AM347" s="164" t="str">
        <f>IF(N('01_Stations'!$G$361)&gt;0,'01_Stations'!$G$361,"")</f>
        <v/>
      </c>
      <c r="AN347" s="164" t="str">
        <f>IF(N('01_Stations'!$G$362)&gt;0,'01_Stations'!$G$362,"")</f>
        <v/>
      </c>
      <c r="AO347" s="164" t="str">
        <f>IF(N('01_Stations'!$G$363)&gt;0,'01_Stations'!$G$363,"")</f>
        <v/>
      </c>
      <c r="AP347" s="164" t="str">
        <f>IF(N('01_Stations'!$G$364)&gt;0,'01_Stations'!$G$364,"")</f>
        <v/>
      </c>
      <c r="AQ347" s="164" t="str">
        <f>IF(N('01_Stations'!$G$365)&gt;0,'01_Stations'!$G$365,"")</f>
        <v/>
      </c>
    </row>
    <row r="348" spans="1:43" ht="15" customHeight="1" x14ac:dyDescent="0.3">
      <c r="A348" s="236"/>
      <c r="B348" s="165" t="s">
        <v>1866</v>
      </c>
      <c r="C348" s="166" t="s">
        <v>300</v>
      </c>
      <c r="D348" s="164" t="str">
        <f>IF(N('01_Stations'!$H$326)&gt;0,'01_Stations'!$H$326,"")</f>
        <v/>
      </c>
      <c r="E348" s="164" t="str">
        <f>IF(N('01_Stations'!$H$327)&gt;0,'01_Stations'!$H$327,"")</f>
        <v/>
      </c>
      <c r="F348" s="164" t="str">
        <f>IF(N('01_Stations'!$H$328)&gt;0,'01_Stations'!$H$328,"")</f>
        <v/>
      </c>
      <c r="G348" s="164" t="str">
        <f>IF(N('01_Stations'!$H$329)&gt;0,'01_Stations'!$H$329,"")</f>
        <v/>
      </c>
      <c r="H348" s="164" t="str">
        <f>IF(N('01_Stations'!$H$330)&gt;0,'01_Stations'!$H$330,"")</f>
        <v/>
      </c>
      <c r="I348" s="164" t="str">
        <f>IF(N('01_Stations'!$H$331)&gt;0,'01_Stations'!$H$331,"")</f>
        <v/>
      </c>
      <c r="J348" s="164" t="str">
        <f>IF(N('01_Stations'!$H$332)&gt;0,'01_Stations'!$H$332,"")</f>
        <v/>
      </c>
      <c r="K348" s="164" t="str">
        <f>IF(N('01_Stations'!$H$333)&gt;0,'01_Stations'!$H$333,"")</f>
        <v/>
      </c>
      <c r="L348" s="164" t="str">
        <f>IF(N('01_Stations'!$H$334)&gt;0,'01_Stations'!$H$334,"")</f>
        <v/>
      </c>
      <c r="M348" s="164" t="str">
        <f>IF(N('01_Stations'!$H$335)&gt;0,'01_Stations'!$H$335,"")</f>
        <v/>
      </c>
      <c r="N348" s="164" t="str">
        <f>IF(N('01_Stations'!$H$336)&gt;0,'01_Stations'!$H$336,"")</f>
        <v/>
      </c>
      <c r="O348" s="164" t="str">
        <f>IF(N('01_Stations'!$H$337)&gt;0,'01_Stations'!$H$337,"")</f>
        <v/>
      </c>
      <c r="P348" s="164" t="str">
        <f>IF(N('01_Stations'!$H$338)&gt;0,'01_Stations'!$H$338,"")</f>
        <v/>
      </c>
      <c r="Q348" s="164" t="str">
        <f>IF(N('01_Stations'!$H$339)&gt;0,'01_Stations'!$H$339,"")</f>
        <v/>
      </c>
      <c r="R348" s="164" t="str">
        <f>IF(N('01_Stations'!$H$340)&gt;0,'01_Stations'!$H$340,"")</f>
        <v/>
      </c>
      <c r="S348" s="164" t="str">
        <f>IF(N('01_Stations'!$H$341)&gt;0,'01_Stations'!$H$341,"")</f>
        <v/>
      </c>
      <c r="T348" s="164" t="str">
        <f>IF(N('01_Stations'!$H$342)&gt;0,'01_Stations'!$H$342,"")</f>
        <v/>
      </c>
      <c r="U348" s="164" t="str">
        <f>IF(N('01_Stations'!$H$343)&gt;0,'01_Stations'!$H$343,"")</f>
        <v/>
      </c>
      <c r="V348" s="164" t="str">
        <f>IF(N('01_Stations'!$H$344)&gt;0,'01_Stations'!$H$344,"")</f>
        <v/>
      </c>
      <c r="W348" s="164" t="str">
        <f>IF(N('01_Stations'!$H$345)&gt;0,'01_Stations'!$H$345,"")</f>
        <v/>
      </c>
      <c r="X348" s="164" t="str">
        <f>IF(N('01_Stations'!$H$346)&gt;0,'01_Stations'!$H$346,"")</f>
        <v/>
      </c>
      <c r="Y348" s="164" t="str">
        <f>IF(N('01_Stations'!$H$347)&gt;0,'01_Stations'!$H$347,"")</f>
        <v/>
      </c>
      <c r="Z348" s="164" t="str">
        <f>IF(N('01_Stations'!$H$348)&gt;0,'01_Stations'!$H$348,"")</f>
        <v/>
      </c>
      <c r="AA348" s="164" t="str">
        <f>IF(N('01_Stations'!$H$349)&gt;0,'01_Stations'!$H$349,"")</f>
        <v/>
      </c>
      <c r="AB348" s="164" t="str">
        <f>IF(N('01_Stations'!$H$350)&gt;0,'01_Stations'!$H$350,"")</f>
        <v/>
      </c>
      <c r="AC348" s="164" t="str">
        <f>IF(N('01_Stations'!$H$351)&gt;0,'01_Stations'!$H$351,"")</f>
        <v/>
      </c>
      <c r="AD348" s="164" t="str">
        <f>IF(N('01_Stations'!$H$352)&gt;0,'01_Stations'!$H$352,"")</f>
        <v/>
      </c>
      <c r="AE348" s="164" t="str">
        <f>IF(N('01_Stations'!$H$353)&gt;0,'01_Stations'!$H$353,"")</f>
        <v/>
      </c>
      <c r="AF348" s="164" t="str">
        <f>IF(N('01_Stations'!$H$354)&gt;0,'01_Stations'!$H$354,"")</f>
        <v/>
      </c>
      <c r="AG348" s="164" t="str">
        <f>IF(N('01_Stations'!$H$355)&gt;0,'01_Stations'!$H$355,"")</f>
        <v/>
      </c>
      <c r="AH348" s="164" t="str">
        <f>IF(N('01_Stations'!$H$356)&gt;0,'01_Stations'!$H$356,"")</f>
        <v/>
      </c>
      <c r="AI348" s="164" t="str">
        <f>IF(N('01_Stations'!$H$357)&gt;0,'01_Stations'!$H$357,"")</f>
        <v/>
      </c>
      <c r="AJ348" s="164" t="str">
        <f>IF(N('01_Stations'!$H$358)&gt;0,'01_Stations'!$H$358,"")</f>
        <v/>
      </c>
      <c r="AK348" s="164" t="str">
        <f>IF(N('01_Stations'!$H$359)&gt;0,'01_Stations'!$H$359,"")</f>
        <v/>
      </c>
      <c r="AL348" s="164" t="str">
        <f>IF(N('01_Stations'!$H$360)&gt;0,'01_Stations'!$H$360,"")</f>
        <v/>
      </c>
      <c r="AM348" s="164" t="str">
        <f>IF(N('01_Stations'!$H$361)&gt;0,'01_Stations'!$H$361,"")</f>
        <v/>
      </c>
      <c r="AN348" s="164" t="str">
        <f>IF(N('01_Stations'!$H$362)&gt;0,'01_Stations'!$H$362,"")</f>
        <v/>
      </c>
      <c r="AO348" s="164" t="str">
        <f>IF(N('01_Stations'!$H$363)&gt;0,'01_Stations'!$H$363,"")</f>
        <v/>
      </c>
      <c r="AP348" s="164" t="str">
        <f>IF(N('01_Stations'!$H$364)&gt;0,'01_Stations'!$H$364,"")</f>
        <v/>
      </c>
      <c r="AQ348" s="164" t="str">
        <f>IF(N('01_Stations'!$H$365)&gt;0,'01_Stations'!$H$365,"")</f>
        <v/>
      </c>
    </row>
    <row r="349" spans="1:43" ht="15" customHeight="1" x14ac:dyDescent="0.3">
      <c r="A349" s="236"/>
      <c r="B349" s="165" t="s">
        <v>267</v>
      </c>
      <c r="C349" s="166"/>
      <c r="D349" s="164" t="str">
        <f>IF('01_Stations'!$I$326=1,"───","")</f>
        <v/>
      </c>
      <c r="E349" s="164" t="str">
        <f>IF('01_Stations'!$I$327=1,"───","")</f>
        <v/>
      </c>
      <c r="F349" s="164" t="str">
        <f>IF('01_Stations'!$I$328=1,"───","")</f>
        <v/>
      </c>
      <c r="G349" s="164" t="str">
        <f>IF('01_Stations'!$I$329=1,"───","")</f>
        <v/>
      </c>
      <c r="H349" s="164" t="str">
        <f>IF('01_Stations'!$I$330=1,"───","")</f>
        <v/>
      </c>
      <c r="I349" s="164" t="str">
        <f>IF('01_Stations'!$I$331=1,"───","")</f>
        <v/>
      </c>
      <c r="J349" s="164" t="str">
        <f>IF('01_Stations'!$I$332=1,"───","")</f>
        <v/>
      </c>
      <c r="K349" s="164" t="str">
        <f>IF('01_Stations'!$I$333=1,"───","")</f>
        <v/>
      </c>
      <c r="L349" s="164" t="str">
        <f>IF('01_Stations'!$I$334=1,"───","")</f>
        <v/>
      </c>
      <c r="M349" s="164" t="str">
        <f>IF('01_Stations'!$I$335=1,"───","")</f>
        <v/>
      </c>
      <c r="N349" s="164" t="str">
        <f>IF('01_Stations'!$I$336=1,"───","")</f>
        <v/>
      </c>
      <c r="O349" s="164" t="str">
        <f>IF('01_Stations'!$I$337=1,"───","")</f>
        <v/>
      </c>
      <c r="P349" s="164" t="str">
        <f>IF('01_Stations'!$I$338=1,"───","")</f>
        <v/>
      </c>
      <c r="Q349" s="164" t="str">
        <f>IF('01_Stations'!$I$339=1,"───","")</f>
        <v/>
      </c>
      <c r="R349" s="164" t="str">
        <f>IF('01_Stations'!$I$340=1,"───","")</f>
        <v/>
      </c>
      <c r="S349" s="164" t="str">
        <f>IF('01_Stations'!$I$341=1,"───","")</f>
        <v/>
      </c>
      <c r="T349" s="164" t="str">
        <f>IF('01_Stations'!$I$342=1,"───","")</f>
        <v/>
      </c>
      <c r="U349" s="164" t="str">
        <f>IF('01_Stations'!$I$343=1,"───","")</f>
        <v/>
      </c>
      <c r="V349" s="164" t="str">
        <f>IF('01_Stations'!$I$344=1,"───","")</f>
        <v/>
      </c>
      <c r="W349" s="164" t="str">
        <f>IF('01_Stations'!$I$345=1,"───","")</f>
        <v/>
      </c>
      <c r="X349" s="164" t="str">
        <f>IF('01_Stations'!$I$346=1,"───","")</f>
        <v/>
      </c>
      <c r="Y349" s="164" t="str">
        <f>IF('01_Stations'!$I$347=1,"───","")</f>
        <v/>
      </c>
      <c r="Z349" s="164" t="str">
        <f>IF('01_Stations'!$I$348=1,"───","")</f>
        <v/>
      </c>
      <c r="AA349" s="164" t="str">
        <f>IF('01_Stations'!$I$349=1,"───","")</f>
        <v/>
      </c>
      <c r="AB349" s="164" t="str">
        <f>IF('01_Stations'!$I$350=1,"───","")</f>
        <v/>
      </c>
      <c r="AC349" s="164" t="str">
        <f>IF('01_Stations'!$I$351=1,"───","")</f>
        <v/>
      </c>
      <c r="AD349" s="164" t="str">
        <f>IF('01_Stations'!$I$352=1,"───","")</f>
        <v/>
      </c>
      <c r="AE349" s="164" t="str">
        <f>IF('01_Stations'!$I$353=1,"───","")</f>
        <v/>
      </c>
      <c r="AF349" s="164" t="str">
        <f>IF('01_Stations'!$I$354=1,"───","")</f>
        <v/>
      </c>
      <c r="AG349" s="164" t="str">
        <f>IF('01_Stations'!$I$355=1,"───","")</f>
        <v/>
      </c>
      <c r="AH349" s="164" t="str">
        <f>IF('01_Stations'!$I$356=1,"───","")</f>
        <v/>
      </c>
      <c r="AI349" s="164" t="str">
        <f>IF('01_Stations'!$I$357=1,"───","")</f>
        <v/>
      </c>
      <c r="AJ349" s="164" t="str">
        <f>IF('01_Stations'!$I$358=1,"───","")</f>
        <v/>
      </c>
      <c r="AK349" s="164" t="str">
        <f>IF('01_Stations'!$I$359=1,"───","")</f>
        <v/>
      </c>
      <c r="AL349" s="164" t="str">
        <f>IF('01_Stations'!$I$360=1,"───","")</f>
        <v/>
      </c>
      <c r="AM349" s="164" t="str">
        <f>IF('01_Stations'!$I$361=1,"───","")</f>
        <v/>
      </c>
      <c r="AN349" s="164" t="str">
        <f>IF('01_Stations'!$I$362=1,"───","")</f>
        <v/>
      </c>
      <c r="AO349" s="164" t="str">
        <f>IF('01_Stations'!$I$363=1,"───","")</f>
        <v/>
      </c>
      <c r="AP349" s="164" t="str">
        <f>IF('01_Stations'!$I$364=1,"───","")</f>
        <v/>
      </c>
      <c r="AQ349" s="164" t="str">
        <f>IF('01_Stations'!$I$365=1,"───","")</f>
        <v/>
      </c>
    </row>
    <row r="350" spans="1:43" ht="15" customHeight="1" x14ac:dyDescent="0.3">
      <c r="A350" s="236"/>
      <c r="B350" s="165" t="s">
        <v>268</v>
      </c>
      <c r="C350" s="166" t="s">
        <v>299</v>
      </c>
      <c r="D350" s="164" t="str">
        <f>IF(N('01_Stations'!$J$326)&gt;0,'01_Stations'!$J$326,"")</f>
        <v/>
      </c>
      <c r="E350" s="164" t="str">
        <f>IF(N('01_Stations'!$J$327)&gt;0,'01_Stations'!$J$327,"")</f>
        <v/>
      </c>
      <c r="F350" s="164" t="str">
        <f>IF(N('01_Stations'!$J$328)&gt;0,'01_Stations'!$J$328,"")</f>
        <v/>
      </c>
      <c r="G350" s="164" t="str">
        <f>IF(N('01_Stations'!$J$329)&gt;0,'01_Stations'!$J$329,"")</f>
        <v/>
      </c>
      <c r="H350" s="164" t="str">
        <f>IF(N('01_Stations'!$J$330)&gt;0,'01_Stations'!$J$330,"")</f>
        <v/>
      </c>
      <c r="I350" s="164" t="str">
        <f>IF(N('01_Stations'!$J$331)&gt;0,'01_Stations'!$J$331,"")</f>
        <v/>
      </c>
      <c r="J350" s="164" t="str">
        <f>IF(N('01_Stations'!$J$332)&gt;0,'01_Stations'!$J$332,"")</f>
        <v/>
      </c>
      <c r="K350" s="164" t="str">
        <f>IF(N('01_Stations'!$J$333)&gt;0,'01_Stations'!$J$333,"")</f>
        <v/>
      </c>
      <c r="L350" s="164" t="str">
        <f>IF(N('01_Stations'!$J$334)&gt;0,'01_Stations'!$J$334,"")</f>
        <v/>
      </c>
      <c r="M350" s="164" t="str">
        <f>IF(N('01_Stations'!$J$335)&gt;0,'01_Stations'!$J$335,"")</f>
        <v/>
      </c>
      <c r="N350" s="164" t="str">
        <f>IF(N('01_Stations'!$J$336)&gt;0,'01_Stations'!$J$336,"")</f>
        <v/>
      </c>
      <c r="O350" s="164" t="str">
        <f>IF(N('01_Stations'!$J$337)&gt;0,'01_Stations'!$J$337,"")</f>
        <v/>
      </c>
      <c r="P350" s="164" t="str">
        <f>IF(N('01_Stations'!$J$338)&gt;0,'01_Stations'!$J$338,"")</f>
        <v/>
      </c>
      <c r="Q350" s="164" t="str">
        <f>IF(N('01_Stations'!$J$339)&gt;0,'01_Stations'!$J$339,"")</f>
        <v/>
      </c>
      <c r="R350" s="164" t="str">
        <f>IF(N('01_Stations'!$J$340)&gt;0,'01_Stations'!$J$340,"")</f>
        <v/>
      </c>
      <c r="S350" s="164" t="str">
        <f>IF(N('01_Stations'!$J$341)&gt;0,'01_Stations'!$J$341,"")</f>
        <v/>
      </c>
      <c r="T350" s="164" t="str">
        <f>IF(N('01_Stations'!$J$342)&gt;0,'01_Stations'!$J$342,"")</f>
        <v/>
      </c>
      <c r="U350" s="164" t="str">
        <f>IF(N('01_Stations'!$J$343)&gt;0,'01_Stations'!$J$343,"")</f>
        <v/>
      </c>
      <c r="V350" s="164" t="str">
        <f>IF(N('01_Stations'!$J$344)&gt;0,'01_Stations'!$J$344,"")</f>
        <v/>
      </c>
      <c r="W350" s="164" t="str">
        <f>IF(N('01_Stations'!$J$345)&gt;0,'01_Stations'!$J$345,"")</f>
        <v/>
      </c>
      <c r="X350" s="164" t="str">
        <f>IF(N('01_Stations'!$J$346)&gt;0,'01_Stations'!$J$346,"")</f>
        <v/>
      </c>
      <c r="Y350" s="164" t="str">
        <f>IF(N('01_Stations'!$J$347)&gt;0,'01_Stations'!$J$347,"")</f>
        <v/>
      </c>
      <c r="Z350" s="164" t="str">
        <f>IF(N('01_Stations'!$J$348)&gt;0,'01_Stations'!$J$348,"")</f>
        <v/>
      </c>
      <c r="AA350" s="164" t="str">
        <f>IF(N('01_Stations'!$J$349)&gt;0,'01_Stations'!$J$349,"")</f>
        <v/>
      </c>
      <c r="AB350" s="164" t="str">
        <f>IF(N('01_Stations'!$J$350)&gt;0,'01_Stations'!$J$350,"")</f>
        <v/>
      </c>
      <c r="AC350" s="164" t="str">
        <f>IF(N('01_Stations'!$J$351)&gt;0,'01_Stations'!$J$351,"")</f>
        <v/>
      </c>
      <c r="AD350" s="164" t="str">
        <f>IF(N('01_Stations'!$J$352)&gt;0,'01_Stations'!$J$352,"")</f>
        <v/>
      </c>
      <c r="AE350" s="164" t="str">
        <f>IF(N('01_Stations'!$J$353)&gt;0,'01_Stations'!$J$353,"")</f>
        <v/>
      </c>
      <c r="AF350" s="164" t="str">
        <f>IF(N('01_Stations'!$J$354)&gt;0,'01_Stations'!$J$354,"")</f>
        <v/>
      </c>
      <c r="AG350" s="164" t="str">
        <f>IF(N('01_Stations'!$J$355)&gt;0,'01_Stations'!$J$355,"")</f>
        <v/>
      </c>
      <c r="AH350" s="164" t="str">
        <f>IF(N('01_Stations'!$J$356)&gt;0,'01_Stations'!$J$356,"")</f>
        <v/>
      </c>
      <c r="AI350" s="164" t="str">
        <f>IF(N('01_Stations'!$J$357)&gt;0,'01_Stations'!$J$357,"")</f>
        <v/>
      </c>
      <c r="AJ350" s="164" t="str">
        <f>IF(N('01_Stations'!$J$358)&gt;0,'01_Stations'!$J$358,"")</f>
        <v/>
      </c>
      <c r="AK350" s="164" t="str">
        <f>IF(N('01_Stations'!$J$359)&gt;0,'01_Stations'!$J$359,"")</f>
        <v/>
      </c>
      <c r="AL350" s="164" t="str">
        <f>IF(N('01_Stations'!$J$360)&gt;0,'01_Stations'!$J$360,"")</f>
        <v/>
      </c>
      <c r="AM350" s="164" t="str">
        <f>IF(N('01_Stations'!$J$361)&gt;0,'01_Stations'!$J$361,"")</f>
        <v/>
      </c>
      <c r="AN350" s="164" t="str">
        <f>IF(N('01_Stations'!$J$362)&gt;0,'01_Stations'!$J$362,"")</f>
        <v/>
      </c>
      <c r="AO350" s="164" t="str">
        <f>IF(N('01_Stations'!$J$363)&gt;0,'01_Stations'!$J$363,"")</f>
        <v/>
      </c>
      <c r="AP350" s="164" t="str">
        <f>IF(N('01_Stations'!$J$364)&gt;0,'01_Stations'!$J$364,"")</f>
        <v/>
      </c>
      <c r="AQ350" s="164" t="str">
        <f>IF(N('01_Stations'!$J$365)&gt;0,'01_Stations'!$J$365,"")</f>
        <v/>
      </c>
    </row>
    <row r="351" spans="1:43" ht="15" customHeight="1" x14ac:dyDescent="0.3">
      <c r="A351" s="236"/>
      <c r="B351" s="165" t="s">
        <v>2208</v>
      </c>
      <c r="C351" s="166" t="s">
        <v>63</v>
      </c>
      <c r="D351" s="164" t="str">
        <f>IF(N('01_Stations'!$K$326)&gt;0,'01_Stations'!$K$326,"")</f>
        <v/>
      </c>
      <c r="E351" s="164" t="str">
        <f>IF(N('01_Stations'!$K$327)&gt;0,'01_Stations'!$K$327,"")</f>
        <v/>
      </c>
      <c r="F351" s="164" t="str">
        <f>IF(N('01_Stations'!$K$328)&gt;0,'01_Stations'!$K$328,"")</f>
        <v/>
      </c>
      <c r="G351" s="164" t="str">
        <f>IF(N('01_Stations'!$K$329)&gt;0,'01_Stations'!$K$329,"")</f>
        <v/>
      </c>
      <c r="H351" s="164" t="str">
        <f>IF(N('01_Stations'!$K$330)&gt;0,'01_Stations'!$K$330,"")</f>
        <v/>
      </c>
      <c r="I351" s="164" t="str">
        <f>IF(N('01_Stations'!$K$331)&gt;0,'01_Stations'!$K$331,"")</f>
        <v/>
      </c>
      <c r="J351" s="164" t="str">
        <f>IF(N('01_Stations'!$K$332)&gt;0,'01_Stations'!$K$332,"")</f>
        <v/>
      </c>
      <c r="K351" s="164" t="str">
        <f>IF(N('01_Stations'!$K$333)&gt;0,'01_Stations'!$K$333,"")</f>
        <v/>
      </c>
      <c r="L351" s="164" t="str">
        <f>IF(N('01_Stations'!$K$334)&gt;0,'01_Stations'!$K$334,"")</f>
        <v/>
      </c>
      <c r="M351" s="164" t="str">
        <f>IF(N('01_Stations'!$K$335)&gt;0,'01_Stations'!$K$335,"")</f>
        <v/>
      </c>
      <c r="N351" s="164" t="str">
        <f>IF(N('01_Stations'!$K$336)&gt;0,'01_Stations'!$K$336,"")</f>
        <v/>
      </c>
      <c r="O351" s="164" t="str">
        <f>IF(N('01_Stations'!$K$337)&gt;0,'01_Stations'!$K$337,"")</f>
        <v/>
      </c>
      <c r="P351" s="164" t="str">
        <f>IF(N('01_Stations'!$K$338)&gt;0,'01_Stations'!$K$338,"")</f>
        <v/>
      </c>
      <c r="Q351" s="164" t="str">
        <f>IF(N('01_Stations'!$K$339)&gt;0,'01_Stations'!$K$339,"")</f>
        <v/>
      </c>
      <c r="R351" s="164" t="str">
        <f>IF(N('01_Stations'!$K$340)&gt;0,'01_Stations'!$K$340,"")</f>
        <v/>
      </c>
      <c r="S351" s="164" t="str">
        <f>IF(N('01_Stations'!$K$341)&gt;0,'01_Stations'!$K$341,"")</f>
        <v/>
      </c>
      <c r="T351" s="164" t="str">
        <f>IF(N('01_Stations'!$K$342)&gt;0,'01_Stations'!$K$342,"")</f>
        <v/>
      </c>
      <c r="U351" s="164" t="str">
        <f>IF(N('01_Stations'!$K$343)&gt;0,'01_Stations'!$K$343,"")</f>
        <v/>
      </c>
      <c r="V351" s="164" t="str">
        <f>IF(N('01_Stations'!$K$344)&gt;0,'01_Stations'!$K$344,"")</f>
        <v/>
      </c>
      <c r="W351" s="164" t="str">
        <f>IF(N('01_Stations'!$K$345)&gt;0,'01_Stations'!$K$345,"")</f>
        <v/>
      </c>
      <c r="X351" s="164" t="str">
        <f>IF(N('01_Stations'!$K$346)&gt;0,'01_Stations'!$K$346,"")</f>
        <v/>
      </c>
      <c r="Y351" s="164" t="str">
        <f>IF(N('01_Stations'!$K$347)&gt;0,'01_Stations'!$K$347,"")</f>
        <v/>
      </c>
      <c r="Z351" s="164" t="str">
        <f>IF(N('01_Stations'!$K$348)&gt;0,'01_Stations'!$K$348,"")</f>
        <v/>
      </c>
      <c r="AA351" s="164" t="str">
        <f>IF(N('01_Stations'!$K$349)&gt;0,'01_Stations'!$K$349,"")</f>
        <v/>
      </c>
      <c r="AB351" s="164" t="str">
        <f>IF(N('01_Stations'!$K$350)&gt;0,'01_Stations'!$K$350,"")</f>
        <v/>
      </c>
      <c r="AC351" s="164" t="str">
        <f>IF(N('01_Stations'!$K$351)&gt;0,'01_Stations'!$K$351,"")</f>
        <v/>
      </c>
      <c r="AD351" s="164" t="str">
        <f>IF(N('01_Stations'!$K$352)&gt;0,'01_Stations'!$K$352,"")</f>
        <v/>
      </c>
      <c r="AE351" s="164" t="str">
        <f>IF(N('01_Stations'!$K$353)&gt;0,'01_Stations'!$K$353,"")</f>
        <v/>
      </c>
      <c r="AF351" s="164" t="str">
        <f>IF(N('01_Stations'!$K$354)&gt;0,'01_Stations'!$K$354,"")</f>
        <v/>
      </c>
      <c r="AG351" s="164" t="str">
        <f>IF(N('01_Stations'!$K$355)&gt;0,'01_Stations'!$K$355,"")</f>
        <v/>
      </c>
      <c r="AH351" s="164" t="str">
        <f>IF(N('01_Stations'!$K$356)&gt;0,'01_Stations'!$K$356,"")</f>
        <v/>
      </c>
      <c r="AI351" s="164" t="str">
        <f>IF(N('01_Stations'!$K$357)&gt;0,'01_Stations'!$K$357,"")</f>
        <v/>
      </c>
      <c r="AJ351" s="164" t="str">
        <f>IF(N('01_Stations'!$K$358)&gt;0,'01_Stations'!$K$358,"")</f>
        <v/>
      </c>
      <c r="AK351" s="164" t="str">
        <f>IF(N('01_Stations'!$K$359)&gt;0,'01_Stations'!$K$359,"")</f>
        <v/>
      </c>
      <c r="AL351" s="164" t="str">
        <f>IF(N('01_Stations'!$K$360)&gt;0,'01_Stations'!$K$360,"")</f>
        <v/>
      </c>
      <c r="AM351" s="164" t="str">
        <f>IF(N('01_Stations'!$K$361)&gt;0,'01_Stations'!$K$361,"")</f>
        <v/>
      </c>
      <c r="AN351" s="164" t="str">
        <f>IF(N('01_Stations'!$K$362)&gt;0,'01_Stations'!$K$362,"")</f>
        <v/>
      </c>
      <c r="AO351" s="164" t="str">
        <f>IF(N('01_Stations'!$K$363)&gt;0,'01_Stations'!$K$363,"")</f>
        <v/>
      </c>
      <c r="AP351" s="164" t="str">
        <f>IF(N('01_Stations'!$K$364)&gt;0,'01_Stations'!$K$364,"")</f>
        <v/>
      </c>
      <c r="AQ351" s="164" t="str">
        <f>IF(N('01_Stations'!$K$365)&gt;0,'01_Stations'!$K$365,"")</f>
        <v/>
      </c>
    </row>
    <row r="352" spans="1:43" ht="15" customHeight="1" x14ac:dyDescent="0.3">
      <c r="A352" s="236"/>
      <c r="B352" s="165" t="s">
        <v>270</v>
      </c>
      <c r="C352" s="166"/>
      <c r="D352" s="164" t="str">
        <f>IF('01_Stations'!$L$326=1,"───","")</f>
        <v/>
      </c>
      <c r="E352" s="164" t="str">
        <f>IF('01_Stations'!$L$327=1,"───","")</f>
        <v/>
      </c>
      <c r="F352" s="164" t="str">
        <f>IF('01_Stations'!$L$328=1,"───","")</f>
        <v/>
      </c>
      <c r="G352" s="164" t="str">
        <f>IF('01_Stations'!$L$329=1,"───","")</f>
        <v/>
      </c>
      <c r="H352" s="164" t="str">
        <f>IF('01_Stations'!$L$330=1,"───","")</f>
        <v/>
      </c>
      <c r="I352" s="164" t="str">
        <f>IF('01_Stations'!$L$331=1,"───","")</f>
        <v/>
      </c>
      <c r="J352" s="164" t="str">
        <f>IF('01_Stations'!$L$332=1,"───","")</f>
        <v/>
      </c>
      <c r="K352" s="164" t="str">
        <f>IF('01_Stations'!$L$333=1,"───","")</f>
        <v/>
      </c>
      <c r="L352" s="164" t="str">
        <f>IF('01_Stations'!$L$334=1,"───","")</f>
        <v/>
      </c>
      <c r="M352" s="164" t="str">
        <f>IF('01_Stations'!$L$335=1,"───","")</f>
        <v/>
      </c>
      <c r="N352" s="164" t="str">
        <f>IF('01_Stations'!$L$336=1,"───","")</f>
        <v/>
      </c>
      <c r="O352" s="164" t="str">
        <f>IF('01_Stations'!$L$337=1,"───","")</f>
        <v/>
      </c>
      <c r="P352" s="164" t="str">
        <f>IF('01_Stations'!$L$338=1,"───","")</f>
        <v/>
      </c>
      <c r="Q352" s="164" t="str">
        <f>IF('01_Stations'!$L$339=1,"───","")</f>
        <v/>
      </c>
      <c r="R352" s="164" t="str">
        <f>IF('01_Stations'!$L$340=1,"───","")</f>
        <v/>
      </c>
      <c r="S352" s="164" t="str">
        <f>IF('01_Stations'!$L$341=1,"───","")</f>
        <v/>
      </c>
      <c r="T352" s="164" t="str">
        <f>IF('01_Stations'!$L$342=1,"───","")</f>
        <v/>
      </c>
      <c r="U352" s="164" t="str">
        <f>IF('01_Stations'!$L$343=1,"───","")</f>
        <v/>
      </c>
      <c r="V352" s="164" t="str">
        <f>IF('01_Stations'!$L$344=1,"───","")</f>
        <v/>
      </c>
      <c r="W352" s="164" t="str">
        <f>IF('01_Stations'!$L$345=1,"───","")</f>
        <v/>
      </c>
      <c r="X352" s="164" t="str">
        <f>IF('01_Stations'!$L$346=1,"───","")</f>
        <v/>
      </c>
      <c r="Y352" s="164" t="str">
        <f>IF('01_Stations'!$L$347=1,"───","")</f>
        <v/>
      </c>
      <c r="Z352" s="164" t="str">
        <f>IF('01_Stations'!$L$348=1,"───","")</f>
        <v/>
      </c>
      <c r="AA352" s="164" t="str">
        <f>IF('01_Stations'!$L$349=1,"───","")</f>
        <v/>
      </c>
      <c r="AB352" s="164" t="str">
        <f>IF('01_Stations'!$L$350=1,"───","")</f>
        <v/>
      </c>
      <c r="AC352" s="164" t="str">
        <f>IF('01_Stations'!$L$351=1,"───","")</f>
        <v/>
      </c>
      <c r="AD352" s="164" t="str">
        <f>IF('01_Stations'!$L$352=1,"───","")</f>
        <v/>
      </c>
      <c r="AE352" s="164" t="str">
        <f>IF('01_Stations'!$L$353=1,"───","")</f>
        <v/>
      </c>
      <c r="AF352" s="164" t="str">
        <f>IF('01_Stations'!$L$354=1,"───","")</f>
        <v/>
      </c>
      <c r="AG352" s="164" t="str">
        <f>IF('01_Stations'!$L$355=1,"───","")</f>
        <v/>
      </c>
      <c r="AH352" s="164" t="str">
        <f>IF('01_Stations'!$L$356=1,"───","")</f>
        <v/>
      </c>
      <c r="AI352" s="164" t="str">
        <f>IF('01_Stations'!$L$357=1,"───","")</f>
        <v/>
      </c>
      <c r="AJ352" s="164" t="str">
        <f>IF('01_Stations'!$L$358=1,"───","")</f>
        <v/>
      </c>
      <c r="AK352" s="164" t="str">
        <f>IF('01_Stations'!$L$359=1,"───","")</f>
        <v/>
      </c>
      <c r="AL352" s="164" t="str">
        <f>IF('01_Stations'!$L$360=1,"───","")</f>
        <v/>
      </c>
      <c r="AM352" s="164" t="str">
        <f>IF('01_Stations'!$L$361=1,"───","")</f>
        <v/>
      </c>
      <c r="AN352" s="164" t="str">
        <f>IF('01_Stations'!$L$362=1,"───","")</f>
        <v/>
      </c>
      <c r="AO352" s="164" t="str">
        <f>IF('01_Stations'!$L$363=1,"───","")</f>
        <v/>
      </c>
      <c r="AP352" s="164" t="str">
        <f>IF('01_Stations'!$L$364=1,"───","")</f>
        <v/>
      </c>
      <c r="AQ352" s="164" t="str">
        <f>IF('01_Stations'!$L$365=1,"───","")</f>
        <v/>
      </c>
    </row>
    <row r="353" spans="1:43" ht="15" customHeight="1" x14ac:dyDescent="0.3">
      <c r="A353" s="236"/>
      <c r="B353" s="165" t="s">
        <v>265</v>
      </c>
      <c r="C353" s="166" t="s">
        <v>299</v>
      </c>
      <c r="D353" s="164" t="str">
        <f>IF(N('01_Stations'!$M$326)&gt;0,'01_Stations'!$M$326,"")</f>
        <v/>
      </c>
      <c r="E353" s="164" t="str">
        <f>IF(N('01_Stations'!$M$327)&gt;0,'01_Stations'!$M$327,"")</f>
        <v/>
      </c>
      <c r="F353" s="164" t="str">
        <f>IF(N('01_Stations'!$M$328)&gt;0,'01_Stations'!$M$328,"")</f>
        <v/>
      </c>
      <c r="G353" s="164" t="str">
        <f>IF(N('01_Stations'!$M$329)&gt;0,'01_Stations'!$M$329,"")</f>
        <v/>
      </c>
      <c r="H353" s="164" t="str">
        <f>IF(N('01_Stations'!$M$330)&gt;0,'01_Stations'!$M$330,"")</f>
        <v/>
      </c>
      <c r="I353" s="164" t="str">
        <f>IF(N('01_Stations'!$M$331)&gt;0,'01_Stations'!$M$331,"")</f>
        <v/>
      </c>
      <c r="J353" s="164" t="str">
        <f>IF(N('01_Stations'!$M$332)&gt;0,'01_Stations'!$M$332,"")</f>
        <v/>
      </c>
      <c r="K353" s="164" t="str">
        <f>IF(N('01_Stations'!$M$333)&gt;0,'01_Stations'!$M$333,"")</f>
        <v/>
      </c>
      <c r="L353" s="164" t="str">
        <f>IF(N('01_Stations'!$M$334)&gt;0,'01_Stations'!$M$334,"")</f>
        <v/>
      </c>
      <c r="M353" s="164" t="str">
        <f>IF(N('01_Stations'!$M$335)&gt;0,'01_Stations'!$M$335,"")</f>
        <v/>
      </c>
      <c r="N353" s="164" t="str">
        <f>IF(N('01_Stations'!$M$336)&gt;0,'01_Stations'!$M$336,"")</f>
        <v/>
      </c>
      <c r="O353" s="164" t="str">
        <f>IF(N('01_Stations'!$M$337)&gt;0,'01_Stations'!$M$337,"")</f>
        <v/>
      </c>
      <c r="P353" s="164" t="str">
        <f>IF(N('01_Stations'!$M$338)&gt;0,'01_Stations'!$M$338,"")</f>
        <v/>
      </c>
      <c r="Q353" s="164" t="str">
        <f>IF(N('01_Stations'!$M$339)&gt;0,'01_Stations'!$M$339,"")</f>
        <v/>
      </c>
      <c r="R353" s="164" t="str">
        <f>IF(N('01_Stations'!$M$340)&gt;0,'01_Stations'!$M$340,"")</f>
        <v/>
      </c>
      <c r="S353" s="164" t="str">
        <f>IF(N('01_Stations'!$M$341)&gt;0,'01_Stations'!$M$341,"")</f>
        <v/>
      </c>
      <c r="T353" s="164" t="str">
        <f>IF(N('01_Stations'!$M$342)&gt;0,'01_Stations'!$M$342,"")</f>
        <v/>
      </c>
      <c r="U353" s="164" t="str">
        <f>IF(N('01_Stations'!$M$343)&gt;0,'01_Stations'!$M$343,"")</f>
        <v/>
      </c>
      <c r="V353" s="164" t="str">
        <f>IF(N('01_Stations'!$M$344)&gt;0,'01_Stations'!$M$344,"")</f>
        <v/>
      </c>
      <c r="W353" s="164" t="str">
        <f>IF(N('01_Stations'!$M$345)&gt;0,'01_Stations'!$M$345,"")</f>
        <v/>
      </c>
      <c r="X353" s="164" t="str">
        <f>IF(N('01_Stations'!$M$346)&gt;0,'01_Stations'!$M$346,"")</f>
        <v/>
      </c>
      <c r="Y353" s="164" t="str">
        <f>IF(N('01_Stations'!$M$347)&gt;0,'01_Stations'!$M$347,"")</f>
        <v/>
      </c>
      <c r="Z353" s="164" t="str">
        <f>IF(N('01_Stations'!$M$348)&gt;0,'01_Stations'!$M$348,"")</f>
        <v/>
      </c>
      <c r="AA353" s="164" t="str">
        <f>IF(N('01_Stations'!$M$349)&gt;0,'01_Stations'!$M$349,"")</f>
        <v/>
      </c>
      <c r="AB353" s="164" t="str">
        <f>IF(N('01_Stations'!$M$350)&gt;0,'01_Stations'!$M$350,"")</f>
        <v/>
      </c>
      <c r="AC353" s="164" t="str">
        <f>IF(N('01_Stations'!$M$351)&gt;0,'01_Stations'!$M$351,"")</f>
        <v/>
      </c>
      <c r="AD353" s="164" t="str">
        <f>IF(N('01_Stations'!$M$352)&gt;0,'01_Stations'!$M$352,"")</f>
        <v/>
      </c>
      <c r="AE353" s="164" t="str">
        <f>IF(N('01_Stations'!$M$353)&gt;0,'01_Stations'!$M$353,"")</f>
        <v/>
      </c>
      <c r="AF353" s="164" t="str">
        <f>IF(N('01_Stations'!$M$354)&gt;0,'01_Stations'!$M$354,"")</f>
        <v/>
      </c>
      <c r="AG353" s="164" t="str">
        <f>IF(N('01_Stations'!$M$355)&gt;0,'01_Stations'!$M$355,"")</f>
        <v/>
      </c>
      <c r="AH353" s="164" t="str">
        <f>IF(N('01_Stations'!$M$356)&gt;0,'01_Stations'!$M$356,"")</f>
        <v/>
      </c>
      <c r="AI353" s="164" t="str">
        <f>IF(N('01_Stations'!$M$357)&gt;0,'01_Stations'!$M$357,"")</f>
        <v/>
      </c>
      <c r="AJ353" s="164" t="str">
        <f>IF(N('01_Stations'!$M$358)&gt;0,'01_Stations'!$M$358,"")</f>
        <v/>
      </c>
      <c r="AK353" s="164" t="str">
        <f>IF(N('01_Stations'!$M$359)&gt;0,'01_Stations'!$M$359,"")</f>
        <v/>
      </c>
      <c r="AL353" s="164" t="str">
        <f>IF(N('01_Stations'!$M$360)&gt;0,'01_Stations'!$M$360,"")</f>
        <v/>
      </c>
      <c r="AM353" s="164" t="str">
        <f>IF(N('01_Stations'!$M$361)&gt;0,'01_Stations'!$M$361,"")</f>
        <v/>
      </c>
      <c r="AN353" s="164" t="str">
        <f>IF(N('01_Stations'!$M$362)&gt;0,'01_Stations'!$M$362,"")</f>
        <v/>
      </c>
      <c r="AO353" s="164" t="str">
        <f>IF(N('01_Stations'!$M$363)&gt;0,'01_Stations'!$M$363,"")</f>
        <v/>
      </c>
      <c r="AP353" s="164" t="str">
        <f>IF(N('01_Stations'!$M$364)&gt;0,'01_Stations'!$M$364,"")</f>
        <v/>
      </c>
      <c r="AQ353" s="164" t="str">
        <f>IF(N('01_Stations'!$M$365)&gt;0,'01_Stations'!$M$365,"")</f>
        <v/>
      </c>
    </row>
    <row r="354" spans="1:43" ht="15" customHeight="1" x14ac:dyDescent="0.3">
      <c r="A354" s="236"/>
      <c r="B354" s="165" t="s">
        <v>2208</v>
      </c>
      <c r="C354" s="166" t="s">
        <v>63</v>
      </c>
      <c r="D354" s="164" t="str">
        <f>IF(N('01_Stations'!$N$326)&gt;0,'01_Stations'!$N$326,"")</f>
        <v/>
      </c>
      <c r="E354" s="164" t="str">
        <f>IF(N('01_Stations'!$N$327)&gt;0,'01_Stations'!$N$327,"")</f>
        <v/>
      </c>
      <c r="F354" s="164" t="str">
        <f>IF(N('01_Stations'!$N$328)&gt;0,'01_Stations'!$N$328,"")</f>
        <v/>
      </c>
      <c r="G354" s="164" t="str">
        <f>IF(N('01_Stations'!$N$329)&gt;0,'01_Stations'!$N$329,"")</f>
        <v/>
      </c>
      <c r="H354" s="164" t="str">
        <f>IF(N('01_Stations'!$N$330)&gt;0,'01_Stations'!$N$330,"")</f>
        <v/>
      </c>
      <c r="I354" s="164" t="str">
        <f>IF(N('01_Stations'!$N$331)&gt;0,'01_Stations'!$N$331,"")</f>
        <v/>
      </c>
      <c r="J354" s="164" t="str">
        <f>IF(N('01_Stations'!$N$332)&gt;0,'01_Stations'!$N$332,"")</f>
        <v/>
      </c>
      <c r="K354" s="164" t="str">
        <f>IF(N('01_Stations'!$N$333)&gt;0,'01_Stations'!$N$333,"")</f>
        <v/>
      </c>
      <c r="L354" s="164" t="str">
        <f>IF(N('01_Stations'!$N$334)&gt;0,'01_Stations'!$N$334,"")</f>
        <v/>
      </c>
      <c r="M354" s="164" t="str">
        <f>IF(N('01_Stations'!$N$335)&gt;0,'01_Stations'!$N$335,"")</f>
        <v/>
      </c>
      <c r="N354" s="164" t="str">
        <f>IF(N('01_Stations'!$N$336)&gt;0,'01_Stations'!$N$336,"")</f>
        <v/>
      </c>
      <c r="O354" s="164" t="str">
        <f>IF(N('01_Stations'!$N$337)&gt;0,'01_Stations'!$N$337,"")</f>
        <v/>
      </c>
      <c r="P354" s="164" t="str">
        <f>IF(N('01_Stations'!$N$338)&gt;0,'01_Stations'!$N$338,"")</f>
        <v/>
      </c>
      <c r="Q354" s="164" t="str">
        <f>IF(N('01_Stations'!$N$339)&gt;0,'01_Stations'!$N$339,"")</f>
        <v/>
      </c>
      <c r="R354" s="164" t="str">
        <f>IF(N('01_Stations'!$N$340)&gt;0,'01_Stations'!$N$340,"")</f>
        <v/>
      </c>
      <c r="S354" s="164" t="str">
        <f>IF(N('01_Stations'!$N$341)&gt;0,'01_Stations'!$N$341,"")</f>
        <v/>
      </c>
      <c r="T354" s="164" t="str">
        <f>IF(N('01_Stations'!$N$342)&gt;0,'01_Stations'!$N$342,"")</f>
        <v/>
      </c>
      <c r="U354" s="164" t="str">
        <f>IF(N('01_Stations'!$N$343)&gt;0,'01_Stations'!$N$343,"")</f>
        <v/>
      </c>
      <c r="V354" s="164" t="str">
        <f>IF(N('01_Stations'!$N$344)&gt;0,'01_Stations'!$N$344,"")</f>
        <v/>
      </c>
      <c r="W354" s="164" t="str">
        <f>IF(N('01_Stations'!$N$345)&gt;0,'01_Stations'!$N$345,"")</f>
        <v/>
      </c>
      <c r="X354" s="164" t="str">
        <f>IF(N('01_Stations'!$N$346)&gt;0,'01_Stations'!$N$346,"")</f>
        <v/>
      </c>
      <c r="Y354" s="164" t="str">
        <f>IF(N('01_Stations'!$N$347)&gt;0,'01_Stations'!$N$347,"")</f>
        <v/>
      </c>
      <c r="Z354" s="164" t="str">
        <f>IF(N('01_Stations'!$N$348)&gt;0,'01_Stations'!$N$348,"")</f>
        <v/>
      </c>
      <c r="AA354" s="164" t="str">
        <f>IF(N('01_Stations'!$N$349)&gt;0,'01_Stations'!$N$349,"")</f>
        <v/>
      </c>
      <c r="AB354" s="164" t="str">
        <f>IF(N('01_Stations'!$N$350)&gt;0,'01_Stations'!$N$350,"")</f>
        <v/>
      </c>
      <c r="AC354" s="164" t="str">
        <f>IF(N('01_Stations'!$N$351)&gt;0,'01_Stations'!$N$351,"")</f>
        <v/>
      </c>
      <c r="AD354" s="164" t="str">
        <f>IF(N('01_Stations'!$N$352)&gt;0,'01_Stations'!$N$352,"")</f>
        <v/>
      </c>
      <c r="AE354" s="164" t="str">
        <f>IF(N('01_Stations'!$N$353)&gt;0,'01_Stations'!$N$353,"")</f>
        <v/>
      </c>
      <c r="AF354" s="164" t="str">
        <f>IF(N('01_Stations'!$N$354)&gt;0,'01_Stations'!$N$354,"")</f>
        <v/>
      </c>
      <c r="AG354" s="164" t="str">
        <f>IF(N('01_Stations'!$N$355)&gt;0,'01_Stations'!$N$355,"")</f>
        <v/>
      </c>
      <c r="AH354" s="164" t="str">
        <f>IF(N('01_Stations'!$N$356)&gt;0,'01_Stations'!$N$356,"")</f>
        <v/>
      </c>
      <c r="AI354" s="164" t="str">
        <f>IF(N('01_Stations'!$N$357)&gt;0,'01_Stations'!$N$357,"")</f>
        <v/>
      </c>
      <c r="AJ354" s="164" t="str">
        <f>IF(N('01_Stations'!$N$358)&gt;0,'01_Stations'!$N$358,"")</f>
        <v/>
      </c>
      <c r="AK354" s="164" t="str">
        <f>IF(N('01_Stations'!$N$359)&gt;0,'01_Stations'!$N$359,"")</f>
        <v/>
      </c>
      <c r="AL354" s="164" t="str">
        <f>IF(N('01_Stations'!$N$360)&gt;0,'01_Stations'!$N$360,"")</f>
        <v/>
      </c>
      <c r="AM354" s="164" t="str">
        <f>IF(N('01_Stations'!$N$361)&gt;0,'01_Stations'!$N$361,"")</f>
        <v/>
      </c>
      <c r="AN354" s="164" t="str">
        <f>IF(N('01_Stations'!$N$362)&gt;0,'01_Stations'!$N$362,"")</f>
        <v/>
      </c>
      <c r="AO354" s="164" t="str">
        <f>IF(N('01_Stations'!$N$363)&gt;0,'01_Stations'!$N$363,"")</f>
        <v/>
      </c>
      <c r="AP354" s="164" t="str">
        <f>IF(N('01_Stations'!$N$364)&gt;0,'01_Stations'!$N$364,"")</f>
        <v/>
      </c>
      <c r="AQ354" s="164" t="str">
        <f>IF(N('01_Stations'!$N$365)&gt;0,'01_Stations'!$N$365,"")</f>
        <v/>
      </c>
    </row>
    <row r="355" spans="1:43" ht="15" customHeight="1" x14ac:dyDescent="0.3">
      <c r="A355" s="237"/>
      <c r="B355" s="165" t="s">
        <v>2209</v>
      </c>
      <c r="C355" s="166" t="s">
        <v>301</v>
      </c>
      <c r="D355" s="164" t="str">
        <f>IF(N('01_Stations'!$O$326)&gt;0,'01_Stations'!$O$326,"")</f>
        <v/>
      </c>
      <c r="E355" s="164" t="str">
        <f>IF(N('01_Stations'!$O$327)&gt;0,'01_Stations'!$O$327,"")</f>
        <v/>
      </c>
      <c r="F355" s="164" t="str">
        <f>IF(N('01_Stations'!$O$328)&gt;0,'01_Stations'!$O$328,"")</f>
        <v/>
      </c>
      <c r="G355" s="164" t="str">
        <f>IF(N('01_Stations'!$O$329)&gt;0,'01_Stations'!$O$329,"")</f>
        <v/>
      </c>
      <c r="H355" s="164" t="str">
        <f>IF(N('01_Stations'!$O$330)&gt;0,'01_Stations'!$O$330,"")</f>
        <v/>
      </c>
      <c r="I355" s="164" t="str">
        <f>IF(N('01_Stations'!$O$331)&gt;0,'01_Stations'!$O$331,"")</f>
        <v/>
      </c>
      <c r="J355" s="164" t="str">
        <f>IF(N('01_Stations'!$O$332)&gt;0,'01_Stations'!$O$332,"")</f>
        <v/>
      </c>
      <c r="K355" s="164" t="str">
        <f>IF(N('01_Stations'!$O$333)&gt;0,'01_Stations'!$O$333,"")</f>
        <v/>
      </c>
      <c r="L355" s="164" t="str">
        <f>IF(N('01_Stations'!$O$334)&gt;0,'01_Stations'!$O$334,"")</f>
        <v/>
      </c>
      <c r="M355" s="164" t="str">
        <f>IF(N('01_Stations'!$O$335)&gt;0,'01_Stations'!$O$335,"")</f>
        <v/>
      </c>
      <c r="N355" s="164" t="str">
        <f>IF(N('01_Stations'!$O$336)&gt;0,'01_Stations'!$O$336,"")</f>
        <v/>
      </c>
      <c r="O355" s="164" t="str">
        <f>IF(N('01_Stations'!$O$337)&gt;0,'01_Stations'!$O$337,"")</f>
        <v/>
      </c>
      <c r="P355" s="164" t="str">
        <f>IF(N('01_Stations'!$O$338)&gt;0,'01_Stations'!$O$338,"")</f>
        <v/>
      </c>
      <c r="Q355" s="164" t="str">
        <f>IF(N('01_Stations'!$O$339)&gt;0,'01_Stations'!$O$339,"")</f>
        <v/>
      </c>
      <c r="R355" s="164" t="str">
        <f>IF(N('01_Stations'!$O$340)&gt;0,'01_Stations'!$O$340,"")</f>
        <v/>
      </c>
      <c r="S355" s="164" t="str">
        <f>IF(N('01_Stations'!$O$341)&gt;0,'01_Stations'!$O$341,"")</f>
        <v/>
      </c>
      <c r="T355" s="164" t="str">
        <f>IF(N('01_Stations'!$O$342)&gt;0,'01_Stations'!$O$342,"")</f>
        <v/>
      </c>
      <c r="U355" s="164" t="str">
        <f>IF(N('01_Stations'!$O$343)&gt;0,'01_Stations'!$O$343,"")</f>
        <v/>
      </c>
      <c r="V355" s="164" t="str">
        <f>IF(N('01_Stations'!$O$344)&gt;0,'01_Stations'!$O$344,"")</f>
        <v/>
      </c>
      <c r="W355" s="164" t="str">
        <f>IF(N('01_Stations'!$O$345)&gt;0,'01_Stations'!$O$345,"")</f>
        <v/>
      </c>
      <c r="X355" s="164" t="str">
        <f>IF(N('01_Stations'!$O$346)&gt;0,'01_Stations'!$O$346,"")</f>
        <v/>
      </c>
      <c r="Y355" s="164" t="str">
        <f>IF(N('01_Stations'!$O$347)&gt;0,'01_Stations'!$O$347,"")</f>
        <v/>
      </c>
      <c r="Z355" s="164" t="str">
        <f>IF(N('01_Stations'!$O$348)&gt;0,'01_Stations'!$O$348,"")</f>
        <v/>
      </c>
      <c r="AA355" s="164" t="str">
        <f>IF(N('01_Stations'!$O$349)&gt;0,'01_Stations'!$O$349,"")</f>
        <v/>
      </c>
      <c r="AB355" s="164" t="str">
        <f>IF(N('01_Stations'!$O$350)&gt;0,'01_Stations'!$O$350,"")</f>
        <v/>
      </c>
      <c r="AC355" s="164" t="str">
        <f>IF(N('01_Stations'!$O$351)&gt;0,'01_Stations'!$O$351,"")</f>
        <v/>
      </c>
      <c r="AD355" s="164" t="str">
        <f>IF(N('01_Stations'!$O$352)&gt;0,'01_Stations'!$O$352,"")</f>
        <v/>
      </c>
      <c r="AE355" s="164" t="str">
        <f>IF(N('01_Stations'!$O$353)&gt;0,'01_Stations'!$O$353,"")</f>
        <v/>
      </c>
      <c r="AF355" s="164" t="str">
        <f>IF(N('01_Stations'!$O$354)&gt;0,'01_Stations'!$O$354,"")</f>
        <v/>
      </c>
      <c r="AG355" s="164" t="str">
        <f>IF(N('01_Stations'!$O$355)&gt;0,'01_Stations'!$O$355,"")</f>
        <v/>
      </c>
      <c r="AH355" s="164" t="str">
        <f>IF(N('01_Stations'!$O$356)&gt;0,'01_Stations'!$O$356,"")</f>
        <v/>
      </c>
      <c r="AI355" s="164" t="str">
        <f>IF(N('01_Stations'!$O$357)&gt;0,'01_Stations'!$O$357,"")</f>
        <v/>
      </c>
      <c r="AJ355" s="164" t="str">
        <f>IF(N('01_Stations'!$O$358)&gt;0,'01_Stations'!$O$358,"")</f>
        <v/>
      </c>
      <c r="AK355" s="164" t="str">
        <f>IF(N('01_Stations'!$O$359)&gt;0,'01_Stations'!$O$359,"")</f>
        <v/>
      </c>
      <c r="AL355" s="164" t="str">
        <f>IF(N('01_Stations'!$O$360)&gt;0,'01_Stations'!$O$360,"")</f>
        <v/>
      </c>
      <c r="AM355" s="164" t="str">
        <f>IF(N('01_Stations'!$O$361)&gt;0,'01_Stations'!$O$361,"")</f>
        <v/>
      </c>
      <c r="AN355" s="164" t="str">
        <f>IF(N('01_Stations'!$O$362)&gt;0,'01_Stations'!$O$362,"")</f>
        <v/>
      </c>
      <c r="AO355" s="164" t="str">
        <f>IF(N('01_Stations'!$O$363)&gt;0,'01_Stations'!$O$363,"")</f>
        <v/>
      </c>
      <c r="AP355" s="164" t="str">
        <f>IF(N('01_Stations'!$O$364)&gt;0,'01_Stations'!$O$364,"")</f>
        <v/>
      </c>
      <c r="AQ355" s="164" t="str">
        <f>IF(N('01_Stations'!$O$365)&gt;0,'01_Stations'!$O$365,"")</f>
        <v/>
      </c>
    </row>
    <row r="356" spans="1:43" ht="15" customHeight="1" x14ac:dyDescent="0.3">
      <c r="A356" s="238" t="s">
        <v>2210</v>
      </c>
      <c r="B356" s="165" t="s">
        <v>2211</v>
      </c>
      <c r="C356" s="166" t="s">
        <v>1622</v>
      </c>
      <c r="D356" s="164" t="str">
        <f>IF('01_Stations'!$P$326="","",'01_Stations'!$P$326)</f>
        <v/>
      </c>
      <c r="E356" s="164" t="str">
        <f>IF('01_Stations'!$P$327="","",'01_Stations'!$P$327)</f>
        <v/>
      </c>
      <c r="F356" s="164" t="str">
        <f>IF('01_Stations'!$P$328="","",'01_Stations'!$P$328)</f>
        <v/>
      </c>
      <c r="G356" s="164" t="str">
        <f>IF('01_Stations'!$P$329="","",'01_Stations'!$P$329)</f>
        <v/>
      </c>
      <c r="H356" s="164" t="str">
        <f>IF('01_Stations'!$P$330="","",'01_Stations'!$P$330)</f>
        <v/>
      </c>
      <c r="I356" s="164" t="str">
        <f>IF('01_Stations'!$P$331="","",'01_Stations'!$P$331)</f>
        <v/>
      </c>
      <c r="J356" s="164" t="str">
        <f>IF('01_Stations'!$P$332="","",'01_Stations'!$P$332)</f>
        <v/>
      </c>
      <c r="K356" s="164" t="str">
        <f>IF('01_Stations'!$P$333="","",'01_Stations'!$P$333)</f>
        <v/>
      </c>
      <c r="L356" s="164" t="str">
        <f>IF('01_Stations'!$P$334="","",'01_Stations'!$P$334)</f>
        <v/>
      </c>
      <c r="M356" s="164" t="str">
        <f>IF('01_Stations'!$P$335="","",'01_Stations'!$P$335)</f>
        <v/>
      </c>
      <c r="N356" s="164" t="str">
        <f>IF('01_Stations'!$P$336="","",'01_Stations'!$P$336)</f>
        <v/>
      </c>
      <c r="O356" s="164" t="str">
        <f>IF('01_Stations'!$P$337="","",'01_Stations'!$P$337)</f>
        <v/>
      </c>
      <c r="P356" s="164" t="str">
        <f>IF('01_Stations'!$P$338="","",'01_Stations'!$P$338)</f>
        <v/>
      </c>
      <c r="Q356" s="164" t="str">
        <f>IF('01_Stations'!$P$339="","",'01_Stations'!$P$339)</f>
        <v/>
      </c>
      <c r="R356" s="164" t="str">
        <f>IF('01_Stations'!$P$340="","",'01_Stations'!$P$340)</f>
        <v/>
      </c>
      <c r="S356" s="164" t="str">
        <f>IF('01_Stations'!$P$341="","",'01_Stations'!$P$341)</f>
        <v/>
      </c>
      <c r="T356" s="164" t="str">
        <f>IF('01_Stations'!$P$342="","",'01_Stations'!$P$342)</f>
        <v/>
      </c>
      <c r="U356" s="164" t="str">
        <f>IF('01_Stations'!$P$343="","",'01_Stations'!$P$343)</f>
        <v/>
      </c>
      <c r="V356" s="164" t="str">
        <f>IF('01_Stations'!$P$344="","",'01_Stations'!$P$344)</f>
        <v/>
      </c>
      <c r="W356" s="164" t="str">
        <f>IF('01_Stations'!$P$345="","",'01_Stations'!$P$345)</f>
        <v/>
      </c>
      <c r="X356" s="164" t="str">
        <f>IF('01_Stations'!$P$346="","",'01_Stations'!$P$346)</f>
        <v/>
      </c>
      <c r="Y356" s="164" t="str">
        <f>IF('01_Stations'!$P$347="","",'01_Stations'!$P$347)</f>
        <v/>
      </c>
      <c r="Z356" s="164" t="str">
        <f>IF('01_Stations'!$P$348="","",'01_Stations'!$P$348)</f>
        <v/>
      </c>
      <c r="AA356" s="164" t="str">
        <f>IF('01_Stations'!$P$349="","",'01_Stations'!$P$349)</f>
        <v/>
      </c>
      <c r="AB356" s="164" t="str">
        <f>IF('01_Stations'!$P$350="","",'01_Stations'!$P$350)</f>
        <v/>
      </c>
      <c r="AC356" s="164" t="str">
        <f>IF('01_Stations'!$P$351="","",'01_Stations'!$P$351)</f>
        <v/>
      </c>
      <c r="AD356" s="164" t="str">
        <f>IF('01_Stations'!$P$352="","",'01_Stations'!$P$352)</f>
        <v/>
      </c>
      <c r="AE356" s="164" t="str">
        <f>IF('01_Stations'!$P$353="","",'01_Stations'!$P$353)</f>
        <v/>
      </c>
      <c r="AF356" s="164" t="str">
        <f>IF('01_Stations'!$P$354="","",'01_Stations'!$P$354)</f>
        <v/>
      </c>
      <c r="AG356" s="164" t="str">
        <f>IF('01_Stations'!$P$355="","",'01_Stations'!$P$355)</f>
        <v/>
      </c>
      <c r="AH356" s="164" t="str">
        <f>IF('01_Stations'!$P$356="","",'01_Stations'!$P$356)</f>
        <v/>
      </c>
      <c r="AI356" s="164" t="str">
        <f>IF('01_Stations'!$P$357="","",'01_Stations'!$P$357)</f>
        <v/>
      </c>
      <c r="AJ356" s="164" t="str">
        <f>IF('01_Stations'!$P$358="","",'01_Stations'!$P$358)</f>
        <v/>
      </c>
      <c r="AK356" s="164" t="str">
        <f>IF('01_Stations'!$P$359="","",'01_Stations'!$P$359)</f>
        <v/>
      </c>
      <c r="AL356" s="164" t="str">
        <f>IF('01_Stations'!$P$360="","",'01_Stations'!$P$360)</f>
        <v/>
      </c>
      <c r="AM356" s="164" t="str">
        <f>IF('01_Stations'!$P$361="","",'01_Stations'!$P$361)</f>
        <v/>
      </c>
      <c r="AN356" s="164" t="str">
        <f>IF('01_Stations'!$P$362="","",'01_Stations'!$P$362)</f>
        <v/>
      </c>
      <c r="AO356" s="164" t="str">
        <f>IF('01_Stations'!$P$363="","",'01_Stations'!$P$363)</f>
        <v/>
      </c>
      <c r="AP356" s="164" t="str">
        <f>IF('01_Stations'!$P$364="","",'01_Stations'!$P$364)</f>
        <v/>
      </c>
      <c r="AQ356" s="164" t="str">
        <f>IF('01_Stations'!$P$365="","",'01_Stations'!$P$365)</f>
        <v/>
      </c>
    </row>
    <row r="357" spans="1:43" ht="15" customHeight="1" x14ac:dyDescent="0.3">
      <c r="A357" s="236"/>
      <c r="B357" s="165"/>
      <c r="C357" s="166" t="s">
        <v>2212</v>
      </c>
      <c r="D357" s="164" t="str">
        <f>IF('01_Stations'!$Q$326="","",'01_Stations'!$Q$326)</f>
        <v/>
      </c>
      <c r="E357" s="164" t="str">
        <f>IF('01_Stations'!$Q$327="","",'01_Stations'!$Q$327)</f>
        <v/>
      </c>
      <c r="F357" s="164" t="str">
        <f>IF('01_Stations'!$Q$328="","",'01_Stations'!$Q$328)</f>
        <v/>
      </c>
      <c r="G357" s="164" t="str">
        <f>IF('01_Stations'!$Q$329="","",'01_Stations'!$Q$329)</f>
        <v/>
      </c>
      <c r="H357" s="164" t="str">
        <f>IF('01_Stations'!$Q$330="","",'01_Stations'!$Q$330)</f>
        <v/>
      </c>
      <c r="I357" s="164" t="str">
        <f>IF('01_Stations'!$Q$331="","",'01_Stations'!$Q$331)</f>
        <v/>
      </c>
      <c r="J357" s="164" t="str">
        <f>IF('01_Stations'!$Q$332="","",'01_Stations'!$Q$332)</f>
        <v/>
      </c>
      <c r="K357" s="164" t="str">
        <f>IF('01_Stations'!$Q$333="","",'01_Stations'!$Q$333)</f>
        <v/>
      </c>
      <c r="L357" s="164" t="str">
        <f>IF('01_Stations'!$Q$334="","",'01_Stations'!$Q$334)</f>
        <v/>
      </c>
      <c r="M357" s="164" t="str">
        <f>IF('01_Stations'!$Q$335="","",'01_Stations'!$Q$335)</f>
        <v/>
      </c>
      <c r="N357" s="164" t="str">
        <f>IF('01_Stations'!$Q$336="","",'01_Stations'!$Q$336)</f>
        <v/>
      </c>
      <c r="O357" s="164" t="str">
        <f>IF('01_Stations'!$Q$337="","",'01_Stations'!$Q$337)</f>
        <v/>
      </c>
      <c r="P357" s="164" t="str">
        <f>IF('01_Stations'!$Q$338="","",'01_Stations'!$Q$338)</f>
        <v/>
      </c>
      <c r="Q357" s="164" t="str">
        <f>IF('01_Stations'!$Q$339="","",'01_Stations'!$Q$339)</f>
        <v/>
      </c>
      <c r="R357" s="164" t="str">
        <f>IF('01_Stations'!$Q$340="","",'01_Stations'!$Q$340)</f>
        <v/>
      </c>
      <c r="S357" s="164" t="str">
        <f>IF('01_Stations'!$Q$341="","",'01_Stations'!$Q$341)</f>
        <v/>
      </c>
      <c r="T357" s="164" t="str">
        <f>IF('01_Stations'!$Q$342="","",'01_Stations'!$Q$342)</f>
        <v/>
      </c>
      <c r="U357" s="164" t="str">
        <f>IF('01_Stations'!$Q$343="","",'01_Stations'!$Q$343)</f>
        <v/>
      </c>
      <c r="V357" s="164" t="str">
        <f>IF('01_Stations'!$Q$344="","",'01_Stations'!$Q$344)</f>
        <v/>
      </c>
      <c r="W357" s="164" t="str">
        <f>IF('01_Stations'!$Q$345="","",'01_Stations'!$Q$345)</f>
        <v/>
      </c>
      <c r="X357" s="164" t="str">
        <f>IF('01_Stations'!$Q$346="","",'01_Stations'!$Q$346)</f>
        <v/>
      </c>
      <c r="Y357" s="164" t="str">
        <f>IF('01_Stations'!$Q$347="","",'01_Stations'!$Q$347)</f>
        <v/>
      </c>
      <c r="Z357" s="164" t="str">
        <f>IF('01_Stations'!$Q$348="","",'01_Stations'!$Q$348)</f>
        <v/>
      </c>
      <c r="AA357" s="164" t="str">
        <f>IF('01_Stations'!$Q$349="","",'01_Stations'!$Q$349)</f>
        <v/>
      </c>
      <c r="AB357" s="164" t="str">
        <f>IF('01_Stations'!$Q$350="","",'01_Stations'!$Q$350)</f>
        <v/>
      </c>
      <c r="AC357" s="164" t="str">
        <f>IF('01_Stations'!$Q$351="","",'01_Stations'!$Q$351)</f>
        <v/>
      </c>
      <c r="AD357" s="164" t="str">
        <f>IF('01_Stations'!$Q$352="","",'01_Stations'!$Q$352)</f>
        <v/>
      </c>
      <c r="AE357" s="164" t="str">
        <f>IF('01_Stations'!$Q$353="","",'01_Stations'!$Q$353)</f>
        <v/>
      </c>
      <c r="AF357" s="164" t="str">
        <f>IF('01_Stations'!$Q$354="","",'01_Stations'!$Q$354)</f>
        <v/>
      </c>
      <c r="AG357" s="164" t="str">
        <f>IF('01_Stations'!$Q$355="","",'01_Stations'!$Q$355)</f>
        <v/>
      </c>
      <c r="AH357" s="164" t="str">
        <f>IF('01_Stations'!$Q$356="","",'01_Stations'!$Q$356)</f>
        <v/>
      </c>
      <c r="AI357" s="164" t="str">
        <f>IF('01_Stations'!$Q$357="","",'01_Stations'!$Q$357)</f>
        <v/>
      </c>
      <c r="AJ357" s="164" t="str">
        <f>IF('01_Stations'!$Q$358="","",'01_Stations'!$Q$358)</f>
        <v/>
      </c>
      <c r="AK357" s="164" t="str">
        <f>IF('01_Stations'!$Q$359="","",'01_Stations'!$Q$359)</f>
        <v/>
      </c>
      <c r="AL357" s="164" t="str">
        <f>IF('01_Stations'!$Q$360="","",'01_Stations'!$Q$360)</f>
        <v/>
      </c>
      <c r="AM357" s="164" t="str">
        <f>IF('01_Stations'!$Q$361="","",'01_Stations'!$Q$361)</f>
        <v/>
      </c>
      <c r="AN357" s="164" t="str">
        <f>IF('01_Stations'!$Q$362="","",'01_Stations'!$Q$362)</f>
        <v/>
      </c>
      <c r="AO357" s="164" t="str">
        <f>IF('01_Stations'!$Q$363="","",'01_Stations'!$Q$363)</f>
        <v/>
      </c>
      <c r="AP357" s="164" t="str">
        <f>IF('01_Stations'!$Q$364="","",'01_Stations'!$Q$364)</f>
        <v/>
      </c>
      <c r="AQ357" s="164" t="str">
        <f>IF('01_Stations'!$Q$365="","",'01_Stations'!$Q$365)</f>
        <v/>
      </c>
    </row>
    <row r="358" spans="1:43" ht="15" customHeight="1" x14ac:dyDescent="0.3">
      <c r="A358" s="236"/>
      <c r="B358" s="165" t="s">
        <v>2213</v>
      </c>
      <c r="C358" s="166"/>
      <c r="D358" s="164" t="str">
        <f>IF('01_Stations'!$R$326=1,"ϰ",IF('01_Stations'!$R$326=2,"І",IF('01_Stations'!$R$326=3,"╦","")))</f>
        <v/>
      </c>
      <c r="E358" s="164" t="str">
        <f>IF('01_Stations'!$R$327=1,"ϰ",IF('01_Stations'!$R$327=2,"І",IF('01_Stations'!$R$327=3,"╦","")))</f>
        <v/>
      </c>
      <c r="F358" s="164" t="str">
        <f>IF('01_Stations'!$R$328=1,"ϰ",IF('01_Stations'!$R$328=2,"І",IF('01_Stations'!$R$328=3,"╦","")))</f>
        <v/>
      </c>
      <c r="G358" s="164" t="str">
        <f>IF('01_Stations'!$R$329=1,"ϰ",IF('01_Stations'!$R$329=2,"І",IF('01_Stations'!$R$329=3,"╦","")))</f>
        <v/>
      </c>
      <c r="H358" s="164" t="str">
        <f>IF('01_Stations'!$R$330=1,"ϰ",IF('01_Stations'!$R$330=2,"І",IF('01_Stations'!$R$330=3,"╦","")))</f>
        <v/>
      </c>
      <c r="I358" s="164" t="str">
        <f>IF('01_Stations'!$R$331=1,"ϰ",IF('01_Stations'!$R$331=2,"І",IF('01_Stations'!$R$331=3,"╦","")))</f>
        <v/>
      </c>
      <c r="J358" s="164" t="str">
        <f>IF('01_Stations'!$R$332=1,"ϰ",IF('01_Stations'!$R$332=2,"І",IF('01_Stations'!$R$332=3,"╦","")))</f>
        <v/>
      </c>
      <c r="K358" s="164" t="str">
        <f>IF('01_Stations'!$R$333=1,"ϰ",IF('01_Stations'!$R$333=2,"І",IF('01_Stations'!$R$333=3,"╦","")))</f>
        <v/>
      </c>
      <c r="L358" s="164" t="str">
        <f>IF('01_Stations'!$R$334=1,"ϰ",IF('01_Stations'!$R$334=2,"І",IF('01_Stations'!$R$334=3,"╦","")))</f>
        <v/>
      </c>
      <c r="M358" s="164" t="str">
        <f>IF('01_Stations'!$R$335=1,"ϰ",IF('01_Stations'!$R$335=2,"І",IF('01_Stations'!$R$335=3,"╦","")))</f>
        <v/>
      </c>
      <c r="N358" s="164" t="str">
        <f>IF('01_Stations'!$R$336=1,"ϰ",IF('01_Stations'!$R$336=2,"І",IF('01_Stations'!$R$336=3,"╦","")))</f>
        <v/>
      </c>
      <c r="O358" s="164" t="str">
        <f>IF('01_Stations'!$R$337=1,"ϰ",IF('01_Stations'!$R$337=2,"І",IF('01_Stations'!$R$337=3,"╦","")))</f>
        <v/>
      </c>
      <c r="P358" s="164" t="str">
        <f>IF('01_Stations'!$R$338=1,"ϰ",IF('01_Stations'!$R$338=2,"І",IF('01_Stations'!$R$338=3,"╦","")))</f>
        <v/>
      </c>
      <c r="Q358" s="164" t="str">
        <f>IF('01_Stations'!$R$339=1,"ϰ",IF('01_Stations'!$R$339=2,"І",IF('01_Stations'!$R$339=3,"╦","")))</f>
        <v/>
      </c>
      <c r="R358" s="164" t="str">
        <f>IF('01_Stations'!$R$340=1,"ϰ",IF('01_Stations'!$R$340=2,"І",IF('01_Stations'!$R$340=3,"╦","")))</f>
        <v/>
      </c>
      <c r="S358" s="164" t="str">
        <f>IF('01_Stations'!$R$341=1,"ϰ",IF('01_Stations'!$R$341=2,"І",IF('01_Stations'!$R$341=3,"╦","")))</f>
        <v/>
      </c>
      <c r="T358" s="164" t="str">
        <f>IF('01_Stations'!$R$342=1,"ϰ",IF('01_Stations'!$R$342=2,"І",IF('01_Stations'!$R$342=3,"╦","")))</f>
        <v/>
      </c>
      <c r="U358" s="164" t="str">
        <f>IF('01_Stations'!$R$343=1,"ϰ",IF('01_Stations'!$R$343=2,"І",IF('01_Stations'!$R$343=3,"╦","")))</f>
        <v/>
      </c>
      <c r="V358" s="164" t="str">
        <f>IF('01_Stations'!$R$344=1,"ϰ",IF('01_Stations'!$R$344=2,"І",IF('01_Stations'!$R$344=3,"╦","")))</f>
        <v/>
      </c>
      <c r="W358" s="164" t="str">
        <f>IF('01_Stations'!$R$345=1,"ϰ",IF('01_Stations'!$R$345=2,"І",IF('01_Stations'!$R$345=3,"╦","")))</f>
        <v/>
      </c>
      <c r="X358" s="164" t="str">
        <f>IF('01_Stations'!$R$346=1,"ϰ",IF('01_Stations'!$R$346=2,"І",IF('01_Stations'!$R$346=3,"╦","")))</f>
        <v/>
      </c>
      <c r="Y358" s="164" t="str">
        <f>IF('01_Stations'!$R$347=1,"ϰ",IF('01_Stations'!$R$347=2,"І",IF('01_Stations'!$R$347=3,"╦","")))</f>
        <v/>
      </c>
      <c r="Z358" s="164" t="str">
        <f>IF('01_Stations'!$R$348=1,"ϰ",IF('01_Stations'!$R$348=2,"І",IF('01_Stations'!$R$348=3,"╦","")))</f>
        <v/>
      </c>
      <c r="AA358" s="164" t="str">
        <f>IF('01_Stations'!$R$349=1,"ϰ",IF('01_Stations'!$R$349=2,"І",IF('01_Stations'!$R$349=3,"╦","")))</f>
        <v/>
      </c>
      <c r="AB358" s="164" t="str">
        <f>IF('01_Stations'!$R$350=1,"ϰ",IF('01_Stations'!$R$350=2,"І",IF('01_Stations'!$R$350=3,"╦","")))</f>
        <v/>
      </c>
      <c r="AC358" s="164" t="str">
        <f>IF('01_Stations'!$R$351=1,"ϰ",IF('01_Stations'!$R$351=2,"І",IF('01_Stations'!$R$351=3,"╦","")))</f>
        <v/>
      </c>
      <c r="AD358" s="164" t="str">
        <f>IF('01_Stations'!$R$352=1,"ϰ",IF('01_Stations'!$R$352=2,"І",IF('01_Stations'!$R$352=3,"╦","")))</f>
        <v/>
      </c>
      <c r="AE358" s="164" t="str">
        <f>IF('01_Stations'!$R$353=1,"ϰ",IF('01_Stations'!$R$353=2,"І",IF('01_Stations'!$R$353=3,"╦","")))</f>
        <v/>
      </c>
      <c r="AF358" s="164" t="str">
        <f>IF('01_Stations'!$R$354=1,"ϰ",IF('01_Stations'!$R$354=2,"І",IF('01_Stations'!$R$354=3,"╦","")))</f>
        <v/>
      </c>
      <c r="AG358" s="164" t="str">
        <f>IF('01_Stations'!$R$355=1,"ϰ",IF('01_Stations'!$R$355=2,"І",IF('01_Stations'!$R$355=3,"╦","")))</f>
        <v/>
      </c>
      <c r="AH358" s="164" t="str">
        <f>IF('01_Stations'!$R$356=1,"ϰ",IF('01_Stations'!$R$356=2,"І",IF('01_Stations'!$R$356=3,"╦","")))</f>
        <v/>
      </c>
      <c r="AI358" s="164" t="str">
        <f>IF('01_Stations'!$R$357=1,"ϰ",IF('01_Stations'!$R$357=2,"І",IF('01_Stations'!$R$357=3,"╦","")))</f>
        <v/>
      </c>
      <c r="AJ358" s="164" t="str">
        <f>IF('01_Stations'!$R$358=1,"ϰ",IF('01_Stations'!$R$358=2,"І",IF('01_Stations'!$R$358=3,"╦","")))</f>
        <v/>
      </c>
      <c r="AK358" s="164" t="str">
        <f>IF('01_Stations'!$R$359=1,"ϰ",IF('01_Stations'!$R$359=2,"І",IF('01_Stations'!$R$359=3,"╦","")))</f>
        <v/>
      </c>
      <c r="AL358" s="164" t="str">
        <f>IF('01_Stations'!$R$360=1,"ϰ",IF('01_Stations'!$R$360=2,"І",IF('01_Stations'!$R$360=3,"╦","")))</f>
        <v/>
      </c>
      <c r="AM358" s="164" t="str">
        <f>IF('01_Stations'!$R$361=1,"ϰ",IF('01_Stations'!$R$361=2,"І",IF('01_Stations'!$R$361=3,"╦","")))</f>
        <v/>
      </c>
      <c r="AN358" s="164" t="str">
        <f>IF('01_Stations'!$R$362=1,"ϰ",IF('01_Stations'!$R$362=2,"І",IF('01_Stations'!$R$362=3,"╦","")))</f>
        <v/>
      </c>
      <c r="AO358" s="164" t="str">
        <f>IF('01_Stations'!$R$363=1,"ϰ",IF('01_Stations'!$R$363=2,"І",IF('01_Stations'!$R$363=3,"╦","")))</f>
        <v/>
      </c>
      <c r="AP358" s="164" t="str">
        <f>IF('01_Stations'!$R$364=1,"ϰ",IF('01_Stations'!$R$364=2,"І",IF('01_Stations'!$R$364=3,"╦","")))</f>
        <v/>
      </c>
      <c r="AQ358" s="164" t="str">
        <f>IF('01_Stations'!$R$365=1,"ϰ",IF('01_Stations'!$R$365=2,"І",IF('01_Stations'!$R$365=3,"╦","")))</f>
        <v/>
      </c>
    </row>
    <row r="359" spans="1:43" ht="15" customHeight="1" x14ac:dyDescent="0.3">
      <c r="A359" s="236"/>
      <c r="B359" s="165" t="s">
        <v>2214</v>
      </c>
      <c r="C359" s="166"/>
      <c r="D359" s="164" t="str">
        <f>IF('01_Stations'!$S$326=1,"Ӂ",IF('01_Stations'!$S$326=2,"Җ",""))</f>
        <v/>
      </c>
      <c r="E359" s="164" t="str">
        <f>IF('01_Stations'!$S$327=1,"Ӂ",IF('01_Stations'!$S$327=2,"Җ",""))</f>
        <v/>
      </c>
      <c r="F359" s="164" t="str">
        <f>IF('01_Stations'!$S$328=1,"Ӂ",IF('01_Stations'!$S$328=2,"Җ",""))</f>
        <v/>
      </c>
      <c r="G359" s="164" t="str">
        <f>IF('01_Stations'!$S$329=1,"Ӂ",IF('01_Stations'!$S$329=2,"Җ",""))</f>
        <v/>
      </c>
      <c r="H359" s="164" t="str">
        <f>IF('01_Stations'!$S$330=1,"Ӂ",IF('01_Stations'!$S$330=2,"Җ",""))</f>
        <v/>
      </c>
      <c r="I359" s="164" t="str">
        <f>IF('01_Stations'!$S$331=1,"Ӂ",IF('01_Stations'!$S$331=2,"Җ",""))</f>
        <v/>
      </c>
      <c r="J359" s="164" t="str">
        <f>IF('01_Stations'!$S$332=1,"Ӂ",IF('01_Stations'!$S$332=2,"Җ",""))</f>
        <v/>
      </c>
      <c r="K359" s="164" t="str">
        <f>IF('01_Stations'!$S$333=1,"Ӂ",IF('01_Stations'!$S$333=2,"Җ",""))</f>
        <v/>
      </c>
      <c r="L359" s="164" t="str">
        <f>IF('01_Stations'!$S$334=1,"Ӂ",IF('01_Stations'!$S$334=2,"Җ",""))</f>
        <v/>
      </c>
      <c r="M359" s="164" t="str">
        <f>IF('01_Stations'!$S$335=1,"Ӂ",IF('01_Stations'!$S$335=2,"Җ",""))</f>
        <v/>
      </c>
      <c r="N359" s="164" t="str">
        <f>IF('01_Stations'!$S$336=1,"Ӂ",IF('01_Stations'!$S$336=2,"Җ",""))</f>
        <v/>
      </c>
      <c r="O359" s="164" t="str">
        <f>IF('01_Stations'!$S$337=1,"Ӂ",IF('01_Stations'!$S$337=2,"Җ",""))</f>
        <v/>
      </c>
      <c r="P359" s="164" t="str">
        <f>IF('01_Stations'!$S$338=1,"Ӂ",IF('01_Stations'!$S$338=2,"Җ",""))</f>
        <v/>
      </c>
      <c r="Q359" s="164" t="str">
        <f>IF('01_Stations'!$S$339=1,"Ӂ",IF('01_Stations'!$S$339=2,"Җ",""))</f>
        <v/>
      </c>
      <c r="R359" s="164" t="str">
        <f>IF('01_Stations'!$S$340=1,"Ӂ",IF('01_Stations'!$S$340=2,"Җ",""))</f>
        <v/>
      </c>
      <c r="S359" s="164" t="str">
        <f>IF('01_Stations'!$S$341=1,"Ӂ",IF('01_Stations'!$S$341=2,"Җ",""))</f>
        <v/>
      </c>
      <c r="T359" s="164" t="str">
        <f>IF('01_Stations'!$S$342=1,"Ӂ",IF('01_Stations'!$S$342=2,"Җ",""))</f>
        <v/>
      </c>
      <c r="U359" s="164" t="str">
        <f>IF('01_Stations'!$S$343=1,"Ӂ",IF('01_Stations'!$S$343=2,"Җ",""))</f>
        <v/>
      </c>
      <c r="V359" s="164" t="str">
        <f>IF('01_Stations'!$S$344=1,"Ӂ",IF('01_Stations'!$S$344=2,"Җ",""))</f>
        <v/>
      </c>
      <c r="W359" s="164" t="str">
        <f>IF('01_Stations'!$S$345=1,"Ӂ",IF('01_Stations'!$S$345=2,"Җ",""))</f>
        <v/>
      </c>
      <c r="X359" s="164" t="str">
        <f>IF('01_Stations'!$S$346=1,"Ӂ",IF('01_Stations'!$S$346=2,"Җ",""))</f>
        <v/>
      </c>
      <c r="Y359" s="164" t="str">
        <f>IF('01_Stations'!$S$347=1,"Ӂ",IF('01_Stations'!$S$347=2,"Җ",""))</f>
        <v/>
      </c>
      <c r="Z359" s="164" t="str">
        <f>IF('01_Stations'!$S$348=1,"Ӂ",IF('01_Stations'!$S$348=2,"Җ",""))</f>
        <v/>
      </c>
      <c r="AA359" s="164" t="str">
        <f>IF('01_Stations'!$S$349=1,"Ӂ",IF('01_Stations'!$S$349=2,"Җ",""))</f>
        <v/>
      </c>
      <c r="AB359" s="164" t="str">
        <f>IF('01_Stations'!$S$350=1,"Ӂ",IF('01_Stations'!$S$350=2,"Җ",""))</f>
        <v/>
      </c>
      <c r="AC359" s="164" t="str">
        <f>IF('01_Stations'!$S$351=1,"Ӂ",IF('01_Stations'!$S$351=2,"Җ",""))</f>
        <v/>
      </c>
      <c r="AD359" s="164" t="str">
        <f>IF('01_Stations'!$S$352=1,"Ӂ",IF('01_Stations'!$S$352=2,"Җ",""))</f>
        <v/>
      </c>
      <c r="AE359" s="164" t="str">
        <f>IF('01_Stations'!$S$353=1,"Ӂ",IF('01_Stations'!$S$353=2,"Җ",""))</f>
        <v/>
      </c>
      <c r="AF359" s="164" t="str">
        <f>IF('01_Stations'!$S$354=1,"Ӂ",IF('01_Stations'!$S$354=2,"Җ",""))</f>
        <v/>
      </c>
      <c r="AG359" s="164" t="str">
        <f>IF('01_Stations'!$S$355=1,"Ӂ",IF('01_Stations'!$S$355=2,"Җ",""))</f>
        <v/>
      </c>
      <c r="AH359" s="164" t="str">
        <f>IF('01_Stations'!$S$356=1,"Ӂ",IF('01_Stations'!$S$356=2,"Җ",""))</f>
        <v/>
      </c>
      <c r="AI359" s="164" t="str">
        <f>IF('01_Stations'!$S$357=1,"Ӂ",IF('01_Stations'!$S$357=2,"Җ",""))</f>
        <v/>
      </c>
      <c r="AJ359" s="164" t="str">
        <f>IF('01_Stations'!$S$358=1,"Ӂ",IF('01_Stations'!$S$358=2,"Җ",""))</f>
        <v/>
      </c>
      <c r="AK359" s="164" t="str">
        <f>IF('01_Stations'!$S$359=1,"Ӂ",IF('01_Stations'!$S$359=2,"Җ",""))</f>
        <v/>
      </c>
      <c r="AL359" s="164" t="str">
        <f>IF('01_Stations'!$S$360=1,"Ӂ",IF('01_Stations'!$S$360=2,"Җ",""))</f>
        <v/>
      </c>
      <c r="AM359" s="164" t="str">
        <f>IF('01_Stations'!$S$361=1,"Ӂ",IF('01_Stations'!$S$361=2,"Җ",""))</f>
        <v/>
      </c>
      <c r="AN359" s="164" t="str">
        <f>IF('01_Stations'!$S$362=1,"Ӂ",IF('01_Stations'!$S$362=2,"Җ",""))</f>
        <v/>
      </c>
      <c r="AO359" s="164" t="str">
        <f>IF('01_Stations'!$S$363=1,"Ӂ",IF('01_Stations'!$S$363=2,"Җ",""))</f>
        <v/>
      </c>
      <c r="AP359" s="164" t="str">
        <f>IF('01_Stations'!$S$364=1,"Ӂ",IF('01_Stations'!$S$364=2,"Җ",""))</f>
        <v/>
      </c>
      <c r="AQ359" s="164" t="str">
        <f>IF('01_Stations'!$S$365=1,"Ӂ",IF('01_Stations'!$S$365=2,"Җ",""))</f>
        <v/>
      </c>
    </row>
    <row r="360" spans="1:43" ht="15" customHeight="1" x14ac:dyDescent="0.3">
      <c r="A360" s="236"/>
      <c r="B360" s="165" t="s">
        <v>2215</v>
      </c>
      <c r="C360" s="166" t="s">
        <v>1622</v>
      </c>
      <c r="D360" s="164" t="str">
        <f>IF('01_Stations'!$T$326=1,"───","")</f>
        <v/>
      </c>
      <c r="E360" s="164" t="str">
        <f>IF('01_Stations'!$T$327=1,"───","")</f>
        <v/>
      </c>
      <c r="F360" s="164" t="str">
        <f>IF('01_Stations'!$T$328=1,"───","")</f>
        <v/>
      </c>
      <c r="G360" s="164" t="str">
        <f>IF('01_Stations'!$T$329=1,"───","")</f>
        <v/>
      </c>
      <c r="H360" s="164" t="str">
        <f>IF('01_Stations'!$T$330=1,"───","")</f>
        <v/>
      </c>
      <c r="I360" s="164" t="str">
        <f>IF('01_Stations'!$T$331=1,"───","")</f>
        <v/>
      </c>
      <c r="J360" s="164" t="str">
        <f>IF('01_Stations'!$T$332=1,"───","")</f>
        <v/>
      </c>
      <c r="K360" s="164" t="str">
        <f>IF('01_Stations'!$T$333=1,"───","")</f>
        <v/>
      </c>
      <c r="L360" s="164" t="str">
        <f>IF('01_Stations'!$T$334=1,"───","")</f>
        <v/>
      </c>
      <c r="M360" s="164" t="str">
        <f>IF('01_Stations'!$T$335=1,"───","")</f>
        <v/>
      </c>
      <c r="N360" s="164" t="str">
        <f>IF('01_Stations'!$T$336=1,"───","")</f>
        <v/>
      </c>
      <c r="O360" s="164" t="str">
        <f>IF('01_Stations'!$T$337=1,"───","")</f>
        <v/>
      </c>
      <c r="P360" s="164" t="str">
        <f>IF('01_Stations'!$T$338=1,"───","")</f>
        <v/>
      </c>
      <c r="Q360" s="164" t="str">
        <f>IF('01_Stations'!$T$339=1,"───","")</f>
        <v/>
      </c>
      <c r="R360" s="164" t="str">
        <f>IF('01_Stations'!$T$340=1,"───","")</f>
        <v/>
      </c>
      <c r="S360" s="164" t="str">
        <f>IF('01_Stations'!$T$341=1,"───","")</f>
        <v/>
      </c>
      <c r="T360" s="164" t="str">
        <f>IF('01_Stations'!$T$342=1,"───","")</f>
        <v/>
      </c>
      <c r="U360" s="164" t="str">
        <f>IF('01_Stations'!$T$343=1,"───","")</f>
        <v/>
      </c>
      <c r="V360" s="164" t="str">
        <f>IF('01_Stations'!$T$344=1,"───","")</f>
        <v/>
      </c>
      <c r="W360" s="164" t="str">
        <f>IF('01_Stations'!$T$345=1,"───","")</f>
        <v/>
      </c>
      <c r="X360" s="164" t="str">
        <f>IF('01_Stations'!$T$346=1,"───","")</f>
        <v/>
      </c>
      <c r="Y360" s="164" t="str">
        <f>IF('01_Stations'!$T$347=1,"───","")</f>
        <v/>
      </c>
      <c r="Z360" s="164" t="str">
        <f>IF('01_Stations'!$T$348=1,"───","")</f>
        <v/>
      </c>
      <c r="AA360" s="164" t="str">
        <f>IF('01_Stations'!$T$349=1,"───","")</f>
        <v/>
      </c>
      <c r="AB360" s="164" t="str">
        <f>IF('01_Stations'!$T$350=1,"───","")</f>
        <v/>
      </c>
      <c r="AC360" s="164" t="str">
        <f>IF('01_Stations'!$T$351=1,"───","")</f>
        <v/>
      </c>
      <c r="AD360" s="164" t="str">
        <f>IF('01_Stations'!$T$352=1,"───","")</f>
        <v/>
      </c>
      <c r="AE360" s="164" t="str">
        <f>IF('01_Stations'!$T$353=1,"───","")</f>
        <v/>
      </c>
      <c r="AF360" s="164" t="str">
        <f>IF('01_Stations'!$T$354=1,"───","")</f>
        <v/>
      </c>
      <c r="AG360" s="164" t="str">
        <f>IF('01_Stations'!$T$355=1,"───","")</f>
        <v/>
      </c>
      <c r="AH360" s="164" t="str">
        <f>IF('01_Stations'!$T$356=1,"───","")</f>
        <v/>
      </c>
      <c r="AI360" s="164" t="str">
        <f>IF('01_Stations'!$T$357=1,"───","")</f>
        <v/>
      </c>
      <c r="AJ360" s="164" t="str">
        <f>IF('01_Stations'!$T$358=1,"───","")</f>
        <v/>
      </c>
      <c r="AK360" s="164" t="str">
        <f>IF('01_Stations'!$T$359=1,"───","")</f>
        <v/>
      </c>
      <c r="AL360" s="164" t="str">
        <f>IF('01_Stations'!$T$360=1,"───","")</f>
        <v/>
      </c>
      <c r="AM360" s="164" t="str">
        <f>IF('01_Stations'!$T$361=1,"───","")</f>
        <v/>
      </c>
      <c r="AN360" s="164" t="str">
        <f>IF('01_Stations'!$T$362=1,"───","")</f>
        <v/>
      </c>
      <c r="AO360" s="164" t="str">
        <f>IF('01_Stations'!$T$363=1,"───","")</f>
        <v/>
      </c>
      <c r="AP360" s="164" t="str">
        <f>IF('01_Stations'!$T$364=1,"───","")</f>
        <v/>
      </c>
      <c r="AQ360" s="164" t="str">
        <f>IF('01_Stations'!$T$365=1,"───","")</f>
        <v/>
      </c>
    </row>
    <row r="361" spans="1:43" ht="15" customHeight="1" x14ac:dyDescent="0.3">
      <c r="A361" s="236"/>
      <c r="B361" s="165"/>
      <c r="C361" s="166" t="s">
        <v>2216</v>
      </c>
      <c r="D361" s="164" t="str">
        <f>IF(N('01_Stations'!$U$326)&gt;0,'01_Stations'!$U$326,"")</f>
        <v/>
      </c>
      <c r="E361" s="164" t="str">
        <f>IF(N('01_Stations'!$U$327)&gt;0,'01_Stations'!$U$327,"")</f>
        <v/>
      </c>
      <c r="F361" s="164" t="str">
        <f>IF(N('01_Stations'!$U$328)&gt;0,'01_Stations'!$U$328,"")</f>
        <v/>
      </c>
      <c r="G361" s="164" t="str">
        <f>IF(N('01_Stations'!$U$329)&gt;0,'01_Stations'!$U$329,"")</f>
        <v/>
      </c>
      <c r="H361" s="164" t="str">
        <f>IF(N('01_Stations'!$U$330)&gt;0,'01_Stations'!$U$330,"")</f>
        <v/>
      </c>
      <c r="I361" s="164" t="str">
        <f>IF(N('01_Stations'!$U$331)&gt;0,'01_Stations'!$U$331,"")</f>
        <v/>
      </c>
      <c r="J361" s="164" t="str">
        <f>IF(N('01_Stations'!$U$332)&gt;0,'01_Stations'!$U$332,"")</f>
        <v/>
      </c>
      <c r="K361" s="164" t="str">
        <f>IF(N('01_Stations'!$U$333)&gt;0,'01_Stations'!$U$333,"")</f>
        <v/>
      </c>
      <c r="L361" s="164" t="str">
        <f>IF(N('01_Stations'!$U$334)&gt;0,'01_Stations'!$U$334,"")</f>
        <v/>
      </c>
      <c r="M361" s="164" t="str">
        <f>IF(N('01_Stations'!$U$335)&gt;0,'01_Stations'!$U$335,"")</f>
        <v/>
      </c>
      <c r="N361" s="164" t="str">
        <f>IF(N('01_Stations'!$U$336)&gt;0,'01_Stations'!$U$336,"")</f>
        <v/>
      </c>
      <c r="O361" s="164" t="str">
        <f>IF(N('01_Stations'!$U$337)&gt;0,'01_Stations'!$U$337,"")</f>
        <v/>
      </c>
      <c r="P361" s="164" t="str">
        <f>IF(N('01_Stations'!$U$338)&gt;0,'01_Stations'!$U$338,"")</f>
        <v/>
      </c>
      <c r="Q361" s="164" t="str">
        <f>IF(N('01_Stations'!$U$339)&gt;0,'01_Stations'!$U$339,"")</f>
        <v/>
      </c>
      <c r="R361" s="164" t="str">
        <f>IF(N('01_Stations'!$U$340)&gt;0,'01_Stations'!$U$340,"")</f>
        <v/>
      </c>
      <c r="S361" s="164" t="str">
        <f>IF(N('01_Stations'!$U$341)&gt;0,'01_Stations'!$U$341,"")</f>
        <v/>
      </c>
      <c r="T361" s="164" t="str">
        <f>IF(N('01_Stations'!$U$342)&gt;0,'01_Stations'!$U$342,"")</f>
        <v/>
      </c>
      <c r="U361" s="164" t="str">
        <f>IF(N('01_Stations'!$U$343)&gt;0,'01_Stations'!$U$343,"")</f>
        <v/>
      </c>
      <c r="V361" s="164" t="str">
        <f>IF(N('01_Stations'!$U$344)&gt;0,'01_Stations'!$U$344,"")</f>
        <v/>
      </c>
      <c r="W361" s="164" t="str">
        <f>IF(N('01_Stations'!$U$345)&gt;0,'01_Stations'!$U$345,"")</f>
        <v/>
      </c>
      <c r="X361" s="164" t="str">
        <f>IF(N('01_Stations'!$U$346)&gt;0,'01_Stations'!$U$346,"")</f>
        <v/>
      </c>
      <c r="Y361" s="164" t="str">
        <f>IF(N('01_Stations'!$U$347)&gt;0,'01_Stations'!$U$347,"")</f>
        <v/>
      </c>
      <c r="Z361" s="164" t="str">
        <f>IF(N('01_Stations'!$U$348)&gt;0,'01_Stations'!$U$348,"")</f>
        <v/>
      </c>
      <c r="AA361" s="164" t="str">
        <f>IF(N('01_Stations'!$U$349)&gt;0,'01_Stations'!$U$349,"")</f>
        <v/>
      </c>
      <c r="AB361" s="164" t="str">
        <f>IF(N('01_Stations'!$U$350)&gt;0,'01_Stations'!$U$350,"")</f>
        <v/>
      </c>
      <c r="AC361" s="164" t="str">
        <f>IF(N('01_Stations'!$U$351)&gt;0,'01_Stations'!$U$351,"")</f>
        <v/>
      </c>
      <c r="AD361" s="164" t="str">
        <f>IF(N('01_Stations'!$U$352)&gt;0,'01_Stations'!$U$352,"")</f>
        <v/>
      </c>
      <c r="AE361" s="164" t="str">
        <f>IF(N('01_Stations'!$U$353)&gt;0,'01_Stations'!$U$353,"")</f>
        <v/>
      </c>
      <c r="AF361" s="164" t="str">
        <f>IF(N('01_Stations'!$U$354)&gt;0,'01_Stations'!$U$354,"")</f>
        <v/>
      </c>
      <c r="AG361" s="164" t="str">
        <f>IF(N('01_Stations'!$U$355)&gt;0,'01_Stations'!$U$355,"")</f>
        <v/>
      </c>
      <c r="AH361" s="164" t="str">
        <f>IF(N('01_Stations'!$U$356)&gt;0,'01_Stations'!$U$356,"")</f>
        <v/>
      </c>
      <c r="AI361" s="164" t="str">
        <f>IF(N('01_Stations'!$U$357)&gt;0,'01_Stations'!$U$357,"")</f>
        <v/>
      </c>
      <c r="AJ361" s="164" t="str">
        <f>IF(N('01_Stations'!$U$358)&gt;0,'01_Stations'!$U$358,"")</f>
        <v/>
      </c>
      <c r="AK361" s="164" t="str">
        <f>IF(N('01_Stations'!$U$359)&gt;0,'01_Stations'!$U$359,"")</f>
        <v/>
      </c>
      <c r="AL361" s="164" t="str">
        <f>IF(N('01_Stations'!$U$360)&gt;0,'01_Stations'!$U$360,"")</f>
        <v/>
      </c>
      <c r="AM361" s="164" t="str">
        <f>IF(N('01_Stations'!$U$361)&gt;0,'01_Stations'!$U$361,"")</f>
        <v/>
      </c>
      <c r="AN361" s="164" t="str">
        <f>IF(N('01_Stations'!$U$362)&gt;0,'01_Stations'!$U$362,"")</f>
        <v/>
      </c>
      <c r="AO361" s="164" t="str">
        <f>IF(N('01_Stations'!$U$363)&gt;0,'01_Stations'!$U$363,"")</f>
        <v/>
      </c>
      <c r="AP361" s="164" t="str">
        <f>IF(N('01_Stations'!$U$364)&gt;0,'01_Stations'!$U$364,"")</f>
        <v/>
      </c>
      <c r="AQ361" s="164" t="str">
        <f>IF(N('01_Stations'!$U$365)&gt;0,'01_Stations'!$U$365,"")</f>
        <v/>
      </c>
    </row>
    <row r="362" spans="1:43" ht="15" customHeight="1" x14ac:dyDescent="0.3">
      <c r="A362" s="236"/>
      <c r="B362" s="165"/>
      <c r="C362" s="166" t="s">
        <v>2212</v>
      </c>
      <c r="D362" s="164" t="str">
        <f>IF('01_Stations'!$V$326=1,"───","")</f>
        <v/>
      </c>
      <c r="E362" s="164" t="str">
        <f>IF('01_Stations'!$V$327=1,"───","")</f>
        <v/>
      </c>
      <c r="F362" s="164" t="str">
        <f>IF('01_Stations'!$V$328=1,"───","")</f>
        <v/>
      </c>
      <c r="G362" s="164" t="str">
        <f>IF('01_Stations'!$V$329=1,"───","")</f>
        <v/>
      </c>
      <c r="H362" s="164" t="str">
        <f>IF('01_Stations'!$V$330=1,"───","")</f>
        <v/>
      </c>
      <c r="I362" s="164" t="str">
        <f>IF('01_Stations'!$V$331=1,"───","")</f>
        <v/>
      </c>
      <c r="J362" s="164" t="str">
        <f>IF('01_Stations'!$V$332=1,"───","")</f>
        <v/>
      </c>
      <c r="K362" s="164" t="str">
        <f>IF('01_Stations'!$V$333=1,"───","")</f>
        <v/>
      </c>
      <c r="L362" s="164" t="str">
        <f>IF('01_Stations'!$V$334=1,"───","")</f>
        <v/>
      </c>
      <c r="M362" s="164" t="str">
        <f>IF('01_Stations'!$V$335=1,"───","")</f>
        <v/>
      </c>
      <c r="N362" s="164" t="str">
        <f>IF('01_Stations'!$V$336=1,"───","")</f>
        <v/>
      </c>
      <c r="O362" s="164" t="str">
        <f>IF('01_Stations'!$V$337=1,"───","")</f>
        <v/>
      </c>
      <c r="P362" s="164" t="str">
        <f>IF('01_Stations'!$V$338=1,"───","")</f>
        <v/>
      </c>
      <c r="Q362" s="164" t="str">
        <f>IF('01_Stations'!$V$339=1,"───","")</f>
        <v/>
      </c>
      <c r="R362" s="164" t="str">
        <f>IF('01_Stations'!$V$340=1,"───","")</f>
        <v/>
      </c>
      <c r="S362" s="164" t="str">
        <f>IF('01_Stations'!$V$341=1,"───","")</f>
        <v/>
      </c>
      <c r="T362" s="164" t="str">
        <f>IF('01_Stations'!$V$342=1,"───","")</f>
        <v/>
      </c>
      <c r="U362" s="164" t="str">
        <f>IF('01_Stations'!$V$343=1,"───","")</f>
        <v/>
      </c>
      <c r="V362" s="164" t="str">
        <f>IF('01_Stations'!$V$344=1,"───","")</f>
        <v/>
      </c>
      <c r="W362" s="164" t="str">
        <f>IF('01_Stations'!$V$345=1,"───","")</f>
        <v/>
      </c>
      <c r="X362" s="164" t="str">
        <f>IF('01_Stations'!$V$346=1,"───","")</f>
        <v/>
      </c>
      <c r="Y362" s="164" t="str">
        <f>IF('01_Stations'!$V$347=1,"───","")</f>
        <v/>
      </c>
      <c r="Z362" s="164" t="str">
        <f>IF('01_Stations'!$V$348=1,"───","")</f>
        <v/>
      </c>
      <c r="AA362" s="164" t="str">
        <f>IF('01_Stations'!$V$349=1,"───","")</f>
        <v/>
      </c>
      <c r="AB362" s="164" t="str">
        <f>IF('01_Stations'!$V$350=1,"───","")</f>
        <v/>
      </c>
      <c r="AC362" s="164" t="str">
        <f>IF('01_Stations'!$V$351=1,"───","")</f>
        <v/>
      </c>
      <c r="AD362" s="164" t="str">
        <f>IF('01_Stations'!$V$352=1,"───","")</f>
        <v/>
      </c>
      <c r="AE362" s="164" t="str">
        <f>IF('01_Stations'!$V$353=1,"───","")</f>
        <v/>
      </c>
      <c r="AF362" s="164" t="str">
        <f>IF('01_Stations'!$V$354=1,"───","")</f>
        <v/>
      </c>
      <c r="AG362" s="164" t="str">
        <f>IF('01_Stations'!$V$355=1,"───","")</f>
        <v/>
      </c>
      <c r="AH362" s="164" t="str">
        <f>IF('01_Stations'!$V$356=1,"───","")</f>
        <v/>
      </c>
      <c r="AI362" s="164" t="str">
        <f>IF('01_Stations'!$V$357=1,"───","")</f>
        <v/>
      </c>
      <c r="AJ362" s="164" t="str">
        <f>IF('01_Stations'!$V$358=1,"───","")</f>
        <v/>
      </c>
      <c r="AK362" s="164" t="str">
        <f>IF('01_Stations'!$V$359=1,"───","")</f>
        <v/>
      </c>
      <c r="AL362" s="164" t="str">
        <f>IF('01_Stations'!$V$360=1,"───","")</f>
        <v/>
      </c>
      <c r="AM362" s="164" t="str">
        <f>IF('01_Stations'!$V$361=1,"───","")</f>
        <v/>
      </c>
      <c r="AN362" s="164" t="str">
        <f>IF('01_Stations'!$V$362=1,"───","")</f>
        <v/>
      </c>
      <c r="AO362" s="164" t="str">
        <f>IF('01_Stations'!$V$363=1,"───","")</f>
        <v/>
      </c>
      <c r="AP362" s="164" t="str">
        <f>IF('01_Stations'!$V$364=1,"───","")</f>
        <v/>
      </c>
      <c r="AQ362" s="164" t="str">
        <f>IF('01_Stations'!$V$365=1,"───","")</f>
        <v/>
      </c>
    </row>
    <row r="363" spans="1:43" ht="15" customHeight="1" x14ac:dyDescent="0.3">
      <c r="A363" s="236"/>
      <c r="B363" s="165"/>
      <c r="C363" s="166" t="s">
        <v>2216</v>
      </c>
      <c r="D363" s="164" t="str">
        <f>IF(N('01_Stations'!$W$326)&gt;0,'01_Stations'!$W$326,"")</f>
        <v/>
      </c>
      <c r="E363" s="164" t="str">
        <f>IF(N('01_Stations'!$W$327)&gt;0,'01_Stations'!$W$327,"")</f>
        <v/>
      </c>
      <c r="F363" s="164" t="str">
        <f>IF(N('01_Stations'!$W$328)&gt;0,'01_Stations'!$W$328,"")</f>
        <v/>
      </c>
      <c r="G363" s="164" t="str">
        <f>IF(N('01_Stations'!$W$329)&gt;0,'01_Stations'!$W$329,"")</f>
        <v/>
      </c>
      <c r="H363" s="164" t="str">
        <f>IF(N('01_Stations'!$W$330)&gt;0,'01_Stations'!$W$330,"")</f>
        <v/>
      </c>
      <c r="I363" s="164" t="str">
        <f>IF(N('01_Stations'!$W$331)&gt;0,'01_Stations'!$W$331,"")</f>
        <v/>
      </c>
      <c r="J363" s="164" t="str">
        <f>IF(N('01_Stations'!$W$332)&gt;0,'01_Stations'!$W$332,"")</f>
        <v/>
      </c>
      <c r="K363" s="164" t="str">
        <f>IF(N('01_Stations'!$W$333)&gt;0,'01_Stations'!$W$333,"")</f>
        <v/>
      </c>
      <c r="L363" s="164" t="str">
        <f>IF(N('01_Stations'!$W$334)&gt;0,'01_Stations'!$W$334,"")</f>
        <v/>
      </c>
      <c r="M363" s="164" t="str">
        <f>IF(N('01_Stations'!$W$335)&gt;0,'01_Stations'!$W$335,"")</f>
        <v/>
      </c>
      <c r="N363" s="164" t="str">
        <f>IF(N('01_Stations'!$W$336)&gt;0,'01_Stations'!$W$336,"")</f>
        <v/>
      </c>
      <c r="O363" s="164" t="str">
        <f>IF(N('01_Stations'!$W$337)&gt;0,'01_Stations'!$W$337,"")</f>
        <v/>
      </c>
      <c r="P363" s="164" t="str">
        <f>IF(N('01_Stations'!$W$338)&gt;0,'01_Stations'!$W$338,"")</f>
        <v/>
      </c>
      <c r="Q363" s="164" t="str">
        <f>IF(N('01_Stations'!$W$339)&gt;0,'01_Stations'!$W$339,"")</f>
        <v/>
      </c>
      <c r="R363" s="164" t="str">
        <f>IF(N('01_Stations'!$W$340)&gt;0,'01_Stations'!$W$340,"")</f>
        <v/>
      </c>
      <c r="S363" s="164" t="str">
        <f>IF(N('01_Stations'!$W$341)&gt;0,'01_Stations'!$W$341,"")</f>
        <v/>
      </c>
      <c r="T363" s="164" t="str">
        <f>IF(N('01_Stations'!$W$342)&gt;0,'01_Stations'!$W$342,"")</f>
        <v/>
      </c>
      <c r="U363" s="164" t="str">
        <f>IF(N('01_Stations'!$W$343)&gt;0,'01_Stations'!$W$343,"")</f>
        <v/>
      </c>
      <c r="V363" s="164" t="str">
        <f>IF(N('01_Stations'!$W$344)&gt;0,'01_Stations'!$W$344,"")</f>
        <v/>
      </c>
      <c r="W363" s="164" t="str">
        <f>IF(N('01_Stations'!$W$345)&gt;0,'01_Stations'!$W$345,"")</f>
        <v/>
      </c>
      <c r="X363" s="164" t="str">
        <f>IF(N('01_Stations'!$W$346)&gt;0,'01_Stations'!$W$346,"")</f>
        <v/>
      </c>
      <c r="Y363" s="164" t="str">
        <f>IF(N('01_Stations'!$W$347)&gt;0,'01_Stations'!$W$347,"")</f>
        <v/>
      </c>
      <c r="Z363" s="164" t="str">
        <f>IF(N('01_Stations'!$W$348)&gt;0,'01_Stations'!$W$348,"")</f>
        <v/>
      </c>
      <c r="AA363" s="164" t="str">
        <f>IF(N('01_Stations'!$W$349)&gt;0,'01_Stations'!$W$349,"")</f>
        <v/>
      </c>
      <c r="AB363" s="164" t="str">
        <f>IF(N('01_Stations'!$W$350)&gt;0,'01_Stations'!$W$350,"")</f>
        <v/>
      </c>
      <c r="AC363" s="164" t="str">
        <f>IF(N('01_Stations'!$W$351)&gt;0,'01_Stations'!$W$351,"")</f>
        <v/>
      </c>
      <c r="AD363" s="164" t="str">
        <f>IF(N('01_Stations'!$W$352)&gt;0,'01_Stations'!$W$352,"")</f>
        <v/>
      </c>
      <c r="AE363" s="164" t="str">
        <f>IF(N('01_Stations'!$W$353)&gt;0,'01_Stations'!$W$353,"")</f>
        <v/>
      </c>
      <c r="AF363" s="164" t="str">
        <f>IF(N('01_Stations'!$W$354)&gt;0,'01_Stations'!$W$354,"")</f>
        <v/>
      </c>
      <c r="AG363" s="164" t="str">
        <f>IF(N('01_Stations'!$W$355)&gt;0,'01_Stations'!$W$355,"")</f>
        <v/>
      </c>
      <c r="AH363" s="164" t="str">
        <f>IF(N('01_Stations'!$W$356)&gt;0,'01_Stations'!$W$356,"")</f>
        <v/>
      </c>
      <c r="AI363" s="164" t="str">
        <f>IF(N('01_Stations'!$W$357)&gt;0,'01_Stations'!$W$357,"")</f>
        <v/>
      </c>
      <c r="AJ363" s="164" t="str">
        <f>IF(N('01_Stations'!$W$358)&gt;0,'01_Stations'!$W$358,"")</f>
        <v/>
      </c>
      <c r="AK363" s="164" t="str">
        <f>IF(N('01_Stations'!$W$359)&gt;0,'01_Stations'!$W$359,"")</f>
        <v/>
      </c>
      <c r="AL363" s="164" t="str">
        <f>IF(N('01_Stations'!$W$360)&gt;0,'01_Stations'!$W$360,"")</f>
        <v/>
      </c>
      <c r="AM363" s="164" t="str">
        <f>IF(N('01_Stations'!$W$361)&gt;0,'01_Stations'!$W$361,"")</f>
        <v/>
      </c>
      <c r="AN363" s="164" t="str">
        <f>IF(N('01_Stations'!$W$362)&gt;0,'01_Stations'!$W$362,"")</f>
        <v/>
      </c>
      <c r="AO363" s="164" t="str">
        <f>IF(N('01_Stations'!$W$363)&gt;0,'01_Stations'!$W$363,"")</f>
        <v/>
      </c>
      <c r="AP363" s="164" t="str">
        <f>IF(N('01_Stations'!$W$364)&gt;0,'01_Stations'!$W$364,"")</f>
        <v/>
      </c>
      <c r="AQ363" s="164" t="str">
        <f>IF(N('01_Stations'!$W$365)&gt;0,'01_Stations'!$W$365,"")</f>
        <v/>
      </c>
    </row>
    <row r="364" spans="1:43" ht="15" customHeight="1" x14ac:dyDescent="0.3">
      <c r="A364" s="236"/>
      <c r="B364" s="165" t="s">
        <v>2217</v>
      </c>
      <c r="C364" s="166" t="s">
        <v>1622</v>
      </c>
      <c r="D364" s="164" t="str">
        <f>IF('01_Stations'!$X$326=1,"───","")</f>
        <v/>
      </c>
      <c r="E364" s="164" t="str">
        <f>IF('01_Stations'!$X$327=1,"───","")</f>
        <v/>
      </c>
      <c r="F364" s="164" t="str">
        <f>IF('01_Stations'!$X$328=1,"───","")</f>
        <v/>
      </c>
      <c r="G364" s="164" t="str">
        <f>IF('01_Stations'!$X$329=1,"───","")</f>
        <v/>
      </c>
      <c r="H364" s="164" t="str">
        <f>IF('01_Stations'!$X$330=1,"───","")</f>
        <v/>
      </c>
      <c r="I364" s="164" t="str">
        <f>IF('01_Stations'!$X$331=1,"───","")</f>
        <v/>
      </c>
      <c r="J364" s="164" t="str">
        <f>IF('01_Stations'!$X$332=1,"───","")</f>
        <v/>
      </c>
      <c r="K364" s="164" t="str">
        <f>IF('01_Stations'!$X$333=1,"───","")</f>
        <v/>
      </c>
      <c r="L364" s="164" t="str">
        <f>IF('01_Stations'!$X$334=1,"───","")</f>
        <v/>
      </c>
      <c r="M364" s="164" t="str">
        <f>IF('01_Stations'!$X$335=1,"───","")</f>
        <v/>
      </c>
      <c r="N364" s="164" t="str">
        <f>IF('01_Stations'!$X$336=1,"───","")</f>
        <v/>
      </c>
      <c r="O364" s="164" t="str">
        <f>IF('01_Stations'!$X$337=1,"───","")</f>
        <v/>
      </c>
      <c r="P364" s="164" t="str">
        <f>IF('01_Stations'!$X$338=1,"───","")</f>
        <v/>
      </c>
      <c r="Q364" s="164" t="str">
        <f>IF('01_Stations'!$X$339=1,"───","")</f>
        <v/>
      </c>
      <c r="R364" s="164" t="str">
        <f>IF('01_Stations'!$X$340=1,"───","")</f>
        <v/>
      </c>
      <c r="S364" s="164" t="str">
        <f>IF('01_Stations'!$X$341=1,"───","")</f>
        <v/>
      </c>
      <c r="T364" s="164" t="str">
        <f>IF('01_Stations'!$X$342=1,"───","")</f>
        <v/>
      </c>
      <c r="U364" s="164" t="str">
        <f>IF('01_Stations'!$X$343=1,"───","")</f>
        <v/>
      </c>
      <c r="V364" s="164" t="str">
        <f>IF('01_Stations'!$X$344=1,"───","")</f>
        <v/>
      </c>
      <c r="W364" s="164" t="str">
        <f>IF('01_Stations'!$X$345=1,"───","")</f>
        <v/>
      </c>
      <c r="X364" s="164" t="str">
        <f>IF('01_Stations'!$X$346=1,"───","")</f>
        <v/>
      </c>
      <c r="Y364" s="164" t="str">
        <f>IF('01_Stations'!$X$347=1,"───","")</f>
        <v/>
      </c>
      <c r="Z364" s="164" t="str">
        <f>IF('01_Stations'!$X$348=1,"───","")</f>
        <v/>
      </c>
      <c r="AA364" s="164" t="str">
        <f>IF('01_Stations'!$X$349=1,"───","")</f>
        <v/>
      </c>
      <c r="AB364" s="164" t="str">
        <f>IF('01_Stations'!$X$350=1,"───","")</f>
        <v/>
      </c>
      <c r="AC364" s="164" t="str">
        <f>IF('01_Stations'!$X$351=1,"───","")</f>
        <v/>
      </c>
      <c r="AD364" s="164" t="str">
        <f>IF('01_Stations'!$X$352=1,"───","")</f>
        <v/>
      </c>
      <c r="AE364" s="164" t="str">
        <f>IF('01_Stations'!$X$353=1,"───","")</f>
        <v/>
      </c>
      <c r="AF364" s="164" t="str">
        <f>IF('01_Stations'!$X$354=1,"───","")</f>
        <v/>
      </c>
      <c r="AG364" s="164" t="str">
        <f>IF('01_Stations'!$X$355=1,"───","")</f>
        <v/>
      </c>
      <c r="AH364" s="164" t="str">
        <f>IF('01_Stations'!$X$356=1,"───","")</f>
        <v/>
      </c>
      <c r="AI364" s="164" t="str">
        <f>IF('01_Stations'!$X$357=1,"───","")</f>
        <v/>
      </c>
      <c r="AJ364" s="164" t="str">
        <f>IF('01_Stations'!$X$358=1,"───","")</f>
        <v/>
      </c>
      <c r="AK364" s="164" t="str">
        <f>IF('01_Stations'!$X$359=1,"───","")</f>
        <v/>
      </c>
      <c r="AL364" s="164" t="str">
        <f>IF('01_Stations'!$X$360=1,"───","")</f>
        <v/>
      </c>
      <c r="AM364" s="164" t="str">
        <f>IF('01_Stations'!$X$361=1,"───","")</f>
        <v/>
      </c>
      <c r="AN364" s="164" t="str">
        <f>IF('01_Stations'!$X$362=1,"───","")</f>
        <v/>
      </c>
      <c r="AO364" s="164" t="str">
        <f>IF('01_Stations'!$X$363=1,"───","")</f>
        <v/>
      </c>
      <c r="AP364" s="164" t="str">
        <f>IF('01_Stations'!$X$364=1,"───","")</f>
        <v/>
      </c>
      <c r="AQ364" s="164" t="str">
        <f>IF('01_Stations'!$X$365=1,"───","")</f>
        <v/>
      </c>
    </row>
    <row r="365" spans="1:43" ht="15" customHeight="1" x14ac:dyDescent="0.3">
      <c r="A365" s="236"/>
      <c r="B365" s="165"/>
      <c r="C365" s="166" t="s">
        <v>2212</v>
      </c>
      <c r="D365" s="164" t="str">
        <f>IF('01_Stations'!$Y$326=1,"───","")</f>
        <v/>
      </c>
      <c r="E365" s="164" t="str">
        <f>IF('01_Stations'!$Y$327=1,"───","")</f>
        <v/>
      </c>
      <c r="F365" s="164" t="str">
        <f>IF('01_Stations'!$Y$328=1,"───","")</f>
        <v/>
      </c>
      <c r="G365" s="164" t="str">
        <f>IF('01_Stations'!$Y$329=1,"───","")</f>
        <v/>
      </c>
      <c r="H365" s="164" t="str">
        <f>IF('01_Stations'!$Y$330=1,"───","")</f>
        <v/>
      </c>
      <c r="I365" s="164" t="str">
        <f>IF('01_Stations'!$Y$331=1,"───","")</f>
        <v/>
      </c>
      <c r="J365" s="164" t="str">
        <f>IF('01_Stations'!$Y$332=1,"───","")</f>
        <v/>
      </c>
      <c r="K365" s="164" t="str">
        <f>IF('01_Stations'!$Y$333=1,"───","")</f>
        <v/>
      </c>
      <c r="L365" s="164" t="str">
        <f>IF('01_Stations'!$Y$334=1,"───","")</f>
        <v/>
      </c>
      <c r="M365" s="164" t="str">
        <f>IF('01_Stations'!$Y$335=1,"───","")</f>
        <v/>
      </c>
      <c r="N365" s="164" t="str">
        <f>IF('01_Stations'!$Y$336=1,"───","")</f>
        <v/>
      </c>
      <c r="O365" s="164" t="str">
        <f>IF('01_Stations'!$Y$337=1,"───","")</f>
        <v/>
      </c>
      <c r="P365" s="164" t="str">
        <f>IF('01_Stations'!$Y$338=1,"───","")</f>
        <v/>
      </c>
      <c r="Q365" s="164" t="str">
        <f>IF('01_Stations'!$Y$339=1,"───","")</f>
        <v/>
      </c>
      <c r="R365" s="164" t="str">
        <f>IF('01_Stations'!$Y$340=1,"───","")</f>
        <v/>
      </c>
      <c r="S365" s="164" t="str">
        <f>IF('01_Stations'!$Y$341=1,"───","")</f>
        <v/>
      </c>
      <c r="T365" s="164" t="str">
        <f>IF('01_Stations'!$Y$342=1,"───","")</f>
        <v/>
      </c>
      <c r="U365" s="164" t="str">
        <f>IF('01_Stations'!$Y$343=1,"───","")</f>
        <v/>
      </c>
      <c r="V365" s="164" t="str">
        <f>IF('01_Stations'!$Y$344=1,"───","")</f>
        <v/>
      </c>
      <c r="W365" s="164" t="str">
        <f>IF('01_Stations'!$Y$345=1,"───","")</f>
        <v/>
      </c>
      <c r="X365" s="164" t="str">
        <f>IF('01_Stations'!$Y$346=1,"───","")</f>
        <v/>
      </c>
      <c r="Y365" s="164" t="str">
        <f>IF('01_Stations'!$Y$347=1,"───","")</f>
        <v/>
      </c>
      <c r="Z365" s="164" t="str">
        <f>IF('01_Stations'!$Y$348=1,"───","")</f>
        <v/>
      </c>
      <c r="AA365" s="164" t="str">
        <f>IF('01_Stations'!$Y$349=1,"───","")</f>
        <v/>
      </c>
      <c r="AB365" s="164" t="str">
        <f>IF('01_Stations'!$Y$350=1,"───","")</f>
        <v/>
      </c>
      <c r="AC365" s="164" t="str">
        <f>IF('01_Stations'!$Y$351=1,"───","")</f>
        <v/>
      </c>
      <c r="AD365" s="164" t="str">
        <f>IF('01_Stations'!$Y$352=1,"───","")</f>
        <v/>
      </c>
      <c r="AE365" s="164" t="str">
        <f>IF('01_Stations'!$Y$353=1,"───","")</f>
        <v/>
      </c>
      <c r="AF365" s="164" t="str">
        <f>IF('01_Stations'!$Y$354=1,"───","")</f>
        <v/>
      </c>
      <c r="AG365" s="164" t="str">
        <f>IF('01_Stations'!$Y$355=1,"───","")</f>
        <v/>
      </c>
      <c r="AH365" s="164" t="str">
        <f>IF('01_Stations'!$Y$356=1,"───","")</f>
        <v/>
      </c>
      <c r="AI365" s="164" t="str">
        <f>IF('01_Stations'!$Y$357=1,"───","")</f>
        <v/>
      </c>
      <c r="AJ365" s="164" t="str">
        <f>IF('01_Stations'!$Y$358=1,"───","")</f>
        <v/>
      </c>
      <c r="AK365" s="164" t="str">
        <f>IF('01_Stations'!$Y$359=1,"───","")</f>
        <v/>
      </c>
      <c r="AL365" s="164" t="str">
        <f>IF('01_Stations'!$Y$360=1,"───","")</f>
        <v/>
      </c>
      <c r="AM365" s="164" t="str">
        <f>IF('01_Stations'!$Y$361=1,"───","")</f>
        <v/>
      </c>
      <c r="AN365" s="164" t="str">
        <f>IF('01_Stations'!$Y$362=1,"───","")</f>
        <v/>
      </c>
      <c r="AO365" s="164" t="str">
        <f>IF('01_Stations'!$Y$363=1,"───","")</f>
        <v/>
      </c>
      <c r="AP365" s="164" t="str">
        <f>IF('01_Stations'!$Y$364=1,"───","")</f>
        <v/>
      </c>
      <c r="AQ365" s="164" t="str">
        <f>IF('01_Stations'!$Y$365=1,"───","")</f>
        <v/>
      </c>
    </row>
    <row r="366" spans="1:43" ht="15" customHeight="1" x14ac:dyDescent="0.3">
      <c r="A366" s="236"/>
      <c r="B366" s="165" t="s">
        <v>2218</v>
      </c>
      <c r="C366" s="166" t="s">
        <v>1622</v>
      </c>
      <c r="D366" s="164" t="str">
        <f>IF('01_Stations'!$Z$326=1,"───","")</f>
        <v/>
      </c>
      <c r="E366" s="164" t="str">
        <f>IF('01_Stations'!$Z$327=1,"───","")</f>
        <v/>
      </c>
      <c r="F366" s="164" t="str">
        <f>IF('01_Stations'!$Z$328=1,"───","")</f>
        <v/>
      </c>
      <c r="G366" s="164" t="str">
        <f>IF('01_Stations'!$Z$329=1,"───","")</f>
        <v/>
      </c>
      <c r="H366" s="164" t="str">
        <f>IF('01_Stations'!$Z$330=1,"───","")</f>
        <v/>
      </c>
      <c r="I366" s="164" t="str">
        <f>IF('01_Stations'!$Z$331=1,"───","")</f>
        <v/>
      </c>
      <c r="J366" s="164" t="str">
        <f>IF('01_Stations'!$Z$332=1,"───","")</f>
        <v/>
      </c>
      <c r="K366" s="164" t="str">
        <f>IF('01_Stations'!$Z$333=1,"───","")</f>
        <v/>
      </c>
      <c r="L366" s="164" t="str">
        <f>IF('01_Stations'!$Z$334=1,"───","")</f>
        <v/>
      </c>
      <c r="M366" s="164" t="str">
        <f>IF('01_Stations'!$Z$335=1,"───","")</f>
        <v/>
      </c>
      <c r="N366" s="164" t="str">
        <f>IF('01_Stations'!$Z$336=1,"───","")</f>
        <v/>
      </c>
      <c r="O366" s="164" t="str">
        <f>IF('01_Stations'!$Z$337=1,"───","")</f>
        <v/>
      </c>
      <c r="P366" s="164" t="str">
        <f>IF('01_Stations'!$Z$338=1,"───","")</f>
        <v/>
      </c>
      <c r="Q366" s="164" t="str">
        <f>IF('01_Stations'!$Z$339=1,"───","")</f>
        <v/>
      </c>
      <c r="R366" s="164" t="str">
        <f>IF('01_Stations'!$Z$340=1,"───","")</f>
        <v/>
      </c>
      <c r="S366" s="164" t="str">
        <f>IF('01_Stations'!$Z$341=1,"───","")</f>
        <v/>
      </c>
      <c r="T366" s="164" t="str">
        <f>IF('01_Stations'!$Z$342=1,"───","")</f>
        <v/>
      </c>
      <c r="U366" s="164" t="str">
        <f>IF('01_Stations'!$Z$343=1,"───","")</f>
        <v/>
      </c>
      <c r="V366" s="164" t="str">
        <f>IF('01_Stations'!$Z$344=1,"───","")</f>
        <v/>
      </c>
      <c r="W366" s="164" t="str">
        <f>IF('01_Stations'!$Z$345=1,"───","")</f>
        <v/>
      </c>
      <c r="X366" s="164" t="str">
        <f>IF('01_Stations'!$Z$346=1,"───","")</f>
        <v/>
      </c>
      <c r="Y366" s="164" t="str">
        <f>IF('01_Stations'!$Z$347=1,"───","")</f>
        <v/>
      </c>
      <c r="Z366" s="164" t="str">
        <f>IF('01_Stations'!$Z$348=1,"───","")</f>
        <v/>
      </c>
      <c r="AA366" s="164" t="str">
        <f>IF('01_Stations'!$Z$349=1,"───","")</f>
        <v/>
      </c>
      <c r="AB366" s="164" t="str">
        <f>IF('01_Stations'!$Z$350=1,"───","")</f>
        <v/>
      </c>
      <c r="AC366" s="164" t="str">
        <f>IF('01_Stations'!$Z$351=1,"───","")</f>
        <v/>
      </c>
      <c r="AD366" s="164" t="str">
        <f>IF('01_Stations'!$Z$352=1,"───","")</f>
        <v/>
      </c>
      <c r="AE366" s="164" t="str">
        <f>IF('01_Stations'!$Z$353=1,"───","")</f>
        <v/>
      </c>
      <c r="AF366" s="164" t="str">
        <f>IF('01_Stations'!$Z$354=1,"───","")</f>
        <v/>
      </c>
      <c r="AG366" s="164" t="str">
        <f>IF('01_Stations'!$Z$355=1,"───","")</f>
        <v/>
      </c>
      <c r="AH366" s="164" t="str">
        <f>IF('01_Stations'!$Z$356=1,"───","")</f>
        <v/>
      </c>
      <c r="AI366" s="164" t="str">
        <f>IF('01_Stations'!$Z$357=1,"───","")</f>
        <v/>
      </c>
      <c r="AJ366" s="164" t="str">
        <f>IF('01_Stations'!$Z$358=1,"───","")</f>
        <v/>
      </c>
      <c r="AK366" s="164" t="str">
        <f>IF('01_Stations'!$Z$359=1,"───","")</f>
        <v/>
      </c>
      <c r="AL366" s="164" t="str">
        <f>IF('01_Stations'!$Z$360=1,"───","")</f>
        <v/>
      </c>
      <c r="AM366" s="164" t="str">
        <f>IF('01_Stations'!$Z$361=1,"───","")</f>
        <v/>
      </c>
      <c r="AN366" s="164" t="str">
        <f>IF('01_Stations'!$Z$362=1,"───","")</f>
        <v/>
      </c>
      <c r="AO366" s="164" t="str">
        <f>IF('01_Stations'!$Z$363=1,"───","")</f>
        <v/>
      </c>
      <c r="AP366" s="164" t="str">
        <f>IF('01_Stations'!$Z$364=1,"───","")</f>
        <v/>
      </c>
      <c r="AQ366" s="164" t="str">
        <f>IF('01_Stations'!$Z$365=1,"───","")</f>
        <v/>
      </c>
    </row>
    <row r="367" spans="1:43" ht="15" customHeight="1" x14ac:dyDescent="0.3">
      <c r="A367" s="236"/>
      <c r="B367" s="165"/>
      <c r="C367" s="166" t="s">
        <v>2212</v>
      </c>
      <c r="D367" s="164" t="str">
        <f>IF('01_Stations'!$AA$326=1,"───","")</f>
        <v/>
      </c>
      <c r="E367" s="164" t="str">
        <f>IF('01_Stations'!$AA$327=1,"───","")</f>
        <v/>
      </c>
      <c r="F367" s="164" t="str">
        <f>IF('01_Stations'!$AA$328=1,"───","")</f>
        <v/>
      </c>
      <c r="G367" s="164" t="str">
        <f>IF('01_Stations'!$AA$329=1,"───","")</f>
        <v/>
      </c>
      <c r="H367" s="164" t="str">
        <f>IF('01_Stations'!$AA$330=1,"───","")</f>
        <v/>
      </c>
      <c r="I367" s="164" t="str">
        <f>IF('01_Stations'!$AA$331=1,"───","")</f>
        <v/>
      </c>
      <c r="J367" s="164" t="str">
        <f>IF('01_Stations'!$AA$332=1,"───","")</f>
        <v/>
      </c>
      <c r="K367" s="164" t="str">
        <f>IF('01_Stations'!$AA$333=1,"───","")</f>
        <v/>
      </c>
      <c r="L367" s="164" t="str">
        <f>IF('01_Stations'!$AA$334=1,"───","")</f>
        <v/>
      </c>
      <c r="M367" s="164" t="str">
        <f>IF('01_Stations'!$AA$335=1,"───","")</f>
        <v/>
      </c>
      <c r="N367" s="164" t="str">
        <f>IF('01_Stations'!$AA$336=1,"───","")</f>
        <v/>
      </c>
      <c r="O367" s="164" t="str">
        <f>IF('01_Stations'!$AA$337=1,"───","")</f>
        <v/>
      </c>
      <c r="P367" s="164" t="str">
        <f>IF('01_Stations'!$AA$338=1,"───","")</f>
        <v/>
      </c>
      <c r="Q367" s="164" t="str">
        <f>IF('01_Stations'!$AA$339=1,"───","")</f>
        <v/>
      </c>
      <c r="R367" s="164" t="str">
        <f>IF('01_Stations'!$AA$340=1,"───","")</f>
        <v/>
      </c>
      <c r="S367" s="164" t="str">
        <f>IF('01_Stations'!$AA$341=1,"───","")</f>
        <v/>
      </c>
      <c r="T367" s="164" t="str">
        <f>IF('01_Stations'!$AA$342=1,"───","")</f>
        <v/>
      </c>
      <c r="U367" s="164" t="str">
        <f>IF('01_Stations'!$AA$343=1,"───","")</f>
        <v/>
      </c>
      <c r="V367" s="164" t="str">
        <f>IF('01_Stations'!$AA$344=1,"───","")</f>
        <v/>
      </c>
      <c r="W367" s="164" t="str">
        <f>IF('01_Stations'!$AA$345=1,"───","")</f>
        <v/>
      </c>
      <c r="X367" s="164" t="str">
        <f>IF('01_Stations'!$AA$346=1,"───","")</f>
        <v/>
      </c>
      <c r="Y367" s="164" t="str">
        <f>IF('01_Stations'!$AA$347=1,"───","")</f>
        <v/>
      </c>
      <c r="Z367" s="164" t="str">
        <f>IF('01_Stations'!$AA$348=1,"───","")</f>
        <v/>
      </c>
      <c r="AA367" s="164" t="str">
        <f>IF('01_Stations'!$AA$349=1,"───","")</f>
        <v/>
      </c>
      <c r="AB367" s="164" t="str">
        <f>IF('01_Stations'!$AA$350=1,"───","")</f>
        <v/>
      </c>
      <c r="AC367" s="164" t="str">
        <f>IF('01_Stations'!$AA$351=1,"───","")</f>
        <v/>
      </c>
      <c r="AD367" s="164" t="str">
        <f>IF('01_Stations'!$AA$352=1,"───","")</f>
        <v/>
      </c>
      <c r="AE367" s="164" t="str">
        <f>IF('01_Stations'!$AA$353=1,"───","")</f>
        <v/>
      </c>
      <c r="AF367" s="164" t="str">
        <f>IF('01_Stations'!$AA$354=1,"───","")</f>
        <v/>
      </c>
      <c r="AG367" s="164" t="str">
        <f>IF('01_Stations'!$AA$355=1,"───","")</f>
        <v/>
      </c>
      <c r="AH367" s="164" t="str">
        <f>IF('01_Stations'!$AA$356=1,"───","")</f>
        <v/>
      </c>
      <c r="AI367" s="164" t="str">
        <f>IF('01_Stations'!$AA$357=1,"───","")</f>
        <v/>
      </c>
      <c r="AJ367" s="164" t="str">
        <f>IF('01_Stations'!$AA$358=1,"───","")</f>
        <v/>
      </c>
      <c r="AK367" s="164" t="str">
        <f>IF('01_Stations'!$AA$359=1,"───","")</f>
        <v/>
      </c>
      <c r="AL367" s="164" t="str">
        <f>IF('01_Stations'!$AA$360=1,"───","")</f>
        <v/>
      </c>
      <c r="AM367" s="164" t="str">
        <f>IF('01_Stations'!$AA$361=1,"───","")</f>
        <v/>
      </c>
      <c r="AN367" s="164" t="str">
        <f>IF('01_Stations'!$AA$362=1,"───","")</f>
        <v/>
      </c>
      <c r="AO367" s="164" t="str">
        <f>IF('01_Stations'!$AA$363=1,"───","")</f>
        <v/>
      </c>
      <c r="AP367" s="164" t="str">
        <f>IF('01_Stations'!$AA$364=1,"───","")</f>
        <v/>
      </c>
      <c r="AQ367" s="164" t="str">
        <f>IF('01_Stations'!$AA$365=1,"───","")</f>
        <v/>
      </c>
    </row>
    <row r="368" spans="1:43" ht="15" customHeight="1" x14ac:dyDescent="0.3">
      <c r="A368" s="236"/>
      <c r="B368" s="165" t="s">
        <v>200</v>
      </c>
      <c r="C368" s="166" t="s">
        <v>2219</v>
      </c>
      <c r="D368" s="164" t="str">
        <f>IF('01_Stations'!$AB$326=1,"───","")</f>
        <v/>
      </c>
      <c r="E368" s="164" t="str">
        <f>IF('01_Stations'!$AB$327=1,"───","")</f>
        <v/>
      </c>
      <c r="F368" s="164" t="str">
        <f>IF('01_Stations'!$AB$328=1,"───","")</f>
        <v/>
      </c>
      <c r="G368" s="164" t="str">
        <f>IF('01_Stations'!$AB$329=1,"───","")</f>
        <v/>
      </c>
      <c r="H368" s="164" t="str">
        <f>IF('01_Stations'!$AB$330=1,"───","")</f>
        <v/>
      </c>
      <c r="I368" s="164" t="str">
        <f>IF('01_Stations'!$AB$331=1,"───","")</f>
        <v/>
      </c>
      <c r="J368" s="164" t="str">
        <f>IF('01_Stations'!$AB$332=1,"───","")</f>
        <v/>
      </c>
      <c r="K368" s="164" t="str">
        <f>IF('01_Stations'!$AB$333=1,"───","")</f>
        <v/>
      </c>
      <c r="L368" s="164" t="str">
        <f>IF('01_Stations'!$AB$334=1,"───","")</f>
        <v/>
      </c>
      <c r="M368" s="164" t="str">
        <f>IF('01_Stations'!$AB$335=1,"───","")</f>
        <v/>
      </c>
      <c r="N368" s="164" t="str">
        <f>IF('01_Stations'!$AB$336=1,"───","")</f>
        <v/>
      </c>
      <c r="O368" s="164" t="str">
        <f>IF('01_Stations'!$AB$337=1,"───","")</f>
        <v/>
      </c>
      <c r="P368" s="164" t="str">
        <f>IF('01_Stations'!$AB$338=1,"───","")</f>
        <v/>
      </c>
      <c r="Q368" s="164" t="str">
        <f>IF('01_Stations'!$AB$339=1,"───","")</f>
        <v/>
      </c>
      <c r="R368" s="164" t="str">
        <f>IF('01_Stations'!$AB$340=1,"───","")</f>
        <v/>
      </c>
      <c r="S368" s="164" t="str">
        <f>IF('01_Stations'!$AB$341=1,"───","")</f>
        <v/>
      </c>
      <c r="T368" s="164" t="str">
        <f>IF('01_Stations'!$AB$342=1,"───","")</f>
        <v/>
      </c>
      <c r="U368" s="164" t="str">
        <f>IF('01_Stations'!$AB$343=1,"───","")</f>
        <v/>
      </c>
      <c r="V368" s="164" t="str">
        <f>IF('01_Stations'!$AB$344=1,"───","")</f>
        <v/>
      </c>
      <c r="W368" s="164" t="str">
        <f>IF('01_Stations'!$AB$345=1,"───","")</f>
        <v/>
      </c>
      <c r="X368" s="164" t="str">
        <f>IF('01_Stations'!$AB$346=1,"───","")</f>
        <v/>
      </c>
      <c r="Y368" s="164" t="str">
        <f>IF('01_Stations'!$AB$347=1,"───","")</f>
        <v/>
      </c>
      <c r="Z368" s="164" t="str">
        <f>IF('01_Stations'!$AB$348=1,"───","")</f>
        <v/>
      </c>
      <c r="AA368" s="164" t="str">
        <f>IF('01_Stations'!$AB$349=1,"───","")</f>
        <v/>
      </c>
      <c r="AB368" s="164" t="str">
        <f>IF('01_Stations'!$AB$350=1,"───","")</f>
        <v/>
      </c>
      <c r="AC368" s="164" t="str">
        <f>IF('01_Stations'!$AB$351=1,"───","")</f>
        <v/>
      </c>
      <c r="AD368" s="164" t="str">
        <f>IF('01_Stations'!$AB$352=1,"───","")</f>
        <v/>
      </c>
      <c r="AE368" s="164" t="str">
        <f>IF('01_Stations'!$AB$353=1,"───","")</f>
        <v/>
      </c>
      <c r="AF368" s="164" t="str">
        <f>IF('01_Stations'!$AB$354=1,"───","")</f>
        <v/>
      </c>
      <c r="AG368" s="164" t="str">
        <f>IF('01_Stations'!$AB$355=1,"───","")</f>
        <v/>
      </c>
      <c r="AH368" s="164" t="str">
        <f>IF('01_Stations'!$AB$356=1,"───","")</f>
        <v/>
      </c>
      <c r="AI368" s="164" t="str">
        <f>IF('01_Stations'!$AB$357=1,"───","")</f>
        <v/>
      </c>
      <c r="AJ368" s="164" t="str">
        <f>IF('01_Stations'!$AB$358=1,"───","")</f>
        <v/>
      </c>
      <c r="AK368" s="164" t="str">
        <f>IF('01_Stations'!$AB$359=1,"───","")</f>
        <v/>
      </c>
      <c r="AL368" s="164" t="str">
        <f>IF('01_Stations'!$AB$360=1,"───","")</f>
        <v/>
      </c>
      <c r="AM368" s="164" t="str">
        <f>IF('01_Stations'!$AB$361=1,"───","")</f>
        <v/>
      </c>
      <c r="AN368" s="164" t="str">
        <f>IF('01_Stations'!$AB$362=1,"───","")</f>
        <v/>
      </c>
      <c r="AO368" s="164" t="str">
        <f>IF('01_Stations'!$AB$363=1,"───","")</f>
        <v/>
      </c>
      <c r="AP368" s="164" t="str">
        <f>IF('01_Stations'!$AB$364=1,"───","")</f>
        <v/>
      </c>
      <c r="AQ368" s="164" t="str">
        <f>IF('01_Stations'!$AB$365=1,"───","")</f>
        <v/>
      </c>
    </row>
    <row r="369" spans="1:43" ht="15" customHeight="1" x14ac:dyDescent="0.3">
      <c r="A369" s="236"/>
      <c r="B369" s="165"/>
      <c r="C369" s="166" t="s">
        <v>2220</v>
      </c>
      <c r="D369" s="164" t="str">
        <f>IF(N('01_Stations'!$AC$326)&gt;0,'01_Stations'!$AC$326,"")</f>
        <v/>
      </c>
      <c r="E369" s="164" t="str">
        <f>IF(N('01_Stations'!$AC$327)&gt;0,'01_Stations'!$AC$327,"")</f>
        <v/>
      </c>
      <c r="F369" s="164" t="str">
        <f>IF(N('01_Stations'!$AC$328)&gt;0,'01_Stations'!$AC$328,"")</f>
        <v/>
      </c>
      <c r="G369" s="164" t="str">
        <f>IF(N('01_Stations'!$AC$329)&gt;0,'01_Stations'!$AC$329,"")</f>
        <v/>
      </c>
      <c r="H369" s="164" t="str">
        <f>IF(N('01_Stations'!$AC$330)&gt;0,'01_Stations'!$AC$330,"")</f>
        <v/>
      </c>
      <c r="I369" s="164" t="str">
        <f>IF(N('01_Stations'!$AC$331)&gt;0,'01_Stations'!$AC$331,"")</f>
        <v/>
      </c>
      <c r="J369" s="164" t="str">
        <f>IF(N('01_Stations'!$AC$332)&gt;0,'01_Stations'!$AC$332,"")</f>
        <v/>
      </c>
      <c r="K369" s="164" t="str">
        <f>IF(N('01_Stations'!$AC$333)&gt;0,'01_Stations'!$AC$333,"")</f>
        <v/>
      </c>
      <c r="L369" s="164" t="str">
        <f>IF(N('01_Stations'!$AC$334)&gt;0,'01_Stations'!$AC$334,"")</f>
        <v/>
      </c>
      <c r="M369" s="164" t="str">
        <f>IF(N('01_Stations'!$AC$335)&gt;0,'01_Stations'!$AC$335,"")</f>
        <v/>
      </c>
      <c r="N369" s="164" t="str">
        <f>IF(N('01_Stations'!$AC$336)&gt;0,'01_Stations'!$AC$336,"")</f>
        <v/>
      </c>
      <c r="O369" s="164" t="str">
        <f>IF(N('01_Stations'!$AC$337)&gt;0,'01_Stations'!$AC$337,"")</f>
        <v/>
      </c>
      <c r="P369" s="164" t="str">
        <f>IF(N('01_Stations'!$AC$338)&gt;0,'01_Stations'!$AC$338,"")</f>
        <v/>
      </c>
      <c r="Q369" s="164" t="str">
        <f>IF(N('01_Stations'!$AC$339)&gt;0,'01_Stations'!$AC$339,"")</f>
        <v/>
      </c>
      <c r="R369" s="164" t="str">
        <f>IF(N('01_Stations'!$AC$340)&gt;0,'01_Stations'!$AC$340,"")</f>
        <v/>
      </c>
      <c r="S369" s="164" t="str">
        <f>IF(N('01_Stations'!$AC$341)&gt;0,'01_Stations'!$AC$341,"")</f>
        <v/>
      </c>
      <c r="T369" s="164" t="str">
        <f>IF(N('01_Stations'!$AC$342)&gt;0,'01_Stations'!$AC$342,"")</f>
        <v/>
      </c>
      <c r="U369" s="164" t="str">
        <f>IF(N('01_Stations'!$AC$343)&gt;0,'01_Stations'!$AC$343,"")</f>
        <v/>
      </c>
      <c r="V369" s="164" t="str">
        <f>IF(N('01_Stations'!$AC$344)&gt;0,'01_Stations'!$AC$344,"")</f>
        <v/>
      </c>
      <c r="W369" s="164" t="str">
        <f>IF(N('01_Stations'!$AC$345)&gt;0,'01_Stations'!$AC$345,"")</f>
        <v/>
      </c>
      <c r="X369" s="164" t="str">
        <f>IF(N('01_Stations'!$AC$346)&gt;0,'01_Stations'!$AC$346,"")</f>
        <v/>
      </c>
      <c r="Y369" s="164" t="str">
        <f>IF(N('01_Stations'!$AC$347)&gt;0,'01_Stations'!$AC$347,"")</f>
        <v/>
      </c>
      <c r="Z369" s="164" t="str">
        <f>IF(N('01_Stations'!$AC$348)&gt;0,'01_Stations'!$AC$348,"")</f>
        <v/>
      </c>
      <c r="AA369" s="164" t="str">
        <f>IF(N('01_Stations'!$AC$349)&gt;0,'01_Stations'!$AC$349,"")</f>
        <v/>
      </c>
      <c r="AB369" s="164" t="str">
        <f>IF(N('01_Stations'!$AC$350)&gt;0,'01_Stations'!$AC$350,"")</f>
        <v/>
      </c>
      <c r="AC369" s="164" t="str">
        <f>IF(N('01_Stations'!$AC$351)&gt;0,'01_Stations'!$AC$351,"")</f>
        <v/>
      </c>
      <c r="AD369" s="164" t="str">
        <f>IF(N('01_Stations'!$AC$352)&gt;0,'01_Stations'!$AC$352,"")</f>
        <v/>
      </c>
      <c r="AE369" s="164" t="str">
        <f>IF(N('01_Stations'!$AC$353)&gt;0,'01_Stations'!$AC$353,"")</f>
        <v/>
      </c>
      <c r="AF369" s="164" t="str">
        <f>IF(N('01_Stations'!$AC$354)&gt;0,'01_Stations'!$AC$354,"")</f>
        <v/>
      </c>
      <c r="AG369" s="164" t="str">
        <f>IF(N('01_Stations'!$AC$355)&gt;0,'01_Stations'!$AC$355,"")</f>
        <v/>
      </c>
      <c r="AH369" s="164" t="str">
        <f>IF(N('01_Stations'!$AC$356)&gt;0,'01_Stations'!$AC$356,"")</f>
        <v/>
      </c>
      <c r="AI369" s="164" t="str">
        <f>IF(N('01_Stations'!$AC$357)&gt;0,'01_Stations'!$AC$357,"")</f>
        <v/>
      </c>
      <c r="AJ369" s="164" t="str">
        <f>IF(N('01_Stations'!$AC$358)&gt;0,'01_Stations'!$AC$358,"")</f>
        <v/>
      </c>
      <c r="AK369" s="164" t="str">
        <f>IF(N('01_Stations'!$AC$359)&gt;0,'01_Stations'!$AC$359,"")</f>
        <v/>
      </c>
      <c r="AL369" s="164" t="str">
        <f>IF(N('01_Stations'!$AC$360)&gt;0,'01_Stations'!$AC$360,"")</f>
        <v/>
      </c>
      <c r="AM369" s="164" t="str">
        <f>IF(N('01_Stations'!$AC$361)&gt;0,'01_Stations'!$AC$361,"")</f>
        <v/>
      </c>
      <c r="AN369" s="164" t="str">
        <f>IF(N('01_Stations'!$AC$362)&gt;0,'01_Stations'!$AC$362,"")</f>
        <v/>
      </c>
      <c r="AO369" s="164" t="str">
        <f>IF(N('01_Stations'!$AC$363)&gt;0,'01_Stations'!$AC$363,"")</f>
        <v/>
      </c>
      <c r="AP369" s="164" t="str">
        <f>IF(N('01_Stations'!$AC$364)&gt;0,'01_Stations'!$AC$364,"")</f>
        <v/>
      </c>
      <c r="AQ369" s="164" t="str">
        <f>IF(N('01_Stations'!$AC$365)&gt;0,'01_Stations'!$AC$365,"")</f>
        <v/>
      </c>
    </row>
    <row r="370" spans="1:43" ht="15" customHeight="1" x14ac:dyDescent="0.3">
      <c r="A370" s="236"/>
      <c r="B370" s="165" t="s">
        <v>2221</v>
      </c>
      <c r="C370" s="166" t="s">
        <v>1622</v>
      </c>
      <c r="D370" s="164" t="str">
        <f>IF(N('01_Stations'!$AD$326)&gt;0,'01_Stations'!$AD$326,"")</f>
        <v/>
      </c>
      <c r="E370" s="164" t="str">
        <f>IF(N('01_Stations'!$AD$327)&gt;0,'01_Stations'!$AD$327,"")</f>
        <v/>
      </c>
      <c r="F370" s="164" t="str">
        <f>IF(N('01_Stations'!$AD$328)&gt;0,'01_Stations'!$AD$328,"")</f>
        <v/>
      </c>
      <c r="G370" s="164" t="str">
        <f>IF(N('01_Stations'!$AD$329)&gt;0,'01_Stations'!$AD$329,"")</f>
        <v/>
      </c>
      <c r="H370" s="164" t="str">
        <f>IF(N('01_Stations'!$AD$330)&gt;0,'01_Stations'!$AD$330,"")</f>
        <v/>
      </c>
      <c r="I370" s="164" t="str">
        <f>IF(N('01_Stations'!$AD$331)&gt;0,'01_Stations'!$AD$331,"")</f>
        <v/>
      </c>
      <c r="J370" s="164" t="str">
        <f>IF(N('01_Stations'!$AD$332)&gt;0,'01_Stations'!$AD$332,"")</f>
        <v/>
      </c>
      <c r="K370" s="164" t="str">
        <f>IF(N('01_Stations'!$AD$333)&gt;0,'01_Stations'!$AD$333,"")</f>
        <v/>
      </c>
      <c r="L370" s="164" t="str">
        <f>IF(N('01_Stations'!$AD$334)&gt;0,'01_Stations'!$AD$334,"")</f>
        <v/>
      </c>
      <c r="M370" s="164" t="str">
        <f>IF(N('01_Stations'!$AD$335)&gt;0,'01_Stations'!$AD$335,"")</f>
        <v/>
      </c>
      <c r="N370" s="164" t="str">
        <f>IF(N('01_Stations'!$AD$336)&gt;0,'01_Stations'!$AD$336,"")</f>
        <v/>
      </c>
      <c r="O370" s="164" t="str">
        <f>IF(N('01_Stations'!$AD$337)&gt;0,'01_Stations'!$AD$337,"")</f>
        <v/>
      </c>
      <c r="P370" s="164" t="str">
        <f>IF(N('01_Stations'!$AD$338)&gt;0,'01_Stations'!$AD$338,"")</f>
        <v/>
      </c>
      <c r="Q370" s="164" t="str">
        <f>IF(N('01_Stations'!$AD$339)&gt;0,'01_Stations'!$AD$339,"")</f>
        <v/>
      </c>
      <c r="R370" s="164" t="str">
        <f>IF(N('01_Stations'!$AD$340)&gt;0,'01_Stations'!$AD$340,"")</f>
        <v/>
      </c>
      <c r="S370" s="164" t="str">
        <f>IF(N('01_Stations'!$AD$341)&gt;0,'01_Stations'!$AD$341,"")</f>
        <v/>
      </c>
      <c r="T370" s="164" t="str">
        <f>IF(N('01_Stations'!$AD$342)&gt;0,'01_Stations'!$AD$342,"")</f>
        <v/>
      </c>
      <c r="U370" s="164" t="str">
        <f>IF(N('01_Stations'!$AD$343)&gt;0,'01_Stations'!$AD$343,"")</f>
        <v/>
      </c>
      <c r="V370" s="164" t="str">
        <f>IF(N('01_Stations'!$AD$344)&gt;0,'01_Stations'!$AD$344,"")</f>
        <v/>
      </c>
      <c r="W370" s="164" t="str">
        <f>IF(N('01_Stations'!$AD$345)&gt;0,'01_Stations'!$AD$345,"")</f>
        <v/>
      </c>
      <c r="X370" s="164" t="str">
        <f>IF(N('01_Stations'!$AD$346)&gt;0,'01_Stations'!$AD$346,"")</f>
        <v/>
      </c>
      <c r="Y370" s="164" t="str">
        <f>IF(N('01_Stations'!$AD$347)&gt;0,'01_Stations'!$AD$347,"")</f>
        <v/>
      </c>
      <c r="Z370" s="164" t="str">
        <f>IF(N('01_Stations'!$AD$348)&gt;0,'01_Stations'!$AD$348,"")</f>
        <v/>
      </c>
      <c r="AA370" s="164" t="str">
        <f>IF(N('01_Stations'!$AD$349)&gt;0,'01_Stations'!$AD$349,"")</f>
        <v/>
      </c>
      <c r="AB370" s="164" t="str">
        <f>IF(N('01_Stations'!$AD$350)&gt;0,'01_Stations'!$AD$350,"")</f>
        <v/>
      </c>
      <c r="AC370" s="164" t="str">
        <f>IF(N('01_Stations'!$AD$351)&gt;0,'01_Stations'!$AD$351,"")</f>
        <v/>
      </c>
      <c r="AD370" s="164" t="str">
        <f>IF(N('01_Stations'!$AD$352)&gt;0,'01_Stations'!$AD$352,"")</f>
        <v/>
      </c>
      <c r="AE370" s="164" t="str">
        <f>IF(N('01_Stations'!$AD$353)&gt;0,'01_Stations'!$AD$353,"")</f>
        <v/>
      </c>
      <c r="AF370" s="164" t="str">
        <f>IF(N('01_Stations'!$AD$354)&gt;0,'01_Stations'!$AD$354,"")</f>
        <v/>
      </c>
      <c r="AG370" s="164" t="str">
        <f>IF(N('01_Stations'!$AD$355)&gt;0,'01_Stations'!$AD$355,"")</f>
        <v/>
      </c>
      <c r="AH370" s="164" t="str">
        <f>IF(N('01_Stations'!$AD$356)&gt;0,'01_Stations'!$AD$356,"")</f>
        <v/>
      </c>
      <c r="AI370" s="164" t="str">
        <f>IF(N('01_Stations'!$AD$357)&gt;0,'01_Stations'!$AD$357,"")</f>
        <v/>
      </c>
      <c r="AJ370" s="164" t="str">
        <f>IF(N('01_Stations'!$AD$358)&gt;0,'01_Stations'!$AD$358,"")</f>
        <v/>
      </c>
      <c r="AK370" s="164" t="str">
        <f>IF(N('01_Stations'!$AD$359)&gt;0,'01_Stations'!$AD$359,"")</f>
        <v/>
      </c>
      <c r="AL370" s="164" t="str">
        <f>IF(N('01_Stations'!$AD$360)&gt;0,'01_Stations'!$AD$360,"")</f>
        <v/>
      </c>
      <c r="AM370" s="164" t="str">
        <f>IF(N('01_Stations'!$AD$361)&gt;0,'01_Stations'!$AD$361,"")</f>
        <v/>
      </c>
      <c r="AN370" s="164" t="str">
        <f>IF(N('01_Stations'!$AD$362)&gt;0,'01_Stations'!$AD$362,"")</f>
        <v/>
      </c>
      <c r="AO370" s="164" t="str">
        <f>IF(N('01_Stations'!$AD$363)&gt;0,'01_Stations'!$AD$363,"")</f>
        <v/>
      </c>
      <c r="AP370" s="164" t="str">
        <f>IF(N('01_Stations'!$AD$364)&gt;0,'01_Stations'!$AD$364,"")</f>
        <v/>
      </c>
      <c r="AQ370" s="164" t="str">
        <f>IF(N('01_Stations'!$AD$365)&gt;0,'01_Stations'!$AD$365,"")</f>
        <v/>
      </c>
    </row>
    <row r="371" spans="1:43" ht="15" customHeight="1" x14ac:dyDescent="0.3">
      <c r="A371" s="236"/>
      <c r="B371" s="165"/>
      <c r="C371" s="166" t="s">
        <v>2212</v>
      </c>
      <c r="D371" s="164" t="str">
        <f>IF(N('01_Stations'!$AE$326)&gt;0,'01_Stations'!$AE$326,"")</f>
        <v/>
      </c>
      <c r="E371" s="164" t="str">
        <f>IF(N('01_Stations'!$AE$327)&gt;0,'01_Stations'!$AE$327,"")</f>
        <v/>
      </c>
      <c r="F371" s="164" t="str">
        <f>IF(N('01_Stations'!$AE$328)&gt;0,'01_Stations'!$AE$328,"")</f>
        <v/>
      </c>
      <c r="G371" s="164" t="str">
        <f>IF(N('01_Stations'!$AE$329)&gt;0,'01_Stations'!$AE$329,"")</f>
        <v/>
      </c>
      <c r="H371" s="164" t="str">
        <f>IF(N('01_Stations'!$AE$330)&gt;0,'01_Stations'!$AE$330,"")</f>
        <v/>
      </c>
      <c r="I371" s="164" t="str">
        <f>IF(N('01_Stations'!$AE$331)&gt;0,'01_Stations'!$AE$331,"")</f>
        <v/>
      </c>
      <c r="J371" s="164" t="str">
        <f>IF(N('01_Stations'!$AE$332)&gt;0,'01_Stations'!$AE$332,"")</f>
        <v/>
      </c>
      <c r="K371" s="164" t="str">
        <f>IF(N('01_Stations'!$AE$333)&gt;0,'01_Stations'!$AE$333,"")</f>
        <v/>
      </c>
      <c r="L371" s="164" t="str">
        <f>IF(N('01_Stations'!$AE$334)&gt;0,'01_Stations'!$AE$334,"")</f>
        <v/>
      </c>
      <c r="M371" s="164" t="str">
        <f>IF(N('01_Stations'!$AE$335)&gt;0,'01_Stations'!$AE$335,"")</f>
        <v/>
      </c>
      <c r="N371" s="164" t="str">
        <f>IF(N('01_Stations'!$AE$336)&gt;0,'01_Stations'!$AE$336,"")</f>
        <v/>
      </c>
      <c r="O371" s="164" t="str">
        <f>IF(N('01_Stations'!$AE$337)&gt;0,'01_Stations'!$AE$337,"")</f>
        <v/>
      </c>
      <c r="P371" s="164" t="str">
        <f>IF(N('01_Stations'!$AE$338)&gt;0,'01_Stations'!$AE$338,"")</f>
        <v/>
      </c>
      <c r="Q371" s="164" t="str">
        <f>IF(N('01_Stations'!$AE$339)&gt;0,'01_Stations'!$AE$339,"")</f>
        <v/>
      </c>
      <c r="R371" s="164" t="str">
        <f>IF(N('01_Stations'!$AE$340)&gt;0,'01_Stations'!$AE$340,"")</f>
        <v/>
      </c>
      <c r="S371" s="164" t="str">
        <f>IF(N('01_Stations'!$AE$341)&gt;0,'01_Stations'!$AE$341,"")</f>
        <v/>
      </c>
      <c r="T371" s="164" t="str">
        <f>IF(N('01_Stations'!$AE$342)&gt;0,'01_Stations'!$AE$342,"")</f>
        <v/>
      </c>
      <c r="U371" s="164" t="str">
        <f>IF(N('01_Stations'!$AE$343)&gt;0,'01_Stations'!$AE$343,"")</f>
        <v/>
      </c>
      <c r="V371" s="164" t="str">
        <f>IF(N('01_Stations'!$AE$344)&gt;0,'01_Stations'!$AE$344,"")</f>
        <v/>
      </c>
      <c r="W371" s="164" t="str">
        <f>IF(N('01_Stations'!$AE$345)&gt;0,'01_Stations'!$AE$345,"")</f>
        <v/>
      </c>
      <c r="X371" s="164" t="str">
        <f>IF(N('01_Stations'!$AE$346)&gt;0,'01_Stations'!$AE$346,"")</f>
        <v/>
      </c>
      <c r="Y371" s="164" t="str">
        <f>IF(N('01_Stations'!$AE$347)&gt;0,'01_Stations'!$AE$347,"")</f>
        <v/>
      </c>
      <c r="Z371" s="164" t="str">
        <f>IF(N('01_Stations'!$AE$348)&gt;0,'01_Stations'!$AE$348,"")</f>
        <v/>
      </c>
      <c r="AA371" s="164" t="str">
        <f>IF(N('01_Stations'!$AE$349)&gt;0,'01_Stations'!$AE$349,"")</f>
        <v/>
      </c>
      <c r="AB371" s="164" t="str">
        <f>IF(N('01_Stations'!$AE$350)&gt;0,'01_Stations'!$AE$350,"")</f>
        <v/>
      </c>
      <c r="AC371" s="164" t="str">
        <f>IF(N('01_Stations'!$AE$351)&gt;0,'01_Stations'!$AE$351,"")</f>
        <v/>
      </c>
      <c r="AD371" s="164" t="str">
        <f>IF(N('01_Stations'!$AE$352)&gt;0,'01_Stations'!$AE$352,"")</f>
        <v/>
      </c>
      <c r="AE371" s="164" t="str">
        <f>IF(N('01_Stations'!$AE$353)&gt;0,'01_Stations'!$AE$353,"")</f>
        <v/>
      </c>
      <c r="AF371" s="164" t="str">
        <f>IF(N('01_Stations'!$AE$354)&gt;0,'01_Stations'!$AE$354,"")</f>
        <v/>
      </c>
      <c r="AG371" s="164" t="str">
        <f>IF(N('01_Stations'!$AE$355)&gt;0,'01_Stations'!$AE$355,"")</f>
        <v/>
      </c>
      <c r="AH371" s="164" t="str">
        <f>IF(N('01_Stations'!$AE$356)&gt;0,'01_Stations'!$AE$356,"")</f>
        <v/>
      </c>
      <c r="AI371" s="164" t="str">
        <f>IF(N('01_Stations'!$AE$357)&gt;0,'01_Stations'!$AE$357,"")</f>
        <v/>
      </c>
      <c r="AJ371" s="164" t="str">
        <f>IF(N('01_Stations'!$AE$358)&gt;0,'01_Stations'!$AE$358,"")</f>
        <v/>
      </c>
      <c r="AK371" s="164" t="str">
        <f>IF(N('01_Stations'!$AE$359)&gt;0,'01_Stations'!$AE$359,"")</f>
        <v/>
      </c>
      <c r="AL371" s="164" t="str">
        <f>IF(N('01_Stations'!$AE$360)&gt;0,'01_Stations'!$AE$360,"")</f>
        <v/>
      </c>
      <c r="AM371" s="164" t="str">
        <f>IF(N('01_Stations'!$AE$361)&gt;0,'01_Stations'!$AE$361,"")</f>
        <v/>
      </c>
      <c r="AN371" s="164" t="str">
        <f>IF(N('01_Stations'!$AE$362)&gt;0,'01_Stations'!$AE$362,"")</f>
        <v/>
      </c>
      <c r="AO371" s="164" t="str">
        <f>IF(N('01_Stations'!$AE$363)&gt;0,'01_Stations'!$AE$363,"")</f>
        <v/>
      </c>
      <c r="AP371" s="164" t="str">
        <f>IF(N('01_Stations'!$AE$364)&gt;0,'01_Stations'!$AE$364,"")</f>
        <v/>
      </c>
      <c r="AQ371" s="164" t="str">
        <f>IF(N('01_Stations'!$AE$365)&gt;0,'01_Stations'!$AE$365,"")</f>
        <v/>
      </c>
    </row>
    <row r="372" spans="1:43" ht="15" customHeight="1" x14ac:dyDescent="0.3">
      <c r="A372" s="236"/>
      <c r="B372" s="165" t="s">
        <v>1942</v>
      </c>
      <c r="C372" s="166" t="s">
        <v>1622</v>
      </c>
      <c r="D372" s="164" t="str">
        <f>IF('01_Stations'!$AF$326=1,"───","")</f>
        <v/>
      </c>
      <c r="E372" s="164" t="str">
        <f>IF('01_Stations'!$AF$327=1,"───","")</f>
        <v/>
      </c>
      <c r="F372" s="164" t="str">
        <f>IF('01_Stations'!$AF$328=1,"───","")</f>
        <v/>
      </c>
      <c r="G372" s="164" t="str">
        <f>IF('01_Stations'!$AF$329=1,"───","")</f>
        <v/>
      </c>
      <c r="H372" s="164" t="str">
        <f>IF('01_Stations'!$AF$330=1,"───","")</f>
        <v/>
      </c>
      <c r="I372" s="164" t="str">
        <f>IF('01_Stations'!$AF$331=1,"───","")</f>
        <v/>
      </c>
      <c r="J372" s="164" t="str">
        <f>IF('01_Stations'!$AF$332=1,"───","")</f>
        <v/>
      </c>
      <c r="K372" s="164" t="str">
        <f>IF('01_Stations'!$AF$333=1,"───","")</f>
        <v/>
      </c>
      <c r="L372" s="164" t="str">
        <f>IF('01_Stations'!$AF$334=1,"───","")</f>
        <v/>
      </c>
      <c r="M372" s="164" t="str">
        <f>IF('01_Stations'!$AF$335=1,"───","")</f>
        <v/>
      </c>
      <c r="N372" s="164" t="str">
        <f>IF('01_Stations'!$AF$336=1,"───","")</f>
        <v/>
      </c>
      <c r="O372" s="164" t="str">
        <f>IF('01_Stations'!$AF$337=1,"───","")</f>
        <v/>
      </c>
      <c r="P372" s="164" t="str">
        <f>IF('01_Stations'!$AF$338=1,"───","")</f>
        <v/>
      </c>
      <c r="Q372" s="164" t="str">
        <f>IF('01_Stations'!$AF$339=1,"───","")</f>
        <v/>
      </c>
      <c r="R372" s="164" t="str">
        <f>IF('01_Stations'!$AF$340=1,"───","")</f>
        <v/>
      </c>
      <c r="S372" s="164" t="str">
        <f>IF('01_Stations'!$AF$341=1,"───","")</f>
        <v/>
      </c>
      <c r="T372" s="164" t="str">
        <f>IF('01_Stations'!$AF$342=1,"───","")</f>
        <v/>
      </c>
      <c r="U372" s="164" t="str">
        <f>IF('01_Stations'!$AF$343=1,"───","")</f>
        <v/>
      </c>
      <c r="V372" s="164" t="str">
        <f>IF('01_Stations'!$AF$344=1,"───","")</f>
        <v/>
      </c>
      <c r="W372" s="164" t="str">
        <f>IF('01_Stations'!$AF$345=1,"───","")</f>
        <v/>
      </c>
      <c r="X372" s="164" t="str">
        <f>IF('01_Stations'!$AF$346=1,"───","")</f>
        <v/>
      </c>
      <c r="Y372" s="164" t="str">
        <f>IF('01_Stations'!$AF$347=1,"───","")</f>
        <v/>
      </c>
      <c r="Z372" s="164" t="str">
        <f>IF('01_Stations'!$AF$348=1,"───","")</f>
        <v/>
      </c>
      <c r="AA372" s="164" t="str">
        <f>IF('01_Stations'!$AF$349=1,"───","")</f>
        <v/>
      </c>
      <c r="AB372" s="164" t="str">
        <f>IF('01_Stations'!$AF$350=1,"───","")</f>
        <v/>
      </c>
      <c r="AC372" s="164" t="str">
        <f>IF('01_Stations'!$AF$351=1,"───","")</f>
        <v/>
      </c>
      <c r="AD372" s="164" t="str">
        <f>IF('01_Stations'!$AF$352=1,"───","")</f>
        <v/>
      </c>
      <c r="AE372" s="164" t="str">
        <f>IF('01_Stations'!$AF$353=1,"───","")</f>
        <v/>
      </c>
      <c r="AF372" s="164" t="str">
        <f>IF('01_Stations'!$AF$354=1,"───","")</f>
        <v/>
      </c>
      <c r="AG372" s="164" t="str">
        <f>IF('01_Stations'!$AF$355=1,"───","")</f>
        <v/>
      </c>
      <c r="AH372" s="164" t="str">
        <f>IF('01_Stations'!$AF$356=1,"───","")</f>
        <v/>
      </c>
      <c r="AI372" s="164" t="str">
        <f>IF('01_Stations'!$AF$357=1,"───","")</f>
        <v/>
      </c>
      <c r="AJ372" s="164" t="str">
        <f>IF('01_Stations'!$AF$358=1,"───","")</f>
        <v/>
      </c>
      <c r="AK372" s="164" t="str">
        <f>IF('01_Stations'!$AF$359=1,"───","")</f>
        <v/>
      </c>
      <c r="AL372" s="164" t="str">
        <f>IF('01_Stations'!$AF$360=1,"───","")</f>
        <v/>
      </c>
      <c r="AM372" s="164" t="str">
        <f>IF('01_Stations'!$AF$361=1,"───","")</f>
        <v/>
      </c>
      <c r="AN372" s="164" t="str">
        <f>IF('01_Stations'!$AF$362=1,"───","")</f>
        <v/>
      </c>
      <c r="AO372" s="164" t="str">
        <f>IF('01_Stations'!$AF$363=1,"───","")</f>
        <v/>
      </c>
      <c r="AP372" s="164" t="str">
        <f>IF('01_Stations'!$AF$364=1,"───","")</f>
        <v/>
      </c>
      <c r="AQ372" s="164" t="str">
        <f>IF('01_Stations'!$AF$365=1,"───","")</f>
        <v/>
      </c>
    </row>
    <row r="373" spans="1:43" ht="15" customHeight="1" x14ac:dyDescent="0.3">
      <c r="A373" s="237"/>
      <c r="B373" s="165"/>
      <c r="C373" s="166" t="s">
        <v>2212</v>
      </c>
      <c r="D373" s="164" t="str">
        <f>IF('01_Stations'!$AG$326=1,"───","")</f>
        <v/>
      </c>
      <c r="E373" s="164" t="str">
        <f>IF('01_Stations'!$AG$327=1,"───","")</f>
        <v/>
      </c>
      <c r="F373" s="164" t="str">
        <f>IF('01_Stations'!$AG$328=1,"───","")</f>
        <v/>
      </c>
      <c r="G373" s="164" t="str">
        <f>IF('01_Stations'!$AG$329=1,"───","")</f>
        <v/>
      </c>
      <c r="H373" s="164" t="str">
        <f>IF('01_Stations'!$AG$330=1,"───","")</f>
        <v/>
      </c>
      <c r="I373" s="164" t="str">
        <f>IF('01_Stations'!$AG$331=1,"───","")</f>
        <v/>
      </c>
      <c r="J373" s="164" t="str">
        <f>IF('01_Stations'!$AG$332=1,"───","")</f>
        <v/>
      </c>
      <c r="K373" s="164" t="str">
        <f>IF('01_Stations'!$AG$333=1,"───","")</f>
        <v/>
      </c>
      <c r="L373" s="164" t="str">
        <f>IF('01_Stations'!$AG$334=1,"───","")</f>
        <v/>
      </c>
      <c r="M373" s="164" t="str">
        <f>IF('01_Stations'!$AG$335=1,"───","")</f>
        <v/>
      </c>
      <c r="N373" s="164" t="str">
        <f>IF('01_Stations'!$AG$336=1,"───","")</f>
        <v/>
      </c>
      <c r="O373" s="164" t="str">
        <f>IF('01_Stations'!$AG$337=1,"───","")</f>
        <v/>
      </c>
      <c r="P373" s="164" t="str">
        <f>IF('01_Stations'!$AG$338=1,"───","")</f>
        <v/>
      </c>
      <c r="Q373" s="164" t="str">
        <f>IF('01_Stations'!$AG$339=1,"───","")</f>
        <v/>
      </c>
      <c r="R373" s="164" t="str">
        <f>IF('01_Stations'!$AG$340=1,"───","")</f>
        <v/>
      </c>
      <c r="S373" s="164" t="str">
        <f>IF('01_Stations'!$AG$341=1,"───","")</f>
        <v/>
      </c>
      <c r="T373" s="164" t="str">
        <f>IF('01_Stations'!$AG$342=1,"───","")</f>
        <v/>
      </c>
      <c r="U373" s="164" t="str">
        <f>IF('01_Stations'!$AG$343=1,"───","")</f>
        <v/>
      </c>
      <c r="V373" s="164" t="str">
        <f>IF('01_Stations'!$AG$344=1,"───","")</f>
        <v/>
      </c>
      <c r="W373" s="164" t="str">
        <f>IF('01_Stations'!$AG$345=1,"───","")</f>
        <v/>
      </c>
      <c r="X373" s="164" t="str">
        <f>IF('01_Stations'!$AG$346=1,"───","")</f>
        <v/>
      </c>
      <c r="Y373" s="164" t="str">
        <f>IF('01_Stations'!$AG$347=1,"───","")</f>
        <v/>
      </c>
      <c r="Z373" s="164" t="str">
        <f>IF('01_Stations'!$AG$348=1,"───","")</f>
        <v/>
      </c>
      <c r="AA373" s="164" t="str">
        <f>IF('01_Stations'!$AG$349=1,"───","")</f>
        <v/>
      </c>
      <c r="AB373" s="164" t="str">
        <f>IF('01_Stations'!$AG$350=1,"───","")</f>
        <v/>
      </c>
      <c r="AC373" s="164" t="str">
        <f>IF('01_Stations'!$AG$351=1,"───","")</f>
        <v/>
      </c>
      <c r="AD373" s="164" t="str">
        <f>IF('01_Stations'!$AG$352=1,"───","")</f>
        <v/>
      </c>
      <c r="AE373" s="164" t="str">
        <f>IF('01_Stations'!$AG$353=1,"───","")</f>
        <v/>
      </c>
      <c r="AF373" s="164" t="str">
        <f>IF('01_Stations'!$AG$354=1,"───","")</f>
        <v/>
      </c>
      <c r="AG373" s="164" t="str">
        <f>IF('01_Stations'!$AG$355=1,"───","")</f>
        <v/>
      </c>
      <c r="AH373" s="164" t="str">
        <f>IF('01_Stations'!$AG$356=1,"───","")</f>
        <v/>
      </c>
      <c r="AI373" s="164" t="str">
        <f>IF('01_Stations'!$AG$357=1,"───","")</f>
        <v/>
      </c>
      <c r="AJ373" s="164" t="str">
        <f>IF('01_Stations'!$AG$358=1,"───","")</f>
        <v/>
      </c>
      <c r="AK373" s="164" t="str">
        <f>IF('01_Stations'!$AG$359=1,"───","")</f>
        <v/>
      </c>
      <c r="AL373" s="164" t="str">
        <f>IF('01_Stations'!$AG$360=1,"───","")</f>
        <v/>
      </c>
      <c r="AM373" s="164" t="str">
        <f>IF('01_Stations'!$AG$361=1,"───","")</f>
        <v/>
      </c>
      <c r="AN373" s="164" t="str">
        <f>IF('01_Stations'!$AG$362=1,"───","")</f>
        <v/>
      </c>
      <c r="AO373" s="164" t="str">
        <f>IF('01_Stations'!$AG$363=1,"───","")</f>
        <v/>
      </c>
      <c r="AP373" s="164" t="str">
        <f>IF('01_Stations'!$AG$364=1,"───","")</f>
        <v/>
      </c>
      <c r="AQ373" s="164" t="str">
        <f>IF('01_Stations'!$AG$365=1,"───","")</f>
        <v/>
      </c>
    </row>
    <row r="374" spans="1:43" ht="15" customHeight="1" x14ac:dyDescent="0.3">
      <c r="A374" s="238" t="s">
        <v>2222</v>
      </c>
      <c r="B374" s="165" t="s">
        <v>291</v>
      </c>
      <c r="C374" s="166"/>
      <c r="D374" s="164" t="str">
        <f>IF('01_Stations'!$AH$326=1,"───","")</f>
        <v/>
      </c>
      <c r="E374" s="164" t="str">
        <f>IF('01_Stations'!$AH$327=1,"───","")</f>
        <v/>
      </c>
      <c r="F374" s="164" t="str">
        <f>IF('01_Stations'!$AH$328=1,"───","")</f>
        <v/>
      </c>
      <c r="G374" s="164" t="str">
        <f>IF('01_Stations'!$AH$329=1,"───","")</f>
        <v/>
      </c>
      <c r="H374" s="164" t="str">
        <f>IF('01_Stations'!$AH$330=1,"───","")</f>
        <v/>
      </c>
      <c r="I374" s="164" t="str">
        <f>IF('01_Stations'!$AH$331=1,"───","")</f>
        <v/>
      </c>
      <c r="J374" s="164" t="str">
        <f>IF('01_Stations'!$AH$332=1,"───","")</f>
        <v/>
      </c>
      <c r="K374" s="164" t="str">
        <f>IF('01_Stations'!$AH$333=1,"───","")</f>
        <v/>
      </c>
      <c r="L374" s="164" t="str">
        <f>IF('01_Stations'!$AH$334=1,"───","")</f>
        <v/>
      </c>
      <c r="M374" s="164" t="str">
        <f>IF('01_Stations'!$AH$335=1,"───","")</f>
        <v/>
      </c>
      <c r="N374" s="164" t="str">
        <f>IF('01_Stations'!$AH$336=1,"───","")</f>
        <v/>
      </c>
      <c r="O374" s="164" t="str">
        <f>IF('01_Stations'!$AH$337=1,"───","")</f>
        <v/>
      </c>
      <c r="P374" s="164" t="str">
        <f>IF('01_Stations'!$AH$338=1,"───","")</f>
        <v/>
      </c>
      <c r="Q374" s="164" t="str">
        <f>IF('01_Stations'!$AH$339=1,"───","")</f>
        <v/>
      </c>
      <c r="R374" s="164" t="str">
        <f>IF('01_Stations'!$AH$340=1,"───","")</f>
        <v/>
      </c>
      <c r="S374" s="164" t="str">
        <f>IF('01_Stations'!$AH$341=1,"───","")</f>
        <v/>
      </c>
      <c r="T374" s="164" t="str">
        <f>IF('01_Stations'!$AH$342=1,"───","")</f>
        <v/>
      </c>
      <c r="U374" s="164" t="str">
        <f>IF('01_Stations'!$AH$343=1,"───","")</f>
        <v/>
      </c>
      <c r="V374" s="164" t="str">
        <f>IF('01_Stations'!$AH$344=1,"───","")</f>
        <v/>
      </c>
      <c r="W374" s="164" t="str">
        <f>IF('01_Stations'!$AH$345=1,"───","")</f>
        <v/>
      </c>
      <c r="X374" s="164" t="str">
        <f>IF('01_Stations'!$AH$346=1,"───","")</f>
        <v/>
      </c>
      <c r="Y374" s="164" t="str">
        <f>IF('01_Stations'!$AH$347=1,"───","")</f>
        <v/>
      </c>
      <c r="Z374" s="164" t="str">
        <f>IF('01_Stations'!$AH$348=1,"───","")</f>
        <v/>
      </c>
      <c r="AA374" s="164" t="str">
        <f>IF('01_Stations'!$AH$349=1,"───","")</f>
        <v/>
      </c>
      <c r="AB374" s="164" t="str">
        <f>IF('01_Stations'!$AH$350=1,"───","")</f>
        <v/>
      </c>
      <c r="AC374" s="164" t="str">
        <f>IF('01_Stations'!$AH$351=1,"───","")</f>
        <v/>
      </c>
      <c r="AD374" s="164" t="str">
        <f>IF('01_Stations'!$AH$352=1,"───","")</f>
        <v/>
      </c>
      <c r="AE374" s="164" t="str">
        <f>IF('01_Stations'!$AH$353=1,"───","")</f>
        <v/>
      </c>
      <c r="AF374" s="164" t="str">
        <f>IF('01_Stations'!$AH$354=1,"───","")</f>
        <v/>
      </c>
      <c r="AG374" s="164" t="str">
        <f>IF('01_Stations'!$AH$355=1,"───","")</f>
        <v/>
      </c>
      <c r="AH374" s="164" t="str">
        <f>IF('01_Stations'!$AH$356=1,"───","")</f>
        <v/>
      </c>
      <c r="AI374" s="164" t="str">
        <f>IF('01_Stations'!$AH$357=1,"───","")</f>
        <v/>
      </c>
      <c r="AJ374" s="164" t="str">
        <f>IF('01_Stations'!$AH$358=1,"───","")</f>
        <v/>
      </c>
      <c r="AK374" s="164" t="str">
        <f>IF('01_Stations'!$AH$359=1,"───","")</f>
        <v/>
      </c>
      <c r="AL374" s="164" t="str">
        <f>IF('01_Stations'!$AH$360=1,"───","")</f>
        <v/>
      </c>
      <c r="AM374" s="164" t="str">
        <f>IF('01_Stations'!$AH$361=1,"───","")</f>
        <v/>
      </c>
      <c r="AN374" s="164" t="str">
        <f>IF('01_Stations'!$AH$362=1,"───","")</f>
        <v/>
      </c>
      <c r="AO374" s="164" t="str">
        <f>IF('01_Stations'!$AH$363=1,"───","")</f>
        <v/>
      </c>
      <c r="AP374" s="164" t="str">
        <f>IF('01_Stations'!$AH$364=1,"───","")</f>
        <v/>
      </c>
      <c r="AQ374" s="164" t="str">
        <f>IF('01_Stations'!$AH$365=1,"───","")</f>
        <v/>
      </c>
    </row>
    <row r="375" spans="1:43" ht="15" customHeight="1" x14ac:dyDescent="0.3">
      <c r="A375" s="236"/>
      <c r="B375" s="165" t="s">
        <v>292</v>
      </c>
      <c r="C375" s="166"/>
      <c r="D375" s="164" t="str">
        <f>IF('01_Stations'!$AI$326=1,"───","")</f>
        <v/>
      </c>
      <c r="E375" s="164" t="str">
        <f>IF('01_Stations'!$AI$327=1,"───","")</f>
        <v/>
      </c>
      <c r="F375" s="164" t="str">
        <f>IF('01_Stations'!$AI$328=1,"───","")</f>
        <v/>
      </c>
      <c r="G375" s="164" t="str">
        <f>IF('01_Stations'!$AI$329=1,"───","")</f>
        <v/>
      </c>
      <c r="H375" s="164" t="str">
        <f>IF('01_Stations'!$AI$330=1,"───","")</f>
        <v/>
      </c>
      <c r="I375" s="164" t="str">
        <f>IF('01_Stations'!$AI$331=1,"───","")</f>
        <v/>
      </c>
      <c r="J375" s="164" t="str">
        <f>IF('01_Stations'!$AI$332=1,"───","")</f>
        <v/>
      </c>
      <c r="K375" s="164" t="str">
        <f>IF('01_Stations'!$AI$333=1,"───","")</f>
        <v/>
      </c>
      <c r="L375" s="164" t="str">
        <f>IF('01_Stations'!$AI$334=1,"───","")</f>
        <v/>
      </c>
      <c r="M375" s="164" t="str">
        <f>IF('01_Stations'!$AI$335=1,"───","")</f>
        <v/>
      </c>
      <c r="N375" s="164" t="str">
        <f>IF('01_Stations'!$AI$336=1,"───","")</f>
        <v/>
      </c>
      <c r="O375" s="164" t="str">
        <f>IF('01_Stations'!$AI$337=1,"───","")</f>
        <v/>
      </c>
      <c r="P375" s="164" t="str">
        <f>IF('01_Stations'!$AI$338=1,"───","")</f>
        <v/>
      </c>
      <c r="Q375" s="164" t="str">
        <f>IF('01_Stations'!$AI$339=1,"───","")</f>
        <v/>
      </c>
      <c r="R375" s="164" t="str">
        <f>IF('01_Stations'!$AI$340=1,"───","")</f>
        <v/>
      </c>
      <c r="S375" s="164" t="str">
        <f>IF('01_Stations'!$AI$341=1,"───","")</f>
        <v/>
      </c>
      <c r="T375" s="164" t="str">
        <f>IF('01_Stations'!$AI$342=1,"───","")</f>
        <v/>
      </c>
      <c r="U375" s="164" t="str">
        <f>IF('01_Stations'!$AI$343=1,"───","")</f>
        <v/>
      </c>
      <c r="V375" s="164" t="str">
        <f>IF('01_Stations'!$AI$344=1,"───","")</f>
        <v/>
      </c>
      <c r="W375" s="164" t="str">
        <f>IF('01_Stations'!$AI$345=1,"───","")</f>
        <v/>
      </c>
      <c r="X375" s="164" t="str">
        <f>IF('01_Stations'!$AI$346=1,"───","")</f>
        <v/>
      </c>
      <c r="Y375" s="164" t="str">
        <f>IF('01_Stations'!$AI$347=1,"───","")</f>
        <v/>
      </c>
      <c r="Z375" s="164" t="str">
        <f>IF('01_Stations'!$AI$348=1,"───","")</f>
        <v/>
      </c>
      <c r="AA375" s="164" t="str">
        <f>IF('01_Stations'!$AI$349=1,"───","")</f>
        <v/>
      </c>
      <c r="AB375" s="164" t="str">
        <f>IF('01_Stations'!$AI$350=1,"───","")</f>
        <v/>
      </c>
      <c r="AC375" s="164" t="str">
        <f>IF('01_Stations'!$AI$351=1,"───","")</f>
        <v/>
      </c>
      <c r="AD375" s="164" t="str">
        <f>IF('01_Stations'!$AI$352=1,"───","")</f>
        <v/>
      </c>
      <c r="AE375" s="164" t="str">
        <f>IF('01_Stations'!$AI$353=1,"───","")</f>
        <v/>
      </c>
      <c r="AF375" s="164" t="str">
        <f>IF('01_Stations'!$AI$354=1,"───","")</f>
        <v/>
      </c>
      <c r="AG375" s="164" t="str">
        <f>IF('01_Stations'!$AI$355=1,"───","")</f>
        <v/>
      </c>
      <c r="AH375" s="164" t="str">
        <f>IF('01_Stations'!$AI$356=1,"───","")</f>
        <v/>
      </c>
      <c r="AI375" s="164" t="str">
        <f>IF('01_Stations'!$AI$357=1,"───","")</f>
        <v/>
      </c>
      <c r="AJ375" s="164" t="str">
        <f>IF('01_Stations'!$AI$358=1,"───","")</f>
        <v/>
      </c>
      <c r="AK375" s="164" t="str">
        <f>IF('01_Stations'!$AI$359=1,"───","")</f>
        <v/>
      </c>
      <c r="AL375" s="164" t="str">
        <f>IF('01_Stations'!$AI$360=1,"───","")</f>
        <v/>
      </c>
      <c r="AM375" s="164" t="str">
        <f>IF('01_Stations'!$AI$361=1,"───","")</f>
        <v/>
      </c>
      <c r="AN375" s="164" t="str">
        <f>IF('01_Stations'!$AI$362=1,"───","")</f>
        <v/>
      </c>
      <c r="AO375" s="164" t="str">
        <f>IF('01_Stations'!$AI$363=1,"───","")</f>
        <v/>
      </c>
      <c r="AP375" s="164" t="str">
        <f>IF('01_Stations'!$AI$364=1,"───","")</f>
        <v/>
      </c>
      <c r="AQ375" s="164" t="str">
        <f>IF('01_Stations'!$AI$365=1,"───","")</f>
        <v/>
      </c>
    </row>
    <row r="376" spans="1:43" ht="15" customHeight="1" x14ac:dyDescent="0.3">
      <c r="A376" s="236"/>
      <c r="B376" s="165" t="s">
        <v>293</v>
      </c>
      <c r="C376" s="166"/>
      <c r="D376" s="164" t="str">
        <f>IF('01_Stations'!$AJ$326=1,"───","")</f>
        <v/>
      </c>
      <c r="E376" s="164" t="str">
        <f>IF('01_Stations'!$AJ$327=1,"───","")</f>
        <v/>
      </c>
      <c r="F376" s="164" t="str">
        <f>IF('01_Stations'!$AJ$328=1,"───","")</f>
        <v/>
      </c>
      <c r="G376" s="164" t="str">
        <f>IF('01_Stations'!$AJ$329=1,"───","")</f>
        <v/>
      </c>
      <c r="H376" s="164" t="str">
        <f>IF('01_Stations'!$AJ$330=1,"───","")</f>
        <v/>
      </c>
      <c r="I376" s="164" t="str">
        <f>IF('01_Stations'!$AJ$331=1,"───","")</f>
        <v/>
      </c>
      <c r="J376" s="164" t="str">
        <f>IF('01_Stations'!$AJ$332=1,"───","")</f>
        <v/>
      </c>
      <c r="K376" s="164" t="str">
        <f>IF('01_Stations'!$AJ$333=1,"───","")</f>
        <v/>
      </c>
      <c r="L376" s="164" t="str">
        <f>IF('01_Stations'!$AJ$334=1,"───","")</f>
        <v/>
      </c>
      <c r="M376" s="164" t="str">
        <f>IF('01_Stations'!$AJ$335=1,"───","")</f>
        <v/>
      </c>
      <c r="N376" s="164" t="str">
        <f>IF('01_Stations'!$AJ$336=1,"───","")</f>
        <v/>
      </c>
      <c r="O376" s="164" t="str">
        <f>IF('01_Stations'!$AJ$337=1,"───","")</f>
        <v/>
      </c>
      <c r="P376" s="164" t="str">
        <f>IF('01_Stations'!$AJ$338=1,"───","")</f>
        <v/>
      </c>
      <c r="Q376" s="164" t="str">
        <f>IF('01_Stations'!$AJ$339=1,"───","")</f>
        <v/>
      </c>
      <c r="R376" s="164" t="str">
        <f>IF('01_Stations'!$AJ$340=1,"───","")</f>
        <v/>
      </c>
      <c r="S376" s="164" t="str">
        <f>IF('01_Stations'!$AJ$341=1,"───","")</f>
        <v/>
      </c>
      <c r="T376" s="164" t="str">
        <f>IF('01_Stations'!$AJ$342=1,"───","")</f>
        <v/>
      </c>
      <c r="U376" s="164" t="str">
        <f>IF('01_Stations'!$AJ$343=1,"───","")</f>
        <v/>
      </c>
      <c r="V376" s="164" t="str">
        <f>IF('01_Stations'!$AJ$344=1,"───","")</f>
        <v/>
      </c>
      <c r="W376" s="164" t="str">
        <f>IF('01_Stations'!$AJ$345=1,"───","")</f>
        <v/>
      </c>
      <c r="X376" s="164" t="str">
        <f>IF('01_Stations'!$AJ$346=1,"───","")</f>
        <v/>
      </c>
      <c r="Y376" s="164" t="str">
        <f>IF('01_Stations'!$AJ$347=1,"───","")</f>
        <v/>
      </c>
      <c r="Z376" s="164" t="str">
        <f>IF('01_Stations'!$AJ$348=1,"───","")</f>
        <v/>
      </c>
      <c r="AA376" s="164" t="str">
        <f>IF('01_Stations'!$AJ$349=1,"───","")</f>
        <v/>
      </c>
      <c r="AB376" s="164" t="str">
        <f>IF('01_Stations'!$AJ$350=1,"───","")</f>
        <v/>
      </c>
      <c r="AC376" s="164" t="str">
        <f>IF('01_Stations'!$AJ$351=1,"───","")</f>
        <v/>
      </c>
      <c r="AD376" s="164" t="str">
        <f>IF('01_Stations'!$AJ$352=1,"───","")</f>
        <v/>
      </c>
      <c r="AE376" s="164" t="str">
        <f>IF('01_Stations'!$AJ$353=1,"───","")</f>
        <v/>
      </c>
      <c r="AF376" s="164" t="str">
        <f>IF('01_Stations'!$AJ$354=1,"───","")</f>
        <v/>
      </c>
      <c r="AG376" s="164" t="str">
        <f>IF('01_Stations'!$AJ$355=1,"───","")</f>
        <v/>
      </c>
      <c r="AH376" s="164" t="str">
        <f>IF('01_Stations'!$AJ$356=1,"───","")</f>
        <v/>
      </c>
      <c r="AI376" s="164" t="str">
        <f>IF('01_Stations'!$AJ$357=1,"───","")</f>
        <v/>
      </c>
      <c r="AJ376" s="164" t="str">
        <f>IF('01_Stations'!$AJ$358=1,"───","")</f>
        <v/>
      </c>
      <c r="AK376" s="164" t="str">
        <f>IF('01_Stations'!$AJ$359=1,"───","")</f>
        <v/>
      </c>
      <c r="AL376" s="164" t="str">
        <f>IF('01_Stations'!$AJ$360=1,"───","")</f>
        <v/>
      </c>
      <c r="AM376" s="164" t="str">
        <f>IF('01_Stations'!$AJ$361=1,"───","")</f>
        <v/>
      </c>
      <c r="AN376" s="164" t="str">
        <f>IF('01_Stations'!$AJ$362=1,"───","")</f>
        <v/>
      </c>
      <c r="AO376" s="164" t="str">
        <f>IF('01_Stations'!$AJ$363=1,"───","")</f>
        <v/>
      </c>
      <c r="AP376" s="164" t="str">
        <f>IF('01_Stations'!$AJ$364=1,"───","")</f>
        <v/>
      </c>
      <c r="AQ376" s="164" t="str">
        <f>IF('01_Stations'!$AJ$365=1,"───","")</f>
        <v/>
      </c>
    </row>
    <row r="377" spans="1:43" ht="15" customHeight="1" x14ac:dyDescent="0.3">
      <c r="A377" s="236"/>
      <c r="B377" s="165" t="s">
        <v>294</v>
      </c>
      <c r="C377" s="166" t="s">
        <v>299</v>
      </c>
      <c r="D377" s="164" t="str">
        <f>IF(N('01_Stations'!$AK$326)&gt;0,'01_Stations'!$AK$326,"")</f>
        <v/>
      </c>
      <c r="E377" s="164" t="str">
        <f>IF(N('01_Stations'!$AK$327)&gt;0,'01_Stations'!$AK$327,"")</f>
        <v/>
      </c>
      <c r="F377" s="164" t="str">
        <f>IF(N('01_Stations'!$AK$328)&gt;0,'01_Stations'!$AK$328,"")</f>
        <v/>
      </c>
      <c r="G377" s="164" t="str">
        <f>IF(N('01_Stations'!$AK$329)&gt;0,'01_Stations'!$AK$329,"")</f>
        <v/>
      </c>
      <c r="H377" s="164" t="str">
        <f>IF(N('01_Stations'!$AK$330)&gt;0,'01_Stations'!$AK$330,"")</f>
        <v/>
      </c>
      <c r="I377" s="164" t="str">
        <f>IF(N('01_Stations'!$AK$331)&gt;0,'01_Stations'!$AK$331,"")</f>
        <v/>
      </c>
      <c r="J377" s="164" t="str">
        <f>IF(N('01_Stations'!$AK$332)&gt;0,'01_Stations'!$AK$332,"")</f>
        <v/>
      </c>
      <c r="K377" s="164" t="str">
        <f>IF(N('01_Stations'!$AK$333)&gt;0,'01_Stations'!$AK$333,"")</f>
        <v/>
      </c>
      <c r="L377" s="164" t="str">
        <f>IF(N('01_Stations'!$AK$334)&gt;0,'01_Stations'!$AK$334,"")</f>
        <v/>
      </c>
      <c r="M377" s="164" t="str">
        <f>IF(N('01_Stations'!$AK$335)&gt;0,'01_Stations'!$AK$335,"")</f>
        <v/>
      </c>
      <c r="N377" s="164" t="str">
        <f>IF(N('01_Stations'!$AK$336)&gt;0,'01_Stations'!$AK$336,"")</f>
        <v/>
      </c>
      <c r="O377" s="164" t="str">
        <f>IF(N('01_Stations'!$AK$337)&gt;0,'01_Stations'!$AK$337,"")</f>
        <v/>
      </c>
      <c r="P377" s="164" t="str">
        <f>IF(N('01_Stations'!$AK$338)&gt;0,'01_Stations'!$AK$338,"")</f>
        <v/>
      </c>
      <c r="Q377" s="164" t="str">
        <f>IF(N('01_Stations'!$AK$339)&gt;0,'01_Stations'!$AK$339,"")</f>
        <v/>
      </c>
      <c r="R377" s="164" t="str">
        <f>IF(N('01_Stations'!$AK$340)&gt;0,'01_Stations'!$AK$340,"")</f>
        <v/>
      </c>
      <c r="S377" s="164" t="str">
        <f>IF(N('01_Stations'!$AK$341)&gt;0,'01_Stations'!$AK$341,"")</f>
        <v/>
      </c>
      <c r="T377" s="164" t="str">
        <f>IF(N('01_Stations'!$AK$342)&gt;0,'01_Stations'!$AK$342,"")</f>
        <v/>
      </c>
      <c r="U377" s="164" t="str">
        <f>IF(N('01_Stations'!$AK$343)&gt;0,'01_Stations'!$AK$343,"")</f>
        <v/>
      </c>
      <c r="V377" s="164" t="str">
        <f>IF(N('01_Stations'!$AK$344)&gt;0,'01_Stations'!$AK$344,"")</f>
        <v/>
      </c>
      <c r="W377" s="164" t="str">
        <f>IF(N('01_Stations'!$AK$345)&gt;0,'01_Stations'!$AK$345,"")</f>
        <v/>
      </c>
      <c r="X377" s="164" t="str">
        <f>IF(N('01_Stations'!$AK$346)&gt;0,'01_Stations'!$AK$346,"")</f>
        <v/>
      </c>
      <c r="Y377" s="164" t="str">
        <f>IF(N('01_Stations'!$AK$347)&gt;0,'01_Stations'!$AK$347,"")</f>
        <v/>
      </c>
      <c r="Z377" s="164" t="str">
        <f>IF(N('01_Stations'!$AK$348)&gt;0,'01_Stations'!$AK$348,"")</f>
        <v/>
      </c>
      <c r="AA377" s="164" t="str">
        <f>IF(N('01_Stations'!$AK$349)&gt;0,'01_Stations'!$AK$349,"")</f>
        <v/>
      </c>
      <c r="AB377" s="164" t="str">
        <f>IF(N('01_Stations'!$AK$350)&gt;0,'01_Stations'!$AK$350,"")</f>
        <v/>
      </c>
      <c r="AC377" s="164" t="str">
        <f>IF(N('01_Stations'!$AK$351)&gt;0,'01_Stations'!$AK$351,"")</f>
        <v/>
      </c>
      <c r="AD377" s="164" t="str">
        <f>IF(N('01_Stations'!$AK$352)&gt;0,'01_Stations'!$AK$352,"")</f>
        <v/>
      </c>
      <c r="AE377" s="164" t="str">
        <f>IF(N('01_Stations'!$AK$353)&gt;0,'01_Stations'!$AK$353,"")</f>
        <v/>
      </c>
      <c r="AF377" s="164" t="str">
        <f>IF(N('01_Stations'!$AK$354)&gt;0,'01_Stations'!$AK$354,"")</f>
        <v/>
      </c>
      <c r="AG377" s="164" t="str">
        <f>IF(N('01_Stations'!$AK$355)&gt;0,'01_Stations'!$AK$355,"")</f>
        <v/>
      </c>
      <c r="AH377" s="164" t="str">
        <f>IF(N('01_Stations'!$AK$356)&gt;0,'01_Stations'!$AK$356,"")</f>
        <v/>
      </c>
      <c r="AI377" s="164" t="str">
        <f>IF(N('01_Stations'!$AK$357)&gt;0,'01_Stations'!$AK$357,"")</f>
        <v/>
      </c>
      <c r="AJ377" s="164" t="str">
        <f>IF(N('01_Stations'!$AK$358)&gt;0,'01_Stations'!$AK$358,"")</f>
        <v/>
      </c>
      <c r="AK377" s="164" t="str">
        <f>IF(N('01_Stations'!$AK$359)&gt;0,'01_Stations'!$AK$359,"")</f>
        <v/>
      </c>
      <c r="AL377" s="164" t="str">
        <f>IF(N('01_Stations'!$AK$360)&gt;0,'01_Stations'!$AK$360,"")</f>
        <v/>
      </c>
      <c r="AM377" s="164" t="str">
        <f>IF(N('01_Stations'!$AK$361)&gt;0,'01_Stations'!$AK$361,"")</f>
        <v/>
      </c>
      <c r="AN377" s="164" t="str">
        <f>IF(N('01_Stations'!$AK$362)&gt;0,'01_Stations'!$AK$362,"")</f>
        <v/>
      </c>
      <c r="AO377" s="164" t="str">
        <f>IF(N('01_Stations'!$AK$363)&gt;0,'01_Stations'!$AK$363,"")</f>
        <v/>
      </c>
      <c r="AP377" s="164" t="str">
        <f>IF(N('01_Stations'!$AK$364)&gt;0,'01_Stations'!$AK$364,"")</f>
        <v/>
      </c>
      <c r="AQ377" s="164" t="str">
        <f>IF(N('01_Stations'!$AK$365)&gt;0,'01_Stations'!$AK$365,"")</f>
        <v/>
      </c>
    </row>
    <row r="378" spans="1:43" ht="15" customHeight="1" x14ac:dyDescent="0.3">
      <c r="A378" s="236"/>
      <c r="B378" s="165" t="s">
        <v>295</v>
      </c>
      <c r="C378" s="166" t="s">
        <v>299</v>
      </c>
      <c r="D378" s="164" t="str">
        <f>IF(N('01_Stations'!$AL$326)&gt;0,'01_Stations'!$AL$326,"")</f>
        <v/>
      </c>
      <c r="E378" s="164" t="str">
        <f>IF(N('01_Stations'!$AL$327)&gt;0,'01_Stations'!$AL$327,"")</f>
        <v/>
      </c>
      <c r="F378" s="164" t="str">
        <f>IF(N('01_Stations'!$AL$328)&gt;0,'01_Stations'!$AL$328,"")</f>
        <v/>
      </c>
      <c r="G378" s="164" t="str">
        <f>IF(N('01_Stations'!$AL$329)&gt;0,'01_Stations'!$AL$329,"")</f>
        <v/>
      </c>
      <c r="H378" s="164" t="str">
        <f>IF(N('01_Stations'!$AL$330)&gt;0,'01_Stations'!$AL$330,"")</f>
        <v/>
      </c>
      <c r="I378" s="164" t="str">
        <f>IF(N('01_Stations'!$AL$331)&gt;0,'01_Stations'!$AL$331,"")</f>
        <v/>
      </c>
      <c r="J378" s="164" t="str">
        <f>IF(N('01_Stations'!$AL$332)&gt;0,'01_Stations'!$AL$332,"")</f>
        <v/>
      </c>
      <c r="K378" s="164" t="str">
        <f>IF(N('01_Stations'!$AL$333)&gt;0,'01_Stations'!$AL$333,"")</f>
        <v/>
      </c>
      <c r="L378" s="164" t="str">
        <f>IF(N('01_Stations'!$AL$334)&gt;0,'01_Stations'!$AL$334,"")</f>
        <v/>
      </c>
      <c r="M378" s="164" t="str">
        <f>IF(N('01_Stations'!$AL$335)&gt;0,'01_Stations'!$AL$335,"")</f>
        <v/>
      </c>
      <c r="N378" s="164" t="str">
        <f>IF(N('01_Stations'!$AL$336)&gt;0,'01_Stations'!$AL$336,"")</f>
        <v/>
      </c>
      <c r="O378" s="164" t="str">
        <f>IF(N('01_Stations'!$AL$337)&gt;0,'01_Stations'!$AL$337,"")</f>
        <v/>
      </c>
      <c r="P378" s="164" t="str">
        <f>IF(N('01_Stations'!$AL$338)&gt;0,'01_Stations'!$AL$338,"")</f>
        <v/>
      </c>
      <c r="Q378" s="164" t="str">
        <f>IF(N('01_Stations'!$AL$339)&gt;0,'01_Stations'!$AL$339,"")</f>
        <v/>
      </c>
      <c r="R378" s="164" t="str">
        <f>IF(N('01_Stations'!$AL$340)&gt;0,'01_Stations'!$AL$340,"")</f>
        <v/>
      </c>
      <c r="S378" s="164" t="str">
        <f>IF(N('01_Stations'!$AL$341)&gt;0,'01_Stations'!$AL$341,"")</f>
        <v/>
      </c>
      <c r="T378" s="164" t="str">
        <f>IF(N('01_Stations'!$AL$342)&gt;0,'01_Stations'!$AL$342,"")</f>
        <v/>
      </c>
      <c r="U378" s="164" t="str">
        <f>IF(N('01_Stations'!$AL$343)&gt;0,'01_Stations'!$AL$343,"")</f>
        <v/>
      </c>
      <c r="V378" s="164" t="str">
        <f>IF(N('01_Stations'!$AL$344)&gt;0,'01_Stations'!$AL$344,"")</f>
        <v/>
      </c>
      <c r="W378" s="164" t="str">
        <f>IF(N('01_Stations'!$AL$345)&gt;0,'01_Stations'!$AL$345,"")</f>
        <v/>
      </c>
      <c r="X378" s="164" t="str">
        <f>IF(N('01_Stations'!$AL$346)&gt;0,'01_Stations'!$AL$346,"")</f>
        <v/>
      </c>
      <c r="Y378" s="164" t="str">
        <f>IF(N('01_Stations'!$AL$347)&gt;0,'01_Stations'!$AL$347,"")</f>
        <v/>
      </c>
      <c r="Z378" s="164" t="str">
        <f>IF(N('01_Stations'!$AL$348)&gt;0,'01_Stations'!$AL$348,"")</f>
        <v/>
      </c>
      <c r="AA378" s="164" t="str">
        <f>IF(N('01_Stations'!$AL$349)&gt;0,'01_Stations'!$AL$349,"")</f>
        <v/>
      </c>
      <c r="AB378" s="164" t="str">
        <f>IF(N('01_Stations'!$AL$350)&gt;0,'01_Stations'!$AL$350,"")</f>
        <v/>
      </c>
      <c r="AC378" s="164" t="str">
        <f>IF(N('01_Stations'!$AL$351)&gt;0,'01_Stations'!$AL$351,"")</f>
        <v/>
      </c>
      <c r="AD378" s="164" t="str">
        <f>IF(N('01_Stations'!$AL$352)&gt;0,'01_Stations'!$AL$352,"")</f>
        <v/>
      </c>
      <c r="AE378" s="164" t="str">
        <f>IF(N('01_Stations'!$AL$353)&gt;0,'01_Stations'!$AL$353,"")</f>
        <v/>
      </c>
      <c r="AF378" s="164" t="str">
        <f>IF(N('01_Stations'!$AL$354)&gt;0,'01_Stations'!$AL$354,"")</f>
        <v/>
      </c>
      <c r="AG378" s="164" t="str">
        <f>IF(N('01_Stations'!$AL$355)&gt;0,'01_Stations'!$AL$355,"")</f>
        <v/>
      </c>
      <c r="AH378" s="164" t="str">
        <f>IF(N('01_Stations'!$AL$356)&gt;0,'01_Stations'!$AL$356,"")</f>
        <v/>
      </c>
      <c r="AI378" s="164" t="str">
        <f>IF(N('01_Stations'!$AL$357)&gt;0,'01_Stations'!$AL$357,"")</f>
        <v/>
      </c>
      <c r="AJ378" s="164" t="str">
        <f>IF(N('01_Stations'!$AL$358)&gt;0,'01_Stations'!$AL$358,"")</f>
        <v/>
      </c>
      <c r="AK378" s="164" t="str">
        <f>IF(N('01_Stations'!$AL$359)&gt;0,'01_Stations'!$AL$359,"")</f>
        <v/>
      </c>
      <c r="AL378" s="164" t="str">
        <f>IF(N('01_Stations'!$AL$360)&gt;0,'01_Stations'!$AL$360,"")</f>
        <v/>
      </c>
      <c r="AM378" s="164" t="str">
        <f>IF(N('01_Stations'!$AL$361)&gt;0,'01_Stations'!$AL$361,"")</f>
        <v/>
      </c>
      <c r="AN378" s="164" t="str">
        <f>IF(N('01_Stations'!$AL$362)&gt;0,'01_Stations'!$AL$362,"")</f>
        <v/>
      </c>
      <c r="AO378" s="164" t="str">
        <f>IF(N('01_Stations'!$AL$363)&gt;0,'01_Stations'!$AL$363,"")</f>
        <v/>
      </c>
      <c r="AP378" s="164" t="str">
        <f>IF(N('01_Stations'!$AL$364)&gt;0,'01_Stations'!$AL$364,"")</f>
        <v/>
      </c>
      <c r="AQ378" s="164" t="str">
        <f>IF(N('01_Stations'!$AL$365)&gt;0,'01_Stations'!$AL$365,"")</f>
        <v/>
      </c>
    </row>
    <row r="379" spans="1:43" ht="15" customHeight="1" x14ac:dyDescent="0.3">
      <c r="A379" s="236"/>
      <c r="B379" s="165" t="s">
        <v>230</v>
      </c>
      <c r="C379" s="166"/>
      <c r="D379" s="164" t="str">
        <f>IF('01_Stations'!$AM$326=1,"───","")</f>
        <v/>
      </c>
      <c r="E379" s="164" t="str">
        <f>IF('01_Stations'!$AM$327=1,"───","")</f>
        <v/>
      </c>
      <c r="F379" s="164" t="str">
        <f>IF('01_Stations'!$AM$328=1,"───","")</f>
        <v/>
      </c>
      <c r="G379" s="164" t="str">
        <f>IF('01_Stations'!$AM$329=1,"───","")</f>
        <v/>
      </c>
      <c r="H379" s="164" t="str">
        <f>IF('01_Stations'!$AM$330=1,"───","")</f>
        <v/>
      </c>
      <c r="I379" s="164" t="str">
        <f>IF('01_Stations'!$AM$331=1,"───","")</f>
        <v/>
      </c>
      <c r="J379" s="164" t="str">
        <f>IF('01_Stations'!$AM$332=1,"───","")</f>
        <v/>
      </c>
      <c r="K379" s="164" t="str">
        <f>IF('01_Stations'!$AM$333=1,"───","")</f>
        <v/>
      </c>
      <c r="L379" s="164" t="str">
        <f>IF('01_Stations'!$AM$334=1,"───","")</f>
        <v/>
      </c>
      <c r="M379" s="164" t="str">
        <f>IF('01_Stations'!$AM$335=1,"───","")</f>
        <v/>
      </c>
      <c r="N379" s="164" t="str">
        <f>IF('01_Stations'!$AM$336=1,"───","")</f>
        <v/>
      </c>
      <c r="O379" s="164" t="str">
        <f>IF('01_Stations'!$AM$337=1,"───","")</f>
        <v/>
      </c>
      <c r="P379" s="164" t="str">
        <f>IF('01_Stations'!$AM$338=1,"───","")</f>
        <v/>
      </c>
      <c r="Q379" s="164" t="str">
        <f>IF('01_Stations'!$AM$339=1,"───","")</f>
        <v/>
      </c>
      <c r="R379" s="164" t="str">
        <f>IF('01_Stations'!$AM$340=1,"───","")</f>
        <v/>
      </c>
      <c r="S379" s="164" t="str">
        <f>IF('01_Stations'!$AM$341=1,"───","")</f>
        <v/>
      </c>
      <c r="T379" s="164" t="str">
        <f>IF('01_Stations'!$AM$342=1,"───","")</f>
        <v/>
      </c>
      <c r="U379" s="164" t="str">
        <f>IF('01_Stations'!$AM$343=1,"───","")</f>
        <v/>
      </c>
      <c r="V379" s="164" t="str">
        <f>IF('01_Stations'!$AM$344=1,"───","")</f>
        <v/>
      </c>
      <c r="W379" s="164" t="str">
        <f>IF('01_Stations'!$AM$345=1,"───","")</f>
        <v/>
      </c>
      <c r="X379" s="164" t="str">
        <f>IF('01_Stations'!$AM$346=1,"───","")</f>
        <v/>
      </c>
      <c r="Y379" s="164" t="str">
        <f>IF('01_Stations'!$AM$347=1,"───","")</f>
        <v/>
      </c>
      <c r="Z379" s="164" t="str">
        <f>IF('01_Stations'!$AM$348=1,"───","")</f>
        <v/>
      </c>
      <c r="AA379" s="164" t="str">
        <f>IF('01_Stations'!$AM$349=1,"───","")</f>
        <v/>
      </c>
      <c r="AB379" s="164" t="str">
        <f>IF('01_Stations'!$AM$350=1,"───","")</f>
        <v/>
      </c>
      <c r="AC379" s="164" t="str">
        <f>IF('01_Stations'!$AM$351=1,"───","")</f>
        <v/>
      </c>
      <c r="AD379" s="164" t="str">
        <f>IF('01_Stations'!$AM$352=1,"───","")</f>
        <v/>
      </c>
      <c r="AE379" s="164" t="str">
        <f>IF('01_Stations'!$AM$353=1,"───","")</f>
        <v/>
      </c>
      <c r="AF379" s="164" t="str">
        <f>IF('01_Stations'!$AM$354=1,"───","")</f>
        <v/>
      </c>
      <c r="AG379" s="164" t="str">
        <f>IF('01_Stations'!$AM$355=1,"───","")</f>
        <v/>
      </c>
      <c r="AH379" s="164" t="str">
        <f>IF('01_Stations'!$AM$356=1,"───","")</f>
        <v/>
      </c>
      <c r="AI379" s="164" t="str">
        <f>IF('01_Stations'!$AM$357=1,"───","")</f>
        <v/>
      </c>
      <c r="AJ379" s="164" t="str">
        <f>IF('01_Stations'!$AM$358=1,"───","")</f>
        <v/>
      </c>
      <c r="AK379" s="164" t="str">
        <f>IF('01_Stations'!$AM$359=1,"───","")</f>
        <v/>
      </c>
      <c r="AL379" s="164" t="str">
        <f>IF('01_Stations'!$AM$360=1,"───","")</f>
        <v/>
      </c>
      <c r="AM379" s="164" t="str">
        <f>IF('01_Stations'!$AM$361=1,"───","")</f>
        <v/>
      </c>
      <c r="AN379" s="164" t="str">
        <f>IF('01_Stations'!$AM$362=1,"───","")</f>
        <v/>
      </c>
      <c r="AO379" s="164" t="str">
        <f>IF('01_Stations'!$AM$363=1,"───","")</f>
        <v/>
      </c>
      <c r="AP379" s="164" t="str">
        <f>IF('01_Stations'!$AM$364=1,"───","")</f>
        <v/>
      </c>
      <c r="AQ379" s="164" t="str">
        <f>IF('01_Stations'!$AM$365=1,"───","")</f>
        <v/>
      </c>
    </row>
    <row r="380" spans="1:43" ht="15" customHeight="1" x14ac:dyDescent="0.3">
      <c r="A380" s="236"/>
      <c r="B380" s="165" t="s">
        <v>231</v>
      </c>
      <c r="C380" s="166"/>
      <c r="D380" s="164" t="str">
        <f>IF('01_Stations'!$AN$326=1,"───","")</f>
        <v/>
      </c>
      <c r="E380" s="164" t="str">
        <f>IF('01_Stations'!$AN$327=1,"───","")</f>
        <v/>
      </c>
      <c r="F380" s="164" t="str">
        <f>IF('01_Stations'!$AN$328=1,"───","")</f>
        <v/>
      </c>
      <c r="G380" s="164" t="str">
        <f>IF('01_Stations'!$AN$329=1,"───","")</f>
        <v/>
      </c>
      <c r="H380" s="164" t="str">
        <f>IF('01_Stations'!$AN$330=1,"───","")</f>
        <v/>
      </c>
      <c r="I380" s="164" t="str">
        <f>IF('01_Stations'!$AN$331=1,"───","")</f>
        <v/>
      </c>
      <c r="J380" s="164" t="str">
        <f>IF('01_Stations'!$AN$332=1,"───","")</f>
        <v/>
      </c>
      <c r="K380" s="164" t="str">
        <f>IF('01_Stations'!$AN$333=1,"───","")</f>
        <v/>
      </c>
      <c r="L380" s="164" t="str">
        <f>IF('01_Stations'!$AN$334=1,"───","")</f>
        <v/>
      </c>
      <c r="M380" s="164" t="str">
        <f>IF('01_Stations'!$AN$335=1,"───","")</f>
        <v/>
      </c>
      <c r="N380" s="164" t="str">
        <f>IF('01_Stations'!$AN$336=1,"───","")</f>
        <v/>
      </c>
      <c r="O380" s="164" t="str">
        <f>IF('01_Stations'!$AN$337=1,"───","")</f>
        <v/>
      </c>
      <c r="P380" s="164" t="str">
        <f>IF('01_Stations'!$AN$338=1,"───","")</f>
        <v/>
      </c>
      <c r="Q380" s="164" t="str">
        <f>IF('01_Stations'!$AN$339=1,"───","")</f>
        <v/>
      </c>
      <c r="R380" s="164" t="str">
        <f>IF('01_Stations'!$AN$340=1,"───","")</f>
        <v/>
      </c>
      <c r="S380" s="164" t="str">
        <f>IF('01_Stations'!$AN$341=1,"───","")</f>
        <v/>
      </c>
      <c r="T380" s="164" t="str">
        <f>IF('01_Stations'!$AN$342=1,"───","")</f>
        <v/>
      </c>
      <c r="U380" s="164" t="str">
        <f>IF('01_Stations'!$AN$343=1,"───","")</f>
        <v/>
      </c>
      <c r="V380" s="164" t="str">
        <f>IF('01_Stations'!$AN$344=1,"───","")</f>
        <v/>
      </c>
      <c r="W380" s="164" t="str">
        <f>IF('01_Stations'!$AN$345=1,"───","")</f>
        <v/>
      </c>
      <c r="X380" s="164" t="str">
        <f>IF('01_Stations'!$AN$346=1,"───","")</f>
        <v/>
      </c>
      <c r="Y380" s="164" t="str">
        <f>IF('01_Stations'!$AN$347=1,"───","")</f>
        <v/>
      </c>
      <c r="Z380" s="164" t="str">
        <f>IF('01_Stations'!$AN$348=1,"───","")</f>
        <v/>
      </c>
      <c r="AA380" s="164" t="str">
        <f>IF('01_Stations'!$AN$349=1,"───","")</f>
        <v/>
      </c>
      <c r="AB380" s="164" t="str">
        <f>IF('01_Stations'!$AN$350=1,"───","")</f>
        <v/>
      </c>
      <c r="AC380" s="164" t="str">
        <f>IF('01_Stations'!$AN$351=1,"───","")</f>
        <v/>
      </c>
      <c r="AD380" s="164" t="str">
        <f>IF('01_Stations'!$AN$352=1,"───","")</f>
        <v/>
      </c>
      <c r="AE380" s="164" t="str">
        <f>IF('01_Stations'!$AN$353=1,"───","")</f>
        <v/>
      </c>
      <c r="AF380" s="164" t="str">
        <f>IF('01_Stations'!$AN$354=1,"───","")</f>
        <v/>
      </c>
      <c r="AG380" s="164" t="str">
        <f>IF('01_Stations'!$AN$355=1,"───","")</f>
        <v/>
      </c>
      <c r="AH380" s="164" t="str">
        <f>IF('01_Stations'!$AN$356=1,"───","")</f>
        <v/>
      </c>
      <c r="AI380" s="164" t="str">
        <f>IF('01_Stations'!$AN$357=1,"───","")</f>
        <v/>
      </c>
      <c r="AJ380" s="164" t="str">
        <f>IF('01_Stations'!$AN$358=1,"───","")</f>
        <v/>
      </c>
      <c r="AK380" s="164" t="str">
        <f>IF('01_Stations'!$AN$359=1,"───","")</f>
        <v/>
      </c>
      <c r="AL380" s="164" t="str">
        <f>IF('01_Stations'!$AN$360=1,"───","")</f>
        <v/>
      </c>
      <c r="AM380" s="164" t="str">
        <f>IF('01_Stations'!$AN$361=1,"───","")</f>
        <v/>
      </c>
      <c r="AN380" s="164" t="str">
        <f>IF('01_Stations'!$AN$362=1,"───","")</f>
        <v/>
      </c>
      <c r="AO380" s="164" t="str">
        <f>IF('01_Stations'!$AN$363=1,"───","")</f>
        <v/>
      </c>
      <c r="AP380" s="164" t="str">
        <f>IF('01_Stations'!$AN$364=1,"───","")</f>
        <v/>
      </c>
      <c r="AQ380" s="164" t="str">
        <f>IF('01_Stations'!$AN$365=1,"───","")</f>
        <v/>
      </c>
    </row>
    <row r="381" spans="1:43" ht="15" customHeight="1" x14ac:dyDescent="0.3">
      <c r="A381" s="237"/>
      <c r="B381" s="165" t="s">
        <v>232</v>
      </c>
      <c r="C381" s="166"/>
      <c r="D381" s="164" t="str">
        <f>IF('01_Stations'!$AO$326=1,"───","")</f>
        <v/>
      </c>
      <c r="E381" s="164" t="str">
        <f>IF('01_Stations'!$AO$327=1,"───","")</f>
        <v/>
      </c>
      <c r="F381" s="164" t="str">
        <f>IF('01_Stations'!$AO$328=1,"───","")</f>
        <v/>
      </c>
      <c r="G381" s="164" t="str">
        <f>IF('01_Stations'!$AO$329=1,"───","")</f>
        <v/>
      </c>
      <c r="H381" s="164" t="str">
        <f>IF('01_Stations'!$AO$330=1,"───","")</f>
        <v/>
      </c>
      <c r="I381" s="164" t="str">
        <f>IF('01_Stations'!$AO$331=1,"───","")</f>
        <v/>
      </c>
      <c r="J381" s="164" t="str">
        <f>IF('01_Stations'!$AO$332=1,"───","")</f>
        <v/>
      </c>
      <c r="K381" s="164" t="str">
        <f>IF('01_Stations'!$AO$333=1,"───","")</f>
        <v/>
      </c>
      <c r="L381" s="164" t="str">
        <f>IF('01_Stations'!$AO$334=1,"───","")</f>
        <v/>
      </c>
      <c r="M381" s="164" t="str">
        <f>IF('01_Stations'!$AO$335=1,"───","")</f>
        <v/>
      </c>
      <c r="N381" s="164" t="str">
        <f>IF('01_Stations'!$AO$336=1,"───","")</f>
        <v/>
      </c>
      <c r="O381" s="164" t="str">
        <f>IF('01_Stations'!$AO$337=1,"───","")</f>
        <v/>
      </c>
      <c r="P381" s="164" t="str">
        <f>IF('01_Stations'!$AO$338=1,"───","")</f>
        <v/>
      </c>
      <c r="Q381" s="164" t="str">
        <f>IF('01_Stations'!$AO$339=1,"───","")</f>
        <v/>
      </c>
      <c r="R381" s="164" t="str">
        <f>IF('01_Stations'!$AO$340=1,"───","")</f>
        <v/>
      </c>
      <c r="S381" s="164" t="str">
        <f>IF('01_Stations'!$AO$341=1,"───","")</f>
        <v/>
      </c>
      <c r="T381" s="164" t="str">
        <f>IF('01_Stations'!$AO$342=1,"───","")</f>
        <v/>
      </c>
      <c r="U381" s="164" t="str">
        <f>IF('01_Stations'!$AO$343=1,"───","")</f>
        <v/>
      </c>
      <c r="V381" s="164" t="str">
        <f>IF('01_Stations'!$AO$344=1,"───","")</f>
        <v/>
      </c>
      <c r="W381" s="164" t="str">
        <f>IF('01_Stations'!$AO$345=1,"───","")</f>
        <v/>
      </c>
      <c r="X381" s="164" t="str">
        <f>IF('01_Stations'!$AO$346=1,"───","")</f>
        <v/>
      </c>
      <c r="Y381" s="164" t="str">
        <f>IF('01_Stations'!$AO$347=1,"───","")</f>
        <v/>
      </c>
      <c r="Z381" s="164" t="str">
        <f>IF('01_Stations'!$AO$348=1,"───","")</f>
        <v/>
      </c>
      <c r="AA381" s="164" t="str">
        <f>IF('01_Stations'!$AO$349=1,"───","")</f>
        <v/>
      </c>
      <c r="AB381" s="164" t="str">
        <f>IF('01_Stations'!$AO$350=1,"───","")</f>
        <v/>
      </c>
      <c r="AC381" s="164" t="str">
        <f>IF('01_Stations'!$AO$351=1,"───","")</f>
        <v/>
      </c>
      <c r="AD381" s="164" t="str">
        <f>IF('01_Stations'!$AO$352=1,"───","")</f>
        <v/>
      </c>
      <c r="AE381" s="164" t="str">
        <f>IF('01_Stations'!$AO$353=1,"───","")</f>
        <v/>
      </c>
      <c r="AF381" s="164" t="str">
        <f>IF('01_Stations'!$AO$354=1,"───","")</f>
        <v/>
      </c>
      <c r="AG381" s="164" t="str">
        <f>IF('01_Stations'!$AO$355=1,"───","")</f>
        <v/>
      </c>
      <c r="AH381" s="164" t="str">
        <f>IF('01_Stations'!$AO$356=1,"───","")</f>
        <v/>
      </c>
      <c r="AI381" s="164" t="str">
        <f>IF('01_Stations'!$AO$357=1,"───","")</f>
        <v/>
      </c>
      <c r="AJ381" s="164" t="str">
        <f>IF('01_Stations'!$AO$358=1,"───","")</f>
        <v/>
      </c>
      <c r="AK381" s="164" t="str">
        <f>IF('01_Stations'!$AO$359=1,"───","")</f>
        <v/>
      </c>
      <c r="AL381" s="164" t="str">
        <f>IF('01_Stations'!$AO$360=1,"───","")</f>
        <v/>
      </c>
      <c r="AM381" s="164" t="str">
        <f>IF('01_Stations'!$AO$361=1,"───","")</f>
        <v/>
      </c>
      <c r="AN381" s="164" t="str">
        <f>IF('01_Stations'!$AO$362=1,"───","")</f>
        <v/>
      </c>
      <c r="AO381" s="164" t="str">
        <f>IF('01_Stations'!$AO$363=1,"───","")</f>
        <v/>
      </c>
      <c r="AP381" s="164" t="str">
        <f>IF('01_Stations'!$AO$364=1,"───","")</f>
        <v/>
      </c>
      <c r="AQ381" s="164" t="str">
        <f>IF('01_Stations'!$AO$365=1,"───","")</f>
        <v/>
      </c>
    </row>
    <row r="382" spans="1:43" x14ac:dyDescent="0.3">
      <c r="A382" s="64"/>
      <c r="B382" s="64"/>
      <c r="C382" s="64"/>
      <c r="D382" s="106"/>
      <c r="E382" s="106"/>
      <c r="F382" s="106"/>
      <c r="G382" s="106"/>
      <c r="H382" s="106"/>
      <c r="I382" s="106"/>
      <c r="J382" s="106"/>
      <c r="K382" s="106"/>
      <c r="L382" s="106"/>
      <c r="M382" s="106"/>
      <c r="N382" s="106"/>
      <c r="O382" s="106"/>
      <c r="P382" s="106"/>
      <c r="Q382" s="106"/>
      <c r="R382" s="106"/>
      <c r="S382" s="106"/>
      <c r="T382" s="106"/>
      <c r="U382" s="106"/>
      <c r="V382" s="106"/>
      <c r="W382" s="106"/>
      <c r="X382" s="106"/>
      <c r="Y382" s="106"/>
      <c r="Z382" s="106"/>
      <c r="AA382" s="106"/>
      <c r="AB382" s="106"/>
      <c r="AC382" s="106"/>
      <c r="AD382" s="106"/>
      <c r="AE382" s="106"/>
      <c r="AF382" s="106"/>
      <c r="AG382" s="106"/>
      <c r="AH382" s="106"/>
      <c r="AI382" s="106"/>
      <c r="AJ382" s="106"/>
      <c r="AK382" s="106"/>
      <c r="AL382" s="106"/>
      <c r="AM382" s="106"/>
      <c r="AN382" s="106"/>
      <c r="AO382" s="106"/>
      <c r="AP382" s="106"/>
      <c r="AQ382" s="106"/>
    </row>
    <row r="383" spans="1:43" ht="15" customHeight="1" thickBot="1" x14ac:dyDescent="0.35">
      <c r="A383" s="64"/>
      <c r="B383" s="64"/>
      <c r="C383" s="64"/>
      <c r="D383" s="106"/>
      <c r="E383" s="106"/>
      <c r="F383" s="106"/>
      <c r="G383" s="106"/>
      <c r="H383" s="106"/>
      <c r="I383" s="106"/>
      <c r="J383" s="106"/>
      <c r="K383" s="106"/>
      <c r="L383" s="106"/>
      <c r="M383" s="106"/>
      <c r="N383" s="106"/>
      <c r="O383" s="106"/>
      <c r="P383" s="106"/>
      <c r="Q383" s="106"/>
      <c r="R383" s="106"/>
      <c r="S383" s="106"/>
      <c r="T383" s="106"/>
      <c r="U383" s="106"/>
      <c r="V383" s="106"/>
      <c r="W383" s="106"/>
      <c r="X383" s="106"/>
      <c r="Y383" s="106"/>
      <c r="Z383" s="106"/>
      <c r="AA383" s="106"/>
      <c r="AB383" s="106"/>
      <c r="AC383" s="106"/>
      <c r="AD383" s="106"/>
      <c r="AE383" s="106"/>
      <c r="AF383" s="106"/>
      <c r="AG383" s="106"/>
      <c r="AH383" s="106"/>
      <c r="AI383" s="106"/>
      <c r="AJ383" s="106"/>
      <c r="AK383" s="106"/>
      <c r="AL383" s="106"/>
      <c r="AM383" s="106"/>
      <c r="AN383" s="106"/>
      <c r="AO383" s="106"/>
      <c r="AP383" s="106"/>
      <c r="AQ383" s="106"/>
    </row>
    <row r="384" spans="1:43" ht="19.95" customHeight="1" thickBot="1" x14ac:dyDescent="0.35">
      <c r="A384" s="174" t="s">
        <v>2239</v>
      </c>
      <c r="B384" s="172"/>
      <c r="C384" s="172"/>
      <c r="D384" s="173" t="str">
        <f>IF(P_Length_km*1000&lt;=18000,"— beyond the end of the road —","")</f>
        <v>— beyond the end of the road —</v>
      </c>
      <c r="E384" s="173"/>
      <c r="F384" s="173"/>
      <c r="G384" s="173"/>
      <c r="H384" s="173"/>
      <c r="I384" s="173"/>
      <c r="J384" s="173"/>
      <c r="K384" s="173"/>
      <c r="L384" s="173"/>
      <c r="M384" s="173"/>
      <c r="N384" s="173"/>
      <c r="O384" s="173"/>
      <c r="P384" s="173"/>
      <c r="Q384" s="173"/>
      <c r="R384" s="173"/>
      <c r="S384" s="173"/>
      <c r="T384" s="173"/>
      <c r="U384" s="173"/>
      <c r="V384" s="173"/>
      <c r="W384" s="173"/>
      <c r="X384" s="173"/>
      <c r="Y384" s="173"/>
      <c r="Z384" s="173"/>
      <c r="AA384" s="173"/>
      <c r="AB384" s="173"/>
      <c r="AC384" s="173"/>
      <c r="AD384" s="173"/>
      <c r="AE384" s="173"/>
      <c r="AF384" s="173"/>
      <c r="AG384" s="173"/>
      <c r="AH384" s="173"/>
      <c r="AI384" s="173"/>
      <c r="AJ384" s="173"/>
      <c r="AK384" s="173"/>
      <c r="AL384" s="173"/>
      <c r="AM384" s="173"/>
      <c r="AN384" s="173"/>
      <c r="AO384" s="173"/>
      <c r="AP384" s="173"/>
      <c r="AQ384" s="175"/>
    </row>
    <row r="385" spans="1:43" x14ac:dyDescent="0.3">
      <c r="A385" s="170" t="s">
        <v>2240</v>
      </c>
      <c r="B385" s="170"/>
      <c r="C385" s="170" t="s">
        <v>2204</v>
      </c>
      <c r="D385" s="171">
        <v>0</v>
      </c>
      <c r="E385" s="171"/>
      <c r="F385" s="171">
        <v>100</v>
      </c>
      <c r="G385" s="171"/>
      <c r="H385" s="171">
        <v>200</v>
      </c>
      <c r="I385" s="171"/>
      <c r="J385" s="171">
        <v>300</v>
      </c>
      <c r="K385" s="171"/>
      <c r="L385" s="171">
        <v>400</v>
      </c>
      <c r="M385" s="171"/>
      <c r="N385" s="171">
        <v>500</v>
      </c>
      <c r="O385" s="171"/>
      <c r="P385" s="171">
        <v>600</v>
      </c>
      <c r="Q385" s="171"/>
      <c r="R385" s="171">
        <v>700</v>
      </c>
      <c r="S385" s="171"/>
      <c r="T385" s="171">
        <v>800</v>
      </c>
      <c r="U385" s="171"/>
      <c r="V385" s="171">
        <v>900</v>
      </c>
      <c r="W385" s="171"/>
      <c r="X385" s="171">
        <v>0</v>
      </c>
      <c r="Y385" s="171"/>
      <c r="Z385" s="171">
        <v>100</v>
      </c>
      <c r="AA385" s="171"/>
      <c r="AB385" s="171">
        <v>200</v>
      </c>
      <c r="AC385" s="171"/>
      <c r="AD385" s="171">
        <v>300</v>
      </c>
      <c r="AE385" s="171"/>
      <c r="AF385" s="171">
        <v>400</v>
      </c>
      <c r="AG385" s="171"/>
      <c r="AH385" s="171">
        <v>500</v>
      </c>
      <c r="AI385" s="171"/>
      <c r="AJ385" s="171">
        <v>600</v>
      </c>
      <c r="AK385" s="171"/>
      <c r="AL385" s="171">
        <v>700</v>
      </c>
      <c r="AM385" s="171"/>
      <c r="AN385" s="171">
        <v>800</v>
      </c>
      <c r="AO385" s="171"/>
      <c r="AP385" s="171">
        <v>900</v>
      </c>
      <c r="AQ385" s="171"/>
    </row>
    <row r="386" spans="1:43" ht="15" customHeight="1" x14ac:dyDescent="0.3">
      <c r="A386" s="235" t="s">
        <v>2205</v>
      </c>
      <c r="B386" s="167" t="s">
        <v>263</v>
      </c>
      <c r="C386" s="168"/>
      <c r="D386" s="169" t="str">
        <f>IF('01_Stations'!$D$366=1,"▓","")</f>
        <v/>
      </c>
      <c r="E386" s="169" t="str">
        <f>IF('01_Stations'!$D$367=1,"▓","")</f>
        <v/>
      </c>
      <c r="F386" s="169" t="str">
        <f>IF('01_Stations'!$D$368=1,"▓","")</f>
        <v/>
      </c>
      <c r="G386" s="169" t="str">
        <f>IF('01_Stations'!$D$369=1,"▓","")</f>
        <v/>
      </c>
      <c r="H386" s="169" t="str">
        <f>IF('01_Stations'!$D$370=1,"▓","")</f>
        <v/>
      </c>
      <c r="I386" s="169" t="str">
        <f>IF('01_Stations'!$D$371=1,"▓","")</f>
        <v/>
      </c>
      <c r="J386" s="169" t="str">
        <f>IF('01_Stations'!$D$372=1,"▓","")</f>
        <v/>
      </c>
      <c r="K386" s="169" t="str">
        <f>IF('01_Stations'!$D$373=1,"▓","")</f>
        <v/>
      </c>
      <c r="L386" s="169" t="str">
        <f>IF('01_Stations'!$D$374=1,"▓","")</f>
        <v/>
      </c>
      <c r="M386" s="169" t="str">
        <f>IF('01_Stations'!$D$375=1,"▓","")</f>
        <v/>
      </c>
      <c r="N386" s="169" t="str">
        <f>IF('01_Stations'!$D$376=1,"▓","")</f>
        <v/>
      </c>
      <c r="O386" s="169" t="str">
        <f>IF('01_Stations'!$D$377=1,"▓","")</f>
        <v/>
      </c>
      <c r="P386" s="169" t="str">
        <f>IF('01_Stations'!$D$378=1,"▓","")</f>
        <v/>
      </c>
      <c r="Q386" s="169" t="str">
        <f>IF('01_Stations'!$D$379=1,"▓","")</f>
        <v/>
      </c>
      <c r="R386" s="169" t="str">
        <f>IF('01_Stations'!$D$380=1,"▓","")</f>
        <v/>
      </c>
      <c r="S386" s="169" t="str">
        <f>IF('01_Stations'!$D$381=1,"▓","")</f>
        <v/>
      </c>
      <c r="T386" s="169" t="str">
        <f>IF('01_Stations'!$D$382=1,"▓","")</f>
        <v/>
      </c>
      <c r="U386" s="169" t="str">
        <f>IF('01_Stations'!$D$383=1,"▓","")</f>
        <v/>
      </c>
      <c r="V386" s="169" t="str">
        <f>IF('01_Stations'!$D$384=1,"▓","")</f>
        <v/>
      </c>
      <c r="W386" s="169" t="str">
        <f>IF('01_Stations'!$D$385=1,"▓","")</f>
        <v/>
      </c>
      <c r="X386" s="169" t="str">
        <f>IF('01_Stations'!$D$386=1,"▓","")</f>
        <v/>
      </c>
      <c r="Y386" s="169" t="str">
        <f>IF('01_Stations'!$D$387=1,"▓","")</f>
        <v/>
      </c>
      <c r="Z386" s="169" t="str">
        <f>IF('01_Stations'!$D$388=1,"▓","")</f>
        <v/>
      </c>
      <c r="AA386" s="169" t="str">
        <f>IF('01_Stations'!$D$389=1,"▓","")</f>
        <v/>
      </c>
      <c r="AB386" s="169" t="str">
        <f>IF('01_Stations'!$D$390=1,"▓","")</f>
        <v/>
      </c>
      <c r="AC386" s="169" t="str">
        <f>IF('01_Stations'!$D$391=1,"▓","")</f>
        <v/>
      </c>
      <c r="AD386" s="169" t="str">
        <f>IF('01_Stations'!$D$392=1,"▓","")</f>
        <v/>
      </c>
      <c r="AE386" s="169" t="str">
        <f>IF('01_Stations'!$D$393=1,"▓","")</f>
        <v/>
      </c>
      <c r="AF386" s="169" t="str">
        <f>IF('01_Stations'!$D$394=1,"▓","")</f>
        <v/>
      </c>
      <c r="AG386" s="169" t="str">
        <f>IF('01_Stations'!$D$395=1,"▓","")</f>
        <v/>
      </c>
      <c r="AH386" s="169" t="str">
        <f>IF('01_Stations'!$D$396=1,"▓","")</f>
        <v/>
      </c>
      <c r="AI386" s="169" t="str">
        <f>IF('01_Stations'!$D$397=1,"▓","")</f>
        <v/>
      </c>
      <c r="AJ386" s="169" t="str">
        <f>IF('01_Stations'!$D$398=1,"▓","")</f>
        <v/>
      </c>
      <c r="AK386" s="169" t="str">
        <f>IF('01_Stations'!$D$399=1,"▓","")</f>
        <v/>
      </c>
      <c r="AL386" s="169" t="str">
        <f>IF('01_Stations'!$D$400=1,"▓","")</f>
        <v/>
      </c>
      <c r="AM386" s="169" t="str">
        <f>IF('01_Stations'!$D$401=1,"▓","")</f>
        <v/>
      </c>
      <c r="AN386" s="169" t="str">
        <f>IF('01_Stations'!$D$402=1,"▓","")</f>
        <v/>
      </c>
      <c r="AO386" s="169" t="str">
        <f>IF('01_Stations'!$D$403=1,"▓","")</f>
        <v/>
      </c>
      <c r="AP386" s="169" t="str">
        <f>IF('01_Stations'!$D$404=1,"▓","")</f>
        <v/>
      </c>
      <c r="AQ386" s="169" t="str">
        <f>IF('01_Stations'!$D$405=1,"▓","")</f>
        <v/>
      </c>
    </row>
    <row r="387" spans="1:43" ht="15" customHeight="1" x14ac:dyDescent="0.3">
      <c r="A387" s="236"/>
      <c r="B387" s="165" t="s">
        <v>2206</v>
      </c>
      <c r="C387" s="166"/>
      <c r="D387" s="164" t="str">
        <f>IF('01_Stations'!$E$366="","",'01_Stations'!$E$366)</f>
        <v/>
      </c>
      <c r="E387" s="164" t="str">
        <f>IF('01_Stations'!$E$367="","",'01_Stations'!$E$367)</f>
        <v/>
      </c>
      <c r="F387" s="164" t="str">
        <f>IF('01_Stations'!$E$368="","",'01_Stations'!$E$368)</f>
        <v/>
      </c>
      <c r="G387" s="164" t="str">
        <f>IF('01_Stations'!$E$369="","",'01_Stations'!$E$369)</f>
        <v/>
      </c>
      <c r="H387" s="164" t="str">
        <f>IF('01_Stations'!$E$370="","",'01_Stations'!$E$370)</f>
        <v/>
      </c>
      <c r="I387" s="164" t="str">
        <f>IF('01_Stations'!$E$371="","",'01_Stations'!$E$371)</f>
        <v/>
      </c>
      <c r="J387" s="164" t="str">
        <f>IF('01_Stations'!$E$372="","",'01_Stations'!$E$372)</f>
        <v/>
      </c>
      <c r="K387" s="164" t="str">
        <f>IF('01_Stations'!$E$373="","",'01_Stations'!$E$373)</f>
        <v/>
      </c>
      <c r="L387" s="164" t="str">
        <f>IF('01_Stations'!$E$374="","",'01_Stations'!$E$374)</f>
        <v/>
      </c>
      <c r="M387" s="164" t="str">
        <f>IF('01_Stations'!$E$375="","",'01_Stations'!$E$375)</f>
        <v/>
      </c>
      <c r="N387" s="164" t="str">
        <f>IF('01_Stations'!$E$376="","",'01_Stations'!$E$376)</f>
        <v/>
      </c>
      <c r="O387" s="164" t="str">
        <f>IF('01_Stations'!$E$377="","",'01_Stations'!$E$377)</f>
        <v/>
      </c>
      <c r="P387" s="164" t="str">
        <f>IF('01_Stations'!$E$378="","",'01_Stations'!$E$378)</f>
        <v/>
      </c>
      <c r="Q387" s="164" t="str">
        <f>IF('01_Stations'!$E$379="","",'01_Stations'!$E$379)</f>
        <v/>
      </c>
      <c r="R387" s="164" t="str">
        <f>IF('01_Stations'!$E$380="","",'01_Stations'!$E$380)</f>
        <v/>
      </c>
      <c r="S387" s="164" t="str">
        <f>IF('01_Stations'!$E$381="","",'01_Stations'!$E$381)</f>
        <v/>
      </c>
      <c r="T387" s="164" t="str">
        <f>IF('01_Stations'!$E$382="","",'01_Stations'!$E$382)</f>
        <v/>
      </c>
      <c r="U387" s="164" t="str">
        <f>IF('01_Stations'!$E$383="","",'01_Stations'!$E$383)</f>
        <v/>
      </c>
      <c r="V387" s="164" t="str">
        <f>IF('01_Stations'!$E$384="","",'01_Stations'!$E$384)</f>
        <v/>
      </c>
      <c r="W387" s="164" t="str">
        <f>IF('01_Stations'!$E$385="","",'01_Stations'!$E$385)</f>
        <v/>
      </c>
      <c r="X387" s="164" t="str">
        <f>IF('01_Stations'!$E$386="","",'01_Stations'!$E$386)</f>
        <v/>
      </c>
      <c r="Y387" s="164" t="str">
        <f>IF('01_Stations'!$E$387="","",'01_Stations'!$E$387)</f>
        <v/>
      </c>
      <c r="Z387" s="164" t="str">
        <f>IF('01_Stations'!$E$388="","",'01_Stations'!$E$388)</f>
        <v/>
      </c>
      <c r="AA387" s="164" t="str">
        <f>IF('01_Stations'!$E$389="","",'01_Stations'!$E$389)</f>
        <v/>
      </c>
      <c r="AB387" s="164" t="str">
        <f>IF('01_Stations'!$E$390="","",'01_Stations'!$E$390)</f>
        <v/>
      </c>
      <c r="AC387" s="164" t="str">
        <f>IF('01_Stations'!$E$391="","",'01_Stations'!$E$391)</f>
        <v/>
      </c>
      <c r="AD387" s="164" t="str">
        <f>IF('01_Stations'!$E$392="","",'01_Stations'!$E$392)</f>
        <v/>
      </c>
      <c r="AE387" s="164" t="str">
        <f>IF('01_Stations'!$E$393="","",'01_Stations'!$E$393)</f>
        <v/>
      </c>
      <c r="AF387" s="164" t="str">
        <f>IF('01_Stations'!$E$394="","",'01_Stations'!$E$394)</f>
        <v/>
      </c>
      <c r="AG387" s="164" t="str">
        <f>IF('01_Stations'!$E$395="","",'01_Stations'!$E$395)</f>
        <v/>
      </c>
      <c r="AH387" s="164" t="str">
        <f>IF('01_Stations'!$E$396="","",'01_Stations'!$E$396)</f>
        <v/>
      </c>
      <c r="AI387" s="164" t="str">
        <f>IF('01_Stations'!$E$397="","",'01_Stations'!$E$397)</f>
        <v/>
      </c>
      <c r="AJ387" s="164" t="str">
        <f>IF('01_Stations'!$E$398="","",'01_Stations'!$E$398)</f>
        <v/>
      </c>
      <c r="AK387" s="164" t="str">
        <f>IF('01_Stations'!$E$399="","",'01_Stations'!$E$399)</f>
        <v/>
      </c>
      <c r="AL387" s="164" t="str">
        <f>IF('01_Stations'!$E$400="","",'01_Stations'!$E$400)</f>
        <v/>
      </c>
      <c r="AM387" s="164" t="str">
        <f>IF('01_Stations'!$E$401="","",'01_Stations'!$E$401)</f>
        <v/>
      </c>
      <c r="AN387" s="164" t="str">
        <f>IF('01_Stations'!$E$402="","",'01_Stations'!$E$402)</f>
        <v/>
      </c>
      <c r="AO387" s="164" t="str">
        <f>IF('01_Stations'!$E$403="","",'01_Stations'!$E$403)</f>
        <v/>
      </c>
      <c r="AP387" s="164" t="str">
        <f>IF('01_Stations'!$E$404="","",'01_Stations'!$E$404)</f>
        <v/>
      </c>
      <c r="AQ387" s="164" t="str">
        <f>IF('01_Stations'!$E$405="","",'01_Stations'!$E$405)</f>
        <v/>
      </c>
    </row>
    <row r="388" spans="1:43" ht="15" customHeight="1" x14ac:dyDescent="0.3">
      <c r="A388" s="236"/>
      <c r="B388" s="165" t="s">
        <v>2207</v>
      </c>
      <c r="C388" s="166"/>
      <c r="D388" s="164" t="str">
        <f>IF('01_Stations'!$F$366=1,"───","")</f>
        <v/>
      </c>
      <c r="E388" s="164" t="str">
        <f>IF('01_Stations'!$F$367=1,"───","")</f>
        <v/>
      </c>
      <c r="F388" s="164" t="str">
        <f>IF('01_Stations'!$F$368=1,"───","")</f>
        <v/>
      </c>
      <c r="G388" s="164" t="str">
        <f>IF('01_Stations'!$F$369=1,"───","")</f>
        <v/>
      </c>
      <c r="H388" s="164" t="str">
        <f>IF('01_Stations'!$F$370=1,"───","")</f>
        <v/>
      </c>
      <c r="I388" s="164" t="str">
        <f>IF('01_Stations'!$F$371=1,"───","")</f>
        <v/>
      </c>
      <c r="J388" s="164" t="str">
        <f>IF('01_Stations'!$F$372=1,"───","")</f>
        <v/>
      </c>
      <c r="K388" s="164" t="str">
        <f>IF('01_Stations'!$F$373=1,"───","")</f>
        <v/>
      </c>
      <c r="L388" s="164" t="str">
        <f>IF('01_Stations'!$F$374=1,"───","")</f>
        <v/>
      </c>
      <c r="M388" s="164" t="str">
        <f>IF('01_Stations'!$F$375=1,"───","")</f>
        <v/>
      </c>
      <c r="N388" s="164" t="str">
        <f>IF('01_Stations'!$F$376=1,"───","")</f>
        <v/>
      </c>
      <c r="O388" s="164" t="str">
        <f>IF('01_Stations'!$F$377=1,"───","")</f>
        <v/>
      </c>
      <c r="P388" s="164" t="str">
        <f>IF('01_Stations'!$F$378=1,"───","")</f>
        <v/>
      </c>
      <c r="Q388" s="164" t="str">
        <f>IF('01_Stations'!$F$379=1,"───","")</f>
        <v/>
      </c>
      <c r="R388" s="164" t="str">
        <f>IF('01_Stations'!$F$380=1,"───","")</f>
        <v/>
      </c>
      <c r="S388" s="164" t="str">
        <f>IF('01_Stations'!$F$381=1,"───","")</f>
        <v/>
      </c>
      <c r="T388" s="164" t="str">
        <f>IF('01_Stations'!$F$382=1,"───","")</f>
        <v/>
      </c>
      <c r="U388" s="164" t="str">
        <f>IF('01_Stations'!$F$383=1,"───","")</f>
        <v/>
      </c>
      <c r="V388" s="164" t="str">
        <f>IF('01_Stations'!$F$384=1,"───","")</f>
        <v/>
      </c>
      <c r="W388" s="164" t="str">
        <f>IF('01_Stations'!$F$385=1,"───","")</f>
        <v/>
      </c>
      <c r="X388" s="164" t="str">
        <f>IF('01_Stations'!$F$386=1,"───","")</f>
        <v/>
      </c>
      <c r="Y388" s="164" t="str">
        <f>IF('01_Stations'!$F$387=1,"───","")</f>
        <v/>
      </c>
      <c r="Z388" s="164" t="str">
        <f>IF('01_Stations'!$F$388=1,"───","")</f>
        <v/>
      </c>
      <c r="AA388" s="164" t="str">
        <f>IF('01_Stations'!$F$389=1,"───","")</f>
        <v/>
      </c>
      <c r="AB388" s="164" t="str">
        <f>IF('01_Stations'!$F$390=1,"───","")</f>
        <v/>
      </c>
      <c r="AC388" s="164" t="str">
        <f>IF('01_Stations'!$F$391=1,"───","")</f>
        <v/>
      </c>
      <c r="AD388" s="164" t="str">
        <f>IF('01_Stations'!$F$392=1,"───","")</f>
        <v/>
      </c>
      <c r="AE388" s="164" t="str">
        <f>IF('01_Stations'!$F$393=1,"───","")</f>
        <v/>
      </c>
      <c r="AF388" s="164" t="str">
        <f>IF('01_Stations'!$F$394=1,"───","")</f>
        <v/>
      </c>
      <c r="AG388" s="164" t="str">
        <f>IF('01_Stations'!$F$395=1,"───","")</f>
        <v/>
      </c>
      <c r="AH388" s="164" t="str">
        <f>IF('01_Stations'!$F$396=1,"───","")</f>
        <v/>
      </c>
      <c r="AI388" s="164" t="str">
        <f>IF('01_Stations'!$F$397=1,"───","")</f>
        <v/>
      </c>
      <c r="AJ388" s="164" t="str">
        <f>IF('01_Stations'!$F$398=1,"───","")</f>
        <v/>
      </c>
      <c r="AK388" s="164" t="str">
        <f>IF('01_Stations'!$F$399=1,"───","")</f>
        <v/>
      </c>
      <c r="AL388" s="164" t="str">
        <f>IF('01_Stations'!$F$400=1,"───","")</f>
        <v/>
      </c>
      <c r="AM388" s="164" t="str">
        <f>IF('01_Stations'!$F$401=1,"───","")</f>
        <v/>
      </c>
      <c r="AN388" s="164" t="str">
        <f>IF('01_Stations'!$F$402=1,"───","")</f>
        <v/>
      </c>
      <c r="AO388" s="164" t="str">
        <f>IF('01_Stations'!$F$403=1,"───","")</f>
        <v/>
      </c>
      <c r="AP388" s="164" t="str">
        <f>IF('01_Stations'!$F$404=1,"───","")</f>
        <v/>
      </c>
      <c r="AQ388" s="164" t="str">
        <f>IF('01_Stations'!$F$405=1,"───","")</f>
        <v/>
      </c>
    </row>
    <row r="389" spans="1:43" ht="15" customHeight="1" x14ac:dyDescent="0.3">
      <c r="A389" s="236"/>
      <c r="B389" s="165" t="s">
        <v>265</v>
      </c>
      <c r="C389" s="166" t="s">
        <v>299</v>
      </c>
      <c r="D389" s="164" t="str">
        <f>IF(N('01_Stations'!$G$366)&gt;0,'01_Stations'!$G$366,"")</f>
        <v/>
      </c>
      <c r="E389" s="164" t="str">
        <f>IF(N('01_Stations'!$G$367)&gt;0,'01_Stations'!$G$367,"")</f>
        <v/>
      </c>
      <c r="F389" s="164" t="str">
        <f>IF(N('01_Stations'!$G$368)&gt;0,'01_Stations'!$G$368,"")</f>
        <v/>
      </c>
      <c r="G389" s="164" t="str">
        <f>IF(N('01_Stations'!$G$369)&gt;0,'01_Stations'!$G$369,"")</f>
        <v/>
      </c>
      <c r="H389" s="164" t="str">
        <f>IF(N('01_Stations'!$G$370)&gt;0,'01_Stations'!$G$370,"")</f>
        <v/>
      </c>
      <c r="I389" s="164" t="str">
        <f>IF(N('01_Stations'!$G$371)&gt;0,'01_Stations'!$G$371,"")</f>
        <v/>
      </c>
      <c r="J389" s="164" t="str">
        <f>IF(N('01_Stations'!$G$372)&gt;0,'01_Stations'!$G$372,"")</f>
        <v/>
      </c>
      <c r="K389" s="164" t="str">
        <f>IF(N('01_Stations'!$G$373)&gt;0,'01_Stations'!$G$373,"")</f>
        <v/>
      </c>
      <c r="L389" s="164" t="str">
        <f>IF(N('01_Stations'!$G$374)&gt;0,'01_Stations'!$G$374,"")</f>
        <v/>
      </c>
      <c r="M389" s="164" t="str">
        <f>IF(N('01_Stations'!$G$375)&gt;0,'01_Stations'!$G$375,"")</f>
        <v/>
      </c>
      <c r="N389" s="164" t="str">
        <f>IF(N('01_Stations'!$G$376)&gt;0,'01_Stations'!$G$376,"")</f>
        <v/>
      </c>
      <c r="O389" s="164" t="str">
        <f>IF(N('01_Stations'!$G$377)&gt;0,'01_Stations'!$G$377,"")</f>
        <v/>
      </c>
      <c r="P389" s="164" t="str">
        <f>IF(N('01_Stations'!$G$378)&gt;0,'01_Stations'!$G$378,"")</f>
        <v/>
      </c>
      <c r="Q389" s="164" t="str">
        <f>IF(N('01_Stations'!$G$379)&gt;0,'01_Stations'!$G$379,"")</f>
        <v/>
      </c>
      <c r="R389" s="164" t="str">
        <f>IF(N('01_Stations'!$G$380)&gt;0,'01_Stations'!$G$380,"")</f>
        <v/>
      </c>
      <c r="S389" s="164" t="str">
        <f>IF(N('01_Stations'!$G$381)&gt;0,'01_Stations'!$G$381,"")</f>
        <v/>
      </c>
      <c r="T389" s="164" t="str">
        <f>IF(N('01_Stations'!$G$382)&gt;0,'01_Stations'!$G$382,"")</f>
        <v/>
      </c>
      <c r="U389" s="164" t="str">
        <f>IF(N('01_Stations'!$G$383)&gt;0,'01_Stations'!$G$383,"")</f>
        <v/>
      </c>
      <c r="V389" s="164" t="str">
        <f>IF(N('01_Stations'!$G$384)&gt;0,'01_Stations'!$G$384,"")</f>
        <v/>
      </c>
      <c r="W389" s="164" t="str">
        <f>IF(N('01_Stations'!$G$385)&gt;0,'01_Stations'!$G$385,"")</f>
        <v/>
      </c>
      <c r="X389" s="164" t="str">
        <f>IF(N('01_Stations'!$G$386)&gt;0,'01_Stations'!$G$386,"")</f>
        <v/>
      </c>
      <c r="Y389" s="164" t="str">
        <f>IF(N('01_Stations'!$G$387)&gt;0,'01_Stations'!$G$387,"")</f>
        <v/>
      </c>
      <c r="Z389" s="164" t="str">
        <f>IF(N('01_Stations'!$G$388)&gt;0,'01_Stations'!$G$388,"")</f>
        <v/>
      </c>
      <c r="AA389" s="164" t="str">
        <f>IF(N('01_Stations'!$G$389)&gt;0,'01_Stations'!$G$389,"")</f>
        <v/>
      </c>
      <c r="AB389" s="164" t="str">
        <f>IF(N('01_Stations'!$G$390)&gt;0,'01_Stations'!$G$390,"")</f>
        <v/>
      </c>
      <c r="AC389" s="164" t="str">
        <f>IF(N('01_Stations'!$G$391)&gt;0,'01_Stations'!$G$391,"")</f>
        <v/>
      </c>
      <c r="AD389" s="164" t="str">
        <f>IF(N('01_Stations'!$G$392)&gt;0,'01_Stations'!$G$392,"")</f>
        <v/>
      </c>
      <c r="AE389" s="164" t="str">
        <f>IF(N('01_Stations'!$G$393)&gt;0,'01_Stations'!$G$393,"")</f>
        <v/>
      </c>
      <c r="AF389" s="164" t="str">
        <f>IF(N('01_Stations'!$G$394)&gt;0,'01_Stations'!$G$394,"")</f>
        <v/>
      </c>
      <c r="AG389" s="164" t="str">
        <f>IF(N('01_Stations'!$G$395)&gt;0,'01_Stations'!$G$395,"")</f>
        <v/>
      </c>
      <c r="AH389" s="164" t="str">
        <f>IF(N('01_Stations'!$G$396)&gt;0,'01_Stations'!$G$396,"")</f>
        <v/>
      </c>
      <c r="AI389" s="164" t="str">
        <f>IF(N('01_Stations'!$G$397)&gt;0,'01_Stations'!$G$397,"")</f>
        <v/>
      </c>
      <c r="AJ389" s="164" t="str">
        <f>IF(N('01_Stations'!$G$398)&gt;0,'01_Stations'!$G$398,"")</f>
        <v/>
      </c>
      <c r="AK389" s="164" t="str">
        <f>IF(N('01_Stations'!$G$399)&gt;0,'01_Stations'!$G$399,"")</f>
        <v/>
      </c>
      <c r="AL389" s="164" t="str">
        <f>IF(N('01_Stations'!$G$400)&gt;0,'01_Stations'!$G$400,"")</f>
        <v/>
      </c>
      <c r="AM389" s="164" t="str">
        <f>IF(N('01_Stations'!$G$401)&gt;0,'01_Stations'!$G$401,"")</f>
        <v/>
      </c>
      <c r="AN389" s="164" t="str">
        <f>IF(N('01_Stations'!$G$402)&gt;0,'01_Stations'!$G$402,"")</f>
        <v/>
      </c>
      <c r="AO389" s="164" t="str">
        <f>IF(N('01_Stations'!$G$403)&gt;0,'01_Stations'!$G$403,"")</f>
        <v/>
      </c>
      <c r="AP389" s="164" t="str">
        <f>IF(N('01_Stations'!$G$404)&gt;0,'01_Stations'!$G$404,"")</f>
        <v/>
      </c>
      <c r="AQ389" s="164" t="str">
        <f>IF(N('01_Stations'!$G$405)&gt;0,'01_Stations'!$G$405,"")</f>
        <v/>
      </c>
    </row>
    <row r="390" spans="1:43" ht="15" customHeight="1" x14ac:dyDescent="0.3">
      <c r="A390" s="236"/>
      <c r="B390" s="165" t="s">
        <v>1866</v>
      </c>
      <c r="C390" s="166" t="s">
        <v>300</v>
      </c>
      <c r="D390" s="164" t="str">
        <f>IF(N('01_Stations'!$H$366)&gt;0,'01_Stations'!$H$366,"")</f>
        <v/>
      </c>
      <c r="E390" s="164" t="str">
        <f>IF(N('01_Stations'!$H$367)&gt;0,'01_Stations'!$H$367,"")</f>
        <v/>
      </c>
      <c r="F390" s="164" t="str">
        <f>IF(N('01_Stations'!$H$368)&gt;0,'01_Stations'!$H$368,"")</f>
        <v/>
      </c>
      <c r="G390" s="164" t="str">
        <f>IF(N('01_Stations'!$H$369)&gt;0,'01_Stations'!$H$369,"")</f>
        <v/>
      </c>
      <c r="H390" s="164" t="str">
        <f>IF(N('01_Stations'!$H$370)&gt;0,'01_Stations'!$H$370,"")</f>
        <v/>
      </c>
      <c r="I390" s="164" t="str">
        <f>IF(N('01_Stations'!$H$371)&gt;0,'01_Stations'!$H$371,"")</f>
        <v/>
      </c>
      <c r="J390" s="164" t="str">
        <f>IF(N('01_Stations'!$H$372)&gt;0,'01_Stations'!$H$372,"")</f>
        <v/>
      </c>
      <c r="K390" s="164" t="str">
        <f>IF(N('01_Stations'!$H$373)&gt;0,'01_Stations'!$H$373,"")</f>
        <v/>
      </c>
      <c r="L390" s="164" t="str">
        <f>IF(N('01_Stations'!$H$374)&gt;0,'01_Stations'!$H$374,"")</f>
        <v/>
      </c>
      <c r="M390" s="164" t="str">
        <f>IF(N('01_Stations'!$H$375)&gt;0,'01_Stations'!$H$375,"")</f>
        <v/>
      </c>
      <c r="N390" s="164" t="str">
        <f>IF(N('01_Stations'!$H$376)&gt;0,'01_Stations'!$H$376,"")</f>
        <v/>
      </c>
      <c r="O390" s="164" t="str">
        <f>IF(N('01_Stations'!$H$377)&gt;0,'01_Stations'!$H$377,"")</f>
        <v/>
      </c>
      <c r="P390" s="164" t="str">
        <f>IF(N('01_Stations'!$H$378)&gt;0,'01_Stations'!$H$378,"")</f>
        <v/>
      </c>
      <c r="Q390" s="164" t="str">
        <f>IF(N('01_Stations'!$H$379)&gt;0,'01_Stations'!$H$379,"")</f>
        <v/>
      </c>
      <c r="R390" s="164" t="str">
        <f>IF(N('01_Stations'!$H$380)&gt;0,'01_Stations'!$H$380,"")</f>
        <v/>
      </c>
      <c r="S390" s="164" t="str">
        <f>IF(N('01_Stations'!$H$381)&gt;0,'01_Stations'!$H$381,"")</f>
        <v/>
      </c>
      <c r="T390" s="164" t="str">
        <f>IF(N('01_Stations'!$H$382)&gt;0,'01_Stations'!$H$382,"")</f>
        <v/>
      </c>
      <c r="U390" s="164" t="str">
        <f>IF(N('01_Stations'!$H$383)&gt;0,'01_Stations'!$H$383,"")</f>
        <v/>
      </c>
      <c r="V390" s="164" t="str">
        <f>IF(N('01_Stations'!$H$384)&gt;0,'01_Stations'!$H$384,"")</f>
        <v/>
      </c>
      <c r="W390" s="164" t="str">
        <f>IF(N('01_Stations'!$H$385)&gt;0,'01_Stations'!$H$385,"")</f>
        <v/>
      </c>
      <c r="X390" s="164" t="str">
        <f>IF(N('01_Stations'!$H$386)&gt;0,'01_Stations'!$H$386,"")</f>
        <v/>
      </c>
      <c r="Y390" s="164" t="str">
        <f>IF(N('01_Stations'!$H$387)&gt;0,'01_Stations'!$H$387,"")</f>
        <v/>
      </c>
      <c r="Z390" s="164" t="str">
        <f>IF(N('01_Stations'!$H$388)&gt;0,'01_Stations'!$H$388,"")</f>
        <v/>
      </c>
      <c r="AA390" s="164" t="str">
        <f>IF(N('01_Stations'!$H$389)&gt;0,'01_Stations'!$H$389,"")</f>
        <v/>
      </c>
      <c r="AB390" s="164" t="str">
        <f>IF(N('01_Stations'!$H$390)&gt;0,'01_Stations'!$H$390,"")</f>
        <v/>
      </c>
      <c r="AC390" s="164" t="str">
        <f>IF(N('01_Stations'!$H$391)&gt;0,'01_Stations'!$H$391,"")</f>
        <v/>
      </c>
      <c r="AD390" s="164" t="str">
        <f>IF(N('01_Stations'!$H$392)&gt;0,'01_Stations'!$H$392,"")</f>
        <v/>
      </c>
      <c r="AE390" s="164" t="str">
        <f>IF(N('01_Stations'!$H$393)&gt;0,'01_Stations'!$H$393,"")</f>
        <v/>
      </c>
      <c r="AF390" s="164" t="str">
        <f>IF(N('01_Stations'!$H$394)&gt;0,'01_Stations'!$H$394,"")</f>
        <v/>
      </c>
      <c r="AG390" s="164" t="str">
        <f>IF(N('01_Stations'!$H$395)&gt;0,'01_Stations'!$H$395,"")</f>
        <v/>
      </c>
      <c r="AH390" s="164" t="str">
        <f>IF(N('01_Stations'!$H$396)&gt;0,'01_Stations'!$H$396,"")</f>
        <v/>
      </c>
      <c r="AI390" s="164" t="str">
        <f>IF(N('01_Stations'!$H$397)&gt;0,'01_Stations'!$H$397,"")</f>
        <v/>
      </c>
      <c r="AJ390" s="164" t="str">
        <f>IF(N('01_Stations'!$H$398)&gt;0,'01_Stations'!$H$398,"")</f>
        <v/>
      </c>
      <c r="AK390" s="164" t="str">
        <f>IF(N('01_Stations'!$H$399)&gt;0,'01_Stations'!$H$399,"")</f>
        <v/>
      </c>
      <c r="AL390" s="164" t="str">
        <f>IF(N('01_Stations'!$H$400)&gt;0,'01_Stations'!$H$400,"")</f>
        <v/>
      </c>
      <c r="AM390" s="164" t="str">
        <f>IF(N('01_Stations'!$H$401)&gt;0,'01_Stations'!$H$401,"")</f>
        <v/>
      </c>
      <c r="AN390" s="164" t="str">
        <f>IF(N('01_Stations'!$H$402)&gt;0,'01_Stations'!$H$402,"")</f>
        <v/>
      </c>
      <c r="AO390" s="164" t="str">
        <f>IF(N('01_Stations'!$H$403)&gt;0,'01_Stations'!$H$403,"")</f>
        <v/>
      </c>
      <c r="AP390" s="164" t="str">
        <f>IF(N('01_Stations'!$H$404)&gt;0,'01_Stations'!$H$404,"")</f>
        <v/>
      </c>
      <c r="AQ390" s="164" t="str">
        <f>IF(N('01_Stations'!$H$405)&gt;0,'01_Stations'!$H$405,"")</f>
        <v/>
      </c>
    </row>
    <row r="391" spans="1:43" ht="15" customHeight="1" x14ac:dyDescent="0.3">
      <c r="A391" s="236"/>
      <c r="B391" s="165" t="s">
        <v>267</v>
      </c>
      <c r="C391" s="166"/>
      <c r="D391" s="164" t="str">
        <f>IF('01_Stations'!$I$366=1,"───","")</f>
        <v/>
      </c>
      <c r="E391" s="164" t="str">
        <f>IF('01_Stations'!$I$367=1,"───","")</f>
        <v/>
      </c>
      <c r="F391" s="164" t="str">
        <f>IF('01_Stations'!$I$368=1,"───","")</f>
        <v/>
      </c>
      <c r="G391" s="164" t="str">
        <f>IF('01_Stations'!$I$369=1,"───","")</f>
        <v/>
      </c>
      <c r="H391" s="164" t="str">
        <f>IF('01_Stations'!$I$370=1,"───","")</f>
        <v/>
      </c>
      <c r="I391" s="164" t="str">
        <f>IF('01_Stations'!$I$371=1,"───","")</f>
        <v/>
      </c>
      <c r="J391" s="164" t="str">
        <f>IF('01_Stations'!$I$372=1,"───","")</f>
        <v/>
      </c>
      <c r="K391" s="164" t="str">
        <f>IF('01_Stations'!$I$373=1,"───","")</f>
        <v/>
      </c>
      <c r="L391" s="164" t="str">
        <f>IF('01_Stations'!$I$374=1,"───","")</f>
        <v/>
      </c>
      <c r="M391" s="164" t="str">
        <f>IF('01_Stations'!$I$375=1,"───","")</f>
        <v/>
      </c>
      <c r="N391" s="164" t="str">
        <f>IF('01_Stations'!$I$376=1,"───","")</f>
        <v/>
      </c>
      <c r="O391" s="164" t="str">
        <f>IF('01_Stations'!$I$377=1,"───","")</f>
        <v/>
      </c>
      <c r="P391" s="164" t="str">
        <f>IF('01_Stations'!$I$378=1,"───","")</f>
        <v/>
      </c>
      <c r="Q391" s="164" t="str">
        <f>IF('01_Stations'!$I$379=1,"───","")</f>
        <v/>
      </c>
      <c r="R391" s="164" t="str">
        <f>IF('01_Stations'!$I$380=1,"───","")</f>
        <v/>
      </c>
      <c r="S391" s="164" t="str">
        <f>IF('01_Stations'!$I$381=1,"───","")</f>
        <v/>
      </c>
      <c r="T391" s="164" t="str">
        <f>IF('01_Stations'!$I$382=1,"───","")</f>
        <v/>
      </c>
      <c r="U391" s="164" t="str">
        <f>IF('01_Stations'!$I$383=1,"───","")</f>
        <v/>
      </c>
      <c r="V391" s="164" t="str">
        <f>IF('01_Stations'!$I$384=1,"───","")</f>
        <v/>
      </c>
      <c r="W391" s="164" t="str">
        <f>IF('01_Stations'!$I$385=1,"───","")</f>
        <v/>
      </c>
      <c r="X391" s="164" t="str">
        <f>IF('01_Stations'!$I$386=1,"───","")</f>
        <v/>
      </c>
      <c r="Y391" s="164" t="str">
        <f>IF('01_Stations'!$I$387=1,"───","")</f>
        <v/>
      </c>
      <c r="Z391" s="164" t="str">
        <f>IF('01_Stations'!$I$388=1,"───","")</f>
        <v/>
      </c>
      <c r="AA391" s="164" t="str">
        <f>IF('01_Stations'!$I$389=1,"───","")</f>
        <v/>
      </c>
      <c r="AB391" s="164" t="str">
        <f>IF('01_Stations'!$I$390=1,"───","")</f>
        <v/>
      </c>
      <c r="AC391" s="164" t="str">
        <f>IF('01_Stations'!$I$391=1,"───","")</f>
        <v/>
      </c>
      <c r="AD391" s="164" t="str">
        <f>IF('01_Stations'!$I$392=1,"───","")</f>
        <v/>
      </c>
      <c r="AE391" s="164" t="str">
        <f>IF('01_Stations'!$I$393=1,"───","")</f>
        <v/>
      </c>
      <c r="AF391" s="164" t="str">
        <f>IF('01_Stations'!$I$394=1,"───","")</f>
        <v/>
      </c>
      <c r="AG391" s="164" t="str">
        <f>IF('01_Stations'!$I$395=1,"───","")</f>
        <v/>
      </c>
      <c r="AH391" s="164" t="str">
        <f>IF('01_Stations'!$I$396=1,"───","")</f>
        <v/>
      </c>
      <c r="AI391" s="164" t="str">
        <f>IF('01_Stations'!$I$397=1,"───","")</f>
        <v/>
      </c>
      <c r="AJ391" s="164" t="str">
        <f>IF('01_Stations'!$I$398=1,"───","")</f>
        <v/>
      </c>
      <c r="AK391" s="164" t="str">
        <f>IF('01_Stations'!$I$399=1,"───","")</f>
        <v/>
      </c>
      <c r="AL391" s="164" t="str">
        <f>IF('01_Stations'!$I$400=1,"───","")</f>
        <v/>
      </c>
      <c r="AM391" s="164" t="str">
        <f>IF('01_Stations'!$I$401=1,"───","")</f>
        <v/>
      </c>
      <c r="AN391" s="164" t="str">
        <f>IF('01_Stations'!$I$402=1,"───","")</f>
        <v/>
      </c>
      <c r="AO391" s="164" t="str">
        <f>IF('01_Stations'!$I$403=1,"───","")</f>
        <v/>
      </c>
      <c r="AP391" s="164" t="str">
        <f>IF('01_Stations'!$I$404=1,"───","")</f>
        <v/>
      </c>
      <c r="AQ391" s="164" t="str">
        <f>IF('01_Stations'!$I$405=1,"───","")</f>
        <v/>
      </c>
    </row>
    <row r="392" spans="1:43" ht="15" customHeight="1" x14ac:dyDescent="0.3">
      <c r="A392" s="236"/>
      <c r="B392" s="165" t="s">
        <v>268</v>
      </c>
      <c r="C392" s="166" t="s">
        <v>299</v>
      </c>
      <c r="D392" s="164" t="str">
        <f>IF(N('01_Stations'!$J$366)&gt;0,'01_Stations'!$J$366,"")</f>
        <v/>
      </c>
      <c r="E392" s="164" t="str">
        <f>IF(N('01_Stations'!$J$367)&gt;0,'01_Stations'!$J$367,"")</f>
        <v/>
      </c>
      <c r="F392" s="164" t="str">
        <f>IF(N('01_Stations'!$J$368)&gt;0,'01_Stations'!$J$368,"")</f>
        <v/>
      </c>
      <c r="G392" s="164" t="str">
        <f>IF(N('01_Stations'!$J$369)&gt;0,'01_Stations'!$J$369,"")</f>
        <v/>
      </c>
      <c r="H392" s="164" t="str">
        <f>IF(N('01_Stations'!$J$370)&gt;0,'01_Stations'!$J$370,"")</f>
        <v/>
      </c>
      <c r="I392" s="164" t="str">
        <f>IF(N('01_Stations'!$J$371)&gt;0,'01_Stations'!$J$371,"")</f>
        <v/>
      </c>
      <c r="J392" s="164" t="str">
        <f>IF(N('01_Stations'!$J$372)&gt;0,'01_Stations'!$J$372,"")</f>
        <v/>
      </c>
      <c r="K392" s="164" t="str">
        <f>IF(N('01_Stations'!$J$373)&gt;0,'01_Stations'!$J$373,"")</f>
        <v/>
      </c>
      <c r="L392" s="164" t="str">
        <f>IF(N('01_Stations'!$J$374)&gt;0,'01_Stations'!$J$374,"")</f>
        <v/>
      </c>
      <c r="M392" s="164" t="str">
        <f>IF(N('01_Stations'!$J$375)&gt;0,'01_Stations'!$J$375,"")</f>
        <v/>
      </c>
      <c r="N392" s="164" t="str">
        <f>IF(N('01_Stations'!$J$376)&gt;0,'01_Stations'!$J$376,"")</f>
        <v/>
      </c>
      <c r="O392" s="164" t="str">
        <f>IF(N('01_Stations'!$J$377)&gt;0,'01_Stations'!$J$377,"")</f>
        <v/>
      </c>
      <c r="P392" s="164" t="str">
        <f>IF(N('01_Stations'!$J$378)&gt;0,'01_Stations'!$J$378,"")</f>
        <v/>
      </c>
      <c r="Q392" s="164" t="str">
        <f>IF(N('01_Stations'!$J$379)&gt;0,'01_Stations'!$J$379,"")</f>
        <v/>
      </c>
      <c r="R392" s="164" t="str">
        <f>IF(N('01_Stations'!$J$380)&gt;0,'01_Stations'!$J$380,"")</f>
        <v/>
      </c>
      <c r="S392" s="164" t="str">
        <f>IF(N('01_Stations'!$J$381)&gt;0,'01_Stations'!$J$381,"")</f>
        <v/>
      </c>
      <c r="T392" s="164" t="str">
        <f>IF(N('01_Stations'!$J$382)&gt;0,'01_Stations'!$J$382,"")</f>
        <v/>
      </c>
      <c r="U392" s="164" t="str">
        <f>IF(N('01_Stations'!$J$383)&gt;0,'01_Stations'!$J$383,"")</f>
        <v/>
      </c>
      <c r="V392" s="164" t="str">
        <f>IF(N('01_Stations'!$J$384)&gt;0,'01_Stations'!$J$384,"")</f>
        <v/>
      </c>
      <c r="W392" s="164" t="str">
        <f>IF(N('01_Stations'!$J$385)&gt;0,'01_Stations'!$J$385,"")</f>
        <v/>
      </c>
      <c r="X392" s="164" t="str">
        <f>IF(N('01_Stations'!$J$386)&gt;0,'01_Stations'!$J$386,"")</f>
        <v/>
      </c>
      <c r="Y392" s="164" t="str">
        <f>IF(N('01_Stations'!$J$387)&gt;0,'01_Stations'!$J$387,"")</f>
        <v/>
      </c>
      <c r="Z392" s="164" t="str">
        <f>IF(N('01_Stations'!$J$388)&gt;0,'01_Stations'!$J$388,"")</f>
        <v/>
      </c>
      <c r="AA392" s="164" t="str">
        <f>IF(N('01_Stations'!$J$389)&gt;0,'01_Stations'!$J$389,"")</f>
        <v/>
      </c>
      <c r="AB392" s="164" t="str">
        <f>IF(N('01_Stations'!$J$390)&gt;0,'01_Stations'!$J$390,"")</f>
        <v/>
      </c>
      <c r="AC392" s="164" t="str">
        <f>IF(N('01_Stations'!$J$391)&gt;0,'01_Stations'!$J$391,"")</f>
        <v/>
      </c>
      <c r="AD392" s="164" t="str">
        <f>IF(N('01_Stations'!$J$392)&gt;0,'01_Stations'!$J$392,"")</f>
        <v/>
      </c>
      <c r="AE392" s="164" t="str">
        <f>IF(N('01_Stations'!$J$393)&gt;0,'01_Stations'!$J$393,"")</f>
        <v/>
      </c>
      <c r="AF392" s="164" t="str">
        <f>IF(N('01_Stations'!$J$394)&gt;0,'01_Stations'!$J$394,"")</f>
        <v/>
      </c>
      <c r="AG392" s="164" t="str">
        <f>IF(N('01_Stations'!$J$395)&gt;0,'01_Stations'!$J$395,"")</f>
        <v/>
      </c>
      <c r="AH392" s="164" t="str">
        <f>IF(N('01_Stations'!$J$396)&gt;0,'01_Stations'!$J$396,"")</f>
        <v/>
      </c>
      <c r="AI392" s="164" t="str">
        <f>IF(N('01_Stations'!$J$397)&gt;0,'01_Stations'!$J$397,"")</f>
        <v/>
      </c>
      <c r="AJ392" s="164" t="str">
        <f>IF(N('01_Stations'!$J$398)&gt;0,'01_Stations'!$J$398,"")</f>
        <v/>
      </c>
      <c r="AK392" s="164" t="str">
        <f>IF(N('01_Stations'!$J$399)&gt;0,'01_Stations'!$J$399,"")</f>
        <v/>
      </c>
      <c r="AL392" s="164" t="str">
        <f>IF(N('01_Stations'!$J$400)&gt;0,'01_Stations'!$J$400,"")</f>
        <v/>
      </c>
      <c r="AM392" s="164" t="str">
        <f>IF(N('01_Stations'!$J$401)&gt;0,'01_Stations'!$J$401,"")</f>
        <v/>
      </c>
      <c r="AN392" s="164" t="str">
        <f>IF(N('01_Stations'!$J$402)&gt;0,'01_Stations'!$J$402,"")</f>
        <v/>
      </c>
      <c r="AO392" s="164" t="str">
        <f>IF(N('01_Stations'!$J$403)&gt;0,'01_Stations'!$J$403,"")</f>
        <v/>
      </c>
      <c r="AP392" s="164" t="str">
        <f>IF(N('01_Stations'!$J$404)&gt;0,'01_Stations'!$J$404,"")</f>
        <v/>
      </c>
      <c r="AQ392" s="164" t="str">
        <f>IF(N('01_Stations'!$J$405)&gt;0,'01_Stations'!$J$405,"")</f>
        <v/>
      </c>
    </row>
    <row r="393" spans="1:43" ht="15" customHeight="1" x14ac:dyDescent="0.3">
      <c r="A393" s="236"/>
      <c r="B393" s="165" t="s">
        <v>2208</v>
      </c>
      <c r="C393" s="166" t="s">
        <v>63</v>
      </c>
      <c r="D393" s="164" t="str">
        <f>IF(N('01_Stations'!$K$366)&gt;0,'01_Stations'!$K$366,"")</f>
        <v/>
      </c>
      <c r="E393" s="164" t="str">
        <f>IF(N('01_Stations'!$K$367)&gt;0,'01_Stations'!$K$367,"")</f>
        <v/>
      </c>
      <c r="F393" s="164" t="str">
        <f>IF(N('01_Stations'!$K$368)&gt;0,'01_Stations'!$K$368,"")</f>
        <v/>
      </c>
      <c r="G393" s="164" t="str">
        <f>IF(N('01_Stations'!$K$369)&gt;0,'01_Stations'!$K$369,"")</f>
        <v/>
      </c>
      <c r="H393" s="164" t="str">
        <f>IF(N('01_Stations'!$K$370)&gt;0,'01_Stations'!$K$370,"")</f>
        <v/>
      </c>
      <c r="I393" s="164" t="str">
        <f>IF(N('01_Stations'!$K$371)&gt;0,'01_Stations'!$K$371,"")</f>
        <v/>
      </c>
      <c r="J393" s="164" t="str">
        <f>IF(N('01_Stations'!$K$372)&gt;0,'01_Stations'!$K$372,"")</f>
        <v/>
      </c>
      <c r="K393" s="164" t="str">
        <f>IF(N('01_Stations'!$K$373)&gt;0,'01_Stations'!$K$373,"")</f>
        <v/>
      </c>
      <c r="L393" s="164" t="str">
        <f>IF(N('01_Stations'!$K$374)&gt;0,'01_Stations'!$K$374,"")</f>
        <v/>
      </c>
      <c r="M393" s="164" t="str">
        <f>IF(N('01_Stations'!$K$375)&gt;0,'01_Stations'!$K$375,"")</f>
        <v/>
      </c>
      <c r="N393" s="164" t="str">
        <f>IF(N('01_Stations'!$K$376)&gt;0,'01_Stations'!$K$376,"")</f>
        <v/>
      </c>
      <c r="O393" s="164" t="str">
        <f>IF(N('01_Stations'!$K$377)&gt;0,'01_Stations'!$K$377,"")</f>
        <v/>
      </c>
      <c r="P393" s="164" t="str">
        <f>IF(N('01_Stations'!$K$378)&gt;0,'01_Stations'!$K$378,"")</f>
        <v/>
      </c>
      <c r="Q393" s="164" t="str">
        <f>IF(N('01_Stations'!$K$379)&gt;0,'01_Stations'!$K$379,"")</f>
        <v/>
      </c>
      <c r="R393" s="164" t="str">
        <f>IF(N('01_Stations'!$K$380)&gt;0,'01_Stations'!$K$380,"")</f>
        <v/>
      </c>
      <c r="S393" s="164" t="str">
        <f>IF(N('01_Stations'!$K$381)&gt;0,'01_Stations'!$K$381,"")</f>
        <v/>
      </c>
      <c r="T393" s="164" t="str">
        <f>IF(N('01_Stations'!$K$382)&gt;0,'01_Stations'!$K$382,"")</f>
        <v/>
      </c>
      <c r="U393" s="164" t="str">
        <f>IF(N('01_Stations'!$K$383)&gt;0,'01_Stations'!$K$383,"")</f>
        <v/>
      </c>
      <c r="V393" s="164" t="str">
        <f>IF(N('01_Stations'!$K$384)&gt;0,'01_Stations'!$K$384,"")</f>
        <v/>
      </c>
      <c r="W393" s="164" t="str">
        <f>IF(N('01_Stations'!$K$385)&gt;0,'01_Stations'!$K$385,"")</f>
        <v/>
      </c>
      <c r="X393" s="164" t="str">
        <f>IF(N('01_Stations'!$K$386)&gt;0,'01_Stations'!$K$386,"")</f>
        <v/>
      </c>
      <c r="Y393" s="164" t="str">
        <f>IF(N('01_Stations'!$K$387)&gt;0,'01_Stations'!$K$387,"")</f>
        <v/>
      </c>
      <c r="Z393" s="164" t="str">
        <f>IF(N('01_Stations'!$K$388)&gt;0,'01_Stations'!$K$388,"")</f>
        <v/>
      </c>
      <c r="AA393" s="164" t="str">
        <f>IF(N('01_Stations'!$K$389)&gt;0,'01_Stations'!$K$389,"")</f>
        <v/>
      </c>
      <c r="AB393" s="164" t="str">
        <f>IF(N('01_Stations'!$K$390)&gt;0,'01_Stations'!$K$390,"")</f>
        <v/>
      </c>
      <c r="AC393" s="164" t="str">
        <f>IF(N('01_Stations'!$K$391)&gt;0,'01_Stations'!$K$391,"")</f>
        <v/>
      </c>
      <c r="AD393" s="164" t="str">
        <f>IF(N('01_Stations'!$K$392)&gt;0,'01_Stations'!$K$392,"")</f>
        <v/>
      </c>
      <c r="AE393" s="164" t="str">
        <f>IF(N('01_Stations'!$K$393)&gt;0,'01_Stations'!$K$393,"")</f>
        <v/>
      </c>
      <c r="AF393" s="164" t="str">
        <f>IF(N('01_Stations'!$K$394)&gt;0,'01_Stations'!$K$394,"")</f>
        <v/>
      </c>
      <c r="AG393" s="164" t="str">
        <f>IF(N('01_Stations'!$K$395)&gt;0,'01_Stations'!$K$395,"")</f>
        <v/>
      </c>
      <c r="AH393" s="164" t="str">
        <f>IF(N('01_Stations'!$K$396)&gt;0,'01_Stations'!$K$396,"")</f>
        <v/>
      </c>
      <c r="AI393" s="164" t="str">
        <f>IF(N('01_Stations'!$K$397)&gt;0,'01_Stations'!$K$397,"")</f>
        <v/>
      </c>
      <c r="AJ393" s="164" t="str">
        <f>IF(N('01_Stations'!$K$398)&gt;0,'01_Stations'!$K$398,"")</f>
        <v/>
      </c>
      <c r="AK393" s="164" t="str">
        <f>IF(N('01_Stations'!$K$399)&gt;0,'01_Stations'!$K$399,"")</f>
        <v/>
      </c>
      <c r="AL393" s="164" t="str">
        <f>IF(N('01_Stations'!$K$400)&gt;0,'01_Stations'!$K$400,"")</f>
        <v/>
      </c>
      <c r="AM393" s="164" t="str">
        <f>IF(N('01_Stations'!$K$401)&gt;0,'01_Stations'!$K$401,"")</f>
        <v/>
      </c>
      <c r="AN393" s="164" t="str">
        <f>IF(N('01_Stations'!$K$402)&gt;0,'01_Stations'!$K$402,"")</f>
        <v/>
      </c>
      <c r="AO393" s="164" t="str">
        <f>IF(N('01_Stations'!$K$403)&gt;0,'01_Stations'!$K$403,"")</f>
        <v/>
      </c>
      <c r="AP393" s="164" t="str">
        <f>IF(N('01_Stations'!$K$404)&gt;0,'01_Stations'!$K$404,"")</f>
        <v/>
      </c>
      <c r="AQ393" s="164" t="str">
        <f>IF(N('01_Stations'!$K$405)&gt;0,'01_Stations'!$K$405,"")</f>
        <v/>
      </c>
    </row>
    <row r="394" spans="1:43" ht="15" customHeight="1" x14ac:dyDescent="0.3">
      <c r="A394" s="236"/>
      <c r="B394" s="165" t="s">
        <v>270</v>
      </c>
      <c r="C394" s="166"/>
      <c r="D394" s="164" t="str">
        <f>IF('01_Stations'!$L$366=1,"───","")</f>
        <v/>
      </c>
      <c r="E394" s="164" t="str">
        <f>IF('01_Stations'!$L$367=1,"───","")</f>
        <v/>
      </c>
      <c r="F394" s="164" t="str">
        <f>IF('01_Stations'!$L$368=1,"───","")</f>
        <v/>
      </c>
      <c r="G394" s="164" t="str">
        <f>IF('01_Stations'!$L$369=1,"───","")</f>
        <v/>
      </c>
      <c r="H394" s="164" t="str">
        <f>IF('01_Stations'!$L$370=1,"───","")</f>
        <v/>
      </c>
      <c r="I394" s="164" t="str">
        <f>IF('01_Stations'!$L$371=1,"───","")</f>
        <v/>
      </c>
      <c r="J394" s="164" t="str">
        <f>IF('01_Stations'!$L$372=1,"───","")</f>
        <v/>
      </c>
      <c r="K394" s="164" t="str">
        <f>IF('01_Stations'!$L$373=1,"───","")</f>
        <v/>
      </c>
      <c r="L394" s="164" t="str">
        <f>IF('01_Stations'!$L$374=1,"───","")</f>
        <v/>
      </c>
      <c r="M394" s="164" t="str">
        <f>IF('01_Stations'!$L$375=1,"───","")</f>
        <v/>
      </c>
      <c r="N394" s="164" t="str">
        <f>IF('01_Stations'!$L$376=1,"───","")</f>
        <v/>
      </c>
      <c r="O394" s="164" t="str">
        <f>IF('01_Stations'!$L$377=1,"───","")</f>
        <v/>
      </c>
      <c r="P394" s="164" t="str">
        <f>IF('01_Stations'!$L$378=1,"───","")</f>
        <v/>
      </c>
      <c r="Q394" s="164" t="str">
        <f>IF('01_Stations'!$L$379=1,"───","")</f>
        <v/>
      </c>
      <c r="R394" s="164" t="str">
        <f>IF('01_Stations'!$L$380=1,"───","")</f>
        <v/>
      </c>
      <c r="S394" s="164" t="str">
        <f>IF('01_Stations'!$L$381=1,"───","")</f>
        <v/>
      </c>
      <c r="T394" s="164" t="str">
        <f>IF('01_Stations'!$L$382=1,"───","")</f>
        <v/>
      </c>
      <c r="U394" s="164" t="str">
        <f>IF('01_Stations'!$L$383=1,"───","")</f>
        <v/>
      </c>
      <c r="V394" s="164" t="str">
        <f>IF('01_Stations'!$L$384=1,"───","")</f>
        <v/>
      </c>
      <c r="W394" s="164" t="str">
        <f>IF('01_Stations'!$L$385=1,"───","")</f>
        <v/>
      </c>
      <c r="X394" s="164" t="str">
        <f>IF('01_Stations'!$L$386=1,"───","")</f>
        <v/>
      </c>
      <c r="Y394" s="164" t="str">
        <f>IF('01_Stations'!$L$387=1,"───","")</f>
        <v/>
      </c>
      <c r="Z394" s="164" t="str">
        <f>IF('01_Stations'!$L$388=1,"───","")</f>
        <v/>
      </c>
      <c r="AA394" s="164" t="str">
        <f>IF('01_Stations'!$L$389=1,"───","")</f>
        <v/>
      </c>
      <c r="AB394" s="164" t="str">
        <f>IF('01_Stations'!$L$390=1,"───","")</f>
        <v/>
      </c>
      <c r="AC394" s="164" t="str">
        <f>IF('01_Stations'!$L$391=1,"───","")</f>
        <v/>
      </c>
      <c r="AD394" s="164" t="str">
        <f>IF('01_Stations'!$L$392=1,"───","")</f>
        <v/>
      </c>
      <c r="AE394" s="164" t="str">
        <f>IF('01_Stations'!$L$393=1,"───","")</f>
        <v/>
      </c>
      <c r="AF394" s="164" t="str">
        <f>IF('01_Stations'!$L$394=1,"───","")</f>
        <v/>
      </c>
      <c r="AG394" s="164" t="str">
        <f>IF('01_Stations'!$L$395=1,"───","")</f>
        <v/>
      </c>
      <c r="AH394" s="164" t="str">
        <f>IF('01_Stations'!$L$396=1,"───","")</f>
        <v/>
      </c>
      <c r="AI394" s="164" t="str">
        <f>IF('01_Stations'!$L$397=1,"───","")</f>
        <v/>
      </c>
      <c r="AJ394" s="164" t="str">
        <f>IF('01_Stations'!$L$398=1,"───","")</f>
        <v/>
      </c>
      <c r="AK394" s="164" t="str">
        <f>IF('01_Stations'!$L$399=1,"───","")</f>
        <v/>
      </c>
      <c r="AL394" s="164" t="str">
        <f>IF('01_Stations'!$L$400=1,"───","")</f>
        <v/>
      </c>
      <c r="AM394" s="164" t="str">
        <f>IF('01_Stations'!$L$401=1,"───","")</f>
        <v/>
      </c>
      <c r="AN394" s="164" t="str">
        <f>IF('01_Stations'!$L$402=1,"───","")</f>
        <v/>
      </c>
      <c r="AO394" s="164" t="str">
        <f>IF('01_Stations'!$L$403=1,"───","")</f>
        <v/>
      </c>
      <c r="AP394" s="164" t="str">
        <f>IF('01_Stations'!$L$404=1,"───","")</f>
        <v/>
      </c>
      <c r="AQ394" s="164" t="str">
        <f>IF('01_Stations'!$L$405=1,"───","")</f>
        <v/>
      </c>
    </row>
    <row r="395" spans="1:43" ht="15" customHeight="1" x14ac:dyDescent="0.3">
      <c r="A395" s="236"/>
      <c r="B395" s="165" t="s">
        <v>265</v>
      </c>
      <c r="C395" s="166" t="s">
        <v>299</v>
      </c>
      <c r="D395" s="164" t="str">
        <f>IF(N('01_Stations'!$M$366)&gt;0,'01_Stations'!$M$366,"")</f>
        <v/>
      </c>
      <c r="E395" s="164" t="str">
        <f>IF(N('01_Stations'!$M$367)&gt;0,'01_Stations'!$M$367,"")</f>
        <v/>
      </c>
      <c r="F395" s="164" t="str">
        <f>IF(N('01_Stations'!$M$368)&gt;0,'01_Stations'!$M$368,"")</f>
        <v/>
      </c>
      <c r="G395" s="164" t="str">
        <f>IF(N('01_Stations'!$M$369)&gt;0,'01_Stations'!$M$369,"")</f>
        <v/>
      </c>
      <c r="H395" s="164" t="str">
        <f>IF(N('01_Stations'!$M$370)&gt;0,'01_Stations'!$M$370,"")</f>
        <v/>
      </c>
      <c r="I395" s="164" t="str">
        <f>IF(N('01_Stations'!$M$371)&gt;0,'01_Stations'!$M$371,"")</f>
        <v/>
      </c>
      <c r="J395" s="164" t="str">
        <f>IF(N('01_Stations'!$M$372)&gt;0,'01_Stations'!$M$372,"")</f>
        <v/>
      </c>
      <c r="K395" s="164" t="str">
        <f>IF(N('01_Stations'!$M$373)&gt;0,'01_Stations'!$M$373,"")</f>
        <v/>
      </c>
      <c r="L395" s="164" t="str">
        <f>IF(N('01_Stations'!$M$374)&gt;0,'01_Stations'!$M$374,"")</f>
        <v/>
      </c>
      <c r="M395" s="164" t="str">
        <f>IF(N('01_Stations'!$M$375)&gt;0,'01_Stations'!$M$375,"")</f>
        <v/>
      </c>
      <c r="N395" s="164" t="str">
        <f>IF(N('01_Stations'!$M$376)&gt;0,'01_Stations'!$M$376,"")</f>
        <v/>
      </c>
      <c r="O395" s="164" t="str">
        <f>IF(N('01_Stations'!$M$377)&gt;0,'01_Stations'!$M$377,"")</f>
        <v/>
      </c>
      <c r="P395" s="164" t="str">
        <f>IF(N('01_Stations'!$M$378)&gt;0,'01_Stations'!$M$378,"")</f>
        <v/>
      </c>
      <c r="Q395" s="164" t="str">
        <f>IF(N('01_Stations'!$M$379)&gt;0,'01_Stations'!$M$379,"")</f>
        <v/>
      </c>
      <c r="R395" s="164" t="str">
        <f>IF(N('01_Stations'!$M$380)&gt;0,'01_Stations'!$M$380,"")</f>
        <v/>
      </c>
      <c r="S395" s="164" t="str">
        <f>IF(N('01_Stations'!$M$381)&gt;0,'01_Stations'!$M$381,"")</f>
        <v/>
      </c>
      <c r="T395" s="164" t="str">
        <f>IF(N('01_Stations'!$M$382)&gt;0,'01_Stations'!$M$382,"")</f>
        <v/>
      </c>
      <c r="U395" s="164" t="str">
        <f>IF(N('01_Stations'!$M$383)&gt;0,'01_Stations'!$M$383,"")</f>
        <v/>
      </c>
      <c r="V395" s="164" t="str">
        <f>IF(N('01_Stations'!$M$384)&gt;0,'01_Stations'!$M$384,"")</f>
        <v/>
      </c>
      <c r="W395" s="164" t="str">
        <f>IF(N('01_Stations'!$M$385)&gt;0,'01_Stations'!$M$385,"")</f>
        <v/>
      </c>
      <c r="X395" s="164" t="str">
        <f>IF(N('01_Stations'!$M$386)&gt;0,'01_Stations'!$M$386,"")</f>
        <v/>
      </c>
      <c r="Y395" s="164" t="str">
        <f>IF(N('01_Stations'!$M$387)&gt;0,'01_Stations'!$M$387,"")</f>
        <v/>
      </c>
      <c r="Z395" s="164" t="str">
        <f>IF(N('01_Stations'!$M$388)&gt;0,'01_Stations'!$M$388,"")</f>
        <v/>
      </c>
      <c r="AA395" s="164" t="str">
        <f>IF(N('01_Stations'!$M$389)&gt;0,'01_Stations'!$M$389,"")</f>
        <v/>
      </c>
      <c r="AB395" s="164" t="str">
        <f>IF(N('01_Stations'!$M$390)&gt;0,'01_Stations'!$M$390,"")</f>
        <v/>
      </c>
      <c r="AC395" s="164" t="str">
        <f>IF(N('01_Stations'!$M$391)&gt;0,'01_Stations'!$M$391,"")</f>
        <v/>
      </c>
      <c r="AD395" s="164" t="str">
        <f>IF(N('01_Stations'!$M$392)&gt;0,'01_Stations'!$M$392,"")</f>
        <v/>
      </c>
      <c r="AE395" s="164" t="str">
        <f>IF(N('01_Stations'!$M$393)&gt;0,'01_Stations'!$M$393,"")</f>
        <v/>
      </c>
      <c r="AF395" s="164" t="str">
        <f>IF(N('01_Stations'!$M$394)&gt;0,'01_Stations'!$M$394,"")</f>
        <v/>
      </c>
      <c r="AG395" s="164" t="str">
        <f>IF(N('01_Stations'!$M$395)&gt;0,'01_Stations'!$M$395,"")</f>
        <v/>
      </c>
      <c r="AH395" s="164" t="str">
        <f>IF(N('01_Stations'!$M$396)&gt;0,'01_Stations'!$M$396,"")</f>
        <v/>
      </c>
      <c r="AI395" s="164" t="str">
        <f>IF(N('01_Stations'!$M$397)&gt;0,'01_Stations'!$M$397,"")</f>
        <v/>
      </c>
      <c r="AJ395" s="164" t="str">
        <f>IF(N('01_Stations'!$M$398)&gt;0,'01_Stations'!$M$398,"")</f>
        <v/>
      </c>
      <c r="AK395" s="164" t="str">
        <f>IF(N('01_Stations'!$M$399)&gt;0,'01_Stations'!$M$399,"")</f>
        <v/>
      </c>
      <c r="AL395" s="164" t="str">
        <f>IF(N('01_Stations'!$M$400)&gt;0,'01_Stations'!$M$400,"")</f>
        <v/>
      </c>
      <c r="AM395" s="164" t="str">
        <f>IF(N('01_Stations'!$M$401)&gt;0,'01_Stations'!$M$401,"")</f>
        <v/>
      </c>
      <c r="AN395" s="164" t="str">
        <f>IF(N('01_Stations'!$M$402)&gt;0,'01_Stations'!$M$402,"")</f>
        <v/>
      </c>
      <c r="AO395" s="164" t="str">
        <f>IF(N('01_Stations'!$M$403)&gt;0,'01_Stations'!$M$403,"")</f>
        <v/>
      </c>
      <c r="AP395" s="164" t="str">
        <f>IF(N('01_Stations'!$M$404)&gt;0,'01_Stations'!$M$404,"")</f>
        <v/>
      </c>
      <c r="AQ395" s="164" t="str">
        <f>IF(N('01_Stations'!$M$405)&gt;0,'01_Stations'!$M$405,"")</f>
        <v/>
      </c>
    </row>
    <row r="396" spans="1:43" ht="15" customHeight="1" x14ac:dyDescent="0.3">
      <c r="A396" s="236"/>
      <c r="B396" s="165" t="s">
        <v>2208</v>
      </c>
      <c r="C396" s="166" t="s">
        <v>63</v>
      </c>
      <c r="D396" s="164" t="str">
        <f>IF(N('01_Stations'!$N$366)&gt;0,'01_Stations'!$N$366,"")</f>
        <v/>
      </c>
      <c r="E396" s="164" t="str">
        <f>IF(N('01_Stations'!$N$367)&gt;0,'01_Stations'!$N$367,"")</f>
        <v/>
      </c>
      <c r="F396" s="164" t="str">
        <f>IF(N('01_Stations'!$N$368)&gt;0,'01_Stations'!$N$368,"")</f>
        <v/>
      </c>
      <c r="G396" s="164" t="str">
        <f>IF(N('01_Stations'!$N$369)&gt;0,'01_Stations'!$N$369,"")</f>
        <v/>
      </c>
      <c r="H396" s="164" t="str">
        <f>IF(N('01_Stations'!$N$370)&gt;0,'01_Stations'!$N$370,"")</f>
        <v/>
      </c>
      <c r="I396" s="164" t="str">
        <f>IF(N('01_Stations'!$N$371)&gt;0,'01_Stations'!$N$371,"")</f>
        <v/>
      </c>
      <c r="J396" s="164" t="str">
        <f>IF(N('01_Stations'!$N$372)&gt;0,'01_Stations'!$N$372,"")</f>
        <v/>
      </c>
      <c r="K396" s="164" t="str">
        <f>IF(N('01_Stations'!$N$373)&gt;0,'01_Stations'!$N$373,"")</f>
        <v/>
      </c>
      <c r="L396" s="164" t="str">
        <f>IF(N('01_Stations'!$N$374)&gt;0,'01_Stations'!$N$374,"")</f>
        <v/>
      </c>
      <c r="M396" s="164" t="str">
        <f>IF(N('01_Stations'!$N$375)&gt;0,'01_Stations'!$N$375,"")</f>
        <v/>
      </c>
      <c r="N396" s="164" t="str">
        <f>IF(N('01_Stations'!$N$376)&gt;0,'01_Stations'!$N$376,"")</f>
        <v/>
      </c>
      <c r="O396" s="164" t="str">
        <f>IF(N('01_Stations'!$N$377)&gt;0,'01_Stations'!$N$377,"")</f>
        <v/>
      </c>
      <c r="P396" s="164" t="str">
        <f>IF(N('01_Stations'!$N$378)&gt;0,'01_Stations'!$N$378,"")</f>
        <v/>
      </c>
      <c r="Q396" s="164" t="str">
        <f>IF(N('01_Stations'!$N$379)&gt;0,'01_Stations'!$N$379,"")</f>
        <v/>
      </c>
      <c r="R396" s="164" t="str">
        <f>IF(N('01_Stations'!$N$380)&gt;0,'01_Stations'!$N$380,"")</f>
        <v/>
      </c>
      <c r="S396" s="164" t="str">
        <f>IF(N('01_Stations'!$N$381)&gt;0,'01_Stations'!$N$381,"")</f>
        <v/>
      </c>
      <c r="T396" s="164" t="str">
        <f>IF(N('01_Stations'!$N$382)&gt;0,'01_Stations'!$N$382,"")</f>
        <v/>
      </c>
      <c r="U396" s="164" t="str">
        <f>IF(N('01_Stations'!$N$383)&gt;0,'01_Stations'!$N$383,"")</f>
        <v/>
      </c>
      <c r="V396" s="164" t="str">
        <f>IF(N('01_Stations'!$N$384)&gt;0,'01_Stations'!$N$384,"")</f>
        <v/>
      </c>
      <c r="W396" s="164" t="str">
        <f>IF(N('01_Stations'!$N$385)&gt;0,'01_Stations'!$N$385,"")</f>
        <v/>
      </c>
      <c r="X396" s="164" t="str">
        <f>IF(N('01_Stations'!$N$386)&gt;0,'01_Stations'!$N$386,"")</f>
        <v/>
      </c>
      <c r="Y396" s="164" t="str">
        <f>IF(N('01_Stations'!$N$387)&gt;0,'01_Stations'!$N$387,"")</f>
        <v/>
      </c>
      <c r="Z396" s="164" t="str">
        <f>IF(N('01_Stations'!$N$388)&gt;0,'01_Stations'!$N$388,"")</f>
        <v/>
      </c>
      <c r="AA396" s="164" t="str">
        <f>IF(N('01_Stations'!$N$389)&gt;0,'01_Stations'!$N$389,"")</f>
        <v/>
      </c>
      <c r="AB396" s="164" t="str">
        <f>IF(N('01_Stations'!$N$390)&gt;0,'01_Stations'!$N$390,"")</f>
        <v/>
      </c>
      <c r="AC396" s="164" t="str">
        <f>IF(N('01_Stations'!$N$391)&gt;0,'01_Stations'!$N$391,"")</f>
        <v/>
      </c>
      <c r="AD396" s="164" t="str">
        <f>IF(N('01_Stations'!$N$392)&gt;0,'01_Stations'!$N$392,"")</f>
        <v/>
      </c>
      <c r="AE396" s="164" t="str">
        <f>IF(N('01_Stations'!$N$393)&gt;0,'01_Stations'!$N$393,"")</f>
        <v/>
      </c>
      <c r="AF396" s="164" t="str">
        <f>IF(N('01_Stations'!$N$394)&gt;0,'01_Stations'!$N$394,"")</f>
        <v/>
      </c>
      <c r="AG396" s="164" t="str">
        <f>IF(N('01_Stations'!$N$395)&gt;0,'01_Stations'!$N$395,"")</f>
        <v/>
      </c>
      <c r="AH396" s="164" t="str">
        <f>IF(N('01_Stations'!$N$396)&gt;0,'01_Stations'!$N$396,"")</f>
        <v/>
      </c>
      <c r="AI396" s="164" t="str">
        <f>IF(N('01_Stations'!$N$397)&gt;0,'01_Stations'!$N$397,"")</f>
        <v/>
      </c>
      <c r="AJ396" s="164" t="str">
        <f>IF(N('01_Stations'!$N$398)&gt;0,'01_Stations'!$N$398,"")</f>
        <v/>
      </c>
      <c r="AK396" s="164" t="str">
        <f>IF(N('01_Stations'!$N$399)&gt;0,'01_Stations'!$N$399,"")</f>
        <v/>
      </c>
      <c r="AL396" s="164" t="str">
        <f>IF(N('01_Stations'!$N$400)&gt;0,'01_Stations'!$N$400,"")</f>
        <v/>
      </c>
      <c r="AM396" s="164" t="str">
        <f>IF(N('01_Stations'!$N$401)&gt;0,'01_Stations'!$N$401,"")</f>
        <v/>
      </c>
      <c r="AN396" s="164" t="str">
        <f>IF(N('01_Stations'!$N$402)&gt;0,'01_Stations'!$N$402,"")</f>
        <v/>
      </c>
      <c r="AO396" s="164" t="str">
        <f>IF(N('01_Stations'!$N$403)&gt;0,'01_Stations'!$N$403,"")</f>
        <v/>
      </c>
      <c r="AP396" s="164" t="str">
        <f>IF(N('01_Stations'!$N$404)&gt;0,'01_Stations'!$N$404,"")</f>
        <v/>
      </c>
      <c r="AQ396" s="164" t="str">
        <f>IF(N('01_Stations'!$N$405)&gt;0,'01_Stations'!$N$405,"")</f>
        <v/>
      </c>
    </row>
    <row r="397" spans="1:43" ht="15" customHeight="1" x14ac:dyDescent="0.3">
      <c r="A397" s="237"/>
      <c r="B397" s="165" t="s">
        <v>2209</v>
      </c>
      <c r="C397" s="166" t="s">
        <v>301</v>
      </c>
      <c r="D397" s="164" t="str">
        <f>IF(N('01_Stations'!$O$366)&gt;0,'01_Stations'!$O$366,"")</f>
        <v/>
      </c>
      <c r="E397" s="164" t="str">
        <f>IF(N('01_Stations'!$O$367)&gt;0,'01_Stations'!$O$367,"")</f>
        <v/>
      </c>
      <c r="F397" s="164" t="str">
        <f>IF(N('01_Stations'!$O$368)&gt;0,'01_Stations'!$O$368,"")</f>
        <v/>
      </c>
      <c r="G397" s="164" t="str">
        <f>IF(N('01_Stations'!$O$369)&gt;0,'01_Stations'!$O$369,"")</f>
        <v/>
      </c>
      <c r="H397" s="164" t="str">
        <f>IF(N('01_Stations'!$O$370)&gt;0,'01_Stations'!$O$370,"")</f>
        <v/>
      </c>
      <c r="I397" s="164" t="str">
        <f>IF(N('01_Stations'!$O$371)&gt;0,'01_Stations'!$O$371,"")</f>
        <v/>
      </c>
      <c r="J397" s="164" t="str">
        <f>IF(N('01_Stations'!$O$372)&gt;0,'01_Stations'!$O$372,"")</f>
        <v/>
      </c>
      <c r="K397" s="164" t="str">
        <f>IF(N('01_Stations'!$O$373)&gt;0,'01_Stations'!$O$373,"")</f>
        <v/>
      </c>
      <c r="L397" s="164" t="str">
        <f>IF(N('01_Stations'!$O$374)&gt;0,'01_Stations'!$O$374,"")</f>
        <v/>
      </c>
      <c r="M397" s="164" t="str">
        <f>IF(N('01_Stations'!$O$375)&gt;0,'01_Stations'!$O$375,"")</f>
        <v/>
      </c>
      <c r="N397" s="164" t="str">
        <f>IF(N('01_Stations'!$O$376)&gt;0,'01_Stations'!$O$376,"")</f>
        <v/>
      </c>
      <c r="O397" s="164" t="str">
        <f>IF(N('01_Stations'!$O$377)&gt;0,'01_Stations'!$O$377,"")</f>
        <v/>
      </c>
      <c r="P397" s="164" t="str">
        <f>IF(N('01_Stations'!$O$378)&gt;0,'01_Stations'!$O$378,"")</f>
        <v/>
      </c>
      <c r="Q397" s="164" t="str">
        <f>IF(N('01_Stations'!$O$379)&gt;0,'01_Stations'!$O$379,"")</f>
        <v/>
      </c>
      <c r="R397" s="164" t="str">
        <f>IF(N('01_Stations'!$O$380)&gt;0,'01_Stations'!$O$380,"")</f>
        <v/>
      </c>
      <c r="S397" s="164" t="str">
        <f>IF(N('01_Stations'!$O$381)&gt;0,'01_Stations'!$O$381,"")</f>
        <v/>
      </c>
      <c r="T397" s="164" t="str">
        <f>IF(N('01_Stations'!$O$382)&gt;0,'01_Stations'!$O$382,"")</f>
        <v/>
      </c>
      <c r="U397" s="164" t="str">
        <f>IF(N('01_Stations'!$O$383)&gt;0,'01_Stations'!$O$383,"")</f>
        <v/>
      </c>
      <c r="V397" s="164" t="str">
        <f>IF(N('01_Stations'!$O$384)&gt;0,'01_Stations'!$O$384,"")</f>
        <v/>
      </c>
      <c r="W397" s="164" t="str">
        <f>IF(N('01_Stations'!$O$385)&gt;0,'01_Stations'!$O$385,"")</f>
        <v/>
      </c>
      <c r="X397" s="164" t="str">
        <f>IF(N('01_Stations'!$O$386)&gt;0,'01_Stations'!$O$386,"")</f>
        <v/>
      </c>
      <c r="Y397" s="164" t="str">
        <f>IF(N('01_Stations'!$O$387)&gt;0,'01_Stations'!$O$387,"")</f>
        <v/>
      </c>
      <c r="Z397" s="164" t="str">
        <f>IF(N('01_Stations'!$O$388)&gt;0,'01_Stations'!$O$388,"")</f>
        <v/>
      </c>
      <c r="AA397" s="164" t="str">
        <f>IF(N('01_Stations'!$O$389)&gt;0,'01_Stations'!$O$389,"")</f>
        <v/>
      </c>
      <c r="AB397" s="164" t="str">
        <f>IF(N('01_Stations'!$O$390)&gt;0,'01_Stations'!$O$390,"")</f>
        <v/>
      </c>
      <c r="AC397" s="164" t="str">
        <f>IF(N('01_Stations'!$O$391)&gt;0,'01_Stations'!$O$391,"")</f>
        <v/>
      </c>
      <c r="AD397" s="164" t="str">
        <f>IF(N('01_Stations'!$O$392)&gt;0,'01_Stations'!$O$392,"")</f>
        <v/>
      </c>
      <c r="AE397" s="164" t="str">
        <f>IF(N('01_Stations'!$O$393)&gt;0,'01_Stations'!$O$393,"")</f>
        <v/>
      </c>
      <c r="AF397" s="164" t="str">
        <f>IF(N('01_Stations'!$O$394)&gt;0,'01_Stations'!$O$394,"")</f>
        <v/>
      </c>
      <c r="AG397" s="164" t="str">
        <f>IF(N('01_Stations'!$O$395)&gt;0,'01_Stations'!$O$395,"")</f>
        <v/>
      </c>
      <c r="AH397" s="164" t="str">
        <f>IF(N('01_Stations'!$O$396)&gt;0,'01_Stations'!$O$396,"")</f>
        <v/>
      </c>
      <c r="AI397" s="164" t="str">
        <f>IF(N('01_Stations'!$O$397)&gt;0,'01_Stations'!$O$397,"")</f>
        <v/>
      </c>
      <c r="AJ397" s="164" t="str">
        <f>IF(N('01_Stations'!$O$398)&gt;0,'01_Stations'!$O$398,"")</f>
        <v/>
      </c>
      <c r="AK397" s="164" t="str">
        <f>IF(N('01_Stations'!$O$399)&gt;0,'01_Stations'!$O$399,"")</f>
        <v/>
      </c>
      <c r="AL397" s="164" t="str">
        <f>IF(N('01_Stations'!$O$400)&gt;0,'01_Stations'!$O$400,"")</f>
        <v/>
      </c>
      <c r="AM397" s="164" t="str">
        <f>IF(N('01_Stations'!$O$401)&gt;0,'01_Stations'!$O$401,"")</f>
        <v/>
      </c>
      <c r="AN397" s="164" t="str">
        <f>IF(N('01_Stations'!$O$402)&gt;0,'01_Stations'!$O$402,"")</f>
        <v/>
      </c>
      <c r="AO397" s="164" t="str">
        <f>IF(N('01_Stations'!$O$403)&gt;0,'01_Stations'!$O$403,"")</f>
        <v/>
      </c>
      <c r="AP397" s="164" t="str">
        <f>IF(N('01_Stations'!$O$404)&gt;0,'01_Stations'!$O$404,"")</f>
        <v/>
      </c>
      <c r="AQ397" s="164" t="str">
        <f>IF(N('01_Stations'!$O$405)&gt;0,'01_Stations'!$O$405,"")</f>
        <v/>
      </c>
    </row>
    <row r="398" spans="1:43" ht="15" customHeight="1" x14ac:dyDescent="0.3">
      <c r="A398" s="238" t="s">
        <v>2210</v>
      </c>
      <c r="B398" s="165" t="s">
        <v>2211</v>
      </c>
      <c r="C398" s="166" t="s">
        <v>1622</v>
      </c>
      <c r="D398" s="164" t="str">
        <f>IF('01_Stations'!$P$366="","",'01_Stations'!$P$366)</f>
        <v/>
      </c>
      <c r="E398" s="164" t="str">
        <f>IF('01_Stations'!$P$367="","",'01_Stations'!$P$367)</f>
        <v/>
      </c>
      <c r="F398" s="164" t="str">
        <f>IF('01_Stations'!$P$368="","",'01_Stations'!$P$368)</f>
        <v/>
      </c>
      <c r="G398" s="164" t="str">
        <f>IF('01_Stations'!$P$369="","",'01_Stations'!$P$369)</f>
        <v/>
      </c>
      <c r="H398" s="164" t="str">
        <f>IF('01_Stations'!$P$370="","",'01_Stations'!$P$370)</f>
        <v/>
      </c>
      <c r="I398" s="164" t="str">
        <f>IF('01_Stations'!$P$371="","",'01_Stations'!$P$371)</f>
        <v/>
      </c>
      <c r="J398" s="164" t="str">
        <f>IF('01_Stations'!$P$372="","",'01_Stations'!$P$372)</f>
        <v/>
      </c>
      <c r="K398" s="164" t="str">
        <f>IF('01_Stations'!$P$373="","",'01_Stations'!$P$373)</f>
        <v/>
      </c>
      <c r="L398" s="164" t="str">
        <f>IF('01_Stations'!$P$374="","",'01_Stations'!$P$374)</f>
        <v/>
      </c>
      <c r="M398" s="164" t="str">
        <f>IF('01_Stations'!$P$375="","",'01_Stations'!$P$375)</f>
        <v/>
      </c>
      <c r="N398" s="164" t="str">
        <f>IF('01_Stations'!$P$376="","",'01_Stations'!$P$376)</f>
        <v/>
      </c>
      <c r="O398" s="164" t="str">
        <f>IF('01_Stations'!$P$377="","",'01_Stations'!$P$377)</f>
        <v/>
      </c>
      <c r="P398" s="164" t="str">
        <f>IF('01_Stations'!$P$378="","",'01_Stations'!$P$378)</f>
        <v/>
      </c>
      <c r="Q398" s="164" t="str">
        <f>IF('01_Stations'!$P$379="","",'01_Stations'!$P$379)</f>
        <v/>
      </c>
      <c r="R398" s="164" t="str">
        <f>IF('01_Stations'!$P$380="","",'01_Stations'!$P$380)</f>
        <v/>
      </c>
      <c r="S398" s="164" t="str">
        <f>IF('01_Stations'!$P$381="","",'01_Stations'!$P$381)</f>
        <v/>
      </c>
      <c r="T398" s="164" t="str">
        <f>IF('01_Stations'!$P$382="","",'01_Stations'!$P$382)</f>
        <v/>
      </c>
      <c r="U398" s="164" t="str">
        <f>IF('01_Stations'!$P$383="","",'01_Stations'!$P$383)</f>
        <v/>
      </c>
      <c r="V398" s="164" t="str">
        <f>IF('01_Stations'!$P$384="","",'01_Stations'!$P$384)</f>
        <v/>
      </c>
      <c r="W398" s="164" t="str">
        <f>IF('01_Stations'!$P$385="","",'01_Stations'!$P$385)</f>
        <v/>
      </c>
      <c r="X398" s="164" t="str">
        <f>IF('01_Stations'!$P$386="","",'01_Stations'!$P$386)</f>
        <v/>
      </c>
      <c r="Y398" s="164" t="str">
        <f>IF('01_Stations'!$P$387="","",'01_Stations'!$P$387)</f>
        <v/>
      </c>
      <c r="Z398" s="164" t="str">
        <f>IF('01_Stations'!$P$388="","",'01_Stations'!$P$388)</f>
        <v/>
      </c>
      <c r="AA398" s="164" t="str">
        <f>IF('01_Stations'!$P$389="","",'01_Stations'!$P$389)</f>
        <v/>
      </c>
      <c r="AB398" s="164" t="str">
        <f>IF('01_Stations'!$P$390="","",'01_Stations'!$P$390)</f>
        <v/>
      </c>
      <c r="AC398" s="164" t="str">
        <f>IF('01_Stations'!$P$391="","",'01_Stations'!$P$391)</f>
        <v/>
      </c>
      <c r="AD398" s="164" t="str">
        <f>IF('01_Stations'!$P$392="","",'01_Stations'!$P$392)</f>
        <v/>
      </c>
      <c r="AE398" s="164" t="str">
        <f>IF('01_Stations'!$P$393="","",'01_Stations'!$P$393)</f>
        <v/>
      </c>
      <c r="AF398" s="164" t="str">
        <f>IF('01_Stations'!$P$394="","",'01_Stations'!$P$394)</f>
        <v/>
      </c>
      <c r="AG398" s="164" t="str">
        <f>IF('01_Stations'!$P$395="","",'01_Stations'!$P$395)</f>
        <v/>
      </c>
      <c r="AH398" s="164" t="str">
        <f>IF('01_Stations'!$P$396="","",'01_Stations'!$P$396)</f>
        <v/>
      </c>
      <c r="AI398" s="164" t="str">
        <f>IF('01_Stations'!$P$397="","",'01_Stations'!$P$397)</f>
        <v/>
      </c>
      <c r="AJ398" s="164" t="str">
        <f>IF('01_Stations'!$P$398="","",'01_Stations'!$P$398)</f>
        <v/>
      </c>
      <c r="AK398" s="164" t="str">
        <f>IF('01_Stations'!$P$399="","",'01_Stations'!$P$399)</f>
        <v/>
      </c>
      <c r="AL398" s="164" t="str">
        <f>IF('01_Stations'!$P$400="","",'01_Stations'!$P$400)</f>
        <v/>
      </c>
      <c r="AM398" s="164" t="str">
        <f>IF('01_Stations'!$P$401="","",'01_Stations'!$P$401)</f>
        <v/>
      </c>
      <c r="AN398" s="164" t="str">
        <f>IF('01_Stations'!$P$402="","",'01_Stations'!$P$402)</f>
        <v/>
      </c>
      <c r="AO398" s="164" t="str">
        <f>IF('01_Stations'!$P$403="","",'01_Stations'!$P$403)</f>
        <v/>
      </c>
      <c r="AP398" s="164" t="str">
        <f>IF('01_Stations'!$P$404="","",'01_Stations'!$P$404)</f>
        <v/>
      </c>
      <c r="AQ398" s="164" t="str">
        <f>IF('01_Stations'!$P$405="","",'01_Stations'!$P$405)</f>
        <v/>
      </c>
    </row>
    <row r="399" spans="1:43" ht="15" customHeight="1" x14ac:dyDescent="0.3">
      <c r="A399" s="236"/>
      <c r="B399" s="165"/>
      <c r="C399" s="166" t="s">
        <v>2212</v>
      </c>
      <c r="D399" s="164" t="str">
        <f>IF('01_Stations'!$Q$366="","",'01_Stations'!$Q$366)</f>
        <v/>
      </c>
      <c r="E399" s="164" t="str">
        <f>IF('01_Stations'!$Q$367="","",'01_Stations'!$Q$367)</f>
        <v/>
      </c>
      <c r="F399" s="164" t="str">
        <f>IF('01_Stations'!$Q$368="","",'01_Stations'!$Q$368)</f>
        <v/>
      </c>
      <c r="G399" s="164" t="str">
        <f>IF('01_Stations'!$Q$369="","",'01_Stations'!$Q$369)</f>
        <v/>
      </c>
      <c r="H399" s="164" t="str">
        <f>IF('01_Stations'!$Q$370="","",'01_Stations'!$Q$370)</f>
        <v/>
      </c>
      <c r="I399" s="164" t="str">
        <f>IF('01_Stations'!$Q$371="","",'01_Stations'!$Q$371)</f>
        <v/>
      </c>
      <c r="J399" s="164" t="str">
        <f>IF('01_Stations'!$Q$372="","",'01_Stations'!$Q$372)</f>
        <v/>
      </c>
      <c r="K399" s="164" t="str">
        <f>IF('01_Stations'!$Q$373="","",'01_Stations'!$Q$373)</f>
        <v/>
      </c>
      <c r="L399" s="164" t="str">
        <f>IF('01_Stations'!$Q$374="","",'01_Stations'!$Q$374)</f>
        <v/>
      </c>
      <c r="M399" s="164" t="str">
        <f>IF('01_Stations'!$Q$375="","",'01_Stations'!$Q$375)</f>
        <v/>
      </c>
      <c r="N399" s="164" t="str">
        <f>IF('01_Stations'!$Q$376="","",'01_Stations'!$Q$376)</f>
        <v/>
      </c>
      <c r="O399" s="164" t="str">
        <f>IF('01_Stations'!$Q$377="","",'01_Stations'!$Q$377)</f>
        <v/>
      </c>
      <c r="P399" s="164" t="str">
        <f>IF('01_Stations'!$Q$378="","",'01_Stations'!$Q$378)</f>
        <v/>
      </c>
      <c r="Q399" s="164" t="str">
        <f>IF('01_Stations'!$Q$379="","",'01_Stations'!$Q$379)</f>
        <v/>
      </c>
      <c r="R399" s="164" t="str">
        <f>IF('01_Stations'!$Q$380="","",'01_Stations'!$Q$380)</f>
        <v/>
      </c>
      <c r="S399" s="164" t="str">
        <f>IF('01_Stations'!$Q$381="","",'01_Stations'!$Q$381)</f>
        <v/>
      </c>
      <c r="T399" s="164" t="str">
        <f>IF('01_Stations'!$Q$382="","",'01_Stations'!$Q$382)</f>
        <v/>
      </c>
      <c r="U399" s="164" t="str">
        <f>IF('01_Stations'!$Q$383="","",'01_Stations'!$Q$383)</f>
        <v/>
      </c>
      <c r="V399" s="164" t="str">
        <f>IF('01_Stations'!$Q$384="","",'01_Stations'!$Q$384)</f>
        <v/>
      </c>
      <c r="W399" s="164" t="str">
        <f>IF('01_Stations'!$Q$385="","",'01_Stations'!$Q$385)</f>
        <v/>
      </c>
      <c r="X399" s="164" t="str">
        <f>IF('01_Stations'!$Q$386="","",'01_Stations'!$Q$386)</f>
        <v/>
      </c>
      <c r="Y399" s="164" t="str">
        <f>IF('01_Stations'!$Q$387="","",'01_Stations'!$Q$387)</f>
        <v/>
      </c>
      <c r="Z399" s="164" t="str">
        <f>IF('01_Stations'!$Q$388="","",'01_Stations'!$Q$388)</f>
        <v/>
      </c>
      <c r="AA399" s="164" t="str">
        <f>IF('01_Stations'!$Q$389="","",'01_Stations'!$Q$389)</f>
        <v/>
      </c>
      <c r="AB399" s="164" t="str">
        <f>IF('01_Stations'!$Q$390="","",'01_Stations'!$Q$390)</f>
        <v/>
      </c>
      <c r="AC399" s="164" t="str">
        <f>IF('01_Stations'!$Q$391="","",'01_Stations'!$Q$391)</f>
        <v/>
      </c>
      <c r="AD399" s="164" t="str">
        <f>IF('01_Stations'!$Q$392="","",'01_Stations'!$Q$392)</f>
        <v/>
      </c>
      <c r="AE399" s="164" t="str">
        <f>IF('01_Stations'!$Q$393="","",'01_Stations'!$Q$393)</f>
        <v/>
      </c>
      <c r="AF399" s="164" t="str">
        <f>IF('01_Stations'!$Q$394="","",'01_Stations'!$Q$394)</f>
        <v/>
      </c>
      <c r="AG399" s="164" t="str">
        <f>IF('01_Stations'!$Q$395="","",'01_Stations'!$Q$395)</f>
        <v/>
      </c>
      <c r="AH399" s="164" t="str">
        <f>IF('01_Stations'!$Q$396="","",'01_Stations'!$Q$396)</f>
        <v/>
      </c>
      <c r="AI399" s="164" t="str">
        <f>IF('01_Stations'!$Q$397="","",'01_Stations'!$Q$397)</f>
        <v/>
      </c>
      <c r="AJ399" s="164" t="str">
        <f>IF('01_Stations'!$Q$398="","",'01_Stations'!$Q$398)</f>
        <v/>
      </c>
      <c r="AK399" s="164" t="str">
        <f>IF('01_Stations'!$Q$399="","",'01_Stations'!$Q$399)</f>
        <v/>
      </c>
      <c r="AL399" s="164" t="str">
        <f>IF('01_Stations'!$Q$400="","",'01_Stations'!$Q$400)</f>
        <v/>
      </c>
      <c r="AM399" s="164" t="str">
        <f>IF('01_Stations'!$Q$401="","",'01_Stations'!$Q$401)</f>
        <v/>
      </c>
      <c r="AN399" s="164" t="str">
        <f>IF('01_Stations'!$Q$402="","",'01_Stations'!$Q$402)</f>
        <v/>
      </c>
      <c r="AO399" s="164" t="str">
        <f>IF('01_Stations'!$Q$403="","",'01_Stations'!$Q$403)</f>
        <v/>
      </c>
      <c r="AP399" s="164" t="str">
        <f>IF('01_Stations'!$Q$404="","",'01_Stations'!$Q$404)</f>
        <v/>
      </c>
      <c r="AQ399" s="164" t="str">
        <f>IF('01_Stations'!$Q$405="","",'01_Stations'!$Q$405)</f>
        <v/>
      </c>
    </row>
    <row r="400" spans="1:43" ht="15" customHeight="1" x14ac:dyDescent="0.3">
      <c r="A400" s="236"/>
      <c r="B400" s="165" t="s">
        <v>2213</v>
      </c>
      <c r="C400" s="166"/>
      <c r="D400" s="164" t="str">
        <f>IF('01_Stations'!$R$366=1,"ϰ",IF('01_Stations'!$R$366=2,"І",IF('01_Stations'!$R$366=3,"╦","")))</f>
        <v/>
      </c>
      <c r="E400" s="164" t="str">
        <f>IF('01_Stations'!$R$367=1,"ϰ",IF('01_Stations'!$R$367=2,"І",IF('01_Stations'!$R$367=3,"╦","")))</f>
        <v/>
      </c>
      <c r="F400" s="164" t="str">
        <f>IF('01_Stations'!$R$368=1,"ϰ",IF('01_Stations'!$R$368=2,"І",IF('01_Stations'!$R$368=3,"╦","")))</f>
        <v/>
      </c>
      <c r="G400" s="164" t="str">
        <f>IF('01_Stations'!$R$369=1,"ϰ",IF('01_Stations'!$R$369=2,"І",IF('01_Stations'!$R$369=3,"╦","")))</f>
        <v/>
      </c>
      <c r="H400" s="164" t="str">
        <f>IF('01_Stations'!$R$370=1,"ϰ",IF('01_Stations'!$R$370=2,"І",IF('01_Stations'!$R$370=3,"╦","")))</f>
        <v/>
      </c>
      <c r="I400" s="164" t="str">
        <f>IF('01_Stations'!$R$371=1,"ϰ",IF('01_Stations'!$R$371=2,"І",IF('01_Stations'!$R$371=3,"╦","")))</f>
        <v/>
      </c>
      <c r="J400" s="164" t="str">
        <f>IF('01_Stations'!$R$372=1,"ϰ",IF('01_Stations'!$R$372=2,"І",IF('01_Stations'!$R$372=3,"╦","")))</f>
        <v/>
      </c>
      <c r="K400" s="164" t="str">
        <f>IF('01_Stations'!$R$373=1,"ϰ",IF('01_Stations'!$R$373=2,"І",IF('01_Stations'!$R$373=3,"╦","")))</f>
        <v/>
      </c>
      <c r="L400" s="164" t="str">
        <f>IF('01_Stations'!$R$374=1,"ϰ",IF('01_Stations'!$R$374=2,"І",IF('01_Stations'!$R$374=3,"╦","")))</f>
        <v/>
      </c>
      <c r="M400" s="164" t="str">
        <f>IF('01_Stations'!$R$375=1,"ϰ",IF('01_Stations'!$R$375=2,"І",IF('01_Stations'!$R$375=3,"╦","")))</f>
        <v/>
      </c>
      <c r="N400" s="164" t="str">
        <f>IF('01_Stations'!$R$376=1,"ϰ",IF('01_Stations'!$R$376=2,"І",IF('01_Stations'!$R$376=3,"╦","")))</f>
        <v/>
      </c>
      <c r="O400" s="164" t="str">
        <f>IF('01_Stations'!$R$377=1,"ϰ",IF('01_Stations'!$R$377=2,"І",IF('01_Stations'!$R$377=3,"╦","")))</f>
        <v/>
      </c>
      <c r="P400" s="164" t="str">
        <f>IF('01_Stations'!$R$378=1,"ϰ",IF('01_Stations'!$R$378=2,"І",IF('01_Stations'!$R$378=3,"╦","")))</f>
        <v/>
      </c>
      <c r="Q400" s="164" t="str">
        <f>IF('01_Stations'!$R$379=1,"ϰ",IF('01_Stations'!$R$379=2,"І",IF('01_Stations'!$R$379=3,"╦","")))</f>
        <v/>
      </c>
      <c r="R400" s="164" t="str">
        <f>IF('01_Stations'!$R$380=1,"ϰ",IF('01_Stations'!$R$380=2,"І",IF('01_Stations'!$R$380=3,"╦","")))</f>
        <v/>
      </c>
      <c r="S400" s="164" t="str">
        <f>IF('01_Stations'!$R$381=1,"ϰ",IF('01_Stations'!$R$381=2,"І",IF('01_Stations'!$R$381=3,"╦","")))</f>
        <v/>
      </c>
      <c r="T400" s="164" t="str">
        <f>IF('01_Stations'!$R$382=1,"ϰ",IF('01_Stations'!$R$382=2,"І",IF('01_Stations'!$R$382=3,"╦","")))</f>
        <v/>
      </c>
      <c r="U400" s="164" t="str">
        <f>IF('01_Stations'!$R$383=1,"ϰ",IF('01_Stations'!$R$383=2,"І",IF('01_Stations'!$R$383=3,"╦","")))</f>
        <v/>
      </c>
      <c r="V400" s="164" t="str">
        <f>IF('01_Stations'!$R$384=1,"ϰ",IF('01_Stations'!$R$384=2,"І",IF('01_Stations'!$R$384=3,"╦","")))</f>
        <v/>
      </c>
      <c r="W400" s="164" t="str">
        <f>IF('01_Stations'!$R$385=1,"ϰ",IF('01_Stations'!$R$385=2,"І",IF('01_Stations'!$R$385=3,"╦","")))</f>
        <v/>
      </c>
      <c r="X400" s="164" t="str">
        <f>IF('01_Stations'!$R$386=1,"ϰ",IF('01_Stations'!$R$386=2,"І",IF('01_Stations'!$R$386=3,"╦","")))</f>
        <v/>
      </c>
      <c r="Y400" s="164" t="str">
        <f>IF('01_Stations'!$R$387=1,"ϰ",IF('01_Stations'!$R$387=2,"І",IF('01_Stations'!$R$387=3,"╦","")))</f>
        <v/>
      </c>
      <c r="Z400" s="164" t="str">
        <f>IF('01_Stations'!$R$388=1,"ϰ",IF('01_Stations'!$R$388=2,"І",IF('01_Stations'!$R$388=3,"╦","")))</f>
        <v/>
      </c>
      <c r="AA400" s="164" t="str">
        <f>IF('01_Stations'!$R$389=1,"ϰ",IF('01_Stations'!$R$389=2,"І",IF('01_Stations'!$R$389=3,"╦","")))</f>
        <v/>
      </c>
      <c r="AB400" s="164" t="str">
        <f>IF('01_Stations'!$R$390=1,"ϰ",IF('01_Stations'!$R$390=2,"І",IF('01_Stations'!$R$390=3,"╦","")))</f>
        <v/>
      </c>
      <c r="AC400" s="164" t="str">
        <f>IF('01_Stations'!$R$391=1,"ϰ",IF('01_Stations'!$R$391=2,"І",IF('01_Stations'!$R$391=3,"╦","")))</f>
        <v/>
      </c>
      <c r="AD400" s="164" t="str">
        <f>IF('01_Stations'!$R$392=1,"ϰ",IF('01_Stations'!$R$392=2,"І",IF('01_Stations'!$R$392=3,"╦","")))</f>
        <v/>
      </c>
      <c r="AE400" s="164" t="str">
        <f>IF('01_Stations'!$R$393=1,"ϰ",IF('01_Stations'!$R$393=2,"І",IF('01_Stations'!$R$393=3,"╦","")))</f>
        <v/>
      </c>
      <c r="AF400" s="164" t="str">
        <f>IF('01_Stations'!$R$394=1,"ϰ",IF('01_Stations'!$R$394=2,"І",IF('01_Stations'!$R$394=3,"╦","")))</f>
        <v/>
      </c>
      <c r="AG400" s="164" t="str">
        <f>IF('01_Stations'!$R$395=1,"ϰ",IF('01_Stations'!$R$395=2,"І",IF('01_Stations'!$R$395=3,"╦","")))</f>
        <v/>
      </c>
      <c r="AH400" s="164" t="str">
        <f>IF('01_Stations'!$R$396=1,"ϰ",IF('01_Stations'!$R$396=2,"І",IF('01_Stations'!$R$396=3,"╦","")))</f>
        <v/>
      </c>
      <c r="AI400" s="164" t="str">
        <f>IF('01_Stations'!$R$397=1,"ϰ",IF('01_Stations'!$R$397=2,"І",IF('01_Stations'!$R$397=3,"╦","")))</f>
        <v/>
      </c>
      <c r="AJ400" s="164" t="str">
        <f>IF('01_Stations'!$R$398=1,"ϰ",IF('01_Stations'!$R$398=2,"І",IF('01_Stations'!$R$398=3,"╦","")))</f>
        <v/>
      </c>
      <c r="AK400" s="164" t="str">
        <f>IF('01_Stations'!$R$399=1,"ϰ",IF('01_Stations'!$R$399=2,"І",IF('01_Stations'!$R$399=3,"╦","")))</f>
        <v/>
      </c>
      <c r="AL400" s="164" t="str">
        <f>IF('01_Stations'!$R$400=1,"ϰ",IF('01_Stations'!$R$400=2,"І",IF('01_Stations'!$R$400=3,"╦","")))</f>
        <v/>
      </c>
      <c r="AM400" s="164" t="str">
        <f>IF('01_Stations'!$R$401=1,"ϰ",IF('01_Stations'!$R$401=2,"І",IF('01_Stations'!$R$401=3,"╦","")))</f>
        <v/>
      </c>
      <c r="AN400" s="164" t="str">
        <f>IF('01_Stations'!$R$402=1,"ϰ",IF('01_Stations'!$R$402=2,"І",IF('01_Stations'!$R$402=3,"╦","")))</f>
        <v/>
      </c>
      <c r="AO400" s="164" t="str">
        <f>IF('01_Stations'!$R$403=1,"ϰ",IF('01_Stations'!$R$403=2,"І",IF('01_Stations'!$R$403=3,"╦","")))</f>
        <v/>
      </c>
      <c r="AP400" s="164" t="str">
        <f>IF('01_Stations'!$R$404=1,"ϰ",IF('01_Stations'!$R$404=2,"І",IF('01_Stations'!$R$404=3,"╦","")))</f>
        <v/>
      </c>
      <c r="AQ400" s="164" t="str">
        <f>IF('01_Stations'!$R$405=1,"ϰ",IF('01_Stations'!$R$405=2,"І",IF('01_Stations'!$R$405=3,"╦","")))</f>
        <v/>
      </c>
    </row>
    <row r="401" spans="1:43" ht="15" customHeight="1" x14ac:dyDescent="0.3">
      <c r="A401" s="236"/>
      <c r="B401" s="165" t="s">
        <v>2214</v>
      </c>
      <c r="C401" s="166"/>
      <c r="D401" s="164" t="str">
        <f>IF('01_Stations'!$S$366=1,"Ӂ",IF('01_Stations'!$S$366=2,"Җ",""))</f>
        <v/>
      </c>
      <c r="E401" s="164" t="str">
        <f>IF('01_Stations'!$S$367=1,"Ӂ",IF('01_Stations'!$S$367=2,"Җ",""))</f>
        <v/>
      </c>
      <c r="F401" s="164" t="str">
        <f>IF('01_Stations'!$S$368=1,"Ӂ",IF('01_Stations'!$S$368=2,"Җ",""))</f>
        <v/>
      </c>
      <c r="G401" s="164" t="str">
        <f>IF('01_Stations'!$S$369=1,"Ӂ",IF('01_Stations'!$S$369=2,"Җ",""))</f>
        <v/>
      </c>
      <c r="H401" s="164" t="str">
        <f>IF('01_Stations'!$S$370=1,"Ӂ",IF('01_Stations'!$S$370=2,"Җ",""))</f>
        <v/>
      </c>
      <c r="I401" s="164" t="str">
        <f>IF('01_Stations'!$S$371=1,"Ӂ",IF('01_Stations'!$S$371=2,"Җ",""))</f>
        <v/>
      </c>
      <c r="J401" s="164" t="str">
        <f>IF('01_Stations'!$S$372=1,"Ӂ",IF('01_Stations'!$S$372=2,"Җ",""))</f>
        <v/>
      </c>
      <c r="K401" s="164" t="str">
        <f>IF('01_Stations'!$S$373=1,"Ӂ",IF('01_Stations'!$S$373=2,"Җ",""))</f>
        <v/>
      </c>
      <c r="L401" s="164" t="str">
        <f>IF('01_Stations'!$S$374=1,"Ӂ",IF('01_Stations'!$S$374=2,"Җ",""))</f>
        <v/>
      </c>
      <c r="M401" s="164" t="str">
        <f>IF('01_Stations'!$S$375=1,"Ӂ",IF('01_Stations'!$S$375=2,"Җ",""))</f>
        <v/>
      </c>
      <c r="N401" s="164" t="str">
        <f>IF('01_Stations'!$S$376=1,"Ӂ",IF('01_Stations'!$S$376=2,"Җ",""))</f>
        <v/>
      </c>
      <c r="O401" s="164" t="str">
        <f>IF('01_Stations'!$S$377=1,"Ӂ",IF('01_Stations'!$S$377=2,"Җ",""))</f>
        <v/>
      </c>
      <c r="P401" s="164" t="str">
        <f>IF('01_Stations'!$S$378=1,"Ӂ",IF('01_Stations'!$S$378=2,"Җ",""))</f>
        <v/>
      </c>
      <c r="Q401" s="164" t="str">
        <f>IF('01_Stations'!$S$379=1,"Ӂ",IF('01_Stations'!$S$379=2,"Җ",""))</f>
        <v/>
      </c>
      <c r="R401" s="164" t="str">
        <f>IF('01_Stations'!$S$380=1,"Ӂ",IF('01_Stations'!$S$380=2,"Җ",""))</f>
        <v/>
      </c>
      <c r="S401" s="164" t="str">
        <f>IF('01_Stations'!$S$381=1,"Ӂ",IF('01_Stations'!$S$381=2,"Җ",""))</f>
        <v/>
      </c>
      <c r="T401" s="164" t="str">
        <f>IF('01_Stations'!$S$382=1,"Ӂ",IF('01_Stations'!$S$382=2,"Җ",""))</f>
        <v/>
      </c>
      <c r="U401" s="164" t="str">
        <f>IF('01_Stations'!$S$383=1,"Ӂ",IF('01_Stations'!$S$383=2,"Җ",""))</f>
        <v/>
      </c>
      <c r="V401" s="164" t="str">
        <f>IF('01_Stations'!$S$384=1,"Ӂ",IF('01_Stations'!$S$384=2,"Җ",""))</f>
        <v/>
      </c>
      <c r="W401" s="164" t="str">
        <f>IF('01_Stations'!$S$385=1,"Ӂ",IF('01_Stations'!$S$385=2,"Җ",""))</f>
        <v/>
      </c>
      <c r="X401" s="164" t="str">
        <f>IF('01_Stations'!$S$386=1,"Ӂ",IF('01_Stations'!$S$386=2,"Җ",""))</f>
        <v/>
      </c>
      <c r="Y401" s="164" t="str">
        <f>IF('01_Stations'!$S$387=1,"Ӂ",IF('01_Stations'!$S$387=2,"Җ",""))</f>
        <v/>
      </c>
      <c r="Z401" s="164" t="str">
        <f>IF('01_Stations'!$S$388=1,"Ӂ",IF('01_Stations'!$S$388=2,"Җ",""))</f>
        <v/>
      </c>
      <c r="AA401" s="164" t="str">
        <f>IF('01_Stations'!$S$389=1,"Ӂ",IF('01_Stations'!$S$389=2,"Җ",""))</f>
        <v/>
      </c>
      <c r="AB401" s="164" t="str">
        <f>IF('01_Stations'!$S$390=1,"Ӂ",IF('01_Stations'!$S$390=2,"Җ",""))</f>
        <v/>
      </c>
      <c r="AC401" s="164" t="str">
        <f>IF('01_Stations'!$S$391=1,"Ӂ",IF('01_Stations'!$S$391=2,"Җ",""))</f>
        <v/>
      </c>
      <c r="AD401" s="164" t="str">
        <f>IF('01_Stations'!$S$392=1,"Ӂ",IF('01_Stations'!$S$392=2,"Җ",""))</f>
        <v/>
      </c>
      <c r="AE401" s="164" t="str">
        <f>IF('01_Stations'!$S$393=1,"Ӂ",IF('01_Stations'!$S$393=2,"Җ",""))</f>
        <v/>
      </c>
      <c r="AF401" s="164" t="str">
        <f>IF('01_Stations'!$S$394=1,"Ӂ",IF('01_Stations'!$S$394=2,"Җ",""))</f>
        <v/>
      </c>
      <c r="AG401" s="164" t="str">
        <f>IF('01_Stations'!$S$395=1,"Ӂ",IF('01_Stations'!$S$395=2,"Җ",""))</f>
        <v/>
      </c>
      <c r="AH401" s="164" t="str">
        <f>IF('01_Stations'!$S$396=1,"Ӂ",IF('01_Stations'!$S$396=2,"Җ",""))</f>
        <v/>
      </c>
      <c r="AI401" s="164" t="str">
        <f>IF('01_Stations'!$S$397=1,"Ӂ",IF('01_Stations'!$S$397=2,"Җ",""))</f>
        <v/>
      </c>
      <c r="AJ401" s="164" t="str">
        <f>IF('01_Stations'!$S$398=1,"Ӂ",IF('01_Stations'!$S$398=2,"Җ",""))</f>
        <v/>
      </c>
      <c r="AK401" s="164" t="str">
        <f>IF('01_Stations'!$S$399=1,"Ӂ",IF('01_Stations'!$S$399=2,"Җ",""))</f>
        <v/>
      </c>
      <c r="AL401" s="164" t="str">
        <f>IF('01_Stations'!$S$400=1,"Ӂ",IF('01_Stations'!$S$400=2,"Җ",""))</f>
        <v/>
      </c>
      <c r="AM401" s="164" t="str">
        <f>IF('01_Stations'!$S$401=1,"Ӂ",IF('01_Stations'!$S$401=2,"Җ",""))</f>
        <v/>
      </c>
      <c r="AN401" s="164" t="str">
        <f>IF('01_Stations'!$S$402=1,"Ӂ",IF('01_Stations'!$S$402=2,"Җ",""))</f>
        <v/>
      </c>
      <c r="AO401" s="164" t="str">
        <f>IF('01_Stations'!$S$403=1,"Ӂ",IF('01_Stations'!$S$403=2,"Җ",""))</f>
        <v/>
      </c>
      <c r="AP401" s="164" t="str">
        <f>IF('01_Stations'!$S$404=1,"Ӂ",IF('01_Stations'!$S$404=2,"Җ",""))</f>
        <v/>
      </c>
      <c r="AQ401" s="164" t="str">
        <f>IF('01_Stations'!$S$405=1,"Ӂ",IF('01_Stations'!$S$405=2,"Җ",""))</f>
        <v/>
      </c>
    </row>
    <row r="402" spans="1:43" ht="15" customHeight="1" x14ac:dyDescent="0.3">
      <c r="A402" s="236"/>
      <c r="B402" s="165" t="s">
        <v>2215</v>
      </c>
      <c r="C402" s="166" t="s">
        <v>1622</v>
      </c>
      <c r="D402" s="164" t="str">
        <f>IF('01_Stations'!$T$366=1,"───","")</f>
        <v/>
      </c>
      <c r="E402" s="164" t="str">
        <f>IF('01_Stations'!$T$367=1,"───","")</f>
        <v/>
      </c>
      <c r="F402" s="164" t="str">
        <f>IF('01_Stations'!$T$368=1,"───","")</f>
        <v/>
      </c>
      <c r="G402" s="164" t="str">
        <f>IF('01_Stations'!$T$369=1,"───","")</f>
        <v/>
      </c>
      <c r="H402" s="164" t="str">
        <f>IF('01_Stations'!$T$370=1,"───","")</f>
        <v/>
      </c>
      <c r="I402" s="164" t="str">
        <f>IF('01_Stations'!$T$371=1,"───","")</f>
        <v/>
      </c>
      <c r="J402" s="164" t="str">
        <f>IF('01_Stations'!$T$372=1,"───","")</f>
        <v/>
      </c>
      <c r="K402" s="164" t="str">
        <f>IF('01_Stations'!$T$373=1,"───","")</f>
        <v/>
      </c>
      <c r="L402" s="164" t="str">
        <f>IF('01_Stations'!$T$374=1,"───","")</f>
        <v/>
      </c>
      <c r="M402" s="164" t="str">
        <f>IF('01_Stations'!$T$375=1,"───","")</f>
        <v/>
      </c>
      <c r="N402" s="164" t="str">
        <f>IF('01_Stations'!$T$376=1,"───","")</f>
        <v/>
      </c>
      <c r="O402" s="164" t="str">
        <f>IF('01_Stations'!$T$377=1,"───","")</f>
        <v/>
      </c>
      <c r="P402" s="164" t="str">
        <f>IF('01_Stations'!$T$378=1,"───","")</f>
        <v/>
      </c>
      <c r="Q402" s="164" t="str">
        <f>IF('01_Stations'!$T$379=1,"───","")</f>
        <v/>
      </c>
      <c r="R402" s="164" t="str">
        <f>IF('01_Stations'!$T$380=1,"───","")</f>
        <v/>
      </c>
      <c r="S402" s="164" t="str">
        <f>IF('01_Stations'!$T$381=1,"───","")</f>
        <v/>
      </c>
      <c r="T402" s="164" t="str">
        <f>IF('01_Stations'!$T$382=1,"───","")</f>
        <v/>
      </c>
      <c r="U402" s="164" t="str">
        <f>IF('01_Stations'!$T$383=1,"───","")</f>
        <v/>
      </c>
      <c r="V402" s="164" t="str">
        <f>IF('01_Stations'!$T$384=1,"───","")</f>
        <v/>
      </c>
      <c r="W402" s="164" t="str">
        <f>IF('01_Stations'!$T$385=1,"───","")</f>
        <v/>
      </c>
      <c r="X402" s="164" t="str">
        <f>IF('01_Stations'!$T$386=1,"───","")</f>
        <v/>
      </c>
      <c r="Y402" s="164" t="str">
        <f>IF('01_Stations'!$T$387=1,"───","")</f>
        <v/>
      </c>
      <c r="Z402" s="164" t="str">
        <f>IF('01_Stations'!$T$388=1,"───","")</f>
        <v/>
      </c>
      <c r="AA402" s="164" t="str">
        <f>IF('01_Stations'!$T$389=1,"───","")</f>
        <v/>
      </c>
      <c r="AB402" s="164" t="str">
        <f>IF('01_Stations'!$T$390=1,"───","")</f>
        <v/>
      </c>
      <c r="AC402" s="164" t="str">
        <f>IF('01_Stations'!$T$391=1,"───","")</f>
        <v/>
      </c>
      <c r="AD402" s="164" t="str">
        <f>IF('01_Stations'!$T$392=1,"───","")</f>
        <v/>
      </c>
      <c r="AE402" s="164" t="str">
        <f>IF('01_Stations'!$T$393=1,"───","")</f>
        <v/>
      </c>
      <c r="AF402" s="164" t="str">
        <f>IF('01_Stations'!$T$394=1,"───","")</f>
        <v/>
      </c>
      <c r="AG402" s="164" t="str">
        <f>IF('01_Stations'!$T$395=1,"───","")</f>
        <v/>
      </c>
      <c r="AH402" s="164" t="str">
        <f>IF('01_Stations'!$T$396=1,"───","")</f>
        <v/>
      </c>
      <c r="AI402" s="164" t="str">
        <f>IF('01_Stations'!$T$397=1,"───","")</f>
        <v/>
      </c>
      <c r="AJ402" s="164" t="str">
        <f>IF('01_Stations'!$T$398=1,"───","")</f>
        <v/>
      </c>
      <c r="AK402" s="164" t="str">
        <f>IF('01_Stations'!$T$399=1,"───","")</f>
        <v/>
      </c>
      <c r="AL402" s="164" t="str">
        <f>IF('01_Stations'!$T$400=1,"───","")</f>
        <v/>
      </c>
      <c r="AM402" s="164" t="str">
        <f>IF('01_Stations'!$T$401=1,"───","")</f>
        <v/>
      </c>
      <c r="AN402" s="164" t="str">
        <f>IF('01_Stations'!$T$402=1,"───","")</f>
        <v/>
      </c>
      <c r="AO402" s="164" t="str">
        <f>IF('01_Stations'!$T$403=1,"───","")</f>
        <v/>
      </c>
      <c r="AP402" s="164" t="str">
        <f>IF('01_Stations'!$T$404=1,"───","")</f>
        <v/>
      </c>
      <c r="AQ402" s="164" t="str">
        <f>IF('01_Stations'!$T$405=1,"───","")</f>
        <v/>
      </c>
    </row>
    <row r="403" spans="1:43" ht="15" customHeight="1" x14ac:dyDescent="0.3">
      <c r="A403" s="236"/>
      <c r="B403" s="165"/>
      <c r="C403" s="166" t="s">
        <v>2216</v>
      </c>
      <c r="D403" s="164" t="str">
        <f>IF(N('01_Stations'!$U$366)&gt;0,'01_Stations'!$U$366,"")</f>
        <v/>
      </c>
      <c r="E403" s="164" t="str">
        <f>IF(N('01_Stations'!$U$367)&gt;0,'01_Stations'!$U$367,"")</f>
        <v/>
      </c>
      <c r="F403" s="164" t="str">
        <f>IF(N('01_Stations'!$U$368)&gt;0,'01_Stations'!$U$368,"")</f>
        <v/>
      </c>
      <c r="G403" s="164" t="str">
        <f>IF(N('01_Stations'!$U$369)&gt;0,'01_Stations'!$U$369,"")</f>
        <v/>
      </c>
      <c r="H403" s="164" t="str">
        <f>IF(N('01_Stations'!$U$370)&gt;0,'01_Stations'!$U$370,"")</f>
        <v/>
      </c>
      <c r="I403" s="164" t="str">
        <f>IF(N('01_Stations'!$U$371)&gt;0,'01_Stations'!$U$371,"")</f>
        <v/>
      </c>
      <c r="J403" s="164" t="str">
        <f>IF(N('01_Stations'!$U$372)&gt;0,'01_Stations'!$U$372,"")</f>
        <v/>
      </c>
      <c r="K403" s="164" t="str">
        <f>IF(N('01_Stations'!$U$373)&gt;0,'01_Stations'!$U$373,"")</f>
        <v/>
      </c>
      <c r="L403" s="164" t="str">
        <f>IF(N('01_Stations'!$U$374)&gt;0,'01_Stations'!$U$374,"")</f>
        <v/>
      </c>
      <c r="M403" s="164" t="str">
        <f>IF(N('01_Stations'!$U$375)&gt;0,'01_Stations'!$U$375,"")</f>
        <v/>
      </c>
      <c r="N403" s="164" t="str">
        <f>IF(N('01_Stations'!$U$376)&gt;0,'01_Stations'!$U$376,"")</f>
        <v/>
      </c>
      <c r="O403" s="164" t="str">
        <f>IF(N('01_Stations'!$U$377)&gt;0,'01_Stations'!$U$377,"")</f>
        <v/>
      </c>
      <c r="P403" s="164" t="str">
        <f>IF(N('01_Stations'!$U$378)&gt;0,'01_Stations'!$U$378,"")</f>
        <v/>
      </c>
      <c r="Q403" s="164" t="str">
        <f>IF(N('01_Stations'!$U$379)&gt;0,'01_Stations'!$U$379,"")</f>
        <v/>
      </c>
      <c r="R403" s="164" t="str">
        <f>IF(N('01_Stations'!$U$380)&gt;0,'01_Stations'!$U$380,"")</f>
        <v/>
      </c>
      <c r="S403" s="164" t="str">
        <f>IF(N('01_Stations'!$U$381)&gt;0,'01_Stations'!$U$381,"")</f>
        <v/>
      </c>
      <c r="T403" s="164" t="str">
        <f>IF(N('01_Stations'!$U$382)&gt;0,'01_Stations'!$U$382,"")</f>
        <v/>
      </c>
      <c r="U403" s="164" t="str">
        <f>IF(N('01_Stations'!$U$383)&gt;0,'01_Stations'!$U$383,"")</f>
        <v/>
      </c>
      <c r="V403" s="164" t="str">
        <f>IF(N('01_Stations'!$U$384)&gt;0,'01_Stations'!$U$384,"")</f>
        <v/>
      </c>
      <c r="W403" s="164" t="str">
        <f>IF(N('01_Stations'!$U$385)&gt;0,'01_Stations'!$U$385,"")</f>
        <v/>
      </c>
      <c r="X403" s="164" t="str">
        <f>IF(N('01_Stations'!$U$386)&gt;0,'01_Stations'!$U$386,"")</f>
        <v/>
      </c>
      <c r="Y403" s="164" t="str">
        <f>IF(N('01_Stations'!$U$387)&gt;0,'01_Stations'!$U$387,"")</f>
        <v/>
      </c>
      <c r="Z403" s="164" t="str">
        <f>IF(N('01_Stations'!$U$388)&gt;0,'01_Stations'!$U$388,"")</f>
        <v/>
      </c>
      <c r="AA403" s="164" t="str">
        <f>IF(N('01_Stations'!$U$389)&gt;0,'01_Stations'!$U$389,"")</f>
        <v/>
      </c>
      <c r="AB403" s="164" t="str">
        <f>IF(N('01_Stations'!$U$390)&gt;0,'01_Stations'!$U$390,"")</f>
        <v/>
      </c>
      <c r="AC403" s="164" t="str">
        <f>IF(N('01_Stations'!$U$391)&gt;0,'01_Stations'!$U$391,"")</f>
        <v/>
      </c>
      <c r="AD403" s="164" t="str">
        <f>IF(N('01_Stations'!$U$392)&gt;0,'01_Stations'!$U$392,"")</f>
        <v/>
      </c>
      <c r="AE403" s="164" t="str">
        <f>IF(N('01_Stations'!$U$393)&gt;0,'01_Stations'!$U$393,"")</f>
        <v/>
      </c>
      <c r="AF403" s="164" t="str">
        <f>IF(N('01_Stations'!$U$394)&gt;0,'01_Stations'!$U$394,"")</f>
        <v/>
      </c>
      <c r="AG403" s="164" t="str">
        <f>IF(N('01_Stations'!$U$395)&gt;0,'01_Stations'!$U$395,"")</f>
        <v/>
      </c>
      <c r="AH403" s="164" t="str">
        <f>IF(N('01_Stations'!$U$396)&gt;0,'01_Stations'!$U$396,"")</f>
        <v/>
      </c>
      <c r="AI403" s="164" t="str">
        <f>IF(N('01_Stations'!$U$397)&gt;0,'01_Stations'!$U$397,"")</f>
        <v/>
      </c>
      <c r="AJ403" s="164" t="str">
        <f>IF(N('01_Stations'!$U$398)&gt;0,'01_Stations'!$U$398,"")</f>
        <v/>
      </c>
      <c r="AK403" s="164" t="str">
        <f>IF(N('01_Stations'!$U$399)&gt;0,'01_Stations'!$U$399,"")</f>
        <v/>
      </c>
      <c r="AL403" s="164" t="str">
        <f>IF(N('01_Stations'!$U$400)&gt;0,'01_Stations'!$U$400,"")</f>
        <v/>
      </c>
      <c r="AM403" s="164" t="str">
        <f>IF(N('01_Stations'!$U$401)&gt;0,'01_Stations'!$U$401,"")</f>
        <v/>
      </c>
      <c r="AN403" s="164" t="str">
        <f>IF(N('01_Stations'!$U$402)&gt;0,'01_Stations'!$U$402,"")</f>
        <v/>
      </c>
      <c r="AO403" s="164" t="str">
        <f>IF(N('01_Stations'!$U$403)&gt;0,'01_Stations'!$U$403,"")</f>
        <v/>
      </c>
      <c r="AP403" s="164" t="str">
        <f>IF(N('01_Stations'!$U$404)&gt;0,'01_Stations'!$U$404,"")</f>
        <v/>
      </c>
      <c r="AQ403" s="164" t="str">
        <f>IF(N('01_Stations'!$U$405)&gt;0,'01_Stations'!$U$405,"")</f>
        <v/>
      </c>
    </row>
    <row r="404" spans="1:43" ht="15" customHeight="1" x14ac:dyDescent="0.3">
      <c r="A404" s="236"/>
      <c r="B404" s="165"/>
      <c r="C404" s="166" t="s">
        <v>2212</v>
      </c>
      <c r="D404" s="164" t="str">
        <f>IF('01_Stations'!$V$366=1,"───","")</f>
        <v/>
      </c>
      <c r="E404" s="164" t="str">
        <f>IF('01_Stations'!$V$367=1,"───","")</f>
        <v/>
      </c>
      <c r="F404" s="164" t="str">
        <f>IF('01_Stations'!$V$368=1,"───","")</f>
        <v/>
      </c>
      <c r="G404" s="164" t="str">
        <f>IF('01_Stations'!$V$369=1,"───","")</f>
        <v/>
      </c>
      <c r="H404" s="164" t="str">
        <f>IF('01_Stations'!$V$370=1,"───","")</f>
        <v/>
      </c>
      <c r="I404" s="164" t="str">
        <f>IF('01_Stations'!$V$371=1,"───","")</f>
        <v/>
      </c>
      <c r="J404" s="164" t="str">
        <f>IF('01_Stations'!$V$372=1,"───","")</f>
        <v/>
      </c>
      <c r="K404" s="164" t="str">
        <f>IF('01_Stations'!$V$373=1,"───","")</f>
        <v/>
      </c>
      <c r="L404" s="164" t="str">
        <f>IF('01_Stations'!$V$374=1,"───","")</f>
        <v/>
      </c>
      <c r="M404" s="164" t="str">
        <f>IF('01_Stations'!$V$375=1,"───","")</f>
        <v/>
      </c>
      <c r="N404" s="164" t="str">
        <f>IF('01_Stations'!$V$376=1,"───","")</f>
        <v/>
      </c>
      <c r="O404" s="164" t="str">
        <f>IF('01_Stations'!$V$377=1,"───","")</f>
        <v/>
      </c>
      <c r="P404" s="164" t="str">
        <f>IF('01_Stations'!$V$378=1,"───","")</f>
        <v/>
      </c>
      <c r="Q404" s="164" t="str">
        <f>IF('01_Stations'!$V$379=1,"───","")</f>
        <v/>
      </c>
      <c r="R404" s="164" t="str">
        <f>IF('01_Stations'!$V$380=1,"───","")</f>
        <v/>
      </c>
      <c r="S404" s="164" t="str">
        <f>IF('01_Stations'!$V$381=1,"───","")</f>
        <v/>
      </c>
      <c r="T404" s="164" t="str">
        <f>IF('01_Stations'!$V$382=1,"───","")</f>
        <v/>
      </c>
      <c r="U404" s="164" t="str">
        <f>IF('01_Stations'!$V$383=1,"───","")</f>
        <v/>
      </c>
      <c r="V404" s="164" t="str">
        <f>IF('01_Stations'!$V$384=1,"───","")</f>
        <v/>
      </c>
      <c r="W404" s="164" t="str">
        <f>IF('01_Stations'!$V$385=1,"───","")</f>
        <v/>
      </c>
      <c r="X404" s="164" t="str">
        <f>IF('01_Stations'!$V$386=1,"───","")</f>
        <v/>
      </c>
      <c r="Y404" s="164" t="str">
        <f>IF('01_Stations'!$V$387=1,"───","")</f>
        <v/>
      </c>
      <c r="Z404" s="164" t="str">
        <f>IF('01_Stations'!$V$388=1,"───","")</f>
        <v/>
      </c>
      <c r="AA404" s="164" t="str">
        <f>IF('01_Stations'!$V$389=1,"───","")</f>
        <v/>
      </c>
      <c r="AB404" s="164" t="str">
        <f>IF('01_Stations'!$V$390=1,"───","")</f>
        <v/>
      </c>
      <c r="AC404" s="164" t="str">
        <f>IF('01_Stations'!$V$391=1,"───","")</f>
        <v/>
      </c>
      <c r="AD404" s="164" t="str">
        <f>IF('01_Stations'!$V$392=1,"───","")</f>
        <v/>
      </c>
      <c r="AE404" s="164" t="str">
        <f>IF('01_Stations'!$V$393=1,"───","")</f>
        <v/>
      </c>
      <c r="AF404" s="164" t="str">
        <f>IF('01_Stations'!$V$394=1,"───","")</f>
        <v/>
      </c>
      <c r="AG404" s="164" t="str">
        <f>IF('01_Stations'!$V$395=1,"───","")</f>
        <v/>
      </c>
      <c r="AH404" s="164" t="str">
        <f>IF('01_Stations'!$V$396=1,"───","")</f>
        <v/>
      </c>
      <c r="AI404" s="164" t="str">
        <f>IF('01_Stations'!$V$397=1,"───","")</f>
        <v/>
      </c>
      <c r="AJ404" s="164" t="str">
        <f>IF('01_Stations'!$V$398=1,"───","")</f>
        <v/>
      </c>
      <c r="AK404" s="164" t="str">
        <f>IF('01_Stations'!$V$399=1,"───","")</f>
        <v/>
      </c>
      <c r="AL404" s="164" t="str">
        <f>IF('01_Stations'!$V$400=1,"───","")</f>
        <v/>
      </c>
      <c r="AM404" s="164" t="str">
        <f>IF('01_Stations'!$V$401=1,"───","")</f>
        <v/>
      </c>
      <c r="AN404" s="164" t="str">
        <f>IF('01_Stations'!$V$402=1,"───","")</f>
        <v/>
      </c>
      <c r="AO404" s="164" t="str">
        <f>IF('01_Stations'!$V$403=1,"───","")</f>
        <v/>
      </c>
      <c r="AP404" s="164" t="str">
        <f>IF('01_Stations'!$V$404=1,"───","")</f>
        <v/>
      </c>
      <c r="AQ404" s="164" t="str">
        <f>IF('01_Stations'!$V$405=1,"───","")</f>
        <v/>
      </c>
    </row>
    <row r="405" spans="1:43" ht="15" customHeight="1" x14ac:dyDescent="0.3">
      <c r="A405" s="236"/>
      <c r="B405" s="165"/>
      <c r="C405" s="166" t="s">
        <v>2216</v>
      </c>
      <c r="D405" s="164" t="str">
        <f>IF(N('01_Stations'!$W$366)&gt;0,'01_Stations'!$W$366,"")</f>
        <v/>
      </c>
      <c r="E405" s="164" t="str">
        <f>IF(N('01_Stations'!$W$367)&gt;0,'01_Stations'!$W$367,"")</f>
        <v/>
      </c>
      <c r="F405" s="164" t="str">
        <f>IF(N('01_Stations'!$W$368)&gt;0,'01_Stations'!$W$368,"")</f>
        <v/>
      </c>
      <c r="G405" s="164" t="str">
        <f>IF(N('01_Stations'!$W$369)&gt;0,'01_Stations'!$W$369,"")</f>
        <v/>
      </c>
      <c r="H405" s="164" t="str">
        <f>IF(N('01_Stations'!$W$370)&gt;0,'01_Stations'!$W$370,"")</f>
        <v/>
      </c>
      <c r="I405" s="164" t="str">
        <f>IF(N('01_Stations'!$W$371)&gt;0,'01_Stations'!$W$371,"")</f>
        <v/>
      </c>
      <c r="J405" s="164" t="str">
        <f>IF(N('01_Stations'!$W$372)&gt;0,'01_Stations'!$W$372,"")</f>
        <v/>
      </c>
      <c r="K405" s="164" t="str">
        <f>IF(N('01_Stations'!$W$373)&gt;0,'01_Stations'!$W$373,"")</f>
        <v/>
      </c>
      <c r="L405" s="164" t="str">
        <f>IF(N('01_Stations'!$W$374)&gt;0,'01_Stations'!$W$374,"")</f>
        <v/>
      </c>
      <c r="M405" s="164" t="str">
        <f>IF(N('01_Stations'!$W$375)&gt;0,'01_Stations'!$W$375,"")</f>
        <v/>
      </c>
      <c r="N405" s="164" t="str">
        <f>IF(N('01_Stations'!$W$376)&gt;0,'01_Stations'!$W$376,"")</f>
        <v/>
      </c>
      <c r="O405" s="164" t="str">
        <f>IF(N('01_Stations'!$W$377)&gt;0,'01_Stations'!$W$377,"")</f>
        <v/>
      </c>
      <c r="P405" s="164" t="str">
        <f>IF(N('01_Stations'!$W$378)&gt;0,'01_Stations'!$W$378,"")</f>
        <v/>
      </c>
      <c r="Q405" s="164" t="str">
        <f>IF(N('01_Stations'!$W$379)&gt;0,'01_Stations'!$W$379,"")</f>
        <v/>
      </c>
      <c r="R405" s="164" t="str">
        <f>IF(N('01_Stations'!$W$380)&gt;0,'01_Stations'!$W$380,"")</f>
        <v/>
      </c>
      <c r="S405" s="164" t="str">
        <f>IF(N('01_Stations'!$W$381)&gt;0,'01_Stations'!$W$381,"")</f>
        <v/>
      </c>
      <c r="T405" s="164" t="str">
        <f>IF(N('01_Stations'!$W$382)&gt;0,'01_Stations'!$W$382,"")</f>
        <v/>
      </c>
      <c r="U405" s="164" t="str">
        <f>IF(N('01_Stations'!$W$383)&gt;0,'01_Stations'!$W$383,"")</f>
        <v/>
      </c>
      <c r="V405" s="164" t="str">
        <f>IF(N('01_Stations'!$W$384)&gt;0,'01_Stations'!$W$384,"")</f>
        <v/>
      </c>
      <c r="W405" s="164" t="str">
        <f>IF(N('01_Stations'!$W$385)&gt;0,'01_Stations'!$W$385,"")</f>
        <v/>
      </c>
      <c r="X405" s="164" t="str">
        <f>IF(N('01_Stations'!$W$386)&gt;0,'01_Stations'!$W$386,"")</f>
        <v/>
      </c>
      <c r="Y405" s="164" t="str">
        <f>IF(N('01_Stations'!$W$387)&gt;0,'01_Stations'!$W$387,"")</f>
        <v/>
      </c>
      <c r="Z405" s="164" t="str">
        <f>IF(N('01_Stations'!$W$388)&gt;0,'01_Stations'!$W$388,"")</f>
        <v/>
      </c>
      <c r="AA405" s="164" t="str">
        <f>IF(N('01_Stations'!$W$389)&gt;0,'01_Stations'!$W$389,"")</f>
        <v/>
      </c>
      <c r="AB405" s="164" t="str">
        <f>IF(N('01_Stations'!$W$390)&gt;0,'01_Stations'!$W$390,"")</f>
        <v/>
      </c>
      <c r="AC405" s="164" t="str">
        <f>IF(N('01_Stations'!$W$391)&gt;0,'01_Stations'!$W$391,"")</f>
        <v/>
      </c>
      <c r="AD405" s="164" t="str">
        <f>IF(N('01_Stations'!$W$392)&gt;0,'01_Stations'!$W$392,"")</f>
        <v/>
      </c>
      <c r="AE405" s="164" t="str">
        <f>IF(N('01_Stations'!$W$393)&gt;0,'01_Stations'!$W$393,"")</f>
        <v/>
      </c>
      <c r="AF405" s="164" t="str">
        <f>IF(N('01_Stations'!$W$394)&gt;0,'01_Stations'!$W$394,"")</f>
        <v/>
      </c>
      <c r="AG405" s="164" t="str">
        <f>IF(N('01_Stations'!$W$395)&gt;0,'01_Stations'!$W$395,"")</f>
        <v/>
      </c>
      <c r="AH405" s="164" t="str">
        <f>IF(N('01_Stations'!$W$396)&gt;0,'01_Stations'!$W$396,"")</f>
        <v/>
      </c>
      <c r="AI405" s="164" t="str">
        <f>IF(N('01_Stations'!$W$397)&gt;0,'01_Stations'!$W$397,"")</f>
        <v/>
      </c>
      <c r="AJ405" s="164" t="str">
        <f>IF(N('01_Stations'!$W$398)&gt;0,'01_Stations'!$W$398,"")</f>
        <v/>
      </c>
      <c r="AK405" s="164" t="str">
        <f>IF(N('01_Stations'!$W$399)&gt;0,'01_Stations'!$W$399,"")</f>
        <v/>
      </c>
      <c r="AL405" s="164" t="str">
        <f>IF(N('01_Stations'!$W$400)&gt;0,'01_Stations'!$W$400,"")</f>
        <v/>
      </c>
      <c r="AM405" s="164" t="str">
        <f>IF(N('01_Stations'!$W$401)&gt;0,'01_Stations'!$W$401,"")</f>
        <v/>
      </c>
      <c r="AN405" s="164" t="str">
        <f>IF(N('01_Stations'!$W$402)&gt;0,'01_Stations'!$W$402,"")</f>
        <v/>
      </c>
      <c r="AO405" s="164" t="str">
        <f>IF(N('01_Stations'!$W$403)&gt;0,'01_Stations'!$W$403,"")</f>
        <v/>
      </c>
      <c r="AP405" s="164" t="str">
        <f>IF(N('01_Stations'!$W$404)&gt;0,'01_Stations'!$W$404,"")</f>
        <v/>
      </c>
      <c r="AQ405" s="164" t="str">
        <f>IF(N('01_Stations'!$W$405)&gt;0,'01_Stations'!$W$405,"")</f>
        <v/>
      </c>
    </row>
    <row r="406" spans="1:43" ht="15" customHeight="1" x14ac:dyDescent="0.3">
      <c r="A406" s="236"/>
      <c r="B406" s="165" t="s">
        <v>2217</v>
      </c>
      <c r="C406" s="166" t="s">
        <v>1622</v>
      </c>
      <c r="D406" s="164" t="str">
        <f>IF('01_Stations'!$X$366=1,"───","")</f>
        <v/>
      </c>
      <c r="E406" s="164" t="str">
        <f>IF('01_Stations'!$X$367=1,"───","")</f>
        <v/>
      </c>
      <c r="F406" s="164" t="str">
        <f>IF('01_Stations'!$X$368=1,"───","")</f>
        <v/>
      </c>
      <c r="G406" s="164" t="str">
        <f>IF('01_Stations'!$X$369=1,"───","")</f>
        <v/>
      </c>
      <c r="H406" s="164" t="str">
        <f>IF('01_Stations'!$X$370=1,"───","")</f>
        <v/>
      </c>
      <c r="I406" s="164" t="str">
        <f>IF('01_Stations'!$X$371=1,"───","")</f>
        <v/>
      </c>
      <c r="J406" s="164" t="str">
        <f>IF('01_Stations'!$X$372=1,"───","")</f>
        <v/>
      </c>
      <c r="K406" s="164" t="str">
        <f>IF('01_Stations'!$X$373=1,"───","")</f>
        <v/>
      </c>
      <c r="L406" s="164" t="str">
        <f>IF('01_Stations'!$X$374=1,"───","")</f>
        <v/>
      </c>
      <c r="M406" s="164" t="str">
        <f>IF('01_Stations'!$X$375=1,"───","")</f>
        <v/>
      </c>
      <c r="N406" s="164" t="str">
        <f>IF('01_Stations'!$X$376=1,"───","")</f>
        <v/>
      </c>
      <c r="O406" s="164" t="str">
        <f>IF('01_Stations'!$X$377=1,"───","")</f>
        <v/>
      </c>
      <c r="P406" s="164" t="str">
        <f>IF('01_Stations'!$X$378=1,"───","")</f>
        <v/>
      </c>
      <c r="Q406" s="164" t="str">
        <f>IF('01_Stations'!$X$379=1,"───","")</f>
        <v/>
      </c>
      <c r="R406" s="164" t="str">
        <f>IF('01_Stations'!$X$380=1,"───","")</f>
        <v/>
      </c>
      <c r="S406" s="164" t="str">
        <f>IF('01_Stations'!$X$381=1,"───","")</f>
        <v/>
      </c>
      <c r="T406" s="164" t="str">
        <f>IF('01_Stations'!$X$382=1,"───","")</f>
        <v/>
      </c>
      <c r="U406" s="164" t="str">
        <f>IF('01_Stations'!$X$383=1,"───","")</f>
        <v/>
      </c>
      <c r="V406" s="164" t="str">
        <f>IF('01_Stations'!$X$384=1,"───","")</f>
        <v/>
      </c>
      <c r="W406" s="164" t="str">
        <f>IF('01_Stations'!$X$385=1,"───","")</f>
        <v/>
      </c>
      <c r="X406" s="164" t="str">
        <f>IF('01_Stations'!$X$386=1,"───","")</f>
        <v/>
      </c>
      <c r="Y406" s="164" t="str">
        <f>IF('01_Stations'!$X$387=1,"───","")</f>
        <v/>
      </c>
      <c r="Z406" s="164" t="str">
        <f>IF('01_Stations'!$X$388=1,"───","")</f>
        <v/>
      </c>
      <c r="AA406" s="164" t="str">
        <f>IF('01_Stations'!$X$389=1,"───","")</f>
        <v/>
      </c>
      <c r="AB406" s="164" t="str">
        <f>IF('01_Stations'!$X$390=1,"───","")</f>
        <v/>
      </c>
      <c r="AC406" s="164" t="str">
        <f>IF('01_Stations'!$X$391=1,"───","")</f>
        <v/>
      </c>
      <c r="AD406" s="164" t="str">
        <f>IF('01_Stations'!$X$392=1,"───","")</f>
        <v/>
      </c>
      <c r="AE406" s="164" t="str">
        <f>IF('01_Stations'!$X$393=1,"───","")</f>
        <v/>
      </c>
      <c r="AF406" s="164" t="str">
        <f>IF('01_Stations'!$X$394=1,"───","")</f>
        <v/>
      </c>
      <c r="AG406" s="164" t="str">
        <f>IF('01_Stations'!$X$395=1,"───","")</f>
        <v/>
      </c>
      <c r="AH406" s="164" t="str">
        <f>IF('01_Stations'!$X$396=1,"───","")</f>
        <v/>
      </c>
      <c r="AI406" s="164" t="str">
        <f>IF('01_Stations'!$X$397=1,"───","")</f>
        <v/>
      </c>
      <c r="AJ406" s="164" t="str">
        <f>IF('01_Stations'!$X$398=1,"───","")</f>
        <v/>
      </c>
      <c r="AK406" s="164" t="str">
        <f>IF('01_Stations'!$X$399=1,"───","")</f>
        <v/>
      </c>
      <c r="AL406" s="164" t="str">
        <f>IF('01_Stations'!$X$400=1,"───","")</f>
        <v/>
      </c>
      <c r="AM406" s="164" t="str">
        <f>IF('01_Stations'!$X$401=1,"───","")</f>
        <v/>
      </c>
      <c r="AN406" s="164" t="str">
        <f>IF('01_Stations'!$X$402=1,"───","")</f>
        <v/>
      </c>
      <c r="AO406" s="164" t="str">
        <f>IF('01_Stations'!$X$403=1,"───","")</f>
        <v/>
      </c>
      <c r="AP406" s="164" t="str">
        <f>IF('01_Stations'!$X$404=1,"───","")</f>
        <v/>
      </c>
      <c r="AQ406" s="164" t="str">
        <f>IF('01_Stations'!$X$405=1,"───","")</f>
        <v/>
      </c>
    </row>
    <row r="407" spans="1:43" ht="15" customHeight="1" x14ac:dyDescent="0.3">
      <c r="A407" s="236"/>
      <c r="B407" s="165"/>
      <c r="C407" s="166" t="s">
        <v>2212</v>
      </c>
      <c r="D407" s="164" t="str">
        <f>IF('01_Stations'!$Y$366=1,"───","")</f>
        <v/>
      </c>
      <c r="E407" s="164" t="str">
        <f>IF('01_Stations'!$Y$367=1,"───","")</f>
        <v/>
      </c>
      <c r="F407" s="164" t="str">
        <f>IF('01_Stations'!$Y$368=1,"───","")</f>
        <v/>
      </c>
      <c r="G407" s="164" t="str">
        <f>IF('01_Stations'!$Y$369=1,"───","")</f>
        <v/>
      </c>
      <c r="H407" s="164" t="str">
        <f>IF('01_Stations'!$Y$370=1,"───","")</f>
        <v/>
      </c>
      <c r="I407" s="164" t="str">
        <f>IF('01_Stations'!$Y$371=1,"───","")</f>
        <v/>
      </c>
      <c r="J407" s="164" t="str">
        <f>IF('01_Stations'!$Y$372=1,"───","")</f>
        <v/>
      </c>
      <c r="K407" s="164" t="str">
        <f>IF('01_Stations'!$Y$373=1,"───","")</f>
        <v/>
      </c>
      <c r="L407" s="164" t="str">
        <f>IF('01_Stations'!$Y$374=1,"───","")</f>
        <v/>
      </c>
      <c r="M407" s="164" t="str">
        <f>IF('01_Stations'!$Y$375=1,"───","")</f>
        <v/>
      </c>
      <c r="N407" s="164" t="str">
        <f>IF('01_Stations'!$Y$376=1,"───","")</f>
        <v/>
      </c>
      <c r="O407" s="164" t="str">
        <f>IF('01_Stations'!$Y$377=1,"───","")</f>
        <v/>
      </c>
      <c r="P407" s="164" t="str">
        <f>IF('01_Stations'!$Y$378=1,"───","")</f>
        <v/>
      </c>
      <c r="Q407" s="164" t="str">
        <f>IF('01_Stations'!$Y$379=1,"───","")</f>
        <v/>
      </c>
      <c r="R407" s="164" t="str">
        <f>IF('01_Stations'!$Y$380=1,"───","")</f>
        <v/>
      </c>
      <c r="S407" s="164" t="str">
        <f>IF('01_Stations'!$Y$381=1,"───","")</f>
        <v/>
      </c>
      <c r="T407" s="164" t="str">
        <f>IF('01_Stations'!$Y$382=1,"───","")</f>
        <v/>
      </c>
      <c r="U407" s="164" t="str">
        <f>IF('01_Stations'!$Y$383=1,"───","")</f>
        <v/>
      </c>
      <c r="V407" s="164" t="str">
        <f>IF('01_Stations'!$Y$384=1,"───","")</f>
        <v/>
      </c>
      <c r="W407" s="164" t="str">
        <f>IF('01_Stations'!$Y$385=1,"───","")</f>
        <v/>
      </c>
      <c r="X407" s="164" t="str">
        <f>IF('01_Stations'!$Y$386=1,"───","")</f>
        <v/>
      </c>
      <c r="Y407" s="164" t="str">
        <f>IF('01_Stations'!$Y$387=1,"───","")</f>
        <v/>
      </c>
      <c r="Z407" s="164" t="str">
        <f>IF('01_Stations'!$Y$388=1,"───","")</f>
        <v/>
      </c>
      <c r="AA407" s="164" t="str">
        <f>IF('01_Stations'!$Y$389=1,"───","")</f>
        <v/>
      </c>
      <c r="AB407" s="164" t="str">
        <f>IF('01_Stations'!$Y$390=1,"───","")</f>
        <v/>
      </c>
      <c r="AC407" s="164" t="str">
        <f>IF('01_Stations'!$Y$391=1,"───","")</f>
        <v/>
      </c>
      <c r="AD407" s="164" t="str">
        <f>IF('01_Stations'!$Y$392=1,"───","")</f>
        <v/>
      </c>
      <c r="AE407" s="164" t="str">
        <f>IF('01_Stations'!$Y$393=1,"───","")</f>
        <v/>
      </c>
      <c r="AF407" s="164" t="str">
        <f>IF('01_Stations'!$Y$394=1,"───","")</f>
        <v/>
      </c>
      <c r="AG407" s="164" t="str">
        <f>IF('01_Stations'!$Y$395=1,"───","")</f>
        <v/>
      </c>
      <c r="AH407" s="164" t="str">
        <f>IF('01_Stations'!$Y$396=1,"───","")</f>
        <v/>
      </c>
      <c r="AI407" s="164" t="str">
        <f>IF('01_Stations'!$Y$397=1,"───","")</f>
        <v/>
      </c>
      <c r="AJ407" s="164" t="str">
        <f>IF('01_Stations'!$Y$398=1,"───","")</f>
        <v/>
      </c>
      <c r="AK407" s="164" t="str">
        <f>IF('01_Stations'!$Y$399=1,"───","")</f>
        <v/>
      </c>
      <c r="AL407" s="164" t="str">
        <f>IF('01_Stations'!$Y$400=1,"───","")</f>
        <v/>
      </c>
      <c r="AM407" s="164" t="str">
        <f>IF('01_Stations'!$Y$401=1,"───","")</f>
        <v/>
      </c>
      <c r="AN407" s="164" t="str">
        <f>IF('01_Stations'!$Y$402=1,"───","")</f>
        <v/>
      </c>
      <c r="AO407" s="164" t="str">
        <f>IF('01_Stations'!$Y$403=1,"───","")</f>
        <v/>
      </c>
      <c r="AP407" s="164" t="str">
        <f>IF('01_Stations'!$Y$404=1,"───","")</f>
        <v/>
      </c>
      <c r="AQ407" s="164" t="str">
        <f>IF('01_Stations'!$Y$405=1,"───","")</f>
        <v/>
      </c>
    </row>
    <row r="408" spans="1:43" ht="15" customHeight="1" x14ac:dyDescent="0.3">
      <c r="A408" s="236"/>
      <c r="B408" s="165" t="s">
        <v>2218</v>
      </c>
      <c r="C408" s="166" t="s">
        <v>1622</v>
      </c>
      <c r="D408" s="164" t="str">
        <f>IF('01_Stations'!$Z$366=1,"───","")</f>
        <v/>
      </c>
      <c r="E408" s="164" t="str">
        <f>IF('01_Stations'!$Z$367=1,"───","")</f>
        <v/>
      </c>
      <c r="F408" s="164" t="str">
        <f>IF('01_Stations'!$Z$368=1,"───","")</f>
        <v/>
      </c>
      <c r="G408" s="164" t="str">
        <f>IF('01_Stations'!$Z$369=1,"───","")</f>
        <v/>
      </c>
      <c r="H408" s="164" t="str">
        <f>IF('01_Stations'!$Z$370=1,"───","")</f>
        <v/>
      </c>
      <c r="I408" s="164" t="str">
        <f>IF('01_Stations'!$Z$371=1,"───","")</f>
        <v/>
      </c>
      <c r="J408" s="164" t="str">
        <f>IF('01_Stations'!$Z$372=1,"───","")</f>
        <v/>
      </c>
      <c r="K408" s="164" t="str">
        <f>IF('01_Stations'!$Z$373=1,"───","")</f>
        <v/>
      </c>
      <c r="L408" s="164" t="str">
        <f>IF('01_Stations'!$Z$374=1,"───","")</f>
        <v/>
      </c>
      <c r="M408" s="164" t="str">
        <f>IF('01_Stations'!$Z$375=1,"───","")</f>
        <v/>
      </c>
      <c r="N408" s="164" t="str">
        <f>IF('01_Stations'!$Z$376=1,"───","")</f>
        <v/>
      </c>
      <c r="O408" s="164" t="str">
        <f>IF('01_Stations'!$Z$377=1,"───","")</f>
        <v/>
      </c>
      <c r="P408" s="164" t="str">
        <f>IF('01_Stations'!$Z$378=1,"───","")</f>
        <v/>
      </c>
      <c r="Q408" s="164" t="str">
        <f>IF('01_Stations'!$Z$379=1,"───","")</f>
        <v/>
      </c>
      <c r="R408" s="164" t="str">
        <f>IF('01_Stations'!$Z$380=1,"───","")</f>
        <v/>
      </c>
      <c r="S408" s="164" t="str">
        <f>IF('01_Stations'!$Z$381=1,"───","")</f>
        <v/>
      </c>
      <c r="T408" s="164" t="str">
        <f>IF('01_Stations'!$Z$382=1,"───","")</f>
        <v/>
      </c>
      <c r="U408" s="164" t="str">
        <f>IF('01_Stations'!$Z$383=1,"───","")</f>
        <v/>
      </c>
      <c r="V408" s="164" t="str">
        <f>IF('01_Stations'!$Z$384=1,"───","")</f>
        <v/>
      </c>
      <c r="W408" s="164" t="str">
        <f>IF('01_Stations'!$Z$385=1,"───","")</f>
        <v/>
      </c>
      <c r="X408" s="164" t="str">
        <f>IF('01_Stations'!$Z$386=1,"───","")</f>
        <v/>
      </c>
      <c r="Y408" s="164" t="str">
        <f>IF('01_Stations'!$Z$387=1,"───","")</f>
        <v/>
      </c>
      <c r="Z408" s="164" t="str">
        <f>IF('01_Stations'!$Z$388=1,"───","")</f>
        <v/>
      </c>
      <c r="AA408" s="164" t="str">
        <f>IF('01_Stations'!$Z$389=1,"───","")</f>
        <v/>
      </c>
      <c r="AB408" s="164" t="str">
        <f>IF('01_Stations'!$Z$390=1,"───","")</f>
        <v/>
      </c>
      <c r="AC408" s="164" t="str">
        <f>IF('01_Stations'!$Z$391=1,"───","")</f>
        <v/>
      </c>
      <c r="AD408" s="164" t="str">
        <f>IF('01_Stations'!$Z$392=1,"───","")</f>
        <v/>
      </c>
      <c r="AE408" s="164" t="str">
        <f>IF('01_Stations'!$Z$393=1,"───","")</f>
        <v/>
      </c>
      <c r="AF408" s="164" t="str">
        <f>IF('01_Stations'!$Z$394=1,"───","")</f>
        <v/>
      </c>
      <c r="AG408" s="164" t="str">
        <f>IF('01_Stations'!$Z$395=1,"───","")</f>
        <v/>
      </c>
      <c r="AH408" s="164" t="str">
        <f>IF('01_Stations'!$Z$396=1,"───","")</f>
        <v/>
      </c>
      <c r="AI408" s="164" t="str">
        <f>IF('01_Stations'!$Z$397=1,"───","")</f>
        <v/>
      </c>
      <c r="AJ408" s="164" t="str">
        <f>IF('01_Stations'!$Z$398=1,"───","")</f>
        <v/>
      </c>
      <c r="AK408" s="164" t="str">
        <f>IF('01_Stations'!$Z$399=1,"───","")</f>
        <v/>
      </c>
      <c r="AL408" s="164" t="str">
        <f>IF('01_Stations'!$Z$400=1,"───","")</f>
        <v/>
      </c>
      <c r="AM408" s="164" t="str">
        <f>IF('01_Stations'!$Z$401=1,"───","")</f>
        <v/>
      </c>
      <c r="AN408" s="164" t="str">
        <f>IF('01_Stations'!$Z$402=1,"───","")</f>
        <v/>
      </c>
      <c r="AO408" s="164" t="str">
        <f>IF('01_Stations'!$Z$403=1,"───","")</f>
        <v/>
      </c>
      <c r="AP408" s="164" t="str">
        <f>IF('01_Stations'!$Z$404=1,"───","")</f>
        <v/>
      </c>
      <c r="AQ408" s="164" t="str">
        <f>IF('01_Stations'!$Z$405=1,"───","")</f>
        <v/>
      </c>
    </row>
    <row r="409" spans="1:43" ht="15" customHeight="1" x14ac:dyDescent="0.3">
      <c r="A409" s="236"/>
      <c r="B409" s="165"/>
      <c r="C409" s="166" t="s">
        <v>2212</v>
      </c>
      <c r="D409" s="164" t="str">
        <f>IF('01_Stations'!$AA$366=1,"───","")</f>
        <v/>
      </c>
      <c r="E409" s="164" t="str">
        <f>IF('01_Stations'!$AA$367=1,"───","")</f>
        <v/>
      </c>
      <c r="F409" s="164" t="str">
        <f>IF('01_Stations'!$AA$368=1,"───","")</f>
        <v/>
      </c>
      <c r="G409" s="164" t="str">
        <f>IF('01_Stations'!$AA$369=1,"───","")</f>
        <v/>
      </c>
      <c r="H409" s="164" t="str">
        <f>IF('01_Stations'!$AA$370=1,"───","")</f>
        <v/>
      </c>
      <c r="I409" s="164" t="str">
        <f>IF('01_Stations'!$AA$371=1,"───","")</f>
        <v/>
      </c>
      <c r="J409" s="164" t="str">
        <f>IF('01_Stations'!$AA$372=1,"───","")</f>
        <v/>
      </c>
      <c r="K409" s="164" t="str">
        <f>IF('01_Stations'!$AA$373=1,"───","")</f>
        <v/>
      </c>
      <c r="L409" s="164" t="str">
        <f>IF('01_Stations'!$AA$374=1,"───","")</f>
        <v/>
      </c>
      <c r="M409" s="164" t="str">
        <f>IF('01_Stations'!$AA$375=1,"───","")</f>
        <v/>
      </c>
      <c r="N409" s="164" t="str">
        <f>IF('01_Stations'!$AA$376=1,"───","")</f>
        <v/>
      </c>
      <c r="O409" s="164" t="str">
        <f>IF('01_Stations'!$AA$377=1,"───","")</f>
        <v/>
      </c>
      <c r="P409" s="164" t="str">
        <f>IF('01_Stations'!$AA$378=1,"───","")</f>
        <v/>
      </c>
      <c r="Q409" s="164" t="str">
        <f>IF('01_Stations'!$AA$379=1,"───","")</f>
        <v/>
      </c>
      <c r="R409" s="164" t="str">
        <f>IF('01_Stations'!$AA$380=1,"───","")</f>
        <v/>
      </c>
      <c r="S409" s="164" t="str">
        <f>IF('01_Stations'!$AA$381=1,"───","")</f>
        <v/>
      </c>
      <c r="T409" s="164" t="str">
        <f>IF('01_Stations'!$AA$382=1,"───","")</f>
        <v/>
      </c>
      <c r="U409" s="164" t="str">
        <f>IF('01_Stations'!$AA$383=1,"───","")</f>
        <v/>
      </c>
      <c r="V409" s="164" t="str">
        <f>IF('01_Stations'!$AA$384=1,"───","")</f>
        <v/>
      </c>
      <c r="W409" s="164" t="str">
        <f>IF('01_Stations'!$AA$385=1,"───","")</f>
        <v/>
      </c>
      <c r="X409" s="164" t="str">
        <f>IF('01_Stations'!$AA$386=1,"───","")</f>
        <v/>
      </c>
      <c r="Y409" s="164" t="str">
        <f>IF('01_Stations'!$AA$387=1,"───","")</f>
        <v/>
      </c>
      <c r="Z409" s="164" t="str">
        <f>IF('01_Stations'!$AA$388=1,"───","")</f>
        <v/>
      </c>
      <c r="AA409" s="164" t="str">
        <f>IF('01_Stations'!$AA$389=1,"───","")</f>
        <v/>
      </c>
      <c r="AB409" s="164" t="str">
        <f>IF('01_Stations'!$AA$390=1,"───","")</f>
        <v/>
      </c>
      <c r="AC409" s="164" t="str">
        <f>IF('01_Stations'!$AA$391=1,"───","")</f>
        <v/>
      </c>
      <c r="AD409" s="164" t="str">
        <f>IF('01_Stations'!$AA$392=1,"───","")</f>
        <v/>
      </c>
      <c r="AE409" s="164" t="str">
        <f>IF('01_Stations'!$AA$393=1,"───","")</f>
        <v/>
      </c>
      <c r="AF409" s="164" t="str">
        <f>IF('01_Stations'!$AA$394=1,"───","")</f>
        <v/>
      </c>
      <c r="AG409" s="164" t="str">
        <f>IF('01_Stations'!$AA$395=1,"───","")</f>
        <v/>
      </c>
      <c r="AH409" s="164" t="str">
        <f>IF('01_Stations'!$AA$396=1,"───","")</f>
        <v/>
      </c>
      <c r="AI409" s="164" t="str">
        <f>IF('01_Stations'!$AA$397=1,"───","")</f>
        <v/>
      </c>
      <c r="AJ409" s="164" t="str">
        <f>IF('01_Stations'!$AA$398=1,"───","")</f>
        <v/>
      </c>
      <c r="AK409" s="164" t="str">
        <f>IF('01_Stations'!$AA$399=1,"───","")</f>
        <v/>
      </c>
      <c r="AL409" s="164" t="str">
        <f>IF('01_Stations'!$AA$400=1,"───","")</f>
        <v/>
      </c>
      <c r="AM409" s="164" t="str">
        <f>IF('01_Stations'!$AA$401=1,"───","")</f>
        <v/>
      </c>
      <c r="AN409" s="164" t="str">
        <f>IF('01_Stations'!$AA$402=1,"───","")</f>
        <v/>
      </c>
      <c r="AO409" s="164" t="str">
        <f>IF('01_Stations'!$AA$403=1,"───","")</f>
        <v/>
      </c>
      <c r="AP409" s="164" t="str">
        <f>IF('01_Stations'!$AA$404=1,"───","")</f>
        <v/>
      </c>
      <c r="AQ409" s="164" t="str">
        <f>IF('01_Stations'!$AA$405=1,"───","")</f>
        <v/>
      </c>
    </row>
    <row r="410" spans="1:43" ht="15" customHeight="1" x14ac:dyDescent="0.3">
      <c r="A410" s="236"/>
      <c r="B410" s="165" t="s">
        <v>200</v>
      </c>
      <c r="C410" s="166" t="s">
        <v>2219</v>
      </c>
      <c r="D410" s="164" t="str">
        <f>IF('01_Stations'!$AB$366=1,"───","")</f>
        <v/>
      </c>
      <c r="E410" s="164" t="str">
        <f>IF('01_Stations'!$AB$367=1,"───","")</f>
        <v/>
      </c>
      <c r="F410" s="164" t="str">
        <f>IF('01_Stations'!$AB$368=1,"───","")</f>
        <v/>
      </c>
      <c r="G410" s="164" t="str">
        <f>IF('01_Stations'!$AB$369=1,"───","")</f>
        <v/>
      </c>
      <c r="H410" s="164" t="str">
        <f>IF('01_Stations'!$AB$370=1,"───","")</f>
        <v/>
      </c>
      <c r="I410" s="164" t="str">
        <f>IF('01_Stations'!$AB$371=1,"───","")</f>
        <v/>
      </c>
      <c r="J410" s="164" t="str">
        <f>IF('01_Stations'!$AB$372=1,"───","")</f>
        <v/>
      </c>
      <c r="K410" s="164" t="str">
        <f>IF('01_Stations'!$AB$373=1,"───","")</f>
        <v/>
      </c>
      <c r="L410" s="164" t="str">
        <f>IF('01_Stations'!$AB$374=1,"───","")</f>
        <v/>
      </c>
      <c r="M410" s="164" t="str">
        <f>IF('01_Stations'!$AB$375=1,"───","")</f>
        <v/>
      </c>
      <c r="N410" s="164" t="str">
        <f>IF('01_Stations'!$AB$376=1,"───","")</f>
        <v/>
      </c>
      <c r="O410" s="164" t="str">
        <f>IF('01_Stations'!$AB$377=1,"───","")</f>
        <v/>
      </c>
      <c r="P410" s="164" t="str">
        <f>IF('01_Stations'!$AB$378=1,"───","")</f>
        <v/>
      </c>
      <c r="Q410" s="164" t="str">
        <f>IF('01_Stations'!$AB$379=1,"───","")</f>
        <v/>
      </c>
      <c r="R410" s="164" t="str">
        <f>IF('01_Stations'!$AB$380=1,"───","")</f>
        <v/>
      </c>
      <c r="S410" s="164" t="str">
        <f>IF('01_Stations'!$AB$381=1,"───","")</f>
        <v/>
      </c>
      <c r="T410" s="164" t="str">
        <f>IF('01_Stations'!$AB$382=1,"───","")</f>
        <v/>
      </c>
      <c r="U410" s="164" t="str">
        <f>IF('01_Stations'!$AB$383=1,"───","")</f>
        <v/>
      </c>
      <c r="V410" s="164" t="str">
        <f>IF('01_Stations'!$AB$384=1,"───","")</f>
        <v/>
      </c>
      <c r="W410" s="164" t="str">
        <f>IF('01_Stations'!$AB$385=1,"───","")</f>
        <v/>
      </c>
      <c r="X410" s="164" t="str">
        <f>IF('01_Stations'!$AB$386=1,"───","")</f>
        <v/>
      </c>
      <c r="Y410" s="164" t="str">
        <f>IF('01_Stations'!$AB$387=1,"───","")</f>
        <v/>
      </c>
      <c r="Z410" s="164" t="str">
        <f>IF('01_Stations'!$AB$388=1,"───","")</f>
        <v/>
      </c>
      <c r="AA410" s="164" t="str">
        <f>IF('01_Stations'!$AB$389=1,"───","")</f>
        <v/>
      </c>
      <c r="AB410" s="164" t="str">
        <f>IF('01_Stations'!$AB$390=1,"───","")</f>
        <v/>
      </c>
      <c r="AC410" s="164" t="str">
        <f>IF('01_Stations'!$AB$391=1,"───","")</f>
        <v/>
      </c>
      <c r="AD410" s="164" t="str">
        <f>IF('01_Stations'!$AB$392=1,"───","")</f>
        <v/>
      </c>
      <c r="AE410" s="164" t="str">
        <f>IF('01_Stations'!$AB$393=1,"───","")</f>
        <v/>
      </c>
      <c r="AF410" s="164" t="str">
        <f>IF('01_Stations'!$AB$394=1,"───","")</f>
        <v/>
      </c>
      <c r="AG410" s="164" t="str">
        <f>IF('01_Stations'!$AB$395=1,"───","")</f>
        <v/>
      </c>
      <c r="AH410" s="164" t="str">
        <f>IF('01_Stations'!$AB$396=1,"───","")</f>
        <v/>
      </c>
      <c r="AI410" s="164" t="str">
        <f>IF('01_Stations'!$AB$397=1,"───","")</f>
        <v/>
      </c>
      <c r="AJ410" s="164" t="str">
        <f>IF('01_Stations'!$AB$398=1,"───","")</f>
        <v/>
      </c>
      <c r="AK410" s="164" t="str">
        <f>IF('01_Stations'!$AB$399=1,"───","")</f>
        <v/>
      </c>
      <c r="AL410" s="164" t="str">
        <f>IF('01_Stations'!$AB$400=1,"───","")</f>
        <v/>
      </c>
      <c r="AM410" s="164" t="str">
        <f>IF('01_Stations'!$AB$401=1,"───","")</f>
        <v/>
      </c>
      <c r="AN410" s="164" t="str">
        <f>IF('01_Stations'!$AB$402=1,"───","")</f>
        <v/>
      </c>
      <c r="AO410" s="164" t="str">
        <f>IF('01_Stations'!$AB$403=1,"───","")</f>
        <v/>
      </c>
      <c r="AP410" s="164" t="str">
        <f>IF('01_Stations'!$AB$404=1,"───","")</f>
        <v/>
      </c>
      <c r="AQ410" s="164" t="str">
        <f>IF('01_Stations'!$AB$405=1,"───","")</f>
        <v/>
      </c>
    </row>
    <row r="411" spans="1:43" ht="15" customHeight="1" x14ac:dyDescent="0.3">
      <c r="A411" s="236"/>
      <c r="B411" s="165"/>
      <c r="C411" s="166" t="s">
        <v>2220</v>
      </c>
      <c r="D411" s="164" t="str">
        <f>IF(N('01_Stations'!$AC$366)&gt;0,'01_Stations'!$AC$366,"")</f>
        <v/>
      </c>
      <c r="E411" s="164" t="str">
        <f>IF(N('01_Stations'!$AC$367)&gt;0,'01_Stations'!$AC$367,"")</f>
        <v/>
      </c>
      <c r="F411" s="164" t="str">
        <f>IF(N('01_Stations'!$AC$368)&gt;0,'01_Stations'!$AC$368,"")</f>
        <v/>
      </c>
      <c r="G411" s="164" t="str">
        <f>IF(N('01_Stations'!$AC$369)&gt;0,'01_Stations'!$AC$369,"")</f>
        <v/>
      </c>
      <c r="H411" s="164" t="str">
        <f>IF(N('01_Stations'!$AC$370)&gt;0,'01_Stations'!$AC$370,"")</f>
        <v/>
      </c>
      <c r="I411" s="164" t="str">
        <f>IF(N('01_Stations'!$AC$371)&gt;0,'01_Stations'!$AC$371,"")</f>
        <v/>
      </c>
      <c r="J411" s="164" t="str">
        <f>IF(N('01_Stations'!$AC$372)&gt;0,'01_Stations'!$AC$372,"")</f>
        <v/>
      </c>
      <c r="K411" s="164" t="str">
        <f>IF(N('01_Stations'!$AC$373)&gt;0,'01_Stations'!$AC$373,"")</f>
        <v/>
      </c>
      <c r="L411" s="164" t="str">
        <f>IF(N('01_Stations'!$AC$374)&gt;0,'01_Stations'!$AC$374,"")</f>
        <v/>
      </c>
      <c r="M411" s="164" t="str">
        <f>IF(N('01_Stations'!$AC$375)&gt;0,'01_Stations'!$AC$375,"")</f>
        <v/>
      </c>
      <c r="N411" s="164" t="str">
        <f>IF(N('01_Stations'!$AC$376)&gt;0,'01_Stations'!$AC$376,"")</f>
        <v/>
      </c>
      <c r="O411" s="164" t="str">
        <f>IF(N('01_Stations'!$AC$377)&gt;0,'01_Stations'!$AC$377,"")</f>
        <v/>
      </c>
      <c r="P411" s="164" t="str">
        <f>IF(N('01_Stations'!$AC$378)&gt;0,'01_Stations'!$AC$378,"")</f>
        <v/>
      </c>
      <c r="Q411" s="164" t="str">
        <f>IF(N('01_Stations'!$AC$379)&gt;0,'01_Stations'!$AC$379,"")</f>
        <v/>
      </c>
      <c r="R411" s="164" t="str">
        <f>IF(N('01_Stations'!$AC$380)&gt;0,'01_Stations'!$AC$380,"")</f>
        <v/>
      </c>
      <c r="S411" s="164" t="str">
        <f>IF(N('01_Stations'!$AC$381)&gt;0,'01_Stations'!$AC$381,"")</f>
        <v/>
      </c>
      <c r="T411" s="164" t="str">
        <f>IF(N('01_Stations'!$AC$382)&gt;0,'01_Stations'!$AC$382,"")</f>
        <v/>
      </c>
      <c r="U411" s="164" t="str">
        <f>IF(N('01_Stations'!$AC$383)&gt;0,'01_Stations'!$AC$383,"")</f>
        <v/>
      </c>
      <c r="V411" s="164" t="str">
        <f>IF(N('01_Stations'!$AC$384)&gt;0,'01_Stations'!$AC$384,"")</f>
        <v/>
      </c>
      <c r="W411" s="164" t="str">
        <f>IF(N('01_Stations'!$AC$385)&gt;0,'01_Stations'!$AC$385,"")</f>
        <v/>
      </c>
      <c r="X411" s="164" t="str">
        <f>IF(N('01_Stations'!$AC$386)&gt;0,'01_Stations'!$AC$386,"")</f>
        <v/>
      </c>
      <c r="Y411" s="164" t="str">
        <f>IF(N('01_Stations'!$AC$387)&gt;0,'01_Stations'!$AC$387,"")</f>
        <v/>
      </c>
      <c r="Z411" s="164" t="str">
        <f>IF(N('01_Stations'!$AC$388)&gt;0,'01_Stations'!$AC$388,"")</f>
        <v/>
      </c>
      <c r="AA411" s="164" t="str">
        <f>IF(N('01_Stations'!$AC$389)&gt;0,'01_Stations'!$AC$389,"")</f>
        <v/>
      </c>
      <c r="AB411" s="164" t="str">
        <f>IF(N('01_Stations'!$AC$390)&gt;0,'01_Stations'!$AC$390,"")</f>
        <v/>
      </c>
      <c r="AC411" s="164" t="str">
        <f>IF(N('01_Stations'!$AC$391)&gt;0,'01_Stations'!$AC$391,"")</f>
        <v/>
      </c>
      <c r="AD411" s="164" t="str">
        <f>IF(N('01_Stations'!$AC$392)&gt;0,'01_Stations'!$AC$392,"")</f>
        <v/>
      </c>
      <c r="AE411" s="164" t="str">
        <f>IF(N('01_Stations'!$AC$393)&gt;0,'01_Stations'!$AC$393,"")</f>
        <v/>
      </c>
      <c r="AF411" s="164" t="str">
        <f>IF(N('01_Stations'!$AC$394)&gt;0,'01_Stations'!$AC$394,"")</f>
        <v/>
      </c>
      <c r="AG411" s="164" t="str">
        <f>IF(N('01_Stations'!$AC$395)&gt;0,'01_Stations'!$AC$395,"")</f>
        <v/>
      </c>
      <c r="AH411" s="164" t="str">
        <f>IF(N('01_Stations'!$AC$396)&gt;0,'01_Stations'!$AC$396,"")</f>
        <v/>
      </c>
      <c r="AI411" s="164" t="str">
        <f>IF(N('01_Stations'!$AC$397)&gt;0,'01_Stations'!$AC$397,"")</f>
        <v/>
      </c>
      <c r="AJ411" s="164" t="str">
        <f>IF(N('01_Stations'!$AC$398)&gt;0,'01_Stations'!$AC$398,"")</f>
        <v/>
      </c>
      <c r="AK411" s="164" t="str">
        <f>IF(N('01_Stations'!$AC$399)&gt;0,'01_Stations'!$AC$399,"")</f>
        <v/>
      </c>
      <c r="AL411" s="164" t="str">
        <f>IF(N('01_Stations'!$AC$400)&gt;0,'01_Stations'!$AC$400,"")</f>
        <v/>
      </c>
      <c r="AM411" s="164" t="str">
        <f>IF(N('01_Stations'!$AC$401)&gt;0,'01_Stations'!$AC$401,"")</f>
        <v/>
      </c>
      <c r="AN411" s="164" t="str">
        <f>IF(N('01_Stations'!$AC$402)&gt;0,'01_Stations'!$AC$402,"")</f>
        <v/>
      </c>
      <c r="AO411" s="164" t="str">
        <f>IF(N('01_Stations'!$AC$403)&gt;0,'01_Stations'!$AC$403,"")</f>
        <v/>
      </c>
      <c r="AP411" s="164" t="str">
        <f>IF(N('01_Stations'!$AC$404)&gt;0,'01_Stations'!$AC$404,"")</f>
        <v/>
      </c>
      <c r="AQ411" s="164" t="str">
        <f>IF(N('01_Stations'!$AC$405)&gt;0,'01_Stations'!$AC$405,"")</f>
        <v/>
      </c>
    </row>
    <row r="412" spans="1:43" ht="15" customHeight="1" x14ac:dyDescent="0.3">
      <c r="A412" s="236"/>
      <c r="B412" s="165" t="s">
        <v>2221</v>
      </c>
      <c r="C412" s="166" t="s">
        <v>1622</v>
      </c>
      <c r="D412" s="164" t="str">
        <f>IF(N('01_Stations'!$AD$366)&gt;0,'01_Stations'!$AD$366,"")</f>
        <v/>
      </c>
      <c r="E412" s="164" t="str">
        <f>IF(N('01_Stations'!$AD$367)&gt;0,'01_Stations'!$AD$367,"")</f>
        <v/>
      </c>
      <c r="F412" s="164" t="str">
        <f>IF(N('01_Stations'!$AD$368)&gt;0,'01_Stations'!$AD$368,"")</f>
        <v/>
      </c>
      <c r="G412" s="164" t="str">
        <f>IF(N('01_Stations'!$AD$369)&gt;0,'01_Stations'!$AD$369,"")</f>
        <v/>
      </c>
      <c r="H412" s="164" t="str">
        <f>IF(N('01_Stations'!$AD$370)&gt;0,'01_Stations'!$AD$370,"")</f>
        <v/>
      </c>
      <c r="I412" s="164" t="str">
        <f>IF(N('01_Stations'!$AD$371)&gt;0,'01_Stations'!$AD$371,"")</f>
        <v/>
      </c>
      <c r="J412" s="164" t="str">
        <f>IF(N('01_Stations'!$AD$372)&gt;0,'01_Stations'!$AD$372,"")</f>
        <v/>
      </c>
      <c r="K412" s="164" t="str">
        <f>IF(N('01_Stations'!$AD$373)&gt;0,'01_Stations'!$AD$373,"")</f>
        <v/>
      </c>
      <c r="L412" s="164" t="str">
        <f>IF(N('01_Stations'!$AD$374)&gt;0,'01_Stations'!$AD$374,"")</f>
        <v/>
      </c>
      <c r="M412" s="164" t="str">
        <f>IF(N('01_Stations'!$AD$375)&gt;0,'01_Stations'!$AD$375,"")</f>
        <v/>
      </c>
      <c r="N412" s="164" t="str">
        <f>IF(N('01_Stations'!$AD$376)&gt;0,'01_Stations'!$AD$376,"")</f>
        <v/>
      </c>
      <c r="O412" s="164" t="str">
        <f>IF(N('01_Stations'!$AD$377)&gt;0,'01_Stations'!$AD$377,"")</f>
        <v/>
      </c>
      <c r="P412" s="164" t="str">
        <f>IF(N('01_Stations'!$AD$378)&gt;0,'01_Stations'!$AD$378,"")</f>
        <v/>
      </c>
      <c r="Q412" s="164" t="str">
        <f>IF(N('01_Stations'!$AD$379)&gt;0,'01_Stations'!$AD$379,"")</f>
        <v/>
      </c>
      <c r="R412" s="164" t="str">
        <f>IF(N('01_Stations'!$AD$380)&gt;0,'01_Stations'!$AD$380,"")</f>
        <v/>
      </c>
      <c r="S412" s="164" t="str">
        <f>IF(N('01_Stations'!$AD$381)&gt;0,'01_Stations'!$AD$381,"")</f>
        <v/>
      </c>
      <c r="T412" s="164" t="str">
        <f>IF(N('01_Stations'!$AD$382)&gt;0,'01_Stations'!$AD$382,"")</f>
        <v/>
      </c>
      <c r="U412" s="164" t="str">
        <f>IF(N('01_Stations'!$AD$383)&gt;0,'01_Stations'!$AD$383,"")</f>
        <v/>
      </c>
      <c r="V412" s="164" t="str">
        <f>IF(N('01_Stations'!$AD$384)&gt;0,'01_Stations'!$AD$384,"")</f>
        <v/>
      </c>
      <c r="W412" s="164" t="str">
        <f>IF(N('01_Stations'!$AD$385)&gt;0,'01_Stations'!$AD$385,"")</f>
        <v/>
      </c>
      <c r="X412" s="164" t="str">
        <f>IF(N('01_Stations'!$AD$386)&gt;0,'01_Stations'!$AD$386,"")</f>
        <v/>
      </c>
      <c r="Y412" s="164" t="str">
        <f>IF(N('01_Stations'!$AD$387)&gt;0,'01_Stations'!$AD$387,"")</f>
        <v/>
      </c>
      <c r="Z412" s="164" t="str">
        <f>IF(N('01_Stations'!$AD$388)&gt;0,'01_Stations'!$AD$388,"")</f>
        <v/>
      </c>
      <c r="AA412" s="164" t="str">
        <f>IF(N('01_Stations'!$AD$389)&gt;0,'01_Stations'!$AD$389,"")</f>
        <v/>
      </c>
      <c r="AB412" s="164" t="str">
        <f>IF(N('01_Stations'!$AD$390)&gt;0,'01_Stations'!$AD$390,"")</f>
        <v/>
      </c>
      <c r="AC412" s="164" t="str">
        <f>IF(N('01_Stations'!$AD$391)&gt;0,'01_Stations'!$AD$391,"")</f>
        <v/>
      </c>
      <c r="AD412" s="164" t="str">
        <f>IF(N('01_Stations'!$AD$392)&gt;0,'01_Stations'!$AD$392,"")</f>
        <v/>
      </c>
      <c r="AE412" s="164" t="str">
        <f>IF(N('01_Stations'!$AD$393)&gt;0,'01_Stations'!$AD$393,"")</f>
        <v/>
      </c>
      <c r="AF412" s="164" t="str">
        <f>IF(N('01_Stations'!$AD$394)&gt;0,'01_Stations'!$AD$394,"")</f>
        <v/>
      </c>
      <c r="AG412" s="164" t="str">
        <f>IF(N('01_Stations'!$AD$395)&gt;0,'01_Stations'!$AD$395,"")</f>
        <v/>
      </c>
      <c r="AH412" s="164" t="str">
        <f>IF(N('01_Stations'!$AD$396)&gt;0,'01_Stations'!$AD$396,"")</f>
        <v/>
      </c>
      <c r="AI412" s="164" t="str">
        <f>IF(N('01_Stations'!$AD$397)&gt;0,'01_Stations'!$AD$397,"")</f>
        <v/>
      </c>
      <c r="AJ412" s="164" t="str">
        <f>IF(N('01_Stations'!$AD$398)&gt;0,'01_Stations'!$AD$398,"")</f>
        <v/>
      </c>
      <c r="AK412" s="164" t="str">
        <f>IF(N('01_Stations'!$AD$399)&gt;0,'01_Stations'!$AD$399,"")</f>
        <v/>
      </c>
      <c r="AL412" s="164" t="str">
        <f>IF(N('01_Stations'!$AD$400)&gt;0,'01_Stations'!$AD$400,"")</f>
        <v/>
      </c>
      <c r="AM412" s="164" t="str">
        <f>IF(N('01_Stations'!$AD$401)&gt;0,'01_Stations'!$AD$401,"")</f>
        <v/>
      </c>
      <c r="AN412" s="164" t="str">
        <f>IF(N('01_Stations'!$AD$402)&gt;0,'01_Stations'!$AD$402,"")</f>
        <v/>
      </c>
      <c r="AO412" s="164" t="str">
        <f>IF(N('01_Stations'!$AD$403)&gt;0,'01_Stations'!$AD$403,"")</f>
        <v/>
      </c>
      <c r="AP412" s="164" t="str">
        <f>IF(N('01_Stations'!$AD$404)&gt;0,'01_Stations'!$AD$404,"")</f>
        <v/>
      </c>
      <c r="AQ412" s="164" t="str">
        <f>IF(N('01_Stations'!$AD$405)&gt;0,'01_Stations'!$AD$405,"")</f>
        <v/>
      </c>
    </row>
    <row r="413" spans="1:43" ht="15" customHeight="1" x14ac:dyDescent="0.3">
      <c r="A413" s="236"/>
      <c r="B413" s="165"/>
      <c r="C413" s="166" t="s">
        <v>2212</v>
      </c>
      <c r="D413" s="164" t="str">
        <f>IF(N('01_Stations'!$AE$366)&gt;0,'01_Stations'!$AE$366,"")</f>
        <v/>
      </c>
      <c r="E413" s="164" t="str">
        <f>IF(N('01_Stations'!$AE$367)&gt;0,'01_Stations'!$AE$367,"")</f>
        <v/>
      </c>
      <c r="F413" s="164" t="str">
        <f>IF(N('01_Stations'!$AE$368)&gt;0,'01_Stations'!$AE$368,"")</f>
        <v/>
      </c>
      <c r="G413" s="164" t="str">
        <f>IF(N('01_Stations'!$AE$369)&gt;0,'01_Stations'!$AE$369,"")</f>
        <v/>
      </c>
      <c r="H413" s="164" t="str">
        <f>IF(N('01_Stations'!$AE$370)&gt;0,'01_Stations'!$AE$370,"")</f>
        <v/>
      </c>
      <c r="I413" s="164" t="str">
        <f>IF(N('01_Stations'!$AE$371)&gt;0,'01_Stations'!$AE$371,"")</f>
        <v/>
      </c>
      <c r="J413" s="164" t="str">
        <f>IF(N('01_Stations'!$AE$372)&gt;0,'01_Stations'!$AE$372,"")</f>
        <v/>
      </c>
      <c r="K413" s="164" t="str">
        <f>IF(N('01_Stations'!$AE$373)&gt;0,'01_Stations'!$AE$373,"")</f>
        <v/>
      </c>
      <c r="L413" s="164" t="str">
        <f>IF(N('01_Stations'!$AE$374)&gt;0,'01_Stations'!$AE$374,"")</f>
        <v/>
      </c>
      <c r="M413" s="164" t="str">
        <f>IF(N('01_Stations'!$AE$375)&gt;0,'01_Stations'!$AE$375,"")</f>
        <v/>
      </c>
      <c r="N413" s="164" t="str">
        <f>IF(N('01_Stations'!$AE$376)&gt;0,'01_Stations'!$AE$376,"")</f>
        <v/>
      </c>
      <c r="O413" s="164" t="str">
        <f>IF(N('01_Stations'!$AE$377)&gt;0,'01_Stations'!$AE$377,"")</f>
        <v/>
      </c>
      <c r="P413" s="164" t="str">
        <f>IF(N('01_Stations'!$AE$378)&gt;0,'01_Stations'!$AE$378,"")</f>
        <v/>
      </c>
      <c r="Q413" s="164" t="str">
        <f>IF(N('01_Stations'!$AE$379)&gt;0,'01_Stations'!$AE$379,"")</f>
        <v/>
      </c>
      <c r="R413" s="164" t="str">
        <f>IF(N('01_Stations'!$AE$380)&gt;0,'01_Stations'!$AE$380,"")</f>
        <v/>
      </c>
      <c r="S413" s="164" t="str">
        <f>IF(N('01_Stations'!$AE$381)&gt;0,'01_Stations'!$AE$381,"")</f>
        <v/>
      </c>
      <c r="T413" s="164" t="str">
        <f>IF(N('01_Stations'!$AE$382)&gt;0,'01_Stations'!$AE$382,"")</f>
        <v/>
      </c>
      <c r="U413" s="164" t="str">
        <f>IF(N('01_Stations'!$AE$383)&gt;0,'01_Stations'!$AE$383,"")</f>
        <v/>
      </c>
      <c r="V413" s="164" t="str">
        <f>IF(N('01_Stations'!$AE$384)&gt;0,'01_Stations'!$AE$384,"")</f>
        <v/>
      </c>
      <c r="W413" s="164" t="str">
        <f>IF(N('01_Stations'!$AE$385)&gt;0,'01_Stations'!$AE$385,"")</f>
        <v/>
      </c>
      <c r="X413" s="164" t="str">
        <f>IF(N('01_Stations'!$AE$386)&gt;0,'01_Stations'!$AE$386,"")</f>
        <v/>
      </c>
      <c r="Y413" s="164" t="str">
        <f>IF(N('01_Stations'!$AE$387)&gt;0,'01_Stations'!$AE$387,"")</f>
        <v/>
      </c>
      <c r="Z413" s="164" t="str">
        <f>IF(N('01_Stations'!$AE$388)&gt;0,'01_Stations'!$AE$388,"")</f>
        <v/>
      </c>
      <c r="AA413" s="164" t="str">
        <f>IF(N('01_Stations'!$AE$389)&gt;0,'01_Stations'!$AE$389,"")</f>
        <v/>
      </c>
      <c r="AB413" s="164" t="str">
        <f>IF(N('01_Stations'!$AE$390)&gt;0,'01_Stations'!$AE$390,"")</f>
        <v/>
      </c>
      <c r="AC413" s="164" t="str">
        <f>IF(N('01_Stations'!$AE$391)&gt;0,'01_Stations'!$AE$391,"")</f>
        <v/>
      </c>
      <c r="AD413" s="164" t="str">
        <f>IF(N('01_Stations'!$AE$392)&gt;0,'01_Stations'!$AE$392,"")</f>
        <v/>
      </c>
      <c r="AE413" s="164" t="str">
        <f>IF(N('01_Stations'!$AE$393)&gt;0,'01_Stations'!$AE$393,"")</f>
        <v/>
      </c>
      <c r="AF413" s="164" t="str">
        <f>IF(N('01_Stations'!$AE$394)&gt;0,'01_Stations'!$AE$394,"")</f>
        <v/>
      </c>
      <c r="AG413" s="164" t="str">
        <f>IF(N('01_Stations'!$AE$395)&gt;0,'01_Stations'!$AE$395,"")</f>
        <v/>
      </c>
      <c r="AH413" s="164" t="str">
        <f>IF(N('01_Stations'!$AE$396)&gt;0,'01_Stations'!$AE$396,"")</f>
        <v/>
      </c>
      <c r="AI413" s="164" t="str">
        <f>IF(N('01_Stations'!$AE$397)&gt;0,'01_Stations'!$AE$397,"")</f>
        <v/>
      </c>
      <c r="AJ413" s="164" t="str">
        <f>IF(N('01_Stations'!$AE$398)&gt;0,'01_Stations'!$AE$398,"")</f>
        <v/>
      </c>
      <c r="AK413" s="164" t="str">
        <f>IF(N('01_Stations'!$AE$399)&gt;0,'01_Stations'!$AE$399,"")</f>
        <v/>
      </c>
      <c r="AL413" s="164" t="str">
        <f>IF(N('01_Stations'!$AE$400)&gt;0,'01_Stations'!$AE$400,"")</f>
        <v/>
      </c>
      <c r="AM413" s="164" t="str">
        <f>IF(N('01_Stations'!$AE$401)&gt;0,'01_Stations'!$AE$401,"")</f>
        <v/>
      </c>
      <c r="AN413" s="164" t="str">
        <f>IF(N('01_Stations'!$AE$402)&gt;0,'01_Stations'!$AE$402,"")</f>
        <v/>
      </c>
      <c r="AO413" s="164" t="str">
        <f>IF(N('01_Stations'!$AE$403)&gt;0,'01_Stations'!$AE$403,"")</f>
        <v/>
      </c>
      <c r="AP413" s="164" t="str">
        <f>IF(N('01_Stations'!$AE$404)&gt;0,'01_Stations'!$AE$404,"")</f>
        <v/>
      </c>
      <c r="AQ413" s="164" t="str">
        <f>IF(N('01_Stations'!$AE$405)&gt;0,'01_Stations'!$AE$405,"")</f>
        <v/>
      </c>
    </row>
    <row r="414" spans="1:43" ht="15" customHeight="1" x14ac:dyDescent="0.3">
      <c r="A414" s="236"/>
      <c r="B414" s="165" t="s">
        <v>1942</v>
      </c>
      <c r="C414" s="166" t="s">
        <v>1622</v>
      </c>
      <c r="D414" s="164" t="str">
        <f>IF('01_Stations'!$AF$366=1,"───","")</f>
        <v/>
      </c>
      <c r="E414" s="164" t="str">
        <f>IF('01_Stations'!$AF$367=1,"───","")</f>
        <v/>
      </c>
      <c r="F414" s="164" t="str">
        <f>IF('01_Stations'!$AF$368=1,"───","")</f>
        <v/>
      </c>
      <c r="G414" s="164" t="str">
        <f>IF('01_Stations'!$AF$369=1,"───","")</f>
        <v/>
      </c>
      <c r="H414" s="164" t="str">
        <f>IF('01_Stations'!$AF$370=1,"───","")</f>
        <v/>
      </c>
      <c r="I414" s="164" t="str">
        <f>IF('01_Stations'!$AF$371=1,"───","")</f>
        <v/>
      </c>
      <c r="J414" s="164" t="str">
        <f>IF('01_Stations'!$AF$372=1,"───","")</f>
        <v/>
      </c>
      <c r="K414" s="164" t="str">
        <f>IF('01_Stations'!$AF$373=1,"───","")</f>
        <v/>
      </c>
      <c r="L414" s="164" t="str">
        <f>IF('01_Stations'!$AF$374=1,"───","")</f>
        <v/>
      </c>
      <c r="M414" s="164" t="str">
        <f>IF('01_Stations'!$AF$375=1,"───","")</f>
        <v/>
      </c>
      <c r="N414" s="164" t="str">
        <f>IF('01_Stations'!$AF$376=1,"───","")</f>
        <v/>
      </c>
      <c r="O414" s="164" t="str">
        <f>IF('01_Stations'!$AF$377=1,"───","")</f>
        <v/>
      </c>
      <c r="P414" s="164" t="str">
        <f>IF('01_Stations'!$AF$378=1,"───","")</f>
        <v/>
      </c>
      <c r="Q414" s="164" t="str">
        <f>IF('01_Stations'!$AF$379=1,"───","")</f>
        <v/>
      </c>
      <c r="R414" s="164" t="str">
        <f>IF('01_Stations'!$AF$380=1,"───","")</f>
        <v/>
      </c>
      <c r="S414" s="164" t="str">
        <f>IF('01_Stations'!$AF$381=1,"───","")</f>
        <v/>
      </c>
      <c r="T414" s="164" t="str">
        <f>IF('01_Stations'!$AF$382=1,"───","")</f>
        <v/>
      </c>
      <c r="U414" s="164" t="str">
        <f>IF('01_Stations'!$AF$383=1,"───","")</f>
        <v/>
      </c>
      <c r="V414" s="164" t="str">
        <f>IF('01_Stations'!$AF$384=1,"───","")</f>
        <v/>
      </c>
      <c r="W414" s="164" t="str">
        <f>IF('01_Stations'!$AF$385=1,"───","")</f>
        <v/>
      </c>
      <c r="X414" s="164" t="str">
        <f>IF('01_Stations'!$AF$386=1,"───","")</f>
        <v/>
      </c>
      <c r="Y414" s="164" t="str">
        <f>IF('01_Stations'!$AF$387=1,"───","")</f>
        <v/>
      </c>
      <c r="Z414" s="164" t="str">
        <f>IF('01_Stations'!$AF$388=1,"───","")</f>
        <v/>
      </c>
      <c r="AA414" s="164" t="str">
        <f>IF('01_Stations'!$AF$389=1,"───","")</f>
        <v/>
      </c>
      <c r="AB414" s="164" t="str">
        <f>IF('01_Stations'!$AF$390=1,"───","")</f>
        <v/>
      </c>
      <c r="AC414" s="164" t="str">
        <f>IF('01_Stations'!$AF$391=1,"───","")</f>
        <v/>
      </c>
      <c r="AD414" s="164" t="str">
        <f>IF('01_Stations'!$AF$392=1,"───","")</f>
        <v/>
      </c>
      <c r="AE414" s="164" t="str">
        <f>IF('01_Stations'!$AF$393=1,"───","")</f>
        <v/>
      </c>
      <c r="AF414" s="164" t="str">
        <f>IF('01_Stations'!$AF$394=1,"───","")</f>
        <v/>
      </c>
      <c r="AG414" s="164" t="str">
        <f>IF('01_Stations'!$AF$395=1,"───","")</f>
        <v/>
      </c>
      <c r="AH414" s="164" t="str">
        <f>IF('01_Stations'!$AF$396=1,"───","")</f>
        <v/>
      </c>
      <c r="AI414" s="164" t="str">
        <f>IF('01_Stations'!$AF$397=1,"───","")</f>
        <v/>
      </c>
      <c r="AJ414" s="164" t="str">
        <f>IF('01_Stations'!$AF$398=1,"───","")</f>
        <v/>
      </c>
      <c r="AK414" s="164" t="str">
        <f>IF('01_Stations'!$AF$399=1,"───","")</f>
        <v/>
      </c>
      <c r="AL414" s="164" t="str">
        <f>IF('01_Stations'!$AF$400=1,"───","")</f>
        <v/>
      </c>
      <c r="AM414" s="164" t="str">
        <f>IF('01_Stations'!$AF$401=1,"───","")</f>
        <v/>
      </c>
      <c r="AN414" s="164" t="str">
        <f>IF('01_Stations'!$AF$402=1,"───","")</f>
        <v/>
      </c>
      <c r="AO414" s="164" t="str">
        <f>IF('01_Stations'!$AF$403=1,"───","")</f>
        <v/>
      </c>
      <c r="AP414" s="164" t="str">
        <f>IF('01_Stations'!$AF$404=1,"───","")</f>
        <v/>
      </c>
      <c r="AQ414" s="164" t="str">
        <f>IF('01_Stations'!$AF$405=1,"───","")</f>
        <v/>
      </c>
    </row>
    <row r="415" spans="1:43" ht="15" customHeight="1" x14ac:dyDescent="0.3">
      <c r="A415" s="237"/>
      <c r="B415" s="165"/>
      <c r="C415" s="166" t="s">
        <v>2212</v>
      </c>
      <c r="D415" s="164" t="str">
        <f>IF('01_Stations'!$AG$366=1,"───","")</f>
        <v/>
      </c>
      <c r="E415" s="164" t="str">
        <f>IF('01_Stations'!$AG$367=1,"───","")</f>
        <v/>
      </c>
      <c r="F415" s="164" t="str">
        <f>IF('01_Stations'!$AG$368=1,"───","")</f>
        <v/>
      </c>
      <c r="G415" s="164" t="str">
        <f>IF('01_Stations'!$AG$369=1,"───","")</f>
        <v/>
      </c>
      <c r="H415" s="164" t="str">
        <f>IF('01_Stations'!$AG$370=1,"───","")</f>
        <v/>
      </c>
      <c r="I415" s="164" t="str">
        <f>IF('01_Stations'!$AG$371=1,"───","")</f>
        <v/>
      </c>
      <c r="J415" s="164" t="str">
        <f>IF('01_Stations'!$AG$372=1,"───","")</f>
        <v/>
      </c>
      <c r="K415" s="164" t="str">
        <f>IF('01_Stations'!$AG$373=1,"───","")</f>
        <v/>
      </c>
      <c r="L415" s="164" t="str">
        <f>IF('01_Stations'!$AG$374=1,"───","")</f>
        <v/>
      </c>
      <c r="M415" s="164" t="str">
        <f>IF('01_Stations'!$AG$375=1,"───","")</f>
        <v/>
      </c>
      <c r="N415" s="164" t="str">
        <f>IF('01_Stations'!$AG$376=1,"───","")</f>
        <v/>
      </c>
      <c r="O415" s="164" t="str">
        <f>IF('01_Stations'!$AG$377=1,"───","")</f>
        <v/>
      </c>
      <c r="P415" s="164" t="str">
        <f>IF('01_Stations'!$AG$378=1,"───","")</f>
        <v/>
      </c>
      <c r="Q415" s="164" t="str">
        <f>IF('01_Stations'!$AG$379=1,"───","")</f>
        <v/>
      </c>
      <c r="R415" s="164" t="str">
        <f>IF('01_Stations'!$AG$380=1,"───","")</f>
        <v/>
      </c>
      <c r="S415" s="164" t="str">
        <f>IF('01_Stations'!$AG$381=1,"───","")</f>
        <v/>
      </c>
      <c r="T415" s="164" t="str">
        <f>IF('01_Stations'!$AG$382=1,"───","")</f>
        <v/>
      </c>
      <c r="U415" s="164" t="str">
        <f>IF('01_Stations'!$AG$383=1,"───","")</f>
        <v/>
      </c>
      <c r="V415" s="164" t="str">
        <f>IF('01_Stations'!$AG$384=1,"───","")</f>
        <v/>
      </c>
      <c r="W415" s="164" t="str">
        <f>IF('01_Stations'!$AG$385=1,"───","")</f>
        <v/>
      </c>
      <c r="X415" s="164" t="str">
        <f>IF('01_Stations'!$AG$386=1,"───","")</f>
        <v/>
      </c>
      <c r="Y415" s="164" t="str">
        <f>IF('01_Stations'!$AG$387=1,"───","")</f>
        <v/>
      </c>
      <c r="Z415" s="164" t="str">
        <f>IF('01_Stations'!$AG$388=1,"───","")</f>
        <v/>
      </c>
      <c r="AA415" s="164" t="str">
        <f>IF('01_Stations'!$AG$389=1,"───","")</f>
        <v/>
      </c>
      <c r="AB415" s="164" t="str">
        <f>IF('01_Stations'!$AG$390=1,"───","")</f>
        <v/>
      </c>
      <c r="AC415" s="164" t="str">
        <f>IF('01_Stations'!$AG$391=1,"───","")</f>
        <v/>
      </c>
      <c r="AD415" s="164" t="str">
        <f>IF('01_Stations'!$AG$392=1,"───","")</f>
        <v/>
      </c>
      <c r="AE415" s="164" t="str">
        <f>IF('01_Stations'!$AG$393=1,"───","")</f>
        <v/>
      </c>
      <c r="AF415" s="164" t="str">
        <f>IF('01_Stations'!$AG$394=1,"───","")</f>
        <v/>
      </c>
      <c r="AG415" s="164" t="str">
        <f>IF('01_Stations'!$AG$395=1,"───","")</f>
        <v/>
      </c>
      <c r="AH415" s="164" t="str">
        <f>IF('01_Stations'!$AG$396=1,"───","")</f>
        <v/>
      </c>
      <c r="AI415" s="164" t="str">
        <f>IF('01_Stations'!$AG$397=1,"───","")</f>
        <v/>
      </c>
      <c r="AJ415" s="164" t="str">
        <f>IF('01_Stations'!$AG$398=1,"───","")</f>
        <v/>
      </c>
      <c r="AK415" s="164" t="str">
        <f>IF('01_Stations'!$AG$399=1,"───","")</f>
        <v/>
      </c>
      <c r="AL415" s="164" t="str">
        <f>IF('01_Stations'!$AG$400=1,"───","")</f>
        <v/>
      </c>
      <c r="AM415" s="164" t="str">
        <f>IF('01_Stations'!$AG$401=1,"───","")</f>
        <v/>
      </c>
      <c r="AN415" s="164" t="str">
        <f>IF('01_Stations'!$AG$402=1,"───","")</f>
        <v/>
      </c>
      <c r="AO415" s="164" t="str">
        <f>IF('01_Stations'!$AG$403=1,"───","")</f>
        <v/>
      </c>
      <c r="AP415" s="164" t="str">
        <f>IF('01_Stations'!$AG$404=1,"───","")</f>
        <v/>
      </c>
      <c r="AQ415" s="164" t="str">
        <f>IF('01_Stations'!$AG$405=1,"───","")</f>
        <v/>
      </c>
    </row>
    <row r="416" spans="1:43" ht="15" customHeight="1" x14ac:dyDescent="0.3">
      <c r="A416" s="238" t="s">
        <v>2222</v>
      </c>
      <c r="B416" s="165" t="s">
        <v>291</v>
      </c>
      <c r="C416" s="166"/>
      <c r="D416" s="164" t="str">
        <f>IF('01_Stations'!$AH$366=1,"───","")</f>
        <v/>
      </c>
      <c r="E416" s="164" t="str">
        <f>IF('01_Stations'!$AH$367=1,"───","")</f>
        <v/>
      </c>
      <c r="F416" s="164" t="str">
        <f>IF('01_Stations'!$AH$368=1,"───","")</f>
        <v/>
      </c>
      <c r="G416" s="164" t="str">
        <f>IF('01_Stations'!$AH$369=1,"───","")</f>
        <v/>
      </c>
      <c r="H416" s="164" t="str">
        <f>IF('01_Stations'!$AH$370=1,"───","")</f>
        <v/>
      </c>
      <c r="I416" s="164" t="str">
        <f>IF('01_Stations'!$AH$371=1,"───","")</f>
        <v/>
      </c>
      <c r="J416" s="164" t="str">
        <f>IF('01_Stations'!$AH$372=1,"───","")</f>
        <v/>
      </c>
      <c r="K416" s="164" t="str">
        <f>IF('01_Stations'!$AH$373=1,"───","")</f>
        <v/>
      </c>
      <c r="L416" s="164" t="str">
        <f>IF('01_Stations'!$AH$374=1,"───","")</f>
        <v/>
      </c>
      <c r="M416" s="164" t="str">
        <f>IF('01_Stations'!$AH$375=1,"───","")</f>
        <v/>
      </c>
      <c r="N416" s="164" t="str">
        <f>IF('01_Stations'!$AH$376=1,"───","")</f>
        <v/>
      </c>
      <c r="O416" s="164" t="str">
        <f>IF('01_Stations'!$AH$377=1,"───","")</f>
        <v/>
      </c>
      <c r="P416" s="164" t="str">
        <f>IF('01_Stations'!$AH$378=1,"───","")</f>
        <v/>
      </c>
      <c r="Q416" s="164" t="str">
        <f>IF('01_Stations'!$AH$379=1,"───","")</f>
        <v/>
      </c>
      <c r="R416" s="164" t="str">
        <f>IF('01_Stations'!$AH$380=1,"───","")</f>
        <v/>
      </c>
      <c r="S416" s="164" t="str">
        <f>IF('01_Stations'!$AH$381=1,"───","")</f>
        <v/>
      </c>
      <c r="T416" s="164" t="str">
        <f>IF('01_Stations'!$AH$382=1,"───","")</f>
        <v/>
      </c>
      <c r="U416" s="164" t="str">
        <f>IF('01_Stations'!$AH$383=1,"───","")</f>
        <v/>
      </c>
      <c r="V416" s="164" t="str">
        <f>IF('01_Stations'!$AH$384=1,"───","")</f>
        <v/>
      </c>
      <c r="W416" s="164" t="str">
        <f>IF('01_Stations'!$AH$385=1,"───","")</f>
        <v/>
      </c>
      <c r="X416" s="164" t="str">
        <f>IF('01_Stations'!$AH$386=1,"───","")</f>
        <v/>
      </c>
      <c r="Y416" s="164" t="str">
        <f>IF('01_Stations'!$AH$387=1,"───","")</f>
        <v/>
      </c>
      <c r="Z416" s="164" t="str">
        <f>IF('01_Stations'!$AH$388=1,"───","")</f>
        <v/>
      </c>
      <c r="AA416" s="164" t="str">
        <f>IF('01_Stations'!$AH$389=1,"───","")</f>
        <v/>
      </c>
      <c r="AB416" s="164" t="str">
        <f>IF('01_Stations'!$AH$390=1,"───","")</f>
        <v/>
      </c>
      <c r="AC416" s="164" t="str">
        <f>IF('01_Stations'!$AH$391=1,"───","")</f>
        <v/>
      </c>
      <c r="AD416" s="164" t="str">
        <f>IF('01_Stations'!$AH$392=1,"───","")</f>
        <v/>
      </c>
      <c r="AE416" s="164" t="str">
        <f>IF('01_Stations'!$AH$393=1,"───","")</f>
        <v/>
      </c>
      <c r="AF416" s="164" t="str">
        <f>IF('01_Stations'!$AH$394=1,"───","")</f>
        <v/>
      </c>
      <c r="AG416" s="164" t="str">
        <f>IF('01_Stations'!$AH$395=1,"───","")</f>
        <v/>
      </c>
      <c r="AH416" s="164" t="str">
        <f>IF('01_Stations'!$AH$396=1,"───","")</f>
        <v/>
      </c>
      <c r="AI416" s="164" t="str">
        <f>IF('01_Stations'!$AH$397=1,"───","")</f>
        <v/>
      </c>
      <c r="AJ416" s="164" t="str">
        <f>IF('01_Stations'!$AH$398=1,"───","")</f>
        <v/>
      </c>
      <c r="AK416" s="164" t="str">
        <f>IF('01_Stations'!$AH$399=1,"───","")</f>
        <v/>
      </c>
      <c r="AL416" s="164" t="str">
        <f>IF('01_Stations'!$AH$400=1,"───","")</f>
        <v/>
      </c>
      <c r="AM416" s="164" t="str">
        <f>IF('01_Stations'!$AH$401=1,"───","")</f>
        <v/>
      </c>
      <c r="AN416" s="164" t="str">
        <f>IF('01_Stations'!$AH$402=1,"───","")</f>
        <v/>
      </c>
      <c r="AO416" s="164" t="str">
        <f>IF('01_Stations'!$AH$403=1,"───","")</f>
        <v/>
      </c>
      <c r="AP416" s="164" t="str">
        <f>IF('01_Stations'!$AH$404=1,"───","")</f>
        <v/>
      </c>
      <c r="AQ416" s="164" t="str">
        <f>IF('01_Stations'!$AH$405=1,"───","")</f>
        <v/>
      </c>
    </row>
    <row r="417" spans="1:43" ht="15" customHeight="1" x14ac:dyDescent="0.3">
      <c r="A417" s="236"/>
      <c r="B417" s="165" t="s">
        <v>292</v>
      </c>
      <c r="C417" s="166"/>
      <c r="D417" s="164" t="str">
        <f>IF('01_Stations'!$AI$366=1,"───","")</f>
        <v/>
      </c>
      <c r="E417" s="164" t="str">
        <f>IF('01_Stations'!$AI$367=1,"───","")</f>
        <v/>
      </c>
      <c r="F417" s="164" t="str">
        <f>IF('01_Stations'!$AI$368=1,"───","")</f>
        <v/>
      </c>
      <c r="G417" s="164" t="str">
        <f>IF('01_Stations'!$AI$369=1,"───","")</f>
        <v/>
      </c>
      <c r="H417" s="164" t="str">
        <f>IF('01_Stations'!$AI$370=1,"───","")</f>
        <v/>
      </c>
      <c r="I417" s="164" t="str">
        <f>IF('01_Stations'!$AI$371=1,"───","")</f>
        <v/>
      </c>
      <c r="J417" s="164" t="str">
        <f>IF('01_Stations'!$AI$372=1,"───","")</f>
        <v/>
      </c>
      <c r="K417" s="164" t="str">
        <f>IF('01_Stations'!$AI$373=1,"───","")</f>
        <v/>
      </c>
      <c r="L417" s="164" t="str">
        <f>IF('01_Stations'!$AI$374=1,"───","")</f>
        <v/>
      </c>
      <c r="M417" s="164" t="str">
        <f>IF('01_Stations'!$AI$375=1,"───","")</f>
        <v/>
      </c>
      <c r="N417" s="164" t="str">
        <f>IF('01_Stations'!$AI$376=1,"───","")</f>
        <v/>
      </c>
      <c r="O417" s="164" t="str">
        <f>IF('01_Stations'!$AI$377=1,"───","")</f>
        <v/>
      </c>
      <c r="P417" s="164" t="str">
        <f>IF('01_Stations'!$AI$378=1,"───","")</f>
        <v/>
      </c>
      <c r="Q417" s="164" t="str">
        <f>IF('01_Stations'!$AI$379=1,"───","")</f>
        <v/>
      </c>
      <c r="R417" s="164" t="str">
        <f>IF('01_Stations'!$AI$380=1,"───","")</f>
        <v/>
      </c>
      <c r="S417" s="164" t="str">
        <f>IF('01_Stations'!$AI$381=1,"───","")</f>
        <v/>
      </c>
      <c r="T417" s="164" t="str">
        <f>IF('01_Stations'!$AI$382=1,"───","")</f>
        <v/>
      </c>
      <c r="U417" s="164" t="str">
        <f>IF('01_Stations'!$AI$383=1,"───","")</f>
        <v/>
      </c>
      <c r="V417" s="164" t="str">
        <f>IF('01_Stations'!$AI$384=1,"───","")</f>
        <v/>
      </c>
      <c r="W417" s="164" t="str">
        <f>IF('01_Stations'!$AI$385=1,"───","")</f>
        <v/>
      </c>
      <c r="X417" s="164" t="str">
        <f>IF('01_Stations'!$AI$386=1,"───","")</f>
        <v/>
      </c>
      <c r="Y417" s="164" t="str">
        <f>IF('01_Stations'!$AI$387=1,"───","")</f>
        <v/>
      </c>
      <c r="Z417" s="164" t="str">
        <f>IF('01_Stations'!$AI$388=1,"───","")</f>
        <v/>
      </c>
      <c r="AA417" s="164" t="str">
        <f>IF('01_Stations'!$AI$389=1,"───","")</f>
        <v/>
      </c>
      <c r="AB417" s="164" t="str">
        <f>IF('01_Stations'!$AI$390=1,"───","")</f>
        <v/>
      </c>
      <c r="AC417" s="164" t="str">
        <f>IF('01_Stations'!$AI$391=1,"───","")</f>
        <v/>
      </c>
      <c r="AD417" s="164" t="str">
        <f>IF('01_Stations'!$AI$392=1,"───","")</f>
        <v/>
      </c>
      <c r="AE417" s="164" t="str">
        <f>IF('01_Stations'!$AI$393=1,"───","")</f>
        <v/>
      </c>
      <c r="AF417" s="164" t="str">
        <f>IF('01_Stations'!$AI$394=1,"───","")</f>
        <v/>
      </c>
      <c r="AG417" s="164" t="str">
        <f>IF('01_Stations'!$AI$395=1,"───","")</f>
        <v/>
      </c>
      <c r="AH417" s="164" t="str">
        <f>IF('01_Stations'!$AI$396=1,"───","")</f>
        <v/>
      </c>
      <c r="AI417" s="164" t="str">
        <f>IF('01_Stations'!$AI$397=1,"───","")</f>
        <v/>
      </c>
      <c r="AJ417" s="164" t="str">
        <f>IF('01_Stations'!$AI$398=1,"───","")</f>
        <v/>
      </c>
      <c r="AK417" s="164" t="str">
        <f>IF('01_Stations'!$AI$399=1,"───","")</f>
        <v/>
      </c>
      <c r="AL417" s="164" t="str">
        <f>IF('01_Stations'!$AI$400=1,"───","")</f>
        <v/>
      </c>
      <c r="AM417" s="164" t="str">
        <f>IF('01_Stations'!$AI$401=1,"───","")</f>
        <v/>
      </c>
      <c r="AN417" s="164" t="str">
        <f>IF('01_Stations'!$AI$402=1,"───","")</f>
        <v/>
      </c>
      <c r="AO417" s="164" t="str">
        <f>IF('01_Stations'!$AI$403=1,"───","")</f>
        <v/>
      </c>
      <c r="AP417" s="164" t="str">
        <f>IF('01_Stations'!$AI$404=1,"───","")</f>
        <v/>
      </c>
      <c r="AQ417" s="164" t="str">
        <f>IF('01_Stations'!$AI$405=1,"───","")</f>
        <v/>
      </c>
    </row>
    <row r="418" spans="1:43" ht="15" customHeight="1" x14ac:dyDescent="0.3">
      <c r="A418" s="236"/>
      <c r="B418" s="165" t="s">
        <v>293</v>
      </c>
      <c r="C418" s="166"/>
      <c r="D418" s="164" t="str">
        <f>IF('01_Stations'!$AJ$366=1,"───","")</f>
        <v/>
      </c>
      <c r="E418" s="164" t="str">
        <f>IF('01_Stations'!$AJ$367=1,"───","")</f>
        <v/>
      </c>
      <c r="F418" s="164" t="str">
        <f>IF('01_Stations'!$AJ$368=1,"───","")</f>
        <v/>
      </c>
      <c r="G418" s="164" t="str">
        <f>IF('01_Stations'!$AJ$369=1,"───","")</f>
        <v/>
      </c>
      <c r="H418" s="164" t="str">
        <f>IF('01_Stations'!$AJ$370=1,"───","")</f>
        <v/>
      </c>
      <c r="I418" s="164" t="str">
        <f>IF('01_Stations'!$AJ$371=1,"───","")</f>
        <v/>
      </c>
      <c r="J418" s="164" t="str">
        <f>IF('01_Stations'!$AJ$372=1,"───","")</f>
        <v/>
      </c>
      <c r="K418" s="164" t="str">
        <f>IF('01_Stations'!$AJ$373=1,"───","")</f>
        <v/>
      </c>
      <c r="L418" s="164" t="str">
        <f>IF('01_Stations'!$AJ$374=1,"───","")</f>
        <v/>
      </c>
      <c r="M418" s="164" t="str">
        <f>IF('01_Stations'!$AJ$375=1,"───","")</f>
        <v/>
      </c>
      <c r="N418" s="164" t="str">
        <f>IF('01_Stations'!$AJ$376=1,"───","")</f>
        <v/>
      </c>
      <c r="O418" s="164" t="str">
        <f>IF('01_Stations'!$AJ$377=1,"───","")</f>
        <v/>
      </c>
      <c r="P418" s="164" t="str">
        <f>IF('01_Stations'!$AJ$378=1,"───","")</f>
        <v/>
      </c>
      <c r="Q418" s="164" t="str">
        <f>IF('01_Stations'!$AJ$379=1,"───","")</f>
        <v/>
      </c>
      <c r="R418" s="164" t="str">
        <f>IF('01_Stations'!$AJ$380=1,"───","")</f>
        <v/>
      </c>
      <c r="S418" s="164" t="str">
        <f>IF('01_Stations'!$AJ$381=1,"───","")</f>
        <v/>
      </c>
      <c r="T418" s="164" t="str">
        <f>IF('01_Stations'!$AJ$382=1,"───","")</f>
        <v/>
      </c>
      <c r="U418" s="164" t="str">
        <f>IF('01_Stations'!$AJ$383=1,"───","")</f>
        <v/>
      </c>
      <c r="V418" s="164" t="str">
        <f>IF('01_Stations'!$AJ$384=1,"───","")</f>
        <v/>
      </c>
      <c r="W418" s="164" t="str">
        <f>IF('01_Stations'!$AJ$385=1,"───","")</f>
        <v/>
      </c>
      <c r="X418" s="164" t="str">
        <f>IF('01_Stations'!$AJ$386=1,"───","")</f>
        <v/>
      </c>
      <c r="Y418" s="164" t="str">
        <f>IF('01_Stations'!$AJ$387=1,"───","")</f>
        <v/>
      </c>
      <c r="Z418" s="164" t="str">
        <f>IF('01_Stations'!$AJ$388=1,"───","")</f>
        <v/>
      </c>
      <c r="AA418" s="164" t="str">
        <f>IF('01_Stations'!$AJ$389=1,"───","")</f>
        <v/>
      </c>
      <c r="AB418" s="164" t="str">
        <f>IF('01_Stations'!$AJ$390=1,"───","")</f>
        <v/>
      </c>
      <c r="AC418" s="164" t="str">
        <f>IF('01_Stations'!$AJ$391=1,"───","")</f>
        <v/>
      </c>
      <c r="AD418" s="164" t="str">
        <f>IF('01_Stations'!$AJ$392=1,"───","")</f>
        <v/>
      </c>
      <c r="AE418" s="164" t="str">
        <f>IF('01_Stations'!$AJ$393=1,"───","")</f>
        <v/>
      </c>
      <c r="AF418" s="164" t="str">
        <f>IF('01_Stations'!$AJ$394=1,"───","")</f>
        <v/>
      </c>
      <c r="AG418" s="164" t="str">
        <f>IF('01_Stations'!$AJ$395=1,"───","")</f>
        <v/>
      </c>
      <c r="AH418" s="164" t="str">
        <f>IF('01_Stations'!$AJ$396=1,"───","")</f>
        <v/>
      </c>
      <c r="AI418" s="164" t="str">
        <f>IF('01_Stations'!$AJ$397=1,"───","")</f>
        <v/>
      </c>
      <c r="AJ418" s="164" t="str">
        <f>IF('01_Stations'!$AJ$398=1,"───","")</f>
        <v/>
      </c>
      <c r="AK418" s="164" t="str">
        <f>IF('01_Stations'!$AJ$399=1,"───","")</f>
        <v/>
      </c>
      <c r="AL418" s="164" t="str">
        <f>IF('01_Stations'!$AJ$400=1,"───","")</f>
        <v/>
      </c>
      <c r="AM418" s="164" t="str">
        <f>IF('01_Stations'!$AJ$401=1,"───","")</f>
        <v/>
      </c>
      <c r="AN418" s="164" t="str">
        <f>IF('01_Stations'!$AJ$402=1,"───","")</f>
        <v/>
      </c>
      <c r="AO418" s="164" t="str">
        <f>IF('01_Stations'!$AJ$403=1,"───","")</f>
        <v/>
      </c>
      <c r="AP418" s="164" t="str">
        <f>IF('01_Stations'!$AJ$404=1,"───","")</f>
        <v/>
      </c>
      <c r="AQ418" s="164" t="str">
        <f>IF('01_Stations'!$AJ$405=1,"───","")</f>
        <v/>
      </c>
    </row>
    <row r="419" spans="1:43" ht="15" customHeight="1" x14ac:dyDescent="0.3">
      <c r="A419" s="236"/>
      <c r="B419" s="165" t="s">
        <v>294</v>
      </c>
      <c r="C419" s="166" t="s">
        <v>299</v>
      </c>
      <c r="D419" s="164" t="str">
        <f>IF(N('01_Stations'!$AK$366)&gt;0,'01_Stations'!$AK$366,"")</f>
        <v/>
      </c>
      <c r="E419" s="164" t="str">
        <f>IF(N('01_Stations'!$AK$367)&gt;0,'01_Stations'!$AK$367,"")</f>
        <v/>
      </c>
      <c r="F419" s="164" t="str">
        <f>IF(N('01_Stations'!$AK$368)&gt;0,'01_Stations'!$AK$368,"")</f>
        <v/>
      </c>
      <c r="G419" s="164" t="str">
        <f>IF(N('01_Stations'!$AK$369)&gt;0,'01_Stations'!$AK$369,"")</f>
        <v/>
      </c>
      <c r="H419" s="164" t="str">
        <f>IF(N('01_Stations'!$AK$370)&gt;0,'01_Stations'!$AK$370,"")</f>
        <v/>
      </c>
      <c r="I419" s="164" t="str">
        <f>IF(N('01_Stations'!$AK$371)&gt;0,'01_Stations'!$AK$371,"")</f>
        <v/>
      </c>
      <c r="J419" s="164" t="str">
        <f>IF(N('01_Stations'!$AK$372)&gt;0,'01_Stations'!$AK$372,"")</f>
        <v/>
      </c>
      <c r="K419" s="164" t="str">
        <f>IF(N('01_Stations'!$AK$373)&gt;0,'01_Stations'!$AK$373,"")</f>
        <v/>
      </c>
      <c r="L419" s="164" t="str">
        <f>IF(N('01_Stations'!$AK$374)&gt;0,'01_Stations'!$AK$374,"")</f>
        <v/>
      </c>
      <c r="M419" s="164" t="str">
        <f>IF(N('01_Stations'!$AK$375)&gt;0,'01_Stations'!$AK$375,"")</f>
        <v/>
      </c>
      <c r="N419" s="164" t="str">
        <f>IF(N('01_Stations'!$AK$376)&gt;0,'01_Stations'!$AK$376,"")</f>
        <v/>
      </c>
      <c r="O419" s="164" t="str">
        <f>IF(N('01_Stations'!$AK$377)&gt;0,'01_Stations'!$AK$377,"")</f>
        <v/>
      </c>
      <c r="P419" s="164" t="str">
        <f>IF(N('01_Stations'!$AK$378)&gt;0,'01_Stations'!$AK$378,"")</f>
        <v/>
      </c>
      <c r="Q419" s="164" t="str">
        <f>IF(N('01_Stations'!$AK$379)&gt;0,'01_Stations'!$AK$379,"")</f>
        <v/>
      </c>
      <c r="R419" s="164" t="str">
        <f>IF(N('01_Stations'!$AK$380)&gt;0,'01_Stations'!$AK$380,"")</f>
        <v/>
      </c>
      <c r="S419" s="164" t="str">
        <f>IF(N('01_Stations'!$AK$381)&gt;0,'01_Stations'!$AK$381,"")</f>
        <v/>
      </c>
      <c r="T419" s="164" t="str">
        <f>IF(N('01_Stations'!$AK$382)&gt;0,'01_Stations'!$AK$382,"")</f>
        <v/>
      </c>
      <c r="U419" s="164" t="str">
        <f>IF(N('01_Stations'!$AK$383)&gt;0,'01_Stations'!$AK$383,"")</f>
        <v/>
      </c>
      <c r="V419" s="164" t="str">
        <f>IF(N('01_Stations'!$AK$384)&gt;0,'01_Stations'!$AK$384,"")</f>
        <v/>
      </c>
      <c r="W419" s="164" t="str">
        <f>IF(N('01_Stations'!$AK$385)&gt;0,'01_Stations'!$AK$385,"")</f>
        <v/>
      </c>
      <c r="X419" s="164" t="str">
        <f>IF(N('01_Stations'!$AK$386)&gt;0,'01_Stations'!$AK$386,"")</f>
        <v/>
      </c>
      <c r="Y419" s="164" t="str">
        <f>IF(N('01_Stations'!$AK$387)&gt;0,'01_Stations'!$AK$387,"")</f>
        <v/>
      </c>
      <c r="Z419" s="164" t="str">
        <f>IF(N('01_Stations'!$AK$388)&gt;0,'01_Stations'!$AK$388,"")</f>
        <v/>
      </c>
      <c r="AA419" s="164" t="str">
        <f>IF(N('01_Stations'!$AK$389)&gt;0,'01_Stations'!$AK$389,"")</f>
        <v/>
      </c>
      <c r="AB419" s="164" t="str">
        <f>IF(N('01_Stations'!$AK$390)&gt;0,'01_Stations'!$AK$390,"")</f>
        <v/>
      </c>
      <c r="AC419" s="164" t="str">
        <f>IF(N('01_Stations'!$AK$391)&gt;0,'01_Stations'!$AK$391,"")</f>
        <v/>
      </c>
      <c r="AD419" s="164" t="str">
        <f>IF(N('01_Stations'!$AK$392)&gt;0,'01_Stations'!$AK$392,"")</f>
        <v/>
      </c>
      <c r="AE419" s="164" t="str">
        <f>IF(N('01_Stations'!$AK$393)&gt;0,'01_Stations'!$AK$393,"")</f>
        <v/>
      </c>
      <c r="AF419" s="164" t="str">
        <f>IF(N('01_Stations'!$AK$394)&gt;0,'01_Stations'!$AK$394,"")</f>
        <v/>
      </c>
      <c r="AG419" s="164" t="str">
        <f>IF(N('01_Stations'!$AK$395)&gt;0,'01_Stations'!$AK$395,"")</f>
        <v/>
      </c>
      <c r="AH419" s="164" t="str">
        <f>IF(N('01_Stations'!$AK$396)&gt;0,'01_Stations'!$AK$396,"")</f>
        <v/>
      </c>
      <c r="AI419" s="164" t="str">
        <f>IF(N('01_Stations'!$AK$397)&gt;0,'01_Stations'!$AK$397,"")</f>
        <v/>
      </c>
      <c r="AJ419" s="164" t="str">
        <f>IF(N('01_Stations'!$AK$398)&gt;0,'01_Stations'!$AK$398,"")</f>
        <v/>
      </c>
      <c r="AK419" s="164" t="str">
        <f>IF(N('01_Stations'!$AK$399)&gt;0,'01_Stations'!$AK$399,"")</f>
        <v/>
      </c>
      <c r="AL419" s="164" t="str">
        <f>IF(N('01_Stations'!$AK$400)&gt;0,'01_Stations'!$AK$400,"")</f>
        <v/>
      </c>
      <c r="AM419" s="164" t="str">
        <f>IF(N('01_Stations'!$AK$401)&gt;0,'01_Stations'!$AK$401,"")</f>
        <v/>
      </c>
      <c r="AN419" s="164" t="str">
        <f>IF(N('01_Stations'!$AK$402)&gt;0,'01_Stations'!$AK$402,"")</f>
        <v/>
      </c>
      <c r="AO419" s="164" t="str">
        <f>IF(N('01_Stations'!$AK$403)&gt;0,'01_Stations'!$AK$403,"")</f>
        <v/>
      </c>
      <c r="AP419" s="164" t="str">
        <f>IF(N('01_Stations'!$AK$404)&gt;0,'01_Stations'!$AK$404,"")</f>
        <v/>
      </c>
      <c r="AQ419" s="164" t="str">
        <f>IF(N('01_Stations'!$AK$405)&gt;0,'01_Stations'!$AK$405,"")</f>
        <v/>
      </c>
    </row>
    <row r="420" spans="1:43" ht="15" customHeight="1" x14ac:dyDescent="0.3">
      <c r="A420" s="236"/>
      <c r="B420" s="165" t="s">
        <v>295</v>
      </c>
      <c r="C420" s="166" t="s">
        <v>299</v>
      </c>
      <c r="D420" s="164" t="str">
        <f>IF(N('01_Stations'!$AL$366)&gt;0,'01_Stations'!$AL$366,"")</f>
        <v/>
      </c>
      <c r="E420" s="164" t="str">
        <f>IF(N('01_Stations'!$AL$367)&gt;0,'01_Stations'!$AL$367,"")</f>
        <v/>
      </c>
      <c r="F420" s="164" t="str">
        <f>IF(N('01_Stations'!$AL$368)&gt;0,'01_Stations'!$AL$368,"")</f>
        <v/>
      </c>
      <c r="G420" s="164" t="str">
        <f>IF(N('01_Stations'!$AL$369)&gt;0,'01_Stations'!$AL$369,"")</f>
        <v/>
      </c>
      <c r="H420" s="164" t="str">
        <f>IF(N('01_Stations'!$AL$370)&gt;0,'01_Stations'!$AL$370,"")</f>
        <v/>
      </c>
      <c r="I420" s="164" t="str">
        <f>IF(N('01_Stations'!$AL$371)&gt;0,'01_Stations'!$AL$371,"")</f>
        <v/>
      </c>
      <c r="J420" s="164" t="str">
        <f>IF(N('01_Stations'!$AL$372)&gt;0,'01_Stations'!$AL$372,"")</f>
        <v/>
      </c>
      <c r="K420" s="164" t="str">
        <f>IF(N('01_Stations'!$AL$373)&gt;0,'01_Stations'!$AL$373,"")</f>
        <v/>
      </c>
      <c r="L420" s="164" t="str">
        <f>IF(N('01_Stations'!$AL$374)&gt;0,'01_Stations'!$AL$374,"")</f>
        <v/>
      </c>
      <c r="M420" s="164" t="str">
        <f>IF(N('01_Stations'!$AL$375)&gt;0,'01_Stations'!$AL$375,"")</f>
        <v/>
      </c>
      <c r="N420" s="164" t="str">
        <f>IF(N('01_Stations'!$AL$376)&gt;0,'01_Stations'!$AL$376,"")</f>
        <v/>
      </c>
      <c r="O420" s="164" t="str">
        <f>IF(N('01_Stations'!$AL$377)&gt;0,'01_Stations'!$AL$377,"")</f>
        <v/>
      </c>
      <c r="P420" s="164" t="str">
        <f>IF(N('01_Stations'!$AL$378)&gt;0,'01_Stations'!$AL$378,"")</f>
        <v/>
      </c>
      <c r="Q420" s="164" t="str">
        <f>IF(N('01_Stations'!$AL$379)&gt;0,'01_Stations'!$AL$379,"")</f>
        <v/>
      </c>
      <c r="R420" s="164" t="str">
        <f>IF(N('01_Stations'!$AL$380)&gt;0,'01_Stations'!$AL$380,"")</f>
        <v/>
      </c>
      <c r="S420" s="164" t="str">
        <f>IF(N('01_Stations'!$AL$381)&gt;0,'01_Stations'!$AL$381,"")</f>
        <v/>
      </c>
      <c r="T420" s="164" t="str">
        <f>IF(N('01_Stations'!$AL$382)&gt;0,'01_Stations'!$AL$382,"")</f>
        <v/>
      </c>
      <c r="U420" s="164" t="str">
        <f>IF(N('01_Stations'!$AL$383)&gt;0,'01_Stations'!$AL$383,"")</f>
        <v/>
      </c>
      <c r="V420" s="164" t="str">
        <f>IF(N('01_Stations'!$AL$384)&gt;0,'01_Stations'!$AL$384,"")</f>
        <v/>
      </c>
      <c r="W420" s="164" t="str">
        <f>IF(N('01_Stations'!$AL$385)&gt;0,'01_Stations'!$AL$385,"")</f>
        <v/>
      </c>
      <c r="X420" s="164" t="str">
        <f>IF(N('01_Stations'!$AL$386)&gt;0,'01_Stations'!$AL$386,"")</f>
        <v/>
      </c>
      <c r="Y420" s="164" t="str">
        <f>IF(N('01_Stations'!$AL$387)&gt;0,'01_Stations'!$AL$387,"")</f>
        <v/>
      </c>
      <c r="Z420" s="164" t="str">
        <f>IF(N('01_Stations'!$AL$388)&gt;0,'01_Stations'!$AL$388,"")</f>
        <v/>
      </c>
      <c r="AA420" s="164" t="str">
        <f>IF(N('01_Stations'!$AL$389)&gt;0,'01_Stations'!$AL$389,"")</f>
        <v/>
      </c>
      <c r="AB420" s="164" t="str">
        <f>IF(N('01_Stations'!$AL$390)&gt;0,'01_Stations'!$AL$390,"")</f>
        <v/>
      </c>
      <c r="AC420" s="164" t="str">
        <f>IF(N('01_Stations'!$AL$391)&gt;0,'01_Stations'!$AL$391,"")</f>
        <v/>
      </c>
      <c r="AD420" s="164" t="str">
        <f>IF(N('01_Stations'!$AL$392)&gt;0,'01_Stations'!$AL$392,"")</f>
        <v/>
      </c>
      <c r="AE420" s="164" t="str">
        <f>IF(N('01_Stations'!$AL$393)&gt;0,'01_Stations'!$AL$393,"")</f>
        <v/>
      </c>
      <c r="AF420" s="164" t="str">
        <f>IF(N('01_Stations'!$AL$394)&gt;0,'01_Stations'!$AL$394,"")</f>
        <v/>
      </c>
      <c r="AG420" s="164" t="str">
        <f>IF(N('01_Stations'!$AL$395)&gt;0,'01_Stations'!$AL$395,"")</f>
        <v/>
      </c>
      <c r="AH420" s="164" t="str">
        <f>IF(N('01_Stations'!$AL$396)&gt;0,'01_Stations'!$AL$396,"")</f>
        <v/>
      </c>
      <c r="AI420" s="164" t="str">
        <f>IF(N('01_Stations'!$AL$397)&gt;0,'01_Stations'!$AL$397,"")</f>
        <v/>
      </c>
      <c r="AJ420" s="164" t="str">
        <f>IF(N('01_Stations'!$AL$398)&gt;0,'01_Stations'!$AL$398,"")</f>
        <v/>
      </c>
      <c r="AK420" s="164" t="str">
        <f>IF(N('01_Stations'!$AL$399)&gt;0,'01_Stations'!$AL$399,"")</f>
        <v/>
      </c>
      <c r="AL420" s="164" t="str">
        <f>IF(N('01_Stations'!$AL$400)&gt;0,'01_Stations'!$AL$400,"")</f>
        <v/>
      </c>
      <c r="AM420" s="164" t="str">
        <f>IF(N('01_Stations'!$AL$401)&gt;0,'01_Stations'!$AL$401,"")</f>
        <v/>
      </c>
      <c r="AN420" s="164" t="str">
        <f>IF(N('01_Stations'!$AL$402)&gt;0,'01_Stations'!$AL$402,"")</f>
        <v/>
      </c>
      <c r="AO420" s="164" t="str">
        <f>IF(N('01_Stations'!$AL$403)&gt;0,'01_Stations'!$AL$403,"")</f>
        <v/>
      </c>
      <c r="AP420" s="164" t="str">
        <f>IF(N('01_Stations'!$AL$404)&gt;0,'01_Stations'!$AL$404,"")</f>
        <v/>
      </c>
      <c r="AQ420" s="164" t="str">
        <f>IF(N('01_Stations'!$AL$405)&gt;0,'01_Stations'!$AL$405,"")</f>
        <v/>
      </c>
    </row>
    <row r="421" spans="1:43" ht="15" customHeight="1" x14ac:dyDescent="0.3">
      <c r="A421" s="236"/>
      <c r="B421" s="165" t="s">
        <v>230</v>
      </c>
      <c r="C421" s="166"/>
      <c r="D421" s="164" t="str">
        <f>IF('01_Stations'!$AM$366=1,"───","")</f>
        <v/>
      </c>
      <c r="E421" s="164" t="str">
        <f>IF('01_Stations'!$AM$367=1,"───","")</f>
        <v/>
      </c>
      <c r="F421" s="164" t="str">
        <f>IF('01_Stations'!$AM$368=1,"───","")</f>
        <v/>
      </c>
      <c r="G421" s="164" t="str">
        <f>IF('01_Stations'!$AM$369=1,"───","")</f>
        <v/>
      </c>
      <c r="H421" s="164" t="str">
        <f>IF('01_Stations'!$AM$370=1,"───","")</f>
        <v/>
      </c>
      <c r="I421" s="164" t="str">
        <f>IF('01_Stations'!$AM$371=1,"───","")</f>
        <v/>
      </c>
      <c r="J421" s="164" t="str">
        <f>IF('01_Stations'!$AM$372=1,"───","")</f>
        <v/>
      </c>
      <c r="K421" s="164" t="str">
        <f>IF('01_Stations'!$AM$373=1,"───","")</f>
        <v/>
      </c>
      <c r="L421" s="164" t="str">
        <f>IF('01_Stations'!$AM$374=1,"───","")</f>
        <v/>
      </c>
      <c r="M421" s="164" t="str">
        <f>IF('01_Stations'!$AM$375=1,"───","")</f>
        <v/>
      </c>
      <c r="N421" s="164" t="str">
        <f>IF('01_Stations'!$AM$376=1,"───","")</f>
        <v/>
      </c>
      <c r="O421" s="164" t="str">
        <f>IF('01_Stations'!$AM$377=1,"───","")</f>
        <v/>
      </c>
      <c r="P421" s="164" t="str">
        <f>IF('01_Stations'!$AM$378=1,"───","")</f>
        <v/>
      </c>
      <c r="Q421" s="164" t="str">
        <f>IF('01_Stations'!$AM$379=1,"───","")</f>
        <v/>
      </c>
      <c r="R421" s="164" t="str">
        <f>IF('01_Stations'!$AM$380=1,"───","")</f>
        <v/>
      </c>
      <c r="S421" s="164" t="str">
        <f>IF('01_Stations'!$AM$381=1,"───","")</f>
        <v/>
      </c>
      <c r="T421" s="164" t="str">
        <f>IF('01_Stations'!$AM$382=1,"───","")</f>
        <v/>
      </c>
      <c r="U421" s="164" t="str">
        <f>IF('01_Stations'!$AM$383=1,"───","")</f>
        <v/>
      </c>
      <c r="V421" s="164" t="str">
        <f>IF('01_Stations'!$AM$384=1,"───","")</f>
        <v/>
      </c>
      <c r="W421" s="164" t="str">
        <f>IF('01_Stations'!$AM$385=1,"───","")</f>
        <v/>
      </c>
      <c r="X421" s="164" t="str">
        <f>IF('01_Stations'!$AM$386=1,"───","")</f>
        <v/>
      </c>
      <c r="Y421" s="164" t="str">
        <f>IF('01_Stations'!$AM$387=1,"───","")</f>
        <v/>
      </c>
      <c r="Z421" s="164" t="str">
        <f>IF('01_Stations'!$AM$388=1,"───","")</f>
        <v/>
      </c>
      <c r="AA421" s="164" t="str">
        <f>IF('01_Stations'!$AM$389=1,"───","")</f>
        <v/>
      </c>
      <c r="AB421" s="164" t="str">
        <f>IF('01_Stations'!$AM$390=1,"───","")</f>
        <v/>
      </c>
      <c r="AC421" s="164" t="str">
        <f>IF('01_Stations'!$AM$391=1,"───","")</f>
        <v/>
      </c>
      <c r="AD421" s="164" t="str">
        <f>IF('01_Stations'!$AM$392=1,"───","")</f>
        <v/>
      </c>
      <c r="AE421" s="164" t="str">
        <f>IF('01_Stations'!$AM$393=1,"───","")</f>
        <v/>
      </c>
      <c r="AF421" s="164" t="str">
        <f>IF('01_Stations'!$AM$394=1,"───","")</f>
        <v/>
      </c>
      <c r="AG421" s="164" t="str">
        <f>IF('01_Stations'!$AM$395=1,"───","")</f>
        <v/>
      </c>
      <c r="AH421" s="164" t="str">
        <f>IF('01_Stations'!$AM$396=1,"───","")</f>
        <v/>
      </c>
      <c r="AI421" s="164" t="str">
        <f>IF('01_Stations'!$AM$397=1,"───","")</f>
        <v/>
      </c>
      <c r="AJ421" s="164" t="str">
        <f>IF('01_Stations'!$AM$398=1,"───","")</f>
        <v/>
      </c>
      <c r="AK421" s="164" t="str">
        <f>IF('01_Stations'!$AM$399=1,"───","")</f>
        <v/>
      </c>
      <c r="AL421" s="164" t="str">
        <f>IF('01_Stations'!$AM$400=1,"───","")</f>
        <v/>
      </c>
      <c r="AM421" s="164" t="str">
        <f>IF('01_Stations'!$AM$401=1,"───","")</f>
        <v/>
      </c>
      <c r="AN421" s="164" t="str">
        <f>IF('01_Stations'!$AM$402=1,"───","")</f>
        <v/>
      </c>
      <c r="AO421" s="164" t="str">
        <f>IF('01_Stations'!$AM$403=1,"───","")</f>
        <v/>
      </c>
      <c r="AP421" s="164" t="str">
        <f>IF('01_Stations'!$AM$404=1,"───","")</f>
        <v/>
      </c>
      <c r="AQ421" s="164" t="str">
        <f>IF('01_Stations'!$AM$405=1,"───","")</f>
        <v/>
      </c>
    </row>
    <row r="422" spans="1:43" ht="15" customHeight="1" x14ac:dyDescent="0.3">
      <c r="A422" s="236"/>
      <c r="B422" s="165" t="s">
        <v>231</v>
      </c>
      <c r="C422" s="166"/>
      <c r="D422" s="164" t="str">
        <f>IF('01_Stations'!$AN$366=1,"───","")</f>
        <v/>
      </c>
      <c r="E422" s="164" t="str">
        <f>IF('01_Stations'!$AN$367=1,"───","")</f>
        <v/>
      </c>
      <c r="F422" s="164" t="str">
        <f>IF('01_Stations'!$AN$368=1,"───","")</f>
        <v/>
      </c>
      <c r="G422" s="164" t="str">
        <f>IF('01_Stations'!$AN$369=1,"───","")</f>
        <v/>
      </c>
      <c r="H422" s="164" t="str">
        <f>IF('01_Stations'!$AN$370=1,"───","")</f>
        <v/>
      </c>
      <c r="I422" s="164" t="str">
        <f>IF('01_Stations'!$AN$371=1,"───","")</f>
        <v/>
      </c>
      <c r="J422" s="164" t="str">
        <f>IF('01_Stations'!$AN$372=1,"───","")</f>
        <v/>
      </c>
      <c r="K422" s="164" t="str">
        <f>IF('01_Stations'!$AN$373=1,"───","")</f>
        <v/>
      </c>
      <c r="L422" s="164" t="str">
        <f>IF('01_Stations'!$AN$374=1,"───","")</f>
        <v/>
      </c>
      <c r="M422" s="164" t="str">
        <f>IF('01_Stations'!$AN$375=1,"───","")</f>
        <v/>
      </c>
      <c r="N422" s="164" t="str">
        <f>IF('01_Stations'!$AN$376=1,"───","")</f>
        <v/>
      </c>
      <c r="O422" s="164" t="str">
        <f>IF('01_Stations'!$AN$377=1,"───","")</f>
        <v/>
      </c>
      <c r="P422" s="164" t="str">
        <f>IF('01_Stations'!$AN$378=1,"───","")</f>
        <v/>
      </c>
      <c r="Q422" s="164" t="str">
        <f>IF('01_Stations'!$AN$379=1,"───","")</f>
        <v/>
      </c>
      <c r="R422" s="164" t="str">
        <f>IF('01_Stations'!$AN$380=1,"───","")</f>
        <v/>
      </c>
      <c r="S422" s="164" t="str">
        <f>IF('01_Stations'!$AN$381=1,"───","")</f>
        <v/>
      </c>
      <c r="T422" s="164" t="str">
        <f>IF('01_Stations'!$AN$382=1,"───","")</f>
        <v/>
      </c>
      <c r="U422" s="164" t="str">
        <f>IF('01_Stations'!$AN$383=1,"───","")</f>
        <v/>
      </c>
      <c r="V422" s="164" t="str">
        <f>IF('01_Stations'!$AN$384=1,"───","")</f>
        <v/>
      </c>
      <c r="W422" s="164" t="str">
        <f>IF('01_Stations'!$AN$385=1,"───","")</f>
        <v/>
      </c>
      <c r="X422" s="164" t="str">
        <f>IF('01_Stations'!$AN$386=1,"───","")</f>
        <v/>
      </c>
      <c r="Y422" s="164" t="str">
        <f>IF('01_Stations'!$AN$387=1,"───","")</f>
        <v/>
      </c>
      <c r="Z422" s="164" t="str">
        <f>IF('01_Stations'!$AN$388=1,"───","")</f>
        <v/>
      </c>
      <c r="AA422" s="164" t="str">
        <f>IF('01_Stations'!$AN$389=1,"───","")</f>
        <v/>
      </c>
      <c r="AB422" s="164" t="str">
        <f>IF('01_Stations'!$AN$390=1,"───","")</f>
        <v/>
      </c>
      <c r="AC422" s="164" t="str">
        <f>IF('01_Stations'!$AN$391=1,"───","")</f>
        <v/>
      </c>
      <c r="AD422" s="164" t="str">
        <f>IF('01_Stations'!$AN$392=1,"───","")</f>
        <v/>
      </c>
      <c r="AE422" s="164" t="str">
        <f>IF('01_Stations'!$AN$393=1,"───","")</f>
        <v/>
      </c>
      <c r="AF422" s="164" t="str">
        <f>IF('01_Stations'!$AN$394=1,"───","")</f>
        <v/>
      </c>
      <c r="AG422" s="164" t="str">
        <f>IF('01_Stations'!$AN$395=1,"───","")</f>
        <v/>
      </c>
      <c r="AH422" s="164" t="str">
        <f>IF('01_Stations'!$AN$396=1,"───","")</f>
        <v/>
      </c>
      <c r="AI422" s="164" t="str">
        <f>IF('01_Stations'!$AN$397=1,"───","")</f>
        <v/>
      </c>
      <c r="AJ422" s="164" t="str">
        <f>IF('01_Stations'!$AN$398=1,"───","")</f>
        <v/>
      </c>
      <c r="AK422" s="164" t="str">
        <f>IF('01_Stations'!$AN$399=1,"───","")</f>
        <v/>
      </c>
      <c r="AL422" s="164" t="str">
        <f>IF('01_Stations'!$AN$400=1,"───","")</f>
        <v/>
      </c>
      <c r="AM422" s="164" t="str">
        <f>IF('01_Stations'!$AN$401=1,"───","")</f>
        <v/>
      </c>
      <c r="AN422" s="164" t="str">
        <f>IF('01_Stations'!$AN$402=1,"───","")</f>
        <v/>
      </c>
      <c r="AO422" s="164" t="str">
        <f>IF('01_Stations'!$AN$403=1,"───","")</f>
        <v/>
      </c>
      <c r="AP422" s="164" t="str">
        <f>IF('01_Stations'!$AN$404=1,"───","")</f>
        <v/>
      </c>
      <c r="AQ422" s="164" t="str">
        <f>IF('01_Stations'!$AN$405=1,"───","")</f>
        <v/>
      </c>
    </row>
    <row r="423" spans="1:43" ht="15" customHeight="1" x14ac:dyDescent="0.3">
      <c r="A423" s="237"/>
      <c r="B423" s="165" t="s">
        <v>232</v>
      </c>
      <c r="C423" s="166"/>
      <c r="D423" s="164" t="str">
        <f>IF('01_Stations'!$AO$366=1,"───","")</f>
        <v/>
      </c>
      <c r="E423" s="164" t="str">
        <f>IF('01_Stations'!$AO$367=1,"───","")</f>
        <v/>
      </c>
      <c r="F423" s="164" t="str">
        <f>IF('01_Stations'!$AO$368=1,"───","")</f>
        <v/>
      </c>
      <c r="G423" s="164" t="str">
        <f>IF('01_Stations'!$AO$369=1,"───","")</f>
        <v/>
      </c>
      <c r="H423" s="164" t="str">
        <f>IF('01_Stations'!$AO$370=1,"───","")</f>
        <v/>
      </c>
      <c r="I423" s="164" t="str">
        <f>IF('01_Stations'!$AO$371=1,"───","")</f>
        <v/>
      </c>
      <c r="J423" s="164" t="str">
        <f>IF('01_Stations'!$AO$372=1,"───","")</f>
        <v/>
      </c>
      <c r="K423" s="164" t="str">
        <f>IF('01_Stations'!$AO$373=1,"───","")</f>
        <v/>
      </c>
      <c r="L423" s="164" t="str">
        <f>IF('01_Stations'!$AO$374=1,"───","")</f>
        <v/>
      </c>
      <c r="M423" s="164" t="str">
        <f>IF('01_Stations'!$AO$375=1,"───","")</f>
        <v/>
      </c>
      <c r="N423" s="164" t="str">
        <f>IF('01_Stations'!$AO$376=1,"───","")</f>
        <v/>
      </c>
      <c r="O423" s="164" t="str">
        <f>IF('01_Stations'!$AO$377=1,"───","")</f>
        <v/>
      </c>
      <c r="P423" s="164" t="str">
        <f>IF('01_Stations'!$AO$378=1,"───","")</f>
        <v/>
      </c>
      <c r="Q423" s="164" t="str">
        <f>IF('01_Stations'!$AO$379=1,"───","")</f>
        <v/>
      </c>
      <c r="R423" s="164" t="str">
        <f>IF('01_Stations'!$AO$380=1,"───","")</f>
        <v/>
      </c>
      <c r="S423" s="164" t="str">
        <f>IF('01_Stations'!$AO$381=1,"───","")</f>
        <v/>
      </c>
      <c r="T423" s="164" t="str">
        <f>IF('01_Stations'!$AO$382=1,"───","")</f>
        <v/>
      </c>
      <c r="U423" s="164" t="str">
        <f>IF('01_Stations'!$AO$383=1,"───","")</f>
        <v/>
      </c>
      <c r="V423" s="164" t="str">
        <f>IF('01_Stations'!$AO$384=1,"───","")</f>
        <v/>
      </c>
      <c r="W423" s="164" t="str">
        <f>IF('01_Stations'!$AO$385=1,"───","")</f>
        <v/>
      </c>
      <c r="X423" s="164" t="str">
        <f>IF('01_Stations'!$AO$386=1,"───","")</f>
        <v/>
      </c>
      <c r="Y423" s="164" t="str">
        <f>IF('01_Stations'!$AO$387=1,"───","")</f>
        <v/>
      </c>
      <c r="Z423" s="164" t="str">
        <f>IF('01_Stations'!$AO$388=1,"───","")</f>
        <v/>
      </c>
      <c r="AA423" s="164" t="str">
        <f>IF('01_Stations'!$AO$389=1,"───","")</f>
        <v/>
      </c>
      <c r="AB423" s="164" t="str">
        <f>IF('01_Stations'!$AO$390=1,"───","")</f>
        <v/>
      </c>
      <c r="AC423" s="164" t="str">
        <f>IF('01_Stations'!$AO$391=1,"───","")</f>
        <v/>
      </c>
      <c r="AD423" s="164" t="str">
        <f>IF('01_Stations'!$AO$392=1,"───","")</f>
        <v/>
      </c>
      <c r="AE423" s="164" t="str">
        <f>IF('01_Stations'!$AO$393=1,"───","")</f>
        <v/>
      </c>
      <c r="AF423" s="164" t="str">
        <f>IF('01_Stations'!$AO$394=1,"───","")</f>
        <v/>
      </c>
      <c r="AG423" s="164" t="str">
        <f>IF('01_Stations'!$AO$395=1,"───","")</f>
        <v/>
      </c>
      <c r="AH423" s="164" t="str">
        <f>IF('01_Stations'!$AO$396=1,"───","")</f>
        <v/>
      </c>
      <c r="AI423" s="164" t="str">
        <f>IF('01_Stations'!$AO$397=1,"───","")</f>
        <v/>
      </c>
      <c r="AJ423" s="164" t="str">
        <f>IF('01_Stations'!$AO$398=1,"───","")</f>
        <v/>
      </c>
      <c r="AK423" s="164" t="str">
        <f>IF('01_Stations'!$AO$399=1,"───","")</f>
        <v/>
      </c>
      <c r="AL423" s="164" t="str">
        <f>IF('01_Stations'!$AO$400=1,"───","")</f>
        <v/>
      </c>
      <c r="AM423" s="164" t="str">
        <f>IF('01_Stations'!$AO$401=1,"───","")</f>
        <v/>
      </c>
      <c r="AN423" s="164" t="str">
        <f>IF('01_Stations'!$AO$402=1,"───","")</f>
        <v/>
      </c>
      <c r="AO423" s="164" t="str">
        <f>IF('01_Stations'!$AO$403=1,"───","")</f>
        <v/>
      </c>
      <c r="AP423" s="164" t="str">
        <f>IF('01_Stations'!$AO$404=1,"───","")</f>
        <v/>
      </c>
      <c r="AQ423" s="164" t="str">
        <f>IF('01_Stations'!$AO$405=1,"───","")</f>
        <v/>
      </c>
    </row>
    <row r="424" spans="1:43" x14ac:dyDescent="0.3">
      <c r="A424" s="64"/>
      <c r="B424" s="64"/>
      <c r="C424" s="64"/>
      <c r="D424" s="106"/>
      <c r="E424" s="106"/>
      <c r="F424" s="106"/>
      <c r="G424" s="106"/>
      <c r="H424" s="106"/>
      <c r="I424" s="106"/>
      <c r="J424" s="106"/>
      <c r="K424" s="106"/>
      <c r="L424" s="106"/>
      <c r="M424" s="106"/>
      <c r="N424" s="106"/>
      <c r="O424" s="106"/>
      <c r="P424" s="106"/>
      <c r="Q424" s="106"/>
      <c r="R424" s="106"/>
      <c r="S424" s="106"/>
      <c r="T424" s="106"/>
      <c r="U424" s="106"/>
      <c r="V424" s="106"/>
      <c r="W424" s="106"/>
      <c r="X424" s="106"/>
      <c r="Y424" s="106"/>
      <c r="Z424" s="106"/>
      <c r="AA424" s="106"/>
      <c r="AB424" s="106"/>
      <c r="AC424" s="106"/>
      <c r="AD424" s="106"/>
      <c r="AE424" s="106"/>
      <c r="AF424" s="106"/>
      <c r="AG424" s="106"/>
      <c r="AH424" s="106"/>
      <c r="AI424" s="106"/>
      <c r="AJ424" s="106"/>
      <c r="AK424" s="106"/>
      <c r="AL424" s="106"/>
      <c r="AM424" s="106"/>
      <c r="AN424" s="106"/>
      <c r="AO424" s="106"/>
      <c r="AP424" s="106"/>
      <c r="AQ424" s="106"/>
    </row>
    <row r="425" spans="1:43" x14ac:dyDescent="0.3">
      <c r="A425" s="64"/>
      <c r="B425" s="64"/>
      <c r="C425" s="64"/>
      <c r="D425" s="106"/>
      <c r="E425" s="106"/>
      <c r="F425" s="106"/>
      <c r="G425" s="106"/>
      <c r="H425" s="106"/>
      <c r="I425" s="106"/>
      <c r="J425" s="106"/>
      <c r="K425" s="106"/>
      <c r="L425" s="106"/>
      <c r="M425" s="106"/>
      <c r="N425" s="106"/>
      <c r="O425" s="106"/>
      <c r="P425" s="106"/>
      <c r="Q425" s="106"/>
      <c r="R425" s="106"/>
      <c r="S425" s="106"/>
      <c r="T425" s="106"/>
      <c r="U425" s="106"/>
      <c r="V425" s="106"/>
      <c r="W425" s="106"/>
      <c r="X425" s="106"/>
      <c r="Y425" s="106"/>
      <c r="Z425" s="106"/>
      <c r="AA425" s="106"/>
      <c r="AB425" s="106"/>
      <c r="AC425" s="106"/>
      <c r="AD425" s="106"/>
      <c r="AE425" s="106"/>
      <c r="AF425" s="106"/>
      <c r="AG425" s="106"/>
      <c r="AH425" s="106"/>
      <c r="AI425" s="106"/>
      <c r="AJ425" s="106"/>
      <c r="AK425" s="106"/>
      <c r="AL425" s="106"/>
      <c r="AM425" s="106"/>
      <c r="AN425" s="106"/>
      <c r="AO425" s="106"/>
      <c r="AP425" s="106"/>
      <c r="AQ425" s="106"/>
    </row>
  </sheetData>
  <mergeCells count="37">
    <mergeCell ref="A398:A415"/>
    <mergeCell ref="A8:A19"/>
    <mergeCell ref="C4:H4"/>
    <mergeCell ref="A38:A45"/>
    <mergeCell ref="A416:A423"/>
    <mergeCell ref="A206:A213"/>
    <mergeCell ref="A134:A145"/>
    <mergeCell ref="C3:H3"/>
    <mergeCell ref="A374:A381"/>
    <mergeCell ref="A146:A163"/>
    <mergeCell ref="C5:H5"/>
    <mergeCell ref="A122:A129"/>
    <mergeCell ref="L5:Q5"/>
    <mergeCell ref="A272:A289"/>
    <mergeCell ref="A332:A339"/>
    <mergeCell ref="A104:A121"/>
    <mergeCell ref="L4:Q4"/>
    <mergeCell ref="A188:A205"/>
    <mergeCell ref="A176:A187"/>
    <mergeCell ref="A92:A103"/>
    <mergeCell ref="A20:A37"/>
    <mergeCell ref="A314:A331"/>
    <mergeCell ref="A260:A271"/>
    <mergeCell ref="A230:A247"/>
    <mergeCell ref="A62:A79"/>
    <mergeCell ref="J4:K4"/>
    <mergeCell ref="A248:A255"/>
    <mergeCell ref="A218:A229"/>
    <mergeCell ref="A386:A397"/>
    <mergeCell ref="A356:A373"/>
    <mergeCell ref="A302:A313"/>
    <mergeCell ref="J5:K5"/>
    <mergeCell ref="A290:A297"/>
    <mergeCell ref="A344:A355"/>
    <mergeCell ref="A164:A171"/>
    <mergeCell ref="A80:A87"/>
    <mergeCell ref="A50:A6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243"/>
  <sheetViews>
    <sheetView workbookViewId="0">
      <pane ySplit="5" topLeftCell="A25" activePane="bottomLeft" state="frozen"/>
      <selection pane="bottomLeft" activeCell="D43" sqref="D43"/>
    </sheetView>
  </sheetViews>
  <sheetFormatPr defaultRowHeight="14.4" x14ac:dyDescent="0.3"/>
  <cols>
    <col min="1" max="1" width="10.77734375" customWidth="1"/>
    <col min="2" max="2" width="11.44140625" customWidth="1"/>
    <col min="3" max="3" width="3" customWidth="1"/>
    <col min="4" max="4" width="11.44140625" customWidth="1"/>
    <col min="5" max="5" width="13.6640625" customWidth="1"/>
    <col min="6" max="6" width="40.77734375" customWidth="1"/>
    <col min="7" max="7" width="8.109375" customWidth="1"/>
    <col min="8" max="8" width="14.44140625" customWidth="1"/>
    <col min="9" max="9" width="27.77734375" customWidth="1"/>
  </cols>
  <sheetData>
    <row r="1" spans="1:9" ht="15.6" customHeight="1" x14ac:dyDescent="0.3">
      <c r="A1" s="53" t="s">
        <v>2241</v>
      </c>
    </row>
    <row r="2" spans="1:9" x14ac:dyDescent="0.3">
      <c r="A2" s="54" t="s">
        <v>2242</v>
      </c>
    </row>
    <row r="3" spans="1:9" x14ac:dyDescent="0.3">
      <c r="A3" s="28">
        <f>P_RoadName</f>
        <v>0</v>
      </c>
    </row>
    <row r="5" spans="1:9" ht="28.8" customHeight="1" thickBot="1" x14ac:dyDescent="0.35">
      <c r="A5" s="153" t="s">
        <v>1712</v>
      </c>
      <c r="B5" s="153" t="s">
        <v>2243</v>
      </c>
      <c r="C5" s="153"/>
      <c r="D5" s="153" t="s">
        <v>1629</v>
      </c>
      <c r="E5" s="153" t="s">
        <v>1630</v>
      </c>
      <c r="F5" s="153" t="s">
        <v>1713</v>
      </c>
      <c r="G5" s="153" t="s">
        <v>43</v>
      </c>
      <c r="H5" s="153" t="s">
        <v>2244</v>
      </c>
      <c r="I5" s="153" t="s">
        <v>2245</v>
      </c>
    </row>
    <row r="6" spans="1:9" x14ac:dyDescent="0.3">
      <c r="A6" s="135" t="s">
        <v>1844</v>
      </c>
      <c r="B6" s="116"/>
      <c r="C6" s="152"/>
      <c r="D6" s="117"/>
      <c r="E6" s="118"/>
      <c r="F6" s="135" t="s">
        <v>1845</v>
      </c>
      <c r="G6" s="135" t="s">
        <v>1846</v>
      </c>
      <c r="H6" s="136">
        <f>E8</f>
        <v>0</v>
      </c>
      <c r="I6" s="137" t="str">
        <f>IF(ABS(H6-'06_Road_Engine'!$E$46)&lt;=MAX(0.01,0.005*ABS('06_Road_Engine'!$E$46)),"OK","DIFF")</f>
        <v>OK</v>
      </c>
    </row>
    <row r="7" spans="1:9" x14ac:dyDescent="0.3">
      <c r="A7" s="114"/>
      <c r="B7" s="110">
        <f>0.0001</f>
        <v>1E-4</v>
      </c>
      <c r="C7" s="107" t="s">
        <v>1628</v>
      </c>
      <c r="D7" s="111">
        <f>L_TB</f>
        <v>0</v>
      </c>
      <c r="E7" s="113"/>
      <c r="F7" s="63" t="s">
        <v>1777</v>
      </c>
      <c r="G7" s="63"/>
      <c r="H7" s="115"/>
      <c r="I7" s="108" t="s">
        <v>2246</v>
      </c>
    </row>
    <row r="8" spans="1:9" x14ac:dyDescent="0.3">
      <c r="A8" s="114"/>
      <c r="B8" s="109"/>
      <c r="C8" s="107"/>
      <c r="D8" s="111">
        <f>P_ClearW</f>
        <v>13</v>
      </c>
      <c r="E8" s="201">
        <f>ROUND(N(B7)*N(D7)*N(D8),3)</f>
        <v>0</v>
      </c>
      <c r="F8" s="63"/>
      <c r="G8" s="63"/>
      <c r="H8" s="115"/>
      <c r="I8" s="108" t="s">
        <v>2247</v>
      </c>
    </row>
    <row r="9" spans="1:9" x14ac:dyDescent="0.3">
      <c r="A9" s="114"/>
      <c r="B9" s="109"/>
      <c r="C9" s="107"/>
      <c r="D9" s="111"/>
      <c r="E9" s="113"/>
      <c r="F9" s="63"/>
      <c r="G9" s="63"/>
      <c r="H9" s="115"/>
      <c r="I9" s="108"/>
    </row>
    <row r="10" spans="1:9" x14ac:dyDescent="0.3">
      <c r="A10" s="114"/>
      <c r="B10" s="109"/>
      <c r="C10" s="107"/>
      <c r="D10" s="111"/>
      <c r="E10" s="113"/>
      <c r="F10" s="63"/>
      <c r="G10" s="63"/>
      <c r="H10" s="115"/>
      <c r="I10" s="108"/>
    </row>
    <row r="11" spans="1:9" x14ac:dyDescent="0.3">
      <c r="A11" s="114"/>
      <c r="B11" s="109"/>
      <c r="C11" s="107"/>
      <c r="D11" s="111"/>
      <c r="E11" s="113"/>
      <c r="F11" s="63"/>
      <c r="G11" s="63"/>
      <c r="H11" s="115"/>
      <c r="I11" s="108"/>
    </row>
    <row r="12" spans="1:9" x14ac:dyDescent="0.3">
      <c r="A12" s="119" t="s">
        <v>1849</v>
      </c>
      <c r="B12" s="120"/>
      <c r="C12" s="121"/>
      <c r="D12" s="122"/>
      <c r="E12" s="123"/>
      <c r="F12" s="119" t="s">
        <v>1850</v>
      </c>
      <c r="G12" s="119" t="s">
        <v>1846</v>
      </c>
      <c r="H12" s="124">
        <f>E14</f>
        <v>0</v>
      </c>
      <c r="I12" s="125" t="str">
        <f>IF(ABS(H12-'06_Road_Engine'!$E$47)&lt;=MAX(0.01,0.005*ABS('06_Road_Engine'!$E$47)),"OK","DIFF")</f>
        <v>OK</v>
      </c>
    </row>
    <row r="13" spans="1:9" x14ac:dyDescent="0.3">
      <c r="A13" s="114"/>
      <c r="B13" s="110">
        <f>0.0001</f>
        <v>1E-4</v>
      </c>
      <c r="C13" s="107" t="s">
        <v>1628</v>
      </c>
      <c r="D13" s="111">
        <f>L_LB</f>
        <v>0</v>
      </c>
      <c r="E13" s="113"/>
      <c r="F13" s="63" t="s">
        <v>1775</v>
      </c>
      <c r="G13" s="63"/>
      <c r="H13" s="115"/>
      <c r="I13" s="108" t="s">
        <v>2248</v>
      </c>
    </row>
    <row r="14" spans="1:9" x14ac:dyDescent="0.3">
      <c r="A14" s="114"/>
      <c r="B14" s="109"/>
      <c r="C14" s="107"/>
      <c r="D14" s="111">
        <f>P_ClearW</f>
        <v>13</v>
      </c>
      <c r="E14" s="201">
        <f>ROUND(N(B13)*N(D13)*N(D14),3)</f>
        <v>0</v>
      </c>
      <c r="F14" s="63"/>
      <c r="G14" s="63"/>
      <c r="H14" s="115"/>
      <c r="I14" s="108" t="s">
        <v>2249</v>
      </c>
    </row>
    <row r="15" spans="1:9" x14ac:dyDescent="0.3">
      <c r="A15" s="114"/>
      <c r="B15" s="109"/>
      <c r="C15" s="107"/>
      <c r="D15" s="111"/>
      <c r="E15" s="113"/>
      <c r="F15" s="63"/>
      <c r="G15" s="63"/>
      <c r="H15" s="115"/>
      <c r="I15" s="108"/>
    </row>
    <row r="16" spans="1:9" x14ac:dyDescent="0.3">
      <c r="A16" s="114"/>
      <c r="B16" s="109"/>
      <c r="C16" s="107"/>
      <c r="D16" s="111"/>
      <c r="E16" s="113"/>
      <c r="F16" s="63"/>
      <c r="G16" s="63"/>
      <c r="H16" s="115"/>
      <c r="I16" s="108"/>
    </row>
    <row r="17" spans="1:9" x14ac:dyDescent="0.3">
      <c r="A17" s="114"/>
      <c r="B17" s="109"/>
      <c r="C17" s="107"/>
      <c r="D17" s="111"/>
      <c r="E17" s="113"/>
      <c r="F17" s="63"/>
      <c r="G17" s="63"/>
      <c r="H17" s="115"/>
      <c r="I17" s="108"/>
    </row>
    <row r="18" spans="1:9" x14ac:dyDescent="0.3">
      <c r="A18" s="119" t="s">
        <v>1851</v>
      </c>
      <c r="B18" s="120"/>
      <c r="C18" s="121"/>
      <c r="D18" s="122"/>
      <c r="E18" s="123"/>
      <c r="F18" s="119" t="s">
        <v>1852</v>
      </c>
      <c r="G18" s="119" t="s">
        <v>1846</v>
      </c>
      <c r="H18" s="124">
        <f>E20</f>
        <v>0</v>
      </c>
      <c r="I18" s="125" t="str">
        <f>IF(ABS(H18-'06_Road_Engine'!$E$48)&lt;=MAX(0.01,0.005*ABS('06_Road_Engine'!$E$48)),"OK","DIFF")</f>
        <v>OK</v>
      </c>
    </row>
    <row r="19" spans="1:9" x14ac:dyDescent="0.3">
      <c r="A19" s="114"/>
      <c r="B19" s="110">
        <f>0.0001</f>
        <v>1E-4</v>
      </c>
      <c r="C19" s="107" t="s">
        <v>1628</v>
      </c>
      <c r="D19" s="111">
        <f>L_SB</f>
        <v>0</v>
      </c>
      <c r="E19" s="113"/>
      <c r="F19" s="63" t="s">
        <v>1773</v>
      </c>
      <c r="G19" s="63"/>
      <c r="H19" s="115"/>
      <c r="I19" s="108" t="s">
        <v>2248</v>
      </c>
    </row>
    <row r="20" spans="1:9" x14ac:dyDescent="0.3">
      <c r="A20" s="114"/>
      <c r="B20" s="109"/>
      <c r="C20" s="107"/>
      <c r="D20" s="111">
        <f>P_ClearW</f>
        <v>13</v>
      </c>
      <c r="E20" s="201">
        <f>ROUND(N(B19)*N(D19)*N(D20),3)</f>
        <v>0</v>
      </c>
      <c r="F20" s="63"/>
      <c r="G20" s="63"/>
      <c r="H20" s="115"/>
      <c r="I20" s="108" t="s">
        <v>2249</v>
      </c>
    </row>
    <row r="21" spans="1:9" x14ac:dyDescent="0.3">
      <c r="A21" s="114"/>
      <c r="B21" s="109"/>
      <c r="C21" s="107"/>
      <c r="D21" s="111"/>
      <c r="E21" s="113"/>
      <c r="F21" s="63"/>
      <c r="G21" s="63"/>
      <c r="H21" s="115"/>
      <c r="I21" s="108"/>
    </row>
    <row r="22" spans="1:9" x14ac:dyDescent="0.3">
      <c r="A22" s="114"/>
      <c r="B22" s="109"/>
      <c r="C22" s="107"/>
      <c r="D22" s="111"/>
      <c r="E22" s="113"/>
      <c r="F22" s="63"/>
      <c r="G22" s="63"/>
      <c r="H22" s="115"/>
      <c r="I22" s="108"/>
    </row>
    <row r="23" spans="1:9" x14ac:dyDescent="0.3">
      <c r="A23" s="114"/>
      <c r="B23" s="109"/>
      <c r="C23" s="107"/>
      <c r="D23" s="111"/>
      <c r="E23" s="113"/>
      <c r="F23" s="63"/>
      <c r="G23" s="63"/>
      <c r="H23" s="115"/>
      <c r="I23" s="108"/>
    </row>
    <row r="24" spans="1:9" x14ac:dyDescent="0.3">
      <c r="A24" s="119" t="s">
        <v>1853</v>
      </c>
      <c r="B24" s="120"/>
      <c r="C24" s="121"/>
      <c r="D24" s="122"/>
      <c r="E24" s="123"/>
      <c r="F24" s="119" t="s">
        <v>1854</v>
      </c>
      <c r="G24" s="119" t="s">
        <v>1846</v>
      </c>
      <c r="H24" s="124">
        <f>E26</f>
        <v>0</v>
      </c>
      <c r="I24" s="125" t="str">
        <f>IF(ABS(H24-'06_Road_Engine'!$E$49)&lt;=MAX(0.01,0.005*ABS('06_Road_Engine'!$E$49)),"OK","DIFF")</f>
        <v>OK</v>
      </c>
    </row>
    <row r="25" spans="1:9" x14ac:dyDescent="0.3">
      <c r="A25" s="114"/>
      <c r="B25" s="110">
        <f>0.0001</f>
        <v>1E-4</v>
      </c>
      <c r="C25" s="107" t="s">
        <v>1628</v>
      </c>
      <c r="D25" s="111">
        <f>L_GB</f>
        <v>0</v>
      </c>
      <c r="E25" s="113"/>
      <c r="F25" s="63" t="s">
        <v>1771</v>
      </c>
      <c r="G25" s="63"/>
      <c r="H25" s="115"/>
      <c r="I25" s="108" t="s">
        <v>2248</v>
      </c>
    </row>
    <row r="26" spans="1:9" x14ac:dyDescent="0.3">
      <c r="A26" s="114"/>
      <c r="B26" s="109"/>
      <c r="C26" s="107"/>
      <c r="D26" s="111">
        <f>P_ClearW</f>
        <v>13</v>
      </c>
      <c r="E26" s="201">
        <f>ROUND(N(B25)*N(D25)*N(D26),3)</f>
        <v>0</v>
      </c>
      <c r="F26" s="63"/>
      <c r="G26" s="63"/>
      <c r="H26" s="115"/>
      <c r="I26" s="108" t="s">
        <v>2249</v>
      </c>
    </row>
    <row r="27" spans="1:9" x14ac:dyDescent="0.3">
      <c r="A27" s="114"/>
      <c r="B27" s="109"/>
      <c r="C27" s="107"/>
      <c r="D27" s="111"/>
      <c r="E27" s="113"/>
      <c r="F27" s="63"/>
      <c r="G27" s="63"/>
      <c r="H27" s="115"/>
      <c r="I27" s="108"/>
    </row>
    <row r="28" spans="1:9" x14ac:dyDescent="0.3">
      <c r="A28" s="114"/>
      <c r="B28" s="109"/>
      <c r="C28" s="107"/>
      <c r="D28" s="111"/>
      <c r="E28" s="113"/>
      <c r="F28" s="63"/>
      <c r="G28" s="63"/>
      <c r="H28" s="115"/>
      <c r="I28" s="108"/>
    </row>
    <row r="29" spans="1:9" x14ac:dyDescent="0.3">
      <c r="A29" s="114"/>
      <c r="B29" s="109"/>
      <c r="C29" s="107"/>
      <c r="D29" s="111"/>
      <c r="E29" s="113"/>
      <c r="F29" s="63"/>
      <c r="G29" s="63"/>
      <c r="H29" s="115"/>
      <c r="I29" s="108"/>
    </row>
    <row r="30" spans="1:9" x14ac:dyDescent="0.3">
      <c r="A30" s="119" t="s">
        <v>1855</v>
      </c>
      <c r="B30" s="120"/>
      <c r="C30" s="121"/>
      <c r="D30" s="122"/>
      <c r="E30" s="123"/>
      <c r="F30" s="119" t="s">
        <v>1856</v>
      </c>
      <c r="G30" s="119" t="s">
        <v>1846</v>
      </c>
      <c r="H30" s="124">
        <f>E32</f>
        <v>0</v>
      </c>
      <c r="I30" s="125" t="str">
        <f>IF(ABS(H30-'06_Road_Engine'!$E$50)&lt;=MAX(0.01,0.005*ABS('06_Road_Engine'!$E$50)),"OK","DIFF")</f>
        <v>OK</v>
      </c>
    </row>
    <row r="31" spans="1:9" x14ac:dyDescent="0.3">
      <c r="A31" s="114"/>
      <c r="B31" s="110">
        <f>0.0001</f>
        <v>1E-4</v>
      </c>
      <c r="C31" s="107" t="s">
        <v>1628</v>
      </c>
      <c r="D31" s="111">
        <f>L_EB</f>
        <v>0</v>
      </c>
      <c r="E31" s="113"/>
      <c r="F31" s="63" t="s">
        <v>1769</v>
      </c>
      <c r="G31" s="63"/>
      <c r="H31" s="115"/>
      <c r="I31" s="108" t="s">
        <v>2248</v>
      </c>
    </row>
    <row r="32" spans="1:9" x14ac:dyDescent="0.3">
      <c r="A32" s="114"/>
      <c r="B32" s="109"/>
      <c r="C32" s="107"/>
      <c r="D32" s="111">
        <f>P_ClearW</f>
        <v>13</v>
      </c>
      <c r="E32" s="201">
        <f>ROUND(N(B31)*N(D31)*N(D32),3)</f>
        <v>0</v>
      </c>
      <c r="F32" s="63"/>
      <c r="G32" s="63"/>
      <c r="H32" s="115"/>
      <c r="I32" s="108" t="s">
        <v>2249</v>
      </c>
    </row>
    <row r="33" spans="1:9" x14ac:dyDescent="0.3">
      <c r="A33" s="114"/>
      <c r="B33" s="109"/>
      <c r="C33" s="107"/>
      <c r="D33" s="111"/>
      <c r="E33" s="113"/>
      <c r="F33" s="63"/>
      <c r="G33" s="63"/>
      <c r="H33" s="115"/>
      <c r="I33" s="108"/>
    </row>
    <row r="34" spans="1:9" x14ac:dyDescent="0.3">
      <c r="A34" s="114"/>
      <c r="B34" s="109"/>
      <c r="C34" s="107"/>
      <c r="D34" s="111"/>
      <c r="E34" s="113"/>
      <c r="F34" s="63"/>
      <c r="G34" s="63"/>
      <c r="H34" s="115"/>
      <c r="I34" s="108"/>
    </row>
    <row r="35" spans="1:9" x14ac:dyDescent="0.3">
      <c r="A35" s="114"/>
      <c r="B35" s="109"/>
      <c r="C35" s="107"/>
      <c r="D35" s="111"/>
      <c r="E35" s="113"/>
      <c r="F35" s="63"/>
      <c r="G35" s="63"/>
      <c r="H35" s="115"/>
      <c r="I35" s="108"/>
    </row>
    <row r="36" spans="1:9" x14ac:dyDescent="0.3">
      <c r="A36" s="119" t="s">
        <v>1857</v>
      </c>
      <c r="B36" s="120"/>
      <c r="C36" s="121"/>
      <c r="D36" s="122"/>
      <c r="E36" s="123"/>
      <c r="F36" s="119" t="s">
        <v>1858</v>
      </c>
      <c r="G36" s="119" t="s">
        <v>300</v>
      </c>
      <c r="H36" s="124">
        <f>E39</f>
        <v>0</v>
      </c>
      <c r="I36" s="125" t="str">
        <f>IF(ABS(H36-'06_Road_Engine'!$E$51)&lt;=MAX(0.01,0.005*ABS('06_Road_Engine'!$E$51)),"OK","DIFF")</f>
        <v>OK</v>
      </c>
    </row>
    <row r="37" spans="1:9" x14ac:dyDescent="0.3">
      <c r="A37" s="114"/>
      <c r="B37" s="109"/>
      <c r="C37" s="107"/>
      <c r="D37" s="111">
        <f>L_Cut</f>
        <v>0</v>
      </c>
      <c r="E37" s="113"/>
      <c r="F37" s="63" t="s">
        <v>267</v>
      </c>
      <c r="G37" s="63"/>
      <c r="H37" s="115"/>
      <c r="I37" s="108" t="s">
        <v>2250</v>
      </c>
    </row>
    <row r="38" spans="1:9" x14ac:dyDescent="0.3">
      <c r="A38" s="114"/>
      <c r="B38" s="109"/>
      <c r="C38" s="107"/>
      <c r="D38" s="202">
        <f>ROUND(W_Cut,3)</f>
        <v>0</v>
      </c>
      <c r="E38" s="113"/>
      <c r="F38" s="63"/>
      <c r="G38" s="63"/>
      <c r="H38" s="115"/>
      <c r="I38" s="108" t="s">
        <v>2251</v>
      </c>
    </row>
    <row r="39" spans="1:9" x14ac:dyDescent="0.3">
      <c r="A39" s="114"/>
      <c r="B39" s="109"/>
      <c r="C39" s="107"/>
      <c r="D39" s="202">
        <f>ROUND(H_Cut,3)</f>
        <v>0</v>
      </c>
      <c r="E39" s="201">
        <f>ROUND(N(D37)*N(D38)*N(D39),3)</f>
        <v>0</v>
      </c>
      <c r="F39" s="63"/>
      <c r="G39" s="63"/>
      <c r="H39" s="115"/>
      <c r="I39" s="108" t="s">
        <v>2252</v>
      </c>
    </row>
    <row r="40" spans="1:9" x14ac:dyDescent="0.3">
      <c r="A40" s="114"/>
      <c r="B40" s="109"/>
      <c r="C40" s="107"/>
      <c r="D40" s="111"/>
      <c r="E40" s="113"/>
      <c r="F40" s="63"/>
      <c r="G40" s="63"/>
      <c r="H40" s="115"/>
      <c r="I40" s="108"/>
    </row>
    <row r="41" spans="1:9" x14ac:dyDescent="0.3">
      <c r="A41" s="114"/>
      <c r="B41" s="109"/>
      <c r="C41" s="107"/>
      <c r="D41" s="111"/>
      <c r="E41" s="113"/>
      <c r="F41" s="63"/>
      <c r="G41" s="63"/>
      <c r="H41" s="115"/>
      <c r="I41" s="108"/>
    </row>
    <row r="42" spans="1:9" x14ac:dyDescent="0.3">
      <c r="A42" s="119" t="s">
        <v>1860</v>
      </c>
      <c r="B42" s="120"/>
      <c r="C42" s="121"/>
      <c r="D42" s="122"/>
      <c r="E42" s="123"/>
      <c r="F42" s="119" t="s">
        <v>1861</v>
      </c>
      <c r="G42" s="119" t="s">
        <v>300</v>
      </c>
      <c r="H42" s="124">
        <f>E45</f>
        <v>0</v>
      </c>
      <c r="I42" s="125" t="str">
        <f>IF(ABS(H42-'06_Road_Engine'!$E$52)&lt;=MAX(0.01,0.005*ABS('06_Road_Engine'!$E$52)),"OK","DIFF")</f>
        <v>OK</v>
      </c>
    </row>
    <row r="43" spans="1:9" x14ac:dyDescent="0.3">
      <c r="A43" s="114"/>
      <c r="B43" s="109"/>
      <c r="C43" s="107"/>
      <c r="D43" s="111">
        <f>L_FillW</f>
        <v>0</v>
      </c>
      <c r="E43" s="113"/>
      <c r="F43" s="63" t="s">
        <v>270</v>
      </c>
      <c r="G43" s="63"/>
      <c r="H43" s="115"/>
      <c r="I43" s="108" t="s">
        <v>2250</v>
      </c>
    </row>
    <row r="44" spans="1:9" x14ac:dyDescent="0.3">
      <c r="A44" s="114"/>
      <c r="B44" s="109"/>
      <c r="C44" s="107"/>
      <c r="D44" s="111">
        <f>W_FillW</f>
        <v>0</v>
      </c>
      <c r="E44" s="113"/>
      <c r="F44" s="63"/>
      <c r="G44" s="63"/>
      <c r="H44" s="115"/>
      <c r="I44" s="108" t="s">
        <v>2251</v>
      </c>
    </row>
    <row r="45" spans="1:9" x14ac:dyDescent="0.3">
      <c r="A45" s="114"/>
      <c r="B45" s="109"/>
      <c r="C45" s="107"/>
      <c r="D45" s="111">
        <f>H_FillW</f>
        <v>0</v>
      </c>
      <c r="E45" s="201">
        <f>ROUND(N(D43)*N(D44)*N(D45),3)</f>
        <v>0</v>
      </c>
      <c r="F45" s="63"/>
      <c r="G45" s="63"/>
      <c r="H45" s="115"/>
      <c r="I45" s="108" t="s">
        <v>2253</v>
      </c>
    </row>
    <row r="46" spans="1:9" x14ac:dyDescent="0.3">
      <c r="A46" s="114"/>
      <c r="B46" s="109"/>
      <c r="C46" s="107"/>
      <c r="D46" s="111"/>
      <c r="E46" s="113"/>
      <c r="F46" s="63"/>
      <c r="G46" s="63"/>
      <c r="H46" s="115"/>
      <c r="I46" s="108"/>
    </row>
    <row r="47" spans="1:9" x14ac:dyDescent="0.3">
      <c r="A47" s="114"/>
      <c r="B47" s="109"/>
      <c r="C47" s="107"/>
      <c r="D47" s="111"/>
      <c r="E47" s="113"/>
      <c r="F47" s="63"/>
      <c r="G47" s="63"/>
      <c r="H47" s="115"/>
      <c r="I47" s="108"/>
    </row>
    <row r="48" spans="1:9" x14ac:dyDescent="0.3">
      <c r="A48" s="119" t="s">
        <v>1862</v>
      </c>
      <c r="B48" s="120"/>
      <c r="C48" s="121"/>
      <c r="D48" s="122"/>
      <c r="E48" s="123"/>
      <c r="F48" s="119" t="s">
        <v>1863</v>
      </c>
      <c r="G48" s="119" t="s">
        <v>300</v>
      </c>
      <c r="H48" s="124">
        <f>E51</f>
        <v>0</v>
      </c>
      <c r="I48" s="125" t="str">
        <f>IF(ABS(H48-'06_Road_Engine'!$E$53)&lt;=MAX(0.01,0.005*ABS('06_Road_Engine'!$E$53)),"OK","DIFF")</f>
        <v>OK</v>
      </c>
    </row>
    <row r="49" spans="1:9" x14ac:dyDescent="0.3">
      <c r="A49" s="114"/>
      <c r="B49" s="109"/>
      <c r="C49" s="107"/>
      <c r="D49" s="111">
        <f>L_Raise</f>
        <v>0</v>
      </c>
      <c r="E49" s="113"/>
      <c r="F49" s="63" t="s">
        <v>2254</v>
      </c>
      <c r="G49" s="63"/>
      <c r="H49" s="115"/>
      <c r="I49" s="108" t="s">
        <v>2250</v>
      </c>
    </row>
    <row r="50" spans="1:9" x14ac:dyDescent="0.3">
      <c r="A50" s="114"/>
      <c r="B50" s="109"/>
      <c r="C50" s="107"/>
      <c r="D50" s="111">
        <f>P_FW</f>
        <v>9</v>
      </c>
      <c r="E50" s="113"/>
      <c r="F50" s="63"/>
      <c r="G50" s="63"/>
      <c r="H50" s="115"/>
      <c r="I50" s="108" t="s">
        <v>2255</v>
      </c>
    </row>
    <row r="51" spans="1:9" x14ac:dyDescent="0.3">
      <c r="A51" s="114"/>
      <c r="B51" s="109"/>
      <c r="C51" s="107"/>
      <c r="D51" s="111">
        <f>H_Raise</f>
        <v>0</v>
      </c>
      <c r="E51" s="201">
        <f>ROUND(N(D49)*N(D50)*N(D51),3)</f>
        <v>0</v>
      </c>
      <c r="F51" s="63"/>
      <c r="G51" s="63"/>
      <c r="H51" s="115"/>
      <c r="I51" s="108" t="s">
        <v>2253</v>
      </c>
    </row>
    <row r="52" spans="1:9" x14ac:dyDescent="0.3">
      <c r="A52" s="114"/>
      <c r="B52" s="109"/>
      <c r="C52" s="107"/>
      <c r="D52" s="111"/>
      <c r="E52" s="113"/>
      <c r="F52" s="63"/>
      <c r="G52" s="63"/>
      <c r="H52" s="115"/>
      <c r="I52" s="108"/>
    </row>
    <row r="53" spans="1:9" x14ac:dyDescent="0.3">
      <c r="A53" s="114"/>
      <c r="B53" s="109"/>
      <c r="C53" s="107"/>
      <c r="D53" s="111"/>
      <c r="E53" s="113"/>
      <c r="F53" s="63"/>
      <c r="G53" s="63"/>
      <c r="H53" s="115"/>
      <c r="I53" s="108"/>
    </row>
    <row r="54" spans="1:9" x14ac:dyDescent="0.3">
      <c r="A54" s="119" t="s">
        <v>1865</v>
      </c>
      <c r="B54" s="120"/>
      <c r="C54" s="121"/>
      <c r="D54" s="122"/>
      <c r="E54" s="123"/>
      <c r="F54" s="119" t="s">
        <v>1866</v>
      </c>
      <c r="G54" s="119" t="s">
        <v>300</v>
      </c>
      <c r="H54" s="124">
        <f>E55</f>
        <v>0</v>
      </c>
      <c r="I54" s="125" t="str">
        <f>IF(ABS(H54-'06_Road_Engine'!$E$54)&lt;=MAX(0.01,0.005*ABS('06_Road_Engine'!$E$54)),"OK","DIFF")</f>
        <v>OK</v>
      </c>
    </row>
    <row r="55" spans="1:9" x14ac:dyDescent="0.3">
      <c r="A55" s="114"/>
      <c r="B55" s="109"/>
      <c r="C55" s="107"/>
      <c r="D55" s="111">
        <f>V_Gully</f>
        <v>0</v>
      </c>
      <c r="E55" s="201">
        <f>ROUND(N(D55),3)</f>
        <v>0</v>
      </c>
      <c r="F55" s="63" t="s">
        <v>2256</v>
      </c>
      <c r="G55" s="63"/>
      <c r="H55" s="115"/>
      <c r="I55" s="108" t="s">
        <v>2257</v>
      </c>
    </row>
    <row r="56" spans="1:9" x14ac:dyDescent="0.3">
      <c r="A56" s="114"/>
      <c r="B56" s="109"/>
      <c r="C56" s="107"/>
      <c r="D56" s="111"/>
      <c r="E56" s="113"/>
      <c r="F56" s="63"/>
      <c r="G56" s="63"/>
      <c r="H56" s="115"/>
      <c r="I56" s="108"/>
    </row>
    <row r="57" spans="1:9" x14ac:dyDescent="0.3">
      <c r="A57" s="114"/>
      <c r="B57" s="109"/>
      <c r="C57" s="107"/>
      <c r="D57" s="111"/>
      <c r="E57" s="113"/>
      <c r="F57" s="63"/>
      <c r="G57" s="63"/>
      <c r="H57" s="115"/>
      <c r="I57" s="108"/>
    </row>
    <row r="58" spans="1:9" x14ac:dyDescent="0.3">
      <c r="A58" s="119" t="s">
        <v>1868</v>
      </c>
      <c r="B58" s="120"/>
      <c r="C58" s="121"/>
      <c r="D58" s="122"/>
      <c r="E58" s="123"/>
      <c r="F58" s="119" t="s">
        <v>1869</v>
      </c>
      <c r="G58" s="119" t="s">
        <v>301</v>
      </c>
      <c r="H58" s="124">
        <f>E59</f>
        <v>0</v>
      </c>
      <c r="I58" s="125" t="str">
        <f>IF(ABS(H58-'06_Road_Engine'!$E$55)&lt;=MAX(0.01,0.005*ABS('06_Road_Engine'!$E$55)),"OK","DIFF")</f>
        <v>OK</v>
      </c>
    </row>
    <row r="59" spans="1:9" x14ac:dyDescent="0.3">
      <c r="A59" s="114"/>
      <c r="B59" s="109"/>
      <c r="C59" s="107"/>
      <c r="D59" s="111">
        <f>A_Pitch</f>
        <v>0</v>
      </c>
      <c r="E59" s="201">
        <f>ROUND(N(D59),3)</f>
        <v>0</v>
      </c>
      <c r="F59" s="63" t="s">
        <v>273</v>
      </c>
      <c r="G59" s="63"/>
      <c r="H59" s="115"/>
      <c r="I59" s="108" t="s">
        <v>2258</v>
      </c>
    </row>
    <row r="60" spans="1:9" x14ac:dyDescent="0.3">
      <c r="A60" s="114"/>
      <c r="B60" s="109"/>
      <c r="C60" s="107"/>
      <c r="D60" s="111"/>
      <c r="E60" s="113"/>
      <c r="F60" s="63"/>
      <c r="G60" s="63"/>
      <c r="H60" s="115"/>
      <c r="I60" s="108"/>
    </row>
    <row r="61" spans="1:9" x14ac:dyDescent="0.3">
      <c r="A61" s="114"/>
      <c r="B61" s="109"/>
      <c r="C61" s="107"/>
      <c r="D61" s="111"/>
      <c r="E61" s="113"/>
      <c r="F61" s="63"/>
      <c r="G61" s="63"/>
      <c r="H61" s="115"/>
      <c r="I61" s="108"/>
    </row>
    <row r="62" spans="1:9" x14ac:dyDescent="0.3">
      <c r="A62" s="119" t="s">
        <v>1870</v>
      </c>
      <c r="B62" s="120"/>
      <c r="C62" s="121"/>
      <c r="D62" s="122"/>
      <c r="E62" s="123"/>
      <c r="F62" s="119" t="s">
        <v>1871</v>
      </c>
      <c r="G62" s="119" t="s">
        <v>301</v>
      </c>
      <c r="H62" s="124">
        <f>E64</f>
        <v>0</v>
      </c>
      <c r="I62" s="125" t="str">
        <f>IF(ABS(H62-'06_Road_Engine'!$E$56)&lt;=MAX(0.01,0.005*ABS('06_Road_Engine'!$E$56)),"OK","DIFF")</f>
        <v>OK</v>
      </c>
    </row>
    <row r="63" spans="1:9" x14ac:dyDescent="0.3">
      <c r="A63" s="114"/>
      <c r="B63" s="109"/>
      <c r="C63" s="107"/>
      <c r="D63" s="111">
        <f>L_Blading</f>
        <v>0</v>
      </c>
      <c r="E63" s="113"/>
      <c r="F63" s="63" t="s">
        <v>291</v>
      </c>
      <c r="G63" s="63"/>
      <c r="H63" s="115"/>
      <c r="I63" s="108" t="s">
        <v>2250</v>
      </c>
    </row>
    <row r="64" spans="1:9" x14ac:dyDescent="0.3">
      <c r="A64" s="114"/>
      <c r="B64" s="109"/>
      <c r="C64" s="107"/>
      <c r="D64" s="111">
        <f>P_FW</f>
        <v>9</v>
      </c>
      <c r="E64" s="201">
        <f>ROUND(N(D63)*N(D64),3)</f>
        <v>0</v>
      </c>
      <c r="F64" s="63"/>
      <c r="G64" s="63"/>
      <c r="H64" s="115"/>
      <c r="I64" s="108" t="s">
        <v>2255</v>
      </c>
    </row>
    <row r="65" spans="1:9" x14ac:dyDescent="0.3">
      <c r="A65" s="114"/>
      <c r="B65" s="109"/>
      <c r="C65" s="107"/>
      <c r="D65" s="111"/>
      <c r="E65" s="113"/>
      <c r="F65" s="63"/>
      <c r="G65" s="63"/>
      <c r="H65" s="115"/>
      <c r="I65" s="108"/>
    </row>
    <row r="66" spans="1:9" x14ac:dyDescent="0.3">
      <c r="A66" s="114"/>
      <c r="B66" s="109"/>
      <c r="C66" s="107"/>
      <c r="D66" s="111"/>
      <c r="E66" s="113"/>
      <c r="F66" s="63"/>
      <c r="G66" s="63"/>
      <c r="H66" s="115"/>
      <c r="I66" s="108"/>
    </row>
    <row r="67" spans="1:9" x14ac:dyDescent="0.3">
      <c r="A67" s="119" t="s">
        <v>1872</v>
      </c>
      <c r="B67" s="120"/>
      <c r="C67" s="121"/>
      <c r="D67" s="122"/>
      <c r="E67" s="123"/>
      <c r="F67" s="119" t="s">
        <v>1873</v>
      </c>
      <c r="G67" s="119" t="s">
        <v>301</v>
      </c>
      <c r="H67" s="124">
        <f>E69</f>
        <v>0</v>
      </c>
      <c r="I67" s="125" t="str">
        <f>IF(ABS(H67-'06_Road_Engine'!$E$57)&lt;=MAX(0.01,0.005*ABS('06_Road_Engine'!$E$57)),"OK","DIFF")</f>
        <v>OK</v>
      </c>
    </row>
    <row r="68" spans="1:9" x14ac:dyDescent="0.3">
      <c r="A68" s="114"/>
      <c r="B68" s="109"/>
      <c r="C68" s="107"/>
      <c r="D68" s="111">
        <f>L_Scarify</f>
        <v>0</v>
      </c>
      <c r="E68" s="113"/>
      <c r="F68" s="63" t="s">
        <v>293</v>
      </c>
      <c r="G68" s="63"/>
      <c r="H68" s="115"/>
      <c r="I68" s="108" t="s">
        <v>2250</v>
      </c>
    </row>
    <row r="69" spans="1:9" x14ac:dyDescent="0.3">
      <c r="A69" s="114"/>
      <c r="B69" s="109"/>
      <c r="C69" s="107"/>
      <c r="D69" s="111">
        <f>P_FW</f>
        <v>9</v>
      </c>
      <c r="E69" s="201">
        <f>ROUND(N(D68)*N(D69),3)</f>
        <v>0</v>
      </c>
      <c r="F69" s="63"/>
      <c r="G69" s="63"/>
      <c r="H69" s="115"/>
      <c r="I69" s="108" t="s">
        <v>2255</v>
      </c>
    </row>
    <row r="70" spans="1:9" x14ac:dyDescent="0.3">
      <c r="A70" s="114"/>
      <c r="B70" s="109"/>
      <c r="C70" s="107"/>
      <c r="D70" s="111"/>
      <c r="E70" s="113"/>
      <c r="F70" s="63"/>
      <c r="G70" s="63"/>
      <c r="H70" s="115"/>
      <c r="I70" s="108"/>
    </row>
    <row r="71" spans="1:9" x14ac:dyDescent="0.3">
      <c r="A71" s="114"/>
      <c r="B71" s="109"/>
      <c r="C71" s="107"/>
      <c r="D71" s="111"/>
      <c r="E71" s="113"/>
      <c r="F71" s="63"/>
      <c r="G71" s="63"/>
      <c r="H71" s="115"/>
      <c r="I71" s="108"/>
    </row>
    <row r="72" spans="1:9" x14ac:dyDescent="0.3">
      <c r="A72" s="119" t="s">
        <v>1874</v>
      </c>
      <c r="B72" s="120"/>
      <c r="C72" s="121"/>
      <c r="D72" s="122"/>
      <c r="E72" s="123"/>
      <c r="F72" s="119" t="s">
        <v>1875</v>
      </c>
      <c r="G72" s="119" t="s">
        <v>301</v>
      </c>
      <c r="H72" s="124">
        <f>E74</f>
        <v>0</v>
      </c>
      <c r="I72" s="125" t="str">
        <f>IF(ABS(H72-'06_Road_Engine'!$E$58)&lt;=MAX(0.01,0.005*ABS('06_Road_Engine'!$E$58)),"OK","DIFF")</f>
        <v>OK</v>
      </c>
    </row>
    <row r="73" spans="1:9" x14ac:dyDescent="0.3">
      <c r="A73" s="114"/>
      <c r="B73" s="109"/>
      <c r="C73" s="107"/>
      <c r="D73" s="111">
        <f>L_Reshape</f>
        <v>0</v>
      </c>
      <c r="E73" s="113"/>
      <c r="F73" s="63" t="s">
        <v>292</v>
      </c>
      <c r="G73" s="63"/>
      <c r="H73" s="115"/>
      <c r="I73" s="108" t="s">
        <v>2250</v>
      </c>
    </row>
    <row r="74" spans="1:9" x14ac:dyDescent="0.3">
      <c r="A74" s="114"/>
      <c r="B74" s="109"/>
      <c r="C74" s="107"/>
      <c r="D74" s="111">
        <f>P_FW</f>
        <v>9</v>
      </c>
      <c r="E74" s="201">
        <f>ROUND(N(D73)*N(D74),3)</f>
        <v>0</v>
      </c>
      <c r="F74" s="63"/>
      <c r="G74" s="63"/>
      <c r="H74" s="115"/>
      <c r="I74" s="108" t="s">
        <v>2255</v>
      </c>
    </row>
    <row r="75" spans="1:9" x14ac:dyDescent="0.3">
      <c r="A75" s="114"/>
      <c r="B75" s="109"/>
      <c r="C75" s="107"/>
      <c r="D75" s="111"/>
      <c r="E75" s="113"/>
      <c r="F75" s="63"/>
      <c r="G75" s="63"/>
      <c r="H75" s="115"/>
      <c r="I75" s="108"/>
    </row>
    <row r="76" spans="1:9" x14ac:dyDescent="0.3">
      <c r="A76" s="114"/>
      <c r="B76" s="109"/>
      <c r="C76" s="107"/>
      <c r="D76" s="111"/>
      <c r="E76" s="113"/>
      <c r="F76" s="63"/>
      <c r="G76" s="63"/>
      <c r="H76" s="115"/>
      <c r="I76" s="108"/>
    </row>
    <row r="77" spans="1:9" x14ac:dyDescent="0.3">
      <c r="A77" s="119" t="s">
        <v>1877</v>
      </c>
      <c r="B77" s="120"/>
      <c r="C77" s="121"/>
      <c r="D77" s="122"/>
      <c r="E77" s="123"/>
      <c r="F77" s="119" t="s">
        <v>1878</v>
      </c>
      <c r="G77" s="119" t="s">
        <v>301</v>
      </c>
      <c r="H77" s="124">
        <f>E79</f>
        <v>0</v>
      </c>
      <c r="I77" s="125" t="str">
        <f>IF(ABS(H77-'06_Road_Engine'!$E$59)&lt;=MAX(0.01,0.005*ABS('06_Road_Engine'!$E$59)),"OK","DIFF")</f>
        <v>OK</v>
      </c>
    </row>
    <row r="78" spans="1:9" x14ac:dyDescent="0.3">
      <c r="A78" s="114"/>
      <c r="B78" s="109"/>
      <c r="C78" s="107"/>
      <c r="D78" s="111">
        <f>L_Subbase</f>
        <v>0</v>
      </c>
      <c r="E78" s="113"/>
      <c r="F78" s="63" t="s">
        <v>294</v>
      </c>
      <c r="G78" s="63"/>
      <c r="H78" s="115"/>
      <c r="I78" s="108" t="s">
        <v>2250</v>
      </c>
    </row>
    <row r="79" spans="1:9" x14ac:dyDescent="0.3">
      <c r="A79" s="114"/>
      <c r="B79" s="109"/>
      <c r="C79" s="107"/>
      <c r="D79" s="111">
        <f>P_FW</f>
        <v>9</v>
      </c>
      <c r="E79" s="201">
        <f>ROUND(N(D78)*N(D79),3)</f>
        <v>0</v>
      </c>
      <c r="F79" s="63"/>
      <c r="G79" s="63"/>
      <c r="H79" s="115"/>
      <c r="I79" s="108" t="s">
        <v>2255</v>
      </c>
    </row>
    <row r="80" spans="1:9" x14ac:dyDescent="0.3">
      <c r="A80" s="114"/>
      <c r="B80" s="109"/>
      <c r="C80" s="107"/>
      <c r="D80" s="111"/>
      <c r="E80" s="113"/>
      <c r="F80" s="63"/>
      <c r="G80" s="63"/>
      <c r="H80" s="115"/>
      <c r="I80" s="108"/>
    </row>
    <row r="81" spans="1:9" x14ac:dyDescent="0.3">
      <c r="A81" s="114"/>
      <c r="B81" s="109"/>
      <c r="C81" s="107"/>
      <c r="D81" s="111"/>
      <c r="E81" s="113"/>
      <c r="F81" s="63"/>
      <c r="G81" s="63"/>
      <c r="H81" s="115"/>
      <c r="I81" s="108"/>
    </row>
    <row r="82" spans="1:9" x14ac:dyDescent="0.3">
      <c r="A82" s="119" t="s">
        <v>1879</v>
      </c>
      <c r="B82" s="120"/>
      <c r="C82" s="121"/>
      <c r="D82" s="122"/>
      <c r="E82" s="123"/>
      <c r="F82" s="119" t="s">
        <v>1880</v>
      </c>
      <c r="G82" s="119" t="s">
        <v>301</v>
      </c>
      <c r="H82" s="124">
        <f>E84</f>
        <v>0</v>
      </c>
      <c r="I82" s="125" t="str">
        <f>IF(ABS(H82-'06_Road_Engine'!$E$60)&lt;=MAX(0.01,0.005*ABS('06_Road_Engine'!$E$60)),"OK","DIFF")</f>
        <v>OK</v>
      </c>
    </row>
    <row r="83" spans="1:9" x14ac:dyDescent="0.3">
      <c r="A83" s="114"/>
      <c r="B83" s="109"/>
      <c r="C83" s="107"/>
      <c r="D83" s="111">
        <f>L_Base</f>
        <v>0</v>
      </c>
      <c r="E83" s="113"/>
      <c r="F83" s="63" t="s">
        <v>295</v>
      </c>
      <c r="G83" s="63"/>
      <c r="H83" s="115"/>
      <c r="I83" s="108" t="s">
        <v>2250</v>
      </c>
    </row>
    <row r="84" spans="1:9" x14ac:dyDescent="0.3">
      <c r="A84" s="114"/>
      <c r="B84" s="109"/>
      <c r="C84" s="107"/>
      <c r="D84" s="111">
        <f>P_FW</f>
        <v>9</v>
      </c>
      <c r="E84" s="201">
        <f>ROUND(N(D83)*N(D84),3)</f>
        <v>0</v>
      </c>
      <c r="F84" s="63"/>
      <c r="G84" s="63"/>
      <c r="H84" s="115"/>
      <c r="I84" s="108" t="s">
        <v>2255</v>
      </c>
    </row>
    <row r="85" spans="1:9" x14ac:dyDescent="0.3">
      <c r="A85" s="114"/>
      <c r="B85" s="109"/>
      <c r="C85" s="107"/>
      <c r="D85" s="111"/>
      <c r="E85" s="113"/>
      <c r="F85" s="63"/>
      <c r="G85" s="63"/>
      <c r="H85" s="115"/>
      <c r="I85" s="108"/>
    </row>
    <row r="86" spans="1:9" x14ac:dyDescent="0.3">
      <c r="A86" s="114"/>
      <c r="B86" s="109"/>
      <c r="C86" s="107"/>
      <c r="D86" s="111"/>
      <c r="E86" s="113"/>
      <c r="F86" s="63"/>
      <c r="G86" s="63"/>
      <c r="H86" s="115"/>
      <c r="I86" s="108"/>
    </row>
    <row r="87" spans="1:9" x14ac:dyDescent="0.3">
      <c r="A87" s="119" t="s">
        <v>1881</v>
      </c>
      <c r="B87" s="120"/>
      <c r="C87" s="121"/>
      <c r="D87" s="122"/>
      <c r="E87" s="123"/>
      <c r="F87" s="119" t="s">
        <v>1882</v>
      </c>
      <c r="G87" s="119" t="s">
        <v>1404</v>
      </c>
      <c r="H87" s="124">
        <f>E91+E96</f>
        <v>0</v>
      </c>
      <c r="I87" s="125" t="str">
        <f>IF(ABS(H87-'06_Road_Engine'!$E$61)&lt;=MAX(0.01,0.005*ABS('06_Road_Engine'!$E$61)),"OK","DIFF")</f>
        <v>OK</v>
      </c>
    </row>
    <row r="88" spans="1:9" x14ac:dyDescent="0.3">
      <c r="A88" s="114"/>
      <c r="B88" s="109"/>
      <c r="C88" s="107"/>
      <c r="D88" s="111">
        <f>L_Subbase</f>
        <v>0</v>
      </c>
      <c r="E88" s="113"/>
      <c r="F88" s="63" t="s">
        <v>2259</v>
      </c>
      <c r="G88" s="63"/>
      <c r="H88" s="115"/>
      <c r="I88" s="108" t="s">
        <v>2250</v>
      </c>
    </row>
    <row r="89" spans="1:9" x14ac:dyDescent="0.3">
      <c r="A89" s="114"/>
      <c r="B89" s="109"/>
      <c r="C89" s="107"/>
      <c r="D89" s="111">
        <f>P_FW</f>
        <v>9</v>
      </c>
      <c r="E89" s="113"/>
      <c r="F89" s="63"/>
      <c r="G89" s="63"/>
      <c r="H89" s="115"/>
      <c r="I89" s="108" t="s">
        <v>2249</v>
      </c>
    </row>
    <row r="90" spans="1:9" x14ac:dyDescent="0.3">
      <c r="A90" s="114"/>
      <c r="B90" s="109"/>
      <c r="C90" s="107"/>
      <c r="D90" s="111">
        <f>P_SubbaseT</f>
        <v>0.15</v>
      </c>
      <c r="E90" s="113"/>
      <c r="F90" s="63"/>
      <c r="G90" s="63"/>
      <c r="H90" s="115"/>
      <c r="I90" s="108" t="s">
        <v>2260</v>
      </c>
    </row>
    <row r="91" spans="1:9" x14ac:dyDescent="0.3">
      <c r="A91" s="114"/>
      <c r="B91" s="109"/>
      <c r="C91" s="107"/>
      <c r="D91" s="111">
        <f>P_OH_Sub</f>
        <v>31</v>
      </c>
      <c r="E91" s="201">
        <f>ROUND(N(D88)*N(D89)*N(D90)*N(D91),3)</f>
        <v>0</v>
      </c>
      <c r="F91" s="63"/>
      <c r="G91" s="63"/>
      <c r="H91" s="115"/>
      <c r="I91" s="108" t="s">
        <v>2261</v>
      </c>
    </row>
    <row r="92" spans="1:9" x14ac:dyDescent="0.3">
      <c r="A92" s="114"/>
      <c r="B92" s="109"/>
      <c r="C92" s="107"/>
      <c r="D92" s="111"/>
      <c r="E92" s="113"/>
      <c r="F92" s="63"/>
      <c r="G92" s="63"/>
      <c r="H92" s="115"/>
      <c r="I92" s="108"/>
    </row>
    <row r="93" spans="1:9" x14ac:dyDescent="0.3">
      <c r="A93" s="114"/>
      <c r="B93" s="109"/>
      <c r="C93" s="107"/>
      <c r="D93" s="111">
        <f>L_Base</f>
        <v>0</v>
      </c>
      <c r="E93" s="113"/>
      <c r="F93" s="63" t="s">
        <v>2262</v>
      </c>
      <c r="G93" s="63"/>
      <c r="H93" s="115"/>
      <c r="I93" s="108" t="s">
        <v>2250</v>
      </c>
    </row>
    <row r="94" spans="1:9" x14ac:dyDescent="0.3">
      <c r="A94" s="114"/>
      <c r="B94" s="109"/>
      <c r="C94" s="107"/>
      <c r="D94" s="111">
        <f>P_FW</f>
        <v>9</v>
      </c>
      <c r="E94" s="113"/>
      <c r="F94" s="63"/>
      <c r="G94" s="63"/>
      <c r="H94" s="115"/>
      <c r="I94" s="108" t="s">
        <v>2249</v>
      </c>
    </row>
    <row r="95" spans="1:9" x14ac:dyDescent="0.3">
      <c r="A95" s="114"/>
      <c r="B95" s="109"/>
      <c r="C95" s="107"/>
      <c r="D95" s="111">
        <f>P_BaseT</f>
        <v>0.15</v>
      </c>
      <c r="E95" s="113"/>
      <c r="F95" s="63"/>
      <c r="G95" s="63"/>
      <c r="H95" s="115"/>
      <c r="I95" s="108" t="s">
        <v>2260</v>
      </c>
    </row>
    <row r="96" spans="1:9" x14ac:dyDescent="0.3">
      <c r="A96" s="114"/>
      <c r="B96" s="109"/>
      <c r="C96" s="107"/>
      <c r="D96" s="111">
        <f>P_OH_Base</f>
        <v>40</v>
      </c>
      <c r="E96" s="201">
        <f>ROUND(N(D93)*N(D94)*N(D95)*N(D96),3)</f>
        <v>0</v>
      </c>
      <c r="F96" s="63"/>
      <c r="G96" s="63"/>
      <c r="H96" s="115"/>
      <c r="I96" s="108" t="s">
        <v>2261</v>
      </c>
    </row>
    <row r="97" spans="1:9" x14ac:dyDescent="0.3">
      <c r="A97" s="114"/>
      <c r="B97" s="109"/>
      <c r="C97" s="107"/>
      <c r="D97" s="111"/>
      <c r="E97" s="113"/>
      <c r="F97" s="63"/>
      <c r="G97" s="63"/>
      <c r="H97" s="115"/>
      <c r="I97" s="108"/>
    </row>
    <row r="98" spans="1:9" x14ac:dyDescent="0.3">
      <c r="A98" s="114"/>
      <c r="B98" s="109"/>
      <c r="C98" s="107"/>
      <c r="D98" s="111"/>
      <c r="E98" s="113"/>
      <c r="F98" s="63"/>
      <c r="G98" s="63"/>
      <c r="H98" s="115"/>
      <c r="I98" s="108"/>
    </row>
    <row r="99" spans="1:9" x14ac:dyDescent="0.3">
      <c r="A99" s="119" t="s">
        <v>1884</v>
      </c>
      <c r="B99" s="120"/>
      <c r="C99" s="121"/>
      <c r="D99" s="122"/>
      <c r="E99" s="123"/>
      <c r="F99" s="119" t="s">
        <v>1885</v>
      </c>
      <c r="G99" s="119" t="s">
        <v>1886</v>
      </c>
      <c r="H99" s="124">
        <f>E102+E106</f>
        <v>0</v>
      </c>
      <c r="I99" s="125" t="str">
        <f>IF(ABS(H99-'06_Road_Engine'!$E$62)&lt;=MAX(0.01,0.005*ABS('06_Road_Engine'!$E$62)),"OK","DIFF")</f>
        <v>OK</v>
      </c>
    </row>
    <row r="100" spans="1:9" x14ac:dyDescent="0.3">
      <c r="A100" s="114"/>
      <c r="B100" s="109"/>
      <c r="C100" s="107"/>
      <c r="D100" s="111">
        <f>L_Seal1</f>
        <v>0</v>
      </c>
      <c r="E100" s="113"/>
      <c r="F100" s="63" t="s">
        <v>231</v>
      </c>
      <c r="G100" s="63"/>
      <c r="H100" s="115"/>
      <c r="I100" s="108" t="s">
        <v>2250</v>
      </c>
    </row>
    <row r="101" spans="1:9" x14ac:dyDescent="0.3">
      <c r="A101" s="114"/>
      <c r="B101" s="109"/>
      <c r="C101" s="107"/>
      <c r="D101" s="111">
        <f>P_SealW</f>
        <v>7</v>
      </c>
      <c r="E101" s="113"/>
      <c r="F101" s="63"/>
      <c r="G101" s="63"/>
      <c r="H101" s="115"/>
      <c r="I101" s="108" t="s">
        <v>2263</v>
      </c>
    </row>
    <row r="102" spans="1:9" x14ac:dyDescent="0.3">
      <c r="A102" s="114"/>
      <c r="B102" s="109"/>
      <c r="C102" s="107"/>
      <c r="D102" s="111">
        <f>P_Seal1Rate</f>
        <v>1.3</v>
      </c>
      <c r="E102" s="201">
        <f>ROUND(N(D100)*N(D101)*N(D102),3)</f>
        <v>0</v>
      </c>
      <c r="F102" s="63"/>
      <c r="G102" s="63"/>
      <c r="H102" s="115"/>
      <c r="I102" s="108" t="s">
        <v>97</v>
      </c>
    </row>
    <row r="103" spans="1:9" x14ac:dyDescent="0.3">
      <c r="A103" s="114"/>
      <c r="B103" s="109"/>
      <c r="C103" s="107"/>
      <c r="D103" s="111"/>
      <c r="E103" s="113"/>
      <c r="F103" s="63"/>
      <c r="G103" s="63"/>
      <c r="H103" s="115"/>
      <c r="I103" s="108"/>
    </row>
    <row r="104" spans="1:9" x14ac:dyDescent="0.3">
      <c r="A104" s="114"/>
      <c r="B104" s="109"/>
      <c r="C104" s="107"/>
      <c r="D104" s="111">
        <f>L_Seal2</f>
        <v>0</v>
      </c>
      <c r="E104" s="113"/>
      <c r="F104" s="63" t="s">
        <v>232</v>
      </c>
      <c r="G104" s="63"/>
      <c r="H104" s="115"/>
      <c r="I104" s="108" t="s">
        <v>2250</v>
      </c>
    </row>
    <row r="105" spans="1:9" x14ac:dyDescent="0.3">
      <c r="A105" s="114"/>
      <c r="B105" s="109"/>
      <c r="C105" s="107"/>
      <c r="D105" s="111">
        <f>P_SealW</f>
        <v>7</v>
      </c>
      <c r="E105" s="113"/>
      <c r="F105" s="63"/>
      <c r="G105" s="63"/>
      <c r="H105" s="115"/>
      <c r="I105" s="108" t="s">
        <v>2263</v>
      </c>
    </row>
    <row r="106" spans="1:9" x14ac:dyDescent="0.3">
      <c r="A106" s="114"/>
      <c r="B106" s="109"/>
      <c r="C106" s="107"/>
      <c r="D106" s="111">
        <f>P_Seal1Rate</f>
        <v>1.3</v>
      </c>
      <c r="E106" s="201">
        <f>ROUND(N(D104)*N(D105)*N(D106),3)</f>
        <v>0</v>
      </c>
      <c r="F106" s="63"/>
      <c r="G106" s="63"/>
      <c r="H106" s="115"/>
      <c r="I106" s="108" t="s">
        <v>97</v>
      </c>
    </row>
    <row r="107" spans="1:9" x14ac:dyDescent="0.3">
      <c r="A107" s="114"/>
      <c r="B107" s="109"/>
      <c r="C107" s="107"/>
      <c r="D107" s="111"/>
      <c r="E107" s="113"/>
      <c r="F107" s="63"/>
      <c r="G107" s="63"/>
      <c r="H107" s="115"/>
      <c r="I107" s="108"/>
    </row>
    <row r="108" spans="1:9" x14ac:dyDescent="0.3">
      <c r="A108" s="114"/>
      <c r="B108" s="109"/>
      <c r="C108" s="107"/>
      <c r="D108" s="111"/>
      <c r="E108" s="113"/>
      <c r="F108" s="63"/>
      <c r="G108" s="63"/>
      <c r="H108" s="115"/>
      <c r="I108" s="108"/>
    </row>
    <row r="109" spans="1:9" x14ac:dyDescent="0.3">
      <c r="A109" s="119" t="s">
        <v>1887</v>
      </c>
      <c r="B109" s="120"/>
      <c r="C109" s="121"/>
      <c r="D109" s="122"/>
      <c r="E109" s="123"/>
      <c r="F109" s="119" t="s">
        <v>1888</v>
      </c>
      <c r="G109" s="119" t="s">
        <v>1886</v>
      </c>
      <c r="H109" s="124">
        <f>E113</f>
        <v>0</v>
      </c>
      <c r="I109" s="125" t="str">
        <f>IF(ABS(H109-'06_Road_Engine'!$E$63)&lt;=MAX(0.01,0.005*ABS('06_Road_Engine'!$E$63)),"OK","DIFF")</f>
        <v>OK</v>
      </c>
    </row>
    <row r="110" spans="1:9" x14ac:dyDescent="0.3">
      <c r="A110" s="114"/>
      <c r="B110" s="109"/>
      <c r="C110" s="107"/>
      <c r="D110" s="111">
        <f>L_Prime</f>
        <v>0</v>
      </c>
      <c r="E110" s="113"/>
      <c r="F110" s="63" t="s">
        <v>2264</v>
      </c>
      <c r="G110" s="63"/>
      <c r="H110" s="115"/>
      <c r="I110" s="108" t="s">
        <v>2250</v>
      </c>
    </row>
    <row r="111" spans="1:9" x14ac:dyDescent="0.3">
      <c r="A111" s="114"/>
      <c r="B111" s="109"/>
      <c r="C111" s="107"/>
      <c r="D111" s="111">
        <f>P_PrimeW</f>
        <v>8</v>
      </c>
      <c r="E111" s="113"/>
      <c r="F111" s="63"/>
      <c r="G111" s="63"/>
      <c r="H111" s="115"/>
      <c r="I111" s="108" t="s">
        <v>2265</v>
      </c>
    </row>
    <row r="112" spans="1:9" x14ac:dyDescent="0.3">
      <c r="A112" s="114"/>
      <c r="B112" s="109"/>
      <c r="C112" s="107"/>
      <c r="D112" s="111">
        <f>P_PrimeRate</f>
        <v>1.4</v>
      </c>
      <c r="E112" s="113"/>
      <c r="F112" s="63"/>
      <c r="G112" s="63"/>
      <c r="H112" s="115"/>
      <c r="I112" s="108" t="s">
        <v>97</v>
      </c>
    </row>
    <row r="113" spans="1:9" x14ac:dyDescent="0.3">
      <c r="A113" s="114"/>
      <c r="B113" s="109"/>
      <c r="C113" s="107"/>
      <c r="D113" s="111">
        <f>P_BinderPct</f>
        <v>0.84</v>
      </c>
      <c r="E113" s="201">
        <f>ROUND(N(D110)*N(D111)*N(D112)*N(D113),3)</f>
        <v>0</v>
      </c>
      <c r="F113" s="63"/>
      <c r="G113" s="63"/>
      <c r="H113" s="115"/>
      <c r="I113" s="108" t="s">
        <v>2266</v>
      </c>
    </row>
    <row r="114" spans="1:9" x14ac:dyDescent="0.3">
      <c r="A114" s="114"/>
      <c r="B114" s="109"/>
      <c r="C114" s="107"/>
      <c r="D114" s="111"/>
      <c r="E114" s="113"/>
      <c r="F114" s="63"/>
      <c r="G114" s="63"/>
      <c r="H114" s="115"/>
      <c r="I114" s="108"/>
    </row>
    <row r="115" spans="1:9" x14ac:dyDescent="0.3">
      <c r="A115" s="114"/>
      <c r="B115" s="109"/>
      <c r="C115" s="107"/>
      <c r="D115" s="111"/>
      <c r="E115" s="113"/>
      <c r="F115" s="63"/>
      <c r="G115" s="63"/>
      <c r="H115" s="115"/>
      <c r="I115" s="108"/>
    </row>
    <row r="116" spans="1:9" x14ac:dyDescent="0.3">
      <c r="A116" s="119" t="s">
        <v>1889</v>
      </c>
      <c r="B116" s="120"/>
      <c r="C116" s="121"/>
      <c r="D116" s="122"/>
      <c r="E116" s="123"/>
      <c r="F116" s="119" t="s">
        <v>1890</v>
      </c>
      <c r="G116" s="119" t="s">
        <v>1886</v>
      </c>
      <c r="H116" s="124">
        <f>E120</f>
        <v>0</v>
      </c>
      <c r="I116" s="125" t="str">
        <f>IF(ABS(H116-'06_Road_Engine'!$E$64)&lt;=MAX(0.01,0.005*ABS('06_Road_Engine'!$E$64)),"OK","DIFF")</f>
        <v>OK</v>
      </c>
    </row>
    <row r="117" spans="1:9" x14ac:dyDescent="0.3">
      <c r="A117" s="114"/>
      <c r="B117" s="109"/>
      <c r="C117" s="107"/>
      <c r="D117" s="111">
        <f>L_Prime</f>
        <v>0</v>
      </c>
      <c r="E117" s="113"/>
      <c r="F117" s="63" t="s">
        <v>2267</v>
      </c>
      <c r="G117" s="63"/>
      <c r="H117" s="115"/>
      <c r="I117" s="108" t="s">
        <v>2250</v>
      </c>
    </row>
    <row r="118" spans="1:9" x14ac:dyDescent="0.3">
      <c r="A118" s="114"/>
      <c r="B118" s="109"/>
      <c r="C118" s="107"/>
      <c r="D118" s="111">
        <f>P_PrimeW</f>
        <v>8</v>
      </c>
      <c r="E118" s="113"/>
      <c r="F118" s="63"/>
      <c r="G118" s="63"/>
      <c r="H118" s="115"/>
      <c r="I118" s="108" t="s">
        <v>2265</v>
      </c>
    </row>
    <row r="119" spans="1:9" x14ac:dyDescent="0.3">
      <c r="A119" s="114"/>
      <c r="B119" s="109"/>
      <c r="C119" s="107"/>
      <c r="D119" s="111">
        <f>P_PrimeRate</f>
        <v>1.4</v>
      </c>
      <c r="E119" s="113"/>
      <c r="F119" s="63"/>
      <c r="G119" s="63"/>
      <c r="H119" s="115"/>
      <c r="I119" s="108" t="s">
        <v>97</v>
      </c>
    </row>
    <row r="120" spans="1:9" x14ac:dyDescent="0.3">
      <c r="A120" s="114"/>
      <c r="B120" s="109"/>
      <c r="C120" s="107"/>
      <c r="D120" s="111">
        <f>P_CutterPct</f>
        <v>0.16</v>
      </c>
      <c r="E120" s="201">
        <f>ROUND(N(D117)*N(D118)*N(D119)*N(D120),3)</f>
        <v>0</v>
      </c>
      <c r="F120" s="63"/>
      <c r="G120" s="63"/>
      <c r="H120" s="115"/>
      <c r="I120" s="108" t="s">
        <v>2268</v>
      </c>
    </row>
    <row r="121" spans="1:9" x14ac:dyDescent="0.3">
      <c r="A121" s="114"/>
      <c r="B121" s="109"/>
      <c r="C121" s="107"/>
      <c r="D121" s="111"/>
      <c r="E121" s="113"/>
      <c r="F121" s="63"/>
      <c r="G121" s="63"/>
      <c r="H121" s="115"/>
      <c r="I121" s="108"/>
    </row>
    <row r="122" spans="1:9" x14ac:dyDescent="0.3">
      <c r="A122" s="114"/>
      <c r="B122" s="109"/>
      <c r="C122" s="107"/>
      <c r="D122" s="111"/>
      <c r="E122" s="113"/>
      <c r="F122" s="63"/>
      <c r="G122" s="63"/>
      <c r="H122" s="115"/>
      <c r="I122" s="108"/>
    </row>
    <row r="123" spans="1:9" x14ac:dyDescent="0.3">
      <c r="A123" s="119" t="s">
        <v>1891</v>
      </c>
      <c r="B123" s="120"/>
      <c r="C123" s="121"/>
      <c r="D123" s="122"/>
      <c r="E123" s="123"/>
      <c r="F123" s="119" t="s">
        <v>1892</v>
      </c>
      <c r="G123" s="119" t="s">
        <v>300</v>
      </c>
      <c r="H123" s="124">
        <f>E126</f>
        <v>0</v>
      </c>
      <c r="I123" s="125" t="str">
        <f>IF(ABS(H123-'06_Road_Engine'!$E$65)&lt;=MAX(0.01,0.005*ABS('06_Road_Engine'!$E$65)),"OK","DIFF")</f>
        <v>OK</v>
      </c>
    </row>
    <row r="124" spans="1:9" x14ac:dyDescent="0.3">
      <c r="A124" s="114"/>
      <c r="B124" s="109"/>
      <c r="C124" s="107"/>
      <c r="D124" s="111">
        <f>L_Seal1+L_Seal2</f>
        <v>0</v>
      </c>
      <c r="E124" s="113"/>
      <c r="F124" s="63" t="s">
        <v>1892</v>
      </c>
      <c r="G124" s="63"/>
      <c r="H124" s="115"/>
      <c r="I124" s="108" t="s">
        <v>2269</v>
      </c>
    </row>
    <row r="125" spans="1:9" x14ac:dyDescent="0.3">
      <c r="A125" s="114"/>
      <c r="B125" s="109"/>
      <c r="C125" s="107"/>
      <c r="D125" s="111">
        <f>P_SealW</f>
        <v>7</v>
      </c>
      <c r="E125" s="113"/>
      <c r="F125" s="63"/>
      <c r="G125" s="63"/>
      <c r="H125" s="115"/>
      <c r="I125" s="108" t="s">
        <v>2249</v>
      </c>
    </row>
    <row r="126" spans="1:9" x14ac:dyDescent="0.3">
      <c r="A126" s="114"/>
      <c r="B126" s="109"/>
      <c r="C126" s="107"/>
      <c r="D126" s="112">
        <f>1/P_Chip10</f>
        <v>8.3333333333333332E-3</v>
      </c>
      <c r="E126" s="201">
        <f>ROUND(N(D124)*N(D125)*N(D126),3)</f>
        <v>0</v>
      </c>
      <c r="F126" s="63"/>
      <c r="G126" s="63"/>
      <c r="H126" s="115"/>
      <c r="I126" s="108" t="s">
        <v>2270</v>
      </c>
    </row>
    <row r="127" spans="1:9" x14ac:dyDescent="0.3">
      <c r="A127" s="114"/>
      <c r="B127" s="109"/>
      <c r="C127" s="107"/>
      <c r="D127" s="111"/>
      <c r="E127" s="113"/>
      <c r="F127" s="63"/>
      <c r="G127" s="63"/>
      <c r="H127" s="115"/>
      <c r="I127" s="108"/>
    </row>
    <row r="128" spans="1:9" x14ac:dyDescent="0.3">
      <c r="A128" s="114"/>
      <c r="B128" s="109"/>
      <c r="C128" s="107"/>
      <c r="D128" s="111"/>
      <c r="E128" s="113"/>
      <c r="F128" s="63"/>
      <c r="G128" s="63"/>
      <c r="H128" s="115"/>
      <c r="I128" s="108"/>
    </row>
    <row r="129" spans="1:9" x14ac:dyDescent="0.3">
      <c r="A129" s="119" t="s">
        <v>1893</v>
      </c>
      <c r="B129" s="120"/>
      <c r="C129" s="121"/>
      <c r="D129" s="122"/>
      <c r="E129" s="123"/>
      <c r="F129" s="119" t="s">
        <v>1894</v>
      </c>
      <c r="G129" s="119" t="s">
        <v>300</v>
      </c>
      <c r="H129" s="124">
        <f>E132</f>
        <v>0</v>
      </c>
      <c r="I129" s="125" t="str">
        <f>IF(ABS(H129-'06_Road_Engine'!$E$66)&lt;=MAX(0.01,0.005*ABS('06_Road_Engine'!$E$66)),"OK","DIFF")</f>
        <v>OK</v>
      </c>
    </row>
    <row r="130" spans="1:9" x14ac:dyDescent="0.3">
      <c r="A130" s="114"/>
      <c r="B130" s="109"/>
      <c r="C130" s="107"/>
      <c r="D130" s="111">
        <f>L_Prime</f>
        <v>0</v>
      </c>
      <c r="E130" s="113"/>
      <c r="F130" s="63" t="s">
        <v>1894</v>
      </c>
      <c r="G130" s="63"/>
      <c r="H130" s="115"/>
      <c r="I130" s="108" t="s">
        <v>2250</v>
      </c>
    </row>
    <row r="131" spans="1:9" x14ac:dyDescent="0.3">
      <c r="A131" s="114"/>
      <c r="B131" s="109"/>
      <c r="C131" s="107"/>
      <c r="D131" s="111">
        <f>P_PrimeW</f>
        <v>8</v>
      </c>
      <c r="E131" s="113"/>
      <c r="F131" s="63"/>
      <c r="G131" s="63"/>
      <c r="H131" s="115"/>
      <c r="I131" s="108" t="s">
        <v>2249</v>
      </c>
    </row>
    <row r="132" spans="1:9" x14ac:dyDescent="0.3">
      <c r="A132" s="114"/>
      <c r="B132" s="109"/>
      <c r="C132" s="107"/>
      <c r="D132" s="111">
        <f>1/P_Chip14</f>
        <v>0.01</v>
      </c>
      <c r="E132" s="201">
        <f>ROUND(N(D130)*N(D131)*N(D132),3)</f>
        <v>0</v>
      </c>
      <c r="F132" s="63"/>
      <c r="G132" s="63"/>
      <c r="H132" s="115"/>
      <c r="I132" s="108" t="s">
        <v>2270</v>
      </c>
    </row>
    <row r="133" spans="1:9" x14ac:dyDescent="0.3">
      <c r="A133" s="114"/>
      <c r="B133" s="109"/>
      <c r="C133" s="107"/>
      <c r="D133" s="111"/>
      <c r="E133" s="113"/>
      <c r="F133" s="63"/>
      <c r="G133" s="63"/>
      <c r="H133" s="115"/>
      <c r="I133" s="108"/>
    </row>
    <row r="134" spans="1:9" x14ac:dyDescent="0.3">
      <c r="A134" s="114"/>
      <c r="B134" s="109"/>
      <c r="C134" s="107"/>
      <c r="D134" s="111"/>
      <c r="E134" s="113"/>
      <c r="F134" s="63"/>
      <c r="G134" s="63"/>
      <c r="H134" s="115"/>
      <c r="I134" s="108"/>
    </row>
    <row r="135" spans="1:9" x14ac:dyDescent="0.3">
      <c r="A135" s="119" t="s">
        <v>1895</v>
      </c>
      <c r="B135" s="120"/>
      <c r="C135" s="121"/>
      <c r="D135" s="122"/>
      <c r="E135" s="123"/>
      <c r="F135" s="119" t="s">
        <v>1896</v>
      </c>
      <c r="G135" s="119" t="s">
        <v>1404</v>
      </c>
      <c r="H135" s="124">
        <f>E137</f>
        <v>0</v>
      </c>
      <c r="I135" s="125" t="str">
        <f>IF(ABS(H135-'06_Road_Engine'!$E$67)&lt;=MAX(0.01,0.005*ABS('06_Road_Engine'!$E$67)),"OK","DIFF")</f>
        <v>OK</v>
      </c>
    </row>
    <row r="136" spans="1:9" x14ac:dyDescent="0.3">
      <c r="A136" s="114"/>
      <c r="B136" s="109"/>
      <c r="C136" s="107"/>
      <c r="D136" s="202">
        <f>ROUND('06_Road_Engine'!$E$65+'06_Road_Engine'!$E$66,3)</f>
        <v>0</v>
      </c>
      <c r="E136" s="113"/>
      <c r="F136" s="63" t="s">
        <v>2271</v>
      </c>
      <c r="G136" s="63"/>
      <c r="H136" s="115"/>
      <c r="I136" s="108" t="s">
        <v>2272</v>
      </c>
    </row>
    <row r="137" spans="1:9" x14ac:dyDescent="0.3">
      <c r="A137" s="114"/>
      <c r="B137" s="109"/>
      <c r="C137" s="107"/>
      <c r="D137" s="111">
        <f>P_HaulChip</f>
        <v>60</v>
      </c>
      <c r="E137" s="201">
        <f>ROUND(N(D136)*N(D137),3)</f>
        <v>0</v>
      </c>
      <c r="F137" s="63"/>
      <c r="G137" s="63"/>
      <c r="H137" s="115"/>
      <c r="I137" s="108" t="s">
        <v>2273</v>
      </c>
    </row>
    <row r="138" spans="1:9" x14ac:dyDescent="0.3">
      <c r="A138" s="114"/>
      <c r="B138" s="109"/>
      <c r="C138" s="107"/>
      <c r="D138" s="111"/>
      <c r="E138" s="113"/>
      <c r="F138" s="63"/>
      <c r="G138" s="63"/>
      <c r="H138" s="115"/>
      <c r="I138" s="108"/>
    </row>
    <row r="139" spans="1:9" x14ac:dyDescent="0.3">
      <c r="A139" s="114"/>
      <c r="B139" s="109"/>
      <c r="C139" s="107"/>
      <c r="D139" s="111"/>
      <c r="E139" s="113"/>
      <c r="F139" s="63"/>
      <c r="G139" s="63"/>
      <c r="H139" s="115"/>
      <c r="I139" s="108"/>
    </row>
    <row r="140" spans="1:9" x14ac:dyDescent="0.3">
      <c r="A140" s="119" t="s">
        <v>1898</v>
      </c>
      <c r="B140" s="120"/>
      <c r="C140" s="121"/>
      <c r="D140" s="122"/>
      <c r="E140" s="123"/>
      <c r="F140" s="119" t="s">
        <v>1899</v>
      </c>
      <c r="G140" s="119" t="s">
        <v>67</v>
      </c>
      <c r="H140" s="124">
        <f>E142</f>
        <v>0</v>
      </c>
      <c r="I140" s="125" t="str">
        <f>IF(ABS(H140-'06_Road_Engine'!$E$68)&lt;=MAX(0.01,0.005*ABS('06_Road_Engine'!$E$68)),"OK","DIFF")</f>
        <v>OK</v>
      </c>
    </row>
    <row r="141" spans="1:9" x14ac:dyDescent="0.3">
      <c r="A141" s="114"/>
      <c r="B141" s="109"/>
      <c r="C141" s="107"/>
      <c r="D141" s="111">
        <f>L_Seal1/1000</f>
        <v>0</v>
      </c>
      <c r="E141" s="113"/>
      <c r="F141" s="63" t="s">
        <v>2274</v>
      </c>
      <c r="G141" s="63"/>
      <c r="H141" s="115"/>
      <c r="I141" s="108" t="s">
        <v>2275</v>
      </c>
    </row>
    <row r="142" spans="1:9" x14ac:dyDescent="0.3">
      <c r="A142" s="114"/>
      <c r="B142" s="109"/>
      <c r="C142" s="107"/>
      <c r="D142" s="111">
        <f>P_SignsPerKm</f>
        <v>10</v>
      </c>
      <c r="E142" s="201">
        <f>ROUND(N(D141)*N(D142),3)</f>
        <v>0</v>
      </c>
      <c r="F142" s="63"/>
      <c r="G142" s="63"/>
      <c r="H142" s="115"/>
      <c r="I142" s="108" t="s">
        <v>2276</v>
      </c>
    </row>
    <row r="143" spans="1:9" x14ac:dyDescent="0.3">
      <c r="A143" s="114"/>
      <c r="B143" s="109"/>
      <c r="C143" s="107"/>
      <c r="D143" s="111"/>
      <c r="E143" s="113"/>
      <c r="F143" s="63"/>
      <c r="G143" s="63"/>
      <c r="H143" s="115"/>
      <c r="I143" s="108"/>
    </row>
    <row r="144" spans="1:9" x14ac:dyDescent="0.3">
      <c r="A144" s="114"/>
      <c r="B144" s="109"/>
      <c r="C144" s="107"/>
      <c r="D144" s="111"/>
      <c r="E144" s="113"/>
      <c r="F144" s="63"/>
      <c r="G144" s="63"/>
      <c r="H144" s="115"/>
      <c r="I144" s="108"/>
    </row>
    <row r="145" spans="1:9" x14ac:dyDescent="0.3">
      <c r="A145" s="119" t="s">
        <v>1901</v>
      </c>
      <c r="B145" s="120"/>
      <c r="C145" s="121"/>
      <c r="D145" s="122"/>
      <c r="E145" s="123"/>
      <c r="F145" s="119" t="s">
        <v>1902</v>
      </c>
      <c r="G145" s="119" t="s">
        <v>67</v>
      </c>
      <c r="H145" s="124">
        <f>E147</f>
        <v>0</v>
      </c>
      <c r="I145" s="125" t="str">
        <f>IF(ABS(H145-'06_Road_Engine'!$E$69)&lt;=MAX(0.01,0.005*ABS('06_Road_Engine'!$E$69)),"OK","DIFF")</f>
        <v>OK</v>
      </c>
    </row>
    <row r="146" spans="1:9" x14ac:dyDescent="0.3">
      <c r="A146" s="114"/>
      <c r="B146" s="109"/>
      <c r="C146" s="107"/>
      <c r="D146" s="111">
        <f>L_Seal1/1000</f>
        <v>0</v>
      </c>
      <c r="E146" s="113"/>
      <c r="F146" s="63" t="s">
        <v>2277</v>
      </c>
      <c r="G146" s="63"/>
      <c r="H146" s="115"/>
      <c r="I146" s="108" t="s">
        <v>2275</v>
      </c>
    </row>
    <row r="147" spans="1:9" x14ac:dyDescent="0.3">
      <c r="A147" s="114"/>
      <c r="B147" s="109"/>
      <c r="C147" s="107"/>
      <c r="D147" s="111">
        <f>P_SignsPerKm</f>
        <v>10</v>
      </c>
      <c r="E147" s="201">
        <f>ROUND(N(D146)*N(D147),3)</f>
        <v>0</v>
      </c>
      <c r="F147" s="63"/>
      <c r="G147" s="63"/>
      <c r="H147" s="115"/>
      <c r="I147" s="108" t="s">
        <v>2276</v>
      </c>
    </row>
    <row r="148" spans="1:9" x14ac:dyDescent="0.3">
      <c r="A148" s="114"/>
      <c r="B148" s="109"/>
      <c r="C148" s="107"/>
      <c r="D148" s="111"/>
      <c r="E148" s="113"/>
      <c r="F148" s="63"/>
      <c r="G148" s="63"/>
      <c r="H148" s="115"/>
      <c r="I148" s="108"/>
    </row>
    <row r="149" spans="1:9" x14ac:dyDescent="0.3">
      <c r="A149" s="114"/>
      <c r="B149" s="109"/>
      <c r="C149" s="107"/>
      <c r="D149" s="111"/>
      <c r="E149" s="113"/>
      <c r="F149" s="63"/>
      <c r="G149" s="63"/>
      <c r="H149" s="115"/>
      <c r="I149" s="108"/>
    </row>
    <row r="150" spans="1:9" x14ac:dyDescent="0.3">
      <c r="A150" s="119" t="s">
        <v>1903</v>
      </c>
      <c r="B150" s="120"/>
      <c r="C150" s="121"/>
      <c r="D150" s="122"/>
      <c r="E150" s="123"/>
      <c r="F150" s="119" t="s">
        <v>1904</v>
      </c>
      <c r="G150" s="119" t="s">
        <v>67</v>
      </c>
      <c r="H150" s="124">
        <f>E152</f>
        <v>0</v>
      </c>
      <c r="I150" s="125" t="str">
        <f>IF(ABS(H150-'06_Road_Engine'!$E$70)&lt;=MAX(0.01,0.005*ABS('06_Road_Engine'!$E$70)),"OK","DIFF")</f>
        <v>OK</v>
      </c>
    </row>
    <row r="151" spans="1:9" x14ac:dyDescent="0.3">
      <c r="A151" s="114"/>
      <c r="B151" s="109"/>
      <c r="C151" s="107"/>
      <c r="D151" s="111">
        <f>L_Seal1/1000</f>
        <v>0</v>
      </c>
      <c r="E151" s="113"/>
      <c r="F151" s="63" t="s">
        <v>2278</v>
      </c>
      <c r="G151" s="63"/>
      <c r="H151" s="115"/>
      <c r="I151" s="108" t="s">
        <v>2275</v>
      </c>
    </row>
    <row r="152" spans="1:9" x14ac:dyDescent="0.3">
      <c r="A152" s="114"/>
      <c r="B152" s="109"/>
      <c r="C152" s="107"/>
      <c r="D152" s="111">
        <f>P_SignsPerKm</f>
        <v>10</v>
      </c>
      <c r="E152" s="201">
        <f>ROUND(N(D151)*N(D152),3)</f>
        <v>0</v>
      </c>
      <c r="F152" s="63"/>
      <c r="G152" s="63"/>
      <c r="H152" s="115"/>
      <c r="I152" s="108" t="s">
        <v>2276</v>
      </c>
    </row>
    <row r="153" spans="1:9" x14ac:dyDescent="0.3">
      <c r="A153" s="114"/>
      <c r="B153" s="109"/>
      <c r="C153" s="107"/>
      <c r="D153" s="111"/>
      <c r="E153" s="113"/>
      <c r="F153" s="63"/>
      <c r="G153" s="63"/>
      <c r="H153" s="115"/>
      <c r="I153" s="108"/>
    </row>
    <row r="154" spans="1:9" x14ac:dyDescent="0.3">
      <c r="A154" s="114"/>
      <c r="B154" s="109"/>
      <c r="C154" s="107"/>
      <c r="D154" s="111"/>
      <c r="E154" s="113"/>
      <c r="F154" s="63"/>
      <c r="G154" s="63"/>
      <c r="H154" s="115"/>
      <c r="I154" s="108"/>
    </row>
    <row r="155" spans="1:9" x14ac:dyDescent="0.3">
      <c r="A155" s="119" t="s">
        <v>1905</v>
      </c>
      <c r="B155" s="120"/>
      <c r="C155" s="121"/>
      <c r="D155" s="122"/>
      <c r="E155" s="123"/>
      <c r="F155" s="119" t="s">
        <v>1906</v>
      </c>
      <c r="G155" s="119" t="s">
        <v>63</v>
      </c>
      <c r="H155" s="124">
        <f>E157</f>
        <v>0</v>
      </c>
      <c r="I155" s="125" t="str">
        <f>IF(ABS(H155-'06_Road_Engine'!$E$71)&lt;=MAX(0.01,0.005*ABS('06_Road_Engine'!$E$71)),"OK","DIFF")</f>
        <v>OK</v>
      </c>
    </row>
    <row r="156" spans="1:9" x14ac:dyDescent="0.3">
      <c r="A156" s="114"/>
      <c r="B156" s="109"/>
      <c r="C156" s="107"/>
      <c r="D156" s="111">
        <f>L_Seal1</f>
        <v>0</v>
      </c>
      <c r="E156" s="113"/>
      <c r="F156" s="63" t="s">
        <v>2279</v>
      </c>
      <c r="G156" s="63"/>
      <c r="H156" s="115"/>
      <c r="I156" s="108" t="s">
        <v>2250</v>
      </c>
    </row>
    <row r="157" spans="1:9" x14ac:dyDescent="0.3">
      <c r="A157" s="114"/>
      <c r="B157" s="109"/>
      <c r="C157" s="107"/>
      <c r="D157" s="111">
        <f>P_LaneLineF</f>
        <v>0.6</v>
      </c>
      <c r="E157" s="201">
        <f>ROUND(N(D156)*N(D157),3)</f>
        <v>0</v>
      </c>
      <c r="F157" s="63"/>
      <c r="G157" s="63"/>
      <c r="H157" s="115"/>
      <c r="I157" s="108" t="s">
        <v>2280</v>
      </c>
    </row>
    <row r="158" spans="1:9" x14ac:dyDescent="0.3">
      <c r="A158" s="114"/>
      <c r="B158" s="109"/>
      <c r="C158" s="107"/>
      <c r="D158" s="111"/>
      <c r="E158" s="113"/>
      <c r="F158" s="63"/>
      <c r="G158" s="63"/>
      <c r="H158" s="115"/>
      <c r="I158" s="108"/>
    </row>
    <row r="159" spans="1:9" x14ac:dyDescent="0.3">
      <c r="A159" s="114"/>
      <c r="B159" s="109"/>
      <c r="C159" s="107"/>
      <c r="D159" s="111"/>
      <c r="E159" s="113"/>
      <c r="F159" s="63"/>
      <c r="G159" s="63"/>
      <c r="H159" s="115"/>
      <c r="I159" s="108"/>
    </row>
    <row r="160" spans="1:9" x14ac:dyDescent="0.3">
      <c r="A160" s="119" t="s">
        <v>1907</v>
      </c>
      <c r="B160" s="120"/>
      <c r="C160" s="121"/>
      <c r="D160" s="122"/>
      <c r="E160" s="123"/>
      <c r="F160" s="119" t="s">
        <v>1908</v>
      </c>
      <c r="G160" s="119" t="s">
        <v>63</v>
      </c>
      <c r="H160" s="124">
        <f>E162</f>
        <v>0</v>
      </c>
      <c r="I160" s="125" t="str">
        <f>IF(ABS(H160-'06_Road_Engine'!$E$72)&lt;=MAX(0.01,0.005*ABS('06_Road_Engine'!$E$72)),"OK","DIFF")</f>
        <v>OK</v>
      </c>
    </row>
    <row r="161" spans="1:9" x14ac:dyDescent="0.3">
      <c r="A161" s="114"/>
      <c r="B161" s="109"/>
      <c r="C161" s="107"/>
      <c r="D161" s="111">
        <f>L_Seal1/1000</f>
        <v>0</v>
      </c>
      <c r="E161" s="113"/>
      <c r="F161" s="63" t="s">
        <v>2281</v>
      </c>
      <c r="G161" s="63"/>
      <c r="H161" s="115"/>
      <c r="I161" s="108" t="s">
        <v>2275</v>
      </c>
    </row>
    <row r="162" spans="1:9" x14ac:dyDescent="0.3">
      <c r="A162" s="114"/>
      <c r="B162" s="109"/>
      <c r="C162" s="107"/>
      <c r="D162" s="111">
        <f>P_StopPerKm</f>
        <v>5</v>
      </c>
      <c r="E162" s="201">
        <f>ROUND(N(D161)*N(D162),3)</f>
        <v>0</v>
      </c>
      <c r="F162" s="63"/>
      <c r="G162" s="63"/>
      <c r="H162" s="115"/>
      <c r="I162" s="108" t="s">
        <v>2282</v>
      </c>
    </row>
    <row r="163" spans="1:9" x14ac:dyDescent="0.3">
      <c r="A163" s="114"/>
      <c r="B163" s="109"/>
      <c r="C163" s="107"/>
      <c r="D163" s="111"/>
      <c r="E163" s="113"/>
      <c r="F163" s="63"/>
      <c r="G163" s="63"/>
      <c r="H163" s="115"/>
      <c r="I163" s="108"/>
    </row>
    <row r="164" spans="1:9" x14ac:dyDescent="0.3">
      <c r="A164" s="114"/>
      <c r="B164" s="109"/>
      <c r="C164" s="107"/>
      <c r="D164" s="111"/>
      <c r="E164" s="113"/>
      <c r="F164" s="63"/>
      <c r="G164" s="63"/>
      <c r="H164" s="115"/>
      <c r="I164" s="108"/>
    </row>
    <row r="165" spans="1:9" x14ac:dyDescent="0.3">
      <c r="A165" s="119" t="s">
        <v>1909</v>
      </c>
      <c r="B165" s="120"/>
      <c r="C165" s="121"/>
      <c r="D165" s="122"/>
      <c r="E165" s="123"/>
      <c r="F165" s="119" t="s">
        <v>1910</v>
      </c>
      <c r="G165" s="119" t="s">
        <v>63</v>
      </c>
      <c r="H165" s="124">
        <f>E167</f>
        <v>0</v>
      </c>
      <c r="I165" s="125" t="str">
        <f>IF(ABS(H165-'06_Road_Engine'!$E$73)&lt;=MAX(0.01,0.005*ABS('06_Road_Engine'!$E$73)),"OK","DIFF")</f>
        <v>OK</v>
      </c>
    </row>
    <row r="166" spans="1:9" x14ac:dyDescent="0.3">
      <c r="A166" s="114"/>
      <c r="B166" s="109"/>
      <c r="C166" s="107"/>
      <c r="D166" s="111">
        <f>L_Seal1</f>
        <v>0</v>
      </c>
      <c r="E166" s="113"/>
      <c r="F166" s="63" t="s">
        <v>2283</v>
      </c>
      <c r="G166" s="63"/>
      <c r="H166" s="115"/>
      <c r="I166" s="108" t="s">
        <v>2250</v>
      </c>
    </row>
    <row r="167" spans="1:9" x14ac:dyDescent="0.3">
      <c r="A167" s="114"/>
      <c r="B167" s="109"/>
      <c r="C167" s="107"/>
      <c r="D167" s="111">
        <f>P_CentreLnF</f>
        <v>0.4</v>
      </c>
      <c r="E167" s="201">
        <f>ROUND(N(D166)*N(D167),3)</f>
        <v>0</v>
      </c>
      <c r="F167" s="63"/>
      <c r="G167" s="63"/>
      <c r="H167" s="115"/>
      <c r="I167" s="108" t="s">
        <v>2280</v>
      </c>
    </row>
    <row r="168" spans="1:9" x14ac:dyDescent="0.3">
      <c r="A168" s="114"/>
      <c r="B168" s="109"/>
      <c r="C168" s="107"/>
      <c r="D168" s="111"/>
      <c r="E168" s="113"/>
      <c r="F168" s="63"/>
      <c r="G168" s="63"/>
      <c r="H168" s="115"/>
      <c r="I168" s="108"/>
    </row>
    <row r="169" spans="1:9" x14ac:dyDescent="0.3">
      <c r="A169" s="114"/>
      <c r="B169" s="109"/>
      <c r="C169" s="107"/>
      <c r="D169" s="111"/>
      <c r="E169" s="113"/>
      <c r="F169" s="63"/>
      <c r="G169" s="63"/>
      <c r="H169" s="115"/>
      <c r="I169" s="108"/>
    </row>
    <row r="170" spans="1:9" x14ac:dyDescent="0.3">
      <c r="A170" s="119" t="s">
        <v>1911</v>
      </c>
      <c r="B170" s="120"/>
      <c r="C170" s="121"/>
      <c r="D170" s="122"/>
      <c r="E170" s="123"/>
      <c r="F170" s="119" t="s">
        <v>1912</v>
      </c>
      <c r="G170" s="119" t="s">
        <v>63</v>
      </c>
      <c r="H170" s="124">
        <f>E172</f>
        <v>0</v>
      </c>
      <c r="I170" s="125" t="str">
        <f>IF(ABS(H170-'06_Road_Engine'!$E$74)&lt;=MAX(0.01,0.005*ABS('06_Road_Engine'!$E$74)),"OK","DIFF")</f>
        <v>OK</v>
      </c>
    </row>
    <row r="171" spans="1:9" x14ac:dyDescent="0.3">
      <c r="A171" s="114"/>
      <c r="B171" s="109"/>
      <c r="C171" s="107"/>
      <c r="D171" s="111">
        <f>L_Seal1</f>
        <v>0</v>
      </c>
      <c r="E171" s="113"/>
      <c r="F171" s="63" t="s">
        <v>2284</v>
      </c>
      <c r="G171" s="63"/>
      <c r="H171" s="115"/>
      <c r="I171" s="108" t="s">
        <v>2250</v>
      </c>
    </row>
    <row r="172" spans="1:9" x14ac:dyDescent="0.3">
      <c r="A172" s="114"/>
      <c r="B172" s="109"/>
      <c r="C172" s="107"/>
      <c r="D172" s="111">
        <f>P_EdgeLnF</f>
        <v>2</v>
      </c>
      <c r="E172" s="201">
        <f>ROUND(N(D171)*N(D172),3)</f>
        <v>0</v>
      </c>
      <c r="F172" s="63"/>
      <c r="G172" s="63"/>
      <c r="H172" s="115"/>
      <c r="I172" s="108" t="s">
        <v>2285</v>
      </c>
    </row>
    <row r="173" spans="1:9" x14ac:dyDescent="0.3">
      <c r="A173" s="114"/>
      <c r="B173" s="109"/>
      <c r="C173" s="107"/>
      <c r="D173" s="111"/>
      <c r="E173" s="113"/>
      <c r="F173" s="63"/>
      <c r="G173" s="63"/>
      <c r="H173" s="115"/>
      <c r="I173" s="108"/>
    </row>
    <row r="174" spans="1:9" x14ac:dyDescent="0.3">
      <c r="A174" s="114"/>
      <c r="B174" s="109"/>
      <c r="C174" s="107"/>
      <c r="D174" s="111"/>
      <c r="E174" s="113"/>
      <c r="F174" s="63"/>
      <c r="G174" s="63"/>
      <c r="H174" s="115"/>
      <c r="I174" s="108"/>
    </row>
    <row r="175" spans="1:9" x14ac:dyDescent="0.3">
      <c r="A175" s="119" t="s">
        <v>1913</v>
      </c>
      <c r="B175" s="120"/>
      <c r="C175" s="121"/>
      <c r="D175" s="122"/>
      <c r="E175" s="123"/>
      <c r="F175" s="119" t="s">
        <v>1914</v>
      </c>
      <c r="G175" s="119" t="s">
        <v>63</v>
      </c>
      <c r="H175" s="124">
        <f>E177</f>
        <v>0</v>
      </c>
      <c r="I175" s="125" t="str">
        <f>IF(ABS(H175-'06_Road_Engine'!$E$75)&lt;=MAX(0.01,0.005*ABS('06_Road_Engine'!$E$75)),"OK","DIFF")</f>
        <v>OK</v>
      </c>
    </row>
    <row r="176" spans="1:9" x14ac:dyDescent="0.3">
      <c r="A176" s="114"/>
      <c r="B176" s="109"/>
      <c r="C176" s="107"/>
      <c r="D176" s="111">
        <f>L_Seal1/1000</f>
        <v>0</v>
      </c>
      <c r="E176" s="113"/>
      <c r="F176" s="63" t="s">
        <v>2286</v>
      </c>
      <c r="G176" s="63"/>
      <c r="H176" s="115"/>
      <c r="I176" s="108" t="s">
        <v>2275</v>
      </c>
    </row>
    <row r="177" spans="1:9" x14ac:dyDescent="0.3">
      <c r="A177" s="114"/>
      <c r="B177" s="109"/>
      <c r="C177" s="107"/>
      <c r="D177" s="111">
        <f>P_PedXF</f>
        <v>2</v>
      </c>
      <c r="E177" s="201">
        <f>ROUND(N(D176)*N(D177),3)</f>
        <v>0</v>
      </c>
      <c r="F177" s="63"/>
      <c r="G177" s="63"/>
      <c r="H177" s="115"/>
      <c r="I177" s="108" t="s">
        <v>2282</v>
      </c>
    </row>
    <row r="178" spans="1:9" x14ac:dyDescent="0.3">
      <c r="A178" s="114"/>
      <c r="B178" s="109"/>
      <c r="C178" s="107"/>
      <c r="D178" s="111"/>
      <c r="E178" s="113"/>
      <c r="F178" s="63"/>
      <c r="G178" s="63"/>
      <c r="H178" s="115"/>
      <c r="I178" s="108"/>
    </row>
    <row r="179" spans="1:9" x14ac:dyDescent="0.3">
      <c r="A179" s="114"/>
      <c r="B179" s="109"/>
      <c r="C179" s="107"/>
      <c r="D179" s="111"/>
      <c r="E179" s="113"/>
      <c r="F179" s="63"/>
      <c r="G179" s="63"/>
      <c r="H179" s="115"/>
      <c r="I179" s="108"/>
    </row>
    <row r="180" spans="1:9" x14ac:dyDescent="0.3">
      <c r="A180" s="119" t="s">
        <v>1915</v>
      </c>
      <c r="B180" s="120"/>
      <c r="C180" s="121"/>
      <c r="D180" s="122"/>
      <c r="E180" s="123"/>
      <c r="F180" s="119" t="s">
        <v>1916</v>
      </c>
      <c r="G180" s="119" t="s">
        <v>67</v>
      </c>
      <c r="H180" s="124">
        <f>E182</f>
        <v>0</v>
      </c>
      <c r="I180" s="125" t="str">
        <f>IF(ABS(H180-'06_Road_Engine'!$E$76)&lt;=MAX(0.01,0.005*ABS('06_Road_Engine'!$E$76)),"OK","DIFF")</f>
        <v>OK</v>
      </c>
    </row>
    <row r="181" spans="1:9" x14ac:dyDescent="0.3">
      <c r="A181" s="114"/>
      <c r="B181" s="109"/>
      <c r="C181" s="107"/>
      <c r="D181" s="111">
        <f>L_Seal1/1000</f>
        <v>0</v>
      </c>
      <c r="E181" s="113"/>
      <c r="F181" s="63" t="s">
        <v>2287</v>
      </c>
      <c r="G181" s="63"/>
      <c r="H181" s="115"/>
      <c r="I181" s="108" t="s">
        <v>2275</v>
      </c>
    </row>
    <row r="182" spans="1:9" x14ac:dyDescent="0.3">
      <c r="A182" s="114"/>
      <c r="B182" s="109"/>
      <c r="C182" s="107"/>
      <c r="D182" s="111">
        <f>P_RampsPerKm</f>
        <v>1</v>
      </c>
      <c r="E182" s="201">
        <f>ROUND(N(D181)*N(D182),3)</f>
        <v>0</v>
      </c>
      <c r="F182" s="63"/>
      <c r="G182" s="63"/>
      <c r="H182" s="115"/>
      <c r="I182" s="108" t="s">
        <v>2288</v>
      </c>
    </row>
    <row r="183" spans="1:9" x14ac:dyDescent="0.3">
      <c r="A183" s="114"/>
      <c r="B183" s="109"/>
      <c r="C183" s="107"/>
      <c r="D183" s="111"/>
      <c r="E183" s="113"/>
      <c r="F183" s="63"/>
      <c r="G183" s="63"/>
      <c r="H183" s="115"/>
      <c r="I183" s="108"/>
    </row>
    <row r="184" spans="1:9" x14ac:dyDescent="0.3">
      <c r="A184" s="114"/>
      <c r="B184" s="109"/>
      <c r="C184" s="107"/>
      <c r="D184" s="111"/>
      <c r="E184" s="113"/>
      <c r="F184" s="63"/>
      <c r="G184" s="63"/>
      <c r="H184" s="115"/>
      <c r="I184" s="108"/>
    </row>
    <row r="185" spans="1:9" x14ac:dyDescent="0.3">
      <c r="A185" s="119" t="s">
        <v>1917</v>
      </c>
      <c r="B185" s="120"/>
      <c r="C185" s="121"/>
      <c r="D185" s="122"/>
      <c r="E185" s="123"/>
      <c r="F185" s="119" t="s">
        <v>1918</v>
      </c>
      <c r="G185" s="119" t="s">
        <v>63</v>
      </c>
      <c r="H185" s="124">
        <f>E186</f>
        <v>0</v>
      </c>
      <c r="I185" s="125" t="str">
        <f>IF(ABS(H185-'06_Road_Engine'!$E$77)&lt;=MAX(0.01,0.005*ABS('06_Road_Engine'!$E$77)),"OK","DIFF")</f>
        <v>OK</v>
      </c>
    </row>
    <row r="186" spans="1:9" x14ac:dyDescent="0.3">
      <c r="A186" s="114"/>
      <c r="B186" s="109"/>
      <c r="C186" s="107"/>
      <c r="D186" s="111">
        <f>L_DitchEC</f>
        <v>0</v>
      </c>
      <c r="E186" s="201">
        <f>ROUND(N(D186),3)</f>
        <v>0</v>
      </c>
      <c r="F186" s="63" t="s">
        <v>1803</v>
      </c>
      <c r="G186" s="63"/>
      <c r="H186" s="115"/>
      <c r="I186" s="108" t="s">
        <v>2250</v>
      </c>
    </row>
    <row r="187" spans="1:9" x14ac:dyDescent="0.3">
      <c r="A187" s="114"/>
      <c r="B187" s="109"/>
      <c r="C187" s="107"/>
      <c r="D187" s="111"/>
      <c r="E187" s="113"/>
      <c r="F187" s="63"/>
      <c r="G187" s="63"/>
      <c r="H187" s="115"/>
      <c r="I187" s="108"/>
    </row>
    <row r="188" spans="1:9" x14ac:dyDescent="0.3">
      <c r="A188" s="114"/>
      <c r="B188" s="109"/>
      <c r="C188" s="107"/>
      <c r="D188" s="111"/>
      <c r="E188" s="113"/>
      <c r="F188" s="63"/>
      <c r="G188" s="63"/>
      <c r="H188" s="115"/>
      <c r="I188" s="108"/>
    </row>
    <row r="189" spans="1:9" x14ac:dyDescent="0.3">
      <c r="A189" s="119" t="s">
        <v>1920</v>
      </c>
      <c r="B189" s="120"/>
      <c r="C189" s="121"/>
      <c r="D189" s="122"/>
      <c r="E189" s="123"/>
      <c r="F189" s="119" t="s">
        <v>1921</v>
      </c>
      <c r="G189" s="119" t="s">
        <v>63</v>
      </c>
      <c r="H189" s="124">
        <f>E190</f>
        <v>0</v>
      </c>
      <c r="I189" s="125" t="str">
        <f>IF(ABS(H189-'06_Road_Engine'!$E$78)&lt;=MAX(0.01,0.005*ABS('06_Road_Engine'!$E$78)),"OK","DIFF")</f>
        <v>OK</v>
      </c>
    </row>
    <row r="190" spans="1:9" x14ac:dyDescent="0.3">
      <c r="A190" s="114"/>
      <c r="B190" s="109"/>
      <c r="C190" s="107"/>
      <c r="D190" s="111">
        <f>L_DitchRE</f>
        <v>0</v>
      </c>
      <c r="E190" s="201">
        <f>ROUND(N(D190),3)</f>
        <v>0</v>
      </c>
      <c r="F190" s="63" t="s">
        <v>1801</v>
      </c>
      <c r="G190" s="63"/>
      <c r="H190" s="115"/>
      <c r="I190" s="108" t="s">
        <v>2250</v>
      </c>
    </row>
    <row r="191" spans="1:9" x14ac:dyDescent="0.3">
      <c r="A191" s="114"/>
      <c r="B191" s="109"/>
      <c r="C191" s="107"/>
      <c r="D191" s="111"/>
      <c r="E191" s="113"/>
      <c r="F191" s="63"/>
      <c r="G191" s="63"/>
      <c r="H191" s="115"/>
      <c r="I191" s="108"/>
    </row>
    <row r="192" spans="1:9" x14ac:dyDescent="0.3">
      <c r="A192" s="114"/>
      <c r="B192" s="109"/>
      <c r="C192" s="107"/>
      <c r="D192" s="111"/>
      <c r="E192" s="113"/>
      <c r="F192" s="63"/>
      <c r="G192" s="63"/>
      <c r="H192" s="115"/>
      <c r="I192" s="108"/>
    </row>
    <row r="193" spans="1:9" x14ac:dyDescent="0.3">
      <c r="A193" s="119" t="s">
        <v>1922</v>
      </c>
      <c r="B193" s="120"/>
      <c r="C193" s="121"/>
      <c r="D193" s="122"/>
      <c r="E193" s="123"/>
      <c r="F193" s="119" t="s">
        <v>1923</v>
      </c>
      <c r="G193" s="119" t="s">
        <v>63</v>
      </c>
      <c r="H193" s="124">
        <f>E194</f>
        <v>0</v>
      </c>
      <c r="I193" s="125" t="str">
        <f>IF(ABS(H193-'06_Road_Engine'!$E$79)&lt;=MAX(0.01,0.005*ABS('06_Road_Engine'!$E$79)),"OK","DIFF")</f>
        <v>OK</v>
      </c>
    </row>
    <row r="194" spans="1:9" x14ac:dyDescent="0.3">
      <c r="A194" s="114"/>
      <c r="B194" s="109"/>
      <c r="C194" s="107"/>
      <c r="D194" s="111">
        <f>L_DitchCL</f>
        <v>0</v>
      </c>
      <c r="E194" s="201">
        <f>ROUND(N(D194),3)</f>
        <v>0</v>
      </c>
      <c r="F194" s="63" t="s">
        <v>1799</v>
      </c>
      <c r="G194" s="63"/>
      <c r="H194" s="115"/>
      <c r="I194" s="108" t="s">
        <v>2250</v>
      </c>
    </row>
    <row r="195" spans="1:9" x14ac:dyDescent="0.3">
      <c r="A195" s="114"/>
      <c r="B195" s="109"/>
      <c r="C195" s="107"/>
      <c r="D195" s="111"/>
      <c r="E195" s="113"/>
      <c r="F195" s="63"/>
      <c r="G195" s="63"/>
      <c r="H195" s="115"/>
      <c r="I195" s="108"/>
    </row>
    <row r="196" spans="1:9" x14ac:dyDescent="0.3">
      <c r="A196" s="114"/>
      <c r="B196" s="109"/>
      <c r="C196" s="107"/>
      <c r="D196" s="111"/>
      <c r="E196" s="113"/>
      <c r="F196" s="63"/>
      <c r="G196" s="63"/>
      <c r="H196" s="115"/>
      <c r="I196" s="108"/>
    </row>
    <row r="197" spans="1:9" x14ac:dyDescent="0.3">
      <c r="A197" s="119" t="s">
        <v>1924</v>
      </c>
      <c r="B197" s="120"/>
      <c r="C197" s="121"/>
      <c r="D197" s="122"/>
      <c r="E197" s="123"/>
      <c r="F197" s="119" t="s">
        <v>1925</v>
      </c>
      <c r="G197" s="119" t="s">
        <v>63</v>
      </c>
      <c r="H197" s="124">
        <f>E198</f>
        <v>0</v>
      </c>
      <c r="I197" s="125" t="str">
        <f>IF(ABS(H197-'06_Road_Engine'!$E$80)&lt;=MAX(0.01,0.005*ABS('06_Road_Engine'!$E$80)),"OK","DIFF")</f>
        <v>OK</v>
      </c>
    </row>
    <row r="198" spans="1:9" x14ac:dyDescent="0.3">
      <c r="A198" s="114"/>
      <c r="B198" s="109"/>
      <c r="C198" s="107"/>
      <c r="D198" s="111">
        <f>L_Turn</f>
        <v>0</v>
      </c>
      <c r="E198" s="201">
        <f>ROUND(N(D198),3)</f>
        <v>0</v>
      </c>
      <c r="F198" s="63" t="s">
        <v>1821</v>
      </c>
      <c r="G198" s="63"/>
      <c r="H198" s="115"/>
      <c r="I198" s="108" t="s">
        <v>2250</v>
      </c>
    </row>
    <row r="199" spans="1:9" x14ac:dyDescent="0.3">
      <c r="A199" s="114"/>
      <c r="B199" s="109"/>
      <c r="C199" s="107"/>
      <c r="D199" s="111"/>
      <c r="E199" s="113"/>
      <c r="F199" s="63"/>
      <c r="G199" s="63"/>
      <c r="H199" s="115"/>
      <c r="I199" s="108"/>
    </row>
    <row r="200" spans="1:9" x14ac:dyDescent="0.3">
      <c r="A200" s="114"/>
      <c r="B200" s="109"/>
      <c r="C200" s="107"/>
      <c r="D200" s="111"/>
      <c r="E200" s="113"/>
      <c r="F200" s="63"/>
      <c r="G200" s="63"/>
      <c r="H200" s="115"/>
      <c r="I200" s="108"/>
    </row>
    <row r="201" spans="1:9" x14ac:dyDescent="0.3">
      <c r="A201" s="119" t="s">
        <v>1926</v>
      </c>
      <c r="B201" s="120"/>
      <c r="C201" s="121"/>
      <c r="D201" s="122"/>
      <c r="E201" s="123"/>
      <c r="F201" s="119" t="s">
        <v>1927</v>
      </c>
      <c r="G201" s="119" t="s">
        <v>67</v>
      </c>
      <c r="H201" s="124">
        <f>E203</f>
        <v>0</v>
      </c>
      <c r="I201" s="125" t="str">
        <f>IF(ABS(H201-'06_Road_Engine'!$E$81)&lt;=MAX(0.01,0.005*ABS('06_Road_Engine'!$E$81)),"OK","DIFF")</f>
        <v>OK</v>
      </c>
    </row>
    <row r="202" spans="1:9" x14ac:dyDescent="0.3">
      <c r="A202" s="114"/>
      <c r="B202" s="109"/>
      <c r="C202" s="107"/>
      <c r="D202" s="111">
        <f>L_Scour</f>
        <v>0</v>
      </c>
      <c r="E202" s="113"/>
      <c r="F202" s="63" t="s">
        <v>200</v>
      </c>
      <c r="G202" s="63"/>
      <c r="H202" s="115"/>
      <c r="I202" s="108" t="s">
        <v>2289</v>
      </c>
    </row>
    <row r="203" spans="1:9" x14ac:dyDescent="0.3">
      <c r="A203" s="114"/>
      <c r="B203" s="109"/>
      <c r="C203" s="107"/>
      <c r="D203" s="112">
        <f>IF(S_Scour=0,0,1/S_Scour)</f>
        <v>0</v>
      </c>
      <c r="E203" s="201">
        <f>ROUND(N(D202)*N(D203),3)</f>
        <v>0</v>
      </c>
      <c r="F203" s="63"/>
      <c r="G203" s="63"/>
      <c r="H203" s="115"/>
      <c r="I203" s="108" t="s">
        <v>2290</v>
      </c>
    </row>
    <row r="204" spans="1:9" x14ac:dyDescent="0.3">
      <c r="A204" s="114"/>
      <c r="B204" s="109"/>
      <c r="C204" s="107"/>
      <c r="D204" s="111"/>
      <c r="E204" s="113"/>
      <c r="F204" s="63"/>
      <c r="G204" s="63"/>
      <c r="H204" s="115"/>
      <c r="I204" s="108"/>
    </row>
    <row r="205" spans="1:9" x14ac:dyDescent="0.3">
      <c r="A205" s="114"/>
      <c r="B205" s="109"/>
      <c r="C205" s="107"/>
      <c r="D205" s="111"/>
      <c r="E205" s="113"/>
      <c r="F205" s="63"/>
      <c r="G205" s="63"/>
      <c r="H205" s="115"/>
      <c r="I205" s="108"/>
    </row>
    <row r="206" spans="1:9" x14ac:dyDescent="0.3">
      <c r="A206" s="119" t="s">
        <v>1929</v>
      </c>
      <c r="B206" s="120"/>
      <c r="C206" s="121"/>
      <c r="D206" s="122"/>
      <c r="E206" s="123"/>
      <c r="F206" s="119" t="s">
        <v>1930</v>
      </c>
      <c r="G206" s="119" t="s">
        <v>63</v>
      </c>
      <c r="H206" s="124">
        <f>E207</f>
        <v>0</v>
      </c>
      <c r="I206" s="125" t="str">
        <f>IF(ABS(H206-'06_Road_Engine'!$E$82)&lt;=MAX(0.01,0.005*ABS('06_Road_Engine'!$E$82)),"OK","DIFF")</f>
        <v>OK</v>
      </c>
    </row>
    <row r="207" spans="1:9" x14ac:dyDescent="0.3">
      <c r="A207" s="114"/>
      <c r="B207" s="109"/>
      <c r="C207" s="107"/>
      <c r="D207" s="111">
        <f>L_UD45</f>
        <v>0</v>
      </c>
      <c r="E207" s="201">
        <f>ROUND(N(D207),3)</f>
        <v>0</v>
      </c>
      <c r="F207" s="63" t="s">
        <v>1805</v>
      </c>
      <c r="G207" s="63"/>
      <c r="H207" s="115"/>
      <c r="I207" s="108" t="s">
        <v>2250</v>
      </c>
    </row>
    <row r="208" spans="1:9" x14ac:dyDescent="0.3">
      <c r="A208" s="114"/>
      <c r="B208" s="109"/>
      <c r="C208" s="107"/>
      <c r="D208" s="111"/>
      <c r="E208" s="113"/>
      <c r="F208" s="63"/>
      <c r="G208" s="63"/>
      <c r="H208" s="115"/>
      <c r="I208" s="108"/>
    </row>
    <row r="209" spans="1:9" x14ac:dyDescent="0.3">
      <c r="A209" s="114"/>
      <c r="B209" s="109"/>
      <c r="C209" s="107"/>
      <c r="D209" s="111"/>
      <c r="E209" s="113"/>
      <c r="F209" s="63"/>
      <c r="G209" s="63"/>
      <c r="H209" s="115"/>
      <c r="I209" s="108"/>
    </row>
    <row r="210" spans="1:9" x14ac:dyDescent="0.3">
      <c r="A210" s="119" t="s">
        <v>1931</v>
      </c>
      <c r="B210" s="120"/>
      <c r="C210" s="121"/>
      <c r="D210" s="122"/>
      <c r="E210" s="123"/>
      <c r="F210" s="119" t="s">
        <v>1932</v>
      </c>
      <c r="G210" s="119" t="s">
        <v>63</v>
      </c>
      <c r="H210" s="124">
        <f>E211</f>
        <v>0</v>
      </c>
      <c r="I210" s="125" t="str">
        <f>IF(ABS(H210-'06_Road_Engine'!$E$83)&lt;=MAX(0.01,0.005*ABS('06_Road_Engine'!$E$83)),"OK","DIFF")</f>
        <v>OK</v>
      </c>
    </row>
    <row r="211" spans="1:9" x14ac:dyDescent="0.3">
      <c r="A211" s="114"/>
      <c r="B211" s="109"/>
      <c r="C211" s="107"/>
      <c r="D211" s="111">
        <f>L_UD60</f>
        <v>0</v>
      </c>
      <c r="E211" s="201">
        <f>ROUND(N(D211),3)</f>
        <v>0</v>
      </c>
      <c r="F211" s="63" t="s">
        <v>1807</v>
      </c>
      <c r="G211" s="63"/>
      <c r="H211" s="115"/>
      <c r="I211" s="108" t="s">
        <v>2250</v>
      </c>
    </row>
    <row r="212" spans="1:9" x14ac:dyDescent="0.3">
      <c r="A212" s="114"/>
      <c r="B212" s="109"/>
      <c r="C212" s="107"/>
      <c r="D212" s="111"/>
      <c r="E212" s="113"/>
      <c r="F212" s="63"/>
      <c r="G212" s="63"/>
      <c r="H212" s="115"/>
      <c r="I212" s="108"/>
    </row>
    <row r="213" spans="1:9" x14ac:dyDescent="0.3">
      <c r="A213" s="114"/>
      <c r="B213" s="109"/>
      <c r="C213" s="107"/>
      <c r="D213" s="111"/>
      <c r="E213" s="113"/>
      <c r="F213" s="63"/>
      <c r="G213" s="63"/>
      <c r="H213" s="115"/>
      <c r="I213" s="108"/>
    </row>
    <row r="214" spans="1:9" x14ac:dyDescent="0.3">
      <c r="A214" s="119" t="s">
        <v>1933</v>
      </c>
      <c r="B214" s="120"/>
      <c r="C214" s="121"/>
      <c r="D214" s="122"/>
      <c r="E214" s="123"/>
      <c r="F214" s="119" t="s">
        <v>1934</v>
      </c>
      <c r="G214" s="119" t="s">
        <v>63</v>
      </c>
      <c r="H214" s="124">
        <f>E215</f>
        <v>0</v>
      </c>
      <c r="I214" s="125" t="str">
        <f>IF(ABS(H214-'06_Road_Engine'!$E$84)&lt;=MAX(0.01,0.005*ABS('06_Road_Engine'!$E$84)),"OK","DIFF")</f>
        <v>OK</v>
      </c>
    </row>
    <row r="215" spans="1:9" x14ac:dyDescent="0.3">
      <c r="A215" s="114"/>
      <c r="B215" s="109"/>
      <c r="C215" s="107"/>
      <c r="D215" s="111">
        <f>L_UD75</f>
        <v>0</v>
      </c>
      <c r="E215" s="201">
        <f>ROUND(N(D215),3)</f>
        <v>0</v>
      </c>
      <c r="F215" s="63" t="s">
        <v>1809</v>
      </c>
      <c r="G215" s="63"/>
      <c r="H215" s="115"/>
      <c r="I215" s="108" t="s">
        <v>2250</v>
      </c>
    </row>
    <row r="216" spans="1:9" x14ac:dyDescent="0.3">
      <c r="A216" s="114"/>
      <c r="B216" s="109"/>
      <c r="C216" s="107"/>
      <c r="D216" s="111"/>
      <c r="E216" s="113"/>
      <c r="F216" s="63"/>
      <c r="G216" s="63"/>
      <c r="H216" s="115"/>
      <c r="I216" s="108"/>
    </row>
    <row r="217" spans="1:9" x14ac:dyDescent="0.3">
      <c r="A217" s="114"/>
      <c r="B217" s="109"/>
      <c r="C217" s="107"/>
      <c r="D217" s="111"/>
      <c r="E217" s="113"/>
      <c r="F217" s="63"/>
      <c r="G217" s="63"/>
      <c r="H217" s="115"/>
      <c r="I217" s="108"/>
    </row>
    <row r="218" spans="1:9" x14ac:dyDescent="0.3">
      <c r="A218" s="119" t="s">
        <v>1935</v>
      </c>
      <c r="B218" s="120"/>
      <c r="C218" s="121"/>
      <c r="D218" s="122"/>
      <c r="E218" s="123"/>
      <c r="F218" s="119" t="s">
        <v>1936</v>
      </c>
      <c r="G218" s="119" t="s">
        <v>63</v>
      </c>
      <c r="H218" s="124">
        <f>E219</f>
        <v>0</v>
      </c>
      <c r="I218" s="125" t="str">
        <f>IF(ABS(H218-'06_Road_Engine'!$E$85)&lt;=MAX(0.01,0.005*ABS('06_Road_Engine'!$E$85)),"OK","DIFF")</f>
        <v>OK</v>
      </c>
    </row>
    <row r="219" spans="1:9" x14ac:dyDescent="0.3">
      <c r="A219" s="114"/>
      <c r="B219" s="109"/>
      <c r="C219" s="107"/>
      <c r="D219" s="111">
        <f>L_UD90</f>
        <v>0</v>
      </c>
      <c r="E219" s="201">
        <f>ROUND(N(D219),3)</f>
        <v>0</v>
      </c>
      <c r="F219" s="63" t="s">
        <v>1811</v>
      </c>
      <c r="G219" s="63"/>
      <c r="H219" s="115"/>
      <c r="I219" s="108" t="s">
        <v>2250</v>
      </c>
    </row>
    <row r="220" spans="1:9" x14ac:dyDescent="0.3">
      <c r="A220" s="114"/>
      <c r="B220" s="109"/>
      <c r="C220" s="107"/>
      <c r="D220" s="111"/>
      <c r="E220" s="113"/>
      <c r="F220" s="63"/>
      <c r="G220" s="63"/>
      <c r="H220" s="115"/>
      <c r="I220" s="108"/>
    </row>
    <row r="221" spans="1:9" x14ac:dyDescent="0.3">
      <c r="A221" s="114"/>
      <c r="B221" s="109"/>
      <c r="C221" s="107"/>
      <c r="D221" s="111"/>
      <c r="E221" s="113"/>
      <c r="F221" s="63"/>
      <c r="G221" s="63"/>
      <c r="H221" s="115"/>
      <c r="I221" s="108"/>
    </row>
    <row r="222" spans="1:9" x14ac:dyDescent="0.3">
      <c r="A222" s="119" t="s">
        <v>1937</v>
      </c>
      <c r="B222" s="120"/>
      <c r="C222" s="121"/>
      <c r="D222" s="122"/>
      <c r="E222" s="123"/>
      <c r="F222" s="119" t="s">
        <v>1938</v>
      </c>
      <c r="G222" s="119" t="s">
        <v>63</v>
      </c>
      <c r="H222" s="124">
        <f>E223</f>
        <v>0</v>
      </c>
      <c r="I222" s="125" t="str">
        <f>IF(ABS(H222-'06_Road_Engine'!$E$86)&lt;=MAX(0.01,0.005*ABS('06_Road_Engine'!$E$86)),"OK","DIFF")</f>
        <v>OK</v>
      </c>
    </row>
    <row r="223" spans="1:9" x14ac:dyDescent="0.3">
      <c r="A223" s="114"/>
      <c r="B223" s="109"/>
      <c r="C223" s="107"/>
      <c r="D223" s="111">
        <f>L_Trap</f>
        <v>0</v>
      </c>
      <c r="E223" s="201">
        <f>ROUND(N(D223),3)</f>
        <v>0</v>
      </c>
      <c r="F223" s="63" t="s">
        <v>1813</v>
      </c>
      <c r="G223" s="63"/>
      <c r="H223" s="115"/>
      <c r="I223" s="108" t="s">
        <v>2250</v>
      </c>
    </row>
    <row r="224" spans="1:9" x14ac:dyDescent="0.3">
      <c r="A224" s="114"/>
      <c r="B224" s="109"/>
      <c r="C224" s="107"/>
      <c r="D224" s="111"/>
      <c r="E224" s="113"/>
      <c r="F224" s="63"/>
      <c r="G224" s="63"/>
      <c r="H224" s="115"/>
      <c r="I224" s="108"/>
    </row>
    <row r="225" spans="1:9" x14ac:dyDescent="0.3">
      <c r="A225" s="114"/>
      <c r="B225" s="109"/>
      <c r="C225" s="107"/>
      <c r="D225" s="111"/>
      <c r="E225" s="113"/>
      <c r="F225" s="63"/>
      <c r="G225" s="63"/>
      <c r="H225" s="115"/>
      <c r="I225" s="108"/>
    </row>
    <row r="226" spans="1:9" x14ac:dyDescent="0.3">
      <c r="A226" s="119" t="s">
        <v>1939</v>
      </c>
      <c r="B226" s="120"/>
      <c r="C226" s="121"/>
      <c r="D226" s="122"/>
      <c r="E226" s="123"/>
      <c r="F226" s="119" t="s">
        <v>1940</v>
      </c>
      <c r="G226" s="119" t="s">
        <v>63</v>
      </c>
      <c r="H226" s="124">
        <f>E227</f>
        <v>0</v>
      </c>
      <c r="I226" s="125" t="str">
        <f>IF(ABS(H226-'06_Road_Engine'!$E$87)&lt;=MAX(0.01,0.005*ABS('06_Road_Engine'!$E$87)),"OK","DIFF")</f>
        <v>OK</v>
      </c>
    </row>
    <row r="227" spans="1:9" x14ac:dyDescent="0.3">
      <c r="A227" s="114"/>
      <c r="B227" s="109"/>
      <c r="C227" s="107"/>
      <c r="D227" s="111">
        <f>L_Kerb</f>
        <v>0</v>
      </c>
      <c r="E227" s="201">
        <f>ROUND(N(D227),3)</f>
        <v>0</v>
      </c>
      <c r="F227" s="63" t="s">
        <v>1815</v>
      </c>
      <c r="G227" s="63"/>
      <c r="H227" s="115"/>
      <c r="I227" s="108" t="s">
        <v>2250</v>
      </c>
    </row>
    <row r="228" spans="1:9" x14ac:dyDescent="0.3">
      <c r="A228" s="114"/>
      <c r="B228" s="109"/>
      <c r="C228" s="107"/>
      <c r="D228" s="111"/>
      <c r="E228" s="113"/>
      <c r="F228" s="63"/>
      <c r="G228" s="63"/>
      <c r="H228" s="115"/>
      <c r="I228" s="108"/>
    </row>
    <row r="229" spans="1:9" x14ac:dyDescent="0.3">
      <c r="A229" s="114"/>
      <c r="B229" s="109"/>
      <c r="C229" s="107"/>
      <c r="D229" s="111"/>
      <c r="E229" s="113"/>
      <c r="F229" s="63"/>
      <c r="G229" s="63"/>
      <c r="H229" s="115"/>
      <c r="I229" s="108"/>
    </row>
    <row r="230" spans="1:9" x14ac:dyDescent="0.3">
      <c r="A230" s="119" t="s">
        <v>1941</v>
      </c>
      <c r="B230" s="120"/>
      <c r="C230" s="121"/>
      <c r="D230" s="122"/>
      <c r="E230" s="123"/>
      <c r="F230" s="119" t="s">
        <v>1942</v>
      </c>
      <c r="G230" s="119" t="s">
        <v>63</v>
      </c>
      <c r="H230" s="124">
        <f>E231</f>
        <v>0</v>
      </c>
      <c r="I230" s="125" t="str">
        <f>IF(ABS(H230-'06_Road_Engine'!$E$88)&lt;=MAX(0.01,0.005*ABS('06_Road_Engine'!$E$88)),"OK","DIFF")</f>
        <v>OK</v>
      </c>
    </row>
    <row r="231" spans="1:9" x14ac:dyDescent="0.3">
      <c r="A231" s="114"/>
      <c r="B231" s="109"/>
      <c r="C231" s="107"/>
      <c r="D231" s="111">
        <f>L_RetW</f>
        <v>0</v>
      </c>
      <c r="E231" s="201">
        <f>ROUND(N(D231),3)</f>
        <v>0</v>
      </c>
      <c r="F231" s="63" t="s">
        <v>1824</v>
      </c>
      <c r="G231" s="63"/>
      <c r="H231" s="115"/>
      <c r="I231" s="108" t="s">
        <v>2250</v>
      </c>
    </row>
    <row r="232" spans="1:9" x14ac:dyDescent="0.3">
      <c r="A232" s="114"/>
      <c r="B232" s="109"/>
      <c r="C232" s="107"/>
      <c r="D232" s="111"/>
      <c r="E232" s="113"/>
      <c r="F232" s="63"/>
      <c r="G232" s="63"/>
      <c r="H232" s="115"/>
      <c r="I232" s="108"/>
    </row>
    <row r="233" spans="1:9" x14ac:dyDescent="0.3">
      <c r="A233" s="114"/>
      <c r="B233" s="109"/>
      <c r="C233" s="107"/>
      <c r="D233" s="111"/>
      <c r="E233" s="113"/>
      <c r="F233" s="63"/>
      <c r="G233" s="63"/>
      <c r="H233" s="115"/>
      <c r="I233" s="108"/>
    </row>
    <row r="234" spans="1:9" x14ac:dyDescent="0.3">
      <c r="A234" s="119" t="s">
        <v>1944</v>
      </c>
      <c r="B234" s="120"/>
      <c r="C234" s="121"/>
      <c r="D234" s="122"/>
      <c r="E234" s="123"/>
      <c r="F234" s="119" t="s">
        <v>1945</v>
      </c>
      <c r="G234" s="119" t="s">
        <v>1404</v>
      </c>
      <c r="H234" s="124">
        <f>E237</f>
        <v>0</v>
      </c>
      <c r="I234" s="125" t="str">
        <f>IF(ABS(H234-'06_Road_Engine'!$E$89)&lt;=MAX(0.01,0.005*ABS('06_Road_Engine'!$E$89)),"OK","DIFF")</f>
        <v>OK</v>
      </c>
    </row>
    <row r="235" spans="1:9" x14ac:dyDescent="0.3">
      <c r="A235" s="114"/>
      <c r="B235" s="109"/>
      <c r="C235" s="107"/>
      <c r="D235" s="202">
        <f>ROUND(0.26922*'06_Road_Engine'!$E$82+0.372*'06_Road_Engine'!$E$83+0.495*'06_Road_Engine'!$E$84+0.63*'06_Road_Engine'!$E$85,3)</f>
        <v>0</v>
      </c>
      <c r="E235" s="113"/>
      <c r="F235" s="63" t="s">
        <v>2291</v>
      </c>
      <c r="G235" s="63"/>
      <c r="H235" s="115"/>
      <c r="I235" s="108" t="s">
        <v>2292</v>
      </c>
    </row>
    <row r="236" spans="1:9" x14ac:dyDescent="0.3">
      <c r="A236" s="114"/>
      <c r="B236" s="109"/>
      <c r="C236" s="107"/>
      <c r="D236" s="111">
        <f>P_FineStr</f>
        <v>0.55000000000000004</v>
      </c>
      <c r="E236" s="113"/>
      <c r="F236" s="63"/>
      <c r="G236" s="63"/>
      <c r="H236" s="115"/>
      <c r="I236" s="108" t="s">
        <v>2293</v>
      </c>
    </row>
    <row r="237" spans="1:9" x14ac:dyDescent="0.3">
      <c r="A237" s="114"/>
      <c r="B237" s="109"/>
      <c r="C237" s="107"/>
      <c r="D237" s="111">
        <f>P_HaulSand</f>
        <v>15</v>
      </c>
      <c r="E237" s="201">
        <f>ROUND(N(D235)*N(D236)*N(D237),3)</f>
        <v>0</v>
      </c>
      <c r="F237" s="63"/>
      <c r="G237" s="63"/>
      <c r="H237" s="115"/>
      <c r="I237" s="108" t="s">
        <v>2273</v>
      </c>
    </row>
    <row r="238" spans="1:9" x14ac:dyDescent="0.3">
      <c r="A238" s="114"/>
      <c r="B238" s="109"/>
      <c r="C238" s="107"/>
      <c r="D238" s="111"/>
      <c r="E238" s="113"/>
      <c r="F238" s="63"/>
      <c r="G238" s="63"/>
      <c r="H238" s="115"/>
      <c r="I238" s="108"/>
    </row>
    <row r="239" spans="1:9" x14ac:dyDescent="0.3">
      <c r="A239" s="114"/>
      <c r="B239" s="109"/>
      <c r="C239" s="107"/>
      <c r="D239" s="111"/>
      <c r="E239" s="113"/>
      <c r="F239" s="63"/>
      <c r="G239" s="63"/>
      <c r="H239" s="115"/>
      <c r="I239" s="108"/>
    </row>
    <row r="240" spans="1:9" x14ac:dyDescent="0.3">
      <c r="A240" s="119" t="s">
        <v>1946</v>
      </c>
      <c r="B240" s="120"/>
      <c r="C240" s="121"/>
      <c r="D240" s="122"/>
      <c r="E240" s="123"/>
      <c r="F240" s="119" t="s">
        <v>1947</v>
      </c>
      <c r="G240" s="119" t="s">
        <v>1404</v>
      </c>
      <c r="H240" s="124">
        <f>E243</f>
        <v>0</v>
      </c>
      <c r="I240" s="125" t="str">
        <f>IF(ABS(H240-'06_Road_Engine'!$E$90)&lt;=MAX(0.01,0.005*ABS('06_Road_Engine'!$E$90)),"OK","DIFF")</f>
        <v>OK</v>
      </c>
    </row>
    <row r="241" spans="1:9" x14ac:dyDescent="0.3">
      <c r="A241" s="114"/>
      <c r="B241" s="109"/>
      <c r="C241" s="107"/>
      <c r="D241" s="202">
        <f>ROUND(0.26922*'06_Road_Engine'!$E$82+0.372*'06_Road_Engine'!$E$83+0.495*'06_Road_Engine'!$E$84+0.63*'06_Road_Engine'!$E$85,3)</f>
        <v>0</v>
      </c>
      <c r="E241" s="113"/>
      <c r="F241" s="63" t="s">
        <v>2294</v>
      </c>
      <c r="G241" s="63"/>
      <c r="H241" s="115"/>
      <c r="I241" s="108" t="s">
        <v>2292</v>
      </c>
    </row>
    <row r="242" spans="1:9" x14ac:dyDescent="0.3">
      <c r="A242" s="114"/>
      <c r="B242" s="109"/>
      <c r="C242" s="107"/>
      <c r="D242" s="111">
        <f>P_CoarseStr</f>
        <v>0.88</v>
      </c>
      <c r="E242" s="113"/>
      <c r="F242" s="63"/>
      <c r="G242" s="63"/>
      <c r="H242" s="115"/>
      <c r="I242" s="108" t="s">
        <v>2295</v>
      </c>
    </row>
    <row r="243" spans="1:9" x14ac:dyDescent="0.3">
      <c r="A243" s="114"/>
      <c r="B243" s="109"/>
      <c r="C243" s="107"/>
      <c r="D243" s="111">
        <f>P_HaulCoarse</f>
        <v>25</v>
      </c>
      <c r="E243" s="201">
        <f>ROUND(N(D241)*N(D242)*N(D243),3)</f>
        <v>0</v>
      </c>
      <c r="F243" s="63"/>
      <c r="G243" s="63"/>
      <c r="H243" s="115"/>
      <c r="I243" s="108" t="s">
        <v>2273</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1519"/>
  <sheetViews>
    <sheetView workbookViewId="0">
      <pane ySplit="5" topLeftCell="A65" activePane="bottomLeft" state="frozen"/>
      <selection activeCell="C13" sqref="C13"/>
      <selection pane="bottomLeft" activeCell="C13" sqref="C13"/>
    </sheetView>
  </sheetViews>
  <sheetFormatPr defaultRowHeight="14.4" x14ac:dyDescent="0.3"/>
  <cols>
    <col min="1" max="2" width="11.44140625" customWidth="1"/>
    <col min="3" max="3" width="3" customWidth="1"/>
    <col min="4" max="4" width="11.44140625" customWidth="1"/>
    <col min="5" max="5" width="13.6640625" customWidth="1"/>
    <col min="6" max="6" width="46.33203125" customWidth="1"/>
    <col min="7" max="7" width="7.44140625" customWidth="1"/>
    <col min="8" max="8" width="14.44140625" customWidth="1"/>
    <col min="9" max="9" width="25.88671875" customWidth="1"/>
  </cols>
  <sheetData>
    <row r="1" spans="1:9" ht="15.6" customHeight="1" x14ac:dyDescent="0.3">
      <c r="A1" s="53" t="s">
        <v>2296</v>
      </c>
    </row>
    <row r="2" spans="1:9" x14ac:dyDescent="0.3">
      <c r="A2" s="54" t="s">
        <v>2297</v>
      </c>
    </row>
    <row r="3" spans="1:9" x14ac:dyDescent="0.3">
      <c r="A3" s="28">
        <f>P_RoadName</f>
        <v>0</v>
      </c>
    </row>
    <row r="5" spans="1:9" ht="28.8" customHeight="1" thickBot="1" x14ac:dyDescent="0.35">
      <c r="A5" s="153" t="s">
        <v>1712</v>
      </c>
      <c r="B5" s="153" t="s">
        <v>2298</v>
      </c>
      <c r="C5" s="153"/>
      <c r="D5" s="153" t="s">
        <v>1629</v>
      </c>
      <c r="E5" s="153" t="s">
        <v>1630</v>
      </c>
      <c r="F5" s="153" t="s">
        <v>1713</v>
      </c>
      <c r="G5" s="153" t="s">
        <v>43</v>
      </c>
      <c r="H5" s="153" t="s">
        <v>2244</v>
      </c>
      <c r="I5" s="153" t="s">
        <v>2245</v>
      </c>
    </row>
    <row r="6" spans="1:9" x14ac:dyDescent="0.3">
      <c r="A6" s="154" t="s">
        <v>2299</v>
      </c>
      <c r="B6" s="157"/>
      <c r="C6" s="154"/>
      <c r="D6" s="157"/>
      <c r="E6" s="126"/>
      <c r="F6" s="154"/>
      <c r="G6" s="154"/>
      <c r="H6" s="155"/>
      <c r="I6" s="156"/>
    </row>
    <row r="7" spans="1:9" x14ac:dyDescent="0.3">
      <c r="A7" s="131" t="s">
        <v>1405</v>
      </c>
      <c r="B7" s="158"/>
      <c r="C7" s="131"/>
      <c r="D7" s="158"/>
      <c r="E7" s="132"/>
      <c r="F7" s="131" t="str">
        <f>IF('03_Pipe_Engine'!$C$6=0,"none in this project",'03_Pipe_Engine'!$C$6&amp;" nr,  total length "&amp;'03_Pipe_Engine'!$D$6&amp;" m")</f>
        <v>none in this project</v>
      </c>
      <c r="G7" s="131"/>
      <c r="H7" s="133"/>
      <c r="I7" s="134"/>
    </row>
    <row r="8" spans="1:9" x14ac:dyDescent="0.3">
      <c r="A8" s="119" t="s">
        <v>1322</v>
      </c>
      <c r="B8" s="122"/>
      <c r="C8" s="119"/>
      <c r="D8" s="122"/>
      <c r="E8" s="123"/>
      <c r="F8" s="119" t="s">
        <v>1373</v>
      </c>
      <c r="G8" s="119" t="s">
        <v>300</v>
      </c>
      <c r="H8" s="124">
        <f>E11+E16+E21+E26</f>
        <v>0</v>
      </c>
      <c r="I8" s="125" t="str">
        <f>IF(ABS(H8-'03_Pipe_Engine'!$Y$6)&lt;=MAX(0.01,0.005*ABS('03_Pipe_Engine'!$Y$6)),"OK","DIFF")</f>
        <v>OK</v>
      </c>
    </row>
    <row r="9" spans="1:9" x14ac:dyDescent="0.3">
      <c r="A9" s="135"/>
      <c r="B9" s="111">
        <f>'03_Pipe_Engine'!$D$6</f>
        <v>0</v>
      </c>
      <c r="C9" s="138" t="s">
        <v>1628</v>
      </c>
      <c r="D9" s="111"/>
      <c r="E9" s="113"/>
      <c r="F9" s="138" t="s">
        <v>2300</v>
      </c>
      <c r="G9" s="138"/>
      <c r="H9" s="136"/>
      <c r="I9" s="139" t="s">
        <v>2301</v>
      </c>
    </row>
    <row r="10" spans="1:9" x14ac:dyDescent="0.3">
      <c r="A10" s="114"/>
      <c r="B10" s="111"/>
      <c r="C10" s="63"/>
      <c r="D10" s="111">
        <f>'03_Pipe_Engine'!$J$6</f>
        <v>1.05</v>
      </c>
      <c r="E10" s="113"/>
      <c r="F10" s="63"/>
      <c r="G10" s="63"/>
      <c r="H10" s="115"/>
      <c r="I10" s="108" t="s">
        <v>2302</v>
      </c>
    </row>
    <row r="11" spans="1:9" x14ac:dyDescent="0.3">
      <c r="A11" s="114"/>
      <c r="B11" s="111"/>
      <c r="C11" s="63"/>
      <c r="D11" s="111">
        <f>'03_Pipe_Engine'!$L$6</f>
        <v>0.4</v>
      </c>
      <c r="E11" s="113">
        <f>N(B9)*N(D10)*N(D11)</f>
        <v>0</v>
      </c>
      <c r="F11" s="63"/>
      <c r="G11" s="63"/>
      <c r="H11" s="115"/>
      <c r="I11" s="108" t="s">
        <v>2303</v>
      </c>
    </row>
    <row r="12" spans="1:9" x14ac:dyDescent="0.3">
      <c r="A12" s="114"/>
      <c r="B12" s="111"/>
      <c r="C12" s="63"/>
      <c r="D12" s="111"/>
      <c r="E12" s="113"/>
      <c r="F12" s="63"/>
      <c r="G12" s="63"/>
      <c r="H12" s="115"/>
      <c r="I12" s="108"/>
    </row>
    <row r="13" spans="1:9" x14ac:dyDescent="0.3">
      <c r="A13" s="114"/>
      <c r="B13" s="111">
        <f>'03_Pipe_Engine'!$C$6*2</f>
        <v>0</v>
      </c>
      <c r="C13" s="63" t="s">
        <v>1628</v>
      </c>
      <c r="D13" s="111"/>
      <c r="E13" s="113"/>
      <c r="F13" s="63" t="s">
        <v>2304</v>
      </c>
      <c r="G13" s="63"/>
      <c r="H13" s="115"/>
      <c r="I13" s="108" t="s">
        <v>67</v>
      </c>
    </row>
    <row r="14" spans="1:9" x14ac:dyDescent="0.3">
      <c r="A14" s="114"/>
      <c r="B14" s="111"/>
      <c r="C14" s="63"/>
      <c r="D14" s="111">
        <f>'03_Pipe_Engine'!$N$6</f>
        <v>1.4139999999999999</v>
      </c>
      <c r="E14" s="113"/>
      <c r="F14" s="63"/>
      <c r="G14" s="63"/>
      <c r="H14" s="115"/>
      <c r="I14" s="108" t="s">
        <v>2305</v>
      </c>
    </row>
    <row r="15" spans="1:9" x14ac:dyDescent="0.3">
      <c r="A15" s="114"/>
      <c r="B15" s="111"/>
      <c r="C15" s="63"/>
      <c r="D15" s="111">
        <f>('03_Pipe_Engine'!$J$6+'03_Pipe_Engine'!$O$6)/2</f>
        <v>2.464</v>
      </c>
      <c r="E15" s="113"/>
      <c r="F15" s="63"/>
      <c r="G15" s="63"/>
      <c r="H15" s="115"/>
      <c r="I15" s="108" t="s">
        <v>2251</v>
      </c>
    </row>
    <row r="16" spans="1:9" x14ac:dyDescent="0.3">
      <c r="A16" s="114"/>
      <c r="B16" s="111"/>
      <c r="C16" s="63"/>
      <c r="D16" s="111">
        <f>'03_Pipe_Engine'!$L$6</f>
        <v>0.4</v>
      </c>
      <c r="E16" s="113">
        <f>N(B13)*N(D14)*N(D15)*N(D16)</f>
        <v>0</v>
      </c>
      <c r="F16" s="63"/>
      <c r="G16" s="63"/>
      <c r="H16" s="115"/>
      <c r="I16" s="108" t="s">
        <v>2303</v>
      </c>
    </row>
    <row r="17" spans="1:9" x14ac:dyDescent="0.3">
      <c r="A17" s="114"/>
      <c r="B17" s="111"/>
      <c r="C17" s="63"/>
      <c r="D17" s="111"/>
      <c r="E17" s="113"/>
      <c r="F17" s="63"/>
      <c r="G17" s="63"/>
      <c r="H17" s="115"/>
      <c r="I17" s="108"/>
    </row>
    <row r="18" spans="1:9" x14ac:dyDescent="0.3">
      <c r="A18" s="114"/>
      <c r="B18" s="111">
        <f>'03_Pipe_Engine'!$C$6*4</f>
        <v>0</v>
      </c>
      <c r="C18" s="63" t="s">
        <v>1628</v>
      </c>
      <c r="D18" s="111"/>
      <c r="E18" s="113"/>
      <c r="F18" s="63" t="s">
        <v>2306</v>
      </c>
      <c r="G18" s="63"/>
      <c r="H18" s="115"/>
      <c r="I18" s="108" t="s">
        <v>67</v>
      </c>
    </row>
    <row r="19" spans="1:9" x14ac:dyDescent="0.3">
      <c r="A19" s="114"/>
      <c r="B19" s="111"/>
      <c r="C19" s="63"/>
      <c r="D19" s="111">
        <f>'03_Pipe_Engine'!$T$6</f>
        <v>1.05</v>
      </c>
      <c r="E19" s="113"/>
      <c r="F19" s="63"/>
      <c r="G19" s="63"/>
      <c r="H19" s="115"/>
      <c r="I19" s="108" t="s">
        <v>2250</v>
      </c>
    </row>
    <row r="20" spans="1:9" x14ac:dyDescent="0.3">
      <c r="A20" s="114"/>
      <c r="B20" s="111"/>
      <c r="C20" s="63"/>
      <c r="D20" s="111">
        <f>0.5</f>
        <v>0.5</v>
      </c>
      <c r="E20" s="113"/>
      <c r="F20" s="63"/>
      <c r="G20" s="63"/>
      <c r="H20" s="115"/>
      <c r="I20" s="108" t="s">
        <v>2249</v>
      </c>
    </row>
    <row r="21" spans="1:9" x14ac:dyDescent="0.3">
      <c r="A21" s="114"/>
      <c r="B21" s="111"/>
      <c r="C21" s="63"/>
      <c r="D21" s="111">
        <f>'03_Pipe_Engine'!$L$6</f>
        <v>0.4</v>
      </c>
      <c r="E21" s="113">
        <f>N(B18)*N(D19)*N(D20)*N(D21)</f>
        <v>0</v>
      </c>
      <c r="F21" s="63"/>
      <c r="G21" s="63"/>
      <c r="H21" s="115"/>
      <c r="I21" s="108" t="s">
        <v>2303</v>
      </c>
    </row>
    <row r="22" spans="1:9" x14ac:dyDescent="0.3">
      <c r="A22" s="114"/>
      <c r="B22" s="111"/>
      <c r="C22" s="63"/>
      <c r="D22" s="111"/>
      <c r="E22" s="113"/>
      <c r="F22" s="63"/>
      <c r="G22" s="63"/>
      <c r="H22" s="115"/>
      <c r="I22" s="108"/>
    </row>
    <row r="23" spans="1:9" x14ac:dyDescent="0.3">
      <c r="A23" s="114"/>
      <c r="B23" s="111">
        <f>'03_Pipe_Engine'!$C$6*2</f>
        <v>0</v>
      </c>
      <c r="C23" s="63" t="s">
        <v>1628</v>
      </c>
      <c r="D23" s="111"/>
      <c r="E23" s="113"/>
      <c r="F23" s="63" t="s">
        <v>2307</v>
      </c>
      <c r="G23" s="63"/>
      <c r="H23" s="115"/>
      <c r="I23" s="108" t="s">
        <v>67</v>
      </c>
    </row>
    <row r="24" spans="1:9" x14ac:dyDescent="0.3">
      <c r="A24" s="114"/>
      <c r="B24" s="111"/>
      <c r="C24" s="63"/>
      <c r="D24" s="111">
        <f>'03_Pipe_Engine'!$O$6</f>
        <v>3.8780000000000001</v>
      </c>
      <c r="E24" s="113"/>
      <c r="F24" s="63"/>
      <c r="G24" s="63"/>
      <c r="H24" s="115"/>
      <c r="I24" s="108" t="s">
        <v>2308</v>
      </c>
    </row>
    <row r="25" spans="1:9" x14ac:dyDescent="0.3">
      <c r="A25" s="114"/>
      <c r="B25" s="111"/>
      <c r="C25" s="63"/>
      <c r="D25" s="111">
        <f>'03_Pipe_Engine'!$X$6</f>
        <v>0.45</v>
      </c>
      <c r="E25" s="113"/>
      <c r="F25" s="63"/>
      <c r="G25" s="63"/>
      <c r="H25" s="115"/>
      <c r="I25" s="108" t="s">
        <v>2309</v>
      </c>
    </row>
    <row r="26" spans="1:9" x14ac:dyDescent="0.3">
      <c r="A26" s="114"/>
      <c r="B26" s="111"/>
      <c r="C26" s="63"/>
      <c r="D26" s="111">
        <f>'03_Pipe_Engine'!$L$6</f>
        <v>0.4</v>
      </c>
      <c r="E26" s="113">
        <f>N(B23)*N(D24)*N(D25)*N(D26)</f>
        <v>0</v>
      </c>
      <c r="F26" s="63"/>
      <c r="G26" s="63"/>
      <c r="H26" s="115"/>
      <c r="I26" s="108" t="s">
        <v>2303</v>
      </c>
    </row>
    <row r="27" spans="1:9" x14ac:dyDescent="0.3">
      <c r="A27" s="114"/>
      <c r="B27" s="111"/>
      <c r="C27" s="63"/>
      <c r="D27" s="111"/>
      <c r="E27" s="113"/>
      <c r="F27" s="63"/>
      <c r="G27" s="63"/>
      <c r="H27" s="115"/>
      <c r="I27" s="108"/>
    </row>
    <row r="28" spans="1:9" x14ac:dyDescent="0.3">
      <c r="A28" s="114"/>
      <c r="B28" s="111"/>
      <c r="C28" s="63"/>
      <c r="D28" s="111"/>
      <c r="E28" s="113"/>
      <c r="F28" s="63"/>
      <c r="G28" s="63"/>
      <c r="H28" s="115"/>
      <c r="I28" s="108"/>
    </row>
    <row r="29" spans="1:9" x14ac:dyDescent="0.3">
      <c r="A29" s="119" t="s">
        <v>1323</v>
      </c>
      <c r="B29" s="122"/>
      <c r="C29" s="119"/>
      <c r="D29" s="122"/>
      <c r="E29" s="123"/>
      <c r="F29" s="119" t="s">
        <v>2310</v>
      </c>
      <c r="G29" s="119" t="s">
        <v>300</v>
      </c>
      <c r="H29" s="124">
        <f>E32</f>
        <v>0</v>
      </c>
      <c r="I29" s="125" t="str">
        <f>IF(ABS(H29-'03_Pipe_Engine'!$Z$6)&lt;=MAX(0.01,0.005*ABS('03_Pipe_Engine'!$Z$6)),"OK","DIFF")</f>
        <v>OK</v>
      </c>
    </row>
    <row r="30" spans="1:9" x14ac:dyDescent="0.3">
      <c r="A30" s="135"/>
      <c r="B30" s="111">
        <f>'03_Pipe_Engine'!$D$6</f>
        <v>0</v>
      </c>
      <c r="C30" s="138" t="s">
        <v>1628</v>
      </c>
      <c r="D30" s="111"/>
      <c r="E30" s="113"/>
      <c r="F30" s="138" t="s">
        <v>2311</v>
      </c>
      <c r="G30" s="138"/>
      <c r="H30" s="136"/>
      <c r="I30" s="139" t="s">
        <v>2301</v>
      </c>
    </row>
    <row r="31" spans="1:9" x14ac:dyDescent="0.3">
      <c r="A31" s="114"/>
      <c r="B31" s="111"/>
      <c r="C31" s="63"/>
      <c r="D31" s="111">
        <f>'03_Pipe_Engine'!$J$6</f>
        <v>1.05</v>
      </c>
      <c r="E31" s="113"/>
      <c r="F31" s="63"/>
      <c r="G31" s="63"/>
      <c r="H31" s="115"/>
      <c r="I31" s="108" t="s">
        <v>2249</v>
      </c>
    </row>
    <row r="32" spans="1:9" x14ac:dyDescent="0.3">
      <c r="A32" s="114"/>
      <c r="B32" s="111"/>
      <c r="C32" s="63"/>
      <c r="D32" s="111">
        <f>'03_Pipe_Engine'!$M$6</f>
        <v>0.05</v>
      </c>
      <c r="E32" s="113">
        <f>N(B30)*N(D31)*N(D32)</f>
        <v>0</v>
      </c>
      <c r="F32" s="63"/>
      <c r="G32" s="63"/>
      <c r="H32" s="115"/>
      <c r="I32" s="108" t="s">
        <v>2260</v>
      </c>
    </row>
    <row r="33" spans="1:9" x14ac:dyDescent="0.3">
      <c r="A33" s="114"/>
      <c r="B33" s="111"/>
      <c r="C33" s="63"/>
      <c r="D33" s="111"/>
      <c r="E33" s="113"/>
      <c r="F33" s="63"/>
      <c r="G33" s="63"/>
      <c r="H33" s="115"/>
      <c r="I33" s="108"/>
    </row>
    <row r="34" spans="1:9" x14ac:dyDescent="0.3">
      <c r="A34" s="114"/>
      <c r="B34" s="111"/>
      <c r="C34" s="63"/>
      <c r="D34" s="111"/>
      <c r="E34" s="113"/>
      <c r="F34" s="63"/>
      <c r="G34" s="63"/>
      <c r="H34" s="115"/>
      <c r="I34" s="108"/>
    </row>
    <row r="35" spans="1:9" x14ac:dyDescent="0.3">
      <c r="A35" s="119" t="s">
        <v>1326</v>
      </c>
      <c r="B35" s="122"/>
      <c r="C35" s="119"/>
      <c r="D35" s="122"/>
      <c r="E35" s="123"/>
      <c r="F35" s="119" t="s">
        <v>2312</v>
      </c>
      <c r="G35" s="119" t="s">
        <v>300</v>
      </c>
      <c r="H35" s="124">
        <f>E39+E44+E49</f>
        <v>0</v>
      </c>
      <c r="I35" s="125" t="str">
        <f>IF(ABS(H35-'03_Pipe_Engine'!$AD$6)&lt;=MAX(0.01,0.005*ABS('03_Pipe_Engine'!$AD$6)),"OK","DIFF")</f>
        <v>OK</v>
      </c>
    </row>
    <row r="36" spans="1:9" x14ac:dyDescent="0.3">
      <c r="A36" s="135"/>
      <c r="B36" s="111">
        <f>'03_Pipe_Engine'!$C$6*2</f>
        <v>0</v>
      </c>
      <c r="C36" s="138" t="s">
        <v>1628</v>
      </c>
      <c r="D36" s="111"/>
      <c r="E36" s="113"/>
      <c r="F36" s="138" t="s">
        <v>2313</v>
      </c>
      <c r="G36" s="138"/>
      <c r="H36" s="136"/>
      <c r="I36" s="139" t="s">
        <v>67</v>
      </c>
    </row>
    <row r="37" spans="1:9" x14ac:dyDescent="0.3">
      <c r="A37" s="114"/>
      <c r="B37" s="111"/>
      <c r="C37" s="63"/>
      <c r="D37" s="111">
        <f>'03_Pipe_Engine'!$N$6</f>
        <v>1.4139999999999999</v>
      </c>
      <c r="E37" s="113"/>
      <c r="F37" s="63"/>
      <c r="G37" s="63"/>
      <c r="H37" s="115"/>
      <c r="I37" s="108" t="s">
        <v>2250</v>
      </c>
    </row>
    <row r="38" spans="1:9" x14ac:dyDescent="0.3">
      <c r="A38" s="114"/>
      <c r="B38" s="111"/>
      <c r="C38" s="63"/>
      <c r="D38" s="111">
        <f>('03_Pipe_Engine'!$J$6+'03_Pipe_Engine'!$O$6)/2</f>
        <v>2.464</v>
      </c>
      <c r="E38" s="113"/>
      <c r="F38" s="63"/>
      <c r="G38" s="63"/>
      <c r="H38" s="115"/>
      <c r="I38" s="108" t="s">
        <v>2251</v>
      </c>
    </row>
    <row r="39" spans="1:9" x14ac:dyDescent="0.3">
      <c r="A39" s="114"/>
      <c r="B39" s="111"/>
      <c r="C39" s="63"/>
      <c r="D39" s="111">
        <f>'03_Pipe_Engine'!$V$6</f>
        <v>0.2</v>
      </c>
      <c r="E39" s="113">
        <f>N(B36)*N(D37)*N(D38)*N(D39)</f>
        <v>0</v>
      </c>
      <c r="F39" s="63"/>
      <c r="G39" s="63"/>
      <c r="H39" s="115"/>
      <c r="I39" s="108" t="s">
        <v>2260</v>
      </c>
    </row>
    <row r="40" spans="1:9" x14ac:dyDescent="0.3">
      <c r="A40" s="114"/>
      <c r="B40" s="111"/>
      <c r="C40" s="63"/>
      <c r="D40" s="111"/>
      <c r="E40" s="113"/>
      <c r="F40" s="63"/>
      <c r="G40" s="63"/>
      <c r="H40" s="115"/>
      <c r="I40" s="108"/>
    </row>
    <row r="41" spans="1:9" x14ac:dyDescent="0.3">
      <c r="A41" s="114"/>
      <c r="B41" s="111">
        <f>'03_Pipe_Engine'!$C$6*4</f>
        <v>0</v>
      </c>
      <c r="C41" s="63" t="s">
        <v>1628</v>
      </c>
      <c r="D41" s="111"/>
      <c r="E41" s="113"/>
      <c r="F41" s="63" t="s">
        <v>2306</v>
      </c>
      <c r="G41" s="63"/>
      <c r="H41" s="115"/>
      <c r="I41" s="108" t="s">
        <v>67</v>
      </c>
    </row>
    <row r="42" spans="1:9" x14ac:dyDescent="0.3">
      <c r="A42" s="114"/>
      <c r="B42" s="111"/>
      <c r="C42" s="63"/>
      <c r="D42" s="111">
        <f>'03_Pipe_Engine'!$T$6</f>
        <v>1.05</v>
      </c>
      <c r="E42" s="113"/>
      <c r="F42" s="63"/>
      <c r="G42" s="63"/>
      <c r="H42" s="115"/>
      <c r="I42" s="108" t="s">
        <v>2250</v>
      </c>
    </row>
    <row r="43" spans="1:9" x14ac:dyDescent="0.3">
      <c r="A43" s="114"/>
      <c r="B43" s="111"/>
      <c r="C43" s="63"/>
      <c r="D43" s="111">
        <f>0.5</f>
        <v>0.5</v>
      </c>
      <c r="E43" s="113"/>
      <c r="F43" s="63"/>
      <c r="G43" s="63"/>
      <c r="H43" s="115"/>
      <c r="I43" s="108" t="s">
        <v>2249</v>
      </c>
    </row>
    <row r="44" spans="1:9" x14ac:dyDescent="0.3">
      <c r="A44" s="114"/>
      <c r="B44" s="111"/>
      <c r="C44" s="63"/>
      <c r="D44" s="111">
        <f>'03_Pipe_Engine'!$V$6</f>
        <v>0.2</v>
      </c>
      <c r="E44" s="113">
        <f>N(B41)*N(D42)*N(D43)*N(D44)</f>
        <v>0</v>
      </c>
      <c r="F44" s="63"/>
      <c r="G44" s="63"/>
      <c r="H44" s="115"/>
      <c r="I44" s="108" t="s">
        <v>2260</v>
      </c>
    </row>
    <row r="45" spans="1:9" x14ac:dyDescent="0.3">
      <c r="A45" s="114"/>
      <c r="B45" s="111"/>
      <c r="C45" s="63"/>
      <c r="D45" s="111"/>
      <c r="E45" s="113"/>
      <c r="F45" s="63"/>
      <c r="G45" s="63"/>
      <c r="H45" s="115"/>
      <c r="I45" s="108"/>
    </row>
    <row r="46" spans="1:9" x14ac:dyDescent="0.3">
      <c r="A46" s="114"/>
      <c r="B46" s="111">
        <f>'03_Pipe_Engine'!$C$6*2</f>
        <v>0</v>
      </c>
      <c r="C46" s="63" t="s">
        <v>1628</v>
      </c>
      <c r="D46" s="111"/>
      <c r="E46" s="113"/>
      <c r="F46" s="63" t="s">
        <v>2307</v>
      </c>
      <c r="G46" s="63"/>
      <c r="H46" s="115"/>
      <c r="I46" s="108" t="s">
        <v>67</v>
      </c>
    </row>
    <row r="47" spans="1:9" x14ac:dyDescent="0.3">
      <c r="A47" s="114"/>
      <c r="B47" s="111"/>
      <c r="C47" s="63"/>
      <c r="D47" s="111">
        <f>'03_Pipe_Engine'!$O$6</f>
        <v>3.8780000000000001</v>
      </c>
      <c r="E47" s="113"/>
      <c r="F47" s="63"/>
      <c r="G47" s="63"/>
      <c r="H47" s="115"/>
      <c r="I47" s="108" t="s">
        <v>2249</v>
      </c>
    </row>
    <row r="48" spans="1:9" x14ac:dyDescent="0.3">
      <c r="A48" s="114"/>
      <c r="B48" s="111"/>
      <c r="C48" s="63"/>
      <c r="D48" s="111">
        <f>'03_Pipe_Engine'!$X$6</f>
        <v>0.45</v>
      </c>
      <c r="E48" s="113"/>
      <c r="F48" s="63"/>
      <c r="G48" s="63"/>
      <c r="H48" s="115"/>
      <c r="I48" s="108" t="s">
        <v>2303</v>
      </c>
    </row>
    <row r="49" spans="1:9" x14ac:dyDescent="0.3">
      <c r="A49" s="114"/>
      <c r="B49" s="111"/>
      <c r="C49" s="63"/>
      <c r="D49" s="111">
        <f>'03_Pipe_Engine'!$V$6</f>
        <v>0.2</v>
      </c>
      <c r="E49" s="113">
        <f>N(B46)*N(D47)*N(D48)*N(D49)</f>
        <v>0</v>
      </c>
      <c r="F49" s="63"/>
      <c r="G49" s="63"/>
      <c r="H49" s="115"/>
      <c r="I49" s="108" t="s">
        <v>2260</v>
      </c>
    </row>
    <row r="50" spans="1:9" x14ac:dyDescent="0.3">
      <c r="A50" s="114"/>
      <c r="B50" s="111"/>
      <c r="C50" s="63"/>
      <c r="D50" s="111"/>
      <c r="E50" s="113"/>
      <c r="F50" s="63"/>
      <c r="G50" s="63"/>
      <c r="H50" s="115"/>
      <c r="I50" s="108"/>
    </row>
    <row r="51" spans="1:9" x14ac:dyDescent="0.3">
      <c r="A51" s="114"/>
      <c r="B51" s="111"/>
      <c r="C51" s="63"/>
      <c r="D51" s="111"/>
      <c r="E51" s="113"/>
      <c r="F51" s="63"/>
      <c r="G51" s="63"/>
      <c r="H51" s="115"/>
      <c r="I51" s="108"/>
    </row>
    <row r="52" spans="1:9" x14ac:dyDescent="0.3">
      <c r="A52" s="119" t="s">
        <v>1327</v>
      </c>
      <c r="B52" s="122"/>
      <c r="C52" s="119"/>
      <c r="D52" s="122"/>
      <c r="E52" s="123"/>
      <c r="F52" s="119" t="s">
        <v>2314</v>
      </c>
      <c r="G52" s="119" t="s">
        <v>300</v>
      </c>
      <c r="H52" s="124">
        <f>E56+E61</f>
        <v>0</v>
      </c>
      <c r="I52" s="125" t="str">
        <f>IF(ABS(H52-'03_Pipe_Engine'!$AE$6)&lt;=MAX(0.01,0.005*ABS('03_Pipe_Engine'!$AE$6)),"OK","DIFF")</f>
        <v>OK</v>
      </c>
    </row>
    <row r="53" spans="1:9" x14ac:dyDescent="0.3">
      <c r="A53" s="135"/>
      <c r="B53" s="111">
        <f>'03_Pipe_Engine'!$C$6*2</f>
        <v>0</v>
      </c>
      <c r="C53" s="138" t="s">
        <v>1628</v>
      </c>
      <c r="D53" s="111"/>
      <c r="E53" s="113"/>
      <c r="F53" s="138" t="s">
        <v>2315</v>
      </c>
      <c r="G53" s="138"/>
      <c r="H53" s="136"/>
      <c r="I53" s="139" t="s">
        <v>67</v>
      </c>
    </row>
    <row r="54" spans="1:9" x14ac:dyDescent="0.3">
      <c r="A54" s="114"/>
      <c r="B54" s="111"/>
      <c r="C54" s="63"/>
      <c r="D54" s="111">
        <f>'03_Pipe_Engine'!$T$6</f>
        <v>1.05</v>
      </c>
      <c r="E54" s="113"/>
      <c r="F54" s="63"/>
      <c r="G54" s="63"/>
      <c r="H54" s="115"/>
      <c r="I54" s="108" t="s">
        <v>2250</v>
      </c>
    </row>
    <row r="55" spans="1:9" x14ac:dyDescent="0.3">
      <c r="A55" s="114"/>
      <c r="B55" s="111"/>
      <c r="C55" s="63"/>
      <c r="D55" s="111">
        <f>'03_Pipe_Engine'!$P$6</f>
        <v>0.6</v>
      </c>
      <c r="E55" s="113"/>
      <c r="F55" s="63"/>
      <c r="G55" s="63"/>
      <c r="H55" s="115"/>
      <c r="I55" s="108" t="s">
        <v>2316</v>
      </c>
    </row>
    <row r="56" spans="1:9" x14ac:dyDescent="0.3">
      <c r="A56" s="114"/>
      <c r="B56" s="111"/>
      <c r="C56" s="63"/>
      <c r="D56" s="111">
        <f>'03_Pipe_Engine'!$Q$6</f>
        <v>0.2</v>
      </c>
      <c r="E56" s="113">
        <f>N(B53)*N(D54)*N(D55)*N(D56)</f>
        <v>0</v>
      </c>
      <c r="F56" s="63"/>
      <c r="G56" s="63"/>
      <c r="H56" s="115"/>
      <c r="I56" s="108" t="s">
        <v>2260</v>
      </c>
    </row>
    <row r="57" spans="1:9" x14ac:dyDescent="0.3">
      <c r="A57" s="114"/>
      <c r="B57" s="111"/>
      <c r="C57" s="63"/>
      <c r="D57" s="111"/>
      <c r="E57" s="113"/>
      <c r="F57" s="63"/>
      <c r="G57" s="63"/>
      <c r="H57" s="115"/>
      <c r="I57" s="108"/>
    </row>
    <row r="58" spans="1:9" x14ac:dyDescent="0.3">
      <c r="A58" s="114"/>
      <c r="B58" s="111">
        <f>'03_Pipe_Engine'!$C$6*4</f>
        <v>0</v>
      </c>
      <c r="C58" s="63" t="s">
        <v>1628</v>
      </c>
      <c r="D58" s="111"/>
      <c r="E58" s="113"/>
      <c r="F58" s="63" t="s">
        <v>2317</v>
      </c>
      <c r="G58" s="63"/>
      <c r="H58" s="115"/>
      <c r="I58" s="108" t="s">
        <v>67</v>
      </c>
    </row>
    <row r="59" spans="1:9" x14ac:dyDescent="0.3">
      <c r="A59" s="114"/>
      <c r="B59" s="111"/>
      <c r="C59" s="63"/>
      <c r="D59" s="111">
        <f>'03_Pipe_Engine'!$T$6</f>
        <v>1.05</v>
      </c>
      <c r="E59" s="113"/>
      <c r="F59" s="63"/>
      <c r="G59" s="63"/>
      <c r="H59" s="115"/>
      <c r="I59" s="108" t="s">
        <v>2250</v>
      </c>
    </row>
    <row r="60" spans="1:9" x14ac:dyDescent="0.3">
      <c r="A60" s="114"/>
      <c r="B60" s="111"/>
      <c r="C60" s="63"/>
      <c r="D60" s="111">
        <f>'03_Pipe_Engine'!$S$6</f>
        <v>1.0249999999999999</v>
      </c>
      <c r="E60" s="113"/>
      <c r="F60" s="63"/>
      <c r="G60" s="63"/>
      <c r="H60" s="115"/>
      <c r="I60" s="108" t="s">
        <v>2253</v>
      </c>
    </row>
    <row r="61" spans="1:9" x14ac:dyDescent="0.3">
      <c r="A61" s="114"/>
      <c r="B61" s="111"/>
      <c r="C61" s="63"/>
      <c r="D61" s="111">
        <f>'03_Pipe_Engine'!$U$6</f>
        <v>0.2</v>
      </c>
      <c r="E61" s="113">
        <f>N(B58)*N(D59)*N(D60)*N(D61)</f>
        <v>0</v>
      </c>
      <c r="F61" s="63"/>
      <c r="G61" s="63"/>
      <c r="H61" s="115"/>
      <c r="I61" s="108" t="s">
        <v>2260</v>
      </c>
    </row>
    <row r="62" spans="1:9" x14ac:dyDescent="0.3">
      <c r="A62" s="114"/>
      <c r="B62" s="111"/>
      <c r="C62" s="63"/>
      <c r="D62" s="111"/>
      <c r="E62" s="113"/>
      <c r="F62" s="63"/>
      <c r="G62" s="63"/>
      <c r="H62" s="115"/>
      <c r="I62" s="108"/>
    </row>
    <row r="63" spans="1:9" x14ac:dyDescent="0.3">
      <c r="A63" s="114"/>
      <c r="B63" s="111"/>
      <c r="C63" s="63"/>
      <c r="D63" s="111"/>
      <c r="E63" s="113"/>
      <c r="F63" s="63"/>
      <c r="G63" s="63"/>
      <c r="H63" s="115"/>
      <c r="I63" s="108"/>
    </row>
    <row r="64" spans="1:9" x14ac:dyDescent="0.3">
      <c r="A64" s="119" t="s">
        <v>1328</v>
      </c>
      <c r="B64" s="122"/>
      <c r="C64" s="119"/>
      <c r="D64" s="122"/>
      <c r="E64" s="123"/>
      <c r="F64" s="119" t="s">
        <v>2318</v>
      </c>
      <c r="G64" s="119" t="s">
        <v>301</v>
      </c>
      <c r="H64" s="124">
        <f>E67+E71</f>
        <v>0</v>
      </c>
      <c r="I64" s="125" t="str">
        <f>IF(ABS(H64-'03_Pipe_Engine'!$AF$6)&lt;=MAX(0.01,0.005*ABS('03_Pipe_Engine'!$AF$6)),"OK","DIFF")</f>
        <v>OK</v>
      </c>
    </row>
    <row r="65" spans="1:9" x14ac:dyDescent="0.3">
      <c r="A65" s="135"/>
      <c r="B65" s="111">
        <f>'03_Pipe_Engine'!$C$6*2*2</f>
        <v>0</v>
      </c>
      <c r="C65" s="138" t="s">
        <v>1628</v>
      </c>
      <c r="D65" s="111"/>
      <c r="E65" s="113"/>
      <c r="F65" s="138" t="s">
        <v>2319</v>
      </c>
      <c r="G65" s="138"/>
      <c r="H65" s="136"/>
      <c r="I65" s="139" t="s">
        <v>67</v>
      </c>
    </row>
    <row r="66" spans="1:9" x14ac:dyDescent="0.3">
      <c r="A66" s="114"/>
      <c r="B66" s="111"/>
      <c r="C66" s="63"/>
      <c r="D66" s="111">
        <f>'03_Pipe_Engine'!$P$6</f>
        <v>0.6</v>
      </c>
      <c r="E66" s="113"/>
      <c r="F66" s="63"/>
      <c r="G66" s="63"/>
      <c r="H66" s="115"/>
      <c r="I66" s="108" t="s">
        <v>2316</v>
      </c>
    </row>
    <row r="67" spans="1:9" x14ac:dyDescent="0.3">
      <c r="A67" s="114"/>
      <c r="B67" s="111"/>
      <c r="C67" s="63"/>
      <c r="D67" s="111">
        <f>'03_Pipe_Engine'!$Q$6</f>
        <v>0.2</v>
      </c>
      <c r="E67" s="113">
        <f>N(B65)*N(D66)*N(D67)</f>
        <v>0</v>
      </c>
      <c r="F67" s="63"/>
      <c r="G67" s="63"/>
      <c r="H67" s="115"/>
      <c r="I67" s="108" t="s">
        <v>2260</v>
      </c>
    </row>
    <row r="68" spans="1:9" x14ac:dyDescent="0.3">
      <c r="A68" s="114"/>
      <c r="B68" s="111"/>
      <c r="C68" s="63"/>
      <c r="D68" s="111"/>
      <c r="E68" s="113"/>
      <c r="F68" s="63"/>
      <c r="G68" s="63"/>
      <c r="H68" s="115"/>
      <c r="I68" s="108"/>
    </row>
    <row r="69" spans="1:9" x14ac:dyDescent="0.3">
      <c r="A69" s="114"/>
      <c r="B69" s="111">
        <f>'03_Pipe_Engine'!$C$6*4</f>
        <v>0</v>
      </c>
      <c r="C69" s="63" t="s">
        <v>1628</v>
      </c>
      <c r="D69" s="111"/>
      <c r="E69" s="113"/>
      <c r="F69" s="63" t="s">
        <v>2320</v>
      </c>
      <c r="G69" s="63"/>
      <c r="H69" s="115"/>
      <c r="I69" s="108" t="s">
        <v>67</v>
      </c>
    </row>
    <row r="70" spans="1:9" x14ac:dyDescent="0.3">
      <c r="A70" s="114"/>
      <c r="B70" s="111"/>
      <c r="C70" s="63"/>
      <c r="D70" s="111">
        <f>'03_Pipe_Engine'!$R$6</f>
        <v>1</v>
      </c>
      <c r="E70" s="113"/>
      <c r="F70" s="63"/>
      <c r="G70" s="63"/>
      <c r="H70" s="115"/>
      <c r="I70" s="108" t="s">
        <v>2321</v>
      </c>
    </row>
    <row r="71" spans="1:9" x14ac:dyDescent="0.3">
      <c r="A71" s="114"/>
      <c r="B71" s="111"/>
      <c r="C71" s="63"/>
      <c r="D71" s="111">
        <f>'03_Pipe_Engine'!$U$6</f>
        <v>0.2</v>
      </c>
      <c r="E71" s="113">
        <f>N(B69)*N(D70)*N(D71)</f>
        <v>0</v>
      </c>
      <c r="F71" s="63"/>
      <c r="G71" s="63"/>
      <c r="H71" s="115"/>
      <c r="I71" s="108" t="s">
        <v>2260</v>
      </c>
    </row>
    <row r="72" spans="1:9" x14ac:dyDescent="0.3">
      <c r="A72" s="114"/>
      <c r="B72" s="111"/>
      <c r="C72" s="63"/>
      <c r="D72" s="111"/>
      <c r="E72" s="113"/>
      <c r="F72" s="63"/>
      <c r="G72" s="63"/>
      <c r="H72" s="115"/>
      <c r="I72" s="108"/>
    </row>
    <row r="73" spans="1:9" x14ac:dyDescent="0.3">
      <c r="A73" s="114"/>
      <c r="B73" s="111"/>
      <c r="C73" s="63"/>
      <c r="D73" s="111"/>
      <c r="E73" s="113"/>
      <c r="F73" s="63"/>
      <c r="G73" s="63"/>
      <c r="H73" s="115"/>
      <c r="I73" s="108"/>
    </row>
    <row r="74" spans="1:9" x14ac:dyDescent="0.3">
      <c r="A74" s="119" t="s">
        <v>1329</v>
      </c>
      <c r="B74" s="122"/>
      <c r="C74" s="119"/>
      <c r="D74" s="122"/>
      <c r="E74" s="123"/>
      <c r="F74" s="119" t="s">
        <v>2322</v>
      </c>
      <c r="G74" s="119" t="s">
        <v>301</v>
      </c>
      <c r="H74" s="124">
        <f>E77+E81</f>
        <v>0</v>
      </c>
      <c r="I74" s="125" t="str">
        <f>IF(ABS(H74-'03_Pipe_Engine'!$AG$6)&lt;=MAX(0.01,0.005*ABS('03_Pipe_Engine'!$AG$6)),"OK","DIFF")</f>
        <v>OK</v>
      </c>
    </row>
    <row r="75" spans="1:9" x14ac:dyDescent="0.3">
      <c r="A75" s="135"/>
      <c r="B75" s="111">
        <f>'03_Pipe_Engine'!$C$6*2*2</f>
        <v>0</v>
      </c>
      <c r="C75" s="138" t="s">
        <v>1628</v>
      </c>
      <c r="D75" s="111"/>
      <c r="E75" s="113"/>
      <c r="F75" s="138" t="s">
        <v>2323</v>
      </c>
      <c r="G75" s="138"/>
      <c r="H75" s="136"/>
      <c r="I75" s="139" t="s">
        <v>2324</v>
      </c>
    </row>
    <row r="76" spans="1:9" x14ac:dyDescent="0.3">
      <c r="A76" s="114"/>
      <c r="B76" s="111"/>
      <c r="C76" s="63"/>
      <c r="D76" s="111">
        <f>'03_Pipe_Engine'!$T$6</f>
        <v>1.05</v>
      </c>
      <c r="E76" s="113"/>
      <c r="F76" s="63"/>
      <c r="G76" s="63"/>
      <c r="H76" s="115"/>
      <c r="I76" s="108" t="s">
        <v>2250</v>
      </c>
    </row>
    <row r="77" spans="1:9" x14ac:dyDescent="0.3">
      <c r="A77" s="114"/>
      <c r="B77" s="111"/>
      <c r="C77" s="63"/>
      <c r="D77" s="111">
        <f>'03_Pipe_Engine'!$P$6</f>
        <v>0.6</v>
      </c>
      <c r="E77" s="113">
        <f>N(B75)*N(D76)*N(D77)</f>
        <v>0</v>
      </c>
      <c r="F77" s="63"/>
      <c r="G77" s="63"/>
      <c r="H77" s="115"/>
      <c r="I77" s="108" t="s">
        <v>2316</v>
      </c>
    </row>
    <row r="78" spans="1:9" x14ac:dyDescent="0.3">
      <c r="A78" s="114"/>
      <c r="B78" s="111"/>
      <c r="C78" s="63"/>
      <c r="D78" s="111"/>
      <c r="E78" s="113"/>
      <c r="F78" s="63"/>
      <c r="G78" s="63"/>
      <c r="H78" s="115"/>
      <c r="I78" s="108"/>
    </row>
    <row r="79" spans="1:9" x14ac:dyDescent="0.3">
      <c r="A79" s="114"/>
      <c r="B79" s="111">
        <f>'03_Pipe_Engine'!$C$6*4*2</f>
        <v>0</v>
      </c>
      <c r="C79" s="63" t="s">
        <v>1628</v>
      </c>
      <c r="D79" s="111"/>
      <c r="E79" s="113"/>
      <c r="F79" s="63" t="s">
        <v>2325</v>
      </c>
      <c r="G79" s="63"/>
      <c r="H79" s="115"/>
      <c r="I79" s="108" t="s">
        <v>2324</v>
      </c>
    </row>
    <row r="80" spans="1:9" x14ac:dyDescent="0.3">
      <c r="A80" s="114"/>
      <c r="B80" s="111"/>
      <c r="C80" s="63"/>
      <c r="D80" s="111">
        <f>'03_Pipe_Engine'!$T$6</f>
        <v>1.05</v>
      </c>
      <c r="E80" s="113"/>
      <c r="F80" s="63"/>
      <c r="G80" s="63"/>
      <c r="H80" s="115"/>
      <c r="I80" s="108" t="s">
        <v>2250</v>
      </c>
    </row>
    <row r="81" spans="1:9" x14ac:dyDescent="0.3">
      <c r="A81" s="114"/>
      <c r="B81" s="111"/>
      <c r="C81" s="63"/>
      <c r="D81" s="111">
        <f>'03_Pipe_Engine'!$S$6</f>
        <v>1.0249999999999999</v>
      </c>
      <c r="E81" s="113">
        <f>N(B79)*N(D80)*N(D81)</f>
        <v>0</v>
      </c>
      <c r="F81" s="63"/>
      <c r="G81" s="63"/>
      <c r="H81" s="115"/>
      <c r="I81" s="108" t="s">
        <v>2253</v>
      </c>
    </row>
    <row r="82" spans="1:9" x14ac:dyDescent="0.3">
      <c r="A82" s="114"/>
      <c r="B82" s="111"/>
      <c r="C82" s="63"/>
      <c r="D82" s="111"/>
      <c r="E82" s="113"/>
      <c r="F82" s="63"/>
      <c r="G82" s="63"/>
      <c r="H82" s="115"/>
      <c r="I82" s="108"/>
    </row>
    <row r="83" spans="1:9" x14ac:dyDescent="0.3">
      <c r="A83" s="114"/>
      <c r="B83" s="111"/>
      <c r="C83" s="63"/>
      <c r="D83" s="111"/>
      <c r="E83" s="113"/>
      <c r="F83" s="63"/>
      <c r="G83" s="63"/>
      <c r="H83" s="115"/>
      <c r="I83" s="108"/>
    </row>
    <row r="84" spans="1:9" x14ac:dyDescent="0.3">
      <c r="A84" s="119" t="s">
        <v>1330</v>
      </c>
      <c r="B84" s="122"/>
      <c r="C84" s="119"/>
      <c r="D84" s="122"/>
      <c r="E84" s="123"/>
      <c r="F84" s="119" t="s">
        <v>2326</v>
      </c>
      <c r="G84" s="119" t="s">
        <v>63</v>
      </c>
      <c r="H84" s="124">
        <f>E86</f>
        <v>0</v>
      </c>
      <c r="I84" s="125" t="str">
        <f>IF(ABS(H84-'03_Pipe_Engine'!$AH$6)&lt;=MAX(0.01,0.005*ABS('03_Pipe_Engine'!$AH$6)),"OK","DIFF")</f>
        <v>OK</v>
      </c>
    </row>
    <row r="85" spans="1:9" x14ac:dyDescent="0.3">
      <c r="A85" s="135"/>
      <c r="B85" s="111">
        <f>'03_Pipe_Engine'!$F$6</f>
        <v>1</v>
      </c>
      <c r="C85" s="138" t="s">
        <v>1628</v>
      </c>
      <c r="D85" s="111"/>
      <c r="E85" s="113"/>
      <c r="F85" s="138" t="s">
        <v>2327</v>
      </c>
      <c r="G85" s="138"/>
      <c r="H85" s="136"/>
      <c r="I85" s="139" t="s">
        <v>2328</v>
      </c>
    </row>
    <row r="86" spans="1:9" x14ac:dyDescent="0.3">
      <c r="A86" s="114"/>
      <c r="B86" s="111"/>
      <c r="C86" s="63"/>
      <c r="D86" s="111">
        <f>'03_Pipe_Engine'!$D$6</f>
        <v>0</v>
      </c>
      <c r="E86" s="113">
        <f>N(B85)*N(D86)</f>
        <v>0</v>
      </c>
      <c r="F86" s="63"/>
      <c r="G86" s="63"/>
      <c r="H86" s="115"/>
      <c r="I86" s="108" t="s">
        <v>2301</v>
      </c>
    </row>
    <row r="87" spans="1:9" x14ac:dyDescent="0.3">
      <c r="A87" s="114"/>
      <c r="B87" s="111"/>
      <c r="C87" s="63"/>
      <c r="D87" s="111"/>
      <c r="E87" s="113"/>
      <c r="F87" s="63"/>
      <c r="G87" s="63"/>
      <c r="H87" s="115"/>
      <c r="I87" s="108"/>
    </row>
    <row r="88" spans="1:9" x14ac:dyDescent="0.3">
      <c r="A88" s="114"/>
      <c r="B88" s="111"/>
      <c r="C88" s="63"/>
      <c r="D88" s="111"/>
      <c r="E88" s="113"/>
      <c r="F88" s="63"/>
      <c r="G88" s="63"/>
      <c r="H88" s="115"/>
      <c r="I88" s="108"/>
    </row>
    <row r="89" spans="1:9" x14ac:dyDescent="0.3">
      <c r="A89" s="119" t="s">
        <v>1335</v>
      </c>
      <c r="B89" s="122"/>
      <c r="C89" s="119"/>
      <c r="D89" s="122"/>
      <c r="E89" s="123"/>
      <c r="F89" s="119" t="s">
        <v>2329</v>
      </c>
      <c r="G89" s="119" t="s">
        <v>63</v>
      </c>
      <c r="H89" s="124">
        <f>E90</f>
        <v>0</v>
      </c>
      <c r="I89" s="125" t="str">
        <f>IF(ABS(H89-'03_Pipe_Engine'!$AM$6)&lt;=MAX(0.01,0.005*ABS('03_Pipe_Engine'!$AM$6)),"OK","DIFF")</f>
        <v>OK</v>
      </c>
    </row>
    <row r="90" spans="1:9" x14ac:dyDescent="0.3">
      <c r="A90" s="135"/>
      <c r="B90" s="111">
        <f>'03_Pipe_Engine'!$D$6</f>
        <v>0</v>
      </c>
      <c r="C90" s="138" t="s">
        <v>1628</v>
      </c>
      <c r="D90" s="111"/>
      <c r="E90" s="113">
        <f>N(B90)</f>
        <v>0</v>
      </c>
      <c r="F90" s="138" t="s">
        <v>2330</v>
      </c>
      <c r="G90" s="138"/>
      <c r="H90" s="136"/>
      <c r="I90" s="139" t="s">
        <v>2301</v>
      </c>
    </row>
    <row r="91" spans="1:9" x14ac:dyDescent="0.3">
      <c r="A91" s="114"/>
      <c r="B91" s="111"/>
      <c r="C91" s="63"/>
      <c r="D91" s="111"/>
      <c r="E91" s="113"/>
      <c r="F91" s="63"/>
      <c r="G91" s="63"/>
      <c r="H91" s="115"/>
      <c r="I91" s="108"/>
    </row>
    <row r="92" spans="1:9" x14ac:dyDescent="0.3">
      <c r="A92" s="114"/>
      <c r="B92" s="111"/>
      <c r="C92" s="63"/>
      <c r="D92" s="111"/>
      <c r="E92" s="113"/>
      <c r="F92" s="63"/>
      <c r="G92" s="63"/>
      <c r="H92" s="115"/>
      <c r="I92" s="108"/>
    </row>
    <row r="93" spans="1:9" x14ac:dyDescent="0.3">
      <c r="A93" s="114"/>
      <c r="B93" s="111"/>
      <c r="C93" s="63"/>
      <c r="D93" s="111"/>
      <c r="E93" s="113"/>
      <c r="F93" s="63"/>
      <c r="G93" s="63"/>
      <c r="H93" s="115"/>
      <c r="I93" s="108"/>
    </row>
    <row r="94" spans="1:9" x14ac:dyDescent="0.3">
      <c r="A94" s="131" t="s">
        <v>1407</v>
      </c>
      <c r="B94" s="158"/>
      <c r="C94" s="131"/>
      <c r="D94" s="158"/>
      <c r="E94" s="132"/>
      <c r="F94" s="131" t="str">
        <f>IF('03_Pipe_Engine'!$C$7=0,"none in this project",'03_Pipe_Engine'!$C$7&amp;" nr,  total length "&amp;'03_Pipe_Engine'!$D$7&amp;" m")</f>
        <v>none in this project</v>
      </c>
      <c r="G94" s="131"/>
      <c r="H94" s="133"/>
      <c r="I94" s="134"/>
    </row>
    <row r="95" spans="1:9" x14ac:dyDescent="0.3">
      <c r="A95" s="119" t="s">
        <v>1322</v>
      </c>
      <c r="B95" s="122"/>
      <c r="C95" s="119"/>
      <c r="D95" s="122"/>
      <c r="E95" s="123"/>
      <c r="F95" s="119" t="s">
        <v>1373</v>
      </c>
      <c r="G95" s="119" t="s">
        <v>300</v>
      </c>
      <c r="H95" s="124">
        <f>E98+E103+E108+E113</f>
        <v>0</v>
      </c>
      <c r="I95" s="125" t="str">
        <f>IF(ABS(H95-'03_Pipe_Engine'!$Y$7)&lt;=MAX(0.01,0.005*ABS('03_Pipe_Engine'!$Y$7)),"OK","DIFF")</f>
        <v>OK</v>
      </c>
    </row>
    <row r="96" spans="1:9" x14ac:dyDescent="0.3">
      <c r="A96" s="135"/>
      <c r="B96" s="111">
        <f>'03_Pipe_Engine'!$D$7</f>
        <v>0</v>
      </c>
      <c r="C96" s="138" t="s">
        <v>1628</v>
      </c>
      <c r="D96" s="111"/>
      <c r="E96" s="113"/>
      <c r="F96" s="138" t="s">
        <v>2300</v>
      </c>
      <c r="G96" s="138"/>
      <c r="H96" s="136"/>
      <c r="I96" s="139" t="s">
        <v>2301</v>
      </c>
    </row>
    <row r="97" spans="1:9" x14ac:dyDescent="0.3">
      <c r="A97" s="114"/>
      <c r="B97" s="111"/>
      <c r="C97" s="63"/>
      <c r="D97" s="111">
        <f>'03_Pipe_Engine'!$J$7</f>
        <v>1.875</v>
      </c>
      <c r="E97" s="113"/>
      <c r="F97" s="63"/>
      <c r="G97" s="63"/>
      <c r="H97" s="115"/>
      <c r="I97" s="108" t="s">
        <v>2302</v>
      </c>
    </row>
    <row r="98" spans="1:9" x14ac:dyDescent="0.3">
      <c r="A98" s="114"/>
      <c r="B98" s="111"/>
      <c r="C98" s="63"/>
      <c r="D98" s="111">
        <f>'03_Pipe_Engine'!$L$7</f>
        <v>0.4</v>
      </c>
      <c r="E98" s="113">
        <f>N(B96)*N(D97)*N(D98)</f>
        <v>0</v>
      </c>
      <c r="F98" s="63"/>
      <c r="G98" s="63"/>
      <c r="H98" s="115"/>
      <c r="I98" s="108" t="s">
        <v>2303</v>
      </c>
    </row>
    <row r="99" spans="1:9" x14ac:dyDescent="0.3">
      <c r="A99" s="114"/>
      <c r="B99" s="111"/>
      <c r="C99" s="63"/>
      <c r="D99" s="111"/>
      <c r="E99" s="113"/>
      <c r="F99" s="63"/>
      <c r="G99" s="63"/>
      <c r="H99" s="115"/>
      <c r="I99" s="108"/>
    </row>
    <row r="100" spans="1:9" x14ac:dyDescent="0.3">
      <c r="A100" s="114"/>
      <c r="B100" s="111">
        <f>'03_Pipe_Engine'!$C$7*2</f>
        <v>0</v>
      </c>
      <c r="C100" s="63" t="s">
        <v>1628</v>
      </c>
      <c r="D100" s="111"/>
      <c r="E100" s="113"/>
      <c r="F100" s="63" t="s">
        <v>2304</v>
      </c>
      <c r="G100" s="63"/>
      <c r="H100" s="115"/>
      <c r="I100" s="108" t="s">
        <v>67</v>
      </c>
    </row>
    <row r="101" spans="1:9" x14ac:dyDescent="0.3">
      <c r="A101" s="114"/>
      <c r="B101" s="111"/>
      <c r="C101" s="63"/>
      <c r="D101" s="111">
        <f>'03_Pipe_Engine'!$N$7</f>
        <v>1.4139999999999999</v>
      </c>
      <c r="E101" s="113"/>
      <c r="F101" s="63"/>
      <c r="G101" s="63"/>
      <c r="H101" s="115"/>
      <c r="I101" s="108" t="s">
        <v>2305</v>
      </c>
    </row>
    <row r="102" spans="1:9" x14ac:dyDescent="0.3">
      <c r="A102" s="114"/>
      <c r="B102" s="111"/>
      <c r="C102" s="63"/>
      <c r="D102" s="111">
        <f>('03_Pipe_Engine'!$J$7+'03_Pipe_Engine'!$O$7)/2</f>
        <v>3.2890000000000001</v>
      </c>
      <c r="E102" s="113"/>
      <c r="F102" s="63"/>
      <c r="G102" s="63"/>
      <c r="H102" s="115"/>
      <c r="I102" s="108" t="s">
        <v>2251</v>
      </c>
    </row>
    <row r="103" spans="1:9" x14ac:dyDescent="0.3">
      <c r="A103" s="114"/>
      <c r="B103" s="111"/>
      <c r="C103" s="63"/>
      <c r="D103" s="111">
        <f>'03_Pipe_Engine'!$L$7</f>
        <v>0.4</v>
      </c>
      <c r="E103" s="113">
        <f>N(B100)*N(D101)*N(D102)*N(D103)</f>
        <v>0</v>
      </c>
      <c r="F103" s="63"/>
      <c r="G103" s="63"/>
      <c r="H103" s="115"/>
      <c r="I103" s="108" t="s">
        <v>2303</v>
      </c>
    </row>
    <row r="104" spans="1:9" x14ac:dyDescent="0.3">
      <c r="A104" s="114"/>
      <c r="B104" s="111"/>
      <c r="C104" s="63"/>
      <c r="D104" s="111"/>
      <c r="E104" s="113"/>
      <c r="F104" s="63"/>
      <c r="G104" s="63"/>
      <c r="H104" s="115"/>
      <c r="I104" s="108"/>
    </row>
    <row r="105" spans="1:9" x14ac:dyDescent="0.3">
      <c r="A105" s="114"/>
      <c r="B105" s="111">
        <f>'03_Pipe_Engine'!$C$7*4</f>
        <v>0</v>
      </c>
      <c r="C105" s="63" t="s">
        <v>1628</v>
      </c>
      <c r="D105" s="111"/>
      <c r="E105" s="113"/>
      <c r="F105" s="63" t="s">
        <v>2306</v>
      </c>
      <c r="G105" s="63"/>
      <c r="H105" s="115"/>
      <c r="I105" s="108" t="s">
        <v>67</v>
      </c>
    </row>
    <row r="106" spans="1:9" x14ac:dyDescent="0.3">
      <c r="A106" s="114"/>
      <c r="B106" s="111"/>
      <c r="C106" s="63"/>
      <c r="D106" s="111">
        <f>'03_Pipe_Engine'!$T$7</f>
        <v>1.875</v>
      </c>
      <c r="E106" s="113"/>
      <c r="F106" s="63"/>
      <c r="G106" s="63"/>
      <c r="H106" s="115"/>
      <c r="I106" s="108" t="s">
        <v>2250</v>
      </c>
    </row>
    <row r="107" spans="1:9" x14ac:dyDescent="0.3">
      <c r="A107" s="114"/>
      <c r="B107" s="111"/>
      <c r="C107" s="63"/>
      <c r="D107" s="111">
        <f>0.5</f>
        <v>0.5</v>
      </c>
      <c r="E107" s="113"/>
      <c r="F107" s="63"/>
      <c r="G107" s="63"/>
      <c r="H107" s="115"/>
      <c r="I107" s="108" t="s">
        <v>2249</v>
      </c>
    </row>
    <row r="108" spans="1:9" x14ac:dyDescent="0.3">
      <c r="A108" s="114"/>
      <c r="B108" s="111"/>
      <c r="C108" s="63"/>
      <c r="D108" s="111">
        <f>'03_Pipe_Engine'!$L$7</f>
        <v>0.4</v>
      </c>
      <c r="E108" s="113">
        <f>N(B105)*N(D106)*N(D107)*N(D108)</f>
        <v>0</v>
      </c>
      <c r="F108" s="63"/>
      <c r="G108" s="63"/>
      <c r="H108" s="115"/>
      <c r="I108" s="108" t="s">
        <v>2303</v>
      </c>
    </row>
    <row r="109" spans="1:9" x14ac:dyDescent="0.3">
      <c r="A109" s="114"/>
      <c r="B109" s="111"/>
      <c r="C109" s="63"/>
      <c r="D109" s="111"/>
      <c r="E109" s="113"/>
      <c r="F109" s="63"/>
      <c r="G109" s="63"/>
      <c r="H109" s="115"/>
      <c r="I109" s="108"/>
    </row>
    <row r="110" spans="1:9" x14ac:dyDescent="0.3">
      <c r="A110" s="114"/>
      <c r="B110" s="111">
        <f>'03_Pipe_Engine'!$C$7*2</f>
        <v>0</v>
      </c>
      <c r="C110" s="63" t="s">
        <v>1628</v>
      </c>
      <c r="D110" s="111"/>
      <c r="E110" s="113"/>
      <c r="F110" s="63" t="s">
        <v>2307</v>
      </c>
      <c r="G110" s="63"/>
      <c r="H110" s="115"/>
      <c r="I110" s="108" t="s">
        <v>67</v>
      </c>
    </row>
    <row r="111" spans="1:9" x14ac:dyDescent="0.3">
      <c r="A111" s="114"/>
      <c r="B111" s="111"/>
      <c r="C111" s="63"/>
      <c r="D111" s="111">
        <f>'03_Pipe_Engine'!$O$7</f>
        <v>4.7030000000000003</v>
      </c>
      <c r="E111" s="113"/>
      <c r="F111" s="63"/>
      <c r="G111" s="63"/>
      <c r="H111" s="115"/>
      <c r="I111" s="108" t="s">
        <v>2308</v>
      </c>
    </row>
    <row r="112" spans="1:9" x14ac:dyDescent="0.3">
      <c r="A112" s="114"/>
      <c r="B112" s="111"/>
      <c r="C112" s="63"/>
      <c r="D112" s="111">
        <f>'03_Pipe_Engine'!$X$7</f>
        <v>0.45</v>
      </c>
      <c r="E112" s="113"/>
      <c r="F112" s="63"/>
      <c r="G112" s="63"/>
      <c r="H112" s="115"/>
      <c r="I112" s="108" t="s">
        <v>2309</v>
      </c>
    </row>
    <row r="113" spans="1:9" x14ac:dyDescent="0.3">
      <c r="A113" s="114"/>
      <c r="B113" s="111"/>
      <c r="C113" s="63"/>
      <c r="D113" s="111">
        <f>'03_Pipe_Engine'!$L$7</f>
        <v>0.4</v>
      </c>
      <c r="E113" s="113">
        <f>N(B110)*N(D111)*N(D112)*N(D113)</f>
        <v>0</v>
      </c>
      <c r="F113" s="63"/>
      <c r="G113" s="63"/>
      <c r="H113" s="115"/>
      <c r="I113" s="108" t="s">
        <v>2303</v>
      </c>
    </row>
    <row r="114" spans="1:9" x14ac:dyDescent="0.3">
      <c r="A114" s="114"/>
      <c r="B114" s="111"/>
      <c r="C114" s="63"/>
      <c r="D114" s="111"/>
      <c r="E114" s="113"/>
      <c r="F114" s="63"/>
      <c r="G114" s="63"/>
      <c r="H114" s="115"/>
      <c r="I114" s="108"/>
    </row>
    <row r="115" spans="1:9" x14ac:dyDescent="0.3">
      <c r="A115" s="114"/>
      <c r="B115" s="111"/>
      <c r="C115" s="63"/>
      <c r="D115" s="111"/>
      <c r="E115" s="113"/>
      <c r="F115" s="63"/>
      <c r="G115" s="63"/>
      <c r="H115" s="115"/>
      <c r="I115" s="108"/>
    </row>
    <row r="116" spans="1:9" x14ac:dyDescent="0.3">
      <c r="A116" s="119" t="s">
        <v>1323</v>
      </c>
      <c r="B116" s="122"/>
      <c r="C116" s="119"/>
      <c r="D116" s="122"/>
      <c r="E116" s="123"/>
      <c r="F116" s="119" t="s">
        <v>2310</v>
      </c>
      <c r="G116" s="119" t="s">
        <v>300</v>
      </c>
      <c r="H116" s="124">
        <f>E119</f>
        <v>0</v>
      </c>
      <c r="I116" s="125" t="str">
        <f>IF(ABS(H116-'03_Pipe_Engine'!$Z$7)&lt;=MAX(0.01,0.005*ABS('03_Pipe_Engine'!$Z$7)),"OK","DIFF")</f>
        <v>OK</v>
      </c>
    </row>
    <row r="117" spans="1:9" x14ac:dyDescent="0.3">
      <c r="A117" s="135"/>
      <c r="B117" s="111">
        <f>'03_Pipe_Engine'!$D$7</f>
        <v>0</v>
      </c>
      <c r="C117" s="138" t="s">
        <v>1628</v>
      </c>
      <c r="D117" s="111"/>
      <c r="E117" s="113"/>
      <c r="F117" s="138" t="s">
        <v>2311</v>
      </c>
      <c r="G117" s="138"/>
      <c r="H117" s="136"/>
      <c r="I117" s="139" t="s">
        <v>2301</v>
      </c>
    </row>
    <row r="118" spans="1:9" x14ac:dyDescent="0.3">
      <c r="A118" s="114"/>
      <c r="B118" s="111"/>
      <c r="C118" s="63"/>
      <c r="D118" s="111">
        <f>'03_Pipe_Engine'!$J$7</f>
        <v>1.875</v>
      </c>
      <c r="E118" s="113"/>
      <c r="F118" s="63"/>
      <c r="G118" s="63"/>
      <c r="H118" s="115"/>
      <c r="I118" s="108" t="s">
        <v>2249</v>
      </c>
    </row>
    <row r="119" spans="1:9" x14ac:dyDescent="0.3">
      <c r="A119" s="114"/>
      <c r="B119" s="111"/>
      <c r="C119" s="63"/>
      <c r="D119" s="111">
        <f>'03_Pipe_Engine'!$M$7</f>
        <v>0.05</v>
      </c>
      <c r="E119" s="113">
        <f>N(B117)*N(D118)*N(D119)</f>
        <v>0</v>
      </c>
      <c r="F119" s="63"/>
      <c r="G119" s="63"/>
      <c r="H119" s="115"/>
      <c r="I119" s="108" t="s">
        <v>2260</v>
      </c>
    </row>
    <row r="120" spans="1:9" x14ac:dyDescent="0.3">
      <c r="A120" s="114"/>
      <c r="B120" s="111"/>
      <c r="C120" s="63"/>
      <c r="D120" s="111"/>
      <c r="E120" s="113"/>
      <c r="F120" s="63"/>
      <c r="G120" s="63"/>
      <c r="H120" s="115"/>
      <c r="I120" s="108"/>
    </row>
    <row r="121" spans="1:9" x14ac:dyDescent="0.3">
      <c r="A121" s="114"/>
      <c r="B121" s="111"/>
      <c r="C121" s="63"/>
      <c r="D121" s="111"/>
      <c r="E121" s="113"/>
      <c r="F121" s="63"/>
      <c r="G121" s="63"/>
      <c r="H121" s="115"/>
      <c r="I121" s="108"/>
    </row>
    <row r="122" spans="1:9" x14ac:dyDescent="0.3">
      <c r="A122" s="119" t="s">
        <v>1326</v>
      </c>
      <c r="B122" s="122"/>
      <c r="C122" s="119"/>
      <c r="D122" s="122"/>
      <c r="E122" s="123"/>
      <c r="F122" s="119" t="s">
        <v>2312</v>
      </c>
      <c r="G122" s="119" t="s">
        <v>300</v>
      </c>
      <c r="H122" s="124">
        <f>E126+E131+E136</f>
        <v>0</v>
      </c>
      <c r="I122" s="125" t="str">
        <f>IF(ABS(H122-'03_Pipe_Engine'!$AD$7)&lt;=MAX(0.01,0.005*ABS('03_Pipe_Engine'!$AD$7)),"OK","DIFF")</f>
        <v>OK</v>
      </c>
    </row>
    <row r="123" spans="1:9" x14ac:dyDescent="0.3">
      <c r="A123" s="135"/>
      <c r="B123" s="111">
        <f>'03_Pipe_Engine'!$C$7*2</f>
        <v>0</v>
      </c>
      <c r="C123" s="138" t="s">
        <v>1628</v>
      </c>
      <c r="D123" s="111"/>
      <c r="E123" s="113"/>
      <c r="F123" s="138" t="s">
        <v>2313</v>
      </c>
      <c r="G123" s="138"/>
      <c r="H123" s="136"/>
      <c r="I123" s="139" t="s">
        <v>67</v>
      </c>
    </row>
    <row r="124" spans="1:9" x14ac:dyDescent="0.3">
      <c r="A124" s="114"/>
      <c r="B124" s="111"/>
      <c r="C124" s="63"/>
      <c r="D124" s="111">
        <f>'03_Pipe_Engine'!$N$7</f>
        <v>1.4139999999999999</v>
      </c>
      <c r="E124" s="113"/>
      <c r="F124" s="63"/>
      <c r="G124" s="63"/>
      <c r="H124" s="115"/>
      <c r="I124" s="108" t="s">
        <v>2250</v>
      </c>
    </row>
    <row r="125" spans="1:9" x14ac:dyDescent="0.3">
      <c r="A125" s="114"/>
      <c r="B125" s="111"/>
      <c r="C125" s="63"/>
      <c r="D125" s="111">
        <f>('03_Pipe_Engine'!$J$7+'03_Pipe_Engine'!$O$7)/2</f>
        <v>3.2890000000000001</v>
      </c>
      <c r="E125" s="113"/>
      <c r="F125" s="63"/>
      <c r="G125" s="63"/>
      <c r="H125" s="115"/>
      <c r="I125" s="108" t="s">
        <v>2251</v>
      </c>
    </row>
    <row r="126" spans="1:9" x14ac:dyDescent="0.3">
      <c r="A126" s="114"/>
      <c r="B126" s="111"/>
      <c r="C126" s="63"/>
      <c r="D126" s="111">
        <f>'03_Pipe_Engine'!$V$7</f>
        <v>0.2</v>
      </c>
      <c r="E126" s="113">
        <f>N(B123)*N(D124)*N(D125)*N(D126)</f>
        <v>0</v>
      </c>
      <c r="F126" s="63"/>
      <c r="G126" s="63"/>
      <c r="H126" s="115"/>
      <c r="I126" s="108" t="s">
        <v>2260</v>
      </c>
    </row>
    <row r="127" spans="1:9" x14ac:dyDescent="0.3">
      <c r="A127" s="114"/>
      <c r="B127" s="111"/>
      <c r="C127" s="63"/>
      <c r="D127" s="111"/>
      <c r="E127" s="113"/>
      <c r="F127" s="63"/>
      <c r="G127" s="63"/>
      <c r="H127" s="115"/>
      <c r="I127" s="108"/>
    </row>
    <row r="128" spans="1:9" x14ac:dyDescent="0.3">
      <c r="A128" s="114"/>
      <c r="B128" s="111">
        <f>'03_Pipe_Engine'!$C$7*4</f>
        <v>0</v>
      </c>
      <c r="C128" s="63" t="s">
        <v>1628</v>
      </c>
      <c r="D128" s="111"/>
      <c r="E128" s="113"/>
      <c r="F128" s="63" t="s">
        <v>2306</v>
      </c>
      <c r="G128" s="63"/>
      <c r="H128" s="115"/>
      <c r="I128" s="108" t="s">
        <v>67</v>
      </c>
    </row>
    <row r="129" spans="1:9" x14ac:dyDescent="0.3">
      <c r="A129" s="114"/>
      <c r="B129" s="111"/>
      <c r="C129" s="63"/>
      <c r="D129" s="111">
        <f>'03_Pipe_Engine'!$T$7</f>
        <v>1.875</v>
      </c>
      <c r="E129" s="113"/>
      <c r="F129" s="63"/>
      <c r="G129" s="63"/>
      <c r="H129" s="115"/>
      <c r="I129" s="108" t="s">
        <v>2250</v>
      </c>
    </row>
    <row r="130" spans="1:9" x14ac:dyDescent="0.3">
      <c r="A130" s="114"/>
      <c r="B130" s="111"/>
      <c r="C130" s="63"/>
      <c r="D130" s="111">
        <f>0.5</f>
        <v>0.5</v>
      </c>
      <c r="E130" s="113"/>
      <c r="F130" s="63"/>
      <c r="G130" s="63"/>
      <c r="H130" s="115"/>
      <c r="I130" s="108" t="s">
        <v>2249</v>
      </c>
    </row>
    <row r="131" spans="1:9" x14ac:dyDescent="0.3">
      <c r="A131" s="114"/>
      <c r="B131" s="111"/>
      <c r="C131" s="63"/>
      <c r="D131" s="111">
        <f>'03_Pipe_Engine'!$V$7</f>
        <v>0.2</v>
      </c>
      <c r="E131" s="113">
        <f>N(B128)*N(D129)*N(D130)*N(D131)</f>
        <v>0</v>
      </c>
      <c r="F131" s="63"/>
      <c r="G131" s="63"/>
      <c r="H131" s="115"/>
      <c r="I131" s="108" t="s">
        <v>2260</v>
      </c>
    </row>
    <row r="132" spans="1:9" x14ac:dyDescent="0.3">
      <c r="A132" s="114"/>
      <c r="B132" s="111"/>
      <c r="C132" s="63"/>
      <c r="D132" s="111"/>
      <c r="E132" s="113"/>
      <c r="F132" s="63"/>
      <c r="G132" s="63"/>
      <c r="H132" s="115"/>
      <c r="I132" s="108"/>
    </row>
    <row r="133" spans="1:9" x14ac:dyDescent="0.3">
      <c r="A133" s="114"/>
      <c r="B133" s="111">
        <f>'03_Pipe_Engine'!$C$7*2</f>
        <v>0</v>
      </c>
      <c r="C133" s="63" t="s">
        <v>1628</v>
      </c>
      <c r="D133" s="111"/>
      <c r="E133" s="113"/>
      <c r="F133" s="63" t="s">
        <v>2307</v>
      </c>
      <c r="G133" s="63"/>
      <c r="H133" s="115"/>
      <c r="I133" s="108" t="s">
        <v>67</v>
      </c>
    </row>
    <row r="134" spans="1:9" x14ac:dyDescent="0.3">
      <c r="A134" s="114"/>
      <c r="B134" s="111"/>
      <c r="C134" s="63"/>
      <c r="D134" s="111">
        <f>'03_Pipe_Engine'!$O$7</f>
        <v>4.7030000000000003</v>
      </c>
      <c r="E134" s="113"/>
      <c r="F134" s="63"/>
      <c r="G134" s="63"/>
      <c r="H134" s="115"/>
      <c r="I134" s="108" t="s">
        <v>2249</v>
      </c>
    </row>
    <row r="135" spans="1:9" x14ac:dyDescent="0.3">
      <c r="A135" s="114"/>
      <c r="B135" s="111"/>
      <c r="C135" s="63"/>
      <c r="D135" s="111">
        <f>'03_Pipe_Engine'!$X$7</f>
        <v>0.45</v>
      </c>
      <c r="E135" s="113"/>
      <c r="F135" s="63"/>
      <c r="G135" s="63"/>
      <c r="H135" s="115"/>
      <c r="I135" s="108" t="s">
        <v>2303</v>
      </c>
    </row>
    <row r="136" spans="1:9" x14ac:dyDescent="0.3">
      <c r="A136" s="114"/>
      <c r="B136" s="111"/>
      <c r="C136" s="63"/>
      <c r="D136" s="111">
        <f>'03_Pipe_Engine'!$V$7</f>
        <v>0.2</v>
      </c>
      <c r="E136" s="113">
        <f>N(B133)*N(D134)*N(D135)*N(D136)</f>
        <v>0</v>
      </c>
      <c r="F136" s="63"/>
      <c r="G136" s="63"/>
      <c r="H136" s="115"/>
      <c r="I136" s="108" t="s">
        <v>2260</v>
      </c>
    </row>
    <row r="137" spans="1:9" x14ac:dyDescent="0.3">
      <c r="A137" s="114"/>
      <c r="B137" s="111"/>
      <c r="C137" s="63"/>
      <c r="D137" s="111"/>
      <c r="E137" s="113"/>
      <c r="F137" s="63"/>
      <c r="G137" s="63"/>
      <c r="H137" s="115"/>
      <c r="I137" s="108"/>
    </row>
    <row r="138" spans="1:9" x14ac:dyDescent="0.3">
      <c r="A138" s="114"/>
      <c r="B138" s="111"/>
      <c r="C138" s="63"/>
      <c r="D138" s="111"/>
      <c r="E138" s="113"/>
      <c r="F138" s="63"/>
      <c r="G138" s="63"/>
      <c r="H138" s="115"/>
      <c r="I138" s="108"/>
    </row>
    <row r="139" spans="1:9" x14ac:dyDescent="0.3">
      <c r="A139" s="119" t="s">
        <v>1327</v>
      </c>
      <c r="B139" s="122"/>
      <c r="C139" s="119"/>
      <c r="D139" s="122"/>
      <c r="E139" s="123"/>
      <c r="F139" s="119" t="s">
        <v>2314</v>
      </c>
      <c r="G139" s="119" t="s">
        <v>300</v>
      </c>
      <c r="H139" s="124">
        <f>E143+E148</f>
        <v>0</v>
      </c>
      <c r="I139" s="125" t="str">
        <f>IF(ABS(H139-'03_Pipe_Engine'!$AE$7)&lt;=MAX(0.01,0.005*ABS('03_Pipe_Engine'!$AE$7)),"OK","DIFF")</f>
        <v>OK</v>
      </c>
    </row>
    <row r="140" spans="1:9" x14ac:dyDescent="0.3">
      <c r="A140" s="135"/>
      <c r="B140" s="111">
        <f>'03_Pipe_Engine'!$C$7*2</f>
        <v>0</v>
      </c>
      <c r="C140" s="138" t="s">
        <v>1628</v>
      </c>
      <c r="D140" s="111"/>
      <c r="E140" s="113"/>
      <c r="F140" s="138" t="s">
        <v>2315</v>
      </c>
      <c r="G140" s="138"/>
      <c r="H140" s="136"/>
      <c r="I140" s="139" t="s">
        <v>67</v>
      </c>
    </row>
    <row r="141" spans="1:9" x14ac:dyDescent="0.3">
      <c r="A141" s="114"/>
      <c r="B141" s="111"/>
      <c r="C141" s="63"/>
      <c r="D141" s="111">
        <f>'03_Pipe_Engine'!$T$7</f>
        <v>1.875</v>
      </c>
      <c r="E141" s="113"/>
      <c r="F141" s="63"/>
      <c r="G141" s="63"/>
      <c r="H141" s="115"/>
      <c r="I141" s="108" t="s">
        <v>2250</v>
      </c>
    </row>
    <row r="142" spans="1:9" x14ac:dyDescent="0.3">
      <c r="A142" s="114"/>
      <c r="B142" s="111"/>
      <c r="C142" s="63"/>
      <c r="D142" s="111">
        <f>'03_Pipe_Engine'!$P$7</f>
        <v>0.6</v>
      </c>
      <c r="E142" s="113"/>
      <c r="F142" s="63"/>
      <c r="G142" s="63"/>
      <c r="H142" s="115"/>
      <c r="I142" s="108" t="s">
        <v>2316</v>
      </c>
    </row>
    <row r="143" spans="1:9" x14ac:dyDescent="0.3">
      <c r="A143" s="114"/>
      <c r="B143" s="111"/>
      <c r="C143" s="63"/>
      <c r="D143" s="111">
        <f>'03_Pipe_Engine'!$Q$7</f>
        <v>0.2</v>
      </c>
      <c r="E143" s="113">
        <f>N(B140)*N(D141)*N(D142)*N(D143)</f>
        <v>0</v>
      </c>
      <c r="F143" s="63"/>
      <c r="G143" s="63"/>
      <c r="H143" s="115"/>
      <c r="I143" s="108" t="s">
        <v>2260</v>
      </c>
    </row>
    <row r="144" spans="1:9" x14ac:dyDescent="0.3">
      <c r="A144" s="114"/>
      <c r="B144" s="111"/>
      <c r="C144" s="63"/>
      <c r="D144" s="111"/>
      <c r="E144" s="113"/>
      <c r="F144" s="63"/>
      <c r="G144" s="63"/>
      <c r="H144" s="115"/>
      <c r="I144" s="108"/>
    </row>
    <row r="145" spans="1:9" x14ac:dyDescent="0.3">
      <c r="A145" s="114"/>
      <c r="B145" s="111">
        <f>'03_Pipe_Engine'!$C$7*4</f>
        <v>0</v>
      </c>
      <c r="C145" s="63" t="s">
        <v>1628</v>
      </c>
      <c r="D145" s="111"/>
      <c r="E145" s="113"/>
      <c r="F145" s="63" t="s">
        <v>2317</v>
      </c>
      <c r="G145" s="63"/>
      <c r="H145" s="115"/>
      <c r="I145" s="108" t="s">
        <v>67</v>
      </c>
    </row>
    <row r="146" spans="1:9" x14ac:dyDescent="0.3">
      <c r="A146" s="114"/>
      <c r="B146" s="111"/>
      <c r="C146" s="63"/>
      <c r="D146" s="111">
        <f>'03_Pipe_Engine'!$T$7</f>
        <v>1.875</v>
      </c>
      <c r="E146" s="113"/>
      <c r="F146" s="63"/>
      <c r="G146" s="63"/>
      <c r="H146" s="115"/>
      <c r="I146" s="108" t="s">
        <v>2250</v>
      </c>
    </row>
    <row r="147" spans="1:9" x14ac:dyDescent="0.3">
      <c r="A147" s="114"/>
      <c r="B147" s="111"/>
      <c r="C147" s="63"/>
      <c r="D147" s="111">
        <f>'03_Pipe_Engine'!$S$7</f>
        <v>1.0249999999999999</v>
      </c>
      <c r="E147" s="113"/>
      <c r="F147" s="63"/>
      <c r="G147" s="63"/>
      <c r="H147" s="115"/>
      <c r="I147" s="108" t="s">
        <v>2253</v>
      </c>
    </row>
    <row r="148" spans="1:9" x14ac:dyDescent="0.3">
      <c r="A148" s="114"/>
      <c r="B148" s="111"/>
      <c r="C148" s="63"/>
      <c r="D148" s="111">
        <f>'03_Pipe_Engine'!$U$7</f>
        <v>0.2</v>
      </c>
      <c r="E148" s="113">
        <f>N(B145)*N(D146)*N(D147)*N(D148)</f>
        <v>0</v>
      </c>
      <c r="F148" s="63"/>
      <c r="G148" s="63"/>
      <c r="H148" s="115"/>
      <c r="I148" s="108" t="s">
        <v>2260</v>
      </c>
    </row>
    <row r="149" spans="1:9" x14ac:dyDescent="0.3">
      <c r="A149" s="114"/>
      <c r="B149" s="111"/>
      <c r="C149" s="63"/>
      <c r="D149" s="111"/>
      <c r="E149" s="113"/>
      <c r="F149" s="63"/>
      <c r="G149" s="63"/>
      <c r="H149" s="115"/>
      <c r="I149" s="108"/>
    </row>
    <row r="150" spans="1:9" x14ac:dyDescent="0.3">
      <c r="A150" s="114"/>
      <c r="B150" s="111"/>
      <c r="C150" s="63"/>
      <c r="D150" s="111"/>
      <c r="E150" s="113"/>
      <c r="F150" s="63"/>
      <c r="G150" s="63"/>
      <c r="H150" s="115"/>
      <c r="I150" s="108"/>
    </row>
    <row r="151" spans="1:9" x14ac:dyDescent="0.3">
      <c r="A151" s="119" t="s">
        <v>1328</v>
      </c>
      <c r="B151" s="122"/>
      <c r="C151" s="119"/>
      <c r="D151" s="122"/>
      <c r="E151" s="123"/>
      <c r="F151" s="119" t="s">
        <v>2318</v>
      </c>
      <c r="G151" s="119" t="s">
        <v>301</v>
      </c>
      <c r="H151" s="124">
        <f>E154+E158</f>
        <v>0</v>
      </c>
      <c r="I151" s="125" t="str">
        <f>IF(ABS(H151-'03_Pipe_Engine'!$AF$7)&lt;=MAX(0.01,0.005*ABS('03_Pipe_Engine'!$AF$7)),"OK","DIFF")</f>
        <v>OK</v>
      </c>
    </row>
    <row r="152" spans="1:9" x14ac:dyDescent="0.3">
      <c r="A152" s="135"/>
      <c r="B152" s="111">
        <f>'03_Pipe_Engine'!$C$7*2*2</f>
        <v>0</v>
      </c>
      <c r="C152" s="138" t="s">
        <v>1628</v>
      </c>
      <c r="D152" s="111"/>
      <c r="E152" s="113"/>
      <c r="F152" s="138" t="s">
        <v>2319</v>
      </c>
      <c r="G152" s="138"/>
      <c r="H152" s="136"/>
      <c r="I152" s="139" t="s">
        <v>67</v>
      </c>
    </row>
    <row r="153" spans="1:9" x14ac:dyDescent="0.3">
      <c r="A153" s="114"/>
      <c r="B153" s="111"/>
      <c r="C153" s="63"/>
      <c r="D153" s="111">
        <f>'03_Pipe_Engine'!$P$7</f>
        <v>0.6</v>
      </c>
      <c r="E153" s="113"/>
      <c r="F153" s="63"/>
      <c r="G153" s="63"/>
      <c r="H153" s="115"/>
      <c r="I153" s="108" t="s">
        <v>2316</v>
      </c>
    </row>
    <row r="154" spans="1:9" x14ac:dyDescent="0.3">
      <c r="A154" s="114"/>
      <c r="B154" s="111"/>
      <c r="C154" s="63"/>
      <c r="D154" s="111">
        <f>'03_Pipe_Engine'!$Q$7</f>
        <v>0.2</v>
      </c>
      <c r="E154" s="113">
        <f>N(B152)*N(D153)*N(D154)</f>
        <v>0</v>
      </c>
      <c r="F154" s="63"/>
      <c r="G154" s="63"/>
      <c r="H154" s="115"/>
      <c r="I154" s="108" t="s">
        <v>2260</v>
      </c>
    </row>
    <row r="155" spans="1:9" x14ac:dyDescent="0.3">
      <c r="A155" s="114"/>
      <c r="B155" s="111"/>
      <c r="C155" s="63"/>
      <c r="D155" s="111"/>
      <c r="E155" s="113"/>
      <c r="F155" s="63"/>
      <c r="G155" s="63"/>
      <c r="H155" s="115"/>
      <c r="I155" s="108"/>
    </row>
    <row r="156" spans="1:9" x14ac:dyDescent="0.3">
      <c r="A156" s="114"/>
      <c r="B156" s="111">
        <f>'03_Pipe_Engine'!$C$7*4</f>
        <v>0</v>
      </c>
      <c r="C156" s="63" t="s">
        <v>1628</v>
      </c>
      <c r="D156" s="111"/>
      <c r="E156" s="113"/>
      <c r="F156" s="63" t="s">
        <v>2320</v>
      </c>
      <c r="G156" s="63"/>
      <c r="H156" s="115"/>
      <c r="I156" s="108" t="s">
        <v>67</v>
      </c>
    </row>
    <row r="157" spans="1:9" x14ac:dyDescent="0.3">
      <c r="A157" s="114"/>
      <c r="B157" s="111"/>
      <c r="C157" s="63"/>
      <c r="D157" s="111">
        <f>'03_Pipe_Engine'!$R$7</f>
        <v>1</v>
      </c>
      <c r="E157" s="113"/>
      <c r="F157" s="63"/>
      <c r="G157" s="63"/>
      <c r="H157" s="115"/>
      <c r="I157" s="108" t="s">
        <v>2321</v>
      </c>
    </row>
    <row r="158" spans="1:9" x14ac:dyDescent="0.3">
      <c r="A158" s="114"/>
      <c r="B158" s="111"/>
      <c r="C158" s="63"/>
      <c r="D158" s="111">
        <f>'03_Pipe_Engine'!$U$7</f>
        <v>0.2</v>
      </c>
      <c r="E158" s="113">
        <f>N(B156)*N(D157)*N(D158)</f>
        <v>0</v>
      </c>
      <c r="F158" s="63"/>
      <c r="G158" s="63"/>
      <c r="H158" s="115"/>
      <c r="I158" s="108" t="s">
        <v>2260</v>
      </c>
    </row>
    <row r="159" spans="1:9" x14ac:dyDescent="0.3">
      <c r="A159" s="114"/>
      <c r="B159" s="111"/>
      <c r="C159" s="63"/>
      <c r="D159" s="111"/>
      <c r="E159" s="113"/>
      <c r="F159" s="63"/>
      <c r="G159" s="63"/>
      <c r="H159" s="115"/>
      <c r="I159" s="108"/>
    </row>
    <row r="160" spans="1:9" x14ac:dyDescent="0.3">
      <c r="A160" s="114"/>
      <c r="B160" s="111"/>
      <c r="C160" s="63"/>
      <c r="D160" s="111"/>
      <c r="E160" s="113"/>
      <c r="F160" s="63"/>
      <c r="G160" s="63"/>
      <c r="H160" s="115"/>
      <c r="I160" s="108"/>
    </row>
    <row r="161" spans="1:9" x14ac:dyDescent="0.3">
      <c r="A161" s="119" t="s">
        <v>1329</v>
      </c>
      <c r="B161" s="122"/>
      <c r="C161" s="119"/>
      <c r="D161" s="122"/>
      <c r="E161" s="123"/>
      <c r="F161" s="119" t="s">
        <v>2322</v>
      </c>
      <c r="G161" s="119" t="s">
        <v>301</v>
      </c>
      <c r="H161" s="124">
        <f>E164+E168</f>
        <v>0</v>
      </c>
      <c r="I161" s="125" t="str">
        <f>IF(ABS(H161-'03_Pipe_Engine'!$AG$7)&lt;=MAX(0.01,0.005*ABS('03_Pipe_Engine'!$AG$7)),"OK","DIFF")</f>
        <v>OK</v>
      </c>
    </row>
    <row r="162" spans="1:9" x14ac:dyDescent="0.3">
      <c r="A162" s="135"/>
      <c r="B162" s="111">
        <f>'03_Pipe_Engine'!$C$7*2*2</f>
        <v>0</v>
      </c>
      <c r="C162" s="138" t="s">
        <v>1628</v>
      </c>
      <c r="D162" s="111"/>
      <c r="E162" s="113"/>
      <c r="F162" s="138" t="s">
        <v>2323</v>
      </c>
      <c r="G162" s="138"/>
      <c r="H162" s="136"/>
      <c r="I162" s="139" t="s">
        <v>2324</v>
      </c>
    </row>
    <row r="163" spans="1:9" x14ac:dyDescent="0.3">
      <c r="A163" s="114"/>
      <c r="B163" s="111"/>
      <c r="C163" s="63"/>
      <c r="D163" s="111">
        <f>'03_Pipe_Engine'!$T$7</f>
        <v>1.875</v>
      </c>
      <c r="E163" s="113"/>
      <c r="F163" s="63"/>
      <c r="G163" s="63"/>
      <c r="H163" s="115"/>
      <c r="I163" s="108" t="s">
        <v>2250</v>
      </c>
    </row>
    <row r="164" spans="1:9" x14ac:dyDescent="0.3">
      <c r="A164" s="114"/>
      <c r="B164" s="111"/>
      <c r="C164" s="63"/>
      <c r="D164" s="111">
        <f>'03_Pipe_Engine'!$P$7</f>
        <v>0.6</v>
      </c>
      <c r="E164" s="113">
        <f>N(B162)*N(D163)*N(D164)</f>
        <v>0</v>
      </c>
      <c r="F164" s="63"/>
      <c r="G164" s="63"/>
      <c r="H164" s="115"/>
      <c r="I164" s="108" t="s">
        <v>2316</v>
      </c>
    </row>
    <row r="165" spans="1:9" x14ac:dyDescent="0.3">
      <c r="A165" s="114"/>
      <c r="B165" s="111"/>
      <c r="C165" s="63"/>
      <c r="D165" s="111"/>
      <c r="E165" s="113"/>
      <c r="F165" s="63"/>
      <c r="G165" s="63"/>
      <c r="H165" s="115"/>
      <c r="I165" s="108"/>
    </row>
    <row r="166" spans="1:9" x14ac:dyDescent="0.3">
      <c r="A166" s="114"/>
      <c r="B166" s="111">
        <f>'03_Pipe_Engine'!$C$7*4*2</f>
        <v>0</v>
      </c>
      <c r="C166" s="63" t="s">
        <v>1628</v>
      </c>
      <c r="D166" s="111"/>
      <c r="E166" s="113"/>
      <c r="F166" s="63" t="s">
        <v>2325</v>
      </c>
      <c r="G166" s="63"/>
      <c r="H166" s="115"/>
      <c r="I166" s="108" t="s">
        <v>2324</v>
      </c>
    </row>
    <row r="167" spans="1:9" x14ac:dyDescent="0.3">
      <c r="A167" s="114"/>
      <c r="B167" s="111"/>
      <c r="C167" s="63"/>
      <c r="D167" s="111">
        <f>'03_Pipe_Engine'!$T$7</f>
        <v>1.875</v>
      </c>
      <c r="E167" s="113"/>
      <c r="F167" s="63"/>
      <c r="G167" s="63"/>
      <c r="H167" s="115"/>
      <c r="I167" s="108" t="s">
        <v>2250</v>
      </c>
    </row>
    <row r="168" spans="1:9" x14ac:dyDescent="0.3">
      <c r="A168" s="114"/>
      <c r="B168" s="111"/>
      <c r="C168" s="63"/>
      <c r="D168" s="111">
        <f>'03_Pipe_Engine'!$S$7</f>
        <v>1.0249999999999999</v>
      </c>
      <c r="E168" s="113">
        <f>N(B166)*N(D167)*N(D168)</f>
        <v>0</v>
      </c>
      <c r="F168" s="63"/>
      <c r="G168" s="63"/>
      <c r="H168" s="115"/>
      <c r="I168" s="108" t="s">
        <v>2253</v>
      </c>
    </row>
    <row r="169" spans="1:9" x14ac:dyDescent="0.3">
      <c r="A169" s="114"/>
      <c r="B169" s="111"/>
      <c r="C169" s="63"/>
      <c r="D169" s="111"/>
      <c r="E169" s="113"/>
      <c r="F169" s="63"/>
      <c r="G169" s="63"/>
      <c r="H169" s="115"/>
      <c r="I169" s="108"/>
    </row>
    <row r="170" spans="1:9" x14ac:dyDescent="0.3">
      <c r="A170" s="114"/>
      <c r="B170" s="111"/>
      <c r="C170" s="63"/>
      <c r="D170" s="111"/>
      <c r="E170" s="113"/>
      <c r="F170" s="63"/>
      <c r="G170" s="63"/>
      <c r="H170" s="115"/>
      <c r="I170" s="108"/>
    </row>
    <row r="171" spans="1:9" x14ac:dyDescent="0.3">
      <c r="A171" s="119" t="s">
        <v>1330</v>
      </c>
      <c r="B171" s="122"/>
      <c r="C171" s="119"/>
      <c r="D171" s="122"/>
      <c r="E171" s="123"/>
      <c r="F171" s="119" t="s">
        <v>2326</v>
      </c>
      <c r="G171" s="119" t="s">
        <v>63</v>
      </c>
      <c r="H171" s="124">
        <f>E173</f>
        <v>0</v>
      </c>
      <c r="I171" s="125" t="str">
        <f>IF(ABS(H171-'03_Pipe_Engine'!$AH$7)&lt;=MAX(0.01,0.005*ABS('03_Pipe_Engine'!$AH$7)),"OK","DIFF")</f>
        <v>OK</v>
      </c>
    </row>
    <row r="172" spans="1:9" x14ac:dyDescent="0.3">
      <c r="A172" s="135"/>
      <c r="B172" s="111">
        <f>'03_Pipe_Engine'!$F$7</f>
        <v>2</v>
      </c>
      <c r="C172" s="138" t="s">
        <v>1628</v>
      </c>
      <c r="D172" s="111"/>
      <c r="E172" s="113"/>
      <c r="F172" s="138" t="s">
        <v>2327</v>
      </c>
      <c r="G172" s="138"/>
      <c r="H172" s="136"/>
      <c r="I172" s="139" t="s">
        <v>2328</v>
      </c>
    </row>
    <row r="173" spans="1:9" x14ac:dyDescent="0.3">
      <c r="A173" s="114"/>
      <c r="B173" s="111"/>
      <c r="C173" s="63"/>
      <c r="D173" s="111">
        <f>'03_Pipe_Engine'!$D$7</f>
        <v>0</v>
      </c>
      <c r="E173" s="113">
        <f>N(B172)*N(D173)</f>
        <v>0</v>
      </c>
      <c r="F173" s="63"/>
      <c r="G173" s="63"/>
      <c r="H173" s="115"/>
      <c r="I173" s="108" t="s">
        <v>2301</v>
      </c>
    </row>
    <row r="174" spans="1:9" x14ac:dyDescent="0.3">
      <c r="A174" s="114"/>
      <c r="B174" s="111"/>
      <c r="C174" s="63"/>
      <c r="D174" s="111"/>
      <c r="E174" s="113"/>
      <c r="F174" s="63"/>
      <c r="G174" s="63"/>
      <c r="H174" s="115"/>
      <c r="I174" s="108"/>
    </row>
    <row r="175" spans="1:9" x14ac:dyDescent="0.3">
      <c r="A175" s="114"/>
      <c r="B175" s="111"/>
      <c r="C175" s="63"/>
      <c r="D175" s="111"/>
      <c r="E175" s="113"/>
      <c r="F175" s="63"/>
      <c r="G175" s="63"/>
      <c r="H175" s="115"/>
      <c r="I175" s="108"/>
    </row>
    <row r="176" spans="1:9" x14ac:dyDescent="0.3">
      <c r="A176" s="119" t="s">
        <v>1336</v>
      </c>
      <c r="B176" s="122"/>
      <c r="C176" s="119"/>
      <c r="D176" s="122"/>
      <c r="E176" s="123"/>
      <c r="F176" s="119" t="s">
        <v>2329</v>
      </c>
      <c r="G176" s="119" t="s">
        <v>63</v>
      </c>
      <c r="H176" s="124">
        <f>E177</f>
        <v>0</v>
      </c>
      <c r="I176" s="125" t="str">
        <f>IF(ABS(H176-'03_Pipe_Engine'!$AN$7)&lt;=MAX(0.01,0.005*ABS('03_Pipe_Engine'!$AN$7)),"OK","DIFF")</f>
        <v>OK</v>
      </c>
    </row>
    <row r="177" spans="1:9" x14ac:dyDescent="0.3">
      <c r="A177" s="135"/>
      <c r="B177" s="111">
        <f>'03_Pipe_Engine'!$D$7</f>
        <v>0</v>
      </c>
      <c r="C177" s="138" t="s">
        <v>1628</v>
      </c>
      <c r="D177" s="111"/>
      <c r="E177" s="113">
        <f>N(B177)</f>
        <v>0</v>
      </c>
      <c r="F177" s="138" t="s">
        <v>2330</v>
      </c>
      <c r="G177" s="138"/>
      <c r="H177" s="136"/>
      <c r="I177" s="139" t="s">
        <v>2301</v>
      </c>
    </row>
    <row r="178" spans="1:9" x14ac:dyDescent="0.3">
      <c r="A178" s="114"/>
      <c r="B178" s="111"/>
      <c r="C178" s="63"/>
      <c r="D178" s="111"/>
      <c r="E178" s="113"/>
      <c r="F178" s="63"/>
      <c r="G178" s="63"/>
      <c r="H178" s="115"/>
      <c r="I178" s="108"/>
    </row>
    <row r="179" spans="1:9" x14ac:dyDescent="0.3">
      <c r="A179" s="114"/>
      <c r="B179" s="111"/>
      <c r="C179" s="63"/>
      <c r="D179" s="111"/>
      <c r="E179" s="113"/>
      <c r="F179" s="63"/>
      <c r="G179" s="63"/>
      <c r="H179" s="115"/>
      <c r="I179" s="108"/>
    </row>
    <row r="180" spans="1:9" x14ac:dyDescent="0.3">
      <c r="A180" s="114"/>
      <c r="B180" s="111"/>
      <c r="C180" s="63"/>
      <c r="D180" s="111"/>
      <c r="E180" s="113"/>
      <c r="F180" s="63"/>
      <c r="G180" s="63"/>
      <c r="H180" s="115"/>
      <c r="I180" s="108"/>
    </row>
    <row r="181" spans="1:9" x14ac:dyDescent="0.3">
      <c r="A181" s="131" t="s">
        <v>1409</v>
      </c>
      <c r="B181" s="158"/>
      <c r="C181" s="131"/>
      <c r="D181" s="158"/>
      <c r="E181" s="132"/>
      <c r="F181" s="131" t="str">
        <f>IF('03_Pipe_Engine'!$C$8=0,"none in this project",'03_Pipe_Engine'!$C$8&amp;" nr,  total length "&amp;'03_Pipe_Engine'!$D$8&amp;" m")</f>
        <v>none in this project</v>
      </c>
      <c r="G181" s="131"/>
      <c r="H181" s="133"/>
      <c r="I181" s="134"/>
    </row>
    <row r="182" spans="1:9" x14ac:dyDescent="0.3">
      <c r="A182" s="119" t="s">
        <v>1322</v>
      </c>
      <c r="B182" s="122"/>
      <c r="C182" s="119"/>
      <c r="D182" s="122"/>
      <c r="E182" s="123"/>
      <c r="F182" s="119" t="s">
        <v>1373</v>
      </c>
      <c r="G182" s="119" t="s">
        <v>300</v>
      </c>
      <c r="H182" s="124">
        <f>E185+E190+E195+E200</f>
        <v>0</v>
      </c>
      <c r="I182" s="125" t="str">
        <f>IF(ABS(H182-'03_Pipe_Engine'!$Y$8)&lt;=MAX(0.01,0.005*ABS('03_Pipe_Engine'!$Y$8)),"OK","DIFF")</f>
        <v>OK</v>
      </c>
    </row>
    <row r="183" spans="1:9" x14ac:dyDescent="0.3">
      <c r="A183" s="135"/>
      <c r="B183" s="111">
        <f>'03_Pipe_Engine'!$D$8</f>
        <v>0</v>
      </c>
      <c r="C183" s="138" t="s">
        <v>1628</v>
      </c>
      <c r="D183" s="111"/>
      <c r="E183" s="113"/>
      <c r="F183" s="138" t="s">
        <v>2300</v>
      </c>
      <c r="G183" s="138"/>
      <c r="H183" s="136"/>
      <c r="I183" s="139" t="s">
        <v>2301</v>
      </c>
    </row>
    <row r="184" spans="1:9" x14ac:dyDescent="0.3">
      <c r="A184" s="114"/>
      <c r="B184" s="111"/>
      <c r="C184" s="63"/>
      <c r="D184" s="111">
        <f>'03_Pipe_Engine'!$J$8</f>
        <v>2.7</v>
      </c>
      <c r="E184" s="113"/>
      <c r="F184" s="63"/>
      <c r="G184" s="63"/>
      <c r="H184" s="115"/>
      <c r="I184" s="108" t="s">
        <v>2302</v>
      </c>
    </row>
    <row r="185" spans="1:9" x14ac:dyDescent="0.3">
      <c r="A185" s="114"/>
      <c r="B185" s="111"/>
      <c r="C185" s="63"/>
      <c r="D185" s="111">
        <f>'03_Pipe_Engine'!$L$8</f>
        <v>0.4</v>
      </c>
      <c r="E185" s="113">
        <f>N(B183)*N(D184)*N(D185)</f>
        <v>0</v>
      </c>
      <c r="F185" s="63"/>
      <c r="G185" s="63"/>
      <c r="H185" s="115"/>
      <c r="I185" s="108" t="s">
        <v>2303</v>
      </c>
    </row>
    <row r="186" spans="1:9" x14ac:dyDescent="0.3">
      <c r="A186" s="114"/>
      <c r="B186" s="111"/>
      <c r="C186" s="63"/>
      <c r="D186" s="111"/>
      <c r="E186" s="113"/>
      <c r="F186" s="63"/>
      <c r="G186" s="63"/>
      <c r="H186" s="115"/>
      <c r="I186" s="108"/>
    </row>
    <row r="187" spans="1:9" x14ac:dyDescent="0.3">
      <c r="A187" s="114"/>
      <c r="B187" s="111">
        <f>'03_Pipe_Engine'!$C$8*2</f>
        <v>0</v>
      </c>
      <c r="C187" s="63" t="s">
        <v>1628</v>
      </c>
      <c r="D187" s="111"/>
      <c r="E187" s="113"/>
      <c r="F187" s="63" t="s">
        <v>2304</v>
      </c>
      <c r="G187" s="63"/>
      <c r="H187" s="115"/>
      <c r="I187" s="108" t="s">
        <v>67</v>
      </c>
    </row>
    <row r="188" spans="1:9" x14ac:dyDescent="0.3">
      <c r="A188" s="114"/>
      <c r="B188" s="111"/>
      <c r="C188" s="63"/>
      <c r="D188" s="111">
        <f>'03_Pipe_Engine'!$N$8</f>
        <v>1.4139999999999999</v>
      </c>
      <c r="E188" s="113"/>
      <c r="F188" s="63"/>
      <c r="G188" s="63"/>
      <c r="H188" s="115"/>
      <c r="I188" s="108" t="s">
        <v>2305</v>
      </c>
    </row>
    <row r="189" spans="1:9" x14ac:dyDescent="0.3">
      <c r="A189" s="114"/>
      <c r="B189" s="111"/>
      <c r="C189" s="63"/>
      <c r="D189" s="111">
        <f>('03_Pipe_Engine'!$J$8+'03_Pipe_Engine'!$O$8)/2</f>
        <v>4.1139999999999999</v>
      </c>
      <c r="E189" s="113"/>
      <c r="F189" s="63"/>
      <c r="G189" s="63"/>
      <c r="H189" s="115"/>
      <c r="I189" s="108" t="s">
        <v>2251</v>
      </c>
    </row>
    <row r="190" spans="1:9" x14ac:dyDescent="0.3">
      <c r="A190" s="114"/>
      <c r="B190" s="111"/>
      <c r="C190" s="63"/>
      <c r="D190" s="111">
        <f>'03_Pipe_Engine'!$L$8</f>
        <v>0.4</v>
      </c>
      <c r="E190" s="113">
        <f>N(B187)*N(D188)*N(D189)*N(D190)</f>
        <v>0</v>
      </c>
      <c r="F190" s="63"/>
      <c r="G190" s="63"/>
      <c r="H190" s="115"/>
      <c r="I190" s="108" t="s">
        <v>2303</v>
      </c>
    </row>
    <row r="191" spans="1:9" x14ac:dyDescent="0.3">
      <c r="A191" s="114"/>
      <c r="B191" s="111"/>
      <c r="C191" s="63"/>
      <c r="D191" s="111"/>
      <c r="E191" s="113"/>
      <c r="F191" s="63"/>
      <c r="G191" s="63"/>
      <c r="H191" s="115"/>
      <c r="I191" s="108"/>
    </row>
    <row r="192" spans="1:9" x14ac:dyDescent="0.3">
      <c r="A192" s="114"/>
      <c r="B192" s="111">
        <f>'03_Pipe_Engine'!$C$8*4</f>
        <v>0</v>
      </c>
      <c r="C192" s="63" t="s">
        <v>1628</v>
      </c>
      <c r="D192" s="111"/>
      <c r="E192" s="113"/>
      <c r="F192" s="63" t="s">
        <v>2306</v>
      </c>
      <c r="G192" s="63"/>
      <c r="H192" s="115"/>
      <c r="I192" s="108" t="s">
        <v>67</v>
      </c>
    </row>
    <row r="193" spans="1:9" x14ac:dyDescent="0.3">
      <c r="A193" s="114"/>
      <c r="B193" s="111"/>
      <c r="C193" s="63"/>
      <c r="D193" s="111">
        <f>'03_Pipe_Engine'!$T$8</f>
        <v>2.7</v>
      </c>
      <c r="E193" s="113"/>
      <c r="F193" s="63"/>
      <c r="G193" s="63"/>
      <c r="H193" s="115"/>
      <c r="I193" s="108" t="s">
        <v>2250</v>
      </c>
    </row>
    <row r="194" spans="1:9" x14ac:dyDescent="0.3">
      <c r="A194" s="114"/>
      <c r="B194" s="111"/>
      <c r="C194" s="63"/>
      <c r="D194" s="111">
        <f>0.5</f>
        <v>0.5</v>
      </c>
      <c r="E194" s="113"/>
      <c r="F194" s="63"/>
      <c r="G194" s="63"/>
      <c r="H194" s="115"/>
      <c r="I194" s="108" t="s">
        <v>2249</v>
      </c>
    </row>
    <row r="195" spans="1:9" x14ac:dyDescent="0.3">
      <c r="A195" s="114"/>
      <c r="B195" s="111"/>
      <c r="C195" s="63"/>
      <c r="D195" s="111">
        <f>'03_Pipe_Engine'!$L$8</f>
        <v>0.4</v>
      </c>
      <c r="E195" s="113">
        <f>N(B192)*N(D193)*N(D194)*N(D195)</f>
        <v>0</v>
      </c>
      <c r="F195" s="63"/>
      <c r="G195" s="63"/>
      <c r="H195" s="115"/>
      <c r="I195" s="108" t="s">
        <v>2303</v>
      </c>
    </row>
    <row r="196" spans="1:9" x14ac:dyDescent="0.3">
      <c r="A196" s="114"/>
      <c r="B196" s="111"/>
      <c r="C196" s="63"/>
      <c r="D196" s="111"/>
      <c r="E196" s="113"/>
      <c r="F196" s="63"/>
      <c r="G196" s="63"/>
      <c r="H196" s="115"/>
      <c r="I196" s="108"/>
    </row>
    <row r="197" spans="1:9" x14ac:dyDescent="0.3">
      <c r="A197" s="114"/>
      <c r="B197" s="111">
        <f>'03_Pipe_Engine'!$C$8*2</f>
        <v>0</v>
      </c>
      <c r="C197" s="63" t="s">
        <v>1628</v>
      </c>
      <c r="D197" s="111"/>
      <c r="E197" s="113"/>
      <c r="F197" s="63" t="s">
        <v>2307</v>
      </c>
      <c r="G197" s="63"/>
      <c r="H197" s="115"/>
      <c r="I197" s="108" t="s">
        <v>67</v>
      </c>
    </row>
    <row r="198" spans="1:9" x14ac:dyDescent="0.3">
      <c r="A198" s="114"/>
      <c r="B198" s="111"/>
      <c r="C198" s="63"/>
      <c r="D198" s="111">
        <f>'03_Pipe_Engine'!$O$8</f>
        <v>5.5279999999999996</v>
      </c>
      <c r="E198" s="113"/>
      <c r="F198" s="63"/>
      <c r="G198" s="63"/>
      <c r="H198" s="115"/>
      <c r="I198" s="108" t="s">
        <v>2308</v>
      </c>
    </row>
    <row r="199" spans="1:9" x14ac:dyDescent="0.3">
      <c r="A199" s="114"/>
      <c r="B199" s="111"/>
      <c r="C199" s="63"/>
      <c r="D199" s="111">
        <f>'03_Pipe_Engine'!$X$8</f>
        <v>0.45</v>
      </c>
      <c r="E199" s="113"/>
      <c r="F199" s="63"/>
      <c r="G199" s="63"/>
      <c r="H199" s="115"/>
      <c r="I199" s="108" t="s">
        <v>2309</v>
      </c>
    </row>
    <row r="200" spans="1:9" x14ac:dyDescent="0.3">
      <c r="A200" s="114"/>
      <c r="B200" s="111"/>
      <c r="C200" s="63"/>
      <c r="D200" s="111">
        <f>'03_Pipe_Engine'!$L$8</f>
        <v>0.4</v>
      </c>
      <c r="E200" s="113">
        <f>N(B197)*N(D198)*N(D199)*N(D200)</f>
        <v>0</v>
      </c>
      <c r="F200" s="63"/>
      <c r="G200" s="63"/>
      <c r="H200" s="115"/>
      <c r="I200" s="108" t="s">
        <v>2303</v>
      </c>
    </row>
    <row r="201" spans="1:9" x14ac:dyDescent="0.3">
      <c r="A201" s="114"/>
      <c r="B201" s="111"/>
      <c r="C201" s="63"/>
      <c r="D201" s="111"/>
      <c r="E201" s="113"/>
      <c r="F201" s="63"/>
      <c r="G201" s="63"/>
      <c r="H201" s="115"/>
      <c r="I201" s="108"/>
    </row>
    <row r="202" spans="1:9" x14ac:dyDescent="0.3">
      <c r="A202" s="114"/>
      <c r="B202" s="111"/>
      <c r="C202" s="63"/>
      <c r="D202" s="111"/>
      <c r="E202" s="113"/>
      <c r="F202" s="63"/>
      <c r="G202" s="63"/>
      <c r="H202" s="115"/>
      <c r="I202" s="108"/>
    </row>
    <row r="203" spans="1:9" x14ac:dyDescent="0.3">
      <c r="A203" s="119" t="s">
        <v>1323</v>
      </c>
      <c r="B203" s="122"/>
      <c r="C203" s="119"/>
      <c r="D203" s="122"/>
      <c r="E203" s="123"/>
      <c r="F203" s="119" t="s">
        <v>2310</v>
      </c>
      <c r="G203" s="119" t="s">
        <v>300</v>
      </c>
      <c r="H203" s="124">
        <f>E206</f>
        <v>0</v>
      </c>
      <c r="I203" s="125" t="str">
        <f>IF(ABS(H203-'03_Pipe_Engine'!$Z$8)&lt;=MAX(0.01,0.005*ABS('03_Pipe_Engine'!$Z$8)),"OK","DIFF")</f>
        <v>OK</v>
      </c>
    </row>
    <row r="204" spans="1:9" x14ac:dyDescent="0.3">
      <c r="A204" s="135"/>
      <c r="B204" s="111">
        <f>'03_Pipe_Engine'!$D$8</f>
        <v>0</v>
      </c>
      <c r="C204" s="138" t="s">
        <v>1628</v>
      </c>
      <c r="D204" s="111"/>
      <c r="E204" s="113"/>
      <c r="F204" s="138" t="s">
        <v>2311</v>
      </c>
      <c r="G204" s="138"/>
      <c r="H204" s="136"/>
      <c r="I204" s="139" t="s">
        <v>2301</v>
      </c>
    </row>
    <row r="205" spans="1:9" x14ac:dyDescent="0.3">
      <c r="A205" s="114"/>
      <c r="B205" s="111"/>
      <c r="C205" s="63"/>
      <c r="D205" s="111">
        <f>'03_Pipe_Engine'!$J$8</f>
        <v>2.7</v>
      </c>
      <c r="E205" s="113"/>
      <c r="F205" s="63"/>
      <c r="G205" s="63"/>
      <c r="H205" s="115"/>
      <c r="I205" s="108" t="s">
        <v>2249</v>
      </c>
    </row>
    <row r="206" spans="1:9" x14ac:dyDescent="0.3">
      <c r="A206" s="114"/>
      <c r="B206" s="111"/>
      <c r="C206" s="63"/>
      <c r="D206" s="111">
        <f>'03_Pipe_Engine'!$M$8</f>
        <v>0.05</v>
      </c>
      <c r="E206" s="113">
        <f>N(B204)*N(D205)*N(D206)</f>
        <v>0</v>
      </c>
      <c r="F206" s="63"/>
      <c r="G206" s="63"/>
      <c r="H206" s="115"/>
      <c r="I206" s="108" t="s">
        <v>2260</v>
      </c>
    </row>
    <row r="207" spans="1:9" x14ac:dyDescent="0.3">
      <c r="A207" s="114"/>
      <c r="B207" s="111"/>
      <c r="C207" s="63"/>
      <c r="D207" s="111"/>
      <c r="E207" s="113"/>
      <c r="F207" s="63"/>
      <c r="G207" s="63"/>
      <c r="H207" s="115"/>
      <c r="I207" s="108"/>
    </row>
    <row r="208" spans="1:9" x14ac:dyDescent="0.3">
      <c r="A208" s="114"/>
      <c r="B208" s="111"/>
      <c r="C208" s="63"/>
      <c r="D208" s="111"/>
      <c r="E208" s="113"/>
      <c r="F208" s="63"/>
      <c r="G208" s="63"/>
      <c r="H208" s="115"/>
      <c r="I208" s="108"/>
    </row>
    <row r="209" spans="1:9" x14ac:dyDescent="0.3">
      <c r="A209" s="119" t="s">
        <v>1326</v>
      </c>
      <c r="B209" s="122"/>
      <c r="C209" s="119"/>
      <c r="D209" s="122"/>
      <c r="E209" s="123"/>
      <c r="F209" s="119" t="s">
        <v>2312</v>
      </c>
      <c r="G209" s="119" t="s">
        <v>300</v>
      </c>
      <c r="H209" s="124">
        <f>E213+E218+E223</f>
        <v>0</v>
      </c>
      <c r="I209" s="125" t="str">
        <f>IF(ABS(H209-'03_Pipe_Engine'!$AD$8)&lt;=MAX(0.01,0.005*ABS('03_Pipe_Engine'!$AD$8)),"OK","DIFF")</f>
        <v>OK</v>
      </c>
    </row>
    <row r="210" spans="1:9" x14ac:dyDescent="0.3">
      <c r="A210" s="135"/>
      <c r="B210" s="111">
        <f>'03_Pipe_Engine'!$C$8*2</f>
        <v>0</v>
      </c>
      <c r="C210" s="138" t="s">
        <v>1628</v>
      </c>
      <c r="D210" s="111"/>
      <c r="E210" s="113"/>
      <c r="F210" s="138" t="s">
        <v>2313</v>
      </c>
      <c r="G210" s="138"/>
      <c r="H210" s="136"/>
      <c r="I210" s="139" t="s">
        <v>67</v>
      </c>
    </row>
    <row r="211" spans="1:9" x14ac:dyDescent="0.3">
      <c r="A211" s="114"/>
      <c r="B211" s="111"/>
      <c r="C211" s="63"/>
      <c r="D211" s="111">
        <f>'03_Pipe_Engine'!$N$8</f>
        <v>1.4139999999999999</v>
      </c>
      <c r="E211" s="113"/>
      <c r="F211" s="63"/>
      <c r="G211" s="63"/>
      <c r="H211" s="115"/>
      <c r="I211" s="108" t="s">
        <v>2250</v>
      </c>
    </row>
    <row r="212" spans="1:9" x14ac:dyDescent="0.3">
      <c r="A212" s="114"/>
      <c r="B212" s="111"/>
      <c r="C212" s="63"/>
      <c r="D212" s="111">
        <f>('03_Pipe_Engine'!$J$8+'03_Pipe_Engine'!$O$8)/2</f>
        <v>4.1139999999999999</v>
      </c>
      <c r="E212" s="113"/>
      <c r="F212" s="63"/>
      <c r="G212" s="63"/>
      <c r="H212" s="115"/>
      <c r="I212" s="108" t="s">
        <v>2251</v>
      </c>
    </row>
    <row r="213" spans="1:9" x14ac:dyDescent="0.3">
      <c r="A213" s="114"/>
      <c r="B213" s="111"/>
      <c r="C213" s="63"/>
      <c r="D213" s="111">
        <f>'03_Pipe_Engine'!$V$8</f>
        <v>0.2</v>
      </c>
      <c r="E213" s="113">
        <f>N(B210)*N(D211)*N(D212)*N(D213)</f>
        <v>0</v>
      </c>
      <c r="F213" s="63"/>
      <c r="G213" s="63"/>
      <c r="H213" s="115"/>
      <c r="I213" s="108" t="s">
        <v>2260</v>
      </c>
    </row>
    <row r="214" spans="1:9" x14ac:dyDescent="0.3">
      <c r="A214" s="114"/>
      <c r="B214" s="111"/>
      <c r="C214" s="63"/>
      <c r="D214" s="111"/>
      <c r="E214" s="113"/>
      <c r="F214" s="63"/>
      <c r="G214" s="63"/>
      <c r="H214" s="115"/>
      <c r="I214" s="108"/>
    </row>
    <row r="215" spans="1:9" x14ac:dyDescent="0.3">
      <c r="A215" s="114"/>
      <c r="B215" s="111">
        <f>'03_Pipe_Engine'!$C$8*4</f>
        <v>0</v>
      </c>
      <c r="C215" s="63" t="s">
        <v>1628</v>
      </c>
      <c r="D215" s="111"/>
      <c r="E215" s="113"/>
      <c r="F215" s="63" t="s">
        <v>2306</v>
      </c>
      <c r="G215" s="63"/>
      <c r="H215" s="115"/>
      <c r="I215" s="108" t="s">
        <v>67</v>
      </c>
    </row>
    <row r="216" spans="1:9" x14ac:dyDescent="0.3">
      <c r="A216" s="114"/>
      <c r="B216" s="111"/>
      <c r="C216" s="63"/>
      <c r="D216" s="111">
        <f>'03_Pipe_Engine'!$T$8</f>
        <v>2.7</v>
      </c>
      <c r="E216" s="113"/>
      <c r="F216" s="63"/>
      <c r="G216" s="63"/>
      <c r="H216" s="115"/>
      <c r="I216" s="108" t="s">
        <v>2250</v>
      </c>
    </row>
    <row r="217" spans="1:9" x14ac:dyDescent="0.3">
      <c r="A217" s="114"/>
      <c r="B217" s="111"/>
      <c r="C217" s="63"/>
      <c r="D217" s="111">
        <f>0.5</f>
        <v>0.5</v>
      </c>
      <c r="E217" s="113"/>
      <c r="F217" s="63"/>
      <c r="G217" s="63"/>
      <c r="H217" s="115"/>
      <c r="I217" s="108" t="s">
        <v>2249</v>
      </c>
    </row>
    <row r="218" spans="1:9" x14ac:dyDescent="0.3">
      <c r="A218" s="114"/>
      <c r="B218" s="111"/>
      <c r="C218" s="63"/>
      <c r="D218" s="111">
        <f>'03_Pipe_Engine'!$V$8</f>
        <v>0.2</v>
      </c>
      <c r="E218" s="113">
        <f>N(B215)*N(D216)*N(D217)*N(D218)</f>
        <v>0</v>
      </c>
      <c r="F218" s="63"/>
      <c r="G218" s="63"/>
      <c r="H218" s="115"/>
      <c r="I218" s="108" t="s">
        <v>2260</v>
      </c>
    </row>
    <row r="219" spans="1:9" x14ac:dyDescent="0.3">
      <c r="A219" s="114"/>
      <c r="B219" s="111"/>
      <c r="C219" s="63"/>
      <c r="D219" s="111"/>
      <c r="E219" s="113"/>
      <c r="F219" s="63"/>
      <c r="G219" s="63"/>
      <c r="H219" s="115"/>
      <c r="I219" s="108"/>
    </row>
    <row r="220" spans="1:9" x14ac:dyDescent="0.3">
      <c r="A220" s="114"/>
      <c r="B220" s="111">
        <f>'03_Pipe_Engine'!$C$8*2</f>
        <v>0</v>
      </c>
      <c r="C220" s="63" t="s">
        <v>1628</v>
      </c>
      <c r="D220" s="111"/>
      <c r="E220" s="113"/>
      <c r="F220" s="63" t="s">
        <v>2307</v>
      </c>
      <c r="G220" s="63"/>
      <c r="H220" s="115"/>
      <c r="I220" s="108" t="s">
        <v>67</v>
      </c>
    </row>
    <row r="221" spans="1:9" x14ac:dyDescent="0.3">
      <c r="A221" s="114"/>
      <c r="B221" s="111"/>
      <c r="C221" s="63"/>
      <c r="D221" s="111">
        <f>'03_Pipe_Engine'!$O$8</f>
        <v>5.5279999999999996</v>
      </c>
      <c r="E221" s="113"/>
      <c r="F221" s="63"/>
      <c r="G221" s="63"/>
      <c r="H221" s="115"/>
      <c r="I221" s="108" t="s">
        <v>2249</v>
      </c>
    </row>
    <row r="222" spans="1:9" x14ac:dyDescent="0.3">
      <c r="A222" s="114"/>
      <c r="B222" s="111"/>
      <c r="C222" s="63"/>
      <c r="D222" s="111">
        <f>'03_Pipe_Engine'!$X$8</f>
        <v>0.45</v>
      </c>
      <c r="E222" s="113"/>
      <c r="F222" s="63"/>
      <c r="G222" s="63"/>
      <c r="H222" s="115"/>
      <c r="I222" s="108" t="s">
        <v>2303</v>
      </c>
    </row>
    <row r="223" spans="1:9" x14ac:dyDescent="0.3">
      <c r="A223" s="114"/>
      <c r="B223" s="111"/>
      <c r="C223" s="63"/>
      <c r="D223" s="111">
        <f>'03_Pipe_Engine'!$V$8</f>
        <v>0.2</v>
      </c>
      <c r="E223" s="113">
        <f>N(B220)*N(D221)*N(D222)*N(D223)</f>
        <v>0</v>
      </c>
      <c r="F223" s="63"/>
      <c r="G223" s="63"/>
      <c r="H223" s="115"/>
      <c r="I223" s="108" t="s">
        <v>2260</v>
      </c>
    </row>
    <row r="224" spans="1:9" x14ac:dyDescent="0.3">
      <c r="A224" s="114"/>
      <c r="B224" s="111"/>
      <c r="C224" s="63"/>
      <c r="D224" s="111"/>
      <c r="E224" s="113"/>
      <c r="F224" s="63"/>
      <c r="G224" s="63"/>
      <c r="H224" s="115"/>
      <c r="I224" s="108"/>
    </row>
    <row r="225" spans="1:9" x14ac:dyDescent="0.3">
      <c r="A225" s="114"/>
      <c r="B225" s="111"/>
      <c r="C225" s="63"/>
      <c r="D225" s="111"/>
      <c r="E225" s="113"/>
      <c r="F225" s="63"/>
      <c r="G225" s="63"/>
      <c r="H225" s="115"/>
      <c r="I225" s="108"/>
    </row>
    <row r="226" spans="1:9" x14ac:dyDescent="0.3">
      <c r="A226" s="119" t="s">
        <v>1327</v>
      </c>
      <c r="B226" s="122"/>
      <c r="C226" s="119"/>
      <c r="D226" s="122"/>
      <c r="E226" s="123"/>
      <c r="F226" s="119" t="s">
        <v>2314</v>
      </c>
      <c r="G226" s="119" t="s">
        <v>300</v>
      </c>
      <c r="H226" s="124">
        <f>E230+E235</f>
        <v>0</v>
      </c>
      <c r="I226" s="125" t="str">
        <f>IF(ABS(H226-'03_Pipe_Engine'!$AE$8)&lt;=MAX(0.01,0.005*ABS('03_Pipe_Engine'!$AE$8)),"OK","DIFF")</f>
        <v>OK</v>
      </c>
    </row>
    <row r="227" spans="1:9" x14ac:dyDescent="0.3">
      <c r="A227" s="135"/>
      <c r="B227" s="111">
        <f>'03_Pipe_Engine'!$C$8*2</f>
        <v>0</v>
      </c>
      <c r="C227" s="138" t="s">
        <v>1628</v>
      </c>
      <c r="D227" s="111"/>
      <c r="E227" s="113"/>
      <c r="F227" s="138" t="s">
        <v>2315</v>
      </c>
      <c r="G227" s="138"/>
      <c r="H227" s="136"/>
      <c r="I227" s="139" t="s">
        <v>67</v>
      </c>
    </row>
    <row r="228" spans="1:9" x14ac:dyDescent="0.3">
      <c r="A228" s="114"/>
      <c r="B228" s="111"/>
      <c r="C228" s="63"/>
      <c r="D228" s="111">
        <f>'03_Pipe_Engine'!$T$8</f>
        <v>2.7</v>
      </c>
      <c r="E228" s="113"/>
      <c r="F228" s="63"/>
      <c r="G228" s="63"/>
      <c r="H228" s="115"/>
      <c r="I228" s="108" t="s">
        <v>2250</v>
      </c>
    </row>
    <row r="229" spans="1:9" x14ac:dyDescent="0.3">
      <c r="A229" s="114"/>
      <c r="B229" s="111"/>
      <c r="C229" s="63"/>
      <c r="D229" s="111">
        <f>'03_Pipe_Engine'!$P$8</f>
        <v>0.6</v>
      </c>
      <c r="E229" s="113"/>
      <c r="F229" s="63"/>
      <c r="G229" s="63"/>
      <c r="H229" s="115"/>
      <c r="I229" s="108" t="s">
        <v>2316</v>
      </c>
    </row>
    <row r="230" spans="1:9" x14ac:dyDescent="0.3">
      <c r="A230" s="114"/>
      <c r="B230" s="111"/>
      <c r="C230" s="63"/>
      <c r="D230" s="111">
        <f>'03_Pipe_Engine'!$Q$8</f>
        <v>0.2</v>
      </c>
      <c r="E230" s="113">
        <f>N(B227)*N(D228)*N(D229)*N(D230)</f>
        <v>0</v>
      </c>
      <c r="F230" s="63"/>
      <c r="G230" s="63"/>
      <c r="H230" s="115"/>
      <c r="I230" s="108" t="s">
        <v>2260</v>
      </c>
    </row>
    <row r="231" spans="1:9" x14ac:dyDescent="0.3">
      <c r="A231" s="114"/>
      <c r="B231" s="111"/>
      <c r="C231" s="63"/>
      <c r="D231" s="111"/>
      <c r="E231" s="113"/>
      <c r="F231" s="63"/>
      <c r="G231" s="63"/>
      <c r="H231" s="115"/>
      <c r="I231" s="108"/>
    </row>
    <row r="232" spans="1:9" x14ac:dyDescent="0.3">
      <c r="A232" s="114"/>
      <c r="B232" s="111">
        <f>'03_Pipe_Engine'!$C$8*4</f>
        <v>0</v>
      </c>
      <c r="C232" s="63" t="s">
        <v>1628</v>
      </c>
      <c r="D232" s="111"/>
      <c r="E232" s="113"/>
      <c r="F232" s="63" t="s">
        <v>2317</v>
      </c>
      <c r="G232" s="63"/>
      <c r="H232" s="115"/>
      <c r="I232" s="108" t="s">
        <v>67</v>
      </c>
    </row>
    <row r="233" spans="1:9" x14ac:dyDescent="0.3">
      <c r="A233" s="114"/>
      <c r="B233" s="111"/>
      <c r="C233" s="63"/>
      <c r="D233" s="111">
        <f>'03_Pipe_Engine'!$T$8</f>
        <v>2.7</v>
      </c>
      <c r="E233" s="113"/>
      <c r="F233" s="63"/>
      <c r="G233" s="63"/>
      <c r="H233" s="115"/>
      <c r="I233" s="108" t="s">
        <v>2250</v>
      </c>
    </row>
    <row r="234" spans="1:9" x14ac:dyDescent="0.3">
      <c r="A234" s="114"/>
      <c r="B234" s="111"/>
      <c r="C234" s="63"/>
      <c r="D234" s="111">
        <f>'03_Pipe_Engine'!$S$8</f>
        <v>1.0249999999999999</v>
      </c>
      <c r="E234" s="113"/>
      <c r="F234" s="63"/>
      <c r="G234" s="63"/>
      <c r="H234" s="115"/>
      <c r="I234" s="108" t="s">
        <v>2253</v>
      </c>
    </row>
    <row r="235" spans="1:9" x14ac:dyDescent="0.3">
      <c r="A235" s="114"/>
      <c r="B235" s="111"/>
      <c r="C235" s="63"/>
      <c r="D235" s="111">
        <f>'03_Pipe_Engine'!$U$8</f>
        <v>0.2</v>
      </c>
      <c r="E235" s="113">
        <f>N(B232)*N(D233)*N(D234)*N(D235)</f>
        <v>0</v>
      </c>
      <c r="F235" s="63"/>
      <c r="G235" s="63"/>
      <c r="H235" s="115"/>
      <c r="I235" s="108" t="s">
        <v>2260</v>
      </c>
    </row>
    <row r="236" spans="1:9" x14ac:dyDescent="0.3">
      <c r="A236" s="114"/>
      <c r="B236" s="111"/>
      <c r="C236" s="63"/>
      <c r="D236" s="111"/>
      <c r="E236" s="113"/>
      <c r="F236" s="63"/>
      <c r="G236" s="63"/>
      <c r="H236" s="115"/>
      <c r="I236" s="108"/>
    </row>
    <row r="237" spans="1:9" x14ac:dyDescent="0.3">
      <c r="A237" s="114"/>
      <c r="B237" s="111"/>
      <c r="C237" s="63"/>
      <c r="D237" s="111"/>
      <c r="E237" s="113"/>
      <c r="F237" s="63"/>
      <c r="G237" s="63"/>
      <c r="H237" s="115"/>
      <c r="I237" s="108"/>
    </row>
    <row r="238" spans="1:9" x14ac:dyDescent="0.3">
      <c r="A238" s="119" t="s">
        <v>1328</v>
      </c>
      <c r="B238" s="122"/>
      <c r="C238" s="119"/>
      <c r="D238" s="122"/>
      <c r="E238" s="123"/>
      <c r="F238" s="119" t="s">
        <v>2318</v>
      </c>
      <c r="G238" s="119" t="s">
        <v>301</v>
      </c>
      <c r="H238" s="124">
        <f>E241+E245</f>
        <v>0</v>
      </c>
      <c r="I238" s="125" t="str">
        <f>IF(ABS(H238-'03_Pipe_Engine'!$AF$8)&lt;=MAX(0.01,0.005*ABS('03_Pipe_Engine'!$AF$8)),"OK","DIFF")</f>
        <v>OK</v>
      </c>
    </row>
    <row r="239" spans="1:9" x14ac:dyDescent="0.3">
      <c r="A239" s="135"/>
      <c r="B239" s="111">
        <f>'03_Pipe_Engine'!$C$8*2*2</f>
        <v>0</v>
      </c>
      <c r="C239" s="138" t="s">
        <v>1628</v>
      </c>
      <c r="D239" s="111"/>
      <c r="E239" s="113"/>
      <c r="F239" s="138" t="s">
        <v>2319</v>
      </c>
      <c r="G239" s="138"/>
      <c r="H239" s="136"/>
      <c r="I239" s="139" t="s">
        <v>67</v>
      </c>
    </row>
    <row r="240" spans="1:9" x14ac:dyDescent="0.3">
      <c r="A240" s="114"/>
      <c r="B240" s="111"/>
      <c r="C240" s="63"/>
      <c r="D240" s="111">
        <f>'03_Pipe_Engine'!$P$8</f>
        <v>0.6</v>
      </c>
      <c r="E240" s="113"/>
      <c r="F240" s="63"/>
      <c r="G240" s="63"/>
      <c r="H240" s="115"/>
      <c r="I240" s="108" t="s">
        <v>2316</v>
      </c>
    </row>
    <row r="241" spans="1:9" x14ac:dyDescent="0.3">
      <c r="A241" s="114"/>
      <c r="B241" s="111"/>
      <c r="C241" s="63"/>
      <c r="D241" s="111">
        <f>'03_Pipe_Engine'!$Q$8</f>
        <v>0.2</v>
      </c>
      <c r="E241" s="113">
        <f>N(B239)*N(D240)*N(D241)</f>
        <v>0</v>
      </c>
      <c r="F241" s="63"/>
      <c r="G241" s="63"/>
      <c r="H241" s="115"/>
      <c r="I241" s="108" t="s">
        <v>2260</v>
      </c>
    </row>
    <row r="242" spans="1:9" x14ac:dyDescent="0.3">
      <c r="A242" s="114"/>
      <c r="B242" s="111"/>
      <c r="C242" s="63"/>
      <c r="D242" s="111"/>
      <c r="E242" s="113"/>
      <c r="F242" s="63"/>
      <c r="G242" s="63"/>
      <c r="H242" s="115"/>
      <c r="I242" s="108"/>
    </row>
    <row r="243" spans="1:9" x14ac:dyDescent="0.3">
      <c r="A243" s="114"/>
      <c r="B243" s="111">
        <f>'03_Pipe_Engine'!$C$8*4</f>
        <v>0</v>
      </c>
      <c r="C243" s="63" t="s">
        <v>1628</v>
      </c>
      <c r="D243" s="111"/>
      <c r="E243" s="113"/>
      <c r="F243" s="63" t="s">
        <v>2320</v>
      </c>
      <c r="G243" s="63"/>
      <c r="H243" s="115"/>
      <c r="I243" s="108" t="s">
        <v>67</v>
      </c>
    </row>
    <row r="244" spans="1:9" x14ac:dyDescent="0.3">
      <c r="A244" s="114"/>
      <c r="B244" s="111"/>
      <c r="C244" s="63"/>
      <c r="D244" s="111">
        <f>'03_Pipe_Engine'!$R$8</f>
        <v>1</v>
      </c>
      <c r="E244" s="113"/>
      <c r="F244" s="63"/>
      <c r="G244" s="63"/>
      <c r="H244" s="115"/>
      <c r="I244" s="108" t="s">
        <v>2321</v>
      </c>
    </row>
    <row r="245" spans="1:9" x14ac:dyDescent="0.3">
      <c r="A245" s="114"/>
      <c r="B245" s="111"/>
      <c r="C245" s="63"/>
      <c r="D245" s="111">
        <f>'03_Pipe_Engine'!$U$8</f>
        <v>0.2</v>
      </c>
      <c r="E245" s="113">
        <f>N(B243)*N(D244)*N(D245)</f>
        <v>0</v>
      </c>
      <c r="F245" s="63"/>
      <c r="G245" s="63"/>
      <c r="H245" s="115"/>
      <c r="I245" s="108" t="s">
        <v>2260</v>
      </c>
    </row>
    <row r="246" spans="1:9" x14ac:dyDescent="0.3">
      <c r="A246" s="114"/>
      <c r="B246" s="111"/>
      <c r="C246" s="63"/>
      <c r="D246" s="111"/>
      <c r="E246" s="113"/>
      <c r="F246" s="63"/>
      <c r="G246" s="63"/>
      <c r="H246" s="115"/>
      <c r="I246" s="108"/>
    </row>
    <row r="247" spans="1:9" x14ac:dyDescent="0.3">
      <c r="A247" s="114"/>
      <c r="B247" s="111"/>
      <c r="C247" s="63"/>
      <c r="D247" s="111"/>
      <c r="E247" s="113"/>
      <c r="F247" s="63"/>
      <c r="G247" s="63"/>
      <c r="H247" s="115"/>
      <c r="I247" s="108"/>
    </row>
    <row r="248" spans="1:9" x14ac:dyDescent="0.3">
      <c r="A248" s="119" t="s">
        <v>1329</v>
      </c>
      <c r="B248" s="122"/>
      <c r="C248" s="119"/>
      <c r="D248" s="122"/>
      <c r="E248" s="123"/>
      <c r="F248" s="119" t="s">
        <v>2322</v>
      </c>
      <c r="G248" s="119" t="s">
        <v>301</v>
      </c>
      <c r="H248" s="124">
        <f>E251+E255</f>
        <v>0</v>
      </c>
      <c r="I248" s="125" t="str">
        <f>IF(ABS(H248-'03_Pipe_Engine'!$AG$8)&lt;=MAX(0.01,0.005*ABS('03_Pipe_Engine'!$AG$8)),"OK","DIFF")</f>
        <v>OK</v>
      </c>
    </row>
    <row r="249" spans="1:9" x14ac:dyDescent="0.3">
      <c r="A249" s="135"/>
      <c r="B249" s="111">
        <f>'03_Pipe_Engine'!$C$8*2*2</f>
        <v>0</v>
      </c>
      <c r="C249" s="138" t="s">
        <v>1628</v>
      </c>
      <c r="D249" s="111"/>
      <c r="E249" s="113"/>
      <c r="F249" s="138" t="s">
        <v>2323</v>
      </c>
      <c r="G249" s="138"/>
      <c r="H249" s="136"/>
      <c r="I249" s="139" t="s">
        <v>2324</v>
      </c>
    </row>
    <row r="250" spans="1:9" x14ac:dyDescent="0.3">
      <c r="A250" s="114"/>
      <c r="B250" s="111"/>
      <c r="C250" s="63"/>
      <c r="D250" s="111">
        <f>'03_Pipe_Engine'!$T$8</f>
        <v>2.7</v>
      </c>
      <c r="E250" s="113"/>
      <c r="F250" s="63"/>
      <c r="G250" s="63"/>
      <c r="H250" s="115"/>
      <c r="I250" s="108" t="s">
        <v>2250</v>
      </c>
    </row>
    <row r="251" spans="1:9" x14ac:dyDescent="0.3">
      <c r="A251" s="114"/>
      <c r="B251" s="111"/>
      <c r="C251" s="63"/>
      <c r="D251" s="111">
        <f>'03_Pipe_Engine'!$P$8</f>
        <v>0.6</v>
      </c>
      <c r="E251" s="113">
        <f>N(B249)*N(D250)*N(D251)</f>
        <v>0</v>
      </c>
      <c r="F251" s="63"/>
      <c r="G251" s="63"/>
      <c r="H251" s="115"/>
      <c r="I251" s="108" t="s">
        <v>2316</v>
      </c>
    </row>
    <row r="252" spans="1:9" x14ac:dyDescent="0.3">
      <c r="A252" s="114"/>
      <c r="B252" s="111"/>
      <c r="C252" s="63"/>
      <c r="D252" s="111"/>
      <c r="E252" s="113"/>
      <c r="F252" s="63"/>
      <c r="G252" s="63"/>
      <c r="H252" s="115"/>
      <c r="I252" s="108"/>
    </row>
    <row r="253" spans="1:9" x14ac:dyDescent="0.3">
      <c r="A253" s="114"/>
      <c r="B253" s="111">
        <f>'03_Pipe_Engine'!$C$8*4*2</f>
        <v>0</v>
      </c>
      <c r="C253" s="63" t="s">
        <v>1628</v>
      </c>
      <c r="D253" s="111"/>
      <c r="E253" s="113"/>
      <c r="F253" s="63" t="s">
        <v>2325</v>
      </c>
      <c r="G253" s="63"/>
      <c r="H253" s="115"/>
      <c r="I253" s="108" t="s">
        <v>2324</v>
      </c>
    </row>
    <row r="254" spans="1:9" x14ac:dyDescent="0.3">
      <c r="A254" s="114"/>
      <c r="B254" s="111"/>
      <c r="C254" s="63"/>
      <c r="D254" s="111">
        <f>'03_Pipe_Engine'!$T$8</f>
        <v>2.7</v>
      </c>
      <c r="E254" s="113"/>
      <c r="F254" s="63"/>
      <c r="G254" s="63"/>
      <c r="H254" s="115"/>
      <c r="I254" s="108" t="s">
        <v>2250</v>
      </c>
    </row>
    <row r="255" spans="1:9" x14ac:dyDescent="0.3">
      <c r="A255" s="114"/>
      <c r="B255" s="111"/>
      <c r="C255" s="63"/>
      <c r="D255" s="111">
        <f>'03_Pipe_Engine'!$S$8</f>
        <v>1.0249999999999999</v>
      </c>
      <c r="E255" s="113">
        <f>N(B253)*N(D254)*N(D255)</f>
        <v>0</v>
      </c>
      <c r="F255" s="63"/>
      <c r="G255" s="63"/>
      <c r="H255" s="115"/>
      <c r="I255" s="108" t="s">
        <v>2253</v>
      </c>
    </row>
    <row r="256" spans="1:9" x14ac:dyDescent="0.3">
      <c r="A256" s="114"/>
      <c r="B256" s="111"/>
      <c r="C256" s="63"/>
      <c r="D256" s="111"/>
      <c r="E256" s="113"/>
      <c r="F256" s="63"/>
      <c r="G256" s="63"/>
      <c r="H256" s="115"/>
      <c r="I256" s="108"/>
    </row>
    <row r="257" spans="1:9" x14ac:dyDescent="0.3">
      <c r="A257" s="114"/>
      <c r="B257" s="111"/>
      <c r="C257" s="63"/>
      <c r="D257" s="111"/>
      <c r="E257" s="113"/>
      <c r="F257" s="63"/>
      <c r="G257" s="63"/>
      <c r="H257" s="115"/>
      <c r="I257" s="108"/>
    </row>
    <row r="258" spans="1:9" x14ac:dyDescent="0.3">
      <c r="A258" s="119" t="s">
        <v>1330</v>
      </c>
      <c r="B258" s="122"/>
      <c r="C258" s="119"/>
      <c r="D258" s="122"/>
      <c r="E258" s="123"/>
      <c r="F258" s="119" t="s">
        <v>2326</v>
      </c>
      <c r="G258" s="119" t="s">
        <v>63</v>
      </c>
      <c r="H258" s="124">
        <f>E260</f>
        <v>0</v>
      </c>
      <c r="I258" s="125" t="str">
        <f>IF(ABS(H258-'03_Pipe_Engine'!$AH$8)&lt;=MAX(0.01,0.005*ABS('03_Pipe_Engine'!$AH$8)),"OK","DIFF")</f>
        <v>OK</v>
      </c>
    </row>
    <row r="259" spans="1:9" x14ac:dyDescent="0.3">
      <c r="A259" s="135"/>
      <c r="B259" s="111">
        <f>'03_Pipe_Engine'!$F$8</f>
        <v>3</v>
      </c>
      <c r="C259" s="138" t="s">
        <v>1628</v>
      </c>
      <c r="D259" s="111"/>
      <c r="E259" s="113"/>
      <c r="F259" s="138" t="s">
        <v>2327</v>
      </c>
      <c r="G259" s="138"/>
      <c r="H259" s="136"/>
      <c r="I259" s="139" t="s">
        <v>2328</v>
      </c>
    </row>
    <row r="260" spans="1:9" x14ac:dyDescent="0.3">
      <c r="A260" s="114"/>
      <c r="B260" s="111"/>
      <c r="C260" s="63"/>
      <c r="D260" s="111">
        <f>'03_Pipe_Engine'!$D$8</f>
        <v>0</v>
      </c>
      <c r="E260" s="113">
        <f>N(B259)*N(D260)</f>
        <v>0</v>
      </c>
      <c r="F260" s="63"/>
      <c r="G260" s="63"/>
      <c r="H260" s="115"/>
      <c r="I260" s="108" t="s">
        <v>2301</v>
      </c>
    </row>
    <row r="261" spans="1:9" x14ac:dyDescent="0.3">
      <c r="A261" s="114"/>
      <c r="B261" s="111"/>
      <c r="C261" s="63"/>
      <c r="D261" s="111"/>
      <c r="E261" s="113"/>
      <c r="F261" s="63"/>
      <c r="G261" s="63"/>
      <c r="H261" s="115"/>
      <c r="I261" s="108"/>
    </row>
    <row r="262" spans="1:9" x14ac:dyDescent="0.3">
      <c r="A262" s="114"/>
      <c r="B262" s="111"/>
      <c r="C262" s="63"/>
      <c r="D262" s="111"/>
      <c r="E262" s="113"/>
      <c r="F262" s="63"/>
      <c r="G262" s="63"/>
      <c r="H262" s="115"/>
      <c r="I262" s="108"/>
    </row>
    <row r="263" spans="1:9" x14ac:dyDescent="0.3">
      <c r="A263" s="119" t="s">
        <v>1337</v>
      </c>
      <c r="B263" s="122"/>
      <c r="C263" s="119"/>
      <c r="D263" s="122"/>
      <c r="E263" s="123"/>
      <c r="F263" s="119" t="s">
        <v>2329</v>
      </c>
      <c r="G263" s="119" t="s">
        <v>63</v>
      </c>
      <c r="H263" s="124">
        <f>E264</f>
        <v>0</v>
      </c>
      <c r="I263" s="125" t="str">
        <f>IF(ABS(H263-'03_Pipe_Engine'!$AO$8)&lt;=MAX(0.01,0.005*ABS('03_Pipe_Engine'!$AO$8)),"OK","DIFF")</f>
        <v>OK</v>
      </c>
    </row>
    <row r="264" spans="1:9" x14ac:dyDescent="0.3">
      <c r="A264" s="135"/>
      <c r="B264" s="111">
        <f>'03_Pipe_Engine'!$D$8</f>
        <v>0</v>
      </c>
      <c r="C264" s="138" t="s">
        <v>1628</v>
      </c>
      <c r="D264" s="111"/>
      <c r="E264" s="113">
        <f>N(B264)</f>
        <v>0</v>
      </c>
      <c r="F264" s="138" t="s">
        <v>2330</v>
      </c>
      <c r="G264" s="138"/>
      <c r="H264" s="136"/>
      <c r="I264" s="139" t="s">
        <v>2301</v>
      </c>
    </row>
    <row r="265" spans="1:9" x14ac:dyDescent="0.3">
      <c r="A265" s="114"/>
      <c r="B265" s="111"/>
      <c r="C265" s="63"/>
      <c r="D265" s="111"/>
      <c r="E265" s="113"/>
      <c r="F265" s="63"/>
      <c r="G265" s="63"/>
      <c r="H265" s="115"/>
      <c r="I265" s="108"/>
    </row>
    <row r="266" spans="1:9" x14ac:dyDescent="0.3">
      <c r="A266" s="114"/>
      <c r="B266" s="111"/>
      <c r="C266" s="63"/>
      <c r="D266" s="111"/>
      <c r="E266" s="113"/>
      <c r="F266" s="63"/>
      <c r="G266" s="63"/>
      <c r="H266" s="115"/>
      <c r="I266" s="108"/>
    </row>
    <row r="267" spans="1:9" x14ac:dyDescent="0.3">
      <c r="A267" s="114"/>
      <c r="B267" s="111"/>
      <c r="C267" s="63"/>
      <c r="D267" s="111"/>
      <c r="E267" s="113"/>
      <c r="F267" s="63"/>
      <c r="G267" s="63"/>
      <c r="H267" s="115"/>
      <c r="I267" s="108"/>
    </row>
    <row r="268" spans="1:9" x14ac:dyDescent="0.3">
      <c r="A268" s="131" t="s">
        <v>1411</v>
      </c>
      <c r="B268" s="158"/>
      <c r="C268" s="131"/>
      <c r="D268" s="158"/>
      <c r="E268" s="132"/>
      <c r="F268" s="131" t="str">
        <f>IF('03_Pipe_Engine'!$C$9=0,"none in this project",'03_Pipe_Engine'!$C$9&amp;" nr,  total length "&amp;'03_Pipe_Engine'!$D$9&amp;" m")</f>
        <v>none in this project</v>
      </c>
      <c r="G268" s="131"/>
      <c r="H268" s="133"/>
      <c r="I268" s="134"/>
    </row>
    <row r="269" spans="1:9" x14ac:dyDescent="0.3">
      <c r="A269" s="119" t="s">
        <v>1322</v>
      </c>
      <c r="B269" s="122"/>
      <c r="C269" s="119"/>
      <c r="D269" s="122"/>
      <c r="E269" s="123"/>
      <c r="F269" s="119" t="s">
        <v>1373</v>
      </c>
      <c r="G269" s="119" t="s">
        <v>300</v>
      </c>
      <c r="H269" s="124">
        <f>E272+E277+E282+E287</f>
        <v>0</v>
      </c>
      <c r="I269" s="125" t="str">
        <f>IF(ABS(H269-'03_Pipe_Engine'!$Y$9)&lt;=MAX(0.01,0.005*ABS('03_Pipe_Engine'!$Y$9)),"OK","DIFF")</f>
        <v>OK</v>
      </c>
    </row>
    <row r="270" spans="1:9" x14ac:dyDescent="0.3">
      <c r="A270" s="135"/>
      <c r="B270" s="111">
        <f>'03_Pipe_Engine'!$D$9</f>
        <v>0</v>
      </c>
      <c r="C270" s="138" t="s">
        <v>1628</v>
      </c>
      <c r="D270" s="111"/>
      <c r="E270" s="113"/>
      <c r="F270" s="138" t="s">
        <v>2300</v>
      </c>
      <c r="G270" s="138"/>
      <c r="H270" s="136"/>
      <c r="I270" s="139" t="s">
        <v>2301</v>
      </c>
    </row>
    <row r="271" spans="1:9" x14ac:dyDescent="0.3">
      <c r="A271" s="114"/>
      <c r="B271" s="111"/>
      <c r="C271" s="63"/>
      <c r="D271" s="111">
        <f>'03_Pipe_Engine'!$J$9</f>
        <v>1.35</v>
      </c>
      <c r="E271" s="113"/>
      <c r="F271" s="63"/>
      <c r="G271" s="63"/>
      <c r="H271" s="115"/>
      <c r="I271" s="108" t="s">
        <v>2302</v>
      </c>
    </row>
    <row r="272" spans="1:9" x14ac:dyDescent="0.3">
      <c r="A272" s="114"/>
      <c r="B272" s="111"/>
      <c r="C272" s="63"/>
      <c r="D272" s="111">
        <f>'03_Pipe_Engine'!$L$9</f>
        <v>0.4</v>
      </c>
      <c r="E272" s="113">
        <f>N(B270)*N(D271)*N(D272)</f>
        <v>0</v>
      </c>
      <c r="F272" s="63"/>
      <c r="G272" s="63"/>
      <c r="H272" s="115"/>
      <c r="I272" s="108" t="s">
        <v>2303</v>
      </c>
    </row>
    <row r="273" spans="1:9" x14ac:dyDescent="0.3">
      <c r="A273" s="114"/>
      <c r="B273" s="111"/>
      <c r="C273" s="63"/>
      <c r="D273" s="111"/>
      <c r="E273" s="113"/>
      <c r="F273" s="63"/>
      <c r="G273" s="63"/>
      <c r="H273" s="115"/>
      <c r="I273" s="108"/>
    </row>
    <row r="274" spans="1:9" x14ac:dyDescent="0.3">
      <c r="A274" s="114"/>
      <c r="B274" s="111">
        <f>'03_Pipe_Engine'!$C$9*2</f>
        <v>0</v>
      </c>
      <c r="C274" s="63" t="s">
        <v>1628</v>
      </c>
      <c r="D274" s="111"/>
      <c r="E274" s="113"/>
      <c r="F274" s="63" t="s">
        <v>2304</v>
      </c>
      <c r="G274" s="63"/>
      <c r="H274" s="115"/>
      <c r="I274" s="108" t="s">
        <v>67</v>
      </c>
    </row>
    <row r="275" spans="1:9" x14ac:dyDescent="0.3">
      <c r="A275" s="114"/>
      <c r="B275" s="111"/>
      <c r="C275" s="63"/>
      <c r="D275" s="111">
        <f>'03_Pipe_Engine'!$N$9</f>
        <v>1.4139999999999999</v>
      </c>
      <c r="E275" s="113"/>
      <c r="F275" s="63"/>
      <c r="G275" s="63"/>
      <c r="H275" s="115"/>
      <c r="I275" s="108" t="s">
        <v>2305</v>
      </c>
    </row>
    <row r="276" spans="1:9" x14ac:dyDescent="0.3">
      <c r="A276" s="114"/>
      <c r="B276" s="111"/>
      <c r="C276" s="63"/>
      <c r="D276" s="111">
        <f>('03_Pipe_Engine'!$J$9+'03_Pipe_Engine'!$O$9)/2</f>
        <v>2.7640000000000002</v>
      </c>
      <c r="E276" s="113"/>
      <c r="F276" s="63"/>
      <c r="G276" s="63"/>
      <c r="H276" s="115"/>
      <c r="I276" s="108" t="s">
        <v>2251</v>
      </c>
    </row>
    <row r="277" spans="1:9" x14ac:dyDescent="0.3">
      <c r="A277" s="114"/>
      <c r="B277" s="111"/>
      <c r="C277" s="63"/>
      <c r="D277" s="111">
        <f>'03_Pipe_Engine'!$L$9</f>
        <v>0.4</v>
      </c>
      <c r="E277" s="113">
        <f>N(B274)*N(D275)*N(D276)*N(D277)</f>
        <v>0</v>
      </c>
      <c r="F277" s="63"/>
      <c r="G277" s="63"/>
      <c r="H277" s="115"/>
      <c r="I277" s="108" t="s">
        <v>2303</v>
      </c>
    </row>
    <row r="278" spans="1:9" x14ac:dyDescent="0.3">
      <c r="A278" s="114"/>
      <c r="B278" s="111"/>
      <c r="C278" s="63"/>
      <c r="D278" s="111"/>
      <c r="E278" s="113"/>
      <c r="F278" s="63"/>
      <c r="G278" s="63"/>
      <c r="H278" s="115"/>
      <c r="I278" s="108"/>
    </row>
    <row r="279" spans="1:9" x14ac:dyDescent="0.3">
      <c r="A279" s="114"/>
      <c r="B279" s="111">
        <f>'03_Pipe_Engine'!$C$9*4</f>
        <v>0</v>
      </c>
      <c r="C279" s="63" t="s">
        <v>1628</v>
      </c>
      <c r="D279" s="111"/>
      <c r="E279" s="113"/>
      <c r="F279" s="63" t="s">
        <v>2306</v>
      </c>
      <c r="G279" s="63"/>
      <c r="H279" s="115"/>
      <c r="I279" s="108" t="s">
        <v>67</v>
      </c>
    </row>
    <row r="280" spans="1:9" x14ac:dyDescent="0.3">
      <c r="A280" s="114"/>
      <c r="B280" s="111"/>
      <c r="C280" s="63"/>
      <c r="D280" s="111">
        <f>'03_Pipe_Engine'!$T$9</f>
        <v>1.35</v>
      </c>
      <c r="E280" s="113"/>
      <c r="F280" s="63"/>
      <c r="G280" s="63"/>
      <c r="H280" s="115"/>
      <c r="I280" s="108" t="s">
        <v>2250</v>
      </c>
    </row>
    <row r="281" spans="1:9" x14ac:dyDescent="0.3">
      <c r="A281" s="114"/>
      <c r="B281" s="111"/>
      <c r="C281" s="63"/>
      <c r="D281" s="111">
        <f>0.5</f>
        <v>0.5</v>
      </c>
      <c r="E281" s="113"/>
      <c r="F281" s="63"/>
      <c r="G281" s="63"/>
      <c r="H281" s="115"/>
      <c r="I281" s="108" t="s">
        <v>2249</v>
      </c>
    </row>
    <row r="282" spans="1:9" x14ac:dyDescent="0.3">
      <c r="A282" s="114"/>
      <c r="B282" s="111"/>
      <c r="C282" s="63"/>
      <c r="D282" s="111">
        <f>'03_Pipe_Engine'!$L$9</f>
        <v>0.4</v>
      </c>
      <c r="E282" s="113">
        <f>N(B279)*N(D280)*N(D281)*N(D282)</f>
        <v>0</v>
      </c>
      <c r="F282" s="63"/>
      <c r="G282" s="63"/>
      <c r="H282" s="115"/>
      <c r="I282" s="108" t="s">
        <v>2303</v>
      </c>
    </row>
    <row r="283" spans="1:9" x14ac:dyDescent="0.3">
      <c r="A283" s="114"/>
      <c r="B283" s="111"/>
      <c r="C283" s="63"/>
      <c r="D283" s="111"/>
      <c r="E283" s="113"/>
      <c r="F283" s="63"/>
      <c r="G283" s="63"/>
      <c r="H283" s="115"/>
      <c r="I283" s="108"/>
    </row>
    <row r="284" spans="1:9" x14ac:dyDescent="0.3">
      <c r="A284" s="114"/>
      <c r="B284" s="111">
        <f>'03_Pipe_Engine'!$C$9*2</f>
        <v>0</v>
      </c>
      <c r="C284" s="63" t="s">
        <v>1628</v>
      </c>
      <c r="D284" s="111"/>
      <c r="E284" s="113"/>
      <c r="F284" s="63" t="s">
        <v>2307</v>
      </c>
      <c r="G284" s="63"/>
      <c r="H284" s="115"/>
      <c r="I284" s="108" t="s">
        <v>67</v>
      </c>
    </row>
    <row r="285" spans="1:9" x14ac:dyDescent="0.3">
      <c r="A285" s="114"/>
      <c r="B285" s="111"/>
      <c r="C285" s="63"/>
      <c r="D285" s="111">
        <f>'03_Pipe_Engine'!$O$9</f>
        <v>4.1779999999999999</v>
      </c>
      <c r="E285" s="113"/>
      <c r="F285" s="63"/>
      <c r="G285" s="63"/>
      <c r="H285" s="115"/>
      <c r="I285" s="108" t="s">
        <v>2308</v>
      </c>
    </row>
    <row r="286" spans="1:9" x14ac:dyDescent="0.3">
      <c r="A286" s="114"/>
      <c r="B286" s="111"/>
      <c r="C286" s="63"/>
      <c r="D286" s="111">
        <f>'03_Pipe_Engine'!$X$9</f>
        <v>0.45</v>
      </c>
      <c r="E286" s="113"/>
      <c r="F286" s="63"/>
      <c r="G286" s="63"/>
      <c r="H286" s="115"/>
      <c r="I286" s="108" t="s">
        <v>2309</v>
      </c>
    </row>
    <row r="287" spans="1:9" x14ac:dyDescent="0.3">
      <c r="A287" s="114"/>
      <c r="B287" s="111"/>
      <c r="C287" s="63"/>
      <c r="D287" s="111">
        <f>'03_Pipe_Engine'!$L$9</f>
        <v>0.4</v>
      </c>
      <c r="E287" s="113">
        <f>N(B284)*N(D285)*N(D286)*N(D287)</f>
        <v>0</v>
      </c>
      <c r="F287" s="63"/>
      <c r="G287" s="63"/>
      <c r="H287" s="115"/>
      <c r="I287" s="108" t="s">
        <v>2303</v>
      </c>
    </row>
    <row r="288" spans="1:9" x14ac:dyDescent="0.3">
      <c r="A288" s="114"/>
      <c r="B288" s="111"/>
      <c r="C288" s="63"/>
      <c r="D288" s="111"/>
      <c r="E288" s="113"/>
      <c r="F288" s="63"/>
      <c r="G288" s="63"/>
      <c r="H288" s="115"/>
      <c r="I288" s="108"/>
    </row>
    <row r="289" spans="1:9" x14ac:dyDescent="0.3">
      <c r="A289" s="114"/>
      <c r="B289" s="111"/>
      <c r="C289" s="63"/>
      <c r="D289" s="111"/>
      <c r="E289" s="113"/>
      <c r="F289" s="63"/>
      <c r="G289" s="63"/>
      <c r="H289" s="115"/>
      <c r="I289" s="108"/>
    </row>
    <row r="290" spans="1:9" x14ac:dyDescent="0.3">
      <c r="A290" s="119" t="s">
        <v>1323</v>
      </c>
      <c r="B290" s="122"/>
      <c r="C290" s="119"/>
      <c r="D290" s="122"/>
      <c r="E290" s="123"/>
      <c r="F290" s="119" t="s">
        <v>2310</v>
      </c>
      <c r="G290" s="119" t="s">
        <v>300</v>
      </c>
      <c r="H290" s="124">
        <f>E293</f>
        <v>0</v>
      </c>
      <c r="I290" s="125" t="str">
        <f>IF(ABS(H290-'03_Pipe_Engine'!$Z$9)&lt;=MAX(0.01,0.005*ABS('03_Pipe_Engine'!$Z$9)),"OK","DIFF")</f>
        <v>OK</v>
      </c>
    </row>
    <row r="291" spans="1:9" x14ac:dyDescent="0.3">
      <c r="A291" s="135"/>
      <c r="B291" s="111">
        <f>'03_Pipe_Engine'!$D$9</f>
        <v>0</v>
      </c>
      <c r="C291" s="138" t="s">
        <v>1628</v>
      </c>
      <c r="D291" s="111"/>
      <c r="E291" s="113"/>
      <c r="F291" s="138" t="s">
        <v>2311</v>
      </c>
      <c r="G291" s="138"/>
      <c r="H291" s="136"/>
      <c r="I291" s="139" t="s">
        <v>2301</v>
      </c>
    </row>
    <row r="292" spans="1:9" x14ac:dyDescent="0.3">
      <c r="A292" s="114"/>
      <c r="B292" s="111"/>
      <c r="C292" s="63"/>
      <c r="D292" s="111">
        <f>'03_Pipe_Engine'!$J$9</f>
        <v>1.35</v>
      </c>
      <c r="E292" s="113"/>
      <c r="F292" s="63"/>
      <c r="G292" s="63"/>
      <c r="H292" s="115"/>
      <c r="I292" s="108" t="s">
        <v>2249</v>
      </c>
    </row>
    <row r="293" spans="1:9" x14ac:dyDescent="0.3">
      <c r="A293" s="114"/>
      <c r="B293" s="111"/>
      <c r="C293" s="63"/>
      <c r="D293" s="111">
        <f>'03_Pipe_Engine'!$M$9</f>
        <v>0.05</v>
      </c>
      <c r="E293" s="113">
        <f>N(B291)*N(D292)*N(D293)</f>
        <v>0</v>
      </c>
      <c r="F293" s="63"/>
      <c r="G293" s="63"/>
      <c r="H293" s="115"/>
      <c r="I293" s="108" t="s">
        <v>2260</v>
      </c>
    </row>
    <row r="294" spans="1:9" x14ac:dyDescent="0.3">
      <c r="A294" s="114"/>
      <c r="B294" s="111"/>
      <c r="C294" s="63"/>
      <c r="D294" s="111"/>
      <c r="E294" s="113"/>
      <c r="F294" s="63"/>
      <c r="G294" s="63"/>
      <c r="H294" s="115"/>
      <c r="I294" s="108"/>
    </row>
    <row r="295" spans="1:9" x14ac:dyDescent="0.3">
      <c r="A295" s="114"/>
      <c r="B295" s="111"/>
      <c r="C295" s="63"/>
      <c r="D295" s="111"/>
      <c r="E295" s="113"/>
      <c r="F295" s="63"/>
      <c r="G295" s="63"/>
      <c r="H295" s="115"/>
      <c r="I295" s="108"/>
    </row>
    <row r="296" spans="1:9" x14ac:dyDescent="0.3">
      <c r="A296" s="119" t="s">
        <v>1326</v>
      </c>
      <c r="B296" s="122"/>
      <c r="C296" s="119"/>
      <c r="D296" s="122"/>
      <c r="E296" s="123"/>
      <c r="F296" s="119" t="s">
        <v>2312</v>
      </c>
      <c r="G296" s="119" t="s">
        <v>300</v>
      </c>
      <c r="H296" s="124">
        <f>E300+E305+E310</f>
        <v>0</v>
      </c>
      <c r="I296" s="125" t="str">
        <f>IF(ABS(H296-'03_Pipe_Engine'!$AD$9)&lt;=MAX(0.01,0.005*ABS('03_Pipe_Engine'!$AD$9)),"OK","DIFF")</f>
        <v>OK</v>
      </c>
    </row>
    <row r="297" spans="1:9" x14ac:dyDescent="0.3">
      <c r="A297" s="135"/>
      <c r="B297" s="111">
        <f>'03_Pipe_Engine'!$C$9*2</f>
        <v>0</v>
      </c>
      <c r="C297" s="138" t="s">
        <v>1628</v>
      </c>
      <c r="D297" s="111"/>
      <c r="E297" s="113"/>
      <c r="F297" s="138" t="s">
        <v>2313</v>
      </c>
      <c r="G297" s="138"/>
      <c r="H297" s="136"/>
      <c r="I297" s="139" t="s">
        <v>67</v>
      </c>
    </row>
    <row r="298" spans="1:9" x14ac:dyDescent="0.3">
      <c r="A298" s="114"/>
      <c r="B298" s="111"/>
      <c r="C298" s="63"/>
      <c r="D298" s="111">
        <f>'03_Pipe_Engine'!$N$9</f>
        <v>1.4139999999999999</v>
      </c>
      <c r="E298" s="113"/>
      <c r="F298" s="63"/>
      <c r="G298" s="63"/>
      <c r="H298" s="115"/>
      <c r="I298" s="108" t="s">
        <v>2250</v>
      </c>
    </row>
    <row r="299" spans="1:9" x14ac:dyDescent="0.3">
      <c r="A299" s="114"/>
      <c r="B299" s="111"/>
      <c r="C299" s="63"/>
      <c r="D299" s="111">
        <f>('03_Pipe_Engine'!$J$9+'03_Pipe_Engine'!$O$9)/2</f>
        <v>2.7640000000000002</v>
      </c>
      <c r="E299" s="113"/>
      <c r="F299" s="63"/>
      <c r="G299" s="63"/>
      <c r="H299" s="115"/>
      <c r="I299" s="108" t="s">
        <v>2251</v>
      </c>
    </row>
    <row r="300" spans="1:9" x14ac:dyDescent="0.3">
      <c r="A300" s="114"/>
      <c r="B300" s="111"/>
      <c r="C300" s="63"/>
      <c r="D300" s="111">
        <f>'03_Pipe_Engine'!$V$9</f>
        <v>0.2</v>
      </c>
      <c r="E300" s="113">
        <f>N(B297)*N(D298)*N(D299)*N(D300)</f>
        <v>0</v>
      </c>
      <c r="F300" s="63"/>
      <c r="G300" s="63"/>
      <c r="H300" s="115"/>
      <c r="I300" s="108" t="s">
        <v>2260</v>
      </c>
    </row>
    <row r="301" spans="1:9" x14ac:dyDescent="0.3">
      <c r="A301" s="114"/>
      <c r="B301" s="111"/>
      <c r="C301" s="63"/>
      <c r="D301" s="111"/>
      <c r="E301" s="113"/>
      <c r="F301" s="63"/>
      <c r="G301" s="63"/>
      <c r="H301" s="115"/>
      <c r="I301" s="108"/>
    </row>
    <row r="302" spans="1:9" x14ac:dyDescent="0.3">
      <c r="A302" s="114"/>
      <c r="B302" s="111">
        <f>'03_Pipe_Engine'!$C$9*4</f>
        <v>0</v>
      </c>
      <c r="C302" s="63" t="s">
        <v>1628</v>
      </c>
      <c r="D302" s="111"/>
      <c r="E302" s="113"/>
      <c r="F302" s="63" t="s">
        <v>2306</v>
      </c>
      <c r="G302" s="63"/>
      <c r="H302" s="115"/>
      <c r="I302" s="108" t="s">
        <v>67</v>
      </c>
    </row>
    <row r="303" spans="1:9" x14ac:dyDescent="0.3">
      <c r="A303" s="114"/>
      <c r="B303" s="111"/>
      <c r="C303" s="63"/>
      <c r="D303" s="111">
        <f>'03_Pipe_Engine'!$T$9</f>
        <v>1.35</v>
      </c>
      <c r="E303" s="113"/>
      <c r="F303" s="63"/>
      <c r="G303" s="63"/>
      <c r="H303" s="115"/>
      <c r="I303" s="108" t="s">
        <v>2250</v>
      </c>
    </row>
    <row r="304" spans="1:9" x14ac:dyDescent="0.3">
      <c r="A304" s="114"/>
      <c r="B304" s="111"/>
      <c r="C304" s="63"/>
      <c r="D304" s="111">
        <f>0.5</f>
        <v>0.5</v>
      </c>
      <c r="E304" s="113"/>
      <c r="F304" s="63"/>
      <c r="G304" s="63"/>
      <c r="H304" s="115"/>
      <c r="I304" s="108" t="s">
        <v>2249</v>
      </c>
    </row>
    <row r="305" spans="1:9" x14ac:dyDescent="0.3">
      <c r="A305" s="114"/>
      <c r="B305" s="111"/>
      <c r="C305" s="63"/>
      <c r="D305" s="111">
        <f>'03_Pipe_Engine'!$V$9</f>
        <v>0.2</v>
      </c>
      <c r="E305" s="113">
        <f>N(B302)*N(D303)*N(D304)*N(D305)</f>
        <v>0</v>
      </c>
      <c r="F305" s="63"/>
      <c r="G305" s="63"/>
      <c r="H305" s="115"/>
      <c r="I305" s="108" t="s">
        <v>2260</v>
      </c>
    </row>
    <row r="306" spans="1:9" x14ac:dyDescent="0.3">
      <c r="A306" s="114"/>
      <c r="B306" s="111"/>
      <c r="C306" s="63"/>
      <c r="D306" s="111"/>
      <c r="E306" s="113"/>
      <c r="F306" s="63"/>
      <c r="G306" s="63"/>
      <c r="H306" s="115"/>
      <c r="I306" s="108"/>
    </row>
    <row r="307" spans="1:9" x14ac:dyDescent="0.3">
      <c r="A307" s="114"/>
      <c r="B307" s="111">
        <f>'03_Pipe_Engine'!$C$9*2</f>
        <v>0</v>
      </c>
      <c r="C307" s="63" t="s">
        <v>1628</v>
      </c>
      <c r="D307" s="111"/>
      <c r="E307" s="113"/>
      <c r="F307" s="63" t="s">
        <v>2307</v>
      </c>
      <c r="G307" s="63"/>
      <c r="H307" s="115"/>
      <c r="I307" s="108" t="s">
        <v>67</v>
      </c>
    </row>
    <row r="308" spans="1:9" x14ac:dyDescent="0.3">
      <c r="A308" s="114"/>
      <c r="B308" s="111"/>
      <c r="C308" s="63"/>
      <c r="D308" s="111">
        <f>'03_Pipe_Engine'!$O$9</f>
        <v>4.1779999999999999</v>
      </c>
      <c r="E308" s="113"/>
      <c r="F308" s="63"/>
      <c r="G308" s="63"/>
      <c r="H308" s="115"/>
      <c r="I308" s="108" t="s">
        <v>2249</v>
      </c>
    </row>
    <row r="309" spans="1:9" x14ac:dyDescent="0.3">
      <c r="A309" s="114"/>
      <c r="B309" s="111"/>
      <c r="C309" s="63"/>
      <c r="D309" s="111">
        <f>'03_Pipe_Engine'!$X$9</f>
        <v>0.45</v>
      </c>
      <c r="E309" s="113"/>
      <c r="F309" s="63"/>
      <c r="G309" s="63"/>
      <c r="H309" s="115"/>
      <c r="I309" s="108" t="s">
        <v>2303</v>
      </c>
    </row>
    <row r="310" spans="1:9" x14ac:dyDescent="0.3">
      <c r="A310" s="114"/>
      <c r="B310" s="111"/>
      <c r="C310" s="63"/>
      <c r="D310" s="111">
        <f>'03_Pipe_Engine'!$V$9</f>
        <v>0.2</v>
      </c>
      <c r="E310" s="113">
        <f>N(B307)*N(D308)*N(D309)*N(D310)</f>
        <v>0</v>
      </c>
      <c r="F310" s="63"/>
      <c r="G310" s="63"/>
      <c r="H310" s="115"/>
      <c r="I310" s="108" t="s">
        <v>2260</v>
      </c>
    </row>
    <row r="311" spans="1:9" x14ac:dyDescent="0.3">
      <c r="A311" s="114"/>
      <c r="B311" s="111"/>
      <c r="C311" s="63"/>
      <c r="D311" s="111"/>
      <c r="E311" s="113"/>
      <c r="F311" s="63"/>
      <c r="G311" s="63"/>
      <c r="H311" s="115"/>
      <c r="I311" s="108"/>
    </row>
    <row r="312" spans="1:9" x14ac:dyDescent="0.3">
      <c r="A312" s="114"/>
      <c r="B312" s="111"/>
      <c r="C312" s="63"/>
      <c r="D312" s="111"/>
      <c r="E312" s="113"/>
      <c r="F312" s="63"/>
      <c r="G312" s="63"/>
      <c r="H312" s="115"/>
      <c r="I312" s="108"/>
    </row>
    <row r="313" spans="1:9" x14ac:dyDescent="0.3">
      <c r="A313" s="119" t="s">
        <v>1327</v>
      </c>
      <c r="B313" s="122"/>
      <c r="C313" s="119"/>
      <c r="D313" s="122"/>
      <c r="E313" s="123"/>
      <c r="F313" s="119" t="s">
        <v>2314</v>
      </c>
      <c r="G313" s="119" t="s">
        <v>300</v>
      </c>
      <c r="H313" s="124">
        <f>E317+E322</f>
        <v>0</v>
      </c>
      <c r="I313" s="125" t="str">
        <f>IF(ABS(H313-'03_Pipe_Engine'!$AE$9)&lt;=MAX(0.01,0.005*ABS('03_Pipe_Engine'!$AE$9)),"OK","DIFF")</f>
        <v>OK</v>
      </c>
    </row>
    <row r="314" spans="1:9" x14ac:dyDescent="0.3">
      <c r="A314" s="135"/>
      <c r="B314" s="111">
        <f>'03_Pipe_Engine'!$C$9*2</f>
        <v>0</v>
      </c>
      <c r="C314" s="138" t="s">
        <v>1628</v>
      </c>
      <c r="D314" s="111"/>
      <c r="E314" s="113"/>
      <c r="F314" s="138" t="s">
        <v>2315</v>
      </c>
      <c r="G314" s="138"/>
      <c r="H314" s="136"/>
      <c r="I314" s="139" t="s">
        <v>67</v>
      </c>
    </row>
    <row r="315" spans="1:9" x14ac:dyDescent="0.3">
      <c r="A315" s="114"/>
      <c r="B315" s="111"/>
      <c r="C315" s="63"/>
      <c r="D315" s="111">
        <f>'03_Pipe_Engine'!$T$9</f>
        <v>1.35</v>
      </c>
      <c r="E315" s="113"/>
      <c r="F315" s="63"/>
      <c r="G315" s="63"/>
      <c r="H315" s="115"/>
      <c r="I315" s="108" t="s">
        <v>2250</v>
      </c>
    </row>
    <row r="316" spans="1:9" x14ac:dyDescent="0.3">
      <c r="A316" s="114"/>
      <c r="B316" s="111"/>
      <c r="C316" s="63"/>
      <c r="D316" s="111">
        <f>'03_Pipe_Engine'!$P$9</f>
        <v>0.6</v>
      </c>
      <c r="E316" s="113"/>
      <c r="F316" s="63"/>
      <c r="G316" s="63"/>
      <c r="H316" s="115"/>
      <c r="I316" s="108" t="s">
        <v>2316</v>
      </c>
    </row>
    <row r="317" spans="1:9" x14ac:dyDescent="0.3">
      <c r="A317" s="114"/>
      <c r="B317" s="111"/>
      <c r="C317" s="63"/>
      <c r="D317" s="111">
        <f>'03_Pipe_Engine'!$Q$9</f>
        <v>0.2</v>
      </c>
      <c r="E317" s="113">
        <f>N(B314)*N(D315)*N(D316)*N(D317)</f>
        <v>0</v>
      </c>
      <c r="F317" s="63"/>
      <c r="G317" s="63"/>
      <c r="H317" s="115"/>
      <c r="I317" s="108" t="s">
        <v>2260</v>
      </c>
    </row>
    <row r="318" spans="1:9" x14ac:dyDescent="0.3">
      <c r="A318" s="114"/>
      <c r="B318" s="111"/>
      <c r="C318" s="63"/>
      <c r="D318" s="111"/>
      <c r="E318" s="113"/>
      <c r="F318" s="63"/>
      <c r="G318" s="63"/>
      <c r="H318" s="115"/>
      <c r="I318" s="108"/>
    </row>
    <row r="319" spans="1:9" x14ac:dyDescent="0.3">
      <c r="A319" s="114"/>
      <c r="B319" s="111">
        <f>'03_Pipe_Engine'!$C$9*4</f>
        <v>0</v>
      </c>
      <c r="C319" s="63" t="s">
        <v>1628</v>
      </c>
      <c r="D319" s="111"/>
      <c r="E319" s="113"/>
      <c r="F319" s="63" t="s">
        <v>2317</v>
      </c>
      <c r="G319" s="63"/>
      <c r="H319" s="115"/>
      <c r="I319" s="108" t="s">
        <v>67</v>
      </c>
    </row>
    <row r="320" spans="1:9" x14ac:dyDescent="0.3">
      <c r="A320" s="114"/>
      <c r="B320" s="111"/>
      <c r="C320" s="63"/>
      <c r="D320" s="111">
        <f>'03_Pipe_Engine'!$T$9</f>
        <v>1.35</v>
      </c>
      <c r="E320" s="113"/>
      <c r="F320" s="63"/>
      <c r="G320" s="63"/>
      <c r="H320" s="115"/>
      <c r="I320" s="108" t="s">
        <v>2250</v>
      </c>
    </row>
    <row r="321" spans="1:9" x14ac:dyDescent="0.3">
      <c r="A321" s="114"/>
      <c r="B321" s="111"/>
      <c r="C321" s="63"/>
      <c r="D321" s="111">
        <f>'03_Pipe_Engine'!$S$9</f>
        <v>1.175</v>
      </c>
      <c r="E321" s="113"/>
      <c r="F321" s="63"/>
      <c r="G321" s="63"/>
      <c r="H321" s="115"/>
      <c r="I321" s="108" t="s">
        <v>2253</v>
      </c>
    </row>
    <row r="322" spans="1:9" x14ac:dyDescent="0.3">
      <c r="A322" s="114"/>
      <c r="B322" s="111"/>
      <c r="C322" s="63"/>
      <c r="D322" s="111">
        <f>'03_Pipe_Engine'!$U$9</f>
        <v>0.2</v>
      </c>
      <c r="E322" s="113">
        <f>N(B319)*N(D320)*N(D321)*N(D322)</f>
        <v>0</v>
      </c>
      <c r="F322" s="63"/>
      <c r="G322" s="63"/>
      <c r="H322" s="115"/>
      <c r="I322" s="108" t="s">
        <v>2260</v>
      </c>
    </row>
    <row r="323" spans="1:9" x14ac:dyDescent="0.3">
      <c r="A323" s="114"/>
      <c r="B323" s="111"/>
      <c r="C323" s="63"/>
      <c r="D323" s="111"/>
      <c r="E323" s="113"/>
      <c r="F323" s="63"/>
      <c r="G323" s="63"/>
      <c r="H323" s="115"/>
      <c r="I323" s="108"/>
    </row>
    <row r="324" spans="1:9" x14ac:dyDescent="0.3">
      <c r="A324" s="114"/>
      <c r="B324" s="111"/>
      <c r="C324" s="63"/>
      <c r="D324" s="111"/>
      <c r="E324" s="113"/>
      <c r="F324" s="63"/>
      <c r="G324" s="63"/>
      <c r="H324" s="115"/>
      <c r="I324" s="108"/>
    </row>
    <row r="325" spans="1:9" x14ac:dyDescent="0.3">
      <c r="A325" s="119" t="s">
        <v>1328</v>
      </c>
      <c r="B325" s="122"/>
      <c r="C325" s="119"/>
      <c r="D325" s="122"/>
      <c r="E325" s="123"/>
      <c r="F325" s="119" t="s">
        <v>2318</v>
      </c>
      <c r="G325" s="119" t="s">
        <v>301</v>
      </c>
      <c r="H325" s="124">
        <f>E328+E332</f>
        <v>0</v>
      </c>
      <c r="I325" s="125" t="str">
        <f>IF(ABS(H325-'03_Pipe_Engine'!$AF$9)&lt;=MAX(0.01,0.005*ABS('03_Pipe_Engine'!$AF$9)),"OK","DIFF")</f>
        <v>OK</v>
      </c>
    </row>
    <row r="326" spans="1:9" x14ac:dyDescent="0.3">
      <c r="A326" s="135"/>
      <c r="B326" s="111">
        <f>'03_Pipe_Engine'!$C$9*2*2</f>
        <v>0</v>
      </c>
      <c r="C326" s="138" t="s">
        <v>1628</v>
      </c>
      <c r="D326" s="111"/>
      <c r="E326" s="113"/>
      <c r="F326" s="138" t="s">
        <v>2319</v>
      </c>
      <c r="G326" s="138"/>
      <c r="H326" s="136"/>
      <c r="I326" s="139" t="s">
        <v>67</v>
      </c>
    </row>
    <row r="327" spans="1:9" x14ac:dyDescent="0.3">
      <c r="A327" s="114"/>
      <c r="B327" s="111"/>
      <c r="C327" s="63"/>
      <c r="D327" s="111">
        <f>'03_Pipe_Engine'!$P$9</f>
        <v>0.6</v>
      </c>
      <c r="E327" s="113"/>
      <c r="F327" s="63"/>
      <c r="G327" s="63"/>
      <c r="H327" s="115"/>
      <c r="I327" s="108" t="s">
        <v>2316</v>
      </c>
    </row>
    <row r="328" spans="1:9" x14ac:dyDescent="0.3">
      <c r="A328" s="114"/>
      <c r="B328" s="111"/>
      <c r="C328" s="63"/>
      <c r="D328" s="111">
        <f>'03_Pipe_Engine'!$Q$9</f>
        <v>0.2</v>
      </c>
      <c r="E328" s="113">
        <f>N(B326)*N(D327)*N(D328)</f>
        <v>0</v>
      </c>
      <c r="F328" s="63"/>
      <c r="G328" s="63"/>
      <c r="H328" s="115"/>
      <c r="I328" s="108" t="s">
        <v>2260</v>
      </c>
    </row>
    <row r="329" spans="1:9" x14ac:dyDescent="0.3">
      <c r="A329" s="114"/>
      <c r="B329" s="111"/>
      <c r="C329" s="63"/>
      <c r="D329" s="111"/>
      <c r="E329" s="113"/>
      <c r="F329" s="63"/>
      <c r="G329" s="63"/>
      <c r="H329" s="115"/>
      <c r="I329" s="108"/>
    </row>
    <row r="330" spans="1:9" x14ac:dyDescent="0.3">
      <c r="A330" s="114"/>
      <c r="B330" s="111">
        <f>'03_Pipe_Engine'!$C$9*4</f>
        <v>0</v>
      </c>
      <c r="C330" s="63" t="s">
        <v>1628</v>
      </c>
      <c r="D330" s="111"/>
      <c r="E330" s="113"/>
      <c r="F330" s="63" t="s">
        <v>2320</v>
      </c>
      <c r="G330" s="63"/>
      <c r="H330" s="115"/>
      <c r="I330" s="108" t="s">
        <v>67</v>
      </c>
    </row>
    <row r="331" spans="1:9" x14ac:dyDescent="0.3">
      <c r="A331" s="114"/>
      <c r="B331" s="111"/>
      <c r="C331" s="63"/>
      <c r="D331" s="111">
        <f>'03_Pipe_Engine'!$R$9</f>
        <v>1</v>
      </c>
      <c r="E331" s="113"/>
      <c r="F331" s="63"/>
      <c r="G331" s="63"/>
      <c r="H331" s="115"/>
      <c r="I331" s="108" t="s">
        <v>2321</v>
      </c>
    </row>
    <row r="332" spans="1:9" x14ac:dyDescent="0.3">
      <c r="A332" s="114"/>
      <c r="B332" s="111"/>
      <c r="C332" s="63"/>
      <c r="D332" s="111">
        <f>'03_Pipe_Engine'!$U$9</f>
        <v>0.2</v>
      </c>
      <c r="E332" s="113">
        <f>N(B330)*N(D331)*N(D332)</f>
        <v>0</v>
      </c>
      <c r="F332" s="63"/>
      <c r="G332" s="63"/>
      <c r="H332" s="115"/>
      <c r="I332" s="108" t="s">
        <v>2260</v>
      </c>
    </row>
    <row r="333" spans="1:9" x14ac:dyDescent="0.3">
      <c r="A333" s="114"/>
      <c r="B333" s="111"/>
      <c r="C333" s="63"/>
      <c r="D333" s="111"/>
      <c r="E333" s="113"/>
      <c r="F333" s="63"/>
      <c r="G333" s="63"/>
      <c r="H333" s="115"/>
      <c r="I333" s="108"/>
    </row>
    <row r="334" spans="1:9" x14ac:dyDescent="0.3">
      <c r="A334" s="114"/>
      <c r="B334" s="111"/>
      <c r="C334" s="63"/>
      <c r="D334" s="111"/>
      <c r="E334" s="113"/>
      <c r="F334" s="63"/>
      <c r="G334" s="63"/>
      <c r="H334" s="115"/>
      <c r="I334" s="108"/>
    </row>
    <row r="335" spans="1:9" x14ac:dyDescent="0.3">
      <c r="A335" s="119" t="s">
        <v>1329</v>
      </c>
      <c r="B335" s="122"/>
      <c r="C335" s="119"/>
      <c r="D335" s="122"/>
      <c r="E335" s="123"/>
      <c r="F335" s="119" t="s">
        <v>2322</v>
      </c>
      <c r="G335" s="119" t="s">
        <v>301</v>
      </c>
      <c r="H335" s="124">
        <f>E338+E342</f>
        <v>0</v>
      </c>
      <c r="I335" s="125" t="str">
        <f>IF(ABS(H335-'03_Pipe_Engine'!$AG$9)&lt;=MAX(0.01,0.005*ABS('03_Pipe_Engine'!$AG$9)),"OK","DIFF")</f>
        <v>OK</v>
      </c>
    </row>
    <row r="336" spans="1:9" x14ac:dyDescent="0.3">
      <c r="A336" s="135"/>
      <c r="B336" s="111">
        <f>'03_Pipe_Engine'!$C$9*2*2</f>
        <v>0</v>
      </c>
      <c r="C336" s="138" t="s">
        <v>1628</v>
      </c>
      <c r="D336" s="111"/>
      <c r="E336" s="113"/>
      <c r="F336" s="138" t="s">
        <v>2323</v>
      </c>
      <c r="G336" s="138"/>
      <c r="H336" s="136"/>
      <c r="I336" s="139" t="s">
        <v>2324</v>
      </c>
    </row>
    <row r="337" spans="1:9" x14ac:dyDescent="0.3">
      <c r="A337" s="114"/>
      <c r="B337" s="111"/>
      <c r="C337" s="63"/>
      <c r="D337" s="111">
        <f>'03_Pipe_Engine'!$T$9</f>
        <v>1.35</v>
      </c>
      <c r="E337" s="113"/>
      <c r="F337" s="63"/>
      <c r="G337" s="63"/>
      <c r="H337" s="115"/>
      <c r="I337" s="108" t="s">
        <v>2250</v>
      </c>
    </row>
    <row r="338" spans="1:9" x14ac:dyDescent="0.3">
      <c r="A338" s="114"/>
      <c r="B338" s="111"/>
      <c r="C338" s="63"/>
      <c r="D338" s="111">
        <f>'03_Pipe_Engine'!$P$9</f>
        <v>0.6</v>
      </c>
      <c r="E338" s="113">
        <f>N(B336)*N(D337)*N(D338)</f>
        <v>0</v>
      </c>
      <c r="F338" s="63"/>
      <c r="G338" s="63"/>
      <c r="H338" s="115"/>
      <c r="I338" s="108" t="s">
        <v>2316</v>
      </c>
    </row>
    <row r="339" spans="1:9" x14ac:dyDescent="0.3">
      <c r="A339" s="114"/>
      <c r="B339" s="111"/>
      <c r="C339" s="63"/>
      <c r="D339" s="111"/>
      <c r="E339" s="113"/>
      <c r="F339" s="63"/>
      <c r="G339" s="63"/>
      <c r="H339" s="115"/>
      <c r="I339" s="108"/>
    </row>
    <row r="340" spans="1:9" x14ac:dyDescent="0.3">
      <c r="A340" s="114"/>
      <c r="B340" s="111">
        <f>'03_Pipe_Engine'!$C$9*4*2</f>
        <v>0</v>
      </c>
      <c r="C340" s="63" t="s">
        <v>1628</v>
      </c>
      <c r="D340" s="111"/>
      <c r="E340" s="113"/>
      <c r="F340" s="63" t="s">
        <v>2325</v>
      </c>
      <c r="G340" s="63"/>
      <c r="H340" s="115"/>
      <c r="I340" s="108" t="s">
        <v>2324</v>
      </c>
    </row>
    <row r="341" spans="1:9" x14ac:dyDescent="0.3">
      <c r="A341" s="114"/>
      <c r="B341" s="111"/>
      <c r="C341" s="63"/>
      <c r="D341" s="111">
        <f>'03_Pipe_Engine'!$T$9</f>
        <v>1.35</v>
      </c>
      <c r="E341" s="113"/>
      <c r="F341" s="63"/>
      <c r="G341" s="63"/>
      <c r="H341" s="115"/>
      <c r="I341" s="108" t="s">
        <v>2250</v>
      </c>
    </row>
    <row r="342" spans="1:9" x14ac:dyDescent="0.3">
      <c r="A342" s="114"/>
      <c r="B342" s="111"/>
      <c r="C342" s="63"/>
      <c r="D342" s="111">
        <f>'03_Pipe_Engine'!$S$9</f>
        <v>1.175</v>
      </c>
      <c r="E342" s="113">
        <f>N(B340)*N(D341)*N(D342)</f>
        <v>0</v>
      </c>
      <c r="F342" s="63"/>
      <c r="G342" s="63"/>
      <c r="H342" s="115"/>
      <c r="I342" s="108" t="s">
        <v>2253</v>
      </c>
    </row>
    <row r="343" spans="1:9" x14ac:dyDescent="0.3">
      <c r="A343" s="114"/>
      <c r="B343" s="111"/>
      <c r="C343" s="63"/>
      <c r="D343" s="111"/>
      <c r="E343" s="113"/>
      <c r="F343" s="63"/>
      <c r="G343" s="63"/>
      <c r="H343" s="115"/>
      <c r="I343" s="108"/>
    </row>
    <row r="344" spans="1:9" x14ac:dyDescent="0.3">
      <c r="A344" s="114"/>
      <c r="B344" s="111"/>
      <c r="C344" s="63"/>
      <c r="D344" s="111"/>
      <c r="E344" s="113"/>
      <c r="F344" s="63"/>
      <c r="G344" s="63"/>
      <c r="H344" s="115"/>
      <c r="I344" s="108"/>
    </row>
    <row r="345" spans="1:9" x14ac:dyDescent="0.3">
      <c r="A345" s="119" t="s">
        <v>1331</v>
      </c>
      <c r="B345" s="122"/>
      <c r="C345" s="119"/>
      <c r="D345" s="122"/>
      <c r="E345" s="123"/>
      <c r="F345" s="119" t="s">
        <v>2331</v>
      </c>
      <c r="G345" s="119" t="s">
        <v>63</v>
      </c>
      <c r="H345" s="124">
        <f>E347</f>
        <v>0</v>
      </c>
      <c r="I345" s="125" t="str">
        <f>IF(ABS(H345-'03_Pipe_Engine'!$AI$9)&lt;=MAX(0.01,0.005*ABS('03_Pipe_Engine'!$AI$9)),"OK","DIFF")</f>
        <v>OK</v>
      </c>
    </row>
    <row r="346" spans="1:9" x14ac:dyDescent="0.3">
      <c r="A346" s="135"/>
      <c r="B346" s="111">
        <f>'03_Pipe_Engine'!$F$9</f>
        <v>1</v>
      </c>
      <c r="C346" s="138" t="s">
        <v>1628</v>
      </c>
      <c r="D346" s="111"/>
      <c r="E346" s="113"/>
      <c r="F346" s="138" t="s">
        <v>2327</v>
      </c>
      <c r="G346" s="138"/>
      <c r="H346" s="136"/>
      <c r="I346" s="139" t="s">
        <v>2328</v>
      </c>
    </row>
    <row r="347" spans="1:9" x14ac:dyDescent="0.3">
      <c r="A347" s="114"/>
      <c r="B347" s="111"/>
      <c r="C347" s="63"/>
      <c r="D347" s="111">
        <f>'03_Pipe_Engine'!$D$9</f>
        <v>0</v>
      </c>
      <c r="E347" s="113">
        <f>N(B346)*N(D347)</f>
        <v>0</v>
      </c>
      <c r="F347" s="63"/>
      <c r="G347" s="63"/>
      <c r="H347" s="115"/>
      <c r="I347" s="108" t="s">
        <v>2301</v>
      </c>
    </row>
    <row r="348" spans="1:9" x14ac:dyDescent="0.3">
      <c r="A348" s="114"/>
      <c r="B348" s="111"/>
      <c r="C348" s="63"/>
      <c r="D348" s="111"/>
      <c r="E348" s="113"/>
      <c r="F348" s="63"/>
      <c r="G348" s="63"/>
      <c r="H348" s="115"/>
      <c r="I348" s="108"/>
    </row>
    <row r="349" spans="1:9" x14ac:dyDescent="0.3">
      <c r="A349" s="114"/>
      <c r="B349" s="111"/>
      <c r="C349" s="63"/>
      <c r="D349" s="111"/>
      <c r="E349" s="113"/>
      <c r="F349" s="63"/>
      <c r="G349" s="63"/>
      <c r="H349" s="115"/>
      <c r="I349" s="108"/>
    </row>
    <row r="350" spans="1:9" x14ac:dyDescent="0.3">
      <c r="A350" s="119" t="s">
        <v>1338</v>
      </c>
      <c r="B350" s="122"/>
      <c r="C350" s="119"/>
      <c r="D350" s="122"/>
      <c r="E350" s="123"/>
      <c r="F350" s="119" t="s">
        <v>2329</v>
      </c>
      <c r="G350" s="119" t="s">
        <v>63</v>
      </c>
      <c r="H350" s="124">
        <f>E351</f>
        <v>0</v>
      </c>
      <c r="I350" s="125" t="str">
        <f>IF(ABS(H350-'03_Pipe_Engine'!$AP$9)&lt;=MAX(0.01,0.005*ABS('03_Pipe_Engine'!$AP$9)),"OK","DIFF")</f>
        <v>OK</v>
      </c>
    </row>
    <row r="351" spans="1:9" x14ac:dyDescent="0.3">
      <c r="A351" s="135"/>
      <c r="B351" s="111">
        <f>'03_Pipe_Engine'!$D$9</f>
        <v>0</v>
      </c>
      <c r="C351" s="138" t="s">
        <v>1628</v>
      </c>
      <c r="D351" s="111"/>
      <c r="E351" s="113">
        <f>N(B351)</f>
        <v>0</v>
      </c>
      <c r="F351" s="138" t="s">
        <v>2330</v>
      </c>
      <c r="G351" s="138"/>
      <c r="H351" s="136"/>
      <c r="I351" s="139" t="s">
        <v>2301</v>
      </c>
    </row>
    <row r="352" spans="1:9" x14ac:dyDescent="0.3">
      <c r="A352" s="114"/>
      <c r="B352" s="111"/>
      <c r="C352" s="63"/>
      <c r="D352" s="111"/>
      <c r="E352" s="113"/>
      <c r="F352" s="63"/>
      <c r="G352" s="63"/>
      <c r="H352" s="115"/>
      <c r="I352" s="108"/>
    </row>
    <row r="353" spans="1:9" x14ac:dyDescent="0.3">
      <c r="A353" s="114"/>
      <c r="B353" s="111"/>
      <c r="C353" s="63"/>
      <c r="D353" s="111"/>
      <c r="E353" s="113"/>
      <c r="F353" s="63"/>
      <c r="G353" s="63"/>
      <c r="H353" s="115"/>
      <c r="I353" s="108"/>
    </row>
    <row r="354" spans="1:9" x14ac:dyDescent="0.3">
      <c r="A354" s="114"/>
      <c r="B354" s="111"/>
      <c r="C354" s="63"/>
      <c r="D354" s="111"/>
      <c r="E354" s="113"/>
      <c r="F354" s="63"/>
      <c r="G354" s="63"/>
      <c r="H354" s="115"/>
      <c r="I354" s="108"/>
    </row>
    <row r="355" spans="1:9" x14ac:dyDescent="0.3">
      <c r="A355" s="131" t="s">
        <v>1413</v>
      </c>
      <c r="B355" s="158"/>
      <c r="C355" s="131"/>
      <c r="D355" s="158"/>
      <c r="E355" s="132"/>
      <c r="F355" s="131" t="str">
        <f>IF('03_Pipe_Engine'!$C$10=0,"none in this project",'03_Pipe_Engine'!$C$10&amp;" nr,  total length "&amp;'03_Pipe_Engine'!$D$10&amp;" m")</f>
        <v>none in this project</v>
      </c>
      <c r="G355" s="131"/>
      <c r="H355" s="133"/>
      <c r="I355" s="134"/>
    </row>
    <row r="356" spans="1:9" x14ac:dyDescent="0.3">
      <c r="A356" s="119" t="s">
        <v>1322</v>
      </c>
      <c r="B356" s="122"/>
      <c r="C356" s="119"/>
      <c r="D356" s="122"/>
      <c r="E356" s="123"/>
      <c r="F356" s="119" t="s">
        <v>1373</v>
      </c>
      <c r="G356" s="119" t="s">
        <v>300</v>
      </c>
      <c r="H356" s="124">
        <f>E359+E364+E369+E374</f>
        <v>0</v>
      </c>
      <c r="I356" s="125" t="str">
        <f>IF(ABS(H356-'03_Pipe_Engine'!$Y$10)&lt;=MAX(0.01,0.005*ABS('03_Pipe_Engine'!$Y$10)),"OK","DIFF")</f>
        <v>OK</v>
      </c>
    </row>
    <row r="357" spans="1:9" x14ac:dyDescent="0.3">
      <c r="A357" s="135"/>
      <c r="B357" s="111">
        <f>'03_Pipe_Engine'!$D$10</f>
        <v>0</v>
      </c>
      <c r="C357" s="138" t="s">
        <v>1628</v>
      </c>
      <c r="D357" s="111"/>
      <c r="E357" s="113"/>
      <c r="F357" s="138" t="s">
        <v>2300</v>
      </c>
      <c r="G357" s="138"/>
      <c r="H357" s="136"/>
      <c r="I357" s="139" t="s">
        <v>2301</v>
      </c>
    </row>
    <row r="358" spans="1:9" x14ac:dyDescent="0.3">
      <c r="A358" s="114"/>
      <c r="B358" s="111"/>
      <c r="C358" s="63"/>
      <c r="D358" s="111">
        <f>'03_Pipe_Engine'!$J$10</f>
        <v>2.4750000000000001</v>
      </c>
      <c r="E358" s="113"/>
      <c r="F358" s="63"/>
      <c r="G358" s="63"/>
      <c r="H358" s="115"/>
      <c r="I358" s="108" t="s">
        <v>2302</v>
      </c>
    </row>
    <row r="359" spans="1:9" x14ac:dyDescent="0.3">
      <c r="A359" s="114"/>
      <c r="B359" s="111"/>
      <c r="C359" s="63"/>
      <c r="D359" s="111">
        <f>'03_Pipe_Engine'!$L$10</f>
        <v>0.4</v>
      </c>
      <c r="E359" s="113">
        <f>N(B357)*N(D358)*N(D359)</f>
        <v>0</v>
      </c>
      <c r="F359" s="63"/>
      <c r="G359" s="63"/>
      <c r="H359" s="115"/>
      <c r="I359" s="108" t="s">
        <v>2303</v>
      </c>
    </row>
    <row r="360" spans="1:9" x14ac:dyDescent="0.3">
      <c r="A360" s="114"/>
      <c r="B360" s="111"/>
      <c r="C360" s="63"/>
      <c r="D360" s="111"/>
      <c r="E360" s="113"/>
      <c r="F360" s="63"/>
      <c r="G360" s="63"/>
      <c r="H360" s="115"/>
      <c r="I360" s="108"/>
    </row>
    <row r="361" spans="1:9" x14ac:dyDescent="0.3">
      <c r="A361" s="114"/>
      <c r="B361" s="111">
        <f>'03_Pipe_Engine'!$C$10*2</f>
        <v>0</v>
      </c>
      <c r="C361" s="63" t="s">
        <v>1628</v>
      </c>
      <c r="D361" s="111"/>
      <c r="E361" s="113"/>
      <c r="F361" s="63" t="s">
        <v>2304</v>
      </c>
      <c r="G361" s="63"/>
      <c r="H361" s="115"/>
      <c r="I361" s="108" t="s">
        <v>67</v>
      </c>
    </row>
    <row r="362" spans="1:9" x14ac:dyDescent="0.3">
      <c r="A362" s="114"/>
      <c r="B362" s="111"/>
      <c r="C362" s="63"/>
      <c r="D362" s="111">
        <f>'03_Pipe_Engine'!$N$10</f>
        <v>1.4139999999999999</v>
      </c>
      <c r="E362" s="113"/>
      <c r="F362" s="63"/>
      <c r="G362" s="63"/>
      <c r="H362" s="115"/>
      <c r="I362" s="108" t="s">
        <v>2305</v>
      </c>
    </row>
    <row r="363" spans="1:9" x14ac:dyDescent="0.3">
      <c r="A363" s="114"/>
      <c r="B363" s="111"/>
      <c r="C363" s="63"/>
      <c r="D363" s="111">
        <f>('03_Pipe_Engine'!$J$10+'03_Pipe_Engine'!$O$10)/2</f>
        <v>3.8890000000000002</v>
      </c>
      <c r="E363" s="113"/>
      <c r="F363" s="63"/>
      <c r="G363" s="63"/>
      <c r="H363" s="115"/>
      <c r="I363" s="108" t="s">
        <v>2251</v>
      </c>
    </row>
    <row r="364" spans="1:9" x14ac:dyDescent="0.3">
      <c r="A364" s="114"/>
      <c r="B364" s="111"/>
      <c r="C364" s="63"/>
      <c r="D364" s="111">
        <f>'03_Pipe_Engine'!$L$10</f>
        <v>0.4</v>
      </c>
      <c r="E364" s="113">
        <f>N(B361)*N(D362)*N(D363)*N(D364)</f>
        <v>0</v>
      </c>
      <c r="F364" s="63"/>
      <c r="G364" s="63"/>
      <c r="H364" s="115"/>
      <c r="I364" s="108" t="s">
        <v>2303</v>
      </c>
    </row>
    <row r="365" spans="1:9" x14ac:dyDescent="0.3">
      <c r="A365" s="114"/>
      <c r="B365" s="111"/>
      <c r="C365" s="63"/>
      <c r="D365" s="111"/>
      <c r="E365" s="113"/>
      <c r="F365" s="63"/>
      <c r="G365" s="63"/>
      <c r="H365" s="115"/>
      <c r="I365" s="108"/>
    </row>
    <row r="366" spans="1:9" x14ac:dyDescent="0.3">
      <c r="A366" s="114"/>
      <c r="B366" s="111">
        <f>'03_Pipe_Engine'!$C$10*4</f>
        <v>0</v>
      </c>
      <c r="C366" s="63" t="s">
        <v>1628</v>
      </c>
      <c r="D366" s="111"/>
      <c r="E366" s="113"/>
      <c r="F366" s="63" t="s">
        <v>2306</v>
      </c>
      <c r="G366" s="63"/>
      <c r="H366" s="115"/>
      <c r="I366" s="108" t="s">
        <v>67</v>
      </c>
    </row>
    <row r="367" spans="1:9" x14ac:dyDescent="0.3">
      <c r="A367" s="114"/>
      <c r="B367" s="111"/>
      <c r="C367" s="63"/>
      <c r="D367" s="111">
        <f>'03_Pipe_Engine'!$T$10</f>
        <v>2.4750000000000001</v>
      </c>
      <c r="E367" s="113"/>
      <c r="F367" s="63"/>
      <c r="G367" s="63"/>
      <c r="H367" s="115"/>
      <c r="I367" s="108" t="s">
        <v>2250</v>
      </c>
    </row>
    <row r="368" spans="1:9" x14ac:dyDescent="0.3">
      <c r="A368" s="114"/>
      <c r="B368" s="111"/>
      <c r="C368" s="63"/>
      <c r="D368" s="111">
        <f>0.5</f>
        <v>0.5</v>
      </c>
      <c r="E368" s="113"/>
      <c r="F368" s="63"/>
      <c r="G368" s="63"/>
      <c r="H368" s="115"/>
      <c r="I368" s="108" t="s">
        <v>2249</v>
      </c>
    </row>
    <row r="369" spans="1:9" x14ac:dyDescent="0.3">
      <c r="A369" s="114"/>
      <c r="B369" s="111"/>
      <c r="C369" s="63"/>
      <c r="D369" s="111">
        <f>'03_Pipe_Engine'!$L$10</f>
        <v>0.4</v>
      </c>
      <c r="E369" s="113">
        <f>N(B366)*N(D367)*N(D368)*N(D369)</f>
        <v>0</v>
      </c>
      <c r="F369" s="63"/>
      <c r="G369" s="63"/>
      <c r="H369" s="115"/>
      <c r="I369" s="108" t="s">
        <v>2303</v>
      </c>
    </row>
    <row r="370" spans="1:9" x14ac:dyDescent="0.3">
      <c r="A370" s="114"/>
      <c r="B370" s="111"/>
      <c r="C370" s="63"/>
      <c r="D370" s="111"/>
      <c r="E370" s="113"/>
      <c r="F370" s="63"/>
      <c r="G370" s="63"/>
      <c r="H370" s="115"/>
      <c r="I370" s="108"/>
    </row>
    <row r="371" spans="1:9" x14ac:dyDescent="0.3">
      <c r="A371" s="114"/>
      <c r="B371" s="111">
        <f>'03_Pipe_Engine'!$C$10*2</f>
        <v>0</v>
      </c>
      <c r="C371" s="63" t="s">
        <v>1628</v>
      </c>
      <c r="D371" s="111"/>
      <c r="E371" s="113"/>
      <c r="F371" s="63" t="s">
        <v>2307</v>
      </c>
      <c r="G371" s="63"/>
      <c r="H371" s="115"/>
      <c r="I371" s="108" t="s">
        <v>67</v>
      </c>
    </row>
    <row r="372" spans="1:9" x14ac:dyDescent="0.3">
      <c r="A372" s="114"/>
      <c r="B372" s="111"/>
      <c r="C372" s="63"/>
      <c r="D372" s="111">
        <f>'03_Pipe_Engine'!$O$10</f>
        <v>5.3029999999999999</v>
      </c>
      <c r="E372" s="113"/>
      <c r="F372" s="63"/>
      <c r="G372" s="63"/>
      <c r="H372" s="115"/>
      <c r="I372" s="108" t="s">
        <v>2308</v>
      </c>
    </row>
    <row r="373" spans="1:9" x14ac:dyDescent="0.3">
      <c r="A373" s="114"/>
      <c r="B373" s="111"/>
      <c r="C373" s="63"/>
      <c r="D373" s="111">
        <f>'03_Pipe_Engine'!$X$10</f>
        <v>0.45</v>
      </c>
      <c r="E373" s="113"/>
      <c r="F373" s="63"/>
      <c r="G373" s="63"/>
      <c r="H373" s="115"/>
      <c r="I373" s="108" t="s">
        <v>2309</v>
      </c>
    </row>
    <row r="374" spans="1:9" x14ac:dyDescent="0.3">
      <c r="A374" s="114"/>
      <c r="B374" s="111"/>
      <c r="C374" s="63"/>
      <c r="D374" s="111">
        <f>'03_Pipe_Engine'!$L$10</f>
        <v>0.4</v>
      </c>
      <c r="E374" s="113">
        <f>N(B371)*N(D372)*N(D373)*N(D374)</f>
        <v>0</v>
      </c>
      <c r="F374" s="63"/>
      <c r="G374" s="63"/>
      <c r="H374" s="115"/>
      <c r="I374" s="108" t="s">
        <v>2303</v>
      </c>
    </row>
    <row r="375" spans="1:9" x14ac:dyDescent="0.3">
      <c r="A375" s="114"/>
      <c r="B375" s="111"/>
      <c r="C375" s="63"/>
      <c r="D375" s="111"/>
      <c r="E375" s="113"/>
      <c r="F375" s="63"/>
      <c r="G375" s="63"/>
      <c r="H375" s="115"/>
      <c r="I375" s="108"/>
    </row>
    <row r="376" spans="1:9" x14ac:dyDescent="0.3">
      <c r="A376" s="114"/>
      <c r="B376" s="111"/>
      <c r="C376" s="63"/>
      <c r="D376" s="111"/>
      <c r="E376" s="113"/>
      <c r="F376" s="63"/>
      <c r="G376" s="63"/>
      <c r="H376" s="115"/>
      <c r="I376" s="108"/>
    </row>
    <row r="377" spans="1:9" x14ac:dyDescent="0.3">
      <c r="A377" s="119" t="s">
        <v>1323</v>
      </c>
      <c r="B377" s="122"/>
      <c r="C377" s="119"/>
      <c r="D377" s="122"/>
      <c r="E377" s="123"/>
      <c r="F377" s="119" t="s">
        <v>2310</v>
      </c>
      <c r="G377" s="119" t="s">
        <v>300</v>
      </c>
      <c r="H377" s="124">
        <f>E380</f>
        <v>0</v>
      </c>
      <c r="I377" s="125" t="str">
        <f>IF(ABS(H377-'03_Pipe_Engine'!$Z$10)&lt;=MAX(0.01,0.005*ABS('03_Pipe_Engine'!$Z$10)),"OK","DIFF")</f>
        <v>OK</v>
      </c>
    </row>
    <row r="378" spans="1:9" x14ac:dyDescent="0.3">
      <c r="A378" s="135"/>
      <c r="B378" s="111">
        <f>'03_Pipe_Engine'!$D$10</f>
        <v>0</v>
      </c>
      <c r="C378" s="138" t="s">
        <v>1628</v>
      </c>
      <c r="D378" s="111"/>
      <c r="E378" s="113"/>
      <c r="F378" s="138" t="s">
        <v>2311</v>
      </c>
      <c r="G378" s="138"/>
      <c r="H378" s="136"/>
      <c r="I378" s="139" t="s">
        <v>2301</v>
      </c>
    </row>
    <row r="379" spans="1:9" x14ac:dyDescent="0.3">
      <c r="A379" s="114"/>
      <c r="B379" s="111"/>
      <c r="C379" s="63"/>
      <c r="D379" s="111">
        <f>'03_Pipe_Engine'!$J$10</f>
        <v>2.4750000000000001</v>
      </c>
      <c r="E379" s="113"/>
      <c r="F379" s="63"/>
      <c r="G379" s="63"/>
      <c r="H379" s="115"/>
      <c r="I379" s="108" t="s">
        <v>2249</v>
      </c>
    </row>
    <row r="380" spans="1:9" x14ac:dyDescent="0.3">
      <c r="A380" s="114"/>
      <c r="B380" s="111"/>
      <c r="C380" s="63"/>
      <c r="D380" s="111">
        <f>'03_Pipe_Engine'!$M$10</f>
        <v>0.05</v>
      </c>
      <c r="E380" s="113">
        <f>N(B378)*N(D379)*N(D380)</f>
        <v>0</v>
      </c>
      <c r="F380" s="63"/>
      <c r="G380" s="63"/>
      <c r="H380" s="115"/>
      <c r="I380" s="108" t="s">
        <v>2260</v>
      </c>
    </row>
    <row r="381" spans="1:9" x14ac:dyDescent="0.3">
      <c r="A381" s="114"/>
      <c r="B381" s="111"/>
      <c r="C381" s="63"/>
      <c r="D381" s="111"/>
      <c r="E381" s="113"/>
      <c r="F381" s="63"/>
      <c r="G381" s="63"/>
      <c r="H381" s="115"/>
      <c r="I381" s="108"/>
    </row>
    <row r="382" spans="1:9" x14ac:dyDescent="0.3">
      <c r="A382" s="114"/>
      <c r="B382" s="111"/>
      <c r="C382" s="63"/>
      <c r="D382" s="111"/>
      <c r="E382" s="113"/>
      <c r="F382" s="63"/>
      <c r="G382" s="63"/>
      <c r="H382" s="115"/>
      <c r="I382" s="108"/>
    </row>
    <row r="383" spans="1:9" x14ac:dyDescent="0.3">
      <c r="A383" s="119" t="s">
        <v>1326</v>
      </c>
      <c r="B383" s="122"/>
      <c r="C383" s="119"/>
      <c r="D383" s="122"/>
      <c r="E383" s="123"/>
      <c r="F383" s="119" t="s">
        <v>2312</v>
      </c>
      <c r="G383" s="119" t="s">
        <v>300</v>
      </c>
      <c r="H383" s="124">
        <f>E387+E392+E397</f>
        <v>0</v>
      </c>
      <c r="I383" s="125" t="str">
        <f>IF(ABS(H383-'03_Pipe_Engine'!$AD$10)&lt;=MAX(0.01,0.005*ABS('03_Pipe_Engine'!$AD$10)),"OK","DIFF")</f>
        <v>OK</v>
      </c>
    </row>
    <row r="384" spans="1:9" x14ac:dyDescent="0.3">
      <c r="A384" s="135"/>
      <c r="B384" s="111">
        <f>'03_Pipe_Engine'!$C$10*2</f>
        <v>0</v>
      </c>
      <c r="C384" s="138" t="s">
        <v>1628</v>
      </c>
      <c r="D384" s="111"/>
      <c r="E384" s="113"/>
      <c r="F384" s="138" t="s">
        <v>2313</v>
      </c>
      <c r="G384" s="138"/>
      <c r="H384" s="136"/>
      <c r="I384" s="139" t="s">
        <v>67</v>
      </c>
    </row>
    <row r="385" spans="1:9" x14ac:dyDescent="0.3">
      <c r="A385" s="114"/>
      <c r="B385" s="111"/>
      <c r="C385" s="63"/>
      <c r="D385" s="111">
        <f>'03_Pipe_Engine'!$N$10</f>
        <v>1.4139999999999999</v>
      </c>
      <c r="E385" s="113"/>
      <c r="F385" s="63"/>
      <c r="G385" s="63"/>
      <c r="H385" s="115"/>
      <c r="I385" s="108" t="s">
        <v>2250</v>
      </c>
    </row>
    <row r="386" spans="1:9" x14ac:dyDescent="0.3">
      <c r="A386" s="114"/>
      <c r="B386" s="111"/>
      <c r="C386" s="63"/>
      <c r="D386" s="111">
        <f>('03_Pipe_Engine'!$J$10+'03_Pipe_Engine'!$O$10)/2</f>
        <v>3.8890000000000002</v>
      </c>
      <c r="E386" s="113"/>
      <c r="F386" s="63"/>
      <c r="G386" s="63"/>
      <c r="H386" s="115"/>
      <c r="I386" s="108" t="s">
        <v>2251</v>
      </c>
    </row>
    <row r="387" spans="1:9" x14ac:dyDescent="0.3">
      <c r="A387" s="114"/>
      <c r="B387" s="111"/>
      <c r="C387" s="63"/>
      <c r="D387" s="111">
        <f>'03_Pipe_Engine'!$V$10</f>
        <v>0.2</v>
      </c>
      <c r="E387" s="113">
        <f>N(B384)*N(D385)*N(D386)*N(D387)</f>
        <v>0</v>
      </c>
      <c r="F387" s="63"/>
      <c r="G387" s="63"/>
      <c r="H387" s="115"/>
      <c r="I387" s="108" t="s">
        <v>2260</v>
      </c>
    </row>
    <row r="388" spans="1:9" x14ac:dyDescent="0.3">
      <c r="A388" s="114"/>
      <c r="B388" s="111"/>
      <c r="C388" s="63"/>
      <c r="D388" s="111"/>
      <c r="E388" s="113"/>
      <c r="F388" s="63"/>
      <c r="G388" s="63"/>
      <c r="H388" s="115"/>
      <c r="I388" s="108"/>
    </row>
    <row r="389" spans="1:9" x14ac:dyDescent="0.3">
      <c r="A389" s="114"/>
      <c r="B389" s="111">
        <f>'03_Pipe_Engine'!$C$10*4</f>
        <v>0</v>
      </c>
      <c r="C389" s="63" t="s">
        <v>1628</v>
      </c>
      <c r="D389" s="111"/>
      <c r="E389" s="113"/>
      <c r="F389" s="63" t="s">
        <v>2306</v>
      </c>
      <c r="G389" s="63"/>
      <c r="H389" s="115"/>
      <c r="I389" s="108" t="s">
        <v>67</v>
      </c>
    </row>
    <row r="390" spans="1:9" x14ac:dyDescent="0.3">
      <c r="A390" s="114"/>
      <c r="B390" s="111"/>
      <c r="C390" s="63"/>
      <c r="D390" s="111">
        <f>'03_Pipe_Engine'!$T$10</f>
        <v>2.4750000000000001</v>
      </c>
      <c r="E390" s="113"/>
      <c r="F390" s="63"/>
      <c r="G390" s="63"/>
      <c r="H390" s="115"/>
      <c r="I390" s="108" t="s">
        <v>2250</v>
      </c>
    </row>
    <row r="391" spans="1:9" x14ac:dyDescent="0.3">
      <c r="A391" s="114"/>
      <c r="B391" s="111"/>
      <c r="C391" s="63"/>
      <c r="D391" s="111">
        <f>0.5</f>
        <v>0.5</v>
      </c>
      <c r="E391" s="113"/>
      <c r="F391" s="63"/>
      <c r="G391" s="63"/>
      <c r="H391" s="115"/>
      <c r="I391" s="108" t="s">
        <v>2249</v>
      </c>
    </row>
    <row r="392" spans="1:9" x14ac:dyDescent="0.3">
      <c r="A392" s="114"/>
      <c r="B392" s="111"/>
      <c r="C392" s="63"/>
      <c r="D392" s="111">
        <f>'03_Pipe_Engine'!$V$10</f>
        <v>0.2</v>
      </c>
      <c r="E392" s="113">
        <f>N(B389)*N(D390)*N(D391)*N(D392)</f>
        <v>0</v>
      </c>
      <c r="F392" s="63"/>
      <c r="G392" s="63"/>
      <c r="H392" s="115"/>
      <c r="I392" s="108" t="s">
        <v>2260</v>
      </c>
    </row>
    <row r="393" spans="1:9" x14ac:dyDescent="0.3">
      <c r="A393" s="114"/>
      <c r="B393" s="111"/>
      <c r="C393" s="63"/>
      <c r="D393" s="111"/>
      <c r="E393" s="113"/>
      <c r="F393" s="63"/>
      <c r="G393" s="63"/>
      <c r="H393" s="115"/>
      <c r="I393" s="108"/>
    </row>
    <row r="394" spans="1:9" x14ac:dyDescent="0.3">
      <c r="A394" s="114"/>
      <c r="B394" s="111">
        <f>'03_Pipe_Engine'!$C$10*2</f>
        <v>0</v>
      </c>
      <c r="C394" s="63" t="s">
        <v>1628</v>
      </c>
      <c r="D394" s="111"/>
      <c r="E394" s="113"/>
      <c r="F394" s="63" t="s">
        <v>2307</v>
      </c>
      <c r="G394" s="63"/>
      <c r="H394" s="115"/>
      <c r="I394" s="108" t="s">
        <v>67</v>
      </c>
    </row>
    <row r="395" spans="1:9" x14ac:dyDescent="0.3">
      <c r="A395" s="114"/>
      <c r="B395" s="111"/>
      <c r="C395" s="63"/>
      <c r="D395" s="111">
        <f>'03_Pipe_Engine'!$O$10</f>
        <v>5.3029999999999999</v>
      </c>
      <c r="E395" s="113"/>
      <c r="F395" s="63"/>
      <c r="G395" s="63"/>
      <c r="H395" s="115"/>
      <c r="I395" s="108" t="s">
        <v>2249</v>
      </c>
    </row>
    <row r="396" spans="1:9" x14ac:dyDescent="0.3">
      <c r="A396" s="114"/>
      <c r="B396" s="111"/>
      <c r="C396" s="63"/>
      <c r="D396" s="111">
        <f>'03_Pipe_Engine'!$X$10</f>
        <v>0.45</v>
      </c>
      <c r="E396" s="113"/>
      <c r="F396" s="63"/>
      <c r="G396" s="63"/>
      <c r="H396" s="115"/>
      <c r="I396" s="108" t="s">
        <v>2303</v>
      </c>
    </row>
    <row r="397" spans="1:9" x14ac:dyDescent="0.3">
      <c r="A397" s="114"/>
      <c r="B397" s="111"/>
      <c r="C397" s="63"/>
      <c r="D397" s="111">
        <f>'03_Pipe_Engine'!$V$10</f>
        <v>0.2</v>
      </c>
      <c r="E397" s="113">
        <f>N(B394)*N(D395)*N(D396)*N(D397)</f>
        <v>0</v>
      </c>
      <c r="F397" s="63"/>
      <c r="G397" s="63"/>
      <c r="H397" s="115"/>
      <c r="I397" s="108" t="s">
        <v>2260</v>
      </c>
    </row>
    <row r="398" spans="1:9" x14ac:dyDescent="0.3">
      <c r="A398" s="114"/>
      <c r="B398" s="111"/>
      <c r="C398" s="63"/>
      <c r="D398" s="111"/>
      <c r="E398" s="113"/>
      <c r="F398" s="63"/>
      <c r="G398" s="63"/>
      <c r="H398" s="115"/>
      <c r="I398" s="108"/>
    </row>
    <row r="399" spans="1:9" x14ac:dyDescent="0.3">
      <c r="A399" s="114"/>
      <c r="B399" s="111"/>
      <c r="C399" s="63"/>
      <c r="D399" s="111"/>
      <c r="E399" s="113"/>
      <c r="F399" s="63"/>
      <c r="G399" s="63"/>
      <c r="H399" s="115"/>
      <c r="I399" s="108"/>
    </row>
    <row r="400" spans="1:9" x14ac:dyDescent="0.3">
      <c r="A400" s="119" t="s">
        <v>1327</v>
      </c>
      <c r="B400" s="122"/>
      <c r="C400" s="119"/>
      <c r="D400" s="122"/>
      <c r="E400" s="123"/>
      <c r="F400" s="119" t="s">
        <v>2314</v>
      </c>
      <c r="G400" s="119" t="s">
        <v>300</v>
      </c>
      <c r="H400" s="124">
        <f>E404+E409</f>
        <v>0</v>
      </c>
      <c r="I400" s="125" t="str">
        <f>IF(ABS(H400-'03_Pipe_Engine'!$AE$10)&lt;=MAX(0.01,0.005*ABS('03_Pipe_Engine'!$AE$10)),"OK","DIFF")</f>
        <v>OK</v>
      </c>
    </row>
    <row r="401" spans="1:9" x14ac:dyDescent="0.3">
      <c r="A401" s="135"/>
      <c r="B401" s="111">
        <f>'03_Pipe_Engine'!$C$10*2</f>
        <v>0</v>
      </c>
      <c r="C401" s="138" t="s">
        <v>1628</v>
      </c>
      <c r="D401" s="111"/>
      <c r="E401" s="113"/>
      <c r="F401" s="138" t="s">
        <v>2315</v>
      </c>
      <c r="G401" s="138"/>
      <c r="H401" s="136"/>
      <c r="I401" s="139" t="s">
        <v>67</v>
      </c>
    </row>
    <row r="402" spans="1:9" x14ac:dyDescent="0.3">
      <c r="A402" s="114"/>
      <c r="B402" s="111"/>
      <c r="C402" s="63"/>
      <c r="D402" s="111">
        <f>'03_Pipe_Engine'!$T$10</f>
        <v>2.4750000000000001</v>
      </c>
      <c r="E402" s="113"/>
      <c r="F402" s="63"/>
      <c r="G402" s="63"/>
      <c r="H402" s="115"/>
      <c r="I402" s="108" t="s">
        <v>2250</v>
      </c>
    </row>
    <row r="403" spans="1:9" x14ac:dyDescent="0.3">
      <c r="A403" s="114"/>
      <c r="B403" s="111"/>
      <c r="C403" s="63"/>
      <c r="D403" s="111">
        <f>'03_Pipe_Engine'!$P$10</f>
        <v>0.6</v>
      </c>
      <c r="E403" s="113"/>
      <c r="F403" s="63"/>
      <c r="G403" s="63"/>
      <c r="H403" s="115"/>
      <c r="I403" s="108" t="s">
        <v>2316</v>
      </c>
    </row>
    <row r="404" spans="1:9" x14ac:dyDescent="0.3">
      <c r="A404" s="114"/>
      <c r="B404" s="111"/>
      <c r="C404" s="63"/>
      <c r="D404" s="111">
        <f>'03_Pipe_Engine'!$Q$10</f>
        <v>0.2</v>
      </c>
      <c r="E404" s="113">
        <f>N(B401)*N(D402)*N(D403)*N(D404)</f>
        <v>0</v>
      </c>
      <c r="F404" s="63"/>
      <c r="G404" s="63"/>
      <c r="H404" s="115"/>
      <c r="I404" s="108" t="s">
        <v>2260</v>
      </c>
    </row>
    <row r="405" spans="1:9" x14ac:dyDescent="0.3">
      <c r="A405" s="114"/>
      <c r="B405" s="111"/>
      <c r="C405" s="63"/>
      <c r="D405" s="111"/>
      <c r="E405" s="113"/>
      <c r="F405" s="63"/>
      <c r="G405" s="63"/>
      <c r="H405" s="115"/>
      <c r="I405" s="108"/>
    </row>
    <row r="406" spans="1:9" x14ac:dyDescent="0.3">
      <c r="A406" s="114"/>
      <c r="B406" s="111">
        <f>'03_Pipe_Engine'!$C$10*4</f>
        <v>0</v>
      </c>
      <c r="C406" s="63" t="s">
        <v>1628</v>
      </c>
      <c r="D406" s="111"/>
      <c r="E406" s="113"/>
      <c r="F406" s="63" t="s">
        <v>2317</v>
      </c>
      <c r="G406" s="63"/>
      <c r="H406" s="115"/>
      <c r="I406" s="108" t="s">
        <v>67</v>
      </c>
    </row>
    <row r="407" spans="1:9" x14ac:dyDescent="0.3">
      <c r="A407" s="114"/>
      <c r="B407" s="111"/>
      <c r="C407" s="63"/>
      <c r="D407" s="111">
        <f>'03_Pipe_Engine'!$T$10</f>
        <v>2.4750000000000001</v>
      </c>
      <c r="E407" s="113"/>
      <c r="F407" s="63"/>
      <c r="G407" s="63"/>
      <c r="H407" s="115"/>
      <c r="I407" s="108" t="s">
        <v>2250</v>
      </c>
    </row>
    <row r="408" spans="1:9" x14ac:dyDescent="0.3">
      <c r="A408" s="114"/>
      <c r="B408" s="111"/>
      <c r="C408" s="63"/>
      <c r="D408" s="111">
        <f>'03_Pipe_Engine'!$S$10</f>
        <v>1.175</v>
      </c>
      <c r="E408" s="113"/>
      <c r="F408" s="63"/>
      <c r="G408" s="63"/>
      <c r="H408" s="115"/>
      <c r="I408" s="108" t="s">
        <v>2253</v>
      </c>
    </row>
    <row r="409" spans="1:9" x14ac:dyDescent="0.3">
      <c r="A409" s="114"/>
      <c r="B409" s="111"/>
      <c r="C409" s="63"/>
      <c r="D409" s="111">
        <f>'03_Pipe_Engine'!$U$10</f>
        <v>0.2</v>
      </c>
      <c r="E409" s="113">
        <f>N(B406)*N(D407)*N(D408)*N(D409)</f>
        <v>0</v>
      </c>
      <c r="F409" s="63"/>
      <c r="G409" s="63"/>
      <c r="H409" s="115"/>
      <c r="I409" s="108" t="s">
        <v>2260</v>
      </c>
    </row>
    <row r="410" spans="1:9" x14ac:dyDescent="0.3">
      <c r="A410" s="114"/>
      <c r="B410" s="111"/>
      <c r="C410" s="63"/>
      <c r="D410" s="111"/>
      <c r="E410" s="113"/>
      <c r="F410" s="63"/>
      <c r="G410" s="63"/>
      <c r="H410" s="115"/>
      <c r="I410" s="108"/>
    </row>
    <row r="411" spans="1:9" x14ac:dyDescent="0.3">
      <c r="A411" s="114"/>
      <c r="B411" s="111"/>
      <c r="C411" s="63"/>
      <c r="D411" s="111"/>
      <c r="E411" s="113"/>
      <c r="F411" s="63"/>
      <c r="G411" s="63"/>
      <c r="H411" s="115"/>
      <c r="I411" s="108"/>
    </row>
    <row r="412" spans="1:9" x14ac:dyDescent="0.3">
      <c r="A412" s="119" t="s">
        <v>1328</v>
      </c>
      <c r="B412" s="122"/>
      <c r="C412" s="119"/>
      <c r="D412" s="122"/>
      <c r="E412" s="123"/>
      <c r="F412" s="119" t="s">
        <v>2318</v>
      </c>
      <c r="G412" s="119" t="s">
        <v>301</v>
      </c>
      <c r="H412" s="124">
        <f>E415+E419</f>
        <v>0</v>
      </c>
      <c r="I412" s="125" t="str">
        <f>IF(ABS(H412-'03_Pipe_Engine'!$AF$10)&lt;=MAX(0.01,0.005*ABS('03_Pipe_Engine'!$AF$10)),"OK","DIFF")</f>
        <v>OK</v>
      </c>
    </row>
    <row r="413" spans="1:9" x14ac:dyDescent="0.3">
      <c r="A413" s="135"/>
      <c r="B413" s="111">
        <f>'03_Pipe_Engine'!$C$10*2*2</f>
        <v>0</v>
      </c>
      <c r="C413" s="138" t="s">
        <v>1628</v>
      </c>
      <c r="D413" s="111"/>
      <c r="E413" s="113"/>
      <c r="F413" s="138" t="s">
        <v>2319</v>
      </c>
      <c r="G413" s="138"/>
      <c r="H413" s="136"/>
      <c r="I413" s="139" t="s">
        <v>67</v>
      </c>
    </row>
    <row r="414" spans="1:9" x14ac:dyDescent="0.3">
      <c r="A414" s="114"/>
      <c r="B414" s="111"/>
      <c r="C414" s="63"/>
      <c r="D414" s="111">
        <f>'03_Pipe_Engine'!$P$10</f>
        <v>0.6</v>
      </c>
      <c r="E414" s="113"/>
      <c r="F414" s="63"/>
      <c r="G414" s="63"/>
      <c r="H414" s="115"/>
      <c r="I414" s="108" t="s">
        <v>2316</v>
      </c>
    </row>
    <row r="415" spans="1:9" x14ac:dyDescent="0.3">
      <c r="A415" s="114"/>
      <c r="B415" s="111"/>
      <c r="C415" s="63"/>
      <c r="D415" s="111">
        <f>'03_Pipe_Engine'!$Q$10</f>
        <v>0.2</v>
      </c>
      <c r="E415" s="113">
        <f>N(B413)*N(D414)*N(D415)</f>
        <v>0</v>
      </c>
      <c r="F415" s="63"/>
      <c r="G415" s="63"/>
      <c r="H415" s="115"/>
      <c r="I415" s="108" t="s">
        <v>2260</v>
      </c>
    </row>
    <row r="416" spans="1:9" x14ac:dyDescent="0.3">
      <c r="A416" s="114"/>
      <c r="B416" s="111"/>
      <c r="C416" s="63"/>
      <c r="D416" s="111"/>
      <c r="E416" s="113"/>
      <c r="F416" s="63"/>
      <c r="G416" s="63"/>
      <c r="H416" s="115"/>
      <c r="I416" s="108"/>
    </row>
    <row r="417" spans="1:9" x14ac:dyDescent="0.3">
      <c r="A417" s="114"/>
      <c r="B417" s="111">
        <f>'03_Pipe_Engine'!$C$10*4</f>
        <v>0</v>
      </c>
      <c r="C417" s="63" t="s">
        <v>1628</v>
      </c>
      <c r="D417" s="111"/>
      <c r="E417" s="113"/>
      <c r="F417" s="63" t="s">
        <v>2320</v>
      </c>
      <c r="G417" s="63"/>
      <c r="H417" s="115"/>
      <c r="I417" s="108" t="s">
        <v>67</v>
      </c>
    </row>
    <row r="418" spans="1:9" x14ac:dyDescent="0.3">
      <c r="A418" s="114"/>
      <c r="B418" s="111"/>
      <c r="C418" s="63"/>
      <c r="D418" s="111">
        <f>'03_Pipe_Engine'!$R$10</f>
        <v>1</v>
      </c>
      <c r="E418" s="113"/>
      <c r="F418" s="63"/>
      <c r="G418" s="63"/>
      <c r="H418" s="115"/>
      <c r="I418" s="108" t="s">
        <v>2321</v>
      </c>
    </row>
    <row r="419" spans="1:9" x14ac:dyDescent="0.3">
      <c r="A419" s="114"/>
      <c r="B419" s="111"/>
      <c r="C419" s="63"/>
      <c r="D419" s="111">
        <f>'03_Pipe_Engine'!$U$10</f>
        <v>0.2</v>
      </c>
      <c r="E419" s="113">
        <f>N(B417)*N(D418)*N(D419)</f>
        <v>0</v>
      </c>
      <c r="F419" s="63"/>
      <c r="G419" s="63"/>
      <c r="H419" s="115"/>
      <c r="I419" s="108" t="s">
        <v>2260</v>
      </c>
    </row>
    <row r="420" spans="1:9" x14ac:dyDescent="0.3">
      <c r="A420" s="114"/>
      <c r="B420" s="111"/>
      <c r="C420" s="63"/>
      <c r="D420" s="111"/>
      <c r="E420" s="113"/>
      <c r="F420" s="63"/>
      <c r="G420" s="63"/>
      <c r="H420" s="115"/>
      <c r="I420" s="108"/>
    </row>
    <row r="421" spans="1:9" x14ac:dyDescent="0.3">
      <c r="A421" s="114"/>
      <c r="B421" s="111"/>
      <c r="C421" s="63"/>
      <c r="D421" s="111"/>
      <c r="E421" s="113"/>
      <c r="F421" s="63"/>
      <c r="G421" s="63"/>
      <c r="H421" s="115"/>
      <c r="I421" s="108"/>
    </row>
    <row r="422" spans="1:9" x14ac:dyDescent="0.3">
      <c r="A422" s="119" t="s">
        <v>1329</v>
      </c>
      <c r="B422" s="122"/>
      <c r="C422" s="119"/>
      <c r="D422" s="122"/>
      <c r="E422" s="123"/>
      <c r="F422" s="119" t="s">
        <v>2322</v>
      </c>
      <c r="G422" s="119" t="s">
        <v>301</v>
      </c>
      <c r="H422" s="124">
        <f>E425+E429</f>
        <v>0</v>
      </c>
      <c r="I422" s="125" t="str">
        <f>IF(ABS(H422-'03_Pipe_Engine'!$AG$10)&lt;=MAX(0.01,0.005*ABS('03_Pipe_Engine'!$AG$10)),"OK","DIFF")</f>
        <v>OK</v>
      </c>
    </row>
    <row r="423" spans="1:9" x14ac:dyDescent="0.3">
      <c r="A423" s="135"/>
      <c r="B423" s="111">
        <f>'03_Pipe_Engine'!$C$10*2*2</f>
        <v>0</v>
      </c>
      <c r="C423" s="138" t="s">
        <v>1628</v>
      </c>
      <c r="D423" s="111"/>
      <c r="E423" s="113"/>
      <c r="F423" s="138" t="s">
        <v>2323</v>
      </c>
      <c r="G423" s="138"/>
      <c r="H423" s="136"/>
      <c r="I423" s="139" t="s">
        <v>2324</v>
      </c>
    </row>
    <row r="424" spans="1:9" x14ac:dyDescent="0.3">
      <c r="A424" s="114"/>
      <c r="B424" s="111"/>
      <c r="C424" s="63"/>
      <c r="D424" s="111">
        <f>'03_Pipe_Engine'!$T$10</f>
        <v>2.4750000000000001</v>
      </c>
      <c r="E424" s="113"/>
      <c r="F424" s="63"/>
      <c r="G424" s="63"/>
      <c r="H424" s="115"/>
      <c r="I424" s="108" t="s">
        <v>2250</v>
      </c>
    </row>
    <row r="425" spans="1:9" x14ac:dyDescent="0.3">
      <c r="A425" s="114"/>
      <c r="B425" s="111"/>
      <c r="C425" s="63"/>
      <c r="D425" s="111">
        <f>'03_Pipe_Engine'!$P$10</f>
        <v>0.6</v>
      </c>
      <c r="E425" s="113">
        <f>N(B423)*N(D424)*N(D425)</f>
        <v>0</v>
      </c>
      <c r="F425" s="63"/>
      <c r="G425" s="63"/>
      <c r="H425" s="115"/>
      <c r="I425" s="108" t="s">
        <v>2316</v>
      </c>
    </row>
    <row r="426" spans="1:9" x14ac:dyDescent="0.3">
      <c r="A426" s="114"/>
      <c r="B426" s="111"/>
      <c r="C426" s="63"/>
      <c r="D426" s="111"/>
      <c r="E426" s="113"/>
      <c r="F426" s="63"/>
      <c r="G426" s="63"/>
      <c r="H426" s="115"/>
      <c r="I426" s="108"/>
    </row>
    <row r="427" spans="1:9" x14ac:dyDescent="0.3">
      <c r="A427" s="114"/>
      <c r="B427" s="111">
        <f>'03_Pipe_Engine'!$C$10*4*2</f>
        <v>0</v>
      </c>
      <c r="C427" s="63" t="s">
        <v>1628</v>
      </c>
      <c r="D427" s="111"/>
      <c r="E427" s="113"/>
      <c r="F427" s="63" t="s">
        <v>2325</v>
      </c>
      <c r="G427" s="63"/>
      <c r="H427" s="115"/>
      <c r="I427" s="108" t="s">
        <v>2324</v>
      </c>
    </row>
    <row r="428" spans="1:9" x14ac:dyDescent="0.3">
      <c r="A428" s="114"/>
      <c r="B428" s="111"/>
      <c r="C428" s="63"/>
      <c r="D428" s="111">
        <f>'03_Pipe_Engine'!$T$10</f>
        <v>2.4750000000000001</v>
      </c>
      <c r="E428" s="113"/>
      <c r="F428" s="63"/>
      <c r="G428" s="63"/>
      <c r="H428" s="115"/>
      <c r="I428" s="108" t="s">
        <v>2250</v>
      </c>
    </row>
    <row r="429" spans="1:9" x14ac:dyDescent="0.3">
      <c r="A429" s="114"/>
      <c r="B429" s="111"/>
      <c r="C429" s="63"/>
      <c r="D429" s="111">
        <f>'03_Pipe_Engine'!$S$10</f>
        <v>1.175</v>
      </c>
      <c r="E429" s="113">
        <f>N(B427)*N(D428)*N(D429)</f>
        <v>0</v>
      </c>
      <c r="F429" s="63"/>
      <c r="G429" s="63"/>
      <c r="H429" s="115"/>
      <c r="I429" s="108" t="s">
        <v>2253</v>
      </c>
    </row>
    <row r="430" spans="1:9" x14ac:dyDescent="0.3">
      <c r="A430" s="114"/>
      <c r="B430" s="111"/>
      <c r="C430" s="63"/>
      <c r="D430" s="111"/>
      <c r="E430" s="113"/>
      <c r="F430" s="63"/>
      <c r="G430" s="63"/>
      <c r="H430" s="115"/>
      <c r="I430" s="108"/>
    </row>
    <row r="431" spans="1:9" x14ac:dyDescent="0.3">
      <c r="A431" s="114"/>
      <c r="B431" s="111"/>
      <c r="C431" s="63"/>
      <c r="D431" s="111"/>
      <c r="E431" s="113"/>
      <c r="F431" s="63"/>
      <c r="G431" s="63"/>
      <c r="H431" s="115"/>
      <c r="I431" s="108"/>
    </row>
    <row r="432" spans="1:9" x14ac:dyDescent="0.3">
      <c r="A432" s="119" t="s">
        <v>1331</v>
      </c>
      <c r="B432" s="122"/>
      <c r="C432" s="119"/>
      <c r="D432" s="122"/>
      <c r="E432" s="123"/>
      <c r="F432" s="119" t="s">
        <v>2331</v>
      </c>
      <c r="G432" s="119" t="s">
        <v>63</v>
      </c>
      <c r="H432" s="124">
        <f>E434</f>
        <v>0</v>
      </c>
      <c r="I432" s="125" t="str">
        <f>IF(ABS(H432-'03_Pipe_Engine'!$AI$10)&lt;=MAX(0.01,0.005*ABS('03_Pipe_Engine'!$AI$10)),"OK","DIFF")</f>
        <v>OK</v>
      </c>
    </row>
    <row r="433" spans="1:9" x14ac:dyDescent="0.3">
      <c r="A433" s="135"/>
      <c r="B433" s="111">
        <f>'03_Pipe_Engine'!$F$10</f>
        <v>2</v>
      </c>
      <c r="C433" s="138" t="s">
        <v>1628</v>
      </c>
      <c r="D433" s="111"/>
      <c r="E433" s="113"/>
      <c r="F433" s="138" t="s">
        <v>2327</v>
      </c>
      <c r="G433" s="138"/>
      <c r="H433" s="136"/>
      <c r="I433" s="139" t="s">
        <v>2328</v>
      </c>
    </row>
    <row r="434" spans="1:9" x14ac:dyDescent="0.3">
      <c r="A434" s="114"/>
      <c r="B434" s="111"/>
      <c r="C434" s="63"/>
      <c r="D434" s="111">
        <f>'03_Pipe_Engine'!$D$10</f>
        <v>0</v>
      </c>
      <c r="E434" s="113">
        <f>N(B433)*N(D434)</f>
        <v>0</v>
      </c>
      <c r="F434" s="63"/>
      <c r="G434" s="63"/>
      <c r="H434" s="115"/>
      <c r="I434" s="108" t="s">
        <v>2301</v>
      </c>
    </row>
    <row r="435" spans="1:9" x14ac:dyDescent="0.3">
      <c r="A435" s="114"/>
      <c r="B435" s="111"/>
      <c r="C435" s="63"/>
      <c r="D435" s="111"/>
      <c r="E435" s="113"/>
      <c r="F435" s="63"/>
      <c r="G435" s="63"/>
      <c r="H435" s="115"/>
      <c r="I435" s="108"/>
    </row>
    <row r="436" spans="1:9" x14ac:dyDescent="0.3">
      <c r="A436" s="114"/>
      <c r="B436" s="111"/>
      <c r="C436" s="63"/>
      <c r="D436" s="111"/>
      <c r="E436" s="113"/>
      <c r="F436" s="63"/>
      <c r="G436" s="63"/>
      <c r="H436" s="115"/>
      <c r="I436" s="108"/>
    </row>
    <row r="437" spans="1:9" x14ac:dyDescent="0.3">
      <c r="A437" s="119" t="s">
        <v>1339</v>
      </c>
      <c r="B437" s="122"/>
      <c r="C437" s="119"/>
      <c r="D437" s="122"/>
      <c r="E437" s="123"/>
      <c r="F437" s="119" t="s">
        <v>2329</v>
      </c>
      <c r="G437" s="119" t="s">
        <v>63</v>
      </c>
      <c r="H437" s="124">
        <f>E438</f>
        <v>0</v>
      </c>
      <c r="I437" s="125" t="str">
        <f>IF(ABS(H437-'03_Pipe_Engine'!$AQ$10)&lt;=MAX(0.01,0.005*ABS('03_Pipe_Engine'!$AQ$10)),"OK","DIFF")</f>
        <v>OK</v>
      </c>
    </row>
    <row r="438" spans="1:9" x14ac:dyDescent="0.3">
      <c r="A438" s="135"/>
      <c r="B438" s="111">
        <f>'03_Pipe_Engine'!$D$10</f>
        <v>0</v>
      </c>
      <c r="C438" s="138" t="s">
        <v>1628</v>
      </c>
      <c r="D438" s="111"/>
      <c r="E438" s="113">
        <f>N(B438)</f>
        <v>0</v>
      </c>
      <c r="F438" s="138" t="s">
        <v>2330</v>
      </c>
      <c r="G438" s="138"/>
      <c r="H438" s="136"/>
      <c r="I438" s="139" t="s">
        <v>2301</v>
      </c>
    </row>
    <row r="439" spans="1:9" x14ac:dyDescent="0.3">
      <c r="A439" s="114"/>
      <c r="B439" s="111"/>
      <c r="C439" s="63"/>
      <c r="D439" s="111"/>
      <c r="E439" s="113"/>
      <c r="F439" s="63"/>
      <c r="G439" s="63"/>
      <c r="H439" s="115"/>
      <c r="I439" s="108"/>
    </row>
    <row r="440" spans="1:9" x14ac:dyDescent="0.3">
      <c r="A440" s="114"/>
      <c r="B440" s="111"/>
      <c r="C440" s="63"/>
      <c r="D440" s="111"/>
      <c r="E440" s="113"/>
      <c r="F440" s="63"/>
      <c r="G440" s="63"/>
      <c r="H440" s="115"/>
      <c r="I440" s="108"/>
    </row>
    <row r="441" spans="1:9" x14ac:dyDescent="0.3">
      <c r="A441" s="114"/>
      <c r="B441" s="111"/>
      <c r="C441" s="63"/>
      <c r="D441" s="111"/>
      <c r="E441" s="113"/>
      <c r="F441" s="63"/>
      <c r="G441" s="63"/>
      <c r="H441" s="115"/>
      <c r="I441" s="108"/>
    </row>
    <row r="442" spans="1:9" x14ac:dyDescent="0.3">
      <c r="A442" s="131" t="s">
        <v>1415</v>
      </c>
      <c r="B442" s="158"/>
      <c r="C442" s="131"/>
      <c r="D442" s="158"/>
      <c r="E442" s="132"/>
      <c r="F442" s="131" t="str">
        <f>IF('03_Pipe_Engine'!$C$11=0,"none in this project",'03_Pipe_Engine'!$C$11&amp;" nr,  total length "&amp;'03_Pipe_Engine'!$D$11&amp;" m")</f>
        <v>none in this project</v>
      </c>
      <c r="G442" s="131"/>
      <c r="H442" s="133"/>
      <c r="I442" s="134"/>
    </row>
    <row r="443" spans="1:9" x14ac:dyDescent="0.3">
      <c r="A443" s="119" t="s">
        <v>1322</v>
      </c>
      <c r="B443" s="122"/>
      <c r="C443" s="119"/>
      <c r="D443" s="122"/>
      <c r="E443" s="123"/>
      <c r="F443" s="119" t="s">
        <v>1373</v>
      </c>
      <c r="G443" s="119" t="s">
        <v>300</v>
      </c>
      <c r="H443" s="124">
        <f>E446+E451+E456+E461</f>
        <v>0</v>
      </c>
      <c r="I443" s="125" t="str">
        <f>IF(ABS(H443-'03_Pipe_Engine'!$Y$11)&lt;=MAX(0.01,0.005*ABS('03_Pipe_Engine'!$Y$11)),"OK","DIFF")</f>
        <v>OK</v>
      </c>
    </row>
    <row r="444" spans="1:9" x14ac:dyDescent="0.3">
      <c r="A444" s="135"/>
      <c r="B444" s="111">
        <f>'03_Pipe_Engine'!$D$11</f>
        <v>0</v>
      </c>
      <c r="C444" s="138" t="s">
        <v>1628</v>
      </c>
      <c r="D444" s="111"/>
      <c r="E444" s="113"/>
      <c r="F444" s="138" t="s">
        <v>2300</v>
      </c>
      <c r="G444" s="138"/>
      <c r="H444" s="136"/>
      <c r="I444" s="139" t="s">
        <v>2301</v>
      </c>
    </row>
    <row r="445" spans="1:9" x14ac:dyDescent="0.3">
      <c r="A445" s="114"/>
      <c r="B445" s="111"/>
      <c r="C445" s="63"/>
      <c r="D445" s="111">
        <f>'03_Pipe_Engine'!$J$11</f>
        <v>3.6</v>
      </c>
      <c r="E445" s="113"/>
      <c r="F445" s="63"/>
      <c r="G445" s="63"/>
      <c r="H445" s="115"/>
      <c r="I445" s="108" t="s">
        <v>2302</v>
      </c>
    </row>
    <row r="446" spans="1:9" x14ac:dyDescent="0.3">
      <c r="A446" s="114"/>
      <c r="B446" s="111"/>
      <c r="C446" s="63"/>
      <c r="D446" s="111">
        <f>'03_Pipe_Engine'!$L$11</f>
        <v>0.4</v>
      </c>
      <c r="E446" s="113">
        <f>N(B444)*N(D445)*N(D446)</f>
        <v>0</v>
      </c>
      <c r="F446" s="63"/>
      <c r="G446" s="63"/>
      <c r="H446" s="115"/>
      <c r="I446" s="108" t="s">
        <v>2303</v>
      </c>
    </row>
    <row r="447" spans="1:9" x14ac:dyDescent="0.3">
      <c r="A447" s="114"/>
      <c r="B447" s="111"/>
      <c r="C447" s="63"/>
      <c r="D447" s="111"/>
      <c r="E447" s="113"/>
      <c r="F447" s="63"/>
      <c r="G447" s="63"/>
      <c r="H447" s="115"/>
      <c r="I447" s="108"/>
    </row>
    <row r="448" spans="1:9" x14ac:dyDescent="0.3">
      <c r="A448" s="114"/>
      <c r="B448" s="111">
        <f>'03_Pipe_Engine'!$C$11*2</f>
        <v>0</v>
      </c>
      <c r="C448" s="63" t="s">
        <v>1628</v>
      </c>
      <c r="D448" s="111"/>
      <c r="E448" s="113"/>
      <c r="F448" s="63" t="s">
        <v>2304</v>
      </c>
      <c r="G448" s="63"/>
      <c r="H448" s="115"/>
      <c r="I448" s="108" t="s">
        <v>67</v>
      </c>
    </row>
    <row r="449" spans="1:9" x14ac:dyDescent="0.3">
      <c r="A449" s="114"/>
      <c r="B449" s="111"/>
      <c r="C449" s="63"/>
      <c r="D449" s="111">
        <f>'03_Pipe_Engine'!$N$11</f>
        <v>1.4139999999999999</v>
      </c>
      <c r="E449" s="113"/>
      <c r="F449" s="63"/>
      <c r="G449" s="63"/>
      <c r="H449" s="115"/>
      <c r="I449" s="108" t="s">
        <v>2305</v>
      </c>
    </row>
    <row r="450" spans="1:9" x14ac:dyDescent="0.3">
      <c r="A450" s="114"/>
      <c r="B450" s="111"/>
      <c r="C450" s="63"/>
      <c r="D450" s="111">
        <f>('03_Pipe_Engine'!$J$11+'03_Pipe_Engine'!$O$11)/2</f>
        <v>5.0140000000000002</v>
      </c>
      <c r="E450" s="113"/>
      <c r="F450" s="63"/>
      <c r="G450" s="63"/>
      <c r="H450" s="115"/>
      <c r="I450" s="108" t="s">
        <v>2251</v>
      </c>
    </row>
    <row r="451" spans="1:9" x14ac:dyDescent="0.3">
      <c r="A451" s="114"/>
      <c r="B451" s="111"/>
      <c r="C451" s="63"/>
      <c r="D451" s="111">
        <f>'03_Pipe_Engine'!$L$11</f>
        <v>0.4</v>
      </c>
      <c r="E451" s="113">
        <f>N(B448)*N(D449)*N(D450)*N(D451)</f>
        <v>0</v>
      </c>
      <c r="F451" s="63"/>
      <c r="G451" s="63"/>
      <c r="H451" s="115"/>
      <c r="I451" s="108" t="s">
        <v>2303</v>
      </c>
    </row>
    <row r="452" spans="1:9" x14ac:dyDescent="0.3">
      <c r="A452" s="114"/>
      <c r="B452" s="111"/>
      <c r="C452" s="63"/>
      <c r="D452" s="111"/>
      <c r="E452" s="113"/>
      <c r="F452" s="63"/>
      <c r="G452" s="63"/>
      <c r="H452" s="115"/>
      <c r="I452" s="108"/>
    </row>
    <row r="453" spans="1:9" x14ac:dyDescent="0.3">
      <c r="A453" s="114"/>
      <c r="B453" s="111">
        <f>'03_Pipe_Engine'!$C$11*4</f>
        <v>0</v>
      </c>
      <c r="C453" s="63" t="s">
        <v>1628</v>
      </c>
      <c r="D453" s="111"/>
      <c r="E453" s="113"/>
      <c r="F453" s="63" t="s">
        <v>2306</v>
      </c>
      <c r="G453" s="63"/>
      <c r="H453" s="115"/>
      <c r="I453" s="108" t="s">
        <v>67</v>
      </c>
    </row>
    <row r="454" spans="1:9" x14ac:dyDescent="0.3">
      <c r="A454" s="114"/>
      <c r="B454" s="111"/>
      <c r="C454" s="63"/>
      <c r="D454" s="111">
        <f>'03_Pipe_Engine'!$T$11</f>
        <v>3.6</v>
      </c>
      <c r="E454" s="113"/>
      <c r="F454" s="63"/>
      <c r="G454" s="63"/>
      <c r="H454" s="115"/>
      <c r="I454" s="108" t="s">
        <v>2250</v>
      </c>
    </row>
    <row r="455" spans="1:9" x14ac:dyDescent="0.3">
      <c r="A455" s="114"/>
      <c r="B455" s="111"/>
      <c r="C455" s="63"/>
      <c r="D455" s="111">
        <f>0.5</f>
        <v>0.5</v>
      </c>
      <c r="E455" s="113"/>
      <c r="F455" s="63"/>
      <c r="G455" s="63"/>
      <c r="H455" s="115"/>
      <c r="I455" s="108" t="s">
        <v>2249</v>
      </c>
    </row>
    <row r="456" spans="1:9" x14ac:dyDescent="0.3">
      <c r="A456" s="114"/>
      <c r="B456" s="111"/>
      <c r="C456" s="63"/>
      <c r="D456" s="111">
        <f>'03_Pipe_Engine'!$L$11</f>
        <v>0.4</v>
      </c>
      <c r="E456" s="113">
        <f>N(B453)*N(D454)*N(D455)*N(D456)</f>
        <v>0</v>
      </c>
      <c r="F456" s="63"/>
      <c r="G456" s="63"/>
      <c r="H456" s="115"/>
      <c r="I456" s="108" t="s">
        <v>2303</v>
      </c>
    </row>
    <row r="457" spans="1:9" x14ac:dyDescent="0.3">
      <c r="A457" s="114"/>
      <c r="B457" s="111"/>
      <c r="C457" s="63"/>
      <c r="D457" s="111"/>
      <c r="E457" s="113"/>
      <c r="F457" s="63"/>
      <c r="G457" s="63"/>
      <c r="H457" s="115"/>
      <c r="I457" s="108"/>
    </row>
    <row r="458" spans="1:9" x14ac:dyDescent="0.3">
      <c r="A458" s="114"/>
      <c r="B458" s="111">
        <f>'03_Pipe_Engine'!$C$11*2</f>
        <v>0</v>
      </c>
      <c r="C458" s="63" t="s">
        <v>1628</v>
      </c>
      <c r="D458" s="111"/>
      <c r="E458" s="113"/>
      <c r="F458" s="63" t="s">
        <v>2307</v>
      </c>
      <c r="G458" s="63"/>
      <c r="H458" s="115"/>
      <c r="I458" s="108" t="s">
        <v>67</v>
      </c>
    </row>
    <row r="459" spans="1:9" x14ac:dyDescent="0.3">
      <c r="A459" s="114"/>
      <c r="B459" s="111"/>
      <c r="C459" s="63"/>
      <c r="D459" s="111">
        <f>'03_Pipe_Engine'!$O$11</f>
        <v>6.4279999999999999</v>
      </c>
      <c r="E459" s="113"/>
      <c r="F459" s="63"/>
      <c r="G459" s="63"/>
      <c r="H459" s="115"/>
      <c r="I459" s="108" t="s">
        <v>2308</v>
      </c>
    </row>
    <row r="460" spans="1:9" x14ac:dyDescent="0.3">
      <c r="A460" s="114"/>
      <c r="B460" s="111"/>
      <c r="C460" s="63"/>
      <c r="D460" s="111">
        <f>'03_Pipe_Engine'!$X$11</f>
        <v>0.45</v>
      </c>
      <c r="E460" s="113"/>
      <c r="F460" s="63"/>
      <c r="G460" s="63"/>
      <c r="H460" s="115"/>
      <c r="I460" s="108" t="s">
        <v>2309</v>
      </c>
    </row>
    <row r="461" spans="1:9" x14ac:dyDescent="0.3">
      <c r="A461" s="114"/>
      <c r="B461" s="111"/>
      <c r="C461" s="63"/>
      <c r="D461" s="111">
        <f>'03_Pipe_Engine'!$L$11</f>
        <v>0.4</v>
      </c>
      <c r="E461" s="113">
        <f>N(B458)*N(D459)*N(D460)*N(D461)</f>
        <v>0</v>
      </c>
      <c r="F461" s="63"/>
      <c r="G461" s="63"/>
      <c r="H461" s="115"/>
      <c r="I461" s="108" t="s">
        <v>2303</v>
      </c>
    </row>
    <row r="462" spans="1:9" x14ac:dyDescent="0.3">
      <c r="A462" s="114"/>
      <c r="B462" s="111"/>
      <c r="C462" s="63"/>
      <c r="D462" s="111"/>
      <c r="E462" s="113"/>
      <c r="F462" s="63"/>
      <c r="G462" s="63"/>
      <c r="H462" s="115"/>
      <c r="I462" s="108"/>
    </row>
    <row r="463" spans="1:9" x14ac:dyDescent="0.3">
      <c r="A463" s="114"/>
      <c r="B463" s="111"/>
      <c r="C463" s="63"/>
      <c r="D463" s="111"/>
      <c r="E463" s="113"/>
      <c r="F463" s="63"/>
      <c r="G463" s="63"/>
      <c r="H463" s="115"/>
      <c r="I463" s="108"/>
    </row>
    <row r="464" spans="1:9" x14ac:dyDescent="0.3">
      <c r="A464" s="119" t="s">
        <v>1323</v>
      </c>
      <c r="B464" s="122"/>
      <c r="C464" s="119"/>
      <c r="D464" s="122"/>
      <c r="E464" s="123"/>
      <c r="F464" s="119" t="s">
        <v>2310</v>
      </c>
      <c r="G464" s="119" t="s">
        <v>300</v>
      </c>
      <c r="H464" s="124">
        <f>E467</f>
        <v>0</v>
      </c>
      <c r="I464" s="125" t="str">
        <f>IF(ABS(H464-'03_Pipe_Engine'!$Z$11)&lt;=MAX(0.01,0.005*ABS('03_Pipe_Engine'!$Z$11)),"OK","DIFF")</f>
        <v>OK</v>
      </c>
    </row>
    <row r="465" spans="1:9" x14ac:dyDescent="0.3">
      <c r="A465" s="135"/>
      <c r="B465" s="111">
        <f>'03_Pipe_Engine'!$D$11</f>
        <v>0</v>
      </c>
      <c r="C465" s="138" t="s">
        <v>1628</v>
      </c>
      <c r="D465" s="111"/>
      <c r="E465" s="113"/>
      <c r="F465" s="138" t="s">
        <v>2311</v>
      </c>
      <c r="G465" s="138"/>
      <c r="H465" s="136"/>
      <c r="I465" s="139" t="s">
        <v>2301</v>
      </c>
    </row>
    <row r="466" spans="1:9" x14ac:dyDescent="0.3">
      <c r="A466" s="114"/>
      <c r="B466" s="111"/>
      <c r="C466" s="63"/>
      <c r="D466" s="111">
        <f>'03_Pipe_Engine'!$J$11</f>
        <v>3.6</v>
      </c>
      <c r="E466" s="113"/>
      <c r="F466" s="63"/>
      <c r="G466" s="63"/>
      <c r="H466" s="115"/>
      <c r="I466" s="108" t="s">
        <v>2249</v>
      </c>
    </row>
    <row r="467" spans="1:9" x14ac:dyDescent="0.3">
      <c r="A467" s="114"/>
      <c r="B467" s="111"/>
      <c r="C467" s="63"/>
      <c r="D467" s="111">
        <f>'03_Pipe_Engine'!$M$11</f>
        <v>0.05</v>
      </c>
      <c r="E467" s="113">
        <f>N(B465)*N(D466)*N(D467)</f>
        <v>0</v>
      </c>
      <c r="F467" s="63"/>
      <c r="G467" s="63"/>
      <c r="H467" s="115"/>
      <c r="I467" s="108" t="s">
        <v>2260</v>
      </c>
    </row>
    <row r="468" spans="1:9" x14ac:dyDescent="0.3">
      <c r="A468" s="114"/>
      <c r="B468" s="111"/>
      <c r="C468" s="63"/>
      <c r="D468" s="111"/>
      <c r="E468" s="113"/>
      <c r="F468" s="63"/>
      <c r="G468" s="63"/>
      <c r="H468" s="115"/>
      <c r="I468" s="108"/>
    </row>
    <row r="469" spans="1:9" x14ac:dyDescent="0.3">
      <c r="A469" s="114"/>
      <c r="B469" s="111"/>
      <c r="C469" s="63"/>
      <c r="D469" s="111"/>
      <c r="E469" s="113"/>
      <c r="F469" s="63"/>
      <c r="G469" s="63"/>
      <c r="H469" s="115"/>
      <c r="I469" s="108"/>
    </row>
    <row r="470" spans="1:9" x14ac:dyDescent="0.3">
      <c r="A470" s="119" t="s">
        <v>1326</v>
      </c>
      <c r="B470" s="122"/>
      <c r="C470" s="119"/>
      <c r="D470" s="122"/>
      <c r="E470" s="123"/>
      <c r="F470" s="119" t="s">
        <v>2312</v>
      </c>
      <c r="G470" s="119" t="s">
        <v>300</v>
      </c>
      <c r="H470" s="124">
        <f>E474+E479+E484</f>
        <v>0</v>
      </c>
      <c r="I470" s="125" t="str">
        <f>IF(ABS(H470-'03_Pipe_Engine'!$AD$11)&lt;=MAX(0.01,0.005*ABS('03_Pipe_Engine'!$AD$11)),"OK","DIFF")</f>
        <v>OK</v>
      </c>
    </row>
    <row r="471" spans="1:9" x14ac:dyDescent="0.3">
      <c r="A471" s="135"/>
      <c r="B471" s="111">
        <f>'03_Pipe_Engine'!$C$11*2</f>
        <v>0</v>
      </c>
      <c r="C471" s="138" t="s">
        <v>1628</v>
      </c>
      <c r="D471" s="111"/>
      <c r="E471" s="113"/>
      <c r="F471" s="138" t="s">
        <v>2313</v>
      </c>
      <c r="G471" s="138"/>
      <c r="H471" s="136"/>
      <c r="I471" s="139" t="s">
        <v>67</v>
      </c>
    </row>
    <row r="472" spans="1:9" x14ac:dyDescent="0.3">
      <c r="A472" s="114"/>
      <c r="B472" s="111"/>
      <c r="C472" s="63"/>
      <c r="D472" s="111">
        <f>'03_Pipe_Engine'!$N$11</f>
        <v>1.4139999999999999</v>
      </c>
      <c r="E472" s="113"/>
      <c r="F472" s="63"/>
      <c r="G472" s="63"/>
      <c r="H472" s="115"/>
      <c r="I472" s="108" t="s">
        <v>2250</v>
      </c>
    </row>
    <row r="473" spans="1:9" x14ac:dyDescent="0.3">
      <c r="A473" s="114"/>
      <c r="B473" s="111"/>
      <c r="C473" s="63"/>
      <c r="D473" s="111">
        <f>('03_Pipe_Engine'!$J$11+'03_Pipe_Engine'!$O$11)/2</f>
        <v>5.0140000000000002</v>
      </c>
      <c r="E473" s="113"/>
      <c r="F473" s="63"/>
      <c r="G473" s="63"/>
      <c r="H473" s="115"/>
      <c r="I473" s="108" t="s">
        <v>2251</v>
      </c>
    </row>
    <row r="474" spans="1:9" x14ac:dyDescent="0.3">
      <c r="A474" s="114"/>
      <c r="B474" s="111"/>
      <c r="C474" s="63"/>
      <c r="D474" s="111">
        <f>'03_Pipe_Engine'!$V$11</f>
        <v>0.2</v>
      </c>
      <c r="E474" s="113">
        <f>N(B471)*N(D472)*N(D473)*N(D474)</f>
        <v>0</v>
      </c>
      <c r="F474" s="63"/>
      <c r="G474" s="63"/>
      <c r="H474" s="115"/>
      <c r="I474" s="108" t="s">
        <v>2260</v>
      </c>
    </row>
    <row r="475" spans="1:9" x14ac:dyDescent="0.3">
      <c r="A475" s="114"/>
      <c r="B475" s="111"/>
      <c r="C475" s="63"/>
      <c r="D475" s="111"/>
      <c r="E475" s="113"/>
      <c r="F475" s="63"/>
      <c r="G475" s="63"/>
      <c r="H475" s="115"/>
      <c r="I475" s="108"/>
    </row>
    <row r="476" spans="1:9" x14ac:dyDescent="0.3">
      <c r="A476" s="114"/>
      <c r="B476" s="111">
        <f>'03_Pipe_Engine'!$C$11*4</f>
        <v>0</v>
      </c>
      <c r="C476" s="63" t="s">
        <v>1628</v>
      </c>
      <c r="D476" s="111"/>
      <c r="E476" s="113"/>
      <c r="F476" s="63" t="s">
        <v>2306</v>
      </c>
      <c r="G476" s="63"/>
      <c r="H476" s="115"/>
      <c r="I476" s="108" t="s">
        <v>67</v>
      </c>
    </row>
    <row r="477" spans="1:9" x14ac:dyDescent="0.3">
      <c r="A477" s="114"/>
      <c r="B477" s="111"/>
      <c r="C477" s="63"/>
      <c r="D477" s="111">
        <f>'03_Pipe_Engine'!$T$11</f>
        <v>3.6</v>
      </c>
      <c r="E477" s="113"/>
      <c r="F477" s="63"/>
      <c r="G477" s="63"/>
      <c r="H477" s="115"/>
      <c r="I477" s="108" t="s">
        <v>2250</v>
      </c>
    </row>
    <row r="478" spans="1:9" x14ac:dyDescent="0.3">
      <c r="A478" s="114"/>
      <c r="B478" s="111"/>
      <c r="C478" s="63"/>
      <c r="D478" s="111">
        <f>0.5</f>
        <v>0.5</v>
      </c>
      <c r="E478" s="113"/>
      <c r="F478" s="63"/>
      <c r="G478" s="63"/>
      <c r="H478" s="115"/>
      <c r="I478" s="108" t="s">
        <v>2249</v>
      </c>
    </row>
    <row r="479" spans="1:9" x14ac:dyDescent="0.3">
      <c r="A479" s="114"/>
      <c r="B479" s="111"/>
      <c r="C479" s="63"/>
      <c r="D479" s="111">
        <f>'03_Pipe_Engine'!$V$11</f>
        <v>0.2</v>
      </c>
      <c r="E479" s="113">
        <f>N(B476)*N(D477)*N(D478)*N(D479)</f>
        <v>0</v>
      </c>
      <c r="F479" s="63"/>
      <c r="G479" s="63"/>
      <c r="H479" s="115"/>
      <c r="I479" s="108" t="s">
        <v>2260</v>
      </c>
    </row>
    <row r="480" spans="1:9" x14ac:dyDescent="0.3">
      <c r="A480" s="114"/>
      <c r="B480" s="111"/>
      <c r="C480" s="63"/>
      <c r="D480" s="111"/>
      <c r="E480" s="113"/>
      <c r="F480" s="63"/>
      <c r="G480" s="63"/>
      <c r="H480" s="115"/>
      <c r="I480" s="108"/>
    </row>
    <row r="481" spans="1:9" x14ac:dyDescent="0.3">
      <c r="A481" s="114"/>
      <c r="B481" s="111">
        <f>'03_Pipe_Engine'!$C$11*2</f>
        <v>0</v>
      </c>
      <c r="C481" s="63" t="s">
        <v>1628</v>
      </c>
      <c r="D481" s="111"/>
      <c r="E481" s="113"/>
      <c r="F481" s="63" t="s">
        <v>2307</v>
      </c>
      <c r="G481" s="63"/>
      <c r="H481" s="115"/>
      <c r="I481" s="108" t="s">
        <v>67</v>
      </c>
    </row>
    <row r="482" spans="1:9" x14ac:dyDescent="0.3">
      <c r="A482" s="114"/>
      <c r="B482" s="111"/>
      <c r="C482" s="63"/>
      <c r="D482" s="111">
        <f>'03_Pipe_Engine'!$O$11</f>
        <v>6.4279999999999999</v>
      </c>
      <c r="E482" s="113"/>
      <c r="F482" s="63"/>
      <c r="G482" s="63"/>
      <c r="H482" s="115"/>
      <c r="I482" s="108" t="s">
        <v>2249</v>
      </c>
    </row>
    <row r="483" spans="1:9" x14ac:dyDescent="0.3">
      <c r="A483" s="114"/>
      <c r="B483" s="111"/>
      <c r="C483" s="63"/>
      <c r="D483" s="111">
        <f>'03_Pipe_Engine'!$X$11</f>
        <v>0.45</v>
      </c>
      <c r="E483" s="113"/>
      <c r="F483" s="63"/>
      <c r="G483" s="63"/>
      <c r="H483" s="115"/>
      <c r="I483" s="108" t="s">
        <v>2303</v>
      </c>
    </row>
    <row r="484" spans="1:9" x14ac:dyDescent="0.3">
      <c r="A484" s="114"/>
      <c r="B484" s="111"/>
      <c r="C484" s="63"/>
      <c r="D484" s="111">
        <f>'03_Pipe_Engine'!$V$11</f>
        <v>0.2</v>
      </c>
      <c r="E484" s="113">
        <f>N(B481)*N(D482)*N(D483)*N(D484)</f>
        <v>0</v>
      </c>
      <c r="F484" s="63"/>
      <c r="G484" s="63"/>
      <c r="H484" s="115"/>
      <c r="I484" s="108" t="s">
        <v>2260</v>
      </c>
    </row>
    <row r="485" spans="1:9" x14ac:dyDescent="0.3">
      <c r="A485" s="114"/>
      <c r="B485" s="111"/>
      <c r="C485" s="63"/>
      <c r="D485" s="111"/>
      <c r="E485" s="113"/>
      <c r="F485" s="63"/>
      <c r="G485" s="63"/>
      <c r="H485" s="115"/>
      <c r="I485" s="108"/>
    </row>
    <row r="486" spans="1:9" x14ac:dyDescent="0.3">
      <c r="A486" s="114"/>
      <c r="B486" s="111"/>
      <c r="C486" s="63"/>
      <c r="D486" s="111"/>
      <c r="E486" s="113"/>
      <c r="F486" s="63"/>
      <c r="G486" s="63"/>
      <c r="H486" s="115"/>
      <c r="I486" s="108"/>
    </row>
    <row r="487" spans="1:9" x14ac:dyDescent="0.3">
      <c r="A487" s="119" t="s">
        <v>1327</v>
      </c>
      <c r="B487" s="122"/>
      <c r="C487" s="119"/>
      <c r="D487" s="122"/>
      <c r="E487" s="123"/>
      <c r="F487" s="119" t="s">
        <v>2314</v>
      </c>
      <c r="G487" s="119" t="s">
        <v>300</v>
      </c>
      <c r="H487" s="124">
        <f>E491+E496</f>
        <v>0</v>
      </c>
      <c r="I487" s="125" t="str">
        <f>IF(ABS(H487-'03_Pipe_Engine'!$AE$11)&lt;=MAX(0.01,0.005*ABS('03_Pipe_Engine'!$AE$11)),"OK","DIFF")</f>
        <v>OK</v>
      </c>
    </row>
    <row r="488" spans="1:9" x14ac:dyDescent="0.3">
      <c r="A488" s="135"/>
      <c r="B488" s="111">
        <f>'03_Pipe_Engine'!$C$11*2</f>
        <v>0</v>
      </c>
      <c r="C488" s="138" t="s">
        <v>1628</v>
      </c>
      <c r="D488" s="111"/>
      <c r="E488" s="113"/>
      <c r="F488" s="138" t="s">
        <v>2315</v>
      </c>
      <c r="G488" s="138"/>
      <c r="H488" s="136"/>
      <c r="I488" s="139" t="s">
        <v>67</v>
      </c>
    </row>
    <row r="489" spans="1:9" x14ac:dyDescent="0.3">
      <c r="A489" s="114"/>
      <c r="B489" s="111"/>
      <c r="C489" s="63"/>
      <c r="D489" s="111">
        <f>'03_Pipe_Engine'!$T$11</f>
        <v>3.6</v>
      </c>
      <c r="E489" s="113"/>
      <c r="F489" s="63"/>
      <c r="G489" s="63"/>
      <c r="H489" s="115"/>
      <c r="I489" s="108" t="s">
        <v>2250</v>
      </c>
    </row>
    <row r="490" spans="1:9" x14ac:dyDescent="0.3">
      <c r="A490" s="114"/>
      <c r="B490" s="111"/>
      <c r="C490" s="63"/>
      <c r="D490" s="111">
        <f>'03_Pipe_Engine'!$P$11</f>
        <v>0.6</v>
      </c>
      <c r="E490" s="113"/>
      <c r="F490" s="63"/>
      <c r="G490" s="63"/>
      <c r="H490" s="115"/>
      <c r="I490" s="108" t="s">
        <v>2316</v>
      </c>
    </row>
    <row r="491" spans="1:9" x14ac:dyDescent="0.3">
      <c r="A491" s="114"/>
      <c r="B491" s="111"/>
      <c r="C491" s="63"/>
      <c r="D491" s="111">
        <f>'03_Pipe_Engine'!$Q$11</f>
        <v>0.2</v>
      </c>
      <c r="E491" s="113">
        <f>N(B488)*N(D489)*N(D490)*N(D491)</f>
        <v>0</v>
      </c>
      <c r="F491" s="63"/>
      <c r="G491" s="63"/>
      <c r="H491" s="115"/>
      <c r="I491" s="108" t="s">
        <v>2260</v>
      </c>
    </row>
    <row r="492" spans="1:9" x14ac:dyDescent="0.3">
      <c r="A492" s="114"/>
      <c r="B492" s="111"/>
      <c r="C492" s="63"/>
      <c r="D492" s="111"/>
      <c r="E492" s="113"/>
      <c r="F492" s="63"/>
      <c r="G492" s="63"/>
      <c r="H492" s="115"/>
      <c r="I492" s="108"/>
    </row>
    <row r="493" spans="1:9" x14ac:dyDescent="0.3">
      <c r="A493" s="114"/>
      <c r="B493" s="111">
        <f>'03_Pipe_Engine'!$C$11*4</f>
        <v>0</v>
      </c>
      <c r="C493" s="63" t="s">
        <v>1628</v>
      </c>
      <c r="D493" s="111"/>
      <c r="E493" s="113"/>
      <c r="F493" s="63" t="s">
        <v>2317</v>
      </c>
      <c r="G493" s="63"/>
      <c r="H493" s="115"/>
      <c r="I493" s="108" t="s">
        <v>67</v>
      </c>
    </row>
    <row r="494" spans="1:9" x14ac:dyDescent="0.3">
      <c r="A494" s="114"/>
      <c r="B494" s="111"/>
      <c r="C494" s="63"/>
      <c r="D494" s="111">
        <f>'03_Pipe_Engine'!$T$11</f>
        <v>3.6</v>
      </c>
      <c r="E494" s="113"/>
      <c r="F494" s="63"/>
      <c r="G494" s="63"/>
      <c r="H494" s="115"/>
      <c r="I494" s="108" t="s">
        <v>2250</v>
      </c>
    </row>
    <row r="495" spans="1:9" x14ac:dyDescent="0.3">
      <c r="A495" s="114"/>
      <c r="B495" s="111"/>
      <c r="C495" s="63"/>
      <c r="D495" s="111">
        <f>'03_Pipe_Engine'!$S$11</f>
        <v>1.175</v>
      </c>
      <c r="E495" s="113"/>
      <c r="F495" s="63"/>
      <c r="G495" s="63"/>
      <c r="H495" s="115"/>
      <c r="I495" s="108" t="s">
        <v>2253</v>
      </c>
    </row>
    <row r="496" spans="1:9" x14ac:dyDescent="0.3">
      <c r="A496" s="114"/>
      <c r="B496" s="111"/>
      <c r="C496" s="63"/>
      <c r="D496" s="111">
        <f>'03_Pipe_Engine'!$U$11</f>
        <v>0.2</v>
      </c>
      <c r="E496" s="113">
        <f>N(B493)*N(D494)*N(D495)*N(D496)</f>
        <v>0</v>
      </c>
      <c r="F496" s="63"/>
      <c r="G496" s="63"/>
      <c r="H496" s="115"/>
      <c r="I496" s="108" t="s">
        <v>2260</v>
      </c>
    </row>
    <row r="497" spans="1:9" x14ac:dyDescent="0.3">
      <c r="A497" s="114"/>
      <c r="B497" s="111"/>
      <c r="C497" s="63"/>
      <c r="D497" s="111"/>
      <c r="E497" s="113"/>
      <c r="F497" s="63"/>
      <c r="G497" s="63"/>
      <c r="H497" s="115"/>
      <c r="I497" s="108"/>
    </row>
    <row r="498" spans="1:9" x14ac:dyDescent="0.3">
      <c r="A498" s="114"/>
      <c r="B498" s="111"/>
      <c r="C498" s="63"/>
      <c r="D498" s="111"/>
      <c r="E498" s="113"/>
      <c r="F498" s="63"/>
      <c r="G498" s="63"/>
      <c r="H498" s="115"/>
      <c r="I498" s="108"/>
    </row>
    <row r="499" spans="1:9" x14ac:dyDescent="0.3">
      <c r="A499" s="119" t="s">
        <v>1328</v>
      </c>
      <c r="B499" s="122"/>
      <c r="C499" s="119"/>
      <c r="D499" s="122"/>
      <c r="E499" s="123"/>
      <c r="F499" s="119" t="s">
        <v>2318</v>
      </c>
      <c r="G499" s="119" t="s">
        <v>301</v>
      </c>
      <c r="H499" s="124">
        <f>E502+E506</f>
        <v>0</v>
      </c>
      <c r="I499" s="125" t="str">
        <f>IF(ABS(H499-'03_Pipe_Engine'!$AF$11)&lt;=MAX(0.01,0.005*ABS('03_Pipe_Engine'!$AF$11)),"OK","DIFF")</f>
        <v>OK</v>
      </c>
    </row>
    <row r="500" spans="1:9" x14ac:dyDescent="0.3">
      <c r="A500" s="135"/>
      <c r="B500" s="111">
        <f>'03_Pipe_Engine'!$C$11*2*2</f>
        <v>0</v>
      </c>
      <c r="C500" s="138" t="s">
        <v>1628</v>
      </c>
      <c r="D500" s="111"/>
      <c r="E500" s="113"/>
      <c r="F500" s="138" t="s">
        <v>2319</v>
      </c>
      <c r="G500" s="138"/>
      <c r="H500" s="136"/>
      <c r="I500" s="139" t="s">
        <v>67</v>
      </c>
    </row>
    <row r="501" spans="1:9" x14ac:dyDescent="0.3">
      <c r="A501" s="114"/>
      <c r="B501" s="111"/>
      <c r="C501" s="63"/>
      <c r="D501" s="111">
        <f>'03_Pipe_Engine'!$P$11</f>
        <v>0.6</v>
      </c>
      <c r="E501" s="113"/>
      <c r="F501" s="63"/>
      <c r="G501" s="63"/>
      <c r="H501" s="115"/>
      <c r="I501" s="108" t="s">
        <v>2316</v>
      </c>
    </row>
    <row r="502" spans="1:9" x14ac:dyDescent="0.3">
      <c r="A502" s="114"/>
      <c r="B502" s="111"/>
      <c r="C502" s="63"/>
      <c r="D502" s="111">
        <f>'03_Pipe_Engine'!$Q$11</f>
        <v>0.2</v>
      </c>
      <c r="E502" s="113">
        <f>N(B500)*N(D501)*N(D502)</f>
        <v>0</v>
      </c>
      <c r="F502" s="63"/>
      <c r="G502" s="63"/>
      <c r="H502" s="115"/>
      <c r="I502" s="108" t="s">
        <v>2260</v>
      </c>
    </row>
    <row r="503" spans="1:9" x14ac:dyDescent="0.3">
      <c r="A503" s="114"/>
      <c r="B503" s="111"/>
      <c r="C503" s="63"/>
      <c r="D503" s="111"/>
      <c r="E503" s="113"/>
      <c r="F503" s="63"/>
      <c r="G503" s="63"/>
      <c r="H503" s="115"/>
      <c r="I503" s="108"/>
    </row>
    <row r="504" spans="1:9" x14ac:dyDescent="0.3">
      <c r="A504" s="114"/>
      <c r="B504" s="111">
        <f>'03_Pipe_Engine'!$C$11*4</f>
        <v>0</v>
      </c>
      <c r="C504" s="63" t="s">
        <v>1628</v>
      </c>
      <c r="D504" s="111"/>
      <c r="E504" s="113"/>
      <c r="F504" s="63" t="s">
        <v>2320</v>
      </c>
      <c r="G504" s="63"/>
      <c r="H504" s="115"/>
      <c r="I504" s="108" t="s">
        <v>67</v>
      </c>
    </row>
    <row r="505" spans="1:9" x14ac:dyDescent="0.3">
      <c r="A505" s="114"/>
      <c r="B505" s="111"/>
      <c r="C505" s="63"/>
      <c r="D505" s="111">
        <f>'03_Pipe_Engine'!$R$11</f>
        <v>1</v>
      </c>
      <c r="E505" s="113"/>
      <c r="F505" s="63"/>
      <c r="G505" s="63"/>
      <c r="H505" s="115"/>
      <c r="I505" s="108" t="s">
        <v>2321</v>
      </c>
    </row>
    <row r="506" spans="1:9" x14ac:dyDescent="0.3">
      <c r="A506" s="114"/>
      <c r="B506" s="111"/>
      <c r="C506" s="63"/>
      <c r="D506" s="111">
        <f>'03_Pipe_Engine'!$U$11</f>
        <v>0.2</v>
      </c>
      <c r="E506" s="113">
        <f>N(B504)*N(D505)*N(D506)</f>
        <v>0</v>
      </c>
      <c r="F506" s="63"/>
      <c r="G506" s="63"/>
      <c r="H506" s="115"/>
      <c r="I506" s="108" t="s">
        <v>2260</v>
      </c>
    </row>
    <row r="507" spans="1:9" x14ac:dyDescent="0.3">
      <c r="A507" s="114"/>
      <c r="B507" s="111"/>
      <c r="C507" s="63"/>
      <c r="D507" s="111"/>
      <c r="E507" s="113"/>
      <c r="F507" s="63"/>
      <c r="G507" s="63"/>
      <c r="H507" s="115"/>
      <c r="I507" s="108"/>
    </row>
    <row r="508" spans="1:9" x14ac:dyDescent="0.3">
      <c r="A508" s="114"/>
      <c r="B508" s="111"/>
      <c r="C508" s="63"/>
      <c r="D508" s="111"/>
      <c r="E508" s="113"/>
      <c r="F508" s="63"/>
      <c r="G508" s="63"/>
      <c r="H508" s="115"/>
      <c r="I508" s="108"/>
    </row>
    <row r="509" spans="1:9" x14ac:dyDescent="0.3">
      <c r="A509" s="119" t="s">
        <v>1329</v>
      </c>
      <c r="B509" s="122"/>
      <c r="C509" s="119"/>
      <c r="D509" s="122"/>
      <c r="E509" s="123"/>
      <c r="F509" s="119" t="s">
        <v>2322</v>
      </c>
      <c r="G509" s="119" t="s">
        <v>301</v>
      </c>
      <c r="H509" s="124">
        <f>E512+E516</f>
        <v>0</v>
      </c>
      <c r="I509" s="125" t="str">
        <f>IF(ABS(H509-'03_Pipe_Engine'!$AG$11)&lt;=MAX(0.01,0.005*ABS('03_Pipe_Engine'!$AG$11)),"OK","DIFF")</f>
        <v>OK</v>
      </c>
    </row>
    <row r="510" spans="1:9" x14ac:dyDescent="0.3">
      <c r="A510" s="135"/>
      <c r="B510" s="111">
        <f>'03_Pipe_Engine'!$C$11*2*2</f>
        <v>0</v>
      </c>
      <c r="C510" s="138" t="s">
        <v>1628</v>
      </c>
      <c r="D510" s="111"/>
      <c r="E510" s="113"/>
      <c r="F510" s="138" t="s">
        <v>2323</v>
      </c>
      <c r="G510" s="138"/>
      <c r="H510" s="136"/>
      <c r="I510" s="139" t="s">
        <v>2324</v>
      </c>
    </row>
    <row r="511" spans="1:9" x14ac:dyDescent="0.3">
      <c r="A511" s="114"/>
      <c r="B511" s="111"/>
      <c r="C511" s="63"/>
      <c r="D511" s="111">
        <f>'03_Pipe_Engine'!$T$11</f>
        <v>3.6</v>
      </c>
      <c r="E511" s="113"/>
      <c r="F511" s="63"/>
      <c r="G511" s="63"/>
      <c r="H511" s="115"/>
      <c r="I511" s="108" t="s">
        <v>2250</v>
      </c>
    </row>
    <row r="512" spans="1:9" x14ac:dyDescent="0.3">
      <c r="A512" s="114"/>
      <c r="B512" s="111"/>
      <c r="C512" s="63"/>
      <c r="D512" s="111">
        <f>'03_Pipe_Engine'!$P$11</f>
        <v>0.6</v>
      </c>
      <c r="E512" s="113">
        <f>N(B510)*N(D511)*N(D512)</f>
        <v>0</v>
      </c>
      <c r="F512" s="63"/>
      <c r="G512" s="63"/>
      <c r="H512" s="115"/>
      <c r="I512" s="108" t="s">
        <v>2316</v>
      </c>
    </row>
    <row r="513" spans="1:9" x14ac:dyDescent="0.3">
      <c r="A513" s="114"/>
      <c r="B513" s="111"/>
      <c r="C513" s="63"/>
      <c r="D513" s="111"/>
      <c r="E513" s="113"/>
      <c r="F513" s="63"/>
      <c r="G513" s="63"/>
      <c r="H513" s="115"/>
      <c r="I513" s="108"/>
    </row>
    <row r="514" spans="1:9" x14ac:dyDescent="0.3">
      <c r="A514" s="114"/>
      <c r="B514" s="111">
        <f>'03_Pipe_Engine'!$C$11*4*2</f>
        <v>0</v>
      </c>
      <c r="C514" s="63" t="s">
        <v>1628</v>
      </c>
      <c r="D514" s="111"/>
      <c r="E514" s="113"/>
      <c r="F514" s="63" t="s">
        <v>2325</v>
      </c>
      <c r="G514" s="63"/>
      <c r="H514" s="115"/>
      <c r="I514" s="108" t="s">
        <v>2324</v>
      </c>
    </row>
    <row r="515" spans="1:9" x14ac:dyDescent="0.3">
      <c r="A515" s="114"/>
      <c r="B515" s="111"/>
      <c r="C515" s="63"/>
      <c r="D515" s="111">
        <f>'03_Pipe_Engine'!$T$11</f>
        <v>3.6</v>
      </c>
      <c r="E515" s="113"/>
      <c r="F515" s="63"/>
      <c r="G515" s="63"/>
      <c r="H515" s="115"/>
      <c r="I515" s="108" t="s">
        <v>2250</v>
      </c>
    </row>
    <row r="516" spans="1:9" x14ac:dyDescent="0.3">
      <c r="A516" s="114"/>
      <c r="B516" s="111"/>
      <c r="C516" s="63"/>
      <c r="D516" s="111">
        <f>'03_Pipe_Engine'!$S$11</f>
        <v>1.175</v>
      </c>
      <c r="E516" s="113">
        <f>N(B514)*N(D515)*N(D516)</f>
        <v>0</v>
      </c>
      <c r="F516" s="63"/>
      <c r="G516" s="63"/>
      <c r="H516" s="115"/>
      <c r="I516" s="108" t="s">
        <v>2253</v>
      </c>
    </row>
    <row r="517" spans="1:9" x14ac:dyDescent="0.3">
      <c r="A517" s="114"/>
      <c r="B517" s="111"/>
      <c r="C517" s="63"/>
      <c r="D517" s="111"/>
      <c r="E517" s="113"/>
      <c r="F517" s="63"/>
      <c r="G517" s="63"/>
      <c r="H517" s="115"/>
      <c r="I517" s="108"/>
    </row>
    <row r="518" spans="1:9" x14ac:dyDescent="0.3">
      <c r="A518" s="114"/>
      <c r="B518" s="111"/>
      <c r="C518" s="63"/>
      <c r="D518" s="111"/>
      <c r="E518" s="113"/>
      <c r="F518" s="63"/>
      <c r="G518" s="63"/>
      <c r="H518" s="115"/>
      <c r="I518" s="108"/>
    </row>
    <row r="519" spans="1:9" x14ac:dyDescent="0.3">
      <c r="A519" s="119" t="s">
        <v>1331</v>
      </c>
      <c r="B519" s="122"/>
      <c r="C519" s="119"/>
      <c r="D519" s="122"/>
      <c r="E519" s="123"/>
      <c r="F519" s="119" t="s">
        <v>2331</v>
      </c>
      <c r="G519" s="119" t="s">
        <v>63</v>
      </c>
      <c r="H519" s="124">
        <f>E521</f>
        <v>0</v>
      </c>
      <c r="I519" s="125" t="str">
        <f>IF(ABS(H519-'03_Pipe_Engine'!$AI$11)&lt;=MAX(0.01,0.005*ABS('03_Pipe_Engine'!$AI$11)),"OK","DIFF")</f>
        <v>OK</v>
      </c>
    </row>
    <row r="520" spans="1:9" x14ac:dyDescent="0.3">
      <c r="A520" s="135"/>
      <c r="B520" s="111">
        <f>'03_Pipe_Engine'!$F$11</f>
        <v>3</v>
      </c>
      <c r="C520" s="138" t="s">
        <v>1628</v>
      </c>
      <c r="D520" s="111"/>
      <c r="E520" s="113"/>
      <c r="F520" s="138" t="s">
        <v>2327</v>
      </c>
      <c r="G520" s="138"/>
      <c r="H520" s="136"/>
      <c r="I520" s="139" t="s">
        <v>2328</v>
      </c>
    </row>
    <row r="521" spans="1:9" x14ac:dyDescent="0.3">
      <c r="A521" s="114"/>
      <c r="B521" s="111"/>
      <c r="C521" s="63"/>
      <c r="D521" s="111">
        <f>'03_Pipe_Engine'!$D$11</f>
        <v>0</v>
      </c>
      <c r="E521" s="113">
        <f>N(B520)*N(D521)</f>
        <v>0</v>
      </c>
      <c r="F521" s="63"/>
      <c r="G521" s="63"/>
      <c r="H521" s="115"/>
      <c r="I521" s="108" t="s">
        <v>2301</v>
      </c>
    </row>
    <row r="522" spans="1:9" x14ac:dyDescent="0.3">
      <c r="A522" s="114"/>
      <c r="B522" s="111"/>
      <c r="C522" s="63"/>
      <c r="D522" s="111"/>
      <c r="E522" s="113"/>
      <c r="F522" s="63"/>
      <c r="G522" s="63"/>
      <c r="H522" s="115"/>
      <c r="I522" s="108"/>
    </row>
    <row r="523" spans="1:9" x14ac:dyDescent="0.3">
      <c r="A523" s="114"/>
      <c r="B523" s="111"/>
      <c r="C523" s="63"/>
      <c r="D523" s="111"/>
      <c r="E523" s="113"/>
      <c r="F523" s="63"/>
      <c r="G523" s="63"/>
      <c r="H523" s="115"/>
      <c r="I523" s="108"/>
    </row>
    <row r="524" spans="1:9" x14ac:dyDescent="0.3">
      <c r="A524" s="119" t="s">
        <v>1340</v>
      </c>
      <c r="B524" s="122"/>
      <c r="C524" s="119"/>
      <c r="D524" s="122"/>
      <c r="E524" s="123"/>
      <c r="F524" s="119" t="s">
        <v>2329</v>
      </c>
      <c r="G524" s="119" t="s">
        <v>63</v>
      </c>
      <c r="H524" s="124">
        <f>E525</f>
        <v>0</v>
      </c>
      <c r="I524" s="125" t="str">
        <f>IF(ABS(H524-'03_Pipe_Engine'!$AR$11)&lt;=MAX(0.01,0.005*ABS('03_Pipe_Engine'!$AR$11)),"OK","DIFF")</f>
        <v>OK</v>
      </c>
    </row>
    <row r="525" spans="1:9" x14ac:dyDescent="0.3">
      <c r="A525" s="135"/>
      <c r="B525" s="111">
        <f>'03_Pipe_Engine'!$D$11</f>
        <v>0</v>
      </c>
      <c r="C525" s="138" t="s">
        <v>1628</v>
      </c>
      <c r="D525" s="111"/>
      <c r="E525" s="113">
        <f>N(B525)</f>
        <v>0</v>
      </c>
      <c r="F525" s="138" t="s">
        <v>2330</v>
      </c>
      <c r="G525" s="138"/>
      <c r="H525" s="136"/>
      <c r="I525" s="139" t="s">
        <v>2301</v>
      </c>
    </row>
    <row r="526" spans="1:9" x14ac:dyDescent="0.3">
      <c r="A526" s="114"/>
      <c r="B526" s="111"/>
      <c r="C526" s="63"/>
      <c r="D526" s="111"/>
      <c r="E526" s="113"/>
      <c r="F526" s="63"/>
      <c r="G526" s="63"/>
      <c r="H526" s="115"/>
      <c r="I526" s="108"/>
    </row>
    <row r="527" spans="1:9" x14ac:dyDescent="0.3">
      <c r="A527" s="114"/>
      <c r="B527" s="111"/>
      <c r="C527" s="63"/>
      <c r="D527" s="111"/>
      <c r="E527" s="113"/>
      <c r="F527" s="63"/>
      <c r="G527" s="63"/>
      <c r="H527" s="115"/>
      <c r="I527" s="108"/>
    </row>
    <row r="528" spans="1:9" x14ac:dyDescent="0.3">
      <c r="A528" s="114"/>
      <c r="B528" s="111"/>
      <c r="C528" s="63"/>
      <c r="D528" s="111"/>
      <c r="E528" s="113"/>
      <c r="F528" s="63"/>
      <c r="G528" s="63"/>
      <c r="H528" s="115"/>
      <c r="I528" s="108"/>
    </row>
    <row r="529" spans="1:9" x14ac:dyDescent="0.3">
      <c r="A529" s="131" t="s">
        <v>1417</v>
      </c>
      <c r="B529" s="158"/>
      <c r="C529" s="131"/>
      <c r="D529" s="158"/>
      <c r="E529" s="132"/>
      <c r="F529" s="131" t="str">
        <f>IF('03_Pipe_Engine'!$C$12=0,"none in this project",'03_Pipe_Engine'!$C$12&amp;" nr,  total length "&amp;'03_Pipe_Engine'!$D$12&amp;" m")</f>
        <v>none in this project</v>
      </c>
      <c r="G529" s="131"/>
      <c r="H529" s="133"/>
      <c r="I529" s="134"/>
    </row>
    <row r="530" spans="1:9" x14ac:dyDescent="0.3">
      <c r="A530" s="119" t="s">
        <v>1322</v>
      </c>
      <c r="B530" s="122"/>
      <c r="C530" s="119"/>
      <c r="D530" s="122"/>
      <c r="E530" s="123"/>
      <c r="F530" s="119" t="s">
        <v>1373</v>
      </c>
      <c r="G530" s="119" t="s">
        <v>300</v>
      </c>
      <c r="H530" s="124">
        <f>E533+E538+E543+E548</f>
        <v>0</v>
      </c>
      <c r="I530" s="125" t="str">
        <f>IF(ABS(H530-'03_Pipe_Engine'!$Y$12)&lt;=MAX(0.01,0.005*ABS('03_Pipe_Engine'!$Y$12)),"OK","DIFF")</f>
        <v>OK</v>
      </c>
    </row>
    <row r="531" spans="1:9" x14ac:dyDescent="0.3">
      <c r="A531" s="135"/>
      <c r="B531" s="111">
        <f>'03_Pipe_Engine'!$D$12</f>
        <v>0</v>
      </c>
      <c r="C531" s="138" t="s">
        <v>1628</v>
      </c>
      <c r="D531" s="111"/>
      <c r="E531" s="113"/>
      <c r="F531" s="138" t="s">
        <v>2300</v>
      </c>
      <c r="G531" s="138"/>
      <c r="H531" s="136"/>
      <c r="I531" s="139" t="s">
        <v>2301</v>
      </c>
    </row>
    <row r="532" spans="1:9" x14ac:dyDescent="0.3">
      <c r="A532" s="114"/>
      <c r="B532" s="111"/>
      <c r="C532" s="63"/>
      <c r="D532" s="111">
        <f>'03_Pipe_Engine'!$J$12</f>
        <v>1.65</v>
      </c>
      <c r="E532" s="113"/>
      <c r="F532" s="63"/>
      <c r="G532" s="63"/>
      <c r="H532" s="115"/>
      <c r="I532" s="108" t="s">
        <v>2302</v>
      </c>
    </row>
    <row r="533" spans="1:9" x14ac:dyDescent="0.3">
      <c r="A533" s="114"/>
      <c r="B533" s="111"/>
      <c r="C533" s="63"/>
      <c r="D533" s="111">
        <f>'03_Pipe_Engine'!$L$12</f>
        <v>0.4</v>
      </c>
      <c r="E533" s="113">
        <f>N(B531)*N(D532)*N(D533)</f>
        <v>0</v>
      </c>
      <c r="F533" s="63"/>
      <c r="G533" s="63"/>
      <c r="H533" s="115"/>
      <c r="I533" s="108" t="s">
        <v>2303</v>
      </c>
    </row>
    <row r="534" spans="1:9" x14ac:dyDescent="0.3">
      <c r="A534" s="114"/>
      <c r="B534" s="111"/>
      <c r="C534" s="63"/>
      <c r="D534" s="111"/>
      <c r="E534" s="113"/>
      <c r="F534" s="63"/>
      <c r="G534" s="63"/>
      <c r="H534" s="115"/>
      <c r="I534" s="108"/>
    </row>
    <row r="535" spans="1:9" x14ac:dyDescent="0.3">
      <c r="A535" s="114"/>
      <c r="B535" s="111">
        <f>'03_Pipe_Engine'!$C$12*2</f>
        <v>0</v>
      </c>
      <c r="C535" s="63" t="s">
        <v>1628</v>
      </c>
      <c r="D535" s="111"/>
      <c r="E535" s="113"/>
      <c r="F535" s="63" t="s">
        <v>2304</v>
      </c>
      <c r="G535" s="63"/>
      <c r="H535" s="115"/>
      <c r="I535" s="108" t="s">
        <v>67</v>
      </c>
    </row>
    <row r="536" spans="1:9" x14ac:dyDescent="0.3">
      <c r="A536" s="114"/>
      <c r="B536" s="111"/>
      <c r="C536" s="63"/>
      <c r="D536" s="111">
        <f>'03_Pipe_Engine'!$N$12</f>
        <v>1.4139999999999999</v>
      </c>
      <c r="E536" s="113"/>
      <c r="F536" s="63"/>
      <c r="G536" s="63"/>
      <c r="H536" s="115"/>
      <c r="I536" s="108" t="s">
        <v>2305</v>
      </c>
    </row>
    <row r="537" spans="1:9" x14ac:dyDescent="0.3">
      <c r="A537" s="114"/>
      <c r="B537" s="111"/>
      <c r="C537" s="63"/>
      <c r="D537" s="111">
        <f>('03_Pipe_Engine'!$J$12+'03_Pipe_Engine'!$O$12)/2</f>
        <v>3.0640000000000001</v>
      </c>
      <c r="E537" s="113"/>
      <c r="F537" s="63"/>
      <c r="G537" s="63"/>
      <c r="H537" s="115"/>
      <c r="I537" s="108" t="s">
        <v>2251</v>
      </c>
    </row>
    <row r="538" spans="1:9" x14ac:dyDescent="0.3">
      <c r="A538" s="114"/>
      <c r="B538" s="111"/>
      <c r="C538" s="63"/>
      <c r="D538" s="111">
        <f>'03_Pipe_Engine'!$L$12</f>
        <v>0.4</v>
      </c>
      <c r="E538" s="113">
        <f>N(B535)*N(D536)*N(D537)*N(D538)</f>
        <v>0</v>
      </c>
      <c r="F538" s="63"/>
      <c r="G538" s="63"/>
      <c r="H538" s="115"/>
      <c r="I538" s="108" t="s">
        <v>2303</v>
      </c>
    </row>
    <row r="539" spans="1:9" x14ac:dyDescent="0.3">
      <c r="A539" s="114"/>
      <c r="B539" s="111"/>
      <c r="C539" s="63"/>
      <c r="D539" s="111"/>
      <c r="E539" s="113"/>
      <c r="F539" s="63"/>
      <c r="G539" s="63"/>
      <c r="H539" s="115"/>
      <c r="I539" s="108"/>
    </row>
    <row r="540" spans="1:9" x14ac:dyDescent="0.3">
      <c r="A540" s="114"/>
      <c r="B540" s="111">
        <f>'03_Pipe_Engine'!$C$12*4</f>
        <v>0</v>
      </c>
      <c r="C540" s="63" t="s">
        <v>1628</v>
      </c>
      <c r="D540" s="111"/>
      <c r="E540" s="113"/>
      <c r="F540" s="63" t="s">
        <v>2306</v>
      </c>
      <c r="G540" s="63"/>
      <c r="H540" s="115"/>
      <c r="I540" s="108" t="s">
        <v>67</v>
      </c>
    </row>
    <row r="541" spans="1:9" x14ac:dyDescent="0.3">
      <c r="A541" s="114"/>
      <c r="B541" s="111"/>
      <c r="C541" s="63"/>
      <c r="D541" s="111">
        <f>'03_Pipe_Engine'!$T$12</f>
        <v>1.65</v>
      </c>
      <c r="E541" s="113"/>
      <c r="F541" s="63"/>
      <c r="G541" s="63"/>
      <c r="H541" s="115"/>
      <c r="I541" s="108" t="s">
        <v>2250</v>
      </c>
    </row>
    <row r="542" spans="1:9" x14ac:dyDescent="0.3">
      <c r="A542" s="114"/>
      <c r="B542" s="111"/>
      <c r="C542" s="63"/>
      <c r="D542" s="111">
        <f>0.5</f>
        <v>0.5</v>
      </c>
      <c r="E542" s="113"/>
      <c r="F542" s="63"/>
      <c r="G542" s="63"/>
      <c r="H542" s="115"/>
      <c r="I542" s="108" t="s">
        <v>2249</v>
      </c>
    </row>
    <row r="543" spans="1:9" x14ac:dyDescent="0.3">
      <c r="A543" s="114"/>
      <c r="B543" s="111"/>
      <c r="C543" s="63"/>
      <c r="D543" s="111">
        <f>'03_Pipe_Engine'!$L$12</f>
        <v>0.4</v>
      </c>
      <c r="E543" s="113">
        <f>N(B540)*N(D541)*N(D542)*N(D543)</f>
        <v>0</v>
      </c>
      <c r="F543" s="63"/>
      <c r="G543" s="63"/>
      <c r="H543" s="115"/>
      <c r="I543" s="108" t="s">
        <v>2303</v>
      </c>
    </row>
    <row r="544" spans="1:9" x14ac:dyDescent="0.3">
      <c r="A544" s="114"/>
      <c r="B544" s="111"/>
      <c r="C544" s="63"/>
      <c r="D544" s="111"/>
      <c r="E544" s="113"/>
      <c r="F544" s="63"/>
      <c r="G544" s="63"/>
      <c r="H544" s="115"/>
      <c r="I544" s="108"/>
    </row>
    <row r="545" spans="1:9" x14ac:dyDescent="0.3">
      <c r="A545" s="114"/>
      <c r="B545" s="111">
        <f>'03_Pipe_Engine'!$C$12*2</f>
        <v>0</v>
      </c>
      <c r="C545" s="63" t="s">
        <v>1628</v>
      </c>
      <c r="D545" s="111"/>
      <c r="E545" s="113"/>
      <c r="F545" s="63" t="s">
        <v>2307</v>
      </c>
      <c r="G545" s="63"/>
      <c r="H545" s="115"/>
      <c r="I545" s="108" t="s">
        <v>67</v>
      </c>
    </row>
    <row r="546" spans="1:9" x14ac:dyDescent="0.3">
      <c r="A546" s="114"/>
      <c r="B546" s="111"/>
      <c r="C546" s="63"/>
      <c r="D546" s="111">
        <f>'03_Pipe_Engine'!$O$12</f>
        <v>4.4779999999999998</v>
      </c>
      <c r="E546" s="113"/>
      <c r="F546" s="63"/>
      <c r="G546" s="63"/>
      <c r="H546" s="115"/>
      <c r="I546" s="108" t="s">
        <v>2308</v>
      </c>
    </row>
    <row r="547" spans="1:9" x14ac:dyDescent="0.3">
      <c r="A547" s="114"/>
      <c r="B547" s="111"/>
      <c r="C547" s="63"/>
      <c r="D547" s="111">
        <f>'03_Pipe_Engine'!$X$12</f>
        <v>0.45</v>
      </c>
      <c r="E547" s="113"/>
      <c r="F547" s="63"/>
      <c r="G547" s="63"/>
      <c r="H547" s="115"/>
      <c r="I547" s="108" t="s">
        <v>2309</v>
      </c>
    </row>
    <row r="548" spans="1:9" x14ac:dyDescent="0.3">
      <c r="A548" s="114"/>
      <c r="B548" s="111"/>
      <c r="C548" s="63"/>
      <c r="D548" s="111">
        <f>'03_Pipe_Engine'!$L$12</f>
        <v>0.4</v>
      </c>
      <c r="E548" s="113">
        <f>N(B545)*N(D546)*N(D547)*N(D548)</f>
        <v>0</v>
      </c>
      <c r="F548" s="63"/>
      <c r="G548" s="63"/>
      <c r="H548" s="115"/>
      <c r="I548" s="108" t="s">
        <v>2303</v>
      </c>
    </row>
    <row r="549" spans="1:9" x14ac:dyDescent="0.3">
      <c r="A549" s="114"/>
      <c r="B549" s="111"/>
      <c r="C549" s="63"/>
      <c r="D549" s="111"/>
      <c r="E549" s="113"/>
      <c r="F549" s="63"/>
      <c r="G549" s="63"/>
      <c r="H549" s="115"/>
      <c r="I549" s="108"/>
    </row>
    <row r="550" spans="1:9" x14ac:dyDescent="0.3">
      <c r="A550" s="114"/>
      <c r="B550" s="111"/>
      <c r="C550" s="63"/>
      <c r="D550" s="111"/>
      <c r="E550" s="113"/>
      <c r="F550" s="63"/>
      <c r="G550" s="63"/>
      <c r="H550" s="115"/>
      <c r="I550" s="108"/>
    </row>
    <row r="551" spans="1:9" x14ac:dyDescent="0.3">
      <c r="A551" s="119" t="s">
        <v>1323</v>
      </c>
      <c r="B551" s="122"/>
      <c r="C551" s="119"/>
      <c r="D551" s="122"/>
      <c r="E551" s="123"/>
      <c r="F551" s="119" t="s">
        <v>2310</v>
      </c>
      <c r="G551" s="119" t="s">
        <v>300</v>
      </c>
      <c r="H551" s="124">
        <f>E554</f>
        <v>0</v>
      </c>
      <c r="I551" s="125" t="str">
        <f>IF(ABS(H551-'03_Pipe_Engine'!$Z$12)&lt;=MAX(0.01,0.005*ABS('03_Pipe_Engine'!$Z$12)),"OK","DIFF")</f>
        <v>OK</v>
      </c>
    </row>
    <row r="552" spans="1:9" x14ac:dyDescent="0.3">
      <c r="A552" s="135"/>
      <c r="B552" s="111">
        <f>'03_Pipe_Engine'!$D$12</f>
        <v>0</v>
      </c>
      <c r="C552" s="138" t="s">
        <v>1628</v>
      </c>
      <c r="D552" s="111"/>
      <c r="E552" s="113"/>
      <c r="F552" s="138" t="s">
        <v>2311</v>
      </c>
      <c r="G552" s="138"/>
      <c r="H552" s="136"/>
      <c r="I552" s="139" t="s">
        <v>2301</v>
      </c>
    </row>
    <row r="553" spans="1:9" x14ac:dyDescent="0.3">
      <c r="A553" s="114"/>
      <c r="B553" s="111"/>
      <c r="C553" s="63"/>
      <c r="D553" s="111">
        <f>'03_Pipe_Engine'!$J$12</f>
        <v>1.65</v>
      </c>
      <c r="E553" s="113"/>
      <c r="F553" s="63"/>
      <c r="G553" s="63"/>
      <c r="H553" s="115"/>
      <c r="I553" s="108" t="s">
        <v>2249</v>
      </c>
    </row>
    <row r="554" spans="1:9" x14ac:dyDescent="0.3">
      <c r="A554" s="114"/>
      <c r="B554" s="111"/>
      <c r="C554" s="63"/>
      <c r="D554" s="111">
        <f>'03_Pipe_Engine'!$M$12</f>
        <v>0.05</v>
      </c>
      <c r="E554" s="113">
        <f>N(B552)*N(D553)*N(D554)</f>
        <v>0</v>
      </c>
      <c r="F554" s="63"/>
      <c r="G554" s="63"/>
      <c r="H554" s="115"/>
      <c r="I554" s="108" t="s">
        <v>2260</v>
      </c>
    </row>
    <row r="555" spans="1:9" x14ac:dyDescent="0.3">
      <c r="A555" s="114"/>
      <c r="B555" s="111"/>
      <c r="C555" s="63"/>
      <c r="D555" s="111"/>
      <c r="E555" s="113"/>
      <c r="F555" s="63"/>
      <c r="G555" s="63"/>
      <c r="H555" s="115"/>
      <c r="I555" s="108"/>
    </row>
    <row r="556" spans="1:9" x14ac:dyDescent="0.3">
      <c r="A556" s="114"/>
      <c r="B556" s="111"/>
      <c r="C556" s="63"/>
      <c r="D556" s="111"/>
      <c r="E556" s="113"/>
      <c r="F556" s="63"/>
      <c r="G556" s="63"/>
      <c r="H556" s="115"/>
      <c r="I556" s="108"/>
    </row>
    <row r="557" spans="1:9" x14ac:dyDescent="0.3">
      <c r="A557" s="119" t="s">
        <v>1326</v>
      </c>
      <c r="B557" s="122"/>
      <c r="C557" s="119"/>
      <c r="D557" s="122"/>
      <c r="E557" s="123"/>
      <c r="F557" s="119" t="s">
        <v>2312</v>
      </c>
      <c r="G557" s="119" t="s">
        <v>300</v>
      </c>
      <c r="H557" s="124">
        <f>E561+E566+E571</f>
        <v>0</v>
      </c>
      <c r="I557" s="125" t="str">
        <f>IF(ABS(H557-'03_Pipe_Engine'!$AD$12)&lt;=MAX(0.01,0.005*ABS('03_Pipe_Engine'!$AD$12)),"OK","DIFF")</f>
        <v>OK</v>
      </c>
    </row>
    <row r="558" spans="1:9" x14ac:dyDescent="0.3">
      <c r="A558" s="135"/>
      <c r="B558" s="111">
        <f>'03_Pipe_Engine'!$C$12*2</f>
        <v>0</v>
      </c>
      <c r="C558" s="138" t="s">
        <v>1628</v>
      </c>
      <c r="D558" s="111"/>
      <c r="E558" s="113"/>
      <c r="F558" s="138" t="s">
        <v>2313</v>
      </c>
      <c r="G558" s="138"/>
      <c r="H558" s="136"/>
      <c r="I558" s="139" t="s">
        <v>67</v>
      </c>
    </row>
    <row r="559" spans="1:9" x14ac:dyDescent="0.3">
      <c r="A559" s="114"/>
      <c r="B559" s="111"/>
      <c r="C559" s="63"/>
      <c r="D559" s="111">
        <f>'03_Pipe_Engine'!$N$12</f>
        <v>1.4139999999999999</v>
      </c>
      <c r="E559" s="113"/>
      <c r="F559" s="63"/>
      <c r="G559" s="63"/>
      <c r="H559" s="115"/>
      <c r="I559" s="108" t="s">
        <v>2250</v>
      </c>
    </row>
    <row r="560" spans="1:9" x14ac:dyDescent="0.3">
      <c r="A560" s="114"/>
      <c r="B560" s="111"/>
      <c r="C560" s="63"/>
      <c r="D560" s="111">
        <f>('03_Pipe_Engine'!$J$12+'03_Pipe_Engine'!$O$12)/2</f>
        <v>3.0640000000000001</v>
      </c>
      <c r="E560" s="113"/>
      <c r="F560" s="63"/>
      <c r="G560" s="63"/>
      <c r="H560" s="115"/>
      <c r="I560" s="108" t="s">
        <v>2251</v>
      </c>
    </row>
    <row r="561" spans="1:9" x14ac:dyDescent="0.3">
      <c r="A561" s="114"/>
      <c r="B561" s="111"/>
      <c r="C561" s="63"/>
      <c r="D561" s="111">
        <f>'03_Pipe_Engine'!$V$12</f>
        <v>0.2</v>
      </c>
      <c r="E561" s="113">
        <f>N(B558)*N(D559)*N(D560)*N(D561)</f>
        <v>0</v>
      </c>
      <c r="F561" s="63"/>
      <c r="G561" s="63"/>
      <c r="H561" s="115"/>
      <c r="I561" s="108" t="s">
        <v>2260</v>
      </c>
    </row>
    <row r="562" spans="1:9" x14ac:dyDescent="0.3">
      <c r="A562" s="114"/>
      <c r="B562" s="111"/>
      <c r="C562" s="63"/>
      <c r="D562" s="111"/>
      <c r="E562" s="113"/>
      <c r="F562" s="63"/>
      <c r="G562" s="63"/>
      <c r="H562" s="115"/>
      <c r="I562" s="108"/>
    </row>
    <row r="563" spans="1:9" x14ac:dyDescent="0.3">
      <c r="A563" s="114"/>
      <c r="B563" s="111">
        <f>'03_Pipe_Engine'!$C$12*4</f>
        <v>0</v>
      </c>
      <c r="C563" s="63" t="s">
        <v>1628</v>
      </c>
      <c r="D563" s="111"/>
      <c r="E563" s="113"/>
      <c r="F563" s="63" t="s">
        <v>2306</v>
      </c>
      <c r="G563" s="63"/>
      <c r="H563" s="115"/>
      <c r="I563" s="108" t="s">
        <v>67</v>
      </c>
    </row>
    <row r="564" spans="1:9" x14ac:dyDescent="0.3">
      <c r="A564" s="114"/>
      <c r="B564" s="111"/>
      <c r="C564" s="63"/>
      <c r="D564" s="111">
        <f>'03_Pipe_Engine'!$T$12</f>
        <v>1.65</v>
      </c>
      <c r="E564" s="113"/>
      <c r="F564" s="63"/>
      <c r="G564" s="63"/>
      <c r="H564" s="115"/>
      <c r="I564" s="108" t="s">
        <v>2250</v>
      </c>
    </row>
    <row r="565" spans="1:9" x14ac:dyDescent="0.3">
      <c r="A565" s="114"/>
      <c r="B565" s="111"/>
      <c r="C565" s="63"/>
      <c r="D565" s="111">
        <f>0.5</f>
        <v>0.5</v>
      </c>
      <c r="E565" s="113"/>
      <c r="F565" s="63"/>
      <c r="G565" s="63"/>
      <c r="H565" s="115"/>
      <c r="I565" s="108" t="s">
        <v>2249</v>
      </c>
    </row>
    <row r="566" spans="1:9" x14ac:dyDescent="0.3">
      <c r="A566" s="114"/>
      <c r="B566" s="111"/>
      <c r="C566" s="63"/>
      <c r="D566" s="111">
        <f>'03_Pipe_Engine'!$V$12</f>
        <v>0.2</v>
      </c>
      <c r="E566" s="113">
        <f>N(B563)*N(D564)*N(D565)*N(D566)</f>
        <v>0</v>
      </c>
      <c r="F566" s="63"/>
      <c r="G566" s="63"/>
      <c r="H566" s="115"/>
      <c r="I566" s="108" t="s">
        <v>2260</v>
      </c>
    </row>
    <row r="567" spans="1:9" x14ac:dyDescent="0.3">
      <c r="A567" s="114"/>
      <c r="B567" s="111"/>
      <c r="C567" s="63"/>
      <c r="D567" s="111"/>
      <c r="E567" s="113"/>
      <c r="F567" s="63"/>
      <c r="G567" s="63"/>
      <c r="H567" s="115"/>
      <c r="I567" s="108"/>
    </row>
    <row r="568" spans="1:9" x14ac:dyDescent="0.3">
      <c r="A568" s="114"/>
      <c r="B568" s="111">
        <f>'03_Pipe_Engine'!$C$12*2</f>
        <v>0</v>
      </c>
      <c r="C568" s="63" t="s">
        <v>1628</v>
      </c>
      <c r="D568" s="111"/>
      <c r="E568" s="113"/>
      <c r="F568" s="63" t="s">
        <v>2307</v>
      </c>
      <c r="G568" s="63"/>
      <c r="H568" s="115"/>
      <c r="I568" s="108" t="s">
        <v>67</v>
      </c>
    </row>
    <row r="569" spans="1:9" x14ac:dyDescent="0.3">
      <c r="A569" s="114"/>
      <c r="B569" s="111"/>
      <c r="C569" s="63"/>
      <c r="D569" s="111">
        <f>'03_Pipe_Engine'!$O$12</f>
        <v>4.4779999999999998</v>
      </c>
      <c r="E569" s="113"/>
      <c r="F569" s="63"/>
      <c r="G569" s="63"/>
      <c r="H569" s="115"/>
      <c r="I569" s="108" t="s">
        <v>2249</v>
      </c>
    </row>
    <row r="570" spans="1:9" x14ac:dyDescent="0.3">
      <c r="A570" s="114"/>
      <c r="B570" s="111"/>
      <c r="C570" s="63"/>
      <c r="D570" s="111">
        <f>'03_Pipe_Engine'!$X$12</f>
        <v>0.45</v>
      </c>
      <c r="E570" s="113"/>
      <c r="F570" s="63"/>
      <c r="G570" s="63"/>
      <c r="H570" s="115"/>
      <c r="I570" s="108" t="s">
        <v>2303</v>
      </c>
    </row>
    <row r="571" spans="1:9" x14ac:dyDescent="0.3">
      <c r="A571" s="114"/>
      <c r="B571" s="111"/>
      <c r="C571" s="63"/>
      <c r="D571" s="111">
        <f>'03_Pipe_Engine'!$V$12</f>
        <v>0.2</v>
      </c>
      <c r="E571" s="113">
        <f>N(B568)*N(D569)*N(D570)*N(D571)</f>
        <v>0</v>
      </c>
      <c r="F571" s="63"/>
      <c r="G571" s="63"/>
      <c r="H571" s="115"/>
      <c r="I571" s="108" t="s">
        <v>2260</v>
      </c>
    </row>
    <row r="572" spans="1:9" x14ac:dyDescent="0.3">
      <c r="A572" s="114"/>
      <c r="B572" s="111"/>
      <c r="C572" s="63"/>
      <c r="D572" s="111"/>
      <c r="E572" s="113"/>
      <c r="F572" s="63"/>
      <c r="G572" s="63"/>
      <c r="H572" s="115"/>
      <c r="I572" s="108"/>
    </row>
    <row r="573" spans="1:9" x14ac:dyDescent="0.3">
      <c r="A573" s="114"/>
      <c r="B573" s="111"/>
      <c r="C573" s="63"/>
      <c r="D573" s="111"/>
      <c r="E573" s="113"/>
      <c r="F573" s="63"/>
      <c r="G573" s="63"/>
      <c r="H573" s="115"/>
      <c r="I573" s="108"/>
    </row>
    <row r="574" spans="1:9" x14ac:dyDescent="0.3">
      <c r="A574" s="119" t="s">
        <v>1327</v>
      </c>
      <c r="B574" s="122"/>
      <c r="C574" s="119"/>
      <c r="D574" s="122"/>
      <c r="E574" s="123"/>
      <c r="F574" s="119" t="s">
        <v>2314</v>
      </c>
      <c r="G574" s="119" t="s">
        <v>300</v>
      </c>
      <c r="H574" s="124">
        <f>E578+E583</f>
        <v>0</v>
      </c>
      <c r="I574" s="125" t="str">
        <f>IF(ABS(H574-'03_Pipe_Engine'!$AE$12)&lt;=MAX(0.01,0.005*ABS('03_Pipe_Engine'!$AE$12)),"OK","DIFF")</f>
        <v>OK</v>
      </c>
    </row>
    <row r="575" spans="1:9" x14ac:dyDescent="0.3">
      <c r="A575" s="135"/>
      <c r="B575" s="111">
        <f>'03_Pipe_Engine'!$C$12*2</f>
        <v>0</v>
      </c>
      <c r="C575" s="138" t="s">
        <v>1628</v>
      </c>
      <c r="D575" s="111"/>
      <c r="E575" s="113"/>
      <c r="F575" s="138" t="s">
        <v>2315</v>
      </c>
      <c r="G575" s="138"/>
      <c r="H575" s="136"/>
      <c r="I575" s="139" t="s">
        <v>67</v>
      </c>
    </row>
    <row r="576" spans="1:9" x14ac:dyDescent="0.3">
      <c r="A576" s="114"/>
      <c r="B576" s="111"/>
      <c r="C576" s="63"/>
      <c r="D576" s="111">
        <f>'03_Pipe_Engine'!$T$12</f>
        <v>1.65</v>
      </c>
      <c r="E576" s="113"/>
      <c r="F576" s="63"/>
      <c r="G576" s="63"/>
      <c r="H576" s="115"/>
      <c r="I576" s="108" t="s">
        <v>2250</v>
      </c>
    </row>
    <row r="577" spans="1:9" x14ac:dyDescent="0.3">
      <c r="A577" s="114"/>
      <c r="B577" s="111"/>
      <c r="C577" s="63"/>
      <c r="D577" s="111">
        <f>'03_Pipe_Engine'!$P$12</f>
        <v>0.6</v>
      </c>
      <c r="E577" s="113"/>
      <c r="F577" s="63"/>
      <c r="G577" s="63"/>
      <c r="H577" s="115"/>
      <c r="I577" s="108" t="s">
        <v>2316</v>
      </c>
    </row>
    <row r="578" spans="1:9" x14ac:dyDescent="0.3">
      <c r="A578" s="114"/>
      <c r="B578" s="111"/>
      <c r="C578" s="63"/>
      <c r="D578" s="111">
        <f>'03_Pipe_Engine'!$Q$12</f>
        <v>0.2</v>
      </c>
      <c r="E578" s="113">
        <f>N(B575)*N(D576)*N(D577)*N(D578)</f>
        <v>0</v>
      </c>
      <c r="F578" s="63"/>
      <c r="G578" s="63"/>
      <c r="H578" s="115"/>
      <c r="I578" s="108" t="s">
        <v>2260</v>
      </c>
    </row>
    <row r="579" spans="1:9" x14ac:dyDescent="0.3">
      <c r="A579" s="114"/>
      <c r="B579" s="111"/>
      <c r="C579" s="63"/>
      <c r="D579" s="111"/>
      <c r="E579" s="113"/>
      <c r="F579" s="63"/>
      <c r="G579" s="63"/>
      <c r="H579" s="115"/>
      <c r="I579" s="108"/>
    </row>
    <row r="580" spans="1:9" x14ac:dyDescent="0.3">
      <c r="A580" s="114"/>
      <c r="B580" s="111">
        <f>'03_Pipe_Engine'!$C$12*4</f>
        <v>0</v>
      </c>
      <c r="C580" s="63" t="s">
        <v>1628</v>
      </c>
      <c r="D580" s="111"/>
      <c r="E580" s="113"/>
      <c r="F580" s="63" t="s">
        <v>2317</v>
      </c>
      <c r="G580" s="63"/>
      <c r="H580" s="115"/>
      <c r="I580" s="108" t="s">
        <v>67</v>
      </c>
    </row>
    <row r="581" spans="1:9" x14ac:dyDescent="0.3">
      <c r="A581" s="114"/>
      <c r="B581" s="111"/>
      <c r="C581" s="63"/>
      <c r="D581" s="111">
        <f>'03_Pipe_Engine'!$T$12</f>
        <v>1.65</v>
      </c>
      <c r="E581" s="113"/>
      <c r="F581" s="63"/>
      <c r="G581" s="63"/>
      <c r="H581" s="115"/>
      <c r="I581" s="108" t="s">
        <v>2250</v>
      </c>
    </row>
    <row r="582" spans="1:9" x14ac:dyDescent="0.3">
      <c r="A582" s="114"/>
      <c r="B582" s="111"/>
      <c r="C582" s="63"/>
      <c r="D582" s="111">
        <f>'03_Pipe_Engine'!$S$12</f>
        <v>1.325</v>
      </c>
      <c r="E582" s="113"/>
      <c r="F582" s="63"/>
      <c r="G582" s="63"/>
      <c r="H582" s="115"/>
      <c r="I582" s="108" t="s">
        <v>2253</v>
      </c>
    </row>
    <row r="583" spans="1:9" x14ac:dyDescent="0.3">
      <c r="A583" s="114"/>
      <c r="B583" s="111"/>
      <c r="C583" s="63"/>
      <c r="D583" s="111">
        <f>'03_Pipe_Engine'!$U$12</f>
        <v>0.2</v>
      </c>
      <c r="E583" s="113">
        <f>N(B580)*N(D581)*N(D582)*N(D583)</f>
        <v>0</v>
      </c>
      <c r="F583" s="63"/>
      <c r="G583" s="63"/>
      <c r="H583" s="115"/>
      <c r="I583" s="108" t="s">
        <v>2260</v>
      </c>
    </row>
    <row r="584" spans="1:9" x14ac:dyDescent="0.3">
      <c r="A584" s="114"/>
      <c r="B584" s="111"/>
      <c r="C584" s="63"/>
      <c r="D584" s="111"/>
      <c r="E584" s="113"/>
      <c r="F584" s="63"/>
      <c r="G584" s="63"/>
      <c r="H584" s="115"/>
      <c r="I584" s="108"/>
    </row>
    <row r="585" spans="1:9" x14ac:dyDescent="0.3">
      <c r="A585" s="114"/>
      <c r="B585" s="111"/>
      <c r="C585" s="63"/>
      <c r="D585" s="111"/>
      <c r="E585" s="113"/>
      <c r="F585" s="63"/>
      <c r="G585" s="63"/>
      <c r="H585" s="115"/>
      <c r="I585" s="108"/>
    </row>
    <row r="586" spans="1:9" x14ac:dyDescent="0.3">
      <c r="A586" s="119" t="s">
        <v>1328</v>
      </c>
      <c r="B586" s="122"/>
      <c r="C586" s="119"/>
      <c r="D586" s="122"/>
      <c r="E586" s="123"/>
      <c r="F586" s="119" t="s">
        <v>2318</v>
      </c>
      <c r="G586" s="119" t="s">
        <v>301</v>
      </c>
      <c r="H586" s="124">
        <f>E589+E593</f>
        <v>0</v>
      </c>
      <c r="I586" s="125" t="str">
        <f>IF(ABS(H586-'03_Pipe_Engine'!$AF$12)&lt;=MAX(0.01,0.005*ABS('03_Pipe_Engine'!$AF$12)),"OK","DIFF")</f>
        <v>OK</v>
      </c>
    </row>
    <row r="587" spans="1:9" x14ac:dyDescent="0.3">
      <c r="A587" s="135"/>
      <c r="B587" s="111">
        <f>'03_Pipe_Engine'!$C$12*2*2</f>
        <v>0</v>
      </c>
      <c r="C587" s="138" t="s">
        <v>1628</v>
      </c>
      <c r="D587" s="111"/>
      <c r="E587" s="113"/>
      <c r="F587" s="138" t="s">
        <v>2319</v>
      </c>
      <c r="G587" s="138"/>
      <c r="H587" s="136"/>
      <c r="I587" s="139" t="s">
        <v>67</v>
      </c>
    </row>
    <row r="588" spans="1:9" x14ac:dyDescent="0.3">
      <c r="A588" s="114"/>
      <c r="B588" s="111"/>
      <c r="C588" s="63"/>
      <c r="D588" s="111">
        <f>'03_Pipe_Engine'!$P$12</f>
        <v>0.6</v>
      </c>
      <c r="E588" s="113"/>
      <c r="F588" s="63"/>
      <c r="G588" s="63"/>
      <c r="H588" s="115"/>
      <c r="I588" s="108" t="s">
        <v>2316</v>
      </c>
    </row>
    <row r="589" spans="1:9" x14ac:dyDescent="0.3">
      <c r="A589" s="114"/>
      <c r="B589" s="111"/>
      <c r="C589" s="63"/>
      <c r="D589" s="111">
        <f>'03_Pipe_Engine'!$Q$12</f>
        <v>0.2</v>
      </c>
      <c r="E589" s="113">
        <f>N(B587)*N(D588)*N(D589)</f>
        <v>0</v>
      </c>
      <c r="F589" s="63"/>
      <c r="G589" s="63"/>
      <c r="H589" s="115"/>
      <c r="I589" s="108" t="s">
        <v>2260</v>
      </c>
    </row>
    <row r="590" spans="1:9" x14ac:dyDescent="0.3">
      <c r="A590" s="114"/>
      <c r="B590" s="111"/>
      <c r="C590" s="63"/>
      <c r="D590" s="111"/>
      <c r="E590" s="113"/>
      <c r="F590" s="63"/>
      <c r="G590" s="63"/>
      <c r="H590" s="115"/>
      <c r="I590" s="108"/>
    </row>
    <row r="591" spans="1:9" x14ac:dyDescent="0.3">
      <c r="A591" s="114"/>
      <c r="B591" s="111">
        <f>'03_Pipe_Engine'!$C$12*4</f>
        <v>0</v>
      </c>
      <c r="C591" s="63" t="s">
        <v>1628</v>
      </c>
      <c r="D591" s="111"/>
      <c r="E591" s="113"/>
      <c r="F591" s="63" t="s">
        <v>2320</v>
      </c>
      <c r="G591" s="63"/>
      <c r="H591" s="115"/>
      <c r="I591" s="108" t="s">
        <v>67</v>
      </c>
    </row>
    <row r="592" spans="1:9" x14ac:dyDescent="0.3">
      <c r="A592" s="114"/>
      <c r="B592" s="111"/>
      <c r="C592" s="63"/>
      <c r="D592" s="111">
        <f>'03_Pipe_Engine'!$R$12</f>
        <v>1</v>
      </c>
      <c r="E592" s="113"/>
      <c r="F592" s="63"/>
      <c r="G592" s="63"/>
      <c r="H592" s="115"/>
      <c r="I592" s="108" t="s">
        <v>2321</v>
      </c>
    </row>
    <row r="593" spans="1:9" x14ac:dyDescent="0.3">
      <c r="A593" s="114"/>
      <c r="B593" s="111"/>
      <c r="C593" s="63"/>
      <c r="D593" s="111">
        <f>'03_Pipe_Engine'!$U$12</f>
        <v>0.2</v>
      </c>
      <c r="E593" s="113">
        <f>N(B591)*N(D592)*N(D593)</f>
        <v>0</v>
      </c>
      <c r="F593" s="63"/>
      <c r="G593" s="63"/>
      <c r="H593" s="115"/>
      <c r="I593" s="108" t="s">
        <v>2260</v>
      </c>
    </row>
    <row r="594" spans="1:9" x14ac:dyDescent="0.3">
      <c r="A594" s="114"/>
      <c r="B594" s="111"/>
      <c r="C594" s="63"/>
      <c r="D594" s="111"/>
      <c r="E594" s="113"/>
      <c r="F594" s="63"/>
      <c r="G594" s="63"/>
      <c r="H594" s="115"/>
      <c r="I594" s="108"/>
    </row>
    <row r="595" spans="1:9" x14ac:dyDescent="0.3">
      <c r="A595" s="114"/>
      <c r="B595" s="111"/>
      <c r="C595" s="63"/>
      <c r="D595" s="111"/>
      <c r="E595" s="113"/>
      <c r="F595" s="63"/>
      <c r="G595" s="63"/>
      <c r="H595" s="115"/>
      <c r="I595" s="108"/>
    </row>
    <row r="596" spans="1:9" x14ac:dyDescent="0.3">
      <c r="A596" s="119" t="s">
        <v>1329</v>
      </c>
      <c r="B596" s="122"/>
      <c r="C596" s="119"/>
      <c r="D596" s="122"/>
      <c r="E596" s="123"/>
      <c r="F596" s="119" t="s">
        <v>2322</v>
      </c>
      <c r="G596" s="119" t="s">
        <v>301</v>
      </c>
      <c r="H596" s="124">
        <f>E599+E603</f>
        <v>0</v>
      </c>
      <c r="I596" s="125" t="str">
        <f>IF(ABS(H596-'03_Pipe_Engine'!$AG$12)&lt;=MAX(0.01,0.005*ABS('03_Pipe_Engine'!$AG$12)),"OK","DIFF")</f>
        <v>OK</v>
      </c>
    </row>
    <row r="597" spans="1:9" x14ac:dyDescent="0.3">
      <c r="A597" s="135"/>
      <c r="B597" s="111">
        <f>'03_Pipe_Engine'!$C$12*2*2</f>
        <v>0</v>
      </c>
      <c r="C597" s="138" t="s">
        <v>1628</v>
      </c>
      <c r="D597" s="111"/>
      <c r="E597" s="113"/>
      <c r="F597" s="138" t="s">
        <v>2323</v>
      </c>
      <c r="G597" s="138"/>
      <c r="H597" s="136"/>
      <c r="I597" s="139" t="s">
        <v>2324</v>
      </c>
    </row>
    <row r="598" spans="1:9" x14ac:dyDescent="0.3">
      <c r="A598" s="114"/>
      <c r="B598" s="111"/>
      <c r="C598" s="63"/>
      <c r="D598" s="111">
        <f>'03_Pipe_Engine'!$T$12</f>
        <v>1.65</v>
      </c>
      <c r="E598" s="113"/>
      <c r="F598" s="63"/>
      <c r="G598" s="63"/>
      <c r="H598" s="115"/>
      <c r="I598" s="108" t="s">
        <v>2250</v>
      </c>
    </row>
    <row r="599" spans="1:9" x14ac:dyDescent="0.3">
      <c r="A599" s="114"/>
      <c r="B599" s="111"/>
      <c r="C599" s="63"/>
      <c r="D599" s="111">
        <f>'03_Pipe_Engine'!$P$12</f>
        <v>0.6</v>
      </c>
      <c r="E599" s="113">
        <f>N(B597)*N(D598)*N(D599)</f>
        <v>0</v>
      </c>
      <c r="F599" s="63"/>
      <c r="G599" s="63"/>
      <c r="H599" s="115"/>
      <c r="I599" s="108" t="s">
        <v>2316</v>
      </c>
    </row>
    <row r="600" spans="1:9" x14ac:dyDescent="0.3">
      <c r="A600" s="114"/>
      <c r="B600" s="111"/>
      <c r="C600" s="63"/>
      <c r="D600" s="111"/>
      <c r="E600" s="113"/>
      <c r="F600" s="63"/>
      <c r="G600" s="63"/>
      <c r="H600" s="115"/>
      <c r="I600" s="108"/>
    </row>
    <row r="601" spans="1:9" x14ac:dyDescent="0.3">
      <c r="A601" s="114"/>
      <c r="B601" s="111">
        <f>'03_Pipe_Engine'!$C$12*4*2</f>
        <v>0</v>
      </c>
      <c r="C601" s="63" t="s">
        <v>1628</v>
      </c>
      <c r="D601" s="111"/>
      <c r="E601" s="113"/>
      <c r="F601" s="63" t="s">
        <v>2325</v>
      </c>
      <c r="G601" s="63"/>
      <c r="H601" s="115"/>
      <c r="I601" s="108" t="s">
        <v>2324</v>
      </c>
    </row>
    <row r="602" spans="1:9" x14ac:dyDescent="0.3">
      <c r="A602" s="114"/>
      <c r="B602" s="111"/>
      <c r="C602" s="63"/>
      <c r="D602" s="111">
        <f>'03_Pipe_Engine'!$T$12</f>
        <v>1.65</v>
      </c>
      <c r="E602" s="113"/>
      <c r="F602" s="63"/>
      <c r="G602" s="63"/>
      <c r="H602" s="115"/>
      <c r="I602" s="108" t="s">
        <v>2250</v>
      </c>
    </row>
    <row r="603" spans="1:9" x14ac:dyDescent="0.3">
      <c r="A603" s="114"/>
      <c r="B603" s="111"/>
      <c r="C603" s="63"/>
      <c r="D603" s="111">
        <f>'03_Pipe_Engine'!$S$12</f>
        <v>1.325</v>
      </c>
      <c r="E603" s="113">
        <f>N(B601)*N(D602)*N(D603)</f>
        <v>0</v>
      </c>
      <c r="F603" s="63"/>
      <c r="G603" s="63"/>
      <c r="H603" s="115"/>
      <c r="I603" s="108" t="s">
        <v>2253</v>
      </c>
    </row>
    <row r="604" spans="1:9" x14ac:dyDescent="0.3">
      <c r="A604" s="114"/>
      <c r="B604" s="111"/>
      <c r="C604" s="63"/>
      <c r="D604" s="111"/>
      <c r="E604" s="113"/>
      <c r="F604" s="63"/>
      <c r="G604" s="63"/>
      <c r="H604" s="115"/>
      <c r="I604" s="108"/>
    </row>
    <row r="605" spans="1:9" x14ac:dyDescent="0.3">
      <c r="A605" s="114"/>
      <c r="B605" s="111"/>
      <c r="C605" s="63"/>
      <c r="D605" s="111"/>
      <c r="E605" s="113"/>
      <c r="F605" s="63"/>
      <c r="G605" s="63"/>
      <c r="H605" s="115"/>
      <c r="I605" s="108"/>
    </row>
    <row r="606" spans="1:9" x14ac:dyDescent="0.3">
      <c r="A606" s="119" t="s">
        <v>1332</v>
      </c>
      <c r="B606" s="122"/>
      <c r="C606" s="119"/>
      <c r="D606" s="122"/>
      <c r="E606" s="123"/>
      <c r="F606" s="119" t="s">
        <v>2332</v>
      </c>
      <c r="G606" s="119" t="s">
        <v>63</v>
      </c>
      <c r="H606" s="124">
        <f>E608</f>
        <v>0</v>
      </c>
      <c r="I606" s="125" t="str">
        <f>IF(ABS(H606-'03_Pipe_Engine'!$AJ$12)&lt;=MAX(0.01,0.005*ABS('03_Pipe_Engine'!$AJ$12)),"OK","DIFF")</f>
        <v>OK</v>
      </c>
    </row>
    <row r="607" spans="1:9" x14ac:dyDescent="0.3">
      <c r="A607" s="135"/>
      <c r="B607" s="111">
        <f>'03_Pipe_Engine'!$F$12</f>
        <v>1</v>
      </c>
      <c r="C607" s="138" t="s">
        <v>1628</v>
      </c>
      <c r="D607" s="111"/>
      <c r="E607" s="113"/>
      <c r="F607" s="138" t="s">
        <v>2327</v>
      </c>
      <c r="G607" s="138"/>
      <c r="H607" s="136"/>
      <c r="I607" s="139" t="s">
        <v>2328</v>
      </c>
    </row>
    <row r="608" spans="1:9" x14ac:dyDescent="0.3">
      <c r="A608" s="114"/>
      <c r="B608" s="111"/>
      <c r="C608" s="63"/>
      <c r="D608" s="111">
        <f>'03_Pipe_Engine'!$D$12</f>
        <v>0</v>
      </c>
      <c r="E608" s="113">
        <f>N(B607)*N(D608)</f>
        <v>0</v>
      </c>
      <c r="F608" s="63"/>
      <c r="G608" s="63"/>
      <c r="H608" s="115"/>
      <c r="I608" s="108" t="s">
        <v>2301</v>
      </c>
    </row>
    <row r="609" spans="1:9" x14ac:dyDescent="0.3">
      <c r="A609" s="114"/>
      <c r="B609" s="111"/>
      <c r="C609" s="63"/>
      <c r="D609" s="111"/>
      <c r="E609" s="113"/>
      <c r="F609" s="63"/>
      <c r="G609" s="63"/>
      <c r="H609" s="115"/>
      <c r="I609" s="108"/>
    </row>
    <row r="610" spans="1:9" x14ac:dyDescent="0.3">
      <c r="A610" s="114"/>
      <c r="B610" s="111"/>
      <c r="C610" s="63"/>
      <c r="D610" s="111"/>
      <c r="E610" s="113"/>
      <c r="F610" s="63"/>
      <c r="G610" s="63"/>
      <c r="H610" s="115"/>
      <c r="I610" s="108"/>
    </row>
    <row r="611" spans="1:9" x14ac:dyDescent="0.3">
      <c r="A611" s="119" t="s">
        <v>1341</v>
      </c>
      <c r="B611" s="122"/>
      <c r="C611" s="119"/>
      <c r="D611" s="122"/>
      <c r="E611" s="123"/>
      <c r="F611" s="119" t="s">
        <v>2329</v>
      </c>
      <c r="G611" s="119" t="s">
        <v>63</v>
      </c>
      <c r="H611" s="124">
        <f>E612</f>
        <v>0</v>
      </c>
      <c r="I611" s="125" t="str">
        <f>IF(ABS(H611-'03_Pipe_Engine'!$AS$12)&lt;=MAX(0.01,0.005*ABS('03_Pipe_Engine'!$AS$12)),"OK","DIFF")</f>
        <v>OK</v>
      </c>
    </row>
    <row r="612" spans="1:9" x14ac:dyDescent="0.3">
      <c r="A612" s="135"/>
      <c r="B612" s="111">
        <f>'03_Pipe_Engine'!$D$12</f>
        <v>0</v>
      </c>
      <c r="C612" s="138" t="s">
        <v>1628</v>
      </c>
      <c r="D612" s="111"/>
      <c r="E612" s="113">
        <f>N(B612)</f>
        <v>0</v>
      </c>
      <c r="F612" s="138" t="s">
        <v>2330</v>
      </c>
      <c r="G612" s="138"/>
      <c r="H612" s="136"/>
      <c r="I612" s="139" t="s">
        <v>2301</v>
      </c>
    </row>
    <row r="613" spans="1:9" x14ac:dyDescent="0.3">
      <c r="A613" s="114"/>
      <c r="B613" s="111"/>
      <c r="C613" s="63"/>
      <c r="D613" s="111"/>
      <c r="E613" s="113"/>
      <c r="F613" s="63"/>
      <c r="G613" s="63"/>
      <c r="H613" s="115"/>
      <c r="I613" s="108"/>
    </row>
    <row r="614" spans="1:9" x14ac:dyDescent="0.3">
      <c r="A614" s="114"/>
      <c r="B614" s="111"/>
      <c r="C614" s="63"/>
      <c r="D614" s="111"/>
      <c r="E614" s="113"/>
      <c r="F614" s="63"/>
      <c r="G614" s="63"/>
      <c r="H614" s="115"/>
      <c r="I614" s="108"/>
    </row>
    <row r="615" spans="1:9" x14ac:dyDescent="0.3">
      <c r="A615" s="114"/>
      <c r="B615" s="111"/>
      <c r="C615" s="63"/>
      <c r="D615" s="111"/>
      <c r="E615" s="113"/>
      <c r="F615" s="63"/>
      <c r="G615" s="63"/>
      <c r="H615" s="115"/>
      <c r="I615" s="108"/>
    </row>
    <row r="616" spans="1:9" x14ac:dyDescent="0.3">
      <c r="A616" s="131" t="s">
        <v>1419</v>
      </c>
      <c r="B616" s="158"/>
      <c r="C616" s="131"/>
      <c r="D616" s="158"/>
      <c r="E616" s="132"/>
      <c r="F616" s="131" t="str">
        <f>IF('03_Pipe_Engine'!$C$13=0,"none in this project",'03_Pipe_Engine'!$C$13&amp;" nr,  total length "&amp;'03_Pipe_Engine'!$D$13&amp;" m")</f>
        <v>none in this project</v>
      </c>
      <c r="G616" s="131"/>
      <c r="H616" s="133"/>
      <c r="I616" s="134"/>
    </row>
    <row r="617" spans="1:9" x14ac:dyDescent="0.3">
      <c r="A617" s="119" t="s">
        <v>1322</v>
      </c>
      <c r="B617" s="122"/>
      <c r="C617" s="119"/>
      <c r="D617" s="122"/>
      <c r="E617" s="123"/>
      <c r="F617" s="119" t="s">
        <v>1373</v>
      </c>
      <c r="G617" s="119" t="s">
        <v>300</v>
      </c>
      <c r="H617" s="124">
        <f>E620+E625+E630+E635</f>
        <v>0</v>
      </c>
      <c r="I617" s="125" t="str">
        <f>IF(ABS(H617-'03_Pipe_Engine'!$Y$13)&lt;=MAX(0.01,0.005*ABS('03_Pipe_Engine'!$Y$13)),"OK","DIFF")</f>
        <v>OK</v>
      </c>
    </row>
    <row r="618" spans="1:9" x14ac:dyDescent="0.3">
      <c r="A618" s="135"/>
      <c r="B618" s="111">
        <f>'03_Pipe_Engine'!$D$13</f>
        <v>0</v>
      </c>
      <c r="C618" s="138" t="s">
        <v>1628</v>
      </c>
      <c r="D618" s="111"/>
      <c r="E618" s="113"/>
      <c r="F618" s="138" t="s">
        <v>2300</v>
      </c>
      <c r="G618" s="138"/>
      <c r="H618" s="136"/>
      <c r="I618" s="139" t="s">
        <v>2301</v>
      </c>
    </row>
    <row r="619" spans="1:9" x14ac:dyDescent="0.3">
      <c r="A619" s="114"/>
      <c r="B619" s="111"/>
      <c r="C619" s="63"/>
      <c r="D619" s="111">
        <f>'03_Pipe_Engine'!$J$13</f>
        <v>3.0750000000000002</v>
      </c>
      <c r="E619" s="113"/>
      <c r="F619" s="63"/>
      <c r="G619" s="63"/>
      <c r="H619" s="115"/>
      <c r="I619" s="108" t="s">
        <v>2302</v>
      </c>
    </row>
    <row r="620" spans="1:9" x14ac:dyDescent="0.3">
      <c r="A620" s="114"/>
      <c r="B620" s="111"/>
      <c r="C620" s="63"/>
      <c r="D620" s="111">
        <f>'03_Pipe_Engine'!$L$13</f>
        <v>0.4</v>
      </c>
      <c r="E620" s="113">
        <f>N(B618)*N(D619)*N(D620)</f>
        <v>0</v>
      </c>
      <c r="F620" s="63"/>
      <c r="G620" s="63"/>
      <c r="H620" s="115"/>
      <c r="I620" s="108" t="s">
        <v>2303</v>
      </c>
    </row>
    <row r="621" spans="1:9" x14ac:dyDescent="0.3">
      <c r="A621" s="114"/>
      <c r="B621" s="111"/>
      <c r="C621" s="63"/>
      <c r="D621" s="111"/>
      <c r="E621" s="113"/>
      <c r="F621" s="63"/>
      <c r="G621" s="63"/>
      <c r="H621" s="115"/>
      <c r="I621" s="108"/>
    </row>
    <row r="622" spans="1:9" x14ac:dyDescent="0.3">
      <c r="A622" s="114"/>
      <c r="B622" s="111">
        <f>'03_Pipe_Engine'!$C$13*2</f>
        <v>0</v>
      </c>
      <c r="C622" s="63" t="s">
        <v>1628</v>
      </c>
      <c r="D622" s="111"/>
      <c r="E622" s="113"/>
      <c r="F622" s="63" t="s">
        <v>2304</v>
      </c>
      <c r="G622" s="63"/>
      <c r="H622" s="115"/>
      <c r="I622" s="108" t="s">
        <v>67</v>
      </c>
    </row>
    <row r="623" spans="1:9" x14ac:dyDescent="0.3">
      <c r="A623" s="114"/>
      <c r="B623" s="111"/>
      <c r="C623" s="63"/>
      <c r="D623" s="111">
        <f>'03_Pipe_Engine'!$N$13</f>
        <v>1.4139999999999999</v>
      </c>
      <c r="E623" s="113"/>
      <c r="F623" s="63"/>
      <c r="G623" s="63"/>
      <c r="H623" s="115"/>
      <c r="I623" s="108" t="s">
        <v>2305</v>
      </c>
    </row>
    <row r="624" spans="1:9" x14ac:dyDescent="0.3">
      <c r="A624" s="114"/>
      <c r="B624" s="111"/>
      <c r="C624" s="63"/>
      <c r="D624" s="111">
        <f>('03_Pipe_Engine'!$J$13+'03_Pipe_Engine'!$O$13)/2</f>
        <v>4.4889999999999999</v>
      </c>
      <c r="E624" s="113"/>
      <c r="F624" s="63"/>
      <c r="G624" s="63"/>
      <c r="H624" s="115"/>
      <c r="I624" s="108" t="s">
        <v>2251</v>
      </c>
    </row>
    <row r="625" spans="1:9" x14ac:dyDescent="0.3">
      <c r="A625" s="114"/>
      <c r="B625" s="111"/>
      <c r="C625" s="63"/>
      <c r="D625" s="111">
        <f>'03_Pipe_Engine'!$L$13</f>
        <v>0.4</v>
      </c>
      <c r="E625" s="113">
        <f>N(B622)*N(D623)*N(D624)*N(D625)</f>
        <v>0</v>
      </c>
      <c r="F625" s="63"/>
      <c r="G625" s="63"/>
      <c r="H625" s="115"/>
      <c r="I625" s="108" t="s">
        <v>2303</v>
      </c>
    </row>
    <row r="626" spans="1:9" x14ac:dyDescent="0.3">
      <c r="A626" s="114"/>
      <c r="B626" s="111"/>
      <c r="C626" s="63"/>
      <c r="D626" s="111"/>
      <c r="E626" s="113"/>
      <c r="F626" s="63"/>
      <c r="G626" s="63"/>
      <c r="H626" s="115"/>
      <c r="I626" s="108"/>
    </row>
    <row r="627" spans="1:9" x14ac:dyDescent="0.3">
      <c r="A627" s="114"/>
      <c r="B627" s="111">
        <f>'03_Pipe_Engine'!$C$13*4</f>
        <v>0</v>
      </c>
      <c r="C627" s="63" t="s">
        <v>1628</v>
      </c>
      <c r="D627" s="111"/>
      <c r="E627" s="113"/>
      <c r="F627" s="63" t="s">
        <v>2306</v>
      </c>
      <c r="G627" s="63"/>
      <c r="H627" s="115"/>
      <c r="I627" s="108" t="s">
        <v>67</v>
      </c>
    </row>
    <row r="628" spans="1:9" x14ac:dyDescent="0.3">
      <c r="A628" s="114"/>
      <c r="B628" s="111"/>
      <c r="C628" s="63"/>
      <c r="D628" s="111">
        <f>'03_Pipe_Engine'!$T$13</f>
        <v>3.0750000000000002</v>
      </c>
      <c r="E628" s="113"/>
      <c r="F628" s="63"/>
      <c r="G628" s="63"/>
      <c r="H628" s="115"/>
      <c r="I628" s="108" t="s">
        <v>2250</v>
      </c>
    </row>
    <row r="629" spans="1:9" x14ac:dyDescent="0.3">
      <c r="A629" s="114"/>
      <c r="B629" s="111"/>
      <c r="C629" s="63"/>
      <c r="D629" s="111">
        <f>0.5</f>
        <v>0.5</v>
      </c>
      <c r="E629" s="113"/>
      <c r="F629" s="63"/>
      <c r="G629" s="63"/>
      <c r="H629" s="115"/>
      <c r="I629" s="108" t="s">
        <v>2249</v>
      </c>
    </row>
    <row r="630" spans="1:9" x14ac:dyDescent="0.3">
      <c r="A630" s="114"/>
      <c r="B630" s="111"/>
      <c r="C630" s="63"/>
      <c r="D630" s="111">
        <f>'03_Pipe_Engine'!$L$13</f>
        <v>0.4</v>
      </c>
      <c r="E630" s="113">
        <f>N(B627)*N(D628)*N(D629)*N(D630)</f>
        <v>0</v>
      </c>
      <c r="F630" s="63"/>
      <c r="G630" s="63"/>
      <c r="H630" s="115"/>
      <c r="I630" s="108" t="s">
        <v>2303</v>
      </c>
    </row>
    <row r="631" spans="1:9" x14ac:dyDescent="0.3">
      <c r="A631" s="114"/>
      <c r="B631" s="111"/>
      <c r="C631" s="63"/>
      <c r="D631" s="111"/>
      <c r="E631" s="113"/>
      <c r="F631" s="63"/>
      <c r="G631" s="63"/>
      <c r="H631" s="115"/>
      <c r="I631" s="108"/>
    </row>
    <row r="632" spans="1:9" x14ac:dyDescent="0.3">
      <c r="A632" s="114"/>
      <c r="B632" s="111">
        <f>'03_Pipe_Engine'!$C$13*2</f>
        <v>0</v>
      </c>
      <c r="C632" s="63" t="s">
        <v>1628</v>
      </c>
      <c r="D632" s="111"/>
      <c r="E632" s="113"/>
      <c r="F632" s="63" t="s">
        <v>2307</v>
      </c>
      <c r="G632" s="63"/>
      <c r="H632" s="115"/>
      <c r="I632" s="108" t="s">
        <v>67</v>
      </c>
    </row>
    <row r="633" spans="1:9" x14ac:dyDescent="0.3">
      <c r="A633" s="114"/>
      <c r="B633" s="111"/>
      <c r="C633" s="63"/>
      <c r="D633" s="111">
        <f>'03_Pipe_Engine'!$O$13</f>
        <v>5.9029999999999996</v>
      </c>
      <c r="E633" s="113"/>
      <c r="F633" s="63"/>
      <c r="G633" s="63"/>
      <c r="H633" s="115"/>
      <c r="I633" s="108" t="s">
        <v>2308</v>
      </c>
    </row>
    <row r="634" spans="1:9" x14ac:dyDescent="0.3">
      <c r="A634" s="114"/>
      <c r="B634" s="111"/>
      <c r="C634" s="63"/>
      <c r="D634" s="111">
        <f>'03_Pipe_Engine'!$X$13</f>
        <v>0.45</v>
      </c>
      <c r="E634" s="113"/>
      <c r="F634" s="63"/>
      <c r="G634" s="63"/>
      <c r="H634" s="115"/>
      <c r="I634" s="108" t="s">
        <v>2309</v>
      </c>
    </row>
    <row r="635" spans="1:9" x14ac:dyDescent="0.3">
      <c r="A635" s="114"/>
      <c r="B635" s="111"/>
      <c r="C635" s="63"/>
      <c r="D635" s="111">
        <f>'03_Pipe_Engine'!$L$13</f>
        <v>0.4</v>
      </c>
      <c r="E635" s="113">
        <f>N(B632)*N(D633)*N(D634)*N(D635)</f>
        <v>0</v>
      </c>
      <c r="F635" s="63"/>
      <c r="G635" s="63"/>
      <c r="H635" s="115"/>
      <c r="I635" s="108" t="s">
        <v>2303</v>
      </c>
    </row>
    <row r="636" spans="1:9" x14ac:dyDescent="0.3">
      <c r="A636" s="114"/>
      <c r="B636" s="111"/>
      <c r="C636" s="63"/>
      <c r="D636" s="111"/>
      <c r="E636" s="113"/>
      <c r="F636" s="63"/>
      <c r="G636" s="63"/>
      <c r="H636" s="115"/>
      <c r="I636" s="108"/>
    </row>
    <row r="637" spans="1:9" x14ac:dyDescent="0.3">
      <c r="A637" s="114"/>
      <c r="B637" s="111"/>
      <c r="C637" s="63"/>
      <c r="D637" s="111"/>
      <c r="E637" s="113"/>
      <c r="F637" s="63"/>
      <c r="G637" s="63"/>
      <c r="H637" s="115"/>
      <c r="I637" s="108"/>
    </row>
    <row r="638" spans="1:9" x14ac:dyDescent="0.3">
      <c r="A638" s="119" t="s">
        <v>1323</v>
      </c>
      <c r="B638" s="122"/>
      <c r="C638" s="119"/>
      <c r="D638" s="122"/>
      <c r="E638" s="123"/>
      <c r="F638" s="119" t="s">
        <v>2310</v>
      </c>
      <c r="G638" s="119" t="s">
        <v>300</v>
      </c>
      <c r="H638" s="124">
        <f>E641</f>
        <v>0</v>
      </c>
      <c r="I638" s="125" t="str">
        <f>IF(ABS(H638-'03_Pipe_Engine'!$Z$13)&lt;=MAX(0.01,0.005*ABS('03_Pipe_Engine'!$Z$13)),"OK","DIFF")</f>
        <v>OK</v>
      </c>
    </row>
    <row r="639" spans="1:9" x14ac:dyDescent="0.3">
      <c r="A639" s="135"/>
      <c r="B639" s="111">
        <f>'03_Pipe_Engine'!$D$13</f>
        <v>0</v>
      </c>
      <c r="C639" s="138" t="s">
        <v>1628</v>
      </c>
      <c r="D639" s="111"/>
      <c r="E639" s="113"/>
      <c r="F639" s="138" t="s">
        <v>2311</v>
      </c>
      <c r="G639" s="138"/>
      <c r="H639" s="136"/>
      <c r="I639" s="139" t="s">
        <v>2301</v>
      </c>
    </row>
    <row r="640" spans="1:9" x14ac:dyDescent="0.3">
      <c r="A640" s="114"/>
      <c r="B640" s="111"/>
      <c r="C640" s="63"/>
      <c r="D640" s="111">
        <f>'03_Pipe_Engine'!$J$13</f>
        <v>3.0750000000000002</v>
      </c>
      <c r="E640" s="113"/>
      <c r="F640" s="63"/>
      <c r="G640" s="63"/>
      <c r="H640" s="115"/>
      <c r="I640" s="108" t="s">
        <v>2249</v>
      </c>
    </row>
    <row r="641" spans="1:9" x14ac:dyDescent="0.3">
      <c r="A641" s="114"/>
      <c r="B641" s="111"/>
      <c r="C641" s="63"/>
      <c r="D641" s="111">
        <f>'03_Pipe_Engine'!$M$13</f>
        <v>0.05</v>
      </c>
      <c r="E641" s="113">
        <f>N(B639)*N(D640)*N(D641)</f>
        <v>0</v>
      </c>
      <c r="F641" s="63"/>
      <c r="G641" s="63"/>
      <c r="H641" s="115"/>
      <c r="I641" s="108" t="s">
        <v>2260</v>
      </c>
    </row>
    <row r="642" spans="1:9" x14ac:dyDescent="0.3">
      <c r="A642" s="114"/>
      <c r="B642" s="111"/>
      <c r="C642" s="63"/>
      <c r="D642" s="111"/>
      <c r="E642" s="113"/>
      <c r="F642" s="63"/>
      <c r="G642" s="63"/>
      <c r="H642" s="115"/>
      <c r="I642" s="108"/>
    </row>
    <row r="643" spans="1:9" x14ac:dyDescent="0.3">
      <c r="A643" s="114"/>
      <c r="B643" s="111"/>
      <c r="C643" s="63"/>
      <c r="D643" s="111"/>
      <c r="E643" s="113"/>
      <c r="F643" s="63"/>
      <c r="G643" s="63"/>
      <c r="H643" s="115"/>
      <c r="I643" s="108"/>
    </row>
    <row r="644" spans="1:9" x14ac:dyDescent="0.3">
      <c r="A644" s="119" t="s">
        <v>1326</v>
      </c>
      <c r="B644" s="122"/>
      <c r="C644" s="119"/>
      <c r="D644" s="122"/>
      <c r="E644" s="123"/>
      <c r="F644" s="119" t="s">
        <v>2312</v>
      </c>
      <c r="G644" s="119" t="s">
        <v>300</v>
      </c>
      <c r="H644" s="124">
        <f>E648+E653+E658</f>
        <v>0</v>
      </c>
      <c r="I644" s="125" t="str">
        <f>IF(ABS(H644-'03_Pipe_Engine'!$AD$13)&lt;=MAX(0.01,0.005*ABS('03_Pipe_Engine'!$AD$13)),"OK","DIFF")</f>
        <v>OK</v>
      </c>
    </row>
    <row r="645" spans="1:9" x14ac:dyDescent="0.3">
      <c r="A645" s="135"/>
      <c r="B645" s="111">
        <f>'03_Pipe_Engine'!$C$13*2</f>
        <v>0</v>
      </c>
      <c r="C645" s="138" t="s">
        <v>1628</v>
      </c>
      <c r="D645" s="111"/>
      <c r="E645" s="113"/>
      <c r="F645" s="138" t="s">
        <v>2313</v>
      </c>
      <c r="G645" s="138"/>
      <c r="H645" s="136"/>
      <c r="I645" s="139" t="s">
        <v>67</v>
      </c>
    </row>
    <row r="646" spans="1:9" x14ac:dyDescent="0.3">
      <c r="A646" s="114"/>
      <c r="B646" s="111"/>
      <c r="C646" s="63"/>
      <c r="D646" s="111">
        <f>'03_Pipe_Engine'!$N$13</f>
        <v>1.4139999999999999</v>
      </c>
      <c r="E646" s="113"/>
      <c r="F646" s="63"/>
      <c r="G646" s="63"/>
      <c r="H646" s="115"/>
      <c r="I646" s="108" t="s">
        <v>2250</v>
      </c>
    </row>
    <row r="647" spans="1:9" x14ac:dyDescent="0.3">
      <c r="A647" s="114"/>
      <c r="B647" s="111"/>
      <c r="C647" s="63"/>
      <c r="D647" s="111">
        <f>('03_Pipe_Engine'!$J$13+'03_Pipe_Engine'!$O$13)/2</f>
        <v>4.4889999999999999</v>
      </c>
      <c r="E647" s="113"/>
      <c r="F647" s="63"/>
      <c r="G647" s="63"/>
      <c r="H647" s="115"/>
      <c r="I647" s="108" t="s">
        <v>2251</v>
      </c>
    </row>
    <row r="648" spans="1:9" x14ac:dyDescent="0.3">
      <c r="A648" s="114"/>
      <c r="B648" s="111"/>
      <c r="C648" s="63"/>
      <c r="D648" s="111">
        <f>'03_Pipe_Engine'!$V$13</f>
        <v>0.2</v>
      </c>
      <c r="E648" s="113">
        <f>N(B645)*N(D646)*N(D647)*N(D648)</f>
        <v>0</v>
      </c>
      <c r="F648" s="63"/>
      <c r="G648" s="63"/>
      <c r="H648" s="115"/>
      <c r="I648" s="108" t="s">
        <v>2260</v>
      </c>
    </row>
    <row r="649" spans="1:9" x14ac:dyDescent="0.3">
      <c r="A649" s="114"/>
      <c r="B649" s="111"/>
      <c r="C649" s="63"/>
      <c r="D649" s="111"/>
      <c r="E649" s="113"/>
      <c r="F649" s="63"/>
      <c r="G649" s="63"/>
      <c r="H649" s="115"/>
      <c r="I649" s="108"/>
    </row>
    <row r="650" spans="1:9" x14ac:dyDescent="0.3">
      <c r="A650" s="114"/>
      <c r="B650" s="111">
        <f>'03_Pipe_Engine'!$C$13*4</f>
        <v>0</v>
      </c>
      <c r="C650" s="63" t="s">
        <v>1628</v>
      </c>
      <c r="D650" s="111"/>
      <c r="E650" s="113"/>
      <c r="F650" s="63" t="s">
        <v>2306</v>
      </c>
      <c r="G650" s="63"/>
      <c r="H650" s="115"/>
      <c r="I650" s="108" t="s">
        <v>67</v>
      </c>
    </row>
    <row r="651" spans="1:9" x14ac:dyDescent="0.3">
      <c r="A651" s="114"/>
      <c r="B651" s="111"/>
      <c r="C651" s="63"/>
      <c r="D651" s="111">
        <f>'03_Pipe_Engine'!$T$13</f>
        <v>3.0750000000000002</v>
      </c>
      <c r="E651" s="113"/>
      <c r="F651" s="63"/>
      <c r="G651" s="63"/>
      <c r="H651" s="115"/>
      <c r="I651" s="108" t="s">
        <v>2250</v>
      </c>
    </row>
    <row r="652" spans="1:9" x14ac:dyDescent="0.3">
      <c r="A652" s="114"/>
      <c r="B652" s="111"/>
      <c r="C652" s="63"/>
      <c r="D652" s="111">
        <f>0.5</f>
        <v>0.5</v>
      </c>
      <c r="E652" s="113"/>
      <c r="F652" s="63"/>
      <c r="G652" s="63"/>
      <c r="H652" s="115"/>
      <c r="I652" s="108" t="s">
        <v>2249</v>
      </c>
    </row>
    <row r="653" spans="1:9" x14ac:dyDescent="0.3">
      <c r="A653" s="114"/>
      <c r="B653" s="111"/>
      <c r="C653" s="63"/>
      <c r="D653" s="111">
        <f>'03_Pipe_Engine'!$V$13</f>
        <v>0.2</v>
      </c>
      <c r="E653" s="113">
        <f>N(B650)*N(D651)*N(D652)*N(D653)</f>
        <v>0</v>
      </c>
      <c r="F653" s="63"/>
      <c r="G653" s="63"/>
      <c r="H653" s="115"/>
      <c r="I653" s="108" t="s">
        <v>2260</v>
      </c>
    </row>
    <row r="654" spans="1:9" x14ac:dyDescent="0.3">
      <c r="A654" s="114"/>
      <c r="B654" s="111"/>
      <c r="C654" s="63"/>
      <c r="D654" s="111"/>
      <c r="E654" s="113"/>
      <c r="F654" s="63"/>
      <c r="G654" s="63"/>
      <c r="H654" s="115"/>
      <c r="I654" s="108"/>
    </row>
    <row r="655" spans="1:9" x14ac:dyDescent="0.3">
      <c r="A655" s="114"/>
      <c r="B655" s="111">
        <f>'03_Pipe_Engine'!$C$13*2</f>
        <v>0</v>
      </c>
      <c r="C655" s="63" t="s">
        <v>1628</v>
      </c>
      <c r="D655" s="111"/>
      <c r="E655" s="113"/>
      <c r="F655" s="63" t="s">
        <v>2307</v>
      </c>
      <c r="G655" s="63"/>
      <c r="H655" s="115"/>
      <c r="I655" s="108" t="s">
        <v>67</v>
      </c>
    </row>
    <row r="656" spans="1:9" x14ac:dyDescent="0.3">
      <c r="A656" s="114"/>
      <c r="B656" s="111"/>
      <c r="C656" s="63"/>
      <c r="D656" s="111">
        <f>'03_Pipe_Engine'!$O$13</f>
        <v>5.9029999999999996</v>
      </c>
      <c r="E656" s="113"/>
      <c r="F656" s="63"/>
      <c r="G656" s="63"/>
      <c r="H656" s="115"/>
      <c r="I656" s="108" t="s">
        <v>2249</v>
      </c>
    </row>
    <row r="657" spans="1:9" x14ac:dyDescent="0.3">
      <c r="A657" s="114"/>
      <c r="B657" s="111"/>
      <c r="C657" s="63"/>
      <c r="D657" s="111">
        <f>'03_Pipe_Engine'!$X$13</f>
        <v>0.45</v>
      </c>
      <c r="E657" s="113"/>
      <c r="F657" s="63"/>
      <c r="G657" s="63"/>
      <c r="H657" s="115"/>
      <c r="I657" s="108" t="s">
        <v>2303</v>
      </c>
    </row>
    <row r="658" spans="1:9" x14ac:dyDescent="0.3">
      <c r="A658" s="114"/>
      <c r="B658" s="111"/>
      <c r="C658" s="63"/>
      <c r="D658" s="111">
        <f>'03_Pipe_Engine'!$V$13</f>
        <v>0.2</v>
      </c>
      <c r="E658" s="113">
        <f>N(B655)*N(D656)*N(D657)*N(D658)</f>
        <v>0</v>
      </c>
      <c r="F658" s="63"/>
      <c r="G658" s="63"/>
      <c r="H658" s="115"/>
      <c r="I658" s="108" t="s">
        <v>2260</v>
      </c>
    </row>
    <row r="659" spans="1:9" x14ac:dyDescent="0.3">
      <c r="A659" s="114"/>
      <c r="B659" s="111"/>
      <c r="C659" s="63"/>
      <c r="D659" s="111"/>
      <c r="E659" s="113"/>
      <c r="F659" s="63"/>
      <c r="G659" s="63"/>
      <c r="H659" s="115"/>
      <c r="I659" s="108"/>
    </row>
    <row r="660" spans="1:9" x14ac:dyDescent="0.3">
      <c r="A660" s="114"/>
      <c r="B660" s="111"/>
      <c r="C660" s="63"/>
      <c r="D660" s="111"/>
      <c r="E660" s="113"/>
      <c r="F660" s="63"/>
      <c r="G660" s="63"/>
      <c r="H660" s="115"/>
      <c r="I660" s="108"/>
    </row>
    <row r="661" spans="1:9" x14ac:dyDescent="0.3">
      <c r="A661" s="119" t="s">
        <v>1327</v>
      </c>
      <c r="B661" s="122"/>
      <c r="C661" s="119"/>
      <c r="D661" s="122"/>
      <c r="E661" s="123"/>
      <c r="F661" s="119" t="s">
        <v>2314</v>
      </c>
      <c r="G661" s="119" t="s">
        <v>300</v>
      </c>
      <c r="H661" s="124">
        <f>E665+E670</f>
        <v>0</v>
      </c>
      <c r="I661" s="125" t="str">
        <f>IF(ABS(H661-'03_Pipe_Engine'!$AE$13)&lt;=MAX(0.01,0.005*ABS('03_Pipe_Engine'!$AE$13)),"OK","DIFF")</f>
        <v>OK</v>
      </c>
    </row>
    <row r="662" spans="1:9" x14ac:dyDescent="0.3">
      <c r="A662" s="135"/>
      <c r="B662" s="111">
        <f>'03_Pipe_Engine'!$C$13*2</f>
        <v>0</v>
      </c>
      <c r="C662" s="138" t="s">
        <v>1628</v>
      </c>
      <c r="D662" s="111"/>
      <c r="E662" s="113"/>
      <c r="F662" s="138" t="s">
        <v>2315</v>
      </c>
      <c r="G662" s="138"/>
      <c r="H662" s="136"/>
      <c r="I662" s="139" t="s">
        <v>67</v>
      </c>
    </row>
    <row r="663" spans="1:9" x14ac:dyDescent="0.3">
      <c r="A663" s="114"/>
      <c r="B663" s="111"/>
      <c r="C663" s="63"/>
      <c r="D663" s="111">
        <f>'03_Pipe_Engine'!$T$13</f>
        <v>3.0750000000000002</v>
      </c>
      <c r="E663" s="113"/>
      <c r="F663" s="63"/>
      <c r="G663" s="63"/>
      <c r="H663" s="115"/>
      <c r="I663" s="108" t="s">
        <v>2250</v>
      </c>
    </row>
    <row r="664" spans="1:9" x14ac:dyDescent="0.3">
      <c r="A664" s="114"/>
      <c r="B664" s="111"/>
      <c r="C664" s="63"/>
      <c r="D664" s="111">
        <f>'03_Pipe_Engine'!$P$13</f>
        <v>0.6</v>
      </c>
      <c r="E664" s="113"/>
      <c r="F664" s="63"/>
      <c r="G664" s="63"/>
      <c r="H664" s="115"/>
      <c r="I664" s="108" t="s">
        <v>2316</v>
      </c>
    </row>
    <row r="665" spans="1:9" x14ac:dyDescent="0.3">
      <c r="A665" s="114"/>
      <c r="B665" s="111"/>
      <c r="C665" s="63"/>
      <c r="D665" s="111">
        <f>'03_Pipe_Engine'!$Q$13</f>
        <v>0.2</v>
      </c>
      <c r="E665" s="113">
        <f>N(B662)*N(D663)*N(D664)*N(D665)</f>
        <v>0</v>
      </c>
      <c r="F665" s="63"/>
      <c r="G665" s="63"/>
      <c r="H665" s="115"/>
      <c r="I665" s="108" t="s">
        <v>2260</v>
      </c>
    </row>
    <row r="666" spans="1:9" x14ac:dyDescent="0.3">
      <c r="A666" s="114"/>
      <c r="B666" s="111"/>
      <c r="C666" s="63"/>
      <c r="D666" s="111"/>
      <c r="E666" s="113"/>
      <c r="F666" s="63"/>
      <c r="G666" s="63"/>
      <c r="H666" s="115"/>
      <c r="I666" s="108"/>
    </row>
    <row r="667" spans="1:9" x14ac:dyDescent="0.3">
      <c r="A667" s="114"/>
      <c r="B667" s="111">
        <f>'03_Pipe_Engine'!$C$13*4</f>
        <v>0</v>
      </c>
      <c r="C667" s="63" t="s">
        <v>1628</v>
      </c>
      <c r="D667" s="111"/>
      <c r="E667" s="113"/>
      <c r="F667" s="63" t="s">
        <v>2317</v>
      </c>
      <c r="G667" s="63"/>
      <c r="H667" s="115"/>
      <c r="I667" s="108" t="s">
        <v>67</v>
      </c>
    </row>
    <row r="668" spans="1:9" x14ac:dyDescent="0.3">
      <c r="A668" s="114"/>
      <c r="B668" s="111"/>
      <c r="C668" s="63"/>
      <c r="D668" s="111">
        <f>'03_Pipe_Engine'!$T$13</f>
        <v>3.0750000000000002</v>
      </c>
      <c r="E668" s="113"/>
      <c r="F668" s="63"/>
      <c r="G668" s="63"/>
      <c r="H668" s="115"/>
      <c r="I668" s="108" t="s">
        <v>2250</v>
      </c>
    </row>
    <row r="669" spans="1:9" x14ac:dyDescent="0.3">
      <c r="A669" s="114"/>
      <c r="B669" s="111"/>
      <c r="C669" s="63"/>
      <c r="D669" s="111">
        <f>'03_Pipe_Engine'!$S$13</f>
        <v>1.325</v>
      </c>
      <c r="E669" s="113"/>
      <c r="F669" s="63"/>
      <c r="G669" s="63"/>
      <c r="H669" s="115"/>
      <c r="I669" s="108" t="s">
        <v>2253</v>
      </c>
    </row>
    <row r="670" spans="1:9" x14ac:dyDescent="0.3">
      <c r="A670" s="114"/>
      <c r="B670" s="111"/>
      <c r="C670" s="63"/>
      <c r="D670" s="111">
        <f>'03_Pipe_Engine'!$U$13</f>
        <v>0.2</v>
      </c>
      <c r="E670" s="113">
        <f>N(B667)*N(D668)*N(D669)*N(D670)</f>
        <v>0</v>
      </c>
      <c r="F670" s="63"/>
      <c r="G670" s="63"/>
      <c r="H670" s="115"/>
      <c r="I670" s="108" t="s">
        <v>2260</v>
      </c>
    </row>
    <row r="671" spans="1:9" x14ac:dyDescent="0.3">
      <c r="A671" s="114"/>
      <c r="B671" s="111"/>
      <c r="C671" s="63"/>
      <c r="D671" s="111"/>
      <c r="E671" s="113"/>
      <c r="F671" s="63"/>
      <c r="G671" s="63"/>
      <c r="H671" s="115"/>
      <c r="I671" s="108"/>
    </row>
    <row r="672" spans="1:9" x14ac:dyDescent="0.3">
      <c r="A672" s="114"/>
      <c r="B672" s="111"/>
      <c r="C672" s="63"/>
      <c r="D672" s="111"/>
      <c r="E672" s="113"/>
      <c r="F672" s="63"/>
      <c r="G672" s="63"/>
      <c r="H672" s="115"/>
      <c r="I672" s="108"/>
    </row>
    <row r="673" spans="1:9" x14ac:dyDescent="0.3">
      <c r="A673" s="119" t="s">
        <v>1328</v>
      </c>
      <c r="B673" s="122"/>
      <c r="C673" s="119"/>
      <c r="D673" s="122"/>
      <c r="E673" s="123"/>
      <c r="F673" s="119" t="s">
        <v>2318</v>
      </c>
      <c r="G673" s="119" t="s">
        <v>301</v>
      </c>
      <c r="H673" s="124">
        <f>E676+E680</f>
        <v>0</v>
      </c>
      <c r="I673" s="125" t="str">
        <f>IF(ABS(H673-'03_Pipe_Engine'!$AF$13)&lt;=MAX(0.01,0.005*ABS('03_Pipe_Engine'!$AF$13)),"OK","DIFF")</f>
        <v>OK</v>
      </c>
    </row>
    <row r="674" spans="1:9" x14ac:dyDescent="0.3">
      <c r="A674" s="135"/>
      <c r="B674" s="111">
        <f>'03_Pipe_Engine'!$C$13*2*2</f>
        <v>0</v>
      </c>
      <c r="C674" s="138" t="s">
        <v>1628</v>
      </c>
      <c r="D674" s="111"/>
      <c r="E674" s="113"/>
      <c r="F674" s="138" t="s">
        <v>2319</v>
      </c>
      <c r="G674" s="138"/>
      <c r="H674" s="136"/>
      <c r="I674" s="139" t="s">
        <v>67</v>
      </c>
    </row>
    <row r="675" spans="1:9" x14ac:dyDescent="0.3">
      <c r="A675" s="114"/>
      <c r="B675" s="111"/>
      <c r="C675" s="63"/>
      <c r="D675" s="111">
        <f>'03_Pipe_Engine'!$P$13</f>
        <v>0.6</v>
      </c>
      <c r="E675" s="113"/>
      <c r="F675" s="63"/>
      <c r="G675" s="63"/>
      <c r="H675" s="115"/>
      <c r="I675" s="108" t="s">
        <v>2316</v>
      </c>
    </row>
    <row r="676" spans="1:9" x14ac:dyDescent="0.3">
      <c r="A676" s="114"/>
      <c r="B676" s="111"/>
      <c r="C676" s="63"/>
      <c r="D676" s="111">
        <f>'03_Pipe_Engine'!$Q$13</f>
        <v>0.2</v>
      </c>
      <c r="E676" s="113">
        <f>N(B674)*N(D675)*N(D676)</f>
        <v>0</v>
      </c>
      <c r="F676" s="63"/>
      <c r="G676" s="63"/>
      <c r="H676" s="115"/>
      <c r="I676" s="108" t="s">
        <v>2260</v>
      </c>
    </row>
    <row r="677" spans="1:9" x14ac:dyDescent="0.3">
      <c r="A677" s="114"/>
      <c r="B677" s="111"/>
      <c r="C677" s="63"/>
      <c r="D677" s="111"/>
      <c r="E677" s="113"/>
      <c r="F677" s="63"/>
      <c r="G677" s="63"/>
      <c r="H677" s="115"/>
      <c r="I677" s="108"/>
    </row>
    <row r="678" spans="1:9" x14ac:dyDescent="0.3">
      <c r="A678" s="114"/>
      <c r="B678" s="111">
        <f>'03_Pipe_Engine'!$C$13*4</f>
        <v>0</v>
      </c>
      <c r="C678" s="63" t="s">
        <v>1628</v>
      </c>
      <c r="D678" s="111"/>
      <c r="E678" s="113"/>
      <c r="F678" s="63" t="s">
        <v>2320</v>
      </c>
      <c r="G678" s="63"/>
      <c r="H678" s="115"/>
      <c r="I678" s="108" t="s">
        <v>67</v>
      </c>
    </row>
    <row r="679" spans="1:9" x14ac:dyDescent="0.3">
      <c r="A679" s="114"/>
      <c r="B679" s="111"/>
      <c r="C679" s="63"/>
      <c r="D679" s="111">
        <f>'03_Pipe_Engine'!$R$13</f>
        <v>1</v>
      </c>
      <c r="E679" s="113"/>
      <c r="F679" s="63"/>
      <c r="G679" s="63"/>
      <c r="H679" s="115"/>
      <c r="I679" s="108" t="s">
        <v>2321</v>
      </c>
    </row>
    <row r="680" spans="1:9" x14ac:dyDescent="0.3">
      <c r="A680" s="114"/>
      <c r="B680" s="111"/>
      <c r="C680" s="63"/>
      <c r="D680" s="111">
        <f>'03_Pipe_Engine'!$U$13</f>
        <v>0.2</v>
      </c>
      <c r="E680" s="113">
        <f>N(B678)*N(D679)*N(D680)</f>
        <v>0</v>
      </c>
      <c r="F680" s="63"/>
      <c r="G680" s="63"/>
      <c r="H680" s="115"/>
      <c r="I680" s="108" t="s">
        <v>2260</v>
      </c>
    </row>
    <row r="681" spans="1:9" x14ac:dyDescent="0.3">
      <c r="A681" s="114"/>
      <c r="B681" s="111"/>
      <c r="C681" s="63"/>
      <c r="D681" s="111"/>
      <c r="E681" s="113"/>
      <c r="F681" s="63"/>
      <c r="G681" s="63"/>
      <c r="H681" s="115"/>
      <c r="I681" s="108"/>
    </row>
    <row r="682" spans="1:9" x14ac:dyDescent="0.3">
      <c r="A682" s="114"/>
      <c r="B682" s="111"/>
      <c r="C682" s="63"/>
      <c r="D682" s="111"/>
      <c r="E682" s="113"/>
      <c r="F682" s="63"/>
      <c r="G682" s="63"/>
      <c r="H682" s="115"/>
      <c r="I682" s="108"/>
    </row>
    <row r="683" spans="1:9" x14ac:dyDescent="0.3">
      <c r="A683" s="119" t="s">
        <v>1329</v>
      </c>
      <c r="B683" s="122"/>
      <c r="C683" s="119"/>
      <c r="D683" s="122"/>
      <c r="E683" s="123"/>
      <c r="F683" s="119" t="s">
        <v>2322</v>
      </c>
      <c r="G683" s="119" t="s">
        <v>301</v>
      </c>
      <c r="H683" s="124">
        <f>E686+E690</f>
        <v>0</v>
      </c>
      <c r="I683" s="125" t="str">
        <f>IF(ABS(H683-'03_Pipe_Engine'!$AG$13)&lt;=MAX(0.01,0.005*ABS('03_Pipe_Engine'!$AG$13)),"OK","DIFF")</f>
        <v>OK</v>
      </c>
    </row>
    <row r="684" spans="1:9" x14ac:dyDescent="0.3">
      <c r="A684" s="135"/>
      <c r="B684" s="111">
        <f>'03_Pipe_Engine'!$C$13*2*2</f>
        <v>0</v>
      </c>
      <c r="C684" s="138" t="s">
        <v>1628</v>
      </c>
      <c r="D684" s="111"/>
      <c r="E684" s="113"/>
      <c r="F684" s="138" t="s">
        <v>2323</v>
      </c>
      <c r="G684" s="138"/>
      <c r="H684" s="136"/>
      <c r="I684" s="139" t="s">
        <v>2324</v>
      </c>
    </row>
    <row r="685" spans="1:9" x14ac:dyDescent="0.3">
      <c r="A685" s="114"/>
      <c r="B685" s="111"/>
      <c r="C685" s="63"/>
      <c r="D685" s="111">
        <f>'03_Pipe_Engine'!$T$13</f>
        <v>3.0750000000000002</v>
      </c>
      <c r="E685" s="113"/>
      <c r="F685" s="63"/>
      <c r="G685" s="63"/>
      <c r="H685" s="115"/>
      <c r="I685" s="108" t="s">
        <v>2250</v>
      </c>
    </row>
    <row r="686" spans="1:9" x14ac:dyDescent="0.3">
      <c r="A686" s="114"/>
      <c r="B686" s="111"/>
      <c r="C686" s="63"/>
      <c r="D686" s="111">
        <f>'03_Pipe_Engine'!$P$13</f>
        <v>0.6</v>
      </c>
      <c r="E686" s="113">
        <f>N(B684)*N(D685)*N(D686)</f>
        <v>0</v>
      </c>
      <c r="F686" s="63"/>
      <c r="G686" s="63"/>
      <c r="H686" s="115"/>
      <c r="I686" s="108" t="s">
        <v>2316</v>
      </c>
    </row>
    <row r="687" spans="1:9" x14ac:dyDescent="0.3">
      <c r="A687" s="114"/>
      <c r="B687" s="111"/>
      <c r="C687" s="63"/>
      <c r="D687" s="111"/>
      <c r="E687" s="113"/>
      <c r="F687" s="63"/>
      <c r="G687" s="63"/>
      <c r="H687" s="115"/>
      <c r="I687" s="108"/>
    </row>
    <row r="688" spans="1:9" x14ac:dyDescent="0.3">
      <c r="A688" s="114"/>
      <c r="B688" s="111">
        <f>'03_Pipe_Engine'!$C$13*4*2</f>
        <v>0</v>
      </c>
      <c r="C688" s="63" t="s">
        <v>1628</v>
      </c>
      <c r="D688" s="111"/>
      <c r="E688" s="113"/>
      <c r="F688" s="63" t="s">
        <v>2325</v>
      </c>
      <c r="G688" s="63"/>
      <c r="H688" s="115"/>
      <c r="I688" s="108" t="s">
        <v>2324</v>
      </c>
    </row>
    <row r="689" spans="1:9" x14ac:dyDescent="0.3">
      <c r="A689" s="114"/>
      <c r="B689" s="111"/>
      <c r="C689" s="63"/>
      <c r="D689" s="111">
        <f>'03_Pipe_Engine'!$T$13</f>
        <v>3.0750000000000002</v>
      </c>
      <c r="E689" s="113"/>
      <c r="F689" s="63"/>
      <c r="G689" s="63"/>
      <c r="H689" s="115"/>
      <c r="I689" s="108" t="s">
        <v>2250</v>
      </c>
    </row>
    <row r="690" spans="1:9" x14ac:dyDescent="0.3">
      <c r="A690" s="114"/>
      <c r="B690" s="111"/>
      <c r="C690" s="63"/>
      <c r="D690" s="111">
        <f>'03_Pipe_Engine'!$S$13</f>
        <v>1.325</v>
      </c>
      <c r="E690" s="113">
        <f>N(B688)*N(D689)*N(D690)</f>
        <v>0</v>
      </c>
      <c r="F690" s="63"/>
      <c r="G690" s="63"/>
      <c r="H690" s="115"/>
      <c r="I690" s="108" t="s">
        <v>2253</v>
      </c>
    </row>
    <row r="691" spans="1:9" x14ac:dyDescent="0.3">
      <c r="A691" s="114"/>
      <c r="B691" s="111"/>
      <c r="C691" s="63"/>
      <c r="D691" s="111"/>
      <c r="E691" s="113"/>
      <c r="F691" s="63"/>
      <c r="G691" s="63"/>
      <c r="H691" s="115"/>
      <c r="I691" s="108"/>
    </row>
    <row r="692" spans="1:9" x14ac:dyDescent="0.3">
      <c r="A692" s="114"/>
      <c r="B692" s="111"/>
      <c r="C692" s="63"/>
      <c r="D692" s="111"/>
      <c r="E692" s="113"/>
      <c r="F692" s="63"/>
      <c r="G692" s="63"/>
      <c r="H692" s="115"/>
      <c r="I692" s="108"/>
    </row>
    <row r="693" spans="1:9" x14ac:dyDescent="0.3">
      <c r="A693" s="119" t="s">
        <v>1332</v>
      </c>
      <c r="B693" s="122"/>
      <c r="C693" s="119"/>
      <c r="D693" s="122"/>
      <c r="E693" s="123"/>
      <c r="F693" s="119" t="s">
        <v>2332</v>
      </c>
      <c r="G693" s="119" t="s">
        <v>63</v>
      </c>
      <c r="H693" s="124">
        <f>E695</f>
        <v>0</v>
      </c>
      <c r="I693" s="125" t="str">
        <f>IF(ABS(H693-'03_Pipe_Engine'!$AJ$13)&lt;=MAX(0.01,0.005*ABS('03_Pipe_Engine'!$AJ$13)),"OK","DIFF")</f>
        <v>OK</v>
      </c>
    </row>
    <row r="694" spans="1:9" x14ac:dyDescent="0.3">
      <c r="A694" s="135"/>
      <c r="B694" s="111">
        <f>'03_Pipe_Engine'!$F$13</f>
        <v>2</v>
      </c>
      <c r="C694" s="138" t="s">
        <v>1628</v>
      </c>
      <c r="D694" s="111"/>
      <c r="E694" s="113"/>
      <c r="F694" s="138" t="s">
        <v>2327</v>
      </c>
      <c r="G694" s="138"/>
      <c r="H694" s="136"/>
      <c r="I694" s="139" t="s">
        <v>2328</v>
      </c>
    </row>
    <row r="695" spans="1:9" x14ac:dyDescent="0.3">
      <c r="A695" s="114"/>
      <c r="B695" s="111"/>
      <c r="C695" s="63"/>
      <c r="D695" s="111">
        <f>'03_Pipe_Engine'!$D$13</f>
        <v>0</v>
      </c>
      <c r="E695" s="113">
        <f>N(B694)*N(D695)</f>
        <v>0</v>
      </c>
      <c r="F695" s="63"/>
      <c r="G695" s="63"/>
      <c r="H695" s="115"/>
      <c r="I695" s="108" t="s">
        <v>2301</v>
      </c>
    </row>
    <row r="696" spans="1:9" x14ac:dyDescent="0.3">
      <c r="A696" s="114"/>
      <c r="B696" s="111"/>
      <c r="C696" s="63"/>
      <c r="D696" s="111"/>
      <c r="E696" s="113"/>
      <c r="F696" s="63"/>
      <c r="G696" s="63"/>
      <c r="H696" s="115"/>
      <c r="I696" s="108"/>
    </row>
    <row r="697" spans="1:9" x14ac:dyDescent="0.3">
      <c r="A697" s="114"/>
      <c r="B697" s="111"/>
      <c r="C697" s="63"/>
      <c r="D697" s="111"/>
      <c r="E697" s="113"/>
      <c r="F697" s="63"/>
      <c r="G697" s="63"/>
      <c r="H697" s="115"/>
      <c r="I697" s="108"/>
    </row>
    <row r="698" spans="1:9" x14ac:dyDescent="0.3">
      <c r="A698" s="119" t="s">
        <v>1342</v>
      </c>
      <c r="B698" s="122"/>
      <c r="C698" s="119"/>
      <c r="D698" s="122"/>
      <c r="E698" s="123"/>
      <c r="F698" s="119" t="s">
        <v>2329</v>
      </c>
      <c r="G698" s="119" t="s">
        <v>63</v>
      </c>
      <c r="H698" s="124">
        <f>E699</f>
        <v>0</v>
      </c>
      <c r="I698" s="125" t="str">
        <f>IF(ABS(H698-'03_Pipe_Engine'!$AT$13)&lt;=MAX(0.01,0.005*ABS('03_Pipe_Engine'!$AT$13)),"OK","DIFF")</f>
        <v>OK</v>
      </c>
    </row>
    <row r="699" spans="1:9" x14ac:dyDescent="0.3">
      <c r="A699" s="135"/>
      <c r="B699" s="111">
        <f>'03_Pipe_Engine'!$D$13</f>
        <v>0</v>
      </c>
      <c r="C699" s="138" t="s">
        <v>1628</v>
      </c>
      <c r="D699" s="111"/>
      <c r="E699" s="113">
        <f>N(B699)</f>
        <v>0</v>
      </c>
      <c r="F699" s="138" t="s">
        <v>2330</v>
      </c>
      <c r="G699" s="138"/>
      <c r="H699" s="136"/>
      <c r="I699" s="139" t="s">
        <v>2301</v>
      </c>
    </row>
    <row r="700" spans="1:9" x14ac:dyDescent="0.3">
      <c r="A700" s="114"/>
      <c r="B700" s="111"/>
      <c r="C700" s="63"/>
      <c r="D700" s="111"/>
      <c r="E700" s="113"/>
      <c r="F700" s="63"/>
      <c r="G700" s="63"/>
      <c r="H700" s="115"/>
      <c r="I700" s="108"/>
    </row>
    <row r="701" spans="1:9" x14ac:dyDescent="0.3">
      <c r="A701" s="114"/>
      <c r="B701" s="111"/>
      <c r="C701" s="63"/>
      <c r="D701" s="111"/>
      <c r="E701" s="113"/>
      <c r="F701" s="63"/>
      <c r="G701" s="63"/>
      <c r="H701" s="115"/>
      <c r="I701" s="108"/>
    </row>
    <row r="702" spans="1:9" x14ac:dyDescent="0.3">
      <c r="A702" s="114"/>
      <c r="B702" s="111"/>
      <c r="C702" s="63"/>
      <c r="D702" s="111"/>
      <c r="E702" s="113"/>
      <c r="F702" s="63"/>
      <c r="G702" s="63"/>
      <c r="H702" s="115"/>
      <c r="I702" s="108"/>
    </row>
    <row r="703" spans="1:9" x14ac:dyDescent="0.3">
      <c r="A703" s="131" t="s">
        <v>1421</v>
      </c>
      <c r="B703" s="158"/>
      <c r="C703" s="131"/>
      <c r="D703" s="158"/>
      <c r="E703" s="132"/>
      <c r="F703" s="131" t="str">
        <f>IF('03_Pipe_Engine'!$C$14=0,"none in this project",'03_Pipe_Engine'!$C$14&amp;" nr,  total length "&amp;'03_Pipe_Engine'!$D$14&amp;" m")</f>
        <v>none in this project</v>
      </c>
      <c r="G703" s="131"/>
      <c r="H703" s="133"/>
      <c r="I703" s="134"/>
    </row>
    <row r="704" spans="1:9" x14ac:dyDescent="0.3">
      <c r="A704" s="119" t="s">
        <v>1322</v>
      </c>
      <c r="B704" s="122"/>
      <c r="C704" s="119"/>
      <c r="D704" s="122"/>
      <c r="E704" s="123"/>
      <c r="F704" s="119" t="s">
        <v>1373</v>
      </c>
      <c r="G704" s="119" t="s">
        <v>300</v>
      </c>
      <c r="H704" s="124">
        <f>E707+E712+E717+E722</f>
        <v>0</v>
      </c>
      <c r="I704" s="125" t="str">
        <f>IF(ABS(H704-'03_Pipe_Engine'!$Y$14)&lt;=MAX(0.01,0.005*ABS('03_Pipe_Engine'!$Y$14)),"OK","DIFF")</f>
        <v>OK</v>
      </c>
    </row>
    <row r="705" spans="1:9" x14ac:dyDescent="0.3">
      <c r="A705" s="135"/>
      <c r="B705" s="111">
        <f>'03_Pipe_Engine'!$D$14</f>
        <v>0</v>
      </c>
      <c r="C705" s="138" t="s">
        <v>1628</v>
      </c>
      <c r="D705" s="111"/>
      <c r="E705" s="113"/>
      <c r="F705" s="138" t="s">
        <v>2300</v>
      </c>
      <c r="G705" s="138"/>
      <c r="H705" s="136"/>
      <c r="I705" s="139" t="s">
        <v>2301</v>
      </c>
    </row>
    <row r="706" spans="1:9" x14ac:dyDescent="0.3">
      <c r="A706" s="114"/>
      <c r="B706" s="111"/>
      <c r="C706" s="63"/>
      <c r="D706" s="111">
        <f>'03_Pipe_Engine'!$J$14</f>
        <v>4.5</v>
      </c>
      <c r="E706" s="113"/>
      <c r="F706" s="63"/>
      <c r="G706" s="63"/>
      <c r="H706" s="115"/>
      <c r="I706" s="108" t="s">
        <v>2302</v>
      </c>
    </row>
    <row r="707" spans="1:9" x14ac:dyDescent="0.3">
      <c r="A707" s="114"/>
      <c r="B707" s="111"/>
      <c r="C707" s="63"/>
      <c r="D707" s="111">
        <f>'03_Pipe_Engine'!$L$14</f>
        <v>0.4</v>
      </c>
      <c r="E707" s="113">
        <f>N(B705)*N(D706)*N(D707)</f>
        <v>0</v>
      </c>
      <c r="F707" s="63"/>
      <c r="G707" s="63"/>
      <c r="H707" s="115"/>
      <c r="I707" s="108" t="s">
        <v>2303</v>
      </c>
    </row>
    <row r="708" spans="1:9" x14ac:dyDescent="0.3">
      <c r="A708" s="114"/>
      <c r="B708" s="111"/>
      <c r="C708" s="63"/>
      <c r="D708" s="111"/>
      <c r="E708" s="113"/>
      <c r="F708" s="63"/>
      <c r="G708" s="63"/>
      <c r="H708" s="115"/>
      <c r="I708" s="108"/>
    </row>
    <row r="709" spans="1:9" x14ac:dyDescent="0.3">
      <c r="A709" s="114"/>
      <c r="B709" s="111">
        <f>'03_Pipe_Engine'!$C$14*2</f>
        <v>0</v>
      </c>
      <c r="C709" s="63" t="s">
        <v>1628</v>
      </c>
      <c r="D709" s="111"/>
      <c r="E709" s="113"/>
      <c r="F709" s="63" t="s">
        <v>2304</v>
      </c>
      <c r="G709" s="63"/>
      <c r="H709" s="115"/>
      <c r="I709" s="108" t="s">
        <v>67</v>
      </c>
    </row>
    <row r="710" spans="1:9" x14ac:dyDescent="0.3">
      <c r="A710" s="114"/>
      <c r="B710" s="111"/>
      <c r="C710" s="63"/>
      <c r="D710" s="111">
        <f>'03_Pipe_Engine'!$N$14</f>
        <v>1.4139999999999999</v>
      </c>
      <c r="E710" s="113"/>
      <c r="F710" s="63"/>
      <c r="G710" s="63"/>
      <c r="H710" s="115"/>
      <c r="I710" s="108" t="s">
        <v>2305</v>
      </c>
    </row>
    <row r="711" spans="1:9" x14ac:dyDescent="0.3">
      <c r="A711" s="114"/>
      <c r="B711" s="111"/>
      <c r="C711" s="63"/>
      <c r="D711" s="111">
        <f>('03_Pipe_Engine'!$J$14+'03_Pipe_Engine'!$O$14)/2</f>
        <v>5.9139999999999997</v>
      </c>
      <c r="E711" s="113"/>
      <c r="F711" s="63"/>
      <c r="G711" s="63"/>
      <c r="H711" s="115"/>
      <c r="I711" s="108" t="s">
        <v>2251</v>
      </c>
    </row>
    <row r="712" spans="1:9" x14ac:dyDescent="0.3">
      <c r="A712" s="114"/>
      <c r="B712" s="111"/>
      <c r="C712" s="63"/>
      <c r="D712" s="111">
        <f>'03_Pipe_Engine'!$L$14</f>
        <v>0.4</v>
      </c>
      <c r="E712" s="113">
        <f>N(B709)*N(D710)*N(D711)*N(D712)</f>
        <v>0</v>
      </c>
      <c r="F712" s="63"/>
      <c r="G712" s="63"/>
      <c r="H712" s="115"/>
      <c r="I712" s="108" t="s">
        <v>2303</v>
      </c>
    </row>
    <row r="713" spans="1:9" x14ac:dyDescent="0.3">
      <c r="A713" s="114"/>
      <c r="B713" s="111"/>
      <c r="C713" s="63"/>
      <c r="D713" s="111"/>
      <c r="E713" s="113"/>
      <c r="F713" s="63"/>
      <c r="G713" s="63"/>
      <c r="H713" s="115"/>
      <c r="I713" s="108"/>
    </row>
    <row r="714" spans="1:9" x14ac:dyDescent="0.3">
      <c r="A714" s="114"/>
      <c r="B714" s="111">
        <f>'03_Pipe_Engine'!$C$14*4</f>
        <v>0</v>
      </c>
      <c r="C714" s="63" t="s">
        <v>1628</v>
      </c>
      <c r="D714" s="111"/>
      <c r="E714" s="113"/>
      <c r="F714" s="63" t="s">
        <v>2306</v>
      </c>
      <c r="G714" s="63"/>
      <c r="H714" s="115"/>
      <c r="I714" s="108" t="s">
        <v>67</v>
      </c>
    </row>
    <row r="715" spans="1:9" x14ac:dyDescent="0.3">
      <c r="A715" s="114"/>
      <c r="B715" s="111"/>
      <c r="C715" s="63"/>
      <c r="D715" s="111">
        <f>'03_Pipe_Engine'!$T$14</f>
        <v>4.5</v>
      </c>
      <c r="E715" s="113"/>
      <c r="F715" s="63"/>
      <c r="G715" s="63"/>
      <c r="H715" s="115"/>
      <c r="I715" s="108" t="s">
        <v>2250</v>
      </c>
    </row>
    <row r="716" spans="1:9" x14ac:dyDescent="0.3">
      <c r="A716" s="114"/>
      <c r="B716" s="111"/>
      <c r="C716" s="63"/>
      <c r="D716" s="111">
        <f>0.5</f>
        <v>0.5</v>
      </c>
      <c r="E716" s="113"/>
      <c r="F716" s="63"/>
      <c r="G716" s="63"/>
      <c r="H716" s="115"/>
      <c r="I716" s="108" t="s">
        <v>2249</v>
      </c>
    </row>
    <row r="717" spans="1:9" x14ac:dyDescent="0.3">
      <c r="A717" s="114"/>
      <c r="B717" s="111"/>
      <c r="C717" s="63"/>
      <c r="D717" s="111">
        <f>'03_Pipe_Engine'!$L$14</f>
        <v>0.4</v>
      </c>
      <c r="E717" s="113">
        <f>N(B714)*N(D715)*N(D716)*N(D717)</f>
        <v>0</v>
      </c>
      <c r="F717" s="63"/>
      <c r="G717" s="63"/>
      <c r="H717" s="115"/>
      <c r="I717" s="108" t="s">
        <v>2303</v>
      </c>
    </row>
    <row r="718" spans="1:9" x14ac:dyDescent="0.3">
      <c r="A718" s="114"/>
      <c r="B718" s="111"/>
      <c r="C718" s="63"/>
      <c r="D718" s="111"/>
      <c r="E718" s="113"/>
      <c r="F718" s="63"/>
      <c r="G718" s="63"/>
      <c r="H718" s="115"/>
      <c r="I718" s="108"/>
    </row>
    <row r="719" spans="1:9" x14ac:dyDescent="0.3">
      <c r="A719" s="114"/>
      <c r="B719" s="111">
        <f>'03_Pipe_Engine'!$C$14*2</f>
        <v>0</v>
      </c>
      <c r="C719" s="63" t="s">
        <v>1628</v>
      </c>
      <c r="D719" s="111"/>
      <c r="E719" s="113"/>
      <c r="F719" s="63" t="s">
        <v>2307</v>
      </c>
      <c r="G719" s="63"/>
      <c r="H719" s="115"/>
      <c r="I719" s="108" t="s">
        <v>67</v>
      </c>
    </row>
    <row r="720" spans="1:9" x14ac:dyDescent="0.3">
      <c r="A720" s="114"/>
      <c r="B720" s="111"/>
      <c r="C720" s="63"/>
      <c r="D720" s="111">
        <f>'03_Pipe_Engine'!$O$14</f>
        <v>7.3280000000000003</v>
      </c>
      <c r="E720" s="113"/>
      <c r="F720" s="63"/>
      <c r="G720" s="63"/>
      <c r="H720" s="115"/>
      <c r="I720" s="108" t="s">
        <v>2308</v>
      </c>
    </row>
    <row r="721" spans="1:9" x14ac:dyDescent="0.3">
      <c r="A721" s="114"/>
      <c r="B721" s="111"/>
      <c r="C721" s="63"/>
      <c r="D721" s="111">
        <f>'03_Pipe_Engine'!$X$14</f>
        <v>0.45</v>
      </c>
      <c r="E721" s="113"/>
      <c r="F721" s="63"/>
      <c r="G721" s="63"/>
      <c r="H721" s="115"/>
      <c r="I721" s="108" t="s">
        <v>2309</v>
      </c>
    </row>
    <row r="722" spans="1:9" x14ac:dyDescent="0.3">
      <c r="A722" s="114"/>
      <c r="B722" s="111"/>
      <c r="C722" s="63"/>
      <c r="D722" s="111">
        <f>'03_Pipe_Engine'!$L$14</f>
        <v>0.4</v>
      </c>
      <c r="E722" s="113">
        <f>N(B719)*N(D720)*N(D721)*N(D722)</f>
        <v>0</v>
      </c>
      <c r="F722" s="63"/>
      <c r="G722" s="63"/>
      <c r="H722" s="115"/>
      <c r="I722" s="108" t="s">
        <v>2303</v>
      </c>
    </row>
    <row r="723" spans="1:9" x14ac:dyDescent="0.3">
      <c r="A723" s="114"/>
      <c r="B723" s="111"/>
      <c r="C723" s="63"/>
      <c r="D723" s="111"/>
      <c r="E723" s="113"/>
      <c r="F723" s="63"/>
      <c r="G723" s="63"/>
      <c r="H723" s="115"/>
      <c r="I723" s="108"/>
    </row>
    <row r="724" spans="1:9" x14ac:dyDescent="0.3">
      <c r="A724" s="114"/>
      <c r="B724" s="111"/>
      <c r="C724" s="63"/>
      <c r="D724" s="111"/>
      <c r="E724" s="113"/>
      <c r="F724" s="63"/>
      <c r="G724" s="63"/>
      <c r="H724" s="115"/>
      <c r="I724" s="108"/>
    </row>
    <row r="725" spans="1:9" x14ac:dyDescent="0.3">
      <c r="A725" s="119" t="s">
        <v>1323</v>
      </c>
      <c r="B725" s="122"/>
      <c r="C725" s="119"/>
      <c r="D725" s="122"/>
      <c r="E725" s="123"/>
      <c r="F725" s="119" t="s">
        <v>2310</v>
      </c>
      <c r="G725" s="119" t="s">
        <v>300</v>
      </c>
      <c r="H725" s="124">
        <f>E728</f>
        <v>0</v>
      </c>
      <c r="I725" s="125" t="str">
        <f>IF(ABS(H725-'03_Pipe_Engine'!$Z$14)&lt;=MAX(0.01,0.005*ABS('03_Pipe_Engine'!$Z$14)),"OK","DIFF")</f>
        <v>OK</v>
      </c>
    </row>
    <row r="726" spans="1:9" x14ac:dyDescent="0.3">
      <c r="A726" s="135"/>
      <c r="B726" s="111">
        <f>'03_Pipe_Engine'!$D$14</f>
        <v>0</v>
      </c>
      <c r="C726" s="138" t="s">
        <v>1628</v>
      </c>
      <c r="D726" s="111"/>
      <c r="E726" s="113"/>
      <c r="F726" s="138" t="s">
        <v>2311</v>
      </c>
      <c r="G726" s="138"/>
      <c r="H726" s="136"/>
      <c r="I726" s="139" t="s">
        <v>2301</v>
      </c>
    </row>
    <row r="727" spans="1:9" x14ac:dyDescent="0.3">
      <c r="A727" s="114"/>
      <c r="B727" s="111"/>
      <c r="C727" s="63"/>
      <c r="D727" s="111">
        <f>'03_Pipe_Engine'!$J$14</f>
        <v>4.5</v>
      </c>
      <c r="E727" s="113"/>
      <c r="F727" s="63"/>
      <c r="G727" s="63"/>
      <c r="H727" s="115"/>
      <c r="I727" s="108" t="s">
        <v>2249</v>
      </c>
    </row>
    <row r="728" spans="1:9" x14ac:dyDescent="0.3">
      <c r="A728" s="114"/>
      <c r="B728" s="111"/>
      <c r="C728" s="63"/>
      <c r="D728" s="111">
        <f>'03_Pipe_Engine'!$M$14</f>
        <v>0.05</v>
      </c>
      <c r="E728" s="113">
        <f>N(B726)*N(D727)*N(D728)</f>
        <v>0</v>
      </c>
      <c r="F728" s="63"/>
      <c r="G728" s="63"/>
      <c r="H728" s="115"/>
      <c r="I728" s="108" t="s">
        <v>2260</v>
      </c>
    </row>
    <row r="729" spans="1:9" x14ac:dyDescent="0.3">
      <c r="A729" s="114"/>
      <c r="B729" s="111"/>
      <c r="C729" s="63"/>
      <c r="D729" s="111"/>
      <c r="E729" s="113"/>
      <c r="F729" s="63"/>
      <c r="G729" s="63"/>
      <c r="H729" s="115"/>
      <c r="I729" s="108"/>
    </row>
    <row r="730" spans="1:9" x14ac:dyDescent="0.3">
      <c r="A730" s="114"/>
      <c r="B730" s="111"/>
      <c r="C730" s="63"/>
      <c r="D730" s="111"/>
      <c r="E730" s="113"/>
      <c r="F730" s="63"/>
      <c r="G730" s="63"/>
      <c r="H730" s="115"/>
      <c r="I730" s="108"/>
    </row>
    <row r="731" spans="1:9" x14ac:dyDescent="0.3">
      <c r="A731" s="119" t="s">
        <v>1326</v>
      </c>
      <c r="B731" s="122"/>
      <c r="C731" s="119"/>
      <c r="D731" s="122"/>
      <c r="E731" s="123"/>
      <c r="F731" s="119" t="s">
        <v>2312</v>
      </c>
      <c r="G731" s="119" t="s">
        <v>300</v>
      </c>
      <c r="H731" s="124">
        <f>E735+E740+E745</f>
        <v>0</v>
      </c>
      <c r="I731" s="125" t="str">
        <f>IF(ABS(H731-'03_Pipe_Engine'!$AD$14)&lt;=MAX(0.01,0.005*ABS('03_Pipe_Engine'!$AD$14)),"OK","DIFF")</f>
        <v>OK</v>
      </c>
    </row>
    <row r="732" spans="1:9" x14ac:dyDescent="0.3">
      <c r="A732" s="135"/>
      <c r="B732" s="111">
        <f>'03_Pipe_Engine'!$C$14*2</f>
        <v>0</v>
      </c>
      <c r="C732" s="138" t="s">
        <v>1628</v>
      </c>
      <c r="D732" s="111"/>
      <c r="E732" s="113"/>
      <c r="F732" s="138" t="s">
        <v>2313</v>
      </c>
      <c r="G732" s="138"/>
      <c r="H732" s="136"/>
      <c r="I732" s="139" t="s">
        <v>67</v>
      </c>
    </row>
    <row r="733" spans="1:9" x14ac:dyDescent="0.3">
      <c r="A733" s="114"/>
      <c r="B733" s="111"/>
      <c r="C733" s="63"/>
      <c r="D733" s="111">
        <f>'03_Pipe_Engine'!$N$14</f>
        <v>1.4139999999999999</v>
      </c>
      <c r="E733" s="113"/>
      <c r="F733" s="63"/>
      <c r="G733" s="63"/>
      <c r="H733" s="115"/>
      <c r="I733" s="108" t="s">
        <v>2250</v>
      </c>
    </row>
    <row r="734" spans="1:9" x14ac:dyDescent="0.3">
      <c r="A734" s="114"/>
      <c r="B734" s="111"/>
      <c r="C734" s="63"/>
      <c r="D734" s="111">
        <f>('03_Pipe_Engine'!$J$14+'03_Pipe_Engine'!$O$14)/2</f>
        <v>5.9139999999999997</v>
      </c>
      <c r="E734" s="113"/>
      <c r="F734" s="63"/>
      <c r="G734" s="63"/>
      <c r="H734" s="115"/>
      <c r="I734" s="108" t="s">
        <v>2251</v>
      </c>
    </row>
    <row r="735" spans="1:9" x14ac:dyDescent="0.3">
      <c r="A735" s="114"/>
      <c r="B735" s="111"/>
      <c r="C735" s="63"/>
      <c r="D735" s="111">
        <f>'03_Pipe_Engine'!$V$14</f>
        <v>0.2</v>
      </c>
      <c r="E735" s="113">
        <f>N(B732)*N(D733)*N(D734)*N(D735)</f>
        <v>0</v>
      </c>
      <c r="F735" s="63"/>
      <c r="G735" s="63"/>
      <c r="H735" s="115"/>
      <c r="I735" s="108" t="s">
        <v>2260</v>
      </c>
    </row>
    <row r="736" spans="1:9" x14ac:dyDescent="0.3">
      <c r="A736" s="114"/>
      <c r="B736" s="111"/>
      <c r="C736" s="63"/>
      <c r="D736" s="111"/>
      <c r="E736" s="113"/>
      <c r="F736" s="63"/>
      <c r="G736" s="63"/>
      <c r="H736" s="115"/>
      <c r="I736" s="108"/>
    </row>
    <row r="737" spans="1:9" x14ac:dyDescent="0.3">
      <c r="A737" s="114"/>
      <c r="B737" s="111">
        <f>'03_Pipe_Engine'!$C$14*4</f>
        <v>0</v>
      </c>
      <c r="C737" s="63" t="s">
        <v>1628</v>
      </c>
      <c r="D737" s="111"/>
      <c r="E737" s="113"/>
      <c r="F737" s="63" t="s">
        <v>2306</v>
      </c>
      <c r="G737" s="63"/>
      <c r="H737" s="115"/>
      <c r="I737" s="108" t="s">
        <v>67</v>
      </c>
    </row>
    <row r="738" spans="1:9" x14ac:dyDescent="0.3">
      <c r="A738" s="114"/>
      <c r="B738" s="111"/>
      <c r="C738" s="63"/>
      <c r="D738" s="111">
        <f>'03_Pipe_Engine'!$T$14</f>
        <v>4.5</v>
      </c>
      <c r="E738" s="113"/>
      <c r="F738" s="63"/>
      <c r="G738" s="63"/>
      <c r="H738" s="115"/>
      <c r="I738" s="108" t="s">
        <v>2250</v>
      </c>
    </row>
    <row r="739" spans="1:9" x14ac:dyDescent="0.3">
      <c r="A739" s="114"/>
      <c r="B739" s="111"/>
      <c r="C739" s="63"/>
      <c r="D739" s="111">
        <f>0.5</f>
        <v>0.5</v>
      </c>
      <c r="E739" s="113"/>
      <c r="F739" s="63"/>
      <c r="G739" s="63"/>
      <c r="H739" s="115"/>
      <c r="I739" s="108" t="s">
        <v>2249</v>
      </c>
    </row>
    <row r="740" spans="1:9" x14ac:dyDescent="0.3">
      <c r="A740" s="114"/>
      <c r="B740" s="111"/>
      <c r="C740" s="63"/>
      <c r="D740" s="111">
        <f>'03_Pipe_Engine'!$V$14</f>
        <v>0.2</v>
      </c>
      <c r="E740" s="113">
        <f>N(B737)*N(D738)*N(D739)*N(D740)</f>
        <v>0</v>
      </c>
      <c r="F740" s="63"/>
      <c r="G740" s="63"/>
      <c r="H740" s="115"/>
      <c r="I740" s="108" t="s">
        <v>2260</v>
      </c>
    </row>
    <row r="741" spans="1:9" x14ac:dyDescent="0.3">
      <c r="A741" s="114"/>
      <c r="B741" s="111"/>
      <c r="C741" s="63"/>
      <c r="D741" s="111"/>
      <c r="E741" s="113"/>
      <c r="F741" s="63"/>
      <c r="G741" s="63"/>
      <c r="H741" s="115"/>
      <c r="I741" s="108"/>
    </row>
    <row r="742" spans="1:9" x14ac:dyDescent="0.3">
      <c r="A742" s="114"/>
      <c r="B742" s="111">
        <f>'03_Pipe_Engine'!$C$14*2</f>
        <v>0</v>
      </c>
      <c r="C742" s="63" t="s">
        <v>1628</v>
      </c>
      <c r="D742" s="111"/>
      <c r="E742" s="113"/>
      <c r="F742" s="63" t="s">
        <v>2307</v>
      </c>
      <c r="G742" s="63"/>
      <c r="H742" s="115"/>
      <c r="I742" s="108" t="s">
        <v>67</v>
      </c>
    </row>
    <row r="743" spans="1:9" x14ac:dyDescent="0.3">
      <c r="A743" s="114"/>
      <c r="B743" s="111"/>
      <c r="C743" s="63"/>
      <c r="D743" s="111">
        <f>'03_Pipe_Engine'!$O$14</f>
        <v>7.3280000000000003</v>
      </c>
      <c r="E743" s="113"/>
      <c r="F743" s="63"/>
      <c r="G743" s="63"/>
      <c r="H743" s="115"/>
      <c r="I743" s="108" t="s">
        <v>2249</v>
      </c>
    </row>
    <row r="744" spans="1:9" x14ac:dyDescent="0.3">
      <c r="A744" s="114"/>
      <c r="B744" s="111"/>
      <c r="C744" s="63"/>
      <c r="D744" s="111">
        <f>'03_Pipe_Engine'!$X$14</f>
        <v>0.45</v>
      </c>
      <c r="E744" s="113"/>
      <c r="F744" s="63"/>
      <c r="G744" s="63"/>
      <c r="H744" s="115"/>
      <c r="I744" s="108" t="s">
        <v>2303</v>
      </c>
    </row>
    <row r="745" spans="1:9" x14ac:dyDescent="0.3">
      <c r="A745" s="114"/>
      <c r="B745" s="111"/>
      <c r="C745" s="63"/>
      <c r="D745" s="111">
        <f>'03_Pipe_Engine'!$V$14</f>
        <v>0.2</v>
      </c>
      <c r="E745" s="113">
        <f>N(B742)*N(D743)*N(D744)*N(D745)</f>
        <v>0</v>
      </c>
      <c r="F745" s="63"/>
      <c r="G745" s="63"/>
      <c r="H745" s="115"/>
      <c r="I745" s="108" t="s">
        <v>2260</v>
      </c>
    </row>
    <row r="746" spans="1:9" x14ac:dyDescent="0.3">
      <c r="A746" s="114"/>
      <c r="B746" s="111"/>
      <c r="C746" s="63"/>
      <c r="D746" s="111"/>
      <c r="E746" s="113"/>
      <c r="F746" s="63"/>
      <c r="G746" s="63"/>
      <c r="H746" s="115"/>
      <c r="I746" s="108"/>
    </row>
    <row r="747" spans="1:9" x14ac:dyDescent="0.3">
      <c r="A747" s="114"/>
      <c r="B747" s="111"/>
      <c r="C747" s="63"/>
      <c r="D747" s="111"/>
      <c r="E747" s="113"/>
      <c r="F747" s="63"/>
      <c r="G747" s="63"/>
      <c r="H747" s="115"/>
      <c r="I747" s="108"/>
    </row>
    <row r="748" spans="1:9" x14ac:dyDescent="0.3">
      <c r="A748" s="119" t="s">
        <v>1327</v>
      </c>
      <c r="B748" s="122"/>
      <c r="C748" s="119"/>
      <c r="D748" s="122"/>
      <c r="E748" s="123"/>
      <c r="F748" s="119" t="s">
        <v>2314</v>
      </c>
      <c r="G748" s="119" t="s">
        <v>300</v>
      </c>
      <c r="H748" s="124">
        <f>E752+E757</f>
        <v>0</v>
      </c>
      <c r="I748" s="125" t="str">
        <f>IF(ABS(H748-'03_Pipe_Engine'!$AE$14)&lt;=MAX(0.01,0.005*ABS('03_Pipe_Engine'!$AE$14)),"OK","DIFF")</f>
        <v>OK</v>
      </c>
    </row>
    <row r="749" spans="1:9" x14ac:dyDescent="0.3">
      <c r="A749" s="135"/>
      <c r="B749" s="111">
        <f>'03_Pipe_Engine'!$C$14*2</f>
        <v>0</v>
      </c>
      <c r="C749" s="138" t="s">
        <v>1628</v>
      </c>
      <c r="D749" s="111"/>
      <c r="E749" s="113"/>
      <c r="F749" s="138" t="s">
        <v>2315</v>
      </c>
      <c r="G749" s="138"/>
      <c r="H749" s="136"/>
      <c r="I749" s="139" t="s">
        <v>67</v>
      </c>
    </row>
    <row r="750" spans="1:9" x14ac:dyDescent="0.3">
      <c r="A750" s="114"/>
      <c r="B750" s="111"/>
      <c r="C750" s="63"/>
      <c r="D750" s="111">
        <f>'03_Pipe_Engine'!$T$14</f>
        <v>4.5</v>
      </c>
      <c r="E750" s="113"/>
      <c r="F750" s="63"/>
      <c r="G750" s="63"/>
      <c r="H750" s="115"/>
      <c r="I750" s="108" t="s">
        <v>2250</v>
      </c>
    </row>
    <row r="751" spans="1:9" x14ac:dyDescent="0.3">
      <c r="A751" s="114"/>
      <c r="B751" s="111"/>
      <c r="C751" s="63"/>
      <c r="D751" s="111">
        <f>'03_Pipe_Engine'!$P$14</f>
        <v>0.6</v>
      </c>
      <c r="E751" s="113"/>
      <c r="F751" s="63"/>
      <c r="G751" s="63"/>
      <c r="H751" s="115"/>
      <c r="I751" s="108" t="s">
        <v>2316</v>
      </c>
    </row>
    <row r="752" spans="1:9" x14ac:dyDescent="0.3">
      <c r="A752" s="114"/>
      <c r="B752" s="111"/>
      <c r="C752" s="63"/>
      <c r="D752" s="111">
        <f>'03_Pipe_Engine'!$Q$14</f>
        <v>0.2</v>
      </c>
      <c r="E752" s="113">
        <f>N(B749)*N(D750)*N(D751)*N(D752)</f>
        <v>0</v>
      </c>
      <c r="F752" s="63"/>
      <c r="G752" s="63"/>
      <c r="H752" s="115"/>
      <c r="I752" s="108" t="s">
        <v>2260</v>
      </c>
    </row>
    <row r="753" spans="1:9" x14ac:dyDescent="0.3">
      <c r="A753" s="114"/>
      <c r="B753" s="111"/>
      <c r="C753" s="63"/>
      <c r="D753" s="111"/>
      <c r="E753" s="113"/>
      <c r="F753" s="63"/>
      <c r="G753" s="63"/>
      <c r="H753" s="115"/>
      <c r="I753" s="108"/>
    </row>
    <row r="754" spans="1:9" x14ac:dyDescent="0.3">
      <c r="A754" s="114"/>
      <c r="B754" s="111">
        <f>'03_Pipe_Engine'!$C$14*4</f>
        <v>0</v>
      </c>
      <c r="C754" s="63" t="s">
        <v>1628</v>
      </c>
      <c r="D754" s="111"/>
      <c r="E754" s="113"/>
      <c r="F754" s="63" t="s">
        <v>2317</v>
      </c>
      <c r="G754" s="63"/>
      <c r="H754" s="115"/>
      <c r="I754" s="108" t="s">
        <v>67</v>
      </c>
    </row>
    <row r="755" spans="1:9" x14ac:dyDescent="0.3">
      <c r="A755" s="114"/>
      <c r="B755" s="111"/>
      <c r="C755" s="63"/>
      <c r="D755" s="111">
        <f>'03_Pipe_Engine'!$T$14</f>
        <v>4.5</v>
      </c>
      <c r="E755" s="113"/>
      <c r="F755" s="63"/>
      <c r="G755" s="63"/>
      <c r="H755" s="115"/>
      <c r="I755" s="108" t="s">
        <v>2250</v>
      </c>
    </row>
    <row r="756" spans="1:9" x14ac:dyDescent="0.3">
      <c r="A756" s="114"/>
      <c r="B756" s="111"/>
      <c r="C756" s="63"/>
      <c r="D756" s="111">
        <f>'03_Pipe_Engine'!$S$14</f>
        <v>1.325</v>
      </c>
      <c r="E756" s="113"/>
      <c r="F756" s="63"/>
      <c r="G756" s="63"/>
      <c r="H756" s="115"/>
      <c r="I756" s="108" t="s">
        <v>2253</v>
      </c>
    </row>
    <row r="757" spans="1:9" x14ac:dyDescent="0.3">
      <c r="A757" s="114"/>
      <c r="B757" s="111"/>
      <c r="C757" s="63"/>
      <c r="D757" s="111">
        <f>'03_Pipe_Engine'!$U$14</f>
        <v>0.2</v>
      </c>
      <c r="E757" s="113">
        <f>N(B754)*N(D755)*N(D756)*N(D757)</f>
        <v>0</v>
      </c>
      <c r="F757" s="63"/>
      <c r="G757" s="63"/>
      <c r="H757" s="115"/>
      <c r="I757" s="108" t="s">
        <v>2260</v>
      </c>
    </row>
    <row r="758" spans="1:9" x14ac:dyDescent="0.3">
      <c r="A758" s="114"/>
      <c r="B758" s="111"/>
      <c r="C758" s="63"/>
      <c r="D758" s="111"/>
      <c r="E758" s="113"/>
      <c r="F758" s="63"/>
      <c r="G758" s="63"/>
      <c r="H758" s="115"/>
      <c r="I758" s="108"/>
    </row>
    <row r="759" spans="1:9" x14ac:dyDescent="0.3">
      <c r="A759" s="114"/>
      <c r="B759" s="111"/>
      <c r="C759" s="63"/>
      <c r="D759" s="111"/>
      <c r="E759" s="113"/>
      <c r="F759" s="63"/>
      <c r="G759" s="63"/>
      <c r="H759" s="115"/>
      <c r="I759" s="108"/>
    </row>
    <row r="760" spans="1:9" x14ac:dyDescent="0.3">
      <c r="A760" s="119" t="s">
        <v>1328</v>
      </c>
      <c r="B760" s="122"/>
      <c r="C760" s="119"/>
      <c r="D760" s="122"/>
      <c r="E760" s="123"/>
      <c r="F760" s="119" t="s">
        <v>2318</v>
      </c>
      <c r="G760" s="119" t="s">
        <v>301</v>
      </c>
      <c r="H760" s="124">
        <f>E763+E767</f>
        <v>0</v>
      </c>
      <c r="I760" s="125" t="str">
        <f>IF(ABS(H760-'03_Pipe_Engine'!$AF$14)&lt;=MAX(0.01,0.005*ABS('03_Pipe_Engine'!$AF$14)),"OK","DIFF")</f>
        <v>OK</v>
      </c>
    </row>
    <row r="761" spans="1:9" x14ac:dyDescent="0.3">
      <c r="A761" s="135"/>
      <c r="B761" s="111">
        <f>'03_Pipe_Engine'!$C$14*2*2</f>
        <v>0</v>
      </c>
      <c r="C761" s="138" t="s">
        <v>1628</v>
      </c>
      <c r="D761" s="111"/>
      <c r="E761" s="113"/>
      <c r="F761" s="138" t="s">
        <v>2319</v>
      </c>
      <c r="G761" s="138"/>
      <c r="H761" s="136"/>
      <c r="I761" s="139" t="s">
        <v>67</v>
      </c>
    </row>
    <row r="762" spans="1:9" x14ac:dyDescent="0.3">
      <c r="A762" s="114"/>
      <c r="B762" s="111"/>
      <c r="C762" s="63"/>
      <c r="D762" s="111">
        <f>'03_Pipe_Engine'!$P$14</f>
        <v>0.6</v>
      </c>
      <c r="E762" s="113"/>
      <c r="F762" s="63"/>
      <c r="G762" s="63"/>
      <c r="H762" s="115"/>
      <c r="I762" s="108" t="s">
        <v>2316</v>
      </c>
    </row>
    <row r="763" spans="1:9" x14ac:dyDescent="0.3">
      <c r="A763" s="114"/>
      <c r="B763" s="111"/>
      <c r="C763" s="63"/>
      <c r="D763" s="111">
        <f>'03_Pipe_Engine'!$Q$14</f>
        <v>0.2</v>
      </c>
      <c r="E763" s="113">
        <f>N(B761)*N(D762)*N(D763)</f>
        <v>0</v>
      </c>
      <c r="F763" s="63"/>
      <c r="G763" s="63"/>
      <c r="H763" s="115"/>
      <c r="I763" s="108" t="s">
        <v>2260</v>
      </c>
    </row>
    <row r="764" spans="1:9" x14ac:dyDescent="0.3">
      <c r="A764" s="114"/>
      <c r="B764" s="111"/>
      <c r="C764" s="63"/>
      <c r="D764" s="111"/>
      <c r="E764" s="113"/>
      <c r="F764" s="63"/>
      <c r="G764" s="63"/>
      <c r="H764" s="115"/>
      <c r="I764" s="108"/>
    </row>
    <row r="765" spans="1:9" x14ac:dyDescent="0.3">
      <c r="A765" s="114"/>
      <c r="B765" s="111">
        <f>'03_Pipe_Engine'!$C$14*4</f>
        <v>0</v>
      </c>
      <c r="C765" s="63" t="s">
        <v>1628</v>
      </c>
      <c r="D765" s="111"/>
      <c r="E765" s="113"/>
      <c r="F765" s="63" t="s">
        <v>2320</v>
      </c>
      <c r="G765" s="63"/>
      <c r="H765" s="115"/>
      <c r="I765" s="108" t="s">
        <v>67</v>
      </c>
    </row>
    <row r="766" spans="1:9" x14ac:dyDescent="0.3">
      <c r="A766" s="114"/>
      <c r="B766" s="111"/>
      <c r="C766" s="63"/>
      <c r="D766" s="111">
        <f>'03_Pipe_Engine'!$R$14</f>
        <v>1</v>
      </c>
      <c r="E766" s="113"/>
      <c r="F766" s="63"/>
      <c r="G766" s="63"/>
      <c r="H766" s="115"/>
      <c r="I766" s="108" t="s">
        <v>2321</v>
      </c>
    </row>
    <row r="767" spans="1:9" x14ac:dyDescent="0.3">
      <c r="A767" s="114"/>
      <c r="B767" s="111"/>
      <c r="C767" s="63"/>
      <c r="D767" s="111">
        <f>'03_Pipe_Engine'!$U$14</f>
        <v>0.2</v>
      </c>
      <c r="E767" s="113">
        <f>N(B765)*N(D766)*N(D767)</f>
        <v>0</v>
      </c>
      <c r="F767" s="63"/>
      <c r="G767" s="63"/>
      <c r="H767" s="115"/>
      <c r="I767" s="108" t="s">
        <v>2260</v>
      </c>
    </row>
    <row r="768" spans="1:9" x14ac:dyDescent="0.3">
      <c r="A768" s="114"/>
      <c r="B768" s="111"/>
      <c r="C768" s="63"/>
      <c r="D768" s="111"/>
      <c r="E768" s="113"/>
      <c r="F768" s="63"/>
      <c r="G768" s="63"/>
      <c r="H768" s="115"/>
      <c r="I768" s="108"/>
    </row>
    <row r="769" spans="1:9" x14ac:dyDescent="0.3">
      <c r="A769" s="114"/>
      <c r="B769" s="111"/>
      <c r="C769" s="63"/>
      <c r="D769" s="111"/>
      <c r="E769" s="113"/>
      <c r="F769" s="63"/>
      <c r="G769" s="63"/>
      <c r="H769" s="115"/>
      <c r="I769" s="108"/>
    </row>
    <row r="770" spans="1:9" x14ac:dyDescent="0.3">
      <c r="A770" s="119" t="s">
        <v>1329</v>
      </c>
      <c r="B770" s="122"/>
      <c r="C770" s="119"/>
      <c r="D770" s="122"/>
      <c r="E770" s="123"/>
      <c r="F770" s="119" t="s">
        <v>2322</v>
      </c>
      <c r="G770" s="119" t="s">
        <v>301</v>
      </c>
      <c r="H770" s="124">
        <f>E773+E777</f>
        <v>0</v>
      </c>
      <c r="I770" s="125" t="str">
        <f>IF(ABS(H770-'03_Pipe_Engine'!$AG$14)&lt;=MAX(0.01,0.005*ABS('03_Pipe_Engine'!$AG$14)),"OK","DIFF")</f>
        <v>OK</v>
      </c>
    </row>
    <row r="771" spans="1:9" x14ac:dyDescent="0.3">
      <c r="A771" s="135"/>
      <c r="B771" s="111">
        <f>'03_Pipe_Engine'!$C$14*2*2</f>
        <v>0</v>
      </c>
      <c r="C771" s="138" t="s">
        <v>1628</v>
      </c>
      <c r="D771" s="111"/>
      <c r="E771" s="113"/>
      <c r="F771" s="138" t="s">
        <v>2323</v>
      </c>
      <c r="G771" s="138"/>
      <c r="H771" s="136"/>
      <c r="I771" s="139" t="s">
        <v>2324</v>
      </c>
    </row>
    <row r="772" spans="1:9" x14ac:dyDescent="0.3">
      <c r="A772" s="114"/>
      <c r="B772" s="111"/>
      <c r="C772" s="63"/>
      <c r="D772" s="111">
        <f>'03_Pipe_Engine'!$T$14</f>
        <v>4.5</v>
      </c>
      <c r="E772" s="113"/>
      <c r="F772" s="63"/>
      <c r="G772" s="63"/>
      <c r="H772" s="115"/>
      <c r="I772" s="108" t="s">
        <v>2250</v>
      </c>
    </row>
    <row r="773" spans="1:9" x14ac:dyDescent="0.3">
      <c r="A773" s="114"/>
      <c r="B773" s="111"/>
      <c r="C773" s="63"/>
      <c r="D773" s="111">
        <f>'03_Pipe_Engine'!$P$14</f>
        <v>0.6</v>
      </c>
      <c r="E773" s="113">
        <f>N(B771)*N(D772)*N(D773)</f>
        <v>0</v>
      </c>
      <c r="F773" s="63"/>
      <c r="G773" s="63"/>
      <c r="H773" s="115"/>
      <c r="I773" s="108" t="s">
        <v>2316</v>
      </c>
    </row>
    <row r="774" spans="1:9" x14ac:dyDescent="0.3">
      <c r="A774" s="114"/>
      <c r="B774" s="111"/>
      <c r="C774" s="63"/>
      <c r="D774" s="111"/>
      <c r="E774" s="113"/>
      <c r="F774" s="63"/>
      <c r="G774" s="63"/>
      <c r="H774" s="115"/>
      <c r="I774" s="108"/>
    </row>
    <row r="775" spans="1:9" x14ac:dyDescent="0.3">
      <c r="A775" s="114"/>
      <c r="B775" s="111">
        <f>'03_Pipe_Engine'!$C$14*4*2</f>
        <v>0</v>
      </c>
      <c r="C775" s="63" t="s">
        <v>1628</v>
      </c>
      <c r="D775" s="111"/>
      <c r="E775" s="113"/>
      <c r="F775" s="63" t="s">
        <v>2325</v>
      </c>
      <c r="G775" s="63"/>
      <c r="H775" s="115"/>
      <c r="I775" s="108" t="s">
        <v>2324</v>
      </c>
    </row>
    <row r="776" spans="1:9" x14ac:dyDescent="0.3">
      <c r="A776" s="114"/>
      <c r="B776" s="111"/>
      <c r="C776" s="63"/>
      <c r="D776" s="111">
        <f>'03_Pipe_Engine'!$T$14</f>
        <v>4.5</v>
      </c>
      <c r="E776" s="113"/>
      <c r="F776" s="63"/>
      <c r="G776" s="63"/>
      <c r="H776" s="115"/>
      <c r="I776" s="108" t="s">
        <v>2250</v>
      </c>
    </row>
    <row r="777" spans="1:9" x14ac:dyDescent="0.3">
      <c r="A777" s="114"/>
      <c r="B777" s="111"/>
      <c r="C777" s="63"/>
      <c r="D777" s="111">
        <f>'03_Pipe_Engine'!$S$14</f>
        <v>1.325</v>
      </c>
      <c r="E777" s="113">
        <f>N(B775)*N(D776)*N(D777)</f>
        <v>0</v>
      </c>
      <c r="F777" s="63"/>
      <c r="G777" s="63"/>
      <c r="H777" s="115"/>
      <c r="I777" s="108" t="s">
        <v>2253</v>
      </c>
    </row>
    <row r="778" spans="1:9" x14ac:dyDescent="0.3">
      <c r="A778" s="114"/>
      <c r="B778" s="111"/>
      <c r="C778" s="63"/>
      <c r="D778" s="111"/>
      <c r="E778" s="113"/>
      <c r="F778" s="63"/>
      <c r="G778" s="63"/>
      <c r="H778" s="115"/>
      <c r="I778" s="108"/>
    </row>
    <row r="779" spans="1:9" x14ac:dyDescent="0.3">
      <c r="A779" s="114"/>
      <c r="B779" s="111"/>
      <c r="C779" s="63"/>
      <c r="D779" s="111"/>
      <c r="E779" s="113"/>
      <c r="F779" s="63"/>
      <c r="G779" s="63"/>
      <c r="H779" s="115"/>
      <c r="I779" s="108"/>
    </row>
    <row r="780" spans="1:9" x14ac:dyDescent="0.3">
      <c r="A780" s="119" t="s">
        <v>1332</v>
      </c>
      <c r="B780" s="122"/>
      <c r="C780" s="119"/>
      <c r="D780" s="122"/>
      <c r="E780" s="123"/>
      <c r="F780" s="119" t="s">
        <v>2332</v>
      </c>
      <c r="G780" s="119" t="s">
        <v>63</v>
      </c>
      <c r="H780" s="124">
        <f>E782</f>
        <v>0</v>
      </c>
      <c r="I780" s="125" t="str">
        <f>IF(ABS(H780-'03_Pipe_Engine'!$AJ$14)&lt;=MAX(0.01,0.005*ABS('03_Pipe_Engine'!$AJ$14)),"OK","DIFF")</f>
        <v>OK</v>
      </c>
    </row>
    <row r="781" spans="1:9" x14ac:dyDescent="0.3">
      <c r="A781" s="135"/>
      <c r="B781" s="111">
        <f>'03_Pipe_Engine'!$F$14</f>
        <v>3</v>
      </c>
      <c r="C781" s="138" t="s">
        <v>1628</v>
      </c>
      <c r="D781" s="111"/>
      <c r="E781" s="113"/>
      <c r="F781" s="138" t="s">
        <v>2327</v>
      </c>
      <c r="G781" s="138"/>
      <c r="H781" s="136"/>
      <c r="I781" s="139" t="s">
        <v>2328</v>
      </c>
    </row>
    <row r="782" spans="1:9" x14ac:dyDescent="0.3">
      <c r="A782" s="114"/>
      <c r="B782" s="111"/>
      <c r="C782" s="63"/>
      <c r="D782" s="111">
        <f>'03_Pipe_Engine'!$D$14</f>
        <v>0</v>
      </c>
      <c r="E782" s="113">
        <f>N(B781)*N(D782)</f>
        <v>0</v>
      </c>
      <c r="F782" s="63"/>
      <c r="G782" s="63"/>
      <c r="H782" s="115"/>
      <c r="I782" s="108" t="s">
        <v>2301</v>
      </c>
    </row>
    <row r="783" spans="1:9" x14ac:dyDescent="0.3">
      <c r="A783" s="114"/>
      <c r="B783" s="111"/>
      <c r="C783" s="63"/>
      <c r="D783" s="111"/>
      <c r="E783" s="113"/>
      <c r="F783" s="63"/>
      <c r="G783" s="63"/>
      <c r="H783" s="115"/>
      <c r="I783" s="108"/>
    </row>
    <row r="784" spans="1:9" x14ac:dyDescent="0.3">
      <c r="A784" s="114"/>
      <c r="B784" s="111"/>
      <c r="C784" s="63"/>
      <c r="D784" s="111"/>
      <c r="E784" s="113"/>
      <c r="F784" s="63"/>
      <c r="G784" s="63"/>
      <c r="H784" s="115"/>
      <c r="I784" s="108"/>
    </row>
    <row r="785" spans="1:9" x14ac:dyDescent="0.3">
      <c r="A785" s="119" t="s">
        <v>1343</v>
      </c>
      <c r="B785" s="122"/>
      <c r="C785" s="119"/>
      <c r="D785" s="122"/>
      <c r="E785" s="123"/>
      <c r="F785" s="119" t="s">
        <v>2329</v>
      </c>
      <c r="G785" s="119" t="s">
        <v>63</v>
      </c>
      <c r="H785" s="124">
        <f>E786</f>
        <v>0</v>
      </c>
      <c r="I785" s="125" t="str">
        <f>IF(ABS(H785-'03_Pipe_Engine'!$AU$14)&lt;=MAX(0.01,0.005*ABS('03_Pipe_Engine'!$AU$14)),"OK","DIFF")</f>
        <v>OK</v>
      </c>
    </row>
    <row r="786" spans="1:9" x14ac:dyDescent="0.3">
      <c r="A786" s="135"/>
      <c r="B786" s="111">
        <f>'03_Pipe_Engine'!$D$14</f>
        <v>0</v>
      </c>
      <c r="C786" s="138" t="s">
        <v>1628</v>
      </c>
      <c r="D786" s="111"/>
      <c r="E786" s="113">
        <f>N(B786)</f>
        <v>0</v>
      </c>
      <c r="F786" s="138" t="s">
        <v>2330</v>
      </c>
      <c r="G786" s="138"/>
      <c r="H786" s="136"/>
      <c r="I786" s="139" t="s">
        <v>2301</v>
      </c>
    </row>
    <row r="787" spans="1:9" x14ac:dyDescent="0.3">
      <c r="A787" s="114"/>
      <c r="B787" s="111"/>
      <c r="C787" s="63"/>
      <c r="D787" s="111"/>
      <c r="E787" s="113"/>
      <c r="F787" s="63"/>
      <c r="G787" s="63"/>
      <c r="H787" s="115"/>
      <c r="I787" s="108"/>
    </row>
    <row r="788" spans="1:9" x14ac:dyDescent="0.3">
      <c r="A788" s="114"/>
      <c r="B788" s="111"/>
      <c r="C788" s="63"/>
      <c r="D788" s="111"/>
      <c r="E788" s="113"/>
      <c r="F788" s="63"/>
      <c r="G788" s="63"/>
      <c r="H788" s="115"/>
      <c r="I788" s="108"/>
    </row>
    <row r="789" spans="1:9" x14ac:dyDescent="0.3">
      <c r="A789" s="114"/>
      <c r="B789" s="111"/>
      <c r="C789" s="63"/>
      <c r="D789" s="111"/>
      <c r="E789" s="113"/>
      <c r="F789" s="63"/>
      <c r="G789" s="63"/>
      <c r="H789" s="115"/>
      <c r="I789" s="108"/>
    </row>
    <row r="790" spans="1:9" x14ac:dyDescent="0.3">
      <c r="A790" s="131" t="s">
        <v>1423</v>
      </c>
      <c r="B790" s="158"/>
      <c r="C790" s="131"/>
      <c r="D790" s="158"/>
      <c r="E790" s="132"/>
      <c r="F790" s="131" t="str">
        <f>IF('03_Pipe_Engine'!$C$15=0,"none in this project",'03_Pipe_Engine'!$C$15&amp;" nr,  total length "&amp;'03_Pipe_Engine'!$D$15&amp;" m")</f>
        <v>none in this project</v>
      </c>
      <c r="G790" s="131"/>
      <c r="H790" s="133"/>
      <c r="I790" s="134"/>
    </row>
    <row r="791" spans="1:9" x14ac:dyDescent="0.3">
      <c r="A791" s="119" t="s">
        <v>1322</v>
      </c>
      <c r="B791" s="122"/>
      <c r="C791" s="119"/>
      <c r="D791" s="122"/>
      <c r="E791" s="123"/>
      <c r="F791" s="119" t="s">
        <v>1373</v>
      </c>
      <c r="G791" s="119" t="s">
        <v>300</v>
      </c>
      <c r="H791" s="124">
        <f>E794+E799+E804+E809</f>
        <v>0</v>
      </c>
      <c r="I791" s="125" t="str">
        <f>IF(ABS(H791-'03_Pipe_Engine'!$Y$15)&lt;=MAX(0.01,0.005*ABS('03_Pipe_Engine'!$Y$15)),"OK","DIFF")</f>
        <v>OK</v>
      </c>
    </row>
    <row r="792" spans="1:9" x14ac:dyDescent="0.3">
      <c r="A792" s="135"/>
      <c r="B792" s="111">
        <f>'03_Pipe_Engine'!$D$15</f>
        <v>0</v>
      </c>
      <c r="C792" s="138" t="s">
        <v>1628</v>
      </c>
      <c r="D792" s="111"/>
      <c r="E792" s="113"/>
      <c r="F792" s="138" t="s">
        <v>2300</v>
      </c>
      <c r="G792" s="138"/>
      <c r="H792" s="136"/>
      <c r="I792" s="139" t="s">
        <v>2301</v>
      </c>
    </row>
    <row r="793" spans="1:9" x14ac:dyDescent="0.3">
      <c r="A793" s="114"/>
      <c r="B793" s="111"/>
      <c r="C793" s="63"/>
      <c r="D793" s="111">
        <f>'03_Pipe_Engine'!$J$15</f>
        <v>1.95</v>
      </c>
      <c r="E793" s="113"/>
      <c r="F793" s="63"/>
      <c r="G793" s="63"/>
      <c r="H793" s="115"/>
      <c r="I793" s="108" t="s">
        <v>2302</v>
      </c>
    </row>
    <row r="794" spans="1:9" x14ac:dyDescent="0.3">
      <c r="A794" s="114"/>
      <c r="B794" s="111"/>
      <c r="C794" s="63"/>
      <c r="D794" s="111">
        <f>'03_Pipe_Engine'!$L$15</f>
        <v>0.4</v>
      </c>
      <c r="E794" s="113">
        <f>N(B792)*N(D793)*N(D794)</f>
        <v>0</v>
      </c>
      <c r="F794" s="63"/>
      <c r="G794" s="63"/>
      <c r="H794" s="115"/>
      <c r="I794" s="108" t="s">
        <v>2303</v>
      </c>
    </row>
    <row r="795" spans="1:9" x14ac:dyDescent="0.3">
      <c r="A795" s="114"/>
      <c r="B795" s="111"/>
      <c r="C795" s="63"/>
      <c r="D795" s="111"/>
      <c r="E795" s="113"/>
      <c r="F795" s="63"/>
      <c r="G795" s="63"/>
      <c r="H795" s="115"/>
      <c r="I795" s="108"/>
    </row>
    <row r="796" spans="1:9" x14ac:dyDescent="0.3">
      <c r="A796" s="114"/>
      <c r="B796" s="111">
        <f>'03_Pipe_Engine'!$C$15*2</f>
        <v>0</v>
      </c>
      <c r="C796" s="63" t="s">
        <v>1628</v>
      </c>
      <c r="D796" s="111"/>
      <c r="E796" s="113"/>
      <c r="F796" s="63" t="s">
        <v>2304</v>
      </c>
      <c r="G796" s="63"/>
      <c r="H796" s="115"/>
      <c r="I796" s="108" t="s">
        <v>67</v>
      </c>
    </row>
    <row r="797" spans="1:9" x14ac:dyDescent="0.3">
      <c r="A797" s="114"/>
      <c r="B797" s="111"/>
      <c r="C797" s="63"/>
      <c r="D797" s="111">
        <f>'03_Pipe_Engine'!$N$15</f>
        <v>1.4139999999999999</v>
      </c>
      <c r="E797" s="113"/>
      <c r="F797" s="63"/>
      <c r="G797" s="63"/>
      <c r="H797" s="115"/>
      <c r="I797" s="108" t="s">
        <v>2305</v>
      </c>
    </row>
    <row r="798" spans="1:9" x14ac:dyDescent="0.3">
      <c r="A798" s="114"/>
      <c r="B798" s="111"/>
      <c r="C798" s="63"/>
      <c r="D798" s="111">
        <f>('03_Pipe_Engine'!$J$15+'03_Pipe_Engine'!$O$15)/2</f>
        <v>3.3639999999999999</v>
      </c>
      <c r="E798" s="113"/>
      <c r="F798" s="63"/>
      <c r="G798" s="63"/>
      <c r="H798" s="115"/>
      <c r="I798" s="108" t="s">
        <v>2251</v>
      </c>
    </row>
    <row r="799" spans="1:9" x14ac:dyDescent="0.3">
      <c r="A799" s="114"/>
      <c r="B799" s="111"/>
      <c r="C799" s="63"/>
      <c r="D799" s="111">
        <f>'03_Pipe_Engine'!$L$15</f>
        <v>0.4</v>
      </c>
      <c r="E799" s="113">
        <f>N(B796)*N(D797)*N(D798)*N(D799)</f>
        <v>0</v>
      </c>
      <c r="F799" s="63"/>
      <c r="G799" s="63"/>
      <c r="H799" s="115"/>
      <c r="I799" s="108" t="s">
        <v>2303</v>
      </c>
    </row>
    <row r="800" spans="1:9" x14ac:dyDescent="0.3">
      <c r="A800" s="114"/>
      <c r="B800" s="111"/>
      <c r="C800" s="63"/>
      <c r="D800" s="111"/>
      <c r="E800" s="113"/>
      <c r="F800" s="63"/>
      <c r="G800" s="63"/>
      <c r="H800" s="115"/>
      <c r="I800" s="108"/>
    </row>
    <row r="801" spans="1:9" x14ac:dyDescent="0.3">
      <c r="A801" s="114"/>
      <c r="B801" s="111">
        <f>'03_Pipe_Engine'!$C$15*4</f>
        <v>0</v>
      </c>
      <c r="C801" s="63" t="s">
        <v>1628</v>
      </c>
      <c r="D801" s="111"/>
      <c r="E801" s="113"/>
      <c r="F801" s="63" t="s">
        <v>2306</v>
      </c>
      <c r="G801" s="63"/>
      <c r="H801" s="115"/>
      <c r="I801" s="108" t="s">
        <v>67</v>
      </c>
    </row>
    <row r="802" spans="1:9" x14ac:dyDescent="0.3">
      <c r="A802" s="114"/>
      <c r="B802" s="111"/>
      <c r="C802" s="63"/>
      <c r="D802" s="111">
        <f>'03_Pipe_Engine'!$T$15</f>
        <v>1.95</v>
      </c>
      <c r="E802" s="113"/>
      <c r="F802" s="63"/>
      <c r="G802" s="63"/>
      <c r="H802" s="115"/>
      <c r="I802" s="108" t="s">
        <v>2250</v>
      </c>
    </row>
    <row r="803" spans="1:9" x14ac:dyDescent="0.3">
      <c r="A803" s="114"/>
      <c r="B803" s="111"/>
      <c r="C803" s="63"/>
      <c r="D803" s="111">
        <f>0.5</f>
        <v>0.5</v>
      </c>
      <c r="E803" s="113"/>
      <c r="F803" s="63"/>
      <c r="G803" s="63"/>
      <c r="H803" s="115"/>
      <c r="I803" s="108" t="s">
        <v>2249</v>
      </c>
    </row>
    <row r="804" spans="1:9" x14ac:dyDescent="0.3">
      <c r="A804" s="114"/>
      <c r="B804" s="111"/>
      <c r="C804" s="63"/>
      <c r="D804" s="111">
        <f>'03_Pipe_Engine'!$L$15</f>
        <v>0.4</v>
      </c>
      <c r="E804" s="113">
        <f>N(B801)*N(D802)*N(D803)*N(D804)</f>
        <v>0</v>
      </c>
      <c r="F804" s="63"/>
      <c r="G804" s="63"/>
      <c r="H804" s="115"/>
      <c r="I804" s="108" t="s">
        <v>2303</v>
      </c>
    </row>
    <row r="805" spans="1:9" x14ac:dyDescent="0.3">
      <c r="A805" s="114"/>
      <c r="B805" s="111"/>
      <c r="C805" s="63"/>
      <c r="D805" s="111"/>
      <c r="E805" s="113"/>
      <c r="F805" s="63"/>
      <c r="G805" s="63"/>
      <c r="H805" s="115"/>
      <c r="I805" s="108"/>
    </row>
    <row r="806" spans="1:9" x14ac:dyDescent="0.3">
      <c r="A806" s="114"/>
      <c r="B806" s="111">
        <f>'03_Pipe_Engine'!$C$15*2</f>
        <v>0</v>
      </c>
      <c r="C806" s="63" t="s">
        <v>1628</v>
      </c>
      <c r="D806" s="111"/>
      <c r="E806" s="113"/>
      <c r="F806" s="63" t="s">
        <v>2307</v>
      </c>
      <c r="G806" s="63"/>
      <c r="H806" s="115"/>
      <c r="I806" s="108" t="s">
        <v>67</v>
      </c>
    </row>
    <row r="807" spans="1:9" x14ac:dyDescent="0.3">
      <c r="A807" s="114"/>
      <c r="B807" s="111"/>
      <c r="C807" s="63"/>
      <c r="D807" s="111">
        <f>'03_Pipe_Engine'!$O$15</f>
        <v>4.7779999999999996</v>
      </c>
      <c r="E807" s="113"/>
      <c r="F807" s="63"/>
      <c r="G807" s="63"/>
      <c r="H807" s="115"/>
      <c r="I807" s="108" t="s">
        <v>2308</v>
      </c>
    </row>
    <row r="808" spans="1:9" x14ac:dyDescent="0.3">
      <c r="A808" s="114"/>
      <c r="B808" s="111"/>
      <c r="C808" s="63"/>
      <c r="D808" s="111">
        <f>'03_Pipe_Engine'!$X$15</f>
        <v>0.45</v>
      </c>
      <c r="E808" s="113"/>
      <c r="F808" s="63"/>
      <c r="G808" s="63"/>
      <c r="H808" s="115"/>
      <c r="I808" s="108" t="s">
        <v>2309</v>
      </c>
    </row>
    <row r="809" spans="1:9" x14ac:dyDescent="0.3">
      <c r="A809" s="114"/>
      <c r="B809" s="111"/>
      <c r="C809" s="63"/>
      <c r="D809" s="111">
        <f>'03_Pipe_Engine'!$L$15</f>
        <v>0.4</v>
      </c>
      <c r="E809" s="113">
        <f>N(B806)*N(D807)*N(D808)*N(D809)</f>
        <v>0</v>
      </c>
      <c r="F809" s="63"/>
      <c r="G809" s="63"/>
      <c r="H809" s="115"/>
      <c r="I809" s="108" t="s">
        <v>2303</v>
      </c>
    </row>
    <row r="810" spans="1:9" x14ac:dyDescent="0.3">
      <c r="A810" s="114"/>
      <c r="B810" s="111"/>
      <c r="C810" s="63"/>
      <c r="D810" s="111"/>
      <c r="E810" s="113"/>
      <c r="F810" s="63"/>
      <c r="G810" s="63"/>
      <c r="H810" s="115"/>
      <c r="I810" s="108"/>
    </row>
    <row r="811" spans="1:9" x14ac:dyDescent="0.3">
      <c r="A811" s="114"/>
      <c r="B811" s="111"/>
      <c r="C811" s="63"/>
      <c r="D811" s="111"/>
      <c r="E811" s="113"/>
      <c r="F811" s="63"/>
      <c r="G811" s="63"/>
      <c r="H811" s="115"/>
      <c r="I811" s="108"/>
    </row>
    <row r="812" spans="1:9" x14ac:dyDescent="0.3">
      <c r="A812" s="119" t="s">
        <v>1323</v>
      </c>
      <c r="B812" s="122"/>
      <c r="C812" s="119"/>
      <c r="D812" s="122"/>
      <c r="E812" s="123"/>
      <c r="F812" s="119" t="s">
        <v>2310</v>
      </c>
      <c r="G812" s="119" t="s">
        <v>300</v>
      </c>
      <c r="H812" s="124">
        <f>E815</f>
        <v>0</v>
      </c>
      <c r="I812" s="125" t="str">
        <f>IF(ABS(H812-'03_Pipe_Engine'!$Z$15)&lt;=MAX(0.01,0.005*ABS('03_Pipe_Engine'!$Z$15)),"OK","DIFF")</f>
        <v>OK</v>
      </c>
    </row>
    <row r="813" spans="1:9" x14ac:dyDescent="0.3">
      <c r="A813" s="135"/>
      <c r="B813" s="111">
        <f>'03_Pipe_Engine'!$D$15</f>
        <v>0</v>
      </c>
      <c r="C813" s="138" t="s">
        <v>1628</v>
      </c>
      <c r="D813" s="111"/>
      <c r="E813" s="113"/>
      <c r="F813" s="138" t="s">
        <v>2311</v>
      </c>
      <c r="G813" s="138"/>
      <c r="H813" s="136"/>
      <c r="I813" s="139" t="s">
        <v>2301</v>
      </c>
    </row>
    <row r="814" spans="1:9" x14ac:dyDescent="0.3">
      <c r="A814" s="114"/>
      <c r="B814" s="111"/>
      <c r="C814" s="63"/>
      <c r="D814" s="111">
        <f>'03_Pipe_Engine'!$J$15</f>
        <v>1.95</v>
      </c>
      <c r="E814" s="113"/>
      <c r="F814" s="63"/>
      <c r="G814" s="63"/>
      <c r="H814" s="115"/>
      <c r="I814" s="108" t="s">
        <v>2249</v>
      </c>
    </row>
    <row r="815" spans="1:9" x14ac:dyDescent="0.3">
      <c r="A815" s="114"/>
      <c r="B815" s="111"/>
      <c r="C815" s="63"/>
      <c r="D815" s="111">
        <f>'03_Pipe_Engine'!$M$15</f>
        <v>0.05</v>
      </c>
      <c r="E815" s="113">
        <f>N(B813)*N(D814)*N(D815)</f>
        <v>0</v>
      </c>
      <c r="F815" s="63"/>
      <c r="G815" s="63"/>
      <c r="H815" s="115"/>
      <c r="I815" s="108" t="s">
        <v>2260</v>
      </c>
    </row>
    <row r="816" spans="1:9" x14ac:dyDescent="0.3">
      <c r="A816" s="114"/>
      <c r="B816" s="111"/>
      <c r="C816" s="63"/>
      <c r="D816" s="111"/>
      <c r="E816" s="113"/>
      <c r="F816" s="63"/>
      <c r="G816" s="63"/>
      <c r="H816" s="115"/>
      <c r="I816" s="108"/>
    </row>
    <row r="817" spans="1:9" x14ac:dyDescent="0.3">
      <c r="A817" s="114"/>
      <c r="B817" s="111"/>
      <c r="C817" s="63"/>
      <c r="D817" s="111"/>
      <c r="E817" s="113"/>
      <c r="F817" s="63"/>
      <c r="G817" s="63"/>
      <c r="H817" s="115"/>
      <c r="I817" s="108"/>
    </row>
    <row r="818" spans="1:9" x14ac:dyDescent="0.3">
      <c r="A818" s="119" t="s">
        <v>1326</v>
      </c>
      <c r="B818" s="122"/>
      <c r="C818" s="119"/>
      <c r="D818" s="122"/>
      <c r="E818" s="123"/>
      <c r="F818" s="119" t="s">
        <v>2312</v>
      </c>
      <c r="G818" s="119" t="s">
        <v>300</v>
      </c>
      <c r="H818" s="124">
        <f>E822+E827+E832</f>
        <v>0</v>
      </c>
      <c r="I818" s="125" t="str">
        <f>IF(ABS(H818-'03_Pipe_Engine'!$AD$15)&lt;=MAX(0.01,0.005*ABS('03_Pipe_Engine'!$AD$15)),"OK","DIFF")</f>
        <v>OK</v>
      </c>
    </row>
    <row r="819" spans="1:9" x14ac:dyDescent="0.3">
      <c r="A819" s="135"/>
      <c r="B819" s="111">
        <f>'03_Pipe_Engine'!$C$15*2</f>
        <v>0</v>
      </c>
      <c r="C819" s="138" t="s">
        <v>1628</v>
      </c>
      <c r="D819" s="111"/>
      <c r="E819" s="113"/>
      <c r="F819" s="138" t="s">
        <v>2313</v>
      </c>
      <c r="G819" s="138"/>
      <c r="H819" s="136"/>
      <c r="I819" s="139" t="s">
        <v>67</v>
      </c>
    </row>
    <row r="820" spans="1:9" x14ac:dyDescent="0.3">
      <c r="A820" s="114"/>
      <c r="B820" s="111"/>
      <c r="C820" s="63"/>
      <c r="D820" s="111">
        <f>'03_Pipe_Engine'!$N$15</f>
        <v>1.4139999999999999</v>
      </c>
      <c r="E820" s="113"/>
      <c r="F820" s="63"/>
      <c r="G820" s="63"/>
      <c r="H820" s="115"/>
      <c r="I820" s="108" t="s">
        <v>2250</v>
      </c>
    </row>
    <row r="821" spans="1:9" x14ac:dyDescent="0.3">
      <c r="A821" s="114"/>
      <c r="B821" s="111"/>
      <c r="C821" s="63"/>
      <c r="D821" s="111">
        <f>('03_Pipe_Engine'!$J$15+'03_Pipe_Engine'!$O$15)/2</f>
        <v>3.3639999999999999</v>
      </c>
      <c r="E821" s="113"/>
      <c r="F821" s="63"/>
      <c r="G821" s="63"/>
      <c r="H821" s="115"/>
      <c r="I821" s="108" t="s">
        <v>2251</v>
      </c>
    </row>
    <row r="822" spans="1:9" x14ac:dyDescent="0.3">
      <c r="A822" s="114"/>
      <c r="B822" s="111"/>
      <c r="C822" s="63"/>
      <c r="D822" s="111">
        <f>'03_Pipe_Engine'!$V$15</f>
        <v>0.2</v>
      </c>
      <c r="E822" s="113">
        <f>N(B819)*N(D820)*N(D821)*N(D822)</f>
        <v>0</v>
      </c>
      <c r="F822" s="63"/>
      <c r="G822" s="63"/>
      <c r="H822" s="115"/>
      <c r="I822" s="108" t="s">
        <v>2260</v>
      </c>
    </row>
    <row r="823" spans="1:9" x14ac:dyDescent="0.3">
      <c r="A823" s="114"/>
      <c r="B823" s="111"/>
      <c r="C823" s="63"/>
      <c r="D823" s="111"/>
      <c r="E823" s="113"/>
      <c r="F823" s="63"/>
      <c r="G823" s="63"/>
      <c r="H823" s="115"/>
      <c r="I823" s="108"/>
    </row>
    <row r="824" spans="1:9" x14ac:dyDescent="0.3">
      <c r="A824" s="114"/>
      <c r="B824" s="111">
        <f>'03_Pipe_Engine'!$C$15*4</f>
        <v>0</v>
      </c>
      <c r="C824" s="63" t="s">
        <v>1628</v>
      </c>
      <c r="D824" s="111"/>
      <c r="E824" s="113"/>
      <c r="F824" s="63" t="s">
        <v>2306</v>
      </c>
      <c r="G824" s="63"/>
      <c r="H824" s="115"/>
      <c r="I824" s="108" t="s">
        <v>67</v>
      </c>
    </row>
    <row r="825" spans="1:9" x14ac:dyDescent="0.3">
      <c r="A825" s="114"/>
      <c r="B825" s="111"/>
      <c r="C825" s="63"/>
      <c r="D825" s="111">
        <f>'03_Pipe_Engine'!$T$15</f>
        <v>1.95</v>
      </c>
      <c r="E825" s="113"/>
      <c r="F825" s="63"/>
      <c r="G825" s="63"/>
      <c r="H825" s="115"/>
      <c r="I825" s="108" t="s">
        <v>2250</v>
      </c>
    </row>
    <row r="826" spans="1:9" x14ac:dyDescent="0.3">
      <c r="A826" s="114"/>
      <c r="B826" s="111"/>
      <c r="C826" s="63"/>
      <c r="D826" s="111">
        <f>0.5</f>
        <v>0.5</v>
      </c>
      <c r="E826" s="113"/>
      <c r="F826" s="63"/>
      <c r="G826" s="63"/>
      <c r="H826" s="115"/>
      <c r="I826" s="108" t="s">
        <v>2249</v>
      </c>
    </row>
    <row r="827" spans="1:9" x14ac:dyDescent="0.3">
      <c r="A827" s="114"/>
      <c r="B827" s="111"/>
      <c r="C827" s="63"/>
      <c r="D827" s="111">
        <f>'03_Pipe_Engine'!$V$15</f>
        <v>0.2</v>
      </c>
      <c r="E827" s="113">
        <f>N(B824)*N(D825)*N(D826)*N(D827)</f>
        <v>0</v>
      </c>
      <c r="F827" s="63"/>
      <c r="G827" s="63"/>
      <c r="H827" s="115"/>
      <c r="I827" s="108" t="s">
        <v>2260</v>
      </c>
    </row>
    <row r="828" spans="1:9" x14ac:dyDescent="0.3">
      <c r="A828" s="114"/>
      <c r="B828" s="111"/>
      <c r="C828" s="63"/>
      <c r="D828" s="111"/>
      <c r="E828" s="113"/>
      <c r="F828" s="63"/>
      <c r="G828" s="63"/>
      <c r="H828" s="115"/>
      <c r="I828" s="108"/>
    </row>
    <row r="829" spans="1:9" x14ac:dyDescent="0.3">
      <c r="A829" s="114"/>
      <c r="B829" s="111">
        <f>'03_Pipe_Engine'!$C$15*2</f>
        <v>0</v>
      </c>
      <c r="C829" s="63" t="s">
        <v>1628</v>
      </c>
      <c r="D829" s="111"/>
      <c r="E829" s="113"/>
      <c r="F829" s="63" t="s">
        <v>2307</v>
      </c>
      <c r="G829" s="63"/>
      <c r="H829" s="115"/>
      <c r="I829" s="108" t="s">
        <v>67</v>
      </c>
    </row>
    <row r="830" spans="1:9" x14ac:dyDescent="0.3">
      <c r="A830" s="114"/>
      <c r="B830" s="111"/>
      <c r="C830" s="63"/>
      <c r="D830" s="111">
        <f>'03_Pipe_Engine'!$O$15</f>
        <v>4.7779999999999996</v>
      </c>
      <c r="E830" s="113"/>
      <c r="F830" s="63"/>
      <c r="G830" s="63"/>
      <c r="H830" s="115"/>
      <c r="I830" s="108" t="s">
        <v>2249</v>
      </c>
    </row>
    <row r="831" spans="1:9" x14ac:dyDescent="0.3">
      <c r="A831" s="114"/>
      <c r="B831" s="111"/>
      <c r="C831" s="63"/>
      <c r="D831" s="111">
        <f>'03_Pipe_Engine'!$X$15</f>
        <v>0.45</v>
      </c>
      <c r="E831" s="113"/>
      <c r="F831" s="63"/>
      <c r="G831" s="63"/>
      <c r="H831" s="115"/>
      <c r="I831" s="108" t="s">
        <v>2303</v>
      </c>
    </row>
    <row r="832" spans="1:9" x14ac:dyDescent="0.3">
      <c r="A832" s="114"/>
      <c r="B832" s="111"/>
      <c r="C832" s="63"/>
      <c r="D832" s="111">
        <f>'03_Pipe_Engine'!$V$15</f>
        <v>0.2</v>
      </c>
      <c r="E832" s="113">
        <f>N(B829)*N(D830)*N(D831)*N(D832)</f>
        <v>0</v>
      </c>
      <c r="F832" s="63"/>
      <c r="G832" s="63"/>
      <c r="H832" s="115"/>
      <c r="I832" s="108" t="s">
        <v>2260</v>
      </c>
    </row>
    <row r="833" spans="1:9" x14ac:dyDescent="0.3">
      <c r="A833" s="114"/>
      <c r="B833" s="111"/>
      <c r="C833" s="63"/>
      <c r="D833" s="111"/>
      <c r="E833" s="113"/>
      <c r="F833" s="63"/>
      <c r="G833" s="63"/>
      <c r="H833" s="115"/>
      <c r="I833" s="108"/>
    </row>
    <row r="834" spans="1:9" x14ac:dyDescent="0.3">
      <c r="A834" s="114"/>
      <c r="B834" s="111"/>
      <c r="C834" s="63"/>
      <c r="D834" s="111"/>
      <c r="E834" s="113"/>
      <c r="F834" s="63"/>
      <c r="G834" s="63"/>
      <c r="H834" s="115"/>
      <c r="I834" s="108"/>
    </row>
    <row r="835" spans="1:9" x14ac:dyDescent="0.3">
      <c r="A835" s="119" t="s">
        <v>1327</v>
      </c>
      <c r="B835" s="122"/>
      <c r="C835" s="119"/>
      <c r="D835" s="122"/>
      <c r="E835" s="123"/>
      <c r="F835" s="119" t="s">
        <v>2314</v>
      </c>
      <c r="G835" s="119" t="s">
        <v>300</v>
      </c>
      <c r="H835" s="124">
        <f>E839+E844</f>
        <v>0</v>
      </c>
      <c r="I835" s="125" t="str">
        <f>IF(ABS(H835-'03_Pipe_Engine'!$AE$15)&lt;=MAX(0.01,0.005*ABS('03_Pipe_Engine'!$AE$15)),"OK","DIFF")</f>
        <v>OK</v>
      </c>
    </row>
    <row r="836" spans="1:9" x14ac:dyDescent="0.3">
      <c r="A836" s="135"/>
      <c r="B836" s="111">
        <f>'03_Pipe_Engine'!$C$15*2</f>
        <v>0</v>
      </c>
      <c r="C836" s="138" t="s">
        <v>1628</v>
      </c>
      <c r="D836" s="111"/>
      <c r="E836" s="113"/>
      <c r="F836" s="138" t="s">
        <v>2315</v>
      </c>
      <c r="G836" s="138"/>
      <c r="H836" s="136"/>
      <c r="I836" s="139" t="s">
        <v>67</v>
      </c>
    </row>
    <row r="837" spans="1:9" x14ac:dyDescent="0.3">
      <c r="A837" s="114"/>
      <c r="B837" s="111"/>
      <c r="C837" s="63"/>
      <c r="D837" s="111">
        <f>'03_Pipe_Engine'!$T$15</f>
        <v>1.95</v>
      </c>
      <c r="E837" s="113"/>
      <c r="F837" s="63"/>
      <c r="G837" s="63"/>
      <c r="H837" s="115"/>
      <c r="I837" s="108" t="s">
        <v>2250</v>
      </c>
    </row>
    <row r="838" spans="1:9" x14ac:dyDescent="0.3">
      <c r="A838" s="114"/>
      <c r="B838" s="111"/>
      <c r="C838" s="63"/>
      <c r="D838" s="111">
        <f>'03_Pipe_Engine'!$P$15</f>
        <v>0.6</v>
      </c>
      <c r="E838" s="113"/>
      <c r="F838" s="63"/>
      <c r="G838" s="63"/>
      <c r="H838" s="115"/>
      <c r="I838" s="108" t="s">
        <v>2316</v>
      </c>
    </row>
    <row r="839" spans="1:9" x14ac:dyDescent="0.3">
      <c r="A839" s="114"/>
      <c r="B839" s="111"/>
      <c r="C839" s="63"/>
      <c r="D839" s="111">
        <f>'03_Pipe_Engine'!$Q$15</f>
        <v>0.2</v>
      </c>
      <c r="E839" s="113">
        <f>N(B836)*N(D837)*N(D838)*N(D839)</f>
        <v>0</v>
      </c>
      <c r="F839" s="63"/>
      <c r="G839" s="63"/>
      <c r="H839" s="115"/>
      <c r="I839" s="108" t="s">
        <v>2260</v>
      </c>
    </row>
    <row r="840" spans="1:9" x14ac:dyDescent="0.3">
      <c r="A840" s="114"/>
      <c r="B840" s="111"/>
      <c r="C840" s="63"/>
      <c r="D840" s="111"/>
      <c r="E840" s="113"/>
      <c r="F840" s="63"/>
      <c r="G840" s="63"/>
      <c r="H840" s="115"/>
      <c r="I840" s="108"/>
    </row>
    <row r="841" spans="1:9" x14ac:dyDescent="0.3">
      <c r="A841" s="114"/>
      <c r="B841" s="111">
        <f>'03_Pipe_Engine'!$C$15*4</f>
        <v>0</v>
      </c>
      <c r="C841" s="63" t="s">
        <v>1628</v>
      </c>
      <c r="D841" s="111"/>
      <c r="E841" s="113"/>
      <c r="F841" s="63" t="s">
        <v>2317</v>
      </c>
      <c r="G841" s="63"/>
      <c r="H841" s="115"/>
      <c r="I841" s="108" t="s">
        <v>67</v>
      </c>
    </row>
    <row r="842" spans="1:9" x14ac:dyDescent="0.3">
      <c r="A842" s="114"/>
      <c r="B842" s="111"/>
      <c r="C842" s="63"/>
      <c r="D842" s="111">
        <f>'03_Pipe_Engine'!$T$15</f>
        <v>1.95</v>
      </c>
      <c r="E842" s="113"/>
      <c r="F842" s="63"/>
      <c r="G842" s="63"/>
      <c r="H842" s="115"/>
      <c r="I842" s="108" t="s">
        <v>2250</v>
      </c>
    </row>
    <row r="843" spans="1:9" x14ac:dyDescent="0.3">
      <c r="A843" s="114"/>
      <c r="B843" s="111"/>
      <c r="C843" s="63"/>
      <c r="D843" s="111">
        <f>'03_Pipe_Engine'!$S$15</f>
        <v>1.4750000000000001</v>
      </c>
      <c r="E843" s="113"/>
      <c r="F843" s="63"/>
      <c r="G843" s="63"/>
      <c r="H843" s="115"/>
      <c r="I843" s="108" t="s">
        <v>2253</v>
      </c>
    </row>
    <row r="844" spans="1:9" x14ac:dyDescent="0.3">
      <c r="A844" s="114"/>
      <c r="B844" s="111"/>
      <c r="C844" s="63"/>
      <c r="D844" s="111">
        <f>'03_Pipe_Engine'!$U$15</f>
        <v>0.2</v>
      </c>
      <c r="E844" s="113">
        <f>N(B841)*N(D842)*N(D843)*N(D844)</f>
        <v>0</v>
      </c>
      <c r="F844" s="63"/>
      <c r="G844" s="63"/>
      <c r="H844" s="115"/>
      <c r="I844" s="108" t="s">
        <v>2260</v>
      </c>
    </row>
    <row r="845" spans="1:9" x14ac:dyDescent="0.3">
      <c r="A845" s="114"/>
      <c r="B845" s="111"/>
      <c r="C845" s="63"/>
      <c r="D845" s="111"/>
      <c r="E845" s="113"/>
      <c r="F845" s="63"/>
      <c r="G845" s="63"/>
      <c r="H845" s="115"/>
      <c r="I845" s="108"/>
    </row>
    <row r="846" spans="1:9" x14ac:dyDescent="0.3">
      <c r="A846" s="114"/>
      <c r="B846" s="111"/>
      <c r="C846" s="63"/>
      <c r="D846" s="111"/>
      <c r="E846" s="113"/>
      <c r="F846" s="63"/>
      <c r="G846" s="63"/>
      <c r="H846" s="115"/>
      <c r="I846" s="108"/>
    </row>
    <row r="847" spans="1:9" x14ac:dyDescent="0.3">
      <c r="A847" s="119" t="s">
        <v>1328</v>
      </c>
      <c r="B847" s="122"/>
      <c r="C847" s="119"/>
      <c r="D847" s="122"/>
      <c r="E847" s="123"/>
      <c r="F847" s="119" t="s">
        <v>2318</v>
      </c>
      <c r="G847" s="119" t="s">
        <v>301</v>
      </c>
      <c r="H847" s="124">
        <f>E850+E854</f>
        <v>0</v>
      </c>
      <c r="I847" s="125" t="str">
        <f>IF(ABS(H847-'03_Pipe_Engine'!$AF$15)&lt;=MAX(0.01,0.005*ABS('03_Pipe_Engine'!$AF$15)),"OK","DIFF")</f>
        <v>OK</v>
      </c>
    </row>
    <row r="848" spans="1:9" x14ac:dyDescent="0.3">
      <c r="A848" s="135"/>
      <c r="B848" s="111">
        <f>'03_Pipe_Engine'!$C$15*2*2</f>
        <v>0</v>
      </c>
      <c r="C848" s="138" t="s">
        <v>1628</v>
      </c>
      <c r="D848" s="111"/>
      <c r="E848" s="113"/>
      <c r="F848" s="138" t="s">
        <v>2319</v>
      </c>
      <c r="G848" s="138"/>
      <c r="H848" s="136"/>
      <c r="I848" s="139" t="s">
        <v>67</v>
      </c>
    </row>
    <row r="849" spans="1:9" x14ac:dyDescent="0.3">
      <c r="A849" s="114"/>
      <c r="B849" s="111"/>
      <c r="C849" s="63"/>
      <c r="D849" s="111">
        <f>'03_Pipe_Engine'!$P$15</f>
        <v>0.6</v>
      </c>
      <c r="E849" s="113"/>
      <c r="F849" s="63"/>
      <c r="G849" s="63"/>
      <c r="H849" s="115"/>
      <c r="I849" s="108" t="s">
        <v>2316</v>
      </c>
    </row>
    <row r="850" spans="1:9" x14ac:dyDescent="0.3">
      <c r="A850" s="114"/>
      <c r="B850" s="111"/>
      <c r="C850" s="63"/>
      <c r="D850" s="111">
        <f>'03_Pipe_Engine'!$Q$15</f>
        <v>0.2</v>
      </c>
      <c r="E850" s="113">
        <f>N(B848)*N(D849)*N(D850)</f>
        <v>0</v>
      </c>
      <c r="F850" s="63"/>
      <c r="G850" s="63"/>
      <c r="H850" s="115"/>
      <c r="I850" s="108" t="s">
        <v>2260</v>
      </c>
    </row>
    <row r="851" spans="1:9" x14ac:dyDescent="0.3">
      <c r="A851" s="114"/>
      <c r="B851" s="111"/>
      <c r="C851" s="63"/>
      <c r="D851" s="111"/>
      <c r="E851" s="113"/>
      <c r="F851" s="63"/>
      <c r="G851" s="63"/>
      <c r="H851" s="115"/>
      <c r="I851" s="108"/>
    </row>
    <row r="852" spans="1:9" x14ac:dyDescent="0.3">
      <c r="A852" s="114"/>
      <c r="B852" s="111">
        <f>'03_Pipe_Engine'!$C$15*4</f>
        <v>0</v>
      </c>
      <c r="C852" s="63" t="s">
        <v>1628</v>
      </c>
      <c r="D852" s="111"/>
      <c r="E852" s="113"/>
      <c r="F852" s="63" t="s">
        <v>2320</v>
      </c>
      <c r="G852" s="63"/>
      <c r="H852" s="115"/>
      <c r="I852" s="108" t="s">
        <v>67</v>
      </c>
    </row>
    <row r="853" spans="1:9" x14ac:dyDescent="0.3">
      <c r="A853" s="114"/>
      <c r="B853" s="111"/>
      <c r="C853" s="63"/>
      <c r="D853" s="111">
        <f>'03_Pipe_Engine'!$R$15</f>
        <v>1</v>
      </c>
      <c r="E853" s="113"/>
      <c r="F853" s="63"/>
      <c r="G853" s="63"/>
      <c r="H853" s="115"/>
      <c r="I853" s="108" t="s">
        <v>2321</v>
      </c>
    </row>
    <row r="854" spans="1:9" x14ac:dyDescent="0.3">
      <c r="A854" s="114"/>
      <c r="B854" s="111"/>
      <c r="C854" s="63"/>
      <c r="D854" s="111">
        <f>'03_Pipe_Engine'!$U$15</f>
        <v>0.2</v>
      </c>
      <c r="E854" s="113">
        <f>N(B852)*N(D853)*N(D854)</f>
        <v>0</v>
      </c>
      <c r="F854" s="63"/>
      <c r="G854" s="63"/>
      <c r="H854" s="115"/>
      <c r="I854" s="108" t="s">
        <v>2260</v>
      </c>
    </row>
    <row r="855" spans="1:9" x14ac:dyDescent="0.3">
      <c r="A855" s="114"/>
      <c r="B855" s="111"/>
      <c r="C855" s="63"/>
      <c r="D855" s="111"/>
      <c r="E855" s="113"/>
      <c r="F855" s="63"/>
      <c r="G855" s="63"/>
      <c r="H855" s="115"/>
      <c r="I855" s="108"/>
    </row>
    <row r="856" spans="1:9" x14ac:dyDescent="0.3">
      <c r="A856" s="114"/>
      <c r="B856" s="111"/>
      <c r="C856" s="63"/>
      <c r="D856" s="111"/>
      <c r="E856" s="113"/>
      <c r="F856" s="63"/>
      <c r="G856" s="63"/>
      <c r="H856" s="115"/>
      <c r="I856" s="108"/>
    </row>
    <row r="857" spans="1:9" x14ac:dyDescent="0.3">
      <c r="A857" s="119" t="s">
        <v>1329</v>
      </c>
      <c r="B857" s="122"/>
      <c r="C857" s="119"/>
      <c r="D857" s="122"/>
      <c r="E857" s="123"/>
      <c r="F857" s="119" t="s">
        <v>2322</v>
      </c>
      <c r="G857" s="119" t="s">
        <v>301</v>
      </c>
      <c r="H857" s="124">
        <f>E860+E864</f>
        <v>0</v>
      </c>
      <c r="I857" s="125" t="str">
        <f>IF(ABS(H857-'03_Pipe_Engine'!$AG$15)&lt;=MAX(0.01,0.005*ABS('03_Pipe_Engine'!$AG$15)),"OK","DIFF")</f>
        <v>OK</v>
      </c>
    </row>
    <row r="858" spans="1:9" x14ac:dyDescent="0.3">
      <c r="A858" s="135"/>
      <c r="B858" s="111">
        <f>'03_Pipe_Engine'!$C$15*2*2</f>
        <v>0</v>
      </c>
      <c r="C858" s="138" t="s">
        <v>1628</v>
      </c>
      <c r="D858" s="111"/>
      <c r="E858" s="113"/>
      <c r="F858" s="138" t="s">
        <v>2323</v>
      </c>
      <c r="G858" s="138"/>
      <c r="H858" s="136"/>
      <c r="I858" s="139" t="s">
        <v>2324</v>
      </c>
    </row>
    <row r="859" spans="1:9" x14ac:dyDescent="0.3">
      <c r="A859" s="114"/>
      <c r="B859" s="111"/>
      <c r="C859" s="63"/>
      <c r="D859" s="111">
        <f>'03_Pipe_Engine'!$T$15</f>
        <v>1.95</v>
      </c>
      <c r="E859" s="113"/>
      <c r="F859" s="63"/>
      <c r="G859" s="63"/>
      <c r="H859" s="115"/>
      <c r="I859" s="108" t="s">
        <v>2250</v>
      </c>
    </row>
    <row r="860" spans="1:9" x14ac:dyDescent="0.3">
      <c r="A860" s="114"/>
      <c r="B860" s="111"/>
      <c r="C860" s="63"/>
      <c r="D860" s="111">
        <f>'03_Pipe_Engine'!$P$15</f>
        <v>0.6</v>
      </c>
      <c r="E860" s="113">
        <f>N(B858)*N(D859)*N(D860)</f>
        <v>0</v>
      </c>
      <c r="F860" s="63"/>
      <c r="G860" s="63"/>
      <c r="H860" s="115"/>
      <c r="I860" s="108" t="s">
        <v>2316</v>
      </c>
    </row>
    <row r="861" spans="1:9" x14ac:dyDescent="0.3">
      <c r="A861" s="114"/>
      <c r="B861" s="111"/>
      <c r="C861" s="63"/>
      <c r="D861" s="111"/>
      <c r="E861" s="113"/>
      <c r="F861" s="63"/>
      <c r="G861" s="63"/>
      <c r="H861" s="115"/>
      <c r="I861" s="108"/>
    </row>
    <row r="862" spans="1:9" x14ac:dyDescent="0.3">
      <c r="A862" s="114"/>
      <c r="B862" s="111">
        <f>'03_Pipe_Engine'!$C$15*4*2</f>
        <v>0</v>
      </c>
      <c r="C862" s="63" t="s">
        <v>1628</v>
      </c>
      <c r="D862" s="111"/>
      <c r="E862" s="113"/>
      <c r="F862" s="63" t="s">
        <v>2325</v>
      </c>
      <c r="G862" s="63"/>
      <c r="H862" s="115"/>
      <c r="I862" s="108" t="s">
        <v>2324</v>
      </c>
    </row>
    <row r="863" spans="1:9" x14ac:dyDescent="0.3">
      <c r="A863" s="114"/>
      <c r="B863" s="111"/>
      <c r="C863" s="63"/>
      <c r="D863" s="111">
        <f>'03_Pipe_Engine'!$T$15</f>
        <v>1.95</v>
      </c>
      <c r="E863" s="113"/>
      <c r="F863" s="63"/>
      <c r="G863" s="63"/>
      <c r="H863" s="115"/>
      <c r="I863" s="108" t="s">
        <v>2250</v>
      </c>
    </row>
    <row r="864" spans="1:9" x14ac:dyDescent="0.3">
      <c r="A864" s="114"/>
      <c r="B864" s="111"/>
      <c r="C864" s="63"/>
      <c r="D864" s="111">
        <f>'03_Pipe_Engine'!$S$15</f>
        <v>1.4750000000000001</v>
      </c>
      <c r="E864" s="113">
        <f>N(B862)*N(D863)*N(D864)</f>
        <v>0</v>
      </c>
      <c r="F864" s="63"/>
      <c r="G864" s="63"/>
      <c r="H864" s="115"/>
      <c r="I864" s="108" t="s">
        <v>2253</v>
      </c>
    </row>
    <row r="865" spans="1:9" x14ac:dyDescent="0.3">
      <c r="A865" s="114"/>
      <c r="B865" s="111"/>
      <c r="C865" s="63"/>
      <c r="D865" s="111"/>
      <c r="E865" s="113"/>
      <c r="F865" s="63"/>
      <c r="G865" s="63"/>
      <c r="H865" s="115"/>
      <c r="I865" s="108"/>
    </row>
    <row r="866" spans="1:9" x14ac:dyDescent="0.3">
      <c r="A866" s="114"/>
      <c r="B866" s="111"/>
      <c r="C866" s="63"/>
      <c r="D866" s="111"/>
      <c r="E866" s="113"/>
      <c r="F866" s="63"/>
      <c r="G866" s="63"/>
      <c r="H866" s="115"/>
      <c r="I866" s="108"/>
    </row>
    <row r="867" spans="1:9" x14ac:dyDescent="0.3">
      <c r="A867" s="119" t="s">
        <v>1333</v>
      </c>
      <c r="B867" s="122"/>
      <c r="C867" s="119"/>
      <c r="D867" s="122"/>
      <c r="E867" s="123"/>
      <c r="F867" s="119" t="s">
        <v>2333</v>
      </c>
      <c r="G867" s="119" t="s">
        <v>63</v>
      </c>
      <c r="H867" s="124">
        <f>E869</f>
        <v>0</v>
      </c>
      <c r="I867" s="125" t="str">
        <f>IF(ABS(H867-'03_Pipe_Engine'!$AK$15)&lt;=MAX(0.01,0.005*ABS('03_Pipe_Engine'!$AK$15)),"OK","DIFF")</f>
        <v>OK</v>
      </c>
    </row>
    <row r="868" spans="1:9" x14ac:dyDescent="0.3">
      <c r="A868" s="135"/>
      <c r="B868" s="111">
        <f>'03_Pipe_Engine'!$F$15</f>
        <v>1</v>
      </c>
      <c r="C868" s="138" t="s">
        <v>1628</v>
      </c>
      <c r="D868" s="111"/>
      <c r="E868" s="113"/>
      <c r="F868" s="138" t="s">
        <v>2327</v>
      </c>
      <c r="G868" s="138"/>
      <c r="H868" s="136"/>
      <c r="I868" s="139" t="s">
        <v>2328</v>
      </c>
    </row>
    <row r="869" spans="1:9" x14ac:dyDescent="0.3">
      <c r="A869" s="114"/>
      <c r="B869" s="111"/>
      <c r="C869" s="63"/>
      <c r="D869" s="111">
        <f>'03_Pipe_Engine'!$D$15</f>
        <v>0</v>
      </c>
      <c r="E869" s="113">
        <f>N(B868)*N(D869)</f>
        <v>0</v>
      </c>
      <c r="F869" s="63"/>
      <c r="G869" s="63"/>
      <c r="H869" s="115"/>
      <c r="I869" s="108" t="s">
        <v>2301</v>
      </c>
    </row>
    <row r="870" spans="1:9" x14ac:dyDescent="0.3">
      <c r="A870" s="114"/>
      <c r="B870" s="111"/>
      <c r="C870" s="63"/>
      <c r="D870" s="111"/>
      <c r="E870" s="113"/>
      <c r="F870" s="63"/>
      <c r="G870" s="63"/>
      <c r="H870" s="115"/>
      <c r="I870" s="108"/>
    </row>
    <row r="871" spans="1:9" x14ac:dyDescent="0.3">
      <c r="A871" s="114"/>
      <c r="B871" s="111"/>
      <c r="C871" s="63"/>
      <c r="D871" s="111"/>
      <c r="E871" s="113"/>
      <c r="F871" s="63"/>
      <c r="G871" s="63"/>
      <c r="H871" s="115"/>
      <c r="I871" s="108"/>
    </row>
    <row r="872" spans="1:9" x14ac:dyDescent="0.3">
      <c r="A872" s="119" t="s">
        <v>1344</v>
      </c>
      <c r="B872" s="122"/>
      <c r="C872" s="119"/>
      <c r="D872" s="122"/>
      <c r="E872" s="123"/>
      <c r="F872" s="119" t="s">
        <v>2329</v>
      </c>
      <c r="G872" s="119" t="s">
        <v>63</v>
      </c>
      <c r="H872" s="124">
        <f>E873</f>
        <v>0</v>
      </c>
      <c r="I872" s="125" t="str">
        <f>IF(ABS(H872-'03_Pipe_Engine'!$AV$15)&lt;=MAX(0.01,0.005*ABS('03_Pipe_Engine'!$AV$15)),"OK","DIFF")</f>
        <v>OK</v>
      </c>
    </row>
    <row r="873" spans="1:9" x14ac:dyDescent="0.3">
      <c r="A873" s="135"/>
      <c r="B873" s="111">
        <f>'03_Pipe_Engine'!$D$15</f>
        <v>0</v>
      </c>
      <c r="C873" s="138" t="s">
        <v>1628</v>
      </c>
      <c r="D873" s="111"/>
      <c r="E873" s="113">
        <f>N(B873)</f>
        <v>0</v>
      </c>
      <c r="F873" s="138" t="s">
        <v>2330</v>
      </c>
      <c r="G873" s="138"/>
      <c r="H873" s="136"/>
      <c r="I873" s="139" t="s">
        <v>2301</v>
      </c>
    </row>
    <row r="874" spans="1:9" x14ac:dyDescent="0.3">
      <c r="A874" s="114"/>
      <c r="B874" s="111"/>
      <c r="C874" s="63"/>
      <c r="D874" s="111"/>
      <c r="E874" s="113"/>
      <c r="F874" s="63"/>
      <c r="G874" s="63"/>
      <c r="H874" s="115"/>
      <c r="I874" s="108"/>
    </row>
    <row r="875" spans="1:9" x14ac:dyDescent="0.3">
      <c r="A875" s="114"/>
      <c r="B875" s="111"/>
      <c r="C875" s="63"/>
      <c r="D875" s="111"/>
      <c r="E875" s="113"/>
      <c r="F875" s="63"/>
      <c r="G875" s="63"/>
      <c r="H875" s="115"/>
      <c r="I875" s="108"/>
    </row>
    <row r="876" spans="1:9" x14ac:dyDescent="0.3">
      <c r="A876" s="114"/>
      <c r="B876" s="111"/>
      <c r="C876" s="63"/>
      <c r="D876" s="111"/>
      <c r="E876" s="113"/>
      <c r="F876" s="63"/>
      <c r="G876" s="63"/>
      <c r="H876" s="115"/>
      <c r="I876" s="108"/>
    </row>
    <row r="877" spans="1:9" x14ac:dyDescent="0.3">
      <c r="A877" s="131" t="s">
        <v>1425</v>
      </c>
      <c r="B877" s="158"/>
      <c r="C877" s="131"/>
      <c r="D877" s="158"/>
      <c r="E877" s="132"/>
      <c r="F877" s="131" t="str">
        <f>IF('03_Pipe_Engine'!$C$16=0,"none in this project",'03_Pipe_Engine'!$C$16&amp;" nr,  total length "&amp;'03_Pipe_Engine'!$D$16&amp;" m")</f>
        <v>none in this project</v>
      </c>
      <c r="G877" s="131"/>
      <c r="H877" s="133"/>
      <c r="I877" s="134"/>
    </row>
    <row r="878" spans="1:9" x14ac:dyDescent="0.3">
      <c r="A878" s="119" t="s">
        <v>1322</v>
      </c>
      <c r="B878" s="122"/>
      <c r="C878" s="119"/>
      <c r="D878" s="122"/>
      <c r="E878" s="123"/>
      <c r="F878" s="119" t="s">
        <v>1373</v>
      </c>
      <c r="G878" s="119" t="s">
        <v>300</v>
      </c>
      <c r="H878" s="124">
        <f>E881+E886+E891+E896</f>
        <v>0</v>
      </c>
      <c r="I878" s="125" t="str">
        <f>IF(ABS(H878-'03_Pipe_Engine'!$Y$16)&lt;=MAX(0.01,0.005*ABS('03_Pipe_Engine'!$Y$16)),"OK","DIFF")</f>
        <v>OK</v>
      </c>
    </row>
    <row r="879" spans="1:9" x14ac:dyDescent="0.3">
      <c r="A879" s="135"/>
      <c r="B879" s="111">
        <f>'03_Pipe_Engine'!$D$16</f>
        <v>0</v>
      </c>
      <c r="C879" s="138" t="s">
        <v>1628</v>
      </c>
      <c r="D879" s="111"/>
      <c r="E879" s="113"/>
      <c r="F879" s="138" t="s">
        <v>2300</v>
      </c>
      <c r="G879" s="138"/>
      <c r="H879" s="136"/>
      <c r="I879" s="139" t="s">
        <v>2301</v>
      </c>
    </row>
    <row r="880" spans="1:9" x14ac:dyDescent="0.3">
      <c r="A880" s="114"/>
      <c r="B880" s="111"/>
      <c r="C880" s="63"/>
      <c r="D880" s="111">
        <f>'03_Pipe_Engine'!$J$16</f>
        <v>3.6749999999999998</v>
      </c>
      <c r="E880" s="113"/>
      <c r="F880" s="63"/>
      <c r="G880" s="63"/>
      <c r="H880" s="115"/>
      <c r="I880" s="108" t="s">
        <v>2302</v>
      </c>
    </row>
    <row r="881" spans="1:9" x14ac:dyDescent="0.3">
      <c r="A881" s="114"/>
      <c r="B881" s="111"/>
      <c r="C881" s="63"/>
      <c r="D881" s="111">
        <f>'03_Pipe_Engine'!$L$16</f>
        <v>0.4</v>
      </c>
      <c r="E881" s="113">
        <f>N(B879)*N(D880)*N(D881)</f>
        <v>0</v>
      </c>
      <c r="F881" s="63"/>
      <c r="G881" s="63"/>
      <c r="H881" s="115"/>
      <c r="I881" s="108" t="s">
        <v>2303</v>
      </c>
    </row>
    <row r="882" spans="1:9" x14ac:dyDescent="0.3">
      <c r="A882" s="114"/>
      <c r="B882" s="111"/>
      <c r="C882" s="63"/>
      <c r="D882" s="111"/>
      <c r="E882" s="113"/>
      <c r="F882" s="63"/>
      <c r="G882" s="63"/>
      <c r="H882" s="115"/>
      <c r="I882" s="108"/>
    </row>
    <row r="883" spans="1:9" x14ac:dyDescent="0.3">
      <c r="A883" s="114"/>
      <c r="B883" s="111">
        <f>'03_Pipe_Engine'!$C$16*2</f>
        <v>0</v>
      </c>
      <c r="C883" s="63" t="s">
        <v>1628</v>
      </c>
      <c r="D883" s="111"/>
      <c r="E883" s="113"/>
      <c r="F883" s="63" t="s">
        <v>2304</v>
      </c>
      <c r="G883" s="63"/>
      <c r="H883" s="115"/>
      <c r="I883" s="108" t="s">
        <v>67</v>
      </c>
    </row>
    <row r="884" spans="1:9" x14ac:dyDescent="0.3">
      <c r="A884" s="114"/>
      <c r="B884" s="111"/>
      <c r="C884" s="63"/>
      <c r="D884" s="111">
        <f>'03_Pipe_Engine'!$N$16</f>
        <v>1.4139999999999999</v>
      </c>
      <c r="E884" s="113"/>
      <c r="F884" s="63"/>
      <c r="G884" s="63"/>
      <c r="H884" s="115"/>
      <c r="I884" s="108" t="s">
        <v>2305</v>
      </c>
    </row>
    <row r="885" spans="1:9" x14ac:dyDescent="0.3">
      <c r="A885" s="114"/>
      <c r="B885" s="111"/>
      <c r="C885" s="63"/>
      <c r="D885" s="111">
        <f>('03_Pipe_Engine'!$J$16+'03_Pipe_Engine'!$O$16)/2</f>
        <v>5.0890000000000004</v>
      </c>
      <c r="E885" s="113"/>
      <c r="F885" s="63"/>
      <c r="G885" s="63"/>
      <c r="H885" s="115"/>
      <c r="I885" s="108" t="s">
        <v>2251</v>
      </c>
    </row>
    <row r="886" spans="1:9" x14ac:dyDescent="0.3">
      <c r="A886" s="114"/>
      <c r="B886" s="111"/>
      <c r="C886" s="63"/>
      <c r="D886" s="111">
        <f>'03_Pipe_Engine'!$L$16</f>
        <v>0.4</v>
      </c>
      <c r="E886" s="113">
        <f>N(B883)*N(D884)*N(D885)*N(D886)</f>
        <v>0</v>
      </c>
      <c r="F886" s="63"/>
      <c r="G886" s="63"/>
      <c r="H886" s="115"/>
      <c r="I886" s="108" t="s">
        <v>2303</v>
      </c>
    </row>
    <row r="887" spans="1:9" x14ac:dyDescent="0.3">
      <c r="A887" s="114"/>
      <c r="B887" s="111"/>
      <c r="C887" s="63"/>
      <c r="D887" s="111"/>
      <c r="E887" s="113"/>
      <c r="F887" s="63"/>
      <c r="G887" s="63"/>
      <c r="H887" s="115"/>
      <c r="I887" s="108"/>
    </row>
    <row r="888" spans="1:9" x14ac:dyDescent="0.3">
      <c r="A888" s="114"/>
      <c r="B888" s="111">
        <f>'03_Pipe_Engine'!$C$16*4</f>
        <v>0</v>
      </c>
      <c r="C888" s="63" t="s">
        <v>1628</v>
      </c>
      <c r="D888" s="111"/>
      <c r="E888" s="113"/>
      <c r="F888" s="63" t="s">
        <v>2306</v>
      </c>
      <c r="G888" s="63"/>
      <c r="H888" s="115"/>
      <c r="I888" s="108" t="s">
        <v>67</v>
      </c>
    </row>
    <row r="889" spans="1:9" x14ac:dyDescent="0.3">
      <c r="A889" s="114"/>
      <c r="B889" s="111"/>
      <c r="C889" s="63"/>
      <c r="D889" s="111">
        <f>'03_Pipe_Engine'!$T$16</f>
        <v>3.6749999999999998</v>
      </c>
      <c r="E889" s="113"/>
      <c r="F889" s="63"/>
      <c r="G889" s="63"/>
      <c r="H889" s="115"/>
      <c r="I889" s="108" t="s">
        <v>2250</v>
      </c>
    </row>
    <row r="890" spans="1:9" x14ac:dyDescent="0.3">
      <c r="A890" s="114"/>
      <c r="B890" s="111"/>
      <c r="C890" s="63"/>
      <c r="D890" s="111">
        <f>0.5</f>
        <v>0.5</v>
      </c>
      <c r="E890" s="113"/>
      <c r="F890" s="63"/>
      <c r="G890" s="63"/>
      <c r="H890" s="115"/>
      <c r="I890" s="108" t="s">
        <v>2249</v>
      </c>
    </row>
    <row r="891" spans="1:9" x14ac:dyDescent="0.3">
      <c r="A891" s="114"/>
      <c r="B891" s="111"/>
      <c r="C891" s="63"/>
      <c r="D891" s="111">
        <f>'03_Pipe_Engine'!$L$16</f>
        <v>0.4</v>
      </c>
      <c r="E891" s="113">
        <f>N(B888)*N(D889)*N(D890)*N(D891)</f>
        <v>0</v>
      </c>
      <c r="F891" s="63"/>
      <c r="G891" s="63"/>
      <c r="H891" s="115"/>
      <c r="I891" s="108" t="s">
        <v>2303</v>
      </c>
    </row>
    <row r="892" spans="1:9" x14ac:dyDescent="0.3">
      <c r="A892" s="114"/>
      <c r="B892" s="111"/>
      <c r="C892" s="63"/>
      <c r="D892" s="111"/>
      <c r="E892" s="113"/>
      <c r="F892" s="63"/>
      <c r="G892" s="63"/>
      <c r="H892" s="115"/>
      <c r="I892" s="108"/>
    </row>
    <row r="893" spans="1:9" x14ac:dyDescent="0.3">
      <c r="A893" s="114"/>
      <c r="B893" s="111">
        <f>'03_Pipe_Engine'!$C$16*2</f>
        <v>0</v>
      </c>
      <c r="C893" s="63" t="s">
        <v>1628</v>
      </c>
      <c r="D893" s="111"/>
      <c r="E893" s="113"/>
      <c r="F893" s="63" t="s">
        <v>2307</v>
      </c>
      <c r="G893" s="63"/>
      <c r="H893" s="115"/>
      <c r="I893" s="108" t="s">
        <v>67</v>
      </c>
    </row>
    <row r="894" spans="1:9" x14ac:dyDescent="0.3">
      <c r="A894" s="114"/>
      <c r="B894" s="111"/>
      <c r="C894" s="63"/>
      <c r="D894" s="111">
        <f>'03_Pipe_Engine'!$O$16</f>
        <v>6.5030000000000001</v>
      </c>
      <c r="E894" s="113"/>
      <c r="F894" s="63"/>
      <c r="G894" s="63"/>
      <c r="H894" s="115"/>
      <c r="I894" s="108" t="s">
        <v>2308</v>
      </c>
    </row>
    <row r="895" spans="1:9" x14ac:dyDescent="0.3">
      <c r="A895" s="114"/>
      <c r="B895" s="111"/>
      <c r="C895" s="63"/>
      <c r="D895" s="111">
        <f>'03_Pipe_Engine'!$X$16</f>
        <v>0.45</v>
      </c>
      <c r="E895" s="113"/>
      <c r="F895" s="63"/>
      <c r="G895" s="63"/>
      <c r="H895" s="115"/>
      <c r="I895" s="108" t="s">
        <v>2309</v>
      </c>
    </row>
    <row r="896" spans="1:9" x14ac:dyDescent="0.3">
      <c r="A896" s="114"/>
      <c r="B896" s="111"/>
      <c r="C896" s="63"/>
      <c r="D896" s="111">
        <f>'03_Pipe_Engine'!$L$16</f>
        <v>0.4</v>
      </c>
      <c r="E896" s="113">
        <f>N(B893)*N(D894)*N(D895)*N(D896)</f>
        <v>0</v>
      </c>
      <c r="F896" s="63"/>
      <c r="G896" s="63"/>
      <c r="H896" s="115"/>
      <c r="I896" s="108" t="s">
        <v>2303</v>
      </c>
    </row>
    <row r="897" spans="1:9" x14ac:dyDescent="0.3">
      <c r="A897" s="114"/>
      <c r="B897" s="111"/>
      <c r="C897" s="63"/>
      <c r="D897" s="111"/>
      <c r="E897" s="113"/>
      <c r="F897" s="63"/>
      <c r="G897" s="63"/>
      <c r="H897" s="115"/>
      <c r="I897" s="108"/>
    </row>
    <row r="898" spans="1:9" x14ac:dyDescent="0.3">
      <c r="A898" s="114"/>
      <c r="B898" s="111"/>
      <c r="C898" s="63"/>
      <c r="D898" s="111"/>
      <c r="E898" s="113"/>
      <c r="F898" s="63"/>
      <c r="G898" s="63"/>
      <c r="H898" s="115"/>
      <c r="I898" s="108"/>
    </row>
    <row r="899" spans="1:9" x14ac:dyDescent="0.3">
      <c r="A899" s="119" t="s">
        <v>1323</v>
      </c>
      <c r="B899" s="122"/>
      <c r="C899" s="119"/>
      <c r="D899" s="122"/>
      <c r="E899" s="123"/>
      <c r="F899" s="119" t="s">
        <v>2310</v>
      </c>
      <c r="G899" s="119" t="s">
        <v>300</v>
      </c>
      <c r="H899" s="124">
        <f>E902</f>
        <v>0</v>
      </c>
      <c r="I899" s="125" t="str">
        <f>IF(ABS(H899-'03_Pipe_Engine'!$Z$16)&lt;=MAX(0.01,0.005*ABS('03_Pipe_Engine'!$Z$16)),"OK","DIFF")</f>
        <v>OK</v>
      </c>
    </row>
    <row r="900" spans="1:9" x14ac:dyDescent="0.3">
      <c r="A900" s="135"/>
      <c r="B900" s="111">
        <f>'03_Pipe_Engine'!$D$16</f>
        <v>0</v>
      </c>
      <c r="C900" s="138" t="s">
        <v>1628</v>
      </c>
      <c r="D900" s="111"/>
      <c r="E900" s="113"/>
      <c r="F900" s="138" t="s">
        <v>2311</v>
      </c>
      <c r="G900" s="138"/>
      <c r="H900" s="136"/>
      <c r="I900" s="139" t="s">
        <v>2301</v>
      </c>
    </row>
    <row r="901" spans="1:9" x14ac:dyDescent="0.3">
      <c r="A901" s="114"/>
      <c r="B901" s="111"/>
      <c r="C901" s="63"/>
      <c r="D901" s="111">
        <f>'03_Pipe_Engine'!$J$16</f>
        <v>3.6749999999999998</v>
      </c>
      <c r="E901" s="113"/>
      <c r="F901" s="63"/>
      <c r="G901" s="63"/>
      <c r="H901" s="115"/>
      <c r="I901" s="108" t="s">
        <v>2249</v>
      </c>
    </row>
    <row r="902" spans="1:9" x14ac:dyDescent="0.3">
      <c r="A902" s="114"/>
      <c r="B902" s="111"/>
      <c r="C902" s="63"/>
      <c r="D902" s="111">
        <f>'03_Pipe_Engine'!$M$16</f>
        <v>0.05</v>
      </c>
      <c r="E902" s="113">
        <f>N(B900)*N(D901)*N(D902)</f>
        <v>0</v>
      </c>
      <c r="F902" s="63"/>
      <c r="G902" s="63"/>
      <c r="H902" s="115"/>
      <c r="I902" s="108" t="s">
        <v>2260</v>
      </c>
    </row>
    <row r="903" spans="1:9" x14ac:dyDescent="0.3">
      <c r="A903" s="114"/>
      <c r="B903" s="111"/>
      <c r="C903" s="63"/>
      <c r="D903" s="111"/>
      <c r="E903" s="113"/>
      <c r="F903" s="63"/>
      <c r="G903" s="63"/>
      <c r="H903" s="115"/>
      <c r="I903" s="108"/>
    </row>
    <row r="904" spans="1:9" x14ac:dyDescent="0.3">
      <c r="A904" s="114"/>
      <c r="B904" s="111"/>
      <c r="C904" s="63"/>
      <c r="D904" s="111"/>
      <c r="E904" s="113"/>
      <c r="F904" s="63"/>
      <c r="G904" s="63"/>
      <c r="H904" s="115"/>
      <c r="I904" s="108"/>
    </row>
    <row r="905" spans="1:9" x14ac:dyDescent="0.3">
      <c r="A905" s="119" t="s">
        <v>1326</v>
      </c>
      <c r="B905" s="122"/>
      <c r="C905" s="119"/>
      <c r="D905" s="122"/>
      <c r="E905" s="123"/>
      <c r="F905" s="119" t="s">
        <v>2312</v>
      </c>
      <c r="G905" s="119" t="s">
        <v>300</v>
      </c>
      <c r="H905" s="124">
        <f>E909+E914+E919</f>
        <v>0</v>
      </c>
      <c r="I905" s="125" t="str">
        <f>IF(ABS(H905-'03_Pipe_Engine'!$AD$16)&lt;=MAX(0.01,0.005*ABS('03_Pipe_Engine'!$AD$16)),"OK","DIFF")</f>
        <v>OK</v>
      </c>
    </row>
    <row r="906" spans="1:9" x14ac:dyDescent="0.3">
      <c r="A906" s="135"/>
      <c r="B906" s="111">
        <f>'03_Pipe_Engine'!$C$16*2</f>
        <v>0</v>
      </c>
      <c r="C906" s="138" t="s">
        <v>1628</v>
      </c>
      <c r="D906" s="111"/>
      <c r="E906" s="113"/>
      <c r="F906" s="138" t="s">
        <v>2313</v>
      </c>
      <c r="G906" s="138"/>
      <c r="H906" s="136"/>
      <c r="I906" s="139" t="s">
        <v>67</v>
      </c>
    </row>
    <row r="907" spans="1:9" x14ac:dyDescent="0.3">
      <c r="A907" s="114"/>
      <c r="B907" s="111"/>
      <c r="C907" s="63"/>
      <c r="D907" s="111">
        <f>'03_Pipe_Engine'!$N$16</f>
        <v>1.4139999999999999</v>
      </c>
      <c r="E907" s="113"/>
      <c r="F907" s="63"/>
      <c r="G907" s="63"/>
      <c r="H907" s="115"/>
      <c r="I907" s="108" t="s">
        <v>2250</v>
      </c>
    </row>
    <row r="908" spans="1:9" x14ac:dyDescent="0.3">
      <c r="A908" s="114"/>
      <c r="B908" s="111"/>
      <c r="C908" s="63"/>
      <c r="D908" s="111">
        <f>('03_Pipe_Engine'!$J$16+'03_Pipe_Engine'!$O$16)/2</f>
        <v>5.0890000000000004</v>
      </c>
      <c r="E908" s="113"/>
      <c r="F908" s="63"/>
      <c r="G908" s="63"/>
      <c r="H908" s="115"/>
      <c r="I908" s="108" t="s">
        <v>2251</v>
      </c>
    </row>
    <row r="909" spans="1:9" x14ac:dyDescent="0.3">
      <c r="A909" s="114"/>
      <c r="B909" s="111"/>
      <c r="C909" s="63"/>
      <c r="D909" s="111">
        <f>'03_Pipe_Engine'!$V$16</f>
        <v>0.2</v>
      </c>
      <c r="E909" s="113">
        <f>N(B906)*N(D907)*N(D908)*N(D909)</f>
        <v>0</v>
      </c>
      <c r="F909" s="63"/>
      <c r="G909" s="63"/>
      <c r="H909" s="115"/>
      <c r="I909" s="108" t="s">
        <v>2260</v>
      </c>
    </row>
    <row r="910" spans="1:9" x14ac:dyDescent="0.3">
      <c r="A910" s="114"/>
      <c r="B910" s="111"/>
      <c r="C910" s="63"/>
      <c r="D910" s="111"/>
      <c r="E910" s="113"/>
      <c r="F910" s="63"/>
      <c r="G910" s="63"/>
      <c r="H910" s="115"/>
      <c r="I910" s="108"/>
    </row>
    <row r="911" spans="1:9" x14ac:dyDescent="0.3">
      <c r="A911" s="114"/>
      <c r="B911" s="111">
        <f>'03_Pipe_Engine'!$C$16*4</f>
        <v>0</v>
      </c>
      <c r="C911" s="63" t="s">
        <v>1628</v>
      </c>
      <c r="D911" s="111"/>
      <c r="E911" s="113"/>
      <c r="F911" s="63" t="s">
        <v>2306</v>
      </c>
      <c r="G911" s="63"/>
      <c r="H911" s="115"/>
      <c r="I911" s="108" t="s">
        <v>67</v>
      </c>
    </row>
    <row r="912" spans="1:9" x14ac:dyDescent="0.3">
      <c r="A912" s="114"/>
      <c r="B912" s="111"/>
      <c r="C912" s="63"/>
      <c r="D912" s="111">
        <f>'03_Pipe_Engine'!$T$16</f>
        <v>3.6749999999999998</v>
      </c>
      <c r="E912" s="113"/>
      <c r="F912" s="63"/>
      <c r="G912" s="63"/>
      <c r="H912" s="115"/>
      <c r="I912" s="108" t="s">
        <v>2250</v>
      </c>
    </row>
    <row r="913" spans="1:9" x14ac:dyDescent="0.3">
      <c r="A913" s="114"/>
      <c r="B913" s="111"/>
      <c r="C913" s="63"/>
      <c r="D913" s="111">
        <f>0.5</f>
        <v>0.5</v>
      </c>
      <c r="E913" s="113"/>
      <c r="F913" s="63"/>
      <c r="G913" s="63"/>
      <c r="H913" s="115"/>
      <c r="I913" s="108" t="s">
        <v>2249</v>
      </c>
    </row>
    <row r="914" spans="1:9" x14ac:dyDescent="0.3">
      <c r="A914" s="114"/>
      <c r="B914" s="111"/>
      <c r="C914" s="63"/>
      <c r="D914" s="111">
        <f>'03_Pipe_Engine'!$V$16</f>
        <v>0.2</v>
      </c>
      <c r="E914" s="113">
        <f>N(B911)*N(D912)*N(D913)*N(D914)</f>
        <v>0</v>
      </c>
      <c r="F914" s="63"/>
      <c r="G914" s="63"/>
      <c r="H914" s="115"/>
      <c r="I914" s="108" t="s">
        <v>2260</v>
      </c>
    </row>
    <row r="915" spans="1:9" x14ac:dyDescent="0.3">
      <c r="A915" s="114"/>
      <c r="B915" s="111"/>
      <c r="C915" s="63"/>
      <c r="D915" s="111"/>
      <c r="E915" s="113"/>
      <c r="F915" s="63"/>
      <c r="G915" s="63"/>
      <c r="H915" s="115"/>
      <c r="I915" s="108"/>
    </row>
    <row r="916" spans="1:9" x14ac:dyDescent="0.3">
      <c r="A916" s="114"/>
      <c r="B916" s="111">
        <f>'03_Pipe_Engine'!$C$16*2</f>
        <v>0</v>
      </c>
      <c r="C916" s="63" t="s">
        <v>1628</v>
      </c>
      <c r="D916" s="111"/>
      <c r="E916" s="113"/>
      <c r="F916" s="63" t="s">
        <v>2307</v>
      </c>
      <c r="G916" s="63"/>
      <c r="H916" s="115"/>
      <c r="I916" s="108" t="s">
        <v>67</v>
      </c>
    </row>
    <row r="917" spans="1:9" x14ac:dyDescent="0.3">
      <c r="A917" s="114"/>
      <c r="B917" s="111"/>
      <c r="C917" s="63"/>
      <c r="D917" s="111">
        <f>'03_Pipe_Engine'!$O$16</f>
        <v>6.5030000000000001</v>
      </c>
      <c r="E917" s="113"/>
      <c r="F917" s="63"/>
      <c r="G917" s="63"/>
      <c r="H917" s="115"/>
      <c r="I917" s="108" t="s">
        <v>2249</v>
      </c>
    </row>
    <row r="918" spans="1:9" x14ac:dyDescent="0.3">
      <c r="A918" s="114"/>
      <c r="B918" s="111"/>
      <c r="C918" s="63"/>
      <c r="D918" s="111">
        <f>'03_Pipe_Engine'!$X$16</f>
        <v>0.45</v>
      </c>
      <c r="E918" s="113"/>
      <c r="F918" s="63"/>
      <c r="G918" s="63"/>
      <c r="H918" s="115"/>
      <c r="I918" s="108" t="s">
        <v>2303</v>
      </c>
    </row>
    <row r="919" spans="1:9" x14ac:dyDescent="0.3">
      <c r="A919" s="114"/>
      <c r="B919" s="111"/>
      <c r="C919" s="63"/>
      <c r="D919" s="111">
        <f>'03_Pipe_Engine'!$V$16</f>
        <v>0.2</v>
      </c>
      <c r="E919" s="113">
        <f>N(B916)*N(D917)*N(D918)*N(D919)</f>
        <v>0</v>
      </c>
      <c r="F919" s="63"/>
      <c r="G919" s="63"/>
      <c r="H919" s="115"/>
      <c r="I919" s="108" t="s">
        <v>2260</v>
      </c>
    </row>
    <row r="920" spans="1:9" x14ac:dyDescent="0.3">
      <c r="A920" s="114"/>
      <c r="B920" s="111"/>
      <c r="C920" s="63"/>
      <c r="D920" s="111"/>
      <c r="E920" s="113"/>
      <c r="F920" s="63"/>
      <c r="G920" s="63"/>
      <c r="H920" s="115"/>
      <c r="I920" s="108"/>
    </row>
    <row r="921" spans="1:9" x14ac:dyDescent="0.3">
      <c r="A921" s="114"/>
      <c r="B921" s="111"/>
      <c r="C921" s="63"/>
      <c r="D921" s="111"/>
      <c r="E921" s="113"/>
      <c r="F921" s="63"/>
      <c r="G921" s="63"/>
      <c r="H921" s="115"/>
      <c r="I921" s="108"/>
    </row>
    <row r="922" spans="1:9" x14ac:dyDescent="0.3">
      <c r="A922" s="119" t="s">
        <v>1327</v>
      </c>
      <c r="B922" s="122"/>
      <c r="C922" s="119"/>
      <c r="D922" s="122"/>
      <c r="E922" s="123"/>
      <c r="F922" s="119" t="s">
        <v>2314</v>
      </c>
      <c r="G922" s="119" t="s">
        <v>300</v>
      </c>
      <c r="H922" s="124">
        <f>E926+E931</f>
        <v>0</v>
      </c>
      <c r="I922" s="125" t="str">
        <f>IF(ABS(H922-'03_Pipe_Engine'!$AE$16)&lt;=MAX(0.01,0.005*ABS('03_Pipe_Engine'!$AE$16)),"OK","DIFF")</f>
        <v>OK</v>
      </c>
    </row>
    <row r="923" spans="1:9" x14ac:dyDescent="0.3">
      <c r="A923" s="135"/>
      <c r="B923" s="111">
        <f>'03_Pipe_Engine'!$C$16*2</f>
        <v>0</v>
      </c>
      <c r="C923" s="138" t="s">
        <v>1628</v>
      </c>
      <c r="D923" s="111"/>
      <c r="E923" s="113"/>
      <c r="F923" s="138" t="s">
        <v>2315</v>
      </c>
      <c r="G923" s="138"/>
      <c r="H923" s="136"/>
      <c r="I923" s="139" t="s">
        <v>67</v>
      </c>
    </row>
    <row r="924" spans="1:9" x14ac:dyDescent="0.3">
      <c r="A924" s="114"/>
      <c r="B924" s="111"/>
      <c r="C924" s="63"/>
      <c r="D924" s="111">
        <f>'03_Pipe_Engine'!$T$16</f>
        <v>3.6749999999999998</v>
      </c>
      <c r="E924" s="113"/>
      <c r="F924" s="63"/>
      <c r="G924" s="63"/>
      <c r="H924" s="115"/>
      <c r="I924" s="108" t="s">
        <v>2250</v>
      </c>
    </row>
    <row r="925" spans="1:9" x14ac:dyDescent="0.3">
      <c r="A925" s="114"/>
      <c r="B925" s="111"/>
      <c r="C925" s="63"/>
      <c r="D925" s="111">
        <f>'03_Pipe_Engine'!$P$16</f>
        <v>0.6</v>
      </c>
      <c r="E925" s="113"/>
      <c r="F925" s="63"/>
      <c r="G925" s="63"/>
      <c r="H925" s="115"/>
      <c r="I925" s="108" t="s">
        <v>2316</v>
      </c>
    </row>
    <row r="926" spans="1:9" x14ac:dyDescent="0.3">
      <c r="A926" s="114"/>
      <c r="B926" s="111"/>
      <c r="C926" s="63"/>
      <c r="D926" s="111">
        <f>'03_Pipe_Engine'!$Q$16</f>
        <v>0.2</v>
      </c>
      <c r="E926" s="113">
        <f>N(B923)*N(D924)*N(D925)*N(D926)</f>
        <v>0</v>
      </c>
      <c r="F926" s="63"/>
      <c r="G926" s="63"/>
      <c r="H926" s="115"/>
      <c r="I926" s="108" t="s">
        <v>2260</v>
      </c>
    </row>
    <row r="927" spans="1:9" x14ac:dyDescent="0.3">
      <c r="A927" s="114"/>
      <c r="B927" s="111"/>
      <c r="C927" s="63"/>
      <c r="D927" s="111"/>
      <c r="E927" s="113"/>
      <c r="F927" s="63"/>
      <c r="G927" s="63"/>
      <c r="H927" s="115"/>
      <c r="I927" s="108"/>
    </row>
    <row r="928" spans="1:9" x14ac:dyDescent="0.3">
      <c r="A928" s="114"/>
      <c r="B928" s="111">
        <f>'03_Pipe_Engine'!$C$16*4</f>
        <v>0</v>
      </c>
      <c r="C928" s="63" t="s">
        <v>1628</v>
      </c>
      <c r="D928" s="111"/>
      <c r="E928" s="113"/>
      <c r="F928" s="63" t="s">
        <v>2317</v>
      </c>
      <c r="G928" s="63"/>
      <c r="H928" s="115"/>
      <c r="I928" s="108" t="s">
        <v>67</v>
      </c>
    </row>
    <row r="929" spans="1:9" x14ac:dyDescent="0.3">
      <c r="A929" s="114"/>
      <c r="B929" s="111"/>
      <c r="C929" s="63"/>
      <c r="D929" s="111">
        <f>'03_Pipe_Engine'!$T$16</f>
        <v>3.6749999999999998</v>
      </c>
      <c r="E929" s="113"/>
      <c r="F929" s="63"/>
      <c r="G929" s="63"/>
      <c r="H929" s="115"/>
      <c r="I929" s="108" t="s">
        <v>2250</v>
      </c>
    </row>
    <row r="930" spans="1:9" x14ac:dyDescent="0.3">
      <c r="A930" s="114"/>
      <c r="B930" s="111"/>
      <c r="C930" s="63"/>
      <c r="D930" s="111">
        <f>'03_Pipe_Engine'!$S$16</f>
        <v>1.4750000000000001</v>
      </c>
      <c r="E930" s="113"/>
      <c r="F930" s="63"/>
      <c r="G930" s="63"/>
      <c r="H930" s="115"/>
      <c r="I930" s="108" t="s">
        <v>2253</v>
      </c>
    </row>
    <row r="931" spans="1:9" x14ac:dyDescent="0.3">
      <c r="A931" s="114"/>
      <c r="B931" s="111"/>
      <c r="C931" s="63"/>
      <c r="D931" s="111">
        <f>'03_Pipe_Engine'!$U$16</f>
        <v>0.2</v>
      </c>
      <c r="E931" s="113">
        <f>N(B928)*N(D929)*N(D930)*N(D931)</f>
        <v>0</v>
      </c>
      <c r="F931" s="63"/>
      <c r="G931" s="63"/>
      <c r="H931" s="115"/>
      <c r="I931" s="108" t="s">
        <v>2260</v>
      </c>
    </row>
    <row r="932" spans="1:9" x14ac:dyDescent="0.3">
      <c r="A932" s="114"/>
      <c r="B932" s="111"/>
      <c r="C932" s="63"/>
      <c r="D932" s="111"/>
      <c r="E932" s="113"/>
      <c r="F932" s="63"/>
      <c r="G932" s="63"/>
      <c r="H932" s="115"/>
      <c r="I932" s="108"/>
    </row>
    <row r="933" spans="1:9" x14ac:dyDescent="0.3">
      <c r="A933" s="114"/>
      <c r="B933" s="111"/>
      <c r="C933" s="63"/>
      <c r="D933" s="111"/>
      <c r="E933" s="113"/>
      <c r="F933" s="63"/>
      <c r="G933" s="63"/>
      <c r="H933" s="115"/>
      <c r="I933" s="108"/>
    </row>
    <row r="934" spans="1:9" x14ac:dyDescent="0.3">
      <c r="A934" s="119" t="s">
        <v>1328</v>
      </c>
      <c r="B934" s="122"/>
      <c r="C934" s="119"/>
      <c r="D934" s="122"/>
      <c r="E934" s="123"/>
      <c r="F934" s="119" t="s">
        <v>2318</v>
      </c>
      <c r="G934" s="119" t="s">
        <v>301</v>
      </c>
      <c r="H934" s="124">
        <f>E937+E941</f>
        <v>0</v>
      </c>
      <c r="I934" s="125" t="str">
        <f>IF(ABS(H934-'03_Pipe_Engine'!$AF$16)&lt;=MAX(0.01,0.005*ABS('03_Pipe_Engine'!$AF$16)),"OK","DIFF")</f>
        <v>OK</v>
      </c>
    </row>
    <row r="935" spans="1:9" x14ac:dyDescent="0.3">
      <c r="A935" s="135"/>
      <c r="B935" s="111">
        <f>'03_Pipe_Engine'!$C$16*2*2</f>
        <v>0</v>
      </c>
      <c r="C935" s="138" t="s">
        <v>1628</v>
      </c>
      <c r="D935" s="111"/>
      <c r="E935" s="113"/>
      <c r="F935" s="138" t="s">
        <v>2319</v>
      </c>
      <c r="G935" s="138"/>
      <c r="H935" s="136"/>
      <c r="I935" s="139" t="s">
        <v>67</v>
      </c>
    </row>
    <row r="936" spans="1:9" x14ac:dyDescent="0.3">
      <c r="A936" s="114"/>
      <c r="B936" s="111"/>
      <c r="C936" s="63"/>
      <c r="D936" s="111">
        <f>'03_Pipe_Engine'!$P$16</f>
        <v>0.6</v>
      </c>
      <c r="E936" s="113"/>
      <c r="F936" s="63"/>
      <c r="G936" s="63"/>
      <c r="H936" s="115"/>
      <c r="I936" s="108" t="s">
        <v>2316</v>
      </c>
    </row>
    <row r="937" spans="1:9" x14ac:dyDescent="0.3">
      <c r="A937" s="114"/>
      <c r="B937" s="111"/>
      <c r="C937" s="63"/>
      <c r="D937" s="111">
        <f>'03_Pipe_Engine'!$Q$16</f>
        <v>0.2</v>
      </c>
      <c r="E937" s="113">
        <f>N(B935)*N(D936)*N(D937)</f>
        <v>0</v>
      </c>
      <c r="F937" s="63"/>
      <c r="G937" s="63"/>
      <c r="H937" s="115"/>
      <c r="I937" s="108" t="s">
        <v>2260</v>
      </c>
    </row>
    <row r="938" spans="1:9" x14ac:dyDescent="0.3">
      <c r="A938" s="114"/>
      <c r="B938" s="111"/>
      <c r="C938" s="63"/>
      <c r="D938" s="111"/>
      <c r="E938" s="113"/>
      <c r="F938" s="63"/>
      <c r="G938" s="63"/>
      <c r="H938" s="115"/>
      <c r="I938" s="108"/>
    </row>
    <row r="939" spans="1:9" x14ac:dyDescent="0.3">
      <c r="A939" s="114"/>
      <c r="B939" s="111">
        <f>'03_Pipe_Engine'!$C$16*4</f>
        <v>0</v>
      </c>
      <c r="C939" s="63" t="s">
        <v>1628</v>
      </c>
      <c r="D939" s="111"/>
      <c r="E939" s="113"/>
      <c r="F939" s="63" t="s">
        <v>2320</v>
      </c>
      <c r="G939" s="63"/>
      <c r="H939" s="115"/>
      <c r="I939" s="108" t="s">
        <v>67</v>
      </c>
    </row>
    <row r="940" spans="1:9" x14ac:dyDescent="0.3">
      <c r="A940" s="114"/>
      <c r="B940" s="111"/>
      <c r="C940" s="63"/>
      <c r="D940" s="111">
        <f>'03_Pipe_Engine'!$R$16</f>
        <v>1</v>
      </c>
      <c r="E940" s="113"/>
      <c r="F940" s="63"/>
      <c r="G940" s="63"/>
      <c r="H940" s="115"/>
      <c r="I940" s="108" t="s">
        <v>2321</v>
      </c>
    </row>
    <row r="941" spans="1:9" x14ac:dyDescent="0.3">
      <c r="A941" s="114"/>
      <c r="B941" s="111"/>
      <c r="C941" s="63"/>
      <c r="D941" s="111">
        <f>'03_Pipe_Engine'!$U$16</f>
        <v>0.2</v>
      </c>
      <c r="E941" s="113">
        <f>N(B939)*N(D940)*N(D941)</f>
        <v>0</v>
      </c>
      <c r="F941" s="63"/>
      <c r="G941" s="63"/>
      <c r="H941" s="115"/>
      <c r="I941" s="108" t="s">
        <v>2260</v>
      </c>
    </row>
    <row r="942" spans="1:9" x14ac:dyDescent="0.3">
      <c r="A942" s="114"/>
      <c r="B942" s="111"/>
      <c r="C942" s="63"/>
      <c r="D942" s="111"/>
      <c r="E942" s="113"/>
      <c r="F942" s="63"/>
      <c r="G942" s="63"/>
      <c r="H942" s="115"/>
      <c r="I942" s="108"/>
    </row>
    <row r="943" spans="1:9" x14ac:dyDescent="0.3">
      <c r="A943" s="114"/>
      <c r="B943" s="111"/>
      <c r="C943" s="63"/>
      <c r="D943" s="111"/>
      <c r="E943" s="113"/>
      <c r="F943" s="63"/>
      <c r="G943" s="63"/>
      <c r="H943" s="115"/>
      <c r="I943" s="108"/>
    </row>
    <row r="944" spans="1:9" x14ac:dyDescent="0.3">
      <c r="A944" s="119" t="s">
        <v>1329</v>
      </c>
      <c r="B944" s="122"/>
      <c r="C944" s="119"/>
      <c r="D944" s="122"/>
      <c r="E944" s="123"/>
      <c r="F944" s="119" t="s">
        <v>2322</v>
      </c>
      <c r="G944" s="119" t="s">
        <v>301</v>
      </c>
      <c r="H944" s="124">
        <f>E947+E951</f>
        <v>0</v>
      </c>
      <c r="I944" s="125" t="str">
        <f>IF(ABS(H944-'03_Pipe_Engine'!$AG$16)&lt;=MAX(0.01,0.005*ABS('03_Pipe_Engine'!$AG$16)),"OK","DIFF")</f>
        <v>OK</v>
      </c>
    </row>
    <row r="945" spans="1:9" x14ac:dyDescent="0.3">
      <c r="A945" s="135"/>
      <c r="B945" s="111">
        <f>'03_Pipe_Engine'!$C$16*2*2</f>
        <v>0</v>
      </c>
      <c r="C945" s="138" t="s">
        <v>1628</v>
      </c>
      <c r="D945" s="111"/>
      <c r="E945" s="113"/>
      <c r="F945" s="138" t="s">
        <v>2323</v>
      </c>
      <c r="G945" s="138"/>
      <c r="H945" s="136"/>
      <c r="I945" s="139" t="s">
        <v>2324</v>
      </c>
    </row>
    <row r="946" spans="1:9" x14ac:dyDescent="0.3">
      <c r="A946" s="114"/>
      <c r="B946" s="111"/>
      <c r="C946" s="63"/>
      <c r="D946" s="111">
        <f>'03_Pipe_Engine'!$T$16</f>
        <v>3.6749999999999998</v>
      </c>
      <c r="E946" s="113"/>
      <c r="F946" s="63"/>
      <c r="G946" s="63"/>
      <c r="H946" s="115"/>
      <c r="I946" s="108" t="s">
        <v>2250</v>
      </c>
    </row>
    <row r="947" spans="1:9" x14ac:dyDescent="0.3">
      <c r="A947" s="114"/>
      <c r="B947" s="111"/>
      <c r="C947" s="63"/>
      <c r="D947" s="111">
        <f>'03_Pipe_Engine'!$P$16</f>
        <v>0.6</v>
      </c>
      <c r="E947" s="113">
        <f>N(B945)*N(D946)*N(D947)</f>
        <v>0</v>
      </c>
      <c r="F947" s="63"/>
      <c r="G947" s="63"/>
      <c r="H947" s="115"/>
      <c r="I947" s="108" t="s">
        <v>2316</v>
      </c>
    </row>
    <row r="948" spans="1:9" x14ac:dyDescent="0.3">
      <c r="A948" s="114"/>
      <c r="B948" s="111"/>
      <c r="C948" s="63"/>
      <c r="D948" s="111"/>
      <c r="E948" s="113"/>
      <c r="F948" s="63"/>
      <c r="G948" s="63"/>
      <c r="H948" s="115"/>
      <c r="I948" s="108"/>
    </row>
    <row r="949" spans="1:9" x14ac:dyDescent="0.3">
      <c r="A949" s="114"/>
      <c r="B949" s="111">
        <f>'03_Pipe_Engine'!$C$16*4*2</f>
        <v>0</v>
      </c>
      <c r="C949" s="63" t="s">
        <v>1628</v>
      </c>
      <c r="D949" s="111"/>
      <c r="E949" s="113"/>
      <c r="F949" s="63" t="s">
        <v>2325</v>
      </c>
      <c r="G949" s="63"/>
      <c r="H949" s="115"/>
      <c r="I949" s="108" t="s">
        <v>2324</v>
      </c>
    </row>
    <row r="950" spans="1:9" x14ac:dyDescent="0.3">
      <c r="A950" s="114"/>
      <c r="B950" s="111"/>
      <c r="C950" s="63"/>
      <c r="D950" s="111">
        <f>'03_Pipe_Engine'!$T$16</f>
        <v>3.6749999999999998</v>
      </c>
      <c r="E950" s="113"/>
      <c r="F950" s="63"/>
      <c r="G950" s="63"/>
      <c r="H950" s="115"/>
      <c r="I950" s="108" t="s">
        <v>2250</v>
      </c>
    </row>
    <row r="951" spans="1:9" x14ac:dyDescent="0.3">
      <c r="A951" s="114"/>
      <c r="B951" s="111"/>
      <c r="C951" s="63"/>
      <c r="D951" s="111">
        <f>'03_Pipe_Engine'!$S$16</f>
        <v>1.4750000000000001</v>
      </c>
      <c r="E951" s="113">
        <f>N(B949)*N(D950)*N(D951)</f>
        <v>0</v>
      </c>
      <c r="F951" s="63"/>
      <c r="G951" s="63"/>
      <c r="H951" s="115"/>
      <c r="I951" s="108" t="s">
        <v>2253</v>
      </c>
    </row>
    <row r="952" spans="1:9" x14ac:dyDescent="0.3">
      <c r="A952" s="114"/>
      <c r="B952" s="111"/>
      <c r="C952" s="63"/>
      <c r="D952" s="111"/>
      <c r="E952" s="113"/>
      <c r="F952" s="63"/>
      <c r="G952" s="63"/>
      <c r="H952" s="115"/>
      <c r="I952" s="108"/>
    </row>
    <row r="953" spans="1:9" x14ac:dyDescent="0.3">
      <c r="A953" s="114"/>
      <c r="B953" s="111"/>
      <c r="C953" s="63"/>
      <c r="D953" s="111"/>
      <c r="E953" s="113"/>
      <c r="F953" s="63"/>
      <c r="G953" s="63"/>
      <c r="H953" s="115"/>
      <c r="I953" s="108"/>
    </row>
    <row r="954" spans="1:9" x14ac:dyDescent="0.3">
      <c r="A954" s="119" t="s">
        <v>1333</v>
      </c>
      <c r="B954" s="122"/>
      <c r="C954" s="119"/>
      <c r="D954" s="122"/>
      <c r="E954" s="123"/>
      <c r="F954" s="119" t="s">
        <v>2333</v>
      </c>
      <c r="G954" s="119" t="s">
        <v>63</v>
      </c>
      <c r="H954" s="124">
        <f>E956</f>
        <v>0</v>
      </c>
      <c r="I954" s="125" t="str">
        <f>IF(ABS(H954-'03_Pipe_Engine'!$AK$16)&lt;=MAX(0.01,0.005*ABS('03_Pipe_Engine'!$AK$16)),"OK","DIFF")</f>
        <v>OK</v>
      </c>
    </row>
    <row r="955" spans="1:9" x14ac:dyDescent="0.3">
      <c r="A955" s="135"/>
      <c r="B955" s="111">
        <f>'03_Pipe_Engine'!$F$16</f>
        <v>2</v>
      </c>
      <c r="C955" s="138" t="s">
        <v>1628</v>
      </c>
      <c r="D955" s="111"/>
      <c r="E955" s="113"/>
      <c r="F955" s="138" t="s">
        <v>2327</v>
      </c>
      <c r="G955" s="138"/>
      <c r="H955" s="136"/>
      <c r="I955" s="139" t="s">
        <v>2328</v>
      </c>
    </row>
    <row r="956" spans="1:9" x14ac:dyDescent="0.3">
      <c r="A956" s="114"/>
      <c r="B956" s="111"/>
      <c r="C956" s="63"/>
      <c r="D956" s="111">
        <f>'03_Pipe_Engine'!$D$16</f>
        <v>0</v>
      </c>
      <c r="E956" s="113">
        <f>N(B955)*N(D956)</f>
        <v>0</v>
      </c>
      <c r="F956" s="63"/>
      <c r="G956" s="63"/>
      <c r="H956" s="115"/>
      <c r="I956" s="108" t="s">
        <v>2301</v>
      </c>
    </row>
    <row r="957" spans="1:9" x14ac:dyDescent="0.3">
      <c r="A957" s="114"/>
      <c r="B957" s="111"/>
      <c r="C957" s="63"/>
      <c r="D957" s="111"/>
      <c r="E957" s="113"/>
      <c r="F957" s="63"/>
      <c r="G957" s="63"/>
      <c r="H957" s="115"/>
      <c r="I957" s="108"/>
    </row>
    <row r="958" spans="1:9" x14ac:dyDescent="0.3">
      <c r="A958" s="114"/>
      <c r="B958" s="111"/>
      <c r="C958" s="63"/>
      <c r="D958" s="111"/>
      <c r="E958" s="113"/>
      <c r="F958" s="63"/>
      <c r="G958" s="63"/>
      <c r="H958" s="115"/>
      <c r="I958" s="108"/>
    </row>
    <row r="959" spans="1:9" x14ac:dyDescent="0.3">
      <c r="A959" s="119" t="s">
        <v>1345</v>
      </c>
      <c r="B959" s="122"/>
      <c r="C959" s="119"/>
      <c r="D959" s="122"/>
      <c r="E959" s="123"/>
      <c r="F959" s="119" t="s">
        <v>2329</v>
      </c>
      <c r="G959" s="119" t="s">
        <v>63</v>
      </c>
      <c r="H959" s="124">
        <f>E960</f>
        <v>0</v>
      </c>
      <c r="I959" s="125" t="str">
        <f>IF(ABS(H959-'03_Pipe_Engine'!$AW$16)&lt;=MAX(0.01,0.005*ABS('03_Pipe_Engine'!$AW$16)),"OK","DIFF")</f>
        <v>OK</v>
      </c>
    </row>
    <row r="960" spans="1:9" x14ac:dyDescent="0.3">
      <c r="A960" s="135"/>
      <c r="B960" s="111">
        <f>'03_Pipe_Engine'!$D$16</f>
        <v>0</v>
      </c>
      <c r="C960" s="138" t="s">
        <v>1628</v>
      </c>
      <c r="D960" s="111"/>
      <c r="E960" s="113">
        <f>N(B960)</f>
        <v>0</v>
      </c>
      <c r="F960" s="138" t="s">
        <v>2330</v>
      </c>
      <c r="G960" s="138"/>
      <c r="H960" s="136"/>
      <c r="I960" s="139" t="s">
        <v>2301</v>
      </c>
    </row>
    <row r="961" spans="1:9" x14ac:dyDescent="0.3">
      <c r="A961" s="114"/>
      <c r="B961" s="111"/>
      <c r="C961" s="63"/>
      <c r="D961" s="111"/>
      <c r="E961" s="113"/>
      <c r="F961" s="63"/>
      <c r="G961" s="63"/>
      <c r="H961" s="115"/>
      <c r="I961" s="108"/>
    </row>
    <row r="962" spans="1:9" x14ac:dyDescent="0.3">
      <c r="A962" s="114"/>
      <c r="B962" s="111"/>
      <c r="C962" s="63"/>
      <c r="D962" s="111"/>
      <c r="E962" s="113"/>
      <c r="F962" s="63"/>
      <c r="G962" s="63"/>
      <c r="H962" s="115"/>
      <c r="I962" s="108"/>
    </row>
    <row r="963" spans="1:9" x14ac:dyDescent="0.3">
      <c r="A963" s="114"/>
      <c r="B963" s="111"/>
      <c r="C963" s="63"/>
      <c r="D963" s="111"/>
      <c r="E963" s="113"/>
      <c r="F963" s="63"/>
      <c r="G963" s="63"/>
      <c r="H963" s="115"/>
      <c r="I963" s="108"/>
    </row>
    <row r="964" spans="1:9" x14ac:dyDescent="0.3">
      <c r="A964" s="131" t="s">
        <v>1427</v>
      </c>
      <c r="B964" s="158"/>
      <c r="C964" s="131"/>
      <c r="D964" s="158"/>
      <c r="E964" s="132"/>
      <c r="F964" s="131" t="str">
        <f>IF('03_Pipe_Engine'!$C$17=0,"none in this project",'03_Pipe_Engine'!$C$17&amp;" nr,  total length "&amp;'03_Pipe_Engine'!$D$17&amp;" m")</f>
        <v>none in this project</v>
      </c>
      <c r="G964" s="131"/>
      <c r="H964" s="133"/>
      <c r="I964" s="134"/>
    </row>
    <row r="965" spans="1:9" x14ac:dyDescent="0.3">
      <c r="A965" s="119" t="s">
        <v>1322</v>
      </c>
      <c r="B965" s="122"/>
      <c r="C965" s="119"/>
      <c r="D965" s="122"/>
      <c r="E965" s="123"/>
      <c r="F965" s="119" t="s">
        <v>1373</v>
      </c>
      <c r="G965" s="119" t="s">
        <v>300</v>
      </c>
      <c r="H965" s="124">
        <f>E968+E973+E978+E983</f>
        <v>0</v>
      </c>
      <c r="I965" s="125" t="str">
        <f>IF(ABS(H965-'03_Pipe_Engine'!$Y$17)&lt;=MAX(0.01,0.005*ABS('03_Pipe_Engine'!$Y$17)),"OK","DIFF")</f>
        <v>OK</v>
      </c>
    </row>
    <row r="966" spans="1:9" x14ac:dyDescent="0.3">
      <c r="A966" s="135"/>
      <c r="B966" s="111">
        <f>'03_Pipe_Engine'!$D$17</f>
        <v>0</v>
      </c>
      <c r="C966" s="138" t="s">
        <v>1628</v>
      </c>
      <c r="D966" s="111"/>
      <c r="E966" s="113"/>
      <c r="F966" s="138" t="s">
        <v>2300</v>
      </c>
      <c r="G966" s="138"/>
      <c r="H966" s="136"/>
      <c r="I966" s="139" t="s">
        <v>2301</v>
      </c>
    </row>
    <row r="967" spans="1:9" x14ac:dyDescent="0.3">
      <c r="A967" s="114"/>
      <c r="B967" s="111"/>
      <c r="C967" s="63"/>
      <c r="D967" s="111">
        <f>'03_Pipe_Engine'!$J$17</f>
        <v>5.4</v>
      </c>
      <c r="E967" s="113"/>
      <c r="F967" s="63"/>
      <c r="G967" s="63"/>
      <c r="H967" s="115"/>
      <c r="I967" s="108" t="s">
        <v>2302</v>
      </c>
    </row>
    <row r="968" spans="1:9" x14ac:dyDescent="0.3">
      <c r="A968" s="114"/>
      <c r="B968" s="111"/>
      <c r="C968" s="63"/>
      <c r="D968" s="111">
        <f>'03_Pipe_Engine'!$L$17</f>
        <v>0.4</v>
      </c>
      <c r="E968" s="113">
        <f>N(B966)*N(D967)*N(D968)</f>
        <v>0</v>
      </c>
      <c r="F968" s="63"/>
      <c r="G968" s="63"/>
      <c r="H968" s="115"/>
      <c r="I968" s="108" t="s">
        <v>2303</v>
      </c>
    </row>
    <row r="969" spans="1:9" x14ac:dyDescent="0.3">
      <c r="A969" s="114"/>
      <c r="B969" s="111"/>
      <c r="C969" s="63"/>
      <c r="D969" s="111"/>
      <c r="E969" s="113"/>
      <c r="F969" s="63"/>
      <c r="G969" s="63"/>
      <c r="H969" s="115"/>
      <c r="I969" s="108"/>
    </row>
    <row r="970" spans="1:9" x14ac:dyDescent="0.3">
      <c r="A970" s="114"/>
      <c r="B970" s="111">
        <f>'03_Pipe_Engine'!$C$17*2</f>
        <v>0</v>
      </c>
      <c r="C970" s="63" t="s">
        <v>1628</v>
      </c>
      <c r="D970" s="111"/>
      <c r="E970" s="113"/>
      <c r="F970" s="63" t="s">
        <v>2304</v>
      </c>
      <c r="G970" s="63"/>
      <c r="H970" s="115"/>
      <c r="I970" s="108" t="s">
        <v>67</v>
      </c>
    </row>
    <row r="971" spans="1:9" x14ac:dyDescent="0.3">
      <c r="A971" s="114"/>
      <c r="B971" s="111"/>
      <c r="C971" s="63"/>
      <c r="D971" s="111">
        <f>'03_Pipe_Engine'!$N$17</f>
        <v>1.4139999999999999</v>
      </c>
      <c r="E971" s="113"/>
      <c r="F971" s="63"/>
      <c r="G971" s="63"/>
      <c r="H971" s="115"/>
      <c r="I971" s="108" t="s">
        <v>2305</v>
      </c>
    </row>
    <row r="972" spans="1:9" x14ac:dyDescent="0.3">
      <c r="A972" s="114"/>
      <c r="B972" s="111"/>
      <c r="C972" s="63"/>
      <c r="D972" s="111">
        <f>('03_Pipe_Engine'!$J$17+'03_Pipe_Engine'!$O$17)/2</f>
        <v>6.8140000000000001</v>
      </c>
      <c r="E972" s="113"/>
      <c r="F972" s="63"/>
      <c r="G972" s="63"/>
      <c r="H972" s="115"/>
      <c r="I972" s="108" t="s">
        <v>2251</v>
      </c>
    </row>
    <row r="973" spans="1:9" x14ac:dyDescent="0.3">
      <c r="A973" s="114"/>
      <c r="B973" s="111"/>
      <c r="C973" s="63"/>
      <c r="D973" s="111">
        <f>'03_Pipe_Engine'!$L$17</f>
        <v>0.4</v>
      </c>
      <c r="E973" s="113">
        <f>N(B970)*N(D971)*N(D972)*N(D973)</f>
        <v>0</v>
      </c>
      <c r="F973" s="63"/>
      <c r="G973" s="63"/>
      <c r="H973" s="115"/>
      <c r="I973" s="108" t="s">
        <v>2303</v>
      </c>
    </row>
    <row r="974" spans="1:9" x14ac:dyDescent="0.3">
      <c r="A974" s="114"/>
      <c r="B974" s="111"/>
      <c r="C974" s="63"/>
      <c r="D974" s="111"/>
      <c r="E974" s="113"/>
      <c r="F974" s="63"/>
      <c r="G974" s="63"/>
      <c r="H974" s="115"/>
      <c r="I974" s="108"/>
    </row>
    <row r="975" spans="1:9" x14ac:dyDescent="0.3">
      <c r="A975" s="114"/>
      <c r="B975" s="111">
        <f>'03_Pipe_Engine'!$C$17*4</f>
        <v>0</v>
      </c>
      <c r="C975" s="63" t="s">
        <v>1628</v>
      </c>
      <c r="D975" s="111"/>
      <c r="E975" s="113"/>
      <c r="F975" s="63" t="s">
        <v>2306</v>
      </c>
      <c r="G975" s="63"/>
      <c r="H975" s="115"/>
      <c r="I975" s="108" t="s">
        <v>67</v>
      </c>
    </row>
    <row r="976" spans="1:9" x14ac:dyDescent="0.3">
      <c r="A976" s="114"/>
      <c r="B976" s="111"/>
      <c r="C976" s="63"/>
      <c r="D976" s="111">
        <f>'03_Pipe_Engine'!$T$17</f>
        <v>5.4</v>
      </c>
      <c r="E976" s="113"/>
      <c r="F976" s="63"/>
      <c r="G976" s="63"/>
      <c r="H976" s="115"/>
      <c r="I976" s="108" t="s">
        <v>2250</v>
      </c>
    </row>
    <row r="977" spans="1:9" x14ac:dyDescent="0.3">
      <c r="A977" s="114"/>
      <c r="B977" s="111"/>
      <c r="C977" s="63"/>
      <c r="D977" s="111">
        <f>0.5</f>
        <v>0.5</v>
      </c>
      <c r="E977" s="113"/>
      <c r="F977" s="63"/>
      <c r="G977" s="63"/>
      <c r="H977" s="115"/>
      <c r="I977" s="108" t="s">
        <v>2249</v>
      </c>
    </row>
    <row r="978" spans="1:9" x14ac:dyDescent="0.3">
      <c r="A978" s="114"/>
      <c r="B978" s="111"/>
      <c r="C978" s="63"/>
      <c r="D978" s="111">
        <f>'03_Pipe_Engine'!$L$17</f>
        <v>0.4</v>
      </c>
      <c r="E978" s="113">
        <f>N(B975)*N(D976)*N(D977)*N(D978)</f>
        <v>0</v>
      </c>
      <c r="F978" s="63"/>
      <c r="G978" s="63"/>
      <c r="H978" s="115"/>
      <c r="I978" s="108" t="s">
        <v>2303</v>
      </c>
    </row>
    <row r="979" spans="1:9" x14ac:dyDescent="0.3">
      <c r="A979" s="114"/>
      <c r="B979" s="111"/>
      <c r="C979" s="63"/>
      <c r="D979" s="111"/>
      <c r="E979" s="113"/>
      <c r="F979" s="63"/>
      <c r="G979" s="63"/>
      <c r="H979" s="115"/>
      <c r="I979" s="108"/>
    </row>
    <row r="980" spans="1:9" x14ac:dyDescent="0.3">
      <c r="A980" s="114"/>
      <c r="B980" s="111">
        <f>'03_Pipe_Engine'!$C$17*2</f>
        <v>0</v>
      </c>
      <c r="C980" s="63" t="s">
        <v>1628</v>
      </c>
      <c r="D980" s="111"/>
      <c r="E980" s="113"/>
      <c r="F980" s="63" t="s">
        <v>2307</v>
      </c>
      <c r="G980" s="63"/>
      <c r="H980" s="115"/>
      <c r="I980" s="108" t="s">
        <v>67</v>
      </c>
    </row>
    <row r="981" spans="1:9" x14ac:dyDescent="0.3">
      <c r="A981" s="114"/>
      <c r="B981" s="111"/>
      <c r="C981" s="63"/>
      <c r="D981" s="111">
        <f>'03_Pipe_Engine'!$O$17</f>
        <v>8.2279999999999998</v>
      </c>
      <c r="E981" s="113"/>
      <c r="F981" s="63"/>
      <c r="G981" s="63"/>
      <c r="H981" s="115"/>
      <c r="I981" s="108" t="s">
        <v>2308</v>
      </c>
    </row>
    <row r="982" spans="1:9" x14ac:dyDescent="0.3">
      <c r="A982" s="114"/>
      <c r="B982" s="111"/>
      <c r="C982" s="63"/>
      <c r="D982" s="111">
        <f>'03_Pipe_Engine'!$X$17</f>
        <v>0.45</v>
      </c>
      <c r="E982" s="113"/>
      <c r="F982" s="63"/>
      <c r="G982" s="63"/>
      <c r="H982" s="115"/>
      <c r="I982" s="108" t="s">
        <v>2309</v>
      </c>
    </row>
    <row r="983" spans="1:9" x14ac:dyDescent="0.3">
      <c r="A983" s="114"/>
      <c r="B983" s="111"/>
      <c r="C983" s="63"/>
      <c r="D983" s="111">
        <f>'03_Pipe_Engine'!$L$17</f>
        <v>0.4</v>
      </c>
      <c r="E983" s="113">
        <f>N(B980)*N(D981)*N(D982)*N(D983)</f>
        <v>0</v>
      </c>
      <c r="F983" s="63"/>
      <c r="G983" s="63"/>
      <c r="H983" s="115"/>
      <c r="I983" s="108" t="s">
        <v>2303</v>
      </c>
    </row>
    <row r="984" spans="1:9" x14ac:dyDescent="0.3">
      <c r="A984" s="114"/>
      <c r="B984" s="111"/>
      <c r="C984" s="63"/>
      <c r="D984" s="111"/>
      <c r="E984" s="113"/>
      <c r="F984" s="63"/>
      <c r="G984" s="63"/>
      <c r="H984" s="115"/>
      <c r="I984" s="108"/>
    </row>
    <row r="985" spans="1:9" x14ac:dyDescent="0.3">
      <c r="A985" s="114"/>
      <c r="B985" s="111"/>
      <c r="C985" s="63"/>
      <c r="D985" s="111"/>
      <c r="E985" s="113"/>
      <c r="F985" s="63"/>
      <c r="G985" s="63"/>
      <c r="H985" s="115"/>
      <c r="I985" s="108"/>
    </row>
    <row r="986" spans="1:9" x14ac:dyDescent="0.3">
      <c r="A986" s="119" t="s">
        <v>1323</v>
      </c>
      <c r="B986" s="122"/>
      <c r="C986" s="119"/>
      <c r="D986" s="122"/>
      <c r="E986" s="123"/>
      <c r="F986" s="119" t="s">
        <v>2310</v>
      </c>
      <c r="G986" s="119" t="s">
        <v>300</v>
      </c>
      <c r="H986" s="124">
        <f>E989</f>
        <v>0</v>
      </c>
      <c r="I986" s="125" t="str">
        <f>IF(ABS(H986-'03_Pipe_Engine'!$Z$17)&lt;=MAX(0.01,0.005*ABS('03_Pipe_Engine'!$Z$17)),"OK","DIFF")</f>
        <v>OK</v>
      </c>
    </row>
    <row r="987" spans="1:9" x14ac:dyDescent="0.3">
      <c r="A987" s="135"/>
      <c r="B987" s="111">
        <f>'03_Pipe_Engine'!$D$17</f>
        <v>0</v>
      </c>
      <c r="C987" s="138" t="s">
        <v>1628</v>
      </c>
      <c r="D987" s="111"/>
      <c r="E987" s="113"/>
      <c r="F987" s="138" t="s">
        <v>2311</v>
      </c>
      <c r="G987" s="138"/>
      <c r="H987" s="136"/>
      <c r="I987" s="139" t="s">
        <v>2301</v>
      </c>
    </row>
    <row r="988" spans="1:9" x14ac:dyDescent="0.3">
      <c r="A988" s="114"/>
      <c r="B988" s="111"/>
      <c r="C988" s="63"/>
      <c r="D988" s="111">
        <f>'03_Pipe_Engine'!$J$17</f>
        <v>5.4</v>
      </c>
      <c r="E988" s="113"/>
      <c r="F988" s="63"/>
      <c r="G988" s="63"/>
      <c r="H988" s="115"/>
      <c r="I988" s="108" t="s">
        <v>2249</v>
      </c>
    </row>
    <row r="989" spans="1:9" x14ac:dyDescent="0.3">
      <c r="A989" s="114"/>
      <c r="B989" s="111"/>
      <c r="C989" s="63"/>
      <c r="D989" s="111">
        <f>'03_Pipe_Engine'!$M$17</f>
        <v>0.05</v>
      </c>
      <c r="E989" s="113">
        <f>N(B987)*N(D988)*N(D989)</f>
        <v>0</v>
      </c>
      <c r="F989" s="63"/>
      <c r="G989" s="63"/>
      <c r="H989" s="115"/>
      <c r="I989" s="108" t="s">
        <v>2260</v>
      </c>
    </row>
    <row r="990" spans="1:9" x14ac:dyDescent="0.3">
      <c r="A990" s="114"/>
      <c r="B990" s="111"/>
      <c r="C990" s="63"/>
      <c r="D990" s="111"/>
      <c r="E990" s="113"/>
      <c r="F990" s="63"/>
      <c r="G990" s="63"/>
      <c r="H990" s="115"/>
      <c r="I990" s="108"/>
    </row>
    <row r="991" spans="1:9" x14ac:dyDescent="0.3">
      <c r="A991" s="114"/>
      <c r="B991" s="111"/>
      <c r="C991" s="63"/>
      <c r="D991" s="111"/>
      <c r="E991" s="113"/>
      <c r="F991" s="63"/>
      <c r="G991" s="63"/>
      <c r="H991" s="115"/>
      <c r="I991" s="108"/>
    </row>
    <row r="992" spans="1:9" x14ac:dyDescent="0.3">
      <c r="A992" s="119" t="s">
        <v>1326</v>
      </c>
      <c r="B992" s="122"/>
      <c r="C992" s="119"/>
      <c r="D992" s="122"/>
      <c r="E992" s="123"/>
      <c r="F992" s="119" t="s">
        <v>2312</v>
      </c>
      <c r="G992" s="119" t="s">
        <v>300</v>
      </c>
      <c r="H992" s="124">
        <f>E996+E1001+E1006</f>
        <v>0</v>
      </c>
      <c r="I992" s="125" t="str">
        <f>IF(ABS(H992-'03_Pipe_Engine'!$AD$17)&lt;=MAX(0.01,0.005*ABS('03_Pipe_Engine'!$AD$17)),"OK","DIFF")</f>
        <v>OK</v>
      </c>
    </row>
    <row r="993" spans="1:9" x14ac:dyDescent="0.3">
      <c r="A993" s="135"/>
      <c r="B993" s="111">
        <f>'03_Pipe_Engine'!$C$17*2</f>
        <v>0</v>
      </c>
      <c r="C993" s="138" t="s">
        <v>1628</v>
      </c>
      <c r="D993" s="111"/>
      <c r="E993" s="113"/>
      <c r="F993" s="138" t="s">
        <v>2313</v>
      </c>
      <c r="G993" s="138"/>
      <c r="H993" s="136"/>
      <c r="I993" s="139" t="s">
        <v>67</v>
      </c>
    </row>
    <row r="994" spans="1:9" x14ac:dyDescent="0.3">
      <c r="A994" s="114"/>
      <c r="B994" s="111"/>
      <c r="C994" s="63"/>
      <c r="D994" s="111">
        <f>'03_Pipe_Engine'!$N$17</f>
        <v>1.4139999999999999</v>
      </c>
      <c r="E994" s="113"/>
      <c r="F994" s="63"/>
      <c r="G994" s="63"/>
      <c r="H994" s="115"/>
      <c r="I994" s="108" t="s">
        <v>2250</v>
      </c>
    </row>
    <row r="995" spans="1:9" x14ac:dyDescent="0.3">
      <c r="A995" s="114"/>
      <c r="B995" s="111"/>
      <c r="C995" s="63"/>
      <c r="D995" s="111">
        <f>('03_Pipe_Engine'!$J$17+'03_Pipe_Engine'!$O$17)/2</f>
        <v>6.8140000000000001</v>
      </c>
      <c r="E995" s="113"/>
      <c r="F995" s="63"/>
      <c r="G995" s="63"/>
      <c r="H995" s="115"/>
      <c r="I995" s="108" t="s">
        <v>2251</v>
      </c>
    </row>
    <row r="996" spans="1:9" x14ac:dyDescent="0.3">
      <c r="A996" s="114"/>
      <c r="B996" s="111"/>
      <c r="C996" s="63"/>
      <c r="D996" s="111">
        <f>'03_Pipe_Engine'!$V$17</f>
        <v>0.2</v>
      </c>
      <c r="E996" s="113">
        <f>N(B993)*N(D994)*N(D995)*N(D996)</f>
        <v>0</v>
      </c>
      <c r="F996" s="63"/>
      <c r="G996" s="63"/>
      <c r="H996" s="115"/>
      <c r="I996" s="108" t="s">
        <v>2260</v>
      </c>
    </row>
    <row r="997" spans="1:9" x14ac:dyDescent="0.3">
      <c r="A997" s="114"/>
      <c r="B997" s="111"/>
      <c r="C997" s="63"/>
      <c r="D997" s="111"/>
      <c r="E997" s="113"/>
      <c r="F997" s="63"/>
      <c r="G997" s="63"/>
      <c r="H997" s="115"/>
      <c r="I997" s="108"/>
    </row>
    <row r="998" spans="1:9" x14ac:dyDescent="0.3">
      <c r="A998" s="114"/>
      <c r="B998" s="111">
        <f>'03_Pipe_Engine'!$C$17*4</f>
        <v>0</v>
      </c>
      <c r="C998" s="63" t="s">
        <v>1628</v>
      </c>
      <c r="D998" s="111"/>
      <c r="E998" s="113"/>
      <c r="F998" s="63" t="s">
        <v>2306</v>
      </c>
      <c r="G998" s="63"/>
      <c r="H998" s="115"/>
      <c r="I998" s="108" t="s">
        <v>67</v>
      </c>
    </row>
    <row r="999" spans="1:9" x14ac:dyDescent="0.3">
      <c r="A999" s="114"/>
      <c r="B999" s="111"/>
      <c r="C999" s="63"/>
      <c r="D999" s="111">
        <f>'03_Pipe_Engine'!$T$17</f>
        <v>5.4</v>
      </c>
      <c r="E999" s="113"/>
      <c r="F999" s="63"/>
      <c r="G999" s="63"/>
      <c r="H999" s="115"/>
      <c r="I999" s="108" t="s">
        <v>2250</v>
      </c>
    </row>
    <row r="1000" spans="1:9" x14ac:dyDescent="0.3">
      <c r="A1000" s="114"/>
      <c r="B1000" s="111"/>
      <c r="C1000" s="63"/>
      <c r="D1000" s="111">
        <f>0.5</f>
        <v>0.5</v>
      </c>
      <c r="E1000" s="113"/>
      <c r="F1000" s="63"/>
      <c r="G1000" s="63"/>
      <c r="H1000" s="115"/>
      <c r="I1000" s="108" t="s">
        <v>2249</v>
      </c>
    </row>
    <row r="1001" spans="1:9" x14ac:dyDescent="0.3">
      <c r="A1001" s="114"/>
      <c r="B1001" s="111"/>
      <c r="C1001" s="63"/>
      <c r="D1001" s="111">
        <f>'03_Pipe_Engine'!$V$17</f>
        <v>0.2</v>
      </c>
      <c r="E1001" s="113">
        <f>N(B998)*N(D999)*N(D1000)*N(D1001)</f>
        <v>0</v>
      </c>
      <c r="F1001" s="63"/>
      <c r="G1001" s="63"/>
      <c r="H1001" s="115"/>
      <c r="I1001" s="108" t="s">
        <v>2260</v>
      </c>
    </row>
    <row r="1002" spans="1:9" x14ac:dyDescent="0.3">
      <c r="A1002" s="114"/>
      <c r="B1002" s="111"/>
      <c r="C1002" s="63"/>
      <c r="D1002" s="111"/>
      <c r="E1002" s="113"/>
      <c r="F1002" s="63"/>
      <c r="G1002" s="63"/>
      <c r="H1002" s="115"/>
      <c r="I1002" s="108"/>
    </row>
    <row r="1003" spans="1:9" x14ac:dyDescent="0.3">
      <c r="A1003" s="114"/>
      <c r="B1003" s="111">
        <f>'03_Pipe_Engine'!$C$17*2</f>
        <v>0</v>
      </c>
      <c r="C1003" s="63" t="s">
        <v>1628</v>
      </c>
      <c r="D1003" s="111"/>
      <c r="E1003" s="113"/>
      <c r="F1003" s="63" t="s">
        <v>2307</v>
      </c>
      <c r="G1003" s="63"/>
      <c r="H1003" s="115"/>
      <c r="I1003" s="108" t="s">
        <v>67</v>
      </c>
    </row>
    <row r="1004" spans="1:9" x14ac:dyDescent="0.3">
      <c r="A1004" s="114"/>
      <c r="B1004" s="111"/>
      <c r="C1004" s="63"/>
      <c r="D1004" s="111">
        <f>'03_Pipe_Engine'!$O$17</f>
        <v>8.2279999999999998</v>
      </c>
      <c r="E1004" s="113"/>
      <c r="F1004" s="63"/>
      <c r="G1004" s="63"/>
      <c r="H1004" s="115"/>
      <c r="I1004" s="108" t="s">
        <v>2249</v>
      </c>
    </row>
    <row r="1005" spans="1:9" x14ac:dyDescent="0.3">
      <c r="A1005" s="114"/>
      <c r="B1005" s="111"/>
      <c r="C1005" s="63"/>
      <c r="D1005" s="111">
        <f>'03_Pipe_Engine'!$X$17</f>
        <v>0.45</v>
      </c>
      <c r="E1005" s="113"/>
      <c r="F1005" s="63"/>
      <c r="G1005" s="63"/>
      <c r="H1005" s="115"/>
      <c r="I1005" s="108" t="s">
        <v>2303</v>
      </c>
    </row>
    <row r="1006" spans="1:9" x14ac:dyDescent="0.3">
      <c r="A1006" s="114"/>
      <c r="B1006" s="111"/>
      <c r="C1006" s="63"/>
      <c r="D1006" s="111">
        <f>'03_Pipe_Engine'!$V$17</f>
        <v>0.2</v>
      </c>
      <c r="E1006" s="113">
        <f>N(B1003)*N(D1004)*N(D1005)*N(D1006)</f>
        <v>0</v>
      </c>
      <c r="F1006" s="63"/>
      <c r="G1006" s="63"/>
      <c r="H1006" s="115"/>
      <c r="I1006" s="108" t="s">
        <v>2260</v>
      </c>
    </row>
    <row r="1007" spans="1:9" x14ac:dyDescent="0.3">
      <c r="A1007" s="114"/>
      <c r="B1007" s="111"/>
      <c r="C1007" s="63"/>
      <c r="D1007" s="111"/>
      <c r="E1007" s="113"/>
      <c r="F1007" s="63"/>
      <c r="G1007" s="63"/>
      <c r="H1007" s="115"/>
      <c r="I1007" s="108"/>
    </row>
    <row r="1008" spans="1:9" x14ac:dyDescent="0.3">
      <c r="A1008" s="114"/>
      <c r="B1008" s="111"/>
      <c r="C1008" s="63"/>
      <c r="D1008" s="111"/>
      <c r="E1008" s="113"/>
      <c r="F1008" s="63"/>
      <c r="G1008" s="63"/>
      <c r="H1008" s="115"/>
      <c r="I1008" s="108"/>
    </row>
    <row r="1009" spans="1:9" x14ac:dyDescent="0.3">
      <c r="A1009" s="119" t="s">
        <v>1327</v>
      </c>
      <c r="B1009" s="122"/>
      <c r="C1009" s="119"/>
      <c r="D1009" s="122"/>
      <c r="E1009" s="123"/>
      <c r="F1009" s="119" t="s">
        <v>2314</v>
      </c>
      <c r="G1009" s="119" t="s">
        <v>300</v>
      </c>
      <c r="H1009" s="124">
        <f>E1013+E1018</f>
        <v>0</v>
      </c>
      <c r="I1009" s="125" t="str">
        <f>IF(ABS(H1009-'03_Pipe_Engine'!$AE$17)&lt;=MAX(0.01,0.005*ABS('03_Pipe_Engine'!$AE$17)),"OK","DIFF")</f>
        <v>OK</v>
      </c>
    </row>
    <row r="1010" spans="1:9" x14ac:dyDescent="0.3">
      <c r="A1010" s="135"/>
      <c r="B1010" s="111">
        <f>'03_Pipe_Engine'!$C$17*2</f>
        <v>0</v>
      </c>
      <c r="C1010" s="138" t="s">
        <v>1628</v>
      </c>
      <c r="D1010" s="111"/>
      <c r="E1010" s="113"/>
      <c r="F1010" s="138" t="s">
        <v>2315</v>
      </c>
      <c r="G1010" s="138"/>
      <c r="H1010" s="136"/>
      <c r="I1010" s="139" t="s">
        <v>67</v>
      </c>
    </row>
    <row r="1011" spans="1:9" x14ac:dyDescent="0.3">
      <c r="A1011" s="114"/>
      <c r="B1011" s="111"/>
      <c r="C1011" s="63"/>
      <c r="D1011" s="111">
        <f>'03_Pipe_Engine'!$T$17</f>
        <v>5.4</v>
      </c>
      <c r="E1011" s="113"/>
      <c r="F1011" s="63"/>
      <c r="G1011" s="63"/>
      <c r="H1011" s="115"/>
      <c r="I1011" s="108" t="s">
        <v>2250</v>
      </c>
    </row>
    <row r="1012" spans="1:9" x14ac:dyDescent="0.3">
      <c r="A1012" s="114"/>
      <c r="B1012" s="111"/>
      <c r="C1012" s="63"/>
      <c r="D1012" s="111">
        <f>'03_Pipe_Engine'!$P$17</f>
        <v>0.6</v>
      </c>
      <c r="E1012" s="113"/>
      <c r="F1012" s="63"/>
      <c r="G1012" s="63"/>
      <c r="H1012" s="115"/>
      <c r="I1012" s="108" t="s">
        <v>2316</v>
      </c>
    </row>
    <row r="1013" spans="1:9" x14ac:dyDescent="0.3">
      <c r="A1013" s="114"/>
      <c r="B1013" s="111"/>
      <c r="C1013" s="63"/>
      <c r="D1013" s="111">
        <f>'03_Pipe_Engine'!$Q$17</f>
        <v>0.2</v>
      </c>
      <c r="E1013" s="113">
        <f>N(B1010)*N(D1011)*N(D1012)*N(D1013)</f>
        <v>0</v>
      </c>
      <c r="F1013" s="63"/>
      <c r="G1013" s="63"/>
      <c r="H1013" s="115"/>
      <c r="I1013" s="108" t="s">
        <v>2260</v>
      </c>
    </row>
    <row r="1014" spans="1:9" x14ac:dyDescent="0.3">
      <c r="A1014" s="114"/>
      <c r="B1014" s="111"/>
      <c r="C1014" s="63"/>
      <c r="D1014" s="111"/>
      <c r="E1014" s="113"/>
      <c r="F1014" s="63"/>
      <c r="G1014" s="63"/>
      <c r="H1014" s="115"/>
      <c r="I1014" s="108"/>
    </row>
    <row r="1015" spans="1:9" x14ac:dyDescent="0.3">
      <c r="A1015" s="114"/>
      <c r="B1015" s="111">
        <f>'03_Pipe_Engine'!$C$17*4</f>
        <v>0</v>
      </c>
      <c r="C1015" s="63" t="s">
        <v>1628</v>
      </c>
      <c r="D1015" s="111"/>
      <c r="E1015" s="113"/>
      <c r="F1015" s="63" t="s">
        <v>2317</v>
      </c>
      <c r="G1015" s="63"/>
      <c r="H1015" s="115"/>
      <c r="I1015" s="108" t="s">
        <v>67</v>
      </c>
    </row>
    <row r="1016" spans="1:9" x14ac:dyDescent="0.3">
      <c r="A1016" s="114"/>
      <c r="B1016" s="111"/>
      <c r="C1016" s="63"/>
      <c r="D1016" s="111">
        <f>'03_Pipe_Engine'!$T$17</f>
        <v>5.4</v>
      </c>
      <c r="E1016" s="113"/>
      <c r="F1016" s="63"/>
      <c r="G1016" s="63"/>
      <c r="H1016" s="115"/>
      <c r="I1016" s="108" t="s">
        <v>2250</v>
      </c>
    </row>
    <row r="1017" spans="1:9" x14ac:dyDescent="0.3">
      <c r="A1017" s="114"/>
      <c r="B1017" s="111"/>
      <c r="C1017" s="63"/>
      <c r="D1017" s="111">
        <f>'03_Pipe_Engine'!$S$17</f>
        <v>1.4750000000000001</v>
      </c>
      <c r="E1017" s="113"/>
      <c r="F1017" s="63"/>
      <c r="G1017" s="63"/>
      <c r="H1017" s="115"/>
      <c r="I1017" s="108" t="s">
        <v>2253</v>
      </c>
    </row>
    <row r="1018" spans="1:9" x14ac:dyDescent="0.3">
      <c r="A1018" s="114"/>
      <c r="B1018" s="111"/>
      <c r="C1018" s="63"/>
      <c r="D1018" s="111">
        <f>'03_Pipe_Engine'!$U$17</f>
        <v>0.2</v>
      </c>
      <c r="E1018" s="113">
        <f>N(B1015)*N(D1016)*N(D1017)*N(D1018)</f>
        <v>0</v>
      </c>
      <c r="F1018" s="63"/>
      <c r="G1018" s="63"/>
      <c r="H1018" s="115"/>
      <c r="I1018" s="108" t="s">
        <v>2260</v>
      </c>
    </row>
    <row r="1019" spans="1:9" x14ac:dyDescent="0.3">
      <c r="A1019" s="114"/>
      <c r="B1019" s="111"/>
      <c r="C1019" s="63"/>
      <c r="D1019" s="111"/>
      <c r="E1019" s="113"/>
      <c r="F1019" s="63"/>
      <c r="G1019" s="63"/>
      <c r="H1019" s="115"/>
      <c r="I1019" s="108"/>
    </row>
    <row r="1020" spans="1:9" x14ac:dyDescent="0.3">
      <c r="A1020" s="114"/>
      <c r="B1020" s="111"/>
      <c r="C1020" s="63"/>
      <c r="D1020" s="111"/>
      <c r="E1020" s="113"/>
      <c r="F1020" s="63"/>
      <c r="G1020" s="63"/>
      <c r="H1020" s="115"/>
      <c r="I1020" s="108"/>
    </row>
    <row r="1021" spans="1:9" x14ac:dyDescent="0.3">
      <c r="A1021" s="119" t="s">
        <v>1328</v>
      </c>
      <c r="B1021" s="122"/>
      <c r="C1021" s="119"/>
      <c r="D1021" s="122"/>
      <c r="E1021" s="123"/>
      <c r="F1021" s="119" t="s">
        <v>2318</v>
      </c>
      <c r="G1021" s="119" t="s">
        <v>301</v>
      </c>
      <c r="H1021" s="124">
        <f>E1024+E1028</f>
        <v>0</v>
      </c>
      <c r="I1021" s="125" t="str">
        <f>IF(ABS(H1021-'03_Pipe_Engine'!$AF$17)&lt;=MAX(0.01,0.005*ABS('03_Pipe_Engine'!$AF$17)),"OK","DIFF")</f>
        <v>OK</v>
      </c>
    </row>
    <row r="1022" spans="1:9" x14ac:dyDescent="0.3">
      <c r="A1022" s="135"/>
      <c r="B1022" s="111">
        <f>'03_Pipe_Engine'!$C$17*2*2</f>
        <v>0</v>
      </c>
      <c r="C1022" s="138" t="s">
        <v>1628</v>
      </c>
      <c r="D1022" s="111"/>
      <c r="E1022" s="113"/>
      <c r="F1022" s="138" t="s">
        <v>2319</v>
      </c>
      <c r="G1022" s="138"/>
      <c r="H1022" s="136"/>
      <c r="I1022" s="139" t="s">
        <v>67</v>
      </c>
    </row>
    <row r="1023" spans="1:9" x14ac:dyDescent="0.3">
      <c r="A1023" s="114"/>
      <c r="B1023" s="111"/>
      <c r="C1023" s="63"/>
      <c r="D1023" s="111">
        <f>'03_Pipe_Engine'!$P$17</f>
        <v>0.6</v>
      </c>
      <c r="E1023" s="113"/>
      <c r="F1023" s="63"/>
      <c r="G1023" s="63"/>
      <c r="H1023" s="115"/>
      <c r="I1023" s="108" t="s">
        <v>2316</v>
      </c>
    </row>
    <row r="1024" spans="1:9" x14ac:dyDescent="0.3">
      <c r="A1024" s="114"/>
      <c r="B1024" s="111"/>
      <c r="C1024" s="63"/>
      <c r="D1024" s="111">
        <f>'03_Pipe_Engine'!$Q$17</f>
        <v>0.2</v>
      </c>
      <c r="E1024" s="113">
        <f>N(B1022)*N(D1023)*N(D1024)</f>
        <v>0</v>
      </c>
      <c r="F1024" s="63"/>
      <c r="G1024" s="63"/>
      <c r="H1024" s="115"/>
      <c r="I1024" s="108" t="s">
        <v>2260</v>
      </c>
    </row>
    <row r="1025" spans="1:9" x14ac:dyDescent="0.3">
      <c r="A1025" s="114"/>
      <c r="B1025" s="111"/>
      <c r="C1025" s="63"/>
      <c r="D1025" s="111"/>
      <c r="E1025" s="113"/>
      <c r="F1025" s="63"/>
      <c r="G1025" s="63"/>
      <c r="H1025" s="115"/>
      <c r="I1025" s="108"/>
    </row>
    <row r="1026" spans="1:9" x14ac:dyDescent="0.3">
      <c r="A1026" s="114"/>
      <c r="B1026" s="111">
        <f>'03_Pipe_Engine'!$C$17*4</f>
        <v>0</v>
      </c>
      <c r="C1026" s="63" t="s">
        <v>1628</v>
      </c>
      <c r="D1026" s="111"/>
      <c r="E1026" s="113"/>
      <c r="F1026" s="63" t="s">
        <v>2320</v>
      </c>
      <c r="G1026" s="63"/>
      <c r="H1026" s="115"/>
      <c r="I1026" s="108" t="s">
        <v>67</v>
      </c>
    </row>
    <row r="1027" spans="1:9" x14ac:dyDescent="0.3">
      <c r="A1027" s="114"/>
      <c r="B1027" s="111"/>
      <c r="C1027" s="63"/>
      <c r="D1027" s="111">
        <f>'03_Pipe_Engine'!$R$17</f>
        <v>1</v>
      </c>
      <c r="E1027" s="113"/>
      <c r="F1027" s="63"/>
      <c r="G1027" s="63"/>
      <c r="H1027" s="115"/>
      <c r="I1027" s="108" t="s">
        <v>2321</v>
      </c>
    </row>
    <row r="1028" spans="1:9" x14ac:dyDescent="0.3">
      <c r="A1028" s="114"/>
      <c r="B1028" s="111"/>
      <c r="C1028" s="63"/>
      <c r="D1028" s="111">
        <f>'03_Pipe_Engine'!$U$17</f>
        <v>0.2</v>
      </c>
      <c r="E1028" s="113">
        <f>N(B1026)*N(D1027)*N(D1028)</f>
        <v>0</v>
      </c>
      <c r="F1028" s="63"/>
      <c r="G1028" s="63"/>
      <c r="H1028" s="115"/>
      <c r="I1028" s="108" t="s">
        <v>2260</v>
      </c>
    </row>
    <row r="1029" spans="1:9" x14ac:dyDescent="0.3">
      <c r="A1029" s="114"/>
      <c r="B1029" s="111"/>
      <c r="C1029" s="63"/>
      <c r="D1029" s="111"/>
      <c r="E1029" s="113"/>
      <c r="F1029" s="63"/>
      <c r="G1029" s="63"/>
      <c r="H1029" s="115"/>
      <c r="I1029" s="108"/>
    </row>
    <row r="1030" spans="1:9" x14ac:dyDescent="0.3">
      <c r="A1030" s="114"/>
      <c r="B1030" s="111"/>
      <c r="C1030" s="63"/>
      <c r="D1030" s="111"/>
      <c r="E1030" s="113"/>
      <c r="F1030" s="63"/>
      <c r="G1030" s="63"/>
      <c r="H1030" s="115"/>
      <c r="I1030" s="108"/>
    </row>
    <row r="1031" spans="1:9" x14ac:dyDescent="0.3">
      <c r="A1031" s="119" t="s">
        <v>1329</v>
      </c>
      <c r="B1031" s="122"/>
      <c r="C1031" s="119"/>
      <c r="D1031" s="122"/>
      <c r="E1031" s="123"/>
      <c r="F1031" s="119" t="s">
        <v>2322</v>
      </c>
      <c r="G1031" s="119" t="s">
        <v>301</v>
      </c>
      <c r="H1031" s="124">
        <f>E1034+E1038</f>
        <v>0</v>
      </c>
      <c r="I1031" s="125" t="str">
        <f>IF(ABS(H1031-'03_Pipe_Engine'!$AG$17)&lt;=MAX(0.01,0.005*ABS('03_Pipe_Engine'!$AG$17)),"OK","DIFF")</f>
        <v>OK</v>
      </c>
    </row>
    <row r="1032" spans="1:9" x14ac:dyDescent="0.3">
      <c r="A1032" s="135"/>
      <c r="B1032" s="111">
        <f>'03_Pipe_Engine'!$C$17*2*2</f>
        <v>0</v>
      </c>
      <c r="C1032" s="138" t="s">
        <v>1628</v>
      </c>
      <c r="D1032" s="111"/>
      <c r="E1032" s="113"/>
      <c r="F1032" s="138" t="s">
        <v>2323</v>
      </c>
      <c r="G1032" s="138"/>
      <c r="H1032" s="136"/>
      <c r="I1032" s="139" t="s">
        <v>2324</v>
      </c>
    </row>
    <row r="1033" spans="1:9" x14ac:dyDescent="0.3">
      <c r="A1033" s="114"/>
      <c r="B1033" s="111"/>
      <c r="C1033" s="63"/>
      <c r="D1033" s="111">
        <f>'03_Pipe_Engine'!$T$17</f>
        <v>5.4</v>
      </c>
      <c r="E1033" s="113"/>
      <c r="F1033" s="63"/>
      <c r="G1033" s="63"/>
      <c r="H1033" s="115"/>
      <c r="I1033" s="108" t="s">
        <v>2250</v>
      </c>
    </row>
    <row r="1034" spans="1:9" x14ac:dyDescent="0.3">
      <c r="A1034" s="114"/>
      <c r="B1034" s="111"/>
      <c r="C1034" s="63"/>
      <c r="D1034" s="111">
        <f>'03_Pipe_Engine'!$P$17</f>
        <v>0.6</v>
      </c>
      <c r="E1034" s="113">
        <f>N(B1032)*N(D1033)*N(D1034)</f>
        <v>0</v>
      </c>
      <c r="F1034" s="63"/>
      <c r="G1034" s="63"/>
      <c r="H1034" s="115"/>
      <c r="I1034" s="108" t="s">
        <v>2316</v>
      </c>
    </row>
    <row r="1035" spans="1:9" x14ac:dyDescent="0.3">
      <c r="A1035" s="114"/>
      <c r="B1035" s="111"/>
      <c r="C1035" s="63"/>
      <c r="D1035" s="111"/>
      <c r="E1035" s="113"/>
      <c r="F1035" s="63"/>
      <c r="G1035" s="63"/>
      <c r="H1035" s="115"/>
      <c r="I1035" s="108"/>
    </row>
    <row r="1036" spans="1:9" x14ac:dyDescent="0.3">
      <c r="A1036" s="114"/>
      <c r="B1036" s="111">
        <f>'03_Pipe_Engine'!$C$17*4*2</f>
        <v>0</v>
      </c>
      <c r="C1036" s="63" t="s">
        <v>1628</v>
      </c>
      <c r="D1036" s="111"/>
      <c r="E1036" s="113"/>
      <c r="F1036" s="63" t="s">
        <v>2325</v>
      </c>
      <c r="G1036" s="63"/>
      <c r="H1036" s="115"/>
      <c r="I1036" s="108" t="s">
        <v>2324</v>
      </c>
    </row>
    <row r="1037" spans="1:9" x14ac:dyDescent="0.3">
      <c r="A1037" s="114"/>
      <c r="B1037" s="111"/>
      <c r="C1037" s="63"/>
      <c r="D1037" s="111">
        <f>'03_Pipe_Engine'!$T$17</f>
        <v>5.4</v>
      </c>
      <c r="E1037" s="113"/>
      <c r="F1037" s="63"/>
      <c r="G1037" s="63"/>
      <c r="H1037" s="115"/>
      <c r="I1037" s="108" t="s">
        <v>2250</v>
      </c>
    </row>
    <row r="1038" spans="1:9" x14ac:dyDescent="0.3">
      <c r="A1038" s="114"/>
      <c r="B1038" s="111"/>
      <c r="C1038" s="63"/>
      <c r="D1038" s="111">
        <f>'03_Pipe_Engine'!$S$17</f>
        <v>1.4750000000000001</v>
      </c>
      <c r="E1038" s="113">
        <f>N(B1036)*N(D1037)*N(D1038)</f>
        <v>0</v>
      </c>
      <c r="F1038" s="63"/>
      <c r="G1038" s="63"/>
      <c r="H1038" s="115"/>
      <c r="I1038" s="108" t="s">
        <v>2253</v>
      </c>
    </row>
    <row r="1039" spans="1:9" x14ac:dyDescent="0.3">
      <c r="A1039" s="114"/>
      <c r="B1039" s="111"/>
      <c r="C1039" s="63"/>
      <c r="D1039" s="111"/>
      <c r="E1039" s="113"/>
      <c r="F1039" s="63"/>
      <c r="G1039" s="63"/>
      <c r="H1039" s="115"/>
      <c r="I1039" s="108"/>
    </row>
    <row r="1040" spans="1:9" x14ac:dyDescent="0.3">
      <c r="A1040" s="114"/>
      <c r="B1040" s="111"/>
      <c r="C1040" s="63"/>
      <c r="D1040" s="111"/>
      <c r="E1040" s="113"/>
      <c r="F1040" s="63"/>
      <c r="G1040" s="63"/>
      <c r="H1040" s="115"/>
      <c r="I1040" s="108"/>
    </row>
    <row r="1041" spans="1:9" x14ac:dyDescent="0.3">
      <c r="A1041" s="119" t="s">
        <v>1333</v>
      </c>
      <c r="B1041" s="122"/>
      <c r="C1041" s="119"/>
      <c r="D1041" s="122"/>
      <c r="E1041" s="123"/>
      <c r="F1041" s="119" t="s">
        <v>2333</v>
      </c>
      <c r="G1041" s="119" t="s">
        <v>63</v>
      </c>
      <c r="H1041" s="124">
        <f>E1043</f>
        <v>0</v>
      </c>
      <c r="I1041" s="125" t="str">
        <f>IF(ABS(H1041-'03_Pipe_Engine'!$AK$17)&lt;=MAX(0.01,0.005*ABS('03_Pipe_Engine'!$AK$17)),"OK","DIFF")</f>
        <v>OK</v>
      </c>
    </row>
    <row r="1042" spans="1:9" x14ac:dyDescent="0.3">
      <c r="A1042" s="135"/>
      <c r="B1042" s="111">
        <f>'03_Pipe_Engine'!$F$17</f>
        <v>3</v>
      </c>
      <c r="C1042" s="138" t="s">
        <v>1628</v>
      </c>
      <c r="D1042" s="111"/>
      <c r="E1042" s="113"/>
      <c r="F1042" s="138" t="s">
        <v>2327</v>
      </c>
      <c r="G1042" s="138"/>
      <c r="H1042" s="136"/>
      <c r="I1042" s="139" t="s">
        <v>2328</v>
      </c>
    </row>
    <row r="1043" spans="1:9" x14ac:dyDescent="0.3">
      <c r="A1043" s="114"/>
      <c r="B1043" s="111"/>
      <c r="C1043" s="63"/>
      <c r="D1043" s="111">
        <f>'03_Pipe_Engine'!$D$17</f>
        <v>0</v>
      </c>
      <c r="E1043" s="113">
        <f>N(B1042)*N(D1043)</f>
        <v>0</v>
      </c>
      <c r="F1043" s="63"/>
      <c r="G1043" s="63"/>
      <c r="H1043" s="115"/>
      <c r="I1043" s="108" t="s">
        <v>2301</v>
      </c>
    </row>
    <row r="1044" spans="1:9" x14ac:dyDescent="0.3">
      <c r="A1044" s="114"/>
      <c r="B1044" s="111"/>
      <c r="C1044" s="63"/>
      <c r="D1044" s="111"/>
      <c r="E1044" s="113"/>
      <c r="F1044" s="63"/>
      <c r="G1044" s="63"/>
      <c r="H1044" s="115"/>
      <c r="I1044" s="108"/>
    </row>
    <row r="1045" spans="1:9" x14ac:dyDescent="0.3">
      <c r="A1045" s="114"/>
      <c r="B1045" s="111"/>
      <c r="C1045" s="63"/>
      <c r="D1045" s="111"/>
      <c r="E1045" s="113"/>
      <c r="F1045" s="63"/>
      <c r="G1045" s="63"/>
      <c r="H1045" s="115"/>
      <c r="I1045" s="108"/>
    </row>
    <row r="1046" spans="1:9" x14ac:dyDescent="0.3">
      <c r="A1046" s="119" t="s">
        <v>1346</v>
      </c>
      <c r="B1046" s="122"/>
      <c r="C1046" s="119"/>
      <c r="D1046" s="122"/>
      <c r="E1046" s="123"/>
      <c r="F1046" s="119" t="s">
        <v>2329</v>
      </c>
      <c r="G1046" s="119" t="s">
        <v>63</v>
      </c>
      <c r="H1046" s="124">
        <f>E1047</f>
        <v>0</v>
      </c>
      <c r="I1046" s="125" t="str">
        <f>IF(ABS(H1046-'03_Pipe_Engine'!$AX$17)&lt;=MAX(0.01,0.005*ABS('03_Pipe_Engine'!$AX$17)),"OK","DIFF")</f>
        <v>OK</v>
      </c>
    </row>
    <row r="1047" spans="1:9" x14ac:dyDescent="0.3">
      <c r="A1047" s="135"/>
      <c r="B1047" s="111">
        <f>'03_Pipe_Engine'!$D$17</f>
        <v>0</v>
      </c>
      <c r="C1047" s="138" t="s">
        <v>1628</v>
      </c>
      <c r="D1047" s="111"/>
      <c r="E1047" s="113">
        <f>N(B1047)</f>
        <v>0</v>
      </c>
      <c r="F1047" s="138" t="s">
        <v>2330</v>
      </c>
      <c r="G1047" s="138"/>
      <c r="H1047" s="136"/>
      <c r="I1047" s="139" t="s">
        <v>2301</v>
      </c>
    </row>
    <row r="1048" spans="1:9" x14ac:dyDescent="0.3">
      <c r="A1048" s="114"/>
      <c r="B1048" s="111"/>
      <c r="C1048" s="63"/>
      <c r="D1048" s="111"/>
      <c r="E1048" s="113"/>
      <c r="F1048" s="63"/>
      <c r="G1048" s="63"/>
      <c r="H1048" s="115"/>
      <c r="I1048" s="108"/>
    </row>
    <row r="1049" spans="1:9" x14ac:dyDescent="0.3">
      <c r="A1049" s="114"/>
      <c r="B1049" s="111"/>
      <c r="C1049" s="63"/>
      <c r="D1049" s="111"/>
      <c r="E1049" s="113"/>
      <c r="F1049" s="63"/>
      <c r="G1049" s="63"/>
      <c r="H1049" s="115"/>
      <c r="I1049" s="108"/>
    </row>
    <row r="1050" spans="1:9" x14ac:dyDescent="0.3">
      <c r="A1050" s="114"/>
      <c r="B1050" s="111"/>
      <c r="C1050" s="63"/>
      <c r="D1050" s="111"/>
      <c r="E1050" s="113"/>
      <c r="F1050" s="63"/>
      <c r="G1050" s="63"/>
      <c r="H1050" s="115"/>
      <c r="I1050" s="108"/>
    </row>
    <row r="1051" spans="1:9" x14ac:dyDescent="0.3">
      <c r="A1051" s="131" t="s">
        <v>1429</v>
      </c>
      <c r="B1051" s="158"/>
      <c r="C1051" s="131"/>
      <c r="D1051" s="158"/>
      <c r="E1051" s="132"/>
      <c r="F1051" s="131" t="str">
        <f>IF('03_Pipe_Engine'!$C$18=0,"none in this project",'03_Pipe_Engine'!$C$18&amp;" nr,  total length "&amp;'03_Pipe_Engine'!$D$18&amp;" m")</f>
        <v>none in this project</v>
      </c>
      <c r="G1051" s="131"/>
      <c r="H1051" s="133"/>
      <c r="I1051" s="134"/>
    </row>
    <row r="1052" spans="1:9" x14ac:dyDescent="0.3">
      <c r="A1052" s="119" t="s">
        <v>1322</v>
      </c>
      <c r="B1052" s="122"/>
      <c r="C1052" s="119"/>
      <c r="D1052" s="122"/>
      <c r="E1052" s="123"/>
      <c r="F1052" s="119" t="s">
        <v>1373</v>
      </c>
      <c r="G1052" s="119" t="s">
        <v>300</v>
      </c>
      <c r="H1052" s="124">
        <f>E1055+E1060+E1065+E1070</f>
        <v>0</v>
      </c>
      <c r="I1052" s="125" t="str">
        <f>IF(ABS(H1052-'03_Pipe_Engine'!$Y$18)&lt;=MAX(0.01,0.005*ABS('03_Pipe_Engine'!$Y$18)),"OK","DIFF")</f>
        <v>OK</v>
      </c>
    </row>
    <row r="1053" spans="1:9" x14ac:dyDescent="0.3">
      <c r="A1053" s="135"/>
      <c r="B1053" s="111">
        <f>'03_Pipe_Engine'!$D$18</f>
        <v>0</v>
      </c>
      <c r="C1053" s="138" t="s">
        <v>1628</v>
      </c>
      <c r="D1053" s="111"/>
      <c r="E1053" s="113"/>
      <c r="F1053" s="138" t="s">
        <v>2300</v>
      </c>
      <c r="G1053" s="138"/>
      <c r="H1053" s="136"/>
      <c r="I1053" s="139" t="s">
        <v>2301</v>
      </c>
    </row>
    <row r="1054" spans="1:9" x14ac:dyDescent="0.3">
      <c r="A1054" s="114"/>
      <c r="B1054" s="111"/>
      <c r="C1054" s="63"/>
      <c r="D1054" s="111">
        <f>'03_Pipe_Engine'!$J$18</f>
        <v>2.25</v>
      </c>
      <c r="E1054" s="113"/>
      <c r="F1054" s="63"/>
      <c r="G1054" s="63"/>
      <c r="H1054" s="115"/>
      <c r="I1054" s="108" t="s">
        <v>2302</v>
      </c>
    </row>
    <row r="1055" spans="1:9" x14ac:dyDescent="0.3">
      <c r="A1055" s="114"/>
      <c r="B1055" s="111"/>
      <c r="C1055" s="63"/>
      <c r="D1055" s="111">
        <f>'03_Pipe_Engine'!$L$18</f>
        <v>0.4</v>
      </c>
      <c r="E1055" s="113">
        <f>N(B1053)*N(D1054)*N(D1055)</f>
        <v>0</v>
      </c>
      <c r="F1055" s="63"/>
      <c r="G1055" s="63"/>
      <c r="H1055" s="115"/>
      <c r="I1055" s="108" t="s">
        <v>2303</v>
      </c>
    </row>
    <row r="1056" spans="1:9" x14ac:dyDescent="0.3">
      <c r="A1056" s="114"/>
      <c r="B1056" s="111"/>
      <c r="C1056" s="63"/>
      <c r="D1056" s="111"/>
      <c r="E1056" s="113"/>
      <c r="F1056" s="63"/>
      <c r="G1056" s="63"/>
      <c r="H1056" s="115"/>
      <c r="I1056" s="108"/>
    </row>
    <row r="1057" spans="1:9" x14ac:dyDescent="0.3">
      <c r="A1057" s="114"/>
      <c r="B1057" s="111">
        <f>'03_Pipe_Engine'!$C$18*2</f>
        <v>0</v>
      </c>
      <c r="C1057" s="63" t="s">
        <v>1628</v>
      </c>
      <c r="D1057" s="111"/>
      <c r="E1057" s="113"/>
      <c r="F1057" s="63" t="s">
        <v>2304</v>
      </c>
      <c r="G1057" s="63"/>
      <c r="H1057" s="115"/>
      <c r="I1057" s="108" t="s">
        <v>67</v>
      </c>
    </row>
    <row r="1058" spans="1:9" x14ac:dyDescent="0.3">
      <c r="A1058" s="114"/>
      <c r="B1058" s="111"/>
      <c r="C1058" s="63"/>
      <c r="D1058" s="111">
        <f>'03_Pipe_Engine'!$N$18</f>
        <v>1.4139999999999999</v>
      </c>
      <c r="E1058" s="113"/>
      <c r="F1058" s="63"/>
      <c r="G1058" s="63"/>
      <c r="H1058" s="115"/>
      <c r="I1058" s="108" t="s">
        <v>2305</v>
      </c>
    </row>
    <row r="1059" spans="1:9" x14ac:dyDescent="0.3">
      <c r="A1059" s="114"/>
      <c r="B1059" s="111"/>
      <c r="C1059" s="63"/>
      <c r="D1059" s="111">
        <f>('03_Pipe_Engine'!$J$18+'03_Pipe_Engine'!$O$18)/2</f>
        <v>3.6640000000000001</v>
      </c>
      <c r="E1059" s="113"/>
      <c r="F1059" s="63"/>
      <c r="G1059" s="63"/>
      <c r="H1059" s="115"/>
      <c r="I1059" s="108" t="s">
        <v>2251</v>
      </c>
    </row>
    <row r="1060" spans="1:9" x14ac:dyDescent="0.3">
      <c r="A1060" s="114"/>
      <c r="B1060" s="111"/>
      <c r="C1060" s="63"/>
      <c r="D1060" s="111">
        <f>'03_Pipe_Engine'!$L$18</f>
        <v>0.4</v>
      </c>
      <c r="E1060" s="113">
        <f>N(B1057)*N(D1058)*N(D1059)*N(D1060)</f>
        <v>0</v>
      </c>
      <c r="F1060" s="63"/>
      <c r="G1060" s="63"/>
      <c r="H1060" s="115"/>
      <c r="I1060" s="108" t="s">
        <v>2303</v>
      </c>
    </row>
    <row r="1061" spans="1:9" x14ac:dyDescent="0.3">
      <c r="A1061" s="114"/>
      <c r="B1061" s="111"/>
      <c r="C1061" s="63"/>
      <c r="D1061" s="111"/>
      <c r="E1061" s="113"/>
      <c r="F1061" s="63"/>
      <c r="G1061" s="63"/>
      <c r="H1061" s="115"/>
      <c r="I1061" s="108"/>
    </row>
    <row r="1062" spans="1:9" x14ac:dyDescent="0.3">
      <c r="A1062" s="114"/>
      <c r="B1062" s="111">
        <f>'03_Pipe_Engine'!$C$18*4</f>
        <v>0</v>
      </c>
      <c r="C1062" s="63" t="s">
        <v>1628</v>
      </c>
      <c r="D1062" s="111"/>
      <c r="E1062" s="113"/>
      <c r="F1062" s="63" t="s">
        <v>2306</v>
      </c>
      <c r="G1062" s="63"/>
      <c r="H1062" s="115"/>
      <c r="I1062" s="108" t="s">
        <v>67</v>
      </c>
    </row>
    <row r="1063" spans="1:9" x14ac:dyDescent="0.3">
      <c r="A1063" s="114"/>
      <c r="B1063" s="111"/>
      <c r="C1063" s="63"/>
      <c r="D1063" s="111">
        <f>'03_Pipe_Engine'!$T$18</f>
        <v>2.25</v>
      </c>
      <c r="E1063" s="113"/>
      <c r="F1063" s="63"/>
      <c r="G1063" s="63"/>
      <c r="H1063" s="115"/>
      <c r="I1063" s="108" t="s">
        <v>2250</v>
      </c>
    </row>
    <row r="1064" spans="1:9" x14ac:dyDescent="0.3">
      <c r="A1064" s="114"/>
      <c r="B1064" s="111"/>
      <c r="C1064" s="63"/>
      <c r="D1064" s="111">
        <f>0.5</f>
        <v>0.5</v>
      </c>
      <c r="E1064" s="113"/>
      <c r="F1064" s="63"/>
      <c r="G1064" s="63"/>
      <c r="H1064" s="115"/>
      <c r="I1064" s="108" t="s">
        <v>2249</v>
      </c>
    </row>
    <row r="1065" spans="1:9" x14ac:dyDescent="0.3">
      <c r="A1065" s="114"/>
      <c r="B1065" s="111"/>
      <c r="C1065" s="63"/>
      <c r="D1065" s="111">
        <f>'03_Pipe_Engine'!$L$18</f>
        <v>0.4</v>
      </c>
      <c r="E1065" s="113">
        <f>N(B1062)*N(D1063)*N(D1064)*N(D1065)</f>
        <v>0</v>
      </c>
      <c r="F1065" s="63"/>
      <c r="G1065" s="63"/>
      <c r="H1065" s="115"/>
      <c r="I1065" s="108" t="s">
        <v>2303</v>
      </c>
    </row>
    <row r="1066" spans="1:9" x14ac:dyDescent="0.3">
      <c r="A1066" s="114"/>
      <c r="B1066" s="111"/>
      <c r="C1066" s="63"/>
      <c r="D1066" s="111"/>
      <c r="E1066" s="113"/>
      <c r="F1066" s="63"/>
      <c r="G1066" s="63"/>
      <c r="H1066" s="115"/>
      <c r="I1066" s="108"/>
    </row>
    <row r="1067" spans="1:9" x14ac:dyDescent="0.3">
      <c r="A1067" s="114"/>
      <c r="B1067" s="111">
        <f>'03_Pipe_Engine'!$C$18*2</f>
        <v>0</v>
      </c>
      <c r="C1067" s="63" t="s">
        <v>1628</v>
      </c>
      <c r="D1067" s="111"/>
      <c r="E1067" s="113"/>
      <c r="F1067" s="63" t="s">
        <v>2307</v>
      </c>
      <c r="G1067" s="63"/>
      <c r="H1067" s="115"/>
      <c r="I1067" s="108" t="s">
        <v>67</v>
      </c>
    </row>
    <row r="1068" spans="1:9" x14ac:dyDescent="0.3">
      <c r="A1068" s="114"/>
      <c r="B1068" s="111"/>
      <c r="C1068" s="63"/>
      <c r="D1068" s="111">
        <f>'03_Pipe_Engine'!$O$18</f>
        <v>5.0780000000000003</v>
      </c>
      <c r="E1068" s="113"/>
      <c r="F1068" s="63"/>
      <c r="G1068" s="63"/>
      <c r="H1068" s="115"/>
      <c r="I1068" s="108" t="s">
        <v>2308</v>
      </c>
    </row>
    <row r="1069" spans="1:9" x14ac:dyDescent="0.3">
      <c r="A1069" s="114"/>
      <c r="B1069" s="111"/>
      <c r="C1069" s="63"/>
      <c r="D1069" s="111">
        <f>'03_Pipe_Engine'!$X$18</f>
        <v>0.45</v>
      </c>
      <c r="E1069" s="113"/>
      <c r="F1069" s="63"/>
      <c r="G1069" s="63"/>
      <c r="H1069" s="115"/>
      <c r="I1069" s="108" t="s">
        <v>2309</v>
      </c>
    </row>
    <row r="1070" spans="1:9" x14ac:dyDescent="0.3">
      <c r="A1070" s="114"/>
      <c r="B1070" s="111"/>
      <c r="C1070" s="63"/>
      <c r="D1070" s="111">
        <f>'03_Pipe_Engine'!$L$18</f>
        <v>0.4</v>
      </c>
      <c r="E1070" s="113">
        <f>N(B1067)*N(D1068)*N(D1069)*N(D1070)</f>
        <v>0</v>
      </c>
      <c r="F1070" s="63"/>
      <c r="G1070" s="63"/>
      <c r="H1070" s="115"/>
      <c r="I1070" s="108" t="s">
        <v>2303</v>
      </c>
    </row>
    <row r="1071" spans="1:9" x14ac:dyDescent="0.3">
      <c r="A1071" s="114"/>
      <c r="B1071" s="111"/>
      <c r="C1071" s="63"/>
      <c r="D1071" s="111"/>
      <c r="E1071" s="113"/>
      <c r="F1071" s="63"/>
      <c r="G1071" s="63"/>
      <c r="H1071" s="115"/>
      <c r="I1071" s="108"/>
    </row>
    <row r="1072" spans="1:9" x14ac:dyDescent="0.3">
      <c r="A1072" s="114"/>
      <c r="B1072" s="111"/>
      <c r="C1072" s="63"/>
      <c r="D1072" s="111"/>
      <c r="E1072" s="113"/>
      <c r="F1072" s="63"/>
      <c r="G1072" s="63"/>
      <c r="H1072" s="115"/>
      <c r="I1072" s="108"/>
    </row>
    <row r="1073" spans="1:9" x14ac:dyDescent="0.3">
      <c r="A1073" s="119" t="s">
        <v>1323</v>
      </c>
      <c r="B1073" s="122"/>
      <c r="C1073" s="119"/>
      <c r="D1073" s="122"/>
      <c r="E1073" s="123"/>
      <c r="F1073" s="119" t="s">
        <v>2310</v>
      </c>
      <c r="G1073" s="119" t="s">
        <v>300</v>
      </c>
      <c r="H1073" s="124">
        <f>E1076</f>
        <v>0</v>
      </c>
      <c r="I1073" s="125" t="str">
        <f>IF(ABS(H1073-'03_Pipe_Engine'!$Z$18)&lt;=MAX(0.01,0.005*ABS('03_Pipe_Engine'!$Z$18)),"OK","DIFF")</f>
        <v>OK</v>
      </c>
    </row>
    <row r="1074" spans="1:9" x14ac:dyDescent="0.3">
      <c r="A1074" s="135"/>
      <c r="B1074" s="111">
        <f>'03_Pipe_Engine'!$D$18</f>
        <v>0</v>
      </c>
      <c r="C1074" s="138" t="s">
        <v>1628</v>
      </c>
      <c r="D1074" s="111"/>
      <c r="E1074" s="113"/>
      <c r="F1074" s="138" t="s">
        <v>2311</v>
      </c>
      <c r="G1074" s="138"/>
      <c r="H1074" s="136"/>
      <c r="I1074" s="139" t="s">
        <v>2301</v>
      </c>
    </row>
    <row r="1075" spans="1:9" x14ac:dyDescent="0.3">
      <c r="A1075" s="114"/>
      <c r="B1075" s="111"/>
      <c r="C1075" s="63"/>
      <c r="D1075" s="111">
        <f>'03_Pipe_Engine'!$J$18</f>
        <v>2.25</v>
      </c>
      <c r="E1075" s="113"/>
      <c r="F1075" s="63"/>
      <c r="G1075" s="63"/>
      <c r="H1075" s="115"/>
      <c r="I1075" s="108" t="s">
        <v>2249</v>
      </c>
    </row>
    <row r="1076" spans="1:9" x14ac:dyDescent="0.3">
      <c r="A1076" s="114"/>
      <c r="B1076" s="111"/>
      <c r="C1076" s="63"/>
      <c r="D1076" s="111">
        <f>'03_Pipe_Engine'!$M$18</f>
        <v>0.05</v>
      </c>
      <c r="E1076" s="113">
        <f>N(B1074)*N(D1075)*N(D1076)</f>
        <v>0</v>
      </c>
      <c r="F1076" s="63"/>
      <c r="G1076" s="63"/>
      <c r="H1076" s="115"/>
      <c r="I1076" s="108" t="s">
        <v>2260</v>
      </c>
    </row>
    <row r="1077" spans="1:9" x14ac:dyDescent="0.3">
      <c r="A1077" s="114"/>
      <c r="B1077" s="111"/>
      <c r="C1077" s="63"/>
      <c r="D1077" s="111"/>
      <c r="E1077" s="113"/>
      <c r="F1077" s="63"/>
      <c r="G1077" s="63"/>
      <c r="H1077" s="115"/>
      <c r="I1077" s="108"/>
    </row>
    <row r="1078" spans="1:9" x14ac:dyDescent="0.3">
      <c r="A1078" s="114"/>
      <c r="B1078" s="111"/>
      <c r="C1078" s="63"/>
      <c r="D1078" s="111"/>
      <c r="E1078" s="113"/>
      <c r="F1078" s="63"/>
      <c r="G1078" s="63"/>
      <c r="H1078" s="115"/>
      <c r="I1078" s="108"/>
    </row>
    <row r="1079" spans="1:9" x14ac:dyDescent="0.3">
      <c r="A1079" s="119" t="s">
        <v>1326</v>
      </c>
      <c r="B1079" s="122"/>
      <c r="C1079" s="119"/>
      <c r="D1079" s="122"/>
      <c r="E1079" s="123"/>
      <c r="F1079" s="119" t="s">
        <v>2312</v>
      </c>
      <c r="G1079" s="119" t="s">
        <v>300</v>
      </c>
      <c r="H1079" s="124">
        <f>E1083+E1088+E1093</f>
        <v>0</v>
      </c>
      <c r="I1079" s="125" t="str">
        <f>IF(ABS(H1079-'03_Pipe_Engine'!$AD$18)&lt;=MAX(0.01,0.005*ABS('03_Pipe_Engine'!$AD$18)),"OK","DIFF")</f>
        <v>OK</v>
      </c>
    </row>
    <row r="1080" spans="1:9" x14ac:dyDescent="0.3">
      <c r="A1080" s="135"/>
      <c r="B1080" s="111">
        <f>'03_Pipe_Engine'!$C$18*2</f>
        <v>0</v>
      </c>
      <c r="C1080" s="138" t="s">
        <v>1628</v>
      </c>
      <c r="D1080" s="111"/>
      <c r="E1080" s="113"/>
      <c r="F1080" s="138" t="s">
        <v>2313</v>
      </c>
      <c r="G1080" s="138"/>
      <c r="H1080" s="136"/>
      <c r="I1080" s="139" t="s">
        <v>67</v>
      </c>
    </row>
    <row r="1081" spans="1:9" x14ac:dyDescent="0.3">
      <c r="A1081" s="114"/>
      <c r="B1081" s="111"/>
      <c r="C1081" s="63"/>
      <c r="D1081" s="111">
        <f>'03_Pipe_Engine'!$N$18</f>
        <v>1.4139999999999999</v>
      </c>
      <c r="E1081" s="113"/>
      <c r="F1081" s="63"/>
      <c r="G1081" s="63"/>
      <c r="H1081" s="115"/>
      <c r="I1081" s="108" t="s">
        <v>2250</v>
      </c>
    </row>
    <row r="1082" spans="1:9" x14ac:dyDescent="0.3">
      <c r="A1082" s="114"/>
      <c r="B1082" s="111"/>
      <c r="C1082" s="63"/>
      <c r="D1082" s="111">
        <f>('03_Pipe_Engine'!$J$18+'03_Pipe_Engine'!$O$18)/2</f>
        <v>3.6640000000000001</v>
      </c>
      <c r="E1082" s="113"/>
      <c r="F1082" s="63"/>
      <c r="G1082" s="63"/>
      <c r="H1082" s="115"/>
      <c r="I1082" s="108" t="s">
        <v>2251</v>
      </c>
    </row>
    <row r="1083" spans="1:9" x14ac:dyDescent="0.3">
      <c r="A1083" s="114"/>
      <c r="B1083" s="111"/>
      <c r="C1083" s="63"/>
      <c r="D1083" s="111">
        <f>'03_Pipe_Engine'!$V$18</f>
        <v>0.2</v>
      </c>
      <c r="E1083" s="113">
        <f>N(B1080)*N(D1081)*N(D1082)*N(D1083)</f>
        <v>0</v>
      </c>
      <c r="F1083" s="63"/>
      <c r="G1083" s="63"/>
      <c r="H1083" s="115"/>
      <c r="I1083" s="108" t="s">
        <v>2260</v>
      </c>
    </row>
    <row r="1084" spans="1:9" x14ac:dyDescent="0.3">
      <c r="A1084" s="114"/>
      <c r="B1084" s="111"/>
      <c r="C1084" s="63"/>
      <c r="D1084" s="111"/>
      <c r="E1084" s="113"/>
      <c r="F1084" s="63"/>
      <c r="G1084" s="63"/>
      <c r="H1084" s="115"/>
      <c r="I1084" s="108"/>
    </row>
    <row r="1085" spans="1:9" x14ac:dyDescent="0.3">
      <c r="A1085" s="114"/>
      <c r="B1085" s="111">
        <f>'03_Pipe_Engine'!$C$18*4</f>
        <v>0</v>
      </c>
      <c r="C1085" s="63" t="s">
        <v>1628</v>
      </c>
      <c r="D1085" s="111"/>
      <c r="E1085" s="113"/>
      <c r="F1085" s="63" t="s">
        <v>2306</v>
      </c>
      <c r="G1085" s="63"/>
      <c r="H1085" s="115"/>
      <c r="I1085" s="108" t="s">
        <v>67</v>
      </c>
    </row>
    <row r="1086" spans="1:9" x14ac:dyDescent="0.3">
      <c r="A1086" s="114"/>
      <c r="B1086" s="111"/>
      <c r="C1086" s="63"/>
      <c r="D1086" s="111">
        <f>'03_Pipe_Engine'!$T$18</f>
        <v>2.25</v>
      </c>
      <c r="E1086" s="113"/>
      <c r="F1086" s="63"/>
      <c r="G1086" s="63"/>
      <c r="H1086" s="115"/>
      <c r="I1086" s="108" t="s">
        <v>2250</v>
      </c>
    </row>
    <row r="1087" spans="1:9" x14ac:dyDescent="0.3">
      <c r="A1087" s="114"/>
      <c r="B1087" s="111"/>
      <c r="C1087" s="63"/>
      <c r="D1087" s="111">
        <f>0.5</f>
        <v>0.5</v>
      </c>
      <c r="E1087" s="113"/>
      <c r="F1087" s="63"/>
      <c r="G1087" s="63"/>
      <c r="H1087" s="115"/>
      <c r="I1087" s="108" t="s">
        <v>2249</v>
      </c>
    </row>
    <row r="1088" spans="1:9" x14ac:dyDescent="0.3">
      <c r="A1088" s="114"/>
      <c r="B1088" s="111"/>
      <c r="C1088" s="63"/>
      <c r="D1088" s="111">
        <f>'03_Pipe_Engine'!$V$18</f>
        <v>0.2</v>
      </c>
      <c r="E1088" s="113">
        <f>N(B1085)*N(D1086)*N(D1087)*N(D1088)</f>
        <v>0</v>
      </c>
      <c r="F1088" s="63"/>
      <c r="G1088" s="63"/>
      <c r="H1088" s="115"/>
      <c r="I1088" s="108" t="s">
        <v>2260</v>
      </c>
    </row>
    <row r="1089" spans="1:9" x14ac:dyDescent="0.3">
      <c r="A1089" s="114"/>
      <c r="B1089" s="111"/>
      <c r="C1089" s="63"/>
      <c r="D1089" s="111"/>
      <c r="E1089" s="113"/>
      <c r="F1089" s="63"/>
      <c r="G1089" s="63"/>
      <c r="H1089" s="115"/>
      <c r="I1089" s="108"/>
    </row>
    <row r="1090" spans="1:9" x14ac:dyDescent="0.3">
      <c r="A1090" s="114"/>
      <c r="B1090" s="111">
        <f>'03_Pipe_Engine'!$C$18*2</f>
        <v>0</v>
      </c>
      <c r="C1090" s="63" t="s">
        <v>1628</v>
      </c>
      <c r="D1090" s="111"/>
      <c r="E1090" s="113"/>
      <c r="F1090" s="63" t="s">
        <v>2307</v>
      </c>
      <c r="G1090" s="63"/>
      <c r="H1090" s="115"/>
      <c r="I1090" s="108" t="s">
        <v>67</v>
      </c>
    </row>
    <row r="1091" spans="1:9" x14ac:dyDescent="0.3">
      <c r="A1091" s="114"/>
      <c r="B1091" s="111"/>
      <c r="C1091" s="63"/>
      <c r="D1091" s="111">
        <f>'03_Pipe_Engine'!$O$18</f>
        <v>5.0780000000000003</v>
      </c>
      <c r="E1091" s="113"/>
      <c r="F1091" s="63"/>
      <c r="G1091" s="63"/>
      <c r="H1091" s="115"/>
      <c r="I1091" s="108" t="s">
        <v>2249</v>
      </c>
    </row>
    <row r="1092" spans="1:9" x14ac:dyDescent="0.3">
      <c r="A1092" s="114"/>
      <c r="B1092" s="111"/>
      <c r="C1092" s="63"/>
      <c r="D1092" s="111">
        <f>'03_Pipe_Engine'!$X$18</f>
        <v>0.45</v>
      </c>
      <c r="E1092" s="113"/>
      <c r="F1092" s="63"/>
      <c r="G1092" s="63"/>
      <c r="H1092" s="115"/>
      <c r="I1092" s="108" t="s">
        <v>2303</v>
      </c>
    </row>
    <row r="1093" spans="1:9" x14ac:dyDescent="0.3">
      <c r="A1093" s="114"/>
      <c r="B1093" s="111"/>
      <c r="C1093" s="63"/>
      <c r="D1093" s="111">
        <f>'03_Pipe_Engine'!$V$18</f>
        <v>0.2</v>
      </c>
      <c r="E1093" s="113">
        <f>N(B1090)*N(D1091)*N(D1092)*N(D1093)</f>
        <v>0</v>
      </c>
      <c r="F1093" s="63"/>
      <c r="G1093" s="63"/>
      <c r="H1093" s="115"/>
      <c r="I1093" s="108" t="s">
        <v>2260</v>
      </c>
    </row>
    <row r="1094" spans="1:9" x14ac:dyDescent="0.3">
      <c r="A1094" s="114"/>
      <c r="B1094" s="111"/>
      <c r="C1094" s="63"/>
      <c r="D1094" s="111"/>
      <c r="E1094" s="113"/>
      <c r="F1094" s="63"/>
      <c r="G1094" s="63"/>
      <c r="H1094" s="115"/>
      <c r="I1094" s="108"/>
    </row>
    <row r="1095" spans="1:9" x14ac:dyDescent="0.3">
      <c r="A1095" s="114"/>
      <c r="B1095" s="111"/>
      <c r="C1095" s="63"/>
      <c r="D1095" s="111"/>
      <c r="E1095" s="113"/>
      <c r="F1095" s="63"/>
      <c r="G1095" s="63"/>
      <c r="H1095" s="115"/>
      <c r="I1095" s="108"/>
    </row>
    <row r="1096" spans="1:9" x14ac:dyDescent="0.3">
      <c r="A1096" s="119" t="s">
        <v>1327</v>
      </c>
      <c r="B1096" s="122"/>
      <c r="C1096" s="119"/>
      <c r="D1096" s="122"/>
      <c r="E1096" s="123"/>
      <c r="F1096" s="119" t="s">
        <v>2314</v>
      </c>
      <c r="G1096" s="119" t="s">
        <v>300</v>
      </c>
      <c r="H1096" s="124">
        <f>E1100+E1105</f>
        <v>0</v>
      </c>
      <c r="I1096" s="125" t="str">
        <f>IF(ABS(H1096-'03_Pipe_Engine'!$AE$18)&lt;=MAX(0.01,0.005*ABS('03_Pipe_Engine'!$AE$18)),"OK","DIFF")</f>
        <v>OK</v>
      </c>
    </row>
    <row r="1097" spans="1:9" x14ac:dyDescent="0.3">
      <c r="A1097" s="135"/>
      <c r="B1097" s="111">
        <f>'03_Pipe_Engine'!$C$18*2</f>
        <v>0</v>
      </c>
      <c r="C1097" s="138" t="s">
        <v>1628</v>
      </c>
      <c r="D1097" s="111"/>
      <c r="E1097" s="113"/>
      <c r="F1097" s="138" t="s">
        <v>2315</v>
      </c>
      <c r="G1097" s="138"/>
      <c r="H1097" s="136"/>
      <c r="I1097" s="139" t="s">
        <v>67</v>
      </c>
    </row>
    <row r="1098" spans="1:9" x14ac:dyDescent="0.3">
      <c r="A1098" s="114"/>
      <c r="B1098" s="111"/>
      <c r="C1098" s="63"/>
      <c r="D1098" s="111">
        <f>'03_Pipe_Engine'!$T$18</f>
        <v>2.25</v>
      </c>
      <c r="E1098" s="113"/>
      <c r="F1098" s="63"/>
      <c r="G1098" s="63"/>
      <c r="H1098" s="115"/>
      <c r="I1098" s="108" t="s">
        <v>2250</v>
      </c>
    </row>
    <row r="1099" spans="1:9" x14ac:dyDescent="0.3">
      <c r="A1099" s="114"/>
      <c r="B1099" s="111"/>
      <c r="C1099" s="63"/>
      <c r="D1099" s="111">
        <f>'03_Pipe_Engine'!$P$18</f>
        <v>0.6</v>
      </c>
      <c r="E1099" s="113"/>
      <c r="F1099" s="63"/>
      <c r="G1099" s="63"/>
      <c r="H1099" s="115"/>
      <c r="I1099" s="108" t="s">
        <v>2316</v>
      </c>
    </row>
    <row r="1100" spans="1:9" x14ac:dyDescent="0.3">
      <c r="A1100" s="114"/>
      <c r="B1100" s="111"/>
      <c r="C1100" s="63"/>
      <c r="D1100" s="111">
        <f>'03_Pipe_Engine'!$Q$18</f>
        <v>0.2</v>
      </c>
      <c r="E1100" s="113">
        <f>N(B1097)*N(D1098)*N(D1099)*N(D1100)</f>
        <v>0</v>
      </c>
      <c r="F1100" s="63"/>
      <c r="G1100" s="63"/>
      <c r="H1100" s="115"/>
      <c r="I1100" s="108" t="s">
        <v>2260</v>
      </c>
    </row>
    <row r="1101" spans="1:9" x14ac:dyDescent="0.3">
      <c r="A1101" s="114"/>
      <c r="B1101" s="111"/>
      <c r="C1101" s="63"/>
      <c r="D1101" s="111"/>
      <c r="E1101" s="113"/>
      <c r="F1101" s="63"/>
      <c r="G1101" s="63"/>
      <c r="H1101" s="115"/>
      <c r="I1101" s="108"/>
    </row>
    <row r="1102" spans="1:9" x14ac:dyDescent="0.3">
      <c r="A1102" s="114"/>
      <c r="B1102" s="111">
        <f>'03_Pipe_Engine'!$C$18*4</f>
        <v>0</v>
      </c>
      <c r="C1102" s="63" t="s">
        <v>1628</v>
      </c>
      <c r="D1102" s="111"/>
      <c r="E1102" s="113"/>
      <c r="F1102" s="63" t="s">
        <v>2317</v>
      </c>
      <c r="G1102" s="63"/>
      <c r="H1102" s="115"/>
      <c r="I1102" s="108" t="s">
        <v>67</v>
      </c>
    </row>
    <row r="1103" spans="1:9" x14ac:dyDescent="0.3">
      <c r="A1103" s="114"/>
      <c r="B1103" s="111"/>
      <c r="C1103" s="63"/>
      <c r="D1103" s="111">
        <f>'03_Pipe_Engine'!$T$18</f>
        <v>2.25</v>
      </c>
      <c r="E1103" s="113"/>
      <c r="F1103" s="63"/>
      <c r="G1103" s="63"/>
      <c r="H1103" s="115"/>
      <c r="I1103" s="108" t="s">
        <v>2250</v>
      </c>
    </row>
    <row r="1104" spans="1:9" x14ac:dyDescent="0.3">
      <c r="A1104" s="114"/>
      <c r="B1104" s="111"/>
      <c r="C1104" s="63"/>
      <c r="D1104" s="111">
        <f>'03_Pipe_Engine'!$S$18</f>
        <v>1.625</v>
      </c>
      <c r="E1104" s="113"/>
      <c r="F1104" s="63"/>
      <c r="G1104" s="63"/>
      <c r="H1104" s="115"/>
      <c r="I1104" s="108" t="s">
        <v>2253</v>
      </c>
    </row>
    <row r="1105" spans="1:9" x14ac:dyDescent="0.3">
      <c r="A1105" s="114"/>
      <c r="B1105" s="111"/>
      <c r="C1105" s="63"/>
      <c r="D1105" s="111">
        <f>'03_Pipe_Engine'!$U$18</f>
        <v>0.2</v>
      </c>
      <c r="E1105" s="113">
        <f>N(B1102)*N(D1103)*N(D1104)*N(D1105)</f>
        <v>0</v>
      </c>
      <c r="F1105" s="63"/>
      <c r="G1105" s="63"/>
      <c r="H1105" s="115"/>
      <c r="I1105" s="108" t="s">
        <v>2260</v>
      </c>
    </row>
    <row r="1106" spans="1:9" x14ac:dyDescent="0.3">
      <c r="A1106" s="114"/>
      <c r="B1106" s="111"/>
      <c r="C1106" s="63"/>
      <c r="D1106" s="111"/>
      <c r="E1106" s="113"/>
      <c r="F1106" s="63"/>
      <c r="G1106" s="63"/>
      <c r="H1106" s="115"/>
      <c r="I1106" s="108"/>
    </row>
    <row r="1107" spans="1:9" x14ac:dyDescent="0.3">
      <c r="A1107" s="114"/>
      <c r="B1107" s="111"/>
      <c r="C1107" s="63"/>
      <c r="D1107" s="111"/>
      <c r="E1107" s="113"/>
      <c r="F1107" s="63"/>
      <c r="G1107" s="63"/>
      <c r="H1107" s="115"/>
      <c r="I1107" s="108"/>
    </row>
    <row r="1108" spans="1:9" x14ac:dyDescent="0.3">
      <c r="A1108" s="119" t="s">
        <v>1328</v>
      </c>
      <c r="B1108" s="122"/>
      <c r="C1108" s="119"/>
      <c r="D1108" s="122"/>
      <c r="E1108" s="123"/>
      <c r="F1108" s="119" t="s">
        <v>2318</v>
      </c>
      <c r="G1108" s="119" t="s">
        <v>301</v>
      </c>
      <c r="H1108" s="124">
        <f>E1111+E1115</f>
        <v>0</v>
      </c>
      <c r="I1108" s="125" t="str">
        <f>IF(ABS(H1108-'03_Pipe_Engine'!$AF$18)&lt;=MAX(0.01,0.005*ABS('03_Pipe_Engine'!$AF$18)),"OK","DIFF")</f>
        <v>OK</v>
      </c>
    </row>
    <row r="1109" spans="1:9" x14ac:dyDescent="0.3">
      <c r="A1109" s="135"/>
      <c r="B1109" s="111">
        <f>'03_Pipe_Engine'!$C$18*2*2</f>
        <v>0</v>
      </c>
      <c r="C1109" s="138" t="s">
        <v>1628</v>
      </c>
      <c r="D1109" s="111"/>
      <c r="E1109" s="113"/>
      <c r="F1109" s="138" t="s">
        <v>2319</v>
      </c>
      <c r="G1109" s="138"/>
      <c r="H1109" s="136"/>
      <c r="I1109" s="139" t="s">
        <v>67</v>
      </c>
    </row>
    <row r="1110" spans="1:9" x14ac:dyDescent="0.3">
      <c r="A1110" s="114"/>
      <c r="B1110" s="111"/>
      <c r="C1110" s="63"/>
      <c r="D1110" s="111">
        <f>'03_Pipe_Engine'!$P$18</f>
        <v>0.6</v>
      </c>
      <c r="E1110" s="113"/>
      <c r="F1110" s="63"/>
      <c r="G1110" s="63"/>
      <c r="H1110" s="115"/>
      <c r="I1110" s="108" t="s">
        <v>2316</v>
      </c>
    </row>
    <row r="1111" spans="1:9" x14ac:dyDescent="0.3">
      <c r="A1111" s="114"/>
      <c r="B1111" s="111"/>
      <c r="C1111" s="63"/>
      <c r="D1111" s="111">
        <f>'03_Pipe_Engine'!$Q$18</f>
        <v>0.2</v>
      </c>
      <c r="E1111" s="113">
        <f>N(B1109)*N(D1110)*N(D1111)</f>
        <v>0</v>
      </c>
      <c r="F1111" s="63"/>
      <c r="G1111" s="63"/>
      <c r="H1111" s="115"/>
      <c r="I1111" s="108" t="s">
        <v>2260</v>
      </c>
    </row>
    <row r="1112" spans="1:9" x14ac:dyDescent="0.3">
      <c r="A1112" s="114"/>
      <c r="B1112" s="111"/>
      <c r="C1112" s="63"/>
      <c r="D1112" s="111"/>
      <c r="E1112" s="113"/>
      <c r="F1112" s="63"/>
      <c r="G1112" s="63"/>
      <c r="H1112" s="115"/>
      <c r="I1112" s="108"/>
    </row>
    <row r="1113" spans="1:9" x14ac:dyDescent="0.3">
      <c r="A1113" s="114"/>
      <c r="B1113" s="111">
        <f>'03_Pipe_Engine'!$C$18*4</f>
        <v>0</v>
      </c>
      <c r="C1113" s="63" t="s">
        <v>1628</v>
      </c>
      <c r="D1113" s="111"/>
      <c r="E1113" s="113"/>
      <c r="F1113" s="63" t="s">
        <v>2320</v>
      </c>
      <c r="G1113" s="63"/>
      <c r="H1113" s="115"/>
      <c r="I1113" s="108" t="s">
        <v>67</v>
      </c>
    </row>
    <row r="1114" spans="1:9" x14ac:dyDescent="0.3">
      <c r="A1114" s="114"/>
      <c r="B1114" s="111"/>
      <c r="C1114" s="63"/>
      <c r="D1114" s="111">
        <f>'03_Pipe_Engine'!$R$18</f>
        <v>1</v>
      </c>
      <c r="E1114" s="113"/>
      <c r="F1114" s="63"/>
      <c r="G1114" s="63"/>
      <c r="H1114" s="115"/>
      <c r="I1114" s="108" t="s">
        <v>2321</v>
      </c>
    </row>
    <row r="1115" spans="1:9" x14ac:dyDescent="0.3">
      <c r="A1115" s="114"/>
      <c r="B1115" s="111"/>
      <c r="C1115" s="63"/>
      <c r="D1115" s="111">
        <f>'03_Pipe_Engine'!$U$18</f>
        <v>0.2</v>
      </c>
      <c r="E1115" s="113">
        <f>N(B1113)*N(D1114)*N(D1115)</f>
        <v>0</v>
      </c>
      <c r="F1115" s="63"/>
      <c r="G1115" s="63"/>
      <c r="H1115" s="115"/>
      <c r="I1115" s="108" t="s">
        <v>2260</v>
      </c>
    </row>
    <row r="1116" spans="1:9" x14ac:dyDescent="0.3">
      <c r="A1116" s="114"/>
      <c r="B1116" s="111"/>
      <c r="C1116" s="63"/>
      <c r="D1116" s="111"/>
      <c r="E1116" s="113"/>
      <c r="F1116" s="63"/>
      <c r="G1116" s="63"/>
      <c r="H1116" s="115"/>
      <c r="I1116" s="108"/>
    </row>
    <row r="1117" spans="1:9" x14ac:dyDescent="0.3">
      <c r="A1117" s="114"/>
      <c r="B1117" s="111"/>
      <c r="C1117" s="63"/>
      <c r="D1117" s="111"/>
      <c r="E1117" s="113"/>
      <c r="F1117" s="63"/>
      <c r="G1117" s="63"/>
      <c r="H1117" s="115"/>
      <c r="I1117" s="108"/>
    </row>
    <row r="1118" spans="1:9" x14ac:dyDescent="0.3">
      <c r="A1118" s="119" t="s">
        <v>1329</v>
      </c>
      <c r="B1118" s="122"/>
      <c r="C1118" s="119"/>
      <c r="D1118" s="122"/>
      <c r="E1118" s="123"/>
      <c r="F1118" s="119" t="s">
        <v>2322</v>
      </c>
      <c r="G1118" s="119" t="s">
        <v>301</v>
      </c>
      <c r="H1118" s="124">
        <f>E1121+E1125</f>
        <v>0</v>
      </c>
      <c r="I1118" s="125" t="str">
        <f>IF(ABS(H1118-'03_Pipe_Engine'!$AG$18)&lt;=MAX(0.01,0.005*ABS('03_Pipe_Engine'!$AG$18)),"OK","DIFF")</f>
        <v>OK</v>
      </c>
    </row>
    <row r="1119" spans="1:9" x14ac:dyDescent="0.3">
      <c r="A1119" s="135"/>
      <c r="B1119" s="111">
        <f>'03_Pipe_Engine'!$C$18*2*2</f>
        <v>0</v>
      </c>
      <c r="C1119" s="138" t="s">
        <v>1628</v>
      </c>
      <c r="D1119" s="111"/>
      <c r="E1119" s="113"/>
      <c r="F1119" s="138" t="s">
        <v>2323</v>
      </c>
      <c r="G1119" s="138"/>
      <c r="H1119" s="136"/>
      <c r="I1119" s="139" t="s">
        <v>2324</v>
      </c>
    </row>
    <row r="1120" spans="1:9" x14ac:dyDescent="0.3">
      <c r="A1120" s="114"/>
      <c r="B1120" s="111"/>
      <c r="C1120" s="63"/>
      <c r="D1120" s="111">
        <f>'03_Pipe_Engine'!$T$18</f>
        <v>2.25</v>
      </c>
      <c r="E1120" s="113"/>
      <c r="F1120" s="63"/>
      <c r="G1120" s="63"/>
      <c r="H1120" s="115"/>
      <c r="I1120" s="108" t="s">
        <v>2250</v>
      </c>
    </row>
    <row r="1121" spans="1:9" x14ac:dyDescent="0.3">
      <c r="A1121" s="114"/>
      <c r="B1121" s="111"/>
      <c r="C1121" s="63"/>
      <c r="D1121" s="111">
        <f>'03_Pipe_Engine'!$P$18</f>
        <v>0.6</v>
      </c>
      <c r="E1121" s="113">
        <f>N(B1119)*N(D1120)*N(D1121)</f>
        <v>0</v>
      </c>
      <c r="F1121" s="63"/>
      <c r="G1121" s="63"/>
      <c r="H1121" s="115"/>
      <c r="I1121" s="108" t="s">
        <v>2316</v>
      </c>
    </row>
    <row r="1122" spans="1:9" x14ac:dyDescent="0.3">
      <c r="A1122" s="114"/>
      <c r="B1122" s="111"/>
      <c r="C1122" s="63"/>
      <c r="D1122" s="111"/>
      <c r="E1122" s="113"/>
      <c r="F1122" s="63"/>
      <c r="G1122" s="63"/>
      <c r="H1122" s="115"/>
      <c r="I1122" s="108"/>
    </row>
    <row r="1123" spans="1:9" x14ac:dyDescent="0.3">
      <c r="A1123" s="114"/>
      <c r="B1123" s="111">
        <f>'03_Pipe_Engine'!$C$18*4*2</f>
        <v>0</v>
      </c>
      <c r="C1123" s="63" t="s">
        <v>1628</v>
      </c>
      <c r="D1123" s="111"/>
      <c r="E1123" s="113"/>
      <c r="F1123" s="63" t="s">
        <v>2325</v>
      </c>
      <c r="G1123" s="63"/>
      <c r="H1123" s="115"/>
      <c r="I1123" s="108" t="s">
        <v>2324</v>
      </c>
    </row>
    <row r="1124" spans="1:9" x14ac:dyDescent="0.3">
      <c r="A1124" s="114"/>
      <c r="B1124" s="111"/>
      <c r="C1124" s="63"/>
      <c r="D1124" s="111">
        <f>'03_Pipe_Engine'!$T$18</f>
        <v>2.25</v>
      </c>
      <c r="E1124" s="113"/>
      <c r="F1124" s="63"/>
      <c r="G1124" s="63"/>
      <c r="H1124" s="115"/>
      <c r="I1124" s="108" t="s">
        <v>2250</v>
      </c>
    </row>
    <row r="1125" spans="1:9" x14ac:dyDescent="0.3">
      <c r="A1125" s="114"/>
      <c r="B1125" s="111"/>
      <c r="C1125" s="63"/>
      <c r="D1125" s="111">
        <f>'03_Pipe_Engine'!$S$18</f>
        <v>1.625</v>
      </c>
      <c r="E1125" s="113">
        <f>N(B1123)*N(D1124)*N(D1125)</f>
        <v>0</v>
      </c>
      <c r="F1125" s="63"/>
      <c r="G1125" s="63"/>
      <c r="H1125" s="115"/>
      <c r="I1125" s="108" t="s">
        <v>2253</v>
      </c>
    </row>
    <row r="1126" spans="1:9" x14ac:dyDescent="0.3">
      <c r="A1126" s="114"/>
      <c r="B1126" s="111"/>
      <c r="C1126" s="63"/>
      <c r="D1126" s="111"/>
      <c r="E1126" s="113"/>
      <c r="F1126" s="63"/>
      <c r="G1126" s="63"/>
      <c r="H1126" s="115"/>
      <c r="I1126" s="108"/>
    </row>
    <row r="1127" spans="1:9" x14ac:dyDescent="0.3">
      <c r="A1127" s="114"/>
      <c r="B1127" s="111"/>
      <c r="C1127" s="63"/>
      <c r="D1127" s="111"/>
      <c r="E1127" s="113"/>
      <c r="F1127" s="63"/>
      <c r="G1127" s="63"/>
      <c r="H1127" s="115"/>
      <c r="I1127" s="108"/>
    </row>
    <row r="1128" spans="1:9" x14ac:dyDescent="0.3">
      <c r="A1128" s="119" t="s">
        <v>1334</v>
      </c>
      <c r="B1128" s="122"/>
      <c r="C1128" s="119"/>
      <c r="D1128" s="122"/>
      <c r="E1128" s="123"/>
      <c r="F1128" s="119" t="s">
        <v>2334</v>
      </c>
      <c r="G1128" s="119" t="s">
        <v>63</v>
      </c>
      <c r="H1128" s="124">
        <f>E1130</f>
        <v>0</v>
      </c>
      <c r="I1128" s="125" t="str">
        <f>IF(ABS(H1128-'03_Pipe_Engine'!$AL$18)&lt;=MAX(0.01,0.005*ABS('03_Pipe_Engine'!$AL$18)),"OK","DIFF")</f>
        <v>OK</v>
      </c>
    </row>
    <row r="1129" spans="1:9" x14ac:dyDescent="0.3">
      <c r="A1129" s="135"/>
      <c r="B1129" s="111">
        <f>'03_Pipe_Engine'!$F$18</f>
        <v>1</v>
      </c>
      <c r="C1129" s="138" t="s">
        <v>1628</v>
      </c>
      <c r="D1129" s="111"/>
      <c r="E1129" s="113"/>
      <c r="F1129" s="138" t="s">
        <v>2327</v>
      </c>
      <c r="G1129" s="138"/>
      <c r="H1129" s="136"/>
      <c r="I1129" s="139" t="s">
        <v>2328</v>
      </c>
    </row>
    <row r="1130" spans="1:9" x14ac:dyDescent="0.3">
      <c r="A1130" s="114"/>
      <c r="B1130" s="111"/>
      <c r="C1130" s="63"/>
      <c r="D1130" s="111">
        <f>'03_Pipe_Engine'!$D$18</f>
        <v>0</v>
      </c>
      <c r="E1130" s="113">
        <f>N(B1129)*N(D1130)</f>
        <v>0</v>
      </c>
      <c r="F1130" s="63"/>
      <c r="G1130" s="63"/>
      <c r="H1130" s="115"/>
      <c r="I1130" s="108" t="s">
        <v>2301</v>
      </c>
    </row>
    <row r="1131" spans="1:9" x14ac:dyDescent="0.3">
      <c r="A1131" s="114"/>
      <c r="B1131" s="111"/>
      <c r="C1131" s="63"/>
      <c r="D1131" s="111"/>
      <c r="E1131" s="113"/>
      <c r="F1131" s="63"/>
      <c r="G1131" s="63"/>
      <c r="H1131" s="115"/>
      <c r="I1131" s="108"/>
    </row>
    <row r="1132" spans="1:9" x14ac:dyDescent="0.3">
      <c r="A1132" s="114"/>
      <c r="B1132" s="111"/>
      <c r="C1132" s="63"/>
      <c r="D1132" s="111"/>
      <c r="E1132" s="113"/>
      <c r="F1132" s="63"/>
      <c r="G1132" s="63"/>
      <c r="H1132" s="115"/>
      <c r="I1132" s="108"/>
    </row>
    <row r="1133" spans="1:9" x14ac:dyDescent="0.3">
      <c r="A1133" s="119" t="s">
        <v>1347</v>
      </c>
      <c r="B1133" s="122"/>
      <c r="C1133" s="119"/>
      <c r="D1133" s="122"/>
      <c r="E1133" s="123"/>
      <c r="F1133" s="119" t="s">
        <v>2329</v>
      </c>
      <c r="G1133" s="119" t="s">
        <v>63</v>
      </c>
      <c r="H1133" s="124">
        <f>E1134</f>
        <v>0</v>
      </c>
      <c r="I1133" s="125" t="str">
        <f>IF(ABS(H1133-'03_Pipe_Engine'!$AY$18)&lt;=MAX(0.01,0.005*ABS('03_Pipe_Engine'!$AY$18)),"OK","DIFF")</f>
        <v>OK</v>
      </c>
    </row>
    <row r="1134" spans="1:9" x14ac:dyDescent="0.3">
      <c r="A1134" s="135"/>
      <c r="B1134" s="111">
        <f>'03_Pipe_Engine'!$D$18</f>
        <v>0</v>
      </c>
      <c r="C1134" s="138" t="s">
        <v>1628</v>
      </c>
      <c r="D1134" s="111"/>
      <c r="E1134" s="113">
        <f>N(B1134)</f>
        <v>0</v>
      </c>
      <c r="F1134" s="138" t="s">
        <v>2330</v>
      </c>
      <c r="G1134" s="138"/>
      <c r="H1134" s="136"/>
      <c r="I1134" s="139" t="s">
        <v>2301</v>
      </c>
    </row>
    <row r="1135" spans="1:9" x14ac:dyDescent="0.3">
      <c r="A1135" s="114"/>
      <c r="B1135" s="111"/>
      <c r="C1135" s="63"/>
      <c r="D1135" s="111"/>
      <c r="E1135" s="113"/>
      <c r="F1135" s="63"/>
      <c r="G1135" s="63"/>
      <c r="H1135" s="115"/>
      <c r="I1135" s="108"/>
    </row>
    <row r="1136" spans="1:9" x14ac:dyDescent="0.3">
      <c r="A1136" s="114"/>
      <c r="B1136" s="111"/>
      <c r="C1136" s="63"/>
      <c r="D1136" s="111"/>
      <c r="E1136" s="113"/>
      <c r="F1136" s="63"/>
      <c r="G1136" s="63"/>
      <c r="H1136" s="115"/>
      <c r="I1136" s="108"/>
    </row>
    <row r="1137" spans="1:9" x14ac:dyDescent="0.3">
      <c r="A1137" s="114"/>
      <c r="B1137" s="111"/>
      <c r="C1137" s="63"/>
      <c r="D1137" s="111"/>
      <c r="E1137" s="113"/>
      <c r="F1137" s="63"/>
      <c r="G1137" s="63"/>
      <c r="H1137" s="115"/>
      <c r="I1137" s="108"/>
    </row>
    <row r="1138" spans="1:9" x14ac:dyDescent="0.3">
      <c r="A1138" s="131" t="s">
        <v>1431</v>
      </c>
      <c r="B1138" s="158"/>
      <c r="C1138" s="131"/>
      <c r="D1138" s="158"/>
      <c r="E1138" s="132"/>
      <c r="F1138" s="131" t="str">
        <f>IF('03_Pipe_Engine'!$C$19=0,"none in this project",'03_Pipe_Engine'!$C$19&amp;" nr,  total length "&amp;'03_Pipe_Engine'!$D$19&amp;" m")</f>
        <v>none in this project</v>
      </c>
      <c r="G1138" s="131"/>
      <c r="H1138" s="133"/>
      <c r="I1138" s="134"/>
    </row>
    <row r="1139" spans="1:9" x14ac:dyDescent="0.3">
      <c r="A1139" s="119" t="s">
        <v>1322</v>
      </c>
      <c r="B1139" s="122"/>
      <c r="C1139" s="119"/>
      <c r="D1139" s="122"/>
      <c r="E1139" s="123"/>
      <c r="F1139" s="119" t="s">
        <v>1373</v>
      </c>
      <c r="G1139" s="119" t="s">
        <v>300</v>
      </c>
      <c r="H1139" s="124">
        <f>E1142+E1147+E1152+E1157</f>
        <v>0</v>
      </c>
      <c r="I1139" s="125" t="str">
        <f>IF(ABS(H1139-'03_Pipe_Engine'!$Y$19)&lt;=MAX(0.01,0.005*ABS('03_Pipe_Engine'!$Y$19)),"OK","DIFF")</f>
        <v>OK</v>
      </c>
    </row>
    <row r="1140" spans="1:9" x14ac:dyDescent="0.3">
      <c r="A1140" s="135"/>
      <c r="B1140" s="111">
        <f>'03_Pipe_Engine'!$D$19</f>
        <v>0</v>
      </c>
      <c r="C1140" s="138" t="s">
        <v>1628</v>
      </c>
      <c r="D1140" s="111"/>
      <c r="E1140" s="113"/>
      <c r="F1140" s="138" t="s">
        <v>2300</v>
      </c>
      <c r="G1140" s="138"/>
      <c r="H1140" s="136"/>
      <c r="I1140" s="139" t="s">
        <v>2301</v>
      </c>
    </row>
    <row r="1141" spans="1:9" x14ac:dyDescent="0.3">
      <c r="A1141" s="114"/>
      <c r="B1141" s="111"/>
      <c r="C1141" s="63"/>
      <c r="D1141" s="111">
        <f>'03_Pipe_Engine'!$J$19</f>
        <v>4.2750000000000004</v>
      </c>
      <c r="E1141" s="113"/>
      <c r="F1141" s="63"/>
      <c r="G1141" s="63"/>
      <c r="H1141" s="115"/>
      <c r="I1141" s="108" t="s">
        <v>2302</v>
      </c>
    </row>
    <row r="1142" spans="1:9" x14ac:dyDescent="0.3">
      <c r="A1142" s="114"/>
      <c r="B1142" s="111"/>
      <c r="C1142" s="63"/>
      <c r="D1142" s="111">
        <f>'03_Pipe_Engine'!$L$19</f>
        <v>0.4</v>
      </c>
      <c r="E1142" s="113">
        <f>N(B1140)*N(D1141)*N(D1142)</f>
        <v>0</v>
      </c>
      <c r="F1142" s="63"/>
      <c r="G1142" s="63"/>
      <c r="H1142" s="115"/>
      <c r="I1142" s="108" t="s">
        <v>2303</v>
      </c>
    </row>
    <row r="1143" spans="1:9" x14ac:dyDescent="0.3">
      <c r="A1143" s="114"/>
      <c r="B1143" s="111"/>
      <c r="C1143" s="63"/>
      <c r="D1143" s="111"/>
      <c r="E1143" s="113"/>
      <c r="F1143" s="63"/>
      <c r="G1143" s="63"/>
      <c r="H1143" s="115"/>
      <c r="I1143" s="108"/>
    </row>
    <row r="1144" spans="1:9" x14ac:dyDescent="0.3">
      <c r="A1144" s="114"/>
      <c r="B1144" s="111">
        <f>'03_Pipe_Engine'!$C$19*2</f>
        <v>0</v>
      </c>
      <c r="C1144" s="63" t="s">
        <v>1628</v>
      </c>
      <c r="D1144" s="111"/>
      <c r="E1144" s="113"/>
      <c r="F1144" s="63" t="s">
        <v>2304</v>
      </c>
      <c r="G1144" s="63"/>
      <c r="H1144" s="115"/>
      <c r="I1144" s="108" t="s">
        <v>67</v>
      </c>
    </row>
    <row r="1145" spans="1:9" x14ac:dyDescent="0.3">
      <c r="A1145" s="114"/>
      <c r="B1145" s="111"/>
      <c r="C1145" s="63"/>
      <c r="D1145" s="111">
        <f>'03_Pipe_Engine'!$N$19</f>
        <v>1.4139999999999999</v>
      </c>
      <c r="E1145" s="113"/>
      <c r="F1145" s="63"/>
      <c r="G1145" s="63"/>
      <c r="H1145" s="115"/>
      <c r="I1145" s="108" t="s">
        <v>2305</v>
      </c>
    </row>
    <row r="1146" spans="1:9" x14ac:dyDescent="0.3">
      <c r="A1146" s="114"/>
      <c r="B1146" s="111"/>
      <c r="C1146" s="63"/>
      <c r="D1146" s="111">
        <f>('03_Pipe_Engine'!$J$19+'03_Pipe_Engine'!$O$19)/2</f>
        <v>5.6890000000000001</v>
      </c>
      <c r="E1146" s="113"/>
      <c r="F1146" s="63"/>
      <c r="G1146" s="63"/>
      <c r="H1146" s="115"/>
      <c r="I1146" s="108" t="s">
        <v>2251</v>
      </c>
    </row>
    <row r="1147" spans="1:9" x14ac:dyDescent="0.3">
      <c r="A1147" s="114"/>
      <c r="B1147" s="111"/>
      <c r="C1147" s="63"/>
      <c r="D1147" s="111">
        <f>'03_Pipe_Engine'!$L$19</f>
        <v>0.4</v>
      </c>
      <c r="E1147" s="113">
        <f>N(B1144)*N(D1145)*N(D1146)*N(D1147)</f>
        <v>0</v>
      </c>
      <c r="F1147" s="63"/>
      <c r="G1147" s="63"/>
      <c r="H1147" s="115"/>
      <c r="I1147" s="108" t="s">
        <v>2303</v>
      </c>
    </row>
    <row r="1148" spans="1:9" x14ac:dyDescent="0.3">
      <c r="A1148" s="114"/>
      <c r="B1148" s="111"/>
      <c r="C1148" s="63"/>
      <c r="D1148" s="111"/>
      <c r="E1148" s="113"/>
      <c r="F1148" s="63"/>
      <c r="G1148" s="63"/>
      <c r="H1148" s="115"/>
      <c r="I1148" s="108"/>
    </row>
    <row r="1149" spans="1:9" x14ac:dyDescent="0.3">
      <c r="A1149" s="114"/>
      <c r="B1149" s="111">
        <f>'03_Pipe_Engine'!$C$19*4</f>
        <v>0</v>
      </c>
      <c r="C1149" s="63" t="s">
        <v>1628</v>
      </c>
      <c r="D1149" s="111"/>
      <c r="E1149" s="113"/>
      <c r="F1149" s="63" t="s">
        <v>2306</v>
      </c>
      <c r="G1149" s="63"/>
      <c r="H1149" s="115"/>
      <c r="I1149" s="108" t="s">
        <v>67</v>
      </c>
    </row>
    <row r="1150" spans="1:9" x14ac:dyDescent="0.3">
      <c r="A1150" s="114"/>
      <c r="B1150" s="111"/>
      <c r="C1150" s="63"/>
      <c r="D1150" s="111">
        <f>'03_Pipe_Engine'!$T$19</f>
        <v>4.2750000000000004</v>
      </c>
      <c r="E1150" s="113"/>
      <c r="F1150" s="63"/>
      <c r="G1150" s="63"/>
      <c r="H1150" s="115"/>
      <c r="I1150" s="108" t="s">
        <v>2250</v>
      </c>
    </row>
    <row r="1151" spans="1:9" x14ac:dyDescent="0.3">
      <c r="A1151" s="114"/>
      <c r="B1151" s="111"/>
      <c r="C1151" s="63"/>
      <c r="D1151" s="111">
        <f>0.5</f>
        <v>0.5</v>
      </c>
      <c r="E1151" s="113"/>
      <c r="F1151" s="63"/>
      <c r="G1151" s="63"/>
      <c r="H1151" s="115"/>
      <c r="I1151" s="108" t="s">
        <v>2249</v>
      </c>
    </row>
    <row r="1152" spans="1:9" x14ac:dyDescent="0.3">
      <c r="A1152" s="114"/>
      <c r="B1152" s="111"/>
      <c r="C1152" s="63"/>
      <c r="D1152" s="111">
        <f>'03_Pipe_Engine'!$L$19</f>
        <v>0.4</v>
      </c>
      <c r="E1152" s="113">
        <f>N(B1149)*N(D1150)*N(D1151)*N(D1152)</f>
        <v>0</v>
      </c>
      <c r="F1152" s="63"/>
      <c r="G1152" s="63"/>
      <c r="H1152" s="115"/>
      <c r="I1152" s="108" t="s">
        <v>2303</v>
      </c>
    </row>
    <row r="1153" spans="1:9" x14ac:dyDescent="0.3">
      <c r="A1153" s="114"/>
      <c r="B1153" s="111"/>
      <c r="C1153" s="63"/>
      <c r="D1153" s="111"/>
      <c r="E1153" s="113"/>
      <c r="F1153" s="63"/>
      <c r="G1153" s="63"/>
      <c r="H1153" s="115"/>
      <c r="I1153" s="108"/>
    </row>
    <row r="1154" spans="1:9" x14ac:dyDescent="0.3">
      <c r="A1154" s="114"/>
      <c r="B1154" s="111">
        <f>'03_Pipe_Engine'!$C$19*2</f>
        <v>0</v>
      </c>
      <c r="C1154" s="63" t="s">
        <v>1628</v>
      </c>
      <c r="D1154" s="111"/>
      <c r="E1154" s="113"/>
      <c r="F1154" s="63" t="s">
        <v>2307</v>
      </c>
      <c r="G1154" s="63"/>
      <c r="H1154" s="115"/>
      <c r="I1154" s="108" t="s">
        <v>67</v>
      </c>
    </row>
    <row r="1155" spans="1:9" x14ac:dyDescent="0.3">
      <c r="A1155" s="114"/>
      <c r="B1155" s="111"/>
      <c r="C1155" s="63"/>
      <c r="D1155" s="111">
        <f>'03_Pipe_Engine'!$O$19</f>
        <v>7.1029999999999998</v>
      </c>
      <c r="E1155" s="113"/>
      <c r="F1155" s="63"/>
      <c r="G1155" s="63"/>
      <c r="H1155" s="115"/>
      <c r="I1155" s="108" t="s">
        <v>2308</v>
      </c>
    </row>
    <row r="1156" spans="1:9" x14ac:dyDescent="0.3">
      <c r="A1156" s="114"/>
      <c r="B1156" s="111"/>
      <c r="C1156" s="63"/>
      <c r="D1156" s="111">
        <f>'03_Pipe_Engine'!$X$19</f>
        <v>0.45</v>
      </c>
      <c r="E1156" s="113"/>
      <c r="F1156" s="63"/>
      <c r="G1156" s="63"/>
      <c r="H1156" s="115"/>
      <c r="I1156" s="108" t="s">
        <v>2309</v>
      </c>
    </row>
    <row r="1157" spans="1:9" x14ac:dyDescent="0.3">
      <c r="A1157" s="114"/>
      <c r="B1157" s="111"/>
      <c r="C1157" s="63"/>
      <c r="D1157" s="111">
        <f>'03_Pipe_Engine'!$L$19</f>
        <v>0.4</v>
      </c>
      <c r="E1157" s="113">
        <f>N(B1154)*N(D1155)*N(D1156)*N(D1157)</f>
        <v>0</v>
      </c>
      <c r="F1157" s="63"/>
      <c r="G1157" s="63"/>
      <c r="H1157" s="115"/>
      <c r="I1157" s="108" t="s">
        <v>2303</v>
      </c>
    </row>
    <row r="1158" spans="1:9" x14ac:dyDescent="0.3">
      <c r="A1158" s="114"/>
      <c r="B1158" s="111"/>
      <c r="C1158" s="63"/>
      <c r="D1158" s="111"/>
      <c r="E1158" s="113"/>
      <c r="F1158" s="63"/>
      <c r="G1158" s="63"/>
      <c r="H1158" s="115"/>
      <c r="I1158" s="108"/>
    </row>
    <row r="1159" spans="1:9" x14ac:dyDescent="0.3">
      <c r="A1159" s="114"/>
      <c r="B1159" s="111"/>
      <c r="C1159" s="63"/>
      <c r="D1159" s="111"/>
      <c r="E1159" s="113"/>
      <c r="F1159" s="63"/>
      <c r="G1159" s="63"/>
      <c r="H1159" s="115"/>
      <c r="I1159" s="108"/>
    </row>
    <row r="1160" spans="1:9" x14ac:dyDescent="0.3">
      <c r="A1160" s="119" t="s">
        <v>1323</v>
      </c>
      <c r="B1160" s="122"/>
      <c r="C1160" s="119"/>
      <c r="D1160" s="122"/>
      <c r="E1160" s="123"/>
      <c r="F1160" s="119" t="s">
        <v>2310</v>
      </c>
      <c r="G1160" s="119" t="s">
        <v>300</v>
      </c>
      <c r="H1160" s="124">
        <f>E1163</f>
        <v>0</v>
      </c>
      <c r="I1160" s="125" t="str">
        <f>IF(ABS(H1160-'03_Pipe_Engine'!$Z$19)&lt;=MAX(0.01,0.005*ABS('03_Pipe_Engine'!$Z$19)),"OK","DIFF")</f>
        <v>OK</v>
      </c>
    </row>
    <row r="1161" spans="1:9" x14ac:dyDescent="0.3">
      <c r="A1161" s="135"/>
      <c r="B1161" s="111">
        <f>'03_Pipe_Engine'!$D$19</f>
        <v>0</v>
      </c>
      <c r="C1161" s="138" t="s">
        <v>1628</v>
      </c>
      <c r="D1161" s="111"/>
      <c r="E1161" s="113"/>
      <c r="F1161" s="138" t="s">
        <v>2311</v>
      </c>
      <c r="G1161" s="138"/>
      <c r="H1161" s="136"/>
      <c r="I1161" s="139" t="s">
        <v>2301</v>
      </c>
    </row>
    <row r="1162" spans="1:9" x14ac:dyDescent="0.3">
      <c r="A1162" s="114"/>
      <c r="B1162" s="111"/>
      <c r="C1162" s="63"/>
      <c r="D1162" s="111">
        <f>'03_Pipe_Engine'!$J$19</f>
        <v>4.2750000000000004</v>
      </c>
      <c r="E1162" s="113"/>
      <c r="F1162" s="63"/>
      <c r="G1162" s="63"/>
      <c r="H1162" s="115"/>
      <c r="I1162" s="108" t="s">
        <v>2249</v>
      </c>
    </row>
    <row r="1163" spans="1:9" x14ac:dyDescent="0.3">
      <c r="A1163" s="114"/>
      <c r="B1163" s="111"/>
      <c r="C1163" s="63"/>
      <c r="D1163" s="111">
        <f>'03_Pipe_Engine'!$M$19</f>
        <v>0.05</v>
      </c>
      <c r="E1163" s="113">
        <f>N(B1161)*N(D1162)*N(D1163)</f>
        <v>0</v>
      </c>
      <c r="F1163" s="63"/>
      <c r="G1163" s="63"/>
      <c r="H1163" s="115"/>
      <c r="I1163" s="108" t="s">
        <v>2260</v>
      </c>
    </row>
    <row r="1164" spans="1:9" x14ac:dyDescent="0.3">
      <c r="A1164" s="114"/>
      <c r="B1164" s="111"/>
      <c r="C1164" s="63"/>
      <c r="D1164" s="111"/>
      <c r="E1164" s="113"/>
      <c r="F1164" s="63"/>
      <c r="G1164" s="63"/>
      <c r="H1164" s="115"/>
      <c r="I1164" s="108"/>
    </row>
    <row r="1165" spans="1:9" x14ac:dyDescent="0.3">
      <c r="A1165" s="114"/>
      <c r="B1165" s="111"/>
      <c r="C1165" s="63"/>
      <c r="D1165" s="111"/>
      <c r="E1165" s="113"/>
      <c r="F1165" s="63"/>
      <c r="G1165" s="63"/>
      <c r="H1165" s="115"/>
      <c r="I1165" s="108"/>
    </row>
    <row r="1166" spans="1:9" x14ac:dyDescent="0.3">
      <c r="A1166" s="119" t="s">
        <v>1326</v>
      </c>
      <c r="B1166" s="122"/>
      <c r="C1166" s="119"/>
      <c r="D1166" s="122"/>
      <c r="E1166" s="123"/>
      <c r="F1166" s="119" t="s">
        <v>2312</v>
      </c>
      <c r="G1166" s="119" t="s">
        <v>300</v>
      </c>
      <c r="H1166" s="124">
        <f>E1170+E1175+E1180</f>
        <v>0</v>
      </c>
      <c r="I1166" s="125" t="str">
        <f>IF(ABS(H1166-'03_Pipe_Engine'!$AD$19)&lt;=MAX(0.01,0.005*ABS('03_Pipe_Engine'!$AD$19)),"OK","DIFF")</f>
        <v>OK</v>
      </c>
    </row>
    <row r="1167" spans="1:9" x14ac:dyDescent="0.3">
      <c r="A1167" s="135"/>
      <c r="B1167" s="111">
        <f>'03_Pipe_Engine'!$C$19*2</f>
        <v>0</v>
      </c>
      <c r="C1167" s="138" t="s">
        <v>1628</v>
      </c>
      <c r="D1167" s="111"/>
      <c r="E1167" s="113"/>
      <c r="F1167" s="138" t="s">
        <v>2313</v>
      </c>
      <c r="G1167" s="138"/>
      <c r="H1167" s="136"/>
      <c r="I1167" s="139" t="s">
        <v>67</v>
      </c>
    </row>
    <row r="1168" spans="1:9" x14ac:dyDescent="0.3">
      <c r="A1168" s="114"/>
      <c r="B1168" s="111"/>
      <c r="C1168" s="63"/>
      <c r="D1168" s="111">
        <f>'03_Pipe_Engine'!$N$19</f>
        <v>1.4139999999999999</v>
      </c>
      <c r="E1168" s="113"/>
      <c r="F1168" s="63"/>
      <c r="G1168" s="63"/>
      <c r="H1168" s="115"/>
      <c r="I1168" s="108" t="s">
        <v>2250</v>
      </c>
    </row>
    <row r="1169" spans="1:9" x14ac:dyDescent="0.3">
      <c r="A1169" s="114"/>
      <c r="B1169" s="111"/>
      <c r="C1169" s="63"/>
      <c r="D1169" s="111">
        <f>('03_Pipe_Engine'!$J$19+'03_Pipe_Engine'!$O$19)/2</f>
        <v>5.6890000000000001</v>
      </c>
      <c r="E1169" s="113"/>
      <c r="F1169" s="63"/>
      <c r="G1169" s="63"/>
      <c r="H1169" s="115"/>
      <c r="I1169" s="108" t="s">
        <v>2251</v>
      </c>
    </row>
    <row r="1170" spans="1:9" x14ac:dyDescent="0.3">
      <c r="A1170" s="114"/>
      <c r="B1170" s="111"/>
      <c r="C1170" s="63"/>
      <c r="D1170" s="111">
        <f>'03_Pipe_Engine'!$V$19</f>
        <v>0.2</v>
      </c>
      <c r="E1170" s="113">
        <f>N(B1167)*N(D1168)*N(D1169)*N(D1170)</f>
        <v>0</v>
      </c>
      <c r="F1170" s="63"/>
      <c r="G1170" s="63"/>
      <c r="H1170" s="115"/>
      <c r="I1170" s="108" t="s">
        <v>2260</v>
      </c>
    </row>
    <row r="1171" spans="1:9" x14ac:dyDescent="0.3">
      <c r="A1171" s="114"/>
      <c r="B1171" s="111"/>
      <c r="C1171" s="63"/>
      <c r="D1171" s="111"/>
      <c r="E1171" s="113"/>
      <c r="F1171" s="63"/>
      <c r="G1171" s="63"/>
      <c r="H1171" s="115"/>
      <c r="I1171" s="108"/>
    </row>
    <row r="1172" spans="1:9" x14ac:dyDescent="0.3">
      <c r="A1172" s="114"/>
      <c r="B1172" s="111">
        <f>'03_Pipe_Engine'!$C$19*4</f>
        <v>0</v>
      </c>
      <c r="C1172" s="63" t="s">
        <v>1628</v>
      </c>
      <c r="D1172" s="111"/>
      <c r="E1172" s="113"/>
      <c r="F1172" s="63" t="s">
        <v>2306</v>
      </c>
      <c r="G1172" s="63"/>
      <c r="H1172" s="115"/>
      <c r="I1172" s="108" t="s">
        <v>67</v>
      </c>
    </row>
    <row r="1173" spans="1:9" x14ac:dyDescent="0.3">
      <c r="A1173" s="114"/>
      <c r="B1173" s="111"/>
      <c r="C1173" s="63"/>
      <c r="D1173" s="111">
        <f>'03_Pipe_Engine'!$T$19</f>
        <v>4.2750000000000004</v>
      </c>
      <c r="E1173" s="113"/>
      <c r="F1173" s="63"/>
      <c r="G1173" s="63"/>
      <c r="H1173" s="115"/>
      <c r="I1173" s="108" t="s">
        <v>2250</v>
      </c>
    </row>
    <row r="1174" spans="1:9" x14ac:dyDescent="0.3">
      <c r="A1174" s="114"/>
      <c r="B1174" s="111"/>
      <c r="C1174" s="63"/>
      <c r="D1174" s="111">
        <f>0.5</f>
        <v>0.5</v>
      </c>
      <c r="E1174" s="113"/>
      <c r="F1174" s="63"/>
      <c r="G1174" s="63"/>
      <c r="H1174" s="115"/>
      <c r="I1174" s="108" t="s">
        <v>2249</v>
      </c>
    </row>
    <row r="1175" spans="1:9" x14ac:dyDescent="0.3">
      <c r="A1175" s="114"/>
      <c r="B1175" s="111"/>
      <c r="C1175" s="63"/>
      <c r="D1175" s="111">
        <f>'03_Pipe_Engine'!$V$19</f>
        <v>0.2</v>
      </c>
      <c r="E1175" s="113">
        <f>N(B1172)*N(D1173)*N(D1174)*N(D1175)</f>
        <v>0</v>
      </c>
      <c r="F1175" s="63"/>
      <c r="G1175" s="63"/>
      <c r="H1175" s="115"/>
      <c r="I1175" s="108" t="s">
        <v>2260</v>
      </c>
    </row>
    <row r="1176" spans="1:9" x14ac:dyDescent="0.3">
      <c r="A1176" s="114"/>
      <c r="B1176" s="111"/>
      <c r="C1176" s="63"/>
      <c r="D1176" s="111"/>
      <c r="E1176" s="113"/>
      <c r="F1176" s="63"/>
      <c r="G1176" s="63"/>
      <c r="H1176" s="115"/>
      <c r="I1176" s="108"/>
    </row>
    <row r="1177" spans="1:9" x14ac:dyDescent="0.3">
      <c r="A1177" s="114"/>
      <c r="B1177" s="111">
        <f>'03_Pipe_Engine'!$C$19*2</f>
        <v>0</v>
      </c>
      <c r="C1177" s="63" t="s">
        <v>1628</v>
      </c>
      <c r="D1177" s="111"/>
      <c r="E1177" s="113"/>
      <c r="F1177" s="63" t="s">
        <v>2307</v>
      </c>
      <c r="G1177" s="63"/>
      <c r="H1177" s="115"/>
      <c r="I1177" s="108" t="s">
        <v>67</v>
      </c>
    </row>
    <row r="1178" spans="1:9" x14ac:dyDescent="0.3">
      <c r="A1178" s="114"/>
      <c r="B1178" s="111"/>
      <c r="C1178" s="63"/>
      <c r="D1178" s="111">
        <f>'03_Pipe_Engine'!$O$19</f>
        <v>7.1029999999999998</v>
      </c>
      <c r="E1178" s="113"/>
      <c r="F1178" s="63"/>
      <c r="G1178" s="63"/>
      <c r="H1178" s="115"/>
      <c r="I1178" s="108" t="s">
        <v>2249</v>
      </c>
    </row>
    <row r="1179" spans="1:9" x14ac:dyDescent="0.3">
      <c r="A1179" s="114"/>
      <c r="B1179" s="111"/>
      <c r="C1179" s="63"/>
      <c r="D1179" s="111">
        <f>'03_Pipe_Engine'!$X$19</f>
        <v>0.45</v>
      </c>
      <c r="E1179" s="113"/>
      <c r="F1179" s="63"/>
      <c r="G1179" s="63"/>
      <c r="H1179" s="115"/>
      <c r="I1179" s="108" t="s">
        <v>2303</v>
      </c>
    </row>
    <row r="1180" spans="1:9" x14ac:dyDescent="0.3">
      <c r="A1180" s="114"/>
      <c r="B1180" s="111"/>
      <c r="C1180" s="63"/>
      <c r="D1180" s="111">
        <f>'03_Pipe_Engine'!$V$19</f>
        <v>0.2</v>
      </c>
      <c r="E1180" s="113">
        <f>N(B1177)*N(D1178)*N(D1179)*N(D1180)</f>
        <v>0</v>
      </c>
      <c r="F1180" s="63"/>
      <c r="G1180" s="63"/>
      <c r="H1180" s="115"/>
      <c r="I1180" s="108" t="s">
        <v>2260</v>
      </c>
    </row>
    <row r="1181" spans="1:9" x14ac:dyDescent="0.3">
      <c r="A1181" s="114"/>
      <c r="B1181" s="111"/>
      <c r="C1181" s="63"/>
      <c r="D1181" s="111"/>
      <c r="E1181" s="113"/>
      <c r="F1181" s="63"/>
      <c r="G1181" s="63"/>
      <c r="H1181" s="115"/>
      <c r="I1181" s="108"/>
    </row>
    <row r="1182" spans="1:9" x14ac:dyDescent="0.3">
      <c r="A1182" s="114"/>
      <c r="B1182" s="111"/>
      <c r="C1182" s="63"/>
      <c r="D1182" s="111"/>
      <c r="E1182" s="113"/>
      <c r="F1182" s="63"/>
      <c r="G1182" s="63"/>
      <c r="H1182" s="115"/>
      <c r="I1182" s="108"/>
    </row>
    <row r="1183" spans="1:9" x14ac:dyDescent="0.3">
      <c r="A1183" s="119" t="s">
        <v>1327</v>
      </c>
      <c r="B1183" s="122"/>
      <c r="C1183" s="119"/>
      <c r="D1183" s="122"/>
      <c r="E1183" s="123"/>
      <c r="F1183" s="119" t="s">
        <v>2314</v>
      </c>
      <c r="G1183" s="119" t="s">
        <v>300</v>
      </c>
      <c r="H1183" s="124">
        <f>E1187+E1192</f>
        <v>0</v>
      </c>
      <c r="I1183" s="125" t="str">
        <f>IF(ABS(H1183-'03_Pipe_Engine'!$AE$19)&lt;=MAX(0.01,0.005*ABS('03_Pipe_Engine'!$AE$19)),"OK","DIFF")</f>
        <v>OK</v>
      </c>
    </row>
    <row r="1184" spans="1:9" x14ac:dyDescent="0.3">
      <c r="A1184" s="135"/>
      <c r="B1184" s="111">
        <f>'03_Pipe_Engine'!$C$19*2</f>
        <v>0</v>
      </c>
      <c r="C1184" s="138" t="s">
        <v>1628</v>
      </c>
      <c r="D1184" s="111"/>
      <c r="E1184" s="113"/>
      <c r="F1184" s="138" t="s">
        <v>2315</v>
      </c>
      <c r="G1184" s="138"/>
      <c r="H1184" s="136"/>
      <c r="I1184" s="139" t="s">
        <v>67</v>
      </c>
    </row>
    <row r="1185" spans="1:9" x14ac:dyDescent="0.3">
      <c r="A1185" s="114"/>
      <c r="B1185" s="111"/>
      <c r="C1185" s="63"/>
      <c r="D1185" s="111">
        <f>'03_Pipe_Engine'!$T$19</f>
        <v>4.2750000000000004</v>
      </c>
      <c r="E1185" s="113"/>
      <c r="F1185" s="63"/>
      <c r="G1185" s="63"/>
      <c r="H1185" s="115"/>
      <c r="I1185" s="108" t="s">
        <v>2250</v>
      </c>
    </row>
    <row r="1186" spans="1:9" x14ac:dyDescent="0.3">
      <c r="A1186" s="114"/>
      <c r="B1186" s="111"/>
      <c r="C1186" s="63"/>
      <c r="D1186" s="111">
        <f>'03_Pipe_Engine'!$P$19</f>
        <v>0.6</v>
      </c>
      <c r="E1186" s="113"/>
      <c r="F1186" s="63"/>
      <c r="G1186" s="63"/>
      <c r="H1186" s="115"/>
      <c r="I1186" s="108" t="s">
        <v>2316</v>
      </c>
    </row>
    <row r="1187" spans="1:9" x14ac:dyDescent="0.3">
      <c r="A1187" s="114"/>
      <c r="B1187" s="111"/>
      <c r="C1187" s="63"/>
      <c r="D1187" s="111">
        <f>'03_Pipe_Engine'!$Q$19</f>
        <v>0.2</v>
      </c>
      <c r="E1187" s="113">
        <f>N(B1184)*N(D1185)*N(D1186)*N(D1187)</f>
        <v>0</v>
      </c>
      <c r="F1187" s="63"/>
      <c r="G1187" s="63"/>
      <c r="H1187" s="115"/>
      <c r="I1187" s="108" t="s">
        <v>2260</v>
      </c>
    </row>
    <row r="1188" spans="1:9" x14ac:dyDescent="0.3">
      <c r="A1188" s="114"/>
      <c r="B1188" s="111"/>
      <c r="C1188" s="63"/>
      <c r="D1188" s="111"/>
      <c r="E1188" s="113"/>
      <c r="F1188" s="63"/>
      <c r="G1188" s="63"/>
      <c r="H1188" s="115"/>
      <c r="I1188" s="108"/>
    </row>
    <row r="1189" spans="1:9" x14ac:dyDescent="0.3">
      <c r="A1189" s="114"/>
      <c r="B1189" s="111">
        <f>'03_Pipe_Engine'!$C$19*4</f>
        <v>0</v>
      </c>
      <c r="C1189" s="63" t="s">
        <v>1628</v>
      </c>
      <c r="D1189" s="111"/>
      <c r="E1189" s="113"/>
      <c r="F1189" s="63" t="s">
        <v>2317</v>
      </c>
      <c r="G1189" s="63"/>
      <c r="H1189" s="115"/>
      <c r="I1189" s="108" t="s">
        <v>67</v>
      </c>
    </row>
    <row r="1190" spans="1:9" x14ac:dyDescent="0.3">
      <c r="A1190" s="114"/>
      <c r="B1190" s="111"/>
      <c r="C1190" s="63"/>
      <c r="D1190" s="111">
        <f>'03_Pipe_Engine'!$T$19</f>
        <v>4.2750000000000004</v>
      </c>
      <c r="E1190" s="113"/>
      <c r="F1190" s="63"/>
      <c r="G1190" s="63"/>
      <c r="H1190" s="115"/>
      <c r="I1190" s="108" t="s">
        <v>2250</v>
      </c>
    </row>
    <row r="1191" spans="1:9" x14ac:dyDescent="0.3">
      <c r="A1191" s="114"/>
      <c r="B1191" s="111"/>
      <c r="C1191" s="63"/>
      <c r="D1191" s="111">
        <f>'03_Pipe_Engine'!$S$19</f>
        <v>1.625</v>
      </c>
      <c r="E1191" s="113"/>
      <c r="F1191" s="63"/>
      <c r="G1191" s="63"/>
      <c r="H1191" s="115"/>
      <c r="I1191" s="108" t="s">
        <v>2253</v>
      </c>
    </row>
    <row r="1192" spans="1:9" x14ac:dyDescent="0.3">
      <c r="A1192" s="114"/>
      <c r="B1192" s="111"/>
      <c r="C1192" s="63"/>
      <c r="D1192" s="111">
        <f>'03_Pipe_Engine'!$U$19</f>
        <v>0.2</v>
      </c>
      <c r="E1192" s="113">
        <f>N(B1189)*N(D1190)*N(D1191)*N(D1192)</f>
        <v>0</v>
      </c>
      <c r="F1192" s="63"/>
      <c r="G1192" s="63"/>
      <c r="H1192" s="115"/>
      <c r="I1192" s="108" t="s">
        <v>2260</v>
      </c>
    </row>
    <row r="1193" spans="1:9" x14ac:dyDescent="0.3">
      <c r="A1193" s="114"/>
      <c r="B1193" s="111"/>
      <c r="C1193" s="63"/>
      <c r="D1193" s="111"/>
      <c r="E1193" s="113"/>
      <c r="F1193" s="63"/>
      <c r="G1193" s="63"/>
      <c r="H1193" s="115"/>
      <c r="I1193" s="108"/>
    </row>
    <row r="1194" spans="1:9" x14ac:dyDescent="0.3">
      <c r="A1194" s="114"/>
      <c r="B1194" s="111"/>
      <c r="C1194" s="63"/>
      <c r="D1194" s="111"/>
      <c r="E1194" s="113"/>
      <c r="F1194" s="63"/>
      <c r="G1194" s="63"/>
      <c r="H1194" s="115"/>
      <c r="I1194" s="108"/>
    </row>
    <row r="1195" spans="1:9" x14ac:dyDescent="0.3">
      <c r="A1195" s="119" t="s">
        <v>1328</v>
      </c>
      <c r="B1195" s="122"/>
      <c r="C1195" s="119"/>
      <c r="D1195" s="122"/>
      <c r="E1195" s="123"/>
      <c r="F1195" s="119" t="s">
        <v>2318</v>
      </c>
      <c r="G1195" s="119" t="s">
        <v>301</v>
      </c>
      <c r="H1195" s="124">
        <f>E1198+E1202</f>
        <v>0</v>
      </c>
      <c r="I1195" s="125" t="str">
        <f>IF(ABS(H1195-'03_Pipe_Engine'!$AF$19)&lt;=MAX(0.01,0.005*ABS('03_Pipe_Engine'!$AF$19)),"OK","DIFF")</f>
        <v>OK</v>
      </c>
    </row>
    <row r="1196" spans="1:9" x14ac:dyDescent="0.3">
      <c r="A1196" s="135"/>
      <c r="B1196" s="111">
        <f>'03_Pipe_Engine'!$C$19*2*2</f>
        <v>0</v>
      </c>
      <c r="C1196" s="138" t="s">
        <v>1628</v>
      </c>
      <c r="D1196" s="111"/>
      <c r="E1196" s="113"/>
      <c r="F1196" s="138" t="s">
        <v>2319</v>
      </c>
      <c r="G1196" s="138"/>
      <c r="H1196" s="136"/>
      <c r="I1196" s="139" t="s">
        <v>67</v>
      </c>
    </row>
    <row r="1197" spans="1:9" x14ac:dyDescent="0.3">
      <c r="A1197" s="114"/>
      <c r="B1197" s="111"/>
      <c r="C1197" s="63"/>
      <c r="D1197" s="111">
        <f>'03_Pipe_Engine'!$P$19</f>
        <v>0.6</v>
      </c>
      <c r="E1197" s="113"/>
      <c r="F1197" s="63"/>
      <c r="G1197" s="63"/>
      <c r="H1197" s="115"/>
      <c r="I1197" s="108" t="s">
        <v>2316</v>
      </c>
    </row>
    <row r="1198" spans="1:9" x14ac:dyDescent="0.3">
      <c r="A1198" s="114"/>
      <c r="B1198" s="111"/>
      <c r="C1198" s="63"/>
      <c r="D1198" s="111">
        <f>'03_Pipe_Engine'!$Q$19</f>
        <v>0.2</v>
      </c>
      <c r="E1198" s="113">
        <f>N(B1196)*N(D1197)*N(D1198)</f>
        <v>0</v>
      </c>
      <c r="F1198" s="63"/>
      <c r="G1198" s="63"/>
      <c r="H1198" s="115"/>
      <c r="I1198" s="108" t="s">
        <v>2260</v>
      </c>
    </row>
    <row r="1199" spans="1:9" x14ac:dyDescent="0.3">
      <c r="A1199" s="114"/>
      <c r="B1199" s="111"/>
      <c r="C1199" s="63"/>
      <c r="D1199" s="111"/>
      <c r="E1199" s="113"/>
      <c r="F1199" s="63"/>
      <c r="G1199" s="63"/>
      <c r="H1199" s="115"/>
      <c r="I1199" s="108"/>
    </row>
    <row r="1200" spans="1:9" x14ac:dyDescent="0.3">
      <c r="A1200" s="114"/>
      <c r="B1200" s="111">
        <f>'03_Pipe_Engine'!$C$19*4</f>
        <v>0</v>
      </c>
      <c r="C1200" s="63" t="s">
        <v>1628</v>
      </c>
      <c r="D1200" s="111"/>
      <c r="E1200" s="113"/>
      <c r="F1200" s="63" t="s">
        <v>2320</v>
      </c>
      <c r="G1200" s="63"/>
      <c r="H1200" s="115"/>
      <c r="I1200" s="108" t="s">
        <v>67</v>
      </c>
    </row>
    <row r="1201" spans="1:9" x14ac:dyDescent="0.3">
      <c r="A1201" s="114"/>
      <c r="B1201" s="111"/>
      <c r="C1201" s="63"/>
      <c r="D1201" s="111">
        <f>'03_Pipe_Engine'!$R$19</f>
        <v>1</v>
      </c>
      <c r="E1201" s="113"/>
      <c r="F1201" s="63"/>
      <c r="G1201" s="63"/>
      <c r="H1201" s="115"/>
      <c r="I1201" s="108" t="s">
        <v>2321</v>
      </c>
    </row>
    <row r="1202" spans="1:9" x14ac:dyDescent="0.3">
      <c r="A1202" s="114"/>
      <c r="B1202" s="111"/>
      <c r="C1202" s="63"/>
      <c r="D1202" s="111">
        <f>'03_Pipe_Engine'!$U$19</f>
        <v>0.2</v>
      </c>
      <c r="E1202" s="113">
        <f>N(B1200)*N(D1201)*N(D1202)</f>
        <v>0</v>
      </c>
      <c r="F1202" s="63"/>
      <c r="G1202" s="63"/>
      <c r="H1202" s="115"/>
      <c r="I1202" s="108" t="s">
        <v>2260</v>
      </c>
    </row>
    <row r="1203" spans="1:9" x14ac:dyDescent="0.3">
      <c r="A1203" s="114"/>
      <c r="B1203" s="111"/>
      <c r="C1203" s="63"/>
      <c r="D1203" s="111"/>
      <c r="E1203" s="113"/>
      <c r="F1203" s="63"/>
      <c r="G1203" s="63"/>
      <c r="H1203" s="115"/>
      <c r="I1203" s="108"/>
    </row>
    <row r="1204" spans="1:9" x14ac:dyDescent="0.3">
      <c r="A1204" s="114"/>
      <c r="B1204" s="111"/>
      <c r="C1204" s="63"/>
      <c r="D1204" s="111"/>
      <c r="E1204" s="113"/>
      <c r="F1204" s="63"/>
      <c r="G1204" s="63"/>
      <c r="H1204" s="115"/>
      <c r="I1204" s="108"/>
    </row>
    <row r="1205" spans="1:9" x14ac:dyDescent="0.3">
      <c r="A1205" s="119" t="s">
        <v>1329</v>
      </c>
      <c r="B1205" s="122"/>
      <c r="C1205" s="119"/>
      <c r="D1205" s="122"/>
      <c r="E1205" s="123"/>
      <c r="F1205" s="119" t="s">
        <v>2322</v>
      </c>
      <c r="G1205" s="119" t="s">
        <v>301</v>
      </c>
      <c r="H1205" s="124">
        <f>E1208+E1212</f>
        <v>0</v>
      </c>
      <c r="I1205" s="125" t="str">
        <f>IF(ABS(H1205-'03_Pipe_Engine'!$AG$19)&lt;=MAX(0.01,0.005*ABS('03_Pipe_Engine'!$AG$19)),"OK","DIFF")</f>
        <v>OK</v>
      </c>
    </row>
    <row r="1206" spans="1:9" x14ac:dyDescent="0.3">
      <c r="A1206" s="135"/>
      <c r="B1206" s="111">
        <f>'03_Pipe_Engine'!$C$19*2*2</f>
        <v>0</v>
      </c>
      <c r="C1206" s="138" t="s">
        <v>1628</v>
      </c>
      <c r="D1206" s="111"/>
      <c r="E1206" s="113"/>
      <c r="F1206" s="138" t="s">
        <v>2323</v>
      </c>
      <c r="G1206" s="138"/>
      <c r="H1206" s="136"/>
      <c r="I1206" s="139" t="s">
        <v>2324</v>
      </c>
    </row>
    <row r="1207" spans="1:9" x14ac:dyDescent="0.3">
      <c r="A1207" s="114"/>
      <c r="B1207" s="111"/>
      <c r="C1207" s="63"/>
      <c r="D1207" s="111">
        <f>'03_Pipe_Engine'!$T$19</f>
        <v>4.2750000000000004</v>
      </c>
      <c r="E1207" s="113"/>
      <c r="F1207" s="63"/>
      <c r="G1207" s="63"/>
      <c r="H1207" s="115"/>
      <c r="I1207" s="108" t="s">
        <v>2250</v>
      </c>
    </row>
    <row r="1208" spans="1:9" x14ac:dyDescent="0.3">
      <c r="A1208" s="114"/>
      <c r="B1208" s="111"/>
      <c r="C1208" s="63"/>
      <c r="D1208" s="111">
        <f>'03_Pipe_Engine'!$P$19</f>
        <v>0.6</v>
      </c>
      <c r="E1208" s="113">
        <f>N(B1206)*N(D1207)*N(D1208)</f>
        <v>0</v>
      </c>
      <c r="F1208" s="63"/>
      <c r="G1208" s="63"/>
      <c r="H1208" s="115"/>
      <c r="I1208" s="108" t="s">
        <v>2316</v>
      </c>
    </row>
    <row r="1209" spans="1:9" x14ac:dyDescent="0.3">
      <c r="A1209" s="114"/>
      <c r="B1209" s="111"/>
      <c r="C1209" s="63"/>
      <c r="D1209" s="111"/>
      <c r="E1209" s="113"/>
      <c r="F1209" s="63"/>
      <c r="G1209" s="63"/>
      <c r="H1209" s="115"/>
      <c r="I1209" s="108"/>
    </row>
    <row r="1210" spans="1:9" x14ac:dyDescent="0.3">
      <c r="A1210" s="114"/>
      <c r="B1210" s="111">
        <f>'03_Pipe_Engine'!$C$19*4*2</f>
        <v>0</v>
      </c>
      <c r="C1210" s="63" t="s">
        <v>1628</v>
      </c>
      <c r="D1210" s="111"/>
      <c r="E1210" s="113"/>
      <c r="F1210" s="63" t="s">
        <v>2325</v>
      </c>
      <c r="G1210" s="63"/>
      <c r="H1210" s="115"/>
      <c r="I1210" s="108" t="s">
        <v>2324</v>
      </c>
    </row>
    <row r="1211" spans="1:9" x14ac:dyDescent="0.3">
      <c r="A1211" s="114"/>
      <c r="B1211" s="111"/>
      <c r="C1211" s="63"/>
      <c r="D1211" s="111">
        <f>'03_Pipe_Engine'!$T$19</f>
        <v>4.2750000000000004</v>
      </c>
      <c r="E1211" s="113"/>
      <c r="F1211" s="63"/>
      <c r="G1211" s="63"/>
      <c r="H1211" s="115"/>
      <c r="I1211" s="108" t="s">
        <v>2250</v>
      </c>
    </row>
    <row r="1212" spans="1:9" x14ac:dyDescent="0.3">
      <c r="A1212" s="114"/>
      <c r="B1212" s="111"/>
      <c r="C1212" s="63"/>
      <c r="D1212" s="111">
        <f>'03_Pipe_Engine'!$S$19</f>
        <v>1.625</v>
      </c>
      <c r="E1212" s="113">
        <f>N(B1210)*N(D1211)*N(D1212)</f>
        <v>0</v>
      </c>
      <c r="F1212" s="63"/>
      <c r="G1212" s="63"/>
      <c r="H1212" s="115"/>
      <c r="I1212" s="108" t="s">
        <v>2253</v>
      </c>
    </row>
    <row r="1213" spans="1:9" x14ac:dyDescent="0.3">
      <c r="A1213" s="114"/>
      <c r="B1213" s="111"/>
      <c r="C1213" s="63"/>
      <c r="D1213" s="111"/>
      <c r="E1213" s="113"/>
      <c r="F1213" s="63"/>
      <c r="G1213" s="63"/>
      <c r="H1213" s="115"/>
      <c r="I1213" s="108"/>
    </row>
    <row r="1214" spans="1:9" x14ac:dyDescent="0.3">
      <c r="A1214" s="114"/>
      <c r="B1214" s="111"/>
      <c r="C1214" s="63"/>
      <c r="D1214" s="111"/>
      <c r="E1214" s="113"/>
      <c r="F1214" s="63"/>
      <c r="G1214" s="63"/>
      <c r="H1214" s="115"/>
      <c r="I1214" s="108"/>
    </row>
    <row r="1215" spans="1:9" x14ac:dyDescent="0.3">
      <c r="A1215" s="119" t="s">
        <v>1334</v>
      </c>
      <c r="B1215" s="122"/>
      <c r="C1215" s="119"/>
      <c r="D1215" s="122"/>
      <c r="E1215" s="123"/>
      <c r="F1215" s="119" t="s">
        <v>2334</v>
      </c>
      <c r="G1215" s="119" t="s">
        <v>63</v>
      </c>
      <c r="H1215" s="124">
        <f>E1217</f>
        <v>0</v>
      </c>
      <c r="I1215" s="125" t="str">
        <f>IF(ABS(H1215-'03_Pipe_Engine'!$AL$19)&lt;=MAX(0.01,0.005*ABS('03_Pipe_Engine'!$AL$19)),"OK","DIFF")</f>
        <v>OK</v>
      </c>
    </row>
    <row r="1216" spans="1:9" x14ac:dyDescent="0.3">
      <c r="A1216" s="135"/>
      <c r="B1216" s="111">
        <f>'03_Pipe_Engine'!$F$19</f>
        <v>2</v>
      </c>
      <c r="C1216" s="138" t="s">
        <v>1628</v>
      </c>
      <c r="D1216" s="111"/>
      <c r="E1216" s="113"/>
      <c r="F1216" s="138" t="s">
        <v>2327</v>
      </c>
      <c r="G1216" s="138"/>
      <c r="H1216" s="136"/>
      <c r="I1216" s="139" t="s">
        <v>2328</v>
      </c>
    </row>
    <row r="1217" spans="1:9" x14ac:dyDescent="0.3">
      <c r="A1217" s="114"/>
      <c r="B1217" s="111"/>
      <c r="C1217" s="63"/>
      <c r="D1217" s="111">
        <f>'03_Pipe_Engine'!$D$19</f>
        <v>0</v>
      </c>
      <c r="E1217" s="113">
        <f>N(B1216)*N(D1217)</f>
        <v>0</v>
      </c>
      <c r="F1217" s="63"/>
      <c r="G1217" s="63"/>
      <c r="H1217" s="115"/>
      <c r="I1217" s="108" t="s">
        <v>2301</v>
      </c>
    </row>
    <row r="1218" spans="1:9" x14ac:dyDescent="0.3">
      <c r="A1218" s="114"/>
      <c r="B1218" s="111"/>
      <c r="C1218" s="63"/>
      <c r="D1218" s="111"/>
      <c r="E1218" s="113"/>
      <c r="F1218" s="63"/>
      <c r="G1218" s="63"/>
      <c r="H1218" s="115"/>
      <c r="I1218" s="108"/>
    </row>
    <row r="1219" spans="1:9" x14ac:dyDescent="0.3">
      <c r="A1219" s="114"/>
      <c r="B1219" s="111"/>
      <c r="C1219" s="63"/>
      <c r="D1219" s="111"/>
      <c r="E1219" s="113"/>
      <c r="F1219" s="63"/>
      <c r="G1219" s="63"/>
      <c r="H1219" s="115"/>
      <c r="I1219" s="108"/>
    </row>
    <row r="1220" spans="1:9" x14ac:dyDescent="0.3">
      <c r="A1220" s="119" t="s">
        <v>1348</v>
      </c>
      <c r="B1220" s="122"/>
      <c r="C1220" s="119"/>
      <c r="D1220" s="122"/>
      <c r="E1220" s="123"/>
      <c r="F1220" s="119" t="s">
        <v>2329</v>
      </c>
      <c r="G1220" s="119" t="s">
        <v>63</v>
      </c>
      <c r="H1220" s="124">
        <f>E1221</f>
        <v>0</v>
      </c>
      <c r="I1220" s="125" t="str">
        <f>IF(ABS(H1220-'03_Pipe_Engine'!$AZ$19)&lt;=MAX(0.01,0.005*ABS('03_Pipe_Engine'!$AZ$19)),"OK","DIFF")</f>
        <v>OK</v>
      </c>
    </row>
    <row r="1221" spans="1:9" x14ac:dyDescent="0.3">
      <c r="A1221" s="135"/>
      <c r="B1221" s="111">
        <f>'03_Pipe_Engine'!$D$19</f>
        <v>0</v>
      </c>
      <c r="C1221" s="138" t="s">
        <v>1628</v>
      </c>
      <c r="D1221" s="111"/>
      <c r="E1221" s="113">
        <f>N(B1221)</f>
        <v>0</v>
      </c>
      <c r="F1221" s="138" t="s">
        <v>2330</v>
      </c>
      <c r="G1221" s="138"/>
      <c r="H1221" s="136"/>
      <c r="I1221" s="139" t="s">
        <v>2301</v>
      </c>
    </row>
    <row r="1222" spans="1:9" x14ac:dyDescent="0.3">
      <c r="A1222" s="114"/>
      <c r="B1222" s="111"/>
      <c r="C1222" s="63"/>
      <c r="D1222" s="111"/>
      <c r="E1222" s="113"/>
      <c r="F1222" s="63"/>
      <c r="G1222" s="63"/>
      <c r="H1222" s="115"/>
      <c r="I1222" s="108"/>
    </row>
    <row r="1223" spans="1:9" x14ac:dyDescent="0.3">
      <c r="A1223" s="114"/>
      <c r="B1223" s="111"/>
      <c r="C1223" s="63"/>
      <c r="D1223" s="111"/>
      <c r="E1223" s="113"/>
      <c r="F1223" s="63"/>
      <c r="G1223" s="63"/>
      <c r="H1223" s="115"/>
      <c r="I1223" s="108"/>
    </row>
    <row r="1224" spans="1:9" x14ac:dyDescent="0.3">
      <c r="A1224" s="114"/>
      <c r="B1224" s="111"/>
      <c r="C1224" s="63"/>
      <c r="D1224" s="111"/>
      <c r="E1224" s="113"/>
      <c r="F1224" s="63"/>
      <c r="G1224" s="63"/>
      <c r="H1224" s="115"/>
      <c r="I1224" s="108"/>
    </row>
    <row r="1225" spans="1:9" x14ac:dyDescent="0.3">
      <c r="A1225" s="131" t="s">
        <v>1433</v>
      </c>
      <c r="B1225" s="158"/>
      <c r="C1225" s="131"/>
      <c r="D1225" s="158"/>
      <c r="E1225" s="132"/>
      <c r="F1225" s="131" t="str">
        <f>IF('03_Pipe_Engine'!$C$20=0,"none in this project",'03_Pipe_Engine'!$C$20&amp;" nr,  total length "&amp;'03_Pipe_Engine'!$D$20&amp;" m")</f>
        <v>none in this project</v>
      </c>
      <c r="G1225" s="131"/>
      <c r="H1225" s="133"/>
      <c r="I1225" s="134"/>
    </row>
    <row r="1226" spans="1:9" x14ac:dyDescent="0.3">
      <c r="A1226" s="119" t="s">
        <v>1322</v>
      </c>
      <c r="B1226" s="122"/>
      <c r="C1226" s="119"/>
      <c r="D1226" s="122"/>
      <c r="E1226" s="123"/>
      <c r="F1226" s="119" t="s">
        <v>1373</v>
      </c>
      <c r="G1226" s="119" t="s">
        <v>300</v>
      </c>
      <c r="H1226" s="124">
        <f>E1229+E1234+E1239+E1244</f>
        <v>0</v>
      </c>
      <c r="I1226" s="125" t="str">
        <f>IF(ABS(H1226-'03_Pipe_Engine'!$Y$20)&lt;=MAX(0.01,0.005*ABS('03_Pipe_Engine'!$Y$20)),"OK","DIFF")</f>
        <v>OK</v>
      </c>
    </row>
    <row r="1227" spans="1:9" x14ac:dyDescent="0.3">
      <c r="A1227" s="135"/>
      <c r="B1227" s="111">
        <f>'03_Pipe_Engine'!$D$20</f>
        <v>0</v>
      </c>
      <c r="C1227" s="138" t="s">
        <v>1628</v>
      </c>
      <c r="D1227" s="111"/>
      <c r="E1227" s="113"/>
      <c r="F1227" s="138" t="s">
        <v>2300</v>
      </c>
      <c r="G1227" s="138"/>
      <c r="H1227" s="136"/>
      <c r="I1227" s="139" t="s">
        <v>2301</v>
      </c>
    </row>
    <row r="1228" spans="1:9" x14ac:dyDescent="0.3">
      <c r="A1228" s="114"/>
      <c r="B1228" s="111"/>
      <c r="C1228" s="63"/>
      <c r="D1228" s="111">
        <f>'03_Pipe_Engine'!$J$20</f>
        <v>6.3</v>
      </c>
      <c r="E1228" s="113"/>
      <c r="F1228" s="63"/>
      <c r="G1228" s="63"/>
      <c r="H1228" s="115"/>
      <c r="I1228" s="108" t="s">
        <v>2302</v>
      </c>
    </row>
    <row r="1229" spans="1:9" x14ac:dyDescent="0.3">
      <c r="A1229" s="114"/>
      <c r="B1229" s="111"/>
      <c r="C1229" s="63"/>
      <c r="D1229" s="111">
        <f>'03_Pipe_Engine'!$L$20</f>
        <v>0.4</v>
      </c>
      <c r="E1229" s="113">
        <f>N(B1227)*N(D1228)*N(D1229)</f>
        <v>0</v>
      </c>
      <c r="F1229" s="63"/>
      <c r="G1229" s="63"/>
      <c r="H1229" s="115"/>
      <c r="I1229" s="108" t="s">
        <v>2303</v>
      </c>
    </row>
    <row r="1230" spans="1:9" x14ac:dyDescent="0.3">
      <c r="A1230" s="114"/>
      <c r="B1230" s="111"/>
      <c r="C1230" s="63"/>
      <c r="D1230" s="111"/>
      <c r="E1230" s="113"/>
      <c r="F1230" s="63"/>
      <c r="G1230" s="63"/>
      <c r="H1230" s="115"/>
      <c r="I1230" s="108"/>
    </row>
    <row r="1231" spans="1:9" x14ac:dyDescent="0.3">
      <c r="A1231" s="114"/>
      <c r="B1231" s="111">
        <f>'03_Pipe_Engine'!$C$20*2</f>
        <v>0</v>
      </c>
      <c r="C1231" s="63" t="s">
        <v>1628</v>
      </c>
      <c r="D1231" s="111"/>
      <c r="E1231" s="113"/>
      <c r="F1231" s="63" t="s">
        <v>2304</v>
      </c>
      <c r="G1231" s="63"/>
      <c r="H1231" s="115"/>
      <c r="I1231" s="108" t="s">
        <v>67</v>
      </c>
    </row>
    <row r="1232" spans="1:9" x14ac:dyDescent="0.3">
      <c r="A1232" s="114"/>
      <c r="B1232" s="111"/>
      <c r="C1232" s="63"/>
      <c r="D1232" s="111">
        <f>'03_Pipe_Engine'!$N$20</f>
        <v>1.4139999999999999</v>
      </c>
      <c r="E1232" s="113"/>
      <c r="F1232" s="63"/>
      <c r="G1232" s="63"/>
      <c r="H1232" s="115"/>
      <c r="I1232" s="108" t="s">
        <v>2305</v>
      </c>
    </row>
    <row r="1233" spans="1:9" x14ac:dyDescent="0.3">
      <c r="A1233" s="114"/>
      <c r="B1233" s="111"/>
      <c r="C1233" s="63"/>
      <c r="D1233" s="111">
        <f>('03_Pipe_Engine'!$J$20+'03_Pipe_Engine'!$O$20)/2</f>
        <v>7.7140000000000004</v>
      </c>
      <c r="E1233" s="113"/>
      <c r="F1233" s="63"/>
      <c r="G1233" s="63"/>
      <c r="H1233" s="115"/>
      <c r="I1233" s="108" t="s">
        <v>2251</v>
      </c>
    </row>
    <row r="1234" spans="1:9" x14ac:dyDescent="0.3">
      <c r="A1234" s="114"/>
      <c r="B1234" s="111"/>
      <c r="C1234" s="63"/>
      <c r="D1234" s="111">
        <f>'03_Pipe_Engine'!$L$20</f>
        <v>0.4</v>
      </c>
      <c r="E1234" s="113">
        <f>N(B1231)*N(D1232)*N(D1233)*N(D1234)</f>
        <v>0</v>
      </c>
      <c r="F1234" s="63"/>
      <c r="G1234" s="63"/>
      <c r="H1234" s="115"/>
      <c r="I1234" s="108" t="s">
        <v>2303</v>
      </c>
    </row>
    <row r="1235" spans="1:9" x14ac:dyDescent="0.3">
      <c r="A1235" s="114"/>
      <c r="B1235" s="111"/>
      <c r="C1235" s="63"/>
      <c r="D1235" s="111"/>
      <c r="E1235" s="113"/>
      <c r="F1235" s="63"/>
      <c r="G1235" s="63"/>
      <c r="H1235" s="115"/>
      <c r="I1235" s="108"/>
    </row>
    <row r="1236" spans="1:9" x14ac:dyDescent="0.3">
      <c r="A1236" s="114"/>
      <c r="B1236" s="111">
        <f>'03_Pipe_Engine'!$C$20*4</f>
        <v>0</v>
      </c>
      <c r="C1236" s="63" t="s">
        <v>1628</v>
      </c>
      <c r="D1236" s="111"/>
      <c r="E1236" s="113"/>
      <c r="F1236" s="63" t="s">
        <v>2306</v>
      </c>
      <c r="G1236" s="63"/>
      <c r="H1236" s="115"/>
      <c r="I1236" s="108" t="s">
        <v>67</v>
      </c>
    </row>
    <row r="1237" spans="1:9" x14ac:dyDescent="0.3">
      <c r="A1237" s="114"/>
      <c r="B1237" s="111"/>
      <c r="C1237" s="63"/>
      <c r="D1237" s="111">
        <f>'03_Pipe_Engine'!$T$20</f>
        <v>6.3</v>
      </c>
      <c r="E1237" s="113"/>
      <c r="F1237" s="63"/>
      <c r="G1237" s="63"/>
      <c r="H1237" s="115"/>
      <c r="I1237" s="108" t="s">
        <v>2250</v>
      </c>
    </row>
    <row r="1238" spans="1:9" x14ac:dyDescent="0.3">
      <c r="A1238" s="114"/>
      <c r="B1238" s="111"/>
      <c r="C1238" s="63"/>
      <c r="D1238" s="111">
        <f>0.5</f>
        <v>0.5</v>
      </c>
      <c r="E1238" s="113"/>
      <c r="F1238" s="63"/>
      <c r="G1238" s="63"/>
      <c r="H1238" s="115"/>
      <c r="I1238" s="108" t="s">
        <v>2249</v>
      </c>
    </row>
    <row r="1239" spans="1:9" x14ac:dyDescent="0.3">
      <c r="A1239" s="114"/>
      <c r="B1239" s="111"/>
      <c r="C1239" s="63"/>
      <c r="D1239" s="111">
        <f>'03_Pipe_Engine'!$L$20</f>
        <v>0.4</v>
      </c>
      <c r="E1239" s="113">
        <f>N(B1236)*N(D1237)*N(D1238)*N(D1239)</f>
        <v>0</v>
      </c>
      <c r="F1239" s="63"/>
      <c r="G1239" s="63"/>
      <c r="H1239" s="115"/>
      <c r="I1239" s="108" t="s">
        <v>2303</v>
      </c>
    </row>
    <row r="1240" spans="1:9" x14ac:dyDescent="0.3">
      <c r="A1240" s="114"/>
      <c r="B1240" s="111"/>
      <c r="C1240" s="63"/>
      <c r="D1240" s="111"/>
      <c r="E1240" s="113"/>
      <c r="F1240" s="63"/>
      <c r="G1240" s="63"/>
      <c r="H1240" s="115"/>
      <c r="I1240" s="108"/>
    </row>
    <row r="1241" spans="1:9" x14ac:dyDescent="0.3">
      <c r="A1241" s="114"/>
      <c r="B1241" s="111">
        <f>'03_Pipe_Engine'!$C$20*2</f>
        <v>0</v>
      </c>
      <c r="C1241" s="63" t="s">
        <v>1628</v>
      </c>
      <c r="D1241" s="111"/>
      <c r="E1241" s="113"/>
      <c r="F1241" s="63" t="s">
        <v>2307</v>
      </c>
      <c r="G1241" s="63"/>
      <c r="H1241" s="115"/>
      <c r="I1241" s="108" t="s">
        <v>67</v>
      </c>
    </row>
    <row r="1242" spans="1:9" x14ac:dyDescent="0.3">
      <c r="A1242" s="114"/>
      <c r="B1242" s="111"/>
      <c r="C1242" s="63"/>
      <c r="D1242" s="111">
        <f>'03_Pipe_Engine'!$O$20</f>
        <v>9.1280000000000001</v>
      </c>
      <c r="E1242" s="113"/>
      <c r="F1242" s="63"/>
      <c r="G1242" s="63"/>
      <c r="H1242" s="115"/>
      <c r="I1242" s="108" t="s">
        <v>2308</v>
      </c>
    </row>
    <row r="1243" spans="1:9" x14ac:dyDescent="0.3">
      <c r="A1243" s="114"/>
      <c r="B1243" s="111"/>
      <c r="C1243" s="63"/>
      <c r="D1243" s="111">
        <f>'03_Pipe_Engine'!$X$20</f>
        <v>0.45</v>
      </c>
      <c r="E1243" s="113"/>
      <c r="F1243" s="63"/>
      <c r="G1243" s="63"/>
      <c r="H1243" s="115"/>
      <c r="I1243" s="108" t="s">
        <v>2309</v>
      </c>
    </row>
    <row r="1244" spans="1:9" x14ac:dyDescent="0.3">
      <c r="A1244" s="114"/>
      <c r="B1244" s="111"/>
      <c r="C1244" s="63"/>
      <c r="D1244" s="111">
        <f>'03_Pipe_Engine'!$L$20</f>
        <v>0.4</v>
      </c>
      <c r="E1244" s="113">
        <f>N(B1241)*N(D1242)*N(D1243)*N(D1244)</f>
        <v>0</v>
      </c>
      <c r="F1244" s="63"/>
      <c r="G1244" s="63"/>
      <c r="H1244" s="115"/>
      <c r="I1244" s="108" t="s">
        <v>2303</v>
      </c>
    </row>
    <row r="1245" spans="1:9" x14ac:dyDescent="0.3">
      <c r="A1245" s="114"/>
      <c r="B1245" s="111"/>
      <c r="C1245" s="63"/>
      <c r="D1245" s="111"/>
      <c r="E1245" s="113"/>
      <c r="F1245" s="63"/>
      <c r="G1245" s="63"/>
      <c r="H1245" s="115"/>
      <c r="I1245" s="108"/>
    </row>
    <row r="1246" spans="1:9" x14ac:dyDescent="0.3">
      <c r="A1246" s="114"/>
      <c r="B1246" s="111"/>
      <c r="C1246" s="63"/>
      <c r="D1246" s="111"/>
      <c r="E1246" s="113"/>
      <c r="F1246" s="63"/>
      <c r="G1246" s="63"/>
      <c r="H1246" s="115"/>
      <c r="I1246" s="108"/>
    </row>
    <row r="1247" spans="1:9" x14ac:dyDescent="0.3">
      <c r="A1247" s="119" t="s">
        <v>1323</v>
      </c>
      <c r="B1247" s="122"/>
      <c r="C1247" s="119"/>
      <c r="D1247" s="122"/>
      <c r="E1247" s="123"/>
      <c r="F1247" s="119" t="s">
        <v>2310</v>
      </c>
      <c r="G1247" s="119" t="s">
        <v>300</v>
      </c>
      <c r="H1247" s="124">
        <f>E1250</f>
        <v>0</v>
      </c>
      <c r="I1247" s="125" t="str">
        <f>IF(ABS(H1247-'03_Pipe_Engine'!$Z$20)&lt;=MAX(0.01,0.005*ABS('03_Pipe_Engine'!$Z$20)),"OK","DIFF")</f>
        <v>OK</v>
      </c>
    </row>
    <row r="1248" spans="1:9" x14ac:dyDescent="0.3">
      <c r="A1248" s="135"/>
      <c r="B1248" s="111">
        <f>'03_Pipe_Engine'!$D$20</f>
        <v>0</v>
      </c>
      <c r="C1248" s="138" t="s">
        <v>1628</v>
      </c>
      <c r="D1248" s="111"/>
      <c r="E1248" s="113"/>
      <c r="F1248" s="138" t="s">
        <v>2311</v>
      </c>
      <c r="G1248" s="138"/>
      <c r="H1248" s="136"/>
      <c r="I1248" s="139" t="s">
        <v>2301</v>
      </c>
    </row>
    <row r="1249" spans="1:9" x14ac:dyDescent="0.3">
      <c r="A1249" s="114"/>
      <c r="B1249" s="111"/>
      <c r="C1249" s="63"/>
      <c r="D1249" s="111">
        <f>'03_Pipe_Engine'!$J$20</f>
        <v>6.3</v>
      </c>
      <c r="E1249" s="113"/>
      <c r="F1249" s="63"/>
      <c r="G1249" s="63"/>
      <c r="H1249" s="115"/>
      <c r="I1249" s="108" t="s">
        <v>2249</v>
      </c>
    </row>
    <row r="1250" spans="1:9" x14ac:dyDescent="0.3">
      <c r="A1250" s="114"/>
      <c r="B1250" s="111"/>
      <c r="C1250" s="63"/>
      <c r="D1250" s="111">
        <f>'03_Pipe_Engine'!$M$20</f>
        <v>0.05</v>
      </c>
      <c r="E1250" s="113">
        <f>N(B1248)*N(D1249)*N(D1250)</f>
        <v>0</v>
      </c>
      <c r="F1250" s="63"/>
      <c r="G1250" s="63"/>
      <c r="H1250" s="115"/>
      <c r="I1250" s="108" t="s">
        <v>2260</v>
      </c>
    </row>
    <row r="1251" spans="1:9" x14ac:dyDescent="0.3">
      <c r="A1251" s="114"/>
      <c r="B1251" s="111"/>
      <c r="C1251" s="63"/>
      <c r="D1251" s="111"/>
      <c r="E1251" s="113"/>
      <c r="F1251" s="63"/>
      <c r="G1251" s="63"/>
      <c r="H1251" s="115"/>
      <c r="I1251" s="108"/>
    </row>
    <row r="1252" spans="1:9" x14ac:dyDescent="0.3">
      <c r="A1252" s="114"/>
      <c r="B1252" s="111"/>
      <c r="C1252" s="63"/>
      <c r="D1252" s="111"/>
      <c r="E1252" s="113"/>
      <c r="F1252" s="63"/>
      <c r="G1252" s="63"/>
      <c r="H1252" s="115"/>
      <c r="I1252" s="108"/>
    </row>
    <row r="1253" spans="1:9" x14ac:dyDescent="0.3">
      <c r="A1253" s="119" t="s">
        <v>1326</v>
      </c>
      <c r="B1253" s="122"/>
      <c r="C1253" s="119"/>
      <c r="D1253" s="122"/>
      <c r="E1253" s="123"/>
      <c r="F1253" s="119" t="s">
        <v>2312</v>
      </c>
      <c r="G1253" s="119" t="s">
        <v>300</v>
      </c>
      <c r="H1253" s="124">
        <f>E1257+E1262+E1267</f>
        <v>0</v>
      </c>
      <c r="I1253" s="125" t="str">
        <f>IF(ABS(H1253-'03_Pipe_Engine'!$AD$20)&lt;=MAX(0.01,0.005*ABS('03_Pipe_Engine'!$AD$20)),"OK","DIFF")</f>
        <v>OK</v>
      </c>
    </row>
    <row r="1254" spans="1:9" x14ac:dyDescent="0.3">
      <c r="A1254" s="135"/>
      <c r="B1254" s="111">
        <f>'03_Pipe_Engine'!$C$20*2</f>
        <v>0</v>
      </c>
      <c r="C1254" s="138" t="s">
        <v>1628</v>
      </c>
      <c r="D1254" s="111"/>
      <c r="E1254" s="113"/>
      <c r="F1254" s="138" t="s">
        <v>2313</v>
      </c>
      <c r="G1254" s="138"/>
      <c r="H1254" s="136"/>
      <c r="I1254" s="139" t="s">
        <v>67</v>
      </c>
    </row>
    <row r="1255" spans="1:9" x14ac:dyDescent="0.3">
      <c r="A1255" s="114"/>
      <c r="B1255" s="111"/>
      <c r="C1255" s="63"/>
      <c r="D1255" s="111">
        <f>'03_Pipe_Engine'!$N$20</f>
        <v>1.4139999999999999</v>
      </c>
      <c r="E1255" s="113"/>
      <c r="F1255" s="63"/>
      <c r="G1255" s="63"/>
      <c r="H1255" s="115"/>
      <c r="I1255" s="108" t="s">
        <v>2250</v>
      </c>
    </row>
    <row r="1256" spans="1:9" x14ac:dyDescent="0.3">
      <c r="A1256" s="114"/>
      <c r="B1256" s="111"/>
      <c r="C1256" s="63"/>
      <c r="D1256" s="111">
        <f>('03_Pipe_Engine'!$J$20+'03_Pipe_Engine'!$O$20)/2</f>
        <v>7.7140000000000004</v>
      </c>
      <c r="E1256" s="113"/>
      <c r="F1256" s="63"/>
      <c r="G1256" s="63"/>
      <c r="H1256" s="115"/>
      <c r="I1256" s="108" t="s">
        <v>2251</v>
      </c>
    </row>
    <row r="1257" spans="1:9" x14ac:dyDescent="0.3">
      <c r="A1257" s="114"/>
      <c r="B1257" s="111"/>
      <c r="C1257" s="63"/>
      <c r="D1257" s="111">
        <f>'03_Pipe_Engine'!$V$20</f>
        <v>0.2</v>
      </c>
      <c r="E1257" s="113">
        <f>N(B1254)*N(D1255)*N(D1256)*N(D1257)</f>
        <v>0</v>
      </c>
      <c r="F1257" s="63"/>
      <c r="G1257" s="63"/>
      <c r="H1257" s="115"/>
      <c r="I1257" s="108" t="s">
        <v>2260</v>
      </c>
    </row>
    <row r="1258" spans="1:9" x14ac:dyDescent="0.3">
      <c r="A1258" s="114"/>
      <c r="B1258" s="111"/>
      <c r="C1258" s="63"/>
      <c r="D1258" s="111"/>
      <c r="E1258" s="113"/>
      <c r="F1258" s="63"/>
      <c r="G1258" s="63"/>
      <c r="H1258" s="115"/>
      <c r="I1258" s="108"/>
    </row>
    <row r="1259" spans="1:9" x14ac:dyDescent="0.3">
      <c r="A1259" s="114"/>
      <c r="B1259" s="111">
        <f>'03_Pipe_Engine'!$C$20*4</f>
        <v>0</v>
      </c>
      <c r="C1259" s="63" t="s">
        <v>1628</v>
      </c>
      <c r="D1259" s="111"/>
      <c r="E1259" s="113"/>
      <c r="F1259" s="63" t="s">
        <v>2306</v>
      </c>
      <c r="G1259" s="63"/>
      <c r="H1259" s="115"/>
      <c r="I1259" s="108" t="s">
        <v>67</v>
      </c>
    </row>
    <row r="1260" spans="1:9" x14ac:dyDescent="0.3">
      <c r="A1260" s="114"/>
      <c r="B1260" s="111"/>
      <c r="C1260" s="63"/>
      <c r="D1260" s="111">
        <f>'03_Pipe_Engine'!$T$20</f>
        <v>6.3</v>
      </c>
      <c r="E1260" s="113"/>
      <c r="F1260" s="63"/>
      <c r="G1260" s="63"/>
      <c r="H1260" s="115"/>
      <c r="I1260" s="108" t="s">
        <v>2250</v>
      </c>
    </row>
    <row r="1261" spans="1:9" x14ac:dyDescent="0.3">
      <c r="A1261" s="114"/>
      <c r="B1261" s="111"/>
      <c r="C1261" s="63"/>
      <c r="D1261" s="111">
        <f>0.5</f>
        <v>0.5</v>
      </c>
      <c r="E1261" s="113"/>
      <c r="F1261" s="63"/>
      <c r="G1261" s="63"/>
      <c r="H1261" s="115"/>
      <c r="I1261" s="108" t="s">
        <v>2249</v>
      </c>
    </row>
    <row r="1262" spans="1:9" x14ac:dyDescent="0.3">
      <c r="A1262" s="114"/>
      <c r="B1262" s="111"/>
      <c r="C1262" s="63"/>
      <c r="D1262" s="111">
        <f>'03_Pipe_Engine'!$V$20</f>
        <v>0.2</v>
      </c>
      <c r="E1262" s="113">
        <f>N(B1259)*N(D1260)*N(D1261)*N(D1262)</f>
        <v>0</v>
      </c>
      <c r="F1262" s="63"/>
      <c r="G1262" s="63"/>
      <c r="H1262" s="115"/>
      <c r="I1262" s="108" t="s">
        <v>2260</v>
      </c>
    </row>
    <row r="1263" spans="1:9" x14ac:dyDescent="0.3">
      <c r="A1263" s="114"/>
      <c r="B1263" s="111"/>
      <c r="C1263" s="63"/>
      <c r="D1263" s="111"/>
      <c r="E1263" s="113"/>
      <c r="F1263" s="63"/>
      <c r="G1263" s="63"/>
      <c r="H1263" s="115"/>
      <c r="I1263" s="108"/>
    </row>
    <row r="1264" spans="1:9" x14ac:dyDescent="0.3">
      <c r="A1264" s="114"/>
      <c r="B1264" s="111">
        <f>'03_Pipe_Engine'!$C$20*2</f>
        <v>0</v>
      </c>
      <c r="C1264" s="63" t="s">
        <v>1628</v>
      </c>
      <c r="D1264" s="111"/>
      <c r="E1264" s="113"/>
      <c r="F1264" s="63" t="s">
        <v>2307</v>
      </c>
      <c r="G1264" s="63"/>
      <c r="H1264" s="115"/>
      <c r="I1264" s="108" t="s">
        <v>67</v>
      </c>
    </row>
    <row r="1265" spans="1:9" x14ac:dyDescent="0.3">
      <c r="A1265" s="114"/>
      <c r="B1265" s="111"/>
      <c r="C1265" s="63"/>
      <c r="D1265" s="111">
        <f>'03_Pipe_Engine'!$O$20</f>
        <v>9.1280000000000001</v>
      </c>
      <c r="E1265" s="113"/>
      <c r="F1265" s="63"/>
      <c r="G1265" s="63"/>
      <c r="H1265" s="115"/>
      <c r="I1265" s="108" t="s">
        <v>2249</v>
      </c>
    </row>
    <row r="1266" spans="1:9" x14ac:dyDescent="0.3">
      <c r="A1266" s="114"/>
      <c r="B1266" s="111"/>
      <c r="C1266" s="63"/>
      <c r="D1266" s="111">
        <f>'03_Pipe_Engine'!$X$20</f>
        <v>0.45</v>
      </c>
      <c r="E1266" s="113"/>
      <c r="F1266" s="63"/>
      <c r="G1266" s="63"/>
      <c r="H1266" s="115"/>
      <c r="I1266" s="108" t="s">
        <v>2303</v>
      </c>
    </row>
    <row r="1267" spans="1:9" x14ac:dyDescent="0.3">
      <c r="A1267" s="114"/>
      <c r="B1267" s="111"/>
      <c r="C1267" s="63"/>
      <c r="D1267" s="111">
        <f>'03_Pipe_Engine'!$V$20</f>
        <v>0.2</v>
      </c>
      <c r="E1267" s="113">
        <f>N(B1264)*N(D1265)*N(D1266)*N(D1267)</f>
        <v>0</v>
      </c>
      <c r="F1267" s="63"/>
      <c r="G1267" s="63"/>
      <c r="H1267" s="115"/>
      <c r="I1267" s="108" t="s">
        <v>2260</v>
      </c>
    </row>
    <row r="1268" spans="1:9" x14ac:dyDescent="0.3">
      <c r="A1268" s="114"/>
      <c r="B1268" s="111"/>
      <c r="C1268" s="63"/>
      <c r="D1268" s="111"/>
      <c r="E1268" s="113"/>
      <c r="F1268" s="63"/>
      <c r="G1268" s="63"/>
      <c r="H1268" s="115"/>
      <c r="I1268" s="108"/>
    </row>
    <row r="1269" spans="1:9" x14ac:dyDescent="0.3">
      <c r="A1269" s="114"/>
      <c r="B1269" s="111"/>
      <c r="C1269" s="63"/>
      <c r="D1269" s="111"/>
      <c r="E1269" s="113"/>
      <c r="F1269" s="63"/>
      <c r="G1269" s="63"/>
      <c r="H1269" s="115"/>
      <c r="I1269" s="108"/>
    </row>
    <row r="1270" spans="1:9" x14ac:dyDescent="0.3">
      <c r="A1270" s="119" t="s">
        <v>1327</v>
      </c>
      <c r="B1270" s="122"/>
      <c r="C1270" s="119"/>
      <c r="D1270" s="122"/>
      <c r="E1270" s="123"/>
      <c r="F1270" s="119" t="s">
        <v>2314</v>
      </c>
      <c r="G1270" s="119" t="s">
        <v>300</v>
      </c>
      <c r="H1270" s="124">
        <f>E1274+E1279</f>
        <v>0</v>
      </c>
      <c r="I1270" s="125" t="str">
        <f>IF(ABS(H1270-'03_Pipe_Engine'!$AE$20)&lt;=MAX(0.01,0.005*ABS('03_Pipe_Engine'!$AE$20)),"OK","DIFF")</f>
        <v>OK</v>
      </c>
    </row>
    <row r="1271" spans="1:9" x14ac:dyDescent="0.3">
      <c r="A1271" s="135"/>
      <c r="B1271" s="111">
        <f>'03_Pipe_Engine'!$C$20*2</f>
        <v>0</v>
      </c>
      <c r="C1271" s="138" t="s">
        <v>1628</v>
      </c>
      <c r="D1271" s="111"/>
      <c r="E1271" s="113"/>
      <c r="F1271" s="138" t="s">
        <v>2315</v>
      </c>
      <c r="G1271" s="138"/>
      <c r="H1271" s="136"/>
      <c r="I1271" s="139" t="s">
        <v>67</v>
      </c>
    </row>
    <row r="1272" spans="1:9" x14ac:dyDescent="0.3">
      <c r="A1272" s="114"/>
      <c r="B1272" s="111"/>
      <c r="C1272" s="63"/>
      <c r="D1272" s="111">
        <f>'03_Pipe_Engine'!$T$20</f>
        <v>6.3</v>
      </c>
      <c r="E1272" s="113"/>
      <c r="F1272" s="63"/>
      <c r="G1272" s="63"/>
      <c r="H1272" s="115"/>
      <c r="I1272" s="108" t="s">
        <v>2250</v>
      </c>
    </row>
    <row r="1273" spans="1:9" x14ac:dyDescent="0.3">
      <c r="A1273" s="114"/>
      <c r="B1273" s="111"/>
      <c r="C1273" s="63"/>
      <c r="D1273" s="111">
        <f>'03_Pipe_Engine'!$P$20</f>
        <v>0.6</v>
      </c>
      <c r="E1273" s="113"/>
      <c r="F1273" s="63"/>
      <c r="G1273" s="63"/>
      <c r="H1273" s="115"/>
      <c r="I1273" s="108" t="s">
        <v>2316</v>
      </c>
    </row>
    <row r="1274" spans="1:9" x14ac:dyDescent="0.3">
      <c r="A1274" s="114"/>
      <c r="B1274" s="111"/>
      <c r="C1274" s="63"/>
      <c r="D1274" s="111">
        <f>'03_Pipe_Engine'!$Q$20</f>
        <v>0.2</v>
      </c>
      <c r="E1274" s="113">
        <f>N(B1271)*N(D1272)*N(D1273)*N(D1274)</f>
        <v>0</v>
      </c>
      <c r="F1274" s="63"/>
      <c r="G1274" s="63"/>
      <c r="H1274" s="115"/>
      <c r="I1274" s="108" t="s">
        <v>2260</v>
      </c>
    </row>
    <row r="1275" spans="1:9" x14ac:dyDescent="0.3">
      <c r="A1275" s="114"/>
      <c r="B1275" s="111"/>
      <c r="C1275" s="63"/>
      <c r="D1275" s="111"/>
      <c r="E1275" s="113"/>
      <c r="F1275" s="63"/>
      <c r="G1275" s="63"/>
      <c r="H1275" s="115"/>
      <c r="I1275" s="108"/>
    </row>
    <row r="1276" spans="1:9" x14ac:dyDescent="0.3">
      <c r="A1276" s="114"/>
      <c r="B1276" s="111">
        <f>'03_Pipe_Engine'!$C$20*4</f>
        <v>0</v>
      </c>
      <c r="C1276" s="63" t="s">
        <v>1628</v>
      </c>
      <c r="D1276" s="111"/>
      <c r="E1276" s="113"/>
      <c r="F1276" s="63" t="s">
        <v>2317</v>
      </c>
      <c r="G1276" s="63"/>
      <c r="H1276" s="115"/>
      <c r="I1276" s="108" t="s">
        <v>67</v>
      </c>
    </row>
    <row r="1277" spans="1:9" x14ac:dyDescent="0.3">
      <c r="A1277" s="114"/>
      <c r="B1277" s="111"/>
      <c r="C1277" s="63"/>
      <c r="D1277" s="111">
        <f>'03_Pipe_Engine'!$T$20</f>
        <v>6.3</v>
      </c>
      <c r="E1277" s="113"/>
      <c r="F1277" s="63"/>
      <c r="G1277" s="63"/>
      <c r="H1277" s="115"/>
      <c r="I1277" s="108" t="s">
        <v>2250</v>
      </c>
    </row>
    <row r="1278" spans="1:9" x14ac:dyDescent="0.3">
      <c r="A1278" s="114"/>
      <c r="B1278" s="111"/>
      <c r="C1278" s="63"/>
      <c r="D1278" s="111">
        <f>'03_Pipe_Engine'!$S$20</f>
        <v>1.625</v>
      </c>
      <c r="E1278" s="113"/>
      <c r="F1278" s="63"/>
      <c r="G1278" s="63"/>
      <c r="H1278" s="115"/>
      <c r="I1278" s="108" t="s">
        <v>2253</v>
      </c>
    </row>
    <row r="1279" spans="1:9" x14ac:dyDescent="0.3">
      <c r="A1279" s="114"/>
      <c r="B1279" s="111"/>
      <c r="C1279" s="63"/>
      <c r="D1279" s="111">
        <f>'03_Pipe_Engine'!$U$20</f>
        <v>0.2</v>
      </c>
      <c r="E1279" s="113">
        <f>N(B1276)*N(D1277)*N(D1278)*N(D1279)</f>
        <v>0</v>
      </c>
      <c r="F1279" s="63"/>
      <c r="G1279" s="63"/>
      <c r="H1279" s="115"/>
      <c r="I1279" s="108" t="s">
        <v>2260</v>
      </c>
    </row>
    <row r="1280" spans="1:9" x14ac:dyDescent="0.3">
      <c r="A1280" s="114"/>
      <c r="B1280" s="111"/>
      <c r="C1280" s="63"/>
      <c r="D1280" s="111"/>
      <c r="E1280" s="113"/>
      <c r="F1280" s="63"/>
      <c r="G1280" s="63"/>
      <c r="H1280" s="115"/>
      <c r="I1280" s="108"/>
    </row>
    <row r="1281" spans="1:9" x14ac:dyDescent="0.3">
      <c r="A1281" s="114"/>
      <c r="B1281" s="111"/>
      <c r="C1281" s="63"/>
      <c r="D1281" s="111"/>
      <c r="E1281" s="113"/>
      <c r="F1281" s="63"/>
      <c r="G1281" s="63"/>
      <c r="H1281" s="115"/>
      <c r="I1281" s="108"/>
    </row>
    <row r="1282" spans="1:9" x14ac:dyDescent="0.3">
      <c r="A1282" s="119" t="s">
        <v>1328</v>
      </c>
      <c r="B1282" s="122"/>
      <c r="C1282" s="119"/>
      <c r="D1282" s="122"/>
      <c r="E1282" s="123"/>
      <c r="F1282" s="119" t="s">
        <v>2318</v>
      </c>
      <c r="G1282" s="119" t="s">
        <v>301</v>
      </c>
      <c r="H1282" s="124">
        <f>E1285+E1289</f>
        <v>0</v>
      </c>
      <c r="I1282" s="125" t="str">
        <f>IF(ABS(H1282-'03_Pipe_Engine'!$AF$20)&lt;=MAX(0.01,0.005*ABS('03_Pipe_Engine'!$AF$20)),"OK","DIFF")</f>
        <v>OK</v>
      </c>
    </row>
    <row r="1283" spans="1:9" x14ac:dyDescent="0.3">
      <c r="A1283" s="135"/>
      <c r="B1283" s="111">
        <f>'03_Pipe_Engine'!$C$20*2*2</f>
        <v>0</v>
      </c>
      <c r="C1283" s="138" t="s">
        <v>1628</v>
      </c>
      <c r="D1283" s="111"/>
      <c r="E1283" s="113"/>
      <c r="F1283" s="138" t="s">
        <v>2319</v>
      </c>
      <c r="G1283" s="138"/>
      <c r="H1283" s="136"/>
      <c r="I1283" s="139" t="s">
        <v>67</v>
      </c>
    </row>
    <row r="1284" spans="1:9" x14ac:dyDescent="0.3">
      <c r="A1284" s="114"/>
      <c r="B1284" s="111"/>
      <c r="C1284" s="63"/>
      <c r="D1284" s="111">
        <f>'03_Pipe_Engine'!$P$20</f>
        <v>0.6</v>
      </c>
      <c r="E1284" s="113"/>
      <c r="F1284" s="63"/>
      <c r="G1284" s="63"/>
      <c r="H1284" s="115"/>
      <c r="I1284" s="108" t="s">
        <v>2316</v>
      </c>
    </row>
    <row r="1285" spans="1:9" x14ac:dyDescent="0.3">
      <c r="A1285" s="114"/>
      <c r="B1285" s="111"/>
      <c r="C1285" s="63"/>
      <c r="D1285" s="111">
        <f>'03_Pipe_Engine'!$Q$20</f>
        <v>0.2</v>
      </c>
      <c r="E1285" s="113">
        <f>N(B1283)*N(D1284)*N(D1285)</f>
        <v>0</v>
      </c>
      <c r="F1285" s="63"/>
      <c r="G1285" s="63"/>
      <c r="H1285" s="115"/>
      <c r="I1285" s="108" t="s">
        <v>2260</v>
      </c>
    </row>
    <row r="1286" spans="1:9" x14ac:dyDescent="0.3">
      <c r="A1286" s="114"/>
      <c r="B1286" s="111"/>
      <c r="C1286" s="63"/>
      <c r="D1286" s="111"/>
      <c r="E1286" s="113"/>
      <c r="F1286" s="63"/>
      <c r="G1286" s="63"/>
      <c r="H1286" s="115"/>
      <c r="I1286" s="108"/>
    </row>
    <row r="1287" spans="1:9" x14ac:dyDescent="0.3">
      <c r="A1287" s="114"/>
      <c r="B1287" s="111">
        <f>'03_Pipe_Engine'!$C$20*4</f>
        <v>0</v>
      </c>
      <c r="C1287" s="63" t="s">
        <v>1628</v>
      </c>
      <c r="D1287" s="111"/>
      <c r="E1287" s="113"/>
      <c r="F1287" s="63" t="s">
        <v>2320</v>
      </c>
      <c r="G1287" s="63"/>
      <c r="H1287" s="115"/>
      <c r="I1287" s="108" t="s">
        <v>67</v>
      </c>
    </row>
    <row r="1288" spans="1:9" x14ac:dyDescent="0.3">
      <c r="A1288" s="114"/>
      <c r="B1288" s="111"/>
      <c r="C1288" s="63"/>
      <c r="D1288" s="111">
        <f>'03_Pipe_Engine'!$R$20</f>
        <v>1</v>
      </c>
      <c r="E1288" s="113"/>
      <c r="F1288" s="63"/>
      <c r="G1288" s="63"/>
      <c r="H1288" s="115"/>
      <c r="I1288" s="108" t="s">
        <v>2321</v>
      </c>
    </row>
    <row r="1289" spans="1:9" x14ac:dyDescent="0.3">
      <c r="A1289" s="114"/>
      <c r="B1289" s="111"/>
      <c r="C1289" s="63"/>
      <c r="D1289" s="111">
        <f>'03_Pipe_Engine'!$U$20</f>
        <v>0.2</v>
      </c>
      <c r="E1289" s="113">
        <f>N(B1287)*N(D1288)*N(D1289)</f>
        <v>0</v>
      </c>
      <c r="F1289" s="63"/>
      <c r="G1289" s="63"/>
      <c r="H1289" s="115"/>
      <c r="I1289" s="108" t="s">
        <v>2260</v>
      </c>
    </row>
    <row r="1290" spans="1:9" x14ac:dyDescent="0.3">
      <c r="A1290" s="114"/>
      <c r="B1290" s="111"/>
      <c r="C1290" s="63"/>
      <c r="D1290" s="111"/>
      <c r="E1290" s="113"/>
      <c r="F1290" s="63"/>
      <c r="G1290" s="63"/>
      <c r="H1290" s="115"/>
      <c r="I1290" s="108"/>
    </row>
    <row r="1291" spans="1:9" x14ac:dyDescent="0.3">
      <c r="A1291" s="114"/>
      <c r="B1291" s="111"/>
      <c r="C1291" s="63"/>
      <c r="D1291" s="111"/>
      <c r="E1291" s="113"/>
      <c r="F1291" s="63"/>
      <c r="G1291" s="63"/>
      <c r="H1291" s="115"/>
      <c r="I1291" s="108"/>
    </row>
    <row r="1292" spans="1:9" x14ac:dyDescent="0.3">
      <c r="A1292" s="119" t="s">
        <v>1329</v>
      </c>
      <c r="B1292" s="122"/>
      <c r="C1292" s="119"/>
      <c r="D1292" s="122"/>
      <c r="E1292" s="123"/>
      <c r="F1292" s="119" t="s">
        <v>2322</v>
      </c>
      <c r="G1292" s="119" t="s">
        <v>301</v>
      </c>
      <c r="H1292" s="124">
        <f>E1295+E1299</f>
        <v>0</v>
      </c>
      <c r="I1292" s="125" t="str">
        <f>IF(ABS(H1292-'03_Pipe_Engine'!$AG$20)&lt;=MAX(0.01,0.005*ABS('03_Pipe_Engine'!$AG$20)),"OK","DIFF")</f>
        <v>OK</v>
      </c>
    </row>
    <row r="1293" spans="1:9" x14ac:dyDescent="0.3">
      <c r="A1293" s="135"/>
      <c r="B1293" s="111">
        <f>'03_Pipe_Engine'!$C$20*2*2</f>
        <v>0</v>
      </c>
      <c r="C1293" s="138" t="s">
        <v>1628</v>
      </c>
      <c r="D1293" s="111"/>
      <c r="E1293" s="113"/>
      <c r="F1293" s="138" t="s">
        <v>2323</v>
      </c>
      <c r="G1293" s="138"/>
      <c r="H1293" s="136"/>
      <c r="I1293" s="139" t="s">
        <v>2324</v>
      </c>
    </row>
    <row r="1294" spans="1:9" x14ac:dyDescent="0.3">
      <c r="A1294" s="114"/>
      <c r="B1294" s="111"/>
      <c r="C1294" s="63"/>
      <c r="D1294" s="111">
        <f>'03_Pipe_Engine'!$T$20</f>
        <v>6.3</v>
      </c>
      <c r="E1294" s="113"/>
      <c r="F1294" s="63"/>
      <c r="G1294" s="63"/>
      <c r="H1294" s="115"/>
      <c r="I1294" s="108" t="s">
        <v>2250</v>
      </c>
    </row>
    <row r="1295" spans="1:9" x14ac:dyDescent="0.3">
      <c r="A1295" s="114"/>
      <c r="B1295" s="111"/>
      <c r="C1295" s="63"/>
      <c r="D1295" s="111">
        <f>'03_Pipe_Engine'!$P$20</f>
        <v>0.6</v>
      </c>
      <c r="E1295" s="113">
        <f>N(B1293)*N(D1294)*N(D1295)</f>
        <v>0</v>
      </c>
      <c r="F1295" s="63"/>
      <c r="G1295" s="63"/>
      <c r="H1295" s="115"/>
      <c r="I1295" s="108" t="s">
        <v>2316</v>
      </c>
    </row>
    <row r="1296" spans="1:9" x14ac:dyDescent="0.3">
      <c r="A1296" s="114"/>
      <c r="B1296" s="111"/>
      <c r="C1296" s="63"/>
      <c r="D1296" s="111"/>
      <c r="E1296" s="113"/>
      <c r="F1296" s="63"/>
      <c r="G1296" s="63"/>
      <c r="H1296" s="115"/>
      <c r="I1296" s="108"/>
    </row>
    <row r="1297" spans="1:9" x14ac:dyDescent="0.3">
      <c r="A1297" s="114"/>
      <c r="B1297" s="111">
        <f>'03_Pipe_Engine'!$C$20*4*2</f>
        <v>0</v>
      </c>
      <c r="C1297" s="63" t="s">
        <v>1628</v>
      </c>
      <c r="D1297" s="111"/>
      <c r="E1297" s="113"/>
      <c r="F1297" s="63" t="s">
        <v>2325</v>
      </c>
      <c r="G1297" s="63"/>
      <c r="H1297" s="115"/>
      <c r="I1297" s="108" t="s">
        <v>2324</v>
      </c>
    </row>
    <row r="1298" spans="1:9" x14ac:dyDescent="0.3">
      <c r="A1298" s="114"/>
      <c r="B1298" s="111"/>
      <c r="C1298" s="63"/>
      <c r="D1298" s="111">
        <f>'03_Pipe_Engine'!$T$20</f>
        <v>6.3</v>
      </c>
      <c r="E1298" s="113"/>
      <c r="F1298" s="63"/>
      <c r="G1298" s="63"/>
      <c r="H1298" s="115"/>
      <c r="I1298" s="108" t="s">
        <v>2250</v>
      </c>
    </row>
    <row r="1299" spans="1:9" x14ac:dyDescent="0.3">
      <c r="A1299" s="114"/>
      <c r="B1299" s="111"/>
      <c r="C1299" s="63"/>
      <c r="D1299" s="111">
        <f>'03_Pipe_Engine'!$S$20</f>
        <v>1.625</v>
      </c>
      <c r="E1299" s="113">
        <f>N(B1297)*N(D1298)*N(D1299)</f>
        <v>0</v>
      </c>
      <c r="F1299" s="63"/>
      <c r="G1299" s="63"/>
      <c r="H1299" s="115"/>
      <c r="I1299" s="108" t="s">
        <v>2253</v>
      </c>
    </row>
    <row r="1300" spans="1:9" x14ac:dyDescent="0.3">
      <c r="A1300" s="114"/>
      <c r="B1300" s="111"/>
      <c r="C1300" s="63"/>
      <c r="D1300" s="111"/>
      <c r="E1300" s="113"/>
      <c r="F1300" s="63"/>
      <c r="G1300" s="63"/>
      <c r="H1300" s="115"/>
      <c r="I1300" s="108"/>
    </row>
    <row r="1301" spans="1:9" x14ac:dyDescent="0.3">
      <c r="A1301" s="114"/>
      <c r="B1301" s="111"/>
      <c r="C1301" s="63"/>
      <c r="D1301" s="111"/>
      <c r="E1301" s="113"/>
      <c r="F1301" s="63"/>
      <c r="G1301" s="63"/>
      <c r="H1301" s="115"/>
      <c r="I1301" s="108"/>
    </row>
    <row r="1302" spans="1:9" x14ac:dyDescent="0.3">
      <c r="A1302" s="119" t="s">
        <v>1334</v>
      </c>
      <c r="B1302" s="122"/>
      <c r="C1302" s="119"/>
      <c r="D1302" s="122"/>
      <c r="E1302" s="123"/>
      <c r="F1302" s="119" t="s">
        <v>2334</v>
      </c>
      <c r="G1302" s="119" t="s">
        <v>63</v>
      </c>
      <c r="H1302" s="124">
        <f>E1304</f>
        <v>0</v>
      </c>
      <c r="I1302" s="125" t="str">
        <f>IF(ABS(H1302-'03_Pipe_Engine'!$AL$20)&lt;=MAX(0.01,0.005*ABS('03_Pipe_Engine'!$AL$20)),"OK","DIFF")</f>
        <v>OK</v>
      </c>
    </row>
    <row r="1303" spans="1:9" x14ac:dyDescent="0.3">
      <c r="A1303" s="135"/>
      <c r="B1303" s="111">
        <f>'03_Pipe_Engine'!$F$20</f>
        <v>3</v>
      </c>
      <c r="C1303" s="138" t="s">
        <v>1628</v>
      </c>
      <c r="D1303" s="111"/>
      <c r="E1303" s="113"/>
      <c r="F1303" s="138" t="s">
        <v>2327</v>
      </c>
      <c r="G1303" s="138"/>
      <c r="H1303" s="136"/>
      <c r="I1303" s="139" t="s">
        <v>2328</v>
      </c>
    </row>
    <row r="1304" spans="1:9" x14ac:dyDescent="0.3">
      <c r="A1304" s="114"/>
      <c r="B1304" s="111"/>
      <c r="C1304" s="63"/>
      <c r="D1304" s="111">
        <f>'03_Pipe_Engine'!$D$20</f>
        <v>0</v>
      </c>
      <c r="E1304" s="113">
        <f>N(B1303)*N(D1304)</f>
        <v>0</v>
      </c>
      <c r="F1304" s="63"/>
      <c r="G1304" s="63"/>
      <c r="H1304" s="115"/>
      <c r="I1304" s="108" t="s">
        <v>2301</v>
      </c>
    </row>
    <row r="1305" spans="1:9" x14ac:dyDescent="0.3">
      <c r="A1305" s="114"/>
      <c r="B1305" s="111"/>
      <c r="C1305" s="63"/>
      <c r="D1305" s="111"/>
      <c r="E1305" s="113"/>
      <c r="F1305" s="63"/>
      <c r="G1305" s="63"/>
      <c r="H1305" s="115"/>
      <c r="I1305" s="108"/>
    </row>
    <row r="1306" spans="1:9" x14ac:dyDescent="0.3">
      <c r="A1306" s="114"/>
      <c r="B1306" s="111"/>
      <c r="C1306" s="63"/>
      <c r="D1306" s="111"/>
      <c r="E1306" s="113"/>
      <c r="F1306" s="63"/>
      <c r="G1306" s="63"/>
      <c r="H1306" s="115"/>
      <c r="I1306" s="108"/>
    </row>
    <row r="1307" spans="1:9" x14ac:dyDescent="0.3">
      <c r="A1307" s="119" t="s">
        <v>1349</v>
      </c>
      <c r="B1307" s="122"/>
      <c r="C1307" s="119"/>
      <c r="D1307" s="122"/>
      <c r="E1307" s="123"/>
      <c r="F1307" s="119" t="s">
        <v>2329</v>
      </c>
      <c r="G1307" s="119" t="s">
        <v>63</v>
      </c>
      <c r="H1307" s="124">
        <f>E1308</f>
        <v>0</v>
      </c>
      <c r="I1307" s="125" t="str">
        <f>IF(ABS(H1307-'03_Pipe_Engine'!$BA$20)&lt;=MAX(0.01,0.005*ABS('03_Pipe_Engine'!$BA$20)),"OK","DIFF")</f>
        <v>OK</v>
      </c>
    </row>
    <row r="1308" spans="1:9" x14ac:dyDescent="0.3">
      <c r="A1308" s="135"/>
      <c r="B1308" s="111">
        <f>'03_Pipe_Engine'!$D$20</f>
        <v>0</v>
      </c>
      <c r="C1308" s="138" t="s">
        <v>1628</v>
      </c>
      <c r="D1308" s="111"/>
      <c r="E1308" s="113">
        <f>N(B1308)</f>
        <v>0</v>
      </c>
      <c r="F1308" s="138" t="s">
        <v>2330</v>
      </c>
      <c r="G1308" s="138"/>
      <c r="H1308" s="136"/>
      <c r="I1308" s="139" t="s">
        <v>2301</v>
      </c>
    </row>
    <row r="1309" spans="1:9" x14ac:dyDescent="0.3">
      <c r="A1309" s="114"/>
      <c r="B1309" s="111"/>
      <c r="C1309" s="63"/>
      <c r="D1309" s="111"/>
      <c r="E1309" s="113"/>
      <c r="F1309" s="63"/>
      <c r="G1309" s="63"/>
      <c r="H1309" s="115"/>
      <c r="I1309" s="108"/>
    </row>
    <row r="1310" spans="1:9" x14ac:dyDescent="0.3">
      <c r="A1310" s="114"/>
      <c r="B1310" s="111"/>
      <c r="C1310" s="63"/>
      <c r="D1310" s="111"/>
      <c r="E1310" s="113"/>
      <c r="F1310" s="63"/>
      <c r="G1310" s="63"/>
      <c r="H1310" s="115"/>
      <c r="I1310" s="108"/>
    </row>
    <row r="1311" spans="1:9" x14ac:dyDescent="0.3">
      <c r="A1311" s="114"/>
      <c r="B1311" s="111"/>
      <c r="C1311" s="63"/>
      <c r="D1311" s="111"/>
      <c r="E1311" s="113"/>
      <c r="F1311" s="63"/>
      <c r="G1311" s="63"/>
      <c r="H1311" s="115"/>
      <c r="I1311" s="108"/>
    </row>
    <row r="1312" spans="1:9" x14ac:dyDescent="0.3">
      <c r="A1312" s="127" t="s">
        <v>2335</v>
      </c>
      <c r="B1312" s="159"/>
      <c r="C1312" s="127"/>
      <c r="D1312" s="159"/>
      <c r="E1312" s="128"/>
      <c r="F1312" s="127"/>
      <c r="G1312" s="127"/>
      <c r="H1312" s="129"/>
      <c r="I1312" s="130"/>
    </row>
    <row r="1313" spans="1:9" x14ac:dyDescent="0.3">
      <c r="A1313" s="131" t="s">
        <v>1738</v>
      </c>
      <c r="B1313" s="158"/>
      <c r="C1313" s="131"/>
      <c r="D1313" s="158"/>
      <c r="E1313" s="132"/>
      <c r="F1313" s="131" t="str">
        <f>IF('05_UCulv_Engine'!$C$6=0,"none in this project",'05_UCulv_Engine'!$C$6&amp;" nr,  total length "&amp;'05_UCulv_Engine'!$D$6&amp;" m")</f>
        <v>none in this project</v>
      </c>
      <c r="G1313" s="131"/>
      <c r="H1313" s="133"/>
      <c r="I1313" s="134"/>
    </row>
    <row r="1314" spans="1:9" x14ac:dyDescent="0.3">
      <c r="A1314" s="119" t="s">
        <v>2116</v>
      </c>
      <c r="B1314" s="122"/>
      <c r="C1314" s="119"/>
      <c r="D1314" s="122"/>
      <c r="E1314" s="123"/>
      <c r="F1314" s="119" t="s">
        <v>1735</v>
      </c>
      <c r="G1314" s="119" t="s">
        <v>63</v>
      </c>
      <c r="H1314" s="124">
        <f>E1315</f>
        <v>0</v>
      </c>
      <c r="I1314" s="125" t="str">
        <f>IF(ABS(H1314-'05_UCulv_Engine'!$T$6)&lt;=MAX(0.01,0.005*ABS('05_UCulv_Engine'!$T$6)),"OK","DIFF")</f>
        <v>OK</v>
      </c>
    </row>
    <row r="1315" spans="1:9" x14ac:dyDescent="0.3">
      <c r="A1315" s="135"/>
      <c r="B1315" s="111">
        <f>'05_UCulv_Engine'!$D$6</f>
        <v>0</v>
      </c>
      <c r="C1315" s="138" t="s">
        <v>1628</v>
      </c>
      <c r="D1315" s="111"/>
      <c r="E1315" s="113">
        <f>N(B1315)</f>
        <v>0</v>
      </c>
      <c r="F1315" s="138" t="s">
        <v>2330</v>
      </c>
      <c r="G1315" s="138"/>
      <c r="H1315" s="136"/>
      <c r="I1315" s="139" t="s">
        <v>2301</v>
      </c>
    </row>
    <row r="1316" spans="1:9" x14ac:dyDescent="0.3">
      <c r="A1316" s="114"/>
      <c r="B1316" s="111"/>
      <c r="C1316" s="63"/>
      <c r="D1316" s="111"/>
      <c r="E1316" s="113"/>
      <c r="F1316" s="63"/>
      <c r="G1316" s="63"/>
      <c r="H1316" s="115"/>
      <c r="I1316" s="108"/>
    </row>
    <row r="1317" spans="1:9" x14ac:dyDescent="0.3">
      <c r="A1317" s="114"/>
      <c r="B1317" s="111"/>
      <c r="C1317" s="63"/>
      <c r="D1317" s="111"/>
      <c r="E1317" s="113"/>
      <c r="F1317" s="63"/>
      <c r="G1317" s="63"/>
      <c r="H1317" s="115"/>
      <c r="I1317" s="108"/>
    </row>
    <row r="1318" spans="1:9" x14ac:dyDescent="0.3">
      <c r="A1318" s="119" t="s">
        <v>2119</v>
      </c>
      <c r="B1318" s="122"/>
      <c r="C1318" s="119"/>
      <c r="D1318" s="122"/>
      <c r="E1318" s="123"/>
      <c r="F1318" s="119" t="s">
        <v>1736</v>
      </c>
      <c r="G1318" s="119" t="s">
        <v>67</v>
      </c>
      <c r="H1318" s="124">
        <f>E1319</f>
        <v>0</v>
      </c>
      <c r="I1318" s="125" t="str">
        <f>IF(ABS(H1318-'05_UCulv_Engine'!$U$6)&lt;=MAX(0.01,0.005*ABS('05_UCulv_Engine'!$U$6)),"OK","DIFF")</f>
        <v>OK</v>
      </c>
    </row>
    <row r="1319" spans="1:9" x14ac:dyDescent="0.3">
      <c r="A1319" s="135"/>
      <c r="B1319" s="111">
        <f>'05_UCulv_Engine'!$U$6</f>
        <v>0</v>
      </c>
      <c r="C1319" s="138" t="s">
        <v>1628</v>
      </c>
      <c r="D1319" s="111"/>
      <c r="E1319" s="113">
        <f>N(B1319)</f>
        <v>0</v>
      </c>
      <c r="F1319" s="138" t="s">
        <v>2336</v>
      </c>
      <c r="G1319" s="138"/>
      <c r="H1319" s="136"/>
      <c r="I1319" s="139" t="s">
        <v>67</v>
      </c>
    </row>
    <row r="1320" spans="1:9" x14ac:dyDescent="0.3">
      <c r="A1320" s="114"/>
      <c r="B1320" s="111"/>
      <c r="C1320" s="63"/>
      <c r="D1320" s="111"/>
      <c r="E1320" s="113"/>
      <c r="F1320" s="63"/>
      <c r="G1320" s="63"/>
      <c r="H1320" s="115"/>
      <c r="I1320" s="108"/>
    </row>
    <row r="1321" spans="1:9" x14ac:dyDescent="0.3">
      <c r="A1321" s="114"/>
      <c r="B1321" s="111"/>
      <c r="C1321" s="63"/>
      <c r="D1321" s="111"/>
      <c r="E1321" s="113"/>
      <c r="F1321" s="63"/>
      <c r="G1321" s="63"/>
      <c r="H1321" s="115"/>
      <c r="I1321" s="108"/>
    </row>
    <row r="1322" spans="1:9" x14ac:dyDescent="0.3">
      <c r="A1322" s="119" t="s">
        <v>2120</v>
      </c>
      <c r="B1322" s="122"/>
      <c r="C1322" s="119"/>
      <c r="D1322" s="122"/>
      <c r="E1322" s="123"/>
      <c r="F1322" s="119" t="s">
        <v>2337</v>
      </c>
      <c r="G1322" s="119" t="s">
        <v>67</v>
      </c>
      <c r="H1322" s="124">
        <f>E1324+E1326</f>
        <v>0</v>
      </c>
      <c r="I1322" s="125" t="str">
        <f>IF(ABS(H1322-'05_UCulv_Engine'!$V$6)&lt;=MAX(0.01,0.005*ABS('05_UCulv_Engine'!$V$6)),"OK","DIFF")</f>
        <v>OK</v>
      </c>
    </row>
    <row r="1323" spans="1:9" x14ac:dyDescent="0.3">
      <c r="A1323" s="135"/>
      <c r="B1323" s="111">
        <f>'05_UCulv_Engine'!$C$6*2</f>
        <v>0</v>
      </c>
      <c r="C1323" s="138" t="s">
        <v>1628</v>
      </c>
      <c r="D1323" s="111"/>
      <c r="E1323" s="113"/>
      <c r="F1323" s="138" t="s">
        <v>2338</v>
      </c>
      <c r="G1323" s="138"/>
      <c r="H1323" s="136"/>
      <c r="I1323" s="139" t="s">
        <v>2339</v>
      </c>
    </row>
    <row r="1324" spans="1:9" x14ac:dyDescent="0.3">
      <c r="A1324" s="114"/>
      <c r="B1324" s="111"/>
      <c r="C1324" s="63"/>
      <c r="D1324" s="111">
        <f>1</f>
        <v>1</v>
      </c>
      <c r="E1324" s="113">
        <f>N(B1323)*N(D1324)</f>
        <v>0</v>
      </c>
      <c r="F1324" s="63"/>
      <c r="G1324" s="63"/>
      <c r="H1324" s="115"/>
      <c r="I1324" s="108" t="s">
        <v>2340</v>
      </c>
    </row>
    <row r="1325" spans="1:9" x14ac:dyDescent="0.3">
      <c r="A1325" s="114"/>
      <c r="B1325" s="111"/>
      <c r="C1325" s="63"/>
      <c r="D1325" s="111"/>
      <c r="E1325" s="113"/>
      <c r="F1325" s="63"/>
      <c r="G1325" s="63"/>
      <c r="H1325" s="115"/>
      <c r="I1325" s="108"/>
    </row>
    <row r="1326" spans="1:9" x14ac:dyDescent="0.3">
      <c r="A1326" s="114"/>
      <c r="B1326" s="111">
        <f>-'05_UCulv_Engine'!$U$6</f>
        <v>0</v>
      </c>
      <c r="C1326" s="63" t="s">
        <v>1628</v>
      </c>
      <c r="D1326" s="111"/>
      <c r="E1326" s="113">
        <f>N(B1326)</f>
        <v>0</v>
      </c>
      <c r="F1326" s="63" t="s">
        <v>2341</v>
      </c>
      <c r="G1326" s="63"/>
      <c r="H1326" s="115"/>
      <c r="I1326" s="108" t="s">
        <v>67</v>
      </c>
    </row>
    <row r="1327" spans="1:9" x14ac:dyDescent="0.3">
      <c r="A1327" s="114"/>
      <c r="B1327" s="111"/>
      <c r="C1327" s="63"/>
      <c r="D1327" s="111"/>
      <c r="E1327" s="113"/>
      <c r="F1327" s="63"/>
      <c r="G1327" s="63"/>
      <c r="H1327" s="115"/>
      <c r="I1327" s="108"/>
    </row>
    <row r="1328" spans="1:9" x14ac:dyDescent="0.3">
      <c r="A1328" s="114"/>
      <c r="B1328" s="111"/>
      <c r="C1328" s="63"/>
      <c r="D1328" s="111"/>
      <c r="E1328" s="113"/>
      <c r="F1328" s="63"/>
      <c r="G1328" s="63"/>
      <c r="H1328" s="115"/>
      <c r="I1328" s="108"/>
    </row>
    <row r="1329" spans="1:9" x14ac:dyDescent="0.3">
      <c r="A1329" s="114"/>
      <c r="B1329" s="111"/>
      <c r="C1329" s="63"/>
      <c r="D1329" s="111"/>
      <c r="E1329" s="113"/>
      <c r="F1329" s="63"/>
      <c r="G1329" s="63"/>
      <c r="H1329" s="115"/>
      <c r="I1329" s="108"/>
    </row>
    <row r="1330" spans="1:9" x14ac:dyDescent="0.3">
      <c r="A1330" s="131" t="s">
        <v>1740</v>
      </c>
      <c r="B1330" s="158"/>
      <c r="C1330" s="131"/>
      <c r="D1330" s="158"/>
      <c r="E1330" s="132"/>
      <c r="F1330" s="131" t="str">
        <f>IF('05_UCulv_Engine'!$C$7=0,"none in this project",'05_UCulv_Engine'!$C$7&amp;" nr,  total length "&amp;'05_UCulv_Engine'!$D$7&amp;" m")</f>
        <v>none in this project</v>
      </c>
      <c r="G1330" s="131"/>
      <c r="H1330" s="133"/>
      <c r="I1330" s="134"/>
    </row>
    <row r="1331" spans="1:9" x14ac:dyDescent="0.3">
      <c r="A1331" s="119" t="s">
        <v>2122</v>
      </c>
      <c r="B1331" s="122"/>
      <c r="C1331" s="119"/>
      <c r="D1331" s="122"/>
      <c r="E1331" s="123"/>
      <c r="F1331" s="119" t="s">
        <v>1735</v>
      </c>
      <c r="G1331" s="119" t="s">
        <v>63</v>
      </c>
      <c r="H1331" s="124">
        <f>E1332</f>
        <v>0</v>
      </c>
      <c r="I1331" s="125" t="str">
        <f>IF(ABS(H1331-'05_UCulv_Engine'!$T$7)&lt;=MAX(0.01,0.005*ABS('05_UCulv_Engine'!$T$7)),"OK","DIFF")</f>
        <v>OK</v>
      </c>
    </row>
    <row r="1332" spans="1:9" x14ac:dyDescent="0.3">
      <c r="A1332" s="135"/>
      <c r="B1332" s="111">
        <f>'05_UCulv_Engine'!$D$7</f>
        <v>0</v>
      </c>
      <c r="C1332" s="138" t="s">
        <v>1628</v>
      </c>
      <c r="D1332" s="111"/>
      <c r="E1332" s="113">
        <f>N(B1332)</f>
        <v>0</v>
      </c>
      <c r="F1332" s="138" t="s">
        <v>2330</v>
      </c>
      <c r="G1332" s="138"/>
      <c r="H1332" s="136"/>
      <c r="I1332" s="139" t="s">
        <v>2301</v>
      </c>
    </row>
    <row r="1333" spans="1:9" x14ac:dyDescent="0.3">
      <c r="A1333" s="114"/>
      <c r="B1333" s="111"/>
      <c r="C1333" s="63"/>
      <c r="D1333" s="111"/>
      <c r="E1333" s="113"/>
      <c r="F1333" s="63"/>
      <c r="G1333" s="63"/>
      <c r="H1333" s="115"/>
      <c r="I1333" s="108"/>
    </row>
    <row r="1334" spans="1:9" x14ac:dyDescent="0.3">
      <c r="A1334" s="114"/>
      <c r="B1334" s="111"/>
      <c r="C1334" s="63"/>
      <c r="D1334" s="111"/>
      <c r="E1334" s="113"/>
      <c r="F1334" s="63"/>
      <c r="G1334" s="63"/>
      <c r="H1334" s="115"/>
      <c r="I1334" s="108"/>
    </row>
    <row r="1335" spans="1:9" x14ac:dyDescent="0.3">
      <c r="A1335" s="119" t="s">
        <v>2123</v>
      </c>
      <c r="B1335" s="122"/>
      <c r="C1335" s="119"/>
      <c r="D1335" s="122"/>
      <c r="E1335" s="123"/>
      <c r="F1335" s="119" t="s">
        <v>1736</v>
      </c>
      <c r="G1335" s="119" t="s">
        <v>67</v>
      </c>
      <c r="H1335" s="124">
        <f>E1336</f>
        <v>0</v>
      </c>
      <c r="I1335" s="125" t="str">
        <f>IF(ABS(H1335-'05_UCulv_Engine'!$U$7)&lt;=MAX(0.01,0.005*ABS('05_UCulv_Engine'!$U$7)),"OK","DIFF")</f>
        <v>OK</v>
      </c>
    </row>
    <row r="1336" spans="1:9" x14ac:dyDescent="0.3">
      <c r="A1336" s="135"/>
      <c r="B1336" s="111">
        <f>'05_UCulv_Engine'!$U$7</f>
        <v>0</v>
      </c>
      <c r="C1336" s="138" t="s">
        <v>1628</v>
      </c>
      <c r="D1336" s="111"/>
      <c r="E1336" s="113">
        <f>N(B1336)</f>
        <v>0</v>
      </c>
      <c r="F1336" s="138" t="s">
        <v>2336</v>
      </c>
      <c r="G1336" s="138"/>
      <c r="H1336" s="136"/>
      <c r="I1336" s="139" t="s">
        <v>67</v>
      </c>
    </row>
    <row r="1337" spans="1:9" x14ac:dyDescent="0.3">
      <c r="A1337" s="114"/>
      <c r="B1337" s="111"/>
      <c r="C1337" s="63"/>
      <c r="D1337" s="111"/>
      <c r="E1337" s="113"/>
      <c r="F1337" s="63"/>
      <c r="G1337" s="63"/>
      <c r="H1337" s="115"/>
      <c r="I1337" s="108"/>
    </row>
    <row r="1338" spans="1:9" x14ac:dyDescent="0.3">
      <c r="A1338" s="114"/>
      <c r="B1338" s="111"/>
      <c r="C1338" s="63"/>
      <c r="D1338" s="111"/>
      <c r="E1338" s="113"/>
      <c r="F1338" s="63"/>
      <c r="G1338" s="63"/>
      <c r="H1338" s="115"/>
      <c r="I1338" s="108"/>
    </row>
    <row r="1339" spans="1:9" x14ac:dyDescent="0.3">
      <c r="A1339" s="119" t="s">
        <v>2124</v>
      </c>
      <c r="B1339" s="122"/>
      <c r="C1339" s="119"/>
      <c r="D1339" s="122"/>
      <c r="E1339" s="123"/>
      <c r="F1339" s="119" t="s">
        <v>2337</v>
      </c>
      <c r="G1339" s="119" t="s">
        <v>67</v>
      </c>
      <c r="H1339" s="124">
        <f>E1341+E1343</f>
        <v>0</v>
      </c>
      <c r="I1339" s="125" t="str">
        <f>IF(ABS(H1339-'05_UCulv_Engine'!$V$7)&lt;=MAX(0.01,0.005*ABS('05_UCulv_Engine'!$V$7)),"OK","DIFF")</f>
        <v>OK</v>
      </c>
    </row>
    <row r="1340" spans="1:9" x14ac:dyDescent="0.3">
      <c r="A1340" s="135"/>
      <c r="B1340" s="111">
        <f>'05_UCulv_Engine'!$C$7*2</f>
        <v>0</v>
      </c>
      <c r="C1340" s="138" t="s">
        <v>1628</v>
      </c>
      <c r="D1340" s="111"/>
      <c r="E1340" s="113"/>
      <c r="F1340" s="138" t="s">
        <v>2338</v>
      </c>
      <c r="G1340" s="138"/>
      <c r="H1340" s="136"/>
      <c r="I1340" s="139" t="s">
        <v>2339</v>
      </c>
    </row>
    <row r="1341" spans="1:9" x14ac:dyDescent="0.3">
      <c r="A1341" s="114"/>
      <c r="B1341" s="111"/>
      <c r="C1341" s="63"/>
      <c r="D1341" s="111">
        <f>1</f>
        <v>1</v>
      </c>
      <c r="E1341" s="113">
        <f>N(B1340)*N(D1341)</f>
        <v>0</v>
      </c>
      <c r="F1341" s="63"/>
      <c r="G1341" s="63"/>
      <c r="H1341" s="115"/>
      <c r="I1341" s="108" t="s">
        <v>2340</v>
      </c>
    </row>
    <row r="1342" spans="1:9" x14ac:dyDescent="0.3">
      <c r="A1342" s="114"/>
      <c r="B1342" s="111"/>
      <c r="C1342" s="63"/>
      <c r="D1342" s="111"/>
      <c r="E1342" s="113"/>
      <c r="F1342" s="63"/>
      <c r="G1342" s="63"/>
      <c r="H1342" s="115"/>
      <c r="I1342" s="108"/>
    </row>
    <row r="1343" spans="1:9" x14ac:dyDescent="0.3">
      <c r="A1343" s="114"/>
      <c r="B1343" s="111">
        <f>-'05_UCulv_Engine'!$U$7</f>
        <v>0</v>
      </c>
      <c r="C1343" s="63" t="s">
        <v>1628</v>
      </c>
      <c r="D1343" s="111"/>
      <c r="E1343" s="113">
        <f>N(B1343)</f>
        <v>0</v>
      </c>
      <c r="F1343" s="63" t="s">
        <v>2341</v>
      </c>
      <c r="G1343" s="63"/>
      <c r="H1343" s="115"/>
      <c r="I1343" s="108" t="s">
        <v>67</v>
      </c>
    </row>
    <row r="1344" spans="1:9" x14ac:dyDescent="0.3">
      <c r="A1344" s="114"/>
      <c r="B1344" s="111"/>
      <c r="C1344" s="63"/>
      <c r="D1344" s="111"/>
      <c r="E1344" s="113"/>
      <c r="F1344" s="63"/>
      <c r="G1344" s="63"/>
      <c r="H1344" s="115"/>
      <c r="I1344" s="108"/>
    </row>
    <row r="1345" spans="1:9" x14ac:dyDescent="0.3">
      <c r="A1345" s="114"/>
      <c r="B1345" s="111"/>
      <c r="C1345" s="63"/>
      <c r="D1345" s="111"/>
      <c r="E1345" s="113"/>
      <c r="F1345" s="63"/>
      <c r="G1345" s="63"/>
      <c r="H1345" s="115"/>
      <c r="I1345" s="108"/>
    </row>
    <row r="1346" spans="1:9" x14ac:dyDescent="0.3">
      <c r="A1346" s="114"/>
      <c r="B1346" s="111"/>
      <c r="C1346" s="63"/>
      <c r="D1346" s="111"/>
      <c r="E1346" s="113"/>
      <c r="F1346" s="63"/>
      <c r="G1346" s="63"/>
      <c r="H1346" s="115"/>
      <c r="I1346" s="108"/>
    </row>
    <row r="1347" spans="1:9" x14ac:dyDescent="0.3">
      <c r="A1347" s="131" t="s">
        <v>1742</v>
      </c>
      <c r="B1347" s="158"/>
      <c r="C1347" s="131"/>
      <c r="D1347" s="158"/>
      <c r="E1347" s="132"/>
      <c r="F1347" s="131" t="str">
        <f>IF('05_UCulv_Engine'!$C$8=0,"none in this project",'05_UCulv_Engine'!$C$8&amp;" nr,  total length "&amp;'05_UCulv_Engine'!$D$8&amp;" m")</f>
        <v>none in this project</v>
      </c>
      <c r="G1347" s="131"/>
      <c r="H1347" s="133"/>
      <c r="I1347" s="134"/>
    </row>
    <row r="1348" spans="1:9" x14ac:dyDescent="0.3">
      <c r="A1348" s="119" t="s">
        <v>2125</v>
      </c>
      <c r="B1348" s="122"/>
      <c r="C1348" s="119"/>
      <c r="D1348" s="122"/>
      <c r="E1348" s="123"/>
      <c r="F1348" s="119" t="s">
        <v>1735</v>
      </c>
      <c r="G1348" s="119" t="s">
        <v>63</v>
      </c>
      <c r="H1348" s="124">
        <f>E1349</f>
        <v>0</v>
      </c>
      <c r="I1348" s="125" t="str">
        <f>IF(ABS(H1348-'05_UCulv_Engine'!$T$8)&lt;=MAX(0.01,0.005*ABS('05_UCulv_Engine'!$T$8)),"OK","DIFF")</f>
        <v>OK</v>
      </c>
    </row>
    <row r="1349" spans="1:9" x14ac:dyDescent="0.3">
      <c r="A1349" s="135"/>
      <c r="B1349" s="111">
        <f>'05_UCulv_Engine'!$D$8</f>
        <v>0</v>
      </c>
      <c r="C1349" s="138" t="s">
        <v>1628</v>
      </c>
      <c r="D1349" s="111"/>
      <c r="E1349" s="113">
        <f>N(B1349)</f>
        <v>0</v>
      </c>
      <c r="F1349" s="138" t="s">
        <v>2330</v>
      </c>
      <c r="G1349" s="138"/>
      <c r="H1349" s="136"/>
      <c r="I1349" s="139" t="s">
        <v>2301</v>
      </c>
    </row>
    <row r="1350" spans="1:9" x14ac:dyDescent="0.3">
      <c r="A1350" s="114"/>
      <c r="B1350" s="111"/>
      <c r="C1350" s="63"/>
      <c r="D1350" s="111"/>
      <c r="E1350" s="113"/>
      <c r="F1350" s="63"/>
      <c r="G1350" s="63"/>
      <c r="H1350" s="115"/>
      <c r="I1350" s="108"/>
    </row>
    <row r="1351" spans="1:9" x14ac:dyDescent="0.3">
      <c r="A1351" s="114"/>
      <c r="B1351" s="111"/>
      <c r="C1351" s="63"/>
      <c r="D1351" s="111"/>
      <c r="E1351" s="113"/>
      <c r="F1351" s="63"/>
      <c r="G1351" s="63"/>
      <c r="H1351" s="115"/>
      <c r="I1351" s="108"/>
    </row>
    <row r="1352" spans="1:9" x14ac:dyDescent="0.3">
      <c r="A1352" s="119" t="s">
        <v>2126</v>
      </c>
      <c r="B1352" s="122"/>
      <c r="C1352" s="119"/>
      <c r="D1352" s="122"/>
      <c r="E1352" s="123"/>
      <c r="F1352" s="119" t="s">
        <v>1736</v>
      </c>
      <c r="G1352" s="119" t="s">
        <v>67</v>
      </c>
      <c r="H1352" s="124">
        <f>E1353</f>
        <v>0</v>
      </c>
      <c r="I1352" s="125" t="str">
        <f>IF(ABS(H1352-'05_UCulv_Engine'!$U$8)&lt;=MAX(0.01,0.005*ABS('05_UCulv_Engine'!$U$8)),"OK","DIFF")</f>
        <v>OK</v>
      </c>
    </row>
    <row r="1353" spans="1:9" x14ac:dyDescent="0.3">
      <c r="A1353" s="135"/>
      <c r="B1353" s="111">
        <f>'05_UCulv_Engine'!$U$8</f>
        <v>0</v>
      </c>
      <c r="C1353" s="138" t="s">
        <v>1628</v>
      </c>
      <c r="D1353" s="111"/>
      <c r="E1353" s="113">
        <f>N(B1353)</f>
        <v>0</v>
      </c>
      <c r="F1353" s="138" t="s">
        <v>2336</v>
      </c>
      <c r="G1353" s="138"/>
      <c r="H1353" s="136"/>
      <c r="I1353" s="139" t="s">
        <v>67</v>
      </c>
    </row>
    <row r="1354" spans="1:9" x14ac:dyDescent="0.3">
      <c r="A1354" s="114"/>
      <c r="B1354" s="111"/>
      <c r="C1354" s="63"/>
      <c r="D1354" s="111"/>
      <c r="E1354" s="113"/>
      <c r="F1354" s="63"/>
      <c r="G1354" s="63"/>
      <c r="H1354" s="115"/>
      <c r="I1354" s="108"/>
    </row>
    <row r="1355" spans="1:9" x14ac:dyDescent="0.3">
      <c r="A1355" s="114"/>
      <c r="B1355" s="111"/>
      <c r="C1355" s="63"/>
      <c r="D1355" s="111"/>
      <c r="E1355" s="113"/>
      <c r="F1355" s="63"/>
      <c r="G1355" s="63"/>
      <c r="H1355" s="115"/>
      <c r="I1355" s="108"/>
    </row>
    <row r="1356" spans="1:9" x14ac:dyDescent="0.3">
      <c r="A1356" s="119" t="s">
        <v>2127</v>
      </c>
      <c r="B1356" s="122"/>
      <c r="C1356" s="119"/>
      <c r="D1356" s="122"/>
      <c r="E1356" s="123"/>
      <c r="F1356" s="119" t="s">
        <v>2337</v>
      </c>
      <c r="G1356" s="119" t="s">
        <v>67</v>
      </c>
      <c r="H1356" s="124">
        <f>E1358+E1360</f>
        <v>0</v>
      </c>
      <c r="I1356" s="125" t="str">
        <f>IF(ABS(H1356-'05_UCulv_Engine'!$V$8)&lt;=MAX(0.01,0.005*ABS('05_UCulv_Engine'!$V$8)),"OK","DIFF")</f>
        <v>OK</v>
      </c>
    </row>
    <row r="1357" spans="1:9" x14ac:dyDescent="0.3">
      <c r="A1357" s="135"/>
      <c r="B1357" s="111">
        <f>'05_UCulv_Engine'!$C$8*2</f>
        <v>0</v>
      </c>
      <c r="C1357" s="138" t="s">
        <v>1628</v>
      </c>
      <c r="D1357" s="111"/>
      <c r="E1357" s="113"/>
      <c r="F1357" s="138" t="s">
        <v>2338</v>
      </c>
      <c r="G1357" s="138"/>
      <c r="H1357" s="136"/>
      <c r="I1357" s="139" t="s">
        <v>2339</v>
      </c>
    </row>
    <row r="1358" spans="1:9" x14ac:dyDescent="0.3">
      <c r="A1358" s="114"/>
      <c r="B1358" s="111"/>
      <c r="C1358" s="63"/>
      <c r="D1358" s="111">
        <f>1</f>
        <v>1</v>
      </c>
      <c r="E1358" s="113">
        <f>N(B1357)*N(D1358)</f>
        <v>0</v>
      </c>
      <c r="F1358" s="63"/>
      <c r="G1358" s="63"/>
      <c r="H1358" s="115"/>
      <c r="I1358" s="108" t="s">
        <v>2340</v>
      </c>
    </row>
    <row r="1359" spans="1:9" x14ac:dyDescent="0.3">
      <c r="A1359" s="114"/>
      <c r="B1359" s="111"/>
      <c r="C1359" s="63"/>
      <c r="D1359" s="111"/>
      <c r="E1359" s="113"/>
      <c r="F1359" s="63"/>
      <c r="G1359" s="63"/>
      <c r="H1359" s="115"/>
      <c r="I1359" s="108"/>
    </row>
    <row r="1360" spans="1:9" x14ac:dyDescent="0.3">
      <c r="A1360" s="114"/>
      <c r="B1360" s="111">
        <f>-'05_UCulv_Engine'!$U$8</f>
        <v>0</v>
      </c>
      <c r="C1360" s="63" t="s">
        <v>1628</v>
      </c>
      <c r="D1360" s="111"/>
      <c r="E1360" s="113">
        <f>N(B1360)</f>
        <v>0</v>
      </c>
      <c r="F1360" s="63" t="s">
        <v>2341</v>
      </c>
      <c r="G1360" s="63"/>
      <c r="H1360" s="115"/>
      <c r="I1360" s="108" t="s">
        <v>67</v>
      </c>
    </row>
    <row r="1361" spans="1:9" x14ac:dyDescent="0.3">
      <c r="A1361" s="114"/>
      <c r="B1361" s="111"/>
      <c r="C1361" s="63"/>
      <c r="D1361" s="111"/>
      <c r="E1361" s="113"/>
      <c r="F1361" s="63"/>
      <c r="G1361" s="63"/>
      <c r="H1361" s="115"/>
      <c r="I1361" s="108"/>
    </row>
    <row r="1362" spans="1:9" x14ac:dyDescent="0.3">
      <c r="A1362" s="114"/>
      <c r="B1362" s="111"/>
      <c r="C1362" s="63"/>
      <c r="D1362" s="111"/>
      <c r="E1362" s="113"/>
      <c r="F1362" s="63"/>
      <c r="G1362" s="63"/>
      <c r="H1362" s="115"/>
      <c r="I1362" s="108"/>
    </row>
    <row r="1363" spans="1:9" x14ac:dyDescent="0.3">
      <c r="A1363" s="114"/>
      <c r="B1363" s="111"/>
      <c r="C1363" s="63"/>
      <c r="D1363" s="111"/>
      <c r="E1363" s="113"/>
      <c r="F1363" s="63"/>
      <c r="G1363" s="63"/>
      <c r="H1363" s="115"/>
      <c r="I1363" s="108"/>
    </row>
    <row r="1364" spans="1:9" x14ac:dyDescent="0.3">
      <c r="A1364" s="131" t="s">
        <v>1744</v>
      </c>
      <c r="B1364" s="158"/>
      <c r="C1364" s="131"/>
      <c r="D1364" s="158"/>
      <c r="E1364" s="132"/>
      <c r="F1364" s="131" t="str">
        <f>IF('05_UCulv_Engine'!$C$9=0,"none in this project",'05_UCulv_Engine'!$C$9&amp;" nr,  total length "&amp;'05_UCulv_Engine'!$D$9&amp;" m")</f>
        <v>none in this project</v>
      </c>
      <c r="G1364" s="131"/>
      <c r="H1364" s="133"/>
      <c r="I1364" s="134"/>
    </row>
    <row r="1365" spans="1:9" x14ac:dyDescent="0.3">
      <c r="A1365" s="119" t="s">
        <v>2128</v>
      </c>
      <c r="B1365" s="122"/>
      <c r="C1365" s="119"/>
      <c r="D1365" s="122"/>
      <c r="E1365" s="123"/>
      <c r="F1365" s="119" t="s">
        <v>1735</v>
      </c>
      <c r="G1365" s="119" t="s">
        <v>63</v>
      </c>
      <c r="H1365" s="124">
        <f>E1366</f>
        <v>0</v>
      </c>
      <c r="I1365" s="125" t="str">
        <f>IF(ABS(H1365-'05_UCulv_Engine'!$T$9)&lt;=MAX(0.01,0.005*ABS('05_UCulv_Engine'!$T$9)),"OK","DIFF")</f>
        <v>OK</v>
      </c>
    </row>
    <row r="1366" spans="1:9" x14ac:dyDescent="0.3">
      <c r="A1366" s="135"/>
      <c r="B1366" s="111">
        <f>'05_UCulv_Engine'!$D$9</f>
        <v>0</v>
      </c>
      <c r="C1366" s="138" t="s">
        <v>1628</v>
      </c>
      <c r="D1366" s="111"/>
      <c r="E1366" s="113">
        <f>N(B1366)</f>
        <v>0</v>
      </c>
      <c r="F1366" s="138" t="s">
        <v>2330</v>
      </c>
      <c r="G1366" s="138"/>
      <c r="H1366" s="136"/>
      <c r="I1366" s="139" t="s">
        <v>2301</v>
      </c>
    </row>
    <row r="1367" spans="1:9" x14ac:dyDescent="0.3">
      <c r="A1367" s="114"/>
      <c r="B1367" s="111"/>
      <c r="C1367" s="63"/>
      <c r="D1367" s="111"/>
      <c r="E1367" s="113"/>
      <c r="F1367" s="63"/>
      <c r="G1367" s="63"/>
      <c r="H1367" s="115"/>
      <c r="I1367" s="108"/>
    </row>
    <row r="1368" spans="1:9" x14ac:dyDescent="0.3">
      <c r="A1368" s="114"/>
      <c r="B1368" s="111"/>
      <c r="C1368" s="63"/>
      <c r="D1368" s="111"/>
      <c r="E1368" s="113"/>
      <c r="F1368" s="63"/>
      <c r="G1368" s="63"/>
      <c r="H1368" s="115"/>
      <c r="I1368" s="108"/>
    </row>
    <row r="1369" spans="1:9" x14ac:dyDescent="0.3">
      <c r="A1369" s="119" t="s">
        <v>2129</v>
      </c>
      <c r="B1369" s="122"/>
      <c r="C1369" s="119"/>
      <c r="D1369" s="122"/>
      <c r="E1369" s="123"/>
      <c r="F1369" s="119" t="s">
        <v>1736</v>
      </c>
      <c r="G1369" s="119" t="s">
        <v>67</v>
      </c>
      <c r="H1369" s="124">
        <f>E1370</f>
        <v>0</v>
      </c>
      <c r="I1369" s="125" t="str">
        <f>IF(ABS(H1369-'05_UCulv_Engine'!$U$9)&lt;=MAX(0.01,0.005*ABS('05_UCulv_Engine'!$U$9)),"OK","DIFF")</f>
        <v>OK</v>
      </c>
    </row>
    <row r="1370" spans="1:9" x14ac:dyDescent="0.3">
      <c r="A1370" s="135"/>
      <c r="B1370" s="111">
        <f>'05_UCulv_Engine'!$U$9</f>
        <v>0</v>
      </c>
      <c r="C1370" s="138" t="s">
        <v>1628</v>
      </c>
      <c r="D1370" s="111"/>
      <c r="E1370" s="113">
        <f>N(B1370)</f>
        <v>0</v>
      </c>
      <c r="F1370" s="138" t="s">
        <v>2336</v>
      </c>
      <c r="G1370" s="138"/>
      <c r="H1370" s="136"/>
      <c r="I1370" s="139" t="s">
        <v>67</v>
      </c>
    </row>
    <row r="1371" spans="1:9" x14ac:dyDescent="0.3">
      <c r="A1371" s="114"/>
      <c r="B1371" s="111"/>
      <c r="C1371" s="63"/>
      <c r="D1371" s="111"/>
      <c r="E1371" s="113"/>
      <c r="F1371" s="63"/>
      <c r="G1371" s="63"/>
      <c r="H1371" s="115"/>
      <c r="I1371" s="108"/>
    </row>
    <row r="1372" spans="1:9" x14ac:dyDescent="0.3">
      <c r="A1372" s="114"/>
      <c r="B1372" s="111"/>
      <c r="C1372" s="63"/>
      <c r="D1372" s="111"/>
      <c r="E1372" s="113"/>
      <c r="F1372" s="63"/>
      <c r="G1372" s="63"/>
      <c r="H1372" s="115"/>
      <c r="I1372" s="108"/>
    </row>
    <row r="1373" spans="1:9" x14ac:dyDescent="0.3">
      <c r="A1373" s="119" t="s">
        <v>2130</v>
      </c>
      <c r="B1373" s="122"/>
      <c r="C1373" s="119"/>
      <c r="D1373" s="122"/>
      <c r="E1373" s="123"/>
      <c r="F1373" s="119" t="s">
        <v>2337</v>
      </c>
      <c r="G1373" s="119" t="s">
        <v>67</v>
      </c>
      <c r="H1373" s="124">
        <f>E1375+E1377</f>
        <v>0</v>
      </c>
      <c r="I1373" s="125" t="str">
        <f>IF(ABS(H1373-'05_UCulv_Engine'!$V$9)&lt;=MAX(0.01,0.005*ABS('05_UCulv_Engine'!$V$9)),"OK","DIFF")</f>
        <v>OK</v>
      </c>
    </row>
    <row r="1374" spans="1:9" x14ac:dyDescent="0.3">
      <c r="A1374" s="135"/>
      <c r="B1374" s="111">
        <f>'05_UCulv_Engine'!$C$9*2</f>
        <v>0</v>
      </c>
      <c r="C1374" s="138" t="s">
        <v>1628</v>
      </c>
      <c r="D1374" s="111"/>
      <c r="E1374" s="113"/>
      <c r="F1374" s="138" t="s">
        <v>2338</v>
      </c>
      <c r="G1374" s="138"/>
      <c r="H1374" s="136"/>
      <c r="I1374" s="139" t="s">
        <v>2339</v>
      </c>
    </row>
    <row r="1375" spans="1:9" x14ac:dyDescent="0.3">
      <c r="A1375" s="114"/>
      <c r="B1375" s="111"/>
      <c r="C1375" s="63"/>
      <c r="D1375" s="111">
        <f>1</f>
        <v>1</v>
      </c>
      <c r="E1375" s="113">
        <f>N(B1374)*N(D1375)</f>
        <v>0</v>
      </c>
      <c r="F1375" s="63"/>
      <c r="G1375" s="63"/>
      <c r="H1375" s="115"/>
      <c r="I1375" s="108" t="s">
        <v>2340</v>
      </c>
    </row>
    <row r="1376" spans="1:9" x14ac:dyDescent="0.3">
      <c r="A1376" s="114"/>
      <c r="B1376" s="111"/>
      <c r="C1376" s="63"/>
      <c r="D1376" s="111"/>
      <c r="E1376" s="113"/>
      <c r="F1376" s="63"/>
      <c r="G1376" s="63"/>
      <c r="H1376" s="115"/>
      <c r="I1376" s="108"/>
    </row>
    <row r="1377" spans="1:9" x14ac:dyDescent="0.3">
      <c r="A1377" s="114"/>
      <c r="B1377" s="111">
        <f>-'05_UCulv_Engine'!$U$9</f>
        <v>0</v>
      </c>
      <c r="C1377" s="63" t="s">
        <v>1628</v>
      </c>
      <c r="D1377" s="111"/>
      <c r="E1377" s="113">
        <f>N(B1377)</f>
        <v>0</v>
      </c>
      <c r="F1377" s="63" t="s">
        <v>2341</v>
      </c>
      <c r="G1377" s="63"/>
      <c r="H1377" s="115"/>
      <c r="I1377" s="108" t="s">
        <v>67</v>
      </c>
    </row>
    <row r="1378" spans="1:9" x14ac:dyDescent="0.3">
      <c r="A1378" s="114"/>
      <c r="B1378" s="111"/>
      <c r="C1378" s="63"/>
      <c r="D1378" s="111"/>
      <c r="E1378" s="113"/>
      <c r="F1378" s="63"/>
      <c r="G1378" s="63"/>
      <c r="H1378" s="115"/>
      <c r="I1378" s="108"/>
    </row>
    <row r="1379" spans="1:9" x14ac:dyDescent="0.3">
      <c r="A1379" s="114"/>
      <c r="B1379" s="111"/>
      <c r="C1379" s="63"/>
      <c r="D1379" s="111"/>
      <c r="E1379" s="113"/>
      <c r="F1379" s="63"/>
      <c r="G1379" s="63"/>
      <c r="H1379" s="115"/>
      <c r="I1379" s="108"/>
    </row>
    <row r="1380" spans="1:9" x14ac:dyDescent="0.3">
      <c r="A1380" s="114"/>
      <c r="B1380" s="111"/>
      <c r="C1380" s="63"/>
      <c r="D1380" s="111"/>
      <c r="E1380" s="113"/>
      <c r="F1380" s="63"/>
      <c r="G1380" s="63"/>
      <c r="H1380" s="115"/>
      <c r="I1380" s="108"/>
    </row>
    <row r="1381" spans="1:9" x14ac:dyDescent="0.3">
      <c r="A1381" s="131" t="s">
        <v>1746</v>
      </c>
      <c r="B1381" s="158"/>
      <c r="C1381" s="131"/>
      <c r="D1381" s="158"/>
      <c r="E1381" s="132"/>
      <c r="F1381" s="131" t="str">
        <f>IF('05_UCulv_Engine'!$C$10=0,"none in this project",'05_UCulv_Engine'!$C$10&amp;" nr,  total length "&amp;'05_UCulv_Engine'!$D$10&amp;" m")</f>
        <v>none in this project</v>
      </c>
      <c r="G1381" s="131"/>
      <c r="H1381" s="133"/>
      <c r="I1381" s="134"/>
    </row>
    <row r="1382" spans="1:9" x14ac:dyDescent="0.3">
      <c r="A1382" s="119" t="s">
        <v>2131</v>
      </c>
      <c r="B1382" s="122"/>
      <c r="C1382" s="119"/>
      <c r="D1382" s="122"/>
      <c r="E1382" s="123"/>
      <c r="F1382" s="119" t="s">
        <v>1735</v>
      </c>
      <c r="G1382" s="119" t="s">
        <v>63</v>
      </c>
      <c r="H1382" s="124">
        <f>E1383</f>
        <v>0</v>
      </c>
      <c r="I1382" s="125" t="str">
        <f>IF(ABS(H1382-'05_UCulv_Engine'!$T$10)&lt;=MAX(0.01,0.005*ABS('05_UCulv_Engine'!$T$10)),"OK","DIFF")</f>
        <v>OK</v>
      </c>
    </row>
    <row r="1383" spans="1:9" x14ac:dyDescent="0.3">
      <c r="A1383" s="135"/>
      <c r="B1383" s="111">
        <f>'05_UCulv_Engine'!$D$10</f>
        <v>0</v>
      </c>
      <c r="C1383" s="138" t="s">
        <v>1628</v>
      </c>
      <c r="D1383" s="111"/>
      <c r="E1383" s="113">
        <f>N(B1383)</f>
        <v>0</v>
      </c>
      <c r="F1383" s="138" t="s">
        <v>2330</v>
      </c>
      <c r="G1383" s="138"/>
      <c r="H1383" s="136"/>
      <c r="I1383" s="139" t="s">
        <v>2301</v>
      </c>
    </row>
    <row r="1384" spans="1:9" x14ac:dyDescent="0.3">
      <c r="A1384" s="114"/>
      <c r="B1384" s="111"/>
      <c r="C1384" s="63"/>
      <c r="D1384" s="111"/>
      <c r="E1384" s="113"/>
      <c r="F1384" s="63"/>
      <c r="G1384" s="63"/>
      <c r="H1384" s="115"/>
      <c r="I1384" s="108"/>
    </row>
    <row r="1385" spans="1:9" x14ac:dyDescent="0.3">
      <c r="A1385" s="114"/>
      <c r="B1385" s="111"/>
      <c r="C1385" s="63"/>
      <c r="D1385" s="111"/>
      <c r="E1385" s="113"/>
      <c r="F1385" s="63"/>
      <c r="G1385" s="63"/>
      <c r="H1385" s="115"/>
      <c r="I1385" s="108"/>
    </row>
    <row r="1386" spans="1:9" x14ac:dyDescent="0.3">
      <c r="A1386" s="119" t="s">
        <v>2132</v>
      </c>
      <c r="B1386" s="122"/>
      <c r="C1386" s="119"/>
      <c r="D1386" s="122"/>
      <c r="E1386" s="123"/>
      <c r="F1386" s="119" t="s">
        <v>1736</v>
      </c>
      <c r="G1386" s="119" t="s">
        <v>67</v>
      </c>
      <c r="H1386" s="124">
        <f>E1387</f>
        <v>0</v>
      </c>
      <c r="I1386" s="125" t="str">
        <f>IF(ABS(H1386-'05_UCulv_Engine'!$U$10)&lt;=MAX(0.01,0.005*ABS('05_UCulv_Engine'!$U$10)),"OK","DIFF")</f>
        <v>OK</v>
      </c>
    </row>
    <row r="1387" spans="1:9" x14ac:dyDescent="0.3">
      <c r="A1387" s="135"/>
      <c r="B1387" s="111">
        <f>'05_UCulv_Engine'!$U$10</f>
        <v>0</v>
      </c>
      <c r="C1387" s="138" t="s">
        <v>1628</v>
      </c>
      <c r="D1387" s="111"/>
      <c r="E1387" s="113">
        <f>N(B1387)</f>
        <v>0</v>
      </c>
      <c r="F1387" s="138" t="s">
        <v>2336</v>
      </c>
      <c r="G1387" s="138"/>
      <c r="H1387" s="136"/>
      <c r="I1387" s="139" t="s">
        <v>67</v>
      </c>
    </row>
    <row r="1388" spans="1:9" x14ac:dyDescent="0.3">
      <c r="A1388" s="114"/>
      <c r="B1388" s="111"/>
      <c r="C1388" s="63"/>
      <c r="D1388" s="111"/>
      <c r="E1388" s="113"/>
      <c r="F1388" s="63"/>
      <c r="G1388" s="63"/>
      <c r="H1388" s="115"/>
      <c r="I1388" s="108"/>
    </row>
    <row r="1389" spans="1:9" x14ac:dyDescent="0.3">
      <c r="A1389" s="114"/>
      <c r="B1389" s="111"/>
      <c r="C1389" s="63"/>
      <c r="D1389" s="111"/>
      <c r="E1389" s="113"/>
      <c r="F1389" s="63"/>
      <c r="G1389" s="63"/>
      <c r="H1389" s="115"/>
      <c r="I1389" s="108"/>
    </row>
    <row r="1390" spans="1:9" x14ac:dyDescent="0.3">
      <c r="A1390" s="119" t="s">
        <v>2133</v>
      </c>
      <c r="B1390" s="122"/>
      <c r="C1390" s="119"/>
      <c r="D1390" s="122"/>
      <c r="E1390" s="123"/>
      <c r="F1390" s="119" t="s">
        <v>2337</v>
      </c>
      <c r="G1390" s="119" t="s">
        <v>67</v>
      </c>
      <c r="H1390" s="124">
        <f>E1392+E1394</f>
        <v>0</v>
      </c>
      <c r="I1390" s="125" t="str">
        <f>IF(ABS(H1390-'05_UCulv_Engine'!$V$10)&lt;=MAX(0.01,0.005*ABS('05_UCulv_Engine'!$V$10)),"OK","DIFF")</f>
        <v>OK</v>
      </c>
    </row>
    <row r="1391" spans="1:9" x14ac:dyDescent="0.3">
      <c r="A1391" s="135"/>
      <c r="B1391" s="111">
        <f>'05_UCulv_Engine'!$C$10*2</f>
        <v>0</v>
      </c>
      <c r="C1391" s="138" t="s">
        <v>1628</v>
      </c>
      <c r="D1391" s="111"/>
      <c r="E1391" s="113"/>
      <c r="F1391" s="138" t="s">
        <v>2338</v>
      </c>
      <c r="G1391" s="138"/>
      <c r="H1391" s="136"/>
      <c r="I1391" s="139" t="s">
        <v>2339</v>
      </c>
    </row>
    <row r="1392" spans="1:9" x14ac:dyDescent="0.3">
      <c r="A1392" s="114"/>
      <c r="B1392" s="111"/>
      <c r="C1392" s="63"/>
      <c r="D1392" s="111">
        <f>1</f>
        <v>1</v>
      </c>
      <c r="E1392" s="113">
        <f>N(B1391)*N(D1392)</f>
        <v>0</v>
      </c>
      <c r="F1392" s="63"/>
      <c r="G1392" s="63"/>
      <c r="H1392" s="115"/>
      <c r="I1392" s="108" t="s">
        <v>2340</v>
      </c>
    </row>
    <row r="1393" spans="1:9" x14ac:dyDescent="0.3">
      <c r="A1393" s="114"/>
      <c r="B1393" s="111"/>
      <c r="C1393" s="63"/>
      <c r="D1393" s="111"/>
      <c r="E1393" s="113"/>
      <c r="F1393" s="63"/>
      <c r="G1393" s="63"/>
      <c r="H1393" s="115"/>
      <c r="I1393" s="108"/>
    </row>
    <row r="1394" spans="1:9" x14ac:dyDescent="0.3">
      <c r="A1394" s="114"/>
      <c r="B1394" s="111">
        <f>-'05_UCulv_Engine'!$U$10</f>
        <v>0</v>
      </c>
      <c r="C1394" s="63" t="s">
        <v>1628</v>
      </c>
      <c r="D1394" s="111"/>
      <c r="E1394" s="113">
        <f>N(B1394)</f>
        <v>0</v>
      </c>
      <c r="F1394" s="63" t="s">
        <v>2341</v>
      </c>
      <c r="G1394" s="63"/>
      <c r="H1394" s="115"/>
      <c r="I1394" s="108" t="s">
        <v>67</v>
      </c>
    </row>
    <row r="1395" spans="1:9" x14ac:dyDescent="0.3">
      <c r="A1395" s="114"/>
      <c r="B1395" s="111"/>
      <c r="C1395" s="63"/>
      <c r="D1395" s="111"/>
      <c r="E1395" s="113"/>
      <c r="F1395" s="63"/>
      <c r="G1395" s="63"/>
      <c r="H1395" s="115"/>
      <c r="I1395" s="108"/>
    </row>
    <row r="1396" spans="1:9" x14ac:dyDescent="0.3">
      <c r="A1396" s="114"/>
      <c r="B1396" s="111"/>
      <c r="C1396" s="63"/>
      <c r="D1396" s="111"/>
      <c r="E1396" s="113"/>
      <c r="F1396" s="63"/>
      <c r="G1396" s="63"/>
      <c r="H1396" s="115"/>
      <c r="I1396" s="108"/>
    </row>
    <row r="1397" spans="1:9" x14ac:dyDescent="0.3">
      <c r="A1397" s="114"/>
      <c r="B1397" s="111"/>
      <c r="C1397" s="63"/>
      <c r="D1397" s="111"/>
      <c r="E1397" s="113"/>
      <c r="F1397" s="63"/>
      <c r="G1397" s="63"/>
      <c r="H1397" s="115"/>
      <c r="I1397" s="108"/>
    </row>
    <row r="1398" spans="1:9" x14ac:dyDescent="0.3">
      <c r="A1398" s="131" t="s">
        <v>1748</v>
      </c>
      <c r="B1398" s="158"/>
      <c r="C1398" s="131"/>
      <c r="D1398" s="158"/>
      <c r="E1398" s="132"/>
      <c r="F1398" s="131" t="str">
        <f>IF('05_UCulv_Engine'!$C$11=0,"none in this project",'05_UCulv_Engine'!$C$11&amp;" nr,  total length "&amp;'05_UCulv_Engine'!$D$11&amp;" m")</f>
        <v>none in this project</v>
      </c>
      <c r="G1398" s="131"/>
      <c r="H1398" s="133"/>
      <c r="I1398" s="134"/>
    </row>
    <row r="1399" spans="1:9" x14ac:dyDescent="0.3">
      <c r="A1399" s="119" t="s">
        <v>2134</v>
      </c>
      <c r="B1399" s="122"/>
      <c r="C1399" s="119"/>
      <c r="D1399" s="122"/>
      <c r="E1399" s="123"/>
      <c r="F1399" s="119" t="s">
        <v>1735</v>
      </c>
      <c r="G1399" s="119" t="s">
        <v>63</v>
      </c>
      <c r="H1399" s="124">
        <f>E1400</f>
        <v>0</v>
      </c>
      <c r="I1399" s="125" t="str">
        <f>IF(ABS(H1399-'05_UCulv_Engine'!$T$11)&lt;=MAX(0.01,0.005*ABS('05_UCulv_Engine'!$T$11)),"OK","DIFF")</f>
        <v>OK</v>
      </c>
    </row>
    <row r="1400" spans="1:9" x14ac:dyDescent="0.3">
      <c r="A1400" s="135"/>
      <c r="B1400" s="111">
        <f>'05_UCulv_Engine'!$D$11</f>
        <v>0</v>
      </c>
      <c r="C1400" s="138" t="s">
        <v>1628</v>
      </c>
      <c r="D1400" s="111"/>
      <c r="E1400" s="113">
        <f>N(B1400)</f>
        <v>0</v>
      </c>
      <c r="F1400" s="138" t="s">
        <v>2330</v>
      </c>
      <c r="G1400" s="138"/>
      <c r="H1400" s="136"/>
      <c r="I1400" s="139" t="s">
        <v>2301</v>
      </c>
    </row>
    <row r="1401" spans="1:9" x14ac:dyDescent="0.3">
      <c r="A1401" s="114"/>
      <c r="B1401" s="111"/>
      <c r="C1401" s="63"/>
      <c r="D1401" s="111"/>
      <c r="E1401" s="113"/>
      <c r="F1401" s="63"/>
      <c r="G1401" s="63"/>
      <c r="H1401" s="115"/>
      <c r="I1401" s="108"/>
    </row>
    <row r="1402" spans="1:9" x14ac:dyDescent="0.3">
      <c r="A1402" s="114"/>
      <c r="B1402" s="111"/>
      <c r="C1402" s="63"/>
      <c r="D1402" s="111"/>
      <c r="E1402" s="113"/>
      <c r="F1402" s="63"/>
      <c r="G1402" s="63"/>
      <c r="H1402" s="115"/>
      <c r="I1402" s="108"/>
    </row>
    <row r="1403" spans="1:9" x14ac:dyDescent="0.3">
      <c r="A1403" s="119" t="s">
        <v>2135</v>
      </c>
      <c r="B1403" s="122"/>
      <c r="C1403" s="119"/>
      <c r="D1403" s="122"/>
      <c r="E1403" s="123"/>
      <c r="F1403" s="119" t="s">
        <v>1736</v>
      </c>
      <c r="G1403" s="119" t="s">
        <v>67</v>
      </c>
      <c r="H1403" s="124">
        <f>E1404</f>
        <v>0</v>
      </c>
      <c r="I1403" s="125" t="str">
        <f>IF(ABS(H1403-'05_UCulv_Engine'!$U$11)&lt;=MAX(0.01,0.005*ABS('05_UCulv_Engine'!$U$11)),"OK","DIFF")</f>
        <v>OK</v>
      </c>
    </row>
    <row r="1404" spans="1:9" x14ac:dyDescent="0.3">
      <c r="A1404" s="135"/>
      <c r="B1404" s="111">
        <f>'05_UCulv_Engine'!$U$11</f>
        <v>0</v>
      </c>
      <c r="C1404" s="138" t="s">
        <v>1628</v>
      </c>
      <c r="D1404" s="111"/>
      <c r="E1404" s="113">
        <f>N(B1404)</f>
        <v>0</v>
      </c>
      <c r="F1404" s="138" t="s">
        <v>2336</v>
      </c>
      <c r="G1404" s="138"/>
      <c r="H1404" s="136"/>
      <c r="I1404" s="139" t="s">
        <v>67</v>
      </c>
    </row>
    <row r="1405" spans="1:9" x14ac:dyDescent="0.3">
      <c r="A1405" s="114"/>
      <c r="B1405" s="111"/>
      <c r="C1405" s="63"/>
      <c r="D1405" s="111"/>
      <c r="E1405" s="113"/>
      <c r="F1405" s="63"/>
      <c r="G1405" s="63"/>
      <c r="H1405" s="115"/>
      <c r="I1405" s="108"/>
    </row>
    <row r="1406" spans="1:9" x14ac:dyDescent="0.3">
      <c r="A1406" s="114"/>
      <c r="B1406" s="111"/>
      <c r="C1406" s="63"/>
      <c r="D1406" s="111"/>
      <c r="E1406" s="113"/>
      <c r="F1406" s="63"/>
      <c r="G1406" s="63"/>
      <c r="H1406" s="115"/>
      <c r="I1406" s="108"/>
    </row>
    <row r="1407" spans="1:9" x14ac:dyDescent="0.3">
      <c r="A1407" s="119" t="s">
        <v>2136</v>
      </c>
      <c r="B1407" s="122"/>
      <c r="C1407" s="119"/>
      <c r="D1407" s="122"/>
      <c r="E1407" s="123"/>
      <c r="F1407" s="119" t="s">
        <v>2337</v>
      </c>
      <c r="G1407" s="119" t="s">
        <v>67</v>
      </c>
      <c r="H1407" s="124">
        <f>E1409+E1411</f>
        <v>0</v>
      </c>
      <c r="I1407" s="125" t="str">
        <f>IF(ABS(H1407-'05_UCulv_Engine'!$V$11)&lt;=MAX(0.01,0.005*ABS('05_UCulv_Engine'!$V$11)),"OK","DIFF")</f>
        <v>OK</v>
      </c>
    </row>
    <row r="1408" spans="1:9" x14ac:dyDescent="0.3">
      <c r="A1408" s="135"/>
      <c r="B1408" s="111">
        <f>'05_UCulv_Engine'!$C$11*2</f>
        <v>0</v>
      </c>
      <c r="C1408" s="138" t="s">
        <v>1628</v>
      </c>
      <c r="D1408" s="111"/>
      <c r="E1408" s="113"/>
      <c r="F1408" s="138" t="s">
        <v>2338</v>
      </c>
      <c r="G1408" s="138"/>
      <c r="H1408" s="136"/>
      <c r="I1408" s="139" t="s">
        <v>2339</v>
      </c>
    </row>
    <row r="1409" spans="1:9" x14ac:dyDescent="0.3">
      <c r="A1409" s="114"/>
      <c r="B1409" s="111"/>
      <c r="C1409" s="63"/>
      <c r="D1409" s="111">
        <f>1</f>
        <v>1</v>
      </c>
      <c r="E1409" s="113">
        <f>N(B1408)*N(D1409)</f>
        <v>0</v>
      </c>
      <c r="F1409" s="63"/>
      <c r="G1409" s="63"/>
      <c r="H1409" s="115"/>
      <c r="I1409" s="108" t="s">
        <v>2340</v>
      </c>
    </row>
    <row r="1410" spans="1:9" x14ac:dyDescent="0.3">
      <c r="A1410" s="114"/>
      <c r="B1410" s="111"/>
      <c r="C1410" s="63"/>
      <c r="D1410" s="111"/>
      <c r="E1410" s="113"/>
      <c r="F1410" s="63"/>
      <c r="G1410" s="63"/>
      <c r="H1410" s="115"/>
      <c r="I1410" s="108"/>
    </row>
    <row r="1411" spans="1:9" x14ac:dyDescent="0.3">
      <c r="A1411" s="114"/>
      <c r="B1411" s="111">
        <f>-'05_UCulv_Engine'!$U$11</f>
        <v>0</v>
      </c>
      <c r="C1411" s="63" t="s">
        <v>1628</v>
      </c>
      <c r="D1411" s="111"/>
      <c r="E1411" s="113">
        <f>N(B1411)</f>
        <v>0</v>
      </c>
      <c r="F1411" s="63" t="s">
        <v>2341</v>
      </c>
      <c r="G1411" s="63"/>
      <c r="H1411" s="115"/>
      <c r="I1411" s="108" t="s">
        <v>67</v>
      </c>
    </row>
    <row r="1412" spans="1:9" x14ac:dyDescent="0.3">
      <c r="A1412" s="114"/>
      <c r="B1412" s="111"/>
      <c r="C1412" s="63"/>
      <c r="D1412" s="111"/>
      <c r="E1412" s="113"/>
      <c r="F1412" s="63"/>
      <c r="G1412" s="63"/>
      <c r="H1412" s="115"/>
      <c r="I1412" s="108"/>
    </row>
    <row r="1413" spans="1:9" x14ac:dyDescent="0.3">
      <c r="A1413" s="114"/>
      <c r="B1413" s="111"/>
      <c r="C1413" s="63"/>
      <c r="D1413" s="111"/>
      <c r="E1413" s="113"/>
      <c r="F1413" s="63"/>
      <c r="G1413" s="63"/>
      <c r="H1413" s="115"/>
      <c r="I1413" s="108"/>
    </row>
    <row r="1414" spans="1:9" x14ac:dyDescent="0.3">
      <c r="A1414" s="114"/>
      <c r="B1414" s="111"/>
      <c r="C1414" s="63"/>
      <c r="D1414" s="111"/>
      <c r="E1414" s="113"/>
      <c r="F1414" s="63"/>
      <c r="G1414" s="63"/>
      <c r="H1414" s="115"/>
      <c r="I1414" s="108"/>
    </row>
    <row r="1415" spans="1:9" x14ac:dyDescent="0.3">
      <c r="A1415" s="131" t="s">
        <v>1750</v>
      </c>
      <c r="B1415" s="158"/>
      <c r="C1415" s="131"/>
      <c r="D1415" s="158"/>
      <c r="E1415" s="132"/>
      <c r="F1415" s="131" t="str">
        <f>IF('05_UCulv_Engine'!$C$12=0,"none in this project",'05_UCulv_Engine'!$C$12&amp;" nr,  total length "&amp;'05_UCulv_Engine'!$D$12&amp;" m")</f>
        <v>none in this project</v>
      </c>
      <c r="G1415" s="131"/>
      <c r="H1415" s="133"/>
      <c r="I1415" s="134"/>
    </row>
    <row r="1416" spans="1:9" x14ac:dyDescent="0.3">
      <c r="A1416" s="119" t="s">
        <v>2137</v>
      </c>
      <c r="B1416" s="122"/>
      <c r="C1416" s="119"/>
      <c r="D1416" s="122"/>
      <c r="E1416" s="123"/>
      <c r="F1416" s="119" t="s">
        <v>1735</v>
      </c>
      <c r="G1416" s="119" t="s">
        <v>63</v>
      </c>
      <c r="H1416" s="124">
        <f>E1417</f>
        <v>0</v>
      </c>
      <c r="I1416" s="125" t="str">
        <f>IF(ABS(H1416-'05_UCulv_Engine'!$T$12)&lt;=MAX(0.01,0.005*ABS('05_UCulv_Engine'!$T$12)),"OK","DIFF")</f>
        <v>OK</v>
      </c>
    </row>
    <row r="1417" spans="1:9" x14ac:dyDescent="0.3">
      <c r="A1417" s="135"/>
      <c r="B1417" s="111">
        <f>'05_UCulv_Engine'!$D$12</f>
        <v>0</v>
      </c>
      <c r="C1417" s="138" t="s">
        <v>1628</v>
      </c>
      <c r="D1417" s="111"/>
      <c r="E1417" s="113">
        <f>N(B1417)</f>
        <v>0</v>
      </c>
      <c r="F1417" s="138" t="s">
        <v>2330</v>
      </c>
      <c r="G1417" s="138"/>
      <c r="H1417" s="136"/>
      <c r="I1417" s="139" t="s">
        <v>2301</v>
      </c>
    </row>
    <row r="1418" spans="1:9" x14ac:dyDescent="0.3">
      <c r="A1418" s="114"/>
      <c r="B1418" s="111"/>
      <c r="C1418" s="63"/>
      <c r="D1418" s="111"/>
      <c r="E1418" s="113"/>
      <c r="F1418" s="63"/>
      <c r="G1418" s="63"/>
      <c r="H1418" s="115"/>
      <c r="I1418" s="108"/>
    </row>
    <row r="1419" spans="1:9" x14ac:dyDescent="0.3">
      <c r="A1419" s="114"/>
      <c r="B1419" s="111"/>
      <c r="C1419" s="63"/>
      <c r="D1419" s="111"/>
      <c r="E1419" s="113"/>
      <c r="F1419" s="63"/>
      <c r="G1419" s="63"/>
      <c r="H1419" s="115"/>
      <c r="I1419" s="108"/>
    </row>
    <row r="1420" spans="1:9" x14ac:dyDescent="0.3">
      <c r="A1420" s="119" t="s">
        <v>2138</v>
      </c>
      <c r="B1420" s="122"/>
      <c r="C1420" s="119"/>
      <c r="D1420" s="122"/>
      <c r="E1420" s="123"/>
      <c r="F1420" s="119" t="s">
        <v>1736</v>
      </c>
      <c r="G1420" s="119" t="s">
        <v>67</v>
      </c>
      <c r="H1420" s="124">
        <f>E1421</f>
        <v>0</v>
      </c>
      <c r="I1420" s="125" t="str">
        <f>IF(ABS(H1420-'05_UCulv_Engine'!$U$12)&lt;=MAX(0.01,0.005*ABS('05_UCulv_Engine'!$U$12)),"OK","DIFF")</f>
        <v>OK</v>
      </c>
    </row>
    <row r="1421" spans="1:9" x14ac:dyDescent="0.3">
      <c r="A1421" s="135"/>
      <c r="B1421" s="111">
        <f>'05_UCulv_Engine'!$U$12</f>
        <v>0</v>
      </c>
      <c r="C1421" s="138" t="s">
        <v>1628</v>
      </c>
      <c r="D1421" s="111"/>
      <c r="E1421" s="113">
        <f>N(B1421)</f>
        <v>0</v>
      </c>
      <c r="F1421" s="138" t="s">
        <v>2336</v>
      </c>
      <c r="G1421" s="138"/>
      <c r="H1421" s="136"/>
      <c r="I1421" s="139" t="s">
        <v>67</v>
      </c>
    </row>
    <row r="1422" spans="1:9" x14ac:dyDescent="0.3">
      <c r="A1422" s="114"/>
      <c r="B1422" s="111"/>
      <c r="C1422" s="63"/>
      <c r="D1422" s="111"/>
      <c r="E1422" s="113"/>
      <c r="F1422" s="63"/>
      <c r="G1422" s="63"/>
      <c r="H1422" s="115"/>
      <c r="I1422" s="108"/>
    </row>
    <row r="1423" spans="1:9" x14ac:dyDescent="0.3">
      <c r="A1423" s="114"/>
      <c r="B1423" s="111"/>
      <c r="C1423" s="63"/>
      <c r="D1423" s="111"/>
      <c r="E1423" s="113"/>
      <c r="F1423" s="63"/>
      <c r="G1423" s="63"/>
      <c r="H1423" s="115"/>
      <c r="I1423" s="108"/>
    </row>
    <row r="1424" spans="1:9" x14ac:dyDescent="0.3">
      <c r="A1424" s="119" t="s">
        <v>2139</v>
      </c>
      <c r="B1424" s="122"/>
      <c r="C1424" s="119"/>
      <c r="D1424" s="122"/>
      <c r="E1424" s="123"/>
      <c r="F1424" s="119" t="s">
        <v>2337</v>
      </c>
      <c r="G1424" s="119" t="s">
        <v>67</v>
      </c>
      <c r="H1424" s="124">
        <f>E1426+E1428</f>
        <v>0</v>
      </c>
      <c r="I1424" s="125" t="str">
        <f>IF(ABS(H1424-'05_UCulv_Engine'!$V$12)&lt;=MAX(0.01,0.005*ABS('05_UCulv_Engine'!$V$12)),"OK","DIFF")</f>
        <v>OK</v>
      </c>
    </row>
    <row r="1425" spans="1:9" x14ac:dyDescent="0.3">
      <c r="A1425" s="135"/>
      <c r="B1425" s="111">
        <f>'05_UCulv_Engine'!$C$12*2</f>
        <v>0</v>
      </c>
      <c r="C1425" s="138" t="s">
        <v>1628</v>
      </c>
      <c r="D1425" s="111"/>
      <c r="E1425" s="113"/>
      <c r="F1425" s="138" t="s">
        <v>2338</v>
      </c>
      <c r="G1425" s="138"/>
      <c r="H1425" s="136"/>
      <c r="I1425" s="139" t="s">
        <v>2339</v>
      </c>
    </row>
    <row r="1426" spans="1:9" x14ac:dyDescent="0.3">
      <c r="A1426" s="114"/>
      <c r="B1426" s="111"/>
      <c r="C1426" s="63"/>
      <c r="D1426" s="111">
        <f>1</f>
        <v>1</v>
      </c>
      <c r="E1426" s="113">
        <f>N(B1425)*N(D1426)</f>
        <v>0</v>
      </c>
      <c r="F1426" s="63"/>
      <c r="G1426" s="63"/>
      <c r="H1426" s="115"/>
      <c r="I1426" s="108" t="s">
        <v>2340</v>
      </c>
    </row>
    <row r="1427" spans="1:9" x14ac:dyDescent="0.3">
      <c r="A1427" s="114"/>
      <c r="B1427" s="111"/>
      <c r="C1427" s="63"/>
      <c r="D1427" s="111"/>
      <c r="E1427" s="113"/>
      <c r="F1427" s="63"/>
      <c r="G1427" s="63"/>
      <c r="H1427" s="115"/>
      <c r="I1427" s="108"/>
    </row>
    <row r="1428" spans="1:9" x14ac:dyDescent="0.3">
      <c r="A1428" s="114"/>
      <c r="B1428" s="111">
        <f>-'05_UCulv_Engine'!$U$12</f>
        <v>0</v>
      </c>
      <c r="C1428" s="63" t="s">
        <v>1628</v>
      </c>
      <c r="D1428" s="111"/>
      <c r="E1428" s="113">
        <f>N(B1428)</f>
        <v>0</v>
      </c>
      <c r="F1428" s="63" t="s">
        <v>2341</v>
      </c>
      <c r="G1428" s="63"/>
      <c r="H1428" s="115"/>
      <c r="I1428" s="108" t="s">
        <v>67</v>
      </c>
    </row>
    <row r="1429" spans="1:9" x14ac:dyDescent="0.3">
      <c r="A1429" s="114"/>
      <c r="B1429" s="111"/>
      <c r="C1429" s="63"/>
      <c r="D1429" s="111"/>
      <c r="E1429" s="113"/>
      <c r="F1429" s="63"/>
      <c r="G1429" s="63"/>
      <c r="H1429" s="115"/>
      <c r="I1429" s="108"/>
    </row>
    <row r="1430" spans="1:9" x14ac:dyDescent="0.3">
      <c r="A1430" s="114"/>
      <c r="B1430" s="111"/>
      <c r="C1430" s="63"/>
      <c r="D1430" s="111"/>
      <c r="E1430" s="113"/>
      <c r="F1430" s="63"/>
      <c r="G1430" s="63"/>
      <c r="H1430" s="115"/>
      <c r="I1430" s="108"/>
    </row>
    <row r="1431" spans="1:9" x14ac:dyDescent="0.3">
      <c r="A1431" s="114"/>
      <c r="B1431" s="111"/>
      <c r="C1431" s="63"/>
      <c r="D1431" s="111"/>
      <c r="E1431" s="113"/>
      <c r="F1431" s="63"/>
      <c r="G1431" s="63"/>
      <c r="H1431" s="115"/>
      <c r="I1431" s="108"/>
    </row>
    <row r="1432" spans="1:9" x14ac:dyDescent="0.3">
      <c r="A1432" s="131" t="s">
        <v>1752</v>
      </c>
      <c r="B1432" s="158"/>
      <c r="C1432" s="131"/>
      <c r="D1432" s="158"/>
      <c r="E1432" s="132"/>
      <c r="F1432" s="131" t="str">
        <f>IF('05_UCulv_Engine'!$C$13=0,"none in this project",'05_UCulv_Engine'!$C$13&amp;" nr,  total length "&amp;'05_UCulv_Engine'!$D$13&amp;" m")</f>
        <v>none in this project</v>
      </c>
      <c r="G1432" s="131"/>
      <c r="H1432" s="133"/>
      <c r="I1432" s="134"/>
    </row>
    <row r="1433" spans="1:9" x14ac:dyDescent="0.3">
      <c r="A1433" s="119" t="s">
        <v>2140</v>
      </c>
      <c r="B1433" s="122"/>
      <c r="C1433" s="119"/>
      <c r="D1433" s="122"/>
      <c r="E1433" s="123"/>
      <c r="F1433" s="119" t="s">
        <v>1735</v>
      </c>
      <c r="G1433" s="119" t="s">
        <v>63</v>
      </c>
      <c r="H1433" s="124">
        <f>E1434</f>
        <v>0</v>
      </c>
      <c r="I1433" s="125" t="str">
        <f>IF(ABS(H1433-'05_UCulv_Engine'!$T$13)&lt;=MAX(0.01,0.005*ABS('05_UCulv_Engine'!$T$13)),"OK","DIFF")</f>
        <v>OK</v>
      </c>
    </row>
    <row r="1434" spans="1:9" x14ac:dyDescent="0.3">
      <c r="A1434" s="135"/>
      <c r="B1434" s="111">
        <f>'05_UCulv_Engine'!$D$13</f>
        <v>0</v>
      </c>
      <c r="C1434" s="138" t="s">
        <v>1628</v>
      </c>
      <c r="D1434" s="111"/>
      <c r="E1434" s="113">
        <f>N(B1434)</f>
        <v>0</v>
      </c>
      <c r="F1434" s="138" t="s">
        <v>2330</v>
      </c>
      <c r="G1434" s="138"/>
      <c r="H1434" s="136"/>
      <c r="I1434" s="139" t="s">
        <v>2301</v>
      </c>
    </row>
    <row r="1435" spans="1:9" x14ac:dyDescent="0.3">
      <c r="A1435" s="114"/>
      <c r="B1435" s="111"/>
      <c r="C1435" s="63"/>
      <c r="D1435" s="111"/>
      <c r="E1435" s="113"/>
      <c r="F1435" s="63"/>
      <c r="G1435" s="63"/>
      <c r="H1435" s="115"/>
      <c r="I1435" s="108"/>
    </row>
    <row r="1436" spans="1:9" x14ac:dyDescent="0.3">
      <c r="A1436" s="114"/>
      <c r="B1436" s="111"/>
      <c r="C1436" s="63"/>
      <c r="D1436" s="111"/>
      <c r="E1436" s="113"/>
      <c r="F1436" s="63"/>
      <c r="G1436" s="63"/>
      <c r="H1436" s="115"/>
      <c r="I1436" s="108"/>
    </row>
    <row r="1437" spans="1:9" x14ac:dyDescent="0.3">
      <c r="A1437" s="119" t="s">
        <v>2141</v>
      </c>
      <c r="B1437" s="122"/>
      <c r="C1437" s="119"/>
      <c r="D1437" s="122"/>
      <c r="E1437" s="123"/>
      <c r="F1437" s="119" t="s">
        <v>1736</v>
      </c>
      <c r="G1437" s="119" t="s">
        <v>67</v>
      </c>
      <c r="H1437" s="124">
        <f>E1438</f>
        <v>0</v>
      </c>
      <c r="I1437" s="125" t="str">
        <f>IF(ABS(H1437-'05_UCulv_Engine'!$U$13)&lt;=MAX(0.01,0.005*ABS('05_UCulv_Engine'!$U$13)),"OK","DIFF")</f>
        <v>OK</v>
      </c>
    </row>
    <row r="1438" spans="1:9" x14ac:dyDescent="0.3">
      <c r="A1438" s="135"/>
      <c r="B1438" s="111">
        <f>'05_UCulv_Engine'!$U$13</f>
        <v>0</v>
      </c>
      <c r="C1438" s="138" t="s">
        <v>1628</v>
      </c>
      <c r="D1438" s="111"/>
      <c r="E1438" s="113">
        <f>N(B1438)</f>
        <v>0</v>
      </c>
      <c r="F1438" s="138" t="s">
        <v>2336</v>
      </c>
      <c r="G1438" s="138"/>
      <c r="H1438" s="136"/>
      <c r="I1438" s="139" t="s">
        <v>67</v>
      </c>
    </row>
    <row r="1439" spans="1:9" x14ac:dyDescent="0.3">
      <c r="A1439" s="114"/>
      <c r="B1439" s="111"/>
      <c r="C1439" s="63"/>
      <c r="D1439" s="111"/>
      <c r="E1439" s="113"/>
      <c r="F1439" s="63"/>
      <c r="G1439" s="63"/>
      <c r="H1439" s="115"/>
      <c r="I1439" s="108"/>
    </row>
    <row r="1440" spans="1:9" x14ac:dyDescent="0.3">
      <c r="A1440" s="114"/>
      <c r="B1440" s="111"/>
      <c r="C1440" s="63"/>
      <c r="D1440" s="111"/>
      <c r="E1440" s="113"/>
      <c r="F1440" s="63"/>
      <c r="G1440" s="63"/>
      <c r="H1440" s="115"/>
      <c r="I1440" s="108"/>
    </row>
    <row r="1441" spans="1:9" x14ac:dyDescent="0.3">
      <c r="A1441" s="119" t="s">
        <v>2142</v>
      </c>
      <c r="B1441" s="122"/>
      <c r="C1441" s="119"/>
      <c r="D1441" s="122"/>
      <c r="E1441" s="123"/>
      <c r="F1441" s="119" t="s">
        <v>2337</v>
      </c>
      <c r="G1441" s="119" t="s">
        <v>67</v>
      </c>
      <c r="H1441" s="124">
        <f>E1443+E1445</f>
        <v>0</v>
      </c>
      <c r="I1441" s="125" t="str">
        <f>IF(ABS(H1441-'05_UCulv_Engine'!$V$13)&lt;=MAX(0.01,0.005*ABS('05_UCulv_Engine'!$V$13)),"OK","DIFF")</f>
        <v>OK</v>
      </c>
    </row>
    <row r="1442" spans="1:9" x14ac:dyDescent="0.3">
      <c r="A1442" s="135"/>
      <c r="B1442" s="111">
        <f>'05_UCulv_Engine'!$C$13*2</f>
        <v>0</v>
      </c>
      <c r="C1442" s="138" t="s">
        <v>1628</v>
      </c>
      <c r="D1442" s="111"/>
      <c r="E1442" s="113"/>
      <c r="F1442" s="138" t="s">
        <v>2338</v>
      </c>
      <c r="G1442" s="138"/>
      <c r="H1442" s="136"/>
      <c r="I1442" s="139" t="s">
        <v>2339</v>
      </c>
    </row>
    <row r="1443" spans="1:9" x14ac:dyDescent="0.3">
      <c r="A1443" s="114"/>
      <c r="B1443" s="111"/>
      <c r="C1443" s="63"/>
      <c r="D1443" s="111">
        <f>1</f>
        <v>1</v>
      </c>
      <c r="E1443" s="113">
        <f>N(B1442)*N(D1443)</f>
        <v>0</v>
      </c>
      <c r="F1443" s="63"/>
      <c r="G1443" s="63"/>
      <c r="H1443" s="115"/>
      <c r="I1443" s="108" t="s">
        <v>2340</v>
      </c>
    </row>
    <row r="1444" spans="1:9" x14ac:dyDescent="0.3">
      <c r="A1444" s="114"/>
      <c r="B1444" s="111"/>
      <c r="C1444" s="63"/>
      <c r="D1444" s="111"/>
      <c r="E1444" s="113"/>
      <c r="F1444" s="63"/>
      <c r="G1444" s="63"/>
      <c r="H1444" s="115"/>
      <c r="I1444" s="108"/>
    </row>
    <row r="1445" spans="1:9" x14ac:dyDescent="0.3">
      <c r="A1445" s="114"/>
      <c r="B1445" s="111">
        <f>-'05_UCulv_Engine'!$U$13</f>
        <v>0</v>
      </c>
      <c r="C1445" s="63" t="s">
        <v>1628</v>
      </c>
      <c r="D1445" s="111"/>
      <c r="E1445" s="113">
        <f>N(B1445)</f>
        <v>0</v>
      </c>
      <c r="F1445" s="63" t="s">
        <v>2341</v>
      </c>
      <c r="G1445" s="63"/>
      <c r="H1445" s="115"/>
      <c r="I1445" s="108" t="s">
        <v>67</v>
      </c>
    </row>
    <row r="1446" spans="1:9" x14ac:dyDescent="0.3">
      <c r="A1446" s="114"/>
      <c r="B1446" s="111"/>
      <c r="C1446" s="63"/>
      <c r="D1446" s="111"/>
      <c r="E1446" s="113"/>
      <c r="F1446" s="63"/>
      <c r="G1446" s="63"/>
      <c r="H1446" s="115"/>
      <c r="I1446" s="108"/>
    </row>
    <row r="1447" spans="1:9" x14ac:dyDescent="0.3">
      <c r="A1447" s="114"/>
      <c r="B1447" s="111"/>
      <c r="C1447" s="63"/>
      <c r="D1447" s="111"/>
      <c r="E1447" s="113"/>
      <c r="F1447" s="63"/>
      <c r="G1447" s="63"/>
      <c r="H1447" s="115"/>
      <c r="I1447" s="108"/>
    </row>
    <row r="1448" spans="1:9" x14ac:dyDescent="0.3">
      <c r="A1448" s="114"/>
      <c r="B1448" s="111"/>
      <c r="C1448" s="63"/>
      <c r="D1448" s="111"/>
      <c r="E1448" s="113"/>
      <c r="F1448" s="63"/>
      <c r="G1448" s="63"/>
      <c r="H1448" s="115"/>
      <c r="I1448" s="108"/>
    </row>
    <row r="1449" spans="1:9" x14ac:dyDescent="0.3">
      <c r="A1449" s="131" t="s">
        <v>1754</v>
      </c>
      <c r="B1449" s="158"/>
      <c r="C1449" s="131"/>
      <c r="D1449" s="158"/>
      <c r="E1449" s="132"/>
      <c r="F1449" s="131" t="str">
        <f>IF('05_UCulv_Engine'!$C$14=0,"none in this project",'05_UCulv_Engine'!$C$14&amp;" nr,  total length "&amp;'05_UCulv_Engine'!$D$14&amp;" m")</f>
        <v>none in this project</v>
      </c>
      <c r="G1449" s="131"/>
      <c r="H1449" s="133"/>
      <c r="I1449" s="134"/>
    </row>
    <row r="1450" spans="1:9" x14ac:dyDescent="0.3">
      <c r="A1450" s="119" t="s">
        <v>2143</v>
      </c>
      <c r="B1450" s="122"/>
      <c r="C1450" s="119"/>
      <c r="D1450" s="122"/>
      <c r="E1450" s="123"/>
      <c r="F1450" s="119" t="s">
        <v>1735</v>
      </c>
      <c r="G1450" s="119" t="s">
        <v>63</v>
      </c>
      <c r="H1450" s="124">
        <f>E1451</f>
        <v>0</v>
      </c>
      <c r="I1450" s="125" t="str">
        <f>IF(ABS(H1450-'05_UCulv_Engine'!$T$14)&lt;=MAX(0.01,0.005*ABS('05_UCulv_Engine'!$T$14)),"OK","DIFF")</f>
        <v>OK</v>
      </c>
    </row>
    <row r="1451" spans="1:9" x14ac:dyDescent="0.3">
      <c r="A1451" s="135"/>
      <c r="B1451" s="111">
        <f>'05_UCulv_Engine'!$D$14</f>
        <v>0</v>
      </c>
      <c r="C1451" s="138" t="s">
        <v>1628</v>
      </c>
      <c r="D1451" s="111"/>
      <c r="E1451" s="113">
        <f>N(B1451)</f>
        <v>0</v>
      </c>
      <c r="F1451" s="138" t="s">
        <v>2330</v>
      </c>
      <c r="G1451" s="138"/>
      <c r="H1451" s="136"/>
      <c r="I1451" s="139" t="s">
        <v>2301</v>
      </c>
    </row>
    <row r="1452" spans="1:9" x14ac:dyDescent="0.3">
      <c r="A1452" s="114"/>
      <c r="B1452" s="111"/>
      <c r="C1452" s="63"/>
      <c r="D1452" s="111"/>
      <c r="E1452" s="113"/>
      <c r="F1452" s="63"/>
      <c r="G1452" s="63"/>
      <c r="H1452" s="115"/>
      <c r="I1452" s="108"/>
    </row>
    <row r="1453" spans="1:9" x14ac:dyDescent="0.3">
      <c r="A1453" s="114"/>
      <c r="B1453" s="111"/>
      <c r="C1453" s="63"/>
      <c r="D1453" s="111"/>
      <c r="E1453" s="113"/>
      <c r="F1453" s="63"/>
      <c r="G1453" s="63"/>
      <c r="H1453" s="115"/>
      <c r="I1453" s="108"/>
    </row>
    <row r="1454" spans="1:9" x14ac:dyDescent="0.3">
      <c r="A1454" s="119" t="s">
        <v>2144</v>
      </c>
      <c r="B1454" s="122"/>
      <c r="C1454" s="119"/>
      <c r="D1454" s="122"/>
      <c r="E1454" s="123"/>
      <c r="F1454" s="119" t="s">
        <v>1736</v>
      </c>
      <c r="G1454" s="119" t="s">
        <v>67</v>
      </c>
      <c r="H1454" s="124">
        <f>E1455</f>
        <v>0</v>
      </c>
      <c r="I1454" s="125" t="str">
        <f>IF(ABS(H1454-'05_UCulv_Engine'!$U$14)&lt;=MAX(0.01,0.005*ABS('05_UCulv_Engine'!$U$14)),"OK","DIFF")</f>
        <v>OK</v>
      </c>
    </row>
    <row r="1455" spans="1:9" x14ac:dyDescent="0.3">
      <c r="A1455" s="135"/>
      <c r="B1455" s="111">
        <f>'05_UCulv_Engine'!$U$14</f>
        <v>0</v>
      </c>
      <c r="C1455" s="138" t="s">
        <v>1628</v>
      </c>
      <c r="D1455" s="111"/>
      <c r="E1455" s="113">
        <f>N(B1455)</f>
        <v>0</v>
      </c>
      <c r="F1455" s="138" t="s">
        <v>2336</v>
      </c>
      <c r="G1455" s="138"/>
      <c r="H1455" s="136"/>
      <c r="I1455" s="139" t="s">
        <v>67</v>
      </c>
    </row>
    <row r="1456" spans="1:9" x14ac:dyDescent="0.3">
      <c r="A1456" s="114"/>
      <c r="B1456" s="111"/>
      <c r="C1456" s="63"/>
      <c r="D1456" s="111"/>
      <c r="E1456" s="113"/>
      <c r="F1456" s="63"/>
      <c r="G1456" s="63"/>
      <c r="H1456" s="115"/>
      <c r="I1456" s="108"/>
    </row>
    <row r="1457" spans="1:9" x14ac:dyDescent="0.3">
      <c r="A1457" s="114"/>
      <c r="B1457" s="111"/>
      <c r="C1457" s="63"/>
      <c r="D1457" s="111"/>
      <c r="E1457" s="113"/>
      <c r="F1457" s="63"/>
      <c r="G1457" s="63"/>
      <c r="H1457" s="115"/>
      <c r="I1457" s="108"/>
    </row>
    <row r="1458" spans="1:9" x14ac:dyDescent="0.3">
      <c r="A1458" s="119" t="s">
        <v>2145</v>
      </c>
      <c r="B1458" s="122"/>
      <c r="C1458" s="119"/>
      <c r="D1458" s="122"/>
      <c r="E1458" s="123"/>
      <c r="F1458" s="119" t="s">
        <v>2337</v>
      </c>
      <c r="G1458" s="119" t="s">
        <v>67</v>
      </c>
      <c r="H1458" s="124">
        <f>E1460+E1462</f>
        <v>0</v>
      </c>
      <c r="I1458" s="125" t="str">
        <f>IF(ABS(H1458-'05_UCulv_Engine'!$V$14)&lt;=MAX(0.01,0.005*ABS('05_UCulv_Engine'!$V$14)),"OK","DIFF")</f>
        <v>OK</v>
      </c>
    </row>
    <row r="1459" spans="1:9" x14ac:dyDescent="0.3">
      <c r="A1459" s="135"/>
      <c r="B1459" s="111">
        <f>'05_UCulv_Engine'!$C$14*2</f>
        <v>0</v>
      </c>
      <c r="C1459" s="138" t="s">
        <v>1628</v>
      </c>
      <c r="D1459" s="111"/>
      <c r="E1459" s="113"/>
      <c r="F1459" s="138" t="s">
        <v>2338</v>
      </c>
      <c r="G1459" s="138"/>
      <c r="H1459" s="136"/>
      <c r="I1459" s="139" t="s">
        <v>2339</v>
      </c>
    </row>
    <row r="1460" spans="1:9" x14ac:dyDescent="0.3">
      <c r="A1460" s="114"/>
      <c r="B1460" s="111"/>
      <c r="C1460" s="63"/>
      <c r="D1460" s="111">
        <f>1</f>
        <v>1</v>
      </c>
      <c r="E1460" s="113">
        <f>N(B1459)*N(D1460)</f>
        <v>0</v>
      </c>
      <c r="F1460" s="63"/>
      <c r="G1460" s="63"/>
      <c r="H1460" s="115"/>
      <c r="I1460" s="108" t="s">
        <v>2340</v>
      </c>
    </row>
    <row r="1461" spans="1:9" x14ac:dyDescent="0.3">
      <c r="A1461" s="114"/>
      <c r="B1461" s="111"/>
      <c r="C1461" s="63"/>
      <c r="D1461" s="111"/>
      <c r="E1461" s="113"/>
      <c r="F1461" s="63"/>
      <c r="G1461" s="63"/>
      <c r="H1461" s="115"/>
      <c r="I1461" s="108"/>
    </row>
    <row r="1462" spans="1:9" x14ac:dyDescent="0.3">
      <c r="A1462" s="114"/>
      <c r="B1462" s="111">
        <f>-'05_UCulv_Engine'!$U$14</f>
        <v>0</v>
      </c>
      <c r="C1462" s="63" t="s">
        <v>1628</v>
      </c>
      <c r="D1462" s="111"/>
      <c r="E1462" s="113">
        <f>N(B1462)</f>
        <v>0</v>
      </c>
      <c r="F1462" s="63" t="s">
        <v>2341</v>
      </c>
      <c r="G1462" s="63"/>
      <c r="H1462" s="115"/>
      <c r="I1462" s="108" t="s">
        <v>67</v>
      </c>
    </row>
    <row r="1463" spans="1:9" x14ac:dyDescent="0.3">
      <c r="A1463" s="114"/>
      <c r="B1463" s="111"/>
      <c r="C1463" s="63"/>
      <c r="D1463" s="111"/>
      <c r="E1463" s="113"/>
      <c r="F1463" s="63"/>
      <c r="G1463" s="63"/>
      <c r="H1463" s="115"/>
      <c r="I1463" s="108"/>
    </row>
    <row r="1464" spans="1:9" x14ac:dyDescent="0.3">
      <c r="A1464" s="114"/>
      <c r="B1464" s="111"/>
      <c r="C1464" s="63"/>
      <c r="D1464" s="111"/>
      <c r="E1464" s="113"/>
      <c r="F1464" s="63"/>
      <c r="G1464" s="63"/>
      <c r="H1464" s="115"/>
      <c r="I1464" s="108"/>
    </row>
    <row r="1465" spans="1:9" x14ac:dyDescent="0.3">
      <c r="A1465" s="114"/>
      <c r="B1465" s="111"/>
      <c r="C1465" s="63"/>
      <c r="D1465" s="111"/>
      <c r="E1465" s="113"/>
      <c r="F1465" s="63"/>
      <c r="G1465" s="63"/>
      <c r="H1465" s="115"/>
      <c r="I1465" s="108"/>
    </row>
    <row r="1466" spans="1:9" x14ac:dyDescent="0.3">
      <c r="A1466" s="131" t="s">
        <v>1756</v>
      </c>
      <c r="B1466" s="158"/>
      <c r="C1466" s="131"/>
      <c r="D1466" s="158"/>
      <c r="E1466" s="132"/>
      <c r="F1466" s="131" t="str">
        <f>IF('05_UCulv_Engine'!$C$15=0,"none in this project",'05_UCulv_Engine'!$C$15&amp;" nr,  total length "&amp;'05_UCulv_Engine'!$D$15&amp;" m")</f>
        <v>none in this project</v>
      </c>
      <c r="G1466" s="131"/>
      <c r="H1466" s="133"/>
      <c r="I1466" s="134"/>
    </row>
    <row r="1467" spans="1:9" x14ac:dyDescent="0.3">
      <c r="A1467" s="119" t="s">
        <v>2146</v>
      </c>
      <c r="B1467" s="122"/>
      <c r="C1467" s="119"/>
      <c r="D1467" s="122"/>
      <c r="E1467" s="123"/>
      <c r="F1467" s="119" t="s">
        <v>1735</v>
      </c>
      <c r="G1467" s="119" t="s">
        <v>63</v>
      </c>
      <c r="H1467" s="124">
        <f>E1468</f>
        <v>0</v>
      </c>
      <c r="I1467" s="125" t="str">
        <f>IF(ABS(H1467-'05_UCulv_Engine'!$T$15)&lt;=MAX(0.01,0.005*ABS('05_UCulv_Engine'!$T$15)),"OK","DIFF")</f>
        <v>OK</v>
      </c>
    </row>
    <row r="1468" spans="1:9" x14ac:dyDescent="0.3">
      <c r="A1468" s="135"/>
      <c r="B1468" s="111">
        <f>'05_UCulv_Engine'!$D$15</f>
        <v>0</v>
      </c>
      <c r="C1468" s="138" t="s">
        <v>1628</v>
      </c>
      <c r="D1468" s="111"/>
      <c r="E1468" s="113">
        <f>N(B1468)</f>
        <v>0</v>
      </c>
      <c r="F1468" s="138" t="s">
        <v>2330</v>
      </c>
      <c r="G1468" s="138"/>
      <c r="H1468" s="136"/>
      <c r="I1468" s="139" t="s">
        <v>2301</v>
      </c>
    </row>
    <row r="1469" spans="1:9" x14ac:dyDescent="0.3">
      <c r="A1469" s="114"/>
      <c r="B1469" s="111"/>
      <c r="C1469" s="63"/>
      <c r="D1469" s="111"/>
      <c r="E1469" s="113"/>
      <c r="F1469" s="63"/>
      <c r="G1469" s="63"/>
      <c r="H1469" s="115"/>
      <c r="I1469" s="108"/>
    </row>
    <row r="1470" spans="1:9" x14ac:dyDescent="0.3">
      <c r="A1470" s="114"/>
      <c r="B1470" s="111"/>
      <c r="C1470" s="63"/>
      <c r="D1470" s="111"/>
      <c r="E1470" s="113"/>
      <c r="F1470" s="63"/>
      <c r="G1470" s="63"/>
      <c r="H1470" s="115"/>
      <c r="I1470" s="108"/>
    </row>
    <row r="1471" spans="1:9" x14ac:dyDescent="0.3">
      <c r="A1471" s="119" t="s">
        <v>2147</v>
      </c>
      <c r="B1471" s="122"/>
      <c r="C1471" s="119"/>
      <c r="D1471" s="122"/>
      <c r="E1471" s="123"/>
      <c r="F1471" s="119" t="s">
        <v>1736</v>
      </c>
      <c r="G1471" s="119" t="s">
        <v>67</v>
      </c>
      <c r="H1471" s="124">
        <f>E1472</f>
        <v>0</v>
      </c>
      <c r="I1471" s="125" t="str">
        <f>IF(ABS(H1471-'05_UCulv_Engine'!$U$15)&lt;=MAX(0.01,0.005*ABS('05_UCulv_Engine'!$U$15)),"OK","DIFF")</f>
        <v>OK</v>
      </c>
    </row>
    <row r="1472" spans="1:9" x14ac:dyDescent="0.3">
      <c r="A1472" s="135"/>
      <c r="B1472" s="111">
        <f>'05_UCulv_Engine'!$U$15</f>
        <v>0</v>
      </c>
      <c r="C1472" s="138" t="s">
        <v>1628</v>
      </c>
      <c r="D1472" s="111"/>
      <c r="E1472" s="113">
        <f>N(B1472)</f>
        <v>0</v>
      </c>
      <c r="F1472" s="138" t="s">
        <v>2336</v>
      </c>
      <c r="G1472" s="138"/>
      <c r="H1472" s="136"/>
      <c r="I1472" s="139" t="s">
        <v>67</v>
      </c>
    </row>
    <row r="1473" spans="1:9" x14ac:dyDescent="0.3">
      <c r="A1473" s="114"/>
      <c r="B1473" s="111"/>
      <c r="C1473" s="63"/>
      <c r="D1473" s="111"/>
      <c r="E1473" s="113"/>
      <c r="F1473" s="63"/>
      <c r="G1473" s="63"/>
      <c r="H1473" s="115"/>
      <c r="I1473" s="108"/>
    </row>
    <row r="1474" spans="1:9" x14ac:dyDescent="0.3">
      <c r="A1474" s="114"/>
      <c r="B1474" s="111"/>
      <c r="C1474" s="63"/>
      <c r="D1474" s="111"/>
      <c r="E1474" s="113"/>
      <c r="F1474" s="63"/>
      <c r="G1474" s="63"/>
      <c r="H1474" s="115"/>
      <c r="I1474" s="108"/>
    </row>
    <row r="1475" spans="1:9" x14ac:dyDescent="0.3">
      <c r="A1475" s="119" t="s">
        <v>2148</v>
      </c>
      <c r="B1475" s="122"/>
      <c r="C1475" s="119"/>
      <c r="D1475" s="122"/>
      <c r="E1475" s="123"/>
      <c r="F1475" s="119" t="s">
        <v>2337</v>
      </c>
      <c r="G1475" s="119" t="s">
        <v>67</v>
      </c>
      <c r="H1475" s="124">
        <f>E1477+E1479</f>
        <v>0</v>
      </c>
      <c r="I1475" s="125" t="str">
        <f>IF(ABS(H1475-'05_UCulv_Engine'!$V$15)&lt;=MAX(0.01,0.005*ABS('05_UCulv_Engine'!$V$15)),"OK","DIFF")</f>
        <v>OK</v>
      </c>
    </row>
    <row r="1476" spans="1:9" x14ac:dyDescent="0.3">
      <c r="A1476" s="135"/>
      <c r="B1476" s="111">
        <f>'05_UCulv_Engine'!$C$15*2</f>
        <v>0</v>
      </c>
      <c r="C1476" s="138" t="s">
        <v>1628</v>
      </c>
      <c r="D1476" s="111"/>
      <c r="E1476" s="113"/>
      <c r="F1476" s="138" t="s">
        <v>2338</v>
      </c>
      <c r="G1476" s="138"/>
      <c r="H1476" s="136"/>
      <c r="I1476" s="139" t="s">
        <v>2339</v>
      </c>
    </row>
    <row r="1477" spans="1:9" x14ac:dyDescent="0.3">
      <c r="A1477" s="114"/>
      <c r="B1477" s="111"/>
      <c r="C1477" s="63"/>
      <c r="D1477" s="111">
        <f>1</f>
        <v>1</v>
      </c>
      <c r="E1477" s="113">
        <f>N(B1476)*N(D1477)</f>
        <v>0</v>
      </c>
      <c r="F1477" s="63"/>
      <c r="G1477" s="63"/>
      <c r="H1477" s="115"/>
      <c r="I1477" s="108" t="s">
        <v>2340</v>
      </c>
    </row>
    <row r="1478" spans="1:9" x14ac:dyDescent="0.3">
      <c r="A1478" s="114"/>
      <c r="B1478" s="111"/>
      <c r="C1478" s="63"/>
      <c r="D1478" s="111"/>
      <c r="E1478" s="113"/>
      <c r="F1478" s="63"/>
      <c r="G1478" s="63"/>
      <c r="H1478" s="115"/>
      <c r="I1478" s="108"/>
    </row>
    <row r="1479" spans="1:9" x14ac:dyDescent="0.3">
      <c r="A1479" s="114"/>
      <c r="B1479" s="111">
        <f>-'05_UCulv_Engine'!$U$15</f>
        <v>0</v>
      </c>
      <c r="C1479" s="63" t="s">
        <v>1628</v>
      </c>
      <c r="D1479" s="111"/>
      <c r="E1479" s="113">
        <f>N(B1479)</f>
        <v>0</v>
      </c>
      <c r="F1479" s="63" t="s">
        <v>2341</v>
      </c>
      <c r="G1479" s="63"/>
      <c r="H1479" s="115"/>
      <c r="I1479" s="108" t="s">
        <v>67</v>
      </c>
    </row>
    <row r="1480" spans="1:9" x14ac:dyDescent="0.3">
      <c r="A1480" s="114"/>
      <c r="B1480" s="111"/>
      <c r="C1480" s="63"/>
      <c r="D1480" s="111"/>
      <c r="E1480" s="113"/>
      <c r="F1480" s="63"/>
      <c r="G1480" s="63"/>
      <c r="H1480" s="115"/>
      <c r="I1480" s="108"/>
    </row>
    <row r="1481" spans="1:9" x14ac:dyDescent="0.3">
      <c r="A1481" s="114"/>
      <c r="B1481" s="111"/>
      <c r="C1481" s="63"/>
      <c r="D1481" s="111"/>
      <c r="E1481" s="113"/>
      <c r="F1481" s="63"/>
      <c r="G1481" s="63"/>
      <c r="H1481" s="115"/>
      <c r="I1481" s="108"/>
    </row>
    <row r="1482" spans="1:9" x14ac:dyDescent="0.3">
      <c r="A1482" s="114"/>
      <c r="B1482" s="111"/>
      <c r="C1482" s="63"/>
      <c r="D1482" s="111"/>
      <c r="E1482" s="113"/>
      <c r="F1482" s="63"/>
      <c r="G1482" s="63"/>
      <c r="H1482" s="115"/>
      <c r="I1482" s="108"/>
    </row>
    <row r="1483" spans="1:9" x14ac:dyDescent="0.3">
      <c r="A1483" s="131" t="s">
        <v>1758</v>
      </c>
      <c r="B1483" s="158"/>
      <c r="C1483" s="131"/>
      <c r="D1483" s="158"/>
      <c r="E1483" s="132"/>
      <c r="F1483" s="131" t="str">
        <f>IF('05_UCulv_Engine'!$C$16=0,"none in this project",'05_UCulv_Engine'!$C$16&amp;" nr,  total length "&amp;'05_UCulv_Engine'!$D$16&amp;" m")</f>
        <v>none in this project</v>
      </c>
      <c r="G1483" s="131"/>
      <c r="H1483" s="133"/>
      <c r="I1483" s="134"/>
    </row>
    <row r="1484" spans="1:9" x14ac:dyDescent="0.3">
      <c r="A1484" s="119" t="s">
        <v>2149</v>
      </c>
      <c r="B1484" s="122"/>
      <c r="C1484" s="119"/>
      <c r="D1484" s="122"/>
      <c r="E1484" s="123"/>
      <c r="F1484" s="119" t="s">
        <v>1735</v>
      </c>
      <c r="G1484" s="119" t="s">
        <v>63</v>
      </c>
      <c r="H1484" s="124">
        <f>E1485</f>
        <v>0</v>
      </c>
      <c r="I1484" s="125" t="str">
        <f>IF(ABS(H1484-'05_UCulv_Engine'!$T$16)&lt;=MAX(0.01,0.005*ABS('05_UCulv_Engine'!$T$16)),"OK","DIFF")</f>
        <v>OK</v>
      </c>
    </row>
    <row r="1485" spans="1:9" x14ac:dyDescent="0.3">
      <c r="A1485" s="135"/>
      <c r="B1485" s="111">
        <f>'05_UCulv_Engine'!$D$16</f>
        <v>0</v>
      </c>
      <c r="C1485" s="138" t="s">
        <v>1628</v>
      </c>
      <c r="D1485" s="111"/>
      <c r="E1485" s="113">
        <f>N(B1485)</f>
        <v>0</v>
      </c>
      <c r="F1485" s="138" t="s">
        <v>2330</v>
      </c>
      <c r="G1485" s="138"/>
      <c r="H1485" s="136"/>
      <c r="I1485" s="139" t="s">
        <v>2301</v>
      </c>
    </row>
    <row r="1486" spans="1:9" x14ac:dyDescent="0.3">
      <c r="A1486" s="114"/>
      <c r="B1486" s="111"/>
      <c r="C1486" s="63"/>
      <c r="D1486" s="111"/>
      <c r="E1486" s="113"/>
      <c r="F1486" s="63"/>
      <c r="G1486" s="63"/>
      <c r="H1486" s="115"/>
      <c r="I1486" s="108"/>
    </row>
    <row r="1487" spans="1:9" x14ac:dyDescent="0.3">
      <c r="A1487" s="114"/>
      <c r="B1487" s="111"/>
      <c r="C1487" s="63"/>
      <c r="D1487" s="111"/>
      <c r="E1487" s="113"/>
      <c r="F1487" s="63"/>
      <c r="G1487" s="63"/>
      <c r="H1487" s="115"/>
      <c r="I1487" s="108"/>
    </row>
    <row r="1488" spans="1:9" x14ac:dyDescent="0.3">
      <c r="A1488" s="119" t="s">
        <v>2150</v>
      </c>
      <c r="B1488" s="122"/>
      <c r="C1488" s="119"/>
      <c r="D1488" s="122"/>
      <c r="E1488" s="123"/>
      <c r="F1488" s="119" t="s">
        <v>1736</v>
      </c>
      <c r="G1488" s="119" t="s">
        <v>67</v>
      </c>
      <c r="H1488" s="124">
        <f>E1489</f>
        <v>0</v>
      </c>
      <c r="I1488" s="125" t="str">
        <f>IF(ABS(H1488-'05_UCulv_Engine'!$U$16)&lt;=MAX(0.01,0.005*ABS('05_UCulv_Engine'!$U$16)),"OK","DIFF")</f>
        <v>OK</v>
      </c>
    </row>
    <row r="1489" spans="1:9" x14ac:dyDescent="0.3">
      <c r="A1489" s="135"/>
      <c r="B1489" s="111">
        <f>'05_UCulv_Engine'!$U$16</f>
        <v>0</v>
      </c>
      <c r="C1489" s="138" t="s">
        <v>1628</v>
      </c>
      <c r="D1489" s="111"/>
      <c r="E1489" s="113">
        <f>N(B1489)</f>
        <v>0</v>
      </c>
      <c r="F1489" s="138" t="s">
        <v>2336</v>
      </c>
      <c r="G1489" s="138"/>
      <c r="H1489" s="136"/>
      <c r="I1489" s="139" t="s">
        <v>67</v>
      </c>
    </row>
    <row r="1490" spans="1:9" x14ac:dyDescent="0.3">
      <c r="A1490" s="114"/>
      <c r="B1490" s="111"/>
      <c r="C1490" s="63"/>
      <c r="D1490" s="111"/>
      <c r="E1490" s="113"/>
      <c r="F1490" s="63"/>
      <c r="G1490" s="63"/>
      <c r="H1490" s="115"/>
      <c r="I1490" s="108"/>
    </row>
    <row r="1491" spans="1:9" x14ac:dyDescent="0.3">
      <c r="A1491" s="114"/>
      <c r="B1491" s="111"/>
      <c r="C1491" s="63"/>
      <c r="D1491" s="111"/>
      <c r="E1491" s="113"/>
      <c r="F1491" s="63"/>
      <c r="G1491" s="63"/>
      <c r="H1491" s="115"/>
      <c r="I1491" s="108"/>
    </row>
    <row r="1492" spans="1:9" x14ac:dyDescent="0.3">
      <c r="A1492" s="119" t="s">
        <v>2151</v>
      </c>
      <c r="B1492" s="122"/>
      <c r="C1492" s="119"/>
      <c r="D1492" s="122"/>
      <c r="E1492" s="123"/>
      <c r="F1492" s="119" t="s">
        <v>2337</v>
      </c>
      <c r="G1492" s="119" t="s">
        <v>67</v>
      </c>
      <c r="H1492" s="124">
        <f>E1494+E1496</f>
        <v>0</v>
      </c>
      <c r="I1492" s="125" t="str">
        <f>IF(ABS(H1492-'05_UCulv_Engine'!$V$16)&lt;=MAX(0.01,0.005*ABS('05_UCulv_Engine'!$V$16)),"OK","DIFF")</f>
        <v>OK</v>
      </c>
    </row>
    <row r="1493" spans="1:9" x14ac:dyDescent="0.3">
      <c r="A1493" s="135"/>
      <c r="B1493" s="111">
        <f>'05_UCulv_Engine'!$C$16*2</f>
        <v>0</v>
      </c>
      <c r="C1493" s="138" t="s">
        <v>1628</v>
      </c>
      <c r="D1493" s="111"/>
      <c r="E1493" s="113"/>
      <c r="F1493" s="138" t="s">
        <v>2338</v>
      </c>
      <c r="G1493" s="138"/>
      <c r="H1493" s="136"/>
      <c r="I1493" s="139" t="s">
        <v>2339</v>
      </c>
    </row>
    <row r="1494" spans="1:9" x14ac:dyDescent="0.3">
      <c r="A1494" s="114"/>
      <c r="B1494" s="111"/>
      <c r="C1494" s="63"/>
      <c r="D1494" s="111">
        <f>1</f>
        <v>1</v>
      </c>
      <c r="E1494" s="113">
        <f>N(B1493)*N(D1494)</f>
        <v>0</v>
      </c>
      <c r="F1494" s="63"/>
      <c r="G1494" s="63"/>
      <c r="H1494" s="115"/>
      <c r="I1494" s="108" t="s">
        <v>2340</v>
      </c>
    </row>
    <row r="1495" spans="1:9" x14ac:dyDescent="0.3">
      <c r="A1495" s="114"/>
      <c r="B1495" s="111"/>
      <c r="C1495" s="63"/>
      <c r="D1495" s="111"/>
      <c r="E1495" s="113"/>
      <c r="F1495" s="63"/>
      <c r="G1495" s="63"/>
      <c r="H1495" s="115"/>
      <c r="I1495" s="108"/>
    </row>
    <row r="1496" spans="1:9" x14ac:dyDescent="0.3">
      <c r="A1496" s="114"/>
      <c r="B1496" s="111">
        <f>-'05_UCulv_Engine'!$U$16</f>
        <v>0</v>
      </c>
      <c r="C1496" s="63" t="s">
        <v>1628</v>
      </c>
      <c r="D1496" s="111"/>
      <c r="E1496" s="113">
        <f>N(B1496)</f>
        <v>0</v>
      </c>
      <c r="F1496" s="63" t="s">
        <v>2341</v>
      </c>
      <c r="G1496" s="63"/>
      <c r="H1496" s="115"/>
      <c r="I1496" s="108" t="s">
        <v>67</v>
      </c>
    </row>
    <row r="1497" spans="1:9" x14ac:dyDescent="0.3">
      <c r="A1497" s="114"/>
      <c r="B1497" s="111"/>
      <c r="C1497" s="63"/>
      <c r="D1497" s="111"/>
      <c r="E1497" s="113"/>
      <c r="F1497" s="63"/>
      <c r="G1497" s="63"/>
      <c r="H1497" s="115"/>
      <c r="I1497" s="108"/>
    </row>
    <row r="1498" spans="1:9" x14ac:dyDescent="0.3">
      <c r="A1498" s="114"/>
      <c r="B1498" s="111"/>
      <c r="C1498" s="63"/>
      <c r="D1498" s="111"/>
      <c r="E1498" s="113"/>
      <c r="F1498" s="63"/>
      <c r="G1498" s="63"/>
      <c r="H1498" s="115"/>
      <c r="I1498" s="108"/>
    </row>
    <row r="1499" spans="1:9" x14ac:dyDescent="0.3">
      <c r="A1499" s="114"/>
      <c r="B1499" s="111"/>
      <c r="C1499" s="63"/>
      <c r="D1499" s="111"/>
      <c r="E1499" s="113"/>
      <c r="F1499" s="63"/>
      <c r="G1499" s="63"/>
      <c r="H1499" s="115"/>
      <c r="I1499" s="108"/>
    </row>
    <row r="1500" spans="1:9" x14ac:dyDescent="0.3">
      <c r="A1500" s="131" t="s">
        <v>1760</v>
      </c>
      <c r="B1500" s="158"/>
      <c r="C1500" s="131"/>
      <c r="D1500" s="158"/>
      <c r="E1500" s="132"/>
      <c r="F1500" s="131" t="str">
        <f>IF('05_UCulv_Engine'!$C$17=0,"none in this project",'05_UCulv_Engine'!$C$17&amp;" nr,  total length "&amp;'05_UCulv_Engine'!$D$17&amp;" m")</f>
        <v>none in this project</v>
      </c>
      <c r="G1500" s="131"/>
      <c r="H1500" s="133"/>
      <c r="I1500" s="134"/>
    </row>
    <row r="1501" spans="1:9" x14ac:dyDescent="0.3">
      <c r="A1501" s="119" t="s">
        <v>2152</v>
      </c>
      <c r="B1501" s="122"/>
      <c r="C1501" s="119"/>
      <c r="D1501" s="122"/>
      <c r="E1501" s="123"/>
      <c r="F1501" s="119" t="s">
        <v>1735</v>
      </c>
      <c r="G1501" s="119" t="s">
        <v>63</v>
      </c>
      <c r="H1501" s="124">
        <f>E1502</f>
        <v>0</v>
      </c>
      <c r="I1501" s="125" t="str">
        <f>IF(ABS(H1501-'05_UCulv_Engine'!$T$17)&lt;=MAX(0.01,0.005*ABS('05_UCulv_Engine'!$T$17)),"OK","DIFF")</f>
        <v>OK</v>
      </c>
    </row>
    <row r="1502" spans="1:9" x14ac:dyDescent="0.3">
      <c r="A1502" s="135"/>
      <c r="B1502" s="111">
        <f>'05_UCulv_Engine'!$D$17</f>
        <v>0</v>
      </c>
      <c r="C1502" s="138" t="s">
        <v>1628</v>
      </c>
      <c r="D1502" s="111"/>
      <c r="E1502" s="113">
        <f>N(B1502)</f>
        <v>0</v>
      </c>
      <c r="F1502" s="138" t="s">
        <v>2330</v>
      </c>
      <c r="G1502" s="138"/>
      <c r="H1502" s="136"/>
      <c r="I1502" s="139" t="s">
        <v>2301</v>
      </c>
    </row>
    <row r="1503" spans="1:9" x14ac:dyDescent="0.3">
      <c r="A1503" s="114"/>
      <c r="B1503" s="111"/>
      <c r="C1503" s="63"/>
      <c r="D1503" s="111"/>
      <c r="E1503" s="113"/>
      <c r="F1503" s="63"/>
      <c r="G1503" s="63"/>
      <c r="H1503" s="115"/>
      <c r="I1503" s="108"/>
    </row>
    <row r="1504" spans="1:9" x14ac:dyDescent="0.3">
      <c r="A1504" s="114"/>
      <c r="B1504" s="111"/>
      <c r="C1504" s="63"/>
      <c r="D1504" s="111"/>
      <c r="E1504" s="113"/>
      <c r="F1504" s="63"/>
      <c r="G1504" s="63"/>
      <c r="H1504" s="115"/>
      <c r="I1504" s="108"/>
    </row>
    <row r="1505" spans="1:9" x14ac:dyDescent="0.3">
      <c r="A1505" s="119" t="s">
        <v>2153</v>
      </c>
      <c r="B1505" s="122"/>
      <c r="C1505" s="119"/>
      <c r="D1505" s="122"/>
      <c r="E1505" s="123"/>
      <c r="F1505" s="119" t="s">
        <v>1736</v>
      </c>
      <c r="G1505" s="119" t="s">
        <v>67</v>
      </c>
      <c r="H1505" s="124">
        <f>E1506</f>
        <v>0</v>
      </c>
      <c r="I1505" s="125" t="str">
        <f>IF(ABS(H1505-'05_UCulv_Engine'!$U$17)&lt;=MAX(0.01,0.005*ABS('05_UCulv_Engine'!$U$17)),"OK","DIFF")</f>
        <v>OK</v>
      </c>
    </row>
    <row r="1506" spans="1:9" x14ac:dyDescent="0.3">
      <c r="A1506" s="135"/>
      <c r="B1506" s="111">
        <f>'05_UCulv_Engine'!$U$17</f>
        <v>0</v>
      </c>
      <c r="C1506" s="138" t="s">
        <v>1628</v>
      </c>
      <c r="D1506" s="111"/>
      <c r="E1506" s="113">
        <f>N(B1506)</f>
        <v>0</v>
      </c>
      <c r="F1506" s="138" t="s">
        <v>2336</v>
      </c>
      <c r="G1506" s="138"/>
      <c r="H1506" s="136"/>
      <c r="I1506" s="139" t="s">
        <v>67</v>
      </c>
    </row>
    <row r="1507" spans="1:9" x14ac:dyDescent="0.3">
      <c r="A1507" s="114"/>
      <c r="B1507" s="111"/>
      <c r="C1507" s="63"/>
      <c r="D1507" s="111"/>
      <c r="E1507" s="113"/>
      <c r="F1507" s="63"/>
      <c r="G1507" s="63"/>
      <c r="H1507" s="115"/>
      <c r="I1507" s="108"/>
    </row>
    <row r="1508" spans="1:9" x14ac:dyDescent="0.3">
      <c r="A1508" s="114"/>
      <c r="B1508" s="111"/>
      <c r="C1508" s="63"/>
      <c r="D1508" s="111"/>
      <c r="E1508" s="113"/>
      <c r="F1508" s="63"/>
      <c r="G1508" s="63"/>
      <c r="H1508" s="115"/>
      <c r="I1508" s="108"/>
    </row>
    <row r="1509" spans="1:9" x14ac:dyDescent="0.3">
      <c r="A1509" s="119" t="s">
        <v>2154</v>
      </c>
      <c r="B1509" s="122"/>
      <c r="C1509" s="119"/>
      <c r="D1509" s="122"/>
      <c r="E1509" s="123"/>
      <c r="F1509" s="119" t="s">
        <v>2337</v>
      </c>
      <c r="G1509" s="119" t="s">
        <v>67</v>
      </c>
      <c r="H1509" s="124">
        <f>E1511+E1513</f>
        <v>0</v>
      </c>
      <c r="I1509" s="125" t="str">
        <f>IF(ABS(H1509-'05_UCulv_Engine'!$V$17)&lt;=MAX(0.01,0.005*ABS('05_UCulv_Engine'!$V$17)),"OK","DIFF")</f>
        <v>OK</v>
      </c>
    </row>
    <row r="1510" spans="1:9" x14ac:dyDescent="0.3">
      <c r="A1510" s="135"/>
      <c r="B1510" s="111">
        <f>'05_UCulv_Engine'!$C$17*2</f>
        <v>0</v>
      </c>
      <c r="C1510" s="138" t="s">
        <v>1628</v>
      </c>
      <c r="D1510" s="111"/>
      <c r="E1510" s="113"/>
      <c r="F1510" s="138" t="s">
        <v>2338</v>
      </c>
      <c r="G1510" s="138"/>
      <c r="H1510" s="136"/>
      <c r="I1510" s="139" t="s">
        <v>2339</v>
      </c>
    </row>
    <row r="1511" spans="1:9" x14ac:dyDescent="0.3">
      <c r="A1511" s="114"/>
      <c r="B1511" s="111"/>
      <c r="C1511" s="63"/>
      <c r="D1511" s="111">
        <f>1</f>
        <v>1</v>
      </c>
      <c r="E1511" s="113">
        <f>N(B1510)*N(D1511)</f>
        <v>0</v>
      </c>
      <c r="F1511" s="63"/>
      <c r="G1511" s="63"/>
      <c r="H1511" s="115"/>
      <c r="I1511" s="108" t="s">
        <v>2340</v>
      </c>
    </row>
    <row r="1512" spans="1:9" x14ac:dyDescent="0.3">
      <c r="A1512" s="114"/>
      <c r="B1512" s="111"/>
      <c r="C1512" s="63"/>
      <c r="D1512" s="111"/>
      <c r="E1512" s="113"/>
      <c r="F1512" s="63"/>
      <c r="G1512" s="63"/>
      <c r="H1512" s="115"/>
      <c r="I1512" s="108"/>
    </row>
    <row r="1513" spans="1:9" x14ac:dyDescent="0.3">
      <c r="A1513" s="114"/>
      <c r="B1513" s="111">
        <f>-'05_UCulv_Engine'!$U$17</f>
        <v>0</v>
      </c>
      <c r="C1513" s="63" t="s">
        <v>1628</v>
      </c>
      <c r="D1513" s="111"/>
      <c r="E1513" s="113">
        <f>N(B1513)</f>
        <v>0</v>
      </c>
      <c r="F1513" s="63" t="s">
        <v>2341</v>
      </c>
      <c r="G1513" s="63"/>
      <c r="H1513" s="115"/>
      <c r="I1513" s="108" t="s">
        <v>67</v>
      </c>
    </row>
    <row r="1514" spans="1:9" x14ac:dyDescent="0.3">
      <c r="A1514" s="114"/>
      <c r="B1514" s="111"/>
      <c r="C1514" s="63"/>
      <c r="D1514" s="111"/>
      <c r="E1514" s="113"/>
      <c r="F1514" s="63"/>
      <c r="G1514" s="63"/>
      <c r="H1514" s="115"/>
      <c r="I1514" s="108"/>
    </row>
    <row r="1515" spans="1:9" x14ac:dyDescent="0.3">
      <c r="A1515" s="114"/>
      <c r="B1515" s="111"/>
      <c r="C1515" s="63"/>
      <c r="D1515" s="111"/>
      <c r="E1515" s="113"/>
      <c r="F1515" s="63"/>
      <c r="G1515" s="63"/>
      <c r="H1515" s="115"/>
      <c r="I1515" s="108"/>
    </row>
    <row r="1516" spans="1:9" x14ac:dyDescent="0.3">
      <c r="A1516" s="114"/>
      <c r="B1516" s="111"/>
      <c r="C1516" s="63"/>
      <c r="D1516" s="111"/>
      <c r="E1516" s="113"/>
      <c r="F1516" s="63"/>
      <c r="G1516" s="63"/>
      <c r="H1516" s="115"/>
      <c r="I1516" s="108"/>
    </row>
    <row r="1517" spans="1:9" x14ac:dyDescent="0.3">
      <c r="A1517" s="127" t="s">
        <v>2342</v>
      </c>
      <c r="B1517" s="159"/>
      <c r="C1517" s="127"/>
      <c r="D1517" s="159"/>
      <c r="E1517" s="128"/>
      <c r="F1517" s="127"/>
      <c r="G1517" s="127"/>
      <c r="H1517" s="129"/>
      <c r="I1517" s="130"/>
    </row>
    <row r="1518" spans="1:9" x14ac:dyDescent="0.3">
      <c r="A1518" s="140" t="s">
        <v>2343</v>
      </c>
      <c r="B1518" s="122"/>
      <c r="C1518" s="119"/>
      <c r="D1518" s="122"/>
      <c r="E1518" s="123"/>
      <c r="F1518" s="119"/>
      <c r="G1518" s="119"/>
      <c r="H1518" s="124"/>
      <c r="I1518" s="125"/>
    </row>
    <row r="1519" spans="1:9" x14ac:dyDescent="0.3">
      <c r="A1519" s="141"/>
      <c r="B1519" s="142"/>
      <c r="C1519" s="141"/>
      <c r="D1519" s="142"/>
      <c r="E1519" s="143"/>
      <c r="F1519" s="141"/>
      <c r="G1519" s="141"/>
      <c r="H1519" s="144"/>
      <c r="I1519" s="145"/>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375623"/>
    <pageSetUpPr fitToPage="1"/>
  </sheetPr>
  <dimension ref="A1:L1001"/>
  <sheetViews>
    <sheetView showGridLines="0" workbookViewId="0">
      <pane xSplit="3" ySplit="5" topLeftCell="D94" activePane="bottomRight" state="frozen"/>
      <selection pane="topRight" activeCell="D1" sqref="D1"/>
      <selection pane="bottomLeft" activeCell="A6" sqref="A6"/>
      <selection pane="bottomRight" activeCell="B103" sqref="B103"/>
    </sheetView>
  </sheetViews>
  <sheetFormatPr defaultColWidth="14.44140625" defaultRowHeight="15" customHeight="1" x14ac:dyDescent="0.3"/>
  <cols>
    <col min="1" max="1" width="11" customWidth="1"/>
    <col min="2" max="2" width="62" customWidth="1"/>
    <col min="3" max="3" width="8" customWidth="1"/>
    <col min="4" max="4" width="11" customWidth="1"/>
    <col min="5" max="5" width="10" customWidth="1"/>
    <col min="6" max="7" width="11" customWidth="1"/>
    <col min="8" max="9" width="10" customWidth="1"/>
    <col min="10" max="11" width="12" customWidth="1"/>
    <col min="12" max="12" width="15" customWidth="1"/>
    <col min="13" max="26" width="8.6640625" customWidth="1"/>
  </cols>
  <sheetData>
    <row r="1" spans="1:12" ht="19.8" customHeight="1" x14ac:dyDescent="0.4">
      <c r="A1" s="1" t="s">
        <v>2344</v>
      </c>
    </row>
    <row r="2" spans="1:12" ht="15.6" customHeight="1" x14ac:dyDescent="0.3">
      <c r="A2" s="33">
        <f>P_RoadName</f>
        <v>0</v>
      </c>
    </row>
    <row r="3" spans="1:12" ht="14.4" customHeight="1" x14ac:dyDescent="0.3">
      <c r="A3" s="34" t="str">
        <f>"Road code: "&amp;P_RoadCode&amp;"     District: "&amp;P_District&amp;"     Length: "&amp;TEXT(P_Length_km,"0.0")&amp;" km"</f>
        <v>Road code:      District:      Length: 0.0 km</v>
      </c>
    </row>
    <row r="5" spans="1:12" ht="14.4" customHeight="1" x14ac:dyDescent="0.3">
      <c r="A5" s="3" t="s">
        <v>2345</v>
      </c>
      <c r="B5" s="3" t="s">
        <v>1713</v>
      </c>
      <c r="C5" s="3" t="s">
        <v>43</v>
      </c>
      <c r="D5" s="3" t="s">
        <v>2346</v>
      </c>
      <c r="E5" s="3" t="s">
        <v>2347</v>
      </c>
      <c r="F5" s="3" t="s">
        <v>2348</v>
      </c>
      <c r="G5" s="3" t="s">
        <v>2349</v>
      </c>
      <c r="H5" s="3" t="s">
        <v>2350</v>
      </c>
      <c r="I5" s="3" t="s">
        <v>2351</v>
      </c>
      <c r="J5" s="3" t="s">
        <v>222</v>
      </c>
      <c r="K5" s="3" t="s">
        <v>2187</v>
      </c>
      <c r="L5" s="3" t="s">
        <v>2352</v>
      </c>
    </row>
    <row r="6" spans="1:12" ht="14.4" customHeight="1" x14ac:dyDescent="0.3">
      <c r="A6" s="17"/>
      <c r="B6" s="17"/>
      <c r="C6" s="17"/>
      <c r="D6" s="23"/>
      <c r="E6" s="23"/>
      <c r="F6" s="23"/>
      <c r="G6" s="23"/>
      <c r="H6" s="23"/>
      <c r="I6" s="32"/>
      <c r="J6" s="23"/>
      <c r="K6" s="23"/>
      <c r="L6" s="23"/>
    </row>
    <row r="7" spans="1:12" ht="14.4" customHeight="1" x14ac:dyDescent="0.3">
      <c r="A7" s="17"/>
      <c r="B7" s="17"/>
      <c r="C7" s="17"/>
      <c r="D7" s="23"/>
      <c r="E7" s="23"/>
      <c r="F7" s="23"/>
      <c r="G7" s="23"/>
      <c r="H7" s="23"/>
      <c r="I7" s="32"/>
      <c r="J7" s="23"/>
      <c r="K7" s="23"/>
      <c r="L7" s="23"/>
    </row>
    <row r="8" spans="1:12" ht="14.4" customHeight="1" x14ac:dyDescent="0.3">
      <c r="A8" s="17"/>
      <c r="B8" s="17"/>
      <c r="C8" s="17"/>
      <c r="D8" s="23"/>
      <c r="E8" s="23"/>
      <c r="F8" s="23"/>
      <c r="G8" s="23"/>
      <c r="H8" s="23"/>
      <c r="I8" s="32"/>
      <c r="J8" s="23"/>
      <c r="K8" s="23"/>
      <c r="L8" s="23"/>
    </row>
    <row r="9" spans="1:12" ht="14.4" customHeight="1" x14ac:dyDescent="0.3">
      <c r="A9" s="39" t="s">
        <v>1954</v>
      </c>
      <c r="B9" s="40"/>
      <c r="C9" s="40"/>
      <c r="D9" s="40"/>
      <c r="E9" s="40"/>
      <c r="F9" s="40"/>
      <c r="G9" s="40"/>
      <c r="H9" s="40"/>
      <c r="I9" s="40"/>
      <c r="J9" s="40"/>
      <c r="K9" s="40"/>
      <c r="L9" s="40"/>
    </row>
    <row r="10" spans="1:12" ht="14.4" customHeight="1" x14ac:dyDescent="0.3">
      <c r="A10" s="17"/>
      <c r="B10" s="17"/>
      <c r="C10" s="17"/>
      <c r="D10" s="23"/>
      <c r="E10" s="23"/>
      <c r="F10" s="23"/>
      <c r="G10" s="23"/>
      <c r="H10" s="23"/>
      <c r="I10" s="32"/>
      <c r="J10" s="23"/>
      <c r="K10" s="23"/>
      <c r="L10" s="23"/>
    </row>
    <row r="11" spans="1:12" ht="14.4" customHeight="1" x14ac:dyDescent="0.3">
      <c r="B11" s="43" t="s">
        <v>2353</v>
      </c>
    </row>
    <row r="12" spans="1:12" ht="14.4" customHeight="1" x14ac:dyDescent="0.3">
      <c r="A12" s="17" t="s">
        <v>1951</v>
      </c>
      <c r="B12" s="17" t="str">
        <f t="array" ref="B12">IFERROR(INDEX('07_Items'!$B$5:$B$198,MATCH($A12,'07_Items'!$A$5:$A$198,0)),"")</f>
        <v>Performance Bond</v>
      </c>
      <c r="C12" s="17" t="str">
        <f t="array" ref="C12">IFERROR(INDEX('07_Items'!$C$5:$C$198,MATCH($A12,'07_Items'!$A$5:$A$198,0)),"")</f>
        <v>sum</v>
      </c>
      <c r="D12" s="23">
        <f>IFERROR(SUMIFS('06_Road_Engine'!$E$46:$E$90,'06_Road_Engine'!$A$46:$A$90,$A12,'06_Road_Engine'!$D$46:$D$90,"EWKPVMT"),0)</f>
        <v>0</v>
      </c>
      <c r="E12" s="23">
        <f>IFERROR(SUMIFS('06_Road_Engine'!$E$46:$E$90,'06_Road_Engine'!$A$46:$A$90,$A12,'06_Road_Engine'!$D$46:$D$90,"DRAIN"),0)</f>
        <v>0</v>
      </c>
      <c r="F12" s="23">
        <f>SUMPRODUCT(('03_Pipe_Engine'!$Y$3:$BC$3=$A12)*'03_Pipe_Engine'!$Y$6:$BC$20)</f>
        <v>0</v>
      </c>
      <c r="G12" s="23">
        <f>SUMPRODUCT(('04_Box_Engine'!$G$3:$AC$3=$A12)*'04_Box_Engine'!$G$6:$AC$24)</f>
        <v>0</v>
      </c>
      <c r="H12" s="23">
        <v>0</v>
      </c>
      <c r="I12" s="32"/>
      <c r="J12" s="23">
        <f>ROUND(SUM(D12:I12),2)</f>
        <v>0</v>
      </c>
      <c r="K12" s="23">
        <f t="array" ref="K12">IFERROR(INDEX('08_Rates'!$D$5:$D$198,MATCH($A12,'08_Rates'!$A$5:$A$198,0)),0)</f>
        <v>0</v>
      </c>
      <c r="L12" s="23">
        <f>ROUND(J12*K12,2)</f>
        <v>0</v>
      </c>
    </row>
    <row r="13" spans="1:12" ht="14.4" customHeight="1" x14ac:dyDescent="0.3">
      <c r="A13" s="17" t="s">
        <v>1955</v>
      </c>
      <c r="B13" s="17" t="str">
        <f t="array" ref="B13">IFERROR(INDEX('07_Items'!$B$5:$B$198,MATCH($A13,'07_Items'!$A$5:$A$198,0)),"")</f>
        <v xml:space="preserve">Insurance of Works, Clause 21(a) </v>
      </c>
      <c r="C13" s="17" t="str">
        <f t="array" ref="C13">IFERROR(INDEX('07_Items'!$C$5:$C$198,MATCH($A13,'07_Items'!$A$5:$A$198,0)),"")</f>
        <v>sum</v>
      </c>
      <c r="D13" s="23">
        <f>IFERROR(SUMIFS('06_Road_Engine'!$E$46:$E$90,'06_Road_Engine'!$A$46:$A$90,$A13,'06_Road_Engine'!$D$46:$D$90,"EWKPVMT"),0)</f>
        <v>0</v>
      </c>
      <c r="E13" s="23">
        <f>IFERROR(SUMIFS('06_Road_Engine'!$E$46:$E$90,'06_Road_Engine'!$A$46:$A$90,$A13,'06_Road_Engine'!$D$46:$D$90,"DRAIN"),0)</f>
        <v>0</v>
      </c>
      <c r="F13" s="23">
        <f>SUMPRODUCT(('03_Pipe_Engine'!$Y$3:$BC$3=$A13)*'03_Pipe_Engine'!$Y$6:$BC$20)</f>
        <v>0</v>
      </c>
      <c r="G13" s="23">
        <f>SUMPRODUCT(('04_Box_Engine'!$G$3:$AC$3=$A13)*'04_Box_Engine'!$G$6:$AC$24)</f>
        <v>0</v>
      </c>
      <c r="H13" s="23">
        <v>0</v>
      </c>
      <c r="I13" s="32"/>
      <c r="J13" s="23">
        <f>ROUND(SUM(D13:I13),2)</f>
        <v>0</v>
      </c>
      <c r="K13" s="23">
        <f t="array" ref="K13">IFERROR(INDEX('08_Rates'!$D$5:$D$198,MATCH($A13,'08_Rates'!$A$5:$A$198,0)),0)</f>
        <v>0</v>
      </c>
      <c r="L13" s="23">
        <f>ROUND(J13*K13,2)</f>
        <v>0</v>
      </c>
    </row>
    <row r="14" spans="1:12" ht="14.4" customHeight="1" x14ac:dyDescent="0.3">
      <c r="A14" s="17" t="s">
        <v>1957</v>
      </c>
      <c r="B14" s="17" t="str">
        <f t="array" ref="B14">IFERROR(INDEX('07_Items'!$B$5:$B$198,MATCH($A14,'07_Items'!$A$5:$A$198,0)),"")</f>
        <v>Insurance of Constructional Plant, Clause 21(b)</v>
      </c>
      <c r="C14" s="17" t="str">
        <f t="array" ref="C14">IFERROR(INDEX('07_Items'!$C$5:$C$198,MATCH($A14,'07_Items'!$A$5:$A$198,0)),"")</f>
        <v>sum</v>
      </c>
      <c r="D14" s="23">
        <f>IFERROR(SUMIFS('06_Road_Engine'!$E$46:$E$90,'06_Road_Engine'!$A$46:$A$90,$A14,'06_Road_Engine'!$D$46:$D$90,"EWKPVMT"),0)</f>
        <v>0</v>
      </c>
      <c r="E14" s="23">
        <f>IFERROR(SUMIFS('06_Road_Engine'!$E$46:$E$90,'06_Road_Engine'!$A$46:$A$90,$A14,'06_Road_Engine'!$D$46:$D$90,"DRAIN"),0)</f>
        <v>0</v>
      </c>
      <c r="F14" s="23">
        <f>SUMPRODUCT(('03_Pipe_Engine'!$Y$3:$BC$3=$A14)*'03_Pipe_Engine'!$Y$6:$BC$20)</f>
        <v>0</v>
      </c>
      <c r="G14" s="23">
        <f>SUMPRODUCT(('04_Box_Engine'!$G$3:$AC$3=$A14)*'04_Box_Engine'!$G$6:$AC$24)</f>
        <v>0</v>
      </c>
      <c r="H14" s="23">
        <v>0</v>
      </c>
      <c r="I14" s="32"/>
      <c r="J14" s="23">
        <f>ROUND(SUM(D14:I14),2)</f>
        <v>0</v>
      </c>
      <c r="K14" s="23">
        <f t="array" ref="K14">IFERROR(INDEX('08_Rates'!$D$5:$D$198,MATCH($A14,'08_Rates'!$A$5:$A$198,0)),0)</f>
        <v>0</v>
      </c>
      <c r="L14" s="23">
        <f>ROUND(J14*K14,2)</f>
        <v>0</v>
      </c>
    </row>
    <row r="15" spans="1:12" ht="14.4" customHeight="1" x14ac:dyDescent="0.3">
      <c r="A15" s="17" t="s">
        <v>1959</v>
      </c>
      <c r="B15" s="17" t="str">
        <f t="array" ref="B15">IFERROR(INDEX('07_Items'!$B$5:$B$198,MATCH($A15,'07_Items'!$A$5:$A$198,0)),"")</f>
        <v>Third Party Insurance, Clause 23</v>
      </c>
      <c r="C15" s="17" t="str">
        <f t="array" ref="C15">IFERROR(INDEX('07_Items'!$C$5:$C$198,MATCH($A15,'07_Items'!$A$5:$A$198,0)),"")</f>
        <v>sum</v>
      </c>
      <c r="D15" s="23">
        <f>IFERROR(SUMIFS('06_Road_Engine'!$E$46:$E$90,'06_Road_Engine'!$A$46:$A$90,$A15,'06_Road_Engine'!$D$46:$D$90,"EWKPVMT"),0)</f>
        <v>0</v>
      </c>
      <c r="E15" s="23">
        <f>IFERROR(SUMIFS('06_Road_Engine'!$E$46:$E$90,'06_Road_Engine'!$A$46:$A$90,$A15,'06_Road_Engine'!$D$46:$D$90,"DRAIN"),0)</f>
        <v>0</v>
      </c>
      <c r="F15" s="23">
        <f>SUMPRODUCT(('03_Pipe_Engine'!$Y$3:$BC$3=$A15)*'03_Pipe_Engine'!$Y$6:$BC$20)</f>
        <v>0</v>
      </c>
      <c r="G15" s="23">
        <f>SUMPRODUCT(('04_Box_Engine'!$G$3:$AC$3=$A15)*'04_Box_Engine'!$G$6:$AC$24)</f>
        <v>0</v>
      </c>
      <c r="H15" s="23">
        <v>0</v>
      </c>
      <c r="I15" s="32"/>
      <c r="J15" s="23">
        <f>ROUND(SUM(D15:I15),2)</f>
        <v>0</v>
      </c>
      <c r="K15" s="23">
        <f t="array" ref="K15">IFERROR(INDEX('08_Rates'!$D$5:$D$198,MATCH($A15,'08_Rates'!$A$5:$A$198,0)),0)</f>
        <v>0</v>
      </c>
      <c r="L15" s="23">
        <f>ROUND(J15*K15,2)</f>
        <v>0</v>
      </c>
    </row>
    <row r="16" spans="1:12" ht="14.4" customHeight="1" x14ac:dyDescent="0.3">
      <c r="A16" s="17" t="s">
        <v>1961</v>
      </c>
      <c r="B16" s="17" t="str">
        <f t="array" ref="B16">IFERROR(INDEX('07_Items'!$B$5:$B$198,MATCH($A16,'07_Items'!$A$5:$A$198,0)),"")</f>
        <v>Insurance Against Accident to Workmen, Clause 24</v>
      </c>
      <c r="C16" s="17" t="str">
        <f t="array" ref="C16">IFERROR(INDEX('07_Items'!$C$5:$C$198,MATCH($A16,'07_Items'!$A$5:$A$198,0)),"")</f>
        <v>sum</v>
      </c>
      <c r="D16" s="23">
        <f>IFERROR(SUMIFS('06_Road_Engine'!$E$46:$E$90,'06_Road_Engine'!$A$46:$A$90,$A16,'06_Road_Engine'!$D$46:$D$90,"EWKPVMT"),0)</f>
        <v>0</v>
      </c>
      <c r="E16" s="23">
        <f>IFERROR(SUMIFS('06_Road_Engine'!$E$46:$E$90,'06_Road_Engine'!$A$46:$A$90,$A16,'06_Road_Engine'!$D$46:$D$90,"DRAIN"),0)</f>
        <v>0</v>
      </c>
      <c r="F16" s="23">
        <f>SUMPRODUCT(('03_Pipe_Engine'!$Y$3:$BC$3=$A16)*'03_Pipe_Engine'!$Y$6:$BC$20)</f>
        <v>0</v>
      </c>
      <c r="G16" s="23">
        <f>SUMPRODUCT(('04_Box_Engine'!$G$3:$AC$3=$A16)*'04_Box_Engine'!$G$6:$AC$24)</f>
        <v>0</v>
      </c>
      <c r="H16" s="23">
        <v>0</v>
      </c>
      <c r="I16" s="32"/>
      <c r="J16" s="23">
        <f>ROUND(SUM(D16:I16),2)</f>
        <v>0</v>
      </c>
      <c r="K16" s="23">
        <f t="array" ref="K16">IFERROR(INDEX('08_Rates'!$D$5:$D$198,MATCH($A16,'08_Rates'!$A$5:$A$198,0)),0)</f>
        <v>0</v>
      </c>
      <c r="L16" s="23">
        <f>ROUND(J16*K16,2)</f>
        <v>0</v>
      </c>
    </row>
    <row r="17" spans="1:12" ht="14.4" customHeight="1" x14ac:dyDescent="0.3">
      <c r="B17" s="43" t="s">
        <v>2354</v>
      </c>
    </row>
    <row r="18" spans="1:12" ht="14.4" customHeight="1" x14ac:dyDescent="0.3">
      <c r="A18" s="17" t="s">
        <v>1963</v>
      </c>
      <c r="B18" s="17" t="str">
        <f t="array" ref="B18">IFERROR(INDEX('07_Items'!$B$5:$B$198,MATCH($A18,'07_Items'!$A$5:$A$198,0)),"")</f>
        <v>Maintain RE's permanent office accommodation.</v>
      </c>
      <c r="C18" s="17" t="str">
        <f t="array" ref="C18">IFERROR(INDEX('07_Items'!$C$5:$C$198,MATCH($A18,'07_Items'!$A$5:$A$198,0)),"")</f>
        <v>P.Sum</v>
      </c>
      <c r="D18" s="23">
        <f>IFERROR(SUMIFS('06_Road_Engine'!$E$46:$E$90,'06_Road_Engine'!$A$46:$A$90,$A18,'06_Road_Engine'!$D$46:$D$90,"EWKPVMT"),0)</f>
        <v>0</v>
      </c>
      <c r="E18" s="23">
        <f>IFERROR(SUMIFS('06_Road_Engine'!$E$46:$E$90,'06_Road_Engine'!$A$46:$A$90,$A18,'06_Road_Engine'!$D$46:$D$90,"DRAIN"),0)</f>
        <v>0</v>
      </c>
      <c r="F18" s="23">
        <f>SUMPRODUCT(('03_Pipe_Engine'!$Y$3:$BC$3=$A18)*'03_Pipe_Engine'!$Y$6:$BC$20)</f>
        <v>0</v>
      </c>
      <c r="G18" s="23">
        <f>SUMPRODUCT(('04_Box_Engine'!$G$3:$AC$3=$A18)*'04_Box_Engine'!$G$6:$AC$24)</f>
        <v>0</v>
      </c>
      <c r="H18" s="23">
        <v>0</v>
      </c>
      <c r="I18" s="32"/>
      <c r="J18" s="23">
        <f>ROUND(SUM(D18:I18),2)</f>
        <v>0</v>
      </c>
      <c r="K18" s="23">
        <f t="array" ref="K18">IFERROR(INDEX('08_Rates'!$D$5:$D$198,MATCH($A18,'08_Rates'!$A$5:$A$198,0)),0)</f>
        <v>0</v>
      </c>
      <c r="L18" s="23">
        <f>ROUND(J18*K18,2)</f>
        <v>0</v>
      </c>
    </row>
    <row r="19" spans="1:12" ht="14.4" customHeight="1" x14ac:dyDescent="0.3">
      <c r="A19" s="17" t="s">
        <v>1966</v>
      </c>
      <c r="B19" s="17" t="str">
        <f t="array" ref="B19">IFERROR(INDEX('07_Items'!$B$5:$B$198,MATCH($A19,'07_Items'!$A$5:$A$198,0)),"")</f>
        <v>Maintain and operate R. E.'s vehicle.</v>
      </c>
      <c r="C19" s="17" t="str">
        <f t="array" ref="C19">IFERROR(INDEX('07_Items'!$C$5:$C$198,MATCH($A19,'07_Items'!$A$5:$A$198,0)),"")</f>
        <v>veh.-mth</v>
      </c>
      <c r="D19" s="23">
        <f>IFERROR(SUMIFS('06_Road_Engine'!$E$46:$E$90,'06_Road_Engine'!$A$46:$A$90,$A19,'06_Road_Engine'!$D$46:$D$90,"EWKPVMT"),0)</f>
        <v>0</v>
      </c>
      <c r="E19" s="23">
        <f>IFERROR(SUMIFS('06_Road_Engine'!$E$46:$E$90,'06_Road_Engine'!$A$46:$A$90,$A19,'06_Road_Engine'!$D$46:$D$90,"DRAIN"),0)</f>
        <v>0</v>
      </c>
      <c r="F19" s="23">
        <f>SUMPRODUCT(('03_Pipe_Engine'!$Y$3:$BC$3=$A19)*'03_Pipe_Engine'!$Y$6:$BC$20)</f>
        <v>0</v>
      </c>
      <c r="G19" s="23">
        <f>SUMPRODUCT(('04_Box_Engine'!$G$3:$AC$3=$A19)*'04_Box_Engine'!$G$6:$AC$24)</f>
        <v>0</v>
      </c>
      <c r="H19" s="23">
        <v>0</v>
      </c>
      <c r="I19" s="32"/>
      <c r="J19" s="23">
        <f>ROUND(SUM(D19:I19),2)</f>
        <v>0</v>
      </c>
      <c r="K19" s="23">
        <f t="array" ref="K19">IFERROR(INDEX('08_Rates'!$D$5:$D$198,MATCH($A19,'08_Rates'!$A$5:$A$198,0)),0)</f>
        <v>0</v>
      </c>
      <c r="L19" s="23">
        <f>ROUND(J19*K19,2)</f>
        <v>0</v>
      </c>
    </row>
    <row r="20" spans="1:12" ht="14.4" customHeight="1" x14ac:dyDescent="0.3">
      <c r="A20" s="17" t="s">
        <v>1969</v>
      </c>
      <c r="B20" s="17" t="str">
        <f t="array" ref="B20">IFERROR(INDEX('07_Items'!$B$5:$B$198,MATCH($A20,'07_Items'!$A$5:$A$198,0)),"")</f>
        <v>Provide RE's office equipment as specified</v>
      </c>
      <c r="C20" s="17" t="str">
        <f t="array" ref="C20">IFERROR(INDEX('07_Items'!$C$5:$C$198,MATCH($A20,'07_Items'!$A$5:$A$198,0)),"")</f>
        <v>P.Sum</v>
      </c>
      <c r="D20" s="23">
        <f>IFERROR(SUMIFS('06_Road_Engine'!$E$46:$E$90,'06_Road_Engine'!$A$46:$A$90,$A20,'06_Road_Engine'!$D$46:$D$90,"EWKPVMT"),0)</f>
        <v>0</v>
      </c>
      <c r="E20" s="23">
        <f>IFERROR(SUMIFS('06_Road_Engine'!$E$46:$E$90,'06_Road_Engine'!$A$46:$A$90,$A20,'06_Road_Engine'!$D$46:$D$90,"DRAIN"),0)</f>
        <v>0</v>
      </c>
      <c r="F20" s="23">
        <f>SUMPRODUCT(('03_Pipe_Engine'!$Y$3:$BC$3=$A20)*'03_Pipe_Engine'!$Y$6:$BC$20)</f>
        <v>0</v>
      </c>
      <c r="G20" s="23">
        <f>SUMPRODUCT(('04_Box_Engine'!$G$3:$AC$3=$A20)*'04_Box_Engine'!$G$6:$AC$24)</f>
        <v>0</v>
      </c>
      <c r="H20" s="23">
        <v>0</v>
      </c>
      <c r="I20" s="32"/>
      <c r="J20" s="23">
        <f>ROUND(SUM(D20:I20),2)</f>
        <v>0</v>
      </c>
      <c r="K20" s="23">
        <f t="array" ref="K20">IFERROR(INDEX('08_Rates'!$D$5:$D$198,MATCH($A20,'08_Rates'!$A$5:$A$198,0)),0)</f>
        <v>0</v>
      </c>
      <c r="L20" s="23">
        <f>ROUND(J20*K20,2)</f>
        <v>0</v>
      </c>
    </row>
    <row r="21" spans="1:12" ht="15.75" customHeight="1" x14ac:dyDescent="0.3">
      <c r="A21" s="17" t="s">
        <v>1971</v>
      </c>
      <c r="B21" s="17" t="str">
        <f t="array" ref="B21">IFERROR(INDEX('07_Items'!$B$5:$B$198,MATCH($A21,'07_Items'!$A$5:$A$198,0)),"")</f>
        <v>Maintianing permanent living accommodation for</v>
      </c>
      <c r="C21" s="17">
        <f t="array" ref="C21">IFERROR(INDEX('07_Items'!$C$5:$C$198,MATCH($A21,'07_Items'!$A$5:$A$198,0)),"")</f>
        <v>0</v>
      </c>
      <c r="D21" s="23">
        <f>IFERROR(SUMIFS('06_Road_Engine'!$E$46:$E$90,'06_Road_Engine'!$A$46:$A$90,$A21,'06_Road_Engine'!$D$46:$D$90,"EWKPVMT"),0)</f>
        <v>0</v>
      </c>
      <c r="E21" s="23">
        <f>IFERROR(SUMIFS('06_Road_Engine'!$E$46:$E$90,'06_Road_Engine'!$A$46:$A$90,$A21,'06_Road_Engine'!$D$46:$D$90,"DRAIN"),0)</f>
        <v>0</v>
      </c>
      <c r="F21" s="23">
        <f>SUMPRODUCT(('03_Pipe_Engine'!$Y$3:$BC$3=$A21)*'03_Pipe_Engine'!$Y$6:$BC$20)</f>
        <v>0</v>
      </c>
      <c r="G21" s="23">
        <f>SUMPRODUCT(('04_Box_Engine'!$G$3:$AC$3=$A21)*'04_Box_Engine'!$G$6:$AC$24)</f>
        <v>0</v>
      </c>
      <c r="H21" s="23">
        <v>0</v>
      </c>
      <c r="I21" s="32"/>
      <c r="J21" s="23">
        <f>ROUND(SUM(D21:I21),2)</f>
        <v>0</v>
      </c>
      <c r="K21" s="23">
        <f t="array" ref="K21">IFERROR(INDEX('08_Rates'!$D$5:$D$198,MATCH($A21,'08_Rates'!$A$5:$A$198,0)),0)</f>
        <v>0</v>
      </c>
      <c r="L21" s="23">
        <f>ROUND(J21*K21,2)</f>
        <v>0</v>
      </c>
    </row>
    <row r="22" spans="1:12" ht="15.75" customHeight="1" x14ac:dyDescent="0.3">
      <c r="B22" s="43" t="s">
        <v>2355</v>
      </c>
    </row>
    <row r="23" spans="1:12" ht="15.75" customHeight="1" x14ac:dyDescent="0.3">
      <c r="A23" s="17" t="s">
        <v>1973</v>
      </c>
      <c r="B23" s="17" t="str">
        <f t="array" ref="B23">IFERROR(INDEX('07_Items'!$B$5:$B$198,MATCH($A23,'07_Items'!$A$5:$A$198,0)),"")</f>
        <v>Provide for material site investigation</v>
      </c>
      <c r="C23" s="17" t="str">
        <f t="array" ref="C23">IFERROR(INDEX('07_Items'!$C$5:$C$198,MATCH($A23,'07_Items'!$A$5:$A$198,0)),"")</f>
        <v>sum</v>
      </c>
      <c r="D23" s="23">
        <f>IFERROR(SUMIFS('06_Road_Engine'!$E$46:$E$90,'06_Road_Engine'!$A$46:$A$90,$A23,'06_Road_Engine'!$D$46:$D$90,"EWKPVMT"),0)</f>
        <v>0</v>
      </c>
      <c r="E23" s="23">
        <f>IFERROR(SUMIFS('06_Road_Engine'!$E$46:$E$90,'06_Road_Engine'!$A$46:$A$90,$A23,'06_Road_Engine'!$D$46:$D$90,"DRAIN"),0)</f>
        <v>0</v>
      </c>
      <c r="F23" s="23">
        <f>SUMPRODUCT(('03_Pipe_Engine'!$Y$3:$BC$3=$A23)*'03_Pipe_Engine'!$Y$6:$BC$20)</f>
        <v>0</v>
      </c>
      <c r="G23" s="23">
        <f>SUMPRODUCT(('04_Box_Engine'!$G$3:$AC$3=$A23)*'04_Box_Engine'!$G$6:$AC$24)</f>
        <v>0</v>
      </c>
      <c r="H23" s="23">
        <v>0</v>
      </c>
      <c r="I23" s="32"/>
      <c r="J23" s="23">
        <f t="shared" ref="J23:J29" si="0">ROUND(SUM(D23:I23),2)</f>
        <v>0</v>
      </c>
      <c r="K23" s="23">
        <f t="array" ref="K23">IFERROR(INDEX('08_Rates'!$D$5:$D$198,MATCH($A23,'08_Rates'!$A$5:$A$198,0)),0)</f>
        <v>0</v>
      </c>
      <c r="L23" s="23">
        <f t="shared" ref="L23:L29" si="1">ROUND(J23*K23,2)</f>
        <v>0</v>
      </c>
    </row>
    <row r="24" spans="1:12" ht="15.75" customHeight="1" x14ac:dyDescent="0.3">
      <c r="A24" s="17" t="s">
        <v>1975</v>
      </c>
      <c r="B24" s="17" t="str">
        <f t="array" ref="B24">IFERROR(INDEX('07_Items'!$B$5:$B$198,MATCH($A24,'07_Items'!$A$5:$A$198,0)),"")</f>
        <v>Provide traffic diversion</v>
      </c>
      <c r="C24" s="17" t="str">
        <f t="array" ref="C24">IFERROR(INDEX('07_Items'!$C$5:$C$198,MATCH($A24,'07_Items'!$A$5:$A$198,0)),"")</f>
        <v>sum</v>
      </c>
      <c r="D24" s="23">
        <f>IFERROR(SUMIFS('06_Road_Engine'!$E$46:$E$90,'06_Road_Engine'!$A$46:$A$90,$A24,'06_Road_Engine'!$D$46:$D$90,"EWKPVMT"),0)</f>
        <v>0</v>
      </c>
      <c r="E24" s="23">
        <f>IFERROR(SUMIFS('06_Road_Engine'!$E$46:$E$90,'06_Road_Engine'!$A$46:$A$90,$A24,'06_Road_Engine'!$D$46:$D$90,"DRAIN"),0)</f>
        <v>0</v>
      </c>
      <c r="F24" s="23">
        <f>SUMPRODUCT(('03_Pipe_Engine'!$Y$3:$BC$3=$A24)*'03_Pipe_Engine'!$Y$6:$BC$20)</f>
        <v>0</v>
      </c>
      <c r="G24" s="23">
        <f>SUMPRODUCT(('04_Box_Engine'!$G$3:$AC$3=$A24)*'04_Box_Engine'!$G$6:$AC$24)</f>
        <v>0</v>
      </c>
      <c r="H24" s="23">
        <v>0</v>
      </c>
      <c r="I24" s="32"/>
      <c r="J24" s="23">
        <f t="shared" si="0"/>
        <v>0</v>
      </c>
      <c r="K24" s="23">
        <f t="array" ref="K24">IFERROR(INDEX('08_Rates'!$D$5:$D$198,MATCH($A24,'08_Rates'!$A$5:$A$198,0)),0)</f>
        <v>0</v>
      </c>
      <c r="L24" s="23">
        <f t="shared" si="1"/>
        <v>0</v>
      </c>
    </row>
    <row r="25" spans="1:12" ht="15.75" customHeight="1" x14ac:dyDescent="0.3">
      <c r="A25" s="17" t="s">
        <v>1977</v>
      </c>
      <c r="B25" s="17" t="str">
        <f t="array" ref="B25">IFERROR(INDEX('07_Items'!$B$5:$B$198,MATCH($A25,'07_Items'!$A$5:$A$198,0)),"")</f>
        <v>Installation of sign post indicating Contract Name,Contractor and Contract Supervisory Agency.</v>
      </c>
      <c r="C25" s="17" t="str">
        <f t="array" ref="C25">IFERROR(INDEX('07_Items'!$C$5:$C$198,MATCH($A25,'07_Items'!$A$5:$A$198,0)),"")</f>
        <v>nr</v>
      </c>
      <c r="D25" s="23">
        <f>IFERROR(SUMIFS('06_Road_Engine'!$E$46:$E$90,'06_Road_Engine'!$A$46:$A$90,$A25,'06_Road_Engine'!$D$46:$D$90,"EWKPVMT"),0)</f>
        <v>0</v>
      </c>
      <c r="E25" s="23">
        <f>IFERROR(SUMIFS('06_Road_Engine'!$E$46:$E$90,'06_Road_Engine'!$A$46:$A$90,$A25,'06_Road_Engine'!$D$46:$D$90,"DRAIN"),0)</f>
        <v>0</v>
      </c>
      <c r="F25" s="23">
        <f>SUMPRODUCT(('03_Pipe_Engine'!$Y$3:$BC$3=$A25)*'03_Pipe_Engine'!$Y$6:$BC$20)</f>
        <v>0</v>
      </c>
      <c r="G25" s="23">
        <f>SUMPRODUCT(('04_Box_Engine'!$G$3:$AC$3=$A25)*'04_Box_Engine'!$G$6:$AC$24)</f>
        <v>0</v>
      </c>
      <c r="H25" s="23">
        <v>0</v>
      </c>
      <c r="I25" s="32"/>
      <c r="J25" s="23">
        <f t="shared" si="0"/>
        <v>0</v>
      </c>
      <c r="K25" s="23">
        <f t="array" ref="K25">IFERROR(INDEX('08_Rates'!$D$5:$D$198,MATCH($A25,'08_Rates'!$A$5:$A$198,0)),0)</f>
        <v>3000</v>
      </c>
      <c r="L25" s="23">
        <f t="shared" si="1"/>
        <v>0</v>
      </c>
    </row>
    <row r="26" spans="1:12" ht="15.75" customHeight="1" x14ac:dyDescent="0.3">
      <c r="A26" s="17" t="s">
        <v>1979</v>
      </c>
      <c r="B26" s="17" t="str">
        <f t="array" ref="B26">IFERROR(INDEX('07_Items'!$B$5:$B$198,MATCH($A26,'07_Items'!$A$5:$A$198,0)),"")</f>
        <v>Providing progress photographs as per Specification</v>
      </c>
      <c r="C26" s="17" t="str">
        <f t="array" ref="C26">IFERROR(INDEX('07_Items'!$C$5:$C$198,MATCH($A26,'07_Items'!$A$5:$A$198,0)),"")</f>
        <v>Nr</v>
      </c>
      <c r="D26" s="23">
        <f>IFERROR(SUMIFS('06_Road_Engine'!$E$46:$E$90,'06_Road_Engine'!$A$46:$A$90,$A26,'06_Road_Engine'!$D$46:$D$90,"EWKPVMT"),0)</f>
        <v>0</v>
      </c>
      <c r="E26" s="23">
        <f>IFERROR(SUMIFS('06_Road_Engine'!$E$46:$E$90,'06_Road_Engine'!$A$46:$A$90,$A26,'06_Road_Engine'!$D$46:$D$90,"DRAIN"),0)</f>
        <v>0</v>
      </c>
      <c r="F26" s="23">
        <f>SUMPRODUCT(('03_Pipe_Engine'!$Y$3:$BC$3=$A26)*'03_Pipe_Engine'!$Y$6:$BC$20)</f>
        <v>0</v>
      </c>
      <c r="G26" s="23">
        <f>SUMPRODUCT(('04_Box_Engine'!$G$3:$AC$3=$A26)*'04_Box_Engine'!$G$6:$AC$24)</f>
        <v>0</v>
      </c>
      <c r="H26" s="23">
        <v>0</v>
      </c>
      <c r="I26" s="32"/>
      <c r="J26" s="23">
        <f t="shared" si="0"/>
        <v>0</v>
      </c>
      <c r="K26" s="23">
        <f t="array" ref="K26">IFERROR(INDEX('08_Rates'!$D$5:$D$198,MATCH($A26,'08_Rates'!$A$5:$A$198,0)),0)</f>
        <v>50</v>
      </c>
      <c r="L26" s="23">
        <f t="shared" si="1"/>
        <v>0</v>
      </c>
    </row>
    <row r="27" spans="1:12" ht="15.75" customHeight="1" x14ac:dyDescent="0.3">
      <c r="A27" s="17" t="s">
        <v>1982</v>
      </c>
      <c r="B27" s="17" t="str">
        <f t="array" ref="B27">IFERROR(INDEX('07_Items'!$B$5:$B$198,MATCH($A27,'07_Items'!$A$5:$A$198,0)),"")</f>
        <v>Setting out of works</v>
      </c>
      <c r="C27" s="17" t="str">
        <f t="array" ref="C27">IFERROR(INDEX('07_Items'!$C$5:$C$198,MATCH($A27,'07_Items'!$A$5:$A$198,0)),"")</f>
        <v>m</v>
      </c>
      <c r="D27" s="23">
        <f>IFERROR(SUMIFS('06_Road_Engine'!$E$46:$E$90,'06_Road_Engine'!$A$46:$A$90,$A27,'06_Road_Engine'!$D$46:$D$90,"EWKPVMT"),0)</f>
        <v>0</v>
      </c>
      <c r="E27" s="23">
        <f>IFERROR(SUMIFS('06_Road_Engine'!$E$46:$E$90,'06_Road_Engine'!$A$46:$A$90,$A27,'06_Road_Engine'!$D$46:$D$90,"DRAIN"),0)</f>
        <v>0</v>
      </c>
      <c r="F27" s="23">
        <f>SUMPRODUCT(('03_Pipe_Engine'!$Y$3:$BC$3=$A27)*'03_Pipe_Engine'!$Y$6:$BC$20)</f>
        <v>0</v>
      </c>
      <c r="G27" s="23">
        <f>SUMPRODUCT(('04_Box_Engine'!$G$3:$AC$3=$A27)*'04_Box_Engine'!$G$6:$AC$24)</f>
        <v>0</v>
      </c>
      <c r="H27" s="23">
        <v>0</v>
      </c>
      <c r="I27" s="32"/>
      <c r="J27" s="23">
        <f t="shared" si="0"/>
        <v>0</v>
      </c>
      <c r="K27" s="23">
        <f t="array" ref="K27">IFERROR(INDEX('08_Rates'!$D$5:$D$198,MATCH($A27,'08_Rates'!$A$5:$A$198,0)),0)</f>
        <v>3</v>
      </c>
      <c r="L27" s="23">
        <f t="shared" si="1"/>
        <v>0</v>
      </c>
    </row>
    <row r="28" spans="1:12" ht="15.75" customHeight="1" x14ac:dyDescent="0.3">
      <c r="A28" s="17" t="s">
        <v>1984</v>
      </c>
      <c r="B28" s="17" t="str">
        <f t="array" ref="B28">IFERROR(INDEX('07_Items'!$B$5:$B$198,MATCH($A28,'07_Items'!$A$5:$A$198,0)),"")</f>
        <v>Keeping of employment records</v>
      </c>
      <c r="C28" s="17" t="str">
        <f t="array" ref="C28">IFERROR(INDEX('07_Items'!$C$5:$C$198,MATCH($A28,'07_Items'!$A$5:$A$198,0)),"")</f>
        <v>mth</v>
      </c>
      <c r="D28" s="23">
        <f>IFERROR(SUMIFS('06_Road_Engine'!$E$46:$E$90,'06_Road_Engine'!$A$46:$A$90,$A28,'06_Road_Engine'!$D$46:$D$90,"EWKPVMT"),0)</f>
        <v>0</v>
      </c>
      <c r="E28" s="23">
        <f>IFERROR(SUMIFS('06_Road_Engine'!$E$46:$E$90,'06_Road_Engine'!$A$46:$A$90,$A28,'06_Road_Engine'!$D$46:$D$90,"DRAIN"),0)</f>
        <v>0</v>
      </c>
      <c r="F28" s="23">
        <f>SUMPRODUCT(('03_Pipe_Engine'!$Y$3:$BC$3=$A28)*'03_Pipe_Engine'!$Y$6:$BC$20)</f>
        <v>0</v>
      </c>
      <c r="G28" s="23">
        <f>SUMPRODUCT(('04_Box_Engine'!$G$3:$AC$3=$A28)*'04_Box_Engine'!$G$6:$AC$24)</f>
        <v>0</v>
      </c>
      <c r="H28" s="23">
        <v>0</v>
      </c>
      <c r="I28" s="32"/>
      <c r="J28" s="23">
        <f t="shared" si="0"/>
        <v>0</v>
      </c>
      <c r="K28" s="23">
        <f t="array" ref="K28">IFERROR(INDEX('08_Rates'!$D$5:$D$198,MATCH($A28,'08_Rates'!$A$5:$A$198,0)),0)</f>
        <v>0</v>
      </c>
      <c r="L28" s="23">
        <f t="shared" si="1"/>
        <v>0</v>
      </c>
    </row>
    <row r="29" spans="1:12" ht="15.75" customHeight="1" x14ac:dyDescent="0.3">
      <c r="A29" s="17" t="s">
        <v>1987</v>
      </c>
      <c r="B29" s="17" t="str">
        <f t="array" ref="B29">IFERROR(INDEX('07_Items'!$B$5:$B$198,MATCH($A29,'07_Items'!$A$5:$A$198,0)),"")</f>
        <v>Installation of sign post indicating Town Name.</v>
      </c>
      <c r="C29" s="17" t="str">
        <f t="array" ref="C29">IFERROR(INDEX('07_Items'!$C$5:$C$198,MATCH($A29,'07_Items'!$A$5:$A$198,0)),"")</f>
        <v>nr</v>
      </c>
      <c r="D29" s="23">
        <f>IFERROR(SUMIFS('06_Road_Engine'!$E$46:$E$90,'06_Road_Engine'!$A$46:$A$90,$A29,'06_Road_Engine'!$D$46:$D$90,"EWKPVMT"),0)</f>
        <v>0</v>
      </c>
      <c r="E29" s="23">
        <f>IFERROR(SUMIFS('06_Road_Engine'!$E$46:$E$90,'06_Road_Engine'!$A$46:$A$90,$A29,'06_Road_Engine'!$D$46:$D$90,"DRAIN"),0)</f>
        <v>0</v>
      </c>
      <c r="F29" s="23">
        <f>SUMPRODUCT(('03_Pipe_Engine'!$Y$3:$BC$3=$A29)*'03_Pipe_Engine'!$Y$6:$BC$20)</f>
        <v>0</v>
      </c>
      <c r="G29" s="23">
        <f>SUMPRODUCT(('04_Box_Engine'!$G$3:$AC$3=$A29)*'04_Box_Engine'!$G$6:$AC$24)</f>
        <v>0</v>
      </c>
      <c r="H29" s="23">
        <v>0</v>
      </c>
      <c r="I29" s="32"/>
      <c r="J29" s="23">
        <f t="shared" si="0"/>
        <v>0</v>
      </c>
      <c r="K29" s="23">
        <f t="array" ref="K29">IFERROR(INDEX('08_Rates'!$D$5:$D$198,MATCH($A29,'08_Rates'!$A$5:$A$198,0)),0)</f>
        <v>100</v>
      </c>
      <c r="L29" s="23">
        <f t="shared" si="1"/>
        <v>0</v>
      </c>
    </row>
    <row r="30" spans="1:12" ht="15.75" customHeight="1" x14ac:dyDescent="0.3">
      <c r="B30" s="43" t="s">
        <v>2356</v>
      </c>
    </row>
    <row r="31" spans="1:12" ht="15.75" customHeight="1" x14ac:dyDescent="0.3">
      <c r="A31" s="17" t="s">
        <v>1989</v>
      </c>
      <c r="B31" s="17" t="str">
        <f t="array" ref="B31">IFERROR(INDEX('07_Items'!$B$5:$B$198,MATCH($A31,'07_Items'!$A$5:$A$198,0)),"")</f>
        <v>Setting up Contractor's compound</v>
      </c>
      <c r="C31" s="17" t="str">
        <f t="array" ref="C31">IFERROR(INDEX('07_Items'!$C$5:$C$198,MATCH($A31,'07_Items'!$A$5:$A$198,0)),"")</f>
        <v>sum</v>
      </c>
      <c r="D31" s="23">
        <f>IFERROR(SUMIFS('06_Road_Engine'!$E$46:$E$90,'06_Road_Engine'!$A$46:$A$90,$A31,'06_Road_Engine'!$D$46:$D$90,"EWKPVMT"),0)</f>
        <v>0</v>
      </c>
      <c r="E31" s="23">
        <f>IFERROR(SUMIFS('06_Road_Engine'!$E$46:$E$90,'06_Road_Engine'!$A$46:$A$90,$A31,'06_Road_Engine'!$D$46:$D$90,"DRAIN"),0)</f>
        <v>0</v>
      </c>
      <c r="F31" s="23">
        <f>SUMPRODUCT(('03_Pipe_Engine'!$Y$3:$BC$3=$A31)*'03_Pipe_Engine'!$Y$6:$BC$20)</f>
        <v>0</v>
      </c>
      <c r="G31" s="23">
        <f>SUMPRODUCT(('04_Box_Engine'!$G$3:$AC$3=$A31)*'04_Box_Engine'!$G$6:$AC$24)</f>
        <v>0</v>
      </c>
      <c r="H31" s="23">
        <v>0</v>
      </c>
      <c r="I31" s="32"/>
      <c r="J31" s="23">
        <f>ROUND(SUM(D31:I31),2)</f>
        <v>0</v>
      </c>
      <c r="K31" s="23">
        <f t="array" ref="K31">IFERROR(INDEX('08_Rates'!$D$5:$D$198,MATCH($A31,'08_Rates'!$A$5:$A$198,0)),0)</f>
        <v>0</v>
      </c>
      <c r="L31" s="23">
        <f>ROUND(J31*K31,2)</f>
        <v>0</v>
      </c>
    </row>
    <row r="32" spans="1:12" ht="15.75" customHeight="1" x14ac:dyDescent="0.3">
      <c r="A32" s="17" t="s">
        <v>1991</v>
      </c>
      <c r="B32" s="17" t="str">
        <f t="array" ref="B32">IFERROR(INDEX('07_Items'!$B$5:$B$198,MATCH($A32,'07_Items'!$A$5:$A$198,0)),"")</f>
        <v>Maintain Contractor's Compound</v>
      </c>
      <c r="C32" s="17" t="str">
        <f t="array" ref="C32">IFERROR(INDEX('07_Items'!$C$5:$C$198,MATCH($A32,'07_Items'!$A$5:$A$198,0)),"")</f>
        <v>mth</v>
      </c>
      <c r="D32" s="23">
        <f>IFERROR(SUMIFS('06_Road_Engine'!$E$46:$E$90,'06_Road_Engine'!$A$46:$A$90,$A32,'06_Road_Engine'!$D$46:$D$90,"EWKPVMT"),0)</f>
        <v>0</v>
      </c>
      <c r="E32" s="23">
        <f>IFERROR(SUMIFS('06_Road_Engine'!$E$46:$E$90,'06_Road_Engine'!$A$46:$A$90,$A32,'06_Road_Engine'!$D$46:$D$90,"DRAIN"),0)</f>
        <v>0</v>
      </c>
      <c r="F32" s="23">
        <f>SUMPRODUCT(('03_Pipe_Engine'!$Y$3:$BC$3=$A32)*'03_Pipe_Engine'!$Y$6:$BC$20)</f>
        <v>0</v>
      </c>
      <c r="G32" s="23">
        <f>SUMPRODUCT(('04_Box_Engine'!$G$3:$AC$3=$A32)*'04_Box_Engine'!$G$6:$AC$24)</f>
        <v>0</v>
      </c>
      <c r="H32" s="23">
        <v>0</v>
      </c>
      <c r="I32" s="32"/>
      <c r="J32" s="23">
        <f>ROUND(SUM(D32:I32),2)</f>
        <v>0</v>
      </c>
      <c r="K32" s="23">
        <f t="array" ref="K32">IFERROR(INDEX('08_Rates'!$D$5:$D$198,MATCH($A32,'08_Rates'!$A$5:$A$198,0)),0)</f>
        <v>3000</v>
      </c>
      <c r="L32" s="23">
        <f>ROUND(J32*K32,2)</f>
        <v>0</v>
      </c>
    </row>
    <row r="33" spans="1:12" ht="15.75" customHeight="1" x14ac:dyDescent="0.3">
      <c r="A33" s="17" t="s">
        <v>1993</v>
      </c>
      <c r="B33" s="17" t="str">
        <f t="array" ref="B33">IFERROR(INDEX('07_Items'!$B$5:$B$198,MATCH($A33,'07_Items'!$A$5:$A$198,0)),"")</f>
        <v>Removing Contractor's Compound</v>
      </c>
      <c r="C33" s="17" t="str">
        <f t="array" ref="C33">IFERROR(INDEX('07_Items'!$C$5:$C$198,MATCH($A33,'07_Items'!$A$5:$A$198,0)),"")</f>
        <v>sum</v>
      </c>
      <c r="D33" s="23">
        <f>IFERROR(SUMIFS('06_Road_Engine'!$E$46:$E$90,'06_Road_Engine'!$A$46:$A$90,$A33,'06_Road_Engine'!$D$46:$D$90,"EWKPVMT"),0)</f>
        <v>0</v>
      </c>
      <c r="E33" s="23">
        <f>IFERROR(SUMIFS('06_Road_Engine'!$E$46:$E$90,'06_Road_Engine'!$A$46:$A$90,$A33,'06_Road_Engine'!$D$46:$D$90,"DRAIN"),0)</f>
        <v>0</v>
      </c>
      <c r="F33" s="23">
        <f>SUMPRODUCT(('03_Pipe_Engine'!$Y$3:$BC$3=$A33)*'03_Pipe_Engine'!$Y$6:$BC$20)</f>
        <v>0</v>
      </c>
      <c r="G33" s="23">
        <f>SUMPRODUCT(('04_Box_Engine'!$G$3:$AC$3=$A33)*'04_Box_Engine'!$G$6:$AC$24)</f>
        <v>0</v>
      </c>
      <c r="H33" s="23">
        <v>0</v>
      </c>
      <c r="I33" s="32"/>
      <c r="J33" s="23">
        <f>ROUND(SUM(D33:I33),2)</f>
        <v>0</v>
      </c>
      <c r="K33" s="23">
        <f t="array" ref="K33">IFERROR(INDEX('08_Rates'!$D$5:$D$198,MATCH($A33,'08_Rates'!$A$5:$A$198,0)),0)</f>
        <v>0</v>
      </c>
      <c r="L33" s="23">
        <f>ROUND(J33*K33,2)</f>
        <v>0</v>
      </c>
    </row>
    <row r="34" spans="1:12" ht="15.75" customHeight="1" x14ac:dyDescent="0.3">
      <c r="B34" s="43" t="s">
        <v>2357</v>
      </c>
    </row>
    <row r="35" spans="1:12" ht="15.75" customHeight="1" x14ac:dyDescent="0.3">
      <c r="A35" s="17" t="s">
        <v>1995</v>
      </c>
      <c r="B35" s="17" t="str">
        <f t="array" ref="B35">IFERROR(INDEX('07_Items'!$B$5:$B$198,MATCH($A35,'07_Items'!$A$5:$A$198,0)),"")</f>
        <v>Provide safe drinking water for site employees including storage facilities (Polytank, etc.)</v>
      </c>
      <c r="C35" s="17" t="str">
        <f t="array" ref="C35">IFERROR(INDEX('07_Items'!$C$5:$C$198,MATCH($A35,'07_Items'!$A$5:$A$198,0)),"")</f>
        <v>P. Sum</v>
      </c>
      <c r="D35" s="23">
        <f>IFERROR(SUMIFS('06_Road_Engine'!$E$46:$E$90,'06_Road_Engine'!$A$46:$A$90,$A35,'06_Road_Engine'!$D$46:$D$90,"EWKPVMT"),0)</f>
        <v>0</v>
      </c>
      <c r="E35" s="23">
        <f>IFERROR(SUMIFS('06_Road_Engine'!$E$46:$E$90,'06_Road_Engine'!$A$46:$A$90,$A35,'06_Road_Engine'!$D$46:$D$90,"DRAIN"),0)</f>
        <v>0</v>
      </c>
      <c r="F35" s="23">
        <f>SUMPRODUCT(('03_Pipe_Engine'!$Y$3:$BC$3=$A35)*'03_Pipe_Engine'!$Y$6:$BC$20)</f>
        <v>0</v>
      </c>
      <c r="G35" s="23">
        <f>SUMPRODUCT(('04_Box_Engine'!$G$3:$AC$3=$A35)*'04_Box_Engine'!$G$6:$AC$24)</f>
        <v>0</v>
      </c>
      <c r="H35" s="23">
        <v>0</v>
      </c>
      <c r="I35" s="32"/>
      <c r="J35" s="23">
        <f t="shared" ref="J35:J45" si="2">ROUND(SUM(D35:I35),2)</f>
        <v>0</v>
      </c>
      <c r="K35" s="23">
        <f t="array" ref="K35">IFERROR(INDEX('08_Rates'!$D$5:$D$198,MATCH($A35,'08_Rates'!$A$5:$A$198,0)),0)</f>
        <v>0</v>
      </c>
      <c r="L35" s="23">
        <f t="shared" ref="L35:L45" si="3">ROUND(J35*K35,2)</f>
        <v>0</v>
      </c>
    </row>
    <row r="36" spans="1:12" ht="15.75" customHeight="1" x14ac:dyDescent="0.3">
      <c r="A36" s="17" t="s">
        <v>1998</v>
      </c>
      <c r="B36" s="17" t="str">
        <f t="array" ref="B36">IFERROR(INDEX('07_Items'!$B$5:$B$198,MATCH($A36,'07_Items'!$A$5:$A$198,0)),"")</f>
        <v>Provide and maintain protective clothing, safety equipment for use by site employees</v>
      </c>
      <c r="C36" s="17" t="str">
        <f t="array" ref="C36">IFERROR(INDEX('07_Items'!$C$5:$C$198,MATCH($A36,'07_Items'!$A$5:$A$198,0)),"")</f>
        <v>P. Sum</v>
      </c>
      <c r="D36" s="23">
        <f>IFERROR(SUMIFS('06_Road_Engine'!$E$46:$E$90,'06_Road_Engine'!$A$46:$A$90,$A36,'06_Road_Engine'!$D$46:$D$90,"EWKPVMT"),0)</f>
        <v>0</v>
      </c>
      <c r="E36" s="23">
        <f>IFERROR(SUMIFS('06_Road_Engine'!$E$46:$E$90,'06_Road_Engine'!$A$46:$A$90,$A36,'06_Road_Engine'!$D$46:$D$90,"DRAIN"),0)</f>
        <v>0</v>
      </c>
      <c r="F36" s="23">
        <f>SUMPRODUCT(('03_Pipe_Engine'!$Y$3:$BC$3=$A36)*'03_Pipe_Engine'!$Y$6:$BC$20)</f>
        <v>0</v>
      </c>
      <c r="G36" s="23">
        <f>SUMPRODUCT(('04_Box_Engine'!$G$3:$AC$3=$A36)*'04_Box_Engine'!$G$6:$AC$24)</f>
        <v>0</v>
      </c>
      <c r="H36" s="23">
        <v>0</v>
      </c>
      <c r="I36" s="32"/>
      <c r="J36" s="23">
        <f t="shared" si="2"/>
        <v>0</v>
      </c>
      <c r="K36" s="23">
        <f t="array" ref="K36">IFERROR(INDEX('08_Rates'!$D$5:$D$198,MATCH($A36,'08_Rates'!$A$5:$A$198,0)),0)</f>
        <v>0</v>
      </c>
      <c r="L36" s="23">
        <f t="shared" si="3"/>
        <v>0</v>
      </c>
    </row>
    <row r="37" spans="1:12" ht="15.75" customHeight="1" x14ac:dyDescent="0.3">
      <c r="A37" s="17" t="s">
        <v>2000</v>
      </c>
      <c r="B37" s="17" t="str">
        <f t="array" ref="B37">IFERROR(INDEX('07_Items'!$B$5:$B$198,MATCH($A37,'07_Items'!$A$5:$A$198,0)),"")</f>
        <v>Replacement of protective clothing, safety equipment and first aid kit items</v>
      </c>
      <c r="C37" s="17" t="str">
        <f t="array" ref="C37">IFERROR(INDEX('07_Items'!$C$5:$C$198,MATCH($A37,'07_Items'!$A$5:$A$198,0)),"")</f>
        <v>P. Sum</v>
      </c>
      <c r="D37" s="23">
        <f>IFERROR(SUMIFS('06_Road_Engine'!$E$46:$E$90,'06_Road_Engine'!$A$46:$A$90,$A37,'06_Road_Engine'!$D$46:$D$90,"EWKPVMT"),0)</f>
        <v>0</v>
      </c>
      <c r="E37" s="23">
        <f>IFERROR(SUMIFS('06_Road_Engine'!$E$46:$E$90,'06_Road_Engine'!$A$46:$A$90,$A37,'06_Road_Engine'!$D$46:$D$90,"DRAIN"),0)</f>
        <v>0</v>
      </c>
      <c r="F37" s="23">
        <f>SUMPRODUCT(('03_Pipe_Engine'!$Y$3:$BC$3=$A37)*'03_Pipe_Engine'!$Y$6:$BC$20)</f>
        <v>0</v>
      </c>
      <c r="G37" s="23">
        <f>SUMPRODUCT(('04_Box_Engine'!$G$3:$AC$3=$A37)*'04_Box_Engine'!$G$6:$AC$24)</f>
        <v>0</v>
      </c>
      <c r="H37" s="23">
        <v>0</v>
      </c>
      <c r="I37" s="32"/>
      <c r="J37" s="23">
        <f t="shared" si="2"/>
        <v>0</v>
      </c>
      <c r="K37" s="23">
        <f t="array" ref="K37">IFERROR(INDEX('08_Rates'!$D$5:$D$198,MATCH($A37,'08_Rates'!$A$5:$A$198,0)),0)</f>
        <v>0</v>
      </c>
      <c r="L37" s="23">
        <f t="shared" si="3"/>
        <v>0</v>
      </c>
    </row>
    <row r="38" spans="1:12" ht="15.75" customHeight="1" x14ac:dyDescent="0.3">
      <c r="A38" s="17" t="s">
        <v>2002</v>
      </c>
      <c r="B38" s="17" t="str">
        <f t="array" ref="B38">IFERROR(INDEX('07_Items'!$B$5:$B$198,MATCH($A38,'07_Items'!$A$5:$A$198,0)),"")</f>
        <v>Provide and maintain temporary latrines, relocate as necessary and remove and backfill on completion</v>
      </c>
      <c r="C38" s="17" t="str">
        <f t="array" ref="C38">IFERROR(INDEX('07_Items'!$C$5:$C$198,MATCH($A38,'07_Items'!$A$5:$A$198,0)),"")</f>
        <v>P. Sum</v>
      </c>
      <c r="D38" s="23">
        <f>IFERROR(SUMIFS('06_Road_Engine'!$E$46:$E$90,'06_Road_Engine'!$A$46:$A$90,$A38,'06_Road_Engine'!$D$46:$D$90,"EWKPVMT"),0)</f>
        <v>0</v>
      </c>
      <c r="E38" s="23">
        <f>IFERROR(SUMIFS('06_Road_Engine'!$E$46:$E$90,'06_Road_Engine'!$A$46:$A$90,$A38,'06_Road_Engine'!$D$46:$D$90,"DRAIN"),0)</f>
        <v>0</v>
      </c>
      <c r="F38" s="23">
        <f>SUMPRODUCT(('03_Pipe_Engine'!$Y$3:$BC$3=$A38)*'03_Pipe_Engine'!$Y$6:$BC$20)</f>
        <v>0</v>
      </c>
      <c r="G38" s="23">
        <f>SUMPRODUCT(('04_Box_Engine'!$G$3:$AC$3=$A38)*'04_Box_Engine'!$G$6:$AC$24)</f>
        <v>0</v>
      </c>
      <c r="H38" s="23">
        <v>0</v>
      </c>
      <c r="I38" s="32"/>
      <c r="J38" s="23">
        <f t="shared" si="2"/>
        <v>0</v>
      </c>
      <c r="K38" s="23">
        <f t="array" ref="K38">IFERROR(INDEX('08_Rates'!$D$5:$D$198,MATCH($A38,'08_Rates'!$A$5:$A$198,0)),0)</f>
        <v>0</v>
      </c>
      <c r="L38" s="23">
        <f t="shared" si="3"/>
        <v>0</v>
      </c>
    </row>
    <row r="39" spans="1:12" ht="15.75" customHeight="1" x14ac:dyDescent="0.3">
      <c r="A39" s="17" t="s">
        <v>2004</v>
      </c>
      <c r="B39" s="17" t="str">
        <f t="array" ref="B39">IFERROR(INDEX('07_Items'!$B$5:$B$198,MATCH($A39,'07_Items'!$A$5:$A$198,0)),"")</f>
        <v>Provide First Aid kit and train First Aider</v>
      </c>
      <c r="C39" s="17" t="str">
        <f t="array" ref="C39">IFERROR(INDEX('07_Items'!$C$5:$C$198,MATCH($A39,'07_Items'!$A$5:$A$198,0)),"")</f>
        <v>P. Sum</v>
      </c>
      <c r="D39" s="23">
        <f>IFERROR(SUMIFS('06_Road_Engine'!$E$46:$E$90,'06_Road_Engine'!$A$46:$A$90,$A39,'06_Road_Engine'!$D$46:$D$90,"EWKPVMT"),0)</f>
        <v>0</v>
      </c>
      <c r="E39" s="23">
        <f>IFERROR(SUMIFS('06_Road_Engine'!$E$46:$E$90,'06_Road_Engine'!$A$46:$A$90,$A39,'06_Road_Engine'!$D$46:$D$90,"DRAIN"),0)</f>
        <v>0</v>
      </c>
      <c r="F39" s="23">
        <f>SUMPRODUCT(('03_Pipe_Engine'!$Y$3:$BC$3=$A39)*'03_Pipe_Engine'!$Y$6:$BC$20)</f>
        <v>0</v>
      </c>
      <c r="G39" s="23">
        <f>SUMPRODUCT(('04_Box_Engine'!$G$3:$AC$3=$A39)*'04_Box_Engine'!$G$6:$AC$24)</f>
        <v>0</v>
      </c>
      <c r="H39" s="23">
        <v>0</v>
      </c>
      <c r="I39" s="32"/>
      <c r="J39" s="23">
        <f t="shared" si="2"/>
        <v>0</v>
      </c>
      <c r="K39" s="23">
        <f t="array" ref="K39">IFERROR(INDEX('08_Rates'!$D$5:$D$198,MATCH($A39,'08_Rates'!$A$5:$A$198,0)),0)</f>
        <v>0</v>
      </c>
      <c r="L39" s="23">
        <f t="shared" si="3"/>
        <v>0</v>
      </c>
    </row>
    <row r="40" spans="1:12" ht="15.75" customHeight="1" x14ac:dyDescent="0.3">
      <c r="A40" s="17" t="s">
        <v>2006</v>
      </c>
      <c r="B40" s="17" t="str">
        <f t="array" ref="B40">IFERROR(INDEX('07_Items'!$B$5:$B$198,MATCH($A40,'07_Items'!$A$5:$A$198,0)),"")</f>
        <v xml:space="preserve">Provide assistance to and facilitate site visits by MOH personnel to educate workers and local communities in STDs HIV/AIDS awareness and consultation meetings once every month. </v>
      </c>
      <c r="C40" s="17" t="str">
        <f t="array" ref="C40">IFERROR(INDEX('07_Items'!$C$5:$C$198,MATCH($A40,'07_Items'!$A$5:$A$198,0)),"")</f>
        <v>P. Sum</v>
      </c>
      <c r="D40" s="23">
        <f>IFERROR(SUMIFS('06_Road_Engine'!$E$46:$E$90,'06_Road_Engine'!$A$46:$A$90,$A40,'06_Road_Engine'!$D$46:$D$90,"EWKPVMT"),0)</f>
        <v>0</v>
      </c>
      <c r="E40" s="23">
        <f>IFERROR(SUMIFS('06_Road_Engine'!$E$46:$E$90,'06_Road_Engine'!$A$46:$A$90,$A40,'06_Road_Engine'!$D$46:$D$90,"DRAIN"),0)</f>
        <v>0</v>
      </c>
      <c r="F40" s="23">
        <f>SUMPRODUCT(('03_Pipe_Engine'!$Y$3:$BC$3=$A40)*'03_Pipe_Engine'!$Y$6:$BC$20)</f>
        <v>0</v>
      </c>
      <c r="G40" s="23">
        <f>SUMPRODUCT(('04_Box_Engine'!$G$3:$AC$3=$A40)*'04_Box_Engine'!$G$6:$AC$24)</f>
        <v>0</v>
      </c>
      <c r="H40" s="23">
        <v>0</v>
      </c>
      <c r="I40" s="32"/>
      <c r="J40" s="23">
        <f t="shared" si="2"/>
        <v>0</v>
      </c>
      <c r="K40" s="23">
        <f t="array" ref="K40">IFERROR(INDEX('08_Rates'!$D$5:$D$198,MATCH($A40,'08_Rates'!$A$5:$A$198,0)),0)</f>
        <v>0</v>
      </c>
      <c r="L40" s="23">
        <f t="shared" si="3"/>
        <v>0</v>
      </c>
    </row>
    <row r="41" spans="1:12" ht="15.75" customHeight="1" x14ac:dyDescent="0.3">
      <c r="A41" s="17" t="s">
        <v>2008</v>
      </c>
      <c r="B41" s="17" t="str">
        <f t="array" ref="B41">IFERROR(INDEX('07_Items'!$B$5:$B$198,MATCH($A41,'07_Items'!$A$5:$A$198,0)),"")</f>
        <v>Provide for Project Management Services</v>
      </c>
      <c r="C41" s="17" t="str">
        <f t="array" ref="C41">IFERROR(INDEX('07_Items'!$C$5:$C$198,MATCH($A41,'07_Items'!$A$5:$A$198,0)),"")</f>
        <v>P. Sum</v>
      </c>
      <c r="D41" s="23">
        <f>IFERROR(SUMIFS('06_Road_Engine'!$E$46:$E$90,'06_Road_Engine'!$A$46:$A$90,$A41,'06_Road_Engine'!$D$46:$D$90,"EWKPVMT"),0)</f>
        <v>0</v>
      </c>
      <c r="E41" s="23">
        <f>IFERROR(SUMIFS('06_Road_Engine'!$E$46:$E$90,'06_Road_Engine'!$A$46:$A$90,$A41,'06_Road_Engine'!$D$46:$D$90,"DRAIN"),0)</f>
        <v>0</v>
      </c>
      <c r="F41" s="23">
        <f>SUMPRODUCT(('03_Pipe_Engine'!$Y$3:$BC$3=$A41)*'03_Pipe_Engine'!$Y$6:$BC$20)</f>
        <v>0</v>
      </c>
      <c r="G41" s="23">
        <f>SUMPRODUCT(('04_Box_Engine'!$G$3:$AC$3=$A41)*'04_Box_Engine'!$G$6:$AC$24)</f>
        <v>0</v>
      </c>
      <c r="H41" s="23">
        <v>0</v>
      </c>
      <c r="I41" s="32"/>
      <c r="J41" s="23">
        <f t="shared" si="2"/>
        <v>0</v>
      </c>
      <c r="K41" s="23">
        <f t="array" ref="K41">IFERROR(INDEX('08_Rates'!$D$5:$D$198,MATCH($A41,'08_Rates'!$A$5:$A$198,0)),0)</f>
        <v>0</v>
      </c>
      <c r="L41" s="23">
        <f t="shared" si="3"/>
        <v>0</v>
      </c>
    </row>
    <row r="42" spans="1:12" ht="15.75" customHeight="1" x14ac:dyDescent="0.3">
      <c r="A42" s="17" t="s">
        <v>2010</v>
      </c>
      <c r="B42" s="17" t="str">
        <f t="array" ref="B42">IFERROR(INDEX('07_Items'!$B$5:$B$198,MATCH($A42,'07_Items'!$A$5:$A$198,0)),"")</f>
        <v>Percentage adjustment on items A231, A420.1, A420.2, A420.3, A420.4, A420.5, A420.6 and A420.7</v>
      </c>
      <c r="C42" s="17" t="str">
        <f t="array" ref="C42">IFERROR(INDEX('07_Items'!$C$5:$C$198,MATCH($A42,'07_Items'!$A$5:$A$198,0)),"")</f>
        <v>%</v>
      </c>
      <c r="D42" s="23">
        <f>IFERROR(SUMIFS('06_Road_Engine'!$E$46:$E$90,'06_Road_Engine'!$A$46:$A$90,$A42,'06_Road_Engine'!$D$46:$D$90,"EWKPVMT"),0)</f>
        <v>0</v>
      </c>
      <c r="E42" s="23">
        <f>IFERROR(SUMIFS('06_Road_Engine'!$E$46:$E$90,'06_Road_Engine'!$A$46:$A$90,$A42,'06_Road_Engine'!$D$46:$D$90,"DRAIN"),0)</f>
        <v>0</v>
      </c>
      <c r="F42" s="23">
        <f>SUMPRODUCT(('03_Pipe_Engine'!$Y$3:$BC$3=$A42)*'03_Pipe_Engine'!$Y$6:$BC$20)</f>
        <v>0</v>
      </c>
      <c r="G42" s="23">
        <f>SUMPRODUCT(('04_Box_Engine'!$G$3:$AC$3=$A42)*'04_Box_Engine'!$G$6:$AC$24)</f>
        <v>0</v>
      </c>
      <c r="H42" s="23">
        <v>0</v>
      </c>
      <c r="I42" s="32"/>
      <c r="J42" s="23">
        <f t="shared" si="2"/>
        <v>0</v>
      </c>
      <c r="K42" s="23">
        <f t="array" ref="K42">IFERROR(INDEX('08_Rates'!$D$5:$D$198,MATCH($A42,'08_Rates'!$A$5:$A$198,0)),0)</f>
        <v>25</v>
      </c>
      <c r="L42" s="23">
        <f t="shared" si="3"/>
        <v>0</v>
      </c>
    </row>
    <row r="43" spans="1:12" ht="15.75" customHeight="1" x14ac:dyDescent="0.3">
      <c r="A43" s="17" t="s">
        <v>2013</v>
      </c>
      <c r="B43" s="17" t="str">
        <f t="array" ref="B43">IFERROR(INDEX('07_Items'!$B$5:$B$198,MATCH($A43,'07_Items'!$A$5:$A$198,0)),"")</f>
        <v>Pay compensation to property owners</v>
      </c>
      <c r="C43" s="17" t="str">
        <f t="array" ref="C43">IFERROR(INDEX('07_Items'!$C$5:$C$198,MATCH($A43,'07_Items'!$A$5:$A$198,0)),"")</f>
        <v>P. Sum</v>
      </c>
      <c r="D43" s="23">
        <f>IFERROR(SUMIFS('06_Road_Engine'!$E$46:$E$90,'06_Road_Engine'!$A$46:$A$90,$A43,'06_Road_Engine'!$D$46:$D$90,"EWKPVMT"),0)</f>
        <v>0</v>
      </c>
      <c r="E43" s="23">
        <f>IFERROR(SUMIFS('06_Road_Engine'!$E$46:$E$90,'06_Road_Engine'!$A$46:$A$90,$A43,'06_Road_Engine'!$D$46:$D$90,"DRAIN"),0)</f>
        <v>0</v>
      </c>
      <c r="F43" s="23">
        <f>SUMPRODUCT(('03_Pipe_Engine'!$Y$3:$BC$3=$A43)*'03_Pipe_Engine'!$Y$6:$BC$20)</f>
        <v>0</v>
      </c>
      <c r="G43" s="23">
        <f>SUMPRODUCT(('04_Box_Engine'!$G$3:$AC$3=$A43)*'04_Box_Engine'!$G$6:$AC$24)</f>
        <v>0</v>
      </c>
      <c r="H43" s="23">
        <v>0</v>
      </c>
      <c r="I43" s="32"/>
      <c r="J43" s="23">
        <f t="shared" si="2"/>
        <v>0</v>
      </c>
      <c r="K43" s="23">
        <f t="array" ref="K43">IFERROR(INDEX('08_Rates'!$D$5:$D$198,MATCH($A43,'08_Rates'!$A$5:$A$198,0)),0)</f>
        <v>0</v>
      </c>
      <c r="L43" s="23">
        <f t="shared" si="3"/>
        <v>0</v>
      </c>
    </row>
    <row r="44" spans="1:12" ht="15.75" customHeight="1" x14ac:dyDescent="0.3">
      <c r="A44" s="17" t="s">
        <v>2015</v>
      </c>
      <c r="B44" s="17" t="str">
        <f t="array" ref="B44">IFERROR(INDEX('07_Items'!$B$5:$B$198,MATCH($A44,'07_Items'!$A$5:$A$198,0)),"")</f>
        <v>Relocation of existing services</v>
      </c>
      <c r="C44" s="17" t="str">
        <f t="array" ref="C44">IFERROR(INDEX('07_Items'!$C$5:$C$198,MATCH($A44,'07_Items'!$A$5:$A$198,0)),"")</f>
        <v>p. sum</v>
      </c>
      <c r="D44" s="23">
        <f>IFERROR(SUMIFS('06_Road_Engine'!$E$46:$E$90,'06_Road_Engine'!$A$46:$A$90,$A44,'06_Road_Engine'!$D$46:$D$90,"EWKPVMT"),0)</f>
        <v>0</v>
      </c>
      <c r="E44" s="23">
        <f>IFERROR(SUMIFS('06_Road_Engine'!$E$46:$E$90,'06_Road_Engine'!$A$46:$A$90,$A44,'06_Road_Engine'!$D$46:$D$90,"DRAIN"),0)</f>
        <v>0</v>
      </c>
      <c r="F44" s="23">
        <f>SUMPRODUCT(('03_Pipe_Engine'!$Y$3:$BC$3=$A44)*'03_Pipe_Engine'!$Y$6:$BC$20)</f>
        <v>0</v>
      </c>
      <c r="G44" s="23">
        <f>SUMPRODUCT(('04_Box_Engine'!$G$3:$AC$3=$A44)*'04_Box_Engine'!$G$6:$AC$24)</f>
        <v>0</v>
      </c>
      <c r="H44" s="23">
        <v>0</v>
      </c>
      <c r="I44" s="32"/>
      <c r="J44" s="23">
        <f t="shared" si="2"/>
        <v>0</v>
      </c>
      <c r="K44" s="23">
        <f t="array" ref="K44">IFERROR(INDEX('08_Rates'!$D$5:$D$198,MATCH($A44,'08_Rates'!$A$5:$A$198,0)),0)</f>
        <v>0</v>
      </c>
      <c r="L44" s="23">
        <f t="shared" si="3"/>
        <v>0</v>
      </c>
    </row>
    <row r="45" spans="1:12" ht="15.75" customHeight="1" x14ac:dyDescent="0.3">
      <c r="A45" s="17" t="s">
        <v>2018</v>
      </c>
      <c r="B45" s="17" t="str">
        <f t="array" ref="B45">IFERROR(INDEX('07_Items'!$B$5:$B$198,MATCH($A45,'07_Items'!$A$5:$A$198,0)),"")</f>
        <v>Percentage adjustment on Item A420.9 and A420.10</v>
      </c>
      <c r="C45" s="17" t="str">
        <f t="array" ref="C45">IFERROR(INDEX('07_Items'!$C$5:$C$198,MATCH($A45,'07_Items'!$A$5:$A$198,0)),"")</f>
        <v>%</v>
      </c>
      <c r="D45" s="23">
        <f>IFERROR(SUMIFS('06_Road_Engine'!$E$46:$E$90,'06_Road_Engine'!$A$46:$A$90,$A45,'06_Road_Engine'!$D$46:$D$90,"EWKPVMT"),0)</f>
        <v>0</v>
      </c>
      <c r="E45" s="23">
        <f>IFERROR(SUMIFS('06_Road_Engine'!$E$46:$E$90,'06_Road_Engine'!$A$46:$A$90,$A45,'06_Road_Engine'!$D$46:$D$90,"DRAIN"),0)</f>
        <v>0</v>
      </c>
      <c r="F45" s="23">
        <f>SUMPRODUCT(('03_Pipe_Engine'!$Y$3:$BC$3=$A45)*'03_Pipe_Engine'!$Y$6:$BC$20)</f>
        <v>0</v>
      </c>
      <c r="G45" s="23">
        <f>SUMPRODUCT(('04_Box_Engine'!$G$3:$AC$3=$A45)*'04_Box_Engine'!$G$6:$AC$24)</f>
        <v>0</v>
      </c>
      <c r="H45" s="23">
        <v>0</v>
      </c>
      <c r="I45" s="32"/>
      <c r="J45" s="23">
        <f t="shared" si="2"/>
        <v>0</v>
      </c>
      <c r="K45" s="23">
        <f t="array" ref="K45">IFERROR(INDEX('08_Rates'!$D$5:$D$198,MATCH($A45,'08_Rates'!$A$5:$A$198,0)),0)</f>
        <v>25</v>
      </c>
      <c r="L45" s="23">
        <f t="shared" si="3"/>
        <v>0</v>
      </c>
    </row>
    <row r="46" spans="1:12" ht="15.75" customHeight="1" x14ac:dyDescent="0.3">
      <c r="B46" s="43" t="s">
        <v>2358</v>
      </c>
    </row>
    <row r="47" spans="1:12" ht="15.75" customHeight="1" x14ac:dyDescent="0.3">
      <c r="A47" s="44"/>
      <c r="B47" s="45" t="s">
        <v>2359</v>
      </c>
      <c r="C47" s="44"/>
      <c r="D47" s="44"/>
      <c r="E47" s="44"/>
      <c r="F47" s="44"/>
      <c r="G47" s="44"/>
      <c r="H47" s="44"/>
      <c r="I47" s="44"/>
      <c r="J47" s="44"/>
      <c r="K47" s="44"/>
      <c r="L47" s="46">
        <f>SUM(L10:L46)</f>
        <v>0</v>
      </c>
    </row>
    <row r="48" spans="1:12" ht="15.75" customHeight="1" x14ac:dyDescent="0.3"/>
    <row r="49" spans="1:12" ht="15.75" customHeight="1" x14ac:dyDescent="0.3">
      <c r="A49" s="39" t="s">
        <v>2020</v>
      </c>
      <c r="B49" s="40"/>
      <c r="C49" s="40"/>
      <c r="D49" s="40"/>
      <c r="E49" s="40"/>
      <c r="F49" s="40"/>
      <c r="G49" s="40"/>
      <c r="H49" s="40"/>
      <c r="I49" s="40"/>
      <c r="J49" s="40"/>
      <c r="K49" s="40"/>
      <c r="L49" s="40"/>
    </row>
    <row r="50" spans="1:12" ht="15.75" customHeight="1" x14ac:dyDescent="0.3">
      <c r="A50" s="17"/>
      <c r="B50" s="17"/>
      <c r="C50" s="17"/>
      <c r="D50" s="23"/>
      <c r="E50" s="23"/>
      <c r="F50" s="23"/>
      <c r="G50" s="23"/>
      <c r="H50" s="23"/>
      <c r="I50" s="32"/>
      <c r="J50" s="23"/>
      <c r="K50" s="23"/>
      <c r="L50" s="23"/>
    </row>
    <row r="51" spans="1:12" ht="15.75" customHeight="1" x14ac:dyDescent="0.3">
      <c r="B51" s="43" t="s">
        <v>2360</v>
      </c>
    </row>
    <row r="52" spans="1:12" ht="15.75" customHeight="1" x14ac:dyDescent="0.3">
      <c r="A52" s="17" t="s">
        <v>1844</v>
      </c>
      <c r="B52" s="17" t="str">
        <f t="array" ref="B52">IFERROR(INDEX('07_Items'!$B$5:$B$198,MATCH($A52,'07_Items'!$A$5:$A$198,0)),"")</f>
        <v>Clear thick bush</v>
      </c>
      <c r="C52" s="17" t="str">
        <f t="array" ref="C52">IFERROR(INDEX('07_Items'!$C$5:$C$198,MATCH($A52,'07_Items'!$A$5:$A$198,0)),"")</f>
        <v>Ha</v>
      </c>
      <c r="D52" s="23">
        <f>IFERROR(SUMIFS('06_Road_Engine'!$E$46:$E$90,'06_Road_Engine'!$A$46:$A$90,$A52,'06_Road_Engine'!$D$46:$D$90,"EWKPVMT"),0)</f>
        <v>0</v>
      </c>
      <c r="E52" s="23">
        <f>IFERROR(SUMIFS('06_Road_Engine'!$E$46:$E$90,'06_Road_Engine'!$A$46:$A$90,$A52,'06_Road_Engine'!$D$46:$D$90,"DRAIN"),0)</f>
        <v>0</v>
      </c>
      <c r="F52" s="23">
        <f>SUMPRODUCT(('03_Pipe_Engine'!$Y$3:$BC$3=$A52)*'03_Pipe_Engine'!$Y$6:$BC$20)</f>
        <v>0</v>
      </c>
      <c r="G52" s="23">
        <f>SUMPRODUCT(('04_Box_Engine'!$G$3:$AC$3=$A52)*'04_Box_Engine'!$G$6:$AC$24)</f>
        <v>0</v>
      </c>
      <c r="H52" s="23">
        <v>0</v>
      </c>
      <c r="I52" s="32"/>
      <c r="J52" s="23">
        <f t="shared" ref="J52:J59" si="4">ROUND(SUM(D52:I52),2)</f>
        <v>0</v>
      </c>
      <c r="K52" s="23">
        <f t="array" ref="K52">IFERROR(INDEX('08_Rates'!$D$5:$D$198,MATCH($A52,'08_Rates'!$A$5:$A$198,0)),0)</f>
        <v>15250</v>
      </c>
      <c r="L52" s="23">
        <f t="shared" ref="L52:L59" si="5">ROUND(J52*K52,2)</f>
        <v>0</v>
      </c>
    </row>
    <row r="53" spans="1:12" ht="15.75" customHeight="1" x14ac:dyDescent="0.3">
      <c r="A53" s="17" t="s">
        <v>1849</v>
      </c>
      <c r="B53" s="17" t="str">
        <f t="array" ref="B53">IFERROR(INDEX('07_Items'!$B$5:$B$198,MATCH($A53,'07_Items'!$A$5:$A$198,0)),"")</f>
        <v>Clear light bush</v>
      </c>
      <c r="C53" s="17" t="str">
        <f t="array" ref="C53">IFERROR(INDEX('07_Items'!$C$5:$C$198,MATCH($A53,'07_Items'!$A$5:$A$198,0)),"")</f>
        <v>Ha</v>
      </c>
      <c r="D53" s="23">
        <f>IFERROR(SUMIFS('06_Road_Engine'!$E$46:$E$90,'06_Road_Engine'!$A$46:$A$90,$A53,'06_Road_Engine'!$D$46:$D$90,"EWKPVMT"),0)</f>
        <v>0</v>
      </c>
      <c r="E53" s="23">
        <f>IFERROR(SUMIFS('06_Road_Engine'!$E$46:$E$90,'06_Road_Engine'!$A$46:$A$90,$A53,'06_Road_Engine'!$D$46:$D$90,"DRAIN"),0)</f>
        <v>0</v>
      </c>
      <c r="F53" s="23">
        <f>SUMPRODUCT(('03_Pipe_Engine'!$Y$3:$BC$3=$A53)*'03_Pipe_Engine'!$Y$6:$BC$20)</f>
        <v>0</v>
      </c>
      <c r="G53" s="23">
        <f>SUMPRODUCT(('04_Box_Engine'!$G$3:$AC$3=$A53)*'04_Box_Engine'!$G$6:$AC$24)</f>
        <v>0</v>
      </c>
      <c r="H53" s="23">
        <v>0</v>
      </c>
      <c r="I53" s="32"/>
      <c r="J53" s="23">
        <f t="shared" si="4"/>
        <v>0</v>
      </c>
      <c r="K53" s="23">
        <f t="array" ref="K53">IFERROR(INDEX('08_Rates'!$D$5:$D$198,MATCH($A53,'08_Rates'!$A$5:$A$198,0)),0)</f>
        <v>15250</v>
      </c>
      <c r="L53" s="23">
        <f t="shared" si="5"/>
        <v>0</v>
      </c>
    </row>
    <row r="54" spans="1:12" ht="15.75" customHeight="1" x14ac:dyDescent="0.3">
      <c r="A54" s="17" t="s">
        <v>1851</v>
      </c>
      <c r="B54" s="17" t="str">
        <f t="array" ref="B54">IFERROR(INDEX('07_Items'!$B$5:$B$198,MATCH($A54,'07_Items'!$A$5:$A$198,0)),"")</f>
        <v>Clear savannah bush</v>
      </c>
      <c r="C54" s="17" t="str">
        <f t="array" ref="C54">IFERROR(INDEX('07_Items'!$C$5:$C$198,MATCH($A54,'07_Items'!$A$5:$A$198,0)),"")</f>
        <v>Ha</v>
      </c>
      <c r="D54" s="23">
        <f>IFERROR(SUMIFS('06_Road_Engine'!$E$46:$E$90,'06_Road_Engine'!$A$46:$A$90,$A54,'06_Road_Engine'!$D$46:$D$90,"EWKPVMT"),0)</f>
        <v>0</v>
      </c>
      <c r="E54" s="23">
        <f>IFERROR(SUMIFS('06_Road_Engine'!$E$46:$E$90,'06_Road_Engine'!$A$46:$A$90,$A54,'06_Road_Engine'!$D$46:$D$90,"DRAIN"),0)</f>
        <v>0</v>
      </c>
      <c r="F54" s="23">
        <f>SUMPRODUCT(('03_Pipe_Engine'!$Y$3:$BC$3=$A54)*'03_Pipe_Engine'!$Y$6:$BC$20)</f>
        <v>0</v>
      </c>
      <c r="G54" s="23">
        <f>SUMPRODUCT(('04_Box_Engine'!$G$3:$AC$3=$A54)*'04_Box_Engine'!$G$6:$AC$24)</f>
        <v>0</v>
      </c>
      <c r="H54" s="23">
        <v>0</v>
      </c>
      <c r="I54" s="32"/>
      <c r="J54" s="23">
        <f t="shared" si="4"/>
        <v>0</v>
      </c>
      <c r="K54" s="23">
        <f t="array" ref="K54">IFERROR(INDEX('08_Rates'!$D$5:$D$198,MATCH($A54,'08_Rates'!$A$5:$A$198,0)),0)</f>
        <v>7500</v>
      </c>
      <c r="L54" s="23">
        <f t="shared" si="5"/>
        <v>0</v>
      </c>
    </row>
    <row r="55" spans="1:12" ht="15.75" customHeight="1" x14ac:dyDescent="0.3">
      <c r="A55" s="17" t="s">
        <v>1853</v>
      </c>
      <c r="B55" s="17" t="str">
        <f t="array" ref="B55">IFERROR(INDEX('07_Items'!$B$5:$B$198,MATCH($A55,'07_Items'!$A$5:$A$198,0)),"")</f>
        <v>Clear grass bush</v>
      </c>
      <c r="C55" s="17" t="str">
        <f t="array" ref="C55">IFERROR(INDEX('07_Items'!$C$5:$C$198,MATCH($A55,'07_Items'!$A$5:$A$198,0)),"")</f>
        <v>Ha</v>
      </c>
      <c r="D55" s="23">
        <f>IFERROR(SUMIFS('06_Road_Engine'!$E$46:$E$90,'06_Road_Engine'!$A$46:$A$90,$A55,'06_Road_Engine'!$D$46:$D$90,"EWKPVMT"),0)</f>
        <v>0</v>
      </c>
      <c r="E55" s="23">
        <f>IFERROR(SUMIFS('06_Road_Engine'!$E$46:$E$90,'06_Road_Engine'!$A$46:$A$90,$A55,'06_Road_Engine'!$D$46:$D$90,"DRAIN"),0)</f>
        <v>0</v>
      </c>
      <c r="F55" s="23">
        <f>SUMPRODUCT(('03_Pipe_Engine'!$Y$3:$BC$3=$A55)*'03_Pipe_Engine'!$Y$6:$BC$20)</f>
        <v>0</v>
      </c>
      <c r="G55" s="23">
        <f>SUMPRODUCT(('04_Box_Engine'!$G$3:$AC$3=$A55)*'04_Box_Engine'!$G$6:$AC$24)</f>
        <v>0</v>
      </c>
      <c r="H55" s="23">
        <v>0</v>
      </c>
      <c r="I55" s="32"/>
      <c r="J55" s="23">
        <f t="shared" si="4"/>
        <v>0</v>
      </c>
      <c r="K55" s="23">
        <f t="array" ref="K55">IFERROR(INDEX('08_Rates'!$D$5:$D$198,MATCH($A55,'08_Rates'!$A$5:$A$198,0)),0)</f>
        <v>4800</v>
      </c>
      <c r="L55" s="23">
        <f t="shared" si="5"/>
        <v>0</v>
      </c>
    </row>
    <row r="56" spans="1:12" ht="15.75" customHeight="1" x14ac:dyDescent="0.3">
      <c r="A56" s="17" t="s">
        <v>1855</v>
      </c>
      <c r="B56" s="17" t="str">
        <f t="array" ref="B56">IFERROR(INDEX('07_Items'!$B$5:$B$198,MATCH($A56,'07_Items'!$A$5:$A$198,0)),"")</f>
        <v>Clear existing bush</v>
      </c>
      <c r="C56" s="17" t="str">
        <f t="array" ref="C56">IFERROR(INDEX('07_Items'!$C$5:$C$198,MATCH($A56,'07_Items'!$A$5:$A$198,0)),"")</f>
        <v>Ha</v>
      </c>
      <c r="D56" s="23">
        <f>IFERROR(SUMIFS('06_Road_Engine'!$E$46:$E$90,'06_Road_Engine'!$A$46:$A$90,$A56,'06_Road_Engine'!$D$46:$D$90,"EWKPVMT"),0)</f>
        <v>0</v>
      </c>
      <c r="E56" s="23">
        <f>IFERROR(SUMIFS('06_Road_Engine'!$E$46:$E$90,'06_Road_Engine'!$A$46:$A$90,$A56,'06_Road_Engine'!$D$46:$D$90,"DRAIN"),0)</f>
        <v>0</v>
      </c>
      <c r="F56" s="23">
        <f>SUMPRODUCT(('03_Pipe_Engine'!$Y$3:$BC$3=$A56)*'03_Pipe_Engine'!$Y$6:$BC$20)</f>
        <v>0</v>
      </c>
      <c r="G56" s="23">
        <f>SUMPRODUCT(('04_Box_Engine'!$G$3:$AC$3=$A56)*'04_Box_Engine'!$G$6:$AC$24)</f>
        <v>0</v>
      </c>
      <c r="H56" s="23">
        <v>0</v>
      </c>
      <c r="I56" s="32"/>
      <c r="J56" s="23">
        <f t="shared" si="4"/>
        <v>0</v>
      </c>
      <c r="K56" s="23">
        <f t="array" ref="K56">IFERROR(INDEX('08_Rates'!$D$5:$D$198,MATCH($A56,'08_Rates'!$A$5:$A$198,0)),0)</f>
        <v>4800</v>
      </c>
      <c r="L56" s="23">
        <f t="shared" si="5"/>
        <v>0</v>
      </c>
    </row>
    <row r="57" spans="1:12" ht="15.75" customHeight="1" x14ac:dyDescent="0.3">
      <c r="A57" s="17" t="s">
        <v>2021</v>
      </c>
      <c r="B57" s="17" t="str">
        <f t="array" ref="B57">IFERROR(INDEX('07_Items'!$B$5:$B$198,MATCH($A57,'07_Items'!$A$5:$A$198,0)),"")</f>
        <v>Demolish existing mass concrete structure approximate volume 250-500cu.m</v>
      </c>
      <c r="C57" s="17" t="str">
        <f t="array" ref="C57">IFERROR(INDEX('07_Items'!$C$5:$C$198,MATCH($A57,'07_Items'!$A$5:$A$198,0)),"")</f>
        <v>cu.m</v>
      </c>
      <c r="D57" s="23">
        <f>IFERROR(SUMIFS('06_Road_Engine'!$E$46:$E$90,'06_Road_Engine'!$A$46:$A$90,$A57,'06_Road_Engine'!$D$46:$D$90,"EWKPVMT"),0)</f>
        <v>0</v>
      </c>
      <c r="E57" s="23">
        <f>IFERROR(SUMIFS('06_Road_Engine'!$E$46:$E$90,'06_Road_Engine'!$A$46:$A$90,$A57,'06_Road_Engine'!$D$46:$D$90,"DRAIN"),0)</f>
        <v>0</v>
      </c>
      <c r="F57" s="23">
        <f>SUMPRODUCT(('03_Pipe_Engine'!$Y$3:$BC$3=$A57)*'03_Pipe_Engine'!$Y$6:$BC$20)</f>
        <v>0</v>
      </c>
      <c r="G57" s="23">
        <f>SUMPRODUCT(('04_Box_Engine'!$G$3:$AC$3=$A57)*'04_Box_Engine'!$G$6:$AC$24)</f>
        <v>0</v>
      </c>
      <c r="H57" s="23">
        <v>0</v>
      </c>
      <c r="I57" s="32"/>
      <c r="J57" s="23">
        <f t="shared" si="4"/>
        <v>0</v>
      </c>
      <c r="K57" s="23">
        <f t="array" ref="K57">IFERROR(INDEX('08_Rates'!$D$5:$D$198,MATCH($A57,'08_Rates'!$A$5:$A$198,0)),0)</f>
        <v>500</v>
      </c>
      <c r="L57" s="23">
        <f t="shared" si="5"/>
        <v>0</v>
      </c>
    </row>
    <row r="58" spans="1:12" ht="15.75" customHeight="1" x14ac:dyDescent="0.3">
      <c r="A58" s="17" t="s">
        <v>2024</v>
      </c>
      <c r="B58" s="17" t="str">
        <f t="array" ref="B58">IFERROR(INDEX('07_Items'!$B$5:$B$198,MATCH($A58,'07_Items'!$A$5:$A$198,0)),"")</f>
        <v>Demolish existing reinforced concrete structure approximate volume 250-500cu.m</v>
      </c>
      <c r="C58" s="17" t="str">
        <f t="array" ref="C58">IFERROR(INDEX('07_Items'!$C$5:$C$198,MATCH($A58,'07_Items'!$A$5:$A$198,0)),"")</f>
        <v>cu.m</v>
      </c>
      <c r="D58" s="23">
        <f>IFERROR(SUMIFS('06_Road_Engine'!$E$46:$E$90,'06_Road_Engine'!$A$46:$A$90,$A58,'06_Road_Engine'!$D$46:$D$90,"EWKPVMT"),0)</f>
        <v>0</v>
      </c>
      <c r="E58" s="23">
        <f>IFERROR(SUMIFS('06_Road_Engine'!$E$46:$E$90,'06_Road_Engine'!$A$46:$A$90,$A58,'06_Road_Engine'!$D$46:$D$90,"DRAIN"),0)</f>
        <v>0</v>
      </c>
      <c r="F58" s="23">
        <f>SUMPRODUCT(('03_Pipe_Engine'!$Y$3:$BC$3=$A58)*'03_Pipe_Engine'!$Y$6:$BC$20)</f>
        <v>0</v>
      </c>
      <c r="G58" s="23">
        <f>SUMPRODUCT(('04_Box_Engine'!$G$3:$AC$3=$A58)*'04_Box_Engine'!$G$6:$AC$24)</f>
        <v>0</v>
      </c>
      <c r="H58" s="23">
        <v>0</v>
      </c>
      <c r="I58" s="32"/>
      <c r="J58" s="23">
        <f t="shared" si="4"/>
        <v>0</v>
      </c>
      <c r="K58" s="23">
        <f t="array" ref="K58">IFERROR(INDEX('08_Rates'!$D$5:$D$198,MATCH($A58,'08_Rates'!$A$5:$A$198,0)),0)</f>
        <v>600</v>
      </c>
      <c r="L58" s="23">
        <f t="shared" si="5"/>
        <v>0</v>
      </c>
    </row>
    <row r="59" spans="1:12" ht="15.75" customHeight="1" x14ac:dyDescent="0.3">
      <c r="A59" s="17" t="s">
        <v>2026</v>
      </c>
      <c r="B59" s="17">
        <f t="array" ref="B59">IFERROR(INDEX('07_Items'!$B$5:$B$198,MATCH($A59,'07_Items'!$A$5:$A$198,0)),"")</f>
        <v>0</v>
      </c>
      <c r="C59" s="17">
        <f t="array" ref="C59">IFERROR(INDEX('07_Items'!$C$5:$C$198,MATCH($A59,'07_Items'!$A$5:$A$198,0)),"")</f>
        <v>0</v>
      </c>
      <c r="D59" s="23">
        <f>IFERROR(SUMIFS('06_Road_Engine'!$E$46:$E$90,'06_Road_Engine'!$A$46:$A$90,$A59,'06_Road_Engine'!$D$46:$D$90,"EWKPVMT"),0)</f>
        <v>0</v>
      </c>
      <c r="E59" s="23">
        <f>IFERROR(SUMIFS('06_Road_Engine'!$E$46:$E$90,'06_Road_Engine'!$A$46:$A$90,$A59,'06_Road_Engine'!$D$46:$D$90,"DRAIN"),0)</f>
        <v>0</v>
      </c>
      <c r="F59" s="23">
        <f>SUMPRODUCT(('03_Pipe_Engine'!$Y$3:$BC$3=$A59)*'03_Pipe_Engine'!$Y$6:$BC$20)</f>
        <v>0</v>
      </c>
      <c r="G59" s="23">
        <f>SUMPRODUCT(('04_Box_Engine'!$G$3:$AC$3=$A59)*'04_Box_Engine'!$G$6:$AC$24)</f>
        <v>0</v>
      </c>
      <c r="H59" s="23">
        <v>0</v>
      </c>
      <c r="I59" s="32"/>
      <c r="J59" s="23">
        <f t="shared" si="4"/>
        <v>0</v>
      </c>
      <c r="K59" s="23">
        <f t="array" ref="K59">IFERROR(INDEX('08_Rates'!$D$5:$D$198,MATCH($A59,'08_Rates'!$A$5:$A$198,0)),0)</f>
        <v>0</v>
      </c>
      <c r="L59" s="23">
        <f t="shared" si="5"/>
        <v>0</v>
      </c>
    </row>
    <row r="60" spans="1:12" ht="15.75" customHeight="1" x14ac:dyDescent="0.3">
      <c r="A60" s="44"/>
      <c r="B60" s="45" t="s">
        <v>2361</v>
      </c>
      <c r="C60" s="44"/>
      <c r="D60" s="44"/>
      <c r="E60" s="44"/>
      <c r="F60" s="44"/>
      <c r="G60" s="44"/>
      <c r="H60" s="44"/>
      <c r="I60" s="44"/>
      <c r="J60" s="44"/>
      <c r="K60" s="44"/>
      <c r="L60" s="46">
        <f>SUM(L50:L59)</f>
        <v>0</v>
      </c>
    </row>
    <row r="61" spans="1:12" ht="15.75" customHeight="1" x14ac:dyDescent="0.3"/>
    <row r="62" spans="1:12" ht="15.75" customHeight="1" x14ac:dyDescent="0.3">
      <c r="A62" s="39" t="s">
        <v>2029</v>
      </c>
      <c r="B62" s="40"/>
      <c r="C62" s="40"/>
      <c r="D62" s="40"/>
      <c r="E62" s="40"/>
      <c r="F62" s="40"/>
      <c r="G62" s="40"/>
      <c r="H62" s="40"/>
      <c r="I62" s="40"/>
      <c r="J62" s="40"/>
      <c r="K62" s="40"/>
      <c r="L62" s="40"/>
    </row>
    <row r="63" spans="1:12" ht="15.75" customHeight="1" x14ac:dyDescent="0.3">
      <c r="A63" s="17"/>
      <c r="B63" s="17"/>
      <c r="C63" s="17"/>
      <c r="D63" s="23"/>
      <c r="E63" s="23"/>
      <c r="F63" s="23"/>
      <c r="G63" s="23"/>
      <c r="H63" s="23"/>
      <c r="I63" s="32"/>
      <c r="J63" s="23"/>
      <c r="K63" s="23"/>
      <c r="L63" s="23"/>
    </row>
    <row r="64" spans="1:12" ht="15.75" customHeight="1" x14ac:dyDescent="0.3">
      <c r="B64" s="43" t="s">
        <v>2362</v>
      </c>
    </row>
    <row r="65" spans="1:12" ht="15.75" customHeight="1" x14ac:dyDescent="0.3">
      <c r="A65" s="17" t="s">
        <v>2027</v>
      </c>
      <c r="B65" s="17" t="str">
        <f t="array" ref="B65">IFERROR(INDEX('07_Items'!$B$5:$B$198,MATCH($A65,'07_Items'!$A$5:$A$198,0)),"")</f>
        <v>Excavate unsuitable material in swampy area and dispose</v>
      </c>
      <c r="C65" s="17" t="str">
        <f t="array" ref="C65">IFERROR(INDEX('07_Items'!$C$5:$C$198,MATCH($A65,'07_Items'!$A$5:$A$198,0)),"")</f>
        <v>cu.m</v>
      </c>
      <c r="D65" s="23">
        <f>IFERROR(SUMIFS('06_Road_Engine'!$E$46:$E$90,'06_Road_Engine'!$A$46:$A$90,$A65,'06_Road_Engine'!$D$46:$D$90,"EWKPVMT"),0)</f>
        <v>0</v>
      </c>
      <c r="E65" s="23">
        <f>IFERROR(SUMIFS('06_Road_Engine'!$E$46:$E$90,'06_Road_Engine'!$A$46:$A$90,$A65,'06_Road_Engine'!$D$46:$D$90,"DRAIN"),0)</f>
        <v>0</v>
      </c>
      <c r="F65" s="23">
        <f>SUMPRODUCT(('03_Pipe_Engine'!$Y$3:$BC$3=$A65)*'03_Pipe_Engine'!$Y$6:$BC$20)</f>
        <v>0</v>
      </c>
      <c r="G65" s="23">
        <f>SUMPRODUCT(('04_Box_Engine'!$G$3:$AC$3=$A65)*'04_Box_Engine'!$G$6:$AC$24)</f>
        <v>0</v>
      </c>
      <c r="H65" s="23">
        <v>0</v>
      </c>
      <c r="I65" s="32"/>
      <c r="J65" s="23">
        <f>ROUND(SUM(D65:I65),2)</f>
        <v>0</v>
      </c>
      <c r="K65" s="23">
        <f t="array" ref="K65">IFERROR(INDEX('08_Rates'!$D$5:$D$198,MATCH($A65,'08_Rates'!$A$5:$A$198,0)),0)</f>
        <v>50</v>
      </c>
      <c r="L65" s="23">
        <f>ROUND(J65*K65,2)</f>
        <v>0</v>
      </c>
    </row>
    <row r="66" spans="1:12" ht="15.75" customHeight="1" x14ac:dyDescent="0.3">
      <c r="A66" s="17" t="s">
        <v>2030</v>
      </c>
      <c r="B66" s="17" t="str">
        <f t="array" ref="B66">IFERROR(INDEX('07_Items'!$B$5:$B$198,MATCH($A66,'07_Items'!$A$5:$A$198,0)),"")</f>
        <v>Excavate for cutting, material other than topsoil,rock or artificial hard material</v>
      </c>
      <c r="C66" s="17" t="str">
        <f t="array" ref="C66">IFERROR(INDEX('07_Items'!$C$5:$C$198,MATCH($A66,'07_Items'!$A$5:$A$198,0)),"")</f>
        <v>cu.m</v>
      </c>
      <c r="D66" s="23">
        <f>IFERROR(SUMIFS('06_Road_Engine'!$E$46:$E$90,'06_Road_Engine'!$A$46:$A$90,$A66,'06_Road_Engine'!$D$46:$D$90,"EWKPVMT"),0)</f>
        <v>0</v>
      </c>
      <c r="E66" s="23">
        <f>IFERROR(SUMIFS('06_Road_Engine'!$E$46:$E$90,'06_Road_Engine'!$A$46:$A$90,$A66,'06_Road_Engine'!$D$46:$D$90,"DRAIN"),0)</f>
        <v>0</v>
      </c>
      <c r="F66" s="23">
        <f>SUMPRODUCT(('03_Pipe_Engine'!$Y$3:$BC$3=$A66)*'03_Pipe_Engine'!$Y$6:$BC$20)</f>
        <v>0</v>
      </c>
      <c r="G66" s="23">
        <f>SUMPRODUCT(('04_Box_Engine'!$G$3:$AC$3=$A66)*'04_Box_Engine'!$G$6:$AC$24)</f>
        <v>0</v>
      </c>
      <c r="H66" s="23">
        <v>0</v>
      </c>
      <c r="I66" s="32"/>
      <c r="J66" s="23">
        <f>ROUND(SUM(D66:I66),2)</f>
        <v>0</v>
      </c>
      <c r="K66" s="23">
        <f t="array" ref="K66">IFERROR(INDEX('08_Rates'!$D$5:$D$198,MATCH($A66,'08_Rates'!$A$5:$A$198,0)),0)</f>
        <v>45</v>
      </c>
      <c r="L66" s="23">
        <f>ROUND(J66*K66,2)</f>
        <v>0</v>
      </c>
    </row>
    <row r="67" spans="1:12" ht="15.75" customHeight="1" x14ac:dyDescent="0.3">
      <c r="A67" s="17" t="s">
        <v>2032</v>
      </c>
      <c r="B67" s="17" t="str">
        <f t="array" ref="B67">IFERROR(INDEX('07_Items'!$B$5:$B$198,MATCH($A67,'07_Items'!$A$5:$A$198,0)),"")</f>
        <v>Excavate soft rock</v>
      </c>
      <c r="C67" s="17" t="str">
        <f t="array" ref="C67">IFERROR(INDEX('07_Items'!$C$5:$C$198,MATCH($A67,'07_Items'!$A$5:$A$198,0)),"")</f>
        <v>cu.m</v>
      </c>
      <c r="D67" s="23">
        <f>IFERROR(SUMIFS('06_Road_Engine'!$E$46:$E$90,'06_Road_Engine'!$A$46:$A$90,$A67,'06_Road_Engine'!$D$46:$D$90,"EWKPVMT"),0)</f>
        <v>0</v>
      </c>
      <c r="E67" s="23">
        <f>IFERROR(SUMIFS('06_Road_Engine'!$E$46:$E$90,'06_Road_Engine'!$A$46:$A$90,$A67,'06_Road_Engine'!$D$46:$D$90,"DRAIN"),0)</f>
        <v>0</v>
      </c>
      <c r="F67" s="23">
        <f>SUMPRODUCT(('03_Pipe_Engine'!$Y$3:$BC$3=$A67)*'03_Pipe_Engine'!$Y$6:$BC$20)</f>
        <v>0</v>
      </c>
      <c r="G67" s="23">
        <f>SUMPRODUCT(('04_Box_Engine'!$G$3:$AC$3=$A67)*'04_Box_Engine'!$G$6:$AC$24)</f>
        <v>0</v>
      </c>
      <c r="H67" s="23">
        <v>0</v>
      </c>
      <c r="I67" s="32"/>
      <c r="J67" s="23">
        <f>ROUND(SUM(D67:I67),2)</f>
        <v>0</v>
      </c>
      <c r="K67" s="23">
        <f t="array" ref="K67">IFERROR(INDEX('08_Rates'!$D$5:$D$198,MATCH($A67,'08_Rates'!$A$5:$A$198,0)),0)</f>
        <v>750</v>
      </c>
      <c r="L67" s="23">
        <f>ROUND(J67*K67,2)</f>
        <v>0</v>
      </c>
    </row>
    <row r="68" spans="1:12" ht="15.75" customHeight="1" x14ac:dyDescent="0.3">
      <c r="B68" s="43" t="s">
        <v>2363</v>
      </c>
    </row>
    <row r="69" spans="1:12" ht="15.75" customHeight="1" x14ac:dyDescent="0.3">
      <c r="A69" s="17" t="s">
        <v>1322</v>
      </c>
      <c r="B69" s="17" t="str">
        <f t="array" ref="B69">IFERROR(INDEX('07_Items'!$B$5:$B$198,MATCH($A69,'07_Items'!$A$5:$A$198,0)),"")</f>
        <v>Excavation for foundations material other than topsoil, rock or artificial hard material maximum depth: not exceeding 0.25-0.5m</v>
      </c>
      <c r="C69" s="17" t="str">
        <f t="array" ref="C69">IFERROR(INDEX('07_Items'!$C$5:$C$198,MATCH($A69,'07_Items'!$A$5:$A$198,0)),"")</f>
        <v>cu.m</v>
      </c>
      <c r="D69" s="23">
        <f>IFERROR(SUMIFS('06_Road_Engine'!$E$46:$E$90,'06_Road_Engine'!$A$46:$A$90,$A69,'06_Road_Engine'!$D$46:$D$90,"EWKPVMT"),0)</f>
        <v>0</v>
      </c>
      <c r="E69" s="23">
        <f>IFERROR(SUMIFS('06_Road_Engine'!$E$46:$E$90,'06_Road_Engine'!$A$46:$A$90,$A69,'06_Road_Engine'!$D$46:$D$90,"DRAIN"),0)</f>
        <v>0</v>
      </c>
      <c r="F69" s="23">
        <f>SUMPRODUCT(('03_Pipe_Engine'!$Y$3:$BC$3=$A69)*'03_Pipe_Engine'!$Y$6:$BC$20)</f>
        <v>0</v>
      </c>
      <c r="G69" s="23">
        <f>SUMPRODUCT(('04_Box_Engine'!$G$3:$AC$3=$A69)*'04_Box_Engine'!$G$6:$AC$24)</f>
        <v>0</v>
      </c>
      <c r="H69" s="23">
        <v>0</v>
      </c>
      <c r="I69" s="32"/>
      <c r="J69" s="23">
        <f>ROUND(SUM(D69:I69),2)</f>
        <v>0</v>
      </c>
      <c r="K69" s="23">
        <f t="array" ref="K69">IFERROR(INDEX('08_Rates'!$D$5:$D$198,MATCH($A69,'08_Rates'!$A$5:$A$198,0)),0)</f>
        <v>280</v>
      </c>
      <c r="L69" s="23">
        <f>ROUND(J69*K69,2)</f>
        <v>0</v>
      </c>
    </row>
    <row r="70" spans="1:12" ht="15.75" customHeight="1" x14ac:dyDescent="0.3">
      <c r="A70" s="17" t="s">
        <v>1438</v>
      </c>
      <c r="B70" s="17" t="str">
        <f t="array" ref="B70">IFERROR(INDEX('07_Items'!$B$5:$B$198,MATCH($A70,'07_Items'!$A$5:$A$198,0)),"")</f>
        <v>Ditto item E 322,maximum depth 0.5-1.0m,ditto</v>
      </c>
      <c r="C70" s="17" t="str">
        <f t="array" ref="C70">IFERROR(INDEX('07_Items'!$C$5:$C$198,MATCH($A70,'07_Items'!$A$5:$A$198,0)),"")</f>
        <v>cu.m</v>
      </c>
      <c r="D70" s="23">
        <f>IFERROR(SUMIFS('06_Road_Engine'!$E$46:$E$90,'06_Road_Engine'!$A$46:$A$90,$A70,'06_Road_Engine'!$D$46:$D$90,"EWKPVMT"),0)</f>
        <v>0</v>
      </c>
      <c r="E70" s="23">
        <f>IFERROR(SUMIFS('06_Road_Engine'!$E$46:$E$90,'06_Road_Engine'!$A$46:$A$90,$A70,'06_Road_Engine'!$D$46:$D$90,"DRAIN"),0)</f>
        <v>0</v>
      </c>
      <c r="F70" s="23">
        <f>SUMPRODUCT(('03_Pipe_Engine'!$Y$3:$BC$3=$A70)*'03_Pipe_Engine'!$Y$6:$BC$20)</f>
        <v>0</v>
      </c>
      <c r="G70" s="23">
        <f>SUMPRODUCT(('04_Box_Engine'!$G$3:$AC$3=$A70)*'04_Box_Engine'!$G$6:$AC$24)</f>
        <v>0</v>
      </c>
      <c r="H70" s="23">
        <v>0</v>
      </c>
      <c r="I70" s="32"/>
      <c r="J70" s="23">
        <f>ROUND(SUM(D70:I70),2)</f>
        <v>0</v>
      </c>
      <c r="K70" s="23">
        <f t="array" ref="K70">IFERROR(INDEX('08_Rates'!$D$5:$D$198,MATCH($A70,'08_Rates'!$A$5:$A$198,0)),0)</f>
        <v>330</v>
      </c>
      <c r="L70" s="23">
        <f>ROUND(J70*K70,2)</f>
        <v>0</v>
      </c>
    </row>
    <row r="71" spans="1:12" ht="15.75" customHeight="1" x14ac:dyDescent="0.3">
      <c r="B71" s="43" t="s">
        <v>2364</v>
      </c>
    </row>
    <row r="72" spans="1:12" ht="15.75" customHeight="1" x14ac:dyDescent="0.3">
      <c r="A72" s="17" t="s">
        <v>1860</v>
      </c>
      <c r="B72" s="17" t="str">
        <f t="array" ref="B72">IFERROR(INDEX('07_Items'!$B$5:$B$198,MATCH($A72,'07_Items'!$A$5:$A$198,0)),"")</f>
        <v>Fill to widen road</v>
      </c>
      <c r="C72" s="17" t="str">
        <f t="array" ref="C72">IFERROR(INDEX('07_Items'!$C$5:$C$198,MATCH($A72,'07_Items'!$A$5:$A$198,0)),"")</f>
        <v>m³</v>
      </c>
      <c r="D72" s="23">
        <f>IFERROR(SUMIFS('06_Road_Engine'!$E$46:$E$90,'06_Road_Engine'!$A$46:$A$90,$A72,'06_Road_Engine'!$D$46:$D$90,"EWKPVMT"),0)</f>
        <v>0</v>
      </c>
      <c r="E72" s="23">
        <f>IFERROR(SUMIFS('06_Road_Engine'!$E$46:$E$90,'06_Road_Engine'!$A$46:$A$90,$A72,'06_Road_Engine'!$D$46:$D$90,"DRAIN"),0)</f>
        <v>0</v>
      </c>
      <c r="F72" s="23">
        <f>SUMPRODUCT(('03_Pipe_Engine'!$Y$3:$BC$3=$A72)*'03_Pipe_Engine'!$Y$6:$BC$20)</f>
        <v>0</v>
      </c>
      <c r="G72" s="23">
        <f>SUMPRODUCT(('04_Box_Engine'!$G$3:$AC$3=$A72)*'04_Box_Engine'!$G$6:$AC$24)</f>
        <v>0</v>
      </c>
      <c r="H72" s="23">
        <v>0</v>
      </c>
      <c r="I72" s="32"/>
      <c r="J72" s="23">
        <f>ROUND(SUM(D72:I72),2)</f>
        <v>0</v>
      </c>
      <c r="K72" s="23">
        <f t="array" ref="K72">IFERROR(INDEX('08_Rates'!$D$5:$D$198,MATCH($A72,'08_Rates'!$A$5:$A$198,0)),0)</f>
        <v>84</v>
      </c>
      <c r="L72" s="23">
        <f>ROUND(J72*K72,2)</f>
        <v>0</v>
      </c>
    </row>
    <row r="73" spans="1:12" ht="15.75" customHeight="1" x14ac:dyDescent="0.3">
      <c r="B73" s="43" t="s">
        <v>2365</v>
      </c>
    </row>
    <row r="74" spans="1:12" ht="15.75" customHeight="1" x14ac:dyDescent="0.3">
      <c r="A74" s="17" t="s">
        <v>2036</v>
      </c>
      <c r="B74" s="17" t="str">
        <f t="array" ref="B74">IFERROR(INDEX('07_Items'!$B$5:$B$198,MATCH($A74,'07_Items'!$A$5:$A$198,0)),"")</f>
        <v>Disposal of excavated material other than topsoil, rock or artificial hard material</v>
      </c>
      <c r="C74" s="17" t="str">
        <f t="array" ref="C74">IFERROR(INDEX('07_Items'!$C$5:$C$198,MATCH($A74,'07_Items'!$A$5:$A$198,0)),"")</f>
        <v>cu.m</v>
      </c>
      <c r="D74" s="23">
        <f>IFERROR(SUMIFS('06_Road_Engine'!$E$46:$E$90,'06_Road_Engine'!$A$46:$A$90,$A74,'06_Road_Engine'!$D$46:$D$90,"EWKPVMT"),0)</f>
        <v>0</v>
      </c>
      <c r="E74" s="23">
        <f>IFERROR(SUMIFS('06_Road_Engine'!$E$46:$E$90,'06_Road_Engine'!$A$46:$A$90,$A74,'06_Road_Engine'!$D$46:$D$90,"DRAIN"),0)</f>
        <v>0</v>
      </c>
      <c r="F74" s="23">
        <f>SUMPRODUCT(('03_Pipe_Engine'!$Y$3:$BC$3=$A74)*'03_Pipe_Engine'!$Y$6:$BC$20)</f>
        <v>0</v>
      </c>
      <c r="G74" s="23">
        <f>SUMPRODUCT(('04_Box_Engine'!$G$3:$AC$3=$A74)*'04_Box_Engine'!$G$6:$AC$24)</f>
        <v>0</v>
      </c>
      <c r="H74" s="23">
        <v>0</v>
      </c>
      <c r="I74" s="32"/>
      <c r="J74" s="23">
        <f>ROUND(SUM(D74:I74),2)</f>
        <v>0</v>
      </c>
      <c r="K74" s="23">
        <f t="array" ref="K74">IFERROR(INDEX('08_Rates'!$D$5:$D$198,MATCH($A74,'08_Rates'!$A$5:$A$198,0)),0)</f>
        <v>25</v>
      </c>
      <c r="L74" s="23">
        <f>ROUND(J74*K74,2)</f>
        <v>0</v>
      </c>
    </row>
    <row r="75" spans="1:12" ht="15.75" customHeight="1" x14ac:dyDescent="0.3">
      <c r="A75" s="17" t="s">
        <v>2038</v>
      </c>
      <c r="B75" s="17" t="str">
        <f t="array" ref="B75">IFERROR(INDEX('07_Items'!$B$5:$B$198,MATCH($A75,'07_Items'!$A$5:$A$198,0)),"")</f>
        <v>Excavate inlet and outlet channels and dispose</v>
      </c>
      <c r="C75" s="17" t="str">
        <f t="array" ref="C75">IFERROR(INDEX('07_Items'!$C$5:$C$198,MATCH($A75,'07_Items'!$A$5:$A$198,0)),"")</f>
        <v>cu.m</v>
      </c>
      <c r="D75" s="23">
        <f>IFERROR(SUMIFS('06_Road_Engine'!$E$46:$E$90,'06_Road_Engine'!$A$46:$A$90,$A75,'06_Road_Engine'!$D$46:$D$90,"EWKPVMT"),0)</f>
        <v>0</v>
      </c>
      <c r="E75" s="23">
        <f>IFERROR(SUMIFS('06_Road_Engine'!$E$46:$E$90,'06_Road_Engine'!$A$46:$A$90,$A75,'06_Road_Engine'!$D$46:$D$90,"DRAIN"),0)</f>
        <v>0</v>
      </c>
      <c r="F75" s="23">
        <f>SUMPRODUCT(('03_Pipe_Engine'!$Y$3:$BC$3=$A75)*'03_Pipe_Engine'!$Y$6:$BC$20)</f>
        <v>0</v>
      </c>
      <c r="G75" s="23">
        <f>SUMPRODUCT(('04_Box_Engine'!$G$3:$AC$3=$A75)*'04_Box_Engine'!$G$6:$AC$24)</f>
        <v>0</v>
      </c>
      <c r="H75" s="23">
        <v>0</v>
      </c>
      <c r="I75" s="32"/>
      <c r="J75" s="23">
        <f>ROUND(SUM(D75:I75),2)</f>
        <v>0</v>
      </c>
      <c r="K75" s="23">
        <f t="array" ref="K75">IFERROR(INDEX('08_Rates'!$D$5:$D$198,MATCH($A75,'08_Rates'!$A$5:$A$198,0)),0)</f>
        <v>60</v>
      </c>
      <c r="L75" s="23">
        <f>ROUND(J75*K75,2)</f>
        <v>0</v>
      </c>
    </row>
    <row r="76" spans="1:12" ht="15.75" customHeight="1" x14ac:dyDescent="0.3">
      <c r="A76" s="17" t="s">
        <v>1874</v>
      </c>
      <c r="B76" s="17" t="str">
        <f t="array" ref="B76">IFERROR(INDEX('07_Items'!$B$5:$B$198,MATCH($A76,'07_Items'!$A$5:$A$198,0)),"")</f>
        <v>Reshape road surface</v>
      </c>
      <c r="C76" s="17" t="str">
        <f t="array" ref="C76">IFERROR(INDEX('07_Items'!$C$5:$C$198,MATCH($A76,'07_Items'!$A$5:$A$198,0)),"")</f>
        <v>m²</v>
      </c>
      <c r="D76" s="23">
        <f>IFERROR(SUMIFS('06_Road_Engine'!$E$46:$E$90,'06_Road_Engine'!$A$46:$A$90,$A76,'06_Road_Engine'!$D$46:$D$90,"EWKPVMT"),0)</f>
        <v>0</v>
      </c>
      <c r="E76" s="23">
        <f>IFERROR(SUMIFS('06_Road_Engine'!$E$46:$E$90,'06_Road_Engine'!$A$46:$A$90,$A76,'06_Road_Engine'!$D$46:$D$90,"DRAIN"),0)</f>
        <v>0</v>
      </c>
      <c r="F76" s="23">
        <f>SUMPRODUCT(('03_Pipe_Engine'!$Y$3:$BC$3=$A76)*'03_Pipe_Engine'!$Y$6:$BC$20)</f>
        <v>0</v>
      </c>
      <c r="G76" s="23">
        <f>SUMPRODUCT(('04_Box_Engine'!$G$3:$AC$3=$A76)*'04_Box_Engine'!$G$6:$AC$24)</f>
        <v>0</v>
      </c>
      <c r="H76" s="23">
        <v>0</v>
      </c>
      <c r="I76" s="32"/>
      <c r="J76" s="23">
        <f>ROUND(SUM(D76:I76),2)</f>
        <v>0</v>
      </c>
      <c r="K76" s="23">
        <f t="array" ref="K76">IFERROR(INDEX('08_Rates'!$D$5:$D$198,MATCH($A76,'08_Rates'!$A$5:$A$198,0)),0)</f>
        <v>1.5</v>
      </c>
      <c r="L76" s="23">
        <f>ROUND(J76*K76,2)</f>
        <v>0</v>
      </c>
    </row>
    <row r="77" spans="1:12" ht="15.75" customHeight="1" x14ac:dyDescent="0.3">
      <c r="B77" s="43" t="s">
        <v>2366</v>
      </c>
    </row>
    <row r="78" spans="1:12" ht="15.75" customHeight="1" x14ac:dyDescent="0.3">
      <c r="A78" s="17" t="s">
        <v>2040</v>
      </c>
      <c r="B78" s="17" t="str">
        <f t="array" ref="B78">IFERROR(INDEX('07_Items'!$B$5:$B$198,MATCH($A78,'07_Items'!$A$5:$A$198,0)),"")</f>
        <v>Filling with material from excavation.</v>
      </c>
      <c r="C78" s="17" t="str">
        <f t="array" ref="C78">IFERROR(INDEX('07_Items'!$C$5:$C$198,MATCH($A78,'07_Items'!$A$5:$A$198,0)),"")</f>
        <v>cu.m</v>
      </c>
      <c r="D78" s="23">
        <f>IFERROR(SUMIFS('06_Road_Engine'!$E$46:$E$90,'06_Road_Engine'!$A$46:$A$90,$A78,'06_Road_Engine'!$D$46:$D$90,"EWKPVMT"),0)</f>
        <v>0</v>
      </c>
      <c r="E78" s="23">
        <f>IFERROR(SUMIFS('06_Road_Engine'!$E$46:$E$90,'06_Road_Engine'!$A$46:$A$90,$A78,'06_Road_Engine'!$D$46:$D$90,"DRAIN"),0)</f>
        <v>0</v>
      </c>
      <c r="F78" s="23">
        <f>SUMPRODUCT(('03_Pipe_Engine'!$Y$3:$BC$3=$A78)*'03_Pipe_Engine'!$Y$6:$BC$20)</f>
        <v>0</v>
      </c>
      <c r="G78" s="23">
        <f>SUMPRODUCT(('04_Box_Engine'!$G$3:$AC$3=$A78)*'04_Box_Engine'!$G$6:$AC$24)</f>
        <v>0</v>
      </c>
      <c r="H78" s="23">
        <v>0</v>
      </c>
      <c r="I78" s="32"/>
      <c r="J78" s="23">
        <f>ROUND(SUM(D78:I78),2)</f>
        <v>0</v>
      </c>
      <c r="K78" s="23">
        <f t="array" ref="K78">IFERROR(INDEX('08_Rates'!$D$5:$D$198,MATCH($A78,'08_Rates'!$A$5:$A$198,0)),0)</f>
        <v>15</v>
      </c>
      <c r="L78" s="23">
        <f>ROUND(J78*K78,2)</f>
        <v>0</v>
      </c>
    </row>
    <row r="79" spans="1:12" ht="15.75" customHeight="1" x14ac:dyDescent="0.3">
      <c r="A79" s="17" t="s">
        <v>2042</v>
      </c>
      <c r="B79" s="17" t="str">
        <f t="array" ref="B79">IFERROR(INDEX('07_Items'!$B$5:$B$198,MATCH($A79,'07_Items'!$A$5:$A$198,0)),"")</f>
        <v>Filling with material from borrow pit</v>
      </c>
      <c r="C79" s="17" t="str">
        <f t="array" ref="C79">IFERROR(INDEX('07_Items'!$C$5:$C$198,MATCH($A79,'07_Items'!$A$5:$A$198,0)),"")</f>
        <v>cu.m</v>
      </c>
      <c r="D79" s="23">
        <f>IFERROR(SUMIFS('06_Road_Engine'!$E$46:$E$90,'06_Road_Engine'!$A$46:$A$90,$A79,'06_Road_Engine'!$D$46:$D$90,"EWKPVMT"),0)</f>
        <v>0</v>
      </c>
      <c r="E79" s="23">
        <f>IFERROR(SUMIFS('06_Road_Engine'!$E$46:$E$90,'06_Road_Engine'!$A$46:$A$90,$A79,'06_Road_Engine'!$D$46:$D$90,"DRAIN"),0)</f>
        <v>0</v>
      </c>
      <c r="F79" s="23">
        <f>SUMPRODUCT(('03_Pipe_Engine'!$Y$3:$BC$3=$A79)*'03_Pipe_Engine'!$Y$6:$BC$20)</f>
        <v>0</v>
      </c>
      <c r="G79" s="23">
        <f>SUMPRODUCT(('04_Box_Engine'!$G$3:$AC$3=$A79)*'04_Box_Engine'!$G$6:$AC$24)</f>
        <v>0</v>
      </c>
      <c r="H79" s="23">
        <v>0</v>
      </c>
      <c r="I79" s="32"/>
      <c r="J79" s="23">
        <f>ROUND(SUM(D79:I79),2)</f>
        <v>0</v>
      </c>
      <c r="K79" s="23">
        <f t="array" ref="K79">IFERROR(INDEX('08_Rates'!$D$5:$D$198,MATCH($A79,'08_Rates'!$A$5:$A$198,0)),0)</f>
        <v>15</v>
      </c>
      <c r="L79" s="23">
        <f>ROUND(J79*K79,2)</f>
        <v>0</v>
      </c>
    </row>
    <row r="80" spans="1:12" ht="15.75" customHeight="1" x14ac:dyDescent="0.3">
      <c r="A80" s="17" t="s">
        <v>1868</v>
      </c>
      <c r="B80" s="17" t="str">
        <f t="array" ref="B80">IFERROR(INDEX('07_Items'!$B$5:$B$198,MATCH($A80,'07_Items'!$A$5:$A$198,0)),"")</f>
        <v xml:space="preserve">Construction of concrete pitching to embankment as per Drawing No………. </v>
      </c>
      <c r="C80" s="17" t="str">
        <f t="array" ref="C80">IFERROR(INDEX('07_Items'!$C$5:$C$198,MATCH($A80,'07_Items'!$A$5:$A$198,0)),"")</f>
        <v>sq.m</v>
      </c>
      <c r="D80" s="23">
        <f>IFERROR(SUMIFS('06_Road_Engine'!$E$46:$E$90,'06_Road_Engine'!$A$46:$A$90,$A80,'06_Road_Engine'!$D$46:$D$90,"EWKPVMT"),0)</f>
        <v>0</v>
      </c>
      <c r="E80" s="23">
        <f>IFERROR(SUMIFS('06_Road_Engine'!$E$46:$E$90,'06_Road_Engine'!$A$46:$A$90,$A80,'06_Road_Engine'!$D$46:$D$90,"DRAIN"),0)</f>
        <v>0</v>
      </c>
      <c r="F80" s="23">
        <f>SUMPRODUCT(('03_Pipe_Engine'!$Y$3:$BC$3=$A80)*'03_Pipe_Engine'!$Y$6:$BC$20)</f>
        <v>0</v>
      </c>
      <c r="G80" s="23">
        <f>SUMPRODUCT(('04_Box_Engine'!$G$3:$AC$3=$A80)*'04_Box_Engine'!$G$6:$AC$24)</f>
        <v>0</v>
      </c>
      <c r="H80" s="23">
        <v>0</v>
      </c>
      <c r="I80" s="32"/>
      <c r="J80" s="23">
        <f>ROUND(SUM(D80:I80),2)</f>
        <v>0</v>
      </c>
      <c r="K80" s="23">
        <f t="array" ref="K80">IFERROR(INDEX('08_Rates'!$D$5:$D$198,MATCH($A80,'08_Rates'!$A$5:$A$198,0)),0)</f>
        <v>500</v>
      </c>
      <c r="L80" s="23">
        <f>ROUND(J80*K80,2)</f>
        <v>0</v>
      </c>
    </row>
    <row r="81" spans="1:12" ht="15.75" customHeight="1" x14ac:dyDescent="0.3">
      <c r="A81" s="17" t="s">
        <v>2046</v>
      </c>
      <c r="B81" s="17" t="str">
        <f t="array" ref="B81">IFERROR(INDEX('07_Items'!$B$5:$B$198,MATCH($A81,'07_Items'!$A$5:$A$198,0)),"")</f>
        <v>Providing and placing crushed stones.</v>
      </c>
      <c r="C81" s="17" t="str">
        <f t="array" ref="C81">IFERROR(INDEX('07_Items'!$C$5:$C$198,MATCH($A81,'07_Items'!$A$5:$A$198,0)),"")</f>
        <v>cu.m</v>
      </c>
      <c r="D81" s="23">
        <f>IFERROR(SUMIFS('06_Road_Engine'!$E$46:$E$90,'06_Road_Engine'!$A$46:$A$90,$A81,'06_Road_Engine'!$D$46:$D$90,"EWKPVMT"),0)</f>
        <v>0</v>
      </c>
      <c r="E81" s="23">
        <f>IFERROR(SUMIFS('06_Road_Engine'!$E$46:$E$90,'06_Road_Engine'!$A$46:$A$90,$A81,'06_Road_Engine'!$D$46:$D$90,"DRAIN"),0)</f>
        <v>0</v>
      </c>
      <c r="F81" s="23">
        <f>SUMPRODUCT(('03_Pipe_Engine'!$Y$3:$BC$3=$A81)*'03_Pipe_Engine'!$Y$6:$BC$20)</f>
        <v>0</v>
      </c>
      <c r="G81" s="23">
        <f>SUMPRODUCT(('04_Box_Engine'!$G$3:$AC$3=$A81)*'04_Box_Engine'!$G$6:$AC$24)</f>
        <v>0</v>
      </c>
      <c r="H81" s="23">
        <v>0</v>
      </c>
      <c r="I81" s="32"/>
      <c r="J81" s="23">
        <f>ROUND(SUM(D81:I81),2)</f>
        <v>0</v>
      </c>
      <c r="K81" s="23">
        <f t="array" ref="K81">IFERROR(INDEX('08_Rates'!$D$5:$D$198,MATCH($A81,'08_Rates'!$A$5:$A$198,0)),0)</f>
        <v>620</v>
      </c>
      <c r="L81" s="23">
        <f>ROUND(J81*K81,2)</f>
        <v>0</v>
      </c>
    </row>
    <row r="82" spans="1:12" ht="15.75" customHeight="1" x14ac:dyDescent="0.3">
      <c r="A82" s="17" t="s">
        <v>2048</v>
      </c>
      <c r="B82" s="17" t="str">
        <f t="array" ref="B82">IFERROR(INDEX('07_Items'!$B$5:$B$198,MATCH($A82,'07_Items'!$A$5:$A$198,0)),"")</f>
        <v>Reinstatement of borrow pits</v>
      </c>
      <c r="C82" s="17" t="str">
        <f t="array" ref="C82">IFERROR(INDEX('07_Items'!$C$5:$C$198,MATCH($A82,'07_Items'!$A$5:$A$198,0)),"")</f>
        <v>sq.m</v>
      </c>
      <c r="D82" s="23">
        <f>IFERROR(SUMIFS('06_Road_Engine'!$E$46:$E$90,'06_Road_Engine'!$A$46:$A$90,$A82,'06_Road_Engine'!$D$46:$D$90,"EWKPVMT"),0)</f>
        <v>0</v>
      </c>
      <c r="E82" s="23">
        <f>IFERROR(SUMIFS('06_Road_Engine'!$E$46:$E$90,'06_Road_Engine'!$A$46:$A$90,$A82,'06_Road_Engine'!$D$46:$D$90,"DRAIN"),0)</f>
        <v>0</v>
      </c>
      <c r="F82" s="23">
        <f>SUMPRODUCT(('03_Pipe_Engine'!$Y$3:$BC$3=$A82)*'03_Pipe_Engine'!$Y$6:$BC$20)</f>
        <v>0</v>
      </c>
      <c r="G82" s="23">
        <f>SUMPRODUCT(('04_Box_Engine'!$G$3:$AC$3=$A82)*'04_Box_Engine'!$G$6:$AC$24)</f>
        <v>0</v>
      </c>
      <c r="H82" s="23">
        <v>0</v>
      </c>
      <c r="I82" s="32"/>
      <c r="J82" s="23">
        <f>ROUND(SUM(D82:I82),2)</f>
        <v>0</v>
      </c>
      <c r="K82" s="23">
        <f t="array" ref="K82">IFERROR(INDEX('08_Rates'!$D$5:$D$198,MATCH($A82,'08_Rates'!$A$5:$A$198,0)),0)</f>
        <v>1</v>
      </c>
      <c r="L82" s="23">
        <f>ROUND(J82*K82,2)</f>
        <v>0</v>
      </c>
    </row>
    <row r="83" spans="1:12" ht="15.75" customHeight="1" x14ac:dyDescent="0.3">
      <c r="B83" s="43" t="s">
        <v>2367</v>
      </c>
    </row>
    <row r="84" spans="1:12" ht="15.75" customHeight="1" x14ac:dyDescent="0.3">
      <c r="A84" s="17" t="s">
        <v>2050</v>
      </c>
      <c r="B84" s="17" t="str">
        <f t="array" ref="B84">IFERROR(INDEX('07_Items'!$B$5:$B$198,MATCH($A84,'07_Items'!$A$5:$A$198,0)),"")</f>
        <v>Haulage in excess of 1km for all items (0-20km).</v>
      </c>
      <c r="C84" s="17" t="str">
        <f t="array" ref="C84">IFERROR(INDEX('07_Items'!$C$5:$C$198,MATCH($A84,'07_Items'!$A$5:$A$198,0)),"")</f>
        <v>cu.m-km</v>
      </c>
      <c r="D84" s="23">
        <f>IFERROR(SUMIFS('06_Road_Engine'!$E$46:$E$90,'06_Road_Engine'!$A$46:$A$90,$A84,'06_Road_Engine'!$D$46:$D$90,"EWKPVMT"),0)</f>
        <v>0</v>
      </c>
      <c r="E84" s="23">
        <f>IFERROR(SUMIFS('06_Road_Engine'!$E$46:$E$90,'06_Road_Engine'!$A$46:$A$90,$A84,'06_Road_Engine'!$D$46:$D$90,"DRAIN"),0)</f>
        <v>0</v>
      </c>
      <c r="F84" s="23">
        <f>SUMPRODUCT(('03_Pipe_Engine'!$Y$3:$BC$3=$A84)*'03_Pipe_Engine'!$Y$6:$BC$20)</f>
        <v>0</v>
      </c>
      <c r="G84" s="23">
        <f>SUMPRODUCT(('04_Box_Engine'!$G$3:$AC$3=$A84)*'04_Box_Engine'!$G$6:$AC$24)</f>
        <v>0</v>
      </c>
      <c r="H84" s="23">
        <v>0</v>
      </c>
      <c r="I84" s="32"/>
      <c r="J84" s="23">
        <f>ROUND(SUM(D84:I84),2)</f>
        <v>0</v>
      </c>
      <c r="K84" s="23">
        <f t="array" ref="K84">IFERROR(INDEX('08_Rates'!$D$5:$D$198,MATCH($A84,'08_Rates'!$A$5:$A$198,0)),0)</f>
        <v>9</v>
      </c>
      <c r="L84" s="23">
        <f>ROUND(J84*K84,2)</f>
        <v>0</v>
      </c>
    </row>
    <row r="85" spans="1:12" ht="15.75" customHeight="1" x14ac:dyDescent="0.3">
      <c r="A85" s="17" t="s">
        <v>2053</v>
      </c>
      <c r="B85" s="17" t="str">
        <f t="array" ref="B85">IFERROR(INDEX('07_Items'!$B$5:$B$198,MATCH($A85,'07_Items'!$A$5:$A$198,0)),"")</f>
        <v>Haulage in excess of 1km for all items (20-100km).</v>
      </c>
      <c r="C85" s="17" t="str">
        <f t="array" ref="C85">IFERROR(INDEX('07_Items'!$C$5:$C$198,MATCH($A85,'07_Items'!$A$5:$A$198,0)),"")</f>
        <v>cu.m-km</v>
      </c>
      <c r="D85" s="23">
        <f>IFERROR(SUMIFS('06_Road_Engine'!$E$46:$E$90,'06_Road_Engine'!$A$46:$A$90,$A85,'06_Road_Engine'!$D$46:$D$90,"EWKPVMT"),0)</f>
        <v>0</v>
      </c>
      <c r="E85" s="23">
        <f>IFERROR(SUMIFS('06_Road_Engine'!$E$46:$E$90,'06_Road_Engine'!$A$46:$A$90,$A85,'06_Road_Engine'!$D$46:$D$90,"DRAIN"),0)</f>
        <v>0</v>
      </c>
      <c r="F85" s="23">
        <f>SUMPRODUCT(('03_Pipe_Engine'!$Y$3:$BC$3=$A85)*'03_Pipe_Engine'!$Y$6:$BC$20)</f>
        <v>0</v>
      </c>
      <c r="G85" s="23">
        <f>SUMPRODUCT(('04_Box_Engine'!$G$3:$AC$3=$A85)*'04_Box_Engine'!$G$6:$AC$24)</f>
        <v>0</v>
      </c>
      <c r="H85" s="23">
        <v>0</v>
      </c>
      <c r="I85" s="32"/>
      <c r="J85" s="23">
        <f>ROUND(SUM(D85:I85),2)</f>
        <v>0</v>
      </c>
      <c r="K85" s="23">
        <f t="array" ref="K85">IFERROR(INDEX('08_Rates'!$D$5:$D$198,MATCH($A85,'08_Rates'!$A$5:$A$198,0)),0)</f>
        <v>8.5</v>
      </c>
      <c r="L85" s="23">
        <f>ROUND(J85*K85,2)</f>
        <v>0</v>
      </c>
    </row>
    <row r="86" spans="1:12" ht="15.75" customHeight="1" x14ac:dyDescent="0.3">
      <c r="B86" s="43" t="s">
        <v>2368</v>
      </c>
    </row>
    <row r="87" spans="1:12" ht="15.75" customHeight="1" x14ac:dyDescent="0.3">
      <c r="A87" s="44"/>
      <c r="B87" s="45" t="s">
        <v>2369</v>
      </c>
      <c r="C87" s="44"/>
      <c r="D87" s="44"/>
      <c r="E87" s="44"/>
      <c r="F87" s="44"/>
      <c r="G87" s="44"/>
      <c r="H87" s="44"/>
      <c r="I87" s="44"/>
      <c r="J87" s="44"/>
      <c r="K87" s="44"/>
      <c r="L87" s="46">
        <f>SUM(L63:L86)</f>
        <v>0</v>
      </c>
    </row>
    <row r="88" spans="1:12" ht="15.75" customHeight="1" x14ac:dyDescent="0.3"/>
    <row r="89" spans="1:12" ht="15.75" customHeight="1" x14ac:dyDescent="0.3">
      <c r="A89" s="39" t="s">
        <v>2056</v>
      </c>
      <c r="B89" s="40"/>
      <c r="C89" s="40"/>
      <c r="D89" s="40"/>
      <c r="E89" s="40"/>
      <c r="F89" s="40"/>
      <c r="G89" s="40"/>
      <c r="H89" s="40"/>
      <c r="I89" s="40"/>
      <c r="J89" s="40"/>
      <c r="K89" s="40"/>
      <c r="L89" s="40"/>
    </row>
    <row r="90" spans="1:12" ht="15.75" customHeight="1" x14ac:dyDescent="0.3">
      <c r="A90" s="17"/>
      <c r="B90" s="17"/>
      <c r="C90" s="17"/>
      <c r="D90" s="23"/>
      <c r="E90" s="23"/>
      <c r="F90" s="23"/>
      <c r="G90" s="23"/>
      <c r="H90" s="23"/>
      <c r="I90" s="32"/>
      <c r="J90" s="23"/>
      <c r="K90" s="23"/>
      <c r="L90" s="23"/>
    </row>
    <row r="91" spans="1:12" ht="15.75" customHeight="1" x14ac:dyDescent="0.3">
      <c r="B91" s="43" t="s">
        <v>2370</v>
      </c>
    </row>
    <row r="92" spans="1:12" ht="15.75" customHeight="1" x14ac:dyDescent="0.3">
      <c r="A92" s="17" t="s">
        <v>1323</v>
      </c>
      <c r="B92" s="17" t="str">
        <f t="array" ref="B92">IFERROR(INDEX('07_Items'!$B$5:$B$198,MATCH($A92,'07_Items'!$A$5:$A$198,0)),"")</f>
        <v>Grade C10, cement to BS 12 or BS 146, 40 mm aggregate</v>
      </c>
      <c r="C92" s="17" t="str">
        <f t="array" ref="C92">IFERROR(INDEX('07_Items'!$C$5:$C$198,MATCH($A92,'07_Items'!$A$5:$A$198,0)),"")</f>
        <v>cu.m</v>
      </c>
      <c r="D92" s="23">
        <f>IFERROR(SUMIFS('06_Road_Engine'!$E$46:$E$90,'06_Road_Engine'!$A$46:$A$90,$A92,'06_Road_Engine'!$D$46:$D$90,"EWKPVMT"),0)</f>
        <v>0</v>
      </c>
      <c r="E92" s="23">
        <f>IFERROR(SUMIFS('06_Road_Engine'!$E$46:$E$90,'06_Road_Engine'!$A$46:$A$90,$A92,'06_Road_Engine'!$D$46:$D$90,"DRAIN"),0)</f>
        <v>0</v>
      </c>
      <c r="F92" s="23">
        <f>SUMPRODUCT(('03_Pipe_Engine'!$Y$3:$BC$3=$A92)*'03_Pipe_Engine'!$Y$6:$BC$20)</f>
        <v>0</v>
      </c>
      <c r="G92" s="23">
        <f>SUMPRODUCT(('04_Box_Engine'!$G$3:$AC$3=$A92)*'04_Box_Engine'!$G$6:$AC$24)</f>
        <v>0</v>
      </c>
      <c r="H92" s="23">
        <v>0</v>
      </c>
      <c r="I92" s="32"/>
      <c r="J92" s="23">
        <f t="shared" ref="J92:J97" si="6">ROUND(SUM(D92:I92),2)</f>
        <v>0</v>
      </c>
      <c r="K92" s="23">
        <f t="array" ref="K92">IFERROR(INDEX('08_Rates'!$D$5:$D$198,MATCH($A92,'08_Rates'!$A$5:$A$198,0)),0)</f>
        <v>1450</v>
      </c>
      <c r="L92" s="23">
        <f t="shared" ref="L92:L97" si="7">ROUND(J92*K92,2)</f>
        <v>0</v>
      </c>
    </row>
    <row r="93" spans="1:12" ht="15.75" customHeight="1" x14ac:dyDescent="0.3">
      <c r="A93" s="17" t="s">
        <v>1325</v>
      </c>
      <c r="B93" s="17" t="str">
        <f t="array" ref="B93">IFERROR(INDEX('07_Items'!$B$5:$B$198,MATCH($A93,'07_Items'!$A$5:$A$198,0)),"")</f>
        <v>Grade C25, cement to BS 12 or BS 146, 20 mm aggregate</v>
      </c>
      <c r="C93" s="17" t="str">
        <f t="array" ref="C93">IFERROR(INDEX('07_Items'!$C$5:$C$198,MATCH($A93,'07_Items'!$A$5:$A$198,0)),"")</f>
        <v>cu.m</v>
      </c>
      <c r="D93" s="23">
        <f>IFERROR(SUMIFS('06_Road_Engine'!$E$46:$E$90,'06_Road_Engine'!$A$46:$A$90,$A93,'06_Road_Engine'!$D$46:$D$90,"EWKPVMT"),0)</f>
        <v>0</v>
      </c>
      <c r="E93" s="23">
        <f>IFERROR(SUMIFS('06_Road_Engine'!$E$46:$E$90,'06_Road_Engine'!$A$46:$A$90,$A93,'06_Road_Engine'!$D$46:$D$90,"DRAIN"),0)</f>
        <v>0</v>
      </c>
      <c r="F93" s="23">
        <f>SUMPRODUCT(('03_Pipe_Engine'!$Y$3:$BC$3=$A93)*'03_Pipe_Engine'!$Y$6:$BC$20)</f>
        <v>0</v>
      </c>
      <c r="G93" s="23">
        <f>SUMPRODUCT(('04_Box_Engine'!$G$3:$AC$3=$A93)*'04_Box_Engine'!$G$6:$AC$24)</f>
        <v>0</v>
      </c>
      <c r="H93" s="23">
        <v>0</v>
      </c>
      <c r="I93" s="32"/>
      <c r="J93" s="23">
        <f t="shared" si="6"/>
        <v>0</v>
      </c>
      <c r="K93" s="23">
        <f t="array" ref="K93">IFERROR(INDEX('08_Rates'!$D$5:$D$198,MATCH($A93,'08_Rates'!$A$5:$A$198,0)),0)</f>
        <v>1650</v>
      </c>
      <c r="L93" s="23">
        <f t="shared" si="7"/>
        <v>0</v>
      </c>
    </row>
    <row r="94" spans="1:12" ht="15.75" customHeight="1" x14ac:dyDescent="0.3">
      <c r="A94" s="17" t="s">
        <v>1455</v>
      </c>
      <c r="B94" s="17" t="str">
        <f t="array" ref="B94">IFERROR(INDEX('07_Items'!$B$5:$B$198,MATCH($A94,'07_Items'!$A$5:$A$198,0)),"")</f>
        <v>Grade C30, cement to BS 12 or BS 146, 20 mm aggregate</v>
      </c>
      <c r="C94" s="17" t="str">
        <f t="array" ref="C94">IFERROR(INDEX('07_Items'!$C$5:$C$198,MATCH($A94,'07_Items'!$A$5:$A$198,0)),"")</f>
        <v>cu.m</v>
      </c>
      <c r="D94" s="23">
        <f>IFERROR(SUMIFS('06_Road_Engine'!$E$46:$E$90,'06_Road_Engine'!$A$46:$A$90,$A94,'06_Road_Engine'!$D$46:$D$90,"EWKPVMT"),0)</f>
        <v>0</v>
      </c>
      <c r="E94" s="23">
        <f>IFERROR(SUMIFS('06_Road_Engine'!$E$46:$E$90,'06_Road_Engine'!$A$46:$A$90,$A94,'06_Road_Engine'!$D$46:$D$90,"DRAIN"),0)</f>
        <v>0</v>
      </c>
      <c r="F94" s="23">
        <f>SUMPRODUCT(('03_Pipe_Engine'!$Y$3:$BC$3=$A94)*'03_Pipe_Engine'!$Y$6:$BC$20)</f>
        <v>0</v>
      </c>
      <c r="G94" s="23">
        <f>SUMPRODUCT(('04_Box_Engine'!$G$3:$AC$3=$A94)*'04_Box_Engine'!$G$6:$AC$24)</f>
        <v>0</v>
      </c>
      <c r="H94" s="23">
        <v>0</v>
      </c>
      <c r="I94" s="32"/>
      <c r="J94" s="23">
        <f t="shared" si="6"/>
        <v>0</v>
      </c>
      <c r="K94" s="23">
        <f t="array" ref="K94">IFERROR(INDEX('08_Rates'!$D$5:$D$198,MATCH($A94,'08_Rates'!$A$5:$A$198,0)),0)</f>
        <v>2200</v>
      </c>
      <c r="L94" s="23">
        <f t="shared" si="7"/>
        <v>0</v>
      </c>
    </row>
    <row r="95" spans="1:12" ht="15.75" customHeight="1" x14ac:dyDescent="0.3">
      <c r="A95" s="17" t="s">
        <v>1350</v>
      </c>
      <c r="B95" s="17" t="str">
        <f t="array" ref="B95">IFERROR(INDEX('07_Items'!$B$5:$B$198,MATCH($A95,'07_Items'!$A$5:$A$198,0)),"")</f>
        <v>Haulage of aggregate in excess of 1km (0 - 20km)</v>
      </c>
      <c r="C95" s="17" t="str">
        <f t="array" ref="C95">IFERROR(INDEX('07_Items'!$C$5:$C$198,MATCH($A95,'07_Items'!$A$5:$A$198,0)),"")</f>
        <v>cu.m-km</v>
      </c>
      <c r="D95" s="23">
        <f>IFERROR(SUMIFS('06_Road_Engine'!$E$46:$E$90,'06_Road_Engine'!$A$46:$A$90,$A95,'06_Road_Engine'!$D$46:$D$90,"EWKPVMT"),0)</f>
        <v>0</v>
      </c>
      <c r="E95" s="23">
        <f>IFERROR(SUMIFS('06_Road_Engine'!$E$46:$E$90,'06_Road_Engine'!$A$46:$A$90,$A95,'06_Road_Engine'!$D$46:$D$90,"DRAIN"),0)</f>
        <v>0</v>
      </c>
      <c r="F95" s="23">
        <f>SUMPRODUCT(('03_Pipe_Engine'!$Y$3:$BC$3=$A95)*'03_Pipe_Engine'!$Y$6:$BC$20)</f>
        <v>0</v>
      </c>
      <c r="G95" s="23">
        <f>SUMPRODUCT(('04_Box_Engine'!$G$3:$AC$3=$A95)*'04_Box_Engine'!$G$6:$AC$24)</f>
        <v>0</v>
      </c>
      <c r="H95" s="23">
        <v>0</v>
      </c>
      <c r="I95" s="32"/>
      <c r="J95" s="23">
        <f t="shared" si="6"/>
        <v>0</v>
      </c>
      <c r="K95" s="23">
        <f t="array" ref="K95">IFERROR(INDEX('08_Rates'!$D$5:$D$198,MATCH($A95,'08_Rates'!$A$5:$A$198,0)),0)</f>
        <v>9</v>
      </c>
      <c r="L95" s="23">
        <f t="shared" si="7"/>
        <v>0</v>
      </c>
    </row>
    <row r="96" spans="1:12" ht="15.75" customHeight="1" x14ac:dyDescent="0.3">
      <c r="A96" s="17" t="s">
        <v>1351</v>
      </c>
      <c r="B96" s="17" t="str">
        <f t="array" ref="B96">IFERROR(INDEX('07_Items'!$B$5:$B$198,MATCH($A96,'07_Items'!$A$5:$A$198,0)),"")</f>
        <v>Haulage of aggregate in excess of 1km (20 - 100km)</v>
      </c>
      <c r="C96" s="17" t="str">
        <f t="array" ref="C96">IFERROR(INDEX('07_Items'!$C$5:$C$198,MATCH($A96,'07_Items'!$A$5:$A$198,0)),"")</f>
        <v>cu.m-km</v>
      </c>
      <c r="D96" s="23">
        <f>IFERROR(SUMIFS('06_Road_Engine'!$E$46:$E$90,'06_Road_Engine'!$A$46:$A$90,$A96,'06_Road_Engine'!$D$46:$D$90,"EWKPVMT"),0)</f>
        <v>0</v>
      </c>
      <c r="E96" s="23">
        <f>IFERROR(SUMIFS('06_Road_Engine'!$E$46:$E$90,'06_Road_Engine'!$A$46:$A$90,$A96,'06_Road_Engine'!$D$46:$D$90,"DRAIN"),0)</f>
        <v>0</v>
      </c>
      <c r="F96" s="23">
        <f>SUMPRODUCT(('03_Pipe_Engine'!$Y$3:$BC$3=$A96)*'03_Pipe_Engine'!$Y$6:$BC$20)</f>
        <v>0</v>
      </c>
      <c r="G96" s="23">
        <f>SUMPRODUCT(('04_Box_Engine'!$G$3:$AC$3=$A96)*'04_Box_Engine'!$G$6:$AC$24)</f>
        <v>0</v>
      </c>
      <c r="H96" s="23">
        <v>0</v>
      </c>
      <c r="I96" s="32"/>
      <c r="J96" s="23">
        <f t="shared" si="6"/>
        <v>0</v>
      </c>
      <c r="K96" s="23">
        <f t="array" ref="K96">IFERROR(INDEX('08_Rates'!$D$5:$D$198,MATCH($A96,'08_Rates'!$A$5:$A$198,0)),0)</f>
        <v>8.5</v>
      </c>
      <c r="L96" s="23">
        <f t="shared" si="7"/>
        <v>0</v>
      </c>
    </row>
    <row r="97" spans="1:12" ht="15.75" customHeight="1" x14ac:dyDescent="0.3">
      <c r="A97" s="17" t="s">
        <v>2061</v>
      </c>
      <c r="B97" s="17" t="str">
        <f t="array" ref="B97">IFERROR(INDEX('07_Items'!$B$5:$B$198,MATCH($A97,'07_Items'!$A$5:$A$198,0)),"")</f>
        <v>Haulage of aggregate in excess of 1km (100 - 200km)</v>
      </c>
      <c r="C97" s="17" t="str">
        <f t="array" ref="C97">IFERROR(INDEX('07_Items'!$C$5:$C$198,MATCH($A97,'07_Items'!$A$5:$A$198,0)),"")</f>
        <v>cu.m-km</v>
      </c>
      <c r="D97" s="23">
        <f>IFERROR(SUMIFS('06_Road_Engine'!$E$46:$E$90,'06_Road_Engine'!$A$46:$A$90,$A97,'06_Road_Engine'!$D$46:$D$90,"EWKPVMT"),0)</f>
        <v>0</v>
      </c>
      <c r="E97" s="23">
        <f>IFERROR(SUMIFS('06_Road_Engine'!$E$46:$E$90,'06_Road_Engine'!$A$46:$A$90,$A97,'06_Road_Engine'!$D$46:$D$90,"DRAIN"),0)</f>
        <v>0</v>
      </c>
      <c r="F97" s="23">
        <f>SUMPRODUCT(('03_Pipe_Engine'!$Y$3:$BC$3=$A97)*'03_Pipe_Engine'!$Y$6:$BC$20)</f>
        <v>0</v>
      </c>
      <c r="G97" s="23">
        <f>SUMPRODUCT(('04_Box_Engine'!$G$3:$AC$3=$A97)*'04_Box_Engine'!$G$6:$AC$24)</f>
        <v>0</v>
      </c>
      <c r="H97" s="23">
        <v>0</v>
      </c>
      <c r="I97" s="32"/>
      <c r="J97" s="23">
        <f t="shared" si="6"/>
        <v>0</v>
      </c>
      <c r="K97" s="23">
        <f t="array" ref="K97">IFERROR(INDEX('08_Rates'!$D$5:$D$198,MATCH($A97,'08_Rates'!$A$5:$A$198,0)),0)</f>
        <v>8</v>
      </c>
      <c r="L97" s="23">
        <f t="shared" si="7"/>
        <v>0</v>
      </c>
    </row>
    <row r="98" spans="1:12" ht="15.75" customHeight="1" x14ac:dyDescent="0.3">
      <c r="B98" s="43" t="s">
        <v>2371</v>
      </c>
    </row>
    <row r="99" spans="1:12" ht="15.75" customHeight="1" x14ac:dyDescent="0.3">
      <c r="A99" s="17" t="s">
        <v>1324</v>
      </c>
      <c r="B99" s="17" t="str">
        <f t="array" ref="B99">IFERROR(INDEX('07_Items'!$B$5:$B$198,MATCH($A99,'07_Items'!$A$5:$A$198,0)),"")</f>
        <v>Mass lean concrete in 50mm thick blinding layer.</v>
      </c>
      <c r="C99" s="17" t="str">
        <f t="array" ref="C99">IFERROR(INDEX('07_Items'!$C$5:$C$198,MATCH($A99,'07_Items'!$A$5:$A$198,0)),"")</f>
        <v>cu.m</v>
      </c>
      <c r="D99" s="23">
        <f>IFERROR(SUMIFS('06_Road_Engine'!$E$46:$E$90,'06_Road_Engine'!$A$46:$A$90,$A99,'06_Road_Engine'!$D$46:$D$90,"EWKPVMT"),0)</f>
        <v>0</v>
      </c>
      <c r="E99" s="23">
        <f>IFERROR(SUMIFS('06_Road_Engine'!$E$46:$E$90,'06_Road_Engine'!$A$46:$A$90,$A99,'06_Road_Engine'!$D$46:$D$90,"DRAIN"),0)</f>
        <v>0</v>
      </c>
      <c r="F99" s="23">
        <f>SUMPRODUCT(('03_Pipe_Engine'!$Y$3:$BC$3=$A99)*'03_Pipe_Engine'!$Y$6:$BC$20)</f>
        <v>0</v>
      </c>
      <c r="G99" s="23">
        <f>SUMPRODUCT(('04_Box_Engine'!$G$3:$AC$3=$A99)*'04_Box_Engine'!$G$6:$AC$24)</f>
        <v>0</v>
      </c>
      <c r="H99" s="23">
        <v>0</v>
      </c>
      <c r="I99" s="32"/>
      <c r="J99" s="23">
        <f>ROUND(SUM(D99:I99),2)</f>
        <v>0</v>
      </c>
      <c r="K99" s="23">
        <f t="array" ref="K99">IFERROR(INDEX('08_Rates'!$D$5:$D$198,MATCH($A99,'08_Rates'!$A$5:$A$198,0)),0)</f>
        <v>400</v>
      </c>
      <c r="L99" s="23">
        <f>ROUND(J99*K99,2)</f>
        <v>0</v>
      </c>
    </row>
    <row r="100" spans="1:12" ht="15.75" customHeight="1" x14ac:dyDescent="0.3">
      <c r="A100" s="17" t="s">
        <v>1326</v>
      </c>
      <c r="B100" s="17" t="str">
        <f t="array" ref="B100">IFERROR(INDEX('07_Items'!$B$5:$B$198,MATCH($A100,'07_Items'!$A$5:$A$198,0)),"")</f>
        <v>Bases, footings, aprons and ground slabs, thickness 150mm</v>
      </c>
      <c r="C100" s="17" t="str">
        <f t="array" ref="C100">IFERROR(INDEX('07_Items'!$C$5:$C$198,MATCH($A100,'07_Items'!$A$5:$A$198,0)),"")</f>
        <v>Cu.m</v>
      </c>
      <c r="D100" s="23">
        <f>IFERROR(SUMIFS('06_Road_Engine'!$E$46:$E$90,'06_Road_Engine'!$A$46:$A$90,$A100,'06_Road_Engine'!$D$46:$D$90,"EWKPVMT"),0)</f>
        <v>0</v>
      </c>
      <c r="E100" s="23">
        <f>IFERROR(SUMIFS('06_Road_Engine'!$E$46:$E$90,'06_Road_Engine'!$A$46:$A$90,$A100,'06_Road_Engine'!$D$46:$D$90,"DRAIN"),0)</f>
        <v>0</v>
      </c>
      <c r="F100" s="23">
        <f>SUMPRODUCT(('03_Pipe_Engine'!$Y$3:$BC$3=$A100)*'03_Pipe_Engine'!$Y$6:$BC$20)</f>
        <v>0</v>
      </c>
      <c r="G100" s="23">
        <f>SUMPRODUCT(('04_Box_Engine'!$G$3:$AC$3=$A100)*'04_Box_Engine'!$G$6:$AC$24)</f>
        <v>0</v>
      </c>
      <c r="H100" s="23">
        <v>0</v>
      </c>
      <c r="I100" s="32"/>
      <c r="J100" s="23">
        <f>ROUND(SUM(D100:I100),2)</f>
        <v>0</v>
      </c>
      <c r="K100" s="23">
        <f t="array" ref="K100">IFERROR(INDEX('08_Rates'!$D$5:$D$198,MATCH($A100,'08_Rates'!$A$5:$A$198,0)),0)</f>
        <v>450</v>
      </c>
      <c r="L100" s="23">
        <f>ROUND(J100*K100,2)</f>
        <v>0</v>
      </c>
    </row>
    <row r="101" spans="1:12" ht="15.75" customHeight="1" x14ac:dyDescent="0.3">
      <c r="A101" s="17" t="s">
        <v>1327</v>
      </c>
      <c r="B101" s="17" t="str">
        <f t="array" ref="B101">IFERROR(INDEX('07_Items'!$B$5:$B$198,MATCH($A101,'07_Items'!$A$5:$A$198,0)),"")</f>
        <v>Apron and walls thickness 150-300mm</v>
      </c>
      <c r="C101" s="17" t="str">
        <f t="array" ref="C101">IFERROR(INDEX('07_Items'!$C$5:$C$198,MATCH($A101,'07_Items'!$A$5:$A$198,0)),"")</f>
        <v>Cu.m</v>
      </c>
      <c r="D101" s="23">
        <f>IFERROR(SUMIFS('06_Road_Engine'!$E$46:$E$90,'06_Road_Engine'!$A$46:$A$90,$A101,'06_Road_Engine'!$D$46:$D$90,"EWKPVMT"),0)</f>
        <v>0</v>
      </c>
      <c r="E101" s="23">
        <f>IFERROR(SUMIFS('06_Road_Engine'!$E$46:$E$90,'06_Road_Engine'!$A$46:$A$90,$A101,'06_Road_Engine'!$D$46:$D$90,"DRAIN"),0)</f>
        <v>0</v>
      </c>
      <c r="F101" s="23">
        <f>SUMPRODUCT(('03_Pipe_Engine'!$Y$3:$BC$3=$A101)*'03_Pipe_Engine'!$Y$6:$BC$20)</f>
        <v>0</v>
      </c>
      <c r="G101" s="23">
        <f>SUMPRODUCT(('04_Box_Engine'!$G$3:$AC$3=$A101)*'04_Box_Engine'!$G$6:$AC$24)</f>
        <v>0</v>
      </c>
      <c r="H101" s="23">
        <v>0</v>
      </c>
      <c r="I101" s="32"/>
      <c r="J101" s="23">
        <f>ROUND(SUM(D101:I101),2)</f>
        <v>0</v>
      </c>
      <c r="K101" s="23">
        <f t="array" ref="K101">IFERROR(INDEX('08_Rates'!$D$5:$D$198,MATCH($A101,'08_Rates'!$A$5:$A$198,0)),0)</f>
        <v>450</v>
      </c>
      <c r="L101" s="23">
        <f>ROUND(J101*K101,2)</f>
        <v>0</v>
      </c>
    </row>
    <row r="102" spans="1:12" ht="15.75" customHeight="1" x14ac:dyDescent="0.3">
      <c r="B102" s="43" t="s">
        <v>2372</v>
      </c>
    </row>
    <row r="103" spans="1:12" ht="15.75" customHeight="1" x14ac:dyDescent="0.3">
      <c r="A103" s="17" t="s">
        <v>1439</v>
      </c>
      <c r="B103" s="17" t="str">
        <f t="array" ref="B103">IFERROR(INDEX('07_Items'!$B$5:$B$198,MATCH($A103,'07_Items'!$A$5:$A$198,0)),"")</f>
        <v>Bases, footings, aprons and ground slabs, thickness 150-300mm</v>
      </c>
      <c r="C103" s="17" t="str">
        <f t="array" ref="C103">IFERROR(INDEX('07_Items'!$C$5:$C$198,MATCH($A103,'07_Items'!$A$5:$A$198,0)),"")</f>
        <v>cu.m</v>
      </c>
      <c r="D103" s="23">
        <f>IFERROR(SUMIFS('06_Road_Engine'!$E$46:$E$90,'06_Road_Engine'!$A$46:$A$90,$A103,'06_Road_Engine'!$D$46:$D$90,"EWKPVMT"),0)</f>
        <v>0</v>
      </c>
      <c r="E103" s="23">
        <f>IFERROR(SUMIFS('06_Road_Engine'!$E$46:$E$90,'06_Road_Engine'!$A$46:$A$90,$A103,'06_Road_Engine'!$D$46:$D$90,"DRAIN"),0)</f>
        <v>0</v>
      </c>
      <c r="F103" s="23">
        <f>SUMPRODUCT(('03_Pipe_Engine'!$Y$3:$BC$3=$A103)*'03_Pipe_Engine'!$Y$6:$BC$20)</f>
        <v>0</v>
      </c>
      <c r="G103" s="23">
        <f>SUMPRODUCT(('04_Box_Engine'!$G$3:$AC$3=$A103)*'04_Box_Engine'!$G$6:$AC$24)</f>
        <v>0</v>
      </c>
      <c r="H103" s="23">
        <v>0</v>
      </c>
      <c r="I103" s="32"/>
      <c r="J103" s="23">
        <f t="shared" ref="J103:J108" si="8">ROUND(SUM(D103:I103),2)</f>
        <v>0</v>
      </c>
      <c r="K103" s="23">
        <f t="array" ref="K103">IFERROR(INDEX('08_Rates'!$D$5:$D$198,MATCH($A103,'08_Rates'!$A$5:$A$198,0)),0)</f>
        <v>660</v>
      </c>
      <c r="L103" s="23">
        <f t="shared" ref="L103:L108" si="9">ROUND(J103*K103,2)</f>
        <v>0</v>
      </c>
    </row>
    <row r="104" spans="1:12" ht="15.75" customHeight="1" x14ac:dyDescent="0.3">
      <c r="A104" s="17" t="s">
        <v>1440</v>
      </c>
      <c r="B104" s="17" t="str">
        <f t="array" ref="B104">IFERROR(INDEX('07_Items'!$B$5:$B$198,MATCH($A104,'07_Items'!$A$5:$A$198,0)),"")</f>
        <v>Bases, footings, aprons and ground slabs, thickness 300-500mm</v>
      </c>
      <c r="C104" s="17" t="str">
        <f t="array" ref="C104">IFERROR(INDEX('07_Items'!$C$5:$C$198,MATCH($A104,'07_Items'!$A$5:$A$198,0)),"")</f>
        <v>cu.m</v>
      </c>
      <c r="D104" s="23">
        <f>IFERROR(SUMIFS('06_Road_Engine'!$E$46:$E$90,'06_Road_Engine'!$A$46:$A$90,$A104,'06_Road_Engine'!$D$46:$D$90,"EWKPVMT"),0)</f>
        <v>0</v>
      </c>
      <c r="E104" s="23">
        <f>IFERROR(SUMIFS('06_Road_Engine'!$E$46:$E$90,'06_Road_Engine'!$A$46:$A$90,$A104,'06_Road_Engine'!$D$46:$D$90,"DRAIN"),0)</f>
        <v>0</v>
      </c>
      <c r="F104" s="23">
        <f>SUMPRODUCT(('03_Pipe_Engine'!$Y$3:$BC$3=$A104)*'03_Pipe_Engine'!$Y$6:$BC$20)</f>
        <v>0</v>
      </c>
      <c r="G104" s="23">
        <f>SUMPRODUCT(('04_Box_Engine'!$G$3:$AC$3=$A104)*'04_Box_Engine'!$G$6:$AC$24)</f>
        <v>0</v>
      </c>
      <c r="H104" s="23">
        <v>0</v>
      </c>
      <c r="I104" s="32"/>
      <c r="J104" s="23">
        <f t="shared" si="8"/>
        <v>0</v>
      </c>
      <c r="K104" s="23">
        <f t="array" ref="K104">IFERROR(INDEX('08_Rates'!$D$5:$D$198,MATCH($A104,'08_Rates'!$A$5:$A$198,0)),0)</f>
        <v>660</v>
      </c>
      <c r="L104" s="23">
        <f t="shared" si="9"/>
        <v>0</v>
      </c>
    </row>
    <row r="105" spans="1:12" ht="15.75" customHeight="1" x14ac:dyDescent="0.3">
      <c r="A105" s="17" t="s">
        <v>1441</v>
      </c>
      <c r="B105" s="17" t="str">
        <f t="array" ref="B105">IFERROR(INDEX('07_Items'!$B$5:$B$198,MATCH($A105,'07_Items'!$A$5:$A$198,0)),"")</f>
        <v>Suspended slab, thickness 150-300mm</v>
      </c>
      <c r="C105" s="17" t="str">
        <f t="array" ref="C105">IFERROR(INDEX('07_Items'!$C$5:$C$198,MATCH($A105,'07_Items'!$A$5:$A$198,0)),"")</f>
        <v>cu.m</v>
      </c>
      <c r="D105" s="23">
        <f>IFERROR(SUMIFS('06_Road_Engine'!$E$46:$E$90,'06_Road_Engine'!$A$46:$A$90,$A105,'06_Road_Engine'!$D$46:$D$90,"EWKPVMT"),0)</f>
        <v>0</v>
      </c>
      <c r="E105" s="23">
        <f>IFERROR(SUMIFS('06_Road_Engine'!$E$46:$E$90,'06_Road_Engine'!$A$46:$A$90,$A105,'06_Road_Engine'!$D$46:$D$90,"DRAIN"),0)</f>
        <v>0</v>
      </c>
      <c r="F105" s="23">
        <f>SUMPRODUCT(('03_Pipe_Engine'!$Y$3:$BC$3=$A105)*'03_Pipe_Engine'!$Y$6:$BC$20)</f>
        <v>0</v>
      </c>
      <c r="G105" s="23">
        <f>SUMPRODUCT(('04_Box_Engine'!$G$3:$AC$3=$A105)*'04_Box_Engine'!$G$6:$AC$24)</f>
        <v>0</v>
      </c>
      <c r="H105" s="23">
        <v>0</v>
      </c>
      <c r="I105" s="32"/>
      <c r="J105" s="23">
        <f t="shared" si="8"/>
        <v>0</v>
      </c>
      <c r="K105" s="23">
        <f t="array" ref="K105">IFERROR(INDEX('08_Rates'!$D$5:$D$198,MATCH($A105,'08_Rates'!$A$5:$A$198,0)),0)</f>
        <v>660</v>
      </c>
      <c r="L105" s="23">
        <f t="shared" si="9"/>
        <v>0</v>
      </c>
    </row>
    <row r="106" spans="1:12" ht="15.75" customHeight="1" x14ac:dyDescent="0.3">
      <c r="A106" s="17" t="s">
        <v>1442</v>
      </c>
      <c r="B106" s="17" t="str">
        <f t="array" ref="B106">IFERROR(INDEX('07_Items'!$B$5:$B$198,MATCH($A106,'07_Items'!$A$5:$A$198,0)),"")</f>
        <v>Suspended slab, thickness 300-500mm</v>
      </c>
      <c r="C106" s="17" t="str">
        <f t="array" ref="C106">IFERROR(INDEX('07_Items'!$C$5:$C$198,MATCH($A106,'07_Items'!$A$5:$A$198,0)),"")</f>
        <v>cu.m</v>
      </c>
      <c r="D106" s="23">
        <f>IFERROR(SUMIFS('06_Road_Engine'!$E$46:$E$90,'06_Road_Engine'!$A$46:$A$90,$A106,'06_Road_Engine'!$D$46:$D$90,"EWKPVMT"),0)</f>
        <v>0</v>
      </c>
      <c r="E106" s="23">
        <f>IFERROR(SUMIFS('06_Road_Engine'!$E$46:$E$90,'06_Road_Engine'!$A$46:$A$90,$A106,'06_Road_Engine'!$D$46:$D$90,"DRAIN"),0)</f>
        <v>0</v>
      </c>
      <c r="F106" s="23">
        <f>SUMPRODUCT(('03_Pipe_Engine'!$Y$3:$BC$3=$A106)*'03_Pipe_Engine'!$Y$6:$BC$20)</f>
        <v>0</v>
      </c>
      <c r="G106" s="23">
        <f>SUMPRODUCT(('04_Box_Engine'!$G$3:$AC$3=$A106)*'04_Box_Engine'!$G$6:$AC$24)</f>
        <v>0</v>
      </c>
      <c r="H106" s="23">
        <v>0</v>
      </c>
      <c r="I106" s="32"/>
      <c r="J106" s="23">
        <f t="shared" si="8"/>
        <v>0</v>
      </c>
      <c r="K106" s="23">
        <f t="array" ref="K106">IFERROR(INDEX('08_Rates'!$D$5:$D$198,MATCH($A106,'08_Rates'!$A$5:$A$198,0)),0)</f>
        <v>660</v>
      </c>
      <c r="L106" s="23">
        <f t="shared" si="9"/>
        <v>0</v>
      </c>
    </row>
    <row r="107" spans="1:12" ht="15.75" customHeight="1" x14ac:dyDescent="0.3">
      <c r="A107" s="17" t="s">
        <v>1443</v>
      </c>
      <c r="B107" s="17" t="str">
        <f t="array" ref="B107">IFERROR(INDEX('07_Items'!$B$5:$B$198,MATCH($A107,'07_Items'!$A$5:$A$198,0)),"")</f>
        <v>Walls, thickness 150-300mm</v>
      </c>
      <c r="C107" s="17" t="str">
        <f t="array" ref="C107">IFERROR(INDEX('07_Items'!$C$5:$C$198,MATCH($A107,'07_Items'!$A$5:$A$198,0)),"")</f>
        <v>cu.m</v>
      </c>
      <c r="D107" s="23">
        <f>IFERROR(SUMIFS('06_Road_Engine'!$E$46:$E$90,'06_Road_Engine'!$A$46:$A$90,$A107,'06_Road_Engine'!$D$46:$D$90,"EWKPVMT"),0)</f>
        <v>0</v>
      </c>
      <c r="E107" s="23">
        <f>IFERROR(SUMIFS('06_Road_Engine'!$E$46:$E$90,'06_Road_Engine'!$A$46:$A$90,$A107,'06_Road_Engine'!$D$46:$D$90,"DRAIN"),0)</f>
        <v>0</v>
      </c>
      <c r="F107" s="23">
        <f>SUMPRODUCT(('03_Pipe_Engine'!$Y$3:$BC$3=$A107)*'03_Pipe_Engine'!$Y$6:$BC$20)</f>
        <v>0</v>
      </c>
      <c r="G107" s="23">
        <f t="array" ref="G107">SUMPRODUCT(('04_Box_Engine'!$G$3:$AC$3=$A107)*'04_Box_Engine'!$G$6:$AC$19)</f>
        <v>0</v>
      </c>
      <c r="H107" s="23">
        <v>0</v>
      </c>
      <c r="I107" s="32"/>
      <c r="J107" s="23">
        <f t="shared" si="8"/>
        <v>0</v>
      </c>
      <c r="K107" s="23">
        <f t="array" ref="K107">IFERROR(INDEX('08_Rates'!$D$5:$D$198,MATCH($A107,'08_Rates'!$A$5:$A$198,0)),0)</f>
        <v>660</v>
      </c>
      <c r="L107" s="23">
        <f t="shared" si="9"/>
        <v>0</v>
      </c>
    </row>
    <row r="108" spans="1:12" ht="15.75" customHeight="1" x14ac:dyDescent="0.3">
      <c r="A108" s="17" t="s">
        <v>1444</v>
      </c>
      <c r="B108" s="17" t="str">
        <f t="array" ref="B108">IFERROR(INDEX('07_Items'!$B$5:$B$198,MATCH($A108,'07_Items'!$A$5:$A$198,0)),"")</f>
        <v>Walls, thickness 300-500mm</v>
      </c>
      <c r="C108" s="17" t="str">
        <f t="array" ref="C108">IFERROR(INDEX('07_Items'!$C$5:$C$198,MATCH($A108,'07_Items'!$A$5:$A$198,0)),"")</f>
        <v>cu.m</v>
      </c>
      <c r="D108" s="23">
        <f>IFERROR(SUMIFS('06_Road_Engine'!$E$46:$E$90,'06_Road_Engine'!$A$46:$A$90,$A108,'06_Road_Engine'!$D$46:$D$90,"EWKPVMT"),0)</f>
        <v>0</v>
      </c>
      <c r="E108" s="23">
        <f>IFERROR(SUMIFS('06_Road_Engine'!$E$46:$E$90,'06_Road_Engine'!$A$46:$A$90,$A108,'06_Road_Engine'!$D$46:$D$90,"DRAIN"),0)</f>
        <v>0</v>
      </c>
      <c r="F108" s="23">
        <f>SUMPRODUCT(('03_Pipe_Engine'!$Y$3:$BC$3=$A108)*'03_Pipe_Engine'!$Y$6:$BC$20)</f>
        <v>0</v>
      </c>
      <c r="G108" s="23">
        <f>SUMPRODUCT(('04_Box_Engine'!$G$3:$AC$3=$A108)*'04_Box_Engine'!$G$6:$AC$24)</f>
        <v>0</v>
      </c>
      <c r="H108" s="23">
        <v>0</v>
      </c>
      <c r="I108" s="32"/>
      <c r="J108" s="23">
        <f t="shared" si="8"/>
        <v>0</v>
      </c>
      <c r="K108" s="23">
        <f t="array" ref="K108">IFERROR(INDEX('08_Rates'!$D$5:$D$198,MATCH($A108,'08_Rates'!$A$5:$A$198,0)),0)</f>
        <v>660</v>
      </c>
      <c r="L108" s="23">
        <f t="shared" si="9"/>
        <v>0</v>
      </c>
    </row>
    <row r="109" spans="1:12" ht="15.75" customHeight="1" x14ac:dyDescent="0.3">
      <c r="B109" s="43" t="s">
        <v>2373</v>
      </c>
    </row>
    <row r="110" spans="1:12" ht="15.75" customHeight="1" x14ac:dyDescent="0.3">
      <c r="A110" s="44"/>
      <c r="B110" s="45" t="s">
        <v>2374</v>
      </c>
      <c r="C110" s="44"/>
      <c r="D110" s="44"/>
      <c r="E110" s="44"/>
      <c r="F110" s="44"/>
      <c r="G110" s="44"/>
      <c r="H110" s="44"/>
      <c r="I110" s="44"/>
      <c r="J110" s="44"/>
      <c r="K110" s="44"/>
      <c r="L110" s="46">
        <f>SUM(L90:L109)</f>
        <v>0</v>
      </c>
    </row>
    <row r="111" spans="1:12" ht="15.75" customHeight="1" x14ac:dyDescent="0.3"/>
    <row r="112" spans="1:12" ht="15.75" customHeight="1" x14ac:dyDescent="0.3">
      <c r="A112" s="39" t="s">
        <v>2074</v>
      </c>
      <c r="B112" s="40"/>
      <c r="C112" s="40"/>
      <c r="D112" s="40"/>
      <c r="E112" s="40"/>
      <c r="F112" s="40"/>
      <c r="G112" s="40"/>
      <c r="H112" s="40"/>
      <c r="I112" s="40"/>
      <c r="J112" s="40"/>
      <c r="K112" s="40"/>
      <c r="L112" s="40"/>
    </row>
    <row r="113" spans="1:12" ht="15.75" customHeight="1" x14ac:dyDescent="0.3">
      <c r="A113" s="17"/>
      <c r="B113" s="17"/>
      <c r="C113" s="17"/>
      <c r="D113" s="23"/>
      <c r="E113" s="23"/>
      <c r="F113" s="23"/>
      <c r="G113" s="23"/>
      <c r="H113" s="23"/>
      <c r="I113" s="32"/>
      <c r="J113" s="23"/>
      <c r="K113" s="23"/>
      <c r="L113" s="23"/>
    </row>
    <row r="114" spans="1:12" ht="15.75" customHeight="1" x14ac:dyDescent="0.3">
      <c r="B114" s="43" t="s">
        <v>2375</v>
      </c>
    </row>
    <row r="115" spans="1:12" ht="15.75" customHeight="1" x14ac:dyDescent="0.3">
      <c r="A115" s="17" t="s">
        <v>1445</v>
      </c>
      <c r="B115" s="17" t="str">
        <f t="array" ref="B115">IFERROR(INDEX('07_Items'!$B$5:$B$198,MATCH($A115,'07_Items'!$A$5:$A$198,0)),"")</f>
        <v>Rough formwork to vertical surfaces, any width.</v>
      </c>
      <c r="C115" s="17" t="str">
        <f t="array" ref="C115">IFERROR(INDEX('07_Items'!$C$5:$C$198,MATCH($A115,'07_Items'!$A$5:$A$198,0)),"")</f>
        <v>sq.m</v>
      </c>
      <c r="D115" s="23">
        <f>IFERROR(SUMIFS('06_Road_Engine'!$E$46:$E$90,'06_Road_Engine'!$A$46:$A$90,$A115,'06_Road_Engine'!$D$46:$D$90,"EWKPVMT"),0)</f>
        <v>0</v>
      </c>
      <c r="E115" s="23">
        <f>IFERROR(SUMIFS('06_Road_Engine'!$E$46:$E$90,'06_Road_Engine'!$A$46:$A$90,$A115,'06_Road_Engine'!$D$46:$D$90,"DRAIN"),0)</f>
        <v>0</v>
      </c>
      <c r="F115" s="23">
        <f>SUMPRODUCT(('03_Pipe_Engine'!$Y$3:$BC$3=$A115)*'03_Pipe_Engine'!$Y$6:$BC$20)</f>
        <v>0</v>
      </c>
      <c r="G115" s="23">
        <f>SUMPRODUCT(('04_Box_Engine'!$G$3:$AC$3=$A115)*'04_Box_Engine'!$G$6:$AC$24)</f>
        <v>0</v>
      </c>
      <c r="H115" s="23">
        <v>0</v>
      </c>
      <c r="I115" s="32"/>
      <c r="J115" s="23">
        <f t="shared" ref="J115:J120" si="10">ROUND(SUM(D115:I115),2)</f>
        <v>0</v>
      </c>
      <c r="K115" s="23">
        <f t="array" ref="K115">IFERROR(INDEX('08_Rates'!$D$5:$D$198,MATCH($A115,'08_Rates'!$A$5:$A$198,0)),0)</f>
        <v>140</v>
      </c>
      <c r="L115" s="23">
        <f t="shared" ref="L115:L120" si="11">ROUND(J115*K115,2)</f>
        <v>0</v>
      </c>
    </row>
    <row r="116" spans="1:12" ht="15.75" customHeight="1" x14ac:dyDescent="0.3">
      <c r="A116" s="17" t="s">
        <v>1446</v>
      </c>
      <c r="B116" s="17" t="str">
        <f t="array" ref="B116">IFERROR(INDEX('07_Items'!$B$5:$B$198,MATCH($A116,'07_Items'!$A$5:$A$198,0)),"")</f>
        <v>Ditto item G 114, exceeding 1.22m wide</v>
      </c>
      <c r="C116" s="17" t="str">
        <f t="array" ref="C116">IFERROR(INDEX('07_Items'!$C$5:$C$198,MATCH($A116,'07_Items'!$A$5:$A$198,0)),"")</f>
        <v>sq.m</v>
      </c>
      <c r="D116" s="23">
        <f>IFERROR(SUMIFS('06_Road_Engine'!$E$46:$E$90,'06_Road_Engine'!$A$46:$A$90,$A116,'06_Road_Engine'!$D$46:$D$90,"EWKPVMT"),0)</f>
        <v>0</v>
      </c>
      <c r="E116" s="23">
        <f>IFERROR(SUMIFS('06_Road_Engine'!$E$46:$E$90,'06_Road_Engine'!$A$46:$A$90,$A116,'06_Road_Engine'!$D$46:$D$90,"DRAIN"),0)</f>
        <v>0</v>
      </c>
      <c r="F116" s="23">
        <f>SUMPRODUCT(('03_Pipe_Engine'!$Y$3:$BC$3=$A116)*'03_Pipe_Engine'!$Y$6:$BC$20)</f>
        <v>0</v>
      </c>
      <c r="G116" s="23">
        <f>SUMPRODUCT(('04_Box_Engine'!$G$3:$AC$3=$A116)*'04_Box_Engine'!$G$6:$AC$24)</f>
        <v>0</v>
      </c>
      <c r="H116" s="23">
        <v>0</v>
      </c>
      <c r="I116" s="32"/>
      <c r="J116" s="23">
        <f t="shared" si="10"/>
        <v>0</v>
      </c>
      <c r="K116" s="23">
        <f t="array" ref="K116">IFERROR(INDEX('08_Rates'!$D$5:$D$198,MATCH($A116,'08_Rates'!$A$5:$A$198,0)),0)</f>
        <v>140</v>
      </c>
      <c r="L116" s="23">
        <f t="shared" si="11"/>
        <v>0</v>
      </c>
    </row>
    <row r="117" spans="1:12" ht="15.75" customHeight="1" x14ac:dyDescent="0.3">
      <c r="A117" s="17" t="s">
        <v>1447</v>
      </c>
      <c r="B117" s="17" t="str">
        <f t="array" ref="B117">IFERROR(INDEX('07_Items'!$B$5:$B$198,MATCH($A117,'07_Items'!$A$5:$A$198,0)),"")</f>
        <v xml:space="preserve">Sawn formwork to vertical surfaces, 0.2-0.4m wide </v>
      </c>
      <c r="C117" s="17" t="str">
        <f t="array" ref="C117">IFERROR(INDEX('07_Items'!$C$5:$C$198,MATCH($A117,'07_Items'!$A$5:$A$198,0)),"")</f>
        <v>sq.m</v>
      </c>
      <c r="D117" s="23">
        <f>IFERROR(SUMIFS('06_Road_Engine'!$E$46:$E$90,'06_Road_Engine'!$A$46:$A$90,$A117,'06_Road_Engine'!$D$46:$D$90,"EWKPVMT"),0)</f>
        <v>0</v>
      </c>
      <c r="E117" s="23">
        <f>IFERROR(SUMIFS('06_Road_Engine'!$E$46:$E$90,'06_Road_Engine'!$A$46:$A$90,$A117,'06_Road_Engine'!$D$46:$D$90,"DRAIN"),0)</f>
        <v>0</v>
      </c>
      <c r="F117" s="23">
        <f>SUMPRODUCT(('03_Pipe_Engine'!$Y$3:$BC$3=$A117)*'03_Pipe_Engine'!$Y$6:$BC$20)</f>
        <v>0</v>
      </c>
      <c r="G117" s="23">
        <f>SUMPRODUCT(('04_Box_Engine'!$G$3:$AC$3=$A117)*'04_Box_Engine'!$G$6:$AC$24)</f>
        <v>0</v>
      </c>
      <c r="H117" s="23">
        <v>0</v>
      </c>
      <c r="I117" s="32"/>
      <c r="J117" s="23">
        <f t="shared" si="10"/>
        <v>0</v>
      </c>
      <c r="K117" s="23">
        <f t="array" ref="K117">IFERROR(INDEX('08_Rates'!$D$5:$D$198,MATCH($A117,'08_Rates'!$A$5:$A$198,0)),0)</f>
        <v>155</v>
      </c>
      <c r="L117" s="23">
        <f t="shared" si="11"/>
        <v>0</v>
      </c>
    </row>
    <row r="118" spans="1:12" ht="15.75" customHeight="1" x14ac:dyDescent="0.3">
      <c r="A118" s="17" t="s">
        <v>1448</v>
      </c>
      <c r="B118" s="17" t="str">
        <f t="array" ref="B118">IFERROR(INDEX('07_Items'!$B$5:$B$198,MATCH($A118,'07_Items'!$A$5:$A$198,0)),"")</f>
        <v>Fair formwork to soffits of slabs, exceeding 1.2m wide</v>
      </c>
      <c r="C118" s="17" t="str">
        <f t="array" ref="C118">IFERROR(INDEX('07_Items'!$C$5:$C$198,MATCH($A118,'07_Items'!$A$5:$A$198,0)),"")</f>
        <v>sq.m</v>
      </c>
      <c r="D118" s="23">
        <f>IFERROR(SUMIFS('06_Road_Engine'!$E$46:$E$90,'06_Road_Engine'!$A$46:$A$90,$A118,'06_Road_Engine'!$D$46:$D$90,"EWKPVMT"),0)</f>
        <v>0</v>
      </c>
      <c r="E118" s="23">
        <f>IFERROR(SUMIFS('06_Road_Engine'!$E$46:$E$90,'06_Road_Engine'!$A$46:$A$90,$A118,'06_Road_Engine'!$D$46:$D$90,"DRAIN"),0)</f>
        <v>0</v>
      </c>
      <c r="F118" s="23">
        <f>SUMPRODUCT(('03_Pipe_Engine'!$Y$3:$BC$3=$A118)*'03_Pipe_Engine'!$Y$6:$BC$20)</f>
        <v>0</v>
      </c>
      <c r="G118" s="23">
        <f>SUMPRODUCT(('04_Box_Engine'!$G$3:$AC$3=$A118)*'04_Box_Engine'!$G$6:$AC$24)</f>
        <v>0</v>
      </c>
      <c r="H118" s="23">
        <v>0</v>
      </c>
      <c r="I118" s="32"/>
      <c r="J118" s="23">
        <f t="shared" si="10"/>
        <v>0</v>
      </c>
      <c r="K118" s="23">
        <f t="array" ref="K118">IFERROR(INDEX('08_Rates'!$D$5:$D$198,MATCH($A118,'08_Rates'!$A$5:$A$198,0)),0)</f>
        <v>155</v>
      </c>
      <c r="L118" s="23">
        <f t="shared" si="11"/>
        <v>0</v>
      </c>
    </row>
    <row r="119" spans="1:12" ht="15.75" customHeight="1" x14ac:dyDescent="0.3">
      <c r="A119" s="17" t="s">
        <v>1449</v>
      </c>
      <c r="B119" s="17" t="str">
        <f t="array" ref="B119">IFERROR(INDEX('07_Items'!$B$5:$B$198,MATCH($A119,'07_Items'!$A$5:$A$198,0)),"")</f>
        <v xml:space="preserve">Fair formwork to vertical surfaces, 0.2-0.4m wide </v>
      </c>
      <c r="C119" s="17" t="str">
        <f t="array" ref="C119">IFERROR(INDEX('07_Items'!$C$5:$C$198,MATCH($A119,'07_Items'!$A$5:$A$198,0)),"")</f>
        <v>sq.m</v>
      </c>
      <c r="D119" s="23">
        <f>IFERROR(SUMIFS('06_Road_Engine'!$E$46:$E$90,'06_Road_Engine'!$A$46:$A$90,$A119,'06_Road_Engine'!$D$46:$D$90,"EWKPVMT"),0)</f>
        <v>0</v>
      </c>
      <c r="E119" s="23">
        <f>IFERROR(SUMIFS('06_Road_Engine'!$E$46:$E$90,'06_Road_Engine'!$A$46:$A$90,$A119,'06_Road_Engine'!$D$46:$D$90,"DRAIN"),0)</f>
        <v>0</v>
      </c>
      <c r="F119" s="23">
        <f>SUMPRODUCT(('03_Pipe_Engine'!$Y$3:$BC$3=$A119)*'03_Pipe_Engine'!$Y$6:$BC$20)</f>
        <v>0</v>
      </c>
      <c r="G119" s="23">
        <f>SUMPRODUCT(('04_Box_Engine'!$G$3:$AC$3=$A119)*'04_Box_Engine'!$G$6:$AC$24)</f>
        <v>0</v>
      </c>
      <c r="H119" s="23">
        <v>0</v>
      </c>
      <c r="I119" s="32"/>
      <c r="J119" s="23">
        <f t="shared" si="10"/>
        <v>0</v>
      </c>
      <c r="K119" s="23">
        <f t="array" ref="K119">IFERROR(INDEX('08_Rates'!$D$5:$D$198,MATCH($A119,'08_Rates'!$A$5:$A$198,0)),0)</f>
        <v>155</v>
      </c>
      <c r="L119" s="23">
        <f t="shared" si="11"/>
        <v>0</v>
      </c>
    </row>
    <row r="120" spans="1:12" ht="15.75" customHeight="1" x14ac:dyDescent="0.3">
      <c r="A120" s="17" t="s">
        <v>1329</v>
      </c>
      <c r="B120" s="17" t="str">
        <f t="array" ref="B120">IFERROR(INDEX('07_Items'!$B$5:$B$198,MATCH($A120,'07_Items'!$A$5:$A$198,0)),"")</f>
        <v>Ditto item G 243, exceeding 1.22m wide</v>
      </c>
      <c r="C120" s="17" t="str">
        <f t="array" ref="C120">IFERROR(INDEX('07_Items'!$C$5:$C$198,MATCH($A120,'07_Items'!$A$5:$A$198,0)),"")</f>
        <v>sq.m</v>
      </c>
      <c r="D120" s="23">
        <f>IFERROR(SUMIFS('06_Road_Engine'!$E$46:$E$90,'06_Road_Engine'!$A$46:$A$90,$A120,'06_Road_Engine'!$D$46:$D$90,"EWKPVMT"),0)</f>
        <v>0</v>
      </c>
      <c r="E120" s="23">
        <f>IFERROR(SUMIFS('06_Road_Engine'!$E$46:$E$90,'06_Road_Engine'!$A$46:$A$90,$A120,'06_Road_Engine'!$D$46:$D$90,"DRAIN"),0)</f>
        <v>0</v>
      </c>
      <c r="F120" s="23">
        <f>SUMPRODUCT(('03_Pipe_Engine'!$Y$3:$BC$3=$A120)*'03_Pipe_Engine'!$Y$6:$BC$20)</f>
        <v>0</v>
      </c>
      <c r="G120" s="23">
        <f>SUMPRODUCT(('04_Box_Engine'!$G$3:$AC$3=$A120)*'04_Box_Engine'!$G$6:$AC$24)</f>
        <v>0</v>
      </c>
      <c r="H120" s="23">
        <v>0</v>
      </c>
      <c r="I120" s="32"/>
      <c r="J120" s="23">
        <f t="shared" si="10"/>
        <v>0</v>
      </c>
      <c r="K120" s="23">
        <f t="array" ref="K120">IFERROR(INDEX('08_Rates'!$D$5:$D$198,MATCH($A120,'08_Rates'!$A$5:$A$198,0)),0)</f>
        <v>155</v>
      </c>
      <c r="L120" s="23">
        <f t="shared" si="11"/>
        <v>0</v>
      </c>
    </row>
    <row r="121" spans="1:12" ht="15.75" customHeight="1" x14ac:dyDescent="0.3">
      <c r="B121" s="43" t="s">
        <v>2376</v>
      </c>
    </row>
    <row r="122" spans="1:12" ht="15.75" customHeight="1" x14ac:dyDescent="0.3">
      <c r="A122" s="17" t="s">
        <v>1450</v>
      </c>
      <c r="B122" s="17" t="str">
        <f t="array" ref="B122">IFERROR(INDEX('07_Items'!$B$5:$B$198,MATCH($A122,'07_Items'!$A$5:$A$198,0)),"")</f>
        <v>8mm diameter ditto item G 511</v>
      </c>
      <c r="C122" s="17" t="str">
        <f t="array" ref="C122">IFERROR(INDEX('07_Items'!$C$5:$C$198,MATCH($A122,'07_Items'!$A$5:$A$198,0)),"")</f>
        <v>T</v>
      </c>
      <c r="D122" s="23">
        <f>IFERROR(SUMIFS('06_Road_Engine'!$E$46:$E$90,'06_Road_Engine'!$A$46:$A$90,$A122,'06_Road_Engine'!$D$46:$D$90,"EWKPVMT"),0)</f>
        <v>0</v>
      </c>
      <c r="E122" s="23">
        <f>IFERROR(SUMIFS('06_Road_Engine'!$E$46:$E$90,'06_Road_Engine'!$A$46:$A$90,$A122,'06_Road_Engine'!$D$46:$D$90,"DRAIN"),0)</f>
        <v>0</v>
      </c>
      <c r="F122" s="23">
        <f>SUMPRODUCT(('03_Pipe_Engine'!$Y$3:$BC$3=$A122)*'03_Pipe_Engine'!$Y$6:$BC$20)</f>
        <v>0</v>
      </c>
      <c r="G122" s="23">
        <f>SUMPRODUCT(('04_Box_Engine'!$G$3:$AC$3=$A122)*'04_Box_Engine'!$G$6:$AC$24)</f>
        <v>0</v>
      </c>
      <c r="H122" s="23">
        <v>0</v>
      </c>
      <c r="I122" s="32"/>
      <c r="J122" s="23">
        <f t="shared" ref="J122:J127" si="12">ROUND(SUM(D122:I122),2)</f>
        <v>0</v>
      </c>
      <c r="K122" s="23">
        <f t="array" ref="K122">IFERROR(INDEX('08_Rates'!$D$5:$D$198,MATCH($A122,'08_Rates'!$A$5:$A$198,0)),0)</f>
        <v>18500</v>
      </c>
      <c r="L122" s="23">
        <f t="shared" ref="L122:L127" si="13">ROUND(J122*K122,2)</f>
        <v>0</v>
      </c>
    </row>
    <row r="123" spans="1:12" ht="15.75" customHeight="1" x14ac:dyDescent="0.3">
      <c r="A123" s="17" t="s">
        <v>1451</v>
      </c>
      <c r="B123" s="17" t="str">
        <f t="array" ref="B123">IFERROR(INDEX('07_Items'!$B$5:$B$198,MATCH($A123,'07_Items'!$A$5:$A$198,0)),"")</f>
        <v>10mm diameter ditto item G 511</v>
      </c>
      <c r="C123" s="17" t="str">
        <f t="array" ref="C123">IFERROR(INDEX('07_Items'!$C$5:$C$198,MATCH($A123,'07_Items'!$A$5:$A$198,0)),"")</f>
        <v>T</v>
      </c>
      <c r="D123" s="23">
        <f>IFERROR(SUMIFS('06_Road_Engine'!$E$46:$E$90,'06_Road_Engine'!$A$46:$A$90,$A123,'06_Road_Engine'!$D$46:$D$90,"EWKPVMT"),0)</f>
        <v>0</v>
      </c>
      <c r="E123" s="23">
        <f>IFERROR(SUMIFS('06_Road_Engine'!$E$46:$E$90,'06_Road_Engine'!$A$46:$A$90,$A123,'06_Road_Engine'!$D$46:$D$90,"DRAIN"),0)</f>
        <v>0</v>
      </c>
      <c r="F123" s="23">
        <f>SUMPRODUCT(('03_Pipe_Engine'!$Y$3:$BC$3=$A123)*'03_Pipe_Engine'!$Y$6:$BC$20)</f>
        <v>0</v>
      </c>
      <c r="G123" s="23">
        <f>SUMPRODUCT(('04_Box_Engine'!$G$3:$AC$3=$A123)*'04_Box_Engine'!$G$6:$AC$24)</f>
        <v>0</v>
      </c>
      <c r="H123" s="23">
        <v>0</v>
      </c>
      <c r="I123" s="32"/>
      <c r="J123" s="23">
        <f t="shared" si="12"/>
        <v>0</v>
      </c>
      <c r="K123" s="23">
        <f t="array" ref="K123">IFERROR(INDEX('08_Rates'!$D$5:$D$198,MATCH($A123,'08_Rates'!$A$5:$A$198,0)),0)</f>
        <v>18500</v>
      </c>
      <c r="L123" s="23">
        <f t="shared" si="13"/>
        <v>0</v>
      </c>
    </row>
    <row r="124" spans="1:12" ht="15.75" customHeight="1" x14ac:dyDescent="0.3">
      <c r="A124" s="17" t="s">
        <v>1452</v>
      </c>
      <c r="B124" s="17" t="str">
        <f t="array" ref="B124">IFERROR(INDEX('07_Items'!$B$5:$B$198,MATCH($A124,'07_Items'!$A$5:$A$198,0)),"")</f>
        <v>12mm diameter ditto item G 511</v>
      </c>
      <c r="C124" s="17" t="str">
        <f t="array" ref="C124">IFERROR(INDEX('07_Items'!$C$5:$C$198,MATCH($A124,'07_Items'!$A$5:$A$198,0)),"")</f>
        <v>T</v>
      </c>
      <c r="D124" s="23">
        <f>IFERROR(SUMIFS('06_Road_Engine'!$E$46:$E$90,'06_Road_Engine'!$A$46:$A$90,$A124,'06_Road_Engine'!$D$46:$D$90,"EWKPVMT"),0)</f>
        <v>0</v>
      </c>
      <c r="E124" s="23">
        <f>IFERROR(SUMIFS('06_Road_Engine'!$E$46:$E$90,'06_Road_Engine'!$A$46:$A$90,$A124,'06_Road_Engine'!$D$46:$D$90,"DRAIN"),0)</f>
        <v>0</v>
      </c>
      <c r="F124" s="23">
        <f>SUMPRODUCT(('03_Pipe_Engine'!$Y$3:$BC$3=$A124)*'03_Pipe_Engine'!$Y$6:$BC$20)</f>
        <v>0</v>
      </c>
      <c r="G124" s="23">
        <f>SUMPRODUCT(('04_Box_Engine'!$G$3:$AC$3=$A124)*'04_Box_Engine'!$G$6:$AC$24)</f>
        <v>0</v>
      </c>
      <c r="H124" s="23">
        <v>0</v>
      </c>
      <c r="I124" s="32"/>
      <c r="J124" s="23">
        <f t="shared" si="12"/>
        <v>0</v>
      </c>
      <c r="K124" s="23">
        <f t="array" ref="K124">IFERROR(INDEX('08_Rates'!$D$5:$D$198,MATCH($A124,'08_Rates'!$A$5:$A$198,0)),0)</f>
        <v>18500</v>
      </c>
      <c r="L124" s="23">
        <f t="shared" si="13"/>
        <v>0</v>
      </c>
    </row>
    <row r="125" spans="1:12" ht="15.75" customHeight="1" x14ac:dyDescent="0.3">
      <c r="A125" s="17" t="s">
        <v>1453</v>
      </c>
      <c r="B125" s="17" t="str">
        <f t="array" ref="B125">IFERROR(INDEX('07_Items'!$B$5:$B$198,MATCH($A125,'07_Items'!$A$5:$A$198,0)),"")</f>
        <v>16mm diameter ditto item G 511</v>
      </c>
      <c r="C125" s="17" t="str">
        <f t="array" ref="C125">IFERROR(INDEX('07_Items'!$C$5:$C$198,MATCH($A125,'07_Items'!$A$5:$A$198,0)),"")</f>
        <v>T</v>
      </c>
      <c r="D125" s="23">
        <f>IFERROR(SUMIFS('06_Road_Engine'!$E$46:$E$90,'06_Road_Engine'!$A$46:$A$90,$A125,'06_Road_Engine'!$D$46:$D$90,"EWKPVMT"),0)</f>
        <v>0</v>
      </c>
      <c r="E125" s="23">
        <f>IFERROR(SUMIFS('06_Road_Engine'!$E$46:$E$90,'06_Road_Engine'!$A$46:$A$90,$A125,'06_Road_Engine'!$D$46:$D$90,"DRAIN"),0)</f>
        <v>0</v>
      </c>
      <c r="F125" s="23">
        <f>SUMPRODUCT(('03_Pipe_Engine'!$Y$3:$BC$3=$A125)*'03_Pipe_Engine'!$Y$6:$BC$20)</f>
        <v>0</v>
      </c>
      <c r="G125" s="23">
        <f>SUMPRODUCT(('04_Box_Engine'!$G$3:$AC$3=$A125)*'04_Box_Engine'!$G$6:$AC$24)</f>
        <v>0</v>
      </c>
      <c r="H125" s="23">
        <v>0</v>
      </c>
      <c r="I125" s="32"/>
      <c r="J125" s="23">
        <f t="shared" si="12"/>
        <v>0</v>
      </c>
      <c r="K125" s="23">
        <f t="array" ref="K125">IFERROR(INDEX('08_Rates'!$D$5:$D$198,MATCH($A125,'08_Rates'!$A$5:$A$198,0)),0)</f>
        <v>18500</v>
      </c>
      <c r="L125" s="23">
        <f t="shared" si="13"/>
        <v>0</v>
      </c>
    </row>
    <row r="126" spans="1:12" ht="15.75" customHeight="1" x14ac:dyDescent="0.3">
      <c r="A126" s="17" t="s">
        <v>1454</v>
      </c>
      <c r="B126" s="17" t="str">
        <f t="array" ref="B126">IFERROR(INDEX('07_Items'!$B$5:$B$198,MATCH($A126,'07_Items'!$A$5:$A$198,0)),"")</f>
        <v>20mm diameter ditto item G 511</v>
      </c>
      <c r="C126" s="17" t="str">
        <f t="array" ref="C126">IFERROR(INDEX('07_Items'!$C$5:$C$198,MATCH($A126,'07_Items'!$A$5:$A$198,0)),"")</f>
        <v>T</v>
      </c>
      <c r="D126" s="23">
        <f>IFERROR(SUMIFS('06_Road_Engine'!$E$46:$E$90,'06_Road_Engine'!$A$46:$A$90,$A126,'06_Road_Engine'!$D$46:$D$90,"EWKPVMT"),0)</f>
        <v>0</v>
      </c>
      <c r="E126" s="23">
        <f>IFERROR(SUMIFS('06_Road_Engine'!$E$46:$E$90,'06_Road_Engine'!$A$46:$A$90,$A126,'06_Road_Engine'!$D$46:$D$90,"DRAIN"),0)</f>
        <v>0</v>
      </c>
      <c r="F126" s="23">
        <f>SUMPRODUCT(('03_Pipe_Engine'!$Y$3:$BC$3=$A126)*'03_Pipe_Engine'!$Y$6:$BC$20)</f>
        <v>0</v>
      </c>
      <c r="G126" s="23">
        <f>SUMPRODUCT(('04_Box_Engine'!$G$3:$AC$3=$A126)*'04_Box_Engine'!$G$6:$AC$24)</f>
        <v>0</v>
      </c>
      <c r="H126" s="23">
        <v>0</v>
      </c>
      <c r="I126" s="32"/>
      <c r="J126" s="23">
        <f t="shared" si="12"/>
        <v>0</v>
      </c>
      <c r="K126" s="23">
        <f t="array" ref="K126">IFERROR(INDEX('08_Rates'!$D$5:$D$198,MATCH($A126,'08_Rates'!$A$5:$A$198,0)),0)</f>
        <v>18500</v>
      </c>
      <c r="L126" s="23">
        <f t="shared" si="13"/>
        <v>0</v>
      </c>
    </row>
    <row r="127" spans="1:12" ht="15.75" customHeight="1" x14ac:dyDescent="0.3">
      <c r="A127" s="17" t="s">
        <v>2086</v>
      </c>
      <c r="B127" s="17" t="str">
        <f t="array" ref="B127">IFERROR(INDEX('07_Items'!$B$5:$B$198,MATCH($A127,'07_Items'!$A$5:$A$198,0)),"")</f>
        <v>Mild Steel Fabric Reinforcement</v>
      </c>
      <c r="C127" s="17" t="str">
        <f t="array" ref="C127">IFERROR(INDEX('07_Items'!$C$5:$C$198,MATCH($A127,'07_Items'!$A$5:$A$198,0)),"")</f>
        <v>sq.m</v>
      </c>
      <c r="D127" s="23">
        <f>IFERROR(SUMIFS('06_Road_Engine'!$E$46:$E$90,'06_Road_Engine'!$A$46:$A$90,$A127,'06_Road_Engine'!$D$46:$D$90,"EWKPVMT"),0)</f>
        <v>0</v>
      </c>
      <c r="E127" s="23">
        <f>IFERROR(SUMIFS('06_Road_Engine'!$E$46:$E$90,'06_Road_Engine'!$A$46:$A$90,$A127,'06_Road_Engine'!$D$46:$D$90,"DRAIN"),0)</f>
        <v>0</v>
      </c>
      <c r="F127" s="23">
        <f>SUMPRODUCT(('03_Pipe_Engine'!$Y$3:$BC$3=$A127)*'03_Pipe_Engine'!$Y$6:$BC$20)</f>
        <v>0</v>
      </c>
      <c r="G127" s="23">
        <f>SUMPRODUCT(('04_Box_Engine'!$G$3:$AC$3=$A127)*'04_Box_Engine'!$G$6:$AC$24)</f>
        <v>0</v>
      </c>
      <c r="H127" s="23">
        <v>0</v>
      </c>
      <c r="I127" s="32"/>
      <c r="J127" s="23">
        <f t="shared" si="12"/>
        <v>0</v>
      </c>
      <c r="K127" s="23">
        <f t="array" ref="K127">IFERROR(INDEX('08_Rates'!$D$5:$D$198,MATCH($A127,'08_Rates'!$A$5:$A$198,0)),0)</f>
        <v>20</v>
      </c>
      <c r="L127" s="23">
        <f t="shared" si="13"/>
        <v>0</v>
      </c>
    </row>
    <row r="128" spans="1:12" ht="15.75" customHeight="1" x14ac:dyDescent="0.3">
      <c r="B128" s="43" t="s">
        <v>2377</v>
      </c>
    </row>
    <row r="129" spans="1:12" ht="15.75" customHeight="1" x14ac:dyDescent="0.3">
      <c r="A129" s="17" t="s">
        <v>2088</v>
      </c>
      <c r="B129" s="17" t="str">
        <f t="array" ref="B129">IFERROR(INDEX('07_Items'!$B$5:$B$198,MATCH($A129,'07_Items'!$A$5:$A$198,0)),"")</f>
        <v>Horizontal joint between slabs with 10mm thick</v>
      </c>
      <c r="C129" s="17">
        <f t="array" ref="C129">IFERROR(INDEX('07_Items'!$C$5:$C$198,MATCH($A129,'07_Items'!$A$5:$A$198,0)),"")</f>
        <v>0</v>
      </c>
      <c r="D129" s="23">
        <f>IFERROR(SUMIFS('06_Road_Engine'!$E$46:$E$90,'06_Road_Engine'!$A$46:$A$90,$A129,'06_Road_Engine'!$D$46:$D$90,"EWKPVMT"),0)</f>
        <v>0</v>
      </c>
      <c r="E129" s="23">
        <f>IFERROR(SUMIFS('06_Road_Engine'!$E$46:$E$90,'06_Road_Engine'!$A$46:$A$90,$A129,'06_Road_Engine'!$D$46:$D$90,"DRAIN"),0)</f>
        <v>0</v>
      </c>
      <c r="F129" s="23">
        <f>SUMPRODUCT(('03_Pipe_Engine'!$Y$3:$BC$3=$A129)*'03_Pipe_Engine'!$Y$6:$BC$20)</f>
        <v>0</v>
      </c>
      <c r="G129" s="23">
        <f>SUMPRODUCT(('04_Box_Engine'!$G$3:$AC$3=$A129)*'04_Box_Engine'!$G$6:$AC$24)</f>
        <v>0</v>
      </c>
      <c r="H129" s="23">
        <v>0</v>
      </c>
      <c r="I129" s="32"/>
      <c r="J129" s="23">
        <f>ROUND(SUM(D129:I129),2)</f>
        <v>0</v>
      </c>
      <c r="K129" s="23">
        <f t="array" ref="K129">IFERROR(INDEX('08_Rates'!$D$5:$D$198,MATCH($A129,'08_Rates'!$A$5:$A$198,0)),0)</f>
        <v>18500</v>
      </c>
      <c r="L129" s="23">
        <f>ROUND(J129*K129,2)</f>
        <v>0</v>
      </c>
    </row>
    <row r="130" spans="1:12" ht="15.75" customHeight="1" x14ac:dyDescent="0.3">
      <c r="B130" s="43" t="s">
        <v>2378</v>
      </c>
    </row>
    <row r="131" spans="1:12" ht="15.75" customHeight="1" x14ac:dyDescent="0.3">
      <c r="B131" s="43" t="s">
        <v>2379</v>
      </c>
    </row>
    <row r="132" spans="1:12" ht="15.75" customHeight="1" x14ac:dyDescent="0.3">
      <c r="A132" s="44"/>
      <c r="B132" s="45" t="s">
        <v>2380</v>
      </c>
      <c r="C132" s="44"/>
      <c r="D132" s="44"/>
      <c r="E132" s="44"/>
      <c r="F132" s="44"/>
      <c r="G132" s="44"/>
      <c r="H132" s="44"/>
      <c r="I132" s="44"/>
      <c r="J132" s="44"/>
      <c r="K132" s="44"/>
      <c r="L132" s="46">
        <f>SUM(L113:L131)</f>
        <v>0</v>
      </c>
    </row>
    <row r="133" spans="1:12" ht="15.75" customHeight="1" x14ac:dyDescent="0.3"/>
    <row r="134" spans="1:12" ht="15.75" customHeight="1" x14ac:dyDescent="0.3">
      <c r="A134" s="39" t="s">
        <v>2091</v>
      </c>
      <c r="B134" s="40"/>
      <c r="C134" s="40"/>
      <c r="D134" s="40"/>
      <c r="E134" s="40"/>
      <c r="F134" s="40"/>
      <c r="G134" s="40"/>
      <c r="H134" s="40"/>
      <c r="I134" s="40"/>
      <c r="J134" s="40"/>
      <c r="K134" s="40"/>
      <c r="L134" s="40"/>
    </row>
    <row r="135" spans="1:12" ht="15.75" customHeight="1" x14ac:dyDescent="0.3">
      <c r="A135" s="17"/>
      <c r="B135" s="17"/>
      <c r="C135" s="17"/>
      <c r="D135" s="23"/>
      <c r="E135" s="23"/>
      <c r="F135" s="23"/>
      <c r="G135" s="23"/>
      <c r="H135" s="23"/>
      <c r="I135" s="32"/>
      <c r="J135" s="23"/>
      <c r="K135" s="23"/>
      <c r="L135" s="23"/>
    </row>
    <row r="136" spans="1:12" ht="15.75" customHeight="1" x14ac:dyDescent="0.3">
      <c r="B136" s="43" t="s">
        <v>2381</v>
      </c>
    </row>
    <row r="137" spans="1:12" ht="15.75" customHeight="1" x14ac:dyDescent="0.3">
      <c r="A137" s="17" t="s">
        <v>1330</v>
      </c>
      <c r="B137" s="17" t="str">
        <f t="array" ref="B137">IFERROR(INDEX('07_Items'!$B$5:$B$198,MATCH($A137,'07_Items'!$A$5:$A$198,0)),"")</f>
        <v>Provide, lay and joint 1/600mm diameter pipe in trench</v>
      </c>
      <c r="C137" s="17" t="str">
        <f t="array" ref="C137">IFERROR(INDEX('07_Items'!$C$5:$C$198,MATCH($A137,'07_Items'!$A$5:$A$198,0)),"")</f>
        <v>m</v>
      </c>
      <c r="D137" s="23">
        <f>IFERROR(SUMIFS('06_Road_Engine'!$E$46:$E$90,'06_Road_Engine'!$A$46:$A$90,$A137,'06_Road_Engine'!$D$46:$D$90,"EWKPVMT"),0)</f>
        <v>0</v>
      </c>
      <c r="E137" s="23">
        <f>IFERROR(SUMIFS('06_Road_Engine'!$E$46:$E$90,'06_Road_Engine'!$A$46:$A$90,$A137,'06_Road_Engine'!$D$46:$D$90,"DRAIN"),0)</f>
        <v>0</v>
      </c>
      <c r="F137" s="23">
        <f>SUMPRODUCT(('03_Pipe_Engine'!$Y$3:$BC$3=$A137)*'03_Pipe_Engine'!$Y$6:$BC$20)</f>
        <v>0</v>
      </c>
      <c r="G137" s="23">
        <f>SUMPRODUCT(('04_Box_Engine'!$G$3:$AC$3=$A137)*'04_Box_Engine'!$G$6:$AC$24)</f>
        <v>0</v>
      </c>
      <c r="H137" s="23">
        <v>0</v>
      </c>
      <c r="I137" s="32"/>
      <c r="J137" s="23">
        <f>ROUND(SUM(D137:I137),2)</f>
        <v>0</v>
      </c>
      <c r="K137" s="23">
        <f t="array" ref="K137">IFERROR(INDEX('08_Rates'!$D$5:$D$198,MATCH($A137,'08_Rates'!$A$5:$A$198,0)),0)</f>
        <v>2600</v>
      </c>
      <c r="L137" s="23">
        <f>ROUND(J137*K137,2)</f>
        <v>0</v>
      </c>
    </row>
    <row r="138" spans="1:12" ht="15.75" customHeight="1" x14ac:dyDescent="0.3">
      <c r="A138" s="17" t="s">
        <v>1331</v>
      </c>
      <c r="B138" s="17" t="str">
        <f t="array" ref="B138">IFERROR(INDEX('07_Items'!$B$5:$B$198,MATCH($A138,'07_Items'!$A$5:$A$198,0)),"")</f>
        <v>Ditto item I 232, 900mm diameter ditto</v>
      </c>
      <c r="C138" s="17" t="str">
        <f t="array" ref="C138">IFERROR(INDEX('07_Items'!$C$5:$C$198,MATCH($A138,'07_Items'!$A$5:$A$198,0)),"")</f>
        <v>m</v>
      </c>
      <c r="D138" s="23">
        <f>IFERROR(SUMIFS('06_Road_Engine'!$E$46:$E$90,'06_Road_Engine'!$A$46:$A$90,$A138,'06_Road_Engine'!$D$46:$D$90,"EWKPVMT"),0)</f>
        <v>0</v>
      </c>
      <c r="E138" s="23">
        <f>IFERROR(SUMIFS('06_Road_Engine'!$E$46:$E$90,'06_Road_Engine'!$A$46:$A$90,$A138,'06_Road_Engine'!$D$46:$D$90,"DRAIN"),0)</f>
        <v>0</v>
      </c>
      <c r="F138" s="23">
        <f>SUMPRODUCT(('03_Pipe_Engine'!$Y$3:$BC$3=$A138)*'03_Pipe_Engine'!$Y$6:$BC$20)</f>
        <v>0</v>
      </c>
      <c r="G138" s="23">
        <f>SUMPRODUCT(('04_Box_Engine'!$G$3:$AC$3=$A138)*'04_Box_Engine'!$G$6:$AC$24)</f>
        <v>0</v>
      </c>
      <c r="H138" s="23">
        <v>0</v>
      </c>
      <c r="I138" s="32"/>
      <c r="J138" s="23">
        <f>ROUND(SUM(D138:I138),2)</f>
        <v>0</v>
      </c>
      <c r="K138" s="23">
        <f t="array" ref="K138">IFERROR(INDEX('08_Rates'!$D$5:$D$198,MATCH($A138,'08_Rates'!$A$5:$A$198,0)),0)</f>
        <v>3000</v>
      </c>
      <c r="L138" s="23">
        <f>ROUND(J138*K138,2)</f>
        <v>0</v>
      </c>
    </row>
    <row r="139" spans="1:12" ht="15.75" customHeight="1" x14ac:dyDescent="0.3">
      <c r="A139" s="17" t="s">
        <v>1332</v>
      </c>
      <c r="B139" s="17" t="str">
        <f t="array" ref="B139">IFERROR(INDEX('07_Items'!$B$5:$B$198,MATCH($A139,'07_Items'!$A$5:$A$198,0)),"")</f>
        <v>Ditto item I 232, 1200mm diameter ditto</v>
      </c>
      <c r="C139" s="17" t="str">
        <f t="array" ref="C139">IFERROR(INDEX('07_Items'!$C$5:$C$198,MATCH($A139,'07_Items'!$A$5:$A$198,0)),"")</f>
        <v>m</v>
      </c>
      <c r="D139" s="23">
        <f>IFERROR(SUMIFS('06_Road_Engine'!$E$46:$E$90,'06_Road_Engine'!$A$46:$A$90,$A139,'06_Road_Engine'!$D$46:$D$90,"EWKPVMT"),0)</f>
        <v>0</v>
      </c>
      <c r="E139" s="23">
        <f>IFERROR(SUMIFS('06_Road_Engine'!$E$46:$E$90,'06_Road_Engine'!$A$46:$A$90,$A139,'06_Road_Engine'!$D$46:$D$90,"DRAIN"),0)</f>
        <v>0</v>
      </c>
      <c r="F139" s="23">
        <f>SUMPRODUCT(('03_Pipe_Engine'!$Y$3:$BC$3=$A139)*'03_Pipe_Engine'!$Y$6:$BC$20)</f>
        <v>0</v>
      </c>
      <c r="G139" s="23">
        <f>SUMPRODUCT(('04_Box_Engine'!$G$3:$AC$3=$A139)*'04_Box_Engine'!$G$6:$AC$24)</f>
        <v>0</v>
      </c>
      <c r="H139" s="23">
        <v>0</v>
      </c>
      <c r="I139" s="32"/>
      <c r="J139" s="23">
        <f>ROUND(SUM(D139:I139),2)</f>
        <v>0</v>
      </c>
      <c r="K139" s="23">
        <f t="array" ref="K139">IFERROR(INDEX('08_Rates'!$D$5:$D$198,MATCH($A139,'08_Rates'!$A$5:$A$198,0)),0)</f>
        <v>3500</v>
      </c>
      <c r="L139" s="23">
        <f>ROUND(J139*K139,2)</f>
        <v>0</v>
      </c>
    </row>
    <row r="140" spans="1:12" ht="15.75" customHeight="1" x14ac:dyDescent="0.3">
      <c r="A140" s="17" t="s">
        <v>1333</v>
      </c>
      <c r="B140" s="17" t="str">
        <f t="array" ref="B140">IFERROR(INDEX('07_Items'!$B$5:$B$198,MATCH($A140,'07_Items'!$A$5:$A$198,0)),"")</f>
        <v>Ditto item I 232, 1500mm diameter ditto</v>
      </c>
      <c r="C140" s="17" t="str">
        <f t="array" ref="C140">IFERROR(INDEX('07_Items'!$C$5:$C$198,MATCH($A140,'07_Items'!$A$5:$A$198,0)),"")</f>
        <v>m</v>
      </c>
      <c r="D140" s="23">
        <f>IFERROR(SUMIFS('06_Road_Engine'!$E$46:$E$90,'06_Road_Engine'!$A$46:$A$90,$A140,'06_Road_Engine'!$D$46:$D$90,"EWKPVMT"),0)</f>
        <v>0</v>
      </c>
      <c r="E140" s="23">
        <f>IFERROR(SUMIFS('06_Road_Engine'!$E$46:$E$90,'06_Road_Engine'!$A$46:$A$90,$A140,'06_Road_Engine'!$D$46:$D$90,"DRAIN"),0)</f>
        <v>0</v>
      </c>
      <c r="F140" s="23">
        <f>SUMPRODUCT(('03_Pipe_Engine'!$Y$3:$BC$3=$A140)*'03_Pipe_Engine'!$Y$6:$BC$20)</f>
        <v>0</v>
      </c>
      <c r="G140" s="23">
        <f>SUMPRODUCT(('04_Box_Engine'!$G$3:$AC$3=$A140)*'04_Box_Engine'!$G$6:$AC$24)</f>
        <v>0</v>
      </c>
      <c r="H140" s="23">
        <v>0</v>
      </c>
      <c r="I140" s="32"/>
      <c r="J140" s="23">
        <f>ROUND(SUM(D140:I140),2)</f>
        <v>0</v>
      </c>
      <c r="K140" s="23">
        <f t="array" ref="K140">IFERROR(INDEX('08_Rates'!$D$5:$D$198,MATCH($A140,'08_Rates'!$A$5:$A$198,0)),0)</f>
        <v>5000</v>
      </c>
      <c r="L140" s="23">
        <f>ROUND(J140*K140,2)</f>
        <v>0</v>
      </c>
    </row>
    <row r="141" spans="1:12" ht="15.75" customHeight="1" x14ac:dyDescent="0.3">
      <c r="A141" s="17" t="s">
        <v>1334</v>
      </c>
      <c r="B141" s="17" t="str">
        <f t="array" ref="B141">IFERROR(INDEX('07_Items'!$B$5:$B$198,MATCH($A141,'07_Items'!$A$5:$A$198,0)),"")</f>
        <v>Ditto item I 232, 1800mm diameter ditto</v>
      </c>
      <c r="C141" s="17" t="str">
        <f t="array" ref="C141">IFERROR(INDEX('07_Items'!$C$5:$C$198,MATCH($A141,'07_Items'!$A$5:$A$198,0)),"")</f>
        <v>m</v>
      </c>
      <c r="D141" s="23">
        <f>IFERROR(SUMIFS('06_Road_Engine'!$E$46:$E$90,'06_Road_Engine'!$A$46:$A$90,$A141,'06_Road_Engine'!$D$46:$D$90,"EWKPVMT"),0)</f>
        <v>0</v>
      </c>
      <c r="E141" s="23">
        <f>IFERROR(SUMIFS('06_Road_Engine'!$E$46:$E$90,'06_Road_Engine'!$A$46:$A$90,$A141,'06_Road_Engine'!$D$46:$D$90,"DRAIN"),0)</f>
        <v>0</v>
      </c>
      <c r="F141" s="23">
        <f>SUMPRODUCT(('03_Pipe_Engine'!$Y$3:$BC$3=$A141)*'03_Pipe_Engine'!$Y$6:$BC$20)</f>
        <v>0</v>
      </c>
      <c r="G141" s="23">
        <f>SUMPRODUCT(('04_Box_Engine'!$G$3:$AC$3=$A141)*'04_Box_Engine'!$G$6:$AC$24)</f>
        <v>0</v>
      </c>
      <c r="H141" s="23">
        <v>0</v>
      </c>
      <c r="I141" s="32"/>
      <c r="J141" s="23">
        <f>ROUND(SUM(D141:I141),2)</f>
        <v>0</v>
      </c>
      <c r="K141" s="23">
        <f t="array" ref="K141">IFERROR(INDEX('08_Rates'!$D$5:$D$198,MATCH($A141,'08_Rates'!$A$5:$A$198,0)),0)</f>
        <v>6500</v>
      </c>
      <c r="L141" s="23">
        <f>ROUND(J141*K141,2)</f>
        <v>0</v>
      </c>
    </row>
    <row r="142" spans="1:12" ht="15.75" customHeight="1" x14ac:dyDescent="0.3">
      <c r="B142" s="43" t="s">
        <v>2382</v>
      </c>
    </row>
    <row r="143" spans="1:12" ht="15.75" customHeight="1" x14ac:dyDescent="0.3">
      <c r="A143" s="44"/>
      <c r="B143" s="45" t="s">
        <v>2383</v>
      </c>
      <c r="C143" s="44"/>
      <c r="D143" s="44"/>
      <c r="E143" s="44"/>
      <c r="F143" s="44"/>
      <c r="G143" s="44"/>
      <c r="H143" s="44"/>
      <c r="I143" s="44"/>
      <c r="J143" s="44"/>
      <c r="K143" s="44"/>
      <c r="L143" s="46">
        <f>SUM(L135:L142)</f>
        <v>0</v>
      </c>
    </row>
    <row r="144" spans="1:12" ht="15.75" customHeight="1" x14ac:dyDescent="0.3"/>
    <row r="145" spans="1:12" ht="15.75" customHeight="1" x14ac:dyDescent="0.3">
      <c r="A145" s="39" t="s">
        <v>2097</v>
      </c>
      <c r="B145" s="40"/>
      <c r="C145" s="40"/>
      <c r="D145" s="40"/>
      <c r="E145" s="40"/>
      <c r="F145" s="40"/>
      <c r="G145" s="40"/>
      <c r="H145" s="40"/>
      <c r="I145" s="40"/>
      <c r="J145" s="40"/>
      <c r="K145" s="40"/>
      <c r="L145" s="40"/>
    </row>
    <row r="146" spans="1:12" ht="15.75" customHeight="1" x14ac:dyDescent="0.3">
      <c r="A146" s="17"/>
      <c r="B146" s="17"/>
      <c r="C146" s="17"/>
      <c r="D146" s="23"/>
      <c r="E146" s="23"/>
      <c r="F146" s="23"/>
      <c r="G146" s="23"/>
      <c r="H146" s="23"/>
      <c r="I146" s="32"/>
      <c r="J146" s="23"/>
      <c r="K146" s="23"/>
      <c r="L146" s="23"/>
    </row>
    <row r="147" spans="1:12" ht="15.75" customHeight="1" x14ac:dyDescent="0.3">
      <c r="B147" s="43" t="s">
        <v>2384</v>
      </c>
    </row>
    <row r="148" spans="1:12" ht="15.75" customHeight="1" x14ac:dyDescent="0.3">
      <c r="A148" s="17" t="s">
        <v>1335</v>
      </c>
      <c r="B148" s="17" t="str">
        <f t="array" ref="B148">IFERROR(INDEX('07_Items'!$B$5:$B$198,MATCH($A148,'07_Items'!$A$5:$A$198,0)),"")</f>
        <v>Provide and place mass concrete Grade C20/40 aggregate, 150mm thick in beds and surround to single 600 mm Pipe Culvert</v>
      </c>
      <c r="C148" s="17" t="str">
        <f t="array" ref="C148">IFERROR(INDEX('07_Items'!$C$5:$C$198,MATCH($A148,'07_Items'!$A$5:$A$198,0)),"")</f>
        <v>m</v>
      </c>
      <c r="D148" s="23">
        <f>IFERROR(SUMIFS('06_Road_Engine'!$E$46:$E$90,'06_Road_Engine'!$A$46:$A$90,$A148,'06_Road_Engine'!$D$46:$D$90,"EWKPVMT"),0)</f>
        <v>0</v>
      </c>
      <c r="E148" s="23">
        <f>IFERROR(SUMIFS('06_Road_Engine'!$E$46:$E$90,'06_Road_Engine'!$A$46:$A$90,$A148,'06_Road_Engine'!$D$46:$D$90,"DRAIN"),0)</f>
        <v>0</v>
      </c>
      <c r="F148" s="23">
        <f>SUMPRODUCT(('03_Pipe_Engine'!$Y$3:$BC$3=$A148)*'03_Pipe_Engine'!$Y$6:$BC$20)</f>
        <v>0</v>
      </c>
      <c r="G148" s="23">
        <f>SUMPRODUCT(('04_Box_Engine'!$G$3:$AC$3=$A148)*'04_Box_Engine'!$G$6:$AC$24)</f>
        <v>0</v>
      </c>
      <c r="H148" s="23">
        <v>0</v>
      </c>
      <c r="I148" s="32"/>
      <c r="J148" s="23">
        <f t="shared" ref="J148:J160" si="14">ROUND(SUM(D148:I148),2)</f>
        <v>0</v>
      </c>
      <c r="K148" s="23">
        <f t="array" ref="K148">IFERROR(INDEX('08_Rates'!$D$5:$D$198,MATCH($A148,'08_Rates'!$A$5:$A$198,0)),0)</f>
        <v>3000</v>
      </c>
      <c r="L148" s="23">
        <f t="shared" ref="L148:L160" si="15">ROUND(J148*K148,2)</f>
        <v>0</v>
      </c>
    </row>
    <row r="149" spans="1:12" ht="15.75" customHeight="1" x14ac:dyDescent="0.3">
      <c r="A149" s="17" t="s">
        <v>1338</v>
      </c>
      <c r="B149" s="17" t="str">
        <f t="array" ref="B149">IFERROR(INDEX('07_Items'!$B$5:$B$198,MATCH($A149,'07_Items'!$A$5:$A$198,0)),"")</f>
        <v>Provide and place mass concrete Grade C20/40 aggregate, 150mm thick in beds and surround to single</v>
      </c>
      <c r="C149" s="17" t="str">
        <f t="array" ref="C149">IFERROR(INDEX('07_Items'!$C$5:$C$198,MATCH($A149,'07_Items'!$A$5:$A$198,0)),"")</f>
        <v>m</v>
      </c>
      <c r="D149" s="23">
        <f>IFERROR(SUMIFS('06_Road_Engine'!$E$46:$E$90,'06_Road_Engine'!$A$46:$A$90,$A149,'06_Road_Engine'!$D$46:$D$90,"EWKPVMT"),0)</f>
        <v>0</v>
      </c>
      <c r="E149" s="23">
        <f>IFERROR(SUMIFS('06_Road_Engine'!$E$46:$E$90,'06_Road_Engine'!$A$46:$A$90,$A149,'06_Road_Engine'!$D$46:$D$90,"DRAIN"),0)</f>
        <v>0</v>
      </c>
      <c r="F149" s="23">
        <f>SUMPRODUCT(('03_Pipe_Engine'!$Y$3:$BC$3=$A149)*'03_Pipe_Engine'!$Y$6:$BC$20)</f>
        <v>0</v>
      </c>
      <c r="G149" s="23">
        <f>SUMPRODUCT(('04_Box_Engine'!$G$3:$AC$3=$A149)*'04_Box_Engine'!$G$6:$AC$24)</f>
        <v>0</v>
      </c>
      <c r="H149" s="23">
        <v>0</v>
      </c>
      <c r="I149" s="32"/>
      <c r="J149" s="23">
        <f t="shared" si="14"/>
        <v>0</v>
      </c>
      <c r="K149" s="23">
        <f t="array" ref="K149">IFERROR(INDEX('08_Rates'!$D$5:$D$198,MATCH($A149,'08_Rates'!$A$5:$A$198,0)),0)</f>
        <v>3400</v>
      </c>
      <c r="L149" s="23">
        <f t="shared" si="15"/>
        <v>0</v>
      </c>
    </row>
    <row r="150" spans="1:12" ht="15.75" customHeight="1" x14ac:dyDescent="0.3">
      <c r="A150" s="17" t="s">
        <v>1339</v>
      </c>
      <c r="B150" s="17" t="str">
        <f t="array" ref="B150">IFERROR(INDEX('07_Items'!$B$5:$B$198,MATCH($A150,'07_Items'!$A$5:$A$198,0)),"")</f>
        <v>Ditto item L 343.1, double 900mm ditto</v>
      </c>
      <c r="C150" s="17" t="str">
        <f t="array" ref="C150">IFERROR(INDEX('07_Items'!$C$5:$C$198,MATCH($A150,'07_Items'!$A$5:$A$198,0)),"")</f>
        <v>m</v>
      </c>
      <c r="D150" s="23">
        <f>IFERROR(SUMIFS('06_Road_Engine'!$E$46:$E$90,'06_Road_Engine'!$A$46:$A$90,$A150,'06_Road_Engine'!$D$46:$D$90,"EWKPVMT"),0)</f>
        <v>0</v>
      </c>
      <c r="E150" s="23">
        <f>IFERROR(SUMIFS('06_Road_Engine'!$E$46:$E$90,'06_Road_Engine'!$A$46:$A$90,$A150,'06_Road_Engine'!$D$46:$D$90,"DRAIN"),0)</f>
        <v>0</v>
      </c>
      <c r="F150" s="23">
        <f>SUMPRODUCT(('03_Pipe_Engine'!$Y$3:$BC$3=$A150)*'03_Pipe_Engine'!$Y$6:$BC$20)</f>
        <v>0</v>
      </c>
      <c r="G150" s="23">
        <f>SUMPRODUCT(('04_Box_Engine'!$G$3:$AC$3=$A150)*'04_Box_Engine'!$G$6:$AC$24)</f>
        <v>0</v>
      </c>
      <c r="H150" s="23">
        <v>0</v>
      </c>
      <c r="I150" s="32"/>
      <c r="J150" s="23">
        <f t="shared" si="14"/>
        <v>0</v>
      </c>
      <c r="K150" s="23">
        <f t="array" ref="K150">IFERROR(INDEX('08_Rates'!$D$5:$D$198,MATCH($A150,'08_Rates'!$A$5:$A$198,0)),0)</f>
        <v>4500</v>
      </c>
      <c r="L150" s="23">
        <f t="shared" si="15"/>
        <v>0</v>
      </c>
    </row>
    <row r="151" spans="1:12" ht="15.75" customHeight="1" x14ac:dyDescent="0.3">
      <c r="A151" s="17" t="s">
        <v>1340</v>
      </c>
      <c r="B151" s="17" t="str">
        <f t="array" ref="B151">IFERROR(INDEX('07_Items'!$B$5:$B$198,MATCH($A151,'07_Items'!$A$5:$A$198,0)),"")</f>
        <v>Ditto item L 343.1, tripple 900mm ditto</v>
      </c>
      <c r="C151" s="17" t="str">
        <f t="array" ref="C151">IFERROR(INDEX('07_Items'!$C$5:$C$198,MATCH($A151,'07_Items'!$A$5:$A$198,0)),"")</f>
        <v>m</v>
      </c>
      <c r="D151" s="23">
        <f>IFERROR(SUMIFS('06_Road_Engine'!$E$46:$E$90,'06_Road_Engine'!$A$46:$A$90,$A151,'06_Road_Engine'!$D$46:$D$90,"EWKPVMT"),0)</f>
        <v>0</v>
      </c>
      <c r="E151" s="23">
        <f>IFERROR(SUMIFS('06_Road_Engine'!$E$46:$E$90,'06_Road_Engine'!$A$46:$A$90,$A151,'06_Road_Engine'!$D$46:$D$90,"DRAIN"),0)</f>
        <v>0</v>
      </c>
      <c r="F151" s="23">
        <f>SUMPRODUCT(('03_Pipe_Engine'!$Y$3:$BC$3=$A151)*'03_Pipe_Engine'!$Y$6:$BC$20)</f>
        <v>0</v>
      </c>
      <c r="G151" s="23">
        <f>SUMPRODUCT(('04_Box_Engine'!$G$3:$AC$3=$A151)*'04_Box_Engine'!$G$6:$AC$24)</f>
        <v>0</v>
      </c>
      <c r="H151" s="23">
        <v>0</v>
      </c>
      <c r="I151" s="32"/>
      <c r="J151" s="23">
        <f t="shared" si="14"/>
        <v>0</v>
      </c>
      <c r="K151" s="23">
        <f t="array" ref="K151">IFERROR(INDEX('08_Rates'!$D$5:$D$198,MATCH($A151,'08_Rates'!$A$5:$A$198,0)),0)</f>
        <v>6000</v>
      </c>
      <c r="L151" s="23">
        <f t="shared" si="15"/>
        <v>0</v>
      </c>
    </row>
    <row r="152" spans="1:12" ht="15.75" customHeight="1" x14ac:dyDescent="0.3">
      <c r="A152" s="17" t="s">
        <v>1341</v>
      </c>
      <c r="B152" s="17" t="str">
        <f t="array" ref="B152">IFERROR(INDEX('07_Items'!$B$5:$B$198,MATCH($A152,'07_Items'!$A$5:$A$198,0)),"")</f>
        <v xml:space="preserve"> Provide and place mass concrete in bed and surround to single 1200mm diameter pipe</v>
      </c>
      <c r="C152" s="17" t="str">
        <f t="array" ref="C152">IFERROR(INDEX('07_Items'!$C$5:$C$198,MATCH($A152,'07_Items'!$A$5:$A$198,0)),"")</f>
        <v>m</v>
      </c>
      <c r="D152" s="23">
        <f>IFERROR(SUMIFS('06_Road_Engine'!$E$46:$E$90,'06_Road_Engine'!$A$46:$A$90,$A152,'06_Road_Engine'!$D$46:$D$90,"EWKPVMT"),0)</f>
        <v>0</v>
      </c>
      <c r="E152" s="23">
        <f>IFERROR(SUMIFS('06_Road_Engine'!$E$46:$E$90,'06_Road_Engine'!$A$46:$A$90,$A152,'06_Road_Engine'!$D$46:$D$90,"DRAIN"),0)</f>
        <v>0</v>
      </c>
      <c r="F152" s="23">
        <f>SUMPRODUCT(('03_Pipe_Engine'!$Y$3:$BC$3=$A152)*'03_Pipe_Engine'!$Y$6:$BC$20)</f>
        <v>0</v>
      </c>
      <c r="G152" s="23">
        <f>SUMPRODUCT(('04_Box_Engine'!$G$3:$AC$3=$A152)*'04_Box_Engine'!$G$6:$AC$24)</f>
        <v>0</v>
      </c>
      <c r="H152" s="23">
        <v>0</v>
      </c>
      <c r="I152" s="32"/>
      <c r="J152" s="23">
        <f t="shared" si="14"/>
        <v>0</v>
      </c>
      <c r="K152" s="23">
        <f t="array" ref="K152">IFERROR(INDEX('08_Rates'!$D$5:$D$198,MATCH($A152,'08_Rates'!$A$5:$A$198,0)),0)</f>
        <v>4200</v>
      </c>
      <c r="L152" s="23">
        <f t="shared" si="15"/>
        <v>0</v>
      </c>
    </row>
    <row r="153" spans="1:12" ht="15.75" customHeight="1" x14ac:dyDescent="0.3">
      <c r="A153" s="17" t="s">
        <v>1342</v>
      </c>
      <c r="B153" s="17" t="str">
        <f t="array" ref="B153">IFERROR(INDEX('07_Items'!$B$5:$B$198,MATCH($A153,'07_Items'!$A$5:$A$198,0)),"")</f>
        <v>Provide and place mass concrete in bed and surround to double1200mm diameter nominal distant 2700mm</v>
      </c>
      <c r="C153" s="17" t="str">
        <f t="array" ref="C153">IFERROR(INDEX('07_Items'!$C$5:$C$198,MATCH($A153,'07_Items'!$A$5:$A$198,0)),"")</f>
        <v>m</v>
      </c>
      <c r="D153" s="23">
        <f>IFERROR(SUMIFS('06_Road_Engine'!$E$46:$E$90,'06_Road_Engine'!$A$46:$A$90,$A153,'06_Road_Engine'!$D$46:$D$90,"EWKPVMT"),0)</f>
        <v>0</v>
      </c>
      <c r="E153" s="23">
        <f>IFERROR(SUMIFS('06_Road_Engine'!$E$46:$E$90,'06_Road_Engine'!$A$46:$A$90,$A153,'06_Road_Engine'!$D$46:$D$90,"DRAIN"),0)</f>
        <v>0</v>
      </c>
      <c r="F153" s="23">
        <f>SUMPRODUCT(('03_Pipe_Engine'!$Y$3:$BC$3=$A153)*'03_Pipe_Engine'!$Y$6:$BC$20)</f>
        <v>0</v>
      </c>
      <c r="G153" s="23">
        <f>SUMPRODUCT(('04_Box_Engine'!$G$3:$AC$3=$A153)*'04_Box_Engine'!$G$6:$AC$24)</f>
        <v>0</v>
      </c>
      <c r="H153" s="23">
        <v>0</v>
      </c>
      <c r="I153" s="32"/>
      <c r="J153" s="23">
        <f t="shared" si="14"/>
        <v>0</v>
      </c>
      <c r="K153" s="23">
        <f t="array" ref="K153">IFERROR(INDEX('08_Rates'!$D$5:$D$198,MATCH($A153,'08_Rates'!$A$5:$A$198,0)),0)</f>
        <v>6500</v>
      </c>
      <c r="L153" s="23">
        <f t="shared" si="15"/>
        <v>0</v>
      </c>
    </row>
    <row r="154" spans="1:12" ht="15.75" customHeight="1" x14ac:dyDescent="0.3">
      <c r="A154" s="17" t="s">
        <v>1343</v>
      </c>
      <c r="B154" s="17" t="str">
        <f t="array" ref="B154">IFERROR(INDEX('07_Items'!$B$5:$B$198,MATCH($A154,'07_Items'!$A$5:$A$198,0)),"")</f>
        <v>Provide and place mass concrete in bed and surround to tripple 1200mm diameter nominal distant 2700mm</v>
      </c>
      <c r="C154" s="17" t="str">
        <f t="array" ref="C154">IFERROR(INDEX('07_Items'!$C$5:$C$198,MATCH($A154,'07_Items'!$A$5:$A$198,0)),"")</f>
        <v>m</v>
      </c>
      <c r="D154" s="23">
        <f>IFERROR(SUMIFS('06_Road_Engine'!$E$46:$E$90,'06_Road_Engine'!$A$46:$A$90,$A154,'06_Road_Engine'!$D$46:$D$90,"EWKPVMT"),0)</f>
        <v>0</v>
      </c>
      <c r="E154" s="23">
        <f>IFERROR(SUMIFS('06_Road_Engine'!$E$46:$E$90,'06_Road_Engine'!$A$46:$A$90,$A154,'06_Road_Engine'!$D$46:$D$90,"DRAIN"),0)</f>
        <v>0</v>
      </c>
      <c r="F154" s="23">
        <f>SUMPRODUCT(('03_Pipe_Engine'!$Y$3:$BC$3=$A154)*'03_Pipe_Engine'!$Y$6:$BC$20)</f>
        <v>0</v>
      </c>
      <c r="G154" s="23">
        <f>SUMPRODUCT(('04_Box_Engine'!$G$3:$AC$3=$A154)*'04_Box_Engine'!$G$6:$AC$24)</f>
        <v>0</v>
      </c>
      <c r="H154" s="23">
        <v>0</v>
      </c>
      <c r="I154" s="32"/>
      <c r="J154" s="23">
        <f t="shared" si="14"/>
        <v>0</v>
      </c>
      <c r="K154" s="23">
        <f t="array" ref="K154">IFERROR(INDEX('08_Rates'!$D$5:$D$198,MATCH($A154,'08_Rates'!$A$5:$A$198,0)),0)</f>
        <v>8000</v>
      </c>
      <c r="L154" s="23">
        <f t="shared" si="15"/>
        <v>0</v>
      </c>
    </row>
    <row r="155" spans="1:12" ht="15.75" customHeight="1" x14ac:dyDescent="0.3">
      <c r="A155" s="17" t="s">
        <v>1344</v>
      </c>
      <c r="B155" s="17" t="str">
        <f t="array" ref="B155">IFERROR(INDEX('07_Items'!$B$5:$B$198,MATCH($A155,'07_Items'!$A$5:$A$198,0)),"")</f>
        <v>Provide and place mass concrete in bed and surround to single 1500mm diameter pipe</v>
      </c>
      <c r="C155" s="17" t="str">
        <f t="array" ref="C155">IFERROR(INDEX('07_Items'!$C$5:$C$198,MATCH($A155,'07_Items'!$A$5:$A$198,0)),"")</f>
        <v>m</v>
      </c>
      <c r="D155" s="23">
        <f>IFERROR(SUMIFS('06_Road_Engine'!$E$46:$E$90,'06_Road_Engine'!$A$46:$A$90,$A155,'06_Road_Engine'!$D$46:$D$90,"EWKPVMT"),0)</f>
        <v>0</v>
      </c>
      <c r="E155" s="23">
        <f>IFERROR(SUMIFS('06_Road_Engine'!$E$46:$E$90,'06_Road_Engine'!$A$46:$A$90,$A155,'06_Road_Engine'!$D$46:$D$90,"DRAIN"),0)</f>
        <v>0</v>
      </c>
      <c r="F155" s="23">
        <f>SUMPRODUCT(('03_Pipe_Engine'!$Y$3:$BC$3=$A155)*'03_Pipe_Engine'!$Y$6:$BC$20)</f>
        <v>0</v>
      </c>
      <c r="G155" s="23">
        <f>SUMPRODUCT(('04_Box_Engine'!$G$3:$AC$3=$A155)*'04_Box_Engine'!$G$6:$AC$24)</f>
        <v>0</v>
      </c>
      <c r="H155" s="23">
        <v>0</v>
      </c>
      <c r="I155" s="32"/>
      <c r="J155" s="23">
        <f t="shared" si="14"/>
        <v>0</v>
      </c>
      <c r="K155" s="23">
        <f t="array" ref="K155">IFERROR(INDEX('08_Rates'!$D$5:$D$198,MATCH($A155,'08_Rates'!$A$5:$A$198,0)),0)</f>
        <v>6000</v>
      </c>
      <c r="L155" s="23">
        <f t="shared" si="15"/>
        <v>0</v>
      </c>
    </row>
    <row r="156" spans="1:12" ht="15.75" customHeight="1" x14ac:dyDescent="0.3">
      <c r="A156" s="17" t="s">
        <v>1345</v>
      </c>
      <c r="B156" s="17" t="str">
        <f t="array" ref="B156">IFERROR(INDEX('07_Items'!$B$5:$B$198,MATCH($A156,'07_Items'!$A$5:$A$198,0)),"")</f>
        <v>Provide and place mass concrete in bed and surround to double1500mm diameter nominal distant 3900mm</v>
      </c>
      <c r="C156" s="17" t="str">
        <f t="array" ref="C156">IFERROR(INDEX('07_Items'!$C$5:$C$198,MATCH($A156,'07_Items'!$A$5:$A$198,0)),"")</f>
        <v>m</v>
      </c>
      <c r="D156" s="23">
        <f>IFERROR(SUMIFS('06_Road_Engine'!$E$46:$E$90,'06_Road_Engine'!$A$46:$A$90,$A156,'06_Road_Engine'!$D$46:$D$90,"EWKPVMT"),0)</f>
        <v>0</v>
      </c>
      <c r="E156" s="23">
        <f>IFERROR(SUMIFS('06_Road_Engine'!$E$46:$E$90,'06_Road_Engine'!$A$46:$A$90,$A156,'06_Road_Engine'!$D$46:$D$90,"DRAIN"),0)</f>
        <v>0</v>
      </c>
      <c r="F156" s="23">
        <f>SUMPRODUCT(('03_Pipe_Engine'!$Y$3:$BC$3=$A156)*'03_Pipe_Engine'!$Y$6:$BC$20)</f>
        <v>0</v>
      </c>
      <c r="G156" s="23">
        <f>SUMPRODUCT(('04_Box_Engine'!$G$3:$AC$3=$A156)*'04_Box_Engine'!$G$6:$AC$24)</f>
        <v>0</v>
      </c>
      <c r="H156" s="23">
        <v>0</v>
      </c>
      <c r="I156" s="32"/>
      <c r="J156" s="23">
        <f t="shared" si="14"/>
        <v>0</v>
      </c>
      <c r="K156" s="23">
        <f t="array" ref="K156">IFERROR(INDEX('08_Rates'!$D$5:$D$198,MATCH($A156,'08_Rates'!$A$5:$A$198,0)),0)</f>
        <v>9600</v>
      </c>
      <c r="L156" s="23">
        <f t="shared" si="15"/>
        <v>0</v>
      </c>
    </row>
    <row r="157" spans="1:12" ht="15.75" customHeight="1" x14ac:dyDescent="0.3">
      <c r="A157" s="17" t="s">
        <v>1346</v>
      </c>
      <c r="B157" s="17" t="str">
        <f t="array" ref="B157">IFERROR(INDEX('07_Items'!$B$5:$B$198,MATCH($A157,'07_Items'!$A$5:$A$198,0)),"")</f>
        <v>Provide and place mass concrete in bed and surround to tripple 1500mm diameter nominal distant 6000mm</v>
      </c>
      <c r="C157" s="17" t="str">
        <f t="array" ref="C157">IFERROR(INDEX('07_Items'!$C$5:$C$198,MATCH($A157,'07_Items'!$A$5:$A$198,0)),"")</f>
        <v>m</v>
      </c>
      <c r="D157" s="23">
        <f>IFERROR(SUMIFS('06_Road_Engine'!$E$46:$E$90,'06_Road_Engine'!$A$46:$A$90,$A157,'06_Road_Engine'!$D$46:$D$90,"EWKPVMT"),0)</f>
        <v>0</v>
      </c>
      <c r="E157" s="23">
        <f>IFERROR(SUMIFS('06_Road_Engine'!$E$46:$E$90,'06_Road_Engine'!$A$46:$A$90,$A157,'06_Road_Engine'!$D$46:$D$90,"DRAIN"),0)</f>
        <v>0</v>
      </c>
      <c r="F157" s="23">
        <f>SUMPRODUCT(('03_Pipe_Engine'!$Y$3:$BC$3=$A157)*'03_Pipe_Engine'!$Y$6:$BC$20)</f>
        <v>0</v>
      </c>
      <c r="G157" s="23">
        <f>SUMPRODUCT(('04_Box_Engine'!$G$3:$AC$3=$A157)*'04_Box_Engine'!$G$6:$AC$24)</f>
        <v>0</v>
      </c>
      <c r="H157" s="23">
        <v>0</v>
      </c>
      <c r="I157" s="32"/>
      <c r="J157" s="23">
        <f t="shared" si="14"/>
        <v>0</v>
      </c>
      <c r="K157" s="23">
        <f t="array" ref="K157">IFERROR(INDEX('08_Rates'!$D$5:$D$198,MATCH($A157,'08_Rates'!$A$5:$A$198,0)),0)</f>
        <v>14200</v>
      </c>
      <c r="L157" s="23">
        <f t="shared" si="15"/>
        <v>0</v>
      </c>
    </row>
    <row r="158" spans="1:12" ht="15.75" customHeight="1" x14ac:dyDescent="0.3">
      <c r="A158" s="17" t="s">
        <v>1347</v>
      </c>
      <c r="B158" s="17" t="str">
        <f t="array" ref="B158">IFERROR(INDEX('07_Items'!$B$5:$B$198,MATCH($A158,'07_Items'!$A$5:$A$198,0)),"")</f>
        <v>Provide and place mass concrete in bed and surround to single1800mm diameter nominal distant 3900mm</v>
      </c>
      <c r="C158" s="17" t="str">
        <f t="array" ref="C158">IFERROR(INDEX('07_Items'!$C$5:$C$198,MATCH($A158,'07_Items'!$A$5:$A$198,0)),"")</f>
        <v>m</v>
      </c>
      <c r="D158" s="23">
        <f>IFERROR(SUMIFS('06_Road_Engine'!$E$46:$E$90,'06_Road_Engine'!$A$46:$A$90,$A158,'06_Road_Engine'!$D$46:$D$90,"EWKPVMT"),0)</f>
        <v>0</v>
      </c>
      <c r="E158" s="23">
        <f>IFERROR(SUMIFS('06_Road_Engine'!$E$46:$E$90,'06_Road_Engine'!$A$46:$A$90,$A158,'06_Road_Engine'!$D$46:$D$90,"DRAIN"),0)</f>
        <v>0</v>
      </c>
      <c r="F158" s="23">
        <f>SUMPRODUCT(('03_Pipe_Engine'!$Y$3:$BC$3=$A158)*'03_Pipe_Engine'!$Y$6:$BC$20)</f>
        <v>0</v>
      </c>
      <c r="G158" s="23">
        <f>SUMPRODUCT(('04_Box_Engine'!$G$3:$AC$3=$A158)*'04_Box_Engine'!$G$6:$AC$24)</f>
        <v>0</v>
      </c>
      <c r="H158" s="23">
        <v>0</v>
      </c>
      <c r="I158" s="32"/>
      <c r="J158" s="23">
        <f t="shared" si="14"/>
        <v>0</v>
      </c>
      <c r="K158" s="23">
        <f t="array" ref="K158">IFERROR(INDEX('08_Rates'!$D$5:$D$198,MATCH($A158,'08_Rates'!$A$5:$A$198,0)),0)</f>
        <v>9500</v>
      </c>
      <c r="L158" s="23">
        <f t="shared" si="15"/>
        <v>0</v>
      </c>
    </row>
    <row r="159" spans="1:12" ht="15.75" customHeight="1" x14ac:dyDescent="0.3">
      <c r="A159" s="17" t="s">
        <v>1348</v>
      </c>
      <c r="B159" s="17" t="str">
        <f t="array" ref="B159">IFERROR(INDEX('07_Items'!$B$5:$B$198,MATCH($A159,'07_Items'!$A$5:$A$198,0)),"")</f>
        <v>Provide and place mass concrete in bed and surround to double 1800mm diameter nominal distant 3900mm</v>
      </c>
      <c r="C159" s="17" t="str">
        <f t="array" ref="C159">IFERROR(INDEX('07_Items'!$C$5:$C$198,MATCH($A159,'07_Items'!$A$5:$A$198,0)),"")</f>
        <v>m</v>
      </c>
      <c r="D159" s="23">
        <f>IFERROR(SUMIFS('06_Road_Engine'!$E$46:$E$90,'06_Road_Engine'!$A$46:$A$90,$A159,'06_Road_Engine'!$D$46:$D$90,"EWKPVMT"),0)</f>
        <v>0</v>
      </c>
      <c r="E159" s="23">
        <f>IFERROR(SUMIFS('06_Road_Engine'!$E$46:$E$90,'06_Road_Engine'!$A$46:$A$90,$A159,'06_Road_Engine'!$D$46:$D$90,"DRAIN"),0)</f>
        <v>0</v>
      </c>
      <c r="F159" s="23">
        <f>SUMPRODUCT(('03_Pipe_Engine'!$Y$3:$BC$3=$A159)*'03_Pipe_Engine'!$Y$6:$BC$20)</f>
        <v>0</v>
      </c>
      <c r="G159" s="23">
        <f>SUMPRODUCT(('04_Box_Engine'!$G$3:$AC$3=$A159)*'04_Box_Engine'!$G$6:$AC$24)</f>
        <v>0</v>
      </c>
      <c r="H159" s="23">
        <v>0</v>
      </c>
      <c r="I159" s="32"/>
      <c r="J159" s="23">
        <f t="shared" si="14"/>
        <v>0</v>
      </c>
      <c r="K159" s="23">
        <f t="array" ref="K159">IFERROR(INDEX('08_Rates'!$D$5:$D$198,MATCH($A159,'08_Rates'!$A$5:$A$198,0)),0)</f>
        <v>13000</v>
      </c>
      <c r="L159" s="23">
        <f t="shared" si="15"/>
        <v>0</v>
      </c>
    </row>
    <row r="160" spans="1:12" ht="15.75" customHeight="1" x14ac:dyDescent="0.3">
      <c r="A160" s="17" t="s">
        <v>1349</v>
      </c>
      <c r="B160" s="17" t="str">
        <f t="array" ref="B160">IFERROR(INDEX('07_Items'!$B$5:$B$198,MATCH($A160,'07_Items'!$A$5:$A$198,0)),"")</f>
        <v>Provide and place mass concrete in bed and surround to tripple1800mm diameter nominal distant 3900mm</v>
      </c>
      <c r="C160" s="17" t="str">
        <f t="array" ref="C160">IFERROR(INDEX('07_Items'!$C$5:$C$198,MATCH($A160,'07_Items'!$A$5:$A$198,0)),"")</f>
        <v>m</v>
      </c>
      <c r="D160" s="23">
        <f>IFERROR(SUMIFS('06_Road_Engine'!$E$46:$E$90,'06_Road_Engine'!$A$46:$A$90,$A160,'06_Road_Engine'!$D$46:$D$90,"EWKPVMT"),0)</f>
        <v>0</v>
      </c>
      <c r="E160" s="23">
        <f>IFERROR(SUMIFS('06_Road_Engine'!$E$46:$E$90,'06_Road_Engine'!$A$46:$A$90,$A160,'06_Road_Engine'!$D$46:$D$90,"DRAIN"),0)</f>
        <v>0</v>
      </c>
      <c r="F160" s="23">
        <f>SUMPRODUCT(('03_Pipe_Engine'!$Y$3:$BC$3=$A160)*'03_Pipe_Engine'!$Y$6:$BC$20)</f>
        <v>0</v>
      </c>
      <c r="G160" s="23">
        <f>SUMPRODUCT(('04_Box_Engine'!$G$3:$AC$3=$A160)*'04_Box_Engine'!$G$6:$AC$24)</f>
        <v>0</v>
      </c>
      <c r="H160" s="23">
        <v>0</v>
      </c>
      <c r="I160" s="32"/>
      <c r="J160" s="23">
        <f t="shared" si="14"/>
        <v>0</v>
      </c>
      <c r="K160" s="23">
        <f t="array" ref="K160">IFERROR(INDEX('08_Rates'!$D$5:$D$198,MATCH($A160,'08_Rates'!$A$5:$A$198,0)),0)</f>
        <v>16600</v>
      </c>
      <c r="L160" s="23">
        <f t="shared" si="15"/>
        <v>0</v>
      </c>
    </row>
    <row r="161" spans="1:12" ht="15.75" customHeight="1" x14ac:dyDescent="0.3">
      <c r="B161" s="43" t="s">
        <v>2385</v>
      </c>
    </row>
    <row r="162" spans="1:12" ht="15.75" customHeight="1" x14ac:dyDescent="0.3">
      <c r="A162" s="44"/>
      <c r="B162" s="45" t="s">
        <v>2386</v>
      </c>
      <c r="C162" s="44"/>
      <c r="D162" s="44"/>
      <c r="E162" s="44"/>
      <c r="F162" s="44"/>
      <c r="G162" s="44"/>
      <c r="H162" s="44"/>
      <c r="I162" s="44"/>
      <c r="J162" s="44"/>
      <c r="K162" s="44"/>
      <c r="L162" s="46">
        <f>SUM(L146:L161)</f>
        <v>0</v>
      </c>
    </row>
    <row r="163" spans="1:12" ht="15.75" customHeight="1" x14ac:dyDescent="0.3"/>
    <row r="164" spans="1:12" ht="15.75" customHeight="1" x14ac:dyDescent="0.3">
      <c r="A164" s="39" t="s">
        <v>2110</v>
      </c>
      <c r="B164" s="40"/>
      <c r="C164" s="40"/>
      <c r="D164" s="40"/>
      <c r="E164" s="40"/>
      <c r="F164" s="40"/>
      <c r="G164" s="40"/>
      <c r="H164" s="40"/>
      <c r="I164" s="40"/>
      <c r="J164" s="40"/>
      <c r="K164" s="40"/>
      <c r="L164" s="40"/>
    </row>
    <row r="165" spans="1:12" ht="15.75" customHeight="1" x14ac:dyDescent="0.3">
      <c r="A165" s="17"/>
      <c r="B165" s="17"/>
      <c r="C165" s="17"/>
      <c r="D165" s="23"/>
      <c r="E165" s="23"/>
      <c r="F165" s="23"/>
      <c r="G165" s="23"/>
      <c r="H165" s="23"/>
      <c r="I165" s="32"/>
      <c r="J165" s="23"/>
      <c r="K165" s="23"/>
      <c r="L165" s="23"/>
    </row>
    <row r="166" spans="1:12" ht="15.75" customHeight="1" x14ac:dyDescent="0.3">
      <c r="B166" s="43" t="s">
        <v>2387</v>
      </c>
    </row>
    <row r="167" spans="1:12" ht="15.75" customHeight="1" x14ac:dyDescent="0.3">
      <c r="A167" s="17" t="s">
        <v>1917</v>
      </c>
      <c r="B167" s="17" t="str">
        <f t="array" ref="B167">IFERROR(INDEX('07_Items'!$B$5:$B$198,MATCH($A167,'07_Items'!$A$5:$A$198,0)),"")</f>
        <v>Excavate V-shaped ditches</v>
      </c>
      <c r="C167" s="17" t="str">
        <f t="array" ref="C167">IFERROR(INDEX('07_Items'!$C$5:$C$198,MATCH($A167,'07_Items'!$A$5:$A$198,0)),"")</f>
        <v>m</v>
      </c>
      <c r="D167" s="23">
        <f>IFERROR(SUMIFS('06_Road_Engine'!$E$46:$E$90,'06_Road_Engine'!$A$46:$A$90,$A167,'06_Road_Engine'!$D$46:$D$90,"EWKPVMT"),0)</f>
        <v>0</v>
      </c>
      <c r="E167" s="23">
        <f>IFERROR(SUMIFS('06_Road_Engine'!$E$46:$E$90,'06_Road_Engine'!$A$46:$A$90,$A167,'06_Road_Engine'!$D$46:$D$90,"DRAIN"),0)</f>
        <v>0</v>
      </c>
      <c r="F167" s="23">
        <f>SUMPRODUCT(('03_Pipe_Engine'!$Y$3:$BC$3=$A167)*'03_Pipe_Engine'!$Y$6:$BC$20)</f>
        <v>0</v>
      </c>
      <c r="G167" s="23">
        <f>SUMPRODUCT(('04_Box_Engine'!$G$3:$AC$3=$A167)*'04_Box_Engine'!$G$6:$AC$24)</f>
        <v>0</v>
      </c>
      <c r="H167" s="23">
        <v>0</v>
      </c>
      <c r="I167" s="32"/>
      <c r="J167" s="23">
        <f t="shared" ref="J167:J181" si="16">ROUND(SUM(D167:I167),2)</f>
        <v>0</v>
      </c>
      <c r="K167" s="23">
        <f t="array" ref="K167">IFERROR(INDEX('08_Rates'!$D$5:$D$198,MATCH($A167,'08_Rates'!$A$5:$A$198,0)),0)</f>
        <v>12</v>
      </c>
      <c r="L167" s="23">
        <f t="shared" ref="L167:L181" si="17">ROUND(J167*K167,2)</f>
        <v>0</v>
      </c>
    </row>
    <row r="168" spans="1:12" ht="15.75" customHeight="1" x14ac:dyDescent="0.3">
      <c r="A168" s="17" t="s">
        <v>1920</v>
      </c>
      <c r="B168" s="17" t="str">
        <f t="array" ref="B168">IFERROR(INDEX('07_Items'!$B$5:$B$198,MATCH($A168,'07_Items'!$A$5:$A$198,0)),"")</f>
        <v>Re-excavate V-shaped ditches</v>
      </c>
      <c r="C168" s="17" t="str">
        <f t="array" ref="C168">IFERROR(INDEX('07_Items'!$C$5:$C$198,MATCH($A168,'07_Items'!$A$5:$A$198,0)),"")</f>
        <v>m</v>
      </c>
      <c r="D168" s="23">
        <f>IFERROR(SUMIFS('06_Road_Engine'!$E$46:$E$90,'06_Road_Engine'!$A$46:$A$90,$A168,'06_Road_Engine'!$D$46:$D$90,"EWKPVMT"),0)</f>
        <v>0</v>
      </c>
      <c r="E168" s="23">
        <f>IFERROR(SUMIFS('06_Road_Engine'!$E$46:$E$90,'06_Road_Engine'!$A$46:$A$90,$A168,'06_Road_Engine'!$D$46:$D$90,"DRAIN"),0)</f>
        <v>0</v>
      </c>
      <c r="F168" s="23">
        <f>SUMPRODUCT(('03_Pipe_Engine'!$Y$3:$BC$3=$A168)*'03_Pipe_Engine'!$Y$6:$BC$20)</f>
        <v>0</v>
      </c>
      <c r="G168" s="23">
        <f>SUMPRODUCT(('04_Box_Engine'!$G$3:$AC$3=$A168)*'04_Box_Engine'!$G$6:$AC$24)</f>
        <v>0</v>
      </c>
      <c r="H168" s="23">
        <v>0</v>
      </c>
      <c r="I168" s="32"/>
      <c r="J168" s="23">
        <f t="shared" si="16"/>
        <v>0</v>
      </c>
      <c r="K168" s="23">
        <f t="array" ref="K168">IFERROR(INDEX('08_Rates'!$D$5:$D$198,MATCH($A168,'08_Rates'!$A$5:$A$198,0)),0)</f>
        <v>12</v>
      </c>
      <c r="L168" s="23">
        <f t="shared" si="17"/>
        <v>0</v>
      </c>
    </row>
    <row r="169" spans="1:12" ht="15.75" customHeight="1" x14ac:dyDescent="0.3">
      <c r="A169" s="17" t="s">
        <v>1922</v>
      </c>
      <c r="B169" s="17" t="str">
        <f t="array" ref="B169">IFERROR(INDEX('07_Items'!$B$5:$B$198,MATCH($A169,'07_Items'!$A$5:$A$198,0)),"")</f>
        <v>Clean V-shaped ditches</v>
      </c>
      <c r="C169" s="17" t="str">
        <f t="array" ref="C169">IFERROR(INDEX('07_Items'!$C$5:$C$198,MATCH($A169,'07_Items'!$A$5:$A$198,0)),"")</f>
        <v>m</v>
      </c>
      <c r="D169" s="23">
        <f>IFERROR(SUMIFS('06_Road_Engine'!$E$46:$E$90,'06_Road_Engine'!$A$46:$A$90,$A169,'06_Road_Engine'!$D$46:$D$90,"EWKPVMT"),0)</f>
        <v>0</v>
      </c>
      <c r="E169" s="23">
        <f>IFERROR(SUMIFS('06_Road_Engine'!$E$46:$E$90,'06_Road_Engine'!$A$46:$A$90,$A169,'06_Road_Engine'!$D$46:$D$90,"DRAIN"),0)</f>
        <v>0</v>
      </c>
      <c r="F169" s="23">
        <f>SUMPRODUCT(('03_Pipe_Engine'!$Y$3:$BC$3=$A169)*'03_Pipe_Engine'!$Y$6:$BC$20)</f>
        <v>0</v>
      </c>
      <c r="G169" s="23">
        <f>SUMPRODUCT(('04_Box_Engine'!$G$3:$AC$3=$A169)*'04_Box_Engine'!$G$6:$AC$24)</f>
        <v>0</v>
      </c>
      <c r="H169" s="23">
        <v>0</v>
      </c>
      <c r="I169" s="32"/>
      <c r="J169" s="23">
        <f t="shared" si="16"/>
        <v>0</v>
      </c>
      <c r="K169" s="23">
        <f t="array" ref="K169">IFERROR(INDEX('08_Rates'!$D$5:$D$198,MATCH($A169,'08_Rates'!$A$5:$A$198,0)),0)</f>
        <v>12</v>
      </c>
      <c r="L169" s="23">
        <f t="shared" si="17"/>
        <v>0</v>
      </c>
    </row>
    <row r="170" spans="1:12" ht="15.75" customHeight="1" x14ac:dyDescent="0.3">
      <c r="A170" s="17" t="s">
        <v>1924</v>
      </c>
      <c r="B170" s="17" t="str">
        <f t="array" ref="B170">IFERROR(INDEX('07_Items'!$B$5:$B$198,MATCH($A170,'07_Items'!$A$5:$A$198,0)),"")</f>
        <v>Excavate ditches for turnouts</v>
      </c>
      <c r="C170" s="17" t="str">
        <f t="array" ref="C170">IFERROR(INDEX('07_Items'!$C$5:$C$198,MATCH($A170,'07_Items'!$A$5:$A$198,0)),"")</f>
        <v>m</v>
      </c>
      <c r="D170" s="23">
        <f>IFERROR(SUMIFS('06_Road_Engine'!$E$46:$E$90,'06_Road_Engine'!$A$46:$A$90,$A170,'06_Road_Engine'!$D$46:$D$90,"EWKPVMT"),0)</f>
        <v>0</v>
      </c>
      <c r="E170" s="23">
        <f>IFERROR(SUMIFS('06_Road_Engine'!$E$46:$E$90,'06_Road_Engine'!$A$46:$A$90,$A170,'06_Road_Engine'!$D$46:$D$90,"DRAIN"),0)</f>
        <v>0</v>
      </c>
      <c r="F170" s="23">
        <f>SUMPRODUCT(('03_Pipe_Engine'!$Y$3:$BC$3=$A170)*'03_Pipe_Engine'!$Y$6:$BC$20)</f>
        <v>0</v>
      </c>
      <c r="G170" s="23">
        <f>SUMPRODUCT(('04_Box_Engine'!$G$3:$AC$3=$A170)*'04_Box_Engine'!$G$6:$AC$24)</f>
        <v>0</v>
      </c>
      <c r="H170" s="23">
        <v>0</v>
      </c>
      <c r="I170" s="32"/>
      <c r="J170" s="23">
        <f t="shared" si="16"/>
        <v>0</v>
      </c>
      <c r="K170" s="23">
        <f t="array" ref="K170">IFERROR(INDEX('08_Rates'!$D$5:$D$198,MATCH($A170,'08_Rates'!$A$5:$A$198,0)),0)</f>
        <v>12</v>
      </c>
      <c r="L170" s="23">
        <f t="shared" si="17"/>
        <v>0</v>
      </c>
    </row>
    <row r="171" spans="1:12" ht="15.75" customHeight="1" x14ac:dyDescent="0.3">
      <c r="A171" s="17" t="s">
        <v>1926</v>
      </c>
      <c r="B171" s="17" t="str">
        <f t="array" ref="B171">IFERROR(INDEX('07_Items'!$B$5:$B$198,MATCH($A171,'07_Items'!$A$5:$A$198,0)),"")</f>
        <v>Provision of scour checks</v>
      </c>
      <c r="C171" s="17" t="str">
        <f t="array" ref="C171">IFERROR(INDEX('07_Items'!$C$5:$C$198,MATCH($A171,'07_Items'!$A$5:$A$198,0)),"")</f>
        <v>nr</v>
      </c>
      <c r="D171" s="23">
        <f>IFERROR(SUMIFS('06_Road_Engine'!$E$46:$E$90,'06_Road_Engine'!$A$46:$A$90,$A171,'06_Road_Engine'!$D$46:$D$90,"EWKPVMT"),0)</f>
        <v>0</v>
      </c>
      <c r="E171" s="23">
        <f>IFERROR(SUMIFS('06_Road_Engine'!$E$46:$E$90,'06_Road_Engine'!$A$46:$A$90,$A171,'06_Road_Engine'!$D$46:$D$90,"DRAIN"),0)</f>
        <v>0</v>
      </c>
      <c r="F171" s="23">
        <f>SUMPRODUCT(('03_Pipe_Engine'!$Y$3:$BC$3=$A171)*'03_Pipe_Engine'!$Y$6:$BC$20)</f>
        <v>0</v>
      </c>
      <c r="G171" s="23">
        <f>SUMPRODUCT(('04_Box_Engine'!$G$3:$AC$3=$A171)*'04_Box_Engine'!$G$6:$AC$24)</f>
        <v>0</v>
      </c>
      <c r="H171" s="23">
        <v>0</v>
      </c>
      <c r="I171" s="32"/>
      <c r="J171" s="23">
        <f t="shared" si="16"/>
        <v>0</v>
      </c>
      <c r="K171" s="23">
        <f t="array" ref="K171">IFERROR(INDEX('08_Rates'!$D$5:$D$198,MATCH($A171,'08_Rates'!$A$5:$A$198,0)),0)</f>
        <v>12</v>
      </c>
      <c r="L171" s="23">
        <f t="shared" si="17"/>
        <v>0</v>
      </c>
    </row>
    <row r="172" spans="1:12" ht="15.75" customHeight="1" x14ac:dyDescent="0.3">
      <c r="A172" s="17" t="s">
        <v>1929</v>
      </c>
      <c r="B172" s="17" t="str">
        <f t="array" ref="B172">IFERROR(INDEX('07_Items'!$B$5:$B$198,MATCH($A172,'07_Items'!$A$5:$A$198,0)),"")</f>
        <v>450 × 450 concrete lined U-drain</v>
      </c>
      <c r="C172" s="17" t="str">
        <f t="array" ref="C172">IFERROR(INDEX('07_Items'!$C$5:$C$198,MATCH($A172,'07_Items'!$A$5:$A$198,0)),"")</f>
        <v>m</v>
      </c>
      <c r="D172" s="23">
        <f>IFERROR(SUMIFS('06_Road_Engine'!$E$46:$E$90,'06_Road_Engine'!$A$46:$A$90,$A172,'06_Road_Engine'!$D$46:$D$90,"EWKPVMT"),0)</f>
        <v>0</v>
      </c>
      <c r="E172" s="23">
        <f>IFERROR(SUMIFS('06_Road_Engine'!$E$46:$E$90,'06_Road_Engine'!$A$46:$A$90,$A172,'06_Road_Engine'!$D$46:$D$90,"DRAIN"),0)</f>
        <v>0</v>
      </c>
      <c r="F172" s="23">
        <f>SUMPRODUCT(('03_Pipe_Engine'!$Y$3:$BC$3=$A172)*'03_Pipe_Engine'!$Y$6:$BC$20)</f>
        <v>0</v>
      </c>
      <c r="G172" s="23">
        <f>SUMPRODUCT(('04_Box_Engine'!$G$3:$AC$3=$A172)*'04_Box_Engine'!$G$6:$AC$24)</f>
        <v>0</v>
      </c>
      <c r="H172" s="23">
        <v>0</v>
      </c>
      <c r="I172" s="32"/>
      <c r="J172" s="23">
        <f t="shared" si="16"/>
        <v>0</v>
      </c>
      <c r="K172" s="23">
        <f t="array" ref="K172">IFERROR(INDEX('08_Rates'!$D$5:$D$198,MATCH($A172,'08_Rates'!$A$5:$A$198,0)),0)</f>
        <v>1000</v>
      </c>
      <c r="L172" s="23">
        <f t="shared" si="17"/>
        <v>0</v>
      </c>
    </row>
    <row r="173" spans="1:12" ht="15.75" customHeight="1" x14ac:dyDescent="0.3">
      <c r="A173" s="17" t="s">
        <v>1937</v>
      </c>
      <c r="B173" s="17" t="str">
        <f t="array" ref="B173">IFERROR(INDEX('07_Items'!$B$5:$B$198,MATCH($A173,'07_Items'!$A$5:$A$198,0)),"")</f>
        <v>Trapezoidal concrete lined drain</v>
      </c>
      <c r="C173" s="17" t="str">
        <f t="array" ref="C173">IFERROR(INDEX('07_Items'!$C$5:$C$198,MATCH($A173,'07_Items'!$A$5:$A$198,0)),"")</f>
        <v>m</v>
      </c>
      <c r="D173" s="23">
        <f>IFERROR(SUMIFS('06_Road_Engine'!$E$46:$E$90,'06_Road_Engine'!$A$46:$A$90,$A173,'06_Road_Engine'!$D$46:$D$90,"EWKPVMT"),0)</f>
        <v>0</v>
      </c>
      <c r="E173" s="23">
        <f>IFERROR(SUMIFS('06_Road_Engine'!$E$46:$E$90,'06_Road_Engine'!$A$46:$A$90,$A173,'06_Road_Engine'!$D$46:$D$90,"DRAIN"),0)</f>
        <v>0</v>
      </c>
      <c r="F173" s="23">
        <f>SUMPRODUCT(('03_Pipe_Engine'!$Y$3:$BC$3=$A173)*'03_Pipe_Engine'!$Y$6:$BC$20)</f>
        <v>0</v>
      </c>
      <c r="G173" s="23">
        <f>SUMPRODUCT(('04_Box_Engine'!$G$3:$AC$3=$A173)*'04_Box_Engine'!$G$6:$AC$24)</f>
        <v>0</v>
      </c>
      <c r="H173" s="23">
        <v>0</v>
      </c>
      <c r="I173" s="32"/>
      <c r="J173" s="23">
        <f t="shared" si="16"/>
        <v>0</v>
      </c>
      <c r="K173" s="23">
        <f t="array" ref="K173">IFERROR(INDEX('08_Rates'!$D$5:$D$198,MATCH($A173,'08_Rates'!$A$5:$A$198,0)),0)</f>
        <v>1800</v>
      </c>
      <c r="L173" s="23">
        <f t="shared" si="17"/>
        <v>0</v>
      </c>
    </row>
    <row r="174" spans="1:12" ht="15.75" customHeight="1" x14ac:dyDescent="0.3">
      <c r="A174" s="17" t="s">
        <v>2111</v>
      </c>
      <c r="B174" s="17" t="str">
        <f t="array" ref="B174">IFERROR(INDEX('07_Items'!$B$5:$B$198,MATCH($A174,'07_Items'!$A$5:$A$198,0)),"")</f>
        <v>Concrete U-Drain cross-sectional (0.75-1.00 sq.m) [600 x 750 x 150mm thick wall internally]</v>
      </c>
      <c r="C174" s="17" t="str">
        <f t="array" ref="C174">IFERROR(INDEX('07_Items'!$C$5:$C$198,MATCH($A174,'07_Items'!$A$5:$A$198,0)),"")</f>
        <v>m</v>
      </c>
      <c r="D174" s="23">
        <f>IFERROR(SUMIFS('06_Road_Engine'!$E$46:$E$90,'06_Road_Engine'!$A$46:$A$90,$A174,'06_Road_Engine'!$D$46:$D$90,"EWKPVMT"),0)</f>
        <v>0</v>
      </c>
      <c r="E174" s="23">
        <f>IFERROR(SUMIFS('06_Road_Engine'!$E$46:$E$90,'06_Road_Engine'!$A$46:$A$90,$A174,'06_Road_Engine'!$D$46:$D$90,"DRAIN"),0)</f>
        <v>0</v>
      </c>
      <c r="F174" s="23">
        <f>SUMPRODUCT(('03_Pipe_Engine'!$Y$3:$BC$3=$A174)*'03_Pipe_Engine'!$Y$6:$BC$20)</f>
        <v>0</v>
      </c>
      <c r="G174" s="23">
        <f>SUMPRODUCT(('04_Box_Engine'!$G$3:$AC$3=$A174)*'04_Box_Engine'!$G$6:$AC$24)</f>
        <v>0</v>
      </c>
      <c r="H174" s="23">
        <v>0</v>
      </c>
      <c r="I174" s="32"/>
      <c r="J174" s="23">
        <f t="shared" si="16"/>
        <v>0</v>
      </c>
      <c r="K174" s="23">
        <f t="array" ref="K174">IFERROR(INDEX('08_Rates'!$D$5:$D$198,MATCH($A174,'08_Rates'!$A$5:$A$198,0)),0)</f>
        <v>1380</v>
      </c>
      <c r="L174" s="23">
        <f t="shared" si="17"/>
        <v>0</v>
      </c>
    </row>
    <row r="175" spans="1:12" ht="15.75" customHeight="1" x14ac:dyDescent="0.3">
      <c r="A175" s="17" t="s">
        <v>1931</v>
      </c>
      <c r="B175" s="17" t="str">
        <f t="array" ref="B175">IFERROR(INDEX('07_Items'!$B$5:$B$198,MATCH($A175,'07_Items'!$A$5:$A$198,0)),"")</f>
        <v>600 × 600 concrete lined U-drain</v>
      </c>
      <c r="C175" s="17" t="str">
        <f t="array" ref="C175">IFERROR(INDEX('07_Items'!$C$5:$C$198,MATCH($A175,'07_Items'!$A$5:$A$198,0)),"")</f>
        <v>m</v>
      </c>
      <c r="D175" s="23">
        <f>IFERROR(SUMIFS('06_Road_Engine'!$E$46:$E$90,'06_Road_Engine'!$A$46:$A$90,$A175,'06_Road_Engine'!$D$46:$D$90,"EWKPVMT"),0)</f>
        <v>0</v>
      </c>
      <c r="E175" s="23">
        <f>IFERROR(SUMIFS('06_Road_Engine'!$E$46:$E$90,'06_Road_Engine'!$A$46:$A$90,$A175,'06_Road_Engine'!$D$46:$D$90,"DRAIN"),0)</f>
        <v>0</v>
      </c>
      <c r="F175" s="23">
        <f>SUMPRODUCT(('03_Pipe_Engine'!$Y$3:$BC$3=$A175)*'03_Pipe_Engine'!$Y$6:$BC$20)</f>
        <v>0</v>
      </c>
      <c r="G175" s="23">
        <f>SUMPRODUCT(('04_Box_Engine'!$G$3:$AC$3=$A175)*'04_Box_Engine'!$G$6:$AC$24)</f>
        <v>0</v>
      </c>
      <c r="H175" s="23">
        <v>0</v>
      </c>
      <c r="I175" s="32"/>
      <c r="J175" s="23">
        <f t="shared" si="16"/>
        <v>0</v>
      </c>
      <c r="K175" s="23">
        <f t="array" ref="K175">IFERROR(INDEX('08_Rates'!$D$5:$D$198,MATCH($A175,'08_Rates'!$A$5:$A$198,0)),0)</f>
        <v>1364</v>
      </c>
      <c r="L175" s="23">
        <f t="shared" si="17"/>
        <v>0</v>
      </c>
    </row>
    <row r="176" spans="1:12" ht="15.75" customHeight="1" x14ac:dyDescent="0.3">
      <c r="A176" s="17" t="s">
        <v>1933</v>
      </c>
      <c r="B176" s="17" t="str">
        <f t="array" ref="B176">IFERROR(INDEX('07_Items'!$B$5:$B$198,MATCH($A176,'07_Items'!$A$5:$A$198,0)),"")</f>
        <v>750 × 750 concrete lined U-drain</v>
      </c>
      <c r="C176" s="17" t="str">
        <f t="array" ref="C176">IFERROR(INDEX('07_Items'!$C$5:$C$198,MATCH($A176,'07_Items'!$A$5:$A$198,0)),"")</f>
        <v>m</v>
      </c>
      <c r="D176" s="23">
        <f>IFERROR(SUMIFS('06_Road_Engine'!$E$46:$E$90,'06_Road_Engine'!$A$46:$A$90,$A176,'06_Road_Engine'!$D$46:$D$90,"EWKPVMT"),0)</f>
        <v>0</v>
      </c>
      <c r="E176" s="23">
        <f>IFERROR(SUMIFS('06_Road_Engine'!$E$46:$E$90,'06_Road_Engine'!$A$46:$A$90,$A176,'06_Road_Engine'!$D$46:$D$90,"DRAIN"),0)</f>
        <v>0</v>
      </c>
      <c r="F176" s="23">
        <f>SUMPRODUCT(('03_Pipe_Engine'!$Y$3:$BC$3=$A176)*'03_Pipe_Engine'!$Y$6:$BC$20)</f>
        <v>0</v>
      </c>
      <c r="G176" s="23">
        <f>SUMPRODUCT(('04_Box_Engine'!$G$3:$AC$3=$A176)*'04_Box_Engine'!$G$6:$AC$24)</f>
        <v>0</v>
      </c>
      <c r="H176" s="23">
        <v>0</v>
      </c>
      <c r="I176" s="32"/>
      <c r="J176" s="23">
        <f t="shared" si="16"/>
        <v>0</v>
      </c>
      <c r="K176" s="23">
        <f t="array" ref="K176">IFERROR(INDEX('08_Rates'!$D$5:$D$198,MATCH($A176,'08_Rates'!$A$5:$A$198,0)),0)</f>
        <v>1680</v>
      </c>
      <c r="L176" s="23">
        <f t="shared" si="17"/>
        <v>0</v>
      </c>
    </row>
    <row r="177" spans="1:12" ht="15.75" customHeight="1" x14ac:dyDescent="0.3">
      <c r="A177" s="17" t="s">
        <v>1935</v>
      </c>
      <c r="B177" s="17" t="str">
        <f t="array" ref="B177">IFERROR(INDEX('07_Items'!$B$5:$B$198,MATCH($A177,'07_Items'!$A$5:$A$198,0)),"")</f>
        <v>900 × 900 concrete lined U-drain</v>
      </c>
      <c r="C177" s="17" t="str">
        <f t="array" ref="C177">IFERROR(INDEX('07_Items'!$C$5:$C$198,MATCH($A177,'07_Items'!$A$5:$A$198,0)),"")</f>
        <v>m</v>
      </c>
      <c r="D177" s="23">
        <f>IFERROR(SUMIFS('06_Road_Engine'!$E$46:$E$90,'06_Road_Engine'!$A$46:$A$90,$A177,'06_Road_Engine'!$D$46:$D$90,"EWKPVMT"),0)</f>
        <v>0</v>
      </c>
      <c r="E177" s="23">
        <f>IFERROR(SUMIFS('06_Road_Engine'!$E$46:$E$90,'06_Road_Engine'!$A$46:$A$90,$A177,'06_Road_Engine'!$D$46:$D$90,"DRAIN"),0)</f>
        <v>0</v>
      </c>
      <c r="F177" s="23">
        <f>SUMPRODUCT(('03_Pipe_Engine'!$Y$3:$BC$3=$A177)*'03_Pipe_Engine'!$Y$6:$BC$20)</f>
        <v>0</v>
      </c>
      <c r="G177" s="23">
        <f>SUMPRODUCT(('04_Box_Engine'!$G$3:$AC$3=$A177)*'04_Box_Engine'!$G$6:$AC$24)</f>
        <v>0</v>
      </c>
      <c r="H177" s="23">
        <v>0</v>
      </c>
      <c r="I177" s="32"/>
      <c r="J177" s="23">
        <f t="shared" si="16"/>
        <v>0</v>
      </c>
      <c r="K177" s="23">
        <f t="array" ref="K177">IFERROR(INDEX('08_Rates'!$D$5:$D$198,MATCH($A177,'08_Rates'!$A$5:$A$198,0)),0)</f>
        <v>1950</v>
      </c>
      <c r="L177" s="23">
        <f t="shared" si="17"/>
        <v>0</v>
      </c>
    </row>
    <row r="178" spans="1:12" ht="15.75" customHeight="1" x14ac:dyDescent="0.3">
      <c r="A178" s="17" t="s">
        <v>1944</v>
      </c>
      <c r="B178" s="17" t="str">
        <f t="array" ref="B178">IFERROR(INDEX('07_Items'!$B$5:$B$198,MATCH($A178,'07_Items'!$A$5:$A$198,0)),"")</f>
        <v>Haulage fine agg. for drains (0-20 km)</v>
      </c>
      <c r="C178" s="17" t="str">
        <f t="array" ref="C178">IFERROR(INDEX('07_Items'!$C$5:$C$198,MATCH($A178,'07_Items'!$A$5:$A$198,0)),"")</f>
        <v>m³·km</v>
      </c>
      <c r="D178" s="23">
        <f>IFERROR(SUMIFS('06_Road_Engine'!$E$46:$E$90,'06_Road_Engine'!$A$46:$A$90,$A178,'06_Road_Engine'!$D$46:$D$90,"EWKPVMT"),0)</f>
        <v>0</v>
      </c>
      <c r="E178" s="23">
        <f>IFERROR(SUMIFS('06_Road_Engine'!$E$46:$E$90,'06_Road_Engine'!$A$46:$A$90,$A178,'06_Road_Engine'!$D$46:$D$90,"DRAIN"),0)</f>
        <v>0</v>
      </c>
      <c r="F178" s="23">
        <f>SUMPRODUCT(('03_Pipe_Engine'!$Y$3:$BC$3=$A178)*'03_Pipe_Engine'!$Y$6:$BC$20)</f>
        <v>0</v>
      </c>
      <c r="G178" s="23">
        <f>SUMPRODUCT(('04_Box_Engine'!$G$3:$AC$3=$A178)*'04_Box_Engine'!$G$6:$AC$24)</f>
        <v>0</v>
      </c>
      <c r="H178" s="23">
        <v>0</v>
      </c>
      <c r="I178" s="32"/>
      <c r="J178" s="23">
        <f t="shared" si="16"/>
        <v>0</v>
      </c>
      <c r="K178" s="23">
        <f t="array" ref="K178">IFERROR(INDEX('08_Rates'!$D$5:$D$198,MATCH($A178,'08_Rates'!$A$5:$A$198,0)),0)</f>
        <v>9</v>
      </c>
      <c r="L178" s="23">
        <f t="shared" si="17"/>
        <v>0</v>
      </c>
    </row>
    <row r="179" spans="1:12" ht="15.75" customHeight="1" x14ac:dyDescent="0.3">
      <c r="A179" s="17" t="s">
        <v>1946</v>
      </c>
      <c r="B179" s="17" t="str">
        <f t="array" ref="B179">IFERROR(INDEX('07_Items'!$B$5:$B$198,MATCH($A179,'07_Items'!$A$5:$A$198,0)),"")</f>
        <v>Haulage coarse agg. for drains (20-100 km)</v>
      </c>
      <c r="C179" s="17" t="str">
        <f t="array" ref="C179">IFERROR(INDEX('07_Items'!$C$5:$C$198,MATCH($A179,'07_Items'!$A$5:$A$198,0)),"")</f>
        <v>m³·km</v>
      </c>
      <c r="D179" s="23">
        <f>IFERROR(SUMIFS('06_Road_Engine'!$E$46:$E$90,'06_Road_Engine'!$A$46:$A$90,$A179,'06_Road_Engine'!$D$46:$D$90,"EWKPVMT"),0)</f>
        <v>0</v>
      </c>
      <c r="E179" s="23">
        <f>IFERROR(SUMIFS('06_Road_Engine'!$E$46:$E$90,'06_Road_Engine'!$A$46:$A$90,$A179,'06_Road_Engine'!$D$46:$D$90,"DRAIN"),0)</f>
        <v>0</v>
      </c>
      <c r="F179" s="23">
        <f>SUMPRODUCT(('03_Pipe_Engine'!$Y$3:$BC$3=$A179)*'03_Pipe_Engine'!$Y$6:$BC$20)</f>
        <v>0</v>
      </c>
      <c r="G179" s="23">
        <f>SUMPRODUCT(('04_Box_Engine'!$G$3:$AC$3=$A179)*'04_Box_Engine'!$G$6:$AC$24)</f>
        <v>0</v>
      </c>
      <c r="H179" s="23">
        <v>0</v>
      </c>
      <c r="I179" s="32"/>
      <c r="J179" s="23">
        <f t="shared" si="16"/>
        <v>0</v>
      </c>
      <c r="K179" s="23">
        <f t="array" ref="K179">IFERROR(INDEX('08_Rates'!$D$5:$D$198,MATCH($A179,'08_Rates'!$A$5:$A$198,0)),0)</f>
        <v>8.5</v>
      </c>
      <c r="L179" s="23">
        <f t="shared" si="17"/>
        <v>0</v>
      </c>
    </row>
    <row r="180" spans="1:12" ht="15.75" customHeight="1" x14ac:dyDescent="0.3">
      <c r="A180" s="17" t="s">
        <v>2113</v>
      </c>
      <c r="B180" s="17" t="str">
        <f t="array" ref="B180">IFERROR(INDEX('07_Items'!$B$5:$B$198,MATCH($A180,'07_Items'!$A$5:$A$198,0)),"")</f>
        <v>Haulage of aggregate in excess of 1km (100-250km)</v>
      </c>
      <c r="C180" s="17" t="str">
        <f t="array" ref="C180">IFERROR(INDEX('07_Items'!$C$5:$C$198,MATCH($A180,'07_Items'!$A$5:$A$198,0)),"")</f>
        <v>cu.m-km</v>
      </c>
      <c r="D180" s="23">
        <f>IFERROR(SUMIFS('06_Road_Engine'!$E$46:$E$90,'06_Road_Engine'!$A$46:$A$90,$A180,'06_Road_Engine'!$D$46:$D$90,"EWKPVMT"),0)</f>
        <v>0</v>
      </c>
      <c r="E180" s="23">
        <f>IFERROR(SUMIFS('06_Road_Engine'!$E$46:$E$90,'06_Road_Engine'!$A$46:$A$90,$A180,'06_Road_Engine'!$D$46:$D$90,"DRAIN"),0)</f>
        <v>0</v>
      </c>
      <c r="F180" s="23">
        <f>SUMPRODUCT(('03_Pipe_Engine'!$Y$3:$BC$3=$A180)*'03_Pipe_Engine'!$Y$6:$BC$20)</f>
        <v>0</v>
      </c>
      <c r="G180" s="23">
        <f>SUMPRODUCT(('04_Box_Engine'!$G$3:$AC$3=$A180)*'04_Box_Engine'!$G$6:$AC$24)</f>
        <v>0</v>
      </c>
      <c r="H180" s="23">
        <v>0</v>
      </c>
      <c r="I180" s="32"/>
      <c r="J180" s="23">
        <f t="shared" si="16"/>
        <v>0</v>
      </c>
      <c r="K180" s="23">
        <f t="array" ref="K180">IFERROR(INDEX('08_Rates'!$D$5:$D$198,MATCH($A180,'08_Rates'!$A$5:$A$198,0)),0)</f>
        <v>8</v>
      </c>
      <c r="L180" s="23">
        <f t="shared" si="17"/>
        <v>0</v>
      </c>
    </row>
    <row r="181" spans="1:12" ht="15.75" customHeight="1" x14ac:dyDescent="0.3">
      <c r="A181" s="17" t="s">
        <v>2115</v>
      </c>
      <c r="B181" s="17" t="str">
        <f t="array" ref="B181">IFERROR(INDEX('07_Items'!$B$5:$B$198,MATCH($A181,'07_Items'!$A$5:$A$198,0)),"")</f>
        <v>Haulage of aggregate in excess of 1km (100-250km)</v>
      </c>
      <c r="C181" s="17" t="str">
        <f t="array" ref="C181">IFERROR(INDEX('07_Items'!$C$5:$C$198,MATCH($A181,'07_Items'!$A$5:$A$198,0)),"")</f>
        <v>cu.m-km</v>
      </c>
      <c r="D181" s="23">
        <f>IFERROR(SUMIFS('06_Road_Engine'!$E$46:$E$90,'06_Road_Engine'!$A$46:$A$90,$A181,'06_Road_Engine'!$D$46:$D$90,"EWKPVMT"),0)</f>
        <v>0</v>
      </c>
      <c r="E181" s="23">
        <f>IFERROR(SUMIFS('06_Road_Engine'!$E$46:$E$90,'06_Road_Engine'!$A$46:$A$90,$A181,'06_Road_Engine'!$D$46:$D$90,"DRAIN"),0)</f>
        <v>0</v>
      </c>
      <c r="F181" s="23">
        <f>SUMPRODUCT(('03_Pipe_Engine'!$Y$3:$BC$3=$A181)*'03_Pipe_Engine'!$Y$6:$BC$20)</f>
        <v>0</v>
      </c>
      <c r="G181" s="23">
        <f>SUMPRODUCT(('04_Box_Engine'!$G$3:$AC$3=$A181)*'04_Box_Engine'!$G$6:$AC$24)</f>
        <v>0</v>
      </c>
      <c r="H181" s="23">
        <v>0</v>
      </c>
      <c r="I181" s="32"/>
      <c r="J181" s="23">
        <f t="shared" si="16"/>
        <v>0</v>
      </c>
      <c r="K181" s="23">
        <f t="array" ref="K181">IFERROR(INDEX('08_Rates'!$D$5:$D$198,MATCH($A181,'08_Rates'!$A$5:$A$198,0)),0)</f>
        <v>7</v>
      </c>
      <c r="L181" s="23">
        <f t="shared" si="17"/>
        <v>0</v>
      </c>
    </row>
    <row r="182" spans="1:12" ht="15.75" customHeight="1" x14ac:dyDescent="0.3">
      <c r="B182" s="43" t="s">
        <v>2388</v>
      </c>
    </row>
    <row r="183" spans="1:12" ht="15.75" customHeight="1" x14ac:dyDescent="0.3">
      <c r="A183" s="44"/>
      <c r="B183" s="45" t="s">
        <v>2389</v>
      </c>
      <c r="C183" s="44"/>
      <c r="D183" s="44"/>
      <c r="E183" s="44"/>
      <c r="F183" s="44"/>
      <c r="G183" s="44"/>
      <c r="H183" s="44"/>
      <c r="I183" s="44"/>
      <c r="J183" s="44"/>
      <c r="K183" s="44"/>
      <c r="L183" s="46">
        <f>SUM(L165:L182)</f>
        <v>0</v>
      </c>
    </row>
    <row r="184" spans="1:12" ht="15.75" customHeight="1" x14ac:dyDescent="0.3"/>
    <row r="185" spans="1:12" ht="15.75" customHeight="1" x14ac:dyDescent="0.3">
      <c r="A185" s="39" t="s">
        <v>2118</v>
      </c>
      <c r="B185" s="40"/>
      <c r="C185" s="40"/>
      <c r="D185" s="40"/>
      <c r="E185" s="40"/>
      <c r="F185" s="40"/>
      <c r="G185" s="40"/>
      <c r="H185" s="40"/>
      <c r="I185" s="40"/>
      <c r="J185" s="40"/>
      <c r="K185" s="40"/>
      <c r="L185" s="40"/>
    </row>
    <row r="186" spans="1:12" ht="15.75" customHeight="1" x14ac:dyDescent="0.3">
      <c r="A186" s="17"/>
      <c r="B186" s="17"/>
      <c r="C186" s="17"/>
      <c r="D186" s="23"/>
      <c r="E186" s="23"/>
      <c r="F186" s="23"/>
      <c r="G186" s="23"/>
      <c r="H186" s="23"/>
      <c r="I186" s="32"/>
      <c r="J186" s="23"/>
      <c r="K186" s="23"/>
      <c r="L186" s="23"/>
    </row>
    <row r="187" spans="1:12" ht="15.75" customHeight="1" x14ac:dyDescent="0.3">
      <c r="B187" s="43" t="s">
        <v>2390</v>
      </c>
    </row>
    <row r="188" spans="1:12" ht="15.75" customHeight="1" x14ac:dyDescent="0.3">
      <c r="B188" s="43" t="s">
        <v>2391</v>
      </c>
    </row>
    <row r="189" spans="1:12" ht="15.75" customHeight="1" x14ac:dyDescent="0.3">
      <c r="A189" s="17" t="s">
        <v>2116</v>
      </c>
      <c r="B189" s="17" t="str">
        <f t="array" ref="B189">IFERROR(INDEX('07_Items'!$B$5:$B$198,MATCH($A189,'07_Items'!$A$5:$A$198,0)),"")</f>
        <v>Barrel of U culvert</v>
      </c>
      <c r="C189" s="17" t="str">
        <f t="array" ref="C189">IFERROR(INDEX('07_Items'!$C$5:$C$198,MATCH($A189,'07_Items'!$A$5:$A$198,0)),"")</f>
        <v>m</v>
      </c>
      <c r="D189" s="23">
        <f>IFERROR(SUMIFS('06_Road_Engine'!$E$46:$E$90,'06_Road_Engine'!$A$46:$A$90,$A189,'06_Road_Engine'!$D$46:$D$90,"EWKPVMT"),0)</f>
        <v>0</v>
      </c>
      <c r="E189" s="23">
        <f>IFERROR(SUMIFS('06_Road_Engine'!$E$46:$E$90,'06_Road_Engine'!$A$46:$A$90,$A189,'06_Road_Engine'!$D$46:$D$90,"DRAIN"),0)</f>
        <v>0</v>
      </c>
      <c r="F189" s="23">
        <f>SUMPRODUCT(('03_Pipe_Engine'!$Y$3:$BC$3=$A189)*'03_Pipe_Engine'!$Y$6:$BC$20)</f>
        <v>0</v>
      </c>
      <c r="G189" s="23">
        <f>SUMPRODUCT(('04_Box_Engine'!$G$3:$AC$3=$A189)*'04_Box_Engine'!$G$6:$AC$24)</f>
        <v>0</v>
      </c>
      <c r="H189" s="23">
        <f>'05_UCulv_Engine'!T6</f>
        <v>0</v>
      </c>
      <c r="I189" s="32"/>
      <c r="J189" s="23">
        <f>ROUND(SUM(D189:I189),2)</f>
        <v>0</v>
      </c>
      <c r="K189" s="23">
        <f t="array" ref="K189">IFERROR(INDEX('08_Rates'!$D$5:$D$198,MATCH($A189,'08_Rates'!$A$5:$A$198,0)),0)</f>
        <v>1500</v>
      </c>
      <c r="L189" s="23">
        <f>ROUND(J189*K189,2)</f>
        <v>0</v>
      </c>
    </row>
    <row r="190" spans="1:12" ht="15.75" customHeight="1" x14ac:dyDescent="0.3">
      <c r="A190" s="17" t="s">
        <v>2119</v>
      </c>
      <c r="B190" s="17" t="str">
        <f t="array" ref="B190">IFERROR(INDEX('07_Items'!$B$5:$B$198,MATCH($A190,'07_Items'!$A$5:$A$198,0)),"")</f>
        <v>Catchpit inlet structure</v>
      </c>
      <c r="C190" s="17" t="str">
        <f t="array" ref="C190">IFERROR(INDEX('07_Items'!$C$5:$C$198,MATCH($A190,'07_Items'!$A$5:$A$198,0)),"")</f>
        <v>nr</v>
      </c>
      <c r="D190" s="23">
        <f>IFERROR(SUMIFS('06_Road_Engine'!$E$46:$E$90,'06_Road_Engine'!$A$46:$A$90,$A190,'06_Road_Engine'!$D$46:$D$90,"EWKPVMT"),0)</f>
        <v>0</v>
      </c>
      <c r="E190" s="23">
        <f>IFERROR(SUMIFS('06_Road_Engine'!$E$46:$E$90,'06_Road_Engine'!$A$46:$A$90,$A190,'06_Road_Engine'!$D$46:$D$90,"DRAIN"),0)</f>
        <v>0</v>
      </c>
      <c r="F190" s="23">
        <f>SUMPRODUCT(('03_Pipe_Engine'!$Y$3:$BC$3=$A190)*'03_Pipe_Engine'!$Y$6:$BC$20)</f>
        <v>0</v>
      </c>
      <c r="G190" s="23">
        <f>SUMPRODUCT(('04_Box_Engine'!$G$3:$AC$3=$A190)*'04_Box_Engine'!$G$6:$AC$24)</f>
        <v>0</v>
      </c>
      <c r="H190" s="23">
        <f>'05_UCulv_Engine'!U6</f>
        <v>0</v>
      </c>
      <c r="I190" s="32"/>
      <c r="J190" s="23">
        <f>ROUND(SUM(D190:I190),2)</f>
        <v>0</v>
      </c>
      <c r="K190" s="23">
        <f t="array" ref="K190">IFERROR(INDEX('08_Rates'!$D$5:$D$198,MATCH($A190,'08_Rates'!$A$5:$A$198,0)),0)</f>
        <v>1200</v>
      </c>
      <c r="L190" s="23">
        <f>ROUND(J190*K190,2)</f>
        <v>0</v>
      </c>
    </row>
    <row r="191" spans="1:12" ht="15.75" customHeight="1" x14ac:dyDescent="0.3">
      <c r="A191" s="17" t="s">
        <v>2120</v>
      </c>
      <c r="B191" s="17" t="str">
        <f t="array" ref="B191">IFERROR(INDEX('07_Items'!$B$5:$B$198,MATCH($A191,'07_Items'!$A$5:$A$198,0)),"")</f>
        <v>Wingwall and aprons outlet structure</v>
      </c>
      <c r="C191" s="17" t="str">
        <f t="array" ref="C191">IFERROR(INDEX('07_Items'!$C$5:$C$198,MATCH($A191,'07_Items'!$A$5:$A$198,0)),"")</f>
        <v>nr</v>
      </c>
      <c r="D191" s="23">
        <f>IFERROR(SUMIFS('06_Road_Engine'!$E$46:$E$90,'06_Road_Engine'!$A$46:$A$90,$A191,'06_Road_Engine'!$D$46:$D$90,"EWKPVMT"),0)</f>
        <v>0</v>
      </c>
      <c r="E191" s="23">
        <f>IFERROR(SUMIFS('06_Road_Engine'!$E$46:$E$90,'06_Road_Engine'!$A$46:$A$90,$A191,'06_Road_Engine'!$D$46:$D$90,"DRAIN"),0)</f>
        <v>0</v>
      </c>
      <c r="F191" s="23">
        <f>SUMPRODUCT(('03_Pipe_Engine'!$Y$3:$BC$3=$A191)*'03_Pipe_Engine'!$Y$6:$BC$20)</f>
        <v>0</v>
      </c>
      <c r="G191" s="23">
        <f>SUMPRODUCT(('04_Box_Engine'!$G$3:$AC$3=$A191)*'04_Box_Engine'!$G$6:$AC$24)</f>
        <v>0</v>
      </c>
      <c r="H191" s="23">
        <f>'05_UCulv_Engine'!V6</f>
        <v>0</v>
      </c>
      <c r="I191" s="32"/>
      <c r="J191" s="23">
        <f>ROUND(SUM(D191:I191),2)</f>
        <v>0</v>
      </c>
      <c r="K191" s="23">
        <f t="array" ref="K191">IFERROR(INDEX('08_Rates'!$D$5:$D$198,MATCH($A191,'08_Rates'!$A$5:$A$198,0)),0)</f>
        <v>1300</v>
      </c>
      <c r="L191" s="23">
        <f>ROUND(J191*K191,2)</f>
        <v>0</v>
      </c>
    </row>
    <row r="192" spans="1:12" ht="15.75" customHeight="1" x14ac:dyDescent="0.3">
      <c r="B192" s="43" t="s">
        <v>2392</v>
      </c>
    </row>
    <row r="193" spans="1:12" ht="15.75" customHeight="1" x14ac:dyDescent="0.3">
      <c r="A193" s="17" t="s">
        <v>2122</v>
      </c>
      <c r="B193" s="17" t="str">
        <f t="array" ref="B193">IFERROR(INDEX('07_Items'!$B$5:$B$198,MATCH($A193,'07_Items'!$A$5:$A$198,0)),"")</f>
        <v>Barrel of U culvert</v>
      </c>
      <c r="C193" s="17" t="str">
        <f t="array" ref="C193">IFERROR(INDEX('07_Items'!$C$5:$C$198,MATCH($A193,'07_Items'!$A$5:$A$198,0)),"")</f>
        <v>m</v>
      </c>
      <c r="D193" s="23">
        <f>IFERROR(SUMIFS('06_Road_Engine'!$E$46:$E$90,'06_Road_Engine'!$A$46:$A$90,$A193,'06_Road_Engine'!$D$46:$D$90,"EWKPVMT"),0)</f>
        <v>0</v>
      </c>
      <c r="E193" s="23">
        <f>IFERROR(SUMIFS('06_Road_Engine'!$E$46:$E$90,'06_Road_Engine'!$A$46:$A$90,$A193,'06_Road_Engine'!$D$46:$D$90,"DRAIN"),0)</f>
        <v>0</v>
      </c>
      <c r="F193" s="23">
        <f>SUMPRODUCT(('03_Pipe_Engine'!$Y$3:$BC$3=$A193)*'03_Pipe_Engine'!$Y$6:$BC$20)</f>
        <v>0</v>
      </c>
      <c r="G193" s="23">
        <f>SUMPRODUCT(('04_Box_Engine'!$G$3:$AC$3=$A193)*'04_Box_Engine'!$G$6:$AC$24)</f>
        <v>0</v>
      </c>
      <c r="H193" s="23">
        <f>'05_UCulv_Engine'!T7</f>
        <v>0</v>
      </c>
      <c r="I193" s="32"/>
      <c r="J193" s="23">
        <f>ROUND(SUM(D193:I193),2)</f>
        <v>0</v>
      </c>
      <c r="K193" s="23">
        <f t="array" ref="K193">IFERROR(INDEX('08_Rates'!$D$5:$D$198,MATCH($A193,'08_Rates'!$A$5:$A$198,0)),0)</f>
        <v>2000</v>
      </c>
      <c r="L193" s="23">
        <f>ROUND(J193*K193,2)</f>
        <v>0</v>
      </c>
    </row>
    <row r="194" spans="1:12" ht="15.75" customHeight="1" x14ac:dyDescent="0.3">
      <c r="A194" s="17" t="s">
        <v>2123</v>
      </c>
      <c r="B194" s="17" t="str">
        <f t="array" ref="B194">IFERROR(INDEX('07_Items'!$B$5:$B$198,MATCH($A194,'07_Items'!$A$5:$A$198,0)),"")</f>
        <v>Catchpit inlet structure</v>
      </c>
      <c r="C194" s="17" t="str">
        <f t="array" ref="C194">IFERROR(INDEX('07_Items'!$C$5:$C$198,MATCH($A194,'07_Items'!$A$5:$A$198,0)),"")</f>
        <v>nr</v>
      </c>
      <c r="D194" s="23">
        <f>IFERROR(SUMIFS('06_Road_Engine'!$E$46:$E$90,'06_Road_Engine'!$A$46:$A$90,$A194,'06_Road_Engine'!$D$46:$D$90,"EWKPVMT"),0)</f>
        <v>0</v>
      </c>
      <c r="E194" s="23">
        <f>IFERROR(SUMIFS('06_Road_Engine'!$E$46:$E$90,'06_Road_Engine'!$A$46:$A$90,$A194,'06_Road_Engine'!$D$46:$D$90,"DRAIN"),0)</f>
        <v>0</v>
      </c>
      <c r="F194" s="23">
        <f>SUMPRODUCT(('03_Pipe_Engine'!$Y$3:$BC$3=$A194)*'03_Pipe_Engine'!$Y$6:$BC$20)</f>
        <v>0</v>
      </c>
      <c r="G194" s="23">
        <f>SUMPRODUCT(('04_Box_Engine'!$G$3:$AC$3=$A194)*'04_Box_Engine'!$G$6:$AC$24)</f>
        <v>0</v>
      </c>
      <c r="H194" s="23">
        <f>'05_UCulv_Engine'!U7</f>
        <v>0</v>
      </c>
      <c r="I194" s="32"/>
      <c r="J194" s="23">
        <f>ROUND(SUM(D194:I194),2)</f>
        <v>0</v>
      </c>
      <c r="K194" s="23">
        <f t="array" ref="K194">IFERROR(INDEX('08_Rates'!$D$5:$D$198,MATCH($A194,'08_Rates'!$A$5:$A$198,0)),0)</f>
        <v>2200</v>
      </c>
      <c r="L194" s="23">
        <f>ROUND(J194*K194,2)</f>
        <v>0</v>
      </c>
    </row>
    <row r="195" spans="1:12" ht="15.75" customHeight="1" x14ac:dyDescent="0.3">
      <c r="A195" s="17" t="s">
        <v>2124</v>
      </c>
      <c r="B195" s="17" t="str">
        <f t="array" ref="B195">IFERROR(INDEX('07_Items'!$B$5:$B$198,MATCH($A195,'07_Items'!$A$5:$A$198,0)),"")</f>
        <v>Wingwall and aprons outlet structure</v>
      </c>
      <c r="C195" s="17" t="str">
        <f t="array" ref="C195">IFERROR(INDEX('07_Items'!$C$5:$C$198,MATCH($A195,'07_Items'!$A$5:$A$198,0)),"")</f>
        <v>nr</v>
      </c>
      <c r="D195" s="23">
        <f>IFERROR(SUMIFS('06_Road_Engine'!$E$46:$E$90,'06_Road_Engine'!$A$46:$A$90,$A195,'06_Road_Engine'!$D$46:$D$90,"EWKPVMT"),0)</f>
        <v>0</v>
      </c>
      <c r="E195" s="23">
        <f>IFERROR(SUMIFS('06_Road_Engine'!$E$46:$E$90,'06_Road_Engine'!$A$46:$A$90,$A195,'06_Road_Engine'!$D$46:$D$90,"DRAIN"),0)</f>
        <v>0</v>
      </c>
      <c r="F195" s="23">
        <f>SUMPRODUCT(('03_Pipe_Engine'!$Y$3:$BC$3=$A195)*'03_Pipe_Engine'!$Y$6:$BC$20)</f>
        <v>0</v>
      </c>
      <c r="G195" s="23">
        <f>SUMPRODUCT(('04_Box_Engine'!$G$3:$AC$3=$A195)*'04_Box_Engine'!$G$6:$AC$24)</f>
        <v>0</v>
      </c>
      <c r="H195" s="23">
        <f>'05_UCulv_Engine'!V7</f>
        <v>0</v>
      </c>
      <c r="I195" s="32"/>
      <c r="J195" s="23">
        <f>ROUND(SUM(D195:I195),2)</f>
        <v>0</v>
      </c>
      <c r="K195" s="23">
        <f t="array" ref="K195">IFERROR(INDEX('08_Rates'!$D$5:$D$198,MATCH($A195,'08_Rates'!$A$5:$A$198,0)),0)</f>
        <v>2400</v>
      </c>
      <c r="L195" s="23">
        <f>ROUND(J195*K195,2)</f>
        <v>0</v>
      </c>
    </row>
    <row r="196" spans="1:12" ht="15.75" customHeight="1" x14ac:dyDescent="0.3">
      <c r="B196" s="43" t="s">
        <v>2393</v>
      </c>
    </row>
    <row r="197" spans="1:12" ht="15.75" customHeight="1" x14ac:dyDescent="0.3">
      <c r="A197" s="17" t="s">
        <v>2125</v>
      </c>
      <c r="B197" s="17" t="str">
        <f t="array" ref="B197">IFERROR(INDEX('07_Items'!$B$5:$B$198,MATCH($A197,'07_Items'!$A$5:$A$198,0)),"")</f>
        <v>Barrel of U culvert</v>
      </c>
      <c r="C197" s="17" t="str">
        <f t="array" ref="C197">IFERROR(INDEX('07_Items'!$C$5:$C$198,MATCH($A197,'07_Items'!$A$5:$A$198,0)),"")</f>
        <v>m</v>
      </c>
      <c r="D197" s="23">
        <f>IFERROR(SUMIFS('06_Road_Engine'!$E$46:$E$90,'06_Road_Engine'!$A$46:$A$90,$A197,'06_Road_Engine'!$D$46:$D$90,"EWKPVMT"),0)</f>
        <v>0</v>
      </c>
      <c r="E197" s="23">
        <f>IFERROR(SUMIFS('06_Road_Engine'!$E$46:$E$90,'06_Road_Engine'!$A$46:$A$90,$A197,'06_Road_Engine'!$D$46:$D$90,"DRAIN"),0)</f>
        <v>0</v>
      </c>
      <c r="F197" s="23">
        <f>SUMPRODUCT(('03_Pipe_Engine'!$Y$3:$BC$3=$A197)*'03_Pipe_Engine'!$Y$6:$BC$20)</f>
        <v>0</v>
      </c>
      <c r="G197" s="23">
        <f>SUMPRODUCT(('04_Box_Engine'!$G$3:$AC$3=$A197)*'04_Box_Engine'!$G$6:$AC$24)</f>
        <v>0</v>
      </c>
      <c r="H197" s="23">
        <f>'05_UCulv_Engine'!T8</f>
        <v>0</v>
      </c>
      <c r="I197" s="32"/>
      <c r="J197" s="23">
        <f>ROUND(SUM(D197:I197),2)</f>
        <v>0</v>
      </c>
      <c r="K197" s="23">
        <f t="array" ref="K197">IFERROR(INDEX('08_Rates'!$D$5:$D$198,MATCH($A197,'08_Rates'!$A$5:$A$198,0)),0)</f>
        <v>2400</v>
      </c>
      <c r="L197" s="23">
        <f>ROUND(J197*K197,2)</f>
        <v>0</v>
      </c>
    </row>
    <row r="198" spans="1:12" ht="15.75" customHeight="1" x14ac:dyDescent="0.3">
      <c r="A198" s="17" t="s">
        <v>2126</v>
      </c>
      <c r="B198" s="17" t="str">
        <f t="array" ref="B198">IFERROR(INDEX('07_Items'!$B$5:$B$198,MATCH($A198,'07_Items'!$A$5:$A$198,0)),"")</f>
        <v>Catchpit inlet structure</v>
      </c>
      <c r="C198" s="17" t="str">
        <f t="array" ref="C198">IFERROR(INDEX('07_Items'!$C$5:$C$198,MATCH($A198,'07_Items'!$A$5:$A$198,0)),"")</f>
        <v>nr</v>
      </c>
      <c r="D198" s="23">
        <f>IFERROR(SUMIFS('06_Road_Engine'!$E$46:$E$90,'06_Road_Engine'!$A$46:$A$90,$A198,'06_Road_Engine'!$D$46:$D$90,"EWKPVMT"),0)</f>
        <v>0</v>
      </c>
      <c r="E198" s="23">
        <f>IFERROR(SUMIFS('06_Road_Engine'!$E$46:$E$90,'06_Road_Engine'!$A$46:$A$90,$A198,'06_Road_Engine'!$D$46:$D$90,"DRAIN"),0)</f>
        <v>0</v>
      </c>
      <c r="F198" s="23">
        <f>SUMPRODUCT(('03_Pipe_Engine'!$Y$3:$BC$3=$A198)*'03_Pipe_Engine'!$Y$6:$BC$20)</f>
        <v>0</v>
      </c>
      <c r="G198" s="23">
        <f>SUMPRODUCT(('04_Box_Engine'!$G$3:$AC$3=$A198)*'04_Box_Engine'!$G$6:$AC$24)</f>
        <v>0</v>
      </c>
      <c r="H198" s="23">
        <f>'05_UCulv_Engine'!U8</f>
        <v>0</v>
      </c>
      <c r="I198" s="32"/>
      <c r="J198" s="23">
        <f>ROUND(SUM(D198:I198),2)</f>
        <v>0</v>
      </c>
      <c r="K198" s="23">
        <f t="array" ref="K198">IFERROR(INDEX('08_Rates'!$D$5:$D$198,MATCH($A198,'08_Rates'!$A$5:$A$198,0)),0)</f>
        <v>2600</v>
      </c>
      <c r="L198" s="23">
        <f>ROUND(J198*K198,2)</f>
        <v>0</v>
      </c>
    </row>
    <row r="199" spans="1:12" ht="15.75" customHeight="1" x14ac:dyDescent="0.3">
      <c r="A199" s="17" t="s">
        <v>2127</v>
      </c>
      <c r="B199" s="17" t="str">
        <f t="array" ref="B199">IFERROR(INDEX('07_Items'!$B$5:$B$198,MATCH($A199,'07_Items'!$A$5:$A$198,0)),"")</f>
        <v>Wingwall and aprons outlet structure</v>
      </c>
      <c r="C199" s="17" t="str">
        <f t="array" ref="C199">IFERROR(INDEX('07_Items'!$C$5:$C$198,MATCH($A199,'07_Items'!$A$5:$A$198,0)),"")</f>
        <v>nr</v>
      </c>
      <c r="D199" s="23">
        <f>IFERROR(SUMIFS('06_Road_Engine'!$E$46:$E$90,'06_Road_Engine'!$A$46:$A$90,$A199,'06_Road_Engine'!$D$46:$D$90,"EWKPVMT"),0)</f>
        <v>0</v>
      </c>
      <c r="E199" s="23">
        <f>IFERROR(SUMIFS('06_Road_Engine'!$E$46:$E$90,'06_Road_Engine'!$A$46:$A$90,$A199,'06_Road_Engine'!$D$46:$D$90,"DRAIN"),0)</f>
        <v>0</v>
      </c>
      <c r="F199" s="23">
        <f>SUMPRODUCT(('03_Pipe_Engine'!$Y$3:$BC$3=$A199)*'03_Pipe_Engine'!$Y$6:$BC$20)</f>
        <v>0</v>
      </c>
      <c r="G199" s="23">
        <f>SUMPRODUCT(('04_Box_Engine'!$G$3:$AC$3=$A199)*'04_Box_Engine'!$G$6:$AC$24)</f>
        <v>0</v>
      </c>
      <c r="H199" s="23">
        <f>'05_UCulv_Engine'!V8</f>
        <v>0</v>
      </c>
      <c r="I199" s="32"/>
      <c r="J199" s="23">
        <f>ROUND(SUM(D199:I199),2)</f>
        <v>0</v>
      </c>
      <c r="K199" s="23">
        <f t="array" ref="K199">IFERROR(INDEX('08_Rates'!$D$5:$D$198,MATCH($A199,'08_Rates'!$A$5:$A$198,0)),0)</f>
        <v>2700</v>
      </c>
      <c r="L199" s="23">
        <f>ROUND(J199*K199,2)</f>
        <v>0</v>
      </c>
    </row>
    <row r="200" spans="1:12" ht="15.75" customHeight="1" x14ac:dyDescent="0.3">
      <c r="B200" s="43" t="s">
        <v>2394</v>
      </c>
    </row>
    <row r="201" spans="1:12" ht="15.75" customHeight="1" x14ac:dyDescent="0.3">
      <c r="A201" s="17" t="s">
        <v>2128</v>
      </c>
      <c r="B201" s="17" t="str">
        <f t="array" ref="B201">IFERROR(INDEX('07_Items'!$B$5:$B$198,MATCH($A201,'07_Items'!$A$5:$A$198,0)),"")</f>
        <v>Barrel of U culvert</v>
      </c>
      <c r="C201" s="17" t="str">
        <f t="array" ref="C201">IFERROR(INDEX('07_Items'!$C$5:$C$198,MATCH($A201,'07_Items'!$A$5:$A$198,0)),"")</f>
        <v>m</v>
      </c>
      <c r="D201" s="23">
        <f>IFERROR(SUMIFS('06_Road_Engine'!$E$46:$E$90,'06_Road_Engine'!$A$46:$A$90,$A201,'06_Road_Engine'!$D$46:$D$90,"EWKPVMT"),0)</f>
        <v>0</v>
      </c>
      <c r="E201" s="23">
        <f>IFERROR(SUMIFS('06_Road_Engine'!$E$46:$E$90,'06_Road_Engine'!$A$46:$A$90,$A201,'06_Road_Engine'!$D$46:$D$90,"DRAIN"),0)</f>
        <v>0</v>
      </c>
      <c r="F201" s="23">
        <f>SUMPRODUCT(('03_Pipe_Engine'!$Y$3:$BC$3=$A201)*'03_Pipe_Engine'!$Y$6:$BC$20)</f>
        <v>0</v>
      </c>
      <c r="G201" s="23">
        <f>SUMPRODUCT(('04_Box_Engine'!$G$3:$AC$3=$A201)*'04_Box_Engine'!$G$6:$AC$24)</f>
        <v>0</v>
      </c>
      <c r="H201" s="23">
        <f>'05_UCulv_Engine'!T9</f>
        <v>0</v>
      </c>
      <c r="I201" s="32"/>
      <c r="J201" s="23">
        <f>ROUND(SUM(D201:I201),2)</f>
        <v>0</v>
      </c>
      <c r="K201" s="23">
        <f t="array" ref="K201">IFERROR(INDEX('08_Rates'!$D$5:$D$198,MATCH($A201,'08_Rates'!$A$5:$A$198,0)),0)</f>
        <v>2800</v>
      </c>
      <c r="L201" s="23">
        <f>ROUND(J201*K201,2)</f>
        <v>0</v>
      </c>
    </row>
    <row r="202" spans="1:12" ht="15.75" customHeight="1" x14ac:dyDescent="0.3">
      <c r="A202" s="17" t="s">
        <v>2129</v>
      </c>
      <c r="B202" s="17" t="str">
        <f t="array" ref="B202">IFERROR(INDEX('07_Items'!$B$5:$B$198,MATCH($A202,'07_Items'!$A$5:$A$198,0)),"")</f>
        <v>Catchpit inlet structure</v>
      </c>
      <c r="C202" s="17" t="str">
        <f t="array" ref="C202">IFERROR(INDEX('07_Items'!$C$5:$C$198,MATCH($A202,'07_Items'!$A$5:$A$198,0)),"")</f>
        <v>nr</v>
      </c>
      <c r="D202" s="23">
        <f>IFERROR(SUMIFS('06_Road_Engine'!$E$46:$E$90,'06_Road_Engine'!$A$46:$A$90,$A202,'06_Road_Engine'!$D$46:$D$90,"EWKPVMT"),0)</f>
        <v>0</v>
      </c>
      <c r="E202" s="23">
        <f>IFERROR(SUMIFS('06_Road_Engine'!$E$46:$E$90,'06_Road_Engine'!$A$46:$A$90,$A202,'06_Road_Engine'!$D$46:$D$90,"DRAIN"),0)</f>
        <v>0</v>
      </c>
      <c r="F202" s="23">
        <f>SUMPRODUCT(('03_Pipe_Engine'!$Y$3:$BC$3=$A202)*'03_Pipe_Engine'!$Y$6:$BC$20)</f>
        <v>0</v>
      </c>
      <c r="G202" s="23">
        <f>SUMPRODUCT(('04_Box_Engine'!$G$3:$AC$3=$A202)*'04_Box_Engine'!$G$6:$AC$24)</f>
        <v>0</v>
      </c>
      <c r="H202" s="23">
        <f>'05_UCulv_Engine'!U9</f>
        <v>0</v>
      </c>
      <c r="I202" s="32"/>
      <c r="J202" s="23">
        <f>ROUND(SUM(D202:I202),2)</f>
        <v>0</v>
      </c>
      <c r="K202" s="23">
        <f t="array" ref="K202">IFERROR(INDEX('08_Rates'!$D$5:$D$198,MATCH($A202,'08_Rates'!$A$5:$A$198,0)),0)</f>
        <v>3000</v>
      </c>
      <c r="L202" s="23">
        <f>ROUND(J202*K202,2)</f>
        <v>0</v>
      </c>
    </row>
    <row r="203" spans="1:12" ht="15.75" customHeight="1" x14ac:dyDescent="0.3">
      <c r="A203" s="17" t="s">
        <v>2130</v>
      </c>
      <c r="B203" s="17" t="str">
        <f t="array" ref="B203">IFERROR(INDEX('07_Items'!$B$5:$B$198,MATCH($A203,'07_Items'!$A$5:$A$198,0)),"")</f>
        <v>Wingwall and aprons outlet structure</v>
      </c>
      <c r="C203" s="17" t="str">
        <f t="array" ref="C203">IFERROR(INDEX('07_Items'!$C$5:$C$198,MATCH($A203,'07_Items'!$A$5:$A$198,0)),"")</f>
        <v>nr</v>
      </c>
      <c r="D203" s="23">
        <f>IFERROR(SUMIFS('06_Road_Engine'!$E$46:$E$90,'06_Road_Engine'!$A$46:$A$90,$A203,'06_Road_Engine'!$D$46:$D$90,"EWKPVMT"),0)</f>
        <v>0</v>
      </c>
      <c r="E203" s="23">
        <f>IFERROR(SUMIFS('06_Road_Engine'!$E$46:$E$90,'06_Road_Engine'!$A$46:$A$90,$A203,'06_Road_Engine'!$D$46:$D$90,"DRAIN"),0)</f>
        <v>0</v>
      </c>
      <c r="F203" s="23">
        <f>SUMPRODUCT(('03_Pipe_Engine'!$Y$3:$BC$3=$A203)*'03_Pipe_Engine'!$Y$6:$BC$20)</f>
        <v>0</v>
      </c>
      <c r="G203" s="23">
        <f>SUMPRODUCT(('04_Box_Engine'!$G$3:$AC$3=$A203)*'04_Box_Engine'!$G$6:$AC$24)</f>
        <v>0</v>
      </c>
      <c r="H203" s="23">
        <f>'05_UCulv_Engine'!V9</f>
        <v>0</v>
      </c>
      <c r="I203" s="32"/>
      <c r="J203" s="23">
        <f>ROUND(SUM(D203:I203),2)</f>
        <v>0</v>
      </c>
      <c r="K203" s="23">
        <f t="array" ref="K203">IFERROR(INDEX('08_Rates'!$D$5:$D$198,MATCH($A203,'08_Rates'!$A$5:$A$198,0)),0)</f>
        <v>3200</v>
      </c>
      <c r="L203" s="23">
        <f>ROUND(J203*K203,2)</f>
        <v>0</v>
      </c>
    </row>
    <row r="204" spans="1:12" ht="15.75" customHeight="1" x14ac:dyDescent="0.3">
      <c r="A204" s="17" t="s">
        <v>2115</v>
      </c>
      <c r="B204" s="17" t="str">
        <f t="array" ref="B204">IFERROR(INDEX('07_Items'!$B$5:$B$198,MATCH($A204,'07_Items'!$A$5:$A$198,0)),"")</f>
        <v>Haulage of aggregate in excess of 1km (100-250km)</v>
      </c>
      <c r="C204" s="17" t="str">
        <f t="array" ref="C204">IFERROR(INDEX('07_Items'!$C$5:$C$198,MATCH($A204,'07_Items'!$A$5:$A$198,0)),"")</f>
        <v>cu.m-km</v>
      </c>
      <c r="D204" s="23">
        <f>IFERROR(SUMIFS('06_Road_Engine'!$E$46:$E$90,'06_Road_Engine'!$A$46:$A$90,$A204,'06_Road_Engine'!$D$46:$D$90,"EWKPVMT"),0)</f>
        <v>0</v>
      </c>
      <c r="E204" s="23">
        <f>IFERROR(SUMIFS('06_Road_Engine'!$E$46:$E$90,'06_Road_Engine'!$A$46:$A$90,$A204,'06_Road_Engine'!$D$46:$D$90,"DRAIN"),0)</f>
        <v>0</v>
      </c>
      <c r="F204" s="23">
        <f>SUMPRODUCT(('03_Pipe_Engine'!$Y$3:$BC$3=$A204)*'03_Pipe_Engine'!$Y$6:$BC$20)</f>
        <v>0</v>
      </c>
      <c r="G204" s="23">
        <f>SUMPRODUCT(('04_Box_Engine'!$G$3:$AC$3=$A204)*'04_Box_Engine'!$G$6:$AC$24)</f>
        <v>0</v>
      </c>
      <c r="H204" s="23">
        <v>0</v>
      </c>
      <c r="I204" s="32"/>
      <c r="J204" s="23">
        <f>ROUND(SUM(D204:I204),2)</f>
        <v>0</v>
      </c>
      <c r="K204" s="23">
        <f t="array" ref="K204">IFERROR(INDEX('08_Rates'!$D$5:$D$198,MATCH($A204,'08_Rates'!$A$5:$A$198,0)),0)</f>
        <v>7</v>
      </c>
      <c r="L204" s="23">
        <f>ROUND(J204*K204,2)</f>
        <v>0</v>
      </c>
    </row>
    <row r="205" spans="1:12" ht="15.75" customHeight="1" x14ac:dyDescent="0.3">
      <c r="B205" s="43" t="s">
        <v>2395</v>
      </c>
    </row>
    <row r="206" spans="1:12" ht="15.75" customHeight="1" x14ac:dyDescent="0.3">
      <c r="A206" s="17"/>
      <c r="B206" s="17"/>
      <c r="C206" s="17"/>
      <c r="D206" s="23"/>
      <c r="E206" s="23"/>
      <c r="F206" s="23"/>
      <c r="G206" s="23"/>
      <c r="H206" s="23"/>
      <c r="I206" s="32"/>
      <c r="J206" s="23"/>
      <c r="K206" s="23"/>
      <c r="L206" s="23"/>
    </row>
    <row r="207" spans="1:12" ht="15.75" customHeight="1" x14ac:dyDescent="0.3">
      <c r="B207" s="43" t="s">
        <v>2390</v>
      </c>
    </row>
    <row r="208" spans="1:12" ht="15.75" customHeight="1" x14ac:dyDescent="0.3">
      <c r="B208" s="43" t="s">
        <v>2396</v>
      </c>
    </row>
    <row r="209" spans="1:12" ht="15.75" customHeight="1" x14ac:dyDescent="0.3">
      <c r="A209" s="17" t="s">
        <v>2131</v>
      </c>
      <c r="B209" s="17" t="str">
        <f t="array" ref="B209">IFERROR(INDEX('07_Items'!$B$5:$B$198,MATCH($A209,'07_Items'!$A$5:$A$198,0)),"")</f>
        <v>Barrel of U culvert</v>
      </c>
      <c r="C209" s="17" t="str">
        <f t="array" ref="C209">IFERROR(INDEX('07_Items'!$C$5:$C$198,MATCH($A209,'07_Items'!$A$5:$A$198,0)),"")</f>
        <v>m</v>
      </c>
      <c r="D209" s="23">
        <f>IFERROR(SUMIFS('06_Road_Engine'!$E$46:$E$90,'06_Road_Engine'!$A$46:$A$90,$A209,'06_Road_Engine'!$D$46:$D$90,"EWKPVMT"),0)</f>
        <v>0</v>
      </c>
      <c r="E209" s="23">
        <f>IFERROR(SUMIFS('06_Road_Engine'!$E$46:$E$90,'06_Road_Engine'!$A$46:$A$90,$A209,'06_Road_Engine'!$D$46:$D$90,"DRAIN"),0)</f>
        <v>0</v>
      </c>
      <c r="F209" s="23">
        <f>SUMPRODUCT(('03_Pipe_Engine'!$Y$3:$BC$3=$A209)*'03_Pipe_Engine'!$Y$6:$BC$20)</f>
        <v>0</v>
      </c>
      <c r="G209" s="23">
        <f>SUMPRODUCT(('04_Box_Engine'!$G$3:$AC$3=$A209)*'04_Box_Engine'!$G$6:$AC$24)</f>
        <v>0</v>
      </c>
      <c r="H209" s="23">
        <f>'05_UCulv_Engine'!T10</f>
        <v>0</v>
      </c>
      <c r="I209" s="32"/>
      <c r="J209" s="23">
        <f>ROUND(SUM(D209:I209),2)</f>
        <v>0</v>
      </c>
      <c r="K209" s="23">
        <f t="array" ref="K209">IFERROR(INDEX('08_Rates'!$D$5:$D$198,MATCH($A209,'08_Rates'!$A$5:$A$198,0)),0)</f>
        <v>3200</v>
      </c>
      <c r="L209" s="23">
        <f>ROUND(J209*K209,2)</f>
        <v>0</v>
      </c>
    </row>
    <row r="210" spans="1:12" ht="15.75" customHeight="1" x14ac:dyDescent="0.3">
      <c r="A210" s="17" t="s">
        <v>2132</v>
      </c>
      <c r="B210" s="17" t="str">
        <f t="array" ref="B210">IFERROR(INDEX('07_Items'!$B$5:$B$198,MATCH($A210,'07_Items'!$A$5:$A$198,0)),"")</f>
        <v>Catchpit inlet structure</v>
      </c>
      <c r="C210" s="17" t="str">
        <f t="array" ref="C210">IFERROR(INDEX('07_Items'!$C$5:$C$198,MATCH($A210,'07_Items'!$A$5:$A$198,0)),"")</f>
        <v>nr</v>
      </c>
      <c r="D210" s="23">
        <f>IFERROR(SUMIFS('06_Road_Engine'!$E$46:$E$90,'06_Road_Engine'!$A$46:$A$90,$A210,'06_Road_Engine'!$D$46:$D$90,"EWKPVMT"),0)</f>
        <v>0</v>
      </c>
      <c r="E210" s="23">
        <f>IFERROR(SUMIFS('06_Road_Engine'!$E$46:$E$90,'06_Road_Engine'!$A$46:$A$90,$A210,'06_Road_Engine'!$D$46:$D$90,"DRAIN"),0)</f>
        <v>0</v>
      </c>
      <c r="F210" s="23">
        <f>SUMPRODUCT(('03_Pipe_Engine'!$Y$3:$BC$3=$A210)*'03_Pipe_Engine'!$Y$6:$BC$20)</f>
        <v>0</v>
      </c>
      <c r="G210" s="23">
        <f>SUMPRODUCT(('04_Box_Engine'!$G$3:$AC$3=$A210)*'04_Box_Engine'!$G$6:$AC$24)</f>
        <v>0</v>
      </c>
      <c r="H210" s="23">
        <f>'05_UCulv_Engine'!U10</f>
        <v>0</v>
      </c>
      <c r="I210" s="32"/>
      <c r="J210" s="23">
        <f>ROUND(SUM(D210:I210),2)</f>
        <v>0</v>
      </c>
      <c r="K210" s="23">
        <f t="array" ref="K210">IFERROR(INDEX('08_Rates'!$D$5:$D$198,MATCH($A210,'08_Rates'!$A$5:$A$198,0)),0)</f>
        <v>3400</v>
      </c>
      <c r="L210" s="23">
        <f>ROUND(J210*K210,2)</f>
        <v>0</v>
      </c>
    </row>
    <row r="211" spans="1:12" ht="15.75" customHeight="1" x14ac:dyDescent="0.3">
      <c r="A211" s="17" t="s">
        <v>2133</v>
      </c>
      <c r="B211" s="17" t="str">
        <f t="array" ref="B211">IFERROR(INDEX('07_Items'!$B$5:$B$198,MATCH($A211,'07_Items'!$A$5:$A$198,0)),"")</f>
        <v>Wingwall and aprons outlet structure</v>
      </c>
      <c r="C211" s="17" t="str">
        <f t="array" ref="C211">IFERROR(INDEX('07_Items'!$C$5:$C$198,MATCH($A211,'07_Items'!$A$5:$A$198,0)),"")</f>
        <v>nr</v>
      </c>
      <c r="D211" s="23">
        <f>IFERROR(SUMIFS('06_Road_Engine'!$E$46:$E$90,'06_Road_Engine'!$A$46:$A$90,$A211,'06_Road_Engine'!$D$46:$D$90,"EWKPVMT"),0)</f>
        <v>0</v>
      </c>
      <c r="E211" s="23">
        <f>IFERROR(SUMIFS('06_Road_Engine'!$E$46:$E$90,'06_Road_Engine'!$A$46:$A$90,$A211,'06_Road_Engine'!$D$46:$D$90,"DRAIN"),0)</f>
        <v>0</v>
      </c>
      <c r="F211" s="23">
        <f>SUMPRODUCT(('03_Pipe_Engine'!$Y$3:$BC$3=$A211)*'03_Pipe_Engine'!$Y$6:$BC$20)</f>
        <v>0</v>
      </c>
      <c r="G211" s="23">
        <f>SUMPRODUCT(('04_Box_Engine'!$G$3:$AC$3=$A211)*'04_Box_Engine'!$G$6:$AC$24)</f>
        <v>0</v>
      </c>
      <c r="H211" s="23">
        <f>'05_UCulv_Engine'!V10</f>
        <v>0</v>
      </c>
      <c r="I211" s="32"/>
      <c r="J211" s="23">
        <f>ROUND(SUM(D211:I211),2)</f>
        <v>0</v>
      </c>
      <c r="K211" s="23">
        <f t="array" ref="K211">IFERROR(INDEX('08_Rates'!$D$5:$D$198,MATCH($A211,'08_Rates'!$A$5:$A$198,0)),0)</f>
        <v>3500</v>
      </c>
      <c r="L211" s="23">
        <f>ROUND(J211*K211,2)</f>
        <v>0</v>
      </c>
    </row>
    <row r="212" spans="1:12" ht="15.75" customHeight="1" x14ac:dyDescent="0.3">
      <c r="B212" s="43" t="s">
        <v>2397</v>
      </c>
    </row>
    <row r="213" spans="1:12" ht="15.75" customHeight="1" x14ac:dyDescent="0.3">
      <c r="A213" s="17" t="s">
        <v>2134</v>
      </c>
      <c r="B213" s="17" t="str">
        <f t="array" ref="B213">IFERROR(INDEX('07_Items'!$B$5:$B$198,MATCH($A213,'07_Items'!$A$5:$A$198,0)),"")</f>
        <v>Barrel of U culvert</v>
      </c>
      <c r="C213" s="17" t="str">
        <f t="array" ref="C213">IFERROR(INDEX('07_Items'!$C$5:$C$198,MATCH($A213,'07_Items'!$A$5:$A$198,0)),"")</f>
        <v>m</v>
      </c>
      <c r="D213" s="23">
        <f>IFERROR(SUMIFS('06_Road_Engine'!$E$46:$E$90,'06_Road_Engine'!$A$46:$A$90,$A213,'06_Road_Engine'!$D$46:$D$90,"EWKPVMT"),0)</f>
        <v>0</v>
      </c>
      <c r="E213" s="23">
        <f>IFERROR(SUMIFS('06_Road_Engine'!$E$46:$E$90,'06_Road_Engine'!$A$46:$A$90,$A213,'06_Road_Engine'!$D$46:$D$90,"DRAIN"),0)</f>
        <v>0</v>
      </c>
      <c r="F213" s="23">
        <f>SUMPRODUCT(('03_Pipe_Engine'!$Y$3:$BC$3=$A213)*'03_Pipe_Engine'!$Y$6:$BC$20)</f>
        <v>0</v>
      </c>
      <c r="G213" s="23">
        <f>SUMPRODUCT(('04_Box_Engine'!$G$3:$AC$3=$A213)*'04_Box_Engine'!$G$6:$AC$24)</f>
        <v>0</v>
      </c>
      <c r="H213" s="23">
        <f>'05_UCulv_Engine'!T11</f>
        <v>0</v>
      </c>
      <c r="I213" s="32"/>
      <c r="J213" s="23">
        <f>ROUND(SUM(D213:I213),2)</f>
        <v>0</v>
      </c>
      <c r="K213" s="23">
        <f t="array" ref="K213">IFERROR(INDEX('08_Rates'!$D$5:$D$198,MATCH($A213,'08_Rates'!$A$5:$A$198,0)),0)</f>
        <v>3600</v>
      </c>
      <c r="L213" s="23">
        <f>ROUND(J213*K213,2)</f>
        <v>0</v>
      </c>
    </row>
    <row r="214" spans="1:12" ht="15.75" customHeight="1" x14ac:dyDescent="0.3">
      <c r="A214" s="17" t="s">
        <v>2135</v>
      </c>
      <c r="B214" s="17" t="str">
        <f t="array" ref="B214">IFERROR(INDEX('07_Items'!$B$5:$B$198,MATCH($A214,'07_Items'!$A$5:$A$198,0)),"")</f>
        <v>Catchpit inlet structure</v>
      </c>
      <c r="C214" s="17" t="str">
        <f t="array" ref="C214">IFERROR(INDEX('07_Items'!$C$5:$C$198,MATCH($A214,'07_Items'!$A$5:$A$198,0)),"")</f>
        <v>nr</v>
      </c>
      <c r="D214" s="23">
        <f>IFERROR(SUMIFS('06_Road_Engine'!$E$46:$E$90,'06_Road_Engine'!$A$46:$A$90,$A214,'06_Road_Engine'!$D$46:$D$90,"EWKPVMT"),0)</f>
        <v>0</v>
      </c>
      <c r="E214" s="23">
        <f>IFERROR(SUMIFS('06_Road_Engine'!$E$46:$E$90,'06_Road_Engine'!$A$46:$A$90,$A214,'06_Road_Engine'!$D$46:$D$90,"DRAIN"),0)</f>
        <v>0</v>
      </c>
      <c r="F214" s="23">
        <f>SUMPRODUCT(('03_Pipe_Engine'!$Y$3:$BC$3=$A214)*'03_Pipe_Engine'!$Y$6:$BC$20)</f>
        <v>0</v>
      </c>
      <c r="G214" s="23">
        <f>SUMPRODUCT(('04_Box_Engine'!$G$3:$AC$3=$A214)*'04_Box_Engine'!$G$6:$AC$24)</f>
        <v>0</v>
      </c>
      <c r="H214" s="23">
        <f>'05_UCulv_Engine'!U11</f>
        <v>0</v>
      </c>
      <c r="I214" s="32"/>
      <c r="J214" s="23">
        <f>ROUND(SUM(D214:I214),2)</f>
        <v>0</v>
      </c>
      <c r="K214" s="23">
        <f t="array" ref="K214">IFERROR(INDEX('08_Rates'!$D$5:$D$198,MATCH($A214,'08_Rates'!$A$5:$A$198,0)),0)</f>
        <v>3500</v>
      </c>
      <c r="L214" s="23">
        <f>ROUND(J214*K214,2)</f>
        <v>0</v>
      </c>
    </row>
    <row r="215" spans="1:12" ht="15.75" customHeight="1" x14ac:dyDescent="0.3">
      <c r="A215" s="17" t="s">
        <v>2136</v>
      </c>
      <c r="B215" s="17" t="str">
        <f t="array" ref="B215">IFERROR(INDEX('07_Items'!$B$5:$B$198,MATCH($A215,'07_Items'!$A$5:$A$198,0)),"")</f>
        <v>Wingwall and aprons outlet structure</v>
      </c>
      <c r="C215" s="17" t="str">
        <f t="array" ref="C215">IFERROR(INDEX('07_Items'!$C$5:$C$198,MATCH($A215,'07_Items'!$A$5:$A$198,0)),"")</f>
        <v>nr</v>
      </c>
      <c r="D215" s="23">
        <f>IFERROR(SUMIFS('06_Road_Engine'!$E$46:$E$90,'06_Road_Engine'!$A$46:$A$90,$A215,'06_Road_Engine'!$D$46:$D$90,"EWKPVMT"),0)</f>
        <v>0</v>
      </c>
      <c r="E215" s="23">
        <f>IFERROR(SUMIFS('06_Road_Engine'!$E$46:$E$90,'06_Road_Engine'!$A$46:$A$90,$A215,'06_Road_Engine'!$D$46:$D$90,"DRAIN"),0)</f>
        <v>0</v>
      </c>
      <c r="F215" s="23">
        <f>SUMPRODUCT(('03_Pipe_Engine'!$Y$3:$BC$3=$A215)*'03_Pipe_Engine'!$Y$6:$BC$20)</f>
        <v>0</v>
      </c>
      <c r="G215" s="23">
        <f>SUMPRODUCT(('04_Box_Engine'!$G$3:$AC$3=$A215)*'04_Box_Engine'!$G$6:$AC$24)</f>
        <v>0</v>
      </c>
      <c r="H215" s="23">
        <f>'05_UCulv_Engine'!V11</f>
        <v>0</v>
      </c>
      <c r="I215" s="32"/>
      <c r="J215" s="23">
        <f>ROUND(SUM(D215:I215),2)</f>
        <v>0</v>
      </c>
      <c r="K215" s="23">
        <f t="array" ref="K215">IFERROR(INDEX('08_Rates'!$D$5:$D$198,MATCH($A215,'08_Rates'!$A$5:$A$198,0)),0)</f>
        <v>3600</v>
      </c>
      <c r="L215" s="23">
        <f>ROUND(J215*K215,2)</f>
        <v>0</v>
      </c>
    </row>
    <row r="216" spans="1:12" ht="15.75" customHeight="1" x14ac:dyDescent="0.3">
      <c r="B216" s="43" t="s">
        <v>2398</v>
      </c>
    </row>
    <row r="217" spans="1:12" ht="15.75" customHeight="1" x14ac:dyDescent="0.3">
      <c r="A217" s="17" t="s">
        <v>2137</v>
      </c>
      <c r="B217" s="17" t="str">
        <f t="array" ref="B217">IFERROR(INDEX('07_Items'!$B$5:$B$198,MATCH($A217,'07_Items'!$A$5:$A$198,0)),"")</f>
        <v>Barrel of U culvert</v>
      </c>
      <c r="C217" s="17" t="str">
        <f t="array" ref="C217">IFERROR(INDEX('07_Items'!$C$5:$C$198,MATCH($A217,'07_Items'!$A$5:$A$198,0)),"")</f>
        <v>m</v>
      </c>
      <c r="D217" s="23">
        <f>IFERROR(SUMIFS('06_Road_Engine'!$E$46:$E$90,'06_Road_Engine'!$A$46:$A$90,$A217,'06_Road_Engine'!$D$46:$D$90,"EWKPVMT"),0)</f>
        <v>0</v>
      </c>
      <c r="E217" s="23">
        <f>IFERROR(SUMIFS('06_Road_Engine'!$E$46:$E$90,'06_Road_Engine'!$A$46:$A$90,$A217,'06_Road_Engine'!$D$46:$D$90,"DRAIN"),0)</f>
        <v>0</v>
      </c>
      <c r="F217" s="23">
        <f>SUMPRODUCT(('03_Pipe_Engine'!$Y$3:$BC$3=$A217)*'03_Pipe_Engine'!$Y$6:$BC$20)</f>
        <v>0</v>
      </c>
      <c r="G217" s="23">
        <f>SUMPRODUCT(('04_Box_Engine'!$G$3:$AC$3=$A217)*'04_Box_Engine'!$G$6:$AC$24)</f>
        <v>0</v>
      </c>
      <c r="H217" s="23">
        <f>'05_UCulv_Engine'!T12</f>
        <v>0</v>
      </c>
      <c r="I217" s="32"/>
      <c r="J217" s="23">
        <f>ROUND(SUM(D217:I217),2)</f>
        <v>0</v>
      </c>
      <c r="K217" s="23">
        <f t="array" ref="K217">IFERROR(INDEX('08_Rates'!$D$5:$D$198,MATCH($A217,'08_Rates'!$A$5:$A$198,0)),0)</f>
        <v>3800</v>
      </c>
      <c r="L217" s="23">
        <f>ROUND(J217*K217,2)</f>
        <v>0</v>
      </c>
    </row>
    <row r="218" spans="1:12" ht="15.75" customHeight="1" x14ac:dyDescent="0.3">
      <c r="A218" s="17" t="s">
        <v>2138</v>
      </c>
      <c r="B218" s="17" t="str">
        <f t="array" ref="B218">IFERROR(INDEX('07_Items'!$B$5:$B$198,MATCH($A218,'07_Items'!$A$5:$A$198,0)),"")</f>
        <v>Catchpit inlet structure</v>
      </c>
      <c r="C218" s="17" t="str">
        <f t="array" ref="C218">IFERROR(INDEX('07_Items'!$C$5:$C$198,MATCH($A218,'07_Items'!$A$5:$A$198,0)),"")</f>
        <v>nr</v>
      </c>
      <c r="D218" s="23">
        <f>IFERROR(SUMIFS('06_Road_Engine'!$E$46:$E$90,'06_Road_Engine'!$A$46:$A$90,$A218,'06_Road_Engine'!$D$46:$D$90,"EWKPVMT"),0)</f>
        <v>0</v>
      </c>
      <c r="E218" s="23">
        <f>IFERROR(SUMIFS('06_Road_Engine'!$E$46:$E$90,'06_Road_Engine'!$A$46:$A$90,$A218,'06_Road_Engine'!$D$46:$D$90,"DRAIN"),0)</f>
        <v>0</v>
      </c>
      <c r="F218" s="23">
        <f>SUMPRODUCT(('03_Pipe_Engine'!$Y$3:$BC$3=$A218)*'03_Pipe_Engine'!$Y$6:$BC$20)</f>
        <v>0</v>
      </c>
      <c r="G218" s="23">
        <f>SUMPRODUCT(('04_Box_Engine'!$G$3:$AC$3=$A218)*'04_Box_Engine'!$G$6:$AC$24)</f>
        <v>0</v>
      </c>
      <c r="H218" s="23">
        <f>'05_UCulv_Engine'!U12</f>
        <v>0</v>
      </c>
      <c r="I218" s="32"/>
      <c r="J218" s="23">
        <f>ROUND(SUM(D218:I218),2)</f>
        <v>0</v>
      </c>
      <c r="K218" s="23">
        <f t="array" ref="K218">IFERROR(INDEX('08_Rates'!$D$5:$D$198,MATCH($A218,'08_Rates'!$A$5:$A$198,0)),0)</f>
        <v>3600</v>
      </c>
      <c r="L218" s="23">
        <f>ROUND(J218*K218,2)</f>
        <v>0</v>
      </c>
    </row>
    <row r="219" spans="1:12" ht="15.75" customHeight="1" x14ac:dyDescent="0.3">
      <c r="A219" s="17" t="s">
        <v>2139</v>
      </c>
      <c r="B219" s="17" t="str">
        <f t="array" ref="B219">IFERROR(INDEX('07_Items'!$B$5:$B$198,MATCH($A219,'07_Items'!$A$5:$A$198,0)),"")</f>
        <v>Wingwall and aprons outlet structure</v>
      </c>
      <c r="C219" s="17" t="str">
        <f t="array" ref="C219">IFERROR(INDEX('07_Items'!$C$5:$C$198,MATCH($A219,'07_Items'!$A$5:$A$198,0)),"")</f>
        <v>nr</v>
      </c>
      <c r="D219" s="23">
        <f>IFERROR(SUMIFS('06_Road_Engine'!$E$46:$E$90,'06_Road_Engine'!$A$46:$A$90,$A219,'06_Road_Engine'!$D$46:$D$90,"EWKPVMT"),0)</f>
        <v>0</v>
      </c>
      <c r="E219" s="23">
        <f>IFERROR(SUMIFS('06_Road_Engine'!$E$46:$E$90,'06_Road_Engine'!$A$46:$A$90,$A219,'06_Road_Engine'!$D$46:$D$90,"DRAIN"),0)</f>
        <v>0</v>
      </c>
      <c r="F219" s="23">
        <f>SUMPRODUCT(('03_Pipe_Engine'!$Y$3:$BC$3=$A219)*'03_Pipe_Engine'!$Y$6:$BC$20)</f>
        <v>0</v>
      </c>
      <c r="G219" s="23">
        <f>SUMPRODUCT(('04_Box_Engine'!$G$3:$AC$3=$A219)*'04_Box_Engine'!$G$6:$AC$24)</f>
        <v>0</v>
      </c>
      <c r="H219" s="23">
        <f>'05_UCulv_Engine'!V12</f>
        <v>0</v>
      </c>
      <c r="I219" s="32"/>
      <c r="J219" s="23">
        <f>ROUND(SUM(D219:I219),2)</f>
        <v>0</v>
      </c>
      <c r="K219" s="23">
        <f t="array" ref="K219">IFERROR(INDEX('08_Rates'!$D$5:$D$198,MATCH($A219,'08_Rates'!$A$5:$A$198,0)),0)</f>
        <v>3800</v>
      </c>
      <c r="L219" s="23">
        <f>ROUND(J219*K219,2)</f>
        <v>0</v>
      </c>
    </row>
    <row r="220" spans="1:12" ht="15.75" customHeight="1" x14ac:dyDescent="0.3">
      <c r="B220" s="43" t="s">
        <v>2399</v>
      </c>
    </row>
    <row r="221" spans="1:12" ht="15.75" customHeight="1" x14ac:dyDescent="0.3">
      <c r="A221" s="17" t="s">
        <v>2140</v>
      </c>
      <c r="B221" s="17" t="str">
        <f t="array" ref="B221">IFERROR(INDEX('07_Items'!$B$5:$B$198,MATCH($A221,'07_Items'!$A$5:$A$198,0)),"")</f>
        <v>Barrel of U culvert</v>
      </c>
      <c r="C221" s="17" t="str">
        <f t="array" ref="C221">IFERROR(INDEX('07_Items'!$C$5:$C$198,MATCH($A221,'07_Items'!$A$5:$A$198,0)),"")</f>
        <v>m</v>
      </c>
      <c r="D221" s="23">
        <f>IFERROR(SUMIFS('06_Road_Engine'!$E$46:$E$90,'06_Road_Engine'!$A$46:$A$90,$A221,'06_Road_Engine'!$D$46:$D$90,"EWKPVMT"),0)</f>
        <v>0</v>
      </c>
      <c r="E221" s="23">
        <f>IFERROR(SUMIFS('06_Road_Engine'!$E$46:$E$90,'06_Road_Engine'!$A$46:$A$90,$A221,'06_Road_Engine'!$D$46:$D$90,"DRAIN"),0)</f>
        <v>0</v>
      </c>
      <c r="F221" s="23">
        <f>SUMPRODUCT(('03_Pipe_Engine'!$Y$3:$BC$3=$A221)*'03_Pipe_Engine'!$Y$6:$BC$20)</f>
        <v>0</v>
      </c>
      <c r="G221" s="23">
        <f>SUMPRODUCT(('04_Box_Engine'!$G$3:$AC$3=$A221)*'04_Box_Engine'!$G$6:$AC$24)</f>
        <v>0</v>
      </c>
      <c r="H221" s="23">
        <f>'05_UCulv_Engine'!T13</f>
        <v>0</v>
      </c>
      <c r="I221" s="32"/>
      <c r="J221" s="23">
        <f>ROUND(SUM(D221:I221),2)</f>
        <v>0</v>
      </c>
      <c r="K221" s="23">
        <f t="array" ref="K221">IFERROR(INDEX('08_Rates'!$D$5:$D$198,MATCH($A221,'08_Rates'!$A$5:$A$198,0)),0)</f>
        <v>4000</v>
      </c>
      <c r="L221" s="23">
        <f>ROUND(J221*K221,2)</f>
        <v>0</v>
      </c>
    </row>
    <row r="222" spans="1:12" ht="15.75" customHeight="1" x14ac:dyDescent="0.3">
      <c r="A222" s="17" t="s">
        <v>2141</v>
      </c>
      <c r="B222" s="17" t="str">
        <f t="array" ref="B222">IFERROR(INDEX('07_Items'!$B$5:$B$198,MATCH($A222,'07_Items'!$A$5:$A$198,0)),"")</f>
        <v>Catchpit inlet structure</v>
      </c>
      <c r="C222" s="17" t="str">
        <f t="array" ref="C222">IFERROR(INDEX('07_Items'!$C$5:$C$198,MATCH($A222,'07_Items'!$A$5:$A$198,0)),"")</f>
        <v>nr</v>
      </c>
      <c r="D222" s="23">
        <f>IFERROR(SUMIFS('06_Road_Engine'!$E$46:$E$90,'06_Road_Engine'!$A$46:$A$90,$A222,'06_Road_Engine'!$D$46:$D$90,"EWKPVMT"),0)</f>
        <v>0</v>
      </c>
      <c r="E222" s="23">
        <f>IFERROR(SUMIFS('06_Road_Engine'!$E$46:$E$90,'06_Road_Engine'!$A$46:$A$90,$A222,'06_Road_Engine'!$D$46:$D$90,"DRAIN"),0)</f>
        <v>0</v>
      </c>
      <c r="F222" s="23">
        <f>SUMPRODUCT(('03_Pipe_Engine'!$Y$3:$BC$3=$A222)*'03_Pipe_Engine'!$Y$6:$BC$20)</f>
        <v>0</v>
      </c>
      <c r="G222" s="23">
        <f>SUMPRODUCT(('04_Box_Engine'!$G$3:$AC$3=$A222)*'04_Box_Engine'!$G$6:$AC$24)</f>
        <v>0</v>
      </c>
      <c r="H222" s="23">
        <f>'05_UCulv_Engine'!U13</f>
        <v>0</v>
      </c>
      <c r="I222" s="32"/>
      <c r="J222" s="23">
        <f>ROUND(SUM(D222:I222),2)</f>
        <v>0</v>
      </c>
      <c r="K222" s="23">
        <f t="array" ref="K222">IFERROR(INDEX('08_Rates'!$D$5:$D$198,MATCH($A222,'08_Rates'!$A$5:$A$198,0)),0)</f>
        <v>3800</v>
      </c>
      <c r="L222" s="23">
        <f>ROUND(J222*K222,2)</f>
        <v>0</v>
      </c>
    </row>
    <row r="223" spans="1:12" ht="15.75" customHeight="1" x14ac:dyDescent="0.3">
      <c r="A223" s="17" t="s">
        <v>2142</v>
      </c>
      <c r="B223" s="17" t="str">
        <f t="array" ref="B223">IFERROR(INDEX('07_Items'!$B$5:$B$198,MATCH($A223,'07_Items'!$A$5:$A$198,0)),"")</f>
        <v>Wingwall and aprons outlet structure</v>
      </c>
      <c r="C223" s="17" t="str">
        <f t="array" ref="C223">IFERROR(INDEX('07_Items'!$C$5:$C$198,MATCH($A223,'07_Items'!$A$5:$A$198,0)),"")</f>
        <v>nr</v>
      </c>
      <c r="D223" s="23">
        <f>IFERROR(SUMIFS('06_Road_Engine'!$E$46:$E$90,'06_Road_Engine'!$A$46:$A$90,$A223,'06_Road_Engine'!$D$46:$D$90,"EWKPVMT"),0)</f>
        <v>0</v>
      </c>
      <c r="E223" s="23">
        <f>IFERROR(SUMIFS('06_Road_Engine'!$E$46:$E$90,'06_Road_Engine'!$A$46:$A$90,$A223,'06_Road_Engine'!$D$46:$D$90,"DRAIN"),0)</f>
        <v>0</v>
      </c>
      <c r="F223" s="23">
        <f>SUMPRODUCT(('03_Pipe_Engine'!$Y$3:$BC$3=$A223)*'03_Pipe_Engine'!$Y$6:$BC$20)</f>
        <v>0</v>
      </c>
      <c r="G223" s="23">
        <f>SUMPRODUCT(('04_Box_Engine'!$G$3:$AC$3=$A223)*'04_Box_Engine'!$G$6:$AC$24)</f>
        <v>0</v>
      </c>
      <c r="H223" s="23">
        <f>'05_UCulv_Engine'!V13</f>
        <v>0</v>
      </c>
      <c r="I223" s="32"/>
      <c r="J223" s="23">
        <f>ROUND(SUM(D223:I223),2)</f>
        <v>0</v>
      </c>
      <c r="K223" s="23">
        <f t="array" ref="K223">IFERROR(INDEX('08_Rates'!$D$5:$D$198,MATCH($A223,'08_Rates'!$A$5:$A$198,0)),0)</f>
        <v>3600</v>
      </c>
      <c r="L223" s="23">
        <f>ROUND(J223*K223,2)</f>
        <v>0</v>
      </c>
    </row>
    <row r="224" spans="1:12" ht="15.75" customHeight="1" x14ac:dyDescent="0.3">
      <c r="B224" s="43" t="s">
        <v>2395</v>
      </c>
    </row>
    <row r="225" spans="1:12" ht="15.75" customHeight="1" x14ac:dyDescent="0.3">
      <c r="A225" s="17"/>
      <c r="B225" s="17"/>
      <c r="C225" s="17"/>
      <c r="D225" s="23"/>
      <c r="E225" s="23"/>
      <c r="F225" s="23"/>
      <c r="G225" s="23"/>
      <c r="H225" s="23"/>
      <c r="I225" s="32"/>
      <c r="J225" s="23"/>
      <c r="K225" s="23"/>
      <c r="L225" s="23"/>
    </row>
    <row r="226" spans="1:12" ht="15.75" customHeight="1" x14ac:dyDescent="0.3">
      <c r="B226" s="43" t="s">
        <v>2390</v>
      </c>
    </row>
    <row r="227" spans="1:12" ht="15.75" customHeight="1" x14ac:dyDescent="0.3">
      <c r="B227" s="43" t="s">
        <v>2400</v>
      </c>
    </row>
    <row r="228" spans="1:12" ht="15.75" customHeight="1" x14ac:dyDescent="0.3">
      <c r="A228" s="17" t="s">
        <v>2143</v>
      </c>
      <c r="B228" s="17" t="str">
        <f t="array" ref="B228">IFERROR(INDEX('07_Items'!$B$5:$B$198,MATCH($A228,'07_Items'!$A$5:$A$198,0)),"")</f>
        <v>Barrel of U culvert</v>
      </c>
      <c r="C228" s="17" t="str">
        <f t="array" ref="C228">IFERROR(INDEX('07_Items'!$C$5:$C$198,MATCH($A228,'07_Items'!$A$5:$A$198,0)),"")</f>
        <v>m</v>
      </c>
      <c r="D228" s="23">
        <f>IFERROR(SUMIFS('06_Road_Engine'!$E$46:$E$90,'06_Road_Engine'!$A$46:$A$90,$A228,'06_Road_Engine'!$D$46:$D$90,"EWKPVMT"),0)</f>
        <v>0</v>
      </c>
      <c r="E228" s="23">
        <f>IFERROR(SUMIFS('06_Road_Engine'!$E$46:$E$90,'06_Road_Engine'!$A$46:$A$90,$A228,'06_Road_Engine'!$D$46:$D$90,"DRAIN"),0)</f>
        <v>0</v>
      </c>
      <c r="F228" s="23">
        <f>SUMPRODUCT(('03_Pipe_Engine'!$Y$3:$BC$3=$A228)*'03_Pipe_Engine'!$Y$6:$BC$20)</f>
        <v>0</v>
      </c>
      <c r="G228" s="23">
        <f>SUMPRODUCT(('04_Box_Engine'!$G$3:$AC$3=$A228)*'04_Box_Engine'!$G$6:$AC$24)</f>
        <v>0</v>
      </c>
      <c r="H228" s="23">
        <f>'05_UCulv_Engine'!T14</f>
        <v>0</v>
      </c>
      <c r="I228" s="32"/>
      <c r="J228" s="23">
        <f>ROUND(SUM(D228:I228),2)</f>
        <v>0</v>
      </c>
      <c r="K228" s="23">
        <f t="array" ref="K228">IFERROR(INDEX('08_Rates'!$D$5:$D$198,MATCH($A228,'08_Rates'!$A$5:$A$198,0)),0)</f>
        <v>4200</v>
      </c>
      <c r="L228" s="23">
        <f>ROUND(J228*K228,2)</f>
        <v>0</v>
      </c>
    </row>
    <row r="229" spans="1:12" ht="15.75" customHeight="1" x14ac:dyDescent="0.3">
      <c r="A229" s="17" t="s">
        <v>2144</v>
      </c>
      <c r="B229" s="17" t="str">
        <f t="array" ref="B229">IFERROR(INDEX('07_Items'!$B$5:$B$198,MATCH($A229,'07_Items'!$A$5:$A$198,0)),"")</f>
        <v>Catchpit inlet structure</v>
      </c>
      <c r="C229" s="17" t="str">
        <f t="array" ref="C229">IFERROR(INDEX('07_Items'!$C$5:$C$198,MATCH($A229,'07_Items'!$A$5:$A$198,0)),"")</f>
        <v>nr</v>
      </c>
      <c r="D229" s="23">
        <f>IFERROR(SUMIFS('06_Road_Engine'!$E$46:$E$90,'06_Road_Engine'!$A$46:$A$90,$A229,'06_Road_Engine'!$D$46:$D$90,"EWKPVMT"),0)</f>
        <v>0</v>
      </c>
      <c r="E229" s="23">
        <f>IFERROR(SUMIFS('06_Road_Engine'!$E$46:$E$90,'06_Road_Engine'!$A$46:$A$90,$A229,'06_Road_Engine'!$D$46:$D$90,"DRAIN"),0)</f>
        <v>0</v>
      </c>
      <c r="F229" s="23">
        <f>SUMPRODUCT(('03_Pipe_Engine'!$Y$3:$BC$3=$A229)*'03_Pipe_Engine'!$Y$6:$BC$20)</f>
        <v>0</v>
      </c>
      <c r="G229" s="23">
        <f>SUMPRODUCT(('04_Box_Engine'!$G$3:$AC$3=$A229)*'04_Box_Engine'!$G$6:$AC$24)</f>
        <v>0</v>
      </c>
      <c r="H229" s="23">
        <f>'05_UCulv_Engine'!U14</f>
        <v>0</v>
      </c>
      <c r="I229" s="32"/>
      <c r="J229" s="23">
        <f>ROUND(SUM(D229:I229),2)</f>
        <v>0</v>
      </c>
      <c r="K229" s="23">
        <f t="array" ref="K229">IFERROR(INDEX('08_Rates'!$D$5:$D$198,MATCH($A229,'08_Rates'!$A$5:$A$198,0)),0)</f>
        <v>4000</v>
      </c>
      <c r="L229" s="23">
        <f>ROUND(J229*K229,2)</f>
        <v>0</v>
      </c>
    </row>
    <row r="230" spans="1:12" ht="15.75" customHeight="1" x14ac:dyDescent="0.3">
      <c r="A230" s="17" t="s">
        <v>2145</v>
      </c>
      <c r="B230" s="17" t="str">
        <f t="array" ref="B230">IFERROR(INDEX('07_Items'!$B$5:$B$198,MATCH($A230,'07_Items'!$A$5:$A$198,0)),"")</f>
        <v>Wingwall and aprons outlet structure</v>
      </c>
      <c r="C230" s="17" t="str">
        <f t="array" ref="C230">IFERROR(INDEX('07_Items'!$C$5:$C$198,MATCH($A230,'07_Items'!$A$5:$A$198,0)),"")</f>
        <v>nr</v>
      </c>
      <c r="D230" s="23">
        <f>IFERROR(SUMIFS('06_Road_Engine'!$E$46:$E$90,'06_Road_Engine'!$A$46:$A$90,$A230,'06_Road_Engine'!$D$46:$D$90,"EWKPVMT"),0)</f>
        <v>0</v>
      </c>
      <c r="E230" s="23">
        <f>IFERROR(SUMIFS('06_Road_Engine'!$E$46:$E$90,'06_Road_Engine'!$A$46:$A$90,$A230,'06_Road_Engine'!$D$46:$D$90,"DRAIN"),0)</f>
        <v>0</v>
      </c>
      <c r="F230" s="23">
        <f>SUMPRODUCT(('03_Pipe_Engine'!$Y$3:$BC$3=$A230)*'03_Pipe_Engine'!$Y$6:$BC$20)</f>
        <v>0</v>
      </c>
      <c r="G230" s="23">
        <f>SUMPRODUCT(('04_Box_Engine'!$G$3:$AC$3=$A230)*'04_Box_Engine'!$G$6:$AC$24)</f>
        <v>0</v>
      </c>
      <c r="H230" s="23">
        <f>'05_UCulv_Engine'!V14</f>
        <v>0</v>
      </c>
      <c r="I230" s="32"/>
      <c r="J230" s="23">
        <f>ROUND(SUM(D230:I230),2)</f>
        <v>0</v>
      </c>
      <c r="K230" s="23">
        <f t="array" ref="K230">IFERROR(INDEX('08_Rates'!$D$5:$D$198,MATCH($A230,'08_Rates'!$A$5:$A$198,0)),0)</f>
        <v>3600</v>
      </c>
      <c r="L230" s="23">
        <f>ROUND(J230*K230,2)</f>
        <v>0</v>
      </c>
    </row>
    <row r="231" spans="1:12" ht="15.75" customHeight="1" x14ac:dyDescent="0.3">
      <c r="B231" s="43" t="s">
        <v>2401</v>
      </c>
    </row>
    <row r="232" spans="1:12" ht="15.75" customHeight="1" x14ac:dyDescent="0.3">
      <c r="A232" s="17" t="s">
        <v>2146</v>
      </c>
      <c r="B232" s="17" t="str">
        <f t="array" ref="B232">IFERROR(INDEX('07_Items'!$B$5:$B$198,MATCH($A232,'07_Items'!$A$5:$A$198,0)),"")</f>
        <v>Barrel of U culvert</v>
      </c>
      <c r="C232" s="17" t="str">
        <f t="array" ref="C232">IFERROR(INDEX('07_Items'!$C$5:$C$198,MATCH($A232,'07_Items'!$A$5:$A$198,0)),"")</f>
        <v>m</v>
      </c>
      <c r="D232" s="23">
        <f>IFERROR(SUMIFS('06_Road_Engine'!$E$46:$E$90,'06_Road_Engine'!$A$46:$A$90,$A232,'06_Road_Engine'!$D$46:$D$90,"EWKPVMT"),0)</f>
        <v>0</v>
      </c>
      <c r="E232" s="23">
        <f>IFERROR(SUMIFS('06_Road_Engine'!$E$46:$E$90,'06_Road_Engine'!$A$46:$A$90,$A232,'06_Road_Engine'!$D$46:$D$90,"DRAIN"),0)</f>
        <v>0</v>
      </c>
      <c r="F232" s="23">
        <f>SUMPRODUCT(('03_Pipe_Engine'!$Y$3:$BC$3=$A232)*'03_Pipe_Engine'!$Y$6:$BC$20)</f>
        <v>0</v>
      </c>
      <c r="G232" s="23">
        <f>SUMPRODUCT(('04_Box_Engine'!$G$3:$AC$3=$A232)*'04_Box_Engine'!$G$6:$AC$24)</f>
        <v>0</v>
      </c>
      <c r="H232" s="23">
        <f>'05_UCulv_Engine'!T15</f>
        <v>0</v>
      </c>
      <c r="I232" s="32"/>
      <c r="J232" s="23">
        <f>ROUND(SUM(D232:I232),2)</f>
        <v>0</v>
      </c>
      <c r="K232" s="23">
        <f t="array" ref="K232">IFERROR(INDEX('08_Rates'!$D$5:$D$198,MATCH($A232,'08_Rates'!$A$5:$A$198,0)),0)</f>
        <v>4500</v>
      </c>
      <c r="L232" s="23">
        <f>ROUND(J232*K232,2)</f>
        <v>0</v>
      </c>
    </row>
    <row r="233" spans="1:12" ht="15.75" customHeight="1" x14ac:dyDescent="0.3">
      <c r="A233" s="17" t="s">
        <v>2147</v>
      </c>
      <c r="B233" s="17" t="str">
        <f t="array" ref="B233">IFERROR(INDEX('07_Items'!$B$5:$B$198,MATCH($A233,'07_Items'!$A$5:$A$198,0)),"")</f>
        <v>Catchpit inlet structure</v>
      </c>
      <c r="C233" s="17" t="str">
        <f t="array" ref="C233">IFERROR(INDEX('07_Items'!$C$5:$C$198,MATCH($A233,'07_Items'!$A$5:$A$198,0)),"")</f>
        <v>nr</v>
      </c>
      <c r="D233" s="23">
        <f>IFERROR(SUMIFS('06_Road_Engine'!$E$46:$E$90,'06_Road_Engine'!$A$46:$A$90,$A233,'06_Road_Engine'!$D$46:$D$90,"EWKPVMT"),0)</f>
        <v>0</v>
      </c>
      <c r="E233" s="23">
        <f>IFERROR(SUMIFS('06_Road_Engine'!$E$46:$E$90,'06_Road_Engine'!$A$46:$A$90,$A233,'06_Road_Engine'!$D$46:$D$90,"DRAIN"),0)</f>
        <v>0</v>
      </c>
      <c r="F233" s="23">
        <f>SUMPRODUCT(('03_Pipe_Engine'!$Y$3:$BC$3=$A233)*'03_Pipe_Engine'!$Y$6:$BC$20)</f>
        <v>0</v>
      </c>
      <c r="G233" s="23">
        <f>SUMPRODUCT(('04_Box_Engine'!$G$3:$AC$3=$A233)*'04_Box_Engine'!$G$6:$AC$24)</f>
        <v>0</v>
      </c>
      <c r="H233" s="23">
        <f>'05_UCulv_Engine'!U15</f>
        <v>0</v>
      </c>
      <c r="I233" s="32"/>
      <c r="J233" s="23">
        <f>ROUND(SUM(D233:I233),2)</f>
        <v>0</v>
      </c>
      <c r="K233" s="23">
        <f t="array" ref="K233">IFERROR(INDEX('08_Rates'!$D$5:$D$198,MATCH($A233,'08_Rates'!$A$5:$A$198,0)),0)</f>
        <v>4000</v>
      </c>
      <c r="L233" s="23">
        <f>ROUND(J233*K233,2)</f>
        <v>0</v>
      </c>
    </row>
    <row r="234" spans="1:12" ht="15.75" customHeight="1" x14ac:dyDescent="0.3">
      <c r="A234" s="17" t="s">
        <v>2148</v>
      </c>
      <c r="B234" s="17" t="str">
        <f t="array" ref="B234">IFERROR(INDEX('07_Items'!$B$5:$B$198,MATCH($A234,'07_Items'!$A$5:$A$198,0)),"")</f>
        <v>Wingwall and aprons outlet structure</v>
      </c>
      <c r="C234" s="17" t="str">
        <f t="array" ref="C234">IFERROR(INDEX('07_Items'!$C$5:$C$198,MATCH($A234,'07_Items'!$A$5:$A$198,0)),"")</f>
        <v>nr</v>
      </c>
      <c r="D234" s="23">
        <f>IFERROR(SUMIFS('06_Road_Engine'!$E$46:$E$90,'06_Road_Engine'!$A$46:$A$90,$A234,'06_Road_Engine'!$D$46:$D$90,"EWKPVMT"),0)</f>
        <v>0</v>
      </c>
      <c r="E234" s="23">
        <f>IFERROR(SUMIFS('06_Road_Engine'!$E$46:$E$90,'06_Road_Engine'!$A$46:$A$90,$A234,'06_Road_Engine'!$D$46:$D$90,"DRAIN"),0)</f>
        <v>0</v>
      </c>
      <c r="F234" s="23">
        <f>SUMPRODUCT(('03_Pipe_Engine'!$Y$3:$BC$3=$A234)*'03_Pipe_Engine'!$Y$6:$BC$20)</f>
        <v>0</v>
      </c>
      <c r="G234" s="23">
        <f>SUMPRODUCT(('04_Box_Engine'!$G$3:$AC$3=$A234)*'04_Box_Engine'!$G$6:$AC$24)</f>
        <v>0</v>
      </c>
      <c r="H234" s="23">
        <f>'05_UCulv_Engine'!V15</f>
        <v>0</v>
      </c>
      <c r="I234" s="32"/>
      <c r="J234" s="23">
        <f>ROUND(SUM(D234:I234),2)</f>
        <v>0</v>
      </c>
      <c r="K234" s="23">
        <f t="array" ref="K234">IFERROR(INDEX('08_Rates'!$D$5:$D$198,MATCH($A234,'08_Rates'!$A$5:$A$198,0)),0)</f>
        <v>4100</v>
      </c>
      <c r="L234" s="23">
        <f>ROUND(J234*K234,2)</f>
        <v>0</v>
      </c>
    </row>
    <row r="235" spans="1:12" ht="15.75" customHeight="1" x14ac:dyDescent="0.3">
      <c r="B235" s="43" t="s">
        <v>2402</v>
      </c>
    </row>
    <row r="236" spans="1:12" ht="15.75" customHeight="1" x14ac:dyDescent="0.3">
      <c r="A236" s="17" t="s">
        <v>2149</v>
      </c>
      <c r="B236" s="17" t="str">
        <f t="array" ref="B236">IFERROR(INDEX('07_Items'!$B$5:$B$198,MATCH($A236,'07_Items'!$A$5:$A$198,0)),"")</f>
        <v>Barrel of U culvert</v>
      </c>
      <c r="C236" s="17" t="str">
        <f t="array" ref="C236">IFERROR(INDEX('07_Items'!$C$5:$C$198,MATCH($A236,'07_Items'!$A$5:$A$198,0)),"")</f>
        <v>m</v>
      </c>
      <c r="D236" s="23">
        <f>IFERROR(SUMIFS('06_Road_Engine'!$E$46:$E$90,'06_Road_Engine'!$A$46:$A$90,$A236,'06_Road_Engine'!$D$46:$D$90,"EWKPVMT"),0)</f>
        <v>0</v>
      </c>
      <c r="E236" s="23">
        <f>IFERROR(SUMIFS('06_Road_Engine'!$E$46:$E$90,'06_Road_Engine'!$A$46:$A$90,$A236,'06_Road_Engine'!$D$46:$D$90,"DRAIN"),0)</f>
        <v>0</v>
      </c>
      <c r="F236" s="23">
        <f>SUMPRODUCT(('03_Pipe_Engine'!$Y$3:$BC$3=$A236)*'03_Pipe_Engine'!$Y$6:$BC$20)</f>
        <v>0</v>
      </c>
      <c r="G236" s="23">
        <f>SUMPRODUCT(('04_Box_Engine'!$G$3:$AC$3=$A236)*'04_Box_Engine'!$G$6:$AC$24)</f>
        <v>0</v>
      </c>
      <c r="H236" s="23">
        <f>'05_UCulv_Engine'!T16</f>
        <v>0</v>
      </c>
      <c r="I236" s="32"/>
      <c r="J236" s="23">
        <f>ROUND(SUM(D236:I236),2)</f>
        <v>0</v>
      </c>
      <c r="K236" s="23">
        <f t="array" ref="K236">IFERROR(INDEX('08_Rates'!$D$5:$D$198,MATCH($A236,'08_Rates'!$A$5:$A$198,0)),0)</f>
        <v>4800</v>
      </c>
      <c r="L236" s="23">
        <f>ROUND(J236*K236,2)</f>
        <v>0</v>
      </c>
    </row>
    <row r="237" spans="1:12" ht="15.75" customHeight="1" x14ac:dyDescent="0.3">
      <c r="A237" s="17" t="s">
        <v>2150</v>
      </c>
      <c r="B237" s="17" t="str">
        <f t="array" ref="B237">IFERROR(INDEX('07_Items'!$B$5:$B$198,MATCH($A237,'07_Items'!$A$5:$A$198,0)),"")</f>
        <v>Catchpit inlet structure</v>
      </c>
      <c r="C237" s="17" t="str">
        <f t="array" ref="C237">IFERROR(INDEX('07_Items'!$C$5:$C$198,MATCH($A237,'07_Items'!$A$5:$A$198,0)),"")</f>
        <v>nr</v>
      </c>
      <c r="D237" s="23">
        <f>IFERROR(SUMIFS('06_Road_Engine'!$E$46:$E$90,'06_Road_Engine'!$A$46:$A$90,$A237,'06_Road_Engine'!$D$46:$D$90,"EWKPVMT"),0)</f>
        <v>0</v>
      </c>
      <c r="E237" s="23">
        <f>IFERROR(SUMIFS('06_Road_Engine'!$E$46:$E$90,'06_Road_Engine'!$A$46:$A$90,$A237,'06_Road_Engine'!$D$46:$D$90,"DRAIN"),0)</f>
        <v>0</v>
      </c>
      <c r="F237" s="23">
        <f>SUMPRODUCT(('03_Pipe_Engine'!$Y$3:$BC$3=$A237)*'03_Pipe_Engine'!$Y$6:$BC$20)</f>
        <v>0</v>
      </c>
      <c r="G237" s="23">
        <f>SUMPRODUCT(('04_Box_Engine'!$G$3:$AC$3=$A237)*'04_Box_Engine'!$G$6:$AC$24)</f>
        <v>0</v>
      </c>
      <c r="H237" s="23">
        <f>'05_UCulv_Engine'!U16</f>
        <v>0</v>
      </c>
      <c r="I237" s="32"/>
      <c r="J237" s="23">
        <f>ROUND(SUM(D237:I237),2)</f>
        <v>0</v>
      </c>
      <c r="K237" s="23">
        <f t="array" ref="K237">IFERROR(INDEX('08_Rates'!$D$5:$D$198,MATCH($A237,'08_Rates'!$A$5:$A$198,0)),0)</f>
        <v>4500</v>
      </c>
      <c r="L237" s="23">
        <f>ROUND(J237*K237,2)</f>
        <v>0</v>
      </c>
    </row>
    <row r="238" spans="1:12" ht="15.75" customHeight="1" x14ac:dyDescent="0.3">
      <c r="A238" s="17" t="s">
        <v>2151</v>
      </c>
      <c r="B238" s="17" t="str">
        <f t="array" ref="B238">IFERROR(INDEX('07_Items'!$B$5:$B$198,MATCH($A238,'07_Items'!$A$5:$A$198,0)),"")</f>
        <v>Wingwall and aprons outlet structure</v>
      </c>
      <c r="C238" s="17" t="str">
        <f t="array" ref="C238">IFERROR(INDEX('07_Items'!$C$5:$C$198,MATCH($A238,'07_Items'!$A$5:$A$198,0)),"")</f>
        <v>nr</v>
      </c>
      <c r="D238" s="23">
        <f>IFERROR(SUMIFS('06_Road_Engine'!$E$46:$E$90,'06_Road_Engine'!$A$46:$A$90,$A238,'06_Road_Engine'!$D$46:$D$90,"EWKPVMT"),0)</f>
        <v>0</v>
      </c>
      <c r="E238" s="23">
        <f>IFERROR(SUMIFS('06_Road_Engine'!$E$46:$E$90,'06_Road_Engine'!$A$46:$A$90,$A238,'06_Road_Engine'!$D$46:$D$90,"DRAIN"),0)</f>
        <v>0</v>
      </c>
      <c r="F238" s="23">
        <f>SUMPRODUCT(('03_Pipe_Engine'!$Y$3:$BC$3=$A238)*'03_Pipe_Engine'!$Y$6:$BC$20)</f>
        <v>0</v>
      </c>
      <c r="G238" s="23">
        <f>SUMPRODUCT(('04_Box_Engine'!$G$3:$AC$3=$A238)*'04_Box_Engine'!$G$6:$AC$24)</f>
        <v>0</v>
      </c>
      <c r="H238" s="23">
        <f>'05_UCulv_Engine'!V16</f>
        <v>0</v>
      </c>
      <c r="I238" s="32"/>
      <c r="J238" s="23">
        <f>ROUND(SUM(D238:I238),2)</f>
        <v>0</v>
      </c>
      <c r="K238" s="23">
        <f t="array" ref="K238">IFERROR(INDEX('08_Rates'!$D$5:$D$198,MATCH($A238,'08_Rates'!$A$5:$A$198,0)),0)</f>
        <v>4600</v>
      </c>
      <c r="L238" s="23">
        <f>ROUND(J238*K238,2)</f>
        <v>0</v>
      </c>
    </row>
    <row r="239" spans="1:12" ht="15.75" customHeight="1" x14ac:dyDescent="0.3">
      <c r="B239" s="43" t="s">
        <v>2403</v>
      </c>
    </row>
    <row r="240" spans="1:12" ht="15.75" customHeight="1" x14ac:dyDescent="0.3">
      <c r="A240" s="17" t="s">
        <v>2152</v>
      </c>
      <c r="B240" s="17" t="str">
        <f t="array" ref="B240">IFERROR(INDEX('07_Items'!$B$5:$B$198,MATCH($A240,'07_Items'!$A$5:$A$198,0)),"")</f>
        <v>Barrel of U culvert</v>
      </c>
      <c r="C240" s="17" t="str">
        <f t="array" ref="C240">IFERROR(INDEX('07_Items'!$C$5:$C$198,MATCH($A240,'07_Items'!$A$5:$A$198,0)),"")</f>
        <v>m</v>
      </c>
      <c r="D240" s="23">
        <f>IFERROR(SUMIFS('06_Road_Engine'!$E$46:$E$90,'06_Road_Engine'!$A$46:$A$90,$A240,'06_Road_Engine'!$D$46:$D$90,"EWKPVMT"),0)</f>
        <v>0</v>
      </c>
      <c r="E240" s="23">
        <f>IFERROR(SUMIFS('06_Road_Engine'!$E$46:$E$90,'06_Road_Engine'!$A$46:$A$90,$A240,'06_Road_Engine'!$D$46:$D$90,"DRAIN"),0)</f>
        <v>0</v>
      </c>
      <c r="F240" s="23">
        <f>SUMPRODUCT(('03_Pipe_Engine'!$Y$3:$BC$3=$A240)*'03_Pipe_Engine'!$Y$6:$BC$20)</f>
        <v>0</v>
      </c>
      <c r="G240" s="23">
        <f>SUMPRODUCT(('04_Box_Engine'!$G$3:$AC$3=$A240)*'04_Box_Engine'!$G$6:$AC$24)</f>
        <v>0</v>
      </c>
      <c r="H240" s="23">
        <f>'05_UCulv_Engine'!T17</f>
        <v>0</v>
      </c>
      <c r="I240" s="32"/>
      <c r="J240" s="23">
        <f>ROUND(SUM(D240:I240),2)</f>
        <v>0</v>
      </c>
      <c r="K240" s="23">
        <f t="array" ref="K240">IFERROR(INDEX('08_Rates'!$D$5:$D$198,MATCH($A240,'08_Rates'!$A$5:$A$198,0)),0)</f>
        <v>5000</v>
      </c>
      <c r="L240" s="23">
        <f>ROUND(J240*K240,2)</f>
        <v>0</v>
      </c>
    </row>
    <row r="241" spans="1:12" ht="15.75" customHeight="1" x14ac:dyDescent="0.3">
      <c r="A241" s="17" t="s">
        <v>2153</v>
      </c>
      <c r="B241" s="17" t="str">
        <f t="array" ref="B241">IFERROR(INDEX('07_Items'!$B$5:$B$198,MATCH($A241,'07_Items'!$A$5:$A$198,0)),"")</f>
        <v>Catchpit inlet structure</v>
      </c>
      <c r="C241" s="17" t="str">
        <f t="array" ref="C241">IFERROR(INDEX('07_Items'!$C$5:$C$198,MATCH($A241,'07_Items'!$A$5:$A$198,0)),"")</f>
        <v>nr</v>
      </c>
      <c r="D241" s="23">
        <f>IFERROR(SUMIFS('06_Road_Engine'!$E$46:$E$90,'06_Road_Engine'!$A$46:$A$90,$A241,'06_Road_Engine'!$D$46:$D$90,"EWKPVMT"),0)</f>
        <v>0</v>
      </c>
      <c r="E241" s="23">
        <f>IFERROR(SUMIFS('06_Road_Engine'!$E$46:$E$90,'06_Road_Engine'!$A$46:$A$90,$A241,'06_Road_Engine'!$D$46:$D$90,"DRAIN"),0)</f>
        <v>0</v>
      </c>
      <c r="F241" s="23">
        <f>SUMPRODUCT(('03_Pipe_Engine'!$Y$3:$BC$3=$A241)*'03_Pipe_Engine'!$Y$6:$BC$20)</f>
        <v>0</v>
      </c>
      <c r="G241" s="23">
        <f>SUMPRODUCT(('04_Box_Engine'!$G$3:$AC$3=$A241)*'04_Box_Engine'!$G$6:$AC$24)</f>
        <v>0</v>
      </c>
      <c r="H241" s="23">
        <f>'05_UCulv_Engine'!U17</f>
        <v>0</v>
      </c>
      <c r="I241" s="32"/>
      <c r="J241" s="23">
        <f>ROUND(SUM(D241:I241),2)</f>
        <v>0</v>
      </c>
      <c r="K241" s="23">
        <f t="array" ref="K241">IFERROR(INDEX('08_Rates'!$D$5:$D$198,MATCH($A241,'08_Rates'!$A$5:$A$198,0)),0)</f>
        <v>5200</v>
      </c>
      <c r="L241" s="23">
        <f>ROUND(J241*K241,2)</f>
        <v>0</v>
      </c>
    </row>
    <row r="242" spans="1:12" ht="15.75" customHeight="1" x14ac:dyDescent="0.3">
      <c r="A242" s="17" t="s">
        <v>2154</v>
      </c>
      <c r="B242" s="17" t="str">
        <f t="array" ref="B242">IFERROR(INDEX('07_Items'!$B$5:$B$198,MATCH($A242,'07_Items'!$A$5:$A$198,0)),"")</f>
        <v>Wingwall and aprons outlet structure</v>
      </c>
      <c r="C242" s="17" t="str">
        <f t="array" ref="C242">IFERROR(INDEX('07_Items'!$C$5:$C$198,MATCH($A242,'07_Items'!$A$5:$A$198,0)),"")</f>
        <v>nr</v>
      </c>
      <c r="D242" s="23">
        <f>IFERROR(SUMIFS('06_Road_Engine'!$E$46:$E$90,'06_Road_Engine'!$A$46:$A$90,$A242,'06_Road_Engine'!$D$46:$D$90,"EWKPVMT"),0)</f>
        <v>0</v>
      </c>
      <c r="E242" s="23">
        <f>IFERROR(SUMIFS('06_Road_Engine'!$E$46:$E$90,'06_Road_Engine'!$A$46:$A$90,$A242,'06_Road_Engine'!$D$46:$D$90,"DRAIN"),0)</f>
        <v>0</v>
      </c>
      <c r="F242" s="23">
        <f>SUMPRODUCT(('03_Pipe_Engine'!$Y$3:$BC$3=$A242)*'03_Pipe_Engine'!$Y$6:$BC$20)</f>
        <v>0</v>
      </c>
      <c r="G242" s="23">
        <f>SUMPRODUCT(('04_Box_Engine'!$G$3:$AC$3=$A242)*'04_Box_Engine'!$G$6:$AC$24)</f>
        <v>0</v>
      </c>
      <c r="H242" s="23">
        <f>'05_UCulv_Engine'!V17</f>
        <v>0</v>
      </c>
      <c r="I242" s="32"/>
      <c r="J242" s="23">
        <f>ROUND(SUM(D242:I242),2)</f>
        <v>0</v>
      </c>
      <c r="K242" s="23">
        <f t="array" ref="K242">IFERROR(INDEX('08_Rates'!$D$5:$D$198,MATCH($A242,'08_Rates'!$A$5:$A$198,0)),0)</f>
        <v>5300</v>
      </c>
      <c r="L242" s="23">
        <f>ROUND(J242*K242,2)</f>
        <v>0</v>
      </c>
    </row>
    <row r="243" spans="1:12" ht="15.75" customHeight="1" x14ac:dyDescent="0.3">
      <c r="B243" s="43" t="s">
        <v>2404</v>
      </c>
    </row>
    <row r="244" spans="1:12" ht="15.75" customHeight="1" x14ac:dyDescent="0.3">
      <c r="A244" s="44"/>
      <c r="B244" s="45" t="s">
        <v>2405</v>
      </c>
      <c r="C244" s="44"/>
      <c r="D244" s="44"/>
      <c r="E244" s="44"/>
      <c r="F244" s="44"/>
      <c r="G244" s="44"/>
      <c r="H244" s="44"/>
      <c r="I244" s="44"/>
      <c r="J244" s="44"/>
      <c r="K244" s="44"/>
      <c r="L244" s="46">
        <f>SUM(L186:L243)</f>
        <v>0</v>
      </c>
    </row>
    <row r="245" spans="1:12" ht="15.75" customHeight="1" x14ac:dyDescent="0.3"/>
    <row r="246" spans="1:12" ht="15.75" customHeight="1" x14ac:dyDescent="0.3">
      <c r="A246" s="39" t="s">
        <v>2155</v>
      </c>
      <c r="B246" s="40"/>
      <c r="C246" s="40"/>
      <c r="D246" s="40"/>
      <c r="E246" s="40"/>
      <c r="F246" s="40"/>
      <c r="G246" s="40"/>
      <c r="H246" s="40"/>
      <c r="I246" s="40"/>
      <c r="J246" s="40"/>
      <c r="K246" s="40"/>
      <c r="L246" s="40"/>
    </row>
    <row r="247" spans="1:12" ht="15.75" customHeight="1" x14ac:dyDescent="0.3">
      <c r="A247" s="17"/>
      <c r="B247" s="17"/>
      <c r="C247" s="17"/>
      <c r="D247" s="23"/>
      <c r="E247" s="23"/>
      <c r="F247" s="23"/>
      <c r="G247" s="23"/>
      <c r="H247" s="23"/>
      <c r="I247" s="32"/>
      <c r="J247" s="23"/>
      <c r="K247" s="23"/>
      <c r="L247" s="23"/>
    </row>
    <row r="248" spans="1:12" ht="15.75" customHeight="1" x14ac:dyDescent="0.3">
      <c r="B248" s="43" t="s">
        <v>2406</v>
      </c>
    </row>
    <row r="249" spans="1:12" ht="15.75" customHeight="1" x14ac:dyDescent="0.3">
      <c r="A249" s="17" t="s">
        <v>1877</v>
      </c>
      <c r="B249" s="17" t="str">
        <f t="array" ref="B249">IFERROR(INDEX('07_Items'!$B$5:$B$198,MATCH($A249,'07_Items'!$A$5:$A$198,0)),"")</f>
        <v>Gravel sub-base, haulage 1 km</v>
      </c>
      <c r="C249" s="17" t="str">
        <f t="array" ref="C249">IFERROR(INDEX('07_Items'!$C$5:$C$198,MATCH($A249,'07_Items'!$A$5:$A$198,0)),"")</f>
        <v>m²</v>
      </c>
      <c r="D249" s="23">
        <f>IFERROR(SUMIFS('06_Road_Engine'!$E$46:$E$90,'06_Road_Engine'!$A$46:$A$90,$A249,'06_Road_Engine'!$D$46:$D$90,"EWKPVMT"),0)</f>
        <v>0</v>
      </c>
      <c r="E249" s="23">
        <f>IFERROR(SUMIFS('06_Road_Engine'!$E$46:$E$90,'06_Road_Engine'!$A$46:$A$90,$A249,'06_Road_Engine'!$D$46:$D$90,"DRAIN"),0)</f>
        <v>0</v>
      </c>
      <c r="F249" s="23">
        <f>SUMPRODUCT(('03_Pipe_Engine'!$Y$3:$BC$3=$A249)*'03_Pipe_Engine'!$Y$6:$BC$20)</f>
        <v>0</v>
      </c>
      <c r="G249" s="23">
        <f>SUMPRODUCT(('04_Box_Engine'!$G$3:$AC$3=$A249)*'04_Box_Engine'!$G$6:$AC$24)</f>
        <v>0</v>
      </c>
      <c r="H249" s="23">
        <v>0</v>
      </c>
      <c r="I249" s="32"/>
      <c r="J249" s="23">
        <f t="shared" ref="J249:J260" si="18">ROUND(SUM(D249:I249),2)</f>
        <v>0</v>
      </c>
      <c r="K249" s="23">
        <f t="array" ref="K249">IFERROR(INDEX('08_Rates'!$D$5:$D$198,MATCH($A249,'08_Rates'!$A$5:$A$198,0)),0)</f>
        <v>18</v>
      </c>
      <c r="L249" s="23">
        <f t="shared" ref="L249:L260" si="19">ROUND(J249*K249,2)</f>
        <v>0</v>
      </c>
    </row>
    <row r="250" spans="1:12" ht="15.75" customHeight="1" x14ac:dyDescent="0.3">
      <c r="A250" s="17" t="s">
        <v>1879</v>
      </c>
      <c r="B250" s="17" t="str">
        <f t="array" ref="B250">IFERROR(INDEX('07_Items'!$B$5:$B$198,MATCH($A250,'07_Items'!$A$5:$A$198,0)),"")</f>
        <v>Sub-bases,flexible road bases and surfacing,Granular material DTp Specified type 2,depth: 150mm thick</v>
      </c>
      <c r="C250" s="17" t="str">
        <f t="array" ref="C250">IFERROR(INDEX('07_Items'!$C$5:$C$198,MATCH($A250,'07_Items'!$A$5:$A$198,0)),"")</f>
        <v>sq.m</v>
      </c>
      <c r="D250" s="23">
        <f>IFERROR(SUMIFS('06_Road_Engine'!$E$46:$E$90,'06_Road_Engine'!$A$46:$A$90,$A250,'06_Road_Engine'!$D$46:$D$90,"EWKPVMT"),0)</f>
        <v>0</v>
      </c>
      <c r="E250" s="23">
        <f>IFERROR(SUMIFS('06_Road_Engine'!$E$46:$E$90,'06_Road_Engine'!$A$46:$A$90,$A250,'06_Road_Engine'!$D$46:$D$90,"DRAIN"),0)</f>
        <v>0</v>
      </c>
      <c r="F250" s="23">
        <f>SUMPRODUCT(('03_Pipe_Engine'!$Y$3:$BC$3=$A250)*'03_Pipe_Engine'!$Y$6:$BC$20)</f>
        <v>0</v>
      </c>
      <c r="G250" s="23">
        <f>SUMPRODUCT(('04_Box_Engine'!$G$3:$AC$3=$A250)*'04_Box_Engine'!$G$6:$AC$24)</f>
        <v>0</v>
      </c>
      <c r="H250" s="23">
        <v>0</v>
      </c>
      <c r="I250" s="32"/>
      <c r="J250" s="23">
        <f t="shared" si="18"/>
        <v>0</v>
      </c>
      <c r="K250" s="23">
        <f t="array" ref="K250">IFERROR(INDEX('08_Rates'!$D$5:$D$198,MATCH($A250,'08_Rates'!$A$5:$A$198,0)),0)</f>
        <v>22</v>
      </c>
      <c r="L250" s="23">
        <f t="shared" si="19"/>
        <v>0</v>
      </c>
    </row>
    <row r="251" spans="1:12" ht="15.75" customHeight="1" x14ac:dyDescent="0.3">
      <c r="A251" s="17" t="s">
        <v>1881</v>
      </c>
      <c r="B251" s="17" t="str">
        <f t="array" ref="B251">IFERROR(INDEX('07_Items'!$B$5:$B$198,MATCH($A251,'07_Items'!$A$5:$A$198,0)),"")</f>
        <v>Haulage sub-base &amp; base beyond 1 km</v>
      </c>
      <c r="C251" s="17" t="str">
        <f t="array" ref="C251">IFERROR(INDEX('07_Items'!$C$5:$C$198,MATCH($A251,'07_Items'!$A$5:$A$198,0)),"")</f>
        <v>m³·km</v>
      </c>
      <c r="D251" s="23">
        <f>IFERROR(SUMIFS('06_Road_Engine'!$E$46:$E$90,'06_Road_Engine'!$A$46:$A$90,$A251,'06_Road_Engine'!$D$46:$D$90,"EWKPVMT"),0)</f>
        <v>0</v>
      </c>
      <c r="E251" s="23">
        <f>IFERROR(SUMIFS('06_Road_Engine'!$E$46:$E$90,'06_Road_Engine'!$A$46:$A$90,$A251,'06_Road_Engine'!$D$46:$D$90,"DRAIN"),0)</f>
        <v>0</v>
      </c>
      <c r="F251" s="23">
        <f>SUMPRODUCT(('03_Pipe_Engine'!$Y$3:$BC$3=$A251)*'03_Pipe_Engine'!$Y$6:$BC$20)</f>
        <v>0</v>
      </c>
      <c r="G251" s="23">
        <f>SUMPRODUCT(('04_Box_Engine'!$G$3:$AC$3=$A251)*'04_Box_Engine'!$G$6:$AC$24)</f>
        <v>0</v>
      </c>
      <c r="H251" s="23">
        <v>0</v>
      </c>
      <c r="I251" s="32"/>
      <c r="J251" s="23">
        <f t="shared" si="18"/>
        <v>0</v>
      </c>
      <c r="K251" s="23">
        <f t="array" ref="K251">IFERROR(INDEX('08_Rates'!$D$5:$D$198,MATCH($A251,'08_Rates'!$A$5:$A$198,0)),0)</f>
        <v>8.5</v>
      </c>
      <c r="L251" s="23">
        <f t="shared" si="19"/>
        <v>0</v>
      </c>
    </row>
    <row r="252" spans="1:12" ht="15.75" customHeight="1" x14ac:dyDescent="0.3">
      <c r="A252" s="17" t="s">
        <v>2157</v>
      </c>
      <c r="B252" s="17" t="str">
        <f t="array" ref="B252">IFERROR(INDEX('07_Items'!$B$5:$B$198,MATCH($A252,'07_Items'!$A$5:$A$198,0)),"")</f>
        <v>Haulage of aggregate in excess of 1km (20 - 100km)</v>
      </c>
      <c r="C252" s="17" t="str">
        <f t="array" ref="C252">IFERROR(INDEX('07_Items'!$C$5:$C$198,MATCH($A252,'07_Items'!$A$5:$A$198,0)),"")</f>
        <v>cu.m-km</v>
      </c>
      <c r="D252" s="23">
        <f>IFERROR(SUMIFS('06_Road_Engine'!$E$46:$E$90,'06_Road_Engine'!$A$46:$A$90,$A252,'06_Road_Engine'!$D$46:$D$90,"EWKPVMT"),0)</f>
        <v>0</v>
      </c>
      <c r="E252" s="23">
        <f>IFERROR(SUMIFS('06_Road_Engine'!$E$46:$E$90,'06_Road_Engine'!$A$46:$A$90,$A252,'06_Road_Engine'!$D$46:$D$90,"DRAIN"),0)</f>
        <v>0</v>
      </c>
      <c r="F252" s="23">
        <f>SUMPRODUCT(('03_Pipe_Engine'!$Y$3:$BC$3=$A252)*'03_Pipe_Engine'!$Y$6:$BC$20)</f>
        <v>0</v>
      </c>
      <c r="G252" s="23">
        <f>SUMPRODUCT(('04_Box_Engine'!$G$3:$AC$3=$A252)*'04_Box_Engine'!$G$6:$AC$24)</f>
        <v>0</v>
      </c>
      <c r="H252" s="23">
        <v>0</v>
      </c>
      <c r="I252" s="32"/>
      <c r="J252" s="23">
        <f t="shared" si="18"/>
        <v>0</v>
      </c>
      <c r="K252" s="23">
        <f t="array" ref="K252">IFERROR(INDEX('08_Rates'!$D$5:$D$198,MATCH($A252,'08_Rates'!$A$5:$A$198,0)),0)</f>
        <v>8.5</v>
      </c>
      <c r="L252" s="23">
        <f t="shared" si="19"/>
        <v>0</v>
      </c>
    </row>
    <row r="253" spans="1:12" ht="15.75" customHeight="1" x14ac:dyDescent="0.3">
      <c r="A253" s="17" t="s">
        <v>1884</v>
      </c>
      <c r="B253" s="17" t="str">
        <f t="array" ref="B253">IFERROR(INDEX('07_Items'!$B$5:$B$198,MATCH($A253,'07_Items'!$A$5:$A$198,0)),"")</f>
        <v>Supply, design inc. adhesive agent, prepare surface,seal work</v>
      </c>
      <c r="C253" s="17" t="str">
        <f t="array" ref="C253">IFERROR(INDEX('07_Items'!$C$5:$C$198,MATCH($A253,'07_Items'!$A$5:$A$198,0)),"")</f>
        <v>litre</v>
      </c>
      <c r="D253" s="23">
        <f>IFERROR(SUMIFS('06_Road_Engine'!$E$46:$E$90,'06_Road_Engine'!$A$46:$A$90,$A253,'06_Road_Engine'!$D$46:$D$90,"EWKPVMT"),0)</f>
        <v>0</v>
      </c>
      <c r="E253" s="23">
        <f>IFERROR(SUMIFS('06_Road_Engine'!$E$46:$E$90,'06_Road_Engine'!$A$46:$A$90,$A253,'06_Road_Engine'!$D$46:$D$90,"DRAIN"),0)</f>
        <v>0</v>
      </c>
      <c r="F253" s="23">
        <f>SUMPRODUCT(('03_Pipe_Engine'!$Y$3:$BC$3=$A253)*'03_Pipe_Engine'!$Y$6:$BC$20)</f>
        <v>0</v>
      </c>
      <c r="G253" s="23">
        <f>SUMPRODUCT(('04_Box_Engine'!$G$3:$AC$3=$A253)*'04_Box_Engine'!$G$6:$AC$24)</f>
        <v>0</v>
      </c>
      <c r="H253" s="23">
        <v>0</v>
      </c>
      <c r="I253" s="32"/>
      <c r="J253" s="23">
        <f t="shared" si="18"/>
        <v>0</v>
      </c>
      <c r="K253" s="23">
        <f t="array" ref="K253">IFERROR(INDEX('08_Rates'!$D$5:$D$198,MATCH($A253,'08_Rates'!$A$5:$A$198,0)),0)</f>
        <v>25.5</v>
      </c>
      <c r="L253" s="23">
        <f t="shared" si="19"/>
        <v>0</v>
      </c>
    </row>
    <row r="254" spans="1:12" ht="15.75" customHeight="1" x14ac:dyDescent="0.3">
      <c r="A254" s="17" t="s">
        <v>1887</v>
      </c>
      <c r="B254" s="17" t="str">
        <f t="array" ref="B254">IFERROR(INDEX('07_Items'!$B$5:$B$198,MATCH($A254,'07_Items'!$A$5:$A$198,0)),"")</f>
        <v>Supply, design inc. adhesive agent, prepare surface, primerseal work</v>
      </c>
      <c r="C254" s="17" t="str">
        <f t="array" ref="C254">IFERROR(INDEX('07_Items'!$C$5:$C$198,MATCH($A254,'07_Items'!$A$5:$A$198,0)),"")</f>
        <v>litre</v>
      </c>
      <c r="D254" s="23">
        <f>IFERROR(SUMIFS('06_Road_Engine'!$E$46:$E$90,'06_Road_Engine'!$A$46:$A$90,$A254,'06_Road_Engine'!$D$46:$D$90,"EWKPVMT"),0)</f>
        <v>0</v>
      </c>
      <c r="E254" s="23">
        <f>IFERROR(SUMIFS('06_Road_Engine'!$E$46:$E$90,'06_Road_Engine'!$A$46:$A$90,$A254,'06_Road_Engine'!$D$46:$D$90,"DRAIN"),0)</f>
        <v>0</v>
      </c>
      <c r="F254" s="23">
        <f>SUMPRODUCT(('03_Pipe_Engine'!$Y$3:$BC$3=$A254)*'03_Pipe_Engine'!$Y$6:$BC$20)</f>
        <v>0</v>
      </c>
      <c r="G254" s="23">
        <f>SUMPRODUCT(('04_Box_Engine'!$G$3:$AC$3=$A254)*'04_Box_Engine'!$G$6:$AC$24)</f>
        <v>0</v>
      </c>
      <c r="H254" s="23">
        <v>0</v>
      </c>
      <c r="I254" s="32"/>
      <c r="J254" s="23">
        <f t="shared" si="18"/>
        <v>0</v>
      </c>
      <c r="K254" s="23">
        <f t="array" ref="K254">IFERROR(INDEX('08_Rates'!$D$5:$D$198,MATCH($A254,'08_Rates'!$A$5:$A$198,0)),0)</f>
        <v>26.6</v>
      </c>
      <c r="L254" s="23">
        <f t="shared" si="19"/>
        <v>0</v>
      </c>
    </row>
    <row r="255" spans="1:12" ht="15.75" customHeight="1" x14ac:dyDescent="0.3">
      <c r="A255" s="17" t="s">
        <v>1889</v>
      </c>
      <c r="B255" s="17" t="str">
        <f t="array" ref="B255">IFERROR(INDEX('07_Items'!$B$5:$B$198,MATCH($A255,'07_Items'!$A$5:$A$198,0)),"")</f>
        <v>Supply, design inc. cutter oil (ATK kerosine) primer seal</v>
      </c>
      <c r="C255" s="17" t="str">
        <f t="array" ref="C255">IFERROR(INDEX('07_Items'!$C$5:$C$198,MATCH($A255,'07_Items'!$A$5:$A$198,0)),"")</f>
        <v>litre</v>
      </c>
      <c r="D255" s="23">
        <f>IFERROR(SUMIFS('06_Road_Engine'!$E$46:$E$90,'06_Road_Engine'!$A$46:$A$90,$A255,'06_Road_Engine'!$D$46:$D$90,"EWKPVMT"),0)</f>
        <v>0</v>
      </c>
      <c r="E255" s="23">
        <f>IFERROR(SUMIFS('06_Road_Engine'!$E$46:$E$90,'06_Road_Engine'!$A$46:$A$90,$A255,'06_Road_Engine'!$D$46:$D$90,"DRAIN"),0)</f>
        <v>0</v>
      </c>
      <c r="F255" s="23">
        <f>SUMPRODUCT(('03_Pipe_Engine'!$Y$3:$BC$3=$A255)*'03_Pipe_Engine'!$Y$6:$BC$20)</f>
        <v>0</v>
      </c>
      <c r="G255" s="23">
        <f>SUMPRODUCT(('04_Box_Engine'!$G$3:$AC$3=$A255)*'04_Box_Engine'!$G$6:$AC$24)</f>
        <v>0</v>
      </c>
      <c r="H255" s="23">
        <v>0</v>
      </c>
      <c r="I255" s="32"/>
      <c r="J255" s="23">
        <f t="shared" si="18"/>
        <v>0</v>
      </c>
      <c r="K255" s="23">
        <f t="array" ref="K255">IFERROR(INDEX('08_Rates'!$D$5:$D$198,MATCH($A255,'08_Rates'!$A$5:$A$198,0)),0)</f>
        <v>28</v>
      </c>
      <c r="L255" s="23">
        <f t="shared" si="19"/>
        <v>0</v>
      </c>
    </row>
    <row r="256" spans="1:12" ht="15.75" customHeight="1" x14ac:dyDescent="0.3">
      <c r="A256" s="17" t="s">
        <v>1891</v>
      </c>
      <c r="B256" s="17" t="str">
        <f t="array" ref="B256">IFERROR(INDEX('07_Items'!$B$5:$B$198,MATCH($A256,'07_Items'!$A$5:$A$198,0)),"")</f>
        <v>Supply, precoat, design spray rate, incorporarate 10mm chips including 1km haulage</v>
      </c>
      <c r="C256" s="17" t="str">
        <f t="array" ref="C256">IFERROR(INDEX('07_Items'!$C$5:$C$198,MATCH($A256,'07_Items'!$A$5:$A$198,0)),"")</f>
        <v>cu.m</v>
      </c>
      <c r="D256" s="23">
        <f>IFERROR(SUMIFS('06_Road_Engine'!$E$46:$E$90,'06_Road_Engine'!$A$46:$A$90,$A256,'06_Road_Engine'!$D$46:$D$90,"EWKPVMT"),0)</f>
        <v>0</v>
      </c>
      <c r="E256" s="23">
        <f>IFERROR(SUMIFS('06_Road_Engine'!$E$46:$E$90,'06_Road_Engine'!$A$46:$A$90,$A256,'06_Road_Engine'!$D$46:$D$90,"DRAIN"),0)</f>
        <v>0</v>
      </c>
      <c r="F256" s="23">
        <f>SUMPRODUCT(('03_Pipe_Engine'!$Y$3:$BC$3=$A256)*'03_Pipe_Engine'!$Y$6:$BC$20)</f>
        <v>0</v>
      </c>
      <c r="G256" s="23">
        <f>SUMPRODUCT(('04_Box_Engine'!$G$3:$AC$3=$A256)*'04_Box_Engine'!$G$6:$AC$24)</f>
        <v>0</v>
      </c>
      <c r="H256" s="23">
        <v>0</v>
      </c>
      <c r="I256" s="32"/>
      <c r="J256" s="23">
        <f t="shared" si="18"/>
        <v>0</v>
      </c>
      <c r="K256" s="23">
        <f t="array" ref="K256">IFERROR(INDEX('08_Rates'!$D$5:$D$198,MATCH($A256,'08_Rates'!$A$5:$A$198,0)),0)</f>
        <v>1550</v>
      </c>
      <c r="L256" s="23">
        <f t="shared" si="19"/>
        <v>0</v>
      </c>
    </row>
    <row r="257" spans="1:12" ht="15.75" customHeight="1" x14ac:dyDescent="0.3">
      <c r="A257" s="17" t="s">
        <v>1893</v>
      </c>
      <c r="B257" s="17" t="str">
        <f t="array" ref="B257">IFERROR(INDEX('07_Items'!$B$5:$B$198,MATCH($A257,'07_Items'!$A$5:$A$198,0)),"")</f>
        <v>Supply, precoat, design spray rate, incorporarate 14mm chips including 1km haulage</v>
      </c>
      <c r="C257" s="17" t="str">
        <f t="array" ref="C257">IFERROR(INDEX('07_Items'!$C$5:$C$198,MATCH($A257,'07_Items'!$A$5:$A$198,0)),"")</f>
        <v>cu.m</v>
      </c>
      <c r="D257" s="23">
        <f>IFERROR(SUMIFS('06_Road_Engine'!$E$46:$E$90,'06_Road_Engine'!$A$46:$A$90,$A257,'06_Road_Engine'!$D$46:$D$90,"EWKPVMT"),0)</f>
        <v>0</v>
      </c>
      <c r="E257" s="23">
        <f>IFERROR(SUMIFS('06_Road_Engine'!$E$46:$E$90,'06_Road_Engine'!$A$46:$A$90,$A257,'06_Road_Engine'!$D$46:$D$90,"DRAIN"),0)</f>
        <v>0</v>
      </c>
      <c r="F257" s="23">
        <f>SUMPRODUCT(('03_Pipe_Engine'!$Y$3:$BC$3=$A257)*'03_Pipe_Engine'!$Y$6:$BC$20)</f>
        <v>0</v>
      </c>
      <c r="G257" s="23">
        <f>SUMPRODUCT(('04_Box_Engine'!$G$3:$AC$3=$A257)*'04_Box_Engine'!$G$6:$AC$24)</f>
        <v>0</v>
      </c>
      <c r="H257" s="23">
        <v>0</v>
      </c>
      <c r="I257" s="32"/>
      <c r="J257" s="23">
        <f t="shared" si="18"/>
        <v>0</v>
      </c>
      <c r="K257" s="23">
        <f t="array" ref="K257">IFERROR(INDEX('08_Rates'!$D$5:$D$198,MATCH($A257,'08_Rates'!$A$5:$A$198,0)),0)</f>
        <v>1600</v>
      </c>
      <c r="L257" s="23">
        <f t="shared" si="19"/>
        <v>0</v>
      </c>
    </row>
    <row r="258" spans="1:12" ht="15.75" customHeight="1" x14ac:dyDescent="0.3">
      <c r="A258" s="17" t="s">
        <v>2164</v>
      </c>
      <c r="B258" s="17" t="str">
        <f t="array" ref="B258">IFERROR(INDEX('07_Items'!$B$5:$B$198,MATCH($A258,'07_Items'!$A$5:$A$198,0)),"")</f>
        <v>Supply, design inc. adhesive agent, prepare surface,seal work</v>
      </c>
      <c r="C258" s="17" t="str">
        <f t="array" ref="C258">IFERROR(INDEX('07_Items'!$C$5:$C$198,MATCH($A258,'07_Items'!$A$5:$A$198,0)),"")</f>
        <v>litre</v>
      </c>
      <c r="D258" s="23">
        <f>IFERROR(SUMIFS('06_Road_Engine'!$E$46:$E$90,'06_Road_Engine'!$A$46:$A$90,$A258,'06_Road_Engine'!$D$46:$D$90,"EWKPVMT"),0)</f>
        <v>0</v>
      </c>
      <c r="E258" s="23">
        <f>IFERROR(SUMIFS('06_Road_Engine'!$E$46:$E$90,'06_Road_Engine'!$A$46:$A$90,$A258,'06_Road_Engine'!$D$46:$D$90,"DRAIN"),0)</f>
        <v>0</v>
      </c>
      <c r="F258" s="23">
        <f>SUMPRODUCT(('03_Pipe_Engine'!$Y$3:$BC$3=$A258)*'03_Pipe_Engine'!$Y$6:$BC$20)</f>
        <v>0</v>
      </c>
      <c r="G258" s="23">
        <f>SUMPRODUCT(('04_Box_Engine'!$G$3:$AC$3=$A258)*'04_Box_Engine'!$G$6:$AC$24)</f>
        <v>0</v>
      </c>
      <c r="H258" s="23">
        <v>0</v>
      </c>
      <c r="I258" s="32"/>
      <c r="J258" s="23">
        <f t="shared" si="18"/>
        <v>0</v>
      </c>
      <c r="K258" s="23">
        <f t="array" ref="K258">IFERROR(INDEX('08_Rates'!$D$5:$D$198,MATCH($A258,'08_Rates'!$A$5:$A$198,0)),0)</f>
        <v>25.5</v>
      </c>
      <c r="L258" s="23">
        <f t="shared" si="19"/>
        <v>0</v>
      </c>
    </row>
    <row r="259" spans="1:12" ht="15.75" customHeight="1" x14ac:dyDescent="0.3">
      <c r="A259" s="17" t="s">
        <v>1895</v>
      </c>
      <c r="B259" s="17" t="str">
        <f t="array" ref="B259">IFERROR(INDEX('07_Items'!$B$5:$B$198,MATCH($A259,'07_Items'!$A$5:$A$198,0)),"")</f>
        <v>Haulage of chippings and quarry dust (20 - 100Km)</v>
      </c>
      <c r="C259" s="17" t="str">
        <f t="array" ref="C259">IFERROR(INDEX('07_Items'!$C$5:$C$198,MATCH($A259,'07_Items'!$A$5:$A$198,0)),"")</f>
        <v>cu.m-km</v>
      </c>
      <c r="D259" s="23">
        <f>IFERROR(SUMIFS('06_Road_Engine'!$E$46:$E$90,'06_Road_Engine'!$A$46:$A$90,$A259,'06_Road_Engine'!$D$46:$D$90,"EWKPVMT"),0)</f>
        <v>0</v>
      </c>
      <c r="E259" s="23">
        <f>IFERROR(SUMIFS('06_Road_Engine'!$E$46:$E$90,'06_Road_Engine'!$A$46:$A$90,$A259,'06_Road_Engine'!$D$46:$D$90,"DRAIN"),0)</f>
        <v>0</v>
      </c>
      <c r="F259" s="23">
        <f>SUMPRODUCT(('03_Pipe_Engine'!$Y$3:$BC$3=$A259)*'03_Pipe_Engine'!$Y$6:$BC$20)</f>
        <v>0</v>
      </c>
      <c r="G259" s="23">
        <f>SUMPRODUCT(('04_Box_Engine'!$G$3:$AC$3=$A259)*'04_Box_Engine'!$G$6:$AC$24)</f>
        <v>0</v>
      </c>
      <c r="H259" s="23">
        <v>0</v>
      </c>
      <c r="I259" s="32"/>
      <c r="J259" s="23">
        <f t="shared" si="18"/>
        <v>0</v>
      </c>
      <c r="K259" s="23">
        <f t="array" ref="K259">IFERROR(INDEX('08_Rates'!$D$5:$D$198,MATCH($A259,'08_Rates'!$A$5:$A$198,0)),0)</f>
        <v>8.5</v>
      </c>
      <c r="L259" s="23">
        <f t="shared" si="19"/>
        <v>0</v>
      </c>
    </row>
    <row r="260" spans="1:12" ht="15.75" customHeight="1" x14ac:dyDescent="0.3">
      <c r="A260" s="17" t="s">
        <v>2166</v>
      </c>
      <c r="B260" s="17" t="str">
        <f t="array" ref="B260">IFERROR(INDEX('07_Items'!$B$5:$B$198,MATCH($A260,'07_Items'!$A$5:$A$198,0)),"")</f>
        <v>Provide and place precast concrete kerbs,straight or curved to radius exceeding 12m (as per drawing)</v>
      </c>
      <c r="C260" s="17" t="str">
        <f t="array" ref="C260">IFERROR(INDEX('07_Items'!$C$5:$C$198,MATCH($A260,'07_Items'!$A$5:$A$198,0)),"")</f>
        <v>m</v>
      </c>
      <c r="D260" s="23">
        <f>IFERROR(SUMIFS('06_Road_Engine'!$E$46:$E$90,'06_Road_Engine'!$A$46:$A$90,$A260,'06_Road_Engine'!$D$46:$D$90,"EWKPVMT"),0)</f>
        <v>0</v>
      </c>
      <c r="E260" s="23">
        <f>IFERROR(SUMIFS('06_Road_Engine'!$E$46:$E$90,'06_Road_Engine'!$A$46:$A$90,$A260,'06_Road_Engine'!$D$46:$D$90,"DRAIN"),0)</f>
        <v>0</v>
      </c>
      <c r="F260" s="23">
        <f>SUMPRODUCT(('03_Pipe_Engine'!$Y$3:$BC$3=$A260)*'03_Pipe_Engine'!$Y$6:$BC$20)</f>
        <v>0</v>
      </c>
      <c r="G260" s="23">
        <f>SUMPRODUCT(('04_Box_Engine'!$G$3:$AC$3=$A260)*'04_Box_Engine'!$G$6:$AC$24)</f>
        <v>0</v>
      </c>
      <c r="H260" s="23">
        <v>0</v>
      </c>
      <c r="I260" s="32"/>
      <c r="J260" s="23">
        <f t="shared" si="18"/>
        <v>0</v>
      </c>
      <c r="K260" s="23">
        <f t="array" ref="K260">IFERROR(INDEX('08_Rates'!$D$5:$D$198,MATCH($A260,'08_Rates'!$A$5:$A$198,0)),0)</f>
        <v>350</v>
      </c>
      <c r="L260" s="23">
        <f t="shared" si="19"/>
        <v>0</v>
      </c>
    </row>
    <row r="261" spans="1:12" ht="15.75" customHeight="1" x14ac:dyDescent="0.3">
      <c r="B261" s="43" t="s">
        <v>2407</v>
      </c>
    </row>
    <row r="262" spans="1:12" ht="15.75" customHeight="1" x14ac:dyDescent="0.3">
      <c r="A262" s="44"/>
      <c r="B262" s="45" t="s">
        <v>2408</v>
      </c>
      <c r="C262" s="44"/>
      <c r="D262" s="44"/>
      <c r="E262" s="44"/>
      <c r="F262" s="44"/>
      <c r="G262" s="44"/>
      <c r="H262" s="44"/>
      <c r="I262" s="44"/>
      <c r="J262" s="44"/>
      <c r="K262" s="44"/>
      <c r="L262" s="46">
        <f>SUM(L247:L261)</f>
        <v>0</v>
      </c>
    </row>
    <row r="263" spans="1:12" ht="15.75" customHeight="1" x14ac:dyDescent="0.3"/>
    <row r="264" spans="1:12" ht="15.75" customHeight="1" x14ac:dyDescent="0.3">
      <c r="A264" s="39" t="s">
        <v>2171</v>
      </c>
      <c r="B264" s="40"/>
      <c r="C264" s="40"/>
      <c r="D264" s="40"/>
      <c r="E264" s="40"/>
      <c r="F264" s="40"/>
      <c r="G264" s="40"/>
      <c r="H264" s="40"/>
      <c r="I264" s="40"/>
      <c r="J264" s="40"/>
      <c r="K264" s="40"/>
      <c r="L264" s="40"/>
    </row>
    <row r="265" spans="1:12" ht="15.75" customHeight="1" x14ac:dyDescent="0.3">
      <c r="A265" s="17"/>
      <c r="B265" s="17"/>
      <c r="C265" s="17"/>
      <c r="D265" s="23"/>
      <c r="E265" s="23"/>
      <c r="F265" s="23"/>
      <c r="G265" s="23"/>
      <c r="H265" s="23"/>
      <c r="I265" s="32"/>
      <c r="J265" s="23"/>
      <c r="K265" s="23"/>
      <c r="L265" s="23"/>
    </row>
    <row r="266" spans="1:12" ht="15.75" customHeight="1" x14ac:dyDescent="0.3">
      <c r="B266" s="43" t="s">
        <v>2409</v>
      </c>
    </row>
    <row r="267" spans="1:12" ht="15.75" customHeight="1" x14ac:dyDescent="0.3">
      <c r="A267" s="17" t="s">
        <v>2168</v>
      </c>
      <c r="B267" s="17" t="str">
        <f t="array" ref="B267">IFERROR(INDEX('07_Items'!$B$5:$B$198,MATCH($A267,'07_Items'!$A$5:$A$198,0)),"")</f>
        <v>Provide and erect mica post of square size 200mm wide, 600mm high and base 450mm painted red and white strips.</v>
      </c>
      <c r="C267" s="17" t="str">
        <f t="array" ref="C267">IFERROR(INDEX('07_Items'!$C$5:$C$198,MATCH($A267,'07_Items'!$A$5:$A$198,0)),"")</f>
        <v>Nr.</v>
      </c>
      <c r="D267" s="23">
        <f>IFERROR(SUMIFS('06_Road_Engine'!$E$46:$E$90,'06_Road_Engine'!$A$46:$A$90,$A267,'06_Road_Engine'!$D$46:$D$90,"EWKPVMT"),0)</f>
        <v>0</v>
      </c>
      <c r="E267" s="23">
        <f>IFERROR(SUMIFS('06_Road_Engine'!$E$46:$E$90,'06_Road_Engine'!$A$46:$A$90,$A267,'06_Road_Engine'!$D$46:$D$90,"DRAIN"),0)</f>
        <v>0</v>
      </c>
      <c r="F267" s="23">
        <f>SUMPRODUCT(('03_Pipe_Engine'!$Y$3:$BC$3=$A267)*'03_Pipe_Engine'!$Y$6:$BC$20)</f>
        <v>0</v>
      </c>
      <c r="G267" s="23">
        <f>SUMPRODUCT(('04_Box_Engine'!$G$3:$AC$3=$A267)*'04_Box_Engine'!$G$6:$AC$24)</f>
        <v>0</v>
      </c>
      <c r="H267" s="23">
        <v>0</v>
      </c>
      <c r="I267" s="32"/>
      <c r="J267" s="23">
        <f>ROUND(SUM(D267:I267),2)</f>
        <v>0</v>
      </c>
      <c r="K267" s="23">
        <f t="array" ref="K267">IFERROR(INDEX('08_Rates'!$D$5:$D$198,MATCH($A267,'08_Rates'!$A$5:$A$198,0)),0)</f>
        <v>350</v>
      </c>
      <c r="L267" s="23">
        <f>ROUND(J267*K267,2)</f>
        <v>0</v>
      </c>
    </row>
    <row r="268" spans="1:12" ht="15.75" customHeight="1" x14ac:dyDescent="0.3">
      <c r="A268" s="17" t="s">
        <v>1898</v>
      </c>
      <c r="B268" s="17" t="str">
        <f t="array" ref="B268">IFERROR(INDEX('07_Items'!$B$5:$B$198,MATCH($A268,'07_Items'!$A$5:$A$198,0)),"")</f>
        <v>Reflective warning traffic signs</v>
      </c>
      <c r="C268" s="17" t="str">
        <f t="array" ref="C268">IFERROR(INDEX('07_Items'!$C$5:$C$198,MATCH($A268,'07_Items'!$A$5:$A$198,0)),"")</f>
        <v>nr</v>
      </c>
      <c r="D268" s="23">
        <f>IFERROR(SUMIFS('06_Road_Engine'!$E$46:$E$90,'06_Road_Engine'!$A$46:$A$90,$A268,'06_Road_Engine'!$D$46:$D$90,"EWKPVMT"),0)</f>
        <v>0</v>
      </c>
      <c r="E268" s="23">
        <f>IFERROR(SUMIFS('06_Road_Engine'!$E$46:$E$90,'06_Road_Engine'!$A$46:$A$90,$A268,'06_Road_Engine'!$D$46:$D$90,"DRAIN"),0)</f>
        <v>0</v>
      </c>
      <c r="F268" s="23">
        <f>SUMPRODUCT(('03_Pipe_Engine'!$Y$3:$BC$3=$A268)*'03_Pipe_Engine'!$Y$6:$BC$20)</f>
        <v>0</v>
      </c>
      <c r="G268" s="23">
        <f>SUMPRODUCT(('04_Box_Engine'!$G$3:$AC$3=$A268)*'04_Box_Engine'!$G$6:$AC$24)</f>
        <v>0</v>
      </c>
      <c r="H268" s="23">
        <v>0</v>
      </c>
      <c r="I268" s="32"/>
      <c r="J268" s="23">
        <f>ROUND(SUM(D268:I268),2)</f>
        <v>0</v>
      </c>
      <c r="K268" s="23">
        <f t="array" ref="K268">IFERROR(INDEX('08_Rates'!$D$5:$D$198,MATCH($A268,'08_Rates'!$A$5:$A$198,0)),0)</f>
        <v>3000</v>
      </c>
      <c r="L268" s="23">
        <f>ROUND(J268*K268,2)</f>
        <v>0</v>
      </c>
    </row>
    <row r="269" spans="1:12" ht="15.75" customHeight="1" x14ac:dyDescent="0.3">
      <c r="A269" s="17" t="s">
        <v>1901</v>
      </c>
      <c r="B269" s="17" t="str">
        <f t="array" ref="B269">IFERROR(INDEX('07_Items'!$B$5:$B$198,MATCH($A269,'07_Items'!$A$5:$A$198,0)),"")</f>
        <v>Reflective informatory traffic signs</v>
      </c>
      <c r="C269" s="17" t="str">
        <f t="array" ref="C269">IFERROR(INDEX('07_Items'!$C$5:$C$198,MATCH($A269,'07_Items'!$A$5:$A$198,0)),"")</f>
        <v>nr</v>
      </c>
      <c r="D269" s="23">
        <f>IFERROR(SUMIFS('06_Road_Engine'!$E$46:$E$90,'06_Road_Engine'!$A$46:$A$90,$A269,'06_Road_Engine'!$D$46:$D$90,"EWKPVMT"),0)</f>
        <v>0</v>
      </c>
      <c r="E269" s="23">
        <f>IFERROR(SUMIFS('06_Road_Engine'!$E$46:$E$90,'06_Road_Engine'!$A$46:$A$90,$A269,'06_Road_Engine'!$D$46:$D$90,"DRAIN"),0)</f>
        <v>0</v>
      </c>
      <c r="F269" s="23">
        <f>SUMPRODUCT(('03_Pipe_Engine'!$Y$3:$BC$3=$A269)*'03_Pipe_Engine'!$Y$6:$BC$20)</f>
        <v>0</v>
      </c>
      <c r="G269" s="23">
        <f>SUMPRODUCT(('04_Box_Engine'!$G$3:$AC$3=$A269)*'04_Box_Engine'!$G$6:$AC$24)</f>
        <v>0</v>
      </c>
      <c r="H269" s="23">
        <v>0</v>
      </c>
      <c r="I269" s="32"/>
      <c r="J269" s="23">
        <f>ROUND(SUM(D269:I269),2)</f>
        <v>0</v>
      </c>
      <c r="K269" s="23">
        <f t="array" ref="K269">IFERROR(INDEX('08_Rates'!$D$5:$D$198,MATCH($A269,'08_Rates'!$A$5:$A$198,0)),0)</f>
        <v>3000</v>
      </c>
      <c r="L269" s="23">
        <f>ROUND(J269*K269,2)</f>
        <v>0</v>
      </c>
    </row>
    <row r="270" spans="1:12" ht="15.75" customHeight="1" x14ac:dyDescent="0.3">
      <c r="B270" s="43" t="s">
        <v>2410</v>
      </c>
    </row>
    <row r="271" spans="1:12" ht="15.75" customHeight="1" x14ac:dyDescent="0.3">
      <c r="A271" s="17" t="s">
        <v>1903</v>
      </c>
      <c r="B271" s="17" t="str">
        <f t="array" ref="B271">IFERROR(INDEX('07_Items'!$B$5:$B$198,MATCH($A271,'07_Items'!$A$5:$A$198,0)),"")</f>
        <v>Reflective mandatory traffic signs</v>
      </c>
      <c r="C271" s="17" t="str">
        <f t="array" ref="C271">IFERROR(INDEX('07_Items'!$C$5:$C$198,MATCH($A271,'07_Items'!$A$5:$A$198,0)),"")</f>
        <v>nr</v>
      </c>
      <c r="D271" s="23">
        <f>IFERROR(SUMIFS('06_Road_Engine'!$E$46:$E$90,'06_Road_Engine'!$A$46:$A$90,$A271,'06_Road_Engine'!$D$46:$D$90,"EWKPVMT"),0)</f>
        <v>0</v>
      </c>
      <c r="E271" s="23">
        <f>IFERROR(SUMIFS('06_Road_Engine'!$E$46:$E$90,'06_Road_Engine'!$A$46:$A$90,$A271,'06_Road_Engine'!$D$46:$D$90,"DRAIN"),0)</f>
        <v>0</v>
      </c>
      <c r="F271" s="23">
        <f>SUMPRODUCT(('03_Pipe_Engine'!$Y$3:$BC$3=$A271)*'03_Pipe_Engine'!$Y$6:$BC$20)</f>
        <v>0</v>
      </c>
      <c r="G271" s="23">
        <f>SUMPRODUCT(('04_Box_Engine'!$G$3:$AC$3=$A271)*'04_Box_Engine'!$G$6:$AC$24)</f>
        <v>0</v>
      </c>
      <c r="H271" s="23">
        <v>0</v>
      </c>
      <c r="I271" s="32"/>
      <c r="J271" s="23">
        <f>ROUND(SUM(D271:I271),2)</f>
        <v>0</v>
      </c>
      <c r="K271" s="23">
        <f t="array" ref="K271">IFERROR(INDEX('08_Rates'!$D$5:$D$198,MATCH($A271,'08_Rates'!$A$5:$A$198,0)),0)</f>
        <v>3000</v>
      </c>
      <c r="L271" s="23">
        <f>ROUND(J271*K271,2)</f>
        <v>0</v>
      </c>
    </row>
    <row r="272" spans="1:12" ht="15.75" customHeight="1" x14ac:dyDescent="0.3">
      <c r="B272" s="43" t="s">
        <v>2411</v>
      </c>
    </row>
    <row r="273" spans="1:12" ht="15.75" customHeight="1" x14ac:dyDescent="0.3">
      <c r="A273" s="17" t="s">
        <v>1905</v>
      </c>
      <c r="B273" s="17" t="str">
        <f t="array" ref="B273">IFERROR(INDEX('07_Items'!$B$5:$B$198,MATCH($A273,'07_Items'!$A$5:$A$198,0)),"")</f>
        <v>120 mm lane separation line</v>
      </c>
      <c r="C273" s="17" t="str">
        <f t="array" ref="C273">IFERROR(INDEX('07_Items'!$C$5:$C$198,MATCH($A273,'07_Items'!$A$5:$A$198,0)),"")</f>
        <v>m</v>
      </c>
      <c r="D273" s="23">
        <f>IFERROR(SUMIFS('06_Road_Engine'!$E$46:$E$90,'06_Road_Engine'!$A$46:$A$90,$A273,'06_Road_Engine'!$D$46:$D$90,"EWKPVMT"),0)</f>
        <v>0</v>
      </c>
      <c r="E273" s="23">
        <f>IFERROR(SUMIFS('06_Road_Engine'!$E$46:$E$90,'06_Road_Engine'!$A$46:$A$90,$A273,'06_Road_Engine'!$D$46:$D$90,"DRAIN"),0)</f>
        <v>0</v>
      </c>
      <c r="F273" s="23">
        <f>SUMPRODUCT(('03_Pipe_Engine'!$Y$3:$BC$3=$A273)*'03_Pipe_Engine'!$Y$6:$BC$20)</f>
        <v>0</v>
      </c>
      <c r="G273" s="23">
        <f>SUMPRODUCT(('04_Box_Engine'!$G$3:$AC$3=$A273)*'04_Box_Engine'!$G$6:$AC$24)</f>
        <v>0</v>
      </c>
      <c r="H273" s="23">
        <v>0</v>
      </c>
      <c r="I273" s="32"/>
      <c r="J273" s="23">
        <f>ROUND(SUM(D273:I273),2)</f>
        <v>0</v>
      </c>
      <c r="K273" s="23">
        <f t="array" ref="K273">IFERROR(INDEX('08_Rates'!$D$5:$D$198,MATCH($A273,'08_Rates'!$A$5:$A$198,0)),0)</f>
        <v>60</v>
      </c>
      <c r="L273" s="23">
        <f>ROUND(J273*K273,2)</f>
        <v>0</v>
      </c>
    </row>
    <row r="274" spans="1:12" ht="15.75" customHeight="1" x14ac:dyDescent="0.3">
      <c r="A274" s="17" t="s">
        <v>1907</v>
      </c>
      <c r="B274" s="17" t="str">
        <f t="array" ref="B274">IFERROR(INDEX('07_Items'!$B$5:$B$198,MATCH($A274,'07_Items'!$A$5:$A$198,0)),"")</f>
        <v>300 mm continuous STOP line</v>
      </c>
      <c r="C274" s="17" t="str">
        <f t="array" ref="C274">IFERROR(INDEX('07_Items'!$C$5:$C$198,MATCH($A274,'07_Items'!$A$5:$A$198,0)),"")</f>
        <v>m</v>
      </c>
      <c r="D274" s="23">
        <f>IFERROR(SUMIFS('06_Road_Engine'!$E$46:$E$90,'06_Road_Engine'!$A$46:$A$90,$A274,'06_Road_Engine'!$D$46:$D$90,"EWKPVMT"),0)</f>
        <v>0</v>
      </c>
      <c r="E274" s="23">
        <f>IFERROR(SUMIFS('06_Road_Engine'!$E$46:$E$90,'06_Road_Engine'!$A$46:$A$90,$A274,'06_Road_Engine'!$D$46:$D$90,"DRAIN"),0)</f>
        <v>0</v>
      </c>
      <c r="F274" s="23">
        <f>SUMPRODUCT(('03_Pipe_Engine'!$Y$3:$BC$3=$A274)*'03_Pipe_Engine'!$Y$6:$BC$20)</f>
        <v>0</v>
      </c>
      <c r="G274" s="23">
        <f>SUMPRODUCT(('04_Box_Engine'!$G$3:$AC$3=$A274)*'04_Box_Engine'!$G$6:$AC$24)</f>
        <v>0</v>
      </c>
      <c r="H274" s="23">
        <v>0</v>
      </c>
      <c r="I274" s="32"/>
      <c r="J274" s="23">
        <f>ROUND(SUM(D274:I274),2)</f>
        <v>0</v>
      </c>
      <c r="K274" s="23">
        <f t="array" ref="K274">IFERROR(INDEX('08_Rates'!$D$5:$D$198,MATCH($A274,'08_Rates'!$A$5:$A$198,0)),0)</f>
        <v>350</v>
      </c>
      <c r="L274" s="23">
        <f>ROUND(J274*K274,2)</f>
        <v>0</v>
      </c>
    </row>
    <row r="275" spans="1:12" ht="15.75" customHeight="1" x14ac:dyDescent="0.3">
      <c r="A275" s="17" t="s">
        <v>1909</v>
      </c>
      <c r="B275" s="17" t="str">
        <f t="array" ref="B275">IFERROR(INDEX('07_Items'!$B$5:$B$198,MATCH($A275,'07_Items'!$A$5:$A$198,0)),"")</f>
        <v>120 mm intermittent centre line</v>
      </c>
      <c r="C275" s="17" t="str">
        <f t="array" ref="C275">IFERROR(INDEX('07_Items'!$C$5:$C$198,MATCH($A275,'07_Items'!$A$5:$A$198,0)),"")</f>
        <v>m</v>
      </c>
      <c r="D275" s="23">
        <f>IFERROR(SUMIFS('06_Road_Engine'!$E$46:$E$90,'06_Road_Engine'!$A$46:$A$90,$A275,'06_Road_Engine'!$D$46:$D$90,"EWKPVMT"),0)</f>
        <v>0</v>
      </c>
      <c r="E275" s="23">
        <f>IFERROR(SUMIFS('06_Road_Engine'!$E$46:$E$90,'06_Road_Engine'!$A$46:$A$90,$A275,'06_Road_Engine'!$D$46:$D$90,"DRAIN"),0)</f>
        <v>0</v>
      </c>
      <c r="F275" s="23">
        <f>SUMPRODUCT(('03_Pipe_Engine'!$Y$3:$BC$3=$A275)*'03_Pipe_Engine'!$Y$6:$BC$20)</f>
        <v>0</v>
      </c>
      <c r="G275" s="23">
        <f>SUMPRODUCT(('04_Box_Engine'!$G$3:$AC$3=$A275)*'04_Box_Engine'!$G$6:$AC$24)</f>
        <v>0</v>
      </c>
      <c r="H275" s="23">
        <v>0</v>
      </c>
      <c r="I275" s="32"/>
      <c r="J275" s="23">
        <f>ROUND(SUM(D275:I275),2)</f>
        <v>0</v>
      </c>
      <c r="K275" s="23">
        <f t="array" ref="K275">IFERROR(INDEX('08_Rates'!$D$5:$D$198,MATCH($A275,'08_Rates'!$A$5:$A$198,0)),0)</f>
        <v>60</v>
      </c>
      <c r="L275" s="23">
        <f>ROUND(J275*K275,2)</f>
        <v>0</v>
      </c>
    </row>
    <row r="276" spans="1:12" ht="15.75" customHeight="1" x14ac:dyDescent="0.3">
      <c r="A276" s="17" t="s">
        <v>1911</v>
      </c>
      <c r="B276" s="17" t="str">
        <f t="array" ref="B276">IFERROR(INDEX('07_Items'!$B$5:$B$198,MATCH($A276,'07_Items'!$A$5:$A$198,0)),"")</f>
        <v>120 mm continuous edge line</v>
      </c>
      <c r="C276" s="17" t="str">
        <f t="array" ref="C276">IFERROR(INDEX('07_Items'!$C$5:$C$198,MATCH($A276,'07_Items'!$A$5:$A$198,0)),"")</f>
        <v>m</v>
      </c>
      <c r="D276" s="23">
        <f>IFERROR(SUMIFS('06_Road_Engine'!$E$46:$E$90,'06_Road_Engine'!$A$46:$A$90,$A276,'06_Road_Engine'!$D$46:$D$90,"EWKPVMT"),0)</f>
        <v>0</v>
      </c>
      <c r="E276" s="23">
        <f>IFERROR(SUMIFS('06_Road_Engine'!$E$46:$E$90,'06_Road_Engine'!$A$46:$A$90,$A276,'06_Road_Engine'!$D$46:$D$90,"DRAIN"),0)</f>
        <v>0</v>
      </c>
      <c r="F276" s="23">
        <f>SUMPRODUCT(('03_Pipe_Engine'!$Y$3:$BC$3=$A276)*'03_Pipe_Engine'!$Y$6:$BC$20)</f>
        <v>0</v>
      </c>
      <c r="G276" s="23">
        <f>SUMPRODUCT(('04_Box_Engine'!$G$3:$AC$3=$A276)*'04_Box_Engine'!$G$6:$AC$24)</f>
        <v>0</v>
      </c>
      <c r="H276" s="23">
        <v>0</v>
      </c>
      <c r="I276" s="32"/>
      <c r="J276" s="23">
        <f>ROUND(SUM(D276:I276),2)</f>
        <v>0</v>
      </c>
      <c r="K276" s="23">
        <f t="array" ref="K276">IFERROR(INDEX('08_Rates'!$D$5:$D$198,MATCH($A276,'08_Rates'!$A$5:$A$198,0)),0)</f>
        <v>60</v>
      </c>
      <c r="L276" s="23">
        <f>ROUND(J276*K276,2)</f>
        <v>0</v>
      </c>
    </row>
    <row r="277" spans="1:12" ht="15.75" customHeight="1" x14ac:dyDescent="0.3">
      <c r="A277" s="17" t="s">
        <v>1913</v>
      </c>
      <c r="B277" s="17" t="str">
        <f t="array" ref="B277">IFERROR(INDEX('07_Items'!$B$5:$B$198,MATCH($A277,'07_Items'!$A$5:$A$198,0)),"")</f>
        <v>350 mm pedestrian crossing stripes</v>
      </c>
      <c r="C277" s="17" t="str">
        <f t="array" ref="C277">IFERROR(INDEX('07_Items'!$C$5:$C$198,MATCH($A277,'07_Items'!$A$5:$A$198,0)),"")</f>
        <v>m</v>
      </c>
      <c r="D277" s="23">
        <f>IFERROR(SUMIFS('06_Road_Engine'!$E$46:$E$90,'06_Road_Engine'!$A$46:$A$90,$A277,'06_Road_Engine'!$D$46:$D$90,"EWKPVMT"),0)</f>
        <v>0</v>
      </c>
      <c r="E277" s="23">
        <f>IFERROR(SUMIFS('06_Road_Engine'!$E$46:$E$90,'06_Road_Engine'!$A$46:$A$90,$A277,'06_Road_Engine'!$D$46:$D$90,"DRAIN"),0)</f>
        <v>0</v>
      </c>
      <c r="F277" s="23">
        <f>SUMPRODUCT(('03_Pipe_Engine'!$Y$3:$BC$3=$A277)*'03_Pipe_Engine'!$Y$6:$BC$20)</f>
        <v>0</v>
      </c>
      <c r="G277" s="23">
        <f>SUMPRODUCT(('04_Box_Engine'!$G$3:$AC$3=$A277)*'04_Box_Engine'!$G$6:$AC$24)</f>
        <v>0</v>
      </c>
      <c r="H277" s="23">
        <v>0</v>
      </c>
      <c r="I277" s="32"/>
      <c r="J277" s="23">
        <f>ROUND(SUM(D277:I277),2)</f>
        <v>0</v>
      </c>
      <c r="K277" s="23">
        <f t="array" ref="K277">IFERROR(INDEX('08_Rates'!$D$5:$D$198,MATCH($A277,'08_Rates'!$A$5:$A$198,0)),0)</f>
        <v>350</v>
      </c>
      <c r="L277" s="23">
        <f>ROUND(J277*K277,2)</f>
        <v>0</v>
      </c>
    </row>
    <row r="278" spans="1:12" ht="15.75" customHeight="1" x14ac:dyDescent="0.3">
      <c r="B278" s="43" t="s">
        <v>2412</v>
      </c>
    </row>
    <row r="279" spans="1:12" ht="15.75" customHeight="1" x14ac:dyDescent="0.3">
      <c r="A279" s="17" t="s">
        <v>1915</v>
      </c>
      <c r="B279" s="17" t="str">
        <f t="array" ref="B279">IFERROR(INDEX('07_Items'!$B$5:$B$198,MATCH($A279,'07_Items'!$A$5:$A$198,0)),"")</f>
        <v>Construct speed ramps</v>
      </c>
      <c r="C279" s="17" t="str">
        <f t="array" ref="C279">IFERROR(INDEX('07_Items'!$C$5:$C$198,MATCH($A279,'07_Items'!$A$5:$A$198,0)),"")</f>
        <v>nr</v>
      </c>
      <c r="D279" s="23">
        <f>IFERROR(SUMIFS('06_Road_Engine'!$E$46:$E$90,'06_Road_Engine'!$A$46:$A$90,$A279,'06_Road_Engine'!$D$46:$D$90,"EWKPVMT"),0)</f>
        <v>0</v>
      </c>
      <c r="E279" s="23">
        <f>IFERROR(SUMIFS('06_Road_Engine'!$E$46:$E$90,'06_Road_Engine'!$A$46:$A$90,$A279,'06_Road_Engine'!$D$46:$D$90,"DRAIN"),0)</f>
        <v>0</v>
      </c>
      <c r="F279" s="23">
        <f>SUMPRODUCT(('03_Pipe_Engine'!$Y$3:$BC$3=$A279)*'03_Pipe_Engine'!$Y$6:$BC$20)</f>
        <v>0</v>
      </c>
      <c r="G279" s="23">
        <f>SUMPRODUCT(('04_Box_Engine'!$G$3:$AC$3=$A279)*'04_Box_Engine'!$G$6:$AC$24)</f>
        <v>0</v>
      </c>
      <c r="H279" s="23">
        <v>0</v>
      </c>
      <c r="I279" s="32"/>
      <c r="J279" s="23">
        <f>ROUND(SUM(D279:I279),2)</f>
        <v>0</v>
      </c>
      <c r="K279" s="23">
        <f t="array" ref="K279">IFERROR(INDEX('08_Rates'!$D$5:$D$198,MATCH($A279,'08_Rates'!$A$5:$A$198,0)),0)</f>
        <v>13700</v>
      </c>
      <c r="L279" s="23">
        <f>ROUND(J279*K279,2)</f>
        <v>0</v>
      </c>
    </row>
    <row r="280" spans="1:12" ht="15.75" customHeight="1" x14ac:dyDescent="0.3">
      <c r="B280" s="43" t="s">
        <v>2413</v>
      </c>
    </row>
    <row r="281" spans="1:12" ht="15.75" customHeight="1" x14ac:dyDescent="0.3">
      <c r="B281" s="43" t="s">
        <v>2414</v>
      </c>
    </row>
    <row r="282" spans="1:12" ht="15.75" customHeight="1" x14ac:dyDescent="0.3">
      <c r="A282" s="17"/>
      <c r="B282" s="17"/>
      <c r="C282" s="17"/>
      <c r="D282" s="23"/>
      <c r="E282" s="23"/>
      <c r="F282" s="23"/>
      <c r="G282" s="23"/>
      <c r="H282" s="23"/>
      <c r="I282" s="32"/>
      <c r="J282" s="23"/>
      <c r="K282" s="23"/>
      <c r="L282" s="23"/>
    </row>
    <row r="283" spans="1:12" ht="15.75" customHeight="1" x14ac:dyDescent="0.3">
      <c r="B283" s="43" t="s">
        <v>2415</v>
      </c>
    </row>
    <row r="284" spans="1:12" ht="15.75" customHeight="1" x14ac:dyDescent="0.3">
      <c r="B284" s="43" t="s">
        <v>1954</v>
      </c>
    </row>
    <row r="285" spans="1:12" ht="15.75" customHeight="1" x14ac:dyDescent="0.3">
      <c r="B285" s="43" t="s">
        <v>2416</v>
      </c>
    </row>
    <row r="286" spans="1:12" ht="15.75" customHeight="1" x14ac:dyDescent="0.3">
      <c r="B286" s="43" t="s">
        <v>2417</v>
      </c>
    </row>
    <row r="287" spans="1:12" ht="15.75" customHeight="1" x14ac:dyDescent="0.3">
      <c r="B287" s="43" t="s">
        <v>2418</v>
      </c>
    </row>
    <row r="288" spans="1:12" ht="15.75" customHeight="1" x14ac:dyDescent="0.3">
      <c r="B288" s="43" t="s">
        <v>2419</v>
      </c>
    </row>
    <row r="289" spans="1:12" ht="15.75" customHeight="1" x14ac:dyDescent="0.3">
      <c r="B289" s="43" t="str">
        <f>A230</f>
        <v>K979.2i</v>
      </c>
    </row>
    <row r="290" spans="1:12" ht="15.75" customHeight="1" x14ac:dyDescent="0.3">
      <c r="B290" s="43" t="str">
        <f>A257</f>
        <v>R349.4d</v>
      </c>
    </row>
    <row r="291" spans="1:12" ht="15.75" customHeight="1" x14ac:dyDescent="0.3">
      <c r="B291" s="43" t="s">
        <v>2420</v>
      </c>
    </row>
    <row r="292" spans="1:12" ht="15.75" customHeight="1" x14ac:dyDescent="0.3">
      <c r="B292" s="43" t="s">
        <v>2421</v>
      </c>
    </row>
    <row r="293" spans="1:12" ht="15.75" customHeight="1" x14ac:dyDescent="0.3">
      <c r="B293" s="43" t="s">
        <v>2171</v>
      </c>
    </row>
    <row r="294" spans="1:12" ht="15.75" customHeight="1" x14ac:dyDescent="0.3">
      <c r="B294" s="43" t="s">
        <v>2422</v>
      </c>
    </row>
    <row r="295" spans="1:12" ht="15.75" customHeight="1" x14ac:dyDescent="0.3">
      <c r="A295" s="17" t="s">
        <v>2172</v>
      </c>
      <c r="B295" s="17" t="str">
        <f t="array" ref="B295">IFERROR(INDEX('07_Items'!$B$5:$B$198,MATCH($A295,'07_Items'!$A$5:$A$198,0)),"")</f>
        <v>SPECIFIED PROVISIONAL SUMS</v>
      </c>
      <c r="C295" s="17">
        <f t="array" ref="C295">IFERROR(INDEX('07_Items'!$C$5:$C$198,MATCH($A295,'07_Items'!$A$5:$A$198,0)),"")</f>
        <v>0</v>
      </c>
      <c r="D295" s="23">
        <f>IFERROR(SUMIFS('06_Road_Engine'!$E$46:$E$90,'06_Road_Engine'!$A$46:$A$90,$A295,'06_Road_Engine'!$D$46:$D$90,"EWKPVMT"),0)</f>
        <v>0</v>
      </c>
      <c r="E295" s="23">
        <f>IFERROR(SUMIFS('06_Road_Engine'!$E$46:$E$90,'06_Road_Engine'!$A$46:$A$90,$A295,'06_Road_Engine'!$D$46:$D$90,"DRAIN"),0)</f>
        <v>0</v>
      </c>
      <c r="F295" s="23">
        <f>SUMPRODUCT(('03_Pipe_Engine'!$Y$3:$BC$3=$A295)*'03_Pipe_Engine'!$Y$6:$BC$20)</f>
        <v>0</v>
      </c>
      <c r="G295" s="23">
        <f>SUMPRODUCT(('04_Box_Engine'!$G$3:$AC$3=$A295)*'04_Box_Engine'!$G$6:$AC$24)</f>
        <v>0</v>
      </c>
      <c r="H295" s="23">
        <v>0</v>
      </c>
      <c r="I295" s="32"/>
      <c r="J295" s="23">
        <f>ROUND(SUM(D295:I295),2)</f>
        <v>0</v>
      </c>
      <c r="K295" s="23">
        <f t="array" ref="K295">IFERROR(INDEX('08_Rates'!$D$5:$D$198,MATCH($A295,'08_Rates'!$A$5:$A$198,0)),0)</f>
        <v>0</v>
      </c>
      <c r="L295" s="23">
        <f>ROUND(J295*K295,2)</f>
        <v>0</v>
      </c>
    </row>
    <row r="296" spans="1:12" ht="15.75" customHeight="1" x14ac:dyDescent="0.3">
      <c r="B296" s="43" t="s">
        <v>2423</v>
      </c>
    </row>
    <row r="297" spans="1:12" ht="15.75" customHeight="1" x14ac:dyDescent="0.3">
      <c r="A297" s="17" t="s">
        <v>2174</v>
      </c>
      <c r="B297" s="17" t="str">
        <f t="array" ref="B297">IFERROR(INDEX('07_Items'!$B$5:$B$198,MATCH($A297,'07_Items'!$A$5:$A$198,0)),"")</f>
        <v xml:space="preserve">CONTINGENCIES </v>
      </c>
      <c r="C297" s="17">
        <f t="array" ref="C297">IFERROR(INDEX('07_Items'!$C$5:$C$198,MATCH($A297,'07_Items'!$A$5:$A$198,0)),"")</f>
        <v>0</v>
      </c>
      <c r="D297" s="23">
        <f>IFERROR(SUMIFS('06_Road_Engine'!$E$46:$E$90,'06_Road_Engine'!$A$46:$A$90,$A297,'06_Road_Engine'!$D$46:$D$90,"EWKPVMT"),0)</f>
        <v>0</v>
      </c>
      <c r="E297" s="23">
        <f>IFERROR(SUMIFS('06_Road_Engine'!$E$46:$E$90,'06_Road_Engine'!$A$46:$A$90,$A297,'06_Road_Engine'!$D$46:$D$90,"DRAIN"),0)</f>
        <v>0</v>
      </c>
      <c r="F297" s="23">
        <f>SUMPRODUCT(('03_Pipe_Engine'!$Y$3:$BC$3=$A297)*'03_Pipe_Engine'!$Y$6:$BC$20)</f>
        <v>0</v>
      </c>
      <c r="G297" s="23">
        <f>SUMPRODUCT(('04_Box_Engine'!$G$3:$AC$3=$A297)*'04_Box_Engine'!$G$6:$AC$24)</f>
        <v>0</v>
      </c>
      <c r="H297" s="23">
        <v>0</v>
      </c>
      <c r="I297" s="32"/>
      <c r="J297" s="23">
        <f>ROUND(SUM(D297:I297),2)</f>
        <v>0</v>
      </c>
      <c r="K297" s="23">
        <f t="array" ref="K297">IFERROR(INDEX('08_Rates'!$D$5:$D$198,MATCH($A297,'08_Rates'!$A$5:$A$198,0)),0)</f>
        <v>0</v>
      </c>
      <c r="L297" s="23">
        <f>ROUND(J297*K297,2)</f>
        <v>0</v>
      </c>
    </row>
    <row r="298" spans="1:12" ht="15.75" customHeight="1" x14ac:dyDescent="0.3">
      <c r="A298" s="17" t="s">
        <v>2174</v>
      </c>
      <c r="B298" s="17" t="str">
        <f t="array" ref="B298">IFERROR(INDEX('07_Items'!$B$5:$B$198,MATCH($A298,'07_Items'!$A$5:$A$198,0)),"")</f>
        <v xml:space="preserve">CONTINGENCIES </v>
      </c>
      <c r="C298" s="17">
        <f t="array" ref="C298">IFERROR(INDEX('07_Items'!$C$5:$C$198,MATCH($A298,'07_Items'!$A$5:$A$198,0)),"")</f>
        <v>0</v>
      </c>
      <c r="D298" s="23">
        <f>IFERROR(SUMIFS('06_Road_Engine'!$E$46:$E$90,'06_Road_Engine'!$A$46:$A$90,$A298,'06_Road_Engine'!$D$46:$D$90,"EWKPVMT"),0)</f>
        <v>0</v>
      </c>
      <c r="E298" s="23">
        <f>IFERROR(SUMIFS('06_Road_Engine'!$E$46:$E$90,'06_Road_Engine'!$A$46:$A$90,$A298,'06_Road_Engine'!$D$46:$D$90,"DRAIN"),0)</f>
        <v>0</v>
      </c>
      <c r="F298" s="23">
        <f>SUMPRODUCT(('03_Pipe_Engine'!$Y$3:$BC$3=$A298)*'03_Pipe_Engine'!$Y$6:$BC$20)</f>
        <v>0</v>
      </c>
      <c r="G298" s="23">
        <f>SUMPRODUCT(('04_Box_Engine'!$G$3:$AC$3=$A298)*'04_Box_Engine'!$G$6:$AC$24)</f>
        <v>0</v>
      </c>
      <c r="H298" s="23">
        <v>0</v>
      </c>
      <c r="I298" s="32"/>
      <c r="J298" s="23">
        <f>ROUND(SUM(D298:I298),2)</f>
        <v>0</v>
      </c>
      <c r="K298" s="23">
        <f t="array" ref="K298">IFERROR(INDEX('08_Rates'!$D$5:$D$198,MATCH($A298,'08_Rates'!$A$5:$A$198,0)),0)</f>
        <v>0</v>
      </c>
      <c r="L298" s="23">
        <f>ROUND(J298*K298,2)</f>
        <v>0</v>
      </c>
    </row>
    <row r="299" spans="1:12" ht="15.75" customHeight="1" x14ac:dyDescent="0.3">
      <c r="B299" s="43" t="s">
        <v>2395</v>
      </c>
    </row>
    <row r="300" spans="1:12" ht="15.75" customHeight="1" x14ac:dyDescent="0.3">
      <c r="B300" s="43" t="s">
        <v>2424</v>
      </c>
    </row>
    <row r="301" spans="1:12" ht="15.75" customHeight="1" x14ac:dyDescent="0.3">
      <c r="B301" s="43" t="s">
        <v>2425</v>
      </c>
    </row>
    <row r="302" spans="1:12" ht="15.75" customHeight="1" x14ac:dyDescent="0.3">
      <c r="B302" s="43" t="s">
        <v>2426</v>
      </c>
    </row>
    <row r="303" spans="1:12" ht="15.75" customHeight="1" x14ac:dyDescent="0.3">
      <c r="A303" s="44"/>
      <c r="B303" s="45" t="s">
        <v>2427</v>
      </c>
      <c r="C303" s="44"/>
      <c r="D303" s="44"/>
      <c r="E303" s="44"/>
      <c r="F303" s="44"/>
      <c r="G303" s="44"/>
      <c r="H303" s="44"/>
      <c r="I303" s="44"/>
      <c r="J303" s="44"/>
      <c r="K303" s="44"/>
      <c r="L303" s="46">
        <f>SUM(L265:L302)</f>
        <v>0</v>
      </c>
    </row>
    <row r="304" spans="1:12" ht="15.75" customHeight="1" x14ac:dyDescent="0.3"/>
    <row r="305" spans="1:12" ht="15.75" customHeight="1" x14ac:dyDescent="0.3"/>
    <row r="306" spans="1:12" ht="15.75" customHeight="1" x14ac:dyDescent="0.3">
      <c r="A306" s="50" t="s">
        <v>2428</v>
      </c>
    </row>
    <row r="307" spans="1:12" ht="15.75" customHeight="1" x14ac:dyDescent="0.3">
      <c r="A307" s="3"/>
      <c r="B307" s="3" t="s">
        <v>1950</v>
      </c>
      <c r="C307" s="3"/>
      <c r="D307" s="3"/>
      <c r="E307" s="3"/>
      <c r="F307" s="3"/>
      <c r="G307" s="3"/>
      <c r="H307" s="3"/>
      <c r="I307" s="3"/>
      <c r="J307" s="3"/>
      <c r="K307" s="3"/>
      <c r="L307" s="3" t="s">
        <v>2352</v>
      </c>
    </row>
    <row r="308" spans="1:12" ht="15.75" customHeight="1" x14ac:dyDescent="0.3">
      <c r="A308" s="11"/>
      <c r="B308" s="11" t="str">
        <f>B47</f>
        <v>TOTAL — BILL NO.1:GENERAL ITEMS</v>
      </c>
      <c r="C308" s="11"/>
      <c r="D308" s="11"/>
      <c r="E308" s="11"/>
      <c r="F308" s="11"/>
      <c r="G308" s="11"/>
      <c r="H308" s="11"/>
      <c r="I308" s="11"/>
      <c r="J308" s="11"/>
      <c r="K308" s="11"/>
      <c r="L308" s="30">
        <f>L47</f>
        <v>0</v>
      </c>
    </row>
    <row r="309" spans="1:12" ht="15.75" customHeight="1" x14ac:dyDescent="0.3">
      <c r="A309" s="11"/>
      <c r="B309" s="11" t="str">
        <f>B60</f>
        <v>TOTAL — BILL NO.2:DEMOLITION AND SITE CLEARANCE</v>
      </c>
      <c r="C309" s="11"/>
      <c r="D309" s="11"/>
      <c r="E309" s="11"/>
      <c r="F309" s="11"/>
      <c r="G309" s="11"/>
      <c r="H309" s="11"/>
      <c r="I309" s="11"/>
      <c r="J309" s="11"/>
      <c r="K309" s="11"/>
      <c r="L309" s="30">
        <f>L60</f>
        <v>0</v>
      </c>
    </row>
    <row r="310" spans="1:12" ht="15.75" customHeight="1" x14ac:dyDescent="0.3">
      <c r="A310" s="11"/>
      <c r="B310" s="11" t="str">
        <f>B87</f>
        <v>TOTAL — BILL NO.3:EARTHWORKS</v>
      </c>
      <c r="C310" s="11"/>
      <c r="D310" s="11"/>
      <c r="E310" s="11"/>
      <c r="F310" s="11"/>
      <c r="G310" s="11"/>
      <c r="H310" s="11"/>
      <c r="I310" s="11"/>
      <c r="J310" s="11"/>
      <c r="K310" s="11"/>
      <c r="L310" s="30">
        <f>L87</f>
        <v>0</v>
      </c>
    </row>
    <row r="311" spans="1:12" ht="15.75" customHeight="1" x14ac:dyDescent="0.3">
      <c r="A311" s="11"/>
      <c r="B311" s="11" t="str">
        <f>B110</f>
        <v>TOTAL — BILL NO.4: INSITU CONCRETE</v>
      </c>
      <c r="C311" s="11"/>
      <c r="D311" s="11"/>
      <c r="E311" s="11"/>
      <c r="F311" s="11"/>
      <c r="G311" s="11"/>
      <c r="H311" s="11"/>
      <c r="I311" s="11"/>
      <c r="J311" s="11"/>
      <c r="K311" s="11"/>
      <c r="L311" s="30">
        <f>L110</f>
        <v>0</v>
      </c>
    </row>
    <row r="312" spans="1:12" ht="15.75" customHeight="1" x14ac:dyDescent="0.3">
      <c r="A312" s="11"/>
      <c r="B312" s="11" t="str">
        <f>B132</f>
        <v>TOTAL — BILL NO.5:CONCRETE ANCILLARIES</v>
      </c>
      <c r="C312" s="11"/>
      <c r="D312" s="11"/>
      <c r="E312" s="11"/>
      <c r="F312" s="11"/>
      <c r="G312" s="11"/>
      <c r="H312" s="11"/>
      <c r="I312" s="11"/>
      <c r="J312" s="11"/>
      <c r="K312" s="11"/>
      <c r="L312" s="30">
        <f>L132</f>
        <v>0</v>
      </c>
    </row>
    <row r="313" spans="1:12" ht="15.75" customHeight="1" x14ac:dyDescent="0.3">
      <c r="A313" s="11"/>
      <c r="B313" s="11" t="str">
        <f>B143</f>
        <v>TOTAL — BILL NO.6:PIPE WORK - PIPES</v>
      </c>
      <c r="C313" s="11"/>
      <c r="D313" s="11"/>
      <c r="E313" s="11"/>
      <c r="F313" s="11"/>
      <c r="G313" s="11"/>
      <c r="H313" s="11"/>
      <c r="I313" s="11"/>
      <c r="J313" s="11"/>
      <c r="K313" s="11"/>
      <c r="L313" s="30">
        <f>L143</f>
        <v>0</v>
      </c>
    </row>
    <row r="314" spans="1:12" ht="15.75" customHeight="1" x14ac:dyDescent="0.3">
      <c r="A314" s="11"/>
      <c r="B314" s="11" t="str">
        <f>B162</f>
        <v>TOTAL — BILL NO.7:PIPE WORK - SUPPORT AND PROTECTION</v>
      </c>
      <c r="C314" s="11"/>
      <c r="D314" s="11"/>
      <c r="E314" s="11"/>
      <c r="F314" s="11"/>
      <c r="G314" s="11"/>
      <c r="H314" s="11"/>
      <c r="I314" s="11"/>
      <c r="J314" s="11"/>
      <c r="K314" s="11"/>
      <c r="L314" s="30">
        <f>L162</f>
        <v>0</v>
      </c>
    </row>
    <row r="315" spans="1:12" ht="15.75" customHeight="1" x14ac:dyDescent="0.3">
      <c r="A315" s="11"/>
      <c r="B315" s="11" t="str">
        <f>B183</f>
        <v>TOTAL — BILL NO.8: DRAINS AND DITCHES</v>
      </c>
      <c r="C315" s="11"/>
      <c r="D315" s="11"/>
      <c r="E315" s="11"/>
      <c r="F315" s="11"/>
      <c r="G315" s="11"/>
      <c r="H315" s="11"/>
      <c r="I315" s="11"/>
      <c r="J315" s="11"/>
      <c r="K315" s="11"/>
      <c r="L315" s="30">
        <f>L183</f>
        <v>0</v>
      </c>
    </row>
    <row r="316" spans="1:12" ht="15.75" customHeight="1" x14ac:dyDescent="0.3">
      <c r="A316" s="11"/>
      <c r="B316" s="11" t="str">
        <f>B244</f>
        <v>TOTAL — BILL NO.9:U-CULVERTS</v>
      </c>
      <c r="C316" s="11"/>
      <c r="D316" s="11"/>
      <c r="E316" s="11"/>
      <c r="F316" s="11"/>
      <c r="G316" s="11"/>
      <c r="H316" s="11"/>
      <c r="I316" s="11"/>
      <c r="J316" s="11"/>
      <c r="K316" s="11"/>
      <c r="L316" s="30">
        <f>L244</f>
        <v>0</v>
      </c>
    </row>
    <row r="317" spans="1:12" ht="15.75" customHeight="1" x14ac:dyDescent="0.3">
      <c r="A317" s="11"/>
      <c r="B317" s="11" t="str">
        <f>B262</f>
        <v>TOTAL — BILL NO.9: ROADS AND PAVINGS</v>
      </c>
      <c r="C317" s="11"/>
      <c r="D317" s="11"/>
      <c r="E317" s="11"/>
      <c r="F317" s="11"/>
      <c r="G317" s="11"/>
      <c r="H317" s="11"/>
      <c r="I317" s="11"/>
      <c r="J317" s="11"/>
      <c r="K317" s="11"/>
      <c r="L317" s="30">
        <f>L262</f>
        <v>0</v>
      </c>
    </row>
    <row r="318" spans="1:12" ht="15.75" customHeight="1" x14ac:dyDescent="0.3">
      <c r="A318" s="11"/>
      <c r="B318" s="11" t="str">
        <f>B303</f>
        <v>TOTAL — BILL NO.10: MISCELLANEOUS</v>
      </c>
      <c r="C318" s="11"/>
      <c r="D318" s="11"/>
      <c r="E318" s="11"/>
      <c r="F318" s="11"/>
      <c r="G318" s="11"/>
      <c r="H318" s="11"/>
      <c r="I318" s="11"/>
      <c r="J318" s="11"/>
      <c r="K318" s="11"/>
      <c r="L318" s="30">
        <f>L303</f>
        <v>0</v>
      </c>
    </row>
    <row r="319" spans="1:12" ht="15.75" customHeight="1" x14ac:dyDescent="0.3">
      <c r="A319" s="44"/>
      <c r="B319" s="51" t="s">
        <v>2429</v>
      </c>
      <c r="C319" s="44"/>
      <c r="D319" s="44"/>
      <c r="E319" s="44"/>
      <c r="F319" s="44"/>
      <c r="G319" s="44"/>
      <c r="H319" s="44"/>
      <c r="I319" s="44"/>
      <c r="J319" s="44"/>
      <c r="K319" s="44"/>
      <c r="L319" s="52">
        <f>SUM(L308:L318)</f>
        <v>0</v>
      </c>
    </row>
    <row r="320" spans="1:12"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sheetData>
  <printOptions horizontalCentered="1"/>
  <pageMargins left="0.75" right="0.75" top="1" bottom="1" header="0" footer="0"/>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C00000"/>
    <pageSetUpPr fitToPage="1"/>
  </sheetPr>
  <dimension ref="A1:F1000"/>
  <sheetViews>
    <sheetView showGridLines="0" workbookViewId="0">
      <pane ySplit="4" topLeftCell="A68" activePane="bottomLeft" state="frozen"/>
      <selection pane="bottomLeft" activeCell="C89" sqref="C89"/>
    </sheetView>
  </sheetViews>
  <sheetFormatPr defaultColWidth="14.44140625" defaultRowHeight="15" customHeight="1" x14ac:dyDescent="0.3"/>
  <cols>
    <col min="1" max="1" width="7" customWidth="1"/>
    <col min="2" max="2" width="56" customWidth="1"/>
    <col min="3" max="3" width="62" customWidth="1"/>
    <col min="4" max="4" width="16" customWidth="1"/>
    <col min="5" max="5" width="11" customWidth="1"/>
    <col min="6" max="6" width="52" customWidth="1"/>
    <col min="7" max="26" width="8.6640625" customWidth="1"/>
  </cols>
  <sheetData>
    <row r="1" spans="1:6" ht="19.8" customHeight="1" x14ac:dyDescent="0.4">
      <c r="A1" s="1" t="s">
        <v>2430</v>
      </c>
    </row>
    <row r="2" spans="1:6" ht="14.4" customHeight="1" x14ac:dyDescent="0.3">
      <c r="A2" s="2" t="s">
        <v>2431</v>
      </c>
    </row>
    <row r="4" spans="1:6" ht="14.4" customHeight="1" x14ac:dyDescent="0.3">
      <c r="A4" s="3" t="s">
        <v>2432</v>
      </c>
      <c r="B4" s="3" t="s">
        <v>2433</v>
      </c>
      <c r="C4" s="3" t="s">
        <v>2434</v>
      </c>
      <c r="D4" s="3" t="s">
        <v>2435</v>
      </c>
      <c r="E4" s="3" t="s">
        <v>2436</v>
      </c>
      <c r="F4" s="3" t="s">
        <v>44</v>
      </c>
    </row>
    <row r="5" spans="1:6" ht="14.4" customHeight="1" x14ac:dyDescent="0.3">
      <c r="A5" s="17">
        <v>1</v>
      </c>
      <c r="B5" s="17" t="s">
        <v>2437</v>
      </c>
      <c r="C5" s="23">
        <f>COUNTIF('02_Culverts'!$C$5:$C$104,"?*")</f>
        <v>0</v>
      </c>
      <c r="D5" s="23">
        <f>SUM('03_Pipe_Engine'!$C$6:$C$20)+SUM('04_Box_Engine'!$C$6:$C$24)+SUM('05_UCulv_Engine'!$C$6:$C$17)</f>
        <v>0</v>
      </c>
      <c r="E5" s="35" t="str">
        <f t="shared" ref="E5:E14" si="0">IF(ROUND(C5,2)=ROUND(D5,2),"OK","REVIEW")</f>
        <v>OK</v>
      </c>
      <c r="F5" s="17" t="s">
        <v>2438</v>
      </c>
    </row>
    <row r="6" spans="1:6" ht="14.4" customHeight="1" x14ac:dyDescent="0.3">
      <c r="A6" s="17">
        <v>2</v>
      </c>
      <c r="B6" s="17" t="s">
        <v>2439</v>
      </c>
      <c r="C6" s="23">
        <f>SUM('02_Culverts'!$F$5:$F$104)</f>
        <v>0</v>
      </c>
      <c r="D6" s="23">
        <f>SUM('03_Pipe_Engine'!$D$6:$D$20)+SUM('04_Box_Engine'!$D$6:$D$24)+SUM('05_UCulv_Engine'!$D$6:$D$17)</f>
        <v>0</v>
      </c>
      <c r="E6" s="35" t="str">
        <f t="shared" si="0"/>
        <v>OK</v>
      </c>
      <c r="F6" s="17"/>
    </row>
    <row r="7" spans="1:6" ht="14.4" customHeight="1" x14ac:dyDescent="0.3">
      <c r="A7" s="17">
        <v>3</v>
      </c>
      <c r="B7" s="17" t="s">
        <v>2440</v>
      </c>
      <c r="C7" s="23">
        <f>0</f>
        <v>0</v>
      </c>
      <c r="D7" s="23">
        <f>COUNTIFS('01_Stations'!$B$6:$B$1005,"&gt;="&amp;P_Length_km*1000,'01_Stations'!$E$6:$E$1005,"?*")</f>
        <v>0</v>
      </c>
      <c r="E7" s="35" t="str">
        <f t="shared" si="0"/>
        <v>OK</v>
      </c>
      <c r="F7" s="17" t="s">
        <v>2441</v>
      </c>
    </row>
    <row r="8" spans="1:6" ht="14.4" customHeight="1" x14ac:dyDescent="0.3">
      <c r="A8" s="17">
        <v>4</v>
      </c>
      <c r="B8" s="17" t="s">
        <v>2442</v>
      </c>
      <c r="C8" s="23">
        <f>0</f>
        <v>0</v>
      </c>
      <c r="D8" s="23">
        <f>SUMPRODUCT(('10_BOQ'!$J$6:$J$303&gt;0)*('10_BOQ'!$K$6:$K$303=0))</f>
        <v>0</v>
      </c>
      <c r="E8" s="35" t="str">
        <f t="shared" si="0"/>
        <v>OK</v>
      </c>
      <c r="F8" s="17" t="s">
        <v>2443</v>
      </c>
    </row>
    <row r="9" spans="1:6" ht="14.4" customHeight="1" x14ac:dyDescent="0.3">
      <c r="A9" s="17">
        <v>5</v>
      </c>
      <c r="B9" s="17" t="s">
        <v>2444</v>
      </c>
      <c r="C9" s="23">
        <f>D9</f>
        <v>150</v>
      </c>
      <c r="D9" s="23">
        <f>SUMPRODUCT(('10_BOQ'!$J$6:$J$303=0)*('10_BOQ'!$K$6:$K$303&gt;0)*('10_BOQ'!$A$6:$A$303&lt;&gt;""))</f>
        <v>150</v>
      </c>
      <c r="E9" s="35" t="str">
        <f t="shared" si="0"/>
        <v>OK</v>
      </c>
      <c r="F9" s="17" t="s">
        <v>2445</v>
      </c>
    </row>
    <row r="10" spans="1:6" ht="14.4" customHeight="1" x14ac:dyDescent="0.3">
      <c r="A10" s="17">
        <v>6</v>
      </c>
      <c r="B10" s="17" t="s">
        <v>2446</v>
      </c>
      <c r="C10" s="23">
        <f>0</f>
        <v>0</v>
      </c>
      <c r="D10" s="23">
        <f>IF(L_Base&gt;L_Subbase+0.001,1,0)</f>
        <v>0</v>
      </c>
      <c r="E10" s="35" t="str">
        <f t="shared" si="0"/>
        <v>OK</v>
      </c>
      <c r="F10" s="17" t="s">
        <v>2447</v>
      </c>
    </row>
    <row r="11" spans="1:6" ht="14.4" customHeight="1" x14ac:dyDescent="0.3">
      <c r="A11" s="17">
        <v>7</v>
      </c>
      <c r="B11" s="17" t="s">
        <v>2448</v>
      </c>
      <c r="C11" s="23">
        <f>0</f>
        <v>0</v>
      </c>
      <c r="D11" s="23">
        <f>IF(AND(L_Scour&gt;0,S_Scour=0),1,0)</f>
        <v>0</v>
      </c>
      <c r="E11" s="35" t="str">
        <f t="shared" si="0"/>
        <v>OK</v>
      </c>
      <c r="F11" s="17" t="s">
        <v>2449</v>
      </c>
    </row>
    <row r="12" spans="1:6" ht="14.4" customHeight="1" x14ac:dyDescent="0.3">
      <c r="A12" s="17">
        <v>8</v>
      </c>
      <c r="B12" s="17" t="s">
        <v>2450</v>
      </c>
      <c r="C12" s="23">
        <f>ROUND(SUM('10_BOQ'!$L$6:$L$303)/2,2)</f>
        <v>0</v>
      </c>
      <c r="D12" s="23">
        <f>ROUND('10_BOQ'!$L$319,2)</f>
        <v>0</v>
      </c>
      <c r="E12" s="35" t="str">
        <f t="shared" si="0"/>
        <v>OK</v>
      </c>
      <c r="F12" s="17" t="s">
        <v>2451</v>
      </c>
    </row>
    <row r="13" spans="1:6" ht="14.4" customHeight="1" x14ac:dyDescent="0.3">
      <c r="A13" s="17">
        <v>9</v>
      </c>
      <c r="B13" s="17" t="s">
        <v>2452</v>
      </c>
      <c r="C13" s="23">
        <v>0</v>
      </c>
      <c r="D13" s="23">
        <f t="array" ref="D13">SUMPRODUCT(('04_Box_Engine'!$C$6:$C$19&gt;0)*('04c_Box_Takeoff'!$AG$5:$AG$18=0))</f>
        <v>0</v>
      </c>
      <c r="E13" s="35" t="str">
        <f t="shared" si="0"/>
        <v>OK</v>
      </c>
      <c r="F13" s="17" t="s">
        <v>2453</v>
      </c>
    </row>
    <row r="14" spans="1:6" ht="14.4" customHeight="1" x14ac:dyDescent="0.3">
      <c r="A14" s="17">
        <v>10</v>
      </c>
      <c r="B14" s="17" t="s">
        <v>2454</v>
      </c>
      <c r="C14" s="23">
        <f>0</f>
        <v>0</v>
      </c>
      <c r="D14" s="23">
        <f>SUMPRODUCT((('02_Culverts'!$J$5:$J$104&lt;&gt;"")*1)-ISNUMBER(MATCH('02_Culverts'!$J$5:$J$104,'03_Pipe_Engine'!$B$6:$B$20,0))*1-ISNUMBER(MATCH('02_Culverts'!$J$5:$J$104,'04_Box_Engine'!$B$6:$B$24,0))*1-ISNUMBER(MATCH('02_Culverts'!$J$5:$J$104,'05_UCulv_Engine'!$B$6:$B$17,0))*1)</f>
        <v>0</v>
      </c>
      <c r="E14" s="35" t="str">
        <f t="shared" si="0"/>
        <v>OK</v>
      </c>
      <c r="F14" s="17" t="s">
        <v>2455</v>
      </c>
    </row>
    <row r="17" spans="1:6" ht="14.4" customHeight="1" x14ac:dyDescent="0.3">
      <c r="A17" s="20" t="s">
        <v>2456</v>
      </c>
    </row>
    <row r="18" spans="1:6" ht="14.4" customHeight="1" x14ac:dyDescent="0.3">
      <c r="A18" s="36" t="s">
        <v>2457</v>
      </c>
    </row>
    <row r="19" spans="1:6" ht="14.4" customHeight="1" x14ac:dyDescent="0.3">
      <c r="A19" s="3" t="s">
        <v>2345</v>
      </c>
      <c r="B19" s="3" t="s">
        <v>1713</v>
      </c>
      <c r="C19" s="3" t="s">
        <v>2458</v>
      </c>
      <c r="D19" s="3" t="s">
        <v>2459</v>
      </c>
      <c r="E19" s="3" t="s">
        <v>2460</v>
      </c>
      <c r="F19" s="3" t="s">
        <v>2461</v>
      </c>
    </row>
    <row r="20" spans="1:6" ht="14.4" customHeight="1" x14ac:dyDescent="0.3">
      <c r="A20" s="37" t="s">
        <v>2171</v>
      </c>
      <c r="B20" s="38" t="str">
        <f t="array" ref="B20">IFERROR(INDEX('07_Items'!$B$5:$B$198,MATCH($A20,'07_Items'!$A$5:$A$198,0)),"")</f>
        <v/>
      </c>
      <c r="C20" s="41">
        <v>0</v>
      </c>
      <c r="D20" s="41">
        <f>'10_BOQ'!$J$264</f>
        <v>0</v>
      </c>
      <c r="E20" s="41">
        <f t="shared" ref="E20:E51" si="1">D20-C20</f>
        <v>0</v>
      </c>
      <c r="F20" s="42" t="str">
        <f t="shared" ref="F20:F51" si="2">IF(C20=0,IF(D20=0,"-","new"),(D20-C20)/C20)</f>
        <v>-</v>
      </c>
    </row>
    <row r="21" spans="1:6" ht="15.75" customHeight="1" x14ac:dyDescent="0.3">
      <c r="A21" s="37" t="s">
        <v>1954</v>
      </c>
      <c r="B21" s="38" t="str">
        <f t="array" ref="B21">IFERROR(INDEX('07_Items'!$B$5:$B$198,MATCH($A21,'07_Items'!$A$5:$A$198,0)),"")</f>
        <v/>
      </c>
      <c r="C21" s="41">
        <v>0</v>
      </c>
      <c r="D21" s="41">
        <f>'10_BOQ'!$J$9</f>
        <v>0</v>
      </c>
      <c r="E21" s="41">
        <f t="shared" si="1"/>
        <v>0</v>
      </c>
      <c r="F21" s="42" t="str">
        <f t="shared" si="2"/>
        <v>-</v>
      </c>
    </row>
    <row r="22" spans="1:6" ht="15.75" customHeight="1" x14ac:dyDescent="0.3">
      <c r="A22" s="37" t="s">
        <v>2020</v>
      </c>
      <c r="B22" s="38" t="str">
        <f t="array" ref="B22">IFERROR(INDEX('07_Items'!$B$5:$B$198,MATCH($A22,'07_Items'!$A$5:$A$198,0)),"")</f>
        <v/>
      </c>
      <c r="C22" s="41">
        <v>0</v>
      </c>
      <c r="D22" s="41">
        <f>'10_BOQ'!$J$49</f>
        <v>0</v>
      </c>
      <c r="E22" s="41">
        <f t="shared" si="1"/>
        <v>0</v>
      </c>
      <c r="F22" s="42" t="str">
        <f t="shared" si="2"/>
        <v>-</v>
      </c>
    </row>
    <row r="23" spans="1:6" ht="15.75" customHeight="1" x14ac:dyDescent="0.3">
      <c r="A23" s="37" t="s">
        <v>2029</v>
      </c>
      <c r="B23" s="38" t="str">
        <f t="array" ref="B23">IFERROR(INDEX('07_Items'!$B$5:$B$198,MATCH($A23,'07_Items'!$A$5:$A$198,0)),"")</f>
        <v/>
      </c>
      <c r="C23" s="41">
        <v>0</v>
      </c>
      <c r="D23" s="41">
        <f>'10_BOQ'!$J$62</f>
        <v>0</v>
      </c>
      <c r="E23" s="41">
        <f t="shared" si="1"/>
        <v>0</v>
      </c>
      <c r="F23" s="42" t="str">
        <f t="shared" si="2"/>
        <v>-</v>
      </c>
    </row>
    <row r="24" spans="1:6" ht="15.75" customHeight="1" x14ac:dyDescent="0.3">
      <c r="A24" s="37" t="s">
        <v>2056</v>
      </c>
      <c r="B24" s="38" t="str">
        <f t="array" ref="B24">IFERROR(INDEX('07_Items'!$B$5:$B$198,MATCH($A24,'07_Items'!$A$5:$A$198,0)),"")</f>
        <v/>
      </c>
      <c r="C24" s="41">
        <v>0</v>
      </c>
      <c r="D24" s="41">
        <f>'10_BOQ'!$J$89</f>
        <v>0</v>
      </c>
      <c r="E24" s="41">
        <f t="shared" si="1"/>
        <v>0</v>
      </c>
      <c r="F24" s="42" t="str">
        <f t="shared" si="2"/>
        <v>-</v>
      </c>
    </row>
    <row r="25" spans="1:6" ht="15.75" customHeight="1" x14ac:dyDescent="0.3">
      <c r="A25" s="37" t="s">
        <v>2074</v>
      </c>
      <c r="B25" s="38" t="str">
        <f t="array" ref="B25">IFERROR(INDEX('07_Items'!$B$5:$B$198,MATCH($A25,'07_Items'!$A$5:$A$198,0)),"")</f>
        <v/>
      </c>
      <c r="C25" s="41">
        <v>0</v>
      </c>
      <c r="D25" s="41">
        <f>'10_BOQ'!$J$112</f>
        <v>0</v>
      </c>
      <c r="E25" s="41">
        <f t="shared" si="1"/>
        <v>0</v>
      </c>
      <c r="F25" s="42" t="str">
        <f t="shared" si="2"/>
        <v>-</v>
      </c>
    </row>
    <row r="26" spans="1:6" ht="15.75" customHeight="1" x14ac:dyDescent="0.3">
      <c r="A26" s="37" t="s">
        <v>2091</v>
      </c>
      <c r="B26" s="38" t="str">
        <f t="array" ref="B26">IFERROR(INDEX('07_Items'!$B$5:$B$198,MATCH($A26,'07_Items'!$A$5:$A$198,0)),"")</f>
        <v/>
      </c>
      <c r="C26" s="41">
        <v>0</v>
      </c>
      <c r="D26" s="41">
        <f>'10_BOQ'!$J$134</f>
        <v>0</v>
      </c>
      <c r="E26" s="41">
        <f t="shared" si="1"/>
        <v>0</v>
      </c>
      <c r="F26" s="42" t="str">
        <f t="shared" si="2"/>
        <v>-</v>
      </c>
    </row>
    <row r="27" spans="1:6" ht="15.75" customHeight="1" x14ac:dyDescent="0.3">
      <c r="A27" s="37" t="s">
        <v>2097</v>
      </c>
      <c r="B27" s="38" t="str">
        <f t="array" ref="B27">IFERROR(INDEX('07_Items'!$B$5:$B$198,MATCH($A27,'07_Items'!$A$5:$A$198,0)),"")</f>
        <v/>
      </c>
      <c r="C27" s="41">
        <v>0</v>
      </c>
      <c r="D27" s="41">
        <f>'10_BOQ'!$J$145</f>
        <v>0</v>
      </c>
      <c r="E27" s="41">
        <f t="shared" si="1"/>
        <v>0</v>
      </c>
      <c r="F27" s="42" t="str">
        <f t="shared" si="2"/>
        <v>-</v>
      </c>
    </row>
    <row r="28" spans="1:6" ht="15.75" customHeight="1" x14ac:dyDescent="0.3">
      <c r="A28" s="37" t="s">
        <v>2110</v>
      </c>
      <c r="B28" s="38" t="str">
        <f t="array" ref="B28">IFERROR(INDEX('07_Items'!$B$5:$B$198,MATCH($A28,'07_Items'!$A$5:$A$198,0)),"")</f>
        <v/>
      </c>
      <c r="C28" s="41">
        <v>0</v>
      </c>
      <c r="D28" s="41">
        <f>'10_BOQ'!$J$164</f>
        <v>0</v>
      </c>
      <c r="E28" s="41">
        <f t="shared" si="1"/>
        <v>0</v>
      </c>
      <c r="F28" s="42" t="str">
        <f t="shared" si="2"/>
        <v>-</v>
      </c>
    </row>
    <row r="29" spans="1:6" ht="15.75" customHeight="1" x14ac:dyDescent="0.3">
      <c r="A29" s="37" t="s">
        <v>2155</v>
      </c>
      <c r="B29" s="38" t="str">
        <f t="array" ref="B29">IFERROR(INDEX('07_Items'!$B$5:$B$198,MATCH($A29,'07_Items'!$A$5:$A$198,0)),"")</f>
        <v/>
      </c>
      <c r="C29" s="41">
        <v>0</v>
      </c>
      <c r="D29" s="41">
        <f>'10_BOQ'!$J$246</f>
        <v>0</v>
      </c>
      <c r="E29" s="41">
        <f t="shared" si="1"/>
        <v>0</v>
      </c>
      <c r="F29" s="42" t="str">
        <f t="shared" si="2"/>
        <v>-</v>
      </c>
    </row>
    <row r="30" spans="1:6" ht="15.75" customHeight="1" x14ac:dyDescent="0.3">
      <c r="A30" s="37" t="s">
        <v>2118</v>
      </c>
      <c r="B30" s="38" t="str">
        <f t="array" ref="B30">IFERROR(INDEX('07_Items'!$B$5:$B$198,MATCH($A30,'07_Items'!$A$5:$A$198,0)),"")</f>
        <v/>
      </c>
      <c r="C30" s="41">
        <v>0</v>
      </c>
      <c r="D30" s="41">
        <f>'10_BOQ'!$J$185</f>
        <v>0</v>
      </c>
      <c r="E30" s="41">
        <f t="shared" si="1"/>
        <v>0</v>
      </c>
      <c r="F30" s="42" t="str">
        <f t="shared" si="2"/>
        <v>-</v>
      </c>
    </row>
    <row r="31" spans="1:6" ht="15.75" customHeight="1" x14ac:dyDescent="0.3">
      <c r="A31" s="37" t="s">
        <v>2462</v>
      </c>
      <c r="B31" s="38" t="str">
        <f t="array" ref="B31">IFERROR(INDEX('07_Items'!$B$5:$B$198,MATCH($A31,'07_Items'!$A$5:$A$198,0)),"")</f>
        <v/>
      </c>
      <c r="C31" s="41">
        <v>0</v>
      </c>
      <c r="D31" s="41">
        <f>'10_BOQ'!$J$7</f>
        <v>0</v>
      </c>
      <c r="E31" s="41">
        <f t="shared" si="1"/>
        <v>0</v>
      </c>
      <c r="F31" s="42" t="str">
        <f t="shared" si="2"/>
        <v>-</v>
      </c>
    </row>
    <row r="32" spans="1:6" ht="15.75" customHeight="1" x14ac:dyDescent="0.3">
      <c r="A32" s="37" t="s">
        <v>1844</v>
      </c>
      <c r="B32" s="38" t="str">
        <f t="array" ref="B32">IFERROR(INDEX('07_Items'!$B$5:$B$198,MATCH($A32,'07_Items'!$A$5:$A$198,0)),"")</f>
        <v>Clear thick bush</v>
      </c>
      <c r="C32" s="41">
        <v>0</v>
      </c>
      <c r="D32" s="41">
        <f>'10_BOQ'!$J$52</f>
        <v>0</v>
      </c>
      <c r="E32" s="41">
        <f t="shared" si="1"/>
        <v>0</v>
      </c>
      <c r="F32" s="42" t="str">
        <f t="shared" si="2"/>
        <v>-</v>
      </c>
    </row>
    <row r="33" spans="1:6" ht="15.75" customHeight="1" x14ac:dyDescent="0.3">
      <c r="A33" s="37" t="s">
        <v>1849</v>
      </c>
      <c r="B33" s="38" t="str">
        <f t="array" ref="B33">IFERROR(INDEX('07_Items'!$B$5:$B$198,MATCH($A33,'07_Items'!$A$5:$A$198,0)),"")</f>
        <v>Clear light bush</v>
      </c>
      <c r="C33" s="41">
        <v>0</v>
      </c>
      <c r="D33" s="41">
        <f>'10_BOQ'!$J$53</f>
        <v>0</v>
      </c>
      <c r="E33" s="41">
        <f t="shared" si="1"/>
        <v>0</v>
      </c>
      <c r="F33" s="42" t="str">
        <f t="shared" si="2"/>
        <v>-</v>
      </c>
    </row>
    <row r="34" spans="1:6" ht="15.75" customHeight="1" x14ac:dyDescent="0.3">
      <c r="A34" s="37" t="s">
        <v>1851</v>
      </c>
      <c r="B34" s="38" t="str">
        <f t="array" ref="B34">IFERROR(INDEX('07_Items'!$B$5:$B$198,MATCH($A34,'07_Items'!$A$5:$A$198,0)),"")</f>
        <v>Clear savannah bush</v>
      </c>
      <c r="C34" s="41">
        <v>0</v>
      </c>
      <c r="D34" s="41">
        <f>'10_BOQ'!$J$54</f>
        <v>0</v>
      </c>
      <c r="E34" s="41">
        <f t="shared" si="1"/>
        <v>0</v>
      </c>
      <c r="F34" s="42" t="str">
        <f t="shared" si="2"/>
        <v>-</v>
      </c>
    </row>
    <row r="35" spans="1:6" ht="15.75" customHeight="1" x14ac:dyDescent="0.3">
      <c r="A35" s="37" t="s">
        <v>1853</v>
      </c>
      <c r="B35" s="38" t="str">
        <f t="array" ref="B35">IFERROR(INDEX('07_Items'!$B$5:$B$198,MATCH($A35,'07_Items'!$A$5:$A$198,0)),"")</f>
        <v>Clear grass bush</v>
      </c>
      <c r="C35" s="41">
        <v>0</v>
      </c>
      <c r="D35" s="41">
        <f>'10_BOQ'!$J$55</f>
        <v>0</v>
      </c>
      <c r="E35" s="41">
        <f t="shared" si="1"/>
        <v>0</v>
      </c>
      <c r="F35" s="42" t="str">
        <f t="shared" si="2"/>
        <v>-</v>
      </c>
    </row>
    <row r="36" spans="1:6" ht="15.75" customHeight="1" x14ac:dyDescent="0.3">
      <c r="A36" s="37" t="s">
        <v>1855</v>
      </c>
      <c r="B36" s="38" t="str">
        <f t="array" ref="B36">IFERROR(INDEX('07_Items'!$B$5:$B$198,MATCH($A36,'07_Items'!$A$5:$A$198,0)),"")</f>
        <v>Clear existing bush</v>
      </c>
      <c r="C36" s="41">
        <v>0</v>
      </c>
      <c r="D36" s="41">
        <f>'10_BOQ'!$J$56</f>
        <v>0</v>
      </c>
      <c r="E36" s="41">
        <f t="shared" si="1"/>
        <v>0</v>
      </c>
      <c r="F36" s="42" t="str">
        <f t="shared" si="2"/>
        <v>-</v>
      </c>
    </row>
    <row r="37" spans="1:6" ht="15.75" customHeight="1" x14ac:dyDescent="0.3">
      <c r="A37" s="37" t="s">
        <v>2021</v>
      </c>
      <c r="B37" s="38" t="str">
        <f t="array" ref="B37">IFERROR(INDEX('07_Items'!$B$5:$B$198,MATCH($A37,'07_Items'!$A$5:$A$198,0)),"")</f>
        <v>Demolish existing mass concrete structure approximate volume 250-500cu.m</v>
      </c>
      <c r="C37" s="41">
        <v>0</v>
      </c>
      <c r="D37" s="41">
        <f>'10_BOQ'!$J$57</f>
        <v>0</v>
      </c>
      <c r="E37" s="41">
        <f t="shared" si="1"/>
        <v>0</v>
      </c>
      <c r="F37" s="42" t="str">
        <f t="shared" si="2"/>
        <v>-</v>
      </c>
    </row>
    <row r="38" spans="1:6" ht="15.75" customHeight="1" x14ac:dyDescent="0.3">
      <c r="A38" s="37" t="s">
        <v>2024</v>
      </c>
      <c r="B38" s="38" t="str">
        <f t="array" ref="B38">IFERROR(INDEX('07_Items'!$B$5:$B$198,MATCH($A38,'07_Items'!$A$5:$A$198,0)),"")</f>
        <v>Demolish existing reinforced concrete structure approximate volume 250-500cu.m</v>
      </c>
      <c r="C38" s="41">
        <v>0</v>
      </c>
      <c r="D38" s="41">
        <f>'10_BOQ'!$J$58</f>
        <v>0</v>
      </c>
      <c r="E38" s="41">
        <f t="shared" si="1"/>
        <v>0</v>
      </c>
      <c r="F38" s="42" t="str">
        <f t="shared" si="2"/>
        <v>-</v>
      </c>
    </row>
    <row r="39" spans="1:6" ht="15.75" customHeight="1" x14ac:dyDescent="0.3">
      <c r="A39" s="37" t="s">
        <v>1322</v>
      </c>
      <c r="B39" s="38" t="str">
        <f t="array" ref="B39">IFERROR(INDEX('07_Items'!$B$5:$B$198,MATCH($A39,'07_Items'!$A$5:$A$198,0)),"")</f>
        <v>Excavation for foundations material other than topsoil, rock or artificial hard material maximum depth: not exceeding 0.25-0.5m</v>
      </c>
      <c r="C39" s="41">
        <v>235</v>
      </c>
      <c r="D39" s="41">
        <f>'10_BOQ'!$J$69</f>
        <v>0</v>
      </c>
      <c r="E39" s="41">
        <f t="shared" si="1"/>
        <v>-235</v>
      </c>
      <c r="F39" s="42">
        <f t="shared" si="2"/>
        <v>-1</v>
      </c>
    </row>
    <row r="40" spans="1:6" ht="15.75" customHeight="1" x14ac:dyDescent="0.3">
      <c r="A40" s="37" t="s">
        <v>1438</v>
      </c>
      <c r="B40" s="38" t="str">
        <f t="array" ref="B40">IFERROR(INDEX('07_Items'!$B$5:$B$198,MATCH($A40,'07_Items'!$A$5:$A$198,0)),"")</f>
        <v>Ditto item E 322,maximum depth 0.5-1.0m,ditto</v>
      </c>
      <c r="C40" s="41">
        <v>399</v>
      </c>
      <c r="D40" s="41">
        <f>'10_BOQ'!$J$70</f>
        <v>0</v>
      </c>
      <c r="E40" s="41">
        <f t="shared" si="1"/>
        <v>-399</v>
      </c>
      <c r="F40" s="42">
        <f t="shared" si="2"/>
        <v>-1</v>
      </c>
    </row>
    <row r="41" spans="1:6" ht="15.75" customHeight="1" x14ac:dyDescent="0.3">
      <c r="A41" s="37" t="s">
        <v>1860</v>
      </c>
      <c r="B41" s="38" t="str">
        <f t="array" ref="B41">IFERROR(INDEX('07_Items'!$B$5:$B$198,MATCH($A41,'07_Items'!$A$5:$A$198,0)),"")</f>
        <v>Fill to widen road</v>
      </c>
      <c r="C41" s="41">
        <v>0</v>
      </c>
      <c r="D41" s="41">
        <f>'10_BOQ'!$J$72</f>
        <v>0</v>
      </c>
      <c r="E41" s="41">
        <f t="shared" si="1"/>
        <v>0</v>
      </c>
      <c r="F41" s="42" t="str">
        <f t="shared" si="2"/>
        <v>-</v>
      </c>
    </row>
    <row r="42" spans="1:6" ht="15.75" customHeight="1" x14ac:dyDescent="0.3">
      <c r="A42" s="37" t="s">
        <v>2036</v>
      </c>
      <c r="B42" s="38" t="str">
        <f t="array" ref="B42">IFERROR(INDEX('07_Items'!$B$5:$B$198,MATCH($A42,'07_Items'!$A$5:$A$198,0)),"")</f>
        <v>Disposal of excavated material other than topsoil, rock or artificial hard material</v>
      </c>
      <c r="C42" s="41">
        <v>0</v>
      </c>
      <c r="D42" s="41">
        <f>'10_BOQ'!$J$74</f>
        <v>0</v>
      </c>
      <c r="E42" s="41">
        <f t="shared" si="1"/>
        <v>0</v>
      </c>
      <c r="F42" s="42" t="str">
        <f t="shared" si="2"/>
        <v>-</v>
      </c>
    </row>
    <row r="43" spans="1:6" ht="15.75" customHeight="1" x14ac:dyDescent="0.3">
      <c r="A43" s="37" t="s">
        <v>2038</v>
      </c>
      <c r="B43" s="38" t="str">
        <f t="array" ref="B43">IFERROR(INDEX('07_Items'!$B$5:$B$198,MATCH($A43,'07_Items'!$A$5:$A$198,0)),"")</f>
        <v>Excavate inlet and outlet channels and dispose</v>
      </c>
      <c r="C43" s="41">
        <v>0</v>
      </c>
      <c r="D43" s="41">
        <f>'10_BOQ'!$J$75</f>
        <v>0</v>
      </c>
      <c r="E43" s="41">
        <f t="shared" si="1"/>
        <v>0</v>
      </c>
      <c r="F43" s="42" t="str">
        <f t="shared" si="2"/>
        <v>-</v>
      </c>
    </row>
    <row r="44" spans="1:6" ht="15.75" customHeight="1" x14ac:dyDescent="0.3">
      <c r="A44" s="37" t="s">
        <v>1874</v>
      </c>
      <c r="B44" s="38" t="str">
        <f t="array" ref="B44">IFERROR(INDEX('07_Items'!$B$5:$B$198,MATCH($A44,'07_Items'!$A$5:$A$198,0)),"")</f>
        <v>Reshape road surface</v>
      </c>
      <c r="C44" s="41">
        <v>0</v>
      </c>
      <c r="D44" s="41">
        <f>'10_BOQ'!$J$76</f>
        <v>0</v>
      </c>
      <c r="E44" s="41">
        <f t="shared" si="1"/>
        <v>0</v>
      </c>
      <c r="F44" s="42" t="str">
        <f t="shared" si="2"/>
        <v>-</v>
      </c>
    </row>
    <row r="45" spans="1:6" ht="15.75" customHeight="1" x14ac:dyDescent="0.3">
      <c r="A45" s="37" t="s">
        <v>2040</v>
      </c>
      <c r="B45" s="38" t="str">
        <f t="array" ref="B45">IFERROR(INDEX('07_Items'!$B$5:$B$198,MATCH($A45,'07_Items'!$A$5:$A$198,0)),"")</f>
        <v>Filling with material from excavation.</v>
      </c>
      <c r="C45" s="41">
        <v>0</v>
      </c>
      <c r="D45" s="41">
        <f>'10_BOQ'!$J$78</f>
        <v>0</v>
      </c>
      <c r="E45" s="41">
        <f t="shared" si="1"/>
        <v>0</v>
      </c>
      <c r="F45" s="42" t="str">
        <f t="shared" si="2"/>
        <v>-</v>
      </c>
    </row>
    <row r="46" spans="1:6" ht="15.75" customHeight="1" x14ac:dyDescent="0.3">
      <c r="A46" s="37" t="s">
        <v>2048</v>
      </c>
      <c r="B46" s="38" t="str">
        <f t="array" ref="B46">IFERROR(INDEX('07_Items'!$B$5:$B$198,MATCH($A46,'07_Items'!$A$5:$A$198,0)),"")</f>
        <v>Reinstatement of borrow pits</v>
      </c>
      <c r="C46" s="41">
        <v>0</v>
      </c>
      <c r="D46" s="41">
        <f>'10_BOQ'!$J$82</f>
        <v>0</v>
      </c>
      <c r="E46" s="41">
        <f t="shared" si="1"/>
        <v>0</v>
      </c>
      <c r="F46" s="42" t="str">
        <f t="shared" si="2"/>
        <v>-</v>
      </c>
    </row>
    <row r="47" spans="1:6" ht="15.75" customHeight="1" x14ac:dyDescent="0.3">
      <c r="A47" s="37" t="s">
        <v>2050</v>
      </c>
      <c r="B47" s="38" t="str">
        <f t="array" ref="B47">IFERROR(INDEX('07_Items'!$B$5:$B$198,MATCH($A47,'07_Items'!$A$5:$A$198,0)),"")</f>
        <v>Haulage in excess of 1km for all items (0-20km).</v>
      </c>
      <c r="C47" s="41">
        <v>0</v>
      </c>
      <c r="D47" s="41">
        <f>'10_BOQ'!$J$84</f>
        <v>0</v>
      </c>
      <c r="E47" s="41">
        <f t="shared" si="1"/>
        <v>0</v>
      </c>
      <c r="F47" s="42" t="str">
        <f t="shared" si="2"/>
        <v>-</v>
      </c>
    </row>
    <row r="48" spans="1:6" ht="15.75" customHeight="1" x14ac:dyDescent="0.3">
      <c r="A48" s="37" t="s">
        <v>1350</v>
      </c>
      <c r="B48" s="38" t="str">
        <f t="array" ref="B48">IFERROR(INDEX('07_Items'!$B$5:$B$198,MATCH($A48,'07_Items'!$A$5:$A$198,0)),"")</f>
        <v>Haulage of aggregate in excess of 1km (0 - 20km)</v>
      </c>
      <c r="C48" s="41">
        <v>2486</v>
      </c>
      <c r="D48" s="41">
        <f>'10_BOQ'!$J$95</f>
        <v>0</v>
      </c>
      <c r="E48" s="41">
        <f t="shared" si="1"/>
        <v>-2486</v>
      </c>
      <c r="F48" s="42">
        <f t="shared" si="2"/>
        <v>-1</v>
      </c>
    </row>
    <row r="49" spans="1:6" ht="15.75" customHeight="1" x14ac:dyDescent="0.3">
      <c r="A49" s="37" t="s">
        <v>1944</v>
      </c>
      <c r="B49" s="38" t="str">
        <f t="array" ref="B49">IFERROR(INDEX('07_Items'!$B$5:$B$198,MATCH($A49,'07_Items'!$A$5:$A$198,0)),"")</f>
        <v>Haulage fine agg. for drains (0-20 km)</v>
      </c>
      <c r="C49" s="41">
        <v>738.93799124999998</v>
      </c>
      <c r="D49" s="41">
        <f>'10_BOQ'!$J$178</f>
        <v>0</v>
      </c>
      <c r="E49" s="41">
        <f t="shared" si="1"/>
        <v>-738.93799124999998</v>
      </c>
      <c r="F49" s="42">
        <f t="shared" si="2"/>
        <v>-1</v>
      </c>
    </row>
    <row r="50" spans="1:6" ht="15.75" customHeight="1" x14ac:dyDescent="0.3">
      <c r="A50" s="37" t="s">
        <v>1881</v>
      </c>
      <c r="B50" s="38" t="str">
        <f t="array" ref="B50">IFERROR(INDEX('07_Items'!$B$5:$B$198,MATCH($A50,'07_Items'!$A$5:$A$198,0)),"")</f>
        <v>Haulage sub-base &amp; base beyond 1 km</v>
      </c>
      <c r="C50" s="41">
        <v>0</v>
      </c>
      <c r="D50" s="41">
        <f>'10_BOQ'!$J$251</f>
        <v>0</v>
      </c>
      <c r="E50" s="41">
        <f t="shared" si="1"/>
        <v>0</v>
      </c>
      <c r="F50" s="42" t="str">
        <f t="shared" si="2"/>
        <v>-</v>
      </c>
    </row>
    <row r="51" spans="1:6" ht="15.75" customHeight="1" x14ac:dyDescent="0.3">
      <c r="A51" s="37" t="s">
        <v>2053</v>
      </c>
      <c r="B51" s="38" t="str">
        <f t="array" ref="B51">IFERROR(INDEX('07_Items'!$B$5:$B$198,MATCH($A51,'07_Items'!$A$5:$A$198,0)),"")</f>
        <v>Haulage in excess of 1km for all items (20-100km).</v>
      </c>
      <c r="C51" s="41">
        <v>0</v>
      </c>
      <c r="D51" s="41">
        <f>'10_BOQ'!$J$85</f>
        <v>0</v>
      </c>
      <c r="E51" s="41">
        <f t="shared" si="1"/>
        <v>0</v>
      </c>
      <c r="F51" s="42" t="str">
        <f t="shared" si="2"/>
        <v>-</v>
      </c>
    </row>
    <row r="52" spans="1:6" ht="15.75" customHeight="1" x14ac:dyDescent="0.3">
      <c r="A52" s="37" t="s">
        <v>1351</v>
      </c>
      <c r="B52" s="38" t="str">
        <f t="array" ref="B52">IFERROR(INDEX('07_Items'!$B$5:$B$198,MATCH($A52,'07_Items'!$A$5:$A$198,0)),"")</f>
        <v>Haulage of aggregate in excess of 1km (20 - 100km)</v>
      </c>
      <c r="C52" s="41">
        <v>12008</v>
      </c>
      <c r="D52" s="41">
        <f>'10_BOQ'!$J$96</f>
        <v>0</v>
      </c>
      <c r="E52" s="41">
        <f t="shared" ref="E52:E83" si="3">D52-C52</f>
        <v>-12008</v>
      </c>
      <c r="F52" s="42">
        <f t="shared" ref="F52:F83" si="4">IF(C52=0,IF(D52=0,"-","new"),(D52-C52)/C52)</f>
        <v>-1</v>
      </c>
    </row>
    <row r="53" spans="1:6" ht="15.75" customHeight="1" x14ac:dyDescent="0.3">
      <c r="A53" s="37" t="s">
        <v>1946</v>
      </c>
      <c r="B53" s="38" t="str">
        <f t="array" ref="B53">IFERROR(INDEX('07_Items'!$B$5:$B$198,MATCH($A53,'07_Items'!$A$5:$A$198,0)),"")</f>
        <v>Haulage coarse agg. for drains (20-100 km)</v>
      </c>
      <c r="C53" s="41">
        <v>6157.8165937499989</v>
      </c>
      <c r="D53" s="41">
        <f>'10_BOQ'!$J$179</f>
        <v>0</v>
      </c>
      <c r="E53" s="41">
        <f t="shared" si="3"/>
        <v>-6157.8165937499989</v>
      </c>
      <c r="F53" s="42">
        <f t="shared" si="4"/>
        <v>-1</v>
      </c>
    </row>
    <row r="54" spans="1:6" ht="15.75" customHeight="1" x14ac:dyDescent="0.3">
      <c r="A54" s="37" t="s">
        <v>2157</v>
      </c>
      <c r="B54" s="38" t="str">
        <f t="array" ref="B54">IFERROR(INDEX('07_Items'!$B$5:$B$198,MATCH($A54,'07_Items'!$A$5:$A$198,0)),"")</f>
        <v>Haulage of aggregate in excess of 1km (20 - 100km)</v>
      </c>
      <c r="C54" s="41">
        <v>0</v>
      </c>
      <c r="D54" s="41">
        <f>'10_BOQ'!$J$252</f>
        <v>0</v>
      </c>
      <c r="E54" s="41">
        <f t="shared" si="3"/>
        <v>0</v>
      </c>
      <c r="F54" s="42" t="str">
        <f t="shared" si="4"/>
        <v>-</v>
      </c>
    </row>
    <row r="55" spans="1:6" ht="15.75" customHeight="1" x14ac:dyDescent="0.3">
      <c r="A55" s="37" t="s">
        <v>2115</v>
      </c>
      <c r="B55" s="38" t="str">
        <f t="array" ref="B55">IFERROR(INDEX('07_Items'!$B$5:$B$198,MATCH($A55,'07_Items'!$A$5:$A$198,0)),"")</f>
        <v>Haulage of aggregate in excess of 1km (100-250km)</v>
      </c>
      <c r="C55" s="41">
        <v>0</v>
      </c>
      <c r="D55" s="41">
        <f>'10_BOQ'!$J$204</f>
        <v>0</v>
      </c>
      <c r="E55" s="41">
        <f t="shared" si="3"/>
        <v>0</v>
      </c>
      <c r="F55" s="42" t="str">
        <f t="shared" si="4"/>
        <v>-</v>
      </c>
    </row>
    <row r="56" spans="1:6" ht="15.75" customHeight="1" x14ac:dyDescent="0.3">
      <c r="A56" s="37" t="s">
        <v>2061</v>
      </c>
      <c r="B56" s="38" t="str">
        <f t="array" ref="B56">IFERROR(INDEX('07_Items'!$B$5:$B$198,MATCH($A56,'07_Items'!$A$5:$A$198,0)),"")</f>
        <v>Haulage of aggregate in excess of 1km (100 - 200km)</v>
      </c>
      <c r="C56" s="41">
        <v>0</v>
      </c>
      <c r="D56" s="41">
        <f>'10_BOQ'!$J$97</f>
        <v>0</v>
      </c>
      <c r="E56" s="41">
        <f t="shared" si="3"/>
        <v>0</v>
      </c>
      <c r="F56" s="42" t="str">
        <f t="shared" si="4"/>
        <v>-</v>
      </c>
    </row>
    <row r="57" spans="1:6" ht="15.75" customHeight="1" x14ac:dyDescent="0.3">
      <c r="A57" s="37" t="s">
        <v>2113</v>
      </c>
      <c r="B57" s="38" t="str">
        <f t="array" ref="B57">IFERROR(INDEX('07_Items'!$B$5:$B$198,MATCH($A57,'07_Items'!$A$5:$A$198,0)),"")</f>
        <v>Haulage of aggregate in excess of 1km (100-250km)</v>
      </c>
      <c r="C57" s="41">
        <v>0</v>
      </c>
      <c r="D57" s="41">
        <f>'10_BOQ'!$J$180</f>
        <v>0</v>
      </c>
      <c r="E57" s="41">
        <f t="shared" si="3"/>
        <v>0</v>
      </c>
      <c r="F57" s="42" t="str">
        <f t="shared" si="4"/>
        <v>-</v>
      </c>
    </row>
    <row r="58" spans="1:6" ht="15.75" customHeight="1" x14ac:dyDescent="0.3">
      <c r="A58" s="37" t="s">
        <v>2046</v>
      </c>
      <c r="B58" s="38" t="str">
        <f t="array" ref="B58">IFERROR(INDEX('07_Items'!$B$5:$B$198,MATCH($A58,'07_Items'!$A$5:$A$198,0)),"")</f>
        <v>Providing and placing crushed stones.</v>
      </c>
      <c r="C58" s="41">
        <v>0</v>
      </c>
      <c r="D58" s="41">
        <f>'10_BOQ'!$J$81</f>
        <v>0</v>
      </c>
      <c r="E58" s="41">
        <f t="shared" si="3"/>
        <v>0</v>
      </c>
      <c r="F58" s="42" t="str">
        <f t="shared" si="4"/>
        <v>-</v>
      </c>
    </row>
    <row r="59" spans="1:6" ht="15.75" customHeight="1" x14ac:dyDescent="0.3">
      <c r="A59" s="37" t="s">
        <v>2027</v>
      </c>
      <c r="B59" s="38" t="str">
        <f t="array" ref="B59">IFERROR(INDEX('07_Items'!$B$5:$B$198,MATCH($A59,'07_Items'!$A$5:$A$198,0)),"")</f>
        <v>Excavate unsuitable material in swampy area and dispose</v>
      </c>
      <c r="C59" s="41">
        <v>0</v>
      </c>
      <c r="D59" s="41">
        <f>'10_BOQ'!$J$65</f>
        <v>0</v>
      </c>
      <c r="E59" s="41">
        <f t="shared" si="3"/>
        <v>0</v>
      </c>
      <c r="F59" s="42" t="str">
        <f t="shared" si="4"/>
        <v>-</v>
      </c>
    </row>
    <row r="60" spans="1:6" ht="15.75" customHeight="1" x14ac:dyDescent="0.3">
      <c r="A60" s="37" t="s">
        <v>2030</v>
      </c>
      <c r="B60" s="38" t="str">
        <f t="array" ref="B60">IFERROR(INDEX('07_Items'!$B$5:$B$198,MATCH($A60,'07_Items'!$A$5:$A$198,0)),"")</f>
        <v>Excavate for cutting, material other than topsoil,rock or artificial hard material</v>
      </c>
      <c r="C60" s="41">
        <v>0</v>
      </c>
      <c r="D60" s="41">
        <f>'10_BOQ'!$J$66</f>
        <v>0</v>
      </c>
      <c r="E60" s="41">
        <f t="shared" si="3"/>
        <v>0</v>
      </c>
      <c r="F60" s="42" t="str">
        <f t="shared" si="4"/>
        <v>-</v>
      </c>
    </row>
    <row r="61" spans="1:6" ht="15.75" customHeight="1" x14ac:dyDescent="0.3">
      <c r="A61" s="37" t="s">
        <v>2032</v>
      </c>
      <c r="B61" s="38" t="str">
        <f t="array" ref="B61">IFERROR(INDEX('07_Items'!$B$5:$B$198,MATCH($A61,'07_Items'!$A$5:$A$198,0)),"")</f>
        <v>Excavate soft rock</v>
      </c>
      <c r="C61" s="41">
        <v>0</v>
      </c>
      <c r="D61" s="41">
        <f>'10_BOQ'!$J$67</f>
        <v>0</v>
      </c>
      <c r="E61" s="41">
        <f t="shared" si="3"/>
        <v>0</v>
      </c>
      <c r="F61" s="42" t="str">
        <f t="shared" si="4"/>
        <v>-</v>
      </c>
    </row>
    <row r="62" spans="1:6" ht="15.75" customHeight="1" x14ac:dyDescent="0.3">
      <c r="A62" s="37" t="s">
        <v>2042</v>
      </c>
      <c r="B62" s="38" t="str">
        <f t="array" ref="B62">IFERROR(INDEX('07_Items'!$B$5:$B$198,MATCH($A62,'07_Items'!$A$5:$A$198,0)),"")</f>
        <v>Filling with material from borrow pit</v>
      </c>
      <c r="C62" s="41">
        <v>0</v>
      </c>
      <c r="D62" s="41">
        <f>'10_BOQ'!$J$79</f>
        <v>0</v>
      </c>
      <c r="E62" s="41">
        <f t="shared" si="3"/>
        <v>0</v>
      </c>
      <c r="F62" s="42" t="str">
        <f t="shared" si="4"/>
        <v>-</v>
      </c>
    </row>
    <row r="63" spans="1:6" ht="15.75" customHeight="1" x14ac:dyDescent="0.3">
      <c r="A63" s="37" t="s">
        <v>1868</v>
      </c>
      <c r="B63" s="38" t="str">
        <f t="array" ref="B63">IFERROR(INDEX('07_Items'!$B$5:$B$198,MATCH($A63,'07_Items'!$A$5:$A$198,0)),"")</f>
        <v xml:space="preserve">Construction of concrete pitching to embankment as per Drawing No………. </v>
      </c>
      <c r="C63" s="41">
        <v>0</v>
      </c>
      <c r="D63" s="41">
        <f>'10_BOQ'!$J$80</f>
        <v>0</v>
      </c>
      <c r="E63" s="41">
        <f t="shared" si="3"/>
        <v>0</v>
      </c>
      <c r="F63" s="42" t="str">
        <f t="shared" si="4"/>
        <v>-</v>
      </c>
    </row>
    <row r="64" spans="1:6" ht="15.75" customHeight="1" x14ac:dyDescent="0.3">
      <c r="A64" s="37" t="s">
        <v>1895</v>
      </c>
      <c r="B64" s="38" t="str">
        <f t="array" ref="B64">IFERROR(INDEX('07_Items'!$B$5:$B$198,MATCH($A64,'07_Items'!$A$5:$A$198,0)),"")</f>
        <v>Haulage of chippings and quarry dust (20 - 100Km)</v>
      </c>
      <c r="C64" s="41">
        <v>0</v>
      </c>
      <c r="D64" s="41">
        <f>'10_BOQ'!$J$259</f>
        <v>0</v>
      </c>
      <c r="E64" s="41">
        <f t="shared" si="3"/>
        <v>0</v>
      </c>
      <c r="F64" s="42" t="str">
        <f t="shared" si="4"/>
        <v>-</v>
      </c>
    </row>
    <row r="65" spans="1:6" ht="15.75" customHeight="1" x14ac:dyDescent="0.3">
      <c r="A65" s="37" t="s">
        <v>1323</v>
      </c>
      <c r="B65" s="38" t="str">
        <f t="array" ref="B65">IFERROR(INDEX('07_Items'!$B$5:$B$198,MATCH($A65,'07_Items'!$A$5:$A$198,0)),"")</f>
        <v>Grade C10, cement to BS 12 or BS 146, 40 mm aggregate</v>
      </c>
      <c r="C65" s="41">
        <v>39</v>
      </c>
      <c r="D65" s="41">
        <f>'10_BOQ'!$J$92</f>
        <v>0</v>
      </c>
      <c r="E65" s="41">
        <f t="shared" si="3"/>
        <v>-39</v>
      </c>
      <c r="F65" s="42">
        <f t="shared" si="4"/>
        <v>-1</v>
      </c>
    </row>
    <row r="66" spans="1:6" ht="15.75" customHeight="1" x14ac:dyDescent="0.3">
      <c r="A66" s="37" t="s">
        <v>1325</v>
      </c>
      <c r="B66" s="38" t="str">
        <f t="array" ref="B66">IFERROR(INDEX('07_Items'!$B$5:$B$198,MATCH($A66,'07_Items'!$A$5:$A$198,0)),"")</f>
        <v>Grade C25, cement to BS 12 or BS 146, 20 mm aggregate</v>
      </c>
      <c r="C66" s="41">
        <v>60</v>
      </c>
      <c r="D66" s="41">
        <f>'10_BOQ'!$J$93</f>
        <v>0</v>
      </c>
      <c r="E66" s="41">
        <f t="shared" si="3"/>
        <v>-60</v>
      </c>
      <c r="F66" s="42">
        <f t="shared" si="4"/>
        <v>-1</v>
      </c>
    </row>
    <row r="67" spans="1:6" ht="15.75" customHeight="1" x14ac:dyDescent="0.3">
      <c r="A67" s="37" t="s">
        <v>1455</v>
      </c>
      <c r="B67" s="38" t="str">
        <f t="array" ref="B67">IFERROR(INDEX('07_Items'!$B$5:$B$198,MATCH($A67,'07_Items'!$A$5:$A$198,0)),"")</f>
        <v>Grade C30, cement to BS 12 or BS 146, 20 mm aggregate</v>
      </c>
      <c r="C67" s="41">
        <v>282</v>
      </c>
      <c r="D67" s="41">
        <f>'10_BOQ'!$J$94</f>
        <v>0</v>
      </c>
      <c r="E67" s="41">
        <f t="shared" si="3"/>
        <v>-282</v>
      </c>
      <c r="F67" s="42">
        <f t="shared" si="4"/>
        <v>-1</v>
      </c>
    </row>
    <row r="68" spans="1:6" ht="15.75" customHeight="1" x14ac:dyDescent="0.3">
      <c r="A68" s="37" t="s">
        <v>1324</v>
      </c>
      <c r="B68" s="38" t="str">
        <f t="array" ref="B68">IFERROR(INDEX('07_Items'!$B$5:$B$198,MATCH($A68,'07_Items'!$A$5:$A$198,0)),"")</f>
        <v>Mass lean concrete in 50mm thick blinding layer.</v>
      </c>
      <c r="C68" s="41">
        <v>39</v>
      </c>
      <c r="D68" s="41">
        <f>'10_BOQ'!$J$99</f>
        <v>0</v>
      </c>
      <c r="E68" s="41">
        <f t="shared" si="3"/>
        <v>-39</v>
      </c>
      <c r="F68" s="42">
        <f t="shared" si="4"/>
        <v>-1</v>
      </c>
    </row>
    <row r="69" spans="1:6" ht="15.75" customHeight="1" x14ac:dyDescent="0.3">
      <c r="A69" s="37" t="s">
        <v>1326</v>
      </c>
      <c r="B69" s="38" t="str">
        <f t="array" ref="B69">IFERROR(INDEX('07_Items'!$B$5:$B$198,MATCH($A69,'07_Items'!$A$5:$A$198,0)),"")</f>
        <v>Bases, footings, aprons and ground slabs, thickness 150mm</v>
      </c>
      <c r="C69" s="41">
        <v>32</v>
      </c>
      <c r="D69" s="41">
        <f>'10_BOQ'!$J$100</f>
        <v>0</v>
      </c>
      <c r="E69" s="41">
        <f t="shared" si="3"/>
        <v>-32</v>
      </c>
      <c r="F69" s="42">
        <f t="shared" si="4"/>
        <v>-1</v>
      </c>
    </row>
    <row r="70" spans="1:6" ht="15.75" customHeight="1" x14ac:dyDescent="0.3">
      <c r="A70" s="37" t="s">
        <v>1327</v>
      </c>
      <c r="B70" s="38" t="str">
        <f t="array" ref="B70">IFERROR(INDEX('07_Items'!$B$5:$B$198,MATCH($A70,'07_Items'!$A$5:$A$198,0)),"")</f>
        <v>Apron and walls thickness 150-300mm</v>
      </c>
      <c r="C70" s="41">
        <v>28</v>
      </c>
      <c r="D70" s="41">
        <f>'10_BOQ'!$J$101</f>
        <v>0</v>
      </c>
      <c r="E70" s="41">
        <f t="shared" si="3"/>
        <v>-28</v>
      </c>
      <c r="F70" s="42">
        <f t="shared" si="4"/>
        <v>-1</v>
      </c>
    </row>
    <row r="71" spans="1:6" ht="15.75" customHeight="1" x14ac:dyDescent="0.3">
      <c r="A71" s="37" t="s">
        <v>1439</v>
      </c>
      <c r="B71" s="38" t="str">
        <f t="array" ref="B71">IFERROR(INDEX('07_Items'!$B$5:$B$198,MATCH($A71,'07_Items'!$A$5:$A$198,0)),"")</f>
        <v>Bases, footings, aprons and ground slabs, thickness 150-300mm</v>
      </c>
      <c r="C71" s="41">
        <v>0</v>
      </c>
      <c r="D71" s="41">
        <f>'10_BOQ'!$J$103</f>
        <v>0</v>
      </c>
      <c r="E71" s="41">
        <f t="shared" si="3"/>
        <v>0</v>
      </c>
      <c r="F71" s="42" t="str">
        <f t="shared" si="4"/>
        <v>-</v>
      </c>
    </row>
    <row r="72" spans="1:6" ht="15.75" customHeight="1" x14ac:dyDescent="0.3">
      <c r="A72" s="37" t="s">
        <v>1440</v>
      </c>
      <c r="B72" s="38" t="str">
        <f t="array" ref="B72">IFERROR(INDEX('07_Items'!$B$5:$B$198,MATCH($A72,'07_Items'!$A$5:$A$198,0)),"")</f>
        <v>Bases, footings, aprons and ground slabs, thickness 300-500mm</v>
      </c>
      <c r="C72" s="41">
        <v>124</v>
      </c>
      <c r="D72" s="41">
        <f>'10_BOQ'!$J$104</f>
        <v>0</v>
      </c>
      <c r="E72" s="41">
        <f t="shared" si="3"/>
        <v>-124</v>
      </c>
      <c r="F72" s="42">
        <f t="shared" si="4"/>
        <v>-1</v>
      </c>
    </row>
    <row r="73" spans="1:6" ht="15.75" customHeight="1" x14ac:dyDescent="0.3">
      <c r="A73" s="37" t="s">
        <v>1441</v>
      </c>
      <c r="B73" s="38" t="str">
        <f t="array" ref="B73">IFERROR(INDEX('07_Items'!$B$5:$B$198,MATCH($A73,'07_Items'!$A$5:$A$198,0)),"")</f>
        <v>Suspended slab, thickness 150-300mm</v>
      </c>
      <c r="C73" s="41">
        <v>25</v>
      </c>
      <c r="D73" s="41">
        <f>'10_BOQ'!$J$105</f>
        <v>0</v>
      </c>
      <c r="E73" s="41">
        <f t="shared" si="3"/>
        <v>-25</v>
      </c>
      <c r="F73" s="42">
        <f t="shared" si="4"/>
        <v>-1</v>
      </c>
    </row>
    <row r="74" spans="1:6" ht="15.75" customHeight="1" x14ac:dyDescent="0.3">
      <c r="A74" s="37" t="s">
        <v>1442</v>
      </c>
      <c r="B74" s="38" t="str">
        <f t="array" ref="B74">IFERROR(INDEX('07_Items'!$B$5:$B$198,MATCH($A74,'07_Items'!$A$5:$A$198,0)),"")</f>
        <v>Suspended slab, thickness 300-500mm</v>
      </c>
      <c r="C74" s="41">
        <v>27</v>
      </c>
      <c r="D74" s="41">
        <f>'10_BOQ'!$J$106</f>
        <v>0</v>
      </c>
      <c r="E74" s="41">
        <f t="shared" si="3"/>
        <v>-27</v>
      </c>
      <c r="F74" s="42">
        <f t="shared" si="4"/>
        <v>-1</v>
      </c>
    </row>
    <row r="75" spans="1:6" ht="15.75" customHeight="1" x14ac:dyDescent="0.3">
      <c r="A75" s="37" t="s">
        <v>1443</v>
      </c>
      <c r="B75" s="38" t="str">
        <f t="array" ref="B75">IFERROR(INDEX('07_Items'!$B$5:$B$198,MATCH($A75,'07_Items'!$A$5:$A$198,0)),"")</f>
        <v>Walls, thickness 150-300mm</v>
      </c>
      <c r="C75" s="41">
        <v>50</v>
      </c>
      <c r="D75" s="41">
        <f>'10_BOQ'!$J$107</f>
        <v>0</v>
      </c>
      <c r="E75" s="41">
        <f t="shared" si="3"/>
        <v>-50</v>
      </c>
      <c r="F75" s="42">
        <f t="shared" si="4"/>
        <v>-1</v>
      </c>
    </row>
    <row r="76" spans="1:6" ht="15.75" customHeight="1" x14ac:dyDescent="0.3">
      <c r="A76" s="37" t="s">
        <v>1444</v>
      </c>
      <c r="B76" s="38" t="str">
        <f t="array" ref="B76">IFERROR(INDEX('07_Items'!$B$5:$B$198,MATCH($A76,'07_Items'!$A$5:$A$198,0)),"")</f>
        <v>Walls, thickness 300-500mm</v>
      </c>
      <c r="C76" s="41">
        <v>57</v>
      </c>
      <c r="D76" s="41">
        <f>'10_BOQ'!$J$108</f>
        <v>0</v>
      </c>
      <c r="E76" s="41">
        <f t="shared" si="3"/>
        <v>-57</v>
      </c>
      <c r="F76" s="42">
        <f t="shared" si="4"/>
        <v>-1</v>
      </c>
    </row>
    <row r="77" spans="1:6" ht="15.75" customHeight="1" x14ac:dyDescent="0.3">
      <c r="A77" s="37" t="s">
        <v>1445</v>
      </c>
      <c r="B77" s="38" t="str">
        <f t="array" ref="B77">IFERROR(INDEX('07_Items'!$B$5:$B$198,MATCH($A77,'07_Items'!$A$5:$A$198,0)),"")</f>
        <v>Rough formwork to vertical surfaces, any width.</v>
      </c>
      <c r="C77" s="41">
        <v>19</v>
      </c>
      <c r="D77" s="41">
        <f>'10_BOQ'!$J$115</f>
        <v>0</v>
      </c>
      <c r="E77" s="41">
        <f t="shared" si="3"/>
        <v>-19</v>
      </c>
      <c r="F77" s="42">
        <f t="shared" si="4"/>
        <v>-1</v>
      </c>
    </row>
    <row r="78" spans="1:6" ht="15.75" customHeight="1" x14ac:dyDescent="0.3">
      <c r="A78" s="37" t="s">
        <v>1446</v>
      </c>
      <c r="B78" s="38" t="str">
        <f t="array" ref="B78">IFERROR(INDEX('07_Items'!$B$5:$B$198,MATCH($A78,'07_Items'!$A$5:$A$198,0)),"")</f>
        <v>Ditto item G 114, exceeding 1.22m wide</v>
      </c>
      <c r="C78" s="41">
        <v>154</v>
      </c>
      <c r="D78" s="41">
        <f>'10_BOQ'!$J$116</f>
        <v>0</v>
      </c>
      <c r="E78" s="41">
        <f t="shared" si="3"/>
        <v>-154</v>
      </c>
      <c r="F78" s="42">
        <f t="shared" si="4"/>
        <v>-1</v>
      </c>
    </row>
    <row r="79" spans="1:6" ht="15.75" customHeight="1" x14ac:dyDescent="0.3">
      <c r="A79" s="37" t="s">
        <v>1447</v>
      </c>
      <c r="B79" s="38" t="str">
        <f t="array" ref="B79">IFERROR(INDEX('07_Items'!$B$5:$B$198,MATCH($A79,'07_Items'!$A$5:$A$198,0)),"")</f>
        <v xml:space="preserve">Sawn formwork to vertical surfaces, 0.2-0.4m wide </v>
      </c>
      <c r="C79" s="41">
        <v>68</v>
      </c>
      <c r="D79" s="41">
        <f>'10_BOQ'!$J$117</f>
        <v>0</v>
      </c>
      <c r="E79" s="41">
        <f t="shared" si="3"/>
        <v>-68</v>
      </c>
      <c r="F79" s="42">
        <f t="shared" si="4"/>
        <v>-1</v>
      </c>
    </row>
    <row r="80" spans="1:6" ht="15.75" customHeight="1" x14ac:dyDescent="0.3">
      <c r="A80" s="37" t="s">
        <v>1449</v>
      </c>
      <c r="B80" s="38" t="str">
        <f t="array" ref="B80">IFERROR(INDEX('07_Items'!$B$5:$B$198,MATCH($A80,'07_Items'!$A$5:$A$198,0)),"")</f>
        <v xml:space="preserve">Fair formwork to vertical surfaces, 0.2-0.4m wide </v>
      </c>
      <c r="C80" s="41">
        <v>58</v>
      </c>
      <c r="D80" s="41">
        <f>'10_BOQ'!$J$119</f>
        <v>0</v>
      </c>
      <c r="E80" s="41">
        <f t="shared" si="3"/>
        <v>-58</v>
      </c>
      <c r="F80" s="42">
        <f t="shared" si="4"/>
        <v>-1</v>
      </c>
    </row>
    <row r="81" spans="1:6" ht="15.75" customHeight="1" x14ac:dyDescent="0.3">
      <c r="A81" s="37" t="s">
        <v>1329</v>
      </c>
      <c r="B81" s="38" t="str">
        <f t="array" ref="B81">IFERROR(INDEX('07_Items'!$B$5:$B$198,MATCH($A81,'07_Items'!$A$5:$A$198,0)),"")</f>
        <v>Ditto item G 243, exceeding 1.22m wide</v>
      </c>
      <c r="C81" s="41">
        <v>379</v>
      </c>
      <c r="D81" s="41">
        <f>'10_BOQ'!$J$120</f>
        <v>0</v>
      </c>
      <c r="E81" s="41">
        <f t="shared" si="3"/>
        <v>-379</v>
      </c>
      <c r="F81" s="42">
        <f t="shared" si="4"/>
        <v>-1</v>
      </c>
    </row>
    <row r="82" spans="1:6" ht="15.75" customHeight="1" x14ac:dyDescent="0.3">
      <c r="A82" s="37" t="s">
        <v>1450</v>
      </c>
      <c r="B82" s="38" t="str">
        <f t="array" ref="B82">IFERROR(INDEX('07_Items'!$B$5:$B$198,MATCH($A82,'07_Items'!$A$5:$A$198,0)),"")</f>
        <v>8mm diameter ditto item G 511</v>
      </c>
      <c r="C82" s="41">
        <v>0</v>
      </c>
      <c r="D82" s="41">
        <f>'10_BOQ'!$J$122</f>
        <v>0</v>
      </c>
      <c r="E82" s="41">
        <f t="shared" si="3"/>
        <v>0</v>
      </c>
      <c r="F82" s="42" t="str">
        <f t="shared" si="4"/>
        <v>-</v>
      </c>
    </row>
    <row r="83" spans="1:6" ht="15.75" customHeight="1" x14ac:dyDescent="0.3">
      <c r="A83" s="37" t="s">
        <v>1451</v>
      </c>
      <c r="B83" s="38" t="str">
        <f t="array" ref="B83">IFERROR(INDEX('07_Items'!$B$5:$B$198,MATCH($A83,'07_Items'!$A$5:$A$198,0)),"")</f>
        <v>10mm diameter ditto item G 511</v>
      </c>
      <c r="C83" s="41">
        <v>3.0910000000000002</v>
      </c>
      <c r="D83" s="41">
        <f>'10_BOQ'!$J$123</f>
        <v>0</v>
      </c>
      <c r="E83" s="41">
        <f t="shared" si="3"/>
        <v>-3.0910000000000002</v>
      </c>
      <c r="F83" s="42">
        <f t="shared" si="4"/>
        <v>-1</v>
      </c>
    </row>
    <row r="84" spans="1:6" ht="15.75" customHeight="1" x14ac:dyDescent="0.3">
      <c r="A84" s="37" t="s">
        <v>1452</v>
      </c>
      <c r="B84" s="38" t="str">
        <f t="array" ref="B84">IFERROR(INDEX('07_Items'!$B$5:$B$198,MATCH($A84,'07_Items'!$A$5:$A$198,0)),"")</f>
        <v>12mm diameter ditto item G 511</v>
      </c>
      <c r="C84" s="41">
        <v>15.983000000000001</v>
      </c>
      <c r="D84" s="41">
        <f>'10_BOQ'!$J$124</f>
        <v>0</v>
      </c>
      <c r="E84" s="41">
        <f t="shared" ref="E84:E115" si="5">D84-C84</f>
        <v>-15.983000000000001</v>
      </c>
      <c r="F84" s="42">
        <f t="shared" ref="F84:F115" si="6">IF(C84=0,IF(D84=0,"-","new"),(D84-C84)/C84)</f>
        <v>-1</v>
      </c>
    </row>
    <row r="85" spans="1:6" ht="15.75" customHeight="1" x14ac:dyDescent="0.3">
      <c r="A85" s="37" t="s">
        <v>1453</v>
      </c>
      <c r="B85" s="38" t="str">
        <f t="array" ref="B85">IFERROR(INDEX('07_Items'!$B$5:$B$198,MATCH($A85,'07_Items'!$A$5:$A$198,0)),"")</f>
        <v>16mm diameter ditto item G 511</v>
      </c>
      <c r="C85" s="41">
        <v>18.25</v>
      </c>
      <c r="D85" s="41">
        <f>'10_BOQ'!$J$125</f>
        <v>0</v>
      </c>
      <c r="E85" s="41">
        <f t="shared" si="5"/>
        <v>-18.25</v>
      </c>
      <c r="F85" s="42">
        <f t="shared" si="6"/>
        <v>-1</v>
      </c>
    </row>
    <row r="86" spans="1:6" ht="15.75" customHeight="1" x14ac:dyDescent="0.3">
      <c r="A86" s="37" t="s">
        <v>1454</v>
      </c>
      <c r="B86" s="38" t="str">
        <f t="array" ref="B86">IFERROR(INDEX('07_Items'!$B$5:$B$198,MATCH($A86,'07_Items'!$A$5:$A$198,0)),"")</f>
        <v>20mm diameter ditto item G 511</v>
      </c>
      <c r="C86" s="41">
        <v>0</v>
      </c>
      <c r="D86" s="41">
        <f>'10_BOQ'!$J$126</f>
        <v>0</v>
      </c>
      <c r="E86" s="41">
        <f t="shared" si="5"/>
        <v>0</v>
      </c>
      <c r="F86" s="42" t="str">
        <f t="shared" si="6"/>
        <v>-</v>
      </c>
    </row>
    <row r="87" spans="1:6" ht="15.75" customHeight="1" x14ac:dyDescent="0.3">
      <c r="A87" s="37" t="s">
        <v>2086</v>
      </c>
      <c r="B87" s="38" t="str">
        <f t="array" ref="B87">IFERROR(INDEX('07_Items'!$B$5:$B$198,MATCH($A87,'07_Items'!$A$5:$A$198,0)),"")</f>
        <v>Mild Steel Fabric Reinforcement</v>
      </c>
      <c r="C87" s="41">
        <v>0</v>
      </c>
      <c r="D87" s="41">
        <f>'10_BOQ'!$J$127</f>
        <v>0</v>
      </c>
      <c r="E87" s="41">
        <f t="shared" si="5"/>
        <v>0</v>
      </c>
      <c r="F87" s="42" t="str">
        <f t="shared" si="6"/>
        <v>-</v>
      </c>
    </row>
    <row r="88" spans="1:6" ht="15.75" customHeight="1" x14ac:dyDescent="0.3">
      <c r="A88" s="37" t="s">
        <v>2088</v>
      </c>
      <c r="B88" s="38" t="str">
        <f t="array" ref="B88">IFERROR(INDEX('07_Items'!$B$5:$B$198,MATCH($A88,'07_Items'!$A$5:$A$198,0)),"")</f>
        <v>Horizontal joint between slabs with 10mm thick</v>
      </c>
      <c r="C88" s="41">
        <v>0</v>
      </c>
      <c r="D88" s="41">
        <f>'10_BOQ'!$J$129</f>
        <v>0</v>
      </c>
      <c r="E88" s="41">
        <f t="shared" si="5"/>
        <v>0</v>
      </c>
      <c r="F88" s="42" t="str">
        <f t="shared" si="6"/>
        <v>-</v>
      </c>
    </row>
    <row r="89" spans="1:6" ht="15.75" customHeight="1" x14ac:dyDescent="0.3">
      <c r="A89" s="37" t="s">
        <v>1330</v>
      </c>
      <c r="B89" s="38" t="str">
        <f t="array" ref="B89">IFERROR(INDEX('07_Items'!$B$5:$B$198,MATCH($A89,'07_Items'!$A$5:$A$198,0)),"")</f>
        <v>Provide, lay and joint 1/600mm diameter pipe in trench</v>
      </c>
      <c r="C89" s="41">
        <v>0</v>
      </c>
      <c r="D89" s="41">
        <f>'10_BOQ'!$J$137</f>
        <v>0</v>
      </c>
      <c r="E89" s="41">
        <f t="shared" si="5"/>
        <v>0</v>
      </c>
      <c r="F89" s="42" t="str">
        <f t="shared" si="6"/>
        <v>-</v>
      </c>
    </row>
    <row r="90" spans="1:6" ht="15.75" customHeight="1" x14ac:dyDescent="0.3">
      <c r="A90" s="37" t="s">
        <v>1331</v>
      </c>
      <c r="B90" s="38" t="str">
        <f t="array" ref="B90">IFERROR(INDEX('07_Items'!$B$5:$B$198,MATCH($A90,'07_Items'!$A$5:$A$198,0)),"")</f>
        <v>Ditto item I 232, 900mm diameter ditto</v>
      </c>
      <c r="C90" s="41">
        <v>180</v>
      </c>
      <c r="D90" s="41">
        <f>'10_BOQ'!$J$138</f>
        <v>0</v>
      </c>
      <c r="E90" s="41">
        <f t="shared" si="5"/>
        <v>-180</v>
      </c>
      <c r="F90" s="42">
        <f t="shared" si="6"/>
        <v>-1</v>
      </c>
    </row>
    <row r="91" spans="1:6" ht="15.75" customHeight="1" x14ac:dyDescent="0.3">
      <c r="A91" s="37" t="s">
        <v>1332</v>
      </c>
      <c r="B91" s="38" t="str">
        <f t="array" ref="B91">IFERROR(INDEX('07_Items'!$B$5:$B$198,MATCH($A91,'07_Items'!$A$5:$A$198,0)),"")</f>
        <v>Ditto item I 232, 1200mm diameter ditto</v>
      </c>
      <c r="C91" s="41">
        <v>45</v>
      </c>
      <c r="D91" s="41">
        <f>'10_BOQ'!$J$139</f>
        <v>0</v>
      </c>
      <c r="E91" s="41">
        <f t="shared" si="5"/>
        <v>-45</v>
      </c>
      <c r="F91" s="42">
        <f t="shared" si="6"/>
        <v>-1</v>
      </c>
    </row>
    <row r="92" spans="1:6" ht="15.75" customHeight="1" x14ac:dyDescent="0.3">
      <c r="A92" s="37" t="s">
        <v>1333</v>
      </c>
      <c r="B92" s="38" t="str">
        <f t="array" ref="B92">IFERROR(INDEX('07_Items'!$B$5:$B$198,MATCH($A92,'07_Items'!$A$5:$A$198,0)),"")</f>
        <v>Ditto item I 232, 1500mm diameter ditto</v>
      </c>
      <c r="C92" s="41">
        <v>0</v>
      </c>
      <c r="D92" s="41">
        <f>'10_BOQ'!$J$140</f>
        <v>0</v>
      </c>
      <c r="E92" s="41">
        <f t="shared" si="5"/>
        <v>0</v>
      </c>
      <c r="F92" s="42" t="str">
        <f t="shared" si="6"/>
        <v>-</v>
      </c>
    </row>
    <row r="93" spans="1:6" ht="15.75" customHeight="1" x14ac:dyDescent="0.3">
      <c r="A93" s="37" t="s">
        <v>1334</v>
      </c>
      <c r="B93" s="38" t="str">
        <f t="array" ref="B93">IFERROR(INDEX('07_Items'!$B$5:$B$198,MATCH($A93,'07_Items'!$A$5:$A$198,0)),"")</f>
        <v>Ditto item I 232, 1800mm diameter ditto</v>
      </c>
      <c r="C93" s="41">
        <v>84</v>
      </c>
      <c r="D93" s="41">
        <f>'10_BOQ'!$J$141</f>
        <v>0</v>
      </c>
      <c r="E93" s="41">
        <f t="shared" si="5"/>
        <v>-84</v>
      </c>
      <c r="F93" s="42">
        <f t="shared" si="6"/>
        <v>-1</v>
      </c>
    </row>
    <row r="94" spans="1:6" ht="15.75" customHeight="1" x14ac:dyDescent="0.3">
      <c r="A94" s="37" t="s">
        <v>2463</v>
      </c>
      <c r="B94" s="38" t="str">
        <f t="array" ref="B94">IFERROR(INDEX('07_Items'!$B$5:$B$198,MATCH($A94,'07_Items'!$A$5:$A$198,0)),"")</f>
        <v/>
      </c>
      <c r="C94" s="41">
        <v>0</v>
      </c>
      <c r="D94" s="41">
        <f>'10_BOQ'!$J$282</f>
        <v>0</v>
      </c>
      <c r="E94" s="41">
        <f t="shared" si="5"/>
        <v>0</v>
      </c>
      <c r="F94" s="42" t="str">
        <f t="shared" si="6"/>
        <v>-</v>
      </c>
    </row>
    <row r="95" spans="1:6" ht="15.75" customHeight="1" x14ac:dyDescent="0.3">
      <c r="A95" s="37" t="s">
        <v>1917</v>
      </c>
      <c r="B95" s="38" t="str">
        <f t="array" ref="B95">IFERROR(INDEX('07_Items'!$B$5:$B$198,MATCH($A95,'07_Items'!$A$5:$A$198,0)),"")</f>
        <v>Excavate V-shaped ditches</v>
      </c>
      <c r="C95" s="41">
        <v>0</v>
      </c>
      <c r="D95" s="41">
        <f>'10_BOQ'!$J$167</f>
        <v>0</v>
      </c>
      <c r="E95" s="41">
        <f t="shared" si="5"/>
        <v>0</v>
      </c>
      <c r="F95" s="42" t="str">
        <f t="shared" si="6"/>
        <v>-</v>
      </c>
    </row>
    <row r="96" spans="1:6" ht="15.75" customHeight="1" x14ac:dyDescent="0.3">
      <c r="A96" s="37" t="s">
        <v>1920</v>
      </c>
      <c r="B96" s="38" t="str">
        <f t="array" ref="B96">IFERROR(INDEX('07_Items'!$B$5:$B$198,MATCH($A96,'07_Items'!$A$5:$A$198,0)),"")</f>
        <v>Re-excavate V-shaped ditches</v>
      </c>
      <c r="C96" s="41">
        <v>0</v>
      </c>
      <c r="D96" s="41">
        <f>'10_BOQ'!$J$168</f>
        <v>0</v>
      </c>
      <c r="E96" s="41">
        <f t="shared" si="5"/>
        <v>0</v>
      </c>
      <c r="F96" s="42" t="str">
        <f t="shared" si="6"/>
        <v>-</v>
      </c>
    </row>
    <row r="97" spans="1:6" ht="15.75" customHeight="1" x14ac:dyDescent="0.3">
      <c r="A97" s="37" t="s">
        <v>1922</v>
      </c>
      <c r="B97" s="38" t="str">
        <f t="array" ref="B97">IFERROR(INDEX('07_Items'!$B$5:$B$198,MATCH($A97,'07_Items'!$A$5:$A$198,0)),"")</f>
        <v>Clean V-shaped ditches</v>
      </c>
      <c r="C97" s="41">
        <v>0</v>
      </c>
      <c r="D97" s="41">
        <f>'10_BOQ'!$J$169</f>
        <v>0</v>
      </c>
      <c r="E97" s="41">
        <f t="shared" si="5"/>
        <v>0</v>
      </c>
      <c r="F97" s="42" t="str">
        <f t="shared" si="6"/>
        <v>-</v>
      </c>
    </row>
    <row r="98" spans="1:6" ht="15.75" customHeight="1" x14ac:dyDescent="0.3">
      <c r="A98" s="37" t="s">
        <v>1924</v>
      </c>
      <c r="B98" s="38" t="str">
        <f t="array" ref="B98">IFERROR(INDEX('07_Items'!$B$5:$B$198,MATCH($A98,'07_Items'!$A$5:$A$198,0)),"")</f>
        <v>Excavate ditches for turnouts</v>
      </c>
      <c r="C98" s="41">
        <v>0</v>
      </c>
      <c r="D98" s="41">
        <f>'10_BOQ'!$J$170</f>
        <v>0</v>
      </c>
      <c r="E98" s="41">
        <f t="shared" si="5"/>
        <v>0</v>
      </c>
      <c r="F98" s="42" t="str">
        <f t="shared" si="6"/>
        <v>-</v>
      </c>
    </row>
    <row r="99" spans="1:6" ht="15.75" customHeight="1" x14ac:dyDescent="0.3">
      <c r="A99" s="37" t="s">
        <v>1926</v>
      </c>
      <c r="B99" s="38" t="str">
        <f t="array" ref="B99">IFERROR(INDEX('07_Items'!$B$5:$B$198,MATCH($A99,'07_Items'!$A$5:$A$198,0)),"")</f>
        <v>Provision of scour checks</v>
      </c>
      <c r="C99" s="41">
        <v>5</v>
      </c>
      <c r="D99" s="41">
        <f>'10_BOQ'!$J$171</f>
        <v>0</v>
      </c>
      <c r="E99" s="41">
        <f t="shared" si="5"/>
        <v>-5</v>
      </c>
      <c r="F99" s="42">
        <f t="shared" si="6"/>
        <v>-1</v>
      </c>
    </row>
    <row r="100" spans="1:6" ht="15.75" customHeight="1" x14ac:dyDescent="0.3">
      <c r="A100" s="37" t="s">
        <v>1929</v>
      </c>
      <c r="B100" s="38" t="str">
        <f t="array" ref="B100">IFERROR(INDEX('07_Items'!$B$5:$B$198,MATCH($A100,'07_Items'!$A$5:$A$198,0)),"")</f>
        <v>450 × 450 concrete lined U-drain</v>
      </c>
      <c r="C100" s="41">
        <v>150</v>
      </c>
      <c r="D100" s="41">
        <f>'10_BOQ'!$J$172</f>
        <v>0</v>
      </c>
      <c r="E100" s="41">
        <f t="shared" si="5"/>
        <v>-150</v>
      </c>
      <c r="F100" s="42">
        <f t="shared" si="6"/>
        <v>-1</v>
      </c>
    </row>
    <row r="101" spans="1:6" ht="15.75" customHeight="1" x14ac:dyDescent="0.3">
      <c r="A101" s="37" t="s">
        <v>1937</v>
      </c>
      <c r="B101" s="38" t="str">
        <f t="array" ref="B101">IFERROR(INDEX('07_Items'!$B$5:$B$198,MATCH($A101,'07_Items'!$A$5:$A$198,0)),"")</f>
        <v>Trapezoidal concrete lined drain</v>
      </c>
      <c r="C101" s="41">
        <v>0</v>
      </c>
      <c r="D101" s="41">
        <f>'10_BOQ'!$J$173</f>
        <v>0</v>
      </c>
      <c r="E101" s="41">
        <f t="shared" si="5"/>
        <v>0</v>
      </c>
      <c r="F101" s="42" t="str">
        <f t="shared" si="6"/>
        <v>-</v>
      </c>
    </row>
    <row r="102" spans="1:6" ht="15.75" customHeight="1" x14ac:dyDescent="0.3">
      <c r="A102" s="37" t="s">
        <v>2111</v>
      </c>
      <c r="B102" s="38" t="str">
        <f t="array" ref="B102">IFERROR(INDEX('07_Items'!$B$5:$B$198,MATCH($A102,'07_Items'!$A$5:$A$198,0)),"")</f>
        <v>Concrete U-Drain cross-sectional (0.75-1.00 sq.m) [600 x 750 x 150mm thick wall internally]</v>
      </c>
      <c r="C102" s="41">
        <v>0</v>
      </c>
      <c r="D102" s="41">
        <f>'10_BOQ'!$J$174</f>
        <v>0</v>
      </c>
      <c r="E102" s="41">
        <f t="shared" si="5"/>
        <v>0</v>
      </c>
      <c r="F102" s="42" t="str">
        <f t="shared" si="6"/>
        <v>-</v>
      </c>
    </row>
    <row r="103" spans="1:6" ht="15.75" customHeight="1" x14ac:dyDescent="0.3">
      <c r="A103" s="37" t="s">
        <v>1931</v>
      </c>
      <c r="B103" s="38" t="str">
        <f t="array" ref="B103">IFERROR(INDEX('07_Items'!$B$5:$B$198,MATCH($A103,'07_Items'!$A$5:$A$198,0)),"")</f>
        <v>600 × 600 concrete lined U-drain</v>
      </c>
      <c r="C103" s="41">
        <v>0</v>
      </c>
      <c r="D103" s="41">
        <f>'10_BOQ'!$J$175</f>
        <v>0</v>
      </c>
      <c r="E103" s="41">
        <f t="shared" si="5"/>
        <v>0</v>
      </c>
      <c r="F103" s="42" t="str">
        <f t="shared" si="6"/>
        <v>-</v>
      </c>
    </row>
    <row r="104" spans="1:6" ht="15.75" customHeight="1" x14ac:dyDescent="0.3">
      <c r="A104" s="37" t="s">
        <v>1933</v>
      </c>
      <c r="B104" s="38" t="str">
        <f t="array" ref="B104">IFERROR(INDEX('07_Items'!$B$5:$B$198,MATCH($A104,'07_Items'!$A$5:$A$198,0)),"")</f>
        <v>750 × 750 concrete lined U-drain</v>
      </c>
      <c r="C104" s="41">
        <v>0</v>
      </c>
      <c r="D104" s="41">
        <f>'10_BOQ'!$J$176</f>
        <v>0</v>
      </c>
      <c r="E104" s="41">
        <f t="shared" si="5"/>
        <v>0</v>
      </c>
      <c r="F104" s="42" t="str">
        <f t="shared" si="6"/>
        <v>-</v>
      </c>
    </row>
    <row r="105" spans="1:6" ht="15.75" customHeight="1" x14ac:dyDescent="0.3">
      <c r="A105" s="37" t="s">
        <v>1935</v>
      </c>
      <c r="B105" s="38" t="str">
        <f t="array" ref="B105">IFERROR(INDEX('07_Items'!$B$5:$B$198,MATCH($A105,'07_Items'!$A$5:$A$198,0)),"")</f>
        <v>900 × 900 concrete lined U-drain</v>
      </c>
      <c r="C105" s="41">
        <v>0</v>
      </c>
      <c r="D105" s="41">
        <f>'10_BOQ'!$J$177</f>
        <v>0</v>
      </c>
      <c r="E105" s="41">
        <f t="shared" si="5"/>
        <v>0</v>
      </c>
      <c r="F105" s="42" t="str">
        <f t="shared" si="6"/>
        <v>-</v>
      </c>
    </row>
    <row r="106" spans="1:6" ht="15.75" customHeight="1" x14ac:dyDescent="0.3">
      <c r="A106" s="37" t="s">
        <v>2116</v>
      </c>
      <c r="B106" s="38" t="str">
        <f t="array" ref="B106">IFERROR(INDEX('07_Items'!$B$5:$B$198,MATCH($A106,'07_Items'!$A$5:$A$198,0)),"")</f>
        <v>Barrel of U culvert</v>
      </c>
      <c r="C106" s="41">
        <v>28</v>
      </c>
      <c r="D106" s="41">
        <f>'10_BOQ'!$J$189</f>
        <v>0</v>
      </c>
      <c r="E106" s="41">
        <f t="shared" si="5"/>
        <v>-28</v>
      </c>
      <c r="F106" s="42">
        <f t="shared" si="6"/>
        <v>-1</v>
      </c>
    </row>
    <row r="107" spans="1:6" ht="15.75" customHeight="1" x14ac:dyDescent="0.3">
      <c r="A107" s="37" t="s">
        <v>2122</v>
      </c>
      <c r="B107" s="38" t="str">
        <f t="array" ref="B107">IFERROR(INDEX('07_Items'!$B$5:$B$198,MATCH($A107,'07_Items'!$A$5:$A$198,0)),"")</f>
        <v>Barrel of U culvert</v>
      </c>
      <c r="C107" s="41">
        <v>0</v>
      </c>
      <c r="D107" s="41">
        <f>'10_BOQ'!$J$193</f>
        <v>0</v>
      </c>
      <c r="E107" s="41">
        <f t="shared" si="5"/>
        <v>0</v>
      </c>
      <c r="F107" s="42" t="str">
        <f t="shared" si="6"/>
        <v>-</v>
      </c>
    </row>
    <row r="108" spans="1:6" ht="15.75" customHeight="1" x14ac:dyDescent="0.3">
      <c r="A108" s="37" t="s">
        <v>2125</v>
      </c>
      <c r="B108" s="38" t="str">
        <f t="array" ref="B108">IFERROR(INDEX('07_Items'!$B$5:$B$198,MATCH($A108,'07_Items'!$A$5:$A$198,0)),"")</f>
        <v>Barrel of U culvert</v>
      </c>
      <c r="C108" s="41">
        <v>9</v>
      </c>
      <c r="D108" s="41">
        <f>'10_BOQ'!$J$197</f>
        <v>0</v>
      </c>
      <c r="E108" s="41">
        <f t="shared" si="5"/>
        <v>-9</v>
      </c>
      <c r="F108" s="42">
        <f t="shared" si="6"/>
        <v>-1</v>
      </c>
    </row>
    <row r="109" spans="1:6" ht="15.75" customHeight="1" x14ac:dyDescent="0.3">
      <c r="A109" s="37" t="s">
        <v>2128</v>
      </c>
      <c r="B109" s="38" t="str">
        <f t="array" ref="B109">IFERROR(INDEX('07_Items'!$B$5:$B$198,MATCH($A109,'07_Items'!$A$5:$A$198,0)),"")</f>
        <v>Barrel of U culvert</v>
      </c>
      <c r="C109" s="41">
        <v>9</v>
      </c>
      <c r="D109" s="41">
        <f>'10_BOQ'!$J$201</f>
        <v>0</v>
      </c>
      <c r="E109" s="41">
        <f t="shared" si="5"/>
        <v>-9</v>
      </c>
      <c r="F109" s="42">
        <f t="shared" si="6"/>
        <v>-1</v>
      </c>
    </row>
    <row r="110" spans="1:6" ht="15.75" customHeight="1" x14ac:dyDescent="0.3">
      <c r="A110" s="37" t="s">
        <v>2131</v>
      </c>
      <c r="B110" s="38" t="str">
        <f t="array" ref="B110">IFERROR(INDEX('07_Items'!$B$5:$B$198,MATCH($A110,'07_Items'!$A$5:$A$198,0)),"")</f>
        <v>Barrel of U culvert</v>
      </c>
      <c r="C110" s="41">
        <v>0</v>
      </c>
      <c r="D110" s="41">
        <f>'10_BOQ'!$J$209</f>
        <v>0</v>
      </c>
      <c r="E110" s="41">
        <f t="shared" si="5"/>
        <v>0</v>
      </c>
      <c r="F110" s="42" t="str">
        <f t="shared" si="6"/>
        <v>-</v>
      </c>
    </row>
    <row r="111" spans="1:6" ht="15.75" customHeight="1" x14ac:dyDescent="0.3">
      <c r="A111" s="37" t="s">
        <v>2134</v>
      </c>
      <c r="B111" s="38" t="str">
        <f t="array" ref="B111">IFERROR(INDEX('07_Items'!$B$5:$B$198,MATCH($A111,'07_Items'!$A$5:$A$198,0)),"")</f>
        <v>Barrel of U culvert</v>
      </c>
      <c r="C111" s="41">
        <v>9</v>
      </c>
      <c r="D111" s="41">
        <f>'10_BOQ'!$J$213</f>
        <v>0</v>
      </c>
      <c r="E111" s="41">
        <f t="shared" si="5"/>
        <v>-9</v>
      </c>
      <c r="F111" s="42">
        <f t="shared" si="6"/>
        <v>-1</v>
      </c>
    </row>
    <row r="112" spans="1:6" ht="15.75" customHeight="1" x14ac:dyDescent="0.3">
      <c r="A112" s="37" t="s">
        <v>2137</v>
      </c>
      <c r="B112" s="38" t="str">
        <f t="array" ref="B112">IFERROR(INDEX('07_Items'!$B$5:$B$198,MATCH($A112,'07_Items'!$A$5:$A$198,0)),"")</f>
        <v>Barrel of U culvert</v>
      </c>
      <c r="C112" s="41">
        <v>12</v>
      </c>
      <c r="D112" s="41">
        <f>'10_BOQ'!$J$217</f>
        <v>0</v>
      </c>
      <c r="E112" s="41">
        <f t="shared" si="5"/>
        <v>-12</v>
      </c>
      <c r="F112" s="42">
        <f t="shared" si="6"/>
        <v>-1</v>
      </c>
    </row>
    <row r="113" spans="1:6" ht="15.75" customHeight="1" x14ac:dyDescent="0.3">
      <c r="A113" s="37" t="s">
        <v>2140</v>
      </c>
      <c r="B113" s="38" t="str">
        <f t="array" ref="B113">IFERROR(INDEX('07_Items'!$B$5:$B$198,MATCH($A113,'07_Items'!$A$5:$A$198,0)),"")</f>
        <v>Barrel of U culvert</v>
      </c>
      <c r="C113" s="41">
        <v>21</v>
      </c>
      <c r="D113" s="41">
        <f>'10_BOQ'!$J$221</f>
        <v>0</v>
      </c>
      <c r="E113" s="41">
        <f t="shared" si="5"/>
        <v>-21</v>
      </c>
      <c r="F113" s="42">
        <f t="shared" si="6"/>
        <v>-1</v>
      </c>
    </row>
    <row r="114" spans="1:6" ht="15.75" customHeight="1" x14ac:dyDescent="0.3">
      <c r="A114" s="37" t="s">
        <v>2143</v>
      </c>
      <c r="B114" s="38" t="str">
        <f t="array" ref="B114">IFERROR(INDEX('07_Items'!$B$5:$B$198,MATCH($A114,'07_Items'!$A$5:$A$198,0)),"")</f>
        <v>Barrel of U culvert</v>
      </c>
      <c r="C114" s="41">
        <v>0</v>
      </c>
      <c r="D114" s="41">
        <f>'10_BOQ'!$J$228</f>
        <v>0</v>
      </c>
      <c r="E114" s="41">
        <f t="shared" si="5"/>
        <v>0</v>
      </c>
      <c r="F114" s="42" t="str">
        <f t="shared" si="6"/>
        <v>-</v>
      </c>
    </row>
    <row r="115" spans="1:6" ht="15.75" customHeight="1" x14ac:dyDescent="0.3">
      <c r="A115" s="37" t="s">
        <v>2146</v>
      </c>
      <c r="B115" s="38" t="str">
        <f t="array" ref="B115">IFERROR(INDEX('07_Items'!$B$5:$B$198,MATCH($A115,'07_Items'!$A$5:$A$198,0)),"")</f>
        <v>Barrel of U culvert</v>
      </c>
      <c r="C115" s="41">
        <v>0</v>
      </c>
      <c r="D115" s="41">
        <f>'10_BOQ'!$J$232</f>
        <v>0</v>
      </c>
      <c r="E115" s="41">
        <f t="shared" si="5"/>
        <v>0</v>
      </c>
      <c r="F115" s="42" t="str">
        <f t="shared" si="6"/>
        <v>-</v>
      </c>
    </row>
    <row r="116" spans="1:6" ht="15.75" customHeight="1" x14ac:dyDescent="0.3">
      <c r="A116" s="37" t="s">
        <v>2149</v>
      </c>
      <c r="B116" s="38" t="str">
        <f t="array" ref="B116">IFERROR(INDEX('07_Items'!$B$5:$B$198,MATCH($A116,'07_Items'!$A$5:$A$198,0)),"")</f>
        <v>Barrel of U culvert</v>
      </c>
      <c r="C116" s="41">
        <v>9</v>
      </c>
      <c r="D116" s="41">
        <f>'10_BOQ'!$J$236</f>
        <v>0</v>
      </c>
      <c r="E116" s="41">
        <f t="shared" ref="E116:E147" si="7">D116-C116</f>
        <v>-9</v>
      </c>
      <c r="F116" s="42">
        <f t="shared" ref="F116:F147" si="8">IF(C116=0,IF(D116=0,"-","new"),(D116-C116)/C116)</f>
        <v>-1</v>
      </c>
    </row>
    <row r="117" spans="1:6" ht="15.75" customHeight="1" x14ac:dyDescent="0.3">
      <c r="A117" s="37" t="s">
        <v>2152</v>
      </c>
      <c r="B117" s="38" t="str">
        <f t="array" ref="B117">IFERROR(INDEX('07_Items'!$B$5:$B$198,MATCH($A117,'07_Items'!$A$5:$A$198,0)),"")</f>
        <v>Barrel of U culvert</v>
      </c>
      <c r="C117" s="41">
        <v>9</v>
      </c>
      <c r="D117" s="41">
        <f>'10_BOQ'!$J$240</f>
        <v>0</v>
      </c>
      <c r="E117" s="41">
        <f t="shared" si="7"/>
        <v>-9</v>
      </c>
      <c r="F117" s="42">
        <f t="shared" si="8"/>
        <v>-1</v>
      </c>
    </row>
    <row r="118" spans="1:6" ht="15.75" customHeight="1" x14ac:dyDescent="0.3">
      <c r="A118" s="37" t="s">
        <v>2119</v>
      </c>
      <c r="B118" s="38" t="str">
        <f t="array" ref="B118">IFERROR(INDEX('07_Items'!$B$5:$B$198,MATCH($A118,'07_Items'!$A$5:$A$198,0)),"")</f>
        <v>Catchpit inlet structure</v>
      </c>
      <c r="C118" s="41">
        <v>0</v>
      </c>
      <c r="D118" s="41">
        <f>'10_BOQ'!$J$190</f>
        <v>0</v>
      </c>
      <c r="E118" s="41">
        <f t="shared" si="7"/>
        <v>0</v>
      </c>
      <c r="F118" s="42" t="str">
        <f t="shared" si="8"/>
        <v>-</v>
      </c>
    </row>
    <row r="119" spans="1:6" ht="15.75" customHeight="1" x14ac:dyDescent="0.3">
      <c r="A119" s="37" t="s">
        <v>2123</v>
      </c>
      <c r="B119" s="38" t="str">
        <f t="array" ref="B119">IFERROR(INDEX('07_Items'!$B$5:$B$198,MATCH($A119,'07_Items'!$A$5:$A$198,0)),"")</f>
        <v>Catchpit inlet structure</v>
      </c>
      <c r="C119" s="41">
        <v>0</v>
      </c>
      <c r="D119" s="41">
        <f>'10_BOQ'!$J$194</f>
        <v>0</v>
      </c>
      <c r="E119" s="41">
        <f t="shared" si="7"/>
        <v>0</v>
      </c>
      <c r="F119" s="42" t="str">
        <f t="shared" si="8"/>
        <v>-</v>
      </c>
    </row>
    <row r="120" spans="1:6" ht="15.75" customHeight="1" x14ac:dyDescent="0.3">
      <c r="A120" s="37" t="s">
        <v>2126</v>
      </c>
      <c r="B120" s="38" t="str">
        <f t="array" ref="B120">IFERROR(INDEX('07_Items'!$B$5:$B$198,MATCH($A120,'07_Items'!$A$5:$A$198,0)),"")</f>
        <v>Catchpit inlet structure</v>
      </c>
      <c r="C120" s="41">
        <v>1</v>
      </c>
      <c r="D120" s="41">
        <f>'10_BOQ'!$J$198</f>
        <v>0</v>
      </c>
      <c r="E120" s="41">
        <f t="shared" si="7"/>
        <v>-1</v>
      </c>
      <c r="F120" s="42">
        <f t="shared" si="8"/>
        <v>-1</v>
      </c>
    </row>
    <row r="121" spans="1:6" ht="15.75" customHeight="1" x14ac:dyDescent="0.3">
      <c r="A121" s="37" t="s">
        <v>2129</v>
      </c>
      <c r="B121" s="38" t="str">
        <f t="array" ref="B121">IFERROR(INDEX('07_Items'!$B$5:$B$198,MATCH($A121,'07_Items'!$A$5:$A$198,0)),"")</f>
        <v>Catchpit inlet structure</v>
      </c>
      <c r="C121" s="41">
        <v>1</v>
      </c>
      <c r="D121" s="41">
        <f>'10_BOQ'!$J$202</f>
        <v>0</v>
      </c>
      <c r="E121" s="41">
        <f t="shared" si="7"/>
        <v>-1</v>
      </c>
      <c r="F121" s="42">
        <f t="shared" si="8"/>
        <v>-1</v>
      </c>
    </row>
    <row r="122" spans="1:6" ht="15.75" customHeight="1" x14ac:dyDescent="0.3">
      <c r="A122" s="37" t="s">
        <v>2132</v>
      </c>
      <c r="B122" s="38" t="str">
        <f t="array" ref="B122">IFERROR(INDEX('07_Items'!$B$5:$B$198,MATCH($A122,'07_Items'!$A$5:$A$198,0)),"")</f>
        <v>Catchpit inlet structure</v>
      </c>
      <c r="C122" s="41">
        <v>0</v>
      </c>
      <c r="D122" s="41">
        <f>'10_BOQ'!$J$210</f>
        <v>0</v>
      </c>
      <c r="E122" s="41">
        <f t="shared" si="7"/>
        <v>0</v>
      </c>
      <c r="F122" s="42" t="str">
        <f t="shared" si="8"/>
        <v>-</v>
      </c>
    </row>
    <row r="123" spans="1:6" ht="15.75" customHeight="1" x14ac:dyDescent="0.3">
      <c r="A123" s="37" t="s">
        <v>2135</v>
      </c>
      <c r="B123" s="38" t="str">
        <f t="array" ref="B123">IFERROR(INDEX('07_Items'!$B$5:$B$198,MATCH($A123,'07_Items'!$A$5:$A$198,0)),"")</f>
        <v>Catchpit inlet structure</v>
      </c>
      <c r="C123" s="41">
        <v>1</v>
      </c>
      <c r="D123" s="41">
        <f>'10_BOQ'!$J$214</f>
        <v>0</v>
      </c>
      <c r="E123" s="41">
        <f t="shared" si="7"/>
        <v>-1</v>
      </c>
      <c r="F123" s="42">
        <f t="shared" si="8"/>
        <v>-1</v>
      </c>
    </row>
    <row r="124" spans="1:6" ht="15.75" customHeight="1" x14ac:dyDescent="0.3">
      <c r="A124" s="37" t="s">
        <v>2138</v>
      </c>
      <c r="B124" s="38" t="str">
        <f t="array" ref="B124">IFERROR(INDEX('07_Items'!$B$5:$B$198,MATCH($A124,'07_Items'!$A$5:$A$198,0)),"")</f>
        <v>Catchpit inlet structure</v>
      </c>
      <c r="C124" s="41">
        <v>1</v>
      </c>
      <c r="D124" s="41">
        <f>'10_BOQ'!$J$218</f>
        <v>0</v>
      </c>
      <c r="E124" s="41">
        <f t="shared" si="7"/>
        <v>-1</v>
      </c>
      <c r="F124" s="42">
        <f t="shared" si="8"/>
        <v>-1</v>
      </c>
    </row>
    <row r="125" spans="1:6" ht="15.75" customHeight="1" x14ac:dyDescent="0.3">
      <c r="A125" s="37" t="s">
        <v>2141</v>
      </c>
      <c r="B125" s="38" t="str">
        <f t="array" ref="B125">IFERROR(INDEX('07_Items'!$B$5:$B$198,MATCH($A125,'07_Items'!$A$5:$A$198,0)),"")</f>
        <v>Catchpit inlet structure</v>
      </c>
      <c r="C125" s="41">
        <v>1</v>
      </c>
      <c r="D125" s="41">
        <f>'10_BOQ'!$J$222</f>
        <v>0</v>
      </c>
      <c r="E125" s="41">
        <f t="shared" si="7"/>
        <v>-1</v>
      </c>
      <c r="F125" s="42">
        <f t="shared" si="8"/>
        <v>-1</v>
      </c>
    </row>
    <row r="126" spans="1:6" ht="15.75" customHeight="1" x14ac:dyDescent="0.3">
      <c r="A126" s="37" t="s">
        <v>2144</v>
      </c>
      <c r="B126" s="38" t="str">
        <f t="array" ref="B126">IFERROR(INDEX('07_Items'!$B$5:$B$198,MATCH($A126,'07_Items'!$A$5:$A$198,0)),"")</f>
        <v>Catchpit inlet structure</v>
      </c>
      <c r="C126" s="41">
        <v>0</v>
      </c>
      <c r="D126" s="41">
        <f>'10_BOQ'!$J$229</f>
        <v>0</v>
      </c>
      <c r="E126" s="41">
        <f t="shared" si="7"/>
        <v>0</v>
      </c>
      <c r="F126" s="42" t="str">
        <f t="shared" si="8"/>
        <v>-</v>
      </c>
    </row>
    <row r="127" spans="1:6" ht="15.75" customHeight="1" x14ac:dyDescent="0.3">
      <c r="A127" s="37" t="s">
        <v>2147</v>
      </c>
      <c r="B127" s="38" t="str">
        <f t="array" ref="B127">IFERROR(INDEX('07_Items'!$B$5:$B$198,MATCH($A127,'07_Items'!$A$5:$A$198,0)),"")</f>
        <v>Catchpit inlet structure</v>
      </c>
      <c r="C127" s="41">
        <v>0</v>
      </c>
      <c r="D127" s="41">
        <f>'10_BOQ'!$J$233</f>
        <v>0</v>
      </c>
      <c r="E127" s="41">
        <f t="shared" si="7"/>
        <v>0</v>
      </c>
      <c r="F127" s="42" t="str">
        <f t="shared" si="8"/>
        <v>-</v>
      </c>
    </row>
    <row r="128" spans="1:6" ht="15.75" customHeight="1" x14ac:dyDescent="0.3">
      <c r="A128" s="37" t="s">
        <v>2150</v>
      </c>
      <c r="B128" s="38" t="str">
        <f t="array" ref="B128">IFERROR(INDEX('07_Items'!$B$5:$B$198,MATCH($A128,'07_Items'!$A$5:$A$198,0)),"")</f>
        <v>Catchpit inlet structure</v>
      </c>
      <c r="C128" s="41">
        <v>0</v>
      </c>
      <c r="D128" s="41">
        <f>'10_BOQ'!$J$237</f>
        <v>0</v>
      </c>
      <c r="E128" s="41">
        <f t="shared" si="7"/>
        <v>0</v>
      </c>
      <c r="F128" s="42" t="str">
        <f t="shared" si="8"/>
        <v>-</v>
      </c>
    </row>
    <row r="129" spans="1:6" ht="15.75" customHeight="1" x14ac:dyDescent="0.3">
      <c r="A129" s="37" t="s">
        <v>2153</v>
      </c>
      <c r="B129" s="38" t="str">
        <f t="array" ref="B129">IFERROR(INDEX('07_Items'!$B$5:$B$198,MATCH($A129,'07_Items'!$A$5:$A$198,0)),"")</f>
        <v>Catchpit inlet structure</v>
      </c>
      <c r="C129" s="41">
        <v>0</v>
      </c>
      <c r="D129" s="41">
        <f>'10_BOQ'!$J$241</f>
        <v>0</v>
      </c>
      <c r="E129" s="41">
        <f t="shared" si="7"/>
        <v>0</v>
      </c>
      <c r="F129" s="42" t="str">
        <f t="shared" si="8"/>
        <v>-</v>
      </c>
    </row>
    <row r="130" spans="1:6" ht="15.75" customHeight="1" x14ac:dyDescent="0.3">
      <c r="A130" s="37" t="s">
        <v>2120</v>
      </c>
      <c r="B130" s="38" t="str">
        <f t="array" ref="B130">IFERROR(INDEX('07_Items'!$B$5:$B$198,MATCH($A130,'07_Items'!$A$5:$A$198,0)),"")</f>
        <v>Wingwall and aprons outlet structure</v>
      </c>
      <c r="C130" s="41">
        <v>6</v>
      </c>
      <c r="D130" s="41">
        <f>'10_BOQ'!$J$191</f>
        <v>0</v>
      </c>
      <c r="E130" s="41">
        <f t="shared" si="7"/>
        <v>-6</v>
      </c>
      <c r="F130" s="42">
        <f t="shared" si="8"/>
        <v>-1</v>
      </c>
    </row>
    <row r="131" spans="1:6" ht="15.75" customHeight="1" x14ac:dyDescent="0.3">
      <c r="A131" s="37" t="s">
        <v>2124</v>
      </c>
      <c r="B131" s="38" t="str">
        <f t="array" ref="B131">IFERROR(INDEX('07_Items'!$B$5:$B$198,MATCH($A131,'07_Items'!$A$5:$A$198,0)),"")</f>
        <v>Wingwall and aprons outlet structure</v>
      </c>
      <c r="C131" s="41">
        <v>0</v>
      </c>
      <c r="D131" s="41">
        <f>'10_BOQ'!$J$195</f>
        <v>0</v>
      </c>
      <c r="E131" s="41">
        <f t="shared" si="7"/>
        <v>0</v>
      </c>
      <c r="F131" s="42" t="str">
        <f t="shared" si="8"/>
        <v>-</v>
      </c>
    </row>
    <row r="132" spans="1:6" ht="15.75" customHeight="1" x14ac:dyDescent="0.3">
      <c r="A132" s="37" t="s">
        <v>2127</v>
      </c>
      <c r="B132" s="38" t="str">
        <f t="array" ref="B132">IFERROR(INDEX('07_Items'!$B$5:$B$198,MATCH($A132,'07_Items'!$A$5:$A$198,0)),"")</f>
        <v>Wingwall and aprons outlet structure</v>
      </c>
      <c r="C132" s="41">
        <v>1</v>
      </c>
      <c r="D132" s="41">
        <f>'10_BOQ'!$J$199</f>
        <v>0</v>
      </c>
      <c r="E132" s="41">
        <f t="shared" si="7"/>
        <v>-1</v>
      </c>
      <c r="F132" s="42">
        <f t="shared" si="8"/>
        <v>-1</v>
      </c>
    </row>
    <row r="133" spans="1:6" ht="15.75" customHeight="1" x14ac:dyDescent="0.3">
      <c r="A133" s="37" t="s">
        <v>2130</v>
      </c>
      <c r="B133" s="38" t="str">
        <f t="array" ref="B133">IFERROR(INDEX('07_Items'!$B$5:$B$198,MATCH($A133,'07_Items'!$A$5:$A$198,0)),"")</f>
        <v>Wingwall and aprons outlet structure</v>
      </c>
      <c r="C133" s="41">
        <v>1</v>
      </c>
      <c r="D133" s="41">
        <f>'10_BOQ'!$J$203</f>
        <v>0</v>
      </c>
      <c r="E133" s="41">
        <f t="shared" si="7"/>
        <v>-1</v>
      </c>
      <c r="F133" s="42">
        <f t="shared" si="8"/>
        <v>-1</v>
      </c>
    </row>
    <row r="134" spans="1:6" ht="15.75" customHeight="1" x14ac:dyDescent="0.3">
      <c r="A134" s="37" t="s">
        <v>2133</v>
      </c>
      <c r="B134" s="38" t="str">
        <f t="array" ref="B134">IFERROR(INDEX('07_Items'!$B$5:$B$198,MATCH($A134,'07_Items'!$A$5:$A$198,0)),"")</f>
        <v>Wingwall and aprons outlet structure</v>
      </c>
      <c r="C134" s="41">
        <v>0</v>
      </c>
      <c r="D134" s="41">
        <f>'10_BOQ'!$J$211</f>
        <v>0</v>
      </c>
      <c r="E134" s="41">
        <f t="shared" si="7"/>
        <v>0</v>
      </c>
      <c r="F134" s="42" t="str">
        <f t="shared" si="8"/>
        <v>-</v>
      </c>
    </row>
    <row r="135" spans="1:6" ht="15.75" customHeight="1" x14ac:dyDescent="0.3">
      <c r="A135" s="37" t="s">
        <v>2136</v>
      </c>
      <c r="B135" s="38" t="str">
        <f t="array" ref="B135">IFERROR(INDEX('07_Items'!$B$5:$B$198,MATCH($A135,'07_Items'!$A$5:$A$198,0)),"")</f>
        <v>Wingwall and aprons outlet structure</v>
      </c>
      <c r="C135" s="41">
        <v>1</v>
      </c>
      <c r="D135" s="41">
        <f>'10_BOQ'!$J$215</f>
        <v>0</v>
      </c>
      <c r="E135" s="41">
        <f t="shared" si="7"/>
        <v>-1</v>
      </c>
      <c r="F135" s="42">
        <f t="shared" si="8"/>
        <v>-1</v>
      </c>
    </row>
    <row r="136" spans="1:6" ht="15.75" customHeight="1" x14ac:dyDescent="0.3">
      <c r="A136" s="37" t="s">
        <v>2139</v>
      </c>
      <c r="B136" s="38" t="str">
        <f t="array" ref="B136">IFERROR(INDEX('07_Items'!$B$5:$B$198,MATCH($A136,'07_Items'!$A$5:$A$198,0)),"")</f>
        <v>Wingwall and aprons outlet structure</v>
      </c>
      <c r="C136" s="41">
        <v>1</v>
      </c>
      <c r="D136" s="41">
        <f>'10_BOQ'!$J$219</f>
        <v>0</v>
      </c>
      <c r="E136" s="41">
        <f t="shared" si="7"/>
        <v>-1</v>
      </c>
      <c r="F136" s="42">
        <f t="shared" si="8"/>
        <v>-1</v>
      </c>
    </row>
    <row r="137" spans="1:6" ht="15.75" customHeight="1" x14ac:dyDescent="0.3">
      <c r="A137" s="37" t="s">
        <v>2142</v>
      </c>
      <c r="B137" s="38" t="str">
        <f t="array" ref="B137">IFERROR(INDEX('07_Items'!$B$5:$B$198,MATCH($A137,'07_Items'!$A$5:$A$198,0)),"")</f>
        <v>Wingwall and aprons outlet structure</v>
      </c>
      <c r="C137" s="41">
        <v>3</v>
      </c>
      <c r="D137" s="41">
        <f>'10_BOQ'!$J$223</f>
        <v>0</v>
      </c>
      <c r="E137" s="41">
        <f t="shared" si="7"/>
        <v>-3</v>
      </c>
      <c r="F137" s="42">
        <f t="shared" si="8"/>
        <v>-1</v>
      </c>
    </row>
    <row r="138" spans="1:6" ht="15.75" customHeight="1" x14ac:dyDescent="0.3">
      <c r="A138" s="37" t="s">
        <v>2145</v>
      </c>
      <c r="B138" s="38" t="str">
        <f t="array" ref="B138">IFERROR(INDEX('07_Items'!$B$5:$B$198,MATCH($A138,'07_Items'!$A$5:$A$198,0)),"")</f>
        <v>Wingwall and aprons outlet structure</v>
      </c>
      <c r="C138" s="41">
        <v>0</v>
      </c>
      <c r="D138" s="41">
        <f>'10_BOQ'!$J$230</f>
        <v>0</v>
      </c>
      <c r="E138" s="41">
        <f t="shared" si="7"/>
        <v>0</v>
      </c>
      <c r="F138" s="42" t="str">
        <f t="shared" si="8"/>
        <v>-</v>
      </c>
    </row>
    <row r="139" spans="1:6" ht="15.75" customHeight="1" x14ac:dyDescent="0.3">
      <c r="A139" s="37" t="s">
        <v>2148</v>
      </c>
      <c r="B139" s="38" t="str">
        <f t="array" ref="B139">IFERROR(INDEX('07_Items'!$B$5:$B$198,MATCH($A139,'07_Items'!$A$5:$A$198,0)),"")</f>
        <v>Wingwall and aprons outlet structure</v>
      </c>
      <c r="C139" s="41">
        <v>0</v>
      </c>
      <c r="D139" s="41">
        <f>'10_BOQ'!$J$234</f>
        <v>0</v>
      </c>
      <c r="E139" s="41">
        <f t="shared" si="7"/>
        <v>0</v>
      </c>
      <c r="F139" s="42" t="str">
        <f t="shared" si="8"/>
        <v>-</v>
      </c>
    </row>
    <row r="140" spans="1:6" ht="15.75" customHeight="1" x14ac:dyDescent="0.3">
      <c r="A140" s="37" t="s">
        <v>2151</v>
      </c>
      <c r="B140" s="38" t="str">
        <f t="array" ref="B140">IFERROR(INDEX('07_Items'!$B$5:$B$198,MATCH($A140,'07_Items'!$A$5:$A$198,0)),"")</f>
        <v>Wingwall and aprons outlet structure</v>
      </c>
      <c r="C140" s="41">
        <v>2</v>
      </c>
      <c r="D140" s="41">
        <f>'10_BOQ'!$J$238</f>
        <v>0</v>
      </c>
      <c r="E140" s="41">
        <f t="shared" si="7"/>
        <v>-2</v>
      </c>
      <c r="F140" s="42">
        <f t="shared" si="8"/>
        <v>-1</v>
      </c>
    </row>
    <row r="141" spans="1:6" ht="15.75" customHeight="1" x14ac:dyDescent="0.3">
      <c r="A141" s="37" t="s">
        <v>2154</v>
      </c>
      <c r="B141" s="38" t="str">
        <f t="array" ref="B141">IFERROR(INDEX('07_Items'!$B$5:$B$198,MATCH($A141,'07_Items'!$A$5:$A$198,0)),"")</f>
        <v>Wingwall and aprons outlet structure</v>
      </c>
      <c r="C141" s="41">
        <v>2</v>
      </c>
      <c r="D141" s="41">
        <f>'10_BOQ'!$J$242</f>
        <v>0</v>
      </c>
      <c r="E141" s="41">
        <f t="shared" si="7"/>
        <v>-2</v>
      </c>
      <c r="F141" s="42">
        <f t="shared" si="8"/>
        <v>-1</v>
      </c>
    </row>
    <row r="142" spans="1:6" ht="15.75" customHeight="1" x14ac:dyDescent="0.3">
      <c r="A142" s="37" t="s">
        <v>1335</v>
      </c>
      <c r="B142" s="38" t="str">
        <f t="array" ref="B142">IFERROR(INDEX('07_Items'!$B$5:$B$198,MATCH($A142,'07_Items'!$A$5:$A$198,0)),"")</f>
        <v>Provide and place mass concrete Grade C20/40 aggregate, 150mm thick in beds and surround to single 600 mm Pipe Culvert</v>
      </c>
      <c r="C142" s="41">
        <v>0</v>
      </c>
      <c r="D142" s="41">
        <f>'10_BOQ'!$J$148</f>
        <v>0</v>
      </c>
      <c r="E142" s="41">
        <f t="shared" si="7"/>
        <v>0</v>
      </c>
      <c r="F142" s="42" t="str">
        <f t="shared" si="8"/>
        <v>-</v>
      </c>
    </row>
    <row r="143" spans="1:6" ht="15.75" customHeight="1" x14ac:dyDescent="0.3">
      <c r="A143" s="37" t="s">
        <v>1338</v>
      </c>
      <c r="B143" s="38" t="str">
        <f t="array" ref="B143">IFERROR(INDEX('07_Items'!$B$5:$B$198,MATCH($A143,'07_Items'!$A$5:$A$198,0)),"")</f>
        <v>Provide and place mass concrete Grade C20/40 aggregate, 150mm thick in beds and surround to single</v>
      </c>
      <c r="C143" s="41">
        <v>30</v>
      </c>
      <c r="D143" s="41">
        <f>'10_BOQ'!$J$149</f>
        <v>0</v>
      </c>
      <c r="E143" s="41">
        <f t="shared" si="7"/>
        <v>-30</v>
      </c>
      <c r="F143" s="42">
        <f t="shared" si="8"/>
        <v>-1</v>
      </c>
    </row>
    <row r="144" spans="1:6" ht="15.75" customHeight="1" x14ac:dyDescent="0.3">
      <c r="A144" s="37" t="s">
        <v>1339</v>
      </c>
      <c r="B144" s="38" t="str">
        <f t="array" ref="B144">IFERROR(INDEX('07_Items'!$B$5:$B$198,MATCH($A144,'07_Items'!$A$5:$A$198,0)),"")</f>
        <v>Ditto item L 343.1, double 900mm ditto</v>
      </c>
      <c r="C144" s="41">
        <v>9</v>
      </c>
      <c r="D144" s="41">
        <f>'10_BOQ'!$J$150</f>
        <v>0</v>
      </c>
      <c r="E144" s="41">
        <f t="shared" si="7"/>
        <v>-9</v>
      </c>
      <c r="F144" s="42">
        <f t="shared" si="8"/>
        <v>-1</v>
      </c>
    </row>
    <row r="145" spans="1:6" ht="15.75" customHeight="1" x14ac:dyDescent="0.3">
      <c r="A145" s="37" t="s">
        <v>1340</v>
      </c>
      <c r="B145" s="38" t="str">
        <f t="array" ref="B145">IFERROR(INDEX('07_Items'!$B$5:$B$198,MATCH($A145,'07_Items'!$A$5:$A$198,0)),"")</f>
        <v>Ditto item L 343.1, tripple 900mm ditto</v>
      </c>
      <c r="C145" s="41">
        <v>9</v>
      </c>
      <c r="D145" s="41">
        <f>'10_BOQ'!$J$151</f>
        <v>0</v>
      </c>
      <c r="E145" s="41">
        <f t="shared" si="7"/>
        <v>-9</v>
      </c>
      <c r="F145" s="42">
        <f t="shared" si="8"/>
        <v>-1</v>
      </c>
    </row>
    <row r="146" spans="1:6" ht="15.75" customHeight="1" x14ac:dyDescent="0.3">
      <c r="A146" s="37" t="s">
        <v>1341</v>
      </c>
      <c r="B146" s="38" t="str">
        <f t="array" ref="B146">IFERROR(INDEX('07_Items'!$B$5:$B$198,MATCH($A146,'07_Items'!$A$5:$A$198,0)),"")</f>
        <v xml:space="preserve"> Provide and place mass concrete in bed and surround to single 1200mm diameter pipe</v>
      </c>
      <c r="C146" s="41">
        <v>0</v>
      </c>
      <c r="D146" s="41">
        <f>'10_BOQ'!$J$152</f>
        <v>0</v>
      </c>
      <c r="E146" s="41">
        <f t="shared" si="7"/>
        <v>0</v>
      </c>
      <c r="F146" s="42" t="str">
        <f t="shared" si="8"/>
        <v>-</v>
      </c>
    </row>
    <row r="147" spans="1:6" ht="15.75" customHeight="1" x14ac:dyDescent="0.3">
      <c r="A147" s="37" t="s">
        <v>1342</v>
      </c>
      <c r="B147" s="38" t="str">
        <f t="array" ref="B147">IFERROR(INDEX('07_Items'!$B$5:$B$198,MATCH($A147,'07_Items'!$A$5:$A$198,0)),"")</f>
        <v>Provide and place mass concrete in bed and surround to double1200mm diameter nominal distant 2700mm</v>
      </c>
      <c r="C147" s="41">
        <v>9</v>
      </c>
      <c r="D147" s="41">
        <f>'10_BOQ'!$J$153</f>
        <v>0</v>
      </c>
      <c r="E147" s="41">
        <f t="shared" si="7"/>
        <v>-9</v>
      </c>
      <c r="F147" s="42">
        <f t="shared" si="8"/>
        <v>-1</v>
      </c>
    </row>
    <row r="148" spans="1:6" ht="15.75" customHeight="1" x14ac:dyDescent="0.3">
      <c r="A148" s="37" t="s">
        <v>1343</v>
      </c>
      <c r="B148" s="38" t="str">
        <f t="array" ref="B148">IFERROR(INDEX('07_Items'!$B$5:$B$198,MATCH($A148,'07_Items'!$A$5:$A$198,0)),"")</f>
        <v>Provide and place mass concrete in bed and surround to tripple 1200mm diameter nominal distant 2700mm</v>
      </c>
      <c r="C148" s="41">
        <v>0</v>
      </c>
      <c r="D148" s="41">
        <f>'10_BOQ'!$J$154</f>
        <v>0</v>
      </c>
      <c r="E148" s="41">
        <f t="shared" ref="E148:E179" si="9">D148-C148</f>
        <v>0</v>
      </c>
      <c r="F148" s="42" t="str">
        <f t="shared" ref="F148:F177" si="10">IF(C148=0,IF(D148=0,"-","new"),(D148-C148)/C148)</f>
        <v>-</v>
      </c>
    </row>
    <row r="149" spans="1:6" ht="15.75" customHeight="1" x14ac:dyDescent="0.3">
      <c r="A149" s="37" t="s">
        <v>1344</v>
      </c>
      <c r="B149" s="38" t="str">
        <f t="array" ref="B149">IFERROR(INDEX('07_Items'!$B$5:$B$198,MATCH($A149,'07_Items'!$A$5:$A$198,0)),"")</f>
        <v>Provide and place mass concrete in bed and surround to single 1500mm diameter pipe</v>
      </c>
      <c r="C149" s="41">
        <v>0</v>
      </c>
      <c r="D149" s="41">
        <f>'10_BOQ'!$J$155</f>
        <v>0</v>
      </c>
      <c r="E149" s="41">
        <f t="shared" si="9"/>
        <v>0</v>
      </c>
      <c r="F149" s="42" t="str">
        <f t="shared" si="10"/>
        <v>-</v>
      </c>
    </row>
    <row r="150" spans="1:6" ht="15.75" customHeight="1" x14ac:dyDescent="0.3">
      <c r="A150" s="37" t="s">
        <v>1345</v>
      </c>
      <c r="B150" s="38" t="str">
        <f t="array" ref="B150">IFERROR(INDEX('07_Items'!$B$5:$B$198,MATCH($A150,'07_Items'!$A$5:$A$198,0)),"")</f>
        <v>Provide and place mass concrete in bed and surround to double1500mm diameter nominal distant 3900mm</v>
      </c>
      <c r="C150" s="41">
        <v>21</v>
      </c>
      <c r="D150" s="41">
        <f>'10_BOQ'!$J$156</f>
        <v>0</v>
      </c>
      <c r="E150" s="41">
        <f t="shared" si="9"/>
        <v>-21</v>
      </c>
      <c r="F150" s="42">
        <f t="shared" si="10"/>
        <v>-1</v>
      </c>
    </row>
    <row r="151" spans="1:6" ht="15.75" customHeight="1" x14ac:dyDescent="0.3">
      <c r="A151" s="37" t="s">
        <v>1346</v>
      </c>
      <c r="B151" s="38" t="str">
        <f t="array" ref="B151">IFERROR(INDEX('07_Items'!$B$5:$B$198,MATCH($A151,'07_Items'!$A$5:$A$198,0)),"")</f>
        <v>Provide and place mass concrete in bed and surround to tripple 1500mm diameter nominal distant 6000mm</v>
      </c>
      <c r="C151" s="41">
        <v>9</v>
      </c>
      <c r="D151" s="41">
        <f>'10_BOQ'!$J$157</f>
        <v>0</v>
      </c>
      <c r="E151" s="41">
        <f t="shared" si="9"/>
        <v>-9</v>
      </c>
      <c r="F151" s="42">
        <f t="shared" si="10"/>
        <v>-1</v>
      </c>
    </row>
    <row r="152" spans="1:6" ht="15.75" customHeight="1" x14ac:dyDescent="0.3">
      <c r="A152" s="37" t="s">
        <v>1347</v>
      </c>
      <c r="B152" s="38" t="str">
        <f t="array" ref="B152">IFERROR(INDEX('07_Items'!$B$5:$B$198,MATCH($A152,'07_Items'!$A$5:$A$198,0)),"")</f>
        <v>Provide and place mass concrete in bed and surround to single1800mm diameter nominal distant 3900mm</v>
      </c>
      <c r="C152" s="41">
        <v>0</v>
      </c>
      <c r="D152" s="41">
        <f>'10_BOQ'!$J$158</f>
        <v>0</v>
      </c>
      <c r="E152" s="41">
        <f t="shared" si="9"/>
        <v>0</v>
      </c>
      <c r="F152" s="42" t="str">
        <f t="shared" si="10"/>
        <v>-</v>
      </c>
    </row>
    <row r="153" spans="1:6" ht="15.75" customHeight="1" x14ac:dyDescent="0.3">
      <c r="A153" s="37" t="s">
        <v>1348</v>
      </c>
      <c r="B153" s="38" t="str">
        <f t="array" ref="B153">IFERROR(INDEX('07_Items'!$B$5:$B$198,MATCH($A153,'07_Items'!$A$5:$A$198,0)),"")</f>
        <v>Provide and place mass concrete in bed and surround to double 1800mm diameter nominal distant 3900mm</v>
      </c>
      <c r="C153" s="41">
        <v>21</v>
      </c>
      <c r="D153" s="41">
        <f>'10_BOQ'!$J$159</f>
        <v>0</v>
      </c>
      <c r="E153" s="41">
        <f t="shared" si="9"/>
        <v>-21</v>
      </c>
      <c r="F153" s="42">
        <f t="shared" si="10"/>
        <v>-1</v>
      </c>
    </row>
    <row r="154" spans="1:6" ht="15.75" customHeight="1" x14ac:dyDescent="0.3">
      <c r="A154" s="37" t="s">
        <v>1349</v>
      </c>
      <c r="B154" s="38" t="str">
        <f t="array" ref="B154">IFERROR(INDEX('07_Items'!$B$5:$B$198,MATCH($A154,'07_Items'!$A$5:$A$198,0)),"")</f>
        <v>Provide and place mass concrete in bed and surround to tripple1800mm diameter nominal distant 3900mm</v>
      </c>
      <c r="C154" s="41">
        <v>0</v>
      </c>
      <c r="D154" s="41">
        <f>'10_BOQ'!$J$160</f>
        <v>0</v>
      </c>
      <c r="E154" s="41">
        <f t="shared" si="9"/>
        <v>0</v>
      </c>
      <c r="F154" s="42" t="str">
        <f t="shared" si="10"/>
        <v>-</v>
      </c>
    </row>
    <row r="155" spans="1:6" ht="15.75" customHeight="1" x14ac:dyDescent="0.3">
      <c r="A155" s="37" t="s">
        <v>2172</v>
      </c>
      <c r="B155" s="38" t="str">
        <f t="array" ref="B155">IFERROR(INDEX('07_Items'!$B$5:$B$198,MATCH($A155,'07_Items'!$A$5:$A$198,0)),"")</f>
        <v>SPECIFIED PROVISIONAL SUMS</v>
      </c>
      <c r="C155" s="41">
        <v>0</v>
      </c>
      <c r="D155" s="41">
        <f>'10_BOQ'!$J$295</f>
        <v>0</v>
      </c>
      <c r="E155" s="41">
        <f t="shared" si="9"/>
        <v>0</v>
      </c>
      <c r="F155" s="42" t="str">
        <f t="shared" si="10"/>
        <v>-</v>
      </c>
    </row>
    <row r="156" spans="1:6" ht="15.75" customHeight="1" x14ac:dyDescent="0.3">
      <c r="A156" s="37" t="s">
        <v>2464</v>
      </c>
      <c r="B156" s="38" t="str">
        <f t="array" ref="B156">IFERROR(INDEX('07_Items'!$B$5:$B$198,MATCH($A156,'07_Items'!$A$5:$A$198,0)),"")</f>
        <v/>
      </c>
      <c r="C156" s="41">
        <v>0</v>
      </c>
      <c r="D156" s="41">
        <f>'10_BOQ'!$J$6</f>
        <v>0</v>
      </c>
      <c r="E156" s="41">
        <f t="shared" si="9"/>
        <v>0</v>
      </c>
      <c r="F156" s="42" t="str">
        <f t="shared" si="10"/>
        <v>-</v>
      </c>
    </row>
    <row r="157" spans="1:6" ht="15.75" customHeight="1" x14ac:dyDescent="0.3">
      <c r="A157" s="37" t="s">
        <v>2465</v>
      </c>
      <c r="B157" s="38" t="str">
        <f t="array" ref="B157">IFERROR(INDEX('07_Items'!$B$5:$B$198,MATCH($A157,'07_Items'!$A$5:$A$198,0)),"")</f>
        <v/>
      </c>
      <c r="C157" s="41">
        <v>0</v>
      </c>
      <c r="D157" s="41">
        <f>'10_BOQ'!$J$8</f>
        <v>0</v>
      </c>
      <c r="E157" s="41">
        <f t="shared" si="9"/>
        <v>0</v>
      </c>
      <c r="F157" s="42" t="str">
        <f t="shared" si="10"/>
        <v>-</v>
      </c>
    </row>
    <row r="158" spans="1:6" ht="15.75" customHeight="1" x14ac:dyDescent="0.3">
      <c r="A158" s="37" t="s">
        <v>1877</v>
      </c>
      <c r="B158" s="38" t="str">
        <f t="array" ref="B158">IFERROR(INDEX('07_Items'!$B$5:$B$198,MATCH($A158,'07_Items'!$A$5:$A$198,0)),"")</f>
        <v>Gravel sub-base, haulage 1 km</v>
      </c>
      <c r="C158" s="41">
        <v>0</v>
      </c>
      <c r="D158" s="41">
        <f>'10_BOQ'!$J$249</f>
        <v>0</v>
      </c>
      <c r="E158" s="41">
        <f t="shared" si="9"/>
        <v>0</v>
      </c>
      <c r="F158" s="42" t="str">
        <f t="shared" si="10"/>
        <v>-</v>
      </c>
    </row>
    <row r="159" spans="1:6" ht="15.75" customHeight="1" x14ac:dyDescent="0.3">
      <c r="A159" s="37" t="s">
        <v>2166</v>
      </c>
      <c r="B159" s="38" t="str">
        <f t="array" ref="B159">IFERROR(INDEX('07_Items'!$B$5:$B$198,MATCH($A159,'07_Items'!$A$5:$A$198,0)),"")</f>
        <v>Provide and place precast concrete kerbs,straight or curved to radius exceeding 12m (as per drawing)</v>
      </c>
      <c r="C159" s="41">
        <v>0</v>
      </c>
      <c r="D159" s="41">
        <f>'10_BOQ'!$J$260</f>
        <v>0</v>
      </c>
      <c r="E159" s="41">
        <f t="shared" si="9"/>
        <v>0</v>
      </c>
      <c r="F159" s="42" t="str">
        <f t="shared" si="10"/>
        <v>-</v>
      </c>
    </row>
    <row r="160" spans="1:6" ht="15.75" customHeight="1" x14ac:dyDescent="0.3">
      <c r="A160" s="37" t="s">
        <v>1898</v>
      </c>
      <c r="B160" s="38" t="str">
        <f t="array" ref="B160">IFERROR(INDEX('07_Items'!$B$5:$B$198,MATCH($A160,'07_Items'!$A$5:$A$198,0)),"")</f>
        <v>Reflective warning traffic signs</v>
      </c>
      <c r="C160" s="41">
        <v>0</v>
      </c>
      <c r="D160" s="41">
        <f>'10_BOQ'!$J$268</f>
        <v>0</v>
      </c>
      <c r="E160" s="41">
        <f t="shared" si="9"/>
        <v>0</v>
      </c>
      <c r="F160" s="42" t="str">
        <f t="shared" si="10"/>
        <v>-</v>
      </c>
    </row>
    <row r="161" spans="1:6" ht="15.75" customHeight="1" x14ac:dyDescent="0.3">
      <c r="A161" s="37" t="s">
        <v>1901</v>
      </c>
      <c r="B161" s="38" t="str">
        <f t="array" ref="B161">IFERROR(INDEX('07_Items'!$B$5:$B$198,MATCH($A161,'07_Items'!$A$5:$A$198,0)),"")</f>
        <v>Reflective informatory traffic signs</v>
      </c>
      <c r="C161" s="41">
        <v>0</v>
      </c>
      <c r="D161" s="41">
        <f>'10_BOQ'!$J$269</f>
        <v>0</v>
      </c>
      <c r="E161" s="41">
        <f t="shared" si="9"/>
        <v>0</v>
      </c>
      <c r="F161" s="42" t="str">
        <f t="shared" si="10"/>
        <v>-</v>
      </c>
    </row>
    <row r="162" spans="1:6" ht="15.75" customHeight="1" x14ac:dyDescent="0.3">
      <c r="A162" s="37" t="s">
        <v>1903</v>
      </c>
      <c r="B162" s="38" t="str">
        <f t="array" ref="B162">IFERROR(INDEX('07_Items'!$B$5:$B$198,MATCH($A162,'07_Items'!$A$5:$A$198,0)),"")</f>
        <v>Reflective mandatory traffic signs</v>
      </c>
      <c r="C162" s="41">
        <v>0</v>
      </c>
      <c r="D162" s="41">
        <f>'10_BOQ'!$J$271</f>
        <v>0</v>
      </c>
      <c r="E162" s="41">
        <f t="shared" si="9"/>
        <v>0</v>
      </c>
      <c r="F162" s="42" t="str">
        <f t="shared" si="10"/>
        <v>-</v>
      </c>
    </row>
    <row r="163" spans="1:6" ht="15.75" customHeight="1" x14ac:dyDescent="0.3">
      <c r="A163" s="37" t="s">
        <v>1905</v>
      </c>
      <c r="B163" s="38" t="str">
        <f t="array" ref="B163">IFERROR(INDEX('07_Items'!$B$5:$B$198,MATCH($A163,'07_Items'!$A$5:$A$198,0)),"")</f>
        <v>120 mm lane separation line</v>
      </c>
      <c r="C163" s="41">
        <v>0</v>
      </c>
      <c r="D163" s="41">
        <f>'10_BOQ'!$J$273</f>
        <v>0</v>
      </c>
      <c r="E163" s="41">
        <f t="shared" si="9"/>
        <v>0</v>
      </c>
      <c r="F163" s="42" t="str">
        <f t="shared" si="10"/>
        <v>-</v>
      </c>
    </row>
    <row r="164" spans="1:6" ht="15.75" customHeight="1" x14ac:dyDescent="0.3">
      <c r="A164" s="37" t="s">
        <v>1907</v>
      </c>
      <c r="B164" s="38" t="str">
        <f t="array" ref="B164">IFERROR(INDEX('07_Items'!$B$5:$B$198,MATCH($A164,'07_Items'!$A$5:$A$198,0)),"")</f>
        <v>300 mm continuous STOP line</v>
      </c>
      <c r="C164" s="41">
        <v>0</v>
      </c>
      <c r="D164" s="41">
        <f>'10_BOQ'!$J$274</f>
        <v>0</v>
      </c>
      <c r="E164" s="41">
        <f t="shared" si="9"/>
        <v>0</v>
      </c>
      <c r="F164" s="42" t="str">
        <f t="shared" si="10"/>
        <v>-</v>
      </c>
    </row>
    <row r="165" spans="1:6" ht="15.75" customHeight="1" x14ac:dyDescent="0.3">
      <c r="A165" s="37" t="s">
        <v>1909</v>
      </c>
      <c r="B165" s="38" t="str">
        <f t="array" ref="B165">IFERROR(INDEX('07_Items'!$B$5:$B$198,MATCH($A165,'07_Items'!$A$5:$A$198,0)),"")</f>
        <v>120 mm intermittent centre line</v>
      </c>
      <c r="C165" s="41">
        <v>0</v>
      </c>
      <c r="D165" s="41">
        <f>'10_BOQ'!$J$275</f>
        <v>0</v>
      </c>
      <c r="E165" s="41">
        <f t="shared" si="9"/>
        <v>0</v>
      </c>
      <c r="F165" s="42" t="str">
        <f t="shared" si="10"/>
        <v>-</v>
      </c>
    </row>
    <row r="166" spans="1:6" ht="15.75" customHeight="1" x14ac:dyDescent="0.3">
      <c r="A166" s="37" t="s">
        <v>1911</v>
      </c>
      <c r="B166" s="38" t="str">
        <f t="array" ref="B166">IFERROR(INDEX('07_Items'!$B$5:$B$198,MATCH($A166,'07_Items'!$A$5:$A$198,0)),"")</f>
        <v>120 mm continuous edge line</v>
      </c>
      <c r="C166" s="41">
        <v>0</v>
      </c>
      <c r="D166" s="41">
        <f>'10_BOQ'!$J$276</f>
        <v>0</v>
      </c>
      <c r="E166" s="41">
        <f t="shared" si="9"/>
        <v>0</v>
      </c>
      <c r="F166" s="42" t="str">
        <f t="shared" si="10"/>
        <v>-</v>
      </c>
    </row>
    <row r="167" spans="1:6" ht="15.75" customHeight="1" x14ac:dyDescent="0.3">
      <c r="A167" s="37" t="s">
        <v>1913</v>
      </c>
      <c r="B167" s="38" t="str">
        <f t="array" ref="B167">IFERROR(INDEX('07_Items'!$B$5:$B$198,MATCH($A167,'07_Items'!$A$5:$A$198,0)),"")</f>
        <v>350 mm pedestrian crossing stripes</v>
      </c>
      <c r="C167" s="41">
        <v>0</v>
      </c>
      <c r="D167" s="41">
        <f>'10_BOQ'!$J$277</f>
        <v>0</v>
      </c>
      <c r="E167" s="41">
        <f t="shared" si="9"/>
        <v>0</v>
      </c>
      <c r="F167" s="42" t="str">
        <f t="shared" si="10"/>
        <v>-</v>
      </c>
    </row>
    <row r="168" spans="1:6" ht="15.75" customHeight="1" x14ac:dyDescent="0.3">
      <c r="A168" s="37" t="s">
        <v>1915</v>
      </c>
      <c r="B168" s="38" t="str">
        <f t="array" ref="B168">IFERROR(INDEX('07_Items'!$B$5:$B$198,MATCH($A168,'07_Items'!$A$5:$A$198,0)),"")</f>
        <v>Construct speed ramps</v>
      </c>
      <c r="C168" s="41">
        <v>0</v>
      </c>
      <c r="D168" s="41">
        <f>'10_BOQ'!$J$279</f>
        <v>0</v>
      </c>
      <c r="E168" s="41">
        <f t="shared" si="9"/>
        <v>0</v>
      </c>
      <c r="F168" s="42" t="str">
        <f t="shared" si="10"/>
        <v>-</v>
      </c>
    </row>
    <row r="169" spans="1:6" ht="15.75" customHeight="1" x14ac:dyDescent="0.3">
      <c r="A169" s="37" t="s">
        <v>1879</v>
      </c>
      <c r="B169" s="38" t="str">
        <f t="array" ref="B169">IFERROR(INDEX('07_Items'!$B$5:$B$198,MATCH($A169,'07_Items'!$A$5:$A$198,0)),"")</f>
        <v>Sub-bases,flexible road bases and surfacing,Granular material DTp Specified type 2,depth: 150mm thick</v>
      </c>
      <c r="C169" s="41">
        <v>0</v>
      </c>
      <c r="D169" s="41">
        <f>'10_BOQ'!$J$250</f>
        <v>0</v>
      </c>
      <c r="E169" s="41">
        <f t="shared" si="9"/>
        <v>0</v>
      </c>
      <c r="F169" s="42" t="str">
        <f t="shared" si="10"/>
        <v>-</v>
      </c>
    </row>
    <row r="170" spans="1:6" ht="15.75" customHeight="1" x14ac:dyDescent="0.3">
      <c r="A170" s="37" t="s">
        <v>1884</v>
      </c>
      <c r="B170" s="38" t="str">
        <f t="array" ref="B170">IFERROR(INDEX('07_Items'!$B$5:$B$198,MATCH($A170,'07_Items'!$A$5:$A$198,0)),"")</f>
        <v>Supply, design inc. adhesive agent, prepare surface,seal work</v>
      </c>
      <c r="C170" s="41">
        <v>0</v>
      </c>
      <c r="D170" s="41">
        <f>'10_BOQ'!$J$253</f>
        <v>0</v>
      </c>
      <c r="E170" s="41">
        <f t="shared" si="9"/>
        <v>0</v>
      </c>
      <c r="F170" s="42" t="str">
        <f t="shared" si="10"/>
        <v>-</v>
      </c>
    </row>
    <row r="171" spans="1:6" ht="15.75" customHeight="1" x14ac:dyDescent="0.3">
      <c r="A171" s="37" t="s">
        <v>1887</v>
      </c>
      <c r="B171" s="38" t="str">
        <f t="array" ref="B171">IFERROR(INDEX('07_Items'!$B$5:$B$198,MATCH($A171,'07_Items'!$A$5:$A$198,0)),"")</f>
        <v>Supply, design inc. adhesive agent, prepare surface, primerseal work</v>
      </c>
      <c r="C171" s="41">
        <v>0</v>
      </c>
      <c r="D171" s="41">
        <f>'10_BOQ'!$J$254</f>
        <v>0</v>
      </c>
      <c r="E171" s="41">
        <f t="shared" si="9"/>
        <v>0</v>
      </c>
      <c r="F171" s="42" t="str">
        <f t="shared" si="10"/>
        <v>-</v>
      </c>
    </row>
    <row r="172" spans="1:6" ht="15.75" customHeight="1" x14ac:dyDescent="0.3">
      <c r="A172" s="37" t="s">
        <v>2164</v>
      </c>
      <c r="B172" s="38" t="str">
        <f t="array" ref="B172">IFERROR(INDEX('07_Items'!$B$5:$B$198,MATCH($A172,'07_Items'!$A$5:$A$198,0)),"")</f>
        <v>Supply, design inc. adhesive agent, prepare surface,seal work</v>
      </c>
      <c r="C172" s="41">
        <v>0</v>
      </c>
      <c r="D172" s="41">
        <f>'10_BOQ'!$J$258</f>
        <v>0</v>
      </c>
      <c r="E172" s="41">
        <f t="shared" si="9"/>
        <v>0</v>
      </c>
      <c r="F172" s="42" t="str">
        <f t="shared" si="10"/>
        <v>-</v>
      </c>
    </row>
    <row r="173" spans="1:6" ht="15.75" customHeight="1" x14ac:dyDescent="0.3">
      <c r="A173" s="37" t="s">
        <v>1889</v>
      </c>
      <c r="B173" s="38" t="str">
        <f t="array" ref="B173">IFERROR(INDEX('07_Items'!$B$5:$B$198,MATCH($A173,'07_Items'!$A$5:$A$198,0)),"")</f>
        <v>Supply, design inc. cutter oil (ATK kerosine) primer seal</v>
      </c>
      <c r="C173" s="41">
        <v>0</v>
      </c>
      <c r="D173" s="41">
        <f>'10_BOQ'!$J$255</f>
        <v>0</v>
      </c>
      <c r="E173" s="41">
        <f t="shared" si="9"/>
        <v>0</v>
      </c>
      <c r="F173" s="42" t="str">
        <f t="shared" si="10"/>
        <v>-</v>
      </c>
    </row>
    <row r="174" spans="1:6" ht="15.75" customHeight="1" x14ac:dyDescent="0.3">
      <c r="A174" s="37" t="s">
        <v>1891</v>
      </c>
      <c r="B174" s="38" t="str">
        <f t="array" ref="B174">IFERROR(INDEX('07_Items'!$B$5:$B$198,MATCH($A174,'07_Items'!$A$5:$A$198,0)),"")</f>
        <v>Supply, precoat, design spray rate, incorporarate 10mm chips including 1km haulage</v>
      </c>
      <c r="C174" s="41">
        <v>0</v>
      </c>
      <c r="D174" s="41">
        <f>'10_BOQ'!$J$256</f>
        <v>0</v>
      </c>
      <c r="E174" s="41">
        <f t="shared" si="9"/>
        <v>0</v>
      </c>
      <c r="F174" s="42" t="str">
        <f t="shared" si="10"/>
        <v>-</v>
      </c>
    </row>
    <row r="175" spans="1:6" ht="15.75" customHeight="1" x14ac:dyDescent="0.3">
      <c r="A175" s="37" t="s">
        <v>1893</v>
      </c>
      <c r="B175" s="38" t="str">
        <f t="array" ref="B175">IFERROR(INDEX('07_Items'!$B$5:$B$198,MATCH($A175,'07_Items'!$A$5:$A$198,0)),"")</f>
        <v>Supply, precoat, design spray rate, incorporarate 14mm chips including 1km haulage</v>
      </c>
      <c r="C175" s="41">
        <v>0</v>
      </c>
      <c r="D175" s="41">
        <f>'10_BOQ'!$J$257</f>
        <v>0</v>
      </c>
      <c r="E175" s="41">
        <f t="shared" si="9"/>
        <v>0</v>
      </c>
      <c r="F175" s="42" t="str">
        <f t="shared" si="10"/>
        <v>-</v>
      </c>
    </row>
    <row r="176" spans="1:6" ht="15.75" customHeight="1" x14ac:dyDescent="0.3">
      <c r="A176" s="37" t="s">
        <v>2168</v>
      </c>
      <c r="B176" s="38" t="str">
        <f t="array" ref="B176">IFERROR(INDEX('07_Items'!$B$5:$B$198,MATCH($A176,'07_Items'!$A$5:$A$198,0)),"")</f>
        <v>Provide and erect mica post of square size 200mm wide, 600mm high and base 450mm painted red and white strips.</v>
      </c>
      <c r="C176" s="41">
        <v>0</v>
      </c>
      <c r="D176" s="41">
        <f>'10_BOQ'!$J$267</f>
        <v>0</v>
      </c>
      <c r="E176" s="41">
        <f t="shared" si="9"/>
        <v>0</v>
      </c>
      <c r="F176" s="42" t="str">
        <f t="shared" si="10"/>
        <v>-</v>
      </c>
    </row>
    <row r="177" spans="1:6" ht="15.75" customHeight="1" x14ac:dyDescent="0.3">
      <c r="A177" s="37" t="s">
        <v>2026</v>
      </c>
      <c r="B177" s="38">
        <f t="array" ref="B177">IFERROR(INDEX('07_Items'!$B$5:$B$198,MATCH($A177,'07_Items'!$A$5:$A$198,0)),"")</f>
        <v>0</v>
      </c>
      <c r="C177" s="41">
        <v>0</v>
      </c>
      <c r="D177" s="41">
        <f>'10_BOQ'!$J$59</f>
        <v>0</v>
      </c>
      <c r="E177" s="41">
        <f t="shared" si="9"/>
        <v>0</v>
      </c>
      <c r="F177" s="42" t="str">
        <f t="shared" si="10"/>
        <v>-</v>
      </c>
    </row>
    <row r="178" spans="1:6" ht="15.75" customHeight="1" x14ac:dyDescent="0.3"/>
    <row r="179" spans="1:6" ht="15.75" customHeight="1" x14ac:dyDescent="0.3"/>
    <row r="180" spans="1:6" ht="15.75" customHeight="1" x14ac:dyDescent="0.3">
      <c r="A180" s="20" t="s">
        <v>2466</v>
      </c>
    </row>
    <row r="181" spans="1:6" ht="15.75" customHeight="1" x14ac:dyDescent="0.3">
      <c r="A181" s="3" t="s">
        <v>2467</v>
      </c>
      <c r="B181" s="3" t="s">
        <v>2468</v>
      </c>
      <c r="C181" s="3" t="s">
        <v>2469</v>
      </c>
    </row>
    <row r="182" spans="1:6" ht="15.75" customHeight="1" x14ac:dyDescent="0.3">
      <c r="A182" s="47" t="s">
        <v>2470</v>
      </c>
      <c r="B182" s="48" t="s">
        <v>2471</v>
      </c>
      <c r="C182" s="49" t="s">
        <v>2472</v>
      </c>
    </row>
    <row r="183" spans="1:6" ht="15.75" customHeight="1" x14ac:dyDescent="0.3">
      <c r="A183" s="47" t="s">
        <v>2473</v>
      </c>
      <c r="B183" s="48" t="s">
        <v>2474</v>
      </c>
      <c r="C183" s="49" t="s">
        <v>2475</v>
      </c>
    </row>
    <row r="184" spans="1:6" ht="15.75" customHeight="1" x14ac:dyDescent="0.3">
      <c r="A184" s="47" t="s">
        <v>2476</v>
      </c>
      <c r="B184" s="48" t="s">
        <v>2477</v>
      </c>
      <c r="C184" s="49" t="s">
        <v>2478</v>
      </c>
    </row>
    <row r="185" spans="1:6" ht="15.75" customHeight="1" x14ac:dyDescent="0.3">
      <c r="A185" s="47" t="s">
        <v>2479</v>
      </c>
      <c r="B185" s="48" t="s">
        <v>2480</v>
      </c>
      <c r="C185" s="49" t="s">
        <v>2481</v>
      </c>
    </row>
    <row r="186" spans="1:6" ht="15.75" customHeight="1" x14ac:dyDescent="0.3">
      <c r="A186" s="47" t="s">
        <v>2482</v>
      </c>
      <c r="B186" s="48" t="s">
        <v>2483</v>
      </c>
      <c r="C186" s="49" t="s">
        <v>2484</v>
      </c>
    </row>
    <row r="187" spans="1:6" ht="15.75" customHeight="1" x14ac:dyDescent="0.3">
      <c r="A187" s="47" t="s">
        <v>2485</v>
      </c>
      <c r="B187" s="48" t="s">
        <v>2486</v>
      </c>
      <c r="C187" s="49" t="s">
        <v>2487</v>
      </c>
    </row>
    <row r="188" spans="1:6" ht="15.75" customHeight="1" x14ac:dyDescent="0.3">
      <c r="A188" s="47" t="s">
        <v>2488</v>
      </c>
      <c r="B188" s="48" t="s">
        <v>2489</v>
      </c>
      <c r="C188" s="49" t="s">
        <v>2490</v>
      </c>
    </row>
    <row r="189" spans="1:6" ht="15.75" customHeight="1" x14ac:dyDescent="0.3">
      <c r="A189" s="47" t="s">
        <v>2491</v>
      </c>
      <c r="B189" s="48" t="s">
        <v>2492</v>
      </c>
      <c r="C189" s="49" t="s">
        <v>2493</v>
      </c>
    </row>
    <row r="190" spans="1:6" ht="15.75" customHeight="1" x14ac:dyDescent="0.3">
      <c r="A190" s="47" t="s">
        <v>2494</v>
      </c>
      <c r="B190" s="48" t="s">
        <v>2495</v>
      </c>
      <c r="C190" s="49" t="s">
        <v>2496</v>
      </c>
    </row>
    <row r="191" spans="1:6" ht="15.75" customHeight="1" x14ac:dyDescent="0.3">
      <c r="A191" s="47" t="s">
        <v>2497</v>
      </c>
      <c r="B191" s="48" t="s">
        <v>2498</v>
      </c>
      <c r="C191" s="49" t="s">
        <v>2499</v>
      </c>
    </row>
    <row r="192" spans="1:6" ht="15.75" customHeight="1" x14ac:dyDescent="0.3">
      <c r="A192" s="47" t="s">
        <v>2500</v>
      </c>
      <c r="B192" s="48" t="s">
        <v>2501</v>
      </c>
      <c r="C192" s="49" t="s">
        <v>2502</v>
      </c>
    </row>
    <row r="193" spans="1:6" ht="15.75" customHeight="1" x14ac:dyDescent="0.3">
      <c r="A193" s="47" t="s">
        <v>2503</v>
      </c>
      <c r="B193" s="48" t="s">
        <v>2504</v>
      </c>
      <c r="C193" s="49" t="s">
        <v>2505</v>
      </c>
    </row>
    <row r="194" spans="1:6" ht="15.75" customHeight="1" x14ac:dyDescent="0.3">
      <c r="A194" s="47" t="s">
        <v>2503</v>
      </c>
      <c r="B194" s="48" t="s">
        <v>2506</v>
      </c>
      <c r="C194" s="49" t="s">
        <v>2507</v>
      </c>
    </row>
    <row r="195" spans="1:6" ht="15.75" customHeight="1" x14ac:dyDescent="0.3">
      <c r="A195" s="47" t="s">
        <v>28</v>
      </c>
      <c r="B195" s="48" t="s">
        <v>2508</v>
      </c>
      <c r="C195" s="49" t="s">
        <v>2509</v>
      </c>
    </row>
    <row r="196" spans="1:6" ht="15.75" customHeight="1" x14ac:dyDescent="0.3">
      <c r="A196" s="47" t="s">
        <v>2376</v>
      </c>
      <c r="B196" s="48" t="s">
        <v>2510</v>
      </c>
      <c r="C196" s="49" t="s">
        <v>2511</v>
      </c>
    </row>
    <row r="197" spans="1:6" ht="15.75" customHeight="1" x14ac:dyDescent="0.3"/>
    <row r="198" spans="1:6" ht="15.75" customHeight="1" x14ac:dyDescent="0.3"/>
    <row r="199" spans="1:6" ht="15.75" customHeight="1" x14ac:dyDescent="0.3">
      <c r="A199" s="203" t="s">
        <v>2512</v>
      </c>
    </row>
    <row r="200" spans="1:6" ht="15.75" customHeight="1" x14ac:dyDescent="0.3">
      <c r="A200" s="204" t="s">
        <v>2513</v>
      </c>
    </row>
    <row r="201" spans="1:6" ht="15.75" customHeight="1" x14ac:dyDescent="0.3">
      <c r="A201" s="205" t="s">
        <v>2432</v>
      </c>
      <c r="B201" s="205" t="s">
        <v>2433</v>
      </c>
      <c r="C201" s="205" t="s">
        <v>2434</v>
      </c>
      <c r="D201" s="205" t="s">
        <v>2435</v>
      </c>
      <c r="E201" s="205" t="s">
        <v>2436</v>
      </c>
      <c r="F201" s="205" t="s">
        <v>44</v>
      </c>
    </row>
    <row r="202" spans="1:6" ht="15.75" customHeight="1" x14ac:dyDescent="0.3">
      <c r="A202" s="206">
        <v>1</v>
      </c>
      <c r="B202" s="206" t="s">
        <v>2514</v>
      </c>
      <c r="C202" s="206">
        <f>0</f>
        <v>0</v>
      </c>
      <c r="D202" s="206">
        <f>COUNTIF('21_Takeoff_Road'!$I$6:$I$243,"DIFF")</f>
        <v>0</v>
      </c>
      <c r="E202" s="207" t="str">
        <f>IF(ROUND(C202,2)=ROUND(D202,2),"OK","REVIEW")</f>
        <v>OK</v>
      </c>
      <c r="F202" s="208" t="s">
        <v>2515</v>
      </c>
    </row>
    <row r="203" spans="1:6" ht="15.75" customHeight="1" x14ac:dyDescent="0.3">
      <c r="A203" s="206">
        <v>2</v>
      </c>
      <c r="B203" s="206" t="s">
        <v>2516</v>
      </c>
      <c r="C203" s="206">
        <f>0</f>
        <v>0</v>
      </c>
      <c r="D203" s="206">
        <f>COUNTIF('22_Takeoff_Culvert'!$I$6:$I$1518,"DIFF")</f>
        <v>0</v>
      </c>
      <c r="E203" s="207" t="str">
        <f>IF(ROUND(C203,2)=ROUND(D203,2),"OK","REVIEW")</f>
        <v>OK</v>
      </c>
      <c r="F203" s="208" t="s">
        <v>2517</v>
      </c>
    </row>
    <row r="204" spans="1:6" ht="15.75" customHeight="1" x14ac:dyDescent="0.3">
      <c r="A204" s="206">
        <v>3</v>
      </c>
      <c r="B204" s="206" t="s">
        <v>2518</v>
      </c>
      <c r="C204" s="206">
        <f>0</f>
        <v>0</v>
      </c>
      <c r="D204" s="206">
        <f>IF(P_Length_km&gt;20,1,0)</f>
        <v>0</v>
      </c>
      <c r="E204" s="207" t="str">
        <f>IF(ROUND(C204,2)=ROUND(D204,2),"OK","REVIEW")</f>
        <v>OK</v>
      </c>
      <c r="F204" s="208" t="s">
        <v>2519</v>
      </c>
    </row>
    <row r="205" spans="1:6" ht="15.75" customHeight="1" x14ac:dyDescent="0.3"/>
    <row r="206" spans="1:6" ht="15.75" customHeight="1" x14ac:dyDescent="0.3"/>
    <row r="207" spans="1:6" ht="15.75" customHeight="1" x14ac:dyDescent="0.3">
      <c r="A207" s="203" t="s">
        <v>2520</v>
      </c>
    </row>
    <row r="208" spans="1:6" ht="15.75" customHeight="1" x14ac:dyDescent="0.3">
      <c r="A208" s="204" t="s">
        <v>2521</v>
      </c>
    </row>
    <row r="209" spans="1:6" ht="15.75" customHeight="1" x14ac:dyDescent="0.3">
      <c r="A209" s="205" t="s">
        <v>2432</v>
      </c>
      <c r="B209" s="205" t="s">
        <v>2433</v>
      </c>
      <c r="C209" s="205" t="s">
        <v>2434</v>
      </c>
      <c r="D209" s="205" t="s">
        <v>2435</v>
      </c>
      <c r="E209" s="205" t="s">
        <v>2436</v>
      </c>
      <c r="F209" s="205" t="s">
        <v>44</v>
      </c>
    </row>
    <row r="210" spans="1:6" ht="15.75" customHeight="1" x14ac:dyDescent="0.3">
      <c r="A210" s="206">
        <v>1</v>
      </c>
      <c r="B210" s="206" t="s">
        <v>2522</v>
      </c>
      <c r="C210" s="206">
        <f>0</f>
        <v>0</v>
      </c>
      <c r="D210" s="206">
        <f>SUMPRODUCT(('06_Road_Engine'!$A$46:$A$90&lt;&gt;"")*(COUNTIF('10_BOQ'!$A$1:$A$400,'06_Road_Engine'!$A$46:$A$90)=0))</f>
        <v>7</v>
      </c>
      <c r="E210" s="207" t="str">
        <f>IF(ROUND(C210,2)=ROUND(D210,2),"OK","REVIEW")</f>
        <v>REVIEW</v>
      </c>
      <c r="F210" s="208" t="s">
        <v>2523</v>
      </c>
    </row>
    <row r="211" spans="1:6" ht="15.75" customHeight="1" x14ac:dyDescent="0.3">
      <c r="A211" s="206">
        <v>2</v>
      </c>
      <c r="B211" s="206" t="s">
        <v>2524</v>
      </c>
      <c r="C211" s="206">
        <f>0</f>
        <v>0</v>
      </c>
      <c r="D211" s="206">
        <f>SUMPRODUCT(('03_Pipe_Engine'!$Y$3:$BC$3&lt;&gt;"")*(COUNTIF('10_BOQ'!$A$1:$A$400,'03_Pipe_Engine'!$Y$3:$BC$3)=0))</f>
        <v>3</v>
      </c>
      <c r="E211" s="207" t="str">
        <f>IF(ROUND(C211,2)=ROUND(D211,2),"OK","REVIEW")</f>
        <v>REVIEW</v>
      </c>
      <c r="F211" s="208" t="s">
        <v>2525</v>
      </c>
    </row>
    <row r="212" spans="1:6" ht="15.75" customHeight="1" x14ac:dyDescent="0.3">
      <c r="A212" s="206">
        <v>3</v>
      </c>
      <c r="B212" s="206" t="s">
        <v>2526</v>
      </c>
      <c r="C212" s="206">
        <f>0</f>
        <v>0</v>
      </c>
      <c r="D212" s="206">
        <f>SUMPRODUCT(('05_UCulv_Engine'!$W$3:$X$3&lt;&gt;"")*(COUNTIF('10_BOQ'!$A$1:$A$400,'05_UCulv_Engine'!$W$3:$X$3)=0))</f>
        <v>2</v>
      </c>
      <c r="E212" s="207" t="str">
        <f>IF(ROUND(C212,2)=ROUND(D212,2),"OK","REVIEW")</f>
        <v>REVIEW</v>
      </c>
      <c r="F212" s="208" t="s">
        <v>2527</v>
      </c>
    </row>
    <row r="213" spans="1:6" ht="15.75" customHeight="1" x14ac:dyDescent="0.3"/>
    <row r="214" spans="1:6" ht="15.75" customHeight="1" x14ac:dyDescent="0.3"/>
    <row r="215" spans="1:6" ht="15.75" customHeight="1" x14ac:dyDescent="0.3"/>
    <row r="216" spans="1:6" ht="15.75" customHeight="1" x14ac:dyDescent="0.3"/>
    <row r="217" spans="1:6" ht="15.75" customHeight="1" x14ac:dyDescent="0.3"/>
    <row r="218" spans="1:6" ht="15.75" customHeight="1" x14ac:dyDescent="0.3"/>
    <row r="219" spans="1:6" ht="15.75" customHeight="1" x14ac:dyDescent="0.3"/>
    <row r="220" spans="1:6" ht="15.75" customHeight="1" x14ac:dyDescent="0.3"/>
    <row r="221" spans="1:6" ht="15.75" customHeight="1" x14ac:dyDescent="0.3"/>
    <row r="222" spans="1:6" ht="15.75" customHeight="1" x14ac:dyDescent="0.3"/>
    <row r="223" spans="1:6" ht="15.75" customHeight="1" x14ac:dyDescent="0.3"/>
    <row r="224" spans="1:6"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conditionalFormatting sqref="E5:E14">
    <cfRule type="cellIs" dxfId="5" priority="1" operator="equal">
      <formula>"OK"</formula>
    </cfRule>
    <cfRule type="cellIs" dxfId="4" priority="2" operator="equal">
      <formula>"REVIEW"</formula>
    </cfRule>
  </conditionalFormatting>
  <conditionalFormatting sqref="E202:E204">
    <cfRule type="cellIs" dxfId="3" priority="3" operator="equal">
      <formula>"OK"</formula>
    </cfRule>
    <cfRule type="cellIs" dxfId="2" priority="4" operator="equal">
      <formula>"REVIEW"</formula>
    </cfRule>
  </conditionalFormatting>
  <conditionalFormatting sqref="E210:E212">
    <cfRule type="cellIs" dxfId="1" priority="5" operator="equal">
      <formula>"OK"</formula>
    </cfRule>
    <cfRule type="cellIs" dxfId="0" priority="6" operator="equal">
      <formula>"REVIEW"</formula>
    </cfRule>
  </conditionalFormatting>
  <printOptions horizontalCentered="1"/>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106</vt:i4>
      </vt:variant>
    </vt:vector>
  </HeadingPairs>
  <TitlesOfParts>
    <vt:vector size="131" baseType="lpstr">
      <vt:lpstr>README</vt:lpstr>
      <vt:lpstr>00_Project</vt:lpstr>
      <vt:lpstr>A_Corridor</vt:lpstr>
      <vt:lpstr>B_Drainage</vt:lpstr>
      <vt:lpstr>C_Pavement</vt:lpstr>
      <vt:lpstr>D_Points</vt:lpstr>
      <vt:lpstr>E_Rules</vt:lpstr>
      <vt:lpstr>F_Road_Data</vt:lpstr>
      <vt:lpstr>01_Stations</vt:lpstr>
      <vt:lpstr>02_Culverts</vt:lpstr>
      <vt:lpstr>03_Pipe_Engine</vt:lpstr>
      <vt:lpstr>04_Box_Engine</vt:lpstr>
      <vt:lpstr>04a_Box_Dims</vt:lpstr>
      <vt:lpstr>04b_Box_Bars</vt:lpstr>
      <vt:lpstr>04c_Box_Takeoff</vt:lpstr>
      <vt:lpstr>04e_Box_Abstract</vt:lpstr>
      <vt:lpstr>05_UCulv_Engine</vt:lpstr>
      <vt:lpstr>06_Road_Engine</vt:lpstr>
      <vt:lpstr>07_Items</vt:lpstr>
      <vt:lpstr>08_Rates</vt:lpstr>
      <vt:lpstr>20_Line_Diagram</vt:lpstr>
      <vt:lpstr>21_Takeoff_Road</vt:lpstr>
      <vt:lpstr>22_Takeoff_Culvert</vt:lpstr>
      <vt:lpstr>10_BOQ</vt:lpstr>
      <vt:lpstr>90_Checks</vt:lpstr>
      <vt:lpstr>A_Pitch</vt:lpstr>
      <vt:lpstr>BX_ang</vt:lpstr>
      <vt:lpstr>BX_apL</vt:lpstr>
      <vt:lpstr>BX_bat</vt:lpstr>
      <vt:lpstr>BX_blind</vt:lpstr>
      <vt:lpstr>BX_ch</vt:lpstr>
      <vt:lpstr>BX_exX</vt:lpstr>
      <vt:lpstr>BX_frb</vt:lpstr>
      <vt:lpstr>BX_Hcov</vt:lpstr>
      <vt:lpstr>BX_hemin</vt:lpstr>
      <vt:lpstr>BX_hh</vt:lpstr>
      <vt:lpstr>BX_hook</vt:lpstr>
      <vt:lpstr>BX_Lnom</vt:lpstr>
      <vt:lpstr>BX_rho</vt:lpstr>
      <vt:lpstr>BX_tdiv</vt:lpstr>
      <vt:lpstr>BX_tinc</vt:lpstr>
      <vt:lpstr>BX_tmin</vt:lpstr>
      <vt:lpstr>BX_tmin2</vt:lpstr>
      <vt:lpstr>BX_tpf</vt:lpstr>
      <vt:lpstr>BX_tpmax</vt:lpstr>
      <vt:lpstr>BX_tpmin</vt:lpstr>
      <vt:lpstr>BX_twD</vt:lpstr>
      <vt:lpstr>BX_twW</vt:lpstr>
      <vt:lpstr>BX_work</vt:lpstr>
      <vt:lpstr>BX_wwbend</vt:lpstr>
      <vt:lpstr>H_Cut</vt:lpstr>
      <vt:lpstr>H_FillW</vt:lpstr>
      <vt:lpstr>H_Raise</vt:lpstr>
      <vt:lpstr>L_Base</vt:lpstr>
      <vt:lpstr>L_Blading</vt:lpstr>
      <vt:lpstr>L_Cut</vt:lpstr>
      <vt:lpstr>L_DitchCL</vt:lpstr>
      <vt:lpstr>L_DitchEC</vt:lpstr>
      <vt:lpstr>L_DitchRE</vt:lpstr>
      <vt:lpstr>L_EB</vt:lpstr>
      <vt:lpstr>L_FillW</vt:lpstr>
      <vt:lpstr>L_GB</vt:lpstr>
      <vt:lpstr>L_Kerb</vt:lpstr>
      <vt:lpstr>L_LB</vt:lpstr>
      <vt:lpstr>L_Prime</vt:lpstr>
      <vt:lpstr>L_Raise</vt:lpstr>
      <vt:lpstr>L_Reshape</vt:lpstr>
      <vt:lpstr>L_RetW</vt:lpstr>
      <vt:lpstr>L_SB</vt:lpstr>
      <vt:lpstr>L_Scarify</vt:lpstr>
      <vt:lpstr>L_Scour</vt:lpstr>
      <vt:lpstr>L_Seal1</vt:lpstr>
      <vt:lpstr>L_Seal2</vt:lpstr>
      <vt:lpstr>L_Subbase</vt:lpstr>
      <vt:lpstr>L_TB</vt:lpstr>
      <vt:lpstr>L_Town</vt:lpstr>
      <vt:lpstr>L_Trap</vt:lpstr>
      <vt:lpstr>L_Turn</vt:lpstr>
      <vt:lpstr>L_UD45</vt:lpstr>
      <vt:lpstr>L_UD60</vt:lpstr>
      <vt:lpstr>L_UD75</vt:lpstr>
      <vt:lpstr>L_UD90</vt:lpstr>
      <vt:lpstr>P_BaseT</vt:lpstr>
      <vt:lpstr>P_BinderPct</vt:lpstr>
      <vt:lpstr>P_CentreLnF</vt:lpstr>
      <vt:lpstr>P_Chip10</vt:lpstr>
      <vt:lpstr>P_Chip14</vt:lpstr>
      <vt:lpstr>P_ClearW</vt:lpstr>
      <vt:lpstr>P_CoarseLean</vt:lpstr>
      <vt:lpstr>P_CoarseStr</vt:lpstr>
      <vt:lpstr>P_CutterPct</vt:lpstr>
      <vt:lpstr>P_CW</vt:lpstr>
      <vt:lpstr>P_District</vt:lpstr>
      <vt:lpstr>P_EdgeLnF</vt:lpstr>
      <vt:lpstr>P_ExtCW</vt:lpstr>
      <vt:lpstr>P_FineLean</vt:lpstr>
      <vt:lpstr>P_FineStr</vt:lpstr>
      <vt:lpstr>P_FW</vt:lpstr>
      <vt:lpstr>P_HaulChip</vt:lpstr>
      <vt:lpstr>P_HaulCoarse</vt:lpstr>
      <vt:lpstr>P_HaulFill</vt:lpstr>
      <vt:lpstr>P_HaulSand</vt:lpstr>
      <vt:lpstr>P_Interval</vt:lpstr>
      <vt:lpstr>P_LaneLineF</vt:lpstr>
      <vt:lpstr>P_Length_km</vt:lpstr>
      <vt:lpstr>P_NStations</vt:lpstr>
      <vt:lpstr>P_OH_Base</vt:lpstr>
      <vt:lpstr>P_OH_Sub</vt:lpstr>
      <vt:lpstr>P_PedXF</vt:lpstr>
      <vt:lpstr>P_PrimeRate</vt:lpstr>
      <vt:lpstr>P_PrimeW</vt:lpstr>
      <vt:lpstr>P_Programme</vt:lpstr>
      <vt:lpstr>P_RampsPerKm</vt:lpstr>
      <vt:lpstr>P_Region</vt:lpstr>
      <vt:lpstr>P_RoadCode</vt:lpstr>
      <vt:lpstr>P_RoadName</vt:lpstr>
      <vt:lpstr>P_Seal1Rate</vt:lpstr>
      <vt:lpstr>P_Seal2Rate</vt:lpstr>
      <vt:lpstr>P_SealW</vt:lpstr>
      <vt:lpstr>P_SignsPerKm</vt:lpstr>
      <vt:lpstr>P_StopPerKm</vt:lpstr>
      <vt:lpstr>P_SubbaseT</vt:lpstr>
      <vt:lpstr>P_SW</vt:lpstr>
      <vt:lpstr>A_Corridor!Print_Titles</vt:lpstr>
      <vt:lpstr>B_Drainage!Print_Titles</vt:lpstr>
      <vt:lpstr>C_Pavement!Print_Titles</vt:lpstr>
      <vt:lpstr>D_Points!Print_Titles</vt:lpstr>
      <vt:lpstr>S_Scour</vt:lpstr>
      <vt:lpstr>V_Gully</vt:lpstr>
      <vt:lpstr>W_Cut</vt:lpstr>
      <vt:lpstr>W_FillW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Kwasi Osafo Ampadu Ampadu</dc:creator>
  <cp:lastModifiedBy>DR. Kwasi Osafo Ampadu Ampadu</cp:lastModifiedBy>
  <dcterms:created xsi:type="dcterms:W3CDTF">2026-08-21T23:35:01Z</dcterms:created>
  <dcterms:modified xsi:type="dcterms:W3CDTF">2026-09-01T18:31:34Z</dcterms:modified>
</cp:coreProperties>
</file>